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" sheetId="1" r:id="rId4"/>
    <sheet state="visible" name="Part2" sheetId="2" r:id="rId5"/>
    <sheet state="visible" name="Part1" sheetId="3" r:id="rId6"/>
    <sheet state="visible" name="From Order" sheetId="4" r:id="rId7"/>
    <sheet state="visible" name="To Order" sheetId="5" r:id="rId8"/>
    <sheet state="visible" name="Times From" sheetId="6" r:id="rId9"/>
    <sheet state="visible" name="Times To" sheetId="7" r:id="rId10"/>
  </sheets>
  <definedNames/>
  <calcPr/>
</workbook>
</file>

<file path=xl/sharedStrings.xml><?xml version="1.0" encoding="utf-8"?>
<sst xmlns="http://schemas.openxmlformats.org/spreadsheetml/2006/main" count="524" uniqueCount="347">
  <si>
    <t>Crates</t>
  </si>
  <si>
    <t>From</t>
  </si>
  <si>
    <t>To</t>
  </si>
  <si>
    <t>move 1 from 3 to 5</t>
  </si>
  <si>
    <t>move 5 from 5 to 4</t>
  </si>
  <si>
    <t>move 6 from 7 to 3</t>
  </si>
  <si>
    <t>move 6 from 1 to 3</t>
  </si>
  <si>
    <t>move 1 from 1 to 9</t>
  </si>
  <si>
    <t>move 1 from 1 to 4</t>
  </si>
  <si>
    <t>move 3 from 6 to 9</t>
  </si>
  <si>
    <t>move 2 from 7 to 5</t>
  </si>
  <si>
    <t>move 1 from 5 to 7</t>
  </si>
  <si>
    <t>move 1 from 7 to 2</t>
  </si>
  <si>
    <t>move 2 from 2 to 5</t>
  </si>
  <si>
    <t>move 2 from 6 to 3</t>
  </si>
  <si>
    <t>move 6 from 8 to 9</t>
  </si>
  <si>
    <t>move 7 from 3 to 9</t>
  </si>
  <si>
    <t>move 1 from 8 to 7</t>
  </si>
  <si>
    <t>move 8 from 9 to 7</t>
  </si>
  <si>
    <t>move 5 from 4 to 8</t>
  </si>
  <si>
    <t>move 1 from 6 to 2</t>
  </si>
  <si>
    <t>move 2 from 8 to 4</t>
  </si>
  <si>
    <t>move 9 from 9 to 1</t>
  </si>
  <si>
    <t>move 2 from 8 to 5</t>
  </si>
  <si>
    <t>move 1 from 8 to 5</t>
  </si>
  <si>
    <t>move 5 from 9 to 2</t>
  </si>
  <si>
    <t>move 1 from 6 to 8</t>
  </si>
  <si>
    <t>move 5 from 1 to 7</t>
  </si>
  <si>
    <t>move 1 from 8 to 2</t>
  </si>
  <si>
    <t>move 2 from 1 to 7</t>
  </si>
  <si>
    <t>move 1 from 2 to 6</t>
  </si>
  <si>
    <t>move 4 from 5 to 4</t>
  </si>
  <si>
    <t>move 2 from 1 to 4</t>
  </si>
  <si>
    <t>move 13 from 7 to 8</t>
  </si>
  <si>
    <t>move 3 from 8 to 6</t>
  </si>
  <si>
    <t>move 2 from 6 to 8</t>
  </si>
  <si>
    <t>move 10 from 3 to 5</t>
  </si>
  <si>
    <t>move 2 from 7 to 6</t>
  </si>
  <si>
    <t>move 3 from 5 to 6</t>
  </si>
  <si>
    <t>move 10 from 8 to 1</t>
  </si>
  <si>
    <t>move 1 from 8 to 6</t>
  </si>
  <si>
    <t>move 6 from 2 to 4</t>
  </si>
  <si>
    <t>move 1 from 5 to 8</t>
  </si>
  <si>
    <t>move 5 from 6 to 3</t>
  </si>
  <si>
    <t>move 2 from 8 to 6</t>
  </si>
  <si>
    <t>move 1 from 7 to 9</t>
  </si>
  <si>
    <t>move 2 from 2 to 7</t>
  </si>
  <si>
    <t>move 3 from 5 to 1</t>
  </si>
  <si>
    <t>move 2 from 7 to 2</t>
  </si>
  <si>
    <t>move 6 from 6 to 3</t>
  </si>
  <si>
    <t>move 7 from 5 to 6</t>
  </si>
  <si>
    <t>move 5 from 3 to 2</t>
  </si>
  <si>
    <t>move 10 from 1 to 8</t>
  </si>
  <si>
    <t>move 2 from 1 to 3</t>
  </si>
  <si>
    <t>move 8 from 3 to 7</t>
  </si>
  <si>
    <t>move 9 from 4 to 8</t>
  </si>
  <si>
    <t>move 1 from 9 to 2</t>
  </si>
  <si>
    <t>move 2 from 7 to 8</t>
  </si>
  <si>
    <t>move 4 from 6 to 9</t>
  </si>
  <si>
    <t>move 1 from 4 to 9</t>
  </si>
  <si>
    <t>move 5 from 7 to 4</t>
  </si>
  <si>
    <t>move 3 from 6 to 5</t>
  </si>
  <si>
    <t>move 1 from 1 to 5</t>
  </si>
  <si>
    <t>move 14 from 4 to 8</t>
  </si>
  <si>
    <t>move 3 from 9 to 7</t>
  </si>
  <si>
    <t>move 4 from 5 to 9</t>
  </si>
  <si>
    <t>move 2 from 4 to 1</t>
  </si>
  <si>
    <t>move 27 from 8 to 6</t>
  </si>
  <si>
    <t>move 2 from 7 to 4</t>
  </si>
  <si>
    <t>move 4 from 2 to 9</t>
  </si>
  <si>
    <t>move 7 from 8 to 4</t>
  </si>
  <si>
    <t>move 10 from 4 to 1</t>
  </si>
  <si>
    <t>move 18 from 6 to 5</t>
  </si>
  <si>
    <t>move 6 from 9 to 2</t>
  </si>
  <si>
    <t>move 1 from 9 to 5</t>
  </si>
  <si>
    <t>move 11 from 2 to 6</t>
  </si>
  <si>
    <t>move 2 from 5 to 4</t>
  </si>
  <si>
    <t>move 1 from 2 to 8</t>
  </si>
  <si>
    <t>move 2 from 4 to 9</t>
  </si>
  <si>
    <t>move 2 from 8 to 3</t>
  </si>
  <si>
    <t>move 4 from 9 to 7</t>
  </si>
  <si>
    <t>move 4 from 7 to 8</t>
  </si>
  <si>
    <t>move 7 from 5 to 1</t>
  </si>
  <si>
    <t>move 4 from 6 to 3</t>
  </si>
  <si>
    <t>move 2 from 3 to 7</t>
  </si>
  <si>
    <t>move 6 from 5 to 3</t>
  </si>
  <si>
    <t>move 2 from 8 to 2</t>
  </si>
  <si>
    <t>move 14 from 6 to 2</t>
  </si>
  <si>
    <t>move 3 from 8 to 1</t>
  </si>
  <si>
    <t>move 15 from 2 to 3</t>
  </si>
  <si>
    <t>move 1 from 6 to 1</t>
  </si>
  <si>
    <t>move 14 from 3 to 2</t>
  </si>
  <si>
    <t>move 1 from 9 to 3</t>
  </si>
  <si>
    <t>move 13 from 1 to 3</t>
  </si>
  <si>
    <t>move 4 from 2 to 6</t>
  </si>
  <si>
    <t>move 10 from 1 to 3</t>
  </si>
  <si>
    <t>move 2 from 6 to 9</t>
  </si>
  <si>
    <t>move 6 from 2 to 9</t>
  </si>
  <si>
    <t>move 6 from 5 to 2</t>
  </si>
  <si>
    <t>move 7 from 9 to 5</t>
  </si>
  <si>
    <t>move 34 from 3 to 6</t>
  </si>
  <si>
    <t>move 19 from 6 to 2</t>
  </si>
  <si>
    <t>move 12 from 6 to 9</t>
  </si>
  <si>
    <t>move 3 from 6 to 3</t>
  </si>
  <si>
    <t>move 2 from 3 to 2</t>
  </si>
  <si>
    <t>move 1 from 6 to 5</t>
  </si>
  <si>
    <t>move 17 from 2 to 8</t>
  </si>
  <si>
    <t>move 8 from 9 to 4</t>
  </si>
  <si>
    <t>move 7 from 5 to 2</t>
  </si>
  <si>
    <t>move 5 from 4 to 1</t>
  </si>
  <si>
    <t>move 4 from 1 to 6</t>
  </si>
  <si>
    <t>move 1 from 1 to 6</t>
  </si>
  <si>
    <t>move 6 from 6 to 8</t>
  </si>
  <si>
    <t>move 17 from 8 to 6</t>
  </si>
  <si>
    <t>move 2 from 4 to 5</t>
  </si>
  <si>
    <t>move 17 from 6 to 9</t>
  </si>
  <si>
    <t>move 22 from 9 to 7</t>
  </si>
  <si>
    <t>move 1 from 5 to 2</t>
  </si>
  <si>
    <t>move 20 from 2 to 7</t>
  </si>
  <si>
    <t>move 29 from 7 to 9</t>
  </si>
  <si>
    <t>move 1 from 4 to 7</t>
  </si>
  <si>
    <t>move 3 from 8 to 3</t>
  </si>
  <si>
    <t>move 3 from 8 to 2</t>
  </si>
  <si>
    <t>move 2 from 2 to 4</t>
  </si>
  <si>
    <t>move 27 from 9 to 7</t>
  </si>
  <si>
    <t>move 18 from 7 to 5</t>
  </si>
  <si>
    <t>move 1 from 3 to 2</t>
  </si>
  <si>
    <t>move 1 from 5 to 6</t>
  </si>
  <si>
    <t>move 18 from 5 to 3</t>
  </si>
  <si>
    <t>move 1 from 6 to 3</t>
  </si>
  <si>
    <t>move 2 from 9 to 5</t>
  </si>
  <si>
    <t>move 4 from 3 to 6</t>
  </si>
  <si>
    <t>move 1 from 7 to 1</t>
  </si>
  <si>
    <t>move 1 from 5 to 1</t>
  </si>
  <si>
    <t>move 6 from 7 to 6</t>
  </si>
  <si>
    <t>move 4 from 4 to 8</t>
  </si>
  <si>
    <t>move 1 from 3 to 8</t>
  </si>
  <si>
    <t>move 2 from 1 to 8</t>
  </si>
  <si>
    <t>move 3 from 3 to 8</t>
  </si>
  <si>
    <t>move 6 from 8 to 2</t>
  </si>
  <si>
    <t>move 1 from 3 to 9</t>
  </si>
  <si>
    <t>move 6 from 2 to 8</t>
  </si>
  <si>
    <t>move 8 from 5 to 2</t>
  </si>
  <si>
    <t>move 5 from 4 to 6</t>
  </si>
  <si>
    <t>move 2 from 3 to 9</t>
  </si>
  <si>
    <t>move 2 from 7 to 1</t>
  </si>
  <si>
    <t>move 2 from 1 to 2</t>
  </si>
  <si>
    <t>move 12 from 2 to 4</t>
  </si>
  <si>
    <t>move 1 from 9 to 7</t>
  </si>
  <si>
    <t>move 9 from 7 to 9</t>
  </si>
  <si>
    <t>move 9 from 9 to 8</t>
  </si>
  <si>
    <t>move 6 from 7 to 8</t>
  </si>
  <si>
    <t>move 4 from 4 to 1</t>
  </si>
  <si>
    <t>move 6 from 2 to 5</t>
  </si>
  <si>
    <t>move 3 from 1 to 9</t>
  </si>
  <si>
    <t>move 6 from 4 to 5</t>
  </si>
  <si>
    <t>move 5 from 8 to 9</t>
  </si>
  <si>
    <t>move 8 from 4 to 6</t>
  </si>
  <si>
    <t>move 3 from 9 to 8</t>
  </si>
  <si>
    <t>move 3 from 2 to 6</t>
  </si>
  <si>
    <t>move 3 from 6 to 2</t>
  </si>
  <si>
    <t>move 6 from 9 to 7</t>
  </si>
  <si>
    <t>move 1 from 1 to 8</t>
  </si>
  <si>
    <t>move 8 from 8 to 5</t>
  </si>
  <si>
    <t>move 20 from 5 to 3</t>
  </si>
  <si>
    <t>move 2 from 2 to 8</t>
  </si>
  <si>
    <t>move 6 from 7 to 1</t>
  </si>
  <si>
    <t>move 10 from 6 to 3</t>
  </si>
  <si>
    <t>move 4 from 6 to 7</t>
  </si>
  <si>
    <t>move 4 from 1 to 9</t>
  </si>
  <si>
    <t>move 5 from 8 to 3</t>
  </si>
  <si>
    <t>move 3 from 7 to 9</t>
  </si>
  <si>
    <t>move 17 from 3 to 2</t>
  </si>
  <si>
    <t>move 1 from 6 to 4</t>
  </si>
  <si>
    <t>move 12 from 9 to 2</t>
  </si>
  <si>
    <t>move 8 from 3 to 8</t>
  </si>
  <si>
    <t>move 8 from 8 to 9</t>
  </si>
  <si>
    <t>move 7 from 9 to 2</t>
  </si>
  <si>
    <t>move 18 from 2 to 9</t>
  </si>
  <si>
    <t>move 1 from 1 to 2</t>
  </si>
  <si>
    <t>move 4 from 2 to 7</t>
  </si>
  <si>
    <t>move 15 from 9 to 3</t>
  </si>
  <si>
    <t>move 1 from 9 to 1</t>
  </si>
  <si>
    <t>move 8 from 2 to 1</t>
  </si>
  <si>
    <t>move 2 from 9 to 3</t>
  </si>
  <si>
    <t>move 2 from 5 to 8</t>
  </si>
  <si>
    <t>move 2 from 8 to 9</t>
  </si>
  <si>
    <t>move 14 from 3 to 1</t>
  </si>
  <si>
    <t>move 2 from 9 to 7</t>
  </si>
  <si>
    <t>move 2 from 4 to 3</t>
  </si>
  <si>
    <t>move 1 from 2 to 9</t>
  </si>
  <si>
    <t>move 5 from 7 to 9</t>
  </si>
  <si>
    <t>move 21 from 1 to 9</t>
  </si>
  <si>
    <t>move 2 from 1 to 6</t>
  </si>
  <si>
    <t>move 3 from 2 to 4</t>
  </si>
  <si>
    <t>move 1 from 7 to 3</t>
  </si>
  <si>
    <t>move 19 from 9 to 5</t>
  </si>
  <si>
    <t>move 1 from 2 to 7</t>
  </si>
  <si>
    <t>move 3 from 4 to 2</t>
  </si>
  <si>
    <t>move 19 from 5 to 7</t>
  </si>
  <si>
    <t>move 1 from 5 to 3</t>
  </si>
  <si>
    <t>move 1 from 3 to 4</t>
  </si>
  <si>
    <t>move 1 from 2 to 1</t>
  </si>
  <si>
    <t>move 8 from 7 to 3</t>
  </si>
  <si>
    <t>move 5 from 4 to 7</t>
  </si>
  <si>
    <t>move 2 from 6 to 4</t>
  </si>
  <si>
    <t>move 1 from 5 to 9</t>
  </si>
  <si>
    <t>move 2 from 4 to 7</t>
  </si>
  <si>
    <t>move 1 from 4 to 2</t>
  </si>
  <si>
    <t>move 25 from 3 to 1</t>
  </si>
  <si>
    <t>move 2 from 3 to 6</t>
  </si>
  <si>
    <t>move 6 from 9 to 8</t>
  </si>
  <si>
    <t>move 15 from 7 to 6</t>
  </si>
  <si>
    <t>move 2 from 2 to 6</t>
  </si>
  <si>
    <t>move 6 from 8 to 4</t>
  </si>
  <si>
    <t>move 2 from 5 to 2</t>
  </si>
  <si>
    <t>move 8 from 6 to 7</t>
  </si>
  <si>
    <t>move 1 from 9 to 4</t>
  </si>
  <si>
    <t>move 9 from 4 to 5</t>
  </si>
  <si>
    <t>move 19 from 1 to 3</t>
  </si>
  <si>
    <t>move 9 from 3 to 5</t>
  </si>
  <si>
    <t>move 6 from 7 to 2</t>
  </si>
  <si>
    <t>move 7 from 2 to 4</t>
  </si>
  <si>
    <t>move 5 from 4 to 3</t>
  </si>
  <si>
    <t>move 3 from 5 to 8</t>
  </si>
  <si>
    <t>move 1 from 2 to 4</t>
  </si>
  <si>
    <t>move 2 from 4 to 8</t>
  </si>
  <si>
    <t>move 14 from 6 to 1</t>
  </si>
  <si>
    <t>move 6 from 5 to 6</t>
  </si>
  <si>
    <t>move 7 from 1 to 6</t>
  </si>
  <si>
    <t>move 4 from 6 to 4</t>
  </si>
  <si>
    <t>move 1 from 5 to 4</t>
  </si>
  <si>
    <t>move 2 from 1 to 9</t>
  </si>
  <si>
    <t>move 2 from 9 to 4</t>
  </si>
  <si>
    <t>move 9 from 3 to 6</t>
  </si>
  <si>
    <t>move 3 from 7 to 4</t>
  </si>
  <si>
    <t>move 4 from 8 to 6</t>
  </si>
  <si>
    <t>move 3 from 7 to 6</t>
  </si>
  <si>
    <t>move 1 from 7 to 5</t>
  </si>
  <si>
    <t>move 3 from 8 to 4</t>
  </si>
  <si>
    <t>move 26 from 6 to 1</t>
  </si>
  <si>
    <t>move 8 from 1 to 2</t>
  </si>
  <si>
    <t>move 5 from 2 to 7</t>
  </si>
  <si>
    <t>move 10 from 4 to 7</t>
  </si>
  <si>
    <t>move 22 from 1 to 2</t>
  </si>
  <si>
    <t>move 6 from 4 to 7</t>
  </si>
  <si>
    <t>move 21 from 7 to 2</t>
  </si>
  <si>
    <t>move 38 from 2 to 3</t>
  </si>
  <si>
    <t>move 8 from 2 to 6</t>
  </si>
  <si>
    <t>move 1 from 1 to 3</t>
  </si>
  <si>
    <t>move 1 from 2 to 5</t>
  </si>
  <si>
    <t>move 6 from 6 to 4</t>
  </si>
  <si>
    <t>move 2 from 4 to 2</t>
  </si>
  <si>
    <t>move 28 from 3 to 1</t>
  </si>
  <si>
    <t>move 11 from 1 to 2</t>
  </si>
  <si>
    <t>move 8 from 1 to 7</t>
  </si>
  <si>
    <t>move 8 from 3 to 1</t>
  </si>
  <si>
    <t>move 8 from 2 to 5</t>
  </si>
  <si>
    <t>move 6 from 5 to 4</t>
  </si>
  <si>
    <t>move 8 from 3 to 4</t>
  </si>
  <si>
    <t>move 22 from 4 to 1</t>
  </si>
  <si>
    <t>move 2 from 3 to 5</t>
  </si>
  <si>
    <t>move 33 from 1 to 5</t>
  </si>
  <si>
    <t>move 26 from 5 to 6</t>
  </si>
  <si>
    <t>move 4 from 5 to 7</t>
  </si>
  <si>
    <t>move 5 from 5 to 1</t>
  </si>
  <si>
    <t>move 7 from 7 to 5</t>
  </si>
  <si>
    <t>move 4 from 5 to 6</t>
  </si>
  <si>
    <t>move 5 from 1 to 8</t>
  </si>
  <si>
    <t>move 4 from 2 to 4</t>
  </si>
  <si>
    <t>move 2 from 7 to 3</t>
  </si>
  <si>
    <t>move 10 from 3 to 6</t>
  </si>
  <si>
    <t>move 44 from 6 to 9</t>
  </si>
  <si>
    <t>move 2 from 5 to 7</t>
  </si>
  <si>
    <t>move 41 from 9 to 1</t>
  </si>
  <si>
    <t>move 2 from 8 to 1</t>
  </si>
  <si>
    <t>move 2 from 9 to 8</t>
  </si>
  <si>
    <t>move 29 from 1 to 9</t>
  </si>
  <si>
    <t>move 2 from 1 to 5</t>
  </si>
  <si>
    <t>move 2 from 5 to 9</t>
  </si>
  <si>
    <t>move 25 from 9 to 2</t>
  </si>
  <si>
    <t>move 10 from 2 to 1</t>
  </si>
  <si>
    <t>move 1 from 7 to 8</t>
  </si>
  <si>
    <t>move 4 from 2 to 5</t>
  </si>
  <si>
    <t>move 18 from 1 to 3</t>
  </si>
  <si>
    <t>move 15 from 3 to 9</t>
  </si>
  <si>
    <t>move 3 from 4 to 8</t>
  </si>
  <si>
    <t>move 4 from 5 to 8</t>
  </si>
  <si>
    <t>move 10 from 9 to 4</t>
  </si>
  <si>
    <t>move 4 from 8 to 5</t>
  </si>
  <si>
    <t>move 11 from 4 to 9</t>
  </si>
  <si>
    <t>move 12 from 4 to 9</t>
  </si>
  <si>
    <t>move 5 from 8 to 1</t>
  </si>
  <si>
    <t>move 1 from 4 to 6</t>
  </si>
  <si>
    <t>move 6 from 1 to 5</t>
  </si>
  <si>
    <t>move 6 from 5 to 9</t>
  </si>
  <si>
    <t>move 9 from 6 to 5</t>
  </si>
  <si>
    <t>move 7 from 2 to 3</t>
  </si>
  <si>
    <t>move 1 from 3 to 1</t>
  </si>
  <si>
    <t>move 7 from 3 to 5</t>
  </si>
  <si>
    <t>move 8 from 5 to 9</t>
  </si>
  <si>
    <t>move 3 from 1 to 3</t>
  </si>
  <si>
    <t>move 3 from 3 to 9</t>
  </si>
  <si>
    <t>move 3 from 3 to 1</t>
  </si>
  <si>
    <t>move 4 from 1 to 7</t>
  </si>
  <si>
    <t>move 7 from 9 to 6</t>
  </si>
  <si>
    <t>move 11 from 9 to 7</t>
  </si>
  <si>
    <t>move 3 from 9 to 3</t>
  </si>
  <si>
    <t>move 14 from 9 to 5</t>
  </si>
  <si>
    <t>move 6 from 6 to 5</t>
  </si>
  <si>
    <t>move 10 from 7 to 6</t>
  </si>
  <si>
    <t>move 1 from 3 to 7</t>
  </si>
  <si>
    <t>move 4 from 7 to 9</t>
  </si>
  <si>
    <t>move 9 from 6 to 1</t>
  </si>
  <si>
    <t>move 15 from 9 to 1</t>
  </si>
  <si>
    <t>move 12 from 5 to 1</t>
  </si>
  <si>
    <t>move 3 from 7 to 3</t>
  </si>
  <si>
    <t>move 4 from 7 to 2</t>
  </si>
  <si>
    <t>move 21 from 2 to 6</t>
  </si>
  <si>
    <t>move 8 from 1 to 4</t>
  </si>
  <si>
    <t>move 7 from 4 to 8</t>
  </si>
  <si>
    <t>move 3 from 3 to 5</t>
  </si>
  <si>
    <t>move 4 from 2 to 3</t>
  </si>
  <si>
    <t>move 15 from 6 to 9</t>
  </si>
  <si>
    <t>move 3 from 5 to 9</t>
  </si>
  <si>
    <t>move 8 from 1 to 3</t>
  </si>
  <si>
    <t>move 8 from 9 to 8</t>
  </si>
  <si>
    <t>move 4 from 8 to 1</t>
  </si>
  <si>
    <t>move 3 from 8 to 7</t>
  </si>
  <si>
    <t>move 3 from 5 to 2</t>
  </si>
  <si>
    <t>move 4 from 3 to 4</t>
  </si>
  <si>
    <t>move 3 from 6 to 1</t>
  </si>
  <si>
    <t>move 2 from 5 to 6</t>
  </si>
  <si>
    <t>move 2 from 2 to 1</t>
  </si>
  <si>
    <t>move 4 from 3 to 9</t>
  </si>
  <si>
    <t>move 1 from 6 to 7</t>
  </si>
  <si>
    <t>move 14 from 1 to 8</t>
  </si>
  <si>
    <t>move 6 from 8 to 5</t>
  </si>
  <si>
    <t>DTRBJLWG</t>
  </si>
  <si>
    <t>SWC</t>
  </si>
  <si>
    <t>RZTM</t>
  </si>
  <si>
    <t>DTCHSPV</t>
  </si>
  <si>
    <t>GPTLDZ</t>
  </si>
  <si>
    <t>FBRZJQCD</t>
  </si>
  <si>
    <t>SBDJMFTR</t>
  </si>
  <si>
    <t>LHRBTVM</t>
  </si>
  <si>
    <t>QPDSV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</si>
</sst>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1" max="1" width="15.88"/>
    <col hidden="1" min="2" max="2" width="12.63"/>
    <col hidden="1" min="4" max="4" width="12.63"/>
    <col hidden="1" min="6" max="6" width="12.63"/>
    <col customWidth="1" min="15" max="15" width="12.63"/>
  </cols>
  <sheetData>
    <row r="1">
      <c r="A1" s="1"/>
      <c r="C1" s="1" t="s">
        <v>0</v>
      </c>
      <c r="E1" s="1" t="s">
        <v>1</v>
      </c>
      <c r="G1" s="1" t="s">
        <v>2</v>
      </c>
    </row>
    <row r="2">
      <c r="A2" s="1" t="s">
        <v>3</v>
      </c>
      <c r="B2" s="2" t="str">
        <f>IFERROR(__xludf.DUMMYFUNCTION("SPLIT(A2, "" "")"),"move")</f>
        <v>move</v>
      </c>
      <c r="C2" s="2">
        <f>IFERROR(__xludf.DUMMYFUNCTION("""COMPUTED_VALUE"""),1.0)</f>
        <v>1</v>
      </c>
      <c r="D2" s="2" t="str">
        <f>IFERROR(__xludf.DUMMYFUNCTION("""COMPUTED_VALUE"""),"from")</f>
        <v>from</v>
      </c>
      <c r="E2" s="2">
        <f>IFERROR(__xludf.DUMMYFUNCTION("""COMPUTED_VALUE"""),3.0)</f>
        <v>3</v>
      </c>
      <c r="F2" s="2" t="str">
        <f>IFERROR(__xludf.DUMMYFUNCTION("""COMPUTED_VALUE"""),"to")</f>
        <v>to</v>
      </c>
      <c r="G2" s="2">
        <f>IFERROR(__xludf.DUMMYFUNCTION("""COMPUTED_VALUE"""),5.0)</f>
        <v>5</v>
      </c>
    </row>
    <row r="3">
      <c r="A3" s="1" t="s">
        <v>4</v>
      </c>
      <c r="B3" s="2" t="str">
        <f>IFERROR(__xludf.DUMMYFUNCTION("SPLIT(A3, "" "")"),"move")</f>
        <v>move</v>
      </c>
      <c r="C3" s="2">
        <f>IFERROR(__xludf.DUMMYFUNCTION("""COMPUTED_VALUE"""),5.0)</f>
        <v>5</v>
      </c>
      <c r="D3" s="2" t="str">
        <f>IFERROR(__xludf.DUMMYFUNCTION("""COMPUTED_VALUE"""),"from")</f>
        <v>from</v>
      </c>
      <c r="E3" s="2">
        <f>IFERROR(__xludf.DUMMYFUNCTION("""COMPUTED_VALUE"""),5.0)</f>
        <v>5</v>
      </c>
      <c r="F3" s="2" t="str">
        <f>IFERROR(__xludf.DUMMYFUNCTION("""COMPUTED_VALUE"""),"to")</f>
        <v>to</v>
      </c>
      <c r="G3" s="2">
        <f>IFERROR(__xludf.DUMMYFUNCTION("""COMPUTED_VALUE"""),4.0)</f>
        <v>4</v>
      </c>
    </row>
    <row r="4">
      <c r="A4" s="1" t="s">
        <v>5</v>
      </c>
      <c r="B4" s="2" t="str">
        <f>IFERROR(__xludf.DUMMYFUNCTION("SPLIT(A4, "" "")"),"move")</f>
        <v>move</v>
      </c>
      <c r="C4" s="2">
        <f>IFERROR(__xludf.DUMMYFUNCTION("""COMPUTED_VALUE"""),6.0)</f>
        <v>6</v>
      </c>
      <c r="D4" s="2" t="str">
        <f>IFERROR(__xludf.DUMMYFUNCTION("""COMPUTED_VALUE"""),"from")</f>
        <v>from</v>
      </c>
      <c r="E4" s="2">
        <f>IFERROR(__xludf.DUMMYFUNCTION("""COMPUTED_VALUE"""),7.0)</f>
        <v>7</v>
      </c>
      <c r="F4" s="2" t="str">
        <f>IFERROR(__xludf.DUMMYFUNCTION("""COMPUTED_VALUE"""),"to")</f>
        <v>to</v>
      </c>
      <c r="G4" s="2">
        <f>IFERROR(__xludf.DUMMYFUNCTION("""COMPUTED_VALUE"""),3.0)</f>
        <v>3</v>
      </c>
    </row>
    <row r="5">
      <c r="A5" s="1" t="s">
        <v>6</v>
      </c>
      <c r="B5" s="2" t="str">
        <f>IFERROR(__xludf.DUMMYFUNCTION("SPLIT(A5, "" "")"),"move")</f>
        <v>move</v>
      </c>
      <c r="C5" s="2">
        <f>IFERROR(__xludf.DUMMYFUNCTION("""COMPUTED_VALUE"""),6.0)</f>
        <v>6</v>
      </c>
      <c r="D5" s="2" t="str">
        <f>IFERROR(__xludf.DUMMYFUNCTION("""COMPUTED_VALUE"""),"from")</f>
        <v>from</v>
      </c>
      <c r="E5" s="2">
        <f>IFERROR(__xludf.DUMMYFUNCTION("""COMPUTED_VALUE"""),1.0)</f>
        <v>1</v>
      </c>
      <c r="F5" s="2" t="str">
        <f>IFERROR(__xludf.DUMMYFUNCTION("""COMPUTED_VALUE"""),"to")</f>
        <v>to</v>
      </c>
      <c r="G5" s="2">
        <f>IFERROR(__xludf.DUMMYFUNCTION("""COMPUTED_VALUE"""),3.0)</f>
        <v>3</v>
      </c>
    </row>
    <row r="6">
      <c r="A6" s="1" t="s">
        <v>7</v>
      </c>
      <c r="B6" s="2" t="str">
        <f>IFERROR(__xludf.DUMMYFUNCTION("SPLIT(A6, "" "")"),"move")</f>
        <v>move</v>
      </c>
      <c r="C6" s="2">
        <f>IFERROR(__xludf.DUMMYFUNCTION("""COMPUTED_VALUE"""),1.0)</f>
        <v>1</v>
      </c>
      <c r="D6" s="2" t="str">
        <f>IFERROR(__xludf.DUMMYFUNCTION("""COMPUTED_VALUE"""),"from")</f>
        <v>from</v>
      </c>
      <c r="E6" s="2">
        <f>IFERROR(__xludf.DUMMYFUNCTION("""COMPUTED_VALUE"""),1.0)</f>
        <v>1</v>
      </c>
      <c r="F6" s="2" t="str">
        <f>IFERROR(__xludf.DUMMYFUNCTION("""COMPUTED_VALUE"""),"to")</f>
        <v>to</v>
      </c>
      <c r="G6" s="2">
        <f>IFERROR(__xludf.DUMMYFUNCTION("""COMPUTED_VALUE"""),9.0)</f>
        <v>9</v>
      </c>
    </row>
    <row r="7">
      <c r="A7" s="1" t="s">
        <v>8</v>
      </c>
      <c r="B7" s="2" t="str">
        <f>IFERROR(__xludf.DUMMYFUNCTION("SPLIT(A7, "" "")"),"move")</f>
        <v>move</v>
      </c>
      <c r="C7" s="2">
        <f>IFERROR(__xludf.DUMMYFUNCTION("""COMPUTED_VALUE"""),1.0)</f>
        <v>1</v>
      </c>
      <c r="D7" s="2" t="str">
        <f>IFERROR(__xludf.DUMMYFUNCTION("""COMPUTED_VALUE"""),"from")</f>
        <v>from</v>
      </c>
      <c r="E7" s="2">
        <f>IFERROR(__xludf.DUMMYFUNCTION("""COMPUTED_VALUE"""),1.0)</f>
        <v>1</v>
      </c>
      <c r="F7" s="2" t="str">
        <f>IFERROR(__xludf.DUMMYFUNCTION("""COMPUTED_VALUE"""),"to")</f>
        <v>to</v>
      </c>
      <c r="G7" s="2">
        <f>IFERROR(__xludf.DUMMYFUNCTION("""COMPUTED_VALUE"""),4.0)</f>
        <v>4</v>
      </c>
    </row>
    <row r="8">
      <c r="A8" s="1" t="s">
        <v>9</v>
      </c>
      <c r="B8" s="2" t="str">
        <f>IFERROR(__xludf.DUMMYFUNCTION("SPLIT(A8, "" "")"),"move")</f>
        <v>move</v>
      </c>
      <c r="C8" s="2">
        <f>IFERROR(__xludf.DUMMYFUNCTION("""COMPUTED_VALUE"""),3.0)</f>
        <v>3</v>
      </c>
      <c r="D8" s="2" t="str">
        <f>IFERROR(__xludf.DUMMYFUNCTION("""COMPUTED_VALUE"""),"from")</f>
        <v>from</v>
      </c>
      <c r="E8" s="2">
        <f>IFERROR(__xludf.DUMMYFUNCTION("""COMPUTED_VALUE"""),6.0)</f>
        <v>6</v>
      </c>
      <c r="F8" s="2" t="str">
        <f>IFERROR(__xludf.DUMMYFUNCTION("""COMPUTED_VALUE"""),"to")</f>
        <v>to</v>
      </c>
      <c r="G8" s="2">
        <f>IFERROR(__xludf.DUMMYFUNCTION("""COMPUTED_VALUE"""),9.0)</f>
        <v>9</v>
      </c>
    </row>
    <row r="9">
      <c r="A9" s="1" t="s">
        <v>10</v>
      </c>
      <c r="B9" s="2" t="str">
        <f>IFERROR(__xludf.DUMMYFUNCTION("SPLIT(A9, "" "")"),"move")</f>
        <v>move</v>
      </c>
      <c r="C9" s="2">
        <f>IFERROR(__xludf.DUMMYFUNCTION("""COMPUTED_VALUE"""),2.0)</f>
        <v>2</v>
      </c>
      <c r="D9" s="2" t="str">
        <f>IFERROR(__xludf.DUMMYFUNCTION("""COMPUTED_VALUE"""),"from")</f>
        <v>from</v>
      </c>
      <c r="E9" s="2">
        <f>IFERROR(__xludf.DUMMYFUNCTION("""COMPUTED_VALUE"""),7.0)</f>
        <v>7</v>
      </c>
      <c r="F9" s="2" t="str">
        <f>IFERROR(__xludf.DUMMYFUNCTION("""COMPUTED_VALUE"""),"to")</f>
        <v>to</v>
      </c>
      <c r="G9" s="2">
        <f>IFERROR(__xludf.DUMMYFUNCTION("""COMPUTED_VALUE"""),5.0)</f>
        <v>5</v>
      </c>
    </row>
    <row r="10">
      <c r="A10" s="1" t="s">
        <v>11</v>
      </c>
      <c r="B10" s="2" t="str">
        <f>IFERROR(__xludf.DUMMYFUNCTION("SPLIT(A10, "" "")"),"move")</f>
        <v>move</v>
      </c>
      <c r="C10" s="2">
        <f>IFERROR(__xludf.DUMMYFUNCTION("""COMPUTED_VALUE"""),1.0)</f>
        <v>1</v>
      </c>
      <c r="D10" s="2" t="str">
        <f>IFERROR(__xludf.DUMMYFUNCTION("""COMPUTED_VALUE"""),"from")</f>
        <v>from</v>
      </c>
      <c r="E10" s="2">
        <f>IFERROR(__xludf.DUMMYFUNCTION("""COMPUTED_VALUE"""),5.0)</f>
        <v>5</v>
      </c>
      <c r="F10" s="2" t="str">
        <f>IFERROR(__xludf.DUMMYFUNCTION("""COMPUTED_VALUE"""),"to")</f>
        <v>to</v>
      </c>
      <c r="G10" s="2">
        <f>IFERROR(__xludf.DUMMYFUNCTION("""COMPUTED_VALUE"""),7.0)</f>
        <v>7</v>
      </c>
    </row>
    <row r="11">
      <c r="A11" s="1" t="s">
        <v>12</v>
      </c>
      <c r="B11" s="2" t="str">
        <f>IFERROR(__xludf.DUMMYFUNCTION("SPLIT(A11, "" "")"),"move")</f>
        <v>move</v>
      </c>
      <c r="C11" s="2">
        <f>IFERROR(__xludf.DUMMYFUNCTION("""COMPUTED_VALUE"""),1.0)</f>
        <v>1</v>
      </c>
      <c r="D11" s="2" t="str">
        <f>IFERROR(__xludf.DUMMYFUNCTION("""COMPUTED_VALUE"""),"from")</f>
        <v>from</v>
      </c>
      <c r="E11" s="2">
        <f>IFERROR(__xludf.DUMMYFUNCTION("""COMPUTED_VALUE"""),7.0)</f>
        <v>7</v>
      </c>
      <c r="F11" s="2" t="str">
        <f>IFERROR(__xludf.DUMMYFUNCTION("""COMPUTED_VALUE"""),"to")</f>
        <v>to</v>
      </c>
      <c r="G11" s="2">
        <f>IFERROR(__xludf.DUMMYFUNCTION("""COMPUTED_VALUE"""),2.0)</f>
        <v>2</v>
      </c>
    </row>
    <row r="12">
      <c r="A12" s="1" t="s">
        <v>13</v>
      </c>
      <c r="B12" s="2" t="str">
        <f>IFERROR(__xludf.DUMMYFUNCTION("SPLIT(A12, "" "")"),"move")</f>
        <v>move</v>
      </c>
      <c r="C12" s="2">
        <f>IFERROR(__xludf.DUMMYFUNCTION("""COMPUTED_VALUE"""),2.0)</f>
        <v>2</v>
      </c>
      <c r="D12" s="2" t="str">
        <f>IFERROR(__xludf.DUMMYFUNCTION("""COMPUTED_VALUE"""),"from")</f>
        <v>from</v>
      </c>
      <c r="E12" s="2">
        <f>IFERROR(__xludf.DUMMYFUNCTION("""COMPUTED_VALUE"""),2.0)</f>
        <v>2</v>
      </c>
      <c r="F12" s="2" t="str">
        <f>IFERROR(__xludf.DUMMYFUNCTION("""COMPUTED_VALUE"""),"to")</f>
        <v>to</v>
      </c>
      <c r="G12" s="2">
        <f>IFERROR(__xludf.DUMMYFUNCTION("""COMPUTED_VALUE"""),5.0)</f>
        <v>5</v>
      </c>
    </row>
    <row r="13">
      <c r="A13" s="1" t="s">
        <v>14</v>
      </c>
      <c r="B13" s="2" t="str">
        <f>IFERROR(__xludf.DUMMYFUNCTION("SPLIT(A13, "" "")"),"move")</f>
        <v>move</v>
      </c>
      <c r="C13" s="2">
        <f>IFERROR(__xludf.DUMMYFUNCTION("""COMPUTED_VALUE"""),2.0)</f>
        <v>2</v>
      </c>
      <c r="D13" s="2" t="str">
        <f>IFERROR(__xludf.DUMMYFUNCTION("""COMPUTED_VALUE"""),"from")</f>
        <v>from</v>
      </c>
      <c r="E13" s="2">
        <f>IFERROR(__xludf.DUMMYFUNCTION("""COMPUTED_VALUE"""),6.0)</f>
        <v>6</v>
      </c>
      <c r="F13" s="2" t="str">
        <f>IFERROR(__xludf.DUMMYFUNCTION("""COMPUTED_VALUE"""),"to")</f>
        <v>to</v>
      </c>
      <c r="G13" s="2">
        <f>IFERROR(__xludf.DUMMYFUNCTION("""COMPUTED_VALUE"""),3.0)</f>
        <v>3</v>
      </c>
    </row>
    <row r="14">
      <c r="A14" s="1" t="s">
        <v>15</v>
      </c>
      <c r="B14" s="2" t="str">
        <f>IFERROR(__xludf.DUMMYFUNCTION("SPLIT(A14, "" "")"),"move")</f>
        <v>move</v>
      </c>
      <c r="C14" s="2">
        <f>IFERROR(__xludf.DUMMYFUNCTION("""COMPUTED_VALUE"""),6.0)</f>
        <v>6</v>
      </c>
      <c r="D14" s="2" t="str">
        <f>IFERROR(__xludf.DUMMYFUNCTION("""COMPUTED_VALUE"""),"from")</f>
        <v>from</v>
      </c>
      <c r="E14" s="2">
        <f>IFERROR(__xludf.DUMMYFUNCTION("""COMPUTED_VALUE"""),8.0)</f>
        <v>8</v>
      </c>
      <c r="F14" s="2" t="str">
        <f>IFERROR(__xludf.DUMMYFUNCTION("""COMPUTED_VALUE"""),"to")</f>
        <v>to</v>
      </c>
      <c r="G14" s="2">
        <f>IFERROR(__xludf.DUMMYFUNCTION("""COMPUTED_VALUE"""),9.0)</f>
        <v>9</v>
      </c>
    </row>
    <row r="15">
      <c r="A15" s="1" t="s">
        <v>16</v>
      </c>
      <c r="B15" s="2" t="str">
        <f>IFERROR(__xludf.DUMMYFUNCTION("SPLIT(A15, "" "")"),"move")</f>
        <v>move</v>
      </c>
      <c r="C15" s="2">
        <f>IFERROR(__xludf.DUMMYFUNCTION("""COMPUTED_VALUE"""),7.0)</f>
        <v>7</v>
      </c>
      <c r="D15" s="2" t="str">
        <f>IFERROR(__xludf.DUMMYFUNCTION("""COMPUTED_VALUE"""),"from")</f>
        <v>from</v>
      </c>
      <c r="E15" s="2">
        <f>IFERROR(__xludf.DUMMYFUNCTION("""COMPUTED_VALUE"""),3.0)</f>
        <v>3</v>
      </c>
      <c r="F15" s="2" t="str">
        <f>IFERROR(__xludf.DUMMYFUNCTION("""COMPUTED_VALUE"""),"to")</f>
        <v>to</v>
      </c>
      <c r="G15" s="2">
        <f>IFERROR(__xludf.DUMMYFUNCTION("""COMPUTED_VALUE"""),9.0)</f>
        <v>9</v>
      </c>
    </row>
    <row r="16">
      <c r="A16" s="1" t="s">
        <v>17</v>
      </c>
      <c r="B16" s="2" t="str">
        <f>IFERROR(__xludf.DUMMYFUNCTION("SPLIT(A16, "" "")"),"move")</f>
        <v>move</v>
      </c>
      <c r="C16" s="2">
        <f>IFERROR(__xludf.DUMMYFUNCTION("""COMPUTED_VALUE"""),1.0)</f>
        <v>1</v>
      </c>
      <c r="D16" s="2" t="str">
        <f>IFERROR(__xludf.DUMMYFUNCTION("""COMPUTED_VALUE"""),"from")</f>
        <v>from</v>
      </c>
      <c r="E16" s="2">
        <f>IFERROR(__xludf.DUMMYFUNCTION("""COMPUTED_VALUE"""),8.0)</f>
        <v>8</v>
      </c>
      <c r="F16" s="2" t="str">
        <f>IFERROR(__xludf.DUMMYFUNCTION("""COMPUTED_VALUE"""),"to")</f>
        <v>to</v>
      </c>
      <c r="G16" s="2">
        <f>IFERROR(__xludf.DUMMYFUNCTION("""COMPUTED_VALUE"""),7.0)</f>
        <v>7</v>
      </c>
    </row>
    <row r="17">
      <c r="A17" s="1" t="s">
        <v>18</v>
      </c>
      <c r="B17" s="2" t="str">
        <f>IFERROR(__xludf.DUMMYFUNCTION("SPLIT(A17, "" "")"),"move")</f>
        <v>move</v>
      </c>
      <c r="C17" s="2">
        <f>IFERROR(__xludf.DUMMYFUNCTION("""COMPUTED_VALUE"""),8.0)</f>
        <v>8</v>
      </c>
      <c r="D17" s="2" t="str">
        <f>IFERROR(__xludf.DUMMYFUNCTION("""COMPUTED_VALUE"""),"from")</f>
        <v>from</v>
      </c>
      <c r="E17" s="2">
        <f>IFERROR(__xludf.DUMMYFUNCTION("""COMPUTED_VALUE"""),9.0)</f>
        <v>9</v>
      </c>
      <c r="F17" s="2" t="str">
        <f>IFERROR(__xludf.DUMMYFUNCTION("""COMPUTED_VALUE"""),"to")</f>
        <v>to</v>
      </c>
      <c r="G17" s="2">
        <f>IFERROR(__xludf.DUMMYFUNCTION("""COMPUTED_VALUE"""),7.0)</f>
        <v>7</v>
      </c>
    </row>
    <row r="18">
      <c r="A18" s="1" t="s">
        <v>19</v>
      </c>
      <c r="B18" s="2" t="str">
        <f>IFERROR(__xludf.DUMMYFUNCTION("SPLIT(A18, "" "")"),"move")</f>
        <v>move</v>
      </c>
      <c r="C18" s="2">
        <f>IFERROR(__xludf.DUMMYFUNCTION("""COMPUTED_VALUE"""),5.0)</f>
        <v>5</v>
      </c>
      <c r="D18" s="2" t="str">
        <f>IFERROR(__xludf.DUMMYFUNCTION("""COMPUTED_VALUE"""),"from")</f>
        <v>from</v>
      </c>
      <c r="E18" s="2">
        <f>IFERROR(__xludf.DUMMYFUNCTION("""COMPUTED_VALUE"""),4.0)</f>
        <v>4</v>
      </c>
      <c r="F18" s="2" t="str">
        <f>IFERROR(__xludf.DUMMYFUNCTION("""COMPUTED_VALUE"""),"to")</f>
        <v>to</v>
      </c>
      <c r="G18" s="2">
        <f>IFERROR(__xludf.DUMMYFUNCTION("""COMPUTED_VALUE"""),8.0)</f>
        <v>8</v>
      </c>
    </row>
    <row r="19">
      <c r="A19" s="1" t="s">
        <v>20</v>
      </c>
      <c r="B19" s="2" t="str">
        <f>IFERROR(__xludf.DUMMYFUNCTION("SPLIT(A19, "" "")"),"move")</f>
        <v>move</v>
      </c>
      <c r="C19" s="2">
        <f>IFERROR(__xludf.DUMMYFUNCTION("""COMPUTED_VALUE"""),1.0)</f>
        <v>1</v>
      </c>
      <c r="D19" s="2" t="str">
        <f>IFERROR(__xludf.DUMMYFUNCTION("""COMPUTED_VALUE"""),"from")</f>
        <v>from</v>
      </c>
      <c r="E19" s="2">
        <f>IFERROR(__xludf.DUMMYFUNCTION("""COMPUTED_VALUE"""),6.0)</f>
        <v>6</v>
      </c>
      <c r="F19" s="2" t="str">
        <f>IFERROR(__xludf.DUMMYFUNCTION("""COMPUTED_VALUE"""),"to")</f>
        <v>to</v>
      </c>
      <c r="G19" s="2">
        <f>IFERROR(__xludf.DUMMYFUNCTION("""COMPUTED_VALUE"""),2.0)</f>
        <v>2</v>
      </c>
    </row>
    <row r="20">
      <c r="A20" s="1" t="s">
        <v>21</v>
      </c>
      <c r="B20" s="2" t="str">
        <f>IFERROR(__xludf.DUMMYFUNCTION("SPLIT(A20, "" "")"),"move")</f>
        <v>move</v>
      </c>
      <c r="C20" s="2">
        <f>IFERROR(__xludf.DUMMYFUNCTION("""COMPUTED_VALUE"""),2.0)</f>
        <v>2</v>
      </c>
      <c r="D20" s="2" t="str">
        <f>IFERROR(__xludf.DUMMYFUNCTION("""COMPUTED_VALUE"""),"from")</f>
        <v>from</v>
      </c>
      <c r="E20" s="2">
        <f>IFERROR(__xludf.DUMMYFUNCTION("""COMPUTED_VALUE"""),8.0)</f>
        <v>8</v>
      </c>
      <c r="F20" s="2" t="str">
        <f>IFERROR(__xludf.DUMMYFUNCTION("""COMPUTED_VALUE"""),"to")</f>
        <v>to</v>
      </c>
      <c r="G20" s="2">
        <f>IFERROR(__xludf.DUMMYFUNCTION("""COMPUTED_VALUE"""),4.0)</f>
        <v>4</v>
      </c>
    </row>
    <row r="21">
      <c r="A21" s="1" t="s">
        <v>22</v>
      </c>
      <c r="B21" s="2" t="str">
        <f>IFERROR(__xludf.DUMMYFUNCTION("SPLIT(A21, "" "")"),"move")</f>
        <v>move</v>
      </c>
      <c r="C21" s="2">
        <f>IFERROR(__xludf.DUMMYFUNCTION("""COMPUTED_VALUE"""),9.0)</f>
        <v>9</v>
      </c>
      <c r="D21" s="2" t="str">
        <f>IFERROR(__xludf.DUMMYFUNCTION("""COMPUTED_VALUE"""),"from")</f>
        <v>from</v>
      </c>
      <c r="E21" s="2">
        <f>IFERROR(__xludf.DUMMYFUNCTION("""COMPUTED_VALUE"""),9.0)</f>
        <v>9</v>
      </c>
      <c r="F21" s="2" t="str">
        <f>IFERROR(__xludf.DUMMYFUNCTION("""COMPUTED_VALUE"""),"to")</f>
        <v>to</v>
      </c>
      <c r="G21" s="2">
        <f>IFERROR(__xludf.DUMMYFUNCTION("""COMPUTED_VALUE"""),1.0)</f>
        <v>1</v>
      </c>
    </row>
    <row r="22">
      <c r="A22" s="1" t="s">
        <v>23</v>
      </c>
      <c r="B22" s="2" t="str">
        <f>IFERROR(__xludf.DUMMYFUNCTION("SPLIT(A22, "" "")"),"move")</f>
        <v>move</v>
      </c>
      <c r="C22" s="2">
        <f>IFERROR(__xludf.DUMMYFUNCTION("""COMPUTED_VALUE"""),2.0)</f>
        <v>2</v>
      </c>
      <c r="D22" s="2" t="str">
        <f>IFERROR(__xludf.DUMMYFUNCTION("""COMPUTED_VALUE"""),"from")</f>
        <v>from</v>
      </c>
      <c r="E22" s="2">
        <f>IFERROR(__xludf.DUMMYFUNCTION("""COMPUTED_VALUE"""),8.0)</f>
        <v>8</v>
      </c>
      <c r="F22" s="2" t="str">
        <f>IFERROR(__xludf.DUMMYFUNCTION("""COMPUTED_VALUE"""),"to")</f>
        <v>to</v>
      </c>
      <c r="G22" s="2">
        <f>IFERROR(__xludf.DUMMYFUNCTION("""COMPUTED_VALUE"""),5.0)</f>
        <v>5</v>
      </c>
    </row>
    <row r="23">
      <c r="A23" s="1" t="s">
        <v>24</v>
      </c>
      <c r="B23" s="2" t="str">
        <f>IFERROR(__xludf.DUMMYFUNCTION("SPLIT(A23, "" "")"),"move")</f>
        <v>move</v>
      </c>
      <c r="C23" s="2">
        <f>IFERROR(__xludf.DUMMYFUNCTION("""COMPUTED_VALUE"""),1.0)</f>
        <v>1</v>
      </c>
      <c r="D23" s="2" t="str">
        <f>IFERROR(__xludf.DUMMYFUNCTION("""COMPUTED_VALUE"""),"from")</f>
        <v>from</v>
      </c>
      <c r="E23" s="2">
        <f>IFERROR(__xludf.DUMMYFUNCTION("""COMPUTED_VALUE"""),8.0)</f>
        <v>8</v>
      </c>
      <c r="F23" s="2" t="str">
        <f>IFERROR(__xludf.DUMMYFUNCTION("""COMPUTED_VALUE"""),"to")</f>
        <v>to</v>
      </c>
      <c r="G23" s="2">
        <f>IFERROR(__xludf.DUMMYFUNCTION("""COMPUTED_VALUE"""),5.0)</f>
        <v>5</v>
      </c>
    </row>
    <row r="24">
      <c r="A24" s="1" t="s">
        <v>25</v>
      </c>
      <c r="B24" s="2" t="str">
        <f>IFERROR(__xludf.DUMMYFUNCTION("SPLIT(A24, "" "")"),"move")</f>
        <v>move</v>
      </c>
      <c r="C24" s="2">
        <f>IFERROR(__xludf.DUMMYFUNCTION("""COMPUTED_VALUE"""),5.0)</f>
        <v>5</v>
      </c>
      <c r="D24" s="2" t="str">
        <f>IFERROR(__xludf.DUMMYFUNCTION("""COMPUTED_VALUE"""),"from")</f>
        <v>from</v>
      </c>
      <c r="E24" s="2">
        <f>IFERROR(__xludf.DUMMYFUNCTION("""COMPUTED_VALUE"""),9.0)</f>
        <v>9</v>
      </c>
      <c r="F24" s="2" t="str">
        <f>IFERROR(__xludf.DUMMYFUNCTION("""COMPUTED_VALUE"""),"to")</f>
        <v>to</v>
      </c>
      <c r="G24" s="2">
        <f>IFERROR(__xludf.DUMMYFUNCTION("""COMPUTED_VALUE"""),2.0)</f>
        <v>2</v>
      </c>
    </row>
    <row r="25">
      <c r="A25" s="1" t="s">
        <v>26</v>
      </c>
      <c r="B25" s="2" t="str">
        <f>IFERROR(__xludf.DUMMYFUNCTION("SPLIT(A25, "" "")"),"move")</f>
        <v>move</v>
      </c>
      <c r="C25" s="2">
        <f>IFERROR(__xludf.DUMMYFUNCTION("""COMPUTED_VALUE"""),1.0)</f>
        <v>1</v>
      </c>
      <c r="D25" s="2" t="str">
        <f>IFERROR(__xludf.DUMMYFUNCTION("""COMPUTED_VALUE"""),"from")</f>
        <v>from</v>
      </c>
      <c r="E25" s="2">
        <f>IFERROR(__xludf.DUMMYFUNCTION("""COMPUTED_VALUE"""),6.0)</f>
        <v>6</v>
      </c>
      <c r="F25" s="2" t="str">
        <f>IFERROR(__xludf.DUMMYFUNCTION("""COMPUTED_VALUE"""),"to")</f>
        <v>to</v>
      </c>
      <c r="G25" s="2">
        <f>IFERROR(__xludf.DUMMYFUNCTION("""COMPUTED_VALUE"""),8.0)</f>
        <v>8</v>
      </c>
    </row>
    <row r="26">
      <c r="A26" s="1" t="s">
        <v>27</v>
      </c>
      <c r="B26" s="2" t="str">
        <f>IFERROR(__xludf.DUMMYFUNCTION("SPLIT(A26, "" "")"),"move")</f>
        <v>move</v>
      </c>
      <c r="C26" s="2">
        <f>IFERROR(__xludf.DUMMYFUNCTION("""COMPUTED_VALUE"""),5.0)</f>
        <v>5</v>
      </c>
      <c r="D26" s="2" t="str">
        <f>IFERROR(__xludf.DUMMYFUNCTION("""COMPUTED_VALUE"""),"from")</f>
        <v>from</v>
      </c>
      <c r="E26" s="2">
        <f>IFERROR(__xludf.DUMMYFUNCTION("""COMPUTED_VALUE"""),1.0)</f>
        <v>1</v>
      </c>
      <c r="F26" s="2" t="str">
        <f>IFERROR(__xludf.DUMMYFUNCTION("""COMPUTED_VALUE"""),"to")</f>
        <v>to</v>
      </c>
      <c r="G26" s="2">
        <f>IFERROR(__xludf.DUMMYFUNCTION("""COMPUTED_VALUE"""),7.0)</f>
        <v>7</v>
      </c>
    </row>
    <row r="27">
      <c r="A27" s="1" t="s">
        <v>28</v>
      </c>
      <c r="B27" s="2" t="str">
        <f>IFERROR(__xludf.DUMMYFUNCTION("SPLIT(A27, "" "")"),"move")</f>
        <v>move</v>
      </c>
      <c r="C27" s="2">
        <f>IFERROR(__xludf.DUMMYFUNCTION("""COMPUTED_VALUE"""),1.0)</f>
        <v>1</v>
      </c>
      <c r="D27" s="2" t="str">
        <f>IFERROR(__xludf.DUMMYFUNCTION("""COMPUTED_VALUE"""),"from")</f>
        <v>from</v>
      </c>
      <c r="E27" s="2">
        <f>IFERROR(__xludf.DUMMYFUNCTION("""COMPUTED_VALUE"""),8.0)</f>
        <v>8</v>
      </c>
      <c r="F27" s="2" t="str">
        <f>IFERROR(__xludf.DUMMYFUNCTION("""COMPUTED_VALUE"""),"to")</f>
        <v>to</v>
      </c>
      <c r="G27" s="2">
        <f>IFERROR(__xludf.DUMMYFUNCTION("""COMPUTED_VALUE"""),2.0)</f>
        <v>2</v>
      </c>
    </row>
    <row r="28">
      <c r="A28" s="1" t="s">
        <v>29</v>
      </c>
      <c r="B28" s="2" t="str">
        <f>IFERROR(__xludf.DUMMYFUNCTION("SPLIT(A28, "" "")"),"move")</f>
        <v>move</v>
      </c>
      <c r="C28" s="2">
        <f>IFERROR(__xludf.DUMMYFUNCTION("""COMPUTED_VALUE"""),2.0)</f>
        <v>2</v>
      </c>
      <c r="D28" s="2" t="str">
        <f>IFERROR(__xludf.DUMMYFUNCTION("""COMPUTED_VALUE"""),"from")</f>
        <v>from</v>
      </c>
      <c r="E28" s="2">
        <f>IFERROR(__xludf.DUMMYFUNCTION("""COMPUTED_VALUE"""),1.0)</f>
        <v>1</v>
      </c>
      <c r="F28" s="2" t="str">
        <f>IFERROR(__xludf.DUMMYFUNCTION("""COMPUTED_VALUE"""),"to")</f>
        <v>to</v>
      </c>
      <c r="G28" s="2">
        <f>IFERROR(__xludf.DUMMYFUNCTION("""COMPUTED_VALUE"""),7.0)</f>
        <v>7</v>
      </c>
    </row>
    <row r="29">
      <c r="A29" s="1" t="s">
        <v>30</v>
      </c>
      <c r="B29" s="2" t="str">
        <f>IFERROR(__xludf.DUMMYFUNCTION("SPLIT(A29, "" "")"),"move")</f>
        <v>move</v>
      </c>
      <c r="C29" s="2">
        <f>IFERROR(__xludf.DUMMYFUNCTION("""COMPUTED_VALUE"""),1.0)</f>
        <v>1</v>
      </c>
      <c r="D29" s="2" t="str">
        <f>IFERROR(__xludf.DUMMYFUNCTION("""COMPUTED_VALUE"""),"from")</f>
        <v>from</v>
      </c>
      <c r="E29" s="2">
        <f>IFERROR(__xludf.DUMMYFUNCTION("""COMPUTED_VALUE"""),2.0)</f>
        <v>2</v>
      </c>
      <c r="F29" s="2" t="str">
        <f>IFERROR(__xludf.DUMMYFUNCTION("""COMPUTED_VALUE"""),"to")</f>
        <v>to</v>
      </c>
      <c r="G29" s="2">
        <f>IFERROR(__xludf.DUMMYFUNCTION("""COMPUTED_VALUE"""),6.0)</f>
        <v>6</v>
      </c>
    </row>
    <row r="30">
      <c r="A30" s="1" t="s">
        <v>31</v>
      </c>
      <c r="B30" s="2" t="str">
        <f>IFERROR(__xludf.DUMMYFUNCTION("SPLIT(A30, "" "")"),"move")</f>
        <v>move</v>
      </c>
      <c r="C30" s="2">
        <f>IFERROR(__xludf.DUMMYFUNCTION("""COMPUTED_VALUE"""),4.0)</f>
        <v>4</v>
      </c>
      <c r="D30" s="2" t="str">
        <f>IFERROR(__xludf.DUMMYFUNCTION("""COMPUTED_VALUE"""),"from")</f>
        <v>from</v>
      </c>
      <c r="E30" s="2">
        <f>IFERROR(__xludf.DUMMYFUNCTION("""COMPUTED_VALUE"""),5.0)</f>
        <v>5</v>
      </c>
      <c r="F30" s="2" t="str">
        <f>IFERROR(__xludf.DUMMYFUNCTION("""COMPUTED_VALUE"""),"to")</f>
        <v>to</v>
      </c>
      <c r="G30" s="2">
        <f>IFERROR(__xludf.DUMMYFUNCTION("""COMPUTED_VALUE"""),4.0)</f>
        <v>4</v>
      </c>
    </row>
    <row r="31">
      <c r="A31" s="1" t="s">
        <v>32</v>
      </c>
      <c r="B31" s="2" t="str">
        <f>IFERROR(__xludf.DUMMYFUNCTION("SPLIT(A31, "" "")"),"move")</f>
        <v>move</v>
      </c>
      <c r="C31" s="2">
        <f>IFERROR(__xludf.DUMMYFUNCTION("""COMPUTED_VALUE"""),2.0)</f>
        <v>2</v>
      </c>
      <c r="D31" s="2" t="str">
        <f>IFERROR(__xludf.DUMMYFUNCTION("""COMPUTED_VALUE"""),"from")</f>
        <v>from</v>
      </c>
      <c r="E31" s="2">
        <f>IFERROR(__xludf.DUMMYFUNCTION("""COMPUTED_VALUE"""),1.0)</f>
        <v>1</v>
      </c>
      <c r="F31" s="2" t="str">
        <f>IFERROR(__xludf.DUMMYFUNCTION("""COMPUTED_VALUE"""),"to")</f>
        <v>to</v>
      </c>
      <c r="G31" s="2">
        <f>IFERROR(__xludf.DUMMYFUNCTION("""COMPUTED_VALUE"""),4.0)</f>
        <v>4</v>
      </c>
    </row>
    <row r="32">
      <c r="A32" s="1" t="s">
        <v>33</v>
      </c>
      <c r="B32" s="2" t="str">
        <f>IFERROR(__xludf.DUMMYFUNCTION("SPLIT(A32, "" "")"),"move")</f>
        <v>move</v>
      </c>
      <c r="C32" s="2">
        <f>IFERROR(__xludf.DUMMYFUNCTION("""COMPUTED_VALUE"""),13.0)</f>
        <v>13</v>
      </c>
      <c r="D32" s="2" t="str">
        <f>IFERROR(__xludf.DUMMYFUNCTION("""COMPUTED_VALUE"""),"from")</f>
        <v>from</v>
      </c>
      <c r="E32" s="2">
        <f>IFERROR(__xludf.DUMMYFUNCTION("""COMPUTED_VALUE"""),7.0)</f>
        <v>7</v>
      </c>
      <c r="F32" s="2" t="str">
        <f>IFERROR(__xludf.DUMMYFUNCTION("""COMPUTED_VALUE"""),"to")</f>
        <v>to</v>
      </c>
      <c r="G32" s="2">
        <f>IFERROR(__xludf.DUMMYFUNCTION("""COMPUTED_VALUE"""),8.0)</f>
        <v>8</v>
      </c>
    </row>
    <row r="33">
      <c r="A33" s="1" t="s">
        <v>34</v>
      </c>
      <c r="B33" s="2" t="str">
        <f>IFERROR(__xludf.DUMMYFUNCTION("SPLIT(A33, "" "")"),"move")</f>
        <v>move</v>
      </c>
      <c r="C33" s="2">
        <f>IFERROR(__xludf.DUMMYFUNCTION("""COMPUTED_VALUE"""),3.0)</f>
        <v>3</v>
      </c>
      <c r="D33" s="2" t="str">
        <f>IFERROR(__xludf.DUMMYFUNCTION("""COMPUTED_VALUE"""),"from")</f>
        <v>from</v>
      </c>
      <c r="E33" s="2">
        <f>IFERROR(__xludf.DUMMYFUNCTION("""COMPUTED_VALUE"""),8.0)</f>
        <v>8</v>
      </c>
      <c r="F33" s="2" t="str">
        <f>IFERROR(__xludf.DUMMYFUNCTION("""COMPUTED_VALUE"""),"to")</f>
        <v>to</v>
      </c>
      <c r="G33" s="2">
        <f>IFERROR(__xludf.DUMMYFUNCTION("""COMPUTED_VALUE"""),6.0)</f>
        <v>6</v>
      </c>
    </row>
    <row r="34">
      <c r="A34" s="1" t="s">
        <v>35</v>
      </c>
      <c r="B34" s="2" t="str">
        <f>IFERROR(__xludf.DUMMYFUNCTION("SPLIT(A34, "" "")"),"move")</f>
        <v>move</v>
      </c>
      <c r="C34" s="2">
        <f>IFERROR(__xludf.DUMMYFUNCTION("""COMPUTED_VALUE"""),2.0)</f>
        <v>2</v>
      </c>
      <c r="D34" s="2" t="str">
        <f>IFERROR(__xludf.DUMMYFUNCTION("""COMPUTED_VALUE"""),"from")</f>
        <v>from</v>
      </c>
      <c r="E34" s="2">
        <f>IFERROR(__xludf.DUMMYFUNCTION("""COMPUTED_VALUE"""),6.0)</f>
        <v>6</v>
      </c>
      <c r="F34" s="2" t="str">
        <f>IFERROR(__xludf.DUMMYFUNCTION("""COMPUTED_VALUE"""),"to")</f>
        <v>to</v>
      </c>
      <c r="G34" s="2">
        <f>IFERROR(__xludf.DUMMYFUNCTION("""COMPUTED_VALUE"""),8.0)</f>
        <v>8</v>
      </c>
    </row>
    <row r="35">
      <c r="A35" s="1" t="s">
        <v>36</v>
      </c>
      <c r="B35" s="2" t="str">
        <f>IFERROR(__xludf.DUMMYFUNCTION("SPLIT(A35, "" "")"),"move")</f>
        <v>move</v>
      </c>
      <c r="C35" s="2">
        <f>IFERROR(__xludf.DUMMYFUNCTION("""COMPUTED_VALUE"""),10.0)</f>
        <v>10</v>
      </c>
      <c r="D35" s="2" t="str">
        <f>IFERROR(__xludf.DUMMYFUNCTION("""COMPUTED_VALUE"""),"from")</f>
        <v>from</v>
      </c>
      <c r="E35" s="2">
        <f>IFERROR(__xludf.DUMMYFUNCTION("""COMPUTED_VALUE"""),3.0)</f>
        <v>3</v>
      </c>
      <c r="F35" s="2" t="str">
        <f>IFERROR(__xludf.DUMMYFUNCTION("""COMPUTED_VALUE"""),"to")</f>
        <v>to</v>
      </c>
      <c r="G35" s="2">
        <f>IFERROR(__xludf.DUMMYFUNCTION("""COMPUTED_VALUE"""),5.0)</f>
        <v>5</v>
      </c>
    </row>
    <row r="36">
      <c r="A36" s="1" t="s">
        <v>37</v>
      </c>
      <c r="B36" s="2" t="str">
        <f>IFERROR(__xludf.DUMMYFUNCTION("SPLIT(A36, "" "")"),"move")</f>
        <v>move</v>
      </c>
      <c r="C36" s="2">
        <f>IFERROR(__xludf.DUMMYFUNCTION("""COMPUTED_VALUE"""),2.0)</f>
        <v>2</v>
      </c>
      <c r="D36" s="2" t="str">
        <f>IFERROR(__xludf.DUMMYFUNCTION("""COMPUTED_VALUE"""),"from")</f>
        <v>from</v>
      </c>
      <c r="E36" s="2">
        <f>IFERROR(__xludf.DUMMYFUNCTION("""COMPUTED_VALUE"""),7.0)</f>
        <v>7</v>
      </c>
      <c r="F36" s="2" t="str">
        <f>IFERROR(__xludf.DUMMYFUNCTION("""COMPUTED_VALUE"""),"to")</f>
        <v>to</v>
      </c>
      <c r="G36" s="2">
        <f>IFERROR(__xludf.DUMMYFUNCTION("""COMPUTED_VALUE"""),6.0)</f>
        <v>6</v>
      </c>
    </row>
    <row r="37">
      <c r="A37" s="1" t="s">
        <v>38</v>
      </c>
      <c r="B37" s="2" t="str">
        <f>IFERROR(__xludf.DUMMYFUNCTION("SPLIT(A37, "" "")"),"move")</f>
        <v>move</v>
      </c>
      <c r="C37" s="2">
        <f>IFERROR(__xludf.DUMMYFUNCTION("""COMPUTED_VALUE"""),3.0)</f>
        <v>3</v>
      </c>
      <c r="D37" s="2" t="str">
        <f>IFERROR(__xludf.DUMMYFUNCTION("""COMPUTED_VALUE"""),"from")</f>
        <v>from</v>
      </c>
      <c r="E37" s="2">
        <f>IFERROR(__xludf.DUMMYFUNCTION("""COMPUTED_VALUE"""),5.0)</f>
        <v>5</v>
      </c>
      <c r="F37" s="2" t="str">
        <f>IFERROR(__xludf.DUMMYFUNCTION("""COMPUTED_VALUE"""),"to")</f>
        <v>to</v>
      </c>
      <c r="G37" s="2">
        <f>IFERROR(__xludf.DUMMYFUNCTION("""COMPUTED_VALUE"""),6.0)</f>
        <v>6</v>
      </c>
    </row>
    <row r="38">
      <c r="A38" s="1" t="s">
        <v>39</v>
      </c>
      <c r="B38" s="2" t="str">
        <f>IFERROR(__xludf.DUMMYFUNCTION("SPLIT(A38, "" "")"),"move")</f>
        <v>move</v>
      </c>
      <c r="C38" s="2">
        <f>IFERROR(__xludf.DUMMYFUNCTION("""COMPUTED_VALUE"""),10.0)</f>
        <v>10</v>
      </c>
      <c r="D38" s="2" t="str">
        <f>IFERROR(__xludf.DUMMYFUNCTION("""COMPUTED_VALUE"""),"from")</f>
        <v>from</v>
      </c>
      <c r="E38" s="2">
        <f>IFERROR(__xludf.DUMMYFUNCTION("""COMPUTED_VALUE"""),8.0)</f>
        <v>8</v>
      </c>
      <c r="F38" s="2" t="str">
        <f>IFERROR(__xludf.DUMMYFUNCTION("""COMPUTED_VALUE"""),"to")</f>
        <v>to</v>
      </c>
      <c r="G38" s="2">
        <f>IFERROR(__xludf.DUMMYFUNCTION("""COMPUTED_VALUE"""),1.0)</f>
        <v>1</v>
      </c>
    </row>
    <row r="39">
      <c r="A39" s="1" t="s">
        <v>40</v>
      </c>
      <c r="B39" s="2" t="str">
        <f>IFERROR(__xludf.DUMMYFUNCTION("SPLIT(A39, "" "")"),"move")</f>
        <v>move</v>
      </c>
      <c r="C39" s="2">
        <f>IFERROR(__xludf.DUMMYFUNCTION("""COMPUTED_VALUE"""),1.0)</f>
        <v>1</v>
      </c>
      <c r="D39" s="2" t="str">
        <f>IFERROR(__xludf.DUMMYFUNCTION("""COMPUTED_VALUE"""),"from")</f>
        <v>from</v>
      </c>
      <c r="E39" s="2">
        <f>IFERROR(__xludf.DUMMYFUNCTION("""COMPUTED_VALUE"""),8.0)</f>
        <v>8</v>
      </c>
      <c r="F39" s="2" t="str">
        <f>IFERROR(__xludf.DUMMYFUNCTION("""COMPUTED_VALUE"""),"to")</f>
        <v>to</v>
      </c>
      <c r="G39" s="2">
        <f>IFERROR(__xludf.DUMMYFUNCTION("""COMPUTED_VALUE"""),6.0)</f>
        <v>6</v>
      </c>
    </row>
    <row r="40">
      <c r="A40" s="1" t="s">
        <v>41</v>
      </c>
      <c r="B40" s="2" t="str">
        <f>IFERROR(__xludf.DUMMYFUNCTION("SPLIT(A40, "" "")"),"move")</f>
        <v>move</v>
      </c>
      <c r="C40" s="2">
        <f>IFERROR(__xludf.DUMMYFUNCTION("""COMPUTED_VALUE"""),6.0)</f>
        <v>6</v>
      </c>
      <c r="D40" s="2" t="str">
        <f>IFERROR(__xludf.DUMMYFUNCTION("""COMPUTED_VALUE"""),"from")</f>
        <v>from</v>
      </c>
      <c r="E40" s="2">
        <f>IFERROR(__xludf.DUMMYFUNCTION("""COMPUTED_VALUE"""),2.0)</f>
        <v>2</v>
      </c>
      <c r="F40" s="2" t="str">
        <f>IFERROR(__xludf.DUMMYFUNCTION("""COMPUTED_VALUE"""),"to")</f>
        <v>to</v>
      </c>
      <c r="G40" s="2">
        <f>IFERROR(__xludf.DUMMYFUNCTION("""COMPUTED_VALUE"""),4.0)</f>
        <v>4</v>
      </c>
    </row>
    <row r="41">
      <c r="A41" s="1" t="s">
        <v>42</v>
      </c>
      <c r="B41" s="2" t="str">
        <f>IFERROR(__xludf.DUMMYFUNCTION("SPLIT(A41, "" "")"),"move")</f>
        <v>move</v>
      </c>
      <c r="C41" s="2">
        <f>IFERROR(__xludf.DUMMYFUNCTION("""COMPUTED_VALUE"""),1.0)</f>
        <v>1</v>
      </c>
      <c r="D41" s="2" t="str">
        <f>IFERROR(__xludf.DUMMYFUNCTION("""COMPUTED_VALUE"""),"from")</f>
        <v>from</v>
      </c>
      <c r="E41" s="2">
        <f>IFERROR(__xludf.DUMMYFUNCTION("""COMPUTED_VALUE"""),5.0)</f>
        <v>5</v>
      </c>
      <c r="F41" s="2" t="str">
        <f>IFERROR(__xludf.DUMMYFUNCTION("""COMPUTED_VALUE"""),"to")</f>
        <v>to</v>
      </c>
      <c r="G41" s="2">
        <f>IFERROR(__xludf.DUMMYFUNCTION("""COMPUTED_VALUE"""),8.0)</f>
        <v>8</v>
      </c>
    </row>
    <row r="42">
      <c r="A42" s="1" t="s">
        <v>43</v>
      </c>
      <c r="B42" s="2" t="str">
        <f>IFERROR(__xludf.DUMMYFUNCTION("SPLIT(A42, "" "")"),"move")</f>
        <v>move</v>
      </c>
      <c r="C42" s="2">
        <f>IFERROR(__xludf.DUMMYFUNCTION("""COMPUTED_VALUE"""),5.0)</f>
        <v>5</v>
      </c>
      <c r="D42" s="2" t="str">
        <f>IFERROR(__xludf.DUMMYFUNCTION("""COMPUTED_VALUE"""),"from")</f>
        <v>from</v>
      </c>
      <c r="E42" s="2">
        <f>IFERROR(__xludf.DUMMYFUNCTION("""COMPUTED_VALUE"""),6.0)</f>
        <v>6</v>
      </c>
      <c r="F42" s="2" t="str">
        <f>IFERROR(__xludf.DUMMYFUNCTION("""COMPUTED_VALUE"""),"to")</f>
        <v>to</v>
      </c>
      <c r="G42" s="2">
        <f>IFERROR(__xludf.DUMMYFUNCTION("""COMPUTED_VALUE"""),3.0)</f>
        <v>3</v>
      </c>
    </row>
    <row r="43">
      <c r="A43" s="1" t="s">
        <v>44</v>
      </c>
      <c r="B43" s="2" t="str">
        <f>IFERROR(__xludf.DUMMYFUNCTION("SPLIT(A43, "" "")"),"move")</f>
        <v>move</v>
      </c>
      <c r="C43" s="2">
        <f>IFERROR(__xludf.DUMMYFUNCTION("""COMPUTED_VALUE"""),2.0)</f>
        <v>2</v>
      </c>
      <c r="D43" s="2" t="str">
        <f>IFERROR(__xludf.DUMMYFUNCTION("""COMPUTED_VALUE"""),"from")</f>
        <v>from</v>
      </c>
      <c r="E43" s="2">
        <f>IFERROR(__xludf.DUMMYFUNCTION("""COMPUTED_VALUE"""),8.0)</f>
        <v>8</v>
      </c>
      <c r="F43" s="2" t="str">
        <f>IFERROR(__xludf.DUMMYFUNCTION("""COMPUTED_VALUE"""),"to")</f>
        <v>to</v>
      </c>
      <c r="G43" s="2">
        <f>IFERROR(__xludf.DUMMYFUNCTION("""COMPUTED_VALUE"""),6.0)</f>
        <v>6</v>
      </c>
    </row>
    <row r="44">
      <c r="A44" s="1" t="s">
        <v>45</v>
      </c>
      <c r="B44" s="2" t="str">
        <f>IFERROR(__xludf.DUMMYFUNCTION("SPLIT(A44, "" "")"),"move")</f>
        <v>move</v>
      </c>
      <c r="C44" s="2">
        <f>IFERROR(__xludf.DUMMYFUNCTION("""COMPUTED_VALUE"""),1.0)</f>
        <v>1</v>
      </c>
      <c r="D44" s="2" t="str">
        <f>IFERROR(__xludf.DUMMYFUNCTION("""COMPUTED_VALUE"""),"from")</f>
        <v>from</v>
      </c>
      <c r="E44" s="2">
        <f>IFERROR(__xludf.DUMMYFUNCTION("""COMPUTED_VALUE"""),7.0)</f>
        <v>7</v>
      </c>
      <c r="F44" s="2" t="str">
        <f>IFERROR(__xludf.DUMMYFUNCTION("""COMPUTED_VALUE"""),"to")</f>
        <v>to</v>
      </c>
      <c r="G44" s="2">
        <f>IFERROR(__xludf.DUMMYFUNCTION("""COMPUTED_VALUE"""),9.0)</f>
        <v>9</v>
      </c>
    </row>
    <row r="45">
      <c r="A45" s="1" t="s">
        <v>46</v>
      </c>
      <c r="B45" s="2" t="str">
        <f>IFERROR(__xludf.DUMMYFUNCTION("SPLIT(A45, "" "")"),"move")</f>
        <v>move</v>
      </c>
      <c r="C45" s="2">
        <f>IFERROR(__xludf.DUMMYFUNCTION("""COMPUTED_VALUE"""),2.0)</f>
        <v>2</v>
      </c>
      <c r="D45" s="2" t="str">
        <f>IFERROR(__xludf.DUMMYFUNCTION("""COMPUTED_VALUE"""),"from")</f>
        <v>from</v>
      </c>
      <c r="E45" s="2">
        <f>IFERROR(__xludf.DUMMYFUNCTION("""COMPUTED_VALUE"""),2.0)</f>
        <v>2</v>
      </c>
      <c r="F45" s="2" t="str">
        <f>IFERROR(__xludf.DUMMYFUNCTION("""COMPUTED_VALUE"""),"to")</f>
        <v>to</v>
      </c>
      <c r="G45" s="2">
        <f>IFERROR(__xludf.DUMMYFUNCTION("""COMPUTED_VALUE"""),7.0)</f>
        <v>7</v>
      </c>
    </row>
    <row r="46">
      <c r="A46" s="1" t="s">
        <v>47</v>
      </c>
      <c r="B46" s="2" t="str">
        <f>IFERROR(__xludf.DUMMYFUNCTION("SPLIT(A46, "" "")"),"move")</f>
        <v>move</v>
      </c>
      <c r="C46" s="2">
        <f>IFERROR(__xludf.DUMMYFUNCTION("""COMPUTED_VALUE"""),3.0)</f>
        <v>3</v>
      </c>
      <c r="D46" s="2" t="str">
        <f>IFERROR(__xludf.DUMMYFUNCTION("""COMPUTED_VALUE"""),"from")</f>
        <v>from</v>
      </c>
      <c r="E46" s="2">
        <f>IFERROR(__xludf.DUMMYFUNCTION("""COMPUTED_VALUE"""),5.0)</f>
        <v>5</v>
      </c>
      <c r="F46" s="2" t="str">
        <f>IFERROR(__xludf.DUMMYFUNCTION("""COMPUTED_VALUE"""),"to")</f>
        <v>to</v>
      </c>
      <c r="G46" s="2">
        <f>IFERROR(__xludf.DUMMYFUNCTION("""COMPUTED_VALUE"""),1.0)</f>
        <v>1</v>
      </c>
    </row>
    <row r="47">
      <c r="A47" s="1" t="s">
        <v>48</v>
      </c>
      <c r="B47" s="2" t="str">
        <f>IFERROR(__xludf.DUMMYFUNCTION("SPLIT(A47, "" "")"),"move")</f>
        <v>move</v>
      </c>
      <c r="C47" s="2">
        <f>IFERROR(__xludf.DUMMYFUNCTION("""COMPUTED_VALUE"""),2.0)</f>
        <v>2</v>
      </c>
      <c r="D47" s="2" t="str">
        <f>IFERROR(__xludf.DUMMYFUNCTION("""COMPUTED_VALUE"""),"from")</f>
        <v>from</v>
      </c>
      <c r="E47" s="2">
        <f>IFERROR(__xludf.DUMMYFUNCTION("""COMPUTED_VALUE"""),7.0)</f>
        <v>7</v>
      </c>
      <c r="F47" s="2" t="str">
        <f>IFERROR(__xludf.DUMMYFUNCTION("""COMPUTED_VALUE"""),"to")</f>
        <v>to</v>
      </c>
      <c r="G47" s="2">
        <f>IFERROR(__xludf.DUMMYFUNCTION("""COMPUTED_VALUE"""),2.0)</f>
        <v>2</v>
      </c>
    </row>
    <row r="48">
      <c r="A48" s="1" t="s">
        <v>49</v>
      </c>
      <c r="B48" s="2" t="str">
        <f>IFERROR(__xludf.DUMMYFUNCTION("SPLIT(A48, "" "")"),"move")</f>
        <v>move</v>
      </c>
      <c r="C48" s="2">
        <f>IFERROR(__xludf.DUMMYFUNCTION("""COMPUTED_VALUE"""),6.0)</f>
        <v>6</v>
      </c>
      <c r="D48" s="2" t="str">
        <f>IFERROR(__xludf.DUMMYFUNCTION("""COMPUTED_VALUE"""),"from")</f>
        <v>from</v>
      </c>
      <c r="E48" s="2">
        <f>IFERROR(__xludf.DUMMYFUNCTION("""COMPUTED_VALUE"""),6.0)</f>
        <v>6</v>
      </c>
      <c r="F48" s="2" t="str">
        <f>IFERROR(__xludf.DUMMYFUNCTION("""COMPUTED_VALUE"""),"to")</f>
        <v>to</v>
      </c>
      <c r="G48" s="2">
        <f>IFERROR(__xludf.DUMMYFUNCTION("""COMPUTED_VALUE"""),3.0)</f>
        <v>3</v>
      </c>
    </row>
    <row r="49">
      <c r="A49" s="1" t="s">
        <v>50</v>
      </c>
      <c r="B49" s="2" t="str">
        <f>IFERROR(__xludf.DUMMYFUNCTION("SPLIT(A49, "" "")"),"move")</f>
        <v>move</v>
      </c>
      <c r="C49" s="2">
        <f>IFERROR(__xludf.DUMMYFUNCTION("""COMPUTED_VALUE"""),7.0)</f>
        <v>7</v>
      </c>
      <c r="D49" s="2" t="str">
        <f>IFERROR(__xludf.DUMMYFUNCTION("""COMPUTED_VALUE"""),"from")</f>
        <v>from</v>
      </c>
      <c r="E49" s="2">
        <f>IFERROR(__xludf.DUMMYFUNCTION("""COMPUTED_VALUE"""),5.0)</f>
        <v>5</v>
      </c>
      <c r="F49" s="2" t="str">
        <f>IFERROR(__xludf.DUMMYFUNCTION("""COMPUTED_VALUE"""),"to")</f>
        <v>to</v>
      </c>
      <c r="G49" s="2">
        <f>IFERROR(__xludf.DUMMYFUNCTION("""COMPUTED_VALUE"""),6.0)</f>
        <v>6</v>
      </c>
    </row>
    <row r="50">
      <c r="A50" s="1" t="s">
        <v>51</v>
      </c>
      <c r="B50" s="2" t="str">
        <f>IFERROR(__xludf.DUMMYFUNCTION("SPLIT(A50, "" "")"),"move")</f>
        <v>move</v>
      </c>
      <c r="C50" s="2">
        <f>IFERROR(__xludf.DUMMYFUNCTION("""COMPUTED_VALUE"""),5.0)</f>
        <v>5</v>
      </c>
      <c r="D50" s="2" t="str">
        <f>IFERROR(__xludf.DUMMYFUNCTION("""COMPUTED_VALUE"""),"from")</f>
        <v>from</v>
      </c>
      <c r="E50" s="2">
        <f>IFERROR(__xludf.DUMMYFUNCTION("""COMPUTED_VALUE"""),3.0)</f>
        <v>3</v>
      </c>
      <c r="F50" s="2" t="str">
        <f>IFERROR(__xludf.DUMMYFUNCTION("""COMPUTED_VALUE"""),"to")</f>
        <v>to</v>
      </c>
      <c r="G50" s="2">
        <f>IFERROR(__xludf.DUMMYFUNCTION("""COMPUTED_VALUE"""),2.0)</f>
        <v>2</v>
      </c>
    </row>
    <row r="51">
      <c r="A51" s="1" t="s">
        <v>52</v>
      </c>
      <c r="B51" s="2" t="str">
        <f>IFERROR(__xludf.DUMMYFUNCTION("SPLIT(A51, "" "")"),"move")</f>
        <v>move</v>
      </c>
      <c r="C51" s="2">
        <f>IFERROR(__xludf.DUMMYFUNCTION("""COMPUTED_VALUE"""),10.0)</f>
        <v>10</v>
      </c>
      <c r="D51" s="2" t="str">
        <f>IFERROR(__xludf.DUMMYFUNCTION("""COMPUTED_VALUE"""),"from")</f>
        <v>from</v>
      </c>
      <c r="E51" s="2">
        <f>IFERROR(__xludf.DUMMYFUNCTION("""COMPUTED_VALUE"""),1.0)</f>
        <v>1</v>
      </c>
      <c r="F51" s="2" t="str">
        <f>IFERROR(__xludf.DUMMYFUNCTION("""COMPUTED_VALUE"""),"to")</f>
        <v>to</v>
      </c>
      <c r="G51" s="2">
        <f>IFERROR(__xludf.DUMMYFUNCTION("""COMPUTED_VALUE"""),8.0)</f>
        <v>8</v>
      </c>
    </row>
    <row r="52">
      <c r="A52" s="1" t="s">
        <v>53</v>
      </c>
      <c r="B52" s="2" t="str">
        <f>IFERROR(__xludf.DUMMYFUNCTION("SPLIT(A52, "" "")"),"move")</f>
        <v>move</v>
      </c>
      <c r="C52" s="2">
        <f>IFERROR(__xludf.DUMMYFUNCTION("""COMPUTED_VALUE"""),2.0)</f>
        <v>2</v>
      </c>
      <c r="D52" s="2" t="str">
        <f>IFERROR(__xludf.DUMMYFUNCTION("""COMPUTED_VALUE"""),"from")</f>
        <v>from</v>
      </c>
      <c r="E52" s="2">
        <f>IFERROR(__xludf.DUMMYFUNCTION("""COMPUTED_VALUE"""),1.0)</f>
        <v>1</v>
      </c>
      <c r="F52" s="2" t="str">
        <f>IFERROR(__xludf.DUMMYFUNCTION("""COMPUTED_VALUE"""),"to")</f>
        <v>to</v>
      </c>
      <c r="G52" s="2">
        <f>IFERROR(__xludf.DUMMYFUNCTION("""COMPUTED_VALUE"""),3.0)</f>
        <v>3</v>
      </c>
    </row>
    <row r="53">
      <c r="A53" s="1" t="s">
        <v>54</v>
      </c>
      <c r="B53" s="2" t="str">
        <f>IFERROR(__xludf.DUMMYFUNCTION("SPLIT(A53, "" "")"),"move")</f>
        <v>move</v>
      </c>
      <c r="C53" s="2">
        <f>IFERROR(__xludf.DUMMYFUNCTION("""COMPUTED_VALUE"""),8.0)</f>
        <v>8</v>
      </c>
      <c r="D53" s="2" t="str">
        <f>IFERROR(__xludf.DUMMYFUNCTION("""COMPUTED_VALUE"""),"from")</f>
        <v>from</v>
      </c>
      <c r="E53" s="2">
        <f>IFERROR(__xludf.DUMMYFUNCTION("""COMPUTED_VALUE"""),3.0)</f>
        <v>3</v>
      </c>
      <c r="F53" s="2" t="str">
        <f>IFERROR(__xludf.DUMMYFUNCTION("""COMPUTED_VALUE"""),"to")</f>
        <v>to</v>
      </c>
      <c r="G53" s="2">
        <f>IFERROR(__xludf.DUMMYFUNCTION("""COMPUTED_VALUE"""),7.0)</f>
        <v>7</v>
      </c>
    </row>
    <row r="54">
      <c r="A54" s="1" t="s">
        <v>55</v>
      </c>
      <c r="B54" s="2" t="str">
        <f>IFERROR(__xludf.DUMMYFUNCTION("SPLIT(A54, "" "")"),"move")</f>
        <v>move</v>
      </c>
      <c r="C54" s="2">
        <f>IFERROR(__xludf.DUMMYFUNCTION("""COMPUTED_VALUE"""),9.0)</f>
        <v>9</v>
      </c>
      <c r="D54" s="2" t="str">
        <f>IFERROR(__xludf.DUMMYFUNCTION("""COMPUTED_VALUE"""),"from")</f>
        <v>from</v>
      </c>
      <c r="E54" s="2">
        <f>IFERROR(__xludf.DUMMYFUNCTION("""COMPUTED_VALUE"""),4.0)</f>
        <v>4</v>
      </c>
      <c r="F54" s="2" t="str">
        <f>IFERROR(__xludf.DUMMYFUNCTION("""COMPUTED_VALUE"""),"to")</f>
        <v>to</v>
      </c>
      <c r="G54" s="2">
        <f>IFERROR(__xludf.DUMMYFUNCTION("""COMPUTED_VALUE"""),8.0)</f>
        <v>8</v>
      </c>
    </row>
    <row r="55">
      <c r="A55" s="1" t="s">
        <v>56</v>
      </c>
      <c r="B55" s="2" t="str">
        <f>IFERROR(__xludf.DUMMYFUNCTION("SPLIT(A55, "" "")"),"move")</f>
        <v>move</v>
      </c>
      <c r="C55" s="2">
        <f>IFERROR(__xludf.DUMMYFUNCTION("""COMPUTED_VALUE"""),1.0)</f>
        <v>1</v>
      </c>
      <c r="D55" s="2" t="str">
        <f>IFERROR(__xludf.DUMMYFUNCTION("""COMPUTED_VALUE"""),"from")</f>
        <v>from</v>
      </c>
      <c r="E55" s="2">
        <f>IFERROR(__xludf.DUMMYFUNCTION("""COMPUTED_VALUE"""),9.0)</f>
        <v>9</v>
      </c>
      <c r="F55" s="2" t="str">
        <f>IFERROR(__xludf.DUMMYFUNCTION("""COMPUTED_VALUE"""),"to")</f>
        <v>to</v>
      </c>
      <c r="G55" s="2">
        <f>IFERROR(__xludf.DUMMYFUNCTION("""COMPUTED_VALUE"""),2.0)</f>
        <v>2</v>
      </c>
    </row>
    <row r="56">
      <c r="A56" s="1" t="s">
        <v>57</v>
      </c>
      <c r="B56" s="2" t="str">
        <f>IFERROR(__xludf.DUMMYFUNCTION("SPLIT(A56, "" "")"),"move")</f>
        <v>move</v>
      </c>
      <c r="C56" s="2">
        <f>IFERROR(__xludf.DUMMYFUNCTION("""COMPUTED_VALUE"""),2.0)</f>
        <v>2</v>
      </c>
      <c r="D56" s="2" t="str">
        <f>IFERROR(__xludf.DUMMYFUNCTION("""COMPUTED_VALUE"""),"from")</f>
        <v>from</v>
      </c>
      <c r="E56" s="2">
        <f>IFERROR(__xludf.DUMMYFUNCTION("""COMPUTED_VALUE"""),7.0)</f>
        <v>7</v>
      </c>
      <c r="F56" s="2" t="str">
        <f>IFERROR(__xludf.DUMMYFUNCTION("""COMPUTED_VALUE"""),"to")</f>
        <v>to</v>
      </c>
      <c r="G56" s="2">
        <f>IFERROR(__xludf.DUMMYFUNCTION("""COMPUTED_VALUE"""),8.0)</f>
        <v>8</v>
      </c>
    </row>
    <row r="57">
      <c r="A57" s="1" t="s">
        <v>58</v>
      </c>
      <c r="B57" s="2" t="str">
        <f>IFERROR(__xludf.DUMMYFUNCTION("SPLIT(A57, "" "")"),"move")</f>
        <v>move</v>
      </c>
      <c r="C57" s="2">
        <f>IFERROR(__xludf.DUMMYFUNCTION("""COMPUTED_VALUE"""),4.0)</f>
        <v>4</v>
      </c>
      <c r="D57" s="2" t="str">
        <f>IFERROR(__xludf.DUMMYFUNCTION("""COMPUTED_VALUE"""),"from")</f>
        <v>from</v>
      </c>
      <c r="E57" s="2">
        <f>IFERROR(__xludf.DUMMYFUNCTION("""COMPUTED_VALUE"""),6.0)</f>
        <v>6</v>
      </c>
      <c r="F57" s="2" t="str">
        <f>IFERROR(__xludf.DUMMYFUNCTION("""COMPUTED_VALUE"""),"to")</f>
        <v>to</v>
      </c>
      <c r="G57" s="2">
        <f>IFERROR(__xludf.DUMMYFUNCTION("""COMPUTED_VALUE"""),9.0)</f>
        <v>9</v>
      </c>
    </row>
    <row r="58">
      <c r="A58" s="1" t="s">
        <v>59</v>
      </c>
      <c r="B58" s="2" t="str">
        <f>IFERROR(__xludf.DUMMYFUNCTION("SPLIT(A58, "" "")"),"move")</f>
        <v>move</v>
      </c>
      <c r="C58" s="2">
        <f>IFERROR(__xludf.DUMMYFUNCTION("""COMPUTED_VALUE"""),1.0)</f>
        <v>1</v>
      </c>
      <c r="D58" s="2" t="str">
        <f>IFERROR(__xludf.DUMMYFUNCTION("""COMPUTED_VALUE"""),"from")</f>
        <v>from</v>
      </c>
      <c r="E58" s="2">
        <f>IFERROR(__xludf.DUMMYFUNCTION("""COMPUTED_VALUE"""),4.0)</f>
        <v>4</v>
      </c>
      <c r="F58" s="2" t="str">
        <f>IFERROR(__xludf.DUMMYFUNCTION("""COMPUTED_VALUE"""),"to")</f>
        <v>to</v>
      </c>
      <c r="G58" s="2">
        <f>IFERROR(__xludf.DUMMYFUNCTION("""COMPUTED_VALUE"""),9.0)</f>
        <v>9</v>
      </c>
    </row>
    <row r="59">
      <c r="A59" s="1" t="s">
        <v>60</v>
      </c>
      <c r="B59" s="2" t="str">
        <f>IFERROR(__xludf.DUMMYFUNCTION("SPLIT(A59, "" "")"),"move")</f>
        <v>move</v>
      </c>
      <c r="C59" s="2">
        <f>IFERROR(__xludf.DUMMYFUNCTION("""COMPUTED_VALUE"""),5.0)</f>
        <v>5</v>
      </c>
      <c r="D59" s="2" t="str">
        <f>IFERROR(__xludf.DUMMYFUNCTION("""COMPUTED_VALUE"""),"from")</f>
        <v>from</v>
      </c>
      <c r="E59" s="2">
        <f>IFERROR(__xludf.DUMMYFUNCTION("""COMPUTED_VALUE"""),7.0)</f>
        <v>7</v>
      </c>
      <c r="F59" s="2" t="str">
        <f>IFERROR(__xludf.DUMMYFUNCTION("""COMPUTED_VALUE"""),"to")</f>
        <v>to</v>
      </c>
      <c r="G59" s="2">
        <f>IFERROR(__xludf.DUMMYFUNCTION("""COMPUTED_VALUE"""),4.0)</f>
        <v>4</v>
      </c>
    </row>
    <row r="60">
      <c r="A60" s="1" t="s">
        <v>61</v>
      </c>
      <c r="B60" s="2" t="str">
        <f>IFERROR(__xludf.DUMMYFUNCTION("SPLIT(A60, "" "")"),"move")</f>
        <v>move</v>
      </c>
      <c r="C60" s="2">
        <f>IFERROR(__xludf.DUMMYFUNCTION("""COMPUTED_VALUE"""),3.0)</f>
        <v>3</v>
      </c>
      <c r="D60" s="2" t="str">
        <f>IFERROR(__xludf.DUMMYFUNCTION("""COMPUTED_VALUE"""),"from")</f>
        <v>from</v>
      </c>
      <c r="E60" s="2">
        <f>IFERROR(__xludf.DUMMYFUNCTION("""COMPUTED_VALUE"""),6.0)</f>
        <v>6</v>
      </c>
      <c r="F60" s="2" t="str">
        <f>IFERROR(__xludf.DUMMYFUNCTION("""COMPUTED_VALUE"""),"to")</f>
        <v>to</v>
      </c>
      <c r="G60" s="2">
        <f>IFERROR(__xludf.DUMMYFUNCTION("""COMPUTED_VALUE"""),5.0)</f>
        <v>5</v>
      </c>
    </row>
    <row r="61">
      <c r="A61" s="1" t="s">
        <v>62</v>
      </c>
      <c r="B61" s="2" t="str">
        <f>IFERROR(__xludf.DUMMYFUNCTION("SPLIT(A61, "" "")"),"move")</f>
        <v>move</v>
      </c>
      <c r="C61" s="2">
        <f>IFERROR(__xludf.DUMMYFUNCTION("""COMPUTED_VALUE"""),1.0)</f>
        <v>1</v>
      </c>
      <c r="D61" s="2" t="str">
        <f>IFERROR(__xludf.DUMMYFUNCTION("""COMPUTED_VALUE"""),"from")</f>
        <v>from</v>
      </c>
      <c r="E61" s="2">
        <f>IFERROR(__xludf.DUMMYFUNCTION("""COMPUTED_VALUE"""),1.0)</f>
        <v>1</v>
      </c>
      <c r="F61" s="2" t="str">
        <f>IFERROR(__xludf.DUMMYFUNCTION("""COMPUTED_VALUE"""),"to")</f>
        <v>to</v>
      </c>
      <c r="G61" s="2">
        <f>IFERROR(__xludf.DUMMYFUNCTION("""COMPUTED_VALUE"""),5.0)</f>
        <v>5</v>
      </c>
    </row>
    <row r="62">
      <c r="A62" s="1" t="s">
        <v>63</v>
      </c>
      <c r="B62" s="2" t="str">
        <f>IFERROR(__xludf.DUMMYFUNCTION("SPLIT(A62, "" "")"),"move")</f>
        <v>move</v>
      </c>
      <c r="C62" s="2">
        <f>IFERROR(__xludf.DUMMYFUNCTION("""COMPUTED_VALUE"""),14.0)</f>
        <v>14</v>
      </c>
      <c r="D62" s="2" t="str">
        <f>IFERROR(__xludf.DUMMYFUNCTION("""COMPUTED_VALUE"""),"from")</f>
        <v>from</v>
      </c>
      <c r="E62" s="2">
        <f>IFERROR(__xludf.DUMMYFUNCTION("""COMPUTED_VALUE"""),4.0)</f>
        <v>4</v>
      </c>
      <c r="F62" s="2" t="str">
        <f>IFERROR(__xludf.DUMMYFUNCTION("""COMPUTED_VALUE"""),"to")</f>
        <v>to</v>
      </c>
      <c r="G62" s="2">
        <f>IFERROR(__xludf.DUMMYFUNCTION("""COMPUTED_VALUE"""),8.0)</f>
        <v>8</v>
      </c>
    </row>
    <row r="63">
      <c r="A63" s="1" t="s">
        <v>64</v>
      </c>
      <c r="B63" s="2" t="str">
        <f>IFERROR(__xludf.DUMMYFUNCTION("SPLIT(A63, "" "")"),"move")</f>
        <v>move</v>
      </c>
      <c r="C63" s="2">
        <f>IFERROR(__xludf.DUMMYFUNCTION("""COMPUTED_VALUE"""),3.0)</f>
        <v>3</v>
      </c>
      <c r="D63" s="2" t="str">
        <f>IFERROR(__xludf.DUMMYFUNCTION("""COMPUTED_VALUE"""),"from")</f>
        <v>from</v>
      </c>
      <c r="E63" s="2">
        <f>IFERROR(__xludf.DUMMYFUNCTION("""COMPUTED_VALUE"""),9.0)</f>
        <v>9</v>
      </c>
      <c r="F63" s="2" t="str">
        <f>IFERROR(__xludf.DUMMYFUNCTION("""COMPUTED_VALUE"""),"to")</f>
        <v>to</v>
      </c>
      <c r="G63" s="2">
        <f>IFERROR(__xludf.DUMMYFUNCTION("""COMPUTED_VALUE"""),7.0)</f>
        <v>7</v>
      </c>
    </row>
    <row r="64">
      <c r="A64" s="1" t="s">
        <v>65</v>
      </c>
      <c r="B64" s="2" t="str">
        <f>IFERROR(__xludf.DUMMYFUNCTION("SPLIT(A64, "" "")"),"move")</f>
        <v>move</v>
      </c>
      <c r="C64" s="2">
        <f>IFERROR(__xludf.DUMMYFUNCTION("""COMPUTED_VALUE"""),4.0)</f>
        <v>4</v>
      </c>
      <c r="D64" s="2" t="str">
        <f>IFERROR(__xludf.DUMMYFUNCTION("""COMPUTED_VALUE"""),"from")</f>
        <v>from</v>
      </c>
      <c r="E64" s="2">
        <f>IFERROR(__xludf.DUMMYFUNCTION("""COMPUTED_VALUE"""),5.0)</f>
        <v>5</v>
      </c>
      <c r="F64" s="2" t="str">
        <f>IFERROR(__xludf.DUMMYFUNCTION("""COMPUTED_VALUE"""),"to")</f>
        <v>to</v>
      </c>
      <c r="G64" s="2">
        <f>IFERROR(__xludf.DUMMYFUNCTION("""COMPUTED_VALUE"""),9.0)</f>
        <v>9</v>
      </c>
    </row>
    <row r="65">
      <c r="A65" s="1" t="s">
        <v>66</v>
      </c>
      <c r="B65" s="2" t="str">
        <f>IFERROR(__xludf.DUMMYFUNCTION("SPLIT(A65, "" "")"),"move")</f>
        <v>move</v>
      </c>
      <c r="C65" s="2">
        <f>IFERROR(__xludf.DUMMYFUNCTION("""COMPUTED_VALUE"""),2.0)</f>
        <v>2</v>
      </c>
      <c r="D65" s="2" t="str">
        <f>IFERROR(__xludf.DUMMYFUNCTION("""COMPUTED_VALUE"""),"from")</f>
        <v>from</v>
      </c>
      <c r="E65" s="2">
        <f>IFERROR(__xludf.DUMMYFUNCTION("""COMPUTED_VALUE"""),4.0)</f>
        <v>4</v>
      </c>
      <c r="F65" s="2" t="str">
        <f>IFERROR(__xludf.DUMMYFUNCTION("""COMPUTED_VALUE"""),"to")</f>
        <v>to</v>
      </c>
      <c r="G65" s="2">
        <f>IFERROR(__xludf.DUMMYFUNCTION("""COMPUTED_VALUE"""),1.0)</f>
        <v>1</v>
      </c>
    </row>
    <row r="66">
      <c r="A66" s="1" t="s">
        <v>67</v>
      </c>
      <c r="B66" s="2" t="str">
        <f>IFERROR(__xludf.DUMMYFUNCTION("SPLIT(A66, "" "")"),"move")</f>
        <v>move</v>
      </c>
      <c r="C66" s="2">
        <f>IFERROR(__xludf.DUMMYFUNCTION("""COMPUTED_VALUE"""),27.0)</f>
        <v>27</v>
      </c>
      <c r="D66" s="2" t="str">
        <f>IFERROR(__xludf.DUMMYFUNCTION("""COMPUTED_VALUE"""),"from")</f>
        <v>from</v>
      </c>
      <c r="E66" s="2">
        <f>IFERROR(__xludf.DUMMYFUNCTION("""COMPUTED_VALUE"""),8.0)</f>
        <v>8</v>
      </c>
      <c r="F66" s="2" t="str">
        <f>IFERROR(__xludf.DUMMYFUNCTION("""COMPUTED_VALUE"""),"to")</f>
        <v>to</v>
      </c>
      <c r="G66" s="2">
        <f>IFERROR(__xludf.DUMMYFUNCTION("""COMPUTED_VALUE"""),6.0)</f>
        <v>6</v>
      </c>
    </row>
    <row r="67">
      <c r="A67" s="1" t="s">
        <v>48</v>
      </c>
      <c r="B67" s="2" t="str">
        <f>IFERROR(__xludf.DUMMYFUNCTION("SPLIT(A67, "" "")"),"move")</f>
        <v>move</v>
      </c>
      <c r="C67" s="2">
        <f>IFERROR(__xludf.DUMMYFUNCTION("""COMPUTED_VALUE"""),2.0)</f>
        <v>2</v>
      </c>
      <c r="D67" s="2" t="str">
        <f>IFERROR(__xludf.DUMMYFUNCTION("""COMPUTED_VALUE"""),"from")</f>
        <v>from</v>
      </c>
      <c r="E67" s="2">
        <f>IFERROR(__xludf.DUMMYFUNCTION("""COMPUTED_VALUE"""),7.0)</f>
        <v>7</v>
      </c>
      <c r="F67" s="2" t="str">
        <f>IFERROR(__xludf.DUMMYFUNCTION("""COMPUTED_VALUE"""),"to")</f>
        <v>to</v>
      </c>
      <c r="G67" s="2">
        <f>IFERROR(__xludf.DUMMYFUNCTION("""COMPUTED_VALUE"""),2.0)</f>
        <v>2</v>
      </c>
    </row>
    <row r="68">
      <c r="A68" s="1" t="s">
        <v>68</v>
      </c>
      <c r="B68" s="2" t="str">
        <f>IFERROR(__xludf.DUMMYFUNCTION("SPLIT(A68, "" "")"),"move")</f>
        <v>move</v>
      </c>
      <c r="C68" s="2">
        <f>IFERROR(__xludf.DUMMYFUNCTION("""COMPUTED_VALUE"""),2.0)</f>
        <v>2</v>
      </c>
      <c r="D68" s="2" t="str">
        <f>IFERROR(__xludf.DUMMYFUNCTION("""COMPUTED_VALUE"""),"from")</f>
        <v>from</v>
      </c>
      <c r="E68" s="2">
        <f>IFERROR(__xludf.DUMMYFUNCTION("""COMPUTED_VALUE"""),7.0)</f>
        <v>7</v>
      </c>
      <c r="F68" s="2" t="str">
        <f>IFERROR(__xludf.DUMMYFUNCTION("""COMPUTED_VALUE"""),"to")</f>
        <v>to</v>
      </c>
      <c r="G68" s="2">
        <f>IFERROR(__xludf.DUMMYFUNCTION("""COMPUTED_VALUE"""),4.0)</f>
        <v>4</v>
      </c>
    </row>
    <row r="69">
      <c r="A69" s="1" t="s">
        <v>69</v>
      </c>
      <c r="B69" s="2" t="str">
        <f>IFERROR(__xludf.DUMMYFUNCTION("SPLIT(A69, "" "")"),"move")</f>
        <v>move</v>
      </c>
      <c r="C69" s="2">
        <f>IFERROR(__xludf.DUMMYFUNCTION("""COMPUTED_VALUE"""),4.0)</f>
        <v>4</v>
      </c>
      <c r="D69" s="2" t="str">
        <f>IFERROR(__xludf.DUMMYFUNCTION("""COMPUTED_VALUE"""),"from")</f>
        <v>from</v>
      </c>
      <c r="E69" s="2">
        <f>IFERROR(__xludf.DUMMYFUNCTION("""COMPUTED_VALUE"""),2.0)</f>
        <v>2</v>
      </c>
      <c r="F69" s="2" t="str">
        <f>IFERROR(__xludf.DUMMYFUNCTION("""COMPUTED_VALUE"""),"to")</f>
        <v>to</v>
      </c>
      <c r="G69" s="2">
        <f>IFERROR(__xludf.DUMMYFUNCTION("""COMPUTED_VALUE"""),9.0)</f>
        <v>9</v>
      </c>
    </row>
    <row r="70">
      <c r="A70" s="1" t="s">
        <v>70</v>
      </c>
      <c r="B70" s="2" t="str">
        <f>IFERROR(__xludf.DUMMYFUNCTION("SPLIT(A70, "" "")"),"move")</f>
        <v>move</v>
      </c>
      <c r="C70" s="2">
        <f>IFERROR(__xludf.DUMMYFUNCTION("""COMPUTED_VALUE"""),7.0)</f>
        <v>7</v>
      </c>
      <c r="D70" s="2" t="str">
        <f>IFERROR(__xludf.DUMMYFUNCTION("""COMPUTED_VALUE"""),"from")</f>
        <v>from</v>
      </c>
      <c r="E70" s="2">
        <f>IFERROR(__xludf.DUMMYFUNCTION("""COMPUTED_VALUE"""),8.0)</f>
        <v>8</v>
      </c>
      <c r="F70" s="2" t="str">
        <f>IFERROR(__xludf.DUMMYFUNCTION("""COMPUTED_VALUE"""),"to")</f>
        <v>to</v>
      </c>
      <c r="G70" s="2">
        <f>IFERROR(__xludf.DUMMYFUNCTION("""COMPUTED_VALUE"""),4.0)</f>
        <v>4</v>
      </c>
    </row>
    <row r="71">
      <c r="A71" s="1" t="s">
        <v>71</v>
      </c>
      <c r="B71" s="2" t="str">
        <f>IFERROR(__xludf.DUMMYFUNCTION("SPLIT(A71, "" "")"),"move")</f>
        <v>move</v>
      </c>
      <c r="C71" s="2">
        <f>IFERROR(__xludf.DUMMYFUNCTION("""COMPUTED_VALUE"""),10.0)</f>
        <v>10</v>
      </c>
      <c r="D71" s="2" t="str">
        <f>IFERROR(__xludf.DUMMYFUNCTION("""COMPUTED_VALUE"""),"from")</f>
        <v>from</v>
      </c>
      <c r="E71" s="2">
        <f>IFERROR(__xludf.DUMMYFUNCTION("""COMPUTED_VALUE"""),4.0)</f>
        <v>4</v>
      </c>
      <c r="F71" s="2" t="str">
        <f>IFERROR(__xludf.DUMMYFUNCTION("""COMPUTED_VALUE"""),"to")</f>
        <v>to</v>
      </c>
      <c r="G71" s="2">
        <f>IFERROR(__xludf.DUMMYFUNCTION("""COMPUTED_VALUE"""),1.0)</f>
        <v>1</v>
      </c>
    </row>
    <row r="72">
      <c r="A72" s="1" t="s">
        <v>72</v>
      </c>
      <c r="B72" s="2" t="str">
        <f>IFERROR(__xludf.DUMMYFUNCTION("SPLIT(A72, "" "")"),"move")</f>
        <v>move</v>
      </c>
      <c r="C72" s="2">
        <f>IFERROR(__xludf.DUMMYFUNCTION("""COMPUTED_VALUE"""),18.0)</f>
        <v>18</v>
      </c>
      <c r="D72" s="2" t="str">
        <f>IFERROR(__xludf.DUMMYFUNCTION("""COMPUTED_VALUE"""),"from")</f>
        <v>from</v>
      </c>
      <c r="E72" s="2">
        <f>IFERROR(__xludf.DUMMYFUNCTION("""COMPUTED_VALUE"""),6.0)</f>
        <v>6</v>
      </c>
      <c r="F72" s="2" t="str">
        <f>IFERROR(__xludf.DUMMYFUNCTION("""COMPUTED_VALUE"""),"to")</f>
        <v>to</v>
      </c>
      <c r="G72" s="2">
        <f>IFERROR(__xludf.DUMMYFUNCTION("""COMPUTED_VALUE"""),5.0)</f>
        <v>5</v>
      </c>
    </row>
    <row r="73">
      <c r="A73" s="1" t="s">
        <v>73</v>
      </c>
      <c r="B73" s="2" t="str">
        <f>IFERROR(__xludf.DUMMYFUNCTION("SPLIT(A73, "" "")"),"move")</f>
        <v>move</v>
      </c>
      <c r="C73" s="2">
        <f>IFERROR(__xludf.DUMMYFUNCTION("""COMPUTED_VALUE"""),6.0)</f>
        <v>6</v>
      </c>
      <c r="D73" s="2" t="str">
        <f>IFERROR(__xludf.DUMMYFUNCTION("""COMPUTED_VALUE"""),"from")</f>
        <v>from</v>
      </c>
      <c r="E73" s="2">
        <f>IFERROR(__xludf.DUMMYFUNCTION("""COMPUTED_VALUE"""),9.0)</f>
        <v>9</v>
      </c>
      <c r="F73" s="2" t="str">
        <f>IFERROR(__xludf.DUMMYFUNCTION("""COMPUTED_VALUE"""),"to")</f>
        <v>to</v>
      </c>
      <c r="G73" s="2">
        <f>IFERROR(__xludf.DUMMYFUNCTION("""COMPUTED_VALUE"""),2.0)</f>
        <v>2</v>
      </c>
    </row>
    <row r="74">
      <c r="A74" s="1" t="s">
        <v>74</v>
      </c>
      <c r="B74" s="2" t="str">
        <f>IFERROR(__xludf.DUMMYFUNCTION("SPLIT(A74, "" "")"),"move")</f>
        <v>move</v>
      </c>
      <c r="C74" s="2">
        <f>IFERROR(__xludf.DUMMYFUNCTION("""COMPUTED_VALUE"""),1.0)</f>
        <v>1</v>
      </c>
      <c r="D74" s="2" t="str">
        <f>IFERROR(__xludf.DUMMYFUNCTION("""COMPUTED_VALUE"""),"from")</f>
        <v>from</v>
      </c>
      <c r="E74" s="2">
        <f>IFERROR(__xludf.DUMMYFUNCTION("""COMPUTED_VALUE"""),9.0)</f>
        <v>9</v>
      </c>
      <c r="F74" s="2" t="str">
        <f>IFERROR(__xludf.DUMMYFUNCTION("""COMPUTED_VALUE"""),"to")</f>
        <v>to</v>
      </c>
      <c r="G74" s="2">
        <f>IFERROR(__xludf.DUMMYFUNCTION("""COMPUTED_VALUE"""),5.0)</f>
        <v>5</v>
      </c>
    </row>
    <row r="75">
      <c r="A75" s="1" t="s">
        <v>75</v>
      </c>
      <c r="B75" s="2" t="str">
        <f>IFERROR(__xludf.DUMMYFUNCTION("SPLIT(A75, "" "")"),"move")</f>
        <v>move</v>
      </c>
      <c r="C75" s="2">
        <f>IFERROR(__xludf.DUMMYFUNCTION("""COMPUTED_VALUE"""),11.0)</f>
        <v>11</v>
      </c>
      <c r="D75" s="2" t="str">
        <f>IFERROR(__xludf.DUMMYFUNCTION("""COMPUTED_VALUE"""),"from")</f>
        <v>from</v>
      </c>
      <c r="E75" s="2">
        <f>IFERROR(__xludf.DUMMYFUNCTION("""COMPUTED_VALUE"""),2.0)</f>
        <v>2</v>
      </c>
      <c r="F75" s="2" t="str">
        <f>IFERROR(__xludf.DUMMYFUNCTION("""COMPUTED_VALUE"""),"to")</f>
        <v>to</v>
      </c>
      <c r="G75" s="2">
        <f>IFERROR(__xludf.DUMMYFUNCTION("""COMPUTED_VALUE"""),6.0)</f>
        <v>6</v>
      </c>
    </row>
    <row r="76">
      <c r="A76" s="1" t="s">
        <v>76</v>
      </c>
      <c r="B76" s="2" t="str">
        <f>IFERROR(__xludf.DUMMYFUNCTION("SPLIT(A76, "" "")"),"move")</f>
        <v>move</v>
      </c>
      <c r="C76" s="2">
        <f>IFERROR(__xludf.DUMMYFUNCTION("""COMPUTED_VALUE"""),2.0)</f>
        <v>2</v>
      </c>
      <c r="D76" s="2" t="str">
        <f>IFERROR(__xludf.DUMMYFUNCTION("""COMPUTED_VALUE"""),"from")</f>
        <v>from</v>
      </c>
      <c r="E76" s="2">
        <f>IFERROR(__xludf.DUMMYFUNCTION("""COMPUTED_VALUE"""),5.0)</f>
        <v>5</v>
      </c>
      <c r="F76" s="2" t="str">
        <f>IFERROR(__xludf.DUMMYFUNCTION("""COMPUTED_VALUE"""),"to")</f>
        <v>to</v>
      </c>
      <c r="G76" s="2">
        <f>IFERROR(__xludf.DUMMYFUNCTION("""COMPUTED_VALUE"""),4.0)</f>
        <v>4</v>
      </c>
    </row>
    <row r="77">
      <c r="A77" s="1" t="s">
        <v>77</v>
      </c>
      <c r="B77" s="2" t="str">
        <f>IFERROR(__xludf.DUMMYFUNCTION("SPLIT(A77, "" "")"),"move")</f>
        <v>move</v>
      </c>
      <c r="C77" s="2">
        <f>IFERROR(__xludf.DUMMYFUNCTION("""COMPUTED_VALUE"""),1.0)</f>
        <v>1</v>
      </c>
      <c r="D77" s="2" t="str">
        <f>IFERROR(__xludf.DUMMYFUNCTION("""COMPUTED_VALUE"""),"from")</f>
        <v>from</v>
      </c>
      <c r="E77" s="2">
        <f>IFERROR(__xludf.DUMMYFUNCTION("""COMPUTED_VALUE"""),2.0)</f>
        <v>2</v>
      </c>
      <c r="F77" s="2" t="str">
        <f>IFERROR(__xludf.DUMMYFUNCTION("""COMPUTED_VALUE"""),"to")</f>
        <v>to</v>
      </c>
      <c r="G77" s="2">
        <f>IFERROR(__xludf.DUMMYFUNCTION("""COMPUTED_VALUE"""),8.0)</f>
        <v>8</v>
      </c>
    </row>
    <row r="78">
      <c r="A78" s="1" t="s">
        <v>78</v>
      </c>
      <c r="B78" s="2" t="str">
        <f>IFERROR(__xludf.DUMMYFUNCTION("SPLIT(A78, "" "")"),"move")</f>
        <v>move</v>
      </c>
      <c r="C78" s="2">
        <f>IFERROR(__xludf.DUMMYFUNCTION("""COMPUTED_VALUE"""),2.0)</f>
        <v>2</v>
      </c>
      <c r="D78" s="2" t="str">
        <f>IFERROR(__xludf.DUMMYFUNCTION("""COMPUTED_VALUE"""),"from")</f>
        <v>from</v>
      </c>
      <c r="E78" s="2">
        <f>IFERROR(__xludf.DUMMYFUNCTION("""COMPUTED_VALUE"""),4.0)</f>
        <v>4</v>
      </c>
      <c r="F78" s="2" t="str">
        <f>IFERROR(__xludf.DUMMYFUNCTION("""COMPUTED_VALUE"""),"to")</f>
        <v>to</v>
      </c>
      <c r="G78" s="2">
        <f>IFERROR(__xludf.DUMMYFUNCTION("""COMPUTED_VALUE"""),9.0)</f>
        <v>9</v>
      </c>
    </row>
    <row r="79">
      <c r="A79" s="1" t="s">
        <v>79</v>
      </c>
      <c r="B79" s="2" t="str">
        <f>IFERROR(__xludf.DUMMYFUNCTION("SPLIT(A79, "" "")"),"move")</f>
        <v>move</v>
      </c>
      <c r="C79" s="2">
        <f>IFERROR(__xludf.DUMMYFUNCTION("""COMPUTED_VALUE"""),2.0)</f>
        <v>2</v>
      </c>
      <c r="D79" s="2" t="str">
        <f>IFERROR(__xludf.DUMMYFUNCTION("""COMPUTED_VALUE"""),"from")</f>
        <v>from</v>
      </c>
      <c r="E79" s="2">
        <f>IFERROR(__xludf.DUMMYFUNCTION("""COMPUTED_VALUE"""),8.0)</f>
        <v>8</v>
      </c>
      <c r="F79" s="2" t="str">
        <f>IFERROR(__xludf.DUMMYFUNCTION("""COMPUTED_VALUE"""),"to")</f>
        <v>to</v>
      </c>
      <c r="G79" s="2">
        <f>IFERROR(__xludf.DUMMYFUNCTION("""COMPUTED_VALUE"""),3.0)</f>
        <v>3</v>
      </c>
    </row>
    <row r="80">
      <c r="A80" s="1" t="s">
        <v>26</v>
      </c>
      <c r="B80" s="2" t="str">
        <f>IFERROR(__xludf.DUMMYFUNCTION("SPLIT(A80, "" "")"),"move")</f>
        <v>move</v>
      </c>
      <c r="C80" s="2">
        <f>IFERROR(__xludf.DUMMYFUNCTION("""COMPUTED_VALUE"""),1.0)</f>
        <v>1</v>
      </c>
      <c r="D80" s="2" t="str">
        <f>IFERROR(__xludf.DUMMYFUNCTION("""COMPUTED_VALUE"""),"from")</f>
        <v>from</v>
      </c>
      <c r="E80" s="2">
        <f>IFERROR(__xludf.DUMMYFUNCTION("""COMPUTED_VALUE"""),6.0)</f>
        <v>6</v>
      </c>
      <c r="F80" s="2" t="str">
        <f>IFERROR(__xludf.DUMMYFUNCTION("""COMPUTED_VALUE"""),"to")</f>
        <v>to</v>
      </c>
      <c r="G80" s="2">
        <f>IFERROR(__xludf.DUMMYFUNCTION("""COMPUTED_VALUE"""),8.0)</f>
        <v>8</v>
      </c>
    </row>
    <row r="81">
      <c r="A81" s="1" t="s">
        <v>80</v>
      </c>
      <c r="B81" s="2" t="str">
        <f>IFERROR(__xludf.DUMMYFUNCTION("SPLIT(A81, "" "")"),"move")</f>
        <v>move</v>
      </c>
      <c r="C81" s="2">
        <f>IFERROR(__xludf.DUMMYFUNCTION("""COMPUTED_VALUE"""),4.0)</f>
        <v>4</v>
      </c>
      <c r="D81" s="2" t="str">
        <f>IFERROR(__xludf.DUMMYFUNCTION("""COMPUTED_VALUE"""),"from")</f>
        <v>from</v>
      </c>
      <c r="E81" s="2">
        <f>IFERROR(__xludf.DUMMYFUNCTION("""COMPUTED_VALUE"""),9.0)</f>
        <v>9</v>
      </c>
      <c r="F81" s="2" t="str">
        <f>IFERROR(__xludf.DUMMYFUNCTION("""COMPUTED_VALUE"""),"to")</f>
        <v>to</v>
      </c>
      <c r="G81" s="2">
        <f>IFERROR(__xludf.DUMMYFUNCTION("""COMPUTED_VALUE"""),7.0)</f>
        <v>7</v>
      </c>
    </row>
    <row r="82">
      <c r="A82" s="1" t="s">
        <v>81</v>
      </c>
      <c r="B82" s="2" t="str">
        <f>IFERROR(__xludf.DUMMYFUNCTION("SPLIT(A82, "" "")"),"move")</f>
        <v>move</v>
      </c>
      <c r="C82" s="2">
        <f>IFERROR(__xludf.DUMMYFUNCTION("""COMPUTED_VALUE"""),4.0)</f>
        <v>4</v>
      </c>
      <c r="D82" s="2" t="str">
        <f>IFERROR(__xludf.DUMMYFUNCTION("""COMPUTED_VALUE"""),"from")</f>
        <v>from</v>
      </c>
      <c r="E82" s="2">
        <f>IFERROR(__xludf.DUMMYFUNCTION("""COMPUTED_VALUE"""),7.0)</f>
        <v>7</v>
      </c>
      <c r="F82" s="2" t="str">
        <f>IFERROR(__xludf.DUMMYFUNCTION("""COMPUTED_VALUE"""),"to")</f>
        <v>to</v>
      </c>
      <c r="G82" s="2">
        <f>IFERROR(__xludf.DUMMYFUNCTION("""COMPUTED_VALUE"""),8.0)</f>
        <v>8</v>
      </c>
    </row>
    <row r="83">
      <c r="A83" s="1" t="s">
        <v>82</v>
      </c>
      <c r="B83" s="2" t="str">
        <f>IFERROR(__xludf.DUMMYFUNCTION("SPLIT(A83, "" "")"),"move")</f>
        <v>move</v>
      </c>
      <c r="C83" s="2">
        <f>IFERROR(__xludf.DUMMYFUNCTION("""COMPUTED_VALUE"""),7.0)</f>
        <v>7</v>
      </c>
      <c r="D83" s="2" t="str">
        <f>IFERROR(__xludf.DUMMYFUNCTION("""COMPUTED_VALUE"""),"from")</f>
        <v>from</v>
      </c>
      <c r="E83" s="2">
        <f>IFERROR(__xludf.DUMMYFUNCTION("""COMPUTED_VALUE"""),5.0)</f>
        <v>5</v>
      </c>
      <c r="F83" s="2" t="str">
        <f>IFERROR(__xludf.DUMMYFUNCTION("""COMPUTED_VALUE"""),"to")</f>
        <v>to</v>
      </c>
      <c r="G83" s="2">
        <f>IFERROR(__xludf.DUMMYFUNCTION("""COMPUTED_VALUE"""),1.0)</f>
        <v>1</v>
      </c>
    </row>
    <row r="84">
      <c r="A84" s="1" t="s">
        <v>83</v>
      </c>
      <c r="B84" s="2" t="str">
        <f>IFERROR(__xludf.DUMMYFUNCTION("SPLIT(A84, "" "")"),"move")</f>
        <v>move</v>
      </c>
      <c r="C84" s="2">
        <f>IFERROR(__xludf.DUMMYFUNCTION("""COMPUTED_VALUE"""),4.0)</f>
        <v>4</v>
      </c>
      <c r="D84" s="2" t="str">
        <f>IFERROR(__xludf.DUMMYFUNCTION("""COMPUTED_VALUE"""),"from")</f>
        <v>from</v>
      </c>
      <c r="E84" s="2">
        <f>IFERROR(__xludf.DUMMYFUNCTION("""COMPUTED_VALUE"""),6.0)</f>
        <v>6</v>
      </c>
      <c r="F84" s="2" t="str">
        <f>IFERROR(__xludf.DUMMYFUNCTION("""COMPUTED_VALUE"""),"to")</f>
        <v>to</v>
      </c>
      <c r="G84" s="2">
        <f>IFERROR(__xludf.DUMMYFUNCTION("""COMPUTED_VALUE"""),3.0)</f>
        <v>3</v>
      </c>
    </row>
    <row r="85">
      <c r="A85" s="1" t="s">
        <v>84</v>
      </c>
      <c r="B85" s="2" t="str">
        <f>IFERROR(__xludf.DUMMYFUNCTION("SPLIT(A85, "" "")"),"move")</f>
        <v>move</v>
      </c>
      <c r="C85" s="2">
        <f>IFERROR(__xludf.DUMMYFUNCTION("""COMPUTED_VALUE"""),2.0)</f>
        <v>2</v>
      </c>
      <c r="D85" s="2" t="str">
        <f>IFERROR(__xludf.DUMMYFUNCTION("""COMPUTED_VALUE"""),"from")</f>
        <v>from</v>
      </c>
      <c r="E85" s="2">
        <f>IFERROR(__xludf.DUMMYFUNCTION("""COMPUTED_VALUE"""),3.0)</f>
        <v>3</v>
      </c>
      <c r="F85" s="2" t="str">
        <f>IFERROR(__xludf.DUMMYFUNCTION("""COMPUTED_VALUE"""),"to")</f>
        <v>to</v>
      </c>
      <c r="G85" s="2">
        <f>IFERROR(__xludf.DUMMYFUNCTION("""COMPUTED_VALUE"""),7.0)</f>
        <v>7</v>
      </c>
    </row>
    <row r="86">
      <c r="A86" s="1" t="s">
        <v>85</v>
      </c>
      <c r="B86" s="2" t="str">
        <f>IFERROR(__xludf.DUMMYFUNCTION("SPLIT(A86, "" "")"),"move")</f>
        <v>move</v>
      </c>
      <c r="C86" s="2">
        <f>IFERROR(__xludf.DUMMYFUNCTION("""COMPUTED_VALUE"""),6.0)</f>
        <v>6</v>
      </c>
      <c r="D86" s="2" t="str">
        <f>IFERROR(__xludf.DUMMYFUNCTION("""COMPUTED_VALUE"""),"from")</f>
        <v>from</v>
      </c>
      <c r="E86" s="2">
        <f>IFERROR(__xludf.DUMMYFUNCTION("""COMPUTED_VALUE"""),5.0)</f>
        <v>5</v>
      </c>
      <c r="F86" s="2" t="str">
        <f>IFERROR(__xludf.DUMMYFUNCTION("""COMPUTED_VALUE"""),"to")</f>
        <v>to</v>
      </c>
      <c r="G86" s="2">
        <f>IFERROR(__xludf.DUMMYFUNCTION("""COMPUTED_VALUE"""),3.0)</f>
        <v>3</v>
      </c>
    </row>
    <row r="87">
      <c r="A87" s="1" t="s">
        <v>86</v>
      </c>
      <c r="B87" s="2" t="str">
        <f>IFERROR(__xludf.DUMMYFUNCTION("SPLIT(A87, "" "")"),"move")</f>
        <v>move</v>
      </c>
      <c r="C87" s="2">
        <f>IFERROR(__xludf.DUMMYFUNCTION("""COMPUTED_VALUE"""),2.0)</f>
        <v>2</v>
      </c>
      <c r="D87" s="2" t="str">
        <f>IFERROR(__xludf.DUMMYFUNCTION("""COMPUTED_VALUE"""),"from")</f>
        <v>from</v>
      </c>
      <c r="E87" s="2">
        <f>IFERROR(__xludf.DUMMYFUNCTION("""COMPUTED_VALUE"""),8.0)</f>
        <v>8</v>
      </c>
      <c r="F87" s="2" t="str">
        <f>IFERROR(__xludf.DUMMYFUNCTION("""COMPUTED_VALUE"""),"to")</f>
        <v>to</v>
      </c>
      <c r="G87" s="2">
        <f>IFERROR(__xludf.DUMMYFUNCTION("""COMPUTED_VALUE"""),2.0)</f>
        <v>2</v>
      </c>
    </row>
    <row r="88">
      <c r="A88" s="1" t="s">
        <v>87</v>
      </c>
      <c r="B88" s="2" t="str">
        <f>IFERROR(__xludf.DUMMYFUNCTION("SPLIT(A88, "" "")"),"move")</f>
        <v>move</v>
      </c>
      <c r="C88" s="2">
        <f>IFERROR(__xludf.DUMMYFUNCTION("""COMPUTED_VALUE"""),14.0)</f>
        <v>14</v>
      </c>
      <c r="D88" s="2" t="str">
        <f>IFERROR(__xludf.DUMMYFUNCTION("""COMPUTED_VALUE"""),"from")</f>
        <v>from</v>
      </c>
      <c r="E88" s="2">
        <f>IFERROR(__xludf.DUMMYFUNCTION("""COMPUTED_VALUE"""),6.0)</f>
        <v>6</v>
      </c>
      <c r="F88" s="2" t="str">
        <f>IFERROR(__xludf.DUMMYFUNCTION("""COMPUTED_VALUE"""),"to")</f>
        <v>to</v>
      </c>
      <c r="G88" s="2">
        <f>IFERROR(__xludf.DUMMYFUNCTION("""COMPUTED_VALUE"""),2.0)</f>
        <v>2</v>
      </c>
    </row>
    <row r="89">
      <c r="A89" s="1" t="s">
        <v>88</v>
      </c>
      <c r="B89" s="2" t="str">
        <f>IFERROR(__xludf.DUMMYFUNCTION("SPLIT(A89, "" "")"),"move")</f>
        <v>move</v>
      </c>
      <c r="C89" s="2">
        <f>IFERROR(__xludf.DUMMYFUNCTION("""COMPUTED_VALUE"""),3.0)</f>
        <v>3</v>
      </c>
      <c r="D89" s="2" t="str">
        <f>IFERROR(__xludf.DUMMYFUNCTION("""COMPUTED_VALUE"""),"from")</f>
        <v>from</v>
      </c>
      <c r="E89" s="2">
        <f>IFERROR(__xludf.DUMMYFUNCTION("""COMPUTED_VALUE"""),8.0)</f>
        <v>8</v>
      </c>
      <c r="F89" s="2" t="str">
        <f>IFERROR(__xludf.DUMMYFUNCTION("""COMPUTED_VALUE"""),"to")</f>
        <v>to</v>
      </c>
      <c r="G89" s="2">
        <f>IFERROR(__xludf.DUMMYFUNCTION("""COMPUTED_VALUE"""),1.0)</f>
        <v>1</v>
      </c>
    </row>
    <row r="90">
      <c r="A90" s="1" t="s">
        <v>89</v>
      </c>
      <c r="B90" s="2" t="str">
        <f>IFERROR(__xludf.DUMMYFUNCTION("SPLIT(A90, "" "")"),"move")</f>
        <v>move</v>
      </c>
      <c r="C90" s="2">
        <f>IFERROR(__xludf.DUMMYFUNCTION("""COMPUTED_VALUE"""),15.0)</f>
        <v>15</v>
      </c>
      <c r="D90" s="2" t="str">
        <f>IFERROR(__xludf.DUMMYFUNCTION("""COMPUTED_VALUE"""),"from")</f>
        <v>from</v>
      </c>
      <c r="E90" s="2">
        <f>IFERROR(__xludf.DUMMYFUNCTION("""COMPUTED_VALUE"""),2.0)</f>
        <v>2</v>
      </c>
      <c r="F90" s="2" t="str">
        <f>IFERROR(__xludf.DUMMYFUNCTION("""COMPUTED_VALUE"""),"to")</f>
        <v>to</v>
      </c>
      <c r="G90" s="2">
        <f>IFERROR(__xludf.DUMMYFUNCTION("""COMPUTED_VALUE"""),3.0)</f>
        <v>3</v>
      </c>
    </row>
    <row r="91">
      <c r="A91" s="1" t="s">
        <v>90</v>
      </c>
      <c r="B91" s="2" t="str">
        <f>IFERROR(__xludf.DUMMYFUNCTION("SPLIT(A91, "" "")"),"move")</f>
        <v>move</v>
      </c>
      <c r="C91" s="2">
        <f>IFERROR(__xludf.DUMMYFUNCTION("""COMPUTED_VALUE"""),1.0)</f>
        <v>1</v>
      </c>
      <c r="D91" s="2" t="str">
        <f>IFERROR(__xludf.DUMMYFUNCTION("""COMPUTED_VALUE"""),"from")</f>
        <v>from</v>
      </c>
      <c r="E91" s="2">
        <f>IFERROR(__xludf.DUMMYFUNCTION("""COMPUTED_VALUE"""),6.0)</f>
        <v>6</v>
      </c>
      <c r="F91" s="2" t="str">
        <f>IFERROR(__xludf.DUMMYFUNCTION("""COMPUTED_VALUE"""),"to")</f>
        <v>to</v>
      </c>
      <c r="G91" s="2">
        <f>IFERROR(__xludf.DUMMYFUNCTION("""COMPUTED_VALUE"""),1.0)</f>
        <v>1</v>
      </c>
    </row>
    <row r="92">
      <c r="A92" s="1" t="s">
        <v>91</v>
      </c>
      <c r="B92" s="2" t="str">
        <f>IFERROR(__xludf.DUMMYFUNCTION("SPLIT(A92, "" "")"),"move")</f>
        <v>move</v>
      </c>
      <c r="C92" s="2">
        <f>IFERROR(__xludf.DUMMYFUNCTION("""COMPUTED_VALUE"""),14.0)</f>
        <v>14</v>
      </c>
      <c r="D92" s="2" t="str">
        <f>IFERROR(__xludf.DUMMYFUNCTION("""COMPUTED_VALUE"""),"from")</f>
        <v>from</v>
      </c>
      <c r="E92" s="2">
        <f>IFERROR(__xludf.DUMMYFUNCTION("""COMPUTED_VALUE"""),3.0)</f>
        <v>3</v>
      </c>
      <c r="F92" s="2" t="str">
        <f>IFERROR(__xludf.DUMMYFUNCTION("""COMPUTED_VALUE"""),"to")</f>
        <v>to</v>
      </c>
      <c r="G92" s="2">
        <f>IFERROR(__xludf.DUMMYFUNCTION("""COMPUTED_VALUE"""),2.0)</f>
        <v>2</v>
      </c>
    </row>
    <row r="93">
      <c r="A93" s="1" t="s">
        <v>13</v>
      </c>
      <c r="B93" s="2" t="str">
        <f>IFERROR(__xludf.DUMMYFUNCTION("SPLIT(A93, "" "")"),"move")</f>
        <v>move</v>
      </c>
      <c r="C93" s="2">
        <f>IFERROR(__xludf.DUMMYFUNCTION("""COMPUTED_VALUE"""),2.0)</f>
        <v>2</v>
      </c>
      <c r="D93" s="2" t="str">
        <f>IFERROR(__xludf.DUMMYFUNCTION("""COMPUTED_VALUE"""),"from")</f>
        <v>from</v>
      </c>
      <c r="E93" s="2">
        <f>IFERROR(__xludf.DUMMYFUNCTION("""COMPUTED_VALUE"""),2.0)</f>
        <v>2</v>
      </c>
      <c r="F93" s="2" t="str">
        <f>IFERROR(__xludf.DUMMYFUNCTION("""COMPUTED_VALUE"""),"to")</f>
        <v>to</v>
      </c>
      <c r="G93" s="2">
        <f>IFERROR(__xludf.DUMMYFUNCTION("""COMPUTED_VALUE"""),5.0)</f>
        <v>5</v>
      </c>
    </row>
    <row r="94">
      <c r="A94" s="1" t="s">
        <v>92</v>
      </c>
      <c r="B94" s="2" t="str">
        <f>IFERROR(__xludf.DUMMYFUNCTION("SPLIT(A94, "" "")"),"move")</f>
        <v>move</v>
      </c>
      <c r="C94" s="2">
        <f>IFERROR(__xludf.DUMMYFUNCTION("""COMPUTED_VALUE"""),1.0)</f>
        <v>1</v>
      </c>
      <c r="D94" s="2" t="str">
        <f>IFERROR(__xludf.DUMMYFUNCTION("""COMPUTED_VALUE"""),"from")</f>
        <v>from</v>
      </c>
      <c r="E94" s="2">
        <f>IFERROR(__xludf.DUMMYFUNCTION("""COMPUTED_VALUE"""),9.0)</f>
        <v>9</v>
      </c>
      <c r="F94" s="2" t="str">
        <f>IFERROR(__xludf.DUMMYFUNCTION("""COMPUTED_VALUE"""),"to")</f>
        <v>to</v>
      </c>
      <c r="G94" s="2">
        <f>IFERROR(__xludf.DUMMYFUNCTION("""COMPUTED_VALUE"""),3.0)</f>
        <v>3</v>
      </c>
    </row>
    <row r="95">
      <c r="A95" s="1" t="s">
        <v>93</v>
      </c>
      <c r="B95" s="2" t="str">
        <f>IFERROR(__xludf.DUMMYFUNCTION("SPLIT(A95, "" "")"),"move")</f>
        <v>move</v>
      </c>
      <c r="C95" s="2">
        <f>IFERROR(__xludf.DUMMYFUNCTION("""COMPUTED_VALUE"""),13.0)</f>
        <v>13</v>
      </c>
      <c r="D95" s="2" t="str">
        <f>IFERROR(__xludf.DUMMYFUNCTION("""COMPUTED_VALUE"""),"from")</f>
        <v>from</v>
      </c>
      <c r="E95" s="2">
        <f>IFERROR(__xludf.DUMMYFUNCTION("""COMPUTED_VALUE"""),1.0)</f>
        <v>1</v>
      </c>
      <c r="F95" s="2" t="str">
        <f>IFERROR(__xludf.DUMMYFUNCTION("""COMPUTED_VALUE"""),"to")</f>
        <v>to</v>
      </c>
      <c r="G95" s="2">
        <f>IFERROR(__xludf.DUMMYFUNCTION("""COMPUTED_VALUE"""),3.0)</f>
        <v>3</v>
      </c>
    </row>
    <row r="96">
      <c r="A96" s="1" t="s">
        <v>94</v>
      </c>
      <c r="B96" s="2" t="str">
        <f>IFERROR(__xludf.DUMMYFUNCTION("SPLIT(A96, "" "")"),"move")</f>
        <v>move</v>
      </c>
      <c r="C96" s="2">
        <f>IFERROR(__xludf.DUMMYFUNCTION("""COMPUTED_VALUE"""),4.0)</f>
        <v>4</v>
      </c>
      <c r="D96" s="2" t="str">
        <f>IFERROR(__xludf.DUMMYFUNCTION("""COMPUTED_VALUE"""),"from")</f>
        <v>from</v>
      </c>
      <c r="E96" s="2">
        <f>IFERROR(__xludf.DUMMYFUNCTION("""COMPUTED_VALUE"""),2.0)</f>
        <v>2</v>
      </c>
      <c r="F96" s="2" t="str">
        <f>IFERROR(__xludf.DUMMYFUNCTION("""COMPUTED_VALUE"""),"to")</f>
        <v>to</v>
      </c>
      <c r="G96" s="2">
        <f>IFERROR(__xludf.DUMMYFUNCTION("""COMPUTED_VALUE"""),6.0)</f>
        <v>6</v>
      </c>
    </row>
    <row r="97">
      <c r="A97" s="1" t="s">
        <v>95</v>
      </c>
      <c r="B97" s="2" t="str">
        <f>IFERROR(__xludf.DUMMYFUNCTION("SPLIT(A97, "" "")"),"move")</f>
        <v>move</v>
      </c>
      <c r="C97" s="2">
        <f>IFERROR(__xludf.DUMMYFUNCTION("""COMPUTED_VALUE"""),10.0)</f>
        <v>10</v>
      </c>
      <c r="D97" s="2" t="str">
        <f>IFERROR(__xludf.DUMMYFUNCTION("""COMPUTED_VALUE"""),"from")</f>
        <v>from</v>
      </c>
      <c r="E97" s="2">
        <f>IFERROR(__xludf.DUMMYFUNCTION("""COMPUTED_VALUE"""),1.0)</f>
        <v>1</v>
      </c>
      <c r="F97" s="2" t="str">
        <f>IFERROR(__xludf.DUMMYFUNCTION("""COMPUTED_VALUE"""),"to")</f>
        <v>to</v>
      </c>
      <c r="G97" s="2">
        <f>IFERROR(__xludf.DUMMYFUNCTION("""COMPUTED_VALUE"""),3.0)</f>
        <v>3</v>
      </c>
    </row>
    <row r="98">
      <c r="A98" s="1" t="s">
        <v>96</v>
      </c>
      <c r="B98" s="2" t="str">
        <f>IFERROR(__xludf.DUMMYFUNCTION("SPLIT(A98, "" "")"),"move")</f>
        <v>move</v>
      </c>
      <c r="C98" s="2">
        <f>IFERROR(__xludf.DUMMYFUNCTION("""COMPUTED_VALUE"""),2.0)</f>
        <v>2</v>
      </c>
      <c r="D98" s="2" t="str">
        <f>IFERROR(__xludf.DUMMYFUNCTION("""COMPUTED_VALUE"""),"from")</f>
        <v>from</v>
      </c>
      <c r="E98" s="2">
        <f>IFERROR(__xludf.DUMMYFUNCTION("""COMPUTED_VALUE"""),6.0)</f>
        <v>6</v>
      </c>
      <c r="F98" s="2" t="str">
        <f>IFERROR(__xludf.DUMMYFUNCTION("""COMPUTED_VALUE"""),"to")</f>
        <v>to</v>
      </c>
      <c r="G98" s="2">
        <f>IFERROR(__xludf.DUMMYFUNCTION("""COMPUTED_VALUE"""),9.0)</f>
        <v>9</v>
      </c>
    </row>
    <row r="99">
      <c r="A99" s="1" t="s">
        <v>97</v>
      </c>
      <c r="B99" s="2" t="str">
        <f>IFERROR(__xludf.DUMMYFUNCTION("SPLIT(A99, "" "")"),"move")</f>
        <v>move</v>
      </c>
      <c r="C99" s="2">
        <f>IFERROR(__xludf.DUMMYFUNCTION("""COMPUTED_VALUE"""),6.0)</f>
        <v>6</v>
      </c>
      <c r="D99" s="2" t="str">
        <f>IFERROR(__xludf.DUMMYFUNCTION("""COMPUTED_VALUE"""),"from")</f>
        <v>from</v>
      </c>
      <c r="E99" s="2">
        <f>IFERROR(__xludf.DUMMYFUNCTION("""COMPUTED_VALUE"""),2.0)</f>
        <v>2</v>
      </c>
      <c r="F99" s="2" t="str">
        <f>IFERROR(__xludf.DUMMYFUNCTION("""COMPUTED_VALUE"""),"to")</f>
        <v>to</v>
      </c>
      <c r="G99" s="2">
        <f>IFERROR(__xludf.DUMMYFUNCTION("""COMPUTED_VALUE"""),9.0)</f>
        <v>9</v>
      </c>
    </row>
    <row r="100">
      <c r="A100" s="1" t="s">
        <v>98</v>
      </c>
      <c r="B100" s="2" t="str">
        <f>IFERROR(__xludf.DUMMYFUNCTION("SPLIT(A100, "" "")"),"move")</f>
        <v>move</v>
      </c>
      <c r="C100" s="2">
        <f>IFERROR(__xludf.DUMMYFUNCTION("""COMPUTED_VALUE"""),6.0)</f>
        <v>6</v>
      </c>
      <c r="D100" s="2" t="str">
        <f>IFERROR(__xludf.DUMMYFUNCTION("""COMPUTED_VALUE"""),"from")</f>
        <v>from</v>
      </c>
      <c r="E100" s="2">
        <f>IFERROR(__xludf.DUMMYFUNCTION("""COMPUTED_VALUE"""),5.0)</f>
        <v>5</v>
      </c>
      <c r="F100" s="2" t="str">
        <f>IFERROR(__xludf.DUMMYFUNCTION("""COMPUTED_VALUE"""),"to")</f>
        <v>to</v>
      </c>
      <c r="G100" s="2">
        <f>IFERROR(__xludf.DUMMYFUNCTION("""COMPUTED_VALUE"""),2.0)</f>
        <v>2</v>
      </c>
    </row>
    <row r="101">
      <c r="A101" s="1" t="s">
        <v>35</v>
      </c>
      <c r="B101" s="2" t="str">
        <f>IFERROR(__xludf.DUMMYFUNCTION("SPLIT(A101, "" "")"),"move")</f>
        <v>move</v>
      </c>
      <c r="C101" s="2">
        <f>IFERROR(__xludf.DUMMYFUNCTION("""COMPUTED_VALUE"""),2.0)</f>
        <v>2</v>
      </c>
      <c r="D101" s="2" t="str">
        <f>IFERROR(__xludf.DUMMYFUNCTION("""COMPUTED_VALUE"""),"from")</f>
        <v>from</v>
      </c>
      <c r="E101" s="2">
        <f>IFERROR(__xludf.DUMMYFUNCTION("""COMPUTED_VALUE"""),6.0)</f>
        <v>6</v>
      </c>
      <c r="F101" s="2" t="str">
        <f>IFERROR(__xludf.DUMMYFUNCTION("""COMPUTED_VALUE"""),"to")</f>
        <v>to</v>
      </c>
      <c r="G101" s="2">
        <f>IFERROR(__xludf.DUMMYFUNCTION("""COMPUTED_VALUE"""),8.0)</f>
        <v>8</v>
      </c>
    </row>
    <row r="102">
      <c r="A102" s="1" t="s">
        <v>99</v>
      </c>
      <c r="B102" s="2" t="str">
        <f>IFERROR(__xludf.DUMMYFUNCTION("SPLIT(A102, "" "")"),"move")</f>
        <v>move</v>
      </c>
      <c r="C102" s="2">
        <f>IFERROR(__xludf.DUMMYFUNCTION("""COMPUTED_VALUE"""),7.0)</f>
        <v>7</v>
      </c>
      <c r="D102" s="2" t="str">
        <f>IFERROR(__xludf.DUMMYFUNCTION("""COMPUTED_VALUE"""),"from")</f>
        <v>from</v>
      </c>
      <c r="E102" s="2">
        <f>IFERROR(__xludf.DUMMYFUNCTION("""COMPUTED_VALUE"""),9.0)</f>
        <v>9</v>
      </c>
      <c r="F102" s="2" t="str">
        <f>IFERROR(__xludf.DUMMYFUNCTION("""COMPUTED_VALUE"""),"to")</f>
        <v>to</v>
      </c>
      <c r="G102" s="2">
        <f>IFERROR(__xludf.DUMMYFUNCTION("""COMPUTED_VALUE"""),5.0)</f>
        <v>5</v>
      </c>
    </row>
    <row r="103">
      <c r="A103" s="1" t="s">
        <v>42</v>
      </c>
      <c r="B103" s="2" t="str">
        <f>IFERROR(__xludf.DUMMYFUNCTION("SPLIT(A103, "" "")"),"move")</f>
        <v>move</v>
      </c>
      <c r="C103" s="2">
        <f>IFERROR(__xludf.DUMMYFUNCTION("""COMPUTED_VALUE"""),1.0)</f>
        <v>1</v>
      </c>
      <c r="D103" s="2" t="str">
        <f>IFERROR(__xludf.DUMMYFUNCTION("""COMPUTED_VALUE"""),"from")</f>
        <v>from</v>
      </c>
      <c r="E103" s="2">
        <f>IFERROR(__xludf.DUMMYFUNCTION("""COMPUTED_VALUE"""),5.0)</f>
        <v>5</v>
      </c>
      <c r="F103" s="2" t="str">
        <f>IFERROR(__xludf.DUMMYFUNCTION("""COMPUTED_VALUE"""),"to")</f>
        <v>to</v>
      </c>
      <c r="G103" s="2">
        <f>IFERROR(__xludf.DUMMYFUNCTION("""COMPUTED_VALUE"""),8.0)</f>
        <v>8</v>
      </c>
    </row>
    <row r="104">
      <c r="A104" s="1" t="s">
        <v>37</v>
      </c>
      <c r="B104" s="2" t="str">
        <f>IFERROR(__xludf.DUMMYFUNCTION("SPLIT(A104, "" "")"),"move")</f>
        <v>move</v>
      </c>
      <c r="C104" s="2">
        <f>IFERROR(__xludf.DUMMYFUNCTION("""COMPUTED_VALUE"""),2.0)</f>
        <v>2</v>
      </c>
      <c r="D104" s="2" t="str">
        <f>IFERROR(__xludf.DUMMYFUNCTION("""COMPUTED_VALUE"""),"from")</f>
        <v>from</v>
      </c>
      <c r="E104" s="2">
        <f>IFERROR(__xludf.DUMMYFUNCTION("""COMPUTED_VALUE"""),7.0)</f>
        <v>7</v>
      </c>
      <c r="F104" s="2" t="str">
        <f>IFERROR(__xludf.DUMMYFUNCTION("""COMPUTED_VALUE"""),"to")</f>
        <v>to</v>
      </c>
      <c r="G104" s="2">
        <f>IFERROR(__xludf.DUMMYFUNCTION("""COMPUTED_VALUE"""),6.0)</f>
        <v>6</v>
      </c>
    </row>
    <row r="105">
      <c r="A105" s="1" t="s">
        <v>100</v>
      </c>
      <c r="B105" s="2" t="str">
        <f>IFERROR(__xludf.DUMMYFUNCTION("SPLIT(A105, "" "")"),"move")</f>
        <v>move</v>
      </c>
      <c r="C105" s="2">
        <f>IFERROR(__xludf.DUMMYFUNCTION("""COMPUTED_VALUE"""),34.0)</f>
        <v>34</v>
      </c>
      <c r="D105" s="2" t="str">
        <f>IFERROR(__xludf.DUMMYFUNCTION("""COMPUTED_VALUE"""),"from")</f>
        <v>from</v>
      </c>
      <c r="E105" s="2">
        <f>IFERROR(__xludf.DUMMYFUNCTION("""COMPUTED_VALUE"""),3.0)</f>
        <v>3</v>
      </c>
      <c r="F105" s="2" t="str">
        <f>IFERROR(__xludf.DUMMYFUNCTION("""COMPUTED_VALUE"""),"to")</f>
        <v>to</v>
      </c>
      <c r="G105" s="2">
        <f>IFERROR(__xludf.DUMMYFUNCTION("""COMPUTED_VALUE"""),6.0)</f>
        <v>6</v>
      </c>
    </row>
    <row r="106">
      <c r="A106" s="1" t="s">
        <v>101</v>
      </c>
      <c r="B106" s="2" t="str">
        <f>IFERROR(__xludf.DUMMYFUNCTION("SPLIT(A106, "" "")"),"move")</f>
        <v>move</v>
      </c>
      <c r="C106" s="2">
        <f>IFERROR(__xludf.DUMMYFUNCTION("""COMPUTED_VALUE"""),19.0)</f>
        <v>19</v>
      </c>
      <c r="D106" s="2" t="str">
        <f>IFERROR(__xludf.DUMMYFUNCTION("""COMPUTED_VALUE"""),"from")</f>
        <v>from</v>
      </c>
      <c r="E106" s="2">
        <f>IFERROR(__xludf.DUMMYFUNCTION("""COMPUTED_VALUE"""),6.0)</f>
        <v>6</v>
      </c>
      <c r="F106" s="2" t="str">
        <f>IFERROR(__xludf.DUMMYFUNCTION("""COMPUTED_VALUE"""),"to")</f>
        <v>to</v>
      </c>
      <c r="G106" s="2">
        <f>IFERROR(__xludf.DUMMYFUNCTION("""COMPUTED_VALUE"""),2.0)</f>
        <v>2</v>
      </c>
    </row>
    <row r="107">
      <c r="A107" s="1" t="s">
        <v>102</v>
      </c>
      <c r="B107" s="2" t="str">
        <f>IFERROR(__xludf.DUMMYFUNCTION("SPLIT(A107, "" "")"),"move")</f>
        <v>move</v>
      </c>
      <c r="C107" s="2">
        <f>IFERROR(__xludf.DUMMYFUNCTION("""COMPUTED_VALUE"""),12.0)</f>
        <v>12</v>
      </c>
      <c r="D107" s="2" t="str">
        <f>IFERROR(__xludf.DUMMYFUNCTION("""COMPUTED_VALUE"""),"from")</f>
        <v>from</v>
      </c>
      <c r="E107" s="2">
        <f>IFERROR(__xludf.DUMMYFUNCTION("""COMPUTED_VALUE"""),6.0)</f>
        <v>6</v>
      </c>
      <c r="F107" s="2" t="str">
        <f>IFERROR(__xludf.DUMMYFUNCTION("""COMPUTED_VALUE"""),"to")</f>
        <v>to</v>
      </c>
      <c r="G107" s="2">
        <f>IFERROR(__xludf.DUMMYFUNCTION("""COMPUTED_VALUE"""),9.0)</f>
        <v>9</v>
      </c>
    </row>
    <row r="108">
      <c r="A108" s="1" t="s">
        <v>103</v>
      </c>
      <c r="B108" s="2" t="str">
        <f>IFERROR(__xludf.DUMMYFUNCTION("SPLIT(A108, "" "")"),"move")</f>
        <v>move</v>
      </c>
      <c r="C108" s="2">
        <f>IFERROR(__xludf.DUMMYFUNCTION("""COMPUTED_VALUE"""),3.0)</f>
        <v>3</v>
      </c>
      <c r="D108" s="2" t="str">
        <f>IFERROR(__xludf.DUMMYFUNCTION("""COMPUTED_VALUE"""),"from")</f>
        <v>from</v>
      </c>
      <c r="E108" s="2">
        <f>IFERROR(__xludf.DUMMYFUNCTION("""COMPUTED_VALUE"""),6.0)</f>
        <v>6</v>
      </c>
      <c r="F108" s="2" t="str">
        <f>IFERROR(__xludf.DUMMYFUNCTION("""COMPUTED_VALUE"""),"to")</f>
        <v>to</v>
      </c>
      <c r="G108" s="2">
        <f>IFERROR(__xludf.DUMMYFUNCTION("""COMPUTED_VALUE"""),3.0)</f>
        <v>3</v>
      </c>
    </row>
    <row r="109">
      <c r="A109" s="1" t="s">
        <v>104</v>
      </c>
      <c r="B109" s="2" t="str">
        <f>IFERROR(__xludf.DUMMYFUNCTION("SPLIT(A109, "" "")"),"move")</f>
        <v>move</v>
      </c>
      <c r="C109" s="2">
        <f>IFERROR(__xludf.DUMMYFUNCTION("""COMPUTED_VALUE"""),2.0)</f>
        <v>2</v>
      </c>
      <c r="D109" s="2" t="str">
        <f>IFERROR(__xludf.DUMMYFUNCTION("""COMPUTED_VALUE"""),"from")</f>
        <v>from</v>
      </c>
      <c r="E109" s="2">
        <f>IFERROR(__xludf.DUMMYFUNCTION("""COMPUTED_VALUE"""),3.0)</f>
        <v>3</v>
      </c>
      <c r="F109" s="2" t="str">
        <f>IFERROR(__xludf.DUMMYFUNCTION("""COMPUTED_VALUE"""),"to")</f>
        <v>to</v>
      </c>
      <c r="G109" s="2">
        <f>IFERROR(__xludf.DUMMYFUNCTION("""COMPUTED_VALUE"""),2.0)</f>
        <v>2</v>
      </c>
    </row>
    <row r="110">
      <c r="A110" s="1" t="s">
        <v>105</v>
      </c>
      <c r="B110" s="2" t="str">
        <f>IFERROR(__xludf.DUMMYFUNCTION("SPLIT(A110, "" "")"),"move")</f>
        <v>move</v>
      </c>
      <c r="C110" s="2">
        <f>IFERROR(__xludf.DUMMYFUNCTION("""COMPUTED_VALUE"""),1.0)</f>
        <v>1</v>
      </c>
      <c r="D110" s="2" t="str">
        <f>IFERROR(__xludf.DUMMYFUNCTION("""COMPUTED_VALUE"""),"from")</f>
        <v>from</v>
      </c>
      <c r="E110" s="2">
        <f>IFERROR(__xludf.DUMMYFUNCTION("""COMPUTED_VALUE"""),6.0)</f>
        <v>6</v>
      </c>
      <c r="F110" s="2" t="str">
        <f>IFERROR(__xludf.DUMMYFUNCTION("""COMPUTED_VALUE"""),"to")</f>
        <v>to</v>
      </c>
      <c r="G110" s="2">
        <f>IFERROR(__xludf.DUMMYFUNCTION("""COMPUTED_VALUE"""),5.0)</f>
        <v>5</v>
      </c>
    </row>
    <row r="111">
      <c r="A111" s="1" t="s">
        <v>106</v>
      </c>
      <c r="B111" s="2" t="str">
        <f>IFERROR(__xludf.DUMMYFUNCTION("SPLIT(A111, "" "")"),"move")</f>
        <v>move</v>
      </c>
      <c r="C111" s="2">
        <f>IFERROR(__xludf.DUMMYFUNCTION("""COMPUTED_VALUE"""),17.0)</f>
        <v>17</v>
      </c>
      <c r="D111" s="2" t="str">
        <f>IFERROR(__xludf.DUMMYFUNCTION("""COMPUTED_VALUE"""),"from")</f>
        <v>from</v>
      </c>
      <c r="E111" s="2">
        <f>IFERROR(__xludf.DUMMYFUNCTION("""COMPUTED_VALUE"""),2.0)</f>
        <v>2</v>
      </c>
      <c r="F111" s="2" t="str">
        <f>IFERROR(__xludf.DUMMYFUNCTION("""COMPUTED_VALUE"""),"to")</f>
        <v>to</v>
      </c>
      <c r="G111" s="2">
        <f>IFERROR(__xludf.DUMMYFUNCTION("""COMPUTED_VALUE"""),8.0)</f>
        <v>8</v>
      </c>
    </row>
    <row r="112">
      <c r="A112" s="1" t="s">
        <v>104</v>
      </c>
      <c r="B112" s="2" t="str">
        <f>IFERROR(__xludf.DUMMYFUNCTION("SPLIT(A112, "" "")"),"move")</f>
        <v>move</v>
      </c>
      <c r="C112" s="2">
        <f>IFERROR(__xludf.DUMMYFUNCTION("""COMPUTED_VALUE"""),2.0)</f>
        <v>2</v>
      </c>
      <c r="D112" s="2" t="str">
        <f>IFERROR(__xludf.DUMMYFUNCTION("""COMPUTED_VALUE"""),"from")</f>
        <v>from</v>
      </c>
      <c r="E112" s="2">
        <f>IFERROR(__xludf.DUMMYFUNCTION("""COMPUTED_VALUE"""),3.0)</f>
        <v>3</v>
      </c>
      <c r="F112" s="2" t="str">
        <f>IFERROR(__xludf.DUMMYFUNCTION("""COMPUTED_VALUE"""),"to")</f>
        <v>to</v>
      </c>
      <c r="G112" s="2">
        <f>IFERROR(__xludf.DUMMYFUNCTION("""COMPUTED_VALUE"""),2.0)</f>
        <v>2</v>
      </c>
    </row>
    <row r="113">
      <c r="A113" s="1" t="s">
        <v>107</v>
      </c>
      <c r="B113" s="2" t="str">
        <f>IFERROR(__xludf.DUMMYFUNCTION("SPLIT(A113, "" "")"),"move")</f>
        <v>move</v>
      </c>
      <c r="C113" s="2">
        <f>IFERROR(__xludf.DUMMYFUNCTION("""COMPUTED_VALUE"""),8.0)</f>
        <v>8</v>
      </c>
      <c r="D113" s="2" t="str">
        <f>IFERROR(__xludf.DUMMYFUNCTION("""COMPUTED_VALUE"""),"from")</f>
        <v>from</v>
      </c>
      <c r="E113" s="2">
        <f>IFERROR(__xludf.DUMMYFUNCTION("""COMPUTED_VALUE"""),9.0)</f>
        <v>9</v>
      </c>
      <c r="F113" s="2" t="str">
        <f>IFERROR(__xludf.DUMMYFUNCTION("""COMPUTED_VALUE"""),"to")</f>
        <v>to</v>
      </c>
      <c r="G113" s="2">
        <f>IFERROR(__xludf.DUMMYFUNCTION("""COMPUTED_VALUE"""),4.0)</f>
        <v>4</v>
      </c>
    </row>
    <row r="114">
      <c r="A114" s="1" t="s">
        <v>108</v>
      </c>
      <c r="B114" s="2" t="str">
        <f>IFERROR(__xludf.DUMMYFUNCTION("SPLIT(A114, "" "")"),"move")</f>
        <v>move</v>
      </c>
      <c r="C114" s="2">
        <f>IFERROR(__xludf.DUMMYFUNCTION("""COMPUTED_VALUE"""),7.0)</f>
        <v>7</v>
      </c>
      <c r="D114" s="2" t="str">
        <f>IFERROR(__xludf.DUMMYFUNCTION("""COMPUTED_VALUE"""),"from")</f>
        <v>from</v>
      </c>
      <c r="E114" s="2">
        <f>IFERROR(__xludf.DUMMYFUNCTION("""COMPUTED_VALUE"""),5.0)</f>
        <v>5</v>
      </c>
      <c r="F114" s="2" t="str">
        <f>IFERROR(__xludf.DUMMYFUNCTION("""COMPUTED_VALUE"""),"to")</f>
        <v>to</v>
      </c>
      <c r="G114" s="2">
        <f>IFERROR(__xludf.DUMMYFUNCTION("""COMPUTED_VALUE"""),2.0)</f>
        <v>2</v>
      </c>
    </row>
    <row r="115">
      <c r="A115" s="1" t="s">
        <v>109</v>
      </c>
      <c r="B115" s="2" t="str">
        <f>IFERROR(__xludf.DUMMYFUNCTION("SPLIT(A115, "" "")"),"move")</f>
        <v>move</v>
      </c>
      <c r="C115" s="2">
        <f>IFERROR(__xludf.DUMMYFUNCTION("""COMPUTED_VALUE"""),5.0)</f>
        <v>5</v>
      </c>
      <c r="D115" s="2" t="str">
        <f>IFERROR(__xludf.DUMMYFUNCTION("""COMPUTED_VALUE"""),"from")</f>
        <v>from</v>
      </c>
      <c r="E115" s="2">
        <f>IFERROR(__xludf.DUMMYFUNCTION("""COMPUTED_VALUE"""),4.0)</f>
        <v>4</v>
      </c>
      <c r="F115" s="2" t="str">
        <f>IFERROR(__xludf.DUMMYFUNCTION("""COMPUTED_VALUE"""),"to")</f>
        <v>to</v>
      </c>
      <c r="G115" s="2">
        <f>IFERROR(__xludf.DUMMYFUNCTION("""COMPUTED_VALUE"""),1.0)</f>
        <v>1</v>
      </c>
    </row>
    <row r="116">
      <c r="A116" s="1" t="s">
        <v>110</v>
      </c>
      <c r="B116" s="2" t="str">
        <f>IFERROR(__xludf.DUMMYFUNCTION("SPLIT(A116, "" "")"),"move")</f>
        <v>move</v>
      </c>
      <c r="C116" s="2">
        <f>IFERROR(__xludf.DUMMYFUNCTION("""COMPUTED_VALUE"""),4.0)</f>
        <v>4</v>
      </c>
      <c r="D116" s="2" t="str">
        <f>IFERROR(__xludf.DUMMYFUNCTION("""COMPUTED_VALUE"""),"from")</f>
        <v>from</v>
      </c>
      <c r="E116" s="2">
        <f>IFERROR(__xludf.DUMMYFUNCTION("""COMPUTED_VALUE"""),1.0)</f>
        <v>1</v>
      </c>
      <c r="F116" s="2" t="str">
        <f>IFERROR(__xludf.DUMMYFUNCTION("""COMPUTED_VALUE"""),"to")</f>
        <v>to</v>
      </c>
      <c r="G116" s="2">
        <f>IFERROR(__xludf.DUMMYFUNCTION("""COMPUTED_VALUE"""),6.0)</f>
        <v>6</v>
      </c>
    </row>
    <row r="117">
      <c r="A117" s="1" t="s">
        <v>111</v>
      </c>
      <c r="B117" s="2" t="str">
        <f>IFERROR(__xludf.DUMMYFUNCTION("SPLIT(A117, "" "")"),"move")</f>
        <v>move</v>
      </c>
      <c r="C117" s="2">
        <f>IFERROR(__xludf.DUMMYFUNCTION("""COMPUTED_VALUE"""),1.0)</f>
        <v>1</v>
      </c>
      <c r="D117" s="2" t="str">
        <f>IFERROR(__xludf.DUMMYFUNCTION("""COMPUTED_VALUE"""),"from")</f>
        <v>from</v>
      </c>
      <c r="E117" s="2">
        <f>IFERROR(__xludf.DUMMYFUNCTION("""COMPUTED_VALUE"""),1.0)</f>
        <v>1</v>
      </c>
      <c r="F117" s="2" t="str">
        <f>IFERROR(__xludf.DUMMYFUNCTION("""COMPUTED_VALUE"""),"to")</f>
        <v>to</v>
      </c>
      <c r="G117" s="2">
        <f>IFERROR(__xludf.DUMMYFUNCTION("""COMPUTED_VALUE"""),6.0)</f>
        <v>6</v>
      </c>
    </row>
    <row r="118">
      <c r="A118" s="1" t="s">
        <v>112</v>
      </c>
      <c r="B118" s="2" t="str">
        <f>IFERROR(__xludf.DUMMYFUNCTION("SPLIT(A118, "" "")"),"move")</f>
        <v>move</v>
      </c>
      <c r="C118" s="2">
        <f>IFERROR(__xludf.DUMMYFUNCTION("""COMPUTED_VALUE"""),6.0)</f>
        <v>6</v>
      </c>
      <c r="D118" s="2" t="str">
        <f>IFERROR(__xludf.DUMMYFUNCTION("""COMPUTED_VALUE"""),"from")</f>
        <v>from</v>
      </c>
      <c r="E118" s="2">
        <f>IFERROR(__xludf.DUMMYFUNCTION("""COMPUTED_VALUE"""),6.0)</f>
        <v>6</v>
      </c>
      <c r="F118" s="2" t="str">
        <f>IFERROR(__xludf.DUMMYFUNCTION("""COMPUTED_VALUE"""),"to")</f>
        <v>to</v>
      </c>
      <c r="G118" s="2">
        <f>IFERROR(__xludf.DUMMYFUNCTION("""COMPUTED_VALUE"""),8.0)</f>
        <v>8</v>
      </c>
    </row>
    <row r="119">
      <c r="A119" s="1" t="s">
        <v>21</v>
      </c>
      <c r="B119" s="2" t="str">
        <f>IFERROR(__xludf.DUMMYFUNCTION("SPLIT(A119, "" "")"),"move")</f>
        <v>move</v>
      </c>
      <c r="C119" s="2">
        <f>IFERROR(__xludf.DUMMYFUNCTION("""COMPUTED_VALUE"""),2.0)</f>
        <v>2</v>
      </c>
      <c r="D119" s="2" t="str">
        <f>IFERROR(__xludf.DUMMYFUNCTION("""COMPUTED_VALUE"""),"from")</f>
        <v>from</v>
      </c>
      <c r="E119" s="2">
        <f>IFERROR(__xludf.DUMMYFUNCTION("""COMPUTED_VALUE"""),8.0)</f>
        <v>8</v>
      </c>
      <c r="F119" s="2" t="str">
        <f>IFERROR(__xludf.DUMMYFUNCTION("""COMPUTED_VALUE"""),"to")</f>
        <v>to</v>
      </c>
      <c r="G119" s="2">
        <f>IFERROR(__xludf.DUMMYFUNCTION("""COMPUTED_VALUE"""),4.0)</f>
        <v>4</v>
      </c>
    </row>
    <row r="120">
      <c r="A120" s="1" t="s">
        <v>113</v>
      </c>
      <c r="B120" s="2" t="str">
        <f>IFERROR(__xludf.DUMMYFUNCTION("SPLIT(A120, "" "")"),"move")</f>
        <v>move</v>
      </c>
      <c r="C120" s="2">
        <f>IFERROR(__xludf.DUMMYFUNCTION("""COMPUTED_VALUE"""),17.0)</f>
        <v>17</v>
      </c>
      <c r="D120" s="2" t="str">
        <f>IFERROR(__xludf.DUMMYFUNCTION("""COMPUTED_VALUE"""),"from")</f>
        <v>from</v>
      </c>
      <c r="E120" s="2">
        <f>IFERROR(__xludf.DUMMYFUNCTION("""COMPUTED_VALUE"""),8.0)</f>
        <v>8</v>
      </c>
      <c r="F120" s="2" t="str">
        <f>IFERROR(__xludf.DUMMYFUNCTION("""COMPUTED_VALUE"""),"to")</f>
        <v>to</v>
      </c>
      <c r="G120" s="2">
        <f>IFERROR(__xludf.DUMMYFUNCTION("""COMPUTED_VALUE"""),6.0)</f>
        <v>6</v>
      </c>
    </row>
    <row r="121">
      <c r="A121" s="1" t="s">
        <v>114</v>
      </c>
      <c r="B121" s="2" t="str">
        <f>IFERROR(__xludf.DUMMYFUNCTION("SPLIT(A121, "" "")"),"move")</f>
        <v>move</v>
      </c>
      <c r="C121" s="2">
        <f>IFERROR(__xludf.DUMMYFUNCTION("""COMPUTED_VALUE"""),2.0)</f>
        <v>2</v>
      </c>
      <c r="D121" s="2" t="str">
        <f>IFERROR(__xludf.DUMMYFUNCTION("""COMPUTED_VALUE"""),"from")</f>
        <v>from</v>
      </c>
      <c r="E121" s="2">
        <f>IFERROR(__xludf.DUMMYFUNCTION("""COMPUTED_VALUE"""),4.0)</f>
        <v>4</v>
      </c>
      <c r="F121" s="2" t="str">
        <f>IFERROR(__xludf.DUMMYFUNCTION("""COMPUTED_VALUE"""),"to")</f>
        <v>to</v>
      </c>
      <c r="G121" s="2">
        <f>IFERROR(__xludf.DUMMYFUNCTION("""COMPUTED_VALUE"""),5.0)</f>
        <v>5</v>
      </c>
    </row>
    <row r="122">
      <c r="A122" s="1" t="s">
        <v>115</v>
      </c>
      <c r="B122" s="2" t="str">
        <f>IFERROR(__xludf.DUMMYFUNCTION("SPLIT(A122, "" "")"),"move")</f>
        <v>move</v>
      </c>
      <c r="C122" s="2">
        <f>IFERROR(__xludf.DUMMYFUNCTION("""COMPUTED_VALUE"""),17.0)</f>
        <v>17</v>
      </c>
      <c r="D122" s="2" t="str">
        <f>IFERROR(__xludf.DUMMYFUNCTION("""COMPUTED_VALUE"""),"from")</f>
        <v>from</v>
      </c>
      <c r="E122" s="2">
        <f>IFERROR(__xludf.DUMMYFUNCTION("""COMPUTED_VALUE"""),6.0)</f>
        <v>6</v>
      </c>
      <c r="F122" s="2" t="str">
        <f>IFERROR(__xludf.DUMMYFUNCTION("""COMPUTED_VALUE"""),"to")</f>
        <v>to</v>
      </c>
      <c r="G122" s="2">
        <f>IFERROR(__xludf.DUMMYFUNCTION("""COMPUTED_VALUE"""),9.0)</f>
        <v>9</v>
      </c>
    </row>
    <row r="123">
      <c r="A123" s="1" t="s">
        <v>116</v>
      </c>
      <c r="B123" s="2" t="str">
        <f>IFERROR(__xludf.DUMMYFUNCTION("SPLIT(A123, "" "")"),"move")</f>
        <v>move</v>
      </c>
      <c r="C123" s="2">
        <f>IFERROR(__xludf.DUMMYFUNCTION("""COMPUTED_VALUE"""),22.0)</f>
        <v>22</v>
      </c>
      <c r="D123" s="2" t="str">
        <f>IFERROR(__xludf.DUMMYFUNCTION("""COMPUTED_VALUE"""),"from")</f>
        <v>from</v>
      </c>
      <c r="E123" s="2">
        <f>IFERROR(__xludf.DUMMYFUNCTION("""COMPUTED_VALUE"""),9.0)</f>
        <v>9</v>
      </c>
      <c r="F123" s="2" t="str">
        <f>IFERROR(__xludf.DUMMYFUNCTION("""COMPUTED_VALUE"""),"to")</f>
        <v>to</v>
      </c>
      <c r="G123" s="2">
        <f>IFERROR(__xludf.DUMMYFUNCTION("""COMPUTED_VALUE"""),7.0)</f>
        <v>7</v>
      </c>
    </row>
    <row r="124">
      <c r="A124" s="1" t="s">
        <v>117</v>
      </c>
      <c r="B124" s="2" t="str">
        <f>IFERROR(__xludf.DUMMYFUNCTION("SPLIT(A124, "" "")"),"move")</f>
        <v>move</v>
      </c>
      <c r="C124" s="2">
        <f>IFERROR(__xludf.DUMMYFUNCTION("""COMPUTED_VALUE"""),1.0)</f>
        <v>1</v>
      </c>
      <c r="D124" s="2" t="str">
        <f>IFERROR(__xludf.DUMMYFUNCTION("""COMPUTED_VALUE"""),"from")</f>
        <v>from</v>
      </c>
      <c r="E124" s="2">
        <f>IFERROR(__xludf.DUMMYFUNCTION("""COMPUTED_VALUE"""),5.0)</f>
        <v>5</v>
      </c>
      <c r="F124" s="2" t="str">
        <f>IFERROR(__xludf.DUMMYFUNCTION("""COMPUTED_VALUE"""),"to")</f>
        <v>to</v>
      </c>
      <c r="G124" s="2">
        <f>IFERROR(__xludf.DUMMYFUNCTION("""COMPUTED_VALUE"""),2.0)</f>
        <v>2</v>
      </c>
    </row>
    <row r="125">
      <c r="A125" s="1" t="s">
        <v>118</v>
      </c>
      <c r="B125" s="2" t="str">
        <f>IFERROR(__xludf.DUMMYFUNCTION("SPLIT(A125, "" "")"),"move")</f>
        <v>move</v>
      </c>
      <c r="C125" s="2">
        <f>IFERROR(__xludf.DUMMYFUNCTION("""COMPUTED_VALUE"""),20.0)</f>
        <v>20</v>
      </c>
      <c r="D125" s="2" t="str">
        <f>IFERROR(__xludf.DUMMYFUNCTION("""COMPUTED_VALUE"""),"from")</f>
        <v>from</v>
      </c>
      <c r="E125" s="2">
        <f>IFERROR(__xludf.DUMMYFUNCTION("""COMPUTED_VALUE"""),2.0)</f>
        <v>2</v>
      </c>
      <c r="F125" s="2" t="str">
        <f>IFERROR(__xludf.DUMMYFUNCTION("""COMPUTED_VALUE"""),"to")</f>
        <v>to</v>
      </c>
      <c r="G125" s="2">
        <f>IFERROR(__xludf.DUMMYFUNCTION("""COMPUTED_VALUE"""),7.0)</f>
        <v>7</v>
      </c>
    </row>
    <row r="126">
      <c r="A126" s="1" t="s">
        <v>119</v>
      </c>
      <c r="B126" s="2" t="str">
        <f>IFERROR(__xludf.DUMMYFUNCTION("SPLIT(A126, "" "")"),"move")</f>
        <v>move</v>
      </c>
      <c r="C126" s="2">
        <f>IFERROR(__xludf.DUMMYFUNCTION("""COMPUTED_VALUE"""),29.0)</f>
        <v>29</v>
      </c>
      <c r="D126" s="2" t="str">
        <f>IFERROR(__xludf.DUMMYFUNCTION("""COMPUTED_VALUE"""),"from")</f>
        <v>from</v>
      </c>
      <c r="E126" s="2">
        <f>IFERROR(__xludf.DUMMYFUNCTION("""COMPUTED_VALUE"""),7.0)</f>
        <v>7</v>
      </c>
      <c r="F126" s="2" t="str">
        <f>IFERROR(__xludf.DUMMYFUNCTION("""COMPUTED_VALUE"""),"to")</f>
        <v>to</v>
      </c>
      <c r="G126" s="2">
        <f>IFERROR(__xludf.DUMMYFUNCTION("""COMPUTED_VALUE"""),9.0)</f>
        <v>9</v>
      </c>
    </row>
    <row r="127">
      <c r="A127" s="1" t="s">
        <v>120</v>
      </c>
      <c r="B127" s="2" t="str">
        <f>IFERROR(__xludf.DUMMYFUNCTION("SPLIT(A127, "" "")"),"move")</f>
        <v>move</v>
      </c>
      <c r="C127" s="2">
        <f>IFERROR(__xludf.DUMMYFUNCTION("""COMPUTED_VALUE"""),1.0)</f>
        <v>1</v>
      </c>
      <c r="D127" s="2" t="str">
        <f>IFERROR(__xludf.DUMMYFUNCTION("""COMPUTED_VALUE"""),"from")</f>
        <v>from</v>
      </c>
      <c r="E127" s="2">
        <f>IFERROR(__xludf.DUMMYFUNCTION("""COMPUTED_VALUE"""),4.0)</f>
        <v>4</v>
      </c>
      <c r="F127" s="2" t="str">
        <f>IFERROR(__xludf.DUMMYFUNCTION("""COMPUTED_VALUE"""),"to")</f>
        <v>to</v>
      </c>
      <c r="G127" s="2">
        <f>IFERROR(__xludf.DUMMYFUNCTION("""COMPUTED_VALUE"""),7.0)</f>
        <v>7</v>
      </c>
    </row>
    <row r="128">
      <c r="A128" s="1" t="s">
        <v>121</v>
      </c>
      <c r="B128" s="2" t="str">
        <f>IFERROR(__xludf.DUMMYFUNCTION("SPLIT(A128, "" "")"),"move")</f>
        <v>move</v>
      </c>
      <c r="C128" s="2">
        <f>IFERROR(__xludf.DUMMYFUNCTION("""COMPUTED_VALUE"""),3.0)</f>
        <v>3</v>
      </c>
      <c r="D128" s="2" t="str">
        <f>IFERROR(__xludf.DUMMYFUNCTION("""COMPUTED_VALUE"""),"from")</f>
        <v>from</v>
      </c>
      <c r="E128" s="2">
        <f>IFERROR(__xludf.DUMMYFUNCTION("""COMPUTED_VALUE"""),8.0)</f>
        <v>8</v>
      </c>
      <c r="F128" s="2" t="str">
        <f>IFERROR(__xludf.DUMMYFUNCTION("""COMPUTED_VALUE"""),"to")</f>
        <v>to</v>
      </c>
      <c r="G128" s="2">
        <f>IFERROR(__xludf.DUMMYFUNCTION("""COMPUTED_VALUE"""),3.0)</f>
        <v>3</v>
      </c>
    </row>
    <row r="129">
      <c r="A129" s="1" t="s">
        <v>24</v>
      </c>
      <c r="B129" s="2" t="str">
        <f>IFERROR(__xludf.DUMMYFUNCTION("SPLIT(A129, "" "")"),"move")</f>
        <v>move</v>
      </c>
      <c r="C129" s="2">
        <f>IFERROR(__xludf.DUMMYFUNCTION("""COMPUTED_VALUE"""),1.0)</f>
        <v>1</v>
      </c>
      <c r="D129" s="2" t="str">
        <f>IFERROR(__xludf.DUMMYFUNCTION("""COMPUTED_VALUE"""),"from")</f>
        <v>from</v>
      </c>
      <c r="E129" s="2">
        <f>IFERROR(__xludf.DUMMYFUNCTION("""COMPUTED_VALUE"""),8.0)</f>
        <v>8</v>
      </c>
      <c r="F129" s="2" t="str">
        <f>IFERROR(__xludf.DUMMYFUNCTION("""COMPUTED_VALUE"""),"to")</f>
        <v>to</v>
      </c>
      <c r="G129" s="2">
        <f>IFERROR(__xludf.DUMMYFUNCTION("""COMPUTED_VALUE"""),5.0)</f>
        <v>5</v>
      </c>
    </row>
    <row r="130">
      <c r="A130" s="1" t="s">
        <v>122</v>
      </c>
      <c r="B130" s="2" t="str">
        <f>IFERROR(__xludf.DUMMYFUNCTION("SPLIT(A130, "" "")"),"move")</f>
        <v>move</v>
      </c>
      <c r="C130" s="2">
        <f>IFERROR(__xludf.DUMMYFUNCTION("""COMPUTED_VALUE"""),3.0)</f>
        <v>3</v>
      </c>
      <c r="D130" s="2" t="str">
        <f>IFERROR(__xludf.DUMMYFUNCTION("""COMPUTED_VALUE"""),"from")</f>
        <v>from</v>
      </c>
      <c r="E130" s="2">
        <f>IFERROR(__xludf.DUMMYFUNCTION("""COMPUTED_VALUE"""),8.0)</f>
        <v>8</v>
      </c>
      <c r="F130" s="2" t="str">
        <f>IFERROR(__xludf.DUMMYFUNCTION("""COMPUTED_VALUE"""),"to")</f>
        <v>to</v>
      </c>
      <c r="G130" s="2">
        <f>IFERROR(__xludf.DUMMYFUNCTION("""COMPUTED_VALUE"""),2.0)</f>
        <v>2</v>
      </c>
    </row>
    <row r="131">
      <c r="A131" s="1" t="s">
        <v>123</v>
      </c>
      <c r="B131" s="2" t="str">
        <f>IFERROR(__xludf.DUMMYFUNCTION("SPLIT(A131, "" "")"),"move")</f>
        <v>move</v>
      </c>
      <c r="C131" s="2">
        <f>IFERROR(__xludf.DUMMYFUNCTION("""COMPUTED_VALUE"""),2.0)</f>
        <v>2</v>
      </c>
      <c r="D131" s="2" t="str">
        <f>IFERROR(__xludf.DUMMYFUNCTION("""COMPUTED_VALUE"""),"from")</f>
        <v>from</v>
      </c>
      <c r="E131" s="2">
        <f>IFERROR(__xludf.DUMMYFUNCTION("""COMPUTED_VALUE"""),2.0)</f>
        <v>2</v>
      </c>
      <c r="F131" s="2" t="str">
        <f>IFERROR(__xludf.DUMMYFUNCTION("""COMPUTED_VALUE"""),"to")</f>
        <v>to</v>
      </c>
      <c r="G131" s="2">
        <f>IFERROR(__xludf.DUMMYFUNCTION("""COMPUTED_VALUE"""),4.0)</f>
        <v>4</v>
      </c>
    </row>
    <row r="132">
      <c r="A132" s="1" t="s">
        <v>124</v>
      </c>
      <c r="B132" s="2" t="str">
        <f>IFERROR(__xludf.DUMMYFUNCTION("SPLIT(A132, "" "")"),"move")</f>
        <v>move</v>
      </c>
      <c r="C132" s="2">
        <f>IFERROR(__xludf.DUMMYFUNCTION("""COMPUTED_VALUE"""),27.0)</f>
        <v>27</v>
      </c>
      <c r="D132" s="2" t="str">
        <f>IFERROR(__xludf.DUMMYFUNCTION("""COMPUTED_VALUE"""),"from")</f>
        <v>from</v>
      </c>
      <c r="E132" s="2">
        <f>IFERROR(__xludf.DUMMYFUNCTION("""COMPUTED_VALUE"""),9.0)</f>
        <v>9</v>
      </c>
      <c r="F132" s="2" t="str">
        <f>IFERROR(__xludf.DUMMYFUNCTION("""COMPUTED_VALUE"""),"to")</f>
        <v>to</v>
      </c>
      <c r="G132" s="2">
        <f>IFERROR(__xludf.DUMMYFUNCTION("""COMPUTED_VALUE"""),7.0)</f>
        <v>7</v>
      </c>
    </row>
    <row r="133">
      <c r="A133" s="1" t="s">
        <v>104</v>
      </c>
      <c r="B133" s="2" t="str">
        <f>IFERROR(__xludf.DUMMYFUNCTION("SPLIT(A133, "" "")"),"move")</f>
        <v>move</v>
      </c>
      <c r="C133" s="2">
        <f>IFERROR(__xludf.DUMMYFUNCTION("""COMPUTED_VALUE"""),2.0)</f>
        <v>2</v>
      </c>
      <c r="D133" s="2" t="str">
        <f>IFERROR(__xludf.DUMMYFUNCTION("""COMPUTED_VALUE"""),"from")</f>
        <v>from</v>
      </c>
      <c r="E133" s="2">
        <f>IFERROR(__xludf.DUMMYFUNCTION("""COMPUTED_VALUE"""),3.0)</f>
        <v>3</v>
      </c>
      <c r="F133" s="2" t="str">
        <f>IFERROR(__xludf.DUMMYFUNCTION("""COMPUTED_VALUE"""),"to")</f>
        <v>to</v>
      </c>
      <c r="G133" s="2">
        <f>IFERROR(__xludf.DUMMYFUNCTION("""COMPUTED_VALUE"""),2.0)</f>
        <v>2</v>
      </c>
    </row>
    <row r="134">
      <c r="A134" s="1" t="s">
        <v>117</v>
      </c>
      <c r="B134" s="2" t="str">
        <f>IFERROR(__xludf.DUMMYFUNCTION("SPLIT(A134, "" "")"),"move")</f>
        <v>move</v>
      </c>
      <c r="C134" s="2">
        <f>IFERROR(__xludf.DUMMYFUNCTION("""COMPUTED_VALUE"""),1.0)</f>
        <v>1</v>
      </c>
      <c r="D134" s="2" t="str">
        <f>IFERROR(__xludf.DUMMYFUNCTION("""COMPUTED_VALUE"""),"from")</f>
        <v>from</v>
      </c>
      <c r="E134" s="2">
        <f>IFERROR(__xludf.DUMMYFUNCTION("""COMPUTED_VALUE"""),5.0)</f>
        <v>5</v>
      </c>
      <c r="F134" s="2" t="str">
        <f>IFERROR(__xludf.DUMMYFUNCTION("""COMPUTED_VALUE"""),"to")</f>
        <v>to</v>
      </c>
      <c r="G134" s="2">
        <f>IFERROR(__xludf.DUMMYFUNCTION("""COMPUTED_VALUE"""),2.0)</f>
        <v>2</v>
      </c>
    </row>
    <row r="135">
      <c r="A135" s="1" t="s">
        <v>125</v>
      </c>
      <c r="B135" s="2" t="str">
        <f>IFERROR(__xludf.DUMMYFUNCTION("SPLIT(A135, "" "")"),"move")</f>
        <v>move</v>
      </c>
      <c r="C135" s="2">
        <f>IFERROR(__xludf.DUMMYFUNCTION("""COMPUTED_VALUE"""),18.0)</f>
        <v>18</v>
      </c>
      <c r="D135" s="2" t="str">
        <f>IFERROR(__xludf.DUMMYFUNCTION("""COMPUTED_VALUE"""),"from")</f>
        <v>from</v>
      </c>
      <c r="E135" s="2">
        <f>IFERROR(__xludf.DUMMYFUNCTION("""COMPUTED_VALUE"""),7.0)</f>
        <v>7</v>
      </c>
      <c r="F135" s="2" t="str">
        <f>IFERROR(__xludf.DUMMYFUNCTION("""COMPUTED_VALUE"""),"to")</f>
        <v>to</v>
      </c>
      <c r="G135" s="2">
        <f>IFERROR(__xludf.DUMMYFUNCTION("""COMPUTED_VALUE"""),5.0)</f>
        <v>5</v>
      </c>
    </row>
    <row r="136">
      <c r="A136" s="1" t="s">
        <v>126</v>
      </c>
      <c r="B136" s="2" t="str">
        <f>IFERROR(__xludf.DUMMYFUNCTION("SPLIT(A136, "" "")"),"move")</f>
        <v>move</v>
      </c>
      <c r="C136" s="2">
        <f>IFERROR(__xludf.DUMMYFUNCTION("""COMPUTED_VALUE"""),1.0)</f>
        <v>1</v>
      </c>
      <c r="D136" s="2" t="str">
        <f>IFERROR(__xludf.DUMMYFUNCTION("""COMPUTED_VALUE"""),"from")</f>
        <v>from</v>
      </c>
      <c r="E136" s="2">
        <f>IFERROR(__xludf.DUMMYFUNCTION("""COMPUTED_VALUE"""),3.0)</f>
        <v>3</v>
      </c>
      <c r="F136" s="2" t="str">
        <f>IFERROR(__xludf.DUMMYFUNCTION("""COMPUTED_VALUE"""),"to")</f>
        <v>to</v>
      </c>
      <c r="G136" s="2">
        <f>IFERROR(__xludf.DUMMYFUNCTION("""COMPUTED_VALUE"""),2.0)</f>
        <v>2</v>
      </c>
    </row>
    <row r="137">
      <c r="A137" s="1" t="s">
        <v>127</v>
      </c>
      <c r="B137" s="2" t="str">
        <f>IFERROR(__xludf.DUMMYFUNCTION("SPLIT(A137, "" "")"),"move")</f>
        <v>move</v>
      </c>
      <c r="C137" s="2">
        <f>IFERROR(__xludf.DUMMYFUNCTION("""COMPUTED_VALUE"""),1.0)</f>
        <v>1</v>
      </c>
      <c r="D137" s="2" t="str">
        <f>IFERROR(__xludf.DUMMYFUNCTION("""COMPUTED_VALUE"""),"from")</f>
        <v>from</v>
      </c>
      <c r="E137" s="2">
        <f>IFERROR(__xludf.DUMMYFUNCTION("""COMPUTED_VALUE"""),5.0)</f>
        <v>5</v>
      </c>
      <c r="F137" s="2" t="str">
        <f>IFERROR(__xludf.DUMMYFUNCTION("""COMPUTED_VALUE"""),"to")</f>
        <v>to</v>
      </c>
      <c r="G137" s="2">
        <f>IFERROR(__xludf.DUMMYFUNCTION("""COMPUTED_VALUE"""),6.0)</f>
        <v>6</v>
      </c>
    </row>
    <row r="138">
      <c r="A138" s="1" t="s">
        <v>128</v>
      </c>
      <c r="B138" s="2" t="str">
        <f>IFERROR(__xludf.DUMMYFUNCTION("SPLIT(A138, "" "")"),"move")</f>
        <v>move</v>
      </c>
      <c r="C138" s="2">
        <f>IFERROR(__xludf.DUMMYFUNCTION("""COMPUTED_VALUE"""),18.0)</f>
        <v>18</v>
      </c>
      <c r="D138" s="2" t="str">
        <f>IFERROR(__xludf.DUMMYFUNCTION("""COMPUTED_VALUE"""),"from")</f>
        <v>from</v>
      </c>
      <c r="E138" s="2">
        <f>IFERROR(__xludf.DUMMYFUNCTION("""COMPUTED_VALUE"""),5.0)</f>
        <v>5</v>
      </c>
      <c r="F138" s="2" t="str">
        <f>IFERROR(__xludf.DUMMYFUNCTION("""COMPUTED_VALUE"""),"to")</f>
        <v>to</v>
      </c>
      <c r="G138" s="2">
        <f>IFERROR(__xludf.DUMMYFUNCTION("""COMPUTED_VALUE"""),3.0)</f>
        <v>3</v>
      </c>
    </row>
    <row r="139">
      <c r="A139" s="1" t="s">
        <v>129</v>
      </c>
      <c r="B139" s="2" t="str">
        <f>IFERROR(__xludf.DUMMYFUNCTION("SPLIT(A139, "" "")"),"move")</f>
        <v>move</v>
      </c>
      <c r="C139" s="2">
        <f>IFERROR(__xludf.DUMMYFUNCTION("""COMPUTED_VALUE"""),1.0)</f>
        <v>1</v>
      </c>
      <c r="D139" s="2" t="str">
        <f>IFERROR(__xludf.DUMMYFUNCTION("""COMPUTED_VALUE"""),"from")</f>
        <v>from</v>
      </c>
      <c r="E139" s="2">
        <f>IFERROR(__xludf.DUMMYFUNCTION("""COMPUTED_VALUE"""),6.0)</f>
        <v>6</v>
      </c>
      <c r="F139" s="2" t="str">
        <f>IFERROR(__xludf.DUMMYFUNCTION("""COMPUTED_VALUE"""),"to")</f>
        <v>to</v>
      </c>
      <c r="G139" s="2">
        <f>IFERROR(__xludf.DUMMYFUNCTION("""COMPUTED_VALUE"""),3.0)</f>
        <v>3</v>
      </c>
    </row>
    <row r="140">
      <c r="A140" s="1" t="s">
        <v>130</v>
      </c>
      <c r="B140" s="2" t="str">
        <f>IFERROR(__xludf.DUMMYFUNCTION("SPLIT(A140, "" "")"),"move")</f>
        <v>move</v>
      </c>
      <c r="C140" s="2">
        <f>IFERROR(__xludf.DUMMYFUNCTION("""COMPUTED_VALUE"""),2.0)</f>
        <v>2</v>
      </c>
      <c r="D140" s="2" t="str">
        <f>IFERROR(__xludf.DUMMYFUNCTION("""COMPUTED_VALUE"""),"from")</f>
        <v>from</v>
      </c>
      <c r="E140" s="2">
        <f>IFERROR(__xludf.DUMMYFUNCTION("""COMPUTED_VALUE"""),9.0)</f>
        <v>9</v>
      </c>
      <c r="F140" s="2" t="str">
        <f>IFERROR(__xludf.DUMMYFUNCTION("""COMPUTED_VALUE"""),"to")</f>
        <v>to</v>
      </c>
      <c r="G140" s="2">
        <f>IFERROR(__xludf.DUMMYFUNCTION("""COMPUTED_VALUE"""),5.0)</f>
        <v>5</v>
      </c>
    </row>
    <row r="141">
      <c r="A141" s="1" t="s">
        <v>36</v>
      </c>
      <c r="B141" s="2" t="str">
        <f>IFERROR(__xludf.DUMMYFUNCTION("SPLIT(A141, "" "")"),"move")</f>
        <v>move</v>
      </c>
      <c r="C141" s="2">
        <f>IFERROR(__xludf.DUMMYFUNCTION("""COMPUTED_VALUE"""),10.0)</f>
        <v>10</v>
      </c>
      <c r="D141" s="2" t="str">
        <f>IFERROR(__xludf.DUMMYFUNCTION("""COMPUTED_VALUE"""),"from")</f>
        <v>from</v>
      </c>
      <c r="E141" s="2">
        <f>IFERROR(__xludf.DUMMYFUNCTION("""COMPUTED_VALUE"""),3.0)</f>
        <v>3</v>
      </c>
      <c r="F141" s="2" t="str">
        <f>IFERROR(__xludf.DUMMYFUNCTION("""COMPUTED_VALUE"""),"to")</f>
        <v>to</v>
      </c>
      <c r="G141" s="2">
        <f>IFERROR(__xludf.DUMMYFUNCTION("""COMPUTED_VALUE"""),5.0)</f>
        <v>5</v>
      </c>
    </row>
    <row r="142">
      <c r="A142" s="1" t="s">
        <v>131</v>
      </c>
      <c r="B142" s="2" t="str">
        <f>IFERROR(__xludf.DUMMYFUNCTION("SPLIT(A142, "" "")"),"move")</f>
        <v>move</v>
      </c>
      <c r="C142" s="2">
        <f>IFERROR(__xludf.DUMMYFUNCTION("""COMPUTED_VALUE"""),4.0)</f>
        <v>4</v>
      </c>
      <c r="D142" s="2" t="str">
        <f>IFERROR(__xludf.DUMMYFUNCTION("""COMPUTED_VALUE"""),"from")</f>
        <v>from</v>
      </c>
      <c r="E142" s="2">
        <f>IFERROR(__xludf.DUMMYFUNCTION("""COMPUTED_VALUE"""),3.0)</f>
        <v>3</v>
      </c>
      <c r="F142" s="2" t="str">
        <f>IFERROR(__xludf.DUMMYFUNCTION("""COMPUTED_VALUE"""),"to")</f>
        <v>to</v>
      </c>
      <c r="G142" s="2">
        <f>IFERROR(__xludf.DUMMYFUNCTION("""COMPUTED_VALUE"""),6.0)</f>
        <v>6</v>
      </c>
    </row>
    <row r="143">
      <c r="A143" s="1" t="s">
        <v>132</v>
      </c>
      <c r="B143" s="2" t="str">
        <f>IFERROR(__xludf.DUMMYFUNCTION("SPLIT(A143, "" "")"),"move")</f>
        <v>move</v>
      </c>
      <c r="C143" s="2">
        <f>IFERROR(__xludf.DUMMYFUNCTION("""COMPUTED_VALUE"""),1.0)</f>
        <v>1</v>
      </c>
      <c r="D143" s="2" t="str">
        <f>IFERROR(__xludf.DUMMYFUNCTION("""COMPUTED_VALUE"""),"from")</f>
        <v>from</v>
      </c>
      <c r="E143" s="2">
        <f>IFERROR(__xludf.DUMMYFUNCTION("""COMPUTED_VALUE"""),7.0)</f>
        <v>7</v>
      </c>
      <c r="F143" s="2" t="str">
        <f>IFERROR(__xludf.DUMMYFUNCTION("""COMPUTED_VALUE"""),"to")</f>
        <v>to</v>
      </c>
      <c r="G143" s="2">
        <f>IFERROR(__xludf.DUMMYFUNCTION("""COMPUTED_VALUE"""),1.0)</f>
        <v>1</v>
      </c>
    </row>
    <row r="144">
      <c r="A144" s="1" t="s">
        <v>133</v>
      </c>
      <c r="B144" s="2" t="str">
        <f>IFERROR(__xludf.DUMMYFUNCTION("SPLIT(A144, "" "")"),"move")</f>
        <v>move</v>
      </c>
      <c r="C144" s="2">
        <f>IFERROR(__xludf.DUMMYFUNCTION("""COMPUTED_VALUE"""),1.0)</f>
        <v>1</v>
      </c>
      <c r="D144" s="2" t="str">
        <f>IFERROR(__xludf.DUMMYFUNCTION("""COMPUTED_VALUE"""),"from")</f>
        <v>from</v>
      </c>
      <c r="E144" s="2">
        <f>IFERROR(__xludf.DUMMYFUNCTION("""COMPUTED_VALUE"""),5.0)</f>
        <v>5</v>
      </c>
      <c r="F144" s="2" t="str">
        <f>IFERROR(__xludf.DUMMYFUNCTION("""COMPUTED_VALUE"""),"to")</f>
        <v>to</v>
      </c>
      <c r="G144" s="2">
        <f>IFERROR(__xludf.DUMMYFUNCTION("""COMPUTED_VALUE"""),1.0)</f>
        <v>1</v>
      </c>
    </row>
    <row r="145">
      <c r="A145" s="1" t="s">
        <v>134</v>
      </c>
      <c r="B145" s="2" t="str">
        <f>IFERROR(__xludf.DUMMYFUNCTION("SPLIT(A145, "" "")"),"move")</f>
        <v>move</v>
      </c>
      <c r="C145" s="2">
        <f>IFERROR(__xludf.DUMMYFUNCTION("""COMPUTED_VALUE"""),6.0)</f>
        <v>6</v>
      </c>
      <c r="D145" s="2" t="str">
        <f>IFERROR(__xludf.DUMMYFUNCTION("""COMPUTED_VALUE"""),"from")</f>
        <v>from</v>
      </c>
      <c r="E145" s="2">
        <f>IFERROR(__xludf.DUMMYFUNCTION("""COMPUTED_VALUE"""),7.0)</f>
        <v>7</v>
      </c>
      <c r="F145" s="2" t="str">
        <f>IFERROR(__xludf.DUMMYFUNCTION("""COMPUTED_VALUE"""),"to")</f>
        <v>to</v>
      </c>
      <c r="G145" s="2">
        <f>IFERROR(__xludf.DUMMYFUNCTION("""COMPUTED_VALUE"""),6.0)</f>
        <v>6</v>
      </c>
    </row>
    <row r="146">
      <c r="A146" s="1" t="s">
        <v>20</v>
      </c>
      <c r="B146" s="2" t="str">
        <f>IFERROR(__xludf.DUMMYFUNCTION("SPLIT(A146, "" "")"),"move")</f>
        <v>move</v>
      </c>
      <c r="C146" s="2">
        <f>IFERROR(__xludf.DUMMYFUNCTION("""COMPUTED_VALUE"""),1.0)</f>
        <v>1</v>
      </c>
      <c r="D146" s="2" t="str">
        <f>IFERROR(__xludf.DUMMYFUNCTION("""COMPUTED_VALUE"""),"from")</f>
        <v>from</v>
      </c>
      <c r="E146" s="2">
        <f>IFERROR(__xludf.DUMMYFUNCTION("""COMPUTED_VALUE"""),6.0)</f>
        <v>6</v>
      </c>
      <c r="F146" s="2" t="str">
        <f>IFERROR(__xludf.DUMMYFUNCTION("""COMPUTED_VALUE"""),"to")</f>
        <v>to</v>
      </c>
      <c r="G146" s="2">
        <f>IFERROR(__xludf.DUMMYFUNCTION("""COMPUTED_VALUE"""),2.0)</f>
        <v>2</v>
      </c>
    </row>
    <row r="147">
      <c r="A147" s="1" t="s">
        <v>135</v>
      </c>
      <c r="B147" s="2" t="str">
        <f>IFERROR(__xludf.DUMMYFUNCTION("SPLIT(A147, "" "")"),"move")</f>
        <v>move</v>
      </c>
      <c r="C147" s="2">
        <f>IFERROR(__xludf.DUMMYFUNCTION("""COMPUTED_VALUE"""),4.0)</f>
        <v>4</v>
      </c>
      <c r="D147" s="2" t="str">
        <f>IFERROR(__xludf.DUMMYFUNCTION("""COMPUTED_VALUE"""),"from")</f>
        <v>from</v>
      </c>
      <c r="E147" s="2">
        <f>IFERROR(__xludf.DUMMYFUNCTION("""COMPUTED_VALUE"""),4.0)</f>
        <v>4</v>
      </c>
      <c r="F147" s="2" t="str">
        <f>IFERROR(__xludf.DUMMYFUNCTION("""COMPUTED_VALUE"""),"to")</f>
        <v>to</v>
      </c>
      <c r="G147" s="2">
        <f>IFERROR(__xludf.DUMMYFUNCTION("""COMPUTED_VALUE"""),8.0)</f>
        <v>8</v>
      </c>
    </row>
    <row r="148">
      <c r="A148" s="1" t="s">
        <v>4</v>
      </c>
      <c r="B148" s="2" t="str">
        <f>IFERROR(__xludf.DUMMYFUNCTION("SPLIT(A148, "" "")"),"move")</f>
        <v>move</v>
      </c>
      <c r="C148" s="2">
        <f>IFERROR(__xludf.DUMMYFUNCTION("""COMPUTED_VALUE"""),5.0)</f>
        <v>5</v>
      </c>
      <c r="D148" s="2" t="str">
        <f>IFERROR(__xludf.DUMMYFUNCTION("""COMPUTED_VALUE"""),"from")</f>
        <v>from</v>
      </c>
      <c r="E148" s="2">
        <f>IFERROR(__xludf.DUMMYFUNCTION("""COMPUTED_VALUE"""),5.0)</f>
        <v>5</v>
      </c>
      <c r="F148" s="2" t="str">
        <f>IFERROR(__xludf.DUMMYFUNCTION("""COMPUTED_VALUE"""),"to")</f>
        <v>to</v>
      </c>
      <c r="G148" s="2">
        <f>IFERROR(__xludf.DUMMYFUNCTION("""COMPUTED_VALUE"""),4.0)</f>
        <v>4</v>
      </c>
    </row>
    <row r="149">
      <c r="A149" s="1" t="s">
        <v>136</v>
      </c>
      <c r="B149" s="2" t="str">
        <f>IFERROR(__xludf.DUMMYFUNCTION("SPLIT(A149, "" "")"),"move")</f>
        <v>move</v>
      </c>
      <c r="C149" s="2">
        <f>IFERROR(__xludf.DUMMYFUNCTION("""COMPUTED_VALUE"""),1.0)</f>
        <v>1</v>
      </c>
      <c r="D149" s="2" t="str">
        <f>IFERROR(__xludf.DUMMYFUNCTION("""COMPUTED_VALUE"""),"from")</f>
        <v>from</v>
      </c>
      <c r="E149" s="2">
        <f>IFERROR(__xludf.DUMMYFUNCTION("""COMPUTED_VALUE"""),3.0)</f>
        <v>3</v>
      </c>
      <c r="F149" s="2" t="str">
        <f>IFERROR(__xludf.DUMMYFUNCTION("""COMPUTED_VALUE"""),"to")</f>
        <v>to</v>
      </c>
      <c r="G149" s="2">
        <f>IFERROR(__xludf.DUMMYFUNCTION("""COMPUTED_VALUE"""),8.0)</f>
        <v>8</v>
      </c>
    </row>
    <row r="150">
      <c r="A150" s="1" t="s">
        <v>137</v>
      </c>
      <c r="B150" s="2" t="str">
        <f>IFERROR(__xludf.DUMMYFUNCTION("SPLIT(A150, "" "")"),"move")</f>
        <v>move</v>
      </c>
      <c r="C150" s="2">
        <f>IFERROR(__xludf.DUMMYFUNCTION("""COMPUTED_VALUE"""),2.0)</f>
        <v>2</v>
      </c>
      <c r="D150" s="2" t="str">
        <f>IFERROR(__xludf.DUMMYFUNCTION("""COMPUTED_VALUE"""),"from")</f>
        <v>from</v>
      </c>
      <c r="E150" s="2">
        <f>IFERROR(__xludf.DUMMYFUNCTION("""COMPUTED_VALUE"""),1.0)</f>
        <v>1</v>
      </c>
      <c r="F150" s="2" t="str">
        <f>IFERROR(__xludf.DUMMYFUNCTION("""COMPUTED_VALUE"""),"to")</f>
        <v>to</v>
      </c>
      <c r="G150" s="2">
        <f>IFERROR(__xludf.DUMMYFUNCTION("""COMPUTED_VALUE"""),8.0)</f>
        <v>8</v>
      </c>
    </row>
    <row r="151">
      <c r="A151" s="1" t="s">
        <v>13</v>
      </c>
      <c r="B151" s="2" t="str">
        <f>IFERROR(__xludf.DUMMYFUNCTION("SPLIT(A151, "" "")"),"move")</f>
        <v>move</v>
      </c>
      <c r="C151" s="2">
        <f>IFERROR(__xludf.DUMMYFUNCTION("""COMPUTED_VALUE"""),2.0)</f>
        <v>2</v>
      </c>
      <c r="D151" s="2" t="str">
        <f>IFERROR(__xludf.DUMMYFUNCTION("""COMPUTED_VALUE"""),"from")</f>
        <v>from</v>
      </c>
      <c r="E151" s="2">
        <f>IFERROR(__xludf.DUMMYFUNCTION("""COMPUTED_VALUE"""),2.0)</f>
        <v>2</v>
      </c>
      <c r="F151" s="2" t="str">
        <f>IFERROR(__xludf.DUMMYFUNCTION("""COMPUTED_VALUE"""),"to")</f>
        <v>to</v>
      </c>
      <c r="G151" s="2">
        <f>IFERROR(__xludf.DUMMYFUNCTION("""COMPUTED_VALUE"""),5.0)</f>
        <v>5</v>
      </c>
    </row>
    <row r="152">
      <c r="A152" s="1" t="s">
        <v>138</v>
      </c>
      <c r="B152" s="2" t="str">
        <f>IFERROR(__xludf.DUMMYFUNCTION("SPLIT(A152, "" "")"),"move")</f>
        <v>move</v>
      </c>
      <c r="C152" s="2">
        <f>IFERROR(__xludf.DUMMYFUNCTION("""COMPUTED_VALUE"""),3.0)</f>
        <v>3</v>
      </c>
      <c r="D152" s="2" t="str">
        <f>IFERROR(__xludf.DUMMYFUNCTION("""COMPUTED_VALUE"""),"from")</f>
        <v>from</v>
      </c>
      <c r="E152" s="2">
        <f>IFERROR(__xludf.DUMMYFUNCTION("""COMPUTED_VALUE"""),3.0)</f>
        <v>3</v>
      </c>
      <c r="F152" s="2" t="str">
        <f>IFERROR(__xludf.DUMMYFUNCTION("""COMPUTED_VALUE"""),"to")</f>
        <v>to</v>
      </c>
      <c r="G152" s="2">
        <f>IFERROR(__xludf.DUMMYFUNCTION("""COMPUTED_VALUE"""),8.0)</f>
        <v>8</v>
      </c>
    </row>
    <row r="153">
      <c r="A153" s="1" t="s">
        <v>139</v>
      </c>
      <c r="B153" s="2" t="str">
        <f>IFERROR(__xludf.DUMMYFUNCTION("SPLIT(A153, "" "")"),"move")</f>
        <v>move</v>
      </c>
      <c r="C153" s="2">
        <f>IFERROR(__xludf.DUMMYFUNCTION("""COMPUTED_VALUE"""),6.0)</f>
        <v>6</v>
      </c>
      <c r="D153" s="2" t="str">
        <f>IFERROR(__xludf.DUMMYFUNCTION("""COMPUTED_VALUE"""),"from")</f>
        <v>from</v>
      </c>
      <c r="E153" s="2">
        <f>IFERROR(__xludf.DUMMYFUNCTION("""COMPUTED_VALUE"""),8.0)</f>
        <v>8</v>
      </c>
      <c r="F153" s="2" t="str">
        <f>IFERROR(__xludf.DUMMYFUNCTION("""COMPUTED_VALUE"""),"to")</f>
        <v>to</v>
      </c>
      <c r="G153" s="2">
        <f>IFERROR(__xludf.DUMMYFUNCTION("""COMPUTED_VALUE"""),2.0)</f>
        <v>2</v>
      </c>
    </row>
    <row r="154">
      <c r="A154" s="1" t="s">
        <v>140</v>
      </c>
      <c r="B154" s="2" t="str">
        <f>IFERROR(__xludf.DUMMYFUNCTION("SPLIT(A154, "" "")"),"move")</f>
        <v>move</v>
      </c>
      <c r="C154" s="2">
        <f>IFERROR(__xludf.DUMMYFUNCTION("""COMPUTED_VALUE"""),1.0)</f>
        <v>1</v>
      </c>
      <c r="D154" s="2" t="str">
        <f>IFERROR(__xludf.DUMMYFUNCTION("""COMPUTED_VALUE"""),"from")</f>
        <v>from</v>
      </c>
      <c r="E154" s="2">
        <f>IFERROR(__xludf.DUMMYFUNCTION("""COMPUTED_VALUE"""),3.0)</f>
        <v>3</v>
      </c>
      <c r="F154" s="2" t="str">
        <f>IFERROR(__xludf.DUMMYFUNCTION("""COMPUTED_VALUE"""),"to")</f>
        <v>to</v>
      </c>
      <c r="G154" s="2">
        <f>IFERROR(__xludf.DUMMYFUNCTION("""COMPUTED_VALUE"""),9.0)</f>
        <v>9</v>
      </c>
    </row>
    <row r="155">
      <c r="A155" s="1" t="s">
        <v>129</v>
      </c>
      <c r="B155" s="2" t="str">
        <f>IFERROR(__xludf.DUMMYFUNCTION("SPLIT(A155, "" "")"),"move")</f>
        <v>move</v>
      </c>
      <c r="C155" s="2">
        <f>IFERROR(__xludf.DUMMYFUNCTION("""COMPUTED_VALUE"""),1.0)</f>
        <v>1</v>
      </c>
      <c r="D155" s="2" t="str">
        <f>IFERROR(__xludf.DUMMYFUNCTION("""COMPUTED_VALUE"""),"from")</f>
        <v>from</v>
      </c>
      <c r="E155" s="2">
        <f>IFERROR(__xludf.DUMMYFUNCTION("""COMPUTED_VALUE"""),6.0)</f>
        <v>6</v>
      </c>
      <c r="F155" s="2" t="str">
        <f>IFERROR(__xludf.DUMMYFUNCTION("""COMPUTED_VALUE"""),"to")</f>
        <v>to</v>
      </c>
      <c r="G155" s="2">
        <f>IFERROR(__xludf.DUMMYFUNCTION("""COMPUTED_VALUE"""),3.0)</f>
        <v>3</v>
      </c>
    </row>
    <row r="156">
      <c r="A156" s="1" t="s">
        <v>141</v>
      </c>
      <c r="B156" s="2" t="str">
        <f>IFERROR(__xludf.DUMMYFUNCTION("SPLIT(A156, "" "")"),"move")</f>
        <v>move</v>
      </c>
      <c r="C156" s="2">
        <f>IFERROR(__xludf.DUMMYFUNCTION("""COMPUTED_VALUE"""),6.0)</f>
        <v>6</v>
      </c>
      <c r="D156" s="2" t="str">
        <f>IFERROR(__xludf.DUMMYFUNCTION("""COMPUTED_VALUE"""),"from")</f>
        <v>from</v>
      </c>
      <c r="E156" s="2">
        <f>IFERROR(__xludf.DUMMYFUNCTION("""COMPUTED_VALUE"""),2.0)</f>
        <v>2</v>
      </c>
      <c r="F156" s="2" t="str">
        <f>IFERROR(__xludf.DUMMYFUNCTION("""COMPUTED_VALUE"""),"to")</f>
        <v>to</v>
      </c>
      <c r="G156" s="2">
        <f>IFERROR(__xludf.DUMMYFUNCTION("""COMPUTED_VALUE"""),8.0)</f>
        <v>8</v>
      </c>
    </row>
    <row r="157">
      <c r="A157" s="1" t="s">
        <v>70</v>
      </c>
      <c r="B157" s="2" t="str">
        <f>IFERROR(__xludf.DUMMYFUNCTION("SPLIT(A157, "" "")"),"move")</f>
        <v>move</v>
      </c>
      <c r="C157" s="2">
        <f>IFERROR(__xludf.DUMMYFUNCTION("""COMPUTED_VALUE"""),7.0)</f>
        <v>7</v>
      </c>
      <c r="D157" s="2" t="str">
        <f>IFERROR(__xludf.DUMMYFUNCTION("""COMPUTED_VALUE"""),"from")</f>
        <v>from</v>
      </c>
      <c r="E157" s="2">
        <f>IFERROR(__xludf.DUMMYFUNCTION("""COMPUTED_VALUE"""),8.0)</f>
        <v>8</v>
      </c>
      <c r="F157" s="2" t="str">
        <f>IFERROR(__xludf.DUMMYFUNCTION("""COMPUTED_VALUE"""),"to")</f>
        <v>to</v>
      </c>
      <c r="G157" s="2">
        <f>IFERROR(__xludf.DUMMYFUNCTION("""COMPUTED_VALUE"""),4.0)</f>
        <v>4</v>
      </c>
    </row>
    <row r="158">
      <c r="A158" s="1" t="s">
        <v>142</v>
      </c>
      <c r="B158" s="2" t="str">
        <f>IFERROR(__xludf.DUMMYFUNCTION("SPLIT(A158, "" "")"),"move")</f>
        <v>move</v>
      </c>
      <c r="C158" s="2">
        <f>IFERROR(__xludf.DUMMYFUNCTION("""COMPUTED_VALUE"""),8.0)</f>
        <v>8</v>
      </c>
      <c r="D158" s="2" t="str">
        <f>IFERROR(__xludf.DUMMYFUNCTION("""COMPUTED_VALUE"""),"from")</f>
        <v>from</v>
      </c>
      <c r="E158" s="2">
        <f>IFERROR(__xludf.DUMMYFUNCTION("""COMPUTED_VALUE"""),5.0)</f>
        <v>5</v>
      </c>
      <c r="F158" s="2" t="str">
        <f>IFERROR(__xludf.DUMMYFUNCTION("""COMPUTED_VALUE"""),"to")</f>
        <v>to</v>
      </c>
      <c r="G158" s="2">
        <f>IFERROR(__xludf.DUMMYFUNCTION("""COMPUTED_VALUE"""),2.0)</f>
        <v>2</v>
      </c>
    </row>
    <row r="159">
      <c r="A159" s="1" t="s">
        <v>143</v>
      </c>
      <c r="B159" s="2" t="str">
        <f>IFERROR(__xludf.DUMMYFUNCTION("SPLIT(A159, "" "")"),"move")</f>
        <v>move</v>
      </c>
      <c r="C159" s="2">
        <f>IFERROR(__xludf.DUMMYFUNCTION("""COMPUTED_VALUE"""),5.0)</f>
        <v>5</v>
      </c>
      <c r="D159" s="2" t="str">
        <f>IFERROR(__xludf.DUMMYFUNCTION("""COMPUTED_VALUE"""),"from")</f>
        <v>from</v>
      </c>
      <c r="E159" s="2">
        <f>IFERROR(__xludf.DUMMYFUNCTION("""COMPUTED_VALUE"""),4.0)</f>
        <v>4</v>
      </c>
      <c r="F159" s="2" t="str">
        <f>IFERROR(__xludf.DUMMYFUNCTION("""COMPUTED_VALUE"""),"to")</f>
        <v>to</v>
      </c>
      <c r="G159" s="2">
        <f>IFERROR(__xludf.DUMMYFUNCTION("""COMPUTED_VALUE"""),6.0)</f>
        <v>6</v>
      </c>
    </row>
    <row r="160">
      <c r="A160" s="1" t="s">
        <v>79</v>
      </c>
      <c r="B160" s="2" t="str">
        <f>IFERROR(__xludf.DUMMYFUNCTION("SPLIT(A160, "" "")"),"move")</f>
        <v>move</v>
      </c>
      <c r="C160" s="2">
        <f>IFERROR(__xludf.DUMMYFUNCTION("""COMPUTED_VALUE"""),2.0)</f>
        <v>2</v>
      </c>
      <c r="D160" s="2" t="str">
        <f>IFERROR(__xludf.DUMMYFUNCTION("""COMPUTED_VALUE"""),"from")</f>
        <v>from</v>
      </c>
      <c r="E160" s="2">
        <f>IFERROR(__xludf.DUMMYFUNCTION("""COMPUTED_VALUE"""),8.0)</f>
        <v>8</v>
      </c>
      <c r="F160" s="2" t="str">
        <f>IFERROR(__xludf.DUMMYFUNCTION("""COMPUTED_VALUE"""),"to")</f>
        <v>to</v>
      </c>
      <c r="G160" s="2">
        <f>IFERROR(__xludf.DUMMYFUNCTION("""COMPUTED_VALUE"""),3.0)</f>
        <v>3</v>
      </c>
    </row>
    <row r="161">
      <c r="A161" s="1" t="s">
        <v>144</v>
      </c>
      <c r="B161" s="2" t="str">
        <f>IFERROR(__xludf.DUMMYFUNCTION("SPLIT(A161, "" "")"),"move")</f>
        <v>move</v>
      </c>
      <c r="C161" s="2">
        <f>IFERROR(__xludf.DUMMYFUNCTION("""COMPUTED_VALUE"""),2.0)</f>
        <v>2</v>
      </c>
      <c r="D161" s="2" t="str">
        <f>IFERROR(__xludf.DUMMYFUNCTION("""COMPUTED_VALUE"""),"from")</f>
        <v>from</v>
      </c>
      <c r="E161" s="2">
        <f>IFERROR(__xludf.DUMMYFUNCTION("""COMPUTED_VALUE"""),3.0)</f>
        <v>3</v>
      </c>
      <c r="F161" s="2" t="str">
        <f>IFERROR(__xludf.DUMMYFUNCTION("""COMPUTED_VALUE"""),"to")</f>
        <v>to</v>
      </c>
      <c r="G161" s="2">
        <f>IFERROR(__xludf.DUMMYFUNCTION("""COMPUTED_VALUE"""),9.0)</f>
        <v>9</v>
      </c>
    </row>
    <row r="162">
      <c r="A162" s="1" t="s">
        <v>140</v>
      </c>
      <c r="B162" s="2" t="str">
        <f>IFERROR(__xludf.DUMMYFUNCTION("SPLIT(A162, "" "")"),"move")</f>
        <v>move</v>
      </c>
      <c r="C162" s="2">
        <f>IFERROR(__xludf.DUMMYFUNCTION("""COMPUTED_VALUE"""),1.0)</f>
        <v>1</v>
      </c>
      <c r="D162" s="2" t="str">
        <f>IFERROR(__xludf.DUMMYFUNCTION("""COMPUTED_VALUE"""),"from")</f>
        <v>from</v>
      </c>
      <c r="E162" s="2">
        <f>IFERROR(__xludf.DUMMYFUNCTION("""COMPUTED_VALUE"""),3.0)</f>
        <v>3</v>
      </c>
      <c r="F162" s="2" t="str">
        <f>IFERROR(__xludf.DUMMYFUNCTION("""COMPUTED_VALUE"""),"to")</f>
        <v>to</v>
      </c>
      <c r="G162" s="2">
        <f>IFERROR(__xludf.DUMMYFUNCTION("""COMPUTED_VALUE"""),9.0)</f>
        <v>9</v>
      </c>
    </row>
    <row r="163">
      <c r="A163" s="1" t="s">
        <v>145</v>
      </c>
      <c r="B163" s="2" t="str">
        <f>IFERROR(__xludf.DUMMYFUNCTION("SPLIT(A163, "" "")"),"move")</f>
        <v>move</v>
      </c>
      <c r="C163" s="2">
        <f>IFERROR(__xludf.DUMMYFUNCTION("""COMPUTED_VALUE"""),2.0)</f>
        <v>2</v>
      </c>
      <c r="D163" s="2" t="str">
        <f>IFERROR(__xludf.DUMMYFUNCTION("""COMPUTED_VALUE"""),"from")</f>
        <v>from</v>
      </c>
      <c r="E163" s="2">
        <f>IFERROR(__xludf.DUMMYFUNCTION("""COMPUTED_VALUE"""),7.0)</f>
        <v>7</v>
      </c>
      <c r="F163" s="2" t="str">
        <f>IFERROR(__xludf.DUMMYFUNCTION("""COMPUTED_VALUE"""),"to")</f>
        <v>to</v>
      </c>
      <c r="G163" s="2">
        <f>IFERROR(__xludf.DUMMYFUNCTION("""COMPUTED_VALUE"""),1.0)</f>
        <v>1</v>
      </c>
    </row>
    <row r="164">
      <c r="A164" s="1" t="s">
        <v>146</v>
      </c>
      <c r="B164" s="2" t="str">
        <f>IFERROR(__xludf.DUMMYFUNCTION("SPLIT(A164, "" "")"),"move")</f>
        <v>move</v>
      </c>
      <c r="C164" s="2">
        <f>IFERROR(__xludf.DUMMYFUNCTION("""COMPUTED_VALUE"""),2.0)</f>
        <v>2</v>
      </c>
      <c r="D164" s="2" t="str">
        <f>IFERROR(__xludf.DUMMYFUNCTION("""COMPUTED_VALUE"""),"from")</f>
        <v>from</v>
      </c>
      <c r="E164" s="2">
        <f>IFERROR(__xludf.DUMMYFUNCTION("""COMPUTED_VALUE"""),1.0)</f>
        <v>1</v>
      </c>
      <c r="F164" s="2" t="str">
        <f>IFERROR(__xludf.DUMMYFUNCTION("""COMPUTED_VALUE"""),"to")</f>
        <v>to</v>
      </c>
      <c r="G164" s="2">
        <f>IFERROR(__xludf.DUMMYFUNCTION("""COMPUTED_VALUE"""),2.0)</f>
        <v>2</v>
      </c>
    </row>
    <row r="165">
      <c r="A165" s="1" t="s">
        <v>147</v>
      </c>
      <c r="B165" s="2" t="str">
        <f>IFERROR(__xludf.DUMMYFUNCTION("SPLIT(A165, "" "")"),"move")</f>
        <v>move</v>
      </c>
      <c r="C165" s="2">
        <f>IFERROR(__xludf.DUMMYFUNCTION("""COMPUTED_VALUE"""),12.0)</f>
        <v>12</v>
      </c>
      <c r="D165" s="2" t="str">
        <f>IFERROR(__xludf.DUMMYFUNCTION("""COMPUTED_VALUE"""),"from")</f>
        <v>from</v>
      </c>
      <c r="E165" s="2">
        <f>IFERROR(__xludf.DUMMYFUNCTION("""COMPUTED_VALUE"""),2.0)</f>
        <v>2</v>
      </c>
      <c r="F165" s="2" t="str">
        <f>IFERROR(__xludf.DUMMYFUNCTION("""COMPUTED_VALUE"""),"to")</f>
        <v>to</v>
      </c>
      <c r="G165" s="2">
        <f>IFERROR(__xludf.DUMMYFUNCTION("""COMPUTED_VALUE"""),4.0)</f>
        <v>4</v>
      </c>
    </row>
    <row r="166">
      <c r="A166" s="1" t="s">
        <v>148</v>
      </c>
      <c r="B166" s="2" t="str">
        <f>IFERROR(__xludf.DUMMYFUNCTION("SPLIT(A166, "" "")"),"move")</f>
        <v>move</v>
      </c>
      <c r="C166" s="2">
        <f>IFERROR(__xludf.DUMMYFUNCTION("""COMPUTED_VALUE"""),1.0)</f>
        <v>1</v>
      </c>
      <c r="D166" s="2" t="str">
        <f>IFERROR(__xludf.DUMMYFUNCTION("""COMPUTED_VALUE"""),"from")</f>
        <v>from</v>
      </c>
      <c r="E166" s="2">
        <f>IFERROR(__xludf.DUMMYFUNCTION("""COMPUTED_VALUE"""),9.0)</f>
        <v>9</v>
      </c>
      <c r="F166" s="2" t="str">
        <f>IFERROR(__xludf.DUMMYFUNCTION("""COMPUTED_VALUE"""),"to")</f>
        <v>to</v>
      </c>
      <c r="G166" s="2">
        <f>IFERROR(__xludf.DUMMYFUNCTION("""COMPUTED_VALUE"""),7.0)</f>
        <v>7</v>
      </c>
    </row>
    <row r="167">
      <c r="A167" s="1" t="s">
        <v>20</v>
      </c>
      <c r="B167" s="2" t="str">
        <f>IFERROR(__xludf.DUMMYFUNCTION("SPLIT(A167, "" "")"),"move")</f>
        <v>move</v>
      </c>
      <c r="C167" s="2">
        <f>IFERROR(__xludf.DUMMYFUNCTION("""COMPUTED_VALUE"""),1.0)</f>
        <v>1</v>
      </c>
      <c r="D167" s="2" t="str">
        <f>IFERROR(__xludf.DUMMYFUNCTION("""COMPUTED_VALUE"""),"from")</f>
        <v>from</v>
      </c>
      <c r="E167" s="2">
        <f>IFERROR(__xludf.DUMMYFUNCTION("""COMPUTED_VALUE"""),6.0)</f>
        <v>6</v>
      </c>
      <c r="F167" s="2" t="str">
        <f>IFERROR(__xludf.DUMMYFUNCTION("""COMPUTED_VALUE"""),"to")</f>
        <v>to</v>
      </c>
      <c r="G167" s="2">
        <f>IFERROR(__xludf.DUMMYFUNCTION("""COMPUTED_VALUE"""),2.0)</f>
        <v>2</v>
      </c>
    </row>
    <row r="168">
      <c r="A168" s="1" t="s">
        <v>149</v>
      </c>
      <c r="B168" s="2" t="str">
        <f>IFERROR(__xludf.DUMMYFUNCTION("SPLIT(A168, "" "")"),"move")</f>
        <v>move</v>
      </c>
      <c r="C168" s="2">
        <f>IFERROR(__xludf.DUMMYFUNCTION("""COMPUTED_VALUE"""),9.0)</f>
        <v>9</v>
      </c>
      <c r="D168" s="2" t="str">
        <f>IFERROR(__xludf.DUMMYFUNCTION("""COMPUTED_VALUE"""),"from")</f>
        <v>from</v>
      </c>
      <c r="E168" s="2">
        <f>IFERROR(__xludf.DUMMYFUNCTION("""COMPUTED_VALUE"""),7.0)</f>
        <v>7</v>
      </c>
      <c r="F168" s="2" t="str">
        <f>IFERROR(__xludf.DUMMYFUNCTION("""COMPUTED_VALUE"""),"to")</f>
        <v>to</v>
      </c>
      <c r="G168" s="2">
        <f>IFERROR(__xludf.DUMMYFUNCTION("""COMPUTED_VALUE"""),9.0)</f>
        <v>9</v>
      </c>
    </row>
    <row r="169">
      <c r="A169" s="1" t="s">
        <v>28</v>
      </c>
      <c r="B169" s="2" t="str">
        <f>IFERROR(__xludf.DUMMYFUNCTION("SPLIT(A169, "" "")"),"move")</f>
        <v>move</v>
      </c>
      <c r="C169" s="2">
        <f>IFERROR(__xludf.DUMMYFUNCTION("""COMPUTED_VALUE"""),1.0)</f>
        <v>1</v>
      </c>
      <c r="D169" s="2" t="str">
        <f>IFERROR(__xludf.DUMMYFUNCTION("""COMPUTED_VALUE"""),"from")</f>
        <v>from</v>
      </c>
      <c r="E169" s="2">
        <f>IFERROR(__xludf.DUMMYFUNCTION("""COMPUTED_VALUE"""),8.0)</f>
        <v>8</v>
      </c>
      <c r="F169" s="2" t="str">
        <f>IFERROR(__xludf.DUMMYFUNCTION("""COMPUTED_VALUE"""),"to")</f>
        <v>to</v>
      </c>
      <c r="G169" s="2">
        <f>IFERROR(__xludf.DUMMYFUNCTION("""COMPUTED_VALUE"""),2.0)</f>
        <v>2</v>
      </c>
    </row>
    <row r="170">
      <c r="A170" s="1" t="s">
        <v>150</v>
      </c>
      <c r="B170" s="2" t="str">
        <f>IFERROR(__xludf.DUMMYFUNCTION("SPLIT(A170, "" "")"),"move")</f>
        <v>move</v>
      </c>
      <c r="C170" s="2">
        <f>IFERROR(__xludf.DUMMYFUNCTION("""COMPUTED_VALUE"""),9.0)</f>
        <v>9</v>
      </c>
      <c r="D170" s="2" t="str">
        <f>IFERROR(__xludf.DUMMYFUNCTION("""COMPUTED_VALUE"""),"from")</f>
        <v>from</v>
      </c>
      <c r="E170" s="2">
        <f>IFERROR(__xludf.DUMMYFUNCTION("""COMPUTED_VALUE"""),9.0)</f>
        <v>9</v>
      </c>
      <c r="F170" s="2" t="str">
        <f>IFERROR(__xludf.DUMMYFUNCTION("""COMPUTED_VALUE"""),"to")</f>
        <v>to</v>
      </c>
      <c r="G170" s="2">
        <f>IFERROR(__xludf.DUMMYFUNCTION("""COMPUTED_VALUE"""),8.0)</f>
        <v>8</v>
      </c>
    </row>
    <row r="171">
      <c r="A171" s="1" t="s">
        <v>151</v>
      </c>
      <c r="B171" s="2" t="str">
        <f>IFERROR(__xludf.DUMMYFUNCTION("SPLIT(A171, "" "")"),"move")</f>
        <v>move</v>
      </c>
      <c r="C171" s="2">
        <f>IFERROR(__xludf.DUMMYFUNCTION("""COMPUTED_VALUE"""),6.0)</f>
        <v>6</v>
      </c>
      <c r="D171" s="2" t="str">
        <f>IFERROR(__xludf.DUMMYFUNCTION("""COMPUTED_VALUE"""),"from")</f>
        <v>from</v>
      </c>
      <c r="E171" s="2">
        <f>IFERROR(__xludf.DUMMYFUNCTION("""COMPUTED_VALUE"""),7.0)</f>
        <v>7</v>
      </c>
      <c r="F171" s="2" t="str">
        <f>IFERROR(__xludf.DUMMYFUNCTION("""COMPUTED_VALUE"""),"to")</f>
        <v>to</v>
      </c>
      <c r="G171" s="2">
        <f>IFERROR(__xludf.DUMMYFUNCTION("""COMPUTED_VALUE"""),8.0)</f>
        <v>8</v>
      </c>
    </row>
    <row r="172">
      <c r="A172" s="1" t="s">
        <v>152</v>
      </c>
      <c r="B172" s="2" t="str">
        <f>IFERROR(__xludf.DUMMYFUNCTION("SPLIT(A172, "" "")"),"move")</f>
        <v>move</v>
      </c>
      <c r="C172" s="2">
        <f>IFERROR(__xludf.DUMMYFUNCTION("""COMPUTED_VALUE"""),4.0)</f>
        <v>4</v>
      </c>
      <c r="D172" s="2" t="str">
        <f>IFERROR(__xludf.DUMMYFUNCTION("""COMPUTED_VALUE"""),"from")</f>
        <v>from</v>
      </c>
      <c r="E172" s="2">
        <f>IFERROR(__xludf.DUMMYFUNCTION("""COMPUTED_VALUE"""),4.0)</f>
        <v>4</v>
      </c>
      <c r="F172" s="2" t="str">
        <f>IFERROR(__xludf.DUMMYFUNCTION("""COMPUTED_VALUE"""),"to")</f>
        <v>to</v>
      </c>
      <c r="G172" s="2">
        <f>IFERROR(__xludf.DUMMYFUNCTION("""COMPUTED_VALUE"""),1.0)</f>
        <v>1</v>
      </c>
    </row>
    <row r="173">
      <c r="A173" s="1" t="s">
        <v>153</v>
      </c>
      <c r="B173" s="2" t="str">
        <f>IFERROR(__xludf.DUMMYFUNCTION("SPLIT(A173, "" "")"),"move")</f>
        <v>move</v>
      </c>
      <c r="C173" s="2">
        <f>IFERROR(__xludf.DUMMYFUNCTION("""COMPUTED_VALUE"""),6.0)</f>
        <v>6</v>
      </c>
      <c r="D173" s="2" t="str">
        <f>IFERROR(__xludf.DUMMYFUNCTION("""COMPUTED_VALUE"""),"from")</f>
        <v>from</v>
      </c>
      <c r="E173" s="2">
        <f>IFERROR(__xludf.DUMMYFUNCTION("""COMPUTED_VALUE"""),2.0)</f>
        <v>2</v>
      </c>
      <c r="F173" s="2" t="str">
        <f>IFERROR(__xludf.DUMMYFUNCTION("""COMPUTED_VALUE"""),"to")</f>
        <v>to</v>
      </c>
      <c r="G173" s="2">
        <f>IFERROR(__xludf.DUMMYFUNCTION("""COMPUTED_VALUE"""),5.0)</f>
        <v>5</v>
      </c>
    </row>
    <row r="174">
      <c r="A174" s="1" t="s">
        <v>59</v>
      </c>
      <c r="B174" s="2" t="str">
        <f>IFERROR(__xludf.DUMMYFUNCTION("SPLIT(A174, "" "")"),"move")</f>
        <v>move</v>
      </c>
      <c r="C174" s="2">
        <f>IFERROR(__xludf.DUMMYFUNCTION("""COMPUTED_VALUE"""),1.0)</f>
        <v>1</v>
      </c>
      <c r="D174" s="2" t="str">
        <f>IFERROR(__xludf.DUMMYFUNCTION("""COMPUTED_VALUE"""),"from")</f>
        <v>from</v>
      </c>
      <c r="E174" s="2">
        <f>IFERROR(__xludf.DUMMYFUNCTION("""COMPUTED_VALUE"""),4.0)</f>
        <v>4</v>
      </c>
      <c r="F174" s="2" t="str">
        <f>IFERROR(__xludf.DUMMYFUNCTION("""COMPUTED_VALUE"""),"to")</f>
        <v>to</v>
      </c>
      <c r="G174" s="2">
        <f>IFERROR(__xludf.DUMMYFUNCTION("""COMPUTED_VALUE"""),9.0)</f>
        <v>9</v>
      </c>
    </row>
    <row r="175">
      <c r="A175" s="1" t="s">
        <v>154</v>
      </c>
      <c r="B175" s="2" t="str">
        <f>IFERROR(__xludf.DUMMYFUNCTION("SPLIT(A175, "" "")"),"move")</f>
        <v>move</v>
      </c>
      <c r="C175" s="2">
        <f>IFERROR(__xludf.DUMMYFUNCTION("""COMPUTED_VALUE"""),3.0)</f>
        <v>3</v>
      </c>
      <c r="D175" s="2" t="str">
        <f>IFERROR(__xludf.DUMMYFUNCTION("""COMPUTED_VALUE"""),"from")</f>
        <v>from</v>
      </c>
      <c r="E175" s="2">
        <f>IFERROR(__xludf.DUMMYFUNCTION("""COMPUTED_VALUE"""),1.0)</f>
        <v>1</v>
      </c>
      <c r="F175" s="2" t="str">
        <f>IFERROR(__xludf.DUMMYFUNCTION("""COMPUTED_VALUE"""),"to")</f>
        <v>to</v>
      </c>
      <c r="G175" s="2">
        <f>IFERROR(__xludf.DUMMYFUNCTION("""COMPUTED_VALUE"""),9.0)</f>
        <v>9</v>
      </c>
    </row>
    <row r="176">
      <c r="A176" s="1" t="s">
        <v>155</v>
      </c>
      <c r="B176" s="2" t="str">
        <f>IFERROR(__xludf.DUMMYFUNCTION("SPLIT(A176, "" "")"),"move")</f>
        <v>move</v>
      </c>
      <c r="C176" s="2">
        <f>IFERROR(__xludf.DUMMYFUNCTION("""COMPUTED_VALUE"""),6.0)</f>
        <v>6</v>
      </c>
      <c r="D176" s="2" t="str">
        <f>IFERROR(__xludf.DUMMYFUNCTION("""COMPUTED_VALUE"""),"from")</f>
        <v>from</v>
      </c>
      <c r="E176" s="2">
        <f>IFERROR(__xludf.DUMMYFUNCTION("""COMPUTED_VALUE"""),4.0)</f>
        <v>4</v>
      </c>
      <c r="F176" s="2" t="str">
        <f>IFERROR(__xludf.DUMMYFUNCTION("""COMPUTED_VALUE"""),"to")</f>
        <v>to</v>
      </c>
      <c r="G176" s="2">
        <f>IFERROR(__xludf.DUMMYFUNCTION("""COMPUTED_VALUE"""),5.0)</f>
        <v>5</v>
      </c>
    </row>
    <row r="177">
      <c r="A177" s="1" t="s">
        <v>156</v>
      </c>
      <c r="B177" s="2" t="str">
        <f>IFERROR(__xludf.DUMMYFUNCTION("SPLIT(A177, "" "")"),"move")</f>
        <v>move</v>
      </c>
      <c r="C177" s="2">
        <f>IFERROR(__xludf.DUMMYFUNCTION("""COMPUTED_VALUE"""),5.0)</f>
        <v>5</v>
      </c>
      <c r="D177" s="2" t="str">
        <f>IFERROR(__xludf.DUMMYFUNCTION("""COMPUTED_VALUE"""),"from")</f>
        <v>from</v>
      </c>
      <c r="E177" s="2">
        <f>IFERROR(__xludf.DUMMYFUNCTION("""COMPUTED_VALUE"""),8.0)</f>
        <v>8</v>
      </c>
      <c r="F177" s="2" t="str">
        <f>IFERROR(__xludf.DUMMYFUNCTION("""COMPUTED_VALUE"""),"to")</f>
        <v>to</v>
      </c>
      <c r="G177" s="2">
        <f>IFERROR(__xludf.DUMMYFUNCTION("""COMPUTED_VALUE"""),9.0)</f>
        <v>9</v>
      </c>
    </row>
    <row r="178">
      <c r="A178" s="1" t="s">
        <v>157</v>
      </c>
      <c r="B178" s="2" t="str">
        <f>IFERROR(__xludf.DUMMYFUNCTION("SPLIT(A178, "" "")"),"move")</f>
        <v>move</v>
      </c>
      <c r="C178" s="2">
        <f>IFERROR(__xludf.DUMMYFUNCTION("""COMPUTED_VALUE"""),8.0)</f>
        <v>8</v>
      </c>
      <c r="D178" s="2" t="str">
        <f>IFERROR(__xludf.DUMMYFUNCTION("""COMPUTED_VALUE"""),"from")</f>
        <v>from</v>
      </c>
      <c r="E178" s="2">
        <f>IFERROR(__xludf.DUMMYFUNCTION("""COMPUTED_VALUE"""),4.0)</f>
        <v>4</v>
      </c>
      <c r="F178" s="2" t="str">
        <f>IFERROR(__xludf.DUMMYFUNCTION("""COMPUTED_VALUE"""),"to")</f>
        <v>to</v>
      </c>
      <c r="G178" s="2">
        <f>IFERROR(__xludf.DUMMYFUNCTION("""COMPUTED_VALUE"""),6.0)</f>
        <v>6</v>
      </c>
    </row>
    <row r="179">
      <c r="A179" s="1" t="s">
        <v>158</v>
      </c>
      <c r="B179" s="2" t="str">
        <f>IFERROR(__xludf.DUMMYFUNCTION("SPLIT(A179, "" "")"),"move")</f>
        <v>move</v>
      </c>
      <c r="C179" s="2">
        <f>IFERROR(__xludf.DUMMYFUNCTION("""COMPUTED_VALUE"""),3.0)</f>
        <v>3</v>
      </c>
      <c r="D179" s="2" t="str">
        <f>IFERROR(__xludf.DUMMYFUNCTION("""COMPUTED_VALUE"""),"from")</f>
        <v>from</v>
      </c>
      <c r="E179" s="2">
        <f>IFERROR(__xludf.DUMMYFUNCTION("""COMPUTED_VALUE"""),9.0)</f>
        <v>9</v>
      </c>
      <c r="F179" s="2" t="str">
        <f>IFERROR(__xludf.DUMMYFUNCTION("""COMPUTED_VALUE"""),"to")</f>
        <v>to</v>
      </c>
      <c r="G179" s="2">
        <f>IFERROR(__xludf.DUMMYFUNCTION("""COMPUTED_VALUE"""),8.0)</f>
        <v>8</v>
      </c>
    </row>
    <row r="180">
      <c r="A180" s="1" t="s">
        <v>92</v>
      </c>
      <c r="B180" s="2" t="str">
        <f>IFERROR(__xludf.DUMMYFUNCTION("SPLIT(A180, "" "")"),"move")</f>
        <v>move</v>
      </c>
      <c r="C180" s="2">
        <f>IFERROR(__xludf.DUMMYFUNCTION("""COMPUTED_VALUE"""),1.0)</f>
        <v>1</v>
      </c>
      <c r="D180" s="2" t="str">
        <f>IFERROR(__xludf.DUMMYFUNCTION("""COMPUTED_VALUE"""),"from")</f>
        <v>from</v>
      </c>
      <c r="E180" s="2">
        <f>IFERROR(__xludf.DUMMYFUNCTION("""COMPUTED_VALUE"""),9.0)</f>
        <v>9</v>
      </c>
      <c r="F180" s="2" t="str">
        <f>IFERROR(__xludf.DUMMYFUNCTION("""COMPUTED_VALUE"""),"to")</f>
        <v>to</v>
      </c>
      <c r="G180" s="2">
        <f>IFERROR(__xludf.DUMMYFUNCTION("""COMPUTED_VALUE"""),3.0)</f>
        <v>3</v>
      </c>
    </row>
    <row r="181">
      <c r="A181" s="1" t="s">
        <v>121</v>
      </c>
      <c r="B181" s="2" t="str">
        <f>IFERROR(__xludf.DUMMYFUNCTION("SPLIT(A181, "" "")"),"move")</f>
        <v>move</v>
      </c>
      <c r="C181" s="2">
        <f>IFERROR(__xludf.DUMMYFUNCTION("""COMPUTED_VALUE"""),3.0)</f>
        <v>3</v>
      </c>
      <c r="D181" s="2" t="str">
        <f>IFERROR(__xludf.DUMMYFUNCTION("""COMPUTED_VALUE"""),"from")</f>
        <v>from</v>
      </c>
      <c r="E181" s="2">
        <f>IFERROR(__xludf.DUMMYFUNCTION("""COMPUTED_VALUE"""),8.0)</f>
        <v>8</v>
      </c>
      <c r="F181" s="2" t="str">
        <f>IFERROR(__xludf.DUMMYFUNCTION("""COMPUTED_VALUE"""),"to")</f>
        <v>to</v>
      </c>
      <c r="G181" s="2">
        <f>IFERROR(__xludf.DUMMYFUNCTION("""COMPUTED_VALUE"""),3.0)</f>
        <v>3</v>
      </c>
    </row>
    <row r="182">
      <c r="A182" s="1" t="s">
        <v>25</v>
      </c>
      <c r="B182" s="2" t="str">
        <f>IFERROR(__xludf.DUMMYFUNCTION("SPLIT(A182, "" "")"),"move")</f>
        <v>move</v>
      </c>
      <c r="C182" s="2">
        <f>IFERROR(__xludf.DUMMYFUNCTION("""COMPUTED_VALUE"""),5.0)</f>
        <v>5</v>
      </c>
      <c r="D182" s="2" t="str">
        <f>IFERROR(__xludf.DUMMYFUNCTION("""COMPUTED_VALUE"""),"from")</f>
        <v>from</v>
      </c>
      <c r="E182" s="2">
        <f>IFERROR(__xludf.DUMMYFUNCTION("""COMPUTED_VALUE"""),9.0)</f>
        <v>9</v>
      </c>
      <c r="F182" s="2" t="str">
        <f>IFERROR(__xludf.DUMMYFUNCTION("""COMPUTED_VALUE"""),"to")</f>
        <v>to</v>
      </c>
      <c r="G182" s="2">
        <f>IFERROR(__xludf.DUMMYFUNCTION("""COMPUTED_VALUE"""),2.0)</f>
        <v>2</v>
      </c>
    </row>
    <row r="183">
      <c r="A183" s="1" t="s">
        <v>159</v>
      </c>
      <c r="B183" s="2" t="str">
        <f>IFERROR(__xludf.DUMMYFUNCTION("SPLIT(A183, "" "")"),"move")</f>
        <v>move</v>
      </c>
      <c r="C183" s="2">
        <f>IFERROR(__xludf.DUMMYFUNCTION("""COMPUTED_VALUE"""),3.0)</f>
        <v>3</v>
      </c>
      <c r="D183" s="2" t="str">
        <f>IFERROR(__xludf.DUMMYFUNCTION("""COMPUTED_VALUE"""),"from")</f>
        <v>from</v>
      </c>
      <c r="E183" s="2">
        <f>IFERROR(__xludf.DUMMYFUNCTION("""COMPUTED_VALUE"""),2.0)</f>
        <v>2</v>
      </c>
      <c r="F183" s="2" t="str">
        <f>IFERROR(__xludf.DUMMYFUNCTION("""COMPUTED_VALUE"""),"to")</f>
        <v>to</v>
      </c>
      <c r="G183" s="2">
        <f>IFERROR(__xludf.DUMMYFUNCTION("""COMPUTED_VALUE"""),6.0)</f>
        <v>6</v>
      </c>
    </row>
    <row r="184">
      <c r="A184" s="1" t="s">
        <v>9</v>
      </c>
      <c r="B184" s="2" t="str">
        <f>IFERROR(__xludf.DUMMYFUNCTION("SPLIT(A184, "" "")"),"move")</f>
        <v>move</v>
      </c>
      <c r="C184" s="2">
        <f>IFERROR(__xludf.DUMMYFUNCTION("""COMPUTED_VALUE"""),3.0)</f>
        <v>3</v>
      </c>
      <c r="D184" s="2" t="str">
        <f>IFERROR(__xludf.DUMMYFUNCTION("""COMPUTED_VALUE"""),"from")</f>
        <v>from</v>
      </c>
      <c r="E184" s="2">
        <f>IFERROR(__xludf.DUMMYFUNCTION("""COMPUTED_VALUE"""),6.0)</f>
        <v>6</v>
      </c>
      <c r="F184" s="2" t="str">
        <f>IFERROR(__xludf.DUMMYFUNCTION("""COMPUTED_VALUE"""),"to")</f>
        <v>to</v>
      </c>
      <c r="G184" s="2">
        <f>IFERROR(__xludf.DUMMYFUNCTION("""COMPUTED_VALUE"""),9.0)</f>
        <v>9</v>
      </c>
    </row>
    <row r="185">
      <c r="A185" s="1" t="s">
        <v>160</v>
      </c>
      <c r="B185" s="2" t="str">
        <f>IFERROR(__xludf.DUMMYFUNCTION("SPLIT(A185, "" "")"),"move")</f>
        <v>move</v>
      </c>
      <c r="C185" s="2">
        <f>IFERROR(__xludf.DUMMYFUNCTION("""COMPUTED_VALUE"""),3.0)</f>
        <v>3</v>
      </c>
      <c r="D185" s="2" t="str">
        <f>IFERROR(__xludf.DUMMYFUNCTION("""COMPUTED_VALUE"""),"from")</f>
        <v>from</v>
      </c>
      <c r="E185" s="2">
        <f>IFERROR(__xludf.DUMMYFUNCTION("""COMPUTED_VALUE"""),6.0)</f>
        <v>6</v>
      </c>
      <c r="F185" s="2" t="str">
        <f>IFERROR(__xludf.DUMMYFUNCTION("""COMPUTED_VALUE"""),"to")</f>
        <v>to</v>
      </c>
      <c r="G185" s="2">
        <f>IFERROR(__xludf.DUMMYFUNCTION("""COMPUTED_VALUE"""),2.0)</f>
        <v>2</v>
      </c>
    </row>
    <row r="186">
      <c r="A186" s="1" t="s">
        <v>94</v>
      </c>
      <c r="B186" s="2" t="str">
        <f>IFERROR(__xludf.DUMMYFUNCTION("SPLIT(A186, "" "")"),"move")</f>
        <v>move</v>
      </c>
      <c r="C186" s="2">
        <f>IFERROR(__xludf.DUMMYFUNCTION("""COMPUTED_VALUE"""),4.0)</f>
        <v>4</v>
      </c>
      <c r="D186" s="2" t="str">
        <f>IFERROR(__xludf.DUMMYFUNCTION("""COMPUTED_VALUE"""),"from")</f>
        <v>from</v>
      </c>
      <c r="E186" s="2">
        <f>IFERROR(__xludf.DUMMYFUNCTION("""COMPUTED_VALUE"""),2.0)</f>
        <v>2</v>
      </c>
      <c r="F186" s="2" t="str">
        <f>IFERROR(__xludf.DUMMYFUNCTION("""COMPUTED_VALUE"""),"to")</f>
        <v>to</v>
      </c>
      <c r="G186" s="2">
        <f>IFERROR(__xludf.DUMMYFUNCTION("""COMPUTED_VALUE"""),6.0)</f>
        <v>6</v>
      </c>
    </row>
    <row r="187">
      <c r="A187" s="1" t="s">
        <v>161</v>
      </c>
      <c r="B187" s="2" t="str">
        <f>IFERROR(__xludf.DUMMYFUNCTION("SPLIT(A187, "" "")"),"move")</f>
        <v>move</v>
      </c>
      <c r="C187" s="2">
        <f>IFERROR(__xludf.DUMMYFUNCTION("""COMPUTED_VALUE"""),6.0)</f>
        <v>6</v>
      </c>
      <c r="D187" s="2" t="str">
        <f>IFERROR(__xludf.DUMMYFUNCTION("""COMPUTED_VALUE"""),"from")</f>
        <v>from</v>
      </c>
      <c r="E187" s="2">
        <f>IFERROR(__xludf.DUMMYFUNCTION("""COMPUTED_VALUE"""),9.0)</f>
        <v>9</v>
      </c>
      <c r="F187" s="2" t="str">
        <f>IFERROR(__xludf.DUMMYFUNCTION("""COMPUTED_VALUE"""),"to")</f>
        <v>to</v>
      </c>
      <c r="G187" s="2">
        <f>IFERROR(__xludf.DUMMYFUNCTION("""COMPUTED_VALUE"""),7.0)</f>
        <v>7</v>
      </c>
    </row>
    <row r="188">
      <c r="A188" s="1" t="s">
        <v>162</v>
      </c>
      <c r="B188" s="2" t="str">
        <f>IFERROR(__xludf.DUMMYFUNCTION("SPLIT(A188, "" "")"),"move")</f>
        <v>move</v>
      </c>
      <c r="C188" s="2">
        <f>IFERROR(__xludf.DUMMYFUNCTION("""COMPUTED_VALUE"""),1.0)</f>
        <v>1</v>
      </c>
      <c r="D188" s="2" t="str">
        <f>IFERROR(__xludf.DUMMYFUNCTION("""COMPUTED_VALUE"""),"from")</f>
        <v>from</v>
      </c>
      <c r="E188" s="2">
        <f>IFERROR(__xludf.DUMMYFUNCTION("""COMPUTED_VALUE"""),1.0)</f>
        <v>1</v>
      </c>
      <c r="F188" s="2" t="str">
        <f>IFERROR(__xludf.DUMMYFUNCTION("""COMPUTED_VALUE"""),"to")</f>
        <v>to</v>
      </c>
      <c r="G188" s="2">
        <f>IFERROR(__xludf.DUMMYFUNCTION("""COMPUTED_VALUE"""),8.0)</f>
        <v>8</v>
      </c>
    </row>
    <row r="189">
      <c r="A189" s="1" t="s">
        <v>163</v>
      </c>
      <c r="B189" s="2" t="str">
        <f>IFERROR(__xludf.DUMMYFUNCTION("SPLIT(A189, "" "")"),"move")</f>
        <v>move</v>
      </c>
      <c r="C189" s="2">
        <f>IFERROR(__xludf.DUMMYFUNCTION("""COMPUTED_VALUE"""),8.0)</f>
        <v>8</v>
      </c>
      <c r="D189" s="2" t="str">
        <f>IFERROR(__xludf.DUMMYFUNCTION("""COMPUTED_VALUE"""),"from")</f>
        <v>from</v>
      </c>
      <c r="E189" s="2">
        <f>IFERROR(__xludf.DUMMYFUNCTION("""COMPUTED_VALUE"""),8.0)</f>
        <v>8</v>
      </c>
      <c r="F189" s="2" t="str">
        <f>IFERROR(__xludf.DUMMYFUNCTION("""COMPUTED_VALUE"""),"to")</f>
        <v>to</v>
      </c>
      <c r="G189" s="2">
        <f>IFERROR(__xludf.DUMMYFUNCTION("""COMPUTED_VALUE"""),5.0)</f>
        <v>5</v>
      </c>
    </row>
    <row r="190">
      <c r="A190" s="1" t="s">
        <v>164</v>
      </c>
      <c r="B190" s="2" t="str">
        <f>IFERROR(__xludf.DUMMYFUNCTION("SPLIT(A190, "" "")"),"move")</f>
        <v>move</v>
      </c>
      <c r="C190" s="2">
        <f>IFERROR(__xludf.DUMMYFUNCTION("""COMPUTED_VALUE"""),20.0)</f>
        <v>20</v>
      </c>
      <c r="D190" s="2" t="str">
        <f>IFERROR(__xludf.DUMMYFUNCTION("""COMPUTED_VALUE"""),"from")</f>
        <v>from</v>
      </c>
      <c r="E190" s="2">
        <f>IFERROR(__xludf.DUMMYFUNCTION("""COMPUTED_VALUE"""),5.0)</f>
        <v>5</v>
      </c>
      <c r="F190" s="2" t="str">
        <f>IFERROR(__xludf.DUMMYFUNCTION("""COMPUTED_VALUE"""),"to")</f>
        <v>to</v>
      </c>
      <c r="G190" s="2">
        <f>IFERROR(__xludf.DUMMYFUNCTION("""COMPUTED_VALUE"""),3.0)</f>
        <v>3</v>
      </c>
    </row>
    <row r="191">
      <c r="A191" s="1" t="s">
        <v>165</v>
      </c>
      <c r="B191" s="2" t="str">
        <f>IFERROR(__xludf.DUMMYFUNCTION("SPLIT(A191, "" "")"),"move")</f>
        <v>move</v>
      </c>
      <c r="C191" s="2">
        <f>IFERROR(__xludf.DUMMYFUNCTION("""COMPUTED_VALUE"""),2.0)</f>
        <v>2</v>
      </c>
      <c r="D191" s="2" t="str">
        <f>IFERROR(__xludf.DUMMYFUNCTION("""COMPUTED_VALUE"""),"from")</f>
        <v>from</v>
      </c>
      <c r="E191" s="2">
        <f>IFERROR(__xludf.DUMMYFUNCTION("""COMPUTED_VALUE"""),2.0)</f>
        <v>2</v>
      </c>
      <c r="F191" s="2" t="str">
        <f>IFERROR(__xludf.DUMMYFUNCTION("""COMPUTED_VALUE"""),"to")</f>
        <v>to</v>
      </c>
      <c r="G191" s="2">
        <f>IFERROR(__xludf.DUMMYFUNCTION("""COMPUTED_VALUE"""),8.0)</f>
        <v>8</v>
      </c>
    </row>
    <row r="192">
      <c r="A192" s="1" t="s">
        <v>166</v>
      </c>
      <c r="B192" s="2" t="str">
        <f>IFERROR(__xludf.DUMMYFUNCTION("SPLIT(A192, "" "")"),"move")</f>
        <v>move</v>
      </c>
      <c r="C192" s="2">
        <f>IFERROR(__xludf.DUMMYFUNCTION("""COMPUTED_VALUE"""),6.0)</f>
        <v>6</v>
      </c>
      <c r="D192" s="2" t="str">
        <f>IFERROR(__xludf.DUMMYFUNCTION("""COMPUTED_VALUE"""),"from")</f>
        <v>from</v>
      </c>
      <c r="E192" s="2">
        <f>IFERROR(__xludf.DUMMYFUNCTION("""COMPUTED_VALUE"""),7.0)</f>
        <v>7</v>
      </c>
      <c r="F192" s="2" t="str">
        <f>IFERROR(__xludf.DUMMYFUNCTION("""COMPUTED_VALUE"""),"to")</f>
        <v>to</v>
      </c>
      <c r="G192" s="2">
        <f>IFERROR(__xludf.DUMMYFUNCTION("""COMPUTED_VALUE"""),1.0)</f>
        <v>1</v>
      </c>
    </row>
    <row r="193">
      <c r="A193" s="1" t="s">
        <v>167</v>
      </c>
      <c r="B193" s="2" t="str">
        <f>IFERROR(__xludf.DUMMYFUNCTION("SPLIT(A193, "" "")"),"move")</f>
        <v>move</v>
      </c>
      <c r="C193" s="2">
        <f>IFERROR(__xludf.DUMMYFUNCTION("""COMPUTED_VALUE"""),10.0)</f>
        <v>10</v>
      </c>
      <c r="D193" s="2" t="str">
        <f>IFERROR(__xludf.DUMMYFUNCTION("""COMPUTED_VALUE"""),"from")</f>
        <v>from</v>
      </c>
      <c r="E193" s="2">
        <f>IFERROR(__xludf.DUMMYFUNCTION("""COMPUTED_VALUE"""),6.0)</f>
        <v>6</v>
      </c>
      <c r="F193" s="2" t="str">
        <f>IFERROR(__xludf.DUMMYFUNCTION("""COMPUTED_VALUE"""),"to")</f>
        <v>to</v>
      </c>
      <c r="G193" s="2">
        <f>IFERROR(__xludf.DUMMYFUNCTION("""COMPUTED_VALUE"""),3.0)</f>
        <v>3</v>
      </c>
    </row>
    <row r="194">
      <c r="A194" s="1" t="s">
        <v>168</v>
      </c>
      <c r="B194" s="2" t="str">
        <f>IFERROR(__xludf.DUMMYFUNCTION("SPLIT(A194, "" "")"),"move")</f>
        <v>move</v>
      </c>
      <c r="C194" s="2">
        <f>IFERROR(__xludf.DUMMYFUNCTION("""COMPUTED_VALUE"""),4.0)</f>
        <v>4</v>
      </c>
      <c r="D194" s="2" t="str">
        <f>IFERROR(__xludf.DUMMYFUNCTION("""COMPUTED_VALUE"""),"from")</f>
        <v>from</v>
      </c>
      <c r="E194" s="2">
        <f>IFERROR(__xludf.DUMMYFUNCTION("""COMPUTED_VALUE"""),6.0)</f>
        <v>6</v>
      </c>
      <c r="F194" s="2" t="str">
        <f>IFERROR(__xludf.DUMMYFUNCTION("""COMPUTED_VALUE"""),"to")</f>
        <v>to</v>
      </c>
      <c r="G194" s="2">
        <f>IFERROR(__xludf.DUMMYFUNCTION("""COMPUTED_VALUE"""),7.0)</f>
        <v>7</v>
      </c>
    </row>
    <row r="195">
      <c r="A195" s="1" t="s">
        <v>169</v>
      </c>
      <c r="B195" s="2" t="str">
        <f>IFERROR(__xludf.DUMMYFUNCTION("SPLIT(A195, "" "")"),"move")</f>
        <v>move</v>
      </c>
      <c r="C195" s="2">
        <f>IFERROR(__xludf.DUMMYFUNCTION("""COMPUTED_VALUE"""),4.0)</f>
        <v>4</v>
      </c>
      <c r="D195" s="2" t="str">
        <f>IFERROR(__xludf.DUMMYFUNCTION("""COMPUTED_VALUE"""),"from")</f>
        <v>from</v>
      </c>
      <c r="E195" s="2">
        <f>IFERROR(__xludf.DUMMYFUNCTION("""COMPUTED_VALUE"""),1.0)</f>
        <v>1</v>
      </c>
      <c r="F195" s="2" t="str">
        <f>IFERROR(__xludf.DUMMYFUNCTION("""COMPUTED_VALUE"""),"to")</f>
        <v>to</v>
      </c>
      <c r="G195" s="2">
        <f>IFERROR(__xludf.DUMMYFUNCTION("""COMPUTED_VALUE"""),9.0)</f>
        <v>9</v>
      </c>
    </row>
    <row r="196">
      <c r="A196" s="1" t="s">
        <v>146</v>
      </c>
      <c r="B196" s="2" t="str">
        <f>IFERROR(__xludf.DUMMYFUNCTION("SPLIT(A196, "" "")"),"move")</f>
        <v>move</v>
      </c>
      <c r="C196" s="2">
        <f>IFERROR(__xludf.DUMMYFUNCTION("""COMPUTED_VALUE"""),2.0)</f>
        <v>2</v>
      </c>
      <c r="D196" s="2" t="str">
        <f>IFERROR(__xludf.DUMMYFUNCTION("""COMPUTED_VALUE"""),"from")</f>
        <v>from</v>
      </c>
      <c r="E196" s="2">
        <f>IFERROR(__xludf.DUMMYFUNCTION("""COMPUTED_VALUE"""),1.0)</f>
        <v>1</v>
      </c>
      <c r="F196" s="2" t="str">
        <f>IFERROR(__xludf.DUMMYFUNCTION("""COMPUTED_VALUE"""),"to")</f>
        <v>to</v>
      </c>
      <c r="G196" s="2">
        <f>IFERROR(__xludf.DUMMYFUNCTION("""COMPUTED_VALUE"""),2.0)</f>
        <v>2</v>
      </c>
    </row>
    <row r="197">
      <c r="A197" s="1" t="s">
        <v>9</v>
      </c>
      <c r="B197" s="2" t="str">
        <f>IFERROR(__xludf.DUMMYFUNCTION("SPLIT(A197, "" "")"),"move")</f>
        <v>move</v>
      </c>
      <c r="C197" s="2">
        <f>IFERROR(__xludf.DUMMYFUNCTION("""COMPUTED_VALUE"""),3.0)</f>
        <v>3</v>
      </c>
      <c r="D197" s="2" t="str">
        <f>IFERROR(__xludf.DUMMYFUNCTION("""COMPUTED_VALUE"""),"from")</f>
        <v>from</v>
      </c>
      <c r="E197" s="2">
        <f>IFERROR(__xludf.DUMMYFUNCTION("""COMPUTED_VALUE"""),6.0)</f>
        <v>6</v>
      </c>
      <c r="F197" s="2" t="str">
        <f>IFERROR(__xludf.DUMMYFUNCTION("""COMPUTED_VALUE"""),"to")</f>
        <v>to</v>
      </c>
      <c r="G197" s="2">
        <f>IFERROR(__xludf.DUMMYFUNCTION("""COMPUTED_VALUE"""),9.0)</f>
        <v>9</v>
      </c>
    </row>
    <row r="198">
      <c r="A198" s="1" t="s">
        <v>170</v>
      </c>
      <c r="B198" s="2" t="str">
        <f>IFERROR(__xludf.DUMMYFUNCTION("SPLIT(A198, "" "")"),"move")</f>
        <v>move</v>
      </c>
      <c r="C198" s="2">
        <f>IFERROR(__xludf.DUMMYFUNCTION("""COMPUTED_VALUE"""),5.0)</f>
        <v>5</v>
      </c>
      <c r="D198" s="2" t="str">
        <f>IFERROR(__xludf.DUMMYFUNCTION("""COMPUTED_VALUE"""),"from")</f>
        <v>from</v>
      </c>
      <c r="E198" s="2">
        <f>IFERROR(__xludf.DUMMYFUNCTION("""COMPUTED_VALUE"""),8.0)</f>
        <v>8</v>
      </c>
      <c r="F198" s="2" t="str">
        <f>IFERROR(__xludf.DUMMYFUNCTION("""COMPUTED_VALUE"""),"to")</f>
        <v>to</v>
      </c>
      <c r="G198" s="2">
        <f>IFERROR(__xludf.DUMMYFUNCTION("""COMPUTED_VALUE"""),3.0)</f>
        <v>3</v>
      </c>
    </row>
    <row r="199">
      <c r="A199" s="1" t="s">
        <v>171</v>
      </c>
      <c r="B199" s="2" t="str">
        <f>IFERROR(__xludf.DUMMYFUNCTION("SPLIT(A199, "" "")"),"move")</f>
        <v>move</v>
      </c>
      <c r="C199" s="2">
        <f>IFERROR(__xludf.DUMMYFUNCTION("""COMPUTED_VALUE"""),3.0)</f>
        <v>3</v>
      </c>
      <c r="D199" s="2" t="str">
        <f>IFERROR(__xludf.DUMMYFUNCTION("""COMPUTED_VALUE"""),"from")</f>
        <v>from</v>
      </c>
      <c r="E199" s="2">
        <f>IFERROR(__xludf.DUMMYFUNCTION("""COMPUTED_VALUE"""),7.0)</f>
        <v>7</v>
      </c>
      <c r="F199" s="2" t="str">
        <f>IFERROR(__xludf.DUMMYFUNCTION("""COMPUTED_VALUE"""),"to")</f>
        <v>to</v>
      </c>
      <c r="G199" s="2">
        <f>IFERROR(__xludf.DUMMYFUNCTION("""COMPUTED_VALUE"""),9.0)</f>
        <v>9</v>
      </c>
    </row>
    <row r="200">
      <c r="A200" s="1" t="s">
        <v>172</v>
      </c>
      <c r="B200" s="2" t="str">
        <f>IFERROR(__xludf.DUMMYFUNCTION("SPLIT(A200, "" "")"),"move")</f>
        <v>move</v>
      </c>
      <c r="C200" s="2">
        <f>IFERROR(__xludf.DUMMYFUNCTION("""COMPUTED_VALUE"""),17.0)</f>
        <v>17</v>
      </c>
      <c r="D200" s="2" t="str">
        <f>IFERROR(__xludf.DUMMYFUNCTION("""COMPUTED_VALUE"""),"from")</f>
        <v>from</v>
      </c>
      <c r="E200" s="2">
        <f>IFERROR(__xludf.DUMMYFUNCTION("""COMPUTED_VALUE"""),3.0)</f>
        <v>3</v>
      </c>
      <c r="F200" s="2" t="str">
        <f>IFERROR(__xludf.DUMMYFUNCTION("""COMPUTED_VALUE"""),"to")</f>
        <v>to</v>
      </c>
      <c r="G200" s="2">
        <f>IFERROR(__xludf.DUMMYFUNCTION("""COMPUTED_VALUE"""),2.0)</f>
        <v>2</v>
      </c>
    </row>
    <row r="201">
      <c r="A201" s="1" t="s">
        <v>20</v>
      </c>
      <c r="B201" s="2" t="str">
        <f>IFERROR(__xludf.DUMMYFUNCTION("SPLIT(A201, "" "")"),"move")</f>
        <v>move</v>
      </c>
      <c r="C201" s="2">
        <f>IFERROR(__xludf.DUMMYFUNCTION("""COMPUTED_VALUE"""),1.0)</f>
        <v>1</v>
      </c>
      <c r="D201" s="2" t="str">
        <f>IFERROR(__xludf.DUMMYFUNCTION("""COMPUTED_VALUE"""),"from")</f>
        <v>from</v>
      </c>
      <c r="E201" s="2">
        <f>IFERROR(__xludf.DUMMYFUNCTION("""COMPUTED_VALUE"""),6.0)</f>
        <v>6</v>
      </c>
      <c r="F201" s="2" t="str">
        <f>IFERROR(__xludf.DUMMYFUNCTION("""COMPUTED_VALUE"""),"to")</f>
        <v>to</v>
      </c>
      <c r="G201" s="2">
        <f>IFERROR(__xludf.DUMMYFUNCTION("""COMPUTED_VALUE"""),2.0)</f>
        <v>2</v>
      </c>
    </row>
    <row r="202">
      <c r="A202" s="1" t="s">
        <v>96</v>
      </c>
      <c r="B202" s="2" t="str">
        <f>IFERROR(__xludf.DUMMYFUNCTION("SPLIT(A202, "" "")"),"move")</f>
        <v>move</v>
      </c>
      <c r="C202" s="2">
        <f>IFERROR(__xludf.DUMMYFUNCTION("""COMPUTED_VALUE"""),2.0)</f>
        <v>2</v>
      </c>
      <c r="D202" s="2" t="str">
        <f>IFERROR(__xludf.DUMMYFUNCTION("""COMPUTED_VALUE"""),"from")</f>
        <v>from</v>
      </c>
      <c r="E202" s="2">
        <f>IFERROR(__xludf.DUMMYFUNCTION("""COMPUTED_VALUE"""),6.0)</f>
        <v>6</v>
      </c>
      <c r="F202" s="2" t="str">
        <f>IFERROR(__xludf.DUMMYFUNCTION("""COMPUTED_VALUE"""),"to")</f>
        <v>to</v>
      </c>
      <c r="G202" s="2">
        <f>IFERROR(__xludf.DUMMYFUNCTION("""COMPUTED_VALUE"""),9.0)</f>
        <v>9</v>
      </c>
    </row>
    <row r="203">
      <c r="A203" s="1" t="s">
        <v>173</v>
      </c>
      <c r="B203" s="2" t="str">
        <f>IFERROR(__xludf.DUMMYFUNCTION("SPLIT(A203, "" "")"),"move")</f>
        <v>move</v>
      </c>
      <c r="C203" s="2">
        <f>IFERROR(__xludf.DUMMYFUNCTION("""COMPUTED_VALUE"""),1.0)</f>
        <v>1</v>
      </c>
      <c r="D203" s="2" t="str">
        <f>IFERROR(__xludf.DUMMYFUNCTION("""COMPUTED_VALUE"""),"from")</f>
        <v>from</v>
      </c>
      <c r="E203" s="2">
        <f>IFERROR(__xludf.DUMMYFUNCTION("""COMPUTED_VALUE"""),6.0)</f>
        <v>6</v>
      </c>
      <c r="F203" s="2" t="str">
        <f>IFERROR(__xludf.DUMMYFUNCTION("""COMPUTED_VALUE"""),"to")</f>
        <v>to</v>
      </c>
      <c r="G203" s="2">
        <f>IFERROR(__xludf.DUMMYFUNCTION("""COMPUTED_VALUE"""),4.0)</f>
        <v>4</v>
      </c>
    </row>
    <row r="204">
      <c r="A204" s="1" t="s">
        <v>174</v>
      </c>
      <c r="B204" s="2" t="str">
        <f>IFERROR(__xludf.DUMMYFUNCTION("SPLIT(A204, "" "")"),"move")</f>
        <v>move</v>
      </c>
      <c r="C204" s="2">
        <f>IFERROR(__xludf.DUMMYFUNCTION("""COMPUTED_VALUE"""),12.0)</f>
        <v>12</v>
      </c>
      <c r="D204" s="2" t="str">
        <f>IFERROR(__xludf.DUMMYFUNCTION("""COMPUTED_VALUE"""),"from")</f>
        <v>from</v>
      </c>
      <c r="E204" s="2">
        <f>IFERROR(__xludf.DUMMYFUNCTION("""COMPUTED_VALUE"""),9.0)</f>
        <v>9</v>
      </c>
      <c r="F204" s="2" t="str">
        <f>IFERROR(__xludf.DUMMYFUNCTION("""COMPUTED_VALUE"""),"to")</f>
        <v>to</v>
      </c>
      <c r="G204" s="2">
        <f>IFERROR(__xludf.DUMMYFUNCTION("""COMPUTED_VALUE"""),2.0)</f>
        <v>2</v>
      </c>
    </row>
    <row r="205">
      <c r="A205" s="1" t="s">
        <v>120</v>
      </c>
      <c r="B205" s="2" t="str">
        <f>IFERROR(__xludf.DUMMYFUNCTION("SPLIT(A205, "" "")"),"move")</f>
        <v>move</v>
      </c>
      <c r="C205" s="2">
        <f>IFERROR(__xludf.DUMMYFUNCTION("""COMPUTED_VALUE"""),1.0)</f>
        <v>1</v>
      </c>
      <c r="D205" s="2" t="str">
        <f>IFERROR(__xludf.DUMMYFUNCTION("""COMPUTED_VALUE"""),"from")</f>
        <v>from</v>
      </c>
      <c r="E205" s="2">
        <f>IFERROR(__xludf.DUMMYFUNCTION("""COMPUTED_VALUE"""),4.0)</f>
        <v>4</v>
      </c>
      <c r="F205" s="2" t="str">
        <f>IFERROR(__xludf.DUMMYFUNCTION("""COMPUTED_VALUE"""),"to")</f>
        <v>to</v>
      </c>
      <c r="G205" s="2">
        <f>IFERROR(__xludf.DUMMYFUNCTION("""COMPUTED_VALUE"""),7.0)</f>
        <v>7</v>
      </c>
    </row>
    <row r="206">
      <c r="A206" s="1" t="s">
        <v>175</v>
      </c>
      <c r="B206" s="2" t="str">
        <f>IFERROR(__xludf.DUMMYFUNCTION("SPLIT(A206, "" "")"),"move")</f>
        <v>move</v>
      </c>
      <c r="C206" s="2">
        <f>IFERROR(__xludf.DUMMYFUNCTION("""COMPUTED_VALUE"""),8.0)</f>
        <v>8</v>
      </c>
      <c r="D206" s="2" t="str">
        <f>IFERROR(__xludf.DUMMYFUNCTION("""COMPUTED_VALUE"""),"from")</f>
        <v>from</v>
      </c>
      <c r="E206" s="2">
        <f>IFERROR(__xludf.DUMMYFUNCTION("""COMPUTED_VALUE"""),3.0)</f>
        <v>3</v>
      </c>
      <c r="F206" s="2" t="str">
        <f>IFERROR(__xludf.DUMMYFUNCTION("""COMPUTED_VALUE"""),"to")</f>
        <v>to</v>
      </c>
      <c r="G206" s="2">
        <f>IFERROR(__xludf.DUMMYFUNCTION("""COMPUTED_VALUE"""),8.0)</f>
        <v>8</v>
      </c>
    </row>
    <row r="207">
      <c r="A207" s="1" t="s">
        <v>176</v>
      </c>
      <c r="B207" s="2" t="str">
        <f>IFERROR(__xludf.DUMMYFUNCTION("SPLIT(A207, "" "")"),"move")</f>
        <v>move</v>
      </c>
      <c r="C207" s="2">
        <f>IFERROR(__xludf.DUMMYFUNCTION("""COMPUTED_VALUE"""),8.0)</f>
        <v>8</v>
      </c>
      <c r="D207" s="2" t="str">
        <f>IFERROR(__xludf.DUMMYFUNCTION("""COMPUTED_VALUE"""),"from")</f>
        <v>from</v>
      </c>
      <c r="E207" s="2">
        <f>IFERROR(__xludf.DUMMYFUNCTION("""COMPUTED_VALUE"""),8.0)</f>
        <v>8</v>
      </c>
      <c r="F207" s="2" t="str">
        <f>IFERROR(__xludf.DUMMYFUNCTION("""COMPUTED_VALUE"""),"to")</f>
        <v>to</v>
      </c>
      <c r="G207" s="2">
        <f>IFERROR(__xludf.DUMMYFUNCTION("""COMPUTED_VALUE"""),9.0)</f>
        <v>9</v>
      </c>
    </row>
    <row r="208">
      <c r="A208" s="1" t="s">
        <v>177</v>
      </c>
      <c r="B208" s="2" t="str">
        <f>IFERROR(__xludf.DUMMYFUNCTION("SPLIT(A208, "" "")"),"move")</f>
        <v>move</v>
      </c>
      <c r="C208" s="2">
        <f>IFERROR(__xludf.DUMMYFUNCTION("""COMPUTED_VALUE"""),7.0)</f>
        <v>7</v>
      </c>
      <c r="D208" s="2" t="str">
        <f>IFERROR(__xludf.DUMMYFUNCTION("""COMPUTED_VALUE"""),"from")</f>
        <v>from</v>
      </c>
      <c r="E208" s="2">
        <f>IFERROR(__xludf.DUMMYFUNCTION("""COMPUTED_VALUE"""),9.0)</f>
        <v>9</v>
      </c>
      <c r="F208" s="2" t="str">
        <f>IFERROR(__xludf.DUMMYFUNCTION("""COMPUTED_VALUE"""),"to")</f>
        <v>to</v>
      </c>
      <c r="G208" s="2">
        <f>IFERROR(__xludf.DUMMYFUNCTION("""COMPUTED_VALUE"""),2.0)</f>
        <v>2</v>
      </c>
    </row>
    <row r="209">
      <c r="A209" s="1" t="s">
        <v>148</v>
      </c>
      <c r="B209" s="2" t="str">
        <f>IFERROR(__xludf.DUMMYFUNCTION("SPLIT(A209, "" "")"),"move")</f>
        <v>move</v>
      </c>
      <c r="C209" s="2">
        <f>IFERROR(__xludf.DUMMYFUNCTION("""COMPUTED_VALUE"""),1.0)</f>
        <v>1</v>
      </c>
      <c r="D209" s="2" t="str">
        <f>IFERROR(__xludf.DUMMYFUNCTION("""COMPUTED_VALUE"""),"from")</f>
        <v>from</v>
      </c>
      <c r="E209" s="2">
        <f>IFERROR(__xludf.DUMMYFUNCTION("""COMPUTED_VALUE"""),9.0)</f>
        <v>9</v>
      </c>
      <c r="F209" s="2" t="str">
        <f>IFERROR(__xludf.DUMMYFUNCTION("""COMPUTED_VALUE"""),"to")</f>
        <v>to</v>
      </c>
      <c r="G209" s="2">
        <f>IFERROR(__xludf.DUMMYFUNCTION("""COMPUTED_VALUE"""),7.0)</f>
        <v>7</v>
      </c>
    </row>
    <row r="210">
      <c r="A210" s="1" t="s">
        <v>178</v>
      </c>
      <c r="B210" s="2" t="str">
        <f>IFERROR(__xludf.DUMMYFUNCTION("SPLIT(A210, "" "")"),"move")</f>
        <v>move</v>
      </c>
      <c r="C210" s="2">
        <f>IFERROR(__xludf.DUMMYFUNCTION("""COMPUTED_VALUE"""),18.0)</f>
        <v>18</v>
      </c>
      <c r="D210" s="2" t="str">
        <f>IFERROR(__xludf.DUMMYFUNCTION("""COMPUTED_VALUE"""),"from")</f>
        <v>from</v>
      </c>
      <c r="E210" s="2">
        <f>IFERROR(__xludf.DUMMYFUNCTION("""COMPUTED_VALUE"""),2.0)</f>
        <v>2</v>
      </c>
      <c r="F210" s="2" t="str">
        <f>IFERROR(__xludf.DUMMYFUNCTION("""COMPUTED_VALUE"""),"to")</f>
        <v>to</v>
      </c>
      <c r="G210" s="2">
        <f>IFERROR(__xludf.DUMMYFUNCTION("""COMPUTED_VALUE"""),9.0)</f>
        <v>9</v>
      </c>
    </row>
    <row r="211">
      <c r="A211" s="1" t="s">
        <v>12</v>
      </c>
      <c r="B211" s="2" t="str">
        <f>IFERROR(__xludf.DUMMYFUNCTION("SPLIT(A211, "" "")"),"move")</f>
        <v>move</v>
      </c>
      <c r="C211" s="2">
        <f>IFERROR(__xludf.DUMMYFUNCTION("""COMPUTED_VALUE"""),1.0)</f>
        <v>1</v>
      </c>
      <c r="D211" s="2" t="str">
        <f>IFERROR(__xludf.DUMMYFUNCTION("""COMPUTED_VALUE"""),"from")</f>
        <v>from</v>
      </c>
      <c r="E211" s="2">
        <f>IFERROR(__xludf.DUMMYFUNCTION("""COMPUTED_VALUE"""),7.0)</f>
        <v>7</v>
      </c>
      <c r="F211" s="2" t="str">
        <f>IFERROR(__xludf.DUMMYFUNCTION("""COMPUTED_VALUE"""),"to")</f>
        <v>to</v>
      </c>
      <c r="G211" s="2">
        <f>IFERROR(__xludf.DUMMYFUNCTION("""COMPUTED_VALUE"""),2.0)</f>
        <v>2</v>
      </c>
    </row>
    <row r="212">
      <c r="A212" s="1" t="s">
        <v>145</v>
      </c>
      <c r="B212" s="2" t="str">
        <f>IFERROR(__xludf.DUMMYFUNCTION("SPLIT(A212, "" "")"),"move")</f>
        <v>move</v>
      </c>
      <c r="C212" s="2">
        <f>IFERROR(__xludf.DUMMYFUNCTION("""COMPUTED_VALUE"""),2.0)</f>
        <v>2</v>
      </c>
      <c r="D212" s="2" t="str">
        <f>IFERROR(__xludf.DUMMYFUNCTION("""COMPUTED_VALUE"""),"from")</f>
        <v>from</v>
      </c>
      <c r="E212" s="2">
        <f>IFERROR(__xludf.DUMMYFUNCTION("""COMPUTED_VALUE"""),7.0)</f>
        <v>7</v>
      </c>
      <c r="F212" s="2" t="str">
        <f>IFERROR(__xludf.DUMMYFUNCTION("""COMPUTED_VALUE"""),"to")</f>
        <v>to</v>
      </c>
      <c r="G212" s="2">
        <f>IFERROR(__xludf.DUMMYFUNCTION("""COMPUTED_VALUE"""),1.0)</f>
        <v>1</v>
      </c>
    </row>
    <row r="213">
      <c r="A213" s="1" t="s">
        <v>179</v>
      </c>
      <c r="B213" s="2" t="str">
        <f>IFERROR(__xludf.DUMMYFUNCTION("SPLIT(A213, "" "")"),"move")</f>
        <v>move</v>
      </c>
      <c r="C213" s="2">
        <f>IFERROR(__xludf.DUMMYFUNCTION("""COMPUTED_VALUE"""),1.0)</f>
        <v>1</v>
      </c>
      <c r="D213" s="2" t="str">
        <f>IFERROR(__xludf.DUMMYFUNCTION("""COMPUTED_VALUE"""),"from")</f>
        <v>from</v>
      </c>
      <c r="E213" s="2">
        <f>IFERROR(__xludf.DUMMYFUNCTION("""COMPUTED_VALUE"""),1.0)</f>
        <v>1</v>
      </c>
      <c r="F213" s="2" t="str">
        <f>IFERROR(__xludf.DUMMYFUNCTION("""COMPUTED_VALUE"""),"to")</f>
        <v>to</v>
      </c>
      <c r="G213" s="2">
        <f>IFERROR(__xludf.DUMMYFUNCTION("""COMPUTED_VALUE"""),2.0)</f>
        <v>2</v>
      </c>
    </row>
    <row r="214">
      <c r="A214" s="1" t="s">
        <v>180</v>
      </c>
      <c r="B214" s="2" t="str">
        <f>IFERROR(__xludf.DUMMYFUNCTION("SPLIT(A214, "" "")"),"move")</f>
        <v>move</v>
      </c>
      <c r="C214" s="2">
        <f>IFERROR(__xludf.DUMMYFUNCTION("""COMPUTED_VALUE"""),4.0)</f>
        <v>4</v>
      </c>
      <c r="D214" s="2" t="str">
        <f>IFERROR(__xludf.DUMMYFUNCTION("""COMPUTED_VALUE"""),"from")</f>
        <v>from</v>
      </c>
      <c r="E214" s="2">
        <f>IFERROR(__xludf.DUMMYFUNCTION("""COMPUTED_VALUE"""),2.0)</f>
        <v>2</v>
      </c>
      <c r="F214" s="2" t="str">
        <f>IFERROR(__xludf.DUMMYFUNCTION("""COMPUTED_VALUE"""),"to")</f>
        <v>to</v>
      </c>
      <c r="G214" s="2">
        <f>IFERROR(__xludf.DUMMYFUNCTION("""COMPUTED_VALUE"""),7.0)</f>
        <v>7</v>
      </c>
    </row>
    <row r="215">
      <c r="A215" s="1" t="s">
        <v>181</v>
      </c>
      <c r="B215" s="2" t="str">
        <f>IFERROR(__xludf.DUMMYFUNCTION("SPLIT(A215, "" "")"),"move")</f>
        <v>move</v>
      </c>
      <c r="C215" s="2">
        <f>IFERROR(__xludf.DUMMYFUNCTION("""COMPUTED_VALUE"""),15.0)</f>
        <v>15</v>
      </c>
      <c r="D215" s="2" t="str">
        <f>IFERROR(__xludf.DUMMYFUNCTION("""COMPUTED_VALUE"""),"from")</f>
        <v>from</v>
      </c>
      <c r="E215" s="2">
        <f>IFERROR(__xludf.DUMMYFUNCTION("""COMPUTED_VALUE"""),9.0)</f>
        <v>9</v>
      </c>
      <c r="F215" s="2" t="str">
        <f>IFERROR(__xludf.DUMMYFUNCTION("""COMPUTED_VALUE"""),"to")</f>
        <v>to</v>
      </c>
      <c r="G215" s="2">
        <f>IFERROR(__xludf.DUMMYFUNCTION("""COMPUTED_VALUE"""),3.0)</f>
        <v>3</v>
      </c>
    </row>
    <row r="216">
      <c r="A216" s="1" t="s">
        <v>182</v>
      </c>
      <c r="B216" s="2" t="str">
        <f>IFERROR(__xludf.DUMMYFUNCTION("SPLIT(A216, "" "")"),"move")</f>
        <v>move</v>
      </c>
      <c r="C216" s="2">
        <f>IFERROR(__xludf.DUMMYFUNCTION("""COMPUTED_VALUE"""),1.0)</f>
        <v>1</v>
      </c>
      <c r="D216" s="2" t="str">
        <f>IFERROR(__xludf.DUMMYFUNCTION("""COMPUTED_VALUE"""),"from")</f>
        <v>from</v>
      </c>
      <c r="E216" s="2">
        <f>IFERROR(__xludf.DUMMYFUNCTION("""COMPUTED_VALUE"""),9.0)</f>
        <v>9</v>
      </c>
      <c r="F216" s="2" t="str">
        <f>IFERROR(__xludf.DUMMYFUNCTION("""COMPUTED_VALUE"""),"to")</f>
        <v>to</v>
      </c>
      <c r="G216" s="2">
        <f>IFERROR(__xludf.DUMMYFUNCTION("""COMPUTED_VALUE"""),1.0)</f>
        <v>1</v>
      </c>
    </row>
    <row r="217">
      <c r="A217" s="1" t="s">
        <v>137</v>
      </c>
      <c r="B217" s="2" t="str">
        <f>IFERROR(__xludf.DUMMYFUNCTION("SPLIT(A217, "" "")"),"move")</f>
        <v>move</v>
      </c>
      <c r="C217" s="2">
        <f>IFERROR(__xludf.DUMMYFUNCTION("""COMPUTED_VALUE"""),2.0)</f>
        <v>2</v>
      </c>
      <c r="D217" s="2" t="str">
        <f>IFERROR(__xludf.DUMMYFUNCTION("""COMPUTED_VALUE"""),"from")</f>
        <v>from</v>
      </c>
      <c r="E217" s="2">
        <f>IFERROR(__xludf.DUMMYFUNCTION("""COMPUTED_VALUE"""),1.0)</f>
        <v>1</v>
      </c>
      <c r="F217" s="2" t="str">
        <f>IFERROR(__xludf.DUMMYFUNCTION("""COMPUTED_VALUE"""),"to")</f>
        <v>to</v>
      </c>
      <c r="G217" s="2">
        <f>IFERROR(__xludf.DUMMYFUNCTION("""COMPUTED_VALUE"""),8.0)</f>
        <v>8</v>
      </c>
    </row>
    <row r="218">
      <c r="A218" s="1" t="s">
        <v>41</v>
      </c>
      <c r="B218" s="2" t="str">
        <f>IFERROR(__xludf.DUMMYFUNCTION("SPLIT(A218, "" "")"),"move")</f>
        <v>move</v>
      </c>
      <c r="C218" s="2">
        <f>IFERROR(__xludf.DUMMYFUNCTION("""COMPUTED_VALUE"""),6.0)</f>
        <v>6</v>
      </c>
      <c r="D218" s="2" t="str">
        <f>IFERROR(__xludf.DUMMYFUNCTION("""COMPUTED_VALUE"""),"from")</f>
        <v>from</v>
      </c>
      <c r="E218" s="2">
        <f>IFERROR(__xludf.DUMMYFUNCTION("""COMPUTED_VALUE"""),2.0)</f>
        <v>2</v>
      </c>
      <c r="F218" s="2" t="str">
        <f>IFERROR(__xludf.DUMMYFUNCTION("""COMPUTED_VALUE"""),"to")</f>
        <v>to</v>
      </c>
      <c r="G218" s="2">
        <f>IFERROR(__xludf.DUMMYFUNCTION("""COMPUTED_VALUE"""),4.0)</f>
        <v>4</v>
      </c>
    </row>
    <row r="219">
      <c r="A219" s="1" t="s">
        <v>183</v>
      </c>
      <c r="B219" s="2" t="str">
        <f>IFERROR(__xludf.DUMMYFUNCTION("SPLIT(A219, "" "")"),"move")</f>
        <v>move</v>
      </c>
      <c r="C219" s="2">
        <f>IFERROR(__xludf.DUMMYFUNCTION("""COMPUTED_VALUE"""),8.0)</f>
        <v>8</v>
      </c>
      <c r="D219" s="2" t="str">
        <f>IFERROR(__xludf.DUMMYFUNCTION("""COMPUTED_VALUE"""),"from")</f>
        <v>from</v>
      </c>
      <c r="E219" s="2">
        <f>IFERROR(__xludf.DUMMYFUNCTION("""COMPUTED_VALUE"""),2.0)</f>
        <v>2</v>
      </c>
      <c r="F219" s="2" t="str">
        <f>IFERROR(__xludf.DUMMYFUNCTION("""COMPUTED_VALUE"""),"to")</f>
        <v>to</v>
      </c>
      <c r="G219" s="2">
        <f>IFERROR(__xludf.DUMMYFUNCTION("""COMPUTED_VALUE"""),1.0)</f>
        <v>1</v>
      </c>
    </row>
    <row r="220">
      <c r="A220" s="1" t="s">
        <v>23</v>
      </c>
      <c r="B220" s="2" t="str">
        <f>IFERROR(__xludf.DUMMYFUNCTION("SPLIT(A220, "" "")"),"move")</f>
        <v>move</v>
      </c>
      <c r="C220" s="2">
        <f>IFERROR(__xludf.DUMMYFUNCTION("""COMPUTED_VALUE"""),2.0)</f>
        <v>2</v>
      </c>
      <c r="D220" s="2" t="str">
        <f>IFERROR(__xludf.DUMMYFUNCTION("""COMPUTED_VALUE"""),"from")</f>
        <v>from</v>
      </c>
      <c r="E220" s="2">
        <f>IFERROR(__xludf.DUMMYFUNCTION("""COMPUTED_VALUE"""),8.0)</f>
        <v>8</v>
      </c>
      <c r="F220" s="2" t="str">
        <f>IFERROR(__xludf.DUMMYFUNCTION("""COMPUTED_VALUE"""),"to")</f>
        <v>to</v>
      </c>
      <c r="G220" s="2">
        <f>IFERROR(__xludf.DUMMYFUNCTION("""COMPUTED_VALUE"""),5.0)</f>
        <v>5</v>
      </c>
    </row>
    <row r="221">
      <c r="A221" s="1" t="s">
        <v>184</v>
      </c>
      <c r="B221" s="2" t="str">
        <f>IFERROR(__xludf.DUMMYFUNCTION("SPLIT(A221, "" "")"),"move")</f>
        <v>move</v>
      </c>
      <c r="C221" s="2">
        <f>IFERROR(__xludf.DUMMYFUNCTION("""COMPUTED_VALUE"""),2.0)</f>
        <v>2</v>
      </c>
      <c r="D221" s="2" t="str">
        <f>IFERROR(__xludf.DUMMYFUNCTION("""COMPUTED_VALUE"""),"from")</f>
        <v>from</v>
      </c>
      <c r="E221" s="2">
        <f>IFERROR(__xludf.DUMMYFUNCTION("""COMPUTED_VALUE"""),9.0)</f>
        <v>9</v>
      </c>
      <c r="F221" s="2" t="str">
        <f>IFERROR(__xludf.DUMMYFUNCTION("""COMPUTED_VALUE"""),"to")</f>
        <v>to</v>
      </c>
      <c r="G221" s="2">
        <f>IFERROR(__xludf.DUMMYFUNCTION("""COMPUTED_VALUE"""),3.0)</f>
        <v>3</v>
      </c>
    </row>
    <row r="222">
      <c r="A222" s="1" t="s">
        <v>152</v>
      </c>
      <c r="B222" s="2" t="str">
        <f>IFERROR(__xludf.DUMMYFUNCTION("SPLIT(A222, "" "")"),"move")</f>
        <v>move</v>
      </c>
      <c r="C222" s="2">
        <f>IFERROR(__xludf.DUMMYFUNCTION("""COMPUTED_VALUE"""),4.0)</f>
        <v>4</v>
      </c>
      <c r="D222" s="2" t="str">
        <f>IFERROR(__xludf.DUMMYFUNCTION("""COMPUTED_VALUE"""),"from")</f>
        <v>from</v>
      </c>
      <c r="E222" s="2">
        <f>IFERROR(__xludf.DUMMYFUNCTION("""COMPUTED_VALUE"""),4.0)</f>
        <v>4</v>
      </c>
      <c r="F222" s="2" t="str">
        <f>IFERROR(__xludf.DUMMYFUNCTION("""COMPUTED_VALUE"""),"to")</f>
        <v>to</v>
      </c>
      <c r="G222" s="2">
        <f>IFERROR(__xludf.DUMMYFUNCTION("""COMPUTED_VALUE"""),1.0)</f>
        <v>1</v>
      </c>
    </row>
    <row r="223">
      <c r="A223" s="1" t="s">
        <v>185</v>
      </c>
      <c r="B223" s="2" t="str">
        <f>IFERROR(__xludf.DUMMYFUNCTION("SPLIT(A223, "" "")"),"move")</f>
        <v>move</v>
      </c>
      <c r="C223" s="2">
        <f>IFERROR(__xludf.DUMMYFUNCTION("""COMPUTED_VALUE"""),2.0)</f>
        <v>2</v>
      </c>
      <c r="D223" s="2" t="str">
        <f>IFERROR(__xludf.DUMMYFUNCTION("""COMPUTED_VALUE"""),"from")</f>
        <v>from</v>
      </c>
      <c r="E223" s="2">
        <f>IFERROR(__xludf.DUMMYFUNCTION("""COMPUTED_VALUE"""),5.0)</f>
        <v>5</v>
      </c>
      <c r="F223" s="2" t="str">
        <f>IFERROR(__xludf.DUMMYFUNCTION("""COMPUTED_VALUE"""),"to")</f>
        <v>to</v>
      </c>
      <c r="G223" s="2">
        <f>IFERROR(__xludf.DUMMYFUNCTION("""COMPUTED_VALUE"""),8.0)</f>
        <v>8</v>
      </c>
    </row>
    <row r="224">
      <c r="A224" s="1" t="s">
        <v>186</v>
      </c>
      <c r="B224" s="2" t="str">
        <f>IFERROR(__xludf.DUMMYFUNCTION("SPLIT(A224, "" "")"),"move")</f>
        <v>move</v>
      </c>
      <c r="C224" s="2">
        <f>IFERROR(__xludf.DUMMYFUNCTION("""COMPUTED_VALUE"""),2.0)</f>
        <v>2</v>
      </c>
      <c r="D224" s="2" t="str">
        <f>IFERROR(__xludf.DUMMYFUNCTION("""COMPUTED_VALUE"""),"from")</f>
        <v>from</v>
      </c>
      <c r="E224" s="2">
        <f>IFERROR(__xludf.DUMMYFUNCTION("""COMPUTED_VALUE"""),8.0)</f>
        <v>8</v>
      </c>
      <c r="F224" s="2" t="str">
        <f>IFERROR(__xludf.DUMMYFUNCTION("""COMPUTED_VALUE"""),"to")</f>
        <v>to</v>
      </c>
      <c r="G224" s="2">
        <f>IFERROR(__xludf.DUMMYFUNCTION("""COMPUTED_VALUE"""),9.0)</f>
        <v>9</v>
      </c>
    </row>
    <row r="225">
      <c r="A225" s="1" t="s">
        <v>187</v>
      </c>
      <c r="B225" s="2" t="str">
        <f>IFERROR(__xludf.DUMMYFUNCTION("SPLIT(A225, "" "")"),"move")</f>
        <v>move</v>
      </c>
      <c r="C225" s="2">
        <f>IFERROR(__xludf.DUMMYFUNCTION("""COMPUTED_VALUE"""),14.0)</f>
        <v>14</v>
      </c>
      <c r="D225" s="2" t="str">
        <f>IFERROR(__xludf.DUMMYFUNCTION("""COMPUTED_VALUE"""),"from")</f>
        <v>from</v>
      </c>
      <c r="E225" s="2">
        <f>IFERROR(__xludf.DUMMYFUNCTION("""COMPUTED_VALUE"""),3.0)</f>
        <v>3</v>
      </c>
      <c r="F225" s="2" t="str">
        <f>IFERROR(__xludf.DUMMYFUNCTION("""COMPUTED_VALUE"""),"to")</f>
        <v>to</v>
      </c>
      <c r="G225" s="2">
        <f>IFERROR(__xludf.DUMMYFUNCTION("""COMPUTED_VALUE"""),1.0)</f>
        <v>1</v>
      </c>
    </row>
    <row r="226">
      <c r="A226" s="1" t="s">
        <v>188</v>
      </c>
      <c r="B226" s="2" t="str">
        <f>IFERROR(__xludf.DUMMYFUNCTION("SPLIT(A226, "" "")"),"move")</f>
        <v>move</v>
      </c>
      <c r="C226" s="2">
        <f>IFERROR(__xludf.DUMMYFUNCTION("""COMPUTED_VALUE"""),2.0)</f>
        <v>2</v>
      </c>
      <c r="D226" s="2" t="str">
        <f>IFERROR(__xludf.DUMMYFUNCTION("""COMPUTED_VALUE"""),"from")</f>
        <v>from</v>
      </c>
      <c r="E226" s="2">
        <f>IFERROR(__xludf.DUMMYFUNCTION("""COMPUTED_VALUE"""),9.0)</f>
        <v>9</v>
      </c>
      <c r="F226" s="2" t="str">
        <f>IFERROR(__xludf.DUMMYFUNCTION("""COMPUTED_VALUE"""),"to")</f>
        <v>to</v>
      </c>
      <c r="G226" s="2">
        <f>IFERROR(__xludf.DUMMYFUNCTION("""COMPUTED_VALUE"""),7.0)</f>
        <v>7</v>
      </c>
    </row>
    <row r="227">
      <c r="A227" s="1" t="s">
        <v>189</v>
      </c>
      <c r="B227" s="2" t="str">
        <f>IFERROR(__xludf.DUMMYFUNCTION("SPLIT(A227, "" "")"),"move")</f>
        <v>move</v>
      </c>
      <c r="C227" s="2">
        <f>IFERROR(__xludf.DUMMYFUNCTION("""COMPUTED_VALUE"""),2.0)</f>
        <v>2</v>
      </c>
      <c r="D227" s="2" t="str">
        <f>IFERROR(__xludf.DUMMYFUNCTION("""COMPUTED_VALUE"""),"from")</f>
        <v>from</v>
      </c>
      <c r="E227" s="2">
        <f>IFERROR(__xludf.DUMMYFUNCTION("""COMPUTED_VALUE"""),4.0)</f>
        <v>4</v>
      </c>
      <c r="F227" s="2" t="str">
        <f>IFERROR(__xludf.DUMMYFUNCTION("""COMPUTED_VALUE"""),"to")</f>
        <v>to</v>
      </c>
      <c r="G227" s="2">
        <f>IFERROR(__xludf.DUMMYFUNCTION("""COMPUTED_VALUE"""),3.0)</f>
        <v>3</v>
      </c>
    </row>
    <row r="228">
      <c r="A228" s="1" t="s">
        <v>190</v>
      </c>
      <c r="B228" s="2" t="str">
        <f>IFERROR(__xludf.DUMMYFUNCTION("SPLIT(A228, "" "")"),"move")</f>
        <v>move</v>
      </c>
      <c r="C228" s="2">
        <f>IFERROR(__xludf.DUMMYFUNCTION("""COMPUTED_VALUE"""),1.0)</f>
        <v>1</v>
      </c>
      <c r="D228" s="2" t="str">
        <f>IFERROR(__xludf.DUMMYFUNCTION("""COMPUTED_VALUE"""),"from")</f>
        <v>from</v>
      </c>
      <c r="E228" s="2">
        <f>IFERROR(__xludf.DUMMYFUNCTION("""COMPUTED_VALUE"""),2.0)</f>
        <v>2</v>
      </c>
      <c r="F228" s="2" t="str">
        <f>IFERROR(__xludf.DUMMYFUNCTION("""COMPUTED_VALUE"""),"to")</f>
        <v>to</v>
      </c>
      <c r="G228" s="2">
        <f>IFERROR(__xludf.DUMMYFUNCTION("""COMPUTED_VALUE"""),9.0)</f>
        <v>9</v>
      </c>
    </row>
    <row r="229">
      <c r="A229" s="1" t="s">
        <v>191</v>
      </c>
      <c r="B229" s="2" t="str">
        <f>IFERROR(__xludf.DUMMYFUNCTION("SPLIT(A229, "" "")"),"move")</f>
        <v>move</v>
      </c>
      <c r="C229" s="2">
        <f>IFERROR(__xludf.DUMMYFUNCTION("""COMPUTED_VALUE"""),5.0)</f>
        <v>5</v>
      </c>
      <c r="D229" s="2" t="str">
        <f>IFERROR(__xludf.DUMMYFUNCTION("""COMPUTED_VALUE"""),"from")</f>
        <v>from</v>
      </c>
      <c r="E229" s="2">
        <f>IFERROR(__xludf.DUMMYFUNCTION("""COMPUTED_VALUE"""),7.0)</f>
        <v>7</v>
      </c>
      <c r="F229" s="2" t="str">
        <f>IFERROR(__xludf.DUMMYFUNCTION("""COMPUTED_VALUE"""),"to")</f>
        <v>to</v>
      </c>
      <c r="G229" s="2">
        <f>IFERROR(__xludf.DUMMYFUNCTION("""COMPUTED_VALUE"""),9.0)</f>
        <v>9</v>
      </c>
    </row>
    <row r="230">
      <c r="A230" s="1" t="s">
        <v>192</v>
      </c>
      <c r="B230" s="2" t="str">
        <f>IFERROR(__xludf.DUMMYFUNCTION("SPLIT(A230, "" "")"),"move")</f>
        <v>move</v>
      </c>
      <c r="C230" s="2">
        <f>IFERROR(__xludf.DUMMYFUNCTION("""COMPUTED_VALUE"""),21.0)</f>
        <v>21</v>
      </c>
      <c r="D230" s="2" t="str">
        <f>IFERROR(__xludf.DUMMYFUNCTION("""COMPUTED_VALUE"""),"from")</f>
        <v>from</v>
      </c>
      <c r="E230" s="2">
        <f>IFERROR(__xludf.DUMMYFUNCTION("""COMPUTED_VALUE"""),1.0)</f>
        <v>1</v>
      </c>
      <c r="F230" s="2" t="str">
        <f>IFERROR(__xludf.DUMMYFUNCTION("""COMPUTED_VALUE"""),"to")</f>
        <v>to</v>
      </c>
      <c r="G230" s="2">
        <f>IFERROR(__xludf.DUMMYFUNCTION("""COMPUTED_VALUE"""),9.0)</f>
        <v>9</v>
      </c>
    </row>
    <row r="231">
      <c r="A231" s="1" t="s">
        <v>193</v>
      </c>
      <c r="B231" s="2" t="str">
        <f>IFERROR(__xludf.DUMMYFUNCTION("SPLIT(A231, "" "")"),"move")</f>
        <v>move</v>
      </c>
      <c r="C231" s="2">
        <f>IFERROR(__xludf.DUMMYFUNCTION("""COMPUTED_VALUE"""),2.0)</f>
        <v>2</v>
      </c>
      <c r="D231" s="2" t="str">
        <f>IFERROR(__xludf.DUMMYFUNCTION("""COMPUTED_VALUE"""),"from")</f>
        <v>from</v>
      </c>
      <c r="E231" s="2">
        <f>IFERROR(__xludf.DUMMYFUNCTION("""COMPUTED_VALUE"""),1.0)</f>
        <v>1</v>
      </c>
      <c r="F231" s="2" t="str">
        <f>IFERROR(__xludf.DUMMYFUNCTION("""COMPUTED_VALUE"""),"to")</f>
        <v>to</v>
      </c>
      <c r="G231" s="2">
        <f>IFERROR(__xludf.DUMMYFUNCTION("""COMPUTED_VALUE"""),6.0)</f>
        <v>6</v>
      </c>
    </row>
    <row r="232">
      <c r="A232" s="1" t="s">
        <v>194</v>
      </c>
      <c r="B232" s="2" t="str">
        <f>IFERROR(__xludf.DUMMYFUNCTION("SPLIT(A232, "" "")"),"move")</f>
        <v>move</v>
      </c>
      <c r="C232" s="2">
        <f>IFERROR(__xludf.DUMMYFUNCTION("""COMPUTED_VALUE"""),3.0)</f>
        <v>3</v>
      </c>
      <c r="D232" s="2" t="str">
        <f>IFERROR(__xludf.DUMMYFUNCTION("""COMPUTED_VALUE"""),"from")</f>
        <v>from</v>
      </c>
      <c r="E232" s="2">
        <f>IFERROR(__xludf.DUMMYFUNCTION("""COMPUTED_VALUE"""),2.0)</f>
        <v>2</v>
      </c>
      <c r="F232" s="2" t="str">
        <f>IFERROR(__xludf.DUMMYFUNCTION("""COMPUTED_VALUE"""),"to")</f>
        <v>to</v>
      </c>
      <c r="G232" s="2">
        <f>IFERROR(__xludf.DUMMYFUNCTION("""COMPUTED_VALUE"""),4.0)</f>
        <v>4</v>
      </c>
    </row>
    <row r="233">
      <c r="A233" s="1" t="s">
        <v>195</v>
      </c>
      <c r="B233" s="2" t="str">
        <f>IFERROR(__xludf.DUMMYFUNCTION("SPLIT(A233, "" "")"),"move")</f>
        <v>move</v>
      </c>
      <c r="C233" s="2">
        <f>IFERROR(__xludf.DUMMYFUNCTION("""COMPUTED_VALUE"""),1.0)</f>
        <v>1</v>
      </c>
      <c r="D233" s="2" t="str">
        <f>IFERROR(__xludf.DUMMYFUNCTION("""COMPUTED_VALUE"""),"from")</f>
        <v>from</v>
      </c>
      <c r="E233" s="2">
        <f>IFERROR(__xludf.DUMMYFUNCTION("""COMPUTED_VALUE"""),7.0)</f>
        <v>7</v>
      </c>
      <c r="F233" s="2" t="str">
        <f>IFERROR(__xludf.DUMMYFUNCTION("""COMPUTED_VALUE"""),"to")</f>
        <v>to</v>
      </c>
      <c r="G233" s="2">
        <f>IFERROR(__xludf.DUMMYFUNCTION("""COMPUTED_VALUE"""),3.0)</f>
        <v>3</v>
      </c>
    </row>
    <row r="234">
      <c r="A234" s="1" t="s">
        <v>196</v>
      </c>
      <c r="B234" s="2" t="str">
        <f>IFERROR(__xludf.DUMMYFUNCTION("SPLIT(A234, "" "")"),"move")</f>
        <v>move</v>
      </c>
      <c r="C234" s="2">
        <f>IFERROR(__xludf.DUMMYFUNCTION("""COMPUTED_VALUE"""),19.0)</f>
        <v>19</v>
      </c>
      <c r="D234" s="2" t="str">
        <f>IFERROR(__xludf.DUMMYFUNCTION("""COMPUTED_VALUE"""),"from")</f>
        <v>from</v>
      </c>
      <c r="E234" s="2">
        <f>IFERROR(__xludf.DUMMYFUNCTION("""COMPUTED_VALUE"""),9.0)</f>
        <v>9</v>
      </c>
      <c r="F234" s="2" t="str">
        <f>IFERROR(__xludf.DUMMYFUNCTION("""COMPUTED_VALUE"""),"to")</f>
        <v>to</v>
      </c>
      <c r="G234" s="2">
        <f>IFERROR(__xludf.DUMMYFUNCTION("""COMPUTED_VALUE"""),5.0)</f>
        <v>5</v>
      </c>
    </row>
    <row r="235">
      <c r="A235" s="1" t="s">
        <v>197</v>
      </c>
      <c r="B235" s="2" t="str">
        <f>IFERROR(__xludf.DUMMYFUNCTION("SPLIT(A235, "" "")"),"move")</f>
        <v>move</v>
      </c>
      <c r="C235" s="2">
        <f>IFERROR(__xludf.DUMMYFUNCTION("""COMPUTED_VALUE"""),1.0)</f>
        <v>1</v>
      </c>
      <c r="D235" s="2" t="str">
        <f>IFERROR(__xludf.DUMMYFUNCTION("""COMPUTED_VALUE"""),"from")</f>
        <v>from</v>
      </c>
      <c r="E235" s="2">
        <f>IFERROR(__xludf.DUMMYFUNCTION("""COMPUTED_VALUE"""),2.0)</f>
        <v>2</v>
      </c>
      <c r="F235" s="2" t="str">
        <f>IFERROR(__xludf.DUMMYFUNCTION("""COMPUTED_VALUE"""),"to")</f>
        <v>to</v>
      </c>
      <c r="G235" s="2">
        <f>IFERROR(__xludf.DUMMYFUNCTION("""COMPUTED_VALUE"""),7.0)</f>
        <v>7</v>
      </c>
    </row>
    <row r="236">
      <c r="A236" s="1" t="s">
        <v>12</v>
      </c>
      <c r="B236" s="2" t="str">
        <f>IFERROR(__xludf.DUMMYFUNCTION("SPLIT(A236, "" "")"),"move")</f>
        <v>move</v>
      </c>
      <c r="C236" s="2">
        <f>IFERROR(__xludf.DUMMYFUNCTION("""COMPUTED_VALUE"""),1.0)</f>
        <v>1</v>
      </c>
      <c r="D236" s="2" t="str">
        <f>IFERROR(__xludf.DUMMYFUNCTION("""COMPUTED_VALUE"""),"from")</f>
        <v>from</v>
      </c>
      <c r="E236" s="2">
        <f>IFERROR(__xludf.DUMMYFUNCTION("""COMPUTED_VALUE"""),7.0)</f>
        <v>7</v>
      </c>
      <c r="F236" s="2" t="str">
        <f>IFERROR(__xludf.DUMMYFUNCTION("""COMPUTED_VALUE"""),"to")</f>
        <v>to</v>
      </c>
      <c r="G236" s="2">
        <f>IFERROR(__xludf.DUMMYFUNCTION("""COMPUTED_VALUE"""),2.0)</f>
        <v>2</v>
      </c>
    </row>
    <row r="237">
      <c r="A237" s="1" t="s">
        <v>198</v>
      </c>
      <c r="B237" s="2" t="str">
        <f>IFERROR(__xludf.DUMMYFUNCTION("SPLIT(A237, "" "")"),"move")</f>
        <v>move</v>
      </c>
      <c r="C237" s="2">
        <f>IFERROR(__xludf.DUMMYFUNCTION("""COMPUTED_VALUE"""),3.0)</f>
        <v>3</v>
      </c>
      <c r="D237" s="2" t="str">
        <f>IFERROR(__xludf.DUMMYFUNCTION("""COMPUTED_VALUE"""),"from")</f>
        <v>from</v>
      </c>
      <c r="E237" s="2">
        <f>IFERROR(__xludf.DUMMYFUNCTION("""COMPUTED_VALUE"""),4.0)</f>
        <v>4</v>
      </c>
      <c r="F237" s="2" t="str">
        <f>IFERROR(__xludf.DUMMYFUNCTION("""COMPUTED_VALUE"""),"to")</f>
        <v>to</v>
      </c>
      <c r="G237" s="2">
        <f>IFERROR(__xludf.DUMMYFUNCTION("""COMPUTED_VALUE"""),2.0)</f>
        <v>2</v>
      </c>
    </row>
    <row r="238">
      <c r="A238" s="1" t="s">
        <v>199</v>
      </c>
      <c r="B238" s="2" t="str">
        <f>IFERROR(__xludf.DUMMYFUNCTION("SPLIT(A238, "" "")"),"move")</f>
        <v>move</v>
      </c>
      <c r="C238" s="2">
        <f>IFERROR(__xludf.DUMMYFUNCTION("""COMPUTED_VALUE"""),19.0)</f>
        <v>19</v>
      </c>
      <c r="D238" s="2" t="str">
        <f>IFERROR(__xludf.DUMMYFUNCTION("""COMPUTED_VALUE"""),"from")</f>
        <v>from</v>
      </c>
      <c r="E238" s="2">
        <f>IFERROR(__xludf.DUMMYFUNCTION("""COMPUTED_VALUE"""),5.0)</f>
        <v>5</v>
      </c>
      <c r="F238" s="2" t="str">
        <f>IFERROR(__xludf.DUMMYFUNCTION("""COMPUTED_VALUE"""),"to")</f>
        <v>to</v>
      </c>
      <c r="G238" s="2">
        <f>IFERROR(__xludf.DUMMYFUNCTION("""COMPUTED_VALUE"""),7.0)</f>
        <v>7</v>
      </c>
    </row>
    <row r="239">
      <c r="A239" s="1" t="s">
        <v>13</v>
      </c>
      <c r="B239" s="2" t="str">
        <f>IFERROR(__xludf.DUMMYFUNCTION("SPLIT(A239, "" "")"),"move")</f>
        <v>move</v>
      </c>
      <c r="C239" s="2">
        <f>IFERROR(__xludf.DUMMYFUNCTION("""COMPUTED_VALUE"""),2.0)</f>
        <v>2</v>
      </c>
      <c r="D239" s="2" t="str">
        <f>IFERROR(__xludf.DUMMYFUNCTION("""COMPUTED_VALUE"""),"from")</f>
        <v>from</v>
      </c>
      <c r="E239" s="2">
        <f>IFERROR(__xludf.DUMMYFUNCTION("""COMPUTED_VALUE"""),2.0)</f>
        <v>2</v>
      </c>
      <c r="F239" s="2" t="str">
        <f>IFERROR(__xludf.DUMMYFUNCTION("""COMPUTED_VALUE"""),"to")</f>
        <v>to</v>
      </c>
      <c r="G239" s="2">
        <f>IFERROR(__xludf.DUMMYFUNCTION("""COMPUTED_VALUE"""),5.0)</f>
        <v>5</v>
      </c>
    </row>
    <row r="240">
      <c r="A240" s="1" t="s">
        <v>200</v>
      </c>
      <c r="B240" s="2" t="str">
        <f>IFERROR(__xludf.DUMMYFUNCTION("SPLIT(A240, "" "")"),"move")</f>
        <v>move</v>
      </c>
      <c r="C240" s="2">
        <f>IFERROR(__xludf.DUMMYFUNCTION("""COMPUTED_VALUE"""),1.0)</f>
        <v>1</v>
      </c>
      <c r="D240" s="2" t="str">
        <f>IFERROR(__xludf.DUMMYFUNCTION("""COMPUTED_VALUE"""),"from")</f>
        <v>from</v>
      </c>
      <c r="E240" s="2">
        <f>IFERROR(__xludf.DUMMYFUNCTION("""COMPUTED_VALUE"""),5.0)</f>
        <v>5</v>
      </c>
      <c r="F240" s="2" t="str">
        <f>IFERROR(__xludf.DUMMYFUNCTION("""COMPUTED_VALUE"""),"to")</f>
        <v>to</v>
      </c>
      <c r="G240" s="2">
        <f>IFERROR(__xludf.DUMMYFUNCTION("""COMPUTED_VALUE"""),3.0)</f>
        <v>3</v>
      </c>
    </row>
    <row r="241">
      <c r="A241" s="1" t="s">
        <v>201</v>
      </c>
      <c r="B241" s="2" t="str">
        <f>IFERROR(__xludf.DUMMYFUNCTION("SPLIT(A241, "" "")"),"move")</f>
        <v>move</v>
      </c>
      <c r="C241" s="2">
        <f>IFERROR(__xludf.DUMMYFUNCTION("""COMPUTED_VALUE"""),1.0)</f>
        <v>1</v>
      </c>
      <c r="D241" s="2" t="str">
        <f>IFERROR(__xludf.DUMMYFUNCTION("""COMPUTED_VALUE"""),"from")</f>
        <v>from</v>
      </c>
      <c r="E241" s="2">
        <f>IFERROR(__xludf.DUMMYFUNCTION("""COMPUTED_VALUE"""),3.0)</f>
        <v>3</v>
      </c>
      <c r="F241" s="2" t="str">
        <f>IFERROR(__xludf.DUMMYFUNCTION("""COMPUTED_VALUE"""),"to")</f>
        <v>to</v>
      </c>
      <c r="G241" s="2">
        <f>IFERROR(__xludf.DUMMYFUNCTION("""COMPUTED_VALUE"""),4.0)</f>
        <v>4</v>
      </c>
    </row>
    <row r="242">
      <c r="A242" s="1" t="s">
        <v>107</v>
      </c>
      <c r="B242" s="2" t="str">
        <f>IFERROR(__xludf.DUMMYFUNCTION("SPLIT(A242, "" "")"),"move")</f>
        <v>move</v>
      </c>
      <c r="C242" s="2">
        <f>IFERROR(__xludf.DUMMYFUNCTION("""COMPUTED_VALUE"""),8.0)</f>
        <v>8</v>
      </c>
      <c r="D242" s="2" t="str">
        <f>IFERROR(__xludf.DUMMYFUNCTION("""COMPUTED_VALUE"""),"from")</f>
        <v>from</v>
      </c>
      <c r="E242" s="2">
        <f>IFERROR(__xludf.DUMMYFUNCTION("""COMPUTED_VALUE"""),9.0)</f>
        <v>9</v>
      </c>
      <c r="F242" s="2" t="str">
        <f>IFERROR(__xludf.DUMMYFUNCTION("""COMPUTED_VALUE"""),"to")</f>
        <v>to</v>
      </c>
      <c r="G242" s="2">
        <f>IFERROR(__xludf.DUMMYFUNCTION("""COMPUTED_VALUE"""),4.0)</f>
        <v>4</v>
      </c>
    </row>
    <row r="243">
      <c r="A243" s="1" t="s">
        <v>129</v>
      </c>
      <c r="B243" s="2" t="str">
        <f>IFERROR(__xludf.DUMMYFUNCTION("SPLIT(A243, "" "")"),"move")</f>
        <v>move</v>
      </c>
      <c r="C243" s="2">
        <f>IFERROR(__xludf.DUMMYFUNCTION("""COMPUTED_VALUE"""),1.0)</f>
        <v>1</v>
      </c>
      <c r="D243" s="2" t="str">
        <f>IFERROR(__xludf.DUMMYFUNCTION("""COMPUTED_VALUE"""),"from")</f>
        <v>from</v>
      </c>
      <c r="E243" s="2">
        <f>IFERROR(__xludf.DUMMYFUNCTION("""COMPUTED_VALUE"""),6.0)</f>
        <v>6</v>
      </c>
      <c r="F243" s="2" t="str">
        <f>IFERROR(__xludf.DUMMYFUNCTION("""COMPUTED_VALUE"""),"to")</f>
        <v>to</v>
      </c>
      <c r="G243" s="2">
        <f>IFERROR(__xludf.DUMMYFUNCTION("""COMPUTED_VALUE"""),3.0)</f>
        <v>3</v>
      </c>
    </row>
    <row r="244">
      <c r="A244" s="1" t="s">
        <v>30</v>
      </c>
      <c r="B244" s="2" t="str">
        <f>IFERROR(__xludf.DUMMYFUNCTION("SPLIT(A244, "" "")"),"move")</f>
        <v>move</v>
      </c>
      <c r="C244" s="2">
        <f>IFERROR(__xludf.DUMMYFUNCTION("""COMPUTED_VALUE"""),1.0)</f>
        <v>1</v>
      </c>
      <c r="D244" s="2" t="str">
        <f>IFERROR(__xludf.DUMMYFUNCTION("""COMPUTED_VALUE"""),"from")</f>
        <v>from</v>
      </c>
      <c r="E244" s="2">
        <f>IFERROR(__xludf.DUMMYFUNCTION("""COMPUTED_VALUE"""),2.0)</f>
        <v>2</v>
      </c>
      <c r="F244" s="2" t="str">
        <f>IFERROR(__xludf.DUMMYFUNCTION("""COMPUTED_VALUE"""),"to")</f>
        <v>to</v>
      </c>
      <c r="G244" s="2">
        <f>IFERROR(__xludf.DUMMYFUNCTION("""COMPUTED_VALUE"""),6.0)</f>
        <v>6</v>
      </c>
    </row>
    <row r="245">
      <c r="A245" s="1" t="s">
        <v>202</v>
      </c>
      <c r="B245" s="2" t="str">
        <f>IFERROR(__xludf.DUMMYFUNCTION("SPLIT(A245, "" "")"),"move")</f>
        <v>move</v>
      </c>
      <c r="C245" s="2">
        <f>IFERROR(__xludf.DUMMYFUNCTION("""COMPUTED_VALUE"""),1.0)</f>
        <v>1</v>
      </c>
      <c r="D245" s="2" t="str">
        <f>IFERROR(__xludf.DUMMYFUNCTION("""COMPUTED_VALUE"""),"from")</f>
        <v>from</v>
      </c>
      <c r="E245" s="2">
        <f>IFERROR(__xludf.DUMMYFUNCTION("""COMPUTED_VALUE"""),2.0)</f>
        <v>2</v>
      </c>
      <c r="F245" s="2" t="str">
        <f>IFERROR(__xludf.DUMMYFUNCTION("""COMPUTED_VALUE"""),"to")</f>
        <v>to</v>
      </c>
      <c r="G245" s="2">
        <f>IFERROR(__xludf.DUMMYFUNCTION("""COMPUTED_VALUE"""),1.0)</f>
        <v>1</v>
      </c>
    </row>
    <row r="246">
      <c r="A246" s="1" t="s">
        <v>203</v>
      </c>
      <c r="B246" s="2" t="str">
        <f>IFERROR(__xludf.DUMMYFUNCTION("SPLIT(A246, "" "")"),"move")</f>
        <v>move</v>
      </c>
      <c r="C246" s="2">
        <f>IFERROR(__xludf.DUMMYFUNCTION("""COMPUTED_VALUE"""),8.0)</f>
        <v>8</v>
      </c>
      <c r="D246" s="2" t="str">
        <f>IFERROR(__xludf.DUMMYFUNCTION("""COMPUTED_VALUE"""),"from")</f>
        <v>from</v>
      </c>
      <c r="E246" s="2">
        <f>IFERROR(__xludf.DUMMYFUNCTION("""COMPUTED_VALUE"""),7.0)</f>
        <v>7</v>
      </c>
      <c r="F246" s="2" t="str">
        <f>IFERROR(__xludf.DUMMYFUNCTION("""COMPUTED_VALUE"""),"to")</f>
        <v>to</v>
      </c>
      <c r="G246" s="2">
        <f>IFERROR(__xludf.DUMMYFUNCTION("""COMPUTED_VALUE"""),3.0)</f>
        <v>3</v>
      </c>
    </row>
    <row r="247">
      <c r="A247" s="1" t="s">
        <v>204</v>
      </c>
      <c r="B247" s="2" t="str">
        <f>IFERROR(__xludf.DUMMYFUNCTION("SPLIT(A247, "" "")"),"move")</f>
        <v>move</v>
      </c>
      <c r="C247" s="2">
        <f>IFERROR(__xludf.DUMMYFUNCTION("""COMPUTED_VALUE"""),5.0)</f>
        <v>5</v>
      </c>
      <c r="D247" s="2" t="str">
        <f>IFERROR(__xludf.DUMMYFUNCTION("""COMPUTED_VALUE"""),"from")</f>
        <v>from</v>
      </c>
      <c r="E247" s="2">
        <f>IFERROR(__xludf.DUMMYFUNCTION("""COMPUTED_VALUE"""),4.0)</f>
        <v>4</v>
      </c>
      <c r="F247" s="2" t="str">
        <f>IFERROR(__xludf.DUMMYFUNCTION("""COMPUTED_VALUE"""),"to")</f>
        <v>to</v>
      </c>
      <c r="G247" s="2">
        <f>IFERROR(__xludf.DUMMYFUNCTION("""COMPUTED_VALUE"""),7.0)</f>
        <v>7</v>
      </c>
    </row>
    <row r="248">
      <c r="A248" s="1" t="s">
        <v>205</v>
      </c>
      <c r="B248" s="2" t="str">
        <f>IFERROR(__xludf.DUMMYFUNCTION("SPLIT(A248, "" "")"),"move")</f>
        <v>move</v>
      </c>
      <c r="C248" s="2">
        <f>IFERROR(__xludf.DUMMYFUNCTION("""COMPUTED_VALUE"""),2.0)</f>
        <v>2</v>
      </c>
      <c r="D248" s="2" t="str">
        <f>IFERROR(__xludf.DUMMYFUNCTION("""COMPUTED_VALUE"""),"from")</f>
        <v>from</v>
      </c>
      <c r="E248" s="2">
        <f>IFERROR(__xludf.DUMMYFUNCTION("""COMPUTED_VALUE"""),6.0)</f>
        <v>6</v>
      </c>
      <c r="F248" s="2" t="str">
        <f>IFERROR(__xludf.DUMMYFUNCTION("""COMPUTED_VALUE"""),"to")</f>
        <v>to</v>
      </c>
      <c r="G248" s="2">
        <f>IFERROR(__xludf.DUMMYFUNCTION("""COMPUTED_VALUE"""),4.0)</f>
        <v>4</v>
      </c>
    </row>
    <row r="249">
      <c r="A249" s="1" t="s">
        <v>206</v>
      </c>
      <c r="B249" s="2" t="str">
        <f>IFERROR(__xludf.DUMMYFUNCTION("SPLIT(A249, "" "")"),"move")</f>
        <v>move</v>
      </c>
      <c r="C249" s="2">
        <f>IFERROR(__xludf.DUMMYFUNCTION("""COMPUTED_VALUE"""),1.0)</f>
        <v>1</v>
      </c>
      <c r="D249" s="2" t="str">
        <f>IFERROR(__xludf.DUMMYFUNCTION("""COMPUTED_VALUE"""),"from")</f>
        <v>from</v>
      </c>
      <c r="E249" s="2">
        <f>IFERROR(__xludf.DUMMYFUNCTION("""COMPUTED_VALUE"""),5.0)</f>
        <v>5</v>
      </c>
      <c r="F249" s="2" t="str">
        <f>IFERROR(__xludf.DUMMYFUNCTION("""COMPUTED_VALUE"""),"to")</f>
        <v>to</v>
      </c>
      <c r="G249" s="2">
        <f>IFERROR(__xludf.DUMMYFUNCTION("""COMPUTED_VALUE"""),9.0)</f>
        <v>9</v>
      </c>
    </row>
    <row r="250">
      <c r="A250" s="1" t="s">
        <v>111</v>
      </c>
      <c r="B250" s="2" t="str">
        <f>IFERROR(__xludf.DUMMYFUNCTION("SPLIT(A250, "" "")"),"move")</f>
        <v>move</v>
      </c>
      <c r="C250" s="2">
        <f>IFERROR(__xludf.DUMMYFUNCTION("""COMPUTED_VALUE"""),1.0)</f>
        <v>1</v>
      </c>
      <c r="D250" s="2" t="str">
        <f>IFERROR(__xludf.DUMMYFUNCTION("""COMPUTED_VALUE"""),"from")</f>
        <v>from</v>
      </c>
      <c r="E250" s="2">
        <f>IFERROR(__xludf.DUMMYFUNCTION("""COMPUTED_VALUE"""),1.0)</f>
        <v>1</v>
      </c>
      <c r="F250" s="2" t="str">
        <f>IFERROR(__xludf.DUMMYFUNCTION("""COMPUTED_VALUE"""),"to")</f>
        <v>to</v>
      </c>
      <c r="G250" s="2">
        <f>IFERROR(__xludf.DUMMYFUNCTION("""COMPUTED_VALUE"""),6.0)</f>
        <v>6</v>
      </c>
    </row>
    <row r="251">
      <c r="A251" s="1" t="s">
        <v>179</v>
      </c>
      <c r="B251" s="2" t="str">
        <f>IFERROR(__xludf.DUMMYFUNCTION("SPLIT(A251, "" "")"),"move")</f>
        <v>move</v>
      </c>
      <c r="C251" s="2">
        <f>IFERROR(__xludf.DUMMYFUNCTION("""COMPUTED_VALUE"""),1.0)</f>
        <v>1</v>
      </c>
      <c r="D251" s="2" t="str">
        <f>IFERROR(__xludf.DUMMYFUNCTION("""COMPUTED_VALUE"""),"from")</f>
        <v>from</v>
      </c>
      <c r="E251" s="2">
        <f>IFERROR(__xludf.DUMMYFUNCTION("""COMPUTED_VALUE"""),1.0)</f>
        <v>1</v>
      </c>
      <c r="F251" s="2" t="str">
        <f>IFERROR(__xludf.DUMMYFUNCTION("""COMPUTED_VALUE"""),"to")</f>
        <v>to</v>
      </c>
      <c r="G251" s="2">
        <f>IFERROR(__xludf.DUMMYFUNCTION("""COMPUTED_VALUE"""),2.0)</f>
        <v>2</v>
      </c>
    </row>
    <row r="252">
      <c r="A252" s="1" t="s">
        <v>207</v>
      </c>
      <c r="B252" s="2" t="str">
        <f>IFERROR(__xludf.DUMMYFUNCTION("SPLIT(A252, "" "")"),"move")</f>
        <v>move</v>
      </c>
      <c r="C252" s="2">
        <f>IFERROR(__xludf.DUMMYFUNCTION("""COMPUTED_VALUE"""),2.0)</f>
        <v>2</v>
      </c>
      <c r="D252" s="2" t="str">
        <f>IFERROR(__xludf.DUMMYFUNCTION("""COMPUTED_VALUE"""),"from")</f>
        <v>from</v>
      </c>
      <c r="E252" s="2">
        <f>IFERROR(__xludf.DUMMYFUNCTION("""COMPUTED_VALUE"""),4.0)</f>
        <v>4</v>
      </c>
      <c r="F252" s="2" t="str">
        <f>IFERROR(__xludf.DUMMYFUNCTION("""COMPUTED_VALUE"""),"to")</f>
        <v>to</v>
      </c>
      <c r="G252" s="2">
        <f>IFERROR(__xludf.DUMMYFUNCTION("""COMPUTED_VALUE"""),7.0)</f>
        <v>7</v>
      </c>
    </row>
    <row r="253">
      <c r="A253" s="1" t="s">
        <v>208</v>
      </c>
      <c r="B253" s="2" t="str">
        <f>IFERROR(__xludf.DUMMYFUNCTION("SPLIT(A253, "" "")"),"move")</f>
        <v>move</v>
      </c>
      <c r="C253" s="2">
        <f>IFERROR(__xludf.DUMMYFUNCTION("""COMPUTED_VALUE"""),1.0)</f>
        <v>1</v>
      </c>
      <c r="D253" s="2" t="str">
        <f>IFERROR(__xludf.DUMMYFUNCTION("""COMPUTED_VALUE"""),"from")</f>
        <v>from</v>
      </c>
      <c r="E253" s="2">
        <f>IFERROR(__xludf.DUMMYFUNCTION("""COMPUTED_VALUE"""),4.0)</f>
        <v>4</v>
      </c>
      <c r="F253" s="2" t="str">
        <f>IFERROR(__xludf.DUMMYFUNCTION("""COMPUTED_VALUE"""),"to")</f>
        <v>to</v>
      </c>
      <c r="G253" s="2">
        <f>IFERROR(__xludf.DUMMYFUNCTION("""COMPUTED_VALUE"""),2.0)</f>
        <v>2</v>
      </c>
    </row>
    <row r="254">
      <c r="A254" s="1" t="s">
        <v>78</v>
      </c>
      <c r="B254" s="2" t="str">
        <f>IFERROR(__xludf.DUMMYFUNCTION("SPLIT(A254, "" "")"),"move")</f>
        <v>move</v>
      </c>
      <c r="C254" s="2">
        <f>IFERROR(__xludf.DUMMYFUNCTION("""COMPUTED_VALUE"""),2.0)</f>
        <v>2</v>
      </c>
      <c r="D254" s="2" t="str">
        <f>IFERROR(__xludf.DUMMYFUNCTION("""COMPUTED_VALUE"""),"from")</f>
        <v>from</v>
      </c>
      <c r="E254" s="2">
        <f>IFERROR(__xludf.DUMMYFUNCTION("""COMPUTED_VALUE"""),4.0)</f>
        <v>4</v>
      </c>
      <c r="F254" s="2" t="str">
        <f>IFERROR(__xludf.DUMMYFUNCTION("""COMPUTED_VALUE"""),"to")</f>
        <v>to</v>
      </c>
      <c r="G254" s="2">
        <f>IFERROR(__xludf.DUMMYFUNCTION("""COMPUTED_VALUE"""),9.0)</f>
        <v>9</v>
      </c>
    </row>
    <row r="255">
      <c r="A255" s="1" t="s">
        <v>26</v>
      </c>
      <c r="B255" s="2" t="str">
        <f>IFERROR(__xludf.DUMMYFUNCTION("SPLIT(A255, "" "")"),"move")</f>
        <v>move</v>
      </c>
      <c r="C255" s="2">
        <f>IFERROR(__xludf.DUMMYFUNCTION("""COMPUTED_VALUE"""),1.0)</f>
        <v>1</v>
      </c>
      <c r="D255" s="2" t="str">
        <f>IFERROR(__xludf.DUMMYFUNCTION("""COMPUTED_VALUE"""),"from")</f>
        <v>from</v>
      </c>
      <c r="E255" s="2">
        <f>IFERROR(__xludf.DUMMYFUNCTION("""COMPUTED_VALUE"""),6.0)</f>
        <v>6</v>
      </c>
      <c r="F255" s="2" t="str">
        <f>IFERROR(__xludf.DUMMYFUNCTION("""COMPUTED_VALUE"""),"to")</f>
        <v>to</v>
      </c>
      <c r="G255" s="2">
        <f>IFERROR(__xludf.DUMMYFUNCTION("""COMPUTED_VALUE"""),8.0)</f>
        <v>8</v>
      </c>
    </row>
    <row r="256">
      <c r="A256" s="1" t="s">
        <v>62</v>
      </c>
      <c r="B256" s="2" t="str">
        <f>IFERROR(__xludf.DUMMYFUNCTION("SPLIT(A256, "" "")"),"move")</f>
        <v>move</v>
      </c>
      <c r="C256" s="2">
        <f>IFERROR(__xludf.DUMMYFUNCTION("""COMPUTED_VALUE"""),1.0)</f>
        <v>1</v>
      </c>
      <c r="D256" s="2" t="str">
        <f>IFERROR(__xludf.DUMMYFUNCTION("""COMPUTED_VALUE"""),"from")</f>
        <v>from</v>
      </c>
      <c r="E256" s="2">
        <f>IFERROR(__xludf.DUMMYFUNCTION("""COMPUTED_VALUE"""),1.0)</f>
        <v>1</v>
      </c>
      <c r="F256" s="2" t="str">
        <f>IFERROR(__xludf.DUMMYFUNCTION("""COMPUTED_VALUE"""),"to")</f>
        <v>to</v>
      </c>
      <c r="G256" s="2">
        <f>IFERROR(__xludf.DUMMYFUNCTION("""COMPUTED_VALUE"""),5.0)</f>
        <v>5</v>
      </c>
    </row>
    <row r="257">
      <c r="A257" s="1" t="s">
        <v>40</v>
      </c>
      <c r="B257" s="2" t="str">
        <f>IFERROR(__xludf.DUMMYFUNCTION("SPLIT(A257, "" "")"),"move")</f>
        <v>move</v>
      </c>
      <c r="C257" s="2">
        <f>IFERROR(__xludf.DUMMYFUNCTION("""COMPUTED_VALUE"""),1.0)</f>
        <v>1</v>
      </c>
      <c r="D257" s="2" t="str">
        <f>IFERROR(__xludf.DUMMYFUNCTION("""COMPUTED_VALUE"""),"from")</f>
        <v>from</v>
      </c>
      <c r="E257" s="2">
        <f>IFERROR(__xludf.DUMMYFUNCTION("""COMPUTED_VALUE"""),8.0)</f>
        <v>8</v>
      </c>
      <c r="F257" s="2" t="str">
        <f>IFERROR(__xludf.DUMMYFUNCTION("""COMPUTED_VALUE"""),"to")</f>
        <v>to</v>
      </c>
      <c r="G257" s="2">
        <f>IFERROR(__xludf.DUMMYFUNCTION("""COMPUTED_VALUE"""),6.0)</f>
        <v>6</v>
      </c>
    </row>
    <row r="258">
      <c r="A258" s="1" t="s">
        <v>8</v>
      </c>
      <c r="B258" s="2" t="str">
        <f>IFERROR(__xludf.DUMMYFUNCTION("SPLIT(A258, "" "")"),"move")</f>
        <v>move</v>
      </c>
      <c r="C258" s="2">
        <f>IFERROR(__xludf.DUMMYFUNCTION("""COMPUTED_VALUE"""),1.0)</f>
        <v>1</v>
      </c>
      <c r="D258" s="2" t="str">
        <f>IFERROR(__xludf.DUMMYFUNCTION("""COMPUTED_VALUE"""),"from")</f>
        <v>from</v>
      </c>
      <c r="E258" s="2">
        <f>IFERROR(__xludf.DUMMYFUNCTION("""COMPUTED_VALUE"""),1.0)</f>
        <v>1</v>
      </c>
      <c r="F258" s="2" t="str">
        <f>IFERROR(__xludf.DUMMYFUNCTION("""COMPUTED_VALUE"""),"to")</f>
        <v>to</v>
      </c>
      <c r="G258" s="2">
        <f>IFERROR(__xludf.DUMMYFUNCTION("""COMPUTED_VALUE"""),4.0)</f>
        <v>4</v>
      </c>
    </row>
    <row r="259">
      <c r="A259" s="1" t="s">
        <v>209</v>
      </c>
      <c r="B259" s="2" t="str">
        <f>IFERROR(__xludf.DUMMYFUNCTION("SPLIT(A259, "" "")"),"move")</f>
        <v>move</v>
      </c>
      <c r="C259" s="2">
        <f>IFERROR(__xludf.DUMMYFUNCTION("""COMPUTED_VALUE"""),25.0)</f>
        <v>25</v>
      </c>
      <c r="D259" s="2" t="str">
        <f>IFERROR(__xludf.DUMMYFUNCTION("""COMPUTED_VALUE"""),"from")</f>
        <v>from</v>
      </c>
      <c r="E259" s="2">
        <f>IFERROR(__xludf.DUMMYFUNCTION("""COMPUTED_VALUE"""),3.0)</f>
        <v>3</v>
      </c>
      <c r="F259" s="2" t="str">
        <f>IFERROR(__xludf.DUMMYFUNCTION("""COMPUTED_VALUE"""),"to")</f>
        <v>to</v>
      </c>
      <c r="G259" s="2">
        <f>IFERROR(__xludf.DUMMYFUNCTION("""COMPUTED_VALUE"""),1.0)</f>
        <v>1</v>
      </c>
    </row>
    <row r="260">
      <c r="A260" s="1" t="s">
        <v>208</v>
      </c>
      <c r="B260" s="2" t="str">
        <f>IFERROR(__xludf.DUMMYFUNCTION("SPLIT(A260, "" "")"),"move")</f>
        <v>move</v>
      </c>
      <c r="C260" s="2">
        <f>IFERROR(__xludf.DUMMYFUNCTION("""COMPUTED_VALUE"""),1.0)</f>
        <v>1</v>
      </c>
      <c r="D260" s="2" t="str">
        <f>IFERROR(__xludf.DUMMYFUNCTION("""COMPUTED_VALUE"""),"from")</f>
        <v>from</v>
      </c>
      <c r="E260" s="2">
        <f>IFERROR(__xludf.DUMMYFUNCTION("""COMPUTED_VALUE"""),4.0)</f>
        <v>4</v>
      </c>
      <c r="F260" s="2" t="str">
        <f>IFERROR(__xludf.DUMMYFUNCTION("""COMPUTED_VALUE"""),"to")</f>
        <v>to</v>
      </c>
      <c r="G260" s="2">
        <f>IFERROR(__xludf.DUMMYFUNCTION("""COMPUTED_VALUE"""),2.0)</f>
        <v>2</v>
      </c>
    </row>
    <row r="261">
      <c r="A261" s="1" t="s">
        <v>210</v>
      </c>
      <c r="B261" s="2" t="str">
        <f>IFERROR(__xludf.DUMMYFUNCTION("SPLIT(A261, "" "")"),"move")</f>
        <v>move</v>
      </c>
      <c r="C261" s="2">
        <f>IFERROR(__xludf.DUMMYFUNCTION("""COMPUTED_VALUE"""),2.0)</f>
        <v>2</v>
      </c>
      <c r="D261" s="2" t="str">
        <f>IFERROR(__xludf.DUMMYFUNCTION("""COMPUTED_VALUE"""),"from")</f>
        <v>from</v>
      </c>
      <c r="E261" s="2">
        <f>IFERROR(__xludf.DUMMYFUNCTION("""COMPUTED_VALUE"""),3.0)</f>
        <v>3</v>
      </c>
      <c r="F261" s="2" t="str">
        <f>IFERROR(__xludf.DUMMYFUNCTION("""COMPUTED_VALUE"""),"to")</f>
        <v>to</v>
      </c>
      <c r="G261" s="2">
        <f>IFERROR(__xludf.DUMMYFUNCTION("""COMPUTED_VALUE"""),6.0)</f>
        <v>6</v>
      </c>
    </row>
    <row r="262">
      <c r="A262" s="1" t="s">
        <v>154</v>
      </c>
      <c r="B262" s="2" t="str">
        <f>IFERROR(__xludf.DUMMYFUNCTION("SPLIT(A262, "" "")"),"move")</f>
        <v>move</v>
      </c>
      <c r="C262" s="2">
        <f>IFERROR(__xludf.DUMMYFUNCTION("""COMPUTED_VALUE"""),3.0)</f>
        <v>3</v>
      </c>
      <c r="D262" s="2" t="str">
        <f>IFERROR(__xludf.DUMMYFUNCTION("""COMPUTED_VALUE"""),"from")</f>
        <v>from</v>
      </c>
      <c r="E262" s="2">
        <f>IFERROR(__xludf.DUMMYFUNCTION("""COMPUTED_VALUE"""),1.0)</f>
        <v>1</v>
      </c>
      <c r="F262" s="2" t="str">
        <f>IFERROR(__xludf.DUMMYFUNCTION("""COMPUTED_VALUE"""),"to")</f>
        <v>to</v>
      </c>
      <c r="G262" s="2">
        <f>IFERROR(__xludf.DUMMYFUNCTION("""COMPUTED_VALUE"""),9.0)</f>
        <v>9</v>
      </c>
    </row>
    <row r="263">
      <c r="A263" s="1" t="s">
        <v>211</v>
      </c>
      <c r="B263" s="2" t="str">
        <f>IFERROR(__xludf.DUMMYFUNCTION("SPLIT(A263, "" "")"),"move")</f>
        <v>move</v>
      </c>
      <c r="C263" s="2">
        <f>IFERROR(__xludf.DUMMYFUNCTION("""COMPUTED_VALUE"""),6.0)</f>
        <v>6</v>
      </c>
      <c r="D263" s="2" t="str">
        <f>IFERROR(__xludf.DUMMYFUNCTION("""COMPUTED_VALUE"""),"from")</f>
        <v>from</v>
      </c>
      <c r="E263" s="2">
        <f>IFERROR(__xludf.DUMMYFUNCTION("""COMPUTED_VALUE"""),9.0)</f>
        <v>9</v>
      </c>
      <c r="F263" s="2" t="str">
        <f>IFERROR(__xludf.DUMMYFUNCTION("""COMPUTED_VALUE"""),"to")</f>
        <v>to</v>
      </c>
      <c r="G263" s="2">
        <f>IFERROR(__xludf.DUMMYFUNCTION("""COMPUTED_VALUE"""),8.0)</f>
        <v>8</v>
      </c>
    </row>
    <row r="264">
      <c r="A264" s="1" t="s">
        <v>129</v>
      </c>
      <c r="B264" s="2" t="str">
        <f>IFERROR(__xludf.DUMMYFUNCTION("SPLIT(A264, "" "")"),"move")</f>
        <v>move</v>
      </c>
      <c r="C264" s="2">
        <f>IFERROR(__xludf.DUMMYFUNCTION("""COMPUTED_VALUE"""),1.0)</f>
        <v>1</v>
      </c>
      <c r="D264" s="2" t="str">
        <f>IFERROR(__xludf.DUMMYFUNCTION("""COMPUTED_VALUE"""),"from")</f>
        <v>from</v>
      </c>
      <c r="E264" s="2">
        <f>IFERROR(__xludf.DUMMYFUNCTION("""COMPUTED_VALUE"""),6.0)</f>
        <v>6</v>
      </c>
      <c r="F264" s="2" t="str">
        <f>IFERROR(__xludf.DUMMYFUNCTION("""COMPUTED_VALUE"""),"to")</f>
        <v>to</v>
      </c>
      <c r="G264" s="2">
        <f>IFERROR(__xludf.DUMMYFUNCTION("""COMPUTED_VALUE"""),3.0)</f>
        <v>3</v>
      </c>
    </row>
    <row r="265">
      <c r="A265" s="1" t="s">
        <v>190</v>
      </c>
      <c r="B265" s="2" t="str">
        <f>IFERROR(__xludf.DUMMYFUNCTION("SPLIT(A265, "" "")"),"move")</f>
        <v>move</v>
      </c>
      <c r="C265" s="2">
        <f>IFERROR(__xludf.DUMMYFUNCTION("""COMPUTED_VALUE"""),1.0)</f>
        <v>1</v>
      </c>
      <c r="D265" s="2" t="str">
        <f>IFERROR(__xludf.DUMMYFUNCTION("""COMPUTED_VALUE"""),"from")</f>
        <v>from</v>
      </c>
      <c r="E265" s="2">
        <f>IFERROR(__xludf.DUMMYFUNCTION("""COMPUTED_VALUE"""),2.0)</f>
        <v>2</v>
      </c>
      <c r="F265" s="2" t="str">
        <f>IFERROR(__xludf.DUMMYFUNCTION("""COMPUTED_VALUE"""),"to")</f>
        <v>to</v>
      </c>
      <c r="G265" s="2">
        <f>IFERROR(__xludf.DUMMYFUNCTION("""COMPUTED_VALUE"""),9.0)</f>
        <v>9</v>
      </c>
    </row>
    <row r="266">
      <c r="A266" s="1" t="s">
        <v>212</v>
      </c>
      <c r="B266" s="2" t="str">
        <f>IFERROR(__xludf.DUMMYFUNCTION("SPLIT(A266, "" "")"),"move")</f>
        <v>move</v>
      </c>
      <c r="C266" s="2">
        <f>IFERROR(__xludf.DUMMYFUNCTION("""COMPUTED_VALUE"""),15.0)</f>
        <v>15</v>
      </c>
      <c r="D266" s="2" t="str">
        <f>IFERROR(__xludf.DUMMYFUNCTION("""COMPUTED_VALUE"""),"from")</f>
        <v>from</v>
      </c>
      <c r="E266" s="2">
        <f>IFERROR(__xludf.DUMMYFUNCTION("""COMPUTED_VALUE"""),7.0)</f>
        <v>7</v>
      </c>
      <c r="F266" s="2" t="str">
        <f>IFERROR(__xludf.DUMMYFUNCTION("""COMPUTED_VALUE"""),"to")</f>
        <v>to</v>
      </c>
      <c r="G266" s="2">
        <f>IFERROR(__xludf.DUMMYFUNCTION("""COMPUTED_VALUE"""),6.0)</f>
        <v>6</v>
      </c>
    </row>
    <row r="267">
      <c r="A267" s="1" t="s">
        <v>213</v>
      </c>
      <c r="B267" s="2" t="str">
        <f>IFERROR(__xludf.DUMMYFUNCTION("SPLIT(A267, "" "")"),"move")</f>
        <v>move</v>
      </c>
      <c r="C267" s="2">
        <f>IFERROR(__xludf.DUMMYFUNCTION("""COMPUTED_VALUE"""),2.0)</f>
        <v>2</v>
      </c>
      <c r="D267" s="2" t="str">
        <f>IFERROR(__xludf.DUMMYFUNCTION("""COMPUTED_VALUE"""),"from")</f>
        <v>from</v>
      </c>
      <c r="E267" s="2">
        <f>IFERROR(__xludf.DUMMYFUNCTION("""COMPUTED_VALUE"""),2.0)</f>
        <v>2</v>
      </c>
      <c r="F267" s="2" t="str">
        <f>IFERROR(__xludf.DUMMYFUNCTION("""COMPUTED_VALUE"""),"to")</f>
        <v>to</v>
      </c>
      <c r="G267" s="2">
        <f>IFERROR(__xludf.DUMMYFUNCTION("""COMPUTED_VALUE"""),6.0)</f>
        <v>6</v>
      </c>
    </row>
    <row r="268">
      <c r="A268" s="1" t="s">
        <v>136</v>
      </c>
      <c r="B268" s="2" t="str">
        <f>IFERROR(__xludf.DUMMYFUNCTION("SPLIT(A268, "" "")"),"move")</f>
        <v>move</v>
      </c>
      <c r="C268" s="2">
        <f>IFERROR(__xludf.DUMMYFUNCTION("""COMPUTED_VALUE"""),1.0)</f>
        <v>1</v>
      </c>
      <c r="D268" s="2" t="str">
        <f>IFERROR(__xludf.DUMMYFUNCTION("""COMPUTED_VALUE"""),"from")</f>
        <v>from</v>
      </c>
      <c r="E268" s="2">
        <f>IFERROR(__xludf.DUMMYFUNCTION("""COMPUTED_VALUE"""),3.0)</f>
        <v>3</v>
      </c>
      <c r="F268" s="2" t="str">
        <f>IFERROR(__xludf.DUMMYFUNCTION("""COMPUTED_VALUE"""),"to")</f>
        <v>to</v>
      </c>
      <c r="G268" s="2">
        <f>IFERROR(__xludf.DUMMYFUNCTION("""COMPUTED_VALUE"""),8.0)</f>
        <v>8</v>
      </c>
    </row>
    <row r="269">
      <c r="A269" s="1" t="s">
        <v>8</v>
      </c>
      <c r="B269" s="2" t="str">
        <f>IFERROR(__xludf.DUMMYFUNCTION("SPLIT(A269, "" "")"),"move")</f>
        <v>move</v>
      </c>
      <c r="C269" s="2">
        <f>IFERROR(__xludf.DUMMYFUNCTION("""COMPUTED_VALUE"""),1.0)</f>
        <v>1</v>
      </c>
      <c r="D269" s="2" t="str">
        <f>IFERROR(__xludf.DUMMYFUNCTION("""COMPUTED_VALUE"""),"from")</f>
        <v>from</v>
      </c>
      <c r="E269" s="2">
        <f>IFERROR(__xludf.DUMMYFUNCTION("""COMPUTED_VALUE"""),1.0)</f>
        <v>1</v>
      </c>
      <c r="F269" s="2" t="str">
        <f>IFERROR(__xludf.DUMMYFUNCTION("""COMPUTED_VALUE"""),"to")</f>
        <v>to</v>
      </c>
      <c r="G269" s="2">
        <f>IFERROR(__xludf.DUMMYFUNCTION("""COMPUTED_VALUE"""),4.0)</f>
        <v>4</v>
      </c>
    </row>
    <row r="270">
      <c r="A270" s="1" t="s">
        <v>214</v>
      </c>
      <c r="B270" s="2" t="str">
        <f>IFERROR(__xludf.DUMMYFUNCTION("SPLIT(A270, "" "")"),"move")</f>
        <v>move</v>
      </c>
      <c r="C270" s="2">
        <f>IFERROR(__xludf.DUMMYFUNCTION("""COMPUTED_VALUE"""),6.0)</f>
        <v>6</v>
      </c>
      <c r="D270" s="2" t="str">
        <f>IFERROR(__xludf.DUMMYFUNCTION("""COMPUTED_VALUE"""),"from")</f>
        <v>from</v>
      </c>
      <c r="E270" s="2">
        <f>IFERROR(__xludf.DUMMYFUNCTION("""COMPUTED_VALUE"""),8.0)</f>
        <v>8</v>
      </c>
      <c r="F270" s="2" t="str">
        <f>IFERROR(__xludf.DUMMYFUNCTION("""COMPUTED_VALUE"""),"to")</f>
        <v>to</v>
      </c>
      <c r="G270" s="2">
        <f>IFERROR(__xludf.DUMMYFUNCTION("""COMPUTED_VALUE"""),4.0)</f>
        <v>4</v>
      </c>
    </row>
    <row r="271">
      <c r="A271" s="1" t="s">
        <v>136</v>
      </c>
      <c r="B271" s="2" t="str">
        <f>IFERROR(__xludf.DUMMYFUNCTION("SPLIT(A271, "" "")"),"move")</f>
        <v>move</v>
      </c>
      <c r="C271" s="2">
        <f>IFERROR(__xludf.DUMMYFUNCTION("""COMPUTED_VALUE"""),1.0)</f>
        <v>1</v>
      </c>
      <c r="D271" s="2" t="str">
        <f>IFERROR(__xludf.DUMMYFUNCTION("""COMPUTED_VALUE"""),"from")</f>
        <v>from</v>
      </c>
      <c r="E271" s="2">
        <f>IFERROR(__xludf.DUMMYFUNCTION("""COMPUTED_VALUE"""),3.0)</f>
        <v>3</v>
      </c>
      <c r="F271" s="2" t="str">
        <f>IFERROR(__xludf.DUMMYFUNCTION("""COMPUTED_VALUE"""),"to")</f>
        <v>to</v>
      </c>
      <c r="G271" s="2">
        <f>IFERROR(__xludf.DUMMYFUNCTION("""COMPUTED_VALUE"""),8.0)</f>
        <v>8</v>
      </c>
    </row>
    <row r="272">
      <c r="A272" s="1" t="s">
        <v>24</v>
      </c>
      <c r="B272" s="2" t="str">
        <f>IFERROR(__xludf.DUMMYFUNCTION("SPLIT(A272, "" "")"),"move")</f>
        <v>move</v>
      </c>
      <c r="C272" s="2">
        <f>IFERROR(__xludf.DUMMYFUNCTION("""COMPUTED_VALUE"""),1.0)</f>
        <v>1</v>
      </c>
      <c r="D272" s="2" t="str">
        <f>IFERROR(__xludf.DUMMYFUNCTION("""COMPUTED_VALUE"""),"from")</f>
        <v>from</v>
      </c>
      <c r="E272" s="2">
        <f>IFERROR(__xludf.DUMMYFUNCTION("""COMPUTED_VALUE"""),8.0)</f>
        <v>8</v>
      </c>
      <c r="F272" s="2" t="str">
        <f>IFERROR(__xludf.DUMMYFUNCTION("""COMPUTED_VALUE"""),"to")</f>
        <v>to</v>
      </c>
      <c r="G272" s="2">
        <f>IFERROR(__xludf.DUMMYFUNCTION("""COMPUTED_VALUE"""),5.0)</f>
        <v>5</v>
      </c>
    </row>
    <row r="273">
      <c r="A273" s="1" t="s">
        <v>215</v>
      </c>
      <c r="B273" s="2" t="str">
        <f>IFERROR(__xludf.DUMMYFUNCTION("SPLIT(A273, "" "")"),"move")</f>
        <v>move</v>
      </c>
      <c r="C273" s="2">
        <f>IFERROR(__xludf.DUMMYFUNCTION("""COMPUTED_VALUE"""),2.0)</f>
        <v>2</v>
      </c>
      <c r="D273" s="2" t="str">
        <f>IFERROR(__xludf.DUMMYFUNCTION("""COMPUTED_VALUE"""),"from")</f>
        <v>from</v>
      </c>
      <c r="E273" s="2">
        <f>IFERROR(__xludf.DUMMYFUNCTION("""COMPUTED_VALUE"""),5.0)</f>
        <v>5</v>
      </c>
      <c r="F273" s="2" t="str">
        <f>IFERROR(__xludf.DUMMYFUNCTION("""COMPUTED_VALUE"""),"to")</f>
        <v>to</v>
      </c>
      <c r="G273" s="2">
        <f>IFERROR(__xludf.DUMMYFUNCTION("""COMPUTED_VALUE"""),2.0)</f>
        <v>2</v>
      </c>
    </row>
    <row r="274">
      <c r="A274" s="1" t="s">
        <v>216</v>
      </c>
      <c r="B274" s="2" t="str">
        <f>IFERROR(__xludf.DUMMYFUNCTION("SPLIT(A274, "" "")"),"move")</f>
        <v>move</v>
      </c>
      <c r="C274" s="2">
        <f>IFERROR(__xludf.DUMMYFUNCTION("""COMPUTED_VALUE"""),8.0)</f>
        <v>8</v>
      </c>
      <c r="D274" s="2" t="str">
        <f>IFERROR(__xludf.DUMMYFUNCTION("""COMPUTED_VALUE"""),"from")</f>
        <v>from</v>
      </c>
      <c r="E274" s="2">
        <f>IFERROR(__xludf.DUMMYFUNCTION("""COMPUTED_VALUE"""),6.0)</f>
        <v>6</v>
      </c>
      <c r="F274" s="2" t="str">
        <f>IFERROR(__xludf.DUMMYFUNCTION("""COMPUTED_VALUE"""),"to")</f>
        <v>to</v>
      </c>
      <c r="G274" s="2">
        <f>IFERROR(__xludf.DUMMYFUNCTION("""COMPUTED_VALUE"""),7.0)</f>
        <v>7</v>
      </c>
    </row>
    <row r="275">
      <c r="A275" s="1" t="s">
        <v>17</v>
      </c>
      <c r="B275" s="2" t="str">
        <f>IFERROR(__xludf.DUMMYFUNCTION("SPLIT(A275, "" "")"),"move")</f>
        <v>move</v>
      </c>
      <c r="C275" s="2">
        <f>IFERROR(__xludf.DUMMYFUNCTION("""COMPUTED_VALUE"""),1.0)</f>
        <v>1</v>
      </c>
      <c r="D275" s="2" t="str">
        <f>IFERROR(__xludf.DUMMYFUNCTION("""COMPUTED_VALUE"""),"from")</f>
        <v>from</v>
      </c>
      <c r="E275" s="2">
        <f>IFERROR(__xludf.DUMMYFUNCTION("""COMPUTED_VALUE"""),8.0)</f>
        <v>8</v>
      </c>
      <c r="F275" s="2" t="str">
        <f>IFERROR(__xludf.DUMMYFUNCTION("""COMPUTED_VALUE"""),"to")</f>
        <v>to</v>
      </c>
      <c r="G275" s="2">
        <f>IFERROR(__xludf.DUMMYFUNCTION("""COMPUTED_VALUE"""),7.0)</f>
        <v>7</v>
      </c>
    </row>
    <row r="276">
      <c r="A276" s="1" t="s">
        <v>217</v>
      </c>
      <c r="B276" s="2" t="str">
        <f>IFERROR(__xludf.DUMMYFUNCTION("SPLIT(A276, "" "")"),"move")</f>
        <v>move</v>
      </c>
      <c r="C276" s="2">
        <f>IFERROR(__xludf.DUMMYFUNCTION("""COMPUTED_VALUE"""),1.0)</f>
        <v>1</v>
      </c>
      <c r="D276" s="2" t="str">
        <f>IFERROR(__xludf.DUMMYFUNCTION("""COMPUTED_VALUE"""),"from")</f>
        <v>from</v>
      </c>
      <c r="E276" s="2">
        <f>IFERROR(__xludf.DUMMYFUNCTION("""COMPUTED_VALUE"""),9.0)</f>
        <v>9</v>
      </c>
      <c r="F276" s="2" t="str">
        <f>IFERROR(__xludf.DUMMYFUNCTION("""COMPUTED_VALUE"""),"to")</f>
        <v>to</v>
      </c>
      <c r="G276" s="2">
        <f>IFERROR(__xludf.DUMMYFUNCTION("""COMPUTED_VALUE"""),4.0)</f>
        <v>4</v>
      </c>
    </row>
    <row r="277">
      <c r="A277" s="1" t="s">
        <v>218</v>
      </c>
      <c r="B277" s="2" t="str">
        <f>IFERROR(__xludf.DUMMYFUNCTION("SPLIT(A277, "" "")"),"move")</f>
        <v>move</v>
      </c>
      <c r="C277" s="2">
        <f>IFERROR(__xludf.DUMMYFUNCTION("""COMPUTED_VALUE"""),9.0)</f>
        <v>9</v>
      </c>
      <c r="D277" s="2" t="str">
        <f>IFERROR(__xludf.DUMMYFUNCTION("""COMPUTED_VALUE"""),"from")</f>
        <v>from</v>
      </c>
      <c r="E277" s="2">
        <f>IFERROR(__xludf.DUMMYFUNCTION("""COMPUTED_VALUE"""),4.0)</f>
        <v>4</v>
      </c>
      <c r="F277" s="2" t="str">
        <f>IFERROR(__xludf.DUMMYFUNCTION("""COMPUTED_VALUE"""),"to")</f>
        <v>to</v>
      </c>
      <c r="G277" s="2">
        <f>IFERROR(__xludf.DUMMYFUNCTION("""COMPUTED_VALUE"""),5.0)</f>
        <v>5</v>
      </c>
    </row>
    <row r="278">
      <c r="A278" s="1" t="s">
        <v>219</v>
      </c>
      <c r="B278" s="2" t="str">
        <f>IFERROR(__xludf.DUMMYFUNCTION("SPLIT(A278, "" "")"),"move")</f>
        <v>move</v>
      </c>
      <c r="C278" s="2">
        <f>IFERROR(__xludf.DUMMYFUNCTION("""COMPUTED_VALUE"""),19.0)</f>
        <v>19</v>
      </c>
      <c r="D278" s="2" t="str">
        <f>IFERROR(__xludf.DUMMYFUNCTION("""COMPUTED_VALUE"""),"from")</f>
        <v>from</v>
      </c>
      <c r="E278" s="2">
        <f>IFERROR(__xludf.DUMMYFUNCTION("""COMPUTED_VALUE"""),1.0)</f>
        <v>1</v>
      </c>
      <c r="F278" s="2" t="str">
        <f>IFERROR(__xludf.DUMMYFUNCTION("""COMPUTED_VALUE"""),"to")</f>
        <v>to</v>
      </c>
      <c r="G278" s="2">
        <f>IFERROR(__xludf.DUMMYFUNCTION("""COMPUTED_VALUE"""),3.0)</f>
        <v>3</v>
      </c>
    </row>
    <row r="279">
      <c r="A279" s="1" t="s">
        <v>220</v>
      </c>
      <c r="B279" s="2" t="str">
        <f>IFERROR(__xludf.DUMMYFUNCTION("SPLIT(A279, "" "")"),"move")</f>
        <v>move</v>
      </c>
      <c r="C279" s="2">
        <f>IFERROR(__xludf.DUMMYFUNCTION("""COMPUTED_VALUE"""),9.0)</f>
        <v>9</v>
      </c>
      <c r="D279" s="2" t="str">
        <f>IFERROR(__xludf.DUMMYFUNCTION("""COMPUTED_VALUE"""),"from")</f>
        <v>from</v>
      </c>
      <c r="E279" s="2">
        <f>IFERROR(__xludf.DUMMYFUNCTION("""COMPUTED_VALUE"""),3.0)</f>
        <v>3</v>
      </c>
      <c r="F279" s="2" t="str">
        <f>IFERROR(__xludf.DUMMYFUNCTION("""COMPUTED_VALUE"""),"to")</f>
        <v>to</v>
      </c>
      <c r="G279" s="2">
        <f>IFERROR(__xludf.DUMMYFUNCTION("""COMPUTED_VALUE"""),5.0)</f>
        <v>5</v>
      </c>
    </row>
    <row r="280">
      <c r="A280" s="1" t="s">
        <v>221</v>
      </c>
      <c r="B280" s="2" t="str">
        <f>IFERROR(__xludf.DUMMYFUNCTION("SPLIT(A280, "" "")"),"move")</f>
        <v>move</v>
      </c>
      <c r="C280" s="2">
        <f>IFERROR(__xludf.DUMMYFUNCTION("""COMPUTED_VALUE"""),6.0)</f>
        <v>6</v>
      </c>
      <c r="D280" s="2" t="str">
        <f>IFERROR(__xludf.DUMMYFUNCTION("""COMPUTED_VALUE"""),"from")</f>
        <v>from</v>
      </c>
      <c r="E280" s="2">
        <f>IFERROR(__xludf.DUMMYFUNCTION("""COMPUTED_VALUE"""),7.0)</f>
        <v>7</v>
      </c>
      <c r="F280" s="2" t="str">
        <f>IFERROR(__xludf.DUMMYFUNCTION("""COMPUTED_VALUE"""),"to")</f>
        <v>to</v>
      </c>
      <c r="G280" s="2">
        <f>IFERROR(__xludf.DUMMYFUNCTION("""COMPUTED_VALUE"""),2.0)</f>
        <v>2</v>
      </c>
    </row>
    <row r="281">
      <c r="A281" s="1" t="s">
        <v>29</v>
      </c>
      <c r="B281" s="2" t="str">
        <f>IFERROR(__xludf.DUMMYFUNCTION("SPLIT(A281, "" "")"),"move")</f>
        <v>move</v>
      </c>
      <c r="C281" s="2">
        <f>IFERROR(__xludf.DUMMYFUNCTION("""COMPUTED_VALUE"""),2.0)</f>
        <v>2</v>
      </c>
      <c r="D281" s="2" t="str">
        <f>IFERROR(__xludf.DUMMYFUNCTION("""COMPUTED_VALUE"""),"from")</f>
        <v>from</v>
      </c>
      <c r="E281" s="2">
        <f>IFERROR(__xludf.DUMMYFUNCTION("""COMPUTED_VALUE"""),1.0)</f>
        <v>1</v>
      </c>
      <c r="F281" s="2" t="str">
        <f>IFERROR(__xludf.DUMMYFUNCTION("""COMPUTED_VALUE"""),"to")</f>
        <v>to</v>
      </c>
      <c r="G281" s="2">
        <f>IFERROR(__xludf.DUMMYFUNCTION("""COMPUTED_VALUE"""),7.0)</f>
        <v>7</v>
      </c>
    </row>
    <row r="282">
      <c r="A282" s="1" t="s">
        <v>222</v>
      </c>
      <c r="B282" s="2" t="str">
        <f>IFERROR(__xludf.DUMMYFUNCTION("SPLIT(A282, "" "")"),"move")</f>
        <v>move</v>
      </c>
      <c r="C282" s="2">
        <f>IFERROR(__xludf.DUMMYFUNCTION("""COMPUTED_VALUE"""),7.0)</f>
        <v>7</v>
      </c>
      <c r="D282" s="2" t="str">
        <f>IFERROR(__xludf.DUMMYFUNCTION("""COMPUTED_VALUE"""),"from")</f>
        <v>from</v>
      </c>
      <c r="E282" s="2">
        <f>IFERROR(__xludf.DUMMYFUNCTION("""COMPUTED_VALUE"""),2.0)</f>
        <v>2</v>
      </c>
      <c r="F282" s="2" t="str">
        <f>IFERROR(__xludf.DUMMYFUNCTION("""COMPUTED_VALUE"""),"to")</f>
        <v>to</v>
      </c>
      <c r="G282" s="2">
        <f>IFERROR(__xludf.DUMMYFUNCTION("""COMPUTED_VALUE"""),4.0)</f>
        <v>4</v>
      </c>
    </row>
    <row r="283">
      <c r="A283" s="1" t="s">
        <v>50</v>
      </c>
      <c r="B283" s="2" t="str">
        <f>IFERROR(__xludf.DUMMYFUNCTION("SPLIT(A283, "" "")"),"move")</f>
        <v>move</v>
      </c>
      <c r="C283" s="2">
        <f>IFERROR(__xludf.DUMMYFUNCTION("""COMPUTED_VALUE"""),7.0)</f>
        <v>7</v>
      </c>
      <c r="D283" s="2" t="str">
        <f>IFERROR(__xludf.DUMMYFUNCTION("""COMPUTED_VALUE"""),"from")</f>
        <v>from</v>
      </c>
      <c r="E283" s="2">
        <f>IFERROR(__xludf.DUMMYFUNCTION("""COMPUTED_VALUE"""),5.0)</f>
        <v>5</v>
      </c>
      <c r="F283" s="2" t="str">
        <f>IFERROR(__xludf.DUMMYFUNCTION("""COMPUTED_VALUE"""),"to")</f>
        <v>to</v>
      </c>
      <c r="G283" s="2">
        <f>IFERROR(__xludf.DUMMYFUNCTION("""COMPUTED_VALUE"""),6.0)</f>
        <v>6</v>
      </c>
    </row>
    <row r="284">
      <c r="A284" s="1" t="s">
        <v>223</v>
      </c>
      <c r="B284" s="2" t="str">
        <f>IFERROR(__xludf.DUMMYFUNCTION("SPLIT(A284, "" "")"),"move")</f>
        <v>move</v>
      </c>
      <c r="C284" s="2">
        <f>IFERROR(__xludf.DUMMYFUNCTION("""COMPUTED_VALUE"""),5.0)</f>
        <v>5</v>
      </c>
      <c r="D284" s="2" t="str">
        <f>IFERROR(__xludf.DUMMYFUNCTION("""COMPUTED_VALUE"""),"from")</f>
        <v>from</v>
      </c>
      <c r="E284" s="2">
        <f>IFERROR(__xludf.DUMMYFUNCTION("""COMPUTED_VALUE"""),4.0)</f>
        <v>4</v>
      </c>
      <c r="F284" s="2" t="str">
        <f>IFERROR(__xludf.DUMMYFUNCTION("""COMPUTED_VALUE"""),"to")</f>
        <v>to</v>
      </c>
      <c r="G284" s="2">
        <f>IFERROR(__xludf.DUMMYFUNCTION("""COMPUTED_VALUE"""),3.0)</f>
        <v>3</v>
      </c>
    </row>
    <row r="285">
      <c r="A285" s="1" t="s">
        <v>224</v>
      </c>
      <c r="B285" s="2" t="str">
        <f>IFERROR(__xludf.DUMMYFUNCTION("SPLIT(A285, "" "")"),"move")</f>
        <v>move</v>
      </c>
      <c r="C285" s="2">
        <f>IFERROR(__xludf.DUMMYFUNCTION("""COMPUTED_VALUE"""),3.0)</f>
        <v>3</v>
      </c>
      <c r="D285" s="2" t="str">
        <f>IFERROR(__xludf.DUMMYFUNCTION("""COMPUTED_VALUE"""),"from")</f>
        <v>from</v>
      </c>
      <c r="E285" s="2">
        <f>IFERROR(__xludf.DUMMYFUNCTION("""COMPUTED_VALUE"""),5.0)</f>
        <v>5</v>
      </c>
      <c r="F285" s="2" t="str">
        <f>IFERROR(__xludf.DUMMYFUNCTION("""COMPUTED_VALUE"""),"to")</f>
        <v>to</v>
      </c>
      <c r="G285" s="2">
        <f>IFERROR(__xludf.DUMMYFUNCTION("""COMPUTED_VALUE"""),8.0)</f>
        <v>8</v>
      </c>
    </row>
    <row r="286">
      <c r="A286" s="1" t="s">
        <v>225</v>
      </c>
      <c r="B286" s="2" t="str">
        <f>IFERROR(__xludf.DUMMYFUNCTION("SPLIT(A286, "" "")"),"move")</f>
        <v>move</v>
      </c>
      <c r="C286" s="2">
        <f>IFERROR(__xludf.DUMMYFUNCTION("""COMPUTED_VALUE"""),1.0)</f>
        <v>1</v>
      </c>
      <c r="D286" s="2" t="str">
        <f>IFERROR(__xludf.DUMMYFUNCTION("""COMPUTED_VALUE"""),"from")</f>
        <v>from</v>
      </c>
      <c r="E286" s="2">
        <f>IFERROR(__xludf.DUMMYFUNCTION("""COMPUTED_VALUE"""),2.0)</f>
        <v>2</v>
      </c>
      <c r="F286" s="2" t="str">
        <f>IFERROR(__xludf.DUMMYFUNCTION("""COMPUTED_VALUE"""),"to")</f>
        <v>to</v>
      </c>
      <c r="G286" s="2">
        <f>IFERROR(__xludf.DUMMYFUNCTION("""COMPUTED_VALUE"""),4.0)</f>
        <v>4</v>
      </c>
    </row>
    <row r="287">
      <c r="A287" s="1" t="s">
        <v>226</v>
      </c>
      <c r="B287" s="2" t="str">
        <f>IFERROR(__xludf.DUMMYFUNCTION("SPLIT(A287, "" "")"),"move")</f>
        <v>move</v>
      </c>
      <c r="C287" s="2">
        <f>IFERROR(__xludf.DUMMYFUNCTION("""COMPUTED_VALUE"""),2.0)</f>
        <v>2</v>
      </c>
      <c r="D287" s="2" t="str">
        <f>IFERROR(__xludf.DUMMYFUNCTION("""COMPUTED_VALUE"""),"from")</f>
        <v>from</v>
      </c>
      <c r="E287" s="2">
        <f>IFERROR(__xludf.DUMMYFUNCTION("""COMPUTED_VALUE"""),4.0)</f>
        <v>4</v>
      </c>
      <c r="F287" s="2" t="str">
        <f>IFERROR(__xludf.DUMMYFUNCTION("""COMPUTED_VALUE"""),"to")</f>
        <v>to</v>
      </c>
      <c r="G287" s="2">
        <f>IFERROR(__xludf.DUMMYFUNCTION("""COMPUTED_VALUE"""),8.0)</f>
        <v>8</v>
      </c>
    </row>
    <row r="288">
      <c r="A288" s="1" t="s">
        <v>227</v>
      </c>
      <c r="B288" s="2" t="str">
        <f>IFERROR(__xludf.DUMMYFUNCTION("SPLIT(A288, "" "")"),"move")</f>
        <v>move</v>
      </c>
      <c r="C288" s="2">
        <f>IFERROR(__xludf.DUMMYFUNCTION("""COMPUTED_VALUE"""),14.0)</f>
        <v>14</v>
      </c>
      <c r="D288" s="2" t="str">
        <f>IFERROR(__xludf.DUMMYFUNCTION("""COMPUTED_VALUE"""),"from")</f>
        <v>from</v>
      </c>
      <c r="E288" s="2">
        <f>IFERROR(__xludf.DUMMYFUNCTION("""COMPUTED_VALUE"""),6.0)</f>
        <v>6</v>
      </c>
      <c r="F288" s="2" t="str">
        <f>IFERROR(__xludf.DUMMYFUNCTION("""COMPUTED_VALUE"""),"to")</f>
        <v>to</v>
      </c>
      <c r="G288" s="2">
        <f>IFERROR(__xludf.DUMMYFUNCTION("""COMPUTED_VALUE"""),1.0)</f>
        <v>1</v>
      </c>
    </row>
    <row r="289">
      <c r="A289" s="1" t="s">
        <v>228</v>
      </c>
      <c r="B289" s="2" t="str">
        <f>IFERROR(__xludf.DUMMYFUNCTION("SPLIT(A289, "" "")"),"move")</f>
        <v>move</v>
      </c>
      <c r="C289" s="2">
        <f>IFERROR(__xludf.DUMMYFUNCTION("""COMPUTED_VALUE"""),6.0)</f>
        <v>6</v>
      </c>
      <c r="D289" s="2" t="str">
        <f>IFERROR(__xludf.DUMMYFUNCTION("""COMPUTED_VALUE"""),"from")</f>
        <v>from</v>
      </c>
      <c r="E289" s="2">
        <f>IFERROR(__xludf.DUMMYFUNCTION("""COMPUTED_VALUE"""),5.0)</f>
        <v>5</v>
      </c>
      <c r="F289" s="2" t="str">
        <f>IFERROR(__xludf.DUMMYFUNCTION("""COMPUTED_VALUE"""),"to")</f>
        <v>to</v>
      </c>
      <c r="G289" s="2">
        <f>IFERROR(__xludf.DUMMYFUNCTION("""COMPUTED_VALUE"""),6.0)</f>
        <v>6</v>
      </c>
    </row>
    <row r="290">
      <c r="A290" s="1" t="s">
        <v>117</v>
      </c>
      <c r="B290" s="2" t="str">
        <f>IFERROR(__xludf.DUMMYFUNCTION("SPLIT(A290, "" "")"),"move")</f>
        <v>move</v>
      </c>
      <c r="C290" s="2">
        <f>IFERROR(__xludf.DUMMYFUNCTION("""COMPUTED_VALUE"""),1.0)</f>
        <v>1</v>
      </c>
      <c r="D290" s="2" t="str">
        <f>IFERROR(__xludf.DUMMYFUNCTION("""COMPUTED_VALUE"""),"from")</f>
        <v>from</v>
      </c>
      <c r="E290" s="2">
        <f>IFERROR(__xludf.DUMMYFUNCTION("""COMPUTED_VALUE"""),5.0)</f>
        <v>5</v>
      </c>
      <c r="F290" s="2" t="str">
        <f>IFERROR(__xludf.DUMMYFUNCTION("""COMPUTED_VALUE"""),"to")</f>
        <v>to</v>
      </c>
      <c r="G290" s="2">
        <f>IFERROR(__xludf.DUMMYFUNCTION("""COMPUTED_VALUE"""),2.0)</f>
        <v>2</v>
      </c>
    </row>
    <row r="291">
      <c r="A291" s="1" t="s">
        <v>229</v>
      </c>
      <c r="B291" s="2" t="str">
        <f>IFERROR(__xludf.DUMMYFUNCTION("SPLIT(A291, "" "")"),"move")</f>
        <v>move</v>
      </c>
      <c r="C291" s="2">
        <f>IFERROR(__xludf.DUMMYFUNCTION("""COMPUTED_VALUE"""),7.0)</f>
        <v>7</v>
      </c>
      <c r="D291" s="2" t="str">
        <f>IFERROR(__xludf.DUMMYFUNCTION("""COMPUTED_VALUE"""),"from")</f>
        <v>from</v>
      </c>
      <c r="E291" s="2">
        <f>IFERROR(__xludf.DUMMYFUNCTION("""COMPUTED_VALUE"""),1.0)</f>
        <v>1</v>
      </c>
      <c r="F291" s="2" t="str">
        <f>IFERROR(__xludf.DUMMYFUNCTION("""COMPUTED_VALUE"""),"to")</f>
        <v>to</v>
      </c>
      <c r="G291" s="2">
        <f>IFERROR(__xludf.DUMMYFUNCTION("""COMPUTED_VALUE"""),6.0)</f>
        <v>6</v>
      </c>
    </row>
    <row r="292">
      <c r="A292" s="1" t="s">
        <v>225</v>
      </c>
      <c r="B292" s="2" t="str">
        <f>IFERROR(__xludf.DUMMYFUNCTION("SPLIT(A292, "" "")"),"move")</f>
        <v>move</v>
      </c>
      <c r="C292" s="2">
        <f>IFERROR(__xludf.DUMMYFUNCTION("""COMPUTED_VALUE"""),1.0)</f>
        <v>1</v>
      </c>
      <c r="D292" s="2" t="str">
        <f>IFERROR(__xludf.DUMMYFUNCTION("""COMPUTED_VALUE"""),"from")</f>
        <v>from</v>
      </c>
      <c r="E292" s="2">
        <f>IFERROR(__xludf.DUMMYFUNCTION("""COMPUTED_VALUE"""),2.0)</f>
        <v>2</v>
      </c>
      <c r="F292" s="2" t="str">
        <f>IFERROR(__xludf.DUMMYFUNCTION("""COMPUTED_VALUE"""),"to")</f>
        <v>to</v>
      </c>
      <c r="G292" s="2">
        <f>IFERROR(__xludf.DUMMYFUNCTION("""COMPUTED_VALUE"""),4.0)</f>
        <v>4</v>
      </c>
    </row>
    <row r="293">
      <c r="A293" s="1" t="s">
        <v>230</v>
      </c>
      <c r="B293" s="2" t="str">
        <f>IFERROR(__xludf.DUMMYFUNCTION("SPLIT(A293, "" "")"),"move")</f>
        <v>move</v>
      </c>
      <c r="C293" s="2">
        <f>IFERROR(__xludf.DUMMYFUNCTION("""COMPUTED_VALUE"""),4.0)</f>
        <v>4</v>
      </c>
      <c r="D293" s="2" t="str">
        <f>IFERROR(__xludf.DUMMYFUNCTION("""COMPUTED_VALUE"""),"from")</f>
        <v>from</v>
      </c>
      <c r="E293" s="2">
        <f>IFERROR(__xludf.DUMMYFUNCTION("""COMPUTED_VALUE"""),6.0)</f>
        <v>6</v>
      </c>
      <c r="F293" s="2" t="str">
        <f>IFERROR(__xludf.DUMMYFUNCTION("""COMPUTED_VALUE"""),"to")</f>
        <v>to</v>
      </c>
      <c r="G293" s="2">
        <f>IFERROR(__xludf.DUMMYFUNCTION("""COMPUTED_VALUE"""),4.0)</f>
        <v>4</v>
      </c>
    </row>
    <row r="294">
      <c r="A294" s="1" t="s">
        <v>231</v>
      </c>
      <c r="B294" s="2" t="str">
        <f>IFERROR(__xludf.DUMMYFUNCTION("SPLIT(A294, "" "")"),"move")</f>
        <v>move</v>
      </c>
      <c r="C294" s="2">
        <f>IFERROR(__xludf.DUMMYFUNCTION("""COMPUTED_VALUE"""),1.0)</f>
        <v>1</v>
      </c>
      <c r="D294" s="2" t="str">
        <f>IFERROR(__xludf.DUMMYFUNCTION("""COMPUTED_VALUE"""),"from")</f>
        <v>from</v>
      </c>
      <c r="E294" s="2">
        <f>IFERROR(__xludf.DUMMYFUNCTION("""COMPUTED_VALUE"""),5.0)</f>
        <v>5</v>
      </c>
      <c r="F294" s="2" t="str">
        <f>IFERROR(__xludf.DUMMYFUNCTION("""COMPUTED_VALUE"""),"to")</f>
        <v>to</v>
      </c>
      <c r="G294" s="2">
        <f>IFERROR(__xludf.DUMMYFUNCTION("""COMPUTED_VALUE"""),4.0)</f>
        <v>4</v>
      </c>
    </row>
    <row r="295">
      <c r="A295" s="1" t="s">
        <v>232</v>
      </c>
      <c r="B295" s="2" t="str">
        <f>IFERROR(__xludf.DUMMYFUNCTION("SPLIT(A295, "" "")"),"move")</f>
        <v>move</v>
      </c>
      <c r="C295" s="2">
        <f>IFERROR(__xludf.DUMMYFUNCTION("""COMPUTED_VALUE"""),2.0)</f>
        <v>2</v>
      </c>
      <c r="D295" s="2" t="str">
        <f>IFERROR(__xludf.DUMMYFUNCTION("""COMPUTED_VALUE"""),"from")</f>
        <v>from</v>
      </c>
      <c r="E295" s="2">
        <f>IFERROR(__xludf.DUMMYFUNCTION("""COMPUTED_VALUE"""),1.0)</f>
        <v>1</v>
      </c>
      <c r="F295" s="2" t="str">
        <f>IFERROR(__xludf.DUMMYFUNCTION("""COMPUTED_VALUE"""),"to")</f>
        <v>to</v>
      </c>
      <c r="G295" s="2">
        <f>IFERROR(__xludf.DUMMYFUNCTION("""COMPUTED_VALUE"""),9.0)</f>
        <v>9</v>
      </c>
    </row>
    <row r="296">
      <c r="A296" s="1" t="s">
        <v>233</v>
      </c>
      <c r="B296" s="2" t="str">
        <f>IFERROR(__xludf.DUMMYFUNCTION("SPLIT(A296, "" "")"),"move")</f>
        <v>move</v>
      </c>
      <c r="C296" s="2">
        <f>IFERROR(__xludf.DUMMYFUNCTION("""COMPUTED_VALUE"""),2.0)</f>
        <v>2</v>
      </c>
      <c r="D296" s="2" t="str">
        <f>IFERROR(__xludf.DUMMYFUNCTION("""COMPUTED_VALUE"""),"from")</f>
        <v>from</v>
      </c>
      <c r="E296" s="2">
        <f>IFERROR(__xludf.DUMMYFUNCTION("""COMPUTED_VALUE"""),9.0)</f>
        <v>9</v>
      </c>
      <c r="F296" s="2" t="str">
        <f>IFERROR(__xludf.DUMMYFUNCTION("""COMPUTED_VALUE"""),"to")</f>
        <v>to</v>
      </c>
      <c r="G296" s="2">
        <f>IFERROR(__xludf.DUMMYFUNCTION("""COMPUTED_VALUE"""),4.0)</f>
        <v>4</v>
      </c>
    </row>
    <row r="297">
      <c r="A297" s="1" t="s">
        <v>137</v>
      </c>
      <c r="B297" s="2" t="str">
        <f>IFERROR(__xludf.DUMMYFUNCTION("SPLIT(A297, "" "")"),"move")</f>
        <v>move</v>
      </c>
      <c r="C297" s="2">
        <f>IFERROR(__xludf.DUMMYFUNCTION("""COMPUTED_VALUE"""),2.0)</f>
        <v>2</v>
      </c>
      <c r="D297" s="2" t="str">
        <f>IFERROR(__xludf.DUMMYFUNCTION("""COMPUTED_VALUE"""),"from")</f>
        <v>from</v>
      </c>
      <c r="E297" s="2">
        <f>IFERROR(__xludf.DUMMYFUNCTION("""COMPUTED_VALUE"""),1.0)</f>
        <v>1</v>
      </c>
      <c r="F297" s="2" t="str">
        <f>IFERROR(__xludf.DUMMYFUNCTION("""COMPUTED_VALUE"""),"to")</f>
        <v>to</v>
      </c>
      <c r="G297" s="2">
        <f>IFERROR(__xludf.DUMMYFUNCTION("""COMPUTED_VALUE"""),8.0)</f>
        <v>8</v>
      </c>
    </row>
    <row r="298">
      <c r="A298" s="1" t="s">
        <v>234</v>
      </c>
      <c r="B298" s="2" t="str">
        <f>IFERROR(__xludf.DUMMYFUNCTION("SPLIT(A298, "" "")"),"move")</f>
        <v>move</v>
      </c>
      <c r="C298" s="2">
        <f>IFERROR(__xludf.DUMMYFUNCTION("""COMPUTED_VALUE"""),9.0)</f>
        <v>9</v>
      </c>
      <c r="D298" s="2" t="str">
        <f>IFERROR(__xludf.DUMMYFUNCTION("""COMPUTED_VALUE"""),"from")</f>
        <v>from</v>
      </c>
      <c r="E298" s="2">
        <f>IFERROR(__xludf.DUMMYFUNCTION("""COMPUTED_VALUE"""),3.0)</f>
        <v>3</v>
      </c>
      <c r="F298" s="2" t="str">
        <f>IFERROR(__xludf.DUMMYFUNCTION("""COMPUTED_VALUE"""),"to")</f>
        <v>to</v>
      </c>
      <c r="G298" s="2">
        <f>IFERROR(__xludf.DUMMYFUNCTION("""COMPUTED_VALUE"""),6.0)</f>
        <v>6</v>
      </c>
    </row>
    <row r="299">
      <c r="A299" s="1" t="s">
        <v>235</v>
      </c>
      <c r="B299" s="2" t="str">
        <f>IFERROR(__xludf.DUMMYFUNCTION("SPLIT(A299, "" "")"),"move")</f>
        <v>move</v>
      </c>
      <c r="C299" s="2">
        <f>IFERROR(__xludf.DUMMYFUNCTION("""COMPUTED_VALUE"""),3.0)</f>
        <v>3</v>
      </c>
      <c r="D299" s="2" t="str">
        <f>IFERROR(__xludf.DUMMYFUNCTION("""COMPUTED_VALUE"""),"from")</f>
        <v>from</v>
      </c>
      <c r="E299" s="2">
        <f>IFERROR(__xludf.DUMMYFUNCTION("""COMPUTED_VALUE"""),7.0)</f>
        <v>7</v>
      </c>
      <c r="F299" s="2" t="str">
        <f>IFERROR(__xludf.DUMMYFUNCTION("""COMPUTED_VALUE"""),"to")</f>
        <v>to</v>
      </c>
      <c r="G299" s="2">
        <f>IFERROR(__xludf.DUMMYFUNCTION("""COMPUTED_VALUE"""),4.0)</f>
        <v>4</v>
      </c>
    </row>
    <row r="300">
      <c r="A300" s="1" t="s">
        <v>236</v>
      </c>
      <c r="B300" s="2" t="str">
        <f>IFERROR(__xludf.DUMMYFUNCTION("SPLIT(A300, "" "")"),"move")</f>
        <v>move</v>
      </c>
      <c r="C300" s="2">
        <f>IFERROR(__xludf.DUMMYFUNCTION("""COMPUTED_VALUE"""),4.0)</f>
        <v>4</v>
      </c>
      <c r="D300" s="2" t="str">
        <f>IFERROR(__xludf.DUMMYFUNCTION("""COMPUTED_VALUE"""),"from")</f>
        <v>from</v>
      </c>
      <c r="E300" s="2">
        <f>IFERROR(__xludf.DUMMYFUNCTION("""COMPUTED_VALUE"""),8.0)</f>
        <v>8</v>
      </c>
      <c r="F300" s="2" t="str">
        <f>IFERROR(__xludf.DUMMYFUNCTION("""COMPUTED_VALUE"""),"to")</f>
        <v>to</v>
      </c>
      <c r="G300" s="2">
        <f>IFERROR(__xludf.DUMMYFUNCTION("""COMPUTED_VALUE"""),6.0)</f>
        <v>6</v>
      </c>
    </row>
    <row r="301">
      <c r="A301" s="1" t="s">
        <v>237</v>
      </c>
      <c r="B301" s="2" t="str">
        <f>IFERROR(__xludf.DUMMYFUNCTION("SPLIT(A301, "" "")"),"move")</f>
        <v>move</v>
      </c>
      <c r="C301" s="2">
        <f>IFERROR(__xludf.DUMMYFUNCTION("""COMPUTED_VALUE"""),3.0)</f>
        <v>3</v>
      </c>
      <c r="D301" s="2" t="str">
        <f>IFERROR(__xludf.DUMMYFUNCTION("""COMPUTED_VALUE"""),"from")</f>
        <v>from</v>
      </c>
      <c r="E301" s="2">
        <f>IFERROR(__xludf.DUMMYFUNCTION("""COMPUTED_VALUE"""),7.0)</f>
        <v>7</v>
      </c>
      <c r="F301" s="2" t="str">
        <f>IFERROR(__xludf.DUMMYFUNCTION("""COMPUTED_VALUE"""),"to")</f>
        <v>to</v>
      </c>
      <c r="G301" s="2">
        <f>IFERROR(__xludf.DUMMYFUNCTION("""COMPUTED_VALUE"""),6.0)</f>
        <v>6</v>
      </c>
    </row>
    <row r="302">
      <c r="A302" s="1" t="s">
        <v>12</v>
      </c>
      <c r="B302" s="2" t="str">
        <f>IFERROR(__xludf.DUMMYFUNCTION("SPLIT(A302, "" "")"),"move")</f>
        <v>move</v>
      </c>
      <c r="C302" s="2">
        <f>IFERROR(__xludf.DUMMYFUNCTION("""COMPUTED_VALUE"""),1.0)</f>
        <v>1</v>
      </c>
      <c r="D302" s="2" t="str">
        <f>IFERROR(__xludf.DUMMYFUNCTION("""COMPUTED_VALUE"""),"from")</f>
        <v>from</v>
      </c>
      <c r="E302" s="2">
        <f>IFERROR(__xludf.DUMMYFUNCTION("""COMPUTED_VALUE"""),7.0)</f>
        <v>7</v>
      </c>
      <c r="F302" s="2" t="str">
        <f>IFERROR(__xludf.DUMMYFUNCTION("""COMPUTED_VALUE"""),"to")</f>
        <v>to</v>
      </c>
      <c r="G302" s="2">
        <f>IFERROR(__xludf.DUMMYFUNCTION("""COMPUTED_VALUE"""),2.0)</f>
        <v>2</v>
      </c>
    </row>
    <row r="303">
      <c r="A303" s="1" t="s">
        <v>238</v>
      </c>
      <c r="B303" s="2" t="str">
        <f>IFERROR(__xludf.DUMMYFUNCTION("SPLIT(A303, "" "")"),"move")</f>
        <v>move</v>
      </c>
      <c r="C303" s="2">
        <f>IFERROR(__xludf.DUMMYFUNCTION("""COMPUTED_VALUE"""),1.0)</f>
        <v>1</v>
      </c>
      <c r="D303" s="2" t="str">
        <f>IFERROR(__xludf.DUMMYFUNCTION("""COMPUTED_VALUE"""),"from")</f>
        <v>from</v>
      </c>
      <c r="E303" s="2">
        <f>IFERROR(__xludf.DUMMYFUNCTION("""COMPUTED_VALUE"""),7.0)</f>
        <v>7</v>
      </c>
      <c r="F303" s="2" t="str">
        <f>IFERROR(__xludf.DUMMYFUNCTION("""COMPUTED_VALUE"""),"to")</f>
        <v>to</v>
      </c>
      <c r="G303" s="2">
        <f>IFERROR(__xludf.DUMMYFUNCTION("""COMPUTED_VALUE"""),5.0)</f>
        <v>5</v>
      </c>
    </row>
    <row r="304">
      <c r="A304" s="1" t="s">
        <v>239</v>
      </c>
      <c r="B304" s="2" t="str">
        <f>IFERROR(__xludf.DUMMYFUNCTION("SPLIT(A304, "" "")"),"move")</f>
        <v>move</v>
      </c>
      <c r="C304" s="2">
        <f>IFERROR(__xludf.DUMMYFUNCTION("""COMPUTED_VALUE"""),3.0)</f>
        <v>3</v>
      </c>
      <c r="D304" s="2" t="str">
        <f>IFERROR(__xludf.DUMMYFUNCTION("""COMPUTED_VALUE"""),"from")</f>
        <v>from</v>
      </c>
      <c r="E304" s="2">
        <f>IFERROR(__xludf.DUMMYFUNCTION("""COMPUTED_VALUE"""),8.0)</f>
        <v>8</v>
      </c>
      <c r="F304" s="2" t="str">
        <f>IFERROR(__xludf.DUMMYFUNCTION("""COMPUTED_VALUE"""),"to")</f>
        <v>to</v>
      </c>
      <c r="G304" s="2">
        <f>IFERROR(__xludf.DUMMYFUNCTION("""COMPUTED_VALUE"""),4.0)</f>
        <v>4</v>
      </c>
    </row>
    <row r="305">
      <c r="A305" s="1" t="s">
        <v>240</v>
      </c>
      <c r="B305" s="2" t="str">
        <f>IFERROR(__xludf.DUMMYFUNCTION("SPLIT(A305, "" "")"),"move")</f>
        <v>move</v>
      </c>
      <c r="C305" s="2">
        <f>IFERROR(__xludf.DUMMYFUNCTION("""COMPUTED_VALUE"""),26.0)</f>
        <v>26</v>
      </c>
      <c r="D305" s="2" t="str">
        <f>IFERROR(__xludf.DUMMYFUNCTION("""COMPUTED_VALUE"""),"from")</f>
        <v>from</v>
      </c>
      <c r="E305" s="2">
        <f>IFERROR(__xludf.DUMMYFUNCTION("""COMPUTED_VALUE"""),6.0)</f>
        <v>6</v>
      </c>
      <c r="F305" s="2" t="str">
        <f>IFERROR(__xludf.DUMMYFUNCTION("""COMPUTED_VALUE"""),"to")</f>
        <v>to</v>
      </c>
      <c r="G305" s="2">
        <f>IFERROR(__xludf.DUMMYFUNCTION("""COMPUTED_VALUE"""),1.0)</f>
        <v>1</v>
      </c>
    </row>
    <row r="306">
      <c r="A306" s="1" t="s">
        <v>241</v>
      </c>
      <c r="B306" s="2" t="str">
        <f>IFERROR(__xludf.DUMMYFUNCTION("SPLIT(A306, "" "")"),"move")</f>
        <v>move</v>
      </c>
      <c r="C306" s="2">
        <f>IFERROR(__xludf.DUMMYFUNCTION("""COMPUTED_VALUE"""),8.0)</f>
        <v>8</v>
      </c>
      <c r="D306" s="2" t="str">
        <f>IFERROR(__xludf.DUMMYFUNCTION("""COMPUTED_VALUE"""),"from")</f>
        <v>from</v>
      </c>
      <c r="E306" s="2">
        <f>IFERROR(__xludf.DUMMYFUNCTION("""COMPUTED_VALUE"""),1.0)</f>
        <v>1</v>
      </c>
      <c r="F306" s="2" t="str">
        <f>IFERROR(__xludf.DUMMYFUNCTION("""COMPUTED_VALUE"""),"to")</f>
        <v>to</v>
      </c>
      <c r="G306" s="2">
        <f>IFERROR(__xludf.DUMMYFUNCTION("""COMPUTED_VALUE"""),2.0)</f>
        <v>2</v>
      </c>
    </row>
    <row r="307">
      <c r="A307" s="1" t="s">
        <v>173</v>
      </c>
      <c r="B307" s="2" t="str">
        <f>IFERROR(__xludf.DUMMYFUNCTION("SPLIT(A307, "" "")"),"move")</f>
        <v>move</v>
      </c>
      <c r="C307" s="2">
        <f>IFERROR(__xludf.DUMMYFUNCTION("""COMPUTED_VALUE"""),1.0)</f>
        <v>1</v>
      </c>
      <c r="D307" s="2" t="str">
        <f>IFERROR(__xludf.DUMMYFUNCTION("""COMPUTED_VALUE"""),"from")</f>
        <v>from</v>
      </c>
      <c r="E307" s="2">
        <f>IFERROR(__xludf.DUMMYFUNCTION("""COMPUTED_VALUE"""),6.0)</f>
        <v>6</v>
      </c>
      <c r="F307" s="2" t="str">
        <f>IFERROR(__xludf.DUMMYFUNCTION("""COMPUTED_VALUE"""),"to")</f>
        <v>to</v>
      </c>
      <c r="G307" s="2">
        <f>IFERROR(__xludf.DUMMYFUNCTION("""COMPUTED_VALUE"""),4.0)</f>
        <v>4</v>
      </c>
    </row>
    <row r="308">
      <c r="A308" s="1" t="s">
        <v>242</v>
      </c>
      <c r="B308" s="2" t="str">
        <f>IFERROR(__xludf.DUMMYFUNCTION("SPLIT(A308, "" "")"),"move")</f>
        <v>move</v>
      </c>
      <c r="C308" s="2">
        <f>IFERROR(__xludf.DUMMYFUNCTION("""COMPUTED_VALUE"""),5.0)</f>
        <v>5</v>
      </c>
      <c r="D308" s="2" t="str">
        <f>IFERROR(__xludf.DUMMYFUNCTION("""COMPUTED_VALUE"""),"from")</f>
        <v>from</v>
      </c>
      <c r="E308" s="2">
        <f>IFERROR(__xludf.DUMMYFUNCTION("""COMPUTED_VALUE"""),2.0)</f>
        <v>2</v>
      </c>
      <c r="F308" s="2" t="str">
        <f>IFERROR(__xludf.DUMMYFUNCTION("""COMPUTED_VALUE"""),"to")</f>
        <v>to</v>
      </c>
      <c r="G308" s="2">
        <f>IFERROR(__xludf.DUMMYFUNCTION("""COMPUTED_VALUE"""),7.0)</f>
        <v>7</v>
      </c>
    </row>
    <row r="309">
      <c r="A309" s="1" t="s">
        <v>123</v>
      </c>
      <c r="B309" s="2" t="str">
        <f>IFERROR(__xludf.DUMMYFUNCTION("SPLIT(A309, "" "")"),"move")</f>
        <v>move</v>
      </c>
      <c r="C309" s="2">
        <f>IFERROR(__xludf.DUMMYFUNCTION("""COMPUTED_VALUE"""),2.0)</f>
        <v>2</v>
      </c>
      <c r="D309" s="2" t="str">
        <f>IFERROR(__xludf.DUMMYFUNCTION("""COMPUTED_VALUE"""),"from")</f>
        <v>from</v>
      </c>
      <c r="E309" s="2">
        <f>IFERROR(__xludf.DUMMYFUNCTION("""COMPUTED_VALUE"""),2.0)</f>
        <v>2</v>
      </c>
      <c r="F309" s="2" t="str">
        <f>IFERROR(__xludf.DUMMYFUNCTION("""COMPUTED_VALUE"""),"to")</f>
        <v>to</v>
      </c>
      <c r="G309" s="2">
        <f>IFERROR(__xludf.DUMMYFUNCTION("""COMPUTED_VALUE"""),4.0)</f>
        <v>4</v>
      </c>
    </row>
    <row r="310">
      <c r="A310" s="1" t="s">
        <v>243</v>
      </c>
      <c r="B310" s="2" t="str">
        <f>IFERROR(__xludf.DUMMYFUNCTION("SPLIT(A310, "" "")"),"move")</f>
        <v>move</v>
      </c>
      <c r="C310" s="2">
        <f>IFERROR(__xludf.DUMMYFUNCTION("""COMPUTED_VALUE"""),10.0)</f>
        <v>10</v>
      </c>
      <c r="D310" s="2" t="str">
        <f>IFERROR(__xludf.DUMMYFUNCTION("""COMPUTED_VALUE"""),"from")</f>
        <v>from</v>
      </c>
      <c r="E310" s="2">
        <f>IFERROR(__xludf.DUMMYFUNCTION("""COMPUTED_VALUE"""),4.0)</f>
        <v>4</v>
      </c>
      <c r="F310" s="2" t="str">
        <f>IFERROR(__xludf.DUMMYFUNCTION("""COMPUTED_VALUE"""),"to")</f>
        <v>to</v>
      </c>
      <c r="G310" s="2">
        <f>IFERROR(__xludf.DUMMYFUNCTION("""COMPUTED_VALUE"""),7.0)</f>
        <v>7</v>
      </c>
    </row>
    <row r="311">
      <c r="A311" s="1" t="s">
        <v>90</v>
      </c>
      <c r="B311" s="2" t="str">
        <f>IFERROR(__xludf.DUMMYFUNCTION("SPLIT(A311, "" "")"),"move")</f>
        <v>move</v>
      </c>
      <c r="C311" s="2">
        <f>IFERROR(__xludf.DUMMYFUNCTION("""COMPUTED_VALUE"""),1.0)</f>
        <v>1</v>
      </c>
      <c r="D311" s="2" t="str">
        <f>IFERROR(__xludf.DUMMYFUNCTION("""COMPUTED_VALUE"""),"from")</f>
        <v>from</v>
      </c>
      <c r="E311" s="2">
        <f>IFERROR(__xludf.DUMMYFUNCTION("""COMPUTED_VALUE"""),6.0)</f>
        <v>6</v>
      </c>
      <c r="F311" s="2" t="str">
        <f>IFERROR(__xludf.DUMMYFUNCTION("""COMPUTED_VALUE"""),"to")</f>
        <v>to</v>
      </c>
      <c r="G311" s="2">
        <f>IFERROR(__xludf.DUMMYFUNCTION("""COMPUTED_VALUE"""),1.0)</f>
        <v>1</v>
      </c>
    </row>
    <row r="312">
      <c r="A312" s="1" t="s">
        <v>244</v>
      </c>
      <c r="B312" s="2" t="str">
        <f>IFERROR(__xludf.DUMMYFUNCTION("SPLIT(A312, "" "")"),"move")</f>
        <v>move</v>
      </c>
      <c r="C312" s="2">
        <f>IFERROR(__xludf.DUMMYFUNCTION("""COMPUTED_VALUE"""),22.0)</f>
        <v>22</v>
      </c>
      <c r="D312" s="2" t="str">
        <f>IFERROR(__xludf.DUMMYFUNCTION("""COMPUTED_VALUE"""),"from")</f>
        <v>from</v>
      </c>
      <c r="E312" s="2">
        <f>IFERROR(__xludf.DUMMYFUNCTION("""COMPUTED_VALUE"""),1.0)</f>
        <v>1</v>
      </c>
      <c r="F312" s="2" t="str">
        <f>IFERROR(__xludf.DUMMYFUNCTION("""COMPUTED_VALUE"""),"to")</f>
        <v>to</v>
      </c>
      <c r="G312" s="2">
        <f>IFERROR(__xludf.DUMMYFUNCTION("""COMPUTED_VALUE"""),2.0)</f>
        <v>2</v>
      </c>
    </row>
    <row r="313">
      <c r="A313" s="1" t="s">
        <v>90</v>
      </c>
      <c r="B313" s="2" t="str">
        <f>IFERROR(__xludf.DUMMYFUNCTION("SPLIT(A313, "" "")"),"move")</f>
        <v>move</v>
      </c>
      <c r="C313" s="2">
        <f>IFERROR(__xludf.DUMMYFUNCTION("""COMPUTED_VALUE"""),1.0)</f>
        <v>1</v>
      </c>
      <c r="D313" s="2" t="str">
        <f>IFERROR(__xludf.DUMMYFUNCTION("""COMPUTED_VALUE"""),"from")</f>
        <v>from</v>
      </c>
      <c r="E313" s="2">
        <f>IFERROR(__xludf.DUMMYFUNCTION("""COMPUTED_VALUE"""),6.0)</f>
        <v>6</v>
      </c>
      <c r="F313" s="2" t="str">
        <f>IFERROR(__xludf.DUMMYFUNCTION("""COMPUTED_VALUE"""),"to")</f>
        <v>to</v>
      </c>
      <c r="G313" s="2">
        <f>IFERROR(__xludf.DUMMYFUNCTION("""COMPUTED_VALUE"""),1.0)</f>
        <v>1</v>
      </c>
    </row>
    <row r="314">
      <c r="A314" s="1" t="s">
        <v>245</v>
      </c>
      <c r="B314" s="2" t="str">
        <f>IFERROR(__xludf.DUMMYFUNCTION("SPLIT(A314, "" "")"),"move")</f>
        <v>move</v>
      </c>
      <c r="C314" s="2">
        <f>IFERROR(__xludf.DUMMYFUNCTION("""COMPUTED_VALUE"""),6.0)</f>
        <v>6</v>
      </c>
      <c r="D314" s="2" t="str">
        <f>IFERROR(__xludf.DUMMYFUNCTION("""COMPUTED_VALUE"""),"from")</f>
        <v>from</v>
      </c>
      <c r="E314" s="2">
        <f>IFERROR(__xludf.DUMMYFUNCTION("""COMPUTED_VALUE"""),4.0)</f>
        <v>4</v>
      </c>
      <c r="F314" s="2" t="str">
        <f>IFERROR(__xludf.DUMMYFUNCTION("""COMPUTED_VALUE"""),"to")</f>
        <v>to</v>
      </c>
      <c r="G314" s="2">
        <f>IFERROR(__xludf.DUMMYFUNCTION("""COMPUTED_VALUE"""),7.0)</f>
        <v>7</v>
      </c>
    </row>
    <row r="315">
      <c r="A315" s="1" t="s">
        <v>133</v>
      </c>
      <c r="B315" s="2" t="str">
        <f>IFERROR(__xludf.DUMMYFUNCTION("SPLIT(A315, "" "")"),"move")</f>
        <v>move</v>
      </c>
      <c r="C315" s="2">
        <f>IFERROR(__xludf.DUMMYFUNCTION("""COMPUTED_VALUE"""),1.0)</f>
        <v>1</v>
      </c>
      <c r="D315" s="2" t="str">
        <f>IFERROR(__xludf.DUMMYFUNCTION("""COMPUTED_VALUE"""),"from")</f>
        <v>from</v>
      </c>
      <c r="E315" s="2">
        <f>IFERROR(__xludf.DUMMYFUNCTION("""COMPUTED_VALUE"""),5.0)</f>
        <v>5</v>
      </c>
      <c r="F315" s="2" t="str">
        <f>IFERROR(__xludf.DUMMYFUNCTION("""COMPUTED_VALUE"""),"to")</f>
        <v>to</v>
      </c>
      <c r="G315" s="2">
        <f>IFERROR(__xludf.DUMMYFUNCTION("""COMPUTED_VALUE"""),1.0)</f>
        <v>1</v>
      </c>
    </row>
    <row r="316">
      <c r="A316" s="1" t="s">
        <v>179</v>
      </c>
      <c r="B316" s="2" t="str">
        <f>IFERROR(__xludf.DUMMYFUNCTION("SPLIT(A316, "" "")"),"move")</f>
        <v>move</v>
      </c>
      <c r="C316" s="2">
        <f>IFERROR(__xludf.DUMMYFUNCTION("""COMPUTED_VALUE"""),1.0)</f>
        <v>1</v>
      </c>
      <c r="D316" s="2" t="str">
        <f>IFERROR(__xludf.DUMMYFUNCTION("""COMPUTED_VALUE"""),"from")</f>
        <v>from</v>
      </c>
      <c r="E316" s="2">
        <f>IFERROR(__xludf.DUMMYFUNCTION("""COMPUTED_VALUE"""),1.0)</f>
        <v>1</v>
      </c>
      <c r="F316" s="2" t="str">
        <f>IFERROR(__xludf.DUMMYFUNCTION("""COMPUTED_VALUE"""),"to")</f>
        <v>to</v>
      </c>
      <c r="G316" s="2">
        <f>IFERROR(__xludf.DUMMYFUNCTION("""COMPUTED_VALUE"""),2.0)</f>
        <v>2</v>
      </c>
    </row>
    <row r="317">
      <c r="A317" s="1" t="s">
        <v>246</v>
      </c>
      <c r="B317" s="2" t="str">
        <f>IFERROR(__xludf.DUMMYFUNCTION("SPLIT(A317, "" "")"),"move")</f>
        <v>move</v>
      </c>
      <c r="C317" s="2">
        <f>IFERROR(__xludf.DUMMYFUNCTION("""COMPUTED_VALUE"""),21.0)</f>
        <v>21</v>
      </c>
      <c r="D317" s="2" t="str">
        <f>IFERROR(__xludf.DUMMYFUNCTION("""COMPUTED_VALUE"""),"from")</f>
        <v>from</v>
      </c>
      <c r="E317" s="2">
        <f>IFERROR(__xludf.DUMMYFUNCTION("""COMPUTED_VALUE"""),7.0)</f>
        <v>7</v>
      </c>
      <c r="F317" s="2" t="str">
        <f>IFERROR(__xludf.DUMMYFUNCTION("""COMPUTED_VALUE"""),"to")</f>
        <v>to</v>
      </c>
      <c r="G317" s="2">
        <f>IFERROR(__xludf.DUMMYFUNCTION("""COMPUTED_VALUE"""),2.0)</f>
        <v>2</v>
      </c>
    </row>
    <row r="318">
      <c r="A318" s="1" t="s">
        <v>247</v>
      </c>
      <c r="B318" s="2" t="str">
        <f>IFERROR(__xludf.DUMMYFUNCTION("SPLIT(A318, "" "")"),"move")</f>
        <v>move</v>
      </c>
      <c r="C318" s="2">
        <f>IFERROR(__xludf.DUMMYFUNCTION("""COMPUTED_VALUE"""),38.0)</f>
        <v>38</v>
      </c>
      <c r="D318" s="2" t="str">
        <f>IFERROR(__xludf.DUMMYFUNCTION("""COMPUTED_VALUE"""),"from")</f>
        <v>from</v>
      </c>
      <c r="E318" s="2">
        <f>IFERROR(__xludf.DUMMYFUNCTION("""COMPUTED_VALUE"""),2.0)</f>
        <v>2</v>
      </c>
      <c r="F318" s="2" t="str">
        <f>IFERROR(__xludf.DUMMYFUNCTION("""COMPUTED_VALUE"""),"to")</f>
        <v>to</v>
      </c>
      <c r="G318" s="2">
        <f>IFERROR(__xludf.DUMMYFUNCTION("""COMPUTED_VALUE"""),3.0)</f>
        <v>3</v>
      </c>
    </row>
    <row r="319">
      <c r="A319" s="1" t="s">
        <v>248</v>
      </c>
      <c r="B319" s="2" t="str">
        <f>IFERROR(__xludf.DUMMYFUNCTION("SPLIT(A319, "" "")"),"move")</f>
        <v>move</v>
      </c>
      <c r="C319" s="2">
        <f>IFERROR(__xludf.DUMMYFUNCTION("""COMPUTED_VALUE"""),8.0)</f>
        <v>8</v>
      </c>
      <c r="D319" s="2" t="str">
        <f>IFERROR(__xludf.DUMMYFUNCTION("""COMPUTED_VALUE"""),"from")</f>
        <v>from</v>
      </c>
      <c r="E319" s="2">
        <f>IFERROR(__xludf.DUMMYFUNCTION("""COMPUTED_VALUE"""),2.0)</f>
        <v>2</v>
      </c>
      <c r="F319" s="2" t="str">
        <f>IFERROR(__xludf.DUMMYFUNCTION("""COMPUTED_VALUE"""),"to")</f>
        <v>to</v>
      </c>
      <c r="G319" s="2">
        <f>IFERROR(__xludf.DUMMYFUNCTION("""COMPUTED_VALUE"""),6.0)</f>
        <v>6</v>
      </c>
    </row>
    <row r="320">
      <c r="A320" s="1" t="s">
        <v>226</v>
      </c>
      <c r="B320" s="2" t="str">
        <f>IFERROR(__xludf.DUMMYFUNCTION("SPLIT(A320, "" "")"),"move")</f>
        <v>move</v>
      </c>
      <c r="C320" s="2">
        <f>IFERROR(__xludf.DUMMYFUNCTION("""COMPUTED_VALUE"""),2.0)</f>
        <v>2</v>
      </c>
      <c r="D320" s="2" t="str">
        <f>IFERROR(__xludf.DUMMYFUNCTION("""COMPUTED_VALUE"""),"from")</f>
        <v>from</v>
      </c>
      <c r="E320" s="2">
        <f>IFERROR(__xludf.DUMMYFUNCTION("""COMPUTED_VALUE"""),4.0)</f>
        <v>4</v>
      </c>
      <c r="F320" s="2" t="str">
        <f>IFERROR(__xludf.DUMMYFUNCTION("""COMPUTED_VALUE"""),"to")</f>
        <v>to</v>
      </c>
      <c r="G320" s="2">
        <f>IFERROR(__xludf.DUMMYFUNCTION("""COMPUTED_VALUE"""),8.0)</f>
        <v>8</v>
      </c>
    </row>
    <row r="321">
      <c r="A321" s="1" t="s">
        <v>86</v>
      </c>
      <c r="B321" s="2" t="str">
        <f>IFERROR(__xludf.DUMMYFUNCTION("SPLIT(A321, "" "")"),"move")</f>
        <v>move</v>
      </c>
      <c r="C321" s="2">
        <f>IFERROR(__xludf.DUMMYFUNCTION("""COMPUTED_VALUE"""),2.0)</f>
        <v>2</v>
      </c>
      <c r="D321" s="2" t="str">
        <f>IFERROR(__xludf.DUMMYFUNCTION("""COMPUTED_VALUE"""),"from")</f>
        <v>from</v>
      </c>
      <c r="E321" s="2">
        <f>IFERROR(__xludf.DUMMYFUNCTION("""COMPUTED_VALUE"""),8.0)</f>
        <v>8</v>
      </c>
      <c r="F321" s="2" t="str">
        <f>IFERROR(__xludf.DUMMYFUNCTION("""COMPUTED_VALUE"""),"to")</f>
        <v>to</v>
      </c>
      <c r="G321" s="2">
        <f>IFERROR(__xludf.DUMMYFUNCTION("""COMPUTED_VALUE"""),2.0)</f>
        <v>2</v>
      </c>
    </row>
    <row r="322">
      <c r="A322" s="1" t="s">
        <v>249</v>
      </c>
      <c r="B322" s="2" t="str">
        <f>IFERROR(__xludf.DUMMYFUNCTION("SPLIT(A322, "" "")"),"move")</f>
        <v>move</v>
      </c>
      <c r="C322" s="2">
        <f>IFERROR(__xludf.DUMMYFUNCTION("""COMPUTED_VALUE"""),1.0)</f>
        <v>1</v>
      </c>
      <c r="D322" s="2" t="str">
        <f>IFERROR(__xludf.DUMMYFUNCTION("""COMPUTED_VALUE"""),"from")</f>
        <v>from</v>
      </c>
      <c r="E322" s="2">
        <f>IFERROR(__xludf.DUMMYFUNCTION("""COMPUTED_VALUE"""),1.0)</f>
        <v>1</v>
      </c>
      <c r="F322" s="2" t="str">
        <f>IFERROR(__xludf.DUMMYFUNCTION("""COMPUTED_VALUE"""),"to")</f>
        <v>to</v>
      </c>
      <c r="G322" s="2">
        <f>IFERROR(__xludf.DUMMYFUNCTION("""COMPUTED_VALUE"""),3.0)</f>
        <v>3</v>
      </c>
    </row>
    <row r="323">
      <c r="A323" s="1" t="s">
        <v>77</v>
      </c>
      <c r="B323" s="2" t="str">
        <f>IFERROR(__xludf.DUMMYFUNCTION("SPLIT(A323, "" "")"),"move")</f>
        <v>move</v>
      </c>
      <c r="C323" s="2">
        <f>IFERROR(__xludf.DUMMYFUNCTION("""COMPUTED_VALUE"""),1.0)</f>
        <v>1</v>
      </c>
      <c r="D323" s="2" t="str">
        <f>IFERROR(__xludf.DUMMYFUNCTION("""COMPUTED_VALUE"""),"from")</f>
        <v>from</v>
      </c>
      <c r="E323" s="2">
        <f>IFERROR(__xludf.DUMMYFUNCTION("""COMPUTED_VALUE"""),2.0)</f>
        <v>2</v>
      </c>
      <c r="F323" s="2" t="str">
        <f>IFERROR(__xludf.DUMMYFUNCTION("""COMPUTED_VALUE"""),"to")</f>
        <v>to</v>
      </c>
      <c r="G323" s="2">
        <f>IFERROR(__xludf.DUMMYFUNCTION("""COMPUTED_VALUE"""),8.0)</f>
        <v>8</v>
      </c>
    </row>
    <row r="324">
      <c r="A324" s="1" t="s">
        <v>250</v>
      </c>
      <c r="B324" s="2" t="str">
        <f>IFERROR(__xludf.DUMMYFUNCTION("SPLIT(A324, "" "")"),"move")</f>
        <v>move</v>
      </c>
      <c r="C324" s="2">
        <f>IFERROR(__xludf.DUMMYFUNCTION("""COMPUTED_VALUE"""),1.0)</f>
        <v>1</v>
      </c>
      <c r="D324" s="2" t="str">
        <f>IFERROR(__xludf.DUMMYFUNCTION("""COMPUTED_VALUE"""),"from")</f>
        <v>from</v>
      </c>
      <c r="E324" s="2">
        <f>IFERROR(__xludf.DUMMYFUNCTION("""COMPUTED_VALUE"""),2.0)</f>
        <v>2</v>
      </c>
      <c r="F324" s="2" t="str">
        <f>IFERROR(__xludf.DUMMYFUNCTION("""COMPUTED_VALUE"""),"to")</f>
        <v>to</v>
      </c>
      <c r="G324" s="2">
        <f>IFERROR(__xludf.DUMMYFUNCTION("""COMPUTED_VALUE"""),5.0)</f>
        <v>5</v>
      </c>
    </row>
    <row r="325">
      <c r="A325" s="1" t="s">
        <v>251</v>
      </c>
      <c r="B325" s="2" t="str">
        <f>IFERROR(__xludf.DUMMYFUNCTION("SPLIT(A325, "" "")"),"move")</f>
        <v>move</v>
      </c>
      <c r="C325" s="2">
        <f>IFERROR(__xludf.DUMMYFUNCTION("""COMPUTED_VALUE"""),6.0)</f>
        <v>6</v>
      </c>
      <c r="D325" s="2" t="str">
        <f>IFERROR(__xludf.DUMMYFUNCTION("""COMPUTED_VALUE"""),"from")</f>
        <v>from</v>
      </c>
      <c r="E325" s="2">
        <f>IFERROR(__xludf.DUMMYFUNCTION("""COMPUTED_VALUE"""),6.0)</f>
        <v>6</v>
      </c>
      <c r="F325" s="2" t="str">
        <f>IFERROR(__xludf.DUMMYFUNCTION("""COMPUTED_VALUE"""),"to")</f>
        <v>to</v>
      </c>
      <c r="G325" s="2">
        <f>IFERROR(__xludf.DUMMYFUNCTION("""COMPUTED_VALUE"""),4.0)</f>
        <v>4</v>
      </c>
    </row>
    <row r="326">
      <c r="A326" s="1" t="s">
        <v>252</v>
      </c>
      <c r="B326" s="2" t="str">
        <f>IFERROR(__xludf.DUMMYFUNCTION("SPLIT(A326, "" "")"),"move")</f>
        <v>move</v>
      </c>
      <c r="C326" s="2">
        <f>IFERROR(__xludf.DUMMYFUNCTION("""COMPUTED_VALUE"""),2.0)</f>
        <v>2</v>
      </c>
      <c r="D326" s="2" t="str">
        <f>IFERROR(__xludf.DUMMYFUNCTION("""COMPUTED_VALUE"""),"from")</f>
        <v>from</v>
      </c>
      <c r="E326" s="2">
        <f>IFERROR(__xludf.DUMMYFUNCTION("""COMPUTED_VALUE"""),4.0)</f>
        <v>4</v>
      </c>
      <c r="F326" s="2" t="str">
        <f>IFERROR(__xludf.DUMMYFUNCTION("""COMPUTED_VALUE"""),"to")</f>
        <v>to</v>
      </c>
      <c r="G326" s="2">
        <f>IFERROR(__xludf.DUMMYFUNCTION("""COMPUTED_VALUE"""),2.0)</f>
        <v>2</v>
      </c>
    </row>
    <row r="327">
      <c r="A327" s="1" t="s">
        <v>213</v>
      </c>
      <c r="B327" s="2" t="str">
        <f>IFERROR(__xludf.DUMMYFUNCTION("SPLIT(A327, "" "")"),"move")</f>
        <v>move</v>
      </c>
      <c r="C327" s="2">
        <f>IFERROR(__xludf.DUMMYFUNCTION("""COMPUTED_VALUE"""),2.0)</f>
        <v>2</v>
      </c>
      <c r="D327" s="2" t="str">
        <f>IFERROR(__xludf.DUMMYFUNCTION("""COMPUTED_VALUE"""),"from")</f>
        <v>from</v>
      </c>
      <c r="E327" s="2">
        <f>IFERROR(__xludf.DUMMYFUNCTION("""COMPUTED_VALUE"""),2.0)</f>
        <v>2</v>
      </c>
      <c r="F327" s="2" t="str">
        <f>IFERROR(__xludf.DUMMYFUNCTION("""COMPUTED_VALUE"""),"to")</f>
        <v>to</v>
      </c>
      <c r="G327" s="2">
        <f>IFERROR(__xludf.DUMMYFUNCTION("""COMPUTED_VALUE"""),6.0)</f>
        <v>6</v>
      </c>
    </row>
    <row r="328">
      <c r="A328" s="1" t="s">
        <v>28</v>
      </c>
      <c r="B328" s="2" t="str">
        <f>IFERROR(__xludf.DUMMYFUNCTION("SPLIT(A328, "" "")"),"move")</f>
        <v>move</v>
      </c>
      <c r="C328" s="2">
        <f>IFERROR(__xludf.DUMMYFUNCTION("""COMPUTED_VALUE"""),1.0)</f>
        <v>1</v>
      </c>
      <c r="D328" s="2" t="str">
        <f>IFERROR(__xludf.DUMMYFUNCTION("""COMPUTED_VALUE"""),"from")</f>
        <v>from</v>
      </c>
      <c r="E328" s="2">
        <f>IFERROR(__xludf.DUMMYFUNCTION("""COMPUTED_VALUE"""),8.0)</f>
        <v>8</v>
      </c>
      <c r="F328" s="2" t="str">
        <f>IFERROR(__xludf.DUMMYFUNCTION("""COMPUTED_VALUE"""),"to")</f>
        <v>to</v>
      </c>
      <c r="G328" s="2">
        <f>IFERROR(__xludf.DUMMYFUNCTION("""COMPUTED_VALUE"""),2.0)</f>
        <v>2</v>
      </c>
    </row>
    <row r="329">
      <c r="A329" s="1" t="s">
        <v>253</v>
      </c>
      <c r="B329" s="2" t="str">
        <f>IFERROR(__xludf.DUMMYFUNCTION("SPLIT(A329, "" "")"),"move")</f>
        <v>move</v>
      </c>
      <c r="C329" s="2">
        <f>IFERROR(__xludf.DUMMYFUNCTION("""COMPUTED_VALUE"""),28.0)</f>
        <v>28</v>
      </c>
      <c r="D329" s="2" t="str">
        <f>IFERROR(__xludf.DUMMYFUNCTION("""COMPUTED_VALUE"""),"from")</f>
        <v>from</v>
      </c>
      <c r="E329" s="2">
        <f>IFERROR(__xludf.DUMMYFUNCTION("""COMPUTED_VALUE"""),3.0)</f>
        <v>3</v>
      </c>
      <c r="F329" s="2" t="str">
        <f>IFERROR(__xludf.DUMMYFUNCTION("""COMPUTED_VALUE"""),"to")</f>
        <v>to</v>
      </c>
      <c r="G329" s="2">
        <f>IFERROR(__xludf.DUMMYFUNCTION("""COMPUTED_VALUE"""),1.0)</f>
        <v>1</v>
      </c>
    </row>
    <row r="330">
      <c r="A330" s="1" t="s">
        <v>254</v>
      </c>
      <c r="B330" s="2" t="str">
        <f>IFERROR(__xludf.DUMMYFUNCTION("SPLIT(A330, "" "")"),"move")</f>
        <v>move</v>
      </c>
      <c r="C330" s="2">
        <f>IFERROR(__xludf.DUMMYFUNCTION("""COMPUTED_VALUE"""),11.0)</f>
        <v>11</v>
      </c>
      <c r="D330" s="2" t="str">
        <f>IFERROR(__xludf.DUMMYFUNCTION("""COMPUTED_VALUE"""),"from")</f>
        <v>from</v>
      </c>
      <c r="E330" s="2">
        <f>IFERROR(__xludf.DUMMYFUNCTION("""COMPUTED_VALUE"""),1.0)</f>
        <v>1</v>
      </c>
      <c r="F330" s="2" t="str">
        <f>IFERROR(__xludf.DUMMYFUNCTION("""COMPUTED_VALUE"""),"to")</f>
        <v>to</v>
      </c>
      <c r="G330" s="2">
        <f>IFERROR(__xludf.DUMMYFUNCTION("""COMPUTED_VALUE"""),2.0)</f>
        <v>2</v>
      </c>
    </row>
    <row r="331">
      <c r="A331" s="1" t="s">
        <v>255</v>
      </c>
      <c r="B331" s="2" t="str">
        <f>IFERROR(__xludf.DUMMYFUNCTION("SPLIT(A331, "" "")"),"move")</f>
        <v>move</v>
      </c>
      <c r="C331" s="2">
        <f>IFERROR(__xludf.DUMMYFUNCTION("""COMPUTED_VALUE"""),8.0)</f>
        <v>8</v>
      </c>
      <c r="D331" s="2" t="str">
        <f>IFERROR(__xludf.DUMMYFUNCTION("""COMPUTED_VALUE"""),"from")</f>
        <v>from</v>
      </c>
      <c r="E331" s="2">
        <f>IFERROR(__xludf.DUMMYFUNCTION("""COMPUTED_VALUE"""),1.0)</f>
        <v>1</v>
      </c>
      <c r="F331" s="2" t="str">
        <f>IFERROR(__xludf.DUMMYFUNCTION("""COMPUTED_VALUE"""),"to")</f>
        <v>to</v>
      </c>
      <c r="G331" s="2">
        <f>IFERROR(__xludf.DUMMYFUNCTION("""COMPUTED_VALUE"""),7.0)</f>
        <v>7</v>
      </c>
    </row>
    <row r="332">
      <c r="A332" s="1" t="s">
        <v>230</v>
      </c>
      <c r="B332" s="2" t="str">
        <f>IFERROR(__xludf.DUMMYFUNCTION("SPLIT(A332, "" "")"),"move")</f>
        <v>move</v>
      </c>
      <c r="C332" s="2">
        <f>IFERROR(__xludf.DUMMYFUNCTION("""COMPUTED_VALUE"""),4.0)</f>
        <v>4</v>
      </c>
      <c r="D332" s="2" t="str">
        <f>IFERROR(__xludf.DUMMYFUNCTION("""COMPUTED_VALUE"""),"from")</f>
        <v>from</v>
      </c>
      <c r="E332" s="2">
        <f>IFERROR(__xludf.DUMMYFUNCTION("""COMPUTED_VALUE"""),6.0)</f>
        <v>6</v>
      </c>
      <c r="F332" s="2" t="str">
        <f>IFERROR(__xludf.DUMMYFUNCTION("""COMPUTED_VALUE"""),"to")</f>
        <v>to</v>
      </c>
      <c r="G332" s="2">
        <f>IFERROR(__xludf.DUMMYFUNCTION("""COMPUTED_VALUE"""),4.0)</f>
        <v>4</v>
      </c>
    </row>
    <row r="333">
      <c r="A333" s="1" t="s">
        <v>256</v>
      </c>
      <c r="B333" s="2" t="str">
        <f>IFERROR(__xludf.DUMMYFUNCTION("SPLIT(A333, "" "")"),"move")</f>
        <v>move</v>
      </c>
      <c r="C333" s="2">
        <f>IFERROR(__xludf.DUMMYFUNCTION("""COMPUTED_VALUE"""),8.0)</f>
        <v>8</v>
      </c>
      <c r="D333" s="2" t="str">
        <f>IFERROR(__xludf.DUMMYFUNCTION("""COMPUTED_VALUE"""),"from")</f>
        <v>from</v>
      </c>
      <c r="E333" s="2">
        <f>IFERROR(__xludf.DUMMYFUNCTION("""COMPUTED_VALUE"""),3.0)</f>
        <v>3</v>
      </c>
      <c r="F333" s="2" t="str">
        <f>IFERROR(__xludf.DUMMYFUNCTION("""COMPUTED_VALUE"""),"to")</f>
        <v>to</v>
      </c>
      <c r="G333" s="2">
        <f>IFERROR(__xludf.DUMMYFUNCTION("""COMPUTED_VALUE"""),1.0)</f>
        <v>1</v>
      </c>
    </row>
    <row r="334">
      <c r="A334" s="1" t="s">
        <v>257</v>
      </c>
      <c r="B334" s="2" t="str">
        <f>IFERROR(__xludf.DUMMYFUNCTION("SPLIT(A334, "" "")"),"move")</f>
        <v>move</v>
      </c>
      <c r="C334" s="2">
        <f>IFERROR(__xludf.DUMMYFUNCTION("""COMPUTED_VALUE"""),8.0)</f>
        <v>8</v>
      </c>
      <c r="D334" s="2" t="str">
        <f>IFERROR(__xludf.DUMMYFUNCTION("""COMPUTED_VALUE"""),"from")</f>
        <v>from</v>
      </c>
      <c r="E334" s="2">
        <f>IFERROR(__xludf.DUMMYFUNCTION("""COMPUTED_VALUE"""),2.0)</f>
        <v>2</v>
      </c>
      <c r="F334" s="2" t="str">
        <f>IFERROR(__xludf.DUMMYFUNCTION("""COMPUTED_VALUE"""),"to")</f>
        <v>to</v>
      </c>
      <c r="G334" s="2">
        <f>IFERROR(__xludf.DUMMYFUNCTION("""COMPUTED_VALUE"""),5.0)</f>
        <v>5</v>
      </c>
    </row>
    <row r="335">
      <c r="A335" s="1" t="s">
        <v>258</v>
      </c>
      <c r="B335" s="2" t="str">
        <f>IFERROR(__xludf.DUMMYFUNCTION("SPLIT(A335, "" "")"),"move")</f>
        <v>move</v>
      </c>
      <c r="C335" s="2">
        <f>IFERROR(__xludf.DUMMYFUNCTION("""COMPUTED_VALUE"""),6.0)</f>
        <v>6</v>
      </c>
      <c r="D335" s="2" t="str">
        <f>IFERROR(__xludf.DUMMYFUNCTION("""COMPUTED_VALUE"""),"from")</f>
        <v>from</v>
      </c>
      <c r="E335" s="2">
        <f>IFERROR(__xludf.DUMMYFUNCTION("""COMPUTED_VALUE"""),5.0)</f>
        <v>5</v>
      </c>
      <c r="F335" s="2" t="str">
        <f>IFERROR(__xludf.DUMMYFUNCTION("""COMPUTED_VALUE"""),"to")</f>
        <v>to</v>
      </c>
      <c r="G335" s="2">
        <f>IFERROR(__xludf.DUMMYFUNCTION("""COMPUTED_VALUE"""),4.0)</f>
        <v>4</v>
      </c>
    </row>
    <row r="336">
      <c r="A336" s="1" t="s">
        <v>76</v>
      </c>
      <c r="B336" s="2" t="str">
        <f>IFERROR(__xludf.DUMMYFUNCTION("SPLIT(A336, "" "")"),"move")</f>
        <v>move</v>
      </c>
      <c r="C336" s="2">
        <f>IFERROR(__xludf.DUMMYFUNCTION("""COMPUTED_VALUE"""),2.0)</f>
        <v>2</v>
      </c>
      <c r="D336" s="2" t="str">
        <f>IFERROR(__xludf.DUMMYFUNCTION("""COMPUTED_VALUE"""),"from")</f>
        <v>from</v>
      </c>
      <c r="E336" s="2">
        <f>IFERROR(__xludf.DUMMYFUNCTION("""COMPUTED_VALUE"""),5.0)</f>
        <v>5</v>
      </c>
      <c r="F336" s="2" t="str">
        <f>IFERROR(__xludf.DUMMYFUNCTION("""COMPUTED_VALUE"""),"to")</f>
        <v>to</v>
      </c>
      <c r="G336" s="2">
        <f>IFERROR(__xludf.DUMMYFUNCTION("""COMPUTED_VALUE"""),4.0)</f>
        <v>4</v>
      </c>
    </row>
    <row r="337">
      <c r="A337" s="1" t="s">
        <v>259</v>
      </c>
      <c r="B337" s="2" t="str">
        <f>IFERROR(__xludf.DUMMYFUNCTION("SPLIT(A337, "" "")"),"move")</f>
        <v>move</v>
      </c>
      <c r="C337" s="2">
        <f>IFERROR(__xludf.DUMMYFUNCTION("""COMPUTED_VALUE"""),8.0)</f>
        <v>8</v>
      </c>
      <c r="D337" s="2" t="str">
        <f>IFERROR(__xludf.DUMMYFUNCTION("""COMPUTED_VALUE"""),"from")</f>
        <v>from</v>
      </c>
      <c r="E337" s="2">
        <f>IFERROR(__xludf.DUMMYFUNCTION("""COMPUTED_VALUE"""),3.0)</f>
        <v>3</v>
      </c>
      <c r="F337" s="2" t="str">
        <f>IFERROR(__xludf.DUMMYFUNCTION("""COMPUTED_VALUE"""),"to")</f>
        <v>to</v>
      </c>
      <c r="G337" s="2">
        <f>IFERROR(__xludf.DUMMYFUNCTION("""COMPUTED_VALUE"""),4.0)</f>
        <v>4</v>
      </c>
    </row>
    <row r="338">
      <c r="A338" s="1" t="s">
        <v>260</v>
      </c>
      <c r="B338" s="2" t="str">
        <f>IFERROR(__xludf.DUMMYFUNCTION("SPLIT(A338, "" "")"),"move")</f>
        <v>move</v>
      </c>
      <c r="C338" s="2">
        <f>IFERROR(__xludf.DUMMYFUNCTION("""COMPUTED_VALUE"""),22.0)</f>
        <v>22</v>
      </c>
      <c r="D338" s="2" t="str">
        <f>IFERROR(__xludf.DUMMYFUNCTION("""COMPUTED_VALUE"""),"from")</f>
        <v>from</v>
      </c>
      <c r="E338" s="2">
        <f>IFERROR(__xludf.DUMMYFUNCTION("""COMPUTED_VALUE"""),4.0)</f>
        <v>4</v>
      </c>
      <c r="F338" s="2" t="str">
        <f>IFERROR(__xludf.DUMMYFUNCTION("""COMPUTED_VALUE"""),"to")</f>
        <v>to</v>
      </c>
      <c r="G338" s="2">
        <f>IFERROR(__xludf.DUMMYFUNCTION("""COMPUTED_VALUE"""),1.0)</f>
        <v>1</v>
      </c>
    </row>
    <row r="339">
      <c r="A339" s="1" t="s">
        <v>261</v>
      </c>
      <c r="B339" s="2" t="str">
        <f>IFERROR(__xludf.DUMMYFUNCTION("SPLIT(A339, "" "")"),"move")</f>
        <v>move</v>
      </c>
      <c r="C339" s="2">
        <f>IFERROR(__xludf.DUMMYFUNCTION("""COMPUTED_VALUE"""),2.0)</f>
        <v>2</v>
      </c>
      <c r="D339" s="2" t="str">
        <f>IFERROR(__xludf.DUMMYFUNCTION("""COMPUTED_VALUE"""),"from")</f>
        <v>from</v>
      </c>
      <c r="E339" s="2">
        <f>IFERROR(__xludf.DUMMYFUNCTION("""COMPUTED_VALUE"""),3.0)</f>
        <v>3</v>
      </c>
      <c r="F339" s="2" t="str">
        <f>IFERROR(__xludf.DUMMYFUNCTION("""COMPUTED_VALUE"""),"to")</f>
        <v>to</v>
      </c>
      <c r="G339" s="2">
        <f>IFERROR(__xludf.DUMMYFUNCTION("""COMPUTED_VALUE"""),5.0)</f>
        <v>5</v>
      </c>
    </row>
    <row r="340">
      <c r="A340" s="1" t="s">
        <v>262</v>
      </c>
      <c r="B340" s="2" t="str">
        <f>IFERROR(__xludf.DUMMYFUNCTION("SPLIT(A340, "" "")"),"move")</f>
        <v>move</v>
      </c>
      <c r="C340" s="2">
        <f>IFERROR(__xludf.DUMMYFUNCTION("""COMPUTED_VALUE"""),33.0)</f>
        <v>33</v>
      </c>
      <c r="D340" s="2" t="str">
        <f>IFERROR(__xludf.DUMMYFUNCTION("""COMPUTED_VALUE"""),"from")</f>
        <v>from</v>
      </c>
      <c r="E340" s="2">
        <f>IFERROR(__xludf.DUMMYFUNCTION("""COMPUTED_VALUE"""),1.0)</f>
        <v>1</v>
      </c>
      <c r="F340" s="2" t="str">
        <f>IFERROR(__xludf.DUMMYFUNCTION("""COMPUTED_VALUE"""),"to")</f>
        <v>to</v>
      </c>
      <c r="G340" s="2">
        <f>IFERROR(__xludf.DUMMYFUNCTION("""COMPUTED_VALUE"""),5.0)</f>
        <v>5</v>
      </c>
    </row>
    <row r="341">
      <c r="A341" s="1" t="s">
        <v>263</v>
      </c>
      <c r="B341" s="2" t="str">
        <f>IFERROR(__xludf.DUMMYFUNCTION("SPLIT(A341, "" "")"),"move")</f>
        <v>move</v>
      </c>
      <c r="C341" s="2">
        <f>IFERROR(__xludf.DUMMYFUNCTION("""COMPUTED_VALUE"""),26.0)</f>
        <v>26</v>
      </c>
      <c r="D341" s="2" t="str">
        <f>IFERROR(__xludf.DUMMYFUNCTION("""COMPUTED_VALUE"""),"from")</f>
        <v>from</v>
      </c>
      <c r="E341" s="2">
        <f>IFERROR(__xludf.DUMMYFUNCTION("""COMPUTED_VALUE"""),5.0)</f>
        <v>5</v>
      </c>
      <c r="F341" s="2" t="str">
        <f>IFERROR(__xludf.DUMMYFUNCTION("""COMPUTED_VALUE"""),"to")</f>
        <v>to</v>
      </c>
      <c r="G341" s="2">
        <f>IFERROR(__xludf.DUMMYFUNCTION("""COMPUTED_VALUE"""),6.0)</f>
        <v>6</v>
      </c>
    </row>
    <row r="342">
      <c r="A342" s="1" t="s">
        <v>264</v>
      </c>
      <c r="B342" s="2" t="str">
        <f>IFERROR(__xludf.DUMMYFUNCTION("SPLIT(A342, "" "")"),"move")</f>
        <v>move</v>
      </c>
      <c r="C342" s="2">
        <f>IFERROR(__xludf.DUMMYFUNCTION("""COMPUTED_VALUE"""),4.0)</f>
        <v>4</v>
      </c>
      <c r="D342" s="2" t="str">
        <f>IFERROR(__xludf.DUMMYFUNCTION("""COMPUTED_VALUE"""),"from")</f>
        <v>from</v>
      </c>
      <c r="E342" s="2">
        <f>IFERROR(__xludf.DUMMYFUNCTION("""COMPUTED_VALUE"""),5.0)</f>
        <v>5</v>
      </c>
      <c r="F342" s="2" t="str">
        <f>IFERROR(__xludf.DUMMYFUNCTION("""COMPUTED_VALUE"""),"to")</f>
        <v>to</v>
      </c>
      <c r="G342" s="2">
        <f>IFERROR(__xludf.DUMMYFUNCTION("""COMPUTED_VALUE"""),7.0)</f>
        <v>7</v>
      </c>
    </row>
    <row r="343">
      <c r="A343" s="1" t="s">
        <v>46</v>
      </c>
      <c r="B343" s="2" t="str">
        <f>IFERROR(__xludf.DUMMYFUNCTION("SPLIT(A343, "" "")"),"move")</f>
        <v>move</v>
      </c>
      <c r="C343" s="2">
        <f>IFERROR(__xludf.DUMMYFUNCTION("""COMPUTED_VALUE"""),2.0)</f>
        <v>2</v>
      </c>
      <c r="D343" s="2" t="str">
        <f>IFERROR(__xludf.DUMMYFUNCTION("""COMPUTED_VALUE"""),"from")</f>
        <v>from</v>
      </c>
      <c r="E343" s="2">
        <f>IFERROR(__xludf.DUMMYFUNCTION("""COMPUTED_VALUE"""),2.0)</f>
        <v>2</v>
      </c>
      <c r="F343" s="2" t="str">
        <f>IFERROR(__xludf.DUMMYFUNCTION("""COMPUTED_VALUE"""),"to")</f>
        <v>to</v>
      </c>
      <c r="G343" s="2">
        <f>IFERROR(__xludf.DUMMYFUNCTION("""COMPUTED_VALUE"""),7.0)</f>
        <v>7</v>
      </c>
    </row>
    <row r="344">
      <c r="A344" s="1" t="s">
        <v>48</v>
      </c>
      <c r="B344" s="2" t="str">
        <f>IFERROR(__xludf.DUMMYFUNCTION("SPLIT(A344, "" "")"),"move")</f>
        <v>move</v>
      </c>
      <c r="C344" s="2">
        <f>IFERROR(__xludf.DUMMYFUNCTION("""COMPUTED_VALUE"""),2.0)</f>
        <v>2</v>
      </c>
      <c r="D344" s="2" t="str">
        <f>IFERROR(__xludf.DUMMYFUNCTION("""COMPUTED_VALUE"""),"from")</f>
        <v>from</v>
      </c>
      <c r="E344" s="2">
        <f>IFERROR(__xludf.DUMMYFUNCTION("""COMPUTED_VALUE"""),7.0)</f>
        <v>7</v>
      </c>
      <c r="F344" s="2" t="str">
        <f>IFERROR(__xludf.DUMMYFUNCTION("""COMPUTED_VALUE"""),"to")</f>
        <v>to</v>
      </c>
      <c r="G344" s="2">
        <f>IFERROR(__xludf.DUMMYFUNCTION("""COMPUTED_VALUE"""),2.0)</f>
        <v>2</v>
      </c>
    </row>
    <row r="345">
      <c r="A345" s="1" t="s">
        <v>57</v>
      </c>
      <c r="B345" s="2" t="str">
        <f>IFERROR(__xludf.DUMMYFUNCTION("SPLIT(A345, "" "")"),"move")</f>
        <v>move</v>
      </c>
      <c r="C345" s="2">
        <f>IFERROR(__xludf.DUMMYFUNCTION("""COMPUTED_VALUE"""),2.0)</f>
        <v>2</v>
      </c>
      <c r="D345" s="2" t="str">
        <f>IFERROR(__xludf.DUMMYFUNCTION("""COMPUTED_VALUE"""),"from")</f>
        <v>from</v>
      </c>
      <c r="E345" s="2">
        <f>IFERROR(__xludf.DUMMYFUNCTION("""COMPUTED_VALUE"""),7.0)</f>
        <v>7</v>
      </c>
      <c r="F345" s="2" t="str">
        <f>IFERROR(__xludf.DUMMYFUNCTION("""COMPUTED_VALUE"""),"to")</f>
        <v>to</v>
      </c>
      <c r="G345" s="2">
        <f>IFERROR(__xludf.DUMMYFUNCTION("""COMPUTED_VALUE"""),8.0)</f>
        <v>8</v>
      </c>
    </row>
    <row r="346">
      <c r="A346" s="1" t="s">
        <v>79</v>
      </c>
      <c r="B346" s="2" t="str">
        <f>IFERROR(__xludf.DUMMYFUNCTION("SPLIT(A346, "" "")"),"move")</f>
        <v>move</v>
      </c>
      <c r="C346" s="2">
        <f>IFERROR(__xludf.DUMMYFUNCTION("""COMPUTED_VALUE"""),2.0)</f>
        <v>2</v>
      </c>
      <c r="D346" s="2" t="str">
        <f>IFERROR(__xludf.DUMMYFUNCTION("""COMPUTED_VALUE"""),"from")</f>
        <v>from</v>
      </c>
      <c r="E346" s="2">
        <f>IFERROR(__xludf.DUMMYFUNCTION("""COMPUTED_VALUE"""),8.0)</f>
        <v>8</v>
      </c>
      <c r="F346" s="2" t="str">
        <f>IFERROR(__xludf.DUMMYFUNCTION("""COMPUTED_VALUE"""),"to")</f>
        <v>to</v>
      </c>
      <c r="G346" s="2">
        <f>IFERROR(__xludf.DUMMYFUNCTION("""COMPUTED_VALUE"""),3.0)</f>
        <v>3</v>
      </c>
    </row>
    <row r="347">
      <c r="A347" s="1" t="s">
        <v>6</v>
      </c>
      <c r="B347" s="2" t="str">
        <f>IFERROR(__xludf.DUMMYFUNCTION("SPLIT(A347, "" "")"),"move")</f>
        <v>move</v>
      </c>
      <c r="C347" s="2">
        <f>IFERROR(__xludf.DUMMYFUNCTION("""COMPUTED_VALUE"""),6.0)</f>
        <v>6</v>
      </c>
      <c r="D347" s="2" t="str">
        <f>IFERROR(__xludf.DUMMYFUNCTION("""COMPUTED_VALUE"""),"from")</f>
        <v>from</v>
      </c>
      <c r="E347" s="2">
        <f>IFERROR(__xludf.DUMMYFUNCTION("""COMPUTED_VALUE"""),1.0)</f>
        <v>1</v>
      </c>
      <c r="F347" s="2" t="str">
        <f>IFERROR(__xludf.DUMMYFUNCTION("""COMPUTED_VALUE"""),"to")</f>
        <v>to</v>
      </c>
      <c r="G347" s="2">
        <f>IFERROR(__xludf.DUMMYFUNCTION("""COMPUTED_VALUE"""),3.0)</f>
        <v>3</v>
      </c>
    </row>
    <row r="348">
      <c r="A348" s="1" t="s">
        <v>265</v>
      </c>
      <c r="B348" s="2" t="str">
        <f>IFERROR(__xludf.DUMMYFUNCTION("SPLIT(A348, "" "")"),"move")</f>
        <v>move</v>
      </c>
      <c r="C348" s="2">
        <f>IFERROR(__xludf.DUMMYFUNCTION("""COMPUTED_VALUE"""),5.0)</f>
        <v>5</v>
      </c>
      <c r="D348" s="2" t="str">
        <f>IFERROR(__xludf.DUMMYFUNCTION("""COMPUTED_VALUE"""),"from")</f>
        <v>from</v>
      </c>
      <c r="E348" s="2">
        <f>IFERROR(__xludf.DUMMYFUNCTION("""COMPUTED_VALUE"""),5.0)</f>
        <v>5</v>
      </c>
      <c r="F348" s="2" t="str">
        <f>IFERROR(__xludf.DUMMYFUNCTION("""COMPUTED_VALUE"""),"to")</f>
        <v>to</v>
      </c>
      <c r="G348" s="2">
        <f>IFERROR(__xludf.DUMMYFUNCTION("""COMPUTED_VALUE"""),1.0)</f>
        <v>1</v>
      </c>
    </row>
    <row r="349">
      <c r="A349" s="1" t="s">
        <v>11</v>
      </c>
      <c r="B349" s="2" t="str">
        <f>IFERROR(__xludf.DUMMYFUNCTION("SPLIT(A349, "" "")"),"move")</f>
        <v>move</v>
      </c>
      <c r="C349" s="2">
        <f>IFERROR(__xludf.DUMMYFUNCTION("""COMPUTED_VALUE"""),1.0)</f>
        <v>1</v>
      </c>
      <c r="D349" s="2" t="str">
        <f>IFERROR(__xludf.DUMMYFUNCTION("""COMPUTED_VALUE"""),"from")</f>
        <v>from</v>
      </c>
      <c r="E349" s="2">
        <f>IFERROR(__xludf.DUMMYFUNCTION("""COMPUTED_VALUE"""),5.0)</f>
        <v>5</v>
      </c>
      <c r="F349" s="2" t="str">
        <f>IFERROR(__xludf.DUMMYFUNCTION("""COMPUTED_VALUE"""),"to")</f>
        <v>to</v>
      </c>
      <c r="G349" s="2">
        <f>IFERROR(__xludf.DUMMYFUNCTION("""COMPUTED_VALUE"""),7.0)</f>
        <v>7</v>
      </c>
    </row>
    <row r="350">
      <c r="A350" s="1" t="s">
        <v>266</v>
      </c>
      <c r="B350" s="2" t="str">
        <f>IFERROR(__xludf.DUMMYFUNCTION("SPLIT(A350, "" "")"),"move")</f>
        <v>move</v>
      </c>
      <c r="C350" s="2">
        <f>IFERROR(__xludf.DUMMYFUNCTION("""COMPUTED_VALUE"""),7.0)</f>
        <v>7</v>
      </c>
      <c r="D350" s="2" t="str">
        <f>IFERROR(__xludf.DUMMYFUNCTION("""COMPUTED_VALUE"""),"from")</f>
        <v>from</v>
      </c>
      <c r="E350" s="2">
        <f>IFERROR(__xludf.DUMMYFUNCTION("""COMPUTED_VALUE"""),7.0)</f>
        <v>7</v>
      </c>
      <c r="F350" s="2" t="str">
        <f>IFERROR(__xludf.DUMMYFUNCTION("""COMPUTED_VALUE"""),"to")</f>
        <v>to</v>
      </c>
      <c r="G350" s="2">
        <f>IFERROR(__xludf.DUMMYFUNCTION("""COMPUTED_VALUE"""),5.0)</f>
        <v>5</v>
      </c>
    </row>
    <row r="351">
      <c r="A351" s="1" t="s">
        <v>267</v>
      </c>
      <c r="B351" s="2" t="str">
        <f>IFERROR(__xludf.DUMMYFUNCTION("SPLIT(A351, "" "")"),"move")</f>
        <v>move</v>
      </c>
      <c r="C351" s="2">
        <f>IFERROR(__xludf.DUMMYFUNCTION("""COMPUTED_VALUE"""),4.0)</f>
        <v>4</v>
      </c>
      <c r="D351" s="2" t="str">
        <f>IFERROR(__xludf.DUMMYFUNCTION("""COMPUTED_VALUE"""),"from")</f>
        <v>from</v>
      </c>
      <c r="E351" s="2">
        <f>IFERROR(__xludf.DUMMYFUNCTION("""COMPUTED_VALUE"""),5.0)</f>
        <v>5</v>
      </c>
      <c r="F351" s="2" t="str">
        <f>IFERROR(__xludf.DUMMYFUNCTION("""COMPUTED_VALUE"""),"to")</f>
        <v>to</v>
      </c>
      <c r="G351" s="2">
        <f>IFERROR(__xludf.DUMMYFUNCTION("""COMPUTED_VALUE"""),6.0)</f>
        <v>6</v>
      </c>
    </row>
    <row r="352">
      <c r="A352" s="1" t="s">
        <v>268</v>
      </c>
      <c r="B352" s="2" t="str">
        <f>IFERROR(__xludf.DUMMYFUNCTION("SPLIT(A352, "" "")"),"move")</f>
        <v>move</v>
      </c>
      <c r="C352" s="2">
        <f>IFERROR(__xludf.DUMMYFUNCTION("""COMPUTED_VALUE"""),5.0)</f>
        <v>5</v>
      </c>
      <c r="D352" s="2" t="str">
        <f>IFERROR(__xludf.DUMMYFUNCTION("""COMPUTED_VALUE"""),"from")</f>
        <v>from</v>
      </c>
      <c r="E352" s="2">
        <f>IFERROR(__xludf.DUMMYFUNCTION("""COMPUTED_VALUE"""),1.0)</f>
        <v>1</v>
      </c>
      <c r="F352" s="2" t="str">
        <f>IFERROR(__xludf.DUMMYFUNCTION("""COMPUTED_VALUE"""),"to")</f>
        <v>to</v>
      </c>
      <c r="G352" s="2">
        <f>IFERROR(__xludf.DUMMYFUNCTION("""COMPUTED_VALUE"""),8.0)</f>
        <v>8</v>
      </c>
    </row>
    <row r="353">
      <c r="A353" s="1" t="s">
        <v>269</v>
      </c>
      <c r="B353" s="2" t="str">
        <f>IFERROR(__xludf.DUMMYFUNCTION("SPLIT(A353, "" "")"),"move")</f>
        <v>move</v>
      </c>
      <c r="C353" s="2">
        <f>IFERROR(__xludf.DUMMYFUNCTION("""COMPUTED_VALUE"""),4.0)</f>
        <v>4</v>
      </c>
      <c r="D353" s="2" t="str">
        <f>IFERROR(__xludf.DUMMYFUNCTION("""COMPUTED_VALUE"""),"from")</f>
        <v>from</v>
      </c>
      <c r="E353" s="2">
        <f>IFERROR(__xludf.DUMMYFUNCTION("""COMPUTED_VALUE"""),2.0)</f>
        <v>2</v>
      </c>
      <c r="F353" s="2" t="str">
        <f>IFERROR(__xludf.DUMMYFUNCTION("""COMPUTED_VALUE"""),"to")</f>
        <v>to</v>
      </c>
      <c r="G353" s="2">
        <f>IFERROR(__xludf.DUMMYFUNCTION("""COMPUTED_VALUE"""),4.0)</f>
        <v>4</v>
      </c>
    </row>
    <row r="354">
      <c r="A354" s="1" t="s">
        <v>68</v>
      </c>
      <c r="B354" s="2" t="str">
        <f>IFERROR(__xludf.DUMMYFUNCTION("SPLIT(A354, "" "")"),"move")</f>
        <v>move</v>
      </c>
      <c r="C354" s="2">
        <f>IFERROR(__xludf.DUMMYFUNCTION("""COMPUTED_VALUE"""),2.0)</f>
        <v>2</v>
      </c>
      <c r="D354" s="2" t="str">
        <f>IFERROR(__xludf.DUMMYFUNCTION("""COMPUTED_VALUE"""),"from")</f>
        <v>from</v>
      </c>
      <c r="E354" s="2">
        <f>IFERROR(__xludf.DUMMYFUNCTION("""COMPUTED_VALUE"""),7.0)</f>
        <v>7</v>
      </c>
      <c r="F354" s="2" t="str">
        <f>IFERROR(__xludf.DUMMYFUNCTION("""COMPUTED_VALUE"""),"to")</f>
        <v>to</v>
      </c>
      <c r="G354" s="2">
        <f>IFERROR(__xludf.DUMMYFUNCTION("""COMPUTED_VALUE"""),4.0)</f>
        <v>4</v>
      </c>
    </row>
    <row r="355">
      <c r="A355" s="1" t="s">
        <v>270</v>
      </c>
      <c r="B355" s="2" t="str">
        <f>IFERROR(__xludf.DUMMYFUNCTION("SPLIT(A355, "" "")"),"move")</f>
        <v>move</v>
      </c>
      <c r="C355" s="2">
        <f>IFERROR(__xludf.DUMMYFUNCTION("""COMPUTED_VALUE"""),2.0)</f>
        <v>2</v>
      </c>
      <c r="D355" s="2" t="str">
        <f>IFERROR(__xludf.DUMMYFUNCTION("""COMPUTED_VALUE"""),"from")</f>
        <v>from</v>
      </c>
      <c r="E355" s="2">
        <f>IFERROR(__xludf.DUMMYFUNCTION("""COMPUTED_VALUE"""),7.0)</f>
        <v>7</v>
      </c>
      <c r="F355" s="2" t="str">
        <f>IFERROR(__xludf.DUMMYFUNCTION("""COMPUTED_VALUE"""),"to")</f>
        <v>to</v>
      </c>
      <c r="G355" s="2">
        <f>IFERROR(__xludf.DUMMYFUNCTION("""COMPUTED_VALUE"""),3.0)</f>
        <v>3</v>
      </c>
    </row>
    <row r="356">
      <c r="A356" s="1" t="s">
        <v>143</v>
      </c>
      <c r="B356" s="2" t="str">
        <f>IFERROR(__xludf.DUMMYFUNCTION("SPLIT(A356, "" "")"),"move")</f>
        <v>move</v>
      </c>
      <c r="C356" s="2">
        <f>IFERROR(__xludf.DUMMYFUNCTION("""COMPUTED_VALUE"""),5.0)</f>
        <v>5</v>
      </c>
      <c r="D356" s="2" t="str">
        <f>IFERROR(__xludf.DUMMYFUNCTION("""COMPUTED_VALUE"""),"from")</f>
        <v>from</v>
      </c>
      <c r="E356" s="2">
        <f>IFERROR(__xludf.DUMMYFUNCTION("""COMPUTED_VALUE"""),4.0)</f>
        <v>4</v>
      </c>
      <c r="F356" s="2" t="str">
        <f>IFERROR(__xludf.DUMMYFUNCTION("""COMPUTED_VALUE"""),"to")</f>
        <v>to</v>
      </c>
      <c r="G356" s="2">
        <f>IFERROR(__xludf.DUMMYFUNCTION("""COMPUTED_VALUE"""),6.0)</f>
        <v>6</v>
      </c>
    </row>
    <row r="357">
      <c r="A357" s="1" t="s">
        <v>28</v>
      </c>
      <c r="B357" s="2" t="str">
        <f>IFERROR(__xludf.DUMMYFUNCTION("SPLIT(A357, "" "")"),"move")</f>
        <v>move</v>
      </c>
      <c r="C357" s="2">
        <f>IFERROR(__xludf.DUMMYFUNCTION("""COMPUTED_VALUE"""),1.0)</f>
        <v>1</v>
      </c>
      <c r="D357" s="2" t="str">
        <f>IFERROR(__xludf.DUMMYFUNCTION("""COMPUTED_VALUE"""),"from")</f>
        <v>from</v>
      </c>
      <c r="E357" s="2">
        <f>IFERROR(__xludf.DUMMYFUNCTION("""COMPUTED_VALUE"""),8.0)</f>
        <v>8</v>
      </c>
      <c r="F357" s="2" t="str">
        <f>IFERROR(__xludf.DUMMYFUNCTION("""COMPUTED_VALUE"""),"to")</f>
        <v>to</v>
      </c>
      <c r="G357" s="2">
        <f>IFERROR(__xludf.DUMMYFUNCTION("""COMPUTED_VALUE"""),2.0)</f>
        <v>2</v>
      </c>
    </row>
    <row r="358">
      <c r="A358" s="1" t="s">
        <v>225</v>
      </c>
      <c r="B358" s="2" t="str">
        <f>IFERROR(__xludf.DUMMYFUNCTION("SPLIT(A358, "" "")"),"move")</f>
        <v>move</v>
      </c>
      <c r="C358" s="2">
        <f>IFERROR(__xludf.DUMMYFUNCTION("""COMPUTED_VALUE"""),1.0)</f>
        <v>1</v>
      </c>
      <c r="D358" s="2" t="str">
        <f>IFERROR(__xludf.DUMMYFUNCTION("""COMPUTED_VALUE"""),"from")</f>
        <v>from</v>
      </c>
      <c r="E358" s="2">
        <f>IFERROR(__xludf.DUMMYFUNCTION("""COMPUTED_VALUE"""),2.0)</f>
        <v>2</v>
      </c>
      <c r="F358" s="2" t="str">
        <f>IFERROR(__xludf.DUMMYFUNCTION("""COMPUTED_VALUE"""),"to")</f>
        <v>to</v>
      </c>
      <c r="G358" s="2">
        <f>IFERROR(__xludf.DUMMYFUNCTION("""COMPUTED_VALUE"""),4.0)</f>
        <v>4</v>
      </c>
    </row>
    <row r="359">
      <c r="A359" s="1" t="s">
        <v>271</v>
      </c>
      <c r="B359" s="2" t="str">
        <f>IFERROR(__xludf.DUMMYFUNCTION("SPLIT(A359, "" "")"),"move")</f>
        <v>move</v>
      </c>
      <c r="C359" s="2">
        <f>IFERROR(__xludf.DUMMYFUNCTION("""COMPUTED_VALUE"""),10.0)</f>
        <v>10</v>
      </c>
      <c r="D359" s="2" t="str">
        <f>IFERROR(__xludf.DUMMYFUNCTION("""COMPUTED_VALUE"""),"from")</f>
        <v>from</v>
      </c>
      <c r="E359" s="2">
        <f>IFERROR(__xludf.DUMMYFUNCTION("""COMPUTED_VALUE"""),3.0)</f>
        <v>3</v>
      </c>
      <c r="F359" s="2" t="str">
        <f>IFERROR(__xludf.DUMMYFUNCTION("""COMPUTED_VALUE"""),"to")</f>
        <v>to</v>
      </c>
      <c r="G359" s="2">
        <f>IFERROR(__xludf.DUMMYFUNCTION("""COMPUTED_VALUE"""),6.0)</f>
        <v>6</v>
      </c>
    </row>
    <row r="360">
      <c r="A360" s="1" t="s">
        <v>272</v>
      </c>
      <c r="B360" s="2" t="str">
        <f>IFERROR(__xludf.DUMMYFUNCTION("SPLIT(A360, "" "")"),"move")</f>
        <v>move</v>
      </c>
      <c r="C360" s="2">
        <f>IFERROR(__xludf.DUMMYFUNCTION("""COMPUTED_VALUE"""),44.0)</f>
        <v>44</v>
      </c>
      <c r="D360" s="2" t="str">
        <f>IFERROR(__xludf.DUMMYFUNCTION("""COMPUTED_VALUE"""),"from")</f>
        <v>from</v>
      </c>
      <c r="E360" s="2">
        <f>IFERROR(__xludf.DUMMYFUNCTION("""COMPUTED_VALUE"""),6.0)</f>
        <v>6</v>
      </c>
      <c r="F360" s="2" t="str">
        <f>IFERROR(__xludf.DUMMYFUNCTION("""COMPUTED_VALUE"""),"to")</f>
        <v>to</v>
      </c>
      <c r="G360" s="2">
        <f>IFERROR(__xludf.DUMMYFUNCTION("""COMPUTED_VALUE"""),9.0)</f>
        <v>9</v>
      </c>
    </row>
    <row r="361">
      <c r="A361" s="1" t="s">
        <v>273</v>
      </c>
      <c r="B361" s="2" t="str">
        <f>IFERROR(__xludf.DUMMYFUNCTION("SPLIT(A361, "" "")"),"move")</f>
        <v>move</v>
      </c>
      <c r="C361" s="2">
        <f>IFERROR(__xludf.DUMMYFUNCTION("""COMPUTED_VALUE"""),2.0)</f>
        <v>2</v>
      </c>
      <c r="D361" s="2" t="str">
        <f>IFERROR(__xludf.DUMMYFUNCTION("""COMPUTED_VALUE"""),"from")</f>
        <v>from</v>
      </c>
      <c r="E361" s="2">
        <f>IFERROR(__xludf.DUMMYFUNCTION("""COMPUTED_VALUE"""),5.0)</f>
        <v>5</v>
      </c>
      <c r="F361" s="2" t="str">
        <f>IFERROR(__xludf.DUMMYFUNCTION("""COMPUTED_VALUE"""),"to")</f>
        <v>to</v>
      </c>
      <c r="G361" s="2">
        <f>IFERROR(__xludf.DUMMYFUNCTION("""COMPUTED_VALUE"""),7.0)</f>
        <v>7</v>
      </c>
    </row>
    <row r="362">
      <c r="A362" s="1" t="s">
        <v>42</v>
      </c>
      <c r="B362" s="2" t="str">
        <f>IFERROR(__xludf.DUMMYFUNCTION("SPLIT(A362, "" "")"),"move")</f>
        <v>move</v>
      </c>
      <c r="C362" s="2">
        <f>IFERROR(__xludf.DUMMYFUNCTION("""COMPUTED_VALUE"""),1.0)</f>
        <v>1</v>
      </c>
      <c r="D362" s="2" t="str">
        <f>IFERROR(__xludf.DUMMYFUNCTION("""COMPUTED_VALUE"""),"from")</f>
        <v>from</v>
      </c>
      <c r="E362" s="2">
        <f>IFERROR(__xludf.DUMMYFUNCTION("""COMPUTED_VALUE"""),5.0)</f>
        <v>5</v>
      </c>
      <c r="F362" s="2" t="str">
        <f>IFERROR(__xludf.DUMMYFUNCTION("""COMPUTED_VALUE"""),"to")</f>
        <v>to</v>
      </c>
      <c r="G362" s="2">
        <f>IFERROR(__xludf.DUMMYFUNCTION("""COMPUTED_VALUE"""),8.0)</f>
        <v>8</v>
      </c>
    </row>
    <row r="363">
      <c r="A363" s="1" t="s">
        <v>274</v>
      </c>
      <c r="B363" s="2" t="str">
        <f>IFERROR(__xludf.DUMMYFUNCTION("SPLIT(A363, "" "")"),"move")</f>
        <v>move</v>
      </c>
      <c r="C363" s="2">
        <f>IFERROR(__xludf.DUMMYFUNCTION("""COMPUTED_VALUE"""),41.0)</f>
        <v>41</v>
      </c>
      <c r="D363" s="2" t="str">
        <f>IFERROR(__xludf.DUMMYFUNCTION("""COMPUTED_VALUE"""),"from")</f>
        <v>from</v>
      </c>
      <c r="E363" s="2">
        <f>IFERROR(__xludf.DUMMYFUNCTION("""COMPUTED_VALUE"""),9.0)</f>
        <v>9</v>
      </c>
      <c r="F363" s="2" t="str">
        <f>IFERROR(__xludf.DUMMYFUNCTION("""COMPUTED_VALUE"""),"to")</f>
        <v>to</v>
      </c>
      <c r="G363" s="2">
        <f>IFERROR(__xludf.DUMMYFUNCTION("""COMPUTED_VALUE"""),1.0)</f>
        <v>1</v>
      </c>
    </row>
    <row r="364">
      <c r="A364" s="1" t="s">
        <v>173</v>
      </c>
      <c r="B364" s="2" t="str">
        <f>IFERROR(__xludf.DUMMYFUNCTION("SPLIT(A364, "" "")"),"move")</f>
        <v>move</v>
      </c>
      <c r="C364" s="2">
        <f>IFERROR(__xludf.DUMMYFUNCTION("""COMPUTED_VALUE"""),1.0)</f>
        <v>1</v>
      </c>
      <c r="D364" s="2" t="str">
        <f>IFERROR(__xludf.DUMMYFUNCTION("""COMPUTED_VALUE"""),"from")</f>
        <v>from</v>
      </c>
      <c r="E364" s="2">
        <f>IFERROR(__xludf.DUMMYFUNCTION("""COMPUTED_VALUE"""),6.0)</f>
        <v>6</v>
      </c>
      <c r="F364" s="2" t="str">
        <f>IFERROR(__xludf.DUMMYFUNCTION("""COMPUTED_VALUE"""),"to")</f>
        <v>to</v>
      </c>
      <c r="G364" s="2">
        <f>IFERROR(__xludf.DUMMYFUNCTION("""COMPUTED_VALUE"""),4.0)</f>
        <v>4</v>
      </c>
    </row>
    <row r="365">
      <c r="A365" s="1" t="s">
        <v>275</v>
      </c>
      <c r="B365" s="2" t="str">
        <f>IFERROR(__xludf.DUMMYFUNCTION("SPLIT(A365, "" "")"),"move")</f>
        <v>move</v>
      </c>
      <c r="C365" s="2">
        <f>IFERROR(__xludf.DUMMYFUNCTION("""COMPUTED_VALUE"""),2.0)</f>
        <v>2</v>
      </c>
      <c r="D365" s="2" t="str">
        <f>IFERROR(__xludf.DUMMYFUNCTION("""COMPUTED_VALUE"""),"from")</f>
        <v>from</v>
      </c>
      <c r="E365" s="2">
        <f>IFERROR(__xludf.DUMMYFUNCTION("""COMPUTED_VALUE"""),8.0)</f>
        <v>8</v>
      </c>
      <c r="F365" s="2" t="str">
        <f>IFERROR(__xludf.DUMMYFUNCTION("""COMPUTED_VALUE"""),"to")</f>
        <v>to</v>
      </c>
      <c r="G365" s="2">
        <f>IFERROR(__xludf.DUMMYFUNCTION("""COMPUTED_VALUE"""),1.0)</f>
        <v>1</v>
      </c>
    </row>
    <row r="366">
      <c r="A366" s="1" t="s">
        <v>195</v>
      </c>
      <c r="B366" s="2" t="str">
        <f>IFERROR(__xludf.DUMMYFUNCTION("SPLIT(A366, "" "")"),"move")</f>
        <v>move</v>
      </c>
      <c r="C366" s="2">
        <f>IFERROR(__xludf.DUMMYFUNCTION("""COMPUTED_VALUE"""),1.0)</f>
        <v>1</v>
      </c>
      <c r="D366" s="2" t="str">
        <f>IFERROR(__xludf.DUMMYFUNCTION("""COMPUTED_VALUE"""),"from")</f>
        <v>from</v>
      </c>
      <c r="E366" s="2">
        <f>IFERROR(__xludf.DUMMYFUNCTION("""COMPUTED_VALUE"""),7.0)</f>
        <v>7</v>
      </c>
      <c r="F366" s="2" t="str">
        <f>IFERROR(__xludf.DUMMYFUNCTION("""COMPUTED_VALUE"""),"to")</f>
        <v>to</v>
      </c>
      <c r="G366" s="2">
        <f>IFERROR(__xludf.DUMMYFUNCTION("""COMPUTED_VALUE"""),3.0)</f>
        <v>3</v>
      </c>
    </row>
    <row r="367">
      <c r="A367" s="1" t="s">
        <v>136</v>
      </c>
      <c r="B367" s="2" t="str">
        <f>IFERROR(__xludf.DUMMYFUNCTION("SPLIT(A367, "" "")"),"move")</f>
        <v>move</v>
      </c>
      <c r="C367" s="2">
        <f>IFERROR(__xludf.DUMMYFUNCTION("""COMPUTED_VALUE"""),1.0)</f>
        <v>1</v>
      </c>
      <c r="D367" s="2" t="str">
        <f>IFERROR(__xludf.DUMMYFUNCTION("""COMPUTED_VALUE"""),"from")</f>
        <v>from</v>
      </c>
      <c r="E367" s="2">
        <f>IFERROR(__xludf.DUMMYFUNCTION("""COMPUTED_VALUE"""),3.0)</f>
        <v>3</v>
      </c>
      <c r="F367" s="2" t="str">
        <f>IFERROR(__xludf.DUMMYFUNCTION("""COMPUTED_VALUE"""),"to")</f>
        <v>to</v>
      </c>
      <c r="G367" s="2">
        <f>IFERROR(__xludf.DUMMYFUNCTION("""COMPUTED_VALUE"""),8.0)</f>
        <v>8</v>
      </c>
    </row>
    <row r="368">
      <c r="A368" s="1" t="s">
        <v>276</v>
      </c>
      <c r="B368" s="2" t="str">
        <f>IFERROR(__xludf.DUMMYFUNCTION("SPLIT(A368, "" "")"),"move")</f>
        <v>move</v>
      </c>
      <c r="C368" s="2">
        <f>IFERROR(__xludf.DUMMYFUNCTION("""COMPUTED_VALUE"""),2.0)</f>
        <v>2</v>
      </c>
      <c r="D368" s="2" t="str">
        <f>IFERROR(__xludf.DUMMYFUNCTION("""COMPUTED_VALUE"""),"from")</f>
        <v>from</v>
      </c>
      <c r="E368" s="2">
        <f>IFERROR(__xludf.DUMMYFUNCTION("""COMPUTED_VALUE"""),9.0)</f>
        <v>9</v>
      </c>
      <c r="F368" s="2" t="str">
        <f>IFERROR(__xludf.DUMMYFUNCTION("""COMPUTED_VALUE"""),"to")</f>
        <v>to</v>
      </c>
      <c r="G368" s="2">
        <f>IFERROR(__xludf.DUMMYFUNCTION("""COMPUTED_VALUE"""),8.0)</f>
        <v>8</v>
      </c>
    </row>
    <row r="369">
      <c r="A369" s="1" t="s">
        <v>277</v>
      </c>
      <c r="B369" s="2" t="str">
        <f>IFERROR(__xludf.DUMMYFUNCTION("SPLIT(A369, "" "")"),"move")</f>
        <v>move</v>
      </c>
      <c r="C369" s="2">
        <f>IFERROR(__xludf.DUMMYFUNCTION("""COMPUTED_VALUE"""),29.0)</f>
        <v>29</v>
      </c>
      <c r="D369" s="2" t="str">
        <f>IFERROR(__xludf.DUMMYFUNCTION("""COMPUTED_VALUE"""),"from")</f>
        <v>from</v>
      </c>
      <c r="E369" s="2">
        <f>IFERROR(__xludf.DUMMYFUNCTION("""COMPUTED_VALUE"""),1.0)</f>
        <v>1</v>
      </c>
      <c r="F369" s="2" t="str">
        <f>IFERROR(__xludf.DUMMYFUNCTION("""COMPUTED_VALUE"""),"to")</f>
        <v>to</v>
      </c>
      <c r="G369" s="2">
        <f>IFERROR(__xludf.DUMMYFUNCTION("""COMPUTED_VALUE"""),9.0)</f>
        <v>9</v>
      </c>
    </row>
    <row r="370">
      <c r="A370" s="1" t="s">
        <v>278</v>
      </c>
      <c r="B370" s="2" t="str">
        <f>IFERROR(__xludf.DUMMYFUNCTION("SPLIT(A370, "" "")"),"move")</f>
        <v>move</v>
      </c>
      <c r="C370" s="2">
        <f>IFERROR(__xludf.DUMMYFUNCTION("""COMPUTED_VALUE"""),2.0)</f>
        <v>2</v>
      </c>
      <c r="D370" s="2" t="str">
        <f>IFERROR(__xludf.DUMMYFUNCTION("""COMPUTED_VALUE"""),"from")</f>
        <v>from</v>
      </c>
      <c r="E370" s="2">
        <f>IFERROR(__xludf.DUMMYFUNCTION("""COMPUTED_VALUE"""),1.0)</f>
        <v>1</v>
      </c>
      <c r="F370" s="2" t="str">
        <f>IFERROR(__xludf.DUMMYFUNCTION("""COMPUTED_VALUE"""),"to")</f>
        <v>to</v>
      </c>
      <c r="G370" s="2">
        <f>IFERROR(__xludf.DUMMYFUNCTION("""COMPUTED_VALUE"""),5.0)</f>
        <v>5</v>
      </c>
    </row>
    <row r="371">
      <c r="A371" s="1" t="s">
        <v>79</v>
      </c>
      <c r="B371" s="2" t="str">
        <f>IFERROR(__xludf.DUMMYFUNCTION("SPLIT(A371, "" "")"),"move")</f>
        <v>move</v>
      </c>
      <c r="C371" s="2">
        <f>IFERROR(__xludf.DUMMYFUNCTION("""COMPUTED_VALUE"""),2.0)</f>
        <v>2</v>
      </c>
      <c r="D371" s="2" t="str">
        <f>IFERROR(__xludf.DUMMYFUNCTION("""COMPUTED_VALUE"""),"from")</f>
        <v>from</v>
      </c>
      <c r="E371" s="2">
        <f>IFERROR(__xludf.DUMMYFUNCTION("""COMPUTED_VALUE"""),8.0)</f>
        <v>8</v>
      </c>
      <c r="F371" s="2" t="str">
        <f>IFERROR(__xludf.DUMMYFUNCTION("""COMPUTED_VALUE"""),"to")</f>
        <v>to</v>
      </c>
      <c r="G371" s="2">
        <f>IFERROR(__xludf.DUMMYFUNCTION("""COMPUTED_VALUE"""),3.0)</f>
        <v>3</v>
      </c>
    </row>
    <row r="372">
      <c r="A372" s="1" t="s">
        <v>3</v>
      </c>
      <c r="B372" s="2" t="str">
        <f>IFERROR(__xludf.DUMMYFUNCTION("SPLIT(A372, "" "")"),"move")</f>
        <v>move</v>
      </c>
      <c r="C372" s="2">
        <f>IFERROR(__xludf.DUMMYFUNCTION("""COMPUTED_VALUE"""),1.0)</f>
        <v>1</v>
      </c>
      <c r="D372" s="2" t="str">
        <f>IFERROR(__xludf.DUMMYFUNCTION("""COMPUTED_VALUE"""),"from")</f>
        <v>from</v>
      </c>
      <c r="E372" s="2">
        <f>IFERROR(__xludf.DUMMYFUNCTION("""COMPUTED_VALUE"""),3.0)</f>
        <v>3</v>
      </c>
      <c r="F372" s="2" t="str">
        <f>IFERROR(__xludf.DUMMYFUNCTION("""COMPUTED_VALUE"""),"to")</f>
        <v>to</v>
      </c>
      <c r="G372" s="2">
        <f>IFERROR(__xludf.DUMMYFUNCTION("""COMPUTED_VALUE"""),5.0)</f>
        <v>5</v>
      </c>
    </row>
    <row r="373">
      <c r="A373" s="1" t="s">
        <v>279</v>
      </c>
      <c r="B373" s="2" t="str">
        <f>IFERROR(__xludf.DUMMYFUNCTION("SPLIT(A373, "" "")"),"move")</f>
        <v>move</v>
      </c>
      <c r="C373" s="2">
        <f>IFERROR(__xludf.DUMMYFUNCTION("""COMPUTED_VALUE"""),2.0)</f>
        <v>2</v>
      </c>
      <c r="D373" s="2" t="str">
        <f>IFERROR(__xludf.DUMMYFUNCTION("""COMPUTED_VALUE"""),"from")</f>
        <v>from</v>
      </c>
      <c r="E373" s="2">
        <f>IFERROR(__xludf.DUMMYFUNCTION("""COMPUTED_VALUE"""),5.0)</f>
        <v>5</v>
      </c>
      <c r="F373" s="2" t="str">
        <f>IFERROR(__xludf.DUMMYFUNCTION("""COMPUTED_VALUE"""),"to")</f>
        <v>to</v>
      </c>
      <c r="G373" s="2">
        <f>IFERROR(__xludf.DUMMYFUNCTION("""COMPUTED_VALUE"""),9.0)</f>
        <v>9</v>
      </c>
    </row>
    <row r="374">
      <c r="A374" s="1" t="s">
        <v>11</v>
      </c>
      <c r="B374" s="2" t="str">
        <f>IFERROR(__xludf.DUMMYFUNCTION("SPLIT(A374, "" "")"),"move")</f>
        <v>move</v>
      </c>
      <c r="C374" s="2">
        <f>IFERROR(__xludf.DUMMYFUNCTION("""COMPUTED_VALUE"""),1.0)</f>
        <v>1</v>
      </c>
      <c r="D374" s="2" t="str">
        <f>IFERROR(__xludf.DUMMYFUNCTION("""COMPUTED_VALUE"""),"from")</f>
        <v>from</v>
      </c>
      <c r="E374" s="2">
        <f>IFERROR(__xludf.DUMMYFUNCTION("""COMPUTED_VALUE"""),5.0)</f>
        <v>5</v>
      </c>
      <c r="F374" s="2" t="str">
        <f>IFERROR(__xludf.DUMMYFUNCTION("""COMPUTED_VALUE"""),"to")</f>
        <v>to</v>
      </c>
      <c r="G374" s="2">
        <f>IFERROR(__xludf.DUMMYFUNCTION("""COMPUTED_VALUE"""),7.0)</f>
        <v>7</v>
      </c>
    </row>
    <row r="375">
      <c r="A375" s="1" t="s">
        <v>280</v>
      </c>
      <c r="B375" s="2" t="str">
        <f>IFERROR(__xludf.DUMMYFUNCTION("SPLIT(A375, "" "")"),"move")</f>
        <v>move</v>
      </c>
      <c r="C375" s="2">
        <f>IFERROR(__xludf.DUMMYFUNCTION("""COMPUTED_VALUE"""),25.0)</f>
        <v>25</v>
      </c>
      <c r="D375" s="2" t="str">
        <f>IFERROR(__xludf.DUMMYFUNCTION("""COMPUTED_VALUE"""),"from")</f>
        <v>from</v>
      </c>
      <c r="E375" s="2">
        <f>IFERROR(__xludf.DUMMYFUNCTION("""COMPUTED_VALUE"""),9.0)</f>
        <v>9</v>
      </c>
      <c r="F375" s="2" t="str">
        <f>IFERROR(__xludf.DUMMYFUNCTION("""COMPUTED_VALUE"""),"to")</f>
        <v>to</v>
      </c>
      <c r="G375" s="2">
        <f>IFERROR(__xludf.DUMMYFUNCTION("""COMPUTED_VALUE"""),2.0)</f>
        <v>2</v>
      </c>
    </row>
    <row r="376">
      <c r="A376" s="1" t="s">
        <v>281</v>
      </c>
      <c r="B376" s="2" t="str">
        <f>IFERROR(__xludf.DUMMYFUNCTION("SPLIT(A376, "" "")"),"move")</f>
        <v>move</v>
      </c>
      <c r="C376" s="2">
        <f>IFERROR(__xludf.DUMMYFUNCTION("""COMPUTED_VALUE"""),10.0)</f>
        <v>10</v>
      </c>
      <c r="D376" s="2" t="str">
        <f>IFERROR(__xludf.DUMMYFUNCTION("""COMPUTED_VALUE"""),"from")</f>
        <v>from</v>
      </c>
      <c r="E376" s="2">
        <f>IFERROR(__xludf.DUMMYFUNCTION("""COMPUTED_VALUE"""),2.0)</f>
        <v>2</v>
      </c>
      <c r="F376" s="2" t="str">
        <f>IFERROR(__xludf.DUMMYFUNCTION("""COMPUTED_VALUE"""),"to")</f>
        <v>to</v>
      </c>
      <c r="G376" s="2">
        <f>IFERROR(__xludf.DUMMYFUNCTION("""COMPUTED_VALUE"""),1.0)</f>
        <v>1</v>
      </c>
    </row>
    <row r="377">
      <c r="A377" s="1" t="s">
        <v>282</v>
      </c>
      <c r="B377" s="2" t="str">
        <f>IFERROR(__xludf.DUMMYFUNCTION("SPLIT(A377, "" "")"),"move")</f>
        <v>move</v>
      </c>
      <c r="C377" s="2">
        <f>IFERROR(__xludf.DUMMYFUNCTION("""COMPUTED_VALUE"""),1.0)</f>
        <v>1</v>
      </c>
      <c r="D377" s="2" t="str">
        <f>IFERROR(__xludf.DUMMYFUNCTION("""COMPUTED_VALUE"""),"from")</f>
        <v>from</v>
      </c>
      <c r="E377" s="2">
        <f>IFERROR(__xludf.DUMMYFUNCTION("""COMPUTED_VALUE"""),7.0)</f>
        <v>7</v>
      </c>
      <c r="F377" s="2" t="str">
        <f>IFERROR(__xludf.DUMMYFUNCTION("""COMPUTED_VALUE"""),"to")</f>
        <v>to</v>
      </c>
      <c r="G377" s="2">
        <f>IFERROR(__xludf.DUMMYFUNCTION("""COMPUTED_VALUE"""),8.0)</f>
        <v>8</v>
      </c>
    </row>
    <row r="378">
      <c r="A378" s="1" t="s">
        <v>66</v>
      </c>
      <c r="B378" s="2" t="str">
        <f>IFERROR(__xludf.DUMMYFUNCTION("SPLIT(A378, "" "")"),"move")</f>
        <v>move</v>
      </c>
      <c r="C378" s="2">
        <f>IFERROR(__xludf.DUMMYFUNCTION("""COMPUTED_VALUE"""),2.0)</f>
        <v>2</v>
      </c>
      <c r="D378" s="2" t="str">
        <f>IFERROR(__xludf.DUMMYFUNCTION("""COMPUTED_VALUE"""),"from")</f>
        <v>from</v>
      </c>
      <c r="E378" s="2">
        <f>IFERROR(__xludf.DUMMYFUNCTION("""COMPUTED_VALUE"""),4.0)</f>
        <v>4</v>
      </c>
      <c r="F378" s="2" t="str">
        <f>IFERROR(__xludf.DUMMYFUNCTION("""COMPUTED_VALUE"""),"to")</f>
        <v>to</v>
      </c>
      <c r="G378" s="2">
        <f>IFERROR(__xludf.DUMMYFUNCTION("""COMPUTED_VALUE"""),1.0)</f>
        <v>1</v>
      </c>
    </row>
    <row r="379">
      <c r="A379" s="1" t="s">
        <v>186</v>
      </c>
      <c r="B379" s="2" t="str">
        <f>IFERROR(__xludf.DUMMYFUNCTION("SPLIT(A379, "" "")"),"move")</f>
        <v>move</v>
      </c>
      <c r="C379" s="2">
        <f>IFERROR(__xludf.DUMMYFUNCTION("""COMPUTED_VALUE"""),2.0)</f>
        <v>2</v>
      </c>
      <c r="D379" s="2" t="str">
        <f>IFERROR(__xludf.DUMMYFUNCTION("""COMPUTED_VALUE"""),"from")</f>
        <v>from</v>
      </c>
      <c r="E379" s="2">
        <f>IFERROR(__xludf.DUMMYFUNCTION("""COMPUTED_VALUE"""),8.0)</f>
        <v>8</v>
      </c>
      <c r="F379" s="2" t="str">
        <f>IFERROR(__xludf.DUMMYFUNCTION("""COMPUTED_VALUE"""),"to")</f>
        <v>to</v>
      </c>
      <c r="G379" s="2">
        <f>IFERROR(__xludf.DUMMYFUNCTION("""COMPUTED_VALUE"""),9.0)</f>
        <v>9</v>
      </c>
    </row>
    <row r="380">
      <c r="A380" s="1" t="s">
        <v>40</v>
      </c>
      <c r="B380" s="2" t="str">
        <f>IFERROR(__xludf.DUMMYFUNCTION("SPLIT(A380, "" "")"),"move")</f>
        <v>move</v>
      </c>
      <c r="C380" s="2">
        <f>IFERROR(__xludf.DUMMYFUNCTION("""COMPUTED_VALUE"""),1.0)</f>
        <v>1</v>
      </c>
      <c r="D380" s="2" t="str">
        <f>IFERROR(__xludf.DUMMYFUNCTION("""COMPUTED_VALUE"""),"from")</f>
        <v>from</v>
      </c>
      <c r="E380" s="2">
        <f>IFERROR(__xludf.DUMMYFUNCTION("""COMPUTED_VALUE"""),8.0)</f>
        <v>8</v>
      </c>
      <c r="F380" s="2" t="str">
        <f>IFERROR(__xludf.DUMMYFUNCTION("""COMPUTED_VALUE"""),"to")</f>
        <v>to</v>
      </c>
      <c r="G380" s="2">
        <f>IFERROR(__xludf.DUMMYFUNCTION("""COMPUTED_VALUE"""),6.0)</f>
        <v>6</v>
      </c>
    </row>
    <row r="381">
      <c r="A381" s="1" t="s">
        <v>269</v>
      </c>
      <c r="B381" s="2" t="str">
        <f>IFERROR(__xludf.DUMMYFUNCTION("SPLIT(A381, "" "")"),"move")</f>
        <v>move</v>
      </c>
      <c r="C381" s="2">
        <f>IFERROR(__xludf.DUMMYFUNCTION("""COMPUTED_VALUE"""),4.0)</f>
        <v>4</v>
      </c>
      <c r="D381" s="2" t="str">
        <f>IFERROR(__xludf.DUMMYFUNCTION("""COMPUTED_VALUE"""),"from")</f>
        <v>from</v>
      </c>
      <c r="E381" s="2">
        <f>IFERROR(__xludf.DUMMYFUNCTION("""COMPUTED_VALUE"""),2.0)</f>
        <v>2</v>
      </c>
      <c r="F381" s="2" t="str">
        <f>IFERROR(__xludf.DUMMYFUNCTION("""COMPUTED_VALUE"""),"to")</f>
        <v>to</v>
      </c>
      <c r="G381" s="2">
        <f>IFERROR(__xludf.DUMMYFUNCTION("""COMPUTED_VALUE"""),4.0)</f>
        <v>4</v>
      </c>
    </row>
    <row r="382">
      <c r="A382" s="1" t="s">
        <v>283</v>
      </c>
      <c r="B382" s="2" t="str">
        <f>IFERROR(__xludf.DUMMYFUNCTION("SPLIT(A382, "" "")"),"move")</f>
        <v>move</v>
      </c>
      <c r="C382" s="2">
        <f>IFERROR(__xludf.DUMMYFUNCTION("""COMPUTED_VALUE"""),4.0)</f>
        <v>4</v>
      </c>
      <c r="D382" s="2" t="str">
        <f>IFERROR(__xludf.DUMMYFUNCTION("""COMPUTED_VALUE"""),"from")</f>
        <v>from</v>
      </c>
      <c r="E382" s="2">
        <f>IFERROR(__xludf.DUMMYFUNCTION("""COMPUTED_VALUE"""),2.0)</f>
        <v>2</v>
      </c>
      <c r="F382" s="2" t="str">
        <f>IFERROR(__xludf.DUMMYFUNCTION("""COMPUTED_VALUE"""),"to")</f>
        <v>to</v>
      </c>
      <c r="G382" s="2">
        <f>IFERROR(__xludf.DUMMYFUNCTION("""COMPUTED_VALUE"""),5.0)</f>
        <v>5</v>
      </c>
    </row>
    <row r="383">
      <c r="A383" s="1" t="s">
        <v>105</v>
      </c>
      <c r="B383" s="2" t="str">
        <f>IFERROR(__xludf.DUMMYFUNCTION("SPLIT(A383, "" "")"),"move")</f>
        <v>move</v>
      </c>
      <c r="C383" s="2">
        <f>IFERROR(__xludf.DUMMYFUNCTION("""COMPUTED_VALUE"""),1.0)</f>
        <v>1</v>
      </c>
      <c r="D383" s="2" t="str">
        <f>IFERROR(__xludf.DUMMYFUNCTION("""COMPUTED_VALUE"""),"from")</f>
        <v>from</v>
      </c>
      <c r="E383" s="2">
        <f>IFERROR(__xludf.DUMMYFUNCTION("""COMPUTED_VALUE"""),6.0)</f>
        <v>6</v>
      </c>
      <c r="F383" s="2" t="str">
        <f>IFERROR(__xludf.DUMMYFUNCTION("""COMPUTED_VALUE"""),"to")</f>
        <v>to</v>
      </c>
      <c r="G383" s="2">
        <f>IFERROR(__xludf.DUMMYFUNCTION("""COMPUTED_VALUE"""),5.0)</f>
        <v>5</v>
      </c>
    </row>
    <row r="384">
      <c r="A384" s="1" t="s">
        <v>197</v>
      </c>
      <c r="B384" s="2" t="str">
        <f>IFERROR(__xludf.DUMMYFUNCTION("SPLIT(A384, "" "")"),"move")</f>
        <v>move</v>
      </c>
      <c r="C384" s="2">
        <f>IFERROR(__xludf.DUMMYFUNCTION("""COMPUTED_VALUE"""),1.0)</f>
        <v>1</v>
      </c>
      <c r="D384" s="2" t="str">
        <f>IFERROR(__xludf.DUMMYFUNCTION("""COMPUTED_VALUE"""),"from")</f>
        <v>from</v>
      </c>
      <c r="E384" s="2">
        <f>IFERROR(__xludf.DUMMYFUNCTION("""COMPUTED_VALUE"""),2.0)</f>
        <v>2</v>
      </c>
      <c r="F384" s="2" t="str">
        <f>IFERROR(__xludf.DUMMYFUNCTION("""COMPUTED_VALUE"""),"to")</f>
        <v>to</v>
      </c>
      <c r="G384" s="2">
        <f>IFERROR(__xludf.DUMMYFUNCTION("""COMPUTED_VALUE"""),7.0)</f>
        <v>7</v>
      </c>
    </row>
    <row r="385">
      <c r="A385" s="1" t="s">
        <v>66</v>
      </c>
      <c r="B385" s="2" t="str">
        <f>IFERROR(__xludf.DUMMYFUNCTION("SPLIT(A385, "" "")"),"move")</f>
        <v>move</v>
      </c>
      <c r="C385" s="2">
        <f>IFERROR(__xludf.DUMMYFUNCTION("""COMPUTED_VALUE"""),2.0)</f>
        <v>2</v>
      </c>
      <c r="D385" s="2" t="str">
        <f>IFERROR(__xludf.DUMMYFUNCTION("""COMPUTED_VALUE"""),"from")</f>
        <v>from</v>
      </c>
      <c r="E385" s="2">
        <f>IFERROR(__xludf.DUMMYFUNCTION("""COMPUTED_VALUE"""),4.0)</f>
        <v>4</v>
      </c>
      <c r="F385" s="2" t="str">
        <f>IFERROR(__xludf.DUMMYFUNCTION("""COMPUTED_VALUE"""),"to")</f>
        <v>to</v>
      </c>
      <c r="G385" s="2">
        <f>IFERROR(__xludf.DUMMYFUNCTION("""COMPUTED_VALUE"""),1.0)</f>
        <v>1</v>
      </c>
    </row>
    <row r="386">
      <c r="A386" s="1" t="s">
        <v>284</v>
      </c>
      <c r="B386" s="2" t="str">
        <f>IFERROR(__xludf.DUMMYFUNCTION("SPLIT(A386, "" "")"),"move")</f>
        <v>move</v>
      </c>
      <c r="C386" s="2">
        <f>IFERROR(__xludf.DUMMYFUNCTION("""COMPUTED_VALUE"""),18.0)</f>
        <v>18</v>
      </c>
      <c r="D386" s="2" t="str">
        <f>IFERROR(__xludf.DUMMYFUNCTION("""COMPUTED_VALUE"""),"from")</f>
        <v>from</v>
      </c>
      <c r="E386" s="2">
        <f>IFERROR(__xludf.DUMMYFUNCTION("""COMPUTED_VALUE"""),1.0)</f>
        <v>1</v>
      </c>
      <c r="F386" s="2" t="str">
        <f>IFERROR(__xludf.DUMMYFUNCTION("""COMPUTED_VALUE"""),"to")</f>
        <v>to</v>
      </c>
      <c r="G386" s="2">
        <f>IFERROR(__xludf.DUMMYFUNCTION("""COMPUTED_VALUE"""),3.0)</f>
        <v>3</v>
      </c>
    </row>
    <row r="387">
      <c r="A387" s="1" t="s">
        <v>107</v>
      </c>
      <c r="B387" s="2" t="str">
        <f>IFERROR(__xludf.DUMMYFUNCTION("SPLIT(A387, "" "")"),"move")</f>
        <v>move</v>
      </c>
      <c r="C387" s="2">
        <f>IFERROR(__xludf.DUMMYFUNCTION("""COMPUTED_VALUE"""),8.0)</f>
        <v>8</v>
      </c>
      <c r="D387" s="2" t="str">
        <f>IFERROR(__xludf.DUMMYFUNCTION("""COMPUTED_VALUE"""),"from")</f>
        <v>from</v>
      </c>
      <c r="E387" s="2">
        <f>IFERROR(__xludf.DUMMYFUNCTION("""COMPUTED_VALUE"""),9.0)</f>
        <v>9</v>
      </c>
      <c r="F387" s="2" t="str">
        <f>IFERROR(__xludf.DUMMYFUNCTION("""COMPUTED_VALUE"""),"to")</f>
        <v>to</v>
      </c>
      <c r="G387" s="2">
        <f>IFERROR(__xludf.DUMMYFUNCTION("""COMPUTED_VALUE"""),4.0)</f>
        <v>4</v>
      </c>
    </row>
    <row r="388">
      <c r="A388" s="1" t="s">
        <v>285</v>
      </c>
      <c r="B388" s="2" t="str">
        <f>IFERROR(__xludf.DUMMYFUNCTION("SPLIT(A388, "" "")"),"move")</f>
        <v>move</v>
      </c>
      <c r="C388" s="2">
        <f>IFERROR(__xludf.DUMMYFUNCTION("""COMPUTED_VALUE"""),15.0)</f>
        <v>15</v>
      </c>
      <c r="D388" s="2" t="str">
        <f>IFERROR(__xludf.DUMMYFUNCTION("""COMPUTED_VALUE"""),"from")</f>
        <v>from</v>
      </c>
      <c r="E388" s="2">
        <f>IFERROR(__xludf.DUMMYFUNCTION("""COMPUTED_VALUE"""),3.0)</f>
        <v>3</v>
      </c>
      <c r="F388" s="2" t="str">
        <f>IFERROR(__xludf.DUMMYFUNCTION("""COMPUTED_VALUE"""),"to")</f>
        <v>to</v>
      </c>
      <c r="G388" s="2">
        <f>IFERROR(__xludf.DUMMYFUNCTION("""COMPUTED_VALUE"""),9.0)</f>
        <v>9</v>
      </c>
    </row>
    <row r="389">
      <c r="A389" s="1" t="s">
        <v>286</v>
      </c>
      <c r="B389" s="2" t="str">
        <f>IFERROR(__xludf.DUMMYFUNCTION("SPLIT(A389, "" "")"),"move")</f>
        <v>move</v>
      </c>
      <c r="C389" s="2">
        <f>IFERROR(__xludf.DUMMYFUNCTION("""COMPUTED_VALUE"""),3.0)</f>
        <v>3</v>
      </c>
      <c r="D389" s="2" t="str">
        <f>IFERROR(__xludf.DUMMYFUNCTION("""COMPUTED_VALUE"""),"from")</f>
        <v>from</v>
      </c>
      <c r="E389" s="2">
        <f>IFERROR(__xludf.DUMMYFUNCTION("""COMPUTED_VALUE"""),4.0)</f>
        <v>4</v>
      </c>
      <c r="F389" s="2" t="str">
        <f>IFERROR(__xludf.DUMMYFUNCTION("""COMPUTED_VALUE"""),"to")</f>
        <v>to</v>
      </c>
      <c r="G389" s="2">
        <f>IFERROR(__xludf.DUMMYFUNCTION("""COMPUTED_VALUE"""),8.0)</f>
        <v>8</v>
      </c>
    </row>
    <row r="390">
      <c r="A390" s="1" t="s">
        <v>287</v>
      </c>
      <c r="B390" s="2" t="str">
        <f>IFERROR(__xludf.DUMMYFUNCTION("SPLIT(A390, "" "")"),"move")</f>
        <v>move</v>
      </c>
      <c r="C390" s="2">
        <f>IFERROR(__xludf.DUMMYFUNCTION("""COMPUTED_VALUE"""),4.0)</f>
        <v>4</v>
      </c>
      <c r="D390" s="2" t="str">
        <f>IFERROR(__xludf.DUMMYFUNCTION("""COMPUTED_VALUE"""),"from")</f>
        <v>from</v>
      </c>
      <c r="E390" s="2">
        <f>IFERROR(__xludf.DUMMYFUNCTION("""COMPUTED_VALUE"""),5.0)</f>
        <v>5</v>
      </c>
      <c r="F390" s="2" t="str">
        <f>IFERROR(__xludf.DUMMYFUNCTION("""COMPUTED_VALUE"""),"to")</f>
        <v>to</v>
      </c>
      <c r="G390" s="2">
        <f>IFERROR(__xludf.DUMMYFUNCTION("""COMPUTED_VALUE"""),8.0)</f>
        <v>8</v>
      </c>
    </row>
    <row r="391">
      <c r="A391" s="1" t="s">
        <v>269</v>
      </c>
      <c r="B391" s="2" t="str">
        <f>IFERROR(__xludf.DUMMYFUNCTION("SPLIT(A391, "" "")"),"move")</f>
        <v>move</v>
      </c>
      <c r="C391" s="2">
        <f>IFERROR(__xludf.DUMMYFUNCTION("""COMPUTED_VALUE"""),4.0)</f>
        <v>4</v>
      </c>
      <c r="D391" s="2" t="str">
        <f>IFERROR(__xludf.DUMMYFUNCTION("""COMPUTED_VALUE"""),"from")</f>
        <v>from</v>
      </c>
      <c r="E391" s="2">
        <f>IFERROR(__xludf.DUMMYFUNCTION("""COMPUTED_VALUE"""),2.0)</f>
        <v>2</v>
      </c>
      <c r="F391" s="2" t="str">
        <f>IFERROR(__xludf.DUMMYFUNCTION("""COMPUTED_VALUE"""),"to")</f>
        <v>to</v>
      </c>
      <c r="G391" s="2">
        <f>IFERROR(__xludf.DUMMYFUNCTION("""COMPUTED_VALUE"""),4.0)</f>
        <v>4</v>
      </c>
    </row>
    <row r="392">
      <c r="A392" s="1" t="s">
        <v>288</v>
      </c>
      <c r="B392" s="2" t="str">
        <f>IFERROR(__xludf.DUMMYFUNCTION("SPLIT(A392, "" "")"),"move")</f>
        <v>move</v>
      </c>
      <c r="C392" s="2">
        <f>IFERROR(__xludf.DUMMYFUNCTION("""COMPUTED_VALUE"""),10.0)</f>
        <v>10</v>
      </c>
      <c r="D392" s="2" t="str">
        <f>IFERROR(__xludf.DUMMYFUNCTION("""COMPUTED_VALUE"""),"from")</f>
        <v>from</v>
      </c>
      <c r="E392" s="2">
        <f>IFERROR(__xludf.DUMMYFUNCTION("""COMPUTED_VALUE"""),9.0)</f>
        <v>9</v>
      </c>
      <c r="F392" s="2" t="str">
        <f>IFERROR(__xludf.DUMMYFUNCTION("""COMPUTED_VALUE"""),"to")</f>
        <v>to</v>
      </c>
      <c r="G392" s="2">
        <f>IFERROR(__xludf.DUMMYFUNCTION("""COMPUTED_VALUE"""),4.0)</f>
        <v>4</v>
      </c>
    </row>
    <row r="393">
      <c r="A393" s="1" t="s">
        <v>289</v>
      </c>
      <c r="B393" s="2" t="str">
        <f>IFERROR(__xludf.DUMMYFUNCTION("SPLIT(A393, "" "")"),"move")</f>
        <v>move</v>
      </c>
      <c r="C393" s="2">
        <f>IFERROR(__xludf.DUMMYFUNCTION("""COMPUTED_VALUE"""),4.0)</f>
        <v>4</v>
      </c>
      <c r="D393" s="2" t="str">
        <f>IFERROR(__xludf.DUMMYFUNCTION("""COMPUTED_VALUE"""),"from")</f>
        <v>from</v>
      </c>
      <c r="E393" s="2">
        <f>IFERROR(__xludf.DUMMYFUNCTION("""COMPUTED_VALUE"""),8.0)</f>
        <v>8</v>
      </c>
      <c r="F393" s="2" t="str">
        <f>IFERROR(__xludf.DUMMYFUNCTION("""COMPUTED_VALUE"""),"to")</f>
        <v>to</v>
      </c>
      <c r="G393" s="2">
        <f>IFERROR(__xludf.DUMMYFUNCTION("""COMPUTED_VALUE"""),5.0)</f>
        <v>5</v>
      </c>
    </row>
    <row r="394">
      <c r="A394" s="1" t="s">
        <v>48</v>
      </c>
      <c r="B394" s="2" t="str">
        <f>IFERROR(__xludf.DUMMYFUNCTION("SPLIT(A394, "" "")"),"move")</f>
        <v>move</v>
      </c>
      <c r="C394" s="2">
        <f>IFERROR(__xludf.DUMMYFUNCTION("""COMPUTED_VALUE"""),2.0)</f>
        <v>2</v>
      </c>
      <c r="D394" s="2" t="str">
        <f>IFERROR(__xludf.DUMMYFUNCTION("""COMPUTED_VALUE"""),"from")</f>
        <v>from</v>
      </c>
      <c r="E394" s="2">
        <f>IFERROR(__xludf.DUMMYFUNCTION("""COMPUTED_VALUE"""),7.0)</f>
        <v>7</v>
      </c>
      <c r="F394" s="2" t="str">
        <f>IFERROR(__xludf.DUMMYFUNCTION("""COMPUTED_VALUE"""),"to")</f>
        <v>to</v>
      </c>
      <c r="G394" s="2">
        <f>IFERROR(__xludf.DUMMYFUNCTION("""COMPUTED_VALUE"""),2.0)</f>
        <v>2</v>
      </c>
    </row>
    <row r="395">
      <c r="A395" s="1" t="s">
        <v>290</v>
      </c>
      <c r="B395" s="2" t="str">
        <f>IFERROR(__xludf.DUMMYFUNCTION("SPLIT(A395, "" "")"),"move")</f>
        <v>move</v>
      </c>
      <c r="C395" s="2">
        <f>IFERROR(__xludf.DUMMYFUNCTION("""COMPUTED_VALUE"""),11.0)</f>
        <v>11</v>
      </c>
      <c r="D395" s="2" t="str">
        <f>IFERROR(__xludf.DUMMYFUNCTION("""COMPUTED_VALUE"""),"from")</f>
        <v>from</v>
      </c>
      <c r="E395" s="2">
        <f>IFERROR(__xludf.DUMMYFUNCTION("""COMPUTED_VALUE"""),4.0)</f>
        <v>4</v>
      </c>
      <c r="F395" s="2" t="str">
        <f>IFERROR(__xludf.DUMMYFUNCTION("""COMPUTED_VALUE"""),"to")</f>
        <v>to</v>
      </c>
      <c r="G395" s="2">
        <f>IFERROR(__xludf.DUMMYFUNCTION("""COMPUTED_VALUE"""),9.0)</f>
        <v>9</v>
      </c>
    </row>
    <row r="396">
      <c r="A396" s="1" t="s">
        <v>291</v>
      </c>
      <c r="B396" s="2" t="str">
        <f>IFERROR(__xludf.DUMMYFUNCTION("SPLIT(A396, "" "")"),"move")</f>
        <v>move</v>
      </c>
      <c r="C396" s="2">
        <f>IFERROR(__xludf.DUMMYFUNCTION("""COMPUTED_VALUE"""),12.0)</f>
        <v>12</v>
      </c>
      <c r="D396" s="2" t="str">
        <f>IFERROR(__xludf.DUMMYFUNCTION("""COMPUTED_VALUE"""),"from")</f>
        <v>from</v>
      </c>
      <c r="E396" s="2">
        <f>IFERROR(__xludf.DUMMYFUNCTION("""COMPUTED_VALUE"""),4.0)</f>
        <v>4</v>
      </c>
      <c r="F396" s="2" t="str">
        <f>IFERROR(__xludf.DUMMYFUNCTION("""COMPUTED_VALUE"""),"to")</f>
        <v>to</v>
      </c>
      <c r="G396" s="2">
        <f>IFERROR(__xludf.DUMMYFUNCTION("""COMPUTED_VALUE"""),9.0)</f>
        <v>9</v>
      </c>
    </row>
    <row r="397">
      <c r="A397" s="1" t="s">
        <v>273</v>
      </c>
      <c r="B397" s="2" t="str">
        <f>IFERROR(__xludf.DUMMYFUNCTION("SPLIT(A397, "" "")"),"move")</f>
        <v>move</v>
      </c>
      <c r="C397" s="2">
        <f>IFERROR(__xludf.DUMMYFUNCTION("""COMPUTED_VALUE"""),2.0)</f>
        <v>2</v>
      </c>
      <c r="D397" s="2" t="str">
        <f>IFERROR(__xludf.DUMMYFUNCTION("""COMPUTED_VALUE"""),"from")</f>
        <v>from</v>
      </c>
      <c r="E397" s="2">
        <f>IFERROR(__xludf.DUMMYFUNCTION("""COMPUTED_VALUE"""),5.0)</f>
        <v>5</v>
      </c>
      <c r="F397" s="2" t="str">
        <f>IFERROR(__xludf.DUMMYFUNCTION("""COMPUTED_VALUE"""),"to")</f>
        <v>to</v>
      </c>
      <c r="G397" s="2">
        <f>IFERROR(__xludf.DUMMYFUNCTION("""COMPUTED_VALUE"""),7.0)</f>
        <v>7</v>
      </c>
    </row>
    <row r="398">
      <c r="A398" s="1" t="s">
        <v>269</v>
      </c>
      <c r="B398" s="2" t="str">
        <f>IFERROR(__xludf.DUMMYFUNCTION("SPLIT(A398, "" "")"),"move")</f>
        <v>move</v>
      </c>
      <c r="C398" s="2">
        <f>IFERROR(__xludf.DUMMYFUNCTION("""COMPUTED_VALUE"""),4.0)</f>
        <v>4</v>
      </c>
      <c r="D398" s="2" t="str">
        <f>IFERROR(__xludf.DUMMYFUNCTION("""COMPUTED_VALUE"""),"from")</f>
        <v>from</v>
      </c>
      <c r="E398" s="2">
        <f>IFERROR(__xludf.DUMMYFUNCTION("""COMPUTED_VALUE"""),2.0)</f>
        <v>2</v>
      </c>
      <c r="F398" s="2" t="str">
        <f>IFERROR(__xludf.DUMMYFUNCTION("""COMPUTED_VALUE"""),"to")</f>
        <v>to</v>
      </c>
      <c r="G398" s="2">
        <f>IFERROR(__xludf.DUMMYFUNCTION("""COMPUTED_VALUE"""),4.0)</f>
        <v>4</v>
      </c>
    </row>
    <row r="399">
      <c r="A399" s="1" t="s">
        <v>292</v>
      </c>
      <c r="B399" s="2" t="str">
        <f>IFERROR(__xludf.DUMMYFUNCTION("SPLIT(A399, "" "")"),"move")</f>
        <v>move</v>
      </c>
      <c r="C399" s="2">
        <f>IFERROR(__xludf.DUMMYFUNCTION("""COMPUTED_VALUE"""),5.0)</f>
        <v>5</v>
      </c>
      <c r="D399" s="2" t="str">
        <f>IFERROR(__xludf.DUMMYFUNCTION("""COMPUTED_VALUE"""),"from")</f>
        <v>from</v>
      </c>
      <c r="E399" s="2">
        <f>IFERROR(__xludf.DUMMYFUNCTION("""COMPUTED_VALUE"""),8.0)</f>
        <v>8</v>
      </c>
      <c r="F399" s="2" t="str">
        <f>IFERROR(__xludf.DUMMYFUNCTION("""COMPUTED_VALUE"""),"to")</f>
        <v>to</v>
      </c>
      <c r="G399" s="2">
        <f>IFERROR(__xludf.DUMMYFUNCTION("""COMPUTED_VALUE"""),1.0)</f>
        <v>1</v>
      </c>
    </row>
    <row r="400">
      <c r="A400" s="1" t="s">
        <v>127</v>
      </c>
      <c r="B400" s="2" t="str">
        <f>IFERROR(__xludf.DUMMYFUNCTION("SPLIT(A400, "" "")"),"move")</f>
        <v>move</v>
      </c>
      <c r="C400" s="2">
        <f>IFERROR(__xludf.DUMMYFUNCTION("""COMPUTED_VALUE"""),1.0)</f>
        <v>1</v>
      </c>
      <c r="D400" s="2" t="str">
        <f>IFERROR(__xludf.DUMMYFUNCTION("""COMPUTED_VALUE"""),"from")</f>
        <v>from</v>
      </c>
      <c r="E400" s="2">
        <f>IFERROR(__xludf.DUMMYFUNCTION("""COMPUTED_VALUE"""),5.0)</f>
        <v>5</v>
      </c>
      <c r="F400" s="2" t="str">
        <f>IFERROR(__xludf.DUMMYFUNCTION("""COMPUTED_VALUE"""),"to")</f>
        <v>to</v>
      </c>
      <c r="G400" s="2">
        <f>IFERROR(__xludf.DUMMYFUNCTION("""COMPUTED_VALUE"""),6.0)</f>
        <v>6</v>
      </c>
    </row>
    <row r="401">
      <c r="A401" s="1" t="s">
        <v>293</v>
      </c>
      <c r="B401" s="2" t="str">
        <f>IFERROR(__xludf.DUMMYFUNCTION("SPLIT(A401, "" "")"),"move")</f>
        <v>move</v>
      </c>
      <c r="C401" s="2">
        <f>IFERROR(__xludf.DUMMYFUNCTION("""COMPUTED_VALUE"""),1.0)</f>
        <v>1</v>
      </c>
      <c r="D401" s="2" t="str">
        <f>IFERROR(__xludf.DUMMYFUNCTION("""COMPUTED_VALUE"""),"from")</f>
        <v>from</v>
      </c>
      <c r="E401" s="2">
        <f>IFERROR(__xludf.DUMMYFUNCTION("""COMPUTED_VALUE"""),4.0)</f>
        <v>4</v>
      </c>
      <c r="F401" s="2" t="str">
        <f>IFERROR(__xludf.DUMMYFUNCTION("""COMPUTED_VALUE"""),"to")</f>
        <v>to</v>
      </c>
      <c r="G401" s="2">
        <f>IFERROR(__xludf.DUMMYFUNCTION("""COMPUTED_VALUE"""),6.0)</f>
        <v>6</v>
      </c>
    </row>
    <row r="402">
      <c r="A402" s="1" t="s">
        <v>140</v>
      </c>
      <c r="B402" s="2" t="str">
        <f>IFERROR(__xludf.DUMMYFUNCTION("SPLIT(A402, "" "")"),"move")</f>
        <v>move</v>
      </c>
      <c r="C402" s="2">
        <f>IFERROR(__xludf.DUMMYFUNCTION("""COMPUTED_VALUE"""),1.0)</f>
        <v>1</v>
      </c>
      <c r="D402" s="2" t="str">
        <f>IFERROR(__xludf.DUMMYFUNCTION("""COMPUTED_VALUE"""),"from")</f>
        <v>from</v>
      </c>
      <c r="E402" s="2">
        <f>IFERROR(__xludf.DUMMYFUNCTION("""COMPUTED_VALUE"""),3.0)</f>
        <v>3</v>
      </c>
      <c r="F402" s="2" t="str">
        <f>IFERROR(__xludf.DUMMYFUNCTION("""COMPUTED_VALUE"""),"to")</f>
        <v>to</v>
      </c>
      <c r="G402" s="2">
        <f>IFERROR(__xludf.DUMMYFUNCTION("""COMPUTED_VALUE"""),9.0)</f>
        <v>9</v>
      </c>
    </row>
    <row r="403">
      <c r="A403" s="1" t="s">
        <v>11</v>
      </c>
      <c r="B403" s="2" t="str">
        <f>IFERROR(__xludf.DUMMYFUNCTION("SPLIT(A403, "" "")"),"move")</f>
        <v>move</v>
      </c>
      <c r="C403" s="2">
        <f>IFERROR(__xludf.DUMMYFUNCTION("""COMPUTED_VALUE"""),1.0)</f>
        <v>1</v>
      </c>
      <c r="D403" s="2" t="str">
        <f>IFERROR(__xludf.DUMMYFUNCTION("""COMPUTED_VALUE"""),"from")</f>
        <v>from</v>
      </c>
      <c r="E403" s="2">
        <f>IFERROR(__xludf.DUMMYFUNCTION("""COMPUTED_VALUE"""),5.0)</f>
        <v>5</v>
      </c>
      <c r="F403" s="2" t="str">
        <f>IFERROR(__xludf.DUMMYFUNCTION("""COMPUTED_VALUE"""),"to")</f>
        <v>to</v>
      </c>
      <c r="G403" s="2">
        <f>IFERROR(__xludf.DUMMYFUNCTION("""COMPUTED_VALUE"""),7.0)</f>
        <v>7</v>
      </c>
    </row>
    <row r="404">
      <c r="A404" s="1" t="s">
        <v>110</v>
      </c>
      <c r="B404" s="2" t="str">
        <f>IFERROR(__xludf.DUMMYFUNCTION("SPLIT(A404, "" "")"),"move")</f>
        <v>move</v>
      </c>
      <c r="C404" s="2">
        <f>IFERROR(__xludf.DUMMYFUNCTION("""COMPUTED_VALUE"""),4.0)</f>
        <v>4</v>
      </c>
      <c r="D404" s="2" t="str">
        <f>IFERROR(__xludf.DUMMYFUNCTION("""COMPUTED_VALUE"""),"from")</f>
        <v>from</v>
      </c>
      <c r="E404" s="2">
        <f>IFERROR(__xludf.DUMMYFUNCTION("""COMPUTED_VALUE"""),1.0)</f>
        <v>1</v>
      </c>
      <c r="F404" s="2" t="str">
        <f>IFERROR(__xludf.DUMMYFUNCTION("""COMPUTED_VALUE"""),"to")</f>
        <v>to</v>
      </c>
      <c r="G404" s="2">
        <f>IFERROR(__xludf.DUMMYFUNCTION("""COMPUTED_VALUE"""),6.0)</f>
        <v>6</v>
      </c>
    </row>
    <row r="405">
      <c r="A405" s="1" t="s">
        <v>294</v>
      </c>
      <c r="B405" s="2" t="str">
        <f>IFERROR(__xludf.DUMMYFUNCTION("SPLIT(A405, "" "")"),"move")</f>
        <v>move</v>
      </c>
      <c r="C405" s="2">
        <f>IFERROR(__xludf.DUMMYFUNCTION("""COMPUTED_VALUE"""),6.0)</f>
        <v>6</v>
      </c>
      <c r="D405" s="2" t="str">
        <f>IFERROR(__xludf.DUMMYFUNCTION("""COMPUTED_VALUE"""),"from")</f>
        <v>from</v>
      </c>
      <c r="E405" s="2">
        <f>IFERROR(__xludf.DUMMYFUNCTION("""COMPUTED_VALUE"""),1.0)</f>
        <v>1</v>
      </c>
      <c r="F405" s="2" t="str">
        <f>IFERROR(__xludf.DUMMYFUNCTION("""COMPUTED_VALUE"""),"to")</f>
        <v>to</v>
      </c>
      <c r="G405" s="2">
        <f>IFERROR(__xludf.DUMMYFUNCTION("""COMPUTED_VALUE"""),5.0)</f>
        <v>5</v>
      </c>
    </row>
    <row r="406">
      <c r="A406" s="1" t="s">
        <v>295</v>
      </c>
      <c r="B406" s="2" t="str">
        <f>IFERROR(__xludf.DUMMYFUNCTION("SPLIT(A406, "" "")"),"move")</f>
        <v>move</v>
      </c>
      <c r="C406" s="2">
        <f>IFERROR(__xludf.DUMMYFUNCTION("""COMPUTED_VALUE"""),6.0)</f>
        <v>6</v>
      </c>
      <c r="D406" s="2" t="str">
        <f>IFERROR(__xludf.DUMMYFUNCTION("""COMPUTED_VALUE"""),"from")</f>
        <v>from</v>
      </c>
      <c r="E406" s="2">
        <f>IFERROR(__xludf.DUMMYFUNCTION("""COMPUTED_VALUE"""),5.0)</f>
        <v>5</v>
      </c>
      <c r="F406" s="2" t="str">
        <f>IFERROR(__xludf.DUMMYFUNCTION("""COMPUTED_VALUE"""),"to")</f>
        <v>to</v>
      </c>
      <c r="G406" s="2">
        <f>IFERROR(__xludf.DUMMYFUNCTION("""COMPUTED_VALUE"""),9.0)</f>
        <v>9</v>
      </c>
    </row>
    <row r="407">
      <c r="A407" s="1" t="s">
        <v>237</v>
      </c>
      <c r="B407" s="2" t="str">
        <f>IFERROR(__xludf.DUMMYFUNCTION("SPLIT(A407, "" "")"),"move")</f>
        <v>move</v>
      </c>
      <c r="C407" s="2">
        <f>IFERROR(__xludf.DUMMYFUNCTION("""COMPUTED_VALUE"""),3.0)</f>
        <v>3</v>
      </c>
      <c r="D407" s="2" t="str">
        <f>IFERROR(__xludf.DUMMYFUNCTION("""COMPUTED_VALUE"""),"from")</f>
        <v>from</v>
      </c>
      <c r="E407" s="2">
        <f>IFERROR(__xludf.DUMMYFUNCTION("""COMPUTED_VALUE"""),7.0)</f>
        <v>7</v>
      </c>
      <c r="F407" s="2" t="str">
        <f>IFERROR(__xludf.DUMMYFUNCTION("""COMPUTED_VALUE"""),"to")</f>
        <v>to</v>
      </c>
      <c r="G407" s="2">
        <f>IFERROR(__xludf.DUMMYFUNCTION("""COMPUTED_VALUE"""),6.0)</f>
        <v>6</v>
      </c>
    </row>
    <row r="408">
      <c r="A408" s="1" t="s">
        <v>296</v>
      </c>
      <c r="B408" s="2" t="str">
        <f>IFERROR(__xludf.DUMMYFUNCTION("SPLIT(A408, "" "")"),"move")</f>
        <v>move</v>
      </c>
      <c r="C408" s="2">
        <f>IFERROR(__xludf.DUMMYFUNCTION("""COMPUTED_VALUE"""),9.0)</f>
        <v>9</v>
      </c>
      <c r="D408" s="2" t="str">
        <f>IFERROR(__xludf.DUMMYFUNCTION("""COMPUTED_VALUE"""),"from")</f>
        <v>from</v>
      </c>
      <c r="E408" s="2">
        <f>IFERROR(__xludf.DUMMYFUNCTION("""COMPUTED_VALUE"""),6.0)</f>
        <v>6</v>
      </c>
      <c r="F408" s="2" t="str">
        <f>IFERROR(__xludf.DUMMYFUNCTION("""COMPUTED_VALUE"""),"to")</f>
        <v>to</v>
      </c>
      <c r="G408" s="2">
        <f>IFERROR(__xludf.DUMMYFUNCTION("""COMPUTED_VALUE"""),5.0)</f>
        <v>5</v>
      </c>
    </row>
    <row r="409">
      <c r="A409" s="1" t="s">
        <v>142</v>
      </c>
      <c r="B409" s="2" t="str">
        <f>IFERROR(__xludf.DUMMYFUNCTION("SPLIT(A409, "" "")"),"move")</f>
        <v>move</v>
      </c>
      <c r="C409" s="2">
        <f>IFERROR(__xludf.DUMMYFUNCTION("""COMPUTED_VALUE"""),8.0)</f>
        <v>8</v>
      </c>
      <c r="D409" s="2" t="str">
        <f>IFERROR(__xludf.DUMMYFUNCTION("""COMPUTED_VALUE"""),"from")</f>
        <v>from</v>
      </c>
      <c r="E409" s="2">
        <f>IFERROR(__xludf.DUMMYFUNCTION("""COMPUTED_VALUE"""),5.0)</f>
        <v>5</v>
      </c>
      <c r="F409" s="2" t="str">
        <f>IFERROR(__xludf.DUMMYFUNCTION("""COMPUTED_VALUE"""),"to")</f>
        <v>to</v>
      </c>
      <c r="G409" s="2">
        <f>IFERROR(__xludf.DUMMYFUNCTION("""COMPUTED_VALUE"""),2.0)</f>
        <v>2</v>
      </c>
    </row>
    <row r="410">
      <c r="A410" s="1" t="s">
        <v>297</v>
      </c>
      <c r="B410" s="2" t="str">
        <f>IFERROR(__xludf.DUMMYFUNCTION("SPLIT(A410, "" "")"),"move")</f>
        <v>move</v>
      </c>
      <c r="C410" s="2">
        <f>IFERROR(__xludf.DUMMYFUNCTION("""COMPUTED_VALUE"""),7.0)</f>
        <v>7</v>
      </c>
      <c r="D410" s="2" t="str">
        <f>IFERROR(__xludf.DUMMYFUNCTION("""COMPUTED_VALUE"""),"from")</f>
        <v>from</v>
      </c>
      <c r="E410" s="2">
        <f>IFERROR(__xludf.DUMMYFUNCTION("""COMPUTED_VALUE"""),2.0)</f>
        <v>2</v>
      </c>
      <c r="F410" s="2" t="str">
        <f>IFERROR(__xludf.DUMMYFUNCTION("""COMPUTED_VALUE"""),"to")</f>
        <v>to</v>
      </c>
      <c r="G410" s="2">
        <f>IFERROR(__xludf.DUMMYFUNCTION("""COMPUTED_VALUE"""),3.0)</f>
        <v>3</v>
      </c>
    </row>
    <row r="411">
      <c r="A411" s="1" t="s">
        <v>298</v>
      </c>
      <c r="B411" s="2" t="str">
        <f>IFERROR(__xludf.DUMMYFUNCTION("SPLIT(A411, "" "")"),"move")</f>
        <v>move</v>
      </c>
      <c r="C411" s="2">
        <f>IFERROR(__xludf.DUMMYFUNCTION("""COMPUTED_VALUE"""),1.0)</f>
        <v>1</v>
      </c>
      <c r="D411" s="2" t="str">
        <f>IFERROR(__xludf.DUMMYFUNCTION("""COMPUTED_VALUE"""),"from")</f>
        <v>from</v>
      </c>
      <c r="E411" s="2">
        <f>IFERROR(__xludf.DUMMYFUNCTION("""COMPUTED_VALUE"""),3.0)</f>
        <v>3</v>
      </c>
      <c r="F411" s="2" t="str">
        <f>IFERROR(__xludf.DUMMYFUNCTION("""COMPUTED_VALUE"""),"to")</f>
        <v>to</v>
      </c>
      <c r="G411" s="2">
        <f>IFERROR(__xludf.DUMMYFUNCTION("""COMPUTED_VALUE"""),1.0)</f>
        <v>1</v>
      </c>
    </row>
    <row r="412">
      <c r="A412" s="1" t="s">
        <v>299</v>
      </c>
      <c r="B412" s="2" t="str">
        <f>IFERROR(__xludf.DUMMYFUNCTION("SPLIT(A412, "" "")"),"move")</f>
        <v>move</v>
      </c>
      <c r="C412" s="2">
        <f>IFERROR(__xludf.DUMMYFUNCTION("""COMPUTED_VALUE"""),7.0)</f>
        <v>7</v>
      </c>
      <c r="D412" s="2" t="str">
        <f>IFERROR(__xludf.DUMMYFUNCTION("""COMPUTED_VALUE"""),"from")</f>
        <v>from</v>
      </c>
      <c r="E412" s="2">
        <f>IFERROR(__xludf.DUMMYFUNCTION("""COMPUTED_VALUE"""),3.0)</f>
        <v>3</v>
      </c>
      <c r="F412" s="2" t="str">
        <f>IFERROR(__xludf.DUMMYFUNCTION("""COMPUTED_VALUE"""),"to")</f>
        <v>to</v>
      </c>
      <c r="G412" s="2">
        <f>IFERROR(__xludf.DUMMYFUNCTION("""COMPUTED_VALUE"""),5.0)</f>
        <v>5</v>
      </c>
    </row>
    <row r="413">
      <c r="A413" s="1" t="s">
        <v>66</v>
      </c>
      <c r="B413" s="2" t="str">
        <f>IFERROR(__xludf.DUMMYFUNCTION("SPLIT(A413, "" "")"),"move")</f>
        <v>move</v>
      </c>
      <c r="C413" s="2">
        <f>IFERROR(__xludf.DUMMYFUNCTION("""COMPUTED_VALUE"""),2.0)</f>
        <v>2</v>
      </c>
      <c r="D413" s="2" t="str">
        <f>IFERROR(__xludf.DUMMYFUNCTION("""COMPUTED_VALUE"""),"from")</f>
        <v>from</v>
      </c>
      <c r="E413" s="2">
        <f>IFERROR(__xludf.DUMMYFUNCTION("""COMPUTED_VALUE"""),4.0)</f>
        <v>4</v>
      </c>
      <c r="F413" s="2" t="str">
        <f>IFERROR(__xludf.DUMMYFUNCTION("""COMPUTED_VALUE"""),"to")</f>
        <v>to</v>
      </c>
      <c r="G413" s="2">
        <f>IFERROR(__xludf.DUMMYFUNCTION("""COMPUTED_VALUE"""),1.0)</f>
        <v>1</v>
      </c>
    </row>
    <row r="414">
      <c r="A414" s="1" t="s">
        <v>30</v>
      </c>
      <c r="B414" s="2" t="str">
        <f>IFERROR(__xludf.DUMMYFUNCTION("SPLIT(A414, "" "")"),"move")</f>
        <v>move</v>
      </c>
      <c r="C414" s="2">
        <f>IFERROR(__xludf.DUMMYFUNCTION("""COMPUTED_VALUE"""),1.0)</f>
        <v>1</v>
      </c>
      <c r="D414" s="2" t="str">
        <f>IFERROR(__xludf.DUMMYFUNCTION("""COMPUTED_VALUE"""),"from")</f>
        <v>from</v>
      </c>
      <c r="E414" s="2">
        <f>IFERROR(__xludf.DUMMYFUNCTION("""COMPUTED_VALUE"""),2.0)</f>
        <v>2</v>
      </c>
      <c r="F414" s="2" t="str">
        <f>IFERROR(__xludf.DUMMYFUNCTION("""COMPUTED_VALUE"""),"to")</f>
        <v>to</v>
      </c>
      <c r="G414" s="2">
        <f>IFERROR(__xludf.DUMMYFUNCTION("""COMPUTED_VALUE"""),6.0)</f>
        <v>6</v>
      </c>
    </row>
    <row r="415">
      <c r="A415" s="1" t="s">
        <v>53</v>
      </c>
      <c r="B415" s="2" t="str">
        <f>IFERROR(__xludf.DUMMYFUNCTION("SPLIT(A415, "" "")"),"move")</f>
        <v>move</v>
      </c>
      <c r="C415" s="2">
        <f>IFERROR(__xludf.DUMMYFUNCTION("""COMPUTED_VALUE"""),2.0)</f>
        <v>2</v>
      </c>
      <c r="D415" s="2" t="str">
        <f>IFERROR(__xludf.DUMMYFUNCTION("""COMPUTED_VALUE"""),"from")</f>
        <v>from</v>
      </c>
      <c r="E415" s="2">
        <f>IFERROR(__xludf.DUMMYFUNCTION("""COMPUTED_VALUE"""),1.0)</f>
        <v>1</v>
      </c>
      <c r="F415" s="2" t="str">
        <f>IFERROR(__xludf.DUMMYFUNCTION("""COMPUTED_VALUE"""),"to")</f>
        <v>to</v>
      </c>
      <c r="G415" s="2">
        <f>IFERROR(__xludf.DUMMYFUNCTION("""COMPUTED_VALUE"""),3.0)</f>
        <v>3</v>
      </c>
    </row>
    <row r="416">
      <c r="A416" s="1" t="s">
        <v>300</v>
      </c>
      <c r="B416" s="2" t="str">
        <f>IFERROR(__xludf.DUMMYFUNCTION("SPLIT(A416, "" "")"),"move")</f>
        <v>move</v>
      </c>
      <c r="C416" s="2">
        <f>IFERROR(__xludf.DUMMYFUNCTION("""COMPUTED_VALUE"""),8.0)</f>
        <v>8</v>
      </c>
      <c r="D416" s="2" t="str">
        <f>IFERROR(__xludf.DUMMYFUNCTION("""COMPUTED_VALUE"""),"from")</f>
        <v>from</v>
      </c>
      <c r="E416" s="2">
        <f>IFERROR(__xludf.DUMMYFUNCTION("""COMPUTED_VALUE"""),5.0)</f>
        <v>5</v>
      </c>
      <c r="F416" s="2" t="str">
        <f>IFERROR(__xludf.DUMMYFUNCTION("""COMPUTED_VALUE"""),"to")</f>
        <v>to</v>
      </c>
      <c r="G416" s="2">
        <f>IFERROR(__xludf.DUMMYFUNCTION("""COMPUTED_VALUE"""),9.0)</f>
        <v>9</v>
      </c>
    </row>
    <row r="417">
      <c r="A417" s="1" t="s">
        <v>301</v>
      </c>
      <c r="B417" s="2" t="str">
        <f>IFERROR(__xludf.DUMMYFUNCTION("SPLIT(A417, "" "")"),"move")</f>
        <v>move</v>
      </c>
      <c r="C417" s="2">
        <f>IFERROR(__xludf.DUMMYFUNCTION("""COMPUTED_VALUE"""),3.0)</f>
        <v>3</v>
      </c>
      <c r="D417" s="2" t="str">
        <f>IFERROR(__xludf.DUMMYFUNCTION("""COMPUTED_VALUE"""),"from")</f>
        <v>from</v>
      </c>
      <c r="E417" s="2">
        <f>IFERROR(__xludf.DUMMYFUNCTION("""COMPUTED_VALUE"""),1.0)</f>
        <v>1</v>
      </c>
      <c r="F417" s="2" t="str">
        <f>IFERROR(__xludf.DUMMYFUNCTION("""COMPUTED_VALUE"""),"to")</f>
        <v>to</v>
      </c>
      <c r="G417" s="2">
        <f>IFERROR(__xludf.DUMMYFUNCTION("""COMPUTED_VALUE"""),3.0)</f>
        <v>3</v>
      </c>
    </row>
    <row r="418">
      <c r="A418" s="1" t="s">
        <v>90</v>
      </c>
      <c r="B418" s="2" t="str">
        <f>IFERROR(__xludf.DUMMYFUNCTION("SPLIT(A418, "" "")"),"move")</f>
        <v>move</v>
      </c>
      <c r="C418" s="2">
        <f>IFERROR(__xludf.DUMMYFUNCTION("""COMPUTED_VALUE"""),1.0)</f>
        <v>1</v>
      </c>
      <c r="D418" s="2" t="str">
        <f>IFERROR(__xludf.DUMMYFUNCTION("""COMPUTED_VALUE"""),"from")</f>
        <v>from</v>
      </c>
      <c r="E418" s="2">
        <f>IFERROR(__xludf.DUMMYFUNCTION("""COMPUTED_VALUE"""),6.0)</f>
        <v>6</v>
      </c>
      <c r="F418" s="2" t="str">
        <f>IFERROR(__xludf.DUMMYFUNCTION("""COMPUTED_VALUE"""),"to")</f>
        <v>to</v>
      </c>
      <c r="G418" s="2">
        <f>IFERROR(__xludf.DUMMYFUNCTION("""COMPUTED_VALUE"""),1.0)</f>
        <v>1</v>
      </c>
    </row>
    <row r="419">
      <c r="A419" s="1" t="s">
        <v>66</v>
      </c>
      <c r="B419" s="2" t="str">
        <f>IFERROR(__xludf.DUMMYFUNCTION("SPLIT(A419, "" "")"),"move")</f>
        <v>move</v>
      </c>
      <c r="C419" s="2">
        <f>IFERROR(__xludf.DUMMYFUNCTION("""COMPUTED_VALUE"""),2.0)</f>
        <v>2</v>
      </c>
      <c r="D419" s="2" t="str">
        <f>IFERROR(__xludf.DUMMYFUNCTION("""COMPUTED_VALUE"""),"from")</f>
        <v>from</v>
      </c>
      <c r="E419" s="2">
        <f>IFERROR(__xludf.DUMMYFUNCTION("""COMPUTED_VALUE"""),4.0)</f>
        <v>4</v>
      </c>
      <c r="F419" s="2" t="str">
        <f>IFERROR(__xludf.DUMMYFUNCTION("""COMPUTED_VALUE"""),"to")</f>
        <v>to</v>
      </c>
      <c r="G419" s="2">
        <f>IFERROR(__xludf.DUMMYFUNCTION("""COMPUTED_VALUE"""),1.0)</f>
        <v>1</v>
      </c>
    </row>
    <row r="420">
      <c r="A420" s="1" t="s">
        <v>117</v>
      </c>
      <c r="B420" s="2" t="str">
        <f>IFERROR(__xludf.DUMMYFUNCTION("SPLIT(A420, "" "")"),"move")</f>
        <v>move</v>
      </c>
      <c r="C420" s="2">
        <f>IFERROR(__xludf.DUMMYFUNCTION("""COMPUTED_VALUE"""),1.0)</f>
        <v>1</v>
      </c>
      <c r="D420" s="2" t="str">
        <f>IFERROR(__xludf.DUMMYFUNCTION("""COMPUTED_VALUE"""),"from")</f>
        <v>from</v>
      </c>
      <c r="E420" s="2">
        <f>IFERROR(__xludf.DUMMYFUNCTION("""COMPUTED_VALUE"""),5.0)</f>
        <v>5</v>
      </c>
      <c r="F420" s="2" t="str">
        <f>IFERROR(__xludf.DUMMYFUNCTION("""COMPUTED_VALUE"""),"to")</f>
        <v>to</v>
      </c>
      <c r="G420" s="2">
        <f>IFERROR(__xludf.DUMMYFUNCTION("""COMPUTED_VALUE"""),2.0)</f>
        <v>2</v>
      </c>
    </row>
    <row r="421">
      <c r="A421" s="1" t="s">
        <v>193</v>
      </c>
      <c r="B421" s="2" t="str">
        <f>IFERROR(__xludf.DUMMYFUNCTION("SPLIT(A421, "" "")"),"move")</f>
        <v>move</v>
      </c>
      <c r="C421" s="2">
        <f>IFERROR(__xludf.DUMMYFUNCTION("""COMPUTED_VALUE"""),2.0)</f>
        <v>2</v>
      </c>
      <c r="D421" s="2" t="str">
        <f>IFERROR(__xludf.DUMMYFUNCTION("""COMPUTED_VALUE"""),"from")</f>
        <v>from</v>
      </c>
      <c r="E421" s="2">
        <f>IFERROR(__xludf.DUMMYFUNCTION("""COMPUTED_VALUE"""),1.0)</f>
        <v>1</v>
      </c>
      <c r="F421" s="2" t="str">
        <f>IFERROR(__xludf.DUMMYFUNCTION("""COMPUTED_VALUE"""),"to")</f>
        <v>to</v>
      </c>
      <c r="G421" s="2">
        <f>IFERROR(__xludf.DUMMYFUNCTION("""COMPUTED_VALUE"""),6.0)</f>
        <v>6</v>
      </c>
    </row>
    <row r="422">
      <c r="A422" s="1" t="s">
        <v>14</v>
      </c>
      <c r="B422" s="2" t="str">
        <f>IFERROR(__xludf.DUMMYFUNCTION("SPLIT(A422, "" "")"),"move")</f>
        <v>move</v>
      </c>
      <c r="C422" s="2">
        <f>IFERROR(__xludf.DUMMYFUNCTION("""COMPUTED_VALUE"""),2.0)</f>
        <v>2</v>
      </c>
      <c r="D422" s="2" t="str">
        <f>IFERROR(__xludf.DUMMYFUNCTION("""COMPUTED_VALUE"""),"from")</f>
        <v>from</v>
      </c>
      <c r="E422" s="2">
        <f>IFERROR(__xludf.DUMMYFUNCTION("""COMPUTED_VALUE"""),6.0)</f>
        <v>6</v>
      </c>
      <c r="F422" s="2" t="str">
        <f>IFERROR(__xludf.DUMMYFUNCTION("""COMPUTED_VALUE"""),"to")</f>
        <v>to</v>
      </c>
      <c r="G422" s="2">
        <f>IFERROR(__xludf.DUMMYFUNCTION("""COMPUTED_VALUE"""),3.0)</f>
        <v>3</v>
      </c>
    </row>
    <row r="423">
      <c r="A423" s="1" t="s">
        <v>104</v>
      </c>
      <c r="B423" s="2" t="str">
        <f>IFERROR(__xludf.DUMMYFUNCTION("SPLIT(A423, "" "")"),"move")</f>
        <v>move</v>
      </c>
      <c r="C423" s="2">
        <f>IFERROR(__xludf.DUMMYFUNCTION("""COMPUTED_VALUE"""),2.0)</f>
        <v>2</v>
      </c>
      <c r="D423" s="2" t="str">
        <f>IFERROR(__xludf.DUMMYFUNCTION("""COMPUTED_VALUE"""),"from")</f>
        <v>from</v>
      </c>
      <c r="E423" s="2">
        <f>IFERROR(__xludf.DUMMYFUNCTION("""COMPUTED_VALUE"""),3.0)</f>
        <v>3</v>
      </c>
      <c r="F423" s="2" t="str">
        <f>IFERROR(__xludf.DUMMYFUNCTION("""COMPUTED_VALUE"""),"to")</f>
        <v>to</v>
      </c>
      <c r="G423" s="2">
        <f>IFERROR(__xludf.DUMMYFUNCTION("""COMPUTED_VALUE"""),2.0)</f>
        <v>2</v>
      </c>
    </row>
    <row r="424">
      <c r="A424" s="1" t="s">
        <v>123</v>
      </c>
      <c r="B424" s="2" t="str">
        <f>IFERROR(__xludf.DUMMYFUNCTION("SPLIT(A424, "" "")"),"move")</f>
        <v>move</v>
      </c>
      <c r="C424" s="2">
        <f>IFERROR(__xludf.DUMMYFUNCTION("""COMPUTED_VALUE"""),2.0)</f>
        <v>2</v>
      </c>
      <c r="D424" s="2" t="str">
        <f>IFERROR(__xludf.DUMMYFUNCTION("""COMPUTED_VALUE"""),"from")</f>
        <v>from</v>
      </c>
      <c r="E424" s="2">
        <f>IFERROR(__xludf.DUMMYFUNCTION("""COMPUTED_VALUE"""),2.0)</f>
        <v>2</v>
      </c>
      <c r="F424" s="2" t="str">
        <f>IFERROR(__xludf.DUMMYFUNCTION("""COMPUTED_VALUE"""),"to")</f>
        <v>to</v>
      </c>
      <c r="G424" s="2">
        <f>IFERROR(__xludf.DUMMYFUNCTION("""COMPUTED_VALUE"""),4.0)</f>
        <v>4</v>
      </c>
    </row>
    <row r="425">
      <c r="A425" s="1" t="s">
        <v>30</v>
      </c>
      <c r="B425" s="2" t="str">
        <f>IFERROR(__xludf.DUMMYFUNCTION("SPLIT(A425, "" "")"),"move")</f>
        <v>move</v>
      </c>
      <c r="C425" s="2">
        <f>IFERROR(__xludf.DUMMYFUNCTION("""COMPUTED_VALUE"""),1.0)</f>
        <v>1</v>
      </c>
      <c r="D425" s="2" t="str">
        <f>IFERROR(__xludf.DUMMYFUNCTION("""COMPUTED_VALUE"""),"from")</f>
        <v>from</v>
      </c>
      <c r="E425" s="2">
        <f>IFERROR(__xludf.DUMMYFUNCTION("""COMPUTED_VALUE"""),2.0)</f>
        <v>2</v>
      </c>
      <c r="F425" s="2" t="str">
        <f>IFERROR(__xludf.DUMMYFUNCTION("""COMPUTED_VALUE"""),"to")</f>
        <v>to</v>
      </c>
      <c r="G425" s="2">
        <f>IFERROR(__xludf.DUMMYFUNCTION("""COMPUTED_VALUE"""),6.0)</f>
        <v>6</v>
      </c>
    </row>
    <row r="426">
      <c r="A426" s="1" t="s">
        <v>302</v>
      </c>
      <c r="B426" s="2" t="str">
        <f>IFERROR(__xludf.DUMMYFUNCTION("SPLIT(A426, "" "")"),"move")</f>
        <v>move</v>
      </c>
      <c r="C426" s="2">
        <f>IFERROR(__xludf.DUMMYFUNCTION("""COMPUTED_VALUE"""),3.0)</f>
        <v>3</v>
      </c>
      <c r="D426" s="2" t="str">
        <f>IFERROR(__xludf.DUMMYFUNCTION("""COMPUTED_VALUE"""),"from")</f>
        <v>from</v>
      </c>
      <c r="E426" s="2">
        <f>IFERROR(__xludf.DUMMYFUNCTION("""COMPUTED_VALUE"""),3.0)</f>
        <v>3</v>
      </c>
      <c r="F426" s="2" t="str">
        <f>IFERROR(__xludf.DUMMYFUNCTION("""COMPUTED_VALUE"""),"to")</f>
        <v>to</v>
      </c>
      <c r="G426" s="2">
        <f>IFERROR(__xludf.DUMMYFUNCTION("""COMPUTED_VALUE"""),9.0)</f>
        <v>9</v>
      </c>
    </row>
    <row r="427">
      <c r="A427" s="1" t="s">
        <v>226</v>
      </c>
      <c r="B427" s="2" t="str">
        <f>IFERROR(__xludf.DUMMYFUNCTION("SPLIT(A427, "" "")"),"move")</f>
        <v>move</v>
      </c>
      <c r="C427" s="2">
        <f>IFERROR(__xludf.DUMMYFUNCTION("""COMPUTED_VALUE"""),2.0)</f>
        <v>2</v>
      </c>
      <c r="D427" s="2" t="str">
        <f>IFERROR(__xludf.DUMMYFUNCTION("""COMPUTED_VALUE"""),"from")</f>
        <v>from</v>
      </c>
      <c r="E427" s="2">
        <f>IFERROR(__xludf.DUMMYFUNCTION("""COMPUTED_VALUE"""),4.0)</f>
        <v>4</v>
      </c>
      <c r="F427" s="2" t="str">
        <f>IFERROR(__xludf.DUMMYFUNCTION("""COMPUTED_VALUE"""),"to")</f>
        <v>to</v>
      </c>
      <c r="G427" s="2">
        <f>IFERROR(__xludf.DUMMYFUNCTION("""COMPUTED_VALUE"""),8.0)</f>
        <v>8</v>
      </c>
    </row>
    <row r="428">
      <c r="A428" s="1" t="s">
        <v>303</v>
      </c>
      <c r="B428" s="2" t="str">
        <f>IFERROR(__xludf.DUMMYFUNCTION("SPLIT(A428, "" "")"),"move")</f>
        <v>move</v>
      </c>
      <c r="C428" s="2">
        <f>IFERROR(__xludf.DUMMYFUNCTION("""COMPUTED_VALUE"""),3.0)</f>
        <v>3</v>
      </c>
      <c r="D428" s="2" t="str">
        <f>IFERROR(__xludf.DUMMYFUNCTION("""COMPUTED_VALUE"""),"from")</f>
        <v>from</v>
      </c>
      <c r="E428" s="2">
        <f>IFERROR(__xludf.DUMMYFUNCTION("""COMPUTED_VALUE"""),3.0)</f>
        <v>3</v>
      </c>
      <c r="F428" s="2" t="str">
        <f>IFERROR(__xludf.DUMMYFUNCTION("""COMPUTED_VALUE"""),"to")</f>
        <v>to</v>
      </c>
      <c r="G428" s="2">
        <f>IFERROR(__xludf.DUMMYFUNCTION("""COMPUTED_VALUE"""),1.0)</f>
        <v>1</v>
      </c>
    </row>
    <row r="429">
      <c r="A429" s="1" t="s">
        <v>304</v>
      </c>
      <c r="B429" s="2" t="str">
        <f>IFERROR(__xludf.DUMMYFUNCTION("SPLIT(A429, "" "")"),"move")</f>
        <v>move</v>
      </c>
      <c r="C429" s="2">
        <f>IFERROR(__xludf.DUMMYFUNCTION("""COMPUTED_VALUE"""),4.0)</f>
        <v>4</v>
      </c>
      <c r="D429" s="2" t="str">
        <f>IFERROR(__xludf.DUMMYFUNCTION("""COMPUTED_VALUE"""),"from")</f>
        <v>from</v>
      </c>
      <c r="E429" s="2">
        <f>IFERROR(__xludf.DUMMYFUNCTION("""COMPUTED_VALUE"""),1.0)</f>
        <v>1</v>
      </c>
      <c r="F429" s="2" t="str">
        <f>IFERROR(__xludf.DUMMYFUNCTION("""COMPUTED_VALUE"""),"to")</f>
        <v>to</v>
      </c>
      <c r="G429" s="2">
        <f>IFERROR(__xludf.DUMMYFUNCTION("""COMPUTED_VALUE"""),7.0)</f>
        <v>7</v>
      </c>
    </row>
    <row r="430">
      <c r="A430" s="1" t="s">
        <v>21</v>
      </c>
      <c r="B430" s="2" t="str">
        <f>IFERROR(__xludf.DUMMYFUNCTION("SPLIT(A430, "" "")"),"move")</f>
        <v>move</v>
      </c>
      <c r="C430" s="2">
        <f>IFERROR(__xludf.DUMMYFUNCTION("""COMPUTED_VALUE"""),2.0)</f>
        <v>2</v>
      </c>
      <c r="D430" s="2" t="str">
        <f>IFERROR(__xludf.DUMMYFUNCTION("""COMPUTED_VALUE"""),"from")</f>
        <v>from</v>
      </c>
      <c r="E430" s="2">
        <f>IFERROR(__xludf.DUMMYFUNCTION("""COMPUTED_VALUE"""),8.0)</f>
        <v>8</v>
      </c>
      <c r="F430" s="2" t="str">
        <f>IFERROR(__xludf.DUMMYFUNCTION("""COMPUTED_VALUE"""),"to")</f>
        <v>to</v>
      </c>
      <c r="G430" s="2">
        <f>IFERROR(__xludf.DUMMYFUNCTION("""COMPUTED_VALUE"""),4.0)</f>
        <v>4</v>
      </c>
    </row>
    <row r="431">
      <c r="A431" s="1" t="s">
        <v>305</v>
      </c>
      <c r="B431" s="2" t="str">
        <f>IFERROR(__xludf.DUMMYFUNCTION("SPLIT(A431, "" "")"),"move")</f>
        <v>move</v>
      </c>
      <c r="C431" s="2">
        <f>IFERROR(__xludf.DUMMYFUNCTION("""COMPUTED_VALUE"""),7.0)</f>
        <v>7</v>
      </c>
      <c r="D431" s="2" t="str">
        <f>IFERROR(__xludf.DUMMYFUNCTION("""COMPUTED_VALUE"""),"from")</f>
        <v>from</v>
      </c>
      <c r="E431" s="2">
        <f>IFERROR(__xludf.DUMMYFUNCTION("""COMPUTED_VALUE"""),9.0)</f>
        <v>9</v>
      </c>
      <c r="F431" s="2" t="str">
        <f>IFERROR(__xludf.DUMMYFUNCTION("""COMPUTED_VALUE"""),"to")</f>
        <v>to</v>
      </c>
      <c r="G431" s="2">
        <f>IFERROR(__xludf.DUMMYFUNCTION("""COMPUTED_VALUE"""),6.0)</f>
        <v>6</v>
      </c>
    </row>
    <row r="432">
      <c r="A432" s="1" t="s">
        <v>8</v>
      </c>
      <c r="B432" s="2" t="str">
        <f>IFERROR(__xludf.DUMMYFUNCTION("SPLIT(A432, "" "")"),"move")</f>
        <v>move</v>
      </c>
      <c r="C432" s="2">
        <f>IFERROR(__xludf.DUMMYFUNCTION("""COMPUTED_VALUE"""),1.0)</f>
        <v>1</v>
      </c>
      <c r="D432" s="2" t="str">
        <f>IFERROR(__xludf.DUMMYFUNCTION("""COMPUTED_VALUE"""),"from")</f>
        <v>from</v>
      </c>
      <c r="E432" s="2">
        <f>IFERROR(__xludf.DUMMYFUNCTION("""COMPUTED_VALUE"""),1.0)</f>
        <v>1</v>
      </c>
      <c r="F432" s="2" t="str">
        <f>IFERROR(__xludf.DUMMYFUNCTION("""COMPUTED_VALUE"""),"to")</f>
        <v>to</v>
      </c>
      <c r="G432" s="2">
        <f>IFERROR(__xludf.DUMMYFUNCTION("""COMPUTED_VALUE"""),4.0)</f>
        <v>4</v>
      </c>
    </row>
    <row r="433">
      <c r="A433" s="1" t="s">
        <v>306</v>
      </c>
      <c r="B433" s="2" t="str">
        <f>IFERROR(__xludf.DUMMYFUNCTION("SPLIT(A433, "" "")"),"move")</f>
        <v>move</v>
      </c>
      <c r="C433" s="2">
        <f>IFERROR(__xludf.DUMMYFUNCTION("""COMPUTED_VALUE"""),11.0)</f>
        <v>11</v>
      </c>
      <c r="D433" s="2" t="str">
        <f>IFERROR(__xludf.DUMMYFUNCTION("""COMPUTED_VALUE"""),"from")</f>
        <v>from</v>
      </c>
      <c r="E433" s="2">
        <f>IFERROR(__xludf.DUMMYFUNCTION("""COMPUTED_VALUE"""),9.0)</f>
        <v>9</v>
      </c>
      <c r="F433" s="2" t="str">
        <f>IFERROR(__xludf.DUMMYFUNCTION("""COMPUTED_VALUE"""),"to")</f>
        <v>to</v>
      </c>
      <c r="G433" s="2">
        <f>IFERROR(__xludf.DUMMYFUNCTION("""COMPUTED_VALUE"""),7.0)</f>
        <v>7</v>
      </c>
    </row>
    <row r="434">
      <c r="A434" s="1" t="s">
        <v>307</v>
      </c>
      <c r="B434" s="2" t="str">
        <f>IFERROR(__xludf.DUMMYFUNCTION("SPLIT(A434, "" "")"),"move")</f>
        <v>move</v>
      </c>
      <c r="C434" s="2">
        <f>IFERROR(__xludf.DUMMYFUNCTION("""COMPUTED_VALUE"""),3.0)</f>
        <v>3</v>
      </c>
      <c r="D434" s="2" t="str">
        <f>IFERROR(__xludf.DUMMYFUNCTION("""COMPUTED_VALUE"""),"from")</f>
        <v>from</v>
      </c>
      <c r="E434" s="2">
        <f>IFERROR(__xludf.DUMMYFUNCTION("""COMPUTED_VALUE"""),9.0)</f>
        <v>9</v>
      </c>
      <c r="F434" s="2" t="str">
        <f>IFERROR(__xludf.DUMMYFUNCTION("""COMPUTED_VALUE"""),"to")</f>
        <v>to</v>
      </c>
      <c r="G434" s="2">
        <f>IFERROR(__xludf.DUMMYFUNCTION("""COMPUTED_VALUE"""),3.0)</f>
        <v>3</v>
      </c>
    </row>
    <row r="435">
      <c r="A435" s="1" t="s">
        <v>308</v>
      </c>
      <c r="B435" s="2" t="str">
        <f>IFERROR(__xludf.DUMMYFUNCTION("SPLIT(A435, "" "")"),"move")</f>
        <v>move</v>
      </c>
      <c r="C435" s="2">
        <f>IFERROR(__xludf.DUMMYFUNCTION("""COMPUTED_VALUE"""),14.0)</f>
        <v>14</v>
      </c>
      <c r="D435" s="2" t="str">
        <f>IFERROR(__xludf.DUMMYFUNCTION("""COMPUTED_VALUE"""),"from")</f>
        <v>from</v>
      </c>
      <c r="E435" s="2">
        <f>IFERROR(__xludf.DUMMYFUNCTION("""COMPUTED_VALUE"""),9.0)</f>
        <v>9</v>
      </c>
      <c r="F435" s="2" t="str">
        <f>IFERROR(__xludf.DUMMYFUNCTION("""COMPUTED_VALUE"""),"to")</f>
        <v>to</v>
      </c>
      <c r="G435" s="2">
        <f>IFERROR(__xludf.DUMMYFUNCTION("""COMPUTED_VALUE"""),5.0)</f>
        <v>5</v>
      </c>
    </row>
    <row r="436">
      <c r="A436" s="1" t="s">
        <v>309</v>
      </c>
      <c r="B436" s="2" t="str">
        <f>IFERROR(__xludf.DUMMYFUNCTION("SPLIT(A436, "" "")"),"move")</f>
        <v>move</v>
      </c>
      <c r="C436" s="2">
        <f>IFERROR(__xludf.DUMMYFUNCTION("""COMPUTED_VALUE"""),6.0)</f>
        <v>6</v>
      </c>
      <c r="D436" s="2" t="str">
        <f>IFERROR(__xludf.DUMMYFUNCTION("""COMPUTED_VALUE"""),"from")</f>
        <v>from</v>
      </c>
      <c r="E436" s="2">
        <f>IFERROR(__xludf.DUMMYFUNCTION("""COMPUTED_VALUE"""),6.0)</f>
        <v>6</v>
      </c>
      <c r="F436" s="2" t="str">
        <f>IFERROR(__xludf.DUMMYFUNCTION("""COMPUTED_VALUE"""),"to")</f>
        <v>to</v>
      </c>
      <c r="G436" s="2">
        <f>IFERROR(__xludf.DUMMYFUNCTION("""COMPUTED_VALUE"""),5.0)</f>
        <v>5</v>
      </c>
    </row>
    <row r="437">
      <c r="A437" s="1" t="s">
        <v>65</v>
      </c>
      <c r="B437" s="2" t="str">
        <f>IFERROR(__xludf.DUMMYFUNCTION("SPLIT(A437, "" "")"),"move")</f>
        <v>move</v>
      </c>
      <c r="C437" s="2">
        <f>IFERROR(__xludf.DUMMYFUNCTION("""COMPUTED_VALUE"""),4.0)</f>
        <v>4</v>
      </c>
      <c r="D437" s="2" t="str">
        <f>IFERROR(__xludf.DUMMYFUNCTION("""COMPUTED_VALUE"""),"from")</f>
        <v>from</v>
      </c>
      <c r="E437" s="2">
        <f>IFERROR(__xludf.DUMMYFUNCTION("""COMPUTED_VALUE"""),5.0)</f>
        <v>5</v>
      </c>
      <c r="F437" s="2" t="str">
        <f>IFERROR(__xludf.DUMMYFUNCTION("""COMPUTED_VALUE"""),"to")</f>
        <v>to</v>
      </c>
      <c r="G437" s="2">
        <f>IFERROR(__xludf.DUMMYFUNCTION("""COMPUTED_VALUE"""),9.0)</f>
        <v>9</v>
      </c>
    </row>
    <row r="438">
      <c r="A438" s="1" t="s">
        <v>310</v>
      </c>
      <c r="B438" s="2" t="str">
        <f>IFERROR(__xludf.DUMMYFUNCTION("SPLIT(A438, "" "")"),"move")</f>
        <v>move</v>
      </c>
      <c r="C438" s="2">
        <f>IFERROR(__xludf.DUMMYFUNCTION("""COMPUTED_VALUE"""),10.0)</f>
        <v>10</v>
      </c>
      <c r="D438" s="2" t="str">
        <f>IFERROR(__xludf.DUMMYFUNCTION("""COMPUTED_VALUE"""),"from")</f>
        <v>from</v>
      </c>
      <c r="E438" s="2">
        <f>IFERROR(__xludf.DUMMYFUNCTION("""COMPUTED_VALUE"""),7.0)</f>
        <v>7</v>
      </c>
      <c r="F438" s="2" t="str">
        <f>IFERROR(__xludf.DUMMYFUNCTION("""COMPUTED_VALUE"""),"to")</f>
        <v>to</v>
      </c>
      <c r="G438" s="2">
        <f>IFERROR(__xludf.DUMMYFUNCTION("""COMPUTED_VALUE"""),6.0)</f>
        <v>6</v>
      </c>
    </row>
    <row r="439">
      <c r="A439" s="1" t="s">
        <v>311</v>
      </c>
      <c r="B439" s="2" t="str">
        <f>IFERROR(__xludf.DUMMYFUNCTION("SPLIT(A439, "" "")"),"move")</f>
        <v>move</v>
      </c>
      <c r="C439" s="2">
        <f>IFERROR(__xludf.DUMMYFUNCTION("""COMPUTED_VALUE"""),1.0)</f>
        <v>1</v>
      </c>
      <c r="D439" s="2" t="str">
        <f>IFERROR(__xludf.DUMMYFUNCTION("""COMPUTED_VALUE"""),"from")</f>
        <v>from</v>
      </c>
      <c r="E439" s="2">
        <f>IFERROR(__xludf.DUMMYFUNCTION("""COMPUTED_VALUE"""),3.0)</f>
        <v>3</v>
      </c>
      <c r="F439" s="2" t="str">
        <f>IFERROR(__xludf.DUMMYFUNCTION("""COMPUTED_VALUE"""),"to")</f>
        <v>to</v>
      </c>
      <c r="G439" s="2">
        <f>IFERROR(__xludf.DUMMYFUNCTION("""COMPUTED_VALUE"""),7.0)</f>
        <v>7</v>
      </c>
    </row>
    <row r="440">
      <c r="A440" s="1" t="s">
        <v>66</v>
      </c>
      <c r="B440" s="2" t="str">
        <f>IFERROR(__xludf.DUMMYFUNCTION("SPLIT(A440, "" "")"),"move")</f>
        <v>move</v>
      </c>
      <c r="C440" s="2">
        <f>IFERROR(__xludf.DUMMYFUNCTION("""COMPUTED_VALUE"""),2.0)</f>
        <v>2</v>
      </c>
      <c r="D440" s="2" t="str">
        <f>IFERROR(__xludf.DUMMYFUNCTION("""COMPUTED_VALUE"""),"from")</f>
        <v>from</v>
      </c>
      <c r="E440" s="2">
        <f>IFERROR(__xludf.DUMMYFUNCTION("""COMPUTED_VALUE"""),4.0)</f>
        <v>4</v>
      </c>
      <c r="F440" s="2" t="str">
        <f>IFERROR(__xludf.DUMMYFUNCTION("""COMPUTED_VALUE"""),"to")</f>
        <v>to</v>
      </c>
      <c r="G440" s="2">
        <f>IFERROR(__xludf.DUMMYFUNCTION("""COMPUTED_VALUE"""),1.0)</f>
        <v>1</v>
      </c>
    </row>
    <row r="441">
      <c r="A441" s="1" t="s">
        <v>312</v>
      </c>
      <c r="B441" s="2" t="str">
        <f>IFERROR(__xludf.DUMMYFUNCTION("SPLIT(A441, "" "")"),"move")</f>
        <v>move</v>
      </c>
      <c r="C441" s="2">
        <f>IFERROR(__xludf.DUMMYFUNCTION("""COMPUTED_VALUE"""),4.0)</f>
        <v>4</v>
      </c>
      <c r="D441" s="2" t="str">
        <f>IFERROR(__xludf.DUMMYFUNCTION("""COMPUTED_VALUE"""),"from")</f>
        <v>from</v>
      </c>
      <c r="E441" s="2">
        <f>IFERROR(__xludf.DUMMYFUNCTION("""COMPUTED_VALUE"""),7.0)</f>
        <v>7</v>
      </c>
      <c r="F441" s="2" t="str">
        <f>IFERROR(__xludf.DUMMYFUNCTION("""COMPUTED_VALUE"""),"to")</f>
        <v>to</v>
      </c>
      <c r="G441" s="2">
        <f>IFERROR(__xludf.DUMMYFUNCTION("""COMPUTED_VALUE"""),9.0)</f>
        <v>9</v>
      </c>
    </row>
    <row r="442">
      <c r="A442" s="1" t="s">
        <v>313</v>
      </c>
      <c r="B442" s="2" t="str">
        <f>IFERROR(__xludf.DUMMYFUNCTION("SPLIT(A442, "" "")"),"move")</f>
        <v>move</v>
      </c>
      <c r="C442" s="2">
        <f>IFERROR(__xludf.DUMMYFUNCTION("""COMPUTED_VALUE"""),9.0)</f>
        <v>9</v>
      </c>
      <c r="D442" s="2" t="str">
        <f>IFERROR(__xludf.DUMMYFUNCTION("""COMPUTED_VALUE"""),"from")</f>
        <v>from</v>
      </c>
      <c r="E442" s="2">
        <f>IFERROR(__xludf.DUMMYFUNCTION("""COMPUTED_VALUE"""),6.0)</f>
        <v>6</v>
      </c>
      <c r="F442" s="2" t="str">
        <f>IFERROR(__xludf.DUMMYFUNCTION("""COMPUTED_VALUE"""),"to")</f>
        <v>to</v>
      </c>
      <c r="G442" s="2">
        <f>IFERROR(__xludf.DUMMYFUNCTION("""COMPUTED_VALUE"""),1.0)</f>
        <v>1</v>
      </c>
    </row>
    <row r="443">
      <c r="A443" s="1" t="s">
        <v>61</v>
      </c>
      <c r="B443" s="2" t="str">
        <f>IFERROR(__xludf.DUMMYFUNCTION("SPLIT(A443, "" "")"),"move")</f>
        <v>move</v>
      </c>
      <c r="C443" s="2">
        <f>IFERROR(__xludf.DUMMYFUNCTION("""COMPUTED_VALUE"""),3.0)</f>
        <v>3</v>
      </c>
      <c r="D443" s="2" t="str">
        <f>IFERROR(__xludf.DUMMYFUNCTION("""COMPUTED_VALUE"""),"from")</f>
        <v>from</v>
      </c>
      <c r="E443" s="2">
        <f>IFERROR(__xludf.DUMMYFUNCTION("""COMPUTED_VALUE"""),6.0)</f>
        <v>6</v>
      </c>
      <c r="F443" s="2" t="str">
        <f>IFERROR(__xludf.DUMMYFUNCTION("""COMPUTED_VALUE"""),"to")</f>
        <v>to</v>
      </c>
      <c r="G443" s="2">
        <f>IFERROR(__xludf.DUMMYFUNCTION("""COMPUTED_VALUE"""),5.0)</f>
        <v>5</v>
      </c>
    </row>
    <row r="444">
      <c r="A444" s="1" t="s">
        <v>314</v>
      </c>
      <c r="B444" s="2" t="str">
        <f>IFERROR(__xludf.DUMMYFUNCTION("SPLIT(A444, "" "")"),"move")</f>
        <v>move</v>
      </c>
      <c r="C444" s="2">
        <f>IFERROR(__xludf.DUMMYFUNCTION("""COMPUTED_VALUE"""),15.0)</f>
        <v>15</v>
      </c>
      <c r="D444" s="2" t="str">
        <f>IFERROR(__xludf.DUMMYFUNCTION("""COMPUTED_VALUE"""),"from")</f>
        <v>from</v>
      </c>
      <c r="E444" s="2">
        <f>IFERROR(__xludf.DUMMYFUNCTION("""COMPUTED_VALUE"""),9.0)</f>
        <v>9</v>
      </c>
      <c r="F444" s="2" t="str">
        <f>IFERROR(__xludf.DUMMYFUNCTION("""COMPUTED_VALUE"""),"to")</f>
        <v>to</v>
      </c>
      <c r="G444" s="2">
        <f>IFERROR(__xludf.DUMMYFUNCTION("""COMPUTED_VALUE"""),1.0)</f>
        <v>1</v>
      </c>
    </row>
    <row r="445">
      <c r="A445" s="1" t="s">
        <v>120</v>
      </c>
      <c r="B445" s="2" t="str">
        <f>IFERROR(__xludf.DUMMYFUNCTION("SPLIT(A445, "" "")"),"move")</f>
        <v>move</v>
      </c>
      <c r="C445" s="2">
        <f>IFERROR(__xludf.DUMMYFUNCTION("""COMPUTED_VALUE"""),1.0)</f>
        <v>1</v>
      </c>
      <c r="D445" s="2" t="str">
        <f>IFERROR(__xludf.DUMMYFUNCTION("""COMPUTED_VALUE"""),"from")</f>
        <v>from</v>
      </c>
      <c r="E445" s="2">
        <f>IFERROR(__xludf.DUMMYFUNCTION("""COMPUTED_VALUE"""),4.0)</f>
        <v>4</v>
      </c>
      <c r="F445" s="2" t="str">
        <f>IFERROR(__xludf.DUMMYFUNCTION("""COMPUTED_VALUE"""),"to")</f>
        <v>to</v>
      </c>
      <c r="G445" s="2">
        <f>IFERROR(__xludf.DUMMYFUNCTION("""COMPUTED_VALUE"""),7.0)</f>
        <v>7</v>
      </c>
    </row>
    <row r="446">
      <c r="A446" s="1" t="s">
        <v>80</v>
      </c>
      <c r="B446" s="2" t="str">
        <f>IFERROR(__xludf.DUMMYFUNCTION("SPLIT(A446, "" "")"),"move")</f>
        <v>move</v>
      </c>
      <c r="C446" s="2">
        <f>IFERROR(__xludf.DUMMYFUNCTION("""COMPUTED_VALUE"""),4.0)</f>
        <v>4</v>
      </c>
      <c r="D446" s="2" t="str">
        <f>IFERROR(__xludf.DUMMYFUNCTION("""COMPUTED_VALUE"""),"from")</f>
        <v>from</v>
      </c>
      <c r="E446" s="2">
        <f>IFERROR(__xludf.DUMMYFUNCTION("""COMPUTED_VALUE"""),9.0)</f>
        <v>9</v>
      </c>
      <c r="F446" s="2" t="str">
        <f>IFERROR(__xludf.DUMMYFUNCTION("""COMPUTED_VALUE"""),"to")</f>
        <v>to</v>
      </c>
      <c r="G446" s="2">
        <f>IFERROR(__xludf.DUMMYFUNCTION("""COMPUTED_VALUE"""),7.0)</f>
        <v>7</v>
      </c>
    </row>
    <row r="447">
      <c r="A447" s="1" t="s">
        <v>315</v>
      </c>
      <c r="B447" s="2" t="str">
        <f>IFERROR(__xludf.DUMMYFUNCTION("SPLIT(A447, "" "")"),"move")</f>
        <v>move</v>
      </c>
      <c r="C447" s="2">
        <f>IFERROR(__xludf.DUMMYFUNCTION("""COMPUTED_VALUE"""),12.0)</f>
        <v>12</v>
      </c>
      <c r="D447" s="2" t="str">
        <f>IFERROR(__xludf.DUMMYFUNCTION("""COMPUTED_VALUE"""),"from")</f>
        <v>from</v>
      </c>
      <c r="E447" s="2">
        <f>IFERROR(__xludf.DUMMYFUNCTION("""COMPUTED_VALUE"""),5.0)</f>
        <v>5</v>
      </c>
      <c r="F447" s="2" t="str">
        <f>IFERROR(__xludf.DUMMYFUNCTION("""COMPUTED_VALUE"""),"to")</f>
        <v>to</v>
      </c>
      <c r="G447" s="2">
        <f>IFERROR(__xludf.DUMMYFUNCTION("""COMPUTED_VALUE"""),1.0)</f>
        <v>1</v>
      </c>
    </row>
    <row r="448">
      <c r="A448" s="1" t="s">
        <v>316</v>
      </c>
      <c r="B448" s="2" t="str">
        <f>IFERROR(__xludf.DUMMYFUNCTION("SPLIT(A448, "" "")"),"move")</f>
        <v>move</v>
      </c>
      <c r="C448" s="2">
        <f>IFERROR(__xludf.DUMMYFUNCTION("""COMPUTED_VALUE"""),3.0)</f>
        <v>3</v>
      </c>
      <c r="D448" s="2" t="str">
        <f>IFERROR(__xludf.DUMMYFUNCTION("""COMPUTED_VALUE"""),"from")</f>
        <v>from</v>
      </c>
      <c r="E448" s="2">
        <f>IFERROR(__xludf.DUMMYFUNCTION("""COMPUTED_VALUE"""),7.0)</f>
        <v>7</v>
      </c>
      <c r="F448" s="2" t="str">
        <f>IFERROR(__xludf.DUMMYFUNCTION("""COMPUTED_VALUE"""),"to")</f>
        <v>to</v>
      </c>
      <c r="G448" s="2">
        <f>IFERROR(__xludf.DUMMYFUNCTION("""COMPUTED_VALUE"""),3.0)</f>
        <v>3</v>
      </c>
    </row>
    <row r="449">
      <c r="A449" s="1" t="s">
        <v>317</v>
      </c>
      <c r="B449" s="2" t="str">
        <f>IFERROR(__xludf.DUMMYFUNCTION("SPLIT(A449, "" "")"),"move")</f>
        <v>move</v>
      </c>
      <c r="C449" s="2">
        <f>IFERROR(__xludf.DUMMYFUNCTION("""COMPUTED_VALUE"""),4.0)</f>
        <v>4</v>
      </c>
      <c r="D449" s="2" t="str">
        <f>IFERROR(__xludf.DUMMYFUNCTION("""COMPUTED_VALUE"""),"from")</f>
        <v>from</v>
      </c>
      <c r="E449" s="2">
        <f>IFERROR(__xludf.DUMMYFUNCTION("""COMPUTED_VALUE"""),7.0)</f>
        <v>7</v>
      </c>
      <c r="F449" s="2" t="str">
        <f>IFERROR(__xludf.DUMMYFUNCTION("""COMPUTED_VALUE"""),"to")</f>
        <v>to</v>
      </c>
      <c r="G449" s="2">
        <f>IFERROR(__xludf.DUMMYFUNCTION("""COMPUTED_VALUE"""),2.0)</f>
        <v>2</v>
      </c>
    </row>
    <row r="450">
      <c r="A450" s="1" t="s">
        <v>92</v>
      </c>
      <c r="B450" s="2" t="str">
        <f>IFERROR(__xludf.DUMMYFUNCTION("SPLIT(A450, "" "")"),"move")</f>
        <v>move</v>
      </c>
      <c r="C450" s="2">
        <f>IFERROR(__xludf.DUMMYFUNCTION("""COMPUTED_VALUE"""),1.0)</f>
        <v>1</v>
      </c>
      <c r="D450" s="2" t="str">
        <f>IFERROR(__xludf.DUMMYFUNCTION("""COMPUTED_VALUE"""),"from")</f>
        <v>from</v>
      </c>
      <c r="E450" s="2">
        <f>IFERROR(__xludf.DUMMYFUNCTION("""COMPUTED_VALUE"""),9.0)</f>
        <v>9</v>
      </c>
      <c r="F450" s="2" t="str">
        <f>IFERROR(__xludf.DUMMYFUNCTION("""COMPUTED_VALUE"""),"to")</f>
        <v>to</v>
      </c>
      <c r="G450" s="2">
        <f>IFERROR(__xludf.DUMMYFUNCTION("""COMPUTED_VALUE"""),3.0)</f>
        <v>3</v>
      </c>
    </row>
    <row r="451">
      <c r="A451" s="1" t="s">
        <v>244</v>
      </c>
      <c r="B451" s="2" t="str">
        <f>IFERROR(__xludf.DUMMYFUNCTION("SPLIT(A451, "" "")"),"move")</f>
        <v>move</v>
      </c>
      <c r="C451" s="2">
        <f>IFERROR(__xludf.DUMMYFUNCTION("""COMPUTED_VALUE"""),22.0)</f>
        <v>22</v>
      </c>
      <c r="D451" s="2" t="str">
        <f>IFERROR(__xludf.DUMMYFUNCTION("""COMPUTED_VALUE"""),"from")</f>
        <v>from</v>
      </c>
      <c r="E451" s="2">
        <f>IFERROR(__xludf.DUMMYFUNCTION("""COMPUTED_VALUE"""),1.0)</f>
        <v>1</v>
      </c>
      <c r="F451" s="2" t="str">
        <f>IFERROR(__xludf.DUMMYFUNCTION("""COMPUTED_VALUE"""),"to")</f>
        <v>to</v>
      </c>
      <c r="G451" s="2">
        <f>IFERROR(__xludf.DUMMYFUNCTION("""COMPUTED_VALUE"""),2.0)</f>
        <v>2</v>
      </c>
    </row>
    <row r="452">
      <c r="A452" s="1" t="s">
        <v>318</v>
      </c>
      <c r="B452" s="2" t="str">
        <f>IFERROR(__xludf.DUMMYFUNCTION("SPLIT(A452, "" "")"),"move")</f>
        <v>move</v>
      </c>
      <c r="C452" s="2">
        <f>IFERROR(__xludf.DUMMYFUNCTION("""COMPUTED_VALUE"""),21.0)</f>
        <v>21</v>
      </c>
      <c r="D452" s="2" t="str">
        <f>IFERROR(__xludf.DUMMYFUNCTION("""COMPUTED_VALUE"""),"from")</f>
        <v>from</v>
      </c>
      <c r="E452" s="2">
        <f>IFERROR(__xludf.DUMMYFUNCTION("""COMPUTED_VALUE"""),2.0)</f>
        <v>2</v>
      </c>
      <c r="F452" s="2" t="str">
        <f>IFERROR(__xludf.DUMMYFUNCTION("""COMPUTED_VALUE"""),"to")</f>
        <v>to</v>
      </c>
      <c r="G452" s="2">
        <f>IFERROR(__xludf.DUMMYFUNCTION("""COMPUTED_VALUE"""),6.0)</f>
        <v>6</v>
      </c>
    </row>
    <row r="453">
      <c r="A453" s="1" t="s">
        <v>154</v>
      </c>
      <c r="B453" s="2" t="str">
        <f>IFERROR(__xludf.DUMMYFUNCTION("SPLIT(A453, "" "")"),"move")</f>
        <v>move</v>
      </c>
      <c r="C453" s="2">
        <f>IFERROR(__xludf.DUMMYFUNCTION("""COMPUTED_VALUE"""),3.0)</f>
        <v>3</v>
      </c>
      <c r="D453" s="2" t="str">
        <f>IFERROR(__xludf.DUMMYFUNCTION("""COMPUTED_VALUE"""),"from")</f>
        <v>from</v>
      </c>
      <c r="E453" s="2">
        <f>IFERROR(__xludf.DUMMYFUNCTION("""COMPUTED_VALUE"""),1.0)</f>
        <v>1</v>
      </c>
      <c r="F453" s="2" t="str">
        <f>IFERROR(__xludf.DUMMYFUNCTION("""COMPUTED_VALUE"""),"to")</f>
        <v>to</v>
      </c>
      <c r="G453" s="2">
        <f>IFERROR(__xludf.DUMMYFUNCTION("""COMPUTED_VALUE"""),9.0)</f>
        <v>9</v>
      </c>
    </row>
    <row r="454">
      <c r="A454" s="1" t="s">
        <v>311</v>
      </c>
      <c r="B454" s="2" t="str">
        <f>IFERROR(__xludf.DUMMYFUNCTION("SPLIT(A454, "" "")"),"move")</f>
        <v>move</v>
      </c>
      <c r="C454" s="2">
        <f>IFERROR(__xludf.DUMMYFUNCTION("""COMPUTED_VALUE"""),1.0)</f>
        <v>1</v>
      </c>
      <c r="D454" s="2" t="str">
        <f>IFERROR(__xludf.DUMMYFUNCTION("""COMPUTED_VALUE"""),"from")</f>
        <v>from</v>
      </c>
      <c r="E454" s="2">
        <f>IFERROR(__xludf.DUMMYFUNCTION("""COMPUTED_VALUE"""),3.0)</f>
        <v>3</v>
      </c>
      <c r="F454" s="2" t="str">
        <f>IFERROR(__xludf.DUMMYFUNCTION("""COMPUTED_VALUE"""),"to")</f>
        <v>to</v>
      </c>
      <c r="G454" s="2">
        <f>IFERROR(__xludf.DUMMYFUNCTION("""COMPUTED_VALUE"""),7.0)</f>
        <v>7</v>
      </c>
    </row>
    <row r="455">
      <c r="A455" s="1" t="s">
        <v>195</v>
      </c>
      <c r="B455" s="2" t="str">
        <f>IFERROR(__xludf.DUMMYFUNCTION("SPLIT(A455, "" "")"),"move")</f>
        <v>move</v>
      </c>
      <c r="C455" s="2">
        <f>IFERROR(__xludf.DUMMYFUNCTION("""COMPUTED_VALUE"""),1.0)</f>
        <v>1</v>
      </c>
      <c r="D455" s="2" t="str">
        <f>IFERROR(__xludf.DUMMYFUNCTION("""COMPUTED_VALUE"""),"from")</f>
        <v>from</v>
      </c>
      <c r="E455" s="2">
        <f>IFERROR(__xludf.DUMMYFUNCTION("""COMPUTED_VALUE"""),7.0)</f>
        <v>7</v>
      </c>
      <c r="F455" s="2" t="str">
        <f>IFERROR(__xludf.DUMMYFUNCTION("""COMPUTED_VALUE"""),"to")</f>
        <v>to</v>
      </c>
      <c r="G455" s="2">
        <f>IFERROR(__xludf.DUMMYFUNCTION("""COMPUTED_VALUE"""),3.0)</f>
        <v>3</v>
      </c>
    </row>
    <row r="456">
      <c r="A456" s="1" t="s">
        <v>126</v>
      </c>
      <c r="B456" s="2" t="str">
        <f>IFERROR(__xludf.DUMMYFUNCTION("SPLIT(A456, "" "")"),"move")</f>
        <v>move</v>
      </c>
      <c r="C456" s="2">
        <f>IFERROR(__xludf.DUMMYFUNCTION("""COMPUTED_VALUE"""),1.0)</f>
        <v>1</v>
      </c>
      <c r="D456" s="2" t="str">
        <f>IFERROR(__xludf.DUMMYFUNCTION("""COMPUTED_VALUE"""),"from")</f>
        <v>from</v>
      </c>
      <c r="E456" s="2">
        <f>IFERROR(__xludf.DUMMYFUNCTION("""COMPUTED_VALUE"""),3.0)</f>
        <v>3</v>
      </c>
      <c r="F456" s="2" t="str">
        <f>IFERROR(__xludf.DUMMYFUNCTION("""COMPUTED_VALUE"""),"to")</f>
        <v>to</v>
      </c>
      <c r="G456" s="2">
        <f>IFERROR(__xludf.DUMMYFUNCTION("""COMPUTED_VALUE"""),2.0)</f>
        <v>2</v>
      </c>
    </row>
    <row r="457">
      <c r="A457" s="1" t="s">
        <v>319</v>
      </c>
      <c r="B457" s="2" t="str">
        <f>IFERROR(__xludf.DUMMYFUNCTION("SPLIT(A457, "" "")"),"move")</f>
        <v>move</v>
      </c>
      <c r="C457" s="2">
        <f>IFERROR(__xludf.DUMMYFUNCTION("""COMPUTED_VALUE"""),8.0)</f>
        <v>8</v>
      </c>
      <c r="D457" s="2" t="str">
        <f>IFERROR(__xludf.DUMMYFUNCTION("""COMPUTED_VALUE"""),"from")</f>
        <v>from</v>
      </c>
      <c r="E457" s="2">
        <f>IFERROR(__xludf.DUMMYFUNCTION("""COMPUTED_VALUE"""),1.0)</f>
        <v>1</v>
      </c>
      <c r="F457" s="2" t="str">
        <f>IFERROR(__xludf.DUMMYFUNCTION("""COMPUTED_VALUE"""),"to")</f>
        <v>to</v>
      </c>
      <c r="G457" s="2">
        <f>IFERROR(__xludf.DUMMYFUNCTION("""COMPUTED_VALUE"""),4.0)</f>
        <v>4</v>
      </c>
    </row>
    <row r="458">
      <c r="A458" s="1" t="s">
        <v>56</v>
      </c>
      <c r="B458" s="2" t="str">
        <f>IFERROR(__xludf.DUMMYFUNCTION("SPLIT(A458, "" "")"),"move")</f>
        <v>move</v>
      </c>
      <c r="C458" s="2">
        <f>IFERROR(__xludf.DUMMYFUNCTION("""COMPUTED_VALUE"""),1.0)</f>
        <v>1</v>
      </c>
      <c r="D458" s="2" t="str">
        <f>IFERROR(__xludf.DUMMYFUNCTION("""COMPUTED_VALUE"""),"from")</f>
        <v>from</v>
      </c>
      <c r="E458" s="2">
        <f>IFERROR(__xludf.DUMMYFUNCTION("""COMPUTED_VALUE"""),9.0)</f>
        <v>9</v>
      </c>
      <c r="F458" s="2" t="str">
        <f>IFERROR(__xludf.DUMMYFUNCTION("""COMPUTED_VALUE"""),"to")</f>
        <v>to</v>
      </c>
      <c r="G458" s="2">
        <f>IFERROR(__xludf.DUMMYFUNCTION("""COMPUTED_VALUE"""),2.0)</f>
        <v>2</v>
      </c>
    </row>
    <row r="459">
      <c r="A459" s="1" t="s">
        <v>320</v>
      </c>
      <c r="B459" s="2" t="str">
        <f>IFERROR(__xludf.DUMMYFUNCTION("SPLIT(A459, "" "")"),"move")</f>
        <v>move</v>
      </c>
      <c r="C459" s="2">
        <f>IFERROR(__xludf.DUMMYFUNCTION("""COMPUTED_VALUE"""),7.0)</f>
        <v>7</v>
      </c>
      <c r="D459" s="2" t="str">
        <f>IFERROR(__xludf.DUMMYFUNCTION("""COMPUTED_VALUE"""),"from")</f>
        <v>from</v>
      </c>
      <c r="E459" s="2">
        <f>IFERROR(__xludf.DUMMYFUNCTION("""COMPUTED_VALUE"""),4.0)</f>
        <v>4</v>
      </c>
      <c r="F459" s="2" t="str">
        <f>IFERROR(__xludf.DUMMYFUNCTION("""COMPUTED_VALUE"""),"to")</f>
        <v>to</v>
      </c>
      <c r="G459" s="2">
        <f>IFERROR(__xludf.DUMMYFUNCTION("""COMPUTED_VALUE"""),8.0)</f>
        <v>8</v>
      </c>
    </row>
    <row r="460">
      <c r="A460" s="1" t="s">
        <v>302</v>
      </c>
      <c r="B460" s="2" t="str">
        <f>IFERROR(__xludf.DUMMYFUNCTION("SPLIT(A460, "" "")"),"move")</f>
        <v>move</v>
      </c>
      <c r="C460" s="2">
        <f>IFERROR(__xludf.DUMMYFUNCTION("""COMPUTED_VALUE"""),3.0)</f>
        <v>3</v>
      </c>
      <c r="D460" s="2" t="str">
        <f>IFERROR(__xludf.DUMMYFUNCTION("""COMPUTED_VALUE"""),"from")</f>
        <v>from</v>
      </c>
      <c r="E460" s="2">
        <f>IFERROR(__xludf.DUMMYFUNCTION("""COMPUTED_VALUE"""),3.0)</f>
        <v>3</v>
      </c>
      <c r="F460" s="2" t="str">
        <f>IFERROR(__xludf.DUMMYFUNCTION("""COMPUTED_VALUE"""),"to")</f>
        <v>to</v>
      </c>
      <c r="G460" s="2">
        <f>IFERROR(__xludf.DUMMYFUNCTION("""COMPUTED_VALUE"""),9.0)</f>
        <v>9</v>
      </c>
    </row>
    <row r="461">
      <c r="A461" s="1" t="s">
        <v>321</v>
      </c>
      <c r="B461" s="2" t="str">
        <f>IFERROR(__xludf.DUMMYFUNCTION("SPLIT(A461, "" "")"),"move")</f>
        <v>move</v>
      </c>
      <c r="C461" s="2">
        <f>IFERROR(__xludf.DUMMYFUNCTION("""COMPUTED_VALUE"""),3.0)</f>
        <v>3</v>
      </c>
      <c r="D461" s="2" t="str">
        <f>IFERROR(__xludf.DUMMYFUNCTION("""COMPUTED_VALUE"""),"from")</f>
        <v>from</v>
      </c>
      <c r="E461" s="2">
        <f>IFERROR(__xludf.DUMMYFUNCTION("""COMPUTED_VALUE"""),3.0)</f>
        <v>3</v>
      </c>
      <c r="F461" s="2" t="str">
        <f>IFERROR(__xludf.DUMMYFUNCTION("""COMPUTED_VALUE"""),"to")</f>
        <v>to</v>
      </c>
      <c r="G461" s="2">
        <f>IFERROR(__xludf.DUMMYFUNCTION("""COMPUTED_VALUE"""),5.0)</f>
        <v>5</v>
      </c>
    </row>
    <row r="462">
      <c r="A462" s="1" t="s">
        <v>322</v>
      </c>
      <c r="B462" s="2" t="str">
        <f>IFERROR(__xludf.DUMMYFUNCTION("SPLIT(A462, "" "")"),"move")</f>
        <v>move</v>
      </c>
      <c r="C462" s="2">
        <f>IFERROR(__xludf.DUMMYFUNCTION("""COMPUTED_VALUE"""),4.0)</f>
        <v>4</v>
      </c>
      <c r="D462" s="2" t="str">
        <f>IFERROR(__xludf.DUMMYFUNCTION("""COMPUTED_VALUE"""),"from")</f>
        <v>from</v>
      </c>
      <c r="E462" s="2">
        <f>IFERROR(__xludf.DUMMYFUNCTION("""COMPUTED_VALUE"""),2.0)</f>
        <v>2</v>
      </c>
      <c r="F462" s="2" t="str">
        <f>IFERROR(__xludf.DUMMYFUNCTION("""COMPUTED_VALUE"""),"to")</f>
        <v>to</v>
      </c>
      <c r="G462" s="2">
        <f>IFERROR(__xludf.DUMMYFUNCTION("""COMPUTED_VALUE"""),3.0)</f>
        <v>3</v>
      </c>
    </row>
    <row r="463">
      <c r="A463" s="1" t="s">
        <v>249</v>
      </c>
      <c r="B463" s="2" t="str">
        <f>IFERROR(__xludf.DUMMYFUNCTION("SPLIT(A463, "" "")"),"move")</f>
        <v>move</v>
      </c>
      <c r="C463" s="2">
        <f>IFERROR(__xludf.DUMMYFUNCTION("""COMPUTED_VALUE"""),1.0)</f>
        <v>1</v>
      </c>
      <c r="D463" s="2" t="str">
        <f>IFERROR(__xludf.DUMMYFUNCTION("""COMPUTED_VALUE"""),"from")</f>
        <v>from</v>
      </c>
      <c r="E463" s="2">
        <f>IFERROR(__xludf.DUMMYFUNCTION("""COMPUTED_VALUE"""),1.0)</f>
        <v>1</v>
      </c>
      <c r="F463" s="2" t="str">
        <f>IFERROR(__xludf.DUMMYFUNCTION("""COMPUTED_VALUE"""),"to")</f>
        <v>to</v>
      </c>
      <c r="G463" s="2">
        <f>IFERROR(__xludf.DUMMYFUNCTION("""COMPUTED_VALUE"""),3.0)</f>
        <v>3</v>
      </c>
    </row>
    <row r="464">
      <c r="A464" s="1" t="s">
        <v>289</v>
      </c>
      <c r="B464" s="2" t="str">
        <f>IFERROR(__xludf.DUMMYFUNCTION("SPLIT(A464, "" "")"),"move")</f>
        <v>move</v>
      </c>
      <c r="C464" s="2">
        <f>IFERROR(__xludf.DUMMYFUNCTION("""COMPUTED_VALUE"""),4.0)</f>
        <v>4</v>
      </c>
      <c r="D464" s="2" t="str">
        <f>IFERROR(__xludf.DUMMYFUNCTION("""COMPUTED_VALUE"""),"from")</f>
        <v>from</v>
      </c>
      <c r="E464" s="2">
        <f>IFERROR(__xludf.DUMMYFUNCTION("""COMPUTED_VALUE"""),8.0)</f>
        <v>8</v>
      </c>
      <c r="F464" s="2" t="str">
        <f>IFERROR(__xludf.DUMMYFUNCTION("""COMPUTED_VALUE"""),"to")</f>
        <v>to</v>
      </c>
      <c r="G464" s="2">
        <f>IFERROR(__xludf.DUMMYFUNCTION("""COMPUTED_VALUE"""),5.0)</f>
        <v>5</v>
      </c>
    </row>
    <row r="465">
      <c r="A465" s="1" t="s">
        <v>79</v>
      </c>
      <c r="B465" s="2" t="str">
        <f>IFERROR(__xludf.DUMMYFUNCTION("SPLIT(A465, "" "")"),"move")</f>
        <v>move</v>
      </c>
      <c r="C465" s="2">
        <f>IFERROR(__xludf.DUMMYFUNCTION("""COMPUTED_VALUE"""),2.0)</f>
        <v>2</v>
      </c>
      <c r="D465" s="2" t="str">
        <f>IFERROR(__xludf.DUMMYFUNCTION("""COMPUTED_VALUE"""),"from")</f>
        <v>from</v>
      </c>
      <c r="E465" s="2">
        <f>IFERROR(__xludf.DUMMYFUNCTION("""COMPUTED_VALUE"""),8.0)</f>
        <v>8</v>
      </c>
      <c r="F465" s="2" t="str">
        <f>IFERROR(__xludf.DUMMYFUNCTION("""COMPUTED_VALUE"""),"to")</f>
        <v>to</v>
      </c>
      <c r="G465" s="2">
        <f>IFERROR(__xludf.DUMMYFUNCTION("""COMPUTED_VALUE"""),3.0)</f>
        <v>3</v>
      </c>
    </row>
    <row r="466">
      <c r="A466" s="1" t="s">
        <v>51</v>
      </c>
      <c r="B466" s="2" t="str">
        <f>IFERROR(__xludf.DUMMYFUNCTION("SPLIT(A466, "" "")"),"move")</f>
        <v>move</v>
      </c>
      <c r="C466" s="2">
        <f>IFERROR(__xludf.DUMMYFUNCTION("""COMPUTED_VALUE"""),5.0)</f>
        <v>5</v>
      </c>
      <c r="D466" s="2" t="str">
        <f>IFERROR(__xludf.DUMMYFUNCTION("""COMPUTED_VALUE"""),"from")</f>
        <v>from</v>
      </c>
      <c r="E466" s="2">
        <f>IFERROR(__xludf.DUMMYFUNCTION("""COMPUTED_VALUE"""),3.0)</f>
        <v>3</v>
      </c>
      <c r="F466" s="2" t="str">
        <f>IFERROR(__xludf.DUMMYFUNCTION("""COMPUTED_VALUE"""),"to")</f>
        <v>to</v>
      </c>
      <c r="G466" s="2">
        <f>IFERROR(__xludf.DUMMYFUNCTION("""COMPUTED_VALUE"""),2.0)</f>
        <v>2</v>
      </c>
    </row>
    <row r="467">
      <c r="A467" s="1" t="s">
        <v>85</v>
      </c>
      <c r="B467" s="2" t="str">
        <f>IFERROR(__xludf.DUMMYFUNCTION("SPLIT(A467, "" "")"),"move")</f>
        <v>move</v>
      </c>
      <c r="C467" s="2">
        <f>IFERROR(__xludf.DUMMYFUNCTION("""COMPUTED_VALUE"""),6.0)</f>
        <v>6</v>
      </c>
      <c r="D467" s="2" t="str">
        <f>IFERROR(__xludf.DUMMYFUNCTION("""COMPUTED_VALUE"""),"from")</f>
        <v>from</v>
      </c>
      <c r="E467" s="2">
        <f>IFERROR(__xludf.DUMMYFUNCTION("""COMPUTED_VALUE"""),5.0)</f>
        <v>5</v>
      </c>
      <c r="F467" s="2" t="str">
        <f>IFERROR(__xludf.DUMMYFUNCTION("""COMPUTED_VALUE"""),"to")</f>
        <v>to</v>
      </c>
      <c r="G467" s="2">
        <f>IFERROR(__xludf.DUMMYFUNCTION("""COMPUTED_VALUE"""),3.0)</f>
        <v>3</v>
      </c>
    </row>
    <row r="468">
      <c r="A468" s="1" t="s">
        <v>185</v>
      </c>
      <c r="B468" s="2" t="str">
        <f>IFERROR(__xludf.DUMMYFUNCTION("SPLIT(A468, "" "")"),"move")</f>
        <v>move</v>
      </c>
      <c r="C468" s="2">
        <f>IFERROR(__xludf.DUMMYFUNCTION("""COMPUTED_VALUE"""),2.0)</f>
        <v>2</v>
      </c>
      <c r="D468" s="2" t="str">
        <f>IFERROR(__xludf.DUMMYFUNCTION("""COMPUTED_VALUE"""),"from")</f>
        <v>from</v>
      </c>
      <c r="E468" s="2">
        <f>IFERROR(__xludf.DUMMYFUNCTION("""COMPUTED_VALUE"""),5.0)</f>
        <v>5</v>
      </c>
      <c r="F468" s="2" t="str">
        <f>IFERROR(__xludf.DUMMYFUNCTION("""COMPUTED_VALUE"""),"to")</f>
        <v>to</v>
      </c>
      <c r="G468" s="2">
        <f>IFERROR(__xludf.DUMMYFUNCTION("""COMPUTED_VALUE"""),8.0)</f>
        <v>8</v>
      </c>
    </row>
    <row r="469">
      <c r="A469" s="1" t="s">
        <v>29</v>
      </c>
      <c r="B469" s="2" t="str">
        <f>IFERROR(__xludf.DUMMYFUNCTION("SPLIT(A469, "" "")"),"move")</f>
        <v>move</v>
      </c>
      <c r="C469" s="2">
        <f>IFERROR(__xludf.DUMMYFUNCTION("""COMPUTED_VALUE"""),2.0)</f>
        <v>2</v>
      </c>
      <c r="D469" s="2" t="str">
        <f>IFERROR(__xludf.DUMMYFUNCTION("""COMPUTED_VALUE"""),"from")</f>
        <v>from</v>
      </c>
      <c r="E469" s="2">
        <f>IFERROR(__xludf.DUMMYFUNCTION("""COMPUTED_VALUE"""),1.0)</f>
        <v>1</v>
      </c>
      <c r="F469" s="2" t="str">
        <f>IFERROR(__xludf.DUMMYFUNCTION("""COMPUTED_VALUE"""),"to")</f>
        <v>to</v>
      </c>
      <c r="G469" s="2">
        <f>IFERROR(__xludf.DUMMYFUNCTION("""COMPUTED_VALUE"""),7.0)</f>
        <v>7</v>
      </c>
    </row>
    <row r="470">
      <c r="A470" s="1" t="s">
        <v>68</v>
      </c>
      <c r="B470" s="2" t="str">
        <f>IFERROR(__xludf.DUMMYFUNCTION("SPLIT(A470, "" "")"),"move")</f>
        <v>move</v>
      </c>
      <c r="C470" s="2">
        <f>IFERROR(__xludf.DUMMYFUNCTION("""COMPUTED_VALUE"""),2.0)</f>
        <v>2</v>
      </c>
      <c r="D470" s="2" t="str">
        <f>IFERROR(__xludf.DUMMYFUNCTION("""COMPUTED_VALUE"""),"from")</f>
        <v>from</v>
      </c>
      <c r="E470" s="2">
        <f>IFERROR(__xludf.DUMMYFUNCTION("""COMPUTED_VALUE"""),7.0)</f>
        <v>7</v>
      </c>
      <c r="F470" s="2" t="str">
        <f>IFERROR(__xludf.DUMMYFUNCTION("""COMPUTED_VALUE"""),"to")</f>
        <v>to</v>
      </c>
      <c r="G470" s="2">
        <f>IFERROR(__xludf.DUMMYFUNCTION("""COMPUTED_VALUE"""),4.0)</f>
        <v>4</v>
      </c>
    </row>
    <row r="471">
      <c r="A471" s="1" t="s">
        <v>323</v>
      </c>
      <c r="B471" s="2" t="str">
        <f>IFERROR(__xludf.DUMMYFUNCTION("SPLIT(A471, "" "")"),"move")</f>
        <v>move</v>
      </c>
      <c r="C471" s="2">
        <f>IFERROR(__xludf.DUMMYFUNCTION("""COMPUTED_VALUE"""),15.0)</f>
        <v>15</v>
      </c>
      <c r="D471" s="2" t="str">
        <f>IFERROR(__xludf.DUMMYFUNCTION("""COMPUTED_VALUE"""),"from")</f>
        <v>from</v>
      </c>
      <c r="E471" s="2">
        <f>IFERROR(__xludf.DUMMYFUNCTION("""COMPUTED_VALUE"""),6.0)</f>
        <v>6</v>
      </c>
      <c r="F471" s="2" t="str">
        <f>IFERROR(__xludf.DUMMYFUNCTION("""COMPUTED_VALUE"""),"to")</f>
        <v>to</v>
      </c>
      <c r="G471" s="2">
        <f>IFERROR(__xludf.DUMMYFUNCTION("""COMPUTED_VALUE"""),9.0)</f>
        <v>9</v>
      </c>
    </row>
    <row r="472">
      <c r="A472" s="1" t="s">
        <v>256</v>
      </c>
      <c r="B472" s="2" t="str">
        <f>IFERROR(__xludf.DUMMYFUNCTION("SPLIT(A472, "" "")"),"move")</f>
        <v>move</v>
      </c>
      <c r="C472" s="2">
        <f>IFERROR(__xludf.DUMMYFUNCTION("""COMPUTED_VALUE"""),8.0)</f>
        <v>8</v>
      </c>
      <c r="D472" s="2" t="str">
        <f>IFERROR(__xludf.DUMMYFUNCTION("""COMPUTED_VALUE"""),"from")</f>
        <v>from</v>
      </c>
      <c r="E472" s="2">
        <f>IFERROR(__xludf.DUMMYFUNCTION("""COMPUTED_VALUE"""),3.0)</f>
        <v>3</v>
      </c>
      <c r="F472" s="2" t="str">
        <f>IFERROR(__xludf.DUMMYFUNCTION("""COMPUTED_VALUE"""),"to")</f>
        <v>to</v>
      </c>
      <c r="G472" s="2">
        <f>IFERROR(__xludf.DUMMYFUNCTION("""COMPUTED_VALUE"""),1.0)</f>
        <v>1</v>
      </c>
    </row>
    <row r="473">
      <c r="A473" s="1" t="s">
        <v>324</v>
      </c>
      <c r="B473" s="2" t="str">
        <f>IFERROR(__xludf.DUMMYFUNCTION("SPLIT(A473, "" "")"),"move")</f>
        <v>move</v>
      </c>
      <c r="C473" s="2">
        <f>IFERROR(__xludf.DUMMYFUNCTION("""COMPUTED_VALUE"""),3.0)</f>
        <v>3</v>
      </c>
      <c r="D473" s="2" t="str">
        <f>IFERROR(__xludf.DUMMYFUNCTION("""COMPUTED_VALUE"""),"from")</f>
        <v>from</v>
      </c>
      <c r="E473" s="2">
        <f>IFERROR(__xludf.DUMMYFUNCTION("""COMPUTED_VALUE"""),5.0)</f>
        <v>5</v>
      </c>
      <c r="F473" s="2" t="str">
        <f>IFERROR(__xludf.DUMMYFUNCTION("""COMPUTED_VALUE"""),"to")</f>
        <v>to</v>
      </c>
      <c r="G473" s="2">
        <f>IFERROR(__xludf.DUMMYFUNCTION("""COMPUTED_VALUE"""),9.0)</f>
        <v>9</v>
      </c>
    </row>
    <row r="474">
      <c r="A474" s="1" t="s">
        <v>78</v>
      </c>
      <c r="B474" s="2" t="str">
        <f>IFERROR(__xludf.DUMMYFUNCTION("SPLIT(A474, "" "")"),"move")</f>
        <v>move</v>
      </c>
      <c r="C474" s="2">
        <f>IFERROR(__xludf.DUMMYFUNCTION("""COMPUTED_VALUE"""),2.0)</f>
        <v>2</v>
      </c>
      <c r="D474" s="2" t="str">
        <f>IFERROR(__xludf.DUMMYFUNCTION("""COMPUTED_VALUE"""),"from")</f>
        <v>from</v>
      </c>
      <c r="E474" s="2">
        <f>IFERROR(__xludf.DUMMYFUNCTION("""COMPUTED_VALUE"""),4.0)</f>
        <v>4</v>
      </c>
      <c r="F474" s="2" t="str">
        <f>IFERROR(__xludf.DUMMYFUNCTION("""COMPUTED_VALUE"""),"to")</f>
        <v>to</v>
      </c>
      <c r="G474" s="2">
        <f>IFERROR(__xludf.DUMMYFUNCTION("""COMPUTED_VALUE"""),9.0)</f>
        <v>9</v>
      </c>
    </row>
    <row r="475">
      <c r="A475" s="1" t="s">
        <v>325</v>
      </c>
      <c r="B475" s="2" t="str">
        <f>IFERROR(__xludf.DUMMYFUNCTION("SPLIT(A475, "" "")"),"move")</f>
        <v>move</v>
      </c>
      <c r="C475" s="2">
        <f>IFERROR(__xludf.DUMMYFUNCTION("""COMPUTED_VALUE"""),8.0)</f>
        <v>8</v>
      </c>
      <c r="D475" s="2" t="str">
        <f>IFERROR(__xludf.DUMMYFUNCTION("""COMPUTED_VALUE"""),"from")</f>
        <v>from</v>
      </c>
      <c r="E475" s="2">
        <f>IFERROR(__xludf.DUMMYFUNCTION("""COMPUTED_VALUE"""),1.0)</f>
        <v>1</v>
      </c>
      <c r="F475" s="2" t="str">
        <f>IFERROR(__xludf.DUMMYFUNCTION("""COMPUTED_VALUE"""),"to")</f>
        <v>to</v>
      </c>
      <c r="G475" s="2">
        <f>IFERROR(__xludf.DUMMYFUNCTION("""COMPUTED_VALUE"""),3.0)</f>
        <v>3</v>
      </c>
    </row>
    <row r="476">
      <c r="A476" s="1" t="s">
        <v>326</v>
      </c>
      <c r="B476" s="2" t="str">
        <f>IFERROR(__xludf.DUMMYFUNCTION("SPLIT(A476, "" "")"),"move")</f>
        <v>move</v>
      </c>
      <c r="C476" s="2">
        <f>IFERROR(__xludf.DUMMYFUNCTION("""COMPUTED_VALUE"""),8.0)</f>
        <v>8</v>
      </c>
      <c r="D476" s="2" t="str">
        <f>IFERROR(__xludf.DUMMYFUNCTION("""COMPUTED_VALUE"""),"from")</f>
        <v>from</v>
      </c>
      <c r="E476" s="2">
        <f>IFERROR(__xludf.DUMMYFUNCTION("""COMPUTED_VALUE"""),9.0)</f>
        <v>9</v>
      </c>
      <c r="F476" s="2" t="str">
        <f>IFERROR(__xludf.DUMMYFUNCTION("""COMPUTED_VALUE"""),"to")</f>
        <v>to</v>
      </c>
      <c r="G476" s="2">
        <f>IFERROR(__xludf.DUMMYFUNCTION("""COMPUTED_VALUE"""),8.0)</f>
        <v>8</v>
      </c>
    </row>
    <row r="477">
      <c r="A477" s="1" t="s">
        <v>8</v>
      </c>
      <c r="B477" s="2" t="str">
        <f>IFERROR(__xludf.DUMMYFUNCTION("SPLIT(A477, "" "")"),"move")</f>
        <v>move</v>
      </c>
      <c r="C477" s="2">
        <f>IFERROR(__xludf.DUMMYFUNCTION("""COMPUTED_VALUE"""),1.0)</f>
        <v>1</v>
      </c>
      <c r="D477" s="2" t="str">
        <f>IFERROR(__xludf.DUMMYFUNCTION("""COMPUTED_VALUE"""),"from")</f>
        <v>from</v>
      </c>
      <c r="E477" s="2">
        <f>IFERROR(__xludf.DUMMYFUNCTION("""COMPUTED_VALUE"""),1.0)</f>
        <v>1</v>
      </c>
      <c r="F477" s="2" t="str">
        <f>IFERROR(__xludf.DUMMYFUNCTION("""COMPUTED_VALUE"""),"to")</f>
        <v>to</v>
      </c>
      <c r="G477" s="2">
        <f>IFERROR(__xludf.DUMMYFUNCTION("""COMPUTED_VALUE"""),4.0)</f>
        <v>4</v>
      </c>
    </row>
    <row r="478">
      <c r="A478" s="1" t="s">
        <v>324</v>
      </c>
      <c r="B478" s="2" t="str">
        <f>IFERROR(__xludf.DUMMYFUNCTION("SPLIT(A478, "" "")"),"move")</f>
        <v>move</v>
      </c>
      <c r="C478" s="2">
        <f>IFERROR(__xludf.DUMMYFUNCTION("""COMPUTED_VALUE"""),3.0)</f>
        <v>3</v>
      </c>
      <c r="D478" s="2" t="str">
        <f>IFERROR(__xludf.DUMMYFUNCTION("""COMPUTED_VALUE"""),"from")</f>
        <v>from</v>
      </c>
      <c r="E478" s="2">
        <f>IFERROR(__xludf.DUMMYFUNCTION("""COMPUTED_VALUE"""),5.0)</f>
        <v>5</v>
      </c>
      <c r="F478" s="2" t="str">
        <f>IFERROR(__xludf.DUMMYFUNCTION("""COMPUTED_VALUE"""),"to")</f>
        <v>to</v>
      </c>
      <c r="G478" s="2">
        <f>IFERROR(__xludf.DUMMYFUNCTION("""COMPUTED_VALUE"""),9.0)</f>
        <v>9</v>
      </c>
    </row>
    <row r="479">
      <c r="A479" s="1" t="s">
        <v>327</v>
      </c>
      <c r="B479" s="2" t="str">
        <f>IFERROR(__xludf.DUMMYFUNCTION("SPLIT(A479, "" "")"),"move")</f>
        <v>move</v>
      </c>
      <c r="C479" s="2">
        <f>IFERROR(__xludf.DUMMYFUNCTION("""COMPUTED_VALUE"""),4.0)</f>
        <v>4</v>
      </c>
      <c r="D479" s="2" t="str">
        <f>IFERROR(__xludf.DUMMYFUNCTION("""COMPUTED_VALUE"""),"from")</f>
        <v>from</v>
      </c>
      <c r="E479" s="2">
        <f>IFERROR(__xludf.DUMMYFUNCTION("""COMPUTED_VALUE"""),8.0)</f>
        <v>8</v>
      </c>
      <c r="F479" s="2" t="str">
        <f>IFERROR(__xludf.DUMMYFUNCTION("""COMPUTED_VALUE"""),"to")</f>
        <v>to</v>
      </c>
      <c r="G479" s="2">
        <f>IFERROR(__xludf.DUMMYFUNCTION("""COMPUTED_VALUE"""),1.0)</f>
        <v>1</v>
      </c>
    </row>
    <row r="480">
      <c r="A480" s="1" t="s">
        <v>140</v>
      </c>
      <c r="B480" s="2" t="str">
        <f>IFERROR(__xludf.DUMMYFUNCTION("SPLIT(A480, "" "")"),"move")</f>
        <v>move</v>
      </c>
      <c r="C480" s="2">
        <f>IFERROR(__xludf.DUMMYFUNCTION("""COMPUTED_VALUE"""),1.0)</f>
        <v>1</v>
      </c>
      <c r="D480" s="2" t="str">
        <f>IFERROR(__xludf.DUMMYFUNCTION("""COMPUTED_VALUE"""),"from")</f>
        <v>from</v>
      </c>
      <c r="E480" s="2">
        <f>IFERROR(__xludf.DUMMYFUNCTION("""COMPUTED_VALUE"""),3.0)</f>
        <v>3</v>
      </c>
      <c r="F480" s="2" t="str">
        <f>IFERROR(__xludf.DUMMYFUNCTION("""COMPUTED_VALUE"""),"to")</f>
        <v>to</v>
      </c>
      <c r="G480" s="2">
        <f>IFERROR(__xludf.DUMMYFUNCTION("""COMPUTED_VALUE"""),9.0)</f>
        <v>9</v>
      </c>
    </row>
    <row r="481">
      <c r="A481" s="1" t="s">
        <v>189</v>
      </c>
      <c r="B481" s="2" t="str">
        <f>IFERROR(__xludf.DUMMYFUNCTION("SPLIT(A481, "" "")"),"move")</f>
        <v>move</v>
      </c>
      <c r="C481" s="2">
        <f>IFERROR(__xludf.DUMMYFUNCTION("""COMPUTED_VALUE"""),2.0)</f>
        <v>2</v>
      </c>
      <c r="D481" s="2" t="str">
        <f>IFERROR(__xludf.DUMMYFUNCTION("""COMPUTED_VALUE"""),"from")</f>
        <v>from</v>
      </c>
      <c r="E481" s="2">
        <f>IFERROR(__xludf.DUMMYFUNCTION("""COMPUTED_VALUE"""),4.0)</f>
        <v>4</v>
      </c>
      <c r="F481" s="2" t="str">
        <f>IFERROR(__xludf.DUMMYFUNCTION("""COMPUTED_VALUE"""),"to")</f>
        <v>to</v>
      </c>
      <c r="G481" s="2">
        <f>IFERROR(__xludf.DUMMYFUNCTION("""COMPUTED_VALUE"""),3.0)</f>
        <v>3</v>
      </c>
    </row>
    <row r="482">
      <c r="A482" s="1" t="s">
        <v>44</v>
      </c>
      <c r="B482" s="2" t="str">
        <f>IFERROR(__xludf.DUMMYFUNCTION("SPLIT(A482, "" "")"),"move")</f>
        <v>move</v>
      </c>
      <c r="C482" s="2">
        <f>IFERROR(__xludf.DUMMYFUNCTION("""COMPUTED_VALUE"""),2.0)</f>
        <v>2</v>
      </c>
      <c r="D482" s="2" t="str">
        <f>IFERROR(__xludf.DUMMYFUNCTION("""COMPUTED_VALUE"""),"from")</f>
        <v>from</v>
      </c>
      <c r="E482" s="2">
        <f>IFERROR(__xludf.DUMMYFUNCTION("""COMPUTED_VALUE"""),8.0)</f>
        <v>8</v>
      </c>
      <c r="F482" s="2" t="str">
        <f>IFERROR(__xludf.DUMMYFUNCTION("""COMPUTED_VALUE"""),"to")</f>
        <v>to</v>
      </c>
      <c r="G482" s="2">
        <f>IFERROR(__xludf.DUMMYFUNCTION("""COMPUTED_VALUE"""),6.0)</f>
        <v>6</v>
      </c>
    </row>
    <row r="483">
      <c r="A483" s="1" t="s">
        <v>328</v>
      </c>
      <c r="B483" s="2" t="str">
        <f>IFERROR(__xludf.DUMMYFUNCTION("SPLIT(A483, "" "")"),"move")</f>
        <v>move</v>
      </c>
      <c r="C483" s="2">
        <f>IFERROR(__xludf.DUMMYFUNCTION("""COMPUTED_VALUE"""),3.0)</f>
        <v>3</v>
      </c>
      <c r="D483" s="2" t="str">
        <f>IFERROR(__xludf.DUMMYFUNCTION("""COMPUTED_VALUE"""),"from")</f>
        <v>from</v>
      </c>
      <c r="E483" s="2">
        <f>IFERROR(__xludf.DUMMYFUNCTION("""COMPUTED_VALUE"""),8.0)</f>
        <v>8</v>
      </c>
      <c r="F483" s="2" t="str">
        <f>IFERROR(__xludf.DUMMYFUNCTION("""COMPUTED_VALUE"""),"to")</f>
        <v>to</v>
      </c>
      <c r="G483" s="2">
        <f>IFERROR(__xludf.DUMMYFUNCTION("""COMPUTED_VALUE"""),7.0)</f>
        <v>7</v>
      </c>
    </row>
    <row r="484">
      <c r="A484" s="1" t="s">
        <v>257</v>
      </c>
      <c r="B484" s="2" t="str">
        <f>IFERROR(__xludf.DUMMYFUNCTION("SPLIT(A484, "" "")"),"move")</f>
        <v>move</v>
      </c>
      <c r="C484" s="2">
        <f>IFERROR(__xludf.DUMMYFUNCTION("""COMPUTED_VALUE"""),8.0)</f>
        <v>8</v>
      </c>
      <c r="D484" s="2" t="str">
        <f>IFERROR(__xludf.DUMMYFUNCTION("""COMPUTED_VALUE"""),"from")</f>
        <v>from</v>
      </c>
      <c r="E484" s="2">
        <f>IFERROR(__xludf.DUMMYFUNCTION("""COMPUTED_VALUE"""),2.0)</f>
        <v>2</v>
      </c>
      <c r="F484" s="2" t="str">
        <f>IFERROR(__xludf.DUMMYFUNCTION("""COMPUTED_VALUE"""),"to")</f>
        <v>to</v>
      </c>
      <c r="G484" s="2">
        <f>IFERROR(__xludf.DUMMYFUNCTION("""COMPUTED_VALUE"""),5.0)</f>
        <v>5</v>
      </c>
    </row>
    <row r="485">
      <c r="A485" s="1" t="s">
        <v>329</v>
      </c>
      <c r="B485" s="2" t="str">
        <f>IFERROR(__xludf.DUMMYFUNCTION("SPLIT(A485, "" "")"),"move")</f>
        <v>move</v>
      </c>
      <c r="C485" s="2">
        <f>IFERROR(__xludf.DUMMYFUNCTION("""COMPUTED_VALUE"""),3.0)</f>
        <v>3</v>
      </c>
      <c r="D485" s="2" t="str">
        <f>IFERROR(__xludf.DUMMYFUNCTION("""COMPUTED_VALUE"""),"from")</f>
        <v>from</v>
      </c>
      <c r="E485" s="2">
        <f>IFERROR(__xludf.DUMMYFUNCTION("""COMPUTED_VALUE"""),5.0)</f>
        <v>5</v>
      </c>
      <c r="F485" s="2" t="str">
        <f>IFERROR(__xludf.DUMMYFUNCTION("""COMPUTED_VALUE"""),"to")</f>
        <v>to</v>
      </c>
      <c r="G485" s="2">
        <f>IFERROR(__xludf.DUMMYFUNCTION("""COMPUTED_VALUE"""),2.0)</f>
        <v>2</v>
      </c>
    </row>
    <row r="486">
      <c r="A486" s="1" t="s">
        <v>330</v>
      </c>
      <c r="B486" s="2" t="str">
        <f>IFERROR(__xludf.DUMMYFUNCTION("SPLIT(A486, "" "")"),"move")</f>
        <v>move</v>
      </c>
      <c r="C486" s="2">
        <f>IFERROR(__xludf.DUMMYFUNCTION("""COMPUTED_VALUE"""),4.0)</f>
        <v>4</v>
      </c>
      <c r="D486" s="2" t="str">
        <f>IFERROR(__xludf.DUMMYFUNCTION("""COMPUTED_VALUE"""),"from")</f>
        <v>from</v>
      </c>
      <c r="E486" s="2">
        <f>IFERROR(__xludf.DUMMYFUNCTION("""COMPUTED_VALUE"""),3.0)</f>
        <v>3</v>
      </c>
      <c r="F486" s="2" t="str">
        <f>IFERROR(__xludf.DUMMYFUNCTION("""COMPUTED_VALUE"""),"to")</f>
        <v>to</v>
      </c>
      <c r="G486" s="2">
        <f>IFERROR(__xludf.DUMMYFUNCTION("""COMPUTED_VALUE"""),4.0)</f>
        <v>4</v>
      </c>
    </row>
    <row r="487">
      <c r="A487" s="1" t="s">
        <v>331</v>
      </c>
      <c r="B487" s="2" t="str">
        <f>IFERROR(__xludf.DUMMYFUNCTION("SPLIT(A487, "" "")"),"move")</f>
        <v>move</v>
      </c>
      <c r="C487" s="2">
        <f>IFERROR(__xludf.DUMMYFUNCTION("""COMPUTED_VALUE"""),3.0)</f>
        <v>3</v>
      </c>
      <c r="D487" s="2" t="str">
        <f>IFERROR(__xludf.DUMMYFUNCTION("""COMPUTED_VALUE"""),"from")</f>
        <v>from</v>
      </c>
      <c r="E487" s="2">
        <f>IFERROR(__xludf.DUMMYFUNCTION("""COMPUTED_VALUE"""),6.0)</f>
        <v>6</v>
      </c>
      <c r="F487" s="2" t="str">
        <f>IFERROR(__xludf.DUMMYFUNCTION("""COMPUTED_VALUE"""),"to")</f>
        <v>to</v>
      </c>
      <c r="G487" s="2">
        <f>IFERROR(__xludf.DUMMYFUNCTION("""COMPUTED_VALUE"""),1.0)</f>
        <v>1</v>
      </c>
    </row>
    <row r="488">
      <c r="A488" s="1" t="s">
        <v>279</v>
      </c>
      <c r="B488" s="2" t="str">
        <f>IFERROR(__xludf.DUMMYFUNCTION("SPLIT(A488, "" "")"),"move")</f>
        <v>move</v>
      </c>
      <c r="C488" s="2">
        <f>IFERROR(__xludf.DUMMYFUNCTION("""COMPUTED_VALUE"""),2.0)</f>
        <v>2</v>
      </c>
      <c r="D488" s="2" t="str">
        <f>IFERROR(__xludf.DUMMYFUNCTION("""COMPUTED_VALUE"""),"from")</f>
        <v>from</v>
      </c>
      <c r="E488" s="2">
        <f>IFERROR(__xludf.DUMMYFUNCTION("""COMPUTED_VALUE"""),5.0)</f>
        <v>5</v>
      </c>
      <c r="F488" s="2" t="str">
        <f>IFERROR(__xludf.DUMMYFUNCTION("""COMPUTED_VALUE"""),"to")</f>
        <v>to</v>
      </c>
      <c r="G488" s="2">
        <f>IFERROR(__xludf.DUMMYFUNCTION("""COMPUTED_VALUE"""),9.0)</f>
        <v>9</v>
      </c>
    </row>
    <row r="489">
      <c r="A489" s="1" t="s">
        <v>152</v>
      </c>
      <c r="B489" s="2" t="str">
        <f>IFERROR(__xludf.DUMMYFUNCTION("SPLIT(A489, "" "")"),"move")</f>
        <v>move</v>
      </c>
      <c r="C489" s="2">
        <f>IFERROR(__xludf.DUMMYFUNCTION("""COMPUTED_VALUE"""),4.0)</f>
        <v>4</v>
      </c>
      <c r="D489" s="2" t="str">
        <f>IFERROR(__xludf.DUMMYFUNCTION("""COMPUTED_VALUE"""),"from")</f>
        <v>from</v>
      </c>
      <c r="E489" s="2">
        <f>IFERROR(__xludf.DUMMYFUNCTION("""COMPUTED_VALUE"""),4.0)</f>
        <v>4</v>
      </c>
      <c r="F489" s="2" t="str">
        <f>IFERROR(__xludf.DUMMYFUNCTION("""COMPUTED_VALUE"""),"to")</f>
        <v>to</v>
      </c>
      <c r="G489" s="2">
        <f>IFERROR(__xludf.DUMMYFUNCTION("""COMPUTED_VALUE"""),1.0)</f>
        <v>1</v>
      </c>
    </row>
    <row r="490">
      <c r="A490" s="1" t="s">
        <v>332</v>
      </c>
      <c r="B490" s="2" t="str">
        <f>IFERROR(__xludf.DUMMYFUNCTION("SPLIT(A490, "" "")"),"move")</f>
        <v>move</v>
      </c>
      <c r="C490" s="2">
        <f>IFERROR(__xludf.DUMMYFUNCTION("""COMPUTED_VALUE"""),2.0)</f>
        <v>2</v>
      </c>
      <c r="D490" s="2" t="str">
        <f>IFERROR(__xludf.DUMMYFUNCTION("""COMPUTED_VALUE"""),"from")</f>
        <v>from</v>
      </c>
      <c r="E490" s="2">
        <f>IFERROR(__xludf.DUMMYFUNCTION("""COMPUTED_VALUE"""),5.0)</f>
        <v>5</v>
      </c>
      <c r="F490" s="2" t="str">
        <f>IFERROR(__xludf.DUMMYFUNCTION("""COMPUTED_VALUE"""),"to")</f>
        <v>to</v>
      </c>
      <c r="G490" s="2">
        <f>IFERROR(__xludf.DUMMYFUNCTION("""COMPUTED_VALUE"""),6.0)</f>
        <v>6</v>
      </c>
    </row>
    <row r="491">
      <c r="A491" s="1" t="s">
        <v>231</v>
      </c>
      <c r="B491" s="2" t="str">
        <f>IFERROR(__xludf.DUMMYFUNCTION("SPLIT(A491, "" "")"),"move")</f>
        <v>move</v>
      </c>
      <c r="C491" s="2">
        <f>IFERROR(__xludf.DUMMYFUNCTION("""COMPUTED_VALUE"""),1.0)</f>
        <v>1</v>
      </c>
      <c r="D491" s="2" t="str">
        <f>IFERROR(__xludf.DUMMYFUNCTION("""COMPUTED_VALUE"""),"from")</f>
        <v>from</v>
      </c>
      <c r="E491" s="2">
        <f>IFERROR(__xludf.DUMMYFUNCTION("""COMPUTED_VALUE"""),5.0)</f>
        <v>5</v>
      </c>
      <c r="F491" s="2" t="str">
        <f>IFERROR(__xludf.DUMMYFUNCTION("""COMPUTED_VALUE"""),"to")</f>
        <v>to</v>
      </c>
      <c r="G491" s="2">
        <f>IFERROR(__xludf.DUMMYFUNCTION("""COMPUTED_VALUE"""),4.0)</f>
        <v>4</v>
      </c>
    </row>
    <row r="492">
      <c r="A492" s="1" t="s">
        <v>333</v>
      </c>
      <c r="B492" s="2" t="str">
        <f>IFERROR(__xludf.DUMMYFUNCTION("SPLIT(A492, "" "")"),"move")</f>
        <v>move</v>
      </c>
      <c r="C492" s="2">
        <f>IFERROR(__xludf.DUMMYFUNCTION("""COMPUTED_VALUE"""),2.0)</f>
        <v>2</v>
      </c>
      <c r="D492" s="2" t="str">
        <f>IFERROR(__xludf.DUMMYFUNCTION("""COMPUTED_VALUE"""),"from")</f>
        <v>from</v>
      </c>
      <c r="E492" s="2">
        <f>IFERROR(__xludf.DUMMYFUNCTION("""COMPUTED_VALUE"""),2.0)</f>
        <v>2</v>
      </c>
      <c r="F492" s="2" t="str">
        <f>IFERROR(__xludf.DUMMYFUNCTION("""COMPUTED_VALUE"""),"to")</f>
        <v>to</v>
      </c>
      <c r="G492" s="2">
        <f>IFERROR(__xludf.DUMMYFUNCTION("""COMPUTED_VALUE"""),1.0)</f>
        <v>1</v>
      </c>
    </row>
    <row r="493">
      <c r="A493" s="1" t="s">
        <v>334</v>
      </c>
      <c r="B493" s="2" t="str">
        <f>IFERROR(__xludf.DUMMYFUNCTION("SPLIT(A493, "" "")"),"move")</f>
        <v>move</v>
      </c>
      <c r="C493" s="2">
        <f>IFERROR(__xludf.DUMMYFUNCTION("""COMPUTED_VALUE"""),4.0)</f>
        <v>4</v>
      </c>
      <c r="D493" s="2" t="str">
        <f>IFERROR(__xludf.DUMMYFUNCTION("""COMPUTED_VALUE"""),"from")</f>
        <v>from</v>
      </c>
      <c r="E493" s="2">
        <f>IFERROR(__xludf.DUMMYFUNCTION("""COMPUTED_VALUE"""),3.0)</f>
        <v>3</v>
      </c>
      <c r="F493" s="2" t="str">
        <f>IFERROR(__xludf.DUMMYFUNCTION("""COMPUTED_VALUE"""),"to")</f>
        <v>to</v>
      </c>
      <c r="G493" s="2">
        <f>IFERROR(__xludf.DUMMYFUNCTION("""COMPUTED_VALUE"""),9.0)</f>
        <v>9</v>
      </c>
    </row>
    <row r="494">
      <c r="A494" s="1" t="s">
        <v>195</v>
      </c>
      <c r="B494" s="2" t="str">
        <f>IFERROR(__xludf.DUMMYFUNCTION("SPLIT(A494, "" "")"),"move")</f>
        <v>move</v>
      </c>
      <c r="C494" s="2">
        <f>IFERROR(__xludf.DUMMYFUNCTION("""COMPUTED_VALUE"""),1.0)</f>
        <v>1</v>
      </c>
      <c r="D494" s="2" t="str">
        <f>IFERROR(__xludf.DUMMYFUNCTION("""COMPUTED_VALUE"""),"from")</f>
        <v>from</v>
      </c>
      <c r="E494" s="2">
        <f>IFERROR(__xludf.DUMMYFUNCTION("""COMPUTED_VALUE"""),7.0)</f>
        <v>7</v>
      </c>
      <c r="F494" s="2" t="str">
        <f>IFERROR(__xludf.DUMMYFUNCTION("""COMPUTED_VALUE"""),"to")</f>
        <v>to</v>
      </c>
      <c r="G494" s="2">
        <f>IFERROR(__xludf.DUMMYFUNCTION("""COMPUTED_VALUE"""),3.0)</f>
        <v>3</v>
      </c>
    </row>
    <row r="495">
      <c r="A495" s="1" t="s">
        <v>68</v>
      </c>
      <c r="B495" s="2" t="str">
        <f>IFERROR(__xludf.DUMMYFUNCTION("SPLIT(A495, "" "")"),"move")</f>
        <v>move</v>
      </c>
      <c r="C495" s="2">
        <f>IFERROR(__xludf.DUMMYFUNCTION("""COMPUTED_VALUE"""),2.0)</f>
        <v>2</v>
      </c>
      <c r="D495" s="2" t="str">
        <f>IFERROR(__xludf.DUMMYFUNCTION("""COMPUTED_VALUE"""),"from")</f>
        <v>from</v>
      </c>
      <c r="E495" s="2">
        <f>IFERROR(__xludf.DUMMYFUNCTION("""COMPUTED_VALUE"""),7.0)</f>
        <v>7</v>
      </c>
      <c r="F495" s="2" t="str">
        <f>IFERROR(__xludf.DUMMYFUNCTION("""COMPUTED_VALUE"""),"to")</f>
        <v>to</v>
      </c>
      <c r="G495" s="2">
        <f>IFERROR(__xludf.DUMMYFUNCTION("""COMPUTED_VALUE"""),4.0)</f>
        <v>4</v>
      </c>
    </row>
    <row r="496">
      <c r="A496" s="1" t="s">
        <v>207</v>
      </c>
      <c r="B496" s="2" t="str">
        <f>IFERROR(__xludf.DUMMYFUNCTION("SPLIT(A496, "" "")"),"move")</f>
        <v>move</v>
      </c>
      <c r="C496" s="2">
        <f>IFERROR(__xludf.DUMMYFUNCTION("""COMPUTED_VALUE"""),2.0)</f>
        <v>2</v>
      </c>
      <c r="D496" s="2" t="str">
        <f>IFERROR(__xludf.DUMMYFUNCTION("""COMPUTED_VALUE"""),"from")</f>
        <v>from</v>
      </c>
      <c r="E496" s="2">
        <f>IFERROR(__xludf.DUMMYFUNCTION("""COMPUTED_VALUE"""),4.0)</f>
        <v>4</v>
      </c>
      <c r="F496" s="2" t="str">
        <f>IFERROR(__xludf.DUMMYFUNCTION("""COMPUTED_VALUE"""),"to")</f>
        <v>to</v>
      </c>
      <c r="G496" s="2">
        <f>IFERROR(__xludf.DUMMYFUNCTION("""COMPUTED_VALUE"""),7.0)</f>
        <v>7</v>
      </c>
    </row>
    <row r="497">
      <c r="A497" s="1" t="s">
        <v>335</v>
      </c>
      <c r="B497" s="2" t="str">
        <f>IFERROR(__xludf.DUMMYFUNCTION("SPLIT(A497, "" "")"),"move")</f>
        <v>move</v>
      </c>
      <c r="C497" s="2">
        <f>IFERROR(__xludf.DUMMYFUNCTION("""COMPUTED_VALUE"""),1.0)</f>
        <v>1</v>
      </c>
      <c r="D497" s="2" t="str">
        <f>IFERROR(__xludf.DUMMYFUNCTION("""COMPUTED_VALUE"""),"from")</f>
        <v>from</v>
      </c>
      <c r="E497" s="2">
        <f>IFERROR(__xludf.DUMMYFUNCTION("""COMPUTED_VALUE"""),6.0)</f>
        <v>6</v>
      </c>
      <c r="F497" s="2" t="str">
        <f>IFERROR(__xludf.DUMMYFUNCTION("""COMPUTED_VALUE"""),"to")</f>
        <v>to</v>
      </c>
      <c r="G497" s="2">
        <f>IFERROR(__xludf.DUMMYFUNCTION("""COMPUTED_VALUE"""),7.0)</f>
        <v>7</v>
      </c>
    </row>
    <row r="498">
      <c r="A498" s="1" t="s">
        <v>77</v>
      </c>
      <c r="B498" s="2" t="str">
        <f>IFERROR(__xludf.DUMMYFUNCTION("SPLIT(A498, "" "")"),"move")</f>
        <v>move</v>
      </c>
      <c r="C498" s="2">
        <f>IFERROR(__xludf.DUMMYFUNCTION("""COMPUTED_VALUE"""),1.0)</f>
        <v>1</v>
      </c>
      <c r="D498" s="2" t="str">
        <f>IFERROR(__xludf.DUMMYFUNCTION("""COMPUTED_VALUE"""),"from")</f>
        <v>from</v>
      </c>
      <c r="E498" s="2">
        <f>IFERROR(__xludf.DUMMYFUNCTION("""COMPUTED_VALUE"""),2.0)</f>
        <v>2</v>
      </c>
      <c r="F498" s="2" t="str">
        <f>IFERROR(__xludf.DUMMYFUNCTION("""COMPUTED_VALUE"""),"to")</f>
        <v>to</v>
      </c>
      <c r="G498" s="2">
        <f>IFERROR(__xludf.DUMMYFUNCTION("""COMPUTED_VALUE"""),8.0)</f>
        <v>8</v>
      </c>
    </row>
    <row r="499">
      <c r="A499" s="1" t="s">
        <v>144</v>
      </c>
      <c r="B499" s="2" t="str">
        <f>IFERROR(__xludf.DUMMYFUNCTION("SPLIT(A499, "" "")"),"move")</f>
        <v>move</v>
      </c>
      <c r="C499" s="2">
        <f>IFERROR(__xludf.DUMMYFUNCTION("""COMPUTED_VALUE"""),2.0)</f>
        <v>2</v>
      </c>
      <c r="D499" s="2" t="str">
        <f>IFERROR(__xludf.DUMMYFUNCTION("""COMPUTED_VALUE"""),"from")</f>
        <v>from</v>
      </c>
      <c r="E499" s="2">
        <f>IFERROR(__xludf.DUMMYFUNCTION("""COMPUTED_VALUE"""),3.0)</f>
        <v>3</v>
      </c>
      <c r="F499" s="2" t="str">
        <f>IFERROR(__xludf.DUMMYFUNCTION("""COMPUTED_VALUE"""),"to")</f>
        <v>to</v>
      </c>
      <c r="G499" s="2">
        <f>IFERROR(__xludf.DUMMYFUNCTION("""COMPUTED_VALUE"""),9.0)</f>
        <v>9</v>
      </c>
    </row>
    <row r="500">
      <c r="A500" s="1" t="s">
        <v>336</v>
      </c>
      <c r="B500" s="2" t="str">
        <f>IFERROR(__xludf.DUMMYFUNCTION("SPLIT(A500, "" "")"),"move")</f>
        <v>move</v>
      </c>
      <c r="C500" s="2">
        <f>IFERROR(__xludf.DUMMYFUNCTION("""COMPUTED_VALUE"""),14.0)</f>
        <v>14</v>
      </c>
      <c r="D500" s="2" t="str">
        <f>IFERROR(__xludf.DUMMYFUNCTION("""COMPUTED_VALUE"""),"from")</f>
        <v>from</v>
      </c>
      <c r="E500" s="2">
        <f>IFERROR(__xludf.DUMMYFUNCTION("""COMPUTED_VALUE"""),1.0)</f>
        <v>1</v>
      </c>
      <c r="F500" s="2" t="str">
        <f>IFERROR(__xludf.DUMMYFUNCTION("""COMPUTED_VALUE"""),"to")</f>
        <v>to</v>
      </c>
      <c r="G500" s="2">
        <f>IFERROR(__xludf.DUMMYFUNCTION("""COMPUTED_VALUE"""),8.0)</f>
        <v>8</v>
      </c>
    </row>
    <row r="501">
      <c r="A501" s="1" t="s">
        <v>20</v>
      </c>
      <c r="B501" s="2" t="str">
        <f>IFERROR(__xludf.DUMMYFUNCTION("SPLIT(A501, "" "")"),"move")</f>
        <v>move</v>
      </c>
      <c r="C501" s="2">
        <f>IFERROR(__xludf.DUMMYFUNCTION("""COMPUTED_VALUE"""),1.0)</f>
        <v>1</v>
      </c>
      <c r="D501" s="2" t="str">
        <f>IFERROR(__xludf.DUMMYFUNCTION("""COMPUTED_VALUE"""),"from")</f>
        <v>from</v>
      </c>
      <c r="E501" s="2">
        <f>IFERROR(__xludf.DUMMYFUNCTION("""COMPUTED_VALUE"""),6.0)</f>
        <v>6</v>
      </c>
      <c r="F501" s="2" t="str">
        <f>IFERROR(__xludf.DUMMYFUNCTION("""COMPUTED_VALUE"""),"to")</f>
        <v>to</v>
      </c>
      <c r="G501" s="2">
        <f>IFERROR(__xludf.DUMMYFUNCTION("""COMPUTED_VALUE"""),2.0)</f>
        <v>2</v>
      </c>
    </row>
    <row r="502">
      <c r="A502" s="1" t="s">
        <v>145</v>
      </c>
      <c r="B502" s="2" t="str">
        <f>IFERROR(__xludf.DUMMYFUNCTION("SPLIT(A502, "" "")"),"move")</f>
        <v>move</v>
      </c>
      <c r="C502" s="2">
        <f>IFERROR(__xludf.DUMMYFUNCTION("""COMPUTED_VALUE"""),2.0)</f>
        <v>2</v>
      </c>
      <c r="D502" s="2" t="str">
        <f>IFERROR(__xludf.DUMMYFUNCTION("""COMPUTED_VALUE"""),"from")</f>
        <v>from</v>
      </c>
      <c r="E502" s="2">
        <f>IFERROR(__xludf.DUMMYFUNCTION("""COMPUTED_VALUE"""),7.0)</f>
        <v>7</v>
      </c>
      <c r="F502" s="2" t="str">
        <f>IFERROR(__xludf.DUMMYFUNCTION("""COMPUTED_VALUE"""),"to")</f>
        <v>to</v>
      </c>
      <c r="G502" s="2">
        <f>IFERROR(__xludf.DUMMYFUNCTION("""COMPUTED_VALUE"""),1.0)</f>
        <v>1</v>
      </c>
    </row>
    <row r="503">
      <c r="A503" s="1" t="s">
        <v>121</v>
      </c>
      <c r="B503" s="2" t="str">
        <f>IFERROR(__xludf.DUMMYFUNCTION("SPLIT(A503, "" "")"),"move")</f>
        <v>move</v>
      </c>
      <c r="C503" s="2">
        <f>IFERROR(__xludf.DUMMYFUNCTION("""COMPUTED_VALUE"""),3.0)</f>
        <v>3</v>
      </c>
      <c r="D503" s="2" t="str">
        <f>IFERROR(__xludf.DUMMYFUNCTION("""COMPUTED_VALUE"""),"from")</f>
        <v>from</v>
      </c>
      <c r="E503" s="2">
        <f>IFERROR(__xludf.DUMMYFUNCTION("""COMPUTED_VALUE"""),8.0)</f>
        <v>8</v>
      </c>
      <c r="F503" s="2" t="str">
        <f>IFERROR(__xludf.DUMMYFUNCTION("""COMPUTED_VALUE"""),"to")</f>
        <v>to</v>
      </c>
      <c r="G503" s="2">
        <f>IFERROR(__xludf.DUMMYFUNCTION("""COMPUTED_VALUE"""),3.0)</f>
        <v>3</v>
      </c>
    </row>
    <row r="504">
      <c r="A504" s="1" t="s">
        <v>337</v>
      </c>
      <c r="B504" s="2" t="str">
        <f>IFERROR(__xludf.DUMMYFUNCTION("SPLIT(A504, "" "")"),"move")</f>
        <v>move</v>
      </c>
      <c r="C504" s="2">
        <f>IFERROR(__xludf.DUMMYFUNCTION("""COMPUTED_VALUE"""),6.0)</f>
        <v>6</v>
      </c>
      <c r="D504" s="2" t="str">
        <f>IFERROR(__xludf.DUMMYFUNCTION("""COMPUTED_VALUE"""),"from")</f>
        <v>from</v>
      </c>
      <c r="E504" s="2">
        <f>IFERROR(__xludf.DUMMYFUNCTION("""COMPUTED_VALUE"""),8.0)</f>
        <v>8</v>
      </c>
      <c r="F504" s="2" t="str">
        <f>IFERROR(__xludf.DUMMYFUNCTION("""COMPUTED_VALUE"""),"to")</f>
        <v>to</v>
      </c>
      <c r="G504" s="2">
        <f>IFERROR(__xludf.DUMMYFUNCTION("""COMPUTED_VALUE"""),5.0)</f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338</v>
      </c>
      <c r="B1" s="3" t="s">
        <v>339</v>
      </c>
      <c r="C1" s="3" t="s">
        <v>340</v>
      </c>
      <c r="D1" s="3" t="s">
        <v>341</v>
      </c>
      <c r="E1" s="3" t="s">
        <v>342</v>
      </c>
      <c r="F1" s="3" t="s">
        <v>343</v>
      </c>
      <c r="G1" s="3" t="s">
        <v>344</v>
      </c>
      <c r="H1" s="3" t="s">
        <v>345</v>
      </c>
      <c r="I1" s="3" t="s">
        <v>346</v>
      </c>
    </row>
    <row r="2">
      <c r="A2" s="2" t="str">
        <f>IF(Source!$E2=COLUMNS($A2:A2), LEFT(A1, LEN(A1)-Source!$C2), IF(Source!$G2=COLUMNS($A2:A2), A1&amp;RIGHT(INDIRECT(ADDRESS(ROW(A2)-1, Source!$E2)), Source!$C2), A1))</f>
        <v>DTRBJLWG</v>
      </c>
      <c r="B2" s="2" t="str">
        <f>IF(Source!$E2=COLUMNS($A2:B2), LEFT(B1, LEN(B1)-Source!$C2), IF(Source!$G2=COLUMNS($A2:B2), B1&amp;RIGHT(INDIRECT(ADDRESS(ROW(B2)-1, Source!$E2)), Source!$C2), B1))</f>
        <v>SWC</v>
      </c>
      <c r="C2" s="2" t="str">
        <f>IF(Source!$E2=COLUMNS($A2:C2), LEFT(C1, LEN(C1)-Source!$C2), IF(Source!$G2=COLUMNS($A2:C2), C1&amp;RIGHT(INDIRECT(ADDRESS(ROW(C2)-1, Source!$E2)), Source!$C2), C1))</f>
        <v>RZT</v>
      </c>
      <c r="D2" s="2" t="str">
        <f>IF(Source!$E2=COLUMNS($A2:D2), LEFT(D1, LEN(D1)-Source!$C2), IF(Source!$G2=COLUMNS($A2:D2), D1&amp;RIGHT(INDIRECT(ADDRESS(ROW(D2)-1, Source!$E2)), Source!$C2), D1))</f>
        <v>DTCHSPV</v>
      </c>
      <c r="E2" s="2" t="str">
        <f>IF(Source!$E2=COLUMNS($A2:E2), LEFT(E1, LEN(E1)-Source!$C2), IF(Source!$G2=COLUMNS($A2:E2), E1&amp;RIGHT(INDIRECT(ADDRESS(ROW(E2)-1, Source!$E2)), Source!$C2), E1))</f>
        <v>GPTLDZM</v>
      </c>
      <c r="F2" s="2" t="str">
        <f>IF(Source!$E2=COLUMNS($A2:F2), LEFT(F1, LEN(F1)-Source!$C2), IF(Source!$G2=COLUMNS($A2:F2), F1&amp;RIGHT(INDIRECT(ADDRESS(ROW(F2)-1, Source!$E2)), Source!$C2), F1))</f>
        <v>FBRZJQCD</v>
      </c>
      <c r="G2" s="2" t="str">
        <f>IF(Source!$E2=COLUMNS($A2:G2), LEFT(G1, LEN(G1)-Source!$C2), IF(Source!$G2=COLUMNS($A2:G2), G1&amp;RIGHT(INDIRECT(ADDRESS(ROW(G2)-1, Source!$E2)), Source!$C2), G1))</f>
        <v>SBDJMFTR</v>
      </c>
      <c r="H2" s="2" t="str">
        <f>IF(Source!$E2=COLUMNS($A2:H2), LEFT(H1, LEN(H1)-Source!$C2), IF(Source!$G2=COLUMNS($A2:H2), H1&amp;RIGHT(INDIRECT(ADDRESS(ROW(H2)-1, Source!$E2)), Source!$C2), H1))</f>
        <v>LHRBTVM</v>
      </c>
      <c r="I2" s="2" t="str">
        <f>IF(Source!$E2=COLUMNS($A2:I2), LEFT(I1, LEN(I1)-Source!$C2), IF(Source!$G2=COLUMNS($A2:I2), I1&amp;RIGHT(INDIRECT(ADDRESS(ROW(I2)-1, Source!$E2)), Source!$C2), I1))</f>
        <v>QPDSV</v>
      </c>
    </row>
    <row r="3">
      <c r="A3" s="2" t="str">
        <f>IF(Source!$E3=COLUMNS($A3:A3), LEFT(A2, LEN(A2)-Source!$C3), IF(Source!$G3=COLUMNS($A3:A3), A2&amp;RIGHT(INDIRECT(ADDRESS(ROW(A3)-1, Source!$E3)), Source!$C3), A2))</f>
        <v>DTRBJLWG</v>
      </c>
      <c r="B3" s="2" t="str">
        <f>IF(Source!$E3=COLUMNS($A3:B3), LEFT(B2, LEN(B2)-Source!$C3), IF(Source!$G3=COLUMNS($A3:B3), B2&amp;RIGHT(INDIRECT(ADDRESS(ROW(B3)-1, Source!$E3)), Source!$C3), B2))</f>
        <v>SWC</v>
      </c>
      <c r="C3" s="2" t="str">
        <f>IF(Source!$E3=COLUMNS($A3:C3), LEFT(C2, LEN(C2)-Source!$C3), IF(Source!$G3=COLUMNS($A3:C3), C2&amp;RIGHT(INDIRECT(ADDRESS(ROW(C3)-1, Source!$E3)), Source!$C3), C2))</f>
        <v>RZT</v>
      </c>
      <c r="D3" s="2" t="str">
        <f>IF(Source!$E3=COLUMNS($A3:D3), LEFT(D2, LEN(D2)-Source!$C3), IF(Source!$G3=COLUMNS($A3:D3), D2&amp;RIGHT(INDIRECT(ADDRESS(ROW(D3)-1, Source!$E3)), Source!$C3), D2))</f>
        <v>DTCHSPVTLDZM</v>
      </c>
      <c r="E3" s="2" t="str">
        <f>IF(Source!$E3=COLUMNS($A3:E3), LEFT(E2, LEN(E2)-Source!$C3), IF(Source!$G3=COLUMNS($A3:E3), E2&amp;RIGHT(INDIRECT(ADDRESS(ROW(E3)-1, Source!$E3)), Source!$C3), E2))</f>
        <v>GP</v>
      </c>
      <c r="F3" s="2" t="str">
        <f>IF(Source!$E3=COLUMNS($A3:F3), LEFT(F2, LEN(F2)-Source!$C3), IF(Source!$G3=COLUMNS($A3:F3), F2&amp;RIGHT(INDIRECT(ADDRESS(ROW(F3)-1, Source!$E3)), Source!$C3), F2))</f>
        <v>FBRZJQCD</v>
      </c>
      <c r="G3" s="2" t="str">
        <f>IF(Source!$E3=COLUMNS($A3:G3), LEFT(G2, LEN(G2)-Source!$C3), IF(Source!$G3=COLUMNS($A3:G3), G2&amp;RIGHT(INDIRECT(ADDRESS(ROW(G3)-1, Source!$E3)), Source!$C3), G2))</f>
        <v>SBDJMFTR</v>
      </c>
      <c r="H3" s="2" t="str">
        <f>IF(Source!$E3=COLUMNS($A3:H3), LEFT(H2, LEN(H2)-Source!$C3), IF(Source!$G3=COLUMNS($A3:H3), H2&amp;RIGHT(INDIRECT(ADDRESS(ROW(H3)-1, Source!$E3)), Source!$C3), H2))</f>
        <v>LHRBTVM</v>
      </c>
      <c r="I3" s="2" t="str">
        <f>IF(Source!$E3=COLUMNS($A3:I3), LEFT(I2, LEN(I2)-Source!$C3), IF(Source!$G3=COLUMNS($A3:I3), I2&amp;RIGHT(INDIRECT(ADDRESS(ROW(I3)-1, Source!$E3)), Source!$C3), I2))</f>
        <v>QPDSV</v>
      </c>
    </row>
    <row r="4">
      <c r="A4" s="2" t="str">
        <f>IF(Source!$E4=COLUMNS($A4:A4), LEFT(A3, LEN(A3)-Source!$C4), IF(Source!$G4=COLUMNS($A4:A4), A3&amp;RIGHT(INDIRECT(ADDRESS(ROW(A4)-1, Source!$E4)), Source!$C4), A3))</f>
        <v>DTRBJLWG</v>
      </c>
      <c r="B4" s="2" t="str">
        <f>IF(Source!$E4=COLUMNS($A4:B4), LEFT(B3, LEN(B3)-Source!$C4), IF(Source!$G4=COLUMNS($A4:B4), B3&amp;RIGHT(INDIRECT(ADDRESS(ROW(B4)-1, Source!$E4)), Source!$C4), B3))</f>
        <v>SWC</v>
      </c>
      <c r="C4" s="2" t="str">
        <f>IF(Source!$E4=COLUMNS($A4:C4), LEFT(C3, LEN(C3)-Source!$C4), IF(Source!$G4=COLUMNS($A4:C4), C3&amp;RIGHT(INDIRECT(ADDRESS(ROW(C4)-1, Source!$E4)), Source!$C4), C3))</f>
        <v>RZTDJMFTR</v>
      </c>
      <c r="D4" s="2" t="str">
        <f>IF(Source!$E4=COLUMNS($A4:D4), LEFT(D3, LEN(D3)-Source!$C4), IF(Source!$G4=COLUMNS($A4:D4), D3&amp;RIGHT(INDIRECT(ADDRESS(ROW(D4)-1, Source!$E4)), Source!$C4), D3))</f>
        <v>DTCHSPVTLDZM</v>
      </c>
      <c r="E4" s="2" t="str">
        <f>IF(Source!$E4=COLUMNS($A4:E4), LEFT(E3, LEN(E3)-Source!$C4), IF(Source!$G4=COLUMNS($A4:E4), E3&amp;RIGHT(INDIRECT(ADDRESS(ROW(E4)-1, Source!$E4)), Source!$C4), E3))</f>
        <v>GP</v>
      </c>
      <c r="F4" s="2" t="str">
        <f>IF(Source!$E4=COLUMNS($A4:F4), LEFT(F3, LEN(F3)-Source!$C4), IF(Source!$G4=COLUMNS($A4:F4), F3&amp;RIGHT(INDIRECT(ADDRESS(ROW(F4)-1, Source!$E4)), Source!$C4), F3))</f>
        <v>FBRZJQCD</v>
      </c>
      <c r="G4" s="2" t="str">
        <f>IF(Source!$E4=COLUMNS($A4:G4), LEFT(G3, LEN(G3)-Source!$C4), IF(Source!$G4=COLUMNS($A4:G4), G3&amp;RIGHT(INDIRECT(ADDRESS(ROW(G4)-1, Source!$E4)), Source!$C4), G3))</f>
        <v>SB</v>
      </c>
      <c r="H4" s="2" t="str">
        <f>IF(Source!$E4=COLUMNS($A4:H4), LEFT(H3, LEN(H3)-Source!$C4), IF(Source!$G4=COLUMNS($A4:H4), H3&amp;RIGHT(INDIRECT(ADDRESS(ROW(H4)-1, Source!$E4)), Source!$C4), H3))</f>
        <v>LHRBTVM</v>
      </c>
      <c r="I4" s="2" t="str">
        <f>IF(Source!$E4=COLUMNS($A4:I4), LEFT(I3, LEN(I3)-Source!$C4), IF(Source!$G4=COLUMNS($A4:I4), I3&amp;RIGHT(INDIRECT(ADDRESS(ROW(I4)-1, Source!$E4)), Source!$C4), I3))</f>
        <v>QPDSV</v>
      </c>
    </row>
    <row r="5">
      <c r="A5" s="2" t="str">
        <f>IF(Source!$E5=COLUMNS($A5:A5), LEFT(A4, LEN(A4)-Source!$C5), IF(Source!$G5=COLUMNS($A5:A5), A4&amp;RIGHT(INDIRECT(ADDRESS(ROW(A5)-1, Source!$E5)), Source!$C5), A4))</f>
        <v>DT</v>
      </c>
      <c r="B5" s="2" t="str">
        <f>IF(Source!$E5=COLUMNS($A5:B5), LEFT(B4, LEN(B4)-Source!$C5), IF(Source!$G5=COLUMNS($A5:B5), B4&amp;RIGHT(INDIRECT(ADDRESS(ROW(B5)-1, Source!$E5)), Source!$C5), B4))</f>
        <v>SWC</v>
      </c>
      <c r="C5" s="2" t="str">
        <f>IF(Source!$E5=COLUMNS($A5:C5), LEFT(C4, LEN(C4)-Source!$C5), IF(Source!$G5=COLUMNS($A5:C5), C4&amp;RIGHT(INDIRECT(ADDRESS(ROW(C5)-1, Source!$E5)), Source!$C5), C4))</f>
        <v>RZTDJMFTRRBJLWG</v>
      </c>
      <c r="D5" s="2" t="str">
        <f>IF(Source!$E5=COLUMNS($A5:D5), LEFT(D4, LEN(D4)-Source!$C5), IF(Source!$G5=COLUMNS($A5:D5), D4&amp;RIGHT(INDIRECT(ADDRESS(ROW(D5)-1, Source!$E5)), Source!$C5), D4))</f>
        <v>DTCHSPVTLDZM</v>
      </c>
      <c r="E5" s="2" t="str">
        <f>IF(Source!$E5=COLUMNS($A5:E5), LEFT(E4, LEN(E4)-Source!$C5), IF(Source!$G5=COLUMNS($A5:E5), E4&amp;RIGHT(INDIRECT(ADDRESS(ROW(E5)-1, Source!$E5)), Source!$C5), E4))</f>
        <v>GP</v>
      </c>
      <c r="F5" s="2" t="str">
        <f>IF(Source!$E5=COLUMNS($A5:F5), LEFT(F4, LEN(F4)-Source!$C5), IF(Source!$G5=COLUMNS($A5:F5), F4&amp;RIGHT(INDIRECT(ADDRESS(ROW(F5)-1, Source!$E5)), Source!$C5), F4))</f>
        <v>FBRZJQCD</v>
      </c>
      <c r="G5" s="2" t="str">
        <f>IF(Source!$E5=COLUMNS($A5:G5), LEFT(G4, LEN(G4)-Source!$C5), IF(Source!$G5=COLUMNS($A5:G5), G4&amp;RIGHT(INDIRECT(ADDRESS(ROW(G5)-1, Source!$E5)), Source!$C5), G4))</f>
        <v>SB</v>
      </c>
      <c r="H5" s="2" t="str">
        <f>IF(Source!$E5=COLUMNS($A5:H5), LEFT(H4, LEN(H4)-Source!$C5), IF(Source!$G5=COLUMNS($A5:H5), H4&amp;RIGHT(INDIRECT(ADDRESS(ROW(H5)-1, Source!$E5)), Source!$C5), H4))</f>
        <v>LHRBTVM</v>
      </c>
      <c r="I5" s="2" t="str">
        <f>IF(Source!$E5=COLUMNS($A5:I5), LEFT(I4, LEN(I4)-Source!$C5), IF(Source!$G5=COLUMNS($A5:I5), I4&amp;RIGHT(INDIRECT(ADDRESS(ROW(I5)-1, Source!$E5)), Source!$C5), I4))</f>
        <v>QPDSV</v>
      </c>
    </row>
    <row r="6">
      <c r="A6" s="2" t="str">
        <f>IF(Source!$E6=COLUMNS($A6:A6), LEFT(A5, LEN(A5)-Source!$C6), IF(Source!$G6=COLUMNS($A6:A6), A5&amp;RIGHT(INDIRECT(ADDRESS(ROW(A6)-1, Source!$E6)), Source!$C6), A5))</f>
        <v>D</v>
      </c>
      <c r="B6" s="2" t="str">
        <f>IF(Source!$E6=COLUMNS($A6:B6), LEFT(B5, LEN(B5)-Source!$C6), IF(Source!$G6=COLUMNS($A6:B6), B5&amp;RIGHT(INDIRECT(ADDRESS(ROW(B6)-1, Source!$E6)), Source!$C6), B5))</f>
        <v>SWC</v>
      </c>
      <c r="C6" s="2" t="str">
        <f>IF(Source!$E6=COLUMNS($A6:C6), LEFT(C5, LEN(C5)-Source!$C6), IF(Source!$G6=COLUMNS($A6:C6), C5&amp;RIGHT(INDIRECT(ADDRESS(ROW(C6)-1, Source!$E6)), Source!$C6), C5))</f>
        <v>RZTDJMFTRRBJLWG</v>
      </c>
      <c r="D6" s="2" t="str">
        <f>IF(Source!$E6=COLUMNS($A6:D6), LEFT(D5, LEN(D5)-Source!$C6), IF(Source!$G6=COLUMNS($A6:D6), D5&amp;RIGHT(INDIRECT(ADDRESS(ROW(D6)-1, Source!$E6)), Source!$C6), D5))</f>
        <v>DTCHSPVTLDZM</v>
      </c>
      <c r="E6" s="2" t="str">
        <f>IF(Source!$E6=COLUMNS($A6:E6), LEFT(E5, LEN(E5)-Source!$C6), IF(Source!$G6=COLUMNS($A6:E6), E5&amp;RIGHT(INDIRECT(ADDRESS(ROW(E6)-1, Source!$E6)), Source!$C6), E5))</f>
        <v>GP</v>
      </c>
      <c r="F6" s="2" t="str">
        <f>IF(Source!$E6=COLUMNS($A6:F6), LEFT(F5, LEN(F5)-Source!$C6), IF(Source!$G6=COLUMNS($A6:F6), F5&amp;RIGHT(INDIRECT(ADDRESS(ROW(F6)-1, Source!$E6)), Source!$C6), F5))</f>
        <v>FBRZJQCD</v>
      </c>
      <c r="G6" s="2" t="str">
        <f>IF(Source!$E6=COLUMNS($A6:G6), LEFT(G5, LEN(G5)-Source!$C6), IF(Source!$G6=COLUMNS($A6:G6), G5&amp;RIGHT(INDIRECT(ADDRESS(ROW(G6)-1, Source!$E6)), Source!$C6), G5))</f>
        <v>SB</v>
      </c>
      <c r="H6" s="2" t="str">
        <f>IF(Source!$E6=COLUMNS($A6:H6), LEFT(H5, LEN(H5)-Source!$C6), IF(Source!$G6=COLUMNS($A6:H6), H5&amp;RIGHT(INDIRECT(ADDRESS(ROW(H6)-1, Source!$E6)), Source!$C6), H5))</f>
        <v>LHRBTVM</v>
      </c>
      <c r="I6" s="2" t="str">
        <f>IF(Source!$E6=COLUMNS($A6:I6), LEFT(I5, LEN(I5)-Source!$C6), IF(Source!$G6=COLUMNS($A6:I6), I5&amp;RIGHT(INDIRECT(ADDRESS(ROW(I6)-1, Source!$E6)), Source!$C6), I5))</f>
        <v>QPDSVT</v>
      </c>
    </row>
    <row r="7">
      <c r="A7" s="2" t="str">
        <f>IF(Source!$E7=COLUMNS($A7:A7), LEFT(A6, LEN(A6)-Source!$C7), IF(Source!$G7=COLUMNS($A7:A7), A6&amp;RIGHT(INDIRECT(ADDRESS(ROW(A7)-1, Source!$E7)), Source!$C7), A6))</f>
        <v/>
      </c>
      <c r="B7" s="2" t="str">
        <f>IF(Source!$E7=COLUMNS($A7:B7), LEFT(B6, LEN(B6)-Source!$C7), IF(Source!$G7=COLUMNS($A7:B7), B6&amp;RIGHT(INDIRECT(ADDRESS(ROW(B7)-1, Source!$E7)), Source!$C7), B6))</f>
        <v>SWC</v>
      </c>
      <c r="C7" s="2" t="str">
        <f>IF(Source!$E7=COLUMNS($A7:C7), LEFT(C6, LEN(C6)-Source!$C7), IF(Source!$G7=COLUMNS($A7:C7), C6&amp;RIGHT(INDIRECT(ADDRESS(ROW(C7)-1, Source!$E7)), Source!$C7), C6))</f>
        <v>RZTDJMFTRRBJLWG</v>
      </c>
      <c r="D7" s="2" t="str">
        <f>IF(Source!$E7=COLUMNS($A7:D7), LEFT(D6, LEN(D6)-Source!$C7), IF(Source!$G7=COLUMNS($A7:D7), D6&amp;RIGHT(INDIRECT(ADDRESS(ROW(D7)-1, Source!$E7)), Source!$C7), D6))</f>
        <v>DTCHSPVTLDZMD</v>
      </c>
      <c r="E7" s="2" t="str">
        <f>IF(Source!$E7=COLUMNS($A7:E7), LEFT(E6, LEN(E6)-Source!$C7), IF(Source!$G7=COLUMNS($A7:E7), E6&amp;RIGHT(INDIRECT(ADDRESS(ROW(E7)-1, Source!$E7)), Source!$C7), E6))</f>
        <v>GP</v>
      </c>
      <c r="F7" s="2" t="str">
        <f>IF(Source!$E7=COLUMNS($A7:F7), LEFT(F6, LEN(F6)-Source!$C7), IF(Source!$G7=COLUMNS($A7:F7), F6&amp;RIGHT(INDIRECT(ADDRESS(ROW(F7)-1, Source!$E7)), Source!$C7), F6))</f>
        <v>FBRZJQCD</v>
      </c>
      <c r="G7" s="2" t="str">
        <f>IF(Source!$E7=COLUMNS($A7:G7), LEFT(G6, LEN(G6)-Source!$C7), IF(Source!$G7=COLUMNS($A7:G7), G6&amp;RIGHT(INDIRECT(ADDRESS(ROW(G7)-1, Source!$E7)), Source!$C7), G6))</f>
        <v>SB</v>
      </c>
      <c r="H7" s="2" t="str">
        <f>IF(Source!$E7=COLUMNS($A7:H7), LEFT(H6, LEN(H6)-Source!$C7), IF(Source!$G7=COLUMNS($A7:H7), H6&amp;RIGHT(INDIRECT(ADDRESS(ROW(H7)-1, Source!$E7)), Source!$C7), H6))</f>
        <v>LHRBTVM</v>
      </c>
      <c r="I7" s="2" t="str">
        <f>IF(Source!$E7=COLUMNS($A7:I7), LEFT(I6, LEN(I6)-Source!$C7), IF(Source!$G7=COLUMNS($A7:I7), I6&amp;RIGHT(INDIRECT(ADDRESS(ROW(I7)-1, Source!$E7)), Source!$C7), I6))</f>
        <v>QPDSVT</v>
      </c>
    </row>
    <row r="8">
      <c r="A8" s="2" t="str">
        <f>IF(Source!$E8=COLUMNS($A8:A8), LEFT(A7, LEN(A7)-Source!$C8), IF(Source!$G8=COLUMNS($A8:A8), A7&amp;RIGHT(INDIRECT(ADDRESS(ROW(A8)-1, Source!$E8)), Source!$C8), A7))</f>
        <v/>
      </c>
      <c r="B8" s="2" t="str">
        <f>IF(Source!$E8=COLUMNS($A8:B8), LEFT(B7, LEN(B7)-Source!$C8), IF(Source!$G8=COLUMNS($A8:B8), B7&amp;RIGHT(INDIRECT(ADDRESS(ROW(B8)-1, Source!$E8)), Source!$C8), B7))</f>
        <v>SWC</v>
      </c>
      <c r="C8" s="2" t="str">
        <f>IF(Source!$E8=COLUMNS($A8:C8), LEFT(C7, LEN(C7)-Source!$C8), IF(Source!$G8=COLUMNS($A8:C8), C7&amp;RIGHT(INDIRECT(ADDRESS(ROW(C8)-1, Source!$E8)), Source!$C8), C7))</f>
        <v>RZTDJMFTRRBJLWG</v>
      </c>
      <c r="D8" s="2" t="str">
        <f>IF(Source!$E8=COLUMNS($A8:D8), LEFT(D7, LEN(D7)-Source!$C8), IF(Source!$G8=COLUMNS($A8:D8), D7&amp;RIGHT(INDIRECT(ADDRESS(ROW(D8)-1, Source!$E8)), Source!$C8), D7))</f>
        <v>DTCHSPVTLDZMD</v>
      </c>
      <c r="E8" s="2" t="str">
        <f>IF(Source!$E8=COLUMNS($A8:E8), LEFT(E7, LEN(E7)-Source!$C8), IF(Source!$G8=COLUMNS($A8:E8), E7&amp;RIGHT(INDIRECT(ADDRESS(ROW(E8)-1, Source!$E8)), Source!$C8), E7))</f>
        <v>GP</v>
      </c>
      <c r="F8" s="2" t="str">
        <f>IF(Source!$E8=COLUMNS($A8:F8), LEFT(F7, LEN(F7)-Source!$C8), IF(Source!$G8=COLUMNS($A8:F8), F7&amp;RIGHT(INDIRECT(ADDRESS(ROW(F8)-1, Source!$E8)), Source!$C8), F7))</f>
        <v>FBRZJ</v>
      </c>
      <c r="G8" s="2" t="str">
        <f>IF(Source!$E8=COLUMNS($A8:G8), LEFT(G7, LEN(G7)-Source!$C8), IF(Source!$G8=COLUMNS($A8:G8), G7&amp;RIGHT(INDIRECT(ADDRESS(ROW(G8)-1, Source!$E8)), Source!$C8), G7))</f>
        <v>SB</v>
      </c>
      <c r="H8" s="2" t="str">
        <f>IF(Source!$E8=COLUMNS($A8:H8), LEFT(H7, LEN(H7)-Source!$C8), IF(Source!$G8=COLUMNS($A8:H8), H7&amp;RIGHT(INDIRECT(ADDRESS(ROW(H8)-1, Source!$E8)), Source!$C8), H7))</f>
        <v>LHRBTVM</v>
      </c>
      <c r="I8" s="2" t="str">
        <f>IF(Source!$E8=COLUMNS($A8:I8), LEFT(I7, LEN(I7)-Source!$C8), IF(Source!$G8=COLUMNS($A8:I8), I7&amp;RIGHT(INDIRECT(ADDRESS(ROW(I8)-1, Source!$E8)), Source!$C8), I7))</f>
        <v>QPDSVTQCD</v>
      </c>
    </row>
    <row r="9">
      <c r="A9" s="2" t="str">
        <f>IF(Source!$E9=COLUMNS($A9:A9), LEFT(A8, LEN(A8)-Source!$C9), IF(Source!$G9=COLUMNS($A9:A9), A8&amp;RIGHT(INDIRECT(ADDRESS(ROW(A9)-1, Source!$E9)), Source!$C9), A8))</f>
        <v/>
      </c>
      <c r="B9" s="2" t="str">
        <f>IF(Source!$E9=COLUMNS($A9:B9), LEFT(B8, LEN(B8)-Source!$C9), IF(Source!$G9=COLUMNS($A9:B9), B8&amp;RIGHT(INDIRECT(ADDRESS(ROW(B9)-1, Source!$E9)), Source!$C9), B8))</f>
        <v>SWC</v>
      </c>
      <c r="C9" s="2" t="str">
        <f>IF(Source!$E9=COLUMNS($A9:C9), LEFT(C8, LEN(C8)-Source!$C9), IF(Source!$G9=COLUMNS($A9:C9), C8&amp;RIGHT(INDIRECT(ADDRESS(ROW(C9)-1, Source!$E9)), Source!$C9), C8))</f>
        <v>RZTDJMFTRRBJLWG</v>
      </c>
      <c r="D9" s="2" t="str">
        <f>IF(Source!$E9=COLUMNS($A9:D9), LEFT(D8, LEN(D8)-Source!$C9), IF(Source!$G9=COLUMNS($A9:D9), D8&amp;RIGHT(INDIRECT(ADDRESS(ROW(D9)-1, Source!$E9)), Source!$C9), D8))</f>
        <v>DTCHSPVTLDZMD</v>
      </c>
      <c r="E9" s="2" t="str">
        <f>IF(Source!$E9=COLUMNS($A9:E9), LEFT(E8, LEN(E8)-Source!$C9), IF(Source!$G9=COLUMNS($A9:E9), E8&amp;RIGHT(INDIRECT(ADDRESS(ROW(E9)-1, Source!$E9)), Source!$C9), E8))</f>
        <v>GPSB</v>
      </c>
      <c r="F9" s="2" t="str">
        <f>IF(Source!$E9=COLUMNS($A9:F9), LEFT(F8, LEN(F8)-Source!$C9), IF(Source!$G9=COLUMNS($A9:F9), F8&amp;RIGHT(INDIRECT(ADDRESS(ROW(F9)-1, Source!$E9)), Source!$C9), F8))</f>
        <v>FBRZJ</v>
      </c>
      <c r="G9" s="2" t="str">
        <f>IF(Source!$E9=COLUMNS($A9:G9), LEFT(G8, LEN(G8)-Source!$C9), IF(Source!$G9=COLUMNS($A9:G9), G8&amp;RIGHT(INDIRECT(ADDRESS(ROW(G9)-1, Source!$E9)), Source!$C9), G8))</f>
        <v/>
      </c>
      <c r="H9" s="2" t="str">
        <f>IF(Source!$E9=COLUMNS($A9:H9), LEFT(H8, LEN(H8)-Source!$C9), IF(Source!$G9=COLUMNS($A9:H9), H8&amp;RIGHT(INDIRECT(ADDRESS(ROW(H9)-1, Source!$E9)), Source!$C9), H8))</f>
        <v>LHRBTVM</v>
      </c>
      <c r="I9" s="2" t="str">
        <f>IF(Source!$E9=COLUMNS($A9:I9), LEFT(I8, LEN(I8)-Source!$C9), IF(Source!$G9=COLUMNS($A9:I9), I8&amp;RIGHT(INDIRECT(ADDRESS(ROW(I9)-1, Source!$E9)), Source!$C9), I8))</f>
        <v>QPDSVTQCD</v>
      </c>
    </row>
    <row r="10">
      <c r="A10" s="2" t="str">
        <f>IF(Source!$E10=COLUMNS($A10:A10), LEFT(A9, LEN(A9)-Source!$C10), IF(Source!$G10=COLUMNS($A10:A10), A9&amp;RIGHT(INDIRECT(ADDRESS(ROW(A10)-1, Source!$E10)), Source!$C10), A9))</f>
        <v/>
      </c>
      <c r="B10" s="2" t="str">
        <f>IF(Source!$E10=COLUMNS($A10:B10), LEFT(B9, LEN(B9)-Source!$C10), IF(Source!$G10=COLUMNS($A10:B10), B9&amp;RIGHT(INDIRECT(ADDRESS(ROW(B10)-1, Source!$E10)), Source!$C10), B9))</f>
        <v>SWC</v>
      </c>
      <c r="C10" s="2" t="str">
        <f>IF(Source!$E10=COLUMNS($A10:C10), LEFT(C9, LEN(C9)-Source!$C10), IF(Source!$G10=COLUMNS($A10:C10), C9&amp;RIGHT(INDIRECT(ADDRESS(ROW(C10)-1, Source!$E10)), Source!$C10), C9))</f>
        <v>RZTDJMFTRRBJLWG</v>
      </c>
      <c r="D10" s="2" t="str">
        <f>IF(Source!$E10=COLUMNS($A10:D10), LEFT(D9, LEN(D9)-Source!$C10), IF(Source!$G10=COLUMNS($A10:D10), D9&amp;RIGHT(INDIRECT(ADDRESS(ROW(D10)-1, Source!$E10)), Source!$C10), D9))</f>
        <v>DTCHSPVTLDZMD</v>
      </c>
      <c r="E10" s="2" t="str">
        <f>IF(Source!$E10=COLUMNS($A10:E10), LEFT(E9, LEN(E9)-Source!$C10), IF(Source!$G10=COLUMNS($A10:E10), E9&amp;RIGHT(INDIRECT(ADDRESS(ROW(E10)-1, Source!$E10)), Source!$C10), E9))</f>
        <v>GPS</v>
      </c>
      <c r="F10" s="2" t="str">
        <f>IF(Source!$E10=COLUMNS($A10:F10), LEFT(F9, LEN(F9)-Source!$C10), IF(Source!$G10=COLUMNS($A10:F10), F9&amp;RIGHT(INDIRECT(ADDRESS(ROW(F10)-1, Source!$E10)), Source!$C10), F9))</f>
        <v>FBRZJ</v>
      </c>
      <c r="G10" s="2" t="str">
        <f>IF(Source!$E10=COLUMNS($A10:G10), LEFT(G9, LEN(G9)-Source!$C10), IF(Source!$G10=COLUMNS($A10:G10), G9&amp;RIGHT(INDIRECT(ADDRESS(ROW(G10)-1, Source!$E10)), Source!$C10), G9))</f>
        <v>B</v>
      </c>
      <c r="H10" s="2" t="str">
        <f>IF(Source!$E10=COLUMNS($A10:H10), LEFT(H9, LEN(H9)-Source!$C10), IF(Source!$G10=COLUMNS($A10:H10), H9&amp;RIGHT(INDIRECT(ADDRESS(ROW(H10)-1, Source!$E10)), Source!$C10), H9))</f>
        <v>LHRBTVM</v>
      </c>
      <c r="I10" s="2" t="str">
        <f>IF(Source!$E10=COLUMNS($A10:I10), LEFT(I9, LEN(I9)-Source!$C10), IF(Source!$G10=COLUMNS($A10:I10), I9&amp;RIGHT(INDIRECT(ADDRESS(ROW(I10)-1, Source!$E10)), Source!$C10), I9))</f>
        <v>QPDSVTQCD</v>
      </c>
    </row>
    <row r="11">
      <c r="A11" s="2" t="str">
        <f>IF(Source!$E11=COLUMNS($A11:A11), LEFT(A10, LEN(A10)-Source!$C11), IF(Source!$G11=COLUMNS($A11:A11), A10&amp;RIGHT(INDIRECT(ADDRESS(ROW(A11)-1, Source!$E11)), Source!$C11), A10))</f>
        <v/>
      </c>
      <c r="B11" s="2" t="str">
        <f>IF(Source!$E11=COLUMNS($A11:B11), LEFT(B10, LEN(B10)-Source!$C11), IF(Source!$G11=COLUMNS($A11:B11), B10&amp;RIGHT(INDIRECT(ADDRESS(ROW(B11)-1, Source!$E11)), Source!$C11), B10))</f>
        <v>SWCB</v>
      </c>
      <c r="C11" s="2" t="str">
        <f>IF(Source!$E11=COLUMNS($A11:C11), LEFT(C10, LEN(C10)-Source!$C11), IF(Source!$G11=COLUMNS($A11:C11), C10&amp;RIGHT(INDIRECT(ADDRESS(ROW(C11)-1, Source!$E11)), Source!$C11), C10))</f>
        <v>RZTDJMFTRRBJLWG</v>
      </c>
      <c r="D11" s="2" t="str">
        <f>IF(Source!$E11=COLUMNS($A11:D11), LEFT(D10, LEN(D10)-Source!$C11), IF(Source!$G11=COLUMNS($A11:D11), D10&amp;RIGHT(INDIRECT(ADDRESS(ROW(D11)-1, Source!$E11)), Source!$C11), D10))</f>
        <v>DTCHSPVTLDZMD</v>
      </c>
      <c r="E11" s="2" t="str">
        <f>IF(Source!$E11=COLUMNS($A11:E11), LEFT(E10, LEN(E10)-Source!$C11), IF(Source!$G11=COLUMNS($A11:E11), E10&amp;RIGHT(INDIRECT(ADDRESS(ROW(E11)-1, Source!$E11)), Source!$C11), E10))</f>
        <v>GPS</v>
      </c>
      <c r="F11" s="2" t="str">
        <f>IF(Source!$E11=COLUMNS($A11:F11), LEFT(F10, LEN(F10)-Source!$C11), IF(Source!$G11=COLUMNS($A11:F11), F10&amp;RIGHT(INDIRECT(ADDRESS(ROW(F11)-1, Source!$E11)), Source!$C11), F10))</f>
        <v>FBRZJ</v>
      </c>
      <c r="G11" s="2" t="str">
        <f>IF(Source!$E11=COLUMNS($A11:G11), LEFT(G10, LEN(G10)-Source!$C11), IF(Source!$G11=COLUMNS($A11:G11), G10&amp;RIGHT(INDIRECT(ADDRESS(ROW(G11)-1, Source!$E11)), Source!$C11), G10))</f>
        <v/>
      </c>
      <c r="H11" s="2" t="str">
        <f>IF(Source!$E11=COLUMNS($A11:H11), LEFT(H10, LEN(H10)-Source!$C11), IF(Source!$G11=COLUMNS($A11:H11), H10&amp;RIGHT(INDIRECT(ADDRESS(ROW(H11)-1, Source!$E11)), Source!$C11), H10))</f>
        <v>LHRBTVM</v>
      </c>
      <c r="I11" s="2" t="str">
        <f>IF(Source!$E11=COLUMNS($A11:I11), LEFT(I10, LEN(I10)-Source!$C11), IF(Source!$G11=COLUMNS($A11:I11), I10&amp;RIGHT(INDIRECT(ADDRESS(ROW(I11)-1, Source!$E11)), Source!$C11), I10))</f>
        <v>QPDSVTQCD</v>
      </c>
    </row>
    <row r="12">
      <c r="A12" s="2" t="str">
        <f>IF(Source!$E12=COLUMNS($A12:A12), LEFT(A11, LEN(A11)-Source!$C12), IF(Source!$G12=COLUMNS($A12:A12), A11&amp;RIGHT(INDIRECT(ADDRESS(ROW(A12)-1, Source!$E12)), Source!$C12), A11))</f>
        <v/>
      </c>
      <c r="B12" s="2" t="str">
        <f>IF(Source!$E12=COLUMNS($A12:B12), LEFT(B11, LEN(B11)-Source!$C12), IF(Source!$G12=COLUMNS($A12:B12), B11&amp;RIGHT(INDIRECT(ADDRESS(ROW(B12)-1, Source!$E12)), Source!$C12), B11))</f>
        <v>SW</v>
      </c>
      <c r="C12" s="2" t="str">
        <f>IF(Source!$E12=COLUMNS($A12:C12), LEFT(C11, LEN(C11)-Source!$C12), IF(Source!$G12=COLUMNS($A12:C12), C11&amp;RIGHT(INDIRECT(ADDRESS(ROW(C12)-1, Source!$E12)), Source!$C12), C11))</f>
        <v>RZTDJMFTRRBJLWG</v>
      </c>
      <c r="D12" s="2" t="str">
        <f>IF(Source!$E12=COLUMNS($A12:D12), LEFT(D11, LEN(D11)-Source!$C12), IF(Source!$G12=COLUMNS($A12:D12), D11&amp;RIGHT(INDIRECT(ADDRESS(ROW(D12)-1, Source!$E12)), Source!$C12), D11))</f>
        <v>DTCHSPVTLDZMD</v>
      </c>
      <c r="E12" s="2" t="str">
        <f>IF(Source!$E12=COLUMNS($A12:E12), LEFT(E11, LEN(E11)-Source!$C12), IF(Source!$G12=COLUMNS($A12:E12), E11&amp;RIGHT(INDIRECT(ADDRESS(ROW(E12)-1, Source!$E12)), Source!$C12), E11))</f>
        <v>GPSCB</v>
      </c>
      <c r="F12" s="2" t="str">
        <f>IF(Source!$E12=COLUMNS($A12:F12), LEFT(F11, LEN(F11)-Source!$C12), IF(Source!$G12=COLUMNS($A12:F12), F11&amp;RIGHT(INDIRECT(ADDRESS(ROW(F12)-1, Source!$E12)), Source!$C12), F11))</f>
        <v>FBRZJ</v>
      </c>
      <c r="G12" s="2" t="str">
        <f>IF(Source!$E12=COLUMNS($A12:G12), LEFT(G11, LEN(G11)-Source!$C12), IF(Source!$G12=COLUMNS($A12:G12), G11&amp;RIGHT(INDIRECT(ADDRESS(ROW(G12)-1, Source!$E12)), Source!$C12), G11))</f>
        <v/>
      </c>
      <c r="H12" s="2" t="str">
        <f>IF(Source!$E12=COLUMNS($A12:H12), LEFT(H11, LEN(H11)-Source!$C12), IF(Source!$G12=COLUMNS($A12:H12), H11&amp;RIGHT(INDIRECT(ADDRESS(ROW(H12)-1, Source!$E12)), Source!$C12), H11))</f>
        <v>LHRBTVM</v>
      </c>
      <c r="I12" s="2" t="str">
        <f>IF(Source!$E12=COLUMNS($A12:I12), LEFT(I11, LEN(I11)-Source!$C12), IF(Source!$G12=COLUMNS($A12:I12), I11&amp;RIGHT(INDIRECT(ADDRESS(ROW(I12)-1, Source!$E12)), Source!$C12), I11))</f>
        <v>QPDSVTQCD</v>
      </c>
    </row>
    <row r="13">
      <c r="A13" s="2" t="str">
        <f>IF(Source!$E13=COLUMNS($A13:A13), LEFT(A12, LEN(A12)-Source!$C13), IF(Source!$G13=COLUMNS($A13:A13), A12&amp;RIGHT(INDIRECT(ADDRESS(ROW(A13)-1, Source!$E13)), Source!$C13), A12))</f>
        <v/>
      </c>
      <c r="B13" s="2" t="str">
        <f>IF(Source!$E13=COLUMNS($A13:B13), LEFT(B12, LEN(B12)-Source!$C13), IF(Source!$G13=COLUMNS($A13:B13), B12&amp;RIGHT(INDIRECT(ADDRESS(ROW(B13)-1, Source!$E13)), Source!$C13), B12))</f>
        <v>SW</v>
      </c>
      <c r="C13" s="2" t="str">
        <f>IF(Source!$E13=COLUMNS($A13:C13), LEFT(C12, LEN(C12)-Source!$C13), IF(Source!$G13=COLUMNS($A13:C13), C12&amp;RIGHT(INDIRECT(ADDRESS(ROW(C13)-1, Source!$E13)), Source!$C13), C12))</f>
        <v>RZTDJMFTRRBJLWGZJ</v>
      </c>
      <c r="D13" s="2" t="str">
        <f>IF(Source!$E13=COLUMNS($A13:D13), LEFT(D12, LEN(D12)-Source!$C13), IF(Source!$G13=COLUMNS($A13:D13), D12&amp;RIGHT(INDIRECT(ADDRESS(ROW(D13)-1, Source!$E13)), Source!$C13), D12))</f>
        <v>DTCHSPVTLDZMD</v>
      </c>
      <c r="E13" s="2" t="str">
        <f>IF(Source!$E13=COLUMNS($A13:E13), LEFT(E12, LEN(E12)-Source!$C13), IF(Source!$G13=COLUMNS($A13:E13), E12&amp;RIGHT(INDIRECT(ADDRESS(ROW(E13)-1, Source!$E13)), Source!$C13), E12))</f>
        <v>GPSCB</v>
      </c>
      <c r="F13" s="2" t="str">
        <f>IF(Source!$E13=COLUMNS($A13:F13), LEFT(F12, LEN(F12)-Source!$C13), IF(Source!$G13=COLUMNS($A13:F13), F12&amp;RIGHT(INDIRECT(ADDRESS(ROW(F13)-1, Source!$E13)), Source!$C13), F12))</f>
        <v>FBR</v>
      </c>
      <c r="G13" s="2" t="str">
        <f>IF(Source!$E13=COLUMNS($A13:G13), LEFT(G12, LEN(G12)-Source!$C13), IF(Source!$G13=COLUMNS($A13:G13), G12&amp;RIGHT(INDIRECT(ADDRESS(ROW(G13)-1, Source!$E13)), Source!$C13), G12))</f>
        <v/>
      </c>
      <c r="H13" s="2" t="str">
        <f>IF(Source!$E13=COLUMNS($A13:H13), LEFT(H12, LEN(H12)-Source!$C13), IF(Source!$G13=COLUMNS($A13:H13), H12&amp;RIGHT(INDIRECT(ADDRESS(ROW(H13)-1, Source!$E13)), Source!$C13), H12))</f>
        <v>LHRBTVM</v>
      </c>
      <c r="I13" s="2" t="str">
        <f>IF(Source!$E13=COLUMNS($A13:I13), LEFT(I12, LEN(I12)-Source!$C13), IF(Source!$G13=COLUMNS($A13:I13), I12&amp;RIGHT(INDIRECT(ADDRESS(ROW(I13)-1, Source!$E13)), Source!$C13), I12))</f>
        <v>QPDSVTQCD</v>
      </c>
    </row>
    <row r="14">
      <c r="A14" s="2" t="str">
        <f>IF(Source!$E14=COLUMNS($A14:A14), LEFT(A13, LEN(A13)-Source!$C14), IF(Source!$G14=COLUMNS($A14:A14), A13&amp;RIGHT(INDIRECT(ADDRESS(ROW(A14)-1, Source!$E14)), Source!$C14), A13))</f>
        <v/>
      </c>
      <c r="B14" s="2" t="str">
        <f>IF(Source!$E14=COLUMNS($A14:B14), LEFT(B13, LEN(B13)-Source!$C14), IF(Source!$G14=COLUMNS($A14:B14), B13&amp;RIGHT(INDIRECT(ADDRESS(ROW(B14)-1, Source!$E14)), Source!$C14), B13))</f>
        <v>SW</v>
      </c>
      <c r="C14" s="2" t="str">
        <f>IF(Source!$E14=COLUMNS($A14:C14), LEFT(C13, LEN(C13)-Source!$C14), IF(Source!$G14=COLUMNS($A14:C14), C13&amp;RIGHT(INDIRECT(ADDRESS(ROW(C14)-1, Source!$E14)), Source!$C14), C13))</f>
        <v>RZTDJMFTRRBJLWGZJ</v>
      </c>
      <c r="D14" s="2" t="str">
        <f>IF(Source!$E14=COLUMNS($A14:D14), LEFT(D13, LEN(D13)-Source!$C14), IF(Source!$G14=COLUMNS($A14:D14), D13&amp;RIGHT(INDIRECT(ADDRESS(ROW(D14)-1, Source!$E14)), Source!$C14), D13))</f>
        <v>DTCHSPVTLDZMD</v>
      </c>
      <c r="E14" s="2" t="str">
        <f>IF(Source!$E14=COLUMNS($A14:E14), LEFT(E13, LEN(E13)-Source!$C14), IF(Source!$G14=COLUMNS($A14:E14), E13&amp;RIGHT(INDIRECT(ADDRESS(ROW(E14)-1, Source!$E14)), Source!$C14), E13))</f>
        <v>GPSCB</v>
      </c>
      <c r="F14" s="2" t="str">
        <f>IF(Source!$E14=COLUMNS($A14:F14), LEFT(F13, LEN(F13)-Source!$C14), IF(Source!$G14=COLUMNS($A14:F14), F13&amp;RIGHT(INDIRECT(ADDRESS(ROW(F14)-1, Source!$E14)), Source!$C14), F13))</f>
        <v>FBR</v>
      </c>
      <c r="G14" s="2" t="str">
        <f>IF(Source!$E14=COLUMNS($A14:G14), LEFT(G13, LEN(G13)-Source!$C14), IF(Source!$G14=COLUMNS($A14:G14), G13&amp;RIGHT(INDIRECT(ADDRESS(ROW(G14)-1, Source!$E14)), Source!$C14), G13))</f>
        <v/>
      </c>
      <c r="H14" s="2" t="str">
        <f>IF(Source!$E14=COLUMNS($A14:H14), LEFT(H13, LEN(H13)-Source!$C14), IF(Source!$G14=COLUMNS($A14:H14), H13&amp;RIGHT(INDIRECT(ADDRESS(ROW(H14)-1, Source!$E14)), Source!$C14), H13))</f>
        <v>L</v>
      </c>
      <c r="I14" s="2" t="str">
        <f>IF(Source!$E14=COLUMNS($A14:I14), LEFT(I13, LEN(I13)-Source!$C14), IF(Source!$G14=COLUMNS($A14:I14), I13&amp;RIGHT(INDIRECT(ADDRESS(ROW(I14)-1, Source!$E14)), Source!$C14), I13))</f>
        <v>QPDSVTQCDHRBTVM</v>
      </c>
    </row>
    <row r="15">
      <c r="A15" s="2" t="str">
        <f>IF(Source!$E15=COLUMNS($A15:A15), LEFT(A14, LEN(A14)-Source!$C15), IF(Source!$G15=COLUMNS($A15:A15), A14&amp;RIGHT(INDIRECT(ADDRESS(ROW(A15)-1, Source!$E15)), Source!$C15), A14))</f>
        <v/>
      </c>
      <c r="B15" s="2" t="str">
        <f>IF(Source!$E15=COLUMNS($A15:B15), LEFT(B14, LEN(B14)-Source!$C15), IF(Source!$G15=COLUMNS($A15:B15), B14&amp;RIGHT(INDIRECT(ADDRESS(ROW(B15)-1, Source!$E15)), Source!$C15), B14))</f>
        <v>SW</v>
      </c>
      <c r="C15" s="2" t="str">
        <f>IF(Source!$E15=COLUMNS($A15:C15), LEFT(C14, LEN(C14)-Source!$C15), IF(Source!$G15=COLUMNS($A15:C15), C14&amp;RIGHT(INDIRECT(ADDRESS(ROW(C15)-1, Source!$E15)), Source!$C15), C14))</f>
        <v>RZTDJMFTRR</v>
      </c>
      <c r="D15" s="2" t="str">
        <f>IF(Source!$E15=COLUMNS($A15:D15), LEFT(D14, LEN(D14)-Source!$C15), IF(Source!$G15=COLUMNS($A15:D15), D14&amp;RIGHT(INDIRECT(ADDRESS(ROW(D15)-1, Source!$E15)), Source!$C15), D14))</f>
        <v>DTCHSPVTLDZMD</v>
      </c>
      <c r="E15" s="2" t="str">
        <f>IF(Source!$E15=COLUMNS($A15:E15), LEFT(E14, LEN(E14)-Source!$C15), IF(Source!$G15=COLUMNS($A15:E15), E14&amp;RIGHT(INDIRECT(ADDRESS(ROW(E15)-1, Source!$E15)), Source!$C15), E14))</f>
        <v>GPSCB</v>
      </c>
      <c r="F15" s="2" t="str">
        <f>IF(Source!$E15=COLUMNS($A15:F15), LEFT(F14, LEN(F14)-Source!$C15), IF(Source!$G15=COLUMNS($A15:F15), F14&amp;RIGHT(INDIRECT(ADDRESS(ROW(F15)-1, Source!$E15)), Source!$C15), F14))</f>
        <v>FBR</v>
      </c>
      <c r="G15" s="2" t="str">
        <f>IF(Source!$E15=COLUMNS($A15:G15), LEFT(G14, LEN(G14)-Source!$C15), IF(Source!$G15=COLUMNS($A15:G15), G14&amp;RIGHT(INDIRECT(ADDRESS(ROW(G15)-1, Source!$E15)), Source!$C15), G14))</f>
        <v/>
      </c>
      <c r="H15" s="2" t="str">
        <f>IF(Source!$E15=COLUMNS($A15:H15), LEFT(H14, LEN(H14)-Source!$C15), IF(Source!$G15=COLUMNS($A15:H15), H14&amp;RIGHT(INDIRECT(ADDRESS(ROW(H15)-1, Source!$E15)), Source!$C15), H14))</f>
        <v>L</v>
      </c>
      <c r="I15" s="2" t="str">
        <f>IF(Source!$E15=COLUMNS($A15:I15), LEFT(I14, LEN(I14)-Source!$C15), IF(Source!$G15=COLUMNS($A15:I15), I14&amp;RIGHT(INDIRECT(ADDRESS(ROW(I15)-1, Source!$E15)), Source!$C15), I14))</f>
        <v>QPDSVTQCDHRBTVMBJLWGZJ</v>
      </c>
    </row>
    <row r="16">
      <c r="A16" s="2" t="str">
        <f>IF(Source!$E16=COLUMNS($A16:A16), LEFT(A15, LEN(A15)-Source!$C16), IF(Source!$G16=COLUMNS($A16:A16), A15&amp;RIGHT(INDIRECT(ADDRESS(ROW(A16)-1, Source!$E16)), Source!$C16), A15))</f>
        <v/>
      </c>
      <c r="B16" s="2" t="str">
        <f>IF(Source!$E16=COLUMNS($A16:B16), LEFT(B15, LEN(B15)-Source!$C16), IF(Source!$G16=COLUMNS($A16:B16), B15&amp;RIGHT(INDIRECT(ADDRESS(ROW(B16)-1, Source!$E16)), Source!$C16), B15))</f>
        <v>SW</v>
      </c>
      <c r="C16" s="2" t="str">
        <f>IF(Source!$E16=COLUMNS($A16:C16), LEFT(C15, LEN(C15)-Source!$C16), IF(Source!$G16=COLUMNS($A16:C16), C15&amp;RIGHT(INDIRECT(ADDRESS(ROW(C16)-1, Source!$E16)), Source!$C16), C15))</f>
        <v>RZTDJMFTRR</v>
      </c>
      <c r="D16" s="2" t="str">
        <f>IF(Source!$E16=COLUMNS($A16:D16), LEFT(D15, LEN(D15)-Source!$C16), IF(Source!$G16=COLUMNS($A16:D16), D15&amp;RIGHT(INDIRECT(ADDRESS(ROW(D16)-1, Source!$E16)), Source!$C16), D15))</f>
        <v>DTCHSPVTLDZMD</v>
      </c>
      <c r="E16" s="2" t="str">
        <f>IF(Source!$E16=COLUMNS($A16:E16), LEFT(E15, LEN(E15)-Source!$C16), IF(Source!$G16=COLUMNS($A16:E16), E15&amp;RIGHT(INDIRECT(ADDRESS(ROW(E16)-1, Source!$E16)), Source!$C16), E15))</f>
        <v>GPSCB</v>
      </c>
      <c r="F16" s="2" t="str">
        <f>IF(Source!$E16=COLUMNS($A16:F16), LEFT(F15, LEN(F15)-Source!$C16), IF(Source!$G16=COLUMNS($A16:F16), F15&amp;RIGHT(INDIRECT(ADDRESS(ROW(F16)-1, Source!$E16)), Source!$C16), F15))</f>
        <v>FBR</v>
      </c>
      <c r="G16" s="2" t="str">
        <f>IF(Source!$E16=COLUMNS($A16:G16), LEFT(G15, LEN(G15)-Source!$C16), IF(Source!$G16=COLUMNS($A16:G16), G15&amp;RIGHT(INDIRECT(ADDRESS(ROW(G16)-1, Source!$E16)), Source!$C16), G15))</f>
        <v>L</v>
      </c>
      <c r="H16" s="2" t="str">
        <f>IF(Source!$E16=COLUMNS($A16:H16), LEFT(H15, LEN(H15)-Source!$C16), IF(Source!$G16=COLUMNS($A16:H16), H15&amp;RIGHT(INDIRECT(ADDRESS(ROW(H16)-1, Source!$E16)), Source!$C16), H15))</f>
        <v/>
      </c>
      <c r="I16" s="2" t="str">
        <f>IF(Source!$E16=COLUMNS($A16:I16), LEFT(I15, LEN(I15)-Source!$C16), IF(Source!$G16=COLUMNS($A16:I16), I15&amp;RIGHT(INDIRECT(ADDRESS(ROW(I16)-1, Source!$E16)), Source!$C16), I15))</f>
        <v>QPDSVTQCDHRBTVMBJLWGZJ</v>
      </c>
    </row>
    <row r="17">
      <c r="A17" s="2" t="str">
        <f>IF(Source!$E17=COLUMNS($A17:A17), LEFT(A16, LEN(A16)-Source!$C17), IF(Source!$G17=COLUMNS($A17:A17), A16&amp;RIGHT(INDIRECT(ADDRESS(ROW(A17)-1, Source!$E17)), Source!$C17), A16))</f>
        <v/>
      </c>
      <c r="B17" s="2" t="str">
        <f>IF(Source!$E17=COLUMNS($A17:B17), LEFT(B16, LEN(B16)-Source!$C17), IF(Source!$G17=COLUMNS($A17:B17), B16&amp;RIGHT(INDIRECT(ADDRESS(ROW(B17)-1, Source!$E17)), Source!$C17), B16))</f>
        <v>SW</v>
      </c>
      <c r="C17" s="2" t="str">
        <f>IF(Source!$E17=COLUMNS($A17:C17), LEFT(C16, LEN(C16)-Source!$C17), IF(Source!$G17=COLUMNS($A17:C17), C16&amp;RIGHT(INDIRECT(ADDRESS(ROW(C17)-1, Source!$E17)), Source!$C17), C16))</f>
        <v>RZTDJMFTRR</v>
      </c>
      <c r="D17" s="2" t="str">
        <f>IF(Source!$E17=COLUMNS($A17:D17), LEFT(D16, LEN(D16)-Source!$C17), IF(Source!$G17=COLUMNS($A17:D17), D16&amp;RIGHT(INDIRECT(ADDRESS(ROW(D17)-1, Source!$E17)), Source!$C17), D16))</f>
        <v>DTCHSPVTLDZMD</v>
      </c>
      <c r="E17" s="2" t="str">
        <f>IF(Source!$E17=COLUMNS($A17:E17), LEFT(E16, LEN(E16)-Source!$C17), IF(Source!$G17=COLUMNS($A17:E17), E16&amp;RIGHT(INDIRECT(ADDRESS(ROW(E17)-1, Source!$E17)), Source!$C17), E16))</f>
        <v>GPSCB</v>
      </c>
      <c r="F17" s="2" t="str">
        <f>IF(Source!$E17=COLUMNS($A17:F17), LEFT(F16, LEN(F16)-Source!$C17), IF(Source!$G17=COLUMNS($A17:F17), F16&amp;RIGHT(INDIRECT(ADDRESS(ROW(F17)-1, Source!$E17)), Source!$C17), F16))</f>
        <v>FBR</v>
      </c>
      <c r="G17" s="2" t="str">
        <f>IF(Source!$E17=COLUMNS($A17:G17), LEFT(G16, LEN(G16)-Source!$C17), IF(Source!$G17=COLUMNS($A17:G17), G16&amp;RIGHT(INDIRECT(ADDRESS(ROW(G17)-1, Source!$E17)), Source!$C17), G16))</f>
        <v>LMBJLWGZJ</v>
      </c>
      <c r="H17" s="2" t="str">
        <f>IF(Source!$E17=COLUMNS($A17:H17), LEFT(H16, LEN(H16)-Source!$C17), IF(Source!$G17=COLUMNS($A17:H17), H16&amp;RIGHT(INDIRECT(ADDRESS(ROW(H17)-1, Source!$E17)), Source!$C17), H16))</f>
        <v/>
      </c>
      <c r="I17" s="2" t="str">
        <f>IF(Source!$E17=COLUMNS($A17:I17), LEFT(I16, LEN(I16)-Source!$C17), IF(Source!$G17=COLUMNS($A17:I17), I16&amp;RIGHT(INDIRECT(ADDRESS(ROW(I17)-1, Source!$E17)), Source!$C17), I16))</f>
        <v>QPDSVTQCDHRBTV</v>
      </c>
    </row>
    <row r="18">
      <c r="A18" s="2" t="str">
        <f>IF(Source!$E18=COLUMNS($A18:A18), LEFT(A17, LEN(A17)-Source!$C18), IF(Source!$G18=COLUMNS($A18:A18), A17&amp;RIGHT(INDIRECT(ADDRESS(ROW(A18)-1, Source!$E18)), Source!$C18), A17))</f>
        <v/>
      </c>
      <c r="B18" s="2" t="str">
        <f>IF(Source!$E18=COLUMNS($A18:B18), LEFT(B17, LEN(B17)-Source!$C18), IF(Source!$G18=COLUMNS($A18:B18), B17&amp;RIGHT(INDIRECT(ADDRESS(ROW(B18)-1, Source!$E18)), Source!$C18), B17))</f>
        <v>SW</v>
      </c>
      <c r="C18" s="2" t="str">
        <f>IF(Source!$E18=COLUMNS($A18:C18), LEFT(C17, LEN(C17)-Source!$C18), IF(Source!$G18=COLUMNS($A18:C18), C17&amp;RIGHT(INDIRECT(ADDRESS(ROW(C18)-1, Source!$E18)), Source!$C18), C17))</f>
        <v>RZTDJMFTRR</v>
      </c>
      <c r="D18" s="2" t="str">
        <f>IF(Source!$E18=COLUMNS($A18:D18), LEFT(D17, LEN(D17)-Source!$C18), IF(Source!$G18=COLUMNS($A18:D18), D17&amp;RIGHT(INDIRECT(ADDRESS(ROW(D18)-1, Source!$E18)), Source!$C18), D17))</f>
        <v>DTCHSPVT</v>
      </c>
      <c r="E18" s="2" t="str">
        <f>IF(Source!$E18=COLUMNS($A18:E18), LEFT(E17, LEN(E17)-Source!$C18), IF(Source!$G18=COLUMNS($A18:E18), E17&amp;RIGHT(INDIRECT(ADDRESS(ROW(E18)-1, Source!$E18)), Source!$C18), E17))</f>
        <v>GPSCB</v>
      </c>
      <c r="F18" s="2" t="str">
        <f>IF(Source!$E18=COLUMNS($A18:F18), LEFT(F17, LEN(F17)-Source!$C18), IF(Source!$G18=COLUMNS($A18:F18), F17&amp;RIGHT(INDIRECT(ADDRESS(ROW(F18)-1, Source!$E18)), Source!$C18), F17))</f>
        <v>FBR</v>
      </c>
      <c r="G18" s="2" t="str">
        <f>IF(Source!$E18=COLUMNS($A18:G18), LEFT(G17, LEN(G17)-Source!$C18), IF(Source!$G18=COLUMNS($A18:G18), G17&amp;RIGHT(INDIRECT(ADDRESS(ROW(G18)-1, Source!$E18)), Source!$C18), G17))</f>
        <v>LMBJLWGZJ</v>
      </c>
      <c r="H18" s="2" t="str">
        <f>IF(Source!$E18=COLUMNS($A18:H18), LEFT(H17, LEN(H17)-Source!$C18), IF(Source!$G18=COLUMNS($A18:H18), H17&amp;RIGHT(INDIRECT(ADDRESS(ROW(H18)-1, Source!$E18)), Source!$C18), H17))</f>
        <v>LDZMD</v>
      </c>
      <c r="I18" s="2" t="str">
        <f>IF(Source!$E18=COLUMNS($A18:I18), LEFT(I17, LEN(I17)-Source!$C18), IF(Source!$G18=COLUMNS($A18:I18), I17&amp;RIGHT(INDIRECT(ADDRESS(ROW(I18)-1, Source!$E18)), Source!$C18), I17))</f>
        <v>QPDSVTQCDHRBTV</v>
      </c>
    </row>
    <row r="19">
      <c r="A19" s="2" t="str">
        <f>IF(Source!$E19=COLUMNS($A19:A19), LEFT(A18, LEN(A18)-Source!$C19), IF(Source!$G19=COLUMNS($A19:A19), A18&amp;RIGHT(INDIRECT(ADDRESS(ROW(A19)-1, Source!$E19)), Source!$C19), A18))</f>
        <v/>
      </c>
      <c r="B19" s="2" t="str">
        <f>IF(Source!$E19=COLUMNS($A19:B19), LEFT(B18, LEN(B18)-Source!$C19), IF(Source!$G19=COLUMNS($A19:B19), B18&amp;RIGHT(INDIRECT(ADDRESS(ROW(B19)-1, Source!$E19)), Source!$C19), B18))</f>
        <v>SWR</v>
      </c>
      <c r="C19" s="2" t="str">
        <f>IF(Source!$E19=COLUMNS($A19:C19), LEFT(C18, LEN(C18)-Source!$C19), IF(Source!$G19=COLUMNS($A19:C19), C18&amp;RIGHT(INDIRECT(ADDRESS(ROW(C19)-1, Source!$E19)), Source!$C19), C18))</f>
        <v>RZTDJMFTRR</v>
      </c>
      <c r="D19" s="2" t="str">
        <f>IF(Source!$E19=COLUMNS($A19:D19), LEFT(D18, LEN(D18)-Source!$C19), IF(Source!$G19=COLUMNS($A19:D19), D18&amp;RIGHT(INDIRECT(ADDRESS(ROW(D19)-1, Source!$E19)), Source!$C19), D18))</f>
        <v>DTCHSPVT</v>
      </c>
      <c r="E19" s="2" t="str">
        <f>IF(Source!$E19=COLUMNS($A19:E19), LEFT(E18, LEN(E18)-Source!$C19), IF(Source!$G19=COLUMNS($A19:E19), E18&amp;RIGHT(INDIRECT(ADDRESS(ROW(E19)-1, Source!$E19)), Source!$C19), E18))</f>
        <v>GPSCB</v>
      </c>
      <c r="F19" s="2" t="str">
        <f>IF(Source!$E19=COLUMNS($A19:F19), LEFT(F18, LEN(F18)-Source!$C19), IF(Source!$G19=COLUMNS($A19:F19), F18&amp;RIGHT(INDIRECT(ADDRESS(ROW(F19)-1, Source!$E19)), Source!$C19), F18))</f>
        <v>FB</v>
      </c>
      <c r="G19" s="2" t="str">
        <f>IF(Source!$E19=COLUMNS($A19:G19), LEFT(G18, LEN(G18)-Source!$C19), IF(Source!$G19=COLUMNS($A19:G19), G18&amp;RIGHT(INDIRECT(ADDRESS(ROW(G19)-1, Source!$E19)), Source!$C19), G18))</f>
        <v>LMBJLWGZJ</v>
      </c>
      <c r="H19" s="2" t="str">
        <f>IF(Source!$E19=COLUMNS($A19:H19), LEFT(H18, LEN(H18)-Source!$C19), IF(Source!$G19=COLUMNS($A19:H19), H18&amp;RIGHT(INDIRECT(ADDRESS(ROW(H19)-1, Source!$E19)), Source!$C19), H18))</f>
        <v>LDZMD</v>
      </c>
      <c r="I19" s="2" t="str">
        <f>IF(Source!$E19=COLUMNS($A19:I19), LEFT(I18, LEN(I18)-Source!$C19), IF(Source!$G19=COLUMNS($A19:I19), I18&amp;RIGHT(INDIRECT(ADDRESS(ROW(I19)-1, Source!$E19)), Source!$C19), I18))</f>
        <v>QPDSVTQCDHRBTV</v>
      </c>
    </row>
    <row r="20">
      <c r="A20" s="2" t="str">
        <f>IF(Source!$E20=COLUMNS($A20:A20), LEFT(A19, LEN(A19)-Source!$C20), IF(Source!$G20=COLUMNS($A20:A20), A19&amp;RIGHT(INDIRECT(ADDRESS(ROW(A20)-1, Source!$E20)), Source!$C20), A19))</f>
        <v/>
      </c>
      <c r="B20" s="2" t="str">
        <f>IF(Source!$E20=COLUMNS($A20:B20), LEFT(B19, LEN(B19)-Source!$C20), IF(Source!$G20=COLUMNS($A20:B20), B19&amp;RIGHT(INDIRECT(ADDRESS(ROW(B20)-1, Source!$E20)), Source!$C20), B19))</f>
        <v>SWR</v>
      </c>
      <c r="C20" s="2" t="str">
        <f>IF(Source!$E20=COLUMNS($A20:C20), LEFT(C19, LEN(C19)-Source!$C20), IF(Source!$G20=COLUMNS($A20:C20), C19&amp;RIGHT(INDIRECT(ADDRESS(ROW(C20)-1, Source!$E20)), Source!$C20), C19))</f>
        <v>RZTDJMFTRR</v>
      </c>
      <c r="D20" s="2" t="str">
        <f>IF(Source!$E20=COLUMNS($A20:D20), LEFT(D19, LEN(D19)-Source!$C20), IF(Source!$G20=COLUMNS($A20:D20), D19&amp;RIGHT(INDIRECT(ADDRESS(ROW(D20)-1, Source!$E20)), Source!$C20), D19))</f>
        <v>DTCHSPVTMD</v>
      </c>
      <c r="E20" s="2" t="str">
        <f>IF(Source!$E20=COLUMNS($A20:E20), LEFT(E19, LEN(E19)-Source!$C20), IF(Source!$G20=COLUMNS($A20:E20), E19&amp;RIGHT(INDIRECT(ADDRESS(ROW(E20)-1, Source!$E20)), Source!$C20), E19))</f>
        <v>GPSCB</v>
      </c>
      <c r="F20" s="2" t="str">
        <f>IF(Source!$E20=COLUMNS($A20:F20), LEFT(F19, LEN(F19)-Source!$C20), IF(Source!$G20=COLUMNS($A20:F20), F19&amp;RIGHT(INDIRECT(ADDRESS(ROW(F20)-1, Source!$E20)), Source!$C20), F19))</f>
        <v>FB</v>
      </c>
      <c r="G20" s="2" t="str">
        <f>IF(Source!$E20=COLUMNS($A20:G20), LEFT(G19, LEN(G19)-Source!$C20), IF(Source!$G20=COLUMNS($A20:G20), G19&amp;RIGHT(INDIRECT(ADDRESS(ROW(G20)-1, Source!$E20)), Source!$C20), G19))</f>
        <v>LMBJLWGZJ</v>
      </c>
      <c r="H20" s="2" t="str">
        <f>IF(Source!$E20=COLUMNS($A20:H20), LEFT(H19, LEN(H19)-Source!$C20), IF(Source!$G20=COLUMNS($A20:H20), H19&amp;RIGHT(INDIRECT(ADDRESS(ROW(H20)-1, Source!$E20)), Source!$C20), H19))</f>
        <v>LDZ</v>
      </c>
      <c r="I20" s="2" t="str">
        <f>IF(Source!$E20=COLUMNS($A20:I20), LEFT(I19, LEN(I19)-Source!$C20), IF(Source!$G20=COLUMNS($A20:I20), I19&amp;RIGHT(INDIRECT(ADDRESS(ROW(I20)-1, Source!$E20)), Source!$C20), I19))</f>
        <v>QPDSVTQCDHRBTV</v>
      </c>
    </row>
    <row r="21">
      <c r="A21" s="2" t="str">
        <f>IF(Source!$E21=COLUMNS($A21:A21), LEFT(A20, LEN(A20)-Source!$C21), IF(Source!$G21=COLUMNS($A21:A21), A20&amp;RIGHT(INDIRECT(ADDRESS(ROW(A21)-1, Source!$E21)), Source!$C21), A20))</f>
        <v>TQCDHRBTV</v>
      </c>
      <c r="B21" s="2" t="str">
        <f>IF(Source!$E21=COLUMNS($A21:B21), LEFT(B20, LEN(B20)-Source!$C21), IF(Source!$G21=COLUMNS($A21:B21), B20&amp;RIGHT(INDIRECT(ADDRESS(ROW(B21)-1, Source!$E21)), Source!$C21), B20))</f>
        <v>SWR</v>
      </c>
      <c r="C21" s="2" t="str">
        <f>IF(Source!$E21=COLUMNS($A21:C21), LEFT(C20, LEN(C20)-Source!$C21), IF(Source!$G21=COLUMNS($A21:C21), C20&amp;RIGHT(INDIRECT(ADDRESS(ROW(C21)-1, Source!$E21)), Source!$C21), C20))</f>
        <v>RZTDJMFTRR</v>
      </c>
      <c r="D21" s="2" t="str">
        <f>IF(Source!$E21=COLUMNS($A21:D21), LEFT(D20, LEN(D20)-Source!$C21), IF(Source!$G21=COLUMNS($A21:D21), D20&amp;RIGHT(INDIRECT(ADDRESS(ROW(D21)-1, Source!$E21)), Source!$C21), D20))</f>
        <v>DTCHSPVTMD</v>
      </c>
      <c r="E21" s="2" t="str">
        <f>IF(Source!$E21=COLUMNS($A21:E21), LEFT(E20, LEN(E20)-Source!$C21), IF(Source!$G21=COLUMNS($A21:E21), E20&amp;RIGHT(INDIRECT(ADDRESS(ROW(E21)-1, Source!$E21)), Source!$C21), E20))</f>
        <v>GPSCB</v>
      </c>
      <c r="F21" s="2" t="str">
        <f>IF(Source!$E21=COLUMNS($A21:F21), LEFT(F20, LEN(F20)-Source!$C21), IF(Source!$G21=COLUMNS($A21:F21), F20&amp;RIGHT(INDIRECT(ADDRESS(ROW(F21)-1, Source!$E21)), Source!$C21), F20))</f>
        <v>FB</v>
      </c>
      <c r="G21" s="2" t="str">
        <f>IF(Source!$E21=COLUMNS($A21:G21), LEFT(G20, LEN(G20)-Source!$C21), IF(Source!$G21=COLUMNS($A21:G21), G20&amp;RIGHT(INDIRECT(ADDRESS(ROW(G21)-1, Source!$E21)), Source!$C21), G20))</f>
        <v>LMBJLWGZJ</v>
      </c>
      <c r="H21" s="2" t="str">
        <f>IF(Source!$E21=COLUMNS($A21:H21), LEFT(H20, LEN(H20)-Source!$C21), IF(Source!$G21=COLUMNS($A21:H21), H20&amp;RIGHT(INDIRECT(ADDRESS(ROW(H21)-1, Source!$E21)), Source!$C21), H20))</f>
        <v>LDZ</v>
      </c>
      <c r="I21" s="2" t="str">
        <f>IF(Source!$E21=COLUMNS($A21:I21), LEFT(I20, LEN(I20)-Source!$C21), IF(Source!$G21=COLUMNS($A21:I21), I20&amp;RIGHT(INDIRECT(ADDRESS(ROW(I21)-1, Source!$E21)), Source!$C21), I20))</f>
        <v>QPDSV</v>
      </c>
    </row>
    <row r="22">
      <c r="A22" s="2" t="str">
        <f>IF(Source!$E22=COLUMNS($A22:A22), LEFT(A21, LEN(A21)-Source!$C22), IF(Source!$G22=COLUMNS($A22:A22), A21&amp;RIGHT(INDIRECT(ADDRESS(ROW(A22)-1, Source!$E22)), Source!$C22), A21))</f>
        <v>TQCDHRBTV</v>
      </c>
      <c r="B22" s="2" t="str">
        <f>IF(Source!$E22=COLUMNS($A22:B22), LEFT(B21, LEN(B21)-Source!$C22), IF(Source!$G22=COLUMNS($A22:B22), B21&amp;RIGHT(INDIRECT(ADDRESS(ROW(B22)-1, Source!$E22)), Source!$C22), B21))</f>
        <v>SWR</v>
      </c>
      <c r="C22" s="2" t="str">
        <f>IF(Source!$E22=COLUMNS($A22:C22), LEFT(C21, LEN(C21)-Source!$C22), IF(Source!$G22=COLUMNS($A22:C22), C21&amp;RIGHT(INDIRECT(ADDRESS(ROW(C22)-1, Source!$E22)), Source!$C22), C21))</f>
        <v>RZTDJMFTRR</v>
      </c>
      <c r="D22" s="2" t="str">
        <f>IF(Source!$E22=COLUMNS($A22:D22), LEFT(D21, LEN(D21)-Source!$C22), IF(Source!$G22=COLUMNS($A22:D22), D21&amp;RIGHT(INDIRECT(ADDRESS(ROW(D22)-1, Source!$E22)), Source!$C22), D21))</f>
        <v>DTCHSPVTMD</v>
      </c>
      <c r="E22" s="2" t="str">
        <f>IF(Source!$E22=COLUMNS($A22:E22), LEFT(E21, LEN(E21)-Source!$C22), IF(Source!$G22=COLUMNS($A22:E22), E21&amp;RIGHT(INDIRECT(ADDRESS(ROW(E22)-1, Source!$E22)), Source!$C22), E21))</f>
        <v>GPSCBDZ</v>
      </c>
      <c r="F22" s="2" t="str">
        <f>IF(Source!$E22=COLUMNS($A22:F22), LEFT(F21, LEN(F21)-Source!$C22), IF(Source!$G22=COLUMNS($A22:F22), F21&amp;RIGHT(INDIRECT(ADDRESS(ROW(F22)-1, Source!$E22)), Source!$C22), F21))</f>
        <v>FB</v>
      </c>
      <c r="G22" s="2" t="str">
        <f>IF(Source!$E22=COLUMNS($A22:G22), LEFT(G21, LEN(G21)-Source!$C22), IF(Source!$G22=COLUMNS($A22:G22), G21&amp;RIGHT(INDIRECT(ADDRESS(ROW(G22)-1, Source!$E22)), Source!$C22), G21))</f>
        <v>LMBJLWGZJ</v>
      </c>
      <c r="H22" s="2" t="str">
        <f>IF(Source!$E22=COLUMNS($A22:H22), LEFT(H21, LEN(H21)-Source!$C22), IF(Source!$G22=COLUMNS($A22:H22), H21&amp;RIGHT(INDIRECT(ADDRESS(ROW(H22)-1, Source!$E22)), Source!$C22), H21))</f>
        <v>L</v>
      </c>
      <c r="I22" s="2" t="str">
        <f>IF(Source!$E22=COLUMNS($A22:I22), LEFT(I21, LEN(I21)-Source!$C22), IF(Source!$G22=COLUMNS($A22:I22), I21&amp;RIGHT(INDIRECT(ADDRESS(ROW(I22)-1, Source!$E22)), Source!$C22), I21))</f>
        <v>QPDSV</v>
      </c>
    </row>
    <row r="23">
      <c r="A23" s="2" t="str">
        <f>IF(Source!$E23=COLUMNS($A23:A23), LEFT(A22, LEN(A22)-Source!$C23), IF(Source!$G23=COLUMNS($A23:A23), A22&amp;RIGHT(INDIRECT(ADDRESS(ROW(A23)-1, Source!$E23)), Source!$C23), A22))</f>
        <v>TQCDHRBTV</v>
      </c>
      <c r="B23" s="2" t="str">
        <f>IF(Source!$E23=COLUMNS($A23:B23), LEFT(B22, LEN(B22)-Source!$C23), IF(Source!$G23=COLUMNS($A23:B23), B22&amp;RIGHT(INDIRECT(ADDRESS(ROW(B23)-1, Source!$E23)), Source!$C23), B22))</f>
        <v>SWR</v>
      </c>
      <c r="C23" s="2" t="str">
        <f>IF(Source!$E23=COLUMNS($A23:C23), LEFT(C22, LEN(C22)-Source!$C23), IF(Source!$G23=COLUMNS($A23:C23), C22&amp;RIGHT(INDIRECT(ADDRESS(ROW(C23)-1, Source!$E23)), Source!$C23), C22))</f>
        <v>RZTDJMFTRR</v>
      </c>
      <c r="D23" s="2" t="str">
        <f>IF(Source!$E23=COLUMNS($A23:D23), LEFT(D22, LEN(D22)-Source!$C23), IF(Source!$G23=COLUMNS($A23:D23), D22&amp;RIGHT(INDIRECT(ADDRESS(ROW(D23)-1, Source!$E23)), Source!$C23), D22))</f>
        <v>DTCHSPVTMD</v>
      </c>
      <c r="E23" s="2" t="str">
        <f>IF(Source!$E23=COLUMNS($A23:E23), LEFT(E22, LEN(E22)-Source!$C23), IF(Source!$G23=COLUMNS($A23:E23), E22&amp;RIGHT(INDIRECT(ADDRESS(ROW(E23)-1, Source!$E23)), Source!$C23), E22))</f>
        <v>GPSCBDZL</v>
      </c>
      <c r="F23" s="2" t="str">
        <f>IF(Source!$E23=COLUMNS($A23:F23), LEFT(F22, LEN(F22)-Source!$C23), IF(Source!$G23=COLUMNS($A23:F23), F22&amp;RIGHT(INDIRECT(ADDRESS(ROW(F23)-1, Source!$E23)), Source!$C23), F22))</f>
        <v>FB</v>
      </c>
      <c r="G23" s="2" t="str">
        <f>IF(Source!$E23=COLUMNS($A23:G23), LEFT(G22, LEN(G22)-Source!$C23), IF(Source!$G23=COLUMNS($A23:G23), G22&amp;RIGHT(INDIRECT(ADDRESS(ROW(G23)-1, Source!$E23)), Source!$C23), G22))</f>
        <v>LMBJLWGZJ</v>
      </c>
      <c r="H23" s="2" t="str">
        <f>IF(Source!$E23=COLUMNS($A23:H23), LEFT(H22, LEN(H22)-Source!$C23), IF(Source!$G23=COLUMNS($A23:H23), H22&amp;RIGHT(INDIRECT(ADDRESS(ROW(H23)-1, Source!$E23)), Source!$C23), H22))</f>
        <v/>
      </c>
      <c r="I23" s="2" t="str">
        <f>IF(Source!$E23=COLUMNS($A23:I23), LEFT(I22, LEN(I22)-Source!$C23), IF(Source!$G23=COLUMNS($A23:I23), I22&amp;RIGHT(INDIRECT(ADDRESS(ROW(I23)-1, Source!$E23)), Source!$C23), I22))</f>
        <v>QPDSV</v>
      </c>
    </row>
    <row r="24">
      <c r="A24" s="2" t="str">
        <f>IF(Source!$E24=COLUMNS($A24:A24), LEFT(A23, LEN(A23)-Source!$C24), IF(Source!$G24=COLUMNS($A24:A24), A23&amp;RIGHT(INDIRECT(ADDRESS(ROW(A24)-1, Source!$E24)), Source!$C24), A23))</f>
        <v>TQCDHRBTV</v>
      </c>
      <c r="B24" s="2" t="str">
        <f>IF(Source!$E24=COLUMNS($A24:B24), LEFT(B23, LEN(B23)-Source!$C24), IF(Source!$G24=COLUMNS($A24:B24), B23&amp;RIGHT(INDIRECT(ADDRESS(ROW(B24)-1, Source!$E24)), Source!$C24), B23))</f>
        <v>SWRQPDSV</v>
      </c>
      <c r="C24" s="2" t="str">
        <f>IF(Source!$E24=COLUMNS($A24:C24), LEFT(C23, LEN(C23)-Source!$C24), IF(Source!$G24=COLUMNS($A24:C24), C23&amp;RIGHT(INDIRECT(ADDRESS(ROW(C24)-1, Source!$E24)), Source!$C24), C23))</f>
        <v>RZTDJMFTRR</v>
      </c>
      <c r="D24" s="2" t="str">
        <f>IF(Source!$E24=COLUMNS($A24:D24), LEFT(D23, LEN(D23)-Source!$C24), IF(Source!$G24=COLUMNS($A24:D24), D23&amp;RIGHT(INDIRECT(ADDRESS(ROW(D24)-1, Source!$E24)), Source!$C24), D23))</f>
        <v>DTCHSPVTMD</v>
      </c>
      <c r="E24" s="2" t="str">
        <f>IF(Source!$E24=COLUMNS($A24:E24), LEFT(E23, LEN(E23)-Source!$C24), IF(Source!$G24=COLUMNS($A24:E24), E23&amp;RIGHT(INDIRECT(ADDRESS(ROW(E24)-1, Source!$E24)), Source!$C24), E23))</f>
        <v>GPSCBDZL</v>
      </c>
      <c r="F24" s="2" t="str">
        <f>IF(Source!$E24=COLUMNS($A24:F24), LEFT(F23, LEN(F23)-Source!$C24), IF(Source!$G24=COLUMNS($A24:F24), F23&amp;RIGHT(INDIRECT(ADDRESS(ROW(F24)-1, Source!$E24)), Source!$C24), F23))</f>
        <v>FB</v>
      </c>
      <c r="G24" s="2" t="str">
        <f>IF(Source!$E24=COLUMNS($A24:G24), LEFT(G23, LEN(G23)-Source!$C24), IF(Source!$G24=COLUMNS($A24:G24), G23&amp;RIGHT(INDIRECT(ADDRESS(ROW(G24)-1, Source!$E24)), Source!$C24), G23))</f>
        <v>LMBJLWGZJ</v>
      </c>
      <c r="H24" s="2" t="str">
        <f>IF(Source!$E24=COLUMNS($A24:H24), LEFT(H23, LEN(H23)-Source!$C24), IF(Source!$G24=COLUMNS($A24:H24), H23&amp;RIGHT(INDIRECT(ADDRESS(ROW(H24)-1, Source!$E24)), Source!$C24), H23))</f>
        <v/>
      </c>
      <c r="I24" s="2" t="str">
        <f>IF(Source!$E24=COLUMNS($A24:I24), LEFT(I23, LEN(I23)-Source!$C24), IF(Source!$G24=COLUMNS($A24:I24), I23&amp;RIGHT(INDIRECT(ADDRESS(ROW(I24)-1, Source!$E24)), Source!$C24), I23))</f>
        <v/>
      </c>
    </row>
    <row r="25">
      <c r="A25" s="2" t="str">
        <f>IF(Source!$E25=COLUMNS($A25:A25), LEFT(A24, LEN(A24)-Source!$C25), IF(Source!$G25=COLUMNS($A25:A25), A24&amp;RIGHT(INDIRECT(ADDRESS(ROW(A25)-1, Source!$E25)), Source!$C25), A24))</f>
        <v>TQCDHRBTV</v>
      </c>
      <c r="B25" s="2" t="str">
        <f>IF(Source!$E25=COLUMNS($A25:B25), LEFT(B24, LEN(B24)-Source!$C25), IF(Source!$G25=COLUMNS($A25:B25), B24&amp;RIGHT(INDIRECT(ADDRESS(ROW(B25)-1, Source!$E25)), Source!$C25), B24))</f>
        <v>SWRQPDSV</v>
      </c>
      <c r="C25" s="2" t="str">
        <f>IF(Source!$E25=COLUMNS($A25:C25), LEFT(C24, LEN(C24)-Source!$C25), IF(Source!$G25=COLUMNS($A25:C25), C24&amp;RIGHT(INDIRECT(ADDRESS(ROW(C25)-1, Source!$E25)), Source!$C25), C24))</f>
        <v>RZTDJMFTRR</v>
      </c>
      <c r="D25" s="2" t="str">
        <f>IF(Source!$E25=COLUMNS($A25:D25), LEFT(D24, LEN(D24)-Source!$C25), IF(Source!$G25=COLUMNS($A25:D25), D24&amp;RIGHT(INDIRECT(ADDRESS(ROW(D25)-1, Source!$E25)), Source!$C25), D24))</f>
        <v>DTCHSPVTMD</v>
      </c>
      <c r="E25" s="2" t="str">
        <f>IF(Source!$E25=COLUMNS($A25:E25), LEFT(E24, LEN(E24)-Source!$C25), IF(Source!$G25=COLUMNS($A25:E25), E24&amp;RIGHT(INDIRECT(ADDRESS(ROW(E25)-1, Source!$E25)), Source!$C25), E24))</f>
        <v>GPSCBDZL</v>
      </c>
      <c r="F25" s="2" t="str">
        <f>IF(Source!$E25=COLUMNS($A25:F25), LEFT(F24, LEN(F24)-Source!$C25), IF(Source!$G25=COLUMNS($A25:F25), F24&amp;RIGHT(INDIRECT(ADDRESS(ROW(F25)-1, Source!$E25)), Source!$C25), F24))</f>
        <v>F</v>
      </c>
      <c r="G25" s="2" t="str">
        <f>IF(Source!$E25=COLUMNS($A25:G25), LEFT(G24, LEN(G24)-Source!$C25), IF(Source!$G25=COLUMNS($A25:G25), G24&amp;RIGHT(INDIRECT(ADDRESS(ROW(G25)-1, Source!$E25)), Source!$C25), G24))</f>
        <v>LMBJLWGZJ</v>
      </c>
      <c r="H25" s="2" t="str">
        <f>IF(Source!$E25=COLUMNS($A25:H25), LEFT(H24, LEN(H24)-Source!$C25), IF(Source!$G25=COLUMNS($A25:H25), H24&amp;RIGHT(INDIRECT(ADDRESS(ROW(H25)-1, Source!$E25)), Source!$C25), H24))</f>
        <v>B</v>
      </c>
      <c r="I25" s="2" t="str">
        <f>IF(Source!$E25=COLUMNS($A25:I25), LEFT(I24, LEN(I24)-Source!$C25), IF(Source!$G25=COLUMNS($A25:I25), I24&amp;RIGHT(INDIRECT(ADDRESS(ROW(I25)-1, Source!$E25)), Source!$C25), I24))</f>
        <v/>
      </c>
    </row>
    <row r="26">
      <c r="A26" s="2" t="str">
        <f>IF(Source!$E26=COLUMNS($A26:A26), LEFT(A25, LEN(A25)-Source!$C26), IF(Source!$G26=COLUMNS($A26:A26), A25&amp;RIGHT(INDIRECT(ADDRESS(ROW(A26)-1, Source!$E26)), Source!$C26), A25))</f>
        <v>TQCD</v>
      </c>
      <c r="B26" s="2" t="str">
        <f>IF(Source!$E26=COLUMNS($A26:B26), LEFT(B25, LEN(B25)-Source!$C26), IF(Source!$G26=COLUMNS($A26:B26), B25&amp;RIGHT(INDIRECT(ADDRESS(ROW(B26)-1, Source!$E26)), Source!$C26), B25))</f>
        <v>SWRQPDSV</v>
      </c>
      <c r="C26" s="2" t="str">
        <f>IF(Source!$E26=COLUMNS($A26:C26), LEFT(C25, LEN(C25)-Source!$C26), IF(Source!$G26=COLUMNS($A26:C26), C25&amp;RIGHT(INDIRECT(ADDRESS(ROW(C26)-1, Source!$E26)), Source!$C26), C25))</f>
        <v>RZTDJMFTRR</v>
      </c>
      <c r="D26" s="2" t="str">
        <f>IF(Source!$E26=COLUMNS($A26:D26), LEFT(D25, LEN(D25)-Source!$C26), IF(Source!$G26=COLUMNS($A26:D26), D25&amp;RIGHT(INDIRECT(ADDRESS(ROW(D26)-1, Source!$E26)), Source!$C26), D25))</f>
        <v>DTCHSPVTMD</v>
      </c>
      <c r="E26" s="2" t="str">
        <f>IF(Source!$E26=COLUMNS($A26:E26), LEFT(E25, LEN(E25)-Source!$C26), IF(Source!$G26=COLUMNS($A26:E26), E25&amp;RIGHT(INDIRECT(ADDRESS(ROW(E26)-1, Source!$E26)), Source!$C26), E25))</f>
        <v>GPSCBDZL</v>
      </c>
      <c r="F26" s="2" t="str">
        <f>IF(Source!$E26=COLUMNS($A26:F26), LEFT(F25, LEN(F25)-Source!$C26), IF(Source!$G26=COLUMNS($A26:F26), F25&amp;RIGHT(INDIRECT(ADDRESS(ROW(F26)-1, Source!$E26)), Source!$C26), F25))</f>
        <v>F</v>
      </c>
      <c r="G26" s="2" t="str">
        <f>IF(Source!$E26=COLUMNS($A26:G26), LEFT(G25, LEN(G25)-Source!$C26), IF(Source!$G26=COLUMNS($A26:G26), G25&amp;RIGHT(INDIRECT(ADDRESS(ROW(G26)-1, Source!$E26)), Source!$C26), G25))</f>
        <v>LMBJLWGZJHRBTV</v>
      </c>
      <c r="H26" s="2" t="str">
        <f>IF(Source!$E26=COLUMNS($A26:H26), LEFT(H25, LEN(H25)-Source!$C26), IF(Source!$G26=COLUMNS($A26:H26), H25&amp;RIGHT(INDIRECT(ADDRESS(ROW(H26)-1, Source!$E26)), Source!$C26), H25))</f>
        <v>B</v>
      </c>
      <c r="I26" s="2" t="str">
        <f>IF(Source!$E26=COLUMNS($A26:I26), LEFT(I25, LEN(I25)-Source!$C26), IF(Source!$G26=COLUMNS($A26:I26), I25&amp;RIGHT(INDIRECT(ADDRESS(ROW(I26)-1, Source!$E26)), Source!$C26), I25))</f>
        <v/>
      </c>
    </row>
    <row r="27">
      <c r="A27" s="2" t="str">
        <f>IF(Source!$E27=COLUMNS($A27:A27), LEFT(A26, LEN(A26)-Source!$C27), IF(Source!$G27=COLUMNS($A27:A27), A26&amp;RIGHT(INDIRECT(ADDRESS(ROW(A27)-1, Source!$E27)), Source!$C27), A26))</f>
        <v>TQCD</v>
      </c>
      <c r="B27" s="2" t="str">
        <f>IF(Source!$E27=COLUMNS($A27:B27), LEFT(B26, LEN(B26)-Source!$C27), IF(Source!$G27=COLUMNS($A27:B27), B26&amp;RIGHT(INDIRECT(ADDRESS(ROW(B27)-1, Source!$E27)), Source!$C27), B26))</f>
        <v>SWRQPDSVB</v>
      </c>
      <c r="C27" s="2" t="str">
        <f>IF(Source!$E27=COLUMNS($A27:C27), LEFT(C26, LEN(C26)-Source!$C27), IF(Source!$G27=COLUMNS($A27:C27), C26&amp;RIGHT(INDIRECT(ADDRESS(ROW(C27)-1, Source!$E27)), Source!$C27), C26))</f>
        <v>RZTDJMFTRR</v>
      </c>
      <c r="D27" s="2" t="str">
        <f>IF(Source!$E27=COLUMNS($A27:D27), LEFT(D26, LEN(D26)-Source!$C27), IF(Source!$G27=COLUMNS($A27:D27), D26&amp;RIGHT(INDIRECT(ADDRESS(ROW(D27)-1, Source!$E27)), Source!$C27), D26))</f>
        <v>DTCHSPVTMD</v>
      </c>
      <c r="E27" s="2" t="str">
        <f>IF(Source!$E27=COLUMNS($A27:E27), LEFT(E26, LEN(E26)-Source!$C27), IF(Source!$G27=COLUMNS($A27:E27), E26&amp;RIGHT(INDIRECT(ADDRESS(ROW(E27)-1, Source!$E27)), Source!$C27), E26))</f>
        <v>GPSCBDZL</v>
      </c>
      <c r="F27" s="2" t="str">
        <f>IF(Source!$E27=COLUMNS($A27:F27), LEFT(F26, LEN(F26)-Source!$C27), IF(Source!$G27=COLUMNS($A27:F27), F26&amp;RIGHT(INDIRECT(ADDRESS(ROW(F27)-1, Source!$E27)), Source!$C27), F26))</f>
        <v>F</v>
      </c>
      <c r="G27" s="2" t="str">
        <f>IF(Source!$E27=COLUMNS($A27:G27), LEFT(G26, LEN(G26)-Source!$C27), IF(Source!$G27=COLUMNS($A27:G27), G26&amp;RIGHT(INDIRECT(ADDRESS(ROW(G27)-1, Source!$E27)), Source!$C27), G26))</f>
        <v>LMBJLWGZJHRBTV</v>
      </c>
      <c r="H27" s="2" t="str">
        <f>IF(Source!$E27=COLUMNS($A27:H27), LEFT(H26, LEN(H26)-Source!$C27), IF(Source!$G27=COLUMNS($A27:H27), H26&amp;RIGHT(INDIRECT(ADDRESS(ROW(H27)-1, Source!$E27)), Source!$C27), H26))</f>
        <v/>
      </c>
      <c r="I27" s="2" t="str">
        <f>IF(Source!$E27=COLUMNS($A27:I27), LEFT(I26, LEN(I26)-Source!$C27), IF(Source!$G27=COLUMNS($A27:I27), I26&amp;RIGHT(INDIRECT(ADDRESS(ROW(I27)-1, Source!$E27)), Source!$C27), I26))</f>
        <v/>
      </c>
    </row>
    <row r="28">
      <c r="A28" s="2" t="str">
        <f>IF(Source!$E28=COLUMNS($A28:A28), LEFT(A27, LEN(A27)-Source!$C28), IF(Source!$G28=COLUMNS($A28:A28), A27&amp;RIGHT(INDIRECT(ADDRESS(ROW(A28)-1, Source!$E28)), Source!$C28), A27))</f>
        <v>TQ</v>
      </c>
      <c r="B28" s="2" t="str">
        <f>IF(Source!$E28=COLUMNS($A28:B28), LEFT(B27, LEN(B27)-Source!$C28), IF(Source!$G28=COLUMNS($A28:B28), B27&amp;RIGHT(INDIRECT(ADDRESS(ROW(B28)-1, Source!$E28)), Source!$C28), B27))</f>
        <v>SWRQPDSVB</v>
      </c>
      <c r="C28" s="2" t="str">
        <f>IF(Source!$E28=COLUMNS($A28:C28), LEFT(C27, LEN(C27)-Source!$C28), IF(Source!$G28=COLUMNS($A28:C28), C27&amp;RIGHT(INDIRECT(ADDRESS(ROW(C28)-1, Source!$E28)), Source!$C28), C27))</f>
        <v>RZTDJMFTRR</v>
      </c>
      <c r="D28" s="2" t="str">
        <f>IF(Source!$E28=COLUMNS($A28:D28), LEFT(D27, LEN(D27)-Source!$C28), IF(Source!$G28=COLUMNS($A28:D28), D27&amp;RIGHT(INDIRECT(ADDRESS(ROW(D28)-1, Source!$E28)), Source!$C28), D27))</f>
        <v>DTCHSPVTMD</v>
      </c>
      <c r="E28" s="2" t="str">
        <f>IF(Source!$E28=COLUMNS($A28:E28), LEFT(E27, LEN(E27)-Source!$C28), IF(Source!$G28=COLUMNS($A28:E28), E27&amp;RIGHT(INDIRECT(ADDRESS(ROW(E28)-1, Source!$E28)), Source!$C28), E27))</f>
        <v>GPSCBDZL</v>
      </c>
      <c r="F28" s="2" t="str">
        <f>IF(Source!$E28=COLUMNS($A28:F28), LEFT(F27, LEN(F27)-Source!$C28), IF(Source!$G28=COLUMNS($A28:F28), F27&amp;RIGHT(INDIRECT(ADDRESS(ROW(F28)-1, Source!$E28)), Source!$C28), F27))</f>
        <v>F</v>
      </c>
      <c r="G28" s="2" t="str">
        <f>IF(Source!$E28=COLUMNS($A28:G28), LEFT(G27, LEN(G27)-Source!$C28), IF(Source!$G28=COLUMNS($A28:G28), G27&amp;RIGHT(INDIRECT(ADDRESS(ROW(G28)-1, Source!$E28)), Source!$C28), G27))</f>
        <v>LMBJLWGZJHRBTVCD</v>
      </c>
      <c r="H28" s="2" t="str">
        <f>IF(Source!$E28=COLUMNS($A28:H28), LEFT(H27, LEN(H27)-Source!$C28), IF(Source!$G28=COLUMNS($A28:H28), H27&amp;RIGHT(INDIRECT(ADDRESS(ROW(H28)-1, Source!$E28)), Source!$C28), H27))</f>
        <v/>
      </c>
      <c r="I28" s="2" t="str">
        <f>IF(Source!$E28=COLUMNS($A28:I28), LEFT(I27, LEN(I27)-Source!$C28), IF(Source!$G28=COLUMNS($A28:I28), I27&amp;RIGHT(INDIRECT(ADDRESS(ROW(I28)-1, Source!$E28)), Source!$C28), I27))</f>
        <v/>
      </c>
    </row>
    <row r="29">
      <c r="A29" s="2" t="str">
        <f>IF(Source!$E29=COLUMNS($A29:A29), LEFT(A28, LEN(A28)-Source!$C29), IF(Source!$G29=COLUMNS($A29:A29), A28&amp;RIGHT(INDIRECT(ADDRESS(ROW(A29)-1, Source!$E29)), Source!$C29), A28))</f>
        <v>TQ</v>
      </c>
      <c r="B29" s="2" t="str">
        <f>IF(Source!$E29=COLUMNS($A29:B29), LEFT(B28, LEN(B28)-Source!$C29), IF(Source!$G29=COLUMNS($A29:B29), B28&amp;RIGHT(INDIRECT(ADDRESS(ROW(B29)-1, Source!$E29)), Source!$C29), B28))</f>
        <v>SWRQPDSV</v>
      </c>
      <c r="C29" s="2" t="str">
        <f>IF(Source!$E29=COLUMNS($A29:C29), LEFT(C28, LEN(C28)-Source!$C29), IF(Source!$G29=COLUMNS($A29:C29), C28&amp;RIGHT(INDIRECT(ADDRESS(ROW(C29)-1, Source!$E29)), Source!$C29), C28))</f>
        <v>RZTDJMFTRR</v>
      </c>
      <c r="D29" s="2" t="str">
        <f>IF(Source!$E29=COLUMNS($A29:D29), LEFT(D28, LEN(D28)-Source!$C29), IF(Source!$G29=COLUMNS($A29:D29), D28&amp;RIGHT(INDIRECT(ADDRESS(ROW(D29)-1, Source!$E29)), Source!$C29), D28))</f>
        <v>DTCHSPVTMD</v>
      </c>
      <c r="E29" s="2" t="str">
        <f>IF(Source!$E29=COLUMNS($A29:E29), LEFT(E28, LEN(E28)-Source!$C29), IF(Source!$G29=COLUMNS($A29:E29), E28&amp;RIGHT(INDIRECT(ADDRESS(ROW(E29)-1, Source!$E29)), Source!$C29), E28))</f>
        <v>GPSCBDZL</v>
      </c>
      <c r="F29" s="2" t="str">
        <f>IF(Source!$E29=COLUMNS($A29:F29), LEFT(F28, LEN(F28)-Source!$C29), IF(Source!$G29=COLUMNS($A29:F29), F28&amp;RIGHT(INDIRECT(ADDRESS(ROW(F29)-1, Source!$E29)), Source!$C29), F28))</f>
        <v>FB</v>
      </c>
      <c r="G29" s="2" t="str">
        <f>IF(Source!$E29=COLUMNS($A29:G29), LEFT(G28, LEN(G28)-Source!$C29), IF(Source!$G29=COLUMNS($A29:G29), G28&amp;RIGHT(INDIRECT(ADDRESS(ROW(G29)-1, Source!$E29)), Source!$C29), G28))</f>
        <v>LMBJLWGZJHRBTVCD</v>
      </c>
      <c r="H29" s="2" t="str">
        <f>IF(Source!$E29=COLUMNS($A29:H29), LEFT(H28, LEN(H28)-Source!$C29), IF(Source!$G29=COLUMNS($A29:H29), H28&amp;RIGHT(INDIRECT(ADDRESS(ROW(H29)-1, Source!$E29)), Source!$C29), H28))</f>
        <v/>
      </c>
      <c r="I29" s="2" t="str">
        <f>IF(Source!$E29=COLUMNS($A29:I29), LEFT(I28, LEN(I28)-Source!$C29), IF(Source!$G29=COLUMNS($A29:I29), I28&amp;RIGHT(INDIRECT(ADDRESS(ROW(I29)-1, Source!$E29)), Source!$C29), I28))</f>
        <v/>
      </c>
    </row>
    <row r="30">
      <c r="A30" s="2" t="str">
        <f>IF(Source!$E30=COLUMNS($A30:A30), LEFT(A29, LEN(A29)-Source!$C30), IF(Source!$G30=COLUMNS($A30:A30), A29&amp;RIGHT(INDIRECT(ADDRESS(ROW(A30)-1, Source!$E30)), Source!$C30), A29))</f>
        <v>TQ</v>
      </c>
      <c r="B30" s="2" t="str">
        <f>IF(Source!$E30=COLUMNS($A30:B30), LEFT(B29, LEN(B29)-Source!$C30), IF(Source!$G30=COLUMNS($A30:B30), B29&amp;RIGHT(INDIRECT(ADDRESS(ROW(B30)-1, Source!$E30)), Source!$C30), B29))</f>
        <v>SWRQPDSV</v>
      </c>
      <c r="C30" s="2" t="str">
        <f>IF(Source!$E30=COLUMNS($A30:C30), LEFT(C29, LEN(C29)-Source!$C30), IF(Source!$G30=COLUMNS($A30:C30), C29&amp;RIGHT(INDIRECT(ADDRESS(ROW(C30)-1, Source!$E30)), Source!$C30), C29))</f>
        <v>RZTDJMFTRR</v>
      </c>
      <c r="D30" s="2" t="str">
        <f>IF(Source!$E30=COLUMNS($A30:D30), LEFT(D29, LEN(D29)-Source!$C30), IF(Source!$G30=COLUMNS($A30:D30), D29&amp;RIGHT(INDIRECT(ADDRESS(ROW(D30)-1, Source!$E30)), Source!$C30), D29))</f>
        <v>DTCHSPVTMDBDZL</v>
      </c>
      <c r="E30" s="2" t="str">
        <f>IF(Source!$E30=COLUMNS($A30:E30), LEFT(E29, LEN(E29)-Source!$C30), IF(Source!$G30=COLUMNS($A30:E30), E29&amp;RIGHT(INDIRECT(ADDRESS(ROW(E30)-1, Source!$E30)), Source!$C30), E29))</f>
        <v>GPSC</v>
      </c>
      <c r="F30" s="2" t="str">
        <f>IF(Source!$E30=COLUMNS($A30:F30), LEFT(F29, LEN(F29)-Source!$C30), IF(Source!$G30=COLUMNS($A30:F30), F29&amp;RIGHT(INDIRECT(ADDRESS(ROW(F30)-1, Source!$E30)), Source!$C30), F29))</f>
        <v>FB</v>
      </c>
      <c r="G30" s="2" t="str">
        <f>IF(Source!$E30=COLUMNS($A30:G30), LEFT(G29, LEN(G29)-Source!$C30), IF(Source!$G30=COLUMNS($A30:G30), G29&amp;RIGHT(INDIRECT(ADDRESS(ROW(G30)-1, Source!$E30)), Source!$C30), G29))</f>
        <v>LMBJLWGZJHRBTVCD</v>
      </c>
      <c r="H30" s="2" t="str">
        <f>IF(Source!$E30=COLUMNS($A30:H30), LEFT(H29, LEN(H29)-Source!$C30), IF(Source!$G30=COLUMNS($A30:H30), H29&amp;RIGHT(INDIRECT(ADDRESS(ROW(H30)-1, Source!$E30)), Source!$C30), H29))</f>
        <v/>
      </c>
      <c r="I30" s="2" t="str">
        <f>IF(Source!$E30=COLUMNS($A30:I30), LEFT(I29, LEN(I29)-Source!$C30), IF(Source!$G30=COLUMNS($A30:I30), I29&amp;RIGHT(INDIRECT(ADDRESS(ROW(I30)-1, Source!$E30)), Source!$C30), I29))</f>
        <v/>
      </c>
    </row>
    <row r="31">
      <c r="A31" s="2" t="str">
        <f>IF(Source!$E31=COLUMNS($A31:A31), LEFT(A30, LEN(A30)-Source!$C31), IF(Source!$G31=COLUMNS($A31:A31), A30&amp;RIGHT(INDIRECT(ADDRESS(ROW(A31)-1, Source!$E31)), Source!$C31), A30))</f>
        <v/>
      </c>
      <c r="B31" s="2" t="str">
        <f>IF(Source!$E31=COLUMNS($A31:B31), LEFT(B30, LEN(B30)-Source!$C31), IF(Source!$G31=COLUMNS($A31:B31), B30&amp;RIGHT(INDIRECT(ADDRESS(ROW(B31)-1, Source!$E31)), Source!$C31), B30))</f>
        <v>SWRQPDSV</v>
      </c>
      <c r="C31" s="2" t="str">
        <f>IF(Source!$E31=COLUMNS($A31:C31), LEFT(C30, LEN(C30)-Source!$C31), IF(Source!$G31=COLUMNS($A31:C31), C30&amp;RIGHT(INDIRECT(ADDRESS(ROW(C31)-1, Source!$E31)), Source!$C31), C30))</f>
        <v>RZTDJMFTRR</v>
      </c>
      <c r="D31" s="2" t="str">
        <f>IF(Source!$E31=COLUMNS($A31:D31), LEFT(D30, LEN(D30)-Source!$C31), IF(Source!$G31=COLUMNS($A31:D31), D30&amp;RIGHT(INDIRECT(ADDRESS(ROW(D31)-1, Source!$E31)), Source!$C31), D30))</f>
        <v>DTCHSPVTMDBDZLTQ</v>
      </c>
      <c r="E31" s="2" t="str">
        <f>IF(Source!$E31=COLUMNS($A31:E31), LEFT(E30, LEN(E30)-Source!$C31), IF(Source!$G31=COLUMNS($A31:E31), E30&amp;RIGHT(INDIRECT(ADDRESS(ROW(E31)-1, Source!$E31)), Source!$C31), E30))</f>
        <v>GPSC</v>
      </c>
      <c r="F31" s="2" t="str">
        <f>IF(Source!$E31=COLUMNS($A31:F31), LEFT(F30, LEN(F30)-Source!$C31), IF(Source!$G31=COLUMNS($A31:F31), F30&amp;RIGHT(INDIRECT(ADDRESS(ROW(F31)-1, Source!$E31)), Source!$C31), F30))</f>
        <v>FB</v>
      </c>
      <c r="G31" s="2" t="str">
        <f>IF(Source!$E31=COLUMNS($A31:G31), LEFT(G30, LEN(G30)-Source!$C31), IF(Source!$G31=COLUMNS($A31:G31), G30&amp;RIGHT(INDIRECT(ADDRESS(ROW(G31)-1, Source!$E31)), Source!$C31), G30))</f>
        <v>LMBJLWGZJHRBTVCD</v>
      </c>
      <c r="H31" s="2" t="str">
        <f>IF(Source!$E31=COLUMNS($A31:H31), LEFT(H30, LEN(H30)-Source!$C31), IF(Source!$G31=COLUMNS($A31:H31), H30&amp;RIGHT(INDIRECT(ADDRESS(ROW(H31)-1, Source!$E31)), Source!$C31), H30))</f>
        <v/>
      </c>
      <c r="I31" s="2" t="str">
        <f>IF(Source!$E31=COLUMNS($A31:I31), LEFT(I30, LEN(I30)-Source!$C31), IF(Source!$G31=COLUMNS($A31:I31), I30&amp;RIGHT(INDIRECT(ADDRESS(ROW(I31)-1, Source!$E31)), Source!$C31), I30))</f>
        <v/>
      </c>
    </row>
    <row r="32">
      <c r="A32" s="2" t="str">
        <f>IF(Source!$E32=COLUMNS($A32:A32), LEFT(A31, LEN(A31)-Source!$C32), IF(Source!$G32=COLUMNS($A32:A32), A31&amp;RIGHT(INDIRECT(ADDRESS(ROW(A32)-1, Source!$E32)), Source!$C32), A31))</f>
        <v/>
      </c>
      <c r="B32" s="2" t="str">
        <f>IF(Source!$E32=COLUMNS($A32:B32), LEFT(B31, LEN(B31)-Source!$C32), IF(Source!$G32=COLUMNS($A32:B32), B31&amp;RIGHT(INDIRECT(ADDRESS(ROW(B32)-1, Source!$E32)), Source!$C32), B31))</f>
        <v>SWRQPDSV</v>
      </c>
      <c r="C32" s="2" t="str">
        <f>IF(Source!$E32=COLUMNS($A32:C32), LEFT(C31, LEN(C31)-Source!$C32), IF(Source!$G32=COLUMNS($A32:C32), C31&amp;RIGHT(INDIRECT(ADDRESS(ROW(C32)-1, Source!$E32)), Source!$C32), C31))</f>
        <v>RZTDJMFTRR</v>
      </c>
      <c r="D32" s="2" t="str">
        <f>IF(Source!$E32=COLUMNS($A32:D32), LEFT(D31, LEN(D31)-Source!$C32), IF(Source!$G32=COLUMNS($A32:D32), D31&amp;RIGHT(INDIRECT(ADDRESS(ROW(D32)-1, Source!$E32)), Source!$C32), D31))</f>
        <v>DTCHSPVTMDBDZLTQ</v>
      </c>
      <c r="E32" s="2" t="str">
        <f>IF(Source!$E32=COLUMNS($A32:E32), LEFT(E31, LEN(E31)-Source!$C32), IF(Source!$G32=COLUMNS($A32:E32), E31&amp;RIGHT(INDIRECT(ADDRESS(ROW(E32)-1, Source!$E32)), Source!$C32), E31))</f>
        <v>GPSC</v>
      </c>
      <c r="F32" s="2" t="str">
        <f>IF(Source!$E32=COLUMNS($A32:F32), LEFT(F31, LEN(F31)-Source!$C32), IF(Source!$G32=COLUMNS($A32:F32), F31&amp;RIGHT(INDIRECT(ADDRESS(ROW(F32)-1, Source!$E32)), Source!$C32), F31))</f>
        <v>FB</v>
      </c>
      <c r="G32" s="2" t="str">
        <f>IF(Source!$E32=COLUMNS($A32:G32), LEFT(G31, LEN(G31)-Source!$C32), IF(Source!$G32=COLUMNS($A32:G32), G31&amp;RIGHT(INDIRECT(ADDRESS(ROW(G32)-1, Source!$E32)), Source!$C32), G31))</f>
        <v>LMB</v>
      </c>
      <c r="H32" s="2" t="str">
        <f>IF(Source!$E32=COLUMNS($A32:H32), LEFT(H31, LEN(H31)-Source!$C32), IF(Source!$G32=COLUMNS($A32:H32), H31&amp;RIGHT(INDIRECT(ADDRESS(ROW(H32)-1, Source!$E32)), Source!$C32), H31))</f>
        <v>JLWGZJHRBTVCD</v>
      </c>
      <c r="I32" s="2" t="str">
        <f>IF(Source!$E32=COLUMNS($A32:I32), LEFT(I31, LEN(I31)-Source!$C32), IF(Source!$G32=COLUMNS($A32:I32), I31&amp;RIGHT(INDIRECT(ADDRESS(ROW(I32)-1, Source!$E32)), Source!$C32), I31))</f>
        <v/>
      </c>
    </row>
    <row r="33">
      <c r="A33" s="2" t="str">
        <f>IF(Source!$E33=COLUMNS($A33:A33), LEFT(A32, LEN(A32)-Source!$C33), IF(Source!$G33=COLUMNS($A33:A33), A32&amp;RIGHT(INDIRECT(ADDRESS(ROW(A33)-1, Source!$E33)), Source!$C33), A32))</f>
        <v/>
      </c>
      <c r="B33" s="2" t="str">
        <f>IF(Source!$E33=COLUMNS($A33:B33), LEFT(B32, LEN(B32)-Source!$C33), IF(Source!$G33=COLUMNS($A33:B33), B32&amp;RIGHT(INDIRECT(ADDRESS(ROW(B33)-1, Source!$E33)), Source!$C33), B32))</f>
        <v>SWRQPDSV</v>
      </c>
      <c r="C33" s="2" t="str">
        <f>IF(Source!$E33=COLUMNS($A33:C33), LEFT(C32, LEN(C32)-Source!$C33), IF(Source!$G33=COLUMNS($A33:C33), C32&amp;RIGHT(INDIRECT(ADDRESS(ROW(C33)-1, Source!$E33)), Source!$C33), C32))</f>
        <v>RZTDJMFTRR</v>
      </c>
      <c r="D33" s="2" t="str">
        <f>IF(Source!$E33=COLUMNS($A33:D33), LEFT(D32, LEN(D32)-Source!$C33), IF(Source!$G33=COLUMNS($A33:D33), D32&amp;RIGHT(INDIRECT(ADDRESS(ROW(D33)-1, Source!$E33)), Source!$C33), D32))</f>
        <v>DTCHSPVTMDBDZLTQ</v>
      </c>
      <c r="E33" s="2" t="str">
        <f>IF(Source!$E33=COLUMNS($A33:E33), LEFT(E32, LEN(E32)-Source!$C33), IF(Source!$G33=COLUMNS($A33:E33), E32&amp;RIGHT(INDIRECT(ADDRESS(ROW(E33)-1, Source!$E33)), Source!$C33), E32))</f>
        <v>GPSC</v>
      </c>
      <c r="F33" s="2" t="str">
        <f>IF(Source!$E33=COLUMNS($A33:F33), LEFT(F32, LEN(F32)-Source!$C33), IF(Source!$G33=COLUMNS($A33:F33), F32&amp;RIGHT(INDIRECT(ADDRESS(ROW(F33)-1, Source!$E33)), Source!$C33), F32))</f>
        <v>FBVCD</v>
      </c>
      <c r="G33" s="2" t="str">
        <f>IF(Source!$E33=COLUMNS($A33:G33), LEFT(G32, LEN(G32)-Source!$C33), IF(Source!$G33=COLUMNS($A33:G33), G32&amp;RIGHT(INDIRECT(ADDRESS(ROW(G33)-1, Source!$E33)), Source!$C33), G32))</f>
        <v>LMB</v>
      </c>
      <c r="H33" s="2" t="str">
        <f>IF(Source!$E33=COLUMNS($A33:H33), LEFT(H32, LEN(H32)-Source!$C33), IF(Source!$G33=COLUMNS($A33:H33), H32&amp;RIGHT(INDIRECT(ADDRESS(ROW(H33)-1, Source!$E33)), Source!$C33), H32))</f>
        <v>JLWGZJHRBT</v>
      </c>
      <c r="I33" s="2" t="str">
        <f>IF(Source!$E33=COLUMNS($A33:I33), LEFT(I32, LEN(I32)-Source!$C33), IF(Source!$G33=COLUMNS($A33:I33), I32&amp;RIGHT(INDIRECT(ADDRESS(ROW(I33)-1, Source!$E33)), Source!$C33), I32))</f>
        <v/>
      </c>
    </row>
    <row r="34">
      <c r="A34" s="2" t="str">
        <f>IF(Source!$E34=COLUMNS($A34:A34), LEFT(A33, LEN(A33)-Source!$C34), IF(Source!$G34=COLUMNS($A34:A34), A33&amp;RIGHT(INDIRECT(ADDRESS(ROW(A34)-1, Source!$E34)), Source!$C34), A33))</f>
        <v/>
      </c>
      <c r="B34" s="2" t="str">
        <f>IF(Source!$E34=COLUMNS($A34:B34), LEFT(B33, LEN(B33)-Source!$C34), IF(Source!$G34=COLUMNS($A34:B34), B33&amp;RIGHT(INDIRECT(ADDRESS(ROW(B34)-1, Source!$E34)), Source!$C34), B33))</f>
        <v>SWRQPDSV</v>
      </c>
      <c r="C34" s="2" t="str">
        <f>IF(Source!$E34=COLUMNS($A34:C34), LEFT(C33, LEN(C33)-Source!$C34), IF(Source!$G34=COLUMNS($A34:C34), C33&amp;RIGHT(INDIRECT(ADDRESS(ROW(C34)-1, Source!$E34)), Source!$C34), C33))</f>
        <v>RZTDJMFTRR</v>
      </c>
      <c r="D34" s="2" t="str">
        <f>IF(Source!$E34=COLUMNS($A34:D34), LEFT(D33, LEN(D33)-Source!$C34), IF(Source!$G34=COLUMNS($A34:D34), D33&amp;RIGHT(INDIRECT(ADDRESS(ROW(D34)-1, Source!$E34)), Source!$C34), D33))</f>
        <v>DTCHSPVTMDBDZLTQ</v>
      </c>
      <c r="E34" s="2" t="str">
        <f>IF(Source!$E34=COLUMNS($A34:E34), LEFT(E33, LEN(E33)-Source!$C34), IF(Source!$G34=COLUMNS($A34:E34), E33&amp;RIGHT(INDIRECT(ADDRESS(ROW(E34)-1, Source!$E34)), Source!$C34), E33))</f>
        <v>GPSC</v>
      </c>
      <c r="F34" s="2" t="str">
        <f>IF(Source!$E34=COLUMNS($A34:F34), LEFT(F33, LEN(F33)-Source!$C34), IF(Source!$G34=COLUMNS($A34:F34), F33&amp;RIGHT(INDIRECT(ADDRESS(ROW(F34)-1, Source!$E34)), Source!$C34), F33))</f>
        <v>FBV</v>
      </c>
      <c r="G34" s="2" t="str">
        <f>IF(Source!$E34=COLUMNS($A34:G34), LEFT(G33, LEN(G33)-Source!$C34), IF(Source!$G34=COLUMNS($A34:G34), G33&amp;RIGHT(INDIRECT(ADDRESS(ROW(G34)-1, Source!$E34)), Source!$C34), G33))</f>
        <v>LMB</v>
      </c>
      <c r="H34" s="2" t="str">
        <f>IF(Source!$E34=COLUMNS($A34:H34), LEFT(H33, LEN(H33)-Source!$C34), IF(Source!$G34=COLUMNS($A34:H34), H33&amp;RIGHT(INDIRECT(ADDRESS(ROW(H34)-1, Source!$E34)), Source!$C34), H33))</f>
        <v>JLWGZJHRBTCD</v>
      </c>
      <c r="I34" s="2" t="str">
        <f>IF(Source!$E34=COLUMNS($A34:I34), LEFT(I33, LEN(I33)-Source!$C34), IF(Source!$G34=COLUMNS($A34:I34), I33&amp;RIGHT(INDIRECT(ADDRESS(ROW(I34)-1, Source!$E34)), Source!$C34), I33))</f>
        <v/>
      </c>
    </row>
    <row r="35">
      <c r="A35" s="2" t="str">
        <f>IF(Source!$E35=COLUMNS($A35:A35), LEFT(A34, LEN(A34)-Source!$C35), IF(Source!$G35=COLUMNS($A35:A35), A34&amp;RIGHT(INDIRECT(ADDRESS(ROW(A35)-1, Source!$E35)), Source!$C35), A34))</f>
        <v/>
      </c>
      <c r="B35" s="2" t="str">
        <f>IF(Source!$E35=COLUMNS($A35:B35), LEFT(B34, LEN(B34)-Source!$C35), IF(Source!$G35=COLUMNS($A35:B35), B34&amp;RIGHT(INDIRECT(ADDRESS(ROW(B35)-1, Source!$E35)), Source!$C35), B34))</f>
        <v>SWRQPDSV</v>
      </c>
      <c r="C35" s="2" t="str">
        <f>IF(Source!$E35=COLUMNS($A35:C35), LEFT(C34, LEN(C34)-Source!$C35), IF(Source!$G35=COLUMNS($A35:C35), C34&amp;RIGHT(INDIRECT(ADDRESS(ROW(C35)-1, Source!$E35)), Source!$C35), C34))</f>
        <v/>
      </c>
      <c r="D35" s="2" t="str">
        <f>IF(Source!$E35=COLUMNS($A35:D35), LEFT(D34, LEN(D34)-Source!$C35), IF(Source!$G35=COLUMNS($A35:D35), D34&amp;RIGHT(INDIRECT(ADDRESS(ROW(D35)-1, Source!$E35)), Source!$C35), D34))</f>
        <v>DTCHSPVTMDBDZLTQ</v>
      </c>
      <c r="E35" s="2" t="str">
        <f>IF(Source!$E35=COLUMNS($A35:E35), LEFT(E34, LEN(E34)-Source!$C35), IF(Source!$G35=COLUMNS($A35:E35), E34&amp;RIGHT(INDIRECT(ADDRESS(ROW(E35)-1, Source!$E35)), Source!$C35), E34))</f>
        <v>GPSCRZTDJMFTRR</v>
      </c>
      <c r="F35" s="2" t="str">
        <f>IF(Source!$E35=COLUMNS($A35:F35), LEFT(F34, LEN(F34)-Source!$C35), IF(Source!$G35=COLUMNS($A35:F35), F34&amp;RIGHT(INDIRECT(ADDRESS(ROW(F35)-1, Source!$E35)), Source!$C35), F34))</f>
        <v>FBV</v>
      </c>
      <c r="G35" s="2" t="str">
        <f>IF(Source!$E35=COLUMNS($A35:G35), LEFT(G34, LEN(G34)-Source!$C35), IF(Source!$G35=COLUMNS($A35:G35), G34&amp;RIGHT(INDIRECT(ADDRESS(ROW(G35)-1, Source!$E35)), Source!$C35), G34))</f>
        <v>LMB</v>
      </c>
      <c r="H35" s="2" t="str">
        <f>IF(Source!$E35=COLUMNS($A35:H35), LEFT(H34, LEN(H34)-Source!$C35), IF(Source!$G35=COLUMNS($A35:H35), H34&amp;RIGHT(INDIRECT(ADDRESS(ROW(H35)-1, Source!$E35)), Source!$C35), H34))</f>
        <v>JLWGZJHRBTCD</v>
      </c>
      <c r="I35" s="2" t="str">
        <f>IF(Source!$E35=COLUMNS($A35:I35), LEFT(I34, LEN(I34)-Source!$C35), IF(Source!$G35=COLUMNS($A35:I35), I34&amp;RIGHT(INDIRECT(ADDRESS(ROW(I35)-1, Source!$E35)), Source!$C35), I34))</f>
        <v/>
      </c>
    </row>
    <row r="36">
      <c r="A36" s="2" t="str">
        <f>IF(Source!$E36=COLUMNS($A36:A36), LEFT(A35, LEN(A35)-Source!$C36), IF(Source!$G36=COLUMNS($A36:A36), A35&amp;RIGHT(INDIRECT(ADDRESS(ROW(A36)-1, Source!$E36)), Source!$C36), A35))</f>
        <v/>
      </c>
      <c r="B36" s="2" t="str">
        <f>IF(Source!$E36=COLUMNS($A36:B36), LEFT(B35, LEN(B35)-Source!$C36), IF(Source!$G36=COLUMNS($A36:B36), B35&amp;RIGHT(INDIRECT(ADDRESS(ROW(B36)-1, Source!$E36)), Source!$C36), B35))</f>
        <v>SWRQPDSV</v>
      </c>
      <c r="C36" s="2" t="str">
        <f>IF(Source!$E36=COLUMNS($A36:C36), LEFT(C35, LEN(C35)-Source!$C36), IF(Source!$G36=COLUMNS($A36:C36), C35&amp;RIGHT(INDIRECT(ADDRESS(ROW(C36)-1, Source!$E36)), Source!$C36), C35))</f>
        <v/>
      </c>
      <c r="D36" s="2" t="str">
        <f>IF(Source!$E36=COLUMNS($A36:D36), LEFT(D35, LEN(D35)-Source!$C36), IF(Source!$G36=COLUMNS($A36:D36), D35&amp;RIGHT(INDIRECT(ADDRESS(ROW(D36)-1, Source!$E36)), Source!$C36), D35))</f>
        <v>DTCHSPVTMDBDZLTQ</v>
      </c>
      <c r="E36" s="2" t="str">
        <f>IF(Source!$E36=COLUMNS($A36:E36), LEFT(E35, LEN(E35)-Source!$C36), IF(Source!$G36=COLUMNS($A36:E36), E35&amp;RIGHT(INDIRECT(ADDRESS(ROW(E36)-1, Source!$E36)), Source!$C36), E35))</f>
        <v>GPSCRZTDJMFTRR</v>
      </c>
      <c r="F36" s="2" t="str">
        <f>IF(Source!$E36=COLUMNS($A36:F36), LEFT(F35, LEN(F35)-Source!$C36), IF(Source!$G36=COLUMNS($A36:F36), F35&amp;RIGHT(INDIRECT(ADDRESS(ROW(F36)-1, Source!$E36)), Source!$C36), F35))</f>
        <v>FBVMB</v>
      </c>
      <c r="G36" s="2" t="str">
        <f>IF(Source!$E36=COLUMNS($A36:G36), LEFT(G35, LEN(G35)-Source!$C36), IF(Source!$G36=COLUMNS($A36:G36), G35&amp;RIGHT(INDIRECT(ADDRESS(ROW(G36)-1, Source!$E36)), Source!$C36), G35))</f>
        <v>L</v>
      </c>
      <c r="H36" s="2" t="str">
        <f>IF(Source!$E36=COLUMNS($A36:H36), LEFT(H35, LEN(H35)-Source!$C36), IF(Source!$G36=COLUMNS($A36:H36), H35&amp;RIGHT(INDIRECT(ADDRESS(ROW(H36)-1, Source!$E36)), Source!$C36), H35))</f>
        <v>JLWGZJHRBTCD</v>
      </c>
      <c r="I36" s="2" t="str">
        <f>IF(Source!$E36=COLUMNS($A36:I36), LEFT(I35, LEN(I35)-Source!$C36), IF(Source!$G36=COLUMNS($A36:I36), I35&amp;RIGHT(INDIRECT(ADDRESS(ROW(I36)-1, Source!$E36)), Source!$C36), I35))</f>
        <v/>
      </c>
    </row>
    <row r="37">
      <c r="A37" s="2" t="str">
        <f>IF(Source!$E37=COLUMNS($A37:A37), LEFT(A36, LEN(A36)-Source!$C37), IF(Source!$G37=COLUMNS($A37:A37), A36&amp;RIGHT(INDIRECT(ADDRESS(ROW(A37)-1, Source!$E37)), Source!$C37), A36))</f>
        <v/>
      </c>
      <c r="B37" s="2" t="str">
        <f>IF(Source!$E37=COLUMNS($A37:B37), LEFT(B36, LEN(B36)-Source!$C37), IF(Source!$G37=COLUMNS($A37:B37), B36&amp;RIGHT(INDIRECT(ADDRESS(ROW(B37)-1, Source!$E37)), Source!$C37), B36))</f>
        <v>SWRQPDSV</v>
      </c>
      <c r="C37" s="2" t="str">
        <f>IF(Source!$E37=COLUMNS($A37:C37), LEFT(C36, LEN(C36)-Source!$C37), IF(Source!$G37=COLUMNS($A37:C37), C36&amp;RIGHT(INDIRECT(ADDRESS(ROW(C37)-1, Source!$E37)), Source!$C37), C36))</f>
        <v/>
      </c>
      <c r="D37" s="2" t="str">
        <f>IF(Source!$E37=COLUMNS($A37:D37), LEFT(D36, LEN(D36)-Source!$C37), IF(Source!$G37=COLUMNS($A37:D37), D36&amp;RIGHT(INDIRECT(ADDRESS(ROW(D37)-1, Source!$E37)), Source!$C37), D36))</f>
        <v>DTCHSPVTMDBDZLTQ</v>
      </c>
      <c r="E37" s="2" t="str">
        <f>IF(Source!$E37=COLUMNS($A37:E37), LEFT(E36, LEN(E36)-Source!$C37), IF(Source!$G37=COLUMNS($A37:E37), E36&amp;RIGHT(INDIRECT(ADDRESS(ROW(E37)-1, Source!$E37)), Source!$C37), E36))</f>
        <v>GPSCRZTDJMF</v>
      </c>
      <c r="F37" s="2" t="str">
        <f>IF(Source!$E37=COLUMNS($A37:F37), LEFT(F36, LEN(F36)-Source!$C37), IF(Source!$G37=COLUMNS($A37:F37), F36&amp;RIGHT(INDIRECT(ADDRESS(ROW(F37)-1, Source!$E37)), Source!$C37), F36))</f>
        <v>FBVMBTRR</v>
      </c>
      <c r="G37" s="2" t="str">
        <f>IF(Source!$E37=COLUMNS($A37:G37), LEFT(G36, LEN(G36)-Source!$C37), IF(Source!$G37=COLUMNS($A37:G37), G36&amp;RIGHT(INDIRECT(ADDRESS(ROW(G37)-1, Source!$E37)), Source!$C37), G36))</f>
        <v>L</v>
      </c>
      <c r="H37" s="2" t="str">
        <f>IF(Source!$E37=COLUMNS($A37:H37), LEFT(H36, LEN(H36)-Source!$C37), IF(Source!$G37=COLUMNS($A37:H37), H36&amp;RIGHT(INDIRECT(ADDRESS(ROW(H37)-1, Source!$E37)), Source!$C37), H36))</f>
        <v>JLWGZJHRBTCD</v>
      </c>
      <c r="I37" s="2" t="str">
        <f>IF(Source!$E37=COLUMNS($A37:I37), LEFT(I36, LEN(I36)-Source!$C37), IF(Source!$G37=COLUMNS($A37:I37), I36&amp;RIGHT(INDIRECT(ADDRESS(ROW(I37)-1, Source!$E37)), Source!$C37), I36))</f>
        <v/>
      </c>
    </row>
    <row r="38">
      <c r="A38" s="2" t="str">
        <f>IF(Source!$E38=COLUMNS($A38:A38), LEFT(A37, LEN(A37)-Source!$C38), IF(Source!$G38=COLUMNS($A38:A38), A37&amp;RIGHT(INDIRECT(ADDRESS(ROW(A38)-1, Source!$E38)), Source!$C38), A37))</f>
        <v>WGZJHRBTCD</v>
      </c>
      <c r="B38" s="2" t="str">
        <f>IF(Source!$E38=COLUMNS($A38:B38), LEFT(B37, LEN(B37)-Source!$C38), IF(Source!$G38=COLUMNS($A38:B38), B37&amp;RIGHT(INDIRECT(ADDRESS(ROW(B38)-1, Source!$E38)), Source!$C38), B37))</f>
        <v>SWRQPDSV</v>
      </c>
      <c r="C38" s="2" t="str">
        <f>IF(Source!$E38=COLUMNS($A38:C38), LEFT(C37, LEN(C37)-Source!$C38), IF(Source!$G38=COLUMNS($A38:C38), C37&amp;RIGHT(INDIRECT(ADDRESS(ROW(C38)-1, Source!$E38)), Source!$C38), C37))</f>
        <v/>
      </c>
      <c r="D38" s="2" t="str">
        <f>IF(Source!$E38=COLUMNS($A38:D38), LEFT(D37, LEN(D37)-Source!$C38), IF(Source!$G38=COLUMNS($A38:D38), D37&amp;RIGHT(INDIRECT(ADDRESS(ROW(D38)-1, Source!$E38)), Source!$C38), D37))</f>
        <v>DTCHSPVTMDBDZLTQ</v>
      </c>
      <c r="E38" s="2" t="str">
        <f>IF(Source!$E38=COLUMNS($A38:E38), LEFT(E37, LEN(E37)-Source!$C38), IF(Source!$G38=COLUMNS($A38:E38), E37&amp;RIGHT(INDIRECT(ADDRESS(ROW(E38)-1, Source!$E38)), Source!$C38), E37))</f>
        <v>GPSCRZTDJMF</v>
      </c>
      <c r="F38" s="2" t="str">
        <f>IF(Source!$E38=COLUMNS($A38:F38), LEFT(F37, LEN(F37)-Source!$C38), IF(Source!$G38=COLUMNS($A38:F38), F37&amp;RIGHT(INDIRECT(ADDRESS(ROW(F38)-1, Source!$E38)), Source!$C38), F37))</f>
        <v>FBVMBTRR</v>
      </c>
      <c r="G38" s="2" t="str">
        <f>IF(Source!$E38=COLUMNS($A38:G38), LEFT(G37, LEN(G37)-Source!$C38), IF(Source!$G38=COLUMNS($A38:G38), G37&amp;RIGHT(INDIRECT(ADDRESS(ROW(G38)-1, Source!$E38)), Source!$C38), G37))</f>
        <v>L</v>
      </c>
      <c r="H38" s="2" t="str">
        <f>IF(Source!$E38=COLUMNS($A38:H38), LEFT(H37, LEN(H37)-Source!$C38), IF(Source!$G38=COLUMNS($A38:H38), H37&amp;RIGHT(INDIRECT(ADDRESS(ROW(H38)-1, Source!$E38)), Source!$C38), H37))</f>
        <v>JL</v>
      </c>
      <c r="I38" s="2" t="str">
        <f>IF(Source!$E38=COLUMNS($A38:I38), LEFT(I37, LEN(I37)-Source!$C38), IF(Source!$G38=COLUMNS($A38:I38), I37&amp;RIGHT(INDIRECT(ADDRESS(ROW(I38)-1, Source!$E38)), Source!$C38), I37))</f>
        <v/>
      </c>
    </row>
    <row r="39">
      <c r="A39" s="2" t="str">
        <f>IF(Source!$E39=COLUMNS($A39:A39), LEFT(A38, LEN(A38)-Source!$C39), IF(Source!$G39=COLUMNS($A39:A39), A38&amp;RIGHT(INDIRECT(ADDRESS(ROW(A39)-1, Source!$E39)), Source!$C39), A38))</f>
        <v>WGZJHRBTCD</v>
      </c>
      <c r="B39" s="2" t="str">
        <f>IF(Source!$E39=COLUMNS($A39:B39), LEFT(B38, LEN(B38)-Source!$C39), IF(Source!$G39=COLUMNS($A39:B39), B38&amp;RIGHT(INDIRECT(ADDRESS(ROW(B39)-1, Source!$E39)), Source!$C39), B38))</f>
        <v>SWRQPDSV</v>
      </c>
      <c r="C39" s="2" t="str">
        <f>IF(Source!$E39=COLUMNS($A39:C39), LEFT(C38, LEN(C38)-Source!$C39), IF(Source!$G39=COLUMNS($A39:C39), C38&amp;RIGHT(INDIRECT(ADDRESS(ROW(C39)-1, Source!$E39)), Source!$C39), C38))</f>
        <v/>
      </c>
      <c r="D39" s="2" t="str">
        <f>IF(Source!$E39=COLUMNS($A39:D39), LEFT(D38, LEN(D38)-Source!$C39), IF(Source!$G39=COLUMNS($A39:D39), D38&amp;RIGHT(INDIRECT(ADDRESS(ROW(D39)-1, Source!$E39)), Source!$C39), D38))</f>
        <v>DTCHSPVTMDBDZLTQ</v>
      </c>
      <c r="E39" s="2" t="str">
        <f>IF(Source!$E39=COLUMNS($A39:E39), LEFT(E38, LEN(E38)-Source!$C39), IF(Source!$G39=COLUMNS($A39:E39), E38&amp;RIGHT(INDIRECT(ADDRESS(ROW(E39)-1, Source!$E39)), Source!$C39), E38))</f>
        <v>GPSCRZTDJMF</v>
      </c>
      <c r="F39" s="2" t="str">
        <f>IF(Source!$E39=COLUMNS($A39:F39), LEFT(F38, LEN(F38)-Source!$C39), IF(Source!$G39=COLUMNS($A39:F39), F38&amp;RIGHT(INDIRECT(ADDRESS(ROW(F39)-1, Source!$E39)), Source!$C39), F38))</f>
        <v>FBVMBTRRL</v>
      </c>
      <c r="G39" s="2" t="str">
        <f>IF(Source!$E39=COLUMNS($A39:G39), LEFT(G38, LEN(G38)-Source!$C39), IF(Source!$G39=COLUMNS($A39:G39), G38&amp;RIGHT(INDIRECT(ADDRESS(ROW(G39)-1, Source!$E39)), Source!$C39), G38))</f>
        <v>L</v>
      </c>
      <c r="H39" s="2" t="str">
        <f>IF(Source!$E39=COLUMNS($A39:H39), LEFT(H38, LEN(H38)-Source!$C39), IF(Source!$G39=COLUMNS($A39:H39), H38&amp;RIGHT(INDIRECT(ADDRESS(ROW(H39)-1, Source!$E39)), Source!$C39), H38))</f>
        <v>J</v>
      </c>
      <c r="I39" s="2" t="str">
        <f>IF(Source!$E39=COLUMNS($A39:I39), LEFT(I38, LEN(I38)-Source!$C39), IF(Source!$G39=COLUMNS($A39:I39), I38&amp;RIGHT(INDIRECT(ADDRESS(ROW(I39)-1, Source!$E39)), Source!$C39), I38))</f>
        <v/>
      </c>
    </row>
    <row r="40">
      <c r="A40" s="2" t="str">
        <f>IF(Source!$E40=COLUMNS($A40:A40), LEFT(A39, LEN(A39)-Source!$C40), IF(Source!$G40=COLUMNS($A40:A40), A39&amp;RIGHT(INDIRECT(ADDRESS(ROW(A40)-1, Source!$E40)), Source!$C40), A39))</f>
        <v>WGZJHRBTCD</v>
      </c>
      <c r="B40" s="2" t="str">
        <f>IF(Source!$E40=COLUMNS($A40:B40), LEFT(B39, LEN(B39)-Source!$C40), IF(Source!$G40=COLUMNS($A40:B40), B39&amp;RIGHT(INDIRECT(ADDRESS(ROW(B40)-1, Source!$E40)), Source!$C40), B39))</f>
        <v>SW</v>
      </c>
      <c r="C40" s="2" t="str">
        <f>IF(Source!$E40=COLUMNS($A40:C40), LEFT(C39, LEN(C39)-Source!$C40), IF(Source!$G40=COLUMNS($A40:C40), C39&amp;RIGHT(INDIRECT(ADDRESS(ROW(C40)-1, Source!$E40)), Source!$C40), C39))</f>
        <v/>
      </c>
      <c r="D40" s="2" t="str">
        <f>IF(Source!$E40=COLUMNS($A40:D40), LEFT(D39, LEN(D39)-Source!$C40), IF(Source!$G40=COLUMNS($A40:D40), D39&amp;RIGHT(INDIRECT(ADDRESS(ROW(D40)-1, Source!$E40)), Source!$C40), D39))</f>
        <v>DTCHSPVTMDBDZLTQRQPDSV</v>
      </c>
      <c r="E40" s="2" t="str">
        <f>IF(Source!$E40=COLUMNS($A40:E40), LEFT(E39, LEN(E39)-Source!$C40), IF(Source!$G40=COLUMNS($A40:E40), E39&amp;RIGHT(INDIRECT(ADDRESS(ROW(E40)-1, Source!$E40)), Source!$C40), E39))</f>
        <v>GPSCRZTDJMF</v>
      </c>
      <c r="F40" s="2" t="str">
        <f>IF(Source!$E40=COLUMNS($A40:F40), LEFT(F39, LEN(F39)-Source!$C40), IF(Source!$G40=COLUMNS($A40:F40), F39&amp;RIGHT(INDIRECT(ADDRESS(ROW(F40)-1, Source!$E40)), Source!$C40), F39))</f>
        <v>FBVMBTRRL</v>
      </c>
      <c r="G40" s="2" t="str">
        <f>IF(Source!$E40=COLUMNS($A40:G40), LEFT(G39, LEN(G39)-Source!$C40), IF(Source!$G40=COLUMNS($A40:G40), G39&amp;RIGHT(INDIRECT(ADDRESS(ROW(G40)-1, Source!$E40)), Source!$C40), G39))</f>
        <v>L</v>
      </c>
      <c r="H40" s="2" t="str">
        <f>IF(Source!$E40=COLUMNS($A40:H40), LEFT(H39, LEN(H39)-Source!$C40), IF(Source!$G40=COLUMNS($A40:H40), H39&amp;RIGHT(INDIRECT(ADDRESS(ROW(H40)-1, Source!$E40)), Source!$C40), H39))</f>
        <v>J</v>
      </c>
      <c r="I40" s="2" t="str">
        <f>IF(Source!$E40=COLUMNS($A40:I40), LEFT(I39, LEN(I39)-Source!$C40), IF(Source!$G40=COLUMNS($A40:I40), I39&amp;RIGHT(INDIRECT(ADDRESS(ROW(I40)-1, Source!$E40)), Source!$C40), I39))</f>
        <v/>
      </c>
    </row>
    <row r="41">
      <c r="A41" s="2" t="str">
        <f>IF(Source!$E41=COLUMNS($A41:A41), LEFT(A40, LEN(A40)-Source!$C41), IF(Source!$G41=COLUMNS($A41:A41), A40&amp;RIGHT(INDIRECT(ADDRESS(ROW(A41)-1, Source!$E41)), Source!$C41), A40))</f>
        <v>WGZJHRBTCD</v>
      </c>
      <c r="B41" s="2" t="str">
        <f>IF(Source!$E41=COLUMNS($A41:B41), LEFT(B40, LEN(B40)-Source!$C41), IF(Source!$G41=COLUMNS($A41:B41), B40&amp;RIGHT(INDIRECT(ADDRESS(ROW(B41)-1, Source!$E41)), Source!$C41), B40))</f>
        <v>SW</v>
      </c>
      <c r="C41" s="2" t="str">
        <f>IF(Source!$E41=COLUMNS($A41:C41), LEFT(C40, LEN(C40)-Source!$C41), IF(Source!$G41=COLUMNS($A41:C41), C40&amp;RIGHT(INDIRECT(ADDRESS(ROW(C41)-1, Source!$E41)), Source!$C41), C40))</f>
        <v/>
      </c>
      <c r="D41" s="2" t="str">
        <f>IF(Source!$E41=COLUMNS($A41:D41), LEFT(D40, LEN(D40)-Source!$C41), IF(Source!$G41=COLUMNS($A41:D41), D40&amp;RIGHT(INDIRECT(ADDRESS(ROW(D41)-1, Source!$E41)), Source!$C41), D40))</f>
        <v>DTCHSPVTMDBDZLTQRQPDSV</v>
      </c>
      <c r="E41" s="2" t="str">
        <f>IF(Source!$E41=COLUMNS($A41:E41), LEFT(E40, LEN(E40)-Source!$C41), IF(Source!$G41=COLUMNS($A41:E41), E40&amp;RIGHT(INDIRECT(ADDRESS(ROW(E41)-1, Source!$E41)), Source!$C41), E40))</f>
        <v>GPSCRZTDJM</v>
      </c>
      <c r="F41" s="2" t="str">
        <f>IF(Source!$E41=COLUMNS($A41:F41), LEFT(F40, LEN(F40)-Source!$C41), IF(Source!$G41=COLUMNS($A41:F41), F40&amp;RIGHT(INDIRECT(ADDRESS(ROW(F41)-1, Source!$E41)), Source!$C41), F40))</f>
        <v>FBVMBTRRL</v>
      </c>
      <c r="G41" s="2" t="str">
        <f>IF(Source!$E41=COLUMNS($A41:G41), LEFT(G40, LEN(G40)-Source!$C41), IF(Source!$G41=COLUMNS($A41:G41), G40&amp;RIGHT(INDIRECT(ADDRESS(ROW(G41)-1, Source!$E41)), Source!$C41), G40))</f>
        <v>L</v>
      </c>
      <c r="H41" s="2" t="str">
        <f>IF(Source!$E41=COLUMNS($A41:H41), LEFT(H40, LEN(H40)-Source!$C41), IF(Source!$G41=COLUMNS($A41:H41), H40&amp;RIGHT(INDIRECT(ADDRESS(ROW(H41)-1, Source!$E41)), Source!$C41), H40))</f>
        <v>JF</v>
      </c>
      <c r="I41" s="2" t="str">
        <f>IF(Source!$E41=COLUMNS($A41:I41), LEFT(I40, LEN(I40)-Source!$C41), IF(Source!$G41=COLUMNS($A41:I41), I40&amp;RIGHT(INDIRECT(ADDRESS(ROW(I41)-1, Source!$E41)), Source!$C41), I40))</f>
        <v/>
      </c>
    </row>
    <row r="42">
      <c r="A42" s="2" t="str">
        <f>IF(Source!$E42=COLUMNS($A42:A42), LEFT(A41, LEN(A41)-Source!$C42), IF(Source!$G42=COLUMNS($A42:A42), A41&amp;RIGHT(INDIRECT(ADDRESS(ROW(A42)-1, Source!$E42)), Source!$C42), A41))</f>
        <v>WGZJHRBTCD</v>
      </c>
      <c r="B42" s="2" t="str">
        <f>IF(Source!$E42=COLUMNS($A42:B42), LEFT(B41, LEN(B41)-Source!$C42), IF(Source!$G42=COLUMNS($A42:B42), B41&amp;RIGHT(INDIRECT(ADDRESS(ROW(B42)-1, Source!$E42)), Source!$C42), B41))</f>
        <v>SW</v>
      </c>
      <c r="C42" s="2" t="str">
        <f>IF(Source!$E42=COLUMNS($A42:C42), LEFT(C41, LEN(C41)-Source!$C42), IF(Source!$G42=COLUMNS($A42:C42), C41&amp;RIGHT(INDIRECT(ADDRESS(ROW(C42)-1, Source!$E42)), Source!$C42), C41))</f>
        <v>BTRRL</v>
      </c>
      <c r="D42" s="2" t="str">
        <f>IF(Source!$E42=COLUMNS($A42:D42), LEFT(D41, LEN(D41)-Source!$C42), IF(Source!$G42=COLUMNS($A42:D42), D41&amp;RIGHT(INDIRECT(ADDRESS(ROW(D42)-1, Source!$E42)), Source!$C42), D41))</f>
        <v>DTCHSPVTMDBDZLTQRQPDSV</v>
      </c>
      <c r="E42" s="2" t="str">
        <f>IF(Source!$E42=COLUMNS($A42:E42), LEFT(E41, LEN(E41)-Source!$C42), IF(Source!$G42=COLUMNS($A42:E42), E41&amp;RIGHT(INDIRECT(ADDRESS(ROW(E42)-1, Source!$E42)), Source!$C42), E41))</f>
        <v>GPSCRZTDJM</v>
      </c>
      <c r="F42" s="2" t="str">
        <f>IF(Source!$E42=COLUMNS($A42:F42), LEFT(F41, LEN(F41)-Source!$C42), IF(Source!$G42=COLUMNS($A42:F42), F41&amp;RIGHT(INDIRECT(ADDRESS(ROW(F42)-1, Source!$E42)), Source!$C42), F41))</f>
        <v>FBVM</v>
      </c>
      <c r="G42" s="2" t="str">
        <f>IF(Source!$E42=COLUMNS($A42:G42), LEFT(G41, LEN(G41)-Source!$C42), IF(Source!$G42=COLUMNS($A42:G42), G41&amp;RIGHT(INDIRECT(ADDRESS(ROW(G42)-1, Source!$E42)), Source!$C42), G41))</f>
        <v>L</v>
      </c>
      <c r="H42" s="2" t="str">
        <f>IF(Source!$E42=COLUMNS($A42:H42), LEFT(H41, LEN(H41)-Source!$C42), IF(Source!$G42=COLUMNS($A42:H42), H41&amp;RIGHT(INDIRECT(ADDRESS(ROW(H42)-1, Source!$E42)), Source!$C42), H41))</f>
        <v>JF</v>
      </c>
      <c r="I42" s="2" t="str">
        <f>IF(Source!$E42=COLUMNS($A42:I42), LEFT(I41, LEN(I41)-Source!$C42), IF(Source!$G42=COLUMNS($A42:I42), I41&amp;RIGHT(INDIRECT(ADDRESS(ROW(I42)-1, Source!$E42)), Source!$C42), I41))</f>
        <v/>
      </c>
    </row>
    <row r="43">
      <c r="A43" s="2" t="str">
        <f>IF(Source!$E43=COLUMNS($A43:A43), LEFT(A42, LEN(A42)-Source!$C43), IF(Source!$G43=COLUMNS($A43:A43), A42&amp;RIGHT(INDIRECT(ADDRESS(ROW(A43)-1, Source!$E43)), Source!$C43), A42))</f>
        <v>WGZJHRBTCD</v>
      </c>
      <c r="B43" s="2" t="str">
        <f>IF(Source!$E43=COLUMNS($A43:B43), LEFT(B42, LEN(B42)-Source!$C43), IF(Source!$G43=COLUMNS($A43:B43), B42&amp;RIGHT(INDIRECT(ADDRESS(ROW(B43)-1, Source!$E43)), Source!$C43), B42))</f>
        <v>SW</v>
      </c>
      <c r="C43" s="2" t="str">
        <f>IF(Source!$E43=COLUMNS($A43:C43), LEFT(C42, LEN(C42)-Source!$C43), IF(Source!$G43=COLUMNS($A43:C43), C42&amp;RIGHT(INDIRECT(ADDRESS(ROW(C43)-1, Source!$E43)), Source!$C43), C42))</f>
        <v>BTRRL</v>
      </c>
      <c r="D43" s="2" t="str">
        <f>IF(Source!$E43=COLUMNS($A43:D43), LEFT(D42, LEN(D42)-Source!$C43), IF(Source!$G43=COLUMNS($A43:D43), D42&amp;RIGHT(INDIRECT(ADDRESS(ROW(D43)-1, Source!$E43)), Source!$C43), D42))</f>
        <v>DTCHSPVTMDBDZLTQRQPDSV</v>
      </c>
      <c r="E43" s="2" t="str">
        <f>IF(Source!$E43=COLUMNS($A43:E43), LEFT(E42, LEN(E42)-Source!$C43), IF(Source!$G43=COLUMNS($A43:E43), E42&amp;RIGHT(INDIRECT(ADDRESS(ROW(E43)-1, Source!$E43)), Source!$C43), E42))</f>
        <v>GPSCRZTDJM</v>
      </c>
      <c r="F43" s="2" t="str">
        <f>IF(Source!$E43=COLUMNS($A43:F43), LEFT(F42, LEN(F42)-Source!$C43), IF(Source!$G43=COLUMNS($A43:F43), F42&amp;RIGHT(INDIRECT(ADDRESS(ROW(F43)-1, Source!$E43)), Source!$C43), F42))</f>
        <v>FBVMJF</v>
      </c>
      <c r="G43" s="2" t="str">
        <f>IF(Source!$E43=COLUMNS($A43:G43), LEFT(G42, LEN(G42)-Source!$C43), IF(Source!$G43=COLUMNS($A43:G43), G42&amp;RIGHT(INDIRECT(ADDRESS(ROW(G43)-1, Source!$E43)), Source!$C43), G42))</f>
        <v>L</v>
      </c>
      <c r="H43" s="2" t="str">
        <f>IF(Source!$E43=COLUMNS($A43:H43), LEFT(H42, LEN(H42)-Source!$C43), IF(Source!$G43=COLUMNS($A43:H43), H42&amp;RIGHT(INDIRECT(ADDRESS(ROW(H43)-1, Source!$E43)), Source!$C43), H42))</f>
        <v/>
      </c>
      <c r="I43" s="2" t="str">
        <f>IF(Source!$E43=COLUMNS($A43:I43), LEFT(I42, LEN(I42)-Source!$C43), IF(Source!$G43=COLUMNS($A43:I43), I42&amp;RIGHT(INDIRECT(ADDRESS(ROW(I43)-1, Source!$E43)), Source!$C43), I42))</f>
        <v/>
      </c>
    </row>
    <row r="44">
      <c r="A44" s="2" t="str">
        <f>IF(Source!$E44=COLUMNS($A44:A44), LEFT(A43, LEN(A43)-Source!$C44), IF(Source!$G44=COLUMNS($A44:A44), A43&amp;RIGHT(INDIRECT(ADDRESS(ROW(A44)-1, Source!$E44)), Source!$C44), A43))</f>
        <v>WGZJHRBTCD</v>
      </c>
      <c r="B44" s="2" t="str">
        <f>IF(Source!$E44=COLUMNS($A44:B44), LEFT(B43, LEN(B43)-Source!$C44), IF(Source!$G44=COLUMNS($A44:B44), B43&amp;RIGHT(INDIRECT(ADDRESS(ROW(B44)-1, Source!$E44)), Source!$C44), B43))</f>
        <v>SW</v>
      </c>
      <c r="C44" s="2" t="str">
        <f>IF(Source!$E44=COLUMNS($A44:C44), LEFT(C43, LEN(C43)-Source!$C44), IF(Source!$G44=COLUMNS($A44:C44), C43&amp;RIGHT(INDIRECT(ADDRESS(ROW(C44)-1, Source!$E44)), Source!$C44), C43))</f>
        <v>BTRRL</v>
      </c>
      <c r="D44" s="2" t="str">
        <f>IF(Source!$E44=COLUMNS($A44:D44), LEFT(D43, LEN(D43)-Source!$C44), IF(Source!$G44=COLUMNS($A44:D44), D43&amp;RIGHT(INDIRECT(ADDRESS(ROW(D44)-1, Source!$E44)), Source!$C44), D43))</f>
        <v>DTCHSPVTMDBDZLTQRQPDSV</v>
      </c>
      <c r="E44" s="2" t="str">
        <f>IF(Source!$E44=COLUMNS($A44:E44), LEFT(E43, LEN(E43)-Source!$C44), IF(Source!$G44=COLUMNS($A44:E44), E43&amp;RIGHT(INDIRECT(ADDRESS(ROW(E44)-1, Source!$E44)), Source!$C44), E43))</f>
        <v>GPSCRZTDJM</v>
      </c>
      <c r="F44" s="2" t="str">
        <f>IF(Source!$E44=COLUMNS($A44:F44), LEFT(F43, LEN(F43)-Source!$C44), IF(Source!$G44=COLUMNS($A44:F44), F43&amp;RIGHT(INDIRECT(ADDRESS(ROW(F44)-1, Source!$E44)), Source!$C44), F43))</f>
        <v>FBVMJF</v>
      </c>
      <c r="G44" s="2" t="str">
        <f>IF(Source!$E44=COLUMNS($A44:G44), LEFT(G43, LEN(G43)-Source!$C44), IF(Source!$G44=COLUMNS($A44:G44), G43&amp;RIGHT(INDIRECT(ADDRESS(ROW(G44)-1, Source!$E44)), Source!$C44), G43))</f>
        <v/>
      </c>
      <c r="H44" s="2" t="str">
        <f>IF(Source!$E44=COLUMNS($A44:H44), LEFT(H43, LEN(H43)-Source!$C44), IF(Source!$G44=COLUMNS($A44:H44), H43&amp;RIGHT(INDIRECT(ADDRESS(ROW(H44)-1, Source!$E44)), Source!$C44), H43))</f>
        <v/>
      </c>
      <c r="I44" s="2" t="str">
        <f>IF(Source!$E44=COLUMNS($A44:I44), LEFT(I43, LEN(I43)-Source!$C44), IF(Source!$G44=COLUMNS($A44:I44), I43&amp;RIGHT(INDIRECT(ADDRESS(ROW(I44)-1, Source!$E44)), Source!$C44), I43))</f>
        <v>L</v>
      </c>
    </row>
    <row r="45">
      <c r="A45" s="2" t="str">
        <f>IF(Source!$E45=COLUMNS($A45:A45), LEFT(A44, LEN(A44)-Source!$C45), IF(Source!$G45=COLUMNS($A45:A45), A44&amp;RIGHT(INDIRECT(ADDRESS(ROW(A45)-1, Source!$E45)), Source!$C45), A44))</f>
        <v>WGZJHRBTCD</v>
      </c>
      <c r="B45" s="2" t="str">
        <f>IF(Source!$E45=COLUMNS($A45:B45), LEFT(B44, LEN(B44)-Source!$C45), IF(Source!$G45=COLUMNS($A45:B45), B44&amp;RIGHT(INDIRECT(ADDRESS(ROW(B45)-1, Source!$E45)), Source!$C45), B44))</f>
        <v/>
      </c>
      <c r="C45" s="2" t="str">
        <f>IF(Source!$E45=COLUMNS($A45:C45), LEFT(C44, LEN(C44)-Source!$C45), IF(Source!$G45=COLUMNS($A45:C45), C44&amp;RIGHT(INDIRECT(ADDRESS(ROW(C45)-1, Source!$E45)), Source!$C45), C44))</f>
        <v>BTRRL</v>
      </c>
      <c r="D45" s="2" t="str">
        <f>IF(Source!$E45=COLUMNS($A45:D45), LEFT(D44, LEN(D44)-Source!$C45), IF(Source!$G45=COLUMNS($A45:D45), D44&amp;RIGHT(INDIRECT(ADDRESS(ROW(D45)-1, Source!$E45)), Source!$C45), D44))</f>
        <v>DTCHSPVTMDBDZLTQRQPDSV</v>
      </c>
      <c r="E45" s="2" t="str">
        <f>IF(Source!$E45=COLUMNS($A45:E45), LEFT(E44, LEN(E44)-Source!$C45), IF(Source!$G45=COLUMNS($A45:E45), E44&amp;RIGHT(INDIRECT(ADDRESS(ROW(E45)-1, Source!$E45)), Source!$C45), E44))</f>
        <v>GPSCRZTDJM</v>
      </c>
      <c r="F45" s="2" t="str">
        <f>IF(Source!$E45=COLUMNS($A45:F45), LEFT(F44, LEN(F44)-Source!$C45), IF(Source!$G45=COLUMNS($A45:F45), F44&amp;RIGHT(INDIRECT(ADDRESS(ROW(F45)-1, Source!$E45)), Source!$C45), F44))</f>
        <v>FBVMJF</v>
      </c>
      <c r="G45" s="2" t="str">
        <f>IF(Source!$E45=COLUMNS($A45:G45), LEFT(G44, LEN(G44)-Source!$C45), IF(Source!$G45=COLUMNS($A45:G45), G44&amp;RIGHT(INDIRECT(ADDRESS(ROW(G45)-1, Source!$E45)), Source!$C45), G44))</f>
        <v>SW</v>
      </c>
      <c r="H45" s="2" t="str">
        <f>IF(Source!$E45=COLUMNS($A45:H45), LEFT(H44, LEN(H44)-Source!$C45), IF(Source!$G45=COLUMNS($A45:H45), H44&amp;RIGHT(INDIRECT(ADDRESS(ROW(H45)-1, Source!$E45)), Source!$C45), H44))</f>
        <v/>
      </c>
      <c r="I45" s="2" t="str">
        <f>IF(Source!$E45=COLUMNS($A45:I45), LEFT(I44, LEN(I44)-Source!$C45), IF(Source!$G45=COLUMNS($A45:I45), I44&amp;RIGHT(INDIRECT(ADDRESS(ROW(I45)-1, Source!$E45)), Source!$C45), I44))</f>
        <v>L</v>
      </c>
    </row>
    <row r="46">
      <c r="A46" s="2" t="str">
        <f>IF(Source!$E46=COLUMNS($A46:A46), LEFT(A45, LEN(A45)-Source!$C46), IF(Source!$G46=COLUMNS($A46:A46), A45&amp;RIGHT(INDIRECT(ADDRESS(ROW(A46)-1, Source!$E46)), Source!$C46), A45))</f>
        <v>WGZJHRBTCDDJM</v>
      </c>
      <c r="B46" s="2" t="str">
        <f>IF(Source!$E46=COLUMNS($A46:B46), LEFT(B45, LEN(B45)-Source!$C46), IF(Source!$G46=COLUMNS($A46:B46), B45&amp;RIGHT(INDIRECT(ADDRESS(ROW(B46)-1, Source!$E46)), Source!$C46), B45))</f>
        <v/>
      </c>
      <c r="C46" s="2" t="str">
        <f>IF(Source!$E46=COLUMNS($A46:C46), LEFT(C45, LEN(C45)-Source!$C46), IF(Source!$G46=COLUMNS($A46:C46), C45&amp;RIGHT(INDIRECT(ADDRESS(ROW(C46)-1, Source!$E46)), Source!$C46), C45))</f>
        <v>BTRRL</v>
      </c>
      <c r="D46" s="2" t="str">
        <f>IF(Source!$E46=COLUMNS($A46:D46), LEFT(D45, LEN(D45)-Source!$C46), IF(Source!$G46=COLUMNS($A46:D46), D45&amp;RIGHT(INDIRECT(ADDRESS(ROW(D46)-1, Source!$E46)), Source!$C46), D45))</f>
        <v>DTCHSPVTMDBDZLTQRQPDSV</v>
      </c>
      <c r="E46" s="2" t="str">
        <f>IF(Source!$E46=COLUMNS($A46:E46), LEFT(E45, LEN(E45)-Source!$C46), IF(Source!$G46=COLUMNS($A46:E46), E45&amp;RIGHT(INDIRECT(ADDRESS(ROW(E46)-1, Source!$E46)), Source!$C46), E45))</f>
        <v>GPSCRZT</v>
      </c>
      <c r="F46" s="2" t="str">
        <f>IF(Source!$E46=COLUMNS($A46:F46), LEFT(F45, LEN(F45)-Source!$C46), IF(Source!$G46=COLUMNS($A46:F46), F45&amp;RIGHT(INDIRECT(ADDRESS(ROW(F46)-1, Source!$E46)), Source!$C46), F45))</f>
        <v>FBVMJF</v>
      </c>
      <c r="G46" s="2" t="str">
        <f>IF(Source!$E46=COLUMNS($A46:G46), LEFT(G45, LEN(G45)-Source!$C46), IF(Source!$G46=COLUMNS($A46:G46), G45&amp;RIGHT(INDIRECT(ADDRESS(ROW(G46)-1, Source!$E46)), Source!$C46), G45))</f>
        <v>SW</v>
      </c>
      <c r="H46" s="2" t="str">
        <f>IF(Source!$E46=COLUMNS($A46:H46), LEFT(H45, LEN(H45)-Source!$C46), IF(Source!$G46=COLUMNS($A46:H46), H45&amp;RIGHT(INDIRECT(ADDRESS(ROW(H46)-1, Source!$E46)), Source!$C46), H45))</f>
        <v/>
      </c>
      <c r="I46" s="2" t="str">
        <f>IF(Source!$E46=COLUMNS($A46:I46), LEFT(I45, LEN(I45)-Source!$C46), IF(Source!$G46=COLUMNS($A46:I46), I45&amp;RIGHT(INDIRECT(ADDRESS(ROW(I46)-1, Source!$E46)), Source!$C46), I45))</f>
        <v>L</v>
      </c>
    </row>
    <row r="47">
      <c r="A47" s="2" t="str">
        <f>IF(Source!$E47=COLUMNS($A47:A47), LEFT(A46, LEN(A46)-Source!$C47), IF(Source!$G47=COLUMNS($A47:A47), A46&amp;RIGHT(INDIRECT(ADDRESS(ROW(A47)-1, Source!$E47)), Source!$C47), A46))</f>
        <v>WGZJHRBTCDDJM</v>
      </c>
      <c r="B47" s="2" t="str">
        <f>IF(Source!$E47=COLUMNS($A47:B47), LEFT(B46, LEN(B46)-Source!$C47), IF(Source!$G47=COLUMNS($A47:B47), B46&amp;RIGHT(INDIRECT(ADDRESS(ROW(B47)-1, Source!$E47)), Source!$C47), B46))</f>
        <v>SW</v>
      </c>
      <c r="C47" s="2" t="str">
        <f>IF(Source!$E47=COLUMNS($A47:C47), LEFT(C46, LEN(C46)-Source!$C47), IF(Source!$G47=COLUMNS($A47:C47), C46&amp;RIGHT(INDIRECT(ADDRESS(ROW(C47)-1, Source!$E47)), Source!$C47), C46))</f>
        <v>BTRRL</v>
      </c>
      <c r="D47" s="2" t="str">
        <f>IF(Source!$E47=COLUMNS($A47:D47), LEFT(D46, LEN(D46)-Source!$C47), IF(Source!$G47=COLUMNS($A47:D47), D46&amp;RIGHT(INDIRECT(ADDRESS(ROW(D47)-1, Source!$E47)), Source!$C47), D46))</f>
        <v>DTCHSPVTMDBDZLTQRQPDSV</v>
      </c>
      <c r="E47" s="2" t="str">
        <f>IF(Source!$E47=COLUMNS($A47:E47), LEFT(E46, LEN(E46)-Source!$C47), IF(Source!$G47=COLUMNS($A47:E47), E46&amp;RIGHT(INDIRECT(ADDRESS(ROW(E47)-1, Source!$E47)), Source!$C47), E46))</f>
        <v>GPSCRZT</v>
      </c>
      <c r="F47" s="2" t="str">
        <f>IF(Source!$E47=COLUMNS($A47:F47), LEFT(F46, LEN(F46)-Source!$C47), IF(Source!$G47=COLUMNS($A47:F47), F46&amp;RIGHT(INDIRECT(ADDRESS(ROW(F47)-1, Source!$E47)), Source!$C47), F46))</f>
        <v>FBVMJF</v>
      </c>
      <c r="G47" s="2" t="str">
        <f>IF(Source!$E47=COLUMNS($A47:G47), LEFT(G46, LEN(G46)-Source!$C47), IF(Source!$G47=COLUMNS($A47:G47), G46&amp;RIGHT(INDIRECT(ADDRESS(ROW(G47)-1, Source!$E47)), Source!$C47), G46))</f>
        <v/>
      </c>
      <c r="H47" s="2" t="str">
        <f>IF(Source!$E47=COLUMNS($A47:H47), LEFT(H46, LEN(H46)-Source!$C47), IF(Source!$G47=COLUMNS($A47:H47), H46&amp;RIGHT(INDIRECT(ADDRESS(ROW(H47)-1, Source!$E47)), Source!$C47), H46))</f>
        <v/>
      </c>
      <c r="I47" s="2" t="str">
        <f>IF(Source!$E47=COLUMNS($A47:I47), LEFT(I46, LEN(I46)-Source!$C47), IF(Source!$G47=COLUMNS($A47:I47), I46&amp;RIGHT(INDIRECT(ADDRESS(ROW(I47)-1, Source!$E47)), Source!$C47), I46))</f>
        <v>L</v>
      </c>
    </row>
    <row r="48">
      <c r="A48" s="2" t="str">
        <f>IF(Source!$E48=COLUMNS($A48:A48), LEFT(A47, LEN(A47)-Source!$C48), IF(Source!$G48=COLUMNS($A48:A48), A47&amp;RIGHT(INDIRECT(ADDRESS(ROW(A48)-1, Source!$E48)), Source!$C48), A47))</f>
        <v>WGZJHRBTCDDJM</v>
      </c>
      <c r="B48" s="2" t="str">
        <f>IF(Source!$E48=COLUMNS($A48:B48), LEFT(B47, LEN(B47)-Source!$C48), IF(Source!$G48=COLUMNS($A48:B48), B47&amp;RIGHT(INDIRECT(ADDRESS(ROW(B48)-1, Source!$E48)), Source!$C48), B47))</f>
        <v>SW</v>
      </c>
      <c r="C48" s="2" t="str">
        <f>IF(Source!$E48=COLUMNS($A48:C48), LEFT(C47, LEN(C47)-Source!$C48), IF(Source!$G48=COLUMNS($A48:C48), C47&amp;RIGHT(INDIRECT(ADDRESS(ROW(C48)-1, Source!$E48)), Source!$C48), C47))</f>
        <v>BTRRLFBVMJF</v>
      </c>
      <c r="D48" s="2" t="str">
        <f>IF(Source!$E48=COLUMNS($A48:D48), LEFT(D47, LEN(D47)-Source!$C48), IF(Source!$G48=COLUMNS($A48:D48), D47&amp;RIGHT(INDIRECT(ADDRESS(ROW(D48)-1, Source!$E48)), Source!$C48), D47))</f>
        <v>DTCHSPVTMDBDZLTQRQPDSV</v>
      </c>
      <c r="E48" s="2" t="str">
        <f>IF(Source!$E48=COLUMNS($A48:E48), LEFT(E47, LEN(E47)-Source!$C48), IF(Source!$G48=COLUMNS($A48:E48), E47&amp;RIGHT(INDIRECT(ADDRESS(ROW(E48)-1, Source!$E48)), Source!$C48), E47))</f>
        <v>GPSCRZT</v>
      </c>
      <c r="F48" s="2" t="str">
        <f>IF(Source!$E48=COLUMNS($A48:F48), LEFT(F47, LEN(F47)-Source!$C48), IF(Source!$G48=COLUMNS($A48:F48), F47&amp;RIGHT(INDIRECT(ADDRESS(ROW(F48)-1, Source!$E48)), Source!$C48), F47))</f>
        <v/>
      </c>
      <c r="G48" s="2" t="str">
        <f>IF(Source!$E48=COLUMNS($A48:G48), LEFT(G47, LEN(G47)-Source!$C48), IF(Source!$G48=COLUMNS($A48:G48), G47&amp;RIGHT(INDIRECT(ADDRESS(ROW(G48)-1, Source!$E48)), Source!$C48), G47))</f>
        <v/>
      </c>
      <c r="H48" s="2" t="str">
        <f>IF(Source!$E48=COLUMNS($A48:H48), LEFT(H47, LEN(H47)-Source!$C48), IF(Source!$G48=COLUMNS($A48:H48), H47&amp;RIGHT(INDIRECT(ADDRESS(ROW(H48)-1, Source!$E48)), Source!$C48), H47))</f>
        <v/>
      </c>
      <c r="I48" s="2" t="str">
        <f>IF(Source!$E48=COLUMNS($A48:I48), LEFT(I47, LEN(I47)-Source!$C48), IF(Source!$G48=COLUMNS($A48:I48), I47&amp;RIGHT(INDIRECT(ADDRESS(ROW(I48)-1, Source!$E48)), Source!$C48), I47))</f>
        <v>L</v>
      </c>
    </row>
    <row r="49">
      <c r="A49" s="2" t="str">
        <f>IF(Source!$E49=COLUMNS($A49:A49), LEFT(A48, LEN(A48)-Source!$C49), IF(Source!$G49=COLUMNS($A49:A49), A48&amp;RIGHT(INDIRECT(ADDRESS(ROW(A49)-1, Source!$E49)), Source!$C49), A48))</f>
        <v>WGZJHRBTCDDJM</v>
      </c>
      <c r="B49" s="2" t="str">
        <f>IF(Source!$E49=COLUMNS($A49:B49), LEFT(B48, LEN(B48)-Source!$C49), IF(Source!$G49=COLUMNS($A49:B49), B48&amp;RIGHT(INDIRECT(ADDRESS(ROW(B49)-1, Source!$E49)), Source!$C49), B48))</f>
        <v>SW</v>
      </c>
      <c r="C49" s="2" t="str">
        <f>IF(Source!$E49=COLUMNS($A49:C49), LEFT(C48, LEN(C48)-Source!$C49), IF(Source!$G49=COLUMNS($A49:C49), C48&amp;RIGHT(INDIRECT(ADDRESS(ROW(C49)-1, Source!$E49)), Source!$C49), C48))</f>
        <v>BTRRLFBVMJF</v>
      </c>
      <c r="D49" s="2" t="str">
        <f>IF(Source!$E49=COLUMNS($A49:D49), LEFT(D48, LEN(D48)-Source!$C49), IF(Source!$G49=COLUMNS($A49:D49), D48&amp;RIGHT(INDIRECT(ADDRESS(ROW(D49)-1, Source!$E49)), Source!$C49), D48))</f>
        <v>DTCHSPVTMDBDZLTQRQPDSV</v>
      </c>
      <c r="E49" s="2" t="str">
        <f>IF(Source!$E49=COLUMNS($A49:E49), LEFT(E48, LEN(E48)-Source!$C49), IF(Source!$G49=COLUMNS($A49:E49), E48&amp;RIGHT(INDIRECT(ADDRESS(ROW(E49)-1, Source!$E49)), Source!$C49), E48))</f>
        <v/>
      </c>
      <c r="F49" s="2" t="str">
        <f>IF(Source!$E49=COLUMNS($A49:F49), LEFT(F48, LEN(F48)-Source!$C49), IF(Source!$G49=COLUMNS($A49:F49), F48&amp;RIGHT(INDIRECT(ADDRESS(ROW(F49)-1, Source!$E49)), Source!$C49), F48))</f>
        <v>GPSCRZT</v>
      </c>
      <c r="G49" s="2" t="str">
        <f>IF(Source!$E49=COLUMNS($A49:G49), LEFT(G48, LEN(G48)-Source!$C49), IF(Source!$G49=COLUMNS($A49:G49), G48&amp;RIGHT(INDIRECT(ADDRESS(ROW(G49)-1, Source!$E49)), Source!$C49), G48))</f>
        <v/>
      </c>
      <c r="H49" s="2" t="str">
        <f>IF(Source!$E49=COLUMNS($A49:H49), LEFT(H48, LEN(H48)-Source!$C49), IF(Source!$G49=COLUMNS($A49:H49), H48&amp;RIGHT(INDIRECT(ADDRESS(ROW(H49)-1, Source!$E49)), Source!$C49), H48))</f>
        <v/>
      </c>
      <c r="I49" s="2" t="str">
        <f>IF(Source!$E49=COLUMNS($A49:I49), LEFT(I48, LEN(I48)-Source!$C49), IF(Source!$G49=COLUMNS($A49:I49), I48&amp;RIGHT(INDIRECT(ADDRESS(ROW(I49)-1, Source!$E49)), Source!$C49), I48))</f>
        <v>L</v>
      </c>
    </row>
    <row r="50">
      <c r="A50" s="2" t="str">
        <f>IF(Source!$E50=COLUMNS($A50:A50), LEFT(A49, LEN(A49)-Source!$C50), IF(Source!$G50=COLUMNS($A50:A50), A49&amp;RIGHT(INDIRECT(ADDRESS(ROW(A50)-1, Source!$E50)), Source!$C50), A49))</f>
        <v>WGZJHRBTCDDJM</v>
      </c>
      <c r="B50" s="2" t="str">
        <f>IF(Source!$E50=COLUMNS($A50:B50), LEFT(B49, LEN(B49)-Source!$C50), IF(Source!$G50=COLUMNS($A50:B50), B49&amp;RIGHT(INDIRECT(ADDRESS(ROW(B50)-1, Source!$E50)), Source!$C50), B49))</f>
        <v>SWBVMJF</v>
      </c>
      <c r="C50" s="2" t="str">
        <f>IF(Source!$E50=COLUMNS($A50:C50), LEFT(C49, LEN(C49)-Source!$C50), IF(Source!$G50=COLUMNS($A50:C50), C49&amp;RIGHT(INDIRECT(ADDRESS(ROW(C50)-1, Source!$E50)), Source!$C50), C49))</f>
        <v>BTRRLF</v>
      </c>
      <c r="D50" s="2" t="str">
        <f>IF(Source!$E50=COLUMNS($A50:D50), LEFT(D49, LEN(D49)-Source!$C50), IF(Source!$G50=COLUMNS($A50:D50), D49&amp;RIGHT(INDIRECT(ADDRESS(ROW(D50)-1, Source!$E50)), Source!$C50), D49))</f>
        <v>DTCHSPVTMDBDZLTQRQPDSV</v>
      </c>
      <c r="E50" s="2" t="str">
        <f>IF(Source!$E50=COLUMNS($A50:E50), LEFT(E49, LEN(E49)-Source!$C50), IF(Source!$G50=COLUMNS($A50:E50), E49&amp;RIGHT(INDIRECT(ADDRESS(ROW(E50)-1, Source!$E50)), Source!$C50), E49))</f>
        <v/>
      </c>
      <c r="F50" s="2" t="str">
        <f>IF(Source!$E50=COLUMNS($A50:F50), LEFT(F49, LEN(F49)-Source!$C50), IF(Source!$G50=COLUMNS($A50:F50), F49&amp;RIGHT(INDIRECT(ADDRESS(ROW(F50)-1, Source!$E50)), Source!$C50), F49))</f>
        <v>GPSCRZT</v>
      </c>
      <c r="G50" s="2" t="str">
        <f>IF(Source!$E50=COLUMNS($A50:G50), LEFT(G49, LEN(G49)-Source!$C50), IF(Source!$G50=COLUMNS($A50:G50), G49&amp;RIGHT(INDIRECT(ADDRESS(ROW(G50)-1, Source!$E50)), Source!$C50), G49))</f>
        <v/>
      </c>
      <c r="H50" s="2" t="str">
        <f>IF(Source!$E50=COLUMNS($A50:H50), LEFT(H49, LEN(H49)-Source!$C50), IF(Source!$G50=COLUMNS($A50:H50), H49&amp;RIGHT(INDIRECT(ADDRESS(ROW(H50)-1, Source!$E50)), Source!$C50), H49))</f>
        <v/>
      </c>
      <c r="I50" s="2" t="str">
        <f>IF(Source!$E50=COLUMNS($A50:I50), LEFT(I49, LEN(I49)-Source!$C50), IF(Source!$G50=COLUMNS($A50:I50), I49&amp;RIGHT(INDIRECT(ADDRESS(ROW(I50)-1, Source!$E50)), Source!$C50), I49))</f>
        <v>L</v>
      </c>
    </row>
    <row r="51">
      <c r="A51" s="2" t="str">
        <f>IF(Source!$E51=COLUMNS($A51:A51), LEFT(A50, LEN(A50)-Source!$C51), IF(Source!$G51=COLUMNS($A51:A51), A50&amp;RIGHT(INDIRECT(ADDRESS(ROW(A51)-1, Source!$E51)), Source!$C51), A50))</f>
        <v>WGZ</v>
      </c>
      <c r="B51" s="2" t="str">
        <f>IF(Source!$E51=COLUMNS($A51:B51), LEFT(B50, LEN(B50)-Source!$C51), IF(Source!$G51=COLUMNS($A51:B51), B50&amp;RIGHT(INDIRECT(ADDRESS(ROW(B51)-1, Source!$E51)), Source!$C51), B50))</f>
        <v>SWBVMJF</v>
      </c>
      <c r="C51" s="2" t="str">
        <f>IF(Source!$E51=COLUMNS($A51:C51), LEFT(C50, LEN(C50)-Source!$C51), IF(Source!$G51=COLUMNS($A51:C51), C50&amp;RIGHT(INDIRECT(ADDRESS(ROW(C51)-1, Source!$E51)), Source!$C51), C50))</f>
        <v>BTRRLF</v>
      </c>
      <c r="D51" s="2" t="str">
        <f>IF(Source!$E51=COLUMNS($A51:D51), LEFT(D50, LEN(D50)-Source!$C51), IF(Source!$G51=COLUMNS($A51:D51), D50&amp;RIGHT(INDIRECT(ADDRESS(ROW(D51)-1, Source!$E51)), Source!$C51), D50))</f>
        <v>DTCHSPVTMDBDZLTQRQPDSV</v>
      </c>
      <c r="E51" s="2" t="str">
        <f>IF(Source!$E51=COLUMNS($A51:E51), LEFT(E50, LEN(E50)-Source!$C51), IF(Source!$G51=COLUMNS($A51:E51), E50&amp;RIGHT(INDIRECT(ADDRESS(ROW(E51)-1, Source!$E51)), Source!$C51), E50))</f>
        <v/>
      </c>
      <c r="F51" s="2" t="str">
        <f>IF(Source!$E51=COLUMNS($A51:F51), LEFT(F50, LEN(F50)-Source!$C51), IF(Source!$G51=COLUMNS($A51:F51), F50&amp;RIGHT(INDIRECT(ADDRESS(ROW(F51)-1, Source!$E51)), Source!$C51), F50))</f>
        <v>GPSCRZT</v>
      </c>
      <c r="G51" s="2" t="str">
        <f>IF(Source!$E51=COLUMNS($A51:G51), LEFT(G50, LEN(G50)-Source!$C51), IF(Source!$G51=COLUMNS($A51:G51), G50&amp;RIGHT(INDIRECT(ADDRESS(ROW(G51)-1, Source!$E51)), Source!$C51), G50))</f>
        <v/>
      </c>
      <c r="H51" s="2" t="str">
        <f>IF(Source!$E51=COLUMNS($A51:H51), LEFT(H50, LEN(H50)-Source!$C51), IF(Source!$G51=COLUMNS($A51:H51), H50&amp;RIGHT(INDIRECT(ADDRESS(ROW(H51)-1, Source!$E51)), Source!$C51), H50))</f>
        <v>JHRBTCDDJM</v>
      </c>
      <c r="I51" s="2" t="str">
        <f>IF(Source!$E51=COLUMNS($A51:I51), LEFT(I50, LEN(I50)-Source!$C51), IF(Source!$G51=COLUMNS($A51:I51), I50&amp;RIGHT(INDIRECT(ADDRESS(ROW(I51)-1, Source!$E51)), Source!$C51), I50))</f>
        <v>L</v>
      </c>
    </row>
    <row r="52">
      <c r="A52" s="2" t="str">
        <f>IF(Source!$E52=COLUMNS($A52:A52), LEFT(A51, LEN(A51)-Source!$C52), IF(Source!$G52=COLUMNS($A52:A52), A51&amp;RIGHT(INDIRECT(ADDRESS(ROW(A52)-1, Source!$E52)), Source!$C52), A51))</f>
        <v>W</v>
      </c>
      <c r="B52" s="2" t="str">
        <f>IF(Source!$E52=COLUMNS($A52:B52), LEFT(B51, LEN(B51)-Source!$C52), IF(Source!$G52=COLUMNS($A52:B52), B51&amp;RIGHT(INDIRECT(ADDRESS(ROW(B52)-1, Source!$E52)), Source!$C52), B51))</f>
        <v>SWBVMJF</v>
      </c>
      <c r="C52" s="2" t="str">
        <f>IF(Source!$E52=COLUMNS($A52:C52), LEFT(C51, LEN(C51)-Source!$C52), IF(Source!$G52=COLUMNS($A52:C52), C51&amp;RIGHT(INDIRECT(ADDRESS(ROW(C52)-1, Source!$E52)), Source!$C52), C51))</f>
        <v>BTRRLFGZ</v>
      </c>
      <c r="D52" s="2" t="str">
        <f>IF(Source!$E52=COLUMNS($A52:D52), LEFT(D51, LEN(D51)-Source!$C52), IF(Source!$G52=COLUMNS($A52:D52), D51&amp;RIGHT(INDIRECT(ADDRESS(ROW(D52)-1, Source!$E52)), Source!$C52), D51))</f>
        <v>DTCHSPVTMDBDZLTQRQPDSV</v>
      </c>
      <c r="E52" s="2" t="str">
        <f>IF(Source!$E52=COLUMNS($A52:E52), LEFT(E51, LEN(E51)-Source!$C52), IF(Source!$G52=COLUMNS($A52:E52), E51&amp;RIGHT(INDIRECT(ADDRESS(ROW(E52)-1, Source!$E52)), Source!$C52), E51))</f>
        <v/>
      </c>
      <c r="F52" s="2" t="str">
        <f>IF(Source!$E52=COLUMNS($A52:F52), LEFT(F51, LEN(F51)-Source!$C52), IF(Source!$G52=COLUMNS($A52:F52), F51&amp;RIGHT(INDIRECT(ADDRESS(ROW(F52)-1, Source!$E52)), Source!$C52), F51))</f>
        <v>GPSCRZT</v>
      </c>
      <c r="G52" s="2" t="str">
        <f>IF(Source!$E52=COLUMNS($A52:G52), LEFT(G51, LEN(G51)-Source!$C52), IF(Source!$G52=COLUMNS($A52:G52), G51&amp;RIGHT(INDIRECT(ADDRESS(ROW(G52)-1, Source!$E52)), Source!$C52), G51))</f>
        <v/>
      </c>
      <c r="H52" s="2" t="str">
        <f>IF(Source!$E52=COLUMNS($A52:H52), LEFT(H51, LEN(H51)-Source!$C52), IF(Source!$G52=COLUMNS($A52:H52), H51&amp;RIGHT(INDIRECT(ADDRESS(ROW(H52)-1, Source!$E52)), Source!$C52), H51))</f>
        <v>JHRBTCDDJM</v>
      </c>
      <c r="I52" s="2" t="str">
        <f>IF(Source!$E52=COLUMNS($A52:I52), LEFT(I51, LEN(I51)-Source!$C52), IF(Source!$G52=COLUMNS($A52:I52), I51&amp;RIGHT(INDIRECT(ADDRESS(ROW(I52)-1, Source!$E52)), Source!$C52), I51))</f>
        <v>L</v>
      </c>
    </row>
    <row r="53">
      <c r="A53" s="2" t="str">
        <f>IF(Source!$E53=COLUMNS($A53:A53), LEFT(A52, LEN(A52)-Source!$C53), IF(Source!$G53=COLUMNS($A53:A53), A52&amp;RIGHT(INDIRECT(ADDRESS(ROW(A53)-1, Source!$E53)), Source!$C53), A52))</f>
        <v>W</v>
      </c>
      <c r="B53" s="2" t="str">
        <f>IF(Source!$E53=COLUMNS($A53:B53), LEFT(B52, LEN(B52)-Source!$C53), IF(Source!$G53=COLUMNS($A53:B53), B52&amp;RIGHT(INDIRECT(ADDRESS(ROW(B53)-1, Source!$E53)), Source!$C53), B52))</f>
        <v>SWBVMJF</v>
      </c>
      <c r="C53" s="2" t="str">
        <f>IF(Source!$E53=COLUMNS($A53:C53), LEFT(C52, LEN(C52)-Source!$C53), IF(Source!$G53=COLUMNS($A53:C53), C52&amp;RIGHT(INDIRECT(ADDRESS(ROW(C53)-1, Source!$E53)), Source!$C53), C52))</f>
        <v/>
      </c>
      <c r="D53" s="2" t="str">
        <f>IF(Source!$E53=COLUMNS($A53:D53), LEFT(D52, LEN(D52)-Source!$C53), IF(Source!$G53=COLUMNS($A53:D53), D52&amp;RIGHT(INDIRECT(ADDRESS(ROW(D53)-1, Source!$E53)), Source!$C53), D52))</f>
        <v>DTCHSPVTMDBDZLTQRQPDSV</v>
      </c>
      <c r="E53" s="2" t="str">
        <f>IF(Source!$E53=COLUMNS($A53:E53), LEFT(E52, LEN(E52)-Source!$C53), IF(Source!$G53=COLUMNS($A53:E53), E52&amp;RIGHT(INDIRECT(ADDRESS(ROW(E53)-1, Source!$E53)), Source!$C53), E52))</f>
        <v/>
      </c>
      <c r="F53" s="2" t="str">
        <f>IF(Source!$E53=COLUMNS($A53:F53), LEFT(F52, LEN(F52)-Source!$C53), IF(Source!$G53=COLUMNS($A53:F53), F52&amp;RIGHT(INDIRECT(ADDRESS(ROW(F53)-1, Source!$E53)), Source!$C53), F52))</f>
        <v>GPSCRZT</v>
      </c>
      <c r="G53" s="2" t="str">
        <f>IF(Source!$E53=COLUMNS($A53:G53), LEFT(G52, LEN(G52)-Source!$C53), IF(Source!$G53=COLUMNS($A53:G53), G52&amp;RIGHT(INDIRECT(ADDRESS(ROW(G53)-1, Source!$E53)), Source!$C53), G52))</f>
        <v>BTRRLFGZ</v>
      </c>
      <c r="H53" s="2" t="str">
        <f>IF(Source!$E53=COLUMNS($A53:H53), LEFT(H52, LEN(H52)-Source!$C53), IF(Source!$G53=COLUMNS($A53:H53), H52&amp;RIGHT(INDIRECT(ADDRESS(ROW(H53)-1, Source!$E53)), Source!$C53), H52))</f>
        <v>JHRBTCDDJM</v>
      </c>
      <c r="I53" s="2" t="str">
        <f>IF(Source!$E53=COLUMNS($A53:I53), LEFT(I52, LEN(I52)-Source!$C53), IF(Source!$G53=COLUMNS($A53:I53), I52&amp;RIGHT(INDIRECT(ADDRESS(ROW(I53)-1, Source!$E53)), Source!$C53), I52))</f>
        <v>L</v>
      </c>
    </row>
    <row r="54">
      <c r="A54" s="2" t="str">
        <f>IF(Source!$E54=COLUMNS($A54:A54), LEFT(A53, LEN(A53)-Source!$C54), IF(Source!$G54=COLUMNS($A54:A54), A53&amp;RIGHT(INDIRECT(ADDRESS(ROW(A54)-1, Source!$E54)), Source!$C54), A53))</f>
        <v>W</v>
      </c>
      <c r="B54" s="2" t="str">
        <f>IF(Source!$E54=COLUMNS($A54:B54), LEFT(B53, LEN(B53)-Source!$C54), IF(Source!$G54=COLUMNS($A54:B54), B53&amp;RIGHT(INDIRECT(ADDRESS(ROW(B54)-1, Source!$E54)), Source!$C54), B53))</f>
        <v>SWBVMJF</v>
      </c>
      <c r="C54" s="2" t="str">
        <f>IF(Source!$E54=COLUMNS($A54:C54), LEFT(C53, LEN(C53)-Source!$C54), IF(Source!$G54=COLUMNS($A54:C54), C53&amp;RIGHT(INDIRECT(ADDRESS(ROW(C54)-1, Source!$E54)), Source!$C54), C53))</f>
        <v/>
      </c>
      <c r="D54" s="2" t="str">
        <f>IF(Source!$E54=COLUMNS($A54:D54), LEFT(D53, LEN(D53)-Source!$C54), IF(Source!$G54=COLUMNS($A54:D54), D53&amp;RIGHT(INDIRECT(ADDRESS(ROW(D54)-1, Source!$E54)), Source!$C54), D53))</f>
        <v>DTCHSPVTMDBDZ</v>
      </c>
      <c r="E54" s="2" t="str">
        <f>IF(Source!$E54=COLUMNS($A54:E54), LEFT(E53, LEN(E53)-Source!$C54), IF(Source!$G54=COLUMNS($A54:E54), E53&amp;RIGHT(INDIRECT(ADDRESS(ROW(E54)-1, Source!$E54)), Source!$C54), E53))</f>
        <v/>
      </c>
      <c r="F54" s="2" t="str">
        <f>IF(Source!$E54=COLUMNS($A54:F54), LEFT(F53, LEN(F53)-Source!$C54), IF(Source!$G54=COLUMNS($A54:F54), F53&amp;RIGHT(INDIRECT(ADDRESS(ROW(F54)-1, Source!$E54)), Source!$C54), F53))</f>
        <v>GPSCRZT</v>
      </c>
      <c r="G54" s="2" t="str">
        <f>IF(Source!$E54=COLUMNS($A54:G54), LEFT(G53, LEN(G53)-Source!$C54), IF(Source!$G54=COLUMNS($A54:G54), G53&amp;RIGHT(INDIRECT(ADDRESS(ROW(G54)-1, Source!$E54)), Source!$C54), G53))</f>
        <v>BTRRLFGZ</v>
      </c>
      <c r="H54" s="2" t="str">
        <f>IF(Source!$E54=COLUMNS($A54:H54), LEFT(H53, LEN(H53)-Source!$C54), IF(Source!$G54=COLUMNS($A54:H54), H53&amp;RIGHT(INDIRECT(ADDRESS(ROW(H54)-1, Source!$E54)), Source!$C54), H53))</f>
        <v>JHRBTCDDJMLTQRQPDSV</v>
      </c>
      <c r="I54" s="2" t="str">
        <f>IF(Source!$E54=COLUMNS($A54:I54), LEFT(I53, LEN(I53)-Source!$C54), IF(Source!$G54=COLUMNS($A54:I54), I53&amp;RIGHT(INDIRECT(ADDRESS(ROW(I54)-1, Source!$E54)), Source!$C54), I53))</f>
        <v>L</v>
      </c>
    </row>
    <row r="55">
      <c r="A55" s="2" t="str">
        <f>IF(Source!$E55=COLUMNS($A55:A55), LEFT(A54, LEN(A54)-Source!$C55), IF(Source!$G55=COLUMNS($A55:A55), A54&amp;RIGHT(INDIRECT(ADDRESS(ROW(A55)-1, Source!$E55)), Source!$C55), A54))</f>
        <v>W</v>
      </c>
      <c r="B55" s="2" t="str">
        <f>IF(Source!$E55=COLUMNS($A55:B55), LEFT(B54, LEN(B54)-Source!$C55), IF(Source!$G55=COLUMNS($A55:B55), B54&amp;RIGHT(INDIRECT(ADDRESS(ROW(B55)-1, Source!$E55)), Source!$C55), B54))</f>
        <v>SWBVMJFL</v>
      </c>
      <c r="C55" s="2" t="str">
        <f>IF(Source!$E55=COLUMNS($A55:C55), LEFT(C54, LEN(C54)-Source!$C55), IF(Source!$G55=COLUMNS($A55:C55), C54&amp;RIGHT(INDIRECT(ADDRESS(ROW(C55)-1, Source!$E55)), Source!$C55), C54))</f>
        <v/>
      </c>
      <c r="D55" s="2" t="str">
        <f>IF(Source!$E55=COLUMNS($A55:D55), LEFT(D54, LEN(D54)-Source!$C55), IF(Source!$G55=COLUMNS($A55:D55), D54&amp;RIGHT(INDIRECT(ADDRESS(ROW(D55)-1, Source!$E55)), Source!$C55), D54))</f>
        <v>DTCHSPVTMDBDZ</v>
      </c>
      <c r="E55" s="2" t="str">
        <f>IF(Source!$E55=COLUMNS($A55:E55), LEFT(E54, LEN(E54)-Source!$C55), IF(Source!$G55=COLUMNS($A55:E55), E54&amp;RIGHT(INDIRECT(ADDRESS(ROW(E55)-1, Source!$E55)), Source!$C55), E54))</f>
        <v/>
      </c>
      <c r="F55" s="2" t="str">
        <f>IF(Source!$E55=COLUMNS($A55:F55), LEFT(F54, LEN(F54)-Source!$C55), IF(Source!$G55=COLUMNS($A55:F55), F54&amp;RIGHT(INDIRECT(ADDRESS(ROW(F55)-1, Source!$E55)), Source!$C55), F54))</f>
        <v>GPSCRZT</v>
      </c>
      <c r="G55" s="2" t="str">
        <f>IF(Source!$E55=COLUMNS($A55:G55), LEFT(G54, LEN(G54)-Source!$C55), IF(Source!$G55=COLUMNS($A55:G55), G54&amp;RIGHT(INDIRECT(ADDRESS(ROW(G55)-1, Source!$E55)), Source!$C55), G54))</f>
        <v>BTRRLFGZ</v>
      </c>
      <c r="H55" s="2" t="str">
        <f>IF(Source!$E55=COLUMNS($A55:H55), LEFT(H54, LEN(H54)-Source!$C55), IF(Source!$G55=COLUMNS($A55:H55), H54&amp;RIGHT(INDIRECT(ADDRESS(ROW(H55)-1, Source!$E55)), Source!$C55), H54))</f>
        <v>JHRBTCDDJMLTQRQPDSV</v>
      </c>
      <c r="I55" s="2" t="str">
        <f>IF(Source!$E55=COLUMNS($A55:I55), LEFT(I54, LEN(I54)-Source!$C55), IF(Source!$G55=COLUMNS($A55:I55), I54&amp;RIGHT(INDIRECT(ADDRESS(ROW(I55)-1, Source!$E55)), Source!$C55), I54))</f>
        <v/>
      </c>
    </row>
    <row r="56">
      <c r="A56" s="2" t="str">
        <f>IF(Source!$E56=COLUMNS($A56:A56), LEFT(A55, LEN(A55)-Source!$C56), IF(Source!$G56=COLUMNS($A56:A56), A55&amp;RIGHT(INDIRECT(ADDRESS(ROW(A56)-1, Source!$E56)), Source!$C56), A55))</f>
        <v>W</v>
      </c>
      <c r="B56" s="2" t="str">
        <f>IF(Source!$E56=COLUMNS($A56:B56), LEFT(B55, LEN(B55)-Source!$C56), IF(Source!$G56=COLUMNS($A56:B56), B55&amp;RIGHT(INDIRECT(ADDRESS(ROW(B56)-1, Source!$E56)), Source!$C56), B55))</f>
        <v>SWBVMJFL</v>
      </c>
      <c r="C56" s="2" t="str">
        <f>IF(Source!$E56=COLUMNS($A56:C56), LEFT(C55, LEN(C55)-Source!$C56), IF(Source!$G56=COLUMNS($A56:C56), C55&amp;RIGHT(INDIRECT(ADDRESS(ROW(C56)-1, Source!$E56)), Source!$C56), C55))</f>
        <v/>
      </c>
      <c r="D56" s="2" t="str">
        <f>IF(Source!$E56=COLUMNS($A56:D56), LEFT(D55, LEN(D55)-Source!$C56), IF(Source!$G56=COLUMNS($A56:D56), D55&amp;RIGHT(INDIRECT(ADDRESS(ROW(D56)-1, Source!$E56)), Source!$C56), D55))</f>
        <v>DTCHSPVTMDBDZ</v>
      </c>
      <c r="E56" s="2" t="str">
        <f>IF(Source!$E56=COLUMNS($A56:E56), LEFT(E55, LEN(E55)-Source!$C56), IF(Source!$G56=COLUMNS($A56:E56), E55&amp;RIGHT(INDIRECT(ADDRESS(ROW(E56)-1, Source!$E56)), Source!$C56), E55))</f>
        <v/>
      </c>
      <c r="F56" s="2" t="str">
        <f>IF(Source!$E56=COLUMNS($A56:F56), LEFT(F55, LEN(F55)-Source!$C56), IF(Source!$G56=COLUMNS($A56:F56), F55&amp;RIGHT(INDIRECT(ADDRESS(ROW(F56)-1, Source!$E56)), Source!$C56), F55))</f>
        <v>GPSCRZT</v>
      </c>
      <c r="G56" s="2" t="str">
        <f>IF(Source!$E56=COLUMNS($A56:G56), LEFT(G55, LEN(G55)-Source!$C56), IF(Source!$G56=COLUMNS($A56:G56), G55&amp;RIGHT(INDIRECT(ADDRESS(ROW(G56)-1, Source!$E56)), Source!$C56), G55))</f>
        <v>BTRRLF</v>
      </c>
      <c r="H56" s="2" t="str">
        <f>IF(Source!$E56=COLUMNS($A56:H56), LEFT(H55, LEN(H55)-Source!$C56), IF(Source!$G56=COLUMNS($A56:H56), H55&amp;RIGHT(INDIRECT(ADDRESS(ROW(H56)-1, Source!$E56)), Source!$C56), H55))</f>
        <v>JHRBTCDDJMLTQRQPDSVGZ</v>
      </c>
      <c r="I56" s="2" t="str">
        <f>IF(Source!$E56=COLUMNS($A56:I56), LEFT(I55, LEN(I55)-Source!$C56), IF(Source!$G56=COLUMNS($A56:I56), I55&amp;RIGHT(INDIRECT(ADDRESS(ROW(I56)-1, Source!$E56)), Source!$C56), I55))</f>
        <v/>
      </c>
    </row>
    <row r="57">
      <c r="A57" s="2" t="str">
        <f>IF(Source!$E57=COLUMNS($A57:A57), LEFT(A56, LEN(A56)-Source!$C57), IF(Source!$G57=COLUMNS($A57:A57), A56&amp;RIGHT(INDIRECT(ADDRESS(ROW(A57)-1, Source!$E57)), Source!$C57), A56))</f>
        <v>W</v>
      </c>
      <c r="B57" s="2" t="str">
        <f>IF(Source!$E57=COLUMNS($A57:B57), LEFT(B56, LEN(B56)-Source!$C57), IF(Source!$G57=COLUMNS($A57:B57), B56&amp;RIGHT(INDIRECT(ADDRESS(ROW(B57)-1, Source!$E57)), Source!$C57), B56))</f>
        <v>SWBVMJFL</v>
      </c>
      <c r="C57" s="2" t="str">
        <f>IF(Source!$E57=COLUMNS($A57:C57), LEFT(C56, LEN(C56)-Source!$C57), IF(Source!$G57=COLUMNS($A57:C57), C56&amp;RIGHT(INDIRECT(ADDRESS(ROW(C57)-1, Source!$E57)), Source!$C57), C56))</f>
        <v/>
      </c>
      <c r="D57" s="2" t="str">
        <f>IF(Source!$E57=COLUMNS($A57:D57), LEFT(D56, LEN(D56)-Source!$C57), IF(Source!$G57=COLUMNS($A57:D57), D56&amp;RIGHT(INDIRECT(ADDRESS(ROW(D57)-1, Source!$E57)), Source!$C57), D56))</f>
        <v>DTCHSPVTMDBDZ</v>
      </c>
      <c r="E57" s="2" t="str">
        <f>IF(Source!$E57=COLUMNS($A57:E57), LEFT(E56, LEN(E56)-Source!$C57), IF(Source!$G57=COLUMNS($A57:E57), E56&amp;RIGHT(INDIRECT(ADDRESS(ROW(E57)-1, Source!$E57)), Source!$C57), E56))</f>
        <v/>
      </c>
      <c r="F57" s="2" t="str">
        <f>IF(Source!$E57=COLUMNS($A57:F57), LEFT(F56, LEN(F56)-Source!$C57), IF(Source!$G57=COLUMNS($A57:F57), F56&amp;RIGHT(INDIRECT(ADDRESS(ROW(F57)-1, Source!$E57)), Source!$C57), F56))</f>
        <v>GPS</v>
      </c>
      <c r="G57" s="2" t="str">
        <f>IF(Source!$E57=COLUMNS($A57:G57), LEFT(G56, LEN(G56)-Source!$C57), IF(Source!$G57=COLUMNS($A57:G57), G56&amp;RIGHT(INDIRECT(ADDRESS(ROW(G57)-1, Source!$E57)), Source!$C57), G56))</f>
        <v>BTRRLF</v>
      </c>
      <c r="H57" s="2" t="str">
        <f>IF(Source!$E57=COLUMNS($A57:H57), LEFT(H56, LEN(H56)-Source!$C57), IF(Source!$G57=COLUMNS($A57:H57), H56&amp;RIGHT(INDIRECT(ADDRESS(ROW(H57)-1, Source!$E57)), Source!$C57), H56))</f>
        <v>JHRBTCDDJMLTQRQPDSVGZ</v>
      </c>
      <c r="I57" s="2" t="str">
        <f>IF(Source!$E57=COLUMNS($A57:I57), LEFT(I56, LEN(I56)-Source!$C57), IF(Source!$G57=COLUMNS($A57:I57), I56&amp;RIGHT(INDIRECT(ADDRESS(ROW(I57)-1, Source!$E57)), Source!$C57), I56))</f>
        <v>CRZT</v>
      </c>
    </row>
    <row r="58">
      <c r="A58" s="2" t="str">
        <f>IF(Source!$E58=COLUMNS($A58:A58), LEFT(A57, LEN(A57)-Source!$C58), IF(Source!$G58=COLUMNS($A58:A58), A57&amp;RIGHT(INDIRECT(ADDRESS(ROW(A58)-1, Source!$E58)), Source!$C58), A57))</f>
        <v>W</v>
      </c>
      <c r="B58" s="2" t="str">
        <f>IF(Source!$E58=COLUMNS($A58:B58), LEFT(B57, LEN(B57)-Source!$C58), IF(Source!$G58=COLUMNS($A58:B58), B57&amp;RIGHT(INDIRECT(ADDRESS(ROW(B58)-1, Source!$E58)), Source!$C58), B57))</f>
        <v>SWBVMJFL</v>
      </c>
      <c r="C58" s="2" t="str">
        <f>IF(Source!$E58=COLUMNS($A58:C58), LEFT(C57, LEN(C57)-Source!$C58), IF(Source!$G58=COLUMNS($A58:C58), C57&amp;RIGHT(INDIRECT(ADDRESS(ROW(C58)-1, Source!$E58)), Source!$C58), C57))</f>
        <v/>
      </c>
      <c r="D58" s="2" t="str">
        <f>IF(Source!$E58=COLUMNS($A58:D58), LEFT(D57, LEN(D57)-Source!$C58), IF(Source!$G58=COLUMNS($A58:D58), D57&amp;RIGHT(INDIRECT(ADDRESS(ROW(D58)-1, Source!$E58)), Source!$C58), D57))</f>
        <v>DTCHSPVTMDBD</v>
      </c>
      <c r="E58" s="2" t="str">
        <f>IF(Source!$E58=COLUMNS($A58:E58), LEFT(E57, LEN(E57)-Source!$C58), IF(Source!$G58=COLUMNS($A58:E58), E57&amp;RIGHT(INDIRECT(ADDRESS(ROW(E58)-1, Source!$E58)), Source!$C58), E57))</f>
        <v/>
      </c>
      <c r="F58" s="2" t="str">
        <f>IF(Source!$E58=COLUMNS($A58:F58), LEFT(F57, LEN(F57)-Source!$C58), IF(Source!$G58=COLUMNS($A58:F58), F57&amp;RIGHT(INDIRECT(ADDRESS(ROW(F58)-1, Source!$E58)), Source!$C58), F57))</f>
        <v>GPS</v>
      </c>
      <c r="G58" s="2" t="str">
        <f>IF(Source!$E58=COLUMNS($A58:G58), LEFT(G57, LEN(G57)-Source!$C58), IF(Source!$G58=COLUMNS($A58:G58), G57&amp;RIGHT(INDIRECT(ADDRESS(ROW(G58)-1, Source!$E58)), Source!$C58), G57))</f>
        <v>BTRRLF</v>
      </c>
      <c r="H58" s="2" t="str">
        <f>IF(Source!$E58=COLUMNS($A58:H58), LEFT(H57, LEN(H57)-Source!$C58), IF(Source!$G58=COLUMNS($A58:H58), H57&amp;RIGHT(INDIRECT(ADDRESS(ROW(H58)-1, Source!$E58)), Source!$C58), H57))</f>
        <v>JHRBTCDDJMLTQRQPDSVGZ</v>
      </c>
      <c r="I58" s="2" t="str">
        <f>IF(Source!$E58=COLUMNS($A58:I58), LEFT(I57, LEN(I57)-Source!$C58), IF(Source!$G58=COLUMNS($A58:I58), I57&amp;RIGHT(INDIRECT(ADDRESS(ROW(I58)-1, Source!$E58)), Source!$C58), I57))</f>
        <v>CRZTZ</v>
      </c>
    </row>
    <row r="59">
      <c r="A59" s="2" t="str">
        <f>IF(Source!$E59=COLUMNS($A59:A59), LEFT(A58, LEN(A58)-Source!$C59), IF(Source!$G59=COLUMNS($A59:A59), A58&amp;RIGHT(INDIRECT(ADDRESS(ROW(A59)-1, Source!$E59)), Source!$C59), A58))</f>
        <v>W</v>
      </c>
      <c r="B59" s="2" t="str">
        <f>IF(Source!$E59=COLUMNS($A59:B59), LEFT(B58, LEN(B58)-Source!$C59), IF(Source!$G59=COLUMNS($A59:B59), B58&amp;RIGHT(INDIRECT(ADDRESS(ROW(B59)-1, Source!$E59)), Source!$C59), B58))</f>
        <v>SWBVMJFL</v>
      </c>
      <c r="C59" s="2" t="str">
        <f>IF(Source!$E59=COLUMNS($A59:C59), LEFT(C58, LEN(C58)-Source!$C59), IF(Source!$G59=COLUMNS($A59:C59), C58&amp;RIGHT(INDIRECT(ADDRESS(ROW(C59)-1, Source!$E59)), Source!$C59), C58))</f>
        <v/>
      </c>
      <c r="D59" s="2" t="str">
        <f>IF(Source!$E59=COLUMNS($A59:D59), LEFT(D58, LEN(D58)-Source!$C59), IF(Source!$G59=COLUMNS($A59:D59), D58&amp;RIGHT(INDIRECT(ADDRESS(ROW(D59)-1, Source!$E59)), Source!$C59), D58))</f>
        <v>DTCHSPVTMDBDTRRLF</v>
      </c>
      <c r="E59" s="2" t="str">
        <f>IF(Source!$E59=COLUMNS($A59:E59), LEFT(E58, LEN(E58)-Source!$C59), IF(Source!$G59=COLUMNS($A59:E59), E58&amp;RIGHT(INDIRECT(ADDRESS(ROW(E59)-1, Source!$E59)), Source!$C59), E58))</f>
        <v/>
      </c>
      <c r="F59" s="2" t="str">
        <f>IF(Source!$E59=COLUMNS($A59:F59), LEFT(F58, LEN(F58)-Source!$C59), IF(Source!$G59=COLUMNS($A59:F59), F58&amp;RIGHT(INDIRECT(ADDRESS(ROW(F59)-1, Source!$E59)), Source!$C59), F58))</f>
        <v>GPS</v>
      </c>
      <c r="G59" s="2" t="str">
        <f>IF(Source!$E59=COLUMNS($A59:G59), LEFT(G58, LEN(G58)-Source!$C59), IF(Source!$G59=COLUMNS($A59:G59), G58&amp;RIGHT(INDIRECT(ADDRESS(ROW(G59)-1, Source!$E59)), Source!$C59), G58))</f>
        <v>B</v>
      </c>
      <c r="H59" s="2" t="str">
        <f>IF(Source!$E59=COLUMNS($A59:H59), LEFT(H58, LEN(H58)-Source!$C59), IF(Source!$G59=COLUMNS($A59:H59), H58&amp;RIGHT(INDIRECT(ADDRESS(ROW(H59)-1, Source!$E59)), Source!$C59), H58))</f>
        <v>JHRBTCDDJMLTQRQPDSVGZ</v>
      </c>
      <c r="I59" s="2" t="str">
        <f>IF(Source!$E59=COLUMNS($A59:I59), LEFT(I58, LEN(I58)-Source!$C59), IF(Source!$G59=COLUMNS($A59:I59), I58&amp;RIGHT(INDIRECT(ADDRESS(ROW(I59)-1, Source!$E59)), Source!$C59), I58))</f>
        <v>CRZTZ</v>
      </c>
    </row>
    <row r="60">
      <c r="A60" s="2" t="str">
        <f>IF(Source!$E60=COLUMNS($A60:A60), LEFT(A59, LEN(A59)-Source!$C60), IF(Source!$G60=COLUMNS($A60:A60), A59&amp;RIGHT(INDIRECT(ADDRESS(ROW(A60)-1, Source!$E60)), Source!$C60), A59))</f>
        <v>W</v>
      </c>
      <c r="B60" s="2" t="str">
        <f>IF(Source!$E60=COLUMNS($A60:B60), LEFT(B59, LEN(B59)-Source!$C60), IF(Source!$G60=COLUMNS($A60:B60), B59&amp;RIGHT(INDIRECT(ADDRESS(ROW(B60)-1, Source!$E60)), Source!$C60), B59))</f>
        <v>SWBVMJFL</v>
      </c>
      <c r="C60" s="2" t="str">
        <f>IF(Source!$E60=COLUMNS($A60:C60), LEFT(C59, LEN(C59)-Source!$C60), IF(Source!$G60=COLUMNS($A60:C60), C59&amp;RIGHT(INDIRECT(ADDRESS(ROW(C60)-1, Source!$E60)), Source!$C60), C59))</f>
        <v/>
      </c>
      <c r="D60" s="2" t="str">
        <f>IF(Source!$E60=COLUMNS($A60:D60), LEFT(D59, LEN(D59)-Source!$C60), IF(Source!$G60=COLUMNS($A60:D60), D59&amp;RIGHT(INDIRECT(ADDRESS(ROW(D60)-1, Source!$E60)), Source!$C60), D59))</f>
        <v>DTCHSPVTMDBDTRRLF</v>
      </c>
      <c r="E60" s="2" t="str">
        <f>IF(Source!$E60=COLUMNS($A60:E60), LEFT(E59, LEN(E59)-Source!$C60), IF(Source!$G60=COLUMNS($A60:E60), E59&amp;RIGHT(INDIRECT(ADDRESS(ROW(E60)-1, Source!$E60)), Source!$C60), E59))</f>
        <v>GPS</v>
      </c>
      <c r="F60" s="2" t="str">
        <f>IF(Source!$E60=COLUMNS($A60:F60), LEFT(F59, LEN(F59)-Source!$C60), IF(Source!$G60=COLUMNS($A60:F60), F59&amp;RIGHT(INDIRECT(ADDRESS(ROW(F60)-1, Source!$E60)), Source!$C60), F59))</f>
        <v/>
      </c>
      <c r="G60" s="2" t="str">
        <f>IF(Source!$E60=COLUMNS($A60:G60), LEFT(G59, LEN(G59)-Source!$C60), IF(Source!$G60=COLUMNS($A60:G60), G59&amp;RIGHT(INDIRECT(ADDRESS(ROW(G60)-1, Source!$E60)), Source!$C60), G59))</f>
        <v>B</v>
      </c>
      <c r="H60" s="2" t="str">
        <f>IF(Source!$E60=COLUMNS($A60:H60), LEFT(H59, LEN(H59)-Source!$C60), IF(Source!$G60=COLUMNS($A60:H60), H59&amp;RIGHT(INDIRECT(ADDRESS(ROW(H60)-1, Source!$E60)), Source!$C60), H59))</f>
        <v>JHRBTCDDJMLTQRQPDSVGZ</v>
      </c>
      <c r="I60" s="2" t="str">
        <f>IF(Source!$E60=COLUMNS($A60:I60), LEFT(I59, LEN(I59)-Source!$C60), IF(Source!$G60=COLUMNS($A60:I60), I59&amp;RIGHT(INDIRECT(ADDRESS(ROW(I60)-1, Source!$E60)), Source!$C60), I59))</f>
        <v>CRZTZ</v>
      </c>
    </row>
    <row r="61">
      <c r="A61" s="2" t="str">
        <f>IF(Source!$E61=COLUMNS($A61:A61), LEFT(A60, LEN(A60)-Source!$C61), IF(Source!$G61=COLUMNS($A61:A61), A60&amp;RIGHT(INDIRECT(ADDRESS(ROW(A61)-1, Source!$E61)), Source!$C61), A60))</f>
        <v/>
      </c>
      <c r="B61" s="2" t="str">
        <f>IF(Source!$E61=COLUMNS($A61:B61), LEFT(B60, LEN(B60)-Source!$C61), IF(Source!$G61=COLUMNS($A61:B61), B60&amp;RIGHT(INDIRECT(ADDRESS(ROW(B61)-1, Source!$E61)), Source!$C61), B60))</f>
        <v>SWBVMJFL</v>
      </c>
      <c r="C61" s="2" t="str">
        <f>IF(Source!$E61=COLUMNS($A61:C61), LEFT(C60, LEN(C60)-Source!$C61), IF(Source!$G61=COLUMNS($A61:C61), C60&amp;RIGHT(INDIRECT(ADDRESS(ROW(C61)-1, Source!$E61)), Source!$C61), C60))</f>
        <v/>
      </c>
      <c r="D61" s="2" t="str">
        <f>IF(Source!$E61=COLUMNS($A61:D61), LEFT(D60, LEN(D60)-Source!$C61), IF(Source!$G61=COLUMNS($A61:D61), D60&amp;RIGHT(INDIRECT(ADDRESS(ROW(D61)-1, Source!$E61)), Source!$C61), D60))</f>
        <v>DTCHSPVTMDBDTRRLF</v>
      </c>
      <c r="E61" s="2" t="str">
        <f>IF(Source!$E61=COLUMNS($A61:E61), LEFT(E60, LEN(E60)-Source!$C61), IF(Source!$G61=COLUMNS($A61:E61), E60&amp;RIGHT(INDIRECT(ADDRESS(ROW(E61)-1, Source!$E61)), Source!$C61), E60))</f>
        <v>GPSW</v>
      </c>
      <c r="F61" s="2" t="str">
        <f>IF(Source!$E61=COLUMNS($A61:F61), LEFT(F60, LEN(F60)-Source!$C61), IF(Source!$G61=COLUMNS($A61:F61), F60&amp;RIGHT(INDIRECT(ADDRESS(ROW(F61)-1, Source!$E61)), Source!$C61), F60))</f>
        <v/>
      </c>
      <c r="G61" s="2" t="str">
        <f>IF(Source!$E61=COLUMNS($A61:G61), LEFT(G60, LEN(G60)-Source!$C61), IF(Source!$G61=COLUMNS($A61:G61), G60&amp;RIGHT(INDIRECT(ADDRESS(ROW(G61)-1, Source!$E61)), Source!$C61), G60))</f>
        <v>B</v>
      </c>
      <c r="H61" s="2" t="str">
        <f>IF(Source!$E61=COLUMNS($A61:H61), LEFT(H60, LEN(H60)-Source!$C61), IF(Source!$G61=COLUMNS($A61:H61), H60&amp;RIGHT(INDIRECT(ADDRESS(ROW(H61)-1, Source!$E61)), Source!$C61), H60))</f>
        <v>JHRBTCDDJMLTQRQPDSVGZ</v>
      </c>
      <c r="I61" s="2" t="str">
        <f>IF(Source!$E61=COLUMNS($A61:I61), LEFT(I60, LEN(I60)-Source!$C61), IF(Source!$G61=COLUMNS($A61:I61), I60&amp;RIGHT(INDIRECT(ADDRESS(ROW(I61)-1, Source!$E61)), Source!$C61), I60))</f>
        <v>CRZTZ</v>
      </c>
    </row>
    <row r="62">
      <c r="A62" s="2" t="str">
        <f>IF(Source!$E62=COLUMNS($A62:A62), LEFT(A61, LEN(A61)-Source!$C62), IF(Source!$G62=COLUMNS($A62:A62), A61&amp;RIGHT(INDIRECT(ADDRESS(ROW(A62)-1, Source!$E62)), Source!$C62), A61))</f>
        <v/>
      </c>
      <c r="B62" s="2" t="str">
        <f>IF(Source!$E62=COLUMNS($A62:B62), LEFT(B61, LEN(B61)-Source!$C62), IF(Source!$G62=COLUMNS($A62:B62), B61&amp;RIGHT(INDIRECT(ADDRESS(ROW(B62)-1, Source!$E62)), Source!$C62), B61))</f>
        <v>SWBVMJFL</v>
      </c>
      <c r="C62" s="2" t="str">
        <f>IF(Source!$E62=COLUMNS($A62:C62), LEFT(C61, LEN(C61)-Source!$C62), IF(Source!$G62=COLUMNS($A62:C62), C61&amp;RIGHT(INDIRECT(ADDRESS(ROW(C62)-1, Source!$E62)), Source!$C62), C61))</f>
        <v/>
      </c>
      <c r="D62" s="2" t="str">
        <f>IF(Source!$E62=COLUMNS($A62:D62), LEFT(D61, LEN(D61)-Source!$C62), IF(Source!$G62=COLUMNS($A62:D62), D61&amp;RIGHT(INDIRECT(ADDRESS(ROW(D62)-1, Source!$E62)), Source!$C62), D61))</f>
        <v>DTC</v>
      </c>
      <c r="E62" s="2" t="str">
        <f>IF(Source!$E62=COLUMNS($A62:E62), LEFT(E61, LEN(E61)-Source!$C62), IF(Source!$G62=COLUMNS($A62:E62), E61&amp;RIGHT(INDIRECT(ADDRESS(ROW(E62)-1, Source!$E62)), Source!$C62), E61))</f>
        <v>GPSW</v>
      </c>
      <c r="F62" s="2" t="str">
        <f>IF(Source!$E62=COLUMNS($A62:F62), LEFT(F61, LEN(F61)-Source!$C62), IF(Source!$G62=COLUMNS($A62:F62), F61&amp;RIGHT(INDIRECT(ADDRESS(ROW(F62)-1, Source!$E62)), Source!$C62), F61))</f>
        <v/>
      </c>
      <c r="G62" s="2" t="str">
        <f>IF(Source!$E62=COLUMNS($A62:G62), LEFT(G61, LEN(G61)-Source!$C62), IF(Source!$G62=COLUMNS($A62:G62), G61&amp;RIGHT(INDIRECT(ADDRESS(ROW(G62)-1, Source!$E62)), Source!$C62), G61))</f>
        <v>B</v>
      </c>
      <c r="H62" s="2" t="str">
        <f>IF(Source!$E62=COLUMNS($A62:H62), LEFT(H61, LEN(H61)-Source!$C62), IF(Source!$G62=COLUMNS($A62:H62), H61&amp;RIGHT(INDIRECT(ADDRESS(ROW(H62)-1, Source!$E62)), Source!$C62), H61))</f>
        <v>JHRBTCDDJMLTQRQPDSVGZHSPVTMDBDTRRLF</v>
      </c>
      <c r="I62" s="2" t="str">
        <f>IF(Source!$E62=COLUMNS($A62:I62), LEFT(I61, LEN(I61)-Source!$C62), IF(Source!$G62=COLUMNS($A62:I62), I61&amp;RIGHT(INDIRECT(ADDRESS(ROW(I62)-1, Source!$E62)), Source!$C62), I61))</f>
        <v>CRZTZ</v>
      </c>
    </row>
    <row r="63">
      <c r="A63" s="2" t="str">
        <f>IF(Source!$E63=COLUMNS($A63:A63), LEFT(A62, LEN(A62)-Source!$C63), IF(Source!$G63=COLUMNS($A63:A63), A62&amp;RIGHT(INDIRECT(ADDRESS(ROW(A63)-1, Source!$E63)), Source!$C63), A62))</f>
        <v/>
      </c>
      <c r="B63" s="2" t="str">
        <f>IF(Source!$E63=COLUMNS($A63:B63), LEFT(B62, LEN(B62)-Source!$C63), IF(Source!$G63=COLUMNS($A63:B63), B62&amp;RIGHT(INDIRECT(ADDRESS(ROW(B63)-1, Source!$E63)), Source!$C63), B62))</f>
        <v>SWBVMJFL</v>
      </c>
      <c r="C63" s="2" t="str">
        <f>IF(Source!$E63=COLUMNS($A63:C63), LEFT(C62, LEN(C62)-Source!$C63), IF(Source!$G63=COLUMNS($A63:C63), C62&amp;RIGHT(INDIRECT(ADDRESS(ROW(C63)-1, Source!$E63)), Source!$C63), C62))</f>
        <v/>
      </c>
      <c r="D63" s="2" t="str">
        <f>IF(Source!$E63=COLUMNS($A63:D63), LEFT(D62, LEN(D62)-Source!$C63), IF(Source!$G63=COLUMNS($A63:D63), D62&amp;RIGHT(INDIRECT(ADDRESS(ROW(D63)-1, Source!$E63)), Source!$C63), D62))</f>
        <v>DTC</v>
      </c>
      <c r="E63" s="2" t="str">
        <f>IF(Source!$E63=COLUMNS($A63:E63), LEFT(E62, LEN(E62)-Source!$C63), IF(Source!$G63=COLUMNS($A63:E63), E62&amp;RIGHT(INDIRECT(ADDRESS(ROW(E63)-1, Source!$E63)), Source!$C63), E62))</f>
        <v>GPSW</v>
      </c>
      <c r="F63" s="2" t="str">
        <f>IF(Source!$E63=COLUMNS($A63:F63), LEFT(F62, LEN(F62)-Source!$C63), IF(Source!$G63=COLUMNS($A63:F63), F62&amp;RIGHT(INDIRECT(ADDRESS(ROW(F63)-1, Source!$E63)), Source!$C63), F62))</f>
        <v/>
      </c>
      <c r="G63" s="2" t="str">
        <f>IF(Source!$E63=COLUMNS($A63:G63), LEFT(G62, LEN(G62)-Source!$C63), IF(Source!$G63=COLUMNS($A63:G63), G62&amp;RIGHT(INDIRECT(ADDRESS(ROW(G63)-1, Source!$E63)), Source!$C63), G62))</f>
        <v>BZTZ</v>
      </c>
      <c r="H63" s="2" t="str">
        <f>IF(Source!$E63=COLUMNS($A63:H63), LEFT(H62, LEN(H62)-Source!$C63), IF(Source!$G63=COLUMNS($A63:H63), H62&amp;RIGHT(INDIRECT(ADDRESS(ROW(H63)-1, Source!$E63)), Source!$C63), H62))</f>
        <v>JHRBTCDDJMLTQRQPDSVGZHSPVTMDBDTRRLF</v>
      </c>
      <c r="I63" s="2" t="str">
        <f>IF(Source!$E63=COLUMNS($A63:I63), LEFT(I62, LEN(I62)-Source!$C63), IF(Source!$G63=COLUMNS($A63:I63), I62&amp;RIGHT(INDIRECT(ADDRESS(ROW(I63)-1, Source!$E63)), Source!$C63), I62))</f>
        <v>CR</v>
      </c>
    </row>
    <row r="64">
      <c r="A64" s="2" t="str">
        <f>IF(Source!$E64=COLUMNS($A64:A64), LEFT(A63, LEN(A63)-Source!$C64), IF(Source!$G64=COLUMNS($A64:A64), A63&amp;RIGHT(INDIRECT(ADDRESS(ROW(A64)-1, Source!$E64)), Source!$C64), A63))</f>
        <v/>
      </c>
      <c r="B64" s="2" t="str">
        <f>IF(Source!$E64=COLUMNS($A64:B64), LEFT(B63, LEN(B63)-Source!$C64), IF(Source!$G64=COLUMNS($A64:B64), B63&amp;RIGHT(INDIRECT(ADDRESS(ROW(B64)-1, Source!$E64)), Source!$C64), B63))</f>
        <v>SWBVMJFL</v>
      </c>
      <c r="C64" s="2" t="str">
        <f>IF(Source!$E64=COLUMNS($A64:C64), LEFT(C63, LEN(C63)-Source!$C64), IF(Source!$G64=COLUMNS($A64:C64), C63&amp;RIGHT(INDIRECT(ADDRESS(ROW(C64)-1, Source!$E64)), Source!$C64), C63))</f>
        <v/>
      </c>
      <c r="D64" s="2" t="str">
        <f>IF(Source!$E64=COLUMNS($A64:D64), LEFT(D63, LEN(D63)-Source!$C64), IF(Source!$G64=COLUMNS($A64:D64), D63&amp;RIGHT(INDIRECT(ADDRESS(ROW(D64)-1, Source!$E64)), Source!$C64), D63))</f>
        <v>DTC</v>
      </c>
      <c r="E64" s="2" t="str">
        <f>IF(Source!$E64=COLUMNS($A64:E64), LEFT(E63, LEN(E63)-Source!$C64), IF(Source!$G64=COLUMNS($A64:E64), E63&amp;RIGHT(INDIRECT(ADDRESS(ROW(E64)-1, Source!$E64)), Source!$C64), E63))</f>
        <v/>
      </c>
      <c r="F64" s="2" t="str">
        <f>IF(Source!$E64=COLUMNS($A64:F64), LEFT(F63, LEN(F63)-Source!$C64), IF(Source!$G64=COLUMNS($A64:F64), F63&amp;RIGHT(INDIRECT(ADDRESS(ROW(F64)-1, Source!$E64)), Source!$C64), F63))</f>
        <v/>
      </c>
      <c r="G64" s="2" t="str">
        <f>IF(Source!$E64=COLUMNS($A64:G64), LEFT(G63, LEN(G63)-Source!$C64), IF(Source!$G64=COLUMNS($A64:G64), G63&amp;RIGHT(INDIRECT(ADDRESS(ROW(G64)-1, Source!$E64)), Source!$C64), G63))</f>
        <v>BZTZ</v>
      </c>
      <c r="H64" s="2" t="str">
        <f>IF(Source!$E64=COLUMNS($A64:H64), LEFT(H63, LEN(H63)-Source!$C64), IF(Source!$G64=COLUMNS($A64:H64), H63&amp;RIGHT(INDIRECT(ADDRESS(ROW(H64)-1, Source!$E64)), Source!$C64), H63))</f>
        <v>JHRBTCDDJMLTQRQPDSVGZHSPVTMDBDTRRLF</v>
      </c>
      <c r="I64" s="2" t="str">
        <f>IF(Source!$E64=COLUMNS($A64:I64), LEFT(I63, LEN(I63)-Source!$C64), IF(Source!$G64=COLUMNS($A64:I64), I63&amp;RIGHT(INDIRECT(ADDRESS(ROW(I64)-1, Source!$E64)), Source!$C64), I63))</f>
        <v>CRGPSW</v>
      </c>
    </row>
    <row r="65">
      <c r="A65" s="2" t="str">
        <f>IF(Source!$E65=COLUMNS($A65:A65), LEFT(A64, LEN(A64)-Source!$C65), IF(Source!$G65=COLUMNS($A65:A65), A64&amp;RIGHT(INDIRECT(ADDRESS(ROW(A65)-1, Source!$E65)), Source!$C65), A64))</f>
        <v>TC</v>
      </c>
      <c r="B65" s="2" t="str">
        <f>IF(Source!$E65=COLUMNS($A65:B65), LEFT(B64, LEN(B64)-Source!$C65), IF(Source!$G65=COLUMNS($A65:B65), B64&amp;RIGHT(INDIRECT(ADDRESS(ROW(B65)-1, Source!$E65)), Source!$C65), B64))</f>
        <v>SWBVMJFL</v>
      </c>
      <c r="C65" s="2" t="str">
        <f>IF(Source!$E65=COLUMNS($A65:C65), LEFT(C64, LEN(C64)-Source!$C65), IF(Source!$G65=COLUMNS($A65:C65), C64&amp;RIGHT(INDIRECT(ADDRESS(ROW(C65)-1, Source!$E65)), Source!$C65), C64))</f>
        <v/>
      </c>
      <c r="D65" s="2" t="str">
        <f>IF(Source!$E65=COLUMNS($A65:D65), LEFT(D64, LEN(D64)-Source!$C65), IF(Source!$G65=COLUMNS($A65:D65), D64&amp;RIGHT(INDIRECT(ADDRESS(ROW(D65)-1, Source!$E65)), Source!$C65), D64))</f>
        <v>D</v>
      </c>
      <c r="E65" s="2" t="str">
        <f>IF(Source!$E65=COLUMNS($A65:E65), LEFT(E64, LEN(E64)-Source!$C65), IF(Source!$G65=COLUMNS($A65:E65), E64&amp;RIGHT(INDIRECT(ADDRESS(ROW(E65)-1, Source!$E65)), Source!$C65), E64))</f>
        <v/>
      </c>
      <c r="F65" s="2" t="str">
        <f>IF(Source!$E65=COLUMNS($A65:F65), LEFT(F64, LEN(F64)-Source!$C65), IF(Source!$G65=COLUMNS($A65:F65), F64&amp;RIGHT(INDIRECT(ADDRESS(ROW(F65)-1, Source!$E65)), Source!$C65), F64))</f>
        <v/>
      </c>
      <c r="G65" s="2" t="str">
        <f>IF(Source!$E65=COLUMNS($A65:G65), LEFT(G64, LEN(G64)-Source!$C65), IF(Source!$G65=COLUMNS($A65:G65), G64&amp;RIGHT(INDIRECT(ADDRESS(ROW(G65)-1, Source!$E65)), Source!$C65), G64))</f>
        <v>BZTZ</v>
      </c>
      <c r="H65" s="2" t="str">
        <f>IF(Source!$E65=COLUMNS($A65:H65), LEFT(H64, LEN(H64)-Source!$C65), IF(Source!$G65=COLUMNS($A65:H65), H64&amp;RIGHT(INDIRECT(ADDRESS(ROW(H65)-1, Source!$E65)), Source!$C65), H64))</f>
        <v>JHRBTCDDJMLTQRQPDSVGZHSPVTMDBDTRRLF</v>
      </c>
      <c r="I65" s="2" t="str">
        <f>IF(Source!$E65=COLUMNS($A65:I65), LEFT(I64, LEN(I64)-Source!$C65), IF(Source!$G65=COLUMNS($A65:I65), I64&amp;RIGHT(INDIRECT(ADDRESS(ROW(I65)-1, Source!$E65)), Source!$C65), I64))</f>
        <v>CRGPSW</v>
      </c>
    </row>
    <row r="66">
      <c r="A66" s="2" t="str">
        <f>IF(Source!$E66=COLUMNS($A66:A66), LEFT(A65, LEN(A65)-Source!$C66), IF(Source!$G66=COLUMNS($A66:A66), A65&amp;RIGHT(INDIRECT(ADDRESS(ROW(A66)-1, Source!$E66)), Source!$C66), A65))</f>
        <v>TC</v>
      </c>
      <c r="B66" s="2" t="str">
        <f>IF(Source!$E66=COLUMNS($A66:B66), LEFT(B65, LEN(B65)-Source!$C66), IF(Source!$G66=COLUMNS($A66:B66), B65&amp;RIGHT(INDIRECT(ADDRESS(ROW(B66)-1, Source!$E66)), Source!$C66), B65))</f>
        <v>SWBVMJFL</v>
      </c>
      <c r="C66" s="2" t="str">
        <f>IF(Source!$E66=COLUMNS($A66:C66), LEFT(C65, LEN(C65)-Source!$C66), IF(Source!$G66=COLUMNS($A66:C66), C65&amp;RIGHT(INDIRECT(ADDRESS(ROW(C66)-1, Source!$E66)), Source!$C66), C65))</f>
        <v/>
      </c>
      <c r="D66" s="2" t="str">
        <f>IF(Source!$E66=COLUMNS($A66:D66), LEFT(D65, LEN(D65)-Source!$C66), IF(Source!$G66=COLUMNS($A66:D66), D65&amp;RIGHT(INDIRECT(ADDRESS(ROW(D66)-1, Source!$E66)), Source!$C66), D65))</f>
        <v>D</v>
      </c>
      <c r="E66" s="2" t="str">
        <f>IF(Source!$E66=COLUMNS($A66:E66), LEFT(E65, LEN(E65)-Source!$C66), IF(Source!$G66=COLUMNS($A66:E66), E65&amp;RIGHT(INDIRECT(ADDRESS(ROW(E66)-1, Source!$E66)), Source!$C66), E65))</f>
        <v/>
      </c>
      <c r="F66" s="2" t="str">
        <f>IF(Source!$E66=COLUMNS($A66:F66), LEFT(F65, LEN(F65)-Source!$C66), IF(Source!$G66=COLUMNS($A66:F66), F65&amp;RIGHT(INDIRECT(ADDRESS(ROW(F66)-1, Source!$E66)), Source!$C66), F65))</f>
        <v>JMLTQRQPDSVGZHSPVTMDBDTRRLF</v>
      </c>
      <c r="G66" s="2" t="str">
        <f>IF(Source!$E66=COLUMNS($A66:G66), LEFT(G65, LEN(G65)-Source!$C66), IF(Source!$G66=COLUMNS($A66:G66), G65&amp;RIGHT(INDIRECT(ADDRESS(ROW(G66)-1, Source!$E66)), Source!$C66), G65))</f>
        <v>BZTZ</v>
      </c>
      <c r="H66" s="2" t="str">
        <f>IF(Source!$E66=COLUMNS($A66:H66), LEFT(H65, LEN(H65)-Source!$C66), IF(Source!$G66=COLUMNS($A66:H66), H65&amp;RIGHT(INDIRECT(ADDRESS(ROW(H66)-1, Source!$E66)), Source!$C66), H65))</f>
        <v>JHRBTCDD</v>
      </c>
      <c r="I66" s="2" t="str">
        <f>IF(Source!$E66=COLUMNS($A66:I66), LEFT(I65, LEN(I65)-Source!$C66), IF(Source!$G66=COLUMNS($A66:I66), I65&amp;RIGHT(INDIRECT(ADDRESS(ROW(I66)-1, Source!$E66)), Source!$C66), I65))</f>
        <v>CRGPSW</v>
      </c>
    </row>
    <row r="67">
      <c r="A67" s="2" t="str">
        <f>IF(Source!$E67=COLUMNS($A67:A67), LEFT(A66, LEN(A66)-Source!$C67), IF(Source!$G67=COLUMNS($A67:A67), A66&amp;RIGHT(INDIRECT(ADDRESS(ROW(A67)-1, Source!$E67)), Source!$C67), A66))</f>
        <v>TC</v>
      </c>
      <c r="B67" s="2" t="str">
        <f>IF(Source!$E67=COLUMNS($A67:B67), LEFT(B66, LEN(B66)-Source!$C67), IF(Source!$G67=COLUMNS($A67:B67), B66&amp;RIGHT(INDIRECT(ADDRESS(ROW(B67)-1, Source!$E67)), Source!$C67), B66))</f>
        <v>SWBVMJFLTZ</v>
      </c>
      <c r="C67" s="2" t="str">
        <f>IF(Source!$E67=COLUMNS($A67:C67), LEFT(C66, LEN(C66)-Source!$C67), IF(Source!$G67=COLUMNS($A67:C67), C66&amp;RIGHT(INDIRECT(ADDRESS(ROW(C67)-1, Source!$E67)), Source!$C67), C66))</f>
        <v/>
      </c>
      <c r="D67" s="2" t="str">
        <f>IF(Source!$E67=COLUMNS($A67:D67), LEFT(D66, LEN(D66)-Source!$C67), IF(Source!$G67=COLUMNS($A67:D67), D66&amp;RIGHT(INDIRECT(ADDRESS(ROW(D67)-1, Source!$E67)), Source!$C67), D66))</f>
        <v>D</v>
      </c>
      <c r="E67" s="2" t="str">
        <f>IF(Source!$E67=COLUMNS($A67:E67), LEFT(E66, LEN(E66)-Source!$C67), IF(Source!$G67=COLUMNS($A67:E67), E66&amp;RIGHT(INDIRECT(ADDRESS(ROW(E67)-1, Source!$E67)), Source!$C67), E66))</f>
        <v/>
      </c>
      <c r="F67" s="2" t="str">
        <f>IF(Source!$E67=COLUMNS($A67:F67), LEFT(F66, LEN(F66)-Source!$C67), IF(Source!$G67=COLUMNS($A67:F67), F66&amp;RIGHT(INDIRECT(ADDRESS(ROW(F67)-1, Source!$E67)), Source!$C67), F66))</f>
        <v>JMLTQRQPDSVGZHSPVTMDBDTRRLF</v>
      </c>
      <c r="G67" s="2" t="str">
        <f>IF(Source!$E67=COLUMNS($A67:G67), LEFT(G66, LEN(G66)-Source!$C67), IF(Source!$G67=COLUMNS($A67:G67), G66&amp;RIGHT(INDIRECT(ADDRESS(ROW(G67)-1, Source!$E67)), Source!$C67), G66))</f>
        <v>BZ</v>
      </c>
      <c r="H67" s="2" t="str">
        <f>IF(Source!$E67=COLUMNS($A67:H67), LEFT(H66, LEN(H66)-Source!$C67), IF(Source!$G67=COLUMNS($A67:H67), H66&amp;RIGHT(INDIRECT(ADDRESS(ROW(H67)-1, Source!$E67)), Source!$C67), H66))</f>
        <v>JHRBTCDD</v>
      </c>
      <c r="I67" s="2" t="str">
        <f>IF(Source!$E67=COLUMNS($A67:I67), LEFT(I66, LEN(I66)-Source!$C67), IF(Source!$G67=COLUMNS($A67:I67), I66&amp;RIGHT(INDIRECT(ADDRESS(ROW(I67)-1, Source!$E67)), Source!$C67), I66))</f>
        <v>CRGPSW</v>
      </c>
    </row>
    <row r="68">
      <c r="A68" s="2" t="str">
        <f>IF(Source!$E68=COLUMNS($A68:A68), LEFT(A67, LEN(A67)-Source!$C68), IF(Source!$G68=COLUMNS($A68:A68), A67&amp;RIGHT(INDIRECT(ADDRESS(ROW(A68)-1, Source!$E68)), Source!$C68), A67))</f>
        <v>TC</v>
      </c>
      <c r="B68" s="2" t="str">
        <f>IF(Source!$E68=COLUMNS($A68:B68), LEFT(B67, LEN(B67)-Source!$C68), IF(Source!$G68=COLUMNS($A68:B68), B67&amp;RIGHT(INDIRECT(ADDRESS(ROW(B68)-1, Source!$E68)), Source!$C68), B67))</f>
        <v>SWBVMJFLTZ</v>
      </c>
      <c r="C68" s="2" t="str">
        <f>IF(Source!$E68=COLUMNS($A68:C68), LEFT(C67, LEN(C67)-Source!$C68), IF(Source!$G68=COLUMNS($A68:C68), C67&amp;RIGHT(INDIRECT(ADDRESS(ROW(C68)-1, Source!$E68)), Source!$C68), C67))</f>
        <v/>
      </c>
      <c r="D68" s="2" t="str">
        <f>IF(Source!$E68=COLUMNS($A68:D68), LEFT(D67, LEN(D67)-Source!$C68), IF(Source!$G68=COLUMNS($A68:D68), D67&amp;RIGHT(INDIRECT(ADDRESS(ROW(D68)-1, Source!$E68)), Source!$C68), D67))</f>
        <v>DBZ</v>
      </c>
      <c r="E68" s="2" t="str">
        <f>IF(Source!$E68=COLUMNS($A68:E68), LEFT(E67, LEN(E67)-Source!$C68), IF(Source!$G68=COLUMNS($A68:E68), E67&amp;RIGHT(INDIRECT(ADDRESS(ROW(E68)-1, Source!$E68)), Source!$C68), E67))</f>
        <v/>
      </c>
      <c r="F68" s="2" t="str">
        <f>IF(Source!$E68=COLUMNS($A68:F68), LEFT(F67, LEN(F67)-Source!$C68), IF(Source!$G68=COLUMNS($A68:F68), F67&amp;RIGHT(INDIRECT(ADDRESS(ROW(F68)-1, Source!$E68)), Source!$C68), F67))</f>
        <v>JMLTQRQPDSVGZHSPVTMDBDTRRLF</v>
      </c>
      <c r="G68" s="2" t="str">
        <f>IF(Source!$E68=COLUMNS($A68:G68), LEFT(G67, LEN(G67)-Source!$C68), IF(Source!$G68=COLUMNS($A68:G68), G67&amp;RIGHT(INDIRECT(ADDRESS(ROW(G68)-1, Source!$E68)), Source!$C68), G67))</f>
        <v/>
      </c>
      <c r="H68" s="2" t="str">
        <f>IF(Source!$E68=COLUMNS($A68:H68), LEFT(H67, LEN(H67)-Source!$C68), IF(Source!$G68=COLUMNS($A68:H68), H67&amp;RIGHT(INDIRECT(ADDRESS(ROW(H68)-1, Source!$E68)), Source!$C68), H67))</f>
        <v>JHRBTCDD</v>
      </c>
      <c r="I68" s="2" t="str">
        <f>IF(Source!$E68=COLUMNS($A68:I68), LEFT(I67, LEN(I67)-Source!$C68), IF(Source!$G68=COLUMNS($A68:I68), I67&amp;RIGHT(INDIRECT(ADDRESS(ROW(I68)-1, Source!$E68)), Source!$C68), I67))</f>
        <v>CRGPSW</v>
      </c>
    </row>
    <row r="69">
      <c r="A69" s="2" t="str">
        <f>IF(Source!$E69=COLUMNS($A69:A69), LEFT(A68, LEN(A68)-Source!$C69), IF(Source!$G69=COLUMNS($A69:A69), A68&amp;RIGHT(INDIRECT(ADDRESS(ROW(A69)-1, Source!$E69)), Source!$C69), A68))</f>
        <v>TC</v>
      </c>
      <c r="B69" s="2" t="str">
        <f>IF(Source!$E69=COLUMNS($A69:B69), LEFT(B68, LEN(B68)-Source!$C69), IF(Source!$G69=COLUMNS($A69:B69), B68&amp;RIGHT(INDIRECT(ADDRESS(ROW(B69)-1, Source!$E69)), Source!$C69), B68))</f>
        <v>SWBVMJ</v>
      </c>
      <c r="C69" s="2" t="str">
        <f>IF(Source!$E69=COLUMNS($A69:C69), LEFT(C68, LEN(C68)-Source!$C69), IF(Source!$G69=COLUMNS($A69:C69), C68&amp;RIGHT(INDIRECT(ADDRESS(ROW(C69)-1, Source!$E69)), Source!$C69), C68))</f>
        <v/>
      </c>
      <c r="D69" s="2" t="str">
        <f>IF(Source!$E69=COLUMNS($A69:D69), LEFT(D68, LEN(D68)-Source!$C69), IF(Source!$G69=COLUMNS($A69:D69), D68&amp;RIGHT(INDIRECT(ADDRESS(ROW(D69)-1, Source!$E69)), Source!$C69), D68))</f>
        <v>DBZ</v>
      </c>
      <c r="E69" s="2" t="str">
        <f>IF(Source!$E69=COLUMNS($A69:E69), LEFT(E68, LEN(E68)-Source!$C69), IF(Source!$G69=COLUMNS($A69:E69), E68&amp;RIGHT(INDIRECT(ADDRESS(ROW(E69)-1, Source!$E69)), Source!$C69), E68))</f>
        <v/>
      </c>
      <c r="F69" s="2" t="str">
        <f>IF(Source!$E69=COLUMNS($A69:F69), LEFT(F68, LEN(F68)-Source!$C69), IF(Source!$G69=COLUMNS($A69:F69), F68&amp;RIGHT(INDIRECT(ADDRESS(ROW(F69)-1, Source!$E69)), Source!$C69), F68))</f>
        <v>JMLTQRQPDSVGZHSPVTMDBDTRRLF</v>
      </c>
      <c r="G69" s="2" t="str">
        <f>IF(Source!$E69=COLUMNS($A69:G69), LEFT(G68, LEN(G68)-Source!$C69), IF(Source!$G69=COLUMNS($A69:G69), G68&amp;RIGHT(INDIRECT(ADDRESS(ROW(G69)-1, Source!$E69)), Source!$C69), G68))</f>
        <v/>
      </c>
      <c r="H69" s="2" t="str">
        <f>IF(Source!$E69=COLUMNS($A69:H69), LEFT(H68, LEN(H68)-Source!$C69), IF(Source!$G69=COLUMNS($A69:H69), H68&amp;RIGHT(INDIRECT(ADDRESS(ROW(H69)-1, Source!$E69)), Source!$C69), H68))</f>
        <v>JHRBTCDD</v>
      </c>
      <c r="I69" s="2" t="str">
        <f>IF(Source!$E69=COLUMNS($A69:I69), LEFT(I68, LEN(I68)-Source!$C69), IF(Source!$G69=COLUMNS($A69:I69), I68&amp;RIGHT(INDIRECT(ADDRESS(ROW(I69)-1, Source!$E69)), Source!$C69), I68))</f>
        <v>CRGPSWFLTZ</v>
      </c>
    </row>
    <row r="70">
      <c r="A70" s="2" t="str">
        <f>IF(Source!$E70=COLUMNS($A70:A70), LEFT(A69, LEN(A69)-Source!$C70), IF(Source!$G70=COLUMNS($A70:A70), A69&amp;RIGHT(INDIRECT(ADDRESS(ROW(A70)-1, Source!$E70)), Source!$C70), A69))</f>
        <v>TC</v>
      </c>
      <c r="B70" s="2" t="str">
        <f>IF(Source!$E70=COLUMNS($A70:B70), LEFT(B69, LEN(B69)-Source!$C70), IF(Source!$G70=COLUMNS($A70:B70), B69&amp;RIGHT(INDIRECT(ADDRESS(ROW(B70)-1, Source!$E70)), Source!$C70), B69))</f>
        <v>SWBVMJ</v>
      </c>
      <c r="C70" s="2" t="str">
        <f>IF(Source!$E70=COLUMNS($A70:C70), LEFT(C69, LEN(C69)-Source!$C70), IF(Source!$G70=COLUMNS($A70:C70), C69&amp;RIGHT(INDIRECT(ADDRESS(ROW(C70)-1, Source!$E70)), Source!$C70), C69))</f>
        <v/>
      </c>
      <c r="D70" s="2" t="str">
        <f>IF(Source!$E70=COLUMNS($A70:D70), LEFT(D69, LEN(D69)-Source!$C70), IF(Source!$G70=COLUMNS($A70:D70), D69&amp;RIGHT(INDIRECT(ADDRESS(ROW(D70)-1, Source!$E70)), Source!$C70), D69))</f>
        <v>DBZHRBTCDD</v>
      </c>
      <c r="E70" s="2" t="str">
        <f>IF(Source!$E70=COLUMNS($A70:E70), LEFT(E69, LEN(E69)-Source!$C70), IF(Source!$G70=COLUMNS($A70:E70), E69&amp;RIGHT(INDIRECT(ADDRESS(ROW(E70)-1, Source!$E70)), Source!$C70), E69))</f>
        <v/>
      </c>
      <c r="F70" s="2" t="str">
        <f>IF(Source!$E70=COLUMNS($A70:F70), LEFT(F69, LEN(F69)-Source!$C70), IF(Source!$G70=COLUMNS($A70:F70), F69&amp;RIGHT(INDIRECT(ADDRESS(ROW(F70)-1, Source!$E70)), Source!$C70), F69))</f>
        <v>JMLTQRQPDSVGZHSPVTMDBDTRRLF</v>
      </c>
      <c r="G70" s="2" t="str">
        <f>IF(Source!$E70=COLUMNS($A70:G70), LEFT(G69, LEN(G69)-Source!$C70), IF(Source!$G70=COLUMNS($A70:G70), G69&amp;RIGHT(INDIRECT(ADDRESS(ROW(G70)-1, Source!$E70)), Source!$C70), G69))</f>
        <v/>
      </c>
      <c r="H70" s="2" t="str">
        <f>IF(Source!$E70=COLUMNS($A70:H70), LEFT(H69, LEN(H69)-Source!$C70), IF(Source!$G70=COLUMNS($A70:H70), H69&amp;RIGHT(INDIRECT(ADDRESS(ROW(H70)-1, Source!$E70)), Source!$C70), H69))</f>
        <v>J</v>
      </c>
      <c r="I70" s="2" t="str">
        <f>IF(Source!$E70=COLUMNS($A70:I70), LEFT(I69, LEN(I69)-Source!$C70), IF(Source!$G70=COLUMNS($A70:I70), I69&amp;RIGHT(INDIRECT(ADDRESS(ROW(I70)-1, Source!$E70)), Source!$C70), I69))</f>
        <v>CRGPSWFLTZ</v>
      </c>
    </row>
    <row r="71">
      <c r="A71" s="2" t="str">
        <f>IF(Source!$E71=COLUMNS($A71:A71), LEFT(A70, LEN(A70)-Source!$C71), IF(Source!$G71=COLUMNS($A71:A71), A70&amp;RIGHT(INDIRECT(ADDRESS(ROW(A71)-1, Source!$E71)), Source!$C71), A70))</f>
        <v>TCDBZHRBTCDD</v>
      </c>
      <c r="B71" s="2" t="str">
        <f>IF(Source!$E71=COLUMNS($A71:B71), LEFT(B70, LEN(B70)-Source!$C71), IF(Source!$G71=COLUMNS($A71:B71), B70&amp;RIGHT(INDIRECT(ADDRESS(ROW(B71)-1, Source!$E71)), Source!$C71), B70))</f>
        <v>SWBVMJ</v>
      </c>
      <c r="C71" s="2" t="str">
        <f>IF(Source!$E71=COLUMNS($A71:C71), LEFT(C70, LEN(C70)-Source!$C71), IF(Source!$G71=COLUMNS($A71:C71), C70&amp;RIGHT(INDIRECT(ADDRESS(ROW(C71)-1, Source!$E71)), Source!$C71), C70))</f>
        <v/>
      </c>
      <c r="D71" s="2" t="str">
        <f>IF(Source!$E71=COLUMNS($A71:D71), LEFT(D70, LEN(D70)-Source!$C71), IF(Source!$G71=COLUMNS($A71:D71), D70&amp;RIGHT(INDIRECT(ADDRESS(ROW(D71)-1, Source!$E71)), Source!$C71), D70))</f>
        <v/>
      </c>
      <c r="E71" s="2" t="str">
        <f>IF(Source!$E71=COLUMNS($A71:E71), LEFT(E70, LEN(E70)-Source!$C71), IF(Source!$G71=COLUMNS($A71:E71), E70&amp;RIGHT(INDIRECT(ADDRESS(ROW(E71)-1, Source!$E71)), Source!$C71), E70))</f>
        <v/>
      </c>
      <c r="F71" s="2" t="str">
        <f>IF(Source!$E71=COLUMNS($A71:F71), LEFT(F70, LEN(F70)-Source!$C71), IF(Source!$G71=COLUMNS($A71:F71), F70&amp;RIGHT(INDIRECT(ADDRESS(ROW(F71)-1, Source!$E71)), Source!$C71), F70))</f>
        <v>JMLTQRQPDSVGZHSPVTMDBDTRRLF</v>
      </c>
      <c r="G71" s="2" t="str">
        <f>IF(Source!$E71=COLUMNS($A71:G71), LEFT(G70, LEN(G70)-Source!$C71), IF(Source!$G71=COLUMNS($A71:G71), G70&amp;RIGHT(INDIRECT(ADDRESS(ROW(G71)-1, Source!$E71)), Source!$C71), G70))</f>
        <v/>
      </c>
      <c r="H71" s="2" t="str">
        <f>IF(Source!$E71=COLUMNS($A71:H71), LEFT(H70, LEN(H70)-Source!$C71), IF(Source!$G71=COLUMNS($A71:H71), H70&amp;RIGHT(INDIRECT(ADDRESS(ROW(H71)-1, Source!$E71)), Source!$C71), H70))</f>
        <v>J</v>
      </c>
      <c r="I71" s="2" t="str">
        <f>IF(Source!$E71=COLUMNS($A71:I71), LEFT(I70, LEN(I70)-Source!$C71), IF(Source!$G71=COLUMNS($A71:I71), I70&amp;RIGHT(INDIRECT(ADDRESS(ROW(I71)-1, Source!$E71)), Source!$C71), I70))</f>
        <v>CRGPSWFLTZ</v>
      </c>
    </row>
    <row r="72">
      <c r="A72" s="2" t="str">
        <f>IF(Source!$E72=COLUMNS($A72:A72), LEFT(A71, LEN(A71)-Source!$C72), IF(Source!$G72=COLUMNS($A72:A72), A71&amp;RIGHT(INDIRECT(ADDRESS(ROW(A72)-1, Source!$E72)), Source!$C72), A71))</f>
        <v>TCDBZHRBTCDD</v>
      </c>
      <c r="B72" s="2" t="str">
        <f>IF(Source!$E72=COLUMNS($A72:B72), LEFT(B71, LEN(B71)-Source!$C72), IF(Source!$G72=COLUMNS($A72:B72), B71&amp;RIGHT(INDIRECT(ADDRESS(ROW(B72)-1, Source!$E72)), Source!$C72), B71))</f>
        <v>SWBVMJ</v>
      </c>
      <c r="C72" s="2" t="str">
        <f>IF(Source!$E72=COLUMNS($A72:C72), LEFT(C71, LEN(C71)-Source!$C72), IF(Source!$G72=COLUMNS($A72:C72), C71&amp;RIGHT(INDIRECT(ADDRESS(ROW(C72)-1, Source!$E72)), Source!$C72), C71))</f>
        <v/>
      </c>
      <c r="D72" s="2" t="str">
        <f>IF(Source!$E72=COLUMNS($A72:D72), LEFT(D71, LEN(D71)-Source!$C72), IF(Source!$G72=COLUMNS($A72:D72), D71&amp;RIGHT(INDIRECT(ADDRESS(ROW(D72)-1, Source!$E72)), Source!$C72), D71))</f>
        <v/>
      </c>
      <c r="E72" s="2" t="str">
        <f>IF(Source!$E72=COLUMNS($A72:E72), LEFT(E71, LEN(E71)-Source!$C72), IF(Source!$G72=COLUMNS($A72:E72), E71&amp;RIGHT(INDIRECT(ADDRESS(ROW(E72)-1, Source!$E72)), Source!$C72), E71))</f>
        <v>SVGZHSPVTMDBDTRRLF</v>
      </c>
      <c r="F72" s="2" t="str">
        <f>IF(Source!$E72=COLUMNS($A72:F72), LEFT(F71, LEN(F71)-Source!$C72), IF(Source!$G72=COLUMNS($A72:F72), F71&amp;RIGHT(INDIRECT(ADDRESS(ROW(F72)-1, Source!$E72)), Source!$C72), F71))</f>
        <v>JMLTQRQPD</v>
      </c>
      <c r="G72" s="2" t="str">
        <f>IF(Source!$E72=COLUMNS($A72:G72), LEFT(G71, LEN(G71)-Source!$C72), IF(Source!$G72=COLUMNS($A72:G72), G71&amp;RIGHT(INDIRECT(ADDRESS(ROW(G72)-1, Source!$E72)), Source!$C72), G71))</f>
        <v/>
      </c>
      <c r="H72" s="2" t="str">
        <f>IF(Source!$E72=COLUMNS($A72:H72), LEFT(H71, LEN(H71)-Source!$C72), IF(Source!$G72=COLUMNS($A72:H72), H71&amp;RIGHT(INDIRECT(ADDRESS(ROW(H72)-1, Source!$E72)), Source!$C72), H71))</f>
        <v>J</v>
      </c>
      <c r="I72" s="2" t="str">
        <f>IF(Source!$E72=COLUMNS($A72:I72), LEFT(I71, LEN(I71)-Source!$C72), IF(Source!$G72=COLUMNS($A72:I72), I71&amp;RIGHT(INDIRECT(ADDRESS(ROW(I72)-1, Source!$E72)), Source!$C72), I71))</f>
        <v>CRGPSWFLTZ</v>
      </c>
    </row>
    <row r="73">
      <c r="A73" s="2" t="str">
        <f>IF(Source!$E73=COLUMNS($A73:A73), LEFT(A72, LEN(A72)-Source!$C73), IF(Source!$G73=COLUMNS($A73:A73), A72&amp;RIGHT(INDIRECT(ADDRESS(ROW(A73)-1, Source!$E73)), Source!$C73), A72))</f>
        <v>TCDBZHRBTCDD</v>
      </c>
      <c r="B73" s="2" t="str">
        <f>IF(Source!$E73=COLUMNS($A73:B73), LEFT(B72, LEN(B72)-Source!$C73), IF(Source!$G73=COLUMNS($A73:B73), B72&amp;RIGHT(INDIRECT(ADDRESS(ROW(B73)-1, Source!$E73)), Source!$C73), B72))</f>
        <v>SWBVMJSWFLTZ</v>
      </c>
      <c r="C73" s="2" t="str">
        <f>IF(Source!$E73=COLUMNS($A73:C73), LEFT(C72, LEN(C72)-Source!$C73), IF(Source!$G73=COLUMNS($A73:C73), C72&amp;RIGHT(INDIRECT(ADDRESS(ROW(C73)-1, Source!$E73)), Source!$C73), C72))</f>
        <v/>
      </c>
      <c r="D73" s="2" t="str">
        <f>IF(Source!$E73=COLUMNS($A73:D73), LEFT(D72, LEN(D72)-Source!$C73), IF(Source!$G73=COLUMNS($A73:D73), D72&amp;RIGHT(INDIRECT(ADDRESS(ROW(D73)-1, Source!$E73)), Source!$C73), D72))</f>
        <v/>
      </c>
      <c r="E73" s="2" t="str">
        <f>IF(Source!$E73=COLUMNS($A73:E73), LEFT(E72, LEN(E72)-Source!$C73), IF(Source!$G73=COLUMNS($A73:E73), E72&amp;RIGHT(INDIRECT(ADDRESS(ROW(E73)-1, Source!$E73)), Source!$C73), E72))</f>
        <v>SVGZHSPVTMDBDTRRLF</v>
      </c>
      <c r="F73" s="2" t="str">
        <f>IF(Source!$E73=COLUMNS($A73:F73), LEFT(F72, LEN(F72)-Source!$C73), IF(Source!$G73=COLUMNS($A73:F73), F72&amp;RIGHT(INDIRECT(ADDRESS(ROW(F73)-1, Source!$E73)), Source!$C73), F72))</f>
        <v>JMLTQRQPD</v>
      </c>
      <c r="G73" s="2" t="str">
        <f>IF(Source!$E73=COLUMNS($A73:G73), LEFT(G72, LEN(G72)-Source!$C73), IF(Source!$G73=COLUMNS($A73:G73), G72&amp;RIGHT(INDIRECT(ADDRESS(ROW(G73)-1, Source!$E73)), Source!$C73), G72))</f>
        <v/>
      </c>
      <c r="H73" s="2" t="str">
        <f>IF(Source!$E73=COLUMNS($A73:H73), LEFT(H72, LEN(H72)-Source!$C73), IF(Source!$G73=COLUMNS($A73:H73), H72&amp;RIGHT(INDIRECT(ADDRESS(ROW(H73)-1, Source!$E73)), Source!$C73), H72))</f>
        <v>J</v>
      </c>
      <c r="I73" s="2" t="str">
        <f>IF(Source!$E73=COLUMNS($A73:I73), LEFT(I72, LEN(I72)-Source!$C73), IF(Source!$G73=COLUMNS($A73:I73), I72&amp;RIGHT(INDIRECT(ADDRESS(ROW(I73)-1, Source!$E73)), Source!$C73), I72))</f>
        <v>CRGP</v>
      </c>
    </row>
    <row r="74">
      <c r="A74" s="2" t="str">
        <f>IF(Source!$E74=COLUMNS($A74:A74), LEFT(A73, LEN(A73)-Source!$C74), IF(Source!$G74=COLUMNS($A74:A74), A73&amp;RIGHT(INDIRECT(ADDRESS(ROW(A74)-1, Source!$E74)), Source!$C74), A73))</f>
        <v>TCDBZHRBTCDD</v>
      </c>
      <c r="B74" s="2" t="str">
        <f>IF(Source!$E74=COLUMNS($A74:B74), LEFT(B73, LEN(B73)-Source!$C74), IF(Source!$G74=COLUMNS($A74:B74), B73&amp;RIGHT(INDIRECT(ADDRESS(ROW(B74)-1, Source!$E74)), Source!$C74), B73))</f>
        <v>SWBVMJSWFLTZ</v>
      </c>
      <c r="C74" s="2" t="str">
        <f>IF(Source!$E74=COLUMNS($A74:C74), LEFT(C73, LEN(C73)-Source!$C74), IF(Source!$G74=COLUMNS($A74:C74), C73&amp;RIGHT(INDIRECT(ADDRESS(ROW(C74)-1, Source!$E74)), Source!$C74), C73))</f>
        <v/>
      </c>
      <c r="D74" s="2" t="str">
        <f>IF(Source!$E74=COLUMNS($A74:D74), LEFT(D73, LEN(D73)-Source!$C74), IF(Source!$G74=COLUMNS($A74:D74), D73&amp;RIGHT(INDIRECT(ADDRESS(ROW(D74)-1, Source!$E74)), Source!$C74), D73))</f>
        <v/>
      </c>
      <c r="E74" s="2" t="str">
        <f>IF(Source!$E74=COLUMNS($A74:E74), LEFT(E73, LEN(E73)-Source!$C74), IF(Source!$G74=COLUMNS($A74:E74), E73&amp;RIGHT(INDIRECT(ADDRESS(ROW(E74)-1, Source!$E74)), Source!$C74), E73))</f>
        <v>SVGZHSPVTMDBDTRRLFP</v>
      </c>
      <c r="F74" s="2" t="str">
        <f>IF(Source!$E74=COLUMNS($A74:F74), LEFT(F73, LEN(F73)-Source!$C74), IF(Source!$G74=COLUMNS($A74:F74), F73&amp;RIGHT(INDIRECT(ADDRESS(ROW(F74)-1, Source!$E74)), Source!$C74), F73))</f>
        <v>JMLTQRQPD</v>
      </c>
      <c r="G74" s="2" t="str">
        <f>IF(Source!$E74=COLUMNS($A74:G74), LEFT(G73, LEN(G73)-Source!$C74), IF(Source!$G74=COLUMNS($A74:G74), G73&amp;RIGHT(INDIRECT(ADDRESS(ROW(G74)-1, Source!$E74)), Source!$C74), G73))</f>
        <v/>
      </c>
      <c r="H74" s="2" t="str">
        <f>IF(Source!$E74=COLUMNS($A74:H74), LEFT(H73, LEN(H73)-Source!$C74), IF(Source!$G74=COLUMNS($A74:H74), H73&amp;RIGHT(INDIRECT(ADDRESS(ROW(H74)-1, Source!$E74)), Source!$C74), H73))</f>
        <v>J</v>
      </c>
      <c r="I74" s="2" t="str">
        <f>IF(Source!$E74=COLUMNS($A74:I74), LEFT(I73, LEN(I73)-Source!$C74), IF(Source!$G74=COLUMNS($A74:I74), I73&amp;RIGHT(INDIRECT(ADDRESS(ROW(I74)-1, Source!$E74)), Source!$C74), I73))</f>
        <v>CRG</v>
      </c>
    </row>
    <row r="75">
      <c r="A75" s="2" t="str">
        <f>IF(Source!$E75=COLUMNS($A75:A75), LEFT(A74, LEN(A74)-Source!$C75), IF(Source!$G75=COLUMNS($A75:A75), A74&amp;RIGHT(INDIRECT(ADDRESS(ROW(A75)-1, Source!$E75)), Source!$C75), A74))</f>
        <v>TCDBZHRBTCDD</v>
      </c>
      <c r="B75" s="2" t="str">
        <f>IF(Source!$E75=COLUMNS($A75:B75), LEFT(B74, LEN(B74)-Source!$C75), IF(Source!$G75=COLUMNS($A75:B75), B74&amp;RIGHT(INDIRECT(ADDRESS(ROW(B75)-1, Source!$E75)), Source!$C75), B74))</f>
        <v>S</v>
      </c>
      <c r="C75" s="2" t="str">
        <f>IF(Source!$E75=COLUMNS($A75:C75), LEFT(C74, LEN(C74)-Source!$C75), IF(Source!$G75=COLUMNS($A75:C75), C74&amp;RIGHT(INDIRECT(ADDRESS(ROW(C75)-1, Source!$E75)), Source!$C75), C74))</f>
        <v/>
      </c>
      <c r="D75" s="2" t="str">
        <f>IF(Source!$E75=COLUMNS($A75:D75), LEFT(D74, LEN(D74)-Source!$C75), IF(Source!$G75=COLUMNS($A75:D75), D74&amp;RIGHT(INDIRECT(ADDRESS(ROW(D75)-1, Source!$E75)), Source!$C75), D74))</f>
        <v/>
      </c>
      <c r="E75" s="2" t="str">
        <f>IF(Source!$E75=COLUMNS($A75:E75), LEFT(E74, LEN(E74)-Source!$C75), IF(Source!$G75=COLUMNS($A75:E75), E74&amp;RIGHT(INDIRECT(ADDRESS(ROW(E75)-1, Source!$E75)), Source!$C75), E74))</f>
        <v>SVGZHSPVTMDBDTRRLFP</v>
      </c>
      <c r="F75" s="2" t="str">
        <f>IF(Source!$E75=COLUMNS($A75:F75), LEFT(F74, LEN(F74)-Source!$C75), IF(Source!$G75=COLUMNS($A75:F75), F74&amp;RIGHT(INDIRECT(ADDRESS(ROW(F75)-1, Source!$E75)), Source!$C75), F74))</f>
        <v>JMLTQRQPDWBVMJSWFLTZ</v>
      </c>
      <c r="G75" s="2" t="str">
        <f>IF(Source!$E75=COLUMNS($A75:G75), LEFT(G74, LEN(G74)-Source!$C75), IF(Source!$G75=COLUMNS($A75:G75), G74&amp;RIGHT(INDIRECT(ADDRESS(ROW(G75)-1, Source!$E75)), Source!$C75), G74))</f>
        <v/>
      </c>
      <c r="H75" s="2" t="str">
        <f>IF(Source!$E75=COLUMNS($A75:H75), LEFT(H74, LEN(H74)-Source!$C75), IF(Source!$G75=COLUMNS($A75:H75), H74&amp;RIGHT(INDIRECT(ADDRESS(ROW(H75)-1, Source!$E75)), Source!$C75), H74))</f>
        <v>J</v>
      </c>
      <c r="I75" s="2" t="str">
        <f>IF(Source!$E75=COLUMNS($A75:I75), LEFT(I74, LEN(I74)-Source!$C75), IF(Source!$G75=COLUMNS($A75:I75), I74&amp;RIGHT(INDIRECT(ADDRESS(ROW(I75)-1, Source!$E75)), Source!$C75), I74))</f>
        <v>CRG</v>
      </c>
    </row>
    <row r="76">
      <c r="A76" s="2" t="str">
        <f>IF(Source!$E76=COLUMNS($A76:A76), LEFT(A75, LEN(A75)-Source!$C76), IF(Source!$G76=COLUMNS($A76:A76), A75&amp;RIGHT(INDIRECT(ADDRESS(ROW(A76)-1, Source!$E76)), Source!$C76), A75))</f>
        <v>TCDBZHRBTCDD</v>
      </c>
      <c r="B76" s="2" t="str">
        <f>IF(Source!$E76=COLUMNS($A76:B76), LEFT(B75, LEN(B75)-Source!$C76), IF(Source!$G76=COLUMNS($A76:B76), B75&amp;RIGHT(INDIRECT(ADDRESS(ROW(B76)-1, Source!$E76)), Source!$C76), B75))</f>
        <v>S</v>
      </c>
      <c r="C76" s="2" t="str">
        <f>IF(Source!$E76=COLUMNS($A76:C76), LEFT(C75, LEN(C75)-Source!$C76), IF(Source!$G76=COLUMNS($A76:C76), C75&amp;RIGHT(INDIRECT(ADDRESS(ROW(C76)-1, Source!$E76)), Source!$C76), C75))</f>
        <v/>
      </c>
      <c r="D76" s="2" t="str">
        <f>IF(Source!$E76=COLUMNS($A76:D76), LEFT(D75, LEN(D75)-Source!$C76), IF(Source!$G76=COLUMNS($A76:D76), D75&amp;RIGHT(INDIRECT(ADDRESS(ROW(D76)-1, Source!$E76)), Source!$C76), D75))</f>
        <v>FP</v>
      </c>
      <c r="E76" s="2" t="str">
        <f>IF(Source!$E76=COLUMNS($A76:E76), LEFT(E75, LEN(E75)-Source!$C76), IF(Source!$G76=COLUMNS($A76:E76), E75&amp;RIGHT(INDIRECT(ADDRESS(ROW(E76)-1, Source!$E76)), Source!$C76), E75))</f>
        <v>SVGZHSPVTMDBDTRRL</v>
      </c>
      <c r="F76" s="2" t="str">
        <f>IF(Source!$E76=COLUMNS($A76:F76), LEFT(F75, LEN(F75)-Source!$C76), IF(Source!$G76=COLUMNS($A76:F76), F75&amp;RIGHT(INDIRECT(ADDRESS(ROW(F76)-1, Source!$E76)), Source!$C76), F75))</f>
        <v>JMLTQRQPDWBVMJSWFLTZ</v>
      </c>
      <c r="G76" s="2" t="str">
        <f>IF(Source!$E76=COLUMNS($A76:G76), LEFT(G75, LEN(G75)-Source!$C76), IF(Source!$G76=COLUMNS($A76:G76), G75&amp;RIGHT(INDIRECT(ADDRESS(ROW(G76)-1, Source!$E76)), Source!$C76), G75))</f>
        <v/>
      </c>
      <c r="H76" s="2" t="str">
        <f>IF(Source!$E76=COLUMNS($A76:H76), LEFT(H75, LEN(H75)-Source!$C76), IF(Source!$G76=COLUMNS($A76:H76), H75&amp;RIGHT(INDIRECT(ADDRESS(ROW(H76)-1, Source!$E76)), Source!$C76), H75))</f>
        <v>J</v>
      </c>
      <c r="I76" s="2" t="str">
        <f>IF(Source!$E76=COLUMNS($A76:I76), LEFT(I75, LEN(I75)-Source!$C76), IF(Source!$G76=COLUMNS($A76:I76), I75&amp;RIGHT(INDIRECT(ADDRESS(ROW(I76)-1, Source!$E76)), Source!$C76), I75))</f>
        <v>CRG</v>
      </c>
    </row>
    <row r="77">
      <c r="A77" s="2" t="str">
        <f>IF(Source!$E77=COLUMNS($A77:A77), LEFT(A76, LEN(A76)-Source!$C77), IF(Source!$G77=COLUMNS($A77:A77), A76&amp;RIGHT(INDIRECT(ADDRESS(ROW(A77)-1, Source!$E77)), Source!$C77), A76))</f>
        <v>TCDBZHRBTCDD</v>
      </c>
      <c r="B77" s="2" t="str">
        <f>IF(Source!$E77=COLUMNS($A77:B77), LEFT(B76, LEN(B76)-Source!$C77), IF(Source!$G77=COLUMNS($A77:B77), B76&amp;RIGHT(INDIRECT(ADDRESS(ROW(B77)-1, Source!$E77)), Source!$C77), B76))</f>
        <v/>
      </c>
      <c r="C77" s="2" t="str">
        <f>IF(Source!$E77=COLUMNS($A77:C77), LEFT(C76, LEN(C76)-Source!$C77), IF(Source!$G77=COLUMNS($A77:C77), C76&amp;RIGHT(INDIRECT(ADDRESS(ROW(C77)-1, Source!$E77)), Source!$C77), C76))</f>
        <v/>
      </c>
      <c r="D77" s="2" t="str">
        <f>IF(Source!$E77=COLUMNS($A77:D77), LEFT(D76, LEN(D76)-Source!$C77), IF(Source!$G77=COLUMNS($A77:D77), D76&amp;RIGHT(INDIRECT(ADDRESS(ROW(D77)-1, Source!$E77)), Source!$C77), D76))</f>
        <v>FP</v>
      </c>
      <c r="E77" s="2" t="str">
        <f>IF(Source!$E77=COLUMNS($A77:E77), LEFT(E76, LEN(E76)-Source!$C77), IF(Source!$G77=COLUMNS($A77:E77), E76&amp;RIGHT(INDIRECT(ADDRESS(ROW(E77)-1, Source!$E77)), Source!$C77), E76))</f>
        <v>SVGZHSPVTMDBDTRRL</v>
      </c>
      <c r="F77" s="2" t="str">
        <f>IF(Source!$E77=COLUMNS($A77:F77), LEFT(F76, LEN(F76)-Source!$C77), IF(Source!$G77=COLUMNS($A77:F77), F76&amp;RIGHT(INDIRECT(ADDRESS(ROW(F77)-1, Source!$E77)), Source!$C77), F76))</f>
        <v>JMLTQRQPDWBVMJSWFLTZ</v>
      </c>
      <c r="G77" s="2" t="str">
        <f>IF(Source!$E77=COLUMNS($A77:G77), LEFT(G76, LEN(G76)-Source!$C77), IF(Source!$G77=COLUMNS($A77:G77), G76&amp;RIGHT(INDIRECT(ADDRESS(ROW(G77)-1, Source!$E77)), Source!$C77), G76))</f>
        <v/>
      </c>
      <c r="H77" s="2" t="str">
        <f>IF(Source!$E77=COLUMNS($A77:H77), LEFT(H76, LEN(H76)-Source!$C77), IF(Source!$G77=COLUMNS($A77:H77), H76&amp;RIGHT(INDIRECT(ADDRESS(ROW(H77)-1, Source!$E77)), Source!$C77), H76))</f>
        <v>JS</v>
      </c>
      <c r="I77" s="2" t="str">
        <f>IF(Source!$E77=COLUMNS($A77:I77), LEFT(I76, LEN(I76)-Source!$C77), IF(Source!$G77=COLUMNS($A77:I77), I76&amp;RIGHT(INDIRECT(ADDRESS(ROW(I77)-1, Source!$E77)), Source!$C77), I76))</f>
        <v>CRG</v>
      </c>
    </row>
    <row r="78">
      <c r="A78" s="2" t="str">
        <f>IF(Source!$E78=COLUMNS($A78:A78), LEFT(A77, LEN(A77)-Source!$C78), IF(Source!$G78=COLUMNS($A78:A78), A77&amp;RIGHT(INDIRECT(ADDRESS(ROW(A78)-1, Source!$E78)), Source!$C78), A77))</f>
        <v>TCDBZHRBTCDD</v>
      </c>
      <c r="B78" s="2" t="str">
        <f>IF(Source!$E78=COLUMNS($A78:B78), LEFT(B77, LEN(B77)-Source!$C78), IF(Source!$G78=COLUMNS($A78:B78), B77&amp;RIGHT(INDIRECT(ADDRESS(ROW(B78)-1, Source!$E78)), Source!$C78), B77))</f>
        <v/>
      </c>
      <c r="C78" s="2" t="str">
        <f>IF(Source!$E78=COLUMNS($A78:C78), LEFT(C77, LEN(C77)-Source!$C78), IF(Source!$G78=COLUMNS($A78:C78), C77&amp;RIGHT(INDIRECT(ADDRESS(ROW(C78)-1, Source!$E78)), Source!$C78), C77))</f>
        <v/>
      </c>
      <c r="D78" s="2" t="str">
        <f>IF(Source!$E78=COLUMNS($A78:D78), LEFT(D77, LEN(D77)-Source!$C78), IF(Source!$G78=COLUMNS($A78:D78), D77&amp;RIGHT(INDIRECT(ADDRESS(ROW(D78)-1, Source!$E78)), Source!$C78), D77))</f>
        <v/>
      </c>
      <c r="E78" s="2" t="str">
        <f>IF(Source!$E78=COLUMNS($A78:E78), LEFT(E77, LEN(E77)-Source!$C78), IF(Source!$G78=COLUMNS($A78:E78), E77&amp;RIGHT(INDIRECT(ADDRESS(ROW(E78)-1, Source!$E78)), Source!$C78), E77))</f>
        <v>SVGZHSPVTMDBDTRRL</v>
      </c>
      <c r="F78" s="2" t="str">
        <f>IF(Source!$E78=COLUMNS($A78:F78), LEFT(F77, LEN(F77)-Source!$C78), IF(Source!$G78=COLUMNS($A78:F78), F77&amp;RIGHT(INDIRECT(ADDRESS(ROW(F78)-1, Source!$E78)), Source!$C78), F77))</f>
        <v>JMLTQRQPDWBVMJSWFLTZ</v>
      </c>
      <c r="G78" s="2" t="str">
        <f>IF(Source!$E78=COLUMNS($A78:G78), LEFT(G77, LEN(G77)-Source!$C78), IF(Source!$G78=COLUMNS($A78:G78), G77&amp;RIGHT(INDIRECT(ADDRESS(ROW(G78)-1, Source!$E78)), Source!$C78), G77))</f>
        <v/>
      </c>
      <c r="H78" s="2" t="str">
        <f>IF(Source!$E78=COLUMNS($A78:H78), LEFT(H77, LEN(H77)-Source!$C78), IF(Source!$G78=COLUMNS($A78:H78), H77&amp;RIGHT(INDIRECT(ADDRESS(ROW(H78)-1, Source!$E78)), Source!$C78), H77))</f>
        <v>JS</v>
      </c>
      <c r="I78" s="2" t="str">
        <f>IF(Source!$E78=COLUMNS($A78:I78), LEFT(I77, LEN(I77)-Source!$C78), IF(Source!$G78=COLUMNS($A78:I78), I77&amp;RIGHT(INDIRECT(ADDRESS(ROW(I78)-1, Source!$E78)), Source!$C78), I77))</f>
        <v>CRGFP</v>
      </c>
    </row>
    <row r="79">
      <c r="A79" s="2" t="str">
        <f>IF(Source!$E79=COLUMNS($A79:A79), LEFT(A78, LEN(A78)-Source!$C79), IF(Source!$G79=COLUMNS($A79:A79), A78&amp;RIGHT(INDIRECT(ADDRESS(ROW(A79)-1, Source!$E79)), Source!$C79), A78))</f>
        <v>TCDBZHRBTCDD</v>
      </c>
      <c r="B79" s="2" t="str">
        <f>IF(Source!$E79=COLUMNS($A79:B79), LEFT(B78, LEN(B78)-Source!$C79), IF(Source!$G79=COLUMNS($A79:B79), B78&amp;RIGHT(INDIRECT(ADDRESS(ROW(B79)-1, Source!$E79)), Source!$C79), B78))</f>
        <v/>
      </c>
      <c r="C79" s="2" t="str">
        <f>IF(Source!$E79=COLUMNS($A79:C79), LEFT(C78, LEN(C78)-Source!$C79), IF(Source!$G79=COLUMNS($A79:C79), C78&amp;RIGHT(INDIRECT(ADDRESS(ROW(C79)-1, Source!$E79)), Source!$C79), C78))</f>
        <v>JS</v>
      </c>
      <c r="D79" s="2" t="str">
        <f>IF(Source!$E79=COLUMNS($A79:D79), LEFT(D78, LEN(D78)-Source!$C79), IF(Source!$G79=COLUMNS($A79:D79), D78&amp;RIGHT(INDIRECT(ADDRESS(ROW(D79)-1, Source!$E79)), Source!$C79), D78))</f>
        <v/>
      </c>
      <c r="E79" s="2" t="str">
        <f>IF(Source!$E79=COLUMNS($A79:E79), LEFT(E78, LEN(E78)-Source!$C79), IF(Source!$G79=COLUMNS($A79:E79), E78&amp;RIGHT(INDIRECT(ADDRESS(ROW(E79)-1, Source!$E79)), Source!$C79), E78))</f>
        <v>SVGZHSPVTMDBDTRRL</v>
      </c>
      <c r="F79" s="2" t="str">
        <f>IF(Source!$E79=COLUMNS($A79:F79), LEFT(F78, LEN(F78)-Source!$C79), IF(Source!$G79=COLUMNS($A79:F79), F78&amp;RIGHT(INDIRECT(ADDRESS(ROW(F79)-1, Source!$E79)), Source!$C79), F78))</f>
        <v>JMLTQRQPDWBVMJSWFLTZ</v>
      </c>
      <c r="G79" s="2" t="str">
        <f>IF(Source!$E79=COLUMNS($A79:G79), LEFT(G78, LEN(G78)-Source!$C79), IF(Source!$G79=COLUMNS($A79:G79), G78&amp;RIGHT(INDIRECT(ADDRESS(ROW(G79)-1, Source!$E79)), Source!$C79), G78))</f>
        <v/>
      </c>
      <c r="H79" s="2" t="str">
        <f>IF(Source!$E79=COLUMNS($A79:H79), LEFT(H78, LEN(H78)-Source!$C79), IF(Source!$G79=COLUMNS($A79:H79), H78&amp;RIGHT(INDIRECT(ADDRESS(ROW(H79)-1, Source!$E79)), Source!$C79), H78))</f>
        <v/>
      </c>
      <c r="I79" s="2" t="str">
        <f>IF(Source!$E79=COLUMNS($A79:I79), LEFT(I78, LEN(I78)-Source!$C79), IF(Source!$G79=COLUMNS($A79:I79), I78&amp;RIGHT(INDIRECT(ADDRESS(ROW(I79)-1, Source!$E79)), Source!$C79), I78))</f>
        <v>CRGFP</v>
      </c>
    </row>
    <row r="80">
      <c r="A80" s="2" t="str">
        <f>IF(Source!$E80=COLUMNS($A80:A80), LEFT(A79, LEN(A79)-Source!$C80), IF(Source!$G80=COLUMNS($A80:A80), A79&amp;RIGHT(INDIRECT(ADDRESS(ROW(A80)-1, Source!$E80)), Source!$C80), A79))</f>
        <v>TCDBZHRBTCDD</v>
      </c>
      <c r="B80" s="2" t="str">
        <f>IF(Source!$E80=COLUMNS($A80:B80), LEFT(B79, LEN(B79)-Source!$C80), IF(Source!$G80=COLUMNS($A80:B80), B79&amp;RIGHT(INDIRECT(ADDRESS(ROW(B80)-1, Source!$E80)), Source!$C80), B79))</f>
        <v/>
      </c>
      <c r="C80" s="2" t="str">
        <f>IF(Source!$E80=COLUMNS($A80:C80), LEFT(C79, LEN(C79)-Source!$C80), IF(Source!$G80=COLUMNS($A80:C80), C79&amp;RIGHT(INDIRECT(ADDRESS(ROW(C80)-1, Source!$E80)), Source!$C80), C79))</f>
        <v>JS</v>
      </c>
      <c r="D80" s="2" t="str">
        <f>IF(Source!$E80=COLUMNS($A80:D80), LEFT(D79, LEN(D79)-Source!$C80), IF(Source!$G80=COLUMNS($A80:D80), D79&amp;RIGHT(INDIRECT(ADDRESS(ROW(D80)-1, Source!$E80)), Source!$C80), D79))</f>
        <v/>
      </c>
      <c r="E80" s="2" t="str">
        <f>IF(Source!$E80=COLUMNS($A80:E80), LEFT(E79, LEN(E79)-Source!$C80), IF(Source!$G80=COLUMNS($A80:E80), E79&amp;RIGHT(INDIRECT(ADDRESS(ROW(E80)-1, Source!$E80)), Source!$C80), E79))</f>
        <v>SVGZHSPVTMDBDTRRL</v>
      </c>
      <c r="F80" s="2" t="str">
        <f>IF(Source!$E80=COLUMNS($A80:F80), LEFT(F79, LEN(F79)-Source!$C80), IF(Source!$G80=COLUMNS($A80:F80), F79&amp;RIGHT(INDIRECT(ADDRESS(ROW(F80)-1, Source!$E80)), Source!$C80), F79))</f>
        <v>JMLTQRQPDWBVMJSWFLT</v>
      </c>
      <c r="G80" s="2" t="str">
        <f>IF(Source!$E80=COLUMNS($A80:G80), LEFT(G79, LEN(G79)-Source!$C80), IF(Source!$G80=COLUMNS($A80:G80), G79&amp;RIGHT(INDIRECT(ADDRESS(ROW(G80)-1, Source!$E80)), Source!$C80), G79))</f>
        <v/>
      </c>
      <c r="H80" s="2" t="str">
        <f>IF(Source!$E80=COLUMNS($A80:H80), LEFT(H79, LEN(H79)-Source!$C80), IF(Source!$G80=COLUMNS($A80:H80), H79&amp;RIGHT(INDIRECT(ADDRESS(ROW(H80)-1, Source!$E80)), Source!$C80), H79))</f>
        <v>Z</v>
      </c>
      <c r="I80" s="2" t="str">
        <f>IF(Source!$E80=COLUMNS($A80:I80), LEFT(I79, LEN(I79)-Source!$C80), IF(Source!$G80=COLUMNS($A80:I80), I79&amp;RIGHT(INDIRECT(ADDRESS(ROW(I80)-1, Source!$E80)), Source!$C80), I79))</f>
        <v>CRGFP</v>
      </c>
    </row>
    <row r="81">
      <c r="A81" s="2" t="str">
        <f>IF(Source!$E81=COLUMNS($A81:A81), LEFT(A80, LEN(A80)-Source!$C81), IF(Source!$G81=COLUMNS($A81:A81), A80&amp;RIGHT(INDIRECT(ADDRESS(ROW(A81)-1, Source!$E81)), Source!$C81), A80))</f>
        <v>TCDBZHRBTCDD</v>
      </c>
      <c r="B81" s="2" t="str">
        <f>IF(Source!$E81=COLUMNS($A81:B81), LEFT(B80, LEN(B80)-Source!$C81), IF(Source!$G81=COLUMNS($A81:B81), B80&amp;RIGHT(INDIRECT(ADDRESS(ROW(B81)-1, Source!$E81)), Source!$C81), B80))</f>
        <v/>
      </c>
      <c r="C81" s="2" t="str">
        <f>IF(Source!$E81=COLUMNS($A81:C81), LEFT(C80, LEN(C80)-Source!$C81), IF(Source!$G81=COLUMNS($A81:C81), C80&amp;RIGHT(INDIRECT(ADDRESS(ROW(C81)-1, Source!$E81)), Source!$C81), C80))</f>
        <v>JS</v>
      </c>
      <c r="D81" s="2" t="str">
        <f>IF(Source!$E81=COLUMNS($A81:D81), LEFT(D80, LEN(D80)-Source!$C81), IF(Source!$G81=COLUMNS($A81:D81), D80&amp;RIGHT(INDIRECT(ADDRESS(ROW(D81)-1, Source!$E81)), Source!$C81), D80))</f>
        <v/>
      </c>
      <c r="E81" s="2" t="str">
        <f>IF(Source!$E81=COLUMNS($A81:E81), LEFT(E80, LEN(E80)-Source!$C81), IF(Source!$G81=COLUMNS($A81:E81), E80&amp;RIGHT(INDIRECT(ADDRESS(ROW(E81)-1, Source!$E81)), Source!$C81), E80))</f>
        <v>SVGZHSPVTMDBDTRRL</v>
      </c>
      <c r="F81" s="2" t="str">
        <f>IF(Source!$E81=COLUMNS($A81:F81), LEFT(F80, LEN(F80)-Source!$C81), IF(Source!$G81=COLUMNS($A81:F81), F80&amp;RIGHT(INDIRECT(ADDRESS(ROW(F81)-1, Source!$E81)), Source!$C81), F80))</f>
        <v>JMLTQRQPDWBVMJSWFLT</v>
      </c>
      <c r="G81" s="2" t="str">
        <f>IF(Source!$E81=COLUMNS($A81:G81), LEFT(G80, LEN(G80)-Source!$C81), IF(Source!$G81=COLUMNS($A81:G81), G80&amp;RIGHT(INDIRECT(ADDRESS(ROW(G81)-1, Source!$E81)), Source!$C81), G80))</f>
        <v>RGFP</v>
      </c>
      <c r="H81" s="2" t="str">
        <f>IF(Source!$E81=COLUMNS($A81:H81), LEFT(H80, LEN(H80)-Source!$C81), IF(Source!$G81=COLUMNS($A81:H81), H80&amp;RIGHT(INDIRECT(ADDRESS(ROW(H81)-1, Source!$E81)), Source!$C81), H80))</f>
        <v>Z</v>
      </c>
      <c r="I81" s="2" t="str">
        <f>IF(Source!$E81=COLUMNS($A81:I81), LEFT(I80, LEN(I80)-Source!$C81), IF(Source!$G81=COLUMNS($A81:I81), I80&amp;RIGHT(INDIRECT(ADDRESS(ROW(I81)-1, Source!$E81)), Source!$C81), I80))</f>
        <v>C</v>
      </c>
    </row>
    <row r="82">
      <c r="A82" s="2" t="str">
        <f>IF(Source!$E82=COLUMNS($A82:A82), LEFT(A81, LEN(A81)-Source!$C82), IF(Source!$G82=COLUMNS($A82:A82), A81&amp;RIGHT(INDIRECT(ADDRESS(ROW(A82)-1, Source!$E82)), Source!$C82), A81))</f>
        <v>TCDBZHRBTCDD</v>
      </c>
      <c r="B82" s="2" t="str">
        <f>IF(Source!$E82=COLUMNS($A82:B82), LEFT(B81, LEN(B81)-Source!$C82), IF(Source!$G82=COLUMNS($A82:B82), B81&amp;RIGHT(INDIRECT(ADDRESS(ROW(B82)-1, Source!$E82)), Source!$C82), B81))</f>
        <v/>
      </c>
      <c r="C82" s="2" t="str">
        <f>IF(Source!$E82=COLUMNS($A82:C82), LEFT(C81, LEN(C81)-Source!$C82), IF(Source!$G82=COLUMNS($A82:C82), C81&amp;RIGHT(INDIRECT(ADDRESS(ROW(C82)-1, Source!$E82)), Source!$C82), C81))</f>
        <v>JS</v>
      </c>
      <c r="D82" s="2" t="str">
        <f>IF(Source!$E82=COLUMNS($A82:D82), LEFT(D81, LEN(D81)-Source!$C82), IF(Source!$G82=COLUMNS($A82:D82), D81&amp;RIGHT(INDIRECT(ADDRESS(ROW(D82)-1, Source!$E82)), Source!$C82), D81))</f>
        <v/>
      </c>
      <c r="E82" s="2" t="str">
        <f>IF(Source!$E82=COLUMNS($A82:E82), LEFT(E81, LEN(E81)-Source!$C82), IF(Source!$G82=COLUMNS($A82:E82), E81&amp;RIGHT(INDIRECT(ADDRESS(ROW(E82)-1, Source!$E82)), Source!$C82), E81))</f>
        <v>SVGZHSPVTMDBDTRRL</v>
      </c>
      <c r="F82" s="2" t="str">
        <f>IF(Source!$E82=COLUMNS($A82:F82), LEFT(F81, LEN(F81)-Source!$C82), IF(Source!$G82=COLUMNS($A82:F82), F81&amp;RIGHT(INDIRECT(ADDRESS(ROW(F82)-1, Source!$E82)), Source!$C82), F81))</f>
        <v>JMLTQRQPDWBVMJSWFLT</v>
      </c>
      <c r="G82" s="2" t="str">
        <f>IF(Source!$E82=COLUMNS($A82:G82), LEFT(G81, LEN(G81)-Source!$C82), IF(Source!$G82=COLUMNS($A82:G82), G81&amp;RIGHT(INDIRECT(ADDRESS(ROW(G82)-1, Source!$E82)), Source!$C82), G81))</f>
        <v/>
      </c>
      <c r="H82" s="2" t="str">
        <f>IF(Source!$E82=COLUMNS($A82:H82), LEFT(H81, LEN(H81)-Source!$C82), IF(Source!$G82=COLUMNS($A82:H82), H81&amp;RIGHT(INDIRECT(ADDRESS(ROW(H82)-1, Source!$E82)), Source!$C82), H81))</f>
        <v>ZRGFP</v>
      </c>
      <c r="I82" s="2" t="str">
        <f>IF(Source!$E82=COLUMNS($A82:I82), LEFT(I81, LEN(I81)-Source!$C82), IF(Source!$G82=COLUMNS($A82:I82), I81&amp;RIGHT(INDIRECT(ADDRESS(ROW(I82)-1, Source!$E82)), Source!$C82), I81))</f>
        <v>C</v>
      </c>
    </row>
    <row r="83">
      <c r="A83" s="2" t="str">
        <f>IF(Source!$E83=COLUMNS($A83:A83), LEFT(A82, LEN(A82)-Source!$C83), IF(Source!$G83=COLUMNS($A83:A83), A82&amp;RIGHT(INDIRECT(ADDRESS(ROW(A83)-1, Source!$E83)), Source!$C83), A82))</f>
        <v>TCDBZHRBTCDDDBDTRRL</v>
      </c>
      <c r="B83" s="2" t="str">
        <f>IF(Source!$E83=COLUMNS($A83:B83), LEFT(B82, LEN(B82)-Source!$C83), IF(Source!$G83=COLUMNS($A83:B83), B82&amp;RIGHT(INDIRECT(ADDRESS(ROW(B83)-1, Source!$E83)), Source!$C83), B82))</f>
        <v/>
      </c>
      <c r="C83" s="2" t="str">
        <f>IF(Source!$E83=COLUMNS($A83:C83), LEFT(C82, LEN(C82)-Source!$C83), IF(Source!$G83=COLUMNS($A83:C83), C82&amp;RIGHT(INDIRECT(ADDRESS(ROW(C83)-1, Source!$E83)), Source!$C83), C82))</f>
        <v>JS</v>
      </c>
      <c r="D83" s="2" t="str">
        <f>IF(Source!$E83=COLUMNS($A83:D83), LEFT(D82, LEN(D82)-Source!$C83), IF(Source!$G83=COLUMNS($A83:D83), D82&amp;RIGHT(INDIRECT(ADDRESS(ROW(D83)-1, Source!$E83)), Source!$C83), D82))</f>
        <v/>
      </c>
      <c r="E83" s="2" t="str">
        <f>IF(Source!$E83=COLUMNS($A83:E83), LEFT(E82, LEN(E82)-Source!$C83), IF(Source!$G83=COLUMNS($A83:E83), E82&amp;RIGHT(INDIRECT(ADDRESS(ROW(E83)-1, Source!$E83)), Source!$C83), E82))</f>
        <v>SVGZHSPVTM</v>
      </c>
      <c r="F83" s="2" t="str">
        <f>IF(Source!$E83=COLUMNS($A83:F83), LEFT(F82, LEN(F82)-Source!$C83), IF(Source!$G83=COLUMNS($A83:F83), F82&amp;RIGHT(INDIRECT(ADDRESS(ROW(F83)-1, Source!$E83)), Source!$C83), F82))</f>
        <v>JMLTQRQPDWBVMJSWFLT</v>
      </c>
      <c r="G83" s="2" t="str">
        <f>IF(Source!$E83=COLUMNS($A83:G83), LEFT(G82, LEN(G82)-Source!$C83), IF(Source!$G83=COLUMNS($A83:G83), G82&amp;RIGHT(INDIRECT(ADDRESS(ROW(G83)-1, Source!$E83)), Source!$C83), G82))</f>
        <v/>
      </c>
      <c r="H83" s="2" t="str">
        <f>IF(Source!$E83=COLUMNS($A83:H83), LEFT(H82, LEN(H82)-Source!$C83), IF(Source!$G83=COLUMNS($A83:H83), H82&amp;RIGHT(INDIRECT(ADDRESS(ROW(H83)-1, Source!$E83)), Source!$C83), H82))</f>
        <v>ZRGFP</v>
      </c>
      <c r="I83" s="2" t="str">
        <f>IF(Source!$E83=COLUMNS($A83:I83), LEFT(I82, LEN(I82)-Source!$C83), IF(Source!$G83=COLUMNS($A83:I83), I82&amp;RIGHT(INDIRECT(ADDRESS(ROW(I83)-1, Source!$E83)), Source!$C83), I82))</f>
        <v>C</v>
      </c>
    </row>
    <row r="84">
      <c r="A84" s="2" t="str">
        <f>IF(Source!$E84=COLUMNS($A84:A84), LEFT(A83, LEN(A83)-Source!$C84), IF(Source!$G84=COLUMNS($A84:A84), A83&amp;RIGHT(INDIRECT(ADDRESS(ROW(A84)-1, Source!$E84)), Source!$C84), A83))</f>
        <v>TCDBZHRBTCDDDBDTRRL</v>
      </c>
      <c r="B84" s="2" t="str">
        <f>IF(Source!$E84=COLUMNS($A84:B84), LEFT(B83, LEN(B83)-Source!$C84), IF(Source!$G84=COLUMNS($A84:B84), B83&amp;RIGHT(INDIRECT(ADDRESS(ROW(B84)-1, Source!$E84)), Source!$C84), B83))</f>
        <v/>
      </c>
      <c r="C84" s="2" t="str">
        <f>IF(Source!$E84=COLUMNS($A84:C84), LEFT(C83, LEN(C83)-Source!$C84), IF(Source!$G84=COLUMNS($A84:C84), C83&amp;RIGHT(INDIRECT(ADDRESS(ROW(C84)-1, Source!$E84)), Source!$C84), C83))</f>
        <v>JSWFLT</v>
      </c>
      <c r="D84" s="2" t="str">
        <f>IF(Source!$E84=COLUMNS($A84:D84), LEFT(D83, LEN(D83)-Source!$C84), IF(Source!$G84=COLUMNS($A84:D84), D83&amp;RIGHT(INDIRECT(ADDRESS(ROW(D84)-1, Source!$E84)), Source!$C84), D83))</f>
        <v/>
      </c>
      <c r="E84" s="2" t="str">
        <f>IF(Source!$E84=COLUMNS($A84:E84), LEFT(E83, LEN(E83)-Source!$C84), IF(Source!$G84=COLUMNS($A84:E84), E83&amp;RIGHT(INDIRECT(ADDRESS(ROW(E84)-1, Source!$E84)), Source!$C84), E83))</f>
        <v>SVGZHSPVTM</v>
      </c>
      <c r="F84" s="2" t="str">
        <f>IF(Source!$E84=COLUMNS($A84:F84), LEFT(F83, LEN(F83)-Source!$C84), IF(Source!$G84=COLUMNS($A84:F84), F83&amp;RIGHT(INDIRECT(ADDRESS(ROW(F84)-1, Source!$E84)), Source!$C84), F83))</f>
        <v>JMLTQRQPDWBVMJS</v>
      </c>
      <c r="G84" s="2" t="str">
        <f>IF(Source!$E84=COLUMNS($A84:G84), LEFT(G83, LEN(G83)-Source!$C84), IF(Source!$G84=COLUMNS($A84:G84), G83&amp;RIGHT(INDIRECT(ADDRESS(ROW(G84)-1, Source!$E84)), Source!$C84), G83))</f>
        <v/>
      </c>
      <c r="H84" s="2" t="str">
        <f>IF(Source!$E84=COLUMNS($A84:H84), LEFT(H83, LEN(H83)-Source!$C84), IF(Source!$G84=COLUMNS($A84:H84), H83&amp;RIGHT(INDIRECT(ADDRESS(ROW(H84)-1, Source!$E84)), Source!$C84), H83))</f>
        <v>ZRGFP</v>
      </c>
      <c r="I84" s="2" t="str">
        <f>IF(Source!$E84=COLUMNS($A84:I84), LEFT(I83, LEN(I83)-Source!$C84), IF(Source!$G84=COLUMNS($A84:I84), I83&amp;RIGHT(INDIRECT(ADDRESS(ROW(I84)-1, Source!$E84)), Source!$C84), I83))</f>
        <v>C</v>
      </c>
    </row>
    <row r="85">
      <c r="A85" s="2" t="str">
        <f>IF(Source!$E85=COLUMNS($A85:A85), LEFT(A84, LEN(A84)-Source!$C85), IF(Source!$G85=COLUMNS($A85:A85), A84&amp;RIGHT(INDIRECT(ADDRESS(ROW(A85)-1, Source!$E85)), Source!$C85), A84))</f>
        <v>TCDBZHRBTCDDDBDTRRL</v>
      </c>
      <c r="B85" s="2" t="str">
        <f>IF(Source!$E85=COLUMNS($A85:B85), LEFT(B84, LEN(B84)-Source!$C85), IF(Source!$G85=COLUMNS($A85:B85), B84&amp;RIGHT(INDIRECT(ADDRESS(ROW(B85)-1, Source!$E85)), Source!$C85), B84))</f>
        <v/>
      </c>
      <c r="C85" s="2" t="str">
        <f>IF(Source!$E85=COLUMNS($A85:C85), LEFT(C84, LEN(C84)-Source!$C85), IF(Source!$G85=COLUMNS($A85:C85), C84&amp;RIGHT(INDIRECT(ADDRESS(ROW(C85)-1, Source!$E85)), Source!$C85), C84))</f>
        <v>JSWF</v>
      </c>
      <c r="D85" s="2" t="str">
        <f>IF(Source!$E85=COLUMNS($A85:D85), LEFT(D84, LEN(D84)-Source!$C85), IF(Source!$G85=COLUMNS($A85:D85), D84&amp;RIGHT(INDIRECT(ADDRESS(ROW(D85)-1, Source!$E85)), Source!$C85), D84))</f>
        <v/>
      </c>
      <c r="E85" s="2" t="str">
        <f>IF(Source!$E85=COLUMNS($A85:E85), LEFT(E84, LEN(E84)-Source!$C85), IF(Source!$G85=COLUMNS($A85:E85), E84&amp;RIGHT(INDIRECT(ADDRESS(ROW(E85)-1, Source!$E85)), Source!$C85), E84))</f>
        <v>SVGZHSPVTM</v>
      </c>
      <c r="F85" s="2" t="str">
        <f>IF(Source!$E85=COLUMNS($A85:F85), LEFT(F84, LEN(F84)-Source!$C85), IF(Source!$G85=COLUMNS($A85:F85), F84&amp;RIGHT(INDIRECT(ADDRESS(ROW(F85)-1, Source!$E85)), Source!$C85), F84))</f>
        <v>JMLTQRQPDWBVMJS</v>
      </c>
      <c r="G85" s="2" t="str">
        <f>IF(Source!$E85=COLUMNS($A85:G85), LEFT(G84, LEN(G84)-Source!$C85), IF(Source!$G85=COLUMNS($A85:G85), G84&amp;RIGHT(INDIRECT(ADDRESS(ROW(G85)-1, Source!$E85)), Source!$C85), G84))</f>
        <v>LT</v>
      </c>
      <c r="H85" s="2" t="str">
        <f>IF(Source!$E85=COLUMNS($A85:H85), LEFT(H84, LEN(H84)-Source!$C85), IF(Source!$G85=COLUMNS($A85:H85), H84&amp;RIGHT(INDIRECT(ADDRESS(ROW(H85)-1, Source!$E85)), Source!$C85), H84))</f>
        <v>ZRGFP</v>
      </c>
      <c r="I85" s="2" t="str">
        <f>IF(Source!$E85=COLUMNS($A85:I85), LEFT(I84, LEN(I84)-Source!$C85), IF(Source!$G85=COLUMNS($A85:I85), I84&amp;RIGHT(INDIRECT(ADDRESS(ROW(I85)-1, Source!$E85)), Source!$C85), I84))</f>
        <v>C</v>
      </c>
    </row>
    <row r="86">
      <c r="A86" s="2" t="str">
        <f>IF(Source!$E86=COLUMNS($A86:A86), LEFT(A85, LEN(A85)-Source!$C86), IF(Source!$G86=COLUMNS($A86:A86), A85&amp;RIGHT(INDIRECT(ADDRESS(ROW(A86)-1, Source!$E86)), Source!$C86), A85))</f>
        <v>TCDBZHRBTCDDDBDTRRL</v>
      </c>
      <c r="B86" s="2" t="str">
        <f>IF(Source!$E86=COLUMNS($A86:B86), LEFT(B85, LEN(B85)-Source!$C86), IF(Source!$G86=COLUMNS($A86:B86), B85&amp;RIGHT(INDIRECT(ADDRESS(ROW(B86)-1, Source!$E86)), Source!$C86), B85))</f>
        <v/>
      </c>
      <c r="C86" s="2" t="str">
        <f>IF(Source!$E86=COLUMNS($A86:C86), LEFT(C85, LEN(C85)-Source!$C86), IF(Source!$G86=COLUMNS($A86:C86), C85&amp;RIGHT(INDIRECT(ADDRESS(ROW(C86)-1, Source!$E86)), Source!$C86), C85))</f>
        <v>JSWFHSPVTM</v>
      </c>
      <c r="D86" s="2" t="str">
        <f>IF(Source!$E86=COLUMNS($A86:D86), LEFT(D85, LEN(D85)-Source!$C86), IF(Source!$G86=COLUMNS($A86:D86), D85&amp;RIGHT(INDIRECT(ADDRESS(ROW(D86)-1, Source!$E86)), Source!$C86), D85))</f>
        <v/>
      </c>
      <c r="E86" s="2" t="str">
        <f>IF(Source!$E86=COLUMNS($A86:E86), LEFT(E85, LEN(E85)-Source!$C86), IF(Source!$G86=COLUMNS($A86:E86), E85&amp;RIGHT(INDIRECT(ADDRESS(ROW(E86)-1, Source!$E86)), Source!$C86), E85))</f>
        <v>SVGZ</v>
      </c>
      <c r="F86" s="2" t="str">
        <f>IF(Source!$E86=COLUMNS($A86:F86), LEFT(F85, LEN(F85)-Source!$C86), IF(Source!$G86=COLUMNS($A86:F86), F85&amp;RIGHT(INDIRECT(ADDRESS(ROW(F86)-1, Source!$E86)), Source!$C86), F85))</f>
        <v>JMLTQRQPDWBVMJS</v>
      </c>
      <c r="G86" s="2" t="str">
        <f>IF(Source!$E86=COLUMNS($A86:G86), LEFT(G85, LEN(G85)-Source!$C86), IF(Source!$G86=COLUMNS($A86:G86), G85&amp;RIGHT(INDIRECT(ADDRESS(ROW(G86)-1, Source!$E86)), Source!$C86), G85))</f>
        <v>LT</v>
      </c>
      <c r="H86" s="2" t="str">
        <f>IF(Source!$E86=COLUMNS($A86:H86), LEFT(H85, LEN(H85)-Source!$C86), IF(Source!$G86=COLUMNS($A86:H86), H85&amp;RIGHT(INDIRECT(ADDRESS(ROW(H86)-1, Source!$E86)), Source!$C86), H85))</f>
        <v>ZRGFP</v>
      </c>
      <c r="I86" s="2" t="str">
        <f>IF(Source!$E86=COLUMNS($A86:I86), LEFT(I85, LEN(I85)-Source!$C86), IF(Source!$G86=COLUMNS($A86:I86), I85&amp;RIGHT(INDIRECT(ADDRESS(ROW(I86)-1, Source!$E86)), Source!$C86), I85))</f>
        <v>C</v>
      </c>
    </row>
    <row r="87">
      <c r="A87" s="2" t="str">
        <f>IF(Source!$E87=COLUMNS($A87:A87), LEFT(A86, LEN(A86)-Source!$C87), IF(Source!$G87=COLUMNS($A87:A87), A86&amp;RIGHT(INDIRECT(ADDRESS(ROW(A87)-1, Source!$E87)), Source!$C87), A86))</f>
        <v>TCDBZHRBTCDDDBDTRRL</v>
      </c>
      <c r="B87" s="2" t="str">
        <f>IF(Source!$E87=COLUMNS($A87:B87), LEFT(B86, LEN(B86)-Source!$C87), IF(Source!$G87=COLUMNS($A87:B87), B86&amp;RIGHT(INDIRECT(ADDRESS(ROW(B87)-1, Source!$E87)), Source!$C87), B86))</f>
        <v>FP</v>
      </c>
      <c r="C87" s="2" t="str">
        <f>IF(Source!$E87=COLUMNS($A87:C87), LEFT(C86, LEN(C86)-Source!$C87), IF(Source!$G87=COLUMNS($A87:C87), C86&amp;RIGHT(INDIRECT(ADDRESS(ROW(C87)-1, Source!$E87)), Source!$C87), C86))</f>
        <v>JSWFHSPVTM</v>
      </c>
      <c r="D87" s="2" t="str">
        <f>IF(Source!$E87=COLUMNS($A87:D87), LEFT(D86, LEN(D86)-Source!$C87), IF(Source!$G87=COLUMNS($A87:D87), D86&amp;RIGHT(INDIRECT(ADDRESS(ROW(D87)-1, Source!$E87)), Source!$C87), D86))</f>
        <v/>
      </c>
      <c r="E87" s="2" t="str">
        <f>IF(Source!$E87=COLUMNS($A87:E87), LEFT(E86, LEN(E86)-Source!$C87), IF(Source!$G87=COLUMNS($A87:E87), E86&amp;RIGHT(INDIRECT(ADDRESS(ROW(E87)-1, Source!$E87)), Source!$C87), E86))</f>
        <v>SVGZ</v>
      </c>
      <c r="F87" s="2" t="str">
        <f>IF(Source!$E87=COLUMNS($A87:F87), LEFT(F86, LEN(F86)-Source!$C87), IF(Source!$G87=COLUMNS($A87:F87), F86&amp;RIGHT(INDIRECT(ADDRESS(ROW(F87)-1, Source!$E87)), Source!$C87), F86))</f>
        <v>JMLTQRQPDWBVMJS</v>
      </c>
      <c r="G87" s="2" t="str">
        <f>IF(Source!$E87=COLUMNS($A87:G87), LEFT(G86, LEN(G86)-Source!$C87), IF(Source!$G87=COLUMNS($A87:G87), G86&amp;RIGHT(INDIRECT(ADDRESS(ROW(G87)-1, Source!$E87)), Source!$C87), G86))</f>
        <v>LT</v>
      </c>
      <c r="H87" s="2" t="str">
        <f>IF(Source!$E87=COLUMNS($A87:H87), LEFT(H86, LEN(H86)-Source!$C87), IF(Source!$G87=COLUMNS($A87:H87), H86&amp;RIGHT(INDIRECT(ADDRESS(ROW(H87)-1, Source!$E87)), Source!$C87), H86))</f>
        <v>ZRG</v>
      </c>
      <c r="I87" s="2" t="str">
        <f>IF(Source!$E87=COLUMNS($A87:I87), LEFT(I86, LEN(I86)-Source!$C87), IF(Source!$G87=COLUMNS($A87:I87), I86&amp;RIGHT(INDIRECT(ADDRESS(ROW(I87)-1, Source!$E87)), Source!$C87), I86))</f>
        <v>C</v>
      </c>
    </row>
    <row r="88">
      <c r="A88" s="2" t="str">
        <f>IF(Source!$E88=COLUMNS($A88:A88), LEFT(A87, LEN(A87)-Source!$C88), IF(Source!$G88=COLUMNS($A88:A88), A87&amp;RIGHT(INDIRECT(ADDRESS(ROW(A88)-1, Source!$E88)), Source!$C88), A87))</f>
        <v>TCDBZHRBTCDDDBDTRRL</v>
      </c>
      <c r="B88" s="2" t="str">
        <f>IF(Source!$E88=COLUMNS($A88:B88), LEFT(B87, LEN(B87)-Source!$C88), IF(Source!$G88=COLUMNS($A88:B88), B87&amp;RIGHT(INDIRECT(ADDRESS(ROW(B88)-1, Source!$E88)), Source!$C88), B87))</f>
        <v>FPMLTQRQPDWBVMJS</v>
      </c>
      <c r="C88" s="2" t="str">
        <f>IF(Source!$E88=COLUMNS($A88:C88), LEFT(C87, LEN(C87)-Source!$C88), IF(Source!$G88=COLUMNS($A88:C88), C87&amp;RIGHT(INDIRECT(ADDRESS(ROW(C88)-1, Source!$E88)), Source!$C88), C87))</f>
        <v>JSWFHSPVTM</v>
      </c>
      <c r="D88" s="2" t="str">
        <f>IF(Source!$E88=COLUMNS($A88:D88), LEFT(D87, LEN(D87)-Source!$C88), IF(Source!$G88=COLUMNS($A88:D88), D87&amp;RIGHT(INDIRECT(ADDRESS(ROW(D88)-1, Source!$E88)), Source!$C88), D87))</f>
        <v/>
      </c>
      <c r="E88" s="2" t="str">
        <f>IF(Source!$E88=COLUMNS($A88:E88), LEFT(E87, LEN(E87)-Source!$C88), IF(Source!$G88=COLUMNS($A88:E88), E87&amp;RIGHT(INDIRECT(ADDRESS(ROW(E88)-1, Source!$E88)), Source!$C88), E87))</f>
        <v>SVGZ</v>
      </c>
      <c r="F88" s="2" t="str">
        <f>IF(Source!$E88=COLUMNS($A88:F88), LEFT(F87, LEN(F87)-Source!$C88), IF(Source!$G88=COLUMNS($A88:F88), F87&amp;RIGHT(INDIRECT(ADDRESS(ROW(F88)-1, Source!$E88)), Source!$C88), F87))</f>
        <v>J</v>
      </c>
      <c r="G88" s="2" t="str">
        <f>IF(Source!$E88=COLUMNS($A88:G88), LEFT(G87, LEN(G87)-Source!$C88), IF(Source!$G88=COLUMNS($A88:G88), G87&amp;RIGHT(INDIRECT(ADDRESS(ROW(G88)-1, Source!$E88)), Source!$C88), G87))</f>
        <v>LT</v>
      </c>
      <c r="H88" s="2" t="str">
        <f>IF(Source!$E88=COLUMNS($A88:H88), LEFT(H87, LEN(H87)-Source!$C88), IF(Source!$G88=COLUMNS($A88:H88), H87&amp;RIGHT(INDIRECT(ADDRESS(ROW(H88)-1, Source!$E88)), Source!$C88), H87))</f>
        <v>ZRG</v>
      </c>
      <c r="I88" s="2" t="str">
        <f>IF(Source!$E88=COLUMNS($A88:I88), LEFT(I87, LEN(I87)-Source!$C88), IF(Source!$G88=COLUMNS($A88:I88), I87&amp;RIGHT(INDIRECT(ADDRESS(ROW(I88)-1, Source!$E88)), Source!$C88), I87))</f>
        <v>C</v>
      </c>
    </row>
    <row r="89">
      <c r="A89" s="2" t="str">
        <f>IF(Source!$E89=COLUMNS($A89:A89), LEFT(A88, LEN(A88)-Source!$C89), IF(Source!$G89=COLUMNS($A89:A89), A88&amp;RIGHT(INDIRECT(ADDRESS(ROW(A89)-1, Source!$E89)), Source!$C89), A88))</f>
        <v>TCDBZHRBTCDDDBDTRRLZRG</v>
      </c>
      <c r="B89" s="2" t="str">
        <f>IF(Source!$E89=COLUMNS($A89:B89), LEFT(B88, LEN(B88)-Source!$C89), IF(Source!$G89=COLUMNS($A89:B89), B88&amp;RIGHT(INDIRECT(ADDRESS(ROW(B89)-1, Source!$E89)), Source!$C89), B88))</f>
        <v>FPMLTQRQPDWBVMJS</v>
      </c>
      <c r="C89" s="2" t="str">
        <f>IF(Source!$E89=COLUMNS($A89:C89), LEFT(C88, LEN(C88)-Source!$C89), IF(Source!$G89=COLUMNS($A89:C89), C88&amp;RIGHT(INDIRECT(ADDRESS(ROW(C89)-1, Source!$E89)), Source!$C89), C88))</f>
        <v>JSWFHSPVTM</v>
      </c>
      <c r="D89" s="2" t="str">
        <f>IF(Source!$E89=COLUMNS($A89:D89), LEFT(D88, LEN(D88)-Source!$C89), IF(Source!$G89=COLUMNS($A89:D89), D88&amp;RIGHT(INDIRECT(ADDRESS(ROW(D89)-1, Source!$E89)), Source!$C89), D88))</f>
        <v/>
      </c>
      <c r="E89" s="2" t="str">
        <f>IF(Source!$E89=COLUMNS($A89:E89), LEFT(E88, LEN(E88)-Source!$C89), IF(Source!$G89=COLUMNS($A89:E89), E88&amp;RIGHT(INDIRECT(ADDRESS(ROW(E89)-1, Source!$E89)), Source!$C89), E88))</f>
        <v>SVGZ</v>
      </c>
      <c r="F89" s="2" t="str">
        <f>IF(Source!$E89=COLUMNS($A89:F89), LEFT(F88, LEN(F88)-Source!$C89), IF(Source!$G89=COLUMNS($A89:F89), F88&amp;RIGHT(INDIRECT(ADDRESS(ROW(F89)-1, Source!$E89)), Source!$C89), F88))</f>
        <v>J</v>
      </c>
      <c r="G89" s="2" t="str">
        <f>IF(Source!$E89=COLUMNS($A89:G89), LEFT(G88, LEN(G88)-Source!$C89), IF(Source!$G89=COLUMNS($A89:G89), G88&amp;RIGHT(INDIRECT(ADDRESS(ROW(G89)-1, Source!$E89)), Source!$C89), G88))</f>
        <v>LT</v>
      </c>
      <c r="H89" s="2" t="str">
        <f>IF(Source!$E89=COLUMNS($A89:H89), LEFT(H88, LEN(H88)-Source!$C89), IF(Source!$G89=COLUMNS($A89:H89), H88&amp;RIGHT(INDIRECT(ADDRESS(ROW(H89)-1, Source!$E89)), Source!$C89), H88))</f>
        <v/>
      </c>
      <c r="I89" s="2" t="str">
        <f>IF(Source!$E89=COLUMNS($A89:I89), LEFT(I88, LEN(I88)-Source!$C89), IF(Source!$G89=COLUMNS($A89:I89), I88&amp;RIGHT(INDIRECT(ADDRESS(ROW(I89)-1, Source!$E89)), Source!$C89), I88))</f>
        <v>C</v>
      </c>
    </row>
    <row r="90">
      <c r="A90" s="2" t="str">
        <f>IF(Source!$E90=COLUMNS($A90:A90), LEFT(A89, LEN(A89)-Source!$C90), IF(Source!$G90=COLUMNS($A90:A90), A89&amp;RIGHT(INDIRECT(ADDRESS(ROW(A90)-1, Source!$E90)), Source!$C90), A89))</f>
        <v>TCDBZHRBTCDDDBDTRRLZRG</v>
      </c>
      <c r="B90" s="2" t="str">
        <f>IF(Source!$E90=COLUMNS($A90:B90), LEFT(B89, LEN(B89)-Source!$C90), IF(Source!$G90=COLUMNS($A90:B90), B89&amp;RIGHT(INDIRECT(ADDRESS(ROW(B90)-1, Source!$E90)), Source!$C90), B89))</f>
        <v>F</v>
      </c>
      <c r="C90" s="2" t="str">
        <f>IF(Source!$E90=COLUMNS($A90:C90), LEFT(C89, LEN(C89)-Source!$C90), IF(Source!$G90=COLUMNS($A90:C90), C89&amp;RIGHT(INDIRECT(ADDRESS(ROW(C90)-1, Source!$E90)), Source!$C90), C89))</f>
        <v>JSWFHSPVTMPMLTQRQPDWBVMJS</v>
      </c>
      <c r="D90" s="2" t="str">
        <f>IF(Source!$E90=COLUMNS($A90:D90), LEFT(D89, LEN(D89)-Source!$C90), IF(Source!$G90=COLUMNS($A90:D90), D89&amp;RIGHT(INDIRECT(ADDRESS(ROW(D90)-1, Source!$E90)), Source!$C90), D89))</f>
        <v/>
      </c>
      <c r="E90" s="2" t="str">
        <f>IF(Source!$E90=COLUMNS($A90:E90), LEFT(E89, LEN(E89)-Source!$C90), IF(Source!$G90=COLUMNS($A90:E90), E89&amp;RIGHT(INDIRECT(ADDRESS(ROW(E90)-1, Source!$E90)), Source!$C90), E89))</f>
        <v>SVGZ</v>
      </c>
      <c r="F90" s="2" t="str">
        <f>IF(Source!$E90=COLUMNS($A90:F90), LEFT(F89, LEN(F89)-Source!$C90), IF(Source!$G90=COLUMNS($A90:F90), F89&amp;RIGHT(INDIRECT(ADDRESS(ROW(F90)-1, Source!$E90)), Source!$C90), F89))</f>
        <v>J</v>
      </c>
      <c r="G90" s="2" t="str">
        <f>IF(Source!$E90=COLUMNS($A90:G90), LEFT(G89, LEN(G89)-Source!$C90), IF(Source!$G90=COLUMNS($A90:G90), G89&amp;RIGHT(INDIRECT(ADDRESS(ROW(G90)-1, Source!$E90)), Source!$C90), G89))</f>
        <v>LT</v>
      </c>
      <c r="H90" s="2" t="str">
        <f>IF(Source!$E90=COLUMNS($A90:H90), LEFT(H89, LEN(H89)-Source!$C90), IF(Source!$G90=COLUMNS($A90:H90), H89&amp;RIGHT(INDIRECT(ADDRESS(ROW(H90)-1, Source!$E90)), Source!$C90), H89))</f>
        <v/>
      </c>
      <c r="I90" s="2" t="str">
        <f>IF(Source!$E90=COLUMNS($A90:I90), LEFT(I89, LEN(I89)-Source!$C90), IF(Source!$G90=COLUMNS($A90:I90), I89&amp;RIGHT(INDIRECT(ADDRESS(ROW(I90)-1, Source!$E90)), Source!$C90), I89))</f>
        <v>C</v>
      </c>
    </row>
    <row r="91">
      <c r="A91" s="2" t="str">
        <f>IF(Source!$E91=COLUMNS($A91:A91), LEFT(A90, LEN(A90)-Source!$C91), IF(Source!$G91=COLUMNS($A91:A91), A90&amp;RIGHT(INDIRECT(ADDRESS(ROW(A91)-1, Source!$E91)), Source!$C91), A90))</f>
        <v>TCDBZHRBTCDDDBDTRRLZRGJ</v>
      </c>
      <c r="B91" s="2" t="str">
        <f>IF(Source!$E91=COLUMNS($A91:B91), LEFT(B90, LEN(B90)-Source!$C91), IF(Source!$G91=COLUMNS($A91:B91), B90&amp;RIGHT(INDIRECT(ADDRESS(ROW(B91)-1, Source!$E91)), Source!$C91), B90))</f>
        <v>F</v>
      </c>
      <c r="C91" s="2" t="str">
        <f>IF(Source!$E91=COLUMNS($A91:C91), LEFT(C90, LEN(C90)-Source!$C91), IF(Source!$G91=COLUMNS($A91:C91), C90&amp;RIGHT(INDIRECT(ADDRESS(ROW(C91)-1, Source!$E91)), Source!$C91), C90))</f>
        <v>JSWFHSPVTMPMLTQRQPDWBVMJS</v>
      </c>
      <c r="D91" s="2" t="str">
        <f>IF(Source!$E91=COLUMNS($A91:D91), LEFT(D90, LEN(D90)-Source!$C91), IF(Source!$G91=COLUMNS($A91:D91), D90&amp;RIGHT(INDIRECT(ADDRESS(ROW(D91)-1, Source!$E91)), Source!$C91), D90))</f>
        <v/>
      </c>
      <c r="E91" s="2" t="str">
        <f>IF(Source!$E91=COLUMNS($A91:E91), LEFT(E90, LEN(E90)-Source!$C91), IF(Source!$G91=COLUMNS($A91:E91), E90&amp;RIGHT(INDIRECT(ADDRESS(ROW(E91)-1, Source!$E91)), Source!$C91), E90))</f>
        <v>SVGZ</v>
      </c>
      <c r="F91" s="2" t="str">
        <f>IF(Source!$E91=COLUMNS($A91:F91), LEFT(F90, LEN(F90)-Source!$C91), IF(Source!$G91=COLUMNS($A91:F91), F90&amp;RIGHT(INDIRECT(ADDRESS(ROW(F91)-1, Source!$E91)), Source!$C91), F90))</f>
        <v/>
      </c>
      <c r="G91" s="2" t="str">
        <f>IF(Source!$E91=COLUMNS($A91:G91), LEFT(G90, LEN(G90)-Source!$C91), IF(Source!$G91=COLUMNS($A91:G91), G90&amp;RIGHT(INDIRECT(ADDRESS(ROW(G91)-1, Source!$E91)), Source!$C91), G90))</f>
        <v>LT</v>
      </c>
      <c r="H91" s="2" t="str">
        <f>IF(Source!$E91=COLUMNS($A91:H91), LEFT(H90, LEN(H90)-Source!$C91), IF(Source!$G91=COLUMNS($A91:H91), H90&amp;RIGHT(INDIRECT(ADDRESS(ROW(H91)-1, Source!$E91)), Source!$C91), H90))</f>
        <v/>
      </c>
      <c r="I91" s="2" t="str">
        <f>IF(Source!$E91=COLUMNS($A91:I91), LEFT(I90, LEN(I90)-Source!$C91), IF(Source!$G91=COLUMNS($A91:I91), I90&amp;RIGHT(INDIRECT(ADDRESS(ROW(I91)-1, Source!$E91)), Source!$C91), I90))</f>
        <v>C</v>
      </c>
    </row>
    <row r="92">
      <c r="A92" s="2" t="str">
        <f>IF(Source!$E92=COLUMNS($A92:A92), LEFT(A91, LEN(A91)-Source!$C92), IF(Source!$G92=COLUMNS($A92:A92), A91&amp;RIGHT(INDIRECT(ADDRESS(ROW(A92)-1, Source!$E92)), Source!$C92), A91))</f>
        <v>TCDBZHRBTCDDDBDTRRLZRGJ</v>
      </c>
      <c r="B92" s="2" t="str">
        <f>IF(Source!$E92=COLUMNS($A92:B92), LEFT(B91, LEN(B91)-Source!$C92), IF(Source!$G92=COLUMNS($A92:B92), B91&amp;RIGHT(INDIRECT(ADDRESS(ROW(B92)-1, Source!$E92)), Source!$C92), B91))</f>
        <v>FMLTQRQPDWBVMJS</v>
      </c>
      <c r="C92" s="2" t="str">
        <f>IF(Source!$E92=COLUMNS($A92:C92), LEFT(C91, LEN(C91)-Source!$C92), IF(Source!$G92=COLUMNS($A92:C92), C91&amp;RIGHT(INDIRECT(ADDRESS(ROW(C92)-1, Source!$E92)), Source!$C92), C91))</f>
        <v>JSWFHSPVTMP</v>
      </c>
      <c r="D92" s="2" t="str">
        <f>IF(Source!$E92=COLUMNS($A92:D92), LEFT(D91, LEN(D91)-Source!$C92), IF(Source!$G92=COLUMNS($A92:D92), D91&amp;RIGHT(INDIRECT(ADDRESS(ROW(D92)-1, Source!$E92)), Source!$C92), D91))</f>
        <v/>
      </c>
      <c r="E92" s="2" t="str">
        <f>IF(Source!$E92=COLUMNS($A92:E92), LEFT(E91, LEN(E91)-Source!$C92), IF(Source!$G92=COLUMNS($A92:E92), E91&amp;RIGHT(INDIRECT(ADDRESS(ROW(E92)-1, Source!$E92)), Source!$C92), E91))</f>
        <v>SVGZ</v>
      </c>
      <c r="F92" s="2" t="str">
        <f>IF(Source!$E92=COLUMNS($A92:F92), LEFT(F91, LEN(F91)-Source!$C92), IF(Source!$G92=COLUMNS($A92:F92), F91&amp;RIGHT(INDIRECT(ADDRESS(ROW(F92)-1, Source!$E92)), Source!$C92), F91))</f>
        <v/>
      </c>
      <c r="G92" s="2" t="str">
        <f>IF(Source!$E92=COLUMNS($A92:G92), LEFT(G91, LEN(G91)-Source!$C92), IF(Source!$G92=COLUMNS($A92:G92), G91&amp;RIGHT(INDIRECT(ADDRESS(ROW(G92)-1, Source!$E92)), Source!$C92), G91))</f>
        <v>LT</v>
      </c>
      <c r="H92" s="2" t="str">
        <f>IF(Source!$E92=COLUMNS($A92:H92), LEFT(H91, LEN(H91)-Source!$C92), IF(Source!$G92=COLUMNS($A92:H92), H91&amp;RIGHT(INDIRECT(ADDRESS(ROW(H92)-1, Source!$E92)), Source!$C92), H91))</f>
        <v/>
      </c>
      <c r="I92" s="2" t="str">
        <f>IF(Source!$E92=COLUMNS($A92:I92), LEFT(I91, LEN(I91)-Source!$C92), IF(Source!$G92=COLUMNS($A92:I92), I91&amp;RIGHT(INDIRECT(ADDRESS(ROW(I92)-1, Source!$E92)), Source!$C92), I91))</f>
        <v>C</v>
      </c>
    </row>
    <row r="93">
      <c r="A93" s="2" t="str">
        <f>IF(Source!$E93=COLUMNS($A93:A93), LEFT(A92, LEN(A92)-Source!$C93), IF(Source!$G93=COLUMNS($A93:A93), A92&amp;RIGHT(INDIRECT(ADDRESS(ROW(A93)-1, Source!$E93)), Source!$C93), A92))</f>
        <v>TCDBZHRBTCDDDBDTRRLZRGJ</v>
      </c>
      <c r="B93" s="2" t="str">
        <f>IF(Source!$E93=COLUMNS($A93:B93), LEFT(B92, LEN(B92)-Source!$C93), IF(Source!$G93=COLUMNS($A93:B93), B92&amp;RIGHT(INDIRECT(ADDRESS(ROW(B93)-1, Source!$E93)), Source!$C93), B92))</f>
        <v>FMLTQRQPDWBVM</v>
      </c>
      <c r="C93" s="2" t="str">
        <f>IF(Source!$E93=COLUMNS($A93:C93), LEFT(C92, LEN(C92)-Source!$C93), IF(Source!$G93=COLUMNS($A93:C93), C92&amp;RIGHT(INDIRECT(ADDRESS(ROW(C93)-1, Source!$E93)), Source!$C93), C92))</f>
        <v>JSWFHSPVTMP</v>
      </c>
      <c r="D93" s="2" t="str">
        <f>IF(Source!$E93=COLUMNS($A93:D93), LEFT(D92, LEN(D92)-Source!$C93), IF(Source!$G93=COLUMNS($A93:D93), D92&amp;RIGHT(INDIRECT(ADDRESS(ROW(D93)-1, Source!$E93)), Source!$C93), D92))</f>
        <v/>
      </c>
      <c r="E93" s="2" t="str">
        <f>IF(Source!$E93=COLUMNS($A93:E93), LEFT(E92, LEN(E92)-Source!$C93), IF(Source!$G93=COLUMNS($A93:E93), E92&amp;RIGHT(INDIRECT(ADDRESS(ROW(E93)-1, Source!$E93)), Source!$C93), E92))</f>
        <v>SVGZJS</v>
      </c>
      <c r="F93" s="2" t="str">
        <f>IF(Source!$E93=COLUMNS($A93:F93), LEFT(F92, LEN(F92)-Source!$C93), IF(Source!$G93=COLUMNS($A93:F93), F92&amp;RIGHT(INDIRECT(ADDRESS(ROW(F93)-1, Source!$E93)), Source!$C93), F92))</f>
        <v/>
      </c>
      <c r="G93" s="2" t="str">
        <f>IF(Source!$E93=COLUMNS($A93:G93), LEFT(G92, LEN(G92)-Source!$C93), IF(Source!$G93=COLUMNS($A93:G93), G92&amp;RIGHT(INDIRECT(ADDRESS(ROW(G93)-1, Source!$E93)), Source!$C93), G92))</f>
        <v>LT</v>
      </c>
      <c r="H93" s="2" t="str">
        <f>IF(Source!$E93=COLUMNS($A93:H93), LEFT(H92, LEN(H92)-Source!$C93), IF(Source!$G93=COLUMNS($A93:H93), H92&amp;RIGHT(INDIRECT(ADDRESS(ROW(H93)-1, Source!$E93)), Source!$C93), H92))</f>
        <v/>
      </c>
      <c r="I93" s="2" t="str">
        <f>IF(Source!$E93=COLUMNS($A93:I93), LEFT(I92, LEN(I92)-Source!$C93), IF(Source!$G93=COLUMNS($A93:I93), I92&amp;RIGHT(INDIRECT(ADDRESS(ROW(I93)-1, Source!$E93)), Source!$C93), I92))</f>
        <v>C</v>
      </c>
    </row>
    <row r="94">
      <c r="A94" s="2" t="str">
        <f>IF(Source!$E94=COLUMNS($A94:A94), LEFT(A93, LEN(A93)-Source!$C94), IF(Source!$G94=COLUMNS($A94:A94), A93&amp;RIGHT(INDIRECT(ADDRESS(ROW(A94)-1, Source!$E94)), Source!$C94), A93))</f>
        <v>TCDBZHRBTCDDDBDTRRLZRGJ</v>
      </c>
      <c r="B94" s="2" t="str">
        <f>IF(Source!$E94=COLUMNS($A94:B94), LEFT(B93, LEN(B93)-Source!$C94), IF(Source!$G94=COLUMNS($A94:B94), B93&amp;RIGHT(INDIRECT(ADDRESS(ROW(B94)-1, Source!$E94)), Source!$C94), B93))</f>
        <v>FMLTQRQPDWBVM</v>
      </c>
      <c r="C94" s="2" t="str">
        <f>IF(Source!$E94=COLUMNS($A94:C94), LEFT(C93, LEN(C93)-Source!$C94), IF(Source!$G94=COLUMNS($A94:C94), C93&amp;RIGHT(INDIRECT(ADDRESS(ROW(C94)-1, Source!$E94)), Source!$C94), C93))</f>
        <v>JSWFHSPVTMPC</v>
      </c>
      <c r="D94" s="2" t="str">
        <f>IF(Source!$E94=COLUMNS($A94:D94), LEFT(D93, LEN(D93)-Source!$C94), IF(Source!$G94=COLUMNS($A94:D94), D93&amp;RIGHT(INDIRECT(ADDRESS(ROW(D94)-1, Source!$E94)), Source!$C94), D93))</f>
        <v/>
      </c>
      <c r="E94" s="2" t="str">
        <f>IF(Source!$E94=COLUMNS($A94:E94), LEFT(E93, LEN(E93)-Source!$C94), IF(Source!$G94=COLUMNS($A94:E94), E93&amp;RIGHT(INDIRECT(ADDRESS(ROW(E94)-1, Source!$E94)), Source!$C94), E93))</f>
        <v>SVGZJS</v>
      </c>
      <c r="F94" s="2" t="str">
        <f>IF(Source!$E94=COLUMNS($A94:F94), LEFT(F93, LEN(F93)-Source!$C94), IF(Source!$G94=COLUMNS($A94:F94), F93&amp;RIGHT(INDIRECT(ADDRESS(ROW(F94)-1, Source!$E94)), Source!$C94), F93))</f>
        <v/>
      </c>
      <c r="G94" s="2" t="str">
        <f>IF(Source!$E94=COLUMNS($A94:G94), LEFT(G93, LEN(G93)-Source!$C94), IF(Source!$G94=COLUMNS($A94:G94), G93&amp;RIGHT(INDIRECT(ADDRESS(ROW(G94)-1, Source!$E94)), Source!$C94), G93))</f>
        <v>LT</v>
      </c>
      <c r="H94" s="2" t="str">
        <f>IF(Source!$E94=COLUMNS($A94:H94), LEFT(H93, LEN(H93)-Source!$C94), IF(Source!$G94=COLUMNS($A94:H94), H93&amp;RIGHT(INDIRECT(ADDRESS(ROW(H94)-1, Source!$E94)), Source!$C94), H93))</f>
        <v/>
      </c>
      <c r="I94" s="2" t="str">
        <f>IF(Source!$E94=COLUMNS($A94:I94), LEFT(I93, LEN(I93)-Source!$C94), IF(Source!$G94=COLUMNS($A94:I94), I93&amp;RIGHT(INDIRECT(ADDRESS(ROW(I94)-1, Source!$E94)), Source!$C94), I93))</f>
        <v/>
      </c>
    </row>
    <row r="95">
      <c r="A95" s="2" t="str">
        <f>IF(Source!$E95=COLUMNS($A95:A95), LEFT(A94, LEN(A94)-Source!$C95), IF(Source!$G95=COLUMNS($A95:A95), A94&amp;RIGHT(INDIRECT(ADDRESS(ROW(A95)-1, Source!$E95)), Source!$C95), A94))</f>
        <v>TCDBZHRBTC</v>
      </c>
      <c r="B95" s="2" t="str">
        <f>IF(Source!$E95=COLUMNS($A95:B95), LEFT(B94, LEN(B94)-Source!$C95), IF(Source!$G95=COLUMNS($A95:B95), B94&amp;RIGHT(INDIRECT(ADDRESS(ROW(B95)-1, Source!$E95)), Source!$C95), B94))</f>
        <v>FMLTQRQPDWBVM</v>
      </c>
      <c r="C95" s="2" t="str">
        <f>IF(Source!$E95=COLUMNS($A95:C95), LEFT(C94, LEN(C94)-Source!$C95), IF(Source!$G95=COLUMNS($A95:C95), C94&amp;RIGHT(INDIRECT(ADDRESS(ROW(C95)-1, Source!$E95)), Source!$C95), C94))</f>
        <v>JSWFHSPVTMPCDDDBDTRRLZRGJ</v>
      </c>
      <c r="D95" s="2" t="str">
        <f>IF(Source!$E95=COLUMNS($A95:D95), LEFT(D94, LEN(D94)-Source!$C95), IF(Source!$G95=COLUMNS($A95:D95), D94&amp;RIGHT(INDIRECT(ADDRESS(ROW(D95)-1, Source!$E95)), Source!$C95), D94))</f>
        <v/>
      </c>
      <c r="E95" s="2" t="str">
        <f>IF(Source!$E95=COLUMNS($A95:E95), LEFT(E94, LEN(E94)-Source!$C95), IF(Source!$G95=COLUMNS($A95:E95), E94&amp;RIGHT(INDIRECT(ADDRESS(ROW(E95)-1, Source!$E95)), Source!$C95), E94))</f>
        <v>SVGZJS</v>
      </c>
      <c r="F95" s="2" t="str">
        <f>IF(Source!$E95=COLUMNS($A95:F95), LEFT(F94, LEN(F94)-Source!$C95), IF(Source!$G95=COLUMNS($A95:F95), F94&amp;RIGHT(INDIRECT(ADDRESS(ROW(F95)-1, Source!$E95)), Source!$C95), F94))</f>
        <v/>
      </c>
      <c r="G95" s="2" t="str">
        <f>IF(Source!$E95=COLUMNS($A95:G95), LEFT(G94, LEN(G94)-Source!$C95), IF(Source!$G95=COLUMNS($A95:G95), G94&amp;RIGHT(INDIRECT(ADDRESS(ROW(G95)-1, Source!$E95)), Source!$C95), G94))</f>
        <v>LT</v>
      </c>
      <c r="H95" s="2" t="str">
        <f>IF(Source!$E95=COLUMNS($A95:H95), LEFT(H94, LEN(H94)-Source!$C95), IF(Source!$G95=COLUMNS($A95:H95), H94&amp;RIGHT(INDIRECT(ADDRESS(ROW(H95)-1, Source!$E95)), Source!$C95), H94))</f>
        <v/>
      </c>
      <c r="I95" s="2" t="str">
        <f>IF(Source!$E95=COLUMNS($A95:I95), LEFT(I94, LEN(I94)-Source!$C95), IF(Source!$G95=COLUMNS($A95:I95), I94&amp;RIGHT(INDIRECT(ADDRESS(ROW(I95)-1, Source!$E95)), Source!$C95), I94))</f>
        <v/>
      </c>
    </row>
    <row r="96">
      <c r="A96" s="2" t="str">
        <f>IF(Source!$E96=COLUMNS($A96:A96), LEFT(A95, LEN(A95)-Source!$C96), IF(Source!$G96=COLUMNS($A96:A96), A95&amp;RIGHT(INDIRECT(ADDRESS(ROW(A96)-1, Source!$E96)), Source!$C96), A95))</f>
        <v>TCDBZHRBTC</v>
      </c>
      <c r="B96" s="2" t="str">
        <f>IF(Source!$E96=COLUMNS($A96:B96), LEFT(B95, LEN(B95)-Source!$C96), IF(Source!$G96=COLUMNS($A96:B96), B95&amp;RIGHT(INDIRECT(ADDRESS(ROW(B96)-1, Source!$E96)), Source!$C96), B95))</f>
        <v>FMLTQRQPD</v>
      </c>
      <c r="C96" s="2" t="str">
        <f>IF(Source!$E96=COLUMNS($A96:C96), LEFT(C95, LEN(C95)-Source!$C96), IF(Source!$G96=COLUMNS($A96:C96), C95&amp;RIGHT(INDIRECT(ADDRESS(ROW(C96)-1, Source!$E96)), Source!$C96), C95))</f>
        <v>JSWFHSPVTMPCDDDBDTRRLZRGJ</v>
      </c>
      <c r="D96" s="2" t="str">
        <f>IF(Source!$E96=COLUMNS($A96:D96), LEFT(D95, LEN(D95)-Source!$C96), IF(Source!$G96=COLUMNS($A96:D96), D95&amp;RIGHT(INDIRECT(ADDRESS(ROW(D96)-1, Source!$E96)), Source!$C96), D95))</f>
        <v/>
      </c>
      <c r="E96" s="2" t="str">
        <f>IF(Source!$E96=COLUMNS($A96:E96), LEFT(E95, LEN(E95)-Source!$C96), IF(Source!$G96=COLUMNS($A96:E96), E95&amp;RIGHT(INDIRECT(ADDRESS(ROW(E96)-1, Source!$E96)), Source!$C96), E95))</f>
        <v>SVGZJS</v>
      </c>
      <c r="F96" s="2" t="str">
        <f>IF(Source!$E96=COLUMNS($A96:F96), LEFT(F95, LEN(F95)-Source!$C96), IF(Source!$G96=COLUMNS($A96:F96), F95&amp;RIGHT(INDIRECT(ADDRESS(ROW(F96)-1, Source!$E96)), Source!$C96), F95))</f>
        <v>WBVM</v>
      </c>
      <c r="G96" s="2" t="str">
        <f>IF(Source!$E96=COLUMNS($A96:G96), LEFT(G95, LEN(G95)-Source!$C96), IF(Source!$G96=COLUMNS($A96:G96), G95&amp;RIGHT(INDIRECT(ADDRESS(ROW(G96)-1, Source!$E96)), Source!$C96), G95))</f>
        <v>LT</v>
      </c>
      <c r="H96" s="2" t="str">
        <f>IF(Source!$E96=COLUMNS($A96:H96), LEFT(H95, LEN(H95)-Source!$C96), IF(Source!$G96=COLUMNS($A96:H96), H95&amp;RIGHT(INDIRECT(ADDRESS(ROW(H96)-1, Source!$E96)), Source!$C96), H95))</f>
        <v/>
      </c>
      <c r="I96" s="2" t="str">
        <f>IF(Source!$E96=COLUMNS($A96:I96), LEFT(I95, LEN(I95)-Source!$C96), IF(Source!$G96=COLUMNS($A96:I96), I95&amp;RIGHT(INDIRECT(ADDRESS(ROW(I96)-1, Source!$E96)), Source!$C96), I95))</f>
        <v/>
      </c>
    </row>
    <row r="97">
      <c r="A97" s="2" t="str">
        <f>IF(Source!$E97=COLUMNS($A97:A97), LEFT(A96, LEN(A96)-Source!$C97), IF(Source!$G97=COLUMNS($A97:A97), A96&amp;RIGHT(INDIRECT(ADDRESS(ROW(A97)-1, Source!$E97)), Source!$C97), A96))</f>
        <v/>
      </c>
      <c r="B97" s="2" t="str">
        <f>IF(Source!$E97=COLUMNS($A97:B97), LEFT(B96, LEN(B96)-Source!$C97), IF(Source!$G97=COLUMNS($A97:B97), B96&amp;RIGHT(INDIRECT(ADDRESS(ROW(B97)-1, Source!$E97)), Source!$C97), B96))</f>
        <v>FMLTQRQPD</v>
      </c>
      <c r="C97" s="2" t="str">
        <f>IF(Source!$E97=COLUMNS($A97:C97), LEFT(C96, LEN(C96)-Source!$C97), IF(Source!$G97=COLUMNS($A97:C97), C96&amp;RIGHT(INDIRECT(ADDRESS(ROW(C97)-1, Source!$E97)), Source!$C97), C96))</f>
        <v>JSWFHSPVTMPCDDDBDTRRLZRGJTCDBZHRBTC</v>
      </c>
      <c r="D97" s="2" t="str">
        <f>IF(Source!$E97=COLUMNS($A97:D97), LEFT(D96, LEN(D96)-Source!$C97), IF(Source!$G97=COLUMNS($A97:D97), D96&amp;RIGHT(INDIRECT(ADDRESS(ROW(D97)-1, Source!$E97)), Source!$C97), D96))</f>
        <v/>
      </c>
      <c r="E97" s="2" t="str">
        <f>IF(Source!$E97=COLUMNS($A97:E97), LEFT(E96, LEN(E96)-Source!$C97), IF(Source!$G97=COLUMNS($A97:E97), E96&amp;RIGHT(INDIRECT(ADDRESS(ROW(E97)-1, Source!$E97)), Source!$C97), E96))</f>
        <v>SVGZJS</v>
      </c>
      <c r="F97" s="2" t="str">
        <f>IF(Source!$E97=COLUMNS($A97:F97), LEFT(F96, LEN(F96)-Source!$C97), IF(Source!$G97=COLUMNS($A97:F97), F96&amp;RIGHT(INDIRECT(ADDRESS(ROW(F97)-1, Source!$E97)), Source!$C97), F96))</f>
        <v>WBVM</v>
      </c>
      <c r="G97" s="2" t="str">
        <f>IF(Source!$E97=COLUMNS($A97:G97), LEFT(G96, LEN(G96)-Source!$C97), IF(Source!$G97=COLUMNS($A97:G97), G96&amp;RIGHT(INDIRECT(ADDRESS(ROW(G97)-1, Source!$E97)), Source!$C97), G96))</f>
        <v>LT</v>
      </c>
      <c r="H97" s="2" t="str">
        <f>IF(Source!$E97=COLUMNS($A97:H97), LEFT(H96, LEN(H96)-Source!$C97), IF(Source!$G97=COLUMNS($A97:H97), H96&amp;RIGHT(INDIRECT(ADDRESS(ROW(H97)-1, Source!$E97)), Source!$C97), H96))</f>
        <v/>
      </c>
      <c r="I97" s="2" t="str">
        <f>IF(Source!$E97=COLUMNS($A97:I97), LEFT(I96, LEN(I96)-Source!$C97), IF(Source!$G97=COLUMNS($A97:I97), I96&amp;RIGHT(INDIRECT(ADDRESS(ROW(I97)-1, Source!$E97)), Source!$C97), I96))</f>
        <v/>
      </c>
    </row>
    <row r="98">
      <c r="A98" s="2" t="str">
        <f>IF(Source!$E98=COLUMNS($A98:A98), LEFT(A97, LEN(A97)-Source!$C98), IF(Source!$G98=COLUMNS($A98:A98), A97&amp;RIGHT(INDIRECT(ADDRESS(ROW(A98)-1, Source!$E98)), Source!$C98), A97))</f>
        <v/>
      </c>
      <c r="B98" s="2" t="str">
        <f>IF(Source!$E98=COLUMNS($A98:B98), LEFT(B97, LEN(B97)-Source!$C98), IF(Source!$G98=COLUMNS($A98:B98), B97&amp;RIGHT(INDIRECT(ADDRESS(ROW(B98)-1, Source!$E98)), Source!$C98), B97))</f>
        <v>FMLTQRQPD</v>
      </c>
      <c r="C98" s="2" t="str">
        <f>IF(Source!$E98=COLUMNS($A98:C98), LEFT(C97, LEN(C97)-Source!$C98), IF(Source!$G98=COLUMNS($A98:C98), C97&amp;RIGHT(INDIRECT(ADDRESS(ROW(C98)-1, Source!$E98)), Source!$C98), C97))</f>
        <v>JSWFHSPVTMPCDDDBDTRRLZRGJTCDBZHRBTC</v>
      </c>
      <c r="D98" s="2" t="str">
        <f>IF(Source!$E98=COLUMNS($A98:D98), LEFT(D97, LEN(D97)-Source!$C98), IF(Source!$G98=COLUMNS($A98:D98), D97&amp;RIGHT(INDIRECT(ADDRESS(ROW(D98)-1, Source!$E98)), Source!$C98), D97))</f>
        <v/>
      </c>
      <c r="E98" s="2" t="str">
        <f>IF(Source!$E98=COLUMNS($A98:E98), LEFT(E97, LEN(E97)-Source!$C98), IF(Source!$G98=COLUMNS($A98:E98), E97&amp;RIGHT(INDIRECT(ADDRESS(ROW(E98)-1, Source!$E98)), Source!$C98), E97))</f>
        <v>SVGZJS</v>
      </c>
      <c r="F98" s="2" t="str">
        <f>IF(Source!$E98=COLUMNS($A98:F98), LEFT(F97, LEN(F97)-Source!$C98), IF(Source!$G98=COLUMNS($A98:F98), F97&amp;RIGHT(INDIRECT(ADDRESS(ROW(F98)-1, Source!$E98)), Source!$C98), F97))</f>
        <v>WB</v>
      </c>
      <c r="G98" s="2" t="str">
        <f>IF(Source!$E98=COLUMNS($A98:G98), LEFT(G97, LEN(G97)-Source!$C98), IF(Source!$G98=COLUMNS($A98:G98), G97&amp;RIGHT(INDIRECT(ADDRESS(ROW(G98)-1, Source!$E98)), Source!$C98), G97))</f>
        <v>LT</v>
      </c>
      <c r="H98" s="2" t="str">
        <f>IF(Source!$E98=COLUMNS($A98:H98), LEFT(H97, LEN(H97)-Source!$C98), IF(Source!$G98=COLUMNS($A98:H98), H97&amp;RIGHT(INDIRECT(ADDRESS(ROW(H98)-1, Source!$E98)), Source!$C98), H97))</f>
        <v/>
      </c>
      <c r="I98" s="2" t="str">
        <f>IF(Source!$E98=COLUMNS($A98:I98), LEFT(I97, LEN(I97)-Source!$C98), IF(Source!$G98=COLUMNS($A98:I98), I97&amp;RIGHT(INDIRECT(ADDRESS(ROW(I98)-1, Source!$E98)), Source!$C98), I97))</f>
        <v>VM</v>
      </c>
    </row>
    <row r="99">
      <c r="A99" s="2" t="str">
        <f>IF(Source!$E99=COLUMNS($A99:A99), LEFT(A98, LEN(A98)-Source!$C99), IF(Source!$G99=COLUMNS($A99:A99), A98&amp;RIGHT(INDIRECT(ADDRESS(ROW(A99)-1, Source!$E99)), Source!$C99), A98))</f>
        <v/>
      </c>
      <c r="B99" s="2" t="str">
        <f>IF(Source!$E99=COLUMNS($A99:B99), LEFT(B98, LEN(B98)-Source!$C99), IF(Source!$G99=COLUMNS($A99:B99), B98&amp;RIGHT(INDIRECT(ADDRESS(ROW(B99)-1, Source!$E99)), Source!$C99), B98))</f>
        <v>FML</v>
      </c>
      <c r="C99" s="2" t="str">
        <f>IF(Source!$E99=COLUMNS($A99:C99), LEFT(C98, LEN(C98)-Source!$C99), IF(Source!$G99=COLUMNS($A99:C99), C98&amp;RIGHT(INDIRECT(ADDRESS(ROW(C99)-1, Source!$E99)), Source!$C99), C98))</f>
        <v>JSWFHSPVTMPCDDDBDTRRLZRGJTCDBZHRBTC</v>
      </c>
      <c r="D99" s="2" t="str">
        <f>IF(Source!$E99=COLUMNS($A99:D99), LEFT(D98, LEN(D98)-Source!$C99), IF(Source!$G99=COLUMNS($A99:D99), D98&amp;RIGHT(INDIRECT(ADDRESS(ROW(D99)-1, Source!$E99)), Source!$C99), D98))</f>
        <v/>
      </c>
      <c r="E99" s="2" t="str">
        <f>IF(Source!$E99=COLUMNS($A99:E99), LEFT(E98, LEN(E98)-Source!$C99), IF(Source!$G99=COLUMNS($A99:E99), E98&amp;RIGHT(INDIRECT(ADDRESS(ROW(E99)-1, Source!$E99)), Source!$C99), E98))</f>
        <v>SVGZJS</v>
      </c>
      <c r="F99" s="2" t="str">
        <f>IF(Source!$E99=COLUMNS($A99:F99), LEFT(F98, LEN(F98)-Source!$C99), IF(Source!$G99=COLUMNS($A99:F99), F98&amp;RIGHT(INDIRECT(ADDRESS(ROW(F99)-1, Source!$E99)), Source!$C99), F98))</f>
        <v>WB</v>
      </c>
      <c r="G99" s="2" t="str">
        <f>IF(Source!$E99=COLUMNS($A99:G99), LEFT(G98, LEN(G98)-Source!$C99), IF(Source!$G99=COLUMNS($A99:G99), G98&amp;RIGHT(INDIRECT(ADDRESS(ROW(G99)-1, Source!$E99)), Source!$C99), G98))</f>
        <v>LT</v>
      </c>
      <c r="H99" s="2" t="str">
        <f>IF(Source!$E99=COLUMNS($A99:H99), LEFT(H98, LEN(H98)-Source!$C99), IF(Source!$G99=COLUMNS($A99:H99), H98&amp;RIGHT(INDIRECT(ADDRESS(ROW(H99)-1, Source!$E99)), Source!$C99), H98))</f>
        <v/>
      </c>
      <c r="I99" s="2" t="str">
        <f>IF(Source!$E99=COLUMNS($A99:I99), LEFT(I98, LEN(I98)-Source!$C99), IF(Source!$G99=COLUMNS($A99:I99), I98&amp;RIGHT(INDIRECT(ADDRESS(ROW(I99)-1, Source!$E99)), Source!$C99), I98))</f>
        <v>VMTQRQPD</v>
      </c>
    </row>
    <row r="100">
      <c r="A100" s="2" t="str">
        <f>IF(Source!$E100=COLUMNS($A100:A100), LEFT(A99, LEN(A99)-Source!$C100), IF(Source!$G100=COLUMNS($A100:A100), A99&amp;RIGHT(INDIRECT(ADDRESS(ROW(A100)-1, Source!$E100)), Source!$C100), A99))</f>
        <v/>
      </c>
      <c r="B100" s="2" t="str">
        <f>IF(Source!$E100=COLUMNS($A100:B100), LEFT(B99, LEN(B99)-Source!$C100), IF(Source!$G100=COLUMNS($A100:B100), B99&amp;RIGHT(INDIRECT(ADDRESS(ROW(B100)-1, Source!$E100)), Source!$C100), B99))</f>
        <v>FMLSVGZJS</v>
      </c>
      <c r="C100" s="2" t="str">
        <f>IF(Source!$E100=COLUMNS($A100:C100), LEFT(C99, LEN(C99)-Source!$C100), IF(Source!$G100=COLUMNS($A100:C100), C99&amp;RIGHT(INDIRECT(ADDRESS(ROW(C100)-1, Source!$E100)), Source!$C100), C99))</f>
        <v>JSWFHSPVTMPCDDDBDTRRLZRGJTCDBZHRBTC</v>
      </c>
      <c r="D100" s="2" t="str">
        <f>IF(Source!$E100=COLUMNS($A100:D100), LEFT(D99, LEN(D99)-Source!$C100), IF(Source!$G100=COLUMNS($A100:D100), D99&amp;RIGHT(INDIRECT(ADDRESS(ROW(D100)-1, Source!$E100)), Source!$C100), D99))</f>
        <v/>
      </c>
      <c r="E100" s="2" t="str">
        <f>IF(Source!$E100=COLUMNS($A100:E100), LEFT(E99, LEN(E99)-Source!$C100), IF(Source!$G100=COLUMNS($A100:E100), E99&amp;RIGHT(INDIRECT(ADDRESS(ROW(E100)-1, Source!$E100)), Source!$C100), E99))</f>
        <v/>
      </c>
      <c r="F100" s="2" t="str">
        <f>IF(Source!$E100=COLUMNS($A100:F100), LEFT(F99, LEN(F99)-Source!$C100), IF(Source!$G100=COLUMNS($A100:F100), F99&amp;RIGHT(INDIRECT(ADDRESS(ROW(F100)-1, Source!$E100)), Source!$C100), F99))</f>
        <v>WB</v>
      </c>
      <c r="G100" s="2" t="str">
        <f>IF(Source!$E100=COLUMNS($A100:G100), LEFT(G99, LEN(G99)-Source!$C100), IF(Source!$G100=COLUMNS($A100:G100), G99&amp;RIGHT(INDIRECT(ADDRESS(ROW(G100)-1, Source!$E100)), Source!$C100), G99))</f>
        <v>LT</v>
      </c>
      <c r="H100" s="2" t="str">
        <f>IF(Source!$E100=COLUMNS($A100:H100), LEFT(H99, LEN(H99)-Source!$C100), IF(Source!$G100=COLUMNS($A100:H100), H99&amp;RIGHT(INDIRECT(ADDRESS(ROW(H100)-1, Source!$E100)), Source!$C100), H99))</f>
        <v/>
      </c>
      <c r="I100" s="2" t="str">
        <f>IF(Source!$E100=COLUMNS($A100:I100), LEFT(I99, LEN(I99)-Source!$C100), IF(Source!$G100=COLUMNS($A100:I100), I99&amp;RIGHT(INDIRECT(ADDRESS(ROW(I100)-1, Source!$E100)), Source!$C100), I99))</f>
        <v>VMTQRQPD</v>
      </c>
    </row>
    <row r="101">
      <c r="A101" s="2" t="str">
        <f>IF(Source!$E101=COLUMNS($A101:A101), LEFT(A100, LEN(A100)-Source!$C101), IF(Source!$G101=COLUMNS($A101:A101), A100&amp;RIGHT(INDIRECT(ADDRESS(ROW(A101)-1, Source!$E101)), Source!$C101), A100))</f>
        <v/>
      </c>
      <c r="B101" s="2" t="str">
        <f>IF(Source!$E101=COLUMNS($A101:B101), LEFT(B100, LEN(B100)-Source!$C101), IF(Source!$G101=COLUMNS($A101:B101), B100&amp;RIGHT(INDIRECT(ADDRESS(ROW(B101)-1, Source!$E101)), Source!$C101), B100))</f>
        <v>FMLSVGZJS</v>
      </c>
      <c r="C101" s="2" t="str">
        <f>IF(Source!$E101=COLUMNS($A101:C101), LEFT(C100, LEN(C100)-Source!$C101), IF(Source!$G101=COLUMNS($A101:C101), C100&amp;RIGHT(INDIRECT(ADDRESS(ROW(C101)-1, Source!$E101)), Source!$C101), C100))</f>
        <v>JSWFHSPVTMPCDDDBDTRRLZRGJTCDBZHRBTC</v>
      </c>
      <c r="D101" s="2" t="str">
        <f>IF(Source!$E101=COLUMNS($A101:D101), LEFT(D100, LEN(D100)-Source!$C101), IF(Source!$G101=COLUMNS($A101:D101), D100&amp;RIGHT(INDIRECT(ADDRESS(ROW(D101)-1, Source!$E101)), Source!$C101), D100))</f>
        <v/>
      </c>
      <c r="E101" s="2" t="str">
        <f>IF(Source!$E101=COLUMNS($A101:E101), LEFT(E100, LEN(E100)-Source!$C101), IF(Source!$G101=COLUMNS($A101:E101), E100&amp;RIGHT(INDIRECT(ADDRESS(ROW(E101)-1, Source!$E101)), Source!$C101), E100))</f>
        <v/>
      </c>
      <c r="F101" s="2" t="str">
        <f>IF(Source!$E101=COLUMNS($A101:F101), LEFT(F100, LEN(F100)-Source!$C101), IF(Source!$G101=COLUMNS($A101:F101), F100&amp;RIGHT(INDIRECT(ADDRESS(ROW(F101)-1, Source!$E101)), Source!$C101), F100))</f>
        <v/>
      </c>
      <c r="G101" s="2" t="str">
        <f>IF(Source!$E101=COLUMNS($A101:G101), LEFT(G100, LEN(G100)-Source!$C101), IF(Source!$G101=COLUMNS($A101:G101), G100&amp;RIGHT(INDIRECT(ADDRESS(ROW(G101)-1, Source!$E101)), Source!$C101), G100))</f>
        <v>LT</v>
      </c>
      <c r="H101" s="2" t="str">
        <f>IF(Source!$E101=COLUMNS($A101:H101), LEFT(H100, LEN(H100)-Source!$C101), IF(Source!$G101=COLUMNS($A101:H101), H100&amp;RIGHT(INDIRECT(ADDRESS(ROW(H101)-1, Source!$E101)), Source!$C101), H100))</f>
        <v>WB</v>
      </c>
      <c r="I101" s="2" t="str">
        <f>IF(Source!$E101=COLUMNS($A101:I101), LEFT(I100, LEN(I100)-Source!$C101), IF(Source!$G101=COLUMNS($A101:I101), I100&amp;RIGHT(INDIRECT(ADDRESS(ROW(I101)-1, Source!$E101)), Source!$C101), I100))</f>
        <v>VMTQRQPD</v>
      </c>
    </row>
    <row r="102">
      <c r="A102" s="2" t="str">
        <f>IF(Source!$E102=COLUMNS($A102:A102), LEFT(A101, LEN(A101)-Source!$C102), IF(Source!$G102=COLUMNS($A102:A102), A101&amp;RIGHT(INDIRECT(ADDRESS(ROW(A102)-1, Source!$E102)), Source!$C102), A101))</f>
        <v/>
      </c>
      <c r="B102" s="2" t="str">
        <f>IF(Source!$E102=COLUMNS($A102:B102), LEFT(B101, LEN(B101)-Source!$C102), IF(Source!$G102=COLUMNS($A102:B102), B101&amp;RIGHT(INDIRECT(ADDRESS(ROW(B102)-1, Source!$E102)), Source!$C102), B101))</f>
        <v>FMLSVGZJS</v>
      </c>
      <c r="C102" s="2" t="str">
        <f>IF(Source!$E102=COLUMNS($A102:C102), LEFT(C101, LEN(C101)-Source!$C102), IF(Source!$G102=COLUMNS($A102:C102), C101&amp;RIGHT(INDIRECT(ADDRESS(ROW(C102)-1, Source!$E102)), Source!$C102), C101))</f>
        <v>JSWFHSPVTMPCDDDBDTRRLZRGJTCDBZHRBTC</v>
      </c>
      <c r="D102" s="2" t="str">
        <f>IF(Source!$E102=COLUMNS($A102:D102), LEFT(D101, LEN(D101)-Source!$C102), IF(Source!$G102=COLUMNS($A102:D102), D101&amp;RIGHT(INDIRECT(ADDRESS(ROW(D102)-1, Source!$E102)), Source!$C102), D101))</f>
        <v/>
      </c>
      <c r="E102" s="2" t="str">
        <f>IF(Source!$E102=COLUMNS($A102:E102), LEFT(E101, LEN(E101)-Source!$C102), IF(Source!$G102=COLUMNS($A102:E102), E101&amp;RIGHT(INDIRECT(ADDRESS(ROW(E102)-1, Source!$E102)), Source!$C102), E101))</f>
        <v>MTQRQPD</v>
      </c>
      <c r="F102" s="2" t="str">
        <f>IF(Source!$E102=COLUMNS($A102:F102), LEFT(F101, LEN(F101)-Source!$C102), IF(Source!$G102=COLUMNS($A102:F102), F101&amp;RIGHT(INDIRECT(ADDRESS(ROW(F102)-1, Source!$E102)), Source!$C102), F101))</f>
        <v/>
      </c>
      <c r="G102" s="2" t="str">
        <f>IF(Source!$E102=COLUMNS($A102:G102), LEFT(G101, LEN(G101)-Source!$C102), IF(Source!$G102=COLUMNS($A102:G102), G101&amp;RIGHT(INDIRECT(ADDRESS(ROW(G102)-1, Source!$E102)), Source!$C102), G101))</f>
        <v>LT</v>
      </c>
      <c r="H102" s="2" t="str">
        <f>IF(Source!$E102=COLUMNS($A102:H102), LEFT(H101, LEN(H101)-Source!$C102), IF(Source!$G102=COLUMNS($A102:H102), H101&amp;RIGHT(INDIRECT(ADDRESS(ROW(H102)-1, Source!$E102)), Source!$C102), H101))</f>
        <v>WB</v>
      </c>
      <c r="I102" s="2" t="str">
        <f>IF(Source!$E102=COLUMNS($A102:I102), LEFT(I101, LEN(I101)-Source!$C102), IF(Source!$G102=COLUMNS($A102:I102), I101&amp;RIGHT(INDIRECT(ADDRESS(ROW(I102)-1, Source!$E102)), Source!$C102), I101))</f>
        <v>V</v>
      </c>
    </row>
    <row r="103">
      <c r="A103" s="2" t="str">
        <f>IF(Source!$E103=COLUMNS($A103:A103), LEFT(A102, LEN(A102)-Source!$C103), IF(Source!$G103=COLUMNS($A103:A103), A102&amp;RIGHT(INDIRECT(ADDRESS(ROW(A103)-1, Source!$E103)), Source!$C103), A102))</f>
        <v/>
      </c>
      <c r="B103" s="2" t="str">
        <f>IF(Source!$E103=COLUMNS($A103:B103), LEFT(B102, LEN(B102)-Source!$C103), IF(Source!$G103=COLUMNS($A103:B103), B102&amp;RIGHT(INDIRECT(ADDRESS(ROW(B103)-1, Source!$E103)), Source!$C103), B102))</f>
        <v>FMLSVGZJS</v>
      </c>
      <c r="C103" s="2" t="str">
        <f>IF(Source!$E103=COLUMNS($A103:C103), LEFT(C102, LEN(C102)-Source!$C103), IF(Source!$G103=COLUMNS($A103:C103), C102&amp;RIGHT(INDIRECT(ADDRESS(ROW(C103)-1, Source!$E103)), Source!$C103), C102))</f>
        <v>JSWFHSPVTMPCDDDBDTRRLZRGJTCDBZHRBTC</v>
      </c>
      <c r="D103" s="2" t="str">
        <f>IF(Source!$E103=COLUMNS($A103:D103), LEFT(D102, LEN(D102)-Source!$C103), IF(Source!$G103=COLUMNS($A103:D103), D102&amp;RIGHT(INDIRECT(ADDRESS(ROW(D103)-1, Source!$E103)), Source!$C103), D102))</f>
        <v/>
      </c>
      <c r="E103" s="2" t="str">
        <f>IF(Source!$E103=COLUMNS($A103:E103), LEFT(E102, LEN(E102)-Source!$C103), IF(Source!$G103=COLUMNS($A103:E103), E102&amp;RIGHT(INDIRECT(ADDRESS(ROW(E103)-1, Source!$E103)), Source!$C103), E102))</f>
        <v>MTQRQP</v>
      </c>
      <c r="F103" s="2" t="str">
        <f>IF(Source!$E103=COLUMNS($A103:F103), LEFT(F102, LEN(F102)-Source!$C103), IF(Source!$G103=COLUMNS($A103:F103), F102&amp;RIGHT(INDIRECT(ADDRESS(ROW(F103)-1, Source!$E103)), Source!$C103), F102))</f>
        <v/>
      </c>
      <c r="G103" s="2" t="str">
        <f>IF(Source!$E103=COLUMNS($A103:G103), LEFT(G102, LEN(G102)-Source!$C103), IF(Source!$G103=COLUMNS($A103:G103), G102&amp;RIGHT(INDIRECT(ADDRESS(ROW(G103)-1, Source!$E103)), Source!$C103), G102))</f>
        <v>LT</v>
      </c>
      <c r="H103" s="2" t="str">
        <f>IF(Source!$E103=COLUMNS($A103:H103), LEFT(H102, LEN(H102)-Source!$C103), IF(Source!$G103=COLUMNS($A103:H103), H102&amp;RIGHT(INDIRECT(ADDRESS(ROW(H103)-1, Source!$E103)), Source!$C103), H102))</f>
        <v>WBD</v>
      </c>
      <c r="I103" s="2" t="str">
        <f>IF(Source!$E103=COLUMNS($A103:I103), LEFT(I102, LEN(I102)-Source!$C103), IF(Source!$G103=COLUMNS($A103:I103), I102&amp;RIGHT(INDIRECT(ADDRESS(ROW(I103)-1, Source!$E103)), Source!$C103), I102))</f>
        <v>V</v>
      </c>
    </row>
    <row r="104">
      <c r="A104" s="2" t="str">
        <f>IF(Source!$E104=COLUMNS($A104:A104), LEFT(A103, LEN(A103)-Source!$C104), IF(Source!$G104=COLUMNS($A104:A104), A103&amp;RIGHT(INDIRECT(ADDRESS(ROW(A104)-1, Source!$E104)), Source!$C104), A103))</f>
        <v/>
      </c>
      <c r="B104" s="2" t="str">
        <f>IF(Source!$E104=COLUMNS($A104:B104), LEFT(B103, LEN(B103)-Source!$C104), IF(Source!$G104=COLUMNS($A104:B104), B103&amp;RIGHT(INDIRECT(ADDRESS(ROW(B104)-1, Source!$E104)), Source!$C104), B103))</f>
        <v>FMLSVGZJS</v>
      </c>
      <c r="C104" s="2" t="str">
        <f>IF(Source!$E104=COLUMNS($A104:C104), LEFT(C103, LEN(C103)-Source!$C104), IF(Source!$G104=COLUMNS($A104:C104), C103&amp;RIGHT(INDIRECT(ADDRESS(ROW(C104)-1, Source!$E104)), Source!$C104), C103))</f>
        <v>JSWFHSPVTMPCDDDBDTRRLZRGJTCDBZHRBTC</v>
      </c>
      <c r="D104" s="2" t="str">
        <f>IF(Source!$E104=COLUMNS($A104:D104), LEFT(D103, LEN(D103)-Source!$C104), IF(Source!$G104=COLUMNS($A104:D104), D103&amp;RIGHT(INDIRECT(ADDRESS(ROW(D104)-1, Source!$E104)), Source!$C104), D103))</f>
        <v/>
      </c>
      <c r="E104" s="2" t="str">
        <f>IF(Source!$E104=COLUMNS($A104:E104), LEFT(E103, LEN(E103)-Source!$C104), IF(Source!$G104=COLUMNS($A104:E104), E103&amp;RIGHT(INDIRECT(ADDRESS(ROW(E104)-1, Source!$E104)), Source!$C104), E103))</f>
        <v>MTQRQP</v>
      </c>
      <c r="F104" s="2" t="str">
        <f>IF(Source!$E104=COLUMNS($A104:F104), LEFT(F103, LEN(F103)-Source!$C104), IF(Source!$G104=COLUMNS($A104:F104), F103&amp;RIGHT(INDIRECT(ADDRESS(ROW(F104)-1, Source!$E104)), Source!$C104), F103))</f>
        <v>LT</v>
      </c>
      <c r="G104" s="2" t="str">
        <f>IF(Source!$E104=COLUMNS($A104:G104), LEFT(G103, LEN(G103)-Source!$C104), IF(Source!$G104=COLUMNS($A104:G104), G103&amp;RIGHT(INDIRECT(ADDRESS(ROW(G104)-1, Source!$E104)), Source!$C104), G103))</f>
        <v/>
      </c>
      <c r="H104" s="2" t="str">
        <f>IF(Source!$E104=COLUMNS($A104:H104), LEFT(H103, LEN(H103)-Source!$C104), IF(Source!$G104=COLUMNS($A104:H104), H103&amp;RIGHT(INDIRECT(ADDRESS(ROW(H104)-1, Source!$E104)), Source!$C104), H103))</f>
        <v>WBD</v>
      </c>
      <c r="I104" s="2" t="str">
        <f>IF(Source!$E104=COLUMNS($A104:I104), LEFT(I103, LEN(I103)-Source!$C104), IF(Source!$G104=COLUMNS($A104:I104), I103&amp;RIGHT(INDIRECT(ADDRESS(ROW(I104)-1, Source!$E104)), Source!$C104), I103))</f>
        <v>V</v>
      </c>
    </row>
    <row r="105">
      <c r="A105" s="2" t="str">
        <f>IF(Source!$E105=COLUMNS($A105:A105), LEFT(A104, LEN(A104)-Source!$C105), IF(Source!$G105=COLUMNS($A105:A105), A104&amp;RIGHT(INDIRECT(ADDRESS(ROW(A105)-1, Source!$E105)), Source!$C105), A104))</f>
        <v/>
      </c>
      <c r="B105" s="2" t="str">
        <f>IF(Source!$E105=COLUMNS($A105:B105), LEFT(B104, LEN(B104)-Source!$C105), IF(Source!$G105=COLUMNS($A105:B105), B104&amp;RIGHT(INDIRECT(ADDRESS(ROW(B105)-1, Source!$E105)), Source!$C105), B104))</f>
        <v>FMLSVGZJS</v>
      </c>
      <c r="C105" s="2" t="str">
        <f>IF(Source!$E105=COLUMNS($A105:C105), LEFT(C104, LEN(C104)-Source!$C105), IF(Source!$G105=COLUMNS($A105:C105), C104&amp;RIGHT(INDIRECT(ADDRESS(ROW(C105)-1, Source!$E105)), Source!$C105), C104))</f>
        <v>J</v>
      </c>
      <c r="D105" s="2" t="str">
        <f>IF(Source!$E105=COLUMNS($A105:D105), LEFT(D104, LEN(D104)-Source!$C105), IF(Source!$G105=COLUMNS($A105:D105), D104&amp;RIGHT(INDIRECT(ADDRESS(ROW(D105)-1, Source!$E105)), Source!$C105), D104))</f>
        <v/>
      </c>
      <c r="E105" s="2" t="str">
        <f>IF(Source!$E105=COLUMNS($A105:E105), LEFT(E104, LEN(E104)-Source!$C105), IF(Source!$G105=COLUMNS($A105:E105), E104&amp;RIGHT(INDIRECT(ADDRESS(ROW(E105)-1, Source!$E105)), Source!$C105), E104))</f>
        <v>MTQRQP</v>
      </c>
      <c r="F105" s="2" t="str">
        <f>IF(Source!$E105=COLUMNS($A105:F105), LEFT(F104, LEN(F104)-Source!$C105), IF(Source!$G105=COLUMNS($A105:F105), F104&amp;RIGHT(INDIRECT(ADDRESS(ROW(F105)-1, Source!$E105)), Source!$C105), F104))</f>
        <v>LTSWFHSPVTMPCDDDBDTRRLZRGJTCDBZHRBTC</v>
      </c>
      <c r="G105" s="2" t="str">
        <f>IF(Source!$E105=COLUMNS($A105:G105), LEFT(G104, LEN(G104)-Source!$C105), IF(Source!$G105=COLUMNS($A105:G105), G104&amp;RIGHT(INDIRECT(ADDRESS(ROW(G105)-1, Source!$E105)), Source!$C105), G104))</f>
        <v/>
      </c>
      <c r="H105" s="2" t="str">
        <f>IF(Source!$E105=COLUMNS($A105:H105), LEFT(H104, LEN(H104)-Source!$C105), IF(Source!$G105=COLUMNS($A105:H105), H104&amp;RIGHT(INDIRECT(ADDRESS(ROW(H105)-1, Source!$E105)), Source!$C105), H104))</f>
        <v>WBD</v>
      </c>
      <c r="I105" s="2" t="str">
        <f>IF(Source!$E105=COLUMNS($A105:I105), LEFT(I104, LEN(I104)-Source!$C105), IF(Source!$G105=COLUMNS($A105:I105), I104&amp;RIGHT(INDIRECT(ADDRESS(ROW(I105)-1, Source!$E105)), Source!$C105), I104))</f>
        <v>V</v>
      </c>
    </row>
    <row r="106">
      <c r="A106" s="2" t="str">
        <f>IF(Source!$E106=COLUMNS($A106:A106), LEFT(A105, LEN(A105)-Source!$C106), IF(Source!$G106=COLUMNS($A106:A106), A105&amp;RIGHT(INDIRECT(ADDRESS(ROW(A106)-1, Source!$E106)), Source!$C106), A105))</f>
        <v/>
      </c>
      <c r="B106" s="2" t="str">
        <f>IF(Source!$E106=COLUMNS($A106:B106), LEFT(B105, LEN(B105)-Source!$C106), IF(Source!$G106=COLUMNS($A106:B106), B105&amp;RIGHT(INDIRECT(ADDRESS(ROW(B106)-1, Source!$E106)), Source!$C106), B105))</f>
        <v>FMLSVGZJSDTRRLZRGJTCDBZHRBTC</v>
      </c>
      <c r="C106" s="2" t="str">
        <f>IF(Source!$E106=COLUMNS($A106:C106), LEFT(C105, LEN(C105)-Source!$C106), IF(Source!$G106=COLUMNS($A106:C106), C105&amp;RIGHT(INDIRECT(ADDRESS(ROW(C106)-1, Source!$E106)), Source!$C106), C105))</f>
        <v>J</v>
      </c>
      <c r="D106" s="2" t="str">
        <f>IF(Source!$E106=COLUMNS($A106:D106), LEFT(D105, LEN(D105)-Source!$C106), IF(Source!$G106=COLUMNS($A106:D106), D105&amp;RIGHT(INDIRECT(ADDRESS(ROW(D106)-1, Source!$E106)), Source!$C106), D105))</f>
        <v/>
      </c>
      <c r="E106" s="2" t="str">
        <f>IF(Source!$E106=COLUMNS($A106:E106), LEFT(E105, LEN(E105)-Source!$C106), IF(Source!$G106=COLUMNS($A106:E106), E105&amp;RIGHT(INDIRECT(ADDRESS(ROW(E106)-1, Source!$E106)), Source!$C106), E105))</f>
        <v>MTQRQP</v>
      </c>
      <c r="F106" s="2" t="str">
        <f>IF(Source!$E106=COLUMNS($A106:F106), LEFT(F105, LEN(F105)-Source!$C106), IF(Source!$G106=COLUMNS($A106:F106), F105&amp;RIGHT(INDIRECT(ADDRESS(ROW(F106)-1, Source!$E106)), Source!$C106), F105))</f>
        <v>LTSWFHSPVTMPCDDDB</v>
      </c>
      <c r="G106" s="2" t="str">
        <f>IF(Source!$E106=COLUMNS($A106:G106), LEFT(G105, LEN(G105)-Source!$C106), IF(Source!$G106=COLUMNS($A106:G106), G105&amp;RIGHT(INDIRECT(ADDRESS(ROW(G106)-1, Source!$E106)), Source!$C106), G105))</f>
        <v/>
      </c>
      <c r="H106" s="2" t="str">
        <f>IF(Source!$E106=COLUMNS($A106:H106), LEFT(H105, LEN(H105)-Source!$C106), IF(Source!$G106=COLUMNS($A106:H106), H105&amp;RIGHT(INDIRECT(ADDRESS(ROW(H106)-1, Source!$E106)), Source!$C106), H105))</f>
        <v>WBD</v>
      </c>
      <c r="I106" s="2" t="str">
        <f>IF(Source!$E106=COLUMNS($A106:I106), LEFT(I105, LEN(I105)-Source!$C106), IF(Source!$G106=COLUMNS($A106:I106), I105&amp;RIGHT(INDIRECT(ADDRESS(ROW(I106)-1, Source!$E106)), Source!$C106), I105))</f>
        <v>V</v>
      </c>
    </row>
    <row r="107">
      <c r="A107" s="2" t="str">
        <f>IF(Source!$E107=COLUMNS($A107:A107), LEFT(A106, LEN(A106)-Source!$C107), IF(Source!$G107=COLUMNS($A107:A107), A106&amp;RIGHT(INDIRECT(ADDRESS(ROW(A107)-1, Source!$E107)), Source!$C107), A106))</f>
        <v/>
      </c>
      <c r="B107" s="2" t="str">
        <f>IF(Source!$E107=COLUMNS($A107:B107), LEFT(B106, LEN(B106)-Source!$C107), IF(Source!$G107=COLUMNS($A107:B107), B106&amp;RIGHT(INDIRECT(ADDRESS(ROW(B107)-1, Source!$E107)), Source!$C107), B106))</f>
        <v>FMLSVGZJSDTRRLZRGJTCDBZHRBTC</v>
      </c>
      <c r="C107" s="2" t="str">
        <f>IF(Source!$E107=COLUMNS($A107:C107), LEFT(C106, LEN(C106)-Source!$C107), IF(Source!$G107=COLUMNS($A107:C107), C106&amp;RIGHT(INDIRECT(ADDRESS(ROW(C107)-1, Source!$E107)), Source!$C107), C106))</f>
        <v>J</v>
      </c>
      <c r="D107" s="2" t="str">
        <f>IF(Source!$E107=COLUMNS($A107:D107), LEFT(D106, LEN(D106)-Source!$C107), IF(Source!$G107=COLUMNS($A107:D107), D106&amp;RIGHT(INDIRECT(ADDRESS(ROW(D107)-1, Source!$E107)), Source!$C107), D106))</f>
        <v/>
      </c>
      <c r="E107" s="2" t="str">
        <f>IF(Source!$E107=COLUMNS($A107:E107), LEFT(E106, LEN(E106)-Source!$C107), IF(Source!$G107=COLUMNS($A107:E107), E106&amp;RIGHT(INDIRECT(ADDRESS(ROW(E107)-1, Source!$E107)), Source!$C107), E106))</f>
        <v>MTQRQP</v>
      </c>
      <c r="F107" s="2" t="str">
        <f>IF(Source!$E107=COLUMNS($A107:F107), LEFT(F106, LEN(F106)-Source!$C107), IF(Source!$G107=COLUMNS($A107:F107), F106&amp;RIGHT(INDIRECT(ADDRESS(ROW(F107)-1, Source!$E107)), Source!$C107), F106))</f>
        <v>LTSWF</v>
      </c>
      <c r="G107" s="2" t="str">
        <f>IF(Source!$E107=COLUMNS($A107:G107), LEFT(G106, LEN(G106)-Source!$C107), IF(Source!$G107=COLUMNS($A107:G107), G106&amp;RIGHT(INDIRECT(ADDRESS(ROW(G107)-1, Source!$E107)), Source!$C107), G106))</f>
        <v/>
      </c>
      <c r="H107" s="2" t="str">
        <f>IF(Source!$E107=COLUMNS($A107:H107), LEFT(H106, LEN(H106)-Source!$C107), IF(Source!$G107=COLUMNS($A107:H107), H106&amp;RIGHT(INDIRECT(ADDRESS(ROW(H107)-1, Source!$E107)), Source!$C107), H106))</f>
        <v>WBD</v>
      </c>
      <c r="I107" s="2" t="str">
        <f>IF(Source!$E107=COLUMNS($A107:I107), LEFT(I106, LEN(I106)-Source!$C107), IF(Source!$G107=COLUMNS($A107:I107), I106&amp;RIGHT(INDIRECT(ADDRESS(ROW(I107)-1, Source!$E107)), Source!$C107), I106))</f>
        <v>VHSPVTMPCDDDB</v>
      </c>
    </row>
    <row r="108">
      <c r="A108" s="2" t="str">
        <f>IF(Source!$E108=COLUMNS($A108:A108), LEFT(A107, LEN(A107)-Source!$C108), IF(Source!$G108=COLUMNS($A108:A108), A107&amp;RIGHT(INDIRECT(ADDRESS(ROW(A108)-1, Source!$E108)), Source!$C108), A107))</f>
        <v/>
      </c>
      <c r="B108" s="2" t="str">
        <f>IF(Source!$E108=COLUMNS($A108:B108), LEFT(B107, LEN(B107)-Source!$C108), IF(Source!$G108=COLUMNS($A108:B108), B107&amp;RIGHT(INDIRECT(ADDRESS(ROW(B108)-1, Source!$E108)), Source!$C108), B107))</f>
        <v>FMLSVGZJSDTRRLZRGJTCDBZHRBTC</v>
      </c>
      <c r="C108" s="2" t="str">
        <f>IF(Source!$E108=COLUMNS($A108:C108), LEFT(C107, LEN(C107)-Source!$C108), IF(Source!$G108=COLUMNS($A108:C108), C107&amp;RIGHT(INDIRECT(ADDRESS(ROW(C108)-1, Source!$E108)), Source!$C108), C107))</f>
        <v>JSWF</v>
      </c>
      <c r="D108" s="2" t="str">
        <f>IF(Source!$E108=COLUMNS($A108:D108), LEFT(D107, LEN(D107)-Source!$C108), IF(Source!$G108=COLUMNS($A108:D108), D107&amp;RIGHT(INDIRECT(ADDRESS(ROW(D108)-1, Source!$E108)), Source!$C108), D107))</f>
        <v/>
      </c>
      <c r="E108" s="2" t="str">
        <f>IF(Source!$E108=COLUMNS($A108:E108), LEFT(E107, LEN(E107)-Source!$C108), IF(Source!$G108=COLUMNS($A108:E108), E107&amp;RIGHT(INDIRECT(ADDRESS(ROW(E108)-1, Source!$E108)), Source!$C108), E107))</f>
        <v>MTQRQP</v>
      </c>
      <c r="F108" s="2" t="str">
        <f>IF(Source!$E108=COLUMNS($A108:F108), LEFT(F107, LEN(F107)-Source!$C108), IF(Source!$G108=COLUMNS($A108:F108), F107&amp;RIGHT(INDIRECT(ADDRESS(ROW(F108)-1, Source!$E108)), Source!$C108), F107))</f>
        <v>LT</v>
      </c>
      <c r="G108" s="2" t="str">
        <f>IF(Source!$E108=COLUMNS($A108:G108), LEFT(G107, LEN(G107)-Source!$C108), IF(Source!$G108=COLUMNS($A108:G108), G107&amp;RIGHT(INDIRECT(ADDRESS(ROW(G108)-1, Source!$E108)), Source!$C108), G107))</f>
        <v/>
      </c>
      <c r="H108" s="2" t="str">
        <f>IF(Source!$E108=COLUMNS($A108:H108), LEFT(H107, LEN(H107)-Source!$C108), IF(Source!$G108=COLUMNS($A108:H108), H107&amp;RIGHT(INDIRECT(ADDRESS(ROW(H108)-1, Source!$E108)), Source!$C108), H107))</f>
        <v>WBD</v>
      </c>
      <c r="I108" s="2" t="str">
        <f>IF(Source!$E108=COLUMNS($A108:I108), LEFT(I107, LEN(I107)-Source!$C108), IF(Source!$G108=COLUMNS($A108:I108), I107&amp;RIGHT(INDIRECT(ADDRESS(ROW(I108)-1, Source!$E108)), Source!$C108), I107))</f>
        <v>VHSPVTMPCDDDB</v>
      </c>
    </row>
    <row r="109">
      <c r="A109" s="2" t="str">
        <f>IF(Source!$E109=COLUMNS($A109:A109), LEFT(A108, LEN(A108)-Source!$C109), IF(Source!$G109=COLUMNS($A109:A109), A108&amp;RIGHT(INDIRECT(ADDRESS(ROW(A109)-1, Source!$E109)), Source!$C109), A108))</f>
        <v/>
      </c>
      <c r="B109" s="2" t="str">
        <f>IF(Source!$E109=COLUMNS($A109:B109), LEFT(B108, LEN(B108)-Source!$C109), IF(Source!$G109=COLUMNS($A109:B109), B108&amp;RIGHT(INDIRECT(ADDRESS(ROW(B109)-1, Source!$E109)), Source!$C109), B108))</f>
        <v>FMLSVGZJSDTRRLZRGJTCDBZHRBTCWF</v>
      </c>
      <c r="C109" s="2" t="str">
        <f>IF(Source!$E109=COLUMNS($A109:C109), LEFT(C108, LEN(C108)-Source!$C109), IF(Source!$G109=COLUMNS($A109:C109), C108&amp;RIGHT(INDIRECT(ADDRESS(ROW(C109)-1, Source!$E109)), Source!$C109), C108))</f>
        <v>JS</v>
      </c>
      <c r="D109" s="2" t="str">
        <f>IF(Source!$E109=COLUMNS($A109:D109), LEFT(D108, LEN(D108)-Source!$C109), IF(Source!$G109=COLUMNS($A109:D109), D108&amp;RIGHT(INDIRECT(ADDRESS(ROW(D109)-1, Source!$E109)), Source!$C109), D108))</f>
        <v/>
      </c>
      <c r="E109" s="2" t="str">
        <f>IF(Source!$E109=COLUMNS($A109:E109), LEFT(E108, LEN(E108)-Source!$C109), IF(Source!$G109=COLUMNS($A109:E109), E108&amp;RIGHT(INDIRECT(ADDRESS(ROW(E109)-1, Source!$E109)), Source!$C109), E108))</f>
        <v>MTQRQP</v>
      </c>
      <c r="F109" s="2" t="str">
        <f>IF(Source!$E109=COLUMNS($A109:F109), LEFT(F108, LEN(F108)-Source!$C109), IF(Source!$G109=COLUMNS($A109:F109), F108&amp;RIGHT(INDIRECT(ADDRESS(ROW(F109)-1, Source!$E109)), Source!$C109), F108))</f>
        <v>LT</v>
      </c>
      <c r="G109" s="2" t="str">
        <f>IF(Source!$E109=COLUMNS($A109:G109), LEFT(G108, LEN(G108)-Source!$C109), IF(Source!$G109=COLUMNS($A109:G109), G108&amp;RIGHT(INDIRECT(ADDRESS(ROW(G109)-1, Source!$E109)), Source!$C109), G108))</f>
        <v/>
      </c>
      <c r="H109" s="2" t="str">
        <f>IF(Source!$E109=COLUMNS($A109:H109), LEFT(H108, LEN(H108)-Source!$C109), IF(Source!$G109=COLUMNS($A109:H109), H108&amp;RIGHT(INDIRECT(ADDRESS(ROW(H109)-1, Source!$E109)), Source!$C109), H108))</f>
        <v>WBD</v>
      </c>
      <c r="I109" s="2" t="str">
        <f>IF(Source!$E109=COLUMNS($A109:I109), LEFT(I108, LEN(I108)-Source!$C109), IF(Source!$G109=COLUMNS($A109:I109), I108&amp;RIGHT(INDIRECT(ADDRESS(ROW(I109)-1, Source!$E109)), Source!$C109), I108))</f>
        <v>VHSPVTMPCDDDB</v>
      </c>
    </row>
    <row r="110">
      <c r="A110" s="2" t="str">
        <f>IF(Source!$E110=COLUMNS($A110:A110), LEFT(A109, LEN(A109)-Source!$C110), IF(Source!$G110=COLUMNS($A110:A110), A109&amp;RIGHT(INDIRECT(ADDRESS(ROW(A110)-1, Source!$E110)), Source!$C110), A109))</f>
        <v/>
      </c>
      <c r="B110" s="2" t="str">
        <f>IF(Source!$E110=COLUMNS($A110:B110), LEFT(B109, LEN(B109)-Source!$C110), IF(Source!$G110=COLUMNS($A110:B110), B109&amp;RIGHT(INDIRECT(ADDRESS(ROW(B110)-1, Source!$E110)), Source!$C110), B109))</f>
        <v>FMLSVGZJSDTRRLZRGJTCDBZHRBTCWF</v>
      </c>
      <c r="C110" s="2" t="str">
        <f>IF(Source!$E110=COLUMNS($A110:C110), LEFT(C109, LEN(C109)-Source!$C110), IF(Source!$G110=COLUMNS($A110:C110), C109&amp;RIGHT(INDIRECT(ADDRESS(ROW(C110)-1, Source!$E110)), Source!$C110), C109))</f>
        <v>JS</v>
      </c>
      <c r="D110" s="2" t="str">
        <f>IF(Source!$E110=COLUMNS($A110:D110), LEFT(D109, LEN(D109)-Source!$C110), IF(Source!$G110=COLUMNS($A110:D110), D109&amp;RIGHT(INDIRECT(ADDRESS(ROW(D110)-1, Source!$E110)), Source!$C110), D109))</f>
        <v/>
      </c>
      <c r="E110" s="2" t="str">
        <f>IF(Source!$E110=COLUMNS($A110:E110), LEFT(E109, LEN(E109)-Source!$C110), IF(Source!$G110=COLUMNS($A110:E110), E109&amp;RIGHT(INDIRECT(ADDRESS(ROW(E110)-1, Source!$E110)), Source!$C110), E109))</f>
        <v>MTQRQPT</v>
      </c>
      <c r="F110" s="2" t="str">
        <f>IF(Source!$E110=COLUMNS($A110:F110), LEFT(F109, LEN(F109)-Source!$C110), IF(Source!$G110=COLUMNS($A110:F110), F109&amp;RIGHT(INDIRECT(ADDRESS(ROW(F110)-1, Source!$E110)), Source!$C110), F109))</f>
        <v>L</v>
      </c>
      <c r="G110" s="2" t="str">
        <f>IF(Source!$E110=COLUMNS($A110:G110), LEFT(G109, LEN(G109)-Source!$C110), IF(Source!$G110=COLUMNS($A110:G110), G109&amp;RIGHT(INDIRECT(ADDRESS(ROW(G110)-1, Source!$E110)), Source!$C110), G109))</f>
        <v/>
      </c>
      <c r="H110" s="2" t="str">
        <f>IF(Source!$E110=COLUMNS($A110:H110), LEFT(H109, LEN(H109)-Source!$C110), IF(Source!$G110=COLUMNS($A110:H110), H109&amp;RIGHT(INDIRECT(ADDRESS(ROW(H110)-1, Source!$E110)), Source!$C110), H109))</f>
        <v>WBD</v>
      </c>
      <c r="I110" s="2" t="str">
        <f>IF(Source!$E110=COLUMNS($A110:I110), LEFT(I109, LEN(I109)-Source!$C110), IF(Source!$G110=COLUMNS($A110:I110), I109&amp;RIGHT(INDIRECT(ADDRESS(ROW(I110)-1, Source!$E110)), Source!$C110), I109))</f>
        <v>VHSPVTMPCDDDB</v>
      </c>
    </row>
    <row r="111">
      <c r="A111" s="2" t="str">
        <f>IF(Source!$E111=COLUMNS($A111:A111), LEFT(A110, LEN(A110)-Source!$C111), IF(Source!$G111=COLUMNS($A111:A111), A110&amp;RIGHT(INDIRECT(ADDRESS(ROW(A111)-1, Source!$E111)), Source!$C111), A110))</f>
        <v/>
      </c>
      <c r="B111" s="2" t="str">
        <f>IF(Source!$E111=COLUMNS($A111:B111), LEFT(B110, LEN(B110)-Source!$C111), IF(Source!$G111=COLUMNS($A111:B111), B110&amp;RIGHT(INDIRECT(ADDRESS(ROW(B111)-1, Source!$E111)), Source!$C111), B110))</f>
        <v>FMLSVGZJSDTRR</v>
      </c>
      <c r="C111" s="2" t="str">
        <f>IF(Source!$E111=COLUMNS($A111:C111), LEFT(C110, LEN(C110)-Source!$C111), IF(Source!$G111=COLUMNS($A111:C111), C110&amp;RIGHT(INDIRECT(ADDRESS(ROW(C111)-1, Source!$E111)), Source!$C111), C110))</f>
        <v>JS</v>
      </c>
      <c r="D111" s="2" t="str">
        <f>IF(Source!$E111=COLUMNS($A111:D111), LEFT(D110, LEN(D110)-Source!$C111), IF(Source!$G111=COLUMNS($A111:D111), D110&amp;RIGHT(INDIRECT(ADDRESS(ROW(D111)-1, Source!$E111)), Source!$C111), D110))</f>
        <v/>
      </c>
      <c r="E111" s="2" t="str">
        <f>IF(Source!$E111=COLUMNS($A111:E111), LEFT(E110, LEN(E110)-Source!$C111), IF(Source!$G111=COLUMNS($A111:E111), E110&amp;RIGHT(INDIRECT(ADDRESS(ROW(E111)-1, Source!$E111)), Source!$C111), E110))</f>
        <v>MTQRQPT</v>
      </c>
      <c r="F111" s="2" t="str">
        <f>IF(Source!$E111=COLUMNS($A111:F111), LEFT(F110, LEN(F110)-Source!$C111), IF(Source!$G111=COLUMNS($A111:F111), F110&amp;RIGHT(INDIRECT(ADDRESS(ROW(F111)-1, Source!$E111)), Source!$C111), F110))</f>
        <v>L</v>
      </c>
      <c r="G111" s="2" t="str">
        <f>IF(Source!$E111=COLUMNS($A111:G111), LEFT(G110, LEN(G110)-Source!$C111), IF(Source!$G111=COLUMNS($A111:G111), G110&amp;RIGHT(INDIRECT(ADDRESS(ROW(G111)-1, Source!$E111)), Source!$C111), G110))</f>
        <v/>
      </c>
      <c r="H111" s="2" t="str">
        <f>IF(Source!$E111=COLUMNS($A111:H111), LEFT(H110, LEN(H110)-Source!$C111), IF(Source!$G111=COLUMNS($A111:H111), H110&amp;RIGHT(INDIRECT(ADDRESS(ROW(H111)-1, Source!$E111)), Source!$C111), H110))</f>
        <v>WBDLZRGJTCDBZHRBTCWF</v>
      </c>
      <c r="I111" s="2" t="str">
        <f>IF(Source!$E111=COLUMNS($A111:I111), LEFT(I110, LEN(I110)-Source!$C111), IF(Source!$G111=COLUMNS($A111:I111), I110&amp;RIGHT(INDIRECT(ADDRESS(ROW(I111)-1, Source!$E111)), Source!$C111), I110))</f>
        <v>VHSPVTMPCDDDB</v>
      </c>
    </row>
    <row r="112">
      <c r="A112" s="2" t="str">
        <f>IF(Source!$E112=COLUMNS($A112:A112), LEFT(A111, LEN(A111)-Source!$C112), IF(Source!$G112=COLUMNS($A112:A112), A111&amp;RIGHT(INDIRECT(ADDRESS(ROW(A112)-1, Source!$E112)), Source!$C112), A111))</f>
        <v/>
      </c>
      <c r="B112" s="2" t="str">
        <f>IF(Source!$E112=COLUMNS($A112:B112), LEFT(B111, LEN(B111)-Source!$C112), IF(Source!$G112=COLUMNS($A112:B112), B111&amp;RIGHT(INDIRECT(ADDRESS(ROW(B112)-1, Source!$E112)), Source!$C112), B111))</f>
        <v>FMLSVGZJSDTRRJS</v>
      </c>
      <c r="C112" s="2" t="str">
        <f>IF(Source!$E112=COLUMNS($A112:C112), LEFT(C111, LEN(C111)-Source!$C112), IF(Source!$G112=COLUMNS($A112:C112), C111&amp;RIGHT(INDIRECT(ADDRESS(ROW(C112)-1, Source!$E112)), Source!$C112), C111))</f>
        <v/>
      </c>
      <c r="D112" s="2" t="str">
        <f>IF(Source!$E112=COLUMNS($A112:D112), LEFT(D111, LEN(D111)-Source!$C112), IF(Source!$G112=COLUMNS($A112:D112), D111&amp;RIGHT(INDIRECT(ADDRESS(ROW(D112)-1, Source!$E112)), Source!$C112), D111))</f>
        <v/>
      </c>
      <c r="E112" s="2" t="str">
        <f>IF(Source!$E112=COLUMNS($A112:E112), LEFT(E111, LEN(E111)-Source!$C112), IF(Source!$G112=COLUMNS($A112:E112), E111&amp;RIGHT(INDIRECT(ADDRESS(ROW(E112)-1, Source!$E112)), Source!$C112), E111))</f>
        <v>MTQRQPT</v>
      </c>
      <c r="F112" s="2" t="str">
        <f>IF(Source!$E112=COLUMNS($A112:F112), LEFT(F111, LEN(F111)-Source!$C112), IF(Source!$G112=COLUMNS($A112:F112), F111&amp;RIGHT(INDIRECT(ADDRESS(ROW(F112)-1, Source!$E112)), Source!$C112), F111))</f>
        <v>L</v>
      </c>
      <c r="G112" s="2" t="str">
        <f>IF(Source!$E112=COLUMNS($A112:G112), LEFT(G111, LEN(G111)-Source!$C112), IF(Source!$G112=COLUMNS($A112:G112), G111&amp;RIGHT(INDIRECT(ADDRESS(ROW(G112)-1, Source!$E112)), Source!$C112), G111))</f>
        <v/>
      </c>
      <c r="H112" s="2" t="str">
        <f>IF(Source!$E112=COLUMNS($A112:H112), LEFT(H111, LEN(H111)-Source!$C112), IF(Source!$G112=COLUMNS($A112:H112), H111&amp;RIGHT(INDIRECT(ADDRESS(ROW(H112)-1, Source!$E112)), Source!$C112), H111))</f>
        <v>WBDLZRGJTCDBZHRBTCWF</v>
      </c>
      <c r="I112" s="2" t="str">
        <f>IF(Source!$E112=COLUMNS($A112:I112), LEFT(I111, LEN(I111)-Source!$C112), IF(Source!$G112=COLUMNS($A112:I112), I111&amp;RIGHT(INDIRECT(ADDRESS(ROW(I112)-1, Source!$E112)), Source!$C112), I111))</f>
        <v>VHSPVTMPCDDDB</v>
      </c>
    </row>
    <row r="113">
      <c r="A113" s="2" t="str">
        <f>IF(Source!$E113=COLUMNS($A113:A113), LEFT(A112, LEN(A112)-Source!$C113), IF(Source!$G113=COLUMNS($A113:A113), A112&amp;RIGHT(INDIRECT(ADDRESS(ROW(A113)-1, Source!$E113)), Source!$C113), A112))</f>
        <v/>
      </c>
      <c r="B113" s="2" t="str">
        <f>IF(Source!$E113=COLUMNS($A113:B113), LEFT(B112, LEN(B112)-Source!$C113), IF(Source!$G113=COLUMNS($A113:B113), B112&amp;RIGHT(INDIRECT(ADDRESS(ROW(B113)-1, Source!$E113)), Source!$C113), B112))</f>
        <v>FMLSVGZJSDTRRJS</v>
      </c>
      <c r="C113" s="2" t="str">
        <f>IF(Source!$E113=COLUMNS($A113:C113), LEFT(C112, LEN(C112)-Source!$C113), IF(Source!$G113=COLUMNS($A113:C113), C112&amp;RIGHT(INDIRECT(ADDRESS(ROW(C113)-1, Source!$E113)), Source!$C113), C112))</f>
        <v/>
      </c>
      <c r="D113" s="2" t="str">
        <f>IF(Source!$E113=COLUMNS($A113:D113), LEFT(D112, LEN(D112)-Source!$C113), IF(Source!$G113=COLUMNS($A113:D113), D112&amp;RIGHT(INDIRECT(ADDRESS(ROW(D113)-1, Source!$E113)), Source!$C113), D112))</f>
        <v>TMPCDDDB</v>
      </c>
      <c r="E113" s="2" t="str">
        <f>IF(Source!$E113=COLUMNS($A113:E113), LEFT(E112, LEN(E112)-Source!$C113), IF(Source!$G113=COLUMNS($A113:E113), E112&amp;RIGHT(INDIRECT(ADDRESS(ROW(E113)-1, Source!$E113)), Source!$C113), E112))</f>
        <v>MTQRQPT</v>
      </c>
      <c r="F113" s="2" t="str">
        <f>IF(Source!$E113=COLUMNS($A113:F113), LEFT(F112, LEN(F112)-Source!$C113), IF(Source!$G113=COLUMNS($A113:F113), F112&amp;RIGHT(INDIRECT(ADDRESS(ROW(F113)-1, Source!$E113)), Source!$C113), F112))</f>
        <v>L</v>
      </c>
      <c r="G113" s="2" t="str">
        <f>IF(Source!$E113=COLUMNS($A113:G113), LEFT(G112, LEN(G112)-Source!$C113), IF(Source!$G113=COLUMNS($A113:G113), G112&amp;RIGHT(INDIRECT(ADDRESS(ROW(G113)-1, Source!$E113)), Source!$C113), G112))</f>
        <v/>
      </c>
      <c r="H113" s="2" t="str">
        <f>IF(Source!$E113=COLUMNS($A113:H113), LEFT(H112, LEN(H112)-Source!$C113), IF(Source!$G113=COLUMNS($A113:H113), H112&amp;RIGHT(INDIRECT(ADDRESS(ROW(H113)-1, Source!$E113)), Source!$C113), H112))</f>
        <v>WBDLZRGJTCDBZHRBTCWF</v>
      </c>
      <c r="I113" s="2" t="str">
        <f>IF(Source!$E113=COLUMNS($A113:I113), LEFT(I112, LEN(I112)-Source!$C113), IF(Source!$G113=COLUMNS($A113:I113), I112&amp;RIGHT(INDIRECT(ADDRESS(ROW(I113)-1, Source!$E113)), Source!$C113), I112))</f>
        <v>VHSPV</v>
      </c>
    </row>
    <row r="114">
      <c r="A114" s="2" t="str">
        <f>IF(Source!$E114=COLUMNS($A114:A114), LEFT(A113, LEN(A113)-Source!$C114), IF(Source!$G114=COLUMNS($A114:A114), A113&amp;RIGHT(INDIRECT(ADDRESS(ROW(A114)-1, Source!$E114)), Source!$C114), A113))</f>
        <v/>
      </c>
      <c r="B114" s="2" t="str">
        <f>IF(Source!$E114=COLUMNS($A114:B114), LEFT(B113, LEN(B113)-Source!$C114), IF(Source!$G114=COLUMNS($A114:B114), B113&amp;RIGHT(INDIRECT(ADDRESS(ROW(B114)-1, Source!$E114)), Source!$C114), B113))</f>
        <v>FMLSVGZJSDTRRJSMTQRQPT</v>
      </c>
      <c r="C114" s="2" t="str">
        <f>IF(Source!$E114=COLUMNS($A114:C114), LEFT(C113, LEN(C113)-Source!$C114), IF(Source!$G114=COLUMNS($A114:C114), C113&amp;RIGHT(INDIRECT(ADDRESS(ROW(C114)-1, Source!$E114)), Source!$C114), C113))</f>
        <v/>
      </c>
      <c r="D114" s="2" t="str">
        <f>IF(Source!$E114=COLUMNS($A114:D114), LEFT(D113, LEN(D113)-Source!$C114), IF(Source!$G114=COLUMNS($A114:D114), D113&amp;RIGHT(INDIRECT(ADDRESS(ROW(D114)-1, Source!$E114)), Source!$C114), D113))</f>
        <v>TMPCDDDB</v>
      </c>
      <c r="E114" s="2" t="str">
        <f>IF(Source!$E114=COLUMNS($A114:E114), LEFT(E113, LEN(E113)-Source!$C114), IF(Source!$G114=COLUMNS($A114:E114), E113&amp;RIGHT(INDIRECT(ADDRESS(ROW(E114)-1, Source!$E114)), Source!$C114), E113))</f>
        <v/>
      </c>
      <c r="F114" s="2" t="str">
        <f>IF(Source!$E114=COLUMNS($A114:F114), LEFT(F113, LEN(F113)-Source!$C114), IF(Source!$G114=COLUMNS($A114:F114), F113&amp;RIGHT(INDIRECT(ADDRESS(ROW(F114)-1, Source!$E114)), Source!$C114), F113))</f>
        <v>L</v>
      </c>
      <c r="G114" s="2" t="str">
        <f>IF(Source!$E114=COLUMNS($A114:G114), LEFT(G113, LEN(G113)-Source!$C114), IF(Source!$G114=COLUMNS($A114:G114), G113&amp;RIGHT(INDIRECT(ADDRESS(ROW(G114)-1, Source!$E114)), Source!$C114), G113))</f>
        <v/>
      </c>
      <c r="H114" s="2" t="str">
        <f>IF(Source!$E114=COLUMNS($A114:H114), LEFT(H113, LEN(H113)-Source!$C114), IF(Source!$G114=COLUMNS($A114:H114), H113&amp;RIGHT(INDIRECT(ADDRESS(ROW(H114)-1, Source!$E114)), Source!$C114), H113))</f>
        <v>WBDLZRGJTCDBZHRBTCWF</v>
      </c>
      <c r="I114" s="2" t="str">
        <f>IF(Source!$E114=COLUMNS($A114:I114), LEFT(I113, LEN(I113)-Source!$C114), IF(Source!$G114=COLUMNS($A114:I114), I113&amp;RIGHT(INDIRECT(ADDRESS(ROW(I114)-1, Source!$E114)), Source!$C114), I113))</f>
        <v>VHSPV</v>
      </c>
    </row>
    <row r="115">
      <c r="A115" s="2" t="str">
        <f>IF(Source!$E115=COLUMNS($A115:A115), LEFT(A114, LEN(A114)-Source!$C115), IF(Source!$G115=COLUMNS($A115:A115), A114&amp;RIGHT(INDIRECT(ADDRESS(ROW(A115)-1, Source!$E115)), Source!$C115), A114))</f>
        <v>CDDDB</v>
      </c>
      <c r="B115" s="2" t="str">
        <f>IF(Source!$E115=COLUMNS($A115:B115), LEFT(B114, LEN(B114)-Source!$C115), IF(Source!$G115=COLUMNS($A115:B115), B114&amp;RIGHT(INDIRECT(ADDRESS(ROW(B115)-1, Source!$E115)), Source!$C115), B114))</f>
        <v>FMLSVGZJSDTRRJSMTQRQPT</v>
      </c>
      <c r="C115" s="2" t="str">
        <f>IF(Source!$E115=COLUMNS($A115:C115), LEFT(C114, LEN(C114)-Source!$C115), IF(Source!$G115=COLUMNS($A115:C115), C114&amp;RIGHT(INDIRECT(ADDRESS(ROW(C115)-1, Source!$E115)), Source!$C115), C114))</f>
        <v/>
      </c>
      <c r="D115" s="2" t="str">
        <f>IF(Source!$E115=COLUMNS($A115:D115), LEFT(D114, LEN(D114)-Source!$C115), IF(Source!$G115=COLUMNS($A115:D115), D114&amp;RIGHT(INDIRECT(ADDRESS(ROW(D115)-1, Source!$E115)), Source!$C115), D114))</f>
        <v>TMP</v>
      </c>
      <c r="E115" s="2" t="str">
        <f>IF(Source!$E115=COLUMNS($A115:E115), LEFT(E114, LEN(E114)-Source!$C115), IF(Source!$G115=COLUMNS($A115:E115), E114&amp;RIGHT(INDIRECT(ADDRESS(ROW(E115)-1, Source!$E115)), Source!$C115), E114))</f>
        <v/>
      </c>
      <c r="F115" s="2" t="str">
        <f>IF(Source!$E115=COLUMNS($A115:F115), LEFT(F114, LEN(F114)-Source!$C115), IF(Source!$G115=COLUMNS($A115:F115), F114&amp;RIGHT(INDIRECT(ADDRESS(ROW(F115)-1, Source!$E115)), Source!$C115), F114))</f>
        <v>L</v>
      </c>
      <c r="G115" s="2" t="str">
        <f>IF(Source!$E115=COLUMNS($A115:G115), LEFT(G114, LEN(G114)-Source!$C115), IF(Source!$G115=COLUMNS($A115:G115), G114&amp;RIGHT(INDIRECT(ADDRESS(ROW(G115)-1, Source!$E115)), Source!$C115), G114))</f>
        <v/>
      </c>
      <c r="H115" s="2" t="str">
        <f>IF(Source!$E115=COLUMNS($A115:H115), LEFT(H114, LEN(H114)-Source!$C115), IF(Source!$G115=COLUMNS($A115:H115), H114&amp;RIGHT(INDIRECT(ADDRESS(ROW(H115)-1, Source!$E115)), Source!$C115), H114))</f>
        <v>WBDLZRGJTCDBZHRBTCWF</v>
      </c>
      <c r="I115" s="2" t="str">
        <f>IF(Source!$E115=COLUMNS($A115:I115), LEFT(I114, LEN(I114)-Source!$C115), IF(Source!$G115=COLUMNS($A115:I115), I114&amp;RIGHT(INDIRECT(ADDRESS(ROW(I115)-1, Source!$E115)), Source!$C115), I114))</f>
        <v>VHSPV</v>
      </c>
    </row>
    <row r="116">
      <c r="A116" s="2" t="str">
        <f>IF(Source!$E116=COLUMNS($A116:A116), LEFT(A115, LEN(A115)-Source!$C116), IF(Source!$G116=COLUMNS($A116:A116), A115&amp;RIGHT(INDIRECT(ADDRESS(ROW(A116)-1, Source!$E116)), Source!$C116), A115))</f>
        <v>C</v>
      </c>
      <c r="B116" s="2" t="str">
        <f>IF(Source!$E116=COLUMNS($A116:B116), LEFT(B115, LEN(B115)-Source!$C116), IF(Source!$G116=COLUMNS($A116:B116), B115&amp;RIGHT(INDIRECT(ADDRESS(ROW(B116)-1, Source!$E116)), Source!$C116), B115))</f>
        <v>FMLSVGZJSDTRRJSMTQRQPT</v>
      </c>
      <c r="C116" s="2" t="str">
        <f>IF(Source!$E116=COLUMNS($A116:C116), LEFT(C115, LEN(C115)-Source!$C116), IF(Source!$G116=COLUMNS($A116:C116), C115&amp;RIGHT(INDIRECT(ADDRESS(ROW(C116)-1, Source!$E116)), Source!$C116), C115))</f>
        <v/>
      </c>
      <c r="D116" s="2" t="str">
        <f>IF(Source!$E116=COLUMNS($A116:D116), LEFT(D115, LEN(D115)-Source!$C116), IF(Source!$G116=COLUMNS($A116:D116), D115&amp;RIGHT(INDIRECT(ADDRESS(ROW(D116)-1, Source!$E116)), Source!$C116), D115))</f>
        <v>TMP</v>
      </c>
      <c r="E116" s="2" t="str">
        <f>IF(Source!$E116=COLUMNS($A116:E116), LEFT(E115, LEN(E115)-Source!$C116), IF(Source!$G116=COLUMNS($A116:E116), E115&amp;RIGHT(INDIRECT(ADDRESS(ROW(E116)-1, Source!$E116)), Source!$C116), E115))</f>
        <v/>
      </c>
      <c r="F116" s="2" t="str">
        <f>IF(Source!$E116=COLUMNS($A116:F116), LEFT(F115, LEN(F115)-Source!$C116), IF(Source!$G116=COLUMNS($A116:F116), F115&amp;RIGHT(INDIRECT(ADDRESS(ROW(F116)-1, Source!$E116)), Source!$C116), F115))</f>
        <v>LDDDB</v>
      </c>
      <c r="G116" s="2" t="str">
        <f>IF(Source!$E116=COLUMNS($A116:G116), LEFT(G115, LEN(G115)-Source!$C116), IF(Source!$G116=COLUMNS($A116:G116), G115&amp;RIGHT(INDIRECT(ADDRESS(ROW(G116)-1, Source!$E116)), Source!$C116), G115))</f>
        <v/>
      </c>
      <c r="H116" s="2" t="str">
        <f>IF(Source!$E116=COLUMNS($A116:H116), LEFT(H115, LEN(H115)-Source!$C116), IF(Source!$G116=COLUMNS($A116:H116), H115&amp;RIGHT(INDIRECT(ADDRESS(ROW(H116)-1, Source!$E116)), Source!$C116), H115))</f>
        <v>WBDLZRGJTCDBZHRBTCWF</v>
      </c>
      <c r="I116" s="2" t="str">
        <f>IF(Source!$E116=COLUMNS($A116:I116), LEFT(I115, LEN(I115)-Source!$C116), IF(Source!$G116=COLUMNS($A116:I116), I115&amp;RIGHT(INDIRECT(ADDRESS(ROW(I116)-1, Source!$E116)), Source!$C116), I115))</f>
        <v>VHSPV</v>
      </c>
    </row>
    <row r="117">
      <c r="A117" s="2" t="str">
        <f>IF(Source!$E117=COLUMNS($A117:A117), LEFT(A116, LEN(A116)-Source!$C117), IF(Source!$G117=COLUMNS($A117:A117), A116&amp;RIGHT(INDIRECT(ADDRESS(ROW(A117)-1, Source!$E117)), Source!$C117), A116))</f>
        <v/>
      </c>
      <c r="B117" s="2" t="str">
        <f>IF(Source!$E117=COLUMNS($A117:B117), LEFT(B116, LEN(B116)-Source!$C117), IF(Source!$G117=COLUMNS($A117:B117), B116&amp;RIGHT(INDIRECT(ADDRESS(ROW(B117)-1, Source!$E117)), Source!$C117), B116))</f>
        <v>FMLSVGZJSDTRRJSMTQRQPT</v>
      </c>
      <c r="C117" s="2" t="str">
        <f>IF(Source!$E117=COLUMNS($A117:C117), LEFT(C116, LEN(C116)-Source!$C117), IF(Source!$G117=COLUMNS($A117:C117), C116&amp;RIGHT(INDIRECT(ADDRESS(ROW(C117)-1, Source!$E117)), Source!$C117), C116))</f>
        <v/>
      </c>
      <c r="D117" s="2" t="str">
        <f>IF(Source!$E117=COLUMNS($A117:D117), LEFT(D116, LEN(D116)-Source!$C117), IF(Source!$G117=COLUMNS($A117:D117), D116&amp;RIGHT(INDIRECT(ADDRESS(ROW(D117)-1, Source!$E117)), Source!$C117), D116))</f>
        <v>TMP</v>
      </c>
      <c r="E117" s="2" t="str">
        <f>IF(Source!$E117=COLUMNS($A117:E117), LEFT(E116, LEN(E116)-Source!$C117), IF(Source!$G117=COLUMNS($A117:E117), E116&amp;RIGHT(INDIRECT(ADDRESS(ROW(E117)-1, Source!$E117)), Source!$C117), E116))</f>
        <v/>
      </c>
      <c r="F117" s="2" t="str">
        <f>IF(Source!$E117=COLUMNS($A117:F117), LEFT(F116, LEN(F116)-Source!$C117), IF(Source!$G117=COLUMNS($A117:F117), F116&amp;RIGHT(INDIRECT(ADDRESS(ROW(F117)-1, Source!$E117)), Source!$C117), F116))</f>
        <v>LDDDBC</v>
      </c>
      <c r="G117" s="2" t="str">
        <f>IF(Source!$E117=COLUMNS($A117:G117), LEFT(G116, LEN(G116)-Source!$C117), IF(Source!$G117=COLUMNS($A117:G117), G116&amp;RIGHT(INDIRECT(ADDRESS(ROW(G117)-1, Source!$E117)), Source!$C117), G116))</f>
        <v/>
      </c>
      <c r="H117" s="2" t="str">
        <f>IF(Source!$E117=COLUMNS($A117:H117), LEFT(H116, LEN(H116)-Source!$C117), IF(Source!$G117=COLUMNS($A117:H117), H116&amp;RIGHT(INDIRECT(ADDRESS(ROW(H117)-1, Source!$E117)), Source!$C117), H116))</f>
        <v>WBDLZRGJTCDBZHRBTCWF</v>
      </c>
      <c r="I117" s="2" t="str">
        <f>IF(Source!$E117=COLUMNS($A117:I117), LEFT(I116, LEN(I116)-Source!$C117), IF(Source!$G117=COLUMNS($A117:I117), I116&amp;RIGHT(INDIRECT(ADDRESS(ROW(I117)-1, Source!$E117)), Source!$C117), I116))</f>
        <v>VHSPV</v>
      </c>
    </row>
    <row r="118">
      <c r="A118" s="2" t="str">
        <f>IF(Source!$E118=COLUMNS($A118:A118), LEFT(A117, LEN(A117)-Source!$C118), IF(Source!$G118=COLUMNS($A118:A118), A117&amp;RIGHT(INDIRECT(ADDRESS(ROW(A118)-1, Source!$E118)), Source!$C118), A117))</f>
        <v/>
      </c>
      <c r="B118" s="2" t="str">
        <f>IF(Source!$E118=COLUMNS($A118:B118), LEFT(B117, LEN(B117)-Source!$C118), IF(Source!$G118=COLUMNS($A118:B118), B117&amp;RIGHT(INDIRECT(ADDRESS(ROW(B118)-1, Source!$E118)), Source!$C118), B117))</f>
        <v>FMLSVGZJSDTRRJSMTQRQPT</v>
      </c>
      <c r="C118" s="2" t="str">
        <f>IF(Source!$E118=COLUMNS($A118:C118), LEFT(C117, LEN(C117)-Source!$C118), IF(Source!$G118=COLUMNS($A118:C118), C117&amp;RIGHT(INDIRECT(ADDRESS(ROW(C118)-1, Source!$E118)), Source!$C118), C117))</f>
        <v/>
      </c>
      <c r="D118" s="2" t="str">
        <f>IF(Source!$E118=COLUMNS($A118:D118), LEFT(D117, LEN(D117)-Source!$C118), IF(Source!$G118=COLUMNS($A118:D118), D117&amp;RIGHT(INDIRECT(ADDRESS(ROW(D118)-1, Source!$E118)), Source!$C118), D117))</f>
        <v>TMP</v>
      </c>
      <c r="E118" s="2" t="str">
        <f>IF(Source!$E118=COLUMNS($A118:E118), LEFT(E117, LEN(E117)-Source!$C118), IF(Source!$G118=COLUMNS($A118:E118), E117&amp;RIGHT(INDIRECT(ADDRESS(ROW(E118)-1, Source!$E118)), Source!$C118), E117))</f>
        <v/>
      </c>
      <c r="F118" s="2" t="str">
        <f>IF(Source!$E118=COLUMNS($A118:F118), LEFT(F117, LEN(F117)-Source!$C118), IF(Source!$G118=COLUMNS($A118:F118), F117&amp;RIGHT(INDIRECT(ADDRESS(ROW(F118)-1, Source!$E118)), Source!$C118), F117))</f>
        <v/>
      </c>
      <c r="G118" s="2" t="str">
        <f>IF(Source!$E118=COLUMNS($A118:G118), LEFT(G117, LEN(G117)-Source!$C118), IF(Source!$G118=COLUMNS($A118:G118), G117&amp;RIGHT(INDIRECT(ADDRESS(ROW(G118)-1, Source!$E118)), Source!$C118), G117))</f>
        <v/>
      </c>
      <c r="H118" s="2" t="str">
        <f>IF(Source!$E118=COLUMNS($A118:H118), LEFT(H117, LEN(H117)-Source!$C118), IF(Source!$G118=COLUMNS($A118:H118), H117&amp;RIGHT(INDIRECT(ADDRESS(ROW(H118)-1, Source!$E118)), Source!$C118), H117))</f>
        <v>WBDLZRGJTCDBZHRBTCWFLDDDBC</v>
      </c>
      <c r="I118" s="2" t="str">
        <f>IF(Source!$E118=COLUMNS($A118:I118), LEFT(I117, LEN(I117)-Source!$C118), IF(Source!$G118=COLUMNS($A118:I118), I117&amp;RIGHT(INDIRECT(ADDRESS(ROW(I118)-1, Source!$E118)), Source!$C118), I117))</f>
        <v>VHSPV</v>
      </c>
    </row>
    <row r="119">
      <c r="A119" s="2" t="str">
        <f>IF(Source!$E119=COLUMNS($A119:A119), LEFT(A118, LEN(A118)-Source!$C119), IF(Source!$G119=COLUMNS($A119:A119), A118&amp;RIGHT(INDIRECT(ADDRESS(ROW(A119)-1, Source!$E119)), Source!$C119), A118))</f>
        <v/>
      </c>
      <c r="B119" s="2" t="str">
        <f>IF(Source!$E119=COLUMNS($A119:B119), LEFT(B118, LEN(B118)-Source!$C119), IF(Source!$G119=COLUMNS($A119:B119), B118&amp;RIGHT(INDIRECT(ADDRESS(ROW(B119)-1, Source!$E119)), Source!$C119), B118))</f>
        <v>FMLSVGZJSDTRRJSMTQRQPT</v>
      </c>
      <c r="C119" s="2" t="str">
        <f>IF(Source!$E119=COLUMNS($A119:C119), LEFT(C118, LEN(C118)-Source!$C119), IF(Source!$G119=COLUMNS($A119:C119), C118&amp;RIGHT(INDIRECT(ADDRESS(ROW(C119)-1, Source!$E119)), Source!$C119), C118))</f>
        <v/>
      </c>
      <c r="D119" s="2" t="str">
        <f>IF(Source!$E119=COLUMNS($A119:D119), LEFT(D118, LEN(D118)-Source!$C119), IF(Source!$G119=COLUMNS($A119:D119), D118&amp;RIGHT(INDIRECT(ADDRESS(ROW(D119)-1, Source!$E119)), Source!$C119), D118))</f>
        <v>TMPBC</v>
      </c>
      <c r="E119" s="2" t="str">
        <f>IF(Source!$E119=COLUMNS($A119:E119), LEFT(E118, LEN(E118)-Source!$C119), IF(Source!$G119=COLUMNS($A119:E119), E118&amp;RIGHT(INDIRECT(ADDRESS(ROW(E119)-1, Source!$E119)), Source!$C119), E118))</f>
        <v/>
      </c>
      <c r="F119" s="2" t="str">
        <f>IF(Source!$E119=COLUMNS($A119:F119), LEFT(F118, LEN(F118)-Source!$C119), IF(Source!$G119=COLUMNS($A119:F119), F118&amp;RIGHT(INDIRECT(ADDRESS(ROW(F119)-1, Source!$E119)), Source!$C119), F118))</f>
        <v/>
      </c>
      <c r="G119" s="2" t="str">
        <f>IF(Source!$E119=COLUMNS($A119:G119), LEFT(G118, LEN(G118)-Source!$C119), IF(Source!$G119=COLUMNS($A119:G119), G118&amp;RIGHT(INDIRECT(ADDRESS(ROW(G119)-1, Source!$E119)), Source!$C119), G118))</f>
        <v/>
      </c>
      <c r="H119" s="2" t="str">
        <f>IF(Source!$E119=COLUMNS($A119:H119), LEFT(H118, LEN(H118)-Source!$C119), IF(Source!$G119=COLUMNS($A119:H119), H118&amp;RIGHT(INDIRECT(ADDRESS(ROW(H119)-1, Source!$E119)), Source!$C119), H118))</f>
        <v>WBDLZRGJTCDBZHRBTCWFLDDD</v>
      </c>
      <c r="I119" s="2" t="str">
        <f>IF(Source!$E119=COLUMNS($A119:I119), LEFT(I118, LEN(I118)-Source!$C119), IF(Source!$G119=COLUMNS($A119:I119), I118&amp;RIGHT(INDIRECT(ADDRESS(ROW(I119)-1, Source!$E119)), Source!$C119), I118))</f>
        <v>VHSPV</v>
      </c>
    </row>
    <row r="120">
      <c r="A120" s="2" t="str">
        <f>IF(Source!$E120=COLUMNS($A120:A120), LEFT(A119, LEN(A119)-Source!$C120), IF(Source!$G120=COLUMNS($A120:A120), A119&amp;RIGHT(INDIRECT(ADDRESS(ROW(A120)-1, Source!$E120)), Source!$C120), A119))</f>
        <v/>
      </c>
      <c r="B120" s="2" t="str">
        <f>IF(Source!$E120=COLUMNS($A120:B120), LEFT(B119, LEN(B119)-Source!$C120), IF(Source!$G120=COLUMNS($A120:B120), B119&amp;RIGHT(INDIRECT(ADDRESS(ROW(B120)-1, Source!$E120)), Source!$C120), B119))</f>
        <v>FMLSVGZJSDTRRJSMTQRQPT</v>
      </c>
      <c r="C120" s="2" t="str">
        <f>IF(Source!$E120=COLUMNS($A120:C120), LEFT(C119, LEN(C119)-Source!$C120), IF(Source!$G120=COLUMNS($A120:C120), C119&amp;RIGHT(INDIRECT(ADDRESS(ROW(C120)-1, Source!$E120)), Source!$C120), C119))</f>
        <v/>
      </c>
      <c r="D120" s="2" t="str">
        <f>IF(Source!$E120=COLUMNS($A120:D120), LEFT(D119, LEN(D119)-Source!$C120), IF(Source!$G120=COLUMNS($A120:D120), D119&amp;RIGHT(INDIRECT(ADDRESS(ROW(D120)-1, Source!$E120)), Source!$C120), D119))</f>
        <v>TMPBC</v>
      </c>
      <c r="E120" s="2" t="str">
        <f>IF(Source!$E120=COLUMNS($A120:E120), LEFT(E119, LEN(E119)-Source!$C120), IF(Source!$G120=COLUMNS($A120:E120), E119&amp;RIGHT(INDIRECT(ADDRESS(ROW(E120)-1, Source!$E120)), Source!$C120), E119))</f>
        <v/>
      </c>
      <c r="F120" s="2" t="str">
        <f>IF(Source!$E120=COLUMNS($A120:F120), LEFT(F119, LEN(F119)-Source!$C120), IF(Source!$G120=COLUMNS($A120:F120), F119&amp;RIGHT(INDIRECT(ADDRESS(ROW(F120)-1, Source!$E120)), Source!$C120), F119))</f>
        <v>JTCDBZHRBTCWFLDDD</v>
      </c>
      <c r="G120" s="2" t="str">
        <f>IF(Source!$E120=COLUMNS($A120:G120), LEFT(G119, LEN(G119)-Source!$C120), IF(Source!$G120=COLUMNS($A120:G120), G119&amp;RIGHT(INDIRECT(ADDRESS(ROW(G120)-1, Source!$E120)), Source!$C120), G119))</f>
        <v/>
      </c>
      <c r="H120" s="2" t="str">
        <f>IF(Source!$E120=COLUMNS($A120:H120), LEFT(H119, LEN(H119)-Source!$C120), IF(Source!$G120=COLUMNS($A120:H120), H119&amp;RIGHT(INDIRECT(ADDRESS(ROW(H120)-1, Source!$E120)), Source!$C120), H119))</f>
        <v>WBDLZRG</v>
      </c>
      <c r="I120" s="2" t="str">
        <f>IF(Source!$E120=COLUMNS($A120:I120), LEFT(I119, LEN(I119)-Source!$C120), IF(Source!$G120=COLUMNS($A120:I120), I119&amp;RIGHT(INDIRECT(ADDRESS(ROW(I120)-1, Source!$E120)), Source!$C120), I119))</f>
        <v>VHSPV</v>
      </c>
    </row>
    <row r="121">
      <c r="A121" s="2" t="str">
        <f>IF(Source!$E121=COLUMNS($A121:A121), LEFT(A120, LEN(A120)-Source!$C121), IF(Source!$G121=COLUMNS($A121:A121), A120&amp;RIGHT(INDIRECT(ADDRESS(ROW(A121)-1, Source!$E121)), Source!$C121), A120))</f>
        <v/>
      </c>
      <c r="B121" s="2" t="str">
        <f>IF(Source!$E121=COLUMNS($A121:B121), LEFT(B120, LEN(B120)-Source!$C121), IF(Source!$G121=COLUMNS($A121:B121), B120&amp;RIGHT(INDIRECT(ADDRESS(ROW(B121)-1, Source!$E121)), Source!$C121), B120))</f>
        <v>FMLSVGZJSDTRRJSMTQRQPT</v>
      </c>
      <c r="C121" s="2" t="str">
        <f>IF(Source!$E121=COLUMNS($A121:C121), LEFT(C120, LEN(C120)-Source!$C121), IF(Source!$G121=COLUMNS($A121:C121), C120&amp;RIGHT(INDIRECT(ADDRESS(ROW(C121)-1, Source!$E121)), Source!$C121), C120))</f>
        <v/>
      </c>
      <c r="D121" s="2" t="str">
        <f>IF(Source!$E121=COLUMNS($A121:D121), LEFT(D120, LEN(D120)-Source!$C121), IF(Source!$G121=COLUMNS($A121:D121), D120&amp;RIGHT(INDIRECT(ADDRESS(ROW(D121)-1, Source!$E121)), Source!$C121), D120))</f>
        <v>TMP</v>
      </c>
      <c r="E121" s="2" t="str">
        <f>IF(Source!$E121=COLUMNS($A121:E121), LEFT(E120, LEN(E120)-Source!$C121), IF(Source!$G121=COLUMNS($A121:E121), E120&amp;RIGHT(INDIRECT(ADDRESS(ROW(E121)-1, Source!$E121)), Source!$C121), E120))</f>
        <v>BC</v>
      </c>
      <c r="F121" s="2" t="str">
        <f>IF(Source!$E121=COLUMNS($A121:F121), LEFT(F120, LEN(F120)-Source!$C121), IF(Source!$G121=COLUMNS($A121:F121), F120&amp;RIGHT(INDIRECT(ADDRESS(ROW(F121)-1, Source!$E121)), Source!$C121), F120))</f>
        <v>JTCDBZHRBTCWFLDDD</v>
      </c>
      <c r="G121" s="2" t="str">
        <f>IF(Source!$E121=COLUMNS($A121:G121), LEFT(G120, LEN(G120)-Source!$C121), IF(Source!$G121=COLUMNS($A121:G121), G120&amp;RIGHT(INDIRECT(ADDRESS(ROW(G121)-1, Source!$E121)), Source!$C121), G120))</f>
        <v/>
      </c>
      <c r="H121" s="2" t="str">
        <f>IF(Source!$E121=COLUMNS($A121:H121), LEFT(H120, LEN(H120)-Source!$C121), IF(Source!$G121=COLUMNS($A121:H121), H120&amp;RIGHT(INDIRECT(ADDRESS(ROW(H121)-1, Source!$E121)), Source!$C121), H120))</f>
        <v>WBDLZRG</v>
      </c>
      <c r="I121" s="2" t="str">
        <f>IF(Source!$E121=COLUMNS($A121:I121), LEFT(I120, LEN(I120)-Source!$C121), IF(Source!$G121=COLUMNS($A121:I121), I120&amp;RIGHT(INDIRECT(ADDRESS(ROW(I121)-1, Source!$E121)), Source!$C121), I120))</f>
        <v>VHSPV</v>
      </c>
    </row>
    <row r="122">
      <c r="A122" s="2" t="str">
        <f>IF(Source!$E122=COLUMNS($A122:A122), LEFT(A121, LEN(A121)-Source!$C122), IF(Source!$G122=COLUMNS($A122:A122), A121&amp;RIGHT(INDIRECT(ADDRESS(ROW(A122)-1, Source!$E122)), Source!$C122), A121))</f>
        <v/>
      </c>
      <c r="B122" s="2" t="str">
        <f>IF(Source!$E122=COLUMNS($A122:B122), LEFT(B121, LEN(B121)-Source!$C122), IF(Source!$G122=COLUMNS($A122:B122), B121&amp;RIGHT(INDIRECT(ADDRESS(ROW(B122)-1, Source!$E122)), Source!$C122), B121))</f>
        <v>FMLSVGZJSDTRRJSMTQRQPT</v>
      </c>
      <c r="C122" s="2" t="str">
        <f>IF(Source!$E122=COLUMNS($A122:C122), LEFT(C121, LEN(C121)-Source!$C122), IF(Source!$G122=COLUMNS($A122:C122), C121&amp;RIGHT(INDIRECT(ADDRESS(ROW(C122)-1, Source!$E122)), Source!$C122), C121))</f>
        <v/>
      </c>
      <c r="D122" s="2" t="str">
        <f>IF(Source!$E122=COLUMNS($A122:D122), LEFT(D121, LEN(D121)-Source!$C122), IF(Source!$G122=COLUMNS($A122:D122), D121&amp;RIGHT(INDIRECT(ADDRESS(ROW(D122)-1, Source!$E122)), Source!$C122), D121))</f>
        <v>TMP</v>
      </c>
      <c r="E122" s="2" t="str">
        <f>IF(Source!$E122=COLUMNS($A122:E122), LEFT(E121, LEN(E121)-Source!$C122), IF(Source!$G122=COLUMNS($A122:E122), E121&amp;RIGHT(INDIRECT(ADDRESS(ROW(E122)-1, Source!$E122)), Source!$C122), E121))</f>
        <v>BC</v>
      </c>
      <c r="F122" s="2" t="str">
        <f>IF(Source!$E122=COLUMNS($A122:F122), LEFT(F121, LEN(F121)-Source!$C122), IF(Source!$G122=COLUMNS($A122:F122), F121&amp;RIGHT(INDIRECT(ADDRESS(ROW(F122)-1, Source!$E122)), Source!$C122), F121))</f>
        <v/>
      </c>
      <c r="G122" s="2" t="str">
        <f>IF(Source!$E122=COLUMNS($A122:G122), LEFT(G121, LEN(G121)-Source!$C122), IF(Source!$G122=COLUMNS($A122:G122), G121&amp;RIGHT(INDIRECT(ADDRESS(ROW(G122)-1, Source!$E122)), Source!$C122), G121))</f>
        <v/>
      </c>
      <c r="H122" s="2" t="str">
        <f>IF(Source!$E122=COLUMNS($A122:H122), LEFT(H121, LEN(H121)-Source!$C122), IF(Source!$G122=COLUMNS($A122:H122), H121&amp;RIGHT(INDIRECT(ADDRESS(ROW(H122)-1, Source!$E122)), Source!$C122), H121))</f>
        <v>WBDLZRG</v>
      </c>
      <c r="I122" s="2" t="str">
        <f>IF(Source!$E122=COLUMNS($A122:I122), LEFT(I121, LEN(I121)-Source!$C122), IF(Source!$G122=COLUMNS($A122:I122), I121&amp;RIGHT(INDIRECT(ADDRESS(ROW(I122)-1, Source!$E122)), Source!$C122), I121))</f>
        <v>VHSPVJTCDBZHRBTCWFLDDD</v>
      </c>
    </row>
    <row r="123">
      <c r="A123" s="2" t="str">
        <f>IF(Source!$E123=COLUMNS($A123:A123), LEFT(A122, LEN(A122)-Source!$C123), IF(Source!$G123=COLUMNS($A123:A123), A122&amp;RIGHT(INDIRECT(ADDRESS(ROW(A123)-1, Source!$E123)), Source!$C123), A122))</f>
        <v/>
      </c>
      <c r="B123" s="2" t="str">
        <f>IF(Source!$E123=COLUMNS($A123:B123), LEFT(B122, LEN(B122)-Source!$C123), IF(Source!$G123=COLUMNS($A123:B123), B122&amp;RIGHT(INDIRECT(ADDRESS(ROW(B123)-1, Source!$E123)), Source!$C123), B122))</f>
        <v>FMLSVGZJSDTRRJSMTQRQPT</v>
      </c>
      <c r="C123" s="2" t="str">
        <f>IF(Source!$E123=COLUMNS($A123:C123), LEFT(C122, LEN(C122)-Source!$C123), IF(Source!$G123=COLUMNS($A123:C123), C122&amp;RIGHT(INDIRECT(ADDRESS(ROW(C123)-1, Source!$E123)), Source!$C123), C122))</f>
        <v/>
      </c>
      <c r="D123" s="2" t="str">
        <f>IF(Source!$E123=COLUMNS($A123:D123), LEFT(D122, LEN(D122)-Source!$C123), IF(Source!$G123=COLUMNS($A123:D123), D122&amp;RIGHT(INDIRECT(ADDRESS(ROW(D123)-1, Source!$E123)), Source!$C123), D122))</f>
        <v>TMP</v>
      </c>
      <c r="E123" s="2" t="str">
        <f>IF(Source!$E123=COLUMNS($A123:E123), LEFT(E122, LEN(E122)-Source!$C123), IF(Source!$G123=COLUMNS($A123:E123), E122&amp;RIGHT(INDIRECT(ADDRESS(ROW(E123)-1, Source!$E123)), Source!$C123), E122))</f>
        <v>BC</v>
      </c>
      <c r="F123" s="2" t="str">
        <f>IF(Source!$E123=COLUMNS($A123:F123), LEFT(F122, LEN(F122)-Source!$C123), IF(Source!$G123=COLUMNS($A123:F123), F122&amp;RIGHT(INDIRECT(ADDRESS(ROW(F123)-1, Source!$E123)), Source!$C123), F122))</f>
        <v/>
      </c>
      <c r="G123" s="2" t="str">
        <f>IF(Source!$E123=COLUMNS($A123:G123), LEFT(G122, LEN(G122)-Source!$C123), IF(Source!$G123=COLUMNS($A123:G123), G122&amp;RIGHT(INDIRECT(ADDRESS(ROW(G123)-1, Source!$E123)), Source!$C123), G122))</f>
        <v>VHSPVJTCDBZHRBTCWFLDDD</v>
      </c>
      <c r="H123" s="2" t="str">
        <f>IF(Source!$E123=COLUMNS($A123:H123), LEFT(H122, LEN(H122)-Source!$C123), IF(Source!$G123=COLUMNS($A123:H123), H122&amp;RIGHT(INDIRECT(ADDRESS(ROW(H123)-1, Source!$E123)), Source!$C123), H122))</f>
        <v>WBDLZRG</v>
      </c>
      <c r="I123" s="2" t="str">
        <f>IF(Source!$E123=COLUMNS($A123:I123), LEFT(I122, LEN(I122)-Source!$C123), IF(Source!$G123=COLUMNS($A123:I123), I122&amp;RIGHT(INDIRECT(ADDRESS(ROW(I123)-1, Source!$E123)), Source!$C123), I122))</f>
        <v/>
      </c>
    </row>
    <row r="124">
      <c r="A124" s="2" t="str">
        <f>IF(Source!$E124=COLUMNS($A124:A124), LEFT(A123, LEN(A123)-Source!$C124), IF(Source!$G124=COLUMNS($A124:A124), A123&amp;RIGHT(INDIRECT(ADDRESS(ROW(A124)-1, Source!$E124)), Source!$C124), A123))</f>
        <v/>
      </c>
      <c r="B124" s="2" t="str">
        <f>IF(Source!$E124=COLUMNS($A124:B124), LEFT(B123, LEN(B123)-Source!$C124), IF(Source!$G124=COLUMNS($A124:B124), B123&amp;RIGHT(INDIRECT(ADDRESS(ROW(B124)-1, Source!$E124)), Source!$C124), B123))</f>
        <v>FMLSVGZJSDTRRJSMTQRQPTC</v>
      </c>
      <c r="C124" s="2" t="str">
        <f>IF(Source!$E124=COLUMNS($A124:C124), LEFT(C123, LEN(C123)-Source!$C124), IF(Source!$G124=COLUMNS($A124:C124), C123&amp;RIGHT(INDIRECT(ADDRESS(ROW(C124)-1, Source!$E124)), Source!$C124), C123))</f>
        <v/>
      </c>
      <c r="D124" s="2" t="str">
        <f>IF(Source!$E124=COLUMNS($A124:D124), LEFT(D123, LEN(D123)-Source!$C124), IF(Source!$G124=COLUMNS($A124:D124), D123&amp;RIGHT(INDIRECT(ADDRESS(ROW(D124)-1, Source!$E124)), Source!$C124), D123))</f>
        <v>TMP</v>
      </c>
      <c r="E124" s="2" t="str">
        <f>IF(Source!$E124=COLUMNS($A124:E124), LEFT(E123, LEN(E123)-Source!$C124), IF(Source!$G124=COLUMNS($A124:E124), E123&amp;RIGHT(INDIRECT(ADDRESS(ROW(E124)-1, Source!$E124)), Source!$C124), E123))</f>
        <v>B</v>
      </c>
      <c r="F124" s="2" t="str">
        <f>IF(Source!$E124=COLUMNS($A124:F124), LEFT(F123, LEN(F123)-Source!$C124), IF(Source!$G124=COLUMNS($A124:F124), F123&amp;RIGHT(INDIRECT(ADDRESS(ROW(F124)-1, Source!$E124)), Source!$C124), F123))</f>
        <v/>
      </c>
      <c r="G124" s="2" t="str">
        <f>IF(Source!$E124=COLUMNS($A124:G124), LEFT(G123, LEN(G123)-Source!$C124), IF(Source!$G124=COLUMNS($A124:G124), G123&amp;RIGHT(INDIRECT(ADDRESS(ROW(G124)-1, Source!$E124)), Source!$C124), G123))</f>
        <v>VHSPVJTCDBZHRBTCWFLDDD</v>
      </c>
      <c r="H124" s="2" t="str">
        <f>IF(Source!$E124=COLUMNS($A124:H124), LEFT(H123, LEN(H123)-Source!$C124), IF(Source!$G124=COLUMNS($A124:H124), H123&amp;RIGHT(INDIRECT(ADDRESS(ROW(H124)-1, Source!$E124)), Source!$C124), H123))</f>
        <v>WBDLZRG</v>
      </c>
      <c r="I124" s="2" t="str">
        <f>IF(Source!$E124=COLUMNS($A124:I124), LEFT(I123, LEN(I123)-Source!$C124), IF(Source!$G124=COLUMNS($A124:I124), I123&amp;RIGHT(INDIRECT(ADDRESS(ROW(I124)-1, Source!$E124)), Source!$C124), I123))</f>
        <v/>
      </c>
    </row>
    <row r="125">
      <c r="A125" s="2" t="str">
        <f>IF(Source!$E125=COLUMNS($A125:A125), LEFT(A124, LEN(A124)-Source!$C125), IF(Source!$G125=COLUMNS($A125:A125), A124&amp;RIGHT(INDIRECT(ADDRESS(ROW(A125)-1, Source!$E125)), Source!$C125), A124))</f>
        <v/>
      </c>
      <c r="B125" s="2" t="str">
        <f>IF(Source!$E125=COLUMNS($A125:B125), LEFT(B124, LEN(B124)-Source!$C125), IF(Source!$G125=COLUMNS($A125:B125), B124&amp;RIGHT(INDIRECT(ADDRESS(ROW(B125)-1, Source!$E125)), Source!$C125), B124))</f>
        <v>FML</v>
      </c>
      <c r="C125" s="2" t="str">
        <f>IF(Source!$E125=COLUMNS($A125:C125), LEFT(C124, LEN(C124)-Source!$C125), IF(Source!$G125=COLUMNS($A125:C125), C124&amp;RIGHT(INDIRECT(ADDRESS(ROW(C125)-1, Source!$E125)), Source!$C125), C124))</f>
        <v/>
      </c>
      <c r="D125" s="2" t="str">
        <f>IF(Source!$E125=COLUMNS($A125:D125), LEFT(D124, LEN(D124)-Source!$C125), IF(Source!$G125=COLUMNS($A125:D125), D124&amp;RIGHT(INDIRECT(ADDRESS(ROW(D125)-1, Source!$E125)), Source!$C125), D124))</f>
        <v>TMP</v>
      </c>
      <c r="E125" s="2" t="str">
        <f>IF(Source!$E125=COLUMNS($A125:E125), LEFT(E124, LEN(E124)-Source!$C125), IF(Source!$G125=COLUMNS($A125:E125), E124&amp;RIGHT(INDIRECT(ADDRESS(ROW(E125)-1, Source!$E125)), Source!$C125), E124))</f>
        <v>B</v>
      </c>
      <c r="F125" s="2" t="str">
        <f>IF(Source!$E125=COLUMNS($A125:F125), LEFT(F124, LEN(F124)-Source!$C125), IF(Source!$G125=COLUMNS($A125:F125), F124&amp;RIGHT(INDIRECT(ADDRESS(ROW(F125)-1, Source!$E125)), Source!$C125), F124))</f>
        <v/>
      </c>
      <c r="G125" s="2" t="str">
        <f>IF(Source!$E125=COLUMNS($A125:G125), LEFT(G124, LEN(G124)-Source!$C125), IF(Source!$G125=COLUMNS($A125:G125), G124&amp;RIGHT(INDIRECT(ADDRESS(ROW(G125)-1, Source!$E125)), Source!$C125), G124))</f>
        <v>VHSPVJTCDBZHRBTCWFLDDDSVGZJSDTRRJSMTQRQPTC</v>
      </c>
      <c r="H125" s="2" t="str">
        <f>IF(Source!$E125=COLUMNS($A125:H125), LEFT(H124, LEN(H124)-Source!$C125), IF(Source!$G125=COLUMNS($A125:H125), H124&amp;RIGHT(INDIRECT(ADDRESS(ROW(H125)-1, Source!$E125)), Source!$C125), H124))</f>
        <v>WBDLZRG</v>
      </c>
      <c r="I125" s="2" t="str">
        <f>IF(Source!$E125=COLUMNS($A125:I125), LEFT(I124, LEN(I124)-Source!$C125), IF(Source!$G125=COLUMNS($A125:I125), I124&amp;RIGHT(INDIRECT(ADDRESS(ROW(I125)-1, Source!$E125)), Source!$C125), I124))</f>
        <v/>
      </c>
    </row>
    <row r="126">
      <c r="A126" s="2" t="str">
        <f>IF(Source!$E126=COLUMNS($A126:A126), LEFT(A125, LEN(A125)-Source!$C126), IF(Source!$G126=COLUMNS($A126:A126), A125&amp;RIGHT(INDIRECT(ADDRESS(ROW(A126)-1, Source!$E126)), Source!$C126), A125))</f>
        <v/>
      </c>
      <c r="B126" s="2" t="str">
        <f>IF(Source!$E126=COLUMNS($A126:B126), LEFT(B125, LEN(B125)-Source!$C126), IF(Source!$G126=COLUMNS($A126:B126), B125&amp;RIGHT(INDIRECT(ADDRESS(ROW(B126)-1, Source!$E126)), Source!$C126), B125))</f>
        <v>FML</v>
      </c>
      <c r="C126" s="2" t="str">
        <f>IF(Source!$E126=COLUMNS($A126:C126), LEFT(C125, LEN(C125)-Source!$C126), IF(Source!$G126=COLUMNS($A126:C126), C125&amp;RIGHT(INDIRECT(ADDRESS(ROW(C126)-1, Source!$E126)), Source!$C126), C125))</f>
        <v/>
      </c>
      <c r="D126" s="2" t="str">
        <f>IF(Source!$E126=COLUMNS($A126:D126), LEFT(D125, LEN(D125)-Source!$C126), IF(Source!$G126=COLUMNS($A126:D126), D125&amp;RIGHT(INDIRECT(ADDRESS(ROW(D126)-1, Source!$E126)), Source!$C126), D125))</f>
        <v>TMP</v>
      </c>
      <c r="E126" s="2" t="str">
        <f>IF(Source!$E126=COLUMNS($A126:E126), LEFT(E125, LEN(E125)-Source!$C126), IF(Source!$G126=COLUMNS($A126:E126), E125&amp;RIGHT(INDIRECT(ADDRESS(ROW(E126)-1, Source!$E126)), Source!$C126), E125))</f>
        <v>B</v>
      </c>
      <c r="F126" s="2" t="str">
        <f>IF(Source!$E126=COLUMNS($A126:F126), LEFT(F125, LEN(F125)-Source!$C126), IF(Source!$G126=COLUMNS($A126:F126), F125&amp;RIGHT(INDIRECT(ADDRESS(ROW(F126)-1, Source!$E126)), Source!$C126), F125))</f>
        <v/>
      </c>
      <c r="G126" s="2" t="str">
        <f>IF(Source!$E126=COLUMNS($A126:G126), LEFT(G125, LEN(G125)-Source!$C126), IF(Source!$G126=COLUMNS($A126:G126), G125&amp;RIGHT(INDIRECT(ADDRESS(ROW(G126)-1, Source!$E126)), Source!$C126), G125))</f>
        <v>VHSPVJTCDBZHR</v>
      </c>
      <c r="H126" s="2" t="str">
        <f>IF(Source!$E126=COLUMNS($A126:H126), LEFT(H125, LEN(H125)-Source!$C126), IF(Source!$G126=COLUMNS($A126:H126), H125&amp;RIGHT(INDIRECT(ADDRESS(ROW(H126)-1, Source!$E126)), Source!$C126), H125))</f>
        <v>WBDLZRG</v>
      </c>
      <c r="I126" s="2" t="str">
        <f>IF(Source!$E126=COLUMNS($A126:I126), LEFT(I125, LEN(I125)-Source!$C126), IF(Source!$G126=COLUMNS($A126:I126), I125&amp;RIGHT(INDIRECT(ADDRESS(ROW(I126)-1, Source!$E126)), Source!$C126), I125))</f>
        <v>BTCWFLDDDSVGZJSDTRRJSMTQRQPTC</v>
      </c>
    </row>
    <row r="127">
      <c r="A127" s="2" t="str">
        <f>IF(Source!$E127=COLUMNS($A127:A127), LEFT(A126, LEN(A126)-Source!$C127), IF(Source!$G127=COLUMNS($A127:A127), A126&amp;RIGHT(INDIRECT(ADDRESS(ROW(A127)-1, Source!$E127)), Source!$C127), A126))</f>
        <v/>
      </c>
      <c r="B127" s="2" t="str">
        <f>IF(Source!$E127=COLUMNS($A127:B127), LEFT(B126, LEN(B126)-Source!$C127), IF(Source!$G127=COLUMNS($A127:B127), B126&amp;RIGHT(INDIRECT(ADDRESS(ROW(B127)-1, Source!$E127)), Source!$C127), B126))</f>
        <v>FML</v>
      </c>
      <c r="C127" s="2" t="str">
        <f>IF(Source!$E127=COLUMNS($A127:C127), LEFT(C126, LEN(C126)-Source!$C127), IF(Source!$G127=COLUMNS($A127:C127), C126&amp;RIGHT(INDIRECT(ADDRESS(ROW(C127)-1, Source!$E127)), Source!$C127), C126))</f>
        <v/>
      </c>
      <c r="D127" s="2" t="str">
        <f>IF(Source!$E127=COLUMNS($A127:D127), LEFT(D126, LEN(D126)-Source!$C127), IF(Source!$G127=COLUMNS($A127:D127), D126&amp;RIGHT(INDIRECT(ADDRESS(ROW(D127)-1, Source!$E127)), Source!$C127), D126))</f>
        <v>TM</v>
      </c>
      <c r="E127" s="2" t="str">
        <f>IF(Source!$E127=COLUMNS($A127:E127), LEFT(E126, LEN(E126)-Source!$C127), IF(Source!$G127=COLUMNS($A127:E127), E126&amp;RIGHT(INDIRECT(ADDRESS(ROW(E127)-1, Source!$E127)), Source!$C127), E126))</f>
        <v>B</v>
      </c>
      <c r="F127" s="2" t="str">
        <f>IF(Source!$E127=COLUMNS($A127:F127), LEFT(F126, LEN(F126)-Source!$C127), IF(Source!$G127=COLUMNS($A127:F127), F126&amp;RIGHT(INDIRECT(ADDRESS(ROW(F127)-1, Source!$E127)), Source!$C127), F126))</f>
        <v/>
      </c>
      <c r="G127" s="2" t="str">
        <f>IF(Source!$E127=COLUMNS($A127:G127), LEFT(G126, LEN(G126)-Source!$C127), IF(Source!$G127=COLUMNS($A127:G127), G126&amp;RIGHT(INDIRECT(ADDRESS(ROW(G127)-1, Source!$E127)), Source!$C127), G126))</f>
        <v>VHSPVJTCDBZHRP</v>
      </c>
      <c r="H127" s="2" t="str">
        <f>IF(Source!$E127=COLUMNS($A127:H127), LEFT(H126, LEN(H126)-Source!$C127), IF(Source!$G127=COLUMNS($A127:H127), H126&amp;RIGHT(INDIRECT(ADDRESS(ROW(H127)-1, Source!$E127)), Source!$C127), H126))</f>
        <v>WBDLZRG</v>
      </c>
      <c r="I127" s="2" t="str">
        <f>IF(Source!$E127=COLUMNS($A127:I127), LEFT(I126, LEN(I126)-Source!$C127), IF(Source!$G127=COLUMNS($A127:I127), I126&amp;RIGHT(INDIRECT(ADDRESS(ROW(I127)-1, Source!$E127)), Source!$C127), I126))</f>
        <v>BTCWFLDDDSVGZJSDTRRJSMTQRQPTC</v>
      </c>
    </row>
    <row r="128">
      <c r="A128" s="2" t="str">
        <f>IF(Source!$E128=COLUMNS($A128:A128), LEFT(A127, LEN(A127)-Source!$C128), IF(Source!$G128=COLUMNS($A128:A128), A127&amp;RIGHT(INDIRECT(ADDRESS(ROW(A128)-1, Source!$E128)), Source!$C128), A127))</f>
        <v/>
      </c>
      <c r="B128" s="2" t="str">
        <f>IF(Source!$E128=COLUMNS($A128:B128), LEFT(B127, LEN(B127)-Source!$C128), IF(Source!$G128=COLUMNS($A128:B128), B127&amp;RIGHT(INDIRECT(ADDRESS(ROW(B128)-1, Source!$E128)), Source!$C128), B127))</f>
        <v>FML</v>
      </c>
      <c r="C128" s="2" t="str">
        <f>IF(Source!$E128=COLUMNS($A128:C128), LEFT(C127, LEN(C127)-Source!$C128), IF(Source!$G128=COLUMNS($A128:C128), C127&amp;RIGHT(INDIRECT(ADDRESS(ROW(C128)-1, Source!$E128)), Source!$C128), C127))</f>
        <v>ZRG</v>
      </c>
      <c r="D128" s="2" t="str">
        <f>IF(Source!$E128=COLUMNS($A128:D128), LEFT(D127, LEN(D127)-Source!$C128), IF(Source!$G128=COLUMNS($A128:D128), D127&amp;RIGHT(INDIRECT(ADDRESS(ROW(D128)-1, Source!$E128)), Source!$C128), D127))</f>
        <v>TM</v>
      </c>
      <c r="E128" s="2" t="str">
        <f>IF(Source!$E128=COLUMNS($A128:E128), LEFT(E127, LEN(E127)-Source!$C128), IF(Source!$G128=COLUMNS($A128:E128), E127&amp;RIGHT(INDIRECT(ADDRESS(ROW(E128)-1, Source!$E128)), Source!$C128), E127))</f>
        <v>B</v>
      </c>
      <c r="F128" s="2" t="str">
        <f>IF(Source!$E128=COLUMNS($A128:F128), LEFT(F127, LEN(F127)-Source!$C128), IF(Source!$G128=COLUMNS($A128:F128), F127&amp;RIGHT(INDIRECT(ADDRESS(ROW(F128)-1, Source!$E128)), Source!$C128), F127))</f>
        <v/>
      </c>
      <c r="G128" s="2" t="str">
        <f>IF(Source!$E128=COLUMNS($A128:G128), LEFT(G127, LEN(G127)-Source!$C128), IF(Source!$G128=COLUMNS($A128:G128), G127&amp;RIGHT(INDIRECT(ADDRESS(ROW(G128)-1, Source!$E128)), Source!$C128), G127))</f>
        <v>VHSPVJTCDBZHRP</v>
      </c>
      <c r="H128" s="2" t="str">
        <f>IF(Source!$E128=COLUMNS($A128:H128), LEFT(H127, LEN(H127)-Source!$C128), IF(Source!$G128=COLUMNS($A128:H128), H127&amp;RIGHT(INDIRECT(ADDRESS(ROW(H128)-1, Source!$E128)), Source!$C128), H127))</f>
        <v>WBDL</v>
      </c>
      <c r="I128" s="2" t="str">
        <f>IF(Source!$E128=COLUMNS($A128:I128), LEFT(I127, LEN(I127)-Source!$C128), IF(Source!$G128=COLUMNS($A128:I128), I127&amp;RIGHT(INDIRECT(ADDRESS(ROW(I128)-1, Source!$E128)), Source!$C128), I127))</f>
        <v>BTCWFLDDDSVGZJSDTRRJSMTQRQPTC</v>
      </c>
    </row>
    <row r="129">
      <c r="A129" s="2" t="str">
        <f>IF(Source!$E129=COLUMNS($A129:A129), LEFT(A128, LEN(A128)-Source!$C129), IF(Source!$G129=COLUMNS($A129:A129), A128&amp;RIGHT(INDIRECT(ADDRESS(ROW(A129)-1, Source!$E129)), Source!$C129), A128))</f>
        <v/>
      </c>
      <c r="B129" s="2" t="str">
        <f>IF(Source!$E129=COLUMNS($A129:B129), LEFT(B128, LEN(B128)-Source!$C129), IF(Source!$G129=COLUMNS($A129:B129), B128&amp;RIGHT(INDIRECT(ADDRESS(ROW(B129)-1, Source!$E129)), Source!$C129), B128))</f>
        <v>FML</v>
      </c>
      <c r="C129" s="2" t="str">
        <f>IF(Source!$E129=COLUMNS($A129:C129), LEFT(C128, LEN(C128)-Source!$C129), IF(Source!$G129=COLUMNS($A129:C129), C128&amp;RIGHT(INDIRECT(ADDRESS(ROW(C129)-1, Source!$E129)), Source!$C129), C128))</f>
        <v>ZRG</v>
      </c>
      <c r="D129" s="2" t="str">
        <f>IF(Source!$E129=COLUMNS($A129:D129), LEFT(D128, LEN(D128)-Source!$C129), IF(Source!$G129=COLUMNS($A129:D129), D128&amp;RIGHT(INDIRECT(ADDRESS(ROW(D129)-1, Source!$E129)), Source!$C129), D128))</f>
        <v>TM</v>
      </c>
      <c r="E129" s="2" t="str">
        <f>IF(Source!$E129=COLUMNS($A129:E129), LEFT(E128, LEN(E128)-Source!$C129), IF(Source!$G129=COLUMNS($A129:E129), E128&amp;RIGHT(INDIRECT(ADDRESS(ROW(E129)-1, Source!$E129)), Source!$C129), E128))</f>
        <v>BL</v>
      </c>
      <c r="F129" s="2" t="str">
        <f>IF(Source!$E129=COLUMNS($A129:F129), LEFT(F128, LEN(F128)-Source!$C129), IF(Source!$G129=COLUMNS($A129:F129), F128&amp;RIGHT(INDIRECT(ADDRESS(ROW(F129)-1, Source!$E129)), Source!$C129), F128))</f>
        <v/>
      </c>
      <c r="G129" s="2" t="str">
        <f>IF(Source!$E129=COLUMNS($A129:G129), LEFT(G128, LEN(G128)-Source!$C129), IF(Source!$G129=COLUMNS($A129:G129), G128&amp;RIGHT(INDIRECT(ADDRESS(ROW(G129)-1, Source!$E129)), Source!$C129), G128))</f>
        <v>VHSPVJTCDBZHRP</v>
      </c>
      <c r="H129" s="2" t="str">
        <f>IF(Source!$E129=COLUMNS($A129:H129), LEFT(H128, LEN(H128)-Source!$C129), IF(Source!$G129=COLUMNS($A129:H129), H128&amp;RIGHT(INDIRECT(ADDRESS(ROW(H129)-1, Source!$E129)), Source!$C129), H128))</f>
        <v>WBD</v>
      </c>
      <c r="I129" s="2" t="str">
        <f>IF(Source!$E129=COLUMNS($A129:I129), LEFT(I128, LEN(I128)-Source!$C129), IF(Source!$G129=COLUMNS($A129:I129), I128&amp;RIGHT(INDIRECT(ADDRESS(ROW(I129)-1, Source!$E129)), Source!$C129), I128))</f>
        <v>BTCWFLDDDSVGZJSDTRRJSMTQRQPTC</v>
      </c>
    </row>
    <row r="130">
      <c r="A130" s="2" t="str">
        <f>IF(Source!$E130=COLUMNS($A130:A130), LEFT(A129, LEN(A129)-Source!$C130), IF(Source!$G130=COLUMNS($A130:A130), A129&amp;RIGHT(INDIRECT(ADDRESS(ROW(A130)-1, Source!$E130)), Source!$C130), A129))</f>
        <v/>
      </c>
      <c r="B130" s="2" t="str">
        <f>IF(Source!$E130=COLUMNS($A130:B130), LEFT(B129, LEN(B129)-Source!$C130), IF(Source!$G130=COLUMNS($A130:B130), B129&amp;RIGHT(INDIRECT(ADDRESS(ROW(B130)-1, Source!$E130)), Source!$C130), B129))</f>
        <v>FMLWBD</v>
      </c>
      <c r="C130" s="2" t="str">
        <f>IF(Source!$E130=COLUMNS($A130:C130), LEFT(C129, LEN(C129)-Source!$C130), IF(Source!$G130=COLUMNS($A130:C130), C129&amp;RIGHT(INDIRECT(ADDRESS(ROW(C130)-1, Source!$E130)), Source!$C130), C129))</f>
        <v>ZRG</v>
      </c>
      <c r="D130" s="2" t="str">
        <f>IF(Source!$E130=COLUMNS($A130:D130), LEFT(D129, LEN(D129)-Source!$C130), IF(Source!$G130=COLUMNS($A130:D130), D129&amp;RIGHT(INDIRECT(ADDRESS(ROW(D130)-1, Source!$E130)), Source!$C130), D129))</f>
        <v>TM</v>
      </c>
      <c r="E130" s="2" t="str">
        <f>IF(Source!$E130=COLUMNS($A130:E130), LEFT(E129, LEN(E129)-Source!$C130), IF(Source!$G130=COLUMNS($A130:E130), E129&amp;RIGHT(INDIRECT(ADDRESS(ROW(E130)-1, Source!$E130)), Source!$C130), E129))</f>
        <v>BL</v>
      </c>
      <c r="F130" s="2" t="str">
        <f>IF(Source!$E130=COLUMNS($A130:F130), LEFT(F129, LEN(F129)-Source!$C130), IF(Source!$G130=COLUMNS($A130:F130), F129&amp;RIGHT(INDIRECT(ADDRESS(ROW(F130)-1, Source!$E130)), Source!$C130), F129))</f>
        <v/>
      </c>
      <c r="G130" s="2" t="str">
        <f>IF(Source!$E130=COLUMNS($A130:G130), LEFT(G129, LEN(G129)-Source!$C130), IF(Source!$G130=COLUMNS($A130:G130), G129&amp;RIGHT(INDIRECT(ADDRESS(ROW(G130)-1, Source!$E130)), Source!$C130), G129))</f>
        <v>VHSPVJTCDBZHRP</v>
      </c>
      <c r="H130" s="2" t="str">
        <f>IF(Source!$E130=COLUMNS($A130:H130), LEFT(H129, LEN(H129)-Source!$C130), IF(Source!$G130=COLUMNS($A130:H130), H129&amp;RIGHT(INDIRECT(ADDRESS(ROW(H130)-1, Source!$E130)), Source!$C130), H129))</f>
        <v/>
      </c>
      <c r="I130" s="2" t="str">
        <f>IF(Source!$E130=COLUMNS($A130:I130), LEFT(I129, LEN(I129)-Source!$C130), IF(Source!$G130=COLUMNS($A130:I130), I129&amp;RIGHT(INDIRECT(ADDRESS(ROW(I130)-1, Source!$E130)), Source!$C130), I129))</f>
        <v>BTCWFLDDDSVGZJSDTRRJSMTQRQPTC</v>
      </c>
    </row>
    <row r="131">
      <c r="A131" s="2" t="str">
        <f>IF(Source!$E131=COLUMNS($A131:A131), LEFT(A130, LEN(A130)-Source!$C131), IF(Source!$G131=COLUMNS($A131:A131), A130&amp;RIGHT(INDIRECT(ADDRESS(ROW(A131)-1, Source!$E131)), Source!$C131), A130))</f>
        <v/>
      </c>
      <c r="B131" s="2" t="str">
        <f>IF(Source!$E131=COLUMNS($A131:B131), LEFT(B130, LEN(B130)-Source!$C131), IF(Source!$G131=COLUMNS($A131:B131), B130&amp;RIGHT(INDIRECT(ADDRESS(ROW(B131)-1, Source!$E131)), Source!$C131), B130))</f>
        <v>FMLW</v>
      </c>
      <c r="C131" s="2" t="str">
        <f>IF(Source!$E131=COLUMNS($A131:C131), LEFT(C130, LEN(C130)-Source!$C131), IF(Source!$G131=COLUMNS($A131:C131), C130&amp;RIGHT(INDIRECT(ADDRESS(ROW(C131)-1, Source!$E131)), Source!$C131), C130))</f>
        <v>ZRG</v>
      </c>
      <c r="D131" s="2" t="str">
        <f>IF(Source!$E131=COLUMNS($A131:D131), LEFT(D130, LEN(D130)-Source!$C131), IF(Source!$G131=COLUMNS($A131:D131), D130&amp;RIGHT(INDIRECT(ADDRESS(ROW(D131)-1, Source!$E131)), Source!$C131), D130))</f>
        <v>TMBD</v>
      </c>
      <c r="E131" s="2" t="str">
        <f>IF(Source!$E131=COLUMNS($A131:E131), LEFT(E130, LEN(E130)-Source!$C131), IF(Source!$G131=COLUMNS($A131:E131), E130&amp;RIGHT(INDIRECT(ADDRESS(ROW(E131)-1, Source!$E131)), Source!$C131), E130))</f>
        <v>BL</v>
      </c>
      <c r="F131" s="2" t="str">
        <f>IF(Source!$E131=COLUMNS($A131:F131), LEFT(F130, LEN(F130)-Source!$C131), IF(Source!$G131=COLUMNS($A131:F131), F130&amp;RIGHT(INDIRECT(ADDRESS(ROW(F131)-1, Source!$E131)), Source!$C131), F130))</f>
        <v/>
      </c>
      <c r="G131" s="2" t="str">
        <f>IF(Source!$E131=COLUMNS($A131:G131), LEFT(G130, LEN(G130)-Source!$C131), IF(Source!$G131=COLUMNS($A131:G131), G130&amp;RIGHT(INDIRECT(ADDRESS(ROW(G131)-1, Source!$E131)), Source!$C131), G130))</f>
        <v>VHSPVJTCDBZHRP</v>
      </c>
      <c r="H131" s="2" t="str">
        <f>IF(Source!$E131=COLUMNS($A131:H131), LEFT(H130, LEN(H130)-Source!$C131), IF(Source!$G131=COLUMNS($A131:H131), H130&amp;RIGHT(INDIRECT(ADDRESS(ROW(H131)-1, Source!$E131)), Source!$C131), H130))</f>
        <v/>
      </c>
      <c r="I131" s="2" t="str">
        <f>IF(Source!$E131=COLUMNS($A131:I131), LEFT(I130, LEN(I130)-Source!$C131), IF(Source!$G131=COLUMNS($A131:I131), I130&amp;RIGHT(INDIRECT(ADDRESS(ROW(I131)-1, Source!$E131)), Source!$C131), I130))</f>
        <v>BTCWFLDDDSVGZJSDTRRJSMTQRQPTC</v>
      </c>
    </row>
    <row r="132">
      <c r="A132" s="2" t="str">
        <f>IF(Source!$E132=COLUMNS($A132:A132), LEFT(A131, LEN(A131)-Source!$C132), IF(Source!$G132=COLUMNS($A132:A132), A131&amp;RIGHT(INDIRECT(ADDRESS(ROW(A132)-1, Source!$E132)), Source!$C132), A131))</f>
        <v/>
      </c>
      <c r="B132" s="2" t="str">
        <f>IF(Source!$E132=COLUMNS($A132:B132), LEFT(B131, LEN(B131)-Source!$C132), IF(Source!$G132=COLUMNS($A132:B132), B131&amp;RIGHT(INDIRECT(ADDRESS(ROW(B132)-1, Source!$E132)), Source!$C132), B131))</f>
        <v>FMLW</v>
      </c>
      <c r="C132" s="2" t="str">
        <f>IF(Source!$E132=COLUMNS($A132:C132), LEFT(C131, LEN(C131)-Source!$C132), IF(Source!$G132=COLUMNS($A132:C132), C131&amp;RIGHT(INDIRECT(ADDRESS(ROW(C132)-1, Source!$E132)), Source!$C132), C131))</f>
        <v>ZRG</v>
      </c>
      <c r="D132" s="2" t="str">
        <f>IF(Source!$E132=COLUMNS($A132:D132), LEFT(D131, LEN(D131)-Source!$C132), IF(Source!$G132=COLUMNS($A132:D132), D131&amp;RIGHT(INDIRECT(ADDRESS(ROW(D132)-1, Source!$E132)), Source!$C132), D131))</f>
        <v>TMBD</v>
      </c>
      <c r="E132" s="2" t="str">
        <f>IF(Source!$E132=COLUMNS($A132:E132), LEFT(E131, LEN(E131)-Source!$C132), IF(Source!$G132=COLUMNS($A132:E132), E131&amp;RIGHT(INDIRECT(ADDRESS(ROW(E132)-1, Source!$E132)), Source!$C132), E131))</f>
        <v>BL</v>
      </c>
      <c r="F132" s="2" t="str">
        <f>IF(Source!$E132=COLUMNS($A132:F132), LEFT(F131, LEN(F131)-Source!$C132), IF(Source!$G132=COLUMNS($A132:F132), F131&amp;RIGHT(INDIRECT(ADDRESS(ROW(F132)-1, Source!$E132)), Source!$C132), F131))</f>
        <v/>
      </c>
      <c r="G132" s="2" t="str">
        <f>IF(Source!$E132=COLUMNS($A132:G132), LEFT(G131, LEN(G131)-Source!$C132), IF(Source!$G132=COLUMNS($A132:G132), G131&amp;RIGHT(INDIRECT(ADDRESS(ROW(G132)-1, Source!$E132)), Source!$C132), G131))</f>
        <v>VHSPVJTCDBZHRPCWFLDDDSVGZJSDTRRJSMTQRQPTC</v>
      </c>
      <c r="H132" s="2" t="str">
        <f>IF(Source!$E132=COLUMNS($A132:H132), LEFT(H131, LEN(H131)-Source!$C132), IF(Source!$G132=COLUMNS($A132:H132), H131&amp;RIGHT(INDIRECT(ADDRESS(ROW(H132)-1, Source!$E132)), Source!$C132), H131))</f>
        <v/>
      </c>
      <c r="I132" s="2" t="str">
        <f>IF(Source!$E132=COLUMNS($A132:I132), LEFT(I131, LEN(I131)-Source!$C132), IF(Source!$G132=COLUMNS($A132:I132), I131&amp;RIGHT(INDIRECT(ADDRESS(ROW(I132)-1, Source!$E132)), Source!$C132), I131))</f>
        <v>BT</v>
      </c>
    </row>
    <row r="133">
      <c r="A133" s="2" t="str">
        <f>IF(Source!$E133=COLUMNS($A133:A133), LEFT(A132, LEN(A132)-Source!$C133), IF(Source!$G133=COLUMNS($A133:A133), A132&amp;RIGHT(INDIRECT(ADDRESS(ROW(A133)-1, Source!$E133)), Source!$C133), A132))</f>
        <v/>
      </c>
      <c r="B133" s="2" t="str">
        <f>IF(Source!$E133=COLUMNS($A133:B133), LEFT(B132, LEN(B132)-Source!$C133), IF(Source!$G133=COLUMNS($A133:B133), B132&amp;RIGHT(INDIRECT(ADDRESS(ROW(B133)-1, Source!$E133)), Source!$C133), B132))</f>
        <v>FMLWRG</v>
      </c>
      <c r="C133" s="2" t="str">
        <f>IF(Source!$E133=COLUMNS($A133:C133), LEFT(C132, LEN(C132)-Source!$C133), IF(Source!$G133=COLUMNS($A133:C133), C132&amp;RIGHT(INDIRECT(ADDRESS(ROW(C133)-1, Source!$E133)), Source!$C133), C132))</f>
        <v>Z</v>
      </c>
      <c r="D133" s="2" t="str">
        <f>IF(Source!$E133=COLUMNS($A133:D133), LEFT(D132, LEN(D132)-Source!$C133), IF(Source!$G133=COLUMNS($A133:D133), D132&amp;RIGHT(INDIRECT(ADDRESS(ROW(D133)-1, Source!$E133)), Source!$C133), D132))</f>
        <v>TMBD</v>
      </c>
      <c r="E133" s="2" t="str">
        <f>IF(Source!$E133=COLUMNS($A133:E133), LEFT(E132, LEN(E132)-Source!$C133), IF(Source!$G133=COLUMNS($A133:E133), E132&amp;RIGHT(INDIRECT(ADDRESS(ROW(E133)-1, Source!$E133)), Source!$C133), E132))</f>
        <v>BL</v>
      </c>
      <c r="F133" s="2" t="str">
        <f>IF(Source!$E133=COLUMNS($A133:F133), LEFT(F132, LEN(F132)-Source!$C133), IF(Source!$G133=COLUMNS($A133:F133), F132&amp;RIGHT(INDIRECT(ADDRESS(ROW(F133)-1, Source!$E133)), Source!$C133), F132))</f>
        <v/>
      </c>
      <c r="G133" s="2" t="str">
        <f>IF(Source!$E133=COLUMNS($A133:G133), LEFT(G132, LEN(G132)-Source!$C133), IF(Source!$G133=COLUMNS($A133:G133), G132&amp;RIGHT(INDIRECT(ADDRESS(ROW(G133)-1, Source!$E133)), Source!$C133), G132))</f>
        <v>VHSPVJTCDBZHRPCWFLDDDSVGZJSDTRRJSMTQRQPTC</v>
      </c>
      <c r="H133" s="2" t="str">
        <f>IF(Source!$E133=COLUMNS($A133:H133), LEFT(H132, LEN(H132)-Source!$C133), IF(Source!$G133=COLUMNS($A133:H133), H132&amp;RIGHT(INDIRECT(ADDRESS(ROW(H133)-1, Source!$E133)), Source!$C133), H132))</f>
        <v/>
      </c>
      <c r="I133" s="2" t="str">
        <f>IF(Source!$E133=COLUMNS($A133:I133), LEFT(I132, LEN(I132)-Source!$C133), IF(Source!$G133=COLUMNS($A133:I133), I132&amp;RIGHT(INDIRECT(ADDRESS(ROW(I133)-1, Source!$E133)), Source!$C133), I132))</f>
        <v>BT</v>
      </c>
    </row>
    <row r="134">
      <c r="A134" s="2" t="str">
        <f>IF(Source!$E134=COLUMNS($A134:A134), LEFT(A133, LEN(A133)-Source!$C134), IF(Source!$G134=COLUMNS($A134:A134), A133&amp;RIGHT(INDIRECT(ADDRESS(ROW(A134)-1, Source!$E134)), Source!$C134), A133))</f>
        <v/>
      </c>
      <c r="B134" s="2" t="str">
        <f>IF(Source!$E134=COLUMNS($A134:B134), LEFT(B133, LEN(B133)-Source!$C134), IF(Source!$G134=COLUMNS($A134:B134), B133&amp;RIGHT(INDIRECT(ADDRESS(ROW(B134)-1, Source!$E134)), Source!$C134), B133))</f>
        <v>FMLWRGL</v>
      </c>
      <c r="C134" s="2" t="str">
        <f>IF(Source!$E134=COLUMNS($A134:C134), LEFT(C133, LEN(C133)-Source!$C134), IF(Source!$G134=COLUMNS($A134:C134), C133&amp;RIGHT(INDIRECT(ADDRESS(ROW(C134)-1, Source!$E134)), Source!$C134), C133))</f>
        <v>Z</v>
      </c>
      <c r="D134" s="2" t="str">
        <f>IF(Source!$E134=COLUMNS($A134:D134), LEFT(D133, LEN(D133)-Source!$C134), IF(Source!$G134=COLUMNS($A134:D134), D133&amp;RIGHT(INDIRECT(ADDRESS(ROW(D134)-1, Source!$E134)), Source!$C134), D133))</f>
        <v>TMBD</v>
      </c>
      <c r="E134" s="2" t="str">
        <f>IF(Source!$E134=COLUMNS($A134:E134), LEFT(E133, LEN(E133)-Source!$C134), IF(Source!$G134=COLUMNS($A134:E134), E133&amp;RIGHT(INDIRECT(ADDRESS(ROW(E134)-1, Source!$E134)), Source!$C134), E133))</f>
        <v>B</v>
      </c>
      <c r="F134" s="2" t="str">
        <f>IF(Source!$E134=COLUMNS($A134:F134), LEFT(F133, LEN(F133)-Source!$C134), IF(Source!$G134=COLUMNS($A134:F134), F133&amp;RIGHT(INDIRECT(ADDRESS(ROW(F134)-1, Source!$E134)), Source!$C134), F133))</f>
        <v/>
      </c>
      <c r="G134" s="2" t="str">
        <f>IF(Source!$E134=COLUMNS($A134:G134), LEFT(G133, LEN(G133)-Source!$C134), IF(Source!$G134=COLUMNS($A134:G134), G133&amp;RIGHT(INDIRECT(ADDRESS(ROW(G134)-1, Source!$E134)), Source!$C134), G133))</f>
        <v>VHSPVJTCDBZHRPCWFLDDDSVGZJSDTRRJSMTQRQPTC</v>
      </c>
      <c r="H134" s="2" t="str">
        <f>IF(Source!$E134=COLUMNS($A134:H134), LEFT(H133, LEN(H133)-Source!$C134), IF(Source!$G134=COLUMNS($A134:H134), H133&amp;RIGHT(INDIRECT(ADDRESS(ROW(H134)-1, Source!$E134)), Source!$C134), H133))</f>
        <v/>
      </c>
      <c r="I134" s="2" t="str">
        <f>IF(Source!$E134=COLUMNS($A134:I134), LEFT(I133, LEN(I133)-Source!$C134), IF(Source!$G134=COLUMNS($A134:I134), I133&amp;RIGHT(INDIRECT(ADDRESS(ROW(I134)-1, Source!$E134)), Source!$C134), I133))</f>
        <v>BT</v>
      </c>
    </row>
    <row r="135">
      <c r="A135" s="2" t="str">
        <f>IF(Source!$E135=COLUMNS($A135:A135), LEFT(A134, LEN(A134)-Source!$C135), IF(Source!$G135=COLUMNS($A135:A135), A134&amp;RIGHT(INDIRECT(ADDRESS(ROW(A135)-1, Source!$E135)), Source!$C135), A134))</f>
        <v/>
      </c>
      <c r="B135" s="2" t="str">
        <f>IF(Source!$E135=COLUMNS($A135:B135), LEFT(B134, LEN(B134)-Source!$C135), IF(Source!$G135=COLUMNS($A135:B135), B134&amp;RIGHT(INDIRECT(ADDRESS(ROW(B135)-1, Source!$E135)), Source!$C135), B134))</f>
        <v>FMLWRGL</v>
      </c>
      <c r="C135" s="2" t="str">
        <f>IF(Source!$E135=COLUMNS($A135:C135), LEFT(C134, LEN(C134)-Source!$C135), IF(Source!$G135=COLUMNS($A135:C135), C134&amp;RIGHT(INDIRECT(ADDRESS(ROW(C135)-1, Source!$E135)), Source!$C135), C134))</f>
        <v>Z</v>
      </c>
      <c r="D135" s="2" t="str">
        <f>IF(Source!$E135=COLUMNS($A135:D135), LEFT(D134, LEN(D134)-Source!$C135), IF(Source!$G135=COLUMNS($A135:D135), D134&amp;RIGHT(INDIRECT(ADDRESS(ROW(D135)-1, Source!$E135)), Source!$C135), D134))</f>
        <v>TMBD</v>
      </c>
      <c r="E135" s="2" t="str">
        <f>IF(Source!$E135=COLUMNS($A135:E135), LEFT(E134, LEN(E134)-Source!$C135), IF(Source!$G135=COLUMNS($A135:E135), E134&amp;RIGHT(INDIRECT(ADDRESS(ROW(E135)-1, Source!$E135)), Source!$C135), E134))</f>
        <v>BGZJSDTRRJSMTQRQPTC</v>
      </c>
      <c r="F135" s="2" t="str">
        <f>IF(Source!$E135=COLUMNS($A135:F135), LEFT(F134, LEN(F134)-Source!$C135), IF(Source!$G135=COLUMNS($A135:F135), F134&amp;RIGHT(INDIRECT(ADDRESS(ROW(F135)-1, Source!$E135)), Source!$C135), F134))</f>
        <v/>
      </c>
      <c r="G135" s="2" t="str">
        <f>IF(Source!$E135=COLUMNS($A135:G135), LEFT(G134, LEN(G134)-Source!$C135), IF(Source!$G135=COLUMNS($A135:G135), G134&amp;RIGHT(INDIRECT(ADDRESS(ROW(G135)-1, Source!$E135)), Source!$C135), G134))</f>
        <v>VHSPVJTCDBZHRPCWFLDDDSV</v>
      </c>
      <c r="H135" s="2" t="str">
        <f>IF(Source!$E135=COLUMNS($A135:H135), LEFT(H134, LEN(H134)-Source!$C135), IF(Source!$G135=COLUMNS($A135:H135), H134&amp;RIGHT(INDIRECT(ADDRESS(ROW(H135)-1, Source!$E135)), Source!$C135), H134))</f>
        <v/>
      </c>
      <c r="I135" s="2" t="str">
        <f>IF(Source!$E135=COLUMNS($A135:I135), LEFT(I134, LEN(I134)-Source!$C135), IF(Source!$G135=COLUMNS($A135:I135), I134&amp;RIGHT(INDIRECT(ADDRESS(ROW(I135)-1, Source!$E135)), Source!$C135), I134))</f>
        <v>BT</v>
      </c>
    </row>
    <row r="136">
      <c r="A136" s="2" t="str">
        <f>IF(Source!$E136=COLUMNS($A136:A136), LEFT(A135, LEN(A135)-Source!$C136), IF(Source!$G136=COLUMNS($A136:A136), A135&amp;RIGHT(INDIRECT(ADDRESS(ROW(A136)-1, Source!$E136)), Source!$C136), A135))</f>
        <v/>
      </c>
      <c r="B136" s="2" t="str">
        <f>IF(Source!$E136=COLUMNS($A136:B136), LEFT(B135, LEN(B135)-Source!$C136), IF(Source!$G136=COLUMNS($A136:B136), B135&amp;RIGHT(INDIRECT(ADDRESS(ROW(B136)-1, Source!$E136)), Source!$C136), B135))</f>
        <v>FMLWRGLZ</v>
      </c>
      <c r="C136" s="2" t="str">
        <f>IF(Source!$E136=COLUMNS($A136:C136), LEFT(C135, LEN(C135)-Source!$C136), IF(Source!$G136=COLUMNS($A136:C136), C135&amp;RIGHT(INDIRECT(ADDRESS(ROW(C136)-1, Source!$E136)), Source!$C136), C135))</f>
        <v/>
      </c>
      <c r="D136" s="2" t="str">
        <f>IF(Source!$E136=COLUMNS($A136:D136), LEFT(D135, LEN(D135)-Source!$C136), IF(Source!$G136=COLUMNS($A136:D136), D135&amp;RIGHT(INDIRECT(ADDRESS(ROW(D136)-1, Source!$E136)), Source!$C136), D135))</f>
        <v>TMBD</v>
      </c>
      <c r="E136" s="2" t="str">
        <f>IF(Source!$E136=COLUMNS($A136:E136), LEFT(E135, LEN(E135)-Source!$C136), IF(Source!$G136=COLUMNS($A136:E136), E135&amp;RIGHT(INDIRECT(ADDRESS(ROW(E136)-1, Source!$E136)), Source!$C136), E135))</f>
        <v>BGZJSDTRRJSMTQRQPTC</v>
      </c>
      <c r="F136" s="2" t="str">
        <f>IF(Source!$E136=COLUMNS($A136:F136), LEFT(F135, LEN(F135)-Source!$C136), IF(Source!$G136=COLUMNS($A136:F136), F135&amp;RIGHT(INDIRECT(ADDRESS(ROW(F136)-1, Source!$E136)), Source!$C136), F135))</f>
        <v/>
      </c>
      <c r="G136" s="2" t="str">
        <f>IF(Source!$E136=COLUMNS($A136:G136), LEFT(G135, LEN(G135)-Source!$C136), IF(Source!$G136=COLUMNS($A136:G136), G135&amp;RIGHT(INDIRECT(ADDRESS(ROW(G136)-1, Source!$E136)), Source!$C136), G135))</f>
        <v>VHSPVJTCDBZHRPCWFLDDDSV</v>
      </c>
      <c r="H136" s="2" t="str">
        <f>IF(Source!$E136=COLUMNS($A136:H136), LEFT(H135, LEN(H135)-Source!$C136), IF(Source!$G136=COLUMNS($A136:H136), H135&amp;RIGHT(INDIRECT(ADDRESS(ROW(H136)-1, Source!$E136)), Source!$C136), H135))</f>
        <v/>
      </c>
      <c r="I136" s="2" t="str">
        <f>IF(Source!$E136=COLUMNS($A136:I136), LEFT(I135, LEN(I135)-Source!$C136), IF(Source!$G136=COLUMNS($A136:I136), I135&amp;RIGHT(INDIRECT(ADDRESS(ROW(I136)-1, Source!$E136)), Source!$C136), I135))</f>
        <v>BT</v>
      </c>
    </row>
    <row r="137">
      <c r="A137" s="2" t="str">
        <f>IF(Source!$E137=COLUMNS($A137:A137), LEFT(A136, LEN(A136)-Source!$C137), IF(Source!$G137=COLUMNS($A137:A137), A136&amp;RIGHT(INDIRECT(ADDRESS(ROW(A137)-1, Source!$E137)), Source!$C137), A136))</f>
        <v/>
      </c>
      <c r="B137" s="2" t="str">
        <f>IF(Source!$E137=COLUMNS($A137:B137), LEFT(B136, LEN(B136)-Source!$C137), IF(Source!$G137=COLUMNS($A137:B137), B136&amp;RIGHT(INDIRECT(ADDRESS(ROW(B137)-1, Source!$E137)), Source!$C137), B136))</f>
        <v>FMLWRGLZ</v>
      </c>
      <c r="C137" s="2" t="str">
        <f>IF(Source!$E137=COLUMNS($A137:C137), LEFT(C136, LEN(C136)-Source!$C137), IF(Source!$G137=COLUMNS($A137:C137), C136&amp;RIGHT(INDIRECT(ADDRESS(ROW(C137)-1, Source!$E137)), Source!$C137), C136))</f>
        <v/>
      </c>
      <c r="D137" s="2" t="str">
        <f>IF(Source!$E137=COLUMNS($A137:D137), LEFT(D136, LEN(D136)-Source!$C137), IF(Source!$G137=COLUMNS($A137:D137), D136&amp;RIGHT(INDIRECT(ADDRESS(ROW(D137)-1, Source!$E137)), Source!$C137), D136))</f>
        <v>TMBD</v>
      </c>
      <c r="E137" s="2" t="str">
        <f>IF(Source!$E137=COLUMNS($A137:E137), LEFT(E136, LEN(E136)-Source!$C137), IF(Source!$G137=COLUMNS($A137:E137), E136&amp;RIGHT(INDIRECT(ADDRESS(ROW(E137)-1, Source!$E137)), Source!$C137), E136))</f>
        <v>BGZJSDTRRJSMTQRQPT</v>
      </c>
      <c r="F137" s="2" t="str">
        <f>IF(Source!$E137=COLUMNS($A137:F137), LEFT(F136, LEN(F136)-Source!$C137), IF(Source!$G137=COLUMNS($A137:F137), F136&amp;RIGHT(INDIRECT(ADDRESS(ROW(F137)-1, Source!$E137)), Source!$C137), F136))</f>
        <v>C</v>
      </c>
      <c r="G137" s="2" t="str">
        <f>IF(Source!$E137=COLUMNS($A137:G137), LEFT(G136, LEN(G136)-Source!$C137), IF(Source!$G137=COLUMNS($A137:G137), G136&amp;RIGHT(INDIRECT(ADDRESS(ROW(G137)-1, Source!$E137)), Source!$C137), G136))</f>
        <v>VHSPVJTCDBZHRPCWFLDDDSV</v>
      </c>
      <c r="H137" s="2" t="str">
        <f>IF(Source!$E137=COLUMNS($A137:H137), LEFT(H136, LEN(H136)-Source!$C137), IF(Source!$G137=COLUMNS($A137:H137), H136&amp;RIGHT(INDIRECT(ADDRESS(ROW(H137)-1, Source!$E137)), Source!$C137), H136))</f>
        <v/>
      </c>
      <c r="I137" s="2" t="str">
        <f>IF(Source!$E137=COLUMNS($A137:I137), LEFT(I136, LEN(I136)-Source!$C137), IF(Source!$G137=COLUMNS($A137:I137), I136&amp;RIGHT(INDIRECT(ADDRESS(ROW(I137)-1, Source!$E137)), Source!$C137), I136))</f>
        <v>BT</v>
      </c>
    </row>
    <row r="138">
      <c r="A138" s="2" t="str">
        <f>IF(Source!$E138=COLUMNS($A138:A138), LEFT(A137, LEN(A137)-Source!$C138), IF(Source!$G138=COLUMNS($A138:A138), A137&amp;RIGHT(INDIRECT(ADDRESS(ROW(A138)-1, Source!$E138)), Source!$C138), A137))</f>
        <v/>
      </c>
      <c r="B138" s="2" t="str">
        <f>IF(Source!$E138=COLUMNS($A138:B138), LEFT(B137, LEN(B137)-Source!$C138), IF(Source!$G138=COLUMNS($A138:B138), B137&amp;RIGHT(INDIRECT(ADDRESS(ROW(B138)-1, Source!$E138)), Source!$C138), B137))</f>
        <v>FMLWRGLZ</v>
      </c>
      <c r="C138" s="2" t="str">
        <f>IF(Source!$E138=COLUMNS($A138:C138), LEFT(C137, LEN(C137)-Source!$C138), IF(Source!$G138=COLUMNS($A138:C138), C137&amp;RIGHT(INDIRECT(ADDRESS(ROW(C138)-1, Source!$E138)), Source!$C138), C137))</f>
        <v>BGZJSDTRRJSMTQRQPT</v>
      </c>
      <c r="D138" s="2" t="str">
        <f>IF(Source!$E138=COLUMNS($A138:D138), LEFT(D137, LEN(D137)-Source!$C138), IF(Source!$G138=COLUMNS($A138:D138), D137&amp;RIGHT(INDIRECT(ADDRESS(ROW(D138)-1, Source!$E138)), Source!$C138), D137))</f>
        <v>TMBD</v>
      </c>
      <c r="E138" s="2" t="str">
        <f>IF(Source!$E138=COLUMNS($A138:E138), LEFT(E137, LEN(E137)-Source!$C138), IF(Source!$G138=COLUMNS($A138:E138), E137&amp;RIGHT(INDIRECT(ADDRESS(ROW(E138)-1, Source!$E138)), Source!$C138), E137))</f>
        <v/>
      </c>
      <c r="F138" s="2" t="str">
        <f>IF(Source!$E138=COLUMNS($A138:F138), LEFT(F137, LEN(F137)-Source!$C138), IF(Source!$G138=COLUMNS($A138:F138), F137&amp;RIGHT(INDIRECT(ADDRESS(ROW(F138)-1, Source!$E138)), Source!$C138), F137))</f>
        <v>C</v>
      </c>
      <c r="G138" s="2" t="str">
        <f>IF(Source!$E138=COLUMNS($A138:G138), LEFT(G137, LEN(G137)-Source!$C138), IF(Source!$G138=COLUMNS($A138:G138), G137&amp;RIGHT(INDIRECT(ADDRESS(ROW(G138)-1, Source!$E138)), Source!$C138), G137))</f>
        <v>VHSPVJTCDBZHRPCWFLDDDSV</v>
      </c>
      <c r="H138" s="2" t="str">
        <f>IF(Source!$E138=COLUMNS($A138:H138), LEFT(H137, LEN(H137)-Source!$C138), IF(Source!$G138=COLUMNS($A138:H138), H137&amp;RIGHT(INDIRECT(ADDRESS(ROW(H138)-1, Source!$E138)), Source!$C138), H137))</f>
        <v/>
      </c>
      <c r="I138" s="2" t="str">
        <f>IF(Source!$E138=COLUMNS($A138:I138), LEFT(I137, LEN(I137)-Source!$C138), IF(Source!$G138=COLUMNS($A138:I138), I137&amp;RIGHT(INDIRECT(ADDRESS(ROW(I138)-1, Source!$E138)), Source!$C138), I137))</f>
        <v>BT</v>
      </c>
    </row>
    <row r="139">
      <c r="A139" s="2" t="str">
        <f>IF(Source!$E139=COLUMNS($A139:A139), LEFT(A138, LEN(A138)-Source!$C139), IF(Source!$G139=COLUMNS($A139:A139), A138&amp;RIGHT(INDIRECT(ADDRESS(ROW(A139)-1, Source!$E139)), Source!$C139), A138))</f>
        <v/>
      </c>
      <c r="B139" s="2" t="str">
        <f>IF(Source!$E139=COLUMNS($A139:B139), LEFT(B138, LEN(B138)-Source!$C139), IF(Source!$G139=COLUMNS($A139:B139), B138&amp;RIGHT(INDIRECT(ADDRESS(ROW(B139)-1, Source!$E139)), Source!$C139), B138))</f>
        <v>FMLWRGLZ</v>
      </c>
      <c r="C139" s="2" t="str">
        <f>IF(Source!$E139=COLUMNS($A139:C139), LEFT(C138, LEN(C138)-Source!$C139), IF(Source!$G139=COLUMNS($A139:C139), C138&amp;RIGHT(INDIRECT(ADDRESS(ROW(C139)-1, Source!$E139)), Source!$C139), C138))</f>
        <v>BGZJSDTRRJSMTQRQPTC</v>
      </c>
      <c r="D139" s="2" t="str">
        <f>IF(Source!$E139=COLUMNS($A139:D139), LEFT(D138, LEN(D138)-Source!$C139), IF(Source!$G139=COLUMNS($A139:D139), D138&amp;RIGHT(INDIRECT(ADDRESS(ROW(D139)-1, Source!$E139)), Source!$C139), D138))</f>
        <v>TMBD</v>
      </c>
      <c r="E139" s="2" t="str">
        <f>IF(Source!$E139=COLUMNS($A139:E139), LEFT(E138, LEN(E138)-Source!$C139), IF(Source!$G139=COLUMNS($A139:E139), E138&amp;RIGHT(INDIRECT(ADDRESS(ROW(E139)-1, Source!$E139)), Source!$C139), E138))</f>
        <v/>
      </c>
      <c r="F139" s="2" t="str">
        <f>IF(Source!$E139=COLUMNS($A139:F139), LEFT(F138, LEN(F138)-Source!$C139), IF(Source!$G139=COLUMNS($A139:F139), F138&amp;RIGHT(INDIRECT(ADDRESS(ROW(F139)-1, Source!$E139)), Source!$C139), F138))</f>
        <v/>
      </c>
      <c r="G139" s="2" t="str">
        <f>IF(Source!$E139=COLUMNS($A139:G139), LEFT(G138, LEN(G138)-Source!$C139), IF(Source!$G139=COLUMNS($A139:G139), G138&amp;RIGHT(INDIRECT(ADDRESS(ROW(G139)-1, Source!$E139)), Source!$C139), G138))</f>
        <v>VHSPVJTCDBZHRPCWFLDDDSV</v>
      </c>
      <c r="H139" s="2" t="str">
        <f>IF(Source!$E139=COLUMNS($A139:H139), LEFT(H138, LEN(H138)-Source!$C139), IF(Source!$G139=COLUMNS($A139:H139), H138&amp;RIGHT(INDIRECT(ADDRESS(ROW(H139)-1, Source!$E139)), Source!$C139), H138))</f>
        <v/>
      </c>
      <c r="I139" s="2" t="str">
        <f>IF(Source!$E139=COLUMNS($A139:I139), LEFT(I138, LEN(I138)-Source!$C139), IF(Source!$G139=COLUMNS($A139:I139), I138&amp;RIGHT(INDIRECT(ADDRESS(ROW(I139)-1, Source!$E139)), Source!$C139), I138))</f>
        <v>BT</v>
      </c>
    </row>
    <row r="140">
      <c r="A140" s="2" t="str">
        <f>IF(Source!$E140=COLUMNS($A140:A140), LEFT(A139, LEN(A139)-Source!$C140), IF(Source!$G140=COLUMNS($A140:A140), A139&amp;RIGHT(INDIRECT(ADDRESS(ROW(A140)-1, Source!$E140)), Source!$C140), A139))</f>
        <v/>
      </c>
      <c r="B140" s="2" t="str">
        <f>IF(Source!$E140=COLUMNS($A140:B140), LEFT(B139, LEN(B139)-Source!$C140), IF(Source!$G140=COLUMNS($A140:B140), B139&amp;RIGHT(INDIRECT(ADDRESS(ROW(B140)-1, Source!$E140)), Source!$C140), B139))</f>
        <v>FMLWRGLZ</v>
      </c>
      <c r="C140" s="2" t="str">
        <f>IF(Source!$E140=COLUMNS($A140:C140), LEFT(C139, LEN(C139)-Source!$C140), IF(Source!$G140=COLUMNS($A140:C140), C139&amp;RIGHT(INDIRECT(ADDRESS(ROW(C140)-1, Source!$E140)), Source!$C140), C139))</f>
        <v>BGZJSDTRRJSMTQRQPTC</v>
      </c>
      <c r="D140" s="2" t="str">
        <f>IF(Source!$E140=COLUMNS($A140:D140), LEFT(D139, LEN(D139)-Source!$C140), IF(Source!$G140=COLUMNS($A140:D140), D139&amp;RIGHT(INDIRECT(ADDRESS(ROW(D140)-1, Source!$E140)), Source!$C140), D139))</f>
        <v>TMBD</v>
      </c>
      <c r="E140" s="2" t="str">
        <f>IF(Source!$E140=COLUMNS($A140:E140), LEFT(E139, LEN(E139)-Source!$C140), IF(Source!$G140=COLUMNS($A140:E140), E139&amp;RIGHT(INDIRECT(ADDRESS(ROW(E140)-1, Source!$E140)), Source!$C140), E139))</f>
        <v>BT</v>
      </c>
      <c r="F140" s="2" t="str">
        <f>IF(Source!$E140=COLUMNS($A140:F140), LEFT(F139, LEN(F139)-Source!$C140), IF(Source!$G140=COLUMNS($A140:F140), F139&amp;RIGHT(INDIRECT(ADDRESS(ROW(F140)-1, Source!$E140)), Source!$C140), F139))</f>
        <v/>
      </c>
      <c r="G140" s="2" t="str">
        <f>IF(Source!$E140=COLUMNS($A140:G140), LEFT(G139, LEN(G139)-Source!$C140), IF(Source!$G140=COLUMNS($A140:G140), G139&amp;RIGHT(INDIRECT(ADDRESS(ROW(G140)-1, Source!$E140)), Source!$C140), G139))</f>
        <v>VHSPVJTCDBZHRPCWFLDDDSV</v>
      </c>
      <c r="H140" s="2" t="str">
        <f>IF(Source!$E140=COLUMNS($A140:H140), LEFT(H139, LEN(H139)-Source!$C140), IF(Source!$G140=COLUMNS($A140:H140), H139&amp;RIGHT(INDIRECT(ADDRESS(ROW(H140)-1, Source!$E140)), Source!$C140), H139))</f>
        <v/>
      </c>
      <c r="I140" s="2" t="str">
        <f>IF(Source!$E140=COLUMNS($A140:I140), LEFT(I139, LEN(I139)-Source!$C140), IF(Source!$G140=COLUMNS($A140:I140), I139&amp;RIGHT(INDIRECT(ADDRESS(ROW(I140)-1, Source!$E140)), Source!$C140), I139))</f>
        <v/>
      </c>
    </row>
    <row r="141">
      <c r="A141" s="2" t="str">
        <f>IF(Source!$E141=COLUMNS($A141:A141), LEFT(A140, LEN(A140)-Source!$C141), IF(Source!$G141=COLUMNS($A141:A141), A140&amp;RIGHT(INDIRECT(ADDRESS(ROW(A141)-1, Source!$E141)), Source!$C141), A140))</f>
        <v/>
      </c>
      <c r="B141" s="2" t="str">
        <f>IF(Source!$E141=COLUMNS($A141:B141), LEFT(B140, LEN(B140)-Source!$C141), IF(Source!$G141=COLUMNS($A141:B141), B140&amp;RIGHT(INDIRECT(ADDRESS(ROW(B141)-1, Source!$E141)), Source!$C141), B140))</f>
        <v>FMLWRGLZ</v>
      </c>
      <c r="C141" s="2" t="str">
        <f>IF(Source!$E141=COLUMNS($A141:C141), LEFT(C140, LEN(C140)-Source!$C141), IF(Source!$G141=COLUMNS($A141:C141), C140&amp;RIGHT(INDIRECT(ADDRESS(ROW(C141)-1, Source!$E141)), Source!$C141), C140))</f>
        <v>BGZJSDTRR</v>
      </c>
      <c r="D141" s="2" t="str">
        <f>IF(Source!$E141=COLUMNS($A141:D141), LEFT(D140, LEN(D140)-Source!$C141), IF(Source!$G141=COLUMNS($A141:D141), D140&amp;RIGHT(INDIRECT(ADDRESS(ROW(D141)-1, Source!$E141)), Source!$C141), D140))</f>
        <v>TMBD</v>
      </c>
      <c r="E141" s="2" t="str">
        <f>IF(Source!$E141=COLUMNS($A141:E141), LEFT(E140, LEN(E140)-Source!$C141), IF(Source!$G141=COLUMNS($A141:E141), E140&amp;RIGHT(INDIRECT(ADDRESS(ROW(E141)-1, Source!$E141)), Source!$C141), E140))</f>
        <v>BTJSMTQRQPTC</v>
      </c>
      <c r="F141" s="2" t="str">
        <f>IF(Source!$E141=COLUMNS($A141:F141), LEFT(F140, LEN(F140)-Source!$C141), IF(Source!$G141=COLUMNS($A141:F141), F140&amp;RIGHT(INDIRECT(ADDRESS(ROW(F141)-1, Source!$E141)), Source!$C141), F140))</f>
        <v/>
      </c>
      <c r="G141" s="2" t="str">
        <f>IF(Source!$E141=COLUMNS($A141:G141), LEFT(G140, LEN(G140)-Source!$C141), IF(Source!$G141=COLUMNS($A141:G141), G140&amp;RIGHT(INDIRECT(ADDRESS(ROW(G141)-1, Source!$E141)), Source!$C141), G140))</f>
        <v>VHSPVJTCDBZHRPCWFLDDDSV</v>
      </c>
      <c r="H141" s="2" t="str">
        <f>IF(Source!$E141=COLUMNS($A141:H141), LEFT(H140, LEN(H140)-Source!$C141), IF(Source!$G141=COLUMNS($A141:H141), H140&amp;RIGHT(INDIRECT(ADDRESS(ROW(H141)-1, Source!$E141)), Source!$C141), H140))</f>
        <v/>
      </c>
      <c r="I141" s="2" t="str">
        <f>IF(Source!$E141=COLUMNS($A141:I141), LEFT(I140, LEN(I140)-Source!$C141), IF(Source!$G141=COLUMNS($A141:I141), I140&amp;RIGHT(INDIRECT(ADDRESS(ROW(I141)-1, Source!$E141)), Source!$C141), I140))</f>
        <v/>
      </c>
    </row>
    <row r="142">
      <c r="A142" s="2" t="str">
        <f>IF(Source!$E142=COLUMNS($A142:A142), LEFT(A141, LEN(A141)-Source!$C142), IF(Source!$G142=COLUMNS($A142:A142), A141&amp;RIGHT(INDIRECT(ADDRESS(ROW(A142)-1, Source!$E142)), Source!$C142), A141))</f>
        <v/>
      </c>
      <c r="B142" s="2" t="str">
        <f>IF(Source!$E142=COLUMNS($A142:B142), LEFT(B141, LEN(B141)-Source!$C142), IF(Source!$G142=COLUMNS($A142:B142), B141&amp;RIGHT(INDIRECT(ADDRESS(ROW(B142)-1, Source!$E142)), Source!$C142), B141))</f>
        <v>FMLWRGLZ</v>
      </c>
      <c r="C142" s="2" t="str">
        <f>IF(Source!$E142=COLUMNS($A142:C142), LEFT(C141, LEN(C141)-Source!$C142), IF(Source!$G142=COLUMNS($A142:C142), C141&amp;RIGHT(INDIRECT(ADDRESS(ROW(C142)-1, Source!$E142)), Source!$C142), C141))</f>
        <v>BGZJS</v>
      </c>
      <c r="D142" s="2" t="str">
        <f>IF(Source!$E142=COLUMNS($A142:D142), LEFT(D141, LEN(D141)-Source!$C142), IF(Source!$G142=COLUMNS($A142:D142), D141&amp;RIGHT(INDIRECT(ADDRESS(ROW(D142)-1, Source!$E142)), Source!$C142), D141))</f>
        <v>TMBD</v>
      </c>
      <c r="E142" s="2" t="str">
        <f>IF(Source!$E142=COLUMNS($A142:E142), LEFT(E141, LEN(E141)-Source!$C142), IF(Source!$G142=COLUMNS($A142:E142), E141&amp;RIGHT(INDIRECT(ADDRESS(ROW(E142)-1, Source!$E142)), Source!$C142), E141))</f>
        <v>BTJSMTQRQPTC</v>
      </c>
      <c r="F142" s="2" t="str">
        <f>IF(Source!$E142=COLUMNS($A142:F142), LEFT(F141, LEN(F141)-Source!$C142), IF(Source!$G142=COLUMNS($A142:F142), F141&amp;RIGHT(INDIRECT(ADDRESS(ROW(F142)-1, Source!$E142)), Source!$C142), F141))</f>
        <v>DTRR</v>
      </c>
      <c r="G142" s="2" t="str">
        <f>IF(Source!$E142=COLUMNS($A142:G142), LEFT(G141, LEN(G141)-Source!$C142), IF(Source!$G142=COLUMNS($A142:G142), G141&amp;RIGHT(INDIRECT(ADDRESS(ROW(G142)-1, Source!$E142)), Source!$C142), G141))</f>
        <v>VHSPVJTCDBZHRPCWFLDDDSV</v>
      </c>
      <c r="H142" s="2" t="str">
        <f>IF(Source!$E142=COLUMNS($A142:H142), LEFT(H141, LEN(H141)-Source!$C142), IF(Source!$G142=COLUMNS($A142:H142), H141&amp;RIGHT(INDIRECT(ADDRESS(ROW(H142)-1, Source!$E142)), Source!$C142), H141))</f>
        <v/>
      </c>
      <c r="I142" s="2" t="str">
        <f>IF(Source!$E142=COLUMNS($A142:I142), LEFT(I141, LEN(I141)-Source!$C142), IF(Source!$G142=COLUMNS($A142:I142), I141&amp;RIGHT(INDIRECT(ADDRESS(ROW(I142)-1, Source!$E142)), Source!$C142), I141))</f>
        <v/>
      </c>
    </row>
    <row r="143">
      <c r="A143" s="2" t="str">
        <f>IF(Source!$E143=COLUMNS($A143:A143), LEFT(A142, LEN(A142)-Source!$C143), IF(Source!$G143=COLUMNS($A143:A143), A142&amp;RIGHT(INDIRECT(ADDRESS(ROW(A143)-1, Source!$E143)), Source!$C143), A142))</f>
        <v>V</v>
      </c>
      <c r="B143" s="2" t="str">
        <f>IF(Source!$E143=COLUMNS($A143:B143), LEFT(B142, LEN(B142)-Source!$C143), IF(Source!$G143=COLUMNS($A143:B143), B142&amp;RIGHT(INDIRECT(ADDRESS(ROW(B143)-1, Source!$E143)), Source!$C143), B142))</f>
        <v>FMLWRGLZ</v>
      </c>
      <c r="C143" s="2" t="str">
        <f>IF(Source!$E143=COLUMNS($A143:C143), LEFT(C142, LEN(C142)-Source!$C143), IF(Source!$G143=COLUMNS($A143:C143), C142&amp;RIGHT(INDIRECT(ADDRESS(ROW(C143)-1, Source!$E143)), Source!$C143), C142))</f>
        <v>BGZJS</v>
      </c>
      <c r="D143" s="2" t="str">
        <f>IF(Source!$E143=COLUMNS($A143:D143), LEFT(D142, LEN(D142)-Source!$C143), IF(Source!$G143=COLUMNS($A143:D143), D142&amp;RIGHT(INDIRECT(ADDRESS(ROW(D143)-1, Source!$E143)), Source!$C143), D142))</f>
        <v>TMBD</v>
      </c>
      <c r="E143" s="2" t="str">
        <f>IF(Source!$E143=COLUMNS($A143:E143), LEFT(E142, LEN(E142)-Source!$C143), IF(Source!$G143=COLUMNS($A143:E143), E142&amp;RIGHT(INDIRECT(ADDRESS(ROW(E143)-1, Source!$E143)), Source!$C143), E142))</f>
        <v>BTJSMTQRQPTC</v>
      </c>
      <c r="F143" s="2" t="str">
        <f>IF(Source!$E143=COLUMNS($A143:F143), LEFT(F142, LEN(F142)-Source!$C143), IF(Source!$G143=COLUMNS($A143:F143), F142&amp;RIGHT(INDIRECT(ADDRESS(ROW(F143)-1, Source!$E143)), Source!$C143), F142))</f>
        <v>DTRR</v>
      </c>
      <c r="G143" s="2" t="str">
        <f>IF(Source!$E143=COLUMNS($A143:G143), LEFT(G142, LEN(G142)-Source!$C143), IF(Source!$G143=COLUMNS($A143:G143), G142&amp;RIGHT(INDIRECT(ADDRESS(ROW(G143)-1, Source!$E143)), Source!$C143), G142))</f>
        <v>VHSPVJTCDBZHRPCWFLDDDS</v>
      </c>
      <c r="H143" s="2" t="str">
        <f>IF(Source!$E143=COLUMNS($A143:H143), LEFT(H142, LEN(H142)-Source!$C143), IF(Source!$G143=COLUMNS($A143:H143), H142&amp;RIGHT(INDIRECT(ADDRESS(ROW(H143)-1, Source!$E143)), Source!$C143), H142))</f>
        <v/>
      </c>
      <c r="I143" s="2" t="str">
        <f>IF(Source!$E143=COLUMNS($A143:I143), LEFT(I142, LEN(I142)-Source!$C143), IF(Source!$G143=COLUMNS($A143:I143), I142&amp;RIGHT(INDIRECT(ADDRESS(ROW(I143)-1, Source!$E143)), Source!$C143), I142))</f>
        <v/>
      </c>
    </row>
    <row r="144">
      <c r="A144" s="2" t="str">
        <f>IF(Source!$E144=COLUMNS($A144:A144), LEFT(A143, LEN(A143)-Source!$C144), IF(Source!$G144=COLUMNS($A144:A144), A143&amp;RIGHT(INDIRECT(ADDRESS(ROW(A144)-1, Source!$E144)), Source!$C144), A143))</f>
        <v>VC</v>
      </c>
      <c r="B144" s="2" t="str">
        <f>IF(Source!$E144=COLUMNS($A144:B144), LEFT(B143, LEN(B143)-Source!$C144), IF(Source!$G144=COLUMNS($A144:B144), B143&amp;RIGHT(INDIRECT(ADDRESS(ROW(B144)-1, Source!$E144)), Source!$C144), B143))</f>
        <v>FMLWRGLZ</v>
      </c>
      <c r="C144" s="2" t="str">
        <f>IF(Source!$E144=COLUMNS($A144:C144), LEFT(C143, LEN(C143)-Source!$C144), IF(Source!$G144=COLUMNS($A144:C144), C143&amp;RIGHT(INDIRECT(ADDRESS(ROW(C144)-1, Source!$E144)), Source!$C144), C143))</f>
        <v>BGZJS</v>
      </c>
      <c r="D144" s="2" t="str">
        <f>IF(Source!$E144=COLUMNS($A144:D144), LEFT(D143, LEN(D143)-Source!$C144), IF(Source!$G144=COLUMNS($A144:D144), D143&amp;RIGHT(INDIRECT(ADDRESS(ROW(D144)-1, Source!$E144)), Source!$C144), D143))</f>
        <v>TMBD</v>
      </c>
      <c r="E144" s="2" t="str">
        <f>IF(Source!$E144=COLUMNS($A144:E144), LEFT(E143, LEN(E143)-Source!$C144), IF(Source!$G144=COLUMNS($A144:E144), E143&amp;RIGHT(INDIRECT(ADDRESS(ROW(E144)-1, Source!$E144)), Source!$C144), E143))</f>
        <v>BTJSMTQRQPT</v>
      </c>
      <c r="F144" s="2" t="str">
        <f>IF(Source!$E144=COLUMNS($A144:F144), LEFT(F143, LEN(F143)-Source!$C144), IF(Source!$G144=COLUMNS($A144:F144), F143&amp;RIGHT(INDIRECT(ADDRESS(ROW(F144)-1, Source!$E144)), Source!$C144), F143))</f>
        <v>DTRR</v>
      </c>
      <c r="G144" s="2" t="str">
        <f>IF(Source!$E144=COLUMNS($A144:G144), LEFT(G143, LEN(G143)-Source!$C144), IF(Source!$G144=COLUMNS($A144:G144), G143&amp;RIGHT(INDIRECT(ADDRESS(ROW(G144)-1, Source!$E144)), Source!$C144), G143))</f>
        <v>VHSPVJTCDBZHRPCWFLDDDS</v>
      </c>
      <c r="H144" s="2" t="str">
        <f>IF(Source!$E144=COLUMNS($A144:H144), LEFT(H143, LEN(H143)-Source!$C144), IF(Source!$G144=COLUMNS($A144:H144), H143&amp;RIGHT(INDIRECT(ADDRESS(ROW(H144)-1, Source!$E144)), Source!$C144), H143))</f>
        <v/>
      </c>
      <c r="I144" s="2" t="str">
        <f>IF(Source!$E144=COLUMNS($A144:I144), LEFT(I143, LEN(I143)-Source!$C144), IF(Source!$G144=COLUMNS($A144:I144), I143&amp;RIGHT(INDIRECT(ADDRESS(ROW(I144)-1, Source!$E144)), Source!$C144), I143))</f>
        <v/>
      </c>
    </row>
    <row r="145">
      <c r="A145" s="2" t="str">
        <f>IF(Source!$E145=COLUMNS($A145:A145), LEFT(A144, LEN(A144)-Source!$C145), IF(Source!$G145=COLUMNS($A145:A145), A144&amp;RIGHT(INDIRECT(ADDRESS(ROW(A145)-1, Source!$E145)), Source!$C145), A144))</f>
        <v>VC</v>
      </c>
      <c r="B145" s="2" t="str">
        <f>IF(Source!$E145=COLUMNS($A145:B145), LEFT(B144, LEN(B144)-Source!$C145), IF(Source!$G145=COLUMNS($A145:B145), B144&amp;RIGHT(INDIRECT(ADDRESS(ROW(B145)-1, Source!$E145)), Source!$C145), B144))</f>
        <v>FMLWRGLZ</v>
      </c>
      <c r="C145" s="2" t="str">
        <f>IF(Source!$E145=COLUMNS($A145:C145), LEFT(C144, LEN(C144)-Source!$C145), IF(Source!$G145=COLUMNS($A145:C145), C144&amp;RIGHT(INDIRECT(ADDRESS(ROW(C145)-1, Source!$E145)), Source!$C145), C144))</f>
        <v>BGZJS</v>
      </c>
      <c r="D145" s="2" t="str">
        <f>IF(Source!$E145=COLUMNS($A145:D145), LEFT(D144, LEN(D144)-Source!$C145), IF(Source!$G145=COLUMNS($A145:D145), D144&amp;RIGHT(INDIRECT(ADDRESS(ROW(D145)-1, Source!$E145)), Source!$C145), D144))</f>
        <v>TMBD</v>
      </c>
      <c r="E145" s="2" t="str">
        <f>IF(Source!$E145=COLUMNS($A145:E145), LEFT(E144, LEN(E144)-Source!$C145), IF(Source!$G145=COLUMNS($A145:E145), E144&amp;RIGHT(INDIRECT(ADDRESS(ROW(E145)-1, Source!$E145)), Source!$C145), E144))</f>
        <v>BTJSMTQRQPT</v>
      </c>
      <c r="F145" s="2" t="str">
        <f>IF(Source!$E145=COLUMNS($A145:F145), LEFT(F144, LEN(F144)-Source!$C145), IF(Source!$G145=COLUMNS($A145:F145), F144&amp;RIGHT(INDIRECT(ADDRESS(ROW(F145)-1, Source!$E145)), Source!$C145), F144))</f>
        <v>DTRRFLDDDS</v>
      </c>
      <c r="G145" s="2" t="str">
        <f>IF(Source!$E145=COLUMNS($A145:G145), LEFT(G144, LEN(G144)-Source!$C145), IF(Source!$G145=COLUMNS($A145:G145), G144&amp;RIGHT(INDIRECT(ADDRESS(ROW(G145)-1, Source!$E145)), Source!$C145), G144))</f>
        <v>VHSPVJTCDBZHRPCW</v>
      </c>
      <c r="H145" s="2" t="str">
        <f>IF(Source!$E145=COLUMNS($A145:H145), LEFT(H144, LEN(H144)-Source!$C145), IF(Source!$G145=COLUMNS($A145:H145), H144&amp;RIGHT(INDIRECT(ADDRESS(ROW(H145)-1, Source!$E145)), Source!$C145), H144))</f>
        <v/>
      </c>
      <c r="I145" s="2" t="str">
        <f>IF(Source!$E145=COLUMNS($A145:I145), LEFT(I144, LEN(I144)-Source!$C145), IF(Source!$G145=COLUMNS($A145:I145), I144&amp;RIGHT(INDIRECT(ADDRESS(ROW(I145)-1, Source!$E145)), Source!$C145), I144))</f>
        <v/>
      </c>
    </row>
    <row r="146">
      <c r="A146" s="2" t="str">
        <f>IF(Source!$E146=COLUMNS($A146:A146), LEFT(A145, LEN(A145)-Source!$C146), IF(Source!$G146=COLUMNS($A146:A146), A145&amp;RIGHT(INDIRECT(ADDRESS(ROW(A146)-1, Source!$E146)), Source!$C146), A145))</f>
        <v>VC</v>
      </c>
      <c r="B146" s="2" t="str">
        <f>IF(Source!$E146=COLUMNS($A146:B146), LEFT(B145, LEN(B145)-Source!$C146), IF(Source!$G146=COLUMNS($A146:B146), B145&amp;RIGHT(INDIRECT(ADDRESS(ROW(B146)-1, Source!$E146)), Source!$C146), B145))</f>
        <v>FMLWRGLZS</v>
      </c>
      <c r="C146" s="2" t="str">
        <f>IF(Source!$E146=COLUMNS($A146:C146), LEFT(C145, LEN(C145)-Source!$C146), IF(Source!$G146=COLUMNS($A146:C146), C145&amp;RIGHT(INDIRECT(ADDRESS(ROW(C146)-1, Source!$E146)), Source!$C146), C145))</f>
        <v>BGZJS</v>
      </c>
      <c r="D146" s="2" t="str">
        <f>IF(Source!$E146=COLUMNS($A146:D146), LEFT(D145, LEN(D145)-Source!$C146), IF(Source!$G146=COLUMNS($A146:D146), D145&amp;RIGHT(INDIRECT(ADDRESS(ROW(D146)-1, Source!$E146)), Source!$C146), D145))</f>
        <v>TMBD</v>
      </c>
      <c r="E146" s="2" t="str">
        <f>IF(Source!$E146=COLUMNS($A146:E146), LEFT(E145, LEN(E145)-Source!$C146), IF(Source!$G146=COLUMNS($A146:E146), E145&amp;RIGHT(INDIRECT(ADDRESS(ROW(E146)-1, Source!$E146)), Source!$C146), E145))</f>
        <v>BTJSMTQRQPT</v>
      </c>
      <c r="F146" s="2" t="str">
        <f>IF(Source!$E146=COLUMNS($A146:F146), LEFT(F145, LEN(F145)-Source!$C146), IF(Source!$G146=COLUMNS($A146:F146), F145&amp;RIGHT(INDIRECT(ADDRESS(ROW(F146)-1, Source!$E146)), Source!$C146), F145))</f>
        <v>DTRRFLDDD</v>
      </c>
      <c r="G146" s="2" t="str">
        <f>IF(Source!$E146=COLUMNS($A146:G146), LEFT(G145, LEN(G145)-Source!$C146), IF(Source!$G146=COLUMNS($A146:G146), G145&amp;RIGHT(INDIRECT(ADDRESS(ROW(G146)-1, Source!$E146)), Source!$C146), G145))</f>
        <v>VHSPVJTCDBZHRPCW</v>
      </c>
      <c r="H146" s="2" t="str">
        <f>IF(Source!$E146=COLUMNS($A146:H146), LEFT(H145, LEN(H145)-Source!$C146), IF(Source!$G146=COLUMNS($A146:H146), H145&amp;RIGHT(INDIRECT(ADDRESS(ROW(H146)-1, Source!$E146)), Source!$C146), H145))</f>
        <v/>
      </c>
      <c r="I146" s="2" t="str">
        <f>IF(Source!$E146=COLUMNS($A146:I146), LEFT(I145, LEN(I145)-Source!$C146), IF(Source!$G146=COLUMNS($A146:I146), I145&amp;RIGHT(INDIRECT(ADDRESS(ROW(I146)-1, Source!$E146)), Source!$C146), I145))</f>
        <v/>
      </c>
    </row>
    <row r="147">
      <c r="A147" s="2" t="str">
        <f>IF(Source!$E147=COLUMNS($A147:A147), LEFT(A146, LEN(A146)-Source!$C147), IF(Source!$G147=COLUMNS($A147:A147), A146&amp;RIGHT(INDIRECT(ADDRESS(ROW(A147)-1, Source!$E147)), Source!$C147), A146))</f>
        <v>VC</v>
      </c>
      <c r="B147" s="2" t="str">
        <f>IF(Source!$E147=COLUMNS($A147:B147), LEFT(B146, LEN(B146)-Source!$C147), IF(Source!$G147=COLUMNS($A147:B147), B146&amp;RIGHT(INDIRECT(ADDRESS(ROW(B147)-1, Source!$E147)), Source!$C147), B146))</f>
        <v>FMLWRGLZS</v>
      </c>
      <c r="C147" s="2" t="str">
        <f>IF(Source!$E147=COLUMNS($A147:C147), LEFT(C146, LEN(C146)-Source!$C147), IF(Source!$G147=COLUMNS($A147:C147), C146&amp;RIGHT(INDIRECT(ADDRESS(ROW(C147)-1, Source!$E147)), Source!$C147), C146))</f>
        <v>BGZJS</v>
      </c>
      <c r="D147" s="2" t="str">
        <f>IF(Source!$E147=COLUMNS($A147:D147), LEFT(D146, LEN(D146)-Source!$C147), IF(Source!$G147=COLUMNS($A147:D147), D146&amp;RIGHT(INDIRECT(ADDRESS(ROW(D147)-1, Source!$E147)), Source!$C147), D146))</f>
        <v/>
      </c>
      <c r="E147" s="2" t="str">
        <f>IF(Source!$E147=COLUMNS($A147:E147), LEFT(E146, LEN(E146)-Source!$C147), IF(Source!$G147=COLUMNS($A147:E147), E146&amp;RIGHT(INDIRECT(ADDRESS(ROW(E147)-1, Source!$E147)), Source!$C147), E146))</f>
        <v>BTJSMTQRQPT</v>
      </c>
      <c r="F147" s="2" t="str">
        <f>IF(Source!$E147=COLUMNS($A147:F147), LEFT(F146, LEN(F146)-Source!$C147), IF(Source!$G147=COLUMNS($A147:F147), F146&amp;RIGHT(INDIRECT(ADDRESS(ROW(F147)-1, Source!$E147)), Source!$C147), F146))</f>
        <v>DTRRFLDDD</v>
      </c>
      <c r="G147" s="2" t="str">
        <f>IF(Source!$E147=COLUMNS($A147:G147), LEFT(G146, LEN(G146)-Source!$C147), IF(Source!$G147=COLUMNS($A147:G147), G146&amp;RIGHT(INDIRECT(ADDRESS(ROW(G147)-1, Source!$E147)), Source!$C147), G146))</f>
        <v>VHSPVJTCDBZHRPCW</v>
      </c>
      <c r="H147" s="2" t="str">
        <f>IF(Source!$E147=COLUMNS($A147:H147), LEFT(H146, LEN(H146)-Source!$C147), IF(Source!$G147=COLUMNS($A147:H147), H146&amp;RIGHT(INDIRECT(ADDRESS(ROW(H147)-1, Source!$E147)), Source!$C147), H146))</f>
        <v>TMBD</v>
      </c>
      <c r="I147" s="2" t="str">
        <f>IF(Source!$E147=COLUMNS($A147:I147), LEFT(I146, LEN(I146)-Source!$C147), IF(Source!$G147=COLUMNS($A147:I147), I146&amp;RIGHT(INDIRECT(ADDRESS(ROW(I147)-1, Source!$E147)), Source!$C147), I146))</f>
        <v/>
      </c>
    </row>
    <row r="148">
      <c r="A148" s="2" t="str">
        <f>IF(Source!$E148=COLUMNS($A148:A148), LEFT(A147, LEN(A147)-Source!$C148), IF(Source!$G148=COLUMNS($A148:A148), A147&amp;RIGHT(INDIRECT(ADDRESS(ROW(A148)-1, Source!$E148)), Source!$C148), A147))</f>
        <v>VC</v>
      </c>
      <c r="B148" s="2" t="str">
        <f>IF(Source!$E148=COLUMNS($A148:B148), LEFT(B147, LEN(B147)-Source!$C148), IF(Source!$G148=COLUMNS($A148:B148), B147&amp;RIGHT(INDIRECT(ADDRESS(ROW(B148)-1, Source!$E148)), Source!$C148), B147))</f>
        <v>FMLWRGLZS</v>
      </c>
      <c r="C148" s="2" t="str">
        <f>IF(Source!$E148=COLUMNS($A148:C148), LEFT(C147, LEN(C147)-Source!$C148), IF(Source!$G148=COLUMNS($A148:C148), C147&amp;RIGHT(INDIRECT(ADDRESS(ROW(C148)-1, Source!$E148)), Source!$C148), C147))</f>
        <v>BGZJS</v>
      </c>
      <c r="D148" s="2" t="str">
        <f>IF(Source!$E148=COLUMNS($A148:D148), LEFT(D147, LEN(D147)-Source!$C148), IF(Source!$G148=COLUMNS($A148:D148), D147&amp;RIGHT(INDIRECT(ADDRESS(ROW(D148)-1, Source!$E148)), Source!$C148), D147))</f>
        <v>QRQPT</v>
      </c>
      <c r="E148" s="2" t="str">
        <f>IF(Source!$E148=COLUMNS($A148:E148), LEFT(E147, LEN(E147)-Source!$C148), IF(Source!$G148=COLUMNS($A148:E148), E147&amp;RIGHT(INDIRECT(ADDRESS(ROW(E148)-1, Source!$E148)), Source!$C148), E147))</f>
        <v>BTJSMT</v>
      </c>
      <c r="F148" s="2" t="str">
        <f>IF(Source!$E148=COLUMNS($A148:F148), LEFT(F147, LEN(F147)-Source!$C148), IF(Source!$G148=COLUMNS($A148:F148), F147&amp;RIGHT(INDIRECT(ADDRESS(ROW(F148)-1, Source!$E148)), Source!$C148), F147))</f>
        <v>DTRRFLDDD</v>
      </c>
      <c r="G148" s="2" t="str">
        <f>IF(Source!$E148=COLUMNS($A148:G148), LEFT(G147, LEN(G147)-Source!$C148), IF(Source!$G148=COLUMNS($A148:G148), G147&amp;RIGHT(INDIRECT(ADDRESS(ROW(G148)-1, Source!$E148)), Source!$C148), G147))</f>
        <v>VHSPVJTCDBZHRPCW</v>
      </c>
      <c r="H148" s="2" t="str">
        <f>IF(Source!$E148=COLUMNS($A148:H148), LEFT(H147, LEN(H147)-Source!$C148), IF(Source!$G148=COLUMNS($A148:H148), H147&amp;RIGHT(INDIRECT(ADDRESS(ROW(H148)-1, Source!$E148)), Source!$C148), H147))</f>
        <v>TMBD</v>
      </c>
      <c r="I148" s="2" t="str">
        <f>IF(Source!$E148=COLUMNS($A148:I148), LEFT(I147, LEN(I147)-Source!$C148), IF(Source!$G148=COLUMNS($A148:I148), I147&amp;RIGHT(INDIRECT(ADDRESS(ROW(I148)-1, Source!$E148)), Source!$C148), I147))</f>
        <v/>
      </c>
    </row>
    <row r="149">
      <c r="A149" s="2" t="str">
        <f>IF(Source!$E149=COLUMNS($A149:A149), LEFT(A148, LEN(A148)-Source!$C149), IF(Source!$G149=COLUMNS($A149:A149), A148&amp;RIGHT(INDIRECT(ADDRESS(ROW(A149)-1, Source!$E149)), Source!$C149), A148))</f>
        <v>VC</v>
      </c>
      <c r="B149" s="2" t="str">
        <f>IF(Source!$E149=COLUMNS($A149:B149), LEFT(B148, LEN(B148)-Source!$C149), IF(Source!$G149=COLUMNS($A149:B149), B148&amp;RIGHT(INDIRECT(ADDRESS(ROW(B149)-1, Source!$E149)), Source!$C149), B148))</f>
        <v>FMLWRGLZS</v>
      </c>
      <c r="C149" s="2" t="str">
        <f>IF(Source!$E149=COLUMNS($A149:C149), LEFT(C148, LEN(C148)-Source!$C149), IF(Source!$G149=COLUMNS($A149:C149), C148&amp;RIGHT(INDIRECT(ADDRESS(ROW(C149)-1, Source!$E149)), Source!$C149), C148))</f>
        <v>BGZJ</v>
      </c>
      <c r="D149" s="2" t="str">
        <f>IF(Source!$E149=COLUMNS($A149:D149), LEFT(D148, LEN(D148)-Source!$C149), IF(Source!$G149=COLUMNS($A149:D149), D148&amp;RIGHT(INDIRECT(ADDRESS(ROW(D149)-1, Source!$E149)), Source!$C149), D148))</f>
        <v>QRQPT</v>
      </c>
      <c r="E149" s="2" t="str">
        <f>IF(Source!$E149=COLUMNS($A149:E149), LEFT(E148, LEN(E148)-Source!$C149), IF(Source!$G149=COLUMNS($A149:E149), E148&amp;RIGHT(INDIRECT(ADDRESS(ROW(E149)-1, Source!$E149)), Source!$C149), E148))</f>
        <v>BTJSMT</v>
      </c>
      <c r="F149" s="2" t="str">
        <f>IF(Source!$E149=COLUMNS($A149:F149), LEFT(F148, LEN(F148)-Source!$C149), IF(Source!$G149=COLUMNS($A149:F149), F148&amp;RIGHT(INDIRECT(ADDRESS(ROW(F149)-1, Source!$E149)), Source!$C149), F148))</f>
        <v>DTRRFLDDD</v>
      </c>
      <c r="G149" s="2" t="str">
        <f>IF(Source!$E149=COLUMNS($A149:G149), LEFT(G148, LEN(G148)-Source!$C149), IF(Source!$G149=COLUMNS($A149:G149), G148&amp;RIGHT(INDIRECT(ADDRESS(ROW(G149)-1, Source!$E149)), Source!$C149), G148))</f>
        <v>VHSPVJTCDBZHRPCW</v>
      </c>
      <c r="H149" s="2" t="str">
        <f>IF(Source!$E149=COLUMNS($A149:H149), LEFT(H148, LEN(H148)-Source!$C149), IF(Source!$G149=COLUMNS($A149:H149), H148&amp;RIGHT(INDIRECT(ADDRESS(ROW(H149)-1, Source!$E149)), Source!$C149), H148))</f>
        <v>TMBDS</v>
      </c>
      <c r="I149" s="2" t="str">
        <f>IF(Source!$E149=COLUMNS($A149:I149), LEFT(I148, LEN(I148)-Source!$C149), IF(Source!$G149=COLUMNS($A149:I149), I148&amp;RIGHT(INDIRECT(ADDRESS(ROW(I149)-1, Source!$E149)), Source!$C149), I148))</f>
        <v/>
      </c>
    </row>
    <row r="150">
      <c r="A150" s="2" t="str">
        <f>IF(Source!$E150=COLUMNS($A150:A150), LEFT(A149, LEN(A149)-Source!$C150), IF(Source!$G150=COLUMNS($A150:A150), A149&amp;RIGHT(INDIRECT(ADDRESS(ROW(A150)-1, Source!$E150)), Source!$C150), A149))</f>
        <v/>
      </c>
      <c r="B150" s="2" t="str">
        <f>IF(Source!$E150=COLUMNS($A150:B150), LEFT(B149, LEN(B149)-Source!$C150), IF(Source!$G150=COLUMNS($A150:B150), B149&amp;RIGHT(INDIRECT(ADDRESS(ROW(B150)-1, Source!$E150)), Source!$C150), B149))</f>
        <v>FMLWRGLZS</v>
      </c>
      <c r="C150" s="2" t="str">
        <f>IF(Source!$E150=COLUMNS($A150:C150), LEFT(C149, LEN(C149)-Source!$C150), IF(Source!$G150=COLUMNS($A150:C150), C149&amp;RIGHT(INDIRECT(ADDRESS(ROW(C150)-1, Source!$E150)), Source!$C150), C149))</f>
        <v>BGZJ</v>
      </c>
      <c r="D150" s="2" t="str">
        <f>IF(Source!$E150=COLUMNS($A150:D150), LEFT(D149, LEN(D149)-Source!$C150), IF(Source!$G150=COLUMNS($A150:D150), D149&amp;RIGHT(INDIRECT(ADDRESS(ROW(D150)-1, Source!$E150)), Source!$C150), D149))</f>
        <v>QRQPT</v>
      </c>
      <c r="E150" s="2" t="str">
        <f>IF(Source!$E150=COLUMNS($A150:E150), LEFT(E149, LEN(E149)-Source!$C150), IF(Source!$G150=COLUMNS($A150:E150), E149&amp;RIGHT(INDIRECT(ADDRESS(ROW(E150)-1, Source!$E150)), Source!$C150), E149))</f>
        <v>BTJSMT</v>
      </c>
      <c r="F150" s="2" t="str">
        <f>IF(Source!$E150=COLUMNS($A150:F150), LEFT(F149, LEN(F149)-Source!$C150), IF(Source!$G150=COLUMNS($A150:F150), F149&amp;RIGHT(INDIRECT(ADDRESS(ROW(F150)-1, Source!$E150)), Source!$C150), F149))</f>
        <v>DTRRFLDDD</v>
      </c>
      <c r="G150" s="2" t="str">
        <f>IF(Source!$E150=COLUMNS($A150:G150), LEFT(G149, LEN(G149)-Source!$C150), IF(Source!$G150=COLUMNS($A150:G150), G149&amp;RIGHT(INDIRECT(ADDRESS(ROW(G150)-1, Source!$E150)), Source!$C150), G149))</f>
        <v>VHSPVJTCDBZHRPCW</v>
      </c>
      <c r="H150" s="2" t="str">
        <f>IF(Source!$E150=COLUMNS($A150:H150), LEFT(H149, LEN(H149)-Source!$C150), IF(Source!$G150=COLUMNS($A150:H150), H149&amp;RIGHT(INDIRECT(ADDRESS(ROW(H150)-1, Source!$E150)), Source!$C150), H149))</f>
        <v>TMBDSVC</v>
      </c>
      <c r="I150" s="2" t="str">
        <f>IF(Source!$E150=COLUMNS($A150:I150), LEFT(I149, LEN(I149)-Source!$C150), IF(Source!$G150=COLUMNS($A150:I150), I149&amp;RIGHT(INDIRECT(ADDRESS(ROW(I150)-1, Source!$E150)), Source!$C150), I149))</f>
        <v/>
      </c>
    </row>
    <row r="151">
      <c r="A151" s="2" t="str">
        <f>IF(Source!$E151=COLUMNS($A151:A151), LEFT(A150, LEN(A150)-Source!$C151), IF(Source!$G151=COLUMNS($A151:A151), A150&amp;RIGHT(INDIRECT(ADDRESS(ROW(A151)-1, Source!$E151)), Source!$C151), A150))</f>
        <v/>
      </c>
      <c r="B151" s="2" t="str">
        <f>IF(Source!$E151=COLUMNS($A151:B151), LEFT(B150, LEN(B150)-Source!$C151), IF(Source!$G151=COLUMNS($A151:B151), B150&amp;RIGHT(INDIRECT(ADDRESS(ROW(B151)-1, Source!$E151)), Source!$C151), B150))</f>
        <v>FMLWRGL</v>
      </c>
      <c r="C151" s="2" t="str">
        <f>IF(Source!$E151=COLUMNS($A151:C151), LEFT(C150, LEN(C150)-Source!$C151), IF(Source!$G151=COLUMNS($A151:C151), C150&amp;RIGHT(INDIRECT(ADDRESS(ROW(C151)-1, Source!$E151)), Source!$C151), C150))</f>
        <v>BGZJ</v>
      </c>
      <c r="D151" s="2" t="str">
        <f>IF(Source!$E151=COLUMNS($A151:D151), LEFT(D150, LEN(D150)-Source!$C151), IF(Source!$G151=COLUMNS($A151:D151), D150&amp;RIGHT(INDIRECT(ADDRESS(ROW(D151)-1, Source!$E151)), Source!$C151), D150))</f>
        <v>QRQPT</v>
      </c>
      <c r="E151" s="2" t="str">
        <f>IF(Source!$E151=COLUMNS($A151:E151), LEFT(E150, LEN(E150)-Source!$C151), IF(Source!$G151=COLUMNS($A151:E151), E150&amp;RIGHT(INDIRECT(ADDRESS(ROW(E151)-1, Source!$E151)), Source!$C151), E150))</f>
        <v>BTJSMTZS</v>
      </c>
      <c r="F151" s="2" t="str">
        <f>IF(Source!$E151=COLUMNS($A151:F151), LEFT(F150, LEN(F150)-Source!$C151), IF(Source!$G151=COLUMNS($A151:F151), F150&amp;RIGHT(INDIRECT(ADDRESS(ROW(F151)-1, Source!$E151)), Source!$C151), F150))</f>
        <v>DTRRFLDDD</v>
      </c>
      <c r="G151" s="2" t="str">
        <f>IF(Source!$E151=COLUMNS($A151:G151), LEFT(G150, LEN(G150)-Source!$C151), IF(Source!$G151=COLUMNS($A151:G151), G150&amp;RIGHT(INDIRECT(ADDRESS(ROW(G151)-1, Source!$E151)), Source!$C151), G150))</f>
        <v>VHSPVJTCDBZHRPCW</v>
      </c>
      <c r="H151" s="2" t="str">
        <f>IF(Source!$E151=COLUMNS($A151:H151), LEFT(H150, LEN(H150)-Source!$C151), IF(Source!$G151=COLUMNS($A151:H151), H150&amp;RIGHT(INDIRECT(ADDRESS(ROW(H151)-1, Source!$E151)), Source!$C151), H150))</f>
        <v>TMBDSVC</v>
      </c>
      <c r="I151" s="2" t="str">
        <f>IF(Source!$E151=COLUMNS($A151:I151), LEFT(I150, LEN(I150)-Source!$C151), IF(Source!$G151=COLUMNS($A151:I151), I150&amp;RIGHT(INDIRECT(ADDRESS(ROW(I151)-1, Source!$E151)), Source!$C151), I150))</f>
        <v/>
      </c>
    </row>
    <row r="152">
      <c r="A152" s="2" t="str">
        <f>IF(Source!$E152=COLUMNS($A152:A152), LEFT(A151, LEN(A151)-Source!$C152), IF(Source!$G152=COLUMNS($A152:A152), A151&amp;RIGHT(INDIRECT(ADDRESS(ROW(A152)-1, Source!$E152)), Source!$C152), A151))</f>
        <v/>
      </c>
      <c r="B152" s="2" t="str">
        <f>IF(Source!$E152=COLUMNS($A152:B152), LEFT(B151, LEN(B151)-Source!$C152), IF(Source!$G152=COLUMNS($A152:B152), B151&amp;RIGHT(INDIRECT(ADDRESS(ROW(B152)-1, Source!$E152)), Source!$C152), B151))</f>
        <v>FMLWRGL</v>
      </c>
      <c r="C152" s="2" t="str">
        <f>IF(Source!$E152=COLUMNS($A152:C152), LEFT(C151, LEN(C151)-Source!$C152), IF(Source!$G152=COLUMNS($A152:C152), C151&amp;RIGHT(INDIRECT(ADDRESS(ROW(C152)-1, Source!$E152)), Source!$C152), C151))</f>
        <v>B</v>
      </c>
      <c r="D152" s="2" t="str">
        <f>IF(Source!$E152=COLUMNS($A152:D152), LEFT(D151, LEN(D151)-Source!$C152), IF(Source!$G152=COLUMNS($A152:D152), D151&amp;RIGHT(INDIRECT(ADDRESS(ROW(D152)-1, Source!$E152)), Source!$C152), D151))</f>
        <v>QRQPT</v>
      </c>
      <c r="E152" s="2" t="str">
        <f>IF(Source!$E152=COLUMNS($A152:E152), LEFT(E151, LEN(E151)-Source!$C152), IF(Source!$G152=COLUMNS($A152:E152), E151&amp;RIGHT(INDIRECT(ADDRESS(ROW(E152)-1, Source!$E152)), Source!$C152), E151))</f>
        <v>BTJSMTZS</v>
      </c>
      <c r="F152" s="2" t="str">
        <f>IF(Source!$E152=COLUMNS($A152:F152), LEFT(F151, LEN(F151)-Source!$C152), IF(Source!$G152=COLUMNS($A152:F152), F151&amp;RIGHT(INDIRECT(ADDRESS(ROW(F152)-1, Source!$E152)), Source!$C152), F151))</f>
        <v>DTRRFLDDD</v>
      </c>
      <c r="G152" s="2" t="str">
        <f>IF(Source!$E152=COLUMNS($A152:G152), LEFT(G151, LEN(G151)-Source!$C152), IF(Source!$G152=COLUMNS($A152:G152), G151&amp;RIGHT(INDIRECT(ADDRESS(ROW(G152)-1, Source!$E152)), Source!$C152), G151))</f>
        <v>VHSPVJTCDBZHRPCW</v>
      </c>
      <c r="H152" s="2" t="str">
        <f>IF(Source!$E152=COLUMNS($A152:H152), LEFT(H151, LEN(H151)-Source!$C152), IF(Source!$G152=COLUMNS($A152:H152), H151&amp;RIGHT(INDIRECT(ADDRESS(ROW(H152)-1, Source!$E152)), Source!$C152), H151))</f>
        <v>TMBDSVCGZJ</v>
      </c>
      <c r="I152" s="2" t="str">
        <f>IF(Source!$E152=COLUMNS($A152:I152), LEFT(I151, LEN(I151)-Source!$C152), IF(Source!$G152=COLUMNS($A152:I152), I151&amp;RIGHT(INDIRECT(ADDRESS(ROW(I152)-1, Source!$E152)), Source!$C152), I151))</f>
        <v/>
      </c>
    </row>
    <row r="153">
      <c r="A153" s="2" t="str">
        <f>IF(Source!$E153=COLUMNS($A153:A153), LEFT(A152, LEN(A152)-Source!$C153), IF(Source!$G153=COLUMNS($A153:A153), A152&amp;RIGHT(INDIRECT(ADDRESS(ROW(A153)-1, Source!$E153)), Source!$C153), A152))</f>
        <v/>
      </c>
      <c r="B153" s="2" t="str">
        <f>IF(Source!$E153=COLUMNS($A153:B153), LEFT(B152, LEN(B152)-Source!$C153), IF(Source!$G153=COLUMNS($A153:B153), B152&amp;RIGHT(INDIRECT(ADDRESS(ROW(B153)-1, Source!$E153)), Source!$C153), B152))</f>
        <v>FMLWRGLSVCGZJ</v>
      </c>
      <c r="C153" s="2" t="str">
        <f>IF(Source!$E153=COLUMNS($A153:C153), LEFT(C152, LEN(C152)-Source!$C153), IF(Source!$G153=COLUMNS($A153:C153), C152&amp;RIGHT(INDIRECT(ADDRESS(ROW(C153)-1, Source!$E153)), Source!$C153), C152))</f>
        <v>B</v>
      </c>
      <c r="D153" s="2" t="str">
        <f>IF(Source!$E153=COLUMNS($A153:D153), LEFT(D152, LEN(D152)-Source!$C153), IF(Source!$G153=COLUMNS($A153:D153), D152&amp;RIGHT(INDIRECT(ADDRESS(ROW(D153)-1, Source!$E153)), Source!$C153), D152))</f>
        <v>QRQPT</v>
      </c>
      <c r="E153" s="2" t="str">
        <f>IF(Source!$E153=COLUMNS($A153:E153), LEFT(E152, LEN(E152)-Source!$C153), IF(Source!$G153=COLUMNS($A153:E153), E152&amp;RIGHT(INDIRECT(ADDRESS(ROW(E153)-1, Source!$E153)), Source!$C153), E152))</f>
        <v>BTJSMTZS</v>
      </c>
      <c r="F153" s="2" t="str">
        <f>IF(Source!$E153=COLUMNS($A153:F153), LEFT(F152, LEN(F152)-Source!$C153), IF(Source!$G153=COLUMNS($A153:F153), F152&amp;RIGHT(INDIRECT(ADDRESS(ROW(F153)-1, Source!$E153)), Source!$C153), F152))</f>
        <v>DTRRFLDDD</v>
      </c>
      <c r="G153" s="2" t="str">
        <f>IF(Source!$E153=COLUMNS($A153:G153), LEFT(G152, LEN(G152)-Source!$C153), IF(Source!$G153=COLUMNS($A153:G153), G152&amp;RIGHT(INDIRECT(ADDRESS(ROW(G153)-1, Source!$E153)), Source!$C153), G152))</f>
        <v>VHSPVJTCDBZHRPCW</v>
      </c>
      <c r="H153" s="2" t="str">
        <f>IF(Source!$E153=COLUMNS($A153:H153), LEFT(H152, LEN(H152)-Source!$C153), IF(Source!$G153=COLUMNS($A153:H153), H152&amp;RIGHT(INDIRECT(ADDRESS(ROW(H153)-1, Source!$E153)), Source!$C153), H152))</f>
        <v>TMBD</v>
      </c>
      <c r="I153" s="2" t="str">
        <f>IF(Source!$E153=COLUMNS($A153:I153), LEFT(I152, LEN(I152)-Source!$C153), IF(Source!$G153=COLUMNS($A153:I153), I152&amp;RIGHT(INDIRECT(ADDRESS(ROW(I153)-1, Source!$E153)), Source!$C153), I152))</f>
        <v/>
      </c>
    </row>
    <row r="154">
      <c r="A154" s="2" t="str">
        <f>IF(Source!$E154=COLUMNS($A154:A154), LEFT(A153, LEN(A153)-Source!$C154), IF(Source!$G154=COLUMNS($A154:A154), A153&amp;RIGHT(INDIRECT(ADDRESS(ROW(A154)-1, Source!$E154)), Source!$C154), A153))</f>
        <v/>
      </c>
      <c r="B154" s="2" t="str">
        <f>IF(Source!$E154=COLUMNS($A154:B154), LEFT(B153, LEN(B153)-Source!$C154), IF(Source!$G154=COLUMNS($A154:B154), B153&amp;RIGHT(INDIRECT(ADDRESS(ROW(B154)-1, Source!$E154)), Source!$C154), B153))</f>
        <v>FMLWRGLSVCGZJ</v>
      </c>
      <c r="C154" s="2" t="str">
        <f>IF(Source!$E154=COLUMNS($A154:C154), LEFT(C153, LEN(C153)-Source!$C154), IF(Source!$G154=COLUMNS($A154:C154), C153&amp;RIGHT(INDIRECT(ADDRESS(ROW(C154)-1, Source!$E154)), Source!$C154), C153))</f>
        <v/>
      </c>
      <c r="D154" s="2" t="str">
        <f>IF(Source!$E154=COLUMNS($A154:D154), LEFT(D153, LEN(D153)-Source!$C154), IF(Source!$G154=COLUMNS($A154:D154), D153&amp;RIGHT(INDIRECT(ADDRESS(ROW(D154)-1, Source!$E154)), Source!$C154), D153))</f>
        <v>QRQPT</v>
      </c>
      <c r="E154" s="2" t="str">
        <f>IF(Source!$E154=COLUMNS($A154:E154), LEFT(E153, LEN(E153)-Source!$C154), IF(Source!$G154=COLUMNS($A154:E154), E153&amp;RIGHT(INDIRECT(ADDRESS(ROW(E154)-1, Source!$E154)), Source!$C154), E153))</f>
        <v>BTJSMTZS</v>
      </c>
      <c r="F154" s="2" t="str">
        <f>IF(Source!$E154=COLUMNS($A154:F154), LEFT(F153, LEN(F153)-Source!$C154), IF(Source!$G154=COLUMNS($A154:F154), F153&amp;RIGHT(INDIRECT(ADDRESS(ROW(F154)-1, Source!$E154)), Source!$C154), F153))</f>
        <v>DTRRFLDDD</v>
      </c>
      <c r="G154" s="2" t="str">
        <f>IF(Source!$E154=COLUMNS($A154:G154), LEFT(G153, LEN(G153)-Source!$C154), IF(Source!$G154=COLUMNS($A154:G154), G153&amp;RIGHT(INDIRECT(ADDRESS(ROW(G154)-1, Source!$E154)), Source!$C154), G153))</f>
        <v>VHSPVJTCDBZHRPCW</v>
      </c>
      <c r="H154" s="2" t="str">
        <f>IF(Source!$E154=COLUMNS($A154:H154), LEFT(H153, LEN(H153)-Source!$C154), IF(Source!$G154=COLUMNS($A154:H154), H153&amp;RIGHT(INDIRECT(ADDRESS(ROW(H154)-1, Source!$E154)), Source!$C154), H153))</f>
        <v>TMBD</v>
      </c>
      <c r="I154" s="2" t="str">
        <f>IF(Source!$E154=COLUMNS($A154:I154), LEFT(I153, LEN(I153)-Source!$C154), IF(Source!$G154=COLUMNS($A154:I154), I153&amp;RIGHT(INDIRECT(ADDRESS(ROW(I154)-1, Source!$E154)), Source!$C154), I153))</f>
        <v>B</v>
      </c>
    </row>
    <row r="155">
      <c r="A155" s="2" t="str">
        <f>IF(Source!$E155=COLUMNS($A155:A155), LEFT(A154, LEN(A154)-Source!$C155), IF(Source!$G155=COLUMNS($A155:A155), A154&amp;RIGHT(INDIRECT(ADDRESS(ROW(A155)-1, Source!$E155)), Source!$C155), A154))</f>
        <v/>
      </c>
      <c r="B155" s="2" t="str">
        <f>IF(Source!$E155=COLUMNS($A155:B155), LEFT(B154, LEN(B154)-Source!$C155), IF(Source!$G155=COLUMNS($A155:B155), B154&amp;RIGHT(INDIRECT(ADDRESS(ROW(B155)-1, Source!$E155)), Source!$C155), B154))</f>
        <v>FMLWRGLSVCGZJ</v>
      </c>
      <c r="C155" s="2" t="str">
        <f>IF(Source!$E155=COLUMNS($A155:C155), LEFT(C154, LEN(C154)-Source!$C155), IF(Source!$G155=COLUMNS($A155:C155), C154&amp;RIGHT(INDIRECT(ADDRESS(ROW(C155)-1, Source!$E155)), Source!$C155), C154))</f>
        <v>D</v>
      </c>
      <c r="D155" s="2" t="str">
        <f>IF(Source!$E155=COLUMNS($A155:D155), LEFT(D154, LEN(D154)-Source!$C155), IF(Source!$G155=COLUMNS($A155:D155), D154&amp;RIGHT(INDIRECT(ADDRESS(ROW(D155)-1, Source!$E155)), Source!$C155), D154))</f>
        <v>QRQPT</v>
      </c>
      <c r="E155" s="2" t="str">
        <f>IF(Source!$E155=COLUMNS($A155:E155), LEFT(E154, LEN(E154)-Source!$C155), IF(Source!$G155=COLUMNS($A155:E155), E154&amp;RIGHT(INDIRECT(ADDRESS(ROW(E155)-1, Source!$E155)), Source!$C155), E154))</f>
        <v>BTJSMTZS</v>
      </c>
      <c r="F155" s="2" t="str">
        <f>IF(Source!$E155=COLUMNS($A155:F155), LEFT(F154, LEN(F154)-Source!$C155), IF(Source!$G155=COLUMNS($A155:F155), F154&amp;RIGHT(INDIRECT(ADDRESS(ROW(F155)-1, Source!$E155)), Source!$C155), F154))</f>
        <v>DTRRFLDD</v>
      </c>
      <c r="G155" s="2" t="str">
        <f>IF(Source!$E155=COLUMNS($A155:G155), LEFT(G154, LEN(G154)-Source!$C155), IF(Source!$G155=COLUMNS($A155:G155), G154&amp;RIGHT(INDIRECT(ADDRESS(ROW(G155)-1, Source!$E155)), Source!$C155), G154))</f>
        <v>VHSPVJTCDBZHRPCW</v>
      </c>
      <c r="H155" s="2" t="str">
        <f>IF(Source!$E155=COLUMNS($A155:H155), LEFT(H154, LEN(H154)-Source!$C155), IF(Source!$G155=COLUMNS($A155:H155), H154&amp;RIGHT(INDIRECT(ADDRESS(ROW(H155)-1, Source!$E155)), Source!$C155), H154))</f>
        <v>TMBD</v>
      </c>
      <c r="I155" s="2" t="str">
        <f>IF(Source!$E155=COLUMNS($A155:I155), LEFT(I154, LEN(I154)-Source!$C155), IF(Source!$G155=COLUMNS($A155:I155), I154&amp;RIGHT(INDIRECT(ADDRESS(ROW(I155)-1, Source!$E155)), Source!$C155), I154))</f>
        <v>B</v>
      </c>
    </row>
    <row r="156">
      <c r="A156" s="2" t="str">
        <f>IF(Source!$E156=COLUMNS($A156:A156), LEFT(A155, LEN(A155)-Source!$C156), IF(Source!$G156=COLUMNS($A156:A156), A155&amp;RIGHT(INDIRECT(ADDRESS(ROW(A156)-1, Source!$E156)), Source!$C156), A155))</f>
        <v/>
      </c>
      <c r="B156" s="2" t="str">
        <f>IF(Source!$E156=COLUMNS($A156:B156), LEFT(B155, LEN(B155)-Source!$C156), IF(Source!$G156=COLUMNS($A156:B156), B155&amp;RIGHT(INDIRECT(ADDRESS(ROW(B156)-1, Source!$E156)), Source!$C156), B155))</f>
        <v>FMLWRGL</v>
      </c>
      <c r="C156" s="2" t="str">
        <f>IF(Source!$E156=COLUMNS($A156:C156), LEFT(C155, LEN(C155)-Source!$C156), IF(Source!$G156=COLUMNS($A156:C156), C155&amp;RIGHT(INDIRECT(ADDRESS(ROW(C156)-1, Source!$E156)), Source!$C156), C155))</f>
        <v>D</v>
      </c>
      <c r="D156" s="2" t="str">
        <f>IF(Source!$E156=COLUMNS($A156:D156), LEFT(D155, LEN(D155)-Source!$C156), IF(Source!$G156=COLUMNS($A156:D156), D155&amp;RIGHT(INDIRECT(ADDRESS(ROW(D156)-1, Source!$E156)), Source!$C156), D155))</f>
        <v>QRQPT</v>
      </c>
      <c r="E156" s="2" t="str">
        <f>IF(Source!$E156=COLUMNS($A156:E156), LEFT(E155, LEN(E155)-Source!$C156), IF(Source!$G156=COLUMNS($A156:E156), E155&amp;RIGHT(INDIRECT(ADDRESS(ROW(E156)-1, Source!$E156)), Source!$C156), E155))</f>
        <v>BTJSMTZS</v>
      </c>
      <c r="F156" s="2" t="str">
        <f>IF(Source!$E156=COLUMNS($A156:F156), LEFT(F155, LEN(F155)-Source!$C156), IF(Source!$G156=COLUMNS($A156:F156), F155&amp;RIGHT(INDIRECT(ADDRESS(ROW(F156)-1, Source!$E156)), Source!$C156), F155))</f>
        <v>DTRRFLDD</v>
      </c>
      <c r="G156" s="2" t="str">
        <f>IF(Source!$E156=COLUMNS($A156:G156), LEFT(G155, LEN(G155)-Source!$C156), IF(Source!$G156=COLUMNS($A156:G156), G155&amp;RIGHT(INDIRECT(ADDRESS(ROW(G156)-1, Source!$E156)), Source!$C156), G155))</f>
        <v>VHSPVJTCDBZHRPCW</v>
      </c>
      <c r="H156" s="2" t="str">
        <f>IF(Source!$E156=COLUMNS($A156:H156), LEFT(H155, LEN(H155)-Source!$C156), IF(Source!$G156=COLUMNS($A156:H156), H155&amp;RIGHT(INDIRECT(ADDRESS(ROW(H156)-1, Source!$E156)), Source!$C156), H155))</f>
        <v>TMBDSVCGZJ</v>
      </c>
      <c r="I156" s="2" t="str">
        <f>IF(Source!$E156=COLUMNS($A156:I156), LEFT(I155, LEN(I155)-Source!$C156), IF(Source!$G156=COLUMNS($A156:I156), I155&amp;RIGHT(INDIRECT(ADDRESS(ROW(I156)-1, Source!$E156)), Source!$C156), I155))</f>
        <v>B</v>
      </c>
    </row>
    <row r="157">
      <c r="A157" s="2" t="str">
        <f>IF(Source!$E157=COLUMNS($A157:A157), LEFT(A156, LEN(A156)-Source!$C157), IF(Source!$G157=COLUMNS($A157:A157), A156&amp;RIGHT(INDIRECT(ADDRESS(ROW(A157)-1, Source!$E157)), Source!$C157), A156))</f>
        <v/>
      </c>
      <c r="B157" s="2" t="str">
        <f>IF(Source!$E157=COLUMNS($A157:B157), LEFT(B156, LEN(B156)-Source!$C157), IF(Source!$G157=COLUMNS($A157:B157), B156&amp;RIGHT(INDIRECT(ADDRESS(ROW(B157)-1, Source!$E157)), Source!$C157), B156))</f>
        <v>FMLWRGL</v>
      </c>
      <c r="C157" s="2" t="str">
        <f>IF(Source!$E157=COLUMNS($A157:C157), LEFT(C156, LEN(C156)-Source!$C157), IF(Source!$G157=COLUMNS($A157:C157), C156&amp;RIGHT(INDIRECT(ADDRESS(ROW(C157)-1, Source!$E157)), Source!$C157), C156))</f>
        <v>D</v>
      </c>
      <c r="D157" s="2" t="str">
        <f>IF(Source!$E157=COLUMNS($A157:D157), LEFT(D156, LEN(D156)-Source!$C157), IF(Source!$G157=COLUMNS($A157:D157), D156&amp;RIGHT(INDIRECT(ADDRESS(ROW(D157)-1, Source!$E157)), Source!$C157), D156))</f>
        <v>QRQPTDSVCGZJ</v>
      </c>
      <c r="E157" s="2" t="str">
        <f>IF(Source!$E157=COLUMNS($A157:E157), LEFT(E156, LEN(E156)-Source!$C157), IF(Source!$G157=COLUMNS($A157:E157), E156&amp;RIGHT(INDIRECT(ADDRESS(ROW(E157)-1, Source!$E157)), Source!$C157), E156))</f>
        <v>BTJSMTZS</v>
      </c>
      <c r="F157" s="2" t="str">
        <f>IF(Source!$E157=COLUMNS($A157:F157), LEFT(F156, LEN(F156)-Source!$C157), IF(Source!$G157=COLUMNS($A157:F157), F156&amp;RIGHT(INDIRECT(ADDRESS(ROW(F157)-1, Source!$E157)), Source!$C157), F156))</f>
        <v>DTRRFLDD</v>
      </c>
      <c r="G157" s="2" t="str">
        <f>IF(Source!$E157=COLUMNS($A157:G157), LEFT(G156, LEN(G156)-Source!$C157), IF(Source!$G157=COLUMNS($A157:G157), G156&amp;RIGHT(INDIRECT(ADDRESS(ROW(G157)-1, Source!$E157)), Source!$C157), G156))</f>
        <v>VHSPVJTCDBZHRPCW</v>
      </c>
      <c r="H157" s="2" t="str">
        <f>IF(Source!$E157=COLUMNS($A157:H157), LEFT(H156, LEN(H156)-Source!$C157), IF(Source!$G157=COLUMNS($A157:H157), H156&amp;RIGHT(INDIRECT(ADDRESS(ROW(H157)-1, Source!$E157)), Source!$C157), H156))</f>
        <v>TMB</v>
      </c>
      <c r="I157" s="2" t="str">
        <f>IF(Source!$E157=COLUMNS($A157:I157), LEFT(I156, LEN(I156)-Source!$C157), IF(Source!$G157=COLUMNS($A157:I157), I156&amp;RIGHT(INDIRECT(ADDRESS(ROW(I157)-1, Source!$E157)), Source!$C157), I156))</f>
        <v>B</v>
      </c>
    </row>
    <row r="158">
      <c r="A158" s="2" t="str">
        <f>IF(Source!$E158=COLUMNS($A158:A158), LEFT(A157, LEN(A157)-Source!$C158), IF(Source!$G158=COLUMNS($A158:A158), A157&amp;RIGHT(INDIRECT(ADDRESS(ROW(A158)-1, Source!$E158)), Source!$C158), A157))</f>
        <v/>
      </c>
      <c r="B158" s="2" t="str">
        <f>IF(Source!$E158=COLUMNS($A158:B158), LEFT(B157, LEN(B157)-Source!$C158), IF(Source!$G158=COLUMNS($A158:B158), B157&amp;RIGHT(INDIRECT(ADDRESS(ROW(B158)-1, Source!$E158)), Source!$C158), B157))</f>
        <v>FMLWRGLBTJSMTZS</v>
      </c>
      <c r="C158" s="2" t="str">
        <f>IF(Source!$E158=COLUMNS($A158:C158), LEFT(C157, LEN(C157)-Source!$C158), IF(Source!$G158=COLUMNS($A158:C158), C157&amp;RIGHT(INDIRECT(ADDRESS(ROW(C158)-1, Source!$E158)), Source!$C158), C157))</f>
        <v>D</v>
      </c>
      <c r="D158" s="2" t="str">
        <f>IF(Source!$E158=COLUMNS($A158:D158), LEFT(D157, LEN(D157)-Source!$C158), IF(Source!$G158=COLUMNS($A158:D158), D157&amp;RIGHT(INDIRECT(ADDRESS(ROW(D158)-1, Source!$E158)), Source!$C158), D157))</f>
        <v>QRQPTDSVCGZJ</v>
      </c>
      <c r="E158" s="2" t="str">
        <f>IF(Source!$E158=COLUMNS($A158:E158), LEFT(E157, LEN(E157)-Source!$C158), IF(Source!$G158=COLUMNS($A158:E158), E157&amp;RIGHT(INDIRECT(ADDRESS(ROW(E158)-1, Source!$E158)), Source!$C158), E157))</f>
        <v/>
      </c>
      <c r="F158" s="2" t="str">
        <f>IF(Source!$E158=COLUMNS($A158:F158), LEFT(F157, LEN(F157)-Source!$C158), IF(Source!$G158=COLUMNS($A158:F158), F157&amp;RIGHT(INDIRECT(ADDRESS(ROW(F158)-1, Source!$E158)), Source!$C158), F157))</f>
        <v>DTRRFLDD</v>
      </c>
      <c r="G158" s="2" t="str">
        <f>IF(Source!$E158=COLUMNS($A158:G158), LEFT(G157, LEN(G157)-Source!$C158), IF(Source!$G158=COLUMNS($A158:G158), G157&amp;RIGHT(INDIRECT(ADDRESS(ROW(G158)-1, Source!$E158)), Source!$C158), G157))</f>
        <v>VHSPVJTCDBZHRPCW</v>
      </c>
      <c r="H158" s="2" t="str">
        <f>IF(Source!$E158=COLUMNS($A158:H158), LEFT(H157, LEN(H157)-Source!$C158), IF(Source!$G158=COLUMNS($A158:H158), H157&amp;RIGHT(INDIRECT(ADDRESS(ROW(H158)-1, Source!$E158)), Source!$C158), H157))</f>
        <v>TMB</v>
      </c>
      <c r="I158" s="2" t="str">
        <f>IF(Source!$E158=COLUMNS($A158:I158), LEFT(I157, LEN(I157)-Source!$C158), IF(Source!$G158=COLUMNS($A158:I158), I157&amp;RIGHT(INDIRECT(ADDRESS(ROW(I158)-1, Source!$E158)), Source!$C158), I157))</f>
        <v>B</v>
      </c>
    </row>
    <row r="159">
      <c r="A159" s="2" t="str">
        <f>IF(Source!$E159=COLUMNS($A159:A159), LEFT(A158, LEN(A158)-Source!$C159), IF(Source!$G159=COLUMNS($A159:A159), A158&amp;RIGHT(INDIRECT(ADDRESS(ROW(A159)-1, Source!$E159)), Source!$C159), A158))</f>
        <v/>
      </c>
      <c r="B159" s="2" t="str">
        <f>IF(Source!$E159=COLUMNS($A159:B159), LEFT(B158, LEN(B158)-Source!$C159), IF(Source!$G159=COLUMNS($A159:B159), B158&amp;RIGHT(INDIRECT(ADDRESS(ROW(B159)-1, Source!$E159)), Source!$C159), B158))</f>
        <v>FMLWRGLBTJSMTZS</v>
      </c>
      <c r="C159" s="2" t="str">
        <f>IF(Source!$E159=COLUMNS($A159:C159), LEFT(C158, LEN(C158)-Source!$C159), IF(Source!$G159=COLUMNS($A159:C159), C158&amp;RIGHT(INDIRECT(ADDRESS(ROW(C159)-1, Source!$E159)), Source!$C159), C158))</f>
        <v>D</v>
      </c>
      <c r="D159" s="2" t="str">
        <f>IF(Source!$E159=COLUMNS($A159:D159), LEFT(D158, LEN(D158)-Source!$C159), IF(Source!$G159=COLUMNS($A159:D159), D158&amp;RIGHT(INDIRECT(ADDRESS(ROW(D159)-1, Source!$E159)), Source!$C159), D158))</f>
        <v>QRQPTDS</v>
      </c>
      <c r="E159" s="2" t="str">
        <f>IF(Source!$E159=COLUMNS($A159:E159), LEFT(E158, LEN(E158)-Source!$C159), IF(Source!$G159=COLUMNS($A159:E159), E158&amp;RIGHT(INDIRECT(ADDRESS(ROW(E159)-1, Source!$E159)), Source!$C159), E158))</f>
        <v/>
      </c>
      <c r="F159" s="2" t="str">
        <f>IF(Source!$E159=COLUMNS($A159:F159), LEFT(F158, LEN(F158)-Source!$C159), IF(Source!$G159=COLUMNS($A159:F159), F158&amp;RIGHT(INDIRECT(ADDRESS(ROW(F159)-1, Source!$E159)), Source!$C159), F158))</f>
        <v>DTRRFLDDVCGZJ</v>
      </c>
      <c r="G159" s="2" t="str">
        <f>IF(Source!$E159=COLUMNS($A159:G159), LEFT(G158, LEN(G158)-Source!$C159), IF(Source!$G159=COLUMNS($A159:G159), G158&amp;RIGHT(INDIRECT(ADDRESS(ROW(G159)-1, Source!$E159)), Source!$C159), G158))</f>
        <v>VHSPVJTCDBZHRPCW</v>
      </c>
      <c r="H159" s="2" t="str">
        <f>IF(Source!$E159=COLUMNS($A159:H159), LEFT(H158, LEN(H158)-Source!$C159), IF(Source!$G159=COLUMNS($A159:H159), H158&amp;RIGHT(INDIRECT(ADDRESS(ROW(H159)-1, Source!$E159)), Source!$C159), H158))</f>
        <v>TMB</v>
      </c>
      <c r="I159" s="2" t="str">
        <f>IF(Source!$E159=COLUMNS($A159:I159), LEFT(I158, LEN(I158)-Source!$C159), IF(Source!$G159=COLUMNS($A159:I159), I158&amp;RIGHT(INDIRECT(ADDRESS(ROW(I159)-1, Source!$E159)), Source!$C159), I158))</f>
        <v>B</v>
      </c>
    </row>
    <row r="160">
      <c r="A160" s="2" t="str">
        <f>IF(Source!$E160=COLUMNS($A160:A160), LEFT(A159, LEN(A159)-Source!$C160), IF(Source!$G160=COLUMNS($A160:A160), A159&amp;RIGHT(INDIRECT(ADDRESS(ROW(A160)-1, Source!$E160)), Source!$C160), A159))</f>
        <v/>
      </c>
      <c r="B160" s="2" t="str">
        <f>IF(Source!$E160=COLUMNS($A160:B160), LEFT(B159, LEN(B159)-Source!$C160), IF(Source!$G160=COLUMNS($A160:B160), B159&amp;RIGHT(INDIRECT(ADDRESS(ROW(B160)-1, Source!$E160)), Source!$C160), B159))</f>
        <v>FMLWRGLBTJSMTZS</v>
      </c>
      <c r="C160" s="2" t="str">
        <f>IF(Source!$E160=COLUMNS($A160:C160), LEFT(C159, LEN(C159)-Source!$C160), IF(Source!$G160=COLUMNS($A160:C160), C159&amp;RIGHT(INDIRECT(ADDRESS(ROW(C160)-1, Source!$E160)), Source!$C160), C159))</f>
        <v>DMB</v>
      </c>
      <c r="D160" s="2" t="str">
        <f>IF(Source!$E160=COLUMNS($A160:D160), LEFT(D159, LEN(D159)-Source!$C160), IF(Source!$G160=COLUMNS($A160:D160), D159&amp;RIGHT(INDIRECT(ADDRESS(ROW(D160)-1, Source!$E160)), Source!$C160), D159))</f>
        <v>QRQPTDS</v>
      </c>
      <c r="E160" s="2" t="str">
        <f>IF(Source!$E160=COLUMNS($A160:E160), LEFT(E159, LEN(E159)-Source!$C160), IF(Source!$G160=COLUMNS($A160:E160), E159&amp;RIGHT(INDIRECT(ADDRESS(ROW(E160)-1, Source!$E160)), Source!$C160), E159))</f>
        <v/>
      </c>
      <c r="F160" s="2" t="str">
        <f>IF(Source!$E160=COLUMNS($A160:F160), LEFT(F159, LEN(F159)-Source!$C160), IF(Source!$G160=COLUMNS($A160:F160), F159&amp;RIGHT(INDIRECT(ADDRESS(ROW(F160)-1, Source!$E160)), Source!$C160), F159))</f>
        <v>DTRRFLDDVCGZJ</v>
      </c>
      <c r="G160" s="2" t="str">
        <f>IF(Source!$E160=COLUMNS($A160:G160), LEFT(G159, LEN(G159)-Source!$C160), IF(Source!$G160=COLUMNS($A160:G160), G159&amp;RIGHT(INDIRECT(ADDRESS(ROW(G160)-1, Source!$E160)), Source!$C160), G159))</f>
        <v>VHSPVJTCDBZHRPCW</v>
      </c>
      <c r="H160" s="2" t="str">
        <f>IF(Source!$E160=COLUMNS($A160:H160), LEFT(H159, LEN(H159)-Source!$C160), IF(Source!$G160=COLUMNS($A160:H160), H159&amp;RIGHT(INDIRECT(ADDRESS(ROW(H160)-1, Source!$E160)), Source!$C160), H159))</f>
        <v>T</v>
      </c>
      <c r="I160" s="2" t="str">
        <f>IF(Source!$E160=COLUMNS($A160:I160), LEFT(I159, LEN(I159)-Source!$C160), IF(Source!$G160=COLUMNS($A160:I160), I159&amp;RIGHT(INDIRECT(ADDRESS(ROW(I160)-1, Source!$E160)), Source!$C160), I159))</f>
        <v>B</v>
      </c>
    </row>
    <row r="161">
      <c r="A161" s="2" t="str">
        <f>IF(Source!$E161=COLUMNS($A161:A161), LEFT(A160, LEN(A160)-Source!$C161), IF(Source!$G161=COLUMNS($A161:A161), A160&amp;RIGHT(INDIRECT(ADDRESS(ROW(A161)-1, Source!$E161)), Source!$C161), A160))</f>
        <v/>
      </c>
      <c r="B161" s="2" t="str">
        <f>IF(Source!$E161=COLUMNS($A161:B161), LEFT(B160, LEN(B160)-Source!$C161), IF(Source!$G161=COLUMNS($A161:B161), B160&amp;RIGHT(INDIRECT(ADDRESS(ROW(B161)-1, Source!$E161)), Source!$C161), B160))</f>
        <v>FMLWRGLBTJSMTZS</v>
      </c>
      <c r="C161" s="2" t="str">
        <f>IF(Source!$E161=COLUMNS($A161:C161), LEFT(C160, LEN(C160)-Source!$C161), IF(Source!$G161=COLUMNS($A161:C161), C160&amp;RIGHT(INDIRECT(ADDRESS(ROW(C161)-1, Source!$E161)), Source!$C161), C160))</f>
        <v>D</v>
      </c>
      <c r="D161" s="2" t="str">
        <f>IF(Source!$E161=COLUMNS($A161:D161), LEFT(D160, LEN(D160)-Source!$C161), IF(Source!$G161=COLUMNS($A161:D161), D160&amp;RIGHT(INDIRECT(ADDRESS(ROW(D161)-1, Source!$E161)), Source!$C161), D160))</f>
        <v>QRQPTDS</v>
      </c>
      <c r="E161" s="2" t="str">
        <f>IF(Source!$E161=COLUMNS($A161:E161), LEFT(E160, LEN(E160)-Source!$C161), IF(Source!$G161=COLUMNS($A161:E161), E160&amp;RIGHT(INDIRECT(ADDRESS(ROW(E161)-1, Source!$E161)), Source!$C161), E160))</f>
        <v/>
      </c>
      <c r="F161" s="2" t="str">
        <f>IF(Source!$E161=COLUMNS($A161:F161), LEFT(F160, LEN(F160)-Source!$C161), IF(Source!$G161=COLUMNS($A161:F161), F160&amp;RIGHT(INDIRECT(ADDRESS(ROW(F161)-1, Source!$E161)), Source!$C161), F160))</f>
        <v>DTRRFLDDVCGZJ</v>
      </c>
      <c r="G161" s="2" t="str">
        <f>IF(Source!$E161=COLUMNS($A161:G161), LEFT(G160, LEN(G160)-Source!$C161), IF(Source!$G161=COLUMNS($A161:G161), G160&amp;RIGHT(INDIRECT(ADDRESS(ROW(G161)-1, Source!$E161)), Source!$C161), G160))</f>
        <v>VHSPVJTCDBZHRPCW</v>
      </c>
      <c r="H161" s="2" t="str">
        <f>IF(Source!$E161=COLUMNS($A161:H161), LEFT(H160, LEN(H160)-Source!$C161), IF(Source!$G161=COLUMNS($A161:H161), H160&amp;RIGHT(INDIRECT(ADDRESS(ROW(H161)-1, Source!$E161)), Source!$C161), H160))</f>
        <v>T</v>
      </c>
      <c r="I161" s="2" t="str">
        <f>IF(Source!$E161=COLUMNS($A161:I161), LEFT(I160, LEN(I160)-Source!$C161), IF(Source!$G161=COLUMNS($A161:I161), I160&amp;RIGHT(INDIRECT(ADDRESS(ROW(I161)-1, Source!$E161)), Source!$C161), I160))</f>
        <v>BMB</v>
      </c>
    </row>
    <row r="162">
      <c r="A162" s="2" t="str">
        <f>IF(Source!$E162=COLUMNS($A162:A162), LEFT(A161, LEN(A161)-Source!$C162), IF(Source!$G162=COLUMNS($A162:A162), A161&amp;RIGHT(INDIRECT(ADDRESS(ROW(A162)-1, Source!$E162)), Source!$C162), A161))</f>
        <v/>
      </c>
      <c r="B162" s="2" t="str">
        <f>IF(Source!$E162=COLUMNS($A162:B162), LEFT(B161, LEN(B161)-Source!$C162), IF(Source!$G162=COLUMNS($A162:B162), B161&amp;RIGHT(INDIRECT(ADDRESS(ROW(B162)-1, Source!$E162)), Source!$C162), B161))</f>
        <v>FMLWRGLBTJSMTZS</v>
      </c>
      <c r="C162" s="2" t="str">
        <f>IF(Source!$E162=COLUMNS($A162:C162), LEFT(C161, LEN(C161)-Source!$C162), IF(Source!$G162=COLUMNS($A162:C162), C161&amp;RIGHT(INDIRECT(ADDRESS(ROW(C162)-1, Source!$E162)), Source!$C162), C161))</f>
        <v/>
      </c>
      <c r="D162" s="2" t="str">
        <f>IF(Source!$E162=COLUMNS($A162:D162), LEFT(D161, LEN(D161)-Source!$C162), IF(Source!$G162=COLUMNS($A162:D162), D161&amp;RIGHT(INDIRECT(ADDRESS(ROW(D162)-1, Source!$E162)), Source!$C162), D161))</f>
        <v>QRQPTDS</v>
      </c>
      <c r="E162" s="2" t="str">
        <f>IF(Source!$E162=COLUMNS($A162:E162), LEFT(E161, LEN(E161)-Source!$C162), IF(Source!$G162=COLUMNS($A162:E162), E161&amp;RIGHT(INDIRECT(ADDRESS(ROW(E162)-1, Source!$E162)), Source!$C162), E161))</f>
        <v/>
      </c>
      <c r="F162" s="2" t="str">
        <f>IF(Source!$E162=COLUMNS($A162:F162), LEFT(F161, LEN(F161)-Source!$C162), IF(Source!$G162=COLUMNS($A162:F162), F161&amp;RIGHT(INDIRECT(ADDRESS(ROW(F162)-1, Source!$E162)), Source!$C162), F161))</f>
        <v>DTRRFLDDVCGZJ</v>
      </c>
      <c r="G162" s="2" t="str">
        <f>IF(Source!$E162=COLUMNS($A162:G162), LEFT(G161, LEN(G161)-Source!$C162), IF(Source!$G162=COLUMNS($A162:G162), G161&amp;RIGHT(INDIRECT(ADDRESS(ROW(G162)-1, Source!$E162)), Source!$C162), G161))</f>
        <v>VHSPVJTCDBZHRPCW</v>
      </c>
      <c r="H162" s="2" t="str">
        <f>IF(Source!$E162=COLUMNS($A162:H162), LEFT(H161, LEN(H161)-Source!$C162), IF(Source!$G162=COLUMNS($A162:H162), H161&amp;RIGHT(INDIRECT(ADDRESS(ROW(H162)-1, Source!$E162)), Source!$C162), H161))</f>
        <v>T</v>
      </c>
      <c r="I162" s="2" t="str">
        <f>IF(Source!$E162=COLUMNS($A162:I162), LEFT(I161, LEN(I161)-Source!$C162), IF(Source!$G162=COLUMNS($A162:I162), I161&amp;RIGHT(INDIRECT(ADDRESS(ROW(I162)-1, Source!$E162)), Source!$C162), I161))</f>
        <v>BMBD</v>
      </c>
    </row>
    <row r="163">
      <c r="A163" s="2" t="str">
        <f>IF(Source!$E163=COLUMNS($A163:A163), LEFT(A162, LEN(A162)-Source!$C163), IF(Source!$G163=COLUMNS($A163:A163), A162&amp;RIGHT(INDIRECT(ADDRESS(ROW(A163)-1, Source!$E163)), Source!$C163), A162))</f>
        <v>CW</v>
      </c>
      <c r="B163" s="2" t="str">
        <f>IF(Source!$E163=COLUMNS($A163:B163), LEFT(B162, LEN(B162)-Source!$C163), IF(Source!$G163=COLUMNS($A163:B163), B162&amp;RIGHT(INDIRECT(ADDRESS(ROW(B163)-1, Source!$E163)), Source!$C163), B162))</f>
        <v>FMLWRGLBTJSMTZS</v>
      </c>
      <c r="C163" s="2" t="str">
        <f>IF(Source!$E163=COLUMNS($A163:C163), LEFT(C162, LEN(C162)-Source!$C163), IF(Source!$G163=COLUMNS($A163:C163), C162&amp;RIGHT(INDIRECT(ADDRESS(ROW(C163)-1, Source!$E163)), Source!$C163), C162))</f>
        <v/>
      </c>
      <c r="D163" s="2" t="str">
        <f>IF(Source!$E163=COLUMNS($A163:D163), LEFT(D162, LEN(D162)-Source!$C163), IF(Source!$G163=COLUMNS($A163:D163), D162&amp;RIGHT(INDIRECT(ADDRESS(ROW(D163)-1, Source!$E163)), Source!$C163), D162))</f>
        <v>QRQPTDS</v>
      </c>
      <c r="E163" s="2" t="str">
        <f>IF(Source!$E163=COLUMNS($A163:E163), LEFT(E162, LEN(E162)-Source!$C163), IF(Source!$G163=COLUMNS($A163:E163), E162&amp;RIGHT(INDIRECT(ADDRESS(ROW(E163)-1, Source!$E163)), Source!$C163), E162))</f>
        <v/>
      </c>
      <c r="F163" s="2" t="str">
        <f>IF(Source!$E163=COLUMNS($A163:F163), LEFT(F162, LEN(F162)-Source!$C163), IF(Source!$G163=COLUMNS($A163:F163), F162&amp;RIGHT(INDIRECT(ADDRESS(ROW(F163)-1, Source!$E163)), Source!$C163), F162))</f>
        <v>DTRRFLDDVCGZJ</v>
      </c>
      <c r="G163" s="2" t="str">
        <f>IF(Source!$E163=COLUMNS($A163:G163), LEFT(G162, LEN(G162)-Source!$C163), IF(Source!$G163=COLUMNS($A163:G163), G162&amp;RIGHT(INDIRECT(ADDRESS(ROW(G163)-1, Source!$E163)), Source!$C163), G162))</f>
        <v>VHSPVJTCDBZHRP</v>
      </c>
      <c r="H163" s="2" t="str">
        <f>IF(Source!$E163=COLUMNS($A163:H163), LEFT(H162, LEN(H162)-Source!$C163), IF(Source!$G163=COLUMNS($A163:H163), H162&amp;RIGHT(INDIRECT(ADDRESS(ROW(H163)-1, Source!$E163)), Source!$C163), H162))</f>
        <v>T</v>
      </c>
      <c r="I163" s="2" t="str">
        <f>IF(Source!$E163=COLUMNS($A163:I163), LEFT(I162, LEN(I162)-Source!$C163), IF(Source!$G163=COLUMNS($A163:I163), I162&amp;RIGHT(INDIRECT(ADDRESS(ROW(I163)-1, Source!$E163)), Source!$C163), I162))</f>
        <v>BMBD</v>
      </c>
    </row>
    <row r="164">
      <c r="A164" s="2" t="str">
        <f>IF(Source!$E164=COLUMNS($A164:A164), LEFT(A163, LEN(A163)-Source!$C164), IF(Source!$G164=COLUMNS($A164:A164), A163&amp;RIGHT(INDIRECT(ADDRESS(ROW(A164)-1, Source!$E164)), Source!$C164), A163))</f>
        <v/>
      </c>
      <c r="B164" s="2" t="str">
        <f>IF(Source!$E164=COLUMNS($A164:B164), LEFT(B163, LEN(B163)-Source!$C164), IF(Source!$G164=COLUMNS($A164:B164), B163&amp;RIGHT(INDIRECT(ADDRESS(ROW(B164)-1, Source!$E164)), Source!$C164), B163))</f>
        <v>FMLWRGLBTJSMTZSCW</v>
      </c>
      <c r="C164" s="2" t="str">
        <f>IF(Source!$E164=COLUMNS($A164:C164), LEFT(C163, LEN(C163)-Source!$C164), IF(Source!$G164=COLUMNS($A164:C164), C163&amp;RIGHT(INDIRECT(ADDRESS(ROW(C164)-1, Source!$E164)), Source!$C164), C163))</f>
        <v/>
      </c>
      <c r="D164" s="2" t="str">
        <f>IF(Source!$E164=COLUMNS($A164:D164), LEFT(D163, LEN(D163)-Source!$C164), IF(Source!$G164=COLUMNS($A164:D164), D163&amp;RIGHT(INDIRECT(ADDRESS(ROW(D164)-1, Source!$E164)), Source!$C164), D163))</f>
        <v>QRQPTDS</v>
      </c>
      <c r="E164" s="2" t="str">
        <f>IF(Source!$E164=COLUMNS($A164:E164), LEFT(E163, LEN(E163)-Source!$C164), IF(Source!$G164=COLUMNS($A164:E164), E163&amp;RIGHT(INDIRECT(ADDRESS(ROW(E164)-1, Source!$E164)), Source!$C164), E163))</f>
        <v/>
      </c>
      <c r="F164" s="2" t="str">
        <f>IF(Source!$E164=COLUMNS($A164:F164), LEFT(F163, LEN(F163)-Source!$C164), IF(Source!$G164=COLUMNS($A164:F164), F163&amp;RIGHT(INDIRECT(ADDRESS(ROW(F164)-1, Source!$E164)), Source!$C164), F163))</f>
        <v>DTRRFLDDVCGZJ</v>
      </c>
      <c r="G164" s="2" t="str">
        <f>IF(Source!$E164=COLUMNS($A164:G164), LEFT(G163, LEN(G163)-Source!$C164), IF(Source!$G164=COLUMNS($A164:G164), G163&amp;RIGHT(INDIRECT(ADDRESS(ROW(G164)-1, Source!$E164)), Source!$C164), G163))</f>
        <v>VHSPVJTCDBZHRP</v>
      </c>
      <c r="H164" s="2" t="str">
        <f>IF(Source!$E164=COLUMNS($A164:H164), LEFT(H163, LEN(H163)-Source!$C164), IF(Source!$G164=COLUMNS($A164:H164), H163&amp;RIGHT(INDIRECT(ADDRESS(ROW(H164)-1, Source!$E164)), Source!$C164), H163))</f>
        <v>T</v>
      </c>
      <c r="I164" s="2" t="str">
        <f>IF(Source!$E164=COLUMNS($A164:I164), LEFT(I163, LEN(I163)-Source!$C164), IF(Source!$G164=COLUMNS($A164:I164), I163&amp;RIGHT(INDIRECT(ADDRESS(ROW(I164)-1, Source!$E164)), Source!$C164), I163))</f>
        <v>BMBD</v>
      </c>
    </row>
    <row r="165">
      <c r="A165" s="2" t="str">
        <f>IF(Source!$E165=COLUMNS($A165:A165), LEFT(A164, LEN(A164)-Source!$C165), IF(Source!$G165=COLUMNS($A165:A165), A164&amp;RIGHT(INDIRECT(ADDRESS(ROW(A165)-1, Source!$E165)), Source!$C165), A164))</f>
        <v/>
      </c>
      <c r="B165" s="2" t="str">
        <f>IF(Source!$E165=COLUMNS($A165:B165), LEFT(B164, LEN(B164)-Source!$C165), IF(Source!$G165=COLUMNS($A165:B165), B164&amp;RIGHT(INDIRECT(ADDRESS(ROW(B165)-1, Source!$E165)), Source!$C165), B164))</f>
        <v>FMLWR</v>
      </c>
      <c r="C165" s="2" t="str">
        <f>IF(Source!$E165=COLUMNS($A165:C165), LEFT(C164, LEN(C164)-Source!$C165), IF(Source!$G165=COLUMNS($A165:C165), C164&amp;RIGHT(INDIRECT(ADDRESS(ROW(C165)-1, Source!$E165)), Source!$C165), C164))</f>
        <v/>
      </c>
      <c r="D165" s="2" t="str">
        <f>IF(Source!$E165=COLUMNS($A165:D165), LEFT(D164, LEN(D164)-Source!$C165), IF(Source!$G165=COLUMNS($A165:D165), D164&amp;RIGHT(INDIRECT(ADDRESS(ROW(D165)-1, Source!$E165)), Source!$C165), D164))</f>
        <v>QRQPTDSGLBTJSMTZSCW</v>
      </c>
      <c r="E165" s="2" t="str">
        <f>IF(Source!$E165=COLUMNS($A165:E165), LEFT(E164, LEN(E164)-Source!$C165), IF(Source!$G165=COLUMNS($A165:E165), E164&amp;RIGHT(INDIRECT(ADDRESS(ROW(E165)-1, Source!$E165)), Source!$C165), E164))</f>
        <v/>
      </c>
      <c r="F165" s="2" t="str">
        <f>IF(Source!$E165=COLUMNS($A165:F165), LEFT(F164, LEN(F164)-Source!$C165), IF(Source!$G165=COLUMNS($A165:F165), F164&amp;RIGHT(INDIRECT(ADDRESS(ROW(F165)-1, Source!$E165)), Source!$C165), F164))</f>
        <v>DTRRFLDDVCGZJ</v>
      </c>
      <c r="G165" s="2" t="str">
        <f>IF(Source!$E165=COLUMNS($A165:G165), LEFT(G164, LEN(G164)-Source!$C165), IF(Source!$G165=COLUMNS($A165:G165), G164&amp;RIGHT(INDIRECT(ADDRESS(ROW(G165)-1, Source!$E165)), Source!$C165), G164))</f>
        <v>VHSPVJTCDBZHRP</v>
      </c>
      <c r="H165" s="2" t="str">
        <f>IF(Source!$E165=COLUMNS($A165:H165), LEFT(H164, LEN(H164)-Source!$C165), IF(Source!$G165=COLUMNS($A165:H165), H164&amp;RIGHT(INDIRECT(ADDRESS(ROW(H165)-1, Source!$E165)), Source!$C165), H164))</f>
        <v>T</v>
      </c>
      <c r="I165" s="2" t="str">
        <f>IF(Source!$E165=COLUMNS($A165:I165), LEFT(I164, LEN(I164)-Source!$C165), IF(Source!$G165=COLUMNS($A165:I165), I164&amp;RIGHT(INDIRECT(ADDRESS(ROW(I165)-1, Source!$E165)), Source!$C165), I164))</f>
        <v>BMBD</v>
      </c>
    </row>
    <row r="166">
      <c r="A166" s="2" t="str">
        <f>IF(Source!$E166=COLUMNS($A166:A166), LEFT(A165, LEN(A165)-Source!$C166), IF(Source!$G166=COLUMNS($A166:A166), A165&amp;RIGHT(INDIRECT(ADDRESS(ROW(A166)-1, Source!$E166)), Source!$C166), A165))</f>
        <v/>
      </c>
      <c r="B166" s="2" t="str">
        <f>IF(Source!$E166=COLUMNS($A166:B166), LEFT(B165, LEN(B165)-Source!$C166), IF(Source!$G166=COLUMNS($A166:B166), B165&amp;RIGHT(INDIRECT(ADDRESS(ROW(B166)-1, Source!$E166)), Source!$C166), B165))</f>
        <v>FMLWR</v>
      </c>
      <c r="C166" s="2" t="str">
        <f>IF(Source!$E166=COLUMNS($A166:C166), LEFT(C165, LEN(C165)-Source!$C166), IF(Source!$G166=COLUMNS($A166:C166), C165&amp;RIGHT(INDIRECT(ADDRESS(ROW(C166)-1, Source!$E166)), Source!$C166), C165))</f>
        <v/>
      </c>
      <c r="D166" s="2" t="str">
        <f>IF(Source!$E166=COLUMNS($A166:D166), LEFT(D165, LEN(D165)-Source!$C166), IF(Source!$G166=COLUMNS($A166:D166), D165&amp;RIGHT(INDIRECT(ADDRESS(ROW(D166)-1, Source!$E166)), Source!$C166), D165))</f>
        <v>QRQPTDSGLBTJSMTZSCW</v>
      </c>
      <c r="E166" s="2" t="str">
        <f>IF(Source!$E166=COLUMNS($A166:E166), LEFT(E165, LEN(E165)-Source!$C166), IF(Source!$G166=COLUMNS($A166:E166), E165&amp;RIGHT(INDIRECT(ADDRESS(ROW(E166)-1, Source!$E166)), Source!$C166), E165))</f>
        <v/>
      </c>
      <c r="F166" s="2" t="str">
        <f>IF(Source!$E166=COLUMNS($A166:F166), LEFT(F165, LEN(F165)-Source!$C166), IF(Source!$G166=COLUMNS($A166:F166), F165&amp;RIGHT(INDIRECT(ADDRESS(ROW(F166)-1, Source!$E166)), Source!$C166), F165))</f>
        <v>DTRRFLDDVCGZJ</v>
      </c>
      <c r="G166" s="2" t="str">
        <f>IF(Source!$E166=COLUMNS($A166:G166), LEFT(G165, LEN(G165)-Source!$C166), IF(Source!$G166=COLUMNS($A166:G166), G165&amp;RIGHT(INDIRECT(ADDRESS(ROW(G166)-1, Source!$E166)), Source!$C166), G165))</f>
        <v>VHSPVJTCDBZHRPD</v>
      </c>
      <c r="H166" s="2" t="str">
        <f>IF(Source!$E166=COLUMNS($A166:H166), LEFT(H165, LEN(H165)-Source!$C166), IF(Source!$G166=COLUMNS($A166:H166), H165&amp;RIGHT(INDIRECT(ADDRESS(ROW(H166)-1, Source!$E166)), Source!$C166), H165))</f>
        <v>T</v>
      </c>
      <c r="I166" s="2" t="str">
        <f>IF(Source!$E166=COLUMNS($A166:I166), LEFT(I165, LEN(I165)-Source!$C166), IF(Source!$G166=COLUMNS($A166:I166), I165&amp;RIGHT(INDIRECT(ADDRESS(ROW(I166)-1, Source!$E166)), Source!$C166), I165))</f>
        <v>BMB</v>
      </c>
    </row>
    <row r="167">
      <c r="A167" s="2" t="str">
        <f>IF(Source!$E167=COLUMNS($A167:A167), LEFT(A166, LEN(A166)-Source!$C167), IF(Source!$G167=COLUMNS($A167:A167), A166&amp;RIGHT(INDIRECT(ADDRESS(ROW(A167)-1, Source!$E167)), Source!$C167), A166))</f>
        <v/>
      </c>
      <c r="B167" s="2" t="str">
        <f>IF(Source!$E167=COLUMNS($A167:B167), LEFT(B166, LEN(B166)-Source!$C167), IF(Source!$G167=COLUMNS($A167:B167), B166&amp;RIGHT(INDIRECT(ADDRESS(ROW(B167)-1, Source!$E167)), Source!$C167), B166))</f>
        <v>FMLWRJ</v>
      </c>
      <c r="C167" s="2" t="str">
        <f>IF(Source!$E167=COLUMNS($A167:C167), LEFT(C166, LEN(C166)-Source!$C167), IF(Source!$G167=COLUMNS($A167:C167), C166&amp;RIGHT(INDIRECT(ADDRESS(ROW(C167)-1, Source!$E167)), Source!$C167), C166))</f>
        <v/>
      </c>
      <c r="D167" s="2" t="str">
        <f>IF(Source!$E167=COLUMNS($A167:D167), LEFT(D166, LEN(D166)-Source!$C167), IF(Source!$G167=COLUMNS($A167:D167), D166&amp;RIGHT(INDIRECT(ADDRESS(ROW(D167)-1, Source!$E167)), Source!$C167), D166))</f>
        <v>QRQPTDSGLBTJSMTZSCW</v>
      </c>
      <c r="E167" s="2" t="str">
        <f>IF(Source!$E167=COLUMNS($A167:E167), LEFT(E166, LEN(E166)-Source!$C167), IF(Source!$G167=COLUMNS($A167:E167), E166&amp;RIGHT(INDIRECT(ADDRESS(ROW(E167)-1, Source!$E167)), Source!$C167), E166))</f>
        <v/>
      </c>
      <c r="F167" s="2" t="str">
        <f>IF(Source!$E167=COLUMNS($A167:F167), LEFT(F166, LEN(F166)-Source!$C167), IF(Source!$G167=COLUMNS($A167:F167), F166&amp;RIGHT(INDIRECT(ADDRESS(ROW(F167)-1, Source!$E167)), Source!$C167), F166))</f>
        <v>DTRRFLDDVCGZ</v>
      </c>
      <c r="G167" s="2" t="str">
        <f>IF(Source!$E167=COLUMNS($A167:G167), LEFT(G166, LEN(G166)-Source!$C167), IF(Source!$G167=COLUMNS($A167:G167), G166&amp;RIGHT(INDIRECT(ADDRESS(ROW(G167)-1, Source!$E167)), Source!$C167), G166))</f>
        <v>VHSPVJTCDBZHRPD</v>
      </c>
      <c r="H167" s="2" t="str">
        <f>IF(Source!$E167=COLUMNS($A167:H167), LEFT(H166, LEN(H166)-Source!$C167), IF(Source!$G167=COLUMNS($A167:H167), H166&amp;RIGHT(INDIRECT(ADDRESS(ROW(H167)-1, Source!$E167)), Source!$C167), H166))</f>
        <v>T</v>
      </c>
      <c r="I167" s="2" t="str">
        <f>IF(Source!$E167=COLUMNS($A167:I167), LEFT(I166, LEN(I166)-Source!$C167), IF(Source!$G167=COLUMNS($A167:I167), I166&amp;RIGHT(INDIRECT(ADDRESS(ROW(I167)-1, Source!$E167)), Source!$C167), I166))</f>
        <v>BMB</v>
      </c>
    </row>
    <row r="168">
      <c r="A168" s="2" t="str">
        <f>IF(Source!$E168=COLUMNS($A168:A168), LEFT(A167, LEN(A167)-Source!$C168), IF(Source!$G168=COLUMNS($A168:A168), A167&amp;RIGHT(INDIRECT(ADDRESS(ROW(A168)-1, Source!$E168)), Source!$C168), A167))</f>
        <v/>
      </c>
      <c r="B168" s="2" t="str">
        <f>IF(Source!$E168=COLUMNS($A168:B168), LEFT(B167, LEN(B167)-Source!$C168), IF(Source!$G168=COLUMNS($A168:B168), B167&amp;RIGHT(INDIRECT(ADDRESS(ROW(B168)-1, Source!$E168)), Source!$C168), B167))</f>
        <v>FMLWRJ</v>
      </c>
      <c r="C168" s="2" t="str">
        <f>IF(Source!$E168=COLUMNS($A168:C168), LEFT(C167, LEN(C167)-Source!$C168), IF(Source!$G168=COLUMNS($A168:C168), C167&amp;RIGHT(INDIRECT(ADDRESS(ROW(C168)-1, Source!$E168)), Source!$C168), C167))</f>
        <v/>
      </c>
      <c r="D168" s="2" t="str">
        <f>IF(Source!$E168=COLUMNS($A168:D168), LEFT(D167, LEN(D167)-Source!$C168), IF(Source!$G168=COLUMNS($A168:D168), D167&amp;RIGHT(INDIRECT(ADDRESS(ROW(D168)-1, Source!$E168)), Source!$C168), D167))</f>
        <v>QRQPTDSGLBTJSMTZSCW</v>
      </c>
      <c r="E168" s="2" t="str">
        <f>IF(Source!$E168=COLUMNS($A168:E168), LEFT(E167, LEN(E167)-Source!$C168), IF(Source!$G168=COLUMNS($A168:E168), E167&amp;RIGHT(INDIRECT(ADDRESS(ROW(E168)-1, Source!$E168)), Source!$C168), E167))</f>
        <v/>
      </c>
      <c r="F168" s="2" t="str">
        <f>IF(Source!$E168=COLUMNS($A168:F168), LEFT(F167, LEN(F167)-Source!$C168), IF(Source!$G168=COLUMNS($A168:F168), F167&amp;RIGHT(INDIRECT(ADDRESS(ROW(F168)-1, Source!$E168)), Source!$C168), F167))</f>
        <v>DTRRFLDDVCGZ</v>
      </c>
      <c r="G168" s="2" t="str">
        <f>IF(Source!$E168=COLUMNS($A168:G168), LEFT(G167, LEN(G167)-Source!$C168), IF(Source!$G168=COLUMNS($A168:G168), G167&amp;RIGHT(INDIRECT(ADDRESS(ROW(G168)-1, Source!$E168)), Source!$C168), G167))</f>
        <v>VHSPVJ</v>
      </c>
      <c r="H168" s="2" t="str">
        <f>IF(Source!$E168=COLUMNS($A168:H168), LEFT(H167, LEN(H167)-Source!$C168), IF(Source!$G168=COLUMNS($A168:H168), H167&amp;RIGHT(INDIRECT(ADDRESS(ROW(H168)-1, Source!$E168)), Source!$C168), H167))</f>
        <v>T</v>
      </c>
      <c r="I168" s="2" t="str">
        <f>IF(Source!$E168=COLUMNS($A168:I168), LEFT(I167, LEN(I167)-Source!$C168), IF(Source!$G168=COLUMNS($A168:I168), I167&amp;RIGHT(INDIRECT(ADDRESS(ROW(I168)-1, Source!$E168)), Source!$C168), I167))</f>
        <v>BMBTCDBZHRPD</v>
      </c>
    </row>
    <row r="169">
      <c r="A169" s="2" t="str">
        <f>IF(Source!$E169=COLUMNS($A169:A169), LEFT(A168, LEN(A168)-Source!$C169), IF(Source!$G169=COLUMNS($A169:A169), A168&amp;RIGHT(INDIRECT(ADDRESS(ROW(A169)-1, Source!$E169)), Source!$C169), A168))</f>
        <v/>
      </c>
      <c r="B169" s="2" t="str">
        <f>IF(Source!$E169=COLUMNS($A169:B169), LEFT(B168, LEN(B168)-Source!$C169), IF(Source!$G169=COLUMNS($A169:B169), B168&amp;RIGHT(INDIRECT(ADDRESS(ROW(B169)-1, Source!$E169)), Source!$C169), B168))</f>
        <v>FMLWRJT</v>
      </c>
      <c r="C169" s="2" t="str">
        <f>IF(Source!$E169=COLUMNS($A169:C169), LEFT(C168, LEN(C168)-Source!$C169), IF(Source!$G169=COLUMNS($A169:C169), C168&amp;RIGHT(INDIRECT(ADDRESS(ROW(C169)-1, Source!$E169)), Source!$C169), C168))</f>
        <v/>
      </c>
      <c r="D169" s="2" t="str">
        <f>IF(Source!$E169=COLUMNS($A169:D169), LEFT(D168, LEN(D168)-Source!$C169), IF(Source!$G169=COLUMNS($A169:D169), D168&amp;RIGHT(INDIRECT(ADDRESS(ROW(D169)-1, Source!$E169)), Source!$C169), D168))</f>
        <v>QRQPTDSGLBTJSMTZSCW</v>
      </c>
      <c r="E169" s="2" t="str">
        <f>IF(Source!$E169=COLUMNS($A169:E169), LEFT(E168, LEN(E168)-Source!$C169), IF(Source!$G169=COLUMNS($A169:E169), E168&amp;RIGHT(INDIRECT(ADDRESS(ROW(E169)-1, Source!$E169)), Source!$C169), E168))</f>
        <v/>
      </c>
      <c r="F169" s="2" t="str">
        <f>IF(Source!$E169=COLUMNS($A169:F169), LEFT(F168, LEN(F168)-Source!$C169), IF(Source!$G169=COLUMNS($A169:F169), F168&amp;RIGHT(INDIRECT(ADDRESS(ROW(F169)-1, Source!$E169)), Source!$C169), F168))</f>
        <v>DTRRFLDDVCGZ</v>
      </c>
      <c r="G169" s="2" t="str">
        <f>IF(Source!$E169=COLUMNS($A169:G169), LEFT(G168, LEN(G168)-Source!$C169), IF(Source!$G169=COLUMNS($A169:G169), G168&amp;RIGHT(INDIRECT(ADDRESS(ROW(G169)-1, Source!$E169)), Source!$C169), G168))</f>
        <v>VHSPVJ</v>
      </c>
      <c r="H169" s="2" t="str">
        <f>IF(Source!$E169=COLUMNS($A169:H169), LEFT(H168, LEN(H168)-Source!$C169), IF(Source!$G169=COLUMNS($A169:H169), H168&amp;RIGHT(INDIRECT(ADDRESS(ROW(H169)-1, Source!$E169)), Source!$C169), H168))</f>
        <v/>
      </c>
      <c r="I169" s="2" t="str">
        <f>IF(Source!$E169=COLUMNS($A169:I169), LEFT(I168, LEN(I168)-Source!$C169), IF(Source!$G169=COLUMNS($A169:I169), I168&amp;RIGHT(INDIRECT(ADDRESS(ROW(I169)-1, Source!$E169)), Source!$C169), I168))</f>
        <v>BMBTCDBZHRPD</v>
      </c>
    </row>
    <row r="170">
      <c r="A170" s="2" t="str">
        <f>IF(Source!$E170=COLUMNS($A170:A170), LEFT(A169, LEN(A169)-Source!$C170), IF(Source!$G170=COLUMNS($A170:A170), A169&amp;RIGHT(INDIRECT(ADDRESS(ROW(A170)-1, Source!$E170)), Source!$C170), A169))</f>
        <v/>
      </c>
      <c r="B170" s="2" t="str">
        <f>IF(Source!$E170=COLUMNS($A170:B170), LEFT(B169, LEN(B169)-Source!$C170), IF(Source!$G170=COLUMNS($A170:B170), B169&amp;RIGHT(INDIRECT(ADDRESS(ROW(B170)-1, Source!$E170)), Source!$C170), B169))</f>
        <v>FMLWRJT</v>
      </c>
      <c r="C170" s="2" t="str">
        <f>IF(Source!$E170=COLUMNS($A170:C170), LEFT(C169, LEN(C169)-Source!$C170), IF(Source!$G170=COLUMNS($A170:C170), C169&amp;RIGHT(INDIRECT(ADDRESS(ROW(C170)-1, Source!$E170)), Source!$C170), C169))</f>
        <v/>
      </c>
      <c r="D170" s="2" t="str">
        <f>IF(Source!$E170=COLUMNS($A170:D170), LEFT(D169, LEN(D169)-Source!$C170), IF(Source!$G170=COLUMNS($A170:D170), D169&amp;RIGHT(INDIRECT(ADDRESS(ROW(D170)-1, Source!$E170)), Source!$C170), D169))</f>
        <v>QRQPTDSGLBTJSMTZSCW</v>
      </c>
      <c r="E170" s="2" t="str">
        <f>IF(Source!$E170=COLUMNS($A170:E170), LEFT(E169, LEN(E169)-Source!$C170), IF(Source!$G170=COLUMNS($A170:E170), E169&amp;RIGHT(INDIRECT(ADDRESS(ROW(E170)-1, Source!$E170)), Source!$C170), E169))</f>
        <v/>
      </c>
      <c r="F170" s="2" t="str">
        <f>IF(Source!$E170=COLUMNS($A170:F170), LEFT(F169, LEN(F169)-Source!$C170), IF(Source!$G170=COLUMNS($A170:F170), F169&amp;RIGHT(INDIRECT(ADDRESS(ROW(F170)-1, Source!$E170)), Source!$C170), F169))</f>
        <v>DTRRFLDDVCGZ</v>
      </c>
      <c r="G170" s="2" t="str">
        <f>IF(Source!$E170=COLUMNS($A170:G170), LEFT(G169, LEN(G169)-Source!$C170), IF(Source!$G170=COLUMNS($A170:G170), G169&amp;RIGHT(INDIRECT(ADDRESS(ROW(G170)-1, Source!$E170)), Source!$C170), G169))</f>
        <v>VHSPVJ</v>
      </c>
      <c r="H170" s="2" t="str">
        <f>IF(Source!$E170=COLUMNS($A170:H170), LEFT(H169, LEN(H169)-Source!$C170), IF(Source!$G170=COLUMNS($A170:H170), H169&amp;RIGHT(INDIRECT(ADDRESS(ROW(H170)-1, Source!$E170)), Source!$C170), H169))</f>
        <v>TCDBZHRPD</v>
      </c>
      <c r="I170" s="2" t="str">
        <f>IF(Source!$E170=COLUMNS($A170:I170), LEFT(I169, LEN(I169)-Source!$C170), IF(Source!$G170=COLUMNS($A170:I170), I169&amp;RIGHT(INDIRECT(ADDRESS(ROW(I170)-1, Source!$E170)), Source!$C170), I169))</f>
        <v>BMB</v>
      </c>
    </row>
    <row r="171">
      <c r="A171" s="2" t="str">
        <f>IF(Source!$E171=COLUMNS($A171:A171), LEFT(A170, LEN(A170)-Source!$C171), IF(Source!$G171=COLUMNS($A171:A171), A170&amp;RIGHT(INDIRECT(ADDRESS(ROW(A171)-1, Source!$E171)), Source!$C171), A170))</f>
        <v/>
      </c>
      <c r="B171" s="2" t="str">
        <f>IF(Source!$E171=COLUMNS($A171:B171), LEFT(B170, LEN(B170)-Source!$C171), IF(Source!$G171=COLUMNS($A171:B171), B170&amp;RIGHT(INDIRECT(ADDRESS(ROW(B171)-1, Source!$E171)), Source!$C171), B170))</f>
        <v>FMLWRJT</v>
      </c>
      <c r="C171" s="2" t="str">
        <f>IF(Source!$E171=COLUMNS($A171:C171), LEFT(C170, LEN(C170)-Source!$C171), IF(Source!$G171=COLUMNS($A171:C171), C170&amp;RIGHT(INDIRECT(ADDRESS(ROW(C171)-1, Source!$E171)), Source!$C171), C170))</f>
        <v/>
      </c>
      <c r="D171" s="2" t="str">
        <f>IF(Source!$E171=COLUMNS($A171:D171), LEFT(D170, LEN(D170)-Source!$C171), IF(Source!$G171=COLUMNS($A171:D171), D170&amp;RIGHT(INDIRECT(ADDRESS(ROW(D171)-1, Source!$E171)), Source!$C171), D170))</f>
        <v>QRQPTDSGLBTJSMTZSCW</v>
      </c>
      <c r="E171" s="2" t="str">
        <f>IF(Source!$E171=COLUMNS($A171:E171), LEFT(E170, LEN(E170)-Source!$C171), IF(Source!$G171=COLUMNS($A171:E171), E170&amp;RIGHT(INDIRECT(ADDRESS(ROW(E171)-1, Source!$E171)), Source!$C171), E170))</f>
        <v/>
      </c>
      <c r="F171" s="2" t="str">
        <f>IF(Source!$E171=COLUMNS($A171:F171), LEFT(F170, LEN(F170)-Source!$C171), IF(Source!$G171=COLUMNS($A171:F171), F170&amp;RIGHT(INDIRECT(ADDRESS(ROW(F171)-1, Source!$E171)), Source!$C171), F170))</f>
        <v>DTRRFLDDVCGZ</v>
      </c>
      <c r="G171" s="2" t="str">
        <f>IF(Source!$E171=COLUMNS($A171:G171), LEFT(G170, LEN(G170)-Source!$C171), IF(Source!$G171=COLUMNS($A171:G171), G170&amp;RIGHT(INDIRECT(ADDRESS(ROW(G171)-1, Source!$E171)), Source!$C171), G170))</f>
        <v/>
      </c>
      <c r="H171" s="2" t="str">
        <f>IF(Source!$E171=COLUMNS($A171:H171), LEFT(H170, LEN(H170)-Source!$C171), IF(Source!$G171=COLUMNS($A171:H171), H170&amp;RIGHT(INDIRECT(ADDRESS(ROW(H171)-1, Source!$E171)), Source!$C171), H170))</f>
        <v>TCDBZHRPDVHSPVJ</v>
      </c>
      <c r="I171" s="2" t="str">
        <f>IF(Source!$E171=COLUMNS($A171:I171), LEFT(I170, LEN(I170)-Source!$C171), IF(Source!$G171=COLUMNS($A171:I171), I170&amp;RIGHT(INDIRECT(ADDRESS(ROW(I171)-1, Source!$E171)), Source!$C171), I170))</f>
        <v>BMB</v>
      </c>
    </row>
    <row r="172">
      <c r="A172" s="2" t="str">
        <f>IF(Source!$E172=COLUMNS($A172:A172), LEFT(A171, LEN(A171)-Source!$C172), IF(Source!$G172=COLUMNS($A172:A172), A171&amp;RIGHT(INDIRECT(ADDRESS(ROW(A172)-1, Source!$E172)), Source!$C172), A171))</f>
        <v>ZSCW</v>
      </c>
      <c r="B172" s="2" t="str">
        <f>IF(Source!$E172=COLUMNS($A172:B172), LEFT(B171, LEN(B171)-Source!$C172), IF(Source!$G172=COLUMNS($A172:B172), B171&amp;RIGHT(INDIRECT(ADDRESS(ROW(B172)-1, Source!$E172)), Source!$C172), B171))</f>
        <v>FMLWRJT</v>
      </c>
      <c r="C172" s="2" t="str">
        <f>IF(Source!$E172=COLUMNS($A172:C172), LEFT(C171, LEN(C171)-Source!$C172), IF(Source!$G172=COLUMNS($A172:C172), C171&amp;RIGHT(INDIRECT(ADDRESS(ROW(C172)-1, Source!$E172)), Source!$C172), C171))</f>
        <v/>
      </c>
      <c r="D172" s="2" t="str">
        <f>IF(Source!$E172=COLUMNS($A172:D172), LEFT(D171, LEN(D171)-Source!$C172), IF(Source!$G172=COLUMNS($A172:D172), D171&amp;RIGHT(INDIRECT(ADDRESS(ROW(D172)-1, Source!$E172)), Source!$C172), D171))</f>
        <v>QRQPTDSGLBTJSMT</v>
      </c>
      <c r="E172" s="2" t="str">
        <f>IF(Source!$E172=COLUMNS($A172:E172), LEFT(E171, LEN(E171)-Source!$C172), IF(Source!$G172=COLUMNS($A172:E172), E171&amp;RIGHT(INDIRECT(ADDRESS(ROW(E172)-1, Source!$E172)), Source!$C172), E171))</f>
        <v/>
      </c>
      <c r="F172" s="2" t="str">
        <f>IF(Source!$E172=COLUMNS($A172:F172), LEFT(F171, LEN(F171)-Source!$C172), IF(Source!$G172=COLUMNS($A172:F172), F171&amp;RIGHT(INDIRECT(ADDRESS(ROW(F172)-1, Source!$E172)), Source!$C172), F171))</f>
        <v>DTRRFLDDVCGZ</v>
      </c>
      <c r="G172" s="2" t="str">
        <f>IF(Source!$E172=COLUMNS($A172:G172), LEFT(G171, LEN(G171)-Source!$C172), IF(Source!$G172=COLUMNS($A172:G172), G171&amp;RIGHT(INDIRECT(ADDRESS(ROW(G172)-1, Source!$E172)), Source!$C172), G171))</f>
        <v/>
      </c>
      <c r="H172" s="2" t="str">
        <f>IF(Source!$E172=COLUMNS($A172:H172), LEFT(H171, LEN(H171)-Source!$C172), IF(Source!$G172=COLUMNS($A172:H172), H171&amp;RIGHT(INDIRECT(ADDRESS(ROW(H172)-1, Source!$E172)), Source!$C172), H171))</f>
        <v>TCDBZHRPDVHSPVJ</v>
      </c>
      <c r="I172" s="2" t="str">
        <f>IF(Source!$E172=COLUMNS($A172:I172), LEFT(I171, LEN(I171)-Source!$C172), IF(Source!$G172=COLUMNS($A172:I172), I171&amp;RIGHT(INDIRECT(ADDRESS(ROW(I172)-1, Source!$E172)), Source!$C172), I171))</f>
        <v>BMB</v>
      </c>
    </row>
    <row r="173">
      <c r="A173" s="2" t="str">
        <f>IF(Source!$E173=COLUMNS($A173:A173), LEFT(A172, LEN(A172)-Source!$C173), IF(Source!$G173=COLUMNS($A173:A173), A172&amp;RIGHT(INDIRECT(ADDRESS(ROW(A173)-1, Source!$E173)), Source!$C173), A172))</f>
        <v>ZSCW</v>
      </c>
      <c r="B173" s="2" t="str">
        <f>IF(Source!$E173=COLUMNS($A173:B173), LEFT(B172, LEN(B172)-Source!$C173), IF(Source!$G173=COLUMNS($A173:B173), B172&amp;RIGHT(INDIRECT(ADDRESS(ROW(B173)-1, Source!$E173)), Source!$C173), B172))</f>
        <v>F</v>
      </c>
      <c r="C173" s="2" t="str">
        <f>IF(Source!$E173=COLUMNS($A173:C173), LEFT(C172, LEN(C172)-Source!$C173), IF(Source!$G173=COLUMNS($A173:C173), C172&amp;RIGHT(INDIRECT(ADDRESS(ROW(C173)-1, Source!$E173)), Source!$C173), C172))</f>
        <v/>
      </c>
      <c r="D173" s="2" t="str">
        <f>IF(Source!$E173=COLUMNS($A173:D173), LEFT(D172, LEN(D172)-Source!$C173), IF(Source!$G173=COLUMNS($A173:D173), D172&amp;RIGHT(INDIRECT(ADDRESS(ROW(D173)-1, Source!$E173)), Source!$C173), D172))</f>
        <v>QRQPTDSGLBTJSMT</v>
      </c>
      <c r="E173" s="2" t="str">
        <f>IF(Source!$E173=COLUMNS($A173:E173), LEFT(E172, LEN(E172)-Source!$C173), IF(Source!$G173=COLUMNS($A173:E173), E172&amp;RIGHT(INDIRECT(ADDRESS(ROW(E173)-1, Source!$E173)), Source!$C173), E172))</f>
        <v>MLWRJT</v>
      </c>
      <c r="F173" s="2" t="str">
        <f>IF(Source!$E173=COLUMNS($A173:F173), LEFT(F172, LEN(F172)-Source!$C173), IF(Source!$G173=COLUMNS($A173:F173), F172&amp;RIGHT(INDIRECT(ADDRESS(ROW(F173)-1, Source!$E173)), Source!$C173), F172))</f>
        <v>DTRRFLDDVCGZ</v>
      </c>
      <c r="G173" s="2" t="str">
        <f>IF(Source!$E173=COLUMNS($A173:G173), LEFT(G172, LEN(G172)-Source!$C173), IF(Source!$G173=COLUMNS($A173:G173), G172&amp;RIGHT(INDIRECT(ADDRESS(ROW(G173)-1, Source!$E173)), Source!$C173), G172))</f>
        <v/>
      </c>
      <c r="H173" s="2" t="str">
        <f>IF(Source!$E173=COLUMNS($A173:H173), LEFT(H172, LEN(H172)-Source!$C173), IF(Source!$G173=COLUMNS($A173:H173), H172&amp;RIGHT(INDIRECT(ADDRESS(ROW(H173)-1, Source!$E173)), Source!$C173), H172))</f>
        <v>TCDBZHRPDVHSPVJ</v>
      </c>
      <c r="I173" s="2" t="str">
        <f>IF(Source!$E173=COLUMNS($A173:I173), LEFT(I172, LEN(I172)-Source!$C173), IF(Source!$G173=COLUMNS($A173:I173), I172&amp;RIGHT(INDIRECT(ADDRESS(ROW(I173)-1, Source!$E173)), Source!$C173), I172))</f>
        <v>BMB</v>
      </c>
    </row>
    <row r="174">
      <c r="A174" s="2" t="str">
        <f>IF(Source!$E174=COLUMNS($A174:A174), LEFT(A173, LEN(A173)-Source!$C174), IF(Source!$G174=COLUMNS($A174:A174), A173&amp;RIGHT(INDIRECT(ADDRESS(ROW(A174)-1, Source!$E174)), Source!$C174), A173))</f>
        <v>ZSCW</v>
      </c>
      <c r="B174" s="2" t="str">
        <f>IF(Source!$E174=COLUMNS($A174:B174), LEFT(B173, LEN(B173)-Source!$C174), IF(Source!$G174=COLUMNS($A174:B174), B173&amp;RIGHT(INDIRECT(ADDRESS(ROW(B174)-1, Source!$E174)), Source!$C174), B173))</f>
        <v>F</v>
      </c>
      <c r="C174" s="2" t="str">
        <f>IF(Source!$E174=COLUMNS($A174:C174), LEFT(C173, LEN(C173)-Source!$C174), IF(Source!$G174=COLUMNS($A174:C174), C173&amp;RIGHT(INDIRECT(ADDRESS(ROW(C174)-1, Source!$E174)), Source!$C174), C173))</f>
        <v/>
      </c>
      <c r="D174" s="2" t="str">
        <f>IF(Source!$E174=COLUMNS($A174:D174), LEFT(D173, LEN(D173)-Source!$C174), IF(Source!$G174=COLUMNS($A174:D174), D173&amp;RIGHT(INDIRECT(ADDRESS(ROW(D174)-1, Source!$E174)), Source!$C174), D173))</f>
        <v>QRQPTDSGLBTJSM</v>
      </c>
      <c r="E174" s="2" t="str">
        <f>IF(Source!$E174=COLUMNS($A174:E174), LEFT(E173, LEN(E173)-Source!$C174), IF(Source!$G174=COLUMNS($A174:E174), E173&amp;RIGHT(INDIRECT(ADDRESS(ROW(E174)-1, Source!$E174)), Source!$C174), E173))</f>
        <v>MLWRJT</v>
      </c>
      <c r="F174" s="2" t="str">
        <f>IF(Source!$E174=COLUMNS($A174:F174), LEFT(F173, LEN(F173)-Source!$C174), IF(Source!$G174=COLUMNS($A174:F174), F173&amp;RIGHT(INDIRECT(ADDRESS(ROW(F174)-1, Source!$E174)), Source!$C174), F173))</f>
        <v>DTRRFLDDVCGZ</v>
      </c>
      <c r="G174" s="2" t="str">
        <f>IF(Source!$E174=COLUMNS($A174:G174), LEFT(G173, LEN(G173)-Source!$C174), IF(Source!$G174=COLUMNS($A174:G174), G173&amp;RIGHT(INDIRECT(ADDRESS(ROW(G174)-1, Source!$E174)), Source!$C174), G173))</f>
        <v/>
      </c>
      <c r="H174" s="2" t="str">
        <f>IF(Source!$E174=COLUMNS($A174:H174), LEFT(H173, LEN(H173)-Source!$C174), IF(Source!$G174=COLUMNS($A174:H174), H173&amp;RIGHT(INDIRECT(ADDRESS(ROW(H174)-1, Source!$E174)), Source!$C174), H173))</f>
        <v>TCDBZHRPDVHSPVJ</v>
      </c>
      <c r="I174" s="2" t="str">
        <f>IF(Source!$E174=COLUMNS($A174:I174), LEFT(I173, LEN(I173)-Source!$C174), IF(Source!$G174=COLUMNS($A174:I174), I173&amp;RIGHT(INDIRECT(ADDRESS(ROW(I174)-1, Source!$E174)), Source!$C174), I173))</f>
        <v>BMBT</v>
      </c>
    </row>
    <row r="175">
      <c r="A175" s="2" t="str">
        <f>IF(Source!$E175=COLUMNS($A175:A175), LEFT(A174, LEN(A174)-Source!$C175), IF(Source!$G175=COLUMNS($A175:A175), A174&amp;RIGHT(INDIRECT(ADDRESS(ROW(A175)-1, Source!$E175)), Source!$C175), A174))</f>
        <v>Z</v>
      </c>
      <c r="B175" s="2" t="str">
        <f>IF(Source!$E175=COLUMNS($A175:B175), LEFT(B174, LEN(B174)-Source!$C175), IF(Source!$G175=COLUMNS($A175:B175), B174&amp;RIGHT(INDIRECT(ADDRESS(ROW(B175)-1, Source!$E175)), Source!$C175), B174))</f>
        <v>F</v>
      </c>
      <c r="C175" s="2" t="str">
        <f>IF(Source!$E175=COLUMNS($A175:C175), LEFT(C174, LEN(C174)-Source!$C175), IF(Source!$G175=COLUMNS($A175:C175), C174&amp;RIGHT(INDIRECT(ADDRESS(ROW(C175)-1, Source!$E175)), Source!$C175), C174))</f>
        <v/>
      </c>
      <c r="D175" s="2" t="str">
        <f>IF(Source!$E175=COLUMNS($A175:D175), LEFT(D174, LEN(D174)-Source!$C175), IF(Source!$G175=COLUMNS($A175:D175), D174&amp;RIGHT(INDIRECT(ADDRESS(ROW(D175)-1, Source!$E175)), Source!$C175), D174))</f>
        <v>QRQPTDSGLBTJSM</v>
      </c>
      <c r="E175" s="2" t="str">
        <f>IF(Source!$E175=COLUMNS($A175:E175), LEFT(E174, LEN(E174)-Source!$C175), IF(Source!$G175=COLUMNS($A175:E175), E174&amp;RIGHT(INDIRECT(ADDRESS(ROW(E175)-1, Source!$E175)), Source!$C175), E174))</f>
        <v>MLWRJT</v>
      </c>
      <c r="F175" s="2" t="str">
        <f>IF(Source!$E175=COLUMNS($A175:F175), LEFT(F174, LEN(F174)-Source!$C175), IF(Source!$G175=COLUMNS($A175:F175), F174&amp;RIGHT(INDIRECT(ADDRESS(ROW(F175)-1, Source!$E175)), Source!$C175), F174))</f>
        <v>DTRRFLDDVCGZ</v>
      </c>
      <c r="G175" s="2" t="str">
        <f>IF(Source!$E175=COLUMNS($A175:G175), LEFT(G174, LEN(G174)-Source!$C175), IF(Source!$G175=COLUMNS($A175:G175), G174&amp;RIGHT(INDIRECT(ADDRESS(ROW(G175)-1, Source!$E175)), Source!$C175), G174))</f>
        <v/>
      </c>
      <c r="H175" s="2" t="str">
        <f>IF(Source!$E175=COLUMNS($A175:H175), LEFT(H174, LEN(H174)-Source!$C175), IF(Source!$G175=COLUMNS($A175:H175), H174&amp;RIGHT(INDIRECT(ADDRESS(ROW(H175)-1, Source!$E175)), Source!$C175), H174))</f>
        <v>TCDBZHRPDVHSPVJ</v>
      </c>
      <c r="I175" s="2" t="str">
        <f>IF(Source!$E175=COLUMNS($A175:I175), LEFT(I174, LEN(I174)-Source!$C175), IF(Source!$G175=COLUMNS($A175:I175), I174&amp;RIGHT(INDIRECT(ADDRESS(ROW(I175)-1, Source!$E175)), Source!$C175), I174))</f>
        <v>BMBTSCW</v>
      </c>
    </row>
    <row r="176">
      <c r="A176" s="2" t="str">
        <f>IF(Source!$E176=COLUMNS($A176:A176), LEFT(A175, LEN(A175)-Source!$C176), IF(Source!$G176=COLUMNS($A176:A176), A175&amp;RIGHT(INDIRECT(ADDRESS(ROW(A176)-1, Source!$E176)), Source!$C176), A175))</f>
        <v>Z</v>
      </c>
      <c r="B176" s="2" t="str">
        <f>IF(Source!$E176=COLUMNS($A176:B176), LEFT(B175, LEN(B175)-Source!$C176), IF(Source!$G176=COLUMNS($A176:B176), B175&amp;RIGHT(INDIRECT(ADDRESS(ROW(B176)-1, Source!$E176)), Source!$C176), B175))</f>
        <v>F</v>
      </c>
      <c r="C176" s="2" t="str">
        <f>IF(Source!$E176=COLUMNS($A176:C176), LEFT(C175, LEN(C175)-Source!$C176), IF(Source!$G176=COLUMNS($A176:C176), C175&amp;RIGHT(INDIRECT(ADDRESS(ROW(C176)-1, Source!$E176)), Source!$C176), C175))</f>
        <v/>
      </c>
      <c r="D176" s="2" t="str">
        <f>IF(Source!$E176=COLUMNS($A176:D176), LEFT(D175, LEN(D175)-Source!$C176), IF(Source!$G176=COLUMNS($A176:D176), D175&amp;RIGHT(INDIRECT(ADDRESS(ROW(D176)-1, Source!$E176)), Source!$C176), D175))</f>
        <v>QRQPTDSG</v>
      </c>
      <c r="E176" s="2" t="str">
        <f>IF(Source!$E176=COLUMNS($A176:E176), LEFT(E175, LEN(E175)-Source!$C176), IF(Source!$G176=COLUMNS($A176:E176), E175&amp;RIGHT(INDIRECT(ADDRESS(ROW(E176)-1, Source!$E176)), Source!$C176), E175))</f>
        <v>MLWRJTLBTJSM</v>
      </c>
      <c r="F176" s="2" t="str">
        <f>IF(Source!$E176=COLUMNS($A176:F176), LEFT(F175, LEN(F175)-Source!$C176), IF(Source!$G176=COLUMNS($A176:F176), F175&amp;RIGHT(INDIRECT(ADDRESS(ROW(F176)-1, Source!$E176)), Source!$C176), F175))</f>
        <v>DTRRFLDDVCGZ</v>
      </c>
      <c r="G176" s="2" t="str">
        <f>IF(Source!$E176=COLUMNS($A176:G176), LEFT(G175, LEN(G175)-Source!$C176), IF(Source!$G176=COLUMNS($A176:G176), G175&amp;RIGHT(INDIRECT(ADDRESS(ROW(G176)-1, Source!$E176)), Source!$C176), G175))</f>
        <v/>
      </c>
      <c r="H176" s="2" t="str">
        <f>IF(Source!$E176=COLUMNS($A176:H176), LEFT(H175, LEN(H175)-Source!$C176), IF(Source!$G176=COLUMNS($A176:H176), H175&amp;RIGHT(INDIRECT(ADDRESS(ROW(H176)-1, Source!$E176)), Source!$C176), H175))</f>
        <v>TCDBZHRPDVHSPVJ</v>
      </c>
      <c r="I176" s="2" t="str">
        <f>IF(Source!$E176=COLUMNS($A176:I176), LEFT(I175, LEN(I175)-Source!$C176), IF(Source!$G176=COLUMNS($A176:I176), I175&amp;RIGHT(INDIRECT(ADDRESS(ROW(I176)-1, Source!$E176)), Source!$C176), I175))</f>
        <v>BMBTSCW</v>
      </c>
    </row>
    <row r="177">
      <c r="A177" s="2" t="str">
        <f>IF(Source!$E177=COLUMNS($A177:A177), LEFT(A176, LEN(A176)-Source!$C177), IF(Source!$G177=COLUMNS($A177:A177), A176&amp;RIGHT(INDIRECT(ADDRESS(ROW(A177)-1, Source!$E177)), Source!$C177), A176))</f>
        <v>Z</v>
      </c>
      <c r="B177" s="2" t="str">
        <f>IF(Source!$E177=COLUMNS($A177:B177), LEFT(B176, LEN(B176)-Source!$C177), IF(Source!$G177=COLUMNS($A177:B177), B176&amp;RIGHT(INDIRECT(ADDRESS(ROW(B177)-1, Source!$E177)), Source!$C177), B176))</f>
        <v>F</v>
      </c>
      <c r="C177" s="2" t="str">
        <f>IF(Source!$E177=COLUMNS($A177:C177), LEFT(C176, LEN(C176)-Source!$C177), IF(Source!$G177=COLUMNS($A177:C177), C176&amp;RIGHT(INDIRECT(ADDRESS(ROW(C177)-1, Source!$E177)), Source!$C177), C176))</f>
        <v/>
      </c>
      <c r="D177" s="2" t="str">
        <f>IF(Source!$E177=COLUMNS($A177:D177), LEFT(D176, LEN(D176)-Source!$C177), IF(Source!$G177=COLUMNS($A177:D177), D176&amp;RIGHT(INDIRECT(ADDRESS(ROW(D177)-1, Source!$E177)), Source!$C177), D176))</f>
        <v>QRQPTDSG</v>
      </c>
      <c r="E177" s="2" t="str">
        <f>IF(Source!$E177=COLUMNS($A177:E177), LEFT(E176, LEN(E176)-Source!$C177), IF(Source!$G177=COLUMNS($A177:E177), E176&amp;RIGHT(INDIRECT(ADDRESS(ROW(E177)-1, Source!$E177)), Source!$C177), E176))</f>
        <v>MLWRJTLBTJSM</v>
      </c>
      <c r="F177" s="2" t="str">
        <f>IF(Source!$E177=COLUMNS($A177:F177), LEFT(F176, LEN(F176)-Source!$C177), IF(Source!$G177=COLUMNS($A177:F177), F176&amp;RIGHT(INDIRECT(ADDRESS(ROW(F177)-1, Source!$E177)), Source!$C177), F176))</f>
        <v>DTRRFLDDVCGZ</v>
      </c>
      <c r="G177" s="2" t="str">
        <f>IF(Source!$E177=COLUMNS($A177:G177), LEFT(G176, LEN(G176)-Source!$C177), IF(Source!$G177=COLUMNS($A177:G177), G176&amp;RIGHT(INDIRECT(ADDRESS(ROW(G177)-1, Source!$E177)), Source!$C177), G176))</f>
        <v/>
      </c>
      <c r="H177" s="2" t="str">
        <f>IF(Source!$E177=COLUMNS($A177:H177), LEFT(H176, LEN(H176)-Source!$C177), IF(Source!$G177=COLUMNS($A177:H177), H176&amp;RIGHT(INDIRECT(ADDRESS(ROW(H177)-1, Source!$E177)), Source!$C177), H176))</f>
        <v>TCDBZHRPDV</v>
      </c>
      <c r="I177" s="2" t="str">
        <f>IF(Source!$E177=COLUMNS($A177:I177), LEFT(I176, LEN(I176)-Source!$C177), IF(Source!$G177=COLUMNS($A177:I177), I176&amp;RIGHT(INDIRECT(ADDRESS(ROW(I177)-1, Source!$E177)), Source!$C177), I176))</f>
        <v>BMBTSCWHSPVJ</v>
      </c>
    </row>
    <row r="178">
      <c r="A178" s="2" t="str">
        <f>IF(Source!$E178=COLUMNS($A178:A178), LEFT(A177, LEN(A177)-Source!$C178), IF(Source!$G178=COLUMNS($A178:A178), A177&amp;RIGHT(INDIRECT(ADDRESS(ROW(A178)-1, Source!$E178)), Source!$C178), A177))</f>
        <v>Z</v>
      </c>
      <c r="B178" s="2" t="str">
        <f>IF(Source!$E178=COLUMNS($A178:B178), LEFT(B177, LEN(B177)-Source!$C178), IF(Source!$G178=COLUMNS($A178:B178), B177&amp;RIGHT(INDIRECT(ADDRESS(ROW(B178)-1, Source!$E178)), Source!$C178), B177))</f>
        <v>F</v>
      </c>
      <c r="C178" s="2" t="str">
        <f>IF(Source!$E178=COLUMNS($A178:C178), LEFT(C177, LEN(C177)-Source!$C178), IF(Source!$G178=COLUMNS($A178:C178), C177&amp;RIGHT(INDIRECT(ADDRESS(ROW(C178)-1, Source!$E178)), Source!$C178), C177))</f>
        <v/>
      </c>
      <c r="D178" s="2" t="str">
        <f>IF(Source!$E178=COLUMNS($A178:D178), LEFT(D177, LEN(D177)-Source!$C178), IF(Source!$G178=COLUMNS($A178:D178), D177&amp;RIGHT(INDIRECT(ADDRESS(ROW(D178)-1, Source!$E178)), Source!$C178), D177))</f>
        <v/>
      </c>
      <c r="E178" s="2" t="str">
        <f>IF(Source!$E178=COLUMNS($A178:E178), LEFT(E177, LEN(E177)-Source!$C178), IF(Source!$G178=COLUMNS($A178:E178), E177&amp;RIGHT(INDIRECT(ADDRESS(ROW(E178)-1, Source!$E178)), Source!$C178), E177))</f>
        <v>MLWRJTLBTJSM</v>
      </c>
      <c r="F178" s="2" t="str">
        <f>IF(Source!$E178=COLUMNS($A178:F178), LEFT(F177, LEN(F177)-Source!$C178), IF(Source!$G178=COLUMNS($A178:F178), F177&amp;RIGHT(INDIRECT(ADDRESS(ROW(F178)-1, Source!$E178)), Source!$C178), F177))</f>
        <v>DTRRFLDDVCGZQRQPTDSG</v>
      </c>
      <c r="G178" s="2" t="str">
        <f>IF(Source!$E178=COLUMNS($A178:G178), LEFT(G177, LEN(G177)-Source!$C178), IF(Source!$G178=COLUMNS($A178:G178), G177&amp;RIGHT(INDIRECT(ADDRESS(ROW(G178)-1, Source!$E178)), Source!$C178), G177))</f>
        <v/>
      </c>
      <c r="H178" s="2" t="str">
        <f>IF(Source!$E178=COLUMNS($A178:H178), LEFT(H177, LEN(H177)-Source!$C178), IF(Source!$G178=COLUMNS($A178:H178), H177&amp;RIGHT(INDIRECT(ADDRESS(ROW(H178)-1, Source!$E178)), Source!$C178), H177))</f>
        <v>TCDBZHRPDV</v>
      </c>
      <c r="I178" s="2" t="str">
        <f>IF(Source!$E178=COLUMNS($A178:I178), LEFT(I177, LEN(I177)-Source!$C178), IF(Source!$G178=COLUMNS($A178:I178), I177&amp;RIGHT(INDIRECT(ADDRESS(ROW(I178)-1, Source!$E178)), Source!$C178), I177))</f>
        <v>BMBTSCWHSPVJ</v>
      </c>
    </row>
    <row r="179">
      <c r="A179" s="2" t="str">
        <f>IF(Source!$E179=COLUMNS($A179:A179), LEFT(A178, LEN(A178)-Source!$C179), IF(Source!$G179=COLUMNS($A179:A179), A178&amp;RIGHT(INDIRECT(ADDRESS(ROW(A179)-1, Source!$E179)), Source!$C179), A178))</f>
        <v>Z</v>
      </c>
      <c r="B179" s="2" t="str">
        <f>IF(Source!$E179=COLUMNS($A179:B179), LEFT(B178, LEN(B178)-Source!$C179), IF(Source!$G179=COLUMNS($A179:B179), B178&amp;RIGHT(INDIRECT(ADDRESS(ROW(B179)-1, Source!$E179)), Source!$C179), B178))</f>
        <v>F</v>
      </c>
      <c r="C179" s="2" t="str">
        <f>IF(Source!$E179=COLUMNS($A179:C179), LEFT(C178, LEN(C178)-Source!$C179), IF(Source!$G179=COLUMNS($A179:C179), C178&amp;RIGHT(INDIRECT(ADDRESS(ROW(C179)-1, Source!$E179)), Source!$C179), C178))</f>
        <v/>
      </c>
      <c r="D179" s="2" t="str">
        <f>IF(Source!$E179=COLUMNS($A179:D179), LEFT(D178, LEN(D178)-Source!$C179), IF(Source!$G179=COLUMNS($A179:D179), D178&amp;RIGHT(INDIRECT(ADDRESS(ROW(D179)-1, Source!$E179)), Source!$C179), D178))</f>
        <v/>
      </c>
      <c r="E179" s="2" t="str">
        <f>IF(Source!$E179=COLUMNS($A179:E179), LEFT(E178, LEN(E178)-Source!$C179), IF(Source!$G179=COLUMNS($A179:E179), E178&amp;RIGHT(INDIRECT(ADDRESS(ROW(E179)-1, Source!$E179)), Source!$C179), E178))</f>
        <v>MLWRJTLBTJSM</v>
      </c>
      <c r="F179" s="2" t="str">
        <f>IF(Source!$E179=COLUMNS($A179:F179), LEFT(F178, LEN(F178)-Source!$C179), IF(Source!$G179=COLUMNS($A179:F179), F178&amp;RIGHT(INDIRECT(ADDRESS(ROW(F179)-1, Source!$E179)), Source!$C179), F178))</f>
        <v>DTRRFLDDVCGZQRQPTDSG</v>
      </c>
      <c r="G179" s="2" t="str">
        <f>IF(Source!$E179=COLUMNS($A179:G179), LEFT(G178, LEN(G178)-Source!$C179), IF(Source!$G179=COLUMNS($A179:G179), G178&amp;RIGHT(INDIRECT(ADDRESS(ROW(G179)-1, Source!$E179)), Source!$C179), G178))</f>
        <v/>
      </c>
      <c r="H179" s="2" t="str">
        <f>IF(Source!$E179=COLUMNS($A179:H179), LEFT(H178, LEN(H178)-Source!$C179), IF(Source!$G179=COLUMNS($A179:H179), H178&amp;RIGHT(INDIRECT(ADDRESS(ROW(H179)-1, Source!$E179)), Source!$C179), H178))</f>
        <v>TCDBZHRPDVPVJ</v>
      </c>
      <c r="I179" s="2" t="str">
        <f>IF(Source!$E179=COLUMNS($A179:I179), LEFT(I178, LEN(I178)-Source!$C179), IF(Source!$G179=COLUMNS($A179:I179), I178&amp;RIGHT(INDIRECT(ADDRESS(ROW(I179)-1, Source!$E179)), Source!$C179), I178))</f>
        <v>BMBTSCWHS</v>
      </c>
    </row>
    <row r="180">
      <c r="A180" s="2" t="str">
        <f>IF(Source!$E180=COLUMNS($A180:A180), LEFT(A179, LEN(A179)-Source!$C180), IF(Source!$G180=COLUMNS($A180:A180), A179&amp;RIGHT(INDIRECT(ADDRESS(ROW(A180)-1, Source!$E180)), Source!$C180), A179))</f>
        <v>Z</v>
      </c>
      <c r="B180" s="2" t="str">
        <f>IF(Source!$E180=COLUMNS($A180:B180), LEFT(B179, LEN(B179)-Source!$C180), IF(Source!$G180=COLUMNS($A180:B180), B179&amp;RIGHT(INDIRECT(ADDRESS(ROW(B180)-1, Source!$E180)), Source!$C180), B179))</f>
        <v>F</v>
      </c>
      <c r="C180" s="2" t="str">
        <f>IF(Source!$E180=COLUMNS($A180:C180), LEFT(C179, LEN(C179)-Source!$C180), IF(Source!$G180=COLUMNS($A180:C180), C179&amp;RIGHT(INDIRECT(ADDRESS(ROW(C180)-1, Source!$E180)), Source!$C180), C179))</f>
        <v>S</v>
      </c>
      <c r="D180" s="2" t="str">
        <f>IF(Source!$E180=COLUMNS($A180:D180), LEFT(D179, LEN(D179)-Source!$C180), IF(Source!$G180=COLUMNS($A180:D180), D179&amp;RIGHT(INDIRECT(ADDRESS(ROW(D180)-1, Source!$E180)), Source!$C180), D179))</f>
        <v/>
      </c>
      <c r="E180" s="2" t="str">
        <f>IF(Source!$E180=COLUMNS($A180:E180), LEFT(E179, LEN(E179)-Source!$C180), IF(Source!$G180=COLUMNS($A180:E180), E179&amp;RIGHT(INDIRECT(ADDRESS(ROW(E180)-1, Source!$E180)), Source!$C180), E179))</f>
        <v>MLWRJTLBTJSM</v>
      </c>
      <c r="F180" s="2" t="str">
        <f>IF(Source!$E180=COLUMNS($A180:F180), LEFT(F179, LEN(F179)-Source!$C180), IF(Source!$G180=COLUMNS($A180:F180), F179&amp;RIGHT(INDIRECT(ADDRESS(ROW(F180)-1, Source!$E180)), Source!$C180), F179))</f>
        <v>DTRRFLDDVCGZQRQPTDSG</v>
      </c>
      <c r="G180" s="2" t="str">
        <f>IF(Source!$E180=COLUMNS($A180:G180), LEFT(G179, LEN(G179)-Source!$C180), IF(Source!$G180=COLUMNS($A180:G180), G179&amp;RIGHT(INDIRECT(ADDRESS(ROW(G180)-1, Source!$E180)), Source!$C180), G179))</f>
        <v/>
      </c>
      <c r="H180" s="2" t="str">
        <f>IF(Source!$E180=COLUMNS($A180:H180), LEFT(H179, LEN(H179)-Source!$C180), IF(Source!$G180=COLUMNS($A180:H180), H179&amp;RIGHT(INDIRECT(ADDRESS(ROW(H180)-1, Source!$E180)), Source!$C180), H179))</f>
        <v>TCDBZHRPDVPVJ</v>
      </c>
      <c r="I180" s="2" t="str">
        <f>IF(Source!$E180=COLUMNS($A180:I180), LEFT(I179, LEN(I179)-Source!$C180), IF(Source!$G180=COLUMNS($A180:I180), I179&amp;RIGHT(INDIRECT(ADDRESS(ROW(I180)-1, Source!$E180)), Source!$C180), I179))</f>
        <v>BMBTSCWH</v>
      </c>
    </row>
    <row r="181">
      <c r="A181" s="2" t="str">
        <f>IF(Source!$E181=COLUMNS($A181:A181), LEFT(A180, LEN(A180)-Source!$C181), IF(Source!$G181=COLUMNS($A181:A181), A180&amp;RIGHT(INDIRECT(ADDRESS(ROW(A181)-1, Source!$E181)), Source!$C181), A180))</f>
        <v>Z</v>
      </c>
      <c r="B181" s="2" t="str">
        <f>IF(Source!$E181=COLUMNS($A181:B181), LEFT(B180, LEN(B180)-Source!$C181), IF(Source!$G181=COLUMNS($A181:B181), B180&amp;RIGHT(INDIRECT(ADDRESS(ROW(B181)-1, Source!$E181)), Source!$C181), B180))</f>
        <v>F</v>
      </c>
      <c r="C181" s="2" t="str">
        <f>IF(Source!$E181=COLUMNS($A181:C181), LEFT(C180, LEN(C180)-Source!$C181), IF(Source!$G181=COLUMNS($A181:C181), C180&amp;RIGHT(INDIRECT(ADDRESS(ROW(C181)-1, Source!$E181)), Source!$C181), C180))</f>
        <v>SPVJ</v>
      </c>
      <c r="D181" s="2" t="str">
        <f>IF(Source!$E181=COLUMNS($A181:D181), LEFT(D180, LEN(D180)-Source!$C181), IF(Source!$G181=COLUMNS($A181:D181), D180&amp;RIGHT(INDIRECT(ADDRESS(ROW(D181)-1, Source!$E181)), Source!$C181), D180))</f>
        <v/>
      </c>
      <c r="E181" s="2" t="str">
        <f>IF(Source!$E181=COLUMNS($A181:E181), LEFT(E180, LEN(E180)-Source!$C181), IF(Source!$G181=COLUMNS($A181:E181), E180&amp;RIGHT(INDIRECT(ADDRESS(ROW(E181)-1, Source!$E181)), Source!$C181), E180))</f>
        <v>MLWRJTLBTJSM</v>
      </c>
      <c r="F181" s="2" t="str">
        <f>IF(Source!$E181=COLUMNS($A181:F181), LEFT(F180, LEN(F180)-Source!$C181), IF(Source!$G181=COLUMNS($A181:F181), F180&amp;RIGHT(INDIRECT(ADDRESS(ROW(F181)-1, Source!$E181)), Source!$C181), F180))</f>
        <v>DTRRFLDDVCGZQRQPTDSG</v>
      </c>
      <c r="G181" s="2" t="str">
        <f>IF(Source!$E181=COLUMNS($A181:G181), LEFT(G180, LEN(G180)-Source!$C181), IF(Source!$G181=COLUMNS($A181:G181), G180&amp;RIGHT(INDIRECT(ADDRESS(ROW(G181)-1, Source!$E181)), Source!$C181), G180))</f>
        <v/>
      </c>
      <c r="H181" s="2" t="str">
        <f>IF(Source!$E181=COLUMNS($A181:H181), LEFT(H180, LEN(H180)-Source!$C181), IF(Source!$G181=COLUMNS($A181:H181), H180&amp;RIGHT(INDIRECT(ADDRESS(ROW(H181)-1, Source!$E181)), Source!$C181), H180))</f>
        <v>TCDBZHRPDV</v>
      </c>
      <c r="I181" s="2" t="str">
        <f>IF(Source!$E181=COLUMNS($A181:I181), LEFT(I180, LEN(I180)-Source!$C181), IF(Source!$G181=COLUMNS($A181:I181), I180&amp;RIGHT(INDIRECT(ADDRESS(ROW(I181)-1, Source!$E181)), Source!$C181), I180))</f>
        <v>BMBTSCWH</v>
      </c>
    </row>
    <row r="182">
      <c r="A182" s="2" t="str">
        <f>IF(Source!$E182=COLUMNS($A182:A182), LEFT(A181, LEN(A181)-Source!$C182), IF(Source!$G182=COLUMNS($A182:A182), A181&amp;RIGHT(INDIRECT(ADDRESS(ROW(A182)-1, Source!$E182)), Source!$C182), A181))</f>
        <v>Z</v>
      </c>
      <c r="B182" s="2" t="str">
        <f>IF(Source!$E182=COLUMNS($A182:B182), LEFT(B181, LEN(B181)-Source!$C182), IF(Source!$G182=COLUMNS($A182:B182), B181&amp;RIGHT(INDIRECT(ADDRESS(ROW(B182)-1, Source!$E182)), Source!$C182), B181))</f>
        <v>FTSCWH</v>
      </c>
      <c r="C182" s="2" t="str">
        <f>IF(Source!$E182=COLUMNS($A182:C182), LEFT(C181, LEN(C181)-Source!$C182), IF(Source!$G182=COLUMNS($A182:C182), C181&amp;RIGHT(INDIRECT(ADDRESS(ROW(C182)-1, Source!$E182)), Source!$C182), C181))</f>
        <v>SPVJ</v>
      </c>
      <c r="D182" s="2" t="str">
        <f>IF(Source!$E182=COLUMNS($A182:D182), LEFT(D181, LEN(D181)-Source!$C182), IF(Source!$G182=COLUMNS($A182:D182), D181&amp;RIGHT(INDIRECT(ADDRESS(ROW(D182)-1, Source!$E182)), Source!$C182), D181))</f>
        <v/>
      </c>
      <c r="E182" s="2" t="str">
        <f>IF(Source!$E182=COLUMNS($A182:E182), LEFT(E181, LEN(E181)-Source!$C182), IF(Source!$G182=COLUMNS($A182:E182), E181&amp;RIGHT(INDIRECT(ADDRESS(ROW(E182)-1, Source!$E182)), Source!$C182), E181))</f>
        <v>MLWRJTLBTJSM</v>
      </c>
      <c r="F182" s="2" t="str">
        <f>IF(Source!$E182=COLUMNS($A182:F182), LEFT(F181, LEN(F181)-Source!$C182), IF(Source!$G182=COLUMNS($A182:F182), F181&amp;RIGHT(INDIRECT(ADDRESS(ROW(F182)-1, Source!$E182)), Source!$C182), F181))</f>
        <v>DTRRFLDDVCGZQRQPTDSG</v>
      </c>
      <c r="G182" s="2" t="str">
        <f>IF(Source!$E182=COLUMNS($A182:G182), LEFT(G181, LEN(G181)-Source!$C182), IF(Source!$G182=COLUMNS($A182:G182), G181&amp;RIGHT(INDIRECT(ADDRESS(ROW(G182)-1, Source!$E182)), Source!$C182), G181))</f>
        <v/>
      </c>
      <c r="H182" s="2" t="str">
        <f>IF(Source!$E182=COLUMNS($A182:H182), LEFT(H181, LEN(H181)-Source!$C182), IF(Source!$G182=COLUMNS($A182:H182), H181&amp;RIGHT(INDIRECT(ADDRESS(ROW(H182)-1, Source!$E182)), Source!$C182), H181))</f>
        <v>TCDBZHRPDV</v>
      </c>
      <c r="I182" s="2" t="str">
        <f>IF(Source!$E182=COLUMNS($A182:I182), LEFT(I181, LEN(I181)-Source!$C182), IF(Source!$G182=COLUMNS($A182:I182), I181&amp;RIGHT(INDIRECT(ADDRESS(ROW(I182)-1, Source!$E182)), Source!$C182), I181))</f>
        <v>BMB</v>
      </c>
    </row>
    <row r="183">
      <c r="A183" s="2" t="str">
        <f>IF(Source!$E183=COLUMNS($A183:A183), LEFT(A182, LEN(A182)-Source!$C183), IF(Source!$G183=COLUMNS($A183:A183), A182&amp;RIGHT(INDIRECT(ADDRESS(ROW(A183)-1, Source!$E183)), Source!$C183), A182))</f>
        <v>Z</v>
      </c>
      <c r="B183" s="2" t="str">
        <f>IF(Source!$E183=COLUMNS($A183:B183), LEFT(B182, LEN(B182)-Source!$C183), IF(Source!$G183=COLUMNS($A183:B183), B182&amp;RIGHT(INDIRECT(ADDRESS(ROW(B183)-1, Source!$E183)), Source!$C183), B182))</f>
        <v>FTS</v>
      </c>
      <c r="C183" s="2" t="str">
        <f>IF(Source!$E183=COLUMNS($A183:C183), LEFT(C182, LEN(C182)-Source!$C183), IF(Source!$G183=COLUMNS($A183:C183), C182&amp;RIGHT(INDIRECT(ADDRESS(ROW(C183)-1, Source!$E183)), Source!$C183), C182))</f>
        <v>SPVJ</v>
      </c>
      <c r="D183" s="2" t="str">
        <f>IF(Source!$E183=COLUMNS($A183:D183), LEFT(D182, LEN(D182)-Source!$C183), IF(Source!$G183=COLUMNS($A183:D183), D182&amp;RIGHT(INDIRECT(ADDRESS(ROW(D183)-1, Source!$E183)), Source!$C183), D182))</f>
        <v/>
      </c>
      <c r="E183" s="2" t="str">
        <f>IF(Source!$E183=COLUMNS($A183:E183), LEFT(E182, LEN(E182)-Source!$C183), IF(Source!$G183=COLUMNS($A183:E183), E182&amp;RIGHT(INDIRECT(ADDRESS(ROW(E183)-1, Source!$E183)), Source!$C183), E182))</f>
        <v>MLWRJTLBTJSM</v>
      </c>
      <c r="F183" s="2" t="str">
        <f>IF(Source!$E183=COLUMNS($A183:F183), LEFT(F182, LEN(F182)-Source!$C183), IF(Source!$G183=COLUMNS($A183:F183), F182&amp;RIGHT(INDIRECT(ADDRESS(ROW(F183)-1, Source!$E183)), Source!$C183), F182))</f>
        <v>DTRRFLDDVCGZQRQPTDSGCWH</v>
      </c>
      <c r="G183" s="2" t="str">
        <f>IF(Source!$E183=COLUMNS($A183:G183), LEFT(G182, LEN(G182)-Source!$C183), IF(Source!$G183=COLUMNS($A183:G183), G182&amp;RIGHT(INDIRECT(ADDRESS(ROW(G183)-1, Source!$E183)), Source!$C183), G182))</f>
        <v/>
      </c>
      <c r="H183" s="2" t="str">
        <f>IF(Source!$E183=COLUMNS($A183:H183), LEFT(H182, LEN(H182)-Source!$C183), IF(Source!$G183=COLUMNS($A183:H183), H182&amp;RIGHT(INDIRECT(ADDRESS(ROW(H183)-1, Source!$E183)), Source!$C183), H182))</f>
        <v>TCDBZHRPDV</v>
      </c>
      <c r="I183" s="2" t="str">
        <f>IF(Source!$E183=COLUMNS($A183:I183), LEFT(I182, LEN(I182)-Source!$C183), IF(Source!$G183=COLUMNS($A183:I183), I182&amp;RIGHT(INDIRECT(ADDRESS(ROW(I183)-1, Source!$E183)), Source!$C183), I182))</f>
        <v>BMB</v>
      </c>
    </row>
    <row r="184">
      <c r="A184" s="2" t="str">
        <f>IF(Source!$E184=COLUMNS($A184:A184), LEFT(A183, LEN(A183)-Source!$C184), IF(Source!$G184=COLUMNS($A184:A184), A183&amp;RIGHT(INDIRECT(ADDRESS(ROW(A184)-1, Source!$E184)), Source!$C184), A183))</f>
        <v>Z</v>
      </c>
      <c r="B184" s="2" t="str">
        <f>IF(Source!$E184=COLUMNS($A184:B184), LEFT(B183, LEN(B183)-Source!$C184), IF(Source!$G184=COLUMNS($A184:B184), B183&amp;RIGHT(INDIRECT(ADDRESS(ROW(B184)-1, Source!$E184)), Source!$C184), B183))</f>
        <v>FTS</v>
      </c>
      <c r="C184" s="2" t="str">
        <f>IF(Source!$E184=COLUMNS($A184:C184), LEFT(C183, LEN(C183)-Source!$C184), IF(Source!$G184=COLUMNS($A184:C184), C183&amp;RIGHT(INDIRECT(ADDRESS(ROW(C184)-1, Source!$E184)), Source!$C184), C183))</f>
        <v>SPVJ</v>
      </c>
      <c r="D184" s="2" t="str">
        <f>IF(Source!$E184=COLUMNS($A184:D184), LEFT(D183, LEN(D183)-Source!$C184), IF(Source!$G184=COLUMNS($A184:D184), D183&amp;RIGHT(INDIRECT(ADDRESS(ROW(D184)-1, Source!$E184)), Source!$C184), D183))</f>
        <v/>
      </c>
      <c r="E184" s="2" t="str">
        <f>IF(Source!$E184=COLUMNS($A184:E184), LEFT(E183, LEN(E183)-Source!$C184), IF(Source!$G184=COLUMNS($A184:E184), E183&amp;RIGHT(INDIRECT(ADDRESS(ROW(E184)-1, Source!$E184)), Source!$C184), E183))</f>
        <v>MLWRJTLBTJSM</v>
      </c>
      <c r="F184" s="2" t="str">
        <f>IF(Source!$E184=COLUMNS($A184:F184), LEFT(F183, LEN(F183)-Source!$C184), IF(Source!$G184=COLUMNS($A184:F184), F183&amp;RIGHT(INDIRECT(ADDRESS(ROW(F184)-1, Source!$E184)), Source!$C184), F183))</f>
        <v>DTRRFLDDVCGZQRQPTDSG</v>
      </c>
      <c r="G184" s="2" t="str">
        <f>IF(Source!$E184=COLUMNS($A184:G184), LEFT(G183, LEN(G183)-Source!$C184), IF(Source!$G184=COLUMNS($A184:G184), G183&amp;RIGHT(INDIRECT(ADDRESS(ROW(G184)-1, Source!$E184)), Source!$C184), G183))</f>
        <v/>
      </c>
      <c r="H184" s="2" t="str">
        <f>IF(Source!$E184=COLUMNS($A184:H184), LEFT(H183, LEN(H183)-Source!$C184), IF(Source!$G184=COLUMNS($A184:H184), H183&amp;RIGHT(INDIRECT(ADDRESS(ROW(H184)-1, Source!$E184)), Source!$C184), H183))</f>
        <v>TCDBZHRPDV</v>
      </c>
      <c r="I184" s="2" t="str">
        <f>IF(Source!$E184=COLUMNS($A184:I184), LEFT(I183, LEN(I183)-Source!$C184), IF(Source!$G184=COLUMNS($A184:I184), I183&amp;RIGHT(INDIRECT(ADDRESS(ROW(I184)-1, Source!$E184)), Source!$C184), I183))</f>
        <v>BMBCWH</v>
      </c>
    </row>
    <row r="185">
      <c r="A185" s="2" t="str">
        <f>IF(Source!$E185=COLUMNS($A185:A185), LEFT(A184, LEN(A184)-Source!$C185), IF(Source!$G185=COLUMNS($A185:A185), A184&amp;RIGHT(INDIRECT(ADDRESS(ROW(A185)-1, Source!$E185)), Source!$C185), A184))</f>
        <v>Z</v>
      </c>
      <c r="B185" s="2" t="str">
        <f>IF(Source!$E185=COLUMNS($A185:B185), LEFT(B184, LEN(B184)-Source!$C185), IF(Source!$G185=COLUMNS($A185:B185), B184&amp;RIGHT(INDIRECT(ADDRESS(ROW(B185)-1, Source!$E185)), Source!$C185), B184))</f>
        <v>FTSDSG</v>
      </c>
      <c r="C185" s="2" t="str">
        <f>IF(Source!$E185=COLUMNS($A185:C185), LEFT(C184, LEN(C184)-Source!$C185), IF(Source!$G185=COLUMNS($A185:C185), C184&amp;RIGHT(INDIRECT(ADDRESS(ROW(C185)-1, Source!$E185)), Source!$C185), C184))</f>
        <v>SPVJ</v>
      </c>
      <c r="D185" s="2" t="str">
        <f>IF(Source!$E185=COLUMNS($A185:D185), LEFT(D184, LEN(D184)-Source!$C185), IF(Source!$G185=COLUMNS($A185:D185), D184&amp;RIGHT(INDIRECT(ADDRESS(ROW(D185)-1, Source!$E185)), Source!$C185), D184))</f>
        <v/>
      </c>
      <c r="E185" s="2" t="str">
        <f>IF(Source!$E185=COLUMNS($A185:E185), LEFT(E184, LEN(E184)-Source!$C185), IF(Source!$G185=COLUMNS($A185:E185), E184&amp;RIGHT(INDIRECT(ADDRESS(ROW(E185)-1, Source!$E185)), Source!$C185), E184))</f>
        <v>MLWRJTLBTJSM</v>
      </c>
      <c r="F185" s="2" t="str">
        <f>IF(Source!$E185=COLUMNS($A185:F185), LEFT(F184, LEN(F184)-Source!$C185), IF(Source!$G185=COLUMNS($A185:F185), F184&amp;RIGHT(INDIRECT(ADDRESS(ROW(F185)-1, Source!$E185)), Source!$C185), F184))</f>
        <v>DTRRFLDDVCGZQRQPT</v>
      </c>
      <c r="G185" s="2" t="str">
        <f>IF(Source!$E185=COLUMNS($A185:G185), LEFT(G184, LEN(G184)-Source!$C185), IF(Source!$G185=COLUMNS($A185:G185), G184&amp;RIGHT(INDIRECT(ADDRESS(ROW(G185)-1, Source!$E185)), Source!$C185), G184))</f>
        <v/>
      </c>
      <c r="H185" s="2" t="str">
        <f>IF(Source!$E185=COLUMNS($A185:H185), LEFT(H184, LEN(H184)-Source!$C185), IF(Source!$G185=COLUMNS($A185:H185), H184&amp;RIGHT(INDIRECT(ADDRESS(ROW(H185)-1, Source!$E185)), Source!$C185), H184))</f>
        <v>TCDBZHRPDV</v>
      </c>
      <c r="I185" s="2" t="str">
        <f>IF(Source!$E185=COLUMNS($A185:I185), LEFT(I184, LEN(I184)-Source!$C185), IF(Source!$G185=COLUMNS($A185:I185), I184&amp;RIGHT(INDIRECT(ADDRESS(ROW(I185)-1, Source!$E185)), Source!$C185), I184))</f>
        <v>BMBCWH</v>
      </c>
    </row>
    <row r="186">
      <c r="A186" s="2" t="str">
        <f>IF(Source!$E186=COLUMNS($A186:A186), LEFT(A185, LEN(A185)-Source!$C186), IF(Source!$G186=COLUMNS($A186:A186), A185&amp;RIGHT(INDIRECT(ADDRESS(ROW(A186)-1, Source!$E186)), Source!$C186), A185))</f>
        <v>Z</v>
      </c>
      <c r="B186" s="2" t="str">
        <f>IF(Source!$E186=COLUMNS($A186:B186), LEFT(B185, LEN(B185)-Source!$C186), IF(Source!$G186=COLUMNS($A186:B186), B185&amp;RIGHT(INDIRECT(ADDRESS(ROW(B186)-1, Source!$E186)), Source!$C186), B185))</f>
        <v>FT</v>
      </c>
      <c r="C186" s="2" t="str">
        <f>IF(Source!$E186=COLUMNS($A186:C186), LEFT(C185, LEN(C185)-Source!$C186), IF(Source!$G186=COLUMNS($A186:C186), C185&amp;RIGHT(INDIRECT(ADDRESS(ROW(C186)-1, Source!$E186)), Source!$C186), C185))</f>
        <v>SPVJ</v>
      </c>
      <c r="D186" s="2" t="str">
        <f>IF(Source!$E186=COLUMNS($A186:D186), LEFT(D185, LEN(D185)-Source!$C186), IF(Source!$G186=COLUMNS($A186:D186), D185&amp;RIGHT(INDIRECT(ADDRESS(ROW(D186)-1, Source!$E186)), Source!$C186), D185))</f>
        <v/>
      </c>
      <c r="E186" s="2" t="str">
        <f>IF(Source!$E186=COLUMNS($A186:E186), LEFT(E185, LEN(E185)-Source!$C186), IF(Source!$G186=COLUMNS($A186:E186), E185&amp;RIGHT(INDIRECT(ADDRESS(ROW(E186)-1, Source!$E186)), Source!$C186), E185))</f>
        <v>MLWRJTLBTJSM</v>
      </c>
      <c r="F186" s="2" t="str">
        <f>IF(Source!$E186=COLUMNS($A186:F186), LEFT(F185, LEN(F185)-Source!$C186), IF(Source!$G186=COLUMNS($A186:F186), F185&amp;RIGHT(INDIRECT(ADDRESS(ROW(F186)-1, Source!$E186)), Source!$C186), F185))</f>
        <v>DTRRFLDDVCGZQRQPTSDSG</v>
      </c>
      <c r="G186" s="2" t="str">
        <f>IF(Source!$E186=COLUMNS($A186:G186), LEFT(G185, LEN(G185)-Source!$C186), IF(Source!$G186=COLUMNS($A186:G186), G185&amp;RIGHT(INDIRECT(ADDRESS(ROW(G186)-1, Source!$E186)), Source!$C186), G185))</f>
        <v/>
      </c>
      <c r="H186" s="2" t="str">
        <f>IF(Source!$E186=COLUMNS($A186:H186), LEFT(H185, LEN(H185)-Source!$C186), IF(Source!$G186=COLUMNS($A186:H186), H185&amp;RIGHT(INDIRECT(ADDRESS(ROW(H186)-1, Source!$E186)), Source!$C186), H185))</f>
        <v>TCDBZHRPDV</v>
      </c>
      <c r="I186" s="2" t="str">
        <f>IF(Source!$E186=COLUMNS($A186:I186), LEFT(I185, LEN(I185)-Source!$C186), IF(Source!$G186=COLUMNS($A186:I186), I185&amp;RIGHT(INDIRECT(ADDRESS(ROW(I186)-1, Source!$E186)), Source!$C186), I185))</f>
        <v>BMBCWH</v>
      </c>
    </row>
    <row r="187">
      <c r="A187" s="2" t="str">
        <f>IF(Source!$E187=COLUMNS($A187:A187), LEFT(A186, LEN(A186)-Source!$C187), IF(Source!$G187=COLUMNS($A187:A187), A186&amp;RIGHT(INDIRECT(ADDRESS(ROW(A187)-1, Source!$E187)), Source!$C187), A186))</f>
        <v>Z</v>
      </c>
      <c r="B187" s="2" t="str">
        <f>IF(Source!$E187=COLUMNS($A187:B187), LEFT(B186, LEN(B186)-Source!$C187), IF(Source!$G187=COLUMNS($A187:B187), B186&amp;RIGHT(INDIRECT(ADDRESS(ROW(B187)-1, Source!$E187)), Source!$C187), B186))</f>
        <v>FT</v>
      </c>
      <c r="C187" s="2" t="str">
        <f>IF(Source!$E187=COLUMNS($A187:C187), LEFT(C186, LEN(C186)-Source!$C187), IF(Source!$G187=COLUMNS($A187:C187), C186&amp;RIGHT(INDIRECT(ADDRESS(ROW(C187)-1, Source!$E187)), Source!$C187), C186))</f>
        <v>SPVJ</v>
      </c>
      <c r="D187" s="2" t="str">
        <f>IF(Source!$E187=COLUMNS($A187:D187), LEFT(D186, LEN(D186)-Source!$C187), IF(Source!$G187=COLUMNS($A187:D187), D186&amp;RIGHT(INDIRECT(ADDRESS(ROW(D187)-1, Source!$E187)), Source!$C187), D186))</f>
        <v/>
      </c>
      <c r="E187" s="2" t="str">
        <f>IF(Source!$E187=COLUMNS($A187:E187), LEFT(E186, LEN(E186)-Source!$C187), IF(Source!$G187=COLUMNS($A187:E187), E186&amp;RIGHT(INDIRECT(ADDRESS(ROW(E187)-1, Source!$E187)), Source!$C187), E186))</f>
        <v>MLWRJTLBTJSM</v>
      </c>
      <c r="F187" s="2" t="str">
        <f>IF(Source!$E187=COLUMNS($A187:F187), LEFT(F186, LEN(F186)-Source!$C187), IF(Source!$G187=COLUMNS($A187:F187), F186&amp;RIGHT(INDIRECT(ADDRESS(ROW(F187)-1, Source!$E187)), Source!$C187), F186))</f>
        <v>DTRRFLDDVCGZQRQPTSDSG</v>
      </c>
      <c r="G187" s="2" t="str">
        <f>IF(Source!$E187=COLUMNS($A187:G187), LEFT(G186, LEN(G186)-Source!$C187), IF(Source!$G187=COLUMNS($A187:G187), G186&amp;RIGHT(INDIRECT(ADDRESS(ROW(G187)-1, Source!$E187)), Source!$C187), G186))</f>
        <v>BMBCWH</v>
      </c>
      <c r="H187" s="2" t="str">
        <f>IF(Source!$E187=COLUMNS($A187:H187), LEFT(H186, LEN(H186)-Source!$C187), IF(Source!$G187=COLUMNS($A187:H187), H186&amp;RIGHT(INDIRECT(ADDRESS(ROW(H187)-1, Source!$E187)), Source!$C187), H186))</f>
        <v>TCDBZHRPDV</v>
      </c>
      <c r="I187" s="2" t="str">
        <f>IF(Source!$E187=COLUMNS($A187:I187), LEFT(I186, LEN(I186)-Source!$C187), IF(Source!$G187=COLUMNS($A187:I187), I186&amp;RIGHT(INDIRECT(ADDRESS(ROW(I187)-1, Source!$E187)), Source!$C187), I186))</f>
        <v/>
      </c>
    </row>
    <row r="188">
      <c r="A188" s="2" t="str">
        <f>IF(Source!$E188=COLUMNS($A188:A188), LEFT(A187, LEN(A187)-Source!$C188), IF(Source!$G188=COLUMNS($A188:A188), A187&amp;RIGHT(INDIRECT(ADDRESS(ROW(A188)-1, Source!$E188)), Source!$C188), A187))</f>
        <v/>
      </c>
      <c r="B188" s="2" t="str">
        <f>IF(Source!$E188=COLUMNS($A188:B188), LEFT(B187, LEN(B187)-Source!$C188), IF(Source!$G188=COLUMNS($A188:B188), B187&amp;RIGHT(INDIRECT(ADDRESS(ROW(B188)-1, Source!$E188)), Source!$C188), B187))</f>
        <v>FT</v>
      </c>
      <c r="C188" s="2" t="str">
        <f>IF(Source!$E188=COLUMNS($A188:C188), LEFT(C187, LEN(C187)-Source!$C188), IF(Source!$G188=COLUMNS($A188:C188), C187&amp;RIGHT(INDIRECT(ADDRESS(ROW(C188)-1, Source!$E188)), Source!$C188), C187))</f>
        <v>SPVJ</v>
      </c>
      <c r="D188" s="2" t="str">
        <f>IF(Source!$E188=COLUMNS($A188:D188), LEFT(D187, LEN(D187)-Source!$C188), IF(Source!$G188=COLUMNS($A188:D188), D187&amp;RIGHT(INDIRECT(ADDRESS(ROW(D188)-1, Source!$E188)), Source!$C188), D187))</f>
        <v/>
      </c>
      <c r="E188" s="2" t="str">
        <f>IF(Source!$E188=COLUMNS($A188:E188), LEFT(E187, LEN(E187)-Source!$C188), IF(Source!$G188=COLUMNS($A188:E188), E187&amp;RIGHT(INDIRECT(ADDRESS(ROW(E188)-1, Source!$E188)), Source!$C188), E187))</f>
        <v>MLWRJTLBTJSM</v>
      </c>
      <c r="F188" s="2" t="str">
        <f>IF(Source!$E188=COLUMNS($A188:F188), LEFT(F187, LEN(F187)-Source!$C188), IF(Source!$G188=COLUMNS($A188:F188), F187&amp;RIGHT(INDIRECT(ADDRESS(ROW(F188)-1, Source!$E188)), Source!$C188), F187))</f>
        <v>DTRRFLDDVCGZQRQPTSDSG</v>
      </c>
      <c r="G188" s="2" t="str">
        <f>IF(Source!$E188=COLUMNS($A188:G188), LEFT(G187, LEN(G187)-Source!$C188), IF(Source!$G188=COLUMNS($A188:G188), G187&amp;RIGHT(INDIRECT(ADDRESS(ROW(G188)-1, Source!$E188)), Source!$C188), G187))</f>
        <v>BMBCWH</v>
      </c>
      <c r="H188" s="2" t="str">
        <f>IF(Source!$E188=COLUMNS($A188:H188), LEFT(H187, LEN(H187)-Source!$C188), IF(Source!$G188=COLUMNS($A188:H188), H187&amp;RIGHT(INDIRECT(ADDRESS(ROW(H188)-1, Source!$E188)), Source!$C188), H187))</f>
        <v>TCDBZHRPDVZ</v>
      </c>
      <c r="I188" s="2" t="str">
        <f>IF(Source!$E188=COLUMNS($A188:I188), LEFT(I187, LEN(I187)-Source!$C188), IF(Source!$G188=COLUMNS($A188:I188), I187&amp;RIGHT(INDIRECT(ADDRESS(ROW(I188)-1, Source!$E188)), Source!$C188), I187))</f>
        <v/>
      </c>
    </row>
    <row r="189">
      <c r="A189" s="2" t="str">
        <f>IF(Source!$E189=COLUMNS($A189:A189), LEFT(A188, LEN(A188)-Source!$C189), IF(Source!$G189=COLUMNS($A189:A189), A188&amp;RIGHT(INDIRECT(ADDRESS(ROW(A189)-1, Source!$E189)), Source!$C189), A188))</f>
        <v/>
      </c>
      <c r="B189" s="2" t="str">
        <f>IF(Source!$E189=COLUMNS($A189:B189), LEFT(B188, LEN(B188)-Source!$C189), IF(Source!$G189=COLUMNS($A189:B189), B188&amp;RIGHT(INDIRECT(ADDRESS(ROW(B189)-1, Source!$E189)), Source!$C189), B188))</f>
        <v>FT</v>
      </c>
      <c r="C189" s="2" t="str">
        <f>IF(Source!$E189=COLUMNS($A189:C189), LEFT(C188, LEN(C188)-Source!$C189), IF(Source!$G189=COLUMNS($A189:C189), C188&amp;RIGHT(INDIRECT(ADDRESS(ROW(C189)-1, Source!$E189)), Source!$C189), C188))</f>
        <v>SPVJ</v>
      </c>
      <c r="D189" s="2" t="str">
        <f>IF(Source!$E189=COLUMNS($A189:D189), LEFT(D188, LEN(D188)-Source!$C189), IF(Source!$G189=COLUMNS($A189:D189), D188&amp;RIGHT(INDIRECT(ADDRESS(ROW(D189)-1, Source!$E189)), Source!$C189), D188))</f>
        <v/>
      </c>
      <c r="E189" s="2" t="str">
        <f>IF(Source!$E189=COLUMNS($A189:E189), LEFT(E188, LEN(E188)-Source!$C189), IF(Source!$G189=COLUMNS($A189:E189), E188&amp;RIGHT(INDIRECT(ADDRESS(ROW(E189)-1, Source!$E189)), Source!$C189), E188))</f>
        <v>MLWRJTLBTJSMBZHRPDVZ</v>
      </c>
      <c r="F189" s="2" t="str">
        <f>IF(Source!$E189=COLUMNS($A189:F189), LEFT(F188, LEN(F188)-Source!$C189), IF(Source!$G189=COLUMNS($A189:F189), F188&amp;RIGHT(INDIRECT(ADDRESS(ROW(F189)-1, Source!$E189)), Source!$C189), F188))</f>
        <v>DTRRFLDDVCGZQRQPTSDSG</v>
      </c>
      <c r="G189" s="2" t="str">
        <f>IF(Source!$E189=COLUMNS($A189:G189), LEFT(G188, LEN(G188)-Source!$C189), IF(Source!$G189=COLUMNS($A189:G189), G188&amp;RIGHT(INDIRECT(ADDRESS(ROW(G189)-1, Source!$E189)), Source!$C189), G188))</f>
        <v>BMBCWH</v>
      </c>
      <c r="H189" s="2" t="str">
        <f>IF(Source!$E189=COLUMNS($A189:H189), LEFT(H188, LEN(H188)-Source!$C189), IF(Source!$G189=COLUMNS($A189:H189), H188&amp;RIGHT(INDIRECT(ADDRESS(ROW(H189)-1, Source!$E189)), Source!$C189), H188))</f>
        <v>TCD</v>
      </c>
      <c r="I189" s="2" t="str">
        <f>IF(Source!$E189=COLUMNS($A189:I189), LEFT(I188, LEN(I188)-Source!$C189), IF(Source!$G189=COLUMNS($A189:I189), I188&amp;RIGHT(INDIRECT(ADDRESS(ROW(I189)-1, Source!$E189)), Source!$C189), I188))</f>
        <v/>
      </c>
    </row>
    <row r="190">
      <c r="A190" s="2" t="str">
        <f>IF(Source!$E190=COLUMNS($A190:A190), LEFT(A189, LEN(A189)-Source!$C190), IF(Source!$G190=COLUMNS($A190:A190), A189&amp;RIGHT(INDIRECT(ADDRESS(ROW(A190)-1, Source!$E190)), Source!$C190), A189))</f>
        <v/>
      </c>
      <c r="B190" s="2" t="str">
        <f>IF(Source!$E190=COLUMNS($A190:B190), LEFT(B189, LEN(B189)-Source!$C190), IF(Source!$G190=COLUMNS($A190:B190), B189&amp;RIGHT(INDIRECT(ADDRESS(ROW(B190)-1, Source!$E190)), Source!$C190), B189))</f>
        <v>FT</v>
      </c>
      <c r="C190" s="2" t="str">
        <f>IF(Source!$E190=COLUMNS($A190:C190), LEFT(C189, LEN(C189)-Source!$C190), IF(Source!$G190=COLUMNS($A190:C190), C189&amp;RIGHT(INDIRECT(ADDRESS(ROW(C190)-1, Source!$E190)), Source!$C190), C189))</f>
        <v>SPVJMLWRJTLBTJSMBZHRPDVZ</v>
      </c>
      <c r="D190" s="2" t="str">
        <f>IF(Source!$E190=COLUMNS($A190:D190), LEFT(D189, LEN(D189)-Source!$C190), IF(Source!$G190=COLUMNS($A190:D190), D189&amp;RIGHT(INDIRECT(ADDRESS(ROW(D190)-1, Source!$E190)), Source!$C190), D189))</f>
        <v/>
      </c>
      <c r="E190" s="2" t="str">
        <f>IF(Source!$E190=COLUMNS($A190:E190), LEFT(E189, LEN(E189)-Source!$C190), IF(Source!$G190=COLUMNS($A190:E190), E189&amp;RIGHT(INDIRECT(ADDRESS(ROW(E190)-1, Source!$E190)), Source!$C190), E189))</f>
        <v/>
      </c>
      <c r="F190" s="2" t="str">
        <f>IF(Source!$E190=COLUMNS($A190:F190), LEFT(F189, LEN(F189)-Source!$C190), IF(Source!$G190=COLUMNS($A190:F190), F189&amp;RIGHT(INDIRECT(ADDRESS(ROW(F190)-1, Source!$E190)), Source!$C190), F189))</f>
        <v>DTRRFLDDVCGZQRQPTSDSG</v>
      </c>
      <c r="G190" s="2" t="str">
        <f>IF(Source!$E190=COLUMNS($A190:G190), LEFT(G189, LEN(G189)-Source!$C190), IF(Source!$G190=COLUMNS($A190:G190), G189&amp;RIGHT(INDIRECT(ADDRESS(ROW(G190)-1, Source!$E190)), Source!$C190), G189))</f>
        <v>BMBCWH</v>
      </c>
      <c r="H190" s="2" t="str">
        <f>IF(Source!$E190=COLUMNS($A190:H190), LEFT(H189, LEN(H189)-Source!$C190), IF(Source!$G190=COLUMNS($A190:H190), H189&amp;RIGHT(INDIRECT(ADDRESS(ROW(H190)-1, Source!$E190)), Source!$C190), H189))</f>
        <v>TCD</v>
      </c>
      <c r="I190" s="2" t="str">
        <f>IF(Source!$E190=COLUMNS($A190:I190), LEFT(I189, LEN(I189)-Source!$C190), IF(Source!$G190=COLUMNS($A190:I190), I189&amp;RIGHT(INDIRECT(ADDRESS(ROW(I190)-1, Source!$E190)), Source!$C190), I189))</f>
        <v/>
      </c>
    </row>
    <row r="191">
      <c r="A191" s="2" t="str">
        <f>IF(Source!$E191=COLUMNS($A191:A191), LEFT(A190, LEN(A190)-Source!$C191), IF(Source!$G191=COLUMNS($A191:A191), A190&amp;RIGHT(INDIRECT(ADDRESS(ROW(A191)-1, Source!$E191)), Source!$C191), A190))</f>
        <v/>
      </c>
      <c r="B191" s="2" t="str">
        <f>IF(Source!$E191=COLUMNS($A191:B191), LEFT(B190, LEN(B190)-Source!$C191), IF(Source!$G191=COLUMNS($A191:B191), B190&amp;RIGHT(INDIRECT(ADDRESS(ROW(B191)-1, Source!$E191)), Source!$C191), B190))</f>
        <v/>
      </c>
      <c r="C191" s="2" t="str">
        <f>IF(Source!$E191=COLUMNS($A191:C191), LEFT(C190, LEN(C190)-Source!$C191), IF(Source!$G191=COLUMNS($A191:C191), C190&amp;RIGHT(INDIRECT(ADDRESS(ROW(C191)-1, Source!$E191)), Source!$C191), C190))</f>
        <v>SPVJMLWRJTLBTJSMBZHRPDVZ</v>
      </c>
      <c r="D191" s="2" t="str">
        <f>IF(Source!$E191=COLUMNS($A191:D191), LEFT(D190, LEN(D190)-Source!$C191), IF(Source!$G191=COLUMNS($A191:D191), D190&amp;RIGHT(INDIRECT(ADDRESS(ROW(D191)-1, Source!$E191)), Source!$C191), D190))</f>
        <v/>
      </c>
      <c r="E191" s="2" t="str">
        <f>IF(Source!$E191=COLUMNS($A191:E191), LEFT(E190, LEN(E190)-Source!$C191), IF(Source!$G191=COLUMNS($A191:E191), E190&amp;RIGHT(INDIRECT(ADDRESS(ROW(E191)-1, Source!$E191)), Source!$C191), E190))</f>
        <v/>
      </c>
      <c r="F191" s="2" t="str">
        <f>IF(Source!$E191=COLUMNS($A191:F191), LEFT(F190, LEN(F190)-Source!$C191), IF(Source!$G191=COLUMNS($A191:F191), F190&amp;RIGHT(INDIRECT(ADDRESS(ROW(F191)-1, Source!$E191)), Source!$C191), F190))</f>
        <v>DTRRFLDDVCGZQRQPTSDSG</v>
      </c>
      <c r="G191" s="2" t="str">
        <f>IF(Source!$E191=COLUMNS($A191:G191), LEFT(G190, LEN(G190)-Source!$C191), IF(Source!$G191=COLUMNS($A191:G191), G190&amp;RIGHT(INDIRECT(ADDRESS(ROW(G191)-1, Source!$E191)), Source!$C191), G190))</f>
        <v>BMBCWH</v>
      </c>
      <c r="H191" s="2" t="str">
        <f>IF(Source!$E191=COLUMNS($A191:H191), LEFT(H190, LEN(H190)-Source!$C191), IF(Source!$G191=COLUMNS($A191:H191), H190&amp;RIGHT(INDIRECT(ADDRESS(ROW(H191)-1, Source!$E191)), Source!$C191), H190))</f>
        <v>TCDFT</v>
      </c>
      <c r="I191" s="2" t="str">
        <f>IF(Source!$E191=COLUMNS($A191:I191), LEFT(I190, LEN(I190)-Source!$C191), IF(Source!$G191=COLUMNS($A191:I191), I190&amp;RIGHT(INDIRECT(ADDRESS(ROW(I191)-1, Source!$E191)), Source!$C191), I190))</f>
        <v/>
      </c>
    </row>
    <row r="192">
      <c r="A192" s="2" t="str">
        <f>IF(Source!$E192=COLUMNS($A192:A192), LEFT(A191, LEN(A191)-Source!$C192), IF(Source!$G192=COLUMNS($A192:A192), A191&amp;RIGHT(INDIRECT(ADDRESS(ROW(A192)-1, Source!$E192)), Source!$C192), A191))</f>
        <v>BMBCWH</v>
      </c>
      <c r="B192" s="2" t="str">
        <f>IF(Source!$E192=COLUMNS($A192:B192), LEFT(B191, LEN(B191)-Source!$C192), IF(Source!$G192=COLUMNS($A192:B192), B191&amp;RIGHT(INDIRECT(ADDRESS(ROW(B192)-1, Source!$E192)), Source!$C192), B191))</f>
        <v/>
      </c>
      <c r="C192" s="2" t="str">
        <f>IF(Source!$E192=COLUMNS($A192:C192), LEFT(C191, LEN(C191)-Source!$C192), IF(Source!$G192=COLUMNS($A192:C192), C191&amp;RIGHT(INDIRECT(ADDRESS(ROW(C192)-1, Source!$E192)), Source!$C192), C191))</f>
        <v>SPVJMLWRJTLBTJSMBZHRPDVZ</v>
      </c>
      <c r="D192" s="2" t="str">
        <f>IF(Source!$E192=COLUMNS($A192:D192), LEFT(D191, LEN(D191)-Source!$C192), IF(Source!$G192=COLUMNS($A192:D192), D191&amp;RIGHT(INDIRECT(ADDRESS(ROW(D192)-1, Source!$E192)), Source!$C192), D191))</f>
        <v/>
      </c>
      <c r="E192" s="2" t="str">
        <f>IF(Source!$E192=COLUMNS($A192:E192), LEFT(E191, LEN(E191)-Source!$C192), IF(Source!$G192=COLUMNS($A192:E192), E191&amp;RIGHT(INDIRECT(ADDRESS(ROW(E192)-1, Source!$E192)), Source!$C192), E191))</f>
        <v/>
      </c>
      <c r="F192" s="2" t="str">
        <f>IF(Source!$E192=COLUMNS($A192:F192), LEFT(F191, LEN(F191)-Source!$C192), IF(Source!$G192=COLUMNS($A192:F192), F191&amp;RIGHT(INDIRECT(ADDRESS(ROW(F192)-1, Source!$E192)), Source!$C192), F191))</f>
        <v>DTRRFLDDVCGZQRQPTSDSG</v>
      </c>
      <c r="G192" s="2" t="str">
        <f>IF(Source!$E192=COLUMNS($A192:G192), LEFT(G191, LEN(G191)-Source!$C192), IF(Source!$G192=COLUMNS($A192:G192), G191&amp;RIGHT(INDIRECT(ADDRESS(ROW(G192)-1, Source!$E192)), Source!$C192), G191))</f>
        <v/>
      </c>
      <c r="H192" s="2" t="str">
        <f>IF(Source!$E192=COLUMNS($A192:H192), LEFT(H191, LEN(H191)-Source!$C192), IF(Source!$G192=COLUMNS($A192:H192), H191&amp;RIGHT(INDIRECT(ADDRESS(ROW(H192)-1, Source!$E192)), Source!$C192), H191))</f>
        <v>TCDFT</v>
      </c>
      <c r="I192" s="2" t="str">
        <f>IF(Source!$E192=COLUMNS($A192:I192), LEFT(I191, LEN(I191)-Source!$C192), IF(Source!$G192=COLUMNS($A192:I192), I191&amp;RIGHT(INDIRECT(ADDRESS(ROW(I192)-1, Source!$E192)), Source!$C192), I191))</f>
        <v/>
      </c>
    </row>
    <row r="193">
      <c r="A193" s="2" t="str">
        <f>IF(Source!$E193=COLUMNS($A193:A193), LEFT(A192, LEN(A192)-Source!$C193), IF(Source!$G193=COLUMNS($A193:A193), A192&amp;RIGHT(INDIRECT(ADDRESS(ROW(A193)-1, Source!$E193)), Source!$C193), A192))</f>
        <v>BMBCWH</v>
      </c>
      <c r="B193" s="2" t="str">
        <f>IF(Source!$E193=COLUMNS($A193:B193), LEFT(B192, LEN(B192)-Source!$C193), IF(Source!$G193=COLUMNS($A193:B193), B192&amp;RIGHT(INDIRECT(ADDRESS(ROW(B193)-1, Source!$E193)), Source!$C193), B192))</f>
        <v/>
      </c>
      <c r="C193" s="2" t="str">
        <f>IF(Source!$E193=COLUMNS($A193:C193), LEFT(C192, LEN(C192)-Source!$C193), IF(Source!$G193=COLUMNS($A193:C193), C192&amp;RIGHT(INDIRECT(ADDRESS(ROW(C193)-1, Source!$E193)), Source!$C193), C192))</f>
        <v>SPVJMLWRJTLBTJSMBZHRPDVZZQRQPTSDSG</v>
      </c>
      <c r="D193" s="2" t="str">
        <f>IF(Source!$E193=COLUMNS($A193:D193), LEFT(D192, LEN(D192)-Source!$C193), IF(Source!$G193=COLUMNS($A193:D193), D192&amp;RIGHT(INDIRECT(ADDRESS(ROW(D193)-1, Source!$E193)), Source!$C193), D192))</f>
        <v/>
      </c>
      <c r="E193" s="2" t="str">
        <f>IF(Source!$E193=COLUMNS($A193:E193), LEFT(E192, LEN(E192)-Source!$C193), IF(Source!$G193=COLUMNS($A193:E193), E192&amp;RIGHT(INDIRECT(ADDRESS(ROW(E193)-1, Source!$E193)), Source!$C193), E192))</f>
        <v/>
      </c>
      <c r="F193" s="2" t="str">
        <f>IF(Source!$E193=COLUMNS($A193:F193), LEFT(F192, LEN(F192)-Source!$C193), IF(Source!$G193=COLUMNS($A193:F193), F192&amp;RIGHT(INDIRECT(ADDRESS(ROW(F193)-1, Source!$E193)), Source!$C193), F192))</f>
        <v>DTRRFLDDVCG</v>
      </c>
      <c r="G193" s="2" t="str">
        <f>IF(Source!$E193=COLUMNS($A193:G193), LEFT(G192, LEN(G192)-Source!$C193), IF(Source!$G193=COLUMNS($A193:G193), G192&amp;RIGHT(INDIRECT(ADDRESS(ROW(G193)-1, Source!$E193)), Source!$C193), G192))</f>
        <v/>
      </c>
      <c r="H193" s="2" t="str">
        <f>IF(Source!$E193=COLUMNS($A193:H193), LEFT(H192, LEN(H192)-Source!$C193), IF(Source!$G193=COLUMNS($A193:H193), H192&amp;RIGHT(INDIRECT(ADDRESS(ROW(H193)-1, Source!$E193)), Source!$C193), H192))</f>
        <v>TCDFT</v>
      </c>
      <c r="I193" s="2" t="str">
        <f>IF(Source!$E193=COLUMNS($A193:I193), LEFT(I192, LEN(I192)-Source!$C193), IF(Source!$G193=COLUMNS($A193:I193), I192&amp;RIGHT(INDIRECT(ADDRESS(ROW(I193)-1, Source!$E193)), Source!$C193), I192))</f>
        <v/>
      </c>
    </row>
    <row r="194">
      <c r="A194" s="2" t="str">
        <f>IF(Source!$E194=COLUMNS($A194:A194), LEFT(A193, LEN(A193)-Source!$C194), IF(Source!$G194=COLUMNS($A194:A194), A193&amp;RIGHT(INDIRECT(ADDRESS(ROW(A194)-1, Source!$E194)), Source!$C194), A193))</f>
        <v>BMBCWH</v>
      </c>
      <c r="B194" s="2" t="str">
        <f>IF(Source!$E194=COLUMNS($A194:B194), LEFT(B193, LEN(B193)-Source!$C194), IF(Source!$G194=COLUMNS($A194:B194), B193&amp;RIGHT(INDIRECT(ADDRESS(ROW(B194)-1, Source!$E194)), Source!$C194), B193))</f>
        <v/>
      </c>
      <c r="C194" s="2" t="str">
        <f>IF(Source!$E194=COLUMNS($A194:C194), LEFT(C193, LEN(C193)-Source!$C194), IF(Source!$G194=COLUMNS($A194:C194), C193&amp;RIGHT(INDIRECT(ADDRESS(ROW(C194)-1, Source!$E194)), Source!$C194), C193))</f>
        <v>SPVJMLWRJTLBTJSMBZHRPDVZZQRQPTSDSG</v>
      </c>
      <c r="D194" s="2" t="str">
        <f>IF(Source!$E194=COLUMNS($A194:D194), LEFT(D193, LEN(D193)-Source!$C194), IF(Source!$G194=COLUMNS($A194:D194), D193&amp;RIGHT(INDIRECT(ADDRESS(ROW(D194)-1, Source!$E194)), Source!$C194), D193))</f>
        <v/>
      </c>
      <c r="E194" s="2" t="str">
        <f>IF(Source!$E194=COLUMNS($A194:E194), LEFT(E193, LEN(E193)-Source!$C194), IF(Source!$G194=COLUMNS($A194:E194), E193&amp;RIGHT(INDIRECT(ADDRESS(ROW(E194)-1, Source!$E194)), Source!$C194), E193))</f>
        <v/>
      </c>
      <c r="F194" s="2" t="str">
        <f>IF(Source!$E194=COLUMNS($A194:F194), LEFT(F193, LEN(F193)-Source!$C194), IF(Source!$G194=COLUMNS($A194:F194), F193&amp;RIGHT(INDIRECT(ADDRESS(ROW(F194)-1, Source!$E194)), Source!$C194), F193))</f>
        <v>DTRRFLD</v>
      </c>
      <c r="G194" s="2" t="str">
        <f>IF(Source!$E194=COLUMNS($A194:G194), LEFT(G193, LEN(G193)-Source!$C194), IF(Source!$G194=COLUMNS($A194:G194), G193&amp;RIGHT(INDIRECT(ADDRESS(ROW(G194)-1, Source!$E194)), Source!$C194), G193))</f>
        <v>DVCG</v>
      </c>
      <c r="H194" s="2" t="str">
        <f>IF(Source!$E194=COLUMNS($A194:H194), LEFT(H193, LEN(H193)-Source!$C194), IF(Source!$G194=COLUMNS($A194:H194), H193&amp;RIGHT(INDIRECT(ADDRESS(ROW(H194)-1, Source!$E194)), Source!$C194), H193))</f>
        <v>TCDFT</v>
      </c>
      <c r="I194" s="2" t="str">
        <f>IF(Source!$E194=COLUMNS($A194:I194), LEFT(I193, LEN(I193)-Source!$C194), IF(Source!$G194=COLUMNS($A194:I194), I193&amp;RIGHT(INDIRECT(ADDRESS(ROW(I194)-1, Source!$E194)), Source!$C194), I193))</f>
        <v/>
      </c>
    </row>
    <row r="195">
      <c r="A195" s="2" t="str">
        <f>IF(Source!$E195=COLUMNS($A195:A195), LEFT(A194, LEN(A194)-Source!$C195), IF(Source!$G195=COLUMNS($A195:A195), A194&amp;RIGHT(INDIRECT(ADDRESS(ROW(A195)-1, Source!$E195)), Source!$C195), A194))</f>
        <v>BM</v>
      </c>
      <c r="B195" s="2" t="str">
        <f>IF(Source!$E195=COLUMNS($A195:B195), LEFT(B194, LEN(B194)-Source!$C195), IF(Source!$G195=COLUMNS($A195:B195), B194&amp;RIGHT(INDIRECT(ADDRESS(ROW(B195)-1, Source!$E195)), Source!$C195), B194))</f>
        <v/>
      </c>
      <c r="C195" s="2" t="str">
        <f>IF(Source!$E195=COLUMNS($A195:C195), LEFT(C194, LEN(C194)-Source!$C195), IF(Source!$G195=COLUMNS($A195:C195), C194&amp;RIGHT(INDIRECT(ADDRESS(ROW(C195)-1, Source!$E195)), Source!$C195), C194))</f>
        <v>SPVJMLWRJTLBTJSMBZHRPDVZZQRQPTSDSG</v>
      </c>
      <c r="D195" s="2" t="str">
        <f>IF(Source!$E195=COLUMNS($A195:D195), LEFT(D194, LEN(D194)-Source!$C195), IF(Source!$G195=COLUMNS($A195:D195), D194&amp;RIGHT(INDIRECT(ADDRESS(ROW(D195)-1, Source!$E195)), Source!$C195), D194))</f>
        <v/>
      </c>
      <c r="E195" s="2" t="str">
        <f>IF(Source!$E195=COLUMNS($A195:E195), LEFT(E194, LEN(E194)-Source!$C195), IF(Source!$G195=COLUMNS($A195:E195), E194&amp;RIGHT(INDIRECT(ADDRESS(ROW(E195)-1, Source!$E195)), Source!$C195), E194))</f>
        <v/>
      </c>
      <c r="F195" s="2" t="str">
        <f>IF(Source!$E195=COLUMNS($A195:F195), LEFT(F194, LEN(F194)-Source!$C195), IF(Source!$G195=COLUMNS($A195:F195), F194&amp;RIGHT(INDIRECT(ADDRESS(ROW(F195)-1, Source!$E195)), Source!$C195), F194))</f>
        <v>DTRRFLD</v>
      </c>
      <c r="G195" s="2" t="str">
        <f>IF(Source!$E195=COLUMNS($A195:G195), LEFT(G194, LEN(G194)-Source!$C195), IF(Source!$G195=COLUMNS($A195:G195), G194&amp;RIGHT(INDIRECT(ADDRESS(ROW(G195)-1, Source!$E195)), Source!$C195), G194))</f>
        <v>DVCG</v>
      </c>
      <c r="H195" s="2" t="str">
        <f>IF(Source!$E195=COLUMNS($A195:H195), LEFT(H194, LEN(H194)-Source!$C195), IF(Source!$G195=COLUMNS($A195:H195), H194&amp;RIGHT(INDIRECT(ADDRESS(ROW(H195)-1, Source!$E195)), Source!$C195), H194))</f>
        <v>TCDFT</v>
      </c>
      <c r="I195" s="2" t="str">
        <f>IF(Source!$E195=COLUMNS($A195:I195), LEFT(I194, LEN(I194)-Source!$C195), IF(Source!$G195=COLUMNS($A195:I195), I194&amp;RIGHT(INDIRECT(ADDRESS(ROW(I195)-1, Source!$E195)), Source!$C195), I194))</f>
        <v>BCWH</v>
      </c>
    </row>
    <row r="196">
      <c r="A196" s="2" t="str">
        <f>IF(Source!$E196=COLUMNS($A196:A196), LEFT(A195, LEN(A195)-Source!$C196), IF(Source!$G196=COLUMNS($A196:A196), A195&amp;RIGHT(INDIRECT(ADDRESS(ROW(A196)-1, Source!$E196)), Source!$C196), A195))</f>
        <v/>
      </c>
      <c r="B196" s="2" t="str">
        <f>IF(Source!$E196=COLUMNS($A196:B196), LEFT(B195, LEN(B195)-Source!$C196), IF(Source!$G196=COLUMNS($A196:B196), B195&amp;RIGHT(INDIRECT(ADDRESS(ROW(B196)-1, Source!$E196)), Source!$C196), B195))</f>
        <v>BM</v>
      </c>
      <c r="C196" s="2" t="str">
        <f>IF(Source!$E196=COLUMNS($A196:C196), LEFT(C195, LEN(C195)-Source!$C196), IF(Source!$G196=COLUMNS($A196:C196), C195&amp;RIGHT(INDIRECT(ADDRESS(ROW(C196)-1, Source!$E196)), Source!$C196), C195))</f>
        <v>SPVJMLWRJTLBTJSMBZHRPDVZZQRQPTSDSG</v>
      </c>
      <c r="D196" s="2" t="str">
        <f>IF(Source!$E196=COLUMNS($A196:D196), LEFT(D195, LEN(D195)-Source!$C196), IF(Source!$G196=COLUMNS($A196:D196), D195&amp;RIGHT(INDIRECT(ADDRESS(ROW(D196)-1, Source!$E196)), Source!$C196), D195))</f>
        <v/>
      </c>
      <c r="E196" s="2" t="str">
        <f>IF(Source!$E196=COLUMNS($A196:E196), LEFT(E195, LEN(E195)-Source!$C196), IF(Source!$G196=COLUMNS($A196:E196), E195&amp;RIGHT(INDIRECT(ADDRESS(ROW(E196)-1, Source!$E196)), Source!$C196), E195))</f>
        <v/>
      </c>
      <c r="F196" s="2" t="str">
        <f>IF(Source!$E196=COLUMNS($A196:F196), LEFT(F195, LEN(F195)-Source!$C196), IF(Source!$G196=COLUMNS($A196:F196), F195&amp;RIGHT(INDIRECT(ADDRESS(ROW(F196)-1, Source!$E196)), Source!$C196), F195))</f>
        <v>DTRRFLD</v>
      </c>
      <c r="G196" s="2" t="str">
        <f>IF(Source!$E196=COLUMNS($A196:G196), LEFT(G195, LEN(G195)-Source!$C196), IF(Source!$G196=COLUMNS($A196:G196), G195&amp;RIGHT(INDIRECT(ADDRESS(ROW(G196)-1, Source!$E196)), Source!$C196), G195))</f>
        <v>DVCG</v>
      </c>
      <c r="H196" s="2" t="str">
        <f>IF(Source!$E196=COLUMNS($A196:H196), LEFT(H195, LEN(H195)-Source!$C196), IF(Source!$G196=COLUMNS($A196:H196), H195&amp;RIGHT(INDIRECT(ADDRESS(ROW(H196)-1, Source!$E196)), Source!$C196), H195))</f>
        <v>TCDFT</v>
      </c>
      <c r="I196" s="2" t="str">
        <f>IF(Source!$E196=COLUMNS($A196:I196), LEFT(I195, LEN(I195)-Source!$C196), IF(Source!$G196=COLUMNS($A196:I196), I195&amp;RIGHT(INDIRECT(ADDRESS(ROW(I196)-1, Source!$E196)), Source!$C196), I195))</f>
        <v>BCWH</v>
      </c>
    </row>
    <row r="197">
      <c r="A197" s="2" t="str">
        <f>IF(Source!$E197=COLUMNS($A197:A197), LEFT(A196, LEN(A196)-Source!$C197), IF(Source!$G197=COLUMNS($A197:A197), A196&amp;RIGHT(INDIRECT(ADDRESS(ROW(A197)-1, Source!$E197)), Source!$C197), A196))</f>
        <v/>
      </c>
      <c r="B197" s="2" t="str">
        <f>IF(Source!$E197=COLUMNS($A197:B197), LEFT(B196, LEN(B196)-Source!$C197), IF(Source!$G197=COLUMNS($A197:B197), B196&amp;RIGHT(INDIRECT(ADDRESS(ROW(B197)-1, Source!$E197)), Source!$C197), B196))</f>
        <v>BM</v>
      </c>
      <c r="C197" s="2" t="str">
        <f>IF(Source!$E197=COLUMNS($A197:C197), LEFT(C196, LEN(C196)-Source!$C197), IF(Source!$G197=COLUMNS($A197:C197), C196&amp;RIGHT(INDIRECT(ADDRESS(ROW(C197)-1, Source!$E197)), Source!$C197), C196))</f>
        <v>SPVJMLWRJTLBTJSMBZHRPDVZZQRQPTSDSG</v>
      </c>
      <c r="D197" s="2" t="str">
        <f>IF(Source!$E197=COLUMNS($A197:D197), LEFT(D196, LEN(D196)-Source!$C197), IF(Source!$G197=COLUMNS($A197:D197), D196&amp;RIGHT(INDIRECT(ADDRESS(ROW(D197)-1, Source!$E197)), Source!$C197), D196))</f>
        <v/>
      </c>
      <c r="E197" s="2" t="str">
        <f>IF(Source!$E197=COLUMNS($A197:E197), LEFT(E196, LEN(E196)-Source!$C197), IF(Source!$G197=COLUMNS($A197:E197), E196&amp;RIGHT(INDIRECT(ADDRESS(ROW(E197)-1, Source!$E197)), Source!$C197), E196))</f>
        <v/>
      </c>
      <c r="F197" s="2" t="str">
        <f>IF(Source!$E197=COLUMNS($A197:F197), LEFT(F196, LEN(F196)-Source!$C197), IF(Source!$G197=COLUMNS($A197:F197), F196&amp;RIGHT(INDIRECT(ADDRESS(ROW(F197)-1, Source!$E197)), Source!$C197), F196))</f>
        <v>DTRR</v>
      </c>
      <c r="G197" s="2" t="str">
        <f>IF(Source!$E197=COLUMNS($A197:G197), LEFT(G196, LEN(G196)-Source!$C197), IF(Source!$G197=COLUMNS($A197:G197), G196&amp;RIGHT(INDIRECT(ADDRESS(ROW(G197)-1, Source!$E197)), Source!$C197), G196))</f>
        <v>DVCG</v>
      </c>
      <c r="H197" s="2" t="str">
        <f>IF(Source!$E197=COLUMNS($A197:H197), LEFT(H196, LEN(H196)-Source!$C197), IF(Source!$G197=COLUMNS($A197:H197), H196&amp;RIGHT(INDIRECT(ADDRESS(ROW(H197)-1, Source!$E197)), Source!$C197), H196))</f>
        <v>TCDFT</v>
      </c>
      <c r="I197" s="2" t="str">
        <f>IF(Source!$E197=COLUMNS($A197:I197), LEFT(I196, LEN(I196)-Source!$C197), IF(Source!$G197=COLUMNS($A197:I197), I196&amp;RIGHT(INDIRECT(ADDRESS(ROW(I197)-1, Source!$E197)), Source!$C197), I196))</f>
        <v>BCWHFLD</v>
      </c>
    </row>
    <row r="198">
      <c r="A198" s="2" t="str">
        <f>IF(Source!$E198=COLUMNS($A198:A198), LEFT(A197, LEN(A197)-Source!$C198), IF(Source!$G198=COLUMNS($A198:A198), A197&amp;RIGHT(INDIRECT(ADDRESS(ROW(A198)-1, Source!$E198)), Source!$C198), A197))</f>
        <v/>
      </c>
      <c r="B198" s="2" t="str">
        <f>IF(Source!$E198=COLUMNS($A198:B198), LEFT(B197, LEN(B197)-Source!$C198), IF(Source!$G198=COLUMNS($A198:B198), B197&amp;RIGHT(INDIRECT(ADDRESS(ROW(B198)-1, Source!$E198)), Source!$C198), B197))</f>
        <v>BM</v>
      </c>
      <c r="C198" s="2" t="str">
        <f>IF(Source!$E198=COLUMNS($A198:C198), LEFT(C197, LEN(C197)-Source!$C198), IF(Source!$G198=COLUMNS($A198:C198), C197&amp;RIGHT(INDIRECT(ADDRESS(ROW(C198)-1, Source!$E198)), Source!$C198), C197))</f>
        <v>SPVJMLWRJTLBTJSMBZHRPDVZZQRQPTSDSGTCDFT</v>
      </c>
      <c r="D198" s="2" t="str">
        <f>IF(Source!$E198=COLUMNS($A198:D198), LEFT(D197, LEN(D197)-Source!$C198), IF(Source!$G198=COLUMNS($A198:D198), D197&amp;RIGHT(INDIRECT(ADDRESS(ROW(D198)-1, Source!$E198)), Source!$C198), D197))</f>
        <v/>
      </c>
      <c r="E198" s="2" t="str">
        <f>IF(Source!$E198=COLUMNS($A198:E198), LEFT(E197, LEN(E197)-Source!$C198), IF(Source!$G198=COLUMNS($A198:E198), E197&amp;RIGHT(INDIRECT(ADDRESS(ROW(E198)-1, Source!$E198)), Source!$C198), E197))</f>
        <v/>
      </c>
      <c r="F198" s="2" t="str">
        <f>IF(Source!$E198=COLUMNS($A198:F198), LEFT(F197, LEN(F197)-Source!$C198), IF(Source!$G198=COLUMNS($A198:F198), F197&amp;RIGHT(INDIRECT(ADDRESS(ROW(F198)-1, Source!$E198)), Source!$C198), F197))</f>
        <v>DTRR</v>
      </c>
      <c r="G198" s="2" t="str">
        <f>IF(Source!$E198=COLUMNS($A198:G198), LEFT(G197, LEN(G197)-Source!$C198), IF(Source!$G198=COLUMNS($A198:G198), G197&amp;RIGHT(INDIRECT(ADDRESS(ROW(G198)-1, Source!$E198)), Source!$C198), G197))</f>
        <v>DVCG</v>
      </c>
      <c r="H198" s="2" t="str">
        <f>IF(Source!$E198=COLUMNS($A198:H198), LEFT(H197, LEN(H197)-Source!$C198), IF(Source!$G198=COLUMNS($A198:H198), H197&amp;RIGHT(INDIRECT(ADDRESS(ROW(H198)-1, Source!$E198)), Source!$C198), H197))</f>
        <v/>
      </c>
      <c r="I198" s="2" t="str">
        <f>IF(Source!$E198=COLUMNS($A198:I198), LEFT(I197, LEN(I197)-Source!$C198), IF(Source!$G198=COLUMNS($A198:I198), I197&amp;RIGHT(INDIRECT(ADDRESS(ROW(I198)-1, Source!$E198)), Source!$C198), I197))</f>
        <v>BCWHFLD</v>
      </c>
    </row>
    <row r="199">
      <c r="A199" s="2" t="str">
        <f>IF(Source!$E199=COLUMNS($A199:A199), LEFT(A198, LEN(A198)-Source!$C199), IF(Source!$G199=COLUMNS($A199:A199), A198&amp;RIGHT(INDIRECT(ADDRESS(ROW(A199)-1, Source!$E199)), Source!$C199), A198))</f>
        <v/>
      </c>
      <c r="B199" s="2" t="str">
        <f>IF(Source!$E199=COLUMNS($A199:B199), LEFT(B198, LEN(B198)-Source!$C199), IF(Source!$G199=COLUMNS($A199:B199), B198&amp;RIGHT(INDIRECT(ADDRESS(ROW(B199)-1, Source!$E199)), Source!$C199), B198))</f>
        <v>BM</v>
      </c>
      <c r="C199" s="2" t="str">
        <f>IF(Source!$E199=COLUMNS($A199:C199), LEFT(C198, LEN(C198)-Source!$C199), IF(Source!$G199=COLUMNS($A199:C199), C198&amp;RIGHT(INDIRECT(ADDRESS(ROW(C199)-1, Source!$E199)), Source!$C199), C198))</f>
        <v>SPVJMLWRJTLBTJSMBZHRPDVZZQRQPTSDSGTCDFT</v>
      </c>
      <c r="D199" s="2" t="str">
        <f>IF(Source!$E199=COLUMNS($A199:D199), LEFT(D198, LEN(D198)-Source!$C199), IF(Source!$G199=COLUMNS($A199:D199), D198&amp;RIGHT(INDIRECT(ADDRESS(ROW(D199)-1, Source!$E199)), Source!$C199), D198))</f>
        <v/>
      </c>
      <c r="E199" s="2" t="str">
        <f>IF(Source!$E199=COLUMNS($A199:E199), LEFT(E198, LEN(E198)-Source!$C199), IF(Source!$G199=COLUMNS($A199:E199), E198&amp;RIGHT(INDIRECT(ADDRESS(ROW(E199)-1, Source!$E199)), Source!$C199), E198))</f>
        <v/>
      </c>
      <c r="F199" s="2" t="str">
        <f>IF(Source!$E199=COLUMNS($A199:F199), LEFT(F198, LEN(F198)-Source!$C199), IF(Source!$G199=COLUMNS($A199:F199), F198&amp;RIGHT(INDIRECT(ADDRESS(ROW(F199)-1, Source!$E199)), Source!$C199), F198))</f>
        <v>DTRR</v>
      </c>
      <c r="G199" s="2" t="str">
        <f>IF(Source!$E199=COLUMNS($A199:G199), LEFT(G198, LEN(G198)-Source!$C199), IF(Source!$G199=COLUMNS($A199:G199), G198&amp;RIGHT(INDIRECT(ADDRESS(ROW(G199)-1, Source!$E199)), Source!$C199), G198))</f>
        <v>D</v>
      </c>
      <c r="H199" s="2" t="str">
        <f>IF(Source!$E199=COLUMNS($A199:H199), LEFT(H198, LEN(H198)-Source!$C199), IF(Source!$G199=COLUMNS($A199:H199), H198&amp;RIGHT(INDIRECT(ADDRESS(ROW(H199)-1, Source!$E199)), Source!$C199), H198))</f>
        <v/>
      </c>
      <c r="I199" s="2" t="str">
        <f>IF(Source!$E199=COLUMNS($A199:I199), LEFT(I198, LEN(I198)-Source!$C199), IF(Source!$G199=COLUMNS($A199:I199), I198&amp;RIGHT(INDIRECT(ADDRESS(ROW(I199)-1, Source!$E199)), Source!$C199), I198))</f>
        <v>BCWHFLDVCG</v>
      </c>
    </row>
    <row r="200">
      <c r="A200" s="2" t="str">
        <f>IF(Source!$E200=COLUMNS($A200:A200), LEFT(A199, LEN(A199)-Source!$C200), IF(Source!$G200=COLUMNS($A200:A200), A199&amp;RIGHT(INDIRECT(ADDRESS(ROW(A200)-1, Source!$E200)), Source!$C200), A199))</f>
        <v/>
      </c>
      <c r="B200" s="2" t="str">
        <f>IF(Source!$E200=COLUMNS($A200:B200), LEFT(B199, LEN(B199)-Source!$C200), IF(Source!$G200=COLUMNS($A200:B200), B199&amp;RIGHT(INDIRECT(ADDRESS(ROW(B200)-1, Source!$E200)), Source!$C200), B199))</f>
        <v>BMVZZQRQPTSDSGTCDFT</v>
      </c>
      <c r="C200" s="2" t="str">
        <f>IF(Source!$E200=COLUMNS($A200:C200), LEFT(C199, LEN(C199)-Source!$C200), IF(Source!$G200=COLUMNS($A200:C200), C199&amp;RIGHT(INDIRECT(ADDRESS(ROW(C200)-1, Source!$E200)), Source!$C200), C199))</f>
        <v>SPVJMLWRJTLBTJSMBZHRPD</v>
      </c>
      <c r="D200" s="2" t="str">
        <f>IF(Source!$E200=COLUMNS($A200:D200), LEFT(D199, LEN(D199)-Source!$C200), IF(Source!$G200=COLUMNS($A200:D200), D199&amp;RIGHT(INDIRECT(ADDRESS(ROW(D200)-1, Source!$E200)), Source!$C200), D199))</f>
        <v/>
      </c>
      <c r="E200" s="2" t="str">
        <f>IF(Source!$E200=COLUMNS($A200:E200), LEFT(E199, LEN(E199)-Source!$C200), IF(Source!$G200=COLUMNS($A200:E200), E199&amp;RIGHT(INDIRECT(ADDRESS(ROW(E200)-1, Source!$E200)), Source!$C200), E199))</f>
        <v/>
      </c>
      <c r="F200" s="2" t="str">
        <f>IF(Source!$E200=COLUMNS($A200:F200), LEFT(F199, LEN(F199)-Source!$C200), IF(Source!$G200=COLUMNS($A200:F200), F199&amp;RIGHT(INDIRECT(ADDRESS(ROW(F200)-1, Source!$E200)), Source!$C200), F199))</f>
        <v>DTRR</v>
      </c>
      <c r="G200" s="2" t="str">
        <f>IF(Source!$E200=COLUMNS($A200:G200), LEFT(G199, LEN(G199)-Source!$C200), IF(Source!$G200=COLUMNS($A200:G200), G199&amp;RIGHT(INDIRECT(ADDRESS(ROW(G200)-1, Source!$E200)), Source!$C200), G199))</f>
        <v>D</v>
      </c>
      <c r="H200" s="2" t="str">
        <f>IF(Source!$E200=COLUMNS($A200:H200), LEFT(H199, LEN(H199)-Source!$C200), IF(Source!$G200=COLUMNS($A200:H200), H199&amp;RIGHT(INDIRECT(ADDRESS(ROW(H200)-1, Source!$E200)), Source!$C200), H199))</f>
        <v/>
      </c>
      <c r="I200" s="2" t="str">
        <f>IF(Source!$E200=COLUMNS($A200:I200), LEFT(I199, LEN(I199)-Source!$C200), IF(Source!$G200=COLUMNS($A200:I200), I199&amp;RIGHT(INDIRECT(ADDRESS(ROW(I200)-1, Source!$E200)), Source!$C200), I199))</f>
        <v>BCWHFLDVCG</v>
      </c>
    </row>
    <row r="201">
      <c r="A201" s="2" t="str">
        <f>IF(Source!$E201=COLUMNS($A201:A201), LEFT(A200, LEN(A200)-Source!$C201), IF(Source!$G201=COLUMNS($A201:A201), A200&amp;RIGHT(INDIRECT(ADDRESS(ROW(A201)-1, Source!$E201)), Source!$C201), A200))</f>
        <v/>
      </c>
      <c r="B201" s="2" t="str">
        <f>IF(Source!$E201=COLUMNS($A201:B201), LEFT(B200, LEN(B200)-Source!$C201), IF(Source!$G201=COLUMNS($A201:B201), B200&amp;RIGHT(INDIRECT(ADDRESS(ROW(B201)-1, Source!$E201)), Source!$C201), B200))</f>
        <v>BMVZZQRQPTSDSGTCDFTR</v>
      </c>
      <c r="C201" s="2" t="str">
        <f>IF(Source!$E201=COLUMNS($A201:C201), LEFT(C200, LEN(C200)-Source!$C201), IF(Source!$G201=COLUMNS($A201:C201), C200&amp;RIGHT(INDIRECT(ADDRESS(ROW(C201)-1, Source!$E201)), Source!$C201), C200))</f>
        <v>SPVJMLWRJTLBTJSMBZHRPD</v>
      </c>
      <c r="D201" s="2" t="str">
        <f>IF(Source!$E201=COLUMNS($A201:D201), LEFT(D200, LEN(D200)-Source!$C201), IF(Source!$G201=COLUMNS($A201:D201), D200&amp;RIGHT(INDIRECT(ADDRESS(ROW(D201)-1, Source!$E201)), Source!$C201), D200))</f>
        <v/>
      </c>
      <c r="E201" s="2" t="str">
        <f>IF(Source!$E201=COLUMNS($A201:E201), LEFT(E200, LEN(E200)-Source!$C201), IF(Source!$G201=COLUMNS($A201:E201), E200&amp;RIGHT(INDIRECT(ADDRESS(ROW(E201)-1, Source!$E201)), Source!$C201), E200))</f>
        <v/>
      </c>
      <c r="F201" s="2" t="str">
        <f>IF(Source!$E201=COLUMNS($A201:F201), LEFT(F200, LEN(F200)-Source!$C201), IF(Source!$G201=COLUMNS($A201:F201), F200&amp;RIGHT(INDIRECT(ADDRESS(ROW(F201)-1, Source!$E201)), Source!$C201), F200))</f>
        <v>DTR</v>
      </c>
      <c r="G201" s="2" t="str">
        <f>IF(Source!$E201=COLUMNS($A201:G201), LEFT(G200, LEN(G200)-Source!$C201), IF(Source!$G201=COLUMNS($A201:G201), G200&amp;RIGHT(INDIRECT(ADDRESS(ROW(G201)-1, Source!$E201)), Source!$C201), G200))</f>
        <v>D</v>
      </c>
      <c r="H201" s="2" t="str">
        <f>IF(Source!$E201=COLUMNS($A201:H201), LEFT(H200, LEN(H200)-Source!$C201), IF(Source!$G201=COLUMNS($A201:H201), H200&amp;RIGHT(INDIRECT(ADDRESS(ROW(H201)-1, Source!$E201)), Source!$C201), H200))</f>
        <v/>
      </c>
      <c r="I201" s="2" t="str">
        <f>IF(Source!$E201=COLUMNS($A201:I201), LEFT(I200, LEN(I200)-Source!$C201), IF(Source!$G201=COLUMNS($A201:I201), I200&amp;RIGHT(INDIRECT(ADDRESS(ROW(I201)-1, Source!$E201)), Source!$C201), I200))</f>
        <v>BCWHFLDVCG</v>
      </c>
    </row>
    <row r="202">
      <c r="A202" s="2" t="str">
        <f>IF(Source!$E202=COLUMNS($A202:A202), LEFT(A201, LEN(A201)-Source!$C202), IF(Source!$G202=COLUMNS($A202:A202), A201&amp;RIGHT(INDIRECT(ADDRESS(ROW(A202)-1, Source!$E202)), Source!$C202), A201))</f>
        <v/>
      </c>
      <c r="B202" s="2" t="str">
        <f>IF(Source!$E202=COLUMNS($A202:B202), LEFT(B201, LEN(B201)-Source!$C202), IF(Source!$G202=COLUMNS($A202:B202), B201&amp;RIGHT(INDIRECT(ADDRESS(ROW(B202)-1, Source!$E202)), Source!$C202), B201))</f>
        <v>BMVZZQRQPTSDSGTCDFTR</v>
      </c>
      <c r="C202" s="2" t="str">
        <f>IF(Source!$E202=COLUMNS($A202:C202), LEFT(C201, LEN(C201)-Source!$C202), IF(Source!$G202=COLUMNS($A202:C202), C201&amp;RIGHT(INDIRECT(ADDRESS(ROW(C202)-1, Source!$E202)), Source!$C202), C201))</f>
        <v>SPVJMLWRJTLBTJSMBZHRPD</v>
      </c>
      <c r="D202" s="2" t="str">
        <f>IF(Source!$E202=COLUMNS($A202:D202), LEFT(D201, LEN(D201)-Source!$C202), IF(Source!$G202=COLUMNS($A202:D202), D201&amp;RIGHT(INDIRECT(ADDRESS(ROW(D202)-1, Source!$E202)), Source!$C202), D201))</f>
        <v/>
      </c>
      <c r="E202" s="2" t="str">
        <f>IF(Source!$E202=COLUMNS($A202:E202), LEFT(E201, LEN(E201)-Source!$C202), IF(Source!$G202=COLUMNS($A202:E202), E201&amp;RIGHT(INDIRECT(ADDRESS(ROW(E202)-1, Source!$E202)), Source!$C202), E201))</f>
        <v/>
      </c>
      <c r="F202" s="2" t="str">
        <f>IF(Source!$E202=COLUMNS($A202:F202), LEFT(F201, LEN(F201)-Source!$C202), IF(Source!$G202=COLUMNS($A202:F202), F201&amp;RIGHT(INDIRECT(ADDRESS(ROW(F202)-1, Source!$E202)), Source!$C202), F201))</f>
        <v>D</v>
      </c>
      <c r="G202" s="2" t="str">
        <f>IF(Source!$E202=COLUMNS($A202:G202), LEFT(G201, LEN(G201)-Source!$C202), IF(Source!$G202=COLUMNS($A202:G202), G201&amp;RIGHT(INDIRECT(ADDRESS(ROW(G202)-1, Source!$E202)), Source!$C202), G201))</f>
        <v>D</v>
      </c>
      <c r="H202" s="2" t="str">
        <f>IF(Source!$E202=COLUMNS($A202:H202), LEFT(H201, LEN(H201)-Source!$C202), IF(Source!$G202=COLUMNS($A202:H202), H201&amp;RIGHT(INDIRECT(ADDRESS(ROW(H202)-1, Source!$E202)), Source!$C202), H201))</f>
        <v/>
      </c>
      <c r="I202" s="2" t="str">
        <f>IF(Source!$E202=COLUMNS($A202:I202), LEFT(I201, LEN(I201)-Source!$C202), IF(Source!$G202=COLUMNS($A202:I202), I201&amp;RIGHT(INDIRECT(ADDRESS(ROW(I202)-1, Source!$E202)), Source!$C202), I201))</f>
        <v>BCWHFLDVCGTR</v>
      </c>
    </row>
    <row r="203">
      <c r="A203" s="2" t="str">
        <f>IF(Source!$E203=COLUMNS($A203:A203), LEFT(A202, LEN(A202)-Source!$C203), IF(Source!$G203=COLUMNS($A203:A203), A202&amp;RIGHT(INDIRECT(ADDRESS(ROW(A203)-1, Source!$E203)), Source!$C203), A202))</f>
        <v/>
      </c>
      <c r="B203" s="2" t="str">
        <f>IF(Source!$E203=COLUMNS($A203:B203), LEFT(B202, LEN(B202)-Source!$C203), IF(Source!$G203=COLUMNS($A203:B203), B202&amp;RIGHT(INDIRECT(ADDRESS(ROW(B203)-1, Source!$E203)), Source!$C203), B202))</f>
        <v>BMVZZQRQPTSDSGTCDFTR</v>
      </c>
      <c r="C203" s="2" t="str">
        <f>IF(Source!$E203=COLUMNS($A203:C203), LEFT(C202, LEN(C202)-Source!$C203), IF(Source!$G203=COLUMNS($A203:C203), C202&amp;RIGHT(INDIRECT(ADDRESS(ROW(C203)-1, Source!$E203)), Source!$C203), C202))</f>
        <v>SPVJMLWRJTLBTJSMBZHRPD</v>
      </c>
      <c r="D203" s="2" t="str">
        <f>IF(Source!$E203=COLUMNS($A203:D203), LEFT(D202, LEN(D202)-Source!$C203), IF(Source!$G203=COLUMNS($A203:D203), D202&amp;RIGHT(INDIRECT(ADDRESS(ROW(D203)-1, Source!$E203)), Source!$C203), D202))</f>
        <v>D</v>
      </c>
      <c r="E203" s="2" t="str">
        <f>IF(Source!$E203=COLUMNS($A203:E203), LEFT(E202, LEN(E202)-Source!$C203), IF(Source!$G203=COLUMNS($A203:E203), E202&amp;RIGHT(INDIRECT(ADDRESS(ROW(E203)-1, Source!$E203)), Source!$C203), E202))</f>
        <v/>
      </c>
      <c r="F203" s="2" t="str">
        <f>IF(Source!$E203=COLUMNS($A203:F203), LEFT(F202, LEN(F202)-Source!$C203), IF(Source!$G203=COLUMNS($A203:F203), F202&amp;RIGHT(INDIRECT(ADDRESS(ROW(F203)-1, Source!$E203)), Source!$C203), F202))</f>
        <v/>
      </c>
      <c r="G203" s="2" t="str">
        <f>IF(Source!$E203=COLUMNS($A203:G203), LEFT(G202, LEN(G202)-Source!$C203), IF(Source!$G203=COLUMNS($A203:G203), G202&amp;RIGHT(INDIRECT(ADDRESS(ROW(G203)-1, Source!$E203)), Source!$C203), G202))</f>
        <v>D</v>
      </c>
      <c r="H203" s="2" t="str">
        <f>IF(Source!$E203=COLUMNS($A203:H203), LEFT(H202, LEN(H202)-Source!$C203), IF(Source!$G203=COLUMNS($A203:H203), H202&amp;RIGHT(INDIRECT(ADDRESS(ROW(H203)-1, Source!$E203)), Source!$C203), H202))</f>
        <v/>
      </c>
      <c r="I203" s="2" t="str">
        <f>IF(Source!$E203=COLUMNS($A203:I203), LEFT(I202, LEN(I202)-Source!$C203), IF(Source!$G203=COLUMNS($A203:I203), I202&amp;RIGHT(INDIRECT(ADDRESS(ROW(I203)-1, Source!$E203)), Source!$C203), I202))</f>
        <v>BCWHFLDVCGTR</v>
      </c>
    </row>
    <row r="204">
      <c r="A204" s="2" t="str">
        <f>IF(Source!$E204=COLUMNS($A204:A204), LEFT(A203, LEN(A203)-Source!$C204), IF(Source!$G204=COLUMNS($A204:A204), A203&amp;RIGHT(INDIRECT(ADDRESS(ROW(A204)-1, Source!$E204)), Source!$C204), A203))</f>
        <v/>
      </c>
      <c r="B204" s="2" t="str">
        <f>IF(Source!$E204=COLUMNS($A204:B204), LEFT(B203, LEN(B203)-Source!$C204), IF(Source!$G204=COLUMNS($A204:B204), B203&amp;RIGHT(INDIRECT(ADDRESS(ROW(B204)-1, Source!$E204)), Source!$C204), B203))</f>
        <v>BMVZZQRQPTSDSGTCDFTRBCWHFLDVCGTR</v>
      </c>
      <c r="C204" s="2" t="str">
        <f>IF(Source!$E204=COLUMNS($A204:C204), LEFT(C203, LEN(C203)-Source!$C204), IF(Source!$G204=COLUMNS($A204:C204), C203&amp;RIGHT(INDIRECT(ADDRESS(ROW(C204)-1, Source!$E204)), Source!$C204), C203))</f>
        <v>SPVJMLWRJTLBTJSMBZHRPD</v>
      </c>
      <c r="D204" s="2" t="str">
        <f>IF(Source!$E204=COLUMNS($A204:D204), LEFT(D203, LEN(D203)-Source!$C204), IF(Source!$G204=COLUMNS($A204:D204), D203&amp;RIGHT(INDIRECT(ADDRESS(ROW(D204)-1, Source!$E204)), Source!$C204), D203))</f>
        <v>D</v>
      </c>
      <c r="E204" s="2" t="str">
        <f>IF(Source!$E204=COLUMNS($A204:E204), LEFT(E203, LEN(E203)-Source!$C204), IF(Source!$G204=COLUMNS($A204:E204), E203&amp;RIGHT(INDIRECT(ADDRESS(ROW(E204)-1, Source!$E204)), Source!$C204), E203))</f>
        <v/>
      </c>
      <c r="F204" s="2" t="str">
        <f>IF(Source!$E204=COLUMNS($A204:F204), LEFT(F203, LEN(F203)-Source!$C204), IF(Source!$G204=COLUMNS($A204:F204), F203&amp;RIGHT(INDIRECT(ADDRESS(ROW(F204)-1, Source!$E204)), Source!$C204), F203))</f>
        <v/>
      </c>
      <c r="G204" s="2" t="str">
        <f>IF(Source!$E204=COLUMNS($A204:G204), LEFT(G203, LEN(G203)-Source!$C204), IF(Source!$G204=COLUMNS($A204:G204), G203&amp;RIGHT(INDIRECT(ADDRESS(ROW(G204)-1, Source!$E204)), Source!$C204), G203))</f>
        <v>D</v>
      </c>
      <c r="H204" s="2" t="str">
        <f>IF(Source!$E204=COLUMNS($A204:H204), LEFT(H203, LEN(H203)-Source!$C204), IF(Source!$G204=COLUMNS($A204:H204), H203&amp;RIGHT(INDIRECT(ADDRESS(ROW(H204)-1, Source!$E204)), Source!$C204), H203))</f>
        <v/>
      </c>
      <c r="I204" s="2" t="str">
        <f>IF(Source!$E204=COLUMNS($A204:I204), LEFT(I203, LEN(I203)-Source!$C204), IF(Source!$G204=COLUMNS($A204:I204), I203&amp;RIGHT(INDIRECT(ADDRESS(ROW(I204)-1, Source!$E204)), Source!$C204), I203))</f>
        <v/>
      </c>
    </row>
    <row r="205">
      <c r="A205" s="2" t="str">
        <f>IF(Source!$E205=COLUMNS($A205:A205), LEFT(A204, LEN(A204)-Source!$C205), IF(Source!$G205=COLUMNS($A205:A205), A204&amp;RIGHT(INDIRECT(ADDRESS(ROW(A205)-1, Source!$E205)), Source!$C205), A204))</f>
        <v/>
      </c>
      <c r="B205" s="2" t="str">
        <f>IF(Source!$E205=COLUMNS($A205:B205), LEFT(B204, LEN(B204)-Source!$C205), IF(Source!$G205=COLUMNS($A205:B205), B204&amp;RIGHT(INDIRECT(ADDRESS(ROW(B205)-1, Source!$E205)), Source!$C205), B204))</f>
        <v>BMVZZQRQPTSDSGTCDFTRBCWHFLDVCGTR</v>
      </c>
      <c r="C205" s="2" t="str">
        <f>IF(Source!$E205=COLUMNS($A205:C205), LEFT(C204, LEN(C204)-Source!$C205), IF(Source!$G205=COLUMNS($A205:C205), C204&amp;RIGHT(INDIRECT(ADDRESS(ROW(C205)-1, Source!$E205)), Source!$C205), C204))</f>
        <v>SPVJMLWRJTLBTJSMBZHRPD</v>
      </c>
      <c r="D205" s="2" t="str">
        <f>IF(Source!$E205=COLUMNS($A205:D205), LEFT(D204, LEN(D204)-Source!$C205), IF(Source!$G205=COLUMNS($A205:D205), D204&amp;RIGHT(INDIRECT(ADDRESS(ROW(D205)-1, Source!$E205)), Source!$C205), D204))</f>
        <v/>
      </c>
      <c r="E205" s="2" t="str">
        <f>IF(Source!$E205=COLUMNS($A205:E205), LEFT(E204, LEN(E204)-Source!$C205), IF(Source!$G205=COLUMNS($A205:E205), E204&amp;RIGHT(INDIRECT(ADDRESS(ROW(E205)-1, Source!$E205)), Source!$C205), E204))</f>
        <v/>
      </c>
      <c r="F205" s="2" t="str">
        <f>IF(Source!$E205=COLUMNS($A205:F205), LEFT(F204, LEN(F204)-Source!$C205), IF(Source!$G205=COLUMNS($A205:F205), F204&amp;RIGHT(INDIRECT(ADDRESS(ROW(F205)-1, Source!$E205)), Source!$C205), F204))</f>
        <v/>
      </c>
      <c r="G205" s="2" t="str">
        <f>IF(Source!$E205=COLUMNS($A205:G205), LEFT(G204, LEN(G204)-Source!$C205), IF(Source!$G205=COLUMNS($A205:G205), G204&amp;RIGHT(INDIRECT(ADDRESS(ROW(G205)-1, Source!$E205)), Source!$C205), G204))</f>
        <v>DD</v>
      </c>
      <c r="H205" s="2" t="str">
        <f>IF(Source!$E205=COLUMNS($A205:H205), LEFT(H204, LEN(H204)-Source!$C205), IF(Source!$G205=COLUMNS($A205:H205), H204&amp;RIGHT(INDIRECT(ADDRESS(ROW(H205)-1, Source!$E205)), Source!$C205), H204))</f>
        <v/>
      </c>
      <c r="I205" s="2" t="str">
        <f>IF(Source!$E205=COLUMNS($A205:I205), LEFT(I204, LEN(I204)-Source!$C205), IF(Source!$G205=COLUMNS($A205:I205), I204&amp;RIGHT(INDIRECT(ADDRESS(ROW(I205)-1, Source!$E205)), Source!$C205), I204))</f>
        <v/>
      </c>
    </row>
    <row r="206">
      <c r="A206" s="2" t="str">
        <f>IF(Source!$E206=COLUMNS($A206:A206), LEFT(A205, LEN(A205)-Source!$C206), IF(Source!$G206=COLUMNS($A206:A206), A205&amp;RIGHT(INDIRECT(ADDRESS(ROW(A206)-1, Source!$E206)), Source!$C206), A205))</f>
        <v/>
      </c>
      <c r="B206" s="2" t="str">
        <f>IF(Source!$E206=COLUMNS($A206:B206), LEFT(B205, LEN(B205)-Source!$C206), IF(Source!$G206=COLUMNS($A206:B206), B205&amp;RIGHT(INDIRECT(ADDRESS(ROW(B206)-1, Source!$E206)), Source!$C206), B205))</f>
        <v>BMVZZQRQPTSDSGTCDFTRBCWHFLDVCGTR</v>
      </c>
      <c r="C206" s="2" t="str">
        <f>IF(Source!$E206=COLUMNS($A206:C206), LEFT(C205, LEN(C205)-Source!$C206), IF(Source!$G206=COLUMNS($A206:C206), C205&amp;RIGHT(INDIRECT(ADDRESS(ROW(C206)-1, Source!$E206)), Source!$C206), C205))</f>
        <v>SPVJMLWRJTLBTJ</v>
      </c>
      <c r="D206" s="2" t="str">
        <f>IF(Source!$E206=COLUMNS($A206:D206), LEFT(D205, LEN(D205)-Source!$C206), IF(Source!$G206=COLUMNS($A206:D206), D205&amp;RIGHT(INDIRECT(ADDRESS(ROW(D206)-1, Source!$E206)), Source!$C206), D205))</f>
        <v/>
      </c>
      <c r="E206" s="2" t="str">
        <f>IF(Source!$E206=COLUMNS($A206:E206), LEFT(E205, LEN(E205)-Source!$C206), IF(Source!$G206=COLUMNS($A206:E206), E205&amp;RIGHT(INDIRECT(ADDRESS(ROW(E206)-1, Source!$E206)), Source!$C206), E205))</f>
        <v/>
      </c>
      <c r="F206" s="2" t="str">
        <f>IF(Source!$E206=COLUMNS($A206:F206), LEFT(F205, LEN(F205)-Source!$C206), IF(Source!$G206=COLUMNS($A206:F206), F205&amp;RIGHT(INDIRECT(ADDRESS(ROW(F206)-1, Source!$E206)), Source!$C206), F205))</f>
        <v/>
      </c>
      <c r="G206" s="2" t="str">
        <f>IF(Source!$E206=COLUMNS($A206:G206), LEFT(G205, LEN(G205)-Source!$C206), IF(Source!$G206=COLUMNS($A206:G206), G205&amp;RIGHT(INDIRECT(ADDRESS(ROW(G206)-1, Source!$E206)), Source!$C206), G205))</f>
        <v>DD</v>
      </c>
      <c r="H206" s="2" t="str">
        <f>IF(Source!$E206=COLUMNS($A206:H206), LEFT(H205, LEN(H205)-Source!$C206), IF(Source!$G206=COLUMNS($A206:H206), H205&amp;RIGHT(INDIRECT(ADDRESS(ROW(H206)-1, Source!$E206)), Source!$C206), H205))</f>
        <v>SMBZHRPD</v>
      </c>
      <c r="I206" s="2" t="str">
        <f>IF(Source!$E206=COLUMNS($A206:I206), LEFT(I205, LEN(I205)-Source!$C206), IF(Source!$G206=COLUMNS($A206:I206), I205&amp;RIGHT(INDIRECT(ADDRESS(ROW(I206)-1, Source!$E206)), Source!$C206), I205))</f>
        <v/>
      </c>
    </row>
    <row r="207">
      <c r="A207" s="2" t="str">
        <f>IF(Source!$E207=COLUMNS($A207:A207), LEFT(A206, LEN(A206)-Source!$C207), IF(Source!$G207=COLUMNS($A207:A207), A206&amp;RIGHT(INDIRECT(ADDRESS(ROW(A207)-1, Source!$E207)), Source!$C207), A206))</f>
        <v/>
      </c>
      <c r="B207" s="2" t="str">
        <f>IF(Source!$E207=COLUMNS($A207:B207), LEFT(B206, LEN(B206)-Source!$C207), IF(Source!$G207=COLUMNS($A207:B207), B206&amp;RIGHT(INDIRECT(ADDRESS(ROW(B207)-1, Source!$E207)), Source!$C207), B206))</f>
        <v>BMVZZQRQPTSDSGTCDFTRBCWHFLDVCGTR</v>
      </c>
      <c r="C207" s="2" t="str">
        <f>IF(Source!$E207=COLUMNS($A207:C207), LEFT(C206, LEN(C206)-Source!$C207), IF(Source!$G207=COLUMNS($A207:C207), C206&amp;RIGHT(INDIRECT(ADDRESS(ROW(C207)-1, Source!$E207)), Source!$C207), C206))</f>
        <v>SPVJMLWRJTLBTJ</v>
      </c>
      <c r="D207" s="2" t="str">
        <f>IF(Source!$E207=COLUMNS($A207:D207), LEFT(D206, LEN(D206)-Source!$C207), IF(Source!$G207=COLUMNS($A207:D207), D206&amp;RIGHT(INDIRECT(ADDRESS(ROW(D207)-1, Source!$E207)), Source!$C207), D206))</f>
        <v/>
      </c>
      <c r="E207" s="2" t="str">
        <f>IF(Source!$E207=COLUMNS($A207:E207), LEFT(E206, LEN(E206)-Source!$C207), IF(Source!$G207=COLUMNS($A207:E207), E206&amp;RIGHT(INDIRECT(ADDRESS(ROW(E207)-1, Source!$E207)), Source!$C207), E206))</f>
        <v/>
      </c>
      <c r="F207" s="2" t="str">
        <f>IF(Source!$E207=COLUMNS($A207:F207), LEFT(F206, LEN(F206)-Source!$C207), IF(Source!$G207=COLUMNS($A207:F207), F206&amp;RIGHT(INDIRECT(ADDRESS(ROW(F207)-1, Source!$E207)), Source!$C207), F206))</f>
        <v/>
      </c>
      <c r="G207" s="2" t="str">
        <f>IF(Source!$E207=COLUMNS($A207:G207), LEFT(G206, LEN(G206)-Source!$C207), IF(Source!$G207=COLUMNS($A207:G207), G206&amp;RIGHT(INDIRECT(ADDRESS(ROW(G207)-1, Source!$E207)), Source!$C207), G206))</f>
        <v>DD</v>
      </c>
      <c r="H207" s="2" t="str">
        <f>IF(Source!$E207=COLUMNS($A207:H207), LEFT(H206, LEN(H206)-Source!$C207), IF(Source!$G207=COLUMNS($A207:H207), H206&amp;RIGHT(INDIRECT(ADDRESS(ROW(H207)-1, Source!$E207)), Source!$C207), H206))</f>
        <v/>
      </c>
      <c r="I207" s="2" t="str">
        <f>IF(Source!$E207=COLUMNS($A207:I207), LEFT(I206, LEN(I206)-Source!$C207), IF(Source!$G207=COLUMNS($A207:I207), I206&amp;RIGHT(INDIRECT(ADDRESS(ROW(I207)-1, Source!$E207)), Source!$C207), I206))</f>
        <v>SMBZHRPD</v>
      </c>
    </row>
    <row r="208">
      <c r="A208" s="2" t="str">
        <f>IF(Source!$E208=COLUMNS($A208:A208), LEFT(A207, LEN(A207)-Source!$C208), IF(Source!$G208=COLUMNS($A208:A208), A207&amp;RIGHT(INDIRECT(ADDRESS(ROW(A208)-1, Source!$E208)), Source!$C208), A207))</f>
        <v/>
      </c>
      <c r="B208" s="2" t="str">
        <f>IF(Source!$E208=COLUMNS($A208:B208), LEFT(B207, LEN(B207)-Source!$C208), IF(Source!$G208=COLUMNS($A208:B208), B207&amp;RIGHT(INDIRECT(ADDRESS(ROW(B208)-1, Source!$E208)), Source!$C208), B207))</f>
        <v>BMVZZQRQPTSDSGTCDFTRBCWHFLDVCGTRMBZHRPD</v>
      </c>
      <c r="C208" s="2" t="str">
        <f>IF(Source!$E208=COLUMNS($A208:C208), LEFT(C207, LEN(C207)-Source!$C208), IF(Source!$G208=COLUMNS($A208:C208), C207&amp;RIGHT(INDIRECT(ADDRESS(ROW(C208)-1, Source!$E208)), Source!$C208), C207))</f>
        <v>SPVJMLWRJTLBTJ</v>
      </c>
      <c r="D208" s="2" t="str">
        <f>IF(Source!$E208=COLUMNS($A208:D208), LEFT(D207, LEN(D207)-Source!$C208), IF(Source!$G208=COLUMNS($A208:D208), D207&amp;RIGHT(INDIRECT(ADDRESS(ROW(D208)-1, Source!$E208)), Source!$C208), D207))</f>
        <v/>
      </c>
      <c r="E208" s="2" t="str">
        <f>IF(Source!$E208=COLUMNS($A208:E208), LEFT(E207, LEN(E207)-Source!$C208), IF(Source!$G208=COLUMNS($A208:E208), E207&amp;RIGHT(INDIRECT(ADDRESS(ROW(E208)-1, Source!$E208)), Source!$C208), E207))</f>
        <v/>
      </c>
      <c r="F208" s="2" t="str">
        <f>IF(Source!$E208=COLUMNS($A208:F208), LEFT(F207, LEN(F207)-Source!$C208), IF(Source!$G208=COLUMNS($A208:F208), F207&amp;RIGHT(INDIRECT(ADDRESS(ROW(F208)-1, Source!$E208)), Source!$C208), F207))</f>
        <v/>
      </c>
      <c r="G208" s="2" t="str">
        <f>IF(Source!$E208=COLUMNS($A208:G208), LEFT(G207, LEN(G207)-Source!$C208), IF(Source!$G208=COLUMNS($A208:G208), G207&amp;RIGHT(INDIRECT(ADDRESS(ROW(G208)-1, Source!$E208)), Source!$C208), G207))</f>
        <v>DD</v>
      </c>
      <c r="H208" s="2" t="str">
        <f>IF(Source!$E208=COLUMNS($A208:H208), LEFT(H207, LEN(H207)-Source!$C208), IF(Source!$G208=COLUMNS($A208:H208), H207&amp;RIGHT(INDIRECT(ADDRESS(ROW(H208)-1, Source!$E208)), Source!$C208), H207))</f>
        <v/>
      </c>
      <c r="I208" s="2" t="str">
        <f>IF(Source!$E208=COLUMNS($A208:I208), LEFT(I207, LEN(I207)-Source!$C208), IF(Source!$G208=COLUMNS($A208:I208), I207&amp;RIGHT(INDIRECT(ADDRESS(ROW(I208)-1, Source!$E208)), Source!$C208), I207))</f>
        <v>S</v>
      </c>
    </row>
    <row r="209">
      <c r="A209" s="2" t="str">
        <f>IF(Source!$E209=COLUMNS($A209:A209), LEFT(A208, LEN(A208)-Source!$C209), IF(Source!$G209=COLUMNS($A209:A209), A208&amp;RIGHT(INDIRECT(ADDRESS(ROW(A209)-1, Source!$E209)), Source!$C209), A208))</f>
        <v/>
      </c>
      <c r="B209" s="2" t="str">
        <f>IF(Source!$E209=COLUMNS($A209:B209), LEFT(B208, LEN(B208)-Source!$C209), IF(Source!$G209=COLUMNS($A209:B209), B208&amp;RIGHT(INDIRECT(ADDRESS(ROW(B209)-1, Source!$E209)), Source!$C209), B208))</f>
        <v>BMVZZQRQPTSDSGTCDFTRBCWHFLDVCGTRMBZHRPD</v>
      </c>
      <c r="C209" s="2" t="str">
        <f>IF(Source!$E209=COLUMNS($A209:C209), LEFT(C208, LEN(C208)-Source!$C209), IF(Source!$G209=COLUMNS($A209:C209), C208&amp;RIGHT(INDIRECT(ADDRESS(ROW(C209)-1, Source!$E209)), Source!$C209), C208))</f>
        <v>SPVJMLWRJTLBTJ</v>
      </c>
      <c r="D209" s="2" t="str">
        <f>IF(Source!$E209=COLUMNS($A209:D209), LEFT(D208, LEN(D208)-Source!$C209), IF(Source!$G209=COLUMNS($A209:D209), D208&amp;RIGHT(INDIRECT(ADDRESS(ROW(D209)-1, Source!$E209)), Source!$C209), D208))</f>
        <v/>
      </c>
      <c r="E209" s="2" t="str">
        <f>IF(Source!$E209=COLUMNS($A209:E209), LEFT(E208, LEN(E208)-Source!$C209), IF(Source!$G209=COLUMNS($A209:E209), E208&amp;RIGHT(INDIRECT(ADDRESS(ROW(E209)-1, Source!$E209)), Source!$C209), E208))</f>
        <v/>
      </c>
      <c r="F209" s="2" t="str">
        <f>IF(Source!$E209=COLUMNS($A209:F209), LEFT(F208, LEN(F208)-Source!$C209), IF(Source!$G209=COLUMNS($A209:F209), F208&amp;RIGHT(INDIRECT(ADDRESS(ROW(F209)-1, Source!$E209)), Source!$C209), F208))</f>
        <v/>
      </c>
      <c r="G209" s="2" t="str">
        <f>IF(Source!$E209=COLUMNS($A209:G209), LEFT(G208, LEN(G208)-Source!$C209), IF(Source!$G209=COLUMNS($A209:G209), G208&amp;RIGHT(INDIRECT(ADDRESS(ROW(G209)-1, Source!$E209)), Source!$C209), G208))</f>
        <v>DDS</v>
      </c>
      <c r="H209" s="2" t="str">
        <f>IF(Source!$E209=COLUMNS($A209:H209), LEFT(H208, LEN(H208)-Source!$C209), IF(Source!$G209=COLUMNS($A209:H209), H208&amp;RIGHT(INDIRECT(ADDRESS(ROW(H209)-1, Source!$E209)), Source!$C209), H208))</f>
        <v/>
      </c>
      <c r="I209" s="2" t="str">
        <f>IF(Source!$E209=COLUMNS($A209:I209), LEFT(I208, LEN(I208)-Source!$C209), IF(Source!$G209=COLUMNS($A209:I209), I208&amp;RIGHT(INDIRECT(ADDRESS(ROW(I209)-1, Source!$E209)), Source!$C209), I208))</f>
        <v/>
      </c>
    </row>
    <row r="210">
      <c r="A210" s="2" t="str">
        <f>IF(Source!$E210=COLUMNS($A210:A210), LEFT(A209, LEN(A209)-Source!$C210), IF(Source!$G210=COLUMNS($A210:A210), A209&amp;RIGHT(INDIRECT(ADDRESS(ROW(A210)-1, Source!$E210)), Source!$C210), A209))</f>
        <v/>
      </c>
      <c r="B210" s="2" t="str">
        <f>IF(Source!$E210=COLUMNS($A210:B210), LEFT(B209, LEN(B209)-Source!$C210), IF(Source!$G210=COLUMNS($A210:B210), B209&amp;RIGHT(INDIRECT(ADDRESS(ROW(B210)-1, Source!$E210)), Source!$C210), B209))</f>
        <v>BMVZZQRQPTSDSGTCDFTRB</v>
      </c>
      <c r="C210" s="2" t="str">
        <f>IF(Source!$E210=COLUMNS($A210:C210), LEFT(C209, LEN(C209)-Source!$C210), IF(Source!$G210=COLUMNS($A210:C210), C209&amp;RIGHT(INDIRECT(ADDRESS(ROW(C210)-1, Source!$E210)), Source!$C210), C209))</f>
        <v>SPVJMLWRJTLBTJ</v>
      </c>
      <c r="D210" s="2" t="str">
        <f>IF(Source!$E210=COLUMNS($A210:D210), LEFT(D209, LEN(D209)-Source!$C210), IF(Source!$G210=COLUMNS($A210:D210), D209&amp;RIGHT(INDIRECT(ADDRESS(ROW(D210)-1, Source!$E210)), Source!$C210), D209))</f>
        <v/>
      </c>
      <c r="E210" s="2" t="str">
        <f>IF(Source!$E210=COLUMNS($A210:E210), LEFT(E209, LEN(E209)-Source!$C210), IF(Source!$G210=COLUMNS($A210:E210), E209&amp;RIGHT(INDIRECT(ADDRESS(ROW(E210)-1, Source!$E210)), Source!$C210), E209))</f>
        <v/>
      </c>
      <c r="F210" s="2" t="str">
        <f>IF(Source!$E210=COLUMNS($A210:F210), LEFT(F209, LEN(F209)-Source!$C210), IF(Source!$G210=COLUMNS($A210:F210), F209&amp;RIGHT(INDIRECT(ADDRESS(ROW(F210)-1, Source!$E210)), Source!$C210), F209))</f>
        <v/>
      </c>
      <c r="G210" s="2" t="str">
        <f>IF(Source!$E210=COLUMNS($A210:G210), LEFT(G209, LEN(G209)-Source!$C210), IF(Source!$G210=COLUMNS($A210:G210), G209&amp;RIGHT(INDIRECT(ADDRESS(ROW(G210)-1, Source!$E210)), Source!$C210), G209))</f>
        <v>DDS</v>
      </c>
      <c r="H210" s="2" t="str">
        <f>IF(Source!$E210=COLUMNS($A210:H210), LEFT(H209, LEN(H209)-Source!$C210), IF(Source!$G210=COLUMNS($A210:H210), H209&amp;RIGHT(INDIRECT(ADDRESS(ROW(H210)-1, Source!$E210)), Source!$C210), H209))</f>
        <v/>
      </c>
      <c r="I210" s="2" t="str">
        <f>IF(Source!$E210=COLUMNS($A210:I210), LEFT(I209, LEN(I209)-Source!$C210), IF(Source!$G210=COLUMNS($A210:I210), I209&amp;RIGHT(INDIRECT(ADDRESS(ROW(I210)-1, Source!$E210)), Source!$C210), I209))</f>
        <v>CWHFLDVCGTRMBZHRPD</v>
      </c>
    </row>
    <row r="211">
      <c r="A211" s="2" t="str">
        <f>IF(Source!$E211=COLUMNS($A211:A211), LEFT(A210, LEN(A210)-Source!$C211), IF(Source!$G211=COLUMNS($A211:A211), A210&amp;RIGHT(INDIRECT(ADDRESS(ROW(A211)-1, Source!$E211)), Source!$C211), A210))</f>
        <v/>
      </c>
      <c r="B211" s="2" t="str">
        <f>IF(Source!$E211=COLUMNS($A211:B211), LEFT(B210, LEN(B210)-Source!$C211), IF(Source!$G211=COLUMNS($A211:B211), B210&amp;RIGHT(INDIRECT(ADDRESS(ROW(B211)-1, Source!$E211)), Source!$C211), B210))</f>
        <v>BMVZZQRQPTSDSGTCDFTRBS</v>
      </c>
      <c r="C211" s="2" t="str">
        <f>IF(Source!$E211=COLUMNS($A211:C211), LEFT(C210, LEN(C210)-Source!$C211), IF(Source!$G211=COLUMNS($A211:C211), C210&amp;RIGHT(INDIRECT(ADDRESS(ROW(C211)-1, Source!$E211)), Source!$C211), C210))</f>
        <v>SPVJMLWRJTLBTJ</v>
      </c>
      <c r="D211" s="2" t="str">
        <f>IF(Source!$E211=COLUMNS($A211:D211), LEFT(D210, LEN(D210)-Source!$C211), IF(Source!$G211=COLUMNS($A211:D211), D210&amp;RIGHT(INDIRECT(ADDRESS(ROW(D211)-1, Source!$E211)), Source!$C211), D210))</f>
        <v/>
      </c>
      <c r="E211" s="2" t="str">
        <f>IF(Source!$E211=COLUMNS($A211:E211), LEFT(E210, LEN(E210)-Source!$C211), IF(Source!$G211=COLUMNS($A211:E211), E210&amp;RIGHT(INDIRECT(ADDRESS(ROW(E211)-1, Source!$E211)), Source!$C211), E210))</f>
        <v/>
      </c>
      <c r="F211" s="2" t="str">
        <f>IF(Source!$E211=COLUMNS($A211:F211), LEFT(F210, LEN(F210)-Source!$C211), IF(Source!$G211=COLUMNS($A211:F211), F210&amp;RIGHT(INDIRECT(ADDRESS(ROW(F211)-1, Source!$E211)), Source!$C211), F210))</f>
        <v/>
      </c>
      <c r="G211" s="2" t="str">
        <f>IF(Source!$E211=COLUMNS($A211:G211), LEFT(G210, LEN(G210)-Source!$C211), IF(Source!$G211=COLUMNS($A211:G211), G210&amp;RIGHT(INDIRECT(ADDRESS(ROW(G211)-1, Source!$E211)), Source!$C211), G210))</f>
        <v>DD</v>
      </c>
      <c r="H211" s="2" t="str">
        <f>IF(Source!$E211=COLUMNS($A211:H211), LEFT(H210, LEN(H210)-Source!$C211), IF(Source!$G211=COLUMNS($A211:H211), H210&amp;RIGHT(INDIRECT(ADDRESS(ROW(H211)-1, Source!$E211)), Source!$C211), H210))</f>
        <v/>
      </c>
      <c r="I211" s="2" t="str">
        <f>IF(Source!$E211=COLUMNS($A211:I211), LEFT(I210, LEN(I210)-Source!$C211), IF(Source!$G211=COLUMNS($A211:I211), I210&amp;RIGHT(INDIRECT(ADDRESS(ROW(I211)-1, Source!$E211)), Source!$C211), I210))</f>
        <v>CWHFLDVCGTRMBZHRPD</v>
      </c>
    </row>
    <row r="212">
      <c r="A212" s="2" t="str">
        <f>IF(Source!$E212=COLUMNS($A212:A212), LEFT(A211, LEN(A211)-Source!$C212), IF(Source!$G212=COLUMNS($A212:A212), A211&amp;RIGHT(INDIRECT(ADDRESS(ROW(A212)-1, Source!$E212)), Source!$C212), A211))</f>
        <v>DD</v>
      </c>
      <c r="B212" s="2" t="str">
        <f>IF(Source!$E212=COLUMNS($A212:B212), LEFT(B211, LEN(B211)-Source!$C212), IF(Source!$G212=COLUMNS($A212:B212), B211&amp;RIGHT(INDIRECT(ADDRESS(ROW(B212)-1, Source!$E212)), Source!$C212), B211))</f>
        <v>BMVZZQRQPTSDSGTCDFTRBS</v>
      </c>
      <c r="C212" s="2" t="str">
        <f>IF(Source!$E212=COLUMNS($A212:C212), LEFT(C211, LEN(C211)-Source!$C212), IF(Source!$G212=COLUMNS($A212:C212), C211&amp;RIGHT(INDIRECT(ADDRESS(ROW(C212)-1, Source!$E212)), Source!$C212), C211))</f>
        <v>SPVJMLWRJTLBTJ</v>
      </c>
      <c r="D212" s="2" t="str">
        <f>IF(Source!$E212=COLUMNS($A212:D212), LEFT(D211, LEN(D211)-Source!$C212), IF(Source!$G212=COLUMNS($A212:D212), D211&amp;RIGHT(INDIRECT(ADDRESS(ROW(D212)-1, Source!$E212)), Source!$C212), D211))</f>
        <v/>
      </c>
      <c r="E212" s="2" t="str">
        <f>IF(Source!$E212=COLUMNS($A212:E212), LEFT(E211, LEN(E211)-Source!$C212), IF(Source!$G212=COLUMNS($A212:E212), E211&amp;RIGHT(INDIRECT(ADDRESS(ROW(E212)-1, Source!$E212)), Source!$C212), E211))</f>
        <v/>
      </c>
      <c r="F212" s="2" t="str">
        <f>IF(Source!$E212=COLUMNS($A212:F212), LEFT(F211, LEN(F211)-Source!$C212), IF(Source!$G212=COLUMNS($A212:F212), F211&amp;RIGHT(INDIRECT(ADDRESS(ROW(F212)-1, Source!$E212)), Source!$C212), F211))</f>
        <v/>
      </c>
      <c r="G212" s="2" t="str">
        <f>IF(Source!$E212=COLUMNS($A212:G212), LEFT(G211, LEN(G211)-Source!$C212), IF(Source!$G212=COLUMNS($A212:G212), G211&amp;RIGHT(INDIRECT(ADDRESS(ROW(G212)-1, Source!$E212)), Source!$C212), G211))</f>
        <v/>
      </c>
      <c r="H212" s="2" t="str">
        <f>IF(Source!$E212=COLUMNS($A212:H212), LEFT(H211, LEN(H211)-Source!$C212), IF(Source!$G212=COLUMNS($A212:H212), H211&amp;RIGHT(INDIRECT(ADDRESS(ROW(H212)-1, Source!$E212)), Source!$C212), H211))</f>
        <v/>
      </c>
      <c r="I212" s="2" t="str">
        <f>IF(Source!$E212=COLUMNS($A212:I212), LEFT(I211, LEN(I211)-Source!$C212), IF(Source!$G212=COLUMNS($A212:I212), I211&amp;RIGHT(INDIRECT(ADDRESS(ROW(I212)-1, Source!$E212)), Source!$C212), I211))</f>
        <v>CWHFLDVCGTRMBZHRPD</v>
      </c>
    </row>
    <row r="213">
      <c r="A213" s="2" t="str">
        <f>IF(Source!$E213=COLUMNS($A213:A213), LEFT(A212, LEN(A212)-Source!$C213), IF(Source!$G213=COLUMNS($A213:A213), A212&amp;RIGHT(INDIRECT(ADDRESS(ROW(A213)-1, Source!$E213)), Source!$C213), A212))</f>
        <v>D</v>
      </c>
      <c r="B213" s="2" t="str">
        <f>IF(Source!$E213=COLUMNS($A213:B213), LEFT(B212, LEN(B212)-Source!$C213), IF(Source!$G213=COLUMNS($A213:B213), B212&amp;RIGHT(INDIRECT(ADDRESS(ROW(B213)-1, Source!$E213)), Source!$C213), B212))</f>
        <v>BMVZZQRQPTSDSGTCDFTRBSD</v>
      </c>
      <c r="C213" s="2" t="str">
        <f>IF(Source!$E213=COLUMNS($A213:C213), LEFT(C212, LEN(C212)-Source!$C213), IF(Source!$G213=COLUMNS($A213:C213), C212&amp;RIGHT(INDIRECT(ADDRESS(ROW(C213)-1, Source!$E213)), Source!$C213), C212))</f>
        <v>SPVJMLWRJTLBTJ</v>
      </c>
      <c r="D213" s="2" t="str">
        <f>IF(Source!$E213=COLUMNS($A213:D213), LEFT(D212, LEN(D212)-Source!$C213), IF(Source!$G213=COLUMNS($A213:D213), D212&amp;RIGHT(INDIRECT(ADDRESS(ROW(D213)-1, Source!$E213)), Source!$C213), D212))</f>
        <v/>
      </c>
      <c r="E213" s="2" t="str">
        <f>IF(Source!$E213=COLUMNS($A213:E213), LEFT(E212, LEN(E212)-Source!$C213), IF(Source!$G213=COLUMNS($A213:E213), E212&amp;RIGHT(INDIRECT(ADDRESS(ROW(E213)-1, Source!$E213)), Source!$C213), E212))</f>
        <v/>
      </c>
      <c r="F213" s="2" t="str">
        <f>IF(Source!$E213=COLUMNS($A213:F213), LEFT(F212, LEN(F212)-Source!$C213), IF(Source!$G213=COLUMNS($A213:F213), F212&amp;RIGHT(INDIRECT(ADDRESS(ROW(F213)-1, Source!$E213)), Source!$C213), F212))</f>
        <v/>
      </c>
      <c r="G213" s="2" t="str">
        <f>IF(Source!$E213=COLUMNS($A213:G213), LEFT(G212, LEN(G212)-Source!$C213), IF(Source!$G213=COLUMNS($A213:G213), G212&amp;RIGHT(INDIRECT(ADDRESS(ROW(G213)-1, Source!$E213)), Source!$C213), G212))</f>
        <v/>
      </c>
      <c r="H213" s="2" t="str">
        <f>IF(Source!$E213=COLUMNS($A213:H213), LEFT(H212, LEN(H212)-Source!$C213), IF(Source!$G213=COLUMNS($A213:H213), H212&amp;RIGHT(INDIRECT(ADDRESS(ROW(H213)-1, Source!$E213)), Source!$C213), H212))</f>
        <v/>
      </c>
      <c r="I213" s="2" t="str">
        <f>IF(Source!$E213=COLUMNS($A213:I213), LEFT(I212, LEN(I212)-Source!$C213), IF(Source!$G213=COLUMNS($A213:I213), I212&amp;RIGHT(INDIRECT(ADDRESS(ROW(I213)-1, Source!$E213)), Source!$C213), I212))</f>
        <v>CWHFLDVCGTRMBZHRPD</v>
      </c>
    </row>
    <row r="214">
      <c r="A214" s="2" t="str">
        <f>IF(Source!$E214=COLUMNS($A214:A214), LEFT(A213, LEN(A213)-Source!$C214), IF(Source!$G214=COLUMNS($A214:A214), A213&amp;RIGHT(INDIRECT(ADDRESS(ROW(A214)-1, Source!$E214)), Source!$C214), A213))</f>
        <v>D</v>
      </c>
      <c r="B214" s="2" t="str">
        <f>IF(Source!$E214=COLUMNS($A214:B214), LEFT(B213, LEN(B213)-Source!$C214), IF(Source!$G214=COLUMNS($A214:B214), B213&amp;RIGHT(INDIRECT(ADDRESS(ROW(B214)-1, Source!$E214)), Source!$C214), B213))</f>
        <v>BMVZZQRQPTSDSGTCDFT</v>
      </c>
      <c r="C214" s="2" t="str">
        <f>IF(Source!$E214=COLUMNS($A214:C214), LEFT(C213, LEN(C213)-Source!$C214), IF(Source!$G214=COLUMNS($A214:C214), C213&amp;RIGHT(INDIRECT(ADDRESS(ROW(C214)-1, Source!$E214)), Source!$C214), C213))</f>
        <v>SPVJMLWRJTLBTJ</v>
      </c>
      <c r="D214" s="2" t="str">
        <f>IF(Source!$E214=COLUMNS($A214:D214), LEFT(D213, LEN(D213)-Source!$C214), IF(Source!$G214=COLUMNS($A214:D214), D213&amp;RIGHT(INDIRECT(ADDRESS(ROW(D214)-1, Source!$E214)), Source!$C214), D213))</f>
        <v/>
      </c>
      <c r="E214" s="2" t="str">
        <f>IF(Source!$E214=COLUMNS($A214:E214), LEFT(E213, LEN(E213)-Source!$C214), IF(Source!$G214=COLUMNS($A214:E214), E213&amp;RIGHT(INDIRECT(ADDRESS(ROW(E214)-1, Source!$E214)), Source!$C214), E213))</f>
        <v/>
      </c>
      <c r="F214" s="2" t="str">
        <f>IF(Source!$E214=COLUMNS($A214:F214), LEFT(F213, LEN(F213)-Source!$C214), IF(Source!$G214=COLUMNS($A214:F214), F213&amp;RIGHT(INDIRECT(ADDRESS(ROW(F214)-1, Source!$E214)), Source!$C214), F213))</f>
        <v/>
      </c>
      <c r="G214" s="2" t="str">
        <f>IF(Source!$E214=COLUMNS($A214:G214), LEFT(G213, LEN(G213)-Source!$C214), IF(Source!$G214=COLUMNS($A214:G214), G213&amp;RIGHT(INDIRECT(ADDRESS(ROW(G214)-1, Source!$E214)), Source!$C214), G213))</f>
        <v>RBSD</v>
      </c>
      <c r="H214" s="2" t="str">
        <f>IF(Source!$E214=COLUMNS($A214:H214), LEFT(H213, LEN(H213)-Source!$C214), IF(Source!$G214=COLUMNS($A214:H214), H213&amp;RIGHT(INDIRECT(ADDRESS(ROW(H214)-1, Source!$E214)), Source!$C214), H213))</f>
        <v/>
      </c>
      <c r="I214" s="2" t="str">
        <f>IF(Source!$E214=COLUMNS($A214:I214), LEFT(I213, LEN(I213)-Source!$C214), IF(Source!$G214=COLUMNS($A214:I214), I213&amp;RIGHT(INDIRECT(ADDRESS(ROW(I214)-1, Source!$E214)), Source!$C214), I213))</f>
        <v>CWHFLDVCGTRMBZHRPD</v>
      </c>
    </row>
    <row r="215">
      <c r="A215" s="2" t="str">
        <f>IF(Source!$E215=COLUMNS($A215:A215), LEFT(A214, LEN(A214)-Source!$C215), IF(Source!$G215=COLUMNS($A215:A215), A214&amp;RIGHT(INDIRECT(ADDRESS(ROW(A215)-1, Source!$E215)), Source!$C215), A214))</f>
        <v>D</v>
      </c>
      <c r="B215" s="2" t="str">
        <f>IF(Source!$E215=COLUMNS($A215:B215), LEFT(B214, LEN(B214)-Source!$C215), IF(Source!$G215=COLUMNS($A215:B215), B214&amp;RIGHT(INDIRECT(ADDRESS(ROW(B215)-1, Source!$E215)), Source!$C215), B214))</f>
        <v>BMVZZQRQPTSDSGTCDFT</v>
      </c>
      <c r="C215" s="2" t="str">
        <f>IF(Source!$E215=COLUMNS($A215:C215), LEFT(C214, LEN(C214)-Source!$C215), IF(Source!$G215=COLUMNS($A215:C215), C214&amp;RIGHT(INDIRECT(ADDRESS(ROW(C215)-1, Source!$E215)), Source!$C215), C214))</f>
        <v>SPVJMLWRJTLBTJFLDVCGTRMBZHRPD</v>
      </c>
      <c r="D215" s="2" t="str">
        <f>IF(Source!$E215=COLUMNS($A215:D215), LEFT(D214, LEN(D214)-Source!$C215), IF(Source!$G215=COLUMNS($A215:D215), D214&amp;RIGHT(INDIRECT(ADDRESS(ROW(D215)-1, Source!$E215)), Source!$C215), D214))</f>
        <v/>
      </c>
      <c r="E215" s="2" t="str">
        <f>IF(Source!$E215=COLUMNS($A215:E215), LEFT(E214, LEN(E214)-Source!$C215), IF(Source!$G215=COLUMNS($A215:E215), E214&amp;RIGHT(INDIRECT(ADDRESS(ROW(E215)-1, Source!$E215)), Source!$C215), E214))</f>
        <v/>
      </c>
      <c r="F215" s="2" t="str">
        <f>IF(Source!$E215=COLUMNS($A215:F215), LEFT(F214, LEN(F214)-Source!$C215), IF(Source!$G215=COLUMNS($A215:F215), F214&amp;RIGHT(INDIRECT(ADDRESS(ROW(F215)-1, Source!$E215)), Source!$C215), F214))</f>
        <v/>
      </c>
      <c r="G215" s="2" t="str">
        <f>IF(Source!$E215=COLUMNS($A215:G215), LEFT(G214, LEN(G214)-Source!$C215), IF(Source!$G215=COLUMNS($A215:G215), G214&amp;RIGHT(INDIRECT(ADDRESS(ROW(G215)-1, Source!$E215)), Source!$C215), G214))</f>
        <v>RBSD</v>
      </c>
      <c r="H215" s="2" t="str">
        <f>IF(Source!$E215=COLUMNS($A215:H215), LEFT(H214, LEN(H214)-Source!$C215), IF(Source!$G215=COLUMNS($A215:H215), H214&amp;RIGHT(INDIRECT(ADDRESS(ROW(H215)-1, Source!$E215)), Source!$C215), H214))</f>
        <v/>
      </c>
      <c r="I215" s="2" t="str">
        <f>IF(Source!$E215=COLUMNS($A215:I215), LEFT(I214, LEN(I214)-Source!$C215), IF(Source!$G215=COLUMNS($A215:I215), I214&amp;RIGHT(INDIRECT(ADDRESS(ROW(I215)-1, Source!$E215)), Source!$C215), I214))</f>
        <v>CWH</v>
      </c>
    </row>
    <row r="216">
      <c r="A216" s="2" t="str">
        <f>IF(Source!$E216=COLUMNS($A216:A216), LEFT(A215, LEN(A215)-Source!$C216), IF(Source!$G216=COLUMNS($A216:A216), A215&amp;RIGHT(INDIRECT(ADDRESS(ROW(A216)-1, Source!$E216)), Source!$C216), A215))</f>
        <v>DH</v>
      </c>
      <c r="B216" s="2" t="str">
        <f>IF(Source!$E216=COLUMNS($A216:B216), LEFT(B215, LEN(B215)-Source!$C216), IF(Source!$G216=COLUMNS($A216:B216), B215&amp;RIGHT(INDIRECT(ADDRESS(ROW(B216)-1, Source!$E216)), Source!$C216), B215))</f>
        <v>BMVZZQRQPTSDSGTCDFT</v>
      </c>
      <c r="C216" s="2" t="str">
        <f>IF(Source!$E216=COLUMNS($A216:C216), LEFT(C215, LEN(C215)-Source!$C216), IF(Source!$G216=COLUMNS($A216:C216), C215&amp;RIGHT(INDIRECT(ADDRESS(ROW(C216)-1, Source!$E216)), Source!$C216), C215))</f>
        <v>SPVJMLWRJTLBTJFLDVCGTRMBZHRPD</v>
      </c>
      <c r="D216" s="2" t="str">
        <f>IF(Source!$E216=COLUMNS($A216:D216), LEFT(D215, LEN(D215)-Source!$C216), IF(Source!$G216=COLUMNS($A216:D216), D215&amp;RIGHT(INDIRECT(ADDRESS(ROW(D216)-1, Source!$E216)), Source!$C216), D215))</f>
        <v/>
      </c>
      <c r="E216" s="2" t="str">
        <f>IF(Source!$E216=COLUMNS($A216:E216), LEFT(E215, LEN(E215)-Source!$C216), IF(Source!$G216=COLUMNS($A216:E216), E215&amp;RIGHT(INDIRECT(ADDRESS(ROW(E216)-1, Source!$E216)), Source!$C216), E215))</f>
        <v/>
      </c>
      <c r="F216" s="2" t="str">
        <f>IF(Source!$E216=COLUMNS($A216:F216), LEFT(F215, LEN(F215)-Source!$C216), IF(Source!$G216=COLUMNS($A216:F216), F215&amp;RIGHT(INDIRECT(ADDRESS(ROW(F216)-1, Source!$E216)), Source!$C216), F215))</f>
        <v/>
      </c>
      <c r="G216" s="2" t="str">
        <f>IF(Source!$E216=COLUMNS($A216:G216), LEFT(G215, LEN(G215)-Source!$C216), IF(Source!$G216=COLUMNS($A216:G216), G215&amp;RIGHT(INDIRECT(ADDRESS(ROW(G216)-1, Source!$E216)), Source!$C216), G215))</f>
        <v>RBSD</v>
      </c>
      <c r="H216" s="2" t="str">
        <f>IF(Source!$E216=COLUMNS($A216:H216), LEFT(H215, LEN(H215)-Source!$C216), IF(Source!$G216=COLUMNS($A216:H216), H215&amp;RIGHT(INDIRECT(ADDRESS(ROW(H216)-1, Source!$E216)), Source!$C216), H215))</f>
        <v/>
      </c>
      <c r="I216" s="2" t="str">
        <f>IF(Source!$E216=COLUMNS($A216:I216), LEFT(I215, LEN(I215)-Source!$C216), IF(Source!$G216=COLUMNS($A216:I216), I215&amp;RIGHT(INDIRECT(ADDRESS(ROW(I216)-1, Source!$E216)), Source!$C216), I215))</f>
        <v>CW</v>
      </c>
    </row>
    <row r="217">
      <c r="A217" s="2" t="str">
        <f>IF(Source!$E217=COLUMNS($A217:A217), LEFT(A216, LEN(A216)-Source!$C217), IF(Source!$G217=COLUMNS($A217:A217), A216&amp;RIGHT(INDIRECT(ADDRESS(ROW(A217)-1, Source!$E217)), Source!$C217), A216))</f>
        <v/>
      </c>
      <c r="B217" s="2" t="str">
        <f>IF(Source!$E217=COLUMNS($A217:B217), LEFT(B216, LEN(B216)-Source!$C217), IF(Source!$G217=COLUMNS($A217:B217), B216&amp;RIGHT(INDIRECT(ADDRESS(ROW(B217)-1, Source!$E217)), Source!$C217), B216))</f>
        <v>BMVZZQRQPTSDSGTCDFT</v>
      </c>
      <c r="C217" s="2" t="str">
        <f>IF(Source!$E217=COLUMNS($A217:C217), LEFT(C216, LEN(C216)-Source!$C217), IF(Source!$G217=COLUMNS($A217:C217), C216&amp;RIGHT(INDIRECT(ADDRESS(ROW(C217)-1, Source!$E217)), Source!$C217), C216))</f>
        <v>SPVJMLWRJTLBTJFLDVCGTRMBZHRPD</v>
      </c>
      <c r="D217" s="2" t="str">
        <f>IF(Source!$E217=COLUMNS($A217:D217), LEFT(D216, LEN(D216)-Source!$C217), IF(Source!$G217=COLUMNS($A217:D217), D216&amp;RIGHT(INDIRECT(ADDRESS(ROW(D217)-1, Source!$E217)), Source!$C217), D216))</f>
        <v/>
      </c>
      <c r="E217" s="2" t="str">
        <f>IF(Source!$E217=COLUMNS($A217:E217), LEFT(E216, LEN(E216)-Source!$C217), IF(Source!$G217=COLUMNS($A217:E217), E216&amp;RIGHT(INDIRECT(ADDRESS(ROW(E217)-1, Source!$E217)), Source!$C217), E216))</f>
        <v/>
      </c>
      <c r="F217" s="2" t="str">
        <f>IF(Source!$E217=COLUMNS($A217:F217), LEFT(F216, LEN(F216)-Source!$C217), IF(Source!$G217=COLUMNS($A217:F217), F216&amp;RIGHT(INDIRECT(ADDRESS(ROW(F217)-1, Source!$E217)), Source!$C217), F216))</f>
        <v/>
      </c>
      <c r="G217" s="2" t="str">
        <f>IF(Source!$E217=COLUMNS($A217:G217), LEFT(G216, LEN(G216)-Source!$C217), IF(Source!$G217=COLUMNS($A217:G217), G216&amp;RIGHT(INDIRECT(ADDRESS(ROW(G217)-1, Source!$E217)), Source!$C217), G216))</f>
        <v>RBSD</v>
      </c>
      <c r="H217" s="2" t="str">
        <f>IF(Source!$E217=COLUMNS($A217:H217), LEFT(H216, LEN(H216)-Source!$C217), IF(Source!$G217=COLUMNS($A217:H217), H216&amp;RIGHT(INDIRECT(ADDRESS(ROW(H217)-1, Source!$E217)), Source!$C217), H216))</f>
        <v>DH</v>
      </c>
      <c r="I217" s="2" t="str">
        <f>IF(Source!$E217=COLUMNS($A217:I217), LEFT(I216, LEN(I216)-Source!$C217), IF(Source!$G217=COLUMNS($A217:I217), I216&amp;RIGHT(INDIRECT(ADDRESS(ROW(I217)-1, Source!$E217)), Source!$C217), I216))</f>
        <v>CW</v>
      </c>
    </row>
    <row r="218">
      <c r="A218" s="2" t="str">
        <f>IF(Source!$E218=COLUMNS($A218:A218), LEFT(A217, LEN(A217)-Source!$C218), IF(Source!$G218=COLUMNS($A218:A218), A217&amp;RIGHT(INDIRECT(ADDRESS(ROW(A218)-1, Source!$E218)), Source!$C218), A217))</f>
        <v/>
      </c>
      <c r="B218" s="2" t="str">
        <f>IF(Source!$E218=COLUMNS($A218:B218), LEFT(B217, LEN(B217)-Source!$C218), IF(Source!$G218=COLUMNS($A218:B218), B217&amp;RIGHT(INDIRECT(ADDRESS(ROW(B218)-1, Source!$E218)), Source!$C218), B217))</f>
        <v>BMVZZQRQPTSDS</v>
      </c>
      <c r="C218" s="2" t="str">
        <f>IF(Source!$E218=COLUMNS($A218:C218), LEFT(C217, LEN(C217)-Source!$C218), IF(Source!$G218=COLUMNS($A218:C218), C217&amp;RIGHT(INDIRECT(ADDRESS(ROW(C218)-1, Source!$E218)), Source!$C218), C217))</f>
        <v>SPVJMLWRJTLBTJFLDVCGTRMBZHRPD</v>
      </c>
      <c r="D218" s="2" t="str">
        <f>IF(Source!$E218=COLUMNS($A218:D218), LEFT(D217, LEN(D217)-Source!$C218), IF(Source!$G218=COLUMNS($A218:D218), D217&amp;RIGHT(INDIRECT(ADDRESS(ROW(D218)-1, Source!$E218)), Source!$C218), D217))</f>
        <v>GTCDFT</v>
      </c>
      <c r="E218" s="2" t="str">
        <f>IF(Source!$E218=COLUMNS($A218:E218), LEFT(E217, LEN(E217)-Source!$C218), IF(Source!$G218=COLUMNS($A218:E218), E217&amp;RIGHT(INDIRECT(ADDRESS(ROW(E218)-1, Source!$E218)), Source!$C218), E217))</f>
        <v/>
      </c>
      <c r="F218" s="2" t="str">
        <f>IF(Source!$E218=COLUMNS($A218:F218), LEFT(F217, LEN(F217)-Source!$C218), IF(Source!$G218=COLUMNS($A218:F218), F217&amp;RIGHT(INDIRECT(ADDRESS(ROW(F218)-1, Source!$E218)), Source!$C218), F217))</f>
        <v/>
      </c>
      <c r="G218" s="2" t="str">
        <f>IF(Source!$E218=COLUMNS($A218:G218), LEFT(G217, LEN(G217)-Source!$C218), IF(Source!$G218=COLUMNS($A218:G218), G217&amp;RIGHT(INDIRECT(ADDRESS(ROW(G218)-1, Source!$E218)), Source!$C218), G217))</f>
        <v>RBSD</v>
      </c>
      <c r="H218" s="2" t="str">
        <f>IF(Source!$E218=COLUMNS($A218:H218), LEFT(H217, LEN(H217)-Source!$C218), IF(Source!$G218=COLUMNS($A218:H218), H217&amp;RIGHT(INDIRECT(ADDRESS(ROW(H218)-1, Source!$E218)), Source!$C218), H217))</f>
        <v>DH</v>
      </c>
      <c r="I218" s="2" t="str">
        <f>IF(Source!$E218=COLUMNS($A218:I218), LEFT(I217, LEN(I217)-Source!$C218), IF(Source!$G218=COLUMNS($A218:I218), I217&amp;RIGHT(INDIRECT(ADDRESS(ROW(I218)-1, Source!$E218)), Source!$C218), I217))</f>
        <v>CW</v>
      </c>
    </row>
    <row r="219">
      <c r="A219" s="2" t="str">
        <f>IF(Source!$E219=COLUMNS($A219:A219), LEFT(A218, LEN(A218)-Source!$C219), IF(Source!$G219=COLUMNS($A219:A219), A218&amp;RIGHT(INDIRECT(ADDRESS(ROW(A219)-1, Source!$E219)), Source!$C219), A218))</f>
        <v>QRQPTSDS</v>
      </c>
      <c r="B219" s="2" t="str">
        <f>IF(Source!$E219=COLUMNS($A219:B219), LEFT(B218, LEN(B218)-Source!$C219), IF(Source!$G219=COLUMNS($A219:B219), B218&amp;RIGHT(INDIRECT(ADDRESS(ROW(B219)-1, Source!$E219)), Source!$C219), B218))</f>
        <v>BMVZZ</v>
      </c>
      <c r="C219" s="2" t="str">
        <f>IF(Source!$E219=COLUMNS($A219:C219), LEFT(C218, LEN(C218)-Source!$C219), IF(Source!$G219=COLUMNS($A219:C219), C218&amp;RIGHT(INDIRECT(ADDRESS(ROW(C219)-1, Source!$E219)), Source!$C219), C218))</f>
        <v>SPVJMLWRJTLBTJFLDVCGTRMBZHRPD</v>
      </c>
      <c r="D219" s="2" t="str">
        <f>IF(Source!$E219=COLUMNS($A219:D219), LEFT(D218, LEN(D218)-Source!$C219), IF(Source!$G219=COLUMNS($A219:D219), D218&amp;RIGHT(INDIRECT(ADDRESS(ROW(D219)-1, Source!$E219)), Source!$C219), D218))</f>
        <v>GTCDFT</v>
      </c>
      <c r="E219" s="2" t="str">
        <f>IF(Source!$E219=COLUMNS($A219:E219), LEFT(E218, LEN(E218)-Source!$C219), IF(Source!$G219=COLUMNS($A219:E219), E218&amp;RIGHT(INDIRECT(ADDRESS(ROW(E219)-1, Source!$E219)), Source!$C219), E218))</f>
        <v/>
      </c>
      <c r="F219" s="2" t="str">
        <f>IF(Source!$E219=COLUMNS($A219:F219), LEFT(F218, LEN(F218)-Source!$C219), IF(Source!$G219=COLUMNS($A219:F219), F218&amp;RIGHT(INDIRECT(ADDRESS(ROW(F219)-1, Source!$E219)), Source!$C219), F218))</f>
        <v/>
      </c>
      <c r="G219" s="2" t="str">
        <f>IF(Source!$E219=COLUMNS($A219:G219), LEFT(G218, LEN(G218)-Source!$C219), IF(Source!$G219=COLUMNS($A219:G219), G218&amp;RIGHT(INDIRECT(ADDRESS(ROW(G219)-1, Source!$E219)), Source!$C219), G218))</f>
        <v>RBSD</v>
      </c>
      <c r="H219" s="2" t="str">
        <f>IF(Source!$E219=COLUMNS($A219:H219), LEFT(H218, LEN(H218)-Source!$C219), IF(Source!$G219=COLUMNS($A219:H219), H218&amp;RIGHT(INDIRECT(ADDRESS(ROW(H219)-1, Source!$E219)), Source!$C219), H218))</f>
        <v>DH</v>
      </c>
      <c r="I219" s="2" t="str">
        <f>IF(Source!$E219=COLUMNS($A219:I219), LEFT(I218, LEN(I218)-Source!$C219), IF(Source!$G219=COLUMNS($A219:I219), I218&amp;RIGHT(INDIRECT(ADDRESS(ROW(I219)-1, Source!$E219)), Source!$C219), I218))</f>
        <v>CW</v>
      </c>
    </row>
    <row r="220">
      <c r="A220" s="2" t="str">
        <f>IF(Source!$E220=COLUMNS($A220:A220), LEFT(A219, LEN(A219)-Source!$C220), IF(Source!$G220=COLUMNS($A220:A220), A219&amp;RIGHT(INDIRECT(ADDRESS(ROW(A220)-1, Source!$E220)), Source!$C220), A219))</f>
        <v>QRQPTSDS</v>
      </c>
      <c r="B220" s="2" t="str">
        <f>IF(Source!$E220=COLUMNS($A220:B220), LEFT(B219, LEN(B219)-Source!$C220), IF(Source!$G220=COLUMNS($A220:B220), B219&amp;RIGHT(INDIRECT(ADDRESS(ROW(B220)-1, Source!$E220)), Source!$C220), B219))</f>
        <v>BMVZZ</v>
      </c>
      <c r="C220" s="2" t="str">
        <f>IF(Source!$E220=COLUMNS($A220:C220), LEFT(C219, LEN(C219)-Source!$C220), IF(Source!$G220=COLUMNS($A220:C220), C219&amp;RIGHT(INDIRECT(ADDRESS(ROW(C220)-1, Source!$E220)), Source!$C220), C219))</f>
        <v>SPVJMLWRJTLBTJFLDVCGTRMBZHRPD</v>
      </c>
      <c r="D220" s="2" t="str">
        <f>IF(Source!$E220=COLUMNS($A220:D220), LEFT(D219, LEN(D219)-Source!$C220), IF(Source!$G220=COLUMNS($A220:D220), D219&amp;RIGHT(INDIRECT(ADDRESS(ROW(D220)-1, Source!$E220)), Source!$C220), D219))</f>
        <v>GTCDFT</v>
      </c>
      <c r="E220" s="2" t="str">
        <f>IF(Source!$E220=COLUMNS($A220:E220), LEFT(E219, LEN(E219)-Source!$C220), IF(Source!$G220=COLUMNS($A220:E220), E219&amp;RIGHT(INDIRECT(ADDRESS(ROW(E220)-1, Source!$E220)), Source!$C220), E219))</f>
        <v>DH</v>
      </c>
      <c r="F220" s="2" t="str">
        <f>IF(Source!$E220=COLUMNS($A220:F220), LEFT(F219, LEN(F219)-Source!$C220), IF(Source!$G220=COLUMNS($A220:F220), F219&amp;RIGHT(INDIRECT(ADDRESS(ROW(F220)-1, Source!$E220)), Source!$C220), F219))</f>
        <v/>
      </c>
      <c r="G220" s="2" t="str">
        <f>IF(Source!$E220=COLUMNS($A220:G220), LEFT(G219, LEN(G219)-Source!$C220), IF(Source!$G220=COLUMNS($A220:G220), G219&amp;RIGHT(INDIRECT(ADDRESS(ROW(G220)-1, Source!$E220)), Source!$C220), G219))</f>
        <v>RBSD</v>
      </c>
      <c r="H220" s="2" t="str">
        <f>IF(Source!$E220=COLUMNS($A220:H220), LEFT(H219, LEN(H219)-Source!$C220), IF(Source!$G220=COLUMNS($A220:H220), H219&amp;RIGHT(INDIRECT(ADDRESS(ROW(H220)-1, Source!$E220)), Source!$C220), H219))</f>
        <v/>
      </c>
      <c r="I220" s="2" t="str">
        <f>IF(Source!$E220=COLUMNS($A220:I220), LEFT(I219, LEN(I219)-Source!$C220), IF(Source!$G220=COLUMNS($A220:I220), I219&amp;RIGHT(INDIRECT(ADDRESS(ROW(I220)-1, Source!$E220)), Source!$C220), I219))</f>
        <v>CW</v>
      </c>
    </row>
    <row r="221">
      <c r="A221" s="2" t="str">
        <f>IF(Source!$E221=COLUMNS($A221:A221), LEFT(A220, LEN(A220)-Source!$C221), IF(Source!$G221=COLUMNS($A221:A221), A220&amp;RIGHT(INDIRECT(ADDRESS(ROW(A221)-1, Source!$E221)), Source!$C221), A220))</f>
        <v>QRQPTSDS</v>
      </c>
      <c r="B221" s="2" t="str">
        <f>IF(Source!$E221=COLUMNS($A221:B221), LEFT(B220, LEN(B220)-Source!$C221), IF(Source!$G221=COLUMNS($A221:B221), B220&amp;RIGHT(INDIRECT(ADDRESS(ROW(B221)-1, Source!$E221)), Source!$C221), B220))</f>
        <v>BMVZZ</v>
      </c>
      <c r="C221" s="2" t="str">
        <f>IF(Source!$E221=COLUMNS($A221:C221), LEFT(C220, LEN(C220)-Source!$C221), IF(Source!$G221=COLUMNS($A221:C221), C220&amp;RIGHT(INDIRECT(ADDRESS(ROW(C221)-1, Source!$E221)), Source!$C221), C220))</f>
        <v>SPVJMLWRJTLBTJFLDVCGTRMBZHRPDCW</v>
      </c>
      <c r="D221" s="2" t="str">
        <f>IF(Source!$E221=COLUMNS($A221:D221), LEFT(D220, LEN(D220)-Source!$C221), IF(Source!$G221=COLUMNS($A221:D221), D220&amp;RIGHT(INDIRECT(ADDRESS(ROW(D221)-1, Source!$E221)), Source!$C221), D220))</f>
        <v>GTCDFT</v>
      </c>
      <c r="E221" s="2" t="str">
        <f>IF(Source!$E221=COLUMNS($A221:E221), LEFT(E220, LEN(E220)-Source!$C221), IF(Source!$G221=COLUMNS($A221:E221), E220&amp;RIGHT(INDIRECT(ADDRESS(ROW(E221)-1, Source!$E221)), Source!$C221), E220))</f>
        <v>DH</v>
      </c>
      <c r="F221" s="2" t="str">
        <f>IF(Source!$E221=COLUMNS($A221:F221), LEFT(F220, LEN(F220)-Source!$C221), IF(Source!$G221=COLUMNS($A221:F221), F220&amp;RIGHT(INDIRECT(ADDRESS(ROW(F221)-1, Source!$E221)), Source!$C221), F220))</f>
        <v/>
      </c>
      <c r="G221" s="2" t="str">
        <f>IF(Source!$E221=COLUMNS($A221:G221), LEFT(G220, LEN(G220)-Source!$C221), IF(Source!$G221=COLUMNS($A221:G221), G220&amp;RIGHT(INDIRECT(ADDRESS(ROW(G221)-1, Source!$E221)), Source!$C221), G220))</f>
        <v>RBSD</v>
      </c>
      <c r="H221" s="2" t="str">
        <f>IF(Source!$E221=COLUMNS($A221:H221), LEFT(H220, LEN(H220)-Source!$C221), IF(Source!$G221=COLUMNS($A221:H221), H220&amp;RIGHT(INDIRECT(ADDRESS(ROW(H221)-1, Source!$E221)), Source!$C221), H220))</f>
        <v/>
      </c>
      <c r="I221" s="2" t="str">
        <f>IF(Source!$E221=COLUMNS($A221:I221), LEFT(I220, LEN(I220)-Source!$C221), IF(Source!$G221=COLUMNS($A221:I221), I220&amp;RIGHT(INDIRECT(ADDRESS(ROW(I221)-1, Source!$E221)), Source!$C221), I220))</f>
        <v/>
      </c>
    </row>
    <row r="222">
      <c r="A222" s="2" t="str">
        <f>IF(Source!$E222=COLUMNS($A222:A222), LEFT(A221, LEN(A221)-Source!$C222), IF(Source!$G222=COLUMNS($A222:A222), A221&amp;RIGHT(INDIRECT(ADDRESS(ROW(A222)-1, Source!$E222)), Source!$C222), A221))</f>
        <v>QRQPTSDSCDFT</v>
      </c>
      <c r="B222" s="2" t="str">
        <f>IF(Source!$E222=COLUMNS($A222:B222), LEFT(B221, LEN(B221)-Source!$C222), IF(Source!$G222=COLUMNS($A222:B222), B221&amp;RIGHT(INDIRECT(ADDRESS(ROW(B222)-1, Source!$E222)), Source!$C222), B221))</f>
        <v>BMVZZ</v>
      </c>
      <c r="C222" s="2" t="str">
        <f>IF(Source!$E222=COLUMNS($A222:C222), LEFT(C221, LEN(C221)-Source!$C222), IF(Source!$G222=COLUMNS($A222:C222), C221&amp;RIGHT(INDIRECT(ADDRESS(ROW(C222)-1, Source!$E222)), Source!$C222), C221))</f>
        <v>SPVJMLWRJTLBTJFLDVCGTRMBZHRPDCW</v>
      </c>
      <c r="D222" s="2" t="str">
        <f>IF(Source!$E222=COLUMNS($A222:D222), LEFT(D221, LEN(D221)-Source!$C222), IF(Source!$G222=COLUMNS($A222:D222), D221&amp;RIGHT(INDIRECT(ADDRESS(ROW(D222)-1, Source!$E222)), Source!$C222), D221))</f>
        <v>GT</v>
      </c>
      <c r="E222" s="2" t="str">
        <f>IF(Source!$E222=COLUMNS($A222:E222), LEFT(E221, LEN(E221)-Source!$C222), IF(Source!$G222=COLUMNS($A222:E222), E221&amp;RIGHT(INDIRECT(ADDRESS(ROW(E222)-1, Source!$E222)), Source!$C222), E221))</f>
        <v>DH</v>
      </c>
      <c r="F222" s="2" t="str">
        <f>IF(Source!$E222=COLUMNS($A222:F222), LEFT(F221, LEN(F221)-Source!$C222), IF(Source!$G222=COLUMNS($A222:F222), F221&amp;RIGHT(INDIRECT(ADDRESS(ROW(F222)-1, Source!$E222)), Source!$C222), F221))</f>
        <v/>
      </c>
      <c r="G222" s="2" t="str">
        <f>IF(Source!$E222=COLUMNS($A222:G222), LEFT(G221, LEN(G221)-Source!$C222), IF(Source!$G222=COLUMNS($A222:G222), G221&amp;RIGHT(INDIRECT(ADDRESS(ROW(G222)-1, Source!$E222)), Source!$C222), G221))</f>
        <v>RBSD</v>
      </c>
      <c r="H222" s="2" t="str">
        <f>IF(Source!$E222=COLUMNS($A222:H222), LEFT(H221, LEN(H221)-Source!$C222), IF(Source!$G222=COLUMNS($A222:H222), H221&amp;RIGHT(INDIRECT(ADDRESS(ROW(H222)-1, Source!$E222)), Source!$C222), H221))</f>
        <v/>
      </c>
      <c r="I222" s="2" t="str">
        <f>IF(Source!$E222=COLUMNS($A222:I222), LEFT(I221, LEN(I221)-Source!$C222), IF(Source!$G222=COLUMNS($A222:I222), I221&amp;RIGHT(INDIRECT(ADDRESS(ROW(I222)-1, Source!$E222)), Source!$C222), I221))</f>
        <v/>
      </c>
    </row>
    <row r="223">
      <c r="A223" s="2" t="str">
        <f>IF(Source!$E223=COLUMNS($A223:A223), LEFT(A222, LEN(A222)-Source!$C223), IF(Source!$G223=COLUMNS($A223:A223), A222&amp;RIGHT(INDIRECT(ADDRESS(ROW(A223)-1, Source!$E223)), Source!$C223), A222))</f>
        <v>QRQPTSDSCDFT</v>
      </c>
      <c r="B223" s="2" t="str">
        <f>IF(Source!$E223=COLUMNS($A223:B223), LEFT(B222, LEN(B222)-Source!$C223), IF(Source!$G223=COLUMNS($A223:B223), B222&amp;RIGHT(INDIRECT(ADDRESS(ROW(B223)-1, Source!$E223)), Source!$C223), B222))</f>
        <v>BMVZZ</v>
      </c>
      <c r="C223" s="2" t="str">
        <f>IF(Source!$E223=COLUMNS($A223:C223), LEFT(C222, LEN(C222)-Source!$C223), IF(Source!$G223=COLUMNS($A223:C223), C222&amp;RIGHT(INDIRECT(ADDRESS(ROW(C223)-1, Source!$E223)), Source!$C223), C222))</f>
        <v>SPVJMLWRJTLBTJFLDVCGTRMBZHRPDCW</v>
      </c>
      <c r="D223" s="2" t="str">
        <f>IF(Source!$E223=COLUMNS($A223:D223), LEFT(D222, LEN(D222)-Source!$C223), IF(Source!$G223=COLUMNS($A223:D223), D222&amp;RIGHT(INDIRECT(ADDRESS(ROW(D223)-1, Source!$E223)), Source!$C223), D222))</f>
        <v>GT</v>
      </c>
      <c r="E223" s="2" t="str">
        <f>IF(Source!$E223=COLUMNS($A223:E223), LEFT(E222, LEN(E222)-Source!$C223), IF(Source!$G223=COLUMNS($A223:E223), E222&amp;RIGHT(INDIRECT(ADDRESS(ROW(E223)-1, Source!$E223)), Source!$C223), E222))</f>
        <v/>
      </c>
      <c r="F223" s="2" t="str">
        <f>IF(Source!$E223=COLUMNS($A223:F223), LEFT(F222, LEN(F222)-Source!$C223), IF(Source!$G223=COLUMNS($A223:F223), F222&amp;RIGHT(INDIRECT(ADDRESS(ROW(F223)-1, Source!$E223)), Source!$C223), F222))</f>
        <v/>
      </c>
      <c r="G223" s="2" t="str">
        <f>IF(Source!$E223=COLUMNS($A223:G223), LEFT(G222, LEN(G222)-Source!$C223), IF(Source!$G223=COLUMNS($A223:G223), G222&amp;RIGHT(INDIRECT(ADDRESS(ROW(G223)-1, Source!$E223)), Source!$C223), G222))</f>
        <v>RBSD</v>
      </c>
      <c r="H223" s="2" t="str">
        <f>IF(Source!$E223=COLUMNS($A223:H223), LEFT(H222, LEN(H222)-Source!$C223), IF(Source!$G223=COLUMNS($A223:H223), H222&amp;RIGHT(INDIRECT(ADDRESS(ROW(H223)-1, Source!$E223)), Source!$C223), H222))</f>
        <v>DH</v>
      </c>
      <c r="I223" s="2" t="str">
        <f>IF(Source!$E223=COLUMNS($A223:I223), LEFT(I222, LEN(I222)-Source!$C223), IF(Source!$G223=COLUMNS($A223:I223), I222&amp;RIGHT(INDIRECT(ADDRESS(ROW(I223)-1, Source!$E223)), Source!$C223), I222))</f>
        <v/>
      </c>
    </row>
    <row r="224">
      <c r="A224" s="2" t="str">
        <f>IF(Source!$E224=COLUMNS($A224:A224), LEFT(A223, LEN(A223)-Source!$C224), IF(Source!$G224=COLUMNS($A224:A224), A223&amp;RIGHT(INDIRECT(ADDRESS(ROW(A224)-1, Source!$E224)), Source!$C224), A223))</f>
        <v>QRQPTSDSCDFT</v>
      </c>
      <c r="B224" s="2" t="str">
        <f>IF(Source!$E224=COLUMNS($A224:B224), LEFT(B223, LEN(B223)-Source!$C224), IF(Source!$G224=COLUMNS($A224:B224), B223&amp;RIGHT(INDIRECT(ADDRESS(ROW(B224)-1, Source!$E224)), Source!$C224), B223))</f>
        <v>BMVZZ</v>
      </c>
      <c r="C224" s="2" t="str">
        <f>IF(Source!$E224=COLUMNS($A224:C224), LEFT(C223, LEN(C223)-Source!$C224), IF(Source!$G224=COLUMNS($A224:C224), C223&amp;RIGHT(INDIRECT(ADDRESS(ROW(C224)-1, Source!$E224)), Source!$C224), C223))</f>
        <v>SPVJMLWRJTLBTJFLDVCGTRMBZHRPDCW</v>
      </c>
      <c r="D224" s="2" t="str">
        <f>IF(Source!$E224=COLUMNS($A224:D224), LEFT(D223, LEN(D223)-Source!$C224), IF(Source!$G224=COLUMNS($A224:D224), D223&amp;RIGHT(INDIRECT(ADDRESS(ROW(D224)-1, Source!$E224)), Source!$C224), D223))</f>
        <v>GT</v>
      </c>
      <c r="E224" s="2" t="str">
        <f>IF(Source!$E224=COLUMNS($A224:E224), LEFT(E223, LEN(E223)-Source!$C224), IF(Source!$G224=COLUMNS($A224:E224), E223&amp;RIGHT(INDIRECT(ADDRESS(ROW(E224)-1, Source!$E224)), Source!$C224), E223))</f>
        <v/>
      </c>
      <c r="F224" s="2" t="str">
        <f>IF(Source!$E224=COLUMNS($A224:F224), LEFT(F223, LEN(F223)-Source!$C224), IF(Source!$G224=COLUMNS($A224:F224), F223&amp;RIGHT(INDIRECT(ADDRESS(ROW(F224)-1, Source!$E224)), Source!$C224), F223))</f>
        <v/>
      </c>
      <c r="G224" s="2" t="str">
        <f>IF(Source!$E224=COLUMNS($A224:G224), LEFT(G223, LEN(G223)-Source!$C224), IF(Source!$G224=COLUMNS($A224:G224), G223&amp;RIGHT(INDIRECT(ADDRESS(ROW(G224)-1, Source!$E224)), Source!$C224), G223))</f>
        <v>RBSD</v>
      </c>
      <c r="H224" s="2" t="str">
        <f>IF(Source!$E224=COLUMNS($A224:H224), LEFT(H223, LEN(H223)-Source!$C224), IF(Source!$G224=COLUMNS($A224:H224), H223&amp;RIGHT(INDIRECT(ADDRESS(ROW(H224)-1, Source!$E224)), Source!$C224), H223))</f>
        <v/>
      </c>
      <c r="I224" s="2" t="str">
        <f>IF(Source!$E224=COLUMNS($A224:I224), LEFT(I223, LEN(I223)-Source!$C224), IF(Source!$G224=COLUMNS($A224:I224), I223&amp;RIGHT(INDIRECT(ADDRESS(ROW(I224)-1, Source!$E224)), Source!$C224), I223))</f>
        <v>DH</v>
      </c>
    </row>
    <row r="225">
      <c r="A225" s="2" t="str">
        <f>IF(Source!$E225=COLUMNS($A225:A225), LEFT(A224, LEN(A224)-Source!$C225), IF(Source!$G225=COLUMNS($A225:A225), A224&amp;RIGHT(INDIRECT(ADDRESS(ROW(A225)-1, Source!$E225)), Source!$C225), A224))</f>
        <v>QRQPTSDSCDFTVCGTRMBZHRPDCW</v>
      </c>
      <c r="B225" s="2" t="str">
        <f>IF(Source!$E225=COLUMNS($A225:B225), LEFT(B224, LEN(B224)-Source!$C225), IF(Source!$G225=COLUMNS($A225:B225), B224&amp;RIGHT(INDIRECT(ADDRESS(ROW(B225)-1, Source!$E225)), Source!$C225), B224))</f>
        <v>BMVZZ</v>
      </c>
      <c r="C225" s="2" t="str">
        <f>IF(Source!$E225=COLUMNS($A225:C225), LEFT(C224, LEN(C224)-Source!$C225), IF(Source!$G225=COLUMNS($A225:C225), C224&amp;RIGHT(INDIRECT(ADDRESS(ROW(C225)-1, Source!$E225)), Source!$C225), C224))</f>
        <v>SPVJMLWRJTLBTJFLD</v>
      </c>
      <c r="D225" s="2" t="str">
        <f>IF(Source!$E225=COLUMNS($A225:D225), LEFT(D224, LEN(D224)-Source!$C225), IF(Source!$G225=COLUMNS($A225:D225), D224&amp;RIGHT(INDIRECT(ADDRESS(ROW(D225)-1, Source!$E225)), Source!$C225), D224))</f>
        <v>GT</v>
      </c>
      <c r="E225" s="2" t="str">
        <f>IF(Source!$E225=COLUMNS($A225:E225), LEFT(E224, LEN(E224)-Source!$C225), IF(Source!$G225=COLUMNS($A225:E225), E224&amp;RIGHT(INDIRECT(ADDRESS(ROW(E225)-1, Source!$E225)), Source!$C225), E224))</f>
        <v/>
      </c>
      <c r="F225" s="2" t="str">
        <f>IF(Source!$E225=COLUMNS($A225:F225), LEFT(F224, LEN(F224)-Source!$C225), IF(Source!$G225=COLUMNS($A225:F225), F224&amp;RIGHT(INDIRECT(ADDRESS(ROW(F225)-1, Source!$E225)), Source!$C225), F224))</f>
        <v/>
      </c>
      <c r="G225" s="2" t="str">
        <f>IF(Source!$E225=COLUMNS($A225:G225), LEFT(G224, LEN(G224)-Source!$C225), IF(Source!$G225=COLUMNS($A225:G225), G224&amp;RIGHT(INDIRECT(ADDRESS(ROW(G225)-1, Source!$E225)), Source!$C225), G224))</f>
        <v>RBSD</v>
      </c>
      <c r="H225" s="2" t="str">
        <f>IF(Source!$E225=COLUMNS($A225:H225), LEFT(H224, LEN(H224)-Source!$C225), IF(Source!$G225=COLUMNS($A225:H225), H224&amp;RIGHT(INDIRECT(ADDRESS(ROW(H225)-1, Source!$E225)), Source!$C225), H224))</f>
        <v/>
      </c>
      <c r="I225" s="2" t="str">
        <f>IF(Source!$E225=COLUMNS($A225:I225), LEFT(I224, LEN(I224)-Source!$C225), IF(Source!$G225=COLUMNS($A225:I225), I224&amp;RIGHT(INDIRECT(ADDRESS(ROW(I225)-1, Source!$E225)), Source!$C225), I224))</f>
        <v>DH</v>
      </c>
    </row>
    <row r="226">
      <c r="A226" s="2" t="str">
        <f>IF(Source!$E226=COLUMNS($A226:A226), LEFT(A225, LEN(A225)-Source!$C226), IF(Source!$G226=COLUMNS($A226:A226), A225&amp;RIGHT(INDIRECT(ADDRESS(ROW(A226)-1, Source!$E226)), Source!$C226), A225))</f>
        <v>QRQPTSDSCDFTVCGTRMBZHRPDCW</v>
      </c>
      <c r="B226" s="2" t="str">
        <f>IF(Source!$E226=COLUMNS($A226:B226), LEFT(B225, LEN(B225)-Source!$C226), IF(Source!$G226=COLUMNS($A226:B226), B225&amp;RIGHT(INDIRECT(ADDRESS(ROW(B226)-1, Source!$E226)), Source!$C226), B225))</f>
        <v>BMVZZ</v>
      </c>
      <c r="C226" s="2" t="str">
        <f>IF(Source!$E226=COLUMNS($A226:C226), LEFT(C225, LEN(C225)-Source!$C226), IF(Source!$G226=COLUMNS($A226:C226), C225&amp;RIGHT(INDIRECT(ADDRESS(ROW(C226)-1, Source!$E226)), Source!$C226), C225))</f>
        <v>SPVJMLWRJTLBTJFLD</v>
      </c>
      <c r="D226" s="2" t="str">
        <f>IF(Source!$E226=COLUMNS($A226:D226), LEFT(D225, LEN(D225)-Source!$C226), IF(Source!$G226=COLUMNS($A226:D226), D225&amp;RIGHT(INDIRECT(ADDRESS(ROW(D226)-1, Source!$E226)), Source!$C226), D225))</f>
        <v>GT</v>
      </c>
      <c r="E226" s="2" t="str">
        <f>IF(Source!$E226=COLUMNS($A226:E226), LEFT(E225, LEN(E225)-Source!$C226), IF(Source!$G226=COLUMNS($A226:E226), E225&amp;RIGHT(INDIRECT(ADDRESS(ROW(E226)-1, Source!$E226)), Source!$C226), E225))</f>
        <v/>
      </c>
      <c r="F226" s="2" t="str">
        <f>IF(Source!$E226=COLUMNS($A226:F226), LEFT(F225, LEN(F225)-Source!$C226), IF(Source!$G226=COLUMNS($A226:F226), F225&amp;RIGHT(INDIRECT(ADDRESS(ROW(F226)-1, Source!$E226)), Source!$C226), F225))</f>
        <v/>
      </c>
      <c r="G226" s="2" t="str">
        <f>IF(Source!$E226=COLUMNS($A226:G226), LEFT(G225, LEN(G225)-Source!$C226), IF(Source!$G226=COLUMNS($A226:G226), G225&amp;RIGHT(INDIRECT(ADDRESS(ROW(G226)-1, Source!$E226)), Source!$C226), G225))</f>
        <v>RBSDDH</v>
      </c>
      <c r="H226" s="2" t="str">
        <f>IF(Source!$E226=COLUMNS($A226:H226), LEFT(H225, LEN(H225)-Source!$C226), IF(Source!$G226=COLUMNS($A226:H226), H225&amp;RIGHT(INDIRECT(ADDRESS(ROW(H226)-1, Source!$E226)), Source!$C226), H225))</f>
        <v/>
      </c>
      <c r="I226" s="2" t="str">
        <f>IF(Source!$E226=COLUMNS($A226:I226), LEFT(I225, LEN(I225)-Source!$C226), IF(Source!$G226=COLUMNS($A226:I226), I225&amp;RIGHT(INDIRECT(ADDRESS(ROW(I226)-1, Source!$E226)), Source!$C226), I225))</f>
        <v/>
      </c>
    </row>
    <row r="227">
      <c r="A227" s="2" t="str">
        <f>IF(Source!$E227=COLUMNS($A227:A227), LEFT(A226, LEN(A226)-Source!$C227), IF(Source!$G227=COLUMNS($A227:A227), A226&amp;RIGHT(INDIRECT(ADDRESS(ROW(A227)-1, Source!$E227)), Source!$C227), A226))</f>
        <v>QRQPTSDSCDFTVCGTRMBZHRPDCW</v>
      </c>
      <c r="B227" s="2" t="str">
        <f>IF(Source!$E227=COLUMNS($A227:B227), LEFT(B226, LEN(B226)-Source!$C227), IF(Source!$G227=COLUMNS($A227:B227), B226&amp;RIGHT(INDIRECT(ADDRESS(ROW(B227)-1, Source!$E227)), Source!$C227), B226))</f>
        <v>BMVZZ</v>
      </c>
      <c r="C227" s="2" t="str">
        <f>IF(Source!$E227=COLUMNS($A227:C227), LEFT(C226, LEN(C226)-Source!$C227), IF(Source!$G227=COLUMNS($A227:C227), C226&amp;RIGHT(INDIRECT(ADDRESS(ROW(C227)-1, Source!$E227)), Source!$C227), C226))</f>
        <v>SPVJMLWRJTLBTJFLDGT</v>
      </c>
      <c r="D227" s="2" t="str">
        <f>IF(Source!$E227=COLUMNS($A227:D227), LEFT(D226, LEN(D226)-Source!$C227), IF(Source!$G227=COLUMNS($A227:D227), D226&amp;RIGHT(INDIRECT(ADDRESS(ROW(D227)-1, Source!$E227)), Source!$C227), D226))</f>
        <v/>
      </c>
      <c r="E227" s="2" t="str">
        <f>IF(Source!$E227=COLUMNS($A227:E227), LEFT(E226, LEN(E226)-Source!$C227), IF(Source!$G227=COLUMNS($A227:E227), E226&amp;RIGHT(INDIRECT(ADDRESS(ROW(E227)-1, Source!$E227)), Source!$C227), E226))</f>
        <v/>
      </c>
      <c r="F227" s="2" t="str">
        <f>IF(Source!$E227=COLUMNS($A227:F227), LEFT(F226, LEN(F226)-Source!$C227), IF(Source!$G227=COLUMNS($A227:F227), F226&amp;RIGHT(INDIRECT(ADDRESS(ROW(F227)-1, Source!$E227)), Source!$C227), F226))</f>
        <v/>
      </c>
      <c r="G227" s="2" t="str">
        <f>IF(Source!$E227=COLUMNS($A227:G227), LEFT(G226, LEN(G226)-Source!$C227), IF(Source!$G227=COLUMNS($A227:G227), G226&amp;RIGHT(INDIRECT(ADDRESS(ROW(G227)-1, Source!$E227)), Source!$C227), G226))</f>
        <v>RBSDDH</v>
      </c>
      <c r="H227" s="2" t="str">
        <f>IF(Source!$E227=COLUMNS($A227:H227), LEFT(H226, LEN(H226)-Source!$C227), IF(Source!$G227=COLUMNS($A227:H227), H226&amp;RIGHT(INDIRECT(ADDRESS(ROW(H227)-1, Source!$E227)), Source!$C227), H226))</f>
        <v/>
      </c>
      <c r="I227" s="2" t="str">
        <f>IF(Source!$E227=COLUMNS($A227:I227), LEFT(I226, LEN(I226)-Source!$C227), IF(Source!$G227=COLUMNS($A227:I227), I226&amp;RIGHT(INDIRECT(ADDRESS(ROW(I227)-1, Source!$E227)), Source!$C227), I226))</f>
        <v/>
      </c>
    </row>
    <row r="228">
      <c r="A228" s="2" t="str">
        <f>IF(Source!$E228=COLUMNS($A228:A228), LEFT(A227, LEN(A227)-Source!$C228), IF(Source!$G228=COLUMNS($A228:A228), A227&amp;RIGHT(INDIRECT(ADDRESS(ROW(A228)-1, Source!$E228)), Source!$C228), A227))</f>
        <v>QRQPTSDSCDFTVCGTRMBZHRPDCW</v>
      </c>
      <c r="B228" s="2" t="str">
        <f>IF(Source!$E228=COLUMNS($A228:B228), LEFT(B227, LEN(B227)-Source!$C228), IF(Source!$G228=COLUMNS($A228:B228), B227&amp;RIGHT(INDIRECT(ADDRESS(ROW(B228)-1, Source!$E228)), Source!$C228), B227))</f>
        <v>BMVZ</v>
      </c>
      <c r="C228" s="2" t="str">
        <f>IF(Source!$E228=COLUMNS($A228:C228), LEFT(C227, LEN(C227)-Source!$C228), IF(Source!$G228=COLUMNS($A228:C228), C227&amp;RIGHT(INDIRECT(ADDRESS(ROW(C228)-1, Source!$E228)), Source!$C228), C227))</f>
        <v>SPVJMLWRJTLBTJFLDGT</v>
      </c>
      <c r="D228" s="2" t="str">
        <f>IF(Source!$E228=COLUMNS($A228:D228), LEFT(D227, LEN(D227)-Source!$C228), IF(Source!$G228=COLUMNS($A228:D228), D227&amp;RIGHT(INDIRECT(ADDRESS(ROW(D228)-1, Source!$E228)), Source!$C228), D227))</f>
        <v/>
      </c>
      <c r="E228" s="2" t="str">
        <f>IF(Source!$E228=COLUMNS($A228:E228), LEFT(E227, LEN(E227)-Source!$C228), IF(Source!$G228=COLUMNS($A228:E228), E227&amp;RIGHT(INDIRECT(ADDRESS(ROW(E228)-1, Source!$E228)), Source!$C228), E227))</f>
        <v/>
      </c>
      <c r="F228" s="2" t="str">
        <f>IF(Source!$E228=COLUMNS($A228:F228), LEFT(F227, LEN(F227)-Source!$C228), IF(Source!$G228=COLUMNS($A228:F228), F227&amp;RIGHT(INDIRECT(ADDRESS(ROW(F228)-1, Source!$E228)), Source!$C228), F227))</f>
        <v/>
      </c>
      <c r="G228" s="2" t="str">
        <f>IF(Source!$E228=COLUMNS($A228:G228), LEFT(G227, LEN(G227)-Source!$C228), IF(Source!$G228=COLUMNS($A228:G228), G227&amp;RIGHT(INDIRECT(ADDRESS(ROW(G228)-1, Source!$E228)), Source!$C228), G227))</f>
        <v>RBSDDH</v>
      </c>
      <c r="H228" s="2" t="str">
        <f>IF(Source!$E228=COLUMNS($A228:H228), LEFT(H227, LEN(H227)-Source!$C228), IF(Source!$G228=COLUMNS($A228:H228), H227&amp;RIGHT(INDIRECT(ADDRESS(ROW(H228)-1, Source!$E228)), Source!$C228), H227))</f>
        <v/>
      </c>
      <c r="I228" s="2" t="str">
        <f>IF(Source!$E228=COLUMNS($A228:I228), LEFT(I227, LEN(I227)-Source!$C228), IF(Source!$G228=COLUMNS($A228:I228), I227&amp;RIGHT(INDIRECT(ADDRESS(ROW(I228)-1, Source!$E228)), Source!$C228), I227))</f>
        <v>Z</v>
      </c>
    </row>
    <row r="229">
      <c r="A229" s="2" t="str">
        <f>IF(Source!$E229=COLUMNS($A229:A229), LEFT(A228, LEN(A228)-Source!$C229), IF(Source!$G229=COLUMNS($A229:A229), A228&amp;RIGHT(INDIRECT(ADDRESS(ROW(A229)-1, Source!$E229)), Source!$C229), A228))</f>
        <v>QRQPTSDSCDFTVCGTRMBZHRPDCW</v>
      </c>
      <c r="B229" s="2" t="str">
        <f>IF(Source!$E229=COLUMNS($A229:B229), LEFT(B228, LEN(B228)-Source!$C229), IF(Source!$G229=COLUMNS($A229:B229), B228&amp;RIGHT(INDIRECT(ADDRESS(ROW(B229)-1, Source!$E229)), Source!$C229), B228))</f>
        <v>BMVZ</v>
      </c>
      <c r="C229" s="2" t="str">
        <f>IF(Source!$E229=COLUMNS($A229:C229), LEFT(C228, LEN(C228)-Source!$C229), IF(Source!$G229=COLUMNS($A229:C229), C228&amp;RIGHT(INDIRECT(ADDRESS(ROW(C229)-1, Source!$E229)), Source!$C229), C228))</f>
        <v>SPVJMLWRJTLBTJFLDGT</v>
      </c>
      <c r="D229" s="2" t="str">
        <f>IF(Source!$E229=COLUMNS($A229:D229), LEFT(D228, LEN(D228)-Source!$C229), IF(Source!$G229=COLUMNS($A229:D229), D228&amp;RIGHT(INDIRECT(ADDRESS(ROW(D229)-1, Source!$E229)), Source!$C229), D228))</f>
        <v/>
      </c>
      <c r="E229" s="2" t="str">
        <f>IF(Source!$E229=COLUMNS($A229:E229), LEFT(E228, LEN(E228)-Source!$C229), IF(Source!$G229=COLUMNS($A229:E229), E228&amp;RIGHT(INDIRECT(ADDRESS(ROW(E229)-1, Source!$E229)), Source!$C229), E228))</f>
        <v/>
      </c>
      <c r="F229" s="2" t="str">
        <f>IF(Source!$E229=COLUMNS($A229:F229), LEFT(F228, LEN(F228)-Source!$C229), IF(Source!$G229=COLUMNS($A229:F229), F228&amp;RIGHT(INDIRECT(ADDRESS(ROW(F229)-1, Source!$E229)), Source!$C229), F228))</f>
        <v/>
      </c>
      <c r="G229" s="2" t="str">
        <f>IF(Source!$E229=COLUMNS($A229:G229), LEFT(G228, LEN(G228)-Source!$C229), IF(Source!$G229=COLUMNS($A229:G229), G228&amp;RIGHT(INDIRECT(ADDRESS(ROW(G229)-1, Source!$E229)), Source!$C229), G228))</f>
        <v>R</v>
      </c>
      <c r="H229" s="2" t="str">
        <f>IF(Source!$E229=COLUMNS($A229:H229), LEFT(H228, LEN(H228)-Source!$C229), IF(Source!$G229=COLUMNS($A229:H229), H228&amp;RIGHT(INDIRECT(ADDRESS(ROW(H229)-1, Source!$E229)), Source!$C229), H228))</f>
        <v/>
      </c>
      <c r="I229" s="2" t="str">
        <f>IF(Source!$E229=COLUMNS($A229:I229), LEFT(I228, LEN(I228)-Source!$C229), IF(Source!$G229=COLUMNS($A229:I229), I228&amp;RIGHT(INDIRECT(ADDRESS(ROW(I229)-1, Source!$E229)), Source!$C229), I228))</f>
        <v>ZBSDDH</v>
      </c>
    </row>
    <row r="230">
      <c r="A230" s="2" t="str">
        <f>IF(Source!$E230=COLUMNS($A230:A230), LEFT(A229, LEN(A229)-Source!$C230), IF(Source!$G230=COLUMNS($A230:A230), A229&amp;RIGHT(INDIRECT(ADDRESS(ROW(A230)-1, Source!$E230)), Source!$C230), A229))</f>
        <v>QRQPT</v>
      </c>
      <c r="B230" s="2" t="str">
        <f>IF(Source!$E230=COLUMNS($A230:B230), LEFT(B229, LEN(B229)-Source!$C230), IF(Source!$G230=COLUMNS($A230:B230), B229&amp;RIGHT(INDIRECT(ADDRESS(ROW(B230)-1, Source!$E230)), Source!$C230), B229))</f>
        <v>BMVZ</v>
      </c>
      <c r="C230" s="2" t="str">
        <f>IF(Source!$E230=COLUMNS($A230:C230), LEFT(C229, LEN(C229)-Source!$C230), IF(Source!$G230=COLUMNS($A230:C230), C229&amp;RIGHT(INDIRECT(ADDRESS(ROW(C230)-1, Source!$E230)), Source!$C230), C229))</f>
        <v>SPVJMLWRJTLBTJFLDGT</v>
      </c>
      <c r="D230" s="2" t="str">
        <f>IF(Source!$E230=COLUMNS($A230:D230), LEFT(D229, LEN(D229)-Source!$C230), IF(Source!$G230=COLUMNS($A230:D230), D229&amp;RIGHT(INDIRECT(ADDRESS(ROW(D230)-1, Source!$E230)), Source!$C230), D229))</f>
        <v/>
      </c>
      <c r="E230" s="2" t="str">
        <f>IF(Source!$E230=COLUMNS($A230:E230), LEFT(E229, LEN(E229)-Source!$C230), IF(Source!$G230=COLUMNS($A230:E230), E229&amp;RIGHT(INDIRECT(ADDRESS(ROW(E230)-1, Source!$E230)), Source!$C230), E229))</f>
        <v/>
      </c>
      <c r="F230" s="2" t="str">
        <f>IF(Source!$E230=COLUMNS($A230:F230), LEFT(F229, LEN(F229)-Source!$C230), IF(Source!$G230=COLUMNS($A230:F230), F229&amp;RIGHT(INDIRECT(ADDRESS(ROW(F230)-1, Source!$E230)), Source!$C230), F229))</f>
        <v/>
      </c>
      <c r="G230" s="2" t="str">
        <f>IF(Source!$E230=COLUMNS($A230:G230), LEFT(G229, LEN(G229)-Source!$C230), IF(Source!$G230=COLUMNS($A230:G230), G229&amp;RIGHT(INDIRECT(ADDRESS(ROW(G230)-1, Source!$E230)), Source!$C230), G229))</f>
        <v>R</v>
      </c>
      <c r="H230" s="2" t="str">
        <f>IF(Source!$E230=COLUMNS($A230:H230), LEFT(H229, LEN(H229)-Source!$C230), IF(Source!$G230=COLUMNS($A230:H230), H229&amp;RIGHT(INDIRECT(ADDRESS(ROW(H230)-1, Source!$E230)), Source!$C230), H229))</f>
        <v/>
      </c>
      <c r="I230" s="2" t="str">
        <f>IF(Source!$E230=COLUMNS($A230:I230), LEFT(I229, LEN(I229)-Source!$C230), IF(Source!$G230=COLUMNS($A230:I230), I229&amp;RIGHT(INDIRECT(ADDRESS(ROW(I230)-1, Source!$E230)), Source!$C230), I229))</f>
        <v>ZBSDDHSDSCDFTVCGTRMBZHRPDCW</v>
      </c>
    </row>
    <row r="231">
      <c r="A231" s="2" t="str">
        <f>IF(Source!$E231=COLUMNS($A231:A231), LEFT(A230, LEN(A230)-Source!$C231), IF(Source!$G231=COLUMNS($A231:A231), A230&amp;RIGHT(INDIRECT(ADDRESS(ROW(A231)-1, Source!$E231)), Source!$C231), A230))</f>
        <v>QRQ</v>
      </c>
      <c r="B231" s="2" t="str">
        <f>IF(Source!$E231=COLUMNS($A231:B231), LEFT(B230, LEN(B230)-Source!$C231), IF(Source!$G231=COLUMNS($A231:B231), B230&amp;RIGHT(INDIRECT(ADDRESS(ROW(B231)-1, Source!$E231)), Source!$C231), B230))</f>
        <v>BMVZ</v>
      </c>
      <c r="C231" s="2" t="str">
        <f>IF(Source!$E231=COLUMNS($A231:C231), LEFT(C230, LEN(C230)-Source!$C231), IF(Source!$G231=COLUMNS($A231:C231), C230&amp;RIGHT(INDIRECT(ADDRESS(ROW(C231)-1, Source!$E231)), Source!$C231), C230))</f>
        <v>SPVJMLWRJTLBTJFLDGT</v>
      </c>
      <c r="D231" s="2" t="str">
        <f>IF(Source!$E231=COLUMNS($A231:D231), LEFT(D230, LEN(D230)-Source!$C231), IF(Source!$G231=COLUMNS($A231:D231), D230&amp;RIGHT(INDIRECT(ADDRESS(ROW(D231)-1, Source!$E231)), Source!$C231), D230))</f>
        <v/>
      </c>
      <c r="E231" s="2" t="str">
        <f>IF(Source!$E231=COLUMNS($A231:E231), LEFT(E230, LEN(E230)-Source!$C231), IF(Source!$G231=COLUMNS($A231:E231), E230&amp;RIGHT(INDIRECT(ADDRESS(ROW(E231)-1, Source!$E231)), Source!$C231), E230))</f>
        <v/>
      </c>
      <c r="F231" s="2" t="str">
        <f>IF(Source!$E231=COLUMNS($A231:F231), LEFT(F230, LEN(F230)-Source!$C231), IF(Source!$G231=COLUMNS($A231:F231), F230&amp;RIGHT(INDIRECT(ADDRESS(ROW(F231)-1, Source!$E231)), Source!$C231), F230))</f>
        <v>PT</v>
      </c>
      <c r="G231" s="2" t="str">
        <f>IF(Source!$E231=COLUMNS($A231:G231), LEFT(G230, LEN(G230)-Source!$C231), IF(Source!$G231=COLUMNS($A231:G231), G230&amp;RIGHT(INDIRECT(ADDRESS(ROW(G231)-1, Source!$E231)), Source!$C231), G230))</f>
        <v>R</v>
      </c>
      <c r="H231" s="2" t="str">
        <f>IF(Source!$E231=COLUMNS($A231:H231), LEFT(H230, LEN(H230)-Source!$C231), IF(Source!$G231=COLUMNS($A231:H231), H230&amp;RIGHT(INDIRECT(ADDRESS(ROW(H231)-1, Source!$E231)), Source!$C231), H230))</f>
        <v/>
      </c>
      <c r="I231" s="2" t="str">
        <f>IF(Source!$E231=COLUMNS($A231:I231), LEFT(I230, LEN(I230)-Source!$C231), IF(Source!$G231=COLUMNS($A231:I231), I230&amp;RIGHT(INDIRECT(ADDRESS(ROW(I231)-1, Source!$E231)), Source!$C231), I230))</f>
        <v>ZBSDDHSDSCDFTVCGTRMBZHRPDCW</v>
      </c>
    </row>
    <row r="232">
      <c r="A232" s="2" t="str">
        <f>IF(Source!$E232=COLUMNS($A232:A232), LEFT(A231, LEN(A231)-Source!$C232), IF(Source!$G232=COLUMNS($A232:A232), A231&amp;RIGHT(INDIRECT(ADDRESS(ROW(A232)-1, Source!$E232)), Source!$C232), A231))</f>
        <v>QRQ</v>
      </c>
      <c r="B232" s="2" t="str">
        <f>IF(Source!$E232=COLUMNS($A232:B232), LEFT(B231, LEN(B231)-Source!$C232), IF(Source!$G232=COLUMNS($A232:B232), B231&amp;RIGHT(INDIRECT(ADDRESS(ROW(B232)-1, Source!$E232)), Source!$C232), B231))</f>
        <v>B</v>
      </c>
      <c r="C232" s="2" t="str">
        <f>IF(Source!$E232=COLUMNS($A232:C232), LEFT(C231, LEN(C231)-Source!$C232), IF(Source!$G232=COLUMNS($A232:C232), C231&amp;RIGHT(INDIRECT(ADDRESS(ROW(C232)-1, Source!$E232)), Source!$C232), C231))</f>
        <v>SPVJMLWRJTLBTJFLDGT</v>
      </c>
      <c r="D232" s="2" t="str">
        <f>IF(Source!$E232=COLUMNS($A232:D232), LEFT(D231, LEN(D231)-Source!$C232), IF(Source!$G232=COLUMNS($A232:D232), D231&amp;RIGHT(INDIRECT(ADDRESS(ROW(D232)-1, Source!$E232)), Source!$C232), D231))</f>
        <v>MVZ</v>
      </c>
      <c r="E232" s="2" t="str">
        <f>IF(Source!$E232=COLUMNS($A232:E232), LEFT(E231, LEN(E231)-Source!$C232), IF(Source!$G232=COLUMNS($A232:E232), E231&amp;RIGHT(INDIRECT(ADDRESS(ROW(E232)-1, Source!$E232)), Source!$C232), E231))</f>
        <v/>
      </c>
      <c r="F232" s="2" t="str">
        <f>IF(Source!$E232=COLUMNS($A232:F232), LEFT(F231, LEN(F231)-Source!$C232), IF(Source!$G232=COLUMNS($A232:F232), F231&amp;RIGHT(INDIRECT(ADDRESS(ROW(F232)-1, Source!$E232)), Source!$C232), F231))</f>
        <v>PT</v>
      </c>
      <c r="G232" s="2" t="str">
        <f>IF(Source!$E232=COLUMNS($A232:G232), LEFT(G231, LEN(G231)-Source!$C232), IF(Source!$G232=COLUMNS($A232:G232), G231&amp;RIGHT(INDIRECT(ADDRESS(ROW(G232)-1, Source!$E232)), Source!$C232), G231))</f>
        <v>R</v>
      </c>
      <c r="H232" s="2" t="str">
        <f>IF(Source!$E232=COLUMNS($A232:H232), LEFT(H231, LEN(H231)-Source!$C232), IF(Source!$G232=COLUMNS($A232:H232), H231&amp;RIGHT(INDIRECT(ADDRESS(ROW(H232)-1, Source!$E232)), Source!$C232), H231))</f>
        <v/>
      </c>
      <c r="I232" s="2" t="str">
        <f>IF(Source!$E232=COLUMNS($A232:I232), LEFT(I231, LEN(I231)-Source!$C232), IF(Source!$G232=COLUMNS($A232:I232), I231&amp;RIGHT(INDIRECT(ADDRESS(ROW(I232)-1, Source!$E232)), Source!$C232), I231))</f>
        <v>ZBSDDHSDSCDFTVCGTRMBZHRPDCW</v>
      </c>
    </row>
    <row r="233">
      <c r="A233" s="2" t="str">
        <f>IF(Source!$E233=COLUMNS($A233:A233), LEFT(A232, LEN(A232)-Source!$C233), IF(Source!$G233=COLUMNS($A233:A233), A232&amp;RIGHT(INDIRECT(ADDRESS(ROW(A233)-1, Source!$E233)), Source!$C233), A232))</f>
        <v>QRQ</v>
      </c>
      <c r="B233" s="2" t="str">
        <f>IF(Source!$E233=COLUMNS($A233:B233), LEFT(B232, LEN(B232)-Source!$C233), IF(Source!$G233=COLUMNS($A233:B233), B232&amp;RIGHT(INDIRECT(ADDRESS(ROW(B233)-1, Source!$E233)), Source!$C233), B232))</f>
        <v>B</v>
      </c>
      <c r="C233" s="2" t="str">
        <f>IF(Source!$E233=COLUMNS($A233:C233), LEFT(C232, LEN(C232)-Source!$C233), IF(Source!$G233=COLUMNS($A233:C233), C232&amp;RIGHT(INDIRECT(ADDRESS(ROW(C233)-1, Source!$E233)), Source!$C233), C232))</f>
        <v>SPVJMLWRJTLBTJFLDGTR</v>
      </c>
      <c r="D233" s="2" t="str">
        <f>IF(Source!$E233=COLUMNS($A233:D233), LEFT(D232, LEN(D232)-Source!$C233), IF(Source!$G233=COLUMNS($A233:D233), D232&amp;RIGHT(INDIRECT(ADDRESS(ROW(D233)-1, Source!$E233)), Source!$C233), D232))</f>
        <v>MVZ</v>
      </c>
      <c r="E233" s="2" t="str">
        <f>IF(Source!$E233=COLUMNS($A233:E233), LEFT(E232, LEN(E232)-Source!$C233), IF(Source!$G233=COLUMNS($A233:E233), E232&amp;RIGHT(INDIRECT(ADDRESS(ROW(E233)-1, Source!$E233)), Source!$C233), E232))</f>
        <v/>
      </c>
      <c r="F233" s="2" t="str">
        <f>IF(Source!$E233=COLUMNS($A233:F233), LEFT(F232, LEN(F232)-Source!$C233), IF(Source!$G233=COLUMNS($A233:F233), F232&amp;RIGHT(INDIRECT(ADDRESS(ROW(F233)-1, Source!$E233)), Source!$C233), F232))</f>
        <v>PT</v>
      </c>
      <c r="G233" s="2" t="str">
        <f>IF(Source!$E233=COLUMNS($A233:G233), LEFT(G232, LEN(G232)-Source!$C233), IF(Source!$G233=COLUMNS($A233:G233), G232&amp;RIGHT(INDIRECT(ADDRESS(ROW(G233)-1, Source!$E233)), Source!$C233), G232))</f>
        <v/>
      </c>
      <c r="H233" s="2" t="str">
        <f>IF(Source!$E233=COLUMNS($A233:H233), LEFT(H232, LEN(H232)-Source!$C233), IF(Source!$G233=COLUMNS($A233:H233), H232&amp;RIGHT(INDIRECT(ADDRESS(ROW(H233)-1, Source!$E233)), Source!$C233), H232))</f>
        <v/>
      </c>
      <c r="I233" s="2" t="str">
        <f>IF(Source!$E233=COLUMNS($A233:I233), LEFT(I232, LEN(I232)-Source!$C233), IF(Source!$G233=COLUMNS($A233:I233), I232&amp;RIGHT(INDIRECT(ADDRESS(ROW(I233)-1, Source!$E233)), Source!$C233), I232))</f>
        <v>ZBSDDHSDSCDFTVCGTRMBZHRPDCW</v>
      </c>
    </row>
    <row r="234">
      <c r="A234" s="2" t="str">
        <f>IF(Source!$E234=COLUMNS($A234:A234), LEFT(A233, LEN(A233)-Source!$C234), IF(Source!$G234=COLUMNS($A234:A234), A233&amp;RIGHT(INDIRECT(ADDRESS(ROW(A234)-1, Source!$E234)), Source!$C234), A233))</f>
        <v>QRQ</v>
      </c>
      <c r="B234" s="2" t="str">
        <f>IF(Source!$E234=COLUMNS($A234:B234), LEFT(B233, LEN(B233)-Source!$C234), IF(Source!$G234=COLUMNS($A234:B234), B233&amp;RIGHT(INDIRECT(ADDRESS(ROW(B234)-1, Source!$E234)), Source!$C234), B233))</f>
        <v>B</v>
      </c>
      <c r="C234" s="2" t="str">
        <f>IF(Source!$E234=COLUMNS($A234:C234), LEFT(C233, LEN(C233)-Source!$C234), IF(Source!$G234=COLUMNS($A234:C234), C233&amp;RIGHT(INDIRECT(ADDRESS(ROW(C234)-1, Source!$E234)), Source!$C234), C233))</f>
        <v>SPVJMLWRJTLBTJFLDGTR</v>
      </c>
      <c r="D234" s="2" t="str">
        <f>IF(Source!$E234=COLUMNS($A234:D234), LEFT(D233, LEN(D233)-Source!$C234), IF(Source!$G234=COLUMNS($A234:D234), D233&amp;RIGHT(INDIRECT(ADDRESS(ROW(D234)-1, Source!$E234)), Source!$C234), D233))</f>
        <v>MVZ</v>
      </c>
      <c r="E234" s="2" t="str">
        <f>IF(Source!$E234=COLUMNS($A234:E234), LEFT(E233, LEN(E233)-Source!$C234), IF(Source!$G234=COLUMNS($A234:E234), E233&amp;RIGHT(INDIRECT(ADDRESS(ROW(E234)-1, Source!$E234)), Source!$C234), E233))</f>
        <v>SCDFTVCGTRMBZHRPDCW</v>
      </c>
      <c r="F234" s="2" t="str">
        <f>IF(Source!$E234=COLUMNS($A234:F234), LEFT(F233, LEN(F233)-Source!$C234), IF(Source!$G234=COLUMNS($A234:F234), F233&amp;RIGHT(INDIRECT(ADDRESS(ROW(F234)-1, Source!$E234)), Source!$C234), F233))</f>
        <v>PT</v>
      </c>
      <c r="G234" s="2" t="str">
        <f>IF(Source!$E234=COLUMNS($A234:G234), LEFT(G233, LEN(G233)-Source!$C234), IF(Source!$G234=COLUMNS($A234:G234), G233&amp;RIGHT(INDIRECT(ADDRESS(ROW(G234)-1, Source!$E234)), Source!$C234), G233))</f>
        <v/>
      </c>
      <c r="H234" s="2" t="str">
        <f>IF(Source!$E234=COLUMNS($A234:H234), LEFT(H233, LEN(H233)-Source!$C234), IF(Source!$G234=COLUMNS($A234:H234), H233&amp;RIGHT(INDIRECT(ADDRESS(ROW(H234)-1, Source!$E234)), Source!$C234), H233))</f>
        <v/>
      </c>
      <c r="I234" s="2" t="str">
        <f>IF(Source!$E234=COLUMNS($A234:I234), LEFT(I233, LEN(I233)-Source!$C234), IF(Source!$G234=COLUMNS($A234:I234), I233&amp;RIGHT(INDIRECT(ADDRESS(ROW(I234)-1, Source!$E234)), Source!$C234), I233))</f>
        <v>ZBSDDHSD</v>
      </c>
    </row>
    <row r="235">
      <c r="A235" s="2" t="str">
        <f>IF(Source!$E235=COLUMNS($A235:A235), LEFT(A234, LEN(A234)-Source!$C235), IF(Source!$G235=COLUMNS($A235:A235), A234&amp;RIGHT(INDIRECT(ADDRESS(ROW(A235)-1, Source!$E235)), Source!$C235), A234))</f>
        <v>QRQ</v>
      </c>
      <c r="B235" s="2" t="str">
        <f>IF(Source!$E235=COLUMNS($A235:B235), LEFT(B234, LEN(B234)-Source!$C235), IF(Source!$G235=COLUMNS($A235:B235), B234&amp;RIGHT(INDIRECT(ADDRESS(ROW(B235)-1, Source!$E235)), Source!$C235), B234))</f>
        <v/>
      </c>
      <c r="C235" s="2" t="str">
        <f>IF(Source!$E235=COLUMNS($A235:C235), LEFT(C234, LEN(C234)-Source!$C235), IF(Source!$G235=COLUMNS($A235:C235), C234&amp;RIGHT(INDIRECT(ADDRESS(ROW(C235)-1, Source!$E235)), Source!$C235), C234))</f>
        <v>SPVJMLWRJTLBTJFLDGTR</v>
      </c>
      <c r="D235" s="2" t="str">
        <f>IF(Source!$E235=COLUMNS($A235:D235), LEFT(D234, LEN(D234)-Source!$C235), IF(Source!$G235=COLUMNS($A235:D235), D234&amp;RIGHT(INDIRECT(ADDRESS(ROW(D235)-1, Source!$E235)), Source!$C235), D234))</f>
        <v>MVZ</v>
      </c>
      <c r="E235" s="2" t="str">
        <f>IF(Source!$E235=COLUMNS($A235:E235), LEFT(E234, LEN(E234)-Source!$C235), IF(Source!$G235=COLUMNS($A235:E235), E234&amp;RIGHT(INDIRECT(ADDRESS(ROW(E235)-1, Source!$E235)), Source!$C235), E234))</f>
        <v>SCDFTVCGTRMBZHRPDCW</v>
      </c>
      <c r="F235" s="2" t="str">
        <f>IF(Source!$E235=COLUMNS($A235:F235), LEFT(F234, LEN(F234)-Source!$C235), IF(Source!$G235=COLUMNS($A235:F235), F234&amp;RIGHT(INDIRECT(ADDRESS(ROW(F235)-1, Source!$E235)), Source!$C235), F234))</f>
        <v>PT</v>
      </c>
      <c r="G235" s="2" t="str">
        <f>IF(Source!$E235=COLUMNS($A235:G235), LEFT(G234, LEN(G234)-Source!$C235), IF(Source!$G235=COLUMNS($A235:G235), G234&amp;RIGHT(INDIRECT(ADDRESS(ROW(G235)-1, Source!$E235)), Source!$C235), G234))</f>
        <v>B</v>
      </c>
      <c r="H235" s="2" t="str">
        <f>IF(Source!$E235=COLUMNS($A235:H235), LEFT(H234, LEN(H234)-Source!$C235), IF(Source!$G235=COLUMNS($A235:H235), H234&amp;RIGHT(INDIRECT(ADDRESS(ROW(H235)-1, Source!$E235)), Source!$C235), H234))</f>
        <v/>
      </c>
      <c r="I235" s="2" t="str">
        <f>IF(Source!$E235=COLUMNS($A235:I235), LEFT(I234, LEN(I234)-Source!$C235), IF(Source!$G235=COLUMNS($A235:I235), I234&amp;RIGHT(INDIRECT(ADDRESS(ROW(I235)-1, Source!$E235)), Source!$C235), I234))</f>
        <v>ZBSDDHSD</v>
      </c>
    </row>
    <row r="236">
      <c r="A236" s="2" t="str">
        <f>IF(Source!$E236=COLUMNS($A236:A236), LEFT(A235, LEN(A235)-Source!$C236), IF(Source!$G236=COLUMNS($A236:A236), A235&amp;RIGHT(INDIRECT(ADDRESS(ROW(A236)-1, Source!$E236)), Source!$C236), A235))</f>
        <v>QRQ</v>
      </c>
      <c r="B236" s="2" t="str">
        <f>IF(Source!$E236=COLUMNS($A236:B236), LEFT(B235, LEN(B235)-Source!$C236), IF(Source!$G236=COLUMNS($A236:B236), B235&amp;RIGHT(INDIRECT(ADDRESS(ROW(B236)-1, Source!$E236)), Source!$C236), B235))</f>
        <v>B</v>
      </c>
      <c r="C236" s="2" t="str">
        <f>IF(Source!$E236=COLUMNS($A236:C236), LEFT(C235, LEN(C235)-Source!$C236), IF(Source!$G236=COLUMNS($A236:C236), C235&amp;RIGHT(INDIRECT(ADDRESS(ROW(C236)-1, Source!$E236)), Source!$C236), C235))</f>
        <v>SPVJMLWRJTLBTJFLDGTR</v>
      </c>
      <c r="D236" s="2" t="str">
        <f>IF(Source!$E236=COLUMNS($A236:D236), LEFT(D235, LEN(D235)-Source!$C236), IF(Source!$G236=COLUMNS($A236:D236), D235&amp;RIGHT(INDIRECT(ADDRESS(ROW(D236)-1, Source!$E236)), Source!$C236), D235))</f>
        <v>MVZ</v>
      </c>
      <c r="E236" s="2" t="str">
        <f>IF(Source!$E236=COLUMNS($A236:E236), LEFT(E235, LEN(E235)-Source!$C236), IF(Source!$G236=COLUMNS($A236:E236), E235&amp;RIGHT(INDIRECT(ADDRESS(ROW(E236)-1, Source!$E236)), Source!$C236), E235))</f>
        <v>SCDFTVCGTRMBZHRPDCW</v>
      </c>
      <c r="F236" s="2" t="str">
        <f>IF(Source!$E236=COLUMNS($A236:F236), LEFT(F235, LEN(F235)-Source!$C236), IF(Source!$G236=COLUMNS($A236:F236), F235&amp;RIGHT(INDIRECT(ADDRESS(ROW(F236)-1, Source!$E236)), Source!$C236), F235))</f>
        <v>PT</v>
      </c>
      <c r="G236" s="2" t="str">
        <f>IF(Source!$E236=COLUMNS($A236:G236), LEFT(G235, LEN(G235)-Source!$C236), IF(Source!$G236=COLUMNS($A236:G236), G235&amp;RIGHT(INDIRECT(ADDRESS(ROW(G236)-1, Source!$E236)), Source!$C236), G235))</f>
        <v/>
      </c>
      <c r="H236" s="2" t="str">
        <f>IF(Source!$E236=COLUMNS($A236:H236), LEFT(H235, LEN(H235)-Source!$C236), IF(Source!$G236=COLUMNS($A236:H236), H235&amp;RIGHT(INDIRECT(ADDRESS(ROW(H236)-1, Source!$E236)), Source!$C236), H235))</f>
        <v/>
      </c>
      <c r="I236" s="2" t="str">
        <f>IF(Source!$E236=COLUMNS($A236:I236), LEFT(I235, LEN(I235)-Source!$C236), IF(Source!$G236=COLUMNS($A236:I236), I235&amp;RIGHT(INDIRECT(ADDRESS(ROW(I236)-1, Source!$E236)), Source!$C236), I235))</f>
        <v>ZBSDDHSD</v>
      </c>
    </row>
    <row r="237">
      <c r="A237" s="2" t="str">
        <f>IF(Source!$E237=COLUMNS($A237:A237), LEFT(A236, LEN(A236)-Source!$C237), IF(Source!$G237=COLUMNS($A237:A237), A236&amp;RIGHT(INDIRECT(ADDRESS(ROW(A237)-1, Source!$E237)), Source!$C237), A236))</f>
        <v>QRQ</v>
      </c>
      <c r="B237" s="2" t="str">
        <f>IF(Source!$E237=COLUMNS($A237:B237), LEFT(B236, LEN(B236)-Source!$C237), IF(Source!$G237=COLUMNS($A237:B237), B236&amp;RIGHT(INDIRECT(ADDRESS(ROW(B237)-1, Source!$E237)), Source!$C237), B236))</f>
        <v>BMVZ</v>
      </c>
      <c r="C237" s="2" t="str">
        <f>IF(Source!$E237=COLUMNS($A237:C237), LEFT(C236, LEN(C236)-Source!$C237), IF(Source!$G237=COLUMNS($A237:C237), C236&amp;RIGHT(INDIRECT(ADDRESS(ROW(C237)-1, Source!$E237)), Source!$C237), C236))</f>
        <v>SPVJMLWRJTLBTJFLDGTR</v>
      </c>
      <c r="D237" s="2" t="str">
        <f>IF(Source!$E237=COLUMNS($A237:D237), LEFT(D236, LEN(D236)-Source!$C237), IF(Source!$G237=COLUMNS($A237:D237), D236&amp;RIGHT(INDIRECT(ADDRESS(ROW(D237)-1, Source!$E237)), Source!$C237), D236))</f>
        <v/>
      </c>
      <c r="E237" s="2" t="str">
        <f>IF(Source!$E237=COLUMNS($A237:E237), LEFT(E236, LEN(E236)-Source!$C237), IF(Source!$G237=COLUMNS($A237:E237), E236&amp;RIGHT(INDIRECT(ADDRESS(ROW(E237)-1, Source!$E237)), Source!$C237), E236))</f>
        <v>SCDFTVCGTRMBZHRPDCW</v>
      </c>
      <c r="F237" s="2" t="str">
        <f>IF(Source!$E237=COLUMNS($A237:F237), LEFT(F236, LEN(F236)-Source!$C237), IF(Source!$G237=COLUMNS($A237:F237), F236&amp;RIGHT(INDIRECT(ADDRESS(ROW(F237)-1, Source!$E237)), Source!$C237), F236))</f>
        <v>PT</v>
      </c>
      <c r="G237" s="2" t="str">
        <f>IF(Source!$E237=COLUMNS($A237:G237), LEFT(G236, LEN(G236)-Source!$C237), IF(Source!$G237=COLUMNS($A237:G237), G236&amp;RIGHT(INDIRECT(ADDRESS(ROW(G237)-1, Source!$E237)), Source!$C237), G236))</f>
        <v/>
      </c>
      <c r="H237" s="2" t="str">
        <f>IF(Source!$E237=COLUMNS($A237:H237), LEFT(H236, LEN(H236)-Source!$C237), IF(Source!$G237=COLUMNS($A237:H237), H236&amp;RIGHT(INDIRECT(ADDRESS(ROW(H237)-1, Source!$E237)), Source!$C237), H236))</f>
        <v/>
      </c>
      <c r="I237" s="2" t="str">
        <f>IF(Source!$E237=COLUMNS($A237:I237), LEFT(I236, LEN(I236)-Source!$C237), IF(Source!$G237=COLUMNS($A237:I237), I236&amp;RIGHT(INDIRECT(ADDRESS(ROW(I237)-1, Source!$E237)), Source!$C237), I236))</f>
        <v>ZBSDDHSD</v>
      </c>
    </row>
    <row r="238">
      <c r="A238" s="2" t="str">
        <f>IF(Source!$E238=COLUMNS($A238:A238), LEFT(A237, LEN(A237)-Source!$C238), IF(Source!$G238=COLUMNS($A238:A238), A237&amp;RIGHT(INDIRECT(ADDRESS(ROW(A238)-1, Source!$E238)), Source!$C238), A237))</f>
        <v>QRQ</v>
      </c>
      <c r="B238" s="2" t="str">
        <f>IF(Source!$E238=COLUMNS($A238:B238), LEFT(B237, LEN(B237)-Source!$C238), IF(Source!$G238=COLUMNS($A238:B238), B237&amp;RIGHT(INDIRECT(ADDRESS(ROW(B238)-1, Source!$E238)), Source!$C238), B237))</f>
        <v>BMVZ</v>
      </c>
      <c r="C238" s="2" t="str">
        <f>IF(Source!$E238=COLUMNS($A238:C238), LEFT(C237, LEN(C237)-Source!$C238), IF(Source!$G238=COLUMNS($A238:C238), C237&amp;RIGHT(INDIRECT(ADDRESS(ROW(C238)-1, Source!$E238)), Source!$C238), C237))</f>
        <v>SPVJMLWRJTLBTJFLDGTR</v>
      </c>
      <c r="D238" s="2" t="str">
        <f>IF(Source!$E238=COLUMNS($A238:D238), LEFT(D237, LEN(D237)-Source!$C238), IF(Source!$G238=COLUMNS($A238:D238), D237&amp;RIGHT(INDIRECT(ADDRESS(ROW(D238)-1, Source!$E238)), Source!$C238), D237))</f>
        <v/>
      </c>
      <c r="E238" s="2" t="str">
        <f>IF(Source!$E238=COLUMNS($A238:E238), LEFT(E237, LEN(E237)-Source!$C238), IF(Source!$G238=COLUMNS($A238:E238), E237&amp;RIGHT(INDIRECT(ADDRESS(ROW(E238)-1, Source!$E238)), Source!$C238), E237))</f>
        <v/>
      </c>
      <c r="F238" s="2" t="str">
        <f>IF(Source!$E238=COLUMNS($A238:F238), LEFT(F237, LEN(F237)-Source!$C238), IF(Source!$G238=COLUMNS($A238:F238), F237&amp;RIGHT(INDIRECT(ADDRESS(ROW(F238)-1, Source!$E238)), Source!$C238), F237))</f>
        <v>PT</v>
      </c>
      <c r="G238" s="2" t="str">
        <f>IF(Source!$E238=COLUMNS($A238:G238), LEFT(G237, LEN(G237)-Source!$C238), IF(Source!$G238=COLUMNS($A238:G238), G237&amp;RIGHT(INDIRECT(ADDRESS(ROW(G238)-1, Source!$E238)), Source!$C238), G237))</f>
        <v>SCDFTVCGTRMBZHRPDCW</v>
      </c>
      <c r="H238" s="2" t="str">
        <f>IF(Source!$E238=COLUMNS($A238:H238), LEFT(H237, LEN(H237)-Source!$C238), IF(Source!$G238=COLUMNS($A238:H238), H237&amp;RIGHT(INDIRECT(ADDRESS(ROW(H238)-1, Source!$E238)), Source!$C238), H237))</f>
        <v/>
      </c>
      <c r="I238" s="2" t="str">
        <f>IF(Source!$E238=COLUMNS($A238:I238), LEFT(I237, LEN(I237)-Source!$C238), IF(Source!$G238=COLUMNS($A238:I238), I237&amp;RIGHT(INDIRECT(ADDRESS(ROW(I238)-1, Source!$E238)), Source!$C238), I237))</f>
        <v>ZBSDDHSD</v>
      </c>
    </row>
    <row r="239">
      <c r="A239" s="2" t="str">
        <f>IF(Source!$E239=COLUMNS($A239:A239), LEFT(A238, LEN(A238)-Source!$C239), IF(Source!$G239=COLUMNS($A239:A239), A238&amp;RIGHT(INDIRECT(ADDRESS(ROW(A239)-1, Source!$E239)), Source!$C239), A238))</f>
        <v>QRQ</v>
      </c>
      <c r="B239" s="2" t="str">
        <f>IF(Source!$E239=COLUMNS($A239:B239), LEFT(B238, LEN(B238)-Source!$C239), IF(Source!$G239=COLUMNS($A239:B239), B238&amp;RIGHT(INDIRECT(ADDRESS(ROW(B239)-1, Source!$E239)), Source!$C239), B238))</f>
        <v>BM</v>
      </c>
      <c r="C239" s="2" t="str">
        <f>IF(Source!$E239=COLUMNS($A239:C239), LEFT(C238, LEN(C238)-Source!$C239), IF(Source!$G239=COLUMNS($A239:C239), C238&amp;RIGHT(INDIRECT(ADDRESS(ROW(C239)-1, Source!$E239)), Source!$C239), C238))</f>
        <v>SPVJMLWRJTLBTJFLDGTR</v>
      </c>
      <c r="D239" s="2" t="str">
        <f>IF(Source!$E239=COLUMNS($A239:D239), LEFT(D238, LEN(D238)-Source!$C239), IF(Source!$G239=COLUMNS($A239:D239), D238&amp;RIGHT(INDIRECT(ADDRESS(ROW(D239)-1, Source!$E239)), Source!$C239), D238))</f>
        <v/>
      </c>
      <c r="E239" s="2" t="str">
        <f>IF(Source!$E239=COLUMNS($A239:E239), LEFT(E238, LEN(E238)-Source!$C239), IF(Source!$G239=COLUMNS($A239:E239), E238&amp;RIGHT(INDIRECT(ADDRESS(ROW(E239)-1, Source!$E239)), Source!$C239), E238))</f>
        <v>VZ</v>
      </c>
      <c r="F239" s="2" t="str">
        <f>IF(Source!$E239=COLUMNS($A239:F239), LEFT(F238, LEN(F238)-Source!$C239), IF(Source!$G239=COLUMNS($A239:F239), F238&amp;RIGHT(INDIRECT(ADDRESS(ROW(F239)-1, Source!$E239)), Source!$C239), F238))</f>
        <v>PT</v>
      </c>
      <c r="G239" s="2" t="str">
        <f>IF(Source!$E239=COLUMNS($A239:G239), LEFT(G238, LEN(G238)-Source!$C239), IF(Source!$G239=COLUMNS($A239:G239), G238&amp;RIGHT(INDIRECT(ADDRESS(ROW(G239)-1, Source!$E239)), Source!$C239), G238))</f>
        <v>SCDFTVCGTRMBZHRPDCW</v>
      </c>
      <c r="H239" s="2" t="str">
        <f>IF(Source!$E239=COLUMNS($A239:H239), LEFT(H238, LEN(H238)-Source!$C239), IF(Source!$G239=COLUMNS($A239:H239), H238&amp;RIGHT(INDIRECT(ADDRESS(ROW(H239)-1, Source!$E239)), Source!$C239), H238))</f>
        <v/>
      </c>
      <c r="I239" s="2" t="str">
        <f>IF(Source!$E239=COLUMNS($A239:I239), LEFT(I238, LEN(I238)-Source!$C239), IF(Source!$G239=COLUMNS($A239:I239), I238&amp;RIGHT(INDIRECT(ADDRESS(ROW(I239)-1, Source!$E239)), Source!$C239), I238))</f>
        <v>ZBSDDHSD</v>
      </c>
    </row>
    <row r="240">
      <c r="A240" s="2" t="str">
        <f>IF(Source!$E240=COLUMNS($A240:A240), LEFT(A239, LEN(A239)-Source!$C240), IF(Source!$G240=COLUMNS($A240:A240), A239&amp;RIGHT(INDIRECT(ADDRESS(ROW(A240)-1, Source!$E240)), Source!$C240), A239))</f>
        <v>QRQ</v>
      </c>
      <c r="B240" s="2" t="str">
        <f>IF(Source!$E240=COLUMNS($A240:B240), LEFT(B239, LEN(B239)-Source!$C240), IF(Source!$G240=COLUMNS($A240:B240), B239&amp;RIGHT(INDIRECT(ADDRESS(ROW(B240)-1, Source!$E240)), Source!$C240), B239))</f>
        <v>BM</v>
      </c>
      <c r="C240" s="2" t="str">
        <f>IF(Source!$E240=COLUMNS($A240:C240), LEFT(C239, LEN(C239)-Source!$C240), IF(Source!$G240=COLUMNS($A240:C240), C239&amp;RIGHT(INDIRECT(ADDRESS(ROW(C240)-1, Source!$E240)), Source!$C240), C239))</f>
        <v>SPVJMLWRJTLBTJFLDGTRZ</v>
      </c>
      <c r="D240" s="2" t="str">
        <f>IF(Source!$E240=COLUMNS($A240:D240), LEFT(D239, LEN(D239)-Source!$C240), IF(Source!$G240=COLUMNS($A240:D240), D239&amp;RIGHT(INDIRECT(ADDRESS(ROW(D240)-1, Source!$E240)), Source!$C240), D239))</f>
        <v/>
      </c>
      <c r="E240" s="2" t="str">
        <f>IF(Source!$E240=COLUMNS($A240:E240), LEFT(E239, LEN(E239)-Source!$C240), IF(Source!$G240=COLUMNS($A240:E240), E239&amp;RIGHT(INDIRECT(ADDRESS(ROW(E240)-1, Source!$E240)), Source!$C240), E239))</f>
        <v>V</v>
      </c>
      <c r="F240" s="2" t="str">
        <f>IF(Source!$E240=COLUMNS($A240:F240), LEFT(F239, LEN(F239)-Source!$C240), IF(Source!$G240=COLUMNS($A240:F240), F239&amp;RIGHT(INDIRECT(ADDRESS(ROW(F240)-1, Source!$E240)), Source!$C240), F239))</f>
        <v>PT</v>
      </c>
      <c r="G240" s="2" t="str">
        <f>IF(Source!$E240=COLUMNS($A240:G240), LEFT(G239, LEN(G239)-Source!$C240), IF(Source!$G240=COLUMNS($A240:G240), G239&amp;RIGHT(INDIRECT(ADDRESS(ROW(G240)-1, Source!$E240)), Source!$C240), G239))</f>
        <v>SCDFTVCGTRMBZHRPDCW</v>
      </c>
      <c r="H240" s="2" t="str">
        <f>IF(Source!$E240=COLUMNS($A240:H240), LEFT(H239, LEN(H239)-Source!$C240), IF(Source!$G240=COLUMNS($A240:H240), H239&amp;RIGHT(INDIRECT(ADDRESS(ROW(H240)-1, Source!$E240)), Source!$C240), H239))</f>
        <v/>
      </c>
      <c r="I240" s="2" t="str">
        <f>IF(Source!$E240=COLUMNS($A240:I240), LEFT(I239, LEN(I239)-Source!$C240), IF(Source!$G240=COLUMNS($A240:I240), I239&amp;RIGHT(INDIRECT(ADDRESS(ROW(I240)-1, Source!$E240)), Source!$C240), I239))</f>
        <v>ZBSDDHSD</v>
      </c>
    </row>
    <row r="241">
      <c r="A241" s="2" t="str">
        <f>IF(Source!$E241=COLUMNS($A241:A241), LEFT(A240, LEN(A240)-Source!$C241), IF(Source!$G241=COLUMNS($A241:A241), A240&amp;RIGHT(INDIRECT(ADDRESS(ROW(A241)-1, Source!$E241)), Source!$C241), A240))</f>
        <v>QRQ</v>
      </c>
      <c r="B241" s="2" t="str">
        <f>IF(Source!$E241=COLUMNS($A241:B241), LEFT(B240, LEN(B240)-Source!$C241), IF(Source!$G241=COLUMNS($A241:B241), B240&amp;RIGHT(INDIRECT(ADDRESS(ROW(B241)-1, Source!$E241)), Source!$C241), B240))</f>
        <v>BM</v>
      </c>
      <c r="C241" s="2" t="str">
        <f>IF(Source!$E241=COLUMNS($A241:C241), LEFT(C240, LEN(C240)-Source!$C241), IF(Source!$G241=COLUMNS($A241:C241), C240&amp;RIGHT(INDIRECT(ADDRESS(ROW(C241)-1, Source!$E241)), Source!$C241), C240))</f>
        <v>SPVJMLWRJTLBTJFLDGTR</v>
      </c>
      <c r="D241" s="2" t="str">
        <f>IF(Source!$E241=COLUMNS($A241:D241), LEFT(D240, LEN(D240)-Source!$C241), IF(Source!$G241=COLUMNS($A241:D241), D240&amp;RIGHT(INDIRECT(ADDRESS(ROW(D241)-1, Source!$E241)), Source!$C241), D240))</f>
        <v>Z</v>
      </c>
      <c r="E241" s="2" t="str">
        <f>IF(Source!$E241=COLUMNS($A241:E241), LEFT(E240, LEN(E240)-Source!$C241), IF(Source!$G241=COLUMNS($A241:E241), E240&amp;RIGHT(INDIRECT(ADDRESS(ROW(E241)-1, Source!$E241)), Source!$C241), E240))</f>
        <v>V</v>
      </c>
      <c r="F241" s="2" t="str">
        <f>IF(Source!$E241=COLUMNS($A241:F241), LEFT(F240, LEN(F240)-Source!$C241), IF(Source!$G241=COLUMNS($A241:F241), F240&amp;RIGHT(INDIRECT(ADDRESS(ROW(F241)-1, Source!$E241)), Source!$C241), F240))</f>
        <v>PT</v>
      </c>
      <c r="G241" s="2" t="str">
        <f>IF(Source!$E241=COLUMNS($A241:G241), LEFT(G240, LEN(G240)-Source!$C241), IF(Source!$G241=COLUMNS($A241:G241), G240&amp;RIGHT(INDIRECT(ADDRESS(ROW(G241)-1, Source!$E241)), Source!$C241), G240))</f>
        <v>SCDFTVCGTRMBZHRPDCW</v>
      </c>
      <c r="H241" s="2" t="str">
        <f>IF(Source!$E241=COLUMNS($A241:H241), LEFT(H240, LEN(H240)-Source!$C241), IF(Source!$G241=COLUMNS($A241:H241), H240&amp;RIGHT(INDIRECT(ADDRESS(ROW(H241)-1, Source!$E241)), Source!$C241), H240))</f>
        <v/>
      </c>
      <c r="I241" s="2" t="str">
        <f>IF(Source!$E241=COLUMNS($A241:I241), LEFT(I240, LEN(I240)-Source!$C241), IF(Source!$G241=COLUMNS($A241:I241), I240&amp;RIGHT(INDIRECT(ADDRESS(ROW(I241)-1, Source!$E241)), Source!$C241), I240))</f>
        <v>ZBSDDHSD</v>
      </c>
    </row>
    <row r="242">
      <c r="A242" s="2" t="str">
        <f>IF(Source!$E242=COLUMNS($A242:A242), LEFT(A241, LEN(A241)-Source!$C242), IF(Source!$G242=COLUMNS($A242:A242), A241&amp;RIGHT(INDIRECT(ADDRESS(ROW(A242)-1, Source!$E242)), Source!$C242), A241))</f>
        <v>QRQ</v>
      </c>
      <c r="B242" s="2" t="str">
        <f>IF(Source!$E242=COLUMNS($A242:B242), LEFT(B241, LEN(B241)-Source!$C242), IF(Source!$G242=COLUMNS($A242:B242), B241&amp;RIGHT(INDIRECT(ADDRESS(ROW(B242)-1, Source!$E242)), Source!$C242), B241))</f>
        <v>BM</v>
      </c>
      <c r="C242" s="2" t="str">
        <f>IF(Source!$E242=COLUMNS($A242:C242), LEFT(C241, LEN(C241)-Source!$C242), IF(Source!$G242=COLUMNS($A242:C242), C241&amp;RIGHT(INDIRECT(ADDRESS(ROW(C242)-1, Source!$E242)), Source!$C242), C241))</f>
        <v>SPVJMLWRJTLBTJFLDGTR</v>
      </c>
      <c r="D242" s="2" t="str">
        <f>IF(Source!$E242=COLUMNS($A242:D242), LEFT(D241, LEN(D241)-Source!$C242), IF(Source!$G242=COLUMNS($A242:D242), D241&amp;RIGHT(INDIRECT(ADDRESS(ROW(D242)-1, Source!$E242)), Source!$C242), D241))</f>
        <v>ZZBSDDHSD</v>
      </c>
      <c r="E242" s="2" t="str">
        <f>IF(Source!$E242=COLUMNS($A242:E242), LEFT(E241, LEN(E241)-Source!$C242), IF(Source!$G242=COLUMNS($A242:E242), E241&amp;RIGHT(INDIRECT(ADDRESS(ROW(E242)-1, Source!$E242)), Source!$C242), E241))</f>
        <v>V</v>
      </c>
      <c r="F242" s="2" t="str">
        <f>IF(Source!$E242=COLUMNS($A242:F242), LEFT(F241, LEN(F241)-Source!$C242), IF(Source!$G242=COLUMNS($A242:F242), F241&amp;RIGHT(INDIRECT(ADDRESS(ROW(F242)-1, Source!$E242)), Source!$C242), F241))</f>
        <v>PT</v>
      </c>
      <c r="G242" s="2" t="str">
        <f>IF(Source!$E242=COLUMNS($A242:G242), LEFT(G241, LEN(G241)-Source!$C242), IF(Source!$G242=COLUMNS($A242:G242), G241&amp;RIGHT(INDIRECT(ADDRESS(ROW(G242)-1, Source!$E242)), Source!$C242), G241))</f>
        <v>SCDFTVCGTRMBZHRPDCW</v>
      </c>
      <c r="H242" s="2" t="str">
        <f>IF(Source!$E242=COLUMNS($A242:H242), LEFT(H241, LEN(H241)-Source!$C242), IF(Source!$G242=COLUMNS($A242:H242), H241&amp;RIGHT(INDIRECT(ADDRESS(ROW(H242)-1, Source!$E242)), Source!$C242), H241))</f>
        <v/>
      </c>
      <c r="I242" s="2" t="str">
        <f>IF(Source!$E242=COLUMNS($A242:I242), LEFT(I241, LEN(I241)-Source!$C242), IF(Source!$G242=COLUMNS($A242:I242), I241&amp;RIGHT(INDIRECT(ADDRESS(ROW(I242)-1, Source!$E242)), Source!$C242), I241))</f>
        <v/>
      </c>
    </row>
    <row r="243">
      <c r="A243" s="2" t="str">
        <f>IF(Source!$E243=COLUMNS($A243:A243), LEFT(A242, LEN(A242)-Source!$C243), IF(Source!$G243=COLUMNS($A243:A243), A242&amp;RIGHT(INDIRECT(ADDRESS(ROW(A243)-1, Source!$E243)), Source!$C243), A242))</f>
        <v>QRQ</v>
      </c>
      <c r="B243" s="2" t="str">
        <f>IF(Source!$E243=COLUMNS($A243:B243), LEFT(B242, LEN(B242)-Source!$C243), IF(Source!$G243=COLUMNS($A243:B243), B242&amp;RIGHT(INDIRECT(ADDRESS(ROW(B243)-1, Source!$E243)), Source!$C243), B242))</f>
        <v>BM</v>
      </c>
      <c r="C243" s="2" t="str">
        <f>IF(Source!$E243=COLUMNS($A243:C243), LEFT(C242, LEN(C242)-Source!$C243), IF(Source!$G243=COLUMNS($A243:C243), C242&amp;RIGHT(INDIRECT(ADDRESS(ROW(C243)-1, Source!$E243)), Source!$C243), C242))</f>
        <v>SPVJMLWRJTLBTJFLDGTRT</v>
      </c>
      <c r="D243" s="2" t="str">
        <f>IF(Source!$E243=COLUMNS($A243:D243), LEFT(D242, LEN(D242)-Source!$C243), IF(Source!$G243=COLUMNS($A243:D243), D242&amp;RIGHT(INDIRECT(ADDRESS(ROW(D243)-1, Source!$E243)), Source!$C243), D242))</f>
        <v>ZZBSDDHSD</v>
      </c>
      <c r="E243" s="2" t="str">
        <f>IF(Source!$E243=COLUMNS($A243:E243), LEFT(E242, LEN(E242)-Source!$C243), IF(Source!$G243=COLUMNS($A243:E243), E242&amp;RIGHT(INDIRECT(ADDRESS(ROW(E243)-1, Source!$E243)), Source!$C243), E242))</f>
        <v>V</v>
      </c>
      <c r="F243" s="2" t="str">
        <f>IF(Source!$E243=COLUMNS($A243:F243), LEFT(F242, LEN(F242)-Source!$C243), IF(Source!$G243=COLUMNS($A243:F243), F242&amp;RIGHT(INDIRECT(ADDRESS(ROW(F243)-1, Source!$E243)), Source!$C243), F242))</f>
        <v>P</v>
      </c>
      <c r="G243" s="2" t="str">
        <f>IF(Source!$E243=COLUMNS($A243:G243), LEFT(G242, LEN(G242)-Source!$C243), IF(Source!$G243=COLUMNS($A243:G243), G242&amp;RIGHT(INDIRECT(ADDRESS(ROW(G243)-1, Source!$E243)), Source!$C243), G242))</f>
        <v>SCDFTVCGTRMBZHRPDCW</v>
      </c>
      <c r="H243" s="2" t="str">
        <f>IF(Source!$E243=COLUMNS($A243:H243), LEFT(H242, LEN(H242)-Source!$C243), IF(Source!$G243=COLUMNS($A243:H243), H242&amp;RIGHT(INDIRECT(ADDRESS(ROW(H243)-1, Source!$E243)), Source!$C243), H242))</f>
        <v/>
      </c>
      <c r="I243" s="2" t="str">
        <f>IF(Source!$E243=COLUMNS($A243:I243), LEFT(I242, LEN(I242)-Source!$C243), IF(Source!$G243=COLUMNS($A243:I243), I242&amp;RIGHT(INDIRECT(ADDRESS(ROW(I243)-1, Source!$E243)), Source!$C243), I242))</f>
        <v/>
      </c>
    </row>
    <row r="244">
      <c r="A244" s="2" t="str">
        <f>IF(Source!$E244=COLUMNS($A244:A244), LEFT(A243, LEN(A243)-Source!$C244), IF(Source!$G244=COLUMNS($A244:A244), A243&amp;RIGHT(INDIRECT(ADDRESS(ROW(A244)-1, Source!$E244)), Source!$C244), A243))</f>
        <v>QRQ</v>
      </c>
      <c r="B244" s="2" t="str">
        <f>IF(Source!$E244=COLUMNS($A244:B244), LEFT(B243, LEN(B243)-Source!$C244), IF(Source!$G244=COLUMNS($A244:B244), B243&amp;RIGHT(INDIRECT(ADDRESS(ROW(B244)-1, Source!$E244)), Source!$C244), B243))</f>
        <v>B</v>
      </c>
      <c r="C244" s="2" t="str">
        <f>IF(Source!$E244=COLUMNS($A244:C244), LEFT(C243, LEN(C243)-Source!$C244), IF(Source!$G244=COLUMNS($A244:C244), C243&amp;RIGHT(INDIRECT(ADDRESS(ROW(C244)-1, Source!$E244)), Source!$C244), C243))</f>
        <v>SPVJMLWRJTLBTJFLDGTRT</v>
      </c>
      <c r="D244" s="2" t="str">
        <f>IF(Source!$E244=COLUMNS($A244:D244), LEFT(D243, LEN(D243)-Source!$C244), IF(Source!$G244=COLUMNS($A244:D244), D243&amp;RIGHT(INDIRECT(ADDRESS(ROW(D244)-1, Source!$E244)), Source!$C244), D243))</f>
        <v>ZZBSDDHSD</v>
      </c>
      <c r="E244" s="2" t="str">
        <f>IF(Source!$E244=COLUMNS($A244:E244), LEFT(E243, LEN(E243)-Source!$C244), IF(Source!$G244=COLUMNS($A244:E244), E243&amp;RIGHT(INDIRECT(ADDRESS(ROW(E244)-1, Source!$E244)), Source!$C244), E243))</f>
        <v>V</v>
      </c>
      <c r="F244" s="2" t="str">
        <f>IF(Source!$E244=COLUMNS($A244:F244), LEFT(F243, LEN(F243)-Source!$C244), IF(Source!$G244=COLUMNS($A244:F244), F243&amp;RIGHT(INDIRECT(ADDRESS(ROW(F244)-1, Source!$E244)), Source!$C244), F243))</f>
        <v>PM</v>
      </c>
      <c r="G244" s="2" t="str">
        <f>IF(Source!$E244=COLUMNS($A244:G244), LEFT(G243, LEN(G243)-Source!$C244), IF(Source!$G244=COLUMNS($A244:G244), G243&amp;RIGHT(INDIRECT(ADDRESS(ROW(G244)-1, Source!$E244)), Source!$C244), G243))</f>
        <v>SCDFTVCGTRMBZHRPDCW</v>
      </c>
      <c r="H244" s="2" t="str">
        <f>IF(Source!$E244=COLUMNS($A244:H244), LEFT(H243, LEN(H243)-Source!$C244), IF(Source!$G244=COLUMNS($A244:H244), H243&amp;RIGHT(INDIRECT(ADDRESS(ROW(H244)-1, Source!$E244)), Source!$C244), H243))</f>
        <v/>
      </c>
      <c r="I244" s="2" t="str">
        <f>IF(Source!$E244=COLUMNS($A244:I244), LEFT(I243, LEN(I243)-Source!$C244), IF(Source!$G244=COLUMNS($A244:I244), I243&amp;RIGHT(INDIRECT(ADDRESS(ROW(I244)-1, Source!$E244)), Source!$C244), I243))</f>
        <v/>
      </c>
    </row>
    <row r="245">
      <c r="A245" s="2" t="str">
        <f>IF(Source!$E245=COLUMNS($A245:A245), LEFT(A244, LEN(A244)-Source!$C245), IF(Source!$G245=COLUMNS($A245:A245), A244&amp;RIGHT(INDIRECT(ADDRESS(ROW(A245)-1, Source!$E245)), Source!$C245), A244))</f>
        <v>QRQB</v>
      </c>
      <c r="B245" s="2" t="str">
        <f>IF(Source!$E245=COLUMNS($A245:B245), LEFT(B244, LEN(B244)-Source!$C245), IF(Source!$G245=COLUMNS($A245:B245), B244&amp;RIGHT(INDIRECT(ADDRESS(ROW(B245)-1, Source!$E245)), Source!$C245), B244))</f>
        <v/>
      </c>
      <c r="C245" s="2" t="str">
        <f>IF(Source!$E245=COLUMNS($A245:C245), LEFT(C244, LEN(C244)-Source!$C245), IF(Source!$G245=COLUMNS($A245:C245), C244&amp;RIGHT(INDIRECT(ADDRESS(ROW(C245)-1, Source!$E245)), Source!$C245), C244))</f>
        <v>SPVJMLWRJTLBTJFLDGTRT</v>
      </c>
      <c r="D245" s="2" t="str">
        <f>IF(Source!$E245=COLUMNS($A245:D245), LEFT(D244, LEN(D244)-Source!$C245), IF(Source!$G245=COLUMNS($A245:D245), D244&amp;RIGHT(INDIRECT(ADDRESS(ROW(D245)-1, Source!$E245)), Source!$C245), D244))</f>
        <v>ZZBSDDHSD</v>
      </c>
      <c r="E245" s="2" t="str">
        <f>IF(Source!$E245=COLUMNS($A245:E245), LEFT(E244, LEN(E244)-Source!$C245), IF(Source!$G245=COLUMNS($A245:E245), E244&amp;RIGHT(INDIRECT(ADDRESS(ROW(E245)-1, Source!$E245)), Source!$C245), E244))</f>
        <v>V</v>
      </c>
      <c r="F245" s="2" t="str">
        <f>IF(Source!$E245=COLUMNS($A245:F245), LEFT(F244, LEN(F244)-Source!$C245), IF(Source!$G245=COLUMNS($A245:F245), F244&amp;RIGHT(INDIRECT(ADDRESS(ROW(F245)-1, Source!$E245)), Source!$C245), F244))</f>
        <v>PM</v>
      </c>
      <c r="G245" s="2" t="str">
        <f>IF(Source!$E245=COLUMNS($A245:G245), LEFT(G244, LEN(G244)-Source!$C245), IF(Source!$G245=COLUMNS($A245:G245), G244&amp;RIGHT(INDIRECT(ADDRESS(ROW(G245)-1, Source!$E245)), Source!$C245), G244))</f>
        <v>SCDFTVCGTRMBZHRPDCW</v>
      </c>
      <c r="H245" s="2" t="str">
        <f>IF(Source!$E245=COLUMNS($A245:H245), LEFT(H244, LEN(H244)-Source!$C245), IF(Source!$G245=COLUMNS($A245:H245), H244&amp;RIGHT(INDIRECT(ADDRESS(ROW(H245)-1, Source!$E245)), Source!$C245), H244))</f>
        <v/>
      </c>
      <c r="I245" s="2" t="str">
        <f>IF(Source!$E245=COLUMNS($A245:I245), LEFT(I244, LEN(I244)-Source!$C245), IF(Source!$G245=COLUMNS($A245:I245), I244&amp;RIGHT(INDIRECT(ADDRESS(ROW(I245)-1, Source!$E245)), Source!$C245), I244))</f>
        <v/>
      </c>
    </row>
    <row r="246">
      <c r="A246" s="2" t="str">
        <f>IF(Source!$E246=COLUMNS($A246:A246), LEFT(A245, LEN(A245)-Source!$C246), IF(Source!$G246=COLUMNS($A246:A246), A245&amp;RIGHT(INDIRECT(ADDRESS(ROW(A246)-1, Source!$E246)), Source!$C246), A245))</f>
        <v>QRQB</v>
      </c>
      <c r="B246" s="2" t="str">
        <f>IF(Source!$E246=COLUMNS($A246:B246), LEFT(B245, LEN(B245)-Source!$C246), IF(Source!$G246=COLUMNS($A246:B246), B245&amp;RIGHT(INDIRECT(ADDRESS(ROW(B246)-1, Source!$E246)), Source!$C246), B245))</f>
        <v/>
      </c>
      <c r="C246" s="2" t="str">
        <f>IF(Source!$E246=COLUMNS($A246:C246), LEFT(C245, LEN(C245)-Source!$C246), IF(Source!$G246=COLUMNS($A246:C246), C245&amp;RIGHT(INDIRECT(ADDRESS(ROW(C246)-1, Source!$E246)), Source!$C246), C245))</f>
        <v>SPVJMLWRJTLBTJFLDGTRTBZHRPDCW</v>
      </c>
      <c r="D246" s="2" t="str">
        <f>IF(Source!$E246=COLUMNS($A246:D246), LEFT(D245, LEN(D245)-Source!$C246), IF(Source!$G246=COLUMNS($A246:D246), D245&amp;RIGHT(INDIRECT(ADDRESS(ROW(D246)-1, Source!$E246)), Source!$C246), D245))</f>
        <v>ZZBSDDHSD</v>
      </c>
      <c r="E246" s="2" t="str">
        <f>IF(Source!$E246=COLUMNS($A246:E246), LEFT(E245, LEN(E245)-Source!$C246), IF(Source!$G246=COLUMNS($A246:E246), E245&amp;RIGHT(INDIRECT(ADDRESS(ROW(E246)-1, Source!$E246)), Source!$C246), E245))</f>
        <v>V</v>
      </c>
      <c r="F246" s="2" t="str">
        <f>IF(Source!$E246=COLUMNS($A246:F246), LEFT(F245, LEN(F245)-Source!$C246), IF(Source!$G246=COLUMNS($A246:F246), F245&amp;RIGHT(INDIRECT(ADDRESS(ROW(F246)-1, Source!$E246)), Source!$C246), F245))</f>
        <v>PM</v>
      </c>
      <c r="G246" s="2" t="str">
        <f>IF(Source!$E246=COLUMNS($A246:G246), LEFT(G245, LEN(G245)-Source!$C246), IF(Source!$G246=COLUMNS($A246:G246), G245&amp;RIGHT(INDIRECT(ADDRESS(ROW(G246)-1, Source!$E246)), Source!$C246), G245))</f>
        <v>SCDFTVCGTRM</v>
      </c>
      <c r="H246" s="2" t="str">
        <f>IF(Source!$E246=COLUMNS($A246:H246), LEFT(H245, LEN(H245)-Source!$C246), IF(Source!$G246=COLUMNS($A246:H246), H245&amp;RIGHT(INDIRECT(ADDRESS(ROW(H246)-1, Source!$E246)), Source!$C246), H245))</f>
        <v/>
      </c>
      <c r="I246" s="2" t="str">
        <f>IF(Source!$E246=COLUMNS($A246:I246), LEFT(I245, LEN(I245)-Source!$C246), IF(Source!$G246=COLUMNS($A246:I246), I245&amp;RIGHT(INDIRECT(ADDRESS(ROW(I246)-1, Source!$E246)), Source!$C246), I245))</f>
        <v/>
      </c>
    </row>
    <row r="247">
      <c r="A247" s="2" t="str">
        <f>IF(Source!$E247=COLUMNS($A247:A247), LEFT(A246, LEN(A246)-Source!$C247), IF(Source!$G247=COLUMNS($A247:A247), A246&amp;RIGHT(INDIRECT(ADDRESS(ROW(A247)-1, Source!$E247)), Source!$C247), A246))</f>
        <v>QRQB</v>
      </c>
      <c r="B247" s="2" t="str">
        <f>IF(Source!$E247=COLUMNS($A247:B247), LEFT(B246, LEN(B246)-Source!$C247), IF(Source!$G247=COLUMNS($A247:B247), B246&amp;RIGHT(INDIRECT(ADDRESS(ROW(B247)-1, Source!$E247)), Source!$C247), B246))</f>
        <v/>
      </c>
      <c r="C247" s="2" t="str">
        <f>IF(Source!$E247=COLUMNS($A247:C247), LEFT(C246, LEN(C246)-Source!$C247), IF(Source!$G247=COLUMNS($A247:C247), C246&amp;RIGHT(INDIRECT(ADDRESS(ROW(C247)-1, Source!$E247)), Source!$C247), C246))</f>
        <v>SPVJMLWRJTLBTJFLDGTRTBZHRPDCW</v>
      </c>
      <c r="D247" s="2" t="str">
        <f>IF(Source!$E247=COLUMNS($A247:D247), LEFT(D246, LEN(D246)-Source!$C247), IF(Source!$G247=COLUMNS($A247:D247), D246&amp;RIGHT(INDIRECT(ADDRESS(ROW(D247)-1, Source!$E247)), Source!$C247), D246))</f>
        <v>ZZBS</v>
      </c>
      <c r="E247" s="2" t="str">
        <f>IF(Source!$E247=COLUMNS($A247:E247), LEFT(E246, LEN(E246)-Source!$C247), IF(Source!$G247=COLUMNS($A247:E247), E246&amp;RIGHT(INDIRECT(ADDRESS(ROW(E247)-1, Source!$E247)), Source!$C247), E246))</f>
        <v>V</v>
      </c>
      <c r="F247" s="2" t="str">
        <f>IF(Source!$E247=COLUMNS($A247:F247), LEFT(F246, LEN(F246)-Source!$C247), IF(Source!$G247=COLUMNS($A247:F247), F246&amp;RIGHT(INDIRECT(ADDRESS(ROW(F247)-1, Source!$E247)), Source!$C247), F246))</f>
        <v>PM</v>
      </c>
      <c r="G247" s="2" t="str">
        <f>IF(Source!$E247=COLUMNS($A247:G247), LEFT(G246, LEN(G246)-Source!$C247), IF(Source!$G247=COLUMNS($A247:G247), G246&amp;RIGHT(INDIRECT(ADDRESS(ROW(G247)-1, Source!$E247)), Source!$C247), G246))</f>
        <v>SCDFTVCGTRMDDHSD</v>
      </c>
      <c r="H247" s="2" t="str">
        <f>IF(Source!$E247=COLUMNS($A247:H247), LEFT(H246, LEN(H246)-Source!$C247), IF(Source!$G247=COLUMNS($A247:H247), H246&amp;RIGHT(INDIRECT(ADDRESS(ROW(H247)-1, Source!$E247)), Source!$C247), H246))</f>
        <v/>
      </c>
      <c r="I247" s="2" t="str">
        <f>IF(Source!$E247=COLUMNS($A247:I247), LEFT(I246, LEN(I246)-Source!$C247), IF(Source!$G247=COLUMNS($A247:I247), I246&amp;RIGHT(INDIRECT(ADDRESS(ROW(I247)-1, Source!$E247)), Source!$C247), I246))</f>
        <v/>
      </c>
    </row>
    <row r="248">
      <c r="A248" s="2" t="str">
        <f>IF(Source!$E248=COLUMNS($A248:A248), LEFT(A247, LEN(A247)-Source!$C248), IF(Source!$G248=COLUMNS($A248:A248), A247&amp;RIGHT(INDIRECT(ADDRESS(ROW(A248)-1, Source!$E248)), Source!$C248), A247))</f>
        <v>QRQB</v>
      </c>
      <c r="B248" s="2" t="str">
        <f>IF(Source!$E248=COLUMNS($A248:B248), LEFT(B247, LEN(B247)-Source!$C248), IF(Source!$G248=COLUMNS($A248:B248), B247&amp;RIGHT(INDIRECT(ADDRESS(ROW(B248)-1, Source!$E248)), Source!$C248), B247))</f>
        <v/>
      </c>
      <c r="C248" s="2" t="str">
        <f>IF(Source!$E248=COLUMNS($A248:C248), LEFT(C247, LEN(C247)-Source!$C248), IF(Source!$G248=COLUMNS($A248:C248), C247&amp;RIGHT(INDIRECT(ADDRESS(ROW(C248)-1, Source!$E248)), Source!$C248), C247))</f>
        <v>SPVJMLWRJTLBTJFLDGTRTBZHRPDCW</v>
      </c>
      <c r="D248" s="2" t="str">
        <f>IF(Source!$E248=COLUMNS($A248:D248), LEFT(D247, LEN(D247)-Source!$C248), IF(Source!$G248=COLUMNS($A248:D248), D247&amp;RIGHT(INDIRECT(ADDRESS(ROW(D248)-1, Source!$E248)), Source!$C248), D247))</f>
        <v>ZZBSPM</v>
      </c>
      <c r="E248" s="2" t="str">
        <f>IF(Source!$E248=COLUMNS($A248:E248), LEFT(E247, LEN(E247)-Source!$C248), IF(Source!$G248=COLUMNS($A248:E248), E247&amp;RIGHT(INDIRECT(ADDRESS(ROW(E248)-1, Source!$E248)), Source!$C248), E247))</f>
        <v>V</v>
      </c>
      <c r="F248" s="2" t="str">
        <f>IF(Source!$E248=COLUMNS($A248:F248), LEFT(F247, LEN(F247)-Source!$C248), IF(Source!$G248=COLUMNS($A248:F248), F247&amp;RIGHT(INDIRECT(ADDRESS(ROW(F248)-1, Source!$E248)), Source!$C248), F247))</f>
        <v/>
      </c>
      <c r="G248" s="2" t="str">
        <f>IF(Source!$E248=COLUMNS($A248:G248), LEFT(G247, LEN(G247)-Source!$C248), IF(Source!$G248=COLUMNS($A248:G248), G247&amp;RIGHT(INDIRECT(ADDRESS(ROW(G248)-1, Source!$E248)), Source!$C248), G247))</f>
        <v>SCDFTVCGTRMDDHSD</v>
      </c>
      <c r="H248" s="2" t="str">
        <f>IF(Source!$E248=COLUMNS($A248:H248), LEFT(H247, LEN(H247)-Source!$C248), IF(Source!$G248=COLUMNS($A248:H248), H247&amp;RIGHT(INDIRECT(ADDRESS(ROW(H248)-1, Source!$E248)), Source!$C248), H247))</f>
        <v/>
      </c>
      <c r="I248" s="2" t="str">
        <f>IF(Source!$E248=COLUMNS($A248:I248), LEFT(I247, LEN(I247)-Source!$C248), IF(Source!$G248=COLUMNS($A248:I248), I247&amp;RIGHT(INDIRECT(ADDRESS(ROW(I248)-1, Source!$E248)), Source!$C248), I247))</f>
        <v/>
      </c>
    </row>
    <row r="249">
      <c r="A249" s="2" t="str">
        <f>IF(Source!$E249=COLUMNS($A249:A249), LEFT(A248, LEN(A248)-Source!$C249), IF(Source!$G249=COLUMNS($A249:A249), A248&amp;RIGHT(INDIRECT(ADDRESS(ROW(A249)-1, Source!$E249)), Source!$C249), A248))</f>
        <v>QRQB</v>
      </c>
      <c r="B249" s="2" t="str">
        <f>IF(Source!$E249=COLUMNS($A249:B249), LEFT(B248, LEN(B248)-Source!$C249), IF(Source!$G249=COLUMNS($A249:B249), B248&amp;RIGHT(INDIRECT(ADDRESS(ROW(B249)-1, Source!$E249)), Source!$C249), B248))</f>
        <v/>
      </c>
      <c r="C249" s="2" t="str">
        <f>IF(Source!$E249=COLUMNS($A249:C249), LEFT(C248, LEN(C248)-Source!$C249), IF(Source!$G249=COLUMNS($A249:C249), C248&amp;RIGHT(INDIRECT(ADDRESS(ROW(C249)-1, Source!$E249)), Source!$C249), C248))</f>
        <v>SPVJMLWRJTLBTJFLDGTRTBZHRPDCW</v>
      </c>
      <c r="D249" s="2" t="str">
        <f>IF(Source!$E249=COLUMNS($A249:D249), LEFT(D248, LEN(D248)-Source!$C249), IF(Source!$G249=COLUMNS($A249:D249), D248&amp;RIGHT(INDIRECT(ADDRESS(ROW(D249)-1, Source!$E249)), Source!$C249), D248))</f>
        <v>ZZBSPM</v>
      </c>
      <c r="E249" s="2" t="str">
        <f>IF(Source!$E249=COLUMNS($A249:E249), LEFT(E248, LEN(E248)-Source!$C249), IF(Source!$G249=COLUMNS($A249:E249), E248&amp;RIGHT(INDIRECT(ADDRESS(ROW(E249)-1, Source!$E249)), Source!$C249), E248))</f>
        <v/>
      </c>
      <c r="F249" s="2" t="str">
        <f>IF(Source!$E249=COLUMNS($A249:F249), LEFT(F248, LEN(F248)-Source!$C249), IF(Source!$G249=COLUMNS($A249:F249), F248&amp;RIGHT(INDIRECT(ADDRESS(ROW(F249)-1, Source!$E249)), Source!$C249), F248))</f>
        <v/>
      </c>
      <c r="G249" s="2" t="str">
        <f>IF(Source!$E249=COLUMNS($A249:G249), LEFT(G248, LEN(G248)-Source!$C249), IF(Source!$G249=COLUMNS($A249:G249), G248&amp;RIGHT(INDIRECT(ADDRESS(ROW(G249)-1, Source!$E249)), Source!$C249), G248))</f>
        <v>SCDFTVCGTRMDDHSD</v>
      </c>
      <c r="H249" s="2" t="str">
        <f>IF(Source!$E249=COLUMNS($A249:H249), LEFT(H248, LEN(H248)-Source!$C249), IF(Source!$G249=COLUMNS($A249:H249), H248&amp;RIGHT(INDIRECT(ADDRESS(ROW(H249)-1, Source!$E249)), Source!$C249), H248))</f>
        <v/>
      </c>
      <c r="I249" s="2" t="str">
        <f>IF(Source!$E249=COLUMNS($A249:I249), LEFT(I248, LEN(I248)-Source!$C249), IF(Source!$G249=COLUMNS($A249:I249), I248&amp;RIGHT(INDIRECT(ADDRESS(ROW(I249)-1, Source!$E249)), Source!$C249), I248))</f>
        <v>V</v>
      </c>
    </row>
    <row r="250">
      <c r="A250" s="2" t="str">
        <f>IF(Source!$E250=COLUMNS($A250:A250), LEFT(A249, LEN(A249)-Source!$C250), IF(Source!$G250=COLUMNS($A250:A250), A249&amp;RIGHT(INDIRECT(ADDRESS(ROW(A250)-1, Source!$E250)), Source!$C250), A249))</f>
        <v>QRQ</v>
      </c>
      <c r="B250" s="2" t="str">
        <f>IF(Source!$E250=COLUMNS($A250:B250), LEFT(B249, LEN(B249)-Source!$C250), IF(Source!$G250=COLUMNS($A250:B250), B249&amp;RIGHT(INDIRECT(ADDRESS(ROW(B250)-1, Source!$E250)), Source!$C250), B249))</f>
        <v/>
      </c>
      <c r="C250" s="2" t="str">
        <f>IF(Source!$E250=COLUMNS($A250:C250), LEFT(C249, LEN(C249)-Source!$C250), IF(Source!$G250=COLUMNS($A250:C250), C249&amp;RIGHT(INDIRECT(ADDRESS(ROW(C250)-1, Source!$E250)), Source!$C250), C249))</f>
        <v>SPVJMLWRJTLBTJFLDGTRTBZHRPDCW</v>
      </c>
      <c r="D250" s="2" t="str">
        <f>IF(Source!$E250=COLUMNS($A250:D250), LEFT(D249, LEN(D249)-Source!$C250), IF(Source!$G250=COLUMNS($A250:D250), D249&amp;RIGHT(INDIRECT(ADDRESS(ROW(D250)-1, Source!$E250)), Source!$C250), D249))</f>
        <v>ZZBSPM</v>
      </c>
      <c r="E250" s="2" t="str">
        <f>IF(Source!$E250=COLUMNS($A250:E250), LEFT(E249, LEN(E249)-Source!$C250), IF(Source!$G250=COLUMNS($A250:E250), E249&amp;RIGHT(INDIRECT(ADDRESS(ROW(E250)-1, Source!$E250)), Source!$C250), E249))</f>
        <v/>
      </c>
      <c r="F250" s="2" t="str">
        <f>IF(Source!$E250=COLUMNS($A250:F250), LEFT(F249, LEN(F249)-Source!$C250), IF(Source!$G250=COLUMNS($A250:F250), F249&amp;RIGHT(INDIRECT(ADDRESS(ROW(F250)-1, Source!$E250)), Source!$C250), F249))</f>
        <v>B</v>
      </c>
      <c r="G250" s="2" t="str">
        <f>IF(Source!$E250=COLUMNS($A250:G250), LEFT(G249, LEN(G249)-Source!$C250), IF(Source!$G250=COLUMNS($A250:G250), G249&amp;RIGHT(INDIRECT(ADDRESS(ROW(G250)-1, Source!$E250)), Source!$C250), G249))</f>
        <v>SCDFTVCGTRMDDHSD</v>
      </c>
      <c r="H250" s="2" t="str">
        <f>IF(Source!$E250=COLUMNS($A250:H250), LEFT(H249, LEN(H249)-Source!$C250), IF(Source!$G250=COLUMNS($A250:H250), H249&amp;RIGHT(INDIRECT(ADDRESS(ROW(H250)-1, Source!$E250)), Source!$C250), H249))</f>
        <v/>
      </c>
      <c r="I250" s="2" t="str">
        <f>IF(Source!$E250=COLUMNS($A250:I250), LEFT(I249, LEN(I249)-Source!$C250), IF(Source!$G250=COLUMNS($A250:I250), I249&amp;RIGHT(INDIRECT(ADDRESS(ROW(I250)-1, Source!$E250)), Source!$C250), I249))</f>
        <v>V</v>
      </c>
    </row>
    <row r="251">
      <c r="A251" s="2" t="str">
        <f>IF(Source!$E251=COLUMNS($A251:A251), LEFT(A250, LEN(A250)-Source!$C251), IF(Source!$G251=COLUMNS($A251:A251), A250&amp;RIGHT(INDIRECT(ADDRESS(ROW(A251)-1, Source!$E251)), Source!$C251), A250))</f>
        <v>QR</v>
      </c>
      <c r="B251" s="2" t="str">
        <f>IF(Source!$E251=COLUMNS($A251:B251), LEFT(B250, LEN(B250)-Source!$C251), IF(Source!$G251=COLUMNS($A251:B251), B250&amp;RIGHT(INDIRECT(ADDRESS(ROW(B251)-1, Source!$E251)), Source!$C251), B250))</f>
        <v>Q</v>
      </c>
      <c r="C251" s="2" t="str">
        <f>IF(Source!$E251=COLUMNS($A251:C251), LEFT(C250, LEN(C250)-Source!$C251), IF(Source!$G251=COLUMNS($A251:C251), C250&amp;RIGHT(INDIRECT(ADDRESS(ROW(C251)-1, Source!$E251)), Source!$C251), C250))</f>
        <v>SPVJMLWRJTLBTJFLDGTRTBZHRPDCW</v>
      </c>
      <c r="D251" s="2" t="str">
        <f>IF(Source!$E251=COLUMNS($A251:D251), LEFT(D250, LEN(D250)-Source!$C251), IF(Source!$G251=COLUMNS($A251:D251), D250&amp;RIGHT(INDIRECT(ADDRESS(ROW(D251)-1, Source!$E251)), Source!$C251), D250))</f>
        <v>ZZBSPM</v>
      </c>
      <c r="E251" s="2" t="str">
        <f>IF(Source!$E251=COLUMNS($A251:E251), LEFT(E250, LEN(E250)-Source!$C251), IF(Source!$G251=COLUMNS($A251:E251), E250&amp;RIGHT(INDIRECT(ADDRESS(ROW(E251)-1, Source!$E251)), Source!$C251), E250))</f>
        <v/>
      </c>
      <c r="F251" s="2" t="str">
        <f>IF(Source!$E251=COLUMNS($A251:F251), LEFT(F250, LEN(F250)-Source!$C251), IF(Source!$G251=COLUMNS($A251:F251), F250&amp;RIGHT(INDIRECT(ADDRESS(ROW(F251)-1, Source!$E251)), Source!$C251), F250))</f>
        <v>B</v>
      </c>
      <c r="G251" s="2" t="str">
        <f>IF(Source!$E251=COLUMNS($A251:G251), LEFT(G250, LEN(G250)-Source!$C251), IF(Source!$G251=COLUMNS($A251:G251), G250&amp;RIGHT(INDIRECT(ADDRESS(ROW(G251)-1, Source!$E251)), Source!$C251), G250))</f>
        <v>SCDFTVCGTRMDDHSD</v>
      </c>
      <c r="H251" s="2" t="str">
        <f>IF(Source!$E251=COLUMNS($A251:H251), LEFT(H250, LEN(H250)-Source!$C251), IF(Source!$G251=COLUMNS($A251:H251), H250&amp;RIGHT(INDIRECT(ADDRESS(ROW(H251)-1, Source!$E251)), Source!$C251), H250))</f>
        <v/>
      </c>
      <c r="I251" s="2" t="str">
        <f>IF(Source!$E251=COLUMNS($A251:I251), LEFT(I250, LEN(I250)-Source!$C251), IF(Source!$G251=COLUMNS($A251:I251), I250&amp;RIGHT(INDIRECT(ADDRESS(ROW(I251)-1, Source!$E251)), Source!$C251), I250))</f>
        <v>V</v>
      </c>
    </row>
    <row r="252">
      <c r="A252" s="2" t="str">
        <f>IF(Source!$E252=COLUMNS($A252:A252), LEFT(A251, LEN(A251)-Source!$C252), IF(Source!$G252=COLUMNS($A252:A252), A251&amp;RIGHT(INDIRECT(ADDRESS(ROW(A252)-1, Source!$E252)), Source!$C252), A251))</f>
        <v>QR</v>
      </c>
      <c r="B252" s="2" t="str">
        <f>IF(Source!$E252=COLUMNS($A252:B252), LEFT(B251, LEN(B251)-Source!$C252), IF(Source!$G252=COLUMNS($A252:B252), B251&amp;RIGHT(INDIRECT(ADDRESS(ROW(B252)-1, Source!$E252)), Source!$C252), B251))</f>
        <v>Q</v>
      </c>
      <c r="C252" s="2" t="str">
        <f>IF(Source!$E252=COLUMNS($A252:C252), LEFT(C251, LEN(C251)-Source!$C252), IF(Source!$G252=COLUMNS($A252:C252), C251&amp;RIGHT(INDIRECT(ADDRESS(ROW(C252)-1, Source!$E252)), Source!$C252), C251))</f>
        <v>SPVJMLWRJTLBTJFLDGTRTBZHRPDCW</v>
      </c>
      <c r="D252" s="2" t="str">
        <f>IF(Source!$E252=COLUMNS($A252:D252), LEFT(D251, LEN(D251)-Source!$C252), IF(Source!$G252=COLUMNS($A252:D252), D251&amp;RIGHT(INDIRECT(ADDRESS(ROW(D252)-1, Source!$E252)), Source!$C252), D251))</f>
        <v>ZZBS</v>
      </c>
      <c r="E252" s="2" t="str">
        <f>IF(Source!$E252=COLUMNS($A252:E252), LEFT(E251, LEN(E251)-Source!$C252), IF(Source!$G252=COLUMNS($A252:E252), E251&amp;RIGHT(INDIRECT(ADDRESS(ROW(E252)-1, Source!$E252)), Source!$C252), E251))</f>
        <v/>
      </c>
      <c r="F252" s="2" t="str">
        <f>IF(Source!$E252=COLUMNS($A252:F252), LEFT(F251, LEN(F251)-Source!$C252), IF(Source!$G252=COLUMNS($A252:F252), F251&amp;RIGHT(INDIRECT(ADDRESS(ROW(F252)-1, Source!$E252)), Source!$C252), F251))</f>
        <v>B</v>
      </c>
      <c r="G252" s="2" t="str">
        <f>IF(Source!$E252=COLUMNS($A252:G252), LEFT(G251, LEN(G251)-Source!$C252), IF(Source!$G252=COLUMNS($A252:G252), G251&amp;RIGHT(INDIRECT(ADDRESS(ROW(G252)-1, Source!$E252)), Source!$C252), G251))</f>
        <v>SCDFTVCGTRMDDHSDPM</v>
      </c>
      <c r="H252" s="2" t="str">
        <f>IF(Source!$E252=COLUMNS($A252:H252), LEFT(H251, LEN(H251)-Source!$C252), IF(Source!$G252=COLUMNS($A252:H252), H251&amp;RIGHT(INDIRECT(ADDRESS(ROW(H252)-1, Source!$E252)), Source!$C252), H251))</f>
        <v/>
      </c>
      <c r="I252" s="2" t="str">
        <f>IF(Source!$E252=COLUMNS($A252:I252), LEFT(I251, LEN(I251)-Source!$C252), IF(Source!$G252=COLUMNS($A252:I252), I251&amp;RIGHT(INDIRECT(ADDRESS(ROW(I252)-1, Source!$E252)), Source!$C252), I251))</f>
        <v>V</v>
      </c>
    </row>
    <row r="253">
      <c r="A253" s="2" t="str">
        <f>IF(Source!$E253=COLUMNS($A253:A253), LEFT(A252, LEN(A252)-Source!$C253), IF(Source!$G253=COLUMNS($A253:A253), A252&amp;RIGHT(INDIRECT(ADDRESS(ROW(A253)-1, Source!$E253)), Source!$C253), A252))</f>
        <v>QR</v>
      </c>
      <c r="B253" s="2" t="str">
        <f>IF(Source!$E253=COLUMNS($A253:B253), LEFT(B252, LEN(B252)-Source!$C253), IF(Source!$G253=COLUMNS($A253:B253), B252&amp;RIGHT(INDIRECT(ADDRESS(ROW(B253)-1, Source!$E253)), Source!$C253), B252))</f>
        <v>QS</v>
      </c>
      <c r="C253" s="2" t="str">
        <f>IF(Source!$E253=COLUMNS($A253:C253), LEFT(C252, LEN(C252)-Source!$C253), IF(Source!$G253=COLUMNS($A253:C253), C252&amp;RIGHT(INDIRECT(ADDRESS(ROW(C253)-1, Source!$E253)), Source!$C253), C252))</f>
        <v>SPVJMLWRJTLBTJFLDGTRTBZHRPDCW</v>
      </c>
      <c r="D253" s="2" t="str">
        <f>IF(Source!$E253=COLUMNS($A253:D253), LEFT(D252, LEN(D252)-Source!$C253), IF(Source!$G253=COLUMNS($A253:D253), D252&amp;RIGHT(INDIRECT(ADDRESS(ROW(D253)-1, Source!$E253)), Source!$C253), D252))</f>
        <v>ZZB</v>
      </c>
      <c r="E253" s="2" t="str">
        <f>IF(Source!$E253=COLUMNS($A253:E253), LEFT(E252, LEN(E252)-Source!$C253), IF(Source!$G253=COLUMNS($A253:E253), E252&amp;RIGHT(INDIRECT(ADDRESS(ROW(E253)-1, Source!$E253)), Source!$C253), E252))</f>
        <v/>
      </c>
      <c r="F253" s="2" t="str">
        <f>IF(Source!$E253=COLUMNS($A253:F253), LEFT(F252, LEN(F252)-Source!$C253), IF(Source!$G253=COLUMNS($A253:F253), F252&amp;RIGHT(INDIRECT(ADDRESS(ROW(F253)-1, Source!$E253)), Source!$C253), F252))</f>
        <v>B</v>
      </c>
      <c r="G253" s="2" t="str">
        <f>IF(Source!$E253=COLUMNS($A253:G253), LEFT(G252, LEN(G252)-Source!$C253), IF(Source!$G253=COLUMNS($A253:G253), G252&amp;RIGHT(INDIRECT(ADDRESS(ROW(G253)-1, Source!$E253)), Source!$C253), G252))</f>
        <v>SCDFTVCGTRMDDHSDPM</v>
      </c>
      <c r="H253" s="2" t="str">
        <f>IF(Source!$E253=COLUMNS($A253:H253), LEFT(H252, LEN(H252)-Source!$C253), IF(Source!$G253=COLUMNS($A253:H253), H252&amp;RIGHT(INDIRECT(ADDRESS(ROW(H253)-1, Source!$E253)), Source!$C253), H252))</f>
        <v/>
      </c>
      <c r="I253" s="2" t="str">
        <f>IF(Source!$E253=COLUMNS($A253:I253), LEFT(I252, LEN(I252)-Source!$C253), IF(Source!$G253=COLUMNS($A253:I253), I252&amp;RIGHT(INDIRECT(ADDRESS(ROW(I253)-1, Source!$E253)), Source!$C253), I252))</f>
        <v>V</v>
      </c>
    </row>
    <row r="254">
      <c r="A254" s="2" t="str">
        <f>IF(Source!$E254=COLUMNS($A254:A254), LEFT(A253, LEN(A253)-Source!$C254), IF(Source!$G254=COLUMNS($A254:A254), A253&amp;RIGHT(INDIRECT(ADDRESS(ROW(A254)-1, Source!$E254)), Source!$C254), A253))</f>
        <v>QR</v>
      </c>
      <c r="B254" s="2" t="str">
        <f>IF(Source!$E254=COLUMNS($A254:B254), LEFT(B253, LEN(B253)-Source!$C254), IF(Source!$G254=COLUMNS($A254:B254), B253&amp;RIGHT(INDIRECT(ADDRESS(ROW(B254)-1, Source!$E254)), Source!$C254), B253))</f>
        <v>QS</v>
      </c>
      <c r="C254" s="2" t="str">
        <f>IF(Source!$E254=COLUMNS($A254:C254), LEFT(C253, LEN(C253)-Source!$C254), IF(Source!$G254=COLUMNS($A254:C254), C253&amp;RIGHT(INDIRECT(ADDRESS(ROW(C254)-1, Source!$E254)), Source!$C254), C253))</f>
        <v>SPVJMLWRJTLBTJFLDGTRTBZHRPDCW</v>
      </c>
      <c r="D254" s="2" t="str">
        <f>IF(Source!$E254=COLUMNS($A254:D254), LEFT(D253, LEN(D253)-Source!$C254), IF(Source!$G254=COLUMNS($A254:D254), D253&amp;RIGHT(INDIRECT(ADDRESS(ROW(D254)-1, Source!$E254)), Source!$C254), D253))</f>
        <v>Z</v>
      </c>
      <c r="E254" s="2" t="str">
        <f>IF(Source!$E254=COLUMNS($A254:E254), LEFT(E253, LEN(E253)-Source!$C254), IF(Source!$G254=COLUMNS($A254:E254), E253&amp;RIGHT(INDIRECT(ADDRESS(ROW(E254)-1, Source!$E254)), Source!$C254), E253))</f>
        <v/>
      </c>
      <c r="F254" s="2" t="str">
        <f>IF(Source!$E254=COLUMNS($A254:F254), LEFT(F253, LEN(F253)-Source!$C254), IF(Source!$G254=COLUMNS($A254:F254), F253&amp;RIGHT(INDIRECT(ADDRESS(ROW(F254)-1, Source!$E254)), Source!$C254), F253))</f>
        <v>B</v>
      </c>
      <c r="G254" s="2" t="str">
        <f>IF(Source!$E254=COLUMNS($A254:G254), LEFT(G253, LEN(G253)-Source!$C254), IF(Source!$G254=COLUMNS($A254:G254), G253&amp;RIGHT(INDIRECT(ADDRESS(ROW(G254)-1, Source!$E254)), Source!$C254), G253))</f>
        <v>SCDFTVCGTRMDDHSDPM</v>
      </c>
      <c r="H254" s="2" t="str">
        <f>IF(Source!$E254=COLUMNS($A254:H254), LEFT(H253, LEN(H253)-Source!$C254), IF(Source!$G254=COLUMNS($A254:H254), H253&amp;RIGHT(INDIRECT(ADDRESS(ROW(H254)-1, Source!$E254)), Source!$C254), H253))</f>
        <v/>
      </c>
      <c r="I254" s="2" t="str">
        <f>IF(Source!$E254=COLUMNS($A254:I254), LEFT(I253, LEN(I253)-Source!$C254), IF(Source!$G254=COLUMNS($A254:I254), I253&amp;RIGHT(INDIRECT(ADDRESS(ROW(I254)-1, Source!$E254)), Source!$C254), I253))</f>
        <v>VZB</v>
      </c>
    </row>
    <row r="255">
      <c r="A255" s="2" t="str">
        <f>IF(Source!$E255=COLUMNS($A255:A255), LEFT(A254, LEN(A254)-Source!$C255), IF(Source!$G255=COLUMNS($A255:A255), A254&amp;RIGHT(INDIRECT(ADDRESS(ROW(A255)-1, Source!$E255)), Source!$C255), A254))</f>
        <v>QR</v>
      </c>
      <c r="B255" s="2" t="str">
        <f>IF(Source!$E255=COLUMNS($A255:B255), LEFT(B254, LEN(B254)-Source!$C255), IF(Source!$G255=COLUMNS($A255:B255), B254&amp;RIGHT(INDIRECT(ADDRESS(ROW(B255)-1, Source!$E255)), Source!$C255), B254))</f>
        <v>QS</v>
      </c>
      <c r="C255" s="2" t="str">
        <f>IF(Source!$E255=COLUMNS($A255:C255), LEFT(C254, LEN(C254)-Source!$C255), IF(Source!$G255=COLUMNS($A255:C255), C254&amp;RIGHT(INDIRECT(ADDRESS(ROW(C255)-1, Source!$E255)), Source!$C255), C254))</f>
        <v>SPVJMLWRJTLBTJFLDGTRTBZHRPDCW</v>
      </c>
      <c r="D255" s="2" t="str">
        <f>IF(Source!$E255=COLUMNS($A255:D255), LEFT(D254, LEN(D254)-Source!$C255), IF(Source!$G255=COLUMNS($A255:D255), D254&amp;RIGHT(INDIRECT(ADDRESS(ROW(D255)-1, Source!$E255)), Source!$C255), D254))</f>
        <v>Z</v>
      </c>
      <c r="E255" s="2" t="str">
        <f>IF(Source!$E255=COLUMNS($A255:E255), LEFT(E254, LEN(E254)-Source!$C255), IF(Source!$G255=COLUMNS($A255:E255), E254&amp;RIGHT(INDIRECT(ADDRESS(ROW(E255)-1, Source!$E255)), Source!$C255), E254))</f>
        <v/>
      </c>
      <c r="F255" s="2" t="str">
        <f>IF(Source!$E255=COLUMNS($A255:F255), LEFT(F254, LEN(F254)-Source!$C255), IF(Source!$G255=COLUMNS($A255:F255), F254&amp;RIGHT(INDIRECT(ADDRESS(ROW(F255)-1, Source!$E255)), Source!$C255), F254))</f>
        <v/>
      </c>
      <c r="G255" s="2" t="str">
        <f>IF(Source!$E255=COLUMNS($A255:G255), LEFT(G254, LEN(G254)-Source!$C255), IF(Source!$G255=COLUMNS($A255:G255), G254&amp;RIGHT(INDIRECT(ADDRESS(ROW(G255)-1, Source!$E255)), Source!$C255), G254))</f>
        <v>SCDFTVCGTRMDDHSDPM</v>
      </c>
      <c r="H255" s="2" t="str">
        <f>IF(Source!$E255=COLUMNS($A255:H255), LEFT(H254, LEN(H254)-Source!$C255), IF(Source!$G255=COLUMNS($A255:H255), H254&amp;RIGHT(INDIRECT(ADDRESS(ROW(H255)-1, Source!$E255)), Source!$C255), H254))</f>
        <v>B</v>
      </c>
      <c r="I255" s="2" t="str">
        <f>IF(Source!$E255=COLUMNS($A255:I255), LEFT(I254, LEN(I254)-Source!$C255), IF(Source!$G255=COLUMNS($A255:I255), I254&amp;RIGHT(INDIRECT(ADDRESS(ROW(I255)-1, Source!$E255)), Source!$C255), I254))</f>
        <v>VZB</v>
      </c>
    </row>
    <row r="256">
      <c r="A256" s="2" t="str">
        <f>IF(Source!$E256=COLUMNS($A256:A256), LEFT(A255, LEN(A255)-Source!$C256), IF(Source!$G256=COLUMNS($A256:A256), A255&amp;RIGHT(INDIRECT(ADDRESS(ROW(A256)-1, Source!$E256)), Source!$C256), A255))</f>
        <v>Q</v>
      </c>
      <c r="B256" s="2" t="str">
        <f>IF(Source!$E256=COLUMNS($A256:B256), LEFT(B255, LEN(B255)-Source!$C256), IF(Source!$G256=COLUMNS($A256:B256), B255&amp;RIGHT(INDIRECT(ADDRESS(ROW(B256)-1, Source!$E256)), Source!$C256), B255))</f>
        <v>QS</v>
      </c>
      <c r="C256" s="2" t="str">
        <f>IF(Source!$E256=COLUMNS($A256:C256), LEFT(C255, LEN(C255)-Source!$C256), IF(Source!$G256=COLUMNS($A256:C256), C255&amp;RIGHT(INDIRECT(ADDRESS(ROW(C256)-1, Source!$E256)), Source!$C256), C255))</f>
        <v>SPVJMLWRJTLBTJFLDGTRTBZHRPDCW</v>
      </c>
      <c r="D256" s="2" t="str">
        <f>IF(Source!$E256=COLUMNS($A256:D256), LEFT(D255, LEN(D255)-Source!$C256), IF(Source!$G256=COLUMNS($A256:D256), D255&amp;RIGHT(INDIRECT(ADDRESS(ROW(D256)-1, Source!$E256)), Source!$C256), D255))</f>
        <v>Z</v>
      </c>
      <c r="E256" s="2" t="str">
        <f>IF(Source!$E256=COLUMNS($A256:E256), LEFT(E255, LEN(E255)-Source!$C256), IF(Source!$G256=COLUMNS($A256:E256), E255&amp;RIGHT(INDIRECT(ADDRESS(ROW(E256)-1, Source!$E256)), Source!$C256), E255))</f>
        <v>R</v>
      </c>
      <c r="F256" s="2" t="str">
        <f>IF(Source!$E256=COLUMNS($A256:F256), LEFT(F255, LEN(F255)-Source!$C256), IF(Source!$G256=COLUMNS($A256:F256), F255&amp;RIGHT(INDIRECT(ADDRESS(ROW(F256)-1, Source!$E256)), Source!$C256), F255))</f>
        <v/>
      </c>
      <c r="G256" s="2" t="str">
        <f>IF(Source!$E256=COLUMNS($A256:G256), LEFT(G255, LEN(G255)-Source!$C256), IF(Source!$G256=COLUMNS($A256:G256), G255&amp;RIGHT(INDIRECT(ADDRESS(ROW(G256)-1, Source!$E256)), Source!$C256), G255))</f>
        <v>SCDFTVCGTRMDDHSDPM</v>
      </c>
      <c r="H256" s="2" t="str">
        <f>IF(Source!$E256=COLUMNS($A256:H256), LEFT(H255, LEN(H255)-Source!$C256), IF(Source!$G256=COLUMNS($A256:H256), H255&amp;RIGHT(INDIRECT(ADDRESS(ROW(H256)-1, Source!$E256)), Source!$C256), H255))</f>
        <v>B</v>
      </c>
      <c r="I256" s="2" t="str">
        <f>IF(Source!$E256=COLUMNS($A256:I256), LEFT(I255, LEN(I255)-Source!$C256), IF(Source!$G256=COLUMNS($A256:I256), I255&amp;RIGHT(INDIRECT(ADDRESS(ROW(I256)-1, Source!$E256)), Source!$C256), I255))</f>
        <v>VZB</v>
      </c>
    </row>
    <row r="257">
      <c r="A257" s="2" t="str">
        <f>IF(Source!$E257=COLUMNS($A257:A257), LEFT(A256, LEN(A256)-Source!$C257), IF(Source!$G257=COLUMNS($A257:A257), A256&amp;RIGHT(INDIRECT(ADDRESS(ROW(A257)-1, Source!$E257)), Source!$C257), A256))</f>
        <v>Q</v>
      </c>
      <c r="B257" s="2" t="str">
        <f>IF(Source!$E257=COLUMNS($A257:B257), LEFT(B256, LEN(B256)-Source!$C257), IF(Source!$G257=COLUMNS($A257:B257), B256&amp;RIGHT(INDIRECT(ADDRESS(ROW(B257)-1, Source!$E257)), Source!$C257), B256))</f>
        <v>QS</v>
      </c>
      <c r="C257" s="2" t="str">
        <f>IF(Source!$E257=COLUMNS($A257:C257), LEFT(C256, LEN(C256)-Source!$C257), IF(Source!$G257=COLUMNS($A257:C257), C256&amp;RIGHT(INDIRECT(ADDRESS(ROW(C257)-1, Source!$E257)), Source!$C257), C256))</f>
        <v>SPVJMLWRJTLBTJFLDGTRTBZHRPDCW</v>
      </c>
      <c r="D257" s="2" t="str">
        <f>IF(Source!$E257=COLUMNS($A257:D257), LEFT(D256, LEN(D256)-Source!$C257), IF(Source!$G257=COLUMNS($A257:D257), D256&amp;RIGHT(INDIRECT(ADDRESS(ROW(D257)-1, Source!$E257)), Source!$C257), D256))</f>
        <v>Z</v>
      </c>
      <c r="E257" s="2" t="str">
        <f>IF(Source!$E257=COLUMNS($A257:E257), LEFT(E256, LEN(E256)-Source!$C257), IF(Source!$G257=COLUMNS($A257:E257), E256&amp;RIGHT(INDIRECT(ADDRESS(ROW(E257)-1, Source!$E257)), Source!$C257), E256))</f>
        <v>R</v>
      </c>
      <c r="F257" s="2" t="str">
        <f>IF(Source!$E257=COLUMNS($A257:F257), LEFT(F256, LEN(F256)-Source!$C257), IF(Source!$G257=COLUMNS($A257:F257), F256&amp;RIGHT(INDIRECT(ADDRESS(ROW(F257)-1, Source!$E257)), Source!$C257), F256))</f>
        <v>B</v>
      </c>
      <c r="G257" s="2" t="str">
        <f>IF(Source!$E257=COLUMNS($A257:G257), LEFT(G256, LEN(G256)-Source!$C257), IF(Source!$G257=COLUMNS($A257:G257), G256&amp;RIGHT(INDIRECT(ADDRESS(ROW(G257)-1, Source!$E257)), Source!$C257), G256))</f>
        <v>SCDFTVCGTRMDDHSDPM</v>
      </c>
      <c r="H257" s="2" t="str">
        <f>IF(Source!$E257=COLUMNS($A257:H257), LEFT(H256, LEN(H256)-Source!$C257), IF(Source!$G257=COLUMNS($A257:H257), H256&amp;RIGHT(INDIRECT(ADDRESS(ROW(H257)-1, Source!$E257)), Source!$C257), H256))</f>
        <v/>
      </c>
      <c r="I257" s="2" t="str">
        <f>IF(Source!$E257=COLUMNS($A257:I257), LEFT(I256, LEN(I256)-Source!$C257), IF(Source!$G257=COLUMNS($A257:I257), I256&amp;RIGHT(INDIRECT(ADDRESS(ROW(I257)-1, Source!$E257)), Source!$C257), I256))</f>
        <v>VZB</v>
      </c>
    </row>
    <row r="258">
      <c r="A258" s="2" t="str">
        <f>IF(Source!$E258=COLUMNS($A258:A258), LEFT(A257, LEN(A257)-Source!$C258), IF(Source!$G258=COLUMNS($A258:A258), A257&amp;RIGHT(INDIRECT(ADDRESS(ROW(A258)-1, Source!$E258)), Source!$C258), A257))</f>
        <v/>
      </c>
      <c r="B258" s="2" t="str">
        <f>IF(Source!$E258=COLUMNS($A258:B258), LEFT(B257, LEN(B257)-Source!$C258), IF(Source!$G258=COLUMNS($A258:B258), B257&amp;RIGHT(INDIRECT(ADDRESS(ROW(B258)-1, Source!$E258)), Source!$C258), B257))</f>
        <v>QS</v>
      </c>
      <c r="C258" s="2" t="str">
        <f>IF(Source!$E258=COLUMNS($A258:C258), LEFT(C257, LEN(C257)-Source!$C258), IF(Source!$G258=COLUMNS($A258:C258), C257&amp;RIGHT(INDIRECT(ADDRESS(ROW(C258)-1, Source!$E258)), Source!$C258), C257))</f>
        <v>SPVJMLWRJTLBTJFLDGTRTBZHRPDCW</v>
      </c>
      <c r="D258" s="2" t="str">
        <f>IF(Source!$E258=COLUMNS($A258:D258), LEFT(D257, LEN(D257)-Source!$C258), IF(Source!$G258=COLUMNS($A258:D258), D257&amp;RIGHT(INDIRECT(ADDRESS(ROW(D258)-1, Source!$E258)), Source!$C258), D257))</f>
        <v>ZQ</v>
      </c>
      <c r="E258" s="2" t="str">
        <f>IF(Source!$E258=COLUMNS($A258:E258), LEFT(E257, LEN(E257)-Source!$C258), IF(Source!$G258=COLUMNS($A258:E258), E257&amp;RIGHT(INDIRECT(ADDRESS(ROW(E258)-1, Source!$E258)), Source!$C258), E257))</f>
        <v>R</v>
      </c>
      <c r="F258" s="2" t="str">
        <f>IF(Source!$E258=COLUMNS($A258:F258), LEFT(F257, LEN(F257)-Source!$C258), IF(Source!$G258=COLUMNS($A258:F258), F257&amp;RIGHT(INDIRECT(ADDRESS(ROW(F258)-1, Source!$E258)), Source!$C258), F257))</f>
        <v>B</v>
      </c>
      <c r="G258" s="2" t="str">
        <f>IF(Source!$E258=COLUMNS($A258:G258), LEFT(G257, LEN(G257)-Source!$C258), IF(Source!$G258=COLUMNS($A258:G258), G257&amp;RIGHT(INDIRECT(ADDRESS(ROW(G258)-1, Source!$E258)), Source!$C258), G257))</f>
        <v>SCDFTVCGTRMDDHSDPM</v>
      </c>
      <c r="H258" s="2" t="str">
        <f>IF(Source!$E258=COLUMNS($A258:H258), LEFT(H257, LEN(H257)-Source!$C258), IF(Source!$G258=COLUMNS($A258:H258), H257&amp;RIGHT(INDIRECT(ADDRESS(ROW(H258)-1, Source!$E258)), Source!$C258), H257))</f>
        <v/>
      </c>
      <c r="I258" s="2" t="str">
        <f>IF(Source!$E258=COLUMNS($A258:I258), LEFT(I257, LEN(I257)-Source!$C258), IF(Source!$G258=COLUMNS($A258:I258), I257&amp;RIGHT(INDIRECT(ADDRESS(ROW(I258)-1, Source!$E258)), Source!$C258), I257))</f>
        <v>VZB</v>
      </c>
    </row>
    <row r="259">
      <c r="A259" s="2" t="str">
        <f>IF(Source!$E259=COLUMNS($A259:A259), LEFT(A258, LEN(A258)-Source!$C259), IF(Source!$G259=COLUMNS($A259:A259), A258&amp;RIGHT(INDIRECT(ADDRESS(ROW(A259)-1, Source!$E259)), Source!$C259), A258))</f>
        <v>MLWRJTLBTJFLDGTRTBZHRPDCW</v>
      </c>
      <c r="B259" s="2" t="str">
        <f>IF(Source!$E259=COLUMNS($A259:B259), LEFT(B258, LEN(B258)-Source!$C259), IF(Source!$G259=COLUMNS($A259:B259), B258&amp;RIGHT(INDIRECT(ADDRESS(ROW(B259)-1, Source!$E259)), Source!$C259), B258))</f>
        <v>QS</v>
      </c>
      <c r="C259" s="2" t="str">
        <f>IF(Source!$E259=COLUMNS($A259:C259), LEFT(C258, LEN(C258)-Source!$C259), IF(Source!$G259=COLUMNS($A259:C259), C258&amp;RIGHT(INDIRECT(ADDRESS(ROW(C259)-1, Source!$E259)), Source!$C259), C258))</f>
        <v>SPVJ</v>
      </c>
      <c r="D259" s="2" t="str">
        <f>IF(Source!$E259=COLUMNS($A259:D259), LEFT(D258, LEN(D258)-Source!$C259), IF(Source!$G259=COLUMNS($A259:D259), D258&amp;RIGHT(INDIRECT(ADDRESS(ROW(D259)-1, Source!$E259)), Source!$C259), D258))</f>
        <v>ZQ</v>
      </c>
      <c r="E259" s="2" t="str">
        <f>IF(Source!$E259=COLUMNS($A259:E259), LEFT(E258, LEN(E258)-Source!$C259), IF(Source!$G259=COLUMNS($A259:E259), E258&amp;RIGHT(INDIRECT(ADDRESS(ROW(E259)-1, Source!$E259)), Source!$C259), E258))</f>
        <v>R</v>
      </c>
      <c r="F259" s="2" t="str">
        <f>IF(Source!$E259=COLUMNS($A259:F259), LEFT(F258, LEN(F258)-Source!$C259), IF(Source!$G259=COLUMNS($A259:F259), F258&amp;RIGHT(INDIRECT(ADDRESS(ROW(F259)-1, Source!$E259)), Source!$C259), F258))</f>
        <v>B</v>
      </c>
      <c r="G259" s="2" t="str">
        <f>IF(Source!$E259=COLUMNS($A259:G259), LEFT(G258, LEN(G258)-Source!$C259), IF(Source!$G259=COLUMNS($A259:G259), G258&amp;RIGHT(INDIRECT(ADDRESS(ROW(G259)-1, Source!$E259)), Source!$C259), G258))</f>
        <v>SCDFTVCGTRMDDHSDPM</v>
      </c>
      <c r="H259" s="2" t="str">
        <f>IF(Source!$E259=COLUMNS($A259:H259), LEFT(H258, LEN(H258)-Source!$C259), IF(Source!$G259=COLUMNS($A259:H259), H258&amp;RIGHT(INDIRECT(ADDRESS(ROW(H259)-1, Source!$E259)), Source!$C259), H258))</f>
        <v/>
      </c>
      <c r="I259" s="2" t="str">
        <f>IF(Source!$E259=COLUMNS($A259:I259), LEFT(I258, LEN(I258)-Source!$C259), IF(Source!$G259=COLUMNS($A259:I259), I258&amp;RIGHT(INDIRECT(ADDRESS(ROW(I259)-1, Source!$E259)), Source!$C259), I258))</f>
        <v>VZB</v>
      </c>
    </row>
    <row r="260">
      <c r="A260" s="2" t="str">
        <f>IF(Source!$E260=COLUMNS($A260:A260), LEFT(A259, LEN(A259)-Source!$C260), IF(Source!$G260=COLUMNS($A260:A260), A259&amp;RIGHT(INDIRECT(ADDRESS(ROW(A260)-1, Source!$E260)), Source!$C260), A259))</f>
        <v>MLWRJTLBTJFLDGTRTBZHRPDCW</v>
      </c>
      <c r="B260" s="2" t="str">
        <f>IF(Source!$E260=COLUMNS($A260:B260), LEFT(B259, LEN(B259)-Source!$C260), IF(Source!$G260=COLUMNS($A260:B260), B259&amp;RIGHT(INDIRECT(ADDRESS(ROW(B260)-1, Source!$E260)), Source!$C260), B259))</f>
        <v>QSQ</v>
      </c>
      <c r="C260" s="2" t="str">
        <f>IF(Source!$E260=COLUMNS($A260:C260), LEFT(C259, LEN(C259)-Source!$C260), IF(Source!$G260=COLUMNS($A260:C260), C259&amp;RIGHT(INDIRECT(ADDRESS(ROW(C260)-1, Source!$E260)), Source!$C260), C259))</f>
        <v>SPVJ</v>
      </c>
      <c r="D260" s="2" t="str">
        <f>IF(Source!$E260=COLUMNS($A260:D260), LEFT(D259, LEN(D259)-Source!$C260), IF(Source!$G260=COLUMNS($A260:D260), D259&amp;RIGHT(INDIRECT(ADDRESS(ROW(D260)-1, Source!$E260)), Source!$C260), D259))</f>
        <v>Z</v>
      </c>
      <c r="E260" s="2" t="str">
        <f>IF(Source!$E260=COLUMNS($A260:E260), LEFT(E259, LEN(E259)-Source!$C260), IF(Source!$G260=COLUMNS($A260:E260), E259&amp;RIGHT(INDIRECT(ADDRESS(ROW(E260)-1, Source!$E260)), Source!$C260), E259))</f>
        <v>R</v>
      </c>
      <c r="F260" s="2" t="str">
        <f>IF(Source!$E260=COLUMNS($A260:F260), LEFT(F259, LEN(F259)-Source!$C260), IF(Source!$G260=COLUMNS($A260:F260), F259&amp;RIGHT(INDIRECT(ADDRESS(ROW(F260)-1, Source!$E260)), Source!$C260), F259))</f>
        <v>B</v>
      </c>
      <c r="G260" s="2" t="str">
        <f>IF(Source!$E260=COLUMNS($A260:G260), LEFT(G259, LEN(G259)-Source!$C260), IF(Source!$G260=COLUMNS($A260:G260), G259&amp;RIGHT(INDIRECT(ADDRESS(ROW(G260)-1, Source!$E260)), Source!$C260), G259))</f>
        <v>SCDFTVCGTRMDDHSDPM</v>
      </c>
      <c r="H260" s="2" t="str">
        <f>IF(Source!$E260=COLUMNS($A260:H260), LEFT(H259, LEN(H259)-Source!$C260), IF(Source!$G260=COLUMNS($A260:H260), H259&amp;RIGHT(INDIRECT(ADDRESS(ROW(H260)-1, Source!$E260)), Source!$C260), H259))</f>
        <v/>
      </c>
      <c r="I260" s="2" t="str">
        <f>IF(Source!$E260=COLUMNS($A260:I260), LEFT(I259, LEN(I259)-Source!$C260), IF(Source!$G260=COLUMNS($A260:I260), I259&amp;RIGHT(INDIRECT(ADDRESS(ROW(I260)-1, Source!$E260)), Source!$C260), I259))</f>
        <v>VZB</v>
      </c>
    </row>
    <row r="261">
      <c r="A261" s="2" t="str">
        <f>IF(Source!$E261=COLUMNS($A261:A261), LEFT(A260, LEN(A260)-Source!$C261), IF(Source!$G261=COLUMNS($A261:A261), A260&amp;RIGHT(INDIRECT(ADDRESS(ROW(A261)-1, Source!$E261)), Source!$C261), A260))</f>
        <v>MLWRJTLBTJFLDGTRTBZHRPDCW</v>
      </c>
      <c r="B261" s="2" t="str">
        <f>IF(Source!$E261=COLUMNS($A261:B261), LEFT(B260, LEN(B260)-Source!$C261), IF(Source!$G261=COLUMNS($A261:B261), B260&amp;RIGHT(INDIRECT(ADDRESS(ROW(B261)-1, Source!$E261)), Source!$C261), B260))</f>
        <v>QSQ</v>
      </c>
      <c r="C261" s="2" t="str">
        <f>IF(Source!$E261=COLUMNS($A261:C261), LEFT(C260, LEN(C260)-Source!$C261), IF(Source!$G261=COLUMNS($A261:C261), C260&amp;RIGHT(INDIRECT(ADDRESS(ROW(C261)-1, Source!$E261)), Source!$C261), C260))</f>
        <v>SP</v>
      </c>
      <c r="D261" s="2" t="str">
        <f>IF(Source!$E261=COLUMNS($A261:D261), LEFT(D260, LEN(D260)-Source!$C261), IF(Source!$G261=COLUMNS($A261:D261), D260&amp;RIGHT(INDIRECT(ADDRESS(ROW(D261)-1, Source!$E261)), Source!$C261), D260))</f>
        <v>Z</v>
      </c>
      <c r="E261" s="2" t="str">
        <f>IF(Source!$E261=COLUMNS($A261:E261), LEFT(E260, LEN(E260)-Source!$C261), IF(Source!$G261=COLUMNS($A261:E261), E260&amp;RIGHT(INDIRECT(ADDRESS(ROW(E261)-1, Source!$E261)), Source!$C261), E260))</f>
        <v>R</v>
      </c>
      <c r="F261" s="2" t="str">
        <f>IF(Source!$E261=COLUMNS($A261:F261), LEFT(F260, LEN(F260)-Source!$C261), IF(Source!$G261=COLUMNS($A261:F261), F260&amp;RIGHT(INDIRECT(ADDRESS(ROW(F261)-1, Source!$E261)), Source!$C261), F260))</f>
        <v>BVJ</v>
      </c>
      <c r="G261" s="2" t="str">
        <f>IF(Source!$E261=COLUMNS($A261:G261), LEFT(G260, LEN(G260)-Source!$C261), IF(Source!$G261=COLUMNS($A261:G261), G260&amp;RIGHT(INDIRECT(ADDRESS(ROW(G261)-1, Source!$E261)), Source!$C261), G260))</f>
        <v>SCDFTVCGTRMDDHSDPM</v>
      </c>
      <c r="H261" s="2" t="str">
        <f>IF(Source!$E261=COLUMNS($A261:H261), LEFT(H260, LEN(H260)-Source!$C261), IF(Source!$G261=COLUMNS($A261:H261), H260&amp;RIGHT(INDIRECT(ADDRESS(ROW(H261)-1, Source!$E261)), Source!$C261), H260))</f>
        <v/>
      </c>
      <c r="I261" s="2" t="str">
        <f>IF(Source!$E261=COLUMNS($A261:I261), LEFT(I260, LEN(I260)-Source!$C261), IF(Source!$G261=COLUMNS($A261:I261), I260&amp;RIGHT(INDIRECT(ADDRESS(ROW(I261)-1, Source!$E261)), Source!$C261), I260))</f>
        <v>VZB</v>
      </c>
    </row>
    <row r="262">
      <c r="A262" s="2" t="str">
        <f>IF(Source!$E262=COLUMNS($A262:A262), LEFT(A261, LEN(A261)-Source!$C262), IF(Source!$G262=COLUMNS($A262:A262), A261&amp;RIGHT(INDIRECT(ADDRESS(ROW(A262)-1, Source!$E262)), Source!$C262), A261))</f>
        <v>MLWRJTLBTJFLDGTRTBZHRP</v>
      </c>
      <c r="B262" s="2" t="str">
        <f>IF(Source!$E262=COLUMNS($A262:B262), LEFT(B261, LEN(B261)-Source!$C262), IF(Source!$G262=COLUMNS($A262:B262), B261&amp;RIGHT(INDIRECT(ADDRESS(ROW(B262)-1, Source!$E262)), Source!$C262), B261))</f>
        <v>QSQ</v>
      </c>
      <c r="C262" s="2" t="str">
        <f>IF(Source!$E262=COLUMNS($A262:C262), LEFT(C261, LEN(C261)-Source!$C262), IF(Source!$G262=COLUMNS($A262:C262), C261&amp;RIGHT(INDIRECT(ADDRESS(ROW(C262)-1, Source!$E262)), Source!$C262), C261))</f>
        <v>SP</v>
      </c>
      <c r="D262" s="2" t="str">
        <f>IF(Source!$E262=COLUMNS($A262:D262), LEFT(D261, LEN(D261)-Source!$C262), IF(Source!$G262=COLUMNS($A262:D262), D261&amp;RIGHT(INDIRECT(ADDRESS(ROW(D262)-1, Source!$E262)), Source!$C262), D261))</f>
        <v>Z</v>
      </c>
      <c r="E262" s="2" t="str">
        <f>IF(Source!$E262=COLUMNS($A262:E262), LEFT(E261, LEN(E261)-Source!$C262), IF(Source!$G262=COLUMNS($A262:E262), E261&amp;RIGHT(INDIRECT(ADDRESS(ROW(E262)-1, Source!$E262)), Source!$C262), E261))</f>
        <v>R</v>
      </c>
      <c r="F262" s="2" t="str">
        <f>IF(Source!$E262=COLUMNS($A262:F262), LEFT(F261, LEN(F261)-Source!$C262), IF(Source!$G262=COLUMNS($A262:F262), F261&amp;RIGHT(INDIRECT(ADDRESS(ROW(F262)-1, Source!$E262)), Source!$C262), F261))</f>
        <v>BVJ</v>
      </c>
      <c r="G262" s="2" t="str">
        <f>IF(Source!$E262=COLUMNS($A262:G262), LEFT(G261, LEN(G261)-Source!$C262), IF(Source!$G262=COLUMNS($A262:G262), G261&amp;RIGHT(INDIRECT(ADDRESS(ROW(G262)-1, Source!$E262)), Source!$C262), G261))</f>
        <v>SCDFTVCGTRMDDHSDPM</v>
      </c>
      <c r="H262" s="2" t="str">
        <f>IF(Source!$E262=COLUMNS($A262:H262), LEFT(H261, LEN(H261)-Source!$C262), IF(Source!$G262=COLUMNS($A262:H262), H261&amp;RIGHT(INDIRECT(ADDRESS(ROW(H262)-1, Source!$E262)), Source!$C262), H261))</f>
        <v/>
      </c>
      <c r="I262" s="2" t="str">
        <f>IF(Source!$E262=COLUMNS($A262:I262), LEFT(I261, LEN(I261)-Source!$C262), IF(Source!$G262=COLUMNS($A262:I262), I261&amp;RIGHT(INDIRECT(ADDRESS(ROW(I262)-1, Source!$E262)), Source!$C262), I261))</f>
        <v>VZBDCW</v>
      </c>
    </row>
    <row r="263">
      <c r="A263" s="2" t="str">
        <f>IF(Source!$E263=COLUMNS($A263:A263), LEFT(A262, LEN(A262)-Source!$C263), IF(Source!$G263=COLUMNS($A263:A263), A262&amp;RIGHT(INDIRECT(ADDRESS(ROW(A263)-1, Source!$E263)), Source!$C263), A262))</f>
        <v>MLWRJTLBTJFLDGTRTBZHRP</v>
      </c>
      <c r="B263" s="2" t="str">
        <f>IF(Source!$E263=COLUMNS($A263:B263), LEFT(B262, LEN(B262)-Source!$C263), IF(Source!$G263=COLUMNS($A263:B263), B262&amp;RIGHT(INDIRECT(ADDRESS(ROW(B263)-1, Source!$E263)), Source!$C263), B262))</f>
        <v>QSQ</v>
      </c>
      <c r="C263" s="2" t="str">
        <f>IF(Source!$E263=COLUMNS($A263:C263), LEFT(C262, LEN(C262)-Source!$C263), IF(Source!$G263=COLUMNS($A263:C263), C262&amp;RIGHT(INDIRECT(ADDRESS(ROW(C263)-1, Source!$E263)), Source!$C263), C262))</f>
        <v>SP</v>
      </c>
      <c r="D263" s="2" t="str">
        <f>IF(Source!$E263=COLUMNS($A263:D263), LEFT(D262, LEN(D262)-Source!$C263), IF(Source!$G263=COLUMNS($A263:D263), D262&amp;RIGHT(INDIRECT(ADDRESS(ROW(D263)-1, Source!$E263)), Source!$C263), D262))</f>
        <v>Z</v>
      </c>
      <c r="E263" s="2" t="str">
        <f>IF(Source!$E263=COLUMNS($A263:E263), LEFT(E262, LEN(E262)-Source!$C263), IF(Source!$G263=COLUMNS($A263:E263), E262&amp;RIGHT(INDIRECT(ADDRESS(ROW(E263)-1, Source!$E263)), Source!$C263), E262))</f>
        <v>R</v>
      </c>
      <c r="F263" s="2" t="str">
        <f>IF(Source!$E263=COLUMNS($A263:F263), LEFT(F262, LEN(F262)-Source!$C263), IF(Source!$G263=COLUMNS($A263:F263), F262&amp;RIGHT(INDIRECT(ADDRESS(ROW(F263)-1, Source!$E263)), Source!$C263), F262))</f>
        <v>BVJ</v>
      </c>
      <c r="G263" s="2" t="str">
        <f>IF(Source!$E263=COLUMNS($A263:G263), LEFT(G262, LEN(G262)-Source!$C263), IF(Source!$G263=COLUMNS($A263:G263), G262&amp;RIGHT(INDIRECT(ADDRESS(ROW(G263)-1, Source!$E263)), Source!$C263), G262))</f>
        <v>SCDFTVCGTRMDDHSDPM</v>
      </c>
      <c r="H263" s="2" t="str">
        <f>IF(Source!$E263=COLUMNS($A263:H263), LEFT(H262, LEN(H262)-Source!$C263), IF(Source!$G263=COLUMNS($A263:H263), H262&amp;RIGHT(INDIRECT(ADDRESS(ROW(H263)-1, Source!$E263)), Source!$C263), H262))</f>
        <v>VZBDCW</v>
      </c>
      <c r="I263" s="2" t="str">
        <f>IF(Source!$E263=COLUMNS($A263:I263), LEFT(I262, LEN(I262)-Source!$C263), IF(Source!$G263=COLUMNS($A263:I263), I262&amp;RIGHT(INDIRECT(ADDRESS(ROW(I263)-1, Source!$E263)), Source!$C263), I262))</f>
        <v/>
      </c>
    </row>
    <row r="264">
      <c r="A264" s="2" t="str">
        <f>IF(Source!$E264=COLUMNS($A264:A264), LEFT(A263, LEN(A263)-Source!$C264), IF(Source!$G264=COLUMNS($A264:A264), A263&amp;RIGHT(INDIRECT(ADDRESS(ROW(A264)-1, Source!$E264)), Source!$C264), A263))</f>
        <v>MLWRJTLBTJFLDGTRTBZHRP</v>
      </c>
      <c r="B264" s="2" t="str">
        <f>IF(Source!$E264=COLUMNS($A264:B264), LEFT(B263, LEN(B263)-Source!$C264), IF(Source!$G264=COLUMNS($A264:B264), B263&amp;RIGHT(INDIRECT(ADDRESS(ROW(B264)-1, Source!$E264)), Source!$C264), B263))</f>
        <v>QSQ</v>
      </c>
      <c r="C264" s="2" t="str">
        <f>IF(Source!$E264=COLUMNS($A264:C264), LEFT(C263, LEN(C263)-Source!$C264), IF(Source!$G264=COLUMNS($A264:C264), C263&amp;RIGHT(INDIRECT(ADDRESS(ROW(C264)-1, Source!$E264)), Source!$C264), C263))</f>
        <v>SPJ</v>
      </c>
      <c r="D264" s="2" t="str">
        <f>IF(Source!$E264=COLUMNS($A264:D264), LEFT(D263, LEN(D263)-Source!$C264), IF(Source!$G264=COLUMNS($A264:D264), D263&amp;RIGHT(INDIRECT(ADDRESS(ROW(D264)-1, Source!$E264)), Source!$C264), D263))</f>
        <v>Z</v>
      </c>
      <c r="E264" s="2" t="str">
        <f>IF(Source!$E264=COLUMNS($A264:E264), LEFT(E263, LEN(E263)-Source!$C264), IF(Source!$G264=COLUMNS($A264:E264), E263&amp;RIGHT(INDIRECT(ADDRESS(ROW(E264)-1, Source!$E264)), Source!$C264), E263))</f>
        <v>R</v>
      </c>
      <c r="F264" s="2" t="str">
        <f>IF(Source!$E264=COLUMNS($A264:F264), LEFT(F263, LEN(F263)-Source!$C264), IF(Source!$G264=COLUMNS($A264:F264), F263&amp;RIGHT(INDIRECT(ADDRESS(ROW(F264)-1, Source!$E264)), Source!$C264), F263))</f>
        <v>BV</v>
      </c>
      <c r="G264" s="2" t="str">
        <f>IF(Source!$E264=COLUMNS($A264:G264), LEFT(G263, LEN(G263)-Source!$C264), IF(Source!$G264=COLUMNS($A264:G264), G263&amp;RIGHT(INDIRECT(ADDRESS(ROW(G264)-1, Source!$E264)), Source!$C264), G263))</f>
        <v>SCDFTVCGTRMDDHSDPM</v>
      </c>
      <c r="H264" s="2" t="str">
        <f>IF(Source!$E264=COLUMNS($A264:H264), LEFT(H263, LEN(H263)-Source!$C264), IF(Source!$G264=COLUMNS($A264:H264), H263&amp;RIGHT(INDIRECT(ADDRESS(ROW(H264)-1, Source!$E264)), Source!$C264), H263))</f>
        <v>VZBDCW</v>
      </c>
      <c r="I264" s="2" t="str">
        <f>IF(Source!$E264=COLUMNS($A264:I264), LEFT(I263, LEN(I263)-Source!$C264), IF(Source!$G264=COLUMNS($A264:I264), I263&amp;RIGHT(INDIRECT(ADDRESS(ROW(I264)-1, Source!$E264)), Source!$C264), I263))</f>
        <v/>
      </c>
    </row>
    <row r="265">
      <c r="A265" s="2" t="str">
        <f>IF(Source!$E265=COLUMNS($A265:A265), LEFT(A264, LEN(A264)-Source!$C265), IF(Source!$G265=COLUMNS($A265:A265), A264&amp;RIGHT(INDIRECT(ADDRESS(ROW(A265)-1, Source!$E265)), Source!$C265), A264))</f>
        <v>MLWRJTLBTJFLDGTRTBZHRP</v>
      </c>
      <c r="B265" s="2" t="str">
        <f>IF(Source!$E265=COLUMNS($A265:B265), LEFT(B264, LEN(B264)-Source!$C265), IF(Source!$G265=COLUMNS($A265:B265), B264&amp;RIGHT(INDIRECT(ADDRESS(ROW(B265)-1, Source!$E265)), Source!$C265), B264))</f>
        <v>QS</v>
      </c>
      <c r="C265" s="2" t="str">
        <f>IF(Source!$E265=COLUMNS($A265:C265), LEFT(C264, LEN(C264)-Source!$C265), IF(Source!$G265=COLUMNS($A265:C265), C264&amp;RIGHT(INDIRECT(ADDRESS(ROW(C265)-1, Source!$E265)), Source!$C265), C264))</f>
        <v>SPJ</v>
      </c>
      <c r="D265" s="2" t="str">
        <f>IF(Source!$E265=COLUMNS($A265:D265), LEFT(D264, LEN(D264)-Source!$C265), IF(Source!$G265=COLUMNS($A265:D265), D264&amp;RIGHT(INDIRECT(ADDRESS(ROW(D265)-1, Source!$E265)), Source!$C265), D264))</f>
        <v>Z</v>
      </c>
      <c r="E265" s="2" t="str">
        <f>IF(Source!$E265=COLUMNS($A265:E265), LEFT(E264, LEN(E264)-Source!$C265), IF(Source!$G265=COLUMNS($A265:E265), E264&amp;RIGHT(INDIRECT(ADDRESS(ROW(E265)-1, Source!$E265)), Source!$C265), E264))</f>
        <v>R</v>
      </c>
      <c r="F265" s="2" t="str">
        <f>IF(Source!$E265=COLUMNS($A265:F265), LEFT(F264, LEN(F264)-Source!$C265), IF(Source!$G265=COLUMNS($A265:F265), F264&amp;RIGHT(INDIRECT(ADDRESS(ROW(F265)-1, Source!$E265)), Source!$C265), F264))</f>
        <v>BV</v>
      </c>
      <c r="G265" s="2" t="str">
        <f>IF(Source!$E265=COLUMNS($A265:G265), LEFT(G264, LEN(G264)-Source!$C265), IF(Source!$G265=COLUMNS($A265:G265), G264&amp;RIGHT(INDIRECT(ADDRESS(ROW(G265)-1, Source!$E265)), Source!$C265), G264))</f>
        <v>SCDFTVCGTRMDDHSDPM</v>
      </c>
      <c r="H265" s="2" t="str">
        <f>IF(Source!$E265=COLUMNS($A265:H265), LEFT(H264, LEN(H264)-Source!$C265), IF(Source!$G265=COLUMNS($A265:H265), H264&amp;RIGHT(INDIRECT(ADDRESS(ROW(H265)-1, Source!$E265)), Source!$C265), H264))</f>
        <v>VZBDCW</v>
      </c>
      <c r="I265" s="2" t="str">
        <f>IF(Source!$E265=COLUMNS($A265:I265), LEFT(I264, LEN(I264)-Source!$C265), IF(Source!$G265=COLUMNS($A265:I265), I264&amp;RIGHT(INDIRECT(ADDRESS(ROW(I265)-1, Source!$E265)), Source!$C265), I264))</f>
        <v>Q</v>
      </c>
    </row>
    <row r="266">
      <c r="A266" s="2" t="str">
        <f>IF(Source!$E266=COLUMNS($A266:A266), LEFT(A265, LEN(A265)-Source!$C266), IF(Source!$G266=COLUMNS($A266:A266), A265&amp;RIGHT(INDIRECT(ADDRESS(ROW(A266)-1, Source!$E266)), Source!$C266), A265))</f>
        <v>MLWRJTLBTJFLDGTRTBZHRP</v>
      </c>
      <c r="B266" s="2" t="str">
        <f>IF(Source!$E266=COLUMNS($A266:B266), LEFT(B265, LEN(B265)-Source!$C266), IF(Source!$G266=COLUMNS($A266:B266), B265&amp;RIGHT(INDIRECT(ADDRESS(ROW(B266)-1, Source!$E266)), Source!$C266), B265))</f>
        <v>QS</v>
      </c>
      <c r="C266" s="2" t="str">
        <f>IF(Source!$E266=COLUMNS($A266:C266), LEFT(C265, LEN(C265)-Source!$C266), IF(Source!$G266=COLUMNS($A266:C266), C265&amp;RIGHT(INDIRECT(ADDRESS(ROW(C266)-1, Source!$E266)), Source!$C266), C265))</f>
        <v>SPJ</v>
      </c>
      <c r="D266" s="2" t="str">
        <f>IF(Source!$E266=COLUMNS($A266:D266), LEFT(D265, LEN(D265)-Source!$C266), IF(Source!$G266=COLUMNS($A266:D266), D265&amp;RIGHT(INDIRECT(ADDRESS(ROW(D266)-1, Source!$E266)), Source!$C266), D265))</f>
        <v>Z</v>
      </c>
      <c r="E266" s="2" t="str">
        <f>IF(Source!$E266=COLUMNS($A266:E266), LEFT(E265, LEN(E265)-Source!$C266), IF(Source!$G266=COLUMNS($A266:E266), E265&amp;RIGHT(INDIRECT(ADDRESS(ROW(E266)-1, Source!$E266)), Source!$C266), E265))</f>
        <v>R</v>
      </c>
      <c r="F266" s="2" t="str">
        <f>IF(Source!$E266=COLUMNS($A266:F266), LEFT(F265, LEN(F265)-Source!$C266), IF(Source!$G266=COLUMNS($A266:F266), F265&amp;RIGHT(INDIRECT(ADDRESS(ROW(F266)-1, Source!$E266)), Source!$C266), F265))</f>
        <v>BVFTVCGTRMDDHSDPM</v>
      </c>
      <c r="G266" s="2" t="str">
        <f>IF(Source!$E266=COLUMNS($A266:G266), LEFT(G265, LEN(G265)-Source!$C266), IF(Source!$G266=COLUMNS($A266:G266), G265&amp;RIGHT(INDIRECT(ADDRESS(ROW(G266)-1, Source!$E266)), Source!$C266), G265))</f>
        <v>SCD</v>
      </c>
      <c r="H266" s="2" t="str">
        <f>IF(Source!$E266=COLUMNS($A266:H266), LEFT(H265, LEN(H265)-Source!$C266), IF(Source!$G266=COLUMNS($A266:H266), H265&amp;RIGHT(INDIRECT(ADDRESS(ROW(H266)-1, Source!$E266)), Source!$C266), H265))</f>
        <v>VZBDCW</v>
      </c>
      <c r="I266" s="2" t="str">
        <f>IF(Source!$E266=COLUMNS($A266:I266), LEFT(I265, LEN(I265)-Source!$C266), IF(Source!$G266=COLUMNS($A266:I266), I265&amp;RIGHT(INDIRECT(ADDRESS(ROW(I266)-1, Source!$E266)), Source!$C266), I265))</f>
        <v>Q</v>
      </c>
    </row>
    <row r="267">
      <c r="A267" s="2" t="str">
        <f>IF(Source!$E267=COLUMNS($A267:A267), LEFT(A266, LEN(A266)-Source!$C267), IF(Source!$G267=COLUMNS($A267:A267), A266&amp;RIGHT(INDIRECT(ADDRESS(ROW(A267)-1, Source!$E267)), Source!$C267), A266))</f>
        <v>MLWRJTLBTJFLDGTRTBZHRP</v>
      </c>
      <c r="B267" s="2" t="str">
        <f>IF(Source!$E267=COLUMNS($A267:B267), LEFT(B266, LEN(B266)-Source!$C267), IF(Source!$G267=COLUMNS($A267:B267), B266&amp;RIGHT(INDIRECT(ADDRESS(ROW(B267)-1, Source!$E267)), Source!$C267), B266))</f>
        <v/>
      </c>
      <c r="C267" s="2" t="str">
        <f>IF(Source!$E267=COLUMNS($A267:C267), LEFT(C266, LEN(C266)-Source!$C267), IF(Source!$G267=COLUMNS($A267:C267), C266&amp;RIGHT(INDIRECT(ADDRESS(ROW(C267)-1, Source!$E267)), Source!$C267), C266))</f>
        <v>SPJ</v>
      </c>
      <c r="D267" s="2" t="str">
        <f>IF(Source!$E267=COLUMNS($A267:D267), LEFT(D266, LEN(D266)-Source!$C267), IF(Source!$G267=COLUMNS($A267:D267), D266&amp;RIGHT(INDIRECT(ADDRESS(ROW(D267)-1, Source!$E267)), Source!$C267), D266))</f>
        <v>Z</v>
      </c>
      <c r="E267" s="2" t="str">
        <f>IF(Source!$E267=COLUMNS($A267:E267), LEFT(E266, LEN(E266)-Source!$C267), IF(Source!$G267=COLUMNS($A267:E267), E266&amp;RIGHT(INDIRECT(ADDRESS(ROW(E267)-1, Source!$E267)), Source!$C267), E266))</f>
        <v>R</v>
      </c>
      <c r="F267" s="2" t="str">
        <f>IF(Source!$E267=COLUMNS($A267:F267), LEFT(F266, LEN(F266)-Source!$C267), IF(Source!$G267=COLUMNS($A267:F267), F266&amp;RIGHT(INDIRECT(ADDRESS(ROW(F267)-1, Source!$E267)), Source!$C267), F266))</f>
        <v>BVFTVCGTRMDDHSDPMQS</v>
      </c>
      <c r="G267" s="2" t="str">
        <f>IF(Source!$E267=COLUMNS($A267:G267), LEFT(G266, LEN(G266)-Source!$C267), IF(Source!$G267=COLUMNS($A267:G267), G266&amp;RIGHT(INDIRECT(ADDRESS(ROW(G267)-1, Source!$E267)), Source!$C267), G266))</f>
        <v>SCD</v>
      </c>
      <c r="H267" s="2" t="str">
        <f>IF(Source!$E267=COLUMNS($A267:H267), LEFT(H266, LEN(H266)-Source!$C267), IF(Source!$G267=COLUMNS($A267:H267), H266&amp;RIGHT(INDIRECT(ADDRESS(ROW(H267)-1, Source!$E267)), Source!$C267), H266))</f>
        <v>VZBDCW</v>
      </c>
      <c r="I267" s="2" t="str">
        <f>IF(Source!$E267=COLUMNS($A267:I267), LEFT(I266, LEN(I266)-Source!$C267), IF(Source!$G267=COLUMNS($A267:I267), I266&amp;RIGHT(INDIRECT(ADDRESS(ROW(I267)-1, Source!$E267)), Source!$C267), I266))</f>
        <v>Q</v>
      </c>
    </row>
    <row r="268">
      <c r="A268" s="2" t="str">
        <f>IF(Source!$E268=COLUMNS($A268:A268), LEFT(A267, LEN(A267)-Source!$C268), IF(Source!$G268=COLUMNS($A268:A268), A267&amp;RIGHT(INDIRECT(ADDRESS(ROW(A268)-1, Source!$E268)), Source!$C268), A267))</f>
        <v>MLWRJTLBTJFLDGTRTBZHRP</v>
      </c>
      <c r="B268" s="2" t="str">
        <f>IF(Source!$E268=COLUMNS($A268:B268), LEFT(B267, LEN(B267)-Source!$C268), IF(Source!$G268=COLUMNS($A268:B268), B267&amp;RIGHT(INDIRECT(ADDRESS(ROW(B268)-1, Source!$E268)), Source!$C268), B267))</f>
        <v/>
      </c>
      <c r="C268" s="2" t="str">
        <f>IF(Source!$E268=COLUMNS($A268:C268), LEFT(C267, LEN(C267)-Source!$C268), IF(Source!$G268=COLUMNS($A268:C268), C267&amp;RIGHT(INDIRECT(ADDRESS(ROW(C268)-1, Source!$E268)), Source!$C268), C267))</f>
        <v>SP</v>
      </c>
      <c r="D268" s="2" t="str">
        <f>IF(Source!$E268=COLUMNS($A268:D268), LEFT(D267, LEN(D267)-Source!$C268), IF(Source!$G268=COLUMNS($A268:D268), D267&amp;RIGHT(INDIRECT(ADDRESS(ROW(D268)-1, Source!$E268)), Source!$C268), D267))</f>
        <v>Z</v>
      </c>
      <c r="E268" s="2" t="str">
        <f>IF(Source!$E268=COLUMNS($A268:E268), LEFT(E267, LEN(E267)-Source!$C268), IF(Source!$G268=COLUMNS($A268:E268), E267&amp;RIGHT(INDIRECT(ADDRESS(ROW(E268)-1, Source!$E268)), Source!$C268), E267))</f>
        <v>R</v>
      </c>
      <c r="F268" s="2" t="str">
        <f>IF(Source!$E268=COLUMNS($A268:F268), LEFT(F267, LEN(F267)-Source!$C268), IF(Source!$G268=COLUMNS($A268:F268), F267&amp;RIGHT(INDIRECT(ADDRESS(ROW(F268)-1, Source!$E268)), Source!$C268), F267))</f>
        <v>BVFTVCGTRMDDHSDPMQS</v>
      </c>
      <c r="G268" s="2" t="str">
        <f>IF(Source!$E268=COLUMNS($A268:G268), LEFT(G267, LEN(G267)-Source!$C268), IF(Source!$G268=COLUMNS($A268:G268), G267&amp;RIGHT(INDIRECT(ADDRESS(ROW(G268)-1, Source!$E268)), Source!$C268), G267))</f>
        <v>SCD</v>
      </c>
      <c r="H268" s="2" t="str">
        <f>IF(Source!$E268=COLUMNS($A268:H268), LEFT(H267, LEN(H267)-Source!$C268), IF(Source!$G268=COLUMNS($A268:H268), H267&amp;RIGHT(INDIRECT(ADDRESS(ROW(H268)-1, Source!$E268)), Source!$C268), H267))</f>
        <v>VZBDCWJ</v>
      </c>
      <c r="I268" s="2" t="str">
        <f>IF(Source!$E268=COLUMNS($A268:I268), LEFT(I267, LEN(I267)-Source!$C268), IF(Source!$G268=COLUMNS($A268:I268), I267&amp;RIGHT(INDIRECT(ADDRESS(ROW(I268)-1, Source!$E268)), Source!$C268), I267))</f>
        <v>Q</v>
      </c>
    </row>
    <row r="269">
      <c r="A269" s="2" t="str">
        <f>IF(Source!$E269=COLUMNS($A269:A269), LEFT(A268, LEN(A268)-Source!$C269), IF(Source!$G269=COLUMNS($A269:A269), A268&amp;RIGHT(INDIRECT(ADDRESS(ROW(A269)-1, Source!$E269)), Source!$C269), A268))</f>
        <v>MLWRJTLBTJFLDGTRTBZHR</v>
      </c>
      <c r="B269" s="2" t="str">
        <f>IF(Source!$E269=COLUMNS($A269:B269), LEFT(B268, LEN(B268)-Source!$C269), IF(Source!$G269=COLUMNS($A269:B269), B268&amp;RIGHT(INDIRECT(ADDRESS(ROW(B269)-1, Source!$E269)), Source!$C269), B268))</f>
        <v/>
      </c>
      <c r="C269" s="2" t="str">
        <f>IF(Source!$E269=COLUMNS($A269:C269), LEFT(C268, LEN(C268)-Source!$C269), IF(Source!$G269=COLUMNS($A269:C269), C268&amp;RIGHT(INDIRECT(ADDRESS(ROW(C269)-1, Source!$E269)), Source!$C269), C268))</f>
        <v>SP</v>
      </c>
      <c r="D269" s="2" t="str">
        <f>IF(Source!$E269=COLUMNS($A269:D269), LEFT(D268, LEN(D268)-Source!$C269), IF(Source!$G269=COLUMNS($A269:D269), D268&amp;RIGHT(INDIRECT(ADDRESS(ROW(D269)-1, Source!$E269)), Source!$C269), D268))</f>
        <v>ZP</v>
      </c>
      <c r="E269" s="2" t="str">
        <f>IF(Source!$E269=COLUMNS($A269:E269), LEFT(E268, LEN(E268)-Source!$C269), IF(Source!$G269=COLUMNS($A269:E269), E268&amp;RIGHT(INDIRECT(ADDRESS(ROW(E269)-1, Source!$E269)), Source!$C269), E268))</f>
        <v>R</v>
      </c>
      <c r="F269" s="2" t="str">
        <f>IF(Source!$E269=COLUMNS($A269:F269), LEFT(F268, LEN(F268)-Source!$C269), IF(Source!$G269=COLUMNS($A269:F269), F268&amp;RIGHT(INDIRECT(ADDRESS(ROW(F269)-1, Source!$E269)), Source!$C269), F268))</f>
        <v>BVFTVCGTRMDDHSDPMQS</v>
      </c>
      <c r="G269" s="2" t="str">
        <f>IF(Source!$E269=COLUMNS($A269:G269), LEFT(G268, LEN(G268)-Source!$C269), IF(Source!$G269=COLUMNS($A269:G269), G268&amp;RIGHT(INDIRECT(ADDRESS(ROW(G269)-1, Source!$E269)), Source!$C269), G268))</f>
        <v>SCD</v>
      </c>
      <c r="H269" s="2" t="str">
        <f>IF(Source!$E269=COLUMNS($A269:H269), LEFT(H268, LEN(H268)-Source!$C269), IF(Source!$G269=COLUMNS($A269:H269), H268&amp;RIGHT(INDIRECT(ADDRESS(ROW(H269)-1, Source!$E269)), Source!$C269), H268))</f>
        <v>VZBDCWJ</v>
      </c>
      <c r="I269" s="2" t="str">
        <f>IF(Source!$E269=COLUMNS($A269:I269), LEFT(I268, LEN(I268)-Source!$C269), IF(Source!$G269=COLUMNS($A269:I269), I268&amp;RIGHT(INDIRECT(ADDRESS(ROW(I269)-1, Source!$E269)), Source!$C269), I268))</f>
        <v>Q</v>
      </c>
    </row>
    <row r="270">
      <c r="A270" s="2" t="str">
        <f>IF(Source!$E270=COLUMNS($A270:A270), LEFT(A269, LEN(A269)-Source!$C270), IF(Source!$G270=COLUMNS($A270:A270), A269&amp;RIGHT(INDIRECT(ADDRESS(ROW(A270)-1, Source!$E270)), Source!$C270), A269))</f>
        <v>MLWRJTLBTJFLDGTRTBZHR</v>
      </c>
      <c r="B270" s="2" t="str">
        <f>IF(Source!$E270=COLUMNS($A270:B270), LEFT(B269, LEN(B269)-Source!$C270), IF(Source!$G270=COLUMNS($A270:B270), B269&amp;RIGHT(INDIRECT(ADDRESS(ROW(B270)-1, Source!$E270)), Source!$C270), B269))</f>
        <v/>
      </c>
      <c r="C270" s="2" t="str">
        <f>IF(Source!$E270=COLUMNS($A270:C270), LEFT(C269, LEN(C269)-Source!$C270), IF(Source!$G270=COLUMNS($A270:C270), C269&amp;RIGHT(INDIRECT(ADDRESS(ROW(C270)-1, Source!$E270)), Source!$C270), C269))</f>
        <v>SP</v>
      </c>
      <c r="D270" s="2" t="str">
        <f>IF(Source!$E270=COLUMNS($A270:D270), LEFT(D269, LEN(D269)-Source!$C270), IF(Source!$G270=COLUMNS($A270:D270), D269&amp;RIGHT(INDIRECT(ADDRESS(ROW(D270)-1, Source!$E270)), Source!$C270), D269))</f>
        <v>ZPZBDCWJ</v>
      </c>
      <c r="E270" s="2" t="str">
        <f>IF(Source!$E270=COLUMNS($A270:E270), LEFT(E269, LEN(E269)-Source!$C270), IF(Source!$G270=COLUMNS($A270:E270), E269&amp;RIGHT(INDIRECT(ADDRESS(ROW(E270)-1, Source!$E270)), Source!$C270), E269))</f>
        <v>R</v>
      </c>
      <c r="F270" s="2" t="str">
        <f>IF(Source!$E270=COLUMNS($A270:F270), LEFT(F269, LEN(F269)-Source!$C270), IF(Source!$G270=COLUMNS($A270:F270), F269&amp;RIGHT(INDIRECT(ADDRESS(ROW(F270)-1, Source!$E270)), Source!$C270), F269))</f>
        <v>BVFTVCGTRMDDHSDPMQS</v>
      </c>
      <c r="G270" s="2" t="str">
        <f>IF(Source!$E270=COLUMNS($A270:G270), LEFT(G269, LEN(G269)-Source!$C270), IF(Source!$G270=COLUMNS($A270:G270), G269&amp;RIGHT(INDIRECT(ADDRESS(ROW(G270)-1, Source!$E270)), Source!$C270), G269))</f>
        <v>SCD</v>
      </c>
      <c r="H270" s="2" t="str">
        <f>IF(Source!$E270=COLUMNS($A270:H270), LEFT(H269, LEN(H269)-Source!$C270), IF(Source!$G270=COLUMNS($A270:H270), H269&amp;RIGHT(INDIRECT(ADDRESS(ROW(H270)-1, Source!$E270)), Source!$C270), H269))</f>
        <v>V</v>
      </c>
      <c r="I270" s="2" t="str">
        <f>IF(Source!$E270=COLUMNS($A270:I270), LEFT(I269, LEN(I269)-Source!$C270), IF(Source!$G270=COLUMNS($A270:I270), I269&amp;RIGHT(INDIRECT(ADDRESS(ROW(I270)-1, Source!$E270)), Source!$C270), I269))</f>
        <v>Q</v>
      </c>
    </row>
    <row r="271">
      <c r="A271" s="2" t="str">
        <f>IF(Source!$E271=COLUMNS($A271:A271), LEFT(A270, LEN(A270)-Source!$C271), IF(Source!$G271=COLUMNS($A271:A271), A270&amp;RIGHT(INDIRECT(ADDRESS(ROW(A271)-1, Source!$E271)), Source!$C271), A270))</f>
        <v>MLWRJTLBTJFLDGTRTBZHR</v>
      </c>
      <c r="B271" s="2" t="str">
        <f>IF(Source!$E271=COLUMNS($A271:B271), LEFT(B270, LEN(B270)-Source!$C271), IF(Source!$G271=COLUMNS($A271:B271), B270&amp;RIGHT(INDIRECT(ADDRESS(ROW(B271)-1, Source!$E271)), Source!$C271), B270))</f>
        <v/>
      </c>
      <c r="C271" s="2" t="str">
        <f>IF(Source!$E271=COLUMNS($A271:C271), LEFT(C270, LEN(C270)-Source!$C271), IF(Source!$G271=COLUMNS($A271:C271), C270&amp;RIGHT(INDIRECT(ADDRESS(ROW(C271)-1, Source!$E271)), Source!$C271), C270))</f>
        <v>S</v>
      </c>
      <c r="D271" s="2" t="str">
        <f>IF(Source!$E271=COLUMNS($A271:D271), LEFT(D270, LEN(D270)-Source!$C271), IF(Source!$G271=COLUMNS($A271:D271), D270&amp;RIGHT(INDIRECT(ADDRESS(ROW(D271)-1, Source!$E271)), Source!$C271), D270))</f>
        <v>ZPZBDCWJ</v>
      </c>
      <c r="E271" s="2" t="str">
        <f>IF(Source!$E271=COLUMNS($A271:E271), LEFT(E270, LEN(E270)-Source!$C271), IF(Source!$G271=COLUMNS($A271:E271), E270&amp;RIGHT(INDIRECT(ADDRESS(ROW(E271)-1, Source!$E271)), Source!$C271), E270))</f>
        <v>R</v>
      </c>
      <c r="F271" s="2" t="str">
        <f>IF(Source!$E271=COLUMNS($A271:F271), LEFT(F270, LEN(F270)-Source!$C271), IF(Source!$G271=COLUMNS($A271:F271), F270&amp;RIGHT(INDIRECT(ADDRESS(ROW(F271)-1, Source!$E271)), Source!$C271), F270))</f>
        <v>BVFTVCGTRMDDHSDPMQS</v>
      </c>
      <c r="G271" s="2" t="str">
        <f>IF(Source!$E271=COLUMNS($A271:G271), LEFT(G270, LEN(G270)-Source!$C271), IF(Source!$G271=COLUMNS($A271:G271), G270&amp;RIGHT(INDIRECT(ADDRESS(ROW(G271)-1, Source!$E271)), Source!$C271), G270))</f>
        <v>SCD</v>
      </c>
      <c r="H271" s="2" t="str">
        <f>IF(Source!$E271=COLUMNS($A271:H271), LEFT(H270, LEN(H270)-Source!$C271), IF(Source!$G271=COLUMNS($A271:H271), H270&amp;RIGHT(INDIRECT(ADDRESS(ROW(H271)-1, Source!$E271)), Source!$C271), H270))</f>
        <v>VP</v>
      </c>
      <c r="I271" s="2" t="str">
        <f>IF(Source!$E271=COLUMNS($A271:I271), LEFT(I270, LEN(I270)-Source!$C271), IF(Source!$G271=COLUMNS($A271:I271), I270&amp;RIGHT(INDIRECT(ADDRESS(ROW(I271)-1, Source!$E271)), Source!$C271), I270))</f>
        <v>Q</v>
      </c>
    </row>
    <row r="272">
      <c r="A272" s="2" t="str">
        <f>IF(Source!$E272=COLUMNS($A272:A272), LEFT(A271, LEN(A271)-Source!$C272), IF(Source!$G272=COLUMNS($A272:A272), A271&amp;RIGHT(INDIRECT(ADDRESS(ROW(A272)-1, Source!$E272)), Source!$C272), A271))</f>
        <v>MLWRJTLBTJFLDGTRTBZHR</v>
      </c>
      <c r="B272" s="2" t="str">
        <f>IF(Source!$E272=COLUMNS($A272:B272), LEFT(B271, LEN(B271)-Source!$C272), IF(Source!$G272=COLUMNS($A272:B272), B271&amp;RIGHT(INDIRECT(ADDRESS(ROW(B272)-1, Source!$E272)), Source!$C272), B271))</f>
        <v/>
      </c>
      <c r="C272" s="2" t="str">
        <f>IF(Source!$E272=COLUMNS($A272:C272), LEFT(C271, LEN(C271)-Source!$C272), IF(Source!$G272=COLUMNS($A272:C272), C271&amp;RIGHT(INDIRECT(ADDRESS(ROW(C272)-1, Source!$E272)), Source!$C272), C271))</f>
        <v>S</v>
      </c>
      <c r="D272" s="2" t="str">
        <f>IF(Source!$E272=COLUMNS($A272:D272), LEFT(D271, LEN(D271)-Source!$C272), IF(Source!$G272=COLUMNS($A272:D272), D271&amp;RIGHT(INDIRECT(ADDRESS(ROW(D272)-1, Source!$E272)), Source!$C272), D271))</f>
        <v>ZPZBDCWJ</v>
      </c>
      <c r="E272" s="2" t="str">
        <f>IF(Source!$E272=COLUMNS($A272:E272), LEFT(E271, LEN(E271)-Source!$C272), IF(Source!$G272=COLUMNS($A272:E272), E271&amp;RIGHT(INDIRECT(ADDRESS(ROW(E272)-1, Source!$E272)), Source!$C272), E271))</f>
        <v>RP</v>
      </c>
      <c r="F272" s="2" t="str">
        <f>IF(Source!$E272=COLUMNS($A272:F272), LEFT(F271, LEN(F271)-Source!$C272), IF(Source!$G272=COLUMNS($A272:F272), F271&amp;RIGHT(INDIRECT(ADDRESS(ROW(F272)-1, Source!$E272)), Source!$C272), F271))</f>
        <v>BVFTVCGTRMDDHSDPMQS</v>
      </c>
      <c r="G272" s="2" t="str">
        <f>IF(Source!$E272=COLUMNS($A272:G272), LEFT(G271, LEN(G271)-Source!$C272), IF(Source!$G272=COLUMNS($A272:G272), G271&amp;RIGHT(INDIRECT(ADDRESS(ROW(G272)-1, Source!$E272)), Source!$C272), G271))</f>
        <v>SCD</v>
      </c>
      <c r="H272" s="2" t="str">
        <f>IF(Source!$E272=COLUMNS($A272:H272), LEFT(H271, LEN(H271)-Source!$C272), IF(Source!$G272=COLUMNS($A272:H272), H271&amp;RIGHT(INDIRECT(ADDRESS(ROW(H272)-1, Source!$E272)), Source!$C272), H271))</f>
        <v>V</v>
      </c>
      <c r="I272" s="2" t="str">
        <f>IF(Source!$E272=COLUMNS($A272:I272), LEFT(I271, LEN(I271)-Source!$C272), IF(Source!$G272=COLUMNS($A272:I272), I271&amp;RIGHT(INDIRECT(ADDRESS(ROW(I272)-1, Source!$E272)), Source!$C272), I271))</f>
        <v>Q</v>
      </c>
    </row>
    <row r="273">
      <c r="A273" s="2" t="str">
        <f>IF(Source!$E273=COLUMNS($A273:A273), LEFT(A272, LEN(A272)-Source!$C273), IF(Source!$G273=COLUMNS($A273:A273), A272&amp;RIGHT(INDIRECT(ADDRESS(ROW(A273)-1, Source!$E273)), Source!$C273), A272))</f>
        <v>MLWRJTLBTJFLDGTRTBZHR</v>
      </c>
      <c r="B273" s="2" t="str">
        <f>IF(Source!$E273=COLUMNS($A273:B273), LEFT(B272, LEN(B272)-Source!$C273), IF(Source!$G273=COLUMNS($A273:B273), B272&amp;RIGHT(INDIRECT(ADDRESS(ROW(B273)-1, Source!$E273)), Source!$C273), B272))</f>
        <v>RP</v>
      </c>
      <c r="C273" s="2" t="str">
        <f>IF(Source!$E273=COLUMNS($A273:C273), LEFT(C272, LEN(C272)-Source!$C273), IF(Source!$G273=COLUMNS($A273:C273), C272&amp;RIGHT(INDIRECT(ADDRESS(ROW(C273)-1, Source!$E273)), Source!$C273), C272))</f>
        <v>S</v>
      </c>
      <c r="D273" s="2" t="str">
        <f>IF(Source!$E273=COLUMNS($A273:D273), LEFT(D272, LEN(D272)-Source!$C273), IF(Source!$G273=COLUMNS($A273:D273), D272&amp;RIGHT(INDIRECT(ADDRESS(ROW(D273)-1, Source!$E273)), Source!$C273), D272))</f>
        <v>ZPZBDCWJ</v>
      </c>
      <c r="E273" s="2" t="str">
        <f>IF(Source!$E273=COLUMNS($A273:E273), LEFT(E272, LEN(E272)-Source!$C273), IF(Source!$G273=COLUMNS($A273:E273), E272&amp;RIGHT(INDIRECT(ADDRESS(ROW(E273)-1, Source!$E273)), Source!$C273), E272))</f>
        <v/>
      </c>
      <c r="F273" s="2" t="str">
        <f>IF(Source!$E273=COLUMNS($A273:F273), LEFT(F272, LEN(F272)-Source!$C273), IF(Source!$G273=COLUMNS($A273:F273), F272&amp;RIGHT(INDIRECT(ADDRESS(ROW(F273)-1, Source!$E273)), Source!$C273), F272))</f>
        <v>BVFTVCGTRMDDHSDPMQS</v>
      </c>
      <c r="G273" s="2" t="str">
        <f>IF(Source!$E273=COLUMNS($A273:G273), LEFT(G272, LEN(G272)-Source!$C273), IF(Source!$G273=COLUMNS($A273:G273), G272&amp;RIGHT(INDIRECT(ADDRESS(ROW(G273)-1, Source!$E273)), Source!$C273), G272))</f>
        <v>SCD</v>
      </c>
      <c r="H273" s="2" t="str">
        <f>IF(Source!$E273=COLUMNS($A273:H273), LEFT(H272, LEN(H272)-Source!$C273), IF(Source!$G273=COLUMNS($A273:H273), H272&amp;RIGHT(INDIRECT(ADDRESS(ROW(H273)-1, Source!$E273)), Source!$C273), H272))</f>
        <v>V</v>
      </c>
      <c r="I273" s="2" t="str">
        <f>IF(Source!$E273=COLUMNS($A273:I273), LEFT(I272, LEN(I272)-Source!$C273), IF(Source!$G273=COLUMNS($A273:I273), I272&amp;RIGHT(INDIRECT(ADDRESS(ROW(I273)-1, Source!$E273)), Source!$C273), I272))</f>
        <v>Q</v>
      </c>
    </row>
    <row r="274">
      <c r="A274" s="2" t="str">
        <f>IF(Source!$E274=COLUMNS($A274:A274), LEFT(A273, LEN(A273)-Source!$C274), IF(Source!$G274=COLUMNS($A274:A274), A273&amp;RIGHT(INDIRECT(ADDRESS(ROW(A274)-1, Source!$E274)), Source!$C274), A273))</f>
        <v>MLWRJTLBTJFLDGTRTBZHR</v>
      </c>
      <c r="B274" s="2" t="str">
        <f>IF(Source!$E274=COLUMNS($A274:B274), LEFT(B273, LEN(B273)-Source!$C274), IF(Source!$G274=COLUMNS($A274:B274), B273&amp;RIGHT(INDIRECT(ADDRESS(ROW(B274)-1, Source!$E274)), Source!$C274), B273))</f>
        <v>RP</v>
      </c>
      <c r="C274" s="2" t="str">
        <f>IF(Source!$E274=COLUMNS($A274:C274), LEFT(C273, LEN(C273)-Source!$C274), IF(Source!$G274=COLUMNS($A274:C274), C273&amp;RIGHT(INDIRECT(ADDRESS(ROW(C274)-1, Source!$E274)), Source!$C274), C273))</f>
        <v>S</v>
      </c>
      <c r="D274" s="2" t="str">
        <f>IF(Source!$E274=COLUMNS($A274:D274), LEFT(D273, LEN(D273)-Source!$C274), IF(Source!$G274=COLUMNS($A274:D274), D273&amp;RIGHT(INDIRECT(ADDRESS(ROW(D274)-1, Source!$E274)), Source!$C274), D273))</f>
        <v>ZPZBDCWJ</v>
      </c>
      <c r="E274" s="2" t="str">
        <f>IF(Source!$E274=COLUMNS($A274:E274), LEFT(E273, LEN(E273)-Source!$C274), IF(Source!$G274=COLUMNS($A274:E274), E273&amp;RIGHT(INDIRECT(ADDRESS(ROW(E274)-1, Source!$E274)), Source!$C274), E273))</f>
        <v/>
      </c>
      <c r="F274" s="2" t="str">
        <f>IF(Source!$E274=COLUMNS($A274:F274), LEFT(F273, LEN(F273)-Source!$C274), IF(Source!$G274=COLUMNS($A274:F274), F273&amp;RIGHT(INDIRECT(ADDRESS(ROW(F274)-1, Source!$E274)), Source!$C274), F273))</f>
        <v>BVFTVCGTRMD</v>
      </c>
      <c r="G274" s="2" t="str">
        <f>IF(Source!$E274=COLUMNS($A274:G274), LEFT(G273, LEN(G273)-Source!$C274), IF(Source!$G274=COLUMNS($A274:G274), G273&amp;RIGHT(INDIRECT(ADDRESS(ROW(G274)-1, Source!$E274)), Source!$C274), G273))</f>
        <v>SCDDHSDPMQS</v>
      </c>
      <c r="H274" s="2" t="str">
        <f>IF(Source!$E274=COLUMNS($A274:H274), LEFT(H273, LEN(H273)-Source!$C274), IF(Source!$G274=COLUMNS($A274:H274), H273&amp;RIGHT(INDIRECT(ADDRESS(ROW(H274)-1, Source!$E274)), Source!$C274), H273))</f>
        <v>V</v>
      </c>
      <c r="I274" s="2" t="str">
        <f>IF(Source!$E274=COLUMNS($A274:I274), LEFT(I273, LEN(I273)-Source!$C274), IF(Source!$G274=COLUMNS($A274:I274), I273&amp;RIGHT(INDIRECT(ADDRESS(ROW(I274)-1, Source!$E274)), Source!$C274), I273))</f>
        <v>Q</v>
      </c>
    </row>
    <row r="275">
      <c r="A275" s="2" t="str">
        <f>IF(Source!$E275=COLUMNS($A275:A275), LEFT(A274, LEN(A274)-Source!$C275), IF(Source!$G275=COLUMNS($A275:A275), A274&amp;RIGHT(INDIRECT(ADDRESS(ROW(A275)-1, Source!$E275)), Source!$C275), A274))</f>
        <v>MLWRJTLBTJFLDGTRTBZHR</v>
      </c>
      <c r="B275" s="2" t="str">
        <f>IF(Source!$E275=COLUMNS($A275:B275), LEFT(B274, LEN(B274)-Source!$C275), IF(Source!$G275=COLUMNS($A275:B275), B274&amp;RIGHT(INDIRECT(ADDRESS(ROW(B275)-1, Source!$E275)), Source!$C275), B274))</f>
        <v>RP</v>
      </c>
      <c r="C275" s="2" t="str">
        <f>IF(Source!$E275=COLUMNS($A275:C275), LEFT(C274, LEN(C274)-Source!$C275), IF(Source!$G275=COLUMNS($A275:C275), C274&amp;RIGHT(INDIRECT(ADDRESS(ROW(C275)-1, Source!$E275)), Source!$C275), C274))</f>
        <v>S</v>
      </c>
      <c r="D275" s="2" t="str">
        <f>IF(Source!$E275=COLUMNS($A275:D275), LEFT(D274, LEN(D274)-Source!$C275), IF(Source!$G275=COLUMNS($A275:D275), D274&amp;RIGHT(INDIRECT(ADDRESS(ROW(D275)-1, Source!$E275)), Source!$C275), D274))</f>
        <v>ZPZBDCWJ</v>
      </c>
      <c r="E275" s="2" t="str">
        <f>IF(Source!$E275=COLUMNS($A275:E275), LEFT(E274, LEN(E274)-Source!$C275), IF(Source!$G275=COLUMNS($A275:E275), E274&amp;RIGHT(INDIRECT(ADDRESS(ROW(E275)-1, Source!$E275)), Source!$C275), E274))</f>
        <v/>
      </c>
      <c r="F275" s="2" t="str">
        <f>IF(Source!$E275=COLUMNS($A275:F275), LEFT(F274, LEN(F274)-Source!$C275), IF(Source!$G275=COLUMNS($A275:F275), F274&amp;RIGHT(INDIRECT(ADDRESS(ROW(F275)-1, Source!$E275)), Source!$C275), F274))</f>
        <v>BVFTVCGTRMD</v>
      </c>
      <c r="G275" s="2" t="str">
        <f>IF(Source!$E275=COLUMNS($A275:G275), LEFT(G274, LEN(G274)-Source!$C275), IF(Source!$G275=COLUMNS($A275:G275), G274&amp;RIGHT(INDIRECT(ADDRESS(ROW(G275)-1, Source!$E275)), Source!$C275), G274))</f>
        <v>SCDDHSDPMQSV</v>
      </c>
      <c r="H275" s="2" t="str">
        <f>IF(Source!$E275=COLUMNS($A275:H275), LEFT(H274, LEN(H274)-Source!$C275), IF(Source!$G275=COLUMNS($A275:H275), H274&amp;RIGHT(INDIRECT(ADDRESS(ROW(H275)-1, Source!$E275)), Source!$C275), H274))</f>
        <v/>
      </c>
      <c r="I275" s="2" t="str">
        <f>IF(Source!$E275=COLUMNS($A275:I275), LEFT(I274, LEN(I274)-Source!$C275), IF(Source!$G275=COLUMNS($A275:I275), I274&amp;RIGHT(INDIRECT(ADDRESS(ROW(I275)-1, Source!$E275)), Source!$C275), I274))</f>
        <v>Q</v>
      </c>
    </row>
    <row r="276">
      <c r="A276" s="2" t="str">
        <f>IF(Source!$E276=COLUMNS($A276:A276), LEFT(A275, LEN(A275)-Source!$C276), IF(Source!$G276=COLUMNS($A276:A276), A275&amp;RIGHT(INDIRECT(ADDRESS(ROW(A276)-1, Source!$E276)), Source!$C276), A275))</f>
        <v>MLWRJTLBTJFLDGTRTBZHR</v>
      </c>
      <c r="B276" s="2" t="str">
        <f>IF(Source!$E276=COLUMNS($A276:B276), LEFT(B275, LEN(B275)-Source!$C276), IF(Source!$G276=COLUMNS($A276:B276), B275&amp;RIGHT(INDIRECT(ADDRESS(ROW(B276)-1, Source!$E276)), Source!$C276), B275))</f>
        <v>RP</v>
      </c>
      <c r="C276" s="2" t="str">
        <f>IF(Source!$E276=COLUMNS($A276:C276), LEFT(C275, LEN(C275)-Source!$C276), IF(Source!$G276=COLUMNS($A276:C276), C275&amp;RIGHT(INDIRECT(ADDRESS(ROW(C276)-1, Source!$E276)), Source!$C276), C275))</f>
        <v>S</v>
      </c>
      <c r="D276" s="2" t="str">
        <f>IF(Source!$E276=COLUMNS($A276:D276), LEFT(D275, LEN(D275)-Source!$C276), IF(Source!$G276=COLUMNS($A276:D276), D275&amp;RIGHT(INDIRECT(ADDRESS(ROW(D276)-1, Source!$E276)), Source!$C276), D275))</f>
        <v>ZPZBDCWJQ</v>
      </c>
      <c r="E276" s="2" t="str">
        <f>IF(Source!$E276=COLUMNS($A276:E276), LEFT(E275, LEN(E275)-Source!$C276), IF(Source!$G276=COLUMNS($A276:E276), E275&amp;RIGHT(INDIRECT(ADDRESS(ROW(E276)-1, Source!$E276)), Source!$C276), E275))</f>
        <v/>
      </c>
      <c r="F276" s="2" t="str">
        <f>IF(Source!$E276=COLUMNS($A276:F276), LEFT(F275, LEN(F275)-Source!$C276), IF(Source!$G276=COLUMNS($A276:F276), F275&amp;RIGHT(INDIRECT(ADDRESS(ROW(F276)-1, Source!$E276)), Source!$C276), F275))</f>
        <v>BVFTVCGTRMD</v>
      </c>
      <c r="G276" s="2" t="str">
        <f>IF(Source!$E276=COLUMNS($A276:G276), LEFT(G275, LEN(G275)-Source!$C276), IF(Source!$G276=COLUMNS($A276:G276), G275&amp;RIGHT(INDIRECT(ADDRESS(ROW(G276)-1, Source!$E276)), Source!$C276), G275))</f>
        <v>SCDDHSDPMQSV</v>
      </c>
      <c r="H276" s="2" t="str">
        <f>IF(Source!$E276=COLUMNS($A276:H276), LEFT(H275, LEN(H275)-Source!$C276), IF(Source!$G276=COLUMNS($A276:H276), H275&amp;RIGHT(INDIRECT(ADDRESS(ROW(H276)-1, Source!$E276)), Source!$C276), H275))</f>
        <v/>
      </c>
      <c r="I276" s="2" t="str">
        <f>IF(Source!$E276=COLUMNS($A276:I276), LEFT(I275, LEN(I275)-Source!$C276), IF(Source!$G276=COLUMNS($A276:I276), I275&amp;RIGHT(INDIRECT(ADDRESS(ROW(I276)-1, Source!$E276)), Source!$C276), I275))</f>
        <v/>
      </c>
    </row>
    <row r="277">
      <c r="A277" s="2" t="str">
        <f>IF(Source!$E277=COLUMNS($A277:A277), LEFT(A276, LEN(A276)-Source!$C277), IF(Source!$G277=COLUMNS($A277:A277), A276&amp;RIGHT(INDIRECT(ADDRESS(ROW(A277)-1, Source!$E277)), Source!$C277), A276))</f>
        <v>MLWRJTLBTJFLDGTRTBZHR</v>
      </c>
      <c r="B277" s="2" t="str">
        <f>IF(Source!$E277=COLUMNS($A277:B277), LEFT(B276, LEN(B276)-Source!$C277), IF(Source!$G277=COLUMNS($A277:B277), B276&amp;RIGHT(INDIRECT(ADDRESS(ROW(B277)-1, Source!$E277)), Source!$C277), B276))</f>
        <v>RP</v>
      </c>
      <c r="C277" s="2" t="str">
        <f>IF(Source!$E277=COLUMNS($A277:C277), LEFT(C276, LEN(C276)-Source!$C277), IF(Source!$G277=COLUMNS($A277:C277), C276&amp;RIGHT(INDIRECT(ADDRESS(ROW(C277)-1, Source!$E277)), Source!$C277), C276))</f>
        <v>S</v>
      </c>
      <c r="D277" s="2" t="str">
        <f>IF(Source!$E277=COLUMNS($A277:D277), LEFT(D276, LEN(D276)-Source!$C277), IF(Source!$G277=COLUMNS($A277:D277), D276&amp;RIGHT(INDIRECT(ADDRESS(ROW(D277)-1, Source!$E277)), Source!$C277), D276))</f>
        <v/>
      </c>
      <c r="E277" s="2" t="str">
        <f>IF(Source!$E277=COLUMNS($A277:E277), LEFT(E276, LEN(E276)-Source!$C277), IF(Source!$G277=COLUMNS($A277:E277), E276&amp;RIGHT(INDIRECT(ADDRESS(ROW(E277)-1, Source!$E277)), Source!$C277), E276))</f>
        <v>ZPZBDCWJQ</v>
      </c>
      <c r="F277" s="2" t="str">
        <f>IF(Source!$E277=COLUMNS($A277:F277), LEFT(F276, LEN(F276)-Source!$C277), IF(Source!$G277=COLUMNS($A277:F277), F276&amp;RIGHT(INDIRECT(ADDRESS(ROW(F277)-1, Source!$E277)), Source!$C277), F276))</f>
        <v>BVFTVCGTRMD</v>
      </c>
      <c r="G277" s="2" t="str">
        <f>IF(Source!$E277=COLUMNS($A277:G277), LEFT(G276, LEN(G276)-Source!$C277), IF(Source!$G277=COLUMNS($A277:G277), G276&amp;RIGHT(INDIRECT(ADDRESS(ROW(G277)-1, Source!$E277)), Source!$C277), G276))</f>
        <v>SCDDHSDPMQSV</v>
      </c>
      <c r="H277" s="2" t="str">
        <f>IF(Source!$E277=COLUMNS($A277:H277), LEFT(H276, LEN(H276)-Source!$C277), IF(Source!$G277=COLUMNS($A277:H277), H276&amp;RIGHT(INDIRECT(ADDRESS(ROW(H277)-1, Source!$E277)), Source!$C277), H276))</f>
        <v/>
      </c>
      <c r="I277" s="2" t="str">
        <f>IF(Source!$E277=COLUMNS($A277:I277), LEFT(I276, LEN(I276)-Source!$C277), IF(Source!$G277=COLUMNS($A277:I277), I276&amp;RIGHT(INDIRECT(ADDRESS(ROW(I277)-1, Source!$E277)), Source!$C277), I276))</f>
        <v/>
      </c>
    </row>
    <row r="278">
      <c r="A278" s="2" t="str">
        <f>IF(Source!$E278=COLUMNS($A278:A278), LEFT(A277, LEN(A277)-Source!$C278), IF(Source!$G278=COLUMNS($A278:A278), A277&amp;RIGHT(INDIRECT(ADDRESS(ROW(A278)-1, Source!$E278)), Source!$C278), A277))</f>
        <v>ML</v>
      </c>
      <c r="B278" s="2" t="str">
        <f>IF(Source!$E278=COLUMNS($A278:B278), LEFT(B277, LEN(B277)-Source!$C278), IF(Source!$G278=COLUMNS($A278:B278), B277&amp;RIGHT(INDIRECT(ADDRESS(ROW(B278)-1, Source!$E278)), Source!$C278), B277))</f>
        <v>RP</v>
      </c>
      <c r="C278" s="2" t="str">
        <f>IF(Source!$E278=COLUMNS($A278:C278), LEFT(C277, LEN(C277)-Source!$C278), IF(Source!$G278=COLUMNS($A278:C278), C277&amp;RIGHT(INDIRECT(ADDRESS(ROW(C278)-1, Source!$E278)), Source!$C278), C277))</f>
        <v>SWRJTLBTJFLDGTRTBZHR</v>
      </c>
      <c r="D278" s="2" t="str">
        <f>IF(Source!$E278=COLUMNS($A278:D278), LEFT(D277, LEN(D277)-Source!$C278), IF(Source!$G278=COLUMNS($A278:D278), D277&amp;RIGHT(INDIRECT(ADDRESS(ROW(D278)-1, Source!$E278)), Source!$C278), D277))</f>
        <v/>
      </c>
      <c r="E278" s="2" t="str">
        <f>IF(Source!$E278=COLUMNS($A278:E278), LEFT(E277, LEN(E277)-Source!$C278), IF(Source!$G278=COLUMNS($A278:E278), E277&amp;RIGHT(INDIRECT(ADDRESS(ROW(E278)-1, Source!$E278)), Source!$C278), E277))</f>
        <v>ZPZBDCWJQ</v>
      </c>
      <c r="F278" s="2" t="str">
        <f>IF(Source!$E278=COLUMNS($A278:F278), LEFT(F277, LEN(F277)-Source!$C278), IF(Source!$G278=COLUMNS($A278:F278), F277&amp;RIGHT(INDIRECT(ADDRESS(ROW(F278)-1, Source!$E278)), Source!$C278), F277))</f>
        <v>BVFTVCGTRMD</v>
      </c>
      <c r="G278" s="2" t="str">
        <f>IF(Source!$E278=COLUMNS($A278:G278), LEFT(G277, LEN(G277)-Source!$C278), IF(Source!$G278=COLUMNS($A278:G278), G277&amp;RIGHT(INDIRECT(ADDRESS(ROW(G278)-1, Source!$E278)), Source!$C278), G277))</f>
        <v>SCDDHSDPMQSV</v>
      </c>
      <c r="H278" s="2" t="str">
        <f>IF(Source!$E278=COLUMNS($A278:H278), LEFT(H277, LEN(H277)-Source!$C278), IF(Source!$G278=COLUMNS($A278:H278), H277&amp;RIGHT(INDIRECT(ADDRESS(ROW(H278)-1, Source!$E278)), Source!$C278), H277))</f>
        <v/>
      </c>
      <c r="I278" s="2" t="str">
        <f>IF(Source!$E278=COLUMNS($A278:I278), LEFT(I277, LEN(I277)-Source!$C278), IF(Source!$G278=COLUMNS($A278:I278), I277&amp;RIGHT(INDIRECT(ADDRESS(ROW(I278)-1, Source!$E278)), Source!$C278), I277))</f>
        <v/>
      </c>
    </row>
    <row r="279">
      <c r="A279" s="2" t="str">
        <f>IF(Source!$E279=COLUMNS($A279:A279), LEFT(A278, LEN(A278)-Source!$C279), IF(Source!$G279=COLUMNS($A279:A279), A278&amp;RIGHT(INDIRECT(ADDRESS(ROW(A279)-1, Source!$E279)), Source!$C279), A278))</f>
        <v>ML</v>
      </c>
      <c r="B279" s="2" t="str">
        <f>IF(Source!$E279=COLUMNS($A279:B279), LEFT(B278, LEN(B278)-Source!$C279), IF(Source!$G279=COLUMNS($A279:B279), B278&amp;RIGHT(INDIRECT(ADDRESS(ROW(B279)-1, Source!$E279)), Source!$C279), B278))</f>
        <v>RP</v>
      </c>
      <c r="C279" s="2" t="str">
        <f>IF(Source!$E279=COLUMNS($A279:C279), LEFT(C278, LEN(C278)-Source!$C279), IF(Source!$G279=COLUMNS($A279:C279), C278&amp;RIGHT(INDIRECT(ADDRESS(ROW(C279)-1, Source!$E279)), Source!$C279), C278))</f>
        <v>SWRJTLBTJFL</v>
      </c>
      <c r="D279" s="2" t="str">
        <f>IF(Source!$E279=COLUMNS($A279:D279), LEFT(D278, LEN(D278)-Source!$C279), IF(Source!$G279=COLUMNS($A279:D279), D278&amp;RIGHT(INDIRECT(ADDRESS(ROW(D279)-1, Source!$E279)), Source!$C279), D278))</f>
        <v/>
      </c>
      <c r="E279" s="2" t="str">
        <f>IF(Source!$E279=COLUMNS($A279:E279), LEFT(E278, LEN(E278)-Source!$C279), IF(Source!$G279=COLUMNS($A279:E279), E278&amp;RIGHT(INDIRECT(ADDRESS(ROW(E279)-1, Source!$E279)), Source!$C279), E278))</f>
        <v>ZPZBDCWJQDGTRTBZHR</v>
      </c>
      <c r="F279" s="2" t="str">
        <f>IF(Source!$E279=COLUMNS($A279:F279), LEFT(F278, LEN(F278)-Source!$C279), IF(Source!$G279=COLUMNS($A279:F279), F278&amp;RIGHT(INDIRECT(ADDRESS(ROW(F279)-1, Source!$E279)), Source!$C279), F278))</f>
        <v>BVFTVCGTRMD</v>
      </c>
      <c r="G279" s="2" t="str">
        <f>IF(Source!$E279=COLUMNS($A279:G279), LEFT(G278, LEN(G278)-Source!$C279), IF(Source!$G279=COLUMNS($A279:G279), G278&amp;RIGHT(INDIRECT(ADDRESS(ROW(G279)-1, Source!$E279)), Source!$C279), G278))</f>
        <v>SCDDHSDPMQSV</v>
      </c>
      <c r="H279" s="2" t="str">
        <f>IF(Source!$E279=COLUMNS($A279:H279), LEFT(H278, LEN(H278)-Source!$C279), IF(Source!$G279=COLUMNS($A279:H279), H278&amp;RIGHT(INDIRECT(ADDRESS(ROW(H279)-1, Source!$E279)), Source!$C279), H278))</f>
        <v/>
      </c>
      <c r="I279" s="2" t="str">
        <f>IF(Source!$E279=COLUMNS($A279:I279), LEFT(I278, LEN(I278)-Source!$C279), IF(Source!$G279=COLUMNS($A279:I279), I278&amp;RIGHT(INDIRECT(ADDRESS(ROW(I279)-1, Source!$E279)), Source!$C279), I278))</f>
        <v/>
      </c>
    </row>
    <row r="280">
      <c r="A280" s="2" t="str">
        <f>IF(Source!$E280=COLUMNS($A280:A280), LEFT(A279, LEN(A279)-Source!$C280), IF(Source!$G280=COLUMNS($A280:A280), A279&amp;RIGHT(INDIRECT(ADDRESS(ROW(A280)-1, Source!$E280)), Source!$C280), A279))</f>
        <v>ML</v>
      </c>
      <c r="B280" s="2" t="str">
        <f>IF(Source!$E280=COLUMNS($A280:B280), LEFT(B279, LEN(B279)-Source!$C280), IF(Source!$G280=COLUMNS($A280:B280), B279&amp;RIGHT(INDIRECT(ADDRESS(ROW(B280)-1, Source!$E280)), Source!$C280), B279))</f>
        <v>RPDPMQSV</v>
      </c>
      <c r="C280" s="2" t="str">
        <f>IF(Source!$E280=COLUMNS($A280:C280), LEFT(C279, LEN(C279)-Source!$C280), IF(Source!$G280=COLUMNS($A280:C280), C279&amp;RIGHT(INDIRECT(ADDRESS(ROW(C280)-1, Source!$E280)), Source!$C280), C279))</f>
        <v>SWRJTLBTJFL</v>
      </c>
      <c r="D280" s="2" t="str">
        <f>IF(Source!$E280=COLUMNS($A280:D280), LEFT(D279, LEN(D279)-Source!$C280), IF(Source!$G280=COLUMNS($A280:D280), D279&amp;RIGHT(INDIRECT(ADDRESS(ROW(D280)-1, Source!$E280)), Source!$C280), D279))</f>
        <v/>
      </c>
      <c r="E280" s="2" t="str">
        <f>IF(Source!$E280=COLUMNS($A280:E280), LEFT(E279, LEN(E279)-Source!$C280), IF(Source!$G280=COLUMNS($A280:E280), E279&amp;RIGHT(INDIRECT(ADDRESS(ROW(E280)-1, Source!$E280)), Source!$C280), E279))</f>
        <v>ZPZBDCWJQDGTRTBZHR</v>
      </c>
      <c r="F280" s="2" t="str">
        <f>IF(Source!$E280=COLUMNS($A280:F280), LEFT(F279, LEN(F279)-Source!$C280), IF(Source!$G280=COLUMNS($A280:F280), F279&amp;RIGHT(INDIRECT(ADDRESS(ROW(F280)-1, Source!$E280)), Source!$C280), F279))</f>
        <v>BVFTVCGTRMD</v>
      </c>
      <c r="G280" s="2" t="str">
        <f>IF(Source!$E280=COLUMNS($A280:G280), LEFT(G279, LEN(G279)-Source!$C280), IF(Source!$G280=COLUMNS($A280:G280), G279&amp;RIGHT(INDIRECT(ADDRESS(ROW(G280)-1, Source!$E280)), Source!$C280), G279))</f>
        <v>SCDDHS</v>
      </c>
      <c r="H280" s="2" t="str">
        <f>IF(Source!$E280=COLUMNS($A280:H280), LEFT(H279, LEN(H279)-Source!$C280), IF(Source!$G280=COLUMNS($A280:H280), H279&amp;RIGHT(INDIRECT(ADDRESS(ROW(H280)-1, Source!$E280)), Source!$C280), H279))</f>
        <v/>
      </c>
      <c r="I280" s="2" t="str">
        <f>IF(Source!$E280=COLUMNS($A280:I280), LEFT(I279, LEN(I279)-Source!$C280), IF(Source!$G280=COLUMNS($A280:I280), I279&amp;RIGHT(INDIRECT(ADDRESS(ROW(I280)-1, Source!$E280)), Source!$C280), I279))</f>
        <v/>
      </c>
    </row>
    <row r="281">
      <c r="A281" s="2" t="str">
        <f>IF(Source!$E281=COLUMNS($A281:A281), LEFT(A280, LEN(A280)-Source!$C281), IF(Source!$G281=COLUMNS($A281:A281), A280&amp;RIGHT(INDIRECT(ADDRESS(ROW(A281)-1, Source!$E281)), Source!$C281), A280))</f>
        <v/>
      </c>
      <c r="B281" s="2" t="str">
        <f>IF(Source!$E281=COLUMNS($A281:B281), LEFT(B280, LEN(B280)-Source!$C281), IF(Source!$G281=COLUMNS($A281:B281), B280&amp;RIGHT(INDIRECT(ADDRESS(ROW(B281)-1, Source!$E281)), Source!$C281), B280))</f>
        <v>RPDPMQSV</v>
      </c>
      <c r="C281" s="2" t="str">
        <f>IF(Source!$E281=COLUMNS($A281:C281), LEFT(C280, LEN(C280)-Source!$C281), IF(Source!$G281=COLUMNS($A281:C281), C280&amp;RIGHT(INDIRECT(ADDRESS(ROW(C281)-1, Source!$E281)), Source!$C281), C280))</f>
        <v>SWRJTLBTJFL</v>
      </c>
      <c r="D281" s="2" t="str">
        <f>IF(Source!$E281=COLUMNS($A281:D281), LEFT(D280, LEN(D280)-Source!$C281), IF(Source!$G281=COLUMNS($A281:D281), D280&amp;RIGHT(INDIRECT(ADDRESS(ROW(D281)-1, Source!$E281)), Source!$C281), D280))</f>
        <v/>
      </c>
      <c r="E281" s="2" t="str">
        <f>IF(Source!$E281=COLUMNS($A281:E281), LEFT(E280, LEN(E280)-Source!$C281), IF(Source!$G281=COLUMNS($A281:E281), E280&amp;RIGHT(INDIRECT(ADDRESS(ROW(E281)-1, Source!$E281)), Source!$C281), E280))</f>
        <v>ZPZBDCWJQDGTRTBZHR</v>
      </c>
      <c r="F281" s="2" t="str">
        <f>IF(Source!$E281=COLUMNS($A281:F281), LEFT(F280, LEN(F280)-Source!$C281), IF(Source!$G281=COLUMNS($A281:F281), F280&amp;RIGHT(INDIRECT(ADDRESS(ROW(F281)-1, Source!$E281)), Source!$C281), F280))</f>
        <v>BVFTVCGTRMD</v>
      </c>
      <c r="G281" s="2" t="str">
        <f>IF(Source!$E281=COLUMNS($A281:G281), LEFT(G280, LEN(G280)-Source!$C281), IF(Source!$G281=COLUMNS($A281:G281), G280&amp;RIGHT(INDIRECT(ADDRESS(ROW(G281)-1, Source!$E281)), Source!$C281), G280))</f>
        <v>SCDDHSML</v>
      </c>
      <c r="H281" s="2" t="str">
        <f>IF(Source!$E281=COLUMNS($A281:H281), LEFT(H280, LEN(H280)-Source!$C281), IF(Source!$G281=COLUMNS($A281:H281), H280&amp;RIGHT(INDIRECT(ADDRESS(ROW(H281)-1, Source!$E281)), Source!$C281), H280))</f>
        <v/>
      </c>
      <c r="I281" s="2" t="str">
        <f>IF(Source!$E281=COLUMNS($A281:I281), LEFT(I280, LEN(I280)-Source!$C281), IF(Source!$G281=COLUMNS($A281:I281), I280&amp;RIGHT(INDIRECT(ADDRESS(ROW(I281)-1, Source!$E281)), Source!$C281), I280))</f>
        <v/>
      </c>
    </row>
    <row r="282">
      <c r="A282" s="2" t="str">
        <f>IF(Source!$E282=COLUMNS($A282:A282), LEFT(A281, LEN(A281)-Source!$C282), IF(Source!$G282=COLUMNS($A282:A282), A281&amp;RIGHT(INDIRECT(ADDRESS(ROW(A282)-1, Source!$E282)), Source!$C282), A281))</f>
        <v/>
      </c>
      <c r="B282" s="2" t="str">
        <f>IF(Source!$E282=COLUMNS($A282:B282), LEFT(B281, LEN(B281)-Source!$C282), IF(Source!$G282=COLUMNS($A282:B282), B281&amp;RIGHT(INDIRECT(ADDRESS(ROW(B282)-1, Source!$E282)), Source!$C282), B281))</f>
        <v>R</v>
      </c>
      <c r="C282" s="2" t="str">
        <f>IF(Source!$E282=COLUMNS($A282:C282), LEFT(C281, LEN(C281)-Source!$C282), IF(Source!$G282=COLUMNS($A282:C282), C281&amp;RIGHT(INDIRECT(ADDRESS(ROW(C282)-1, Source!$E282)), Source!$C282), C281))</f>
        <v>SWRJTLBTJFL</v>
      </c>
      <c r="D282" s="2" t="str">
        <f>IF(Source!$E282=COLUMNS($A282:D282), LEFT(D281, LEN(D281)-Source!$C282), IF(Source!$G282=COLUMNS($A282:D282), D281&amp;RIGHT(INDIRECT(ADDRESS(ROW(D282)-1, Source!$E282)), Source!$C282), D281))</f>
        <v>PDPMQSV</v>
      </c>
      <c r="E282" s="2" t="str">
        <f>IF(Source!$E282=COLUMNS($A282:E282), LEFT(E281, LEN(E281)-Source!$C282), IF(Source!$G282=COLUMNS($A282:E282), E281&amp;RIGHT(INDIRECT(ADDRESS(ROW(E282)-1, Source!$E282)), Source!$C282), E281))</f>
        <v>ZPZBDCWJQDGTRTBZHR</v>
      </c>
      <c r="F282" s="2" t="str">
        <f>IF(Source!$E282=COLUMNS($A282:F282), LEFT(F281, LEN(F281)-Source!$C282), IF(Source!$G282=COLUMNS($A282:F282), F281&amp;RIGHT(INDIRECT(ADDRESS(ROW(F282)-1, Source!$E282)), Source!$C282), F281))</f>
        <v>BVFTVCGTRMD</v>
      </c>
      <c r="G282" s="2" t="str">
        <f>IF(Source!$E282=COLUMNS($A282:G282), LEFT(G281, LEN(G281)-Source!$C282), IF(Source!$G282=COLUMNS($A282:G282), G281&amp;RIGHT(INDIRECT(ADDRESS(ROW(G282)-1, Source!$E282)), Source!$C282), G281))</f>
        <v>SCDDHSML</v>
      </c>
      <c r="H282" s="2" t="str">
        <f>IF(Source!$E282=COLUMNS($A282:H282), LEFT(H281, LEN(H281)-Source!$C282), IF(Source!$G282=COLUMNS($A282:H282), H281&amp;RIGHT(INDIRECT(ADDRESS(ROW(H282)-1, Source!$E282)), Source!$C282), H281))</f>
        <v/>
      </c>
      <c r="I282" s="2" t="str">
        <f>IF(Source!$E282=COLUMNS($A282:I282), LEFT(I281, LEN(I281)-Source!$C282), IF(Source!$G282=COLUMNS($A282:I282), I281&amp;RIGHT(INDIRECT(ADDRESS(ROW(I282)-1, Source!$E282)), Source!$C282), I281))</f>
        <v/>
      </c>
    </row>
    <row r="283">
      <c r="A283" s="2" t="str">
        <f>IF(Source!$E283=COLUMNS($A283:A283), LEFT(A282, LEN(A282)-Source!$C283), IF(Source!$G283=COLUMNS($A283:A283), A282&amp;RIGHT(INDIRECT(ADDRESS(ROW(A283)-1, Source!$E283)), Source!$C283), A282))</f>
        <v/>
      </c>
      <c r="B283" s="2" t="str">
        <f>IF(Source!$E283=COLUMNS($A283:B283), LEFT(B282, LEN(B282)-Source!$C283), IF(Source!$G283=COLUMNS($A283:B283), B282&amp;RIGHT(INDIRECT(ADDRESS(ROW(B283)-1, Source!$E283)), Source!$C283), B282))</f>
        <v>R</v>
      </c>
      <c r="C283" s="2" t="str">
        <f>IF(Source!$E283=COLUMNS($A283:C283), LEFT(C282, LEN(C282)-Source!$C283), IF(Source!$G283=COLUMNS($A283:C283), C282&amp;RIGHT(INDIRECT(ADDRESS(ROW(C283)-1, Source!$E283)), Source!$C283), C282))</f>
        <v>SWRJTLBTJFL</v>
      </c>
      <c r="D283" s="2" t="str">
        <f>IF(Source!$E283=COLUMNS($A283:D283), LEFT(D282, LEN(D282)-Source!$C283), IF(Source!$G283=COLUMNS($A283:D283), D282&amp;RIGHT(INDIRECT(ADDRESS(ROW(D283)-1, Source!$E283)), Source!$C283), D282))</f>
        <v>PDPMQSV</v>
      </c>
      <c r="E283" s="2" t="str">
        <f>IF(Source!$E283=COLUMNS($A283:E283), LEFT(E282, LEN(E282)-Source!$C283), IF(Source!$G283=COLUMNS($A283:E283), E282&amp;RIGHT(INDIRECT(ADDRESS(ROW(E283)-1, Source!$E283)), Source!$C283), E282))</f>
        <v>ZPZBDCWJQDG</v>
      </c>
      <c r="F283" s="2" t="str">
        <f>IF(Source!$E283=COLUMNS($A283:F283), LEFT(F282, LEN(F282)-Source!$C283), IF(Source!$G283=COLUMNS($A283:F283), F282&amp;RIGHT(INDIRECT(ADDRESS(ROW(F283)-1, Source!$E283)), Source!$C283), F282))</f>
        <v>BVFTVCGTRMDTRTBZHR</v>
      </c>
      <c r="G283" s="2" t="str">
        <f>IF(Source!$E283=COLUMNS($A283:G283), LEFT(G282, LEN(G282)-Source!$C283), IF(Source!$G283=COLUMNS($A283:G283), G282&amp;RIGHT(INDIRECT(ADDRESS(ROW(G283)-1, Source!$E283)), Source!$C283), G282))</f>
        <v>SCDDHSML</v>
      </c>
      <c r="H283" s="2" t="str">
        <f>IF(Source!$E283=COLUMNS($A283:H283), LEFT(H282, LEN(H282)-Source!$C283), IF(Source!$G283=COLUMNS($A283:H283), H282&amp;RIGHT(INDIRECT(ADDRESS(ROW(H283)-1, Source!$E283)), Source!$C283), H282))</f>
        <v/>
      </c>
      <c r="I283" s="2" t="str">
        <f>IF(Source!$E283=COLUMNS($A283:I283), LEFT(I282, LEN(I282)-Source!$C283), IF(Source!$G283=COLUMNS($A283:I283), I282&amp;RIGHT(INDIRECT(ADDRESS(ROW(I283)-1, Source!$E283)), Source!$C283), I282))</f>
        <v/>
      </c>
    </row>
    <row r="284">
      <c r="A284" s="2" t="str">
        <f>IF(Source!$E284=COLUMNS($A284:A284), LEFT(A283, LEN(A283)-Source!$C284), IF(Source!$G284=COLUMNS($A284:A284), A283&amp;RIGHT(INDIRECT(ADDRESS(ROW(A284)-1, Source!$E284)), Source!$C284), A283))</f>
        <v/>
      </c>
      <c r="B284" s="2" t="str">
        <f>IF(Source!$E284=COLUMNS($A284:B284), LEFT(B283, LEN(B283)-Source!$C284), IF(Source!$G284=COLUMNS($A284:B284), B283&amp;RIGHT(INDIRECT(ADDRESS(ROW(B284)-1, Source!$E284)), Source!$C284), B283))</f>
        <v>R</v>
      </c>
      <c r="C284" s="2" t="str">
        <f>IF(Source!$E284=COLUMNS($A284:C284), LEFT(C283, LEN(C283)-Source!$C284), IF(Source!$G284=COLUMNS($A284:C284), C283&amp;RIGHT(INDIRECT(ADDRESS(ROW(C284)-1, Source!$E284)), Source!$C284), C283))</f>
        <v>SWRJTLBTJFLPMQSV</v>
      </c>
      <c r="D284" s="2" t="str">
        <f>IF(Source!$E284=COLUMNS($A284:D284), LEFT(D283, LEN(D283)-Source!$C284), IF(Source!$G284=COLUMNS($A284:D284), D283&amp;RIGHT(INDIRECT(ADDRESS(ROW(D284)-1, Source!$E284)), Source!$C284), D283))</f>
        <v>PD</v>
      </c>
      <c r="E284" s="2" t="str">
        <f>IF(Source!$E284=COLUMNS($A284:E284), LEFT(E283, LEN(E283)-Source!$C284), IF(Source!$G284=COLUMNS($A284:E284), E283&amp;RIGHT(INDIRECT(ADDRESS(ROW(E284)-1, Source!$E284)), Source!$C284), E283))</f>
        <v>ZPZBDCWJQDG</v>
      </c>
      <c r="F284" s="2" t="str">
        <f>IF(Source!$E284=COLUMNS($A284:F284), LEFT(F283, LEN(F283)-Source!$C284), IF(Source!$G284=COLUMNS($A284:F284), F283&amp;RIGHT(INDIRECT(ADDRESS(ROW(F284)-1, Source!$E284)), Source!$C284), F283))</f>
        <v>BVFTVCGTRMDTRTBZHR</v>
      </c>
      <c r="G284" s="2" t="str">
        <f>IF(Source!$E284=COLUMNS($A284:G284), LEFT(G283, LEN(G283)-Source!$C284), IF(Source!$G284=COLUMNS($A284:G284), G283&amp;RIGHT(INDIRECT(ADDRESS(ROW(G284)-1, Source!$E284)), Source!$C284), G283))</f>
        <v>SCDDHSML</v>
      </c>
      <c r="H284" s="2" t="str">
        <f>IF(Source!$E284=COLUMNS($A284:H284), LEFT(H283, LEN(H283)-Source!$C284), IF(Source!$G284=COLUMNS($A284:H284), H283&amp;RIGHT(INDIRECT(ADDRESS(ROW(H284)-1, Source!$E284)), Source!$C284), H283))</f>
        <v/>
      </c>
      <c r="I284" s="2" t="str">
        <f>IF(Source!$E284=COLUMNS($A284:I284), LEFT(I283, LEN(I283)-Source!$C284), IF(Source!$G284=COLUMNS($A284:I284), I283&amp;RIGHT(INDIRECT(ADDRESS(ROW(I284)-1, Source!$E284)), Source!$C284), I283))</f>
        <v/>
      </c>
    </row>
    <row r="285">
      <c r="A285" s="2" t="str">
        <f>IF(Source!$E285=COLUMNS($A285:A285), LEFT(A284, LEN(A284)-Source!$C285), IF(Source!$G285=COLUMNS($A285:A285), A284&amp;RIGHT(INDIRECT(ADDRESS(ROW(A285)-1, Source!$E285)), Source!$C285), A284))</f>
        <v/>
      </c>
      <c r="B285" s="2" t="str">
        <f>IF(Source!$E285=COLUMNS($A285:B285), LEFT(B284, LEN(B284)-Source!$C285), IF(Source!$G285=COLUMNS($A285:B285), B284&amp;RIGHT(INDIRECT(ADDRESS(ROW(B285)-1, Source!$E285)), Source!$C285), B284))</f>
        <v>R</v>
      </c>
      <c r="C285" s="2" t="str">
        <f>IF(Source!$E285=COLUMNS($A285:C285), LEFT(C284, LEN(C284)-Source!$C285), IF(Source!$G285=COLUMNS($A285:C285), C284&amp;RIGHT(INDIRECT(ADDRESS(ROW(C285)-1, Source!$E285)), Source!$C285), C284))</f>
        <v>SWRJTLBTJFLPMQSV</v>
      </c>
      <c r="D285" s="2" t="str">
        <f>IF(Source!$E285=COLUMNS($A285:D285), LEFT(D284, LEN(D284)-Source!$C285), IF(Source!$G285=COLUMNS($A285:D285), D284&amp;RIGHT(INDIRECT(ADDRESS(ROW(D285)-1, Source!$E285)), Source!$C285), D284))</f>
        <v>PD</v>
      </c>
      <c r="E285" s="2" t="str">
        <f>IF(Source!$E285=COLUMNS($A285:E285), LEFT(E284, LEN(E284)-Source!$C285), IF(Source!$G285=COLUMNS($A285:E285), E284&amp;RIGHT(INDIRECT(ADDRESS(ROW(E285)-1, Source!$E285)), Source!$C285), E284))</f>
        <v>ZPZBDCWJ</v>
      </c>
      <c r="F285" s="2" t="str">
        <f>IF(Source!$E285=COLUMNS($A285:F285), LEFT(F284, LEN(F284)-Source!$C285), IF(Source!$G285=COLUMNS($A285:F285), F284&amp;RIGHT(INDIRECT(ADDRESS(ROW(F285)-1, Source!$E285)), Source!$C285), F284))</f>
        <v>BVFTVCGTRMDTRTBZHR</v>
      </c>
      <c r="G285" s="2" t="str">
        <f>IF(Source!$E285=COLUMNS($A285:G285), LEFT(G284, LEN(G284)-Source!$C285), IF(Source!$G285=COLUMNS($A285:G285), G284&amp;RIGHT(INDIRECT(ADDRESS(ROW(G285)-1, Source!$E285)), Source!$C285), G284))</f>
        <v>SCDDHSML</v>
      </c>
      <c r="H285" s="2" t="str">
        <f>IF(Source!$E285=COLUMNS($A285:H285), LEFT(H284, LEN(H284)-Source!$C285), IF(Source!$G285=COLUMNS($A285:H285), H284&amp;RIGHT(INDIRECT(ADDRESS(ROW(H285)-1, Source!$E285)), Source!$C285), H284))</f>
        <v>QDG</v>
      </c>
      <c r="I285" s="2" t="str">
        <f>IF(Source!$E285=COLUMNS($A285:I285), LEFT(I284, LEN(I284)-Source!$C285), IF(Source!$G285=COLUMNS($A285:I285), I284&amp;RIGHT(INDIRECT(ADDRESS(ROW(I285)-1, Source!$E285)), Source!$C285), I284))</f>
        <v/>
      </c>
    </row>
    <row r="286">
      <c r="A286" s="2" t="str">
        <f>IF(Source!$E286=COLUMNS($A286:A286), LEFT(A285, LEN(A285)-Source!$C286), IF(Source!$G286=COLUMNS($A286:A286), A285&amp;RIGHT(INDIRECT(ADDRESS(ROW(A286)-1, Source!$E286)), Source!$C286), A285))</f>
        <v/>
      </c>
      <c r="B286" s="2" t="str">
        <f>IF(Source!$E286=COLUMNS($A286:B286), LEFT(B285, LEN(B285)-Source!$C286), IF(Source!$G286=COLUMNS($A286:B286), B285&amp;RIGHT(INDIRECT(ADDRESS(ROW(B286)-1, Source!$E286)), Source!$C286), B285))</f>
        <v/>
      </c>
      <c r="C286" s="2" t="str">
        <f>IF(Source!$E286=COLUMNS($A286:C286), LEFT(C285, LEN(C285)-Source!$C286), IF(Source!$G286=COLUMNS($A286:C286), C285&amp;RIGHT(INDIRECT(ADDRESS(ROW(C286)-1, Source!$E286)), Source!$C286), C285))</f>
        <v>SWRJTLBTJFLPMQSV</v>
      </c>
      <c r="D286" s="2" t="str">
        <f>IF(Source!$E286=COLUMNS($A286:D286), LEFT(D285, LEN(D285)-Source!$C286), IF(Source!$G286=COLUMNS($A286:D286), D285&amp;RIGHT(INDIRECT(ADDRESS(ROW(D286)-1, Source!$E286)), Source!$C286), D285))</f>
        <v>PDR</v>
      </c>
      <c r="E286" s="2" t="str">
        <f>IF(Source!$E286=COLUMNS($A286:E286), LEFT(E285, LEN(E285)-Source!$C286), IF(Source!$G286=COLUMNS($A286:E286), E285&amp;RIGHT(INDIRECT(ADDRESS(ROW(E286)-1, Source!$E286)), Source!$C286), E285))</f>
        <v>ZPZBDCWJ</v>
      </c>
      <c r="F286" s="2" t="str">
        <f>IF(Source!$E286=COLUMNS($A286:F286), LEFT(F285, LEN(F285)-Source!$C286), IF(Source!$G286=COLUMNS($A286:F286), F285&amp;RIGHT(INDIRECT(ADDRESS(ROW(F286)-1, Source!$E286)), Source!$C286), F285))</f>
        <v>BVFTVCGTRMDTRTBZHR</v>
      </c>
      <c r="G286" s="2" t="str">
        <f>IF(Source!$E286=COLUMNS($A286:G286), LEFT(G285, LEN(G285)-Source!$C286), IF(Source!$G286=COLUMNS($A286:G286), G285&amp;RIGHT(INDIRECT(ADDRESS(ROW(G286)-1, Source!$E286)), Source!$C286), G285))</f>
        <v>SCDDHSML</v>
      </c>
      <c r="H286" s="2" t="str">
        <f>IF(Source!$E286=COLUMNS($A286:H286), LEFT(H285, LEN(H285)-Source!$C286), IF(Source!$G286=COLUMNS($A286:H286), H285&amp;RIGHT(INDIRECT(ADDRESS(ROW(H286)-1, Source!$E286)), Source!$C286), H285))</f>
        <v>QDG</v>
      </c>
      <c r="I286" s="2" t="str">
        <f>IF(Source!$E286=COLUMNS($A286:I286), LEFT(I285, LEN(I285)-Source!$C286), IF(Source!$G286=COLUMNS($A286:I286), I285&amp;RIGHT(INDIRECT(ADDRESS(ROW(I286)-1, Source!$E286)), Source!$C286), I285))</f>
        <v/>
      </c>
    </row>
    <row r="287">
      <c r="A287" s="2" t="str">
        <f>IF(Source!$E287=COLUMNS($A287:A287), LEFT(A286, LEN(A286)-Source!$C287), IF(Source!$G287=COLUMNS($A287:A287), A286&amp;RIGHT(INDIRECT(ADDRESS(ROW(A287)-1, Source!$E287)), Source!$C287), A286))</f>
        <v/>
      </c>
      <c r="B287" s="2" t="str">
        <f>IF(Source!$E287=COLUMNS($A287:B287), LEFT(B286, LEN(B286)-Source!$C287), IF(Source!$G287=COLUMNS($A287:B287), B286&amp;RIGHT(INDIRECT(ADDRESS(ROW(B287)-1, Source!$E287)), Source!$C287), B286))</f>
        <v/>
      </c>
      <c r="C287" s="2" t="str">
        <f>IF(Source!$E287=COLUMNS($A287:C287), LEFT(C286, LEN(C286)-Source!$C287), IF(Source!$G287=COLUMNS($A287:C287), C286&amp;RIGHT(INDIRECT(ADDRESS(ROW(C287)-1, Source!$E287)), Source!$C287), C286))</f>
        <v>SWRJTLBTJFLPMQSV</v>
      </c>
      <c r="D287" s="2" t="str">
        <f>IF(Source!$E287=COLUMNS($A287:D287), LEFT(D286, LEN(D286)-Source!$C287), IF(Source!$G287=COLUMNS($A287:D287), D286&amp;RIGHT(INDIRECT(ADDRESS(ROW(D287)-1, Source!$E287)), Source!$C287), D286))</f>
        <v>P</v>
      </c>
      <c r="E287" s="2" t="str">
        <f>IF(Source!$E287=COLUMNS($A287:E287), LEFT(E286, LEN(E286)-Source!$C287), IF(Source!$G287=COLUMNS($A287:E287), E286&amp;RIGHT(INDIRECT(ADDRESS(ROW(E287)-1, Source!$E287)), Source!$C287), E286))</f>
        <v>ZPZBDCWJ</v>
      </c>
      <c r="F287" s="2" t="str">
        <f>IF(Source!$E287=COLUMNS($A287:F287), LEFT(F286, LEN(F286)-Source!$C287), IF(Source!$G287=COLUMNS($A287:F287), F286&amp;RIGHT(INDIRECT(ADDRESS(ROW(F287)-1, Source!$E287)), Source!$C287), F286))</f>
        <v>BVFTVCGTRMDTRTBZHR</v>
      </c>
      <c r="G287" s="2" t="str">
        <f>IF(Source!$E287=COLUMNS($A287:G287), LEFT(G286, LEN(G286)-Source!$C287), IF(Source!$G287=COLUMNS($A287:G287), G286&amp;RIGHT(INDIRECT(ADDRESS(ROW(G287)-1, Source!$E287)), Source!$C287), G286))</f>
        <v>SCDDHSML</v>
      </c>
      <c r="H287" s="2" t="str">
        <f>IF(Source!$E287=COLUMNS($A287:H287), LEFT(H286, LEN(H286)-Source!$C287), IF(Source!$G287=COLUMNS($A287:H287), H286&amp;RIGHT(INDIRECT(ADDRESS(ROW(H287)-1, Source!$E287)), Source!$C287), H286))</f>
        <v>QDGDR</v>
      </c>
      <c r="I287" s="2" t="str">
        <f>IF(Source!$E287=COLUMNS($A287:I287), LEFT(I286, LEN(I286)-Source!$C287), IF(Source!$G287=COLUMNS($A287:I287), I286&amp;RIGHT(INDIRECT(ADDRESS(ROW(I287)-1, Source!$E287)), Source!$C287), I286))</f>
        <v/>
      </c>
    </row>
    <row r="288">
      <c r="A288" s="2" t="str">
        <f>IF(Source!$E288=COLUMNS($A288:A288), LEFT(A287, LEN(A287)-Source!$C288), IF(Source!$G288=COLUMNS($A288:A288), A287&amp;RIGHT(INDIRECT(ADDRESS(ROW(A288)-1, Source!$E288)), Source!$C288), A287))</f>
        <v>VCGTRMDTRTBZHR</v>
      </c>
      <c r="B288" s="2" t="str">
        <f>IF(Source!$E288=COLUMNS($A288:B288), LEFT(B287, LEN(B287)-Source!$C288), IF(Source!$G288=COLUMNS($A288:B288), B287&amp;RIGHT(INDIRECT(ADDRESS(ROW(B288)-1, Source!$E288)), Source!$C288), B287))</f>
        <v/>
      </c>
      <c r="C288" s="2" t="str">
        <f>IF(Source!$E288=COLUMNS($A288:C288), LEFT(C287, LEN(C287)-Source!$C288), IF(Source!$G288=COLUMNS($A288:C288), C287&amp;RIGHT(INDIRECT(ADDRESS(ROW(C288)-1, Source!$E288)), Source!$C288), C287))</f>
        <v>SWRJTLBTJFLPMQSV</v>
      </c>
      <c r="D288" s="2" t="str">
        <f>IF(Source!$E288=COLUMNS($A288:D288), LEFT(D287, LEN(D287)-Source!$C288), IF(Source!$G288=COLUMNS($A288:D288), D287&amp;RIGHT(INDIRECT(ADDRESS(ROW(D288)-1, Source!$E288)), Source!$C288), D287))</f>
        <v>P</v>
      </c>
      <c r="E288" s="2" t="str">
        <f>IF(Source!$E288=COLUMNS($A288:E288), LEFT(E287, LEN(E287)-Source!$C288), IF(Source!$G288=COLUMNS($A288:E288), E287&amp;RIGHT(INDIRECT(ADDRESS(ROW(E288)-1, Source!$E288)), Source!$C288), E287))</f>
        <v>ZPZBDCWJ</v>
      </c>
      <c r="F288" s="2" t="str">
        <f>IF(Source!$E288=COLUMNS($A288:F288), LEFT(F287, LEN(F287)-Source!$C288), IF(Source!$G288=COLUMNS($A288:F288), F287&amp;RIGHT(INDIRECT(ADDRESS(ROW(F288)-1, Source!$E288)), Source!$C288), F287))</f>
        <v>BVFT</v>
      </c>
      <c r="G288" s="2" t="str">
        <f>IF(Source!$E288=COLUMNS($A288:G288), LEFT(G287, LEN(G287)-Source!$C288), IF(Source!$G288=COLUMNS($A288:G288), G287&amp;RIGHT(INDIRECT(ADDRESS(ROW(G288)-1, Source!$E288)), Source!$C288), G287))</f>
        <v>SCDDHSML</v>
      </c>
      <c r="H288" s="2" t="str">
        <f>IF(Source!$E288=COLUMNS($A288:H288), LEFT(H287, LEN(H287)-Source!$C288), IF(Source!$G288=COLUMNS($A288:H288), H287&amp;RIGHT(INDIRECT(ADDRESS(ROW(H288)-1, Source!$E288)), Source!$C288), H287))</f>
        <v>QDGDR</v>
      </c>
      <c r="I288" s="2" t="str">
        <f>IF(Source!$E288=COLUMNS($A288:I288), LEFT(I287, LEN(I287)-Source!$C288), IF(Source!$G288=COLUMNS($A288:I288), I287&amp;RIGHT(INDIRECT(ADDRESS(ROW(I288)-1, Source!$E288)), Source!$C288), I287))</f>
        <v/>
      </c>
    </row>
    <row r="289">
      <c r="A289" s="2" t="str">
        <f>IF(Source!$E289=COLUMNS($A289:A289), LEFT(A288, LEN(A288)-Source!$C289), IF(Source!$G289=COLUMNS($A289:A289), A288&amp;RIGHT(INDIRECT(ADDRESS(ROW(A289)-1, Source!$E289)), Source!$C289), A288))</f>
        <v>VCGTRMDTRTBZHR</v>
      </c>
      <c r="B289" s="2" t="str">
        <f>IF(Source!$E289=COLUMNS($A289:B289), LEFT(B288, LEN(B288)-Source!$C289), IF(Source!$G289=COLUMNS($A289:B289), B288&amp;RIGHT(INDIRECT(ADDRESS(ROW(B289)-1, Source!$E289)), Source!$C289), B288))</f>
        <v/>
      </c>
      <c r="C289" s="2" t="str">
        <f>IF(Source!$E289=COLUMNS($A289:C289), LEFT(C288, LEN(C288)-Source!$C289), IF(Source!$G289=COLUMNS($A289:C289), C288&amp;RIGHT(INDIRECT(ADDRESS(ROW(C289)-1, Source!$E289)), Source!$C289), C288))</f>
        <v>SWRJTLBTJFLPMQSV</v>
      </c>
      <c r="D289" s="2" t="str">
        <f>IF(Source!$E289=COLUMNS($A289:D289), LEFT(D288, LEN(D288)-Source!$C289), IF(Source!$G289=COLUMNS($A289:D289), D288&amp;RIGHT(INDIRECT(ADDRESS(ROW(D289)-1, Source!$E289)), Source!$C289), D288))</f>
        <v>P</v>
      </c>
      <c r="E289" s="2" t="str">
        <f>IF(Source!$E289=COLUMNS($A289:E289), LEFT(E288, LEN(E288)-Source!$C289), IF(Source!$G289=COLUMNS($A289:E289), E288&amp;RIGHT(INDIRECT(ADDRESS(ROW(E289)-1, Source!$E289)), Source!$C289), E288))</f>
        <v>ZP</v>
      </c>
      <c r="F289" s="2" t="str">
        <f>IF(Source!$E289=COLUMNS($A289:F289), LEFT(F288, LEN(F288)-Source!$C289), IF(Source!$G289=COLUMNS($A289:F289), F288&amp;RIGHT(INDIRECT(ADDRESS(ROW(F289)-1, Source!$E289)), Source!$C289), F288))</f>
        <v>BVFTZBDCWJ</v>
      </c>
      <c r="G289" s="2" t="str">
        <f>IF(Source!$E289=COLUMNS($A289:G289), LEFT(G288, LEN(G288)-Source!$C289), IF(Source!$G289=COLUMNS($A289:G289), G288&amp;RIGHT(INDIRECT(ADDRESS(ROW(G289)-1, Source!$E289)), Source!$C289), G288))</f>
        <v>SCDDHSML</v>
      </c>
      <c r="H289" s="2" t="str">
        <f>IF(Source!$E289=COLUMNS($A289:H289), LEFT(H288, LEN(H288)-Source!$C289), IF(Source!$G289=COLUMNS($A289:H289), H288&amp;RIGHT(INDIRECT(ADDRESS(ROW(H289)-1, Source!$E289)), Source!$C289), H288))</f>
        <v>QDGDR</v>
      </c>
      <c r="I289" s="2" t="str">
        <f>IF(Source!$E289=COLUMNS($A289:I289), LEFT(I288, LEN(I288)-Source!$C289), IF(Source!$G289=COLUMNS($A289:I289), I288&amp;RIGHT(INDIRECT(ADDRESS(ROW(I289)-1, Source!$E289)), Source!$C289), I288))</f>
        <v/>
      </c>
    </row>
    <row r="290">
      <c r="A290" s="2" t="str">
        <f>IF(Source!$E290=COLUMNS($A290:A290), LEFT(A289, LEN(A289)-Source!$C290), IF(Source!$G290=COLUMNS($A290:A290), A289&amp;RIGHT(INDIRECT(ADDRESS(ROW(A290)-1, Source!$E290)), Source!$C290), A289))</f>
        <v>VCGTRMDTRTBZHR</v>
      </c>
      <c r="B290" s="2" t="str">
        <f>IF(Source!$E290=COLUMNS($A290:B290), LEFT(B289, LEN(B289)-Source!$C290), IF(Source!$G290=COLUMNS($A290:B290), B289&amp;RIGHT(INDIRECT(ADDRESS(ROW(B290)-1, Source!$E290)), Source!$C290), B289))</f>
        <v>P</v>
      </c>
      <c r="C290" s="2" t="str">
        <f>IF(Source!$E290=COLUMNS($A290:C290), LEFT(C289, LEN(C289)-Source!$C290), IF(Source!$G290=COLUMNS($A290:C290), C289&amp;RIGHT(INDIRECT(ADDRESS(ROW(C290)-1, Source!$E290)), Source!$C290), C289))</f>
        <v>SWRJTLBTJFLPMQSV</v>
      </c>
      <c r="D290" s="2" t="str">
        <f>IF(Source!$E290=COLUMNS($A290:D290), LEFT(D289, LEN(D289)-Source!$C290), IF(Source!$G290=COLUMNS($A290:D290), D289&amp;RIGHT(INDIRECT(ADDRESS(ROW(D290)-1, Source!$E290)), Source!$C290), D289))</f>
        <v>P</v>
      </c>
      <c r="E290" s="2" t="str">
        <f>IF(Source!$E290=COLUMNS($A290:E290), LEFT(E289, LEN(E289)-Source!$C290), IF(Source!$G290=COLUMNS($A290:E290), E289&amp;RIGHT(INDIRECT(ADDRESS(ROW(E290)-1, Source!$E290)), Source!$C290), E289))</f>
        <v>Z</v>
      </c>
      <c r="F290" s="2" t="str">
        <f>IF(Source!$E290=COLUMNS($A290:F290), LEFT(F289, LEN(F289)-Source!$C290), IF(Source!$G290=COLUMNS($A290:F290), F289&amp;RIGHT(INDIRECT(ADDRESS(ROW(F290)-1, Source!$E290)), Source!$C290), F289))</f>
        <v>BVFTZBDCWJ</v>
      </c>
      <c r="G290" s="2" t="str">
        <f>IF(Source!$E290=COLUMNS($A290:G290), LEFT(G289, LEN(G289)-Source!$C290), IF(Source!$G290=COLUMNS($A290:G290), G289&amp;RIGHT(INDIRECT(ADDRESS(ROW(G290)-1, Source!$E290)), Source!$C290), G289))</f>
        <v>SCDDHSML</v>
      </c>
      <c r="H290" s="2" t="str">
        <f>IF(Source!$E290=COLUMNS($A290:H290), LEFT(H289, LEN(H289)-Source!$C290), IF(Source!$G290=COLUMNS($A290:H290), H289&amp;RIGHT(INDIRECT(ADDRESS(ROW(H290)-1, Source!$E290)), Source!$C290), H289))</f>
        <v>QDGDR</v>
      </c>
      <c r="I290" s="2" t="str">
        <f>IF(Source!$E290=COLUMNS($A290:I290), LEFT(I289, LEN(I289)-Source!$C290), IF(Source!$G290=COLUMNS($A290:I290), I289&amp;RIGHT(INDIRECT(ADDRESS(ROW(I290)-1, Source!$E290)), Source!$C290), I289))</f>
        <v/>
      </c>
    </row>
    <row r="291">
      <c r="A291" s="2" t="str">
        <f>IF(Source!$E291=COLUMNS($A291:A291), LEFT(A290, LEN(A290)-Source!$C291), IF(Source!$G291=COLUMNS($A291:A291), A290&amp;RIGHT(INDIRECT(ADDRESS(ROW(A291)-1, Source!$E291)), Source!$C291), A290))</f>
        <v>VCGTRMD</v>
      </c>
      <c r="B291" s="2" t="str">
        <f>IF(Source!$E291=COLUMNS($A291:B291), LEFT(B290, LEN(B290)-Source!$C291), IF(Source!$G291=COLUMNS($A291:B291), B290&amp;RIGHT(INDIRECT(ADDRESS(ROW(B291)-1, Source!$E291)), Source!$C291), B290))</f>
        <v>P</v>
      </c>
      <c r="C291" s="2" t="str">
        <f>IF(Source!$E291=COLUMNS($A291:C291), LEFT(C290, LEN(C290)-Source!$C291), IF(Source!$G291=COLUMNS($A291:C291), C290&amp;RIGHT(INDIRECT(ADDRESS(ROW(C291)-1, Source!$E291)), Source!$C291), C290))</f>
        <v>SWRJTLBTJFLPMQSV</v>
      </c>
      <c r="D291" s="2" t="str">
        <f>IF(Source!$E291=COLUMNS($A291:D291), LEFT(D290, LEN(D290)-Source!$C291), IF(Source!$G291=COLUMNS($A291:D291), D290&amp;RIGHT(INDIRECT(ADDRESS(ROW(D291)-1, Source!$E291)), Source!$C291), D290))</f>
        <v>P</v>
      </c>
      <c r="E291" s="2" t="str">
        <f>IF(Source!$E291=COLUMNS($A291:E291), LEFT(E290, LEN(E290)-Source!$C291), IF(Source!$G291=COLUMNS($A291:E291), E290&amp;RIGHT(INDIRECT(ADDRESS(ROW(E291)-1, Source!$E291)), Source!$C291), E290))</f>
        <v>Z</v>
      </c>
      <c r="F291" s="2" t="str">
        <f>IF(Source!$E291=COLUMNS($A291:F291), LEFT(F290, LEN(F290)-Source!$C291), IF(Source!$G291=COLUMNS($A291:F291), F290&amp;RIGHT(INDIRECT(ADDRESS(ROW(F291)-1, Source!$E291)), Source!$C291), F290))</f>
        <v>BVFTZBDCWJTRTBZHR</v>
      </c>
      <c r="G291" s="2" t="str">
        <f>IF(Source!$E291=COLUMNS($A291:G291), LEFT(G290, LEN(G290)-Source!$C291), IF(Source!$G291=COLUMNS($A291:G291), G290&amp;RIGHT(INDIRECT(ADDRESS(ROW(G291)-1, Source!$E291)), Source!$C291), G290))</f>
        <v>SCDDHSML</v>
      </c>
      <c r="H291" s="2" t="str">
        <f>IF(Source!$E291=COLUMNS($A291:H291), LEFT(H290, LEN(H290)-Source!$C291), IF(Source!$G291=COLUMNS($A291:H291), H290&amp;RIGHT(INDIRECT(ADDRESS(ROW(H291)-1, Source!$E291)), Source!$C291), H290))</f>
        <v>QDGDR</v>
      </c>
      <c r="I291" s="2" t="str">
        <f>IF(Source!$E291=COLUMNS($A291:I291), LEFT(I290, LEN(I290)-Source!$C291), IF(Source!$G291=COLUMNS($A291:I291), I290&amp;RIGHT(INDIRECT(ADDRESS(ROW(I291)-1, Source!$E291)), Source!$C291), I290))</f>
        <v/>
      </c>
    </row>
    <row r="292">
      <c r="A292" s="2" t="str">
        <f>IF(Source!$E292=COLUMNS($A292:A292), LEFT(A291, LEN(A291)-Source!$C292), IF(Source!$G292=COLUMNS($A292:A292), A291&amp;RIGHT(INDIRECT(ADDRESS(ROW(A292)-1, Source!$E292)), Source!$C292), A291))</f>
        <v>VCGTRMD</v>
      </c>
      <c r="B292" s="2" t="str">
        <f>IF(Source!$E292=COLUMNS($A292:B292), LEFT(B291, LEN(B291)-Source!$C292), IF(Source!$G292=COLUMNS($A292:B292), B291&amp;RIGHT(INDIRECT(ADDRESS(ROW(B292)-1, Source!$E292)), Source!$C292), B291))</f>
        <v/>
      </c>
      <c r="C292" s="2" t="str">
        <f>IF(Source!$E292=COLUMNS($A292:C292), LEFT(C291, LEN(C291)-Source!$C292), IF(Source!$G292=COLUMNS($A292:C292), C291&amp;RIGHT(INDIRECT(ADDRESS(ROW(C292)-1, Source!$E292)), Source!$C292), C291))</f>
        <v>SWRJTLBTJFLPMQSV</v>
      </c>
      <c r="D292" s="2" t="str">
        <f>IF(Source!$E292=COLUMNS($A292:D292), LEFT(D291, LEN(D291)-Source!$C292), IF(Source!$G292=COLUMNS($A292:D292), D291&amp;RIGHT(INDIRECT(ADDRESS(ROW(D292)-1, Source!$E292)), Source!$C292), D291))</f>
        <v>PP</v>
      </c>
      <c r="E292" s="2" t="str">
        <f>IF(Source!$E292=COLUMNS($A292:E292), LEFT(E291, LEN(E291)-Source!$C292), IF(Source!$G292=COLUMNS($A292:E292), E291&amp;RIGHT(INDIRECT(ADDRESS(ROW(E292)-1, Source!$E292)), Source!$C292), E291))</f>
        <v>Z</v>
      </c>
      <c r="F292" s="2" t="str">
        <f>IF(Source!$E292=COLUMNS($A292:F292), LEFT(F291, LEN(F291)-Source!$C292), IF(Source!$G292=COLUMNS($A292:F292), F291&amp;RIGHT(INDIRECT(ADDRESS(ROW(F292)-1, Source!$E292)), Source!$C292), F291))</f>
        <v>BVFTZBDCWJTRTBZHR</v>
      </c>
      <c r="G292" s="2" t="str">
        <f>IF(Source!$E292=COLUMNS($A292:G292), LEFT(G291, LEN(G291)-Source!$C292), IF(Source!$G292=COLUMNS($A292:G292), G291&amp;RIGHT(INDIRECT(ADDRESS(ROW(G292)-1, Source!$E292)), Source!$C292), G291))</f>
        <v>SCDDHSML</v>
      </c>
      <c r="H292" s="2" t="str">
        <f>IF(Source!$E292=COLUMNS($A292:H292), LEFT(H291, LEN(H291)-Source!$C292), IF(Source!$G292=COLUMNS($A292:H292), H291&amp;RIGHT(INDIRECT(ADDRESS(ROW(H292)-1, Source!$E292)), Source!$C292), H291))</f>
        <v>QDGDR</v>
      </c>
      <c r="I292" s="2" t="str">
        <f>IF(Source!$E292=COLUMNS($A292:I292), LEFT(I291, LEN(I291)-Source!$C292), IF(Source!$G292=COLUMNS($A292:I292), I291&amp;RIGHT(INDIRECT(ADDRESS(ROW(I292)-1, Source!$E292)), Source!$C292), I291))</f>
        <v/>
      </c>
    </row>
    <row r="293">
      <c r="A293" s="2" t="str">
        <f>IF(Source!$E293=COLUMNS($A293:A293), LEFT(A292, LEN(A292)-Source!$C293), IF(Source!$G293=COLUMNS($A293:A293), A292&amp;RIGHT(INDIRECT(ADDRESS(ROW(A293)-1, Source!$E293)), Source!$C293), A292))</f>
        <v>VCGTRMD</v>
      </c>
      <c r="B293" s="2" t="str">
        <f>IF(Source!$E293=COLUMNS($A293:B293), LEFT(B292, LEN(B292)-Source!$C293), IF(Source!$G293=COLUMNS($A293:B293), B292&amp;RIGHT(INDIRECT(ADDRESS(ROW(B293)-1, Source!$E293)), Source!$C293), B292))</f>
        <v/>
      </c>
      <c r="C293" s="2" t="str">
        <f>IF(Source!$E293=COLUMNS($A293:C293), LEFT(C292, LEN(C292)-Source!$C293), IF(Source!$G293=COLUMNS($A293:C293), C292&amp;RIGHT(INDIRECT(ADDRESS(ROW(C293)-1, Source!$E293)), Source!$C293), C292))</f>
        <v>SWRJTLBTJFLPMQSV</v>
      </c>
      <c r="D293" s="2" t="str">
        <f>IF(Source!$E293=COLUMNS($A293:D293), LEFT(D292, LEN(D292)-Source!$C293), IF(Source!$G293=COLUMNS($A293:D293), D292&amp;RIGHT(INDIRECT(ADDRESS(ROW(D293)-1, Source!$E293)), Source!$C293), D292))</f>
        <v>PPBZHR</v>
      </c>
      <c r="E293" s="2" t="str">
        <f>IF(Source!$E293=COLUMNS($A293:E293), LEFT(E292, LEN(E292)-Source!$C293), IF(Source!$G293=COLUMNS($A293:E293), E292&amp;RIGHT(INDIRECT(ADDRESS(ROW(E293)-1, Source!$E293)), Source!$C293), E292))</f>
        <v>Z</v>
      </c>
      <c r="F293" s="2" t="str">
        <f>IF(Source!$E293=COLUMNS($A293:F293), LEFT(F292, LEN(F292)-Source!$C293), IF(Source!$G293=COLUMNS($A293:F293), F292&amp;RIGHT(INDIRECT(ADDRESS(ROW(F293)-1, Source!$E293)), Source!$C293), F292))</f>
        <v>BVFTZBDCWJTRT</v>
      </c>
      <c r="G293" s="2" t="str">
        <f>IF(Source!$E293=COLUMNS($A293:G293), LEFT(G292, LEN(G292)-Source!$C293), IF(Source!$G293=COLUMNS($A293:G293), G292&amp;RIGHT(INDIRECT(ADDRESS(ROW(G293)-1, Source!$E293)), Source!$C293), G292))</f>
        <v>SCDDHSML</v>
      </c>
      <c r="H293" s="2" t="str">
        <f>IF(Source!$E293=COLUMNS($A293:H293), LEFT(H292, LEN(H292)-Source!$C293), IF(Source!$G293=COLUMNS($A293:H293), H292&amp;RIGHT(INDIRECT(ADDRESS(ROW(H293)-1, Source!$E293)), Source!$C293), H292))</f>
        <v>QDGDR</v>
      </c>
      <c r="I293" s="2" t="str">
        <f>IF(Source!$E293=COLUMNS($A293:I293), LEFT(I292, LEN(I292)-Source!$C293), IF(Source!$G293=COLUMNS($A293:I293), I292&amp;RIGHT(INDIRECT(ADDRESS(ROW(I293)-1, Source!$E293)), Source!$C293), I292))</f>
        <v/>
      </c>
    </row>
    <row r="294">
      <c r="A294" s="2" t="str">
        <f>IF(Source!$E294=COLUMNS($A294:A294), LEFT(A293, LEN(A293)-Source!$C294), IF(Source!$G294=COLUMNS($A294:A294), A293&amp;RIGHT(INDIRECT(ADDRESS(ROW(A294)-1, Source!$E294)), Source!$C294), A293))</f>
        <v>VCGTRMD</v>
      </c>
      <c r="B294" s="2" t="str">
        <f>IF(Source!$E294=COLUMNS($A294:B294), LEFT(B293, LEN(B293)-Source!$C294), IF(Source!$G294=COLUMNS($A294:B294), B293&amp;RIGHT(INDIRECT(ADDRESS(ROW(B294)-1, Source!$E294)), Source!$C294), B293))</f>
        <v/>
      </c>
      <c r="C294" s="2" t="str">
        <f>IF(Source!$E294=COLUMNS($A294:C294), LEFT(C293, LEN(C293)-Source!$C294), IF(Source!$G294=COLUMNS($A294:C294), C293&amp;RIGHT(INDIRECT(ADDRESS(ROW(C294)-1, Source!$E294)), Source!$C294), C293))</f>
        <v>SWRJTLBTJFLPMQSV</v>
      </c>
      <c r="D294" s="2" t="str">
        <f>IF(Source!$E294=COLUMNS($A294:D294), LEFT(D293, LEN(D293)-Source!$C294), IF(Source!$G294=COLUMNS($A294:D294), D293&amp;RIGHT(INDIRECT(ADDRESS(ROW(D294)-1, Source!$E294)), Source!$C294), D293))</f>
        <v>PPBZHRZ</v>
      </c>
      <c r="E294" s="2" t="str">
        <f>IF(Source!$E294=COLUMNS($A294:E294), LEFT(E293, LEN(E293)-Source!$C294), IF(Source!$G294=COLUMNS($A294:E294), E293&amp;RIGHT(INDIRECT(ADDRESS(ROW(E294)-1, Source!$E294)), Source!$C294), E293))</f>
        <v/>
      </c>
      <c r="F294" s="2" t="str">
        <f>IF(Source!$E294=COLUMNS($A294:F294), LEFT(F293, LEN(F293)-Source!$C294), IF(Source!$G294=COLUMNS($A294:F294), F293&amp;RIGHT(INDIRECT(ADDRESS(ROW(F294)-1, Source!$E294)), Source!$C294), F293))</f>
        <v>BVFTZBDCWJTRT</v>
      </c>
      <c r="G294" s="2" t="str">
        <f>IF(Source!$E294=COLUMNS($A294:G294), LEFT(G293, LEN(G293)-Source!$C294), IF(Source!$G294=COLUMNS($A294:G294), G293&amp;RIGHT(INDIRECT(ADDRESS(ROW(G294)-1, Source!$E294)), Source!$C294), G293))</f>
        <v>SCDDHSML</v>
      </c>
      <c r="H294" s="2" t="str">
        <f>IF(Source!$E294=COLUMNS($A294:H294), LEFT(H293, LEN(H293)-Source!$C294), IF(Source!$G294=COLUMNS($A294:H294), H293&amp;RIGHT(INDIRECT(ADDRESS(ROW(H294)-1, Source!$E294)), Source!$C294), H293))</f>
        <v>QDGDR</v>
      </c>
      <c r="I294" s="2" t="str">
        <f>IF(Source!$E294=COLUMNS($A294:I294), LEFT(I293, LEN(I293)-Source!$C294), IF(Source!$G294=COLUMNS($A294:I294), I293&amp;RIGHT(INDIRECT(ADDRESS(ROW(I294)-1, Source!$E294)), Source!$C294), I293))</f>
        <v/>
      </c>
    </row>
    <row r="295">
      <c r="A295" s="2" t="str">
        <f>IF(Source!$E295=COLUMNS($A295:A295), LEFT(A294, LEN(A294)-Source!$C295), IF(Source!$G295=COLUMNS($A295:A295), A294&amp;RIGHT(INDIRECT(ADDRESS(ROW(A295)-1, Source!$E295)), Source!$C295), A294))</f>
        <v>VCGTR</v>
      </c>
      <c r="B295" s="2" t="str">
        <f>IF(Source!$E295=COLUMNS($A295:B295), LEFT(B294, LEN(B294)-Source!$C295), IF(Source!$G295=COLUMNS($A295:B295), B294&amp;RIGHT(INDIRECT(ADDRESS(ROW(B295)-1, Source!$E295)), Source!$C295), B294))</f>
        <v/>
      </c>
      <c r="C295" s="2" t="str">
        <f>IF(Source!$E295=COLUMNS($A295:C295), LEFT(C294, LEN(C294)-Source!$C295), IF(Source!$G295=COLUMNS($A295:C295), C294&amp;RIGHT(INDIRECT(ADDRESS(ROW(C295)-1, Source!$E295)), Source!$C295), C294))</f>
        <v>SWRJTLBTJFLPMQSV</v>
      </c>
      <c r="D295" s="2" t="str">
        <f>IF(Source!$E295=COLUMNS($A295:D295), LEFT(D294, LEN(D294)-Source!$C295), IF(Source!$G295=COLUMNS($A295:D295), D294&amp;RIGHT(INDIRECT(ADDRESS(ROW(D295)-1, Source!$E295)), Source!$C295), D294))</f>
        <v>PPBZHRZ</v>
      </c>
      <c r="E295" s="2" t="str">
        <f>IF(Source!$E295=COLUMNS($A295:E295), LEFT(E294, LEN(E294)-Source!$C295), IF(Source!$G295=COLUMNS($A295:E295), E294&amp;RIGHT(INDIRECT(ADDRESS(ROW(E295)-1, Source!$E295)), Source!$C295), E294))</f>
        <v/>
      </c>
      <c r="F295" s="2" t="str">
        <f>IF(Source!$E295=COLUMNS($A295:F295), LEFT(F294, LEN(F294)-Source!$C295), IF(Source!$G295=COLUMNS($A295:F295), F294&amp;RIGHT(INDIRECT(ADDRESS(ROW(F295)-1, Source!$E295)), Source!$C295), F294))</f>
        <v>BVFTZBDCWJTRT</v>
      </c>
      <c r="G295" s="2" t="str">
        <f>IF(Source!$E295=COLUMNS($A295:G295), LEFT(G294, LEN(G294)-Source!$C295), IF(Source!$G295=COLUMNS($A295:G295), G294&amp;RIGHT(INDIRECT(ADDRESS(ROW(G295)-1, Source!$E295)), Source!$C295), G294))</f>
        <v>SCDDHSML</v>
      </c>
      <c r="H295" s="2" t="str">
        <f>IF(Source!$E295=COLUMNS($A295:H295), LEFT(H294, LEN(H294)-Source!$C295), IF(Source!$G295=COLUMNS($A295:H295), H294&amp;RIGHT(INDIRECT(ADDRESS(ROW(H295)-1, Source!$E295)), Source!$C295), H294))</f>
        <v>QDGDR</v>
      </c>
      <c r="I295" s="2" t="str">
        <f>IF(Source!$E295=COLUMNS($A295:I295), LEFT(I294, LEN(I294)-Source!$C295), IF(Source!$G295=COLUMNS($A295:I295), I294&amp;RIGHT(INDIRECT(ADDRESS(ROW(I295)-1, Source!$E295)), Source!$C295), I294))</f>
        <v>MD</v>
      </c>
    </row>
    <row r="296">
      <c r="A296" s="2" t="str">
        <f>IF(Source!$E296=COLUMNS($A296:A296), LEFT(A295, LEN(A295)-Source!$C296), IF(Source!$G296=COLUMNS($A296:A296), A295&amp;RIGHT(INDIRECT(ADDRESS(ROW(A296)-1, Source!$E296)), Source!$C296), A295))</f>
        <v>VCGTR</v>
      </c>
      <c r="B296" s="2" t="str">
        <f>IF(Source!$E296=COLUMNS($A296:B296), LEFT(B295, LEN(B295)-Source!$C296), IF(Source!$G296=COLUMNS($A296:B296), B295&amp;RIGHT(INDIRECT(ADDRESS(ROW(B296)-1, Source!$E296)), Source!$C296), B295))</f>
        <v/>
      </c>
      <c r="C296" s="2" t="str">
        <f>IF(Source!$E296=COLUMNS($A296:C296), LEFT(C295, LEN(C295)-Source!$C296), IF(Source!$G296=COLUMNS($A296:C296), C295&amp;RIGHT(INDIRECT(ADDRESS(ROW(C296)-1, Source!$E296)), Source!$C296), C295))</f>
        <v>SWRJTLBTJFLPMQSV</v>
      </c>
      <c r="D296" s="2" t="str">
        <f>IF(Source!$E296=COLUMNS($A296:D296), LEFT(D295, LEN(D295)-Source!$C296), IF(Source!$G296=COLUMNS($A296:D296), D295&amp;RIGHT(INDIRECT(ADDRESS(ROW(D296)-1, Source!$E296)), Source!$C296), D295))</f>
        <v>PPBZHRZMD</v>
      </c>
      <c r="E296" s="2" t="str">
        <f>IF(Source!$E296=COLUMNS($A296:E296), LEFT(E295, LEN(E295)-Source!$C296), IF(Source!$G296=COLUMNS($A296:E296), E295&amp;RIGHT(INDIRECT(ADDRESS(ROW(E296)-1, Source!$E296)), Source!$C296), E295))</f>
        <v/>
      </c>
      <c r="F296" s="2" t="str">
        <f>IF(Source!$E296=COLUMNS($A296:F296), LEFT(F295, LEN(F295)-Source!$C296), IF(Source!$G296=COLUMNS($A296:F296), F295&amp;RIGHT(INDIRECT(ADDRESS(ROW(F296)-1, Source!$E296)), Source!$C296), F295))</f>
        <v>BVFTZBDCWJTRT</v>
      </c>
      <c r="G296" s="2" t="str">
        <f>IF(Source!$E296=COLUMNS($A296:G296), LEFT(G295, LEN(G295)-Source!$C296), IF(Source!$G296=COLUMNS($A296:G296), G295&amp;RIGHT(INDIRECT(ADDRESS(ROW(G296)-1, Source!$E296)), Source!$C296), G295))</f>
        <v>SCDDHSML</v>
      </c>
      <c r="H296" s="2" t="str">
        <f>IF(Source!$E296=COLUMNS($A296:H296), LEFT(H295, LEN(H295)-Source!$C296), IF(Source!$G296=COLUMNS($A296:H296), H295&amp;RIGHT(INDIRECT(ADDRESS(ROW(H296)-1, Source!$E296)), Source!$C296), H295))</f>
        <v>QDGDR</v>
      </c>
      <c r="I296" s="2" t="str">
        <f>IF(Source!$E296=COLUMNS($A296:I296), LEFT(I295, LEN(I295)-Source!$C296), IF(Source!$G296=COLUMNS($A296:I296), I295&amp;RIGHT(INDIRECT(ADDRESS(ROW(I296)-1, Source!$E296)), Source!$C296), I295))</f>
        <v/>
      </c>
    </row>
    <row r="297">
      <c r="A297" s="2" t="str">
        <f>IF(Source!$E297=COLUMNS($A297:A297), LEFT(A296, LEN(A296)-Source!$C297), IF(Source!$G297=COLUMNS($A297:A297), A296&amp;RIGHT(INDIRECT(ADDRESS(ROW(A297)-1, Source!$E297)), Source!$C297), A296))</f>
        <v>VCG</v>
      </c>
      <c r="B297" s="2" t="str">
        <f>IF(Source!$E297=COLUMNS($A297:B297), LEFT(B296, LEN(B296)-Source!$C297), IF(Source!$G297=COLUMNS($A297:B297), B296&amp;RIGHT(INDIRECT(ADDRESS(ROW(B297)-1, Source!$E297)), Source!$C297), B296))</f>
        <v/>
      </c>
      <c r="C297" s="2" t="str">
        <f>IF(Source!$E297=COLUMNS($A297:C297), LEFT(C296, LEN(C296)-Source!$C297), IF(Source!$G297=COLUMNS($A297:C297), C296&amp;RIGHT(INDIRECT(ADDRESS(ROW(C297)-1, Source!$E297)), Source!$C297), C296))</f>
        <v>SWRJTLBTJFLPMQSV</v>
      </c>
      <c r="D297" s="2" t="str">
        <f>IF(Source!$E297=COLUMNS($A297:D297), LEFT(D296, LEN(D296)-Source!$C297), IF(Source!$G297=COLUMNS($A297:D297), D296&amp;RIGHT(INDIRECT(ADDRESS(ROW(D297)-1, Source!$E297)), Source!$C297), D296))</f>
        <v>PPBZHRZMD</v>
      </c>
      <c r="E297" s="2" t="str">
        <f>IF(Source!$E297=COLUMNS($A297:E297), LEFT(E296, LEN(E296)-Source!$C297), IF(Source!$G297=COLUMNS($A297:E297), E296&amp;RIGHT(INDIRECT(ADDRESS(ROW(E297)-1, Source!$E297)), Source!$C297), E296))</f>
        <v/>
      </c>
      <c r="F297" s="2" t="str">
        <f>IF(Source!$E297=COLUMNS($A297:F297), LEFT(F296, LEN(F296)-Source!$C297), IF(Source!$G297=COLUMNS($A297:F297), F296&amp;RIGHT(INDIRECT(ADDRESS(ROW(F297)-1, Source!$E297)), Source!$C297), F296))</f>
        <v>BVFTZBDCWJTRT</v>
      </c>
      <c r="G297" s="2" t="str">
        <f>IF(Source!$E297=COLUMNS($A297:G297), LEFT(G296, LEN(G296)-Source!$C297), IF(Source!$G297=COLUMNS($A297:G297), G296&amp;RIGHT(INDIRECT(ADDRESS(ROW(G297)-1, Source!$E297)), Source!$C297), G296))</f>
        <v>SCDDHSML</v>
      </c>
      <c r="H297" s="2" t="str">
        <f>IF(Source!$E297=COLUMNS($A297:H297), LEFT(H296, LEN(H296)-Source!$C297), IF(Source!$G297=COLUMNS($A297:H297), H296&amp;RIGHT(INDIRECT(ADDRESS(ROW(H297)-1, Source!$E297)), Source!$C297), H296))</f>
        <v>QDGDRTR</v>
      </c>
      <c r="I297" s="2" t="str">
        <f>IF(Source!$E297=COLUMNS($A297:I297), LEFT(I296, LEN(I296)-Source!$C297), IF(Source!$G297=COLUMNS($A297:I297), I296&amp;RIGHT(INDIRECT(ADDRESS(ROW(I297)-1, Source!$E297)), Source!$C297), I296))</f>
        <v/>
      </c>
    </row>
    <row r="298">
      <c r="A298" s="2" t="str">
        <f>IF(Source!$E298=COLUMNS($A298:A298), LEFT(A297, LEN(A297)-Source!$C298), IF(Source!$G298=COLUMNS($A298:A298), A297&amp;RIGHT(INDIRECT(ADDRESS(ROW(A298)-1, Source!$E298)), Source!$C298), A297))</f>
        <v>VCG</v>
      </c>
      <c r="B298" s="2" t="str">
        <f>IF(Source!$E298=COLUMNS($A298:B298), LEFT(B297, LEN(B297)-Source!$C298), IF(Source!$G298=COLUMNS($A298:B298), B297&amp;RIGHT(INDIRECT(ADDRESS(ROW(B298)-1, Source!$E298)), Source!$C298), B297))</f>
        <v/>
      </c>
      <c r="C298" s="2" t="str">
        <f>IF(Source!$E298=COLUMNS($A298:C298), LEFT(C297, LEN(C297)-Source!$C298), IF(Source!$G298=COLUMNS($A298:C298), C297&amp;RIGHT(INDIRECT(ADDRESS(ROW(C298)-1, Source!$E298)), Source!$C298), C297))</f>
        <v>SWRJTLB</v>
      </c>
      <c r="D298" s="2" t="str">
        <f>IF(Source!$E298=COLUMNS($A298:D298), LEFT(D297, LEN(D297)-Source!$C298), IF(Source!$G298=COLUMNS($A298:D298), D297&amp;RIGHT(INDIRECT(ADDRESS(ROW(D298)-1, Source!$E298)), Source!$C298), D297))</f>
        <v>PPBZHRZMD</v>
      </c>
      <c r="E298" s="2" t="str">
        <f>IF(Source!$E298=COLUMNS($A298:E298), LEFT(E297, LEN(E297)-Source!$C298), IF(Source!$G298=COLUMNS($A298:E298), E297&amp;RIGHT(INDIRECT(ADDRESS(ROW(E298)-1, Source!$E298)), Source!$C298), E297))</f>
        <v/>
      </c>
      <c r="F298" s="2" t="str">
        <f>IF(Source!$E298=COLUMNS($A298:F298), LEFT(F297, LEN(F297)-Source!$C298), IF(Source!$G298=COLUMNS($A298:F298), F297&amp;RIGHT(INDIRECT(ADDRESS(ROW(F298)-1, Source!$E298)), Source!$C298), F297))</f>
        <v>BVFTZBDCWJTRTTJFLPMQSV</v>
      </c>
      <c r="G298" s="2" t="str">
        <f>IF(Source!$E298=COLUMNS($A298:G298), LEFT(G297, LEN(G297)-Source!$C298), IF(Source!$G298=COLUMNS($A298:G298), G297&amp;RIGHT(INDIRECT(ADDRESS(ROW(G298)-1, Source!$E298)), Source!$C298), G297))</f>
        <v>SCDDHSML</v>
      </c>
      <c r="H298" s="2" t="str">
        <f>IF(Source!$E298=COLUMNS($A298:H298), LEFT(H297, LEN(H297)-Source!$C298), IF(Source!$G298=COLUMNS($A298:H298), H297&amp;RIGHT(INDIRECT(ADDRESS(ROW(H298)-1, Source!$E298)), Source!$C298), H297))</f>
        <v>QDGDRTR</v>
      </c>
      <c r="I298" s="2" t="str">
        <f>IF(Source!$E298=COLUMNS($A298:I298), LEFT(I297, LEN(I297)-Source!$C298), IF(Source!$G298=COLUMNS($A298:I298), I297&amp;RIGHT(INDIRECT(ADDRESS(ROW(I298)-1, Source!$E298)), Source!$C298), I297))</f>
        <v/>
      </c>
    </row>
    <row r="299">
      <c r="A299" s="2" t="str">
        <f>IF(Source!$E299=COLUMNS($A299:A299), LEFT(A298, LEN(A298)-Source!$C299), IF(Source!$G299=COLUMNS($A299:A299), A298&amp;RIGHT(INDIRECT(ADDRESS(ROW(A299)-1, Source!$E299)), Source!$C299), A298))</f>
        <v>VCG</v>
      </c>
      <c r="B299" s="2" t="str">
        <f>IF(Source!$E299=COLUMNS($A299:B299), LEFT(B298, LEN(B298)-Source!$C299), IF(Source!$G299=COLUMNS($A299:B299), B298&amp;RIGHT(INDIRECT(ADDRESS(ROW(B299)-1, Source!$E299)), Source!$C299), B298))</f>
        <v/>
      </c>
      <c r="C299" s="2" t="str">
        <f>IF(Source!$E299=COLUMNS($A299:C299), LEFT(C298, LEN(C298)-Source!$C299), IF(Source!$G299=COLUMNS($A299:C299), C298&amp;RIGHT(INDIRECT(ADDRESS(ROW(C299)-1, Source!$E299)), Source!$C299), C298))</f>
        <v>SWRJTLB</v>
      </c>
      <c r="D299" s="2" t="str">
        <f>IF(Source!$E299=COLUMNS($A299:D299), LEFT(D298, LEN(D298)-Source!$C299), IF(Source!$G299=COLUMNS($A299:D299), D298&amp;RIGHT(INDIRECT(ADDRESS(ROW(D299)-1, Source!$E299)), Source!$C299), D298))</f>
        <v>PPBZHRZMDSML</v>
      </c>
      <c r="E299" s="2" t="str">
        <f>IF(Source!$E299=COLUMNS($A299:E299), LEFT(E298, LEN(E298)-Source!$C299), IF(Source!$G299=COLUMNS($A299:E299), E298&amp;RIGHT(INDIRECT(ADDRESS(ROW(E299)-1, Source!$E299)), Source!$C299), E298))</f>
        <v/>
      </c>
      <c r="F299" s="2" t="str">
        <f>IF(Source!$E299=COLUMNS($A299:F299), LEFT(F298, LEN(F298)-Source!$C299), IF(Source!$G299=COLUMNS($A299:F299), F298&amp;RIGHT(INDIRECT(ADDRESS(ROW(F299)-1, Source!$E299)), Source!$C299), F298))</f>
        <v>BVFTZBDCWJTRTTJFLPMQSV</v>
      </c>
      <c r="G299" s="2" t="str">
        <f>IF(Source!$E299=COLUMNS($A299:G299), LEFT(G298, LEN(G298)-Source!$C299), IF(Source!$G299=COLUMNS($A299:G299), G298&amp;RIGHT(INDIRECT(ADDRESS(ROW(G299)-1, Source!$E299)), Source!$C299), G298))</f>
        <v>SCDDH</v>
      </c>
      <c r="H299" s="2" t="str">
        <f>IF(Source!$E299=COLUMNS($A299:H299), LEFT(H298, LEN(H298)-Source!$C299), IF(Source!$G299=COLUMNS($A299:H299), H298&amp;RIGHT(INDIRECT(ADDRESS(ROW(H299)-1, Source!$E299)), Source!$C299), H298))</f>
        <v>QDGDRTR</v>
      </c>
      <c r="I299" s="2" t="str">
        <f>IF(Source!$E299=COLUMNS($A299:I299), LEFT(I298, LEN(I298)-Source!$C299), IF(Source!$G299=COLUMNS($A299:I299), I298&amp;RIGHT(INDIRECT(ADDRESS(ROW(I299)-1, Source!$E299)), Source!$C299), I298))</f>
        <v/>
      </c>
    </row>
    <row r="300">
      <c r="A300" s="2" t="str">
        <f>IF(Source!$E300=COLUMNS($A300:A300), LEFT(A299, LEN(A299)-Source!$C300), IF(Source!$G300=COLUMNS($A300:A300), A299&amp;RIGHT(INDIRECT(ADDRESS(ROW(A300)-1, Source!$E300)), Source!$C300), A299))</f>
        <v>VCG</v>
      </c>
      <c r="B300" s="2" t="str">
        <f>IF(Source!$E300=COLUMNS($A300:B300), LEFT(B299, LEN(B299)-Source!$C300), IF(Source!$G300=COLUMNS($A300:B300), B299&amp;RIGHT(INDIRECT(ADDRESS(ROW(B300)-1, Source!$E300)), Source!$C300), B299))</f>
        <v/>
      </c>
      <c r="C300" s="2" t="str">
        <f>IF(Source!$E300=COLUMNS($A300:C300), LEFT(C299, LEN(C299)-Source!$C300), IF(Source!$G300=COLUMNS($A300:C300), C299&amp;RIGHT(INDIRECT(ADDRESS(ROW(C300)-1, Source!$E300)), Source!$C300), C299))</f>
        <v>SWRJTLB</v>
      </c>
      <c r="D300" s="2" t="str">
        <f>IF(Source!$E300=COLUMNS($A300:D300), LEFT(D299, LEN(D299)-Source!$C300), IF(Source!$G300=COLUMNS($A300:D300), D299&amp;RIGHT(INDIRECT(ADDRESS(ROW(D300)-1, Source!$E300)), Source!$C300), D299))</f>
        <v>PPBZHRZMDSML</v>
      </c>
      <c r="E300" s="2" t="str">
        <f>IF(Source!$E300=COLUMNS($A300:E300), LEFT(E299, LEN(E299)-Source!$C300), IF(Source!$G300=COLUMNS($A300:E300), E299&amp;RIGHT(INDIRECT(ADDRESS(ROW(E300)-1, Source!$E300)), Source!$C300), E299))</f>
        <v/>
      </c>
      <c r="F300" s="2" t="str">
        <f>IF(Source!$E300=COLUMNS($A300:F300), LEFT(F299, LEN(F299)-Source!$C300), IF(Source!$G300=COLUMNS($A300:F300), F299&amp;RIGHT(INDIRECT(ADDRESS(ROW(F300)-1, Source!$E300)), Source!$C300), F299))</f>
        <v>BVFTZBDCWJTRTTJFLPMQSVDRTR</v>
      </c>
      <c r="G300" s="2" t="str">
        <f>IF(Source!$E300=COLUMNS($A300:G300), LEFT(G299, LEN(G299)-Source!$C300), IF(Source!$G300=COLUMNS($A300:G300), G299&amp;RIGHT(INDIRECT(ADDRESS(ROW(G300)-1, Source!$E300)), Source!$C300), G299))</f>
        <v>SCDDH</v>
      </c>
      <c r="H300" s="2" t="str">
        <f>IF(Source!$E300=COLUMNS($A300:H300), LEFT(H299, LEN(H299)-Source!$C300), IF(Source!$G300=COLUMNS($A300:H300), H299&amp;RIGHT(INDIRECT(ADDRESS(ROW(H300)-1, Source!$E300)), Source!$C300), H299))</f>
        <v>QDG</v>
      </c>
      <c r="I300" s="2" t="str">
        <f>IF(Source!$E300=COLUMNS($A300:I300), LEFT(I299, LEN(I299)-Source!$C300), IF(Source!$G300=COLUMNS($A300:I300), I299&amp;RIGHT(INDIRECT(ADDRESS(ROW(I300)-1, Source!$E300)), Source!$C300), I299))</f>
        <v/>
      </c>
    </row>
    <row r="301">
      <c r="A301" s="2" t="str">
        <f>IF(Source!$E301=COLUMNS($A301:A301), LEFT(A300, LEN(A300)-Source!$C301), IF(Source!$G301=COLUMNS($A301:A301), A300&amp;RIGHT(INDIRECT(ADDRESS(ROW(A301)-1, Source!$E301)), Source!$C301), A300))</f>
        <v>VCG</v>
      </c>
      <c r="B301" s="2" t="str">
        <f>IF(Source!$E301=COLUMNS($A301:B301), LEFT(B300, LEN(B300)-Source!$C301), IF(Source!$G301=COLUMNS($A301:B301), B300&amp;RIGHT(INDIRECT(ADDRESS(ROW(B301)-1, Source!$E301)), Source!$C301), B300))</f>
        <v/>
      </c>
      <c r="C301" s="2" t="str">
        <f>IF(Source!$E301=COLUMNS($A301:C301), LEFT(C300, LEN(C300)-Source!$C301), IF(Source!$G301=COLUMNS($A301:C301), C300&amp;RIGHT(INDIRECT(ADDRESS(ROW(C301)-1, Source!$E301)), Source!$C301), C300))</f>
        <v>SWRJTLB</v>
      </c>
      <c r="D301" s="2" t="str">
        <f>IF(Source!$E301=COLUMNS($A301:D301), LEFT(D300, LEN(D300)-Source!$C301), IF(Source!$G301=COLUMNS($A301:D301), D300&amp;RIGHT(INDIRECT(ADDRESS(ROW(D301)-1, Source!$E301)), Source!$C301), D300))</f>
        <v>PPBZHRZMDSML</v>
      </c>
      <c r="E301" s="2" t="str">
        <f>IF(Source!$E301=COLUMNS($A301:E301), LEFT(E300, LEN(E300)-Source!$C301), IF(Source!$G301=COLUMNS($A301:E301), E300&amp;RIGHT(INDIRECT(ADDRESS(ROW(E301)-1, Source!$E301)), Source!$C301), E300))</f>
        <v/>
      </c>
      <c r="F301" s="2" t="str">
        <f>IF(Source!$E301=COLUMNS($A301:F301), LEFT(F300, LEN(F300)-Source!$C301), IF(Source!$G301=COLUMNS($A301:F301), F300&amp;RIGHT(INDIRECT(ADDRESS(ROW(F301)-1, Source!$E301)), Source!$C301), F300))</f>
        <v>BVFTZBDCWJTRTTJFLPMQSVDRTRDDH</v>
      </c>
      <c r="G301" s="2" t="str">
        <f>IF(Source!$E301=COLUMNS($A301:G301), LEFT(G300, LEN(G300)-Source!$C301), IF(Source!$G301=COLUMNS($A301:G301), G300&amp;RIGHT(INDIRECT(ADDRESS(ROW(G301)-1, Source!$E301)), Source!$C301), G300))</f>
        <v>SC</v>
      </c>
      <c r="H301" s="2" t="str">
        <f>IF(Source!$E301=COLUMNS($A301:H301), LEFT(H300, LEN(H300)-Source!$C301), IF(Source!$G301=COLUMNS($A301:H301), H300&amp;RIGHT(INDIRECT(ADDRESS(ROW(H301)-1, Source!$E301)), Source!$C301), H300))</f>
        <v>QDG</v>
      </c>
      <c r="I301" s="2" t="str">
        <f>IF(Source!$E301=COLUMNS($A301:I301), LEFT(I300, LEN(I300)-Source!$C301), IF(Source!$G301=COLUMNS($A301:I301), I300&amp;RIGHT(INDIRECT(ADDRESS(ROW(I301)-1, Source!$E301)), Source!$C301), I300))</f>
        <v/>
      </c>
    </row>
    <row r="302">
      <c r="A302" s="2" t="str">
        <f>IF(Source!$E302=COLUMNS($A302:A302), LEFT(A301, LEN(A301)-Source!$C302), IF(Source!$G302=COLUMNS($A302:A302), A301&amp;RIGHT(INDIRECT(ADDRESS(ROW(A302)-1, Source!$E302)), Source!$C302), A301))</f>
        <v>VCG</v>
      </c>
      <c r="B302" s="2" t="str">
        <f>IF(Source!$E302=COLUMNS($A302:B302), LEFT(B301, LEN(B301)-Source!$C302), IF(Source!$G302=COLUMNS($A302:B302), B301&amp;RIGHT(INDIRECT(ADDRESS(ROW(B302)-1, Source!$E302)), Source!$C302), B301))</f>
        <v>C</v>
      </c>
      <c r="C302" s="2" t="str">
        <f>IF(Source!$E302=COLUMNS($A302:C302), LEFT(C301, LEN(C301)-Source!$C302), IF(Source!$G302=COLUMNS($A302:C302), C301&amp;RIGHT(INDIRECT(ADDRESS(ROW(C302)-1, Source!$E302)), Source!$C302), C301))</f>
        <v>SWRJTLB</v>
      </c>
      <c r="D302" s="2" t="str">
        <f>IF(Source!$E302=COLUMNS($A302:D302), LEFT(D301, LEN(D301)-Source!$C302), IF(Source!$G302=COLUMNS($A302:D302), D301&amp;RIGHT(INDIRECT(ADDRESS(ROW(D302)-1, Source!$E302)), Source!$C302), D301))</f>
        <v>PPBZHRZMDSML</v>
      </c>
      <c r="E302" s="2" t="str">
        <f>IF(Source!$E302=COLUMNS($A302:E302), LEFT(E301, LEN(E301)-Source!$C302), IF(Source!$G302=COLUMNS($A302:E302), E301&amp;RIGHT(INDIRECT(ADDRESS(ROW(E302)-1, Source!$E302)), Source!$C302), E301))</f>
        <v/>
      </c>
      <c r="F302" s="2" t="str">
        <f>IF(Source!$E302=COLUMNS($A302:F302), LEFT(F301, LEN(F301)-Source!$C302), IF(Source!$G302=COLUMNS($A302:F302), F301&amp;RIGHT(INDIRECT(ADDRESS(ROW(F302)-1, Source!$E302)), Source!$C302), F301))</f>
        <v>BVFTZBDCWJTRTTJFLPMQSVDRTRDDH</v>
      </c>
      <c r="G302" s="2" t="str">
        <f>IF(Source!$E302=COLUMNS($A302:G302), LEFT(G301, LEN(G301)-Source!$C302), IF(Source!$G302=COLUMNS($A302:G302), G301&amp;RIGHT(INDIRECT(ADDRESS(ROW(G302)-1, Source!$E302)), Source!$C302), G301))</f>
        <v>S</v>
      </c>
      <c r="H302" s="2" t="str">
        <f>IF(Source!$E302=COLUMNS($A302:H302), LEFT(H301, LEN(H301)-Source!$C302), IF(Source!$G302=COLUMNS($A302:H302), H301&amp;RIGHT(INDIRECT(ADDRESS(ROW(H302)-1, Source!$E302)), Source!$C302), H301))</f>
        <v>QDG</v>
      </c>
      <c r="I302" s="2" t="str">
        <f>IF(Source!$E302=COLUMNS($A302:I302), LEFT(I301, LEN(I301)-Source!$C302), IF(Source!$G302=COLUMNS($A302:I302), I301&amp;RIGHT(INDIRECT(ADDRESS(ROW(I302)-1, Source!$E302)), Source!$C302), I301))</f>
        <v/>
      </c>
    </row>
    <row r="303">
      <c r="A303" s="2" t="str">
        <f>IF(Source!$E303=COLUMNS($A303:A303), LEFT(A302, LEN(A302)-Source!$C303), IF(Source!$G303=COLUMNS($A303:A303), A302&amp;RIGHT(INDIRECT(ADDRESS(ROW(A303)-1, Source!$E303)), Source!$C303), A302))</f>
        <v>VCG</v>
      </c>
      <c r="B303" s="2" t="str">
        <f>IF(Source!$E303=COLUMNS($A303:B303), LEFT(B302, LEN(B302)-Source!$C303), IF(Source!$G303=COLUMNS($A303:B303), B302&amp;RIGHT(INDIRECT(ADDRESS(ROW(B303)-1, Source!$E303)), Source!$C303), B302))</f>
        <v>C</v>
      </c>
      <c r="C303" s="2" t="str">
        <f>IF(Source!$E303=COLUMNS($A303:C303), LEFT(C302, LEN(C302)-Source!$C303), IF(Source!$G303=COLUMNS($A303:C303), C302&amp;RIGHT(INDIRECT(ADDRESS(ROW(C303)-1, Source!$E303)), Source!$C303), C302))</f>
        <v>SWRJTLB</v>
      </c>
      <c r="D303" s="2" t="str">
        <f>IF(Source!$E303=COLUMNS($A303:D303), LEFT(D302, LEN(D302)-Source!$C303), IF(Source!$G303=COLUMNS($A303:D303), D302&amp;RIGHT(INDIRECT(ADDRESS(ROW(D303)-1, Source!$E303)), Source!$C303), D302))</f>
        <v>PPBZHRZMDSML</v>
      </c>
      <c r="E303" s="2" t="str">
        <f>IF(Source!$E303=COLUMNS($A303:E303), LEFT(E302, LEN(E302)-Source!$C303), IF(Source!$G303=COLUMNS($A303:E303), E302&amp;RIGHT(INDIRECT(ADDRESS(ROW(E303)-1, Source!$E303)), Source!$C303), E302))</f>
        <v>S</v>
      </c>
      <c r="F303" s="2" t="str">
        <f>IF(Source!$E303=COLUMNS($A303:F303), LEFT(F302, LEN(F302)-Source!$C303), IF(Source!$G303=COLUMNS($A303:F303), F302&amp;RIGHT(INDIRECT(ADDRESS(ROW(F303)-1, Source!$E303)), Source!$C303), F302))</f>
        <v>BVFTZBDCWJTRTTJFLPMQSVDRTRDDH</v>
      </c>
      <c r="G303" s="2" t="str">
        <f>IF(Source!$E303=COLUMNS($A303:G303), LEFT(G302, LEN(G302)-Source!$C303), IF(Source!$G303=COLUMNS($A303:G303), G302&amp;RIGHT(INDIRECT(ADDRESS(ROW(G303)-1, Source!$E303)), Source!$C303), G302))</f>
        <v/>
      </c>
      <c r="H303" s="2" t="str">
        <f>IF(Source!$E303=COLUMNS($A303:H303), LEFT(H302, LEN(H302)-Source!$C303), IF(Source!$G303=COLUMNS($A303:H303), H302&amp;RIGHT(INDIRECT(ADDRESS(ROW(H303)-1, Source!$E303)), Source!$C303), H302))</f>
        <v>QDG</v>
      </c>
      <c r="I303" s="2" t="str">
        <f>IF(Source!$E303=COLUMNS($A303:I303), LEFT(I302, LEN(I302)-Source!$C303), IF(Source!$G303=COLUMNS($A303:I303), I302&amp;RIGHT(INDIRECT(ADDRESS(ROW(I303)-1, Source!$E303)), Source!$C303), I302))</f>
        <v/>
      </c>
    </row>
    <row r="304">
      <c r="A304" s="2" t="str">
        <f>IF(Source!$E304=COLUMNS($A304:A304), LEFT(A303, LEN(A303)-Source!$C304), IF(Source!$G304=COLUMNS($A304:A304), A303&amp;RIGHT(INDIRECT(ADDRESS(ROW(A304)-1, Source!$E304)), Source!$C304), A303))</f>
        <v>VCG</v>
      </c>
      <c r="B304" s="2" t="str">
        <f>IF(Source!$E304=COLUMNS($A304:B304), LEFT(B303, LEN(B303)-Source!$C304), IF(Source!$G304=COLUMNS($A304:B304), B303&amp;RIGHT(INDIRECT(ADDRESS(ROW(B304)-1, Source!$E304)), Source!$C304), B303))</f>
        <v>C</v>
      </c>
      <c r="C304" s="2" t="str">
        <f>IF(Source!$E304=COLUMNS($A304:C304), LEFT(C303, LEN(C303)-Source!$C304), IF(Source!$G304=COLUMNS($A304:C304), C303&amp;RIGHT(INDIRECT(ADDRESS(ROW(C304)-1, Source!$E304)), Source!$C304), C303))</f>
        <v>SWRJTLB</v>
      </c>
      <c r="D304" s="2" t="str">
        <f>IF(Source!$E304=COLUMNS($A304:D304), LEFT(D303, LEN(D303)-Source!$C304), IF(Source!$G304=COLUMNS($A304:D304), D303&amp;RIGHT(INDIRECT(ADDRESS(ROW(D304)-1, Source!$E304)), Source!$C304), D303))</f>
        <v>PPBZHRZMDSMLQDG</v>
      </c>
      <c r="E304" s="2" t="str">
        <f>IF(Source!$E304=COLUMNS($A304:E304), LEFT(E303, LEN(E303)-Source!$C304), IF(Source!$G304=COLUMNS($A304:E304), E303&amp;RIGHT(INDIRECT(ADDRESS(ROW(E304)-1, Source!$E304)), Source!$C304), E303))</f>
        <v>S</v>
      </c>
      <c r="F304" s="2" t="str">
        <f>IF(Source!$E304=COLUMNS($A304:F304), LEFT(F303, LEN(F303)-Source!$C304), IF(Source!$G304=COLUMNS($A304:F304), F303&amp;RIGHT(INDIRECT(ADDRESS(ROW(F304)-1, Source!$E304)), Source!$C304), F303))</f>
        <v>BVFTZBDCWJTRTTJFLPMQSVDRTRDDH</v>
      </c>
      <c r="G304" s="2" t="str">
        <f>IF(Source!$E304=COLUMNS($A304:G304), LEFT(G303, LEN(G303)-Source!$C304), IF(Source!$G304=COLUMNS($A304:G304), G303&amp;RIGHT(INDIRECT(ADDRESS(ROW(G304)-1, Source!$E304)), Source!$C304), G303))</f>
        <v/>
      </c>
      <c r="H304" s="2" t="str">
        <f>IF(Source!$E304=COLUMNS($A304:H304), LEFT(H303, LEN(H303)-Source!$C304), IF(Source!$G304=COLUMNS($A304:H304), H303&amp;RIGHT(INDIRECT(ADDRESS(ROW(H304)-1, Source!$E304)), Source!$C304), H303))</f>
        <v/>
      </c>
      <c r="I304" s="2" t="str">
        <f>IF(Source!$E304=COLUMNS($A304:I304), LEFT(I303, LEN(I303)-Source!$C304), IF(Source!$G304=COLUMNS($A304:I304), I303&amp;RIGHT(INDIRECT(ADDRESS(ROW(I304)-1, Source!$E304)), Source!$C304), I303))</f>
        <v/>
      </c>
    </row>
    <row r="305">
      <c r="A305" s="2" t="str">
        <f>IF(Source!$E305=COLUMNS($A305:A305), LEFT(A304, LEN(A304)-Source!$C305), IF(Source!$G305=COLUMNS($A305:A305), A304&amp;RIGHT(INDIRECT(ADDRESS(ROW(A305)-1, Source!$E305)), Source!$C305), A304))</f>
        <v>VCGTZBDCWJTRTTJFLPMQSVDRTRDDH</v>
      </c>
      <c r="B305" s="2" t="str">
        <f>IF(Source!$E305=COLUMNS($A305:B305), LEFT(B304, LEN(B304)-Source!$C305), IF(Source!$G305=COLUMNS($A305:B305), B304&amp;RIGHT(INDIRECT(ADDRESS(ROW(B305)-1, Source!$E305)), Source!$C305), B304))</f>
        <v>C</v>
      </c>
      <c r="C305" s="2" t="str">
        <f>IF(Source!$E305=COLUMNS($A305:C305), LEFT(C304, LEN(C304)-Source!$C305), IF(Source!$G305=COLUMNS($A305:C305), C304&amp;RIGHT(INDIRECT(ADDRESS(ROW(C305)-1, Source!$E305)), Source!$C305), C304))</f>
        <v>SWRJTLB</v>
      </c>
      <c r="D305" s="2" t="str">
        <f>IF(Source!$E305=COLUMNS($A305:D305), LEFT(D304, LEN(D304)-Source!$C305), IF(Source!$G305=COLUMNS($A305:D305), D304&amp;RIGHT(INDIRECT(ADDRESS(ROW(D305)-1, Source!$E305)), Source!$C305), D304))</f>
        <v>PPBZHRZMDSMLQDG</v>
      </c>
      <c r="E305" s="2" t="str">
        <f>IF(Source!$E305=COLUMNS($A305:E305), LEFT(E304, LEN(E304)-Source!$C305), IF(Source!$G305=COLUMNS($A305:E305), E304&amp;RIGHT(INDIRECT(ADDRESS(ROW(E305)-1, Source!$E305)), Source!$C305), E304))</f>
        <v>S</v>
      </c>
      <c r="F305" s="2" t="str">
        <f>IF(Source!$E305=COLUMNS($A305:F305), LEFT(F304, LEN(F304)-Source!$C305), IF(Source!$G305=COLUMNS($A305:F305), F304&amp;RIGHT(INDIRECT(ADDRESS(ROW(F305)-1, Source!$E305)), Source!$C305), F304))</f>
        <v>BVF</v>
      </c>
      <c r="G305" s="2" t="str">
        <f>IF(Source!$E305=COLUMNS($A305:G305), LEFT(G304, LEN(G304)-Source!$C305), IF(Source!$G305=COLUMNS($A305:G305), G304&amp;RIGHT(INDIRECT(ADDRESS(ROW(G305)-1, Source!$E305)), Source!$C305), G304))</f>
        <v/>
      </c>
      <c r="H305" s="2" t="str">
        <f>IF(Source!$E305=COLUMNS($A305:H305), LEFT(H304, LEN(H304)-Source!$C305), IF(Source!$G305=COLUMNS($A305:H305), H304&amp;RIGHT(INDIRECT(ADDRESS(ROW(H305)-1, Source!$E305)), Source!$C305), H304))</f>
        <v/>
      </c>
      <c r="I305" s="2" t="str">
        <f>IF(Source!$E305=COLUMNS($A305:I305), LEFT(I304, LEN(I304)-Source!$C305), IF(Source!$G305=COLUMNS($A305:I305), I304&amp;RIGHT(INDIRECT(ADDRESS(ROW(I305)-1, Source!$E305)), Source!$C305), I304))</f>
        <v/>
      </c>
    </row>
    <row r="306">
      <c r="A306" s="2" t="str">
        <f>IF(Source!$E306=COLUMNS($A306:A306), LEFT(A305, LEN(A305)-Source!$C306), IF(Source!$G306=COLUMNS($A306:A306), A305&amp;RIGHT(INDIRECT(ADDRESS(ROW(A306)-1, Source!$E306)), Source!$C306), A305))</f>
        <v>VCGTZBDCWJTRTTJFLPMQS</v>
      </c>
      <c r="B306" s="2" t="str">
        <f>IF(Source!$E306=COLUMNS($A306:B306), LEFT(B305, LEN(B305)-Source!$C306), IF(Source!$G306=COLUMNS($A306:B306), B305&amp;RIGHT(INDIRECT(ADDRESS(ROW(B306)-1, Source!$E306)), Source!$C306), B305))</f>
        <v>CVDRTRDDH</v>
      </c>
      <c r="C306" s="2" t="str">
        <f>IF(Source!$E306=COLUMNS($A306:C306), LEFT(C305, LEN(C305)-Source!$C306), IF(Source!$G306=COLUMNS($A306:C306), C305&amp;RIGHT(INDIRECT(ADDRESS(ROW(C306)-1, Source!$E306)), Source!$C306), C305))</f>
        <v>SWRJTLB</v>
      </c>
      <c r="D306" s="2" t="str">
        <f>IF(Source!$E306=COLUMNS($A306:D306), LEFT(D305, LEN(D305)-Source!$C306), IF(Source!$G306=COLUMNS($A306:D306), D305&amp;RIGHT(INDIRECT(ADDRESS(ROW(D306)-1, Source!$E306)), Source!$C306), D305))</f>
        <v>PPBZHRZMDSMLQDG</v>
      </c>
      <c r="E306" s="2" t="str">
        <f>IF(Source!$E306=COLUMNS($A306:E306), LEFT(E305, LEN(E305)-Source!$C306), IF(Source!$G306=COLUMNS($A306:E306), E305&amp;RIGHT(INDIRECT(ADDRESS(ROW(E306)-1, Source!$E306)), Source!$C306), E305))</f>
        <v>S</v>
      </c>
      <c r="F306" s="2" t="str">
        <f>IF(Source!$E306=COLUMNS($A306:F306), LEFT(F305, LEN(F305)-Source!$C306), IF(Source!$G306=COLUMNS($A306:F306), F305&amp;RIGHT(INDIRECT(ADDRESS(ROW(F306)-1, Source!$E306)), Source!$C306), F305))</f>
        <v>BVF</v>
      </c>
      <c r="G306" s="2" t="str">
        <f>IF(Source!$E306=COLUMNS($A306:G306), LEFT(G305, LEN(G305)-Source!$C306), IF(Source!$G306=COLUMNS($A306:G306), G305&amp;RIGHT(INDIRECT(ADDRESS(ROW(G306)-1, Source!$E306)), Source!$C306), G305))</f>
        <v/>
      </c>
      <c r="H306" s="2" t="str">
        <f>IF(Source!$E306=COLUMNS($A306:H306), LEFT(H305, LEN(H305)-Source!$C306), IF(Source!$G306=COLUMNS($A306:H306), H305&amp;RIGHT(INDIRECT(ADDRESS(ROW(H306)-1, Source!$E306)), Source!$C306), H305))</f>
        <v/>
      </c>
      <c r="I306" s="2" t="str">
        <f>IF(Source!$E306=COLUMNS($A306:I306), LEFT(I305, LEN(I305)-Source!$C306), IF(Source!$G306=COLUMNS($A306:I306), I305&amp;RIGHT(INDIRECT(ADDRESS(ROW(I306)-1, Source!$E306)), Source!$C306), I305))</f>
        <v/>
      </c>
    </row>
    <row r="307">
      <c r="A307" s="2" t="str">
        <f>IF(Source!$E307=COLUMNS($A307:A307), LEFT(A306, LEN(A306)-Source!$C307), IF(Source!$G307=COLUMNS($A307:A307), A306&amp;RIGHT(INDIRECT(ADDRESS(ROW(A307)-1, Source!$E307)), Source!$C307), A306))</f>
        <v>VCGTZBDCWJTRTTJFLPMQS</v>
      </c>
      <c r="B307" s="2" t="str">
        <f>IF(Source!$E307=COLUMNS($A307:B307), LEFT(B306, LEN(B306)-Source!$C307), IF(Source!$G307=COLUMNS($A307:B307), B306&amp;RIGHT(INDIRECT(ADDRESS(ROW(B307)-1, Source!$E307)), Source!$C307), B306))</f>
        <v>CVDRTRDDH</v>
      </c>
      <c r="C307" s="2" t="str">
        <f>IF(Source!$E307=COLUMNS($A307:C307), LEFT(C306, LEN(C306)-Source!$C307), IF(Source!$G307=COLUMNS($A307:C307), C306&amp;RIGHT(INDIRECT(ADDRESS(ROW(C307)-1, Source!$E307)), Source!$C307), C306))</f>
        <v>SWRJTLB</v>
      </c>
      <c r="D307" s="2" t="str">
        <f>IF(Source!$E307=COLUMNS($A307:D307), LEFT(D306, LEN(D306)-Source!$C307), IF(Source!$G307=COLUMNS($A307:D307), D306&amp;RIGHT(INDIRECT(ADDRESS(ROW(D307)-1, Source!$E307)), Source!$C307), D306))</f>
        <v>PPBZHRZMDSMLQDGF</v>
      </c>
      <c r="E307" s="2" t="str">
        <f>IF(Source!$E307=COLUMNS($A307:E307), LEFT(E306, LEN(E306)-Source!$C307), IF(Source!$G307=COLUMNS($A307:E307), E306&amp;RIGHT(INDIRECT(ADDRESS(ROW(E307)-1, Source!$E307)), Source!$C307), E306))</f>
        <v>S</v>
      </c>
      <c r="F307" s="2" t="str">
        <f>IF(Source!$E307=COLUMNS($A307:F307), LEFT(F306, LEN(F306)-Source!$C307), IF(Source!$G307=COLUMNS($A307:F307), F306&amp;RIGHT(INDIRECT(ADDRESS(ROW(F307)-1, Source!$E307)), Source!$C307), F306))</f>
        <v>BV</v>
      </c>
      <c r="G307" s="2" t="str">
        <f>IF(Source!$E307=COLUMNS($A307:G307), LEFT(G306, LEN(G306)-Source!$C307), IF(Source!$G307=COLUMNS($A307:G307), G306&amp;RIGHT(INDIRECT(ADDRESS(ROW(G307)-1, Source!$E307)), Source!$C307), G306))</f>
        <v/>
      </c>
      <c r="H307" s="2" t="str">
        <f>IF(Source!$E307=COLUMNS($A307:H307), LEFT(H306, LEN(H306)-Source!$C307), IF(Source!$G307=COLUMNS($A307:H307), H306&amp;RIGHT(INDIRECT(ADDRESS(ROW(H307)-1, Source!$E307)), Source!$C307), H306))</f>
        <v/>
      </c>
      <c r="I307" s="2" t="str">
        <f>IF(Source!$E307=COLUMNS($A307:I307), LEFT(I306, LEN(I306)-Source!$C307), IF(Source!$G307=COLUMNS($A307:I307), I306&amp;RIGHT(INDIRECT(ADDRESS(ROW(I307)-1, Source!$E307)), Source!$C307), I306))</f>
        <v/>
      </c>
    </row>
    <row r="308">
      <c r="A308" s="2" t="str">
        <f>IF(Source!$E308=COLUMNS($A308:A308), LEFT(A307, LEN(A307)-Source!$C308), IF(Source!$G308=COLUMNS($A308:A308), A307&amp;RIGHT(INDIRECT(ADDRESS(ROW(A308)-1, Source!$E308)), Source!$C308), A307))</f>
        <v>VCGTZBDCWJTRTTJFLPMQS</v>
      </c>
      <c r="B308" s="2" t="str">
        <f>IF(Source!$E308=COLUMNS($A308:B308), LEFT(B307, LEN(B307)-Source!$C308), IF(Source!$G308=COLUMNS($A308:B308), B307&amp;RIGHT(INDIRECT(ADDRESS(ROW(B308)-1, Source!$E308)), Source!$C308), B307))</f>
        <v>CVDR</v>
      </c>
      <c r="C308" s="2" t="str">
        <f>IF(Source!$E308=COLUMNS($A308:C308), LEFT(C307, LEN(C307)-Source!$C308), IF(Source!$G308=COLUMNS($A308:C308), C307&amp;RIGHT(INDIRECT(ADDRESS(ROW(C308)-1, Source!$E308)), Source!$C308), C307))</f>
        <v>SWRJTLB</v>
      </c>
      <c r="D308" s="2" t="str">
        <f>IF(Source!$E308=COLUMNS($A308:D308), LEFT(D307, LEN(D307)-Source!$C308), IF(Source!$G308=COLUMNS($A308:D308), D307&amp;RIGHT(INDIRECT(ADDRESS(ROW(D308)-1, Source!$E308)), Source!$C308), D307))</f>
        <v>PPBZHRZMDSMLQDGF</v>
      </c>
      <c r="E308" s="2" t="str">
        <f>IF(Source!$E308=COLUMNS($A308:E308), LEFT(E307, LEN(E307)-Source!$C308), IF(Source!$G308=COLUMNS($A308:E308), E307&amp;RIGHT(INDIRECT(ADDRESS(ROW(E308)-1, Source!$E308)), Source!$C308), E307))</f>
        <v>S</v>
      </c>
      <c r="F308" s="2" t="str">
        <f>IF(Source!$E308=COLUMNS($A308:F308), LEFT(F307, LEN(F307)-Source!$C308), IF(Source!$G308=COLUMNS($A308:F308), F307&amp;RIGHT(INDIRECT(ADDRESS(ROW(F308)-1, Source!$E308)), Source!$C308), F307))</f>
        <v>BV</v>
      </c>
      <c r="G308" s="2" t="str">
        <f>IF(Source!$E308=COLUMNS($A308:G308), LEFT(G307, LEN(G307)-Source!$C308), IF(Source!$G308=COLUMNS($A308:G308), G307&amp;RIGHT(INDIRECT(ADDRESS(ROW(G308)-1, Source!$E308)), Source!$C308), G307))</f>
        <v>TRDDH</v>
      </c>
      <c r="H308" s="2" t="str">
        <f>IF(Source!$E308=COLUMNS($A308:H308), LEFT(H307, LEN(H307)-Source!$C308), IF(Source!$G308=COLUMNS($A308:H308), H307&amp;RIGHT(INDIRECT(ADDRESS(ROW(H308)-1, Source!$E308)), Source!$C308), H307))</f>
        <v/>
      </c>
      <c r="I308" s="2" t="str">
        <f>IF(Source!$E308=COLUMNS($A308:I308), LEFT(I307, LEN(I307)-Source!$C308), IF(Source!$G308=COLUMNS($A308:I308), I307&amp;RIGHT(INDIRECT(ADDRESS(ROW(I308)-1, Source!$E308)), Source!$C308), I307))</f>
        <v/>
      </c>
    </row>
    <row r="309">
      <c r="A309" s="2" t="str">
        <f>IF(Source!$E309=COLUMNS($A309:A309), LEFT(A308, LEN(A308)-Source!$C309), IF(Source!$G309=COLUMNS($A309:A309), A308&amp;RIGHT(INDIRECT(ADDRESS(ROW(A309)-1, Source!$E309)), Source!$C309), A308))</f>
        <v>VCGTZBDCWJTRTTJFLPMQS</v>
      </c>
      <c r="B309" s="2" t="str">
        <f>IF(Source!$E309=COLUMNS($A309:B309), LEFT(B308, LEN(B308)-Source!$C309), IF(Source!$G309=COLUMNS($A309:B309), B308&amp;RIGHT(INDIRECT(ADDRESS(ROW(B309)-1, Source!$E309)), Source!$C309), B308))</f>
        <v>CV</v>
      </c>
      <c r="C309" s="2" t="str">
        <f>IF(Source!$E309=COLUMNS($A309:C309), LEFT(C308, LEN(C308)-Source!$C309), IF(Source!$G309=COLUMNS($A309:C309), C308&amp;RIGHT(INDIRECT(ADDRESS(ROW(C309)-1, Source!$E309)), Source!$C309), C308))</f>
        <v>SWRJTLB</v>
      </c>
      <c r="D309" s="2" t="str">
        <f>IF(Source!$E309=COLUMNS($A309:D309), LEFT(D308, LEN(D308)-Source!$C309), IF(Source!$G309=COLUMNS($A309:D309), D308&amp;RIGHT(INDIRECT(ADDRESS(ROW(D309)-1, Source!$E309)), Source!$C309), D308))</f>
        <v>PPBZHRZMDSMLQDGFDR</v>
      </c>
      <c r="E309" s="2" t="str">
        <f>IF(Source!$E309=COLUMNS($A309:E309), LEFT(E308, LEN(E308)-Source!$C309), IF(Source!$G309=COLUMNS($A309:E309), E308&amp;RIGHT(INDIRECT(ADDRESS(ROW(E309)-1, Source!$E309)), Source!$C309), E308))</f>
        <v>S</v>
      </c>
      <c r="F309" s="2" t="str">
        <f>IF(Source!$E309=COLUMNS($A309:F309), LEFT(F308, LEN(F308)-Source!$C309), IF(Source!$G309=COLUMNS($A309:F309), F308&amp;RIGHT(INDIRECT(ADDRESS(ROW(F309)-1, Source!$E309)), Source!$C309), F308))</f>
        <v>BV</v>
      </c>
      <c r="G309" s="2" t="str">
        <f>IF(Source!$E309=COLUMNS($A309:G309), LEFT(G308, LEN(G308)-Source!$C309), IF(Source!$G309=COLUMNS($A309:G309), G308&amp;RIGHT(INDIRECT(ADDRESS(ROW(G309)-1, Source!$E309)), Source!$C309), G308))</f>
        <v>TRDDH</v>
      </c>
      <c r="H309" s="2" t="str">
        <f>IF(Source!$E309=COLUMNS($A309:H309), LEFT(H308, LEN(H308)-Source!$C309), IF(Source!$G309=COLUMNS($A309:H309), H308&amp;RIGHT(INDIRECT(ADDRESS(ROW(H309)-1, Source!$E309)), Source!$C309), H308))</f>
        <v/>
      </c>
      <c r="I309" s="2" t="str">
        <f>IF(Source!$E309=COLUMNS($A309:I309), LEFT(I308, LEN(I308)-Source!$C309), IF(Source!$G309=COLUMNS($A309:I309), I308&amp;RIGHT(INDIRECT(ADDRESS(ROW(I309)-1, Source!$E309)), Source!$C309), I308))</f>
        <v/>
      </c>
    </row>
    <row r="310">
      <c r="A310" s="2" t="str">
        <f>IF(Source!$E310=COLUMNS($A310:A310), LEFT(A309, LEN(A309)-Source!$C310), IF(Source!$G310=COLUMNS($A310:A310), A309&amp;RIGHT(INDIRECT(ADDRESS(ROW(A310)-1, Source!$E310)), Source!$C310), A309))</f>
        <v>VCGTZBDCWJTRTTJFLPMQS</v>
      </c>
      <c r="B310" s="2" t="str">
        <f>IF(Source!$E310=COLUMNS($A310:B310), LEFT(B309, LEN(B309)-Source!$C310), IF(Source!$G310=COLUMNS($A310:B310), B309&amp;RIGHT(INDIRECT(ADDRESS(ROW(B310)-1, Source!$E310)), Source!$C310), B309))</f>
        <v>CV</v>
      </c>
      <c r="C310" s="2" t="str">
        <f>IF(Source!$E310=COLUMNS($A310:C310), LEFT(C309, LEN(C309)-Source!$C310), IF(Source!$G310=COLUMNS($A310:C310), C309&amp;RIGHT(INDIRECT(ADDRESS(ROW(C310)-1, Source!$E310)), Source!$C310), C309))</f>
        <v>SWRJTLB</v>
      </c>
      <c r="D310" s="2" t="str">
        <f>IF(Source!$E310=COLUMNS($A310:D310), LEFT(D309, LEN(D309)-Source!$C310), IF(Source!$G310=COLUMNS($A310:D310), D309&amp;RIGHT(INDIRECT(ADDRESS(ROW(D310)-1, Source!$E310)), Source!$C310), D309))</f>
        <v>PPBZHRZM</v>
      </c>
      <c r="E310" s="2" t="str">
        <f>IF(Source!$E310=COLUMNS($A310:E310), LEFT(E309, LEN(E309)-Source!$C310), IF(Source!$G310=COLUMNS($A310:E310), E309&amp;RIGHT(INDIRECT(ADDRESS(ROW(E310)-1, Source!$E310)), Source!$C310), E309))</f>
        <v>S</v>
      </c>
      <c r="F310" s="2" t="str">
        <f>IF(Source!$E310=COLUMNS($A310:F310), LEFT(F309, LEN(F309)-Source!$C310), IF(Source!$G310=COLUMNS($A310:F310), F309&amp;RIGHT(INDIRECT(ADDRESS(ROW(F310)-1, Source!$E310)), Source!$C310), F309))</f>
        <v>BV</v>
      </c>
      <c r="G310" s="2" t="str">
        <f>IF(Source!$E310=COLUMNS($A310:G310), LEFT(G309, LEN(G309)-Source!$C310), IF(Source!$G310=COLUMNS($A310:G310), G309&amp;RIGHT(INDIRECT(ADDRESS(ROW(G310)-1, Source!$E310)), Source!$C310), G309))</f>
        <v>TRDDHDSMLQDGFDR</v>
      </c>
      <c r="H310" s="2" t="str">
        <f>IF(Source!$E310=COLUMNS($A310:H310), LEFT(H309, LEN(H309)-Source!$C310), IF(Source!$G310=COLUMNS($A310:H310), H309&amp;RIGHT(INDIRECT(ADDRESS(ROW(H310)-1, Source!$E310)), Source!$C310), H309))</f>
        <v/>
      </c>
      <c r="I310" s="2" t="str">
        <f>IF(Source!$E310=COLUMNS($A310:I310), LEFT(I309, LEN(I309)-Source!$C310), IF(Source!$G310=COLUMNS($A310:I310), I309&amp;RIGHT(INDIRECT(ADDRESS(ROW(I310)-1, Source!$E310)), Source!$C310), I309))</f>
        <v/>
      </c>
    </row>
    <row r="311">
      <c r="A311" s="2" t="str">
        <f>IF(Source!$E311=COLUMNS($A311:A311), LEFT(A310, LEN(A310)-Source!$C311), IF(Source!$G311=COLUMNS($A311:A311), A310&amp;RIGHT(INDIRECT(ADDRESS(ROW(A311)-1, Source!$E311)), Source!$C311), A310))</f>
        <v>VCGTZBDCWJTRTTJFLPMQSV</v>
      </c>
      <c r="B311" s="2" t="str">
        <f>IF(Source!$E311=COLUMNS($A311:B311), LEFT(B310, LEN(B310)-Source!$C311), IF(Source!$G311=COLUMNS($A311:B311), B310&amp;RIGHT(INDIRECT(ADDRESS(ROW(B311)-1, Source!$E311)), Source!$C311), B310))</f>
        <v>CV</v>
      </c>
      <c r="C311" s="2" t="str">
        <f>IF(Source!$E311=COLUMNS($A311:C311), LEFT(C310, LEN(C310)-Source!$C311), IF(Source!$G311=COLUMNS($A311:C311), C310&amp;RIGHT(INDIRECT(ADDRESS(ROW(C311)-1, Source!$E311)), Source!$C311), C310))</f>
        <v>SWRJTLB</v>
      </c>
      <c r="D311" s="2" t="str">
        <f>IF(Source!$E311=COLUMNS($A311:D311), LEFT(D310, LEN(D310)-Source!$C311), IF(Source!$G311=COLUMNS($A311:D311), D310&amp;RIGHT(INDIRECT(ADDRESS(ROW(D311)-1, Source!$E311)), Source!$C311), D310))</f>
        <v>PPBZHRZM</v>
      </c>
      <c r="E311" s="2" t="str">
        <f>IF(Source!$E311=COLUMNS($A311:E311), LEFT(E310, LEN(E310)-Source!$C311), IF(Source!$G311=COLUMNS($A311:E311), E310&amp;RIGHT(INDIRECT(ADDRESS(ROW(E311)-1, Source!$E311)), Source!$C311), E310))</f>
        <v>S</v>
      </c>
      <c r="F311" s="2" t="str">
        <f>IF(Source!$E311=COLUMNS($A311:F311), LEFT(F310, LEN(F310)-Source!$C311), IF(Source!$G311=COLUMNS($A311:F311), F310&amp;RIGHT(INDIRECT(ADDRESS(ROW(F311)-1, Source!$E311)), Source!$C311), F310))</f>
        <v>B</v>
      </c>
      <c r="G311" s="2" t="str">
        <f>IF(Source!$E311=COLUMNS($A311:G311), LEFT(G310, LEN(G310)-Source!$C311), IF(Source!$G311=COLUMNS($A311:G311), G310&amp;RIGHT(INDIRECT(ADDRESS(ROW(G311)-1, Source!$E311)), Source!$C311), G310))</f>
        <v>TRDDHDSMLQDGFDR</v>
      </c>
      <c r="H311" s="2" t="str">
        <f>IF(Source!$E311=COLUMNS($A311:H311), LEFT(H310, LEN(H310)-Source!$C311), IF(Source!$G311=COLUMNS($A311:H311), H310&amp;RIGHT(INDIRECT(ADDRESS(ROW(H311)-1, Source!$E311)), Source!$C311), H310))</f>
        <v/>
      </c>
      <c r="I311" s="2" t="str">
        <f>IF(Source!$E311=COLUMNS($A311:I311), LEFT(I310, LEN(I310)-Source!$C311), IF(Source!$G311=COLUMNS($A311:I311), I310&amp;RIGHT(INDIRECT(ADDRESS(ROW(I311)-1, Source!$E311)), Source!$C311), I310))</f>
        <v/>
      </c>
    </row>
    <row r="312">
      <c r="A312" s="2" t="str">
        <f>IF(Source!$E312=COLUMNS($A312:A312), LEFT(A311, LEN(A311)-Source!$C312), IF(Source!$G312=COLUMNS($A312:A312), A311&amp;RIGHT(INDIRECT(ADDRESS(ROW(A312)-1, Source!$E312)), Source!$C312), A311))</f>
        <v/>
      </c>
      <c r="B312" s="2" t="str">
        <f>IF(Source!$E312=COLUMNS($A312:B312), LEFT(B311, LEN(B311)-Source!$C312), IF(Source!$G312=COLUMNS($A312:B312), B311&amp;RIGHT(INDIRECT(ADDRESS(ROW(B312)-1, Source!$E312)), Source!$C312), B311))</f>
        <v>CVVCGTZBDCWJTRTTJFLPMQSV</v>
      </c>
      <c r="C312" s="2" t="str">
        <f>IF(Source!$E312=COLUMNS($A312:C312), LEFT(C311, LEN(C311)-Source!$C312), IF(Source!$G312=COLUMNS($A312:C312), C311&amp;RIGHT(INDIRECT(ADDRESS(ROW(C312)-1, Source!$E312)), Source!$C312), C311))</f>
        <v>SWRJTLB</v>
      </c>
      <c r="D312" s="2" t="str">
        <f>IF(Source!$E312=COLUMNS($A312:D312), LEFT(D311, LEN(D311)-Source!$C312), IF(Source!$G312=COLUMNS($A312:D312), D311&amp;RIGHT(INDIRECT(ADDRESS(ROW(D312)-1, Source!$E312)), Source!$C312), D311))</f>
        <v>PPBZHRZM</v>
      </c>
      <c r="E312" s="2" t="str">
        <f>IF(Source!$E312=COLUMNS($A312:E312), LEFT(E311, LEN(E311)-Source!$C312), IF(Source!$G312=COLUMNS($A312:E312), E311&amp;RIGHT(INDIRECT(ADDRESS(ROW(E312)-1, Source!$E312)), Source!$C312), E311))</f>
        <v>S</v>
      </c>
      <c r="F312" s="2" t="str">
        <f>IF(Source!$E312=COLUMNS($A312:F312), LEFT(F311, LEN(F311)-Source!$C312), IF(Source!$G312=COLUMNS($A312:F312), F311&amp;RIGHT(INDIRECT(ADDRESS(ROW(F312)-1, Source!$E312)), Source!$C312), F311))</f>
        <v>B</v>
      </c>
      <c r="G312" s="2" t="str">
        <f>IF(Source!$E312=COLUMNS($A312:G312), LEFT(G311, LEN(G311)-Source!$C312), IF(Source!$G312=COLUMNS($A312:G312), G311&amp;RIGHT(INDIRECT(ADDRESS(ROW(G312)-1, Source!$E312)), Source!$C312), G311))</f>
        <v>TRDDHDSMLQDGFDR</v>
      </c>
      <c r="H312" s="2" t="str">
        <f>IF(Source!$E312=COLUMNS($A312:H312), LEFT(H311, LEN(H311)-Source!$C312), IF(Source!$G312=COLUMNS($A312:H312), H311&amp;RIGHT(INDIRECT(ADDRESS(ROW(H312)-1, Source!$E312)), Source!$C312), H311))</f>
        <v/>
      </c>
      <c r="I312" s="2" t="str">
        <f>IF(Source!$E312=COLUMNS($A312:I312), LEFT(I311, LEN(I311)-Source!$C312), IF(Source!$G312=COLUMNS($A312:I312), I311&amp;RIGHT(INDIRECT(ADDRESS(ROW(I312)-1, Source!$E312)), Source!$C312), I311))</f>
        <v/>
      </c>
    </row>
    <row r="313">
      <c r="A313" s="2" t="str">
        <f>IF(Source!$E313=COLUMNS($A313:A313), LEFT(A312, LEN(A312)-Source!$C313), IF(Source!$G313=COLUMNS($A313:A313), A312&amp;RIGHT(INDIRECT(ADDRESS(ROW(A313)-1, Source!$E313)), Source!$C313), A312))</f>
        <v>B</v>
      </c>
      <c r="B313" s="2" t="str">
        <f>IF(Source!$E313=COLUMNS($A313:B313), LEFT(B312, LEN(B312)-Source!$C313), IF(Source!$G313=COLUMNS($A313:B313), B312&amp;RIGHT(INDIRECT(ADDRESS(ROW(B313)-1, Source!$E313)), Source!$C313), B312))</f>
        <v>CVVCGTZBDCWJTRTTJFLPMQSV</v>
      </c>
      <c r="C313" s="2" t="str">
        <f>IF(Source!$E313=COLUMNS($A313:C313), LEFT(C312, LEN(C312)-Source!$C313), IF(Source!$G313=COLUMNS($A313:C313), C312&amp;RIGHT(INDIRECT(ADDRESS(ROW(C313)-1, Source!$E313)), Source!$C313), C312))</f>
        <v>SWRJTLB</v>
      </c>
      <c r="D313" s="2" t="str">
        <f>IF(Source!$E313=COLUMNS($A313:D313), LEFT(D312, LEN(D312)-Source!$C313), IF(Source!$G313=COLUMNS($A313:D313), D312&amp;RIGHT(INDIRECT(ADDRESS(ROW(D313)-1, Source!$E313)), Source!$C313), D312))</f>
        <v>PPBZHRZM</v>
      </c>
      <c r="E313" s="2" t="str">
        <f>IF(Source!$E313=COLUMNS($A313:E313), LEFT(E312, LEN(E312)-Source!$C313), IF(Source!$G313=COLUMNS($A313:E313), E312&amp;RIGHT(INDIRECT(ADDRESS(ROW(E313)-1, Source!$E313)), Source!$C313), E312))</f>
        <v>S</v>
      </c>
      <c r="F313" s="2" t="str">
        <f>IF(Source!$E313=COLUMNS($A313:F313), LEFT(F312, LEN(F312)-Source!$C313), IF(Source!$G313=COLUMNS($A313:F313), F312&amp;RIGHT(INDIRECT(ADDRESS(ROW(F313)-1, Source!$E313)), Source!$C313), F312))</f>
        <v/>
      </c>
      <c r="G313" s="2" t="str">
        <f>IF(Source!$E313=COLUMNS($A313:G313), LEFT(G312, LEN(G312)-Source!$C313), IF(Source!$G313=COLUMNS($A313:G313), G312&amp;RIGHT(INDIRECT(ADDRESS(ROW(G313)-1, Source!$E313)), Source!$C313), G312))</f>
        <v>TRDDHDSMLQDGFDR</v>
      </c>
      <c r="H313" s="2" t="str">
        <f>IF(Source!$E313=COLUMNS($A313:H313), LEFT(H312, LEN(H312)-Source!$C313), IF(Source!$G313=COLUMNS($A313:H313), H312&amp;RIGHT(INDIRECT(ADDRESS(ROW(H313)-1, Source!$E313)), Source!$C313), H312))</f>
        <v/>
      </c>
      <c r="I313" s="2" t="str">
        <f>IF(Source!$E313=COLUMNS($A313:I313), LEFT(I312, LEN(I312)-Source!$C313), IF(Source!$G313=COLUMNS($A313:I313), I312&amp;RIGHT(INDIRECT(ADDRESS(ROW(I313)-1, Source!$E313)), Source!$C313), I312))</f>
        <v/>
      </c>
    </row>
    <row r="314">
      <c r="A314" s="2" t="str">
        <f>IF(Source!$E314=COLUMNS($A314:A314), LEFT(A313, LEN(A313)-Source!$C314), IF(Source!$G314=COLUMNS($A314:A314), A313&amp;RIGHT(INDIRECT(ADDRESS(ROW(A314)-1, Source!$E314)), Source!$C314), A313))</f>
        <v>B</v>
      </c>
      <c r="B314" s="2" t="str">
        <f>IF(Source!$E314=COLUMNS($A314:B314), LEFT(B313, LEN(B313)-Source!$C314), IF(Source!$G314=COLUMNS($A314:B314), B313&amp;RIGHT(INDIRECT(ADDRESS(ROW(B314)-1, Source!$E314)), Source!$C314), B313))</f>
        <v>CVVCGTZBDCWJTRTTJFLPMQSV</v>
      </c>
      <c r="C314" s="2" t="str">
        <f>IF(Source!$E314=COLUMNS($A314:C314), LEFT(C313, LEN(C313)-Source!$C314), IF(Source!$G314=COLUMNS($A314:C314), C313&amp;RIGHT(INDIRECT(ADDRESS(ROW(C314)-1, Source!$E314)), Source!$C314), C313))</f>
        <v>SWRJTLB</v>
      </c>
      <c r="D314" s="2" t="str">
        <f>IF(Source!$E314=COLUMNS($A314:D314), LEFT(D313, LEN(D313)-Source!$C314), IF(Source!$G314=COLUMNS($A314:D314), D313&amp;RIGHT(INDIRECT(ADDRESS(ROW(D314)-1, Source!$E314)), Source!$C314), D313))</f>
        <v>PP</v>
      </c>
      <c r="E314" s="2" t="str">
        <f>IF(Source!$E314=COLUMNS($A314:E314), LEFT(E313, LEN(E313)-Source!$C314), IF(Source!$G314=COLUMNS($A314:E314), E313&amp;RIGHT(INDIRECT(ADDRESS(ROW(E314)-1, Source!$E314)), Source!$C314), E313))</f>
        <v>S</v>
      </c>
      <c r="F314" s="2" t="str">
        <f>IF(Source!$E314=COLUMNS($A314:F314), LEFT(F313, LEN(F313)-Source!$C314), IF(Source!$G314=COLUMNS($A314:F314), F313&amp;RIGHT(INDIRECT(ADDRESS(ROW(F314)-1, Source!$E314)), Source!$C314), F313))</f>
        <v/>
      </c>
      <c r="G314" s="2" t="str">
        <f>IF(Source!$E314=COLUMNS($A314:G314), LEFT(G313, LEN(G313)-Source!$C314), IF(Source!$G314=COLUMNS($A314:G314), G313&amp;RIGHT(INDIRECT(ADDRESS(ROW(G314)-1, Source!$E314)), Source!$C314), G313))</f>
        <v>TRDDHDSMLQDGFDRBZHRZM</v>
      </c>
      <c r="H314" s="2" t="str">
        <f>IF(Source!$E314=COLUMNS($A314:H314), LEFT(H313, LEN(H313)-Source!$C314), IF(Source!$G314=COLUMNS($A314:H314), H313&amp;RIGHT(INDIRECT(ADDRESS(ROW(H314)-1, Source!$E314)), Source!$C314), H313))</f>
        <v/>
      </c>
      <c r="I314" s="2" t="str">
        <f>IF(Source!$E314=COLUMNS($A314:I314), LEFT(I313, LEN(I313)-Source!$C314), IF(Source!$G314=COLUMNS($A314:I314), I313&amp;RIGHT(INDIRECT(ADDRESS(ROW(I314)-1, Source!$E314)), Source!$C314), I313))</f>
        <v/>
      </c>
    </row>
    <row r="315">
      <c r="A315" s="2" t="str">
        <f>IF(Source!$E315=COLUMNS($A315:A315), LEFT(A314, LEN(A314)-Source!$C315), IF(Source!$G315=COLUMNS($A315:A315), A314&amp;RIGHT(INDIRECT(ADDRESS(ROW(A315)-1, Source!$E315)), Source!$C315), A314))</f>
        <v>BS</v>
      </c>
      <c r="B315" s="2" t="str">
        <f>IF(Source!$E315=COLUMNS($A315:B315), LEFT(B314, LEN(B314)-Source!$C315), IF(Source!$G315=COLUMNS($A315:B315), B314&amp;RIGHT(INDIRECT(ADDRESS(ROW(B315)-1, Source!$E315)), Source!$C315), B314))</f>
        <v>CVVCGTZBDCWJTRTTJFLPMQSV</v>
      </c>
      <c r="C315" s="2" t="str">
        <f>IF(Source!$E315=COLUMNS($A315:C315), LEFT(C314, LEN(C314)-Source!$C315), IF(Source!$G315=COLUMNS($A315:C315), C314&amp;RIGHT(INDIRECT(ADDRESS(ROW(C315)-1, Source!$E315)), Source!$C315), C314))</f>
        <v>SWRJTLB</v>
      </c>
      <c r="D315" s="2" t="str">
        <f>IF(Source!$E315=COLUMNS($A315:D315), LEFT(D314, LEN(D314)-Source!$C315), IF(Source!$G315=COLUMNS($A315:D315), D314&amp;RIGHT(INDIRECT(ADDRESS(ROW(D315)-1, Source!$E315)), Source!$C315), D314))</f>
        <v>PP</v>
      </c>
      <c r="E315" s="2" t="str">
        <f>IF(Source!$E315=COLUMNS($A315:E315), LEFT(E314, LEN(E314)-Source!$C315), IF(Source!$G315=COLUMNS($A315:E315), E314&amp;RIGHT(INDIRECT(ADDRESS(ROW(E315)-1, Source!$E315)), Source!$C315), E314))</f>
        <v/>
      </c>
      <c r="F315" s="2" t="str">
        <f>IF(Source!$E315=COLUMNS($A315:F315), LEFT(F314, LEN(F314)-Source!$C315), IF(Source!$G315=COLUMNS($A315:F315), F314&amp;RIGHT(INDIRECT(ADDRESS(ROW(F315)-1, Source!$E315)), Source!$C315), F314))</f>
        <v/>
      </c>
      <c r="G315" s="2" t="str">
        <f>IF(Source!$E315=COLUMNS($A315:G315), LEFT(G314, LEN(G314)-Source!$C315), IF(Source!$G315=COLUMNS($A315:G315), G314&amp;RIGHT(INDIRECT(ADDRESS(ROW(G315)-1, Source!$E315)), Source!$C315), G314))</f>
        <v>TRDDHDSMLQDGFDRBZHRZM</v>
      </c>
      <c r="H315" s="2" t="str">
        <f>IF(Source!$E315=COLUMNS($A315:H315), LEFT(H314, LEN(H314)-Source!$C315), IF(Source!$G315=COLUMNS($A315:H315), H314&amp;RIGHT(INDIRECT(ADDRESS(ROW(H315)-1, Source!$E315)), Source!$C315), H314))</f>
        <v/>
      </c>
      <c r="I315" s="2" t="str">
        <f>IF(Source!$E315=COLUMNS($A315:I315), LEFT(I314, LEN(I314)-Source!$C315), IF(Source!$G315=COLUMNS($A315:I315), I314&amp;RIGHT(INDIRECT(ADDRESS(ROW(I315)-1, Source!$E315)), Source!$C315), I314))</f>
        <v/>
      </c>
    </row>
    <row r="316">
      <c r="A316" s="2" t="str">
        <f>IF(Source!$E316=COLUMNS($A316:A316), LEFT(A315, LEN(A315)-Source!$C316), IF(Source!$G316=COLUMNS($A316:A316), A315&amp;RIGHT(INDIRECT(ADDRESS(ROW(A316)-1, Source!$E316)), Source!$C316), A315))</f>
        <v>B</v>
      </c>
      <c r="B316" s="2" t="str">
        <f>IF(Source!$E316=COLUMNS($A316:B316), LEFT(B315, LEN(B315)-Source!$C316), IF(Source!$G316=COLUMNS($A316:B316), B315&amp;RIGHT(INDIRECT(ADDRESS(ROW(B316)-1, Source!$E316)), Source!$C316), B315))</f>
        <v>CVVCGTZBDCWJTRTTJFLPMQSVS</v>
      </c>
      <c r="C316" s="2" t="str">
        <f>IF(Source!$E316=COLUMNS($A316:C316), LEFT(C315, LEN(C315)-Source!$C316), IF(Source!$G316=COLUMNS($A316:C316), C315&amp;RIGHT(INDIRECT(ADDRESS(ROW(C316)-1, Source!$E316)), Source!$C316), C315))</f>
        <v>SWRJTLB</v>
      </c>
      <c r="D316" s="2" t="str">
        <f>IF(Source!$E316=COLUMNS($A316:D316), LEFT(D315, LEN(D315)-Source!$C316), IF(Source!$G316=COLUMNS($A316:D316), D315&amp;RIGHT(INDIRECT(ADDRESS(ROW(D316)-1, Source!$E316)), Source!$C316), D315))</f>
        <v>PP</v>
      </c>
      <c r="E316" s="2" t="str">
        <f>IF(Source!$E316=COLUMNS($A316:E316), LEFT(E315, LEN(E315)-Source!$C316), IF(Source!$G316=COLUMNS($A316:E316), E315&amp;RIGHT(INDIRECT(ADDRESS(ROW(E316)-1, Source!$E316)), Source!$C316), E315))</f>
        <v/>
      </c>
      <c r="F316" s="2" t="str">
        <f>IF(Source!$E316=COLUMNS($A316:F316), LEFT(F315, LEN(F315)-Source!$C316), IF(Source!$G316=COLUMNS($A316:F316), F315&amp;RIGHT(INDIRECT(ADDRESS(ROW(F316)-1, Source!$E316)), Source!$C316), F315))</f>
        <v/>
      </c>
      <c r="G316" s="2" t="str">
        <f>IF(Source!$E316=COLUMNS($A316:G316), LEFT(G315, LEN(G315)-Source!$C316), IF(Source!$G316=COLUMNS($A316:G316), G315&amp;RIGHT(INDIRECT(ADDRESS(ROW(G316)-1, Source!$E316)), Source!$C316), G315))</f>
        <v>TRDDHDSMLQDGFDRBZHRZM</v>
      </c>
      <c r="H316" s="2" t="str">
        <f>IF(Source!$E316=COLUMNS($A316:H316), LEFT(H315, LEN(H315)-Source!$C316), IF(Source!$G316=COLUMNS($A316:H316), H315&amp;RIGHT(INDIRECT(ADDRESS(ROW(H316)-1, Source!$E316)), Source!$C316), H315))</f>
        <v/>
      </c>
      <c r="I316" s="2" t="str">
        <f>IF(Source!$E316=COLUMNS($A316:I316), LEFT(I315, LEN(I315)-Source!$C316), IF(Source!$G316=COLUMNS($A316:I316), I315&amp;RIGHT(INDIRECT(ADDRESS(ROW(I316)-1, Source!$E316)), Source!$C316), I315))</f>
        <v/>
      </c>
    </row>
    <row r="317">
      <c r="A317" s="2" t="str">
        <f>IF(Source!$E317=COLUMNS($A317:A317), LEFT(A316, LEN(A316)-Source!$C317), IF(Source!$G317=COLUMNS($A317:A317), A316&amp;RIGHT(INDIRECT(ADDRESS(ROW(A317)-1, Source!$E317)), Source!$C317), A316))</f>
        <v>B</v>
      </c>
      <c r="B317" s="2" t="str">
        <f>IF(Source!$E317=COLUMNS($A317:B317), LEFT(B316, LEN(B316)-Source!$C317), IF(Source!$G317=COLUMNS($A317:B317), B316&amp;RIGHT(INDIRECT(ADDRESS(ROW(B317)-1, Source!$E317)), Source!$C317), B316))</f>
        <v>CVVCGTZBDCWJTRTTJFLPMQSVSTRDDHDSMLQDGFDRBZHRZM</v>
      </c>
      <c r="C317" s="2" t="str">
        <f>IF(Source!$E317=COLUMNS($A317:C317), LEFT(C316, LEN(C316)-Source!$C317), IF(Source!$G317=COLUMNS($A317:C317), C316&amp;RIGHT(INDIRECT(ADDRESS(ROW(C317)-1, Source!$E317)), Source!$C317), C316))</f>
        <v>SWRJTLB</v>
      </c>
      <c r="D317" s="2" t="str">
        <f>IF(Source!$E317=COLUMNS($A317:D317), LEFT(D316, LEN(D316)-Source!$C317), IF(Source!$G317=COLUMNS($A317:D317), D316&amp;RIGHT(INDIRECT(ADDRESS(ROW(D317)-1, Source!$E317)), Source!$C317), D316))</f>
        <v>PP</v>
      </c>
      <c r="E317" s="2" t="str">
        <f>IF(Source!$E317=COLUMNS($A317:E317), LEFT(E316, LEN(E316)-Source!$C317), IF(Source!$G317=COLUMNS($A317:E317), E316&amp;RIGHT(INDIRECT(ADDRESS(ROW(E317)-1, Source!$E317)), Source!$C317), E316))</f>
        <v/>
      </c>
      <c r="F317" s="2" t="str">
        <f>IF(Source!$E317=COLUMNS($A317:F317), LEFT(F316, LEN(F316)-Source!$C317), IF(Source!$G317=COLUMNS($A317:F317), F316&amp;RIGHT(INDIRECT(ADDRESS(ROW(F317)-1, Source!$E317)), Source!$C317), F316))</f>
        <v/>
      </c>
      <c r="G317" s="2" t="str">
        <f>IF(Source!$E317=COLUMNS($A317:G317), LEFT(G316, LEN(G316)-Source!$C317), IF(Source!$G317=COLUMNS($A317:G317), G316&amp;RIGHT(INDIRECT(ADDRESS(ROW(G317)-1, Source!$E317)), Source!$C317), G316))</f>
        <v/>
      </c>
      <c r="H317" s="2" t="str">
        <f>IF(Source!$E317=COLUMNS($A317:H317), LEFT(H316, LEN(H316)-Source!$C317), IF(Source!$G317=COLUMNS($A317:H317), H316&amp;RIGHT(INDIRECT(ADDRESS(ROW(H317)-1, Source!$E317)), Source!$C317), H316))</f>
        <v/>
      </c>
      <c r="I317" s="2" t="str">
        <f>IF(Source!$E317=COLUMNS($A317:I317), LEFT(I316, LEN(I316)-Source!$C317), IF(Source!$G317=COLUMNS($A317:I317), I316&amp;RIGHT(INDIRECT(ADDRESS(ROW(I317)-1, Source!$E317)), Source!$C317), I316))</f>
        <v/>
      </c>
    </row>
    <row r="318">
      <c r="A318" s="2" t="str">
        <f>IF(Source!$E318=COLUMNS($A318:A318), LEFT(A317, LEN(A317)-Source!$C318), IF(Source!$G318=COLUMNS($A318:A318), A317&amp;RIGHT(INDIRECT(ADDRESS(ROW(A318)-1, Source!$E318)), Source!$C318), A317))</f>
        <v>B</v>
      </c>
      <c r="B318" s="2" t="str">
        <f>IF(Source!$E318=COLUMNS($A318:B318), LEFT(B317, LEN(B317)-Source!$C318), IF(Source!$G318=COLUMNS($A318:B318), B317&amp;RIGHT(INDIRECT(ADDRESS(ROW(B318)-1, Source!$E318)), Source!$C318), B317))</f>
        <v>CVVCGTZB</v>
      </c>
      <c r="C318" s="2" t="str">
        <f>IF(Source!$E318=COLUMNS($A318:C318), LEFT(C317, LEN(C317)-Source!$C318), IF(Source!$G318=COLUMNS($A318:C318), C317&amp;RIGHT(INDIRECT(ADDRESS(ROW(C318)-1, Source!$E318)), Source!$C318), C317))</f>
        <v>SWRJTLBDCWJTRTTJFLPMQSVSTRDDHDSMLQDGFDRBZHRZM</v>
      </c>
      <c r="D318" s="2" t="str">
        <f>IF(Source!$E318=COLUMNS($A318:D318), LEFT(D317, LEN(D317)-Source!$C318), IF(Source!$G318=COLUMNS($A318:D318), D317&amp;RIGHT(INDIRECT(ADDRESS(ROW(D318)-1, Source!$E318)), Source!$C318), D317))</f>
        <v>PP</v>
      </c>
      <c r="E318" s="2" t="str">
        <f>IF(Source!$E318=COLUMNS($A318:E318), LEFT(E317, LEN(E317)-Source!$C318), IF(Source!$G318=COLUMNS($A318:E318), E317&amp;RIGHT(INDIRECT(ADDRESS(ROW(E318)-1, Source!$E318)), Source!$C318), E317))</f>
        <v/>
      </c>
      <c r="F318" s="2" t="str">
        <f>IF(Source!$E318=COLUMNS($A318:F318), LEFT(F317, LEN(F317)-Source!$C318), IF(Source!$G318=COLUMNS($A318:F318), F317&amp;RIGHT(INDIRECT(ADDRESS(ROW(F318)-1, Source!$E318)), Source!$C318), F317))</f>
        <v/>
      </c>
      <c r="G318" s="2" t="str">
        <f>IF(Source!$E318=COLUMNS($A318:G318), LEFT(G317, LEN(G317)-Source!$C318), IF(Source!$G318=COLUMNS($A318:G318), G317&amp;RIGHT(INDIRECT(ADDRESS(ROW(G318)-1, Source!$E318)), Source!$C318), G317))</f>
        <v/>
      </c>
      <c r="H318" s="2" t="str">
        <f>IF(Source!$E318=COLUMNS($A318:H318), LEFT(H317, LEN(H317)-Source!$C318), IF(Source!$G318=COLUMNS($A318:H318), H317&amp;RIGHT(INDIRECT(ADDRESS(ROW(H318)-1, Source!$E318)), Source!$C318), H317))</f>
        <v/>
      </c>
      <c r="I318" s="2" t="str">
        <f>IF(Source!$E318=COLUMNS($A318:I318), LEFT(I317, LEN(I317)-Source!$C318), IF(Source!$G318=COLUMNS($A318:I318), I317&amp;RIGHT(INDIRECT(ADDRESS(ROW(I318)-1, Source!$E318)), Source!$C318), I317))</f>
        <v/>
      </c>
    </row>
    <row r="319">
      <c r="A319" s="2" t="str">
        <f>IF(Source!$E319=COLUMNS($A319:A319), LEFT(A318, LEN(A318)-Source!$C319), IF(Source!$G319=COLUMNS($A319:A319), A318&amp;RIGHT(INDIRECT(ADDRESS(ROW(A319)-1, Source!$E319)), Source!$C319), A318))</f>
        <v>B</v>
      </c>
      <c r="B319" s="2" t="str">
        <f>IF(Source!$E319=COLUMNS($A319:B319), LEFT(B318, LEN(B318)-Source!$C319), IF(Source!$G319=COLUMNS($A319:B319), B318&amp;RIGHT(INDIRECT(ADDRESS(ROW(B319)-1, Source!$E319)), Source!$C319), B318))</f>
        <v/>
      </c>
      <c r="C319" s="2" t="str">
        <f>IF(Source!$E319=COLUMNS($A319:C319), LEFT(C318, LEN(C318)-Source!$C319), IF(Source!$G319=COLUMNS($A319:C319), C318&amp;RIGHT(INDIRECT(ADDRESS(ROW(C319)-1, Source!$E319)), Source!$C319), C318))</f>
        <v>SWRJTLBDCWJTRTTJFLPMQSVSTRDDHDSMLQDGFDRBZHRZM</v>
      </c>
      <c r="D319" s="2" t="str">
        <f>IF(Source!$E319=COLUMNS($A319:D319), LEFT(D318, LEN(D318)-Source!$C319), IF(Source!$G319=COLUMNS($A319:D319), D318&amp;RIGHT(INDIRECT(ADDRESS(ROW(D319)-1, Source!$E319)), Source!$C319), D318))</f>
        <v>PP</v>
      </c>
      <c r="E319" s="2" t="str">
        <f>IF(Source!$E319=COLUMNS($A319:E319), LEFT(E318, LEN(E318)-Source!$C319), IF(Source!$G319=COLUMNS($A319:E319), E318&amp;RIGHT(INDIRECT(ADDRESS(ROW(E319)-1, Source!$E319)), Source!$C319), E318))</f>
        <v/>
      </c>
      <c r="F319" s="2" t="str">
        <f>IF(Source!$E319=COLUMNS($A319:F319), LEFT(F318, LEN(F318)-Source!$C319), IF(Source!$G319=COLUMNS($A319:F319), F318&amp;RIGHT(INDIRECT(ADDRESS(ROW(F319)-1, Source!$E319)), Source!$C319), F318))</f>
        <v>CVVCGTZB</v>
      </c>
      <c r="G319" s="2" t="str">
        <f>IF(Source!$E319=COLUMNS($A319:G319), LEFT(G318, LEN(G318)-Source!$C319), IF(Source!$G319=COLUMNS($A319:G319), G318&amp;RIGHT(INDIRECT(ADDRESS(ROW(G319)-1, Source!$E319)), Source!$C319), G318))</f>
        <v/>
      </c>
      <c r="H319" s="2" t="str">
        <f>IF(Source!$E319=COLUMNS($A319:H319), LEFT(H318, LEN(H318)-Source!$C319), IF(Source!$G319=COLUMNS($A319:H319), H318&amp;RIGHT(INDIRECT(ADDRESS(ROW(H319)-1, Source!$E319)), Source!$C319), H318))</f>
        <v/>
      </c>
      <c r="I319" s="2" t="str">
        <f>IF(Source!$E319=COLUMNS($A319:I319), LEFT(I318, LEN(I318)-Source!$C319), IF(Source!$G319=COLUMNS($A319:I319), I318&amp;RIGHT(INDIRECT(ADDRESS(ROW(I319)-1, Source!$E319)), Source!$C319), I318))</f>
        <v/>
      </c>
    </row>
    <row r="320">
      <c r="A320" s="2" t="str">
        <f>IF(Source!$E320=COLUMNS($A320:A320), LEFT(A319, LEN(A319)-Source!$C320), IF(Source!$G320=COLUMNS($A320:A320), A319&amp;RIGHT(INDIRECT(ADDRESS(ROW(A320)-1, Source!$E320)), Source!$C320), A319))</f>
        <v>B</v>
      </c>
      <c r="B320" s="2" t="str">
        <f>IF(Source!$E320=COLUMNS($A320:B320), LEFT(B319, LEN(B319)-Source!$C320), IF(Source!$G320=COLUMNS($A320:B320), B319&amp;RIGHT(INDIRECT(ADDRESS(ROW(B320)-1, Source!$E320)), Source!$C320), B319))</f>
        <v/>
      </c>
      <c r="C320" s="2" t="str">
        <f>IF(Source!$E320=COLUMNS($A320:C320), LEFT(C319, LEN(C319)-Source!$C320), IF(Source!$G320=COLUMNS($A320:C320), C319&amp;RIGHT(INDIRECT(ADDRESS(ROW(C320)-1, Source!$E320)), Source!$C320), C319))</f>
        <v>SWRJTLBDCWJTRTTJFLPMQSVSTRDDHDSMLQDGFDRBZHRZM</v>
      </c>
      <c r="D320" s="2" t="str">
        <f>IF(Source!$E320=COLUMNS($A320:D320), LEFT(D319, LEN(D319)-Source!$C320), IF(Source!$G320=COLUMNS($A320:D320), D319&amp;RIGHT(INDIRECT(ADDRESS(ROW(D320)-1, Source!$E320)), Source!$C320), D319))</f>
        <v/>
      </c>
      <c r="E320" s="2" t="str">
        <f>IF(Source!$E320=COLUMNS($A320:E320), LEFT(E319, LEN(E319)-Source!$C320), IF(Source!$G320=COLUMNS($A320:E320), E319&amp;RIGHT(INDIRECT(ADDRESS(ROW(E320)-1, Source!$E320)), Source!$C320), E319))</f>
        <v/>
      </c>
      <c r="F320" s="2" t="str">
        <f>IF(Source!$E320=COLUMNS($A320:F320), LEFT(F319, LEN(F319)-Source!$C320), IF(Source!$G320=COLUMNS($A320:F320), F319&amp;RIGHT(INDIRECT(ADDRESS(ROW(F320)-1, Source!$E320)), Source!$C320), F319))</f>
        <v>CVVCGTZB</v>
      </c>
      <c r="G320" s="2" t="str">
        <f>IF(Source!$E320=COLUMNS($A320:G320), LEFT(G319, LEN(G319)-Source!$C320), IF(Source!$G320=COLUMNS($A320:G320), G319&amp;RIGHT(INDIRECT(ADDRESS(ROW(G320)-1, Source!$E320)), Source!$C320), G319))</f>
        <v/>
      </c>
      <c r="H320" s="2" t="str">
        <f>IF(Source!$E320=COLUMNS($A320:H320), LEFT(H319, LEN(H319)-Source!$C320), IF(Source!$G320=COLUMNS($A320:H320), H319&amp;RIGHT(INDIRECT(ADDRESS(ROW(H320)-1, Source!$E320)), Source!$C320), H319))</f>
        <v>PP</v>
      </c>
      <c r="I320" s="2" t="str">
        <f>IF(Source!$E320=COLUMNS($A320:I320), LEFT(I319, LEN(I319)-Source!$C320), IF(Source!$G320=COLUMNS($A320:I320), I319&amp;RIGHT(INDIRECT(ADDRESS(ROW(I320)-1, Source!$E320)), Source!$C320), I319))</f>
        <v/>
      </c>
    </row>
    <row r="321">
      <c r="A321" s="2" t="str">
        <f>IF(Source!$E321=COLUMNS($A321:A321), LEFT(A320, LEN(A320)-Source!$C321), IF(Source!$G321=COLUMNS($A321:A321), A320&amp;RIGHT(INDIRECT(ADDRESS(ROW(A321)-1, Source!$E321)), Source!$C321), A320))</f>
        <v>B</v>
      </c>
      <c r="B321" s="2" t="str">
        <f>IF(Source!$E321=COLUMNS($A321:B321), LEFT(B320, LEN(B320)-Source!$C321), IF(Source!$G321=COLUMNS($A321:B321), B320&amp;RIGHT(INDIRECT(ADDRESS(ROW(B321)-1, Source!$E321)), Source!$C321), B320))</f>
        <v>PP</v>
      </c>
      <c r="C321" s="2" t="str">
        <f>IF(Source!$E321=COLUMNS($A321:C321), LEFT(C320, LEN(C320)-Source!$C321), IF(Source!$G321=COLUMNS($A321:C321), C320&amp;RIGHT(INDIRECT(ADDRESS(ROW(C321)-1, Source!$E321)), Source!$C321), C320))</f>
        <v>SWRJTLBDCWJTRTTJFLPMQSVSTRDDHDSMLQDGFDRBZHRZM</v>
      </c>
      <c r="D321" s="2" t="str">
        <f>IF(Source!$E321=COLUMNS($A321:D321), LEFT(D320, LEN(D320)-Source!$C321), IF(Source!$G321=COLUMNS($A321:D321), D320&amp;RIGHT(INDIRECT(ADDRESS(ROW(D321)-1, Source!$E321)), Source!$C321), D320))</f>
        <v/>
      </c>
      <c r="E321" s="2" t="str">
        <f>IF(Source!$E321=COLUMNS($A321:E321), LEFT(E320, LEN(E320)-Source!$C321), IF(Source!$G321=COLUMNS($A321:E321), E320&amp;RIGHT(INDIRECT(ADDRESS(ROW(E321)-1, Source!$E321)), Source!$C321), E320))</f>
        <v/>
      </c>
      <c r="F321" s="2" t="str">
        <f>IF(Source!$E321=COLUMNS($A321:F321), LEFT(F320, LEN(F320)-Source!$C321), IF(Source!$G321=COLUMNS($A321:F321), F320&amp;RIGHT(INDIRECT(ADDRESS(ROW(F321)-1, Source!$E321)), Source!$C321), F320))</f>
        <v>CVVCGTZB</v>
      </c>
      <c r="G321" s="2" t="str">
        <f>IF(Source!$E321=COLUMNS($A321:G321), LEFT(G320, LEN(G320)-Source!$C321), IF(Source!$G321=COLUMNS($A321:G321), G320&amp;RIGHT(INDIRECT(ADDRESS(ROW(G321)-1, Source!$E321)), Source!$C321), G320))</f>
        <v/>
      </c>
      <c r="H321" s="2" t="str">
        <f>IF(Source!$E321=COLUMNS($A321:H321), LEFT(H320, LEN(H320)-Source!$C321), IF(Source!$G321=COLUMNS($A321:H321), H320&amp;RIGHT(INDIRECT(ADDRESS(ROW(H321)-1, Source!$E321)), Source!$C321), H320))</f>
        <v/>
      </c>
      <c r="I321" s="2" t="str">
        <f>IF(Source!$E321=COLUMNS($A321:I321), LEFT(I320, LEN(I320)-Source!$C321), IF(Source!$G321=COLUMNS($A321:I321), I320&amp;RIGHT(INDIRECT(ADDRESS(ROW(I321)-1, Source!$E321)), Source!$C321), I320))</f>
        <v/>
      </c>
    </row>
    <row r="322">
      <c r="A322" s="2" t="str">
        <f>IF(Source!$E322=COLUMNS($A322:A322), LEFT(A321, LEN(A321)-Source!$C322), IF(Source!$G322=COLUMNS($A322:A322), A321&amp;RIGHT(INDIRECT(ADDRESS(ROW(A322)-1, Source!$E322)), Source!$C322), A321))</f>
        <v/>
      </c>
      <c r="B322" s="2" t="str">
        <f>IF(Source!$E322=COLUMNS($A322:B322), LEFT(B321, LEN(B321)-Source!$C322), IF(Source!$G322=COLUMNS($A322:B322), B321&amp;RIGHT(INDIRECT(ADDRESS(ROW(B322)-1, Source!$E322)), Source!$C322), B321))</f>
        <v>PP</v>
      </c>
      <c r="C322" s="2" t="str">
        <f>IF(Source!$E322=COLUMNS($A322:C322), LEFT(C321, LEN(C321)-Source!$C322), IF(Source!$G322=COLUMNS($A322:C322), C321&amp;RIGHT(INDIRECT(ADDRESS(ROW(C322)-1, Source!$E322)), Source!$C322), C321))</f>
        <v>SWRJTLBDCWJTRTTJFLPMQSVSTRDDHDSMLQDGFDRBZHRZMB</v>
      </c>
      <c r="D322" s="2" t="str">
        <f>IF(Source!$E322=COLUMNS($A322:D322), LEFT(D321, LEN(D321)-Source!$C322), IF(Source!$G322=COLUMNS($A322:D322), D321&amp;RIGHT(INDIRECT(ADDRESS(ROW(D322)-1, Source!$E322)), Source!$C322), D321))</f>
        <v/>
      </c>
      <c r="E322" s="2" t="str">
        <f>IF(Source!$E322=COLUMNS($A322:E322), LEFT(E321, LEN(E321)-Source!$C322), IF(Source!$G322=COLUMNS($A322:E322), E321&amp;RIGHT(INDIRECT(ADDRESS(ROW(E322)-1, Source!$E322)), Source!$C322), E321))</f>
        <v/>
      </c>
      <c r="F322" s="2" t="str">
        <f>IF(Source!$E322=COLUMNS($A322:F322), LEFT(F321, LEN(F321)-Source!$C322), IF(Source!$G322=COLUMNS($A322:F322), F321&amp;RIGHT(INDIRECT(ADDRESS(ROW(F322)-1, Source!$E322)), Source!$C322), F321))</f>
        <v>CVVCGTZB</v>
      </c>
      <c r="G322" s="2" t="str">
        <f>IF(Source!$E322=COLUMNS($A322:G322), LEFT(G321, LEN(G321)-Source!$C322), IF(Source!$G322=COLUMNS($A322:G322), G321&amp;RIGHT(INDIRECT(ADDRESS(ROW(G322)-1, Source!$E322)), Source!$C322), G321))</f>
        <v/>
      </c>
      <c r="H322" s="2" t="str">
        <f>IF(Source!$E322=COLUMNS($A322:H322), LEFT(H321, LEN(H321)-Source!$C322), IF(Source!$G322=COLUMNS($A322:H322), H321&amp;RIGHT(INDIRECT(ADDRESS(ROW(H322)-1, Source!$E322)), Source!$C322), H321))</f>
        <v/>
      </c>
      <c r="I322" s="2" t="str">
        <f>IF(Source!$E322=COLUMNS($A322:I322), LEFT(I321, LEN(I321)-Source!$C322), IF(Source!$G322=COLUMNS($A322:I322), I321&amp;RIGHT(INDIRECT(ADDRESS(ROW(I322)-1, Source!$E322)), Source!$C322), I321))</f>
        <v/>
      </c>
    </row>
    <row r="323">
      <c r="A323" s="2" t="str">
        <f>IF(Source!$E323=COLUMNS($A323:A323), LEFT(A322, LEN(A322)-Source!$C323), IF(Source!$G323=COLUMNS($A323:A323), A322&amp;RIGHT(INDIRECT(ADDRESS(ROW(A323)-1, Source!$E323)), Source!$C323), A322))</f>
        <v/>
      </c>
      <c r="B323" s="2" t="str">
        <f>IF(Source!$E323=COLUMNS($A323:B323), LEFT(B322, LEN(B322)-Source!$C323), IF(Source!$G323=COLUMNS($A323:B323), B322&amp;RIGHT(INDIRECT(ADDRESS(ROW(B323)-1, Source!$E323)), Source!$C323), B322))</f>
        <v>P</v>
      </c>
      <c r="C323" s="2" t="str">
        <f>IF(Source!$E323=COLUMNS($A323:C323), LEFT(C322, LEN(C322)-Source!$C323), IF(Source!$G323=COLUMNS($A323:C323), C322&amp;RIGHT(INDIRECT(ADDRESS(ROW(C323)-1, Source!$E323)), Source!$C323), C322))</f>
        <v>SWRJTLBDCWJTRTTJFLPMQSVSTRDDHDSMLQDGFDRBZHRZMB</v>
      </c>
      <c r="D323" s="2" t="str">
        <f>IF(Source!$E323=COLUMNS($A323:D323), LEFT(D322, LEN(D322)-Source!$C323), IF(Source!$G323=COLUMNS($A323:D323), D322&amp;RIGHT(INDIRECT(ADDRESS(ROW(D323)-1, Source!$E323)), Source!$C323), D322))</f>
        <v/>
      </c>
      <c r="E323" s="2" t="str">
        <f>IF(Source!$E323=COLUMNS($A323:E323), LEFT(E322, LEN(E322)-Source!$C323), IF(Source!$G323=COLUMNS($A323:E323), E322&amp;RIGHT(INDIRECT(ADDRESS(ROW(E323)-1, Source!$E323)), Source!$C323), E322))</f>
        <v/>
      </c>
      <c r="F323" s="2" t="str">
        <f>IF(Source!$E323=COLUMNS($A323:F323), LEFT(F322, LEN(F322)-Source!$C323), IF(Source!$G323=COLUMNS($A323:F323), F322&amp;RIGHT(INDIRECT(ADDRESS(ROW(F323)-1, Source!$E323)), Source!$C323), F322))</f>
        <v>CVVCGTZB</v>
      </c>
      <c r="G323" s="2" t="str">
        <f>IF(Source!$E323=COLUMNS($A323:G323), LEFT(G322, LEN(G322)-Source!$C323), IF(Source!$G323=COLUMNS($A323:G323), G322&amp;RIGHT(INDIRECT(ADDRESS(ROW(G323)-1, Source!$E323)), Source!$C323), G322))</f>
        <v/>
      </c>
      <c r="H323" s="2" t="str">
        <f>IF(Source!$E323=COLUMNS($A323:H323), LEFT(H322, LEN(H322)-Source!$C323), IF(Source!$G323=COLUMNS($A323:H323), H322&amp;RIGHT(INDIRECT(ADDRESS(ROW(H323)-1, Source!$E323)), Source!$C323), H322))</f>
        <v>P</v>
      </c>
      <c r="I323" s="2" t="str">
        <f>IF(Source!$E323=COLUMNS($A323:I323), LEFT(I322, LEN(I322)-Source!$C323), IF(Source!$G323=COLUMNS($A323:I323), I322&amp;RIGHT(INDIRECT(ADDRESS(ROW(I323)-1, Source!$E323)), Source!$C323), I322))</f>
        <v/>
      </c>
    </row>
    <row r="324">
      <c r="A324" s="2" t="str">
        <f>IF(Source!$E324=COLUMNS($A324:A324), LEFT(A323, LEN(A323)-Source!$C324), IF(Source!$G324=COLUMNS($A324:A324), A323&amp;RIGHT(INDIRECT(ADDRESS(ROW(A324)-1, Source!$E324)), Source!$C324), A323))</f>
        <v/>
      </c>
      <c r="B324" s="2" t="str">
        <f>IF(Source!$E324=COLUMNS($A324:B324), LEFT(B323, LEN(B323)-Source!$C324), IF(Source!$G324=COLUMNS($A324:B324), B323&amp;RIGHT(INDIRECT(ADDRESS(ROW(B324)-1, Source!$E324)), Source!$C324), B323))</f>
        <v/>
      </c>
      <c r="C324" s="2" t="str">
        <f>IF(Source!$E324=COLUMNS($A324:C324), LEFT(C323, LEN(C323)-Source!$C324), IF(Source!$G324=COLUMNS($A324:C324), C323&amp;RIGHT(INDIRECT(ADDRESS(ROW(C324)-1, Source!$E324)), Source!$C324), C323))</f>
        <v>SWRJTLBDCWJTRTTJFLPMQSVSTRDDHDSMLQDGFDRBZHRZMB</v>
      </c>
      <c r="D324" s="2" t="str">
        <f>IF(Source!$E324=COLUMNS($A324:D324), LEFT(D323, LEN(D323)-Source!$C324), IF(Source!$G324=COLUMNS($A324:D324), D323&amp;RIGHT(INDIRECT(ADDRESS(ROW(D324)-1, Source!$E324)), Source!$C324), D323))</f>
        <v/>
      </c>
      <c r="E324" s="2" t="str">
        <f>IF(Source!$E324=COLUMNS($A324:E324), LEFT(E323, LEN(E323)-Source!$C324), IF(Source!$G324=COLUMNS($A324:E324), E323&amp;RIGHT(INDIRECT(ADDRESS(ROW(E324)-1, Source!$E324)), Source!$C324), E323))</f>
        <v>P</v>
      </c>
      <c r="F324" s="2" t="str">
        <f>IF(Source!$E324=COLUMNS($A324:F324), LEFT(F323, LEN(F323)-Source!$C324), IF(Source!$G324=COLUMNS($A324:F324), F323&amp;RIGHT(INDIRECT(ADDRESS(ROW(F324)-1, Source!$E324)), Source!$C324), F323))</f>
        <v>CVVCGTZB</v>
      </c>
      <c r="G324" s="2" t="str">
        <f>IF(Source!$E324=COLUMNS($A324:G324), LEFT(G323, LEN(G323)-Source!$C324), IF(Source!$G324=COLUMNS($A324:G324), G323&amp;RIGHT(INDIRECT(ADDRESS(ROW(G324)-1, Source!$E324)), Source!$C324), G323))</f>
        <v/>
      </c>
      <c r="H324" s="2" t="str">
        <f>IF(Source!$E324=COLUMNS($A324:H324), LEFT(H323, LEN(H323)-Source!$C324), IF(Source!$G324=COLUMNS($A324:H324), H323&amp;RIGHT(INDIRECT(ADDRESS(ROW(H324)-1, Source!$E324)), Source!$C324), H323))</f>
        <v>P</v>
      </c>
      <c r="I324" s="2" t="str">
        <f>IF(Source!$E324=COLUMNS($A324:I324), LEFT(I323, LEN(I323)-Source!$C324), IF(Source!$G324=COLUMNS($A324:I324), I323&amp;RIGHT(INDIRECT(ADDRESS(ROW(I324)-1, Source!$E324)), Source!$C324), I323))</f>
        <v/>
      </c>
    </row>
    <row r="325">
      <c r="A325" s="2" t="str">
        <f>IF(Source!$E325=COLUMNS($A325:A325), LEFT(A324, LEN(A324)-Source!$C325), IF(Source!$G325=COLUMNS($A325:A325), A324&amp;RIGHT(INDIRECT(ADDRESS(ROW(A325)-1, Source!$E325)), Source!$C325), A324))</f>
        <v/>
      </c>
      <c r="B325" s="2" t="str">
        <f>IF(Source!$E325=COLUMNS($A325:B325), LEFT(B324, LEN(B324)-Source!$C325), IF(Source!$G325=COLUMNS($A325:B325), B324&amp;RIGHT(INDIRECT(ADDRESS(ROW(B325)-1, Source!$E325)), Source!$C325), B324))</f>
        <v/>
      </c>
      <c r="C325" s="2" t="str">
        <f>IF(Source!$E325=COLUMNS($A325:C325), LEFT(C324, LEN(C324)-Source!$C325), IF(Source!$G325=COLUMNS($A325:C325), C324&amp;RIGHT(INDIRECT(ADDRESS(ROW(C325)-1, Source!$E325)), Source!$C325), C324))</f>
        <v>SWRJTLBDCWJTRTTJFLPMQSVSTRDDHDSMLQDGFDRBZHRZMB</v>
      </c>
      <c r="D325" s="2" t="str">
        <f>IF(Source!$E325=COLUMNS($A325:D325), LEFT(D324, LEN(D324)-Source!$C325), IF(Source!$G325=COLUMNS($A325:D325), D324&amp;RIGHT(INDIRECT(ADDRESS(ROW(D325)-1, Source!$E325)), Source!$C325), D324))</f>
        <v>VCGTZB</v>
      </c>
      <c r="E325" s="2" t="str">
        <f>IF(Source!$E325=COLUMNS($A325:E325), LEFT(E324, LEN(E324)-Source!$C325), IF(Source!$G325=COLUMNS($A325:E325), E324&amp;RIGHT(INDIRECT(ADDRESS(ROW(E325)-1, Source!$E325)), Source!$C325), E324))</f>
        <v>P</v>
      </c>
      <c r="F325" s="2" t="str">
        <f>IF(Source!$E325=COLUMNS($A325:F325), LEFT(F324, LEN(F324)-Source!$C325), IF(Source!$G325=COLUMNS($A325:F325), F324&amp;RIGHT(INDIRECT(ADDRESS(ROW(F325)-1, Source!$E325)), Source!$C325), F324))</f>
        <v>CV</v>
      </c>
      <c r="G325" s="2" t="str">
        <f>IF(Source!$E325=COLUMNS($A325:G325), LEFT(G324, LEN(G324)-Source!$C325), IF(Source!$G325=COLUMNS($A325:G325), G324&amp;RIGHT(INDIRECT(ADDRESS(ROW(G325)-1, Source!$E325)), Source!$C325), G324))</f>
        <v/>
      </c>
      <c r="H325" s="2" t="str">
        <f>IF(Source!$E325=COLUMNS($A325:H325), LEFT(H324, LEN(H324)-Source!$C325), IF(Source!$G325=COLUMNS($A325:H325), H324&amp;RIGHT(INDIRECT(ADDRESS(ROW(H325)-1, Source!$E325)), Source!$C325), H324))</f>
        <v>P</v>
      </c>
      <c r="I325" s="2" t="str">
        <f>IF(Source!$E325=COLUMNS($A325:I325), LEFT(I324, LEN(I324)-Source!$C325), IF(Source!$G325=COLUMNS($A325:I325), I324&amp;RIGHT(INDIRECT(ADDRESS(ROW(I325)-1, Source!$E325)), Source!$C325), I324))</f>
        <v/>
      </c>
    </row>
    <row r="326">
      <c r="A326" s="2" t="str">
        <f>IF(Source!$E326=COLUMNS($A326:A326), LEFT(A325, LEN(A325)-Source!$C326), IF(Source!$G326=COLUMNS($A326:A326), A325&amp;RIGHT(INDIRECT(ADDRESS(ROW(A326)-1, Source!$E326)), Source!$C326), A325))</f>
        <v/>
      </c>
      <c r="B326" s="2" t="str">
        <f>IF(Source!$E326=COLUMNS($A326:B326), LEFT(B325, LEN(B325)-Source!$C326), IF(Source!$G326=COLUMNS($A326:B326), B325&amp;RIGHT(INDIRECT(ADDRESS(ROW(B326)-1, Source!$E326)), Source!$C326), B325))</f>
        <v>ZB</v>
      </c>
      <c r="C326" s="2" t="str">
        <f>IF(Source!$E326=COLUMNS($A326:C326), LEFT(C325, LEN(C325)-Source!$C326), IF(Source!$G326=COLUMNS($A326:C326), C325&amp;RIGHT(INDIRECT(ADDRESS(ROW(C326)-1, Source!$E326)), Source!$C326), C325))</f>
        <v>SWRJTLBDCWJTRTTJFLPMQSVSTRDDHDSMLQDGFDRBZHRZMB</v>
      </c>
      <c r="D326" s="2" t="str">
        <f>IF(Source!$E326=COLUMNS($A326:D326), LEFT(D325, LEN(D325)-Source!$C326), IF(Source!$G326=COLUMNS($A326:D326), D325&amp;RIGHT(INDIRECT(ADDRESS(ROW(D326)-1, Source!$E326)), Source!$C326), D325))</f>
        <v>VCGT</v>
      </c>
      <c r="E326" s="2" t="str">
        <f>IF(Source!$E326=COLUMNS($A326:E326), LEFT(E325, LEN(E325)-Source!$C326), IF(Source!$G326=COLUMNS($A326:E326), E325&amp;RIGHT(INDIRECT(ADDRESS(ROW(E326)-1, Source!$E326)), Source!$C326), E325))</f>
        <v>P</v>
      </c>
      <c r="F326" s="2" t="str">
        <f>IF(Source!$E326=COLUMNS($A326:F326), LEFT(F325, LEN(F325)-Source!$C326), IF(Source!$G326=COLUMNS($A326:F326), F325&amp;RIGHT(INDIRECT(ADDRESS(ROW(F326)-1, Source!$E326)), Source!$C326), F325))</f>
        <v>CV</v>
      </c>
      <c r="G326" s="2" t="str">
        <f>IF(Source!$E326=COLUMNS($A326:G326), LEFT(G325, LEN(G325)-Source!$C326), IF(Source!$G326=COLUMNS($A326:G326), G325&amp;RIGHT(INDIRECT(ADDRESS(ROW(G326)-1, Source!$E326)), Source!$C326), G325))</f>
        <v/>
      </c>
      <c r="H326" s="2" t="str">
        <f>IF(Source!$E326=COLUMNS($A326:H326), LEFT(H325, LEN(H325)-Source!$C326), IF(Source!$G326=COLUMNS($A326:H326), H325&amp;RIGHT(INDIRECT(ADDRESS(ROW(H326)-1, Source!$E326)), Source!$C326), H325))</f>
        <v>P</v>
      </c>
      <c r="I326" s="2" t="str">
        <f>IF(Source!$E326=COLUMNS($A326:I326), LEFT(I325, LEN(I325)-Source!$C326), IF(Source!$G326=COLUMNS($A326:I326), I325&amp;RIGHT(INDIRECT(ADDRESS(ROW(I326)-1, Source!$E326)), Source!$C326), I325))</f>
        <v/>
      </c>
    </row>
    <row r="327">
      <c r="A327" s="2" t="str">
        <f>IF(Source!$E327=COLUMNS($A327:A327), LEFT(A326, LEN(A326)-Source!$C327), IF(Source!$G327=COLUMNS($A327:A327), A326&amp;RIGHT(INDIRECT(ADDRESS(ROW(A327)-1, Source!$E327)), Source!$C327), A326))</f>
        <v/>
      </c>
      <c r="B327" s="2" t="str">
        <f>IF(Source!$E327=COLUMNS($A327:B327), LEFT(B326, LEN(B326)-Source!$C327), IF(Source!$G327=COLUMNS($A327:B327), B326&amp;RIGHT(INDIRECT(ADDRESS(ROW(B327)-1, Source!$E327)), Source!$C327), B326))</f>
        <v/>
      </c>
      <c r="C327" s="2" t="str">
        <f>IF(Source!$E327=COLUMNS($A327:C327), LEFT(C326, LEN(C326)-Source!$C327), IF(Source!$G327=COLUMNS($A327:C327), C326&amp;RIGHT(INDIRECT(ADDRESS(ROW(C327)-1, Source!$E327)), Source!$C327), C326))</f>
        <v>SWRJTLBDCWJTRTTJFLPMQSVSTRDDHDSMLQDGFDRBZHRZMB</v>
      </c>
      <c r="D327" s="2" t="str">
        <f>IF(Source!$E327=COLUMNS($A327:D327), LEFT(D326, LEN(D326)-Source!$C327), IF(Source!$G327=COLUMNS($A327:D327), D326&amp;RIGHT(INDIRECT(ADDRESS(ROW(D327)-1, Source!$E327)), Source!$C327), D326))</f>
        <v>VCGT</v>
      </c>
      <c r="E327" s="2" t="str">
        <f>IF(Source!$E327=COLUMNS($A327:E327), LEFT(E326, LEN(E326)-Source!$C327), IF(Source!$G327=COLUMNS($A327:E327), E326&amp;RIGHT(INDIRECT(ADDRESS(ROW(E327)-1, Source!$E327)), Source!$C327), E326))</f>
        <v>P</v>
      </c>
      <c r="F327" s="2" t="str">
        <f>IF(Source!$E327=COLUMNS($A327:F327), LEFT(F326, LEN(F326)-Source!$C327), IF(Source!$G327=COLUMNS($A327:F327), F326&amp;RIGHT(INDIRECT(ADDRESS(ROW(F327)-1, Source!$E327)), Source!$C327), F326))</f>
        <v>CVZB</v>
      </c>
      <c r="G327" s="2" t="str">
        <f>IF(Source!$E327=COLUMNS($A327:G327), LEFT(G326, LEN(G326)-Source!$C327), IF(Source!$G327=COLUMNS($A327:G327), G326&amp;RIGHT(INDIRECT(ADDRESS(ROW(G327)-1, Source!$E327)), Source!$C327), G326))</f>
        <v/>
      </c>
      <c r="H327" s="2" t="str">
        <f>IF(Source!$E327=COLUMNS($A327:H327), LEFT(H326, LEN(H326)-Source!$C327), IF(Source!$G327=COLUMNS($A327:H327), H326&amp;RIGHT(INDIRECT(ADDRESS(ROW(H327)-1, Source!$E327)), Source!$C327), H326))</f>
        <v>P</v>
      </c>
      <c r="I327" s="2" t="str">
        <f>IF(Source!$E327=COLUMNS($A327:I327), LEFT(I326, LEN(I326)-Source!$C327), IF(Source!$G327=COLUMNS($A327:I327), I326&amp;RIGHT(INDIRECT(ADDRESS(ROW(I327)-1, Source!$E327)), Source!$C327), I326))</f>
        <v/>
      </c>
    </row>
    <row r="328">
      <c r="A328" s="2" t="str">
        <f>IF(Source!$E328=COLUMNS($A328:A328), LEFT(A327, LEN(A327)-Source!$C328), IF(Source!$G328=COLUMNS($A328:A328), A327&amp;RIGHT(INDIRECT(ADDRESS(ROW(A328)-1, Source!$E328)), Source!$C328), A327))</f>
        <v/>
      </c>
      <c r="B328" s="2" t="str">
        <f>IF(Source!$E328=COLUMNS($A328:B328), LEFT(B327, LEN(B327)-Source!$C328), IF(Source!$G328=COLUMNS($A328:B328), B327&amp;RIGHT(INDIRECT(ADDRESS(ROW(B328)-1, Source!$E328)), Source!$C328), B327))</f>
        <v>P</v>
      </c>
      <c r="C328" s="2" t="str">
        <f>IF(Source!$E328=COLUMNS($A328:C328), LEFT(C327, LEN(C327)-Source!$C328), IF(Source!$G328=COLUMNS($A328:C328), C327&amp;RIGHT(INDIRECT(ADDRESS(ROW(C328)-1, Source!$E328)), Source!$C328), C327))</f>
        <v>SWRJTLBDCWJTRTTJFLPMQSVSTRDDHDSMLQDGFDRBZHRZMB</v>
      </c>
      <c r="D328" s="2" t="str">
        <f>IF(Source!$E328=COLUMNS($A328:D328), LEFT(D327, LEN(D327)-Source!$C328), IF(Source!$G328=COLUMNS($A328:D328), D327&amp;RIGHT(INDIRECT(ADDRESS(ROW(D328)-1, Source!$E328)), Source!$C328), D327))</f>
        <v>VCGT</v>
      </c>
      <c r="E328" s="2" t="str">
        <f>IF(Source!$E328=COLUMNS($A328:E328), LEFT(E327, LEN(E327)-Source!$C328), IF(Source!$G328=COLUMNS($A328:E328), E327&amp;RIGHT(INDIRECT(ADDRESS(ROW(E328)-1, Source!$E328)), Source!$C328), E327))</f>
        <v>P</v>
      </c>
      <c r="F328" s="2" t="str">
        <f>IF(Source!$E328=COLUMNS($A328:F328), LEFT(F327, LEN(F327)-Source!$C328), IF(Source!$G328=COLUMNS($A328:F328), F327&amp;RIGHT(INDIRECT(ADDRESS(ROW(F328)-1, Source!$E328)), Source!$C328), F327))</f>
        <v>CVZB</v>
      </c>
      <c r="G328" s="2" t="str">
        <f>IF(Source!$E328=COLUMNS($A328:G328), LEFT(G327, LEN(G327)-Source!$C328), IF(Source!$G328=COLUMNS($A328:G328), G327&amp;RIGHT(INDIRECT(ADDRESS(ROW(G328)-1, Source!$E328)), Source!$C328), G327))</f>
        <v/>
      </c>
      <c r="H328" s="2" t="str">
        <f>IF(Source!$E328=COLUMNS($A328:H328), LEFT(H327, LEN(H327)-Source!$C328), IF(Source!$G328=COLUMNS($A328:H328), H327&amp;RIGHT(INDIRECT(ADDRESS(ROW(H328)-1, Source!$E328)), Source!$C328), H327))</f>
        <v/>
      </c>
      <c r="I328" s="2" t="str">
        <f>IF(Source!$E328=COLUMNS($A328:I328), LEFT(I327, LEN(I327)-Source!$C328), IF(Source!$G328=COLUMNS($A328:I328), I327&amp;RIGHT(INDIRECT(ADDRESS(ROW(I328)-1, Source!$E328)), Source!$C328), I327))</f>
        <v/>
      </c>
    </row>
    <row r="329">
      <c r="A329" s="2" t="str">
        <f>IF(Source!$E329=COLUMNS($A329:A329), LEFT(A328, LEN(A328)-Source!$C329), IF(Source!$G329=COLUMNS($A329:A329), A328&amp;RIGHT(INDIRECT(ADDRESS(ROW(A329)-1, Source!$E329)), Source!$C329), A328))</f>
        <v>PMQSVSTRDDHDSMLQDGFDRBZHRZMB</v>
      </c>
      <c r="B329" s="2" t="str">
        <f>IF(Source!$E329=COLUMNS($A329:B329), LEFT(B328, LEN(B328)-Source!$C329), IF(Source!$G329=COLUMNS($A329:B329), B328&amp;RIGHT(INDIRECT(ADDRESS(ROW(B329)-1, Source!$E329)), Source!$C329), B328))</f>
        <v>P</v>
      </c>
      <c r="C329" s="2" t="str">
        <f>IF(Source!$E329=COLUMNS($A329:C329), LEFT(C328, LEN(C328)-Source!$C329), IF(Source!$G329=COLUMNS($A329:C329), C328&amp;RIGHT(INDIRECT(ADDRESS(ROW(C329)-1, Source!$E329)), Source!$C329), C328))</f>
        <v>SWRJTLBDCWJTRTTJFL</v>
      </c>
      <c r="D329" s="2" t="str">
        <f>IF(Source!$E329=COLUMNS($A329:D329), LEFT(D328, LEN(D328)-Source!$C329), IF(Source!$G329=COLUMNS($A329:D329), D328&amp;RIGHT(INDIRECT(ADDRESS(ROW(D329)-1, Source!$E329)), Source!$C329), D328))</f>
        <v>VCGT</v>
      </c>
      <c r="E329" s="2" t="str">
        <f>IF(Source!$E329=COLUMNS($A329:E329), LEFT(E328, LEN(E328)-Source!$C329), IF(Source!$G329=COLUMNS($A329:E329), E328&amp;RIGHT(INDIRECT(ADDRESS(ROW(E329)-1, Source!$E329)), Source!$C329), E328))</f>
        <v>P</v>
      </c>
      <c r="F329" s="2" t="str">
        <f>IF(Source!$E329=COLUMNS($A329:F329), LEFT(F328, LEN(F328)-Source!$C329), IF(Source!$G329=COLUMNS($A329:F329), F328&amp;RIGHT(INDIRECT(ADDRESS(ROW(F329)-1, Source!$E329)), Source!$C329), F328))</f>
        <v>CVZB</v>
      </c>
      <c r="G329" s="2" t="str">
        <f>IF(Source!$E329=COLUMNS($A329:G329), LEFT(G328, LEN(G328)-Source!$C329), IF(Source!$G329=COLUMNS($A329:G329), G328&amp;RIGHT(INDIRECT(ADDRESS(ROW(G329)-1, Source!$E329)), Source!$C329), G328))</f>
        <v/>
      </c>
      <c r="H329" s="2" t="str">
        <f>IF(Source!$E329=COLUMNS($A329:H329), LEFT(H328, LEN(H328)-Source!$C329), IF(Source!$G329=COLUMNS($A329:H329), H328&amp;RIGHT(INDIRECT(ADDRESS(ROW(H329)-1, Source!$E329)), Source!$C329), H328))</f>
        <v/>
      </c>
      <c r="I329" s="2" t="str">
        <f>IF(Source!$E329=COLUMNS($A329:I329), LEFT(I328, LEN(I328)-Source!$C329), IF(Source!$G329=COLUMNS($A329:I329), I328&amp;RIGHT(INDIRECT(ADDRESS(ROW(I329)-1, Source!$E329)), Source!$C329), I328))</f>
        <v/>
      </c>
    </row>
    <row r="330">
      <c r="A330" s="2" t="str">
        <f>IF(Source!$E330=COLUMNS($A330:A330), LEFT(A329, LEN(A329)-Source!$C330), IF(Source!$G330=COLUMNS($A330:A330), A329&amp;RIGHT(INDIRECT(ADDRESS(ROW(A330)-1, Source!$E330)), Source!$C330), A329))</f>
        <v>PMQSVSTRDDHDSMLQD</v>
      </c>
      <c r="B330" s="2" t="str">
        <f>IF(Source!$E330=COLUMNS($A330:B330), LEFT(B329, LEN(B329)-Source!$C330), IF(Source!$G330=COLUMNS($A330:B330), B329&amp;RIGHT(INDIRECT(ADDRESS(ROW(B330)-1, Source!$E330)), Source!$C330), B329))</f>
        <v>PGFDRBZHRZMB</v>
      </c>
      <c r="C330" s="2" t="str">
        <f>IF(Source!$E330=COLUMNS($A330:C330), LEFT(C329, LEN(C329)-Source!$C330), IF(Source!$G330=COLUMNS($A330:C330), C329&amp;RIGHT(INDIRECT(ADDRESS(ROW(C330)-1, Source!$E330)), Source!$C330), C329))</f>
        <v>SWRJTLBDCWJTRTTJFL</v>
      </c>
      <c r="D330" s="2" t="str">
        <f>IF(Source!$E330=COLUMNS($A330:D330), LEFT(D329, LEN(D329)-Source!$C330), IF(Source!$G330=COLUMNS($A330:D330), D329&amp;RIGHT(INDIRECT(ADDRESS(ROW(D330)-1, Source!$E330)), Source!$C330), D329))</f>
        <v>VCGT</v>
      </c>
      <c r="E330" s="2" t="str">
        <f>IF(Source!$E330=COLUMNS($A330:E330), LEFT(E329, LEN(E329)-Source!$C330), IF(Source!$G330=COLUMNS($A330:E330), E329&amp;RIGHT(INDIRECT(ADDRESS(ROW(E330)-1, Source!$E330)), Source!$C330), E329))</f>
        <v>P</v>
      </c>
      <c r="F330" s="2" t="str">
        <f>IF(Source!$E330=COLUMNS($A330:F330), LEFT(F329, LEN(F329)-Source!$C330), IF(Source!$G330=COLUMNS($A330:F330), F329&amp;RIGHT(INDIRECT(ADDRESS(ROW(F330)-1, Source!$E330)), Source!$C330), F329))</f>
        <v>CVZB</v>
      </c>
      <c r="G330" s="2" t="str">
        <f>IF(Source!$E330=COLUMNS($A330:G330), LEFT(G329, LEN(G329)-Source!$C330), IF(Source!$G330=COLUMNS($A330:G330), G329&amp;RIGHT(INDIRECT(ADDRESS(ROW(G330)-1, Source!$E330)), Source!$C330), G329))</f>
        <v/>
      </c>
      <c r="H330" s="2" t="str">
        <f>IF(Source!$E330=COLUMNS($A330:H330), LEFT(H329, LEN(H329)-Source!$C330), IF(Source!$G330=COLUMNS($A330:H330), H329&amp;RIGHT(INDIRECT(ADDRESS(ROW(H330)-1, Source!$E330)), Source!$C330), H329))</f>
        <v/>
      </c>
      <c r="I330" s="2" t="str">
        <f>IF(Source!$E330=COLUMNS($A330:I330), LEFT(I329, LEN(I329)-Source!$C330), IF(Source!$G330=COLUMNS($A330:I330), I329&amp;RIGHT(INDIRECT(ADDRESS(ROW(I330)-1, Source!$E330)), Source!$C330), I329))</f>
        <v/>
      </c>
    </row>
    <row r="331">
      <c r="A331" s="2" t="str">
        <f>IF(Source!$E331=COLUMNS($A331:A331), LEFT(A330, LEN(A330)-Source!$C331), IF(Source!$G331=COLUMNS($A331:A331), A330&amp;RIGHT(INDIRECT(ADDRESS(ROW(A331)-1, Source!$E331)), Source!$C331), A330))</f>
        <v>PMQSVSTRD</v>
      </c>
      <c r="B331" s="2" t="str">
        <f>IF(Source!$E331=COLUMNS($A331:B331), LEFT(B330, LEN(B330)-Source!$C331), IF(Source!$G331=COLUMNS($A331:B331), B330&amp;RIGHT(INDIRECT(ADDRESS(ROW(B331)-1, Source!$E331)), Source!$C331), B330))</f>
        <v>PGFDRBZHRZMB</v>
      </c>
      <c r="C331" s="2" t="str">
        <f>IF(Source!$E331=COLUMNS($A331:C331), LEFT(C330, LEN(C330)-Source!$C331), IF(Source!$G331=COLUMNS($A331:C331), C330&amp;RIGHT(INDIRECT(ADDRESS(ROW(C331)-1, Source!$E331)), Source!$C331), C330))</f>
        <v>SWRJTLBDCWJTRTTJFL</v>
      </c>
      <c r="D331" s="2" t="str">
        <f>IF(Source!$E331=COLUMNS($A331:D331), LEFT(D330, LEN(D330)-Source!$C331), IF(Source!$G331=COLUMNS($A331:D331), D330&amp;RIGHT(INDIRECT(ADDRESS(ROW(D331)-1, Source!$E331)), Source!$C331), D330))</f>
        <v>VCGT</v>
      </c>
      <c r="E331" s="2" t="str">
        <f>IF(Source!$E331=COLUMNS($A331:E331), LEFT(E330, LEN(E330)-Source!$C331), IF(Source!$G331=COLUMNS($A331:E331), E330&amp;RIGHT(INDIRECT(ADDRESS(ROW(E331)-1, Source!$E331)), Source!$C331), E330))</f>
        <v>P</v>
      </c>
      <c r="F331" s="2" t="str">
        <f>IF(Source!$E331=COLUMNS($A331:F331), LEFT(F330, LEN(F330)-Source!$C331), IF(Source!$G331=COLUMNS($A331:F331), F330&amp;RIGHT(INDIRECT(ADDRESS(ROW(F331)-1, Source!$E331)), Source!$C331), F330))</f>
        <v>CVZB</v>
      </c>
      <c r="G331" s="2" t="str">
        <f>IF(Source!$E331=COLUMNS($A331:G331), LEFT(G330, LEN(G330)-Source!$C331), IF(Source!$G331=COLUMNS($A331:G331), G330&amp;RIGHT(INDIRECT(ADDRESS(ROW(G331)-1, Source!$E331)), Source!$C331), G330))</f>
        <v>DHDSMLQD</v>
      </c>
      <c r="H331" s="2" t="str">
        <f>IF(Source!$E331=COLUMNS($A331:H331), LEFT(H330, LEN(H330)-Source!$C331), IF(Source!$G331=COLUMNS($A331:H331), H330&amp;RIGHT(INDIRECT(ADDRESS(ROW(H331)-1, Source!$E331)), Source!$C331), H330))</f>
        <v/>
      </c>
      <c r="I331" s="2" t="str">
        <f>IF(Source!$E331=COLUMNS($A331:I331), LEFT(I330, LEN(I330)-Source!$C331), IF(Source!$G331=COLUMNS($A331:I331), I330&amp;RIGHT(INDIRECT(ADDRESS(ROW(I331)-1, Source!$E331)), Source!$C331), I330))</f>
        <v/>
      </c>
    </row>
    <row r="332">
      <c r="A332" s="2" t="str">
        <f>IF(Source!$E332=COLUMNS($A332:A332), LEFT(A331, LEN(A331)-Source!$C332), IF(Source!$G332=COLUMNS($A332:A332), A331&amp;RIGHT(INDIRECT(ADDRESS(ROW(A332)-1, Source!$E332)), Source!$C332), A331))</f>
        <v>PMQSVSTRD</v>
      </c>
      <c r="B332" s="2" t="str">
        <f>IF(Source!$E332=COLUMNS($A332:B332), LEFT(B331, LEN(B331)-Source!$C332), IF(Source!$G332=COLUMNS($A332:B332), B331&amp;RIGHT(INDIRECT(ADDRESS(ROW(B332)-1, Source!$E332)), Source!$C332), B331))</f>
        <v>PGFDRBZHRZMB</v>
      </c>
      <c r="C332" s="2" t="str">
        <f>IF(Source!$E332=COLUMNS($A332:C332), LEFT(C331, LEN(C331)-Source!$C332), IF(Source!$G332=COLUMNS($A332:C332), C331&amp;RIGHT(INDIRECT(ADDRESS(ROW(C332)-1, Source!$E332)), Source!$C332), C331))</f>
        <v>SWRJTLBDCWJTRTTJFL</v>
      </c>
      <c r="D332" s="2" t="str">
        <f>IF(Source!$E332=COLUMNS($A332:D332), LEFT(D331, LEN(D331)-Source!$C332), IF(Source!$G332=COLUMNS($A332:D332), D331&amp;RIGHT(INDIRECT(ADDRESS(ROW(D332)-1, Source!$E332)), Source!$C332), D331))</f>
        <v>VCGTCVZB</v>
      </c>
      <c r="E332" s="2" t="str">
        <f>IF(Source!$E332=COLUMNS($A332:E332), LEFT(E331, LEN(E331)-Source!$C332), IF(Source!$G332=COLUMNS($A332:E332), E331&amp;RIGHT(INDIRECT(ADDRESS(ROW(E332)-1, Source!$E332)), Source!$C332), E331))</f>
        <v>P</v>
      </c>
      <c r="F332" s="2" t="str">
        <f>IF(Source!$E332=COLUMNS($A332:F332), LEFT(F331, LEN(F331)-Source!$C332), IF(Source!$G332=COLUMNS($A332:F332), F331&amp;RIGHT(INDIRECT(ADDRESS(ROW(F332)-1, Source!$E332)), Source!$C332), F331))</f>
        <v/>
      </c>
      <c r="G332" s="2" t="str">
        <f>IF(Source!$E332=COLUMNS($A332:G332), LEFT(G331, LEN(G331)-Source!$C332), IF(Source!$G332=COLUMNS($A332:G332), G331&amp;RIGHT(INDIRECT(ADDRESS(ROW(G332)-1, Source!$E332)), Source!$C332), G331))</f>
        <v>DHDSMLQD</v>
      </c>
      <c r="H332" s="2" t="str">
        <f>IF(Source!$E332=COLUMNS($A332:H332), LEFT(H331, LEN(H331)-Source!$C332), IF(Source!$G332=COLUMNS($A332:H332), H331&amp;RIGHT(INDIRECT(ADDRESS(ROW(H332)-1, Source!$E332)), Source!$C332), H331))</f>
        <v/>
      </c>
      <c r="I332" s="2" t="str">
        <f>IF(Source!$E332=COLUMNS($A332:I332), LEFT(I331, LEN(I331)-Source!$C332), IF(Source!$G332=COLUMNS($A332:I332), I331&amp;RIGHT(INDIRECT(ADDRESS(ROW(I332)-1, Source!$E332)), Source!$C332), I331))</f>
        <v/>
      </c>
    </row>
    <row r="333">
      <c r="A333" s="2" t="str">
        <f>IF(Source!$E333=COLUMNS($A333:A333), LEFT(A332, LEN(A332)-Source!$C333), IF(Source!$G333=COLUMNS($A333:A333), A332&amp;RIGHT(INDIRECT(ADDRESS(ROW(A333)-1, Source!$E333)), Source!$C333), A332))</f>
        <v>PMQSVSTRDJTRTTJFL</v>
      </c>
      <c r="B333" s="2" t="str">
        <f>IF(Source!$E333=COLUMNS($A333:B333), LEFT(B332, LEN(B332)-Source!$C333), IF(Source!$G333=COLUMNS($A333:B333), B332&amp;RIGHT(INDIRECT(ADDRESS(ROW(B333)-1, Source!$E333)), Source!$C333), B332))</f>
        <v>PGFDRBZHRZMB</v>
      </c>
      <c r="C333" s="2" t="str">
        <f>IF(Source!$E333=COLUMNS($A333:C333), LEFT(C332, LEN(C332)-Source!$C333), IF(Source!$G333=COLUMNS($A333:C333), C332&amp;RIGHT(INDIRECT(ADDRESS(ROW(C333)-1, Source!$E333)), Source!$C333), C332))</f>
        <v>SWRJTLBDCW</v>
      </c>
      <c r="D333" s="2" t="str">
        <f>IF(Source!$E333=COLUMNS($A333:D333), LEFT(D332, LEN(D332)-Source!$C333), IF(Source!$G333=COLUMNS($A333:D333), D332&amp;RIGHT(INDIRECT(ADDRESS(ROW(D333)-1, Source!$E333)), Source!$C333), D332))</f>
        <v>VCGTCVZB</v>
      </c>
      <c r="E333" s="2" t="str">
        <f>IF(Source!$E333=COLUMNS($A333:E333), LEFT(E332, LEN(E332)-Source!$C333), IF(Source!$G333=COLUMNS($A333:E333), E332&amp;RIGHT(INDIRECT(ADDRESS(ROW(E333)-1, Source!$E333)), Source!$C333), E332))</f>
        <v>P</v>
      </c>
      <c r="F333" s="2" t="str">
        <f>IF(Source!$E333=COLUMNS($A333:F333), LEFT(F332, LEN(F332)-Source!$C333), IF(Source!$G333=COLUMNS($A333:F333), F332&amp;RIGHT(INDIRECT(ADDRESS(ROW(F333)-1, Source!$E333)), Source!$C333), F332))</f>
        <v/>
      </c>
      <c r="G333" s="2" t="str">
        <f>IF(Source!$E333=COLUMNS($A333:G333), LEFT(G332, LEN(G332)-Source!$C333), IF(Source!$G333=COLUMNS($A333:G333), G332&amp;RIGHT(INDIRECT(ADDRESS(ROW(G333)-1, Source!$E333)), Source!$C333), G332))</f>
        <v>DHDSMLQD</v>
      </c>
      <c r="H333" s="2" t="str">
        <f>IF(Source!$E333=COLUMNS($A333:H333), LEFT(H332, LEN(H332)-Source!$C333), IF(Source!$G333=COLUMNS($A333:H333), H332&amp;RIGHT(INDIRECT(ADDRESS(ROW(H333)-1, Source!$E333)), Source!$C333), H332))</f>
        <v/>
      </c>
      <c r="I333" s="2" t="str">
        <f>IF(Source!$E333=COLUMNS($A333:I333), LEFT(I332, LEN(I332)-Source!$C333), IF(Source!$G333=COLUMNS($A333:I333), I332&amp;RIGHT(INDIRECT(ADDRESS(ROW(I333)-1, Source!$E333)), Source!$C333), I332))</f>
        <v/>
      </c>
    </row>
    <row r="334">
      <c r="A334" s="2" t="str">
        <f>IF(Source!$E334=COLUMNS($A334:A334), LEFT(A333, LEN(A333)-Source!$C334), IF(Source!$G334=COLUMNS($A334:A334), A333&amp;RIGHT(INDIRECT(ADDRESS(ROW(A334)-1, Source!$E334)), Source!$C334), A333))</f>
        <v>PMQSVSTRDJTRTTJFL</v>
      </c>
      <c r="B334" s="2" t="str">
        <f>IF(Source!$E334=COLUMNS($A334:B334), LEFT(B333, LEN(B333)-Source!$C334), IF(Source!$G334=COLUMNS($A334:B334), B333&amp;RIGHT(INDIRECT(ADDRESS(ROW(B334)-1, Source!$E334)), Source!$C334), B333))</f>
        <v>PGFD</v>
      </c>
      <c r="C334" s="2" t="str">
        <f>IF(Source!$E334=COLUMNS($A334:C334), LEFT(C333, LEN(C333)-Source!$C334), IF(Source!$G334=COLUMNS($A334:C334), C333&amp;RIGHT(INDIRECT(ADDRESS(ROW(C334)-1, Source!$E334)), Source!$C334), C333))</f>
        <v>SWRJTLBDCW</v>
      </c>
      <c r="D334" s="2" t="str">
        <f>IF(Source!$E334=COLUMNS($A334:D334), LEFT(D333, LEN(D333)-Source!$C334), IF(Source!$G334=COLUMNS($A334:D334), D333&amp;RIGHT(INDIRECT(ADDRESS(ROW(D334)-1, Source!$E334)), Source!$C334), D333))</f>
        <v>VCGTCVZB</v>
      </c>
      <c r="E334" s="2" t="str">
        <f>IF(Source!$E334=COLUMNS($A334:E334), LEFT(E333, LEN(E333)-Source!$C334), IF(Source!$G334=COLUMNS($A334:E334), E333&amp;RIGHT(INDIRECT(ADDRESS(ROW(E334)-1, Source!$E334)), Source!$C334), E333))</f>
        <v>PRBZHRZMB</v>
      </c>
      <c r="F334" s="2" t="str">
        <f>IF(Source!$E334=COLUMNS($A334:F334), LEFT(F333, LEN(F333)-Source!$C334), IF(Source!$G334=COLUMNS($A334:F334), F333&amp;RIGHT(INDIRECT(ADDRESS(ROW(F334)-1, Source!$E334)), Source!$C334), F333))</f>
        <v/>
      </c>
      <c r="G334" s="2" t="str">
        <f>IF(Source!$E334=COLUMNS($A334:G334), LEFT(G333, LEN(G333)-Source!$C334), IF(Source!$G334=COLUMNS($A334:G334), G333&amp;RIGHT(INDIRECT(ADDRESS(ROW(G334)-1, Source!$E334)), Source!$C334), G333))</f>
        <v>DHDSMLQD</v>
      </c>
      <c r="H334" s="2" t="str">
        <f>IF(Source!$E334=COLUMNS($A334:H334), LEFT(H333, LEN(H333)-Source!$C334), IF(Source!$G334=COLUMNS($A334:H334), H333&amp;RIGHT(INDIRECT(ADDRESS(ROW(H334)-1, Source!$E334)), Source!$C334), H333))</f>
        <v/>
      </c>
      <c r="I334" s="2" t="str">
        <f>IF(Source!$E334=COLUMNS($A334:I334), LEFT(I333, LEN(I333)-Source!$C334), IF(Source!$G334=COLUMNS($A334:I334), I333&amp;RIGHT(INDIRECT(ADDRESS(ROW(I334)-1, Source!$E334)), Source!$C334), I333))</f>
        <v/>
      </c>
    </row>
    <row r="335">
      <c r="A335" s="2" t="str">
        <f>IF(Source!$E335=COLUMNS($A335:A335), LEFT(A334, LEN(A334)-Source!$C335), IF(Source!$G335=COLUMNS($A335:A335), A334&amp;RIGHT(INDIRECT(ADDRESS(ROW(A335)-1, Source!$E335)), Source!$C335), A334))</f>
        <v>PMQSVSTRDJTRTTJFL</v>
      </c>
      <c r="B335" s="2" t="str">
        <f>IF(Source!$E335=COLUMNS($A335:B335), LEFT(B334, LEN(B334)-Source!$C335), IF(Source!$G335=COLUMNS($A335:B335), B334&amp;RIGHT(INDIRECT(ADDRESS(ROW(B335)-1, Source!$E335)), Source!$C335), B334))</f>
        <v>PGFD</v>
      </c>
      <c r="C335" s="2" t="str">
        <f>IF(Source!$E335=COLUMNS($A335:C335), LEFT(C334, LEN(C334)-Source!$C335), IF(Source!$G335=COLUMNS($A335:C335), C334&amp;RIGHT(INDIRECT(ADDRESS(ROW(C335)-1, Source!$E335)), Source!$C335), C334))</f>
        <v>SWRJTLBDCW</v>
      </c>
      <c r="D335" s="2" t="str">
        <f>IF(Source!$E335=COLUMNS($A335:D335), LEFT(D334, LEN(D334)-Source!$C335), IF(Source!$G335=COLUMNS($A335:D335), D334&amp;RIGHT(INDIRECT(ADDRESS(ROW(D335)-1, Source!$E335)), Source!$C335), D334))</f>
        <v>VCGTCVZBZHRZMB</v>
      </c>
      <c r="E335" s="2" t="str">
        <f>IF(Source!$E335=COLUMNS($A335:E335), LEFT(E334, LEN(E334)-Source!$C335), IF(Source!$G335=COLUMNS($A335:E335), E334&amp;RIGHT(INDIRECT(ADDRESS(ROW(E335)-1, Source!$E335)), Source!$C335), E334))</f>
        <v>PRB</v>
      </c>
      <c r="F335" s="2" t="str">
        <f>IF(Source!$E335=COLUMNS($A335:F335), LEFT(F334, LEN(F334)-Source!$C335), IF(Source!$G335=COLUMNS($A335:F335), F334&amp;RIGHT(INDIRECT(ADDRESS(ROW(F335)-1, Source!$E335)), Source!$C335), F334))</f>
        <v/>
      </c>
      <c r="G335" s="2" t="str">
        <f>IF(Source!$E335=COLUMNS($A335:G335), LEFT(G334, LEN(G334)-Source!$C335), IF(Source!$G335=COLUMNS($A335:G335), G334&amp;RIGHT(INDIRECT(ADDRESS(ROW(G335)-1, Source!$E335)), Source!$C335), G334))</f>
        <v>DHDSMLQD</v>
      </c>
      <c r="H335" s="2" t="str">
        <f>IF(Source!$E335=COLUMNS($A335:H335), LEFT(H334, LEN(H334)-Source!$C335), IF(Source!$G335=COLUMNS($A335:H335), H334&amp;RIGHT(INDIRECT(ADDRESS(ROW(H335)-1, Source!$E335)), Source!$C335), H334))</f>
        <v/>
      </c>
      <c r="I335" s="2" t="str">
        <f>IF(Source!$E335=COLUMNS($A335:I335), LEFT(I334, LEN(I334)-Source!$C335), IF(Source!$G335=COLUMNS($A335:I335), I334&amp;RIGHT(INDIRECT(ADDRESS(ROW(I335)-1, Source!$E335)), Source!$C335), I334))</f>
        <v/>
      </c>
    </row>
    <row r="336">
      <c r="A336" s="2" t="str">
        <f>IF(Source!$E336=COLUMNS($A336:A336), LEFT(A335, LEN(A335)-Source!$C336), IF(Source!$G336=COLUMNS($A336:A336), A335&amp;RIGHT(INDIRECT(ADDRESS(ROW(A336)-1, Source!$E336)), Source!$C336), A335))</f>
        <v>PMQSVSTRDJTRTTJFL</v>
      </c>
      <c r="B336" s="2" t="str">
        <f>IF(Source!$E336=COLUMNS($A336:B336), LEFT(B335, LEN(B335)-Source!$C336), IF(Source!$G336=COLUMNS($A336:B336), B335&amp;RIGHT(INDIRECT(ADDRESS(ROW(B336)-1, Source!$E336)), Source!$C336), B335))</f>
        <v>PGFD</v>
      </c>
      <c r="C336" s="2" t="str">
        <f>IF(Source!$E336=COLUMNS($A336:C336), LEFT(C335, LEN(C335)-Source!$C336), IF(Source!$G336=COLUMNS($A336:C336), C335&amp;RIGHT(INDIRECT(ADDRESS(ROW(C336)-1, Source!$E336)), Source!$C336), C335))</f>
        <v>SWRJTLBDCW</v>
      </c>
      <c r="D336" s="2" t="str">
        <f>IF(Source!$E336=COLUMNS($A336:D336), LEFT(D335, LEN(D335)-Source!$C336), IF(Source!$G336=COLUMNS($A336:D336), D335&amp;RIGHT(INDIRECT(ADDRESS(ROW(D336)-1, Source!$E336)), Source!$C336), D335))</f>
        <v>VCGTCVZBZHRZMBRB</v>
      </c>
      <c r="E336" s="2" t="str">
        <f>IF(Source!$E336=COLUMNS($A336:E336), LEFT(E335, LEN(E335)-Source!$C336), IF(Source!$G336=COLUMNS($A336:E336), E335&amp;RIGHT(INDIRECT(ADDRESS(ROW(E336)-1, Source!$E336)), Source!$C336), E335))</f>
        <v>P</v>
      </c>
      <c r="F336" s="2" t="str">
        <f>IF(Source!$E336=COLUMNS($A336:F336), LEFT(F335, LEN(F335)-Source!$C336), IF(Source!$G336=COLUMNS($A336:F336), F335&amp;RIGHT(INDIRECT(ADDRESS(ROW(F336)-1, Source!$E336)), Source!$C336), F335))</f>
        <v/>
      </c>
      <c r="G336" s="2" t="str">
        <f>IF(Source!$E336=COLUMNS($A336:G336), LEFT(G335, LEN(G335)-Source!$C336), IF(Source!$G336=COLUMNS($A336:G336), G335&amp;RIGHT(INDIRECT(ADDRESS(ROW(G336)-1, Source!$E336)), Source!$C336), G335))</f>
        <v>DHDSMLQD</v>
      </c>
      <c r="H336" s="2" t="str">
        <f>IF(Source!$E336=COLUMNS($A336:H336), LEFT(H335, LEN(H335)-Source!$C336), IF(Source!$G336=COLUMNS($A336:H336), H335&amp;RIGHT(INDIRECT(ADDRESS(ROW(H336)-1, Source!$E336)), Source!$C336), H335))</f>
        <v/>
      </c>
      <c r="I336" s="2" t="str">
        <f>IF(Source!$E336=COLUMNS($A336:I336), LEFT(I335, LEN(I335)-Source!$C336), IF(Source!$G336=COLUMNS($A336:I336), I335&amp;RIGHT(INDIRECT(ADDRESS(ROW(I336)-1, Source!$E336)), Source!$C336), I335))</f>
        <v/>
      </c>
    </row>
    <row r="337">
      <c r="A337" s="2" t="str">
        <f>IF(Source!$E337=COLUMNS($A337:A337), LEFT(A336, LEN(A336)-Source!$C337), IF(Source!$G337=COLUMNS($A337:A337), A336&amp;RIGHT(INDIRECT(ADDRESS(ROW(A337)-1, Source!$E337)), Source!$C337), A336))</f>
        <v>PMQSVSTRDJTRTTJFL</v>
      </c>
      <c r="B337" s="2" t="str">
        <f>IF(Source!$E337=COLUMNS($A337:B337), LEFT(B336, LEN(B336)-Source!$C337), IF(Source!$G337=COLUMNS($A337:B337), B336&amp;RIGHT(INDIRECT(ADDRESS(ROW(B337)-1, Source!$E337)), Source!$C337), B336))</f>
        <v>PGFD</v>
      </c>
      <c r="C337" s="2" t="str">
        <f>IF(Source!$E337=COLUMNS($A337:C337), LEFT(C336, LEN(C336)-Source!$C337), IF(Source!$G337=COLUMNS($A337:C337), C336&amp;RIGHT(INDIRECT(ADDRESS(ROW(C337)-1, Source!$E337)), Source!$C337), C336))</f>
        <v>SW</v>
      </c>
      <c r="D337" s="2" t="str">
        <f>IF(Source!$E337=COLUMNS($A337:D337), LEFT(D336, LEN(D336)-Source!$C337), IF(Source!$G337=COLUMNS($A337:D337), D336&amp;RIGHT(INDIRECT(ADDRESS(ROW(D337)-1, Source!$E337)), Source!$C337), D336))</f>
        <v>VCGTCVZBZHRZMBRBRJTLBDCW</v>
      </c>
      <c r="E337" s="2" t="str">
        <f>IF(Source!$E337=COLUMNS($A337:E337), LEFT(E336, LEN(E336)-Source!$C337), IF(Source!$G337=COLUMNS($A337:E337), E336&amp;RIGHT(INDIRECT(ADDRESS(ROW(E337)-1, Source!$E337)), Source!$C337), E336))</f>
        <v>P</v>
      </c>
      <c r="F337" s="2" t="str">
        <f>IF(Source!$E337=COLUMNS($A337:F337), LEFT(F336, LEN(F336)-Source!$C337), IF(Source!$G337=COLUMNS($A337:F337), F336&amp;RIGHT(INDIRECT(ADDRESS(ROW(F337)-1, Source!$E337)), Source!$C337), F336))</f>
        <v/>
      </c>
      <c r="G337" s="2" t="str">
        <f>IF(Source!$E337=COLUMNS($A337:G337), LEFT(G336, LEN(G336)-Source!$C337), IF(Source!$G337=COLUMNS($A337:G337), G336&amp;RIGHT(INDIRECT(ADDRESS(ROW(G337)-1, Source!$E337)), Source!$C337), G336))</f>
        <v>DHDSMLQD</v>
      </c>
      <c r="H337" s="2" t="str">
        <f>IF(Source!$E337=COLUMNS($A337:H337), LEFT(H336, LEN(H336)-Source!$C337), IF(Source!$G337=COLUMNS($A337:H337), H336&amp;RIGHT(INDIRECT(ADDRESS(ROW(H337)-1, Source!$E337)), Source!$C337), H336))</f>
        <v/>
      </c>
      <c r="I337" s="2" t="str">
        <f>IF(Source!$E337=COLUMNS($A337:I337), LEFT(I336, LEN(I336)-Source!$C337), IF(Source!$G337=COLUMNS($A337:I337), I336&amp;RIGHT(INDIRECT(ADDRESS(ROW(I337)-1, Source!$E337)), Source!$C337), I336))</f>
        <v/>
      </c>
    </row>
    <row r="338">
      <c r="A338" s="2" t="str">
        <f>IF(Source!$E338=COLUMNS($A338:A338), LEFT(A337, LEN(A337)-Source!$C338), IF(Source!$G338=COLUMNS($A338:A338), A337&amp;RIGHT(INDIRECT(ADDRESS(ROW(A338)-1, Source!$E338)), Source!$C338), A337))</f>
        <v>PMQSVSTRDJTRTTJFLGTCVZBZHRZMBRBRJTLBDCW</v>
      </c>
      <c r="B338" s="2" t="str">
        <f>IF(Source!$E338=COLUMNS($A338:B338), LEFT(B337, LEN(B337)-Source!$C338), IF(Source!$G338=COLUMNS($A338:B338), B337&amp;RIGHT(INDIRECT(ADDRESS(ROW(B338)-1, Source!$E338)), Source!$C338), B337))</f>
        <v>PGFD</v>
      </c>
      <c r="C338" s="2" t="str">
        <f>IF(Source!$E338=COLUMNS($A338:C338), LEFT(C337, LEN(C337)-Source!$C338), IF(Source!$G338=COLUMNS($A338:C338), C337&amp;RIGHT(INDIRECT(ADDRESS(ROW(C338)-1, Source!$E338)), Source!$C338), C337))</f>
        <v>SW</v>
      </c>
      <c r="D338" s="2" t="str">
        <f>IF(Source!$E338=COLUMNS($A338:D338), LEFT(D337, LEN(D337)-Source!$C338), IF(Source!$G338=COLUMNS($A338:D338), D337&amp;RIGHT(INDIRECT(ADDRESS(ROW(D338)-1, Source!$E338)), Source!$C338), D337))</f>
        <v>VC</v>
      </c>
      <c r="E338" s="2" t="str">
        <f>IF(Source!$E338=COLUMNS($A338:E338), LEFT(E337, LEN(E337)-Source!$C338), IF(Source!$G338=COLUMNS($A338:E338), E337&amp;RIGHT(INDIRECT(ADDRESS(ROW(E338)-1, Source!$E338)), Source!$C338), E337))</f>
        <v>P</v>
      </c>
      <c r="F338" s="2" t="str">
        <f>IF(Source!$E338=COLUMNS($A338:F338), LEFT(F337, LEN(F337)-Source!$C338), IF(Source!$G338=COLUMNS($A338:F338), F337&amp;RIGHT(INDIRECT(ADDRESS(ROW(F338)-1, Source!$E338)), Source!$C338), F337))</f>
        <v/>
      </c>
      <c r="G338" s="2" t="str">
        <f>IF(Source!$E338=COLUMNS($A338:G338), LEFT(G337, LEN(G337)-Source!$C338), IF(Source!$G338=COLUMNS($A338:G338), G337&amp;RIGHT(INDIRECT(ADDRESS(ROW(G338)-1, Source!$E338)), Source!$C338), G337))</f>
        <v>DHDSMLQD</v>
      </c>
      <c r="H338" s="2" t="str">
        <f>IF(Source!$E338=COLUMNS($A338:H338), LEFT(H337, LEN(H337)-Source!$C338), IF(Source!$G338=COLUMNS($A338:H338), H337&amp;RIGHT(INDIRECT(ADDRESS(ROW(H338)-1, Source!$E338)), Source!$C338), H337))</f>
        <v/>
      </c>
      <c r="I338" s="2" t="str">
        <f>IF(Source!$E338=COLUMNS($A338:I338), LEFT(I337, LEN(I337)-Source!$C338), IF(Source!$G338=COLUMNS($A338:I338), I337&amp;RIGHT(INDIRECT(ADDRESS(ROW(I338)-1, Source!$E338)), Source!$C338), I337))</f>
        <v/>
      </c>
    </row>
    <row r="339">
      <c r="A339" s="2" t="str">
        <f>IF(Source!$E339=COLUMNS($A339:A339), LEFT(A338, LEN(A338)-Source!$C339), IF(Source!$G339=COLUMNS($A339:A339), A338&amp;RIGHT(INDIRECT(ADDRESS(ROW(A339)-1, Source!$E339)), Source!$C339), A338))</f>
        <v>PMQSVSTRDJTRTTJFLGTCVZBZHRZMBRBRJTLBDCW</v>
      </c>
      <c r="B339" s="2" t="str">
        <f>IF(Source!$E339=COLUMNS($A339:B339), LEFT(B338, LEN(B338)-Source!$C339), IF(Source!$G339=COLUMNS($A339:B339), B338&amp;RIGHT(INDIRECT(ADDRESS(ROW(B339)-1, Source!$E339)), Source!$C339), B338))</f>
        <v>PGFD</v>
      </c>
      <c r="C339" s="2" t="str">
        <f>IF(Source!$E339=COLUMNS($A339:C339), LEFT(C338, LEN(C338)-Source!$C339), IF(Source!$G339=COLUMNS($A339:C339), C338&amp;RIGHT(INDIRECT(ADDRESS(ROW(C339)-1, Source!$E339)), Source!$C339), C338))</f>
        <v/>
      </c>
      <c r="D339" s="2" t="str">
        <f>IF(Source!$E339=COLUMNS($A339:D339), LEFT(D338, LEN(D338)-Source!$C339), IF(Source!$G339=COLUMNS($A339:D339), D338&amp;RIGHT(INDIRECT(ADDRESS(ROW(D339)-1, Source!$E339)), Source!$C339), D338))</f>
        <v>VC</v>
      </c>
      <c r="E339" s="2" t="str">
        <f>IF(Source!$E339=COLUMNS($A339:E339), LEFT(E338, LEN(E338)-Source!$C339), IF(Source!$G339=COLUMNS($A339:E339), E338&amp;RIGHT(INDIRECT(ADDRESS(ROW(E339)-1, Source!$E339)), Source!$C339), E338))</f>
        <v>PSW</v>
      </c>
      <c r="F339" s="2" t="str">
        <f>IF(Source!$E339=COLUMNS($A339:F339), LEFT(F338, LEN(F338)-Source!$C339), IF(Source!$G339=COLUMNS($A339:F339), F338&amp;RIGHT(INDIRECT(ADDRESS(ROW(F339)-1, Source!$E339)), Source!$C339), F338))</f>
        <v/>
      </c>
      <c r="G339" s="2" t="str">
        <f>IF(Source!$E339=COLUMNS($A339:G339), LEFT(G338, LEN(G338)-Source!$C339), IF(Source!$G339=COLUMNS($A339:G339), G338&amp;RIGHT(INDIRECT(ADDRESS(ROW(G339)-1, Source!$E339)), Source!$C339), G338))</f>
        <v>DHDSMLQD</v>
      </c>
      <c r="H339" s="2" t="str">
        <f>IF(Source!$E339=COLUMNS($A339:H339), LEFT(H338, LEN(H338)-Source!$C339), IF(Source!$G339=COLUMNS($A339:H339), H338&amp;RIGHT(INDIRECT(ADDRESS(ROW(H339)-1, Source!$E339)), Source!$C339), H338))</f>
        <v/>
      </c>
      <c r="I339" s="2" t="str">
        <f>IF(Source!$E339=COLUMNS($A339:I339), LEFT(I338, LEN(I338)-Source!$C339), IF(Source!$G339=COLUMNS($A339:I339), I338&amp;RIGHT(INDIRECT(ADDRESS(ROW(I339)-1, Source!$E339)), Source!$C339), I338))</f>
        <v/>
      </c>
    </row>
    <row r="340">
      <c r="A340" s="2" t="str">
        <f>IF(Source!$E340=COLUMNS($A340:A340), LEFT(A339, LEN(A339)-Source!$C340), IF(Source!$G340=COLUMNS($A340:A340), A339&amp;RIGHT(INDIRECT(ADDRESS(ROW(A340)-1, Source!$E340)), Source!$C340), A339))</f>
        <v>PMQSVS</v>
      </c>
      <c r="B340" s="2" t="str">
        <f>IF(Source!$E340=COLUMNS($A340:B340), LEFT(B339, LEN(B339)-Source!$C340), IF(Source!$G340=COLUMNS($A340:B340), B339&amp;RIGHT(INDIRECT(ADDRESS(ROW(B340)-1, Source!$E340)), Source!$C340), B339))</f>
        <v>PGFD</v>
      </c>
      <c r="C340" s="2" t="str">
        <f>IF(Source!$E340=COLUMNS($A340:C340), LEFT(C339, LEN(C339)-Source!$C340), IF(Source!$G340=COLUMNS($A340:C340), C339&amp;RIGHT(INDIRECT(ADDRESS(ROW(C340)-1, Source!$E340)), Source!$C340), C339))</f>
        <v/>
      </c>
      <c r="D340" s="2" t="str">
        <f>IF(Source!$E340=COLUMNS($A340:D340), LEFT(D339, LEN(D339)-Source!$C340), IF(Source!$G340=COLUMNS($A340:D340), D339&amp;RIGHT(INDIRECT(ADDRESS(ROW(D340)-1, Source!$E340)), Source!$C340), D339))</f>
        <v>VC</v>
      </c>
      <c r="E340" s="2" t="str">
        <f>IF(Source!$E340=COLUMNS($A340:E340), LEFT(E339, LEN(E339)-Source!$C340), IF(Source!$G340=COLUMNS($A340:E340), E339&amp;RIGHT(INDIRECT(ADDRESS(ROW(E340)-1, Source!$E340)), Source!$C340), E339))</f>
        <v>PSWTRDJTRTTJFLGTCVZBZHRZMBRBRJTLBDCW</v>
      </c>
      <c r="F340" s="2" t="str">
        <f>IF(Source!$E340=COLUMNS($A340:F340), LEFT(F339, LEN(F339)-Source!$C340), IF(Source!$G340=COLUMNS($A340:F340), F339&amp;RIGHT(INDIRECT(ADDRESS(ROW(F340)-1, Source!$E340)), Source!$C340), F339))</f>
        <v/>
      </c>
      <c r="G340" s="2" t="str">
        <f>IF(Source!$E340=COLUMNS($A340:G340), LEFT(G339, LEN(G339)-Source!$C340), IF(Source!$G340=COLUMNS($A340:G340), G339&amp;RIGHT(INDIRECT(ADDRESS(ROW(G340)-1, Source!$E340)), Source!$C340), G339))</f>
        <v>DHDSMLQD</v>
      </c>
      <c r="H340" s="2" t="str">
        <f>IF(Source!$E340=COLUMNS($A340:H340), LEFT(H339, LEN(H339)-Source!$C340), IF(Source!$G340=COLUMNS($A340:H340), H339&amp;RIGHT(INDIRECT(ADDRESS(ROW(H340)-1, Source!$E340)), Source!$C340), H339))</f>
        <v/>
      </c>
      <c r="I340" s="2" t="str">
        <f>IF(Source!$E340=COLUMNS($A340:I340), LEFT(I339, LEN(I339)-Source!$C340), IF(Source!$G340=COLUMNS($A340:I340), I339&amp;RIGHT(INDIRECT(ADDRESS(ROW(I340)-1, Source!$E340)), Source!$C340), I339))</f>
        <v/>
      </c>
    </row>
    <row r="341">
      <c r="A341" s="2" t="str">
        <f>IF(Source!$E341=COLUMNS($A341:A341), LEFT(A340, LEN(A340)-Source!$C341), IF(Source!$G341=COLUMNS($A341:A341), A340&amp;RIGHT(INDIRECT(ADDRESS(ROW(A341)-1, Source!$E341)), Source!$C341), A340))</f>
        <v>PMQSVS</v>
      </c>
      <c r="B341" s="2" t="str">
        <f>IF(Source!$E341=COLUMNS($A341:B341), LEFT(B340, LEN(B340)-Source!$C341), IF(Source!$G341=COLUMNS($A341:B341), B340&amp;RIGHT(INDIRECT(ADDRESS(ROW(B341)-1, Source!$E341)), Source!$C341), B340))</f>
        <v>PGFD</v>
      </c>
      <c r="C341" s="2" t="str">
        <f>IF(Source!$E341=COLUMNS($A341:C341), LEFT(C340, LEN(C340)-Source!$C341), IF(Source!$G341=COLUMNS($A341:C341), C340&amp;RIGHT(INDIRECT(ADDRESS(ROW(C341)-1, Source!$E341)), Source!$C341), C340))</f>
        <v/>
      </c>
      <c r="D341" s="2" t="str">
        <f>IF(Source!$E341=COLUMNS($A341:D341), LEFT(D340, LEN(D340)-Source!$C341), IF(Source!$G341=COLUMNS($A341:D341), D340&amp;RIGHT(INDIRECT(ADDRESS(ROW(D341)-1, Source!$E341)), Source!$C341), D340))</f>
        <v>VC</v>
      </c>
      <c r="E341" s="2" t="str">
        <f>IF(Source!$E341=COLUMNS($A341:E341), LEFT(E340, LEN(E340)-Source!$C341), IF(Source!$G341=COLUMNS($A341:E341), E340&amp;RIGHT(INDIRECT(ADDRESS(ROW(E341)-1, Source!$E341)), Source!$C341), E340))</f>
        <v>PSWTRDJTRT</v>
      </c>
      <c r="F341" s="2" t="str">
        <f>IF(Source!$E341=COLUMNS($A341:F341), LEFT(F340, LEN(F340)-Source!$C341), IF(Source!$G341=COLUMNS($A341:F341), F340&amp;RIGHT(INDIRECT(ADDRESS(ROW(F341)-1, Source!$E341)), Source!$C341), F340))</f>
        <v>TJFLGTCVZBZHRZMBRBRJTLBDCW</v>
      </c>
      <c r="G341" s="2" t="str">
        <f>IF(Source!$E341=COLUMNS($A341:G341), LEFT(G340, LEN(G340)-Source!$C341), IF(Source!$G341=COLUMNS($A341:G341), G340&amp;RIGHT(INDIRECT(ADDRESS(ROW(G341)-1, Source!$E341)), Source!$C341), G340))</f>
        <v>DHDSMLQD</v>
      </c>
      <c r="H341" s="2" t="str">
        <f>IF(Source!$E341=COLUMNS($A341:H341), LEFT(H340, LEN(H340)-Source!$C341), IF(Source!$G341=COLUMNS($A341:H341), H340&amp;RIGHT(INDIRECT(ADDRESS(ROW(H341)-1, Source!$E341)), Source!$C341), H340))</f>
        <v/>
      </c>
      <c r="I341" s="2" t="str">
        <f>IF(Source!$E341=COLUMNS($A341:I341), LEFT(I340, LEN(I340)-Source!$C341), IF(Source!$G341=COLUMNS($A341:I341), I340&amp;RIGHT(INDIRECT(ADDRESS(ROW(I341)-1, Source!$E341)), Source!$C341), I340))</f>
        <v/>
      </c>
    </row>
    <row r="342">
      <c r="A342" s="2" t="str">
        <f>IF(Source!$E342=COLUMNS($A342:A342), LEFT(A341, LEN(A341)-Source!$C342), IF(Source!$G342=COLUMNS($A342:A342), A341&amp;RIGHT(INDIRECT(ADDRESS(ROW(A342)-1, Source!$E342)), Source!$C342), A341))</f>
        <v>PMQSVS</v>
      </c>
      <c r="B342" s="2" t="str">
        <f>IF(Source!$E342=COLUMNS($A342:B342), LEFT(B341, LEN(B341)-Source!$C342), IF(Source!$G342=COLUMNS($A342:B342), B341&amp;RIGHT(INDIRECT(ADDRESS(ROW(B342)-1, Source!$E342)), Source!$C342), B341))</f>
        <v>PGFD</v>
      </c>
      <c r="C342" s="2" t="str">
        <f>IF(Source!$E342=COLUMNS($A342:C342), LEFT(C341, LEN(C341)-Source!$C342), IF(Source!$G342=COLUMNS($A342:C342), C341&amp;RIGHT(INDIRECT(ADDRESS(ROW(C342)-1, Source!$E342)), Source!$C342), C341))</f>
        <v/>
      </c>
      <c r="D342" s="2" t="str">
        <f>IF(Source!$E342=COLUMNS($A342:D342), LEFT(D341, LEN(D341)-Source!$C342), IF(Source!$G342=COLUMNS($A342:D342), D341&amp;RIGHT(INDIRECT(ADDRESS(ROW(D342)-1, Source!$E342)), Source!$C342), D341))</f>
        <v>VC</v>
      </c>
      <c r="E342" s="2" t="str">
        <f>IF(Source!$E342=COLUMNS($A342:E342), LEFT(E341, LEN(E341)-Source!$C342), IF(Source!$G342=COLUMNS($A342:E342), E341&amp;RIGHT(INDIRECT(ADDRESS(ROW(E342)-1, Source!$E342)), Source!$C342), E341))</f>
        <v>PSWTRD</v>
      </c>
      <c r="F342" s="2" t="str">
        <f>IF(Source!$E342=COLUMNS($A342:F342), LEFT(F341, LEN(F341)-Source!$C342), IF(Source!$G342=COLUMNS($A342:F342), F341&amp;RIGHT(INDIRECT(ADDRESS(ROW(F342)-1, Source!$E342)), Source!$C342), F341))</f>
        <v>TJFLGTCVZBZHRZMBRBRJTLBDCW</v>
      </c>
      <c r="G342" s="2" t="str">
        <f>IF(Source!$E342=COLUMNS($A342:G342), LEFT(G341, LEN(G341)-Source!$C342), IF(Source!$G342=COLUMNS($A342:G342), G341&amp;RIGHT(INDIRECT(ADDRESS(ROW(G342)-1, Source!$E342)), Source!$C342), G341))</f>
        <v>DHDSMLQDJTRT</v>
      </c>
      <c r="H342" s="2" t="str">
        <f>IF(Source!$E342=COLUMNS($A342:H342), LEFT(H341, LEN(H341)-Source!$C342), IF(Source!$G342=COLUMNS($A342:H342), H341&amp;RIGHT(INDIRECT(ADDRESS(ROW(H342)-1, Source!$E342)), Source!$C342), H341))</f>
        <v/>
      </c>
      <c r="I342" s="2" t="str">
        <f>IF(Source!$E342=COLUMNS($A342:I342), LEFT(I341, LEN(I341)-Source!$C342), IF(Source!$G342=COLUMNS($A342:I342), I341&amp;RIGHT(INDIRECT(ADDRESS(ROW(I342)-1, Source!$E342)), Source!$C342), I341))</f>
        <v/>
      </c>
    </row>
    <row r="343">
      <c r="A343" s="2" t="str">
        <f>IF(Source!$E343=COLUMNS($A343:A343), LEFT(A342, LEN(A342)-Source!$C343), IF(Source!$G343=COLUMNS($A343:A343), A342&amp;RIGHT(INDIRECT(ADDRESS(ROW(A343)-1, Source!$E343)), Source!$C343), A342))</f>
        <v>PMQSVS</v>
      </c>
      <c r="B343" s="2" t="str">
        <f>IF(Source!$E343=COLUMNS($A343:B343), LEFT(B342, LEN(B342)-Source!$C343), IF(Source!$G343=COLUMNS($A343:B343), B342&amp;RIGHT(INDIRECT(ADDRESS(ROW(B343)-1, Source!$E343)), Source!$C343), B342))</f>
        <v>PG</v>
      </c>
      <c r="C343" s="2" t="str">
        <f>IF(Source!$E343=COLUMNS($A343:C343), LEFT(C342, LEN(C342)-Source!$C343), IF(Source!$G343=COLUMNS($A343:C343), C342&amp;RIGHT(INDIRECT(ADDRESS(ROW(C343)-1, Source!$E343)), Source!$C343), C342))</f>
        <v/>
      </c>
      <c r="D343" s="2" t="str">
        <f>IF(Source!$E343=COLUMNS($A343:D343), LEFT(D342, LEN(D342)-Source!$C343), IF(Source!$G343=COLUMNS($A343:D343), D342&amp;RIGHT(INDIRECT(ADDRESS(ROW(D343)-1, Source!$E343)), Source!$C343), D342))</f>
        <v>VC</v>
      </c>
      <c r="E343" s="2" t="str">
        <f>IF(Source!$E343=COLUMNS($A343:E343), LEFT(E342, LEN(E342)-Source!$C343), IF(Source!$G343=COLUMNS($A343:E343), E342&amp;RIGHT(INDIRECT(ADDRESS(ROW(E343)-1, Source!$E343)), Source!$C343), E342))</f>
        <v>PSWTRD</v>
      </c>
      <c r="F343" s="2" t="str">
        <f>IF(Source!$E343=COLUMNS($A343:F343), LEFT(F342, LEN(F342)-Source!$C343), IF(Source!$G343=COLUMNS($A343:F343), F342&amp;RIGHT(INDIRECT(ADDRESS(ROW(F343)-1, Source!$E343)), Source!$C343), F342))</f>
        <v>TJFLGTCVZBZHRZMBRBRJTLBDCW</v>
      </c>
      <c r="G343" s="2" t="str">
        <f>IF(Source!$E343=COLUMNS($A343:G343), LEFT(G342, LEN(G342)-Source!$C343), IF(Source!$G343=COLUMNS($A343:G343), G342&amp;RIGHT(INDIRECT(ADDRESS(ROW(G343)-1, Source!$E343)), Source!$C343), G342))</f>
        <v>DHDSMLQDJTRTFD</v>
      </c>
      <c r="H343" s="2" t="str">
        <f>IF(Source!$E343=COLUMNS($A343:H343), LEFT(H342, LEN(H342)-Source!$C343), IF(Source!$G343=COLUMNS($A343:H343), H342&amp;RIGHT(INDIRECT(ADDRESS(ROW(H343)-1, Source!$E343)), Source!$C343), H342))</f>
        <v/>
      </c>
      <c r="I343" s="2" t="str">
        <f>IF(Source!$E343=COLUMNS($A343:I343), LEFT(I342, LEN(I342)-Source!$C343), IF(Source!$G343=COLUMNS($A343:I343), I342&amp;RIGHT(INDIRECT(ADDRESS(ROW(I343)-1, Source!$E343)), Source!$C343), I342))</f>
        <v/>
      </c>
    </row>
    <row r="344">
      <c r="A344" s="2" t="str">
        <f>IF(Source!$E344=COLUMNS($A344:A344), LEFT(A343, LEN(A343)-Source!$C344), IF(Source!$G344=COLUMNS($A344:A344), A343&amp;RIGHT(INDIRECT(ADDRESS(ROW(A344)-1, Source!$E344)), Source!$C344), A343))</f>
        <v>PMQSVS</v>
      </c>
      <c r="B344" s="2" t="str">
        <f>IF(Source!$E344=COLUMNS($A344:B344), LEFT(B343, LEN(B343)-Source!$C344), IF(Source!$G344=COLUMNS($A344:B344), B343&amp;RIGHT(INDIRECT(ADDRESS(ROW(B344)-1, Source!$E344)), Source!$C344), B343))</f>
        <v>PGFD</v>
      </c>
      <c r="C344" s="2" t="str">
        <f>IF(Source!$E344=COLUMNS($A344:C344), LEFT(C343, LEN(C343)-Source!$C344), IF(Source!$G344=COLUMNS($A344:C344), C343&amp;RIGHT(INDIRECT(ADDRESS(ROW(C344)-1, Source!$E344)), Source!$C344), C343))</f>
        <v/>
      </c>
      <c r="D344" s="2" t="str">
        <f>IF(Source!$E344=COLUMNS($A344:D344), LEFT(D343, LEN(D343)-Source!$C344), IF(Source!$G344=COLUMNS($A344:D344), D343&amp;RIGHT(INDIRECT(ADDRESS(ROW(D344)-1, Source!$E344)), Source!$C344), D343))</f>
        <v>VC</v>
      </c>
      <c r="E344" s="2" t="str">
        <f>IF(Source!$E344=COLUMNS($A344:E344), LEFT(E343, LEN(E343)-Source!$C344), IF(Source!$G344=COLUMNS($A344:E344), E343&amp;RIGHT(INDIRECT(ADDRESS(ROW(E344)-1, Source!$E344)), Source!$C344), E343))</f>
        <v>PSWTRD</v>
      </c>
      <c r="F344" s="2" t="str">
        <f>IF(Source!$E344=COLUMNS($A344:F344), LEFT(F343, LEN(F343)-Source!$C344), IF(Source!$G344=COLUMNS($A344:F344), F343&amp;RIGHT(INDIRECT(ADDRESS(ROW(F344)-1, Source!$E344)), Source!$C344), F343))</f>
        <v>TJFLGTCVZBZHRZMBRBRJTLBDCW</v>
      </c>
      <c r="G344" s="2" t="str">
        <f>IF(Source!$E344=COLUMNS($A344:G344), LEFT(G343, LEN(G343)-Source!$C344), IF(Source!$G344=COLUMNS($A344:G344), G343&amp;RIGHT(INDIRECT(ADDRESS(ROW(G344)-1, Source!$E344)), Source!$C344), G343))</f>
        <v>DHDSMLQDJTRT</v>
      </c>
      <c r="H344" s="2" t="str">
        <f>IF(Source!$E344=COLUMNS($A344:H344), LEFT(H343, LEN(H343)-Source!$C344), IF(Source!$G344=COLUMNS($A344:H344), H343&amp;RIGHT(INDIRECT(ADDRESS(ROW(H344)-1, Source!$E344)), Source!$C344), H343))</f>
        <v/>
      </c>
      <c r="I344" s="2" t="str">
        <f>IF(Source!$E344=COLUMNS($A344:I344), LEFT(I343, LEN(I343)-Source!$C344), IF(Source!$G344=COLUMNS($A344:I344), I343&amp;RIGHT(INDIRECT(ADDRESS(ROW(I344)-1, Source!$E344)), Source!$C344), I343))</f>
        <v/>
      </c>
    </row>
    <row r="345">
      <c r="A345" s="2" t="str">
        <f>IF(Source!$E345=COLUMNS($A345:A345), LEFT(A344, LEN(A344)-Source!$C345), IF(Source!$G345=COLUMNS($A345:A345), A344&amp;RIGHT(INDIRECT(ADDRESS(ROW(A345)-1, Source!$E345)), Source!$C345), A344))</f>
        <v>PMQSVS</v>
      </c>
      <c r="B345" s="2" t="str">
        <f>IF(Source!$E345=COLUMNS($A345:B345), LEFT(B344, LEN(B344)-Source!$C345), IF(Source!$G345=COLUMNS($A345:B345), B344&amp;RIGHT(INDIRECT(ADDRESS(ROW(B345)-1, Source!$E345)), Source!$C345), B344))</f>
        <v>PGFD</v>
      </c>
      <c r="C345" s="2" t="str">
        <f>IF(Source!$E345=COLUMNS($A345:C345), LEFT(C344, LEN(C344)-Source!$C345), IF(Source!$G345=COLUMNS($A345:C345), C344&amp;RIGHT(INDIRECT(ADDRESS(ROW(C345)-1, Source!$E345)), Source!$C345), C344))</f>
        <v/>
      </c>
      <c r="D345" s="2" t="str">
        <f>IF(Source!$E345=COLUMNS($A345:D345), LEFT(D344, LEN(D344)-Source!$C345), IF(Source!$G345=COLUMNS($A345:D345), D344&amp;RIGHT(INDIRECT(ADDRESS(ROW(D345)-1, Source!$E345)), Source!$C345), D344))</f>
        <v>VC</v>
      </c>
      <c r="E345" s="2" t="str">
        <f>IF(Source!$E345=COLUMNS($A345:E345), LEFT(E344, LEN(E344)-Source!$C345), IF(Source!$G345=COLUMNS($A345:E345), E344&amp;RIGHT(INDIRECT(ADDRESS(ROW(E345)-1, Source!$E345)), Source!$C345), E344))</f>
        <v>PSWTRD</v>
      </c>
      <c r="F345" s="2" t="str">
        <f>IF(Source!$E345=COLUMNS($A345:F345), LEFT(F344, LEN(F344)-Source!$C345), IF(Source!$G345=COLUMNS($A345:F345), F344&amp;RIGHT(INDIRECT(ADDRESS(ROW(F345)-1, Source!$E345)), Source!$C345), F344))</f>
        <v>TJFLGTCVZBZHRZMBRBRJTLBDCW</v>
      </c>
      <c r="G345" s="2" t="str">
        <f>IF(Source!$E345=COLUMNS($A345:G345), LEFT(G344, LEN(G344)-Source!$C345), IF(Source!$G345=COLUMNS($A345:G345), G344&amp;RIGHT(INDIRECT(ADDRESS(ROW(G345)-1, Source!$E345)), Source!$C345), G344))</f>
        <v>DHDSMLQDJT</v>
      </c>
      <c r="H345" s="2" t="str">
        <f>IF(Source!$E345=COLUMNS($A345:H345), LEFT(H344, LEN(H344)-Source!$C345), IF(Source!$G345=COLUMNS($A345:H345), H344&amp;RIGHT(INDIRECT(ADDRESS(ROW(H345)-1, Source!$E345)), Source!$C345), H344))</f>
        <v>RT</v>
      </c>
      <c r="I345" s="2" t="str">
        <f>IF(Source!$E345=COLUMNS($A345:I345), LEFT(I344, LEN(I344)-Source!$C345), IF(Source!$G345=COLUMNS($A345:I345), I344&amp;RIGHT(INDIRECT(ADDRESS(ROW(I345)-1, Source!$E345)), Source!$C345), I344))</f>
        <v/>
      </c>
    </row>
    <row r="346">
      <c r="A346" s="2" t="str">
        <f>IF(Source!$E346=COLUMNS($A346:A346), LEFT(A345, LEN(A345)-Source!$C346), IF(Source!$G346=COLUMNS($A346:A346), A345&amp;RIGHT(INDIRECT(ADDRESS(ROW(A346)-1, Source!$E346)), Source!$C346), A345))</f>
        <v>PMQSVS</v>
      </c>
      <c r="B346" s="2" t="str">
        <f>IF(Source!$E346=COLUMNS($A346:B346), LEFT(B345, LEN(B345)-Source!$C346), IF(Source!$G346=COLUMNS($A346:B346), B345&amp;RIGHT(INDIRECT(ADDRESS(ROW(B346)-1, Source!$E346)), Source!$C346), B345))</f>
        <v>PGFD</v>
      </c>
      <c r="C346" s="2" t="str">
        <f>IF(Source!$E346=COLUMNS($A346:C346), LEFT(C345, LEN(C345)-Source!$C346), IF(Source!$G346=COLUMNS($A346:C346), C345&amp;RIGHT(INDIRECT(ADDRESS(ROW(C346)-1, Source!$E346)), Source!$C346), C345))</f>
        <v>RT</v>
      </c>
      <c r="D346" s="2" t="str">
        <f>IF(Source!$E346=COLUMNS($A346:D346), LEFT(D345, LEN(D345)-Source!$C346), IF(Source!$G346=COLUMNS($A346:D346), D345&amp;RIGHT(INDIRECT(ADDRESS(ROW(D346)-1, Source!$E346)), Source!$C346), D345))</f>
        <v>VC</v>
      </c>
      <c r="E346" s="2" t="str">
        <f>IF(Source!$E346=COLUMNS($A346:E346), LEFT(E345, LEN(E345)-Source!$C346), IF(Source!$G346=COLUMNS($A346:E346), E345&amp;RIGHT(INDIRECT(ADDRESS(ROW(E346)-1, Source!$E346)), Source!$C346), E345))</f>
        <v>PSWTRD</v>
      </c>
      <c r="F346" s="2" t="str">
        <f>IF(Source!$E346=COLUMNS($A346:F346), LEFT(F345, LEN(F345)-Source!$C346), IF(Source!$G346=COLUMNS($A346:F346), F345&amp;RIGHT(INDIRECT(ADDRESS(ROW(F346)-1, Source!$E346)), Source!$C346), F345))</f>
        <v>TJFLGTCVZBZHRZMBRBRJTLBDCW</v>
      </c>
      <c r="G346" s="2" t="str">
        <f>IF(Source!$E346=COLUMNS($A346:G346), LEFT(G345, LEN(G345)-Source!$C346), IF(Source!$G346=COLUMNS($A346:G346), G345&amp;RIGHT(INDIRECT(ADDRESS(ROW(G346)-1, Source!$E346)), Source!$C346), G345))</f>
        <v>DHDSMLQDJT</v>
      </c>
      <c r="H346" s="2" t="str">
        <f>IF(Source!$E346=COLUMNS($A346:H346), LEFT(H345, LEN(H345)-Source!$C346), IF(Source!$G346=COLUMNS($A346:H346), H345&amp;RIGHT(INDIRECT(ADDRESS(ROW(H346)-1, Source!$E346)), Source!$C346), H345))</f>
        <v/>
      </c>
      <c r="I346" s="2" t="str">
        <f>IF(Source!$E346=COLUMNS($A346:I346), LEFT(I345, LEN(I345)-Source!$C346), IF(Source!$G346=COLUMNS($A346:I346), I345&amp;RIGHT(INDIRECT(ADDRESS(ROW(I346)-1, Source!$E346)), Source!$C346), I345))</f>
        <v/>
      </c>
    </row>
    <row r="347">
      <c r="A347" s="2" t="str">
        <f>IF(Source!$E347=COLUMNS($A347:A347), LEFT(A346, LEN(A346)-Source!$C347), IF(Source!$G347=COLUMNS($A347:A347), A346&amp;RIGHT(INDIRECT(ADDRESS(ROW(A347)-1, Source!$E347)), Source!$C347), A346))</f>
        <v/>
      </c>
      <c r="B347" s="2" t="str">
        <f>IF(Source!$E347=COLUMNS($A347:B347), LEFT(B346, LEN(B346)-Source!$C347), IF(Source!$G347=COLUMNS($A347:B347), B346&amp;RIGHT(INDIRECT(ADDRESS(ROW(B347)-1, Source!$E347)), Source!$C347), B346))</f>
        <v>PGFD</v>
      </c>
      <c r="C347" s="2" t="str">
        <f>IF(Source!$E347=COLUMNS($A347:C347), LEFT(C346, LEN(C346)-Source!$C347), IF(Source!$G347=COLUMNS($A347:C347), C346&amp;RIGHT(INDIRECT(ADDRESS(ROW(C347)-1, Source!$E347)), Source!$C347), C346))</f>
        <v>RTPMQSVS</v>
      </c>
      <c r="D347" s="2" t="str">
        <f>IF(Source!$E347=COLUMNS($A347:D347), LEFT(D346, LEN(D346)-Source!$C347), IF(Source!$G347=COLUMNS($A347:D347), D346&amp;RIGHT(INDIRECT(ADDRESS(ROW(D347)-1, Source!$E347)), Source!$C347), D346))</f>
        <v>VC</v>
      </c>
      <c r="E347" s="2" t="str">
        <f>IF(Source!$E347=COLUMNS($A347:E347), LEFT(E346, LEN(E346)-Source!$C347), IF(Source!$G347=COLUMNS($A347:E347), E346&amp;RIGHT(INDIRECT(ADDRESS(ROW(E347)-1, Source!$E347)), Source!$C347), E346))</f>
        <v>PSWTRD</v>
      </c>
      <c r="F347" s="2" t="str">
        <f>IF(Source!$E347=COLUMNS($A347:F347), LEFT(F346, LEN(F346)-Source!$C347), IF(Source!$G347=COLUMNS($A347:F347), F346&amp;RIGHT(INDIRECT(ADDRESS(ROW(F347)-1, Source!$E347)), Source!$C347), F346))</f>
        <v>TJFLGTCVZBZHRZMBRBRJTLBDCW</v>
      </c>
      <c r="G347" s="2" t="str">
        <f>IF(Source!$E347=COLUMNS($A347:G347), LEFT(G346, LEN(G346)-Source!$C347), IF(Source!$G347=COLUMNS($A347:G347), G346&amp;RIGHT(INDIRECT(ADDRESS(ROW(G347)-1, Source!$E347)), Source!$C347), G346))</f>
        <v>DHDSMLQDJT</v>
      </c>
      <c r="H347" s="2" t="str">
        <f>IF(Source!$E347=COLUMNS($A347:H347), LEFT(H346, LEN(H346)-Source!$C347), IF(Source!$G347=COLUMNS($A347:H347), H346&amp;RIGHT(INDIRECT(ADDRESS(ROW(H347)-1, Source!$E347)), Source!$C347), H346))</f>
        <v/>
      </c>
      <c r="I347" s="2" t="str">
        <f>IF(Source!$E347=COLUMNS($A347:I347), LEFT(I346, LEN(I346)-Source!$C347), IF(Source!$G347=COLUMNS($A347:I347), I346&amp;RIGHT(INDIRECT(ADDRESS(ROW(I347)-1, Source!$E347)), Source!$C347), I346))</f>
        <v/>
      </c>
    </row>
    <row r="348">
      <c r="A348" s="2" t="str">
        <f>IF(Source!$E348=COLUMNS($A348:A348), LEFT(A347, LEN(A347)-Source!$C348), IF(Source!$G348=COLUMNS($A348:A348), A347&amp;RIGHT(INDIRECT(ADDRESS(ROW(A348)-1, Source!$E348)), Source!$C348), A347))</f>
        <v>SWTRD</v>
      </c>
      <c r="B348" s="2" t="str">
        <f>IF(Source!$E348=COLUMNS($A348:B348), LEFT(B347, LEN(B347)-Source!$C348), IF(Source!$G348=COLUMNS($A348:B348), B347&amp;RIGHT(INDIRECT(ADDRESS(ROW(B348)-1, Source!$E348)), Source!$C348), B347))</f>
        <v>PGFD</v>
      </c>
      <c r="C348" s="2" t="str">
        <f>IF(Source!$E348=COLUMNS($A348:C348), LEFT(C347, LEN(C347)-Source!$C348), IF(Source!$G348=COLUMNS($A348:C348), C347&amp;RIGHT(INDIRECT(ADDRESS(ROW(C348)-1, Source!$E348)), Source!$C348), C347))</f>
        <v>RTPMQSVS</v>
      </c>
      <c r="D348" s="2" t="str">
        <f>IF(Source!$E348=COLUMNS($A348:D348), LEFT(D347, LEN(D347)-Source!$C348), IF(Source!$G348=COLUMNS($A348:D348), D347&amp;RIGHT(INDIRECT(ADDRESS(ROW(D348)-1, Source!$E348)), Source!$C348), D347))</f>
        <v>VC</v>
      </c>
      <c r="E348" s="2" t="str">
        <f>IF(Source!$E348=COLUMNS($A348:E348), LEFT(E347, LEN(E347)-Source!$C348), IF(Source!$G348=COLUMNS($A348:E348), E347&amp;RIGHT(INDIRECT(ADDRESS(ROW(E348)-1, Source!$E348)), Source!$C348), E347))</f>
        <v>P</v>
      </c>
      <c r="F348" s="2" t="str">
        <f>IF(Source!$E348=COLUMNS($A348:F348), LEFT(F347, LEN(F347)-Source!$C348), IF(Source!$G348=COLUMNS($A348:F348), F347&amp;RIGHT(INDIRECT(ADDRESS(ROW(F348)-1, Source!$E348)), Source!$C348), F347))</f>
        <v>TJFLGTCVZBZHRZMBRBRJTLBDCW</v>
      </c>
      <c r="G348" s="2" t="str">
        <f>IF(Source!$E348=COLUMNS($A348:G348), LEFT(G347, LEN(G347)-Source!$C348), IF(Source!$G348=COLUMNS($A348:G348), G347&amp;RIGHT(INDIRECT(ADDRESS(ROW(G348)-1, Source!$E348)), Source!$C348), G347))</f>
        <v>DHDSMLQDJT</v>
      </c>
      <c r="H348" s="2" t="str">
        <f>IF(Source!$E348=COLUMNS($A348:H348), LEFT(H347, LEN(H347)-Source!$C348), IF(Source!$G348=COLUMNS($A348:H348), H347&amp;RIGHT(INDIRECT(ADDRESS(ROW(H348)-1, Source!$E348)), Source!$C348), H347))</f>
        <v/>
      </c>
      <c r="I348" s="2" t="str">
        <f>IF(Source!$E348=COLUMNS($A348:I348), LEFT(I347, LEN(I347)-Source!$C348), IF(Source!$G348=COLUMNS($A348:I348), I347&amp;RIGHT(INDIRECT(ADDRESS(ROW(I348)-1, Source!$E348)), Source!$C348), I347))</f>
        <v/>
      </c>
    </row>
    <row r="349">
      <c r="A349" s="2" t="str">
        <f>IF(Source!$E349=COLUMNS($A349:A349), LEFT(A348, LEN(A348)-Source!$C349), IF(Source!$G349=COLUMNS($A349:A349), A348&amp;RIGHT(INDIRECT(ADDRESS(ROW(A349)-1, Source!$E349)), Source!$C349), A348))</f>
        <v>SWTRD</v>
      </c>
      <c r="B349" s="2" t="str">
        <f>IF(Source!$E349=COLUMNS($A349:B349), LEFT(B348, LEN(B348)-Source!$C349), IF(Source!$G349=COLUMNS($A349:B349), B348&amp;RIGHT(INDIRECT(ADDRESS(ROW(B349)-1, Source!$E349)), Source!$C349), B348))</f>
        <v>PGFD</v>
      </c>
      <c r="C349" s="2" t="str">
        <f>IF(Source!$E349=COLUMNS($A349:C349), LEFT(C348, LEN(C348)-Source!$C349), IF(Source!$G349=COLUMNS($A349:C349), C348&amp;RIGHT(INDIRECT(ADDRESS(ROW(C349)-1, Source!$E349)), Source!$C349), C348))</f>
        <v>RTPMQSVS</v>
      </c>
      <c r="D349" s="2" t="str">
        <f>IF(Source!$E349=COLUMNS($A349:D349), LEFT(D348, LEN(D348)-Source!$C349), IF(Source!$G349=COLUMNS($A349:D349), D348&amp;RIGHT(INDIRECT(ADDRESS(ROW(D349)-1, Source!$E349)), Source!$C349), D348))</f>
        <v>VC</v>
      </c>
      <c r="E349" s="2" t="str">
        <f>IF(Source!$E349=COLUMNS($A349:E349), LEFT(E348, LEN(E348)-Source!$C349), IF(Source!$G349=COLUMNS($A349:E349), E348&amp;RIGHT(INDIRECT(ADDRESS(ROW(E349)-1, Source!$E349)), Source!$C349), E348))</f>
        <v/>
      </c>
      <c r="F349" s="2" t="str">
        <f>IF(Source!$E349=COLUMNS($A349:F349), LEFT(F348, LEN(F348)-Source!$C349), IF(Source!$G349=COLUMNS($A349:F349), F348&amp;RIGHT(INDIRECT(ADDRESS(ROW(F349)-1, Source!$E349)), Source!$C349), F348))</f>
        <v>TJFLGTCVZBZHRZMBRBRJTLBDCW</v>
      </c>
      <c r="G349" s="2" t="str">
        <f>IF(Source!$E349=COLUMNS($A349:G349), LEFT(G348, LEN(G348)-Source!$C349), IF(Source!$G349=COLUMNS($A349:G349), G348&amp;RIGHT(INDIRECT(ADDRESS(ROW(G349)-1, Source!$E349)), Source!$C349), G348))</f>
        <v>DHDSMLQDJTP</v>
      </c>
      <c r="H349" s="2" t="str">
        <f>IF(Source!$E349=COLUMNS($A349:H349), LEFT(H348, LEN(H348)-Source!$C349), IF(Source!$G349=COLUMNS($A349:H349), H348&amp;RIGHT(INDIRECT(ADDRESS(ROW(H349)-1, Source!$E349)), Source!$C349), H348))</f>
        <v/>
      </c>
      <c r="I349" s="2" t="str">
        <f>IF(Source!$E349=COLUMNS($A349:I349), LEFT(I348, LEN(I348)-Source!$C349), IF(Source!$G349=COLUMNS($A349:I349), I348&amp;RIGHT(INDIRECT(ADDRESS(ROW(I349)-1, Source!$E349)), Source!$C349), I348))</f>
        <v/>
      </c>
    </row>
    <row r="350">
      <c r="A350" s="2" t="str">
        <f>IF(Source!$E350=COLUMNS($A350:A350), LEFT(A349, LEN(A349)-Source!$C350), IF(Source!$G350=COLUMNS($A350:A350), A349&amp;RIGHT(INDIRECT(ADDRESS(ROW(A350)-1, Source!$E350)), Source!$C350), A349))</f>
        <v>SWTRD</v>
      </c>
      <c r="B350" s="2" t="str">
        <f>IF(Source!$E350=COLUMNS($A350:B350), LEFT(B349, LEN(B349)-Source!$C350), IF(Source!$G350=COLUMNS($A350:B350), B349&amp;RIGHT(INDIRECT(ADDRESS(ROW(B350)-1, Source!$E350)), Source!$C350), B349))</f>
        <v>PGFD</v>
      </c>
      <c r="C350" s="2" t="str">
        <f>IF(Source!$E350=COLUMNS($A350:C350), LEFT(C349, LEN(C349)-Source!$C350), IF(Source!$G350=COLUMNS($A350:C350), C349&amp;RIGHT(INDIRECT(ADDRESS(ROW(C350)-1, Source!$E350)), Source!$C350), C349))</f>
        <v>RTPMQSVS</v>
      </c>
      <c r="D350" s="2" t="str">
        <f>IF(Source!$E350=COLUMNS($A350:D350), LEFT(D349, LEN(D349)-Source!$C350), IF(Source!$G350=COLUMNS($A350:D350), D349&amp;RIGHT(INDIRECT(ADDRESS(ROW(D350)-1, Source!$E350)), Source!$C350), D349))</f>
        <v>VC</v>
      </c>
      <c r="E350" s="2" t="str">
        <f>IF(Source!$E350=COLUMNS($A350:E350), LEFT(E349, LEN(E349)-Source!$C350), IF(Source!$G350=COLUMNS($A350:E350), E349&amp;RIGHT(INDIRECT(ADDRESS(ROW(E350)-1, Source!$E350)), Source!$C350), E349))</f>
        <v>MLQDJTP</v>
      </c>
      <c r="F350" s="2" t="str">
        <f>IF(Source!$E350=COLUMNS($A350:F350), LEFT(F349, LEN(F349)-Source!$C350), IF(Source!$G350=COLUMNS($A350:F350), F349&amp;RIGHT(INDIRECT(ADDRESS(ROW(F350)-1, Source!$E350)), Source!$C350), F349))</f>
        <v>TJFLGTCVZBZHRZMBRBRJTLBDCW</v>
      </c>
      <c r="G350" s="2" t="str">
        <f>IF(Source!$E350=COLUMNS($A350:G350), LEFT(G349, LEN(G349)-Source!$C350), IF(Source!$G350=COLUMNS($A350:G350), G349&amp;RIGHT(INDIRECT(ADDRESS(ROW(G350)-1, Source!$E350)), Source!$C350), G349))</f>
        <v>DHDS</v>
      </c>
      <c r="H350" s="2" t="str">
        <f>IF(Source!$E350=COLUMNS($A350:H350), LEFT(H349, LEN(H349)-Source!$C350), IF(Source!$G350=COLUMNS($A350:H350), H349&amp;RIGHT(INDIRECT(ADDRESS(ROW(H350)-1, Source!$E350)), Source!$C350), H349))</f>
        <v/>
      </c>
      <c r="I350" s="2" t="str">
        <f>IF(Source!$E350=COLUMNS($A350:I350), LEFT(I349, LEN(I349)-Source!$C350), IF(Source!$G350=COLUMNS($A350:I350), I349&amp;RIGHT(INDIRECT(ADDRESS(ROW(I350)-1, Source!$E350)), Source!$C350), I349))</f>
        <v/>
      </c>
    </row>
    <row r="351">
      <c r="A351" s="2" t="str">
        <f>IF(Source!$E351=COLUMNS($A351:A351), LEFT(A350, LEN(A350)-Source!$C351), IF(Source!$G351=COLUMNS($A351:A351), A350&amp;RIGHT(INDIRECT(ADDRESS(ROW(A351)-1, Source!$E351)), Source!$C351), A350))</f>
        <v>SWTRD</v>
      </c>
      <c r="B351" s="2" t="str">
        <f>IF(Source!$E351=COLUMNS($A351:B351), LEFT(B350, LEN(B350)-Source!$C351), IF(Source!$G351=COLUMNS($A351:B351), B350&amp;RIGHT(INDIRECT(ADDRESS(ROW(B351)-1, Source!$E351)), Source!$C351), B350))</f>
        <v>PGFD</v>
      </c>
      <c r="C351" s="2" t="str">
        <f>IF(Source!$E351=COLUMNS($A351:C351), LEFT(C350, LEN(C350)-Source!$C351), IF(Source!$G351=COLUMNS($A351:C351), C350&amp;RIGHT(INDIRECT(ADDRESS(ROW(C351)-1, Source!$E351)), Source!$C351), C350))</f>
        <v>RTPMQSVS</v>
      </c>
      <c r="D351" s="2" t="str">
        <f>IF(Source!$E351=COLUMNS($A351:D351), LEFT(D350, LEN(D350)-Source!$C351), IF(Source!$G351=COLUMNS($A351:D351), D350&amp;RIGHT(INDIRECT(ADDRESS(ROW(D351)-1, Source!$E351)), Source!$C351), D350))</f>
        <v>VC</v>
      </c>
      <c r="E351" s="2" t="str">
        <f>IF(Source!$E351=COLUMNS($A351:E351), LEFT(E350, LEN(E350)-Source!$C351), IF(Source!$G351=COLUMNS($A351:E351), E350&amp;RIGHT(INDIRECT(ADDRESS(ROW(E351)-1, Source!$E351)), Source!$C351), E350))</f>
        <v>MLQ</v>
      </c>
      <c r="F351" s="2" t="str">
        <f>IF(Source!$E351=COLUMNS($A351:F351), LEFT(F350, LEN(F350)-Source!$C351), IF(Source!$G351=COLUMNS($A351:F351), F350&amp;RIGHT(INDIRECT(ADDRESS(ROW(F351)-1, Source!$E351)), Source!$C351), F350))</f>
        <v>TJFLGTCVZBZHRZMBRBRJTLBDCWDJTP</v>
      </c>
      <c r="G351" s="2" t="str">
        <f>IF(Source!$E351=COLUMNS($A351:G351), LEFT(G350, LEN(G350)-Source!$C351), IF(Source!$G351=COLUMNS($A351:G351), G350&amp;RIGHT(INDIRECT(ADDRESS(ROW(G351)-1, Source!$E351)), Source!$C351), G350))</f>
        <v>DHDS</v>
      </c>
      <c r="H351" s="2" t="str">
        <f>IF(Source!$E351=COLUMNS($A351:H351), LEFT(H350, LEN(H350)-Source!$C351), IF(Source!$G351=COLUMNS($A351:H351), H350&amp;RIGHT(INDIRECT(ADDRESS(ROW(H351)-1, Source!$E351)), Source!$C351), H350))</f>
        <v/>
      </c>
      <c r="I351" s="2" t="str">
        <f>IF(Source!$E351=COLUMNS($A351:I351), LEFT(I350, LEN(I350)-Source!$C351), IF(Source!$G351=COLUMNS($A351:I351), I350&amp;RIGHT(INDIRECT(ADDRESS(ROW(I351)-1, Source!$E351)), Source!$C351), I350))</f>
        <v/>
      </c>
    </row>
    <row r="352">
      <c r="A352" s="2" t="str">
        <f>IF(Source!$E352=COLUMNS($A352:A352), LEFT(A351, LEN(A351)-Source!$C352), IF(Source!$G352=COLUMNS($A352:A352), A351&amp;RIGHT(INDIRECT(ADDRESS(ROW(A352)-1, Source!$E352)), Source!$C352), A351))</f>
        <v/>
      </c>
      <c r="B352" s="2" t="str">
        <f>IF(Source!$E352=COLUMNS($A352:B352), LEFT(B351, LEN(B351)-Source!$C352), IF(Source!$G352=COLUMNS($A352:B352), B351&amp;RIGHT(INDIRECT(ADDRESS(ROW(B352)-1, Source!$E352)), Source!$C352), B351))</f>
        <v>PGFD</v>
      </c>
      <c r="C352" s="2" t="str">
        <f>IF(Source!$E352=COLUMNS($A352:C352), LEFT(C351, LEN(C351)-Source!$C352), IF(Source!$G352=COLUMNS($A352:C352), C351&amp;RIGHT(INDIRECT(ADDRESS(ROW(C352)-1, Source!$E352)), Source!$C352), C351))</f>
        <v>RTPMQSVS</v>
      </c>
      <c r="D352" s="2" t="str">
        <f>IF(Source!$E352=COLUMNS($A352:D352), LEFT(D351, LEN(D351)-Source!$C352), IF(Source!$G352=COLUMNS($A352:D352), D351&amp;RIGHT(INDIRECT(ADDRESS(ROW(D352)-1, Source!$E352)), Source!$C352), D351))</f>
        <v>VC</v>
      </c>
      <c r="E352" s="2" t="str">
        <f>IF(Source!$E352=COLUMNS($A352:E352), LEFT(E351, LEN(E351)-Source!$C352), IF(Source!$G352=COLUMNS($A352:E352), E351&amp;RIGHT(INDIRECT(ADDRESS(ROW(E352)-1, Source!$E352)), Source!$C352), E351))</f>
        <v>MLQ</v>
      </c>
      <c r="F352" s="2" t="str">
        <f>IF(Source!$E352=COLUMNS($A352:F352), LEFT(F351, LEN(F351)-Source!$C352), IF(Source!$G352=COLUMNS($A352:F352), F351&amp;RIGHT(INDIRECT(ADDRESS(ROW(F352)-1, Source!$E352)), Source!$C352), F351))</f>
        <v>TJFLGTCVZBZHRZMBRBRJTLBDCWDJTP</v>
      </c>
      <c r="G352" s="2" t="str">
        <f>IF(Source!$E352=COLUMNS($A352:G352), LEFT(G351, LEN(G351)-Source!$C352), IF(Source!$G352=COLUMNS($A352:G352), G351&amp;RIGHT(INDIRECT(ADDRESS(ROW(G352)-1, Source!$E352)), Source!$C352), G351))</f>
        <v>DHDS</v>
      </c>
      <c r="H352" s="2" t="str">
        <f>IF(Source!$E352=COLUMNS($A352:H352), LEFT(H351, LEN(H351)-Source!$C352), IF(Source!$G352=COLUMNS($A352:H352), H351&amp;RIGHT(INDIRECT(ADDRESS(ROW(H352)-1, Source!$E352)), Source!$C352), H351))</f>
        <v>SWTRD</v>
      </c>
      <c r="I352" s="2" t="str">
        <f>IF(Source!$E352=COLUMNS($A352:I352), LEFT(I351, LEN(I351)-Source!$C352), IF(Source!$G352=COLUMNS($A352:I352), I351&amp;RIGHT(INDIRECT(ADDRESS(ROW(I352)-1, Source!$E352)), Source!$C352), I351))</f>
        <v/>
      </c>
    </row>
    <row r="353">
      <c r="A353" s="2" t="str">
        <f>IF(Source!$E353=COLUMNS($A353:A353), LEFT(A352, LEN(A352)-Source!$C353), IF(Source!$G353=COLUMNS($A353:A353), A352&amp;RIGHT(INDIRECT(ADDRESS(ROW(A353)-1, Source!$E353)), Source!$C353), A352))</f>
        <v/>
      </c>
      <c r="B353" s="2" t="str">
        <f>IF(Source!$E353=COLUMNS($A353:B353), LEFT(B352, LEN(B352)-Source!$C353), IF(Source!$G353=COLUMNS($A353:B353), B352&amp;RIGHT(INDIRECT(ADDRESS(ROW(B353)-1, Source!$E353)), Source!$C353), B352))</f>
        <v/>
      </c>
      <c r="C353" s="2" t="str">
        <f>IF(Source!$E353=COLUMNS($A353:C353), LEFT(C352, LEN(C352)-Source!$C353), IF(Source!$G353=COLUMNS($A353:C353), C352&amp;RIGHT(INDIRECT(ADDRESS(ROW(C353)-1, Source!$E353)), Source!$C353), C352))</f>
        <v>RTPMQSVS</v>
      </c>
      <c r="D353" s="2" t="str">
        <f>IF(Source!$E353=COLUMNS($A353:D353), LEFT(D352, LEN(D352)-Source!$C353), IF(Source!$G353=COLUMNS($A353:D353), D352&amp;RIGHT(INDIRECT(ADDRESS(ROW(D353)-1, Source!$E353)), Source!$C353), D352))</f>
        <v>VCPGFD</v>
      </c>
      <c r="E353" s="2" t="str">
        <f>IF(Source!$E353=COLUMNS($A353:E353), LEFT(E352, LEN(E352)-Source!$C353), IF(Source!$G353=COLUMNS($A353:E353), E352&amp;RIGHT(INDIRECT(ADDRESS(ROW(E353)-1, Source!$E353)), Source!$C353), E352))</f>
        <v>MLQ</v>
      </c>
      <c r="F353" s="2" t="str">
        <f>IF(Source!$E353=COLUMNS($A353:F353), LEFT(F352, LEN(F352)-Source!$C353), IF(Source!$G353=COLUMNS($A353:F353), F352&amp;RIGHT(INDIRECT(ADDRESS(ROW(F353)-1, Source!$E353)), Source!$C353), F352))</f>
        <v>TJFLGTCVZBZHRZMBRBRJTLBDCWDJTP</v>
      </c>
      <c r="G353" s="2" t="str">
        <f>IF(Source!$E353=COLUMNS($A353:G353), LEFT(G352, LEN(G352)-Source!$C353), IF(Source!$G353=COLUMNS($A353:G353), G352&amp;RIGHT(INDIRECT(ADDRESS(ROW(G353)-1, Source!$E353)), Source!$C353), G352))</f>
        <v>DHDS</v>
      </c>
      <c r="H353" s="2" t="str">
        <f>IF(Source!$E353=COLUMNS($A353:H353), LEFT(H352, LEN(H352)-Source!$C353), IF(Source!$G353=COLUMNS($A353:H353), H352&amp;RIGHT(INDIRECT(ADDRESS(ROW(H353)-1, Source!$E353)), Source!$C353), H352))</f>
        <v>SWTRD</v>
      </c>
      <c r="I353" s="2" t="str">
        <f>IF(Source!$E353=COLUMNS($A353:I353), LEFT(I352, LEN(I352)-Source!$C353), IF(Source!$G353=COLUMNS($A353:I353), I352&amp;RIGHT(INDIRECT(ADDRESS(ROW(I353)-1, Source!$E353)), Source!$C353), I352))</f>
        <v/>
      </c>
    </row>
    <row r="354">
      <c r="A354" s="2" t="str">
        <f>IF(Source!$E354=COLUMNS($A354:A354), LEFT(A353, LEN(A353)-Source!$C354), IF(Source!$G354=COLUMNS($A354:A354), A353&amp;RIGHT(INDIRECT(ADDRESS(ROW(A354)-1, Source!$E354)), Source!$C354), A353))</f>
        <v/>
      </c>
      <c r="B354" s="2" t="str">
        <f>IF(Source!$E354=COLUMNS($A354:B354), LEFT(B353, LEN(B353)-Source!$C354), IF(Source!$G354=COLUMNS($A354:B354), B353&amp;RIGHT(INDIRECT(ADDRESS(ROW(B354)-1, Source!$E354)), Source!$C354), B353))</f>
        <v/>
      </c>
      <c r="C354" s="2" t="str">
        <f>IF(Source!$E354=COLUMNS($A354:C354), LEFT(C353, LEN(C353)-Source!$C354), IF(Source!$G354=COLUMNS($A354:C354), C353&amp;RIGHT(INDIRECT(ADDRESS(ROW(C354)-1, Source!$E354)), Source!$C354), C353))</f>
        <v>RTPMQSVS</v>
      </c>
      <c r="D354" s="2" t="str">
        <f>IF(Source!$E354=COLUMNS($A354:D354), LEFT(D353, LEN(D353)-Source!$C354), IF(Source!$G354=COLUMNS($A354:D354), D353&amp;RIGHT(INDIRECT(ADDRESS(ROW(D354)-1, Source!$E354)), Source!$C354), D353))</f>
        <v>VCPGFDDS</v>
      </c>
      <c r="E354" s="2" t="str">
        <f>IF(Source!$E354=COLUMNS($A354:E354), LEFT(E353, LEN(E353)-Source!$C354), IF(Source!$G354=COLUMNS($A354:E354), E353&amp;RIGHT(INDIRECT(ADDRESS(ROW(E354)-1, Source!$E354)), Source!$C354), E353))</f>
        <v>MLQ</v>
      </c>
      <c r="F354" s="2" t="str">
        <f>IF(Source!$E354=COLUMNS($A354:F354), LEFT(F353, LEN(F353)-Source!$C354), IF(Source!$G354=COLUMNS($A354:F354), F353&amp;RIGHT(INDIRECT(ADDRESS(ROW(F354)-1, Source!$E354)), Source!$C354), F353))</f>
        <v>TJFLGTCVZBZHRZMBRBRJTLBDCWDJTP</v>
      </c>
      <c r="G354" s="2" t="str">
        <f>IF(Source!$E354=COLUMNS($A354:G354), LEFT(G353, LEN(G353)-Source!$C354), IF(Source!$G354=COLUMNS($A354:G354), G353&amp;RIGHT(INDIRECT(ADDRESS(ROW(G354)-1, Source!$E354)), Source!$C354), G353))</f>
        <v>DH</v>
      </c>
      <c r="H354" s="2" t="str">
        <f>IF(Source!$E354=COLUMNS($A354:H354), LEFT(H353, LEN(H353)-Source!$C354), IF(Source!$G354=COLUMNS($A354:H354), H353&amp;RIGHT(INDIRECT(ADDRESS(ROW(H354)-1, Source!$E354)), Source!$C354), H353))</f>
        <v>SWTRD</v>
      </c>
      <c r="I354" s="2" t="str">
        <f>IF(Source!$E354=COLUMNS($A354:I354), LEFT(I353, LEN(I353)-Source!$C354), IF(Source!$G354=COLUMNS($A354:I354), I353&amp;RIGHT(INDIRECT(ADDRESS(ROW(I354)-1, Source!$E354)), Source!$C354), I353))</f>
        <v/>
      </c>
    </row>
    <row r="355">
      <c r="A355" s="2" t="str">
        <f>IF(Source!$E355=COLUMNS($A355:A355), LEFT(A354, LEN(A354)-Source!$C355), IF(Source!$G355=COLUMNS($A355:A355), A354&amp;RIGHT(INDIRECT(ADDRESS(ROW(A355)-1, Source!$E355)), Source!$C355), A354))</f>
        <v/>
      </c>
      <c r="B355" s="2" t="str">
        <f>IF(Source!$E355=COLUMNS($A355:B355), LEFT(B354, LEN(B354)-Source!$C355), IF(Source!$G355=COLUMNS($A355:B355), B354&amp;RIGHT(INDIRECT(ADDRESS(ROW(B355)-1, Source!$E355)), Source!$C355), B354))</f>
        <v/>
      </c>
      <c r="C355" s="2" t="str">
        <f>IF(Source!$E355=COLUMNS($A355:C355), LEFT(C354, LEN(C354)-Source!$C355), IF(Source!$G355=COLUMNS($A355:C355), C354&amp;RIGHT(INDIRECT(ADDRESS(ROW(C355)-1, Source!$E355)), Source!$C355), C354))</f>
        <v>RTPMQSVSDH</v>
      </c>
      <c r="D355" s="2" t="str">
        <f>IF(Source!$E355=COLUMNS($A355:D355), LEFT(D354, LEN(D354)-Source!$C355), IF(Source!$G355=COLUMNS($A355:D355), D354&amp;RIGHT(INDIRECT(ADDRESS(ROW(D355)-1, Source!$E355)), Source!$C355), D354))</f>
        <v>VCPGFDDS</v>
      </c>
      <c r="E355" s="2" t="str">
        <f>IF(Source!$E355=COLUMNS($A355:E355), LEFT(E354, LEN(E354)-Source!$C355), IF(Source!$G355=COLUMNS($A355:E355), E354&amp;RIGHT(INDIRECT(ADDRESS(ROW(E355)-1, Source!$E355)), Source!$C355), E354))</f>
        <v>MLQ</v>
      </c>
      <c r="F355" s="2" t="str">
        <f>IF(Source!$E355=COLUMNS($A355:F355), LEFT(F354, LEN(F354)-Source!$C355), IF(Source!$G355=COLUMNS($A355:F355), F354&amp;RIGHT(INDIRECT(ADDRESS(ROW(F355)-1, Source!$E355)), Source!$C355), F354))</f>
        <v>TJFLGTCVZBZHRZMBRBRJTLBDCWDJTP</v>
      </c>
      <c r="G355" s="2" t="str">
        <f>IF(Source!$E355=COLUMNS($A355:G355), LEFT(G354, LEN(G354)-Source!$C355), IF(Source!$G355=COLUMNS($A355:G355), G354&amp;RIGHT(INDIRECT(ADDRESS(ROW(G355)-1, Source!$E355)), Source!$C355), G354))</f>
        <v/>
      </c>
      <c r="H355" s="2" t="str">
        <f>IF(Source!$E355=COLUMNS($A355:H355), LEFT(H354, LEN(H354)-Source!$C355), IF(Source!$G355=COLUMNS($A355:H355), H354&amp;RIGHT(INDIRECT(ADDRESS(ROW(H355)-1, Source!$E355)), Source!$C355), H354))</f>
        <v>SWTRD</v>
      </c>
      <c r="I355" s="2" t="str">
        <f>IF(Source!$E355=COLUMNS($A355:I355), LEFT(I354, LEN(I354)-Source!$C355), IF(Source!$G355=COLUMNS($A355:I355), I354&amp;RIGHT(INDIRECT(ADDRESS(ROW(I355)-1, Source!$E355)), Source!$C355), I354))</f>
        <v/>
      </c>
    </row>
    <row r="356">
      <c r="A356" s="2" t="str">
        <f>IF(Source!$E356=COLUMNS($A356:A356), LEFT(A355, LEN(A355)-Source!$C356), IF(Source!$G356=COLUMNS($A356:A356), A355&amp;RIGHT(INDIRECT(ADDRESS(ROW(A356)-1, Source!$E356)), Source!$C356), A355))</f>
        <v/>
      </c>
      <c r="B356" s="2" t="str">
        <f>IF(Source!$E356=COLUMNS($A356:B356), LEFT(B355, LEN(B355)-Source!$C356), IF(Source!$G356=COLUMNS($A356:B356), B355&amp;RIGHT(INDIRECT(ADDRESS(ROW(B356)-1, Source!$E356)), Source!$C356), B355))</f>
        <v/>
      </c>
      <c r="C356" s="2" t="str">
        <f>IF(Source!$E356=COLUMNS($A356:C356), LEFT(C355, LEN(C355)-Source!$C356), IF(Source!$G356=COLUMNS($A356:C356), C355&amp;RIGHT(INDIRECT(ADDRESS(ROW(C356)-1, Source!$E356)), Source!$C356), C355))</f>
        <v>RTPMQSVSDH</v>
      </c>
      <c r="D356" s="2" t="str">
        <f>IF(Source!$E356=COLUMNS($A356:D356), LEFT(D355, LEN(D355)-Source!$C356), IF(Source!$G356=COLUMNS($A356:D356), D355&amp;RIGHT(INDIRECT(ADDRESS(ROW(D356)-1, Source!$E356)), Source!$C356), D355))</f>
        <v>VCP</v>
      </c>
      <c r="E356" s="2" t="str">
        <f>IF(Source!$E356=COLUMNS($A356:E356), LEFT(E355, LEN(E355)-Source!$C356), IF(Source!$G356=COLUMNS($A356:E356), E355&amp;RIGHT(INDIRECT(ADDRESS(ROW(E356)-1, Source!$E356)), Source!$C356), E355))</f>
        <v>MLQ</v>
      </c>
      <c r="F356" s="2" t="str">
        <f>IF(Source!$E356=COLUMNS($A356:F356), LEFT(F355, LEN(F355)-Source!$C356), IF(Source!$G356=COLUMNS($A356:F356), F355&amp;RIGHT(INDIRECT(ADDRESS(ROW(F356)-1, Source!$E356)), Source!$C356), F355))</f>
        <v>TJFLGTCVZBZHRZMBRBRJTLBDCWDJTPGFDDS</v>
      </c>
      <c r="G356" s="2" t="str">
        <f>IF(Source!$E356=COLUMNS($A356:G356), LEFT(G355, LEN(G355)-Source!$C356), IF(Source!$G356=COLUMNS($A356:G356), G355&amp;RIGHT(INDIRECT(ADDRESS(ROW(G356)-1, Source!$E356)), Source!$C356), G355))</f>
        <v/>
      </c>
      <c r="H356" s="2" t="str">
        <f>IF(Source!$E356=COLUMNS($A356:H356), LEFT(H355, LEN(H355)-Source!$C356), IF(Source!$G356=COLUMNS($A356:H356), H355&amp;RIGHT(INDIRECT(ADDRESS(ROW(H356)-1, Source!$E356)), Source!$C356), H355))</f>
        <v>SWTRD</v>
      </c>
      <c r="I356" s="2" t="str">
        <f>IF(Source!$E356=COLUMNS($A356:I356), LEFT(I355, LEN(I355)-Source!$C356), IF(Source!$G356=COLUMNS($A356:I356), I355&amp;RIGHT(INDIRECT(ADDRESS(ROW(I356)-1, Source!$E356)), Source!$C356), I355))</f>
        <v/>
      </c>
    </row>
    <row r="357">
      <c r="A357" s="2" t="str">
        <f>IF(Source!$E357=COLUMNS($A357:A357), LEFT(A356, LEN(A356)-Source!$C357), IF(Source!$G357=COLUMNS($A357:A357), A356&amp;RIGHT(INDIRECT(ADDRESS(ROW(A357)-1, Source!$E357)), Source!$C357), A356))</f>
        <v/>
      </c>
      <c r="B357" s="2" t="str">
        <f>IF(Source!$E357=COLUMNS($A357:B357), LEFT(B356, LEN(B356)-Source!$C357), IF(Source!$G357=COLUMNS($A357:B357), B356&amp;RIGHT(INDIRECT(ADDRESS(ROW(B357)-1, Source!$E357)), Source!$C357), B356))</f>
        <v>D</v>
      </c>
      <c r="C357" s="2" t="str">
        <f>IF(Source!$E357=COLUMNS($A357:C357), LEFT(C356, LEN(C356)-Source!$C357), IF(Source!$G357=COLUMNS($A357:C357), C356&amp;RIGHT(INDIRECT(ADDRESS(ROW(C357)-1, Source!$E357)), Source!$C357), C356))</f>
        <v>RTPMQSVSDH</v>
      </c>
      <c r="D357" s="2" t="str">
        <f>IF(Source!$E357=COLUMNS($A357:D357), LEFT(D356, LEN(D356)-Source!$C357), IF(Source!$G357=COLUMNS($A357:D357), D356&amp;RIGHT(INDIRECT(ADDRESS(ROW(D357)-1, Source!$E357)), Source!$C357), D356))</f>
        <v>VCP</v>
      </c>
      <c r="E357" s="2" t="str">
        <f>IF(Source!$E357=COLUMNS($A357:E357), LEFT(E356, LEN(E356)-Source!$C357), IF(Source!$G357=COLUMNS($A357:E357), E356&amp;RIGHT(INDIRECT(ADDRESS(ROW(E357)-1, Source!$E357)), Source!$C357), E356))</f>
        <v>MLQ</v>
      </c>
      <c r="F357" s="2" t="str">
        <f>IF(Source!$E357=COLUMNS($A357:F357), LEFT(F356, LEN(F356)-Source!$C357), IF(Source!$G357=COLUMNS($A357:F357), F356&amp;RIGHT(INDIRECT(ADDRESS(ROW(F357)-1, Source!$E357)), Source!$C357), F356))</f>
        <v>TJFLGTCVZBZHRZMBRBRJTLBDCWDJTPGFDDS</v>
      </c>
      <c r="G357" s="2" t="str">
        <f>IF(Source!$E357=COLUMNS($A357:G357), LEFT(G356, LEN(G356)-Source!$C357), IF(Source!$G357=COLUMNS($A357:G357), G356&amp;RIGHT(INDIRECT(ADDRESS(ROW(G357)-1, Source!$E357)), Source!$C357), G356))</f>
        <v/>
      </c>
      <c r="H357" s="2" t="str">
        <f>IF(Source!$E357=COLUMNS($A357:H357), LEFT(H356, LEN(H356)-Source!$C357), IF(Source!$G357=COLUMNS($A357:H357), H356&amp;RIGHT(INDIRECT(ADDRESS(ROW(H357)-1, Source!$E357)), Source!$C357), H356))</f>
        <v>SWTR</v>
      </c>
      <c r="I357" s="2" t="str">
        <f>IF(Source!$E357=COLUMNS($A357:I357), LEFT(I356, LEN(I356)-Source!$C357), IF(Source!$G357=COLUMNS($A357:I357), I356&amp;RIGHT(INDIRECT(ADDRESS(ROW(I357)-1, Source!$E357)), Source!$C357), I356))</f>
        <v/>
      </c>
    </row>
    <row r="358">
      <c r="A358" s="2" t="str">
        <f>IF(Source!$E358=COLUMNS($A358:A358), LEFT(A357, LEN(A357)-Source!$C358), IF(Source!$G358=COLUMNS($A358:A358), A357&amp;RIGHT(INDIRECT(ADDRESS(ROW(A358)-1, Source!$E358)), Source!$C358), A357))</f>
        <v/>
      </c>
      <c r="B358" s="2" t="str">
        <f>IF(Source!$E358=COLUMNS($A358:B358), LEFT(B357, LEN(B357)-Source!$C358), IF(Source!$G358=COLUMNS($A358:B358), B357&amp;RIGHT(INDIRECT(ADDRESS(ROW(B358)-1, Source!$E358)), Source!$C358), B357))</f>
        <v/>
      </c>
      <c r="C358" s="2" t="str">
        <f>IF(Source!$E358=COLUMNS($A358:C358), LEFT(C357, LEN(C357)-Source!$C358), IF(Source!$G358=COLUMNS($A358:C358), C357&amp;RIGHT(INDIRECT(ADDRESS(ROW(C358)-1, Source!$E358)), Source!$C358), C357))</f>
        <v>RTPMQSVSDH</v>
      </c>
      <c r="D358" s="2" t="str">
        <f>IF(Source!$E358=COLUMNS($A358:D358), LEFT(D357, LEN(D357)-Source!$C358), IF(Source!$G358=COLUMNS($A358:D358), D357&amp;RIGHT(INDIRECT(ADDRESS(ROW(D358)-1, Source!$E358)), Source!$C358), D357))</f>
        <v>VCPD</v>
      </c>
      <c r="E358" s="2" t="str">
        <f>IF(Source!$E358=COLUMNS($A358:E358), LEFT(E357, LEN(E357)-Source!$C358), IF(Source!$G358=COLUMNS($A358:E358), E357&amp;RIGHT(INDIRECT(ADDRESS(ROW(E358)-1, Source!$E358)), Source!$C358), E357))</f>
        <v>MLQ</v>
      </c>
      <c r="F358" s="2" t="str">
        <f>IF(Source!$E358=COLUMNS($A358:F358), LEFT(F357, LEN(F357)-Source!$C358), IF(Source!$G358=COLUMNS($A358:F358), F357&amp;RIGHT(INDIRECT(ADDRESS(ROW(F358)-1, Source!$E358)), Source!$C358), F357))</f>
        <v>TJFLGTCVZBZHRZMBRBRJTLBDCWDJTPGFDDS</v>
      </c>
      <c r="G358" s="2" t="str">
        <f>IF(Source!$E358=COLUMNS($A358:G358), LEFT(G357, LEN(G357)-Source!$C358), IF(Source!$G358=COLUMNS($A358:G358), G357&amp;RIGHT(INDIRECT(ADDRESS(ROW(G358)-1, Source!$E358)), Source!$C358), G357))</f>
        <v/>
      </c>
      <c r="H358" s="2" t="str">
        <f>IF(Source!$E358=COLUMNS($A358:H358), LEFT(H357, LEN(H357)-Source!$C358), IF(Source!$G358=COLUMNS($A358:H358), H357&amp;RIGHT(INDIRECT(ADDRESS(ROW(H358)-1, Source!$E358)), Source!$C358), H357))</f>
        <v>SWTR</v>
      </c>
      <c r="I358" s="2" t="str">
        <f>IF(Source!$E358=COLUMNS($A358:I358), LEFT(I357, LEN(I357)-Source!$C358), IF(Source!$G358=COLUMNS($A358:I358), I357&amp;RIGHT(INDIRECT(ADDRESS(ROW(I358)-1, Source!$E358)), Source!$C358), I357))</f>
        <v/>
      </c>
    </row>
    <row r="359">
      <c r="A359" s="2" t="str">
        <f>IF(Source!$E359=COLUMNS($A359:A359), LEFT(A358, LEN(A358)-Source!$C359), IF(Source!$G359=COLUMNS($A359:A359), A358&amp;RIGHT(INDIRECT(ADDRESS(ROW(A359)-1, Source!$E359)), Source!$C359), A358))</f>
        <v/>
      </c>
      <c r="B359" s="2" t="str">
        <f>IF(Source!$E359=COLUMNS($A359:B359), LEFT(B358, LEN(B358)-Source!$C359), IF(Source!$G359=COLUMNS($A359:B359), B358&amp;RIGHT(INDIRECT(ADDRESS(ROW(B359)-1, Source!$E359)), Source!$C359), B358))</f>
        <v/>
      </c>
      <c r="C359" s="2" t="str">
        <f>IF(Source!$E359=COLUMNS($A359:C359), LEFT(C358, LEN(C358)-Source!$C359), IF(Source!$G359=COLUMNS($A359:C359), C358&amp;RIGHT(INDIRECT(ADDRESS(ROW(C359)-1, Source!$E359)), Source!$C359), C358))</f>
        <v/>
      </c>
      <c r="D359" s="2" t="str">
        <f>IF(Source!$E359=COLUMNS($A359:D359), LEFT(D358, LEN(D358)-Source!$C359), IF(Source!$G359=COLUMNS($A359:D359), D358&amp;RIGHT(INDIRECT(ADDRESS(ROW(D359)-1, Source!$E359)), Source!$C359), D358))</f>
        <v>VCPD</v>
      </c>
      <c r="E359" s="2" t="str">
        <f>IF(Source!$E359=COLUMNS($A359:E359), LEFT(E358, LEN(E358)-Source!$C359), IF(Source!$G359=COLUMNS($A359:E359), E358&amp;RIGHT(INDIRECT(ADDRESS(ROW(E359)-1, Source!$E359)), Source!$C359), E358))</f>
        <v>MLQ</v>
      </c>
      <c r="F359" s="2" t="str">
        <f>IF(Source!$E359=COLUMNS($A359:F359), LEFT(F358, LEN(F358)-Source!$C359), IF(Source!$G359=COLUMNS($A359:F359), F358&amp;RIGHT(INDIRECT(ADDRESS(ROW(F359)-1, Source!$E359)), Source!$C359), F358))</f>
        <v>TJFLGTCVZBZHRZMBRBRJTLBDCWDJTPGFDDSRTPMQSVSDH</v>
      </c>
      <c r="G359" s="2" t="str">
        <f>IF(Source!$E359=COLUMNS($A359:G359), LEFT(G358, LEN(G358)-Source!$C359), IF(Source!$G359=COLUMNS($A359:G359), G358&amp;RIGHT(INDIRECT(ADDRESS(ROW(G359)-1, Source!$E359)), Source!$C359), G358))</f>
        <v/>
      </c>
      <c r="H359" s="2" t="str">
        <f>IF(Source!$E359=COLUMNS($A359:H359), LEFT(H358, LEN(H358)-Source!$C359), IF(Source!$G359=COLUMNS($A359:H359), H358&amp;RIGHT(INDIRECT(ADDRESS(ROW(H359)-1, Source!$E359)), Source!$C359), H358))</f>
        <v>SWTR</v>
      </c>
      <c r="I359" s="2" t="str">
        <f>IF(Source!$E359=COLUMNS($A359:I359), LEFT(I358, LEN(I358)-Source!$C359), IF(Source!$G359=COLUMNS($A359:I359), I358&amp;RIGHT(INDIRECT(ADDRESS(ROW(I359)-1, Source!$E359)), Source!$C359), I358))</f>
        <v/>
      </c>
    </row>
    <row r="360">
      <c r="A360" s="2" t="str">
        <f>IF(Source!$E360=COLUMNS($A360:A360), LEFT(A359, LEN(A359)-Source!$C360), IF(Source!$G360=COLUMNS($A360:A360), A359&amp;RIGHT(INDIRECT(ADDRESS(ROW(A360)-1, Source!$E360)), Source!$C360), A359))</f>
        <v/>
      </c>
      <c r="B360" s="2" t="str">
        <f>IF(Source!$E360=COLUMNS($A360:B360), LEFT(B359, LEN(B359)-Source!$C360), IF(Source!$G360=COLUMNS($A360:B360), B359&amp;RIGHT(INDIRECT(ADDRESS(ROW(B360)-1, Source!$E360)), Source!$C360), B359))</f>
        <v/>
      </c>
      <c r="C360" s="2" t="str">
        <f>IF(Source!$E360=COLUMNS($A360:C360), LEFT(C359, LEN(C359)-Source!$C360), IF(Source!$G360=COLUMNS($A360:C360), C359&amp;RIGHT(INDIRECT(ADDRESS(ROW(C360)-1, Source!$E360)), Source!$C360), C359))</f>
        <v/>
      </c>
      <c r="D360" s="2" t="str">
        <f>IF(Source!$E360=COLUMNS($A360:D360), LEFT(D359, LEN(D359)-Source!$C360), IF(Source!$G360=COLUMNS($A360:D360), D359&amp;RIGHT(INDIRECT(ADDRESS(ROW(D360)-1, Source!$E360)), Source!$C360), D359))</f>
        <v>VCPD</v>
      </c>
      <c r="E360" s="2" t="str">
        <f>IF(Source!$E360=COLUMNS($A360:E360), LEFT(E359, LEN(E359)-Source!$C360), IF(Source!$G360=COLUMNS($A360:E360), E359&amp;RIGHT(INDIRECT(ADDRESS(ROW(E360)-1, Source!$E360)), Source!$C360), E359))</f>
        <v>MLQ</v>
      </c>
      <c r="F360" s="2" t="str">
        <f>IF(Source!$E360=COLUMNS($A360:F360), LEFT(F359, LEN(F359)-Source!$C360), IF(Source!$G360=COLUMNS($A360:F360), F359&amp;RIGHT(INDIRECT(ADDRESS(ROW(F360)-1, Source!$E360)), Source!$C360), F359))</f>
        <v>T</v>
      </c>
      <c r="G360" s="2" t="str">
        <f>IF(Source!$E360=COLUMNS($A360:G360), LEFT(G359, LEN(G359)-Source!$C360), IF(Source!$G360=COLUMNS($A360:G360), G359&amp;RIGHT(INDIRECT(ADDRESS(ROW(G360)-1, Source!$E360)), Source!$C360), G359))</f>
        <v/>
      </c>
      <c r="H360" s="2" t="str">
        <f>IF(Source!$E360=COLUMNS($A360:H360), LEFT(H359, LEN(H359)-Source!$C360), IF(Source!$G360=COLUMNS($A360:H360), H359&amp;RIGHT(INDIRECT(ADDRESS(ROW(H360)-1, Source!$E360)), Source!$C360), H359))</f>
        <v>SWTR</v>
      </c>
      <c r="I360" s="2" t="str">
        <f>IF(Source!$E360=COLUMNS($A360:I360), LEFT(I359, LEN(I359)-Source!$C360), IF(Source!$G360=COLUMNS($A360:I360), I359&amp;RIGHT(INDIRECT(ADDRESS(ROW(I360)-1, Source!$E360)), Source!$C360), I359))</f>
        <v>JFLGTCVZBZHRZMBRBRJTLBDCWDJTPGFDDSRTPMQSVSDH</v>
      </c>
    </row>
    <row r="361">
      <c r="A361" s="2" t="str">
        <f>IF(Source!$E361=COLUMNS($A361:A361), LEFT(A360, LEN(A360)-Source!$C361), IF(Source!$G361=COLUMNS($A361:A361), A360&amp;RIGHT(INDIRECT(ADDRESS(ROW(A361)-1, Source!$E361)), Source!$C361), A360))</f>
        <v/>
      </c>
      <c r="B361" s="2" t="str">
        <f>IF(Source!$E361=COLUMNS($A361:B361), LEFT(B360, LEN(B360)-Source!$C361), IF(Source!$G361=COLUMNS($A361:B361), B360&amp;RIGHT(INDIRECT(ADDRESS(ROW(B361)-1, Source!$E361)), Source!$C361), B360))</f>
        <v/>
      </c>
      <c r="C361" s="2" t="str">
        <f>IF(Source!$E361=COLUMNS($A361:C361), LEFT(C360, LEN(C360)-Source!$C361), IF(Source!$G361=COLUMNS($A361:C361), C360&amp;RIGHT(INDIRECT(ADDRESS(ROW(C361)-1, Source!$E361)), Source!$C361), C360))</f>
        <v/>
      </c>
      <c r="D361" s="2" t="str">
        <f>IF(Source!$E361=COLUMNS($A361:D361), LEFT(D360, LEN(D360)-Source!$C361), IF(Source!$G361=COLUMNS($A361:D361), D360&amp;RIGHT(INDIRECT(ADDRESS(ROW(D361)-1, Source!$E361)), Source!$C361), D360))</f>
        <v>VCPD</v>
      </c>
      <c r="E361" s="2" t="str">
        <f>IF(Source!$E361=COLUMNS($A361:E361), LEFT(E360, LEN(E360)-Source!$C361), IF(Source!$G361=COLUMNS($A361:E361), E360&amp;RIGHT(INDIRECT(ADDRESS(ROW(E361)-1, Source!$E361)), Source!$C361), E360))</f>
        <v>M</v>
      </c>
      <c r="F361" s="2" t="str">
        <f>IF(Source!$E361=COLUMNS($A361:F361), LEFT(F360, LEN(F360)-Source!$C361), IF(Source!$G361=COLUMNS($A361:F361), F360&amp;RIGHT(INDIRECT(ADDRESS(ROW(F361)-1, Source!$E361)), Source!$C361), F360))</f>
        <v>T</v>
      </c>
      <c r="G361" s="2" t="str">
        <f>IF(Source!$E361=COLUMNS($A361:G361), LEFT(G360, LEN(G360)-Source!$C361), IF(Source!$G361=COLUMNS($A361:G361), G360&amp;RIGHT(INDIRECT(ADDRESS(ROW(G361)-1, Source!$E361)), Source!$C361), G360))</f>
        <v>LQ</v>
      </c>
      <c r="H361" s="2" t="str">
        <f>IF(Source!$E361=COLUMNS($A361:H361), LEFT(H360, LEN(H360)-Source!$C361), IF(Source!$G361=COLUMNS($A361:H361), H360&amp;RIGHT(INDIRECT(ADDRESS(ROW(H361)-1, Source!$E361)), Source!$C361), H360))</f>
        <v>SWTR</v>
      </c>
      <c r="I361" s="2" t="str">
        <f>IF(Source!$E361=COLUMNS($A361:I361), LEFT(I360, LEN(I360)-Source!$C361), IF(Source!$G361=COLUMNS($A361:I361), I360&amp;RIGHT(INDIRECT(ADDRESS(ROW(I361)-1, Source!$E361)), Source!$C361), I360))</f>
        <v>JFLGTCVZBZHRZMBRBRJTLBDCWDJTPGFDDSRTPMQSVSDH</v>
      </c>
    </row>
    <row r="362">
      <c r="A362" s="2" t="str">
        <f>IF(Source!$E362=COLUMNS($A362:A362), LEFT(A361, LEN(A361)-Source!$C362), IF(Source!$G362=COLUMNS($A362:A362), A361&amp;RIGHT(INDIRECT(ADDRESS(ROW(A362)-1, Source!$E362)), Source!$C362), A361))</f>
        <v/>
      </c>
      <c r="B362" s="2" t="str">
        <f>IF(Source!$E362=COLUMNS($A362:B362), LEFT(B361, LEN(B361)-Source!$C362), IF(Source!$G362=COLUMNS($A362:B362), B361&amp;RIGHT(INDIRECT(ADDRESS(ROW(B362)-1, Source!$E362)), Source!$C362), B361))</f>
        <v/>
      </c>
      <c r="C362" s="2" t="str">
        <f>IF(Source!$E362=COLUMNS($A362:C362), LEFT(C361, LEN(C361)-Source!$C362), IF(Source!$G362=COLUMNS($A362:C362), C361&amp;RIGHT(INDIRECT(ADDRESS(ROW(C362)-1, Source!$E362)), Source!$C362), C361))</f>
        <v/>
      </c>
      <c r="D362" s="2" t="str">
        <f>IF(Source!$E362=COLUMNS($A362:D362), LEFT(D361, LEN(D361)-Source!$C362), IF(Source!$G362=COLUMNS($A362:D362), D361&amp;RIGHT(INDIRECT(ADDRESS(ROW(D362)-1, Source!$E362)), Source!$C362), D361))</f>
        <v>VCPD</v>
      </c>
      <c r="E362" s="2" t="str">
        <f>IF(Source!$E362=COLUMNS($A362:E362), LEFT(E361, LEN(E361)-Source!$C362), IF(Source!$G362=COLUMNS($A362:E362), E361&amp;RIGHT(INDIRECT(ADDRESS(ROW(E362)-1, Source!$E362)), Source!$C362), E361))</f>
        <v/>
      </c>
      <c r="F362" s="2" t="str">
        <f>IF(Source!$E362=COLUMNS($A362:F362), LEFT(F361, LEN(F361)-Source!$C362), IF(Source!$G362=COLUMNS($A362:F362), F361&amp;RIGHT(INDIRECT(ADDRESS(ROW(F362)-1, Source!$E362)), Source!$C362), F361))</f>
        <v>T</v>
      </c>
      <c r="G362" s="2" t="str">
        <f>IF(Source!$E362=COLUMNS($A362:G362), LEFT(G361, LEN(G361)-Source!$C362), IF(Source!$G362=COLUMNS($A362:G362), G361&amp;RIGHT(INDIRECT(ADDRESS(ROW(G362)-1, Source!$E362)), Source!$C362), G361))</f>
        <v>LQ</v>
      </c>
      <c r="H362" s="2" t="str">
        <f>IF(Source!$E362=COLUMNS($A362:H362), LEFT(H361, LEN(H361)-Source!$C362), IF(Source!$G362=COLUMNS($A362:H362), H361&amp;RIGHT(INDIRECT(ADDRESS(ROW(H362)-1, Source!$E362)), Source!$C362), H361))</f>
        <v>SWTRM</v>
      </c>
      <c r="I362" s="2" t="str">
        <f>IF(Source!$E362=COLUMNS($A362:I362), LEFT(I361, LEN(I361)-Source!$C362), IF(Source!$G362=COLUMNS($A362:I362), I361&amp;RIGHT(INDIRECT(ADDRESS(ROW(I362)-1, Source!$E362)), Source!$C362), I361))</f>
        <v>JFLGTCVZBZHRZMBRBRJTLBDCWDJTPGFDDSRTPMQSVSDH</v>
      </c>
    </row>
    <row r="363">
      <c r="A363" s="2" t="str">
        <f>IF(Source!$E363=COLUMNS($A363:A363), LEFT(A362, LEN(A362)-Source!$C363), IF(Source!$G363=COLUMNS($A363:A363), A362&amp;RIGHT(INDIRECT(ADDRESS(ROW(A363)-1, Source!$E363)), Source!$C363), A362))</f>
        <v>GTCVZBZHRZMBRBRJTLBDCWDJTPGFDDSRTPMQSVSDH</v>
      </c>
      <c r="B363" s="2" t="str">
        <f>IF(Source!$E363=COLUMNS($A363:B363), LEFT(B362, LEN(B362)-Source!$C363), IF(Source!$G363=COLUMNS($A363:B363), B362&amp;RIGHT(INDIRECT(ADDRESS(ROW(B363)-1, Source!$E363)), Source!$C363), B362))</f>
        <v/>
      </c>
      <c r="C363" s="2" t="str">
        <f>IF(Source!$E363=COLUMNS($A363:C363), LEFT(C362, LEN(C362)-Source!$C363), IF(Source!$G363=COLUMNS($A363:C363), C362&amp;RIGHT(INDIRECT(ADDRESS(ROW(C363)-1, Source!$E363)), Source!$C363), C362))</f>
        <v/>
      </c>
      <c r="D363" s="2" t="str">
        <f>IF(Source!$E363=COLUMNS($A363:D363), LEFT(D362, LEN(D362)-Source!$C363), IF(Source!$G363=COLUMNS($A363:D363), D362&amp;RIGHT(INDIRECT(ADDRESS(ROW(D363)-1, Source!$E363)), Source!$C363), D362))</f>
        <v>VCPD</v>
      </c>
      <c r="E363" s="2" t="str">
        <f>IF(Source!$E363=COLUMNS($A363:E363), LEFT(E362, LEN(E362)-Source!$C363), IF(Source!$G363=COLUMNS($A363:E363), E362&amp;RIGHT(INDIRECT(ADDRESS(ROW(E363)-1, Source!$E363)), Source!$C363), E362))</f>
        <v/>
      </c>
      <c r="F363" s="2" t="str">
        <f>IF(Source!$E363=COLUMNS($A363:F363), LEFT(F362, LEN(F362)-Source!$C363), IF(Source!$G363=COLUMNS($A363:F363), F362&amp;RIGHT(INDIRECT(ADDRESS(ROW(F363)-1, Source!$E363)), Source!$C363), F362))</f>
        <v>T</v>
      </c>
      <c r="G363" s="2" t="str">
        <f>IF(Source!$E363=COLUMNS($A363:G363), LEFT(G362, LEN(G362)-Source!$C363), IF(Source!$G363=COLUMNS($A363:G363), G362&amp;RIGHT(INDIRECT(ADDRESS(ROW(G363)-1, Source!$E363)), Source!$C363), G362))</f>
        <v>LQ</v>
      </c>
      <c r="H363" s="2" t="str">
        <f>IF(Source!$E363=COLUMNS($A363:H363), LEFT(H362, LEN(H362)-Source!$C363), IF(Source!$G363=COLUMNS($A363:H363), H362&amp;RIGHT(INDIRECT(ADDRESS(ROW(H363)-1, Source!$E363)), Source!$C363), H362))</f>
        <v>SWTRM</v>
      </c>
      <c r="I363" s="2" t="str">
        <f>IF(Source!$E363=COLUMNS($A363:I363), LEFT(I362, LEN(I362)-Source!$C363), IF(Source!$G363=COLUMNS($A363:I363), I362&amp;RIGHT(INDIRECT(ADDRESS(ROW(I363)-1, Source!$E363)), Source!$C363), I362))</f>
        <v>JFL</v>
      </c>
    </row>
    <row r="364">
      <c r="A364" s="2" t="str">
        <f>IF(Source!$E364=COLUMNS($A364:A364), LEFT(A363, LEN(A363)-Source!$C364), IF(Source!$G364=COLUMNS($A364:A364), A363&amp;RIGHT(INDIRECT(ADDRESS(ROW(A364)-1, Source!$E364)), Source!$C364), A363))</f>
        <v>GTCVZBZHRZMBRBRJTLBDCWDJTPGFDDSRTPMQSVSDH</v>
      </c>
      <c r="B364" s="2" t="str">
        <f>IF(Source!$E364=COLUMNS($A364:B364), LEFT(B363, LEN(B363)-Source!$C364), IF(Source!$G364=COLUMNS($A364:B364), B363&amp;RIGHT(INDIRECT(ADDRESS(ROW(B364)-1, Source!$E364)), Source!$C364), B363))</f>
        <v/>
      </c>
      <c r="C364" s="2" t="str">
        <f>IF(Source!$E364=COLUMNS($A364:C364), LEFT(C363, LEN(C363)-Source!$C364), IF(Source!$G364=COLUMNS($A364:C364), C363&amp;RIGHT(INDIRECT(ADDRESS(ROW(C364)-1, Source!$E364)), Source!$C364), C363))</f>
        <v/>
      </c>
      <c r="D364" s="2" t="str">
        <f>IF(Source!$E364=COLUMNS($A364:D364), LEFT(D363, LEN(D363)-Source!$C364), IF(Source!$G364=COLUMNS($A364:D364), D363&amp;RIGHT(INDIRECT(ADDRESS(ROW(D364)-1, Source!$E364)), Source!$C364), D363))</f>
        <v>VCPDT</v>
      </c>
      <c r="E364" s="2" t="str">
        <f>IF(Source!$E364=COLUMNS($A364:E364), LEFT(E363, LEN(E363)-Source!$C364), IF(Source!$G364=COLUMNS($A364:E364), E363&amp;RIGHT(INDIRECT(ADDRESS(ROW(E364)-1, Source!$E364)), Source!$C364), E363))</f>
        <v/>
      </c>
      <c r="F364" s="2" t="str">
        <f>IF(Source!$E364=COLUMNS($A364:F364), LEFT(F363, LEN(F363)-Source!$C364), IF(Source!$G364=COLUMNS($A364:F364), F363&amp;RIGHT(INDIRECT(ADDRESS(ROW(F364)-1, Source!$E364)), Source!$C364), F363))</f>
        <v/>
      </c>
      <c r="G364" s="2" t="str">
        <f>IF(Source!$E364=COLUMNS($A364:G364), LEFT(G363, LEN(G363)-Source!$C364), IF(Source!$G364=COLUMNS($A364:G364), G363&amp;RIGHT(INDIRECT(ADDRESS(ROW(G364)-1, Source!$E364)), Source!$C364), G363))</f>
        <v>LQ</v>
      </c>
      <c r="H364" s="2" t="str">
        <f>IF(Source!$E364=COLUMNS($A364:H364), LEFT(H363, LEN(H363)-Source!$C364), IF(Source!$G364=COLUMNS($A364:H364), H363&amp;RIGHT(INDIRECT(ADDRESS(ROW(H364)-1, Source!$E364)), Source!$C364), H363))</f>
        <v>SWTRM</v>
      </c>
      <c r="I364" s="2" t="str">
        <f>IF(Source!$E364=COLUMNS($A364:I364), LEFT(I363, LEN(I363)-Source!$C364), IF(Source!$G364=COLUMNS($A364:I364), I363&amp;RIGHT(INDIRECT(ADDRESS(ROW(I364)-1, Source!$E364)), Source!$C364), I363))</f>
        <v>JFL</v>
      </c>
    </row>
    <row r="365">
      <c r="A365" s="2" t="str">
        <f>IF(Source!$E365=COLUMNS($A365:A365), LEFT(A364, LEN(A364)-Source!$C365), IF(Source!$G365=COLUMNS($A365:A365), A364&amp;RIGHT(INDIRECT(ADDRESS(ROW(A365)-1, Source!$E365)), Source!$C365), A364))</f>
        <v>GTCVZBZHRZMBRBRJTLBDCWDJTPGFDDSRTPMQSVSDHRM</v>
      </c>
      <c r="B365" s="2" t="str">
        <f>IF(Source!$E365=COLUMNS($A365:B365), LEFT(B364, LEN(B364)-Source!$C365), IF(Source!$G365=COLUMNS($A365:B365), B364&amp;RIGHT(INDIRECT(ADDRESS(ROW(B365)-1, Source!$E365)), Source!$C365), B364))</f>
        <v/>
      </c>
      <c r="C365" s="2" t="str">
        <f>IF(Source!$E365=COLUMNS($A365:C365), LEFT(C364, LEN(C364)-Source!$C365), IF(Source!$G365=COLUMNS($A365:C365), C364&amp;RIGHT(INDIRECT(ADDRESS(ROW(C365)-1, Source!$E365)), Source!$C365), C364))</f>
        <v/>
      </c>
      <c r="D365" s="2" t="str">
        <f>IF(Source!$E365=COLUMNS($A365:D365), LEFT(D364, LEN(D364)-Source!$C365), IF(Source!$G365=COLUMNS($A365:D365), D364&amp;RIGHT(INDIRECT(ADDRESS(ROW(D365)-1, Source!$E365)), Source!$C365), D364))</f>
        <v>VCPDT</v>
      </c>
      <c r="E365" s="2" t="str">
        <f>IF(Source!$E365=COLUMNS($A365:E365), LEFT(E364, LEN(E364)-Source!$C365), IF(Source!$G365=COLUMNS($A365:E365), E364&amp;RIGHT(INDIRECT(ADDRESS(ROW(E365)-1, Source!$E365)), Source!$C365), E364))</f>
        <v/>
      </c>
      <c r="F365" s="2" t="str">
        <f>IF(Source!$E365=COLUMNS($A365:F365), LEFT(F364, LEN(F364)-Source!$C365), IF(Source!$G365=COLUMNS($A365:F365), F364&amp;RIGHT(INDIRECT(ADDRESS(ROW(F365)-1, Source!$E365)), Source!$C365), F364))</f>
        <v/>
      </c>
      <c r="G365" s="2" t="str">
        <f>IF(Source!$E365=COLUMNS($A365:G365), LEFT(G364, LEN(G364)-Source!$C365), IF(Source!$G365=COLUMNS($A365:G365), G364&amp;RIGHT(INDIRECT(ADDRESS(ROW(G365)-1, Source!$E365)), Source!$C365), G364))</f>
        <v>LQ</v>
      </c>
      <c r="H365" s="2" t="str">
        <f>IF(Source!$E365=COLUMNS($A365:H365), LEFT(H364, LEN(H364)-Source!$C365), IF(Source!$G365=COLUMNS($A365:H365), H364&amp;RIGHT(INDIRECT(ADDRESS(ROW(H365)-1, Source!$E365)), Source!$C365), H364))</f>
        <v>SWT</v>
      </c>
      <c r="I365" s="2" t="str">
        <f>IF(Source!$E365=COLUMNS($A365:I365), LEFT(I364, LEN(I364)-Source!$C365), IF(Source!$G365=COLUMNS($A365:I365), I364&amp;RIGHT(INDIRECT(ADDRESS(ROW(I365)-1, Source!$E365)), Source!$C365), I364))</f>
        <v>JFL</v>
      </c>
    </row>
    <row r="366">
      <c r="A366" s="2" t="str">
        <f>IF(Source!$E366=COLUMNS($A366:A366), LEFT(A365, LEN(A365)-Source!$C366), IF(Source!$G366=COLUMNS($A366:A366), A365&amp;RIGHT(INDIRECT(ADDRESS(ROW(A366)-1, Source!$E366)), Source!$C366), A365))</f>
        <v>GTCVZBZHRZMBRBRJTLBDCWDJTPGFDDSRTPMQSVSDHRM</v>
      </c>
      <c r="B366" s="2" t="str">
        <f>IF(Source!$E366=COLUMNS($A366:B366), LEFT(B365, LEN(B365)-Source!$C366), IF(Source!$G366=COLUMNS($A366:B366), B365&amp;RIGHT(INDIRECT(ADDRESS(ROW(B366)-1, Source!$E366)), Source!$C366), B365))</f>
        <v/>
      </c>
      <c r="C366" s="2" t="str">
        <f>IF(Source!$E366=COLUMNS($A366:C366), LEFT(C365, LEN(C365)-Source!$C366), IF(Source!$G366=COLUMNS($A366:C366), C365&amp;RIGHT(INDIRECT(ADDRESS(ROW(C366)-1, Source!$E366)), Source!$C366), C365))</f>
        <v>Q</v>
      </c>
      <c r="D366" s="2" t="str">
        <f>IF(Source!$E366=COLUMNS($A366:D366), LEFT(D365, LEN(D365)-Source!$C366), IF(Source!$G366=COLUMNS($A366:D366), D365&amp;RIGHT(INDIRECT(ADDRESS(ROW(D366)-1, Source!$E366)), Source!$C366), D365))</f>
        <v>VCPDT</v>
      </c>
      <c r="E366" s="2" t="str">
        <f>IF(Source!$E366=COLUMNS($A366:E366), LEFT(E365, LEN(E365)-Source!$C366), IF(Source!$G366=COLUMNS($A366:E366), E365&amp;RIGHT(INDIRECT(ADDRESS(ROW(E366)-1, Source!$E366)), Source!$C366), E365))</f>
        <v/>
      </c>
      <c r="F366" s="2" t="str">
        <f>IF(Source!$E366=COLUMNS($A366:F366), LEFT(F365, LEN(F365)-Source!$C366), IF(Source!$G366=COLUMNS($A366:F366), F365&amp;RIGHT(INDIRECT(ADDRESS(ROW(F366)-1, Source!$E366)), Source!$C366), F365))</f>
        <v/>
      </c>
      <c r="G366" s="2" t="str">
        <f>IF(Source!$E366=COLUMNS($A366:G366), LEFT(G365, LEN(G365)-Source!$C366), IF(Source!$G366=COLUMNS($A366:G366), G365&amp;RIGHT(INDIRECT(ADDRESS(ROW(G366)-1, Source!$E366)), Source!$C366), G365))</f>
        <v>L</v>
      </c>
      <c r="H366" s="2" t="str">
        <f>IF(Source!$E366=COLUMNS($A366:H366), LEFT(H365, LEN(H365)-Source!$C366), IF(Source!$G366=COLUMNS($A366:H366), H365&amp;RIGHT(INDIRECT(ADDRESS(ROW(H366)-1, Source!$E366)), Source!$C366), H365))</f>
        <v>SWT</v>
      </c>
      <c r="I366" s="2" t="str">
        <f>IF(Source!$E366=COLUMNS($A366:I366), LEFT(I365, LEN(I365)-Source!$C366), IF(Source!$G366=COLUMNS($A366:I366), I365&amp;RIGHT(INDIRECT(ADDRESS(ROW(I366)-1, Source!$E366)), Source!$C366), I365))</f>
        <v>JFL</v>
      </c>
    </row>
    <row r="367">
      <c r="A367" s="2" t="str">
        <f>IF(Source!$E367=COLUMNS($A367:A367), LEFT(A366, LEN(A366)-Source!$C367), IF(Source!$G367=COLUMNS($A367:A367), A366&amp;RIGHT(INDIRECT(ADDRESS(ROW(A367)-1, Source!$E367)), Source!$C367), A366))</f>
        <v>GTCVZBZHRZMBRBRJTLBDCWDJTPGFDDSRTPMQSVSDHRM</v>
      </c>
      <c r="B367" s="2" t="str">
        <f>IF(Source!$E367=COLUMNS($A367:B367), LEFT(B366, LEN(B366)-Source!$C367), IF(Source!$G367=COLUMNS($A367:B367), B366&amp;RIGHT(INDIRECT(ADDRESS(ROW(B367)-1, Source!$E367)), Source!$C367), B366))</f>
        <v/>
      </c>
      <c r="C367" s="2" t="str">
        <f>IF(Source!$E367=COLUMNS($A367:C367), LEFT(C366, LEN(C366)-Source!$C367), IF(Source!$G367=COLUMNS($A367:C367), C366&amp;RIGHT(INDIRECT(ADDRESS(ROW(C367)-1, Source!$E367)), Source!$C367), C366))</f>
        <v/>
      </c>
      <c r="D367" s="2" t="str">
        <f>IF(Source!$E367=COLUMNS($A367:D367), LEFT(D366, LEN(D366)-Source!$C367), IF(Source!$G367=COLUMNS($A367:D367), D366&amp;RIGHT(INDIRECT(ADDRESS(ROW(D367)-1, Source!$E367)), Source!$C367), D366))</f>
        <v>VCPDT</v>
      </c>
      <c r="E367" s="2" t="str">
        <f>IF(Source!$E367=COLUMNS($A367:E367), LEFT(E366, LEN(E366)-Source!$C367), IF(Source!$G367=COLUMNS($A367:E367), E366&amp;RIGHT(INDIRECT(ADDRESS(ROW(E367)-1, Source!$E367)), Source!$C367), E366))</f>
        <v/>
      </c>
      <c r="F367" s="2" t="str">
        <f>IF(Source!$E367=COLUMNS($A367:F367), LEFT(F366, LEN(F366)-Source!$C367), IF(Source!$G367=COLUMNS($A367:F367), F366&amp;RIGHT(INDIRECT(ADDRESS(ROW(F367)-1, Source!$E367)), Source!$C367), F366))</f>
        <v/>
      </c>
      <c r="G367" s="2" t="str">
        <f>IF(Source!$E367=COLUMNS($A367:G367), LEFT(G366, LEN(G366)-Source!$C367), IF(Source!$G367=COLUMNS($A367:G367), G366&amp;RIGHT(INDIRECT(ADDRESS(ROW(G367)-1, Source!$E367)), Source!$C367), G366))</f>
        <v>L</v>
      </c>
      <c r="H367" s="2" t="str">
        <f>IF(Source!$E367=COLUMNS($A367:H367), LEFT(H366, LEN(H366)-Source!$C367), IF(Source!$G367=COLUMNS($A367:H367), H366&amp;RIGHT(INDIRECT(ADDRESS(ROW(H367)-1, Source!$E367)), Source!$C367), H366))</f>
        <v>SWTQ</v>
      </c>
      <c r="I367" s="2" t="str">
        <f>IF(Source!$E367=COLUMNS($A367:I367), LEFT(I366, LEN(I366)-Source!$C367), IF(Source!$G367=COLUMNS($A367:I367), I366&amp;RIGHT(INDIRECT(ADDRESS(ROW(I367)-1, Source!$E367)), Source!$C367), I366))</f>
        <v>JFL</v>
      </c>
    </row>
    <row r="368">
      <c r="A368" s="2" t="str">
        <f>IF(Source!$E368=COLUMNS($A368:A368), LEFT(A367, LEN(A367)-Source!$C368), IF(Source!$G368=COLUMNS($A368:A368), A367&amp;RIGHT(INDIRECT(ADDRESS(ROW(A368)-1, Source!$E368)), Source!$C368), A367))</f>
        <v>GTCVZBZHRZMBRBRJTLBDCWDJTPGFDDSRTPMQSVSDHRM</v>
      </c>
      <c r="B368" s="2" t="str">
        <f>IF(Source!$E368=COLUMNS($A368:B368), LEFT(B367, LEN(B367)-Source!$C368), IF(Source!$G368=COLUMNS($A368:B368), B367&amp;RIGHT(INDIRECT(ADDRESS(ROW(B368)-1, Source!$E368)), Source!$C368), B367))</f>
        <v/>
      </c>
      <c r="C368" s="2" t="str">
        <f>IF(Source!$E368=COLUMNS($A368:C368), LEFT(C367, LEN(C367)-Source!$C368), IF(Source!$G368=COLUMNS($A368:C368), C367&amp;RIGHT(INDIRECT(ADDRESS(ROW(C368)-1, Source!$E368)), Source!$C368), C367))</f>
        <v/>
      </c>
      <c r="D368" s="2" t="str">
        <f>IF(Source!$E368=COLUMNS($A368:D368), LEFT(D367, LEN(D367)-Source!$C368), IF(Source!$G368=COLUMNS($A368:D368), D367&amp;RIGHT(INDIRECT(ADDRESS(ROW(D368)-1, Source!$E368)), Source!$C368), D367))</f>
        <v>VCPDT</v>
      </c>
      <c r="E368" s="2" t="str">
        <f>IF(Source!$E368=COLUMNS($A368:E368), LEFT(E367, LEN(E367)-Source!$C368), IF(Source!$G368=COLUMNS($A368:E368), E367&amp;RIGHT(INDIRECT(ADDRESS(ROW(E368)-1, Source!$E368)), Source!$C368), E367))</f>
        <v/>
      </c>
      <c r="F368" s="2" t="str">
        <f>IF(Source!$E368=COLUMNS($A368:F368), LEFT(F367, LEN(F367)-Source!$C368), IF(Source!$G368=COLUMNS($A368:F368), F367&amp;RIGHT(INDIRECT(ADDRESS(ROW(F368)-1, Source!$E368)), Source!$C368), F367))</f>
        <v/>
      </c>
      <c r="G368" s="2" t="str">
        <f>IF(Source!$E368=COLUMNS($A368:G368), LEFT(G367, LEN(G367)-Source!$C368), IF(Source!$G368=COLUMNS($A368:G368), G367&amp;RIGHT(INDIRECT(ADDRESS(ROW(G368)-1, Source!$E368)), Source!$C368), G367))</f>
        <v>L</v>
      </c>
      <c r="H368" s="2" t="str">
        <f>IF(Source!$E368=COLUMNS($A368:H368), LEFT(H367, LEN(H367)-Source!$C368), IF(Source!$G368=COLUMNS($A368:H368), H367&amp;RIGHT(INDIRECT(ADDRESS(ROW(H368)-1, Source!$E368)), Source!$C368), H367))</f>
        <v>SWTQFL</v>
      </c>
      <c r="I368" s="2" t="str">
        <f>IF(Source!$E368=COLUMNS($A368:I368), LEFT(I367, LEN(I367)-Source!$C368), IF(Source!$G368=COLUMNS($A368:I368), I367&amp;RIGHT(INDIRECT(ADDRESS(ROW(I368)-1, Source!$E368)), Source!$C368), I367))</f>
        <v>J</v>
      </c>
    </row>
    <row r="369">
      <c r="A369" s="2" t="str">
        <f>IF(Source!$E369=COLUMNS($A369:A369), LEFT(A368, LEN(A368)-Source!$C369), IF(Source!$G369=COLUMNS($A369:A369), A368&amp;RIGHT(INDIRECT(ADDRESS(ROW(A369)-1, Source!$E369)), Source!$C369), A368))</f>
        <v>GTCVZBZHRZMBRB</v>
      </c>
      <c r="B369" s="2" t="str">
        <f>IF(Source!$E369=COLUMNS($A369:B369), LEFT(B368, LEN(B368)-Source!$C369), IF(Source!$G369=COLUMNS($A369:B369), B368&amp;RIGHT(INDIRECT(ADDRESS(ROW(B369)-1, Source!$E369)), Source!$C369), B368))</f>
        <v/>
      </c>
      <c r="C369" s="2" t="str">
        <f>IF(Source!$E369=COLUMNS($A369:C369), LEFT(C368, LEN(C368)-Source!$C369), IF(Source!$G369=COLUMNS($A369:C369), C368&amp;RIGHT(INDIRECT(ADDRESS(ROW(C369)-1, Source!$E369)), Source!$C369), C368))</f>
        <v/>
      </c>
      <c r="D369" s="2" t="str">
        <f>IF(Source!$E369=COLUMNS($A369:D369), LEFT(D368, LEN(D368)-Source!$C369), IF(Source!$G369=COLUMNS($A369:D369), D368&amp;RIGHT(INDIRECT(ADDRESS(ROW(D369)-1, Source!$E369)), Source!$C369), D368))</f>
        <v>VCPDT</v>
      </c>
      <c r="E369" s="2" t="str">
        <f>IF(Source!$E369=COLUMNS($A369:E369), LEFT(E368, LEN(E368)-Source!$C369), IF(Source!$G369=COLUMNS($A369:E369), E368&amp;RIGHT(INDIRECT(ADDRESS(ROW(E369)-1, Source!$E369)), Source!$C369), E368))</f>
        <v/>
      </c>
      <c r="F369" s="2" t="str">
        <f>IF(Source!$E369=COLUMNS($A369:F369), LEFT(F368, LEN(F368)-Source!$C369), IF(Source!$G369=COLUMNS($A369:F369), F368&amp;RIGHT(INDIRECT(ADDRESS(ROW(F369)-1, Source!$E369)), Source!$C369), F368))</f>
        <v/>
      </c>
      <c r="G369" s="2" t="str">
        <f>IF(Source!$E369=COLUMNS($A369:G369), LEFT(G368, LEN(G368)-Source!$C369), IF(Source!$G369=COLUMNS($A369:G369), G368&amp;RIGHT(INDIRECT(ADDRESS(ROW(G369)-1, Source!$E369)), Source!$C369), G368))</f>
        <v>L</v>
      </c>
      <c r="H369" s="2" t="str">
        <f>IF(Source!$E369=COLUMNS($A369:H369), LEFT(H368, LEN(H368)-Source!$C369), IF(Source!$G369=COLUMNS($A369:H369), H368&amp;RIGHT(INDIRECT(ADDRESS(ROW(H369)-1, Source!$E369)), Source!$C369), H368))</f>
        <v>SWTQFL</v>
      </c>
      <c r="I369" s="2" t="str">
        <f>IF(Source!$E369=COLUMNS($A369:I369), LEFT(I368, LEN(I368)-Source!$C369), IF(Source!$G369=COLUMNS($A369:I369), I368&amp;RIGHT(INDIRECT(ADDRESS(ROW(I369)-1, Source!$E369)), Source!$C369), I368))</f>
        <v>JRJTLBDCWDJTPGFDDSRTPMQSVSDHRM</v>
      </c>
    </row>
    <row r="370">
      <c r="A370" s="2" t="str">
        <f>IF(Source!$E370=COLUMNS($A370:A370), LEFT(A369, LEN(A369)-Source!$C370), IF(Source!$G370=COLUMNS($A370:A370), A369&amp;RIGHT(INDIRECT(ADDRESS(ROW(A370)-1, Source!$E370)), Source!$C370), A369))</f>
        <v>GTCVZBZHRZMB</v>
      </c>
      <c r="B370" s="2" t="str">
        <f>IF(Source!$E370=COLUMNS($A370:B370), LEFT(B369, LEN(B369)-Source!$C370), IF(Source!$G370=COLUMNS($A370:B370), B369&amp;RIGHT(INDIRECT(ADDRESS(ROW(B370)-1, Source!$E370)), Source!$C370), B369))</f>
        <v/>
      </c>
      <c r="C370" s="2" t="str">
        <f>IF(Source!$E370=COLUMNS($A370:C370), LEFT(C369, LEN(C369)-Source!$C370), IF(Source!$G370=COLUMNS($A370:C370), C369&amp;RIGHT(INDIRECT(ADDRESS(ROW(C370)-1, Source!$E370)), Source!$C370), C369))</f>
        <v/>
      </c>
      <c r="D370" s="2" t="str">
        <f>IF(Source!$E370=COLUMNS($A370:D370), LEFT(D369, LEN(D369)-Source!$C370), IF(Source!$G370=COLUMNS($A370:D370), D369&amp;RIGHT(INDIRECT(ADDRESS(ROW(D370)-1, Source!$E370)), Source!$C370), D369))</f>
        <v>VCPDT</v>
      </c>
      <c r="E370" s="2" t="str">
        <f>IF(Source!$E370=COLUMNS($A370:E370), LEFT(E369, LEN(E369)-Source!$C370), IF(Source!$G370=COLUMNS($A370:E370), E369&amp;RIGHT(INDIRECT(ADDRESS(ROW(E370)-1, Source!$E370)), Source!$C370), E369))</f>
        <v>RB</v>
      </c>
      <c r="F370" s="2" t="str">
        <f>IF(Source!$E370=COLUMNS($A370:F370), LEFT(F369, LEN(F369)-Source!$C370), IF(Source!$G370=COLUMNS($A370:F370), F369&amp;RIGHT(INDIRECT(ADDRESS(ROW(F370)-1, Source!$E370)), Source!$C370), F369))</f>
        <v/>
      </c>
      <c r="G370" s="2" t="str">
        <f>IF(Source!$E370=COLUMNS($A370:G370), LEFT(G369, LEN(G369)-Source!$C370), IF(Source!$G370=COLUMNS($A370:G370), G369&amp;RIGHT(INDIRECT(ADDRESS(ROW(G370)-1, Source!$E370)), Source!$C370), G369))</f>
        <v>L</v>
      </c>
      <c r="H370" s="2" t="str">
        <f>IF(Source!$E370=COLUMNS($A370:H370), LEFT(H369, LEN(H369)-Source!$C370), IF(Source!$G370=COLUMNS($A370:H370), H369&amp;RIGHT(INDIRECT(ADDRESS(ROW(H370)-1, Source!$E370)), Source!$C370), H369))</f>
        <v>SWTQFL</v>
      </c>
      <c r="I370" s="2" t="str">
        <f>IF(Source!$E370=COLUMNS($A370:I370), LEFT(I369, LEN(I369)-Source!$C370), IF(Source!$G370=COLUMNS($A370:I370), I369&amp;RIGHT(INDIRECT(ADDRESS(ROW(I370)-1, Source!$E370)), Source!$C370), I369))</f>
        <v>JRJTLBDCWDJTPGFDDSRTPMQSVSDHRM</v>
      </c>
    </row>
    <row r="371">
      <c r="A371" s="2" t="str">
        <f>IF(Source!$E371=COLUMNS($A371:A371), LEFT(A370, LEN(A370)-Source!$C371), IF(Source!$G371=COLUMNS($A371:A371), A370&amp;RIGHT(INDIRECT(ADDRESS(ROW(A371)-1, Source!$E371)), Source!$C371), A370))</f>
        <v>GTCVZBZHRZMB</v>
      </c>
      <c r="B371" s="2" t="str">
        <f>IF(Source!$E371=COLUMNS($A371:B371), LEFT(B370, LEN(B370)-Source!$C371), IF(Source!$G371=COLUMNS($A371:B371), B370&amp;RIGHT(INDIRECT(ADDRESS(ROW(B371)-1, Source!$E371)), Source!$C371), B370))</f>
        <v/>
      </c>
      <c r="C371" s="2" t="str">
        <f>IF(Source!$E371=COLUMNS($A371:C371), LEFT(C370, LEN(C370)-Source!$C371), IF(Source!$G371=COLUMNS($A371:C371), C370&amp;RIGHT(INDIRECT(ADDRESS(ROW(C371)-1, Source!$E371)), Source!$C371), C370))</f>
        <v>FL</v>
      </c>
      <c r="D371" s="2" t="str">
        <f>IF(Source!$E371=COLUMNS($A371:D371), LEFT(D370, LEN(D370)-Source!$C371), IF(Source!$G371=COLUMNS($A371:D371), D370&amp;RIGHT(INDIRECT(ADDRESS(ROW(D371)-1, Source!$E371)), Source!$C371), D370))</f>
        <v>VCPDT</v>
      </c>
      <c r="E371" s="2" t="str">
        <f>IF(Source!$E371=COLUMNS($A371:E371), LEFT(E370, LEN(E370)-Source!$C371), IF(Source!$G371=COLUMNS($A371:E371), E370&amp;RIGHT(INDIRECT(ADDRESS(ROW(E371)-1, Source!$E371)), Source!$C371), E370))</f>
        <v>RB</v>
      </c>
      <c r="F371" s="2" t="str">
        <f>IF(Source!$E371=COLUMNS($A371:F371), LEFT(F370, LEN(F370)-Source!$C371), IF(Source!$G371=COLUMNS($A371:F371), F370&amp;RIGHT(INDIRECT(ADDRESS(ROW(F371)-1, Source!$E371)), Source!$C371), F370))</f>
        <v/>
      </c>
      <c r="G371" s="2" t="str">
        <f>IF(Source!$E371=COLUMNS($A371:G371), LEFT(G370, LEN(G370)-Source!$C371), IF(Source!$G371=COLUMNS($A371:G371), G370&amp;RIGHT(INDIRECT(ADDRESS(ROW(G371)-1, Source!$E371)), Source!$C371), G370))</f>
        <v>L</v>
      </c>
      <c r="H371" s="2" t="str">
        <f>IF(Source!$E371=COLUMNS($A371:H371), LEFT(H370, LEN(H370)-Source!$C371), IF(Source!$G371=COLUMNS($A371:H371), H370&amp;RIGHT(INDIRECT(ADDRESS(ROW(H371)-1, Source!$E371)), Source!$C371), H370))</f>
        <v>SWTQ</v>
      </c>
      <c r="I371" s="2" t="str">
        <f>IF(Source!$E371=COLUMNS($A371:I371), LEFT(I370, LEN(I370)-Source!$C371), IF(Source!$G371=COLUMNS($A371:I371), I370&amp;RIGHT(INDIRECT(ADDRESS(ROW(I371)-1, Source!$E371)), Source!$C371), I370))</f>
        <v>JRJTLBDCWDJTPGFDDSRTPMQSVSDHRM</v>
      </c>
    </row>
    <row r="372">
      <c r="A372" s="2" t="str">
        <f>IF(Source!$E372=COLUMNS($A372:A372), LEFT(A371, LEN(A371)-Source!$C372), IF(Source!$G372=COLUMNS($A372:A372), A371&amp;RIGHT(INDIRECT(ADDRESS(ROW(A372)-1, Source!$E372)), Source!$C372), A371))</f>
        <v>GTCVZBZHRZMB</v>
      </c>
      <c r="B372" s="2" t="str">
        <f>IF(Source!$E372=COLUMNS($A372:B372), LEFT(B371, LEN(B371)-Source!$C372), IF(Source!$G372=COLUMNS($A372:B372), B371&amp;RIGHT(INDIRECT(ADDRESS(ROW(B372)-1, Source!$E372)), Source!$C372), B371))</f>
        <v/>
      </c>
      <c r="C372" s="2" t="str">
        <f>IF(Source!$E372=COLUMNS($A372:C372), LEFT(C371, LEN(C371)-Source!$C372), IF(Source!$G372=COLUMNS($A372:C372), C371&amp;RIGHT(INDIRECT(ADDRESS(ROW(C372)-1, Source!$E372)), Source!$C372), C371))</f>
        <v>F</v>
      </c>
      <c r="D372" s="2" t="str">
        <f>IF(Source!$E372=COLUMNS($A372:D372), LEFT(D371, LEN(D371)-Source!$C372), IF(Source!$G372=COLUMNS($A372:D372), D371&amp;RIGHT(INDIRECT(ADDRESS(ROW(D372)-1, Source!$E372)), Source!$C372), D371))</f>
        <v>VCPDT</v>
      </c>
      <c r="E372" s="2" t="str">
        <f>IF(Source!$E372=COLUMNS($A372:E372), LEFT(E371, LEN(E371)-Source!$C372), IF(Source!$G372=COLUMNS($A372:E372), E371&amp;RIGHT(INDIRECT(ADDRESS(ROW(E372)-1, Source!$E372)), Source!$C372), E371))</f>
        <v>RBL</v>
      </c>
      <c r="F372" s="2" t="str">
        <f>IF(Source!$E372=COLUMNS($A372:F372), LEFT(F371, LEN(F371)-Source!$C372), IF(Source!$G372=COLUMNS($A372:F372), F371&amp;RIGHT(INDIRECT(ADDRESS(ROW(F372)-1, Source!$E372)), Source!$C372), F371))</f>
        <v/>
      </c>
      <c r="G372" s="2" t="str">
        <f>IF(Source!$E372=COLUMNS($A372:G372), LEFT(G371, LEN(G371)-Source!$C372), IF(Source!$G372=COLUMNS($A372:G372), G371&amp;RIGHT(INDIRECT(ADDRESS(ROW(G372)-1, Source!$E372)), Source!$C372), G371))</f>
        <v>L</v>
      </c>
      <c r="H372" s="2" t="str">
        <f>IF(Source!$E372=COLUMNS($A372:H372), LEFT(H371, LEN(H371)-Source!$C372), IF(Source!$G372=COLUMNS($A372:H372), H371&amp;RIGHT(INDIRECT(ADDRESS(ROW(H372)-1, Source!$E372)), Source!$C372), H371))</f>
        <v>SWTQ</v>
      </c>
      <c r="I372" s="2" t="str">
        <f>IF(Source!$E372=COLUMNS($A372:I372), LEFT(I371, LEN(I371)-Source!$C372), IF(Source!$G372=COLUMNS($A372:I372), I371&amp;RIGHT(INDIRECT(ADDRESS(ROW(I372)-1, Source!$E372)), Source!$C372), I371))</f>
        <v>JRJTLBDCWDJTPGFDDSRTPMQSVSDHRM</v>
      </c>
    </row>
    <row r="373">
      <c r="A373" s="2" t="str">
        <f>IF(Source!$E373=COLUMNS($A373:A373), LEFT(A372, LEN(A372)-Source!$C373), IF(Source!$G373=COLUMNS($A373:A373), A372&amp;RIGHT(INDIRECT(ADDRESS(ROW(A373)-1, Source!$E373)), Source!$C373), A372))</f>
        <v>GTCVZBZHRZMB</v>
      </c>
      <c r="B373" s="2" t="str">
        <f>IF(Source!$E373=COLUMNS($A373:B373), LEFT(B372, LEN(B372)-Source!$C373), IF(Source!$G373=COLUMNS($A373:B373), B372&amp;RIGHT(INDIRECT(ADDRESS(ROW(B373)-1, Source!$E373)), Source!$C373), B372))</f>
        <v/>
      </c>
      <c r="C373" s="2" t="str">
        <f>IF(Source!$E373=COLUMNS($A373:C373), LEFT(C372, LEN(C372)-Source!$C373), IF(Source!$G373=COLUMNS($A373:C373), C372&amp;RIGHT(INDIRECT(ADDRESS(ROW(C373)-1, Source!$E373)), Source!$C373), C372))</f>
        <v>F</v>
      </c>
      <c r="D373" s="2" t="str">
        <f>IF(Source!$E373=COLUMNS($A373:D373), LEFT(D372, LEN(D372)-Source!$C373), IF(Source!$G373=COLUMNS($A373:D373), D372&amp;RIGHT(INDIRECT(ADDRESS(ROW(D373)-1, Source!$E373)), Source!$C373), D372))</f>
        <v>VCPDT</v>
      </c>
      <c r="E373" s="2" t="str">
        <f>IF(Source!$E373=COLUMNS($A373:E373), LEFT(E372, LEN(E372)-Source!$C373), IF(Source!$G373=COLUMNS($A373:E373), E372&amp;RIGHT(INDIRECT(ADDRESS(ROW(E373)-1, Source!$E373)), Source!$C373), E372))</f>
        <v>R</v>
      </c>
      <c r="F373" s="2" t="str">
        <f>IF(Source!$E373=COLUMNS($A373:F373), LEFT(F372, LEN(F372)-Source!$C373), IF(Source!$G373=COLUMNS($A373:F373), F372&amp;RIGHT(INDIRECT(ADDRESS(ROW(F373)-1, Source!$E373)), Source!$C373), F372))</f>
        <v/>
      </c>
      <c r="G373" s="2" t="str">
        <f>IF(Source!$E373=COLUMNS($A373:G373), LEFT(G372, LEN(G372)-Source!$C373), IF(Source!$G373=COLUMNS($A373:G373), G372&amp;RIGHT(INDIRECT(ADDRESS(ROW(G373)-1, Source!$E373)), Source!$C373), G372))</f>
        <v>L</v>
      </c>
      <c r="H373" s="2" t="str">
        <f>IF(Source!$E373=COLUMNS($A373:H373), LEFT(H372, LEN(H372)-Source!$C373), IF(Source!$G373=COLUMNS($A373:H373), H372&amp;RIGHT(INDIRECT(ADDRESS(ROW(H373)-1, Source!$E373)), Source!$C373), H372))</f>
        <v>SWTQ</v>
      </c>
      <c r="I373" s="2" t="str">
        <f>IF(Source!$E373=COLUMNS($A373:I373), LEFT(I372, LEN(I372)-Source!$C373), IF(Source!$G373=COLUMNS($A373:I373), I372&amp;RIGHT(INDIRECT(ADDRESS(ROW(I373)-1, Source!$E373)), Source!$C373), I372))</f>
        <v>JRJTLBDCWDJTPGFDDSRTPMQSVSDHRMBL</v>
      </c>
    </row>
    <row r="374">
      <c r="A374" s="2" t="str">
        <f>IF(Source!$E374=COLUMNS($A374:A374), LEFT(A373, LEN(A373)-Source!$C374), IF(Source!$G374=COLUMNS($A374:A374), A373&amp;RIGHT(INDIRECT(ADDRESS(ROW(A374)-1, Source!$E374)), Source!$C374), A373))</f>
        <v>GTCVZBZHRZMB</v>
      </c>
      <c r="B374" s="2" t="str">
        <f>IF(Source!$E374=COLUMNS($A374:B374), LEFT(B373, LEN(B373)-Source!$C374), IF(Source!$G374=COLUMNS($A374:B374), B373&amp;RIGHT(INDIRECT(ADDRESS(ROW(B374)-1, Source!$E374)), Source!$C374), B373))</f>
        <v/>
      </c>
      <c r="C374" s="2" t="str">
        <f>IF(Source!$E374=COLUMNS($A374:C374), LEFT(C373, LEN(C373)-Source!$C374), IF(Source!$G374=COLUMNS($A374:C374), C373&amp;RIGHT(INDIRECT(ADDRESS(ROW(C374)-1, Source!$E374)), Source!$C374), C373))</f>
        <v>F</v>
      </c>
      <c r="D374" s="2" t="str">
        <f>IF(Source!$E374=COLUMNS($A374:D374), LEFT(D373, LEN(D373)-Source!$C374), IF(Source!$G374=COLUMNS($A374:D374), D373&amp;RIGHT(INDIRECT(ADDRESS(ROW(D374)-1, Source!$E374)), Source!$C374), D373))</f>
        <v>VCPDT</v>
      </c>
      <c r="E374" s="2" t="str">
        <f>IF(Source!$E374=COLUMNS($A374:E374), LEFT(E373, LEN(E373)-Source!$C374), IF(Source!$G374=COLUMNS($A374:E374), E373&amp;RIGHT(INDIRECT(ADDRESS(ROW(E374)-1, Source!$E374)), Source!$C374), E373))</f>
        <v/>
      </c>
      <c r="F374" s="2" t="str">
        <f>IF(Source!$E374=COLUMNS($A374:F374), LEFT(F373, LEN(F373)-Source!$C374), IF(Source!$G374=COLUMNS($A374:F374), F373&amp;RIGHT(INDIRECT(ADDRESS(ROW(F374)-1, Source!$E374)), Source!$C374), F373))</f>
        <v/>
      </c>
      <c r="G374" s="2" t="str">
        <f>IF(Source!$E374=COLUMNS($A374:G374), LEFT(G373, LEN(G373)-Source!$C374), IF(Source!$G374=COLUMNS($A374:G374), G373&amp;RIGHT(INDIRECT(ADDRESS(ROW(G374)-1, Source!$E374)), Source!$C374), G373))</f>
        <v>LR</v>
      </c>
      <c r="H374" s="2" t="str">
        <f>IF(Source!$E374=COLUMNS($A374:H374), LEFT(H373, LEN(H373)-Source!$C374), IF(Source!$G374=COLUMNS($A374:H374), H373&amp;RIGHT(INDIRECT(ADDRESS(ROW(H374)-1, Source!$E374)), Source!$C374), H373))</f>
        <v>SWTQ</v>
      </c>
      <c r="I374" s="2" t="str">
        <f>IF(Source!$E374=COLUMNS($A374:I374), LEFT(I373, LEN(I373)-Source!$C374), IF(Source!$G374=COLUMNS($A374:I374), I373&amp;RIGHT(INDIRECT(ADDRESS(ROW(I374)-1, Source!$E374)), Source!$C374), I373))</f>
        <v>JRJTLBDCWDJTPGFDDSRTPMQSVSDHRMBL</v>
      </c>
    </row>
    <row r="375">
      <c r="A375" s="2" t="str">
        <f>IF(Source!$E375=COLUMNS($A375:A375), LEFT(A374, LEN(A374)-Source!$C375), IF(Source!$G375=COLUMNS($A375:A375), A374&amp;RIGHT(INDIRECT(ADDRESS(ROW(A375)-1, Source!$E375)), Source!$C375), A374))</f>
        <v>GTCVZBZHRZMB</v>
      </c>
      <c r="B375" s="2" t="str">
        <f>IF(Source!$E375=COLUMNS($A375:B375), LEFT(B374, LEN(B374)-Source!$C375), IF(Source!$G375=COLUMNS($A375:B375), B374&amp;RIGHT(INDIRECT(ADDRESS(ROW(B375)-1, Source!$E375)), Source!$C375), B374))</f>
        <v>CWDJTPGFDDSRTPMQSVSDHRMBL</v>
      </c>
      <c r="C375" s="2" t="str">
        <f>IF(Source!$E375=COLUMNS($A375:C375), LEFT(C374, LEN(C374)-Source!$C375), IF(Source!$G375=COLUMNS($A375:C375), C374&amp;RIGHT(INDIRECT(ADDRESS(ROW(C375)-1, Source!$E375)), Source!$C375), C374))</f>
        <v>F</v>
      </c>
      <c r="D375" s="2" t="str">
        <f>IF(Source!$E375=COLUMNS($A375:D375), LEFT(D374, LEN(D374)-Source!$C375), IF(Source!$G375=COLUMNS($A375:D375), D374&amp;RIGHT(INDIRECT(ADDRESS(ROW(D375)-1, Source!$E375)), Source!$C375), D374))</f>
        <v>VCPDT</v>
      </c>
      <c r="E375" s="2" t="str">
        <f>IF(Source!$E375=COLUMNS($A375:E375), LEFT(E374, LEN(E374)-Source!$C375), IF(Source!$G375=COLUMNS($A375:E375), E374&amp;RIGHT(INDIRECT(ADDRESS(ROW(E375)-1, Source!$E375)), Source!$C375), E374))</f>
        <v/>
      </c>
      <c r="F375" s="2" t="str">
        <f>IF(Source!$E375=COLUMNS($A375:F375), LEFT(F374, LEN(F374)-Source!$C375), IF(Source!$G375=COLUMNS($A375:F375), F374&amp;RIGHT(INDIRECT(ADDRESS(ROW(F375)-1, Source!$E375)), Source!$C375), F374))</f>
        <v/>
      </c>
      <c r="G375" s="2" t="str">
        <f>IF(Source!$E375=COLUMNS($A375:G375), LEFT(G374, LEN(G374)-Source!$C375), IF(Source!$G375=COLUMNS($A375:G375), G374&amp;RIGHT(INDIRECT(ADDRESS(ROW(G375)-1, Source!$E375)), Source!$C375), G374))</f>
        <v>LR</v>
      </c>
      <c r="H375" s="2" t="str">
        <f>IF(Source!$E375=COLUMNS($A375:H375), LEFT(H374, LEN(H374)-Source!$C375), IF(Source!$G375=COLUMNS($A375:H375), H374&amp;RIGHT(INDIRECT(ADDRESS(ROW(H375)-1, Source!$E375)), Source!$C375), H374))</f>
        <v>SWTQ</v>
      </c>
      <c r="I375" s="2" t="str">
        <f>IF(Source!$E375=COLUMNS($A375:I375), LEFT(I374, LEN(I374)-Source!$C375), IF(Source!$G375=COLUMNS($A375:I375), I374&amp;RIGHT(INDIRECT(ADDRESS(ROW(I375)-1, Source!$E375)), Source!$C375), I374))</f>
        <v>JRJTLBD</v>
      </c>
    </row>
    <row r="376">
      <c r="A376" s="2" t="str">
        <f>IF(Source!$E376=COLUMNS($A376:A376), LEFT(A375, LEN(A375)-Source!$C376), IF(Source!$G376=COLUMNS($A376:A376), A375&amp;RIGHT(INDIRECT(ADDRESS(ROW(A376)-1, Source!$E376)), Source!$C376), A375))</f>
        <v>GTCVZBZHRZMBQSVSDHRMBL</v>
      </c>
      <c r="B376" s="2" t="str">
        <f>IF(Source!$E376=COLUMNS($A376:B376), LEFT(B375, LEN(B375)-Source!$C376), IF(Source!$G376=COLUMNS($A376:B376), B375&amp;RIGHT(INDIRECT(ADDRESS(ROW(B376)-1, Source!$E376)), Source!$C376), B375))</f>
        <v>CWDJTPGFDDSRTPM</v>
      </c>
      <c r="C376" s="2" t="str">
        <f>IF(Source!$E376=COLUMNS($A376:C376), LEFT(C375, LEN(C375)-Source!$C376), IF(Source!$G376=COLUMNS($A376:C376), C375&amp;RIGHT(INDIRECT(ADDRESS(ROW(C376)-1, Source!$E376)), Source!$C376), C375))</f>
        <v>F</v>
      </c>
      <c r="D376" s="2" t="str">
        <f>IF(Source!$E376=COLUMNS($A376:D376), LEFT(D375, LEN(D375)-Source!$C376), IF(Source!$G376=COLUMNS($A376:D376), D375&amp;RIGHT(INDIRECT(ADDRESS(ROW(D376)-1, Source!$E376)), Source!$C376), D375))</f>
        <v>VCPDT</v>
      </c>
      <c r="E376" s="2" t="str">
        <f>IF(Source!$E376=COLUMNS($A376:E376), LEFT(E375, LEN(E375)-Source!$C376), IF(Source!$G376=COLUMNS($A376:E376), E375&amp;RIGHT(INDIRECT(ADDRESS(ROW(E376)-1, Source!$E376)), Source!$C376), E375))</f>
        <v/>
      </c>
      <c r="F376" s="2" t="str">
        <f>IF(Source!$E376=COLUMNS($A376:F376), LEFT(F375, LEN(F375)-Source!$C376), IF(Source!$G376=COLUMNS($A376:F376), F375&amp;RIGHT(INDIRECT(ADDRESS(ROW(F376)-1, Source!$E376)), Source!$C376), F375))</f>
        <v/>
      </c>
      <c r="G376" s="2" t="str">
        <f>IF(Source!$E376=COLUMNS($A376:G376), LEFT(G375, LEN(G375)-Source!$C376), IF(Source!$G376=COLUMNS($A376:G376), G375&amp;RIGHT(INDIRECT(ADDRESS(ROW(G376)-1, Source!$E376)), Source!$C376), G375))</f>
        <v>LR</v>
      </c>
      <c r="H376" s="2" t="str">
        <f>IF(Source!$E376=COLUMNS($A376:H376), LEFT(H375, LEN(H375)-Source!$C376), IF(Source!$G376=COLUMNS($A376:H376), H375&amp;RIGHT(INDIRECT(ADDRESS(ROW(H376)-1, Source!$E376)), Source!$C376), H375))</f>
        <v>SWTQ</v>
      </c>
      <c r="I376" s="2" t="str">
        <f>IF(Source!$E376=COLUMNS($A376:I376), LEFT(I375, LEN(I375)-Source!$C376), IF(Source!$G376=COLUMNS($A376:I376), I375&amp;RIGHT(INDIRECT(ADDRESS(ROW(I376)-1, Source!$E376)), Source!$C376), I375))</f>
        <v>JRJTLBD</v>
      </c>
    </row>
    <row r="377">
      <c r="A377" s="2" t="str">
        <f>IF(Source!$E377=COLUMNS($A377:A377), LEFT(A376, LEN(A376)-Source!$C377), IF(Source!$G377=COLUMNS($A377:A377), A376&amp;RIGHT(INDIRECT(ADDRESS(ROW(A377)-1, Source!$E377)), Source!$C377), A376))</f>
        <v>GTCVZBZHRZMBQSVSDHRMBL</v>
      </c>
      <c r="B377" s="2" t="str">
        <f>IF(Source!$E377=COLUMNS($A377:B377), LEFT(B376, LEN(B376)-Source!$C377), IF(Source!$G377=COLUMNS($A377:B377), B376&amp;RIGHT(INDIRECT(ADDRESS(ROW(B377)-1, Source!$E377)), Source!$C377), B376))</f>
        <v>CWDJTPGFDDSRTPM</v>
      </c>
      <c r="C377" s="2" t="str">
        <f>IF(Source!$E377=COLUMNS($A377:C377), LEFT(C376, LEN(C376)-Source!$C377), IF(Source!$G377=COLUMNS($A377:C377), C376&amp;RIGHT(INDIRECT(ADDRESS(ROW(C377)-1, Source!$E377)), Source!$C377), C376))</f>
        <v>F</v>
      </c>
      <c r="D377" s="2" t="str">
        <f>IF(Source!$E377=COLUMNS($A377:D377), LEFT(D376, LEN(D376)-Source!$C377), IF(Source!$G377=COLUMNS($A377:D377), D376&amp;RIGHT(INDIRECT(ADDRESS(ROW(D377)-1, Source!$E377)), Source!$C377), D376))</f>
        <v>VCPDT</v>
      </c>
      <c r="E377" s="2" t="str">
        <f>IF(Source!$E377=COLUMNS($A377:E377), LEFT(E376, LEN(E376)-Source!$C377), IF(Source!$G377=COLUMNS($A377:E377), E376&amp;RIGHT(INDIRECT(ADDRESS(ROW(E377)-1, Source!$E377)), Source!$C377), E376))</f>
        <v/>
      </c>
      <c r="F377" s="2" t="str">
        <f>IF(Source!$E377=COLUMNS($A377:F377), LEFT(F376, LEN(F376)-Source!$C377), IF(Source!$G377=COLUMNS($A377:F377), F376&amp;RIGHT(INDIRECT(ADDRESS(ROW(F377)-1, Source!$E377)), Source!$C377), F376))</f>
        <v/>
      </c>
      <c r="G377" s="2" t="str">
        <f>IF(Source!$E377=COLUMNS($A377:G377), LEFT(G376, LEN(G376)-Source!$C377), IF(Source!$G377=COLUMNS($A377:G377), G376&amp;RIGHT(INDIRECT(ADDRESS(ROW(G377)-1, Source!$E377)), Source!$C377), G376))</f>
        <v>L</v>
      </c>
      <c r="H377" s="2" t="str">
        <f>IF(Source!$E377=COLUMNS($A377:H377), LEFT(H376, LEN(H376)-Source!$C377), IF(Source!$G377=COLUMNS($A377:H377), H376&amp;RIGHT(INDIRECT(ADDRESS(ROW(H377)-1, Source!$E377)), Source!$C377), H376))</f>
        <v>SWTQR</v>
      </c>
      <c r="I377" s="2" t="str">
        <f>IF(Source!$E377=COLUMNS($A377:I377), LEFT(I376, LEN(I376)-Source!$C377), IF(Source!$G377=COLUMNS($A377:I377), I376&amp;RIGHT(INDIRECT(ADDRESS(ROW(I377)-1, Source!$E377)), Source!$C377), I376))</f>
        <v>JRJTLBD</v>
      </c>
    </row>
    <row r="378">
      <c r="A378" s="2" t="str">
        <f>IF(Source!$E378=COLUMNS($A378:A378), LEFT(A377, LEN(A377)-Source!$C378), IF(Source!$G378=COLUMNS($A378:A378), A377&amp;RIGHT(INDIRECT(ADDRESS(ROW(A378)-1, Source!$E378)), Source!$C378), A377))</f>
        <v>GTCVZBZHRZMBQSVSDHRMBLDT</v>
      </c>
      <c r="B378" s="2" t="str">
        <f>IF(Source!$E378=COLUMNS($A378:B378), LEFT(B377, LEN(B377)-Source!$C378), IF(Source!$G378=COLUMNS($A378:B378), B377&amp;RIGHT(INDIRECT(ADDRESS(ROW(B378)-1, Source!$E378)), Source!$C378), B377))</f>
        <v>CWDJTPGFDDSRTPM</v>
      </c>
      <c r="C378" s="2" t="str">
        <f>IF(Source!$E378=COLUMNS($A378:C378), LEFT(C377, LEN(C377)-Source!$C378), IF(Source!$G378=COLUMNS($A378:C378), C377&amp;RIGHT(INDIRECT(ADDRESS(ROW(C378)-1, Source!$E378)), Source!$C378), C377))</f>
        <v>F</v>
      </c>
      <c r="D378" s="2" t="str">
        <f>IF(Source!$E378=COLUMNS($A378:D378), LEFT(D377, LEN(D377)-Source!$C378), IF(Source!$G378=COLUMNS($A378:D378), D377&amp;RIGHT(INDIRECT(ADDRESS(ROW(D378)-1, Source!$E378)), Source!$C378), D377))</f>
        <v>VCP</v>
      </c>
      <c r="E378" s="2" t="str">
        <f>IF(Source!$E378=COLUMNS($A378:E378), LEFT(E377, LEN(E377)-Source!$C378), IF(Source!$G378=COLUMNS($A378:E378), E377&amp;RIGHT(INDIRECT(ADDRESS(ROW(E378)-1, Source!$E378)), Source!$C378), E377))</f>
        <v/>
      </c>
      <c r="F378" s="2" t="str">
        <f>IF(Source!$E378=COLUMNS($A378:F378), LEFT(F377, LEN(F377)-Source!$C378), IF(Source!$G378=COLUMNS($A378:F378), F377&amp;RIGHT(INDIRECT(ADDRESS(ROW(F378)-1, Source!$E378)), Source!$C378), F377))</f>
        <v/>
      </c>
      <c r="G378" s="2" t="str">
        <f>IF(Source!$E378=COLUMNS($A378:G378), LEFT(G377, LEN(G377)-Source!$C378), IF(Source!$G378=COLUMNS($A378:G378), G377&amp;RIGHT(INDIRECT(ADDRESS(ROW(G378)-1, Source!$E378)), Source!$C378), G377))</f>
        <v>L</v>
      </c>
      <c r="H378" s="2" t="str">
        <f>IF(Source!$E378=COLUMNS($A378:H378), LEFT(H377, LEN(H377)-Source!$C378), IF(Source!$G378=COLUMNS($A378:H378), H377&amp;RIGHT(INDIRECT(ADDRESS(ROW(H378)-1, Source!$E378)), Source!$C378), H377))</f>
        <v>SWTQR</v>
      </c>
      <c r="I378" s="2" t="str">
        <f>IF(Source!$E378=COLUMNS($A378:I378), LEFT(I377, LEN(I377)-Source!$C378), IF(Source!$G378=COLUMNS($A378:I378), I377&amp;RIGHT(INDIRECT(ADDRESS(ROW(I378)-1, Source!$E378)), Source!$C378), I377))</f>
        <v>JRJTLBD</v>
      </c>
    </row>
    <row r="379">
      <c r="A379" s="2" t="str">
        <f>IF(Source!$E379=COLUMNS($A379:A379), LEFT(A378, LEN(A378)-Source!$C379), IF(Source!$G379=COLUMNS($A379:A379), A378&amp;RIGHT(INDIRECT(ADDRESS(ROW(A379)-1, Source!$E379)), Source!$C379), A378))</f>
        <v>GTCVZBZHRZMBQSVSDHRMBLDT</v>
      </c>
      <c r="B379" s="2" t="str">
        <f>IF(Source!$E379=COLUMNS($A379:B379), LEFT(B378, LEN(B378)-Source!$C379), IF(Source!$G379=COLUMNS($A379:B379), B378&amp;RIGHT(INDIRECT(ADDRESS(ROW(B379)-1, Source!$E379)), Source!$C379), B378))</f>
        <v>CWDJTPGFDDSRTPM</v>
      </c>
      <c r="C379" s="2" t="str">
        <f>IF(Source!$E379=COLUMNS($A379:C379), LEFT(C378, LEN(C378)-Source!$C379), IF(Source!$G379=COLUMNS($A379:C379), C378&amp;RIGHT(INDIRECT(ADDRESS(ROW(C379)-1, Source!$E379)), Source!$C379), C378))</f>
        <v>F</v>
      </c>
      <c r="D379" s="2" t="str">
        <f>IF(Source!$E379=COLUMNS($A379:D379), LEFT(D378, LEN(D378)-Source!$C379), IF(Source!$G379=COLUMNS($A379:D379), D378&amp;RIGHT(INDIRECT(ADDRESS(ROW(D379)-1, Source!$E379)), Source!$C379), D378))</f>
        <v>VCP</v>
      </c>
      <c r="E379" s="2" t="str">
        <f>IF(Source!$E379=COLUMNS($A379:E379), LEFT(E378, LEN(E378)-Source!$C379), IF(Source!$G379=COLUMNS($A379:E379), E378&amp;RIGHT(INDIRECT(ADDRESS(ROW(E379)-1, Source!$E379)), Source!$C379), E378))</f>
        <v/>
      </c>
      <c r="F379" s="2" t="str">
        <f>IF(Source!$E379=COLUMNS($A379:F379), LEFT(F378, LEN(F378)-Source!$C379), IF(Source!$G379=COLUMNS($A379:F379), F378&amp;RIGHT(INDIRECT(ADDRESS(ROW(F379)-1, Source!$E379)), Source!$C379), F378))</f>
        <v/>
      </c>
      <c r="G379" s="2" t="str">
        <f>IF(Source!$E379=COLUMNS($A379:G379), LEFT(G378, LEN(G378)-Source!$C379), IF(Source!$G379=COLUMNS($A379:G379), G378&amp;RIGHT(INDIRECT(ADDRESS(ROW(G379)-1, Source!$E379)), Source!$C379), G378))</f>
        <v>L</v>
      </c>
      <c r="H379" s="2" t="str">
        <f>IF(Source!$E379=COLUMNS($A379:H379), LEFT(H378, LEN(H378)-Source!$C379), IF(Source!$G379=COLUMNS($A379:H379), H378&amp;RIGHT(INDIRECT(ADDRESS(ROW(H379)-1, Source!$E379)), Source!$C379), H378))</f>
        <v>SWT</v>
      </c>
      <c r="I379" s="2" t="str">
        <f>IF(Source!$E379=COLUMNS($A379:I379), LEFT(I378, LEN(I378)-Source!$C379), IF(Source!$G379=COLUMNS($A379:I379), I378&amp;RIGHT(INDIRECT(ADDRESS(ROW(I379)-1, Source!$E379)), Source!$C379), I378))</f>
        <v>JRJTLBDQR</v>
      </c>
    </row>
    <row r="380">
      <c r="A380" s="2" t="str">
        <f>IF(Source!$E380=COLUMNS($A380:A380), LEFT(A379, LEN(A379)-Source!$C380), IF(Source!$G380=COLUMNS($A380:A380), A379&amp;RIGHT(INDIRECT(ADDRESS(ROW(A380)-1, Source!$E380)), Source!$C380), A379))</f>
        <v>GTCVZBZHRZMBQSVSDHRMBLDT</v>
      </c>
      <c r="B380" s="2" t="str">
        <f>IF(Source!$E380=COLUMNS($A380:B380), LEFT(B379, LEN(B379)-Source!$C380), IF(Source!$G380=COLUMNS($A380:B380), B379&amp;RIGHT(INDIRECT(ADDRESS(ROW(B380)-1, Source!$E380)), Source!$C380), B379))</f>
        <v>CWDJTPGFDDSRTPM</v>
      </c>
      <c r="C380" s="2" t="str">
        <f>IF(Source!$E380=COLUMNS($A380:C380), LEFT(C379, LEN(C379)-Source!$C380), IF(Source!$G380=COLUMNS($A380:C380), C379&amp;RIGHT(INDIRECT(ADDRESS(ROW(C380)-1, Source!$E380)), Source!$C380), C379))</f>
        <v>F</v>
      </c>
      <c r="D380" s="2" t="str">
        <f>IF(Source!$E380=COLUMNS($A380:D380), LEFT(D379, LEN(D379)-Source!$C380), IF(Source!$G380=COLUMNS($A380:D380), D379&amp;RIGHT(INDIRECT(ADDRESS(ROW(D380)-1, Source!$E380)), Source!$C380), D379))</f>
        <v>VCP</v>
      </c>
      <c r="E380" s="2" t="str">
        <f>IF(Source!$E380=COLUMNS($A380:E380), LEFT(E379, LEN(E379)-Source!$C380), IF(Source!$G380=COLUMNS($A380:E380), E379&amp;RIGHT(INDIRECT(ADDRESS(ROW(E380)-1, Source!$E380)), Source!$C380), E379))</f>
        <v/>
      </c>
      <c r="F380" s="2" t="str">
        <f>IF(Source!$E380=COLUMNS($A380:F380), LEFT(F379, LEN(F379)-Source!$C380), IF(Source!$G380=COLUMNS($A380:F380), F379&amp;RIGHT(INDIRECT(ADDRESS(ROW(F380)-1, Source!$E380)), Source!$C380), F379))</f>
        <v>T</v>
      </c>
      <c r="G380" s="2" t="str">
        <f>IF(Source!$E380=COLUMNS($A380:G380), LEFT(G379, LEN(G379)-Source!$C380), IF(Source!$G380=COLUMNS($A380:G380), G379&amp;RIGHT(INDIRECT(ADDRESS(ROW(G380)-1, Source!$E380)), Source!$C380), G379))</f>
        <v>L</v>
      </c>
      <c r="H380" s="2" t="str">
        <f>IF(Source!$E380=COLUMNS($A380:H380), LEFT(H379, LEN(H379)-Source!$C380), IF(Source!$G380=COLUMNS($A380:H380), H379&amp;RIGHT(INDIRECT(ADDRESS(ROW(H380)-1, Source!$E380)), Source!$C380), H379))</f>
        <v>SW</v>
      </c>
      <c r="I380" s="2" t="str">
        <f>IF(Source!$E380=COLUMNS($A380:I380), LEFT(I379, LEN(I379)-Source!$C380), IF(Source!$G380=COLUMNS($A380:I380), I379&amp;RIGHT(INDIRECT(ADDRESS(ROW(I380)-1, Source!$E380)), Source!$C380), I379))</f>
        <v>JRJTLBDQR</v>
      </c>
    </row>
    <row r="381">
      <c r="A381" s="2" t="str">
        <f>IF(Source!$E381=COLUMNS($A381:A381), LEFT(A380, LEN(A380)-Source!$C381), IF(Source!$G381=COLUMNS($A381:A381), A380&amp;RIGHT(INDIRECT(ADDRESS(ROW(A381)-1, Source!$E381)), Source!$C381), A380))</f>
        <v>GTCVZBZHRZMBQSVSDHRMBLDT</v>
      </c>
      <c r="B381" s="2" t="str">
        <f>IF(Source!$E381=COLUMNS($A381:B381), LEFT(B380, LEN(B380)-Source!$C381), IF(Source!$G381=COLUMNS($A381:B381), B380&amp;RIGHT(INDIRECT(ADDRESS(ROW(B381)-1, Source!$E381)), Source!$C381), B380))</f>
        <v>CWDJTPGFDDS</v>
      </c>
      <c r="C381" s="2" t="str">
        <f>IF(Source!$E381=COLUMNS($A381:C381), LEFT(C380, LEN(C380)-Source!$C381), IF(Source!$G381=COLUMNS($A381:C381), C380&amp;RIGHT(INDIRECT(ADDRESS(ROW(C381)-1, Source!$E381)), Source!$C381), C380))</f>
        <v>F</v>
      </c>
      <c r="D381" s="2" t="str">
        <f>IF(Source!$E381=COLUMNS($A381:D381), LEFT(D380, LEN(D380)-Source!$C381), IF(Source!$G381=COLUMNS($A381:D381), D380&amp;RIGHT(INDIRECT(ADDRESS(ROW(D381)-1, Source!$E381)), Source!$C381), D380))</f>
        <v>VCPRTPM</v>
      </c>
      <c r="E381" s="2" t="str">
        <f>IF(Source!$E381=COLUMNS($A381:E381), LEFT(E380, LEN(E380)-Source!$C381), IF(Source!$G381=COLUMNS($A381:E381), E380&amp;RIGHT(INDIRECT(ADDRESS(ROW(E381)-1, Source!$E381)), Source!$C381), E380))</f>
        <v/>
      </c>
      <c r="F381" s="2" t="str">
        <f>IF(Source!$E381=COLUMNS($A381:F381), LEFT(F380, LEN(F380)-Source!$C381), IF(Source!$G381=COLUMNS($A381:F381), F380&amp;RIGHT(INDIRECT(ADDRESS(ROW(F381)-1, Source!$E381)), Source!$C381), F380))</f>
        <v>T</v>
      </c>
      <c r="G381" s="2" t="str">
        <f>IF(Source!$E381=COLUMNS($A381:G381), LEFT(G380, LEN(G380)-Source!$C381), IF(Source!$G381=COLUMNS($A381:G381), G380&amp;RIGHT(INDIRECT(ADDRESS(ROW(G381)-1, Source!$E381)), Source!$C381), G380))</f>
        <v>L</v>
      </c>
      <c r="H381" s="2" t="str">
        <f>IF(Source!$E381=COLUMNS($A381:H381), LEFT(H380, LEN(H380)-Source!$C381), IF(Source!$G381=COLUMNS($A381:H381), H380&amp;RIGHT(INDIRECT(ADDRESS(ROW(H381)-1, Source!$E381)), Source!$C381), H380))</f>
        <v>SW</v>
      </c>
      <c r="I381" s="2" t="str">
        <f>IF(Source!$E381=COLUMNS($A381:I381), LEFT(I380, LEN(I380)-Source!$C381), IF(Source!$G381=COLUMNS($A381:I381), I380&amp;RIGHT(INDIRECT(ADDRESS(ROW(I381)-1, Source!$E381)), Source!$C381), I380))</f>
        <v>JRJTLBDQR</v>
      </c>
    </row>
    <row r="382">
      <c r="A382" s="2" t="str">
        <f>IF(Source!$E382=COLUMNS($A382:A382), LEFT(A381, LEN(A381)-Source!$C382), IF(Source!$G382=COLUMNS($A382:A382), A381&amp;RIGHT(INDIRECT(ADDRESS(ROW(A382)-1, Source!$E382)), Source!$C382), A381))</f>
        <v>GTCVZBZHRZMBQSVSDHRMBLDT</v>
      </c>
      <c r="B382" s="2" t="str">
        <f>IF(Source!$E382=COLUMNS($A382:B382), LEFT(B381, LEN(B381)-Source!$C382), IF(Source!$G382=COLUMNS($A382:B382), B381&amp;RIGHT(INDIRECT(ADDRESS(ROW(B382)-1, Source!$E382)), Source!$C382), B381))</f>
        <v>CWDJTPG</v>
      </c>
      <c r="C382" s="2" t="str">
        <f>IF(Source!$E382=COLUMNS($A382:C382), LEFT(C381, LEN(C381)-Source!$C382), IF(Source!$G382=COLUMNS($A382:C382), C381&amp;RIGHT(INDIRECT(ADDRESS(ROW(C382)-1, Source!$E382)), Source!$C382), C381))</f>
        <v>F</v>
      </c>
      <c r="D382" s="2" t="str">
        <f>IF(Source!$E382=COLUMNS($A382:D382), LEFT(D381, LEN(D381)-Source!$C382), IF(Source!$G382=COLUMNS($A382:D382), D381&amp;RIGHT(INDIRECT(ADDRESS(ROW(D382)-1, Source!$E382)), Source!$C382), D381))</f>
        <v>VCPRTPM</v>
      </c>
      <c r="E382" s="2" t="str">
        <f>IF(Source!$E382=COLUMNS($A382:E382), LEFT(E381, LEN(E381)-Source!$C382), IF(Source!$G382=COLUMNS($A382:E382), E381&amp;RIGHT(INDIRECT(ADDRESS(ROW(E382)-1, Source!$E382)), Source!$C382), E381))</f>
        <v>FDDS</v>
      </c>
      <c r="F382" s="2" t="str">
        <f>IF(Source!$E382=COLUMNS($A382:F382), LEFT(F381, LEN(F381)-Source!$C382), IF(Source!$G382=COLUMNS($A382:F382), F381&amp;RIGHT(INDIRECT(ADDRESS(ROW(F382)-1, Source!$E382)), Source!$C382), F381))</f>
        <v>T</v>
      </c>
      <c r="G382" s="2" t="str">
        <f>IF(Source!$E382=COLUMNS($A382:G382), LEFT(G381, LEN(G381)-Source!$C382), IF(Source!$G382=COLUMNS($A382:G382), G381&amp;RIGHT(INDIRECT(ADDRESS(ROW(G382)-1, Source!$E382)), Source!$C382), G381))</f>
        <v>L</v>
      </c>
      <c r="H382" s="2" t="str">
        <f>IF(Source!$E382=COLUMNS($A382:H382), LEFT(H381, LEN(H381)-Source!$C382), IF(Source!$G382=COLUMNS($A382:H382), H381&amp;RIGHT(INDIRECT(ADDRESS(ROW(H382)-1, Source!$E382)), Source!$C382), H381))</f>
        <v>SW</v>
      </c>
      <c r="I382" s="2" t="str">
        <f>IF(Source!$E382=COLUMNS($A382:I382), LEFT(I381, LEN(I381)-Source!$C382), IF(Source!$G382=COLUMNS($A382:I382), I381&amp;RIGHT(INDIRECT(ADDRESS(ROW(I382)-1, Source!$E382)), Source!$C382), I381))</f>
        <v>JRJTLBDQR</v>
      </c>
    </row>
    <row r="383">
      <c r="A383" s="2" t="str">
        <f>IF(Source!$E383=COLUMNS($A383:A383), LEFT(A382, LEN(A382)-Source!$C383), IF(Source!$G383=COLUMNS($A383:A383), A382&amp;RIGHT(INDIRECT(ADDRESS(ROW(A383)-1, Source!$E383)), Source!$C383), A382))</f>
        <v>GTCVZBZHRZMBQSVSDHRMBLDT</v>
      </c>
      <c r="B383" s="2" t="str">
        <f>IF(Source!$E383=COLUMNS($A383:B383), LEFT(B382, LEN(B382)-Source!$C383), IF(Source!$G383=COLUMNS($A383:B383), B382&amp;RIGHT(INDIRECT(ADDRESS(ROW(B383)-1, Source!$E383)), Source!$C383), B382))</f>
        <v>CWDJTPG</v>
      </c>
      <c r="C383" s="2" t="str">
        <f>IF(Source!$E383=COLUMNS($A383:C383), LEFT(C382, LEN(C382)-Source!$C383), IF(Source!$G383=COLUMNS($A383:C383), C382&amp;RIGHT(INDIRECT(ADDRESS(ROW(C383)-1, Source!$E383)), Source!$C383), C382))</f>
        <v>F</v>
      </c>
      <c r="D383" s="2" t="str">
        <f>IF(Source!$E383=COLUMNS($A383:D383), LEFT(D382, LEN(D382)-Source!$C383), IF(Source!$G383=COLUMNS($A383:D383), D382&amp;RIGHT(INDIRECT(ADDRESS(ROW(D383)-1, Source!$E383)), Source!$C383), D382))</f>
        <v>VCPRTPM</v>
      </c>
      <c r="E383" s="2" t="str">
        <f>IF(Source!$E383=COLUMNS($A383:E383), LEFT(E382, LEN(E382)-Source!$C383), IF(Source!$G383=COLUMNS($A383:E383), E382&amp;RIGHT(INDIRECT(ADDRESS(ROW(E383)-1, Source!$E383)), Source!$C383), E382))</f>
        <v>FDDST</v>
      </c>
      <c r="F383" s="2" t="str">
        <f>IF(Source!$E383=COLUMNS($A383:F383), LEFT(F382, LEN(F382)-Source!$C383), IF(Source!$G383=COLUMNS($A383:F383), F382&amp;RIGHT(INDIRECT(ADDRESS(ROW(F383)-1, Source!$E383)), Source!$C383), F382))</f>
        <v/>
      </c>
      <c r="G383" s="2" t="str">
        <f>IF(Source!$E383=COLUMNS($A383:G383), LEFT(G382, LEN(G382)-Source!$C383), IF(Source!$G383=COLUMNS($A383:G383), G382&amp;RIGHT(INDIRECT(ADDRESS(ROW(G383)-1, Source!$E383)), Source!$C383), G382))</f>
        <v>L</v>
      </c>
      <c r="H383" s="2" t="str">
        <f>IF(Source!$E383=COLUMNS($A383:H383), LEFT(H382, LEN(H382)-Source!$C383), IF(Source!$G383=COLUMNS($A383:H383), H382&amp;RIGHT(INDIRECT(ADDRESS(ROW(H383)-1, Source!$E383)), Source!$C383), H382))</f>
        <v>SW</v>
      </c>
      <c r="I383" s="2" t="str">
        <f>IF(Source!$E383=COLUMNS($A383:I383), LEFT(I382, LEN(I382)-Source!$C383), IF(Source!$G383=COLUMNS($A383:I383), I382&amp;RIGHT(INDIRECT(ADDRESS(ROW(I383)-1, Source!$E383)), Source!$C383), I382))</f>
        <v>JRJTLBDQR</v>
      </c>
    </row>
    <row r="384">
      <c r="A384" s="2" t="str">
        <f>IF(Source!$E384=COLUMNS($A384:A384), LEFT(A383, LEN(A383)-Source!$C384), IF(Source!$G384=COLUMNS($A384:A384), A383&amp;RIGHT(INDIRECT(ADDRESS(ROW(A384)-1, Source!$E384)), Source!$C384), A383))</f>
        <v>GTCVZBZHRZMBQSVSDHRMBLDT</v>
      </c>
      <c r="B384" s="2" t="str">
        <f>IF(Source!$E384=COLUMNS($A384:B384), LEFT(B383, LEN(B383)-Source!$C384), IF(Source!$G384=COLUMNS($A384:B384), B383&amp;RIGHT(INDIRECT(ADDRESS(ROW(B384)-1, Source!$E384)), Source!$C384), B383))</f>
        <v>CWDJTP</v>
      </c>
      <c r="C384" s="2" t="str">
        <f>IF(Source!$E384=COLUMNS($A384:C384), LEFT(C383, LEN(C383)-Source!$C384), IF(Source!$G384=COLUMNS($A384:C384), C383&amp;RIGHT(INDIRECT(ADDRESS(ROW(C384)-1, Source!$E384)), Source!$C384), C383))</f>
        <v>F</v>
      </c>
      <c r="D384" s="2" t="str">
        <f>IF(Source!$E384=COLUMNS($A384:D384), LEFT(D383, LEN(D383)-Source!$C384), IF(Source!$G384=COLUMNS($A384:D384), D383&amp;RIGHT(INDIRECT(ADDRESS(ROW(D384)-1, Source!$E384)), Source!$C384), D383))</f>
        <v>VCPRTPM</v>
      </c>
      <c r="E384" s="2" t="str">
        <f>IF(Source!$E384=COLUMNS($A384:E384), LEFT(E383, LEN(E383)-Source!$C384), IF(Source!$G384=COLUMNS($A384:E384), E383&amp;RIGHT(INDIRECT(ADDRESS(ROW(E384)-1, Source!$E384)), Source!$C384), E383))</f>
        <v>FDDST</v>
      </c>
      <c r="F384" s="2" t="str">
        <f>IF(Source!$E384=COLUMNS($A384:F384), LEFT(F383, LEN(F383)-Source!$C384), IF(Source!$G384=COLUMNS($A384:F384), F383&amp;RIGHT(INDIRECT(ADDRESS(ROW(F384)-1, Source!$E384)), Source!$C384), F383))</f>
        <v/>
      </c>
      <c r="G384" s="2" t="str">
        <f>IF(Source!$E384=COLUMNS($A384:G384), LEFT(G383, LEN(G383)-Source!$C384), IF(Source!$G384=COLUMNS($A384:G384), G383&amp;RIGHT(INDIRECT(ADDRESS(ROW(G384)-1, Source!$E384)), Source!$C384), G383))</f>
        <v>LG</v>
      </c>
      <c r="H384" s="2" t="str">
        <f>IF(Source!$E384=COLUMNS($A384:H384), LEFT(H383, LEN(H383)-Source!$C384), IF(Source!$G384=COLUMNS($A384:H384), H383&amp;RIGHT(INDIRECT(ADDRESS(ROW(H384)-1, Source!$E384)), Source!$C384), H383))</f>
        <v>SW</v>
      </c>
      <c r="I384" s="2" t="str">
        <f>IF(Source!$E384=COLUMNS($A384:I384), LEFT(I383, LEN(I383)-Source!$C384), IF(Source!$G384=COLUMNS($A384:I384), I383&amp;RIGHT(INDIRECT(ADDRESS(ROW(I384)-1, Source!$E384)), Source!$C384), I383))</f>
        <v>JRJTLBDQR</v>
      </c>
    </row>
    <row r="385">
      <c r="A385" s="2" t="str">
        <f>IF(Source!$E385=COLUMNS($A385:A385), LEFT(A384, LEN(A384)-Source!$C385), IF(Source!$G385=COLUMNS($A385:A385), A384&amp;RIGHT(INDIRECT(ADDRESS(ROW(A385)-1, Source!$E385)), Source!$C385), A384))</f>
        <v>GTCVZBZHRZMBQSVSDHRMBLDTPM</v>
      </c>
      <c r="B385" s="2" t="str">
        <f>IF(Source!$E385=COLUMNS($A385:B385), LEFT(B384, LEN(B384)-Source!$C385), IF(Source!$G385=COLUMNS($A385:B385), B384&amp;RIGHT(INDIRECT(ADDRESS(ROW(B385)-1, Source!$E385)), Source!$C385), B384))</f>
        <v>CWDJTP</v>
      </c>
      <c r="C385" s="2" t="str">
        <f>IF(Source!$E385=COLUMNS($A385:C385), LEFT(C384, LEN(C384)-Source!$C385), IF(Source!$G385=COLUMNS($A385:C385), C384&amp;RIGHT(INDIRECT(ADDRESS(ROW(C385)-1, Source!$E385)), Source!$C385), C384))</f>
        <v>F</v>
      </c>
      <c r="D385" s="2" t="str">
        <f>IF(Source!$E385=COLUMNS($A385:D385), LEFT(D384, LEN(D384)-Source!$C385), IF(Source!$G385=COLUMNS($A385:D385), D384&amp;RIGHT(INDIRECT(ADDRESS(ROW(D385)-1, Source!$E385)), Source!$C385), D384))</f>
        <v>VCPRT</v>
      </c>
      <c r="E385" s="2" t="str">
        <f>IF(Source!$E385=COLUMNS($A385:E385), LEFT(E384, LEN(E384)-Source!$C385), IF(Source!$G385=COLUMNS($A385:E385), E384&amp;RIGHT(INDIRECT(ADDRESS(ROW(E385)-1, Source!$E385)), Source!$C385), E384))</f>
        <v>FDDST</v>
      </c>
      <c r="F385" s="2" t="str">
        <f>IF(Source!$E385=COLUMNS($A385:F385), LEFT(F384, LEN(F384)-Source!$C385), IF(Source!$G385=COLUMNS($A385:F385), F384&amp;RIGHT(INDIRECT(ADDRESS(ROW(F385)-1, Source!$E385)), Source!$C385), F384))</f>
        <v/>
      </c>
      <c r="G385" s="2" t="str">
        <f>IF(Source!$E385=COLUMNS($A385:G385), LEFT(G384, LEN(G384)-Source!$C385), IF(Source!$G385=COLUMNS($A385:G385), G384&amp;RIGHT(INDIRECT(ADDRESS(ROW(G385)-1, Source!$E385)), Source!$C385), G384))</f>
        <v>LG</v>
      </c>
      <c r="H385" s="2" t="str">
        <f>IF(Source!$E385=COLUMNS($A385:H385), LEFT(H384, LEN(H384)-Source!$C385), IF(Source!$G385=COLUMNS($A385:H385), H384&amp;RIGHT(INDIRECT(ADDRESS(ROW(H385)-1, Source!$E385)), Source!$C385), H384))</f>
        <v>SW</v>
      </c>
      <c r="I385" s="2" t="str">
        <f>IF(Source!$E385=COLUMNS($A385:I385), LEFT(I384, LEN(I384)-Source!$C385), IF(Source!$G385=COLUMNS($A385:I385), I384&amp;RIGHT(INDIRECT(ADDRESS(ROW(I385)-1, Source!$E385)), Source!$C385), I384))</f>
        <v>JRJTLBDQR</v>
      </c>
    </row>
    <row r="386">
      <c r="A386" s="2" t="str">
        <f>IF(Source!$E386=COLUMNS($A386:A386), LEFT(A385, LEN(A385)-Source!$C386), IF(Source!$G386=COLUMNS($A386:A386), A385&amp;RIGHT(INDIRECT(ADDRESS(ROW(A386)-1, Source!$E386)), Source!$C386), A385))</f>
        <v>GTCVZBZH</v>
      </c>
      <c r="B386" s="2" t="str">
        <f>IF(Source!$E386=COLUMNS($A386:B386), LEFT(B385, LEN(B385)-Source!$C386), IF(Source!$G386=COLUMNS($A386:B386), B385&amp;RIGHT(INDIRECT(ADDRESS(ROW(B386)-1, Source!$E386)), Source!$C386), B385))</f>
        <v>CWDJTP</v>
      </c>
      <c r="C386" s="2" t="str">
        <f>IF(Source!$E386=COLUMNS($A386:C386), LEFT(C385, LEN(C385)-Source!$C386), IF(Source!$G386=COLUMNS($A386:C386), C385&amp;RIGHT(INDIRECT(ADDRESS(ROW(C386)-1, Source!$E386)), Source!$C386), C385))</f>
        <v>FRZMBQSVSDHRMBLDTPM</v>
      </c>
      <c r="D386" s="2" t="str">
        <f>IF(Source!$E386=COLUMNS($A386:D386), LEFT(D385, LEN(D385)-Source!$C386), IF(Source!$G386=COLUMNS($A386:D386), D385&amp;RIGHT(INDIRECT(ADDRESS(ROW(D386)-1, Source!$E386)), Source!$C386), D385))</f>
        <v>VCPRT</v>
      </c>
      <c r="E386" s="2" t="str">
        <f>IF(Source!$E386=COLUMNS($A386:E386), LEFT(E385, LEN(E385)-Source!$C386), IF(Source!$G386=COLUMNS($A386:E386), E385&amp;RIGHT(INDIRECT(ADDRESS(ROW(E386)-1, Source!$E386)), Source!$C386), E385))</f>
        <v>FDDST</v>
      </c>
      <c r="F386" s="2" t="str">
        <f>IF(Source!$E386=COLUMNS($A386:F386), LEFT(F385, LEN(F385)-Source!$C386), IF(Source!$G386=COLUMNS($A386:F386), F385&amp;RIGHT(INDIRECT(ADDRESS(ROW(F386)-1, Source!$E386)), Source!$C386), F385))</f>
        <v/>
      </c>
      <c r="G386" s="2" t="str">
        <f>IF(Source!$E386=COLUMNS($A386:G386), LEFT(G385, LEN(G385)-Source!$C386), IF(Source!$G386=COLUMNS($A386:G386), G385&amp;RIGHT(INDIRECT(ADDRESS(ROW(G386)-1, Source!$E386)), Source!$C386), G385))</f>
        <v>LG</v>
      </c>
      <c r="H386" s="2" t="str">
        <f>IF(Source!$E386=COLUMNS($A386:H386), LEFT(H385, LEN(H385)-Source!$C386), IF(Source!$G386=COLUMNS($A386:H386), H385&amp;RIGHT(INDIRECT(ADDRESS(ROW(H386)-1, Source!$E386)), Source!$C386), H385))</f>
        <v>SW</v>
      </c>
      <c r="I386" s="2" t="str">
        <f>IF(Source!$E386=COLUMNS($A386:I386), LEFT(I385, LEN(I385)-Source!$C386), IF(Source!$G386=COLUMNS($A386:I386), I385&amp;RIGHT(INDIRECT(ADDRESS(ROW(I386)-1, Source!$E386)), Source!$C386), I385))</f>
        <v>JRJTLBDQR</v>
      </c>
    </row>
    <row r="387">
      <c r="A387" s="2" t="str">
        <f>IF(Source!$E387=COLUMNS($A387:A387), LEFT(A386, LEN(A386)-Source!$C387), IF(Source!$G387=COLUMNS($A387:A387), A386&amp;RIGHT(INDIRECT(ADDRESS(ROW(A387)-1, Source!$E387)), Source!$C387), A386))</f>
        <v>GTCVZBZH</v>
      </c>
      <c r="B387" s="2" t="str">
        <f>IF(Source!$E387=COLUMNS($A387:B387), LEFT(B386, LEN(B386)-Source!$C387), IF(Source!$G387=COLUMNS($A387:B387), B386&amp;RIGHT(INDIRECT(ADDRESS(ROW(B387)-1, Source!$E387)), Source!$C387), B386))</f>
        <v>CWDJTP</v>
      </c>
      <c r="C387" s="2" t="str">
        <f>IF(Source!$E387=COLUMNS($A387:C387), LEFT(C386, LEN(C386)-Source!$C387), IF(Source!$G387=COLUMNS($A387:C387), C386&amp;RIGHT(INDIRECT(ADDRESS(ROW(C387)-1, Source!$E387)), Source!$C387), C386))</f>
        <v>FRZMBQSVSDHRMBLDTPM</v>
      </c>
      <c r="D387" s="2" t="str">
        <f>IF(Source!$E387=COLUMNS($A387:D387), LEFT(D386, LEN(D386)-Source!$C387), IF(Source!$G387=COLUMNS($A387:D387), D386&amp;RIGHT(INDIRECT(ADDRESS(ROW(D387)-1, Source!$E387)), Source!$C387), D386))</f>
        <v>VCPRTRJTLBDQR</v>
      </c>
      <c r="E387" s="2" t="str">
        <f>IF(Source!$E387=COLUMNS($A387:E387), LEFT(E386, LEN(E386)-Source!$C387), IF(Source!$G387=COLUMNS($A387:E387), E386&amp;RIGHT(INDIRECT(ADDRESS(ROW(E387)-1, Source!$E387)), Source!$C387), E386))</f>
        <v>FDDST</v>
      </c>
      <c r="F387" s="2" t="str">
        <f>IF(Source!$E387=COLUMNS($A387:F387), LEFT(F386, LEN(F386)-Source!$C387), IF(Source!$G387=COLUMNS($A387:F387), F386&amp;RIGHT(INDIRECT(ADDRESS(ROW(F387)-1, Source!$E387)), Source!$C387), F386))</f>
        <v/>
      </c>
      <c r="G387" s="2" t="str">
        <f>IF(Source!$E387=COLUMNS($A387:G387), LEFT(G386, LEN(G386)-Source!$C387), IF(Source!$G387=COLUMNS($A387:G387), G386&amp;RIGHT(INDIRECT(ADDRESS(ROW(G387)-1, Source!$E387)), Source!$C387), G386))</f>
        <v>LG</v>
      </c>
      <c r="H387" s="2" t="str">
        <f>IF(Source!$E387=COLUMNS($A387:H387), LEFT(H386, LEN(H386)-Source!$C387), IF(Source!$G387=COLUMNS($A387:H387), H386&amp;RIGHT(INDIRECT(ADDRESS(ROW(H387)-1, Source!$E387)), Source!$C387), H386))</f>
        <v>SW</v>
      </c>
      <c r="I387" s="2" t="str">
        <f>IF(Source!$E387=COLUMNS($A387:I387), LEFT(I386, LEN(I386)-Source!$C387), IF(Source!$G387=COLUMNS($A387:I387), I386&amp;RIGHT(INDIRECT(ADDRESS(ROW(I387)-1, Source!$E387)), Source!$C387), I386))</f>
        <v>J</v>
      </c>
    </row>
    <row r="388">
      <c r="A388" s="2" t="str">
        <f>IF(Source!$E388=COLUMNS($A388:A388), LEFT(A387, LEN(A387)-Source!$C388), IF(Source!$G388=COLUMNS($A388:A388), A387&amp;RIGHT(INDIRECT(ADDRESS(ROW(A388)-1, Source!$E388)), Source!$C388), A387))</f>
        <v>GTCVZBZH</v>
      </c>
      <c r="B388" s="2" t="str">
        <f>IF(Source!$E388=COLUMNS($A388:B388), LEFT(B387, LEN(B387)-Source!$C388), IF(Source!$G388=COLUMNS($A388:B388), B387&amp;RIGHT(INDIRECT(ADDRESS(ROW(B388)-1, Source!$E388)), Source!$C388), B387))</f>
        <v>CWDJTP</v>
      </c>
      <c r="C388" s="2" t="str">
        <f>IF(Source!$E388=COLUMNS($A388:C388), LEFT(C387, LEN(C387)-Source!$C388), IF(Source!$G388=COLUMNS($A388:C388), C387&amp;RIGHT(INDIRECT(ADDRESS(ROW(C388)-1, Source!$E388)), Source!$C388), C387))</f>
        <v>FRZM</v>
      </c>
      <c r="D388" s="2" t="str">
        <f>IF(Source!$E388=COLUMNS($A388:D388), LEFT(D387, LEN(D387)-Source!$C388), IF(Source!$G388=COLUMNS($A388:D388), D387&amp;RIGHT(INDIRECT(ADDRESS(ROW(D388)-1, Source!$E388)), Source!$C388), D387))</f>
        <v>VCPRTRJTLBDQR</v>
      </c>
      <c r="E388" s="2" t="str">
        <f>IF(Source!$E388=COLUMNS($A388:E388), LEFT(E387, LEN(E387)-Source!$C388), IF(Source!$G388=COLUMNS($A388:E388), E387&amp;RIGHT(INDIRECT(ADDRESS(ROW(E388)-1, Source!$E388)), Source!$C388), E387))</f>
        <v>FDDST</v>
      </c>
      <c r="F388" s="2" t="str">
        <f>IF(Source!$E388=COLUMNS($A388:F388), LEFT(F387, LEN(F387)-Source!$C388), IF(Source!$G388=COLUMNS($A388:F388), F387&amp;RIGHT(INDIRECT(ADDRESS(ROW(F388)-1, Source!$E388)), Source!$C388), F387))</f>
        <v/>
      </c>
      <c r="G388" s="2" t="str">
        <f>IF(Source!$E388=COLUMNS($A388:G388), LEFT(G387, LEN(G387)-Source!$C388), IF(Source!$G388=COLUMNS($A388:G388), G387&amp;RIGHT(INDIRECT(ADDRESS(ROW(G388)-1, Source!$E388)), Source!$C388), G387))</f>
        <v>LG</v>
      </c>
      <c r="H388" s="2" t="str">
        <f>IF(Source!$E388=COLUMNS($A388:H388), LEFT(H387, LEN(H387)-Source!$C388), IF(Source!$G388=COLUMNS($A388:H388), H387&amp;RIGHT(INDIRECT(ADDRESS(ROW(H388)-1, Source!$E388)), Source!$C388), H387))</f>
        <v>SW</v>
      </c>
      <c r="I388" s="2" t="str">
        <f>IF(Source!$E388=COLUMNS($A388:I388), LEFT(I387, LEN(I387)-Source!$C388), IF(Source!$G388=COLUMNS($A388:I388), I387&amp;RIGHT(INDIRECT(ADDRESS(ROW(I388)-1, Source!$E388)), Source!$C388), I387))</f>
        <v>JBQSVSDHRMBLDTPM</v>
      </c>
    </row>
    <row r="389">
      <c r="A389" s="2" t="str">
        <f>IF(Source!$E389=COLUMNS($A389:A389), LEFT(A388, LEN(A388)-Source!$C389), IF(Source!$G389=COLUMNS($A389:A389), A388&amp;RIGHT(INDIRECT(ADDRESS(ROW(A389)-1, Source!$E389)), Source!$C389), A388))</f>
        <v>GTCVZBZH</v>
      </c>
      <c r="B389" s="2" t="str">
        <f>IF(Source!$E389=COLUMNS($A389:B389), LEFT(B388, LEN(B388)-Source!$C389), IF(Source!$G389=COLUMNS($A389:B389), B388&amp;RIGHT(INDIRECT(ADDRESS(ROW(B389)-1, Source!$E389)), Source!$C389), B388))</f>
        <v>CWDJTP</v>
      </c>
      <c r="C389" s="2" t="str">
        <f>IF(Source!$E389=COLUMNS($A389:C389), LEFT(C388, LEN(C388)-Source!$C389), IF(Source!$G389=COLUMNS($A389:C389), C388&amp;RIGHT(INDIRECT(ADDRESS(ROW(C389)-1, Source!$E389)), Source!$C389), C388))</f>
        <v>FRZM</v>
      </c>
      <c r="D389" s="2" t="str">
        <f>IF(Source!$E389=COLUMNS($A389:D389), LEFT(D388, LEN(D388)-Source!$C389), IF(Source!$G389=COLUMNS($A389:D389), D388&amp;RIGHT(INDIRECT(ADDRESS(ROW(D389)-1, Source!$E389)), Source!$C389), D388))</f>
        <v>VCPRTRJTLB</v>
      </c>
      <c r="E389" s="2" t="str">
        <f>IF(Source!$E389=COLUMNS($A389:E389), LEFT(E388, LEN(E388)-Source!$C389), IF(Source!$G389=COLUMNS($A389:E389), E388&amp;RIGHT(INDIRECT(ADDRESS(ROW(E389)-1, Source!$E389)), Source!$C389), E388))</f>
        <v>FDDST</v>
      </c>
      <c r="F389" s="2" t="str">
        <f>IF(Source!$E389=COLUMNS($A389:F389), LEFT(F388, LEN(F388)-Source!$C389), IF(Source!$G389=COLUMNS($A389:F389), F388&amp;RIGHT(INDIRECT(ADDRESS(ROW(F389)-1, Source!$E389)), Source!$C389), F388))</f>
        <v/>
      </c>
      <c r="G389" s="2" t="str">
        <f>IF(Source!$E389=COLUMNS($A389:G389), LEFT(G388, LEN(G388)-Source!$C389), IF(Source!$G389=COLUMNS($A389:G389), G388&amp;RIGHT(INDIRECT(ADDRESS(ROW(G389)-1, Source!$E389)), Source!$C389), G388))</f>
        <v>LG</v>
      </c>
      <c r="H389" s="2" t="str">
        <f>IF(Source!$E389=COLUMNS($A389:H389), LEFT(H388, LEN(H388)-Source!$C389), IF(Source!$G389=COLUMNS($A389:H389), H388&amp;RIGHT(INDIRECT(ADDRESS(ROW(H389)-1, Source!$E389)), Source!$C389), H388))</f>
        <v>SWDQR</v>
      </c>
      <c r="I389" s="2" t="str">
        <f>IF(Source!$E389=COLUMNS($A389:I389), LEFT(I388, LEN(I388)-Source!$C389), IF(Source!$G389=COLUMNS($A389:I389), I388&amp;RIGHT(INDIRECT(ADDRESS(ROW(I389)-1, Source!$E389)), Source!$C389), I388))</f>
        <v>JBQSVSDHRMBLDTPM</v>
      </c>
    </row>
    <row r="390">
      <c r="A390" s="2" t="str">
        <f>IF(Source!$E390=COLUMNS($A390:A390), LEFT(A389, LEN(A389)-Source!$C390), IF(Source!$G390=COLUMNS($A390:A390), A389&amp;RIGHT(INDIRECT(ADDRESS(ROW(A390)-1, Source!$E390)), Source!$C390), A389))</f>
        <v>GTCVZBZH</v>
      </c>
      <c r="B390" s="2" t="str">
        <f>IF(Source!$E390=COLUMNS($A390:B390), LEFT(B389, LEN(B389)-Source!$C390), IF(Source!$G390=COLUMNS($A390:B390), B389&amp;RIGHT(INDIRECT(ADDRESS(ROW(B390)-1, Source!$E390)), Source!$C390), B389))</f>
        <v>CWDJTP</v>
      </c>
      <c r="C390" s="2" t="str">
        <f>IF(Source!$E390=COLUMNS($A390:C390), LEFT(C389, LEN(C389)-Source!$C390), IF(Source!$G390=COLUMNS($A390:C390), C389&amp;RIGHT(INDIRECT(ADDRESS(ROW(C390)-1, Source!$E390)), Source!$C390), C389))</f>
        <v>FRZM</v>
      </c>
      <c r="D390" s="2" t="str">
        <f>IF(Source!$E390=COLUMNS($A390:D390), LEFT(D389, LEN(D389)-Source!$C390), IF(Source!$G390=COLUMNS($A390:D390), D389&amp;RIGHT(INDIRECT(ADDRESS(ROW(D390)-1, Source!$E390)), Source!$C390), D389))</f>
        <v>VCPRTRJTLB</v>
      </c>
      <c r="E390" s="2" t="str">
        <f>IF(Source!$E390=COLUMNS($A390:E390), LEFT(E389, LEN(E389)-Source!$C390), IF(Source!$G390=COLUMNS($A390:E390), E389&amp;RIGHT(INDIRECT(ADDRESS(ROW(E390)-1, Source!$E390)), Source!$C390), E389))</f>
        <v>F</v>
      </c>
      <c r="F390" s="2" t="str">
        <f>IF(Source!$E390=COLUMNS($A390:F390), LEFT(F389, LEN(F389)-Source!$C390), IF(Source!$G390=COLUMNS($A390:F390), F389&amp;RIGHT(INDIRECT(ADDRESS(ROW(F390)-1, Source!$E390)), Source!$C390), F389))</f>
        <v/>
      </c>
      <c r="G390" s="2" t="str">
        <f>IF(Source!$E390=COLUMNS($A390:G390), LEFT(G389, LEN(G389)-Source!$C390), IF(Source!$G390=COLUMNS($A390:G390), G389&amp;RIGHT(INDIRECT(ADDRESS(ROW(G390)-1, Source!$E390)), Source!$C390), G389))</f>
        <v>LG</v>
      </c>
      <c r="H390" s="2" t="str">
        <f>IF(Source!$E390=COLUMNS($A390:H390), LEFT(H389, LEN(H389)-Source!$C390), IF(Source!$G390=COLUMNS($A390:H390), H389&amp;RIGHT(INDIRECT(ADDRESS(ROW(H390)-1, Source!$E390)), Source!$C390), H389))</f>
        <v>SWDQRDDST</v>
      </c>
      <c r="I390" s="2" t="str">
        <f>IF(Source!$E390=COLUMNS($A390:I390), LEFT(I389, LEN(I389)-Source!$C390), IF(Source!$G390=COLUMNS($A390:I390), I389&amp;RIGHT(INDIRECT(ADDRESS(ROW(I390)-1, Source!$E390)), Source!$C390), I389))</f>
        <v>JBQSVSDHRMBLDTPM</v>
      </c>
    </row>
    <row r="391">
      <c r="A391" s="2" t="str">
        <f>IF(Source!$E391=COLUMNS($A391:A391), LEFT(A390, LEN(A390)-Source!$C391), IF(Source!$G391=COLUMNS($A391:A391), A390&amp;RIGHT(INDIRECT(ADDRESS(ROW(A391)-1, Source!$E391)), Source!$C391), A390))</f>
        <v>GTCVZBZH</v>
      </c>
      <c r="B391" s="2" t="str">
        <f>IF(Source!$E391=COLUMNS($A391:B391), LEFT(B390, LEN(B390)-Source!$C391), IF(Source!$G391=COLUMNS($A391:B391), B390&amp;RIGHT(INDIRECT(ADDRESS(ROW(B391)-1, Source!$E391)), Source!$C391), B390))</f>
        <v>CW</v>
      </c>
      <c r="C391" s="2" t="str">
        <f>IF(Source!$E391=COLUMNS($A391:C391), LEFT(C390, LEN(C390)-Source!$C391), IF(Source!$G391=COLUMNS($A391:C391), C390&amp;RIGHT(INDIRECT(ADDRESS(ROW(C391)-1, Source!$E391)), Source!$C391), C390))</f>
        <v>FRZM</v>
      </c>
      <c r="D391" s="2" t="str">
        <f>IF(Source!$E391=COLUMNS($A391:D391), LEFT(D390, LEN(D390)-Source!$C391), IF(Source!$G391=COLUMNS($A391:D391), D390&amp;RIGHT(INDIRECT(ADDRESS(ROW(D391)-1, Source!$E391)), Source!$C391), D390))</f>
        <v>VCPRTRJTLBDJTP</v>
      </c>
      <c r="E391" s="2" t="str">
        <f>IF(Source!$E391=COLUMNS($A391:E391), LEFT(E390, LEN(E390)-Source!$C391), IF(Source!$G391=COLUMNS($A391:E391), E390&amp;RIGHT(INDIRECT(ADDRESS(ROW(E391)-1, Source!$E391)), Source!$C391), E390))</f>
        <v>F</v>
      </c>
      <c r="F391" s="2" t="str">
        <f>IF(Source!$E391=COLUMNS($A391:F391), LEFT(F390, LEN(F390)-Source!$C391), IF(Source!$G391=COLUMNS($A391:F391), F390&amp;RIGHT(INDIRECT(ADDRESS(ROW(F391)-1, Source!$E391)), Source!$C391), F390))</f>
        <v/>
      </c>
      <c r="G391" s="2" t="str">
        <f>IF(Source!$E391=COLUMNS($A391:G391), LEFT(G390, LEN(G390)-Source!$C391), IF(Source!$G391=COLUMNS($A391:G391), G390&amp;RIGHT(INDIRECT(ADDRESS(ROW(G391)-1, Source!$E391)), Source!$C391), G390))</f>
        <v>LG</v>
      </c>
      <c r="H391" s="2" t="str">
        <f>IF(Source!$E391=COLUMNS($A391:H391), LEFT(H390, LEN(H390)-Source!$C391), IF(Source!$G391=COLUMNS($A391:H391), H390&amp;RIGHT(INDIRECT(ADDRESS(ROW(H391)-1, Source!$E391)), Source!$C391), H390))</f>
        <v>SWDQRDDST</v>
      </c>
      <c r="I391" s="2" t="str">
        <f>IF(Source!$E391=COLUMNS($A391:I391), LEFT(I390, LEN(I390)-Source!$C391), IF(Source!$G391=COLUMNS($A391:I391), I390&amp;RIGHT(INDIRECT(ADDRESS(ROW(I391)-1, Source!$E391)), Source!$C391), I390))</f>
        <v>JBQSVSDHRMBLDTPM</v>
      </c>
    </row>
    <row r="392">
      <c r="A392" s="2" t="str">
        <f>IF(Source!$E392=COLUMNS($A392:A392), LEFT(A391, LEN(A391)-Source!$C392), IF(Source!$G392=COLUMNS($A392:A392), A391&amp;RIGHT(INDIRECT(ADDRESS(ROW(A392)-1, Source!$E392)), Source!$C392), A391))</f>
        <v>GTCVZBZH</v>
      </c>
      <c r="B392" s="2" t="str">
        <f>IF(Source!$E392=COLUMNS($A392:B392), LEFT(B391, LEN(B391)-Source!$C392), IF(Source!$G392=COLUMNS($A392:B392), B391&amp;RIGHT(INDIRECT(ADDRESS(ROW(B392)-1, Source!$E392)), Source!$C392), B391))</f>
        <v>CW</v>
      </c>
      <c r="C392" s="2" t="str">
        <f>IF(Source!$E392=COLUMNS($A392:C392), LEFT(C391, LEN(C391)-Source!$C392), IF(Source!$G392=COLUMNS($A392:C392), C391&amp;RIGHT(INDIRECT(ADDRESS(ROW(C392)-1, Source!$E392)), Source!$C392), C391))</f>
        <v>FRZM</v>
      </c>
      <c r="D392" s="2" t="str">
        <f>IF(Source!$E392=COLUMNS($A392:D392), LEFT(D391, LEN(D391)-Source!$C392), IF(Source!$G392=COLUMNS($A392:D392), D391&amp;RIGHT(INDIRECT(ADDRESS(ROW(D392)-1, Source!$E392)), Source!$C392), D391))</f>
        <v>VCPRTRJTLBDJTPDHRMBLDTPM</v>
      </c>
      <c r="E392" s="2" t="str">
        <f>IF(Source!$E392=COLUMNS($A392:E392), LEFT(E391, LEN(E391)-Source!$C392), IF(Source!$G392=COLUMNS($A392:E392), E391&amp;RIGHT(INDIRECT(ADDRESS(ROW(E392)-1, Source!$E392)), Source!$C392), E391))</f>
        <v>F</v>
      </c>
      <c r="F392" s="2" t="str">
        <f>IF(Source!$E392=COLUMNS($A392:F392), LEFT(F391, LEN(F391)-Source!$C392), IF(Source!$G392=COLUMNS($A392:F392), F391&amp;RIGHT(INDIRECT(ADDRESS(ROW(F392)-1, Source!$E392)), Source!$C392), F391))</f>
        <v/>
      </c>
      <c r="G392" s="2" t="str">
        <f>IF(Source!$E392=COLUMNS($A392:G392), LEFT(G391, LEN(G391)-Source!$C392), IF(Source!$G392=COLUMNS($A392:G392), G391&amp;RIGHT(INDIRECT(ADDRESS(ROW(G392)-1, Source!$E392)), Source!$C392), G391))</f>
        <v>LG</v>
      </c>
      <c r="H392" s="2" t="str">
        <f>IF(Source!$E392=COLUMNS($A392:H392), LEFT(H391, LEN(H391)-Source!$C392), IF(Source!$G392=COLUMNS($A392:H392), H391&amp;RIGHT(INDIRECT(ADDRESS(ROW(H392)-1, Source!$E392)), Source!$C392), H391))</f>
        <v>SWDQRDDST</v>
      </c>
      <c r="I392" s="2" t="str">
        <f>IF(Source!$E392=COLUMNS($A392:I392), LEFT(I391, LEN(I391)-Source!$C392), IF(Source!$G392=COLUMNS($A392:I392), I391&amp;RIGHT(INDIRECT(ADDRESS(ROW(I392)-1, Source!$E392)), Source!$C392), I391))</f>
        <v>JBQSVS</v>
      </c>
    </row>
    <row r="393">
      <c r="A393" s="2" t="str">
        <f>IF(Source!$E393=COLUMNS($A393:A393), LEFT(A392, LEN(A392)-Source!$C393), IF(Source!$G393=COLUMNS($A393:A393), A392&amp;RIGHT(INDIRECT(ADDRESS(ROW(A393)-1, Source!$E393)), Source!$C393), A392))</f>
        <v>GTCVZBZH</v>
      </c>
      <c r="B393" s="2" t="str">
        <f>IF(Source!$E393=COLUMNS($A393:B393), LEFT(B392, LEN(B392)-Source!$C393), IF(Source!$G393=COLUMNS($A393:B393), B392&amp;RIGHT(INDIRECT(ADDRESS(ROW(B393)-1, Source!$E393)), Source!$C393), B392))</f>
        <v>CW</v>
      </c>
      <c r="C393" s="2" t="str">
        <f>IF(Source!$E393=COLUMNS($A393:C393), LEFT(C392, LEN(C392)-Source!$C393), IF(Source!$G393=COLUMNS($A393:C393), C392&amp;RIGHT(INDIRECT(ADDRESS(ROW(C393)-1, Source!$E393)), Source!$C393), C392))</f>
        <v>FRZM</v>
      </c>
      <c r="D393" s="2" t="str">
        <f>IF(Source!$E393=COLUMNS($A393:D393), LEFT(D392, LEN(D392)-Source!$C393), IF(Source!$G393=COLUMNS($A393:D393), D392&amp;RIGHT(INDIRECT(ADDRESS(ROW(D393)-1, Source!$E393)), Source!$C393), D392))</f>
        <v>VCPRTRJTLBDJTPDHRMBLDTPM</v>
      </c>
      <c r="E393" s="2" t="str">
        <f>IF(Source!$E393=COLUMNS($A393:E393), LEFT(E392, LEN(E392)-Source!$C393), IF(Source!$G393=COLUMNS($A393:E393), E392&amp;RIGHT(INDIRECT(ADDRESS(ROW(E393)-1, Source!$E393)), Source!$C393), E392))</f>
        <v>FDDST</v>
      </c>
      <c r="F393" s="2" t="str">
        <f>IF(Source!$E393=COLUMNS($A393:F393), LEFT(F392, LEN(F392)-Source!$C393), IF(Source!$G393=COLUMNS($A393:F393), F392&amp;RIGHT(INDIRECT(ADDRESS(ROW(F393)-1, Source!$E393)), Source!$C393), F392))</f>
        <v/>
      </c>
      <c r="G393" s="2" t="str">
        <f>IF(Source!$E393=COLUMNS($A393:G393), LEFT(G392, LEN(G392)-Source!$C393), IF(Source!$G393=COLUMNS($A393:G393), G392&amp;RIGHT(INDIRECT(ADDRESS(ROW(G393)-1, Source!$E393)), Source!$C393), G392))</f>
        <v>LG</v>
      </c>
      <c r="H393" s="2" t="str">
        <f>IF(Source!$E393=COLUMNS($A393:H393), LEFT(H392, LEN(H392)-Source!$C393), IF(Source!$G393=COLUMNS($A393:H393), H392&amp;RIGHT(INDIRECT(ADDRESS(ROW(H393)-1, Source!$E393)), Source!$C393), H392))</f>
        <v>SWDQR</v>
      </c>
      <c r="I393" s="2" t="str">
        <f>IF(Source!$E393=COLUMNS($A393:I393), LEFT(I392, LEN(I392)-Source!$C393), IF(Source!$G393=COLUMNS($A393:I393), I392&amp;RIGHT(INDIRECT(ADDRESS(ROW(I393)-1, Source!$E393)), Source!$C393), I392))</f>
        <v>JBQSVS</v>
      </c>
    </row>
    <row r="394">
      <c r="A394" s="2" t="str">
        <f>IF(Source!$E394=COLUMNS($A394:A394), LEFT(A393, LEN(A393)-Source!$C394), IF(Source!$G394=COLUMNS($A394:A394), A393&amp;RIGHT(INDIRECT(ADDRESS(ROW(A394)-1, Source!$E394)), Source!$C394), A393))</f>
        <v>GTCVZBZH</v>
      </c>
      <c r="B394" s="2" t="str">
        <f>IF(Source!$E394=COLUMNS($A394:B394), LEFT(B393, LEN(B393)-Source!$C394), IF(Source!$G394=COLUMNS($A394:B394), B393&amp;RIGHT(INDIRECT(ADDRESS(ROW(B394)-1, Source!$E394)), Source!$C394), B393))</f>
        <v>CWLG</v>
      </c>
      <c r="C394" s="2" t="str">
        <f>IF(Source!$E394=COLUMNS($A394:C394), LEFT(C393, LEN(C393)-Source!$C394), IF(Source!$G394=COLUMNS($A394:C394), C393&amp;RIGHT(INDIRECT(ADDRESS(ROW(C394)-1, Source!$E394)), Source!$C394), C393))</f>
        <v>FRZM</v>
      </c>
      <c r="D394" s="2" t="str">
        <f>IF(Source!$E394=COLUMNS($A394:D394), LEFT(D393, LEN(D393)-Source!$C394), IF(Source!$G394=COLUMNS($A394:D394), D393&amp;RIGHT(INDIRECT(ADDRESS(ROW(D394)-1, Source!$E394)), Source!$C394), D393))</f>
        <v>VCPRTRJTLBDJTPDHRMBLDTPM</v>
      </c>
      <c r="E394" s="2" t="str">
        <f>IF(Source!$E394=COLUMNS($A394:E394), LEFT(E393, LEN(E393)-Source!$C394), IF(Source!$G394=COLUMNS($A394:E394), E393&amp;RIGHT(INDIRECT(ADDRESS(ROW(E394)-1, Source!$E394)), Source!$C394), E393))</f>
        <v>FDDST</v>
      </c>
      <c r="F394" s="2" t="str">
        <f>IF(Source!$E394=COLUMNS($A394:F394), LEFT(F393, LEN(F393)-Source!$C394), IF(Source!$G394=COLUMNS($A394:F394), F393&amp;RIGHT(INDIRECT(ADDRESS(ROW(F394)-1, Source!$E394)), Source!$C394), F393))</f>
        <v/>
      </c>
      <c r="G394" s="2" t="str">
        <f>IF(Source!$E394=COLUMNS($A394:G394), LEFT(G393, LEN(G393)-Source!$C394), IF(Source!$G394=COLUMNS($A394:G394), G393&amp;RIGHT(INDIRECT(ADDRESS(ROW(G394)-1, Source!$E394)), Source!$C394), G393))</f>
        <v/>
      </c>
      <c r="H394" s="2" t="str">
        <f>IF(Source!$E394=COLUMNS($A394:H394), LEFT(H393, LEN(H393)-Source!$C394), IF(Source!$G394=COLUMNS($A394:H394), H393&amp;RIGHT(INDIRECT(ADDRESS(ROW(H394)-1, Source!$E394)), Source!$C394), H393))</f>
        <v>SWDQR</v>
      </c>
      <c r="I394" s="2" t="str">
        <f>IF(Source!$E394=COLUMNS($A394:I394), LEFT(I393, LEN(I393)-Source!$C394), IF(Source!$G394=COLUMNS($A394:I394), I393&amp;RIGHT(INDIRECT(ADDRESS(ROW(I394)-1, Source!$E394)), Source!$C394), I393))</f>
        <v>JBQSVS</v>
      </c>
    </row>
    <row r="395">
      <c r="A395" s="2" t="str">
        <f>IF(Source!$E395=COLUMNS($A395:A395), LEFT(A394, LEN(A394)-Source!$C395), IF(Source!$G395=COLUMNS($A395:A395), A394&amp;RIGHT(INDIRECT(ADDRESS(ROW(A395)-1, Source!$E395)), Source!$C395), A394))</f>
        <v>GTCVZBZH</v>
      </c>
      <c r="B395" s="2" t="str">
        <f>IF(Source!$E395=COLUMNS($A395:B395), LEFT(B394, LEN(B394)-Source!$C395), IF(Source!$G395=COLUMNS($A395:B395), B394&amp;RIGHT(INDIRECT(ADDRESS(ROW(B395)-1, Source!$E395)), Source!$C395), B394))</f>
        <v>CWLG</v>
      </c>
      <c r="C395" s="2" t="str">
        <f>IF(Source!$E395=COLUMNS($A395:C395), LEFT(C394, LEN(C394)-Source!$C395), IF(Source!$G395=COLUMNS($A395:C395), C394&amp;RIGHT(INDIRECT(ADDRESS(ROW(C395)-1, Source!$E395)), Source!$C395), C394))</f>
        <v>FRZM</v>
      </c>
      <c r="D395" s="2" t="str">
        <f>IF(Source!$E395=COLUMNS($A395:D395), LEFT(D394, LEN(D394)-Source!$C395), IF(Source!$G395=COLUMNS($A395:D395), D394&amp;RIGHT(INDIRECT(ADDRESS(ROW(D395)-1, Source!$E395)), Source!$C395), D394))</f>
        <v>VCPRTRJTLBDJT</v>
      </c>
      <c r="E395" s="2" t="str">
        <f>IF(Source!$E395=COLUMNS($A395:E395), LEFT(E394, LEN(E394)-Source!$C395), IF(Source!$G395=COLUMNS($A395:E395), E394&amp;RIGHT(INDIRECT(ADDRESS(ROW(E395)-1, Source!$E395)), Source!$C395), E394))</f>
        <v>FDDST</v>
      </c>
      <c r="F395" s="2" t="str">
        <f>IF(Source!$E395=COLUMNS($A395:F395), LEFT(F394, LEN(F394)-Source!$C395), IF(Source!$G395=COLUMNS($A395:F395), F394&amp;RIGHT(INDIRECT(ADDRESS(ROW(F395)-1, Source!$E395)), Source!$C395), F394))</f>
        <v/>
      </c>
      <c r="G395" s="2" t="str">
        <f>IF(Source!$E395=COLUMNS($A395:G395), LEFT(G394, LEN(G394)-Source!$C395), IF(Source!$G395=COLUMNS($A395:G395), G394&amp;RIGHT(INDIRECT(ADDRESS(ROW(G395)-1, Source!$E395)), Source!$C395), G394))</f>
        <v/>
      </c>
      <c r="H395" s="2" t="str">
        <f>IF(Source!$E395=COLUMNS($A395:H395), LEFT(H394, LEN(H394)-Source!$C395), IF(Source!$G395=COLUMNS($A395:H395), H394&amp;RIGHT(INDIRECT(ADDRESS(ROW(H395)-1, Source!$E395)), Source!$C395), H394))</f>
        <v>SWDQR</v>
      </c>
      <c r="I395" s="2" t="str">
        <f>IF(Source!$E395=COLUMNS($A395:I395), LEFT(I394, LEN(I394)-Source!$C395), IF(Source!$G395=COLUMNS($A395:I395), I394&amp;RIGHT(INDIRECT(ADDRESS(ROW(I395)-1, Source!$E395)), Source!$C395), I394))</f>
        <v>JBQSVSPDHRMBLDTPM</v>
      </c>
    </row>
    <row r="396">
      <c r="A396" s="2" t="str">
        <f>IF(Source!$E396=COLUMNS($A396:A396), LEFT(A395, LEN(A395)-Source!$C396), IF(Source!$G396=COLUMNS($A396:A396), A395&amp;RIGHT(INDIRECT(ADDRESS(ROW(A396)-1, Source!$E396)), Source!$C396), A395))</f>
        <v>GTCVZBZH</v>
      </c>
      <c r="B396" s="2" t="str">
        <f>IF(Source!$E396=COLUMNS($A396:B396), LEFT(B395, LEN(B395)-Source!$C396), IF(Source!$G396=COLUMNS($A396:B396), B395&amp;RIGHT(INDIRECT(ADDRESS(ROW(B396)-1, Source!$E396)), Source!$C396), B395))</f>
        <v>CWLG</v>
      </c>
      <c r="C396" s="2" t="str">
        <f>IF(Source!$E396=COLUMNS($A396:C396), LEFT(C395, LEN(C395)-Source!$C396), IF(Source!$G396=COLUMNS($A396:C396), C395&amp;RIGHT(INDIRECT(ADDRESS(ROW(C396)-1, Source!$E396)), Source!$C396), C395))</f>
        <v>FRZM</v>
      </c>
      <c r="D396" s="2" t="str">
        <f>IF(Source!$E396=COLUMNS($A396:D396), LEFT(D395, LEN(D395)-Source!$C396), IF(Source!$G396=COLUMNS($A396:D396), D395&amp;RIGHT(INDIRECT(ADDRESS(ROW(D396)-1, Source!$E396)), Source!$C396), D395))</f>
        <v>V</v>
      </c>
      <c r="E396" s="2" t="str">
        <f>IF(Source!$E396=COLUMNS($A396:E396), LEFT(E395, LEN(E395)-Source!$C396), IF(Source!$G396=COLUMNS($A396:E396), E395&amp;RIGHT(INDIRECT(ADDRESS(ROW(E396)-1, Source!$E396)), Source!$C396), E395))</f>
        <v>FDDST</v>
      </c>
      <c r="F396" s="2" t="str">
        <f>IF(Source!$E396=COLUMNS($A396:F396), LEFT(F395, LEN(F395)-Source!$C396), IF(Source!$G396=COLUMNS($A396:F396), F395&amp;RIGHT(INDIRECT(ADDRESS(ROW(F396)-1, Source!$E396)), Source!$C396), F395))</f>
        <v/>
      </c>
      <c r="G396" s="2" t="str">
        <f>IF(Source!$E396=COLUMNS($A396:G396), LEFT(G395, LEN(G395)-Source!$C396), IF(Source!$G396=COLUMNS($A396:G396), G395&amp;RIGHT(INDIRECT(ADDRESS(ROW(G396)-1, Source!$E396)), Source!$C396), G395))</f>
        <v/>
      </c>
      <c r="H396" s="2" t="str">
        <f>IF(Source!$E396=COLUMNS($A396:H396), LEFT(H395, LEN(H395)-Source!$C396), IF(Source!$G396=COLUMNS($A396:H396), H395&amp;RIGHT(INDIRECT(ADDRESS(ROW(H396)-1, Source!$E396)), Source!$C396), H395))</f>
        <v>SWDQR</v>
      </c>
      <c r="I396" s="2" t="str">
        <f>IF(Source!$E396=COLUMNS($A396:I396), LEFT(I395, LEN(I395)-Source!$C396), IF(Source!$G396=COLUMNS($A396:I396), I395&amp;RIGHT(INDIRECT(ADDRESS(ROW(I396)-1, Source!$E396)), Source!$C396), I395))</f>
        <v>JBQSVSPDHRMBLDTPMCPRTRJTLBDJT</v>
      </c>
    </row>
    <row r="397">
      <c r="A397" s="2" t="str">
        <f>IF(Source!$E397=COLUMNS($A397:A397), LEFT(A396, LEN(A396)-Source!$C397), IF(Source!$G397=COLUMNS($A397:A397), A396&amp;RIGHT(INDIRECT(ADDRESS(ROW(A397)-1, Source!$E397)), Source!$C397), A396))</f>
        <v>GTCVZBZH</v>
      </c>
      <c r="B397" s="2" t="str">
        <f>IF(Source!$E397=COLUMNS($A397:B397), LEFT(B396, LEN(B396)-Source!$C397), IF(Source!$G397=COLUMNS($A397:B397), B396&amp;RIGHT(INDIRECT(ADDRESS(ROW(B397)-1, Source!$E397)), Source!$C397), B396))</f>
        <v>CWLG</v>
      </c>
      <c r="C397" s="2" t="str">
        <f>IF(Source!$E397=COLUMNS($A397:C397), LEFT(C396, LEN(C396)-Source!$C397), IF(Source!$G397=COLUMNS($A397:C397), C396&amp;RIGHT(INDIRECT(ADDRESS(ROW(C397)-1, Source!$E397)), Source!$C397), C396))</f>
        <v>FRZM</v>
      </c>
      <c r="D397" s="2" t="str">
        <f>IF(Source!$E397=COLUMNS($A397:D397), LEFT(D396, LEN(D396)-Source!$C397), IF(Source!$G397=COLUMNS($A397:D397), D396&amp;RIGHT(INDIRECT(ADDRESS(ROW(D397)-1, Source!$E397)), Source!$C397), D396))</f>
        <v>V</v>
      </c>
      <c r="E397" s="2" t="str">
        <f>IF(Source!$E397=COLUMNS($A397:E397), LEFT(E396, LEN(E396)-Source!$C397), IF(Source!$G397=COLUMNS($A397:E397), E396&amp;RIGHT(INDIRECT(ADDRESS(ROW(E397)-1, Source!$E397)), Source!$C397), E396))</f>
        <v>FDD</v>
      </c>
      <c r="F397" s="2" t="str">
        <f>IF(Source!$E397=COLUMNS($A397:F397), LEFT(F396, LEN(F396)-Source!$C397), IF(Source!$G397=COLUMNS($A397:F397), F396&amp;RIGHT(INDIRECT(ADDRESS(ROW(F397)-1, Source!$E397)), Source!$C397), F396))</f>
        <v/>
      </c>
      <c r="G397" s="2" t="str">
        <f>IF(Source!$E397=COLUMNS($A397:G397), LEFT(G396, LEN(G396)-Source!$C397), IF(Source!$G397=COLUMNS($A397:G397), G396&amp;RIGHT(INDIRECT(ADDRESS(ROW(G397)-1, Source!$E397)), Source!$C397), G396))</f>
        <v>ST</v>
      </c>
      <c r="H397" s="2" t="str">
        <f>IF(Source!$E397=COLUMNS($A397:H397), LEFT(H396, LEN(H396)-Source!$C397), IF(Source!$G397=COLUMNS($A397:H397), H396&amp;RIGHT(INDIRECT(ADDRESS(ROW(H397)-1, Source!$E397)), Source!$C397), H396))</f>
        <v>SWDQR</v>
      </c>
      <c r="I397" s="2" t="str">
        <f>IF(Source!$E397=COLUMNS($A397:I397), LEFT(I396, LEN(I396)-Source!$C397), IF(Source!$G397=COLUMNS($A397:I397), I396&amp;RIGHT(INDIRECT(ADDRESS(ROW(I397)-1, Source!$E397)), Source!$C397), I396))</f>
        <v>JBQSVSPDHRMBLDTPMCPRTRJTLBDJT</v>
      </c>
    </row>
    <row r="398">
      <c r="A398" s="2" t="str">
        <f>IF(Source!$E398=COLUMNS($A398:A398), LEFT(A397, LEN(A397)-Source!$C398), IF(Source!$G398=COLUMNS($A398:A398), A397&amp;RIGHT(INDIRECT(ADDRESS(ROW(A398)-1, Source!$E398)), Source!$C398), A397))</f>
        <v>GTCVZBZH</v>
      </c>
      <c r="B398" s="2" t="str">
        <f>IF(Source!$E398=COLUMNS($A398:B398), LEFT(B397, LEN(B397)-Source!$C398), IF(Source!$G398=COLUMNS($A398:B398), B397&amp;RIGHT(INDIRECT(ADDRESS(ROW(B398)-1, Source!$E398)), Source!$C398), B397))</f>
        <v/>
      </c>
      <c r="C398" s="2" t="str">
        <f>IF(Source!$E398=COLUMNS($A398:C398), LEFT(C397, LEN(C397)-Source!$C398), IF(Source!$G398=COLUMNS($A398:C398), C397&amp;RIGHT(INDIRECT(ADDRESS(ROW(C398)-1, Source!$E398)), Source!$C398), C397))</f>
        <v>FRZM</v>
      </c>
      <c r="D398" s="2" t="str">
        <f>IF(Source!$E398=COLUMNS($A398:D398), LEFT(D397, LEN(D397)-Source!$C398), IF(Source!$G398=COLUMNS($A398:D398), D397&amp;RIGHT(INDIRECT(ADDRESS(ROW(D398)-1, Source!$E398)), Source!$C398), D397))</f>
        <v>VCWLG</v>
      </c>
      <c r="E398" s="2" t="str">
        <f>IF(Source!$E398=COLUMNS($A398:E398), LEFT(E397, LEN(E397)-Source!$C398), IF(Source!$G398=COLUMNS($A398:E398), E397&amp;RIGHT(INDIRECT(ADDRESS(ROW(E398)-1, Source!$E398)), Source!$C398), E397))</f>
        <v>FDD</v>
      </c>
      <c r="F398" s="2" t="str">
        <f>IF(Source!$E398=COLUMNS($A398:F398), LEFT(F397, LEN(F397)-Source!$C398), IF(Source!$G398=COLUMNS($A398:F398), F397&amp;RIGHT(INDIRECT(ADDRESS(ROW(F398)-1, Source!$E398)), Source!$C398), F397))</f>
        <v/>
      </c>
      <c r="G398" s="2" t="str">
        <f>IF(Source!$E398=COLUMNS($A398:G398), LEFT(G397, LEN(G397)-Source!$C398), IF(Source!$G398=COLUMNS($A398:G398), G397&amp;RIGHT(INDIRECT(ADDRESS(ROW(G398)-1, Source!$E398)), Source!$C398), G397))</f>
        <v>ST</v>
      </c>
      <c r="H398" s="2" t="str">
        <f>IF(Source!$E398=COLUMNS($A398:H398), LEFT(H397, LEN(H397)-Source!$C398), IF(Source!$G398=COLUMNS($A398:H398), H397&amp;RIGHT(INDIRECT(ADDRESS(ROW(H398)-1, Source!$E398)), Source!$C398), H397))</f>
        <v>SWDQR</v>
      </c>
      <c r="I398" s="2" t="str">
        <f>IF(Source!$E398=COLUMNS($A398:I398), LEFT(I397, LEN(I397)-Source!$C398), IF(Source!$G398=COLUMNS($A398:I398), I397&amp;RIGHT(INDIRECT(ADDRESS(ROW(I398)-1, Source!$E398)), Source!$C398), I397))</f>
        <v>JBQSVSPDHRMBLDTPMCPRTRJTLBDJT</v>
      </c>
    </row>
    <row r="399">
      <c r="A399" s="2" t="str">
        <f>IF(Source!$E399=COLUMNS($A399:A399), LEFT(A398, LEN(A398)-Source!$C399), IF(Source!$G399=COLUMNS($A399:A399), A398&amp;RIGHT(INDIRECT(ADDRESS(ROW(A399)-1, Source!$E399)), Source!$C399), A398))</f>
        <v>GTCVZBZHSWDQR</v>
      </c>
      <c r="B399" s="2" t="str">
        <f>IF(Source!$E399=COLUMNS($A399:B399), LEFT(B398, LEN(B398)-Source!$C399), IF(Source!$G399=COLUMNS($A399:B399), B398&amp;RIGHT(INDIRECT(ADDRESS(ROW(B399)-1, Source!$E399)), Source!$C399), B398))</f>
        <v/>
      </c>
      <c r="C399" s="2" t="str">
        <f>IF(Source!$E399=COLUMNS($A399:C399), LEFT(C398, LEN(C398)-Source!$C399), IF(Source!$G399=COLUMNS($A399:C399), C398&amp;RIGHT(INDIRECT(ADDRESS(ROW(C399)-1, Source!$E399)), Source!$C399), C398))</f>
        <v>FRZM</v>
      </c>
      <c r="D399" s="2" t="str">
        <f>IF(Source!$E399=COLUMNS($A399:D399), LEFT(D398, LEN(D398)-Source!$C399), IF(Source!$G399=COLUMNS($A399:D399), D398&amp;RIGHT(INDIRECT(ADDRESS(ROW(D399)-1, Source!$E399)), Source!$C399), D398))</f>
        <v>VCWLG</v>
      </c>
      <c r="E399" s="2" t="str">
        <f>IF(Source!$E399=COLUMNS($A399:E399), LEFT(E398, LEN(E398)-Source!$C399), IF(Source!$G399=COLUMNS($A399:E399), E398&amp;RIGHT(INDIRECT(ADDRESS(ROW(E399)-1, Source!$E399)), Source!$C399), E398))</f>
        <v>FDD</v>
      </c>
      <c r="F399" s="2" t="str">
        <f>IF(Source!$E399=COLUMNS($A399:F399), LEFT(F398, LEN(F398)-Source!$C399), IF(Source!$G399=COLUMNS($A399:F399), F398&amp;RIGHT(INDIRECT(ADDRESS(ROW(F399)-1, Source!$E399)), Source!$C399), F398))</f>
        <v/>
      </c>
      <c r="G399" s="2" t="str">
        <f>IF(Source!$E399=COLUMNS($A399:G399), LEFT(G398, LEN(G398)-Source!$C399), IF(Source!$G399=COLUMNS($A399:G399), G398&amp;RIGHT(INDIRECT(ADDRESS(ROW(G399)-1, Source!$E399)), Source!$C399), G398))</f>
        <v>ST</v>
      </c>
      <c r="H399" s="2" t="str">
        <f>IF(Source!$E399=COLUMNS($A399:H399), LEFT(H398, LEN(H398)-Source!$C399), IF(Source!$G399=COLUMNS($A399:H399), H398&amp;RIGHT(INDIRECT(ADDRESS(ROW(H399)-1, Source!$E399)), Source!$C399), H398))</f>
        <v/>
      </c>
      <c r="I399" s="2" t="str">
        <f>IF(Source!$E399=COLUMNS($A399:I399), LEFT(I398, LEN(I398)-Source!$C399), IF(Source!$G399=COLUMNS($A399:I399), I398&amp;RIGHT(INDIRECT(ADDRESS(ROW(I399)-1, Source!$E399)), Source!$C399), I398))</f>
        <v>JBQSVSPDHRMBLDTPMCPRTRJTLBDJT</v>
      </c>
    </row>
    <row r="400">
      <c r="A400" s="2" t="str">
        <f>IF(Source!$E400=COLUMNS($A400:A400), LEFT(A399, LEN(A399)-Source!$C400), IF(Source!$G400=COLUMNS($A400:A400), A399&amp;RIGHT(INDIRECT(ADDRESS(ROW(A400)-1, Source!$E400)), Source!$C400), A399))</f>
        <v>GTCVZBZHSWDQR</v>
      </c>
      <c r="B400" s="2" t="str">
        <f>IF(Source!$E400=COLUMNS($A400:B400), LEFT(B399, LEN(B399)-Source!$C400), IF(Source!$G400=COLUMNS($A400:B400), B399&amp;RIGHT(INDIRECT(ADDRESS(ROW(B400)-1, Source!$E400)), Source!$C400), B399))</f>
        <v/>
      </c>
      <c r="C400" s="2" t="str">
        <f>IF(Source!$E400=COLUMNS($A400:C400), LEFT(C399, LEN(C399)-Source!$C400), IF(Source!$G400=COLUMNS($A400:C400), C399&amp;RIGHT(INDIRECT(ADDRESS(ROW(C400)-1, Source!$E400)), Source!$C400), C399))</f>
        <v>FRZM</v>
      </c>
      <c r="D400" s="2" t="str">
        <f>IF(Source!$E400=COLUMNS($A400:D400), LEFT(D399, LEN(D399)-Source!$C400), IF(Source!$G400=COLUMNS($A400:D400), D399&amp;RIGHT(INDIRECT(ADDRESS(ROW(D400)-1, Source!$E400)), Source!$C400), D399))</f>
        <v>VCWLG</v>
      </c>
      <c r="E400" s="2" t="str">
        <f>IF(Source!$E400=COLUMNS($A400:E400), LEFT(E399, LEN(E399)-Source!$C400), IF(Source!$G400=COLUMNS($A400:E400), E399&amp;RIGHT(INDIRECT(ADDRESS(ROW(E400)-1, Source!$E400)), Source!$C400), E399))</f>
        <v>FD</v>
      </c>
      <c r="F400" s="2" t="str">
        <f>IF(Source!$E400=COLUMNS($A400:F400), LEFT(F399, LEN(F399)-Source!$C400), IF(Source!$G400=COLUMNS($A400:F400), F399&amp;RIGHT(INDIRECT(ADDRESS(ROW(F400)-1, Source!$E400)), Source!$C400), F399))</f>
        <v>D</v>
      </c>
      <c r="G400" s="2" t="str">
        <f>IF(Source!$E400=COLUMNS($A400:G400), LEFT(G399, LEN(G399)-Source!$C400), IF(Source!$G400=COLUMNS($A400:G400), G399&amp;RIGHT(INDIRECT(ADDRESS(ROW(G400)-1, Source!$E400)), Source!$C400), G399))</f>
        <v>ST</v>
      </c>
      <c r="H400" s="2" t="str">
        <f>IF(Source!$E400=COLUMNS($A400:H400), LEFT(H399, LEN(H399)-Source!$C400), IF(Source!$G400=COLUMNS($A400:H400), H399&amp;RIGHT(INDIRECT(ADDRESS(ROW(H400)-1, Source!$E400)), Source!$C400), H399))</f>
        <v/>
      </c>
      <c r="I400" s="2" t="str">
        <f>IF(Source!$E400=COLUMNS($A400:I400), LEFT(I399, LEN(I399)-Source!$C400), IF(Source!$G400=COLUMNS($A400:I400), I399&amp;RIGHT(INDIRECT(ADDRESS(ROW(I400)-1, Source!$E400)), Source!$C400), I399))</f>
        <v>JBQSVSPDHRMBLDTPMCPRTRJTLBDJT</v>
      </c>
    </row>
    <row r="401">
      <c r="A401" s="2" t="str">
        <f>IF(Source!$E401=COLUMNS($A401:A401), LEFT(A400, LEN(A400)-Source!$C401), IF(Source!$G401=COLUMNS($A401:A401), A400&amp;RIGHT(INDIRECT(ADDRESS(ROW(A401)-1, Source!$E401)), Source!$C401), A400))</f>
        <v>GTCVZBZHSWDQR</v>
      </c>
      <c r="B401" s="2" t="str">
        <f>IF(Source!$E401=COLUMNS($A401:B401), LEFT(B400, LEN(B400)-Source!$C401), IF(Source!$G401=COLUMNS($A401:B401), B400&amp;RIGHT(INDIRECT(ADDRESS(ROW(B401)-1, Source!$E401)), Source!$C401), B400))</f>
        <v/>
      </c>
      <c r="C401" s="2" t="str">
        <f>IF(Source!$E401=COLUMNS($A401:C401), LEFT(C400, LEN(C400)-Source!$C401), IF(Source!$G401=COLUMNS($A401:C401), C400&amp;RIGHT(INDIRECT(ADDRESS(ROW(C401)-1, Source!$E401)), Source!$C401), C400))</f>
        <v>FRZM</v>
      </c>
      <c r="D401" s="2" t="str">
        <f>IF(Source!$E401=COLUMNS($A401:D401), LEFT(D400, LEN(D400)-Source!$C401), IF(Source!$G401=COLUMNS($A401:D401), D400&amp;RIGHT(INDIRECT(ADDRESS(ROW(D401)-1, Source!$E401)), Source!$C401), D400))</f>
        <v>VCWL</v>
      </c>
      <c r="E401" s="2" t="str">
        <f>IF(Source!$E401=COLUMNS($A401:E401), LEFT(E400, LEN(E400)-Source!$C401), IF(Source!$G401=COLUMNS($A401:E401), E400&amp;RIGHT(INDIRECT(ADDRESS(ROW(E401)-1, Source!$E401)), Source!$C401), E400))</f>
        <v>FD</v>
      </c>
      <c r="F401" s="2" t="str">
        <f>IF(Source!$E401=COLUMNS($A401:F401), LEFT(F400, LEN(F400)-Source!$C401), IF(Source!$G401=COLUMNS($A401:F401), F400&amp;RIGHT(INDIRECT(ADDRESS(ROW(F401)-1, Source!$E401)), Source!$C401), F400))</f>
        <v>DG</v>
      </c>
      <c r="G401" s="2" t="str">
        <f>IF(Source!$E401=COLUMNS($A401:G401), LEFT(G400, LEN(G400)-Source!$C401), IF(Source!$G401=COLUMNS($A401:G401), G400&amp;RIGHT(INDIRECT(ADDRESS(ROW(G401)-1, Source!$E401)), Source!$C401), G400))</f>
        <v>ST</v>
      </c>
      <c r="H401" s="2" t="str">
        <f>IF(Source!$E401=COLUMNS($A401:H401), LEFT(H400, LEN(H400)-Source!$C401), IF(Source!$G401=COLUMNS($A401:H401), H400&amp;RIGHT(INDIRECT(ADDRESS(ROW(H401)-1, Source!$E401)), Source!$C401), H400))</f>
        <v/>
      </c>
      <c r="I401" s="2" t="str">
        <f>IF(Source!$E401=COLUMNS($A401:I401), LEFT(I400, LEN(I400)-Source!$C401), IF(Source!$G401=COLUMNS($A401:I401), I400&amp;RIGHT(INDIRECT(ADDRESS(ROW(I401)-1, Source!$E401)), Source!$C401), I400))</f>
        <v>JBQSVSPDHRMBLDTPMCPRTRJTLBDJT</v>
      </c>
    </row>
    <row r="402">
      <c r="A402" s="2" t="str">
        <f>IF(Source!$E402=COLUMNS($A402:A402), LEFT(A401, LEN(A401)-Source!$C402), IF(Source!$G402=COLUMNS($A402:A402), A401&amp;RIGHT(INDIRECT(ADDRESS(ROW(A402)-1, Source!$E402)), Source!$C402), A401))</f>
        <v>GTCVZBZHSWDQR</v>
      </c>
      <c r="B402" s="2" t="str">
        <f>IF(Source!$E402=COLUMNS($A402:B402), LEFT(B401, LEN(B401)-Source!$C402), IF(Source!$G402=COLUMNS($A402:B402), B401&amp;RIGHT(INDIRECT(ADDRESS(ROW(B402)-1, Source!$E402)), Source!$C402), B401))</f>
        <v/>
      </c>
      <c r="C402" s="2" t="str">
        <f>IF(Source!$E402=COLUMNS($A402:C402), LEFT(C401, LEN(C401)-Source!$C402), IF(Source!$G402=COLUMNS($A402:C402), C401&amp;RIGHT(INDIRECT(ADDRESS(ROW(C402)-1, Source!$E402)), Source!$C402), C401))</f>
        <v>FRZ</v>
      </c>
      <c r="D402" s="2" t="str">
        <f>IF(Source!$E402=COLUMNS($A402:D402), LEFT(D401, LEN(D401)-Source!$C402), IF(Source!$G402=COLUMNS($A402:D402), D401&amp;RIGHT(INDIRECT(ADDRESS(ROW(D402)-1, Source!$E402)), Source!$C402), D401))</f>
        <v>VCWL</v>
      </c>
      <c r="E402" s="2" t="str">
        <f>IF(Source!$E402=COLUMNS($A402:E402), LEFT(E401, LEN(E401)-Source!$C402), IF(Source!$G402=COLUMNS($A402:E402), E401&amp;RIGHT(INDIRECT(ADDRESS(ROW(E402)-1, Source!$E402)), Source!$C402), E401))</f>
        <v>FD</v>
      </c>
      <c r="F402" s="2" t="str">
        <f>IF(Source!$E402=COLUMNS($A402:F402), LEFT(F401, LEN(F401)-Source!$C402), IF(Source!$G402=COLUMNS($A402:F402), F401&amp;RIGHT(INDIRECT(ADDRESS(ROW(F402)-1, Source!$E402)), Source!$C402), F401))</f>
        <v>DG</v>
      </c>
      <c r="G402" s="2" t="str">
        <f>IF(Source!$E402=COLUMNS($A402:G402), LEFT(G401, LEN(G401)-Source!$C402), IF(Source!$G402=COLUMNS($A402:G402), G401&amp;RIGHT(INDIRECT(ADDRESS(ROW(G402)-1, Source!$E402)), Source!$C402), G401))</f>
        <v>ST</v>
      </c>
      <c r="H402" s="2" t="str">
        <f>IF(Source!$E402=COLUMNS($A402:H402), LEFT(H401, LEN(H401)-Source!$C402), IF(Source!$G402=COLUMNS($A402:H402), H401&amp;RIGHT(INDIRECT(ADDRESS(ROW(H402)-1, Source!$E402)), Source!$C402), H401))</f>
        <v/>
      </c>
      <c r="I402" s="2" t="str">
        <f>IF(Source!$E402=COLUMNS($A402:I402), LEFT(I401, LEN(I401)-Source!$C402), IF(Source!$G402=COLUMNS($A402:I402), I401&amp;RIGHT(INDIRECT(ADDRESS(ROW(I402)-1, Source!$E402)), Source!$C402), I401))</f>
        <v>JBQSVSPDHRMBLDTPMCPRTRJTLBDJTM</v>
      </c>
    </row>
    <row r="403">
      <c r="A403" s="2" t="str">
        <f>IF(Source!$E403=COLUMNS($A403:A403), LEFT(A402, LEN(A402)-Source!$C403), IF(Source!$G403=COLUMNS($A403:A403), A402&amp;RIGHT(INDIRECT(ADDRESS(ROW(A403)-1, Source!$E403)), Source!$C403), A402))</f>
        <v>GTCVZBZHSWDQR</v>
      </c>
      <c r="B403" s="2" t="str">
        <f>IF(Source!$E403=COLUMNS($A403:B403), LEFT(B402, LEN(B402)-Source!$C403), IF(Source!$G403=COLUMNS($A403:B403), B402&amp;RIGHT(INDIRECT(ADDRESS(ROW(B403)-1, Source!$E403)), Source!$C403), B402))</f>
        <v/>
      </c>
      <c r="C403" s="2" t="str">
        <f>IF(Source!$E403=COLUMNS($A403:C403), LEFT(C402, LEN(C402)-Source!$C403), IF(Source!$G403=COLUMNS($A403:C403), C402&amp;RIGHT(INDIRECT(ADDRESS(ROW(C403)-1, Source!$E403)), Source!$C403), C402))</f>
        <v>FRZ</v>
      </c>
      <c r="D403" s="2" t="str">
        <f>IF(Source!$E403=COLUMNS($A403:D403), LEFT(D402, LEN(D402)-Source!$C403), IF(Source!$G403=COLUMNS($A403:D403), D402&amp;RIGHT(INDIRECT(ADDRESS(ROW(D403)-1, Source!$E403)), Source!$C403), D402))</f>
        <v>VCWL</v>
      </c>
      <c r="E403" s="2" t="str">
        <f>IF(Source!$E403=COLUMNS($A403:E403), LEFT(E402, LEN(E402)-Source!$C403), IF(Source!$G403=COLUMNS($A403:E403), E402&amp;RIGHT(INDIRECT(ADDRESS(ROW(E403)-1, Source!$E403)), Source!$C403), E402))</f>
        <v>F</v>
      </c>
      <c r="F403" s="2" t="str">
        <f>IF(Source!$E403=COLUMNS($A403:F403), LEFT(F402, LEN(F402)-Source!$C403), IF(Source!$G403=COLUMNS($A403:F403), F402&amp;RIGHT(INDIRECT(ADDRESS(ROW(F403)-1, Source!$E403)), Source!$C403), F402))</f>
        <v>DG</v>
      </c>
      <c r="G403" s="2" t="str">
        <f>IF(Source!$E403=COLUMNS($A403:G403), LEFT(G402, LEN(G402)-Source!$C403), IF(Source!$G403=COLUMNS($A403:G403), G402&amp;RIGHT(INDIRECT(ADDRESS(ROW(G403)-1, Source!$E403)), Source!$C403), G402))</f>
        <v>STD</v>
      </c>
      <c r="H403" s="2" t="str">
        <f>IF(Source!$E403=COLUMNS($A403:H403), LEFT(H402, LEN(H402)-Source!$C403), IF(Source!$G403=COLUMNS($A403:H403), H402&amp;RIGHT(INDIRECT(ADDRESS(ROW(H403)-1, Source!$E403)), Source!$C403), H402))</f>
        <v/>
      </c>
      <c r="I403" s="2" t="str">
        <f>IF(Source!$E403=COLUMNS($A403:I403), LEFT(I402, LEN(I402)-Source!$C403), IF(Source!$G403=COLUMNS($A403:I403), I402&amp;RIGHT(INDIRECT(ADDRESS(ROW(I403)-1, Source!$E403)), Source!$C403), I402))</f>
        <v>JBQSVSPDHRMBLDTPMCPRTRJTLBDJTM</v>
      </c>
    </row>
    <row r="404">
      <c r="A404" s="2" t="str">
        <f>IF(Source!$E404=COLUMNS($A404:A404), LEFT(A403, LEN(A403)-Source!$C404), IF(Source!$G404=COLUMNS($A404:A404), A403&amp;RIGHT(INDIRECT(ADDRESS(ROW(A404)-1, Source!$E404)), Source!$C404), A403))</f>
        <v>GTCVZBZHS</v>
      </c>
      <c r="B404" s="2" t="str">
        <f>IF(Source!$E404=COLUMNS($A404:B404), LEFT(B403, LEN(B403)-Source!$C404), IF(Source!$G404=COLUMNS($A404:B404), B403&amp;RIGHT(INDIRECT(ADDRESS(ROW(B404)-1, Source!$E404)), Source!$C404), B403))</f>
        <v/>
      </c>
      <c r="C404" s="2" t="str">
        <f>IF(Source!$E404=COLUMNS($A404:C404), LEFT(C403, LEN(C403)-Source!$C404), IF(Source!$G404=COLUMNS($A404:C404), C403&amp;RIGHT(INDIRECT(ADDRESS(ROW(C404)-1, Source!$E404)), Source!$C404), C403))</f>
        <v>FRZ</v>
      </c>
      <c r="D404" s="2" t="str">
        <f>IF(Source!$E404=COLUMNS($A404:D404), LEFT(D403, LEN(D403)-Source!$C404), IF(Source!$G404=COLUMNS($A404:D404), D403&amp;RIGHT(INDIRECT(ADDRESS(ROW(D404)-1, Source!$E404)), Source!$C404), D403))</f>
        <v>VCWL</v>
      </c>
      <c r="E404" s="2" t="str">
        <f>IF(Source!$E404=COLUMNS($A404:E404), LEFT(E403, LEN(E403)-Source!$C404), IF(Source!$G404=COLUMNS($A404:E404), E403&amp;RIGHT(INDIRECT(ADDRESS(ROW(E404)-1, Source!$E404)), Source!$C404), E403))</f>
        <v>F</v>
      </c>
      <c r="F404" s="2" t="str">
        <f>IF(Source!$E404=COLUMNS($A404:F404), LEFT(F403, LEN(F403)-Source!$C404), IF(Source!$G404=COLUMNS($A404:F404), F403&amp;RIGHT(INDIRECT(ADDRESS(ROW(F404)-1, Source!$E404)), Source!$C404), F403))</f>
        <v>DGWDQR</v>
      </c>
      <c r="G404" s="2" t="str">
        <f>IF(Source!$E404=COLUMNS($A404:G404), LEFT(G403, LEN(G403)-Source!$C404), IF(Source!$G404=COLUMNS($A404:G404), G403&amp;RIGHT(INDIRECT(ADDRESS(ROW(G404)-1, Source!$E404)), Source!$C404), G403))</f>
        <v>STD</v>
      </c>
      <c r="H404" s="2" t="str">
        <f>IF(Source!$E404=COLUMNS($A404:H404), LEFT(H403, LEN(H403)-Source!$C404), IF(Source!$G404=COLUMNS($A404:H404), H403&amp;RIGHT(INDIRECT(ADDRESS(ROW(H404)-1, Source!$E404)), Source!$C404), H403))</f>
        <v/>
      </c>
      <c r="I404" s="2" t="str">
        <f>IF(Source!$E404=COLUMNS($A404:I404), LEFT(I403, LEN(I403)-Source!$C404), IF(Source!$G404=COLUMNS($A404:I404), I403&amp;RIGHT(INDIRECT(ADDRESS(ROW(I404)-1, Source!$E404)), Source!$C404), I403))</f>
        <v>JBQSVSPDHRMBLDTPMCPRTRJTLBDJTM</v>
      </c>
    </row>
    <row r="405">
      <c r="A405" s="2" t="str">
        <f>IF(Source!$E405=COLUMNS($A405:A405), LEFT(A404, LEN(A404)-Source!$C405), IF(Source!$G405=COLUMNS($A405:A405), A404&amp;RIGHT(INDIRECT(ADDRESS(ROW(A405)-1, Source!$E405)), Source!$C405), A404))</f>
        <v>GTC</v>
      </c>
      <c r="B405" s="2" t="str">
        <f>IF(Source!$E405=COLUMNS($A405:B405), LEFT(B404, LEN(B404)-Source!$C405), IF(Source!$G405=COLUMNS($A405:B405), B404&amp;RIGHT(INDIRECT(ADDRESS(ROW(B405)-1, Source!$E405)), Source!$C405), B404))</f>
        <v/>
      </c>
      <c r="C405" s="2" t="str">
        <f>IF(Source!$E405=COLUMNS($A405:C405), LEFT(C404, LEN(C404)-Source!$C405), IF(Source!$G405=COLUMNS($A405:C405), C404&amp;RIGHT(INDIRECT(ADDRESS(ROW(C405)-1, Source!$E405)), Source!$C405), C404))</f>
        <v>FRZ</v>
      </c>
      <c r="D405" s="2" t="str">
        <f>IF(Source!$E405=COLUMNS($A405:D405), LEFT(D404, LEN(D404)-Source!$C405), IF(Source!$G405=COLUMNS($A405:D405), D404&amp;RIGHT(INDIRECT(ADDRESS(ROW(D405)-1, Source!$E405)), Source!$C405), D404))</f>
        <v>VCWL</v>
      </c>
      <c r="E405" s="2" t="str">
        <f>IF(Source!$E405=COLUMNS($A405:E405), LEFT(E404, LEN(E404)-Source!$C405), IF(Source!$G405=COLUMNS($A405:E405), E404&amp;RIGHT(INDIRECT(ADDRESS(ROW(E405)-1, Source!$E405)), Source!$C405), E404))</f>
        <v>FVZBZHS</v>
      </c>
      <c r="F405" s="2" t="str">
        <f>IF(Source!$E405=COLUMNS($A405:F405), LEFT(F404, LEN(F404)-Source!$C405), IF(Source!$G405=COLUMNS($A405:F405), F404&amp;RIGHT(INDIRECT(ADDRESS(ROW(F405)-1, Source!$E405)), Source!$C405), F404))</f>
        <v>DGWDQR</v>
      </c>
      <c r="G405" s="2" t="str">
        <f>IF(Source!$E405=COLUMNS($A405:G405), LEFT(G404, LEN(G404)-Source!$C405), IF(Source!$G405=COLUMNS($A405:G405), G404&amp;RIGHT(INDIRECT(ADDRESS(ROW(G405)-1, Source!$E405)), Source!$C405), G404))</f>
        <v>STD</v>
      </c>
      <c r="H405" s="2" t="str">
        <f>IF(Source!$E405=COLUMNS($A405:H405), LEFT(H404, LEN(H404)-Source!$C405), IF(Source!$G405=COLUMNS($A405:H405), H404&amp;RIGHT(INDIRECT(ADDRESS(ROW(H405)-1, Source!$E405)), Source!$C405), H404))</f>
        <v/>
      </c>
      <c r="I405" s="2" t="str">
        <f>IF(Source!$E405=COLUMNS($A405:I405), LEFT(I404, LEN(I404)-Source!$C405), IF(Source!$G405=COLUMNS($A405:I405), I404&amp;RIGHT(INDIRECT(ADDRESS(ROW(I405)-1, Source!$E405)), Source!$C405), I404))</f>
        <v>JBQSVSPDHRMBLDTPMCPRTRJTLBDJTM</v>
      </c>
    </row>
    <row r="406">
      <c r="A406" s="2" t="str">
        <f>IF(Source!$E406=COLUMNS($A406:A406), LEFT(A405, LEN(A405)-Source!$C406), IF(Source!$G406=COLUMNS($A406:A406), A405&amp;RIGHT(INDIRECT(ADDRESS(ROW(A406)-1, Source!$E406)), Source!$C406), A405))</f>
        <v>GTC</v>
      </c>
      <c r="B406" s="2" t="str">
        <f>IF(Source!$E406=COLUMNS($A406:B406), LEFT(B405, LEN(B405)-Source!$C406), IF(Source!$G406=COLUMNS($A406:B406), B405&amp;RIGHT(INDIRECT(ADDRESS(ROW(B406)-1, Source!$E406)), Source!$C406), B405))</f>
        <v/>
      </c>
      <c r="C406" s="2" t="str">
        <f>IF(Source!$E406=COLUMNS($A406:C406), LEFT(C405, LEN(C405)-Source!$C406), IF(Source!$G406=COLUMNS($A406:C406), C405&amp;RIGHT(INDIRECT(ADDRESS(ROW(C406)-1, Source!$E406)), Source!$C406), C405))</f>
        <v>FRZ</v>
      </c>
      <c r="D406" s="2" t="str">
        <f>IF(Source!$E406=COLUMNS($A406:D406), LEFT(D405, LEN(D405)-Source!$C406), IF(Source!$G406=COLUMNS($A406:D406), D405&amp;RIGHT(INDIRECT(ADDRESS(ROW(D406)-1, Source!$E406)), Source!$C406), D405))</f>
        <v>VCWL</v>
      </c>
      <c r="E406" s="2" t="str">
        <f>IF(Source!$E406=COLUMNS($A406:E406), LEFT(E405, LEN(E405)-Source!$C406), IF(Source!$G406=COLUMNS($A406:E406), E405&amp;RIGHT(INDIRECT(ADDRESS(ROW(E406)-1, Source!$E406)), Source!$C406), E405))</f>
        <v>F</v>
      </c>
      <c r="F406" s="2" t="str">
        <f>IF(Source!$E406=COLUMNS($A406:F406), LEFT(F405, LEN(F405)-Source!$C406), IF(Source!$G406=COLUMNS($A406:F406), F405&amp;RIGHT(INDIRECT(ADDRESS(ROW(F406)-1, Source!$E406)), Source!$C406), F405))</f>
        <v>DGWDQR</v>
      </c>
      <c r="G406" s="2" t="str">
        <f>IF(Source!$E406=COLUMNS($A406:G406), LEFT(G405, LEN(G405)-Source!$C406), IF(Source!$G406=COLUMNS($A406:G406), G405&amp;RIGHT(INDIRECT(ADDRESS(ROW(G406)-1, Source!$E406)), Source!$C406), G405))</f>
        <v>STD</v>
      </c>
      <c r="H406" s="2" t="str">
        <f>IF(Source!$E406=COLUMNS($A406:H406), LEFT(H405, LEN(H405)-Source!$C406), IF(Source!$G406=COLUMNS($A406:H406), H405&amp;RIGHT(INDIRECT(ADDRESS(ROW(H406)-1, Source!$E406)), Source!$C406), H405))</f>
        <v/>
      </c>
      <c r="I406" s="2" t="str">
        <f>IF(Source!$E406=COLUMNS($A406:I406), LEFT(I405, LEN(I405)-Source!$C406), IF(Source!$G406=COLUMNS($A406:I406), I405&amp;RIGHT(INDIRECT(ADDRESS(ROW(I406)-1, Source!$E406)), Source!$C406), I405))</f>
        <v>JBQSVSPDHRMBLDTPMCPRTRJTLBDJTMVZBZHS</v>
      </c>
    </row>
    <row r="407">
      <c r="A407" s="2" t="str">
        <f>IF(Source!$E407=COLUMNS($A407:A407), LEFT(A406, LEN(A406)-Source!$C407), IF(Source!$G407=COLUMNS($A407:A407), A406&amp;RIGHT(INDIRECT(ADDRESS(ROW(A407)-1, Source!$E407)), Source!$C407), A406))</f>
        <v>GTC</v>
      </c>
      <c r="B407" s="2" t="str">
        <f>IF(Source!$E407=COLUMNS($A407:B407), LEFT(B406, LEN(B406)-Source!$C407), IF(Source!$G407=COLUMNS($A407:B407), B406&amp;RIGHT(INDIRECT(ADDRESS(ROW(B407)-1, Source!$E407)), Source!$C407), B406))</f>
        <v/>
      </c>
      <c r="C407" s="2" t="str">
        <f>IF(Source!$E407=COLUMNS($A407:C407), LEFT(C406, LEN(C406)-Source!$C407), IF(Source!$G407=COLUMNS($A407:C407), C406&amp;RIGHT(INDIRECT(ADDRESS(ROW(C407)-1, Source!$E407)), Source!$C407), C406))</f>
        <v>FRZ</v>
      </c>
      <c r="D407" s="2" t="str">
        <f>IF(Source!$E407=COLUMNS($A407:D407), LEFT(D406, LEN(D406)-Source!$C407), IF(Source!$G407=COLUMNS($A407:D407), D406&amp;RIGHT(INDIRECT(ADDRESS(ROW(D407)-1, Source!$E407)), Source!$C407), D406))</f>
        <v>VCWL</v>
      </c>
      <c r="E407" s="2" t="str">
        <f>IF(Source!$E407=COLUMNS($A407:E407), LEFT(E406, LEN(E406)-Source!$C407), IF(Source!$G407=COLUMNS($A407:E407), E406&amp;RIGHT(INDIRECT(ADDRESS(ROW(E407)-1, Source!$E407)), Source!$C407), E406))</f>
        <v>F</v>
      </c>
      <c r="F407" s="2" t="str">
        <f>IF(Source!$E407=COLUMNS($A407:F407), LEFT(F406, LEN(F406)-Source!$C407), IF(Source!$G407=COLUMNS($A407:F407), F406&amp;RIGHT(INDIRECT(ADDRESS(ROW(F407)-1, Source!$E407)), Source!$C407), F406))</f>
        <v>DGWDQRSTD</v>
      </c>
      <c r="G407" s="2" t="str">
        <f>IF(Source!$E407=COLUMNS($A407:G407), LEFT(G406, LEN(G406)-Source!$C407), IF(Source!$G407=COLUMNS($A407:G407), G406&amp;RIGHT(INDIRECT(ADDRESS(ROW(G407)-1, Source!$E407)), Source!$C407), G406))</f>
        <v/>
      </c>
      <c r="H407" s="2" t="str">
        <f>IF(Source!$E407=COLUMNS($A407:H407), LEFT(H406, LEN(H406)-Source!$C407), IF(Source!$G407=COLUMNS($A407:H407), H406&amp;RIGHT(INDIRECT(ADDRESS(ROW(H407)-1, Source!$E407)), Source!$C407), H406))</f>
        <v/>
      </c>
      <c r="I407" s="2" t="str">
        <f>IF(Source!$E407=COLUMNS($A407:I407), LEFT(I406, LEN(I406)-Source!$C407), IF(Source!$G407=COLUMNS($A407:I407), I406&amp;RIGHT(INDIRECT(ADDRESS(ROW(I407)-1, Source!$E407)), Source!$C407), I406))</f>
        <v>JBQSVSPDHRMBLDTPMCPRTRJTLBDJTMVZBZHS</v>
      </c>
    </row>
    <row r="408">
      <c r="A408" s="2" t="str">
        <f>IF(Source!$E408=COLUMNS($A408:A408), LEFT(A407, LEN(A407)-Source!$C408), IF(Source!$G408=COLUMNS($A408:A408), A407&amp;RIGHT(INDIRECT(ADDRESS(ROW(A408)-1, Source!$E408)), Source!$C408), A407))</f>
        <v>GTC</v>
      </c>
      <c r="B408" s="2" t="str">
        <f>IF(Source!$E408=COLUMNS($A408:B408), LEFT(B407, LEN(B407)-Source!$C408), IF(Source!$G408=COLUMNS($A408:B408), B407&amp;RIGHT(INDIRECT(ADDRESS(ROW(B408)-1, Source!$E408)), Source!$C408), B407))</f>
        <v/>
      </c>
      <c r="C408" s="2" t="str">
        <f>IF(Source!$E408=COLUMNS($A408:C408), LEFT(C407, LEN(C407)-Source!$C408), IF(Source!$G408=COLUMNS($A408:C408), C407&amp;RIGHT(INDIRECT(ADDRESS(ROW(C408)-1, Source!$E408)), Source!$C408), C407))</f>
        <v>FRZ</v>
      </c>
      <c r="D408" s="2" t="str">
        <f>IF(Source!$E408=COLUMNS($A408:D408), LEFT(D407, LEN(D407)-Source!$C408), IF(Source!$G408=COLUMNS($A408:D408), D407&amp;RIGHT(INDIRECT(ADDRESS(ROW(D408)-1, Source!$E408)), Source!$C408), D407))</f>
        <v>VCWL</v>
      </c>
      <c r="E408" s="2" t="str">
        <f>IF(Source!$E408=COLUMNS($A408:E408), LEFT(E407, LEN(E407)-Source!$C408), IF(Source!$G408=COLUMNS($A408:E408), E407&amp;RIGHT(INDIRECT(ADDRESS(ROW(E408)-1, Source!$E408)), Source!$C408), E407))</f>
        <v>FDGWDQRSTD</v>
      </c>
      <c r="F408" s="2" t="str">
        <f>IF(Source!$E408=COLUMNS($A408:F408), LEFT(F407, LEN(F407)-Source!$C408), IF(Source!$G408=COLUMNS($A408:F408), F407&amp;RIGHT(INDIRECT(ADDRESS(ROW(F408)-1, Source!$E408)), Source!$C408), F407))</f>
        <v/>
      </c>
      <c r="G408" s="2" t="str">
        <f>IF(Source!$E408=COLUMNS($A408:G408), LEFT(G407, LEN(G407)-Source!$C408), IF(Source!$G408=COLUMNS($A408:G408), G407&amp;RIGHT(INDIRECT(ADDRESS(ROW(G408)-1, Source!$E408)), Source!$C408), G407))</f>
        <v/>
      </c>
      <c r="H408" s="2" t="str">
        <f>IF(Source!$E408=COLUMNS($A408:H408), LEFT(H407, LEN(H407)-Source!$C408), IF(Source!$G408=COLUMNS($A408:H408), H407&amp;RIGHT(INDIRECT(ADDRESS(ROW(H408)-1, Source!$E408)), Source!$C408), H407))</f>
        <v/>
      </c>
      <c r="I408" s="2" t="str">
        <f>IF(Source!$E408=COLUMNS($A408:I408), LEFT(I407, LEN(I407)-Source!$C408), IF(Source!$G408=COLUMNS($A408:I408), I407&amp;RIGHT(INDIRECT(ADDRESS(ROW(I408)-1, Source!$E408)), Source!$C408), I407))</f>
        <v>JBQSVSPDHRMBLDTPMCPRTRJTLBDJTMVZBZHS</v>
      </c>
    </row>
    <row r="409">
      <c r="A409" s="2" t="str">
        <f>IF(Source!$E409=COLUMNS($A409:A409), LEFT(A408, LEN(A408)-Source!$C409), IF(Source!$G409=COLUMNS($A409:A409), A408&amp;RIGHT(INDIRECT(ADDRESS(ROW(A409)-1, Source!$E409)), Source!$C409), A408))</f>
        <v>GTC</v>
      </c>
      <c r="B409" s="2" t="str">
        <f>IF(Source!$E409=COLUMNS($A409:B409), LEFT(B408, LEN(B408)-Source!$C409), IF(Source!$G409=COLUMNS($A409:B409), B408&amp;RIGHT(INDIRECT(ADDRESS(ROW(B409)-1, Source!$E409)), Source!$C409), B408))</f>
        <v>GWDQRSTD</v>
      </c>
      <c r="C409" s="2" t="str">
        <f>IF(Source!$E409=COLUMNS($A409:C409), LEFT(C408, LEN(C408)-Source!$C409), IF(Source!$G409=COLUMNS($A409:C409), C408&amp;RIGHT(INDIRECT(ADDRESS(ROW(C409)-1, Source!$E409)), Source!$C409), C408))</f>
        <v>FRZ</v>
      </c>
      <c r="D409" s="2" t="str">
        <f>IF(Source!$E409=COLUMNS($A409:D409), LEFT(D408, LEN(D408)-Source!$C409), IF(Source!$G409=COLUMNS($A409:D409), D408&amp;RIGHT(INDIRECT(ADDRESS(ROW(D409)-1, Source!$E409)), Source!$C409), D408))</f>
        <v>VCWL</v>
      </c>
      <c r="E409" s="2" t="str">
        <f>IF(Source!$E409=COLUMNS($A409:E409), LEFT(E408, LEN(E408)-Source!$C409), IF(Source!$G409=COLUMNS($A409:E409), E408&amp;RIGHT(INDIRECT(ADDRESS(ROW(E409)-1, Source!$E409)), Source!$C409), E408))</f>
        <v>FD</v>
      </c>
      <c r="F409" s="2" t="str">
        <f>IF(Source!$E409=COLUMNS($A409:F409), LEFT(F408, LEN(F408)-Source!$C409), IF(Source!$G409=COLUMNS($A409:F409), F408&amp;RIGHT(INDIRECT(ADDRESS(ROW(F409)-1, Source!$E409)), Source!$C409), F408))</f>
        <v/>
      </c>
      <c r="G409" s="2" t="str">
        <f>IF(Source!$E409=COLUMNS($A409:G409), LEFT(G408, LEN(G408)-Source!$C409), IF(Source!$G409=COLUMNS($A409:G409), G408&amp;RIGHT(INDIRECT(ADDRESS(ROW(G409)-1, Source!$E409)), Source!$C409), G408))</f>
        <v/>
      </c>
      <c r="H409" s="2" t="str">
        <f>IF(Source!$E409=COLUMNS($A409:H409), LEFT(H408, LEN(H408)-Source!$C409), IF(Source!$G409=COLUMNS($A409:H409), H408&amp;RIGHT(INDIRECT(ADDRESS(ROW(H409)-1, Source!$E409)), Source!$C409), H408))</f>
        <v/>
      </c>
      <c r="I409" s="2" t="str">
        <f>IF(Source!$E409=COLUMNS($A409:I409), LEFT(I408, LEN(I408)-Source!$C409), IF(Source!$G409=COLUMNS($A409:I409), I408&amp;RIGHT(INDIRECT(ADDRESS(ROW(I409)-1, Source!$E409)), Source!$C409), I408))</f>
        <v>JBQSVSPDHRMBLDTPMCPRTRJTLBDJTMVZBZHS</v>
      </c>
    </row>
    <row r="410">
      <c r="A410" s="2" t="str">
        <f>IF(Source!$E410=COLUMNS($A410:A410), LEFT(A409, LEN(A409)-Source!$C410), IF(Source!$G410=COLUMNS($A410:A410), A409&amp;RIGHT(INDIRECT(ADDRESS(ROW(A410)-1, Source!$E410)), Source!$C410), A409))</f>
        <v>GTC</v>
      </c>
      <c r="B410" s="2" t="str">
        <f>IF(Source!$E410=COLUMNS($A410:B410), LEFT(B409, LEN(B409)-Source!$C410), IF(Source!$G410=COLUMNS($A410:B410), B409&amp;RIGHT(INDIRECT(ADDRESS(ROW(B410)-1, Source!$E410)), Source!$C410), B409))</f>
        <v>G</v>
      </c>
      <c r="C410" s="2" t="str">
        <f>IF(Source!$E410=COLUMNS($A410:C410), LEFT(C409, LEN(C409)-Source!$C410), IF(Source!$G410=COLUMNS($A410:C410), C409&amp;RIGHT(INDIRECT(ADDRESS(ROW(C410)-1, Source!$E410)), Source!$C410), C409))</f>
        <v>FRZWDQRSTD</v>
      </c>
      <c r="D410" s="2" t="str">
        <f>IF(Source!$E410=COLUMNS($A410:D410), LEFT(D409, LEN(D409)-Source!$C410), IF(Source!$G410=COLUMNS($A410:D410), D409&amp;RIGHT(INDIRECT(ADDRESS(ROW(D410)-1, Source!$E410)), Source!$C410), D409))</f>
        <v>VCWL</v>
      </c>
      <c r="E410" s="2" t="str">
        <f>IF(Source!$E410=COLUMNS($A410:E410), LEFT(E409, LEN(E409)-Source!$C410), IF(Source!$G410=COLUMNS($A410:E410), E409&amp;RIGHT(INDIRECT(ADDRESS(ROW(E410)-1, Source!$E410)), Source!$C410), E409))</f>
        <v>FD</v>
      </c>
      <c r="F410" s="2" t="str">
        <f>IF(Source!$E410=COLUMNS($A410:F410), LEFT(F409, LEN(F409)-Source!$C410), IF(Source!$G410=COLUMNS($A410:F410), F409&amp;RIGHT(INDIRECT(ADDRESS(ROW(F410)-1, Source!$E410)), Source!$C410), F409))</f>
        <v/>
      </c>
      <c r="G410" s="2" t="str">
        <f>IF(Source!$E410=COLUMNS($A410:G410), LEFT(G409, LEN(G409)-Source!$C410), IF(Source!$G410=COLUMNS($A410:G410), G409&amp;RIGHT(INDIRECT(ADDRESS(ROW(G410)-1, Source!$E410)), Source!$C410), G409))</f>
        <v/>
      </c>
      <c r="H410" s="2" t="str">
        <f>IF(Source!$E410=COLUMNS($A410:H410), LEFT(H409, LEN(H409)-Source!$C410), IF(Source!$G410=COLUMNS($A410:H410), H409&amp;RIGHT(INDIRECT(ADDRESS(ROW(H410)-1, Source!$E410)), Source!$C410), H409))</f>
        <v/>
      </c>
      <c r="I410" s="2" t="str">
        <f>IF(Source!$E410=COLUMNS($A410:I410), LEFT(I409, LEN(I409)-Source!$C410), IF(Source!$G410=COLUMNS($A410:I410), I409&amp;RIGHT(INDIRECT(ADDRESS(ROW(I410)-1, Source!$E410)), Source!$C410), I409))</f>
        <v>JBQSVSPDHRMBLDTPMCPRTRJTLBDJTMVZBZHS</v>
      </c>
    </row>
    <row r="411">
      <c r="A411" s="2" t="str">
        <f>IF(Source!$E411=COLUMNS($A411:A411), LEFT(A410, LEN(A410)-Source!$C411), IF(Source!$G411=COLUMNS($A411:A411), A410&amp;RIGHT(INDIRECT(ADDRESS(ROW(A411)-1, Source!$E411)), Source!$C411), A410))</f>
        <v>GTCD</v>
      </c>
      <c r="B411" s="2" t="str">
        <f>IF(Source!$E411=COLUMNS($A411:B411), LEFT(B410, LEN(B410)-Source!$C411), IF(Source!$G411=COLUMNS($A411:B411), B410&amp;RIGHT(INDIRECT(ADDRESS(ROW(B411)-1, Source!$E411)), Source!$C411), B410))</f>
        <v>G</v>
      </c>
      <c r="C411" s="2" t="str">
        <f>IF(Source!$E411=COLUMNS($A411:C411), LEFT(C410, LEN(C410)-Source!$C411), IF(Source!$G411=COLUMNS($A411:C411), C410&amp;RIGHT(INDIRECT(ADDRESS(ROW(C411)-1, Source!$E411)), Source!$C411), C410))</f>
        <v>FRZWDQRST</v>
      </c>
      <c r="D411" s="2" t="str">
        <f>IF(Source!$E411=COLUMNS($A411:D411), LEFT(D410, LEN(D410)-Source!$C411), IF(Source!$G411=COLUMNS($A411:D411), D410&amp;RIGHT(INDIRECT(ADDRESS(ROW(D411)-1, Source!$E411)), Source!$C411), D410))</f>
        <v>VCWL</v>
      </c>
      <c r="E411" s="2" t="str">
        <f>IF(Source!$E411=COLUMNS($A411:E411), LEFT(E410, LEN(E410)-Source!$C411), IF(Source!$G411=COLUMNS($A411:E411), E410&amp;RIGHT(INDIRECT(ADDRESS(ROW(E411)-1, Source!$E411)), Source!$C411), E410))</f>
        <v>FD</v>
      </c>
      <c r="F411" s="2" t="str">
        <f>IF(Source!$E411=COLUMNS($A411:F411), LEFT(F410, LEN(F410)-Source!$C411), IF(Source!$G411=COLUMNS($A411:F411), F410&amp;RIGHT(INDIRECT(ADDRESS(ROW(F411)-1, Source!$E411)), Source!$C411), F410))</f>
        <v/>
      </c>
      <c r="G411" s="2" t="str">
        <f>IF(Source!$E411=COLUMNS($A411:G411), LEFT(G410, LEN(G410)-Source!$C411), IF(Source!$G411=COLUMNS($A411:G411), G410&amp;RIGHT(INDIRECT(ADDRESS(ROW(G411)-1, Source!$E411)), Source!$C411), G410))</f>
        <v/>
      </c>
      <c r="H411" s="2" t="str">
        <f>IF(Source!$E411=COLUMNS($A411:H411), LEFT(H410, LEN(H410)-Source!$C411), IF(Source!$G411=COLUMNS($A411:H411), H410&amp;RIGHT(INDIRECT(ADDRESS(ROW(H411)-1, Source!$E411)), Source!$C411), H410))</f>
        <v/>
      </c>
      <c r="I411" s="2" t="str">
        <f>IF(Source!$E411=COLUMNS($A411:I411), LEFT(I410, LEN(I410)-Source!$C411), IF(Source!$G411=COLUMNS($A411:I411), I410&amp;RIGHT(INDIRECT(ADDRESS(ROW(I411)-1, Source!$E411)), Source!$C411), I410))</f>
        <v>JBQSVSPDHRMBLDTPMCPRTRJTLBDJTMVZBZHS</v>
      </c>
    </row>
    <row r="412">
      <c r="A412" s="2" t="str">
        <f>IF(Source!$E412=COLUMNS($A412:A412), LEFT(A411, LEN(A411)-Source!$C412), IF(Source!$G412=COLUMNS($A412:A412), A411&amp;RIGHT(INDIRECT(ADDRESS(ROW(A412)-1, Source!$E412)), Source!$C412), A411))</f>
        <v>GTCD</v>
      </c>
      <c r="B412" s="2" t="str">
        <f>IF(Source!$E412=COLUMNS($A412:B412), LEFT(B411, LEN(B411)-Source!$C412), IF(Source!$G412=COLUMNS($A412:B412), B411&amp;RIGHT(INDIRECT(ADDRESS(ROW(B412)-1, Source!$E412)), Source!$C412), B411))</f>
        <v>G</v>
      </c>
      <c r="C412" s="2" t="str">
        <f>IF(Source!$E412=COLUMNS($A412:C412), LEFT(C411, LEN(C411)-Source!$C412), IF(Source!$G412=COLUMNS($A412:C412), C411&amp;RIGHT(INDIRECT(ADDRESS(ROW(C412)-1, Source!$E412)), Source!$C412), C411))</f>
        <v>FR</v>
      </c>
      <c r="D412" s="2" t="str">
        <f>IF(Source!$E412=COLUMNS($A412:D412), LEFT(D411, LEN(D411)-Source!$C412), IF(Source!$G412=COLUMNS($A412:D412), D411&amp;RIGHT(INDIRECT(ADDRESS(ROW(D412)-1, Source!$E412)), Source!$C412), D411))</f>
        <v>VCWL</v>
      </c>
      <c r="E412" s="2" t="str">
        <f>IF(Source!$E412=COLUMNS($A412:E412), LEFT(E411, LEN(E411)-Source!$C412), IF(Source!$G412=COLUMNS($A412:E412), E411&amp;RIGHT(INDIRECT(ADDRESS(ROW(E412)-1, Source!$E412)), Source!$C412), E411))</f>
        <v>FDZWDQRST</v>
      </c>
      <c r="F412" s="2" t="str">
        <f>IF(Source!$E412=COLUMNS($A412:F412), LEFT(F411, LEN(F411)-Source!$C412), IF(Source!$G412=COLUMNS($A412:F412), F411&amp;RIGHT(INDIRECT(ADDRESS(ROW(F412)-1, Source!$E412)), Source!$C412), F411))</f>
        <v/>
      </c>
      <c r="G412" s="2" t="str">
        <f>IF(Source!$E412=COLUMNS($A412:G412), LEFT(G411, LEN(G411)-Source!$C412), IF(Source!$G412=COLUMNS($A412:G412), G411&amp;RIGHT(INDIRECT(ADDRESS(ROW(G412)-1, Source!$E412)), Source!$C412), G411))</f>
        <v/>
      </c>
      <c r="H412" s="2" t="str">
        <f>IF(Source!$E412=COLUMNS($A412:H412), LEFT(H411, LEN(H411)-Source!$C412), IF(Source!$G412=COLUMNS($A412:H412), H411&amp;RIGHT(INDIRECT(ADDRESS(ROW(H412)-1, Source!$E412)), Source!$C412), H411))</f>
        <v/>
      </c>
      <c r="I412" s="2" t="str">
        <f>IF(Source!$E412=COLUMNS($A412:I412), LEFT(I411, LEN(I411)-Source!$C412), IF(Source!$G412=COLUMNS($A412:I412), I411&amp;RIGHT(INDIRECT(ADDRESS(ROW(I412)-1, Source!$E412)), Source!$C412), I411))</f>
        <v>JBQSVSPDHRMBLDTPMCPRTRJTLBDJTMVZBZHS</v>
      </c>
    </row>
    <row r="413">
      <c r="A413" s="2" t="str">
        <f>IF(Source!$E413=COLUMNS($A413:A413), LEFT(A412, LEN(A412)-Source!$C413), IF(Source!$G413=COLUMNS($A413:A413), A412&amp;RIGHT(INDIRECT(ADDRESS(ROW(A413)-1, Source!$E413)), Source!$C413), A412))</f>
        <v>GTCDWL</v>
      </c>
      <c r="B413" s="2" t="str">
        <f>IF(Source!$E413=COLUMNS($A413:B413), LEFT(B412, LEN(B412)-Source!$C413), IF(Source!$G413=COLUMNS($A413:B413), B412&amp;RIGHT(INDIRECT(ADDRESS(ROW(B413)-1, Source!$E413)), Source!$C413), B412))</f>
        <v>G</v>
      </c>
      <c r="C413" s="2" t="str">
        <f>IF(Source!$E413=COLUMNS($A413:C413), LEFT(C412, LEN(C412)-Source!$C413), IF(Source!$G413=COLUMNS($A413:C413), C412&amp;RIGHT(INDIRECT(ADDRESS(ROW(C413)-1, Source!$E413)), Source!$C413), C412))</f>
        <v>FR</v>
      </c>
      <c r="D413" s="2" t="str">
        <f>IF(Source!$E413=COLUMNS($A413:D413), LEFT(D412, LEN(D412)-Source!$C413), IF(Source!$G413=COLUMNS($A413:D413), D412&amp;RIGHT(INDIRECT(ADDRESS(ROW(D413)-1, Source!$E413)), Source!$C413), D412))</f>
        <v>VC</v>
      </c>
      <c r="E413" s="2" t="str">
        <f>IF(Source!$E413=COLUMNS($A413:E413), LEFT(E412, LEN(E412)-Source!$C413), IF(Source!$G413=COLUMNS($A413:E413), E412&amp;RIGHT(INDIRECT(ADDRESS(ROW(E413)-1, Source!$E413)), Source!$C413), E412))</f>
        <v>FDZWDQRST</v>
      </c>
      <c r="F413" s="2" t="str">
        <f>IF(Source!$E413=COLUMNS($A413:F413), LEFT(F412, LEN(F412)-Source!$C413), IF(Source!$G413=COLUMNS($A413:F413), F412&amp;RIGHT(INDIRECT(ADDRESS(ROW(F413)-1, Source!$E413)), Source!$C413), F412))</f>
        <v/>
      </c>
      <c r="G413" s="2" t="str">
        <f>IF(Source!$E413=COLUMNS($A413:G413), LEFT(G412, LEN(G412)-Source!$C413), IF(Source!$G413=COLUMNS($A413:G413), G412&amp;RIGHT(INDIRECT(ADDRESS(ROW(G413)-1, Source!$E413)), Source!$C413), G412))</f>
        <v/>
      </c>
      <c r="H413" s="2" t="str">
        <f>IF(Source!$E413=COLUMNS($A413:H413), LEFT(H412, LEN(H412)-Source!$C413), IF(Source!$G413=COLUMNS($A413:H413), H412&amp;RIGHT(INDIRECT(ADDRESS(ROW(H413)-1, Source!$E413)), Source!$C413), H412))</f>
        <v/>
      </c>
      <c r="I413" s="2" t="str">
        <f>IF(Source!$E413=COLUMNS($A413:I413), LEFT(I412, LEN(I412)-Source!$C413), IF(Source!$G413=COLUMNS($A413:I413), I412&amp;RIGHT(INDIRECT(ADDRESS(ROW(I413)-1, Source!$E413)), Source!$C413), I412))</f>
        <v>JBQSVSPDHRMBLDTPMCPRTRJTLBDJTMVZBZHS</v>
      </c>
    </row>
    <row r="414">
      <c r="A414" s="2" t="str">
        <f>IF(Source!$E414=COLUMNS($A414:A414), LEFT(A413, LEN(A413)-Source!$C414), IF(Source!$G414=COLUMNS($A414:A414), A413&amp;RIGHT(INDIRECT(ADDRESS(ROW(A414)-1, Source!$E414)), Source!$C414), A413))</f>
        <v>GTCDWL</v>
      </c>
      <c r="B414" s="2" t="str">
        <f>IF(Source!$E414=COLUMNS($A414:B414), LEFT(B413, LEN(B413)-Source!$C414), IF(Source!$G414=COLUMNS($A414:B414), B413&amp;RIGHT(INDIRECT(ADDRESS(ROW(B414)-1, Source!$E414)), Source!$C414), B413))</f>
        <v/>
      </c>
      <c r="C414" s="2" t="str">
        <f>IF(Source!$E414=COLUMNS($A414:C414), LEFT(C413, LEN(C413)-Source!$C414), IF(Source!$G414=COLUMNS($A414:C414), C413&amp;RIGHT(INDIRECT(ADDRESS(ROW(C414)-1, Source!$E414)), Source!$C414), C413))</f>
        <v>FR</v>
      </c>
      <c r="D414" s="2" t="str">
        <f>IF(Source!$E414=COLUMNS($A414:D414), LEFT(D413, LEN(D413)-Source!$C414), IF(Source!$G414=COLUMNS($A414:D414), D413&amp;RIGHT(INDIRECT(ADDRESS(ROW(D414)-1, Source!$E414)), Source!$C414), D413))</f>
        <v>VC</v>
      </c>
      <c r="E414" s="2" t="str">
        <f>IF(Source!$E414=COLUMNS($A414:E414), LEFT(E413, LEN(E413)-Source!$C414), IF(Source!$G414=COLUMNS($A414:E414), E413&amp;RIGHT(INDIRECT(ADDRESS(ROW(E414)-1, Source!$E414)), Source!$C414), E413))</f>
        <v>FDZWDQRST</v>
      </c>
      <c r="F414" s="2" t="str">
        <f>IF(Source!$E414=COLUMNS($A414:F414), LEFT(F413, LEN(F413)-Source!$C414), IF(Source!$G414=COLUMNS($A414:F414), F413&amp;RIGHT(INDIRECT(ADDRESS(ROW(F414)-1, Source!$E414)), Source!$C414), F413))</f>
        <v>G</v>
      </c>
      <c r="G414" s="2" t="str">
        <f>IF(Source!$E414=COLUMNS($A414:G414), LEFT(G413, LEN(G413)-Source!$C414), IF(Source!$G414=COLUMNS($A414:G414), G413&amp;RIGHT(INDIRECT(ADDRESS(ROW(G414)-1, Source!$E414)), Source!$C414), G413))</f>
        <v/>
      </c>
      <c r="H414" s="2" t="str">
        <f>IF(Source!$E414=COLUMNS($A414:H414), LEFT(H413, LEN(H413)-Source!$C414), IF(Source!$G414=COLUMNS($A414:H414), H413&amp;RIGHT(INDIRECT(ADDRESS(ROW(H414)-1, Source!$E414)), Source!$C414), H413))</f>
        <v/>
      </c>
      <c r="I414" s="2" t="str">
        <f>IF(Source!$E414=COLUMNS($A414:I414), LEFT(I413, LEN(I413)-Source!$C414), IF(Source!$G414=COLUMNS($A414:I414), I413&amp;RIGHT(INDIRECT(ADDRESS(ROW(I414)-1, Source!$E414)), Source!$C414), I413))</f>
        <v>JBQSVSPDHRMBLDTPMCPRTRJTLBDJTMVZBZHS</v>
      </c>
    </row>
    <row r="415">
      <c r="A415" s="2" t="str">
        <f>IF(Source!$E415=COLUMNS($A415:A415), LEFT(A414, LEN(A414)-Source!$C415), IF(Source!$G415=COLUMNS($A415:A415), A414&amp;RIGHT(INDIRECT(ADDRESS(ROW(A415)-1, Source!$E415)), Source!$C415), A414))</f>
        <v>GTCD</v>
      </c>
      <c r="B415" s="2" t="str">
        <f>IF(Source!$E415=COLUMNS($A415:B415), LEFT(B414, LEN(B414)-Source!$C415), IF(Source!$G415=COLUMNS($A415:B415), B414&amp;RIGHT(INDIRECT(ADDRESS(ROW(B415)-1, Source!$E415)), Source!$C415), B414))</f>
        <v/>
      </c>
      <c r="C415" s="2" t="str">
        <f>IF(Source!$E415=COLUMNS($A415:C415), LEFT(C414, LEN(C414)-Source!$C415), IF(Source!$G415=COLUMNS($A415:C415), C414&amp;RIGHT(INDIRECT(ADDRESS(ROW(C415)-1, Source!$E415)), Source!$C415), C414))</f>
        <v>FRWL</v>
      </c>
      <c r="D415" s="2" t="str">
        <f>IF(Source!$E415=COLUMNS($A415:D415), LEFT(D414, LEN(D414)-Source!$C415), IF(Source!$G415=COLUMNS($A415:D415), D414&amp;RIGHT(INDIRECT(ADDRESS(ROW(D415)-1, Source!$E415)), Source!$C415), D414))</f>
        <v>VC</v>
      </c>
      <c r="E415" s="2" t="str">
        <f>IF(Source!$E415=COLUMNS($A415:E415), LEFT(E414, LEN(E414)-Source!$C415), IF(Source!$G415=COLUMNS($A415:E415), E414&amp;RIGHT(INDIRECT(ADDRESS(ROW(E415)-1, Source!$E415)), Source!$C415), E414))</f>
        <v>FDZWDQRST</v>
      </c>
      <c r="F415" s="2" t="str">
        <f>IF(Source!$E415=COLUMNS($A415:F415), LEFT(F414, LEN(F414)-Source!$C415), IF(Source!$G415=COLUMNS($A415:F415), F414&amp;RIGHT(INDIRECT(ADDRESS(ROW(F415)-1, Source!$E415)), Source!$C415), F414))</f>
        <v>G</v>
      </c>
      <c r="G415" s="2" t="str">
        <f>IF(Source!$E415=COLUMNS($A415:G415), LEFT(G414, LEN(G414)-Source!$C415), IF(Source!$G415=COLUMNS($A415:G415), G414&amp;RIGHT(INDIRECT(ADDRESS(ROW(G415)-1, Source!$E415)), Source!$C415), G414))</f>
        <v/>
      </c>
      <c r="H415" s="2" t="str">
        <f>IF(Source!$E415=COLUMNS($A415:H415), LEFT(H414, LEN(H414)-Source!$C415), IF(Source!$G415=COLUMNS($A415:H415), H414&amp;RIGHT(INDIRECT(ADDRESS(ROW(H415)-1, Source!$E415)), Source!$C415), H414))</f>
        <v/>
      </c>
      <c r="I415" s="2" t="str">
        <f>IF(Source!$E415=COLUMNS($A415:I415), LEFT(I414, LEN(I414)-Source!$C415), IF(Source!$G415=COLUMNS($A415:I415), I414&amp;RIGHT(INDIRECT(ADDRESS(ROW(I415)-1, Source!$E415)), Source!$C415), I414))</f>
        <v>JBQSVSPDHRMBLDTPMCPRTRJTLBDJTMVZBZHS</v>
      </c>
    </row>
    <row r="416">
      <c r="A416" s="2" t="str">
        <f>IF(Source!$E416=COLUMNS($A416:A416), LEFT(A415, LEN(A415)-Source!$C416), IF(Source!$G416=COLUMNS($A416:A416), A415&amp;RIGHT(INDIRECT(ADDRESS(ROW(A416)-1, Source!$E416)), Source!$C416), A415))</f>
        <v>GTCD</v>
      </c>
      <c r="B416" s="2" t="str">
        <f>IF(Source!$E416=COLUMNS($A416:B416), LEFT(B415, LEN(B415)-Source!$C416), IF(Source!$G416=COLUMNS($A416:B416), B415&amp;RIGHT(INDIRECT(ADDRESS(ROW(B416)-1, Source!$E416)), Source!$C416), B415))</f>
        <v/>
      </c>
      <c r="C416" s="2" t="str">
        <f>IF(Source!$E416=COLUMNS($A416:C416), LEFT(C415, LEN(C415)-Source!$C416), IF(Source!$G416=COLUMNS($A416:C416), C415&amp;RIGHT(INDIRECT(ADDRESS(ROW(C416)-1, Source!$E416)), Source!$C416), C415))</f>
        <v>FRWL</v>
      </c>
      <c r="D416" s="2" t="str">
        <f>IF(Source!$E416=COLUMNS($A416:D416), LEFT(D415, LEN(D415)-Source!$C416), IF(Source!$G416=COLUMNS($A416:D416), D415&amp;RIGHT(INDIRECT(ADDRESS(ROW(D416)-1, Source!$E416)), Source!$C416), D415))</f>
        <v>VC</v>
      </c>
      <c r="E416" s="2" t="str">
        <f>IF(Source!$E416=COLUMNS($A416:E416), LEFT(E415, LEN(E415)-Source!$C416), IF(Source!$G416=COLUMNS($A416:E416), E415&amp;RIGHT(INDIRECT(ADDRESS(ROW(E416)-1, Source!$E416)), Source!$C416), E415))</f>
        <v>F</v>
      </c>
      <c r="F416" s="2" t="str">
        <f>IF(Source!$E416=COLUMNS($A416:F416), LEFT(F415, LEN(F415)-Source!$C416), IF(Source!$G416=COLUMNS($A416:F416), F415&amp;RIGHT(INDIRECT(ADDRESS(ROW(F416)-1, Source!$E416)), Source!$C416), F415))</f>
        <v>G</v>
      </c>
      <c r="G416" s="2" t="str">
        <f>IF(Source!$E416=COLUMNS($A416:G416), LEFT(G415, LEN(G415)-Source!$C416), IF(Source!$G416=COLUMNS($A416:G416), G415&amp;RIGHT(INDIRECT(ADDRESS(ROW(G416)-1, Source!$E416)), Source!$C416), G415))</f>
        <v/>
      </c>
      <c r="H416" s="2" t="str">
        <f>IF(Source!$E416=COLUMNS($A416:H416), LEFT(H415, LEN(H415)-Source!$C416), IF(Source!$G416=COLUMNS($A416:H416), H415&amp;RIGHT(INDIRECT(ADDRESS(ROW(H416)-1, Source!$E416)), Source!$C416), H415))</f>
        <v/>
      </c>
      <c r="I416" s="2" t="str">
        <f>IF(Source!$E416=COLUMNS($A416:I416), LEFT(I415, LEN(I415)-Source!$C416), IF(Source!$G416=COLUMNS($A416:I416), I415&amp;RIGHT(INDIRECT(ADDRESS(ROW(I416)-1, Source!$E416)), Source!$C416), I415))</f>
        <v>JBQSVSPDHRMBLDTPMCPRTRJTLBDJTMVZBZHSDZWDQRST</v>
      </c>
    </row>
    <row r="417">
      <c r="A417" s="2" t="str">
        <f>IF(Source!$E417=COLUMNS($A417:A417), LEFT(A416, LEN(A416)-Source!$C417), IF(Source!$G417=COLUMNS($A417:A417), A416&amp;RIGHT(INDIRECT(ADDRESS(ROW(A417)-1, Source!$E417)), Source!$C417), A416))</f>
        <v>G</v>
      </c>
      <c r="B417" s="2" t="str">
        <f>IF(Source!$E417=COLUMNS($A417:B417), LEFT(B416, LEN(B416)-Source!$C417), IF(Source!$G417=COLUMNS($A417:B417), B416&amp;RIGHT(INDIRECT(ADDRESS(ROW(B417)-1, Source!$E417)), Source!$C417), B416))</f>
        <v/>
      </c>
      <c r="C417" s="2" t="str">
        <f>IF(Source!$E417=COLUMNS($A417:C417), LEFT(C416, LEN(C416)-Source!$C417), IF(Source!$G417=COLUMNS($A417:C417), C416&amp;RIGHT(INDIRECT(ADDRESS(ROW(C417)-1, Source!$E417)), Source!$C417), C416))</f>
        <v>FRWLTCD</v>
      </c>
      <c r="D417" s="2" t="str">
        <f>IF(Source!$E417=COLUMNS($A417:D417), LEFT(D416, LEN(D416)-Source!$C417), IF(Source!$G417=COLUMNS($A417:D417), D416&amp;RIGHT(INDIRECT(ADDRESS(ROW(D417)-1, Source!$E417)), Source!$C417), D416))</f>
        <v>VC</v>
      </c>
      <c r="E417" s="2" t="str">
        <f>IF(Source!$E417=COLUMNS($A417:E417), LEFT(E416, LEN(E416)-Source!$C417), IF(Source!$G417=COLUMNS($A417:E417), E416&amp;RIGHT(INDIRECT(ADDRESS(ROW(E417)-1, Source!$E417)), Source!$C417), E416))</f>
        <v>F</v>
      </c>
      <c r="F417" s="2" t="str">
        <f>IF(Source!$E417=COLUMNS($A417:F417), LEFT(F416, LEN(F416)-Source!$C417), IF(Source!$G417=COLUMNS($A417:F417), F416&amp;RIGHT(INDIRECT(ADDRESS(ROW(F417)-1, Source!$E417)), Source!$C417), F416))</f>
        <v>G</v>
      </c>
      <c r="G417" s="2" t="str">
        <f>IF(Source!$E417=COLUMNS($A417:G417), LEFT(G416, LEN(G416)-Source!$C417), IF(Source!$G417=COLUMNS($A417:G417), G416&amp;RIGHT(INDIRECT(ADDRESS(ROW(G417)-1, Source!$E417)), Source!$C417), G416))</f>
        <v/>
      </c>
      <c r="H417" s="2" t="str">
        <f>IF(Source!$E417=COLUMNS($A417:H417), LEFT(H416, LEN(H416)-Source!$C417), IF(Source!$G417=COLUMNS($A417:H417), H416&amp;RIGHT(INDIRECT(ADDRESS(ROW(H417)-1, Source!$E417)), Source!$C417), H416))</f>
        <v/>
      </c>
      <c r="I417" s="2" t="str">
        <f>IF(Source!$E417=COLUMNS($A417:I417), LEFT(I416, LEN(I416)-Source!$C417), IF(Source!$G417=COLUMNS($A417:I417), I416&amp;RIGHT(INDIRECT(ADDRESS(ROW(I417)-1, Source!$E417)), Source!$C417), I416))</f>
        <v>JBQSVSPDHRMBLDTPMCPRTRJTLBDJTMVZBZHSDZWDQRST</v>
      </c>
    </row>
    <row r="418">
      <c r="A418" s="2" t="str">
        <f>IF(Source!$E418=COLUMNS($A418:A418), LEFT(A417, LEN(A417)-Source!$C418), IF(Source!$G418=COLUMNS($A418:A418), A417&amp;RIGHT(INDIRECT(ADDRESS(ROW(A418)-1, Source!$E418)), Source!$C418), A417))</f>
        <v>GG</v>
      </c>
      <c r="B418" s="2" t="str">
        <f>IF(Source!$E418=COLUMNS($A418:B418), LEFT(B417, LEN(B417)-Source!$C418), IF(Source!$G418=COLUMNS($A418:B418), B417&amp;RIGHT(INDIRECT(ADDRESS(ROW(B418)-1, Source!$E418)), Source!$C418), B417))</f>
        <v/>
      </c>
      <c r="C418" s="2" t="str">
        <f>IF(Source!$E418=COLUMNS($A418:C418), LEFT(C417, LEN(C417)-Source!$C418), IF(Source!$G418=COLUMNS($A418:C418), C417&amp;RIGHT(INDIRECT(ADDRESS(ROW(C418)-1, Source!$E418)), Source!$C418), C417))</f>
        <v>FRWLTCD</v>
      </c>
      <c r="D418" s="2" t="str">
        <f>IF(Source!$E418=COLUMNS($A418:D418), LEFT(D417, LEN(D417)-Source!$C418), IF(Source!$G418=COLUMNS($A418:D418), D417&amp;RIGHT(INDIRECT(ADDRESS(ROW(D418)-1, Source!$E418)), Source!$C418), D417))</f>
        <v>VC</v>
      </c>
      <c r="E418" s="2" t="str">
        <f>IF(Source!$E418=COLUMNS($A418:E418), LEFT(E417, LEN(E417)-Source!$C418), IF(Source!$G418=COLUMNS($A418:E418), E417&amp;RIGHT(INDIRECT(ADDRESS(ROW(E418)-1, Source!$E418)), Source!$C418), E417))</f>
        <v>F</v>
      </c>
      <c r="F418" s="2" t="str">
        <f>IF(Source!$E418=COLUMNS($A418:F418), LEFT(F417, LEN(F417)-Source!$C418), IF(Source!$G418=COLUMNS($A418:F418), F417&amp;RIGHT(INDIRECT(ADDRESS(ROW(F418)-1, Source!$E418)), Source!$C418), F417))</f>
        <v/>
      </c>
      <c r="G418" s="2" t="str">
        <f>IF(Source!$E418=COLUMNS($A418:G418), LEFT(G417, LEN(G417)-Source!$C418), IF(Source!$G418=COLUMNS($A418:G418), G417&amp;RIGHT(INDIRECT(ADDRESS(ROW(G418)-1, Source!$E418)), Source!$C418), G417))</f>
        <v/>
      </c>
      <c r="H418" s="2" t="str">
        <f>IF(Source!$E418=COLUMNS($A418:H418), LEFT(H417, LEN(H417)-Source!$C418), IF(Source!$G418=COLUMNS($A418:H418), H417&amp;RIGHT(INDIRECT(ADDRESS(ROW(H418)-1, Source!$E418)), Source!$C418), H417))</f>
        <v/>
      </c>
      <c r="I418" s="2" t="str">
        <f>IF(Source!$E418=COLUMNS($A418:I418), LEFT(I417, LEN(I417)-Source!$C418), IF(Source!$G418=COLUMNS($A418:I418), I417&amp;RIGHT(INDIRECT(ADDRESS(ROW(I418)-1, Source!$E418)), Source!$C418), I417))</f>
        <v>JBQSVSPDHRMBLDTPMCPRTRJTLBDJTMVZBZHSDZWDQRST</v>
      </c>
    </row>
    <row r="419">
      <c r="A419" s="2" t="str">
        <f>IF(Source!$E419=COLUMNS($A419:A419), LEFT(A418, LEN(A418)-Source!$C419), IF(Source!$G419=COLUMNS($A419:A419), A418&amp;RIGHT(INDIRECT(ADDRESS(ROW(A419)-1, Source!$E419)), Source!$C419), A418))</f>
        <v>GGVC</v>
      </c>
      <c r="B419" s="2" t="str">
        <f>IF(Source!$E419=COLUMNS($A419:B419), LEFT(B418, LEN(B418)-Source!$C419), IF(Source!$G419=COLUMNS($A419:B419), B418&amp;RIGHT(INDIRECT(ADDRESS(ROW(B419)-1, Source!$E419)), Source!$C419), B418))</f>
        <v/>
      </c>
      <c r="C419" s="2" t="str">
        <f>IF(Source!$E419=COLUMNS($A419:C419), LEFT(C418, LEN(C418)-Source!$C419), IF(Source!$G419=COLUMNS($A419:C419), C418&amp;RIGHT(INDIRECT(ADDRESS(ROW(C419)-1, Source!$E419)), Source!$C419), C418))</f>
        <v>FRWLTCD</v>
      </c>
      <c r="D419" s="2" t="str">
        <f>IF(Source!$E419=COLUMNS($A419:D419), LEFT(D418, LEN(D418)-Source!$C419), IF(Source!$G419=COLUMNS($A419:D419), D418&amp;RIGHT(INDIRECT(ADDRESS(ROW(D419)-1, Source!$E419)), Source!$C419), D418))</f>
        <v/>
      </c>
      <c r="E419" s="2" t="str">
        <f>IF(Source!$E419=COLUMNS($A419:E419), LEFT(E418, LEN(E418)-Source!$C419), IF(Source!$G419=COLUMNS($A419:E419), E418&amp;RIGHT(INDIRECT(ADDRESS(ROW(E419)-1, Source!$E419)), Source!$C419), E418))</f>
        <v>F</v>
      </c>
      <c r="F419" s="2" t="str">
        <f>IF(Source!$E419=COLUMNS($A419:F419), LEFT(F418, LEN(F418)-Source!$C419), IF(Source!$G419=COLUMNS($A419:F419), F418&amp;RIGHT(INDIRECT(ADDRESS(ROW(F419)-1, Source!$E419)), Source!$C419), F418))</f>
        <v/>
      </c>
      <c r="G419" s="2" t="str">
        <f>IF(Source!$E419=COLUMNS($A419:G419), LEFT(G418, LEN(G418)-Source!$C419), IF(Source!$G419=COLUMNS($A419:G419), G418&amp;RIGHT(INDIRECT(ADDRESS(ROW(G419)-1, Source!$E419)), Source!$C419), G418))</f>
        <v/>
      </c>
      <c r="H419" s="2" t="str">
        <f>IF(Source!$E419=COLUMNS($A419:H419), LEFT(H418, LEN(H418)-Source!$C419), IF(Source!$G419=COLUMNS($A419:H419), H418&amp;RIGHT(INDIRECT(ADDRESS(ROW(H419)-1, Source!$E419)), Source!$C419), H418))</f>
        <v/>
      </c>
      <c r="I419" s="2" t="str">
        <f>IF(Source!$E419=COLUMNS($A419:I419), LEFT(I418, LEN(I418)-Source!$C419), IF(Source!$G419=COLUMNS($A419:I419), I418&amp;RIGHT(INDIRECT(ADDRESS(ROW(I419)-1, Source!$E419)), Source!$C419), I418))</f>
        <v>JBQSVSPDHRMBLDTPMCPRTRJTLBDJTMVZBZHSDZWDQRST</v>
      </c>
    </row>
    <row r="420">
      <c r="A420" s="2" t="str">
        <f>IF(Source!$E420=COLUMNS($A420:A420), LEFT(A419, LEN(A419)-Source!$C420), IF(Source!$G420=COLUMNS($A420:A420), A419&amp;RIGHT(INDIRECT(ADDRESS(ROW(A420)-1, Source!$E420)), Source!$C420), A419))</f>
        <v>GGVC</v>
      </c>
      <c r="B420" s="2" t="str">
        <f>IF(Source!$E420=COLUMNS($A420:B420), LEFT(B419, LEN(B419)-Source!$C420), IF(Source!$G420=COLUMNS($A420:B420), B419&amp;RIGHT(INDIRECT(ADDRESS(ROW(B420)-1, Source!$E420)), Source!$C420), B419))</f>
        <v>F</v>
      </c>
      <c r="C420" s="2" t="str">
        <f>IF(Source!$E420=COLUMNS($A420:C420), LEFT(C419, LEN(C419)-Source!$C420), IF(Source!$G420=COLUMNS($A420:C420), C419&amp;RIGHT(INDIRECT(ADDRESS(ROW(C420)-1, Source!$E420)), Source!$C420), C419))</f>
        <v>FRWLTCD</v>
      </c>
      <c r="D420" s="2" t="str">
        <f>IF(Source!$E420=COLUMNS($A420:D420), LEFT(D419, LEN(D419)-Source!$C420), IF(Source!$G420=COLUMNS($A420:D420), D419&amp;RIGHT(INDIRECT(ADDRESS(ROW(D420)-1, Source!$E420)), Source!$C420), D419))</f>
        <v/>
      </c>
      <c r="E420" s="2" t="str">
        <f>IF(Source!$E420=COLUMNS($A420:E420), LEFT(E419, LEN(E419)-Source!$C420), IF(Source!$G420=COLUMNS($A420:E420), E419&amp;RIGHT(INDIRECT(ADDRESS(ROW(E420)-1, Source!$E420)), Source!$C420), E419))</f>
        <v/>
      </c>
      <c r="F420" s="2" t="str">
        <f>IF(Source!$E420=COLUMNS($A420:F420), LEFT(F419, LEN(F419)-Source!$C420), IF(Source!$G420=COLUMNS($A420:F420), F419&amp;RIGHT(INDIRECT(ADDRESS(ROW(F420)-1, Source!$E420)), Source!$C420), F419))</f>
        <v/>
      </c>
      <c r="G420" s="2" t="str">
        <f>IF(Source!$E420=COLUMNS($A420:G420), LEFT(G419, LEN(G419)-Source!$C420), IF(Source!$G420=COLUMNS($A420:G420), G419&amp;RIGHT(INDIRECT(ADDRESS(ROW(G420)-1, Source!$E420)), Source!$C420), G419))</f>
        <v/>
      </c>
      <c r="H420" s="2" t="str">
        <f>IF(Source!$E420=COLUMNS($A420:H420), LEFT(H419, LEN(H419)-Source!$C420), IF(Source!$G420=COLUMNS($A420:H420), H419&amp;RIGHT(INDIRECT(ADDRESS(ROW(H420)-1, Source!$E420)), Source!$C420), H419))</f>
        <v/>
      </c>
      <c r="I420" s="2" t="str">
        <f>IF(Source!$E420=COLUMNS($A420:I420), LEFT(I419, LEN(I419)-Source!$C420), IF(Source!$G420=COLUMNS($A420:I420), I419&amp;RIGHT(INDIRECT(ADDRESS(ROW(I420)-1, Source!$E420)), Source!$C420), I419))</f>
        <v>JBQSVSPDHRMBLDTPMCPRTRJTLBDJTMVZBZHSDZWDQRST</v>
      </c>
    </row>
    <row r="421">
      <c r="A421" s="2" t="str">
        <f>IF(Source!$E421=COLUMNS($A421:A421), LEFT(A420, LEN(A420)-Source!$C421), IF(Source!$G421=COLUMNS($A421:A421), A420&amp;RIGHT(INDIRECT(ADDRESS(ROW(A421)-1, Source!$E421)), Source!$C421), A420))</f>
        <v>GG</v>
      </c>
      <c r="B421" s="2" t="str">
        <f>IF(Source!$E421=COLUMNS($A421:B421), LEFT(B420, LEN(B420)-Source!$C421), IF(Source!$G421=COLUMNS($A421:B421), B420&amp;RIGHT(INDIRECT(ADDRESS(ROW(B421)-1, Source!$E421)), Source!$C421), B420))</f>
        <v>F</v>
      </c>
      <c r="C421" s="2" t="str">
        <f>IF(Source!$E421=COLUMNS($A421:C421), LEFT(C420, LEN(C420)-Source!$C421), IF(Source!$G421=COLUMNS($A421:C421), C420&amp;RIGHT(INDIRECT(ADDRESS(ROW(C421)-1, Source!$E421)), Source!$C421), C420))</f>
        <v>FRWLTCD</v>
      </c>
      <c r="D421" s="2" t="str">
        <f>IF(Source!$E421=COLUMNS($A421:D421), LEFT(D420, LEN(D420)-Source!$C421), IF(Source!$G421=COLUMNS($A421:D421), D420&amp;RIGHT(INDIRECT(ADDRESS(ROW(D421)-1, Source!$E421)), Source!$C421), D420))</f>
        <v/>
      </c>
      <c r="E421" s="2" t="str">
        <f>IF(Source!$E421=COLUMNS($A421:E421), LEFT(E420, LEN(E420)-Source!$C421), IF(Source!$G421=COLUMNS($A421:E421), E420&amp;RIGHT(INDIRECT(ADDRESS(ROW(E421)-1, Source!$E421)), Source!$C421), E420))</f>
        <v/>
      </c>
      <c r="F421" s="2" t="str">
        <f>IF(Source!$E421=COLUMNS($A421:F421), LEFT(F420, LEN(F420)-Source!$C421), IF(Source!$G421=COLUMNS($A421:F421), F420&amp;RIGHT(INDIRECT(ADDRESS(ROW(F421)-1, Source!$E421)), Source!$C421), F420))</f>
        <v>VC</v>
      </c>
      <c r="G421" s="2" t="str">
        <f>IF(Source!$E421=COLUMNS($A421:G421), LEFT(G420, LEN(G420)-Source!$C421), IF(Source!$G421=COLUMNS($A421:G421), G420&amp;RIGHT(INDIRECT(ADDRESS(ROW(G421)-1, Source!$E421)), Source!$C421), G420))</f>
        <v/>
      </c>
      <c r="H421" s="2" t="str">
        <f>IF(Source!$E421=COLUMNS($A421:H421), LEFT(H420, LEN(H420)-Source!$C421), IF(Source!$G421=COLUMNS($A421:H421), H420&amp;RIGHT(INDIRECT(ADDRESS(ROW(H421)-1, Source!$E421)), Source!$C421), H420))</f>
        <v/>
      </c>
      <c r="I421" s="2" t="str">
        <f>IF(Source!$E421=COLUMNS($A421:I421), LEFT(I420, LEN(I420)-Source!$C421), IF(Source!$G421=COLUMNS($A421:I421), I420&amp;RIGHT(INDIRECT(ADDRESS(ROW(I421)-1, Source!$E421)), Source!$C421), I420))</f>
        <v>JBQSVSPDHRMBLDTPMCPRTRJTLBDJTMVZBZHSDZWDQRST</v>
      </c>
    </row>
    <row r="422">
      <c r="A422" s="2" t="str">
        <f>IF(Source!$E422=COLUMNS($A422:A422), LEFT(A421, LEN(A421)-Source!$C422), IF(Source!$G422=COLUMNS($A422:A422), A421&amp;RIGHT(INDIRECT(ADDRESS(ROW(A422)-1, Source!$E422)), Source!$C422), A421))</f>
        <v>GG</v>
      </c>
      <c r="B422" s="2" t="str">
        <f>IF(Source!$E422=COLUMNS($A422:B422), LEFT(B421, LEN(B421)-Source!$C422), IF(Source!$G422=COLUMNS($A422:B422), B421&amp;RIGHT(INDIRECT(ADDRESS(ROW(B422)-1, Source!$E422)), Source!$C422), B421))</f>
        <v>F</v>
      </c>
      <c r="C422" s="2" t="str">
        <f>IF(Source!$E422=COLUMNS($A422:C422), LEFT(C421, LEN(C421)-Source!$C422), IF(Source!$G422=COLUMNS($A422:C422), C421&amp;RIGHT(INDIRECT(ADDRESS(ROW(C422)-1, Source!$E422)), Source!$C422), C421))</f>
        <v>FRWLTCDVC</v>
      </c>
      <c r="D422" s="2" t="str">
        <f>IF(Source!$E422=COLUMNS($A422:D422), LEFT(D421, LEN(D421)-Source!$C422), IF(Source!$G422=COLUMNS($A422:D422), D421&amp;RIGHT(INDIRECT(ADDRESS(ROW(D422)-1, Source!$E422)), Source!$C422), D421))</f>
        <v/>
      </c>
      <c r="E422" s="2" t="str">
        <f>IF(Source!$E422=COLUMNS($A422:E422), LEFT(E421, LEN(E421)-Source!$C422), IF(Source!$G422=COLUMNS($A422:E422), E421&amp;RIGHT(INDIRECT(ADDRESS(ROW(E422)-1, Source!$E422)), Source!$C422), E421))</f>
        <v/>
      </c>
      <c r="F422" s="2" t="str">
        <f>IF(Source!$E422=COLUMNS($A422:F422), LEFT(F421, LEN(F421)-Source!$C422), IF(Source!$G422=COLUMNS($A422:F422), F421&amp;RIGHT(INDIRECT(ADDRESS(ROW(F422)-1, Source!$E422)), Source!$C422), F421))</f>
        <v/>
      </c>
      <c r="G422" s="2" t="str">
        <f>IF(Source!$E422=COLUMNS($A422:G422), LEFT(G421, LEN(G421)-Source!$C422), IF(Source!$G422=COLUMNS($A422:G422), G421&amp;RIGHT(INDIRECT(ADDRESS(ROW(G422)-1, Source!$E422)), Source!$C422), G421))</f>
        <v/>
      </c>
      <c r="H422" s="2" t="str">
        <f>IF(Source!$E422=COLUMNS($A422:H422), LEFT(H421, LEN(H421)-Source!$C422), IF(Source!$G422=COLUMNS($A422:H422), H421&amp;RIGHT(INDIRECT(ADDRESS(ROW(H422)-1, Source!$E422)), Source!$C422), H421))</f>
        <v/>
      </c>
      <c r="I422" s="2" t="str">
        <f>IF(Source!$E422=COLUMNS($A422:I422), LEFT(I421, LEN(I421)-Source!$C422), IF(Source!$G422=COLUMNS($A422:I422), I421&amp;RIGHT(INDIRECT(ADDRESS(ROW(I422)-1, Source!$E422)), Source!$C422), I421))</f>
        <v>JBQSVSPDHRMBLDTPMCPRTRJTLBDJTMVZBZHSDZWDQRST</v>
      </c>
    </row>
    <row r="423">
      <c r="A423" s="2" t="str">
        <f>IF(Source!$E423=COLUMNS($A423:A423), LEFT(A422, LEN(A422)-Source!$C423), IF(Source!$G423=COLUMNS($A423:A423), A422&amp;RIGHT(INDIRECT(ADDRESS(ROW(A423)-1, Source!$E423)), Source!$C423), A422))</f>
        <v>GG</v>
      </c>
      <c r="B423" s="2" t="str">
        <f>IF(Source!$E423=COLUMNS($A423:B423), LEFT(B422, LEN(B422)-Source!$C423), IF(Source!$G423=COLUMNS($A423:B423), B422&amp;RIGHT(INDIRECT(ADDRESS(ROW(B423)-1, Source!$E423)), Source!$C423), B422))</f>
        <v>FVC</v>
      </c>
      <c r="C423" s="2" t="str">
        <f>IF(Source!$E423=COLUMNS($A423:C423), LEFT(C422, LEN(C422)-Source!$C423), IF(Source!$G423=COLUMNS($A423:C423), C422&amp;RIGHT(INDIRECT(ADDRESS(ROW(C423)-1, Source!$E423)), Source!$C423), C422))</f>
        <v>FRWLTCD</v>
      </c>
      <c r="D423" s="2" t="str">
        <f>IF(Source!$E423=COLUMNS($A423:D423), LEFT(D422, LEN(D422)-Source!$C423), IF(Source!$G423=COLUMNS($A423:D423), D422&amp;RIGHT(INDIRECT(ADDRESS(ROW(D423)-1, Source!$E423)), Source!$C423), D422))</f>
        <v/>
      </c>
      <c r="E423" s="2" t="str">
        <f>IF(Source!$E423=COLUMNS($A423:E423), LEFT(E422, LEN(E422)-Source!$C423), IF(Source!$G423=COLUMNS($A423:E423), E422&amp;RIGHT(INDIRECT(ADDRESS(ROW(E423)-1, Source!$E423)), Source!$C423), E422))</f>
        <v/>
      </c>
      <c r="F423" s="2" t="str">
        <f>IF(Source!$E423=COLUMNS($A423:F423), LEFT(F422, LEN(F422)-Source!$C423), IF(Source!$G423=COLUMNS($A423:F423), F422&amp;RIGHT(INDIRECT(ADDRESS(ROW(F423)-1, Source!$E423)), Source!$C423), F422))</f>
        <v/>
      </c>
      <c r="G423" s="2" t="str">
        <f>IF(Source!$E423=COLUMNS($A423:G423), LEFT(G422, LEN(G422)-Source!$C423), IF(Source!$G423=COLUMNS($A423:G423), G422&amp;RIGHT(INDIRECT(ADDRESS(ROW(G423)-1, Source!$E423)), Source!$C423), G422))</f>
        <v/>
      </c>
      <c r="H423" s="2" t="str">
        <f>IF(Source!$E423=COLUMNS($A423:H423), LEFT(H422, LEN(H422)-Source!$C423), IF(Source!$G423=COLUMNS($A423:H423), H422&amp;RIGHT(INDIRECT(ADDRESS(ROW(H423)-1, Source!$E423)), Source!$C423), H422))</f>
        <v/>
      </c>
      <c r="I423" s="2" t="str">
        <f>IF(Source!$E423=COLUMNS($A423:I423), LEFT(I422, LEN(I422)-Source!$C423), IF(Source!$G423=COLUMNS($A423:I423), I422&amp;RIGHT(INDIRECT(ADDRESS(ROW(I423)-1, Source!$E423)), Source!$C423), I422))</f>
        <v>JBQSVSPDHRMBLDTPMCPRTRJTLBDJTMVZBZHSDZWDQRST</v>
      </c>
    </row>
    <row r="424">
      <c r="A424" s="2" t="str">
        <f>IF(Source!$E424=COLUMNS($A424:A424), LEFT(A423, LEN(A423)-Source!$C424), IF(Source!$G424=COLUMNS($A424:A424), A423&amp;RIGHT(INDIRECT(ADDRESS(ROW(A424)-1, Source!$E424)), Source!$C424), A423))</f>
        <v>GG</v>
      </c>
      <c r="B424" s="2" t="str">
        <f>IF(Source!$E424=COLUMNS($A424:B424), LEFT(B423, LEN(B423)-Source!$C424), IF(Source!$G424=COLUMNS($A424:B424), B423&amp;RIGHT(INDIRECT(ADDRESS(ROW(B424)-1, Source!$E424)), Source!$C424), B423))</f>
        <v>F</v>
      </c>
      <c r="C424" s="2" t="str">
        <f>IF(Source!$E424=COLUMNS($A424:C424), LEFT(C423, LEN(C423)-Source!$C424), IF(Source!$G424=COLUMNS($A424:C424), C423&amp;RIGHT(INDIRECT(ADDRESS(ROW(C424)-1, Source!$E424)), Source!$C424), C423))</f>
        <v>FRWLTCD</v>
      </c>
      <c r="D424" s="2" t="str">
        <f>IF(Source!$E424=COLUMNS($A424:D424), LEFT(D423, LEN(D423)-Source!$C424), IF(Source!$G424=COLUMNS($A424:D424), D423&amp;RIGHT(INDIRECT(ADDRESS(ROW(D424)-1, Source!$E424)), Source!$C424), D423))</f>
        <v>VC</v>
      </c>
      <c r="E424" s="2" t="str">
        <f>IF(Source!$E424=COLUMNS($A424:E424), LEFT(E423, LEN(E423)-Source!$C424), IF(Source!$G424=COLUMNS($A424:E424), E423&amp;RIGHT(INDIRECT(ADDRESS(ROW(E424)-1, Source!$E424)), Source!$C424), E423))</f>
        <v/>
      </c>
      <c r="F424" s="2" t="str">
        <f>IF(Source!$E424=COLUMNS($A424:F424), LEFT(F423, LEN(F423)-Source!$C424), IF(Source!$G424=COLUMNS($A424:F424), F423&amp;RIGHT(INDIRECT(ADDRESS(ROW(F424)-1, Source!$E424)), Source!$C424), F423))</f>
        <v/>
      </c>
      <c r="G424" s="2" t="str">
        <f>IF(Source!$E424=COLUMNS($A424:G424), LEFT(G423, LEN(G423)-Source!$C424), IF(Source!$G424=COLUMNS($A424:G424), G423&amp;RIGHT(INDIRECT(ADDRESS(ROW(G424)-1, Source!$E424)), Source!$C424), G423))</f>
        <v/>
      </c>
      <c r="H424" s="2" t="str">
        <f>IF(Source!$E424=COLUMNS($A424:H424), LEFT(H423, LEN(H423)-Source!$C424), IF(Source!$G424=COLUMNS($A424:H424), H423&amp;RIGHT(INDIRECT(ADDRESS(ROW(H424)-1, Source!$E424)), Source!$C424), H423))</f>
        <v/>
      </c>
      <c r="I424" s="2" t="str">
        <f>IF(Source!$E424=COLUMNS($A424:I424), LEFT(I423, LEN(I423)-Source!$C424), IF(Source!$G424=COLUMNS($A424:I424), I423&amp;RIGHT(INDIRECT(ADDRESS(ROW(I424)-1, Source!$E424)), Source!$C424), I423))</f>
        <v>JBQSVSPDHRMBLDTPMCPRTRJTLBDJTMVZBZHSDZWDQRST</v>
      </c>
    </row>
    <row r="425">
      <c r="A425" s="2" t="str">
        <f>IF(Source!$E425=COLUMNS($A425:A425), LEFT(A424, LEN(A424)-Source!$C425), IF(Source!$G425=COLUMNS($A425:A425), A424&amp;RIGHT(INDIRECT(ADDRESS(ROW(A425)-1, Source!$E425)), Source!$C425), A424))</f>
        <v>GG</v>
      </c>
      <c r="B425" s="2" t="str">
        <f>IF(Source!$E425=COLUMNS($A425:B425), LEFT(B424, LEN(B424)-Source!$C425), IF(Source!$G425=COLUMNS($A425:B425), B424&amp;RIGHT(INDIRECT(ADDRESS(ROW(B425)-1, Source!$E425)), Source!$C425), B424))</f>
        <v/>
      </c>
      <c r="C425" s="2" t="str">
        <f>IF(Source!$E425=COLUMNS($A425:C425), LEFT(C424, LEN(C424)-Source!$C425), IF(Source!$G425=COLUMNS($A425:C425), C424&amp;RIGHT(INDIRECT(ADDRESS(ROW(C425)-1, Source!$E425)), Source!$C425), C424))</f>
        <v>FRWLTCD</v>
      </c>
      <c r="D425" s="2" t="str">
        <f>IF(Source!$E425=COLUMNS($A425:D425), LEFT(D424, LEN(D424)-Source!$C425), IF(Source!$G425=COLUMNS($A425:D425), D424&amp;RIGHT(INDIRECT(ADDRESS(ROW(D425)-1, Source!$E425)), Source!$C425), D424))</f>
        <v>VC</v>
      </c>
      <c r="E425" s="2" t="str">
        <f>IF(Source!$E425=COLUMNS($A425:E425), LEFT(E424, LEN(E424)-Source!$C425), IF(Source!$G425=COLUMNS($A425:E425), E424&amp;RIGHT(INDIRECT(ADDRESS(ROW(E425)-1, Source!$E425)), Source!$C425), E424))</f>
        <v/>
      </c>
      <c r="F425" s="2" t="str">
        <f>IF(Source!$E425=COLUMNS($A425:F425), LEFT(F424, LEN(F424)-Source!$C425), IF(Source!$G425=COLUMNS($A425:F425), F424&amp;RIGHT(INDIRECT(ADDRESS(ROW(F425)-1, Source!$E425)), Source!$C425), F424))</f>
        <v>F</v>
      </c>
      <c r="G425" s="2" t="str">
        <f>IF(Source!$E425=COLUMNS($A425:G425), LEFT(G424, LEN(G424)-Source!$C425), IF(Source!$G425=COLUMNS($A425:G425), G424&amp;RIGHT(INDIRECT(ADDRESS(ROW(G425)-1, Source!$E425)), Source!$C425), G424))</f>
        <v/>
      </c>
      <c r="H425" s="2" t="str">
        <f>IF(Source!$E425=COLUMNS($A425:H425), LEFT(H424, LEN(H424)-Source!$C425), IF(Source!$G425=COLUMNS($A425:H425), H424&amp;RIGHT(INDIRECT(ADDRESS(ROW(H425)-1, Source!$E425)), Source!$C425), H424))</f>
        <v/>
      </c>
      <c r="I425" s="2" t="str">
        <f>IF(Source!$E425=COLUMNS($A425:I425), LEFT(I424, LEN(I424)-Source!$C425), IF(Source!$G425=COLUMNS($A425:I425), I424&amp;RIGHT(INDIRECT(ADDRESS(ROW(I425)-1, Source!$E425)), Source!$C425), I424))</f>
        <v>JBQSVSPDHRMBLDTPMCPRTRJTLBDJTMVZBZHSDZWDQRST</v>
      </c>
    </row>
    <row r="426">
      <c r="A426" s="2" t="str">
        <f>IF(Source!$E426=COLUMNS($A426:A426), LEFT(A425, LEN(A425)-Source!$C426), IF(Source!$G426=COLUMNS($A426:A426), A425&amp;RIGHT(INDIRECT(ADDRESS(ROW(A426)-1, Source!$E426)), Source!$C426), A425))</f>
        <v>GG</v>
      </c>
      <c r="B426" s="2" t="str">
        <f>IF(Source!$E426=COLUMNS($A426:B426), LEFT(B425, LEN(B425)-Source!$C426), IF(Source!$G426=COLUMNS($A426:B426), B425&amp;RIGHT(INDIRECT(ADDRESS(ROW(B426)-1, Source!$E426)), Source!$C426), B425))</f>
        <v/>
      </c>
      <c r="C426" s="2" t="str">
        <f>IF(Source!$E426=COLUMNS($A426:C426), LEFT(C425, LEN(C425)-Source!$C426), IF(Source!$G426=COLUMNS($A426:C426), C425&amp;RIGHT(INDIRECT(ADDRESS(ROW(C426)-1, Source!$E426)), Source!$C426), C425))</f>
        <v>FRWL</v>
      </c>
      <c r="D426" s="2" t="str">
        <f>IF(Source!$E426=COLUMNS($A426:D426), LEFT(D425, LEN(D425)-Source!$C426), IF(Source!$G426=COLUMNS($A426:D426), D425&amp;RIGHT(INDIRECT(ADDRESS(ROW(D426)-1, Source!$E426)), Source!$C426), D425))</f>
        <v>VC</v>
      </c>
      <c r="E426" s="2" t="str">
        <f>IF(Source!$E426=COLUMNS($A426:E426), LEFT(E425, LEN(E425)-Source!$C426), IF(Source!$G426=COLUMNS($A426:E426), E425&amp;RIGHT(INDIRECT(ADDRESS(ROW(E426)-1, Source!$E426)), Source!$C426), E425))</f>
        <v/>
      </c>
      <c r="F426" s="2" t="str">
        <f>IF(Source!$E426=COLUMNS($A426:F426), LEFT(F425, LEN(F425)-Source!$C426), IF(Source!$G426=COLUMNS($A426:F426), F425&amp;RIGHT(INDIRECT(ADDRESS(ROW(F426)-1, Source!$E426)), Source!$C426), F425))</f>
        <v>F</v>
      </c>
      <c r="G426" s="2" t="str">
        <f>IF(Source!$E426=COLUMNS($A426:G426), LEFT(G425, LEN(G425)-Source!$C426), IF(Source!$G426=COLUMNS($A426:G426), G425&amp;RIGHT(INDIRECT(ADDRESS(ROW(G426)-1, Source!$E426)), Source!$C426), G425))</f>
        <v/>
      </c>
      <c r="H426" s="2" t="str">
        <f>IF(Source!$E426=COLUMNS($A426:H426), LEFT(H425, LEN(H425)-Source!$C426), IF(Source!$G426=COLUMNS($A426:H426), H425&amp;RIGHT(INDIRECT(ADDRESS(ROW(H426)-1, Source!$E426)), Source!$C426), H425))</f>
        <v/>
      </c>
      <c r="I426" s="2" t="str">
        <f>IF(Source!$E426=COLUMNS($A426:I426), LEFT(I425, LEN(I425)-Source!$C426), IF(Source!$G426=COLUMNS($A426:I426), I425&amp;RIGHT(INDIRECT(ADDRESS(ROW(I426)-1, Source!$E426)), Source!$C426), I425))</f>
        <v>JBQSVSPDHRMBLDTPMCPRTRJTLBDJTMVZBZHSDZWDQRSTTCD</v>
      </c>
    </row>
    <row r="427">
      <c r="A427" s="2" t="str">
        <f>IF(Source!$E427=COLUMNS($A427:A427), LEFT(A426, LEN(A426)-Source!$C427), IF(Source!$G427=COLUMNS($A427:A427), A426&amp;RIGHT(INDIRECT(ADDRESS(ROW(A427)-1, Source!$E427)), Source!$C427), A426))</f>
        <v>GG</v>
      </c>
      <c r="B427" s="2" t="str">
        <f>IF(Source!$E427=COLUMNS($A427:B427), LEFT(B426, LEN(B426)-Source!$C427), IF(Source!$G427=COLUMNS($A427:B427), B426&amp;RIGHT(INDIRECT(ADDRESS(ROW(B427)-1, Source!$E427)), Source!$C427), B426))</f>
        <v/>
      </c>
      <c r="C427" s="2" t="str">
        <f>IF(Source!$E427=COLUMNS($A427:C427), LEFT(C426, LEN(C426)-Source!$C427), IF(Source!$G427=COLUMNS($A427:C427), C426&amp;RIGHT(INDIRECT(ADDRESS(ROW(C427)-1, Source!$E427)), Source!$C427), C426))</f>
        <v>FRWL</v>
      </c>
      <c r="D427" s="2" t="str">
        <f>IF(Source!$E427=COLUMNS($A427:D427), LEFT(D426, LEN(D426)-Source!$C427), IF(Source!$G427=COLUMNS($A427:D427), D426&amp;RIGHT(INDIRECT(ADDRESS(ROW(D427)-1, Source!$E427)), Source!$C427), D426))</f>
        <v/>
      </c>
      <c r="E427" s="2" t="str">
        <f>IF(Source!$E427=COLUMNS($A427:E427), LEFT(E426, LEN(E426)-Source!$C427), IF(Source!$G427=COLUMNS($A427:E427), E426&amp;RIGHT(INDIRECT(ADDRESS(ROW(E427)-1, Source!$E427)), Source!$C427), E426))</f>
        <v/>
      </c>
      <c r="F427" s="2" t="str">
        <f>IF(Source!$E427=COLUMNS($A427:F427), LEFT(F426, LEN(F426)-Source!$C427), IF(Source!$G427=COLUMNS($A427:F427), F426&amp;RIGHT(INDIRECT(ADDRESS(ROW(F427)-1, Source!$E427)), Source!$C427), F426))</f>
        <v>F</v>
      </c>
      <c r="G427" s="2" t="str">
        <f>IF(Source!$E427=COLUMNS($A427:G427), LEFT(G426, LEN(G426)-Source!$C427), IF(Source!$G427=COLUMNS($A427:G427), G426&amp;RIGHT(INDIRECT(ADDRESS(ROW(G427)-1, Source!$E427)), Source!$C427), G426))</f>
        <v/>
      </c>
      <c r="H427" s="2" t="str">
        <f>IF(Source!$E427=COLUMNS($A427:H427), LEFT(H426, LEN(H426)-Source!$C427), IF(Source!$G427=COLUMNS($A427:H427), H426&amp;RIGHT(INDIRECT(ADDRESS(ROW(H427)-1, Source!$E427)), Source!$C427), H426))</f>
        <v>VC</v>
      </c>
      <c r="I427" s="2" t="str">
        <f>IF(Source!$E427=COLUMNS($A427:I427), LEFT(I426, LEN(I426)-Source!$C427), IF(Source!$G427=COLUMNS($A427:I427), I426&amp;RIGHT(INDIRECT(ADDRESS(ROW(I427)-1, Source!$E427)), Source!$C427), I426))</f>
        <v>JBQSVSPDHRMBLDTPMCPRTRJTLBDJTMVZBZHSDZWDQRSTTCD</v>
      </c>
    </row>
    <row r="428">
      <c r="A428" s="2" t="str">
        <f>IF(Source!$E428=COLUMNS($A428:A428), LEFT(A427, LEN(A427)-Source!$C428), IF(Source!$G428=COLUMNS($A428:A428), A427&amp;RIGHT(INDIRECT(ADDRESS(ROW(A428)-1, Source!$E428)), Source!$C428), A427))</f>
        <v>GGRWL</v>
      </c>
      <c r="B428" s="2" t="str">
        <f>IF(Source!$E428=COLUMNS($A428:B428), LEFT(B427, LEN(B427)-Source!$C428), IF(Source!$G428=COLUMNS($A428:B428), B427&amp;RIGHT(INDIRECT(ADDRESS(ROW(B428)-1, Source!$E428)), Source!$C428), B427))</f>
        <v/>
      </c>
      <c r="C428" s="2" t="str">
        <f>IF(Source!$E428=COLUMNS($A428:C428), LEFT(C427, LEN(C427)-Source!$C428), IF(Source!$G428=COLUMNS($A428:C428), C427&amp;RIGHT(INDIRECT(ADDRESS(ROW(C428)-1, Source!$E428)), Source!$C428), C427))</f>
        <v>F</v>
      </c>
      <c r="D428" s="2" t="str">
        <f>IF(Source!$E428=COLUMNS($A428:D428), LEFT(D427, LEN(D427)-Source!$C428), IF(Source!$G428=COLUMNS($A428:D428), D427&amp;RIGHT(INDIRECT(ADDRESS(ROW(D428)-1, Source!$E428)), Source!$C428), D427))</f>
        <v/>
      </c>
      <c r="E428" s="2" t="str">
        <f>IF(Source!$E428=COLUMNS($A428:E428), LEFT(E427, LEN(E427)-Source!$C428), IF(Source!$G428=COLUMNS($A428:E428), E427&amp;RIGHT(INDIRECT(ADDRESS(ROW(E428)-1, Source!$E428)), Source!$C428), E427))</f>
        <v/>
      </c>
      <c r="F428" s="2" t="str">
        <f>IF(Source!$E428=COLUMNS($A428:F428), LEFT(F427, LEN(F427)-Source!$C428), IF(Source!$G428=COLUMNS($A428:F428), F427&amp;RIGHT(INDIRECT(ADDRESS(ROW(F428)-1, Source!$E428)), Source!$C428), F427))</f>
        <v>F</v>
      </c>
      <c r="G428" s="2" t="str">
        <f>IF(Source!$E428=COLUMNS($A428:G428), LEFT(G427, LEN(G427)-Source!$C428), IF(Source!$G428=COLUMNS($A428:G428), G427&amp;RIGHT(INDIRECT(ADDRESS(ROW(G428)-1, Source!$E428)), Source!$C428), G427))</f>
        <v/>
      </c>
      <c r="H428" s="2" t="str">
        <f>IF(Source!$E428=COLUMNS($A428:H428), LEFT(H427, LEN(H427)-Source!$C428), IF(Source!$G428=COLUMNS($A428:H428), H427&amp;RIGHT(INDIRECT(ADDRESS(ROW(H428)-1, Source!$E428)), Source!$C428), H427))</f>
        <v>VC</v>
      </c>
      <c r="I428" s="2" t="str">
        <f>IF(Source!$E428=COLUMNS($A428:I428), LEFT(I427, LEN(I427)-Source!$C428), IF(Source!$G428=COLUMNS($A428:I428), I427&amp;RIGHT(INDIRECT(ADDRESS(ROW(I428)-1, Source!$E428)), Source!$C428), I427))</f>
        <v>JBQSVSPDHRMBLDTPMCPRTRJTLBDJTMVZBZHSDZWDQRSTTCD</v>
      </c>
    </row>
    <row r="429">
      <c r="A429" s="2" t="str">
        <f>IF(Source!$E429=COLUMNS($A429:A429), LEFT(A428, LEN(A428)-Source!$C429), IF(Source!$G429=COLUMNS($A429:A429), A428&amp;RIGHT(INDIRECT(ADDRESS(ROW(A429)-1, Source!$E429)), Source!$C429), A428))</f>
        <v>G</v>
      </c>
      <c r="B429" s="2" t="str">
        <f>IF(Source!$E429=COLUMNS($A429:B429), LEFT(B428, LEN(B428)-Source!$C429), IF(Source!$G429=COLUMNS($A429:B429), B428&amp;RIGHT(INDIRECT(ADDRESS(ROW(B429)-1, Source!$E429)), Source!$C429), B428))</f>
        <v/>
      </c>
      <c r="C429" s="2" t="str">
        <f>IF(Source!$E429=COLUMNS($A429:C429), LEFT(C428, LEN(C428)-Source!$C429), IF(Source!$G429=COLUMNS($A429:C429), C428&amp;RIGHT(INDIRECT(ADDRESS(ROW(C429)-1, Source!$E429)), Source!$C429), C428))</f>
        <v>F</v>
      </c>
      <c r="D429" s="2" t="str">
        <f>IF(Source!$E429=COLUMNS($A429:D429), LEFT(D428, LEN(D428)-Source!$C429), IF(Source!$G429=COLUMNS($A429:D429), D428&amp;RIGHT(INDIRECT(ADDRESS(ROW(D429)-1, Source!$E429)), Source!$C429), D428))</f>
        <v/>
      </c>
      <c r="E429" s="2" t="str">
        <f>IF(Source!$E429=COLUMNS($A429:E429), LEFT(E428, LEN(E428)-Source!$C429), IF(Source!$G429=COLUMNS($A429:E429), E428&amp;RIGHT(INDIRECT(ADDRESS(ROW(E429)-1, Source!$E429)), Source!$C429), E428))</f>
        <v/>
      </c>
      <c r="F429" s="2" t="str">
        <f>IF(Source!$E429=COLUMNS($A429:F429), LEFT(F428, LEN(F428)-Source!$C429), IF(Source!$G429=COLUMNS($A429:F429), F428&amp;RIGHT(INDIRECT(ADDRESS(ROW(F429)-1, Source!$E429)), Source!$C429), F428))</f>
        <v>F</v>
      </c>
      <c r="G429" s="2" t="str">
        <f>IF(Source!$E429=COLUMNS($A429:G429), LEFT(G428, LEN(G428)-Source!$C429), IF(Source!$G429=COLUMNS($A429:G429), G428&amp;RIGHT(INDIRECT(ADDRESS(ROW(G429)-1, Source!$E429)), Source!$C429), G428))</f>
        <v>GRWL</v>
      </c>
      <c r="H429" s="2" t="str">
        <f>IF(Source!$E429=COLUMNS($A429:H429), LEFT(H428, LEN(H428)-Source!$C429), IF(Source!$G429=COLUMNS($A429:H429), H428&amp;RIGHT(INDIRECT(ADDRESS(ROW(H429)-1, Source!$E429)), Source!$C429), H428))</f>
        <v>VC</v>
      </c>
      <c r="I429" s="2" t="str">
        <f>IF(Source!$E429=COLUMNS($A429:I429), LEFT(I428, LEN(I428)-Source!$C429), IF(Source!$G429=COLUMNS($A429:I429), I428&amp;RIGHT(INDIRECT(ADDRESS(ROW(I429)-1, Source!$E429)), Source!$C429), I428))</f>
        <v>JBQSVSPDHRMBLDTPMCPRTRJTLBDJTMVZBZHSDZWDQRSTTCD</v>
      </c>
    </row>
    <row r="430">
      <c r="A430" s="2" t="str">
        <f>IF(Source!$E430=COLUMNS($A430:A430), LEFT(A429, LEN(A429)-Source!$C430), IF(Source!$G430=COLUMNS($A430:A430), A429&amp;RIGHT(INDIRECT(ADDRESS(ROW(A430)-1, Source!$E430)), Source!$C430), A429))</f>
        <v>G</v>
      </c>
      <c r="B430" s="2" t="str">
        <f>IF(Source!$E430=COLUMNS($A430:B430), LEFT(B429, LEN(B429)-Source!$C430), IF(Source!$G430=COLUMNS($A430:B430), B429&amp;RIGHT(INDIRECT(ADDRESS(ROW(B430)-1, Source!$E430)), Source!$C430), B429))</f>
        <v/>
      </c>
      <c r="C430" s="2" t="str">
        <f>IF(Source!$E430=COLUMNS($A430:C430), LEFT(C429, LEN(C429)-Source!$C430), IF(Source!$G430=COLUMNS($A430:C430), C429&amp;RIGHT(INDIRECT(ADDRESS(ROW(C430)-1, Source!$E430)), Source!$C430), C429))</f>
        <v>F</v>
      </c>
      <c r="D430" s="2" t="str">
        <f>IF(Source!$E430=COLUMNS($A430:D430), LEFT(D429, LEN(D429)-Source!$C430), IF(Source!$G430=COLUMNS($A430:D430), D429&amp;RIGHT(INDIRECT(ADDRESS(ROW(D430)-1, Source!$E430)), Source!$C430), D429))</f>
        <v>VC</v>
      </c>
      <c r="E430" s="2" t="str">
        <f>IF(Source!$E430=COLUMNS($A430:E430), LEFT(E429, LEN(E429)-Source!$C430), IF(Source!$G430=COLUMNS($A430:E430), E429&amp;RIGHT(INDIRECT(ADDRESS(ROW(E430)-1, Source!$E430)), Source!$C430), E429))</f>
        <v/>
      </c>
      <c r="F430" s="2" t="str">
        <f>IF(Source!$E430=COLUMNS($A430:F430), LEFT(F429, LEN(F429)-Source!$C430), IF(Source!$G430=COLUMNS($A430:F430), F429&amp;RIGHT(INDIRECT(ADDRESS(ROW(F430)-1, Source!$E430)), Source!$C430), F429))</f>
        <v>F</v>
      </c>
      <c r="G430" s="2" t="str">
        <f>IF(Source!$E430=COLUMNS($A430:G430), LEFT(G429, LEN(G429)-Source!$C430), IF(Source!$G430=COLUMNS($A430:G430), G429&amp;RIGHT(INDIRECT(ADDRESS(ROW(G430)-1, Source!$E430)), Source!$C430), G429))</f>
        <v>GRWL</v>
      </c>
      <c r="H430" s="2" t="str">
        <f>IF(Source!$E430=COLUMNS($A430:H430), LEFT(H429, LEN(H429)-Source!$C430), IF(Source!$G430=COLUMNS($A430:H430), H429&amp;RIGHT(INDIRECT(ADDRESS(ROW(H430)-1, Source!$E430)), Source!$C430), H429))</f>
        <v/>
      </c>
      <c r="I430" s="2" t="str">
        <f>IF(Source!$E430=COLUMNS($A430:I430), LEFT(I429, LEN(I429)-Source!$C430), IF(Source!$G430=COLUMNS($A430:I430), I429&amp;RIGHT(INDIRECT(ADDRESS(ROW(I430)-1, Source!$E430)), Source!$C430), I429))</f>
        <v>JBQSVSPDHRMBLDTPMCPRTRJTLBDJTMVZBZHSDZWDQRSTTCD</v>
      </c>
    </row>
    <row r="431">
      <c r="A431" s="2" t="str">
        <f>IF(Source!$E431=COLUMNS($A431:A431), LEFT(A430, LEN(A430)-Source!$C431), IF(Source!$G431=COLUMNS($A431:A431), A430&amp;RIGHT(INDIRECT(ADDRESS(ROW(A431)-1, Source!$E431)), Source!$C431), A430))</f>
        <v>G</v>
      </c>
      <c r="B431" s="2" t="str">
        <f>IF(Source!$E431=COLUMNS($A431:B431), LEFT(B430, LEN(B430)-Source!$C431), IF(Source!$G431=COLUMNS($A431:B431), B430&amp;RIGHT(INDIRECT(ADDRESS(ROW(B431)-1, Source!$E431)), Source!$C431), B430))</f>
        <v/>
      </c>
      <c r="C431" s="2" t="str">
        <f>IF(Source!$E431=COLUMNS($A431:C431), LEFT(C430, LEN(C430)-Source!$C431), IF(Source!$G431=COLUMNS($A431:C431), C430&amp;RIGHT(INDIRECT(ADDRESS(ROW(C431)-1, Source!$E431)), Source!$C431), C430))</f>
        <v>F</v>
      </c>
      <c r="D431" s="2" t="str">
        <f>IF(Source!$E431=COLUMNS($A431:D431), LEFT(D430, LEN(D430)-Source!$C431), IF(Source!$G431=COLUMNS($A431:D431), D430&amp;RIGHT(INDIRECT(ADDRESS(ROW(D431)-1, Source!$E431)), Source!$C431), D430))</f>
        <v>VC</v>
      </c>
      <c r="E431" s="2" t="str">
        <f>IF(Source!$E431=COLUMNS($A431:E431), LEFT(E430, LEN(E430)-Source!$C431), IF(Source!$G431=COLUMNS($A431:E431), E430&amp;RIGHT(INDIRECT(ADDRESS(ROW(E431)-1, Source!$E431)), Source!$C431), E430))</f>
        <v/>
      </c>
      <c r="F431" s="2" t="str">
        <f>IF(Source!$E431=COLUMNS($A431:F431), LEFT(F430, LEN(F430)-Source!$C431), IF(Source!$G431=COLUMNS($A431:F431), F430&amp;RIGHT(INDIRECT(ADDRESS(ROW(F431)-1, Source!$E431)), Source!$C431), F430))</f>
        <v>FQRSTTCD</v>
      </c>
      <c r="G431" s="2" t="str">
        <f>IF(Source!$E431=COLUMNS($A431:G431), LEFT(G430, LEN(G430)-Source!$C431), IF(Source!$G431=COLUMNS($A431:G431), G430&amp;RIGHT(INDIRECT(ADDRESS(ROW(G431)-1, Source!$E431)), Source!$C431), G430))</f>
        <v>GRWL</v>
      </c>
      <c r="H431" s="2" t="str">
        <f>IF(Source!$E431=COLUMNS($A431:H431), LEFT(H430, LEN(H430)-Source!$C431), IF(Source!$G431=COLUMNS($A431:H431), H430&amp;RIGHT(INDIRECT(ADDRESS(ROW(H431)-1, Source!$E431)), Source!$C431), H430))</f>
        <v/>
      </c>
      <c r="I431" s="2" t="str">
        <f>IF(Source!$E431=COLUMNS($A431:I431), LEFT(I430, LEN(I430)-Source!$C431), IF(Source!$G431=COLUMNS($A431:I431), I430&amp;RIGHT(INDIRECT(ADDRESS(ROW(I431)-1, Source!$E431)), Source!$C431), I430))</f>
        <v>JBQSVSPDHRMBLDTPMCPRTRJTLBDJTMVZBZHSDZWD</v>
      </c>
    </row>
    <row r="432">
      <c r="A432" s="2" t="str">
        <f>IF(Source!$E432=COLUMNS($A432:A432), LEFT(A431, LEN(A431)-Source!$C432), IF(Source!$G432=COLUMNS($A432:A432), A431&amp;RIGHT(INDIRECT(ADDRESS(ROW(A432)-1, Source!$E432)), Source!$C432), A431))</f>
        <v/>
      </c>
      <c r="B432" s="2" t="str">
        <f>IF(Source!$E432=COLUMNS($A432:B432), LEFT(B431, LEN(B431)-Source!$C432), IF(Source!$G432=COLUMNS($A432:B432), B431&amp;RIGHT(INDIRECT(ADDRESS(ROW(B432)-1, Source!$E432)), Source!$C432), B431))</f>
        <v/>
      </c>
      <c r="C432" s="2" t="str">
        <f>IF(Source!$E432=COLUMNS($A432:C432), LEFT(C431, LEN(C431)-Source!$C432), IF(Source!$G432=COLUMNS($A432:C432), C431&amp;RIGHT(INDIRECT(ADDRESS(ROW(C432)-1, Source!$E432)), Source!$C432), C431))</f>
        <v>F</v>
      </c>
      <c r="D432" s="2" t="str">
        <f>IF(Source!$E432=COLUMNS($A432:D432), LEFT(D431, LEN(D431)-Source!$C432), IF(Source!$G432=COLUMNS($A432:D432), D431&amp;RIGHT(INDIRECT(ADDRESS(ROW(D432)-1, Source!$E432)), Source!$C432), D431))</f>
        <v>VCG</v>
      </c>
      <c r="E432" s="2" t="str">
        <f>IF(Source!$E432=COLUMNS($A432:E432), LEFT(E431, LEN(E431)-Source!$C432), IF(Source!$G432=COLUMNS($A432:E432), E431&amp;RIGHT(INDIRECT(ADDRESS(ROW(E432)-1, Source!$E432)), Source!$C432), E431))</f>
        <v/>
      </c>
      <c r="F432" s="2" t="str">
        <f>IF(Source!$E432=COLUMNS($A432:F432), LEFT(F431, LEN(F431)-Source!$C432), IF(Source!$G432=COLUMNS($A432:F432), F431&amp;RIGHT(INDIRECT(ADDRESS(ROW(F432)-1, Source!$E432)), Source!$C432), F431))</f>
        <v>FQRSTTCD</v>
      </c>
      <c r="G432" s="2" t="str">
        <f>IF(Source!$E432=COLUMNS($A432:G432), LEFT(G431, LEN(G431)-Source!$C432), IF(Source!$G432=COLUMNS($A432:G432), G431&amp;RIGHT(INDIRECT(ADDRESS(ROW(G432)-1, Source!$E432)), Source!$C432), G431))</f>
        <v>GRWL</v>
      </c>
      <c r="H432" s="2" t="str">
        <f>IF(Source!$E432=COLUMNS($A432:H432), LEFT(H431, LEN(H431)-Source!$C432), IF(Source!$G432=COLUMNS($A432:H432), H431&amp;RIGHT(INDIRECT(ADDRESS(ROW(H432)-1, Source!$E432)), Source!$C432), H431))</f>
        <v/>
      </c>
      <c r="I432" s="2" t="str">
        <f>IF(Source!$E432=COLUMNS($A432:I432), LEFT(I431, LEN(I431)-Source!$C432), IF(Source!$G432=COLUMNS($A432:I432), I431&amp;RIGHT(INDIRECT(ADDRESS(ROW(I432)-1, Source!$E432)), Source!$C432), I431))</f>
        <v>JBQSVSPDHRMBLDTPMCPRTRJTLBDJTMVZBZHSDZWD</v>
      </c>
    </row>
    <row r="433">
      <c r="A433" s="2" t="str">
        <f>IF(Source!$E433=COLUMNS($A433:A433), LEFT(A432, LEN(A432)-Source!$C433), IF(Source!$G433=COLUMNS($A433:A433), A432&amp;RIGHT(INDIRECT(ADDRESS(ROW(A433)-1, Source!$E433)), Source!$C433), A432))</f>
        <v/>
      </c>
      <c r="B433" s="2" t="str">
        <f>IF(Source!$E433=COLUMNS($A433:B433), LEFT(B432, LEN(B432)-Source!$C433), IF(Source!$G433=COLUMNS($A433:B433), B432&amp;RIGHT(INDIRECT(ADDRESS(ROW(B433)-1, Source!$E433)), Source!$C433), B432))</f>
        <v/>
      </c>
      <c r="C433" s="2" t="str">
        <f>IF(Source!$E433=COLUMNS($A433:C433), LEFT(C432, LEN(C432)-Source!$C433), IF(Source!$G433=COLUMNS($A433:C433), C432&amp;RIGHT(INDIRECT(ADDRESS(ROW(C433)-1, Source!$E433)), Source!$C433), C432))</f>
        <v>F</v>
      </c>
      <c r="D433" s="2" t="str">
        <f>IF(Source!$E433=COLUMNS($A433:D433), LEFT(D432, LEN(D432)-Source!$C433), IF(Source!$G433=COLUMNS($A433:D433), D432&amp;RIGHT(INDIRECT(ADDRESS(ROW(D433)-1, Source!$E433)), Source!$C433), D432))</f>
        <v>VCG</v>
      </c>
      <c r="E433" s="2" t="str">
        <f>IF(Source!$E433=COLUMNS($A433:E433), LEFT(E432, LEN(E432)-Source!$C433), IF(Source!$G433=COLUMNS($A433:E433), E432&amp;RIGHT(INDIRECT(ADDRESS(ROW(E433)-1, Source!$E433)), Source!$C433), E432))</f>
        <v/>
      </c>
      <c r="F433" s="2" t="str">
        <f>IF(Source!$E433=COLUMNS($A433:F433), LEFT(F432, LEN(F432)-Source!$C433), IF(Source!$G433=COLUMNS($A433:F433), F432&amp;RIGHT(INDIRECT(ADDRESS(ROW(F433)-1, Source!$E433)), Source!$C433), F432))</f>
        <v>FQRSTTCD</v>
      </c>
      <c r="G433" s="2" t="str">
        <f>IF(Source!$E433=COLUMNS($A433:G433), LEFT(G432, LEN(G432)-Source!$C433), IF(Source!$G433=COLUMNS($A433:G433), G432&amp;RIGHT(INDIRECT(ADDRESS(ROW(G433)-1, Source!$E433)), Source!$C433), G432))</f>
        <v>GRWLMVZBZHSDZWD</v>
      </c>
      <c r="H433" s="2" t="str">
        <f>IF(Source!$E433=COLUMNS($A433:H433), LEFT(H432, LEN(H432)-Source!$C433), IF(Source!$G433=COLUMNS($A433:H433), H432&amp;RIGHT(INDIRECT(ADDRESS(ROW(H433)-1, Source!$E433)), Source!$C433), H432))</f>
        <v/>
      </c>
      <c r="I433" s="2" t="str">
        <f>IF(Source!$E433=COLUMNS($A433:I433), LEFT(I432, LEN(I432)-Source!$C433), IF(Source!$G433=COLUMNS($A433:I433), I432&amp;RIGHT(INDIRECT(ADDRESS(ROW(I433)-1, Source!$E433)), Source!$C433), I432))</f>
        <v>JBQSVSPDHRMBLDTPMCPRTRJTLBDJT</v>
      </c>
    </row>
    <row r="434">
      <c r="A434" s="2" t="str">
        <f>IF(Source!$E434=COLUMNS($A434:A434), LEFT(A433, LEN(A433)-Source!$C434), IF(Source!$G434=COLUMNS($A434:A434), A433&amp;RIGHT(INDIRECT(ADDRESS(ROW(A434)-1, Source!$E434)), Source!$C434), A433))</f>
        <v/>
      </c>
      <c r="B434" s="2" t="str">
        <f>IF(Source!$E434=COLUMNS($A434:B434), LEFT(B433, LEN(B433)-Source!$C434), IF(Source!$G434=COLUMNS($A434:B434), B433&amp;RIGHT(INDIRECT(ADDRESS(ROW(B434)-1, Source!$E434)), Source!$C434), B433))</f>
        <v/>
      </c>
      <c r="C434" s="2" t="str">
        <f>IF(Source!$E434=COLUMNS($A434:C434), LEFT(C433, LEN(C433)-Source!$C434), IF(Source!$G434=COLUMNS($A434:C434), C433&amp;RIGHT(INDIRECT(ADDRESS(ROW(C434)-1, Source!$E434)), Source!$C434), C433))</f>
        <v>FDJT</v>
      </c>
      <c r="D434" s="2" t="str">
        <f>IF(Source!$E434=COLUMNS($A434:D434), LEFT(D433, LEN(D433)-Source!$C434), IF(Source!$G434=COLUMNS($A434:D434), D433&amp;RIGHT(INDIRECT(ADDRESS(ROW(D434)-1, Source!$E434)), Source!$C434), D433))</f>
        <v>VCG</v>
      </c>
      <c r="E434" s="2" t="str">
        <f>IF(Source!$E434=COLUMNS($A434:E434), LEFT(E433, LEN(E433)-Source!$C434), IF(Source!$G434=COLUMNS($A434:E434), E433&amp;RIGHT(INDIRECT(ADDRESS(ROW(E434)-1, Source!$E434)), Source!$C434), E433))</f>
        <v/>
      </c>
      <c r="F434" s="2" t="str">
        <f>IF(Source!$E434=COLUMNS($A434:F434), LEFT(F433, LEN(F433)-Source!$C434), IF(Source!$G434=COLUMNS($A434:F434), F433&amp;RIGHT(INDIRECT(ADDRESS(ROW(F434)-1, Source!$E434)), Source!$C434), F433))</f>
        <v>FQRSTTCD</v>
      </c>
      <c r="G434" s="2" t="str">
        <f>IF(Source!$E434=COLUMNS($A434:G434), LEFT(G433, LEN(G433)-Source!$C434), IF(Source!$G434=COLUMNS($A434:G434), G433&amp;RIGHT(INDIRECT(ADDRESS(ROW(G434)-1, Source!$E434)), Source!$C434), G433))</f>
        <v>GRWLMVZBZHSDZWD</v>
      </c>
      <c r="H434" s="2" t="str">
        <f>IF(Source!$E434=COLUMNS($A434:H434), LEFT(H433, LEN(H433)-Source!$C434), IF(Source!$G434=COLUMNS($A434:H434), H433&amp;RIGHT(INDIRECT(ADDRESS(ROW(H434)-1, Source!$E434)), Source!$C434), H433))</f>
        <v/>
      </c>
      <c r="I434" s="2" t="str">
        <f>IF(Source!$E434=COLUMNS($A434:I434), LEFT(I433, LEN(I433)-Source!$C434), IF(Source!$G434=COLUMNS($A434:I434), I433&amp;RIGHT(INDIRECT(ADDRESS(ROW(I434)-1, Source!$E434)), Source!$C434), I433))</f>
        <v>JBQSVSPDHRMBLDTPMCPRTRJTLB</v>
      </c>
    </row>
    <row r="435">
      <c r="A435" s="2" t="str">
        <f>IF(Source!$E435=COLUMNS($A435:A435), LEFT(A434, LEN(A434)-Source!$C435), IF(Source!$G435=COLUMNS($A435:A435), A434&amp;RIGHT(INDIRECT(ADDRESS(ROW(A435)-1, Source!$E435)), Source!$C435), A434))</f>
        <v/>
      </c>
      <c r="B435" s="2" t="str">
        <f>IF(Source!$E435=COLUMNS($A435:B435), LEFT(B434, LEN(B434)-Source!$C435), IF(Source!$G435=COLUMNS($A435:B435), B434&amp;RIGHT(INDIRECT(ADDRESS(ROW(B435)-1, Source!$E435)), Source!$C435), B434))</f>
        <v/>
      </c>
      <c r="C435" s="2" t="str">
        <f>IF(Source!$E435=COLUMNS($A435:C435), LEFT(C434, LEN(C434)-Source!$C435), IF(Source!$G435=COLUMNS($A435:C435), C434&amp;RIGHT(INDIRECT(ADDRESS(ROW(C435)-1, Source!$E435)), Source!$C435), C434))</f>
        <v>FDJT</v>
      </c>
      <c r="D435" s="2" t="str">
        <f>IF(Source!$E435=COLUMNS($A435:D435), LEFT(D434, LEN(D434)-Source!$C435), IF(Source!$G435=COLUMNS($A435:D435), D434&amp;RIGHT(INDIRECT(ADDRESS(ROW(D435)-1, Source!$E435)), Source!$C435), D434))</f>
        <v>VCG</v>
      </c>
      <c r="E435" s="2" t="str">
        <f>IF(Source!$E435=COLUMNS($A435:E435), LEFT(E434, LEN(E434)-Source!$C435), IF(Source!$G435=COLUMNS($A435:E435), E434&amp;RIGHT(INDIRECT(ADDRESS(ROW(E435)-1, Source!$E435)), Source!$C435), E434))</f>
        <v>LDTPMCPRTRJTLB</v>
      </c>
      <c r="F435" s="2" t="str">
        <f>IF(Source!$E435=COLUMNS($A435:F435), LEFT(F434, LEN(F434)-Source!$C435), IF(Source!$G435=COLUMNS($A435:F435), F434&amp;RIGHT(INDIRECT(ADDRESS(ROW(F435)-1, Source!$E435)), Source!$C435), F434))</f>
        <v>FQRSTTCD</v>
      </c>
      <c r="G435" s="2" t="str">
        <f>IF(Source!$E435=COLUMNS($A435:G435), LEFT(G434, LEN(G434)-Source!$C435), IF(Source!$G435=COLUMNS($A435:G435), G434&amp;RIGHT(INDIRECT(ADDRESS(ROW(G435)-1, Source!$E435)), Source!$C435), G434))</f>
        <v>GRWLMVZBZHSDZWD</v>
      </c>
      <c r="H435" s="2" t="str">
        <f>IF(Source!$E435=COLUMNS($A435:H435), LEFT(H434, LEN(H434)-Source!$C435), IF(Source!$G435=COLUMNS($A435:H435), H434&amp;RIGHT(INDIRECT(ADDRESS(ROW(H435)-1, Source!$E435)), Source!$C435), H434))</f>
        <v/>
      </c>
      <c r="I435" s="2" t="str">
        <f>IF(Source!$E435=COLUMNS($A435:I435), LEFT(I434, LEN(I434)-Source!$C435), IF(Source!$G435=COLUMNS($A435:I435), I434&amp;RIGHT(INDIRECT(ADDRESS(ROW(I435)-1, Source!$E435)), Source!$C435), I434))</f>
        <v>JBQSVSPDHRMB</v>
      </c>
    </row>
    <row r="436">
      <c r="A436" s="2" t="str">
        <f>IF(Source!$E436=COLUMNS($A436:A436), LEFT(A435, LEN(A435)-Source!$C436), IF(Source!$G436=COLUMNS($A436:A436), A435&amp;RIGHT(INDIRECT(ADDRESS(ROW(A436)-1, Source!$E436)), Source!$C436), A435))</f>
        <v/>
      </c>
      <c r="B436" s="2" t="str">
        <f>IF(Source!$E436=COLUMNS($A436:B436), LEFT(B435, LEN(B435)-Source!$C436), IF(Source!$G436=COLUMNS($A436:B436), B435&amp;RIGHT(INDIRECT(ADDRESS(ROW(B436)-1, Source!$E436)), Source!$C436), B435))</f>
        <v/>
      </c>
      <c r="C436" s="2" t="str">
        <f>IF(Source!$E436=COLUMNS($A436:C436), LEFT(C435, LEN(C435)-Source!$C436), IF(Source!$G436=COLUMNS($A436:C436), C435&amp;RIGHT(INDIRECT(ADDRESS(ROW(C436)-1, Source!$E436)), Source!$C436), C435))</f>
        <v>FDJT</v>
      </c>
      <c r="D436" s="2" t="str">
        <f>IF(Source!$E436=COLUMNS($A436:D436), LEFT(D435, LEN(D435)-Source!$C436), IF(Source!$G436=COLUMNS($A436:D436), D435&amp;RIGHT(INDIRECT(ADDRESS(ROW(D436)-1, Source!$E436)), Source!$C436), D435))</f>
        <v>VCG</v>
      </c>
      <c r="E436" s="2" t="str">
        <f>IF(Source!$E436=COLUMNS($A436:E436), LEFT(E435, LEN(E435)-Source!$C436), IF(Source!$G436=COLUMNS($A436:E436), E435&amp;RIGHT(INDIRECT(ADDRESS(ROW(E436)-1, Source!$E436)), Source!$C436), E435))</f>
        <v>LDTPMCPRTRJTLBRSTTCD</v>
      </c>
      <c r="F436" s="2" t="str">
        <f>IF(Source!$E436=COLUMNS($A436:F436), LEFT(F435, LEN(F435)-Source!$C436), IF(Source!$G436=COLUMNS($A436:F436), F435&amp;RIGHT(INDIRECT(ADDRESS(ROW(F436)-1, Source!$E436)), Source!$C436), F435))</f>
        <v>FQ</v>
      </c>
      <c r="G436" s="2" t="str">
        <f>IF(Source!$E436=COLUMNS($A436:G436), LEFT(G435, LEN(G435)-Source!$C436), IF(Source!$G436=COLUMNS($A436:G436), G435&amp;RIGHT(INDIRECT(ADDRESS(ROW(G436)-1, Source!$E436)), Source!$C436), G435))</f>
        <v>GRWLMVZBZHSDZWD</v>
      </c>
      <c r="H436" s="2" t="str">
        <f>IF(Source!$E436=COLUMNS($A436:H436), LEFT(H435, LEN(H435)-Source!$C436), IF(Source!$G436=COLUMNS($A436:H436), H435&amp;RIGHT(INDIRECT(ADDRESS(ROW(H436)-1, Source!$E436)), Source!$C436), H435))</f>
        <v/>
      </c>
      <c r="I436" s="2" t="str">
        <f>IF(Source!$E436=COLUMNS($A436:I436), LEFT(I435, LEN(I435)-Source!$C436), IF(Source!$G436=COLUMNS($A436:I436), I435&amp;RIGHT(INDIRECT(ADDRESS(ROW(I436)-1, Source!$E436)), Source!$C436), I435))</f>
        <v>JBQSVSPDHRMB</v>
      </c>
    </row>
    <row r="437">
      <c r="A437" s="2" t="str">
        <f>IF(Source!$E437=COLUMNS($A437:A437), LEFT(A436, LEN(A436)-Source!$C437), IF(Source!$G437=COLUMNS($A437:A437), A436&amp;RIGHT(INDIRECT(ADDRESS(ROW(A437)-1, Source!$E437)), Source!$C437), A436))</f>
        <v/>
      </c>
      <c r="B437" s="2" t="str">
        <f>IF(Source!$E437=COLUMNS($A437:B437), LEFT(B436, LEN(B436)-Source!$C437), IF(Source!$G437=COLUMNS($A437:B437), B436&amp;RIGHT(INDIRECT(ADDRESS(ROW(B437)-1, Source!$E437)), Source!$C437), B436))</f>
        <v/>
      </c>
      <c r="C437" s="2" t="str">
        <f>IF(Source!$E437=COLUMNS($A437:C437), LEFT(C436, LEN(C436)-Source!$C437), IF(Source!$G437=COLUMNS($A437:C437), C436&amp;RIGHT(INDIRECT(ADDRESS(ROW(C437)-1, Source!$E437)), Source!$C437), C436))</f>
        <v>FDJT</v>
      </c>
      <c r="D437" s="2" t="str">
        <f>IF(Source!$E437=COLUMNS($A437:D437), LEFT(D436, LEN(D436)-Source!$C437), IF(Source!$G437=COLUMNS($A437:D437), D436&amp;RIGHT(INDIRECT(ADDRESS(ROW(D437)-1, Source!$E437)), Source!$C437), D436))</f>
        <v>VCG</v>
      </c>
      <c r="E437" s="2" t="str">
        <f>IF(Source!$E437=COLUMNS($A437:E437), LEFT(E436, LEN(E436)-Source!$C437), IF(Source!$G437=COLUMNS($A437:E437), E436&amp;RIGHT(INDIRECT(ADDRESS(ROW(E437)-1, Source!$E437)), Source!$C437), E436))</f>
        <v>LDTPMCPRTRJTLBRS</v>
      </c>
      <c r="F437" s="2" t="str">
        <f>IF(Source!$E437=COLUMNS($A437:F437), LEFT(F436, LEN(F436)-Source!$C437), IF(Source!$G437=COLUMNS($A437:F437), F436&amp;RIGHT(INDIRECT(ADDRESS(ROW(F437)-1, Source!$E437)), Source!$C437), F436))</f>
        <v>FQ</v>
      </c>
      <c r="G437" s="2" t="str">
        <f>IF(Source!$E437=COLUMNS($A437:G437), LEFT(G436, LEN(G436)-Source!$C437), IF(Source!$G437=COLUMNS($A437:G437), G436&amp;RIGHT(INDIRECT(ADDRESS(ROW(G437)-1, Source!$E437)), Source!$C437), G436))</f>
        <v>GRWLMVZBZHSDZWD</v>
      </c>
      <c r="H437" s="2" t="str">
        <f>IF(Source!$E437=COLUMNS($A437:H437), LEFT(H436, LEN(H436)-Source!$C437), IF(Source!$G437=COLUMNS($A437:H437), H436&amp;RIGHT(INDIRECT(ADDRESS(ROW(H437)-1, Source!$E437)), Source!$C437), H436))</f>
        <v/>
      </c>
      <c r="I437" s="2" t="str">
        <f>IF(Source!$E437=COLUMNS($A437:I437), LEFT(I436, LEN(I436)-Source!$C437), IF(Source!$G437=COLUMNS($A437:I437), I436&amp;RIGHT(INDIRECT(ADDRESS(ROW(I437)-1, Source!$E437)), Source!$C437), I436))</f>
        <v>JBQSVSPDHRMBTTCD</v>
      </c>
    </row>
    <row r="438">
      <c r="A438" s="2" t="str">
        <f>IF(Source!$E438=COLUMNS($A438:A438), LEFT(A437, LEN(A437)-Source!$C438), IF(Source!$G438=COLUMNS($A438:A438), A437&amp;RIGHT(INDIRECT(ADDRESS(ROW(A438)-1, Source!$E438)), Source!$C438), A437))</f>
        <v/>
      </c>
      <c r="B438" s="2" t="str">
        <f>IF(Source!$E438=COLUMNS($A438:B438), LEFT(B437, LEN(B437)-Source!$C438), IF(Source!$G438=COLUMNS($A438:B438), B437&amp;RIGHT(INDIRECT(ADDRESS(ROW(B438)-1, Source!$E438)), Source!$C438), B437))</f>
        <v/>
      </c>
      <c r="C438" s="2" t="str">
        <f>IF(Source!$E438=COLUMNS($A438:C438), LEFT(C437, LEN(C437)-Source!$C438), IF(Source!$G438=COLUMNS($A438:C438), C437&amp;RIGHT(INDIRECT(ADDRESS(ROW(C438)-1, Source!$E438)), Source!$C438), C437))</f>
        <v>FDJT</v>
      </c>
      <c r="D438" s="2" t="str">
        <f>IF(Source!$E438=COLUMNS($A438:D438), LEFT(D437, LEN(D437)-Source!$C438), IF(Source!$G438=COLUMNS($A438:D438), D437&amp;RIGHT(INDIRECT(ADDRESS(ROW(D438)-1, Source!$E438)), Source!$C438), D437))</f>
        <v>VCG</v>
      </c>
      <c r="E438" s="2" t="str">
        <f>IF(Source!$E438=COLUMNS($A438:E438), LEFT(E437, LEN(E437)-Source!$C438), IF(Source!$G438=COLUMNS($A438:E438), E437&amp;RIGHT(INDIRECT(ADDRESS(ROW(E438)-1, Source!$E438)), Source!$C438), E437))</f>
        <v>LDTPMCPRTRJTLBRS</v>
      </c>
      <c r="F438" s="2" t="str">
        <f>IF(Source!$E438=COLUMNS($A438:F438), LEFT(F437, LEN(F437)-Source!$C438), IF(Source!$G438=COLUMNS($A438:F438), F437&amp;RIGHT(INDIRECT(ADDRESS(ROW(F438)-1, Source!$E438)), Source!$C438), F437))</f>
        <v>FQVZBZHSDZWD</v>
      </c>
      <c r="G438" s="2" t="str">
        <f>IF(Source!$E438=COLUMNS($A438:G438), LEFT(G437, LEN(G437)-Source!$C438), IF(Source!$G438=COLUMNS($A438:G438), G437&amp;RIGHT(INDIRECT(ADDRESS(ROW(G438)-1, Source!$E438)), Source!$C438), G437))</f>
        <v>GRWLM</v>
      </c>
      <c r="H438" s="2" t="str">
        <f>IF(Source!$E438=COLUMNS($A438:H438), LEFT(H437, LEN(H437)-Source!$C438), IF(Source!$G438=COLUMNS($A438:H438), H437&amp;RIGHT(INDIRECT(ADDRESS(ROW(H438)-1, Source!$E438)), Source!$C438), H437))</f>
        <v/>
      </c>
      <c r="I438" s="2" t="str">
        <f>IF(Source!$E438=COLUMNS($A438:I438), LEFT(I437, LEN(I437)-Source!$C438), IF(Source!$G438=COLUMNS($A438:I438), I437&amp;RIGHT(INDIRECT(ADDRESS(ROW(I438)-1, Source!$E438)), Source!$C438), I437))</f>
        <v>JBQSVSPDHRMBTTCD</v>
      </c>
    </row>
    <row r="439">
      <c r="A439" s="2" t="str">
        <f>IF(Source!$E439=COLUMNS($A439:A439), LEFT(A438, LEN(A438)-Source!$C439), IF(Source!$G439=COLUMNS($A439:A439), A438&amp;RIGHT(INDIRECT(ADDRESS(ROW(A439)-1, Source!$E439)), Source!$C439), A438))</f>
        <v/>
      </c>
      <c r="B439" s="2" t="str">
        <f>IF(Source!$E439=COLUMNS($A439:B439), LEFT(B438, LEN(B438)-Source!$C439), IF(Source!$G439=COLUMNS($A439:B439), B438&amp;RIGHT(INDIRECT(ADDRESS(ROW(B439)-1, Source!$E439)), Source!$C439), B438))</f>
        <v/>
      </c>
      <c r="C439" s="2" t="str">
        <f>IF(Source!$E439=COLUMNS($A439:C439), LEFT(C438, LEN(C438)-Source!$C439), IF(Source!$G439=COLUMNS($A439:C439), C438&amp;RIGHT(INDIRECT(ADDRESS(ROW(C439)-1, Source!$E439)), Source!$C439), C438))</f>
        <v>FDJ</v>
      </c>
      <c r="D439" s="2" t="str">
        <f>IF(Source!$E439=COLUMNS($A439:D439), LEFT(D438, LEN(D438)-Source!$C439), IF(Source!$G439=COLUMNS($A439:D439), D438&amp;RIGHT(INDIRECT(ADDRESS(ROW(D439)-1, Source!$E439)), Source!$C439), D438))</f>
        <v>VCG</v>
      </c>
      <c r="E439" s="2" t="str">
        <f>IF(Source!$E439=COLUMNS($A439:E439), LEFT(E438, LEN(E438)-Source!$C439), IF(Source!$G439=COLUMNS($A439:E439), E438&amp;RIGHT(INDIRECT(ADDRESS(ROW(E439)-1, Source!$E439)), Source!$C439), E438))</f>
        <v>LDTPMCPRTRJTLBRS</v>
      </c>
      <c r="F439" s="2" t="str">
        <f>IF(Source!$E439=COLUMNS($A439:F439), LEFT(F438, LEN(F438)-Source!$C439), IF(Source!$G439=COLUMNS($A439:F439), F438&amp;RIGHT(INDIRECT(ADDRESS(ROW(F439)-1, Source!$E439)), Source!$C439), F438))</f>
        <v>FQVZBZHSDZWD</v>
      </c>
      <c r="G439" s="2" t="str">
        <f>IF(Source!$E439=COLUMNS($A439:G439), LEFT(G438, LEN(G438)-Source!$C439), IF(Source!$G439=COLUMNS($A439:G439), G438&amp;RIGHT(INDIRECT(ADDRESS(ROW(G439)-1, Source!$E439)), Source!$C439), G438))</f>
        <v>GRWLMT</v>
      </c>
      <c r="H439" s="2" t="str">
        <f>IF(Source!$E439=COLUMNS($A439:H439), LEFT(H438, LEN(H438)-Source!$C439), IF(Source!$G439=COLUMNS($A439:H439), H438&amp;RIGHT(INDIRECT(ADDRESS(ROW(H439)-1, Source!$E439)), Source!$C439), H438))</f>
        <v/>
      </c>
      <c r="I439" s="2" t="str">
        <f>IF(Source!$E439=COLUMNS($A439:I439), LEFT(I438, LEN(I438)-Source!$C439), IF(Source!$G439=COLUMNS($A439:I439), I438&amp;RIGHT(INDIRECT(ADDRESS(ROW(I439)-1, Source!$E439)), Source!$C439), I438))</f>
        <v>JBQSVSPDHRMBTTCD</v>
      </c>
    </row>
    <row r="440">
      <c r="A440" s="2" t="str">
        <f>IF(Source!$E440=COLUMNS($A440:A440), LEFT(A439, LEN(A439)-Source!$C440), IF(Source!$G440=COLUMNS($A440:A440), A439&amp;RIGHT(INDIRECT(ADDRESS(ROW(A440)-1, Source!$E440)), Source!$C440), A439))</f>
        <v>CG</v>
      </c>
      <c r="B440" s="2" t="str">
        <f>IF(Source!$E440=COLUMNS($A440:B440), LEFT(B439, LEN(B439)-Source!$C440), IF(Source!$G440=COLUMNS($A440:B440), B439&amp;RIGHT(INDIRECT(ADDRESS(ROW(B440)-1, Source!$E440)), Source!$C440), B439))</f>
        <v/>
      </c>
      <c r="C440" s="2" t="str">
        <f>IF(Source!$E440=COLUMNS($A440:C440), LEFT(C439, LEN(C439)-Source!$C440), IF(Source!$G440=COLUMNS($A440:C440), C439&amp;RIGHT(INDIRECT(ADDRESS(ROW(C440)-1, Source!$E440)), Source!$C440), C439))</f>
        <v>FDJ</v>
      </c>
      <c r="D440" s="2" t="str">
        <f>IF(Source!$E440=COLUMNS($A440:D440), LEFT(D439, LEN(D439)-Source!$C440), IF(Source!$G440=COLUMNS($A440:D440), D439&amp;RIGHT(INDIRECT(ADDRESS(ROW(D440)-1, Source!$E440)), Source!$C440), D439))</f>
        <v>V</v>
      </c>
      <c r="E440" s="2" t="str">
        <f>IF(Source!$E440=COLUMNS($A440:E440), LEFT(E439, LEN(E439)-Source!$C440), IF(Source!$G440=COLUMNS($A440:E440), E439&amp;RIGHT(INDIRECT(ADDRESS(ROW(E440)-1, Source!$E440)), Source!$C440), E439))</f>
        <v>LDTPMCPRTRJTLBRS</v>
      </c>
      <c r="F440" s="2" t="str">
        <f>IF(Source!$E440=COLUMNS($A440:F440), LEFT(F439, LEN(F439)-Source!$C440), IF(Source!$G440=COLUMNS($A440:F440), F439&amp;RIGHT(INDIRECT(ADDRESS(ROW(F440)-1, Source!$E440)), Source!$C440), F439))</f>
        <v>FQVZBZHSDZWD</v>
      </c>
      <c r="G440" s="2" t="str">
        <f>IF(Source!$E440=COLUMNS($A440:G440), LEFT(G439, LEN(G439)-Source!$C440), IF(Source!$G440=COLUMNS($A440:G440), G439&amp;RIGHT(INDIRECT(ADDRESS(ROW(G440)-1, Source!$E440)), Source!$C440), G439))</f>
        <v>GRWLMT</v>
      </c>
      <c r="H440" s="2" t="str">
        <f>IF(Source!$E440=COLUMNS($A440:H440), LEFT(H439, LEN(H439)-Source!$C440), IF(Source!$G440=COLUMNS($A440:H440), H439&amp;RIGHT(INDIRECT(ADDRESS(ROW(H440)-1, Source!$E440)), Source!$C440), H439))</f>
        <v/>
      </c>
      <c r="I440" s="2" t="str">
        <f>IF(Source!$E440=COLUMNS($A440:I440), LEFT(I439, LEN(I439)-Source!$C440), IF(Source!$G440=COLUMNS($A440:I440), I439&amp;RIGHT(INDIRECT(ADDRESS(ROW(I440)-1, Source!$E440)), Source!$C440), I439))</f>
        <v>JBQSVSPDHRMBTTCD</v>
      </c>
    </row>
    <row r="441">
      <c r="A441" s="2" t="str">
        <f>IF(Source!$E441=COLUMNS($A441:A441), LEFT(A440, LEN(A440)-Source!$C441), IF(Source!$G441=COLUMNS($A441:A441), A440&amp;RIGHT(INDIRECT(ADDRESS(ROW(A441)-1, Source!$E441)), Source!$C441), A440))</f>
        <v>CG</v>
      </c>
      <c r="B441" s="2" t="str">
        <f>IF(Source!$E441=COLUMNS($A441:B441), LEFT(B440, LEN(B440)-Source!$C441), IF(Source!$G441=COLUMNS($A441:B441), B440&amp;RIGHT(INDIRECT(ADDRESS(ROW(B441)-1, Source!$E441)), Source!$C441), B440))</f>
        <v/>
      </c>
      <c r="C441" s="2" t="str">
        <f>IF(Source!$E441=COLUMNS($A441:C441), LEFT(C440, LEN(C440)-Source!$C441), IF(Source!$G441=COLUMNS($A441:C441), C440&amp;RIGHT(INDIRECT(ADDRESS(ROW(C441)-1, Source!$E441)), Source!$C441), C440))</f>
        <v>FDJ</v>
      </c>
      <c r="D441" s="2" t="str">
        <f>IF(Source!$E441=COLUMNS($A441:D441), LEFT(D440, LEN(D440)-Source!$C441), IF(Source!$G441=COLUMNS($A441:D441), D440&amp;RIGHT(INDIRECT(ADDRESS(ROW(D441)-1, Source!$E441)), Source!$C441), D440))</f>
        <v>V</v>
      </c>
      <c r="E441" s="2" t="str">
        <f>IF(Source!$E441=COLUMNS($A441:E441), LEFT(E440, LEN(E440)-Source!$C441), IF(Source!$G441=COLUMNS($A441:E441), E440&amp;RIGHT(INDIRECT(ADDRESS(ROW(E441)-1, Source!$E441)), Source!$C441), E440))</f>
        <v>LDTPMCPRTRJTLBRS</v>
      </c>
      <c r="F441" s="2" t="str">
        <f>IF(Source!$E441=COLUMNS($A441:F441), LEFT(F440, LEN(F440)-Source!$C441), IF(Source!$G441=COLUMNS($A441:F441), F440&amp;RIGHT(INDIRECT(ADDRESS(ROW(F441)-1, Source!$E441)), Source!$C441), F440))</f>
        <v>FQVZBZHSDZWD</v>
      </c>
      <c r="G441" s="2" t="str">
        <f>IF(Source!$E441=COLUMNS($A441:G441), LEFT(G440, LEN(G440)-Source!$C441), IF(Source!$G441=COLUMNS($A441:G441), G440&amp;RIGHT(INDIRECT(ADDRESS(ROW(G441)-1, Source!$E441)), Source!$C441), G440))</f>
        <v>GR</v>
      </c>
      <c r="H441" s="2" t="str">
        <f>IF(Source!$E441=COLUMNS($A441:H441), LEFT(H440, LEN(H440)-Source!$C441), IF(Source!$G441=COLUMNS($A441:H441), H440&amp;RIGHT(INDIRECT(ADDRESS(ROW(H441)-1, Source!$E441)), Source!$C441), H440))</f>
        <v/>
      </c>
      <c r="I441" s="2" t="str">
        <f>IF(Source!$E441=COLUMNS($A441:I441), LEFT(I440, LEN(I440)-Source!$C441), IF(Source!$G441=COLUMNS($A441:I441), I440&amp;RIGHT(INDIRECT(ADDRESS(ROW(I441)-1, Source!$E441)), Source!$C441), I440))</f>
        <v>JBQSVSPDHRMBTTCDWLMT</v>
      </c>
    </row>
    <row r="442">
      <c r="A442" s="2" t="str">
        <f>IF(Source!$E442=COLUMNS($A442:A442), LEFT(A441, LEN(A441)-Source!$C442), IF(Source!$G442=COLUMNS($A442:A442), A441&amp;RIGHT(INDIRECT(ADDRESS(ROW(A442)-1, Source!$E442)), Source!$C442), A441))</f>
        <v>CGZBZHSDZWD</v>
      </c>
      <c r="B442" s="2" t="str">
        <f>IF(Source!$E442=COLUMNS($A442:B442), LEFT(B441, LEN(B441)-Source!$C442), IF(Source!$G442=COLUMNS($A442:B442), B441&amp;RIGHT(INDIRECT(ADDRESS(ROW(B442)-1, Source!$E442)), Source!$C442), B441))</f>
        <v/>
      </c>
      <c r="C442" s="2" t="str">
        <f>IF(Source!$E442=COLUMNS($A442:C442), LEFT(C441, LEN(C441)-Source!$C442), IF(Source!$G442=COLUMNS($A442:C442), C441&amp;RIGHT(INDIRECT(ADDRESS(ROW(C442)-1, Source!$E442)), Source!$C442), C441))</f>
        <v>FDJ</v>
      </c>
      <c r="D442" s="2" t="str">
        <f>IF(Source!$E442=COLUMNS($A442:D442), LEFT(D441, LEN(D441)-Source!$C442), IF(Source!$G442=COLUMNS($A442:D442), D441&amp;RIGHT(INDIRECT(ADDRESS(ROW(D442)-1, Source!$E442)), Source!$C442), D441))</f>
        <v>V</v>
      </c>
      <c r="E442" s="2" t="str">
        <f>IF(Source!$E442=COLUMNS($A442:E442), LEFT(E441, LEN(E441)-Source!$C442), IF(Source!$G442=COLUMNS($A442:E442), E441&amp;RIGHT(INDIRECT(ADDRESS(ROW(E442)-1, Source!$E442)), Source!$C442), E441))</f>
        <v>LDTPMCPRTRJTLBRS</v>
      </c>
      <c r="F442" s="2" t="str">
        <f>IF(Source!$E442=COLUMNS($A442:F442), LEFT(F441, LEN(F441)-Source!$C442), IF(Source!$G442=COLUMNS($A442:F442), F441&amp;RIGHT(INDIRECT(ADDRESS(ROW(F442)-1, Source!$E442)), Source!$C442), F441))</f>
        <v>FQV</v>
      </c>
      <c r="G442" s="2" t="str">
        <f>IF(Source!$E442=COLUMNS($A442:G442), LEFT(G441, LEN(G441)-Source!$C442), IF(Source!$G442=COLUMNS($A442:G442), G441&amp;RIGHT(INDIRECT(ADDRESS(ROW(G442)-1, Source!$E442)), Source!$C442), G441))</f>
        <v>GR</v>
      </c>
      <c r="H442" s="2" t="str">
        <f>IF(Source!$E442=COLUMNS($A442:H442), LEFT(H441, LEN(H441)-Source!$C442), IF(Source!$G442=COLUMNS($A442:H442), H441&amp;RIGHT(INDIRECT(ADDRESS(ROW(H442)-1, Source!$E442)), Source!$C442), H441))</f>
        <v/>
      </c>
      <c r="I442" s="2" t="str">
        <f>IF(Source!$E442=COLUMNS($A442:I442), LEFT(I441, LEN(I441)-Source!$C442), IF(Source!$G442=COLUMNS($A442:I442), I441&amp;RIGHT(INDIRECT(ADDRESS(ROW(I442)-1, Source!$E442)), Source!$C442), I441))</f>
        <v>JBQSVSPDHRMBTTCDWLMT</v>
      </c>
    </row>
    <row r="443">
      <c r="A443" s="2" t="str">
        <f>IF(Source!$E443=COLUMNS($A443:A443), LEFT(A442, LEN(A442)-Source!$C443), IF(Source!$G443=COLUMNS($A443:A443), A442&amp;RIGHT(INDIRECT(ADDRESS(ROW(A443)-1, Source!$E443)), Source!$C443), A442))</f>
        <v>CGZBZHSDZWD</v>
      </c>
      <c r="B443" s="2" t="str">
        <f>IF(Source!$E443=COLUMNS($A443:B443), LEFT(B442, LEN(B442)-Source!$C443), IF(Source!$G443=COLUMNS($A443:B443), B442&amp;RIGHT(INDIRECT(ADDRESS(ROW(B443)-1, Source!$E443)), Source!$C443), B442))</f>
        <v/>
      </c>
      <c r="C443" s="2" t="str">
        <f>IF(Source!$E443=COLUMNS($A443:C443), LEFT(C442, LEN(C442)-Source!$C443), IF(Source!$G443=COLUMNS($A443:C443), C442&amp;RIGHT(INDIRECT(ADDRESS(ROW(C443)-1, Source!$E443)), Source!$C443), C442))</f>
        <v>FDJ</v>
      </c>
      <c r="D443" s="2" t="str">
        <f>IF(Source!$E443=COLUMNS($A443:D443), LEFT(D442, LEN(D442)-Source!$C443), IF(Source!$G443=COLUMNS($A443:D443), D442&amp;RIGHT(INDIRECT(ADDRESS(ROW(D443)-1, Source!$E443)), Source!$C443), D442))</f>
        <v>V</v>
      </c>
      <c r="E443" s="2" t="str">
        <f>IF(Source!$E443=COLUMNS($A443:E443), LEFT(E442, LEN(E442)-Source!$C443), IF(Source!$G443=COLUMNS($A443:E443), E442&amp;RIGHT(INDIRECT(ADDRESS(ROW(E443)-1, Source!$E443)), Source!$C443), E442))</f>
        <v>LDTPMCPRTRJTLBRSFQV</v>
      </c>
      <c r="F443" s="2" t="str">
        <f>IF(Source!$E443=COLUMNS($A443:F443), LEFT(F442, LEN(F442)-Source!$C443), IF(Source!$G443=COLUMNS($A443:F443), F442&amp;RIGHT(INDIRECT(ADDRESS(ROW(F443)-1, Source!$E443)), Source!$C443), F442))</f>
        <v/>
      </c>
      <c r="G443" s="2" t="str">
        <f>IF(Source!$E443=COLUMNS($A443:G443), LEFT(G442, LEN(G442)-Source!$C443), IF(Source!$G443=COLUMNS($A443:G443), G442&amp;RIGHT(INDIRECT(ADDRESS(ROW(G443)-1, Source!$E443)), Source!$C443), G442))</f>
        <v>GR</v>
      </c>
      <c r="H443" s="2" t="str">
        <f>IF(Source!$E443=COLUMNS($A443:H443), LEFT(H442, LEN(H442)-Source!$C443), IF(Source!$G443=COLUMNS($A443:H443), H442&amp;RIGHT(INDIRECT(ADDRESS(ROW(H443)-1, Source!$E443)), Source!$C443), H442))</f>
        <v/>
      </c>
      <c r="I443" s="2" t="str">
        <f>IF(Source!$E443=COLUMNS($A443:I443), LEFT(I442, LEN(I442)-Source!$C443), IF(Source!$G443=COLUMNS($A443:I443), I442&amp;RIGHT(INDIRECT(ADDRESS(ROW(I443)-1, Source!$E443)), Source!$C443), I442))</f>
        <v>JBQSVSPDHRMBTTCDWLMT</v>
      </c>
    </row>
    <row r="444">
      <c r="A444" s="2" t="str">
        <f>IF(Source!$E444=COLUMNS($A444:A444), LEFT(A443, LEN(A443)-Source!$C444), IF(Source!$G444=COLUMNS($A444:A444), A443&amp;RIGHT(INDIRECT(ADDRESS(ROW(A444)-1, Source!$E444)), Source!$C444), A443))</f>
        <v>CGZBZHSDZWDSPDHRMBTTCDWLMT</v>
      </c>
      <c r="B444" s="2" t="str">
        <f>IF(Source!$E444=COLUMNS($A444:B444), LEFT(B443, LEN(B443)-Source!$C444), IF(Source!$G444=COLUMNS($A444:B444), B443&amp;RIGHT(INDIRECT(ADDRESS(ROW(B444)-1, Source!$E444)), Source!$C444), B443))</f>
        <v/>
      </c>
      <c r="C444" s="2" t="str">
        <f>IF(Source!$E444=COLUMNS($A444:C444), LEFT(C443, LEN(C443)-Source!$C444), IF(Source!$G444=COLUMNS($A444:C444), C443&amp;RIGHT(INDIRECT(ADDRESS(ROW(C444)-1, Source!$E444)), Source!$C444), C443))</f>
        <v>FDJ</v>
      </c>
      <c r="D444" s="2" t="str">
        <f>IF(Source!$E444=COLUMNS($A444:D444), LEFT(D443, LEN(D443)-Source!$C444), IF(Source!$G444=COLUMNS($A444:D444), D443&amp;RIGHT(INDIRECT(ADDRESS(ROW(D444)-1, Source!$E444)), Source!$C444), D443))</f>
        <v>V</v>
      </c>
      <c r="E444" s="2" t="str">
        <f>IF(Source!$E444=COLUMNS($A444:E444), LEFT(E443, LEN(E443)-Source!$C444), IF(Source!$G444=COLUMNS($A444:E444), E443&amp;RIGHT(INDIRECT(ADDRESS(ROW(E444)-1, Source!$E444)), Source!$C444), E443))</f>
        <v>LDTPMCPRTRJTLBRSFQV</v>
      </c>
      <c r="F444" s="2" t="str">
        <f>IF(Source!$E444=COLUMNS($A444:F444), LEFT(F443, LEN(F443)-Source!$C444), IF(Source!$G444=COLUMNS($A444:F444), F443&amp;RIGHT(INDIRECT(ADDRESS(ROW(F444)-1, Source!$E444)), Source!$C444), F443))</f>
        <v/>
      </c>
      <c r="G444" s="2" t="str">
        <f>IF(Source!$E444=COLUMNS($A444:G444), LEFT(G443, LEN(G443)-Source!$C444), IF(Source!$G444=COLUMNS($A444:G444), G443&amp;RIGHT(INDIRECT(ADDRESS(ROW(G444)-1, Source!$E444)), Source!$C444), G443))</f>
        <v>GR</v>
      </c>
      <c r="H444" s="2" t="str">
        <f>IF(Source!$E444=COLUMNS($A444:H444), LEFT(H443, LEN(H443)-Source!$C444), IF(Source!$G444=COLUMNS($A444:H444), H443&amp;RIGHT(INDIRECT(ADDRESS(ROW(H444)-1, Source!$E444)), Source!$C444), H443))</f>
        <v/>
      </c>
      <c r="I444" s="2" t="str">
        <f>IF(Source!$E444=COLUMNS($A444:I444), LEFT(I443, LEN(I443)-Source!$C444), IF(Source!$G444=COLUMNS($A444:I444), I443&amp;RIGHT(INDIRECT(ADDRESS(ROW(I444)-1, Source!$E444)), Source!$C444), I443))</f>
        <v>JBQSV</v>
      </c>
    </row>
    <row r="445">
      <c r="A445" s="2" t="str">
        <f>IF(Source!$E445=COLUMNS($A445:A445), LEFT(A444, LEN(A444)-Source!$C445), IF(Source!$G445=COLUMNS($A445:A445), A444&amp;RIGHT(INDIRECT(ADDRESS(ROW(A445)-1, Source!$E445)), Source!$C445), A444))</f>
        <v>CGZBZHSDZWDSPDHRMBTTCDWLMT</v>
      </c>
      <c r="B445" s="2" t="str">
        <f>IF(Source!$E445=COLUMNS($A445:B445), LEFT(B444, LEN(B444)-Source!$C445), IF(Source!$G445=COLUMNS($A445:B445), B444&amp;RIGHT(INDIRECT(ADDRESS(ROW(B445)-1, Source!$E445)), Source!$C445), B444))</f>
        <v/>
      </c>
      <c r="C445" s="2" t="str">
        <f>IF(Source!$E445=COLUMNS($A445:C445), LEFT(C444, LEN(C444)-Source!$C445), IF(Source!$G445=COLUMNS($A445:C445), C444&amp;RIGHT(INDIRECT(ADDRESS(ROW(C445)-1, Source!$E445)), Source!$C445), C444))</f>
        <v>FDJ</v>
      </c>
      <c r="D445" s="2" t="str">
        <f>IF(Source!$E445=COLUMNS($A445:D445), LEFT(D444, LEN(D444)-Source!$C445), IF(Source!$G445=COLUMNS($A445:D445), D444&amp;RIGHT(INDIRECT(ADDRESS(ROW(D445)-1, Source!$E445)), Source!$C445), D444))</f>
        <v/>
      </c>
      <c r="E445" s="2" t="str">
        <f>IF(Source!$E445=COLUMNS($A445:E445), LEFT(E444, LEN(E444)-Source!$C445), IF(Source!$G445=COLUMNS($A445:E445), E444&amp;RIGHT(INDIRECT(ADDRESS(ROW(E445)-1, Source!$E445)), Source!$C445), E444))</f>
        <v>LDTPMCPRTRJTLBRSFQV</v>
      </c>
      <c r="F445" s="2" t="str">
        <f>IF(Source!$E445=COLUMNS($A445:F445), LEFT(F444, LEN(F444)-Source!$C445), IF(Source!$G445=COLUMNS($A445:F445), F444&amp;RIGHT(INDIRECT(ADDRESS(ROW(F445)-1, Source!$E445)), Source!$C445), F444))</f>
        <v/>
      </c>
      <c r="G445" s="2" t="str">
        <f>IF(Source!$E445=COLUMNS($A445:G445), LEFT(G444, LEN(G444)-Source!$C445), IF(Source!$G445=COLUMNS($A445:G445), G444&amp;RIGHT(INDIRECT(ADDRESS(ROW(G445)-1, Source!$E445)), Source!$C445), G444))</f>
        <v>GRV</v>
      </c>
      <c r="H445" s="2" t="str">
        <f>IF(Source!$E445=COLUMNS($A445:H445), LEFT(H444, LEN(H444)-Source!$C445), IF(Source!$G445=COLUMNS($A445:H445), H444&amp;RIGHT(INDIRECT(ADDRESS(ROW(H445)-1, Source!$E445)), Source!$C445), H444))</f>
        <v/>
      </c>
      <c r="I445" s="2" t="str">
        <f>IF(Source!$E445=COLUMNS($A445:I445), LEFT(I444, LEN(I444)-Source!$C445), IF(Source!$G445=COLUMNS($A445:I445), I444&amp;RIGHT(INDIRECT(ADDRESS(ROW(I445)-1, Source!$E445)), Source!$C445), I444))</f>
        <v>JBQSV</v>
      </c>
    </row>
    <row r="446">
      <c r="A446" s="2" t="str">
        <f>IF(Source!$E446=COLUMNS($A446:A446), LEFT(A445, LEN(A445)-Source!$C446), IF(Source!$G446=COLUMNS($A446:A446), A445&amp;RIGHT(INDIRECT(ADDRESS(ROW(A446)-1, Source!$E446)), Source!$C446), A445))</f>
        <v>CGZBZHSDZWDSPDHRMBTTCDWLMT</v>
      </c>
      <c r="B446" s="2" t="str">
        <f>IF(Source!$E446=COLUMNS($A446:B446), LEFT(B445, LEN(B445)-Source!$C446), IF(Source!$G446=COLUMNS($A446:B446), B445&amp;RIGHT(INDIRECT(ADDRESS(ROW(B446)-1, Source!$E446)), Source!$C446), B445))</f>
        <v/>
      </c>
      <c r="C446" s="2" t="str">
        <f>IF(Source!$E446=COLUMNS($A446:C446), LEFT(C445, LEN(C445)-Source!$C446), IF(Source!$G446=COLUMNS($A446:C446), C445&amp;RIGHT(INDIRECT(ADDRESS(ROW(C446)-1, Source!$E446)), Source!$C446), C445))</f>
        <v>FDJ</v>
      </c>
      <c r="D446" s="2" t="str">
        <f>IF(Source!$E446=COLUMNS($A446:D446), LEFT(D445, LEN(D445)-Source!$C446), IF(Source!$G446=COLUMNS($A446:D446), D445&amp;RIGHT(INDIRECT(ADDRESS(ROW(D446)-1, Source!$E446)), Source!$C446), D445))</f>
        <v/>
      </c>
      <c r="E446" s="2" t="str">
        <f>IF(Source!$E446=COLUMNS($A446:E446), LEFT(E445, LEN(E445)-Source!$C446), IF(Source!$G446=COLUMNS($A446:E446), E445&amp;RIGHT(INDIRECT(ADDRESS(ROW(E446)-1, Source!$E446)), Source!$C446), E445))</f>
        <v>LDTPMCPRTRJTLBRSFQV</v>
      </c>
      <c r="F446" s="2" t="str">
        <f>IF(Source!$E446=COLUMNS($A446:F446), LEFT(F445, LEN(F445)-Source!$C446), IF(Source!$G446=COLUMNS($A446:F446), F445&amp;RIGHT(INDIRECT(ADDRESS(ROW(F446)-1, Source!$E446)), Source!$C446), F445))</f>
        <v/>
      </c>
      <c r="G446" s="2" t="str">
        <f>IF(Source!$E446=COLUMNS($A446:G446), LEFT(G445, LEN(G445)-Source!$C446), IF(Source!$G446=COLUMNS($A446:G446), G445&amp;RIGHT(INDIRECT(ADDRESS(ROW(G446)-1, Source!$E446)), Source!$C446), G445))</f>
        <v>GRVBQSV</v>
      </c>
      <c r="H446" s="2" t="str">
        <f>IF(Source!$E446=COLUMNS($A446:H446), LEFT(H445, LEN(H445)-Source!$C446), IF(Source!$G446=COLUMNS($A446:H446), H445&amp;RIGHT(INDIRECT(ADDRESS(ROW(H446)-1, Source!$E446)), Source!$C446), H445))</f>
        <v/>
      </c>
      <c r="I446" s="2" t="str">
        <f>IF(Source!$E446=COLUMNS($A446:I446), LEFT(I445, LEN(I445)-Source!$C446), IF(Source!$G446=COLUMNS($A446:I446), I445&amp;RIGHT(INDIRECT(ADDRESS(ROW(I446)-1, Source!$E446)), Source!$C446), I445))</f>
        <v>J</v>
      </c>
    </row>
    <row r="447">
      <c r="A447" s="2" t="str">
        <f>IF(Source!$E447=COLUMNS($A447:A447), LEFT(A446, LEN(A446)-Source!$C447), IF(Source!$G447=COLUMNS($A447:A447), A446&amp;RIGHT(INDIRECT(ADDRESS(ROW(A447)-1, Source!$E447)), Source!$C447), A446))</f>
        <v>CGZBZHSDZWDSPDHRMBTTCDWLMTRTRJTLBRSFQV</v>
      </c>
      <c r="B447" s="2" t="str">
        <f>IF(Source!$E447=COLUMNS($A447:B447), LEFT(B446, LEN(B446)-Source!$C447), IF(Source!$G447=COLUMNS($A447:B447), B446&amp;RIGHT(INDIRECT(ADDRESS(ROW(B447)-1, Source!$E447)), Source!$C447), B446))</f>
        <v/>
      </c>
      <c r="C447" s="2" t="str">
        <f>IF(Source!$E447=COLUMNS($A447:C447), LEFT(C446, LEN(C446)-Source!$C447), IF(Source!$G447=COLUMNS($A447:C447), C446&amp;RIGHT(INDIRECT(ADDRESS(ROW(C447)-1, Source!$E447)), Source!$C447), C446))</f>
        <v>FDJ</v>
      </c>
      <c r="D447" s="2" t="str">
        <f>IF(Source!$E447=COLUMNS($A447:D447), LEFT(D446, LEN(D446)-Source!$C447), IF(Source!$G447=COLUMNS($A447:D447), D446&amp;RIGHT(INDIRECT(ADDRESS(ROW(D447)-1, Source!$E447)), Source!$C447), D446))</f>
        <v/>
      </c>
      <c r="E447" s="2" t="str">
        <f>IF(Source!$E447=COLUMNS($A447:E447), LEFT(E446, LEN(E446)-Source!$C447), IF(Source!$G447=COLUMNS($A447:E447), E446&amp;RIGHT(INDIRECT(ADDRESS(ROW(E447)-1, Source!$E447)), Source!$C447), E446))</f>
        <v>LDTPMCP</v>
      </c>
      <c r="F447" s="2" t="str">
        <f>IF(Source!$E447=COLUMNS($A447:F447), LEFT(F446, LEN(F446)-Source!$C447), IF(Source!$G447=COLUMNS($A447:F447), F446&amp;RIGHT(INDIRECT(ADDRESS(ROW(F447)-1, Source!$E447)), Source!$C447), F446))</f>
        <v/>
      </c>
      <c r="G447" s="2" t="str">
        <f>IF(Source!$E447=COLUMNS($A447:G447), LEFT(G446, LEN(G446)-Source!$C447), IF(Source!$G447=COLUMNS($A447:G447), G446&amp;RIGHT(INDIRECT(ADDRESS(ROW(G447)-1, Source!$E447)), Source!$C447), G446))</f>
        <v>GRVBQSV</v>
      </c>
      <c r="H447" s="2" t="str">
        <f>IF(Source!$E447=COLUMNS($A447:H447), LEFT(H446, LEN(H446)-Source!$C447), IF(Source!$G447=COLUMNS($A447:H447), H446&amp;RIGHT(INDIRECT(ADDRESS(ROW(H447)-1, Source!$E447)), Source!$C447), H446))</f>
        <v/>
      </c>
      <c r="I447" s="2" t="str">
        <f>IF(Source!$E447=COLUMNS($A447:I447), LEFT(I446, LEN(I446)-Source!$C447), IF(Source!$G447=COLUMNS($A447:I447), I446&amp;RIGHT(INDIRECT(ADDRESS(ROW(I447)-1, Source!$E447)), Source!$C447), I446))</f>
        <v>J</v>
      </c>
    </row>
    <row r="448">
      <c r="A448" s="2" t="str">
        <f>IF(Source!$E448=COLUMNS($A448:A448), LEFT(A447, LEN(A447)-Source!$C448), IF(Source!$G448=COLUMNS($A448:A448), A447&amp;RIGHT(INDIRECT(ADDRESS(ROW(A448)-1, Source!$E448)), Source!$C448), A447))</f>
        <v>CGZBZHSDZWDSPDHRMBTTCDWLMTRTRJTLBRSFQV</v>
      </c>
      <c r="B448" s="2" t="str">
        <f>IF(Source!$E448=COLUMNS($A448:B448), LEFT(B447, LEN(B447)-Source!$C448), IF(Source!$G448=COLUMNS($A448:B448), B447&amp;RIGHT(INDIRECT(ADDRESS(ROW(B448)-1, Source!$E448)), Source!$C448), B447))</f>
        <v/>
      </c>
      <c r="C448" s="2" t="str">
        <f>IF(Source!$E448=COLUMNS($A448:C448), LEFT(C447, LEN(C447)-Source!$C448), IF(Source!$G448=COLUMNS($A448:C448), C447&amp;RIGHT(INDIRECT(ADDRESS(ROW(C448)-1, Source!$E448)), Source!$C448), C447))</f>
        <v>FDJQSV</v>
      </c>
      <c r="D448" s="2" t="str">
        <f>IF(Source!$E448=COLUMNS($A448:D448), LEFT(D447, LEN(D447)-Source!$C448), IF(Source!$G448=COLUMNS($A448:D448), D447&amp;RIGHT(INDIRECT(ADDRESS(ROW(D448)-1, Source!$E448)), Source!$C448), D447))</f>
        <v/>
      </c>
      <c r="E448" s="2" t="str">
        <f>IF(Source!$E448=COLUMNS($A448:E448), LEFT(E447, LEN(E447)-Source!$C448), IF(Source!$G448=COLUMNS($A448:E448), E447&amp;RIGHT(INDIRECT(ADDRESS(ROW(E448)-1, Source!$E448)), Source!$C448), E447))</f>
        <v>LDTPMCP</v>
      </c>
      <c r="F448" s="2" t="str">
        <f>IF(Source!$E448=COLUMNS($A448:F448), LEFT(F447, LEN(F447)-Source!$C448), IF(Source!$G448=COLUMNS($A448:F448), F447&amp;RIGHT(INDIRECT(ADDRESS(ROW(F448)-1, Source!$E448)), Source!$C448), F447))</f>
        <v/>
      </c>
      <c r="G448" s="2" t="str">
        <f>IF(Source!$E448=COLUMNS($A448:G448), LEFT(G447, LEN(G447)-Source!$C448), IF(Source!$G448=COLUMNS($A448:G448), G447&amp;RIGHT(INDIRECT(ADDRESS(ROW(G448)-1, Source!$E448)), Source!$C448), G447))</f>
        <v>GRVB</v>
      </c>
      <c r="H448" s="2" t="str">
        <f>IF(Source!$E448=COLUMNS($A448:H448), LEFT(H447, LEN(H447)-Source!$C448), IF(Source!$G448=COLUMNS($A448:H448), H447&amp;RIGHT(INDIRECT(ADDRESS(ROW(H448)-1, Source!$E448)), Source!$C448), H447))</f>
        <v/>
      </c>
      <c r="I448" s="2" t="str">
        <f>IF(Source!$E448=COLUMNS($A448:I448), LEFT(I447, LEN(I447)-Source!$C448), IF(Source!$G448=COLUMNS($A448:I448), I447&amp;RIGHT(INDIRECT(ADDRESS(ROW(I448)-1, Source!$E448)), Source!$C448), I447))</f>
        <v>J</v>
      </c>
    </row>
    <row r="449">
      <c r="A449" s="2" t="str">
        <f>IF(Source!$E449=COLUMNS($A449:A449), LEFT(A448, LEN(A448)-Source!$C449), IF(Source!$G449=COLUMNS($A449:A449), A448&amp;RIGHT(INDIRECT(ADDRESS(ROW(A449)-1, Source!$E449)), Source!$C449), A448))</f>
        <v>CGZBZHSDZWDSPDHRMBTTCDWLMTRTRJTLBRSFQV</v>
      </c>
      <c r="B449" s="2" t="str">
        <f>IF(Source!$E449=COLUMNS($A449:B449), LEFT(B448, LEN(B448)-Source!$C449), IF(Source!$G449=COLUMNS($A449:B449), B448&amp;RIGHT(INDIRECT(ADDRESS(ROW(B449)-1, Source!$E449)), Source!$C449), B448))</f>
        <v>GRVB</v>
      </c>
      <c r="C449" s="2" t="str">
        <f>IF(Source!$E449=COLUMNS($A449:C449), LEFT(C448, LEN(C448)-Source!$C449), IF(Source!$G449=COLUMNS($A449:C449), C448&amp;RIGHT(INDIRECT(ADDRESS(ROW(C449)-1, Source!$E449)), Source!$C449), C448))</f>
        <v>FDJQSV</v>
      </c>
      <c r="D449" s="2" t="str">
        <f>IF(Source!$E449=COLUMNS($A449:D449), LEFT(D448, LEN(D448)-Source!$C449), IF(Source!$G449=COLUMNS($A449:D449), D448&amp;RIGHT(INDIRECT(ADDRESS(ROW(D449)-1, Source!$E449)), Source!$C449), D448))</f>
        <v/>
      </c>
      <c r="E449" s="2" t="str">
        <f>IF(Source!$E449=COLUMNS($A449:E449), LEFT(E448, LEN(E448)-Source!$C449), IF(Source!$G449=COLUMNS($A449:E449), E448&amp;RIGHT(INDIRECT(ADDRESS(ROW(E449)-1, Source!$E449)), Source!$C449), E448))</f>
        <v>LDTPMCP</v>
      </c>
      <c r="F449" s="2" t="str">
        <f>IF(Source!$E449=COLUMNS($A449:F449), LEFT(F448, LEN(F448)-Source!$C449), IF(Source!$G449=COLUMNS($A449:F449), F448&amp;RIGHT(INDIRECT(ADDRESS(ROW(F449)-1, Source!$E449)), Source!$C449), F448))</f>
        <v/>
      </c>
      <c r="G449" s="2" t="str">
        <f>IF(Source!$E449=COLUMNS($A449:G449), LEFT(G448, LEN(G448)-Source!$C449), IF(Source!$G449=COLUMNS($A449:G449), G448&amp;RIGHT(INDIRECT(ADDRESS(ROW(G449)-1, Source!$E449)), Source!$C449), G448))</f>
        <v/>
      </c>
      <c r="H449" s="2" t="str">
        <f>IF(Source!$E449=COLUMNS($A449:H449), LEFT(H448, LEN(H448)-Source!$C449), IF(Source!$G449=COLUMNS($A449:H449), H448&amp;RIGHT(INDIRECT(ADDRESS(ROW(H449)-1, Source!$E449)), Source!$C449), H448))</f>
        <v/>
      </c>
      <c r="I449" s="2" t="str">
        <f>IF(Source!$E449=COLUMNS($A449:I449), LEFT(I448, LEN(I448)-Source!$C449), IF(Source!$G449=COLUMNS($A449:I449), I448&amp;RIGHT(INDIRECT(ADDRESS(ROW(I449)-1, Source!$E449)), Source!$C449), I448))</f>
        <v>J</v>
      </c>
    </row>
    <row r="450">
      <c r="A450" s="2" t="str">
        <f>IF(Source!$E450=COLUMNS($A450:A450), LEFT(A449, LEN(A449)-Source!$C450), IF(Source!$G450=COLUMNS($A450:A450), A449&amp;RIGHT(INDIRECT(ADDRESS(ROW(A450)-1, Source!$E450)), Source!$C450), A449))</f>
        <v>CGZBZHSDZWDSPDHRMBTTCDWLMTRTRJTLBRSFQV</v>
      </c>
      <c r="B450" s="2" t="str">
        <f>IF(Source!$E450=COLUMNS($A450:B450), LEFT(B449, LEN(B449)-Source!$C450), IF(Source!$G450=COLUMNS($A450:B450), B449&amp;RIGHT(INDIRECT(ADDRESS(ROW(B450)-1, Source!$E450)), Source!$C450), B449))</f>
        <v>GRVB</v>
      </c>
      <c r="C450" s="2" t="str">
        <f>IF(Source!$E450=COLUMNS($A450:C450), LEFT(C449, LEN(C449)-Source!$C450), IF(Source!$G450=COLUMNS($A450:C450), C449&amp;RIGHT(INDIRECT(ADDRESS(ROW(C450)-1, Source!$E450)), Source!$C450), C449))</f>
        <v>FDJQSVJ</v>
      </c>
      <c r="D450" s="2" t="str">
        <f>IF(Source!$E450=COLUMNS($A450:D450), LEFT(D449, LEN(D449)-Source!$C450), IF(Source!$G450=COLUMNS($A450:D450), D449&amp;RIGHT(INDIRECT(ADDRESS(ROW(D450)-1, Source!$E450)), Source!$C450), D449))</f>
        <v/>
      </c>
      <c r="E450" s="2" t="str">
        <f>IF(Source!$E450=COLUMNS($A450:E450), LEFT(E449, LEN(E449)-Source!$C450), IF(Source!$G450=COLUMNS($A450:E450), E449&amp;RIGHT(INDIRECT(ADDRESS(ROW(E450)-1, Source!$E450)), Source!$C450), E449))</f>
        <v>LDTPMCP</v>
      </c>
      <c r="F450" s="2" t="str">
        <f>IF(Source!$E450=COLUMNS($A450:F450), LEFT(F449, LEN(F449)-Source!$C450), IF(Source!$G450=COLUMNS($A450:F450), F449&amp;RIGHT(INDIRECT(ADDRESS(ROW(F450)-1, Source!$E450)), Source!$C450), F449))</f>
        <v/>
      </c>
      <c r="G450" s="2" t="str">
        <f>IF(Source!$E450=COLUMNS($A450:G450), LEFT(G449, LEN(G449)-Source!$C450), IF(Source!$G450=COLUMNS($A450:G450), G449&amp;RIGHT(INDIRECT(ADDRESS(ROW(G450)-1, Source!$E450)), Source!$C450), G449))</f>
        <v/>
      </c>
      <c r="H450" s="2" t="str">
        <f>IF(Source!$E450=COLUMNS($A450:H450), LEFT(H449, LEN(H449)-Source!$C450), IF(Source!$G450=COLUMNS($A450:H450), H449&amp;RIGHT(INDIRECT(ADDRESS(ROW(H450)-1, Source!$E450)), Source!$C450), H449))</f>
        <v/>
      </c>
      <c r="I450" s="2" t="str">
        <f>IF(Source!$E450=COLUMNS($A450:I450), LEFT(I449, LEN(I449)-Source!$C450), IF(Source!$G450=COLUMNS($A450:I450), I449&amp;RIGHT(INDIRECT(ADDRESS(ROW(I450)-1, Source!$E450)), Source!$C450), I449))</f>
        <v/>
      </c>
    </row>
    <row r="451">
      <c r="A451" s="2" t="str">
        <f>IF(Source!$E451=COLUMNS($A451:A451), LEFT(A450, LEN(A450)-Source!$C451), IF(Source!$G451=COLUMNS($A451:A451), A450&amp;RIGHT(INDIRECT(ADDRESS(ROW(A451)-1, Source!$E451)), Source!$C451), A450))</f>
        <v>CGZBZHSDZWDSPDHR</v>
      </c>
      <c r="B451" s="2" t="str">
        <f>IF(Source!$E451=COLUMNS($A451:B451), LEFT(B450, LEN(B450)-Source!$C451), IF(Source!$G451=COLUMNS($A451:B451), B450&amp;RIGHT(INDIRECT(ADDRESS(ROW(B451)-1, Source!$E451)), Source!$C451), B450))</f>
        <v>GRVBMBTTCDWLMTRTRJTLBRSFQV</v>
      </c>
      <c r="C451" s="2" t="str">
        <f>IF(Source!$E451=COLUMNS($A451:C451), LEFT(C450, LEN(C450)-Source!$C451), IF(Source!$G451=COLUMNS($A451:C451), C450&amp;RIGHT(INDIRECT(ADDRESS(ROW(C451)-1, Source!$E451)), Source!$C451), C450))</f>
        <v>FDJQSVJ</v>
      </c>
      <c r="D451" s="2" t="str">
        <f>IF(Source!$E451=COLUMNS($A451:D451), LEFT(D450, LEN(D450)-Source!$C451), IF(Source!$G451=COLUMNS($A451:D451), D450&amp;RIGHT(INDIRECT(ADDRESS(ROW(D451)-1, Source!$E451)), Source!$C451), D450))</f>
        <v/>
      </c>
      <c r="E451" s="2" t="str">
        <f>IF(Source!$E451=COLUMNS($A451:E451), LEFT(E450, LEN(E450)-Source!$C451), IF(Source!$G451=COLUMNS($A451:E451), E450&amp;RIGHT(INDIRECT(ADDRESS(ROW(E451)-1, Source!$E451)), Source!$C451), E450))</f>
        <v>LDTPMCP</v>
      </c>
      <c r="F451" s="2" t="str">
        <f>IF(Source!$E451=COLUMNS($A451:F451), LEFT(F450, LEN(F450)-Source!$C451), IF(Source!$G451=COLUMNS($A451:F451), F450&amp;RIGHT(INDIRECT(ADDRESS(ROW(F451)-1, Source!$E451)), Source!$C451), F450))</f>
        <v/>
      </c>
      <c r="G451" s="2" t="str">
        <f>IF(Source!$E451=COLUMNS($A451:G451), LEFT(G450, LEN(G450)-Source!$C451), IF(Source!$G451=COLUMNS($A451:G451), G450&amp;RIGHT(INDIRECT(ADDRESS(ROW(G451)-1, Source!$E451)), Source!$C451), G450))</f>
        <v/>
      </c>
      <c r="H451" s="2" t="str">
        <f>IF(Source!$E451=COLUMNS($A451:H451), LEFT(H450, LEN(H450)-Source!$C451), IF(Source!$G451=COLUMNS($A451:H451), H450&amp;RIGHT(INDIRECT(ADDRESS(ROW(H451)-1, Source!$E451)), Source!$C451), H450))</f>
        <v/>
      </c>
      <c r="I451" s="2" t="str">
        <f>IF(Source!$E451=COLUMNS($A451:I451), LEFT(I450, LEN(I450)-Source!$C451), IF(Source!$G451=COLUMNS($A451:I451), I450&amp;RIGHT(INDIRECT(ADDRESS(ROW(I451)-1, Source!$E451)), Source!$C451), I450))</f>
        <v/>
      </c>
    </row>
    <row r="452">
      <c r="A452" s="2" t="str">
        <f>IF(Source!$E452=COLUMNS($A452:A452), LEFT(A451, LEN(A451)-Source!$C452), IF(Source!$G452=COLUMNS($A452:A452), A451&amp;RIGHT(INDIRECT(ADDRESS(ROW(A452)-1, Source!$E452)), Source!$C452), A451))</f>
        <v>CGZBZHSDZWDSPDHR</v>
      </c>
      <c r="B452" s="2" t="str">
        <f>IF(Source!$E452=COLUMNS($A452:B452), LEFT(B451, LEN(B451)-Source!$C452), IF(Source!$G452=COLUMNS($A452:B452), B451&amp;RIGHT(INDIRECT(ADDRESS(ROW(B452)-1, Source!$E452)), Source!$C452), B451))</f>
        <v>GRVBM</v>
      </c>
      <c r="C452" s="2" t="str">
        <f>IF(Source!$E452=COLUMNS($A452:C452), LEFT(C451, LEN(C451)-Source!$C452), IF(Source!$G452=COLUMNS($A452:C452), C451&amp;RIGHT(INDIRECT(ADDRESS(ROW(C452)-1, Source!$E452)), Source!$C452), C451))</f>
        <v>FDJQSVJ</v>
      </c>
      <c r="D452" s="2" t="str">
        <f>IF(Source!$E452=COLUMNS($A452:D452), LEFT(D451, LEN(D451)-Source!$C452), IF(Source!$G452=COLUMNS($A452:D452), D451&amp;RIGHT(INDIRECT(ADDRESS(ROW(D452)-1, Source!$E452)), Source!$C452), D451))</f>
        <v/>
      </c>
      <c r="E452" s="2" t="str">
        <f>IF(Source!$E452=COLUMNS($A452:E452), LEFT(E451, LEN(E451)-Source!$C452), IF(Source!$G452=COLUMNS($A452:E452), E451&amp;RIGHT(INDIRECT(ADDRESS(ROW(E452)-1, Source!$E452)), Source!$C452), E451))</f>
        <v>LDTPMCP</v>
      </c>
      <c r="F452" s="2" t="str">
        <f>IF(Source!$E452=COLUMNS($A452:F452), LEFT(F451, LEN(F451)-Source!$C452), IF(Source!$G452=COLUMNS($A452:F452), F451&amp;RIGHT(INDIRECT(ADDRESS(ROW(F452)-1, Source!$E452)), Source!$C452), F451))</f>
        <v>BTTCDWLMTRTRJTLBRSFQV</v>
      </c>
      <c r="G452" s="2" t="str">
        <f>IF(Source!$E452=COLUMNS($A452:G452), LEFT(G451, LEN(G451)-Source!$C452), IF(Source!$G452=COLUMNS($A452:G452), G451&amp;RIGHT(INDIRECT(ADDRESS(ROW(G452)-1, Source!$E452)), Source!$C452), G451))</f>
        <v/>
      </c>
      <c r="H452" s="2" t="str">
        <f>IF(Source!$E452=COLUMNS($A452:H452), LEFT(H451, LEN(H451)-Source!$C452), IF(Source!$G452=COLUMNS($A452:H452), H451&amp;RIGHT(INDIRECT(ADDRESS(ROW(H452)-1, Source!$E452)), Source!$C452), H451))</f>
        <v/>
      </c>
      <c r="I452" s="2" t="str">
        <f>IF(Source!$E452=COLUMNS($A452:I452), LEFT(I451, LEN(I451)-Source!$C452), IF(Source!$G452=COLUMNS($A452:I452), I451&amp;RIGHT(INDIRECT(ADDRESS(ROW(I452)-1, Source!$E452)), Source!$C452), I451))</f>
        <v/>
      </c>
    </row>
    <row r="453">
      <c r="A453" s="2" t="str">
        <f>IF(Source!$E453=COLUMNS($A453:A453), LEFT(A452, LEN(A452)-Source!$C453), IF(Source!$G453=COLUMNS($A453:A453), A452&amp;RIGHT(INDIRECT(ADDRESS(ROW(A453)-1, Source!$E453)), Source!$C453), A452))</f>
        <v>CGZBZHSDZWDSP</v>
      </c>
      <c r="B453" s="2" t="str">
        <f>IF(Source!$E453=COLUMNS($A453:B453), LEFT(B452, LEN(B452)-Source!$C453), IF(Source!$G453=COLUMNS($A453:B453), B452&amp;RIGHT(INDIRECT(ADDRESS(ROW(B453)-1, Source!$E453)), Source!$C453), B452))</f>
        <v>GRVBM</v>
      </c>
      <c r="C453" s="2" t="str">
        <f>IF(Source!$E453=COLUMNS($A453:C453), LEFT(C452, LEN(C452)-Source!$C453), IF(Source!$G453=COLUMNS($A453:C453), C452&amp;RIGHT(INDIRECT(ADDRESS(ROW(C453)-1, Source!$E453)), Source!$C453), C452))</f>
        <v>FDJQSVJ</v>
      </c>
      <c r="D453" s="2" t="str">
        <f>IF(Source!$E453=COLUMNS($A453:D453), LEFT(D452, LEN(D452)-Source!$C453), IF(Source!$G453=COLUMNS($A453:D453), D452&amp;RIGHT(INDIRECT(ADDRESS(ROW(D453)-1, Source!$E453)), Source!$C453), D452))</f>
        <v/>
      </c>
      <c r="E453" s="2" t="str">
        <f>IF(Source!$E453=COLUMNS($A453:E453), LEFT(E452, LEN(E452)-Source!$C453), IF(Source!$G453=COLUMNS($A453:E453), E452&amp;RIGHT(INDIRECT(ADDRESS(ROW(E453)-1, Source!$E453)), Source!$C453), E452))</f>
        <v>LDTPMCP</v>
      </c>
      <c r="F453" s="2" t="str">
        <f>IF(Source!$E453=COLUMNS($A453:F453), LEFT(F452, LEN(F452)-Source!$C453), IF(Source!$G453=COLUMNS($A453:F453), F452&amp;RIGHT(INDIRECT(ADDRESS(ROW(F453)-1, Source!$E453)), Source!$C453), F452))</f>
        <v>BTTCDWLMTRTRJTLBRSFQV</v>
      </c>
      <c r="G453" s="2" t="str">
        <f>IF(Source!$E453=COLUMNS($A453:G453), LEFT(G452, LEN(G452)-Source!$C453), IF(Source!$G453=COLUMNS($A453:G453), G452&amp;RIGHT(INDIRECT(ADDRESS(ROW(G453)-1, Source!$E453)), Source!$C453), G452))</f>
        <v/>
      </c>
      <c r="H453" s="2" t="str">
        <f>IF(Source!$E453=COLUMNS($A453:H453), LEFT(H452, LEN(H452)-Source!$C453), IF(Source!$G453=COLUMNS($A453:H453), H452&amp;RIGHT(INDIRECT(ADDRESS(ROW(H453)-1, Source!$E453)), Source!$C453), H452))</f>
        <v/>
      </c>
      <c r="I453" s="2" t="str">
        <f>IF(Source!$E453=COLUMNS($A453:I453), LEFT(I452, LEN(I452)-Source!$C453), IF(Source!$G453=COLUMNS($A453:I453), I452&amp;RIGHT(INDIRECT(ADDRESS(ROW(I453)-1, Source!$E453)), Source!$C453), I452))</f>
        <v>DHR</v>
      </c>
    </row>
    <row r="454">
      <c r="A454" s="2" t="str">
        <f>IF(Source!$E454=COLUMNS($A454:A454), LEFT(A453, LEN(A453)-Source!$C454), IF(Source!$G454=COLUMNS($A454:A454), A453&amp;RIGHT(INDIRECT(ADDRESS(ROW(A454)-1, Source!$E454)), Source!$C454), A453))</f>
        <v>CGZBZHSDZWDSP</v>
      </c>
      <c r="B454" s="2" t="str">
        <f>IF(Source!$E454=COLUMNS($A454:B454), LEFT(B453, LEN(B453)-Source!$C454), IF(Source!$G454=COLUMNS($A454:B454), B453&amp;RIGHT(INDIRECT(ADDRESS(ROW(B454)-1, Source!$E454)), Source!$C454), B453))</f>
        <v>GRVBM</v>
      </c>
      <c r="C454" s="2" t="str">
        <f>IF(Source!$E454=COLUMNS($A454:C454), LEFT(C453, LEN(C453)-Source!$C454), IF(Source!$G454=COLUMNS($A454:C454), C453&amp;RIGHT(INDIRECT(ADDRESS(ROW(C454)-1, Source!$E454)), Source!$C454), C453))</f>
        <v>FDJQSV</v>
      </c>
      <c r="D454" s="2" t="str">
        <f>IF(Source!$E454=COLUMNS($A454:D454), LEFT(D453, LEN(D453)-Source!$C454), IF(Source!$G454=COLUMNS($A454:D454), D453&amp;RIGHT(INDIRECT(ADDRESS(ROW(D454)-1, Source!$E454)), Source!$C454), D453))</f>
        <v/>
      </c>
      <c r="E454" s="2" t="str">
        <f>IF(Source!$E454=COLUMNS($A454:E454), LEFT(E453, LEN(E453)-Source!$C454), IF(Source!$G454=COLUMNS($A454:E454), E453&amp;RIGHT(INDIRECT(ADDRESS(ROW(E454)-1, Source!$E454)), Source!$C454), E453))</f>
        <v>LDTPMCP</v>
      </c>
      <c r="F454" s="2" t="str">
        <f>IF(Source!$E454=COLUMNS($A454:F454), LEFT(F453, LEN(F453)-Source!$C454), IF(Source!$G454=COLUMNS($A454:F454), F453&amp;RIGHT(INDIRECT(ADDRESS(ROW(F454)-1, Source!$E454)), Source!$C454), F453))</f>
        <v>BTTCDWLMTRTRJTLBRSFQV</v>
      </c>
      <c r="G454" s="2" t="str">
        <f>IF(Source!$E454=COLUMNS($A454:G454), LEFT(G453, LEN(G453)-Source!$C454), IF(Source!$G454=COLUMNS($A454:G454), G453&amp;RIGHT(INDIRECT(ADDRESS(ROW(G454)-1, Source!$E454)), Source!$C454), G453))</f>
        <v>J</v>
      </c>
      <c r="H454" s="2" t="str">
        <f>IF(Source!$E454=COLUMNS($A454:H454), LEFT(H453, LEN(H453)-Source!$C454), IF(Source!$G454=COLUMNS($A454:H454), H453&amp;RIGHT(INDIRECT(ADDRESS(ROW(H454)-1, Source!$E454)), Source!$C454), H453))</f>
        <v/>
      </c>
      <c r="I454" s="2" t="str">
        <f>IF(Source!$E454=COLUMNS($A454:I454), LEFT(I453, LEN(I453)-Source!$C454), IF(Source!$G454=COLUMNS($A454:I454), I453&amp;RIGHT(INDIRECT(ADDRESS(ROW(I454)-1, Source!$E454)), Source!$C454), I453))</f>
        <v>DHR</v>
      </c>
    </row>
    <row r="455">
      <c r="A455" s="2" t="str">
        <f>IF(Source!$E455=COLUMNS($A455:A455), LEFT(A454, LEN(A454)-Source!$C455), IF(Source!$G455=COLUMNS($A455:A455), A454&amp;RIGHT(INDIRECT(ADDRESS(ROW(A455)-1, Source!$E455)), Source!$C455), A454))</f>
        <v>CGZBZHSDZWDSP</v>
      </c>
      <c r="B455" s="2" t="str">
        <f>IF(Source!$E455=COLUMNS($A455:B455), LEFT(B454, LEN(B454)-Source!$C455), IF(Source!$G455=COLUMNS($A455:B455), B454&amp;RIGHT(INDIRECT(ADDRESS(ROW(B455)-1, Source!$E455)), Source!$C455), B454))</f>
        <v>GRVBM</v>
      </c>
      <c r="C455" s="2" t="str">
        <f>IF(Source!$E455=COLUMNS($A455:C455), LEFT(C454, LEN(C454)-Source!$C455), IF(Source!$G455=COLUMNS($A455:C455), C454&amp;RIGHT(INDIRECT(ADDRESS(ROW(C455)-1, Source!$E455)), Source!$C455), C454))</f>
        <v>FDJQSVJ</v>
      </c>
      <c r="D455" s="2" t="str">
        <f>IF(Source!$E455=COLUMNS($A455:D455), LEFT(D454, LEN(D454)-Source!$C455), IF(Source!$G455=COLUMNS($A455:D455), D454&amp;RIGHT(INDIRECT(ADDRESS(ROW(D455)-1, Source!$E455)), Source!$C455), D454))</f>
        <v/>
      </c>
      <c r="E455" s="2" t="str">
        <f>IF(Source!$E455=COLUMNS($A455:E455), LEFT(E454, LEN(E454)-Source!$C455), IF(Source!$G455=COLUMNS($A455:E455), E454&amp;RIGHT(INDIRECT(ADDRESS(ROW(E455)-1, Source!$E455)), Source!$C455), E454))</f>
        <v>LDTPMCP</v>
      </c>
      <c r="F455" s="2" t="str">
        <f>IF(Source!$E455=COLUMNS($A455:F455), LEFT(F454, LEN(F454)-Source!$C455), IF(Source!$G455=COLUMNS($A455:F455), F454&amp;RIGHT(INDIRECT(ADDRESS(ROW(F455)-1, Source!$E455)), Source!$C455), F454))</f>
        <v>BTTCDWLMTRTRJTLBRSFQV</v>
      </c>
      <c r="G455" s="2" t="str">
        <f>IF(Source!$E455=COLUMNS($A455:G455), LEFT(G454, LEN(G454)-Source!$C455), IF(Source!$G455=COLUMNS($A455:G455), G454&amp;RIGHT(INDIRECT(ADDRESS(ROW(G455)-1, Source!$E455)), Source!$C455), G454))</f>
        <v/>
      </c>
      <c r="H455" s="2" t="str">
        <f>IF(Source!$E455=COLUMNS($A455:H455), LEFT(H454, LEN(H454)-Source!$C455), IF(Source!$G455=COLUMNS($A455:H455), H454&amp;RIGHT(INDIRECT(ADDRESS(ROW(H455)-1, Source!$E455)), Source!$C455), H454))</f>
        <v/>
      </c>
      <c r="I455" s="2" t="str">
        <f>IF(Source!$E455=COLUMNS($A455:I455), LEFT(I454, LEN(I454)-Source!$C455), IF(Source!$G455=COLUMNS($A455:I455), I454&amp;RIGHT(INDIRECT(ADDRESS(ROW(I455)-1, Source!$E455)), Source!$C455), I454))</f>
        <v>DHR</v>
      </c>
    </row>
    <row r="456">
      <c r="A456" s="2" t="str">
        <f>IF(Source!$E456=COLUMNS($A456:A456), LEFT(A455, LEN(A455)-Source!$C456), IF(Source!$G456=COLUMNS($A456:A456), A455&amp;RIGHT(INDIRECT(ADDRESS(ROW(A456)-1, Source!$E456)), Source!$C456), A455))</f>
        <v>CGZBZHSDZWDSP</v>
      </c>
      <c r="B456" s="2" t="str">
        <f>IF(Source!$E456=COLUMNS($A456:B456), LEFT(B455, LEN(B455)-Source!$C456), IF(Source!$G456=COLUMNS($A456:B456), B455&amp;RIGHT(INDIRECT(ADDRESS(ROW(B456)-1, Source!$E456)), Source!$C456), B455))</f>
        <v>GRVBMJ</v>
      </c>
      <c r="C456" s="2" t="str">
        <f>IF(Source!$E456=COLUMNS($A456:C456), LEFT(C455, LEN(C455)-Source!$C456), IF(Source!$G456=COLUMNS($A456:C456), C455&amp;RIGHT(INDIRECT(ADDRESS(ROW(C456)-1, Source!$E456)), Source!$C456), C455))</f>
        <v>FDJQSV</v>
      </c>
      <c r="D456" s="2" t="str">
        <f>IF(Source!$E456=COLUMNS($A456:D456), LEFT(D455, LEN(D455)-Source!$C456), IF(Source!$G456=COLUMNS($A456:D456), D455&amp;RIGHT(INDIRECT(ADDRESS(ROW(D456)-1, Source!$E456)), Source!$C456), D455))</f>
        <v/>
      </c>
      <c r="E456" s="2" t="str">
        <f>IF(Source!$E456=COLUMNS($A456:E456), LEFT(E455, LEN(E455)-Source!$C456), IF(Source!$G456=COLUMNS($A456:E456), E455&amp;RIGHT(INDIRECT(ADDRESS(ROW(E456)-1, Source!$E456)), Source!$C456), E455))</f>
        <v>LDTPMCP</v>
      </c>
      <c r="F456" s="2" t="str">
        <f>IF(Source!$E456=COLUMNS($A456:F456), LEFT(F455, LEN(F455)-Source!$C456), IF(Source!$G456=COLUMNS($A456:F456), F455&amp;RIGHT(INDIRECT(ADDRESS(ROW(F456)-1, Source!$E456)), Source!$C456), F455))</f>
        <v>BTTCDWLMTRTRJTLBRSFQV</v>
      </c>
      <c r="G456" s="2" t="str">
        <f>IF(Source!$E456=COLUMNS($A456:G456), LEFT(G455, LEN(G455)-Source!$C456), IF(Source!$G456=COLUMNS($A456:G456), G455&amp;RIGHT(INDIRECT(ADDRESS(ROW(G456)-1, Source!$E456)), Source!$C456), G455))</f>
        <v/>
      </c>
      <c r="H456" s="2" t="str">
        <f>IF(Source!$E456=COLUMNS($A456:H456), LEFT(H455, LEN(H455)-Source!$C456), IF(Source!$G456=COLUMNS($A456:H456), H455&amp;RIGHT(INDIRECT(ADDRESS(ROW(H456)-1, Source!$E456)), Source!$C456), H455))</f>
        <v/>
      </c>
      <c r="I456" s="2" t="str">
        <f>IF(Source!$E456=COLUMNS($A456:I456), LEFT(I455, LEN(I455)-Source!$C456), IF(Source!$G456=COLUMNS($A456:I456), I455&amp;RIGHT(INDIRECT(ADDRESS(ROW(I456)-1, Source!$E456)), Source!$C456), I455))</f>
        <v>DHR</v>
      </c>
    </row>
    <row r="457">
      <c r="A457" s="2" t="str">
        <f>IF(Source!$E457=COLUMNS($A457:A457), LEFT(A456, LEN(A456)-Source!$C457), IF(Source!$G457=COLUMNS($A457:A457), A456&amp;RIGHT(INDIRECT(ADDRESS(ROW(A457)-1, Source!$E457)), Source!$C457), A456))</f>
        <v>CGZBZ</v>
      </c>
      <c r="B457" s="2" t="str">
        <f>IF(Source!$E457=COLUMNS($A457:B457), LEFT(B456, LEN(B456)-Source!$C457), IF(Source!$G457=COLUMNS($A457:B457), B456&amp;RIGHT(INDIRECT(ADDRESS(ROW(B457)-1, Source!$E457)), Source!$C457), B456))</f>
        <v>GRVBMJ</v>
      </c>
      <c r="C457" s="2" t="str">
        <f>IF(Source!$E457=COLUMNS($A457:C457), LEFT(C456, LEN(C456)-Source!$C457), IF(Source!$G457=COLUMNS($A457:C457), C456&amp;RIGHT(INDIRECT(ADDRESS(ROW(C457)-1, Source!$E457)), Source!$C457), C456))</f>
        <v>FDJQSV</v>
      </c>
      <c r="D457" s="2" t="str">
        <f>IF(Source!$E457=COLUMNS($A457:D457), LEFT(D456, LEN(D456)-Source!$C457), IF(Source!$G457=COLUMNS($A457:D457), D456&amp;RIGHT(INDIRECT(ADDRESS(ROW(D457)-1, Source!$E457)), Source!$C457), D456))</f>
        <v>HSDZWDSP</v>
      </c>
      <c r="E457" s="2" t="str">
        <f>IF(Source!$E457=COLUMNS($A457:E457), LEFT(E456, LEN(E456)-Source!$C457), IF(Source!$G457=COLUMNS($A457:E457), E456&amp;RIGHT(INDIRECT(ADDRESS(ROW(E457)-1, Source!$E457)), Source!$C457), E456))</f>
        <v>LDTPMCP</v>
      </c>
      <c r="F457" s="2" t="str">
        <f>IF(Source!$E457=COLUMNS($A457:F457), LEFT(F456, LEN(F456)-Source!$C457), IF(Source!$G457=COLUMNS($A457:F457), F456&amp;RIGHT(INDIRECT(ADDRESS(ROW(F457)-1, Source!$E457)), Source!$C457), F456))</f>
        <v>BTTCDWLMTRTRJTLBRSFQV</v>
      </c>
      <c r="G457" s="2" t="str">
        <f>IF(Source!$E457=COLUMNS($A457:G457), LEFT(G456, LEN(G456)-Source!$C457), IF(Source!$G457=COLUMNS($A457:G457), G456&amp;RIGHT(INDIRECT(ADDRESS(ROW(G457)-1, Source!$E457)), Source!$C457), G456))</f>
        <v/>
      </c>
      <c r="H457" s="2" t="str">
        <f>IF(Source!$E457=COLUMNS($A457:H457), LEFT(H456, LEN(H456)-Source!$C457), IF(Source!$G457=COLUMNS($A457:H457), H456&amp;RIGHT(INDIRECT(ADDRESS(ROW(H457)-1, Source!$E457)), Source!$C457), H456))</f>
        <v/>
      </c>
      <c r="I457" s="2" t="str">
        <f>IF(Source!$E457=COLUMNS($A457:I457), LEFT(I456, LEN(I456)-Source!$C457), IF(Source!$G457=COLUMNS($A457:I457), I456&amp;RIGHT(INDIRECT(ADDRESS(ROW(I457)-1, Source!$E457)), Source!$C457), I456))</f>
        <v>DHR</v>
      </c>
    </row>
    <row r="458">
      <c r="A458" s="2" t="str">
        <f>IF(Source!$E458=COLUMNS($A458:A458), LEFT(A457, LEN(A457)-Source!$C458), IF(Source!$G458=COLUMNS($A458:A458), A457&amp;RIGHT(INDIRECT(ADDRESS(ROW(A458)-1, Source!$E458)), Source!$C458), A457))</f>
        <v>CGZBZ</v>
      </c>
      <c r="B458" s="2" t="str">
        <f>IF(Source!$E458=COLUMNS($A458:B458), LEFT(B457, LEN(B457)-Source!$C458), IF(Source!$G458=COLUMNS($A458:B458), B457&amp;RIGHT(INDIRECT(ADDRESS(ROW(B458)-1, Source!$E458)), Source!$C458), B457))</f>
        <v>GRVBMJR</v>
      </c>
      <c r="C458" s="2" t="str">
        <f>IF(Source!$E458=COLUMNS($A458:C458), LEFT(C457, LEN(C457)-Source!$C458), IF(Source!$G458=COLUMNS($A458:C458), C457&amp;RIGHT(INDIRECT(ADDRESS(ROW(C458)-1, Source!$E458)), Source!$C458), C457))</f>
        <v>FDJQSV</v>
      </c>
      <c r="D458" s="2" t="str">
        <f>IF(Source!$E458=COLUMNS($A458:D458), LEFT(D457, LEN(D457)-Source!$C458), IF(Source!$G458=COLUMNS($A458:D458), D457&amp;RIGHT(INDIRECT(ADDRESS(ROW(D458)-1, Source!$E458)), Source!$C458), D457))</f>
        <v>HSDZWDSP</v>
      </c>
      <c r="E458" s="2" t="str">
        <f>IF(Source!$E458=COLUMNS($A458:E458), LEFT(E457, LEN(E457)-Source!$C458), IF(Source!$G458=COLUMNS($A458:E458), E457&amp;RIGHT(INDIRECT(ADDRESS(ROW(E458)-1, Source!$E458)), Source!$C458), E457))</f>
        <v>LDTPMCP</v>
      </c>
      <c r="F458" s="2" t="str">
        <f>IF(Source!$E458=COLUMNS($A458:F458), LEFT(F457, LEN(F457)-Source!$C458), IF(Source!$G458=COLUMNS($A458:F458), F457&amp;RIGHT(INDIRECT(ADDRESS(ROW(F458)-1, Source!$E458)), Source!$C458), F457))</f>
        <v>BTTCDWLMTRTRJTLBRSFQV</v>
      </c>
      <c r="G458" s="2" t="str">
        <f>IF(Source!$E458=COLUMNS($A458:G458), LEFT(G457, LEN(G457)-Source!$C458), IF(Source!$G458=COLUMNS($A458:G458), G457&amp;RIGHT(INDIRECT(ADDRESS(ROW(G458)-1, Source!$E458)), Source!$C458), G457))</f>
        <v/>
      </c>
      <c r="H458" s="2" t="str">
        <f>IF(Source!$E458=COLUMNS($A458:H458), LEFT(H457, LEN(H457)-Source!$C458), IF(Source!$G458=COLUMNS($A458:H458), H457&amp;RIGHT(INDIRECT(ADDRESS(ROW(H458)-1, Source!$E458)), Source!$C458), H457))</f>
        <v/>
      </c>
      <c r="I458" s="2" t="str">
        <f>IF(Source!$E458=COLUMNS($A458:I458), LEFT(I457, LEN(I457)-Source!$C458), IF(Source!$G458=COLUMNS($A458:I458), I457&amp;RIGHT(INDIRECT(ADDRESS(ROW(I458)-1, Source!$E458)), Source!$C458), I457))</f>
        <v>DH</v>
      </c>
    </row>
    <row r="459">
      <c r="A459" s="2" t="str">
        <f>IF(Source!$E459=COLUMNS($A459:A459), LEFT(A458, LEN(A458)-Source!$C459), IF(Source!$G459=COLUMNS($A459:A459), A458&amp;RIGHT(INDIRECT(ADDRESS(ROW(A459)-1, Source!$E459)), Source!$C459), A458))</f>
        <v>CGZBZ</v>
      </c>
      <c r="B459" s="2" t="str">
        <f>IF(Source!$E459=COLUMNS($A459:B459), LEFT(B458, LEN(B458)-Source!$C459), IF(Source!$G459=COLUMNS($A459:B459), B458&amp;RIGHT(INDIRECT(ADDRESS(ROW(B459)-1, Source!$E459)), Source!$C459), B458))</f>
        <v>GRVBMJR</v>
      </c>
      <c r="C459" s="2" t="str">
        <f>IF(Source!$E459=COLUMNS($A459:C459), LEFT(C458, LEN(C458)-Source!$C459), IF(Source!$G459=COLUMNS($A459:C459), C458&amp;RIGHT(INDIRECT(ADDRESS(ROW(C459)-1, Source!$E459)), Source!$C459), C458))</f>
        <v>FDJQSV</v>
      </c>
      <c r="D459" s="2" t="str">
        <f>IF(Source!$E459=COLUMNS($A459:D459), LEFT(D458, LEN(D458)-Source!$C459), IF(Source!$G459=COLUMNS($A459:D459), D458&amp;RIGHT(INDIRECT(ADDRESS(ROW(D459)-1, Source!$E459)), Source!$C459), D458))</f>
        <v>H</v>
      </c>
      <c r="E459" s="2" t="str">
        <f>IF(Source!$E459=COLUMNS($A459:E459), LEFT(E458, LEN(E458)-Source!$C459), IF(Source!$G459=COLUMNS($A459:E459), E458&amp;RIGHT(INDIRECT(ADDRESS(ROW(E459)-1, Source!$E459)), Source!$C459), E458))</f>
        <v>LDTPMCP</v>
      </c>
      <c r="F459" s="2" t="str">
        <f>IF(Source!$E459=COLUMNS($A459:F459), LEFT(F458, LEN(F458)-Source!$C459), IF(Source!$G459=COLUMNS($A459:F459), F458&amp;RIGHT(INDIRECT(ADDRESS(ROW(F459)-1, Source!$E459)), Source!$C459), F458))</f>
        <v>BTTCDWLMTRTRJTLBRSFQV</v>
      </c>
      <c r="G459" s="2" t="str">
        <f>IF(Source!$E459=COLUMNS($A459:G459), LEFT(G458, LEN(G458)-Source!$C459), IF(Source!$G459=COLUMNS($A459:G459), G458&amp;RIGHT(INDIRECT(ADDRESS(ROW(G459)-1, Source!$E459)), Source!$C459), G458))</f>
        <v/>
      </c>
      <c r="H459" s="2" t="str">
        <f>IF(Source!$E459=COLUMNS($A459:H459), LEFT(H458, LEN(H458)-Source!$C459), IF(Source!$G459=COLUMNS($A459:H459), H458&amp;RIGHT(INDIRECT(ADDRESS(ROW(H459)-1, Source!$E459)), Source!$C459), H458))</f>
        <v>SDZWDSP</v>
      </c>
      <c r="I459" s="2" t="str">
        <f>IF(Source!$E459=COLUMNS($A459:I459), LEFT(I458, LEN(I458)-Source!$C459), IF(Source!$G459=COLUMNS($A459:I459), I458&amp;RIGHT(INDIRECT(ADDRESS(ROW(I459)-1, Source!$E459)), Source!$C459), I458))</f>
        <v>DH</v>
      </c>
    </row>
    <row r="460">
      <c r="A460" s="2" t="str">
        <f>IF(Source!$E460=COLUMNS($A460:A460), LEFT(A459, LEN(A459)-Source!$C460), IF(Source!$G460=COLUMNS($A460:A460), A459&amp;RIGHT(INDIRECT(ADDRESS(ROW(A460)-1, Source!$E460)), Source!$C460), A459))</f>
        <v>CGZBZ</v>
      </c>
      <c r="B460" s="2" t="str">
        <f>IF(Source!$E460=COLUMNS($A460:B460), LEFT(B459, LEN(B459)-Source!$C460), IF(Source!$G460=COLUMNS($A460:B460), B459&amp;RIGHT(INDIRECT(ADDRESS(ROW(B460)-1, Source!$E460)), Source!$C460), B459))</f>
        <v>GRVBMJR</v>
      </c>
      <c r="C460" s="2" t="str">
        <f>IF(Source!$E460=COLUMNS($A460:C460), LEFT(C459, LEN(C459)-Source!$C460), IF(Source!$G460=COLUMNS($A460:C460), C459&amp;RIGHT(INDIRECT(ADDRESS(ROW(C460)-1, Source!$E460)), Source!$C460), C459))</f>
        <v>FDJ</v>
      </c>
      <c r="D460" s="2" t="str">
        <f>IF(Source!$E460=COLUMNS($A460:D460), LEFT(D459, LEN(D459)-Source!$C460), IF(Source!$G460=COLUMNS($A460:D460), D459&amp;RIGHT(INDIRECT(ADDRESS(ROW(D460)-1, Source!$E460)), Source!$C460), D459))</f>
        <v>H</v>
      </c>
      <c r="E460" s="2" t="str">
        <f>IF(Source!$E460=COLUMNS($A460:E460), LEFT(E459, LEN(E459)-Source!$C460), IF(Source!$G460=COLUMNS($A460:E460), E459&amp;RIGHT(INDIRECT(ADDRESS(ROW(E460)-1, Source!$E460)), Source!$C460), E459))</f>
        <v>LDTPMCP</v>
      </c>
      <c r="F460" s="2" t="str">
        <f>IF(Source!$E460=COLUMNS($A460:F460), LEFT(F459, LEN(F459)-Source!$C460), IF(Source!$G460=COLUMNS($A460:F460), F459&amp;RIGHT(INDIRECT(ADDRESS(ROW(F460)-1, Source!$E460)), Source!$C460), F459))</f>
        <v>BTTCDWLMTRTRJTLBRSFQV</v>
      </c>
      <c r="G460" s="2" t="str">
        <f>IF(Source!$E460=COLUMNS($A460:G460), LEFT(G459, LEN(G459)-Source!$C460), IF(Source!$G460=COLUMNS($A460:G460), G459&amp;RIGHT(INDIRECT(ADDRESS(ROW(G460)-1, Source!$E460)), Source!$C460), G459))</f>
        <v/>
      </c>
      <c r="H460" s="2" t="str">
        <f>IF(Source!$E460=COLUMNS($A460:H460), LEFT(H459, LEN(H459)-Source!$C460), IF(Source!$G460=COLUMNS($A460:H460), H459&amp;RIGHT(INDIRECT(ADDRESS(ROW(H460)-1, Source!$E460)), Source!$C460), H459))</f>
        <v>SDZWDSP</v>
      </c>
      <c r="I460" s="2" t="str">
        <f>IF(Source!$E460=COLUMNS($A460:I460), LEFT(I459, LEN(I459)-Source!$C460), IF(Source!$G460=COLUMNS($A460:I460), I459&amp;RIGHT(INDIRECT(ADDRESS(ROW(I460)-1, Source!$E460)), Source!$C460), I459))</f>
        <v>DHQSV</v>
      </c>
    </row>
    <row r="461">
      <c r="A461" s="2" t="str">
        <f>IF(Source!$E461=COLUMNS($A461:A461), LEFT(A460, LEN(A460)-Source!$C461), IF(Source!$G461=COLUMNS($A461:A461), A460&amp;RIGHT(INDIRECT(ADDRESS(ROW(A461)-1, Source!$E461)), Source!$C461), A460))</f>
        <v>CGZBZ</v>
      </c>
      <c r="B461" s="2" t="str">
        <f>IF(Source!$E461=COLUMNS($A461:B461), LEFT(B460, LEN(B460)-Source!$C461), IF(Source!$G461=COLUMNS($A461:B461), B460&amp;RIGHT(INDIRECT(ADDRESS(ROW(B461)-1, Source!$E461)), Source!$C461), B460))</f>
        <v>GRVBMJR</v>
      </c>
      <c r="C461" s="2" t="str">
        <f>IF(Source!$E461=COLUMNS($A461:C461), LEFT(C460, LEN(C460)-Source!$C461), IF(Source!$G461=COLUMNS($A461:C461), C460&amp;RIGHT(INDIRECT(ADDRESS(ROW(C461)-1, Source!$E461)), Source!$C461), C460))</f>
        <v/>
      </c>
      <c r="D461" s="2" t="str">
        <f>IF(Source!$E461=COLUMNS($A461:D461), LEFT(D460, LEN(D460)-Source!$C461), IF(Source!$G461=COLUMNS($A461:D461), D460&amp;RIGHT(INDIRECT(ADDRESS(ROW(D461)-1, Source!$E461)), Source!$C461), D460))</f>
        <v>H</v>
      </c>
      <c r="E461" s="2" t="str">
        <f>IF(Source!$E461=COLUMNS($A461:E461), LEFT(E460, LEN(E460)-Source!$C461), IF(Source!$G461=COLUMNS($A461:E461), E460&amp;RIGHT(INDIRECT(ADDRESS(ROW(E461)-1, Source!$E461)), Source!$C461), E460))</f>
        <v>LDTPMCPFDJ</v>
      </c>
      <c r="F461" s="2" t="str">
        <f>IF(Source!$E461=COLUMNS($A461:F461), LEFT(F460, LEN(F460)-Source!$C461), IF(Source!$G461=COLUMNS($A461:F461), F460&amp;RIGHT(INDIRECT(ADDRESS(ROW(F461)-1, Source!$E461)), Source!$C461), F460))</f>
        <v>BTTCDWLMTRTRJTLBRSFQV</v>
      </c>
      <c r="G461" s="2" t="str">
        <f>IF(Source!$E461=COLUMNS($A461:G461), LEFT(G460, LEN(G460)-Source!$C461), IF(Source!$G461=COLUMNS($A461:G461), G460&amp;RIGHT(INDIRECT(ADDRESS(ROW(G461)-1, Source!$E461)), Source!$C461), G460))</f>
        <v/>
      </c>
      <c r="H461" s="2" t="str">
        <f>IF(Source!$E461=COLUMNS($A461:H461), LEFT(H460, LEN(H460)-Source!$C461), IF(Source!$G461=COLUMNS($A461:H461), H460&amp;RIGHT(INDIRECT(ADDRESS(ROW(H461)-1, Source!$E461)), Source!$C461), H460))</f>
        <v>SDZWDSP</v>
      </c>
      <c r="I461" s="2" t="str">
        <f>IF(Source!$E461=COLUMNS($A461:I461), LEFT(I460, LEN(I460)-Source!$C461), IF(Source!$G461=COLUMNS($A461:I461), I460&amp;RIGHT(INDIRECT(ADDRESS(ROW(I461)-1, Source!$E461)), Source!$C461), I460))</f>
        <v>DHQSV</v>
      </c>
    </row>
    <row r="462">
      <c r="A462" s="2" t="str">
        <f>IF(Source!$E462=COLUMNS($A462:A462), LEFT(A461, LEN(A461)-Source!$C462), IF(Source!$G462=COLUMNS($A462:A462), A461&amp;RIGHT(INDIRECT(ADDRESS(ROW(A462)-1, Source!$E462)), Source!$C462), A461))</f>
        <v>CGZBZ</v>
      </c>
      <c r="B462" s="2" t="str">
        <f>IF(Source!$E462=COLUMNS($A462:B462), LEFT(B461, LEN(B461)-Source!$C462), IF(Source!$G462=COLUMNS($A462:B462), B461&amp;RIGHT(INDIRECT(ADDRESS(ROW(B462)-1, Source!$E462)), Source!$C462), B461))</f>
        <v>GRV</v>
      </c>
      <c r="C462" s="2" t="str">
        <f>IF(Source!$E462=COLUMNS($A462:C462), LEFT(C461, LEN(C461)-Source!$C462), IF(Source!$G462=COLUMNS($A462:C462), C461&amp;RIGHT(INDIRECT(ADDRESS(ROW(C462)-1, Source!$E462)), Source!$C462), C461))</f>
        <v>BMJR</v>
      </c>
      <c r="D462" s="2" t="str">
        <f>IF(Source!$E462=COLUMNS($A462:D462), LEFT(D461, LEN(D461)-Source!$C462), IF(Source!$G462=COLUMNS($A462:D462), D461&amp;RIGHT(INDIRECT(ADDRESS(ROW(D462)-1, Source!$E462)), Source!$C462), D461))</f>
        <v>H</v>
      </c>
      <c r="E462" s="2" t="str">
        <f>IF(Source!$E462=COLUMNS($A462:E462), LEFT(E461, LEN(E461)-Source!$C462), IF(Source!$G462=COLUMNS($A462:E462), E461&amp;RIGHT(INDIRECT(ADDRESS(ROW(E462)-1, Source!$E462)), Source!$C462), E461))</f>
        <v>LDTPMCPFDJ</v>
      </c>
      <c r="F462" s="2" t="str">
        <f>IF(Source!$E462=COLUMNS($A462:F462), LEFT(F461, LEN(F461)-Source!$C462), IF(Source!$G462=COLUMNS($A462:F462), F461&amp;RIGHT(INDIRECT(ADDRESS(ROW(F462)-1, Source!$E462)), Source!$C462), F461))</f>
        <v>BTTCDWLMTRTRJTLBRSFQV</v>
      </c>
      <c r="G462" s="2" t="str">
        <f>IF(Source!$E462=COLUMNS($A462:G462), LEFT(G461, LEN(G461)-Source!$C462), IF(Source!$G462=COLUMNS($A462:G462), G461&amp;RIGHT(INDIRECT(ADDRESS(ROW(G462)-1, Source!$E462)), Source!$C462), G461))</f>
        <v/>
      </c>
      <c r="H462" s="2" t="str">
        <f>IF(Source!$E462=COLUMNS($A462:H462), LEFT(H461, LEN(H461)-Source!$C462), IF(Source!$G462=COLUMNS($A462:H462), H461&amp;RIGHT(INDIRECT(ADDRESS(ROW(H462)-1, Source!$E462)), Source!$C462), H461))</f>
        <v>SDZWDSP</v>
      </c>
      <c r="I462" s="2" t="str">
        <f>IF(Source!$E462=COLUMNS($A462:I462), LEFT(I461, LEN(I461)-Source!$C462), IF(Source!$G462=COLUMNS($A462:I462), I461&amp;RIGHT(INDIRECT(ADDRESS(ROW(I462)-1, Source!$E462)), Source!$C462), I461))</f>
        <v>DHQSV</v>
      </c>
    </row>
    <row r="463">
      <c r="A463" s="2" t="str">
        <f>IF(Source!$E463=COLUMNS($A463:A463), LEFT(A462, LEN(A462)-Source!$C463), IF(Source!$G463=COLUMNS($A463:A463), A462&amp;RIGHT(INDIRECT(ADDRESS(ROW(A463)-1, Source!$E463)), Source!$C463), A462))</f>
        <v>CGZB</v>
      </c>
      <c r="B463" s="2" t="str">
        <f>IF(Source!$E463=COLUMNS($A463:B463), LEFT(B462, LEN(B462)-Source!$C463), IF(Source!$G463=COLUMNS($A463:B463), B462&amp;RIGHT(INDIRECT(ADDRESS(ROW(B463)-1, Source!$E463)), Source!$C463), B462))</f>
        <v>GRV</v>
      </c>
      <c r="C463" s="2" t="str">
        <f>IF(Source!$E463=COLUMNS($A463:C463), LEFT(C462, LEN(C462)-Source!$C463), IF(Source!$G463=COLUMNS($A463:C463), C462&amp;RIGHT(INDIRECT(ADDRESS(ROW(C463)-1, Source!$E463)), Source!$C463), C462))</f>
        <v>BMJRZ</v>
      </c>
      <c r="D463" s="2" t="str">
        <f>IF(Source!$E463=COLUMNS($A463:D463), LEFT(D462, LEN(D462)-Source!$C463), IF(Source!$G463=COLUMNS($A463:D463), D462&amp;RIGHT(INDIRECT(ADDRESS(ROW(D463)-1, Source!$E463)), Source!$C463), D462))</f>
        <v>H</v>
      </c>
      <c r="E463" s="2" t="str">
        <f>IF(Source!$E463=COLUMNS($A463:E463), LEFT(E462, LEN(E462)-Source!$C463), IF(Source!$G463=COLUMNS($A463:E463), E462&amp;RIGHT(INDIRECT(ADDRESS(ROW(E463)-1, Source!$E463)), Source!$C463), E462))</f>
        <v>LDTPMCPFDJ</v>
      </c>
      <c r="F463" s="2" t="str">
        <f>IF(Source!$E463=COLUMNS($A463:F463), LEFT(F462, LEN(F462)-Source!$C463), IF(Source!$G463=COLUMNS($A463:F463), F462&amp;RIGHT(INDIRECT(ADDRESS(ROW(F463)-1, Source!$E463)), Source!$C463), F462))</f>
        <v>BTTCDWLMTRTRJTLBRSFQV</v>
      </c>
      <c r="G463" s="2" t="str">
        <f>IF(Source!$E463=COLUMNS($A463:G463), LEFT(G462, LEN(G462)-Source!$C463), IF(Source!$G463=COLUMNS($A463:G463), G462&amp;RIGHT(INDIRECT(ADDRESS(ROW(G463)-1, Source!$E463)), Source!$C463), G462))</f>
        <v/>
      </c>
      <c r="H463" s="2" t="str">
        <f>IF(Source!$E463=COLUMNS($A463:H463), LEFT(H462, LEN(H462)-Source!$C463), IF(Source!$G463=COLUMNS($A463:H463), H462&amp;RIGHT(INDIRECT(ADDRESS(ROW(H463)-1, Source!$E463)), Source!$C463), H462))</f>
        <v>SDZWDSP</v>
      </c>
      <c r="I463" s="2" t="str">
        <f>IF(Source!$E463=COLUMNS($A463:I463), LEFT(I462, LEN(I462)-Source!$C463), IF(Source!$G463=COLUMNS($A463:I463), I462&amp;RIGHT(INDIRECT(ADDRESS(ROW(I463)-1, Source!$E463)), Source!$C463), I462))</f>
        <v>DHQSV</v>
      </c>
    </row>
    <row r="464">
      <c r="A464" s="2" t="str">
        <f>IF(Source!$E464=COLUMNS($A464:A464), LEFT(A463, LEN(A463)-Source!$C464), IF(Source!$G464=COLUMNS($A464:A464), A463&amp;RIGHT(INDIRECT(ADDRESS(ROW(A464)-1, Source!$E464)), Source!$C464), A463))</f>
        <v>CGZB</v>
      </c>
      <c r="B464" s="2" t="str">
        <f>IF(Source!$E464=COLUMNS($A464:B464), LEFT(B463, LEN(B463)-Source!$C464), IF(Source!$G464=COLUMNS($A464:B464), B463&amp;RIGHT(INDIRECT(ADDRESS(ROW(B464)-1, Source!$E464)), Source!$C464), B463))</f>
        <v>GRV</v>
      </c>
      <c r="C464" s="2" t="str">
        <f>IF(Source!$E464=COLUMNS($A464:C464), LEFT(C463, LEN(C463)-Source!$C464), IF(Source!$G464=COLUMNS($A464:C464), C463&amp;RIGHT(INDIRECT(ADDRESS(ROW(C464)-1, Source!$E464)), Source!$C464), C463))</f>
        <v>BMJRZ</v>
      </c>
      <c r="D464" s="2" t="str">
        <f>IF(Source!$E464=COLUMNS($A464:D464), LEFT(D463, LEN(D463)-Source!$C464), IF(Source!$G464=COLUMNS($A464:D464), D463&amp;RIGHT(INDIRECT(ADDRESS(ROW(D464)-1, Source!$E464)), Source!$C464), D463))</f>
        <v>H</v>
      </c>
      <c r="E464" s="2" t="str">
        <f>IF(Source!$E464=COLUMNS($A464:E464), LEFT(E463, LEN(E463)-Source!$C464), IF(Source!$G464=COLUMNS($A464:E464), E463&amp;RIGHT(INDIRECT(ADDRESS(ROW(E464)-1, Source!$E464)), Source!$C464), E463))</f>
        <v>LDTPMCPFDJWDSP</v>
      </c>
      <c r="F464" s="2" t="str">
        <f>IF(Source!$E464=COLUMNS($A464:F464), LEFT(F463, LEN(F463)-Source!$C464), IF(Source!$G464=COLUMNS($A464:F464), F463&amp;RIGHT(INDIRECT(ADDRESS(ROW(F464)-1, Source!$E464)), Source!$C464), F463))</f>
        <v>BTTCDWLMTRTRJTLBRSFQV</v>
      </c>
      <c r="G464" s="2" t="str">
        <f>IF(Source!$E464=COLUMNS($A464:G464), LEFT(G463, LEN(G463)-Source!$C464), IF(Source!$G464=COLUMNS($A464:G464), G463&amp;RIGHT(INDIRECT(ADDRESS(ROW(G464)-1, Source!$E464)), Source!$C464), G463))</f>
        <v/>
      </c>
      <c r="H464" s="2" t="str">
        <f>IF(Source!$E464=COLUMNS($A464:H464), LEFT(H463, LEN(H463)-Source!$C464), IF(Source!$G464=COLUMNS($A464:H464), H463&amp;RIGHT(INDIRECT(ADDRESS(ROW(H464)-1, Source!$E464)), Source!$C464), H463))</f>
        <v>SDZ</v>
      </c>
      <c r="I464" s="2" t="str">
        <f>IF(Source!$E464=COLUMNS($A464:I464), LEFT(I463, LEN(I463)-Source!$C464), IF(Source!$G464=COLUMNS($A464:I464), I463&amp;RIGHT(INDIRECT(ADDRESS(ROW(I464)-1, Source!$E464)), Source!$C464), I463))</f>
        <v>DHQSV</v>
      </c>
    </row>
    <row r="465">
      <c r="A465" s="2" t="str">
        <f>IF(Source!$E465=COLUMNS($A465:A465), LEFT(A464, LEN(A464)-Source!$C465), IF(Source!$G465=COLUMNS($A465:A465), A464&amp;RIGHT(INDIRECT(ADDRESS(ROW(A465)-1, Source!$E465)), Source!$C465), A464))</f>
        <v>CGZB</v>
      </c>
      <c r="B465" s="2" t="str">
        <f>IF(Source!$E465=COLUMNS($A465:B465), LEFT(B464, LEN(B464)-Source!$C465), IF(Source!$G465=COLUMNS($A465:B465), B464&amp;RIGHT(INDIRECT(ADDRESS(ROW(B465)-1, Source!$E465)), Source!$C465), B464))</f>
        <v>GRV</v>
      </c>
      <c r="C465" s="2" t="str">
        <f>IF(Source!$E465=COLUMNS($A465:C465), LEFT(C464, LEN(C464)-Source!$C465), IF(Source!$G465=COLUMNS($A465:C465), C464&amp;RIGHT(INDIRECT(ADDRESS(ROW(C465)-1, Source!$E465)), Source!$C465), C464))</f>
        <v>BMJRZDZ</v>
      </c>
      <c r="D465" s="2" t="str">
        <f>IF(Source!$E465=COLUMNS($A465:D465), LEFT(D464, LEN(D464)-Source!$C465), IF(Source!$G465=COLUMNS($A465:D465), D464&amp;RIGHT(INDIRECT(ADDRESS(ROW(D465)-1, Source!$E465)), Source!$C465), D464))</f>
        <v>H</v>
      </c>
      <c r="E465" s="2" t="str">
        <f>IF(Source!$E465=COLUMNS($A465:E465), LEFT(E464, LEN(E464)-Source!$C465), IF(Source!$G465=COLUMNS($A465:E465), E464&amp;RIGHT(INDIRECT(ADDRESS(ROW(E465)-1, Source!$E465)), Source!$C465), E464))</f>
        <v>LDTPMCPFDJWDSP</v>
      </c>
      <c r="F465" s="2" t="str">
        <f>IF(Source!$E465=COLUMNS($A465:F465), LEFT(F464, LEN(F464)-Source!$C465), IF(Source!$G465=COLUMNS($A465:F465), F464&amp;RIGHT(INDIRECT(ADDRESS(ROW(F465)-1, Source!$E465)), Source!$C465), F464))</f>
        <v>BTTCDWLMTRTRJTLBRSFQV</v>
      </c>
      <c r="G465" s="2" t="str">
        <f>IF(Source!$E465=COLUMNS($A465:G465), LEFT(G464, LEN(G464)-Source!$C465), IF(Source!$G465=COLUMNS($A465:G465), G464&amp;RIGHT(INDIRECT(ADDRESS(ROW(G465)-1, Source!$E465)), Source!$C465), G464))</f>
        <v/>
      </c>
      <c r="H465" s="2" t="str">
        <f>IF(Source!$E465=COLUMNS($A465:H465), LEFT(H464, LEN(H464)-Source!$C465), IF(Source!$G465=COLUMNS($A465:H465), H464&amp;RIGHT(INDIRECT(ADDRESS(ROW(H465)-1, Source!$E465)), Source!$C465), H464))</f>
        <v>S</v>
      </c>
      <c r="I465" s="2" t="str">
        <f>IF(Source!$E465=COLUMNS($A465:I465), LEFT(I464, LEN(I464)-Source!$C465), IF(Source!$G465=COLUMNS($A465:I465), I464&amp;RIGHT(INDIRECT(ADDRESS(ROW(I465)-1, Source!$E465)), Source!$C465), I464))</f>
        <v>DHQSV</v>
      </c>
    </row>
    <row r="466">
      <c r="A466" s="2" t="str">
        <f>IF(Source!$E466=COLUMNS($A466:A466), LEFT(A465, LEN(A465)-Source!$C466), IF(Source!$G466=COLUMNS($A466:A466), A465&amp;RIGHT(INDIRECT(ADDRESS(ROW(A466)-1, Source!$E466)), Source!$C466), A465))</f>
        <v>CGZB</v>
      </c>
      <c r="B466" s="2" t="str">
        <f>IF(Source!$E466=COLUMNS($A466:B466), LEFT(B465, LEN(B465)-Source!$C466), IF(Source!$G466=COLUMNS($A466:B466), B465&amp;RIGHT(INDIRECT(ADDRESS(ROW(B466)-1, Source!$E466)), Source!$C466), B465))</f>
        <v>GRVJRZDZ</v>
      </c>
      <c r="C466" s="2" t="str">
        <f>IF(Source!$E466=COLUMNS($A466:C466), LEFT(C465, LEN(C465)-Source!$C466), IF(Source!$G466=COLUMNS($A466:C466), C465&amp;RIGHT(INDIRECT(ADDRESS(ROW(C466)-1, Source!$E466)), Source!$C466), C465))</f>
        <v>BM</v>
      </c>
      <c r="D466" s="2" t="str">
        <f>IF(Source!$E466=COLUMNS($A466:D466), LEFT(D465, LEN(D465)-Source!$C466), IF(Source!$G466=COLUMNS($A466:D466), D465&amp;RIGHT(INDIRECT(ADDRESS(ROW(D466)-1, Source!$E466)), Source!$C466), D465))</f>
        <v>H</v>
      </c>
      <c r="E466" s="2" t="str">
        <f>IF(Source!$E466=COLUMNS($A466:E466), LEFT(E465, LEN(E465)-Source!$C466), IF(Source!$G466=COLUMNS($A466:E466), E465&amp;RIGHT(INDIRECT(ADDRESS(ROW(E466)-1, Source!$E466)), Source!$C466), E465))</f>
        <v>LDTPMCPFDJWDSP</v>
      </c>
      <c r="F466" s="2" t="str">
        <f>IF(Source!$E466=COLUMNS($A466:F466), LEFT(F465, LEN(F465)-Source!$C466), IF(Source!$G466=COLUMNS($A466:F466), F465&amp;RIGHT(INDIRECT(ADDRESS(ROW(F466)-1, Source!$E466)), Source!$C466), F465))</f>
        <v>BTTCDWLMTRTRJTLBRSFQV</v>
      </c>
      <c r="G466" s="2" t="str">
        <f>IF(Source!$E466=COLUMNS($A466:G466), LEFT(G465, LEN(G465)-Source!$C466), IF(Source!$G466=COLUMNS($A466:G466), G465&amp;RIGHT(INDIRECT(ADDRESS(ROW(G466)-1, Source!$E466)), Source!$C466), G465))</f>
        <v/>
      </c>
      <c r="H466" s="2" t="str">
        <f>IF(Source!$E466=COLUMNS($A466:H466), LEFT(H465, LEN(H465)-Source!$C466), IF(Source!$G466=COLUMNS($A466:H466), H465&amp;RIGHT(INDIRECT(ADDRESS(ROW(H466)-1, Source!$E466)), Source!$C466), H465))</f>
        <v>S</v>
      </c>
      <c r="I466" s="2" t="str">
        <f>IF(Source!$E466=COLUMNS($A466:I466), LEFT(I465, LEN(I465)-Source!$C466), IF(Source!$G466=COLUMNS($A466:I466), I465&amp;RIGHT(INDIRECT(ADDRESS(ROW(I466)-1, Source!$E466)), Source!$C466), I465))</f>
        <v>DHQSV</v>
      </c>
    </row>
    <row r="467">
      <c r="A467" s="2" t="str">
        <f>IF(Source!$E467=COLUMNS($A467:A467), LEFT(A466, LEN(A466)-Source!$C467), IF(Source!$G467=COLUMNS($A467:A467), A466&amp;RIGHT(INDIRECT(ADDRESS(ROW(A467)-1, Source!$E467)), Source!$C467), A466))</f>
        <v>CGZB</v>
      </c>
      <c r="B467" s="2" t="str">
        <f>IF(Source!$E467=COLUMNS($A467:B467), LEFT(B466, LEN(B466)-Source!$C467), IF(Source!$G467=COLUMNS($A467:B467), B466&amp;RIGHT(INDIRECT(ADDRESS(ROW(B467)-1, Source!$E467)), Source!$C467), B466))</f>
        <v>GRVJRZDZ</v>
      </c>
      <c r="C467" s="2" t="str">
        <f>IF(Source!$E467=COLUMNS($A467:C467), LEFT(C466, LEN(C466)-Source!$C467), IF(Source!$G467=COLUMNS($A467:C467), C466&amp;RIGHT(INDIRECT(ADDRESS(ROW(C467)-1, Source!$E467)), Source!$C467), C466))</f>
        <v>BMDJWDSP</v>
      </c>
      <c r="D467" s="2" t="str">
        <f>IF(Source!$E467=COLUMNS($A467:D467), LEFT(D466, LEN(D466)-Source!$C467), IF(Source!$G467=COLUMNS($A467:D467), D466&amp;RIGHT(INDIRECT(ADDRESS(ROW(D467)-1, Source!$E467)), Source!$C467), D466))</f>
        <v>H</v>
      </c>
      <c r="E467" s="2" t="str">
        <f>IF(Source!$E467=COLUMNS($A467:E467), LEFT(E466, LEN(E466)-Source!$C467), IF(Source!$G467=COLUMNS($A467:E467), E466&amp;RIGHT(INDIRECT(ADDRESS(ROW(E467)-1, Source!$E467)), Source!$C467), E466))</f>
        <v>LDTPMCPF</v>
      </c>
      <c r="F467" s="2" t="str">
        <f>IF(Source!$E467=COLUMNS($A467:F467), LEFT(F466, LEN(F466)-Source!$C467), IF(Source!$G467=COLUMNS($A467:F467), F466&amp;RIGHT(INDIRECT(ADDRESS(ROW(F467)-1, Source!$E467)), Source!$C467), F466))</f>
        <v>BTTCDWLMTRTRJTLBRSFQV</v>
      </c>
      <c r="G467" s="2" t="str">
        <f>IF(Source!$E467=COLUMNS($A467:G467), LEFT(G466, LEN(G466)-Source!$C467), IF(Source!$G467=COLUMNS($A467:G467), G466&amp;RIGHT(INDIRECT(ADDRESS(ROW(G467)-1, Source!$E467)), Source!$C467), G466))</f>
        <v/>
      </c>
      <c r="H467" s="2" t="str">
        <f>IF(Source!$E467=COLUMNS($A467:H467), LEFT(H466, LEN(H466)-Source!$C467), IF(Source!$G467=COLUMNS($A467:H467), H466&amp;RIGHT(INDIRECT(ADDRESS(ROW(H467)-1, Source!$E467)), Source!$C467), H466))</f>
        <v>S</v>
      </c>
      <c r="I467" s="2" t="str">
        <f>IF(Source!$E467=COLUMNS($A467:I467), LEFT(I466, LEN(I466)-Source!$C467), IF(Source!$G467=COLUMNS($A467:I467), I466&amp;RIGHT(INDIRECT(ADDRESS(ROW(I467)-1, Source!$E467)), Source!$C467), I466))</f>
        <v>DHQSV</v>
      </c>
    </row>
    <row r="468">
      <c r="A468" s="2" t="str">
        <f>IF(Source!$E468=COLUMNS($A468:A468), LEFT(A467, LEN(A467)-Source!$C468), IF(Source!$G468=COLUMNS($A468:A468), A467&amp;RIGHT(INDIRECT(ADDRESS(ROW(A468)-1, Source!$E468)), Source!$C468), A467))</f>
        <v>CGZB</v>
      </c>
      <c r="B468" s="2" t="str">
        <f>IF(Source!$E468=COLUMNS($A468:B468), LEFT(B467, LEN(B467)-Source!$C468), IF(Source!$G468=COLUMNS($A468:B468), B467&amp;RIGHT(INDIRECT(ADDRESS(ROW(B468)-1, Source!$E468)), Source!$C468), B467))</f>
        <v>GRVJRZDZ</v>
      </c>
      <c r="C468" s="2" t="str">
        <f>IF(Source!$E468=COLUMNS($A468:C468), LEFT(C467, LEN(C467)-Source!$C468), IF(Source!$G468=COLUMNS($A468:C468), C467&amp;RIGHT(INDIRECT(ADDRESS(ROW(C468)-1, Source!$E468)), Source!$C468), C467))</f>
        <v>BMDJWDSP</v>
      </c>
      <c r="D468" s="2" t="str">
        <f>IF(Source!$E468=COLUMNS($A468:D468), LEFT(D467, LEN(D467)-Source!$C468), IF(Source!$G468=COLUMNS($A468:D468), D467&amp;RIGHT(INDIRECT(ADDRESS(ROW(D468)-1, Source!$E468)), Source!$C468), D467))</f>
        <v>H</v>
      </c>
      <c r="E468" s="2" t="str">
        <f>IF(Source!$E468=COLUMNS($A468:E468), LEFT(E467, LEN(E467)-Source!$C468), IF(Source!$G468=COLUMNS($A468:E468), E467&amp;RIGHT(INDIRECT(ADDRESS(ROW(E468)-1, Source!$E468)), Source!$C468), E467))</f>
        <v>LDTPMC</v>
      </c>
      <c r="F468" s="2" t="str">
        <f>IF(Source!$E468=COLUMNS($A468:F468), LEFT(F467, LEN(F467)-Source!$C468), IF(Source!$G468=COLUMNS($A468:F468), F467&amp;RIGHT(INDIRECT(ADDRESS(ROW(F468)-1, Source!$E468)), Source!$C468), F467))</f>
        <v>BTTCDWLMTRTRJTLBRSFQV</v>
      </c>
      <c r="G468" s="2" t="str">
        <f>IF(Source!$E468=COLUMNS($A468:G468), LEFT(G467, LEN(G467)-Source!$C468), IF(Source!$G468=COLUMNS($A468:G468), G467&amp;RIGHT(INDIRECT(ADDRESS(ROW(G468)-1, Source!$E468)), Source!$C468), G467))</f>
        <v/>
      </c>
      <c r="H468" s="2" t="str">
        <f>IF(Source!$E468=COLUMNS($A468:H468), LEFT(H467, LEN(H467)-Source!$C468), IF(Source!$G468=COLUMNS($A468:H468), H467&amp;RIGHT(INDIRECT(ADDRESS(ROW(H468)-1, Source!$E468)), Source!$C468), H467))</f>
        <v>SPF</v>
      </c>
      <c r="I468" s="2" t="str">
        <f>IF(Source!$E468=COLUMNS($A468:I468), LEFT(I467, LEN(I467)-Source!$C468), IF(Source!$G468=COLUMNS($A468:I468), I467&amp;RIGHT(INDIRECT(ADDRESS(ROW(I468)-1, Source!$E468)), Source!$C468), I467))</f>
        <v>DHQSV</v>
      </c>
    </row>
    <row r="469">
      <c r="A469" s="2" t="str">
        <f>IF(Source!$E469=COLUMNS($A469:A469), LEFT(A468, LEN(A468)-Source!$C469), IF(Source!$G469=COLUMNS($A469:A469), A468&amp;RIGHT(INDIRECT(ADDRESS(ROW(A469)-1, Source!$E469)), Source!$C469), A468))</f>
        <v>CG</v>
      </c>
      <c r="B469" s="2" t="str">
        <f>IF(Source!$E469=COLUMNS($A469:B469), LEFT(B468, LEN(B468)-Source!$C469), IF(Source!$G469=COLUMNS($A469:B469), B468&amp;RIGHT(INDIRECT(ADDRESS(ROW(B469)-1, Source!$E469)), Source!$C469), B468))</f>
        <v>GRVJRZDZ</v>
      </c>
      <c r="C469" s="2" t="str">
        <f>IF(Source!$E469=COLUMNS($A469:C469), LEFT(C468, LEN(C468)-Source!$C469), IF(Source!$G469=COLUMNS($A469:C469), C468&amp;RIGHT(INDIRECT(ADDRESS(ROW(C469)-1, Source!$E469)), Source!$C469), C468))</f>
        <v>BMDJWDSP</v>
      </c>
      <c r="D469" s="2" t="str">
        <f>IF(Source!$E469=COLUMNS($A469:D469), LEFT(D468, LEN(D468)-Source!$C469), IF(Source!$G469=COLUMNS($A469:D469), D468&amp;RIGHT(INDIRECT(ADDRESS(ROW(D469)-1, Source!$E469)), Source!$C469), D468))</f>
        <v>H</v>
      </c>
      <c r="E469" s="2" t="str">
        <f>IF(Source!$E469=COLUMNS($A469:E469), LEFT(E468, LEN(E468)-Source!$C469), IF(Source!$G469=COLUMNS($A469:E469), E468&amp;RIGHT(INDIRECT(ADDRESS(ROW(E469)-1, Source!$E469)), Source!$C469), E468))</f>
        <v>LDTPMC</v>
      </c>
      <c r="F469" s="2" t="str">
        <f>IF(Source!$E469=COLUMNS($A469:F469), LEFT(F468, LEN(F468)-Source!$C469), IF(Source!$G469=COLUMNS($A469:F469), F468&amp;RIGHT(INDIRECT(ADDRESS(ROW(F469)-1, Source!$E469)), Source!$C469), F468))</f>
        <v>BTTCDWLMTRTRJTLBRSFQV</v>
      </c>
      <c r="G469" s="2" t="str">
        <f>IF(Source!$E469=COLUMNS($A469:G469), LEFT(G468, LEN(G468)-Source!$C469), IF(Source!$G469=COLUMNS($A469:G469), G468&amp;RIGHT(INDIRECT(ADDRESS(ROW(G469)-1, Source!$E469)), Source!$C469), G468))</f>
        <v>ZB</v>
      </c>
      <c r="H469" s="2" t="str">
        <f>IF(Source!$E469=COLUMNS($A469:H469), LEFT(H468, LEN(H468)-Source!$C469), IF(Source!$G469=COLUMNS($A469:H469), H468&amp;RIGHT(INDIRECT(ADDRESS(ROW(H469)-1, Source!$E469)), Source!$C469), H468))</f>
        <v>SPF</v>
      </c>
      <c r="I469" s="2" t="str">
        <f>IF(Source!$E469=COLUMNS($A469:I469), LEFT(I468, LEN(I468)-Source!$C469), IF(Source!$G469=COLUMNS($A469:I469), I468&amp;RIGHT(INDIRECT(ADDRESS(ROW(I469)-1, Source!$E469)), Source!$C469), I468))</f>
        <v>DHQSV</v>
      </c>
    </row>
    <row r="470">
      <c r="A470" s="2" t="str">
        <f>IF(Source!$E470=COLUMNS($A470:A470), LEFT(A469, LEN(A469)-Source!$C470), IF(Source!$G470=COLUMNS($A470:A470), A469&amp;RIGHT(INDIRECT(ADDRESS(ROW(A470)-1, Source!$E470)), Source!$C470), A469))</f>
        <v>CG</v>
      </c>
      <c r="B470" s="2" t="str">
        <f>IF(Source!$E470=COLUMNS($A470:B470), LEFT(B469, LEN(B469)-Source!$C470), IF(Source!$G470=COLUMNS($A470:B470), B469&amp;RIGHT(INDIRECT(ADDRESS(ROW(B470)-1, Source!$E470)), Source!$C470), B469))</f>
        <v>GRVJRZDZ</v>
      </c>
      <c r="C470" s="2" t="str">
        <f>IF(Source!$E470=COLUMNS($A470:C470), LEFT(C469, LEN(C469)-Source!$C470), IF(Source!$G470=COLUMNS($A470:C470), C469&amp;RIGHT(INDIRECT(ADDRESS(ROW(C470)-1, Source!$E470)), Source!$C470), C469))</f>
        <v>BMDJWDSP</v>
      </c>
      <c r="D470" s="2" t="str">
        <f>IF(Source!$E470=COLUMNS($A470:D470), LEFT(D469, LEN(D469)-Source!$C470), IF(Source!$G470=COLUMNS($A470:D470), D469&amp;RIGHT(INDIRECT(ADDRESS(ROW(D470)-1, Source!$E470)), Source!$C470), D469))</f>
        <v>HZB</v>
      </c>
      <c r="E470" s="2" t="str">
        <f>IF(Source!$E470=COLUMNS($A470:E470), LEFT(E469, LEN(E469)-Source!$C470), IF(Source!$G470=COLUMNS($A470:E470), E469&amp;RIGHT(INDIRECT(ADDRESS(ROW(E470)-1, Source!$E470)), Source!$C470), E469))</f>
        <v>LDTPMC</v>
      </c>
      <c r="F470" s="2" t="str">
        <f>IF(Source!$E470=COLUMNS($A470:F470), LEFT(F469, LEN(F469)-Source!$C470), IF(Source!$G470=COLUMNS($A470:F470), F469&amp;RIGHT(INDIRECT(ADDRESS(ROW(F470)-1, Source!$E470)), Source!$C470), F469))</f>
        <v>BTTCDWLMTRTRJTLBRSFQV</v>
      </c>
      <c r="G470" s="2" t="str">
        <f>IF(Source!$E470=COLUMNS($A470:G470), LEFT(G469, LEN(G469)-Source!$C470), IF(Source!$G470=COLUMNS($A470:G470), G469&amp;RIGHT(INDIRECT(ADDRESS(ROW(G470)-1, Source!$E470)), Source!$C470), G469))</f>
        <v/>
      </c>
      <c r="H470" s="2" t="str">
        <f>IF(Source!$E470=COLUMNS($A470:H470), LEFT(H469, LEN(H469)-Source!$C470), IF(Source!$G470=COLUMNS($A470:H470), H469&amp;RIGHT(INDIRECT(ADDRESS(ROW(H470)-1, Source!$E470)), Source!$C470), H469))</f>
        <v>SPF</v>
      </c>
      <c r="I470" s="2" t="str">
        <f>IF(Source!$E470=COLUMNS($A470:I470), LEFT(I469, LEN(I469)-Source!$C470), IF(Source!$G470=COLUMNS($A470:I470), I469&amp;RIGHT(INDIRECT(ADDRESS(ROW(I470)-1, Source!$E470)), Source!$C470), I469))</f>
        <v>DHQSV</v>
      </c>
    </row>
    <row r="471">
      <c r="A471" s="2" t="str">
        <f>IF(Source!$E471=COLUMNS($A471:A471), LEFT(A470, LEN(A470)-Source!$C471), IF(Source!$G471=COLUMNS($A471:A471), A470&amp;RIGHT(INDIRECT(ADDRESS(ROW(A471)-1, Source!$E471)), Source!$C471), A470))</f>
        <v>CG</v>
      </c>
      <c r="B471" s="2" t="str">
        <f>IF(Source!$E471=COLUMNS($A471:B471), LEFT(B470, LEN(B470)-Source!$C471), IF(Source!$G471=COLUMNS($A471:B471), B470&amp;RIGHT(INDIRECT(ADDRESS(ROW(B471)-1, Source!$E471)), Source!$C471), B470))</f>
        <v>GRVJRZDZ</v>
      </c>
      <c r="C471" s="2" t="str">
        <f>IF(Source!$E471=COLUMNS($A471:C471), LEFT(C470, LEN(C470)-Source!$C471), IF(Source!$G471=COLUMNS($A471:C471), C470&amp;RIGHT(INDIRECT(ADDRESS(ROW(C471)-1, Source!$E471)), Source!$C471), C470))</f>
        <v>BMDJWDSP</v>
      </c>
      <c r="D471" s="2" t="str">
        <f>IF(Source!$E471=COLUMNS($A471:D471), LEFT(D470, LEN(D470)-Source!$C471), IF(Source!$G471=COLUMNS($A471:D471), D470&amp;RIGHT(INDIRECT(ADDRESS(ROW(D471)-1, Source!$E471)), Source!$C471), D470))</f>
        <v>HZB</v>
      </c>
      <c r="E471" s="2" t="str">
        <f>IF(Source!$E471=COLUMNS($A471:E471), LEFT(E470, LEN(E470)-Source!$C471), IF(Source!$G471=COLUMNS($A471:E471), E470&amp;RIGHT(INDIRECT(ADDRESS(ROW(E471)-1, Source!$E471)), Source!$C471), E470))</f>
        <v>LDTPMC</v>
      </c>
      <c r="F471" s="2" t="str">
        <f>IF(Source!$E471=COLUMNS($A471:F471), LEFT(F470, LEN(F470)-Source!$C471), IF(Source!$G471=COLUMNS($A471:F471), F470&amp;RIGHT(INDIRECT(ADDRESS(ROW(F471)-1, Source!$E471)), Source!$C471), F470))</f>
        <v>BTTCDW</v>
      </c>
      <c r="G471" s="2" t="str">
        <f>IF(Source!$E471=COLUMNS($A471:G471), LEFT(G470, LEN(G470)-Source!$C471), IF(Source!$G471=COLUMNS($A471:G471), G470&amp;RIGHT(INDIRECT(ADDRESS(ROW(G471)-1, Source!$E471)), Source!$C471), G470))</f>
        <v/>
      </c>
      <c r="H471" s="2" t="str">
        <f>IF(Source!$E471=COLUMNS($A471:H471), LEFT(H470, LEN(H470)-Source!$C471), IF(Source!$G471=COLUMNS($A471:H471), H470&amp;RIGHT(INDIRECT(ADDRESS(ROW(H471)-1, Source!$E471)), Source!$C471), H470))</f>
        <v>SPF</v>
      </c>
      <c r="I471" s="2" t="str">
        <f>IF(Source!$E471=COLUMNS($A471:I471), LEFT(I470, LEN(I470)-Source!$C471), IF(Source!$G471=COLUMNS($A471:I471), I470&amp;RIGHT(INDIRECT(ADDRESS(ROW(I471)-1, Source!$E471)), Source!$C471), I470))</f>
        <v>DHQSVLMTRTRJTLBRSFQV</v>
      </c>
    </row>
    <row r="472">
      <c r="A472" s="2" t="str">
        <f>IF(Source!$E472=COLUMNS($A472:A472), LEFT(A471, LEN(A471)-Source!$C472), IF(Source!$G472=COLUMNS($A472:A472), A471&amp;RIGHT(INDIRECT(ADDRESS(ROW(A472)-1, Source!$E472)), Source!$C472), A471))</f>
        <v>CGBMDJWDSP</v>
      </c>
      <c r="B472" s="2" t="str">
        <f>IF(Source!$E472=COLUMNS($A472:B472), LEFT(B471, LEN(B471)-Source!$C472), IF(Source!$G472=COLUMNS($A472:B472), B471&amp;RIGHT(INDIRECT(ADDRESS(ROW(B472)-1, Source!$E472)), Source!$C472), B471))</f>
        <v>GRVJRZDZ</v>
      </c>
      <c r="C472" s="2" t="str">
        <f>IF(Source!$E472=COLUMNS($A472:C472), LEFT(C471, LEN(C471)-Source!$C472), IF(Source!$G472=COLUMNS($A472:C472), C471&amp;RIGHT(INDIRECT(ADDRESS(ROW(C472)-1, Source!$E472)), Source!$C472), C471))</f>
        <v/>
      </c>
      <c r="D472" s="2" t="str">
        <f>IF(Source!$E472=COLUMNS($A472:D472), LEFT(D471, LEN(D471)-Source!$C472), IF(Source!$G472=COLUMNS($A472:D472), D471&amp;RIGHT(INDIRECT(ADDRESS(ROW(D472)-1, Source!$E472)), Source!$C472), D471))</f>
        <v>HZB</v>
      </c>
      <c r="E472" s="2" t="str">
        <f>IF(Source!$E472=COLUMNS($A472:E472), LEFT(E471, LEN(E471)-Source!$C472), IF(Source!$G472=COLUMNS($A472:E472), E471&amp;RIGHT(INDIRECT(ADDRESS(ROW(E472)-1, Source!$E472)), Source!$C472), E471))</f>
        <v>LDTPMC</v>
      </c>
      <c r="F472" s="2" t="str">
        <f>IF(Source!$E472=COLUMNS($A472:F472), LEFT(F471, LEN(F471)-Source!$C472), IF(Source!$G472=COLUMNS($A472:F472), F471&amp;RIGHT(INDIRECT(ADDRESS(ROW(F472)-1, Source!$E472)), Source!$C472), F471))</f>
        <v>BTTCDW</v>
      </c>
      <c r="G472" s="2" t="str">
        <f>IF(Source!$E472=COLUMNS($A472:G472), LEFT(G471, LEN(G471)-Source!$C472), IF(Source!$G472=COLUMNS($A472:G472), G471&amp;RIGHT(INDIRECT(ADDRESS(ROW(G472)-1, Source!$E472)), Source!$C472), G471))</f>
        <v/>
      </c>
      <c r="H472" s="2" t="str">
        <f>IF(Source!$E472=COLUMNS($A472:H472), LEFT(H471, LEN(H471)-Source!$C472), IF(Source!$G472=COLUMNS($A472:H472), H471&amp;RIGHT(INDIRECT(ADDRESS(ROW(H472)-1, Source!$E472)), Source!$C472), H471))</f>
        <v>SPF</v>
      </c>
      <c r="I472" s="2" t="str">
        <f>IF(Source!$E472=COLUMNS($A472:I472), LEFT(I471, LEN(I471)-Source!$C472), IF(Source!$G472=COLUMNS($A472:I472), I471&amp;RIGHT(INDIRECT(ADDRESS(ROW(I472)-1, Source!$E472)), Source!$C472), I471))</f>
        <v>DHQSVLMTRTRJTLBRSFQV</v>
      </c>
    </row>
    <row r="473">
      <c r="A473" s="2" t="str">
        <f>IF(Source!$E473=COLUMNS($A473:A473), LEFT(A472, LEN(A472)-Source!$C473), IF(Source!$G473=COLUMNS($A473:A473), A472&amp;RIGHT(INDIRECT(ADDRESS(ROW(A473)-1, Source!$E473)), Source!$C473), A472))</f>
        <v>CGBMDJWDSP</v>
      </c>
      <c r="B473" s="2" t="str">
        <f>IF(Source!$E473=COLUMNS($A473:B473), LEFT(B472, LEN(B472)-Source!$C473), IF(Source!$G473=COLUMNS($A473:B473), B472&amp;RIGHT(INDIRECT(ADDRESS(ROW(B473)-1, Source!$E473)), Source!$C473), B472))</f>
        <v>GRVJRZDZ</v>
      </c>
      <c r="C473" s="2" t="str">
        <f>IF(Source!$E473=COLUMNS($A473:C473), LEFT(C472, LEN(C472)-Source!$C473), IF(Source!$G473=COLUMNS($A473:C473), C472&amp;RIGHT(INDIRECT(ADDRESS(ROW(C473)-1, Source!$E473)), Source!$C473), C472))</f>
        <v/>
      </c>
      <c r="D473" s="2" t="str">
        <f>IF(Source!$E473=COLUMNS($A473:D473), LEFT(D472, LEN(D472)-Source!$C473), IF(Source!$G473=COLUMNS($A473:D473), D472&amp;RIGHT(INDIRECT(ADDRESS(ROW(D473)-1, Source!$E473)), Source!$C473), D472))</f>
        <v>HZB</v>
      </c>
      <c r="E473" s="2" t="str">
        <f>IF(Source!$E473=COLUMNS($A473:E473), LEFT(E472, LEN(E472)-Source!$C473), IF(Source!$G473=COLUMNS($A473:E473), E472&amp;RIGHT(INDIRECT(ADDRESS(ROW(E473)-1, Source!$E473)), Source!$C473), E472))</f>
        <v>LDT</v>
      </c>
      <c r="F473" s="2" t="str">
        <f>IF(Source!$E473=COLUMNS($A473:F473), LEFT(F472, LEN(F472)-Source!$C473), IF(Source!$G473=COLUMNS($A473:F473), F472&amp;RIGHT(INDIRECT(ADDRESS(ROW(F473)-1, Source!$E473)), Source!$C473), F472))</f>
        <v>BTTCDW</v>
      </c>
      <c r="G473" s="2" t="str">
        <f>IF(Source!$E473=COLUMNS($A473:G473), LEFT(G472, LEN(G472)-Source!$C473), IF(Source!$G473=COLUMNS($A473:G473), G472&amp;RIGHT(INDIRECT(ADDRESS(ROW(G473)-1, Source!$E473)), Source!$C473), G472))</f>
        <v/>
      </c>
      <c r="H473" s="2" t="str">
        <f>IF(Source!$E473=COLUMNS($A473:H473), LEFT(H472, LEN(H472)-Source!$C473), IF(Source!$G473=COLUMNS($A473:H473), H472&amp;RIGHT(INDIRECT(ADDRESS(ROW(H473)-1, Source!$E473)), Source!$C473), H472))</f>
        <v>SPF</v>
      </c>
      <c r="I473" s="2" t="str">
        <f>IF(Source!$E473=COLUMNS($A473:I473), LEFT(I472, LEN(I472)-Source!$C473), IF(Source!$G473=COLUMNS($A473:I473), I472&amp;RIGHT(INDIRECT(ADDRESS(ROW(I473)-1, Source!$E473)), Source!$C473), I472))</f>
        <v>DHQSVLMTRTRJTLBRSFQVPMC</v>
      </c>
    </row>
    <row r="474">
      <c r="A474" s="2" t="str">
        <f>IF(Source!$E474=COLUMNS($A474:A474), LEFT(A473, LEN(A473)-Source!$C474), IF(Source!$G474=COLUMNS($A474:A474), A473&amp;RIGHT(INDIRECT(ADDRESS(ROW(A474)-1, Source!$E474)), Source!$C474), A473))</f>
        <v>CGBMDJWDSP</v>
      </c>
      <c r="B474" s="2" t="str">
        <f>IF(Source!$E474=COLUMNS($A474:B474), LEFT(B473, LEN(B473)-Source!$C474), IF(Source!$G474=COLUMNS($A474:B474), B473&amp;RIGHT(INDIRECT(ADDRESS(ROW(B474)-1, Source!$E474)), Source!$C474), B473))</f>
        <v>GRVJRZDZ</v>
      </c>
      <c r="C474" s="2" t="str">
        <f>IF(Source!$E474=COLUMNS($A474:C474), LEFT(C473, LEN(C473)-Source!$C474), IF(Source!$G474=COLUMNS($A474:C474), C473&amp;RIGHT(INDIRECT(ADDRESS(ROW(C474)-1, Source!$E474)), Source!$C474), C473))</f>
        <v/>
      </c>
      <c r="D474" s="2" t="str">
        <f>IF(Source!$E474=COLUMNS($A474:D474), LEFT(D473, LEN(D473)-Source!$C474), IF(Source!$G474=COLUMNS($A474:D474), D473&amp;RIGHT(INDIRECT(ADDRESS(ROW(D474)-1, Source!$E474)), Source!$C474), D473))</f>
        <v>H</v>
      </c>
      <c r="E474" s="2" t="str">
        <f>IF(Source!$E474=COLUMNS($A474:E474), LEFT(E473, LEN(E473)-Source!$C474), IF(Source!$G474=COLUMNS($A474:E474), E473&amp;RIGHT(INDIRECT(ADDRESS(ROW(E474)-1, Source!$E474)), Source!$C474), E473))</f>
        <v>LDT</v>
      </c>
      <c r="F474" s="2" t="str">
        <f>IF(Source!$E474=COLUMNS($A474:F474), LEFT(F473, LEN(F473)-Source!$C474), IF(Source!$G474=COLUMNS($A474:F474), F473&amp;RIGHT(INDIRECT(ADDRESS(ROW(F474)-1, Source!$E474)), Source!$C474), F473))</f>
        <v>BTTCDW</v>
      </c>
      <c r="G474" s="2" t="str">
        <f>IF(Source!$E474=COLUMNS($A474:G474), LEFT(G473, LEN(G473)-Source!$C474), IF(Source!$G474=COLUMNS($A474:G474), G473&amp;RIGHT(INDIRECT(ADDRESS(ROW(G474)-1, Source!$E474)), Source!$C474), G473))</f>
        <v/>
      </c>
      <c r="H474" s="2" t="str">
        <f>IF(Source!$E474=COLUMNS($A474:H474), LEFT(H473, LEN(H473)-Source!$C474), IF(Source!$G474=COLUMNS($A474:H474), H473&amp;RIGHT(INDIRECT(ADDRESS(ROW(H474)-1, Source!$E474)), Source!$C474), H473))</f>
        <v>SPF</v>
      </c>
      <c r="I474" s="2" t="str">
        <f>IF(Source!$E474=COLUMNS($A474:I474), LEFT(I473, LEN(I473)-Source!$C474), IF(Source!$G474=COLUMNS($A474:I474), I473&amp;RIGHT(INDIRECT(ADDRESS(ROW(I474)-1, Source!$E474)), Source!$C474), I473))</f>
        <v>DHQSVLMTRTRJTLBRSFQVPMCZB</v>
      </c>
    </row>
    <row r="475">
      <c r="A475" s="2" t="str">
        <f>IF(Source!$E475=COLUMNS($A475:A475), LEFT(A474, LEN(A474)-Source!$C475), IF(Source!$G475=COLUMNS($A475:A475), A474&amp;RIGHT(INDIRECT(ADDRESS(ROW(A475)-1, Source!$E475)), Source!$C475), A474))</f>
        <v>CG</v>
      </c>
      <c r="B475" s="2" t="str">
        <f>IF(Source!$E475=COLUMNS($A475:B475), LEFT(B474, LEN(B474)-Source!$C475), IF(Source!$G475=COLUMNS($A475:B475), B474&amp;RIGHT(INDIRECT(ADDRESS(ROW(B475)-1, Source!$E475)), Source!$C475), B474))</f>
        <v>GRVJRZDZ</v>
      </c>
      <c r="C475" s="2" t="str">
        <f>IF(Source!$E475=COLUMNS($A475:C475), LEFT(C474, LEN(C474)-Source!$C475), IF(Source!$G475=COLUMNS($A475:C475), C474&amp;RIGHT(INDIRECT(ADDRESS(ROW(C475)-1, Source!$E475)), Source!$C475), C474))</f>
        <v>BMDJWDSP</v>
      </c>
      <c r="D475" s="2" t="str">
        <f>IF(Source!$E475=COLUMNS($A475:D475), LEFT(D474, LEN(D474)-Source!$C475), IF(Source!$G475=COLUMNS($A475:D475), D474&amp;RIGHT(INDIRECT(ADDRESS(ROW(D475)-1, Source!$E475)), Source!$C475), D474))</f>
        <v>H</v>
      </c>
      <c r="E475" s="2" t="str">
        <f>IF(Source!$E475=COLUMNS($A475:E475), LEFT(E474, LEN(E474)-Source!$C475), IF(Source!$G475=COLUMNS($A475:E475), E474&amp;RIGHT(INDIRECT(ADDRESS(ROW(E475)-1, Source!$E475)), Source!$C475), E474))</f>
        <v>LDT</v>
      </c>
      <c r="F475" s="2" t="str">
        <f>IF(Source!$E475=COLUMNS($A475:F475), LEFT(F474, LEN(F474)-Source!$C475), IF(Source!$G475=COLUMNS($A475:F475), F474&amp;RIGHT(INDIRECT(ADDRESS(ROW(F475)-1, Source!$E475)), Source!$C475), F474))</f>
        <v>BTTCDW</v>
      </c>
      <c r="G475" s="2" t="str">
        <f>IF(Source!$E475=COLUMNS($A475:G475), LEFT(G474, LEN(G474)-Source!$C475), IF(Source!$G475=COLUMNS($A475:G475), G474&amp;RIGHT(INDIRECT(ADDRESS(ROW(G475)-1, Source!$E475)), Source!$C475), G474))</f>
        <v/>
      </c>
      <c r="H475" s="2" t="str">
        <f>IF(Source!$E475=COLUMNS($A475:H475), LEFT(H474, LEN(H474)-Source!$C475), IF(Source!$G475=COLUMNS($A475:H475), H474&amp;RIGHT(INDIRECT(ADDRESS(ROW(H475)-1, Source!$E475)), Source!$C475), H474))</f>
        <v>SPF</v>
      </c>
      <c r="I475" s="2" t="str">
        <f>IF(Source!$E475=COLUMNS($A475:I475), LEFT(I474, LEN(I474)-Source!$C475), IF(Source!$G475=COLUMNS($A475:I475), I474&amp;RIGHT(INDIRECT(ADDRESS(ROW(I475)-1, Source!$E475)), Source!$C475), I474))</f>
        <v>DHQSVLMTRTRJTLBRSFQVPMCZB</v>
      </c>
    </row>
    <row r="476">
      <c r="A476" s="2" t="str">
        <f>IF(Source!$E476=COLUMNS($A476:A476), LEFT(A475, LEN(A475)-Source!$C476), IF(Source!$G476=COLUMNS($A476:A476), A475&amp;RIGHT(INDIRECT(ADDRESS(ROW(A476)-1, Source!$E476)), Source!$C476), A475))</f>
        <v>CG</v>
      </c>
      <c r="B476" s="2" t="str">
        <f>IF(Source!$E476=COLUMNS($A476:B476), LEFT(B475, LEN(B475)-Source!$C476), IF(Source!$G476=COLUMNS($A476:B476), B475&amp;RIGHT(INDIRECT(ADDRESS(ROW(B476)-1, Source!$E476)), Source!$C476), B475))</f>
        <v>GRVJRZDZ</v>
      </c>
      <c r="C476" s="2" t="str">
        <f>IF(Source!$E476=COLUMNS($A476:C476), LEFT(C475, LEN(C475)-Source!$C476), IF(Source!$G476=COLUMNS($A476:C476), C475&amp;RIGHT(INDIRECT(ADDRESS(ROW(C476)-1, Source!$E476)), Source!$C476), C475))</f>
        <v>BMDJWDSP</v>
      </c>
      <c r="D476" s="2" t="str">
        <f>IF(Source!$E476=COLUMNS($A476:D476), LEFT(D475, LEN(D475)-Source!$C476), IF(Source!$G476=COLUMNS($A476:D476), D475&amp;RIGHT(INDIRECT(ADDRESS(ROW(D476)-1, Source!$E476)), Source!$C476), D475))</f>
        <v>H</v>
      </c>
      <c r="E476" s="2" t="str">
        <f>IF(Source!$E476=COLUMNS($A476:E476), LEFT(E475, LEN(E475)-Source!$C476), IF(Source!$G476=COLUMNS($A476:E476), E475&amp;RIGHT(INDIRECT(ADDRESS(ROW(E476)-1, Source!$E476)), Source!$C476), E475))</f>
        <v>LDT</v>
      </c>
      <c r="F476" s="2" t="str">
        <f>IF(Source!$E476=COLUMNS($A476:F476), LEFT(F475, LEN(F475)-Source!$C476), IF(Source!$G476=COLUMNS($A476:F476), F475&amp;RIGHT(INDIRECT(ADDRESS(ROW(F476)-1, Source!$E476)), Source!$C476), F475))</f>
        <v>BTTCDW</v>
      </c>
      <c r="G476" s="2" t="str">
        <f>IF(Source!$E476=COLUMNS($A476:G476), LEFT(G475, LEN(G475)-Source!$C476), IF(Source!$G476=COLUMNS($A476:G476), G475&amp;RIGHT(INDIRECT(ADDRESS(ROW(G476)-1, Source!$E476)), Source!$C476), G475))</f>
        <v/>
      </c>
      <c r="H476" s="2" t="str">
        <f>IF(Source!$E476=COLUMNS($A476:H476), LEFT(H475, LEN(H475)-Source!$C476), IF(Source!$G476=COLUMNS($A476:H476), H475&amp;RIGHT(INDIRECT(ADDRESS(ROW(H476)-1, Source!$E476)), Source!$C476), H475))</f>
        <v>SPFFQVPMCZB</v>
      </c>
      <c r="I476" s="2" t="str">
        <f>IF(Source!$E476=COLUMNS($A476:I476), LEFT(I475, LEN(I475)-Source!$C476), IF(Source!$G476=COLUMNS($A476:I476), I475&amp;RIGHT(INDIRECT(ADDRESS(ROW(I476)-1, Source!$E476)), Source!$C476), I475))</f>
        <v>DHQSVLMTRTRJTLBRS</v>
      </c>
    </row>
    <row r="477">
      <c r="A477" s="2" t="str">
        <f>IF(Source!$E477=COLUMNS($A477:A477), LEFT(A476, LEN(A476)-Source!$C477), IF(Source!$G477=COLUMNS($A477:A477), A476&amp;RIGHT(INDIRECT(ADDRESS(ROW(A477)-1, Source!$E477)), Source!$C477), A476))</f>
        <v>C</v>
      </c>
      <c r="B477" s="2" t="str">
        <f>IF(Source!$E477=COLUMNS($A477:B477), LEFT(B476, LEN(B476)-Source!$C477), IF(Source!$G477=COLUMNS($A477:B477), B476&amp;RIGHT(INDIRECT(ADDRESS(ROW(B477)-1, Source!$E477)), Source!$C477), B476))</f>
        <v>GRVJRZDZ</v>
      </c>
      <c r="C477" s="2" t="str">
        <f>IF(Source!$E477=COLUMNS($A477:C477), LEFT(C476, LEN(C476)-Source!$C477), IF(Source!$G477=COLUMNS($A477:C477), C476&amp;RIGHT(INDIRECT(ADDRESS(ROW(C477)-1, Source!$E477)), Source!$C477), C476))</f>
        <v>BMDJWDSP</v>
      </c>
      <c r="D477" s="2" t="str">
        <f>IF(Source!$E477=COLUMNS($A477:D477), LEFT(D476, LEN(D476)-Source!$C477), IF(Source!$G477=COLUMNS($A477:D477), D476&amp;RIGHT(INDIRECT(ADDRESS(ROW(D477)-1, Source!$E477)), Source!$C477), D476))</f>
        <v>HG</v>
      </c>
      <c r="E477" s="2" t="str">
        <f>IF(Source!$E477=COLUMNS($A477:E477), LEFT(E476, LEN(E476)-Source!$C477), IF(Source!$G477=COLUMNS($A477:E477), E476&amp;RIGHT(INDIRECT(ADDRESS(ROW(E477)-1, Source!$E477)), Source!$C477), E476))</f>
        <v>LDT</v>
      </c>
      <c r="F477" s="2" t="str">
        <f>IF(Source!$E477=COLUMNS($A477:F477), LEFT(F476, LEN(F476)-Source!$C477), IF(Source!$G477=COLUMNS($A477:F477), F476&amp;RIGHT(INDIRECT(ADDRESS(ROW(F477)-1, Source!$E477)), Source!$C477), F476))</f>
        <v>BTTCDW</v>
      </c>
      <c r="G477" s="2" t="str">
        <f>IF(Source!$E477=COLUMNS($A477:G477), LEFT(G476, LEN(G476)-Source!$C477), IF(Source!$G477=COLUMNS($A477:G477), G476&amp;RIGHT(INDIRECT(ADDRESS(ROW(G477)-1, Source!$E477)), Source!$C477), G476))</f>
        <v/>
      </c>
      <c r="H477" s="2" t="str">
        <f>IF(Source!$E477=COLUMNS($A477:H477), LEFT(H476, LEN(H476)-Source!$C477), IF(Source!$G477=COLUMNS($A477:H477), H476&amp;RIGHT(INDIRECT(ADDRESS(ROW(H477)-1, Source!$E477)), Source!$C477), H476))</f>
        <v>SPFFQVPMCZB</v>
      </c>
      <c r="I477" s="2" t="str">
        <f>IF(Source!$E477=COLUMNS($A477:I477), LEFT(I476, LEN(I476)-Source!$C477), IF(Source!$G477=COLUMNS($A477:I477), I476&amp;RIGHT(INDIRECT(ADDRESS(ROW(I477)-1, Source!$E477)), Source!$C477), I476))</f>
        <v>DHQSVLMTRTRJTLBRS</v>
      </c>
    </row>
    <row r="478">
      <c r="A478" s="2" t="str">
        <f>IF(Source!$E478=COLUMNS($A478:A478), LEFT(A477, LEN(A477)-Source!$C478), IF(Source!$G478=COLUMNS($A478:A478), A477&amp;RIGHT(INDIRECT(ADDRESS(ROW(A478)-1, Source!$E478)), Source!$C478), A477))</f>
        <v>C</v>
      </c>
      <c r="B478" s="2" t="str">
        <f>IF(Source!$E478=COLUMNS($A478:B478), LEFT(B477, LEN(B477)-Source!$C478), IF(Source!$G478=COLUMNS($A478:B478), B477&amp;RIGHT(INDIRECT(ADDRESS(ROW(B478)-1, Source!$E478)), Source!$C478), B477))</f>
        <v>GRVJRZDZ</v>
      </c>
      <c r="C478" s="2" t="str">
        <f>IF(Source!$E478=COLUMNS($A478:C478), LEFT(C477, LEN(C477)-Source!$C478), IF(Source!$G478=COLUMNS($A478:C478), C477&amp;RIGHT(INDIRECT(ADDRESS(ROW(C478)-1, Source!$E478)), Source!$C478), C477))</f>
        <v>BMDJWDSP</v>
      </c>
      <c r="D478" s="2" t="str">
        <f>IF(Source!$E478=COLUMNS($A478:D478), LEFT(D477, LEN(D477)-Source!$C478), IF(Source!$G478=COLUMNS($A478:D478), D477&amp;RIGHT(INDIRECT(ADDRESS(ROW(D478)-1, Source!$E478)), Source!$C478), D477))</f>
        <v>HG</v>
      </c>
      <c r="E478" s="2" t="str">
        <f>IF(Source!$E478=COLUMNS($A478:E478), LEFT(E477, LEN(E477)-Source!$C478), IF(Source!$G478=COLUMNS($A478:E478), E477&amp;RIGHT(INDIRECT(ADDRESS(ROW(E478)-1, Source!$E478)), Source!$C478), E477))</f>
        <v/>
      </c>
      <c r="F478" s="2" t="str">
        <f>IF(Source!$E478=COLUMNS($A478:F478), LEFT(F477, LEN(F477)-Source!$C478), IF(Source!$G478=COLUMNS($A478:F478), F477&amp;RIGHT(INDIRECT(ADDRESS(ROW(F478)-1, Source!$E478)), Source!$C478), F477))</f>
        <v>BTTCDW</v>
      </c>
      <c r="G478" s="2" t="str">
        <f>IF(Source!$E478=COLUMNS($A478:G478), LEFT(G477, LEN(G477)-Source!$C478), IF(Source!$G478=COLUMNS($A478:G478), G477&amp;RIGHT(INDIRECT(ADDRESS(ROW(G478)-1, Source!$E478)), Source!$C478), G477))</f>
        <v/>
      </c>
      <c r="H478" s="2" t="str">
        <f>IF(Source!$E478=COLUMNS($A478:H478), LEFT(H477, LEN(H477)-Source!$C478), IF(Source!$G478=COLUMNS($A478:H478), H477&amp;RIGHT(INDIRECT(ADDRESS(ROW(H478)-1, Source!$E478)), Source!$C478), H477))</f>
        <v>SPFFQVPMCZB</v>
      </c>
      <c r="I478" s="2" t="str">
        <f>IF(Source!$E478=COLUMNS($A478:I478), LEFT(I477, LEN(I477)-Source!$C478), IF(Source!$G478=COLUMNS($A478:I478), I477&amp;RIGHT(INDIRECT(ADDRESS(ROW(I478)-1, Source!$E478)), Source!$C478), I477))</f>
        <v>DHQSVLMTRTRJTLBRSLDT</v>
      </c>
    </row>
    <row r="479">
      <c r="A479" s="2" t="str">
        <f>IF(Source!$E479=COLUMNS($A479:A479), LEFT(A478, LEN(A478)-Source!$C479), IF(Source!$G479=COLUMNS($A479:A479), A478&amp;RIGHT(INDIRECT(ADDRESS(ROW(A479)-1, Source!$E479)), Source!$C479), A478))</f>
        <v>CMCZB</v>
      </c>
      <c r="B479" s="2" t="str">
        <f>IF(Source!$E479=COLUMNS($A479:B479), LEFT(B478, LEN(B478)-Source!$C479), IF(Source!$G479=COLUMNS($A479:B479), B478&amp;RIGHT(INDIRECT(ADDRESS(ROW(B479)-1, Source!$E479)), Source!$C479), B478))</f>
        <v>GRVJRZDZ</v>
      </c>
      <c r="C479" s="2" t="str">
        <f>IF(Source!$E479=COLUMNS($A479:C479), LEFT(C478, LEN(C478)-Source!$C479), IF(Source!$G479=COLUMNS($A479:C479), C478&amp;RIGHT(INDIRECT(ADDRESS(ROW(C479)-1, Source!$E479)), Source!$C479), C478))</f>
        <v>BMDJWDSP</v>
      </c>
      <c r="D479" s="2" t="str">
        <f>IF(Source!$E479=COLUMNS($A479:D479), LEFT(D478, LEN(D478)-Source!$C479), IF(Source!$G479=COLUMNS($A479:D479), D478&amp;RIGHT(INDIRECT(ADDRESS(ROW(D479)-1, Source!$E479)), Source!$C479), D478))</f>
        <v>HG</v>
      </c>
      <c r="E479" s="2" t="str">
        <f>IF(Source!$E479=COLUMNS($A479:E479), LEFT(E478, LEN(E478)-Source!$C479), IF(Source!$G479=COLUMNS($A479:E479), E478&amp;RIGHT(INDIRECT(ADDRESS(ROW(E479)-1, Source!$E479)), Source!$C479), E478))</f>
        <v/>
      </c>
      <c r="F479" s="2" t="str">
        <f>IF(Source!$E479=COLUMNS($A479:F479), LEFT(F478, LEN(F478)-Source!$C479), IF(Source!$G479=COLUMNS($A479:F479), F478&amp;RIGHT(INDIRECT(ADDRESS(ROW(F479)-1, Source!$E479)), Source!$C479), F478))</f>
        <v>BTTCDW</v>
      </c>
      <c r="G479" s="2" t="str">
        <f>IF(Source!$E479=COLUMNS($A479:G479), LEFT(G478, LEN(G478)-Source!$C479), IF(Source!$G479=COLUMNS($A479:G479), G478&amp;RIGHT(INDIRECT(ADDRESS(ROW(G479)-1, Source!$E479)), Source!$C479), G478))</f>
        <v/>
      </c>
      <c r="H479" s="2" t="str">
        <f>IF(Source!$E479=COLUMNS($A479:H479), LEFT(H478, LEN(H478)-Source!$C479), IF(Source!$G479=COLUMNS($A479:H479), H478&amp;RIGHT(INDIRECT(ADDRESS(ROW(H479)-1, Source!$E479)), Source!$C479), H478))</f>
        <v>SPFFQVP</v>
      </c>
      <c r="I479" s="2" t="str">
        <f>IF(Source!$E479=COLUMNS($A479:I479), LEFT(I478, LEN(I478)-Source!$C479), IF(Source!$G479=COLUMNS($A479:I479), I478&amp;RIGHT(INDIRECT(ADDRESS(ROW(I479)-1, Source!$E479)), Source!$C479), I478))</f>
        <v>DHQSVLMTRTRJTLBRSLDT</v>
      </c>
    </row>
    <row r="480">
      <c r="A480" s="2" t="str">
        <f>IF(Source!$E480=COLUMNS($A480:A480), LEFT(A479, LEN(A479)-Source!$C480), IF(Source!$G480=COLUMNS($A480:A480), A479&amp;RIGHT(INDIRECT(ADDRESS(ROW(A480)-1, Source!$E480)), Source!$C480), A479))</f>
        <v>CMCZB</v>
      </c>
      <c r="B480" s="2" t="str">
        <f>IF(Source!$E480=COLUMNS($A480:B480), LEFT(B479, LEN(B479)-Source!$C480), IF(Source!$G480=COLUMNS($A480:B480), B479&amp;RIGHT(INDIRECT(ADDRESS(ROW(B480)-1, Source!$E480)), Source!$C480), B479))</f>
        <v>GRVJRZDZ</v>
      </c>
      <c r="C480" s="2" t="str">
        <f>IF(Source!$E480=COLUMNS($A480:C480), LEFT(C479, LEN(C479)-Source!$C480), IF(Source!$G480=COLUMNS($A480:C480), C479&amp;RIGHT(INDIRECT(ADDRESS(ROW(C480)-1, Source!$E480)), Source!$C480), C479))</f>
        <v>BMDJWDS</v>
      </c>
      <c r="D480" s="2" t="str">
        <f>IF(Source!$E480=COLUMNS($A480:D480), LEFT(D479, LEN(D479)-Source!$C480), IF(Source!$G480=COLUMNS($A480:D480), D479&amp;RIGHT(INDIRECT(ADDRESS(ROW(D480)-1, Source!$E480)), Source!$C480), D479))</f>
        <v>HG</v>
      </c>
      <c r="E480" s="2" t="str">
        <f>IF(Source!$E480=COLUMNS($A480:E480), LEFT(E479, LEN(E479)-Source!$C480), IF(Source!$G480=COLUMNS($A480:E480), E479&amp;RIGHT(INDIRECT(ADDRESS(ROW(E480)-1, Source!$E480)), Source!$C480), E479))</f>
        <v/>
      </c>
      <c r="F480" s="2" t="str">
        <f>IF(Source!$E480=COLUMNS($A480:F480), LEFT(F479, LEN(F479)-Source!$C480), IF(Source!$G480=COLUMNS($A480:F480), F479&amp;RIGHT(INDIRECT(ADDRESS(ROW(F480)-1, Source!$E480)), Source!$C480), F479))</f>
        <v>BTTCDW</v>
      </c>
      <c r="G480" s="2" t="str">
        <f>IF(Source!$E480=COLUMNS($A480:G480), LEFT(G479, LEN(G479)-Source!$C480), IF(Source!$G480=COLUMNS($A480:G480), G479&amp;RIGHT(INDIRECT(ADDRESS(ROW(G480)-1, Source!$E480)), Source!$C480), G479))</f>
        <v/>
      </c>
      <c r="H480" s="2" t="str">
        <f>IF(Source!$E480=COLUMNS($A480:H480), LEFT(H479, LEN(H479)-Source!$C480), IF(Source!$G480=COLUMNS($A480:H480), H479&amp;RIGHT(INDIRECT(ADDRESS(ROW(H480)-1, Source!$E480)), Source!$C480), H479))</f>
        <v>SPFFQVP</v>
      </c>
      <c r="I480" s="2" t="str">
        <f>IF(Source!$E480=COLUMNS($A480:I480), LEFT(I479, LEN(I479)-Source!$C480), IF(Source!$G480=COLUMNS($A480:I480), I479&amp;RIGHT(INDIRECT(ADDRESS(ROW(I480)-1, Source!$E480)), Source!$C480), I479))</f>
        <v>DHQSVLMTRTRJTLBRSLDTP</v>
      </c>
    </row>
    <row r="481">
      <c r="A481" s="2" t="str">
        <f>IF(Source!$E481=COLUMNS($A481:A481), LEFT(A480, LEN(A480)-Source!$C481), IF(Source!$G481=COLUMNS($A481:A481), A480&amp;RIGHT(INDIRECT(ADDRESS(ROW(A481)-1, Source!$E481)), Source!$C481), A480))</f>
        <v>CMCZB</v>
      </c>
      <c r="B481" s="2" t="str">
        <f>IF(Source!$E481=COLUMNS($A481:B481), LEFT(B480, LEN(B480)-Source!$C481), IF(Source!$G481=COLUMNS($A481:B481), B480&amp;RIGHT(INDIRECT(ADDRESS(ROW(B481)-1, Source!$E481)), Source!$C481), B480))</f>
        <v>GRVJRZDZ</v>
      </c>
      <c r="C481" s="2" t="str">
        <f>IF(Source!$E481=COLUMNS($A481:C481), LEFT(C480, LEN(C480)-Source!$C481), IF(Source!$G481=COLUMNS($A481:C481), C480&amp;RIGHT(INDIRECT(ADDRESS(ROW(C481)-1, Source!$E481)), Source!$C481), C480))</f>
        <v>BMDJWDSHG</v>
      </c>
      <c r="D481" s="2" t="str">
        <f>IF(Source!$E481=COLUMNS($A481:D481), LEFT(D480, LEN(D480)-Source!$C481), IF(Source!$G481=COLUMNS($A481:D481), D480&amp;RIGHT(INDIRECT(ADDRESS(ROW(D481)-1, Source!$E481)), Source!$C481), D480))</f>
        <v/>
      </c>
      <c r="E481" s="2" t="str">
        <f>IF(Source!$E481=COLUMNS($A481:E481), LEFT(E480, LEN(E480)-Source!$C481), IF(Source!$G481=COLUMNS($A481:E481), E480&amp;RIGHT(INDIRECT(ADDRESS(ROW(E481)-1, Source!$E481)), Source!$C481), E480))</f>
        <v/>
      </c>
      <c r="F481" s="2" t="str">
        <f>IF(Source!$E481=COLUMNS($A481:F481), LEFT(F480, LEN(F480)-Source!$C481), IF(Source!$G481=COLUMNS($A481:F481), F480&amp;RIGHT(INDIRECT(ADDRESS(ROW(F481)-1, Source!$E481)), Source!$C481), F480))</f>
        <v>BTTCDW</v>
      </c>
      <c r="G481" s="2" t="str">
        <f>IF(Source!$E481=COLUMNS($A481:G481), LEFT(G480, LEN(G480)-Source!$C481), IF(Source!$G481=COLUMNS($A481:G481), G480&amp;RIGHT(INDIRECT(ADDRESS(ROW(G481)-1, Source!$E481)), Source!$C481), G480))</f>
        <v/>
      </c>
      <c r="H481" s="2" t="str">
        <f>IF(Source!$E481=COLUMNS($A481:H481), LEFT(H480, LEN(H480)-Source!$C481), IF(Source!$G481=COLUMNS($A481:H481), H480&amp;RIGHT(INDIRECT(ADDRESS(ROW(H481)-1, Source!$E481)), Source!$C481), H480))</f>
        <v>SPFFQVP</v>
      </c>
      <c r="I481" s="2" t="str">
        <f>IF(Source!$E481=COLUMNS($A481:I481), LEFT(I480, LEN(I480)-Source!$C481), IF(Source!$G481=COLUMNS($A481:I481), I480&amp;RIGHT(INDIRECT(ADDRESS(ROW(I481)-1, Source!$E481)), Source!$C481), I480))</f>
        <v>DHQSVLMTRTRJTLBRSLDTP</v>
      </c>
    </row>
    <row r="482">
      <c r="A482" s="2" t="str">
        <f>IF(Source!$E482=COLUMNS($A482:A482), LEFT(A481, LEN(A481)-Source!$C482), IF(Source!$G482=COLUMNS($A482:A482), A481&amp;RIGHT(INDIRECT(ADDRESS(ROW(A482)-1, Source!$E482)), Source!$C482), A481))</f>
        <v>CMCZB</v>
      </c>
      <c r="B482" s="2" t="str">
        <f>IF(Source!$E482=COLUMNS($A482:B482), LEFT(B481, LEN(B481)-Source!$C482), IF(Source!$G482=COLUMNS($A482:B482), B481&amp;RIGHT(INDIRECT(ADDRESS(ROW(B482)-1, Source!$E482)), Source!$C482), B481))</f>
        <v>GRVJRZDZ</v>
      </c>
      <c r="C482" s="2" t="str">
        <f>IF(Source!$E482=COLUMNS($A482:C482), LEFT(C481, LEN(C481)-Source!$C482), IF(Source!$G482=COLUMNS($A482:C482), C481&amp;RIGHT(INDIRECT(ADDRESS(ROW(C482)-1, Source!$E482)), Source!$C482), C481))</f>
        <v>BMDJWDSHG</v>
      </c>
      <c r="D482" s="2" t="str">
        <f>IF(Source!$E482=COLUMNS($A482:D482), LEFT(D481, LEN(D481)-Source!$C482), IF(Source!$G482=COLUMNS($A482:D482), D481&amp;RIGHT(INDIRECT(ADDRESS(ROW(D482)-1, Source!$E482)), Source!$C482), D481))</f>
        <v/>
      </c>
      <c r="E482" s="2" t="str">
        <f>IF(Source!$E482=COLUMNS($A482:E482), LEFT(E481, LEN(E481)-Source!$C482), IF(Source!$G482=COLUMNS($A482:E482), E481&amp;RIGHT(INDIRECT(ADDRESS(ROW(E482)-1, Source!$E482)), Source!$C482), E481))</f>
        <v/>
      </c>
      <c r="F482" s="2" t="str">
        <f>IF(Source!$E482=COLUMNS($A482:F482), LEFT(F481, LEN(F481)-Source!$C482), IF(Source!$G482=COLUMNS($A482:F482), F481&amp;RIGHT(INDIRECT(ADDRESS(ROW(F482)-1, Source!$E482)), Source!$C482), F481))</f>
        <v>BTTCDWVP</v>
      </c>
      <c r="G482" s="2" t="str">
        <f>IF(Source!$E482=COLUMNS($A482:G482), LEFT(G481, LEN(G481)-Source!$C482), IF(Source!$G482=COLUMNS($A482:G482), G481&amp;RIGHT(INDIRECT(ADDRESS(ROW(G482)-1, Source!$E482)), Source!$C482), G481))</f>
        <v/>
      </c>
      <c r="H482" s="2" t="str">
        <f>IF(Source!$E482=COLUMNS($A482:H482), LEFT(H481, LEN(H481)-Source!$C482), IF(Source!$G482=COLUMNS($A482:H482), H481&amp;RIGHT(INDIRECT(ADDRESS(ROW(H482)-1, Source!$E482)), Source!$C482), H481))</f>
        <v>SPFFQ</v>
      </c>
      <c r="I482" s="2" t="str">
        <f>IF(Source!$E482=COLUMNS($A482:I482), LEFT(I481, LEN(I481)-Source!$C482), IF(Source!$G482=COLUMNS($A482:I482), I481&amp;RIGHT(INDIRECT(ADDRESS(ROW(I482)-1, Source!$E482)), Source!$C482), I481))</f>
        <v>DHQSVLMTRTRJTLBRSLDTP</v>
      </c>
    </row>
    <row r="483">
      <c r="A483" s="2" t="str">
        <f>IF(Source!$E483=COLUMNS($A483:A483), LEFT(A482, LEN(A482)-Source!$C483), IF(Source!$G483=COLUMNS($A483:A483), A482&amp;RIGHT(INDIRECT(ADDRESS(ROW(A483)-1, Source!$E483)), Source!$C483), A482))</f>
        <v>CMCZB</v>
      </c>
      <c r="B483" s="2" t="str">
        <f>IF(Source!$E483=COLUMNS($A483:B483), LEFT(B482, LEN(B482)-Source!$C483), IF(Source!$G483=COLUMNS($A483:B483), B482&amp;RIGHT(INDIRECT(ADDRESS(ROW(B483)-1, Source!$E483)), Source!$C483), B482))</f>
        <v>GRVJRZDZ</v>
      </c>
      <c r="C483" s="2" t="str">
        <f>IF(Source!$E483=COLUMNS($A483:C483), LEFT(C482, LEN(C482)-Source!$C483), IF(Source!$G483=COLUMNS($A483:C483), C482&amp;RIGHT(INDIRECT(ADDRESS(ROW(C483)-1, Source!$E483)), Source!$C483), C482))</f>
        <v>BMDJWDSHG</v>
      </c>
      <c r="D483" s="2" t="str">
        <f>IF(Source!$E483=COLUMNS($A483:D483), LEFT(D482, LEN(D482)-Source!$C483), IF(Source!$G483=COLUMNS($A483:D483), D482&amp;RIGHT(INDIRECT(ADDRESS(ROW(D483)-1, Source!$E483)), Source!$C483), D482))</f>
        <v/>
      </c>
      <c r="E483" s="2" t="str">
        <f>IF(Source!$E483=COLUMNS($A483:E483), LEFT(E482, LEN(E482)-Source!$C483), IF(Source!$G483=COLUMNS($A483:E483), E482&amp;RIGHT(INDIRECT(ADDRESS(ROW(E483)-1, Source!$E483)), Source!$C483), E482))</f>
        <v/>
      </c>
      <c r="F483" s="2" t="str">
        <f>IF(Source!$E483=COLUMNS($A483:F483), LEFT(F482, LEN(F482)-Source!$C483), IF(Source!$G483=COLUMNS($A483:F483), F482&amp;RIGHT(INDIRECT(ADDRESS(ROW(F483)-1, Source!$E483)), Source!$C483), F482))</f>
        <v>BTTCDWVP</v>
      </c>
      <c r="G483" s="2" t="str">
        <f>IF(Source!$E483=COLUMNS($A483:G483), LEFT(G482, LEN(G482)-Source!$C483), IF(Source!$G483=COLUMNS($A483:G483), G482&amp;RIGHT(INDIRECT(ADDRESS(ROW(G483)-1, Source!$E483)), Source!$C483), G482))</f>
        <v>FFQ</v>
      </c>
      <c r="H483" s="2" t="str">
        <f>IF(Source!$E483=COLUMNS($A483:H483), LEFT(H482, LEN(H482)-Source!$C483), IF(Source!$G483=COLUMNS($A483:H483), H482&amp;RIGHT(INDIRECT(ADDRESS(ROW(H483)-1, Source!$E483)), Source!$C483), H482))</f>
        <v>SP</v>
      </c>
      <c r="I483" s="2" t="str">
        <f>IF(Source!$E483=COLUMNS($A483:I483), LEFT(I482, LEN(I482)-Source!$C483), IF(Source!$G483=COLUMNS($A483:I483), I482&amp;RIGHT(INDIRECT(ADDRESS(ROW(I483)-1, Source!$E483)), Source!$C483), I482))</f>
        <v>DHQSVLMTRTRJTLBRSLDTP</v>
      </c>
    </row>
    <row r="484">
      <c r="A484" s="2" t="str">
        <f>IF(Source!$E484=COLUMNS($A484:A484), LEFT(A483, LEN(A483)-Source!$C484), IF(Source!$G484=COLUMNS($A484:A484), A483&amp;RIGHT(INDIRECT(ADDRESS(ROW(A484)-1, Source!$E484)), Source!$C484), A483))</f>
        <v>CMCZB</v>
      </c>
      <c r="B484" s="2" t="str">
        <f>IF(Source!$E484=COLUMNS($A484:B484), LEFT(B483, LEN(B483)-Source!$C484), IF(Source!$G484=COLUMNS($A484:B484), B483&amp;RIGHT(INDIRECT(ADDRESS(ROW(B484)-1, Source!$E484)), Source!$C484), B483))</f>
        <v/>
      </c>
      <c r="C484" s="2" t="str">
        <f>IF(Source!$E484=COLUMNS($A484:C484), LEFT(C483, LEN(C483)-Source!$C484), IF(Source!$G484=COLUMNS($A484:C484), C483&amp;RIGHT(INDIRECT(ADDRESS(ROW(C484)-1, Source!$E484)), Source!$C484), C483))</f>
        <v>BMDJWDSHG</v>
      </c>
      <c r="D484" s="2" t="str">
        <f>IF(Source!$E484=COLUMNS($A484:D484), LEFT(D483, LEN(D483)-Source!$C484), IF(Source!$G484=COLUMNS($A484:D484), D483&amp;RIGHT(INDIRECT(ADDRESS(ROW(D484)-1, Source!$E484)), Source!$C484), D483))</f>
        <v/>
      </c>
      <c r="E484" s="2" t="str">
        <f>IF(Source!$E484=COLUMNS($A484:E484), LEFT(E483, LEN(E483)-Source!$C484), IF(Source!$G484=COLUMNS($A484:E484), E483&amp;RIGHT(INDIRECT(ADDRESS(ROW(E484)-1, Source!$E484)), Source!$C484), E483))</f>
        <v>GRVJRZDZ</v>
      </c>
      <c r="F484" s="2" t="str">
        <f>IF(Source!$E484=COLUMNS($A484:F484), LEFT(F483, LEN(F483)-Source!$C484), IF(Source!$G484=COLUMNS($A484:F484), F483&amp;RIGHT(INDIRECT(ADDRESS(ROW(F484)-1, Source!$E484)), Source!$C484), F483))</f>
        <v>BTTCDWVP</v>
      </c>
      <c r="G484" s="2" t="str">
        <f>IF(Source!$E484=COLUMNS($A484:G484), LEFT(G483, LEN(G483)-Source!$C484), IF(Source!$G484=COLUMNS($A484:G484), G483&amp;RIGHT(INDIRECT(ADDRESS(ROW(G484)-1, Source!$E484)), Source!$C484), G483))</f>
        <v>FFQ</v>
      </c>
      <c r="H484" s="2" t="str">
        <f>IF(Source!$E484=COLUMNS($A484:H484), LEFT(H483, LEN(H483)-Source!$C484), IF(Source!$G484=COLUMNS($A484:H484), H483&amp;RIGHT(INDIRECT(ADDRESS(ROW(H484)-1, Source!$E484)), Source!$C484), H483))</f>
        <v>SP</v>
      </c>
      <c r="I484" s="2" t="str">
        <f>IF(Source!$E484=COLUMNS($A484:I484), LEFT(I483, LEN(I483)-Source!$C484), IF(Source!$G484=COLUMNS($A484:I484), I483&amp;RIGHT(INDIRECT(ADDRESS(ROW(I484)-1, Source!$E484)), Source!$C484), I483))</f>
        <v>DHQSVLMTRTRJTLBRSLDTP</v>
      </c>
    </row>
    <row r="485">
      <c r="A485" s="2" t="str">
        <f>IF(Source!$E485=COLUMNS($A485:A485), LEFT(A484, LEN(A484)-Source!$C485), IF(Source!$G485=COLUMNS($A485:A485), A484&amp;RIGHT(INDIRECT(ADDRESS(ROW(A485)-1, Source!$E485)), Source!$C485), A484))</f>
        <v>CMCZB</v>
      </c>
      <c r="B485" s="2" t="str">
        <f>IF(Source!$E485=COLUMNS($A485:B485), LEFT(B484, LEN(B484)-Source!$C485), IF(Source!$G485=COLUMNS($A485:B485), B484&amp;RIGHT(INDIRECT(ADDRESS(ROW(B485)-1, Source!$E485)), Source!$C485), B484))</f>
        <v>ZDZ</v>
      </c>
      <c r="C485" s="2" t="str">
        <f>IF(Source!$E485=COLUMNS($A485:C485), LEFT(C484, LEN(C484)-Source!$C485), IF(Source!$G485=COLUMNS($A485:C485), C484&amp;RIGHT(INDIRECT(ADDRESS(ROW(C485)-1, Source!$E485)), Source!$C485), C484))</f>
        <v>BMDJWDSHG</v>
      </c>
      <c r="D485" s="2" t="str">
        <f>IF(Source!$E485=COLUMNS($A485:D485), LEFT(D484, LEN(D484)-Source!$C485), IF(Source!$G485=COLUMNS($A485:D485), D484&amp;RIGHT(INDIRECT(ADDRESS(ROW(D485)-1, Source!$E485)), Source!$C485), D484))</f>
        <v/>
      </c>
      <c r="E485" s="2" t="str">
        <f>IF(Source!$E485=COLUMNS($A485:E485), LEFT(E484, LEN(E484)-Source!$C485), IF(Source!$G485=COLUMNS($A485:E485), E484&amp;RIGHT(INDIRECT(ADDRESS(ROW(E485)-1, Source!$E485)), Source!$C485), E484))</f>
        <v>GRVJR</v>
      </c>
      <c r="F485" s="2" t="str">
        <f>IF(Source!$E485=COLUMNS($A485:F485), LEFT(F484, LEN(F484)-Source!$C485), IF(Source!$G485=COLUMNS($A485:F485), F484&amp;RIGHT(INDIRECT(ADDRESS(ROW(F485)-1, Source!$E485)), Source!$C485), F484))</f>
        <v>BTTCDWVP</v>
      </c>
      <c r="G485" s="2" t="str">
        <f>IF(Source!$E485=COLUMNS($A485:G485), LEFT(G484, LEN(G484)-Source!$C485), IF(Source!$G485=COLUMNS($A485:G485), G484&amp;RIGHT(INDIRECT(ADDRESS(ROW(G485)-1, Source!$E485)), Source!$C485), G484))</f>
        <v>FFQ</v>
      </c>
      <c r="H485" s="2" t="str">
        <f>IF(Source!$E485=COLUMNS($A485:H485), LEFT(H484, LEN(H484)-Source!$C485), IF(Source!$G485=COLUMNS($A485:H485), H484&amp;RIGHT(INDIRECT(ADDRESS(ROW(H485)-1, Source!$E485)), Source!$C485), H484))</f>
        <v>SP</v>
      </c>
      <c r="I485" s="2" t="str">
        <f>IF(Source!$E485=COLUMNS($A485:I485), LEFT(I484, LEN(I484)-Source!$C485), IF(Source!$G485=COLUMNS($A485:I485), I484&amp;RIGHT(INDIRECT(ADDRESS(ROW(I485)-1, Source!$E485)), Source!$C485), I484))</f>
        <v>DHQSVLMTRTRJTLBRSLDTP</v>
      </c>
    </row>
    <row r="486">
      <c r="A486" s="2" t="str">
        <f>IF(Source!$E486=COLUMNS($A486:A486), LEFT(A485, LEN(A485)-Source!$C486), IF(Source!$G486=COLUMNS($A486:A486), A485&amp;RIGHT(INDIRECT(ADDRESS(ROW(A486)-1, Source!$E486)), Source!$C486), A485))</f>
        <v>CMCZB</v>
      </c>
      <c r="B486" s="2" t="str">
        <f>IF(Source!$E486=COLUMNS($A486:B486), LEFT(B485, LEN(B485)-Source!$C486), IF(Source!$G486=COLUMNS($A486:B486), B485&amp;RIGHT(INDIRECT(ADDRESS(ROW(B486)-1, Source!$E486)), Source!$C486), B485))</f>
        <v>ZDZ</v>
      </c>
      <c r="C486" s="2" t="str">
        <f>IF(Source!$E486=COLUMNS($A486:C486), LEFT(C485, LEN(C485)-Source!$C486), IF(Source!$G486=COLUMNS($A486:C486), C485&amp;RIGHT(INDIRECT(ADDRESS(ROW(C486)-1, Source!$E486)), Source!$C486), C485))</f>
        <v>BMDJW</v>
      </c>
      <c r="D486" s="2" t="str">
        <f>IF(Source!$E486=COLUMNS($A486:D486), LEFT(D485, LEN(D485)-Source!$C486), IF(Source!$G486=COLUMNS($A486:D486), D485&amp;RIGHT(INDIRECT(ADDRESS(ROW(D486)-1, Source!$E486)), Source!$C486), D485))</f>
        <v>DSHG</v>
      </c>
      <c r="E486" s="2" t="str">
        <f>IF(Source!$E486=COLUMNS($A486:E486), LEFT(E485, LEN(E485)-Source!$C486), IF(Source!$G486=COLUMNS($A486:E486), E485&amp;RIGHT(INDIRECT(ADDRESS(ROW(E486)-1, Source!$E486)), Source!$C486), E485))</f>
        <v>GRVJR</v>
      </c>
      <c r="F486" s="2" t="str">
        <f>IF(Source!$E486=COLUMNS($A486:F486), LEFT(F485, LEN(F485)-Source!$C486), IF(Source!$G486=COLUMNS($A486:F486), F485&amp;RIGHT(INDIRECT(ADDRESS(ROW(F486)-1, Source!$E486)), Source!$C486), F485))</f>
        <v>BTTCDWVP</v>
      </c>
      <c r="G486" s="2" t="str">
        <f>IF(Source!$E486=COLUMNS($A486:G486), LEFT(G485, LEN(G485)-Source!$C486), IF(Source!$G486=COLUMNS($A486:G486), G485&amp;RIGHT(INDIRECT(ADDRESS(ROW(G486)-1, Source!$E486)), Source!$C486), G485))</f>
        <v>FFQ</v>
      </c>
      <c r="H486" s="2" t="str">
        <f>IF(Source!$E486=COLUMNS($A486:H486), LEFT(H485, LEN(H485)-Source!$C486), IF(Source!$G486=COLUMNS($A486:H486), H485&amp;RIGHT(INDIRECT(ADDRESS(ROW(H486)-1, Source!$E486)), Source!$C486), H485))</f>
        <v>SP</v>
      </c>
      <c r="I486" s="2" t="str">
        <f>IF(Source!$E486=COLUMNS($A486:I486), LEFT(I485, LEN(I485)-Source!$C486), IF(Source!$G486=COLUMNS($A486:I486), I485&amp;RIGHT(INDIRECT(ADDRESS(ROW(I486)-1, Source!$E486)), Source!$C486), I485))</f>
        <v>DHQSVLMTRTRJTLBRSLDTP</v>
      </c>
    </row>
    <row r="487">
      <c r="A487" s="2" t="str">
        <f>IF(Source!$E487=COLUMNS($A487:A487), LEFT(A486, LEN(A486)-Source!$C487), IF(Source!$G487=COLUMNS($A487:A487), A486&amp;RIGHT(INDIRECT(ADDRESS(ROW(A487)-1, Source!$E487)), Source!$C487), A486))</f>
        <v>CMCZBWVP</v>
      </c>
      <c r="B487" s="2" t="str">
        <f>IF(Source!$E487=COLUMNS($A487:B487), LEFT(B486, LEN(B486)-Source!$C487), IF(Source!$G487=COLUMNS($A487:B487), B486&amp;RIGHT(INDIRECT(ADDRESS(ROW(B487)-1, Source!$E487)), Source!$C487), B486))</f>
        <v>ZDZ</v>
      </c>
      <c r="C487" s="2" t="str">
        <f>IF(Source!$E487=COLUMNS($A487:C487), LEFT(C486, LEN(C486)-Source!$C487), IF(Source!$G487=COLUMNS($A487:C487), C486&amp;RIGHT(INDIRECT(ADDRESS(ROW(C487)-1, Source!$E487)), Source!$C487), C486))</f>
        <v>BMDJW</v>
      </c>
      <c r="D487" s="2" t="str">
        <f>IF(Source!$E487=COLUMNS($A487:D487), LEFT(D486, LEN(D486)-Source!$C487), IF(Source!$G487=COLUMNS($A487:D487), D486&amp;RIGHT(INDIRECT(ADDRESS(ROW(D487)-1, Source!$E487)), Source!$C487), D486))</f>
        <v>DSHG</v>
      </c>
      <c r="E487" s="2" t="str">
        <f>IF(Source!$E487=COLUMNS($A487:E487), LEFT(E486, LEN(E486)-Source!$C487), IF(Source!$G487=COLUMNS($A487:E487), E486&amp;RIGHT(INDIRECT(ADDRESS(ROW(E487)-1, Source!$E487)), Source!$C487), E486))</f>
        <v>GRVJR</v>
      </c>
      <c r="F487" s="2" t="str">
        <f>IF(Source!$E487=COLUMNS($A487:F487), LEFT(F486, LEN(F486)-Source!$C487), IF(Source!$G487=COLUMNS($A487:F487), F486&amp;RIGHT(INDIRECT(ADDRESS(ROW(F487)-1, Source!$E487)), Source!$C487), F486))</f>
        <v>BTTCD</v>
      </c>
      <c r="G487" s="2" t="str">
        <f>IF(Source!$E487=COLUMNS($A487:G487), LEFT(G486, LEN(G486)-Source!$C487), IF(Source!$G487=COLUMNS($A487:G487), G486&amp;RIGHT(INDIRECT(ADDRESS(ROW(G487)-1, Source!$E487)), Source!$C487), G486))</f>
        <v>FFQ</v>
      </c>
      <c r="H487" s="2" t="str">
        <f>IF(Source!$E487=COLUMNS($A487:H487), LEFT(H486, LEN(H486)-Source!$C487), IF(Source!$G487=COLUMNS($A487:H487), H486&amp;RIGHT(INDIRECT(ADDRESS(ROW(H487)-1, Source!$E487)), Source!$C487), H486))</f>
        <v>SP</v>
      </c>
      <c r="I487" s="2" t="str">
        <f>IF(Source!$E487=COLUMNS($A487:I487), LEFT(I486, LEN(I486)-Source!$C487), IF(Source!$G487=COLUMNS($A487:I487), I486&amp;RIGHT(INDIRECT(ADDRESS(ROW(I487)-1, Source!$E487)), Source!$C487), I486))</f>
        <v>DHQSVLMTRTRJTLBRSLDTP</v>
      </c>
    </row>
    <row r="488">
      <c r="A488" s="2" t="str">
        <f>IF(Source!$E488=COLUMNS($A488:A488), LEFT(A487, LEN(A487)-Source!$C488), IF(Source!$G488=COLUMNS($A488:A488), A487&amp;RIGHT(INDIRECT(ADDRESS(ROW(A488)-1, Source!$E488)), Source!$C488), A487))</f>
        <v>CMCZBWVP</v>
      </c>
      <c r="B488" s="2" t="str">
        <f>IF(Source!$E488=COLUMNS($A488:B488), LEFT(B487, LEN(B487)-Source!$C488), IF(Source!$G488=COLUMNS($A488:B488), B487&amp;RIGHT(INDIRECT(ADDRESS(ROW(B488)-1, Source!$E488)), Source!$C488), B487))</f>
        <v>ZDZ</v>
      </c>
      <c r="C488" s="2" t="str">
        <f>IF(Source!$E488=COLUMNS($A488:C488), LEFT(C487, LEN(C487)-Source!$C488), IF(Source!$G488=COLUMNS($A488:C488), C487&amp;RIGHT(INDIRECT(ADDRESS(ROW(C488)-1, Source!$E488)), Source!$C488), C487))</f>
        <v>BMDJW</v>
      </c>
      <c r="D488" s="2" t="str">
        <f>IF(Source!$E488=COLUMNS($A488:D488), LEFT(D487, LEN(D487)-Source!$C488), IF(Source!$G488=COLUMNS($A488:D488), D487&amp;RIGHT(INDIRECT(ADDRESS(ROW(D488)-1, Source!$E488)), Source!$C488), D487))</f>
        <v>DSHG</v>
      </c>
      <c r="E488" s="2" t="str">
        <f>IF(Source!$E488=COLUMNS($A488:E488), LEFT(E487, LEN(E487)-Source!$C488), IF(Source!$G488=COLUMNS($A488:E488), E487&amp;RIGHT(INDIRECT(ADDRESS(ROW(E488)-1, Source!$E488)), Source!$C488), E487))</f>
        <v>GRV</v>
      </c>
      <c r="F488" s="2" t="str">
        <f>IF(Source!$E488=COLUMNS($A488:F488), LEFT(F487, LEN(F487)-Source!$C488), IF(Source!$G488=COLUMNS($A488:F488), F487&amp;RIGHT(INDIRECT(ADDRESS(ROW(F488)-1, Source!$E488)), Source!$C488), F487))</f>
        <v>BTTCD</v>
      </c>
      <c r="G488" s="2" t="str">
        <f>IF(Source!$E488=COLUMNS($A488:G488), LEFT(G487, LEN(G487)-Source!$C488), IF(Source!$G488=COLUMNS($A488:G488), G487&amp;RIGHT(INDIRECT(ADDRESS(ROW(G488)-1, Source!$E488)), Source!$C488), G487))</f>
        <v>FFQ</v>
      </c>
      <c r="H488" s="2" t="str">
        <f>IF(Source!$E488=COLUMNS($A488:H488), LEFT(H487, LEN(H487)-Source!$C488), IF(Source!$G488=COLUMNS($A488:H488), H487&amp;RIGHT(INDIRECT(ADDRESS(ROW(H488)-1, Source!$E488)), Source!$C488), H487))</f>
        <v>SP</v>
      </c>
      <c r="I488" s="2" t="str">
        <f>IF(Source!$E488=COLUMNS($A488:I488), LEFT(I487, LEN(I487)-Source!$C488), IF(Source!$G488=COLUMNS($A488:I488), I487&amp;RIGHT(INDIRECT(ADDRESS(ROW(I488)-1, Source!$E488)), Source!$C488), I487))</f>
        <v>DHQSVLMTRTRJTLBRSLDTPJR</v>
      </c>
    </row>
    <row r="489">
      <c r="A489" s="2" t="str">
        <f>IF(Source!$E489=COLUMNS($A489:A489), LEFT(A488, LEN(A488)-Source!$C489), IF(Source!$G489=COLUMNS($A489:A489), A488&amp;RIGHT(INDIRECT(ADDRESS(ROW(A489)-1, Source!$E489)), Source!$C489), A488))</f>
        <v>CMCZBWVPDSHG</v>
      </c>
      <c r="B489" s="2" t="str">
        <f>IF(Source!$E489=COLUMNS($A489:B489), LEFT(B488, LEN(B488)-Source!$C489), IF(Source!$G489=COLUMNS($A489:B489), B488&amp;RIGHT(INDIRECT(ADDRESS(ROW(B489)-1, Source!$E489)), Source!$C489), B488))</f>
        <v>ZDZ</v>
      </c>
      <c r="C489" s="2" t="str">
        <f>IF(Source!$E489=COLUMNS($A489:C489), LEFT(C488, LEN(C488)-Source!$C489), IF(Source!$G489=COLUMNS($A489:C489), C488&amp;RIGHT(INDIRECT(ADDRESS(ROW(C489)-1, Source!$E489)), Source!$C489), C488))</f>
        <v>BMDJW</v>
      </c>
      <c r="D489" s="2" t="str">
        <f>IF(Source!$E489=COLUMNS($A489:D489), LEFT(D488, LEN(D488)-Source!$C489), IF(Source!$G489=COLUMNS($A489:D489), D488&amp;RIGHT(INDIRECT(ADDRESS(ROW(D489)-1, Source!$E489)), Source!$C489), D488))</f>
        <v/>
      </c>
      <c r="E489" s="2" t="str">
        <f>IF(Source!$E489=COLUMNS($A489:E489), LEFT(E488, LEN(E488)-Source!$C489), IF(Source!$G489=COLUMNS($A489:E489), E488&amp;RIGHT(INDIRECT(ADDRESS(ROW(E489)-1, Source!$E489)), Source!$C489), E488))</f>
        <v>GRV</v>
      </c>
      <c r="F489" s="2" t="str">
        <f>IF(Source!$E489=COLUMNS($A489:F489), LEFT(F488, LEN(F488)-Source!$C489), IF(Source!$G489=COLUMNS($A489:F489), F488&amp;RIGHT(INDIRECT(ADDRESS(ROW(F489)-1, Source!$E489)), Source!$C489), F488))</f>
        <v>BTTCD</v>
      </c>
      <c r="G489" s="2" t="str">
        <f>IF(Source!$E489=COLUMNS($A489:G489), LEFT(G488, LEN(G488)-Source!$C489), IF(Source!$G489=COLUMNS($A489:G489), G488&amp;RIGHT(INDIRECT(ADDRESS(ROW(G489)-1, Source!$E489)), Source!$C489), G488))</f>
        <v>FFQ</v>
      </c>
      <c r="H489" s="2" t="str">
        <f>IF(Source!$E489=COLUMNS($A489:H489), LEFT(H488, LEN(H488)-Source!$C489), IF(Source!$G489=COLUMNS($A489:H489), H488&amp;RIGHT(INDIRECT(ADDRESS(ROW(H489)-1, Source!$E489)), Source!$C489), H488))</f>
        <v>SP</v>
      </c>
      <c r="I489" s="2" t="str">
        <f>IF(Source!$E489=COLUMNS($A489:I489), LEFT(I488, LEN(I488)-Source!$C489), IF(Source!$G489=COLUMNS($A489:I489), I488&amp;RIGHT(INDIRECT(ADDRESS(ROW(I489)-1, Source!$E489)), Source!$C489), I488))</f>
        <v>DHQSVLMTRTRJTLBRSLDTPJR</v>
      </c>
    </row>
    <row r="490">
      <c r="A490" s="2" t="str">
        <f>IF(Source!$E490=COLUMNS($A490:A490), LEFT(A489, LEN(A489)-Source!$C490), IF(Source!$G490=COLUMNS($A490:A490), A489&amp;RIGHT(INDIRECT(ADDRESS(ROW(A490)-1, Source!$E490)), Source!$C490), A489))</f>
        <v>CMCZBWVPDSHG</v>
      </c>
      <c r="B490" s="2" t="str">
        <f>IF(Source!$E490=COLUMNS($A490:B490), LEFT(B489, LEN(B489)-Source!$C490), IF(Source!$G490=COLUMNS($A490:B490), B489&amp;RIGHT(INDIRECT(ADDRESS(ROW(B490)-1, Source!$E490)), Source!$C490), B489))</f>
        <v>ZDZ</v>
      </c>
      <c r="C490" s="2" t="str">
        <f>IF(Source!$E490=COLUMNS($A490:C490), LEFT(C489, LEN(C489)-Source!$C490), IF(Source!$G490=COLUMNS($A490:C490), C489&amp;RIGHT(INDIRECT(ADDRESS(ROW(C490)-1, Source!$E490)), Source!$C490), C489))</f>
        <v>BMDJW</v>
      </c>
      <c r="D490" s="2" t="str">
        <f>IF(Source!$E490=COLUMNS($A490:D490), LEFT(D489, LEN(D489)-Source!$C490), IF(Source!$G490=COLUMNS($A490:D490), D489&amp;RIGHT(INDIRECT(ADDRESS(ROW(D490)-1, Source!$E490)), Source!$C490), D489))</f>
        <v/>
      </c>
      <c r="E490" s="2" t="str">
        <f>IF(Source!$E490=COLUMNS($A490:E490), LEFT(E489, LEN(E489)-Source!$C490), IF(Source!$G490=COLUMNS($A490:E490), E489&amp;RIGHT(INDIRECT(ADDRESS(ROW(E490)-1, Source!$E490)), Source!$C490), E489))</f>
        <v>G</v>
      </c>
      <c r="F490" s="2" t="str">
        <f>IF(Source!$E490=COLUMNS($A490:F490), LEFT(F489, LEN(F489)-Source!$C490), IF(Source!$G490=COLUMNS($A490:F490), F489&amp;RIGHT(INDIRECT(ADDRESS(ROW(F490)-1, Source!$E490)), Source!$C490), F489))</f>
        <v>BTTCDRV</v>
      </c>
      <c r="G490" s="2" t="str">
        <f>IF(Source!$E490=COLUMNS($A490:G490), LEFT(G489, LEN(G489)-Source!$C490), IF(Source!$G490=COLUMNS($A490:G490), G489&amp;RIGHT(INDIRECT(ADDRESS(ROW(G490)-1, Source!$E490)), Source!$C490), G489))</f>
        <v>FFQ</v>
      </c>
      <c r="H490" s="2" t="str">
        <f>IF(Source!$E490=COLUMNS($A490:H490), LEFT(H489, LEN(H489)-Source!$C490), IF(Source!$G490=COLUMNS($A490:H490), H489&amp;RIGHT(INDIRECT(ADDRESS(ROW(H490)-1, Source!$E490)), Source!$C490), H489))</f>
        <v>SP</v>
      </c>
      <c r="I490" s="2" t="str">
        <f>IF(Source!$E490=COLUMNS($A490:I490), LEFT(I489, LEN(I489)-Source!$C490), IF(Source!$G490=COLUMNS($A490:I490), I489&amp;RIGHT(INDIRECT(ADDRESS(ROW(I490)-1, Source!$E490)), Source!$C490), I489))</f>
        <v>DHQSVLMTRTRJTLBRSLDTPJR</v>
      </c>
    </row>
    <row r="491">
      <c r="A491" s="2" t="str">
        <f>IF(Source!$E491=COLUMNS($A491:A491), LEFT(A490, LEN(A490)-Source!$C491), IF(Source!$G491=COLUMNS($A491:A491), A490&amp;RIGHT(INDIRECT(ADDRESS(ROW(A491)-1, Source!$E491)), Source!$C491), A490))</f>
        <v>CMCZBWVPDSHG</v>
      </c>
      <c r="B491" s="2" t="str">
        <f>IF(Source!$E491=COLUMNS($A491:B491), LEFT(B490, LEN(B490)-Source!$C491), IF(Source!$G491=COLUMNS($A491:B491), B490&amp;RIGHT(INDIRECT(ADDRESS(ROW(B491)-1, Source!$E491)), Source!$C491), B490))</f>
        <v>ZDZ</v>
      </c>
      <c r="C491" s="2" t="str">
        <f>IF(Source!$E491=COLUMNS($A491:C491), LEFT(C490, LEN(C490)-Source!$C491), IF(Source!$G491=COLUMNS($A491:C491), C490&amp;RIGHT(INDIRECT(ADDRESS(ROW(C491)-1, Source!$E491)), Source!$C491), C490))</f>
        <v>BMDJW</v>
      </c>
      <c r="D491" s="2" t="str">
        <f>IF(Source!$E491=COLUMNS($A491:D491), LEFT(D490, LEN(D490)-Source!$C491), IF(Source!$G491=COLUMNS($A491:D491), D490&amp;RIGHT(INDIRECT(ADDRESS(ROW(D491)-1, Source!$E491)), Source!$C491), D490))</f>
        <v>G</v>
      </c>
      <c r="E491" s="2" t="str">
        <f>IF(Source!$E491=COLUMNS($A491:E491), LEFT(E490, LEN(E490)-Source!$C491), IF(Source!$G491=COLUMNS($A491:E491), E490&amp;RIGHT(INDIRECT(ADDRESS(ROW(E491)-1, Source!$E491)), Source!$C491), E490))</f>
        <v/>
      </c>
      <c r="F491" s="2" t="str">
        <f>IF(Source!$E491=COLUMNS($A491:F491), LEFT(F490, LEN(F490)-Source!$C491), IF(Source!$G491=COLUMNS($A491:F491), F490&amp;RIGHT(INDIRECT(ADDRESS(ROW(F491)-1, Source!$E491)), Source!$C491), F490))</f>
        <v>BTTCDRV</v>
      </c>
      <c r="G491" s="2" t="str">
        <f>IF(Source!$E491=COLUMNS($A491:G491), LEFT(G490, LEN(G490)-Source!$C491), IF(Source!$G491=COLUMNS($A491:G491), G490&amp;RIGHT(INDIRECT(ADDRESS(ROW(G491)-1, Source!$E491)), Source!$C491), G490))</f>
        <v>FFQ</v>
      </c>
      <c r="H491" s="2" t="str">
        <f>IF(Source!$E491=COLUMNS($A491:H491), LEFT(H490, LEN(H490)-Source!$C491), IF(Source!$G491=COLUMNS($A491:H491), H490&amp;RIGHT(INDIRECT(ADDRESS(ROW(H491)-1, Source!$E491)), Source!$C491), H490))</f>
        <v>SP</v>
      </c>
      <c r="I491" s="2" t="str">
        <f>IF(Source!$E491=COLUMNS($A491:I491), LEFT(I490, LEN(I490)-Source!$C491), IF(Source!$G491=COLUMNS($A491:I491), I490&amp;RIGHT(INDIRECT(ADDRESS(ROW(I491)-1, Source!$E491)), Source!$C491), I490))</f>
        <v>DHQSVLMTRTRJTLBRSLDTPJR</v>
      </c>
    </row>
    <row r="492">
      <c r="A492" s="2" t="str">
        <f>IF(Source!$E492=COLUMNS($A492:A492), LEFT(A491, LEN(A491)-Source!$C492), IF(Source!$G492=COLUMNS($A492:A492), A491&amp;RIGHT(INDIRECT(ADDRESS(ROW(A492)-1, Source!$E492)), Source!$C492), A491))</f>
        <v>CMCZBWVPDSHGDZ</v>
      </c>
      <c r="B492" s="2" t="str">
        <f>IF(Source!$E492=COLUMNS($A492:B492), LEFT(B491, LEN(B491)-Source!$C492), IF(Source!$G492=COLUMNS($A492:B492), B491&amp;RIGHT(INDIRECT(ADDRESS(ROW(B492)-1, Source!$E492)), Source!$C492), B491))</f>
        <v>Z</v>
      </c>
      <c r="C492" s="2" t="str">
        <f>IF(Source!$E492=COLUMNS($A492:C492), LEFT(C491, LEN(C491)-Source!$C492), IF(Source!$G492=COLUMNS($A492:C492), C491&amp;RIGHT(INDIRECT(ADDRESS(ROW(C492)-1, Source!$E492)), Source!$C492), C491))</f>
        <v>BMDJW</v>
      </c>
      <c r="D492" s="2" t="str">
        <f>IF(Source!$E492=COLUMNS($A492:D492), LEFT(D491, LEN(D491)-Source!$C492), IF(Source!$G492=COLUMNS($A492:D492), D491&amp;RIGHT(INDIRECT(ADDRESS(ROW(D492)-1, Source!$E492)), Source!$C492), D491))</f>
        <v>G</v>
      </c>
      <c r="E492" s="2" t="str">
        <f>IF(Source!$E492=COLUMNS($A492:E492), LEFT(E491, LEN(E491)-Source!$C492), IF(Source!$G492=COLUMNS($A492:E492), E491&amp;RIGHT(INDIRECT(ADDRESS(ROW(E492)-1, Source!$E492)), Source!$C492), E491))</f>
        <v/>
      </c>
      <c r="F492" s="2" t="str">
        <f>IF(Source!$E492=COLUMNS($A492:F492), LEFT(F491, LEN(F491)-Source!$C492), IF(Source!$G492=COLUMNS($A492:F492), F491&amp;RIGHT(INDIRECT(ADDRESS(ROW(F492)-1, Source!$E492)), Source!$C492), F491))</f>
        <v>BTTCDRV</v>
      </c>
      <c r="G492" s="2" t="str">
        <f>IF(Source!$E492=COLUMNS($A492:G492), LEFT(G491, LEN(G491)-Source!$C492), IF(Source!$G492=COLUMNS($A492:G492), G491&amp;RIGHT(INDIRECT(ADDRESS(ROW(G492)-1, Source!$E492)), Source!$C492), G491))</f>
        <v>FFQ</v>
      </c>
      <c r="H492" s="2" t="str">
        <f>IF(Source!$E492=COLUMNS($A492:H492), LEFT(H491, LEN(H491)-Source!$C492), IF(Source!$G492=COLUMNS($A492:H492), H491&amp;RIGHT(INDIRECT(ADDRESS(ROW(H492)-1, Source!$E492)), Source!$C492), H491))</f>
        <v>SP</v>
      </c>
      <c r="I492" s="2" t="str">
        <f>IF(Source!$E492=COLUMNS($A492:I492), LEFT(I491, LEN(I491)-Source!$C492), IF(Source!$G492=COLUMNS($A492:I492), I491&amp;RIGHT(INDIRECT(ADDRESS(ROW(I492)-1, Source!$E492)), Source!$C492), I491))</f>
        <v>DHQSVLMTRTRJTLBRSLDTPJR</v>
      </c>
    </row>
    <row r="493">
      <c r="A493" s="2" t="str">
        <f>IF(Source!$E493=COLUMNS($A493:A493), LEFT(A492, LEN(A492)-Source!$C493), IF(Source!$G493=COLUMNS($A493:A493), A492&amp;RIGHT(INDIRECT(ADDRESS(ROW(A493)-1, Source!$E493)), Source!$C493), A492))</f>
        <v>CMCZBWVPDSHGDZ</v>
      </c>
      <c r="B493" s="2" t="str">
        <f>IF(Source!$E493=COLUMNS($A493:B493), LEFT(B492, LEN(B492)-Source!$C493), IF(Source!$G493=COLUMNS($A493:B493), B492&amp;RIGHT(INDIRECT(ADDRESS(ROW(B493)-1, Source!$E493)), Source!$C493), B492))</f>
        <v>Z</v>
      </c>
      <c r="C493" s="2" t="str">
        <f>IF(Source!$E493=COLUMNS($A493:C493), LEFT(C492, LEN(C492)-Source!$C493), IF(Source!$G493=COLUMNS($A493:C493), C492&amp;RIGHT(INDIRECT(ADDRESS(ROW(C493)-1, Source!$E493)), Source!$C493), C492))</f>
        <v>B</v>
      </c>
      <c r="D493" s="2" t="str">
        <f>IF(Source!$E493=COLUMNS($A493:D493), LEFT(D492, LEN(D492)-Source!$C493), IF(Source!$G493=COLUMNS($A493:D493), D492&amp;RIGHT(INDIRECT(ADDRESS(ROW(D493)-1, Source!$E493)), Source!$C493), D492))</f>
        <v>G</v>
      </c>
      <c r="E493" s="2" t="str">
        <f>IF(Source!$E493=COLUMNS($A493:E493), LEFT(E492, LEN(E492)-Source!$C493), IF(Source!$G493=COLUMNS($A493:E493), E492&amp;RIGHT(INDIRECT(ADDRESS(ROW(E493)-1, Source!$E493)), Source!$C493), E492))</f>
        <v/>
      </c>
      <c r="F493" s="2" t="str">
        <f>IF(Source!$E493=COLUMNS($A493:F493), LEFT(F492, LEN(F492)-Source!$C493), IF(Source!$G493=COLUMNS($A493:F493), F492&amp;RIGHT(INDIRECT(ADDRESS(ROW(F493)-1, Source!$E493)), Source!$C493), F492))</f>
        <v>BTTCDRV</v>
      </c>
      <c r="G493" s="2" t="str">
        <f>IF(Source!$E493=COLUMNS($A493:G493), LEFT(G492, LEN(G492)-Source!$C493), IF(Source!$G493=COLUMNS($A493:G493), G492&amp;RIGHT(INDIRECT(ADDRESS(ROW(G493)-1, Source!$E493)), Source!$C493), G492))</f>
        <v>FFQ</v>
      </c>
      <c r="H493" s="2" t="str">
        <f>IF(Source!$E493=COLUMNS($A493:H493), LEFT(H492, LEN(H492)-Source!$C493), IF(Source!$G493=COLUMNS($A493:H493), H492&amp;RIGHT(INDIRECT(ADDRESS(ROW(H493)-1, Source!$E493)), Source!$C493), H492))</f>
        <v>SP</v>
      </c>
      <c r="I493" s="2" t="str">
        <f>IF(Source!$E493=COLUMNS($A493:I493), LEFT(I492, LEN(I492)-Source!$C493), IF(Source!$G493=COLUMNS($A493:I493), I492&amp;RIGHT(INDIRECT(ADDRESS(ROW(I493)-1, Source!$E493)), Source!$C493), I492))</f>
        <v>DHQSVLMTRTRJTLBRSLDTPJRMDJW</v>
      </c>
    </row>
    <row r="494">
      <c r="A494" s="2" t="str">
        <f>IF(Source!$E494=COLUMNS($A494:A494), LEFT(A493, LEN(A493)-Source!$C494), IF(Source!$G494=COLUMNS($A494:A494), A493&amp;RIGHT(INDIRECT(ADDRESS(ROW(A494)-1, Source!$E494)), Source!$C494), A493))</f>
        <v>CMCZBWVPDSHGDZ</v>
      </c>
      <c r="B494" s="2" t="str">
        <f>IF(Source!$E494=COLUMNS($A494:B494), LEFT(B493, LEN(B493)-Source!$C494), IF(Source!$G494=COLUMNS($A494:B494), B493&amp;RIGHT(INDIRECT(ADDRESS(ROW(B494)-1, Source!$E494)), Source!$C494), B493))</f>
        <v>Z</v>
      </c>
      <c r="C494" s="2" t="str">
        <f>IF(Source!$E494=COLUMNS($A494:C494), LEFT(C493, LEN(C493)-Source!$C494), IF(Source!$G494=COLUMNS($A494:C494), C493&amp;RIGHT(INDIRECT(ADDRESS(ROW(C494)-1, Source!$E494)), Source!$C494), C493))</f>
        <v>BQ</v>
      </c>
      <c r="D494" s="2" t="str">
        <f>IF(Source!$E494=COLUMNS($A494:D494), LEFT(D493, LEN(D493)-Source!$C494), IF(Source!$G494=COLUMNS($A494:D494), D493&amp;RIGHT(INDIRECT(ADDRESS(ROW(D494)-1, Source!$E494)), Source!$C494), D493))</f>
        <v>G</v>
      </c>
      <c r="E494" s="2" t="str">
        <f>IF(Source!$E494=COLUMNS($A494:E494), LEFT(E493, LEN(E493)-Source!$C494), IF(Source!$G494=COLUMNS($A494:E494), E493&amp;RIGHT(INDIRECT(ADDRESS(ROW(E494)-1, Source!$E494)), Source!$C494), E493))</f>
        <v/>
      </c>
      <c r="F494" s="2" t="str">
        <f>IF(Source!$E494=COLUMNS($A494:F494), LEFT(F493, LEN(F493)-Source!$C494), IF(Source!$G494=COLUMNS($A494:F494), F493&amp;RIGHT(INDIRECT(ADDRESS(ROW(F494)-1, Source!$E494)), Source!$C494), F493))</f>
        <v>BTTCDRV</v>
      </c>
      <c r="G494" s="2" t="str">
        <f>IF(Source!$E494=COLUMNS($A494:G494), LEFT(G493, LEN(G493)-Source!$C494), IF(Source!$G494=COLUMNS($A494:G494), G493&amp;RIGHT(INDIRECT(ADDRESS(ROW(G494)-1, Source!$E494)), Source!$C494), G493))</f>
        <v>FF</v>
      </c>
      <c r="H494" s="2" t="str">
        <f>IF(Source!$E494=COLUMNS($A494:H494), LEFT(H493, LEN(H493)-Source!$C494), IF(Source!$G494=COLUMNS($A494:H494), H493&amp;RIGHT(INDIRECT(ADDRESS(ROW(H494)-1, Source!$E494)), Source!$C494), H493))</f>
        <v>SP</v>
      </c>
      <c r="I494" s="2" t="str">
        <f>IF(Source!$E494=COLUMNS($A494:I494), LEFT(I493, LEN(I493)-Source!$C494), IF(Source!$G494=COLUMNS($A494:I494), I493&amp;RIGHT(INDIRECT(ADDRESS(ROW(I494)-1, Source!$E494)), Source!$C494), I493))</f>
        <v>DHQSVLMTRTRJTLBRSLDTPJRMDJW</v>
      </c>
    </row>
    <row r="495">
      <c r="A495" s="2" t="str">
        <f>IF(Source!$E495=COLUMNS($A495:A495), LEFT(A494, LEN(A494)-Source!$C495), IF(Source!$G495=COLUMNS($A495:A495), A494&amp;RIGHT(INDIRECT(ADDRESS(ROW(A495)-1, Source!$E495)), Source!$C495), A494))</f>
        <v>CMCZBWVPDSHGDZ</v>
      </c>
      <c r="B495" s="2" t="str">
        <f>IF(Source!$E495=COLUMNS($A495:B495), LEFT(B494, LEN(B494)-Source!$C495), IF(Source!$G495=COLUMNS($A495:B495), B494&amp;RIGHT(INDIRECT(ADDRESS(ROW(B495)-1, Source!$E495)), Source!$C495), B494))</f>
        <v>Z</v>
      </c>
      <c r="C495" s="2" t="str">
        <f>IF(Source!$E495=COLUMNS($A495:C495), LEFT(C494, LEN(C494)-Source!$C495), IF(Source!$G495=COLUMNS($A495:C495), C494&amp;RIGHT(INDIRECT(ADDRESS(ROW(C495)-1, Source!$E495)), Source!$C495), C494))</f>
        <v>BQ</v>
      </c>
      <c r="D495" s="2" t="str">
        <f>IF(Source!$E495=COLUMNS($A495:D495), LEFT(D494, LEN(D494)-Source!$C495), IF(Source!$G495=COLUMNS($A495:D495), D494&amp;RIGHT(INDIRECT(ADDRESS(ROW(D495)-1, Source!$E495)), Source!$C495), D494))</f>
        <v>GFF</v>
      </c>
      <c r="E495" s="2" t="str">
        <f>IF(Source!$E495=COLUMNS($A495:E495), LEFT(E494, LEN(E494)-Source!$C495), IF(Source!$G495=COLUMNS($A495:E495), E494&amp;RIGHT(INDIRECT(ADDRESS(ROW(E495)-1, Source!$E495)), Source!$C495), E494))</f>
        <v/>
      </c>
      <c r="F495" s="2" t="str">
        <f>IF(Source!$E495=COLUMNS($A495:F495), LEFT(F494, LEN(F494)-Source!$C495), IF(Source!$G495=COLUMNS($A495:F495), F494&amp;RIGHT(INDIRECT(ADDRESS(ROW(F495)-1, Source!$E495)), Source!$C495), F494))</f>
        <v>BTTCDRV</v>
      </c>
      <c r="G495" s="2" t="str">
        <f>IF(Source!$E495=COLUMNS($A495:G495), LEFT(G494, LEN(G494)-Source!$C495), IF(Source!$G495=COLUMNS($A495:G495), G494&amp;RIGHT(INDIRECT(ADDRESS(ROW(G495)-1, Source!$E495)), Source!$C495), G494))</f>
        <v/>
      </c>
      <c r="H495" s="2" t="str">
        <f>IF(Source!$E495=COLUMNS($A495:H495), LEFT(H494, LEN(H494)-Source!$C495), IF(Source!$G495=COLUMNS($A495:H495), H494&amp;RIGHT(INDIRECT(ADDRESS(ROW(H495)-1, Source!$E495)), Source!$C495), H494))</f>
        <v>SP</v>
      </c>
      <c r="I495" s="2" t="str">
        <f>IF(Source!$E495=COLUMNS($A495:I495), LEFT(I494, LEN(I494)-Source!$C495), IF(Source!$G495=COLUMNS($A495:I495), I494&amp;RIGHT(INDIRECT(ADDRESS(ROW(I495)-1, Source!$E495)), Source!$C495), I494))</f>
        <v>DHQSVLMTRTRJTLBRSLDTPJRMDJW</v>
      </c>
    </row>
    <row r="496">
      <c r="A496" s="2" t="str">
        <f>IF(Source!$E496=COLUMNS($A496:A496), LEFT(A495, LEN(A495)-Source!$C496), IF(Source!$G496=COLUMNS($A496:A496), A495&amp;RIGHT(INDIRECT(ADDRESS(ROW(A496)-1, Source!$E496)), Source!$C496), A495))</f>
        <v>CMCZBWVPDSHGDZ</v>
      </c>
      <c r="B496" s="2" t="str">
        <f>IF(Source!$E496=COLUMNS($A496:B496), LEFT(B495, LEN(B495)-Source!$C496), IF(Source!$G496=COLUMNS($A496:B496), B495&amp;RIGHT(INDIRECT(ADDRESS(ROW(B496)-1, Source!$E496)), Source!$C496), B495))</f>
        <v>Z</v>
      </c>
      <c r="C496" s="2" t="str">
        <f>IF(Source!$E496=COLUMNS($A496:C496), LEFT(C495, LEN(C495)-Source!$C496), IF(Source!$G496=COLUMNS($A496:C496), C495&amp;RIGHT(INDIRECT(ADDRESS(ROW(C496)-1, Source!$E496)), Source!$C496), C495))</f>
        <v>BQ</v>
      </c>
      <c r="D496" s="2" t="str">
        <f>IF(Source!$E496=COLUMNS($A496:D496), LEFT(D495, LEN(D495)-Source!$C496), IF(Source!$G496=COLUMNS($A496:D496), D495&amp;RIGHT(INDIRECT(ADDRESS(ROW(D496)-1, Source!$E496)), Source!$C496), D495))</f>
        <v>G</v>
      </c>
      <c r="E496" s="2" t="str">
        <f>IF(Source!$E496=COLUMNS($A496:E496), LEFT(E495, LEN(E495)-Source!$C496), IF(Source!$G496=COLUMNS($A496:E496), E495&amp;RIGHT(INDIRECT(ADDRESS(ROW(E496)-1, Source!$E496)), Source!$C496), E495))</f>
        <v/>
      </c>
      <c r="F496" s="2" t="str">
        <f>IF(Source!$E496=COLUMNS($A496:F496), LEFT(F495, LEN(F495)-Source!$C496), IF(Source!$G496=COLUMNS($A496:F496), F495&amp;RIGHT(INDIRECT(ADDRESS(ROW(F496)-1, Source!$E496)), Source!$C496), F495))</f>
        <v>BTTCDRV</v>
      </c>
      <c r="G496" s="2" t="str">
        <f>IF(Source!$E496=COLUMNS($A496:G496), LEFT(G495, LEN(G495)-Source!$C496), IF(Source!$G496=COLUMNS($A496:G496), G495&amp;RIGHT(INDIRECT(ADDRESS(ROW(G496)-1, Source!$E496)), Source!$C496), G495))</f>
        <v>FF</v>
      </c>
      <c r="H496" s="2" t="str">
        <f>IF(Source!$E496=COLUMNS($A496:H496), LEFT(H495, LEN(H495)-Source!$C496), IF(Source!$G496=COLUMNS($A496:H496), H495&amp;RIGHT(INDIRECT(ADDRESS(ROW(H496)-1, Source!$E496)), Source!$C496), H495))</f>
        <v>SP</v>
      </c>
      <c r="I496" s="2" t="str">
        <f>IF(Source!$E496=COLUMNS($A496:I496), LEFT(I495, LEN(I495)-Source!$C496), IF(Source!$G496=COLUMNS($A496:I496), I495&amp;RIGHT(INDIRECT(ADDRESS(ROW(I496)-1, Source!$E496)), Source!$C496), I495))</f>
        <v>DHQSVLMTRTRJTLBRSLDTPJRMDJW</v>
      </c>
    </row>
    <row r="497">
      <c r="A497" s="2" t="str">
        <f>IF(Source!$E497=COLUMNS($A497:A497), LEFT(A496, LEN(A496)-Source!$C497), IF(Source!$G497=COLUMNS($A497:A497), A496&amp;RIGHT(INDIRECT(ADDRESS(ROW(A497)-1, Source!$E497)), Source!$C497), A496))</f>
        <v>CMCZBWVPDSHGDZ</v>
      </c>
      <c r="B497" s="2" t="str">
        <f>IF(Source!$E497=COLUMNS($A497:B497), LEFT(B496, LEN(B496)-Source!$C497), IF(Source!$G497=COLUMNS($A497:B497), B496&amp;RIGHT(INDIRECT(ADDRESS(ROW(B497)-1, Source!$E497)), Source!$C497), B496))</f>
        <v>Z</v>
      </c>
      <c r="C497" s="2" t="str">
        <f>IF(Source!$E497=COLUMNS($A497:C497), LEFT(C496, LEN(C496)-Source!$C497), IF(Source!$G497=COLUMNS($A497:C497), C496&amp;RIGHT(INDIRECT(ADDRESS(ROW(C497)-1, Source!$E497)), Source!$C497), C496))</f>
        <v>BQ</v>
      </c>
      <c r="D497" s="2" t="str">
        <f>IF(Source!$E497=COLUMNS($A497:D497), LEFT(D496, LEN(D496)-Source!$C497), IF(Source!$G497=COLUMNS($A497:D497), D496&amp;RIGHT(INDIRECT(ADDRESS(ROW(D497)-1, Source!$E497)), Source!$C497), D496))</f>
        <v>G</v>
      </c>
      <c r="E497" s="2" t="str">
        <f>IF(Source!$E497=COLUMNS($A497:E497), LEFT(E496, LEN(E496)-Source!$C497), IF(Source!$G497=COLUMNS($A497:E497), E496&amp;RIGHT(INDIRECT(ADDRESS(ROW(E497)-1, Source!$E497)), Source!$C497), E496))</f>
        <v/>
      </c>
      <c r="F497" s="2" t="str">
        <f>IF(Source!$E497=COLUMNS($A497:F497), LEFT(F496, LEN(F496)-Source!$C497), IF(Source!$G497=COLUMNS($A497:F497), F496&amp;RIGHT(INDIRECT(ADDRESS(ROW(F497)-1, Source!$E497)), Source!$C497), F496))</f>
        <v>BTTCDR</v>
      </c>
      <c r="G497" s="2" t="str">
        <f>IF(Source!$E497=COLUMNS($A497:G497), LEFT(G496, LEN(G496)-Source!$C497), IF(Source!$G497=COLUMNS($A497:G497), G496&amp;RIGHT(INDIRECT(ADDRESS(ROW(G497)-1, Source!$E497)), Source!$C497), G496))</f>
        <v>FFV</v>
      </c>
      <c r="H497" s="2" t="str">
        <f>IF(Source!$E497=COLUMNS($A497:H497), LEFT(H496, LEN(H496)-Source!$C497), IF(Source!$G497=COLUMNS($A497:H497), H496&amp;RIGHT(INDIRECT(ADDRESS(ROW(H497)-1, Source!$E497)), Source!$C497), H496))</f>
        <v>SP</v>
      </c>
      <c r="I497" s="2" t="str">
        <f>IF(Source!$E497=COLUMNS($A497:I497), LEFT(I496, LEN(I496)-Source!$C497), IF(Source!$G497=COLUMNS($A497:I497), I496&amp;RIGHT(INDIRECT(ADDRESS(ROW(I497)-1, Source!$E497)), Source!$C497), I496))</f>
        <v>DHQSVLMTRTRJTLBRSLDTPJRMDJW</v>
      </c>
    </row>
    <row r="498">
      <c r="A498" s="2" t="str">
        <f>IF(Source!$E498=COLUMNS($A498:A498), LEFT(A497, LEN(A497)-Source!$C498), IF(Source!$G498=COLUMNS($A498:A498), A497&amp;RIGHT(INDIRECT(ADDRESS(ROW(A498)-1, Source!$E498)), Source!$C498), A497))</f>
        <v>CMCZBWVPDSHGDZ</v>
      </c>
      <c r="B498" s="2" t="str">
        <f>IF(Source!$E498=COLUMNS($A498:B498), LEFT(B497, LEN(B497)-Source!$C498), IF(Source!$G498=COLUMNS($A498:B498), B497&amp;RIGHT(INDIRECT(ADDRESS(ROW(B498)-1, Source!$E498)), Source!$C498), B497))</f>
        <v/>
      </c>
      <c r="C498" s="2" t="str">
        <f>IF(Source!$E498=COLUMNS($A498:C498), LEFT(C497, LEN(C497)-Source!$C498), IF(Source!$G498=COLUMNS($A498:C498), C497&amp;RIGHT(INDIRECT(ADDRESS(ROW(C498)-1, Source!$E498)), Source!$C498), C497))</f>
        <v>BQ</v>
      </c>
      <c r="D498" s="2" t="str">
        <f>IF(Source!$E498=COLUMNS($A498:D498), LEFT(D497, LEN(D497)-Source!$C498), IF(Source!$G498=COLUMNS($A498:D498), D497&amp;RIGHT(INDIRECT(ADDRESS(ROW(D498)-1, Source!$E498)), Source!$C498), D497))</f>
        <v>G</v>
      </c>
      <c r="E498" s="2" t="str">
        <f>IF(Source!$E498=COLUMNS($A498:E498), LEFT(E497, LEN(E497)-Source!$C498), IF(Source!$G498=COLUMNS($A498:E498), E497&amp;RIGHT(INDIRECT(ADDRESS(ROW(E498)-1, Source!$E498)), Source!$C498), E497))</f>
        <v/>
      </c>
      <c r="F498" s="2" t="str">
        <f>IF(Source!$E498=COLUMNS($A498:F498), LEFT(F497, LEN(F497)-Source!$C498), IF(Source!$G498=COLUMNS($A498:F498), F497&amp;RIGHT(INDIRECT(ADDRESS(ROW(F498)-1, Source!$E498)), Source!$C498), F497))</f>
        <v>BTTCDR</v>
      </c>
      <c r="G498" s="2" t="str">
        <f>IF(Source!$E498=COLUMNS($A498:G498), LEFT(G497, LEN(G497)-Source!$C498), IF(Source!$G498=COLUMNS($A498:G498), G497&amp;RIGHT(INDIRECT(ADDRESS(ROW(G498)-1, Source!$E498)), Source!$C498), G497))</f>
        <v>FFV</v>
      </c>
      <c r="H498" s="2" t="str">
        <f>IF(Source!$E498=COLUMNS($A498:H498), LEFT(H497, LEN(H497)-Source!$C498), IF(Source!$G498=COLUMNS($A498:H498), H497&amp;RIGHT(INDIRECT(ADDRESS(ROW(H498)-1, Source!$E498)), Source!$C498), H497))</f>
        <v>SPZ</v>
      </c>
      <c r="I498" s="2" t="str">
        <f>IF(Source!$E498=COLUMNS($A498:I498), LEFT(I497, LEN(I497)-Source!$C498), IF(Source!$G498=COLUMNS($A498:I498), I497&amp;RIGHT(INDIRECT(ADDRESS(ROW(I498)-1, Source!$E498)), Source!$C498), I497))</f>
        <v>DHQSVLMTRTRJTLBRSLDTPJRMDJW</v>
      </c>
    </row>
    <row r="499">
      <c r="A499" s="2" t="str">
        <f>IF(Source!$E499=COLUMNS($A499:A499), LEFT(A498, LEN(A498)-Source!$C499), IF(Source!$G499=COLUMNS($A499:A499), A498&amp;RIGHT(INDIRECT(ADDRESS(ROW(A499)-1, Source!$E499)), Source!$C499), A498))</f>
        <v>CMCZBWVPDSHGDZ</v>
      </c>
      <c r="B499" s="2" t="str">
        <f>IF(Source!$E499=COLUMNS($A499:B499), LEFT(B498, LEN(B498)-Source!$C499), IF(Source!$G499=COLUMNS($A499:B499), B498&amp;RIGHT(INDIRECT(ADDRESS(ROW(B499)-1, Source!$E499)), Source!$C499), B498))</f>
        <v/>
      </c>
      <c r="C499" s="2" t="str">
        <f>IF(Source!$E499=COLUMNS($A499:C499), LEFT(C498, LEN(C498)-Source!$C499), IF(Source!$G499=COLUMNS($A499:C499), C498&amp;RIGHT(INDIRECT(ADDRESS(ROW(C499)-1, Source!$E499)), Source!$C499), C498))</f>
        <v/>
      </c>
      <c r="D499" s="2" t="str">
        <f>IF(Source!$E499=COLUMNS($A499:D499), LEFT(D498, LEN(D498)-Source!$C499), IF(Source!$G499=COLUMNS($A499:D499), D498&amp;RIGHT(INDIRECT(ADDRESS(ROW(D499)-1, Source!$E499)), Source!$C499), D498))</f>
        <v>G</v>
      </c>
      <c r="E499" s="2" t="str">
        <f>IF(Source!$E499=COLUMNS($A499:E499), LEFT(E498, LEN(E498)-Source!$C499), IF(Source!$G499=COLUMNS($A499:E499), E498&amp;RIGHT(INDIRECT(ADDRESS(ROW(E499)-1, Source!$E499)), Source!$C499), E498))</f>
        <v/>
      </c>
      <c r="F499" s="2" t="str">
        <f>IF(Source!$E499=COLUMNS($A499:F499), LEFT(F498, LEN(F498)-Source!$C499), IF(Source!$G499=COLUMNS($A499:F499), F498&amp;RIGHT(INDIRECT(ADDRESS(ROW(F499)-1, Source!$E499)), Source!$C499), F498))</f>
        <v>BTTCDR</v>
      </c>
      <c r="G499" s="2" t="str">
        <f>IF(Source!$E499=COLUMNS($A499:G499), LEFT(G498, LEN(G498)-Source!$C499), IF(Source!$G499=COLUMNS($A499:G499), G498&amp;RIGHT(INDIRECT(ADDRESS(ROW(G499)-1, Source!$E499)), Source!$C499), G498))</f>
        <v>FFV</v>
      </c>
      <c r="H499" s="2" t="str">
        <f>IF(Source!$E499=COLUMNS($A499:H499), LEFT(H498, LEN(H498)-Source!$C499), IF(Source!$G499=COLUMNS($A499:H499), H498&amp;RIGHT(INDIRECT(ADDRESS(ROW(H499)-1, Source!$E499)), Source!$C499), H498))</f>
        <v>SPZ</v>
      </c>
      <c r="I499" s="2" t="str">
        <f>IF(Source!$E499=COLUMNS($A499:I499), LEFT(I498, LEN(I498)-Source!$C499), IF(Source!$G499=COLUMNS($A499:I499), I498&amp;RIGHT(INDIRECT(ADDRESS(ROW(I499)-1, Source!$E499)), Source!$C499), I498))</f>
        <v>DHQSVLMTRTRJTLBRSLDTPJRMDJWBQ</v>
      </c>
    </row>
    <row r="500">
      <c r="A500" s="2" t="str">
        <f>IF(Source!$E500=COLUMNS($A500:A500), LEFT(A499, LEN(A499)-Source!$C500), IF(Source!$G500=COLUMNS($A500:A500), A499&amp;RIGHT(INDIRECT(ADDRESS(ROW(A500)-1, Source!$E500)), Source!$C500), A499))</f>
        <v/>
      </c>
      <c r="B500" s="2" t="str">
        <f>IF(Source!$E500=COLUMNS($A500:B500), LEFT(B499, LEN(B499)-Source!$C500), IF(Source!$G500=COLUMNS($A500:B500), B499&amp;RIGHT(INDIRECT(ADDRESS(ROW(B500)-1, Source!$E500)), Source!$C500), B499))</f>
        <v/>
      </c>
      <c r="C500" s="2" t="str">
        <f>IF(Source!$E500=COLUMNS($A500:C500), LEFT(C499, LEN(C499)-Source!$C500), IF(Source!$G500=COLUMNS($A500:C500), C499&amp;RIGHT(INDIRECT(ADDRESS(ROW(C500)-1, Source!$E500)), Source!$C500), C499))</f>
        <v/>
      </c>
      <c r="D500" s="2" t="str">
        <f>IF(Source!$E500=COLUMNS($A500:D500), LEFT(D499, LEN(D499)-Source!$C500), IF(Source!$G500=COLUMNS($A500:D500), D499&amp;RIGHT(INDIRECT(ADDRESS(ROW(D500)-1, Source!$E500)), Source!$C500), D499))</f>
        <v>G</v>
      </c>
      <c r="E500" s="2" t="str">
        <f>IF(Source!$E500=COLUMNS($A500:E500), LEFT(E499, LEN(E499)-Source!$C500), IF(Source!$G500=COLUMNS($A500:E500), E499&amp;RIGHT(INDIRECT(ADDRESS(ROW(E500)-1, Source!$E500)), Source!$C500), E499))</f>
        <v/>
      </c>
      <c r="F500" s="2" t="str">
        <f>IF(Source!$E500=COLUMNS($A500:F500), LEFT(F499, LEN(F499)-Source!$C500), IF(Source!$G500=COLUMNS($A500:F500), F499&amp;RIGHT(INDIRECT(ADDRESS(ROW(F500)-1, Source!$E500)), Source!$C500), F499))</f>
        <v>BTTCDR</v>
      </c>
      <c r="G500" s="2" t="str">
        <f>IF(Source!$E500=COLUMNS($A500:G500), LEFT(G499, LEN(G499)-Source!$C500), IF(Source!$G500=COLUMNS($A500:G500), G499&amp;RIGHT(INDIRECT(ADDRESS(ROW(G500)-1, Source!$E500)), Source!$C500), G499))</f>
        <v>FFV</v>
      </c>
      <c r="H500" s="2" t="str">
        <f>IF(Source!$E500=COLUMNS($A500:H500), LEFT(H499, LEN(H499)-Source!$C500), IF(Source!$G500=COLUMNS($A500:H500), H499&amp;RIGHT(INDIRECT(ADDRESS(ROW(H500)-1, Source!$E500)), Source!$C500), H499))</f>
        <v>SPZCMCZBWVPDSHGDZ</v>
      </c>
      <c r="I500" s="2" t="str">
        <f>IF(Source!$E500=COLUMNS($A500:I500), LEFT(I499, LEN(I499)-Source!$C500), IF(Source!$G500=COLUMNS($A500:I500), I499&amp;RIGHT(INDIRECT(ADDRESS(ROW(I500)-1, Source!$E500)), Source!$C500), I499))</f>
        <v>DHQSVLMTRTRJTLBRSLDTPJRMDJWBQ</v>
      </c>
    </row>
    <row r="501">
      <c r="A501" s="2" t="str">
        <f>IF(Source!$E501=COLUMNS($A501:A501), LEFT(A500, LEN(A500)-Source!$C501), IF(Source!$G501=COLUMNS($A501:A501), A500&amp;RIGHT(INDIRECT(ADDRESS(ROW(A501)-1, Source!$E501)), Source!$C501), A500))</f>
        <v/>
      </c>
      <c r="B501" s="2" t="str">
        <f>IF(Source!$E501=COLUMNS($A501:B501), LEFT(B500, LEN(B500)-Source!$C501), IF(Source!$G501=COLUMNS($A501:B501), B500&amp;RIGHT(INDIRECT(ADDRESS(ROW(B501)-1, Source!$E501)), Source!$C501), B500))</f>
        <v>R</v>
      </c>
      <c r="C501" s="2" t="str">
        <f>IF(Source!$E501=COLUMNS($A501:C501), LEFT(C500, LEN(C500)-Source!$C501), IF(Source!$G501=COLUMNS($A501:C501), C500&amp;RIGHT(INDIRECT(ADDRESS(ROW(C501)-1, Source!$E501)), Source!$C501), C500))</f>
        <v/>
      </c>
      <c r="D501" s="2" t="str">
        <f>IF(Source!$E501=COLUMNS($A501:D501), LEFT(D500, LEN(D500)-Source!$C501), IF(Source!$G501=COLUMNS($A501:D501), D500&amp;RIGHT(INDIRECT(ADDRESS(ROW(D501)-1, Source!$E501)), Source!$C501), D500))</f>
        <v>G</v>
      </c>
      <c r="E501" s="2" t="str">
        <f>IF(Source!$E501=COLUMNS($A501:E501), LEFT(E500, LEN(E500)-Source!$C501), IF(Source!$G501=COLUMNS($A501:E501), E500&amp;RIGHT(INDIRECT(ADDRESS(ROW(E501)-1, Source!$E501)), Source!$C501), E500))</f>
        <v/>
      </c>
      <c r="F501" s="2" t="str">
        <f>IF(Source!$E501=COLUMNS($A501:F501), LEFT(F500, LEN(F500)-Source!$C501), IF(Source!$G501=COLUMNS($A501:F501), F500&amp;RIGHT(INDIRECT(ADDRESS(ROW(F501)-1, Source!$E501)), Source!$C501), F500))</f>
        <v>BTTCD</v>
      </c>
      <c r="G501" s="2" t="str">
        <f>IF(Source!$E501=COLUMNS($A501:G501), LEFT(G500, LEN(G500)-Source!$C501), IF(Source!$G501=COLUMNS($A501:G501), G500&amp;RIGHT(INDIRECT(ADDRESS(ROW(G501)-1, Source!$E501)), Source!$C501), G500))</f>
        <v>FFV</v>
      </c>
      <c r="H501" s="2" t="str">
        <f>IF(Source!$E501=COLUMNS($A501:H501), LEFT(H500, LEN(H500)-Source!$C501), IF(Source!$G501=COLUMNS($A501:H501), H500&amp;RIGHT(INDIRECT(ADDRESS(ROW(H501)-1, Source!$E501)), Source!$C501), H500))</f>
        <v>SPZCMCZBWVPDSHGDZ</v>
      </c>
      <c r="I501" s="2" t="str">
        <f>IF(Source!$E501=COLUMNS($A501:I501), LEFT(I500, LEN(I500)-Source!$C501), IF(Source!$G501=COLUMNS($A501:I501), I500&amp;RIGHT(INDIRECT(ADDRESS(ROW(I501)-1, Source!$E501)), Source!$C501), I500))</f>
        <v>DHQSVLMTRTRJTLBRSLDTPJRMDJWBQ</v>
      </c>
    </row>
    <row r="502">
      <c r="A502" s="2" t="str">
        <f>IF(Source!$E502=COLUMNS($A502:A502), LEFT(A501, LEN(A501)-Source!$C502), IF(Source!$G502=COLUMNS($A502:A502), A501&amp;RIGHT(INDIRECT(ADDRESS(ROW(A502)-1, Source!$E502)), Source!$C502), A501))</f>
        <v>FV</v>
      </c>
      <c r="B502" s="2" t="str">
        <f>IF(Source!$E502=COLUMNS($A502:B502), LEFT(B501, LEN(B501)-Source!$C502), IF(Source!$G502=COLUMNS($A502:B502), B501&amp;RIGHT(INDIRECT(ADDRESS(ROW(B502)-1, Source!$E502)), Source!$C502), B501))</f>
        <v>R</v>
      </c>
      <c r="C502" s="2" t="str">
        <f>IF(Source!$E502=COLUMNS($A502:C502), LEFT(C501, LEN(C501)-Source!$C502), IF(Source!$G502=COLUMNS($A502:C502), C501&amp;RIGHT(INDIRECT(ADDRESS(ROW(C502)-1, Source!$E502)), Source!$C502), C501))</f>
        <v/>
      </c>
      <c r="D502" s="2" t="str">
        <f>IF(Source!$E502=COLUMNS($A502:D502), LEFT(D501, LEN(D501)-Source!$C502), IF(Source!$G502=COLUMNS($A502:D502), D501&amp;RIGHT(INDIRECT(ADDRESS(ROW(D502)-1, Source!$E502)), Source!$C502), D501))</f>
        <v>G</v>
      </c>
      <c r="E502" s="2" t="str">
        <f>IF(Source!$E502=COLUMNS($A502:E502), LEFT(E501, LEN(E501)-Source!$C502), IF(Source!$G502=COLUMNS($A502:E502), E501&amp;RIGHT(INDIRECT(ADDRESS(ROW(E502)-1, Source!$E502)), Source!$C502), E501))</f>
        <v/>
      </c>
      <c r="F502" s="2" t="str">
        <f>IF(Source!$E502=COLUMNS($A502:F502), LEFT(F501, LEN(F501)-Source!$C502), IF(Source!$G502=COLUMNS($A502:F502), F501&amp;RIGHT(INDIRECT(ADDRESS(ROW(F502)-1, Source!$E502)), Source!$C502), F501))</f>
        <v>BTTCD</v>
      </c>
      <c r="G502" s="2" t="str">
        <f>IF(Source!$E502=COLUMNS($A502:G502), LEFT(G501, LEN(G501)-Source!$C502), IF(Source!$G502=COLUMNS($A502:G502), G501&amp;RIGHT(INDIRECT(ADDRESS(ROW(G502)-1, Source!$E502)), Source!$C502), G501))</f>
        <v>F</v>
      </c>
      <c r="H502" s="2" t="str">
        <f>IF(Source!$E502=COLUMNS($A502:H502), LEFT(H501, LEN(H501)-Source!$C502), IF(Source!$G502=COLUMNS($A502:H502), H501&amp;RIGHT(INDIRECT(ADDRESS(ROW(H502)-1, Source!$E502)), Source!$C502), H501))</f>
        <v>SPZCMCZBWVPDSHGDZ</v>
      </c>
      <c r="I502" s="2" t="str">
        <f>IF(Source!$E502=COLUMNS($A502:I502), LEFT(I501, LEN(I501)-Source!$C502), IF(Source!$G502=COLUMNS($A502:I502), I501&amp;RIGHT(INDIRECT(ADDRESS(ROW(I502)-1, Source!$E502)), Source!$C502), I501))</f>
        <v>DHQSVLMTRTRJTLBRSLDTPJRMDJWBQ</v>
      </c>
    </row>
    <row r="503">
      <c r="A503" s="2" t="str">
        <f>IF(Source!$E503=COLUMNS($A503:A503), LEFT(A502, LEN(A502)-Source!$C503), IF(Source!$G503=COLUMNS($A503:A503), A502&amp;RIGHT(INDIRECT(ADDRESS(ROW(A503)-1, Source!$E503)), Source!$C503), A502))</f>
        <v>FV</v>
      </c>
      <c r="B503" s="2" t="str">
        <f>IF(Source!$E503=COLUMNS($A503:B503), LEFT(B502, LEN(B502)-Source!$C503), IF(Source!$G503=COLUMNS($A503:B503), B502&amp;RIGHT(INDIRECT(ADDRESS(ROW(B503)-1, Source!$E503)), Source!$C503), B502))</f>
        <v>R</v>
      </c>
      <c r="C503" s="2" t="str">
        <f>IF(Source!$E503=COLUMNS($A503:C503), LEFT(C502, LEN(C502)-Source!$C503), IF(Source!$G503=COLUMNS($A503:C503), C502&amp;RIGHT(INDIRECT(ADDRESS(ROW(C503)-1, Source!$E503)), Source!$C503), C502))</f>
        <v>GDZ</v>
      </c>
      <c r="D503" s="2" t="str">
        <f>IF(Source!$E503=COLUMNS($A503:D503), LEFT(D502, LEN(D502)-Source!$C503), IF(Source!$G503=COLUMNS($A503:D503), D502&amp;RIGHT(INDIRECT(ADDRESS(ROW(D503)-1, Source!$E503)), Source!$C503), D502))</f>
        <v>G</v>
      </c>
      <c r="E503" s="2" t="str">
        <f>IF(Source!$E503=COLUMNS($A503:E503), LEFT(E502, LEN(E502)-Source!$C503), IF(Source!$G503=COLUMNS($A503:E503), E502&amp;RIGHT(INDIRECT(ADDRESS(ROW(E503)-1, Source!$E503)), Source!$C503), E502))</f>
        <v/>
      </c>
      <c r="F503" s="2" t="str">
        <f>IF(Source!$E503=COLUMNS($A503:F503), LEFT(F502, LEN(F502)-Source!$C503), IF(Source!$G503=COLUMNS($A503:F503), F502&amp;RIGHT(INDIRECT(ADDRESS(ROW(F503)-1, Source!$E503)), Source!$C503), F502))</f>
        <v>BTTCD</v>
      </c>
      <c r="G503" s="2" t="str">
        <f>IF(Source!$E503=COLUMNS($A503:G503), LEFT(G502, LEN(G502)-Source!$C503), IF(Source!$G503=COLUMNS($A503:G503), G502&amp;RIGHT(INDIRECT(ADDRESS(ROW(G503)-1, Source!$E503)), Source!$C503), G502))</f>
        <v>F</v>
      </c>
      <c r="H503" s="2" t="str">
        <f>IF(Source!$E503=COLUMNS($A503:H503), LEFT(H502, LEN(H502)-Source!$C503), IF(Source!$G503=COLUMNS($A503:H503), H502&amp;RIGHT(INDIRECT(ADDRESS(ROW(H503)-1, Source!$E503)), Source!$C503), H502))</f>
        <v>SPZCMCZBWVPDSH</v>
      </c>
      <c r="I503" s="2" t="str">
        <f>IF(Source!$E503=COLUMNS($A503:I503), LEFT(I502, LEN(I502)-Source!$C503), IF(Source!$G503=COLUMNS($A503:I503), I502&amp;RIGHT(INDIRECT(ADDRESS(ROW(I503)-1, Source!$E503)), Source!$C503), I502))</f>
        <v>DHQSVLMTRTRJTLBRSLDTPJRMDJWBQ</v>
      </c>
    </row>
    <row r="504">
      <c r="A504" s="2" t="str">
        <f>IF(Source!$E504=COLUMNS($A504:A504), LEFT(A503, LEN(A503)-Source!$C504), IF(Source!$G504=COLUMNS($A504:A504), A503&amp;RIGHT(INDIRECT(ADDRESS(ROW(A504)-1, Source!$E504)), Source!$C504), A503))</f>
        <v>FV</v>
      </c>
      <c r="B504" s="2" t="str">
        <f>IF(Source!$E504=COLUMNS($A504:B504), LEFT(B503, LEN(B503)-Source!$C504), IF(Source!$G504=COLUMNS($A504:B504), B503&amp;RIGHT(INDIRECT(ADDRESS(ROW(B504)-1, Source!$E504)), Source!$C504), B503))</f>
        <v>R</v>
      </c>
      <c r="C504" s="2" t="str">
        <f>IF(Source!$E504=COLUMNS($A504:C504), LEFT(C503, LEN(C503)-Source!$C504), IF(Source!$G504=COLUMNS($A504:C504), C503&amp;RIGHT(INDIRECT(ADDRESS(ROW(C504)-1, Source!$E504)), Source!$C504), C503))</f>
        <v>GDZ</v>
      </c>
      <c r="D504" s="2" t="str">
        <f>IF(Source!$E504=COLUMNS($A504:D504), LEFT(D503, LEN(D503)-Source!$C504), IF(Source!$G504=COLUMNS($A504:D504), D503&amp;RIGHT(INDIRECT(ADDRESS(ROW(D504)-1, Source!$E504)), Source!$C504), D503))</f>
        <v>G</v>
      </c>
      <c r="E504" s="2" t="str">
        <f>IF(Source!$E504=COLUMNS($A504:E504), LEFT(E503, LEN(E503)-Source!$C504), IF(Source!$G504=COLUMNS($A504:E504), E503&amp;RIGHT(INDIRECT(ADDRESS(ROW(E504)-1, Source!$E504)), Source!$C504), E503))</f>
        <v>WVPDSH</v>
      </c>
      <c r="F504" s="2" t="str">
        <f>IF(Source!$E504=COLUMNS($A504:F504), LEFT(F503, LEN(F503)-Source!$C504), IF(Source!$G504=COLUMNS($A504:F504), F503&amp;RIGHT(INDIRECT(ADDRESS(ROW(F504)-1, Source!$E504)), Source!$C504), F503))</f>
        <v>BTTCD</v>
      </c>
      <c r="G504" s="2" t="str">
        <f>IF(Source!$E504=COLUMNS($A504:G504), LEFT(G503, LEN(G503)-Source!$C504), IF(Source!$G504=COLUMNS($A504:G504), G503&amp;RIGHT(INDIRECT(ADDRESS(ROW(G504)-1, Source!$E504)), Source!$C504), G503))</f>
        <v>F</v>
      </c>
      <c r="H504" s="2" t="str">
        <f>IF(Source!$E504=COLUMNS($A504:H504), LEFT(H503, LEN(H503)-Source!$C504), IF(Source!$G504=COLUMNS($A504:H504), H503&amp;RIGHT(INDIRECT(ADDRESS(ROW(H504)-1, Source!$E504)), Source!$C504), H503))</f>
        <v>SPZCMCZB</v>
      </c>
      <c r="I504" s="2" t="str">
        <f>IF(Source!$E504=COLUMNS($A504:I504), LEFT(I503, LEN(I503)-Source!$C504), IF(Source!$G504=COLUMNS($A504:I504), I503&amp;RIGHT(INDIRECT(ADDRESS(ROW(I504)-1, Source!$E504)), Source!$C504), I503))</f>
        <v>DHQSVLMTRTRJTLBRSLDTPJRMDJWBQ</v>
      </c>
    </row>
    <row r="506">
      <c r="A506" s="2" t="str">
        <f t="shared" ref="A506:I506" si="1">RIGHT(A504, 1)</f>
        <v>V</v>
      </c>
      <c r="B506" s="2" t="str">
        <f t="shared" si="1"/>
        <v>R</v>
      </c>
      <c r="C506" s="2" t="str">
        <f t="shared" si="1"/>
        <v>Z</v>
      </c>
      <c r="D506" s="2" t="str">
        <f t="shared" si="1"/>
        <v>G</v>
      </c>
      <c r="E506" s="2" t="str">
        <f t="shared" si="1"/>
        <v>H</v>
      </c>
      <c r="F506" s="2" t="str">
        <f t="shared" si="1"/>
        <v>D</v>
      </c>
      <c r="G506" s="2" t="str">
        <f t="shared" si="1"/>
        <v>F</v>
      </c>
      <c r="H506" s="2" t="str">
        <f t="shared" si="1"/>
        <v>B</v>
      </c>
      <c r="I506" s="2" t="str">
        <f t="shared" si="1"/>
        <v>Q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338</v>
      </c>
      <c r="B1" s="3" t="s">
        <v>339</v>
      </c>
      <c r="C1" s="3" t="s">
        <v>340</v>
      </c>
      <c r="D1" s="3" t="s">
        <v>341</v>
      </c>
      <c r="E1" s="3" t="s">
        <v>342</v>
      </c>
      <c r="F1" s="3" t="s">
        <v>343</v>
      </c>
      <c r="G1" s="3" t="s">
        <v>344</v>
      </c>
      <c r="H1" s="3" t="s">
        <v>345</v>
      </c>
      <c r="I1" s="3" t="s">
        <v>346</v>
      </c>
    </row>
    <row r="2">
      <c r="A2" s="2" t="str">
        <f>IFERROR(__xludf.DUMMYFUNCTION("IF('From Order'!$A2=COLUMNS($A2:A21), LEFT(INDEX(FILTER(A$1:A1, A$1:A1&lt;&gt;""""),COUNTA(FILTER(A$1:A1, A$1:A1&lt;&gt;""""))), LEN(INDEX(FILTER(A$1:A1, A$1:A1&lt;&gt;""""),COUNTA(FILTER(A$1:A1, A$1:A1&lt;&gt;""""))))-1), IF('To Order'!$A2=COLUMNS($A2:A21), A1&amp;RIGHT(INDIRECT(AD"&amp;"DRESS(ROW(A2)-1, 'From Order'!$A2)), 1), A1))"),"DTRBJLWG")</f>
        <v>DTRBJLWG</v>
      </c>
      <c r="B2" s="2" t="str">
        <f>IFERROR(__xludf.DUMMYFUNCTION("IF('From Order'!$A2=COLUMNS($A2:B21), LEFT(INDEX(FILTER(B$1:B1, B$1:B1&lt;&gt;""""),COUNTA(FILTER(B$1:B1, B$1:B1&lt;&gt;""""))), LEN(INDEX(FILTER(B$1:B1, B$1:B1&lt;&gt;""""),COUNTA(FILTER(B$1:B1, B$1:B1&lt;&gt;""""))))-1), IF('To Order'!$A2=COLUMNS($A2:B21), B1&amp;RIGHT(INDIRECT(AD"&amp;"DRESS(ROW(B2)-1, 'From Order'!$A2)), 1), B1))"),"SWC")</f>
        <v>SWC</v>
      </c>
      <c r="C2" s="2" t="str">
        <f>IFERROR(__xludf.DUMMYFUNCTION("IF('From Order'!$A2=COLUMNS($A2:C21), LEFT(INDEX(FILTER(C$1:C1, C$1:C1&lt;&gt;""""),COUNTA(FILTER(C$1:C1, C$1:C1&lt;&gt;""""))), LEN(INDEX(FILTER(C$1:C1, C$1:C1&lt;&gt;""""),COUNTA(FILTER(C$1:C1, C$1:C1&lt;&gt;""""))))-1), IF('To Order'!$A2=COLUMNS($A2:C21), C1&amp;RIGHT(INDIRECT(AD"&amp;"DRESS(ROW(C2)-1, 'From Order'!$A2)), 1), C1))"),"RZT")</f>
        <v>RZT</v>
      </c>
      <c r="D2" s="2" t="str">
        <f>IFERROR(__xludf.DUMMYFUNCTION("IF('From Order'!$A2=COLUMNS($A2:D21), LEFT(INDEX(FILTER(D$1:D1, D$1:D1&lt;&gt;""""),COUNTA(FILTER(D$1:D1, D$1:D1&lt;&gt;""""))), LEN(INDEX(FILTER(D$1:D1, D$1:D1&lt;&gt;""""),COUNTA(FILTER(D$1:D1, D$1:D1&lt;&gt;""""))))-1), IF('To Order'!$A2=COLUMNS($A2:D21), D1&amp;RIGHT(INDIRECT(AD"&amp;"DRESS(ROW(D2)-1, 'From Order'!$A2)), 1), D1))"),"DTCHSPV")</f>
        <v>DTCHSPV</v>
      </c>
      <c r="E2" s="2" t="str">
        <f>IFERROR(__xludf.DUMMYFUNCTION("IF('From Order'!$A2=COLUMNS($A2:E21), LEFT(INDEX(FILTER(E$1:E1, E$1:E1&lt;&gt;""""),COUNTA(FILTER(E$1:E1, E$1:E1&lt;&gt;""""))), LEN(INDEX(FILTER(E$1:E1, E$1:E1&lt;&gt;""""),COUNTA(FILTER(E$1:E1, E$1:E1&lt;&gt;""""))))-1), IF('To Order'!$A2=COLUMNS($A2:E21), E1&amp;RIGHT(INDIRECT(AD"&amp;"DRESS(ROW(E2)-1, 'From Order'!$A2)), 1), E1))"),"GPTLDZM")</f>
        <v>GPTLDZM</v>
      </c>
      <c r="F2" s="2" t="str">
        <f>IFERROR(__xludf.DUMMYFUNCTION("IF('From Order'!$A2=COLUMNS($A2:F21), LEFT(INDEX(FILTER(F$1:F1, F$1:F1&lt;&gt;""""),COUNTA(FILTER(F$1:F1, F$1:F1&lt;&gt;""""))), LEN(INDEX(FILTER(F$1:F1, F$1:F1&lt;&gt;""""),COUNTA(FILTER(F$1:F1, F$1:F1&lt;&gt;""""))))-1), IF('To Order'!$A2=COLUMNS($A2:F21), F1&amp;RIGHT(INDIRECT(AD"&amp;"DRESS(ROW(F2)-1, 'From Order'!$A2)), 1), F1))"),"FBRZJQCD")</f>
        <v>FBRZJQCD</v>
      </c>
      <c r="G2" s="2" t="str">
        <f>IFERROR(__xludf.DUMMYFUNCTION("IF('From Order'!$A2=COLUMNS($A2:G21), LEFT(INDEX(FILTER(G$1:G1, G$1:G1&lt;&gt;""""),COUNTA(FILTER(G$1:G1, G$1:G1&lt;&gt;""""))), LEN(INDEX(FILTER(G$1:G1, G$1:G1&lt;&gt;""""),COUNTA(FILTER(G$1:G1, G$1:G1&lt;&gt;""""))))-1), IF('To Order'!$A2=COLUMNS($A2:G21), G1&amp;RIGHT(INDIRECT(AD"&amp;"DRESS(ROW(G2)-1, 'From Order'!$A2)), 1), G1))"),"SBDJMFTR")</f>
        <v>SBDJMFTR</v>
      </c>
      <c r="H2" s="2" t="str">
        <f>IFERROR(__xludf.DUMMYFUNCTION("IF('From Order'!$A2=COLUMNS($A2:H21), LEFT(INDEX(FILTER(H$1:H1, H$1:H1&lt;&gt;""""),COUNTA(FILTER(H$1:H1, H$1:H1&lt;&gt;""""))), LEN(INDEX(FILTER(H$1:H1, H$1:H1&lt;&gt;""""),COUNTA(FILTER(H$1:H1, H$1:H1&lt;&gt;""""))))-1), IF('To Order'!$A2=COLUMNS($A2:H21), H1&amp;RIGHT(INDIRECT(AD"&amp;"DRESS(ROW(H2)-1, 'From Order'!$A2)), 1), H1))"),"LHRBTVM")</f>
        <v>LHRBTVM</v>
      </c>
      <c r="I2" s="2" t="str">
        <f>IFERROR(__xludf.DUMMYFUNCTION("IF('From Order'!$A2=COLUMNS($A2:I21), LEFT(INDEX(FILTER(I$1:I1, I$1:I1&lt;&gt;""""),COUNTA(FILTER(I$1:I1, I$1:I1&lt;&gt;""""))), LEN(INDEX(FILTER(I$1:I1, I$1:I1&lt;&gt;""""),COUNTA(FILTER(I$1:I1, I$1:I1&lt;&gt;""""))))-1), IF('To Order'!$A2=COLUMNS($A2:I21), I1&amp;RIGHT(INDIRECT(AD"&amp;"DRESS(ROW(I2)-1, 'From Order'!$A2)), 1), I1))"),"QPDSV")</f>
        <v>QPDSV</v>
      </c>
    </row>
    <row r="3">
      <c r="A3" s="2" t="str">
        <f>IFERROR(__xludf.DUMMYFUNCTION("IF('From Order'!$A3=COLUMNS($A3:A22), LEFT(INDEX(FILTER(A$1:A2, A$1:A2&lt;&gt;""""),COUNTA(FILTER(A$1:A2, A$1:A2&lt;&gt;""""))), LEN(INDEX(FILTER(A$1:A2, A$1:A2&lt;&gt;""""),COUNTA(FILTER(A$1:A2, A$1:A2&lt;&gt;""""))))-1), IF('To Order'!$A3=COLUMNS($A3:A22), A2&amp;RIGHT(INDIRECT(AD"&amp;"DRESS(ROW(A3)-1, 'From Order'!$A3)), 1), A2))"),"DTRBJLWG")</f>
        <v>DTRBJLWG</v>
      </c>
      <c r="B3" s="2" t="str">
        <f>IFERROR(__xludf.DUMMYFUNCTION("IF('From Order'!$A3=COLUMNS($A3:B22), LEFT(INDEX(FILTER(B$1:B2, B$1:B2&lt;&gt;""""),COUNTA(FILTER(B$1:B2, B$1:B2&lt;&gt;""""))), LEN(INDEX(FILTER(B$1:B2, B$1:B2&lt;&gt;""""),COUNTA(FILTER(B$1:B2, B$1:B2&lt;&gt;""""))))-1), IF('To Order'!$A3=COLUMNS($A3:B22), B2&amp;RIGHT(INDIRECT(AD"&amp;"DRESS(ROW(B3)-1, 'From Order'!$A3)), 1), B2))"),"SWC")</f>
        <v>SWC</v>
      </c>
      <c r="C3" s="2" t="str">
        <f>IFERROR(__xludf.DUMMYFUNCTION("IF('From Order'!$A3=COLUMNS($A3:C22), LEFT(INDEX(FILTER(C$1:C2, C$1:C2&lt;&gt;""""),COUNTA(FILTER(C$1:C2, C$1:C2&lt;&gt;""""))), LEN(INDEX(FILTER(C$1:C2, C$1:C2&lt;&gt;""""),COUNTA(FILTER(C$1:C2, C$1:C2&lt;&gt;""""))))-1), IF('To Order'!$A3=COLUMNS($A3:C22), C2&amp;RIGHT(INDIRECT(AD"&amp;"DRESS(ROW(C3)-1, 'From Order'!$A3)), 1), C2))"),"RZT")</f>
        <v>RZT</v>
      </c>
      <c r="D3" s="2" t="str">
        <f>IFERROR(__xludf.DUMMYFUNCTION("IF('From Order'!$A3=COLUMNS($A3:D22), LEFT(INDEX(FILTER(D$1:D2, D$1:D2&lt;&gt;""""),COUNTA(FILTER(D$1:D2, D$1:D2&lt;&gt;""""))), LEN(INDEX(FILTER(D$1:D2, D$1:D2&lt;&gt;""""),COUNTA(FILTER(D$1:D2, D$1:D2&lt;&gt;""""))))-1), IF('To Order'!$A3=COLUMNS($A3:D22), D2&amp;RIGHT(INDIRECT(AD"&amp;"DRESS(ROW(D3)-1, 'From Order'!$A3)), 1), D2))"),"DTCHSPVM")</f>
        <v>DTCHSPVM</v>
      </c>
      <c r="E3" s="2" t="str">
        <f>IFERROR(__xludf.DUMMYFUNCTION("IF('From Order'!$A3=COLUMNS($A3:E22), LEFT(INDEX(FILTER(E$1:E2, E$1:E2&lt;&gt;""""),COUNTA(FILTER(E$1:E2, E$1:E2&lt;&gt;""""))), LEN(INDEX(FILTER(E$1:E2, E$1:E2&lt;&gt;""""),COUNTA(FILTER(E$1:E2, E$1:E2&lt;&gt;""""))))-1), IF('To Order'!$A3=COLUMNS($A3:E22), E2&amp;RIGHT(INDIRECT(AD"&amp;"DRESS(ROW(E3)-1, 'From Order'!$A3)), 1), E2))"),"GPTLDZ")</f>
        <v>GPTLDZ</v>
      </c>
      <c r="F3" s="2" t="str">
        <f>IFERROR(__xludf.DUMMYFUNCTION("IF('From Order'!$A3=COLUMNS($A3:F22), LEFT(INDEX(FILTER(F$1:F2, F$1:F2&lt;&gt;""""),COUNTA(FILTER(F$1:F2, F$1:F2&lt;&gt;""""))), LEN(INDEX(FILTER(F$1:F2, F$1:F2&lt;&gt;""""),COUNTA(FILTER(F$1:F2, F$1:F2&lt;&gt;""""))))-1), IF('To Order'!$A3=COLUMNS($A3:F22), F2&amp;RIGHT(INDIRECT(AD"&amp;"DRESS(ROW(F3)-1, 'From Order'!$A3)), 1), F2))"),"FBRZJQCD")</f>
        <v>FBRZJQCD</v>
      </c>
      <c r="G3" s="2" t="str">
        <f>IFERROR(__xludf.DUMMYFUNCTION("IF('From Order'!$A3=COLUMNS($A3:G22), LEFT(INDEX(FILTER(G$1:G2, G$1:G2&lt;&gt;""""),COUNTA(FILTER(G$1:G2, G$1:G2&lt;&gt;""""))), LEN(INDEX(FILTER(G$1:G2, G$1:G2&lt;&gt;""""),COUNTA(FILTER(G$1:G2, G$1:G2&lt;&gt;""""))))-1), IF('To Order'!$A3=COLUMNS($A3:G22), G2&amp;RIGHT(INDIRECT(AD"&amp;"DRESS(ROW(G3)-1, 'From Order'!$A3)), 1), G2))"),"SBDJMFTR")</f>
        <v>SBDJMFTR</v>
      </c>
      <c r="H3" s="2" t="str">
        <f>IFERROR(__xludf.DUMMYFUNCTION("IF('From Order'!$A3=COLUMNS($A3:H22), LEFT(INDEX(FILTER(H$1:H2, H$1:H2&lt;&gt;""""),COUNTA(FILTER(H$1:H2, H$1:H2&lt;&gt;""""))), LEN(INDEX(FILTER(H$1:H2, H$1:H2&lt;&gt;""""),COUNTA(FILTER(H$1:H2, H$1:H2&lt;&gt;""""))))-1), IF('To Order'!$A3=COLUMNS($A3:H22), H2&amp;RIGHT(INDIRECT(AD"&amp;"DRESS(ROW(H3)-1, 'From Order'!$A3)), 1), H2))"),"LHRBTVM")</f>
        <v>LHRBTVM</v>
      </c>
      <c r="I3" s="2" t="str">
        <f>IFERROR(__xludf.DUMMYFUNCTION("IF('From Order'!$A3=COLUMNS($A3:I22), LEFT(INDEX(FILTER(I$1:I2, I$1:I2&lt;&gt;""""),COUNTA(FILTER(I$1:I2, I$1:I2&lt;&gt;""""))), LEN(INDEX(FILTER(I$1:I2, I$1:I2&lt;&gt;""""),COUNTA(FILTER(I$1:I2, I$1:I2&lt;&gt;""""))))-1), IF('To Order'!$A3=COLUMNS($A3:I22), I2&amp;RIGHT(INDIRECT(AD"&amp;"DRESS(ROW(I3)-1, 'From Order'!$A3)), 1), I2))"),"QPDSV")</f>
        <v>QPDSV</v>
      </c>
    </row>
    <row r="4">
      <c r="A4" s="2" t="str">
        <f>IFERROR(__xludf.DUMMYFUNCTION("IF('From Order'!$A4=COLUMNS($A4:A23), LEFT(INDEX(FILTER(A$1:A3, A$1:A3&lt;&gt;""""),COUNTA(FILTER(A$1:A3, A$1:A3&lt;&gt;""""))), LEN(INDEX(FILTER(A$1:A3, A$1:A3&lt;&gt;""""),COUNTA(FILTER(A$1:A3, A$1:A3&lt;&gt;""""))))-1), IF('To Order'!$A4=COLUMNS($A4:A23), A3&amp;RIGHT(INDIRECT(AD"&amp;"DRESS(ROW(A4)-1, 'From Order'!$A4)), 1), A3))"),"DTRBJLWG")</f>
        <v>DTRBJLWG</v>
      </c>
      <c r="B4" s="2" t="str">
        <f>IFERROR(__xludf.DUMMYFUNCTION("IF('From Order'!$A4=COLUMNS($A4:B23), LEFT(INDEX(FILTER(B$1:B3, B$1:B3&lt;&gt;""""),COUNTA(FILTER(B$1:B3, B$1:B3&lt;&gt;""""))), LEN(INDEX(FILTER(B$1:B3, B$1:B3&lt;&gt;""""),COUNTA(FILTER(B$1:B3, B$1:B3&lt;&gt;""""))))-1), IF('To Order'!$A4=COLUMNS($A4:B23), B3&amp;RIGHT(INDIRECT(AD"&amp;"DRESS(ROW(B4)-1, 'From Order'!$A4)), 1), B3))"),"SWC")</f>
        <v>SWC</v>
      </c>
      <c r="C4" s="2" t="str">
        <f>IFERROR(__xludf.DUMMYFUNCTION("IF('From Order'!$A4=COLUMNS($A4:C23), LEFT(INDEX(FILTER(C$1:C3, C$1:C3&lt;&gt;""""),COUNTA(FILTER(C$1:C3, C$1:C3&lt;&gt;""""))), LEN(INDEX(FILTER(C$1:C3, C$1:C3&lt;&gt;""""),COUNTA(FILTER(C$1:C3, C$1:C3&lt;&gt;""""))))-1), IF('To Order'!$A4=COLUMNS($A4:C23), C3&amp;RIGHT(INDIRECT(AD"&amp;"DRESS(ROW(C4)-1, 'From Order'!$A4)), 1), C3))"),"RZT")</f>
        <v>RZT</v>
      </c>
      <c r="D4" s="2" t="str">
        <f>IFERROR(__xludf.DUMMYFUNCTION("IF('From Order'!$A4=COLUMNS($A4:D23), LEFT(INDEX(FILTER(D$1:D3, D$1:D3&lt;&gt;""""),COUNTA(FILTER(D$1:D3, D$1:D3&lt;&gt;""""))), LEN(INDEX(FILTER(D$1:D3, D$1:D3&lt;&gt;""""),COUNTA(FILTER(D$1:D3, D$1:D3&lt;&gt;""""))))-1), IF('To Order'!$A4=COLUMNS($A4:D23), D3&amp;RIGHT(INDIRECT(AD"&amp;"DRESS(ROW(D4)-1, 'From Order'!$A4)), 1), D3))"),"DTCHSPVMZ")</f>
        <v>DTCHSPVMZ</v>
      </c>
      <c r="E4" s="2" t="str">
        <f>IFERROR(__xludf.DUMMYFUNCTION("IF('From Order'!$A4=COLUMNS($A4:E23), LEFT(INDEX(FILTER(E$1:E3, E$1:E3&lt;&gt;""""),COUNTA(FILTER(E$1:E3, E$1:E3&lt;&gt;""""))), LEN(INDEX(FILTER(E$1:E3, E$1:E3&lt;&gt;""""),COUNTA(FILTER(E$1:E3, E$1:E3&lt;&gt;""""))))-1), IF('To Order'!$A4=COLUMNS($A4:E23), E3&amp;RIGHT(INDIRECT(AD"&amp;"DRESS(ROW(E4)-1, 'From Order'!$A4)), 1), E3))"),"GPTLD")</f>
        <v>GPTLD</v>
      </c>
      <c r="F4" s="2" t="str">
        <f>IFERROR(__xludf.DUMMYFUNCTION("IF('From Order'!$A4=COLUMNS($A4:F23), LEFT(INDEX(FILTER(F$1:F3, F$1:F3&lt;&gt;""""),COUNTA(FILTER(F$1:F3, F$1:F3&lt;&gt;""""))), LEN(INDEX(FILTER(F$1:F3, F$1:F3&lt;&gt;""""),COUNTA(FILTER(F$1:F3, F$1:F3&lt;&gt;""""))))-1), IF('To Order'!$A4=COLUMNS($A4:F23), F3&amp;RIGHT(INDIRECT(AD"&amp;"DRESS(ROW(F4)-1, 'From Order'!$A4)), 1), F3))"),"FBRZJQCD")</f>
        <v>FBRZJQCD</v>
      </c>
      <c r="G4" s="2" t="str">
        <f>IFERROR(__xludf.DUMMYFUNCTION("IF('From Order'!$A4=COLUMNS($A4:G23), LEFT(INDEX(FILTER(G$1:G3, G$1:G3&lt;&gt;""""),COUNTA(FILTER(G$1:G3, G$1:G3&lt;&gt;""""))), LEN(INDEX(FILTER(G$1:G3, G$1:G3&lt;&gt;""""),COUNTA(FILTER(G$1:G3, G$1:G3&lt;&gt;""""))))-1), IF('To Order'!$A4=COLUMNS($A4:G23), G3&amp;RIGHT(INDIRECT(AD"&amp;"DRESS(ROW(G4)-1, 'From Order'!$A4)), 1), G3))"),"SBDJMFTR")</f>
        <v>SBDJMFTR</v>
      </c>
      <c r="H4" s="2" t="str">
        <f>IFERROR(__xludf.DUMMYFUNCTION("IF('From Order'!$A4=COLUMNS($A4:H23), LEFT(INDEX(FILTER(H$1:H3, H$1:H3&lt;&gt;""""),COUNTA(FILTER(H$1:H3, H$1:H3&lt;&gt;""""))), LEN(INDEX(FILTER(H$1:H3, H$1:H3&lt;&gt;""""),COUNTA(FILTER(H$1:H3, H$1:H3&lt;&gt;""""))))-1), IF('To Order'!$A4=COLUMNS($A4:H23), H3&amp;RIGHT(INDIRECT(AD"&amp;"DRESS(ROW(H4)-1, 'From Order'!$A4)), 1), H3))"),"LHRBTVM")</f>
        <v>LHRBTVM</v>
      </c>
      <c r="I4" s="2" t="str">
        <f>IFERROR(__xludf.DUMMYFUNCTION("IF('From Order'!$A4=COLUMNS($A4:I23), LEFT(INDEX(FILTER(I$1:I3, I$1:I3&lt;&gt;""""),COUNTA(FILTER(I$1:I3, I$1:I3&lt;&gt;""""))), LEN(INDEX(FILTER(I$1:I3, I$1:I3&lt;&gt;""""),COUNTA(FILTER(I$1:I3, I$1:I3&lt;&gt;""""))))-1), IF('To Order'!$A4=COLUMNS($A4:I23), I3&amp;RIGHT(INDIRECT(AD"&amp;"DRESS(ROW(I4)-1, 'From Order'!$A4)), 1), I3))"),"QPDSV")</f>
        <v>QPDSV</v>
      </c>
    </row>
    <row r="5">
      <c r="A5" s="2" t="str">
        <f>IFERROR(__xludf.DUMMYFUNCTION("IF('From Order'!$A5=COLUMNS($A5:A24), LEFT(INDEX(FILTER(A$1:A4, A$1:A4&lt;&gt;""""),COUNTA(FILTER(A$1:A4, A$1:A4&lt;&gt;""""))), LEN(INDEX(FILTER(A$1:A4, A$1:A4&lt;&gt;""""),COUNTA(FILTER(A$1:A4, A$1:A4&lt;&gt;""""))))-1), IF('To Order'!$A5=COLUMNS($A5:A24), A4&amp;RIGHT(INDIRECT(AD"&amp;"DRESS(ROW(A5)-1, 'From Order'!$A5)), 1), A4))"),"DTRBJLWG")</f>
        <v>DTRBJLWG</v>
      </c>
      <c r="B5" s="2" t="str">
        <f>IFERROR(__xludf.DUMMYFUNCTION("IF('From Order'!$A5=COLUMNS($A5:B24), LEFT(INDEX(FILTER(B$1:B4, B$1:B4&lt;&gt;""""),COUNTA(FILTER(B$1:B4, B$1:B4&lt;&gt;""""))), LEN(INDEX(FILTER(B$1:B4, B$1:B4&lt;&gt;""""),COUNTA(FILTER(B$1:B4, B$1:B4&lt;&gt;""""))))-1), IF('To Order'!$A5=COLUMNS($A5:B24), B4&amp;RIGHT(INDIRECT(AD"&amp;"DRESS(ROW(B5)-1, 'From Order'!$A5)), 1), B4))"),"SWC")</f>
        <v>SWC</v>
      </c>
      <c r="C5" s="2" t="str">
        <f>IFERROR(__xludf.DUMMYFUNCTION("IF('From Order'!$A5=COLUMNS($A5:C24), LEFT(INDEX(FILTER(C$1:C4, C$1:C4&lt;&gt;""""),COUNTA(FILTER(C$1:C4, C$1:C4&lt;&gt;""""))), LEN(INDEX(FILTER(C$1:C4, C$1:C4&lt;&gt;""""),COUNTA(FILTER(C$1:C4, C$1:C4&lt;&gt;""""))))-1), IF('To Order'!$A5=COLUMNS($A5:C24), C4&amp;RIGHT(INDIRECT(AD"&amp;"DRESS(ROW(C5)-1, 'From Order'!$A5)), 1), C4))"),"RZT")</f>
        <v>RZT</v>
      </c>
      <c r="D5" s="2" t="str">
        <f>IFERROR(__xludf.DUMMYFUNCTION("IF('From Order'!$A5=COLUMNS($A5:D24), LEFT(INDEX(FILTER(D$1:D4, D$1:D4&lt;&gt;""""),COUNTA(FILTER(D$1:D4, D$1:D4&lt;&gt;""""))), LEN(INDEX(FILTER(D$1:D4, D$1:D4&lt;&gt;""""),COUNTA(FILTER(D$1:D4, D$1:D4&lt;&gt;""""))))-1), IF('To Order'!$A5=COLUMNS($A5:D24), D4&amp;RIGHT(INDIRECT(AD"&amp;"DRESS(ROW(D5)-1, 'From Order'!$A5)), 1), D4))"),"DTCHSPVMZD")</f>
        <v>DTCHSPVMZD</v>
      </c>
      <c r="E5" s="2" t="str">
        <f>IFERROR(__xludf.DUMMYFUNCTION("IF('From Order'!$A5=COLUMNS($A5:E24), LEFT(INDEX(FILTER(E$1:E4, E$1:E4&lt;&gt;""""),COUNTA(FILTER(E$1:E4, E$1:E4&lt;&gt;""""))), LEN(INDEX(FILTER(E$1:E4, E$1:E4&lt;&gt;""""),COUNTA(FILTER(E$1:E4, E$1:E4&lt;&gt;""""))))-1), IF('To Order'!$A5=COLUMNS($A5:E24), E4&amp;RIGHT(INDIRECT(AD"&amp;"DRESS(ROW(E5)-1, 'From Order'!$A5)), 1), E4))"),"GPTL")</f>
        <v>GPTL</v>
      </c>
      <c r="F5" s="2" t="str">
        <f>IFERROR(__xludf.DUMMYFUNCTION("IF('From Order'!$A5=COLUMNS($A5:F24), LEFT(INDEX(FILTER(F$1:F4, F$1:F4&lt;&gt;""""),COUNTA(FILTER(F$1:F4, F$1:F4&lt;&gt;""""))), LEN(INDEX(FILTER(F$1:F4, F$1:F4&lt;&gt;""""),COUNTA(FILTER(F$1:F4, F$1:F4&lt;&gt;""""))))-1), IF('To Order'!$A5=COLUMNS($A5:F24), F4&amp;RIGHT(INDIRECT(AD"&amp;"DRESS(ROW(F5)-1, 'From Order'!$A5)), 1), F4))"),"FBRZJQCD")</f>
        <v>FBRZJQCD</v>
      </c>
      <c r="G5" s="2" t="str">
        <f>IFERROR(__xludf.DUMMYFUNCTION("IF('From Order'!$A5=COLUMNS($A5:G24), LEFT(INDEX(FILTER(G$1:G4, G$1:G4&lt;&gt;""""),COUNTA(FILTER(G$1:G4, G$1:G4&lt;&gt;""""))), LEN(INDEX(FILTER(G$1:G4, G$1:G4&lt;&gt;""""),COUNTA(FILTER(G$1:G4, G$1:G4&lt;&gt;""""))))-1), IF('To Order'!$A5=COLUMNS($A5:G24), G4&amp;RIGHT(INDIRECT(AD"&amp;"DRESS(ROW(G5)-1, 'From Order'!$A5)), 1), G4))"),"SBDJMFTR")</f>
        <v>SBDJMFTR</v>
      </c>
      <c r="H5" s="2" t="str">
        <f>IFERROR(__xludf.DUMMYFUNCTION("IF('From Order'!$A5=COLUMNS($A5:H24), LEFT(INDEX(FILTER(H$1:H4, H$1:H4&lt;&gt;""""),COUNTA(FILTER(H$1:H4, H$1:H4&lt;&gt;""""))), LEN(INDEX(FILTER(H$1:H4, H$1:H4&lt;&gt;""""),COUNTA(FILTER(H$1:H4, H$1:H4&lt;&gt;""""))))-1), IF('To Order'!$A5=COLUMNS($A5:H24), H4&amp;RIGHT(INDIRECT(AD"&amp;"DRESS(ROW(H5)-1, 'From Order'!$A5)), 1), H4))"),"LHRBTVM")</f>
        <v>LHRBTVM</v>
      </c>
      <c r="I5" s="2" t="str">
        <f>IFERROR(__xludf.DUMMYFUNCTION("IF('From Order'!$A5=COLUMNS($A5:I24), LEFT(INDEX(FILTER(I$1:I4, I$1:I4&lt;&gt;""""),COUNTA(FILTER(I$1:I4, I$1:I4&lt;&gt;""""))), LEN(INDEX(FILTER(I$1:I4, I$1:I4&lt;&gt;""""),COUNTA(FILTER(I$1:I4, I$1:I4&lt;&gt;""""))))-1), IF('To Order'!$A5=COLUMNS($A5:I24), I4&amp;RIGHT(INDIRECT(AD"&amp;"DRESS(ROW(I5)-1, 'From Order'!$A5)), 1), I4))"),"QPDSV")</f>
        <v>QPDSV</v>
      </c>
    </row>
    <row r="6">
      <c r="A6" s="2" t="str">
        <f>IFERROR(__xludf.DUMMYFUNCTION("IF('From Order'!$A6=COLUMNS($A6:A25), LEFT(INDEX(FILTER(A$1:A5, A$1:A5&lt;&gt;""""),COUNTA(FILTER(A$1:A5, A$1:A5&lt;&gt;""""))), LEN(INDEX(FILTER(A$1:A5, A$1:A5&lt;&gt;""""),COUNTA(FILTER(A$1:A5, A$1:A5&lt;&gt;""""))))-1), IF('To Order'!$A6=COLUMNS($A6:A25), A5&amp;RIGHT(INDIRECT(AD"&amp;"DRESS(ROW(A6)-1, 'From Order'!$A6)), 1), A5))"),"DTRBJLWG")</f>
        <v>DTRBJLWG</v>
      </c>
      <c r="B6" s="2" t="str">
        <f>IFERROR(__xludf.DUMMYFUNCTION("IF('From Order'!$A6=COLUMNS($A6:B25), LEFT(INDEX(FILTER(B$1:B5, B$1:B5&lt;&gt;""""),COUNTA(FILTER(B$1:B5, B$1:B5&lt;&gt;""""))), LEN(INDEX(FILTER(B$1:B5, B$1:B5&lt;&gt;""""),COUNTA(FILTER(B$1:B5, B$1:B5&lt;&gt;""""))))-1), IF('To Order'!$A6=COLUMNS($A6:B25), B5&amp;RIGHT(INDIRECT(AD"&amp;"DRESS(ROW(B6)-1, 'From Order'!$A6)), 1), B5))"),"SWC")</f>
        <v>SWC</v>
      </c>
      <c r="C6" s="2" t="str">
        <f>IFERROR(__xludf.DUMMYFUNCTION("IF('From Order'!$A6=COLUMNS($A6:C25), LEFT(INDEX(FILTER(C$1:C5, C$1:C5&lt;&gt;""""),COUNTA(FILTER(C$1:C5, C$1:C5&lt;&gt;""""))), LEN(INDEX(FILTER(C$1:C5, C$1:C5&lt;&gt;""""),COUNTA(FILTER(C$1:C5, C$1:C5&lt;&gt;""""))))-1), IF('To Order'!$A6=COLUMNS($A6:C25), C5&amp;RIGHT(INDIRECT(AD"&amp;"DRESS(ROW(C6)-1, 'From Order'!$A6)), 1), C5))"),"RZT")</f>
        <v>RZT</v>
      </c>
      <c r="D6" s="2" t="str">
        <f>IFERROR(__xludf.DUMMYFUNCTION("IF('From Order'!$A6=COLUMNS($A6:D25), LEFT(INDEX(FILTER(D$1:D5, D$1:D5&lt;&gt;""""),COUNTA(FILTER(D$1:D5, D$1:D5&lt;&gt;""""))), LEN(INDEX(FILTER(D$1:D5, D$1:D5&lt;&gt;""""),COUNTA(FILTER(D$1:D5, D$1:D5&lt;&gt;""""))))-1), IF('To Order'!$A6=COLUMNS($A6:D25), D5&amp;RIGHT(INDIRECT(AD"&amp;"DRESS(ROW(D6)-1, 'From Order'!$A6)), 1), D5))"),"DTCHSPVMZDL")</f>
        <v>DTCHSPVMZDL</v>
      </c>
      <c r="E6" s="2" t="str">
        <f>IFERROR(__xludf.DUMMYFUNCTION("IF('From Order'!$A6=COLUMNS($A6:E25), LEFT(INDEX(FILTER(E$1:E5, E$1:E5&lt;&gt;""""),COUNTA(FILTER(E$1:E5, E$1:E5&lt;&gt;""""))), LEN(INDEX(FILTER(E$1:E5, E$1:E5&lt;&gt;""""),COUNTA(FILTER(E$1:E5, E$1:E5&lt;&gt;""""))))-1), IF('To Order'!$A6=COLUMNS($A6:E25), E5&amp;RIGHT(INDIRECT(AD"&amp;"DRESS(ROW(E6)-1, 'From Order'!$A6)), 1), E5))"),"GPT")</f>
        <v>GPT</v>
      </c>
      <c r="F6" s="2" t="str">
        <f>IFERROR(__xludf.DUMMYFUNCTION("IF('From Order'!$A6=COLUMNS($A6:F25), LEFT(INDEX(FILTER(F$1:F5, F$1:F5&lt;&gt;""""),COUNTA(FILTER(F$1:F5, F$1:F5&lt;&gt;""""))), LEN(INDEX(FILTER(F$1:F5, F$1:F5&lt;&gt;""""),COUNTA(FILTER(F$1:F5, F$1:F5&lt;&gt;""""))))-1), IF('To Order'!$A6=COLUMNS($A6:F25), F5&amp;RIGHT(INDIRECT(AD"&amp;"DRESS(ROW(F6)-1, 'From Order'!$A6)), 1), F5))"),"FBRZJQCD")</f>
        <v>FBRZJQCD</v>
      </c>
      <c r="G6" s="2" t="str">
        <f>IFERROR(__xludf.DUMMYFUNCTION("IF('From Order'!$A6=COLUMNS($A6:G25), LEFT(INDEX(FILTER(G$1:G5, G$1:G5&lt;&gt;""""),COUNTA(FILTER(G$1:G5, G$1:G5&lt;&gt;""""))), LEN(INDEX(FILTER(G$1:G5, G$1:G5&lt;&gt;""""),COUNTA(FILTER(G$1:G5, G$1:G5&lt;&gt;""""))))-1), IF('To Order'!$A6=COLUMNS($A6:G25), G5&amp;RIGHT(INDIRECT(AD"&amp;"DRESS(ROW(G6)-1, 'From Order'!$A6)), 1), G5))"),"SBDJMFTR")</f>
        <v>SBDJMFTR</v>
      </c>
      <c r="H6" s="2" t="str">
        <f>IFERROR(__xludf.DUMMYFUNCTION("IF('From Order'!$A6=COLUMNS($A6:H25), LEFT(INDEX(FILTER(H$1:H5, H$1:H5&lt;&gt;""""),COUNTA(FILTER(H$1:H5, H$1:H5&lt;&gt;""""))), LEN(INDEX(FILTER(H$1:H5, H$1:H5&lt;&gt;""""),COUNTA(FILTER(H$1:H5, H$1:H5&lt;&gt;""""))))-1), IF('To Order'!$A6=COLUMNS($A6:H25), H5&amp;RIGHT(INDIRECT(AD"&amp;"DRESS(ROW(H6)-1, 'From Order'!$A6)), 1), H5))"),"LHRBTVM")</f>
        <v>LHRBTVM</v>
      </c>
      <c r="I6" s="2" t="str">
        <f>IFERROR(__xludf.DUMMYFUNCTION("IF('From Order'!$A6=COLUMNS($A6:I25), LEFT(INDEX(FILTER(I$1:I5, I$1:I5&lt;&gt;""""),COUNTA(FILTER(I$1:I5, I$1:I5&lt;&gt;""""))), LEN(INDEX(FILTER(I$1:I5, I$1:I5&lt;&gt;""""),COUNTA(FILTER(I$1:I5, I$1:I5&lt;&gt;""""))))-1), IF('To Order'!$A6=COLUMNS($A6:I25), I5&amp;RIGHT(INDIRECT(AD"&amp;"DRESS(ROW(I6)-1, 'From Order'!$A6)), 1), I5))"),"QPDSV")</f>
        <v>QPDSV</v>
      </c>
    </row>
    <row r="7">
      <c r="A7" s="2" t="str">
        <f>IFERROR(__xludf.DUMMYFUNCTION("IF('From Order'!$A7=COLUMNS($A7:A26), LEFT(INDEX(FILTER(A$1:A6, A$1:A6&lt;&gt;""""),COUNTA(FILTER(A$1:A6, A$1:A6&lt;&gt;""""))), LEN(INDEX(FILTER(A$1:A6, A$1:A6&lt;&gt;""""),COUNTA(FILTER(A$1:A6, A$1:A6&lt;&gt;""""))))-1), IF('To Order'!$A7=COLUMNS($A7:A26), A6&amp;RIGHT(INDIRECT(AD"&amp;"DRESS(ROW(A7)-1, 'From Order'!$A7)), 1), A6))"),"DTRBJLWG")</f>
        <v>DTRBJLWG</v>
      </c>
      <c r="B7" s="2" t="str">
        <f>IFERROR(__xludf.DUMMYFUNCTION("IF('From Order'!$A7=COLUMNS($A7:B26), LEFT(INDEX(FILTER(B$1:B6, B$1:B6&lt;&gt;""""),COUNTA(FILTER(B$1:B6, B$1:B6&lt;&gt;""""))), LEN(INDEX(FILTER(B$1:B6, B$1:B6&lt;&gt;""""),COUNTA(FILTER(B$1:B6, B$1:B6&lt;&gt;""""))))-1), IF('To Order'!$A7=COLUMNS($A7:B26), B6&amp;RIGHT(INDIRECT(AD"&amp;"DRESS(ROW(B7)-1, 'From Order'!$A7)), 1), B6))"),"SWC")</f>
        <v>SWC</v>
      </c>
      <c r="C7" s="2" t="str">
        <f>IFERROR(__xludf.DUMMYFUNCTION("IF('From Order'!$A7=COLUMNS($A7:C26), LEFT(INDEX(FILTER(C$1:C6, C$1:C6&lt;&gt;""""),COUNTA(FILTER(C$1:C6, C$1:C6&lt;&gt;""""))), LEN(INDEX(FILTER(C$1:C6, C$1:C6&lt;&gt;""""),COUNTA(FILTER(C$1:C6, C$1:C6&lt;&gt;""""))))-1), IF('To Order'!$A7=COLUMNS($A7:C26), C6&amp;RIGHT(INDIRECT(AD"&amp;"DRESS(ROW(C7)-1, 'From Order'!$A7)), 1), C6))"),"RZT")</f>
        <v>RZT</v>
      </c>
      <c r="D7" s="2" t="str">
        <f>IFERROR(__xludf.DUMMYFUNCTION("IF('From Order'!$A7=COLUMNS($A7:D26), LEFT(INDEX(FILTER(D$1:D6, D$1:D6&lt;&gt;""""),COUNTA(FILTER(D$1:D6, D$1:D6&lt;&gt;""""))), LEN(INDEX(FILTER(D$1:D6, D$1:D6&lt;&gt;""""),COUNTA(FILTER(D$1:D6, D$1:D6&lt;&gt;""""))))-1), IF('To Order'!$A7=COLUMNS($A7:D26), D6&amp;RIGHT(INDIRECT(AD"&amp;"DRESS(ROW(D7)-1, 'From Order'!$A7)), 1), D6))"),"DTCHSPVMZDLT")</f>
        <v>DTCHSPVMZDLT</v>
      </c>
      <c r="E7" s="2" t="str">
        <f>IFERROR(__xludf.DUMMYFUNCTION("IF('From Order'!$A7=COLUMNS($A7:E26), LEFT(INDEX(FILTER(E$1:E6, E$1:E6&lt;&gt;""""),COUNTA(FILTER(E$1:E6, E$1:E6&lt;&gt;""""))), LEN(INDEX(FILTER(E$1:E6, E$1:E6&lt;&gt;""""),COUNTA(FILTER(E$1:E6, E$1:E6&lt;&gt;""""))))-1), IF('To Order'!$A7=COLUMNS($A7:E26), E6&amp;RIGHT(INDIRECT(AD"&amp;"DRESS(ROW(E7)-1, 'From Order'!$A7)), 1), E6))"),"GP")</f>
        <v>GP</v>
      </c>
      <c r="F7" s="2" t="str">
        <f>IFERROR(__xludf.DUMMYFUNCTION("IF('From Order'!$A7=COLUMNS($A7:F26), LEFT(INDEX(FILTER(F$1:F6, F$1:F6&lt;&gt;""""),COUNTA(FILTER(F$1:F6, F$1:F6&lt;&gt;""""))), LEN(INDEX(FILTER(F$1:F6, F$1:F6&lt;&gt;""""),COUNTA(FILTER(F$1:F6, F$1:F6&lt;&gt;""""))))-1), IF('To Order'!$A7=COLUMNS($A7:F26), F6&amp;RIGHT(INDIRECT(AD"&amp;"DRESS(ROW(F7)-1, 'From Order'!$A7)), 1), F6))"),"FBRZJQCD")</f>
        <v>FBRZJQCD</v>
      </c>
      <c r="G7" s="2" t="str">
        <f>IFERROR(__xludf.DUMMYFUNCTION("IF('From Order'!$A7=COLUMNS($A7:G26), LEFT(INDEX(FILTER(G$1:G6, G$1:G6&lt;&gt;""""),COUNTA(FILTER(G$1:G6, G$1:G6&lt;&gt;""""))), LEN(INDEX(FILTER(G$1:G6, G$1:G6&lt;&gt;""""),COUNTA(FILTER(G$1:G6, G$1:G6&lt;&gt;""""))))-1), IF('To Order'!$A7=COLUMNS($A7:G26), G6&amp;RIGHT(INDIRECT(AD"&amp;"DRESS(ROW(G7)-1, 'From Order'!$A7)), 1), G6))"),"SBDJMFTR")</f>
        <v>SBDJMFTR</v>
      </c>
      <c r="H7" s="2" t="str">
        <f>IFERROR(__xludf.DUMMYFUNCTION("IF('From Order'!$A7=COLUMNS($A7:H26), LEFT(INDEX(FILTER(H$1:H6, H$1:H6&lt;&gt;""""),COUNTA(FILTER(H$1:H6, H$1:H6&lt;&gt;""""))), LEN(INDEX(FILTER(H$1:H6, H$1:H6&lt;&gt;""""),COUNTA(FILTER(H$1:H6, H$1:H6&lt;&gt;""""))))-1), IF('To Order'!$A7=COLUMNS($A7:H26), H6&amp;RIGHT(INDIRECT(AD"&amp;"DRESS(ROW(H7)-1, 'From Order'!$A7)), 1), H6))"),"LHRBTVM")</f>
        <v>LHRBTVM</v>
      </c>
      <c r="I7" s="2" t="str">
        <f>IFERROR(__xludf.DUMMYFUNCTION("IF('From Order'!$A7=COLUMNS($A7:I26), LEFT(INDEX(FILTER(I$1:I6, I$1:I6&lt;&gt;""""),COUNTA(FILTER(I$1:I6, I$1:I6&lt;&gt;""""))), LEN(INDEX(FILTER(I$1:I6, I$1:I6&lt;&gt;""""),COUNTA(FILTER(I$1:I6, I$1:I6&lt;&gt;""""))))-1), IF('To Order'!$A7=COLUMNS($A7:I26), I6&amp;RIGHT(INDIRECT(AD"&amp;"DRESS(ROW(I7)-1, 'From Order'!$A7)), 1), I6))"),"QPDSV")</f>
        <v>QPDSV</v>
      </c>
    </row>
    <row r="8">
      <c r="A8" s="2" t="str">
        <f>IFERROR(__xludf.DUMMYFUNCTION("IF('From Order'!$A8=COLUMNS($A8:A27), LEFT(INDEX(FILTER(A$1:A7, A$1:A7&lt;&gt;""""),COUNTA(FILTER(A$1:A7, A$1:A7&lt;&gt;""""))), LEN(INDEX(FILTER(A$1:A7, A$1:A7&lt;&gt;""""),COUNTA(FILTER(A$1:A7, A$1:A7&lt;&gt;""""))))-1), IF('To Order'!$A8=COLUMNS($A8:A27), A7&amp;RIGHT(INDIRECT(AD"&amp;"DRESS(ROW(A8)-1, 'From Order'!$A8)), 1), A7))"),"DTRBJLWG")</f>
        <v>DTRBJLWG</v>
      </c>
      <c r="B8" s="2" t="str">
        <f>IFERROR(__xludf.DUMMYFUNCTION("IF('From Order'!$A8=COLUMNS($A8:B27), LEFT(INDEX(FILTER(B$1:B7, B$1:B7&lt;&gt;""""),COUNTA(FILTER(B$1:B7, B$1:B7&lt;&gt;""""))), LEN(INDEX(FILTER(B$1:B7, B$1:B7&lt;&gt;""""),COUNTA(FILTER(B$1:B7, B$1:B7&lt;&gt;""""))))-1), IF('To Order'!$A8=COLUMNS($A8:B27), B7&amp;RIGHT(INDIRECT(AD"&amp;"DRESS(ROW(B8)-1, 'From Order'!$A8)), 1), B7))"),"SWC")</f>
        <v>SWC</v>
      </c>
      <c r="C8" s="2" t="str">
        <f>IFERROR(__xludf.DUMMYFUNCTION("IF('From Order'!$A8=COLUMNS($A8:C27), LEFT(INDEX(FILTER(C$1:C7, C$1:C7&lt;&gt;""""),COUNTA(FILTER(C$1:C7, C$1:C7&lt;&gt;""""))), LEN(INDEX(FILTER(C$1:C7, C$1:C7&lt;&gt;""""),COUNTA(FILTER(C$1:C7, C$1:C7&lt;&gt;""""))))-1), IF('To Order'!$A8=COLUMNS($A8:C27), C7&amp;RIGHT(INDIRECT(AD"&amp;"DRESS(ROW(C8)-1, 'From Order'!$A8)), 1), C7))"),"RZTR")</f>
        <v>RZTR</v>
      </c>
      <c r="D8" s="2" t="str">
        <f>IFERROR(__xludf.DUMMYFUNCTION("IF('From Order'!$A8=COLUMNS($A8:D27), LEFT(INDEX(FILTER(D$1:D7, D$1:D7&lt;&gt;""""),COUNTA(FILTER(D$1:D7, D$1:D7&lt;&gt;""""))), LEN(INDEX(FILTER(D$1:D7, D$1:D7&lt;&gt;""""),COUNTA(FILTER(D$1:D7, D$1:D7&lt;&gt;""""))))-1), IF('To Order'!$A8=COLUMNS($A8:D27), D7&amp;RIGHT(INDIRECT(AD"&amp;"DRESS(ROW(D8)-1, 'From Order'!$A8)), 1), D7))"),"DTCHSPVMZDLT")</f>
        <v>DTCHSPVMZDLT</v>
      </c>
      <c r="E8" s="2" t="str">
        <f>IFERROR(__xludf.DUMMYFUNCTION("IF('From Order'!$A8=COLUMNS($A8:E27), LEFT(INDEX(FILTER(E$1:E7, E$1:E7&lt;&gt;""""),COUNTA(FILTER(E$1:E7, E$1:E7&lt;&gt;""""))), LEN(INDEX(FILTER(E$1:E7, E$1:E7&lt;&gt;""""),COUNTA(FILTER(E$1:E7, E$1:E7&lt;&gt;""""))))-1), IF('To Order'!$A8=COLUMNS($A8:E27), E7&amp;RIGHT(INDIRECT(AD"&amp;"DRESS(ROW(E8)-1, 'From Order'!$A8)), 1), E7))"),"GP")</f>
        <v>GP</v>
      </c>
      <c r="F8" s="2" t="str">
        <f>IFERROR(__xludf.DUMMYFUNCTION("IF('From Order'!$A8=COLUMNS($A8:F27), LEFT(INDEX(FILTER(F$1:F7, F$1:F7&lt;&gt;""""),COUNTA(FILTER(F$1:F7, F$1:F7&lt;&gt;""""))), LEN(INDEX(FILTER(F$1:F7, F$1:F7&lt;&gt;""""),COUNTA(FILTER(F$1:F7, F$1:F7&lt;&gt;""""))))-1), IF('To Order'!$A8=COLUMNS($A8:F27), F7&amp;RIGHT(INDIRECT(AD"&amp;"DRESS(ROW(F8)-1, 'From Order'!$A8)), 1), F7))"),"FBRZJQCD")</f>
        <v>FBRZJQCD</v>
      </c>
      <c r="G8" s="2" t="str">
        <f>IFERROR(__xludf.DUMMYFUNCTION("IF('From Order'!$A8=COLUMNS($A8:G27), LEFT(INDEX(FILTER(G$1:G7, G$1:G7&lt;&gt;""""),COUNTA(FILTER(G$1:G7, G$1:G7&lt;&gt;""""))), LEN(INDEX(FILTER(G$1:G7, G$1:G7&lt;&gt;""""),COUNTA(FILTER(G$1:G7, G$1:G7&lt;&gt;""""))))-1), IF('To Order'!$A8=COLUMNS($A8:G27), G7&amp;RIGHT(INDIRECT(AD"&amp;"DRESS(ROW(G8)-1, 'From Order'!$A8)), 1), G7))"),"SBDJMFT")</f>
        <v>SBDJMFT</v>
      </c>
      <c r="H8" s="2" t="str">
        <f>IFERROR(__xludf.DUMMYFUNCTION("IF('From Order'!$A8=COLUMNS($A8:H27), LEFT(INDEX(FILTER(H$1:H7, H$1:H7&lt;&gt;""""),COUNTA(FILTER(H$1:H7, H$1:H7&lt;&gt;""""))), LEN(INDEX(FILTER(H$1:H7, H$1:H7&lt;&gt;""""),COUNTA(FILTER(H$1:H7, H$1:H7&lt;&gt;""""))))-1), IF('To Order'!$A8=COLUMNS($A8:H27), H7&amp;RIGHT(INDIRECT(AD"&amp;"DRESS(ROW(H8)-1, 'From Order'!$A8)), 1), H7))"),"LHRBTVM")</f>
        <v>LHRBTVM</v>
      </c>
      <c r="I8" s="2" t="str">
        <f>IFERROR(__xludf.DUMMYFUNCTION("IF('From Order'!$A8=COLUMNS($A8:I27), LEFT(INDEX(FILTER(I$1:I7, I$1:I7&lt;&gt;""""),COUNTA(FILTER(I$1:I7, I$1:I7&lt;&gt;""""))), LEN(INDEX(FILTER(I$1:I7, I$1:I7&lt;&gt;""""),COUNTA(FILTER(I$1:I7, I$1:I7&lt;&gt;""""))))-1), IF('To Order'!$A8=COLUMNS($A8:I27), I7&amp;RIGHT(INDIRECT(AD"&amp;"DRESS(ROW(I8)-1, 'From Order'!$A8)), 1), I7))"),"QPDSV")</f>
        <v>QPDSV</v>
      </c>
    </row>
    <row r="9">
      <c r="A9" s="2" t="str">
        <f>IFERROR(__xludf.DUMMYFUNCTION("IF('From Order'!$A9=COLUMNS($A9:A28), LEFT(INDEX(FILTER(A$1:A8, A$1:A8&lt;&gt;""""),COUNTA(FILTER(A$1:A8, A$1:A8&lt;&gt;""""))), LEN(INDEX(FILTER(A$1:A8, A$1:A8&lt;&gt;""""),COUNTA(FILTER(A$1:A8, A$1:A8&lt;&gt;""""))))-1), IF('To Order'!$A9=COLUMNS($A9:A28), A8&amp;RIGHT(INDIRECT(AD"&amp;"DRESS(ROW(A9)-1, 'From Order'!$A9)), 1), A8))"),"DTRBJLWG")</f>
        <v>DTRBJLWG</v>
      </c>
      <c r="B9" s="2" t="str">
        <f>IFERROR(__xludf.DUMMYFUNCTION("IF('From Order'!$A9=COLUMNS($A9:B28), LEFT(INDEX(FILTER(B$1:B8, B$1:B8&lt;&gt;""""),COUNTA(FILTER(B$1:B8, B$1:B8&lt;&gt;""""))), LEN(INDEX(FILTER(B$1:B8, B$1:B8&lt;&gt;""""),COUNTA(FILTER(B$1:B8, B$1:B8&lt;&gt;""""))))-1), IF('To Order'!$A9=COLUMNS($A9:B28), B8&amp;RIGHT(INDIRECT(AD"&amp;"DRESS(ROW(B9)-1, 'From Order'!$A9)), 1), B8))"),"SWC")</f>
        <v>SWC</v>
      </c>
      <c r="C9" s="2" t="str">
        <f>IFERROR(__xludf.DUMMYFUNCTION("IF('From Order'!$A9=COLUMNS($A9:C28), LEFT(INDEX(FILTER(C$1:C8, C$1:C8&lt;&gt;""""),COUNTA(FILTER(C$1:C8, C$1:C8&lt;&gt;""""))), LEN(INDEX(FILTER(C$1:C8, C$1:C8&lt;&gt;""""),COUNTA(FILTER(C$1:C8, C$1:C8&lt;&gt;""""))))-1), IF('To Order'!$A9=COLUMNS($A9:C28), C8&amp;RIGHT(INDIRECT(AD"&amp;"DRESS(ROW(C9)-1, 'From Order'!$A9)), 1), C8))"),"RZTRT")</f>
        <v>RZTRT</v>
      </c>
      <c r="D9" s="2" t="str">
        <f>IFERROR(__xludf.DUMMYFUNCTION("IF('From Order'!$A9=COLUMNS($A9:D28), LEFT(INDEX(FILTER(D$1:D8, D$1:D8&lt;&gt;""""),COUNTA(FILTER(D$1:D8, D$1:D8&lt;&gt;""""))), LEN(INDEX(FILTER(D$1:D8, D$1:D8&lt;&gt;""""),COUNTA(FILTER(D$1:D8, D$1:D8&lt;&gt;""""))))-1), IF('To Order'!$A9=COLUMNS($A9:D28), D8&amp;RIGHT(INDIRECT(AD"&amp;"DRESS(ROW(D9)-1, 'From Order'!$A9)), 1), D8))"),"DTCHSPVMZDLT")</f>
        <v>DTCHSPVMZDLT</v>
      </c>
      <c r="E9" s="2" t="str">
        <f>IFERROR(__xludf.DUMMYFUNCTION("IF('From Order'!$A9=COLUMNS($A9:E28), LEFT(INDEX(FILTER(E$1:E8, E$1:E8&lt;&gt;""""),COUNTA(FILTER(E$1:E8, E$1:E8&lt;&gt;""""))), LEN(INDEX(FILTER(E$1:E8, E$1:E8&lt;&gt;""""),COUNTA(FILTER(E$1:E8, E$1:E8&lt;&gt;""""))))-1), IF('To Order'!$A9=COLUMNS($A9:E28), E8&amp;RIGHT(INDIRECT(AD"&amp;"DRESS(ROW(E9)-1, 'From Order'!$A9)), 1), E8))"),"GP")</f>
        <v>GP</v>
      </c>
      <c r="F9" s="2" t="str">
        <f>IFERROR(__xludf.DUMMYFUNCTION("IF('From Order'!$A9=COLUMNS($A9:F28), LEFT(INDEX(FILTER(F$1:F8, F$1:F8&lt;&gt;""""),COUNTA(FILTER(F$1:F8, F$1:F8&lt;&gt;""""))), LEN(INDEX(FILTER(F$1:F8, F$1:F8&lt;&gt;""""),COUNTA(FILTER(F$1:F8, F$1:F8&lt;&gt;""""))))-1), IF('To Order'!$A9=COLUMNS($A9:F28), F8&amp;RIGHT(INDIRECT(AD"&amp;"DRESS(ROW(F9)-1, 'From Order'!$A9)), 1), F8))"),"FBRZJQCD")</f>
        <v>FBRZJQCD</v>
      </c>
      <c r="G9" s="2" t="str">
        <f>IFERROR(__xludf.DUMMYFUNCTION("IF('From Order'!$A9=COLUMNS($A9:G28), LEFT(INDEX(FILTER(G$1:G8, G$1:G8&lt;&gt;""""),COUNTA(FILTER(G$1:G8, G$1:G8&lt;&gt;""""))), LEN(INDEX(FILTER(G$1:G8, G$1:G8&lt;&gt;""""),COUNTA(FILTER(G$1:G8, G$1:G8&lt;&gt;""""))))-1), IF('To Order'!$A9=COLUMNS($A9:G28), G8&amp;RIGHT(INDIRECT(AD"&amp;"DRESS(ROW(G9)-1, 'From Order'!$A9)), 1), G8))"),"SBDJMF")</f>
        <v>SBDJMF</v>
      </c>
      <c r="H9" s="2" t="str">
        <f>IFERROR(__xludf.DUMMYFUNCTION("IF('From Order'!$A9=COLUMNS($A9:H28), LEFT(INDEX(FILTER(H$1:H8, H$1:H8&lt;&gt;""""),COUNTA(FILTER(H$1:H8, H$1:H8&lt;&gt;""""))), LEN(INDEX(FILTER(H$1:H8, H$1:H8&lt;&gt;""""),COUNTA(FILTER(H$1:H8, H$1:H8&lt;&gt;""""))))-1), IF('To Order'!$A9=COLUMNS($A9:H28), H8&amp;RIGHT(INDIRECT(AD"&amp;"DRESS(ROW(H9)-1, 'From Order'!$A9)), 1), H8))"),"LHRBTVM")</f>
        <v>LHRBTVM</v>
      </c>
      <c r="I9" s="2" t="str">
        <f>IFERROR(__xludf.DUMMYFUNCTION("IF('From Order'!$A9=COLUMNS($A9:I28), LEFT(INDEX(FILTER(I$1:I8, I$1:I8&lt;&gt;""""),COUNTA(FILTER(I$1:I8, I$1:I8&lt;&gt;""""))), LEN(INDEX(FILTER(I$1:I8, I$1:I8&lt;&gt;""""),COUNTA(FILTER(I$1:I8, I$1:I8&lt;&gt;""""))))-1), IF('To Order'!$A9=COLUMNS($A9:I28), I8&amp;RIGHT(INDIRECT(AD"&amp;"DRESS(ROW(I9)-1, 'From Order'!$A9)), 1), I8))"),"QPDSV")</f>
        <v>QPDSV</v>
      </c>
    </row>
    <row r="10">
      <c r="A10" s="2" t="str">
        <f>IFERROR(__xludf.DUMMYFUNCTION("IF('From Order'!$A10=COLUMNS($A10:A29), LEFT(INDEX(FILTER(A$1:A9, A$1:A9&lt;&gt;""""),COUNTA(FILTER(A$1:A9, A$1:A9&lt;&gt;""""))), LEN(INDEX(FILTER(A$1:A9, A$1:A9&lt;&gt;""""),COUNTA(FILTER(A$1:A9, A$1:A9&lt;&gt;""""))))-1), IF('To Order'!$A10=COLUMNS($A10:A29), A9&amp;RIGHT(INDIREC"&amp;"T(ADDRESS(ROW(A10)-1, 'From Order'!$A10)), 1), A9))"),"DTRBJLWG")</f>
        <v>DTRBJLWG</v>
      </c>
      <c r="B10" s="2" t="str">
        <f>IFERROR(__xludf.DUMMYFUNCTION("IF('From Order'!$A10=COLUMNS($A10:B29), LEFT(INDEX(FILTER(B$1:B9, B$1:B9&lt;&gt;""""),COUNTA(FILTER(B$1:B9, B$1:B9&lt;&gt;""""))), LEN(INDEX(FILTER(B$1:B9, B$1:B9&lt;&gt;""""),COUNTA(FILTER(B$1:B9, B$1:B9&lt;&gt;""""))))-1), IF('To Order'!$A10=COLUMNS($A10:B29), B9&amp;RIGHT(INDIREC"&amp;"T(ADDRESS(ROW(B10)-1, 'From Order'!$A10)), 1), B9))"),"SWC")</f>
        <v>SWC</v>
      </c>
      <c r="C10" s="2" t="str">
        <f>IFERROR(__xludf.DUMMYFUNCTION("IF('From Order'!$A10=COLUMNS($A10:C29), LEFT(INDEX(FILTER(C$1:C9, C$1:C9&lt;&gt;""""),COUNTA(FILTER(C$1:C9, C$1:C9&lt;&gt;""""))), LEN(INDEX(FILTER(C$1:C9, C$1:C9&lt;&gt;""""),COUNTA(FILTER(C$1:C9, C$1:C9&lt;&gt;""""))))-1), IF('To Order'!$A10=COLUMNS($A10:C29), C9&amp;RIGHT(INDIREC"&amp;"T(ADDRESS(ROW(C10)-1, 'From Order'!$A10)), 1), C9))"),"RZTRTF")</f>
        <v>RZTRTF</v>
      </c>
      <c r="D10" s="2" t="str">
        <f>IFERROR(__xludf.DUMMYFUNCTION("IF('From Order'!$A10=COLUMNS($A10:D29), LEFT(INDEX(FILTER(D$1:D9, D$1:D9&lt;&gt;""""),COUNTA(FILTER(D$1:D9, D$1:D9&lt;&gt;""""))), LEN(INDEX(FILTER(D$1:D9, D$1:D9&lt;&gt;""""),COUNTA(FILTER(D$1:D9, D$1:D9&lt;&gt;""""))))-1), IF('To Order'!$A10=COLUMNS($A10:D29), D9&amp;RIGHT(INDIREC"&amp;"T(ADDRESS(ROW(D10)-1, 'From Order'!$A10)), 1), D9))"),"DTCHSPVMZDLT")</f>
        <v>DTCHSPVMZDLT</v>
      </c>
      <c r="E10" s="2" t="str">
        <f>IFERROR(__xludf.DUMMYFUNCTION("IF('From Order'!$A10=COLUMNS($A10:E29), LEFT(INDEX(FILTER(E$1:E9, E$1:E9&lt;&gt;""""),COUNTA(FILTER(E$1:E9, E$1:E9&lt;&gt;""""))), LEN(INDEX(FILTER(E$1:E9, E$1:E9&lt;&gt;""""),COUNTA(FILTER(E$1:E9, E$1:E9&lt;&gt;""""))))-1), IF('To Order'!$A10=COLUMNS($A10:E29), E9&amp;RIGHT(INDIREC"&amp;"T(ADDRESS(ROW(E10)-1, 'From Order'!$A10)), 1), E9))"),"GP")</f>
        <v>GP</v>
      </c>
      <c r="F10" s="2" t="str">
        <f>IFERROR(__xludf.DUMMYFUNCTION("IF('From Order'!$A10=COLUMNS($A10:F29), LEFT(INDEX(FILTER(F$1:F9, F$1:F9&lt;&gt;""""),COUNTA(FILTER(F$1:F9, F$1:F9&lt;&gt;""""))), LEN(INDEX(FILTER(F$1:F9, F$1:F9&lt;&gt;""""),COUNTA(FILTER(F$1:F9, F$1:F9&lt;&gt;""""))))-1), IF('To Order'!$A10=COLUMNS($A10:F29), F9&amp;RIGHT(INDIREC"&amp;"T(ADDRESS(ROW(F10)-1, 'From Order'!$A10)), 1), F9))"),"FBRZJQCD")</f>
        <v>FBRZJQCD</v>
      </c>
      <c r="G10" s="2" t="str">
        <f>IFERROR(__xludf.DUMMYFUNCTION("IF('From Order'!$A10=COLUMNS($A10:G29), LEFT(INDEX(FILTER(G$1:G9, G$1:G9&lt;&gt;""""),COUNTA(FILTER(G$1:G9, G$1:G9&lt;&gt;""""))), LEN(INDEX(FILTER(G$1:G9, G$1:G9&lt;&gt;""""),COUNTA(FILTER(G$1:G9, G$1:G9&lt;&gt;""""))))-1), IF('To Order'!$A10=COLUMNS($A10:G29), G9&amp;RIGHT(INDIREC"&amp;"T(ADDRESS(ROW(G10)-1, 'From Order'!$A10)), 1), G9))"),"SBDJM")</f>
        <v>SBDJM</v>
      </c>
      <c r="H10" s="2" t="str">
        <f>IFERROR(__xludf.DUMMYFUNCTION("IF('From Order'!$A10=COLUMNS($A10:H29), LEFT(INDEX(FILTER(H$1:H9, H$1:H9&lt;&gt;""""),COUNTA(FILTER(H$1:H9, H$1:H9&lt;&gt;""""))), LEN(INDEX(FILTER(H$1:H9, H$1:H9&lt;&gt;""""),COUNTA(FILTER(H$1:H9, H$1:H9&lt;&gt;""""))))-1), IF('To Order'!$A10=COLUMNS($A10:H29), H9&amp;RIGHT(INDIREC"&amp;"T(ADDRESS(ROW(H10)-1, 'From Order'!$A10)), 1), H9))"),"LHRBTVM")</f>
        <v>LHRBTVM</v>
      </c>
      <c r="I10" s="2" t="str">
        <f>IFERROR(__xludf.DUMMYFUNCTION("IF('From Order'!$A10=COLUMNS($A10:I29), LEFT(INDEX(FILTER(I$1:I9, I$1:I9&lt;&gt;""""),COUNTA(FILTER(I$1:I9, I$1:I9&lt;&gt;""""))), LEN(INDEX(FILTER(I$1:I9, I$1:I9&lt;&gt;""""),COUNTA(FILTER(I$1:I9, I$1:I9&lt;&gt;""""))))-1), IF('To Order'!$A10=COLUMNS($A10:I29), I9&amp;RIGHT(INDIREC"&amp;"T(ADDRESS(ROW(I10)-1, 'From Order'!$A10)), 1), I9))"),"QPDSV")</f>
        <v>QPDSV</v>
      </c>
    </row>
    <row r="11">
      <c r="A11" s="2" t="str">
        <f>IFERROR(__xludf.DUMMYFUNCTION("IF('From Order'!$A11=COLUMNS($A11:A30), LEFT(INDEX(FILTER(A$1:A10, A$1:A10&lt;&gt;""""),COUNTA(FILTER(A$1:A10, A$1:A10&lt;&gt;""""))), LEN(INDEX(FILTER(A$1:A10, A$1:A10&lt;&gt;""""),COUNTA(FILTER(A$1:A10, A$1:A10&lt;&gt;""""))))-1), IF('To Order'!$A11=COLUMNS($A11:A30), A10&amp;RIGH"&amp;"T(INDIRECT(ADDRESS(ROW(A11)-1, 'From Order'!$A11)), 1), A10))"),"DTRBJLWG")</f>
        <v>DTRBJLWG</v>
      </c>
      <c r="B11" s="2" t="str">
        <f>IFERROR(__xludf.DUMMYFUNCTION("IF('From Order'!$A11=COLUMNS($A11:B30), LEFT(INDEX(FILTER(B$1:B10, B$1:B10&lt;&gt;""""),COUNTA(FILTER(B$1:B10, B$1:B10&lt;&gt;""""))), LEN(INDEX(FILTER(B$1:B10, B$1:B10&lt;&gt;""""),COUNTA(FILTER(B$1:B10, B$1:B10&lt;&gt;""""))))-1), IF('To Order'!$A11=COLUMNS($A11:B30), B10&amp;RIGH"&amp;"T(INDIRECT(ADDRESS(ROW(B11)-1, 'From Order'!$A11)), 1), B10))"),"SWC")</f>
        <v>SWC</v>
      </c>
      <c r="C11" s="2" t="str">
        <f>IFERROR(__xludf.DUMMYFUNCTION("IF('From Order'!$A11=COLUMNS($A11:C30), LEFT(INDEX(FILTER(C$1:C10, C$1:C10&lt;&gt;""""),COUNTA(FILTER(C$1:C10, C$1:C10&lt;&gt;""""))), LEN(INDEX(FILTER(C$1:C10, C$1:C10&lt;&gt;""""),COUNTA(FILTER(C$1:C10, C$1:C10&lt;&gt;""""))))-1), IF('To Order'!$A11=COLUMNS($A11:C30), C10&amp;RIGH"&amp;"T(INDIRECT(ADDRESS(ROW(C11)-1, 'From Order'!$A11)), 1), C10))"),"RZTRTFM")</f>
        <v>RZTRTFM</v>
      </c>
      <c r="D11" s="2" t="str">
        <f>IFERROR(__xludf.DUMMYFUNCTION("IF('From Order'!$A11=COLUMNS($A11:D30), LEFT(INDEX(FILTER(D$1:D10, D$1:D10&lt;&gt;""""),COUNTA(FILTER(D$1:D10, D$1:D10&lt;&gt;""""))), LEN(INDEX(FILTER(D$1:D10, D$1:D10&lt;&gt;""""),COUNTA(FILTER(D$1:D10, D$1:D10&lt;&gt;""""))))-1), IF('To Order'!$A11=COLUMNS($A11:D30), D10&amp;RIGH"&amp;"T(INDIRECT(ADDRESS(ROW(D11)-1, 'From Order'!$A11)), 1), D10))"),"DTCHSPVMZDLT")</f>
        <v>DTCHSPVMZDLT</v>
      </c>
      <c r="E11" s="2" t="str">
        <f>IFERROR(__xludf.DUMMYFUNCTION("IF('From Order'!$A11=COLUMNS($A11:E30), LEFT(INDEX(FILTER(E$1:E10, E$1:E10&lt;&gt;""""),COUNTA(FILTER(E$1:E10, E$1:E10&lt;&gt;""""))), LEN(INDEX(FILTER(E$1:E10, E$1:E10&lt;&gt;""""),COUNTA(FILTER(E$1:E10, E$1:E10&lt;&gt;""""))))-1), IF('To Order'!$A11=COLUMNS($A11:E30), E10&amp;RIGH"&amp;"T(INDIRECT(ADDRESS(ROW(E11)-1, 'From Order'!$A11)), 1), E10))"),"GP")</f>
        <v>GP</v>
      </c>
      <c r="F11" s="2" t="str">
        <f>IFERROR(__xludf.DUMMYFUNCTION("IF('From Order'!$A11=COLUMNS($A11:F30), LEFT(INDEX(FILTER(F$1:F10, F$1:F10&lt;&gt;""""),COUNTA(FILTER(F$1:F10, F$1:F10&lt;&gt;""""))), LEN(INDEX(FILTER(F$1:F10, F$1:F10&lt;&gt;""""),COUNTA(FILTER(F$1:F10, F$1:F10&lt;&gt;""""))))-1), IF('To Order'!$A11=COLUMNS($A11:F30), F10&amp;RIGH"&amp;"T(INDIRECT(ADDRESS(ROW(F11)-1, 'From Order'!$A11)), 1), F10))"),"FBRZJQCD")</f>
        <v>FBRZJQCD</v>
      </c>
      <c r="G11" s="2" t="str">
        <f>IFERROR(__xludf.DUMMYFUNCTION("IF('From Order'!$A11=COLUMNS($A11:G30), LEFT(INDEX(FILTER(G$1:G10, G$1:G10&lt;&gt;""""),COUNTA(FILTER(G$1:G10, G$1:G10&lt;&gt;""""))), LEN(INDEX(FILTER(G$1:G10, G$1:G10&lt;&gt;""""),COUNTA(FILTER(G$1:G10, G$1:G10&lt;&gt;""""))))-1), IF('To Order'!$A11=COLUMNS($A11:G30), G10&amp;RIGH"&amp;"T(INDIRECT(ADDRESS(ROW(G11)-1, 'From Order'!$A11)), 1), G10))"),"SBDJ")</f>
        <v>SBDJ</v>
      </c>
      <c r="H11" s="2" t="str">
        <f>IFERROR(__xludf.DUMMYFUNCTION("IF('From Order'!$A11=COLUMNS($A11:H30), LEFT(INDEX(FILTER(H$1:H10, H$1:H10&lt;&gt;""""),COUNTA(FILTER(H$1:H10, H$1:H10&lt;&gt;""""))), LEN(INDEX(FILTER(H$1:H10, H$1:H10&lt;&gt;""""),COUNTA(FILTER(H$1:H10, H$1:H10&lt;&gt;""""))))-1), IF('To Order'!$A11=COLUMNS($A11:H30), H10&amp;RIGH"&amp;"T(INDIRECT(ADDRESS(ROW(H11)-1, 'From Order'!$A11)), 1), H10))"),"LHRBTVM")</f>
        <v>LHRBTVM</v>
      </c>
      <c r="I11" s="2" t="str">
        <f>IFERROR(__xludf.DUMMYFUNCTION("IF('From Order'!$A11=COLUMNS($A11:I30), LEFT(INDEX(FILTER(I$1:I10, I$1:I10&lt;&gt;""""),COUNTA(FILTER(I$1:I10, I$1:I10&lt;&gt;""""))), LEN(INDEX(FILTER(I$1:I10, I$1:I10&lt;&gt;""""),COUNTA(FILTER(I$1:I10, I$1:I10&lt;&gt;""""))))-1), IF('To Order'!$A11=COLUMNS($A11:I30), I10&amp;RIGH"&amp;"T(INDIRECT(ADDRESS(ROW(I11)-1, 'From Order'!$A11)), 1), I10))"),"QPDSV")</f>
        <v>QPDSV</v>
      </c>
    </row>
    <row r="12">
      <c r="A12" s="2" t="str">
        <f>IFERROR(__xludf.DUMMYFUNCTION("IF('From Order'!$A12=COLUMNS($A12:A31), LEFT(INDEX(FILTER(A$1:A11, A$1:A11&lt;&gt;""""),COUNTA(FILTER(A$1:A11, A$1:A11&lt;&gt;""""))), LEN(INDEX(FILTER(A$1:A11, A$1:A11&lt;&gt;""""),COUNTA(FILTER(A$1:A11, A$1:A11&lt;&gt;""""))))-1), IF('To Order'!$A12=COLUMNS($A12:A31), A11&amp;RIGH"&amp;"T(INDIRECT(ADDRESS(ROW(A12)-1, 'From Order'!$A12)), 1), A11))"),"DTRBJLWG")</f>
        <v>DTRBJLWG</v>
      </c>
      <c r="B12" s="2" t="str">
        <f>IFERROR(__xludf.DUMMYFUNCTION("IF('From Order'!$A12=COLUMNS($A12:B31), LEFT(INDEX(FILTER(B$1:B11, B$1:B11&lt;&gt;""""),COUNTA(FILTER(B$1:B11, B$1:B11&lt;&gt;""""))), LEN(INDEX(FILTER(B$1:B11, B$1:B11&lt;&gt;""""),COUNTA(FILTER(B$1:B11, B$1:B11&lt;&gt;""""))))-1), IF('To Order'!$A12=COLUMNS($A12:B31), B11&amp;RIGH"&amp;"T(INDIRECT(ADDRESS(ROW(B12)-1, 'From Order'!$A12)), 1), B11))"),"SWC")</f>
        <v>SWC</v>
      </c>
      <c r="C12" s="2" t="str">
        <f>IFERROR(__xludf.DUMMYFUNCTION("IF('From Order'!$A12=COLUMNS($A12:C31), LEFT(INDEX(FILTER(C$1:C11, C$1:C11&lt;&gt;""""),COUNTA(FILTER(C$1:C11, C$1:C11&lt;&gt;""""))), LEN(INDEX(FILTER(C$1:C11, C$1:C11&lt;&gt;""""),COUNTA(FILTER(C$1:C11, C$1:C11&lt;&gt;""""))))-1), IF('To Order'!$A12=COLUMNS($A12:C31), C11&amp;RIGH"&amp;"T(INDIRECT(ADDRESS(ROW(C12)-1, 'From Order'!$A12)), 1), C11))"),"RZTRTFMJ")</f>
        <v>RZTRTFMJ</v>
      </c>
      <c r="D12" s="2" t="str">
        <f>IFERROR(__xludf.DUMMYFUNCTION("IF('From Order'!$A12=COLUMNS($A12:D31), LEFT(INDEX(FILTER(D$1:D11, D$1:D11&lt;&gt;""""),COUNTA(FILTER(D$1:D11, D$1:D11&lt;&gt;""""))), LEN(INDEX(FILTER(D$1:D11, D$1:D11&lt;&gt;""""),COUNTA(FILTER(D$1:D11, D$1:D11&lt;&gt;""""))))-1), IF('To Order'!$A12=COLUMNS($A12:D31), D11&amp;RIGH"&amp;"T(INDIRECT(ADDRESS(ROW(D12)-1, 'From Order'!$A12)), 1), D11))"),"DTCHSPVMZDLT")</f>
        <v>DTCHSPVMZDLT</v>
      </c>
      <c r="E12" s="2" t="str">
        <f>IFERROR(__xludf.DUMMYFUNCTION("IF('From Order'!$A12=COLUMNS($A12:E31), LEFT(INDEX(FILTER(E$1:E11, E$1:E11&lt;&gt;""""),COUNTA(FILTER(E$1:E11, E$1:E11&lt;&gt;""""))), LEN(INDEX(FILTER(E$1:E11, E$1:E11&lt;&gt;""""),COUNTA(FILTER(E$1:E11, E$1:E11&lt;&gt;""""))))-1), IF('To Order'!$A12=COLUMNS($A12:E31), E11&amp;RIGH"&amp;"T(INDIRECT(ADDRESS(ROW(E12)-1, 'From Order'!$A12)), 1), E11))"),"GP")</f>
        <v>GP</v>
      </c>
      <c r="F12" s="2" t="str">
        <f>IFERROR(__xludf.DUMMYFUNCTION("IF('From Order'!$A12=COLUMNS($A12:F31), LEFT(INDEX(FILTER(F$1:F11, F$1:F11&lt;&gt;""""),COUNTA(FILTER(F$1:F11, F$1:F11&lt;&gt;""""))), LEN(INDEX(FILTER(F$1:F11, F$1:F11&lt;&gt;""""),COUNTA(FILTER(F$1:F11, F$1:F11&lt;&gt;""""))))-1), IF('To Order'!$A12=COLUMNS($A12:F31), F11&amp;RIGH"&amp;"T(INDIRECT(ADDRESS(ROW(F12)-1, 'From Order'!$A12)), 1), F11))"),"FBRZJQCD")</f>
        <v>FBRZJQCD</v>
      </c>
      <c r="G12" s="2" t="str">
        <f>IFERROR(__xludf.DUMMYFUNCTION("IF('From Order'!$A12=COLUMNS($A12:G31), LEFT(INDEX(FILTER(G$1:G11, G$1:G11&lt;&gt;""""),COUNTA(FILTER(G$1:G11, G$1:G11&lt;&gt;""""))), LEN(INDEX(FILTER(G$1:G11, G$1:G11&lt;&gt;""""),COUNTA(FILTER(G$1:G11, G$1:G11&lt;&gt;""""))))-1), IF('To Order'!$A12=COLUMNS($A12:G31), G11&amp;RIGH"&amp;"T(INDIRECT(ADDRESS(ROW(G12)-1, 'From Order'!$A12)), 1), G11))"),"SBD")</f>
        <v>SBD</v>
      </c>
      <c r="H12" s="2" t="str">
        <f>IFERROR(__xludf.DUMMYFUNCTION("IF('From Order'!$A12=COLUMNS($A12:H31), LEFT(INDEX(FILTER(H$1:H11, H$1:H11&lt;&gt;""""),COUNTA(FILTER(H$1:H11, H$1:H11&lt;&gt;""""))), LEN(INDEX(FILTER(H$1:H11, H$1:H11&lt;&gt;""""),COUNTA(FILTER(H$1:H11, H$1:H11&lt;&gt;""""))))-1), IF('To Order'!$A12=COLUMNS($A12:H31), H11&amp;RIGH"&amp;"T(INDIRECT(ADDRESS(ROW(H12)-1, 'From Order'!$A12)), 1), H11))"),"LHRBTVM")</f>
        <v>LHRBTVM</v>
      </c>
      <c r="I12" s="2" t="str">
        <f>IFERROR(__xludf.DUMMYFUNCTION("IF('From Order'!$A12=COLUMNS($A12:I31), LEFT(INDEX(FILTER(I$1:I11, I$1:I11&lt;&gt;""""),COUNTA(FILTER(I$1:I11, I$1:I11&lt;&gt;""""))), LEN(INDEX(FILTER(I$1:I11, I$1:I11&lt;&gt;""""),COUNTA(FILTER(I$1:I11, I$1:I11&lt;&gt;""""))))-1), IF('To Order'!$A12=COLUMNS($A12:I31), I11&amp;RIGH"&amp;"T(INDIRECT(ADDRESS(ROW(I12)-1, 'From Order'!$A12)), 1), I11))"),"QPDSV")</f>
        <v>QPDSV</v>
      </c>
    </row>
    <row r="13">
      <c r="A13" s="2" t="str">
        <f>IFERROR(__xludf.DUMMYFUNCTION("IF('From Order'!$A13=COLUMNS($A13:A32), LEFT(INDEX(FILTER(A$1:A12, A$1:A12&lt;&gt;""""),COUNTA(FILTER(A$1:A12, A$1:A12&lt;&gt;""""))), LEN(INDEX(FILTER(A$1:A12, A$1:A12&lt;&gt;""""),COUNTA(FILTER(A$1:A12, A$1:A12&lt;&gt;""""))))-1), IF('To Order'!$A13=COLUMNS($A13:A32), A12&amp;RIGH"&amp;"T(INDIRECT(ADDRESS(ROW(A13)-1, 'From Order'!$A13)), 1), A12))"),"DTRBJLWG")</f>
        <v>DTRBJLWG</v>
      </c>
      <c r="B13" s="2" t="str">
        <f>IFERROR(__xludf.DUMMYFUNCTION("IF('From Order'!$A13=COLUMNS($A13:B32), LEFT(INDEX(FILTER(B$1:B12, B$1:B12&lt;&gt;""""),COUNTA(FILTER(B$1:B12, B$1:B12&lt;&gt;""""))), LEN(INDEX(FILTER(B$1:B12, B$1:B12&lt;&gt;""""),COUNTA(FILTER(B$1:B12, B$1:B12&lt;&gt;""""))))-1), IF('To Order'!$A13=COLUMNS($A13:B32), B12&amp;RIGH"&amp;"T(INDIRECT(ADDRESS(ROW(B13)-1, 'From Order'!$A13)), 1), B12))"),"SWC")</f>
        <v>SWC</v>
      </c>
      <c r="C13" s="2" t="str">
        <f>IFERROR(__xludf.DUMMYFUNCTION("IF('From Order'!$A13=COLUMNS($A13:C32), LEFT(INDEX(FILTER(C$1:C12, C$1:C12&lt;&gt;""""),COUNTA(FILTER(C$1:C12, C$1:C12&lt;&gt;""""))), LEN(INDEX(FILTER(C$1:C12, C$1:C12&lt;&gt;""""),COUNTA(FILTER(C$1:C12, C$1:C12&lt;&gt;""""))))-1), IF('To Order'!$A13=COLUMNS($A13:C32), C12&amp;RIGH"&amp;"T(INDIRECT(ADDRESS(ROW(C13)-1, 'From Order'!$A13)), 1), C12))"),"RZTRTFMJD")</f>
        <v>RZTRTFMJD</v>
      </c>
      <c r="D13" s="2" t="str">
        <f>IFERROR(__xludf.DUMMYFUNCTION("IF('From Order'!$A13=COLUMNS($A13:D32), LEFT(INDEX(FILTER(D$1:D12, D$1:D12&lt;&gt;""""),COUNTA(FILTER(D$1:D12, D$1:D12&lt;&gt;""""))), LEN(INDEX(FILTER(D$1:D12, D$1:D12&lt;&gt;""""),COUNTA(FILTER(D$1:D12, D$1:D12&lt;&gt;""""))))-1), IF('To Order'!$A13=COLUMNS($A13:D32), D12&amp;RIGH"&amp;"T(INDIRECT(ADDRESS(ROW(D13)-1, 'From Order'!$A13)), 1), D12))"),"DTCHSPVMZDLT")</f>
        <v>DTCHSPVMZDLT</v>
      </c>
      <c r="E13" s="2" t="str">
        <f>IFERROR(__xludf.DUMMYFUNCTION("IF('From Order'!$A13=COLUMNS($A13:E32), LEFT(INDEX(FILTER(E$1:E12, E$1:E12&lt;&gt;""""),COUNTA(FILTER(E$1:E12, E$1:E12&lt;&gt;""""))), LEN(INDEX(FILTER(E$1:E12, E$1:E12&lt;&gt;""""),COUNTA(FILTER(E$1:E12, E$1:E12&lt;&gt;""""))))-1), IF('To Order'!$A13=COLUMNS($A13:E32), E12&amp;RIGH"&amp;"T(INDIRECT(ADDRESS(ROW(E13)-1, 'From Order'!$A13)), 1), E12))"),"GP")</f>
        <v>GP</v>
      </c>
      <c r="F13" s="2" t="str">
        <f>IFERROR(__xludf.DUMMYFUNCTION("IF('From Order'!$A13=COLUMNS($A13:F32), LEFT(INDEX(FILTER(F$1:F12, F$1:F12&lt;&gt;""""),COUNTA(FILTER(F$1:F12, F$1:F12&lt;&gt;""""))), LEN(INDEX(FILTER(F$1:F12, F$1:F12&lt;&gt;""""),COUNTA(FILTER(F$1:F12, F$1:F12&lt;&gt;""""))))-1), IF('To Order'!$A13=COLUMNS($A13:F32), F12&amp;RIGH"&amp;"T(INDIRECT(ADDRESS(ROW(F13)-1, 'From Order'!$A13)), 1), F12))"),"FBRZJQCD")</f>
        <v>FBRZJQCD</v>
      </c>
      <c r="G13" s="2" t="str">
        <f>IFERROR(__xludf.DUMMYFUNCTION("IF('From Order'!$A13=COLUMNS($A13:G32), LEFT(INDEX(FILTER(G$1:G12, G$1:G12&lt;&gt;""""),COUNTA(FILTER(G$1:G12, G$1:G12&lt;&gt;""""))), LEN(INDEX(FILTER(G$1:G12, G$1:G12&lt;&gt;""""),COUNTA(FILTER(G$1:G12, G$1:G12&lt;&gt;""""))))-1), IF('To Order'!$A13=COLUMNS($A13:G32), G12&amp;RIGH"&amp;"T(INDIRECT(ADDRESS(ROW(G13)-1, 'From Order'!$A13)), 1), G12))"),"SB")</f>
        <v>SB</v>
      </c>
      <c r="H13" s="2" t="str">
        <f>IFERROR(__xludf.DUMMYFUNCTION("IF('From Order'!$A13=COLUMNS($A13:H32), LEFT(INDEX(FILTER(H$1:H12, H$1:H12&lt;&gt;""""),COUNTA(FILTER(H$1:H12, H$1:H12&lt;&gt;""""))), LEN(INDEX(FILTER(H$1:H12, H$1:H12&lt;&gt;""""),COUNTA(FILTER(H$1:H12, H$1:H12&lt;&gt;""""))))-1), IF('To Order'!$A13=COLUMNS($A13:H32), H12&amp;RIGH"&amp;"T(INDIRECT(ADDRESS(ROW(H13)-1, 'From Order'!$A13)), 1), H12))"),"LHRBTVM")</f>
        <v>LHRBTVM</v>
      </c>
      <c r="I13" s="2" t="str">
        <f>IFERROR(__xludf.DUMMYFUNCTION("IF('From Order'!$A13=COLUMNS($A13:I32), LEFT(INDEX(FILTER(I$1:I12, I$1:I12&lt;&gt;""""),COUNTA(FILTER(I$1:I12, I$1:I12&lt;&gt;""""))), LEN(INDEX(FILTER(I$1:I12, I$1:I12&lt;&gt;""""),COUNTA(FILTER(I$1:I12, I$1:I12&lt;&gt;""""))))-1), IF('To Order'!$A13=COLUMNS($A13:I32), I12&amp;RIGH"&amp;"T(INDIRECT(ADDRESS(ROW(I13)-1, 'From Order'!$A13)), 1), I12))"),"QPDSV")</f>
        <v>QPDSV</v>
      </c>
    </row>
    <row r="14">
      <c r="A14" s="2" t="str">
        <f>IFERROR(__xludf.DUMMYFUNCTION("IF('From Order'!$A14=COLUMNS($A14:A33), LEFT(INDEX(FILTER(A$1:A13, A$1:A13&lt;&gt;""""),COUNTA(FILTER(A$1:A13, A$1:A13&lt;&gt;""""))), LEN(INDEX(FILTER(A$1:A13, A$1:A13&lt;&gt;""""),COUNTA(FILTER(A$1:A13, A$1:A13&lt;&gt;""""))))-1), IF('To Order'!$A14=COLUMNS($A14:A33), A13&amp;RIGH"&amp;"T(INDIRECT(ADDRESS(ROW(A14)-1, 'From Order'!$A14)), 1), A13))"),"DTRBJLW")</f>
        <v>DTRBJLW</v>
      </c>
      <c r="B14" s="2" t="str">
        <f>IFERROR(__xludf.DUMMYFUNCTION("IF('From Order'!$A14=COLUMNS($A14:B33), LEFT(INDEX(FILTER(B$1:B13, B$1:B13&lt;&gt;""""),COUNTA(FILTER(B$1:B13, B$1:B13&lt;&gt;""""))), LEN(INDEX(FILTER(B$1:B13, B$1:B13&lt;&gt;""""),COUNTA(FILTER(B$1:B13, B$1:B13&lt;&gt;""""))))-1), IF('To Order'!$A14=COLUMNS($A14:B33), B13&amp;RIGH"&amp;"T(INDIRECT(ADDRESS(ROW(B14)-1, 'From Order'!$A14)), 1), B13))"),"SWC")</f>
        <v>SWC</v>
      </c>
      <c r="C14" s="2" t="str">
        <f>IFERROR(__xludf.DUMMYFUNCTION("IF('From Order'!$A14=COLUMNS($A14:C33), LEFT(INDEX(FILTER(C$1:C13, C$1:C13&lt;&gt;""""),COUNTA(FILTER(C$1:C13, C$1:C13&lt;&gt;""""))), LEN(INDEX(FILTER(C$1:C13, C$1:C13&lt;&gt;""""),COUNTA(FILTER(C$1:C13, C$1:C13&lt;&gt;""""))))-1), IF('To Order'!$A14=COLUMNS($A14:C33), C13&amp;RIGH"&amp;"T(INDIRECT(ADDRESS(ROW(C14)-1, 'From Order'!$A14)), 1), C13))"),"RZTRTFMJDG")</f>
        <v>RZTRTFMJDG</v>
      </c>
      <c r="D14" s="2" t="str">
        <f>IFERROR(__xludf.DUMMYFUNCTION("IF('From Order'!$A14=COLUMNS($A14:D33), LEFT(INDEX(FILTER(D$1:D13, D$1:D13&lt;&gt;""""),COUNTA(FILTER(D$1:D13, D$1:D13&lt;&gt;""""))), LEN(INDEX(FILTER(D$1:D13, D$1:D13&lt;&gt;""""),COUNTA(FILTER(D$1:D13, D$1:D13&lt;&gt;""""))))-1), IF('To Order'!$A14=COLUMNS($A14:D33), D13&amp;RIGH"&amp;"T(INDIRECT(ADDRESS(ROW(D14)-1, 'From Order'!$A14)), 1), D13))"),"DTCHSPVMZDLT")</f>
        <v>DTCHSPVMZDLT</v>
      </c>
      <c r="E14" s="2" t="str">
        <f>IFERROR(__xludf.DUMMYFUNCTION("IF('From Order'!$A14=COLUMNS($A14:E33), LEFT(INDEX(FILTER(E$1:E13, E$1:E13&lt;&gt;""""),COUNTA(FILTER(E$1:E13, E$1:E13&lt;&gt;""""))), LEN(INDEX(FILTER(E$1:E13, E$1:E13&lt;&gt;""""),COUNTA(FILTER(E$1:E13, E$1:E13&lt;&gt;""""))))-1), IF('To Order'!$A14=COLUMNS($A14:E33), E13&amp;RIGH"&amp;"T(INDIRECT(ADDRESS(ROW(E14)-1, 'From Order'!$A14)), 1), E13))"),"GP")</f>
        <v>GP</v>
      </c>
      <c r="F14" s="2" t="str">
        <f>IFERROR(__xludf.DUMMYFUNCTION("IF('From Order'!$A14=COLUMNS($A14:F33), LEFT(INDEX(FILTER(F$1:F13, F$1:F13&lt;&gt;""""),COUNTA(FILTER(F$1:F13, F$1:F13&lt;&gt;""""))), LEN(INDEX(FILTER(F$1:F13, F$1:F13&lt;&gt;""""),COUNTA(FILTER(F$1:F13, F$1:F13&lt;&gt;""""))))-1), IF('To Order'!$A14=COLUMNS($A14:F33), F13&amp;RIGH"&amp;"T(INDIRECT(ADDRESS(ROW(F14)-1, 'From Order'!$A14)), 1), F13))"),"FBRZJQCD")</f>
        <v>FBRZJQCD</v>
      </c>
      <c r="G14" s="2" t="str">
        <f>IFERROR(__xludf.DUMMYFUNCTION("IF('From Order'!$A14=COLUMNS($A14:G33), LEFT(INDEX(FILTER(G$1:G13, G$1:G13&lt;&gt;""""),COUNTA(FILTER(G$1:G13, G$1:G13&lt;&gt;""""))), LEN(INDEX(FILTER(G$1:G13, G$1:G13&lt;&gt;""""),COUNTA(FILTER(G$1:G13, G$1:G13&lt;&gt;""""))))-1), IF('To Order'!$A14=COLUMNS($A14:G33), G13&amp;RIGH"&amp;"T(INDIRECT(ADDRESS(ROW(G14)-1, 'From Order'!$A14)), 1), G13))"),"SB")</f>
        <v>SB</v>
      </c>
      <c r="H14" s="2" t="str">
        <f>IFERROR(__xludf.DUMMYFUNCTION("IF('From Order'!$A14=COLUMNS($A14:H33), LEFT(INDEX(FILTER(H$1:H13, H$1:H13&lt;&gt;""""),COUNTA(FILTER(H$1:H13, H$1:H13&lt;&gt;""""))), LEN(INDEX(FILTER(H$1:H13, H$1:H13&lt;&gt;""""),COUNTA(FILTER(H$1:H13, H$1:H13&lt;&gt;""""))))-1), IF('To Order'!$A14=COLUMNS($A14:H33), H13&amp;RIGH"&amp;"T(INDIRECT(ADDRESS(ROW(H14)-1, 'From Order'!$A14)), 1), H13))"),"LHRBTVM")</f>
        <v>LHRBTVM</v>
      </c>
      <c r="I14" s="2" t="str">
        <f>IFERROR(__xludf.DUMMYFUNCTION("IF('From Order'!$A14=COLUMNS($A14:I33), LEFT(INDEX(FILTER(I$1:I13, I$1:I13&lt;&gt;""""),COUNTA(FILTER(I$1:I13, I$1:I13&lt;&gt;""""))), LEN(INDEX(FILTER(I$1:I13, I$1:I13&lt;&gt;""""),COUNTA(FILTER(I$1:I13, I$1:I13&lt;&gt;""""))))-1), IF('To Order'!$A14=COLUMNS($A14:I33), I13&amp;RIGH"&amp;"T(INDIRECT(ADDRESS(ROW(I14)-1, 'From Order'!$A14)), 1), I13))"),"QPDSV")</f>
        <v>QPDSV</v>
      </c>
    </row>
    <row r="15">
      <c r="A15" s="2" t="str">
        <f>IFERROR(__xludf.DUMMYFUNCTION("IF('From Order'!$A15=COLUMNS($A15:A34), LEFT(INDEX(FILTER(A$1:A14, A$1:A14&lt;&gt;""""),COUNTA(FILTER(A$1:A14, A$1:A14&lt;&gt;""""))), LEN(INDEX(FILTER(A$1:A14, A$1:A14&lt;&gt;""""),COUNTA(FILTER(A$1:A14, A$1:A14&lt;&gt;""""))))-1), IF('To Order'!$A15=COLUMNS($A15:A34), A14&amp;RIGH"&amp;"T(INDIRECT(ADDRESS(ROW(A15)-1, 'From Order'!$A15)), 1), A14))"),"DTRBJL")</f>
        <v>DTRBJL</v>
      </c>
      <c r="B15" s="2" t="str">
        <f>IFERROR(__xludf.DUMMYFUNCTION("IF('From Order'!$A15=COLUMNS($A15:B34), LEFT(INDEX(FILTER(B$1:B14, B$1:B14&lt;&gt;""""),COUNTA(FILTER(B$1:B14, B$1:B14&lt;&gt;""""))), LEN(INDEX(FILTER(B$1:B14, B$1:B14&lt;&gt;""""),COUNTA(FILTER(B$1:B14, B$1:B14&lt;&gt;""""))))-1), IF('To Order'!$A15=COLUMNS($A15:B34), B14&amp;RIGH"&amp;"T(INDIRECT(ADDRESS(ROW(B15)-1, 'From Order'!$A15)), 1), B14))"),"SWC")</f>
        <v>SWC</v>
      </c>
      <c r="C15" s="2" t="str">
        <f>IFERROR(__xludf.DUMMYFUNCTION("IF('From Order'!$A15=COLUMNS($A15:C34), LEFT(INDEX(FILTER(C$1:C14, C$1:C14&lt;&gt;""""),COUNTA(FILTER(C$1:C14, C$1:C14&lt;&gt;""""))), LEN(INDEX(FILTER(C$1:C14, C$1:C14&lt;&gt;""""),COUNTA(FILTER(C$1:C14, C$1:C14&lt;&gt;""""))))-1), IF('To Order'!$A15=COLUMNS($A15:C34), C14&amp;RIGH"&amp;"T(INDIRECT(ADDRESS(ROW(C15)-1, 'From Order'!$A15)), 1), C14))"),"RZTRTFMJDGW")</f>
        <v>RZTRTFMJDGW</v>
      </c>
      <c r="D15" s="2" t="str">
        <f>IFERROR(__xludf.DUMMYFUNCTION("IF('From Order'!$A15=COLUMNS($A15:D34), LEFT(INDEX(FILTER(D$1:D14, D$1:D14&lt;&gt;""""),COUNTA(FILTER(D$1:D14, D$1:D14&lt;&gt;""""))), LEN(INDEX(FILTER(D$1:D14, D$1:D14&lt;&gt;""""),COUNTA(FILTER(D$1:D14, D$1:D14&lt;&gt;""""))))-1), IF('To Order'!$A15=COLUMNS($A15:D34), D14&amp;RIGH"&amp;"T(INDIRECT(ADDRESS(ROW(D15)-1, 'From Order'!$A15)), 1), D14))"),"DTCHSPVMZDLT")</f>
        <v>DTCHSPVMZDLT</v>
      </c>
      <c r="E15" s="2" t="str">
        <f>IFERROR(__xludf.DUMMYFUNCTION("IF('From Order'!$A15=COLUMNS($A15:E34), LEFT(INDEX(FILTER(E$1:E14, E$1:E14&lt;&gt;""""),COUNTA(FILTER(E$1:E14, E$1:E14&lt;&gt;""""))), LEN(INDEX(FILTER(E$1:E14, E$1:E14&lt;&gt;""""),COUNTA(FILTER(E$1:E14, E$1:E14&lt;&gt;""""))))-1), IF('To Order'!$A15=COLUMNS($A15:E34), E14&amp;RIGH"&amp;"T(INDIRECT(ADDRESS(ROW(E15)-1, 'From Order'!$A15)), 1), E14))"),"GP")</f>
        <v>GP</v>
      </c>
      <c r="F15" s="2" t="str">
        <f>IFERROR(__xludf.DUMMYFUNCTION("IF('From Order'!$A15=COLUMNS($A15:F34), LEFT(INDEX(FILTER(F$1:F14, F$1:F14&lt;&gt;""""),COUNTA(FILTER(F$1:F14, F$1:F14&lt;&gt;""""))), LEN(INDEX(FILTER(F$1:F14, F$1:F14&lt;&gt;""""),COUNTA(FILTER(F$1:F14, F$1:F14&lt;&gt;""""))))-1), IF('To Order'!$A15=COLUMNS($A15:F34), F14&amp;RIGH"&amp;"T(INDIRECT(ADDRESS(ROW(F15)-1, 'From Order'!$A15)), 1), F14))"),"FBRZJQCD")</f>
        <v>FBRZJQCD</v>
      </c>
      <c r="G15" s="2" t="str">
        <f>IFERROR(__xludf.DUMMYFUNCTION("IF('From Order'!$A15=COLUMNS($A15:G34), LEFT(INDEX(FILTER(G$1:G14, G$1:G14&lt;&gt;""""),COUNTA(FILTER(G$1:G14, G$1:G14&lt;&gt;""""))), LEN(INDEX(FILTER(G$1:G14, G$1:G14&lt;&gt;""""),COUNTA(FILTER(G$1:G14, G$1:G14&lt;&gt;""""))))-1), IF('To Order'!$A15=COLUMNS($A15:G34), G14&amp;RIGH"&amp;"T(INDIRECT(ADDRESS(ROW(G15)-1, 'From Order'!$A15)), 1), G14))"),"SB")</f>
        <v>SB</v>
      </c>
      <c r="H15" s="2" t="str">
        <f>IFERROR(__xludf.DUMMYFUNCTION("IF('From Order'!$A15=COLUMNS($A15:H34), LEFT(INDEX(FILTER(H$1:H14, H$1:H14&lt;&gt;""""),COUNTA(FILTER(H$1:H14, H$1:H14&lt;&gt;""""))), LEN(INDEX(FILTER(H$1:H14, H$1:H14&lt;&gt;""""),COUNTA(FILTER(H$1:H14, H$1:H14&lt;&gt;""""))))-1), IF('To Order'!$A15=COLUMNS($A15:H34), H14&amp;RIGH"&amp;"T(INDIRECT(ADDRESS(ROW(H15)-1, 'From Order'!$A15)), 1), H14))"),"LHRBTVM")</f>
        <v>LHRBTVM</v>
      </c>
      <c r="I15" s="2" t="str">
        <f>IFERROR(__xludf.DUMMYFUNCTION("IF('From Order'!$A15=COLUMNS($A15:I34), LEFT(INDEX(FILTER(I$1:I14, I$1:I14&lt;&gt;""""),COUNTA(FILTER(I$1:I14, I$1:I14&lt;&gt;""""))), LEN(INDEX(FILTER(I$1:I14, I$1:I14&lt;&gt;""""),COUNTA(FILTER(I$1:I14, I$1:I14&lt;&gt;""""))))-1), IF('To Order'!$A15=COLUMNS($A15:I34), I14&amp;RIGH"&amp;"T(INDIRECT(ADDRESS(ROW(I15)-1, 'From Order'!$A15)), 1), I14))"),"QPDSV")</f>
        <v>QPDSV</v>
      </c>
    </row>
    <row r="16">
      <c r="A16" s="2" t="str">
        <f>IFERROR(__xludf.DUMMYFUNCTION("IF('From Order'!$A16=COLUMNS($A16:A35), LEFT(INDEX(FILTER(A$1:A15, A$1:A15&lt;&gt;""""),COUNTA(FILTER(A$1:A15, A$1:A15&lt;&gt;""""))), LEN(INDEX(FILTER(A$1:A15, A$1:A15&lt;&gt;""""),COUNTA(FILTER(A$1:A15, A$1:A15&lt;&gt;""""))))-1), IF('To Order'!$A16=COLUMNS($A16:A35), A15&amp;RIGH"&amp;"T(INDIRECT(ADDRESS(ROW(A16)-1, 'From Order'!$A16)), 1), A15))"),"DTRBJ")</f>
        <v>DTRBJ</v>
      </c>
      <c r="B16" s="2" t="str">
        <f>IFERROR(__xludf.DUMMYFUNCTION("IF('From Order'!$A16=COLUMNS($A16:B35), LEFT(INDEX(FILTER(B$1:B15, B$1:B15&lt;&gt;""""),COUNTA(FILTER(B$1:B15, B$1:B15&lt;&gt;""""))), LEN(INDEX(FILTER(B$1:B15, B$1:B15&lt;&gt;""""),COUNTA(FILTER(B$1:B15, B$1:B15&lt;&gt;""""))))-1), IF('To Order'!$A16=COLUMNS($A16:B35), B15&amp;RIGH"&amp;"T(INDIRECT(ADDRESS(ROW(B16)-1, 'From Order'!$A16)), 1), B15))"),"SWC")</f>
        <v>SWC</v>
      </c>
      <c r="C16" s="2" t="str">
        <f>IFERROR(__xludf.DUMMYFUNCTION("IF('From Order'!$A16=COLUMNS($A16:C35), LEFT(INDEX(FILTER(C$1:C15, C$1:C15&lt;&gt;""""),COUNTA(FILTER(C$1:C15, C$1:C15&lt;&gt;""""))), LEN(INDEX(FILTER(C$1:C15, C$1:C15&lt;&gt;""""),COUNTA(FILTER(C$1:C15, C$1:C15&lt;&gt;""""))))-1), IF('To Order'!$A16=COLUMNS($A16:C35), C15&amp;RIGH"&amp;"T(INDIRECT(ADDRESS(ROW(C16)-1, 'From Order'!$A16)), 1), C15))"),"RZTRTFMJDGWL")</f>
        <v>RZTRTFMJDGWL</v>
      </c>
      <c r="D16" s="2" t="str">
        <f>IFERROR(__xludf.DUMMYFUNCTION("IF('From Order'!$A16=COLUMNS($A16:D35), LEFT(INDEX(FILTER(D$1:D15, D$1:D15&lt;&gt;""""),COUNTA(FILTER(D$1:D15, D$1:D15&lt;&gt;""""))), LEN(INDEX(FILTER(D$1:D15, D$1:D15&lt;&gt;""""),COUNTA(FILTER(D$1:D15, D$1:D15&lt;&gt;""""))))-1), IF('To Order'!$A16=COLUMNS($A16:D35), D15&amp;RIGH"&amp;"T(INDIRECT(ADDRESS(ROW(D16)-1, 'From Order'!$A16)), 1), D15))"),"DTCHSPVMZDLT")</f>
        <v>DTCHSPVMZDLT</v>
      </c>
      <c r="E16" s="2" t="str">
        <f>IFERROR(__xludf.DUMMYFUNCTION("IF('From Order'!$A16=COLUMNS($A16:E35), LEFT(INDEX(FILTER(E$1:E15, E$1:E15&lt;&gt;""""),COUNTA(FILTER(E$1:E15, E$1:E15&lt;&gt;""""))), LEN(INDEX(FILTER(E$1:E15, E$1:E15&lt;&gt;""""),COUNTA(FILTER(E$1:E15, E$1:E15&lt;&gt;""""))))-1), IF('To Order'!$A16=COLUMNS($A16:E35), E15&amp;RIGH"&amp;"T(INDIRECT(ADDRESS(ROW(E16)-1, 'From Order'!$A16)), 1), E15))"),"GP")</f>
        <v>GP</v>
      </c>
      <c r="F16" s="2" t="str">
        <f>IFERROR(__xludf.DUMMYFUNCTION("IF('From Order'!$A16=COLUMNS($A16:F35), LEFT(INDEX(FILTER(F$1:F15, F$1:F15&lt;&gt;""""),COUNTA(FILTER(F$1:F15, F$1:F15&lt;&gt;""""))), LEN(INDEX(FILTER(F$1:F15, F$1:F15&lt;&gt;""""),COUNTA(FILTER(F$1:F15, F$1:F15&lt;&gt;""""))))-1), IF('To Order'!$A16=COLUMNS($A16:F35), F15&amp;RIGH"&amp;"T(INDIRECT(ADDRESS(ROW(F16)-1, 'From Order'!$A16)), 1), F15))"),"FBRZJQCD")</f>
        <v>FBRZJQCD</v>
      </c>
      <c r="G16" s="2" t="str">
        <f>IFERROR(__xludf.DUMMYFUNCTION("IF('From Order'!$A16=COLUMNS($A16:G35), LEFT(INDEX(FILTER(G$1:G15, G$1:G15&lt;&gt;""""),COUNTA(FILTER(G$1:G15, G$1:G15&lt;&gt;""""))), LEN(INDEX(FILTER(G$1:G15, G$1:G15&lt;&gt;""""),COUNTA(FILTER(G$1:G15, G$1:G15&lt;&gt;""""))))-1), IF('To Order'!$A16=COLUMNS($A16:G35), G15&amp;RIGH"&amp;"T(INDIRECT(ADDRESS(ROW(G16)-1, 'From Order'!$A16)), 1), G15))"),"SB")</f>
        <v>SB</v>
      </c>
      <c r="H16" s="2" t="str">
        <f>IFERROR(__xludf.DUMMYFUNCTION("IF('From Order'!$A16=COLUMNS($A16:H35), LEFT(INDEX(FILTER(H$1:H15, H$1:H15&lt;&gt;""""),COUNTA(FILTER(H$1:H15, H$1:H15&lt;&gt;""""))), LEN(INDEX(FILTER(H$1:H15, H$1:H15&lt;&gt;""""),COUNTA(FILTER(H$1:H15, H$1:H15&lt;&gt;""""))))-1), IF('To Order'!$A16=COLUMNS($A16:H35), H15&amp;RIGH"&amp;"T(INDIRECT(ADDRESS(ROW(H16)-1, 'From Order'!$A16)), 1), H15))"),"LHRBTVM")</f>
        <v>LHRBTVM</v>
      </c>
      <c r="I16" s="2" t="str">
        <f>IFERROR(__xludf.DUMMYFUNCTION("IF('From Order'!$A16=COLUMNS($A16:I35), LEFT(INDEX(FILTER(I$1:I15, I$1:I15&lt;&gt;""""),COUNTA(FILTER(I$1:I15, I$1:I15&lt;&gt;""""))), LEN(INDEX(FILTER(I$1:I15, I$1:I15&lt;&gt;""""),COUNTA(FILTER(I$1:I15, I$1:I15&lt;&gt;""""))))-1), IF('To Order'!$A16=COLUMNS($A16:I35), I15&amp;RIGH"&amp;"T(INDIRECT(ADDRESS(ROW(I16)-1, 'From Order'!$A16)), 1), I15))"),"QPDSV")</f>
        <v>QPDSV</v>
      </c>
    </row>
    <row r="17">
      <c r="A17" s="2" t="str">
        <f>IFERROR(__xludf.DUMMYFUNCTION("IF('From Order'!$A17=COLUMNS($A17:A36), LEFT(INDEX(FILTER(A$1:A16, A$1:A16&lt;&gt;""""),COUNTA(FILTER(A$1:A16, A$1:A16&lt;&gt;""""))), LEN(INDEX(FILTER(A$1:A16, A$1:A16&lt;&gt;""""),COUNTA(FILTER(A$1:A16, A$1:A16&lt;&gt;""""))))-1), IF('To Order'!$A17=COLUMNS($A17:A36), A16&amp;RIGH"&amp;"T(INDIRECT(ADDRESS(ROW(A17)-1, 'From Order'!$A17)), 1), A16))"),"DTRB")</f>
        <v>DTRB</v>
      </c>
      <c r="B17" s="2" t="str">
        <f>IFERROR(__xludf.DUMMYFUNCTION("IF('From Order'!$A17=COLUMNS($A17:B36), LEFT(INDEX(FILTER(B$1:B16, B$1:B16&lt;&gt;""""),COUNTA(FILTER(B$1:B16, B$1:B16&lt;&gt;""""))), LEN(INDEX(FILTER(B$1:B16, B$1:B16&lt;&gt;""""),COUNTA(FILTER(B$1:B16, B$1:B16&lt;&gt;""""))))-1), IF('To Order'!$A17=COLUMNS($A17:B36), B16&amp;RIGH"&amp;"T(INDIRECT(ADDRESS(ROW(B17)-1, 'From Order'!$A17)), 1), B16))"),"SWC")</f>
        <v>SWC</v>
      </c>
      <c r="C17" s="2" t="str">
        <f>IFERROR(__xludf.DUMMYFUNCTION("IF('From Order'!$A17=COLUMNS($A17:C36), LEFT(INDEX(FILTER(C$1:C16, C$1:C16&lt;&gt;""""),COUNTA(FILTER(C$1:C16, C$1:C16&lt;&gt;""""))), LEN(INDEX(FILTER(C$1:C16, C$1:C16&lt;&gt;""""),COUNTA(FILTER(C$1:C16, C$1:C16&lt;&gt;""""))))-1), IF('To Order'!$A17=COLUMNS($A17:C36), C16&amp;RIGH"&amp;"T(INDIRECT(ADDRESS(ROW(C17)-1, 'From Order'!$A17)), 1), C16))"),"RZTRTFMJDGWLJ")</f>
        <v>RZTRTFMJDGWLJ</v>
      </c>
      <c r="D17" s="2" t="str">
        <f>IFERROR(__xludf.DUMMYFUNCTION("IF('From Order'!$A17=COLUMNS($A17:D36), LEFT(INDEX(FILTER(D$1:D16, D$1:D16&lt;&gt;""""),COUNTA(FILTER(D$1:D16, D$1:D16&lt;&gt;""""))), LEN(INDEX(FILTER(D$1:D16, D$1:D16&lt;&gt;""""),COUNTA(FILTER(D$1:D16, D$1:D16&lt;&gt;""""))))-1), IF('To Order'!$A17=COLUMNS($A17:D36), D16&amp;RIGH"&amp;"T(INDIRECT(ADDRESS(ROW(D17)-1, 'From Order'!$A17)), 1), D16))"),"DTCHSPVMZDLT")</f>
        <v>DTCHSPVMZDLT</v>
      </c>
      <c r="E17" s="2" t="str">
        <f>IFERROR(__xludf.DUMMYFUNCTION("IF('From Order'!$A17=COLUMNS($A17:E36), LEFT(INDEX(FILTER(E$1:E16, E$1:E16&lt;&gt;""""),COUNTA(FILTER(E$1:E16, E$1:E16&lt;&gt;""""))), LEN(INDEX(FILTER(E$1:E16, E$1:E16&lt;&gt;""""),COUNTA(FILTER(E$1:E16, E$1:E16&lt;&gt;""""))))-1), IF('To Order'!$A17=COLUMNS($A17:E36), E16&amp;RIGH"&amp;"T(INDIRECT(ADDRESS(ROW(E17)-1, 'From Order'!$A17)), 1), E16))"),"GP")</f>
        <v>GP</v>
      </c>
      <c r="F17" s="2" t="str">
        <f>IFERROR(__xludf.DUMMYFUNCTION("IF('From Order'!$A17=COLUMNS($A17:F36), LEFT(INDEX(FILTER(F$1:F16, F$1:F16&lt;&gt;""""),COUNTA(FILTER(F$1:F16, F$1:F16&lt;&gt;""""))), LEN(INDEX(FILTER(F$1:F16, F$1:F16&lt;&gt;""""),COUNTA(FILTER(F$1:F16, F$1:F16&lt;&gt;""""))))-1), IF('To Order'!$A17=COLUMNS($A17:F36), F16&amp;RIGH"&amp;"T(INDIRECT(ADDRESS(ROW(F17)-1, 'From Order'!$A17)), 1), F16))"),"FBRZJQCD")</f>
        <v>FBRZJQCD</v>
      </c>
      <c r="G17" s="2" t="str">
        <f>IFERROR(__xludf.DUMMYFUNCTION("IF('From Order'!$A17=COLUMNS($A17:G36), LEFT(INDEX(FILTER(G$1:G16, G$1:G16&lt;&gt;""""),COUNTA(FILTER(G$1:G16, G$1:G16&lt;&gt;""""))), LEN(INDEX(FILTER(G$1:G16, G$1:G16&lt;&gt;""""),COUNTA(FILTER(G$1:G16, G$1:G16&lt;&gt;""""))))-1), IF('To Order'!$A17=COLUMNS($A17:G36), G16&amp;RIGH"&amp;"T(INDIRECT(ADDRESS(ROW(G17)-1, 'From Order'!$A17)), 1), G16))"),"SB")</f>
        <v>SB</v>
      </c>
      <c r="H17" s="2" t="str">
        <f>IFERROR(__xludf.DUMMYFUNCTION("IF('From Order'!$A17=COLUMNS($A17:H36), LEFT(INDEX(FILTER(H$1:H16, H$1:H16&lt;&gt;""""),COUNTA(FILTER(H$1:H16, H$1:H16&lt;&gt;""""))), LEN(INDEX(FILTER(H$1:H16, H$1:H16&lt;&gt;""""),COUNTA(FILTER(H$1:H16, H$1:H16&lt;&gt;""""))))-1), IF('To Order'!$A17=COLUMNS($A17:H36), H16&amp;RIGH"&amp;"T(INDIRECT(ADDRESS(ROW(H17)-1, 'From Order'!$A17)), 1), H16))"),"LHRBTVM")</f>
        <v>LHRBTVM</v>
      </c>
      <c r="I17" s="2" t="str">
        <f>IFERROR(__xludf.DUMMYFUNCTION("IF('From Order'!$A17=COLUMNS($A17:I36), LEFT(INDEX(FILTER(I$1:I16, I$1:I16&lt;&gt;""""),COUNTA(FILTER(I$1:I16, I$1:I16&lt;&gt;""""))), LEN(INDEX(FILTER(I$1:I16, I$1:I16&lt;&gt;""""),COUNTA(FILTER(I$1:I16, I$1:I16&lt;&gt;""""))))-1), IF('To Order'!$A17=COLUMNS($A17:I36), I16&amp;RIGH"&amp;"T(INDIRECT(ADDRESS(ROW(I17)-1, 'From Order'!$A17)), 1), I16))"),"QPDSV")</f>
        <v>QPDSV</v>
      </c>
    </row>
    <row r="18">
      <c r="A18" s="2" t="str">
        <f>IFERROR(__xludf.DUMMYFUNCTION("IF('From Order'!$A18=COLUMNS($A18:A37), LEFT(INDEX(FILTER(A$1:A17, A$1:A17&lt;&gt;""""),COUNTA(FILTER(A$1:A17, A$1:A17&lt;&gt;""""))), LEN(INDEX(FILTER(A$1:A17, A$1:A17&lt;&gt;""""),COUNTA(FILTER(A$1:A17, A$1:A17&lt;&gt;""""))))-1), IF('To Order'!$A18=COLUMNS($A18:A37), A17&amp;RIGH"&amp;"T(INDIRECT(ADDRESS(ROW(A18)-1, 'From Order'!$A18)), 1), A17))"),"DTR")</f>
        <v>DTR</v>
      </c>
      <c r="B18" s="2" t="str">
        <f>IFERROR(__xludf.DUMMYFUNCTION("IF('From Order'!$A18=COLUMNS($A18:B37), LEFT(INDEX(FILTER(B$1:B17, B$1:B17&lt;&gt;""""),COUNTA(FILTER(B$1:B17, B$1:B17&lt;&gt;""""))), LEN(INDEX(FILTER(B$1:B17, B$1:B17&lt;&gt;""""),COUNTA(FILTER(B$1:B17, B$1:B17&lt;&gt;""""))))-1), IF('To Order'!$A18=COLUMNS($A18:B37), B17&amp;RIGH"&amp;"T(INDIRECT(ADDRESS(ROW(B18)-1, 'From Order'!$A18)), 1), B17))"),"SWC")</f>
        <v>SWC</v>
      </c>
      <c r="C18" s="2" t="str">
        <f>IFERROR(__xludf.DUMMYFUNCTION("IF('From Order'!$A18=COLUMNS($A18:C37), LEFT(INDEX(FILTER(C$1:C17, C$1:C17&lt;&gt;""""),COUNTA(FILTER(C$1:C17, C$1:C17&lt;&gt;""""))), LEN(INDEX(FILTER(C$1:C17, C$1:C17&lt;&gt;""""),COUNTA(FILTER(C$1:C17, C$1:C17&lt;&gt;""""))))-1), IF('To Order'!$A18=COLUMNS($A18:C37), C17&amp;RIGH"&amp;"T(INDIRECT(ADDRESS(ROW(C18)-1, 'From Order'!$A18)), 1), C17))"),"RZTRTFMJDGWLJB")</f>
        <v>RZTRTFMJDGWLJB</v>
      </c>
      <c r="D18" s="2" t="str">
        <f>IFERROR(__xludf.DUMMYFUNCTION("IF('From Order'!$A18=COLUMNS($A18:D37), LEFT(INDEX(FILTER(D$1:D17, D$1:D17&lt;&gt;""""),COUNTA(FILTER(D$1:D17, D$1:D17&lt;&gt;""""))), LEN(INDEX(FILTER(D$1:D17, D$1:D17&lt;&gt;""""),COUNTA(FILTER(D$1:D17, D$1:D17&lt;&gt;""""))))-1), IF('To Order'!$A18=COLUMNS($A18:D37), D17&amp;RIGH"&amp;"T(INDIRECT(ADDRESS(ROW(D18)-1, 'From Order'!$A18)), 1), D17))"),"DTCHSPVMZDLT")</f>
        <v>DTCHSPVMZDLT</v>
      </c>
      <c r="E18" s="2" t="str">
        <f>IFERROR(__xludf.DUMMYFUNCTION("IF('From Order'!$A18=COLUMNS($A18:E37), LEFT(INDEX(FILTER(E$1:E17, E$1:E17&lt;&gt;""""),COUNTA(FILTER(E$1:E17, E$1:E17&lt;&gt;""""))), LEN(INDEX(FILTER(E$1:E17, E$1:E17&lt;&gt;""""),COUNTA(FILTER(E$1:E17, E$1:E17&lt;&gt;""""))))-1), IF('To Order'!$A18=COLUMNS($A18:E37), E17&amp;RIGH"&amp;"T(INDIRECT(ADDRESS(ROW(E18)-1, 'From Order'!$A18)), 1), E17))"),"GP")</f>
        <v>GP</v>
      </c>
      <c r="F18" s="2" t="str">
        <f>IFERROR(__xludf.DUMMYFUNCTION("IF('From Order'!$A18=COLUMNS($A18:F37), LEFT(INDEX(FILTER(F$1:F17, F$1:F17&lt;&gt;""""),COUNTA(FILTER(F$1:F17, F$1:F17&lt;&gt;""""))), LEN(INDEX(FILTER(F$1:F17, F$1:F17&lt;&gt;""""),COUNTA(FILTER(F$1:F17, F$1:F17&lt;&gt;""""))))-1), IF('To Order'!$A18=COLUMNS($A18:F37), F17&amp;RIGH"&amp;"T(INDIRECT(ADDRESS(ROW(F18)-1, 'From Order'!$A18)), 1), F17))"),"FBRZJQCD")</f>
        <v>FBRZJQCD</v>
      </c>
      <c r="G18" s="2" t="str">
        <f>IFERROR(__xludf.DUMMYFUNCTION("IF('From Order'!$A18=COLUMNS($A18:G37), LEFT(INDEX(FILTER(G$1:G17, G$1:G17&lt;&gt;""""),COUNTA(FILTER(G$1:G17, G$1:G17&lt;&gt;""""))), LEN(INDEX(FILTER(G$1:G17, G$1:G17&lt;&gt;""""),COUNTA(FILTER(G$1:G17, G$1:G17&lt;&gt;""""))))-1), IF('To Order'!$A18=COLUMNS($A18:G37), G17&amp;RIGH"&amp;"T(INDIRECT(ADDRESS(ROW(G18)-1, 'From Order'!$A18)), 1), G17))"),"SB")</f>
        <v>SB</v>
      </c>
      <c r="H18" s="2" t="str">
        <f>IFERROR(__xludf.DUMMYFUNCTION("IF('From Order'!$A18=COLUMNS($A18:H37), LEFT(INDEX(FILTER(H$1:H17, H$1:H17&lt;&gt;""""),COUNTA(FILTER(H$1:H17, H$1:H17&lt;&gt;""""))), LEN(INDEX(FILTER(H$1:H17, H$1:H17&lt;&gt;""""),COUNTA(FILTER(H$1:H17, H$1:H17&lt;&gt;""""))))-1), IF('To Order'!$A18=COLUMNS($A18:H37), H17&amp;RIGH"&amp;"T(INDIRECT(ADDRESS(ROW(H18)-1, 'From Order'!$A18)), 1), H17))"),"LHRBTVM")</f>
        <v>LHRBTVM</v>
      </c>
      <c r="I18" s="2" t="str">
        <f>IFERROR(__xludf.DUMMYFUNCTION("IF('From Order'!$A18=COLUMNS($A18:I37), LEFT(INDEX(FILTER(I$1:I17, I$1:I17&lt;&gt;""""),COUNTA(FILTER(I$1:I17, I$1:I17&lt;&gt;""""))), LEN(INDEX(FILTER(I$1:I17, I$1:I17&lt;&gt;""""),COUNTA(FILTER(I$1:I17, I$1:I17&lt;&gt;""""))))-1), IF('To Order'!$A18=COLUMNS($A18:I37), I17&amp;RIGH"&amp;"T(INDIRECT(ADDRESS(ROW(I18)-1, 'From Order'!$A18)), 1), I17))"),"QPDSV")</f>
        <v>QPDSV</v>
      </c>
    </row>
    <row r="19">
      <c r="A19" s="2" t="str">
        <f>IFERROR(__xludf.DUMMYFUNCTION("IF('From Order'!$A19=COLUMNS($A19:A38), LEFT(INDEX(FILTER(A$1:A18, A$1:A18&lt;&gt;""""),COUNTA(FILTER(A$1:A18, A$1:A18&lt;&gt;""""))), LEN(INDEX(FILTER(A$1:A18, A$1:A18&lt;&gt;""""),COUNTA(FILTER(A$1:A18, A$1:A18&lt;&gt;""""))))-1), IF('To Order'!$A19=COLUMNS($A19:A38), A18&amp;RIGH"&amp;"T(INDIRECT(ADDRESS(ROW(A19)-1, 'From Order'!$A19)), 1), A18))"),"DT")</f>
        <v>DT</v>
      </c>
      <c r="B19" s="2" t="str">
        <f>IFERROR(__xludf.DUMMYFUNCTION("IF('From Order'!$A19=COLUMNS($A19:B38), LEFT(INDEX(FILTER(B$1:B18, B$1:B18&lt;&gt;""""),COUNTA(FILTER(B$1:B18, B$1:B18&lt;&gt;""""))), LEN(INDEX(FILTER(B$1:B18, B$1:B18&lt;&gt;""""),COUNTA(FILTER(B$1:B18, B$1:B18&lt;&gt;""""))))-1), IF('To Order'!$A19=COLUMNS($A19:B38), B18&amp;RIGH"&amp;"T(INDIRECT(ADDRESS(ROW(B19)-1, 'From Order'!$A19)), 1), B18))"),"SWC")</f>
        <v>SWC</v>
      </c>
      <c r="C19" s="2" t="str">
        <f>IFERROR(__xludf.DUMMYFUNCTION("IF('From Order'!$A19=COLUMNS($A19:C38), LEFT(INDEX(FILTER(C$1:C18, C$1:C18&lt;&gt;""""),COUNTA(FILTER(C$1:C18, C$1:C18&lt;&gt;""""))), LEN(INDEX(FILTER(C$1:C18, C$1:C18&lt;&gt;""""),COUNTA(FILTER(C$1:C18, C$1:C18&lt;&gt;""""))))-1), IF('To Order'!$A19=COLUMNS($A19:C38), C18&amp;RIGH"&amp;"T(INDIRECT(ADDRESS(ROW(C19)-1, 'From Order'!$A19)), 1), C18))"),"RZTRTFMJDGWLJBR")</f>
        <v>RZTRTFMJDGWLJBR</v>
      </c>
      <c r="D19" s="2" t="str">
        <f>IFERROR(__xludf.DUMMYFUNCTION("IF('From Order'!$A19=COLUMNS($A19:D38), LEFT(INDEX(FILTER(D$1:D18, D$1:D18&lt;&gt;""""),COUNTA(FILTER(D$1:D18, D$1:D18&lt;&gt;""""))), LEN(INDEX(FILTER(D$1:D18, D$1:D18&lt;&gt;""""),COUNTA(FILTER(D$1:D18, D$1:D18&lt;&gt;""""))))-1), IF('To Order'!$A19=COLUMNS($A19:D38), D18&amp;RIGH"&amp;"T(INDIRECT(ADDRESS(ROW(D19)-1, 'From Order'!$A19)), 1), D18))"),"DTCHSPVMZDLT")</f>
        <v>DTCHSPVMZDLT</v>
      </c>
      <c r="E19" s="2" t="str">
        <f>IFERROR(__xludf.DUMMYFUNCTION("IF('From Order'!$A19=COLUMNS($A19:E38), LEFT(INDEX(FILTER(E$1:E18, E$1:E18&lt;&gt;""""),COUNTA(FILTER(E$1:E18, E$1:E18&lt;&gt;""""))), LEN(INDEX(FILTER(E$1:E18, E$1:E18&lt;&gt;""""),COUNTA(FILTER(E$1:E18, E$1:E18&lt;&gt;""""))))-1), IF('To Order'!$A19=COLUMNS($A19:E38), E18&amp;RIGH"&amp;"T(INDIRECT(ADDRESS(ROW(E19)-1, 'From Order'!$A19)), 1), E18))"),"GP")</f>
        <v>GP</v>
      </c>
      <c r="F19" s="2" t="str">
        <f>IFERROR(__xludf.DUMMYFUNCTION("IF('From Order'!$A19=COLUMNS($A19:F38), LEFT(INDEX(FILTER(F$1:F18, F$1:F18&lt;&gt;""""),COUNTA(FILTER(F$1:F18, F$1:F18&lt;&gt;""""))), LEN(INDEX(FILTER(F$1:F18, F$1:F18&lt;&gt;""""),COUNTA(FILTER(F$1:F18, F$1:F18&lt;&gt;""""))))-1), IF('To Order'!$A19=COLUMNS($A19:F38), F18&amp;RIGH"&amp;"T(INDIRECT(ADDRESS(ROW(F19)-1, 'From Order'!$A19)), 1), F18))"),"FBRZJQCD")</f>
        <v>FBRZJQCD</v>
      </c>
      <c r="G19" s="2" t="str">
        <f>IFERROR(__xludf.DUMMYFUNCTION("IF('From Order'!$A19=COLUMNS($A19:G38), LEFT(INDEX(FILTER(G$1:G18, G$1:G18&lt;&gt;""""),COUNTA(FILTER(G$1:G18, G$1:G18&lt;&gt;""""))), LEN(INDEX(FILTER(G$1:G18, G$1:G18&lt;&gt;""""),COUNTA(FILTER(G$1:G18, G$1:G18&lt;&gt;""""))))-1), IF('To Order'!$A19=COLUMNS($A19:G38), G18&amp;RIGH"&amp;"T(INDIRECT(ADDRESS(ROW(G19)-1, 'From Order'!$A19)), 1), G18))"),"SB")</f>
        <v>SB</v>
      </c>
      <c r="H19" s="2" t="str">
        <f>IFERROR(__xludf.DUMMYFUNCTION("IF('From Order'!$A19=COLUMNS($A19:H38), LEFT(INDEX(FILTER(H$1:H18, H$1:H18&lt;&gt;""""),COUNTA(FILTER(H$1:H18, H$1:H18&lt;&gt;""""))), LEN(INDEX(FILTER(H$1:H18, H$1:H18&lt;&gt;""""),COUNTA(FILTER(H$1:H18, H$1:H18&lt;&gt;""""))))-1), IF('To Order'!$A19=COLUMNS($A19:H38), H18&amp;RIGH"&amp;"T(INDIRECT(ADDRESS(ROW(H19)-1, 'From Order'!$A19)), 1), H18))"),"LHRBTVM")</f>
        <v>LHRBTVM</v>
      </c>
      <c r="I19" s="2" t="str">
        <f>IFERROR(__xludf.DUMMYFUNCTION("IF('From Order'!$A19=COLUMNS($A19:I38), LEFT(INDEX(FILTER(I$1:I18, I$1:I18&lt;&gt;""""),COUNTA(FILTER(I$1:I18, I$1:I18&lt;&gt;""""))), LEN(INDEX(FILTER(I$1:I18, I$1:I18&lt;&gt;""""),COUNTA(FILTER(I$1:I18, I$1:I18&lt;&gt;""""))))-1), IF('To Order'!$A19=COLUMNS($A19:I38), I18&amp;RIGH"&amp;"T(INDIRECT(ADDRESS(ROW(I19)-1, 'From Order'!$A19)), 1), I18))"),"QPDSV")</f>
        <v>QPDSV</v>
      </c>
    </row>
    <row r="20">
      <c r="A20" s="2" t="str">
        <f>IFERROR(__xludf.DUMMYFUNCTION("IF('From Order'!$A20=COLUMNS($A20:A39), LEFT(INDEX(FILTER(A$1:A19, A$1:A19&lt;&gt;""""),COUNTA(FILTER(A$1:A19, A$1:A19&lt;&gt;""""))), LEN(INDEX(FILTER(A$1:A19, A$1:A19&lt;&gt;""""),COUNTA(FILTER(A$1:A19, A$1:A19&lt;&gt;""""))))-1), IF('To Order'!$A20=COLUMNS($A20:A39), A19&amp;RIGH"&amp;"T(INDIRECT(ADDRESS(ROW(A20)-1, 'From Order'!$A20)), 1), A19))"),"D")</f>
        <v>D</v>
      </c>
      <c r="B20" s="2" t="str">
        <f>IFERROR(__xludf.DUMMYFUNCTION("IF('From Order'!$A20=COLUMNS($A20:B39), LEFT(INDEX(FILTER(B$1:B19, B$1:B19&lt;&gt;""""),COUNTA(FILTER(B$1:B19, B$1:B19&lt;&gt;""""))), LEN(INDEX(FILTER(B$1:B19, B$1:B19&lt;&gt;""""),COUNTA(FILTER(B$1:B19, B$1:B19&lt;&gt;""""))))-1), IF('To Order'!$A20=COLUMNS($A20:B39), B19&amp;RIGH"&amp;"T(INDIRECT(ADDRESS(ROW(B20)-1, 'From Order'!$A20)), 1), B19))"),"SWC")</f>
        <v>SWC</v>
      </c>
      <c r="C20" s="2" t="str">
        <f>IFERROR(__xludf.DUMMYFUNCTION("IF('From Order'!$A20=COLUMNS($A20:C39), LEFT(INDEX(FILTER(C$1:C19, C$1:C19&lt;&gt;""""),COUNTA(FILTER(C$1:C19, C$1:C19&lt;&gt;""""))), LEN(INDEX(FILTER(C$1:C19, C$1:C19&lt;&gt;""""),COUNTA(FILTER(C$1:C19, C$1:C19&lt;&gt;""""))))-1), IF('To Order'!$A20=COLUMNS($A20:C39), C19&amp;RIGH"&amp;"T(INDIRECT(ADDRESS(ROW(C20)-1, 'From Order'!$A20)), 1), C19))"),"RZTRTFMJDGWLJBR")</f>
        <v>RZTRTFMJDGWLJBR</v>
      </c>
      <c r="D20" s="2" t="str">
        <f>IFERROR(__xludf.DUMMYFUNCTION("IF('From Order'!$A20=COLUMNS($A20:D39), LEFT(INDEX(FILTER(D$1:D19, D$1:D19&lt;&gt;""""),COUNTA(FILTER(D$1:D19, D$1:D19&lt;&gt;""""))), LEN(INDEX(FILTER(D$1:D19, D$1:D19&lt;&gt;""""),COUNTA(FILTER(D$1:D19, D$1:D19&lt;&gt;""""))))-1), IF('To Order'!$A20=COLUMNS($A20:D39), D19&amp;RIGH"&amp;"T(INDIRECT(ADDRESS(ROW(D20)-1, 'From Order'!$A20)), 1), D19))"),"DTCHSPVMZDLT")</f>
        <v>DTCHSPVMZDLT</v>
      </c>
      <c r="E20" s="2" t="str">
        <f>IFERROR(__xludf.DUMMYFUNCTION("IF('From Order'!$A20=COLUMNS($A20:E39), LEFT(INDEX(FILTER(E$1:E19, E$1:E19&lt;&gt;""""),COUNTA(FILTER(E$1:E19, E$1:E19&lt;&gt;""""))), LEN(INDEX(FILTER(E$1:E19, E$1:E19&lt;&gt;""""),COUNTA(FILTER(E$1:E19, E$1:E19&lt;&gt;""""))))-1), IF('To Order'!$A20=COLUMNS($A20:E39), E19&amp;RIGH"&amp;"T(INDIRECT(ADDRESS(ROW(E20)-1, 'From Order'!$A20)), 1), E19))"),"GP")</f>
        <v>GP</v>
      </c>
      <c r="F20" s="2" t="str">
        <f>IFERROR(__xludf.DUMMYFUNCTION("IF('From Order'!$A20=COLUMNS($A20:F39), LEFT(INDEX(FILTER(F$1:F19, F$1:F19&lt;&gt;""""),COUNTA(FILTER(F$1:F19, F$1:F19&lt;&gt;""""))), LEN(INDEX(FILTER(F$1:F19, F$1:F19&lt;&gt;""""),COUNTA(FILTER(F$1:F19, F$1:F19&lt;&gt;""""))))-1), IF('To Order'!$A20=COLUMNS($A20:F39), F19&amp;RIGH"&amp;"T(INDIRECT(ADDRESS(ROW(F20)-1, 'From Order'!$A20)), 1), F19))"),"FBRZJQCD")</f>
        <v>FBRZJQCD</v>
      </c>
      <c r="G20" s="2" t="str">
        <f>IFERROR(__xludf.DUMMYFUNCTION("IF('From Order'!$A20=COLUMNS($A20:G39), LEFT(INDEX(FILTER(G$1:G19, G$1:G19&lt;&gt;""""),COUNTA(FILTER(G$1:G19, G$1:G19&lt;&gt;""""))), LEN(INDEX(FILTER(G$1:G19, G$1:G19&lt;&gt;""""),COUNTA(FILTER(G$1:G19, G$1:G19&lt;&gt;""""))))-1), IF('To Order'!$A20=COLUMNS($A20:G39), G19&amp;RIGH"&amp;"T(INDIRECT(ADDRESS(ROW(G20)-1, 'From Order'!$A20)), 1), G19))"),"SB")</f>
        <v>SB</v>
      </c>
      <c r="H20" s="2" t="str">
        <f>IFERROR(__xludf.DUMMYFUNCTION("IF('From Order'!$A20=COLUMNS($A20:H39), LEFT(INDEX(FILTER(H$1:H19, H$1:H19&lt;&gt;""""),COUNTA(FILTER(H$1:H19, H$1:H19&lt;&gt;""""))), LEN(INDEX(FILTER(H$1:H19, H$1:H19&lt;&gt;""""),COUNTA(FILTER(H$1:H19, H$1:H19&lt;&gt;""""))))-1), IF('To Order'!$A20=COLUMNS($A20:H39), H19&amp;RIGH"&amp;"T(INDIRECT(ADDRESS(ROW(H20)-1, 'From Order'!$A20)), 1), H19))"),"LHRBTVM")</f>
        <v>LHRBTVM</v>
      </c>
      <c r="I20" s="2" t="str">
        <f>IFERROR(__xludf.DUMMYFUNCTION("IF('From Order'!$A20=COLUMNS($A20:I39), LEFT(INDEX(FILTER(I$1:I19, I$1:I19&lt;&gt;""""),COUNTA(FILTER(I$1:I19, I$1:I19&lt;&gt;""""))), LEN(INDEX(FILTER(I$1:I19, I$1:I19&lt;&gt;""""),COUNTA(FILTER(I$1:I19, I$1:I19&lt;&gt;""""))))-1), IF('To Order'!$A20=COLUMNS($A20:I39), I19&amp;RIGH"&amp;"T(INDIRECT(ADDRESS(ROW(I20)-1, 'From Order'!$A20)), 1), I19))"),"QPDSVT")</f>
        <v>QPDSVT</v>
      </c>
    </row>
    <row r="21">
      <c r="A21" s="2" t="str">
        <f>IFERROR(__xludf.DUMMYFUNCTION("IF('From Order'!$A21=COLUMNS($A21:A40), LEFT(INDEX(FILTER(A$1:A20, A$1:A20&lt;&gt;""""),COUNTA(FILTER(A$1:A20, A$1:A20&lt;&gt;""""))), LEN(INDEX(FILTER(A$1:A20, A$1:A20&lt;&gt;""""),COUNTA(FILTER(A$1:A20, A$1:A20&lt;&gt;""""))))-1), IF('To Order'!$A21=COLUMNS($A21:A40), A20&amp;RIGH"&amp;"T(INDIRECT(ADDRESS(ROW(A21)-1, 'From Order'!$A21)), 1), A20))"),"")</f>
        <v/>
      </c>
      <c r="B21" s="2" t="str">
        <f>IFERROR(__xludf.DUMMYFUNCTION("IF('From Order'!$A21=COLUMNS($A21:B40), LEFT(INDEX(FILTER(B$1:B20, B$1:B20&lt;&gt;""""),COUNTA(FILTER(B$1:B20, B$1:B20&lt;&gt;""""))), LEN(INDEX(FILTER(B$1:B20, B$1:B20&lt;&gt;""""),COUNTA(FILTER(B$1:B20, B$1:B20&lt;&gt;""""))))-1), IF('To Order'!$A21=COLUMNS($A21:B40), B20&amp;RIGH"&amp;"T(INDIRECT(ADDRESS(ROW(B21)-1, 'From Order'!$A21)), 1), B20))"),"SWC")</f>
        <v>SWC</v>
      </c>
      <c r="C21" s="2" t="str">
        <f>IFERROR(__xludf.DUMMYFUNCTION("IF('From Order'!$A21=COLUMNS($A21:C40), LEFT(INDEX(FILTER(C$1:C20, C$1:C20&lt;&gt;""""),COUNTA(FILTER(C$1:C20, C$1:C20&lt;&gt;""""))), LEN(INDEX(FILTER(C$1:C20, C$1:C20&lt;&gt;""""),COUNTA(FILTER(C$1:C20, C$1:C20&lt;&gt;""""))))-1), IF('To Order'!$A21=COLUMNS($A21:C40), C20&amp;RIGH"&amp;"T(INDIRECT(ADDRESS(ROW(C21)-1, 'From Order'!$A21)), 1), C20))"),"RZTRTFMJDGWLJBR")</f>
        <v>RZTRTFMJDGWLJBR</v>
      </c>
      <c r="D21" s="2" t="str">
        <f>IFERROR(__xludf.DUMMYFUNCTION("IF('From Order'!$A21=COLUMNS($A21:D40), LEFT(INDEX(FILTER(D$1:D20, D$1:D20&lt;&gt;""""),COUNTA(FILTER(D$1:D20, D$1:D20&lt;&gt;""""))), LEN(INDEX(FILTER(D$1:D20, D$1:D20&lt;&gt;""""),COUNTA(FILTER(D$1:D20, D$1:D20&lt;&gt;""""))))-1), IF('To Order'!$A21=COLUMNS($A21:D40), D20&amp;RIGH"&amp;"T(INDIRECT(ADDRESS(ROW(D21)-1, 'From Order'!$A21)), 1), D20))"),"DTCHSPVMZDLTD")</f>
        <v>DTCHSPVMZDLTD</v>
      </c>
      <c r="E21" s="2" t="str">
        <f>IFERROR(__xludf.DUMMYFUNCTION("IF('From Order'!$A21=COLUMNS($A21:E40), LEFT(INDEX(FILTER(E$1:E20, E$1:E20&lt;&gt;""""),COUNTA(FILTER(E$1:E20, E$1:E20&lt;&gt;""""))), LEN(INDEX(FILTER(E$1:E20, E$1:E20&lt;&gt;""""),COUNTA(FILTER(E$1:E20, E$1:E20&lt;&gt;""""))))-1), IF('To Order'!$A21=COLUMNS($A21:E40), E20&amp;RIGH"&amp;"T(INDIRECT(ADDRESS(ROW(E21)-1, 'From Order'!$A21)), 1), E20))"),"GP")</f>
        <v>GP</v>
      </c>
      <c r="F21" s="2" t="str">
        <f>IFERROR(__xludf.DUMMYFUNCTION("IF('From Order'!$A21=COLUMNS($A21:F40), LEFT(INDEX(FILTER(F$1:F20, F$1:F20&lt;&gt;""""),COUNTA(FILTER(F$1:F20, F$1:F20&lt;&gt;""""))), LEN(INDEX(FILTER(F$1:F20, F$1:F20&lt;&gt;""""),COUNTA(FILTER(F$1:F20, F$1:F20&lt;&gt;""""))))-1), IF('To Order'!$A21=COLUMNS($A21:F40), F20&amp;RIGH"&amp;"T(INDIRECT(ADDRESS(ROW(F21)-1, 'From Order'!$A21)), 1), F20))"),"FBRZJQCD")</f>
        <v>FBRZJQCD</v>
      </c>
      <c r="G21" s="2" t="str">
        <f>IFERROR(__xludf.DUMMYFUNCTION("IF('From Order'!$A21=COLUMNS($A21:G40), LEFT(INDEX(FILTER(G$1:G20, G$1:G20&lt;&gt;""""),COUNTA(FILTER(G$1:G20, G$1:G20&lt;&gt;""""))), LEN(INDEX(FILTER(G$1:G20, G$1:G20&lt;&gt;""""),COUNTA(FILTER(G$1:G20, G$1:G20&lt;&gt;""""))))-1), IF('To Order'!$A21=COLUMNS($A21:G40), G20&amp;RIGH"&amp;"T(INDIRECT(ADDRESS(ROW(G21)-1, 'From Order'!$A21)), 1), G20))"),"SB")</f>
        <v>SB</v>
      </c>
      <c r="H21" s="2" t="str">
        <f>IFERROR(__xludf.DUMMYFUNCTION("IF('From Order'!$A21=COLUMNS($A21:H40), LEFT(INDEX(FILTER(H$1:H20, H$1:H20&lt;&gt;""""),COUNTA(FILTER(H$1:H20, H$1:H20&lt;&gt;""""))), LEN(INDEX(FILTER(H$1:H20, H$1:H20&lt;&gt;""""),COUNTA(FILTER(H$1:H20, H$1:H20&lt;&gt;""""))))-1), IF('To Order'!$A21=COLUMNS($A21:H40), H20&amp;RIGH"&amp;"T(INDIRECT(ADDRESS(ROW(H21)-1, 'From Order'!$A21)), 1), H20))"),"LHRBTVM")</f>
        <v>LHRBTVM</v>
      </c>
      <c r="I21" s="2" t="str">
        <f>IFERROR(__xludf.DUMMYFUNCTION("IF('From Order'!$A21=COLUMNS($A21:I40), LEFT(INDEX(FILTER(I$1:I20, I$1:I20&lt;&gt;""""),COUNTA(FILTER(I$1:I20, I$1:I20&lt;&gt;""""))), LEN(INDEX(FILTER(I$1:I20, I$1:I20&lt;&gt;""""),COUNTA(FILTER(I$1:I20, I$1:I20&lt;&gt;""""))))-1), IF('To Order'!$A21=COLUMNS($A21:I40), I20&amp;RIGH"&amp;"T(INDIRECT(ADDRESS(ROW(I21)-1, 'From Order'!$A21)), 1), I20))"),"QPDSVT")</f>
        <v>QPDSVT</v>
      </c>
    </row>
    <row r="22">
      <c r="A22" s="2" t="str">
        <f>IFERROR(__xludf.DUMMYFUNCTION("IF('From Order'!$A22=COLUMNS($A22:A41), LEFT(INDEX(FILTER(A$1:A21, A$1:A21&lt;&gt;""""),COUNTA(FILTER(A$1:A21, A$1:A21&lt;&gt;""""))), LEN(INDEX(FILTER(A$1:A21, A$1:A21&lt;&gt;""""),COUNTA(FILTER(A$1:A21, A$1:A21&lt;&gt;""""))))-1), IF('To Order'!$A22=COLUMNS($A22:A41), A21&amp;RIGH"&amp;"T(INDIRECT(ADDRESS(ROW(A22)-1, 'From Order'!$A22)), 1), A21))"),"")</f>
        <v/>
      </c>
      <c r="B22" s="2" t="str">
        <f>IFERROR(__xludf.DUMMYFUNCTION("IF('From Order'!$A22=COLUMNS($A22:B41), LEFT(INDEX(FILTER(B$1:B21, B$1:B21&lt;&gt;""""),COUNTA(FILTER(B$1:B21, B$1:B21&lt;&gt;""""))), LEN(INDEX(FILTER(B$1:B21, B$1:B21&lt;&gt;""""),COUNTA(FILTER(B$1:B21, B$1:B21&lt;&gt;""""))))-1), IF('To Order'!$A22=COLUMNS($A22:B41), B21&amp;RIGH"&amp;"T(INDIRECT(ADDRESS(ROW(B22)-1, 'From Order'!$A22)), 1), B21))"),"SWC")</f>
        <v>SWC</v>
      </c>
      <c r="C22" s="2" t="str">
        <f>IFERROR(__xludf.DUMMYFUNCTION("IF('From Order'!$A22=COLUMNS($A22:C41), LEFT(INDEX(FILTER(C$1:C21, C$1:C21&lt;&gt;""""),COUNTA(FILTER(C$1:C21, C$1:C21&lt;&gt;""""))), LEN(INDEX(FILTER(C$1:C21, C$1:C21&lt;&gt;""""),COUNTA(FILTER(C$1:C21, C$1:C21&lt;&gt;""""))))-1), IF('To Order'!$A22=COLUMNS($A22:C41), C21&amp;RIGH"&amp;"T(INDIRECT(ADDRESS(ROW(C22)-1, 'From Order'!$A22)), 1), C21))"),"RZTRTFMJDGWLJBR")</f>
        <v>RZTRTFMJDGWLJBR</v>
      </c>
      <c r="D22" s="2" t="str">
        <f>IFERROR(__xludf.DUMMYFUNCTION("IF('From Order'!$A22=COLUMNS($A22:D41), LEFT(INDEX(FILTER(D$1:D21, D$1:D21&lt;&gt;""""),COUNTA(FILTER(D$1:D21, D$1:D21&lt;&gt;""""))), LEN(INDEX(FILTER(D$1:D21, D$1:D21&lt;&gt;""""),COUNTA(FILTER(D$1:D21, D$1:D21&lt;&gt;""""))))-1), IF('To Order'!$A22=COLUMNS($A22:D41), D21&amp;RIGH"&amp;"T(INDIRECT(ADDRESS(ROW(D22)-1, 'From Order'!$A22)), 1), D21))"),"DTCHSPVMZDLTD")</f>
        <v>DTCHSPVMZDLTD</v>
      </c>
      <c r="E22" s="2" t="str">
        <f>IFERROR(__xludf.DUMMYFUNCTION("IF('From Order'!$A22=COLUMNS($A22:E41), LEFT(INDEX(FILTER(E$1:E21, E$1:E21&lt;&gt;""""),COUNTA(FILTER(E$1:E21, E$1:E21&lt;&gt;""""))), LEN(INDEX(FILTER(E$1:E21, E$1:E21&lt;&gt;""""),COUNTA(FILTER(E$1:E21, E$1:E21&lt;&gt;""""))))-1), IF('To Order'!$A22=COLUMNS($A22:E41), E21&amp;RIGH"&amp;"T(INDIRECT(ADDRESS(ROW(E22)-1, 'From Order'!$A22)), 1), E21))"),"GP")</f>
        <v>GP</v>
      </c>
      <c r="F22" s="2" t="str">
        <f>IFERROR(__xludf.DUMMYFUNCTION("IF('From Order'!$A22=COLUMNS($A22:F41), LEFT(INDEX(FILTER(F$1:F21, F$1:F21&lt;&gt;""""),COUNTA(FILTER(F$1:F21, F$1:F21&lt;&gt;""""))), LEN(INDEX(FILTER(F$1:F21, F$1:F21&lt;&gt;""""),COUNTA(FILTER(F$1:F21, F$1:F21&lt;&gt;""""))))-1), IF('To Order'!$A22=COLUMNS($A22:F41), F21&amp;RIGH"&amp;"T(INDIRECT(ADDRESS(ROW(F22)-1, 'From Order'!$A22)), 1), F21))"),"FBRZJQC")</f>
        <v>FBRZJQC</v>
      </c>
      <c r="G22" s="2" t="str">
        <f>IFERROR(__xludf.DUMMYFUNCTION("IF('From Order'!$A22=COLUMNS($A22:G41), LEFT(INDEX(FILTER(G$1:G21, G$1:G21&lt;&gt;""""),COUNTA(FILTER(G$1:G21, G$1:G21&lt;&gt;""""))), LEN(INDEX(FILTER(G$1:G21, G$1:G21&lt;&gt;""""),COUNTA(FILTER(G$1:G21, G$1:G21&lt;&gt;""""))))-1), IF('To Order'!$A22=COLUMNS($A22:G41), G21&amp;RIGH"&amp;"T(INDIRECT(ADDRESS(ROW(G22)-1, 'From Order'!$A22)), 1), G21))"),"SB")</f>
        <v>SB</v>
      </c>
      <c r="H22" s="2" t="str">
        <f>IFERROR(__xludf.DUMMYFUNCTION("IF('From Order'!$A22=COLUMNS($A22:H41), LEFT(INDEX(FILTER(H$1:H21, H$1:H21&lt;&gt;""""),COUNTA(FILTER(H$1:H21, H$1:H21&lt;&gt;""""))), LEN(INDEX(FILTER(H$1:H21, H$1:H21&lt;&gt;""""),COUNTA(FILTER(H$1:H21, H$1:H21&lt;&gt;""""))))-1), IF('To Order'!$A22=COLUMNS($A22:H41), H21&amp;RIGH"&amp;"T(INDIRECT(ADDRESS(ROW(H22)-1, 'From Order'!$A22)), 1), H21))"),"LHRBTVM")</f>
        <v>LHRBTVM</v>
      </c>
      <c r="I22" s="2" t="str">
        <f>IFERROR(__xludf.DUMMYFUNCTION("IF('From Order'!$A22=COLUMNS($A22:I41), LEFT(INDEX(FILTER(I$1:I21, I$1:I21&lt;&gt;""""),COUNTA(FILTER(I$1:I21, I$1:I21&lt;&gt;""""))), LEN(INDEX(FILTER(I$1:I21, I$1:I21&lt;&gt;""""),COUNTA(FILTER(I$1:I21, I$1:I21&lt;&gt;""""))))-1), IF('To Order'!$A22=COLUMNS($A22:I41), I21&amp;RIGH"&amp;"T(INDIRECT(ADDRESS(ROW(I22)-1, 'From Order'!$A22)), 1), I21))"),"QPDSVTD")</f>
        <v>QPDSVTD</v>
      </c>
    </row>
    <row r="23">
      <c r="A23" s="2" t="str">
        <f>IFERROR(__xludf.DUMMYFUNCTION("IF('From Order'!$A23=COLUMNS($A23:A42), LEFT(INDEX(FILTER(A$1:A22, A$1:A22&lt;&gt;""""),COUNTA(FILTER(A$1:A22, A$1:A22&lt;&gt;""""))), LEN(INDEX(FILTER(A$1:A22, A$1:A22&lt;&gt;""""),COUNTA(FILTER(A$1:A22, A$1:A22&lt;&gt;""""))))-1), IF('To Order'!$A23=COLUMNS($A23:A42), A22&amp;RIGH"&amp;"T(INDIRECT(ADDRESS(ROW(A23)-1, 'From Order'!$A23)), 1), A22))"),"")</f>
        <v/>
      </c>
      <c r="B23" s="2" t="str">
        <f>IFERROR(__xludf.DUMMYFUNCTION("IF('From Order'!$A23=COLUMNS($A23:B42), LEFT(INDEX(FILTER(B$1:B22, B$1:B22&lt;&gt;""""),COUNTA(FILTER(B$1:B22, B$1:B22&lt;&gt;""""))), LEN(INDEX(FILTER(B$1:B22, B$1:B22&lt;&gt;""""),COUNTA(FILTER(B$1:B22, B$1:B22&lt;&gt;""""))))-1), IF('To Order'!$A23=COLUMNS($A23:B42), B22&amp;RIGH"&amp;"T(INDIRECT(ADDRESS(ROW(B23)-1, 'From Order'!$A23)), 1), B22))"),"SWC")</f>
        <v>SWC</v>
      </c>
      <c r="C23" s="2" t="str">
        <f>IFERROR(__xludf.DUMMYFUNCTION("IF('From Order'!$A23=COLUMNS($A23:C42), LEFT(INDEX(FILTER(C$1:C22, C$1:C22&lt;&gt;""""),COUNTA(FILTER(C$1:C22, C$1:C22&lt;&gt;""""))), LEN(INDEX(FILTER(C$1:C22, C$1:C22&lt;&gt;""""),COUNTA(FILTER(C$1:C22, C$1:C22&lt;&gt;""""))))-1), IF('To Order'!$A23=COLUMNS($A23:C42), C22&amp;RIGH"&amp;"T(INDIRECT(ADDRESS(ROW(C23)-1, 'From Order'!$A23)), 1), C22))"),"RZTRTFMJDGWLJBR")</f>
        <v>RZTRTFMJDGWLJBR</v>
      </c>
      <c r="D23" s="2" t="str">
        <f>IFERROR(__xludf.DUMMYFUNCTION("IF('From Order'!$A23=COLUMNS($A23:D42), LEFT(INDEX(FILTER(D$1:D22, D$1:D22&lt;&gt;""""),COUNTA(FILTER(D$1:D22, D$1:D22&lt;&gt;""""))), LEN(INDEX(FILTER(D$1:D22, D$1:D22&lt;&gt;""""),COUNTA(FILTER(D$1:D22, D$1:D22&lt;&gt;""""))))-1), IF('To Order'!$A23=COLUMNS($A23:D42), D22&amp;RIGH"&amp;"T(INDIRECT(ADDRESS(ROW(D23)-1, 'From Order'!$A23)), 1), D22))"),"DTCHSPVMZDLTD")</f>
        <v>DTCHSPVMZDLTD</v>
      </c>
      <c r="E23" s="2" t="str">
        <f>IFERROR(__xludf.DUMMYFUNCTION("IF('From Order'!$A23=COLUMNS($A23:E42), LEFT(INDEX(FILTER(E$1:E22, E$1:E22&lt;&gt;""""),COUNTA(FILTER(E$1:E22, E$1:E22&lt;&gt;""""))), LEN(INDEX(FILTER(E$1:E22, E$1:E22&lt;&gt;""""),COUNTA(FILTER(E$1:E22, E$1:E22&lt;&gt;""""))))-1), IF('To Order'!$A23=COLUMNS($A23:E42), E22&amp;RIGH"&amp;"T(INDIRECT(ADDRESS(ROW(E23)-1, 'From Order'!$A23)), 1), E22))"),"GP")</f>
        <v>GP</v>
      </c>
      <c r="F23" s="2" t="str">
        <f>IFERROR(__xludf.DUMMYFUNCTION("IF('From Order'!$A23=COLUMNS($A23:F42), LEFT(INDEX(FILTER(F$1:F22, F$1:F22&lt;&gt;""""),COUNTA(FILTER(F$1:F22, F$1:F22&lt;&gt;""""))), LEN(INDEX(FILTER(F$1:F22, F$1:F22&lt;&gt;""""),COUNTA(FILTER(F$1:F22, F$1:F22&lt;&gt;""""))))-1), IF('To Order'!$A23=COLUMNS($A23:F42), F22&amp;RIGH"&amp;"T(INDIRECT(ADDRESS(ROW(F23)-1, 'From Order'!$A23)), 1), F22))"),"FBRZJQ")</f>
        <v>FBRZJQ</v>
      </c>
      <c r="G23" s="2" t="str">
        <f>IFERROR(__xludf.DUMMYFUNCTION("IF('From Order'!$A23=COLUMNS($A23:G42), LEFT(INDEX(FILTER(G$1:G22, G$1:G22&lt;&gt;""""),COUNTA(FILTER(G$1:G22, G$1:G22&lt;&gt;""""))), LEN(INDEX(FILTER(G$1:G22, G$1:G22&lt;&gt;""""),COUNTA(FILTER(G$1:G22, G$1:G22&lt;&gt;""""))))-1), IF('To Order'!$A23=COLUMNS($A23:G42), G22&amp;RIGH"&amp;"T(INDIRECT(ADDRESS(ROW(G23)-1, 'From Order'!$A23)), 1), G22))"),"SB")</f>
        <v>SB</v>
      </c>
      <c r="H23" s="2" t="str">
        <f>IFERROR(__xludf.DUMMYFUNCTION("IF('From Order'!$A23=COLUMNS($A23:H42), LEFT(INDEX(FILTER(H$1:H22, H$1:H22&lt;&gt;""""),COUNTA(FILTER(H$1:H22, H$1:H22&lt;&gt;""""))), LEN(INDEX(FILTER(H$1:H22, H$1:H22&lt;&gt;""""),COUNTA(FILTER(H$1:H22, H$1:H22&lt;&gt;""""))))-1), IF('To Order'!$A23=COLUMNS($A23:H42), H22&amp;RIGH"&amp;"T(INDIRECT(ADDRESS(ROW(H23)-1, 'From Order'!$A23)), 1), H22))"),"LHRBTVM")</f>
        <v>LHRBTVM</v>
      </c>
      <c r="I23" s="2" t="str">
        <f>IFERROR(__xludf.DUMMYFUNCTION("IF('From Order'!$A23=COLUMNS($A23:I42), LEFT(INDEX(FILTER(I$1:I22, I$1:I22&lt;&gt;""""),COUNTA(FILTER(I$1:I22, I$1:I22&lt;&gt;""""))), LEN(INDEX(FILTER(I$1:I22, I$1:I22&lt;&gt;""""),COUNTA(FILTER(I$1:I22, I$1:I22&lt;&gt;""""))))-1), IF('To Order'!$A23=COLUMNS($A23:I42), I22&amp;RIGH"&amp;"T(INDIRECT(ADDRESS(ROW(I23)-1, 'From Order'!$A23)), 1), I22))"),"QPDSVTDC")</f>
        <v>QPDSVTDC</v>
      </c>
    </row>
    <row r="24">
      <c r="A24" s="2" t="str">
        <f>IFERROR(__xludf.DUMMYFUNCTION("IF('From Order'!$A24=COLUMNS($A24:A43), LEFT(INDEX(FILTER(A$1:A23, A$1:A23&lt;&gt;""""),COUNTA(FILTER(A$1:A23, A$1:A23&lt;&gt;""""))), LEN(INDEX(FILTER(A$1:A23, A$1:A23&lt;&gt;""""),COUNTA(FILTER(A$1:A23, A$1:A23&lt;&gt;""""))))-1), IF('To Order'!$A24=COLUMNS($A24:A43), A23&amp;RIGH"&amp;"T(INDIRECT(ADDRESS(ROW(A24)-1, 'From Order'!$A24)), 1), A23))"),"")</f>
        <v/>
      </c>
      <c r="B24" s="2" t="str">
        <f>IFERROR(__xludf.DUMMYFUNCTION("IF('From Order'!$A24=COLUMNS($A24:B43), LEFT(INDEX(FILTER(B$1:B23, B$1:B23&lt;&gt;""""),COUNTA(FILTER(B$1:B23, B$1:B23&lt;&gt;""""))), LEN(INDEX(FILTER(B$1:B23, B$1:B23&lt;&gt;""""),COUNTA(FILTER(B$1:B23, B$1:B23&lt;&gt;""""))))-1), IF('To Order'!$A24=COLUMNS($A24:B43), B23&amp;RIGH"&amp;"T(INDIRECT(ADDRESS(ROW(B24)-1, 'From Order'!$A24)), 1), B23))"),"SWC")</f>
        <v>SWC</v>
      </c>
      <c r="C24" s="2" t="str">
        <f>IFERROR(__xludf.DUMMYFUNCTION("IF('From Order'!$A24=COLUMNS($A24:C43), LEFT(INDEX(FILTER(C$1:C23, C$1:C23&lt;&gt;""""),COUNTA(FILTER(C$1:C23, C$1:C23&lt;&gt;""""))), LEN(INDEX(FILTER(C$1:C23, C$1:C23&lt;&gt;""""),COUNTA(FILTER(C$1:C23, C$1:C23&lt;&gt;""""))))-1), IF('To Order'!$A24=COLUMNS($A24:C43), C23&amp;RIGH"&amp;"T(INDIRECT(ADDRESS(ROW(C24)-1, 'From Order'!$A24)), 1), C23))"),"RZTRTFMJDGWLJBR")</f>
        <v>RZTRTFMJDGWLJBR</v>
      </c>
      <c r="D24" s="2" t="str">
        <f>IFERROR(__xludf.DUMMYFUNCTION("IF('From Order'!$A24=COLUMNS($A24:D43), LEFT(INDEX(FILTER(D$1:D23, D$1:D23&lt;&gt;""""),COUNTA(FILTER(D$1:D23, D$1:D23&lt;&gt;""""))), LEN(INDEX(FILTER(D$1:D23, D$1:D23&lt;&gt;""""),COUNTA(FILTER(D$1:D23, D$1:D23&lt;&gt;""""))))-1), IF('To Order'!$A24=COLUMNS($A24:D43), D23&amp;RIGH"&amp;"T(INDIRECT(ADDRESS(ROW(D24)-1, 'From Order'!$A24)), 1), D23))"),"DTCHSPVMZDLTD")</f>
        <v>DTCHSPVMZDLTD</v>
      </c>
      <c r="E24" s="2" t="str">
        <f>IFERROR(__xludf.DUMMYFUNCTION("IF('From Order'!$A24=COLUMNS($A24:E43), LEFT(INDEX(FILTER(E$1:E23, E$1:E23&lt;&gt;""""),COUNTA(FILTER(E$1:E23, E$1:E23&lt;&gt;""""))), LEN(INDEX(FILTER(E$1:E23, E$1:E23&lt;&gt;""""),COUNTA(FILTER(E$1:E23, E$1:E23&lt;&gt;""""))))-1), IF('To Order'!$A24=COLUMNS($A24:E43), E23&amp;RIGH"&amp;"T(INDIRECT(ADDRESS(ROW(E24)-1, 'From Order'!$A24)), 1), E23))"),"GP")</f>
        <v>GP</v>
      </c>
      <c r="F24" s="2" t="str">
        <f>IFERROR(__xludf.DUMMYFUNCTION("IF('From Order'!$A24=COLUMNS($A24:F43), LEFT(INDEX(FILTER(F$1:F23, F$1:F23&lt;&gt;""""),COUNTA(FILTER(F$1:F23, F$1:F23&lt;&gt;""""))), LEN(INDEX(FILTER(F$1:F23, F$1:F23&lt;&gt;""""),COUNTA(FILTER(F$1:F23, F$1:F23&lt;&gt;""""))))-1), IF('To Order'!$A24=COLUMNS($A24:F43), F23&amp;RIGH"&amp;"T(INDIRECT(ADDRESS(ROW(F24)-1, 'From Order'!$A24)), 1), F23))"),"FBRZJ")</f>
        <v>FBRZJ</v>
      </c>
      <c r="G24" s="2" t="str">
        <f>IFERROR(__xludf.DUMMYFUNCTION("IF('From Order'!$A24=COLUMNS($A24:G43), LEFT(INDEX(FILTER(G$1:G23, G$1:G23&lt;&gt;""""),COUNTA(FILTER(G$1:G23, G$1:G23&lt;&gt;""""))), LEN(INDEX(FILTER(G$1:G23, G$1:G23&lt;&gt;""""),COUNTA(FILTER(G$1:G23, G$1:G23&lt;&gt;""""))))-1), IF('To Order'!$A24=COLUMNS($A24:G43), G23&amp;RIGH"&amp;"T(INDIRECT(ADDRESS(ROW(G24)-1, 'From Order'!$A24)), 1), G23))"),"SB")</f>
        <v>SB</v>
      </c>
      <c r="H24" s="2" t="str">
        <f>IFERROR(__xludf.DUMMYFUNCTION("IF('From Order'!$A24=COLUMNS($A24:H43), LEFT(INDEX(FILTER(H$1:H23, H$1:H23&lt;&gt;""""),COUNTA(FILTER(H$1:H23, H$1:H23&lt;&gt;""""))), LEN(INDEX(FILTER(H$1:H23, H$1:H23&lt;&gt;""""),COUNTA(FILTER(H$1:H23, H$1:H23&lt;&gt;""""))))-1), IF('To Order'!$A24=COLUMNS($A24:H43), H23&amp;RIGH"&amp;"T(INDIRECT(ADDRESS(ROW(H24)-1, 'From Order'!$A24)), 1), H23))"),"LHRBTVM")</f>
        <v>LHRBTVM</v>
      </c>
      <c r="I24" s="2" t="str">
        <f>IFERROR(__xludf.DUMMYFUNCTION("IF('From Order'!$A24=COLUMNS($A24:I43), LEFT(INDEX(FILTER(I$1:I23, I$1:I23&lt;&gt;""""),COUNTA(FILTER(I$1:I23, I$1:I23&lt;&gt;""""))), LEN(INDEX(FILTER(I$1:I23, I$1:I23&lt;&gt;""""),COUNTA(FILTER(I$1:I23, I$1:I23&lt;&gt;""""))))-1), IF('To Order'!$A24=COLUMNS($A24:I43), I23&amp;RIGH"&amp;"T(INDIRECT(ADDRESS(ROW(I24)-1, 'From Order'!$A24)), 1), I23))"),"QPDSVTDCQ")</f>
        <v>QPDSVTDCQ</v>
      </c>
    </row>
    <row r="25">
      <c r="A25" s="2" t="str">
        <f>IFERROR(__xludf.DUMMYFUNCTION("IF('From Order'!$A25=COLUMNS($A25:A44), LEFT(INDEX(FILTER(A$1:A24, A$1:A24&lt;&gt;""""),COUNTA(FILTER(A$1:A24, A$1:A24&lt;&gt;""""))), LEN(INDEX(FILTER(A$1:A24, A$1:A24&lt;&gt;""""),COUNTA(FILTER(A$1:A24, A$1:A24&lt;&gt;""""))))-1), IF('To Order'!$A25=COLUMNS($A25:A44), A24&amp;RIGH"&amp;"T(INDIRECT(ADDRESS(ROW(A25)-1, 'From Order'!$A25)), 1), A24))"),"")</f>
        <v/>
      </c>
      <c r="B25" s="2" t="str">
        <f>IFERROR(__xludf.DUMMYFUNCTION("IF('From Order'!$A25=COLUMNS($A25:B44), LEFT(INDEX(FILTER(B$1:B24, B$1:B24&lt;&gt;""""),COUNTA(FILTER(B$1:B24, B$1:B24&lt;&gt;""""))), LEN(INDEX(FILTER(B$1:B24, B$1:B24&lt;&gt;""""),COUNTA(FILTER(B$1:B24, B$1:B24&lt;&gt;""""))))-1), IF('To Order'!$A25=COLUMNS($A25:B44), B24&amp;RIGH"&amp;"T(INDIRECT(ADDRESS(ROW(B25)-1, 'From Order'!$A25)), 1), B24))"),"SWC")</f>
        <v>SWC</v>
      </c>
      <c r="C25" s="2" t="str">
        <f>IFERROR(__xludf.DUMMYFUNCTION("IF('From Order'!$A25=COLUMNS($A25:C44), LEFT(INDEX(FILTER(C$1:C24, C$1:C24&lt;&gt;""""),COUNTA(FILTER(C$1:C24, C$1:C24&lt;&gt;""""))), LEN(INDEX(FILTER(C$1:C24, C$1:C24&lt;&gt;""""),COUNTA(FILTER(C$1:C24, C$1:C24&lt;&gt;""""))))-1), IF('To Order'!$A25=COLUMNS($A25:C44), C24&amp;RIGH"&amp;"T(INDIRECT(ADDRESS(ROW(C25)-1, 'From Order'!$A25)), 1), C24))"),"RZTRTFMJDGWLJBR")</f>
        <v>RZTRTFMJDGWLJBR</v>
      </c>
      <c r="D25" s="2" t="str">
        <f>IFERROR(__xludf.DUMMYFUNCTION("IF('From Order'!$A25=COLUMNS($A25:D44), LEFT(INDEX(FILTER(D$1:D24, D$1:D24&lt;&gt;""""),COUNTA(FILTER(D$1:D24, D$1:D24&lt;&gt;""""))), LEN(INDEX(FILTER(D$1:D24, D$1:D24&lt;&gt;""""),COUNTA(FILTER(D$1:D24, D$1:D24&lt;&gt;""""))))-1), IF('To Order'!$A25=COLUMNS($A25:D44), D24&amp;RIGH"&amp;"T(INDIRECT(ADDRESS(ROW(D25)-1, 'From Order'!$A25)), 1), D24))"),"DTCHSPVMZDLTD")</f>
        <v>DTCHSPVMZDLTD</v>
      </c>
      <c r="E25" s="2" t="str">
        <f>IFERROR(__xludf.DUMMYFUNCTION("IF('From Order'!$A25=COLUMNS($A25:E44), LEFT(INDEX(FILTER(E$1:E24, E$1:E24&lt;&gt;""""),COUNTA(FILTER(E$1:E24, E$1:E24&lt;&gt;""""))), LEN(INDEX(FILTER(E$1:E24, E$1:E24&lt;&gt;""""),COUNTA(FILTER(E$1:E24, E$1:E24&lt;&gt;""""))))-1), IF('To Order'!$A25=COLUMNS($A25:E44), E24&amp;RIGH"&amp;"T(INDIRECT(ADDRESS(ROW(E25)-1, 'From Order'!$A25)), 1), E24))"),"GPB")</f>
        <v>GPB</v>
      </c>
      <c r="F25" s="2" t="str">
        <f>IFERROR(__xludf.DUMMYFUNCTION("IF('From Order'!$A25=COLUMNS($A25:F44), LEFT(INDEX(FILTER(F$1:F24, F$1:F24&lt;&gt;""""),COUNTA(FILTER(F$1:F24, F$1:F24&lt;&gt;""""))), LEN(INDEX(FILTER(F$1:F24, F$1:F24&lt;&gt;""""),COUNTA(FILTER(F$1:F24, F$1:F24&lt;&gt;""""))))-1), IF('To Order'!$A25=COLUMNS($A25:F44), F24&amp;RIGH"&amp;"T(INDIRECT(ADDRESS(ROW(F25)-1, 'From Order'!$A25)), 1), F24))"),"FBRZJ")</f>
        <v>FBRZJ</v>
      </c>
      <c r="G25" s="2" t="str">
        <f>IFERROR(__xludf.DUMMYFUNCTION("IF('From Order'!$A25=COLUMNS($A25:G44), LEFT(INDEX(FILTER(G$1:G24, G$1:G24&lt;&gt;""""),COUNTA(FILTER(G$1:G24, G$1:G24&lt;&gt;""""))), LEN(INDEX(FILTER(G$1:G24, G$1:G24&lt;&gt;""""),COUNTA(FILTER(G$1:G24, G$1:G24&lt;&gt;""""))))-1), IF('To Order'!$A25=COLUMNS($A25:G44), G24&amp;RIGH"&amp;"T(INDIRECT(ADDRESS(ROW(G25)-1, 'From Order'!$A25)), 1), G24))"),"S")</f>
        <v>S</v>
      </c>
      <c r="H25" s="2" t="str">
        <f>IFERROR(__xludf.DUMMYFUNCTION("IF('From Order'!$A25=COLUMNS($A25:H44), LEFT(INDEX(FILTER(H$1:H24, H$1:H24&lt;&gt;""""),COUNTA(FILTER(H$1:H24, H$1:H24&lt;&gt;""""))), LEN(INDEX(FILTER(H$1:H24, H$1:H24&lt;&gt;""""),COUNTA(FILTER(H$1:H24, H$1:H24&lt;&gt;""""))))-1), IF('To Order'!$A25=COLUMNS($A25:H44), H24&amp;RIGH"&amp;"T(INDIRECT(ADDRESS(ROW(H25)-1, 'From Order'!$A25)), 1), H24))"),"LHRBTVM")</f>
        <v>LHRBTVM</v>
      </c>
      <c r="I25" s="2" t="str">
        <f>IFERROR(__xludf.DUMMYFUNCTION("IF('From Order'!$A25=COLUMNS($A25:I44), LEFT(INDEX(FILTER(I$1:I24, I$1:I24&lt;&gt;""""),COUNTA(FILTER(I$1:I24, I$1:I24&lt;&gt;""""))), LEN(INDEX(FILTER(I$1:I24, I$1:I24&lt;&gt;""""),COUNTA(FILTER(I$1:I24, I$1:I24&lt;&gt;""""))))-1), IF('To Order'!$A25=COLUMNS($A25:I44), I24&amp;RIGH"&amp;"T(INDIRECT(ADDRESS(ROW(I25)-1, 'From Order'!$A25)), 1), I24))"),"QPDSVTDCQ")</f>
        <v>QPDSVTDCQ</v>
      </c>
    </row>
    <row r="26">
      <c r="A26" s="2" t="str">
        <f>IFERROR(__xludf.DUMMYFUNCTION("IF('From Order'!$A26=COLUMNS($A26:A45), LEFT(INDEX(FILTER(A$1:A25, A$1:A25&lt;&gt;""""),COUNTA(FILTER(A$1:A25, A$1:A25&lt;&gt;""""))), LEN(INDEX(FILTER(A$1:A25, A$1:A25&lt;&gt;""""),COUNTA(FILTER(A$1:A25, A$1:A25&lt;&gt;""""))))-1), IF('To Order'!$A26=COLUMNS($A26:A45), A25&amp;RIGH"&amp;"T(INDIRECT(ADDRESS(ROW(A26)-1, 'From Order'!$A26)), 1), A25))"),"")</f>
        <v/>
      </c>
      <c r="B26" s="2" t="str">
        <f>IFERROR(__xludf.DUMMYFUNCTION("IF('From Order'!$A26=COLUMNS($A26:B45), LEFT(INDEX(FILTER(B$1:B25, B$1:B25&lt;&gt;""""),COUNTA(FILTER(B$1:B25, B$1:B25&lt;&gt;""""))), LEN(INDEX(FILTER(B$1:B25, B$1:B25&lt;&gt;""""),COUNTA(FILTER(B$1:B25, B$1:B25&lt;&gt;""""))))-1), IF('To Order'!$A26=COLUMNS($A26:B45), B25&amp;RIGH"&amp;"T(INDIRECT(ADDRESS(ROW(B26)-1, 'From Order'!$A26)), 1), B25))"),"SWC")</f>
        <v>SWC</v>
      </c>
      <c r="C26" s="2" t="str">
        <f>IFERROR(__xludf.DUMMYFUNCTION("IF('From Order'!$A26=COLUMNS($A26:C45), LEFT(INDEX(FILTER(C$1:C25, C$1:C25&lt;&gt;""""),COUNTA(FILTER(C$1:C25, C$1:C25&lt;&gt;""""))), LEN(INDEX(FILTER(C$1:C25, C$1:C25&lt;&gt;""""),COUNTA(FILTER(C$1:C25, C$1:C25&lt;&gt;""""))))-1), IF('To Order'!$A26=COLUMNS($A26:C45), C25&amp;RIGH"&amp;"T(INDIRECT(ADDRESS(ROW(C26)-1, 'From Order'!$A26)), 1), C25))"),"RZTRTFMJDGWLJBR")</f>
        <v>RZTRTFMJDGWLJBR</v>
      </c>
      <c r="D26" s="2" t="str">
        <f>IFERROR(__xludf.DUMMYFUNCTION("IF('From Order'!$A26=COLUMNS($A26:D45), LEFT(INDEX(FILTER(D$1:D25, D$1:D25&lt;&gt;""""),COUNTA(FILTER(D$1:D25, D$1:D25&lt;&gt;""""))), LEN(INDEX(FILTER(D$1:D25, D$1:D25&lt;&gt;""""),COUNTA(FILTER(D$1:D25, D$1:D25&lt;&gt;""""))))-1), IF('To Order'!$A26=COLUMNS($A26:D45), D25&amp;RIGH"&amp;"T(INDIRECT(ADDRESS(ROW(D26)-1, 'From Order'!$A26)), 1), D25))"),"DTCHSPVMZDLTD")</f>
        <v>DTCHSPVMZDLTD</v>
      </c>
      <c r="E26" s="2" t="str">
        <f>IFERROR(__xludf.DUMMYFUNCTION("IF('From Order'!$A26=COLUMNS($A26:E45), LEFT(INDEX(FILTER(E$1:E25, E$1:E25&lt;&gt;""""),COUNTA(FILTER(E$1:E25, E$1:E25&lt;&gt;""""))), LEN(INDEX(FILTER(E$1:E25, E$1:E25&lt;&gt;""""),COUNTA(FILTER(E$1:E25, E$1:E25&lt;&gt;""""))))-1), IF('To Order'!$A26=COLUMNS($A26:E45), E25&amp;RIGH"&amp;"T(INDIRECT(ADDRESS(ROW(E26)-1, 'From Order'!$A26)), 1), E25))"),"GPBS")</f>
        <v>GPBS</v>
      </c>
      <c r="F26" s="2" t="str">
        <f>IFERROR(__xludf.DUMMYFUNCTION("IF('From Order'!$A26=COLUMNS($A26:F45), LEFT(INDEX(FILTER(F$1:F25, F$1:F25&lt;&gt;""""),COUNTA(FILTER(F$1:F25, F$1:F25&lt;&gt;""""))), LEN(INDEX(FILTER(F$1:F25, F$1:F25&lt;&gt;""""),COUNTA(FILTER(F$1:F25, F$1:F25&lt;&gt;""""))))-1), IF('To Order'!$A26=COLUMNS($A26:F45), F25&amp;RIGH"&amp;"T(INDIRECT(ADDRESS(ROW(F26)-1, 'From Order'!$A26)), 1), F25))"),"FBRZJ")</f>
        <v>FBRZJ</v>
      </c>
      <c r="G26" s="2" t="str">
        <f>IFERROR(__xludf.DUMMYFUNCTION("IF('From Order'!$A26=COLUMNS($A26:G45), LEFT(INDEX(FILTER(G$1:G25, G$1:G25&lt;&gt;""""),COUNTA(FILTER(G$1:G25, G$1:G25&lt;&gt;""""))), LEN(INDEX(FILTER(G$1:G25, G$1:G25&lt;&gt;""""),COUNTA(FILTER(G$1:G25, G$1:G25&lt;&gt;""""))))-1), IF('To Order'!$A26=COLUMNS($A26:G45), G25&amp;RIGH"&amp;"T(INDIRECT(ADDRESS(ROW(G26)-1, 'From Order'!$A26)), 1), G25))"),"")</f>
        <v/>
      </c>
      <c r="H26" s="2" t="str">
        <f>IFERROR(__xludf.DUMMYFUNCTION("IF('From Order'!$A26=COLUMNS($A26:H45), LEFT(INDEX(FILTER(H$1:H25, H$1:H25&lt;&gt;""""),COUNTA(FILTER(H$1:H25, H$1:H25&lt;&gt;""""))), LEN(INDEX(FILTER(H$1:H25, H$1:H25&lt;&gt;""""),COUNTA(FILTER(H$1:H25, H$1:H25&lt;&gt;""""))))-1), IF('To Order'!$A26=COLUMNS($A26:H45), H25&amp;RIGH"&amp;"T(INDIRECT(ADDRESS(ROW(H26)-1, 'From Order'!$A26)), 1), H25))"),"LHRBTVM")</f>
        <v>LHRBTVM</v>
      </c>
      <c r="I26" s="2" t="str">
        <f>IFERROR(__xludf.DUMMYFUNCTION("IF('From Order'!$A26=COLUMNS($A26:I45), LEFT(INDEX(FILTER(I$1:I25, I$1:I25&lt;&gt;""""),COUNTA(FILTER(I$1:I25, I$1:I25&lt;&gt;""""))), LEN(INDEX(FILTER(I$1:I25, I$1:I25&lt;&gt;""""),COUNTA(FILTER(I$1:I25, I$1:I25&lt;&gt;""""))))-1), IF('To Order'!$A26=COLUMNS($A26:I45), I25&amp;RIGH"&amp;"T(INDIRECT(ADDRESS(ROW(I26)-1, 'From Order'!$A26)), 1), I25))"),"QPDSVTDCQ")</f>
        <v>QPDSVTDCQ</v>
      </c>
    </row>
    <row r="27">
      <c r="A27" s="2" t="str">
        <f>IFERROR(__xludf.DUMMYFUNCTION("IF('From Order'!$A27=COLUMNS($A27:A46), LEFT(INDEX(FILTER(A$1:A26, A$1:A26&lt;&gt;""""),COUNTA(FILTER(A$1:A26, A$1:A26&lt;&gt;""""))), LEN(INDEX(FILTER(A$1:A26, A$1:A26&lt;&gt;""""),COUNTA(FILTER(A$1:A26, A$1:A26&lt;&gt;""""))))-1), IF('To Order'!$A27=COLUMNS($A27:A46), A26&amp;RIGH"&amp;"T(INDIRECT(ADDRESS(ROW(A27)-1, 'From Order'!$A27)), 1), A26))"),"")</f>
        <v/>
      </c>
      <c r="B27" s="2" t="str">
        <f>IFERROR(__xludf.DUMMYFUNCTION("IF('From Order'!$A27=COLUMNS($A27:B46), LEFT(INDEX(FILTER(B$1:B26, B$1:B26&lt;&gt;""""),COUNTA(FILTER(B$1:B26, B$1:B26&lt;&gt;""""))), LEN(INDEX(FILTER(B$1:B26, B$1:B26&lt;&gt;""""),COUNTA(FILTER(B$1:B26, B$1:B26&lt;&gt;""""))))-1), IF('To Order'!$A27=COLUMNS($A27:B46), B26&amp;RIGH"&amp;"T(INDIRECT(ADDRESS(ROW(B27)-1, 'From Order'!$A27)), 1), B26))"),"SWC")</f>
        <v>SWC</v>
      </c>
      <c r="C27" s="2" t="str">
        <f>IFERROR(__xludf.DUMMYFUNCTION("IF('From Order'!$A27=COLUMNS($A27:C46), LEFT(INDEX(FILTER(C$1:C26, C$1:C26&lt;&gt;""""),COUNTA(FILTER(C$1:C26, C$1:C26&lt;&gt;""""))), LEN(INDEX(FILTER(C$1:C26, C$1:C26&lt;&gt;""""),COUNTA(FILTER(C$1:C26, C$1:C26&lt;&gt;""""))))-1), IF('To Order'!$A27=COLUMNS($A27:C46), C26&amp;RIGH"&amp;"T(INDIRECT(ADDRESS(ROW(C27)-1, 'From Order'!$A27)), 1), C26))"),"RZTRTFMJDGWLJBR")</f>
        <v>RZTRTFMJDGWLJBR</v>
      </c>
      <c r="D27" s="2" t="str">
        <f>IFERROR(__xludf.DUMMYFUNCTION("IF('From Order'!$A27=COLUMNS($A27:D46), LEFT(INDEX(FILTER(D$1:D26, D$1:D26&lt;&gt;""""),COUNTA(FILTER(D$1:D26, D$1:D26&lt;&gt;""""))), LEN(INDEX(FILTER(D$1:D26, D$1:D26&lt;&gt;""""),COUNTA(FILTER(D$1:D26, D$1:D26&lt;&gt;""""))))-1), IF('To Order'!$A27=COLUMNS($A27:D46), D26&amp;RIGH"&amp;"T(INDIRECT(ADDRESS(ROW(D27)-1, 'From Order'!$A27)), 1), D26))"),"DTCHSPVMZDLTD")</f>
        <v>DTCHSPVMZDLTD</v>
      </c>
      <c r="E27" s="2" t="str">
        <f>IFERROR(__xludf.DUMMYFUNCTION("IF('From Order'!$A27=COLUMNS($A27:E46), LEFT(INDEX(FILTER(E$1:E26, E$1:E26&lt;&gt;""""),COUNTA(FILTER(E$1:E26, E$1:E26&lt;&gt;""""))), LEN(INDEX(FILTER(E$1:E26, E$1:E26&lt;&gt;""""),COUNTA(FILTER(E$1:E26, E$1:E26&lt;&gt;""""))))-1), IF('To Order'!$A27=COLUMNS($A27:E46), E26&amp;RIGH"&amp;"T(INDIRECT(ADDRESS(ROW(E27)-1, 'From Order'!$A27)), 1), E26))"),"GPB")</f>
        <v>GPB</v>
      </c>
      <c r="F27" s="2" t="str">
        <f>IFERROR(__xludf.DUMMYFUNCTION("IF('From Order'!$A27=COLUMNS($A27:F46), LEFT(INDEX(FILTER(F$1:F26, F$1:F26&lt;&gt;""""),COUNTA(FILTER(F$1:F26, F$1:F26&lt;&gt;""""))), LEN(INDEX(FILTER(F$1:F26, F$1:F26&lt;&gt;""""),COUNTA(FILTER(F$1:F26, F$1:F26&lt;&gt;""""))))-1), IF('To Order'!$A27=COLUMNS($A27:F46), F26&amp;RIGH"&amp;"T(INDIRECT(ADDRESS(ROW(F27)-1, 'From Order'!$A27)), 1), F26))"),"FBRZJ")</f>
        <v>FBRZJ</v>
      </c>
      <c r="G27" s="2" t="str">
        <f>IFERROR(__xludf.DUMMYFUNCTION("IF('From Order'!$A27=COLUMNS($A27:G46), LEFT(INDEX(FILTER(G$1:G26, G$1:G26&lt;&gt;""""),COUNTA(FILTER(G$1:G26, G$1:G26&lt;&gt;""""))), LEN(INDEX(FILTER(G$1:G26, G$1:G26&lt;&gt;""""),COUNTA(FILTER(G$1:G26, G$1:G26&lt;&gt;""""))))-1), IF('To Order'!$A27=COLUMNS($A27:G46), G26&amp;RIGH"&amp;"T(INDIRECT(ADDRESS(ROW(G27)-1, 'From Order'!$A27)), 1), G26))"),"S")</f>
        <v>S</v>
      </c>
      <c r="H27" s="2" t="str">
        <f>IFERROR(__xludf.DUMMYFUNCTION("IF('From Order'!$A27=COLUMNS($A27:H46), LEFT(INDEX(FILTER(H$1:H26, H$1:H26&lt;&gt;""""),COUNTA(FILTER(H$1:H26, H$1:H26&lt;&gt;""""))), LEN(INDEX(FILTER(H$1:H26, H$1:H26&lt;&gt;""""),COUNTA(FILTER(H$1:H26, H$1:H26&lt;&gt;""""))))-1), IF('To Order'!$A27=COLUMNS($A27:H46), H26&amp;RIGH"&amp;"T(INDIRECT(ADDRESS(ROW(H27)-1, 'From Order'!$A27)), 1), H26))"),"LHRBTVM")</f>
        <v>LHRBTVM</v>
      </c>
      <c r="I27" s="2" t="str">
        <f>IFERROR(__xludf.DUMMYFUNCTION("IF('From Order'!$A27=COLUMNS($A27:I46), LEFT(INDEX(FILTER(I$1:I26, I$1:I26&lt;&gt;""""),COUNTA(FILTER(I$1:I26, I$1:I26&lt;&gt;""""))), LEN(INDEX(FILTER(I$1:I26, I$1:I26&lt;&gt;""""),COUNTA(FILTER(I$1:I26, I$1:I26&lt;&gt;""""))))-1), IF('To Order'!$A27=COLUMNS($A27:I46), I26&amp;RIGH"&amp;"T(INDIRECT(ADDRESS(ROW(I27)-1, 'From Order'!$A27)), 1), I26))"),"QPDSVTDCQ")</f>
        <v>QPDSVTDCQ</v>
      </c>
    </row>
    <row r="28">
      <c r="A28" s="2" t="str">
        <f>IFERROR(__xludf.DUMMYFUNCTION("IF('From Order'!$A28=COLUMNS($A28:A47), LEFT(INDEX(FILTER(A$1:A27, A$1:A27&lt;&gt;""""),COUNTA(FILTER(A$1:A27, A$1:A27&lt;&gt;""""))), LEN(INDEX(FILTER(A$1:A27, A$1:A27&lt;&gt;""""),COUNTA(FILTER(A$1:A27, A$1:A27&lt;&gt;""""))))-1), IF('To Order'!$A28=COLUMNS($A28:A47), A27&amp;RIGH"&amp;"T(INDIRECT(ADDRESS(ROW(A28)-1, 'From Order'!$A28)), 1), A27))"),"")</f>
        <v/>
      </c>
      <c r="B28" s="2" t="str">
        <f>IFERROR(__xludf.DUMMYFUNCTION("IF('From Order'!$A28=COLUMNS($A28:B47), LEFT(INDEX(FILTER(B$1:B27, B$1:B27&lt;&gt;""""),COUNTA(FILTER(B$1:B27, B$1:B27&lt;&gt;""""))), LEN(INDEX(FILTER(B$1:B27, B$1:B27&lt;&gt;""""),COUNTA(FILTER(B$1:B27, B$1:B27&lt;&gt;""""))))-1), IF('To Order'!$A28=COLUMNS($A28:B47), B27&amp;RIGH"&amp;"T(INDIRECT(ADDRESS(ROW(B28)-1, 'From Order'!$A28)), 1), B27))"),"SWCS")</f>
        <v>SWCS</v>
      </c>
      <c r="C28" s="2" t="str">
        <f>IFERROR(__xludf.DUMMYFUNCTION("IF('From Order'!$A28=COLUMNS($A28:C47), LEFT(INDEX(FILTER(C$1:C27, C$1:C27&lt;&gt;""""),COUNTA(FILTER(C$1:C27, C$1:C27&lt;&gt;""""))), LEN(INDEX(FILTER(C$1:C27, C$1:C27&lt;&gt;""""),COUNTA(FILTER(C$1:C27, C$1:C27&lt;&gt;""""))))-1), IF('To Order'!$A28=COLUMNS($A28:C47), C27&amp;RIGH"&amp;"T(INDIRECT(ADDRESS(ROW(C28)-1, 'From Order'!$A28)), 1), C27))"),"RZTRTFMJDGWLJBR")</f>
        <v>RZTRTFMJDGWLJBR</v>
      </c>
      <c r="D28" s="2" t="str">
        <f>IFERROR(__xludf.DUMMYFUNCTION("IF('From Order'!$A28=COLUMNS($A28:D47), LEFT(INDEX(FILTER(D$1:D27, D$1:D27&lt;&gt;""""),COUNTA(FILTER(D$1:D27, D$1:D27&lt;&gt;""""))), LEN(INDEX(FILTER(D$1:D27, D$1:D27&lt;&gt;""""),COUNTA(FILTER(D$1:D27, D$1:D27&lt;&gt;""""))))-1), IF('To Order'!$A28=COLUMNS($A28:D47), D27&amp;RIGH"&amp;"T(INDIRECT(ADDRESS(ROW(D28)-1, 'From Order'!$A28)), 1), D27))"),"DTCHSPVMZDLTD")</f>
        <v>DTCHSPVMZDLTD</v>
      </c>
      <c r="E28" s="2" t="str">
        <f>IFERROR(__xludf.DUMMYFUNCTION("IF('From Order'!$A28=COLUMNS($A28:E47), LEFT(INDEX(FILTER(E$1:E27, E$1:E27&lt;&gt;""""),COUNTA(FILTER(E$1:E27, E$1:E27&lt;&gt;""""))), LEN(INDEX(FILTER(E$1:E27, E$1:E27&lt;&gt;""""),COUNTA(FILTER(E$1:E27, E$1:E27&lt;&gt;""""))))-1), IF('To Order'!$A28=COLUMNS($A28:E47), E27&amp;RIGH"&amp;"T(INDIRECT(ADDRESS(ROW(E28)-1, 'From Order'!$A28)), 1), E27))"),"GPB")</f>
        <v>GPB</v>
      </c>
      <c r="F28" s="2" t="str">
        <f>IFERROR(__xludf.DUMMYFUNCTION("IF('From Order'!$A28=COLUMNS($A28:F47), LEFT(INDEX(FILTER(F$1:F27, F$1:F27&lt;&gt;""""),COUNTA(FILTER(F$1:F27, F$1:F27&lt;&gt;""""))), LEN(INDEX(FILTER(F$1:F27, F$1:F27&lt;&gt;""""),COUNTA(FILTER(F$1:F27, F$1:F27&lt;&gt;""""))))-1), IF('To Order'!$A28=COLUMNS($A28:F47), F27&amp;RIGH"&amp;"T(INDIRECT(ADDRESS(ROW(F28)-1, 'From Order'!$A28)), 1), F27))"),"FBRZJ")</f>
        <v>FBRZJ</v>
      </c>
      <c r="G28" s="2" t="str">
        <f>IFERROR(__xludf.DUMMYFUNCTION("IF('From Order'!$A28=COLUMNS($A28:G47), LEFT(INDEX(FILTER(G$1:G27, G$1:G27&lt;&gt;""""),COUNTA(FILTER(G$1:G27, G$1:G27&lt;&gt;""""))), LEN(INDEX(FILTER(G$1:G27, G$1:G27&lt;&gt;""""),COUNTA(FILTER(G$1:G27, G$1:G27&lt;&gt;""""))))-1), IF('To Order'!$A28=COLUMNS($A28:G47), G27&amp;RIGH"&amp;"T(INDIRECT(ADDRESS(ROW(G28)-1, 'From Order'!$A28)), 1), G27))"),"")</f>
        <v/>
      </c>
      <c r="H28" s="2" t="str">
        <f>IFERROR(__xludf.DUMMYFUNCTION("IF('From Order'!$A28=COLUMNS($A28:H47), LEFT(INDEX(FILTER(H$1:H27, H$1:H27&lt;&gt;""""),COUNTA(FILTER(H$1:H27, H$1:H27&lt;&gt;""""))), LEN(INDEX(FILTER(H$1:H27, H$1:H27&lt;&gt;""""),COUNTA(FILTER(H$1:H27, H$1:H27&lt;&gt;""""))))-1), IF('To Order'!$A28=COLUMNS($A28:H47), H27&amp;RIGH"&amp;"T(INDIRECT(ADDRESS(ROW(H28)-1, 'From Order'!$A28)), 1), H27))"),"LHRBTVM")</f>
        <v>LHRBTVM</v>
      </c>
      <c r="I28" s="2" t="str">
        <f>IFERROR(__xludf.DUMMYFUNCTION("IF('From Order'!$A28=COLUMNS($A28:I47), LEFT(INDEX(FILTER(I$1:I27, I$1:I27&lt;&gt;""""),COUNTA(FILTER(I$1:I27, I$1:I27&lt;&gt;""""))), LEN(INDEX(FILTER(I$1:I27, I$1:I27&lt;&gt;""""),COUNTA(FILTER(I$1:I27, I$1:I27&lt;&gt;""""))))-1), IF('To Order'!$A28=COLUMNS($A28:I47), I27&amp;RIGH"&amp;"T(INDIRECT(ADDRESS(ROW(I28)-1, 'From Order'!$A28)), 1), I27))"),"QPDSVTDCQ")</f>
        <v>QPDSVTDCQ</v>
      </c>
    </row>
    <row r="29">
      <c r="A29" s="2" t="str">
        <f>IFERROR(__xludf.DUMMYFUNCTION("IF('From Order'!$A29=COLUMNS($A29:A48), LEFT(INDEX(FILTER(A$1:A28, A$1:A28&lt;&gt;""""),COUNTA(FILTER(A$1:A28, A$1:A28&lt;&gt;""""))), LEN(INDEX(FILTER(A$1:A28, A$1:A28&lt;&gt;""""),COUNTA(FILTER(A$1:A28, A$1:A28&lt;&gt;""""))))-1), IF('To Order'!$A29=COLUMNS($A29:A48), A28&amp;RIGH"&amp;"T(INDIRECT(ADDRESS(ROW(A29)-1, 'From Order'!$A29)), 1), A28))"),"")</f>
        <v/>
      </c>
      <c r="B29" s="2" t="str">
        <f>IFERROR(__xludf.DUMMYFUNCTION("IF('From Order'!$A29=COLUMNS($A29:B48), LEFT(INDEX(FILTER(B$1:B28, B$1:B28&lt;&gt;""""),COUNTA(FILTER(B$1:B28, B$1:B28&lt;&gt;""""))), LEN(INDEX(FILTER(B$1:B28, B$1:B28&lt;&gt;""""),COUNTA(FILTER(B$1:B28, B$1:B28&lt;&gt;""""))))-1), IF('To Order'!$A29=COLUMNS($A29:B48), B28&amp;RIGH"&amp;"T(INDIRECT(ADDRESS(ROW(B29)-1, 'From Order'!$A29)), 1), B28))"),"SWC")</f>
        <v>SWC</v>
      </c>
      <c r="C29" s="2" t="str">
        <f>IFERROR(__xludf.DUMMYFUNCTION("IF('From Order'!$A29=COLUMNS($A29:C48), LEFT(INDEX(FILTER(C$1:C28, C$1:C28&lt;&gt;""""),COUNTA(FILTER(C$1:C28, C$1:C28&lt;&gt;""""))), LEN(INDEX(FILTER(C$1:C28, C$1:C28&lt;&gt;""""),COUNTA(FILTER(C$1:C28, C$1:C28&lt;&gt;""""))))-1), IF('To Order'!$A29=COLUMNS($A29:C48), C28&amp;RIGH"&amp;"T(INDIRECT(ADDRESS(ROW(C29)-1, 'From Order'!$A29)), 1), C28))"),"RZTRTFMJDGWLJBR")</f>
        <v>RZTRTFMJDGWLJBR</v>
      </c>
      <c r="D29" s="2" t="str">
        <f>IFERROR(__xludf.DUMMYFUNCTION("IF('From Order'!$A29=COLUMNS($A29:D48), LEFT(INDEX(FILTER(D$1:D28, D$1:D28&lt;&gt;""""),COUNTA(FILTER(D$1:D28, D$1:D28&lt;&gt;""""))), LEN(INDEX(FILTER(D$1:D28, D$1:D28&lt;&gt;""""),COUNTA(FILTER(D$1:D28, D$1:D28&lt;&gt;""""))))-1), IF('To Order'!$A29=COLUMNS($A29:D48), D28&amp;RIGH"&amp;"T(INDIRECT(ADDRESS(ROW(D29)-1, 'From Order'!$A29)), 1), D28))"),"DTCHSPVMZDLTD")</f>
        <v>DTCHSPVMZDLTD</v>
      </c>
      <c r="E29" s="2" t="str">
        <f>IFERROR(__xludf.DUMMYFUNCTION("IF('From Order'!$A29=COLUMNS($A29:E48), LEFT(INDEX(FILTER(E$1:E28, E$1:E28&lt;&gt;""""),COUNTA(FILTER(E$1:E28, E$1:E28&lt;&gt;""""))), LEN(INDEX(FILTER(E$1:E28, E$1:E28&lt;&gt;""""),COUNTA(FILTER(E$1:E28, E$1:E28&lt;&gt;""""))))-1), IF('To Order'!$A29=COLUMNS($A29:E48), E28&amp;RIGH"&amp;"T(INDIRECT(ADDRESS(ROW(E29)-1, 'From Order'!$A29)), 1), E28))"),"GPBS")</f>
        <v>GPBS</v>
      </c>
      <c r="F29" s="2" t="str">
        <f>IFERROR(__xludf.DUMMYFUNCTION("IF('From Order'!$A29=COLUMNS($A29:F48), LEFT(INDEX(FILTER(F$1:F28, F$1:F28&lt;&gt;""""),COUNTA(FILTER(F$1:F28, F$1:F28&lt;&gt;""""))), LEN(INDEX(FILTER(F$1:F28, F$1:F28&lt;&gt;""""),COUNTA(FILTER(F$1:F28, F$1:F28&lt;&gt;""""))))-1), IF('To Order'!$A29=COLUMNS($A29:F48), F28&amp;RIGH"&amp;"T(INDIRECT(ADDRESS(ROW(F29)-1, 'From Order'!$A29)), 1), F28))"),"FBRZJ")</f>
        <v>FBRZJ</v>
      </c>
      <c r="G29" s="2" t="str">
        <f>IFERROR(__xludf.DUMMYFUNCTION("IF('From Order'!$A29=COLUMNS($A29:G48), LEFT(INDEX(FILTER(G$1:G28, G$1:G28&lt;&gt;""""),COUNTA(FILTER(G$1:G28, G$1:G28&lt;&gt;""""))), LEN(INDEX(FILTER(G$1:G28, G$1:G28&lt;&gt;""""),COUNTA(FILTER(G$1:G28, G$1:G28&lt;&gt;""""))))-1), IF('To Order'!$A29=COLUMNS($A29:G48), G28&amp;RIGH"&amp;"T(INDIRECT(ADDRESS(ROW(G29)-1, 'From Order'!$A29)), 1), G28))"),"")</f>
        <v/>
      </c>
      <c r="H29" s="2" t="str">
        <f>IFERROR(__xludf.DUMMYFUNCTION("IF('From Order'!$A29=COLUMNS($A29:H48), LEFT(INDEX(FILTER(H$1:H28, H$1:H28&lt;&gt;""""),COUNTA(FILTER(H$1:H28, H$1:H28&lt;&gt;""""))), LEN(INDEX(FILTER(H$1:H28, H$1:H28&lt;&gt;""""),COUNTA(FILTER(H$1:H28, H$1:H28&lt;&gt;""""))))-1), IF('To Order'!$A29=COLUMNS($A29:H48), H28&amp;RIGH"&amp;"T(INDIRECT(ADDRESS(ROW(H29)-1, 'From Order'!$A29)), 1), H28))"),"LHRBTVM")</f>
        <v>LHRBTVM</v>
      </c>
      <c r="I29" s="2" t="str">
        <f>IFERROR(__xludf.DUMMYFUNCTION("IF('From Order'!$A29=COLUMNS($A29:I48), LEFT(INDEX(FILTER(I$1:I28, I$1:I28&lt;&gt;""""),COUNTA(FILTER(I$1:I28, I$1:I28&lt;&gt;""""))), LEN(INDEX(FILTER(I$1:I28, I$1:I28&lt;&gt;""""),COUNTA(FILTER(I$1:I28, I$1:I28&lt;&gt;""""))))-1), IF('To Order'!$A29=COLUMNS($A29:I48), I28&amp;RIGH"&amp;"T(INDIRECT(ADDRESS(ROW(I29)-1, 'From Order'!$A29)), 1), I28))"),"QPDSVTDCQ")</f>
        <v>QPDSVTDCQ</v>
      </c>
    </row>
    <row r="30">
      <c r="A30" s="2" t="str">
        <f>IFERROR(__xludf.DUMMYFUNCTION("IF('From Order'!$A30=COLUMNS($A30:A49), LEFT(INDEX(FILTER(A$1:A29, A$1:A29&lt;&gt;""""),COUNTA(FILTER(A$1:A29, A$1:A29&lt;&gt;""""))), LEN(INDEX(FILTER(A$1:A29, A$1:A29&lt;&gt;""""),COUNTA(FILTER(A$1:A29, A$1:A29&lt;&gt;""""))))-1), IF('To Order'!$A30=COLUMNS($A30:A49), A29&amp;RIGH"&amp;"T(INDIRECT(ADDRESS(ROW(A30)-1, 'From Order'!$A30)), 1), A29))"),"")</f>
        <v/>
      </c>
      <c r="B30" s="2" t="str">
        <f>IFERROR(__xludf.DUMMYFUNCTION("IF('From Order'!$A30=COLUMNS($A30:B49), LEFT(INDEX(FILTER(B$1:B29, B$1:B29&lt;&gt;""""),COUNTA(FILTER(B$1:B29, B$1:B29&lt;&gt;""""))), LEN(INDEX(FILTER(B$1:B29, B$1:B29&lt;&gt;""""),COUNTA(FILTER(B$1:B29, B$1:B29&lt;&gt;""""))))-1), IF('To Order'!$A30=COLUMNS($A30:B49), B29&amp;RIGH"&amp;"T(INDIRECT(ADDRESS(ROW(B30)-1, 'From Order'!$A30)), 1), B29))"),"SW")</f>
        <v>SW</v>
      </c>
      <c r="C30" s="2" t="str">
        <f>IFERROR(__xludf.DUMMYFUNCTION("IF('From Order'!$A30=COLUMNS($A30:C49), LEFT(INDEX(FILTER(C$1:C29, C$1:C29&lt;&gt;""""),COUNTA(FILTER(C$1:C29, C$1:C29&lt;&gt;""""))), LEN(INDEX(FILTER(C$1:C29, C$1:C29&lt;&gt;""""),COUNTA(FILTER(C$1:C29, C$1:C29&lt;&gt;""""))))-1), IF('To Order'!$A30=COLUMNS($A30:C49), C29&amp;RIGH"&amp;"T(INDIRECT(ADDRESS(ROW(C30)-1, 'From Order'!$A30)), 1), C29))"),"RZTRTFMJDGWLJBR")</f>
        <v>RZTRTFMJDGWLJBR</v>
      </c>
      <c r="D30" s="2" t="str">
        <f>IFERROR(__xludf.DUMMYFUNCTION("IF('From Order'!$A30=COLUMNS($A30:D49), LEFT(INDEX(FILTER(D$1:D29, D$1:D29&lt;&gt;""""),COUNTA(FILTER(D$1:D29, D$1:D29&lt;&gt;""""))), LEN(INDEX(FILTER(D$1:D29, D$1:D29&lt;&gt;""""),COUNTA(FILTER(D$1:D29, D$1:D29&lt;&gt;""""))))-1), IF('To Order'!$A30=COLUMNS($A30:D49), D29&amp;RIGH"&amp;"T(INDIRECT(ADDRESS(ROW(D30)-1, 'From Order'!$A30)), 1), D29))"),"DTCHSPVMZDLTD")</f>
        <v>DTCHSPVMZDLTD</v>
      </c>
      <c r="E30" s="2" t="str">
        <f>IFERROR(__xludf.DUMMYFUNCTION("IF('From Order'!$A30=COLUMNS($A30:E49), LEFT(INDEX(FILTER(E$1:E29, E$1:E29&lt;&gt;""""),COUNTA(FILTER(E$1:E29, E$1:E29&lt;&gt;""""))), LEN(INDEX(FILTER(E$1:E29, E$1:E29&lt;&gt;""""),COUNTA(FILTER(E$1:E29, E$1:E29&lt;&gt;""""))))-1), IF('To Order'!$A30=COLUMNS($A30:E49), E29&amp;RIGH"&amp;"T(INDIRECT(ADDRESS(ROW(E30)-1, 'From Order'!$A30)), 1), E29))"),"GPBSC")</f>
        <v>GPBSC</v>
      </c>
      <c r="F30" s="2" t="str">
        <f>IFERROR(__xludf.DUMMYFUNCTION("IF('From Order'!$A30=COLUMNS($A30:F49), LEFT(INDEX(FILTER(F$1:F29, F$1:F29&lt;&gt;""""),COUNTA(FILTER(F$1:F29, F$1:F29&lt;&gt;""""))), LEN(INDEX(FILTER(F$1:F29, F$1:F29&lt;&gt;""""),COUNTA(FILTER(F$1:F29, F$1:F29&lt;&gt;""""))))-1), IF('To Order'!$A30=COLUMNS($A30:F49), F29&amp;RIGH"&amp;"T(INDIRECT(ADDRESS(ROW(F30)-1, 'From Order'!$A30)), 1), F29))"),"FBRZJ")</f>
        <v>FBRZJ</v>
      </c>
      <c r="G30" s="2" t="str">
        <f>IFERROR(__xludf.DUMMYFUNCTION("IF('From Order'!$A30=COLUMNS($A30:G49), LEFT(INDEX(FILTER(G$1:G29, G$1:G29&lt;&gt;""""),COUNTA(FILTER(G$1:G29, G$1:G29&lt;&gt;""""))), LEN(INDEX(FILTER(G$1:G29, G$1:G29&lt;&gt;""""),COUNTA(FILTER(G$1:G29, G$1:G29&lt;&gt;""""))))-1), IF('To Order'!$A30=COLUMNS($A30:G49), G29&amp;RIGH"&amp;"T(INDIRECT(ADDRESS(ROW(G30)-1, 'From Order'!$A30)), 1), G29))"),"")</f>
        <v/>
      </c>
      <c r="H30" s="2" t="str">
        <f>IFERROR(__xludf.DUMMYFUNCTION("IF('From Order'!$A30=COLUMNS($A30:H49), LEFT(INDEX(FILTER(H$1:H29, H$1:H29&lt;&gt;""""),COUNTA(FILTER(H$1:H29, H$1:H29&lt;&gt;""""))), LEN(INDEX(FILTER(H$1:H29, H$1:H29&lt;&gt;""""),COUNTA(FILTER(H$1:H29, H$1:H29&lt;&gt;""""))))-1), IF('To Order'!$A30=COLUMNS($A30:H49), H29&amp;RIGH"&amp;"T(INDIRECT(ADDRESS(ROW(H30)-1, 'From Order'!$A30)), 1), H29))"),"LHRBTVM")</f>
        <v>LHRBTVM</v>
      </c>
      <c r="I30" s="2" t="str">
        <f>IFERROR(__xludf.DUMMYFUNCTION("IF('From Order'!$A30=COLUMNS($A30:I49), LEFT(INDEX(FILTER(I$1:I29, I$1:I29&lt;&gt;""""),COUNTA(FILTER(I$1:I29, I$1:I29&lt;&gt;""""))), LEN(INDEX(FILTER(I$1:I29, I$1:I29&lt;&gt;""""),COUNTA(FILTER(I$1:I29, I$1:I29&lt;&gt;""""))))-1), IF('To Order'!$A30=COLUMNS($A30:I49), I29&amp;RIGH"&amp;"T(INDIRECT(ADDRESS(ROW(I30)-1, 'From Order'!$A30)), 1), I29))"),"QPDSVTDCQ")</f>
        <v>QPDSVTDCQ</v>
      </c>
    </row>
    <row r="31">
      <c r="A31" s="2" t="str">
        <f>IFERROR(__xludf.DUMMYFUNCTION("IF('From Order'!$A31=COLUMNS($A31:A50), LEFT(INDEX(FILTER(A$1:A30, A$1:A30&lt;&gt;""""),COUNTA(FILTER(A$1:A30, A$1:A30&lt;&gt;""""))), LEN(INDEX(FILTER(A$1:A30, A$1:A30&lt;&gt;""""),COUNTA(FILTER(A$1:A30, A$1:A30&lt;&gt;""""))))-1), IF('To Order'!$A31=COLUMNS($A31:A50), A30&amp;RIGH"&amp;"T(INDIRECT(ADDRESS(ROW(A31)-1, 'From Order'!$A31)), 1), A30))"),"")</f>
        <v/>
      </c>
      <c r="B31" s="2" t="str">
        <f>IFERROR(__xludf.DUMMYFUNCTION("IF('From Order'!$A31=COLUMNS($A31:B50), LEFT(INDEX(FILTER(B$1:B30, B$1:B30&lt;&gt;""""),COUNTA(FILTER(B$1:B30, B$1:B30&lt;&gt;""""))), LEN(INDEX(FILTER(B$1:B30, B$1:B30&lt;&gt;""""),COUNTA(FILTER(B$1:B30, B$1:B30&lt;&gt;""""))))-1), IF('To Order'!$A31=COLUMNS($A31:B50), B30&amp;RIGH"&amp;"T(INDIRECT(ADDRESS(ROW(B31)-1, 'From Order'!$A31)), 1), B30))"),"SW")</f>
        <v>SW</v>
      </c>
      <c r="C31" s="2" t="str">
        <f>IFERROR(__xludf.DUMMYFUNCTION("IF('From Order'!$A31=COLUMNS($A31:C50), LEFT(INDEX(FILTER(C$1:C30, C$1:C30&lt;&gt;""""),COUNTA(FILTER(C$1:C30, C$1:C30&lt;&gt;""""))), LEN(INDEX(FILTER(C$1:C30, C$1:C30&lt;&gt;""""),COUNTA(FILTER(C$1:C30, C$1:C30&lt;&gt;""""))))-1), IF('To Order'!$A31=COLUMNS($A31:C50), C30&amp;RIGH"&amp;"T(INDIRECT(ADDRESS(ROW(C31)-1, 'From Order'!$A31)), 1), C30))"),"RZTRTFMJDGWLJBRJ")</f>
        <v>RZTRTFMJDGWLJBRJ</v>
      </c>
      <c r="D31" s="2" t="str">
        <f>IFERROR(__xludf.DUMMYFUNCTION("IF('From Order'!$A31=COLUMNS($A31:D50), LEFT(INDEX(FILTER(D$1:D30, D$1:D30&lt;&gt;""""),COUNTA(FILTER(D$1:D30, D$1:D30&lt;&gt;""""))), LEN(INDEX(FILTER(D$1:D30, D$1:D30&lt;&gt;""""),COUNTA(FILTER(D$1:D30, D$1:D30&lt;&gt;""""))))-1), IF('To Order'!$A31=COLUMNS($A31:D50), D30&amp;RIGH"&amp;"T(INDIRECT(ADDRESS(ROW(D31)-1, 'From Order'!$A31)), 1), D30))"),"DTCHSPVMZDLTD")</f>
        <v>DTCHSPVMZDLTD</v>
      </c>
      <c r="E31" s="2" t="str">
        <f>IFERROR(__xludf.DUMMYFUNCTION("IF('From Order'!$A31=COLUMNS($A31:E50), LEFT(INDEX(FILTER(E$1:E30, E$1:E30&lt;&gt;""""),COUNTA(FILTER(E$1:E30, E$1:E30&lt;&gt;""""))), LEN(INDEX(FILTER(E$1:E30, E$1:E30&lt;&gt;""""),COUNTA(FILTER(E$1:E30, E$1:E30&lt;&gt;""""))))-1), IF('To Order'!$A31=COLUMNS($A31:E50), E30&amp;RIGH"&amp;"T(INDIRECT(ADDRESS(ROW(E31)-1, 'From Order'!$A31)), 1), E30))"),"GPBSC")</f>
        <v>GPBSC</v>
      </c>
      <c r="F31" s="2" t="str">
        <f>IFERROR(__xludf.DUMMYFUNCTION("IF('From Order'!$A31=COLUMNS($A31:F50), LEFT(INDEX(FILTER(F$1:F30, F$1:F30&lt;&gt;""""),COUNTA(FILTER(F$1:F30, F$1:F30&lt;&gt;""""))), LEN(INDEX(FILTER(F$1:F30, F$1:F30&lt;&gt;""""),COUNTA(FILTER(F$1:F30, F$1:F30&lt;&gt;""""))))-1), IF('To Order'!$A31=COLUMNS($A31:F50), F30&amp;RIGH"&amp;"T(INDIRECT(ADDRESS(ROW(F31)-1, 'From Order'!$A31)), 1), F30))"),"FBRZ")</f>
        <v>FBRZ</v>
      </c>
      <c r="G31" s="2" t="str">
        <f>IFERROR(__xludf.DUMMYFUNCTION("IF('From Order'!$A31=COLUMNS($A31:G50), LEFT(INDEX(FILTER(G$1:G30, G$1:G30&lt;&gt;""""),COUNTA(FILTER(G$1:G30, G$1:G30&lt;&gt;""""))), LEN(INDEX(FILTER(G$1:G30, G$1:G30&lt;&gt;""""),COUNTA(FILTER(G$1:G30, G$1:G30&lt;&gt;""""))))-1), IF('To Order'!$A31=COLUMNS($A31:G50), G30&amp;RIGH"&amp;"T(INDIRECT(ADDRESS(ROW(G31)-1, 'From Order'!$A31)), 1), G30))"),"")</f>
        <v/>
      </c>
      <c r="H31" s="2" t="str">
        <f>IFERROR(__xludf.DUMMYFUNCTION("IF('From Order'!$A31=COLUMNS($A31:H50), LEFT(INDEX(FILTER(H$1:H30, H$1:H30&lt;&gt;""""),COUNTA(FILTER(H$1:H30, H$1:H30&lt;&gt;""""))), LEN(INDEX(FILTER(H$1:H30, H$1:H30&lt;&gt;""""),COUNTA(FILTER(H$1:H30, H$1:H30&lt;&gt;""""))))-1), IF('To Order'!$A31=COLUMNS($A31:H50), H30&amp;RIGH"&amp;"T(INDIRECT(ADDRESS(ROW(H31)-1, 'From Order'!$A31)), 1), H30))"),"LHRBTVM")</f>
        <v>LHRBTVM</v>
      </c>
      <c r="I31" s="2" t="str">
        <f>IFERROR(__xludf.DUMMYFUNCTION("IF('From Order'!$A31=COLUMNS($A31:I50), LEFT(INDEX(FILTER(I$1:I30, I$1:I30&lt;&gt;""""),COUNTA(FILTER(I$1:I30, I$1:I30&lt;&gt;""""))), LEN(INDEX(FILTER(I$1:I30, I$1:I30&lt;&gt;""""),COUNTA(FILTER(I$1:I30, I$1:I30&lt;&gt;""""))))-1), IF('To Order'!$A31=COLUMNS($A31:I50), I30&amp;RIGH"&amp;"T(INDIRECT(ADDRESS(ROW(I31)-1, 'From Order'!$A31)), 1), I30))"),"QPDSVTDCQ")</f>
        <v>QPDSVTDCQ</v>
      </c>
    </row>
    <row r="32">
      <c r="A32" s="2" t="str">
        <f>IFERROR(__xludf.DUMMYFUNCTION("IF('From Order'!$A32=COLUMNS($A32:A51), LEFT(INDEX(FILTER(A$1:A31, A$1:A31&lt;&gt;""""),COUNTA(FILTER(A$1:A31, A$1:A31&lt;&gt;""""))), LEN(INDEX(FILTER(A$1:A31, A$1:A31&lt;&gt;""""),COUNTA(FILTER(A$1:A31, A$1:A31&lt;&gt;""""))))-1), IF('To Order'!$A32=COLUMNS($A32:A51), A31&amp;RIGH"&amp;"T(INDIRECT(ADDRESS(ROW(A32)-1, 'From Order'!$A32)), 1), A31))"),"")</f>
        <v/>
      </c>
      <c r="B32" s="2" t="str">
        <f>IFERROR(__xludf.DUMMYFUNCTION("IF('From Order'!$A32=COLUMNS($A32:B51), LEFT(INDEX(FILTER(B$1:B31, B$1:B31&lt;&gt;""""),COUNTA(FILTER(B$1:B31, B$1:B31&lt;&gt;""""))), LEN(INDEX(FILTER(B$1:B31, B$1:B31&lt;&gt;""""),COUNTA(FILTER(B$1:B31, B$1:B31&lt;&gt;""""))))-1), IF('To Order'!$A32=COLUMNS($A32:B51), B31&amp;RIGH"&amp;"T(INDIRECT(ADDRESS(ROW(B32)-1, 'From Order'!$A32)), 1), B31))"),"SW")</f>
        <v>SW</v>
      </c>
      <c r="C32" s="2" t="str">
        <f>IFERROR(__xludf.DUMMYFUNCTION("IF('From Order'!$A32=COLUMNS($A32:C51), LEFT(INDEX(FILTER(C$1:C31, C$1:C31&lt;&gt;""""),COUNTA(FILTER(C$1:C31, C$1:C31&lt;&gt;""""))), LEN(INDEX(FILTER(C$1:C31, C$1:C31&lt;&gt;""""),COUNTA(FILTER(C$1:C31, C$1:C31&lt;&gt;""""))))-1), IF('To Order'!$A32=COLUMNS($A32:C51), C31&amp;RIGH"&amp;"T(INDIRECT(ADDRESS(ROW(C32)-1, 'From Order'!$A32)), 1), C31))"),"RZTRTFMJDGWLJBRJZ")</f>
        <v>RZTRTFMJDGWLJBRJZ</v>
      </c>
      <c r="D32" s="2" t="str">
        <f>IFERROR(__xludf.DUMMYFUNCTION("IF('From Order'!$A32=COLUMNS($A32:D51), LEFT(INDEX(FILTER(D$1:D31, D$1:D31&lt;&gt;""""),COUNTA(FILTER(D$1:D31, D$1:D31&lt;&gt;""""))), LEN(INDEX(FILTER(D$1:D31, D$1:D31&lt;&gt;""""),COUNTA(FILTER(D$1:D31, D$1:D31&lt;&gt;""""))))-1), IF('To Order'!$A32=COLUMNS($A32:D51), D31&amp;RIGH"&amp;"T(INDIRECT(ADDRESS(ROW(D32)-1, 'From Order'!$A32)), 1), D31))"),"DTCHSPVMZDLTD")</f>
        <v>DTCHSPVMZDLTD</v>
      </c>
      <c r="E32" s="2" t="str">
        <f>IFERROR(__xludf.DUMMYFUNCTION("IF('From Order'!$A32=COLUMNS($A32:E51), LEFT(INDEX(FILTER(E$1:E31, E$1:E31&lt;&gt;""""),COUNTA(FILTER(E$1:E31, E$1:E31&lt;&gt;""""))), LEN(INDEX(FILTER(E$1:E31, E$1:E31&lt;&gt;""""),COUNTA(FILTER(E$1:E31, E$1:E31&lt;&gt;""""))))-1), IF('To Order'!$A32=COLUMNS($A32:E51), E31&amp;RIGH"&amp;"T(INDIRECT(ADDRESS(ROW(E32)-1, 'From Order'!$A32)), 1), E31))"),"GPBSC")</f>
        <v>GPBSC</v>
      </c>
      <c r="F32" s="2" t="str">
        <f>IFERROR(__xludf.DUMMYFUNCTION("IF('From Order'!$A32=COLUMNS($A32:F51), LEFT(INDEX(FILTER(F$1:F31, F$1:F31&lt;&gt;""""),COUNTA(FILTER(F$1:F31, F$1:F31&lt;&gt;""""))), LEN(INDEX(FILTER(F$1:F31, F$1:F31&lt;&gt;""""),COUNTA(FILTER(F$1:F31, F$1:F31&lt;&gt;""""))))-1), IF('To Order'!$A32=COLUMNS($A32:F51), F31&amp;RIGH"&amp;"T(INDIRECT(ADDRESS(ROW(F32)-1, 'From Order'!$A32)), 1), F31))"),"FBR")</f>
        <v>FBR</v>
      </c>
      <c r="G32" s="2" t="str">
        <f>IFERROR(__xludf.DUMMYFUNCTION("IF('From Order'!$A32=COLUMNS($A32:G51), LEFT(INDEX(FILTER(G$1:G31, G$1:G31&lt;&gt;""""),COUNTA(FILTER(G$1:G31, G$1:G31&lt;&gt;""""))), LEN(INDEX(FILTER(G$1:G31, G$1:G31&lt;&gt;""""),COUNTA(FILTER(G$1:G31, G$1:G31&lt;&gt;""""))))-1), IF('To Order'!$A32=COLUMNS($A32:G51), G31&amp;RIGH"&amp;"T(INDIRECT(ADDRESS(ROW(G32)-1, 'From Order'!$A32)), 1), G31))"),"")</f>
        <v/>
      </c>
      <c r="H32" s="2" t="str">
        <f>IFERROR(__xludf.DUMMYFUNCTION("IF('From Order'!$A32=COLUMNS($A32:H51), LEFT(INDEX(FILTER(H$1:H31, H$1:H31&lt;&gt;""""),COUNTA(FILTER(H$1:H31, H$1:H31&lt;&gt;""""))), LEN(INDEX(FILTER(H$1:H31, H$1:H31&lt;&gt;""""),COUNTA(FILTER(H$1:H31, H$1:H31&lt;&gt;""""))))-1), IF('To Order'!$A32=COLUMNS($A32:H51), H31&amp;RIGH"&amp;"T(INDIRECT(ADDRESS(ROW(H32)-1, 'From Order'!$A32)), 1), H31))"),"LHRBTVM")</f>
        <v>LHRBTVM</v>
      </c>
      <c r="I32" s="2" t="str">
        <f>IFERROR(__xludf.DUMMYFUNCTION("IF('From Order'!$A32=COLUMNS($A32:I51), LEFT(INDEX(FILTER(I$1:I31, I$1:I31&lt;&gt;""""),COUNTA(FILTER(I$1:I31, I$1:I31&lt;&gt;""""))), LEN(INDEX(FILTER(I$1:I31, I$1:I31&lt;&gt;""""),COUNTA(FILTER(I$1:I31, I$1:I31&lt;&gt;""""))))-1), IF('To Order'!$A32=COLUMNS($A32:I51), I31&amp;RIGH"&amp;"T(INDIRECT(ADDRESS(ROW(I32)-1, 'From Order'!$A32)), 1), I31))"),"QPDSVTDCQ")</f>
        <v>QPDSVTDCQ</v>
      </c>
    </row>
    <row r="33">
      <c r="A33" s="2" t="str">
        <f>IFERROR(__xludf.DUMMYFUNCTION("IF('From Order'!$A33=COLUMNS($A33:A52), LEFT(INDEX(FILTER(A$1:A32, A$1:A32&lt;&gt;""""),COUNTA(FILTER(A$1:A32, A$1:A32&lt;&gt;""""))), LEN(INDEX(FILTER(A$1:A32, A$1:A32&lt;&gt;""""),COUNTA(FILTER(A$1:A32, A$1:A32&lt;&gt;""""))))-1), IF('To Order'!$A33=COLUMNS($A33:A52), A32&amp;RIGH"&amp;"T(INDIRECT(ADDRESS(ROW(A33)-1, 'From Order'!$A33)), 1), A32))"),"")</f>
        <v/>
      </c>
      <c r="B33" s="2" t="str">
        <f>IFERROR(__xludf.DUMMYFUNCTION("IF('From Order'!$A33=COLUMNS($A33:B52), LEFT(INDEX(FILTER(B$1:B32, B$1:B32&lt;&gt;""""),COUNTA(FILTER(B$1:B32, B$1:B32&lt;&gt;""""))), LEN(INDEX(FILTER(B$1:B32, B$1:B32&lt;&gt;""""),COUNTA(FILTER(B$1:B32, B$1:B32&lt;&gt;""""))))-1), IF('To Order'!$A33=COLUMNS($A33:B52), B32&amp;RIGH"&amp;"T(INDIRECT(ADDRESS(ROW(B33)-1, 'From Order'!$A33)), 1), B32))"),"SW")</f>
        <v>SW</v>
      </c>
      <c r="C33" s="2" t="str">
        <f>IFERROR(__xludf.DUMMYFUNCTION("IF('From Order'!$A33=COLUMNS($A33:C52), LEFT(INDEX(FILTER(C$1:C32, C$1:C32&lt;&gt;""""),COUNTA(FILTER(C$1:C32, C$1:C32&lt;&gt;""""))), LEN(INDEX(FILTER(C$1:C32, C$1:C32&lt;&gt;""""),COUNTA(FILTER(C$1:C32, C$1:C32&lt;&gt;""""))))-1), IF('To Order'!$A33=COLUMNS($A33:C52), C32&amp;RIGH"&amp;"T(INDIRECT(ADDRESS(ROW(C33)-1, 'From Order'!$A33)), 1), C32))"),"RZTRTFMJDGWLJBRJZ")</f>
        <v>RZTRTFMJDGWLJBRJZ</v>
      </c>
      <c r="D33" s="2" t="str">
        <f>IFERROR(__xludf.DUMMYFUNCTION("IF('From Order'!$A33=COLUMNS($A33:D52), LEFT(INDEX(FILTER(D$1:D32, D$1:D32&lt;&gt;""""),COUNTA(FILTER(D$1:D32, D$1:D32&lt;&gt;""""))), LEN(INDEX(FILTER(D$1:D32, D$1:D32&lt;&gt;""""),COUNTA(FILTER(D$1:D32, D$1:D32&lt;&gt;""""))))-1), IF('To Order'!$A33=COLUMNS($A33:D52), D32&amp;RIGH"&amp;"T(INDIRECT(ADDRESS(ROW(D33)-1, 'From Order'!$A33)), 1), D32))"),"DTCHSPVMZDLTD")</f>
        <v>DTCHSPVMZDLTD</v>
      </c>
      <c r="E33" s="2" t="str">
        <f>IFERROR(__xludf.DUMMYFUNCTION("IF('From Order'!$A33=COLUMNS($A33:E52), LEFT(INDEX(FILTER(E$1:E32, E$1:E32&lt;&gt;""""),COUNTA(FILTER(E$1:E32, E$1:E32&lt;&gt;""""))), LEN(INDEX(FILTER(E$1:E32, E$1:E32&lt;&gt;""""),COUNTA(FILTER(E$1:E32, E$1:E32&lt;&gt;""""))))-1), IF('To Order'!$A33=COLUMNS($A33:E52), E32&amp;RIGH"&amp;"T(INDIRECT(ADDRESS(ROW(E33)-1, 'From Order'!$A33)), 1), E32))"),"GPBSC")</f>
        <v>GPBSC</v>
      </c>
      <c r="F33" s="2" t="str">
        <f>IFERROR(__xludf.DUMMYFUNCTION("IF('From Order'!$A33=COLUMNS($A33:F52), LEFT(INDEX(FILTER(F$1:F32, F$1:F32&lt;&gt;""""),COUNTA(FILTER(F$1:F32, F$1:F32&lt;&gt;""""))), LEN(INDEX(FILTER(F$1:F32, F$1:F32&lt;&gt;""""),COUNTA(FILTER(F$1:F32, F$1:F32&lt;&gt;""""))))-1), IF('To Order'!$A33=COLUMNS($A33:F52), F32&amp;RIGH"&amp;"T(INDIRECT(ADDRESS(ROW(F33)-1, 'From Order'!$A33)), 1), F32))"),"FBR")</f>
        <v>FBR</v>
      </c>
      <c r="G33" s="2" t="str">
        <f>IFERROR(__xludf.DUMMYFUNCTION("IF('From Order'!$A33=COLUMNS($A33:G52), LEFT(INDEX(FILTER(G$1:G32, G$1:G32&lt;&gt;""""),COUNTA(FILTER(G$1:G32, G$1:G32&lt;&gt;""""))), LEN(INDEX(FILTER(G$1:G32, G$1:G32&lt;&gt;""""),COUNTA(FILTER(G$1:G32, G$1:G32&lt;&gt;""""))))-1), IF('To Order'!$A33=COLUMNS($A33:G52), G32&amp;RIGH"&amp;"T(INDIRECT(ADDRESS(ROW(G33)-1, 'From Order'!$A33)), 1), G32))"),"")</f>
        <v/>
      </c>
      <c r="H33" s="2" t="str">
        <f>IFERROR(__xludf.DUMMYFUNCTION("IF('From Order'!$A33=COLUMNS($A33:H52), LEFT(INDEX(FILTER(H$1:H32, H$1:H32&lt;&gt;""""),COUNTA(FILTER(H$1:H32, H$1:H32&lt;&gt;""""))), LEN(INDEX(FILTER(H$1:H32, H$1:H32&lt;&gt;""""),COUNTA(FILTER(H$1:H32, H$1:H32&lt;&gt;""""))))-1), IF('To Order'!$A33=COLUMNS($A33:H52), H32&amp;RIGH"&amp;"T(INDIRECT(ADDRESS(ROW(H33)-1, 'From Order'!$A33)), 1), H32))"),"LHRBTV")</f>
        <v>LHRBTV</v>
      </c>
      <c r="I33" s="2" t="str">
        <f>IFERROR(__xludf.DUMMYFUNCTION("IF('From Order'!$A33=COLUMNS($A33:I52), LEFT(INDEX(FILTER(I$1:I32, I$1:I32&lt;&gt;""""),COUNTA(FILTER(I$1:I32, I$1:I32&lt;&gt;""""))), LEN(INDEX(FILTER(I$1:I32, I$1:I32&lt;&gt;""""),COUNTA(FILTER(I$1:I32, I$1:I32&lt;&gt;""""))))-1), IF('To Order'!$A33=COLUMNS($A33:I52), I32&amp;RIGH"&amp;"T(INDIRECT(ADDRESS(ROW(I33)-1, 'From Order'!$A33)), 1), I32))"),"QPDSVTDCQM")</f>
        <v>QPDSVTDCQM</v>
      </c>
    </row>
    <row r="34">
      <c r="A34" s="2" t="str">
        <f>IFERROR(__xludf.DUMMYFUNCTION("IF('From Order'!$A34=COLUMNS($A34:A53), LEFT(INDEX(FILTER(A$1:A33, A$1:A33&lt;&gt;""""),COUNTA(FILTER(A$1:A33, A$1:A33&lt;&gt;""""))), LEN(INDEX(FILTER(A$1:A33, A$1:A33&lt;&gt;""""),COUNTA(FILTER(A$1:A33, A$1:A33&lt;&gt;""""))))-1), IF('To Order'!$A34=COLUMNS($A34:A53), A33&amp;RIGH"&amp;"T(INDIRECT(ADDRESS(ROW(A34)-1, 'From Order'!$A34)), 1), A33))"),"")</f>
        <v/>
      </c>
      <c r="B34" s="2" t="str">
        <f>IFERROR(__xludf.DUMMYFUNCTION("IF('From Order'!$A34=COLUMNS($A34:B53), LEFT(INDEX(FILTER(B$1:B33, B$1:B33&lt;&gt;""""),COUNTA(FILTER(B$1:B33, B$1:B33&lt;&gt;""""))), LEN(INDEX(FILTER(B$1:B33, B$1:B33&lt;&gt;""""),COUNTA(FILTER(B$1:B33, B$1:B33&lt;&gt;""""))))-1), IF('To Order'!$A34=COLUMNS($A34:B53), B33&amp;RIGH"&amp;"T(INDIRECT(ADDRESS(ROW(B34)-1, 'From Order'!$A34)), 1), B33))"),"SW")</f>
        <v>SW</v>
      </c>
      <c r="C34" s="2" t="str">
        <f>IFERROR(__xludf.DUMMYFUNCTION("IF('From Order'!$A34=COLUMNS($A34:C53), LEFT(INDEX(FILTER(C$1:C33, C$1:C33&lt;&gt;""""),COUNTA(FILTER(C$1:C33, C$1:C33&lt;&gt;""""))), LEN(INDEX(FILTER(C$1:C33, C$1:C33&lt;&gt;""""),COUNTA(FILTER(C$1:C33, C$1:C33&lt;&gt;""""))))-1), IF('To Order'!$A34=COLUMNS($A34:C53), C33&amp;RIGH"&amp;"T(INDIRECT(ADDRESS(ROW(C34)-1, 'From Order'!$A34)), 1), C33))"),"RZTRTFMJDGWLJBRJZ")</f>
        <v>RZTRTFMJDGWLJBRJZ</v>
      </c>
      <c r="D34" s="2" t="str">
        <f>IFERROR(__xludf.DUMMYFUNCTION("IF('From Order'!$A34=COLUMNS($A34:D53), LEFT(INDEX(FILTER(D$1:D33, D$1:D33&lt;&gt;""""),COUNTA(FILTER(D$1:D33, D$1:D33&lt;&gt;""""))), LEN(INDEX(FILTER(D$1:D33, D$1:D33&lt;&gt;""""),COUNTA(FILTER(D$1:D33, D$1:D33&lt;&gt;""""))))-1), IF('To Order'!$A34=COLUMNS($A34:D53), D33&amp;RIGH"&amp;"T(INDIRECT(ADDRESS(ROW(D34)-1, 'From Order'!$A34)), 1), D33))"),"DTCHSPVMZDLTD")</f>
        <v>DTCHSPVMZDLTD</v>
      </c>
      <c r="E34" s="2" t="str">
        <f>IFERROR(__xludf.DUMMYFUNCTION("IF('From Order'!$A34=COLUMNS($A34:E53), LEFT(INDEX(FILTER(E$1:E33, E$1:E33&lt;&gt;""""),COUNTA(FILTER(E$1:E33, E$1:E33&lt;&gt;""""))), LEN(INDEX(FILTER(E$1:E33, E$1:E33&lt;&gt;""""),COUNTA(FILTER(E$1:E33, E$1:E33&lt;&gt;""""))))-1), IF('To Order'!$A34=COLUMNS($A34:E53), E33&amp;RIGH"&amp;"T(INDIRECT(ADDRESS(ROW(E34)-1, 'From Order'!$A34)), 1), E33))"),"GPBSC")</f>
        <v>GPBSC</v>
      </c>
      <c r="F34" s="2" t="str">
        <f>IFERROR(__xludf.DUMMYFUNCTION("IF('From Order'!$A34=COLUMNS($A34:F53), LEFT(INDEX(FILTER(F$1:F33, F$1:F33&lt;&gt;""""),COUNTA(FILTER(F$1:F33, F$1:F33&lt;&gt;""""))), LEN(INDEX(FILTER(F$1:F33, F$1:F33&lt;&gt;""""),COUNTA(FILTER(F$1:F33, F$1:F33&lt;&gt;""""))))-1), IF('To Order'!$A34=COLUMNS($A34:F53), F33&amp;RIGH"&amp;"T(INDIRECT(ADDRESS(ROW(F34)-1, 'From Order'!$A34)), 1), F33))"),"FBR")</f>
        <v>FBR</v>
      </c>
      <c r="G34" s="2" t="str">
        <f>IFERROR(__xludf.DUMMYFUNCTION("IF('From Order'!$A34=COLUMNS($A34:G53), LEFT(INDEX(FILTER(G$1:G33, G$1:G33&lt;&gt;""""),COUNTA(FILTER(G$1:G33, G$1:G33&lt;&gt;""""))), LEN(INDEX(FILTER(G$1:G33, G$1:G33&lt;&gt;""""),COUNTA(FILTER(G$1:G33, G$1:G33&lt;&gt;""""))))-1), IF('To Order'!$A34=COLUMNS($A34:G53), G33&amp;RIGH"&amp;"T(INDIRECT(ADDRESS(ROW(G34)-1, 'From Order'!$A34)), 1), G33))"),"")</f>
        <v/>
      </c>
      <c r="H34" s="2" t="str">
        <f>IFERROR(__xludf.DUMMYFUNCTION("IF('From Order'!$A34=COLUMNS($A34:H53), LEFT(INDEX(FILTER(H$1:H33, H$1:H33&lt;&gt;""""),COUNTA(FILTER(H$1:H33, H$1:H33&lt;&gt;""""))), LEN(INDEX(FILTER(H$1:H33, H$1:H33&lt;&gt;""""),COUNTA(FILTER(H$1:H33, H$1:H33&lt;&gt;""""))))-1), IF('To Order'!$A34=COLUMNS($A34:H53), H33&amp;RIGH"&amp;"T(INDIRECT(ADDRESS(ROW(H34)-1, 'From Order'!$A34)), 1), H33))"),"LHRBT")</f>
        <v>LHRBT</v>
      </c>
      <c r="I34" s="2" t="str">
        <f>IFERROR(__xludf.DUMMYFUNCTION("IF('From Order'!$A34=COLUMNS($A34:I53), LEFT(INDEX(FILTER(I$1:I33, I$1:I33&lt;&gt;""""),COUNTA(FILTER(I$1:I33, I$1:I33&lt;&gt;""""))), LEN(INDEX(FILTER(I$1:I33, I$1:I33&lt;&gt;""""),COUNTA(FILTER(I$1:I33, I$1:I33&lt;&gt;""""))))-1), IF('To Order'!$A34=COLUMNS($A34:I53), I33&amp;RIGH"&amp;"T(INDIRECT(ADDRESS(ROW(I34)-1, 'From Order'!$A34)), 1), I33))"),"QPDSVTDCQMV")</f>
        <v>QPDSVTDCQMV</v>
      </c>
    </row>
    <row r="35">
      <c r="A35" s="2" t="str">
        <f>IFERROR(__xludf.DUMMYFUNCTION("IF('From Order'!$A35=COLUMNS($A35:A54), LEFT(INDEX(FILTER(A$1:A34, A$1:A34&lt;&gt;""""),COUNTA(FILTER(A$1:A34, A$1:A34&lt;&gt;""""))), LEN(INDEX(FILTER(A$1:A34, A$1:A34&lt;&gt;""""),COUNTA(FILTER(A$1:A34, A$1:A34&lt;&gt;""""))))-1), IF('To Order'!$A35=COLUMNS($A35:A54), A34&amp;RIGH"&amp;"T(INDIRECT(ADDRESS(ROW(A35)-1, 'From Order'!$A35)), 1), A34))"),"")</f>
        <v/>
      </c>
      <c r="B35" s="2" t="str">
        <f>IFERROR(__xludf.DUMMYFUNCTION("IF('From Order'!$A35=COLUMNS($A35:B54), LEFT(INDEX(FILTER(B$1:B34, B$1:B34&lt;&gt;""""),COUNTA(FILTER(B$1:B34, B$1:B34&lt;&gt;""""))), LEN(INDEX(FILTER(B$1:B34, B$1:B34&lt;&gt;""""),COUNTA(FILTER(B$1:B34, B$1:B34&lt;&gt;""""))))-1), IF('To Order'!$A35=COLUMNS($A35:B54), B34&amp;RIGH"&amp;"T(INDIRECT(ADDRESS(ROW(B35)-1, 'From Order'!$A35)), 1), B34))"),"SW")</f>
        <v>SW</v>
      </c>
      <c r="C35" s="2" t="str">
        <f>IFERROR(__xludf.DUMMYFUNCTION("IF('From Order'!$A35=COLUMNS($A35:C54), LEFT(INDEX(FILTER(C$1:C34, C$1:C34&lt;&gt;""""),COUNTA(FILTER(C$1:C34, C$1:C34&lt;&gt;""""))), LEN(INDEX(FILTER(C$1:C34, C$1:C34&lt;&gt;""""),COUNTA(FILTER(C$1:C34, C$1:C34&lt;&gt;""""))))-1), IF('To Order'!$A35=COLUMNS($A35:C54), C34&amp;RIGH"&amp;"T(INDIRECT(ADDRESS(ROW(C35)-1, 'From Order'!$A35)), 1), C34))"),"RZTRTFMJDGWLJBRJZ")</f>
        <v>RZTRTFMJDGWLJBRJZ</v>
      </c>
      <c r="D35" s="2" t="str">
        <f>IFERROR(__xludf.DUMMYFUNCTION("IF('From Order'!$A35=COLUMNS($A35:D54), LEFT(INDEX(FILTER(D$1:D34, D$1:D34&lt;&gt;""""),COUNTA(FILTER(D$1:D34, D$1:D34&lt;&gt;""""))), LEN(INDEX(FILTER(D$1:D34, D$1:D34&lt;&gt;""""),COUNTA(FILTER(D$1:D34, D$1:D34&lt;&gt;""""))))-1), IF('To Order'!$A35=COLUMNS($A35:D54), D34&amp;RIGH"&amp;"T(INDIRECT(ADDRESS(ROW(D35)-1, 'From Order'!$A35)), 1), D34))"),"DTCHSPVMZDLTD")</f>
        <v>DTCHSPVMZDLTD</v>
      </c>
      <c r="E35" s="2" t="str">
        <f>IFERROR(__xludf.DUMMYFUNCTION("IF('From Order'!$A35=COLUMNS($A35:E54), LEFT(INDEX(FILTER(E$1:E34, E$1:E34&lt;&gt;""""),COUNTA(FILTER(E$1:E34, E$1:E34&lt;&gt;""""))), LEN(INDEX(FILTER(E$1:E34, E$1:E34&lt;&gt;""""),COUNTA(FILTER(E$1:E34, E$1:E34&lt;&gt;""""))))-1), IF('To Order'!$A35=COLUMNS($A35:E54), E34&amp;RIGH"&amp;"T(INDIRECT(ADDRESS(ROW(E35)-1, 'From Order'!$A35)), 1), E34))"),"GPBSC")</f>
        <v>GPBSC</v>
      </c>
      <c r="F35" s="2" t="str">
        <f>IFERROR(__xludf.DUMMYFUNCTION("IF('From Order'!$A35=COLUMNS($A35:F54), LEFT(INDEX(FILTER(F$1:F34, F$1:F34&lt;&gt;""""),COUNTA(FILTER(F$1:F34, F$1:F34&lt;&gt;""""))), LEN(INDEX(FILTER(F$1:F34, F$1:F34&lt;&gt;""""),COUNTA(FILTER(F$1:F34, F$1:F34&lt;&gt;""""))))-1), IF('To Order'!$A35=COLUMNS($A35:F54), F34&amp;RIGH"&amp;"T(INDIRECT(ADDRESS(ROW(F35)-1, 'From Order'!$A35)), 1), F34))"),"FBR")</f>
        <v>FBR</v>
      </c>
      <c r="G35" s="2" t="str">
        <f>IFERROR(__xludf.DUMMYFUNCTION("IF('From Order'!$A35=COLUMNS($A35:G54), LEFT(INDEX(FILTER(G$1:G34, G$1:G34&lt;&gt;""""),COUNTA(FILTER(G$1:G34, G$1:G34&lt;&gt;""""))), LEN(INDEX(FILTER(G$1:G34, G$1:G34&lt;&gt;""""),COUNTA(FILTER(G$1:G34, G$1:G34&lt;&gt;""""))))-1), IF('To Order'!$A35=COLUMNS($A35:G54), G34&amp;RIGH"&amp;"T(INDIRECT(ADDRESS(ROW(G35)-1, 'From Order'!$A35)), 1), G34))"),"")</f>
        <v/>
      </c>
      <c r="H35" s="2" t="str">
        <f>IFERROR(__xludf.DUMMYFUNCTION("IF('From Order'!$A35=COLUMNS($A35:H54), LEFT(INDEX(FILTER(H$1:H34, H$1:H34&lt;&gt;""""),COUNTA(FILTER(H$1:H34, H$1:H34&lt;&gt;""""))), LEN(INDEX(FILTER(H$1:H34, H$1:H34&lt;&gt;""""),COUNTA(FILTER(H$1:H34, H$1:H34&lt;&gt;""""))))-1), IF('To Order'!$A35=COLUMNS($A35:H54), H34&amp;RIGH"&amp;"T(INDIRECT(ADDRESS(ROW(H35)-1, 'From Order'!$A35)), 1), H34))"),"LHRB")</f>
        <v>LHRB</v>
      </c>
      <c r="I35" s="2" t="str">
        <f>IFERROR(__xludf.DUMMYFUNCTION("IF('From Order'!$A35=COLUMNS($A35:I54), LEFT(INDEX(FILTER(I$1:I34, I$1:I34&lt;&gt;""""),COUNTA(FILTER(I$1:I34, I$1:I34&lt;&gt;""""))), LEN(INDEX(FILTER(I$1:I34, I$1:I34&lt;&gt;""""),COUNTA(FILTER(I$1:I34, I$1:I34&lt;&gt;""""))))-1), IF('To Order'!$A35=COLUMNS($A35:I54), I34&amp;RIGH"&amp;"T(INDIRECT(ADDRESS(ROW(I35)-1, 'From Order'!$A35)), 1), I34))"),"QPDSVTDCQMVT")</f>
        <v>QPDSVTDCQMVT</v>
      </c>
    </row>
    <row r="36">
      <c r="A36" s="2" t="str">
        <f>IFERROR(__xludf.DUMMYFUNCTION("IF('From Order'!$A36=COLUMNS($A36:A55), LEFT(INDEX(FILTER(A$1:A35, A$1:A35&lt;&gt;""""),COUNTA(FILTER(A$1:A35, A$1:A35&lt;&gt;""""))), LEN(INDEX(FILTER(A$1:A35, A$1:A35&lt;&gt;""""),COUNTA(FILTER(A$1:A35, A$1:A35&lt;&gt;""""))))-1), IF('To Order'!$A36=COLUMNS($A36:A55), A35&amp;RIGH"&amp;"T(INDIRECT(ADDRESS(ROW(A36)-1, 'From Order'!$A36)), 1), A35))"),"")</f>
        <v/>
      </c>
      <c r="B36" s="2" t="str">
        <f>IFERROR(__xludf.DUMMYFUNCTION("IF('From Order'!$A36=COLUMNS($A36:B55), LEFT(INDEX(FILTER(B$1:B35, B$1:B35&lt;&gt;""""),COUNTA(FILTER(B$1:B35, B$1:B35&lt;&gt;""""))), LEN(INDEX(FILTER(B$1:B35, B$1:B35&lt;&gt;""""),COUNTA(FILTER(B$1:B35, B$1:B35&lt;&gt;""""))))-1), IF('To Order'!$A36=COLUMNS($A36:B55), B35&amp;RIGH"&amp;"T(INDIRECT(ADDRESS(ROW(B36)-1, 'From Order'!$A36)), 1), B35))"),"SW")</f>
        <v>SW</v>
      </c>
      <c r="C36" s="2" t="str">
        <f>IFERROR(__xludf.DUMMYFUNCTION("IF('From Order'!$A36=COLUMNS($A36:C55), LEFT(INDEX(FILTER(C$1:C35, C$1:C35&lt;&gt;""""),COUNTA(FILTER(C$1:C35, C$1:C35&lt;&gt;""""))), LEN(INDEX(FILTER(C$1:C35, C$1:C35&lt;&gt;""""),COUNTA(FILTER(C$1:C35, C$1:C35&lt;&gt;""""))))-1), IF('To Order'!$A36=COLUMNS($A36:C55), C35&amp;RIGH"&amp;"T(INDIRECT(ADDRESS(ROW(C36)-1, 'From Order'!$A36)), 1), C35))"),"RZTRTFMJDGWLJBRJZ")</f>
        <v>RZTRTFMJDGWLJBRJZ</v>
      </c>
      <c r="D36" s="2" t="str">
        <f>IFERROR(__xludf.DUMMYFUNCTION("IF('From Order'!$A36=COLUMNS($A36:D55), LEFT(INDEX(FILTER(D$1:D35, D$1:D35&lt;&gt;""""),COUNTA(FILTER(D$1:D35, D$1:D35&lt;&gt;""""))), LEN(INDEX(FILTER(D$1:D35, D$1:D35&lt;&gt;""""),COUNTA(FILTER(D$1:D35, D$1:D35&lt;&gt;""""))))-1), IF('To Order'!$A36=COLUMNS($A36:D55), D35&amp;RIGH"&amp;"T(INDIRECT(ADDRESS(ROW(D36)-1, 'From Order'!$A36)), 1), D35))"),"DTCHSPVMZDLTD")</f>
        <v>DTCHSPVMZDLTD</v>
      </c>
      <c r="E36" s="2" t="str">
        <f>IFERROR(__xludf.DUMMYFUNCTION("IF('From Order'!$A36=COLUMNS($A36:E55), LEFT(INDEX(FILTER(E$1:E35, E$1:E35&lt;&gt;""""),COUNTA(FILTER(E$1:E35, E$1:E35&lt;&gt;""""))), LEN(INDEX(FILTER(E$1:E35, E$1:E35&lt;&gt;""""),COUNTA(FILTER(E$1:E35, E$1:E35&lt;&gt;""""))))-1), IF('To Order'!$A36=COLUMNS($A36:E55), E35&amp;RIGH"&amp;"T(INDIRECT(ADDRESS(ROW(E36)-1, 'From Order'!$A36)), 1), E35))"),"GPBSC")</f>
        <v>GPBSC</v>
      </c>
      <c r="F36" s="2" t="str">
        <f>IFERROR(__xludf.DUMMYFUNCTION("IF('From Order'!$A36=COLUMNS($A36:F55), LEFT(INDEX(FILTER(F$1:F35, F$1:F35&lt;&gt;""""),COUNTA(FILTER(F$1:F35, F$1:F35&lt;&gt;""""))), LEN(INDEX(FILTER(F$1:F35, F$1:F35&lt;&gt;""""),COUNTA(FILTER(F$1:F35, F$1:F35&lt;&gt;""""))))-1), IF('To Order'!$A36=COLUMNS($A36:F55), F35&amp;RIGH"&amp;"T(INDIRECT(ADDRESS(ROW(F36)-1, 'From Order'!$A36)), 1), F35))"),"FBR")</f>
        <v>FBR</v>
      </c>
      <c r="G36" s="2" t="str">
        <f>IFERROR(__xludf.DUMMYFUNCTION("IF('From Order'!$A36=COLUMNS($A36:G55), LEFT(INDEX(FILTER(G$1:G35, G$1:G35&lt;&gt;""""),COUNTA(FILTER(G$1:G35, G$1:G35&lt;&gt;""""))), LEN(INDEX(FILTER(G$1:G35, G$1:G35&lt;&gt;""""),COUNTA(FILTER(G$1:G35, G$1:G35&lt;&gt;""""))))-1), IF('To Order'!$A36=COLUMNS($A36:G55), G35&amp;RIGH"&amp;"T(INDIRECT(ADDRESS(ROW(G36)-1, 'From Order'!$A36)), 1), G35))"),"")</f>
        <v/>
      </c>
      <c r="H36" s="2" t="str">
        <f>IFERROR(__xludf.DUMMYFUNCTION("IF('From Order'!$A36=COLUMNS($A36:H55), LEFT(INDEX(FILTER(H$1:H35, H$1:H35&lt;&gt;""""),COUNTA(FILTER(H$1:H35, H$1:H35&lt;&gt;""""))), LEN(INDEX(FILTER(H$1:H35, H$1:H35&lt;&gt;""""),COUNTA(FILTER(H$1:H35, H$1:H35&lt;&gt;""""))))-1), IF('To Order'!$A36=COLUMNS($A36:H55), H35&amp;RIGH"&amp;"T(INDIRECT(ADDRESS(ROW(H36)-1, 'From Order'!$A36)), 1), H35))"),"LHR")</f>
        <v>LHR</v>
      </c>
      <c r="I36" s="2" t="str">
        <f>IFERROR(__xludf.DUMMYFUNCTION("IF('From Order'!$A36=COLUMNS($A36:I55), LEFT(INDEX(FILTER(I$1:I35, I$1:I35&lt;&gt;""""),COUNTA(FILTER(I$1:I35, I$1:I35&lt;&gt;""""))), LEN(INDEX(FILTER(I$1:I35, I$1:I35&lt;&gt;""""),COUNTA(FILTER(I$1:I35, I$1:I35&lt;&gt;""""))))-1), IF('To Order'!$A36=COLUMNS($A36:I55), I35&amp;RIGH"&amp;"T(INDIRECT(ADDRESS(ROW(I36)-1, 'From Order'!$A36)), 1), I35))"),"QPDSVTDCQMVTB")</f>
        <v>QPDSVTDCQMVTB</v>
      </c>
    </row>
    <row r="37">
      <c r="A37" s="2" t="str">
        <f>IFERROR(__xludf.DUMMYFUNCTION("IF('From Order'!$A37=COLUMNS($A37:A56), LEFT(INDEX(FILTER(A$1:A36, A$1:A36&lt;&gt;""""),COUNTA(FILTER(A$1:A36, A$1:A36&lt;&gt;""""))), LEN(INDEX(FILTER(A$1:A36, A$1:A36&lt;&gt;""""),COUNTA(FILTER(A$1:A36, A$1:A36&lt;&gt;""""))))-1), IF('To Order'!$A37=COLUMNS($A37:A56), A36&amp;RIGH"&amp;"T(INDIRECT(ADDRESS(ROW(A37)-1, 'From Order'!$A37)), 1), A36))"),"")</f>
        <v/>
      </c>
      <c r="B37" s="2" t="str">
        <f>IFERROR(__xludf.DUMMYFUNCTION("IF('From Order'!$A37=COLUMNS($A37:B56), LEFT(INDEX(FILTER(B$1:B36, B$1:B36&lt;&gt;""""),COUNTA(FILTER(B$1:B36, B$1:B36&lt;&gt;""""))), LEN(INDEX(FILTER(B$1:B36, B$1:B36&lt;&gt;""""),COUNTA(FILTER(B$1:B36, B$1:B36&lt;&gt;""""))))-1), IF('To Order'!$A37=COLUMNS($A37:B56), B36&amp;RIGH"&amp;"T(INDIRECT(ADDRESS(ROW(B37)-1, 'From Order'!$A37)), 1), B36))"),"SW")</f>
        <v>SW</v>
      </c>
      <c r="C37" s="2" t="str">
        <f>IFERROR(__xludf.DUMMYFUNCTION("IF('From Order'!$A37=COLUMNS($A37:C56), LEFT(INDEX(FILTER(C$1:C36, C$1:C36&lt;&gt;""""),COUNTA(FILTER(C$1:C36, C$1:C36&lt;&gt;""""))), LEN(INDEX(FILTER(C$1:C36, C$1:C36&lt;&gt;""""),COUNTA(FILTER(C$1:C36, C$1:C36&lt;&gt;""""))))-1), IF('To Order'!$A37=COLUMNS($A37:C56), C36&amp;RIGH"&amp;"T(INDIRECT(ADDRESS(ROW(C37)-1, 'From Order'!$A37)), 1), C36))"),"RZTRTFMJDGWLJBRJZ")</f>
        <v>RZTRTFMJDGWLJBRJZ</v>
      </c>
      <c r="D37" s="2" t="str">
        <f>IFERROR(__xludf.DUMMYFUNCTION("IF('From Order'!$A37=COLUMNS($A37:D56), LEFT(INDEX(FILTER(D$1:D36, D$1:D36&lt;&gt;""""),COUNTA(FILTER(D$1:D36, D$1:D36&lt;&gt;""""))), LEN(INDEX(FILTER(D$1:D36, D$1:D36&lt;&gt;""""),COUNTA(FILTER(D$1:D36, D$1:D36&lt;&gt;""""))))-1), IF('To Order'!$A37=COLUMNS($A37:D56), D36&amp;RIGH"&amp;"T(INDIRECT(ADDRESS(ROW(D37)-1, 'From Order'!$A37)), 1), D36))"),"DTCHSPVMZDLTD")</f>
        <v>DTCHSPVMZDLTD</v>
      </c>
      <c r="E37" s="2" t="str">
        <f>IFERROR(__xludf.DUMMYFUNCTION("IF('From Order'!$A37=COLUMNS($A37:E56), LEFT(INDEX(FILTER(E$1:E36, E$1:E36&lt;&gt;""""),COUNTA(FILTER(E$1:E36, E$1:E36&lt;&gt;""""))), LEN(INDEX(FILTER(E$1:E36, E$1:E36&lt;&gt;""""),COUNTA(FILTER(E$1:E36, E$1:E36&lt;&gt;""""))))-1), IF('To Order'!$A37=COLUMNS($A37:E56), E36&amp;RIGH"&amp;"T(INDIRECT(ADDRESS(ROW(E37)-1, 'From Order'!$A37)), 1), E36))"),"GPBSC")</f>
        <v>GPBSC</v>
      </c>
      <c r="F37" s="2" t="str">
        <f>IFERROR(__xludf.DUMMYFUNCTION("IF('From Order'!$A37=COLUMNS($A37:F56), LEFT(INDEX(FILTER(F$1:F36, F$1:F36&lt;&gt;""""),COUNTA(FILTER(F$1:F36, F$1:F36&lt;&gt;""""))), LEN(INDEX(FILTER(F$1:F36, F$1:F36&lt;&gt;""""),COUNTA(FILTER(F$1:F36, F$1:F36&lt;&gt;""""))))-1), IF('To Order'!$A37=COLUMNS($A37:F56), F36&amp;RIGH"&amp;"T(INDIRECT(ADDRESS(ROW(F37)-1, 'From Order'!$A37)), 1), F36))"),"FBR")</f>
        <v>FBR</v>
      </c>
      <c r="G37" s="2" t="str">
        <f>IFERROR(__xludf.DUMMYFUNCTION("IF('From Order'!$A37=COLUMNS($A37:G56), LEFT(INDEX(FILTER(G$1:G36, G$1:G36&lt;&gt;""""),COUNTA(FILTER(G$1:G36, G$1:G36&lt;&gt;""""))), LEN(INDEX(FILTER(G$1:G36, G$1:G36&lt;&gt;""""),COUNTA(FILTER(G$1:G36, G$1:G36&lt;&gt;""""))))-1), IF('To Order'!$A37=COLUMNS($A37:G56), G36&amp;RIGH"&amp;"T(INDIRECT(ADDRESS(ROW(G37)-1, 'From Order'!$A37)), 1), G36))"),"")</f>
        <v/>
      </c>
      <c r="H37" s="2" t="str">
        <f>IFERROR(__xludf.DUMMYFUNCTION("IF('From Order'!$A37=COLUMNS($A37:H56), LEFT(INDEX(FILTER(H$1:H36, H$1:H36&lt;&gt;""""),COUNTA(FILTER(H$1:H36, H$1:H36&lt;&gt;""""))), LEN(INDEX(FILTER(H$1:H36, H$1:H36&lt;&gt;""""),COUNTA(FILTER(H$1:H36, H$1:H36&lt;&gt;""""))))-1), IF('To Order'!$A37=COLUMNS($A37:H56), H36&amp;RIGH"&amp;"T(INDIRECT(ADDRESS(ROW(H37)-1, 'From Order'!$A37)), 1), H36))"),"LH")</f>
        <v>LH</v>
      </c>
      <c r="I37" s="2" t="str">
        <f>IFERROR(__xludf.DUMMYFUNCTION("IF('From Order'!$A37=COLUMNS($A37:I56), LEFT(INDEX(FILTER(I$1:I36, I$1:I36&lt;&gt;""""),COUNTA(FILTER(I$1:I36, I$1:I36&lt;&gt;""""))), LEN(INDEX(FILTER(I$1:I36, I$1:I36&lt;&gt;""""),COUNTA(FILTER(I$1:I36, I$1:I36&lt;&gt;""""))))-1), IF('To Order'!$A37=COLUMNS($A37:I56), I36&amp;RIGH"&amp;"T(INDIRECT(ADDRESS(ROW(I37)-1, 'From Order'!$A37)), 1), I36))"),"QPDSVTDCQMVTBR")</f>
        <v>QPDSVTDCQMVTBR</v>
      </c>
    </row>
    <row r="38">
      <c r="A38" s="2" t="str">
        <f>IFERROR(__xludf.DUMMYFUNCTION("IF('From Order'!$A38=COLUMNS($A38:A57), LEFT(INDEX(FILTER(A$1:A37, A$1:A37&lt;&gt;""""),COUNTA(FILTER(A$1:A37, A$1:A37&lt;&gt;""""))), LEN(INDEX(FILTER(A$1:A37, A$1:A37&lt;&gt;""""),COUNTA(FILTER(A$1:A37, A$1:A37&lt;&gt;""""))))-1), IF('To Order'!$A38=COLUMNS($A38:A57), A37&amp;RIGH"&amp;"T(INDIRECT(ADDRESS(ROW(A38)-1, 'From Order'!$A38)), 1), A37))"),"")</f>
        <v/>
      </c>
      <c r="B38" s="2" t="str">
        <f>IFERROR(__xludf.DUMMYFUNCTION("IF('From Order'!$A38=COLUMNS($A38:B57), LEFT(INDEX(FILTER(B$1:B37, B$1:B37&lt;&gt;""""),COUNTA(FILTER(B$1:B37, B$1:B37&lt;&gt;""""))), LEN(INDEX(FILTER(B$1:B37, B$1:B37&lt;&gt;""""),COUNTA(FILTER(B$1:B37, B$1:B37&lt;&gt;""""))))-1), IF('To Order'!$A38=COLUMNS($A38:B57), B37&amp;RIGH"&amp;"T(INDIRECT(ADDRESS(ROW(B38)-1, 'From Order'!$A38)), 1), B37))"),"SW")</f>
        <v>SW</v>
      </c>
      <c r="C38" s="2" t="str">
        <f>IFERROR(__xludf.DUMMYFUNCTION("IF('From Order'!$A38=COLUMNS($A38:C57), LEFT(INDEX(FILTER(C$1:C37, C$1:C37&lt;&gt;""""),COUNTA(FILTER(C$1:C37, C$1:C37&lt;&gt;""""))), LEN(INDEX(FILTER(C$1:C37, C$1:C37&lt;&gt;""""),COUNTA(FILTER(C$1:C37, C$1:C37&lt;&gt;""""))))-1), IF('To Order'!$A38=COLUMNS($A38:C57), C37&amp;RIGH"&amp;"T(INDIRECT(ADDRESS(ROW(C38)-1, 'From Order'!$A38)), 1), C37))"),"RZTRTFMJDGWLJBRJZ")</f>
        <v>RZTRTFMJDGWLJBRJZ</v>
      </c>
      <c r="D38" s="2" t="str">
        <f>IFERROR(__xludf.DUMMYFUNCTION("IF('From Order'!$A38=COLUMNS($A38:D57), LEFT(INDEX(FILTER(D$1:D37, D$1:D37&lt;&gt;""""),COUNTA(FILTER(D$1:D37, D$1:D37&lt;&gt;""""))), LEN(INDEX(FILTER(D$1:D37, D$1:D37&lt;&gt;""""),COUNTA(FILTER(D$1:D37, D$1:D37&lt;&gt;""""))))-1), IF('To Order'!$A38=COLUMNS($A38:D57), D37&amp;RIGH"&amp;"T(INDIRECT(ADDRESS(ROW(D38)-1, 'From Order'!$A38)), 1), D37))"),"DTCHSPVMZDLTD")</f>
        <v>DTCHSPVMZDLTD</v>
      </c>
      <c r="E38" s="2" t="str">
        <f>IFERROR(__xludf.DUMMYFUNCTION("IF('From Order'!$A38=COLUMNS($A38:E57), LEFT(INDEX(FILTER(E$1:E37, E$1:E37&lt;&gt;""""),COUNTA(FILTER(E$1:E37, E$1:E37&lt;&gt;""""))), LEN(INDEX(FILTER(E$1:E37, E$1:E37&lt;&gt;""""),COUNTA(FILTER(E$1:E37, E$1:E37&lt;&gt;""""))))-1), IF('To Order'!$A38=COLUMNS($A38:E57), E37&amp;RIGH"&amp;"T(INDIRECT(ADDRESS(ROW(E38)-1, 'From Order'!$A38)), 1), E37))"),"GPBSC")</f>
        <v>GPBSC</v>
      </c>
      <c r="F38" s="2" t="str">
        <f>IFERROR(__xludf.DUMMYFUNCTION("IF('From Order'!$A38=COLUMNS($A38:F57), LEFT(INDEX(FILTER(F$1:F37, F$1:F37&lt;&gt;""""),COUNTA(FILTER(F$1:F37, F$1:F37&lt;&gt;""""))), LEN(INDEX(FILTER(F$1:F37, F$1:F37&lt;&gt;""""),COUNTA(FILTER(F$1:F37, F$1:F37&lt;&gt;""""))))-1), IF('To Order'!$A38=COLUMNS($A38:F57), F37&amp;RIGH"&amp;"T(INDIRECT(ADDRESS(ROW(F38)-1, 'From Order'!$A38)), 1), F37))"),"FBR")</f>
        <v>FBR</v>
      </c>
      <c r="G38" s="2" t="str">
        <f>IFERROR(__xludf.DUMMYFUNCTION("IF('From Order'!$A38=COLUMNS($A38:G57), LEFT(INDEX(FILTER(G$1:G37, G$1:G37&lt;&gt;""""),COUNTA(FILTER(G$1:G37, G$1:G37&lt;&gt;""""))), LEN(INDEX(FILTER(G$1:G37, G$1:G37&lt;&gt;""""),COUNTA(FILTER(G$1:G37, G$1:G37&lt;&gt;""""))))-1), IF('To Order'!$A38=COLUMNS($A38:G57), G37&amp;RIGH"&amp;"T(INDIRECT(ADDRESS(ROW(G38)-1, 'From Order'!$A38)), 1), G37))"),"")</f>
        <v/>
      </c>
      <c r="H38" s="2" t="str">
        <f>IFERROR(__xludf.DUMMYFUNCTION("IF('From Order'!$A38=COLUMNS($A38:H57), LEFT(INDEX(FILTER(H$1:H37, H$1:H37&lt;&gt;""""),COUNTA(FILTER(H$1:H37, H$1:H37&lt;&gt;""""))), LEN(INDEX(FILTER(H$1:H37, H$1:H37&lt;&gt;""""),COUNTA(FILTER(H$1:H37, H$1:H37&lt;&gt;""""))))-1), IF('To Order'!$A38=COLUMNS($A38:H57), H37&amp;RIGH"&amp;"T(INDIRECT(ADDRESS(ROW(H38)-1, 'From Order'!$A38)), 1), H37))"),"L")</f>
        <v>L</v>
      </c>
      <c r="I38" s="2" t="str">
        <f>IFERROR(__xludf.DUMMYFUNCTION("IF('From Order'!$A38=COLUMNS($A38:I57), LEFT(INDEX(FILTER(I$1:I37, I$1:I37&lt;&gt;""""),COUNTA(FILTER(I$1:I37, I$1:I37&lt;&gt;""""))), LEN(INDEX(FILTER(I$1:I37, I$1:I37&lt;&gt;""""),COUNTA(FILTER(I$1:I37, I$1:I37&lt;&gt;""""))))-1), IF('To Order'!$A38=COLUMNS($A38:I57), I37&amp;RIGH"&amp;"T(INDIRECT(ADDRESS(ROW(I38)-1, 'From Order'!$A38)), 1), I37))"),"QPDSVTDCQMVTBRH")</f>
        <v>QPDSVTDCQMVTBRH</v>
      </c>
    </row>
    <row r="39">
      <c r="A39" s="2" t="str">
        <f>IFERROR(__xludf.DUMMYFUNCTION("IF('From Order'!$A39=COLUMNS($A39:A58), LEFT(INDEX(FILTER(A$1:A38, A$1:A38&lt;&gt;""""),COUNTA(FILTER(A$1:A38, A$1:A38&lt;&gt;""""))), LEN(INDEX(FILTER(A$1:A38, A$1:A38&lt;&gt;""""),COUNTA(FILTER(A$1:A38, A$1:A38&lt;&gt;""""))))-1), IF('To Order'!$A39=COLUMNS($A39:A58), A38&amp;RIGH"&amp;"T(INDIRECT(ADDRESS(ROW(A39)-1, 'From Order'!$A39)), 1), A38))"),"")</f>
        <v/>
      </c>
      <c r="B39" s="2" t="str">
        <f>IFERROR(__xludf.DUMMYFUNCTION("IF('From Order'!$A39=COLUMNS($A39:B58), LEFT(INDEX(FILTER(B$1:B38, B$1:B38&lt;&gt;""""),COUNTA(FILTER(B$1:B38, B$1:B38&lt;&gt;""""))), LEN(INDEX(FILTER(B$1:B38, B$1:B38&lt;&gt;""""),COUNTA(FILTER(B$1:B38, B$1:B38&lt;&gt;""""))))-1), IF('To Order'!$A39=COLUMNS($A39:B58), B38&amp;RIGH"&amp;"T(INDIRECT(ADDRESS(ROW(B39)-1, 'From Order'!$A39)), 1), B38))"),"SW")</f>
        <v>SW</v>
      </c>
      <c r="C39" s="2" t="str">
        <f>IFERROR(__xludf.DUMMYFUNCTION("IF('From Order'!$A39=COLUMNS($A39:C58), LEFT(INDEX(FILTER(C$1:C38, C$1:C38&lt;&gt;""""),COUNTA(FILTER(C$1:C38, C$1:C38&lt;&gt;""""))), LEN(INDEX(FILTER(C$1:C38, C$1:C38&lt;&gt;""""),COUNTA(FILTER(C$1:C38, C$1:C38&lt;&gt;""""))))-1), IF('To Order'!$A39=COLUMNS($A39:C58), C38&amp;RIGH"&amp;"T(INDIRECT(ADDRESS(ROW(C39)-1, 'From Order'!$A39)), 1), C38))"),"RZTRTFMJDGWLJBRJ")</f>
        <v>RZTRTFMJDGWLJBRJ</v>
      </c>
      <c r="D39" s="2" t="str">
        <f>IFERROR(__xludf.DUMMYFUNCTION("IF('From Order'!$A39=COLUMNS($A39:D58), LEFT(INDEX(FILTER(D$1:D38, D$1:D38&lt;&gt;""""),COUNTA(FILTER(D$1:D38, D$1:D38&lt;&gt;""""))), LEN(INDEX(FILTER(D$1:D38, D$1:D38&lt;&gt;""""),COUNTA(FILTER(D$1:D38, D$1:D38&lt;&gt;""""))))-1), IF('To Order'!$A39=COLUMNS($A39:D58), D38&amp;RIGH"&amp;"T(INDIRECT(ADDRESS(ROW(D39)-1, 'From Order'!$A39)), 1), D38))"),"DTCHSPVMZDLTD")</f>
        <v>DTCHSPVMZDLTD</v>
      </c>
      <c r="E39" s="2" t="str">
        <f>IFERROR(__xludf.DUMMYFUNCTION("IF('From Order'!$A39=COLUMNS($A39:E58), LEFT(INDEX(FILTER(E$1:E38, E$1:E38&lt;&gt;""""),COUNTA(FILTER(E$1:E38, E$1:E38&lt;&gt;""""))), LEN(INDEX(FILTER(E$1:E38, E$1:E38&lt;&gt;""""),COUNTA(FILTER(E$1:E38, E$1:E38&lt;&gt;""""))))-1), IF('To Order'!$A39=COLUMNS($A39:E58), E38&amp;RIGH"&amp;"T(INDIRECT(ADDRESS(ROW(E39)-1, 'From Order'!$A39)), 1), E38))"),"GPBSC")</f>
        <v>GPBSC</v>
      </c>
      <c r="F39" s="2" t="str">
        <f>IFERROR(__xludf.DUMMYFUNCTION("IF('From Order'!$A39=COLUMNS($A39:F58), LEFT(INDEX(FILTER(F$1:F38, F$1:F38&lt;&gt;""""),COUNTA(FILTER(F$1:F38, F$1:F38&lt;&gt;""""))), LEN(INDEX(FILTER(F$1:F38, F$1:F38&lt;&gt;""""),COUNTA(FILTER(F$1:F38, F$1:F38&lt;&gt;""""))))-1), IF('To Order'!$A39=COLUMNS($A39:F58), F38&amp;RIGH"&amp;"T(INDIRECT(ADDRESS(ROW(F39)-1, 'From Order'!$A39)), 1), F38))"),"FBR")</f>
        <v>FBR</v>
      </c>
      <c r="G39" s="2" t="str">
        <f>IFERROR(__xludf.DUMMYFUNCTION("IF('From Order'!$A39=COLUMNS($A39:G58), LEFT(INDEX(FILTER(G$1:G38, G$1:G38&lt;&gt;""""),COUNTA(FILTER(G$1:G38, G$1:G38&lt;&gt;""""))), LEN(INDEX(FILTER(G$1:G38, G$1:G38&lt;&gt;""""),COUNTA(FILTER(G$1:G38, G$1:G38&lt;&gt;""""))))-1), IF('To Order'!$A39=COLUMNS($A39:G58), G38&amp;RIGH"&amp;"T(INDIRECT(ADDRESS(ROW(G39)-1, 'From Order'!$A39)), 1), G38))"),"")</f>
        <v/>
      </c>
      <c r="H39" s="2" t="str">
        <f>IFERROR(__xludf.DUMMYFUNCTION("IF('From Order'!$A39=COLUMNS($A39:H58), LEFT(INDEX(FILTER(H$1:H38, H$1:H38&lt;&gt;""""),COUNTA(FILTER(H$1:H38, H$1:H38&lt;&gt;""""))), LEN(INDEX(FILTER(H$1:H38, H$1:H38&lt;&gt;""""),COUNTA(FILTER(H$1:H38, H$1:H38&lt;&gt;""""))))-1), IF('To Order'!$A39=COLUMNS($A39:H58), H38&amp;RIGH"&amp;"T(INDIRECT(ADDRESS(ROW(H39)-1, 'From Order'!$A39)), 1), H38))"),"L")</f>
        <v>L</v>
      </c>
      <c r="I39" s="2" t="str">
        <f>IFERROR(__xludf.DUMMYFUNCTION("IF('From Order'!$A39=COLUMNS($A39:I58), LEFT(INDEX(FILTER(I$1:I38, I$1:I38&lt;&gt;""""),COUNTA(FILTER(I$1:I38, I$1:I38&lt;&gt;""""))), LEN(INDEX(FILTER(I$1:I38, I$1:I38&lt;&gt;""""),COUNTA(FILTER(I$1:I38, I$1:I38&lt;&gt;""""))))-1), IF('To Order'!$A39=COLUMNS($A39:I58), I38&amp;RIGH"&amp;"T(INDIRECT(ADDRESS(ROW(I39)-1, 'From Order'!$A39)), 1), I38))"),"QPDSVTDCQMVTBRHZ")</f>
        <v>QPDSVTDCQMVTBRHZ</v>
      </c>
    </row>
    <row r="40">
      <c r="A40" s="2" t="str">
        <f>IFERROR(__xludf.DUMMYFUNCTION("IF('From Order'!$A40=COLUMNS($A40:A59), LEFT(INDEX(FILTER(A$1:A39, A$1:A39&lt;&gt;""""),COUNTA(FILTER(A$1:A39, A$1:A39&lt;&gt;""""))), LEN(INDEX(FILTER(A$1:A39, A$1:A39&lt;&gt;""""),COUNTA(FILTER(A$1:A39, A$1:A39&lt;&gt;""""))))-1), IF('To Order'!$A40=COLUMNS($A40:A59), A39&amp;RIGH"&amp;"T(INDIRECT(ADDRESS(ROW(A40)-1, 'From Order'!$A40)), 1), A39))"),"")</f>
        <v/>
      </c>
      <c r="B40" s="2" t="str">
        <f>IFERROR(__xludf.DUMMYFUNCTION("IF('From Order'!$A40=COLUMNS($A40:B59), LEFT(INDEX(FILTER(B$1:B39, B$1:B39&lt;&gt;""""),COUNTA(FILTER(B$1:B39, B$1:B39&lt;&gt;""""))), LEN(INDEX(FILTER(B$1:B39, B$1:B39&lt;&gt;""""),COUNTA(FILTER(B$1:B39, B$1:B39&lt;&gt;""""))))-1), IF('To Order'!$A40=COLUMNS($A40:B59), B39&amp;RIGH"&amp;"T(INDIRECT(ADDRESS(ROW(B40)-1, 'From Order'!$A40)), 1), B39))"),"SW")</f>
        <v>SW</v>
      </c>
      <c r="C40" s="2" t="str">
        <f>IFERROR(__xludf.DUMMYFUNCTION("IF('From Order'!$A40=COLUMNS($A40:C59), LEFT(INDEX(FILTER(C$1:C39, C$1:C39&lt;&gt;""""),COUNTA(FILTER(C$1:C39, C$1:C39&lt;&gt;""""))), LEN(INDEX(FILTER(C$1:C39, C$1:C39&lt;&gt;""""),COUNTA(FILTER(C$1:C39, C$1:C39&lt;&gt;""""))))-1), IF('To Order'!$A40=COLUMNS($A40:C59), C39&amp;RIGH"&amp;"T(INDIRECT(ADDRESS(ROW(C40)-1, 'From Order'!$A40)), 1), C39))"),"RZTRTFMJDGWLJBR")</f>
        <v>RZTRTFMJDGWLJBR</v>
      </c>
      <c r="D40" s="2" t="str">
        <f>IFERROR(__xludf.DUMMYFUNCTION("IF('From Order'!$A40=COLUMNS($A40:D59), LEFT(INDEX(FILTER(D$1:D39, D$1:D39&lt;&gt;""""),COUNTA(FILTER(D$1:D39, D$1:D39&lt;&gt;""""))), LEN(INDEX(FILTER(D$1:D39, D$1:D39&lt;&gt;""""),COUNTA(FILTER(D$1:D39, D$1:D39&lt;&gt;""""))))-1), IF('To Order'!$A40=COLUMNS($A40:D59), D39&amp;RIGH"&amp;"T(INDIRECT(ADDRESS(ROW(D40)-1, 'From Order'!$A40)), 1), D39))"),"DTCHSPVMZDLTD")</f>
        <v>DTCHSPVMZDLTD</v>
      </c>
      <c r="E40" s="2" t="str">
        <f>IFERROR(__xludf.DUMMYFUNCTION("IF('From Order'!$A40=COLUMNS($A40:E59), LEFT(INDEX(FILTER(E$1:E39, E$1:E39&lt;&gt;""""),COUNTA(FILTER(E$1:E39, E$1:E39&lt;&gt;""""))), LEN(INDEX(FILTER(E$1:E39, E$1:E39&lt;&gt;""""),COUNTA(FILTER(E$1:E39, E$1:E39&lt;&gt;""""))))-1), IF('To Order'!$A40=COLUMNS($A40:E59), E39&amp;RIGH"&amp;"T(INDIRECT(ADDRESS(ROW(E40)-1, 'From Order'!$A40)), 1), E39))"),"GPBSC")</f>
        <v>GPBSC</v>
      </c>
      <c r="F40" s="2" t="str">
        <f>IFERROR(__xludf.DUMMYFUNCTION("IF('From Order'!$A40=COLUMNS($A40:F59), LEFT(INDEX(FILTER(F$1:F39, F$1:F39&lt;&gt;""""),COUNTA(FILTER(F$1:F39, F$1:F39&lt;&gt;""""))), LEN(INDEX(FILTER(F$1:F39, F$1:F39&lt;&gt;""""),COUNTA(FILTER(F$1:F39, F$1:F39&lt;&gt;""""))))-1), IF('To Order'!$A40=COLUMNS($A40:F59), F39&amp;RIGH"&amp;"T(INDIRECT(ADDRESS(ROW(F40)-1, 'From Order'!$A40)), 1), F39))"),"FBR")</f>
        <v>FBR</v>
      </c>
      <c r="G40" s="2" t="str">
        <f>IFERROR(__xludf.DUMMYFUNCTION("IF('From Order'!$A40=COLUMNS($A40:G59), LEFT(INDEX(FILTER(G$1:G39, G$1:G39&lt;&gt;""""),COUNTA(FILTER(G$1:G39, G$1:G39&lt;&gt;""""))), LEN(INDEX(FILTER(G$1:G39, G$1:G39&lt;&gt;""""),COUNTA(FILTER(G$1:G39, G$1:G39&lt;&gt;""""))))-1), IF('To Order'!$A40=COLUMNS($A40:G59), G39&amp;RIGH"&amp;"T(INDIRECT(ADDRESS(ROW(G40)-1, 'From Order'!$A40)), 1), G39))"),"")</f>
        <v/>
      </c>
      <c r="H40" s="2" t="str">
        <f>IFERROR(__xludf.DUMMYFUNCTION("IF('From Order'!$A40=COLUMNS($A40:H59), LEFT(INDEX(FILTER(H$1:H39, H$1:H39&lt;&gt;""""),COUNTA(FILTER(H$1:H39, H$1:H39&lt;&gt;""""))), LEN(INDEX(FILTER(H$1:H39, H$1:H39&lt;&gt;""""),COUNTA(FILTER(H$1:H39, H$1:H39&lt;&gt;""""))))-1), IF('To Order'!$A40=COLUMNS($A40:H59), H39&amp;RIGH"&amp;"T(INDIRECT(ADDRESS(ROW(H40)-1, 'From Order'!$A40)), 1), H39))"),"L")</f>
        <v>L</v>
      </c>
      <c r="I40" s="2" t="str">
        <f>IFERROR(__xludf.DUMMYFUNCTION("IF('From Order'!$A40=COLUMNS($A40:I59), LEFT(INDEX(FILTER(I$1:I39, I$1:I39&lt;&gt;""""),COUNTA(FILTER(I$1:I39, I$1:I39&lt;&gt;""""))), LEN(INDEX(FILTER(I$1:I39, I$1:I39&lt;&gt;""""),COUNTA(FILTER(I$1:I39, I$1:I39&lt;&gt;""""))))-1), IF('To Order'!$A40=COLUMNS($A40:I59), I39&amp;RIGH"&amp;"T(INDIRECT(ADDRESS(ROW(I40)-1, 'From Order'!$A40)), 1), I39))"),"QPDSVTDCQMVTBRHZJ")</f>
        <v>QPDSVTDCQMVTBRHZJ</v>
      </c>
    </row>
    <row r="41">
      <c r="A41" s="2" t="str">
        <f>IFERROR(__xludf.DUMMYFUNCTION("IF('From Order'!$A41=COLUMNS($A41:A60), LEFT(INDEX(FILTER(A$1:A40, A$1:A40&lt;&gt;""""),COUNTA(FILTER(A$1:A40, A$1:A40&lt;&gt;""""))), LEN(INDEX(FILTER(A$1:A40, A$1:A40&lt;&gt;""""),COUNTA(FILTER(A$1:A40, A$1:A40&lt;&gt;""""))))-1), IF('To Order'!$A41=COLUMNS($A41:A60), A40&amp;RIGH"&amp;"T(INDIRECT(ADDRESS(ROW(A41)-1, 'From Order'!$A41)), 1), A40))"),"")</f>
        <v/>
      </c>
      <c r="B41" s="2" t="str">
        <f>IFERROR(__xludf.DUMMYFUNCTION("IF('From Order'!$A41=COLUMNS($A41:B60), LEFT(INDEX(FILTER(B$1:B40, B$1:B40&lt;&gt;""""),COUNTA(FILTER(B$1:B40, B$1:B40&lt;&gt;""""))), LEN(INDEX(FILTER(B$1:B40, B$1:B40&lt;&gt;""""),COUNTA(FILTER(B$1:B40, B$1:B40&lt;&gt;""""))))-1), IF('To Order'!$A41=COLUMNS($A41:B60), B40&amp;RIGH"&amp;"T(INDIRECT(ADDRESS(ROW(B41)-1, 'From Order'!$A41)), 1), B40))"),"SW")</f>
        <v>SW</v>
      </c>
      <c r="C41" s="2" t="str">
        <f>IFERROR(__xludf.DUMMYFUNCTION("IF('From Order'!$A41=COLUMNS($A41:C60), LEFT(INDEX(FILTER(C$1:C40, C$1:C40&lt;&gt;""""),COUNTA(FILTER(C$1:C40, C$1:C40&lt;&gt;""""))), LEN(INDEX(FILTER(C$1:C40, C$1:C40&lt;&gt;""""),COUNTA(FILTER(C$1:C40, C$1:C40&lt;&gt;""""))))-1), IF('To Order'!$A41=COLUMNS($A41:C60), C40&amp;RIGH"&amp;"T(INDIRECT(ADDRESS(ROW(C41)-1, 'From Order'!$A41)), 1), C40))"),"RZTRTFMJDGWLJB")</f>
        <v>RZTRTFMJDGWLJB</v>
      </c>
      <c r="D41" s="2" t="str">
        <f>IFERROR(__xludf.DUMMYFUNCTION("IF('From Order'!$A41=COLUMNS($A41:D60), LEFT(INDEX(FILTER(D$1:D40, D$1:D40&lt;&gt;""""),COUNTA(FILTER(D$1:D40, D$1:D40&lt;&gt;""""))), LEN(INDEX(FILTER(D$1:D40, D$1:D40&lt;&gt;""""),COUNTA(FILTER(D$1:D40, D$1:D40&lt;&gt;""""))))-1), IF('To Order'!$A41=COLUMNS($A41:D60), D40&amp;RIGH"&amp;"T(INDIRECT(ADDRESS(ROW(D41)-1, 'From Order'!$A41)), 1), D40))"),"DTCHSPVMZDLTD")</f>
        <v>DTCHSPVMZDLTD</v>
      </c>
      <c r="E41" s="2" t="str">
        <f>IFERROR(__xludf.DUMMYFUNCTION("IF('From Order'!$A41=COLUMNS($A41:E60), LEFT(INDEX(FILTER(E$1:E40, E$1:E40&lt;&gt;""""),COUNTA(FILTER(E$1:E40, E$1:E40&lt;&gt;""""))), LEN(INDEX(FILTER(E$1:E40, E$1:E40&lt;&gt;""""),COUNTA(FILTER(E$1:E40, E$1:E40&lt;&gt;""""))))-1), IF('To Order'!$A41=COLUMNS($A41:E60), E40&amp;RIGH"&amp;"T(INDIRECT(ADDRESS(ROW(E41)-1, 'From Order'!$A41)), 1), E40))"),"GPBSC")</f>
        <v>GPBSC</v>
      </c>
      <c r="F41" s="2" t="str">
        <f>IFERROR(__xludf.DUMMYFUNCTION("IF('From Order'!$A41=COLUMNS($A41:F60), LEFT(INDEX(FILTER(F$1:F40, F$1:F40&lt;&gt;""""),COUNTA(FILTER(F$1:F40, F$1:F40&lt;&gt;""""))), LEN(INDEX(FILTER(F$1:F40, F$1:F40&lt;&gt;""""),COUNTA(FILTER(F$1:F40, F$1:F40&lt;&gt;""""))))-1), IF('To Order'!$A41=COLUMNS($A41:F60), F40&amp;RIGH"&amp;"T(INDIRECT(ADDRESS(ROW(F41)-1, 'From Order'!$A41)), 1), F40))"),"FBR")</f>
        <v>FBR</v>
      </c>
      <c r="G41" s="2" t="str">
        <f>IFERROR(__xludf.DUMMYFUNCTION("IF('From Order'!$A41=COLUMNS($A41:G60), LEFT(INDEX(FILTER(G$1:G40, G$1:G40&lt;&gt;""""),COUNTA(FILTER(G$1:G40, G$1:G40&lt;&gt;""""))), LEN(INDEX(FILTER(G$1:G40, G$1:G40&lt;&gt;""""),COUNTA(FILTER(G$1:G40, G$1:G40&lt;&gt;""""))))-1), IF('To Order'!$A41=COLUMNS($A41:G60), G40&amp;RIGH"&amp;"T(INDIRECT(ADDRESS(ROW(G41)-1, 'From Order'!$A41)), 1), G40))"),"")</f>
        <v/>
      </c>
      <c r="H41" s="2" t="str">
        <f>IFERROR(__xludf.DUMMYFUNCTION("IF('From Order'!$A41=COLUMNS($A41:H60), LEFT(INDEX(FILTER(H$1:H40, H$1:H40&lt;&gt;""""),COUNTA(FILTER(H$1:H40, H$1:H40&lt;&gt;""""))), LEN(INDEX(FILTER(H$1:H40, H$1:H40&lt;&gt;""""),COUNTA(FILTER(H$1:H40, H$1:H40&lt;&gt;""""))))-1), IF('To Order'!$A41=COLUMNS($A41:H60), H40&amp;RIGH"&amp;"T(INDIRECT(ADDRESS(ROW(H41)-1, 'From Order'!$A41)), 1), H40))"),"L")</f>
        <v>L</v>
      </c>
      <c r="I41" s="2" t="str">
        <f>IFERROR(__xludf.DUMMYFUNCTION("IF('From Order'!$A41=COLUMNS($A41:I60), LEFT(INDEX(FILTER(I$1:I40, I$1:I40&lt;&gt;""""),COUNTA(FILTER(I$1:I40, I$1:I40&lt;&gt;""""))), LEN(INDEX(FILTER(I$1:I40, I$1:I40&lt;&gt;""""),COUNTA(FILTER(I$1:I40, I$1:I40&lt;&gt;""""))))-1), IF('To Order'!$A41=COLUMNS($A41:I60), I40&amp;RIGH"&amp;"T(INDIRECT(ADDRESS(ROW(I41)-1, 'From Order'!$A41)), 1), I40))"),"QPDSVTDCQMVTBRHZJR")</f>
        <v>QPDSVTDCQMVTBRHZJR</v>
      </c>
    </row>
    <row r="42">
      <c r="A42" s="2" t="str">
        <f>IFERROR(__xludf.DUMMYFUNCTION("IF('From Order'!$A42=COLUMNS($A42:A61), LEFT(INDEX(FILTER(A$1:A41, A$1:A41&lt;&gt;""""),COUNTA(FILTER(A$1:A41, A$1:A41&lt;&gt;""""))), LEN(INDEX(FILTER(A$1:A41, A$1:A41&lt;&gt;""""),COUNTA(FILTER(A$1:A41, A$1:A41&lt;&gt;""""))))-1), IF('To Order'!$A42=COLUMNS($A42:A61), A41&amp;RIGH"&amp;"T(INDIRECT(ADDRESS(ROW(A42)-1, 'From Order'!$A42)), 1), A41))"),"")</f>
        <v/>
      </c>
      <c r="B42" s="2" t="str">
        <f>IFERROR(__xludf.DUMMYFUNCTION("IF('From Order'!$A42=COLUMNS($A42:B61), LEFT(INDEX(FILTER(B$1:B41, B$1:B41&lt;&gt;""""),COUNTA(FILTER(B$1:B41, B$1:B41&lt;&gt;""""))), LEN(INDEX(FILTER(B$1:B41, B$1:B41&lt;&gt;""""),COUNTA(FILTER(B$1:B41, B$1:B41&lt;&gt;""""))))-1), IF('To Order'!$A42=COLUMNS($A42:B61), B41&amp;RIGH"&amp;"T(INDIRECT(ADDRESS(ROW(B42)-1, 'From Order'!$A42)), 1), B41))"),"SW")</f>
        <v>SW</v>
      </c>
      <c r="C42" s="2" t="str">
        <f>IFERROR(__xludf.DUMMYFUNCTION("IF('From Order'!$A42=COLUMNS($A42:C61), LEFT(INDEX(FILTER(C$1:C41, C$1:C41&lt;&gt;""""),COUNTA(FILTER(C$1:C41, C$1:C41&lt;&gt;""""))), LEN(INDEX(FILTER(C$1:C41, C$1:C41&lt;&gt;""""),COUNTA(FILTER(C$1:C41, C$1:C41&lt;&gt;""""))))-1), IF('To Order'!$A42=COLUMNS($A42:C61), C41&amp;RIGH"&amp;"T(INDIRECT(ADDRESS(ROW(C42)-1, 'From Order'!$A42)), 1), C41))"),"RZTRTFMJDGWLJ")</f>
        <v>RZTRTFMJDGWLJ</v>
      </c>
      <c r="D42" s="2" t="str">
        <f>IFERROR(__xludf.DUMMYFUNCTION("IF('From Order'!$A42=COLUMNS($A42:D61), LEFT(INDEX(FILTER(D$1:D41, D$1:D41&lt;&gt;""""),COUNTA(FILTER(D$1:D41, D$1:D41&lt;&gt;""""))), LEN(INDEX(FILTER(D$1:D41, D$1:D41&lt;&gt;""""),COUNTA(FILTER(D$1:D41, D$1:D41&lt;&gt;""""))))-1), IF('To Order'!$A42=COLUMNS($A42:D61), D41&amp;RIGH"&amp;"T(INDIRECT(ADDRESS(ROW(D42)-1, 'From Order'!$A42)), 1), D41))"),"DTCHSPVMZDLTD")</f>
        <v>DTCHSPVMZDLTD</v>
      </c>
      <c r="E42" s="2" t="str">
        <f>IFERROR(__xludf.DUMMYFUNCTION("IF('From Order'!$A42=COLUMNS($A42:E61), LEFT(INDEX(FILTER(E$1:E41, E$1:E41&lt;&gt;""""),COUNTA(FILTER(E$1:E41, E$1:E41&lt;&gt;""""))), LEN(INDEX(FILTER(E$1:E41, E$1:E41&lt;&gt;""""),COUNTA(FILTER(E$1:E41, E$1:E41&lt;&gt;""""))))-1), IF('To Order'!$A42=COLUMNS($A42:E61), E41&amp;RIGH"&amp;"T(INDIRECT(ADDRESS(ROW(E42)-1, 'From Order'!$A42)), 1), E41))"),"GPBSC")</f>
        <v>GPBSC</v>
      </c>
      <c r="F42" s="2" t="str">
        <f>IFERROR(__xludf.DUMMYFUNCTION("IF('From Order'!$A42=COLUMNS($A42:F61), LEFT(INDEX(FILTER(F$1:F41, F$1:F41&lt;&gt;""""),COUNTA(FILTER(F$1:F41, F$1:F41&lt;&gt;""""))), LEN(INDEX(FILTER(F$1:F41, F$1:F41&lt;&gt;""""),COUNTA(FILTER(F$1:F41, F$1:F41&lt;&gt;""""))))-1), IF('To Order'!$A42=COLUMNS($A42:F61), F41&amp;RIGH"&amp;"T(INDIRECT(ADDRESS(ROW(F42)-1, 'From Order'!$A42)), 1), F41))"),"FBR")</f>
        <v>FBR</v>
      </c>
      <c r="G42" s="2" t="str">
        <f>IFERROR(__xludf.DUMMYFUNCTION("IF('From Order'!$A42=COLUMNS($A42:G61), LEFT(INDEX(FILTER(G$1:G41, G$1:G41&lt;&gt;""""),COUNTA(FILTER(G$1:G41, G$1:G41&lt;&gt;""""))), LEN(INDEX(FILTER(G$1:G41, G$1:G41&lt;&gt;""""),COUNTA(FILTER(G$1:G41, G$1:G41&lt;&gt;""""))))-1), IF('To Order'!$A42=COLUMNS($A42:G61), G41&amp;RIGH"&amp;"T(INDIRECT(ADDRESS(ROW(G42)-1, 'From Order'!$A42)), 1), G41))"),"")</f>
        <v/>
      </c>
      <c r="H42" s="2" t="str">
        <f>IFERROR(__xludf.DUMMYFUNCTION("IF('From Order'!$A42=COLUMNS($A42:H61), LEFT(INDEX(FILTER(H$1:H41, H$1:H41&lt;&gt;""""),COUNTA(FILTER(H$1:H41, H$1:H41&lt;&gt;""""))), LEN(INDEX(FILTER(H$1:H41, H$1:H41&lt;&gt;""""),COUNTA(FILTER(H$1:H41, H$1:H41&lt;&gt;""""))))-1), IF('To Order'!$A42=COLUMNS($A42:H61), H41&amp;RIGH"&amp;"T(INDIRECT(ADDRESS(ROW(H42)-1, 'From Order'!$A42)), 1), H41))"),"L")</f>
        <v>L</v>
      </c>
      <c r="I42" s="2" t="str">
        <f>IFERROR(__xludf.DUMMYFUNCTION("IF('From Order'!$A42=COLUMNS($A42:I61), LEFT(INDEX(FILTER(I$1:I41, I$1:I41&lt;&gt;""""),COUNTA(FILTER(I$1:I41, I$1:I41&lt;&gt;""""))), LEN(INDEX(FILTER(I$1:I41, I$1:I41&lt;&gt;""""),COUNTA(FILTER(I$1:I41, I$1:I41&lt;&gt;""""))))-1), IF('To Order'!$A42=COLUMNS($A42:I61), I41&amp;RIGH"&amp;"T(INDIRECT(ADDRESS(ROW(I42)-1, 'From Order'!$A42)), 1), I41))"),"QPDSVTDCQMVTBRHZJRB")</f>
        <v>QPDSVTDCQMVTBRHZJRB</v>
      </c>
    </row>
    <row r="43">
      <c r="A43" s="2" t="str">
        <f>IFERROR(__xludf.DUMMYFUNCTION("IF('From Order'!$A43=COLUMNS($A43:A62), LEFT(INDEX(FILTER(A$1:A42, A$1:A42&lt;&gt;""""),COUNTA(FILTER(A$1:A42, A$1:A42&lt;&gt;""""))), LEN(INDEX(FILTER(A$1:A42, A$1:A42&lt;&gt;""""),COUNTA(FILTER(A$1:A42, A$1:A42&lt;&gt;""""))))-1), IF('To Order'!$A43=COLUMNS($A43:A62), A42&amp;RIGH"&amp;"T(INDIRECT(ADDRESS(ROW(A43)-1, 'From Order'!$A43)), 1), A42))"),"")</f>
        <v/>
      </c>
      <c r="B43" s="2" t="str">
        <f>IFERROR(__xludf.DUMMYFUNCTION("IF('From Order'!$A43=COLUMNS($A43:B62), LEFT(INDEX(FILTER(B$1:B42, B$1:B42&lt;&gt;""""),COUNTA(FILTER(B$1:B42, B$1:B42&lt;&gt;""""))), LEN(INDEX(FILTER(B$1:B42, B$1:B42&lt;&gt;""""),COUNTA(FILTER(B$1:B42, B$1:B42&lt;&gt;""""))))-1), IF('To Order'!$A43=COLUMNS($A43:B62), B42&amp;RIGH"&amp;"T(INDIRECT(ADDRESS(ROW(B43)-1, 'From Order'!$A43)), 1), B42))"),"SW")</f>
        <v>SW</v>
      </c>
      <c r="C43" s="2" t="str">
        <f>IFERROR(__xludf.DUMMYFUNCTION("IF('From Order'!$A43=COLUMNS($A43:C62), LEFT(INDEX(FILTER(C$1:C42, C$1:C42&lt;&gt;""""),COUNTA(FILTER(C$1:C42, C$1:C42&lt;&gt;""""))), LEN(INDEX(FILTER(C$1:C42, C$1:C42&lt;&gt;""""),COUNTA(FILTER(C$1:C42, C$1:C42&lt;&gt;""""))))-1), IF('To Order'!$A43=COLUMNS($A43:C62), C42&amp;RIGH"&amp;"T(INDIRECT(ADDRESS(ROW(C43)-1, 'From Order'!$A43)), 1), C42))"),"RZTRTFMJDGWL")</f>
        <v>RZTRTFMJDGWL</v>
      </c>
      <c r="D43" s="2" t="str">
        <f>IFERROR(__xludf.DUMMYFUNCTION("IF('From Order'!$A43=COLUMNS($A43:D62), LEFT(INDEX(FILTER(D$1:D42, D$1:D42&lt;&gt;""""),COUNTA(FILTER(D$1:D42, D$1:D42&lt;&gt;""""))), LEN(INDEX(FILTER(D$1:D42, D$1:D42&lt;&gt;""""),COUNTA(FILTER(D$1:D42, D$1:D42&lt;&gt;""""))))-1), IF('To Order'!$A43=COLUMNS($A43:D62), D42&amp;RIGH"&amp;"T(INDIRECT(ADDRESS(ROW(D43)-1, 'From Order'!$A43)), 1), D42))"),"DTCHSPVMZDLTD")</f>
        <v>DTCHSPVMZDLTD</v>
      </c>
      <c r="E43" s="2" t="str">
        <f>IFERROR(__xludf.DUMMYFUNCTION("IF('From Order'!$A43=COLUMNS($A43:E62), LEFT(INDEX(FILTER(E$1:E42, E$1:E42&lt;&gt;""""),COUNTA(FILTER(E$1:E42, E$1:E42&lt;&gt;""""))), LEN(INDEX(FILTER(E$1:E42, E$1:E42&lt;&gt;""""),COUNTA(FILTER(E$1:E42, E$1:E42&lt;&gt;""""))))-1), IF('To Order'!$A43=COLUMNS($A43:E62), E42&amp;RIGH"&amp;"T(INDIRECT(ADDRESS(ROW(E43)-1, 'From Order'!$A43)), 1), E42))"),"GPBSC")</f>
        <v>GPBSC</v>
      </c>
      <c r="F43" s="2" t="str">
        <f>IFERROR(__xludf.DUMMYFUNCTION("IF('From Order'!$A43=COLUMNS($A43:F62), LEFT(INDEX(FILTER(F$1:F42, F$1:F42&lt;&gt;""""),COUNTA(FILTER(F$1:F42, F$1:F42&lt;&gt;""""))), LEN(INDEX(FILTER(F$1:F42, F$1:F42&lt;&gt;""""),COUNTA(FILTER(F$1:F42, F$1:F42&lt;&gt;""""))))-1), IF('To Order'!$A43=COLUMNS($A43:F62), F42&amp;RIGH"&amp;"T(INDIRECT(ADDRESS(ROW(F43)-1, 'From Order'!$A43)), 1), F42))"),"FBR")</f>
        <v>FBR</v>
      </c>
      <c r="G43" s="2" t="str">
        <f>IFERROR(__xludf.DUMMYFUNCTION("IF('From Order'!$A43=COLUMNS($A43:G62), LEFT(INDEX(FILTER(G$1:G42, G$1:G42&lt;&gt;""""),COUNTA(FILTER(G$1:G42, G$1:G42&lt;&gt;""""))), LEN(INDEX(FILTER(G$1:G42, G$1:G42&lt;&gt;""""),COUNTA(FILTER(G$1:G42, G$1:G42&lt;&gt;""""))))-1), IF('To Order'!$A43=COLUMNS($A43:G62), G42&amp;RIGH"&amp;"T(INDIRECT(ADDRESS(ROW(G43)-1, 'From Order'!$A43)), 1), G42))"),"")</f>
        <v/>
      </c>
      <c r="H43" s="2" t="str">
        <f>IFERROR(__xludf.DUMMYFUNCTION("IF('From Order'!$A43=COLUMNS($A43:H62), LEFT(INDEX(FILTER(H$1:H42, H$1:H42&lt;&gt;""""),COUNTA(FILTER(H$1:H42, H$1:H42&lt;&gt;""""))), LEN(INDEX(FILTER(H$1:H42, H$1:H42&lt;&gt;""""),COUNTA(FILTER(H$1:H42, H$1:H42&lt;&gt;""""))))-1), IF('To Order'!$A43=COLUMNS($A43:H62), H42&amp;RIGH"&amp;"T(INDIRECT(ADDRESS(ROW(H43)-1, 'From Order'!$A43)), 1), H42))"),"L")</f>
        <v>L</v>
      </c>
      <c r="I43" s="2" t="str">
        <f>IFERROR(__xludf.DUMMYFUNCTION("IF('From Order'!$A43=COLUMNS($A43:I62), LEFT(INDEX(FILTER(I$1:I42, I$1:I42&lt;&gt;""""),COUNTA(FILTER(I$1:I42, I$1:I42&lt;&gt;""""))), LEN(INDEX(FILTER(I$1:I42, I$1:I42&lt;&gt;""""),COUNTA(FILTER(I$1:I42, I$1:I42&lt;&gt;""""))))-1), IF('To Order'!$A43=COLUMNS($A43:I62), I42&amp;RIGH"&amp;"T(INDIRECT(ADDRESS(ROW(I43)-1, 'From Order'!$A43)), 1), I42))"),"QPDSVTDCQMVTBRHZJRBJ")</f>
        <v>QPDSVTDCQMVTBRHZJRBJ</v>
      </c>
    </row>
    <row r="44">
      <c r="A44" s="2" t="str">
        <f>IFERROR(__xludf.DUMMYFUNCTION("IF('From Order'!$A44=COLUMNS($A44:A63), LEFT(INDEX(FILTER(A$1:A43, A$1:A43&lt;&gt;""""),COUNTA(FILTER(A$1:A43, A$1:A43&lt;&gt;""""))), LEN(INDEX(FILTER(A$1:A43, A$1:A43&lt;&gt;""""),COUNTA(FILTER(A$1:A43, A$1:A43&lt;&gt;""""))))-1), IF('To Order'!$A44=COLUMNS($A44:A63), A43&amp;RIGH"&amp;"T(INDIRECT(ADDRESS(ROW(A44)-1, 'From Order'!$A44)), 1), A43))"),"")</f>
        <v/>
      </c>
      <c r="B44" s="2" t="str">
        <f>IFERROR(__xludf.DUMMYFUNCTION("IF('From Order'!$A44=COLUMNS($A44:B63), LEFT(INDEX(FILTER(B$1:B43, B$1:B43&lt;&gt;""""),COUNTA(FILTER(B$1:B43, B$1:B43&lt;&gt;""""))), LEN(INDEX(FILTER(B$1:B43, B$1:B43&lt;&gt;""""),COUNTA(FILTER(B$1:B43, B$1:B43&lt;&gt;""""))))-1), IF('To Order'!$A44=COLUMNS($A44:B63), B43&amp;RIGH"&amp;"T(INDIRECT(ADDRESS(ROW(B44)-1, 'From Order'!$A44)), 1), B43))"),"SW")</f>
        <v>SW</v>
      </c>
      <c r="C44" s="2" t="str">
        <f>IFERROR(__xludf.DUMMYFUNCTION("IF('From Order'!$A44=COLUMNS($A44:C63), LEFT(INDEX(FILTER(C$1:C43, C$1:C43&lt;&gt;""""),COUNTA(FILTER(C$1:C43, C$1:C43&lt;&gt;""""))), LEN(INDEX(FILTER(C$1:C43, C$1:C43&lt;&gt;""""),COUNTA(FILTER(C$1:C43, C$1:C43&lt;&gt;""""))))-1), IF('To Order'!$A44=COLUMNS($A44:C63), C43&amp;RIGH"&amp;"T(INDIRECT(ADDRESS(ROW(C44)-1, 'From Order'!$A44)), 1), C43))"),"RZTRTFMJDGW")</f>
        <v>RZTRTFMJDGW</v>
      </c>
      <c r="D44" s="2" t="str">
        <f>IFERROR(__xludf.DUMMYFUNCTION("IF('From Order'!$A44=COLUMNS($A44:D63), LEFT(INDEX(FILTER(D$1:D43, D$1:D43&lt;&gt;""""),COUNTA(FILTER(D$1:D43, D$1:D43&lt;&gt;""""))), LEN(INDEX(FILTER(D$1:D43, D$1:D43&lt;&gt;""""),COUNTA(FILTER(D$1:D43, D$1:D43&lt;&gt;""""))))-1), IF('To Order'!$A44=COLUMNS($A44:D63), D43&amp;RIGH"&amp;"T(INDIRECT(ADDRESS(ROW(D44)-1, 'From Order'!$A44)), 1), D43))"),"DTCHSPVMZDLTD")</f>
        <v>DTCHSPVMZDLTD</v>
      </c>
      <c r="E44" s="2" t="str">
        <f>IFERROR(__xludf.DUMMYFUNCTION("IF('From Order'!$A44=COLUMNS($A44:E63), LEFT(INDEX(FILTER(E$1:E43, E$1:E43&lt;&gt;""""),COUNTA(FILTER(E$1:E43, E$1:E43&lt;&gt;""""))), LEN(INDEX(FILTER(E$1:E43, E$1:E43&lt;&gt;""""),COUNTA(FILTER(E$1:E43, E$1:E43&lt;&gt;""""))))-1), IF('To Order'!$A44=COLUMNS($A44:E63), E43&amp;RIGH"&amp;"T(INDIRECT(ADDRESS(ROW(E44)-1, 'From Order'!$A44)), 1), E43))"),"GPBSC")</f>
        <v>GPBSC</v>
      </c>
      <c r="F44" s="2" t="str">
        <f>IFERROR(__xludf.DUMMYFUNCTION("IF('From Order'!$A44=COLUMNS($A44:F63), LEFT(INDEX(FILTER(F$1:F43, F$1:F43&lt;&gt;""""),COUNTA(FILTER(F$1:F43, F$1:F43&lt;&gt;""""))), LEN(INDEX(FILTER(F$1:F43, F$1:F43&lt;&gt;""""),COUNTA(FILTER(F$1:F43, F$1:F43&lt;&gt;""""))))-1), IF('To Order'!$A44=COLUMNS($A44:F63), F43&amp;RIGH"&amp;"T(INDIRECT(ADDRESS(ROW(F44)-1, 'From Order'!$A44)), 1), F43))"),"FBR")</f>
        <v>FBR</v>
      </c>
      <c r="G44" s="2" t="str">
        <f>IFERROR(__xludf.DUMMYFUNCTION("IF('From Order'!$A44=COLUMNS($A44:G63), LEFT(INDEX(FILTER(G$1:G43, G$1:G43&lt;&gt;""""),COUNTA(FILTER(G$1:G43, G$1:G43&lt;&gt;""""))), LEN(INDEX(FILTER(G$1:G43, G$1:G43&lt;&gt;""""),COUNTA(FILTER(G$1:G43, G$1:G43&lt;&gt;""""))))-1), IF('To Order'!$A44=COLUMNS($A44:G63), G43&amp;RIGH"&amp;"T(INDIRECT(ADDRESS(ROW(G44)-1, 'From Order'!$A44)), 1), G43))"),"")</f>
        <v/>
      </c>
      <c r="H44" s="2" t="str">
        <f>IFERROR(__xludf.DUMMYFUNCTION("IF('From Order'!$A44=COLUMNS($A44:H63), LEFT(INDEX(FILTER(H$1:H43, H$1:H43&lt;&gt;""""),COUNTA(FILTER(H$1:H43, H$1:H43&lt;&gt;""""))), LEN(INDEX(FILTER(H$1:H43, H$1:H43&lt;&gt;""""),COUNTA(FILTER(H$1:H43, H$1:H43&lt;&gt;""""))))-1), IF('To Order'!$A44=COLUMNS($A44:H63), H43&amp;RIGH"&amp;"T(INDIRECT(ADDRESS(ROW(H44)-1, 'From Order'!$A44)), 1), H43))"),"L")</f>
        <v>L</v>
      </c>
      <c r="I44" s="2" t="str">
        <f>IFERROR(__xludf.DUMMYFUNCTION("IF('From Order'!$A44=COLUMNS($A44:I63), LEFT(INDEX(FILTER(I$1:I43, I$1:I43&lt;&gt;""""),COUNTA(FILTER(I$1:I43, I$1:I43&lt;&gt;""""))), LEN(INDEX(FILTER(I$1:I43, I$1:I43&lt;&gt;""""),COUNTA(FILTER(I$1:I43, I$1:I43&lt;&gt;""""))))-1), IF('To Order'!$A44=COLUMNS($A44:I63), I43&amp;RIGH"&amp;"T(INDIRECT(ADDRESS(ROW(I44)-1, 'From Order'!$A44)), 1), I43))"),"QPDSVTDCQMVTBRHZJRBJL")</f>
        <v>QPDSVTDCQMVTBRHZJRBJL</v>
      </c>
    </row>
    <row r="45">
      <c r="A45" s="2" t="str">
        <f>IFERROR(__xludf.DUMMYFUNCTION("IF('From Order'!$A45=COLUMNS($A45:A64), LEFT(INDEX(FILTER(A$1:A44, A$1:A44&lt;&gt;""""),COUNTA(FILTER(A$1:A44, A$1:A44&lt;&gt;""""))), LEN(INDEX(FILTER(A$1:A44, A$1:A44&lt;&gt;""""),COUNTA(FILTER(A$1:A44, A$1:A44&lt;&gt;""""))))-1), IF('To Order'!$A45=COLUMNS($A45:A64), A44&amp;RIGH"&amp;"T(INDIRECT(ADDRESS(ROW(A45)-1, 'From Order'!$A45)), 1), A44))"),"")</f>
        <v/>
      </c>
      <c r="B45" s="2" t="str">
        <f>IFERROR(__xludf.DUMMYFUNCTION("IF('From Order'!$A45=COLUMNS($A45:B64), LEFT(INDEX(FILTER(B$1:B44, B$1:B44&lt;&gt;""""),COUNTA(FILTER(B$1:B44, B$1:B44&lt;&gt;""""))), LEN(INDEX(FILTER(B$1:B44, B$1:B44&lt;&gt;""""),COUNTA(FILTER(B$1:B44, B$1:B44&lt;&gt;""""))))-1), IF('To Order'!$A45=COLUMNS($A45:B64), B44&amp;RIGH"&amp;"T(INDIRECT(ADDRESS(ROW(B45)-1, 'From Order'!$A45)), 1), B44))"),"SW")</f>
        <v>SW</v>
      </c>
      <c r="C45" s="2" t="str">
        <f>IFERROR(__xludf.DUMMYFUNCTION("IF('From Order'!$A45=COLUMNS($A45:C64), LEFT(INDEX(FILTER(C$1:C44, C$1:C44&lt;&gt;""""),COUNTA(FILTER(C$1:C44, C$1:C44&lt;&gt;""""))), LEN(INDEX(FILTER(C$1:C44, C$1:C44&lt;&gt;""""),COUNTA(FILTER(C$1:C44, C$1:C44&lt;&gt;""""))))-1), IF('To Order'!$A45=COLUMNS($A45:C64), C44&amp;RIGH"&amp;"T(INDIRECT(ADDRESS(ROW(C45)-1, 'From Order'!$A45)), 1), C44))"),"RZTRTFMJDG")</f>
        <v>RZTRTFMJDG</v>
      </c>
      <c r="D45" s="2" t="str">
        <f>IFERROR(__xludf.DUMMYFUNCTION("IF('From Order'!$A45=COLUMNS($A45:D64), LEFT(INDEX(FILTER(D$1:D44, D$1:D44&lt;&gt;""""),COUNTA(FILTER(D$1:D44, D$1:D44&lt;&gt;""""))), LEN(INDEX(FILTER(D$1:D44, D$1:D44&lt;&gt;""""),COUNTA(FILTER(D$1:D44, D$1:D44&lt;&gt;""""))))-1), IF('To Order'!$A45=COLUMNS($A45:D64), D44&amp;RIGH"&amp;"T(INDIRECT(ADDRESS(ROW(D45)-1, 'From Order'!$A45)), 1), D44))"),"DTCHSPVMZDLTD")</f>
        <v>DTCHSPVMZDLTD</v>
      </c>
      <c r="E45" s="2" t="str">
        <f>IFERROR(__xludf.DUMMYFUNCTION("IF('From Order'!$A45=COLUMNS($A45:E64), LEFT(INDEX(FILTER(E$1:E44, E$1:E44&lt;&gt;""""),COUNTA(FILTER(E$1:E44, E$1:E44&lt;&gt;""""))), LEN(INDEX(FILTER(E$1:E44, E$1:E44&lt;&gt;""""),COUNTA(FILTER(E$1:E44, E$1:E44&lt;&gt;""""))))-1), IF('To Order'!$A45=COLUMNS($A45:E64), E44&amp;RIGH"&amp;"T(INDIRECT(ADDRESS(ROW(E45)-1, 'From Order'!$A45)), 1), E44))"),"GPBSC")</f>
        <v>GPBSC</v>
      </c>
      <c r="F45" s="2" t="str">
        <f>IFERROR(__xludf.DUMMYFUNCTION("IF('From Order'!$A45=COLUMNS($A45:F64), LEFT(INDEX(FILTER(F$1:F44, F$1:F44&lt;&gt;""""),COUNTA(FILTER(F$1:F44, F$1:F44&lt;&gt;""""))), LEN(INDEX(FILTER(F$1:F44, F$1:F44&lt;&gt;""""),COUNTA(FILTER(F$1:F44, F$1:F44&lt;&gt;""""))))-1), IF('To Order'!$A45=COLUMNS($A45:F64), F44&amp;RIGH"&amp;"T(INDIRECT(ADDRESS(ROW(F45)-1, 'From Order'!$A45)), 1), F44))"),"FBR")</f>
        <v>FBR</v>
      </c>
      <c r="G45" s="2" t="str">
        <f>IFERROR(__xludf.DUMMYFUNCTION("IF('From Order'!$A45=COLUMNS($A45:G64), LEFT(INDEX(FILTER(G$1:G44, G$1:G44&lt;&gt;""""),COUNTA(FILTER(G$1:G44, G$1:G44&lt;&gt;""""))), LEN(INDEX(FILTER(G$1:G44, G$1:G44&lt;&gt;""""),COUNTA(FILTER(G$1:G44, G$1:G44&lt;&gt;""""))))-1), IF('To Order'!$A45=COLUMNS($A45:G64), G44&amp;RIGH"&amp;"T(INDIRECT(ADDRESS(ROW(G45)-1, 'From Order'!$A45)), 1), G44))"),"")</f>
        <v/>
      </c>
      <c r="H45" s="2" t="str">
        <f>IFERROR(__xludf.DUMMYFUNCTION("IF('From Order'!$A45=COLUMNS($A45:H64), LEFT(INDEX(FILTER(H$1:H44, H$1:H44&lt;&gt;""""),COUNTA(FILTER(H$1:H44, H$1:H44&lt;&gt;""""))), LEN(INDEX(FILTER(H$1:H44, H$1:H44&lt;&gt;""""),COUNTA(FILTER(H$1:H44, H$1:H44&lt;&gt;""""))))-1), IF('To Order'!$A45=COLUMNS($A45:H64), H44&amp;RIGH"&amp;"T(INDIRECT(ADDRESS(ROW(H45)-1, 'From Order'!$A45)), 1), H44))"),"L")</f>
        <v>L</v>
      </c>
      <c r="I45" s="2" t="str">
        <f>IFERROR(__xludf.DUMMYFUNCTION("IF('From Order'!$A45=COLUMNS($A45:I64), LEFT(INDEX(FILTER(I$1:I44, I$1:I44&lt;&gt;""""),COUNTA(FILTER(I$1:I44, I$1:I44&lt;&gt;""""))), LEN(INDEX(FILTER(I$1:I44, I$1:I44&lt;&gt;""""),COUNTA(FILTER(I$1:I44, I$1:I44&lt;&gt;""""))))-1), IF('To Order'!$A45=COLUMNS($A45:I64), I44&amp;RIGH"&amp;"T(INDIRECT(ADDRESS(ROW(I45)-1, 'From Order'!$A45)), 1), I44))"),"QPDSVTDCQMVTBRHZJRBJLW")</f>
        <v>QPDSVTDCQMVTBRHZJRBJLW</v>
      </c>
    </row>
    <row r="46">
      <c r="A46" s="2" t="str">
        <f>IFERROR(__xludf.DUMMYFUNCTION("IF('From Order'!$A46=COLUMNS($A46:A65), LEFT(INDEX(FILTER(A$1:A45, A$1:A45&lt;&gt;""""),COUNTA(FILTER(A$1:A45, A$1:A45&lt;&gt;""""))), LEN(INDEX(FILTER(A$1:A45, A$1:A45&lt;&gt;""""),COUNTA(FILTER(A$1:A45, A$1:A45&lt;&gt;""""))))-1), IF('To Order'!$A46=COLUMNS($A46:A65), A45&amp;RIGH"&amp;"T(INDIRECT(ADDRESS(ROW(A46)-1, 'From Order'!$A46)), 1), A45))"),"")</f>
        <v/>
      </c>
      <c r="B46" s="2" t="str">
        <f>IFERROR(__xludf.DUMMYFUNCTION("IF('From Order'!$A46=COLUMNS($A46:B65), LEFT(INDEX(FILTER(B$1:B45, B$1:B45&lt;&gt;""""),COUNTA(FILTER(B$1:B45, B$1:B45&lt;&gt;""""))), LEN(INDEX(FILTER(B$1:B45, B$1:B45&lt;&gt;""""),COUNTA(FILTER(B$1:B45, B$1:B45&lt;&gt;""""))))-1), IF('To Order'!$A46=COLUMNS($A46:B65), B45&amp;RIGH"&amp;"T(INDIRECT(ADDRESS(ROW(B46)-1, 'From Order'!$A46)), 1), B45))"),"SW")</f>
        <v>SW</v>
      </c>
      <c r="C46" s="2" t="str">
        <f>IFERROR(__xludf.DUMMYFUNCTION("IF('From Order'!$A46=COLUMNS($A46:C65), LEFT(INDEX(FILTER(C$1:C45, C$1:C45&lt;&gt;""""),COUNTA(FILTER(C$1:C45, C$1:C45&lt;&gt;""""))), LEN(INDEX(FILTER(C$1:C45, C$1:C45&lt;&gt;""""),COUNTA(FILTER(C$1:C45, C$1:C45&lt;&gt;""""))))-1), IF('To Order'!$A46=COLUMNS($A46:C65), C45&amp;RIGH"&amp;"T(INDIRECT(ADDRESS(ROW(C46)-1, 'From Order'!$A46)), 1), C45))"),"RZTRTFMJDG")</f>
        <v>RZTRTFMJDG</v>
      </c>
      <c r="D46" s="2" t="str">
        <f>IFERROR(__xludf.DUMMYFUNCTION("IF('From Order'!$A46=COLUMNS($A46:D65), LEFT(INDEX(FILTER(D$1:D45, D$1:D45&lt;&gt;""""),COUNTA(FILTER(D$1:D45, D$1:D45&lt;&gt;""""))), LEN(INDEX(FILTER(D$1:D45, D$1:D45&lt;&gt;""""),COUNTA(FILTER(D$1:D45, D$1:D45&lt;&gt;""""))))-1), IF('To Order'!$A46=COLUMNS($A46:D65), D45&amp;RIGH"&amp;"T(INDIRECT(ADDRESS(ROW(D46)-1, 'From Order'!$A46)), 1), D45))"),"DTCHSPVMZDLTD")</f>
        <v>DTCHSPVMZDLTD</v>
      </c>
      <c r="E46" s="2" t="str">
        <f>IFERROR(__xludf.DUMMYFUNCTION("IF('From Order'!$A46=COLUMNS($A46:E65), LEFT(INDEX(FILTER(E$1:E45, E$1:E45&lt;&gt;""""),COUNTA(FILTER(E$1:E45, E$1:E45&lt;&gt;""""))), LEN(INDEX(FILTER(E$1:E45, E$1:E45&lt;&gt;""""),COUNTA(FILTER(E$1:E45, E$1:E45&lt;&gt;""""))))-1), IF('To Order'!$A46=COLUMNS($A46:E65), E45&amp;RIGH"&amp;"T(INDIRECT(ADDRESS(ROW(E46)-1, 'From Order'!$A46)), 1), E45))"),"GPBSC")</f>
        <v>GPBSC</v>
      </c>
      <c r="F46" s="2" t="str">
        <f>IFERROR(__xludf.DUMMYFUNCTION("IF('From Order'!$A46=COLUMNS($A46:F65), LEFT(INDEX(FILTER(F$1:F45, F$1:F45&lt;&gt;""""),COUNTA(FILTER(F$1:F45, F$1:F45&lt;&gt;""""))), LEN(INDEX(FILTER(F$1:F45, F$1:F45&lt;&gt;""""),COUNTA(FILTER(F$1:F45, F$1:F45&lt;&gt;""""))))-1), IF('To Order'!$A46=COLUMNS($A46:F65), F45&amp;RIGH"&amp;"T(INDIRECT(ADDRESS(ROW(F46)-1, 'From Order'!$A46)), 1), F45))"),"FBR")</f>
        <v>FBR</v>
      </c>
      <c r="G46" s="2" t="str">
        <f>IFERROR(__xludf.DUMMYFUNCTION("IF('From Order'!$A46=COLUMNS($A46:G65), LEFT(INDEX(FILTER(G$1:G45, G$1:G45&lt;&gt;""""),COUNTA(FILTER(G$1:G45, G$1:G45&lt;&gt;""""))), LEN(INDEX(FILTER(G$1:G45, G$1:G45&lt;&gt;""""),COUNTA(FILTER(G$1:G45, G$1:G45&lt;&gt;""""))))-1), IF('To Order'!$A46=COLUMNS($A46:G65), G45&amp;RIGH"&amp;"T(INDIRECT(ADDRESS(ROW(G46)-1, 'From Order'!$A46)), 1), G45))"),"L")</f>
        <v>L</v>
      </c>
      <c r="H46" s="2" t="str">
        <f>IFERROR(__xludf.DUMMYFUNCTION("IF('From Order'!$A46=COLUMNS($A46:H65), LEFT(INDEX(FILTER(H$1:H45, H$1:H45&lt;&gt;""""),COUNTA(FILTER(H$1:H45, H$1:H45&lt;&gt;""""))), LEN(INDEX(FILTER(H$1:H45, H$1:H45&lt;&gt;""""),COUNTA(FILTER(H$1:H45, H$1:H45&lt;&gt;""""))))-1), IF('To Order'!$A46=COLUMNS($A46:H65), H45&amp;RIGH"&amp;"T(INDIRECT(ADDRESS(ROW(H46)-1, 'From Order'!$A46)), 1), H45))"),"")</f>
        <v/>
      </c>
      <c r="I46" s="2" t="str">
        <f>IFERROR(__xludf.DUMMYFUNCTION("IF('From Order'!$A46=COLUMNS($A46:I65), LEFT(INDEX(FILTER(I$1:I45, I$1:I45&lt;&gt;""""),COUNTA(FILTER(I$1:I45, I$1:I45&lt;&gt;""""))), LEN(INDEX(FILTER(I$1:I45, I$1:I45&lt;&gt;""""),COUNTA(FILTER(I$1:I45, I$1:I45&lt;&gt;""""))))-1), IF('To Order'!$A46=COLUMNS($A46:I65), I45&amp;RIGH"&amp;"T(INDIRECT(ADDRESS(ROW(I46)-1, 'From Order'!$A46)), 1), I45))"),"QPDSVTDCQMVTBRHZJRBJLW")</f>
        <v>QPDSVTDCQMVTBRHZJRBJLW</v>
      </c>
    </row>
    <row r="47">
      <c r="A47" s="2" t="str">
        <f>IFERROR(__xludf.DUMMYFUNCTION("IF('From Order'!$A47=COLUMNS($A47:A66), LEFT(INDEX(FILTER(A$1:A46, A$1:A46&lt;&gt;""""),COUNTA(FILTER(A$1:A46, A$1:A46&lt;&gt;""""))), LEN(INDEX(FILTER(A$1:A46, A$1:A46&lt;&gt;""""),COUNTA(FILTER(A$1:A46, A$1:A46&lt;&gt;""""))))-1), IF('To Order'!$A47=COLUMNS($A47:A66), A46&amp;RIGH"&amp;"T(INDIRECT(ADDRESS(ROW(A47)-1, 'From Order'!$A47)), 1), A46))"),"")</f>
        <v/>
      </c>
      <c r="B47" s="2" t="str">
        <f>IFERROR(__xludf.DUMMYFUNCTION("IF('From Order'!$A47=COLUMNS($A47:B66), LEFT(INDEX(FILTER(B$1:B46, B$1:B46&lt;&gt;""""),COUNTA(FILTER(B$1:B46, B$1:B46&lt;&gt;""""))), LEN(INDEX(FILTER(B$1:B46, B$1:B46&lt;&gt;""""),COUNTA(FILTER(B$1:B46, B$1:B46&lt;&gt;""""))))-1), IF('To Order'!$A47=COLUMNS($A47:B66), B46&amp;RIGH"&amp;"T(INDIRECT(ADDRESS(ROW(B47)-1, 'From Order'!$A47)), 1), B46))"),"SW")</f>
        <v>SW</v>
      </c>
      <c r="C47" s="2" t="str">
        <f>IFERROR(__xludf.DUMMYFUNCTION("IF('From Order'!$A47=COLUMNS($A47:C66), LEFT(INDEX(FILTER(C$1:C46, C$1:C46&lt;&gt;""""),COUNTA(FILTER(C$1:C46, C$1:C46&lt;&gt;""""))), LEN(INDEX(FILTER(C$1:C46, C$1:C46&lt;&gt;""""),COUNTA(FILTER(C$1:C46, C$1:C46&lt;&gt;""""))))-1), IF('To Order'!$A47=COLUMNS($A47:C66), C46&amp;RIGH"&amp;"T(INDIRECT(ADDRESS(ROW(C47)-1, 'From Order'!$A47)), 1), C46))"),"RZTRTFMJDG")</f>
        <v>RZTRTFMJDG</v>
      </c>
      <c r="D47" s="2" t="str">
        <f>IFERROR(__xludf.DUMMYFUNCTION("IF('From Order'!$A47=COLUMNS($A47:D66), LEFT(INDEX(FILTER(D$1:D46, D$1:D46&lt;&gt;""""),COUNTA(FILTER(D$1:D46, D$1:D46&lt;&gt;""""))), LEN(INDEX(FILTER(D$1:D46, D$1:D46&lt;&gt;""""),COUNTA(FILTER(D$1:D46, D$1:D46&lt;&gt;""""))))-1), IF('To Order'!$A47=COLUMNS($A47:D66), D46&amp;RIGH"&amp;"T(INDIRECT(ADDRESS(ROW(D47)-1, 'From Order'!$A47)), 1), D46))"),"DTCHSPVMZDLTD")</f>
        <v>DTCHSPVMZDLTD</v>
      </c>
      <c r="E47" s="2" t="str">
        <f>IFERROR(__xludf.DUMMYFUNCTION("IF('From Order'!$A47=COLUMNS($A47:E66), LEFT(INDEX(FILTER(E$1:E46, E$1:E46&lt;&gt;""""),COUNTA(FILTER(E$1:E46, E$1:E46&lt;&gt;""""))), LEN(INDEX(FILTER(E$1:E46, E$1:E46&lt;&gt;""""),COUNTA(FILTER(E$1:E46, E$1:E46&lt;&gt;""""))))-1), IF('To Order'!$A47=COLUMNS($A47:E66), E46&amp;RIGH"&amp;"T(INDIRECT(ADDRESS(ROW(E47)-1, 'From Order'!$A47)), 1), E46))"),"GPBSC")</f>
        <v>GPBSC</v>
      </c>
      <c r="F47" s="2" t="str">
        <f>IFERROR(__xludf.DUMMYFUNCTION("IF('From Order'!$A47=COLUMNS($A47:F66), LEFT(INDEX(FILTER(F$1:F46, F$1:F46&lt;&gt;""""),COUNTA(FILTER(F$1:F46, F$1:F46&lt;&gt;""""))), LEN(INDEX(FILTER(F$1:F46, F$1:F46&lt;&gt;""""),COUNTA(FILTER(F$1:F46, F$1:F46&lt;&gt;""""))))-1), IF('To Order'!$A47=COLUMNS($A47:F66), F46&amp;RIGH"&amp;"T(INDIRECT(ADDRESS(ROW(F47)-1, 'From Order'!$A47)), 1), F46))"),"FBR")</f>
        <v>FBR</v>
      </c>
      <c r="G47" s="2" t="str">
        <f>IFERROR(__xludf.DUMMYFUNCTION("IF('From Order'!$A47=COLUMNS($A47:G66), LEFT(INDEX(FILTER(G$1:G46, G$1:G46&lt;&gt;""""),COUNTA(FILTER(G$1:G46, G$1:G46&lt;&gt;""""))), LEN(INDEX(FILTER(G$1:G46, G$1:G46&lt;&gt;""""),COUNTA(FILTER(G$1:G46, G$1:G46&lt;&gt;""""))))-1), IF('To Order'!$A47=COLUMNS($A47:G66), G46&amp;RIGH"&amp;"T(INDIRECT(ADDRESS(ROW(G47)-1, 'From Order'!$A47)), 1), G46))"),"LW")</f>
        <v>LW</v>
      </c>
      <c r="H47" s="2" t="str">
        <f>IFERROR(__xludf.DUMMYFUNCTION("IF('From Order'!$A47=COLUMNS($A47:H66), LEFT(INDEX(FILTER(H$1:H46, H$1:H46&lt;&gt;""""),COUNTA(FILTER(H$1:H46, H$1:H46&lt;&gt;""""))), LEN(INDEX(FILTER(H$1:H46, H$1:H46&lt;&gt;""""),COUNTA(FILTER(H$1:H46, H$1:H46&lt;&gt;""""))))-1), IF('To Order'!$A47=COLUMNS($A47:H66), H46&amp;RIGH"&amp;"T(INDIRECT(ADDRESS(ROW(H47)-1, 'From Order'!$A47)), 1), H46))"),"")</f>
        <v/>
      </c>
      <c r="I47" s="2" t="str">
        <f>IFERROR(__xludf.DUMMYFUNCTION("IF('From Order'!$A47=COLUMNS($A47:I66), LEFT(INDEX(FILTER(I$1:I46, I$1:I46&lt;&gt;""""),COUNTA(FILTER(I$1:I46, I$1:I46&lt;&gt;""""))), LEN(INDEX(FILTER(I$1:I46, I$1:I46&lt;&gt;""""),COUNTA(FILTER(I$1:I46, I$1:I46&lt;&gt;""""))))-1), IF('To Order'!$A47=COLUMNS($A47:I66), I46&amp;RIGH"&amp;"T(INDIRECT(ADDRESS(ROW(I47)-1, 'From Order'!$A47)), 1), I46))"),"QPDSVTDCQMVTBRHZJRBJL")</f>
        <v>QPDSVTDCQMVTBRHZJRBJL</v>
      </c>
    </row>
    <row r="48">
      <c r="A48" s="2" t="str">
        <f>IFERROR(__xludf.DUMMYFUNCTION("IF('From Order'!$A48=COLUMNS($A48:A67), LEFT(INDEX(FILTER(A$1:A47, A$1:A47&lt;&gt;""""),COUNTA(FILTER(A$1:A47, A$1:A47&lt;&gt;""""))), LEN(INDEX(FILTER(A$1:A47, A$1:A47&lt;&gt;""""),COUNTA(FILTER(A$1:A47, A$1:A47&lt;&gt;""""))))-1), IF('To Order'!$A48=COLUMNS($A48:A67), A47&amp;RIGH"&amp;"T(INDIRECT(ADDRESS(ROW(A48)-1, 'From Order'!$A48)), 1), A47))"),"")</f>
        <v/>
      </c>
      <c r="B48" s="2" t="str">
        <f>IFERROR(__xludf.DUMMYFUNCTION("IF('From Order'!$A48=COLUMNS($A48:B67), LEFT(INDEX(FILTER(B$1:B47, B$1:B47&lt;&gt;""""),COUNTA(FILTER(B$1:B47, B$1:B47&lt;&gt;""""))), LEN(INDEX(FILTER(B$1:B47, B$1:B47&lt;&gt;""""),COUNTA(FILTER(B$1:B47, B$1:B47&lt;&gt;""""))))-1), IF('To Order'!$A48=COLUMNS($A48:B67), B47&amp;RIGH"&amp;"T(INDIRECT(ADDRESS(ROW(B48)-1, 'From Order'!$A48)), 1), B47))"),"SW")</f>
        <v>SW</v>
      </c>
      <c r="C48" s="2" t="str">
        <f>IFERROR(__xludf.DUMMYFUNCTION("IF('From Order'!$A48=COLUMNS($A48:C67), LEFT(INDEX(FILTER(C$1:C47, C$1:C47&lt;&gt;""""),COUNTA(FILTER(C$1:C47, C$1:C47&lt;&gt;""""))), LEN(INDEX(FILTER(C$1:C47, C$1:C47&lt;&gt;""""),COUNTA(FILTER(C$1:C47, C$1:C47&lt;&gt;""""))))-1), IF('To Order'!$A48=COLUMNS($A48:C67), C47&amp;RIGH"&amp;"T(INDIRECT(ADDRESS(ROW(C48)-1, 'From Order'!$A48)), 1), C47))"),"RZTRTFMJDG")</f>
        <v>RZTRTFMJDG</v>
      </c>
      <c r="D48" s="2" t="str">
        <f>IFERROR(__xludf.DUMMYFUNCTION("IF('From Order'!$A48=COLUMNS($A48:D67), LEFT(INDEX(FILTER(D$1:D47, D$1:D47&lt;&gt;""""),COUNTA(FILTER(D$1:D47, D$1:D47&lt;&gt;""""))), LEN(INDEX(FILTER(D$1:D47, D$1:D47&lt;&gt;""""),COUNTA(FILTER(D$1:D47, D$1:D47&lt;&gt;""""))))-1), IF('To Order'!$A48=COLUMNS($A48:D67), D47&amp;RIGH"&amp;"T(INDIRECT(ADDRESS(ROW(D48)-1, 'From Order'!$A48)), 1), D47))"),"DTCHSPVMZDLTD")</f>
        <v>DTCHSPVMZDLTD</v>
      </c>
      <c r="E48" s="2" t="str">
        <f>IFERROR(__xludf.DUMMYFUNCTION("IF('From Order'!$A48=COLUMNS($A48:E67), LEFT(INDEX(FILTER(E$1:E47, E$1:E47&lt;&gt;""""),COUNTA(FILTER(E$1:E47, E$1:E47&lt;&gt;""""))), LEN(INDEX(FILTER(E$1:E47, E$1:E47&lt;&gt;""""),COUNTA(FILTER(E$1:E47, E$1:E47&lt;&gt;""""))))-1), IF('To Order'!$A48=COLUMNS($A48:E67), E47&amp;RIGH"&amp;"T(INDIRECT(ADDRESS(ROW(E48)-1, 'From Order'!$A48)), 1), E47))"),"GPBSC")</f>
        <v>GPBSC</v>
      </c>
      <c r="F48" s="2" t="str">
        <f>IFERROR(__xludf.DUMMYFUNCTION("IF('From Order'!$A48=COLUMNS($A48:F67), LEFT(INDEX(FILTER(F$1:F47, F$1:F47&lt;&gt;""""),COUNTA(FILTER(F$1:F47, F$1:F47&lt;&gt;""""))), LEN(INDEX(FILTER(F$1:F47, F$1:F47&lt;&gt;""""),COUNTA(FILTER(F$1:F47, F$1:F47&lt;&gt;""""))))-1), IF('To Order'!$A48=COLUMNS($A48:F67), F47&amp;RIGH"&amp;"T(INDIRECT(ADDRESS(ROW(F48)-1, 'From Order'!$A48)), 1), F47))"),"FBR")</f>
        <v>FBR</v>
      </c>
      <c r="G48" s="2" t="str">
        <f>IFERROR(__xludf.DUMMYFUNCTION("IF('From Order'!$A48=COLUMNS($A48:G67), LEFT(INDEX(FILTER(G$1:G47, G$1:G47&lt;&gt;""""),COUNTA(FILTER(G$1:G47, G$1:G47&lt;&gt;""""))), LEN(INDEX(FILTER(G$1:G47, G$1:G47&lt;&gt;""""),COUNTA(FILTER(G$1:G47, G$1:G47&lt;&gt;""""))))-1), IF('To Order'!$A48=COLUMNS($A48:G67), G47&amp;RIGH"&amp;"T(INDIRECT(ADDRESS(ROW(G48)-1, 'From Order'!$A48)), 1), G47))"),"LWL")</f>
        <v>LWL</v>
      </c>
      <c r="H48" s="2" t="str">
        <f>IFERROR(__xludf.DUMMYFUNCTION("IF('From Order'!$A48=COLUMNS($A48:H67), LEFT(INDEX(FILTER(H$1:H47, H$1:H47&lt;&gt;""""),COUNTA(FILTER(H$1:H47, H$1:H47&lt;&gt;""""))), LEN(INDEX(FILTER(H$1:H47, H$1:H47&lt;&gt;""""),COUNTA(FILTER(H$1:H47, H$1:H47&lt;&gt;""""))))-1), IF('To Order'!$A48=COLUMNS($A48:H67), H47&amp;RIGH"&amp;"T(INDIRECT(ADDRESS(ROW(H48)-1, 'From Order'!$A48)), 1), H47))"),"")</f>
        <v/>
      </c>
      <c r="I48" s="2" t="str">
        <f>IFERROR(__xludf.DUMMYFUNCTION("IF('From Order'!$A48=COLUMNS($A48:I67), LEFT(INDEX(FILTER(I$1:I47, I$1:I47&lt;&gt;""""),COUNTA(FILTER(I$1:I47, I$1:I47&lt;&gt;""""))), LEN(INDEX(FILTER(I$1:I47, I$1:I47&lt;&gt;""""),COUNTA(FILTER(I$1:I47, I$1:I47&lt;&gt;""""))))-1), IF('To Order'!$A48=COLUMNS($A48:I67), I47&amp;RIGH"&amp;"T(INDIRECT(ADDRESS(ROW(I48)-1, 'From Order'!$A48)), 1), I47))"),"QPDSVTDCQMVTBRHZJRBJ")</f>
        <v>QPDSVTDCQMVTBRHZJRBJ</v>
      </c>
    </row>
    <row r="49">
      <c r="A49" s="2" t="str">
        <f>IFERROR(__xludf.DUMMYFUNCTION("IF('From Order'!$A49=COLUMNS($A49:A68), LEFT(INDEX(FILTER(A$1:A48, A$1:A48&lt;&gt;""""),COUNTA(FILTER(A$1:A48, A$1:A48&lt;&gt;""""))), LEN(INDEX(FILTER(A$1:A48, A$1:A48&lt;&gt;""""),COUNTA(FILTER(A$1:A48, A$1:A48&lt;&gt;""""))))-1), IF('To Order'!$A49=COLUMNS($A49:A68), A48&amp;RIGH"&amp;"T(INDIRECT(ADDRESS(ROW(A49)-1, 'From Order'!$A49)), 1), A48))"),"")</f>
        <v/>
      </c>
      <c r="B49" s="2" t="str">
        <f>IFERROR(__xludf.DUMMYFUNCTION("IF('From Order'!$A49=COLUMNS($A49:B68), LEFT(INDEX(FILTER(B$1:B48, B$1:B48&lt;&gt;""""),COUNTA(FILTER(B$1:B48, B$1:B48&lt;&gt;""""))), LEN(INDEX(FILTER(B$1:B48, B$1:B48&lt;&gt;""""),COUNTA(FILTER(B$1:B48, B$1:B48&lt;&gt;""""))))-1), IF('To Order'!$A49=COLUMNS($A49:B68), B48&amp;RIGH"&amp;"T(INDIRECT(ADDRESS(ROW(B49)-1, 'From Order'!$A49)), 1), B48))"),"SW")</f>
        <v>SW</v>
      </c>
      <c r="C49" s="2" t="str">
        <f>IFERROR(__xludf.DUMMYFUNCTION("IF('From Order'!$A49=COLUMNS($A49:C68), LEFT(INDEX(FILTER(C$1:C48, C$1:C48&lt;&gt;""""),COUNTA(FILTER(C$1:C48, C$1:C48&lt;&gt;""""))), LEN(INDEX(FILTER(C$1:C48, C$1:C48&lt;&gt;""""),COUNTA(FILTER(C$1:C48, C$1:C48&lt;&gt;""""))))-1), IF('To Order'!$A49=COLUMNS($A49:C68), C48&amp;RIGH"&amp;"T(INDIRECT(ADDRESS(ROW(C49)-1, 'From Order'!$A49)), 1), C48))"),"RZTRTFMJDG")</f>
        <v>RZTRTFMJDG</v>
      </c>
      <c r="D49" s="2" t="str">
        <f>IFERROR(__xludf.DUMMYFUNCTION("IF('From Order'!$A49=COLUMNS($A49:D68), LEFT(INDEX(FILTER(D$1:D48, D$1:D48&lt;&gt;""""),COUNTA(FILTER(D$1:D48, D$1:D48&lt;&gt;""""))), LEN(INDEX(FILTER(D$1:D48, D$1:D48&lt;&gt;""""),COUNTA(FILTER(D$1:D48, D$1:D48&lt;&gt;""""))))-1), IF('To Order'!$A49=COLUMNS($A49:D68), D48&amp;RIGH"&amp;"T(INDIRECT(ADDRESS(ROW(D49)-1, 'From Order'!$A49)), 1), D48))"),"DTCHSPVMZDLTD")</f>
        <v>DTCHSPVMZDLTD</v>
      </c>
      <c r="E49" s="2" t="str">
        <f>IFERROR(__xludf.DUMMYFUNCTION("IF('From Order'!$A49=COLUMNS($A49:E68), LEFT(INDEX(FILTER(E$1:E48, E$1:E48&lt;&gt;""""),COUNTA(FILTER(E$1:E48, E$1:E48&lt;&gt;""""))), LEN(INDEX(FILTER(E$1:E48, E$1:E48&lt;&gt;""""),COUNTA(FILTER(E$1:E48, E$1:E48&lt;&gt;""""))))-1), IF('To Order'!$A49=COLUMNS($A49:E68), E48&amp;RIGH"&amp;"T(INDIRECT(ADDRESS(ROW(E49)-1, 'From Order'!$A49)), 1), E48))"),"GPBSC")</f>
        <v>GPBSC</v>
      </c>
      <c r="F49" s="2" t="str">
        <f>IFERROR(__xludf.DUMMYFUNCTION("IF('From Order'!$A49=COLUMNS($A49:F68), LEFT(INDEX(FILTER(F$1:F48, F$1:F48&lt;&gt;""""),COUNTA(FILTER(F$1:F48, F$1:F48&lt;&gt;""""))), LEN(INDEX(FILTER(F$1:F48, F$1:F48&lt;&gt;""""),COUNTA(FILTER(F$1:F48, F$1:F48&lt;&gt;""""))))-1), IF('To Order'!$A49=COLUMNS($A49:F68), F48&amp;RIGH"&amp;"T(INDIRECT(ADDRESS(ROW(F49)-1, 'From Order'!$A49)), 1), F48))"),"FBR")</f>
        <v>FBR</v>
      </c>
      <c r="G49" s="2" t="str">
        <f>IFERROR(__xludf.DUMMYFUNCTION("IF('From Order'!$A49=COLUMNS($A49:G68), LEFT(INDEX(FILTER(G$1:G48, G$1:G48&lt;&gt;""""),COUNTA(FILTER(G$1:G48, G$1:G48&lt;&gt;""""))), LEN(INDEX(FILTER(G$1:G48, G$1:G48&lt;&gt;""""),COUNTA(FILTER(G$1:G48, G$1:G48&lt;&gt;""""))))-1), IF('To Order'!$A49=COLUMNS($A49:G68), G48&amp;RIGH"&amp;"T(INDIRECT(ADDRESS(ROW(G49)-1, 'From Order'!$A49)), 1), G48))"),"LWLJ")</f>
        <v>LWLJ</v>
      </c>
      <c r="H49" s="2" t="str">
        <f>IFERROR(__xludf.DUMMYFUNCTION("IF('From Order'!$A49=COLUMNS($A49:H68), LEFT(INDEX(FILTER(H$1:H48, H$1:H48&lt;&gt;""""),COUNTA(FILTER(H$1:H48, H$1:H48&lt;&gt;""""))), LEN(INDEX(FILTER(H$1:H48, H$1:H48&lt;&gt;""""),COUNTA(FILTER(H$1:H48, H$1:H48&lt;&gt;""""))))-1), IF('To Order'!$A49=COLUMNS($A49:H68), H48&amp;RIGH"&amp;"T(INDIRECT(ADDRESS(ROW(H49)-1, 'From Order'!$A49)), 1), H48))"),"")</f>
        <v/>
      </c>
      <c r="I49" s="2" t="str">
        <f>IFERROR(__xludf.DUMMYFUNCTION("IF('From Order'!$A49=COLUMNS($A49:I68), LEFT(INDEX(FILTER(I$1:I48, I$1:I48&lt;&gt;""""),COUNTA(FILTER(I$1:I48, I$1:I48&lt;&gt;""""))), LEN(INDEX(FILTER(I$1:I48, I$1:I48&lt;&gt;""""),COUNTA(FILTER(I$1:I48, I$1:I48&lt;&gt;""""))))-1), IF('To Order'!$A49=COLUMNS($A49:I68), I48&amp;RIGH"&amp;"T(INDIRECT(ADDRESS(ROW(I49)-1, 'From Order'!$A49)), 1), I48))"),"QPDSVTDCQMVTBRHZJRB")</f>
        <v>QPDSVTDCQMVTBRHZJRB</v>
      </c>
    </row>
    <row r="50">
      <c r="A50" s="2" t="str">
        <f>IFERROR(__xludf.DUMMYFUNCTION("IF('From Order'!$A50=COLUMNS($A50:A69), LEFT(INDEX(FILTER(A$1:A49, A$1:A49&lt;&gt;""""),COUNTA(FILTER(A$1:A49, A$1:A49&lt;&gt;""""))), LEN(INDEX(FILTER(A$1:A49, A$1:A49&lt;&gt;""""),COUNTA(FILTER(A$1:A49, A$1:A49&lt;&gt;""""))))-1), IF('To Order'!$A50=COLUMNS($A50:A69), A49&amp;RIGH"&amp;"T(INDIRECT(ADDRESS(ROW(A50)-1, 'From Order'!$A50)), 1), A49))"),"")</f>
        <v/>
      </c>
      <c r="B50" s="2" t="str">
        <f>IFERROR(__xludf.DUMMYFUNCTION("IF('From Order'!$A50=COLUMNS($A50:B69), LEFT(INDEX(FILTER(B$1:B49, B$1:B49&lt;&gt;""""),COUNTA(FILTER(B$1:B49, B$1:B49&lt;&gt;""""))), LEN(INDEX(FILTER(B$1:B49, B$1:B49&lt;&gt;""""),COUNTA(FILTER(B$1:B49, B$1:B49&lt;&gt;""""))))-1), IF('To Order'!$A50=COLUMNS($A50:B69), B49&amp;RIGH"&amp;"T(INDIRECT(ADDRESS(ROW(B50)-1, 'From Order'!$A50)), 1), B49))"),"SW")</f>
        <v>SW</v>
      </c>
      <c r="C50" s="2" t="str">
        <f>IFERROR(__xludf.DUMMYFUNCTION("IF('From Order'!$A50=COLUMNS($A50:C69), LEFT(INDEX(FILTER(C$1:C49, C$1:C49&lt;&gt;""""),COUNTA(FILTER(C$1:C49, C$1:C49&lt;&gt;""""))), LEN(INDEX(FILTER(C$1:C49, C$1:C49&lt;&gt;""""),COUNTA(FILTER(C$1:C49, C$1:C49&lt;&gt;""""))))-1), IF('To Order'!$A50=COLUMNS($A50:C69), C49&amp;RIGH"&amp;"T(INDIRECT(ADDRESS(ROW(C50)-1, 'From Order'!$A50)), 1), C49))"),"RZTRTFMJDG")</f>
        <v>RZTRTFMJDG</v>
      </c>
      <c r="D50" s="2" t="str">
        <f>IFERROR(__xludf.DUMMYFUNCTION("IF('From Order'!$A50=COLUMNS($A50:D69), LEFT(INDEX(FILTER(D$1:D49, D$1:D49&lt;&gt;""""),COUNTA(FILTER(D$1:D49, D$1:D49&lt;&gt;""""))), LEN(INDEX(FILTER(D$1:D49, D$1:D49&lt;&gt;""""),COUNTA(FILTER(D$1:D49, D$1:D49&lt;&gt;""""))))-1), IF('To Order'!$A50=COLUMNS($A50:D69), D49&amp;RIGH"&amp;"T(INDIRECT(ADDRESS(ROW(D50)-1, 'From Order'!$A50)), 1), D49))"),"DTCHSPVMZDLTD")</f>
        <v>DTCHSPVMZDLTD</v>
      </c>
      <c r="E50" s="2" t="str">
        <f>IFERROR(__xludf.DUMMYFUNCTION("IF('From Order'!$A50=COLUMNS($A50:E69), LEFT(INDEX(FILTER(E$1:E49, E$1:E49&lt;&gt;""""),COUNTA(FILTER(E$1:E49, E$1:E49&lt;&gt;""""))), LEN(INDEX(FILTER(E$1:E49, E$1:E49&lt;&gt;""""),COUNTA(FILTER(E$1:E49, E$1:E49&lt;&gt;""""))))-1), IF('To Order'!$A50=COLUMNS($A50:E69), E49&amp;RIGH"&amp;"T(INDIRECT(ADDRESS(ROW(E50)-1, 'From Order'!$A50)), 1), E49))"),"GPBSC")</f>
        <v>GPBSC</v>
      </c>
      <c r="F50" s="2" t="str">
        <f>IFERROR(__xludf.DUMMYFUNCTION("IF('From Order'!$A50=COLUMNS($A50:F69), LEFT(INDEX(FILTER(F$1:F49, F$1:F49&lt;&gt;""""),COUNTA(FILTER(F$1:F49, F$1:F49&lt;&gt;""""))), LEN(INDEX(FILTER(F$1:F49, F$1:F49&lt;&gt;""""),COUNTA(FILTER(F$1:F49, F$1:F49&lt;&gt;""""))))-1), IF('To Order'!$A50=COLUMNS($A50:F69), F49&amp;RIGH"&amp;"T(INDIRECT(ADDRESS(ROW(F50)-1, 'From Order'!$A50)), 1), F49))"),"FBR")</f>
        <v>FBR</v>
      </c>
      <c r="G50" s="2" t="str">
        <f>IFERROR(__xludf.DUMMYFUNCTION("IF('From Order'!$A50=COLUMNS($A50:G69), LEFT(INDEX(FILTER(G$1:G49, G$1:G49&lt;&gt;""""),COUNTA(FILTER(G$1:G49, G$1:G49&lt;&gt;""""))), LEN(INDEX(FILTER(G$1:G49, G$1:G49&lt;&gt;""""),COUNTA(FILTER(G$1:G49, G$1:G49&lt;&gt;""""))))-1), IF('To Order'!$A50=COLUMNS($A50:G69), G49&amp;RIGH"&amp;"T(INDIRECT(ADDRESS(ROW(G50)-1, 'From Order'!$A50)), 1), G49))"),"LWLJB")</f>
        <v>LWLJB</v>
      </c>
      <c r="H50" s="2" t="str">
        <f>IFERROR(__xludf.DUMMYFUNCTION("IF('From Order'!$A50=COLUMNS($A50:H69), LEFT(INDEX(FILTER(H$1:H49, H$1:H49&lt;&gt;""""),COUNTA(FILTER(H$1:H49, H$1:H49&lt;&gt;""""))), LEN(INDEX(FILTER(H$1:H49, H$1:H49&lt;&gt;""""),COUNTA(FILTER(H$1:H49, H$1:H49&lt;&gt;""""))))-1), IF('To Order'!$A50=COLUMNS($A50:H69), H49&amp;RIGH"&amp;"T(INDIRECT(ADDRESS(ROW(H50)-1, 'From Order'!$A50)), 1), H49))"),"")</f>
        <v/>
      </c>
      <c r="I50" s="2" t="str">
        <f>IFERROR(__xludf.DUMMYFUNCTION("IF('From Order'!$A50=COLUMNS($A50:I69), LEFT(INDEX(FILTER(I$1:I49, I$1:I49&lt;&gt;""""),COUNTA(FILTER(I$1:I49, I$1:I49&lt;&gt;""""))), LEN(INDEX(FILTER(I$1:I49, I$1:I49&lt;&gt;""""),COUNTA(FILTER(I$1:I49, I$1:I49&lt;&gt;""""))))-1), IF('To Order'!$A50=COLUMNS($A50:I69), I49&amp;RIGH"&amp;"T(INDIRECT(ADDRESS(ROW(I50)-1, 'From Order'!$A50)), 1), I49))"),"QPDSVTDCQMVTBRHZJR")</f>
        <v>QPDSVTDCQMVTBRHZJR</v>
      </c>
    </row>
    <row r="51">
      <c r="A51" s="2" t="str">
        <f>IFERROR(__xludf.DUMMYFUNCTION("IF('From Order'!$A51=COLUMNS($A51:A70), LEFT(INDEX(FILTER(A$1:A50, A$1:A50&lt;&gt;""""),COUNTA(FILTER(A$1:A50, A$1:A50&lt;&gt;""""))), LEN(INDEX(FILTER(A$1:A50, A$1:A50&lt;&gt;""""),COUNTA(FILTER(A$1:A50, A$1:A50&lt;&gt;""""))))-1), IF('To Order'!$A51=COLUMNS($A51:A70), A50&amp;RIGH"&amp;"T(INDIRECT(ADDRESS(ROW(A51)-1, 'From Order'!$A51)), 1), A50))"),"")</f>
        <v/>
      </c>
      <c r="B51" s="2" t="str">
        <f>IFERROR(__xludf.DUMMYFUNCTION("IF('From Order'!$A51=COLUMNS($A51:B70), LEFT(INDEX(FILTER(B$1:B50, B$1:B50&lt;&gt;""""),COUNTA(FILTER(B$1:B50, B$1:B50&lt;&gt;""""))), LEN(INDEX(FILTER(B$1:B50, B$1:B50&lt;&gt;""""),COUNTA(FILTER(B$1:B50, B$1:B50&lt;&gt;""""))))-1), IF('To Order'!$A51=COLUMNS($A51:B70), B50&amp;RIGH"&amp;"T(INDIRECT(ADDRESS(ROW(B51)-1, 'From Order'!$A51)), 1), B50))"),"SW")</f>
        <v>SW</v>
      </c>
      <c r="C51" s="2" t="str">
        <f>IFERROR(__xludf.DUMMYFUNCTION("IF('From Order'!$A51=COLUMNS($A51:C70), LEFT(INDEX(FILTER(C$1:C50, C$1:C50&lt;&gt;""""),COUNTA(FILTER(C$1:C50, C$1:C50&lt;&gt;""""))), LEN(INDEX(FILTER(C$1:C50, C$1:C50&lt;&gt;""""),COUNTA(FILTER(C$1:C50, C$1:C50&lt;&gt;""""))))-1), IF('To Order'!$A51=COLUMNS($A51:C70), C50&amp;RIGH"&amp;"T(INDIRECT(ADDRESS(ROW(C51)-1, 'From Order'!$A51)), 1), C50))"),"RZTRTFMJDG")</f>
        <v>RZTRTFMJDG</v>
      </c>
      <c r="D51" s="2" t="str">
        <f>IFERROR(__xludf.DUMMYFUNCTION("IF('From Order'!$A51=COLUMNS($A51:D70), LEFT(INDEX(FILTER(D$1:D50, D$1:D50&lt;&gt;""""),COUNTA(FILTER(D$1:D50, D$1:D50&lt;&gt;""""))), LEN(INDEX(FILTER(D$1:D50, D$1:D50&lt;&gt;""""),COUNTA(FILTER(D$1:D50, D$1:D50&lt;&gt;""""))))-1), IF('To Order'!$A51=COLUMNS($A51:D70), D50&amp;RIGH"&amp;"T(INDIRECT(ADDRESS(ROW(D51)-1, 'From Order'!$A51)), 1), D50))"),"DTCHSPVMZDLTD")</f>
        <v>DTCHSPVMZDLTD</v>
      </c>
      <c r="E51" s="2" t="str">
        <f>IFERROR(__xludf.DUMMYFUNCTION("IF('From Order'!$A51=COLUMNS($A51:E70), LEFT(INDEX(FILTER(E$1:E50, E$1:E50&lt;&gt;""""),COUNTA(FILTER(E$1:E50, E$1:E50&lt;&gt;""""))), LEN(INDEX(FILTER(E$1:E50, E$1:E50&lt;&gt;""""),COUNTA(FILTER(E$1:E50, E$1:E50&lt;&gt;""""))))-1), IF('To Order'!$A51=COLUMNS($A51:E70), E50&amp;RIGH"&amp;"T(INDIRECT(ADDRESS(ROW(E51)-1, 'From Order'!$A51)), 1), E50))"),"GPBSC")</f>
        <v>GPBSC</v>
      </c>
      <c r="F51" s="2" t="str">
        <f>IFERROR(__xludf.DUMMYFUNCTION("IF('From Order'!$A51=COLUMNS($A51:F70), LEFT(INDEX(FILTER(F$1:F50, F$1:F50&lt;&gt;""""),COUNTA(FILTER(F$1:F50, F$1:F50&lt;&gt;""""))), LEN(INDEX(FILTER(F$1:F50, F$1:F50&lt;&gt;""""),COUNTA(FILTER(F$1:F50, F$1:F50&lt;&gt;""""))))-1), IF('To Order'!$A51=COLUMNS($A51:F70), F50&amp;RIGH"&amp;"T(INDIRECT(ADDRESS(ROW(F51)-1, 'From Order'!$A51)), 1), F50))"),"FBR")</f>
        <v>FBR</v>
      </c>
      <c r="G51" s="2" t="str">
        <f>IFERROR(__xludf.DUMMYFUNCTION("IF('From Order'!$A51=COLUMNS($A51:G70), LEFT(INDEX(FILTER(G$1:G50, G$1:G50&lt;&gt;""""),COUNTA(FILTER(G$1:G50, G$1:G50&lt;&gt;""""))), LEN(INDEX(FILTER(G$1:G50, G$1:G50&lt;&gt;""""),COUNTA(FILTER(G$1:G50, G$1:G50&lt;&gt;""""))))-1), IF('To Order'!$A51=COLUMNS($A51:G70), G50&amp;RIGH"&amp;"T(INDIRECT(ADDRESS(ROW(G51)-1, 'From Order'!$A51)), 1), G50))"),"LWLJBR")</f>
        <v>LWLJBR</v>
      </c>
      <c r="H51" s="2" t="str">
        <f>IFERROR(__xludf.DUMMYFUNCTION("IF('From Order'!$A51=COLUMNS($A51:H70), LEFT(INDEX(FILTER(H$1:H50, H$1:H50&lt;&gt;""""),COUNTA(FILTER(H$1:H50, H$1:H50&lt;&gt;""""))), LEN(INDEX(FILTER(H$1:H50, H$1:H50&lt;&gt;""""),COUNTA(FILTER(H$1:H50, H$1:H50&lt;&gt;""""))))-1), IF('To Order'!$A51=COLUMNS($A51:H70), H50&amp;RIGH"&amp;"T(INDIRECT(ADDRESS(ROW(H51)-1, 'From Order'!$A51)), 1), H50))"),"")</f>
        <v/>
      </c>
      <c r="I51" s="2" t="str">
        <f>IFERROR(__xludf.DUMMYFUNCTION("IF('From Order'!$A51=COLUMNS($A51:I70), LEFT(INDEX(FILTER(I$1:I50, I$1:I50&lt;&gt;""""),COUNTA(FILTER(I$1:I50, I$1:I50&lt;&gt;""""))), LEN(INDEX(FILTER(I$1:I50, I$1:I50&lt;&gt;""""),COUNTA(FILTER(I$1:I50, I$1:I50&lt;&gt;""""))))-1), IF('To Order'!$A51=COLUMNS($A51:I70), I50&amp;RIGH"&amp;"T(INDIRECT(ADDRESS(ROW(I51)-1, 'From Order'!$A51)), 1), I50))"),"QPDSVTDCQMVTBRHZJ")</f>
        <v>QPDSVTDCQMVTBRHZJ</v>
      </c>
    </row>
    <row r="52">
      <c r="A52" s="2" t="str">
        <f>IFERROR(__xludf.DUMMYFUNCTION("IF('From Order'!$A52=COLUMNS($A52:A71), LEFT(INDEX(FILTER(A$1:A51, A$1:A51&lt;&gt;""""),COUNTA(FILTER(A$1:A51, A$1:A51&lt;&gt;""""))), LEN(INDEX(FILTER(A$1:A51, A$1:A51&lt;&gt;""""),COUNTA(FILTER(A$1:A51, A$1:A51&lt;&gt;""""))))-1), IF('To Order'!$A52=COLUMNS($A52:A71), A51&amp;RIGH"&amp;"T(INDIRECT(ADDRESS(ROW(A52)-1, 'From Order'!$A52)), 1), A51))"),"")</f>
        <v/>
      </c>
      <c r="B52" s="2" t="str">
        <f>IFERROR(__xludf.DUMMYFUNCTION("IF('From Order'!$A52=COLUMNS($A52:B71), LEFT(INDEX(FILTER(B$1:B51, B$1:B51&lt;&gt;""""),COUNTA(FILTER(B$1:B51, B$1:B51&lt;&gt;""""))), LEN(INDEX(FILTER(B$1:B51, B$1:B51&lt;&gt;""""),COUNTA(FILTER(B$1:B51, B$1:B51&lt;&gt;""""))))-1), IF('To Order'!$A52=COLUMNS($A52:B71), B51&amp;RIGH"&amp;"T(INDIRECT(ADDRESS(ROW(B52)-1, 'From Order'!$A52)), 1), B51))"),"SW")</f>
        <v>SW</v>
      </c>
      <c r="C52" s="2" t="str">
        <f>IFERROR(__xludf.DUMMYFUNCTION("IF('From Order'!$A52=COLUMNS($A52:C71), LEFT(INDEX(FILTER(C$1:C51, C$1:C51&lt;&gt;""""),COUNTA(FILTER(C$1:C51, C$1:C51&lt;&gt;""""))), LEN(INDEX(FILTER(C$1:C51, C$1:C51&lt;&gt;""""),COUNTA(FILTER(C$1:C51, C$1:C51&lt;&gt;""""))))-1), IF('To Order'!$A52=COLUMNS($A52:C71), C51&amp;RIGH"&amp;"T(INDIRECT(ADDRESS(ROW(C52)-1, 'From Order'!$A52)), 1), C51))"),"RZTRTFMJDG")</f>
        <v>RZTRTFMJDG</v>
      </c>
      <c r="D52" s="2" t="str">
        <f>IFERROR(__xludf.DUMMYFUNCTION("IF('From Order'!$A52=COLUMNS($A52:D71), LEFT(INDEX(FILTER(D$1:D51, D$1:D51&lt;&gt;""""),COUNTA(FILTER(D$1:D51, D$1:D51&lt;&gt;""""))), LEN(INDEX(FILTER(D$1:D51, D$1:D51&lt;&gt;""""),COUNTA(FILTER(D$1:D51, D$1:D51&lt;&gt;""""))))-1), IF('To Order'!$A52=COLUMNS($A52:D71), D51&amp;RIGH"&amp;"T(INDIRECT(ADDRESS(ROW(D52)-1, 'From Order'!$A52)), 1), D51))"),"DTCHSPVMZDLTD")</f>
        <v>DTCHSPVMZDLTD</v>
      </c>
      <c r="E52" s="2" t="str">
        <f>IFERROR(__xludf.DUMMYFUNCTION("IF('From Order'!$A52=COLUMNS($A52:E71), LEFT(INDEX(FILTER(E$1:E51, E$1:E51&lt;&gt;""""),COUNTA(FILTER(E$1:E51, E$1:E51&lt;&gt;""""))), LEN(INDEX(FILTER(E$1:E51, E$1:E51&lt;&gt;""""),COUNTA(FILTER(E$1:E51, E$1:E51&lt;&gt;""""))))-1), IF('To Order'!$A52=COLUMNS($A52:E71), E51&amp;RIGH"&amp;"T(INDIRECT(ADDRESS(ROW(E52)-1, 'From Order'!$A52)), 1), E51))"),"GPBSC")</f>
        <v>GPBSC</v>
      </c>
      <c r="F52" s="2" t="str">
        <f>IFERROR(__xludf.DUMMYFUNCTION("IF('From Order'!$A52=COLUMNS($A52:F71), LEFT(INDEX(FILTER(F$1:F51, F$1:F51&lt;&gt;""""),COUNTA(FILTER(F$1:F51, F$1:F51&lt;&gt;""""))), LEN(INDEX(FILTER(F$1:F51, F$1:F51&lt;&gt;""""),COUNTA(FILTER(F$1:F51, F$1:F51&lt;&gt;""""))))-1), IF('To Order'!$A52=COLUMNS($A52:F71), F51&amp;RIGH"&amp;"T(INDIRECT(ADDRESS(ROW(F52)-1, 'From Order'!$A52)), 1), F51))"),"FBR")</f>
        <v>FBR</v>
      </c>
      <c r="G52" s="2" t="str">
        <f>IFERROR(__xludf.DUMMYFUNCTION("IF('From Order'!$A52=COLUMNS($A52:G71), LEFT(INDEX(FILTER(G$1:G51, G$1:G51&lt;&gt;""""),COUNTA(FILTER(G$1:G51, G$1:G51&lt;&gt;""""))), LEN(INDEX(FILTER(G$1:G51, G$1:G51&lt;&gt;""""),COUNTA(FILTER(G$1:G51, G$1:G51&lt;&gt;""""))))-1), IF('To Order'!$A52=COLUMNS($A52:G71), G51&amp;RIGH"&amp;"T(INDIRECT(ADDRESS(ROW(G52)-1, 'From Order'!$A52)), 1), G51))"),"LWLJBRJ")</f>
        <v>LWLJBRJ</v>
      </c>
      <c r="H52" s="2" t="str">
        <f>IFERROR(__xludf.DUMMYFUNCTION("IF('From Order'!$A52=COLUMNS($A52:H71), LEFT(INDEX(FILTER(H$1:H51, H$1:H51&lt;&gt;""""),COUNTA(FILTER(H$1:H51, H$1:H51&lt;&gt;""""))), LEN(INDEX(FILTER(H$1:H51, H$1:H51&lt;&gt;""""),COUNTA(FILTER(H$1:H51, H$1:H51&lt;&gt;""""))))-1), IF('To Order'!$A52=COLUMNS($A52:H71), H51&amp;RIGH"&amp;"T(INDIRECT(ADDRESS(ROW(H52)-1, 'From Order'!$A52)), 1), H51))"),"")</f>
        <v/>
      </c>
      <c r="I52" s="2" t="str">
        <f>IFERROR(__xludf.DUMMYFUNCTION("IF('From Order'!$A52=COLUMNS($A52:I71), LEFT(INDEX(FILTER(I$1:I51, I$1:I51&lt;&gt;""""),COUNTA(FILTER(I$1:I51, I$1:I51&lt;&gt;""""))), LEN(INDEX(FILTER(I$1:I51, I$1:I51&lt;&gt;""""),COUNTA(FILTER(I$1:I51, I$1:I51&lt;&gt;""""))))-1), IF('To Order'!$A52=COLUMNS($A52:I71), I51&amp;RIGH"&amp;"T(INDIRECT(ADDRESS(ROW(I52)-1, 'From Order'!$A52)), 1), I51))"),"QPDSVTDCQMVTBRHZ")</f>
        <v>QPDSVTDCQMVTBRHZ</v>
      </c>
    </row>
    <row r="53">
      <c r="A53" s="2" t="str">
        <f>IFERROR(__xludf.DUMMYFUNCTION("IF('From Order'!$A53=COLUMNS($A53:A72), LEFT(INDEX(FILTER(A$1:A52, A$1:A52&lt;&gt;""""),COUNTA(FILTER(A$1:A52, A$1:A52&lt;&gt;""""))), LEN(INDEX(FILTER(A$1:A52, A$1:A52&lt;&gt;""""),COUNTA(FILTER(A$1:A52, A$1:A52&lt;&gt;""""))))-1), IF('To Order'!$A53=COLUMNS($A53:A72), A52&amp;RIGH"&amp;"T(INDIRECT(ADDRESS(ROW(A53)-1, 'From Order'!$A53)), 1), A52))"),"")</f>
        <v/>
      </c>
      <c r="B53" s="2" t="str">
        <f>IFERROR(__xludf.DUMMYFUNCTION("IF('From Order'!$A53=COLUMNS($A53:B72), LEFT(INDEX(FILTER(B$1:B52, B$1:B52&lt;&gt;""""),COUNTA(FILTER(B$1:B52, B$1:B52&lt;&gt;""""))), LEN(INDEX(FILTER(B$1:B52, B$1:B52&lt;&gt;""""),COUNTA(FILTER(B$1:B52, B$1:B52&lt;&gt;""""))))-1), IF('To Order'!$A53=COLUMNS($A53:B72), B52&amp;RIGH"&amp;"T(INDIRECT(ADDRESS(ROW(B53)-1, 'From Order'!$A53)), 1), B52))"),"SW")</f>
        <v>SW</v>
      </c>
      <c r="C53" s="2" t="str">
        <f>IFERROR(__xludf.DUMMYFUNCTION("IF('From Order'!$A53=COLUMNS($A53:C72), LEFT(INDEX(FILTER(C$1:C52, C$1:C52&lt;&gt;""""),COUNTA(FILTER(C$1:C52, C$1:C52&lt;&gt;""""))), LEN(INDEX(FILTER(C$1:C52, C$1:C52&lt;&gt;""""),COUNTA(FILTER(C$1:C52, C$1:C52&lt;&gt;""""))))-1), IF('To Order'!$A53=COLUMNS($A53:C72), C52&amp;RIGH"&amp;"T(INDIRECT(ADDRESS(ROW(C53)-1, 'From Order'!$A53)), 1), C52))"),"RZTRTFMJDG")</f>
        <v>RZTRTFMJDG</v>
      </c>
      <c r="D53" s="2" t="str">
        <f>IFERROR(__xludf.DUMMYFUNCTION("IF('From Order'!$A53=COLUMNS($A53:D72), LEFT(INDEX(FILTER(D$1:D52, D$1:D52&lt;&gt;""""),COUNTA(FILTER(D$1:D52, D$1:D52&lt;&gt;""""))), LEN(INDEX(FILTER(D$1:D52, D$1:D52&lt;&gt;""""),COUNTA(FILTER(D$1:D52, D$1:D52&lt;&gt;""""))))-1), IF('To Order'!$A53=COLUMNS($A53:D72), D52&amp;RIGH"&amp;"T(INDIRECT(ADDRESS(ROW(D53)-1, 'From Order'!$A53)), 1), D52))"),"DTCHSPVMZDLTD")</f>
        <v>DTCHSPVMZDLTD</v>
      </c>
      <c r="E53" s="2" t="str">
        <f>IFERROR(__xludf.DUMMYFUNCTION("IF('From Order'!$A53=COLUMNS($A53:E72), LEFT(INDEX(FILTER(E$1:E52, E$1:E52&lt;&gt;""""),COUNTA(FILTER(E$1:E52, E$1:E52&lt;&gt;""""))), LEN(INDEX(FILTER(E$1:E52, E$1:E52&lt;&gt;""""),COUNTA(FILTER(E$1:E52, E$1:E52&lt;&gt;""""))))-1), IF('To Order'!$A53=COLUMNS($A53:E72), E52&amp;RIGH"&amp;"T(INDIRECT(ADDRESS(ROW(E53)-1, 'From Order'!$A53)), 1), E52))"),"GPBSC")</f>
        <v>GPBSC</v>
      </c>
      <c r="F53" s="2" t="str">
        <f>IFERROR(__xludf.DUMMYFUNCTION("IF('From Order'!$A53=COLUMNS($A53:F72), LEFT(INDEX(FILTER(F$1:F52, F$1:F52&lt;&gt;""""),COUNTA(FILTER(F$1:F52, F$1:F52&lt;&gt;""""))), LEN(INDEX(FILTER(F$1:F52, F$1:F52&lt;&gt;""""),COUNTA(FILTER(F$1:F52, F$1:F52&lt;&gt;""""))))-1), IF('To Order'!$A53=COLUMNS($A53:F72), F52&amp;RIGH"&amp;"T(INDIRECT(ADDRESS(ROW(F53)-1, 'From Order'!$A53)), 1), F52))"),"FBR")</f>
        <v>FBR</v>
      </c>
      <c r="G53" s="2" t="str">
        <f>IFERROR(__xludf.DUMMYFUNCTION("IF('From Order'!$A53=COLUMNS($A53:G72), LEFT(INDEX(FILTER(G$1:G52, G$1:G52&lt;&gt;""""),COUNTA(FILTER(G$1:G52, G$1:G52&lt;&gt;""""))), LEN(INDEX(FILTER(G$1:G52, G$1:G52&lt;&gt;""""),COUNTA(FILTER(G$1:G52, G$1:G52&lt;&gt;""""))))-1), IF('To Order'!$A53=COLUMNS($A53:G72), G52&amp;RIGH"&amp;"T(INDIRECT(ADDRESS(ROW(G53)-1, 'From Order'!$A53)), 1), G52))"),"LWLJBRJZ")</f>
        <v>LWLJBRJZ</v>
      </c>
      <c r="H53" s="2" t="str">
        <f>IFERROR(__xludf.DUMMYFUNCTION("IF('From Order'!$A53=COLUMNS($A53:H72), LEFT(INDEX(FILTER(H$1:H52, H$1:H52&lt;&gt;""""),COUNTA(FILTER(H$1:H52, H$1:H52&lt;&gt;""""))), LEN(INDEX(FILTER(H$1:H52, H$1:H52&lt;&gt;""""),COUNTA(FILTER(H$1:H52, H$1:H52&lt;&gt;""""))))-1), IF('To Order'!$A53=COLUMNS($A53:H72), H52&amp;RIGH"&amp;"T(INDIRECT(ADDRESS(ROW(H53)-1, 'From Order'!$A53)), 1), H52))"),"")</f>
        <v/>
      </c>
      <c r="I53" s="2" t="str">
        <f>IFERROR(__xludf.DUMMYFUNCTION("IF('From Order'!$A53=COLUMNS($A53:I72), LEFT(INDEX(FILTER(I$1:I52, I$1:I52&lt;&gt;""""),COUNTA(FILTER(I$1:I52, I$1:I52&lt;&gt;""""))), LEN(INDEX(FILTER(I$1:I52, I$1:I52&lt;&gt;""""),COUNTA(FILTER(I$1:I52, I$1:I52&lt;&gt;""""))))-1), IF('To Order'!$A53=COLUMNS($A53:I72), I52&amp;RIGH"&amp;"T(INDIRECT(ADDRESS(ROW(I53)-1, 'From Order'!$A53)), 1), I52))"),"QPDSVTDCQMVTBRH")</f>
        <v>QPDSVTDCQMVTBRH</v>
      </c>
    </row>
    <row r="54">
      <c r="A54" s="2" t="str">
        <f>IFERROR(__xludf.DUMMYFUNCTION("IF('From Order'!$A54=COLUMNS($A54:A73), LEFT(INDEX(FILTER(A$1:A53, A$1:A53&lt;&gt;""""),COUNTA(FILTER(A$1:A53, A$1:A53&lt;&gt;""""))), LEN(INDEX(FILTER(A$1:A53, A$1:A53&lt;&gt;""""),COUNTA(FILTER(A$1:A53, A$1:A53&lt;&gt;""""))))-1), IF('To Order'!$A54=COLUMNS($A54:A73), A53&amp;RIGH"&amp;"T(INDIRECT(ADDRESS(ROW(A54)-1, 'From Order'!$A54)), 1), A53))"),"")</f>
        <v/>
      </c>
      <c r="B54" s="2" t="str">
        <f>IFERROR(__xludf.DUMMYFUNCTION("IF('From Order'!$A54=COLUMNS($A54:B73), LEFT(INDEX(FILTER(B$1:B53, B$1:B53&lt;&gt;""""),COUNTA(FILTER(B$1:B53, B$1:B53&lt;&gt;""""))), LEN(INDEX(FILTER(B$1:B53, B$1:B53&lt;&gt;""""),COUNTA(FILTER(B$1:B53, B$1:B53&lt;&gt;""""))))-1), IF('To Order'!$A54=COLUMNS($A54:B73), B53&amp;RIGH"&amp;"T(INDIRECT(ADDRESS(ROW(B54)-1, 'From Order'!$A54)), 1), B53))"),"SW")</f>
        <v>SW</v>
      </c>
      <c r="C54" s="2" t="str">
        <f>IFERROR(__xludf.DUMMYFUNCTION("IF('From Order'!$A54=COLUMNS($A54:C73), LEFT(INDEX(FILTER(C$1:C53, C$1:C53&lt;&gt;""""),COUNTA(FILTER(C$1:C53, C$1:C53&lt;&gt;""""))), LEN(INDEX(FILTER(C$1:C53, C$1:C53&lt;&gt;""""),COUNTA(FILTER(C$1:C53, C$1:C53&lt;&gt;""""))))-1), IF('To Order'!$A54=COLUMNS($A54:C73), C53&amp;RIGH"&amp;"T(INDIRECT(ADDRESS(ROW(C54)-1, 'From Order'!$A54)), 1), C53))"),"RZTRTFMJDG")</f>
        <v>RZTRTFMJDG</v>
      </c>
      <c r="D54" s="2" t="str">
        <f>IFERROR(__xludf.DUMMYFUNCTION("IF('From Order'!$A54=COLUMNS($A54:D73), LEFT(INDEX(FILTER(D$1:D53, D$1:D53&lt;&gt;""""),COUNTA(FILTER(D$1:D53, D$1:D53&lt;&gt;""""))), LEN(INDEX(FILTER(D$1:D53, D$1:D53&lt;&gt;""""),COUNTA(FILTER(D$1:D53, D$1:D53&lt;&gt;""""))))-1), IF('To Order'!$A54=COLUMNS($A54:D73), D53&amp;RIGH"&amp;"T(INDIRECT(ADDRESS(ROW(D54)-1, 'From Order'!$A54)), 1), D53))"),"DTCHSPVMZDLTD")</f>
        <v>DTCHSPVMZDLTD</v>
      </c>
      <c r="E54" s="2" t="str">
        <f>IFERROR(__xludf.DUMMYFUNCTION("IF('From Order'!$A54=COLUMNS($A54:E73), LEFT(INDEX(FILTER(E$1:E53, E$1:E53&lt;&gt;""""),COUNTA(FILTER(E$1:E53, E$1:E53&lt;&gt;""""))), LEN(INDEX(FILTER(E$1:E53, E$1:E53&lt;&gt;""""),COUNTA(FILTER(E$1:E53, E$1:E53&lt;&gt;""""))))-1), IF('To Order'!$A54=COLUMNS($A54:E73), E53&amp;RIGH"&amp;"T(INDIRECT(ADDRESS(ROW(E54)-1, 'From Order'!$A54)), 1), E53))"),"GPBSC")</f>
        <v>GPBSC</v>
      </c>
      <c r="F54" s="2" t="str">
        <f>IFERROR(__xludf.DUMMYFUNCTION("IF('From Order'!$A54=COLUMNS($A54:F73), LEFT(INDEX(FILTER(F$1:F53, F$1:F53&lt;&gt;""""),COUNTA(FILTER(F$1:F53, F$1:F53&lt;&gt;""""))), LEN(INDEX(FILTER(F$1:F53, F$1:F53&lt;&gt;""""),COUNTA(FILTER(F$1:F53, F$1:F53&lt;&gt;""""))))-1), IF('To Order'!$A54=COLUMNS($A54:F73), F53&amp;RIGH"&amp;"T(INDIRECT(ADDRESS(ROW(F54)-1, 'From Order'!$A54)), 1), F53))"),"FBR")</f>
        <v>FBR</v>
      </c>
      <c r="G54" s="2" t="str">
        <f>IFERROR(__xludf.DUMMYFUNCTION("IF('From Order'!$A54=COLUMNS($A54:G73), LEFT(INDEX(FILTER(G$1:G53, G$1:G53&lt;&gt;""""),COUNTA(FILTER(G$1:G53, G$1:G53&lt;&gt;""""))), LEN(INDEX(FILTER(G$1:G53, G$1:G53&lt;&gt;""""),COUNTA(FILTER(G$1:G53, G$1:G53&lt;&gt;""""))))-1), IF('To Order'!$A54=COLUMNS($A54:G73), G53&amp;RIGH"&amp;"T(INDIRECT(ADDRESS(ROW(G54)-1, 'From Order'!$A54)), 1), G53))"),"LWLJBRJZH")</f>
        <v>LWLJBRJZH</v>
      </c>
      <c r="H54" s="2" t="str">
        <f>IFERROR(__xludf.DUMMYFUNCTION("IF('From Order'!$A54=COLUMNS($A54:H73), LEFT(INDEX(FILTER(H$1:H53, H$1:H53&lt;&gt;""""),COUNTA(FILTER(H$1:H53, H$1:H53&lt;&gt;""""))), LEN(INDEX(FILTER(H$1:H53, H$1:H53&lt;&gt;""""),COUNTA(FILTER(H$1:H53, H$1:H53&lt;&gt;""""))))-1), IF('To Order'!$A54=COLUMNS($A54:H73), H53&amp;RIGH"&amp;"T(INDIRECT(ADDRESS(ROW(H54)-1, 'From Order'!$A54)), 1), H53))"),"")</f>
        <v/>
      </c>
      <c r="I54" s="2" t="str">
        <f>IFERROR(__xludf.DUMMYFUNCTION("IF('From Order'!$A54=COLUMNS($A54:I73), LEFT(INDEX(FILTER(I$1:I53, I$1:I53&lt;&gt;""""),COUNTA(FILTER(I$1:I53, I$1:I53&lt;&gt;""""))), LEN(INDEX(FILTER(I$1:I53, I$1:I53&lt;&gt;""""),COUNTA(FILTER(I$1:I53, I$1:I53&lt;&gt;""""))))-1), IF('To Order'!$A54=COLUMNS($A54:I73), I53&amp;RIGH"&amp;"T(INDIRECT(ADDRESS(ROW(I54)-1, 'From Order'!$A54)), 1), I53))"),"QPDSVTDCQMVTBR")</f>
        <v>QPDSVTDCQMVTBR</v>
      </c>
    </row>
    <row r="55">
      <c r="A55" s="2" t="str">
        <f>IFERROR(__xludf.DUMMYFUNCTION("IF('From Order'!$A55=COLUMNS($A55:A74), LEFT(INDEX(FILTER(A$1:A54, A$1:A54&lt;&gt;""""),COUNTA(FILTER(A$1:A54, A$1:A54&lt;&gt;""""))), LEN(INDEX(FILTER(A$1:A54, A$1:A54&lt;&gt;""""),COUNTA(FILTER(A$1:A54, A$1:A54&lt;&gt;""""))))-1), IF('To Order'!$A55=COLUMNS($A55:A74), A54&amp;RIGH"&amp;"T(INDIRECT(ADDRESS(ROW(A55)-1, 'From Order'!$A55)), 1), A54))"),"")</f>
        <v/>
      </c>
      <c r="B55" s="2" t="str">
        <f>IFERROR(__xludf.DUMMYFUNCTION("IF('From Order'!$A55=COLUMNS($A55:B74), LEFT(INDEX(FILTER(B$1:B54, B$1:B54&lt;&gt;""""),COUNTA(FILTER(B$1:B54, B$1:B54&lt;&gt;""""))), LEN(INDEX(FILTER(B$1:B54, B$1:B54&lt;&gt;""""),COUNTA(FILTER(B$1:B54, B$1:B54&lt;&gt;""""))))-1), IF('To Order'!$A55=COLUMNS($A55:B74), B54&amp;RIGH"&amp;"T(INDIRECT(ADDRESS(ROW(B55)-1, 'From Order'!$A55)), 1), B54))"),"SW")</f>
        <v>SW</v>
      </c>
      <c r="C55" s="2" t="str">
        <f>IFERROR(__xludf.DUMMYFUNCTION("IF('From Order'!$A55=COLUMNS($A55:C74), LEFT(INDEX(FILTER(C$1:C54, C$1:C54&lt;&gt;""""),COUNTA(FILTER(C$1:C54, C$1:C54&lt;&gt;""""))), LEN(INDEX(FILTER(C$1:C54, C$1:C54&lt;&gt;""""),COUNTA(FILTER(C$1:C54, C$1:C54&lt;&gt;""""))))-1), IF('To Order'!$A55=COLUMNS($A55:C74), C54&amp;RIGH"&amp;"T(INDIRECT(ADDRESS(ROW(C55)-1, 'From Order'!$A55)), 1), C54))"),"RZTRTFMJDG")</f>
        <v>RZTRTFMJDG</v>
      </c>
      <c r="D55" s="2" t="str">
        <f>IFERROR(__xludf.DUMMYFUNCTION("IF('From Order'!$A55=COLUMNS($A55:D74), LEFT(INDEX(FILTER(D$1:D54, D$1:D54&lt;&gt;""""),COUNTA(FILTER(D$1:D54, D$1:D54&lt;&gt;""""))), LEN(INDEX(FILTER(D$1:D54, D$1:D54&lt;&gt;""""),COUNTA(FILTER(D$1:D54, D$1:D54&lt;&gt;""""))))-1), IF('To Order'!$A55=COLUMNS($A55:D74), D54&amp;RIGH"&amp;"T(INDIRECT(ADDRESS(ROW(D55)-1, 'From Order'!$A55)), 1), D54))"),"DTCHSPVMZDLT")</f>
        <v>DTCHSPVMZDLT</v>
      </c>
      <c r="E55" s="2" t="str">
        <f>IFERROR(__xludf.DUMMYFUNCTION("IF('From Order'!$A55=COLUMNS($A55:E74), LEFT(INDEX(FILTER(E$1:E54, E$1:E54&lt;&gt;""""),COUNTA(FILTER(E$1:E54, E$1:E54&lt;&gt;""""))), LEN(INDEX(FILTER(E$1:E54, E$1:E54&lt;&gt;""""),COUNTA(FILTER(E$1:E54, E$1:E54&lt;&gt;""""))))-1), IF('To Order'!$A55=COLUMNS($A55:E74), E54&amp;RIGH"&amp;"T(INDIRECT(ADDRESS(ROW(E55)-1, 'From Order'!$A55)), 1), E54))"),"GPBSC")</f>
        <v>GPBSC</v>
      </c>
      <c r="F55" s="2" t="str">
        <f>IFERROR(__xludf.DUMMYFUNCTION("IF('From Order'!$A55=COLUMNS($A55:F74), LEFT(INDEX(FILTER(F$1:F54, F$1:F54&lt;&gt;""""),COUNTA(FILTER(F$1:F54, F$1:F54&lt;&gt;""""))), LEN(INDEX(FILTER(F$1:F54, F$1:F54&lt;&gt;""""),COUNTA(FILTER(F$1:F54, F$1:F54&lt;&gt;""""))))-1), IF('To Order'!$A55=COLUMNS($A55:F74), F54&amp;RIGH"&amp;"T(INDIRECT(ADDRESS(ROW(F55)-1, 'From Order'!$A55)), 1), F54))"),"FBR")</f>
        <v>FBR</v>
      </c>
      <c r="G55" s="2" t="str">
        <f>IFERROR(__xludf.DUMMYFUNCTION("IF('From Order'!$A55=COLUMNS($A55:G74), LEFT(INDEX(FILTER(G$1:G54, G$1:G54&lt;&gt;""""),COUNTA(FILTER(G$1:G54, G$1:G54&lt;&gt;""""))), LEN(INDEX(FILTER(G$1:G54, G$1:G54&lt;&gt;""""),COUNTA(FILTER(G$1:G54, G$1:G54&lt;&gt;""""))))-1), IF('To Order'!$A55=COLUMNS($A55:G74), G54&amp;RIGH"&amp;"T(INDIRECT(ADDRESS(ROW(G55)-1, 'From Order'!$A55)), 1), G54))"),"LWLJBRJZH")</f>
        <v>LWLJBRJZH</v>
      </c>
      <c r="H55" s="2" t="str">
        <f>IFERROR(__xludf.DUMMYFUNCTION("IF('From Order'!$A55=COLUMNS($A55:H74), LEFT(INDEX(FILTER(H$1:H54, H$1:H54&lt;&gt;""""),COUNTA(FILTER(H$1:H54, H$1:H54&lt;&gt;""""))), LEN(INDEX(FILTER(H$1:H54, H$1:H54&lt;&gt;""""),COUNTA(FILTER(H$1:H54, H$1:H54&lt;&gt;""""))))-1), IF('To Order'!$A55=COLUMNS($A55:H74), H54&amp;RIGH"&amp;"T(INDIRECT(ADDRESS(ROW(H55)-1, 'From Order'!$A55)), 1), H54))"),"D")</f>
        <v>D</v>
      </c>
      <c r="I55" s="2" t="str">
        <f>IFERROR(__xludf.DUMMYFUNCTION("IF('From Order'!$A55=COLUMNS($A55:I74), LEFT(INDEX(FILTER(I$1:I54, I$1:I54&lt;&gt;""""),COUNTA(FILTER(I$1:I54, I$1:I54&lt;&gt;""""))), LEN(INDEX(FILTER(I$1:I54, I$1:I54&lt;&gt;""""),COUNTA(FILTER(I$1:I54, I$1:I54&lt;&gt;""""))))-1), IF('To Order'!$A55=COLUMNS($A55:I74), I54&amp;RIGH"&amp;"T(INDIRECT(ADDRESS(ROW(I55)-1, 'From Order'!$A55)), 1), I54))"),"QPDSVTDCQMVTBR")</f>
        <v>QPDSVTDCQMVTBR</v>
      </c>
    </row>
    <row r="56">
      <c r="A56" s="2" t="str">
        <f>IFERROR(__xludf.DUMMYFUNCTION("IF('From Order'!$A56=COLUMNS($A56:A75), LEFT(INDEX(FILTER(A$1:A55, A$1:A55&lt;&gt;""""),COUNTA(FILTER(A$1:A55, A$1:A55&lt;&gt;""""))), LEN(INDEX(FILTER(A$1:A55, A$1:A55&lt;&gt;""""),COUNTA(FILTER(A$1:A55, A$1:A55&lt;&gt;""""))))-1), IF('To Order'!$A56=COLUMNS($A56:A75), A55&amp;RIGH"&amp;"T(INDIRECT(ADDRESS(ROW(A56)-1, 'From Order'!$A56)), 1), A55))"),"")</f>
        <v/>
      </c>
      <c r="B56" s="2" t="str">
        <f>IFERROR(__xludf.DUMMYFUNCTION("IF('From Order'!$A56=COLUMNS($A56:B75), LEFT(INDEX(FILTER(B$1:B55, B$1:B55&lt;&gt;""""),COUNTA(FILTER(B$1:B55, B$1:B55&lt;&gt;""""))), LEN(INDEX(FILTER(B$1:B55, B$1:B55&lt;&gt;""""),COUNTA(FILTER(B$1:B55, B$1:B55&lt;&gt;""""))))-1), IF('To Order'!$A56=COLUMNS($A56:B75), B55&amp;RIGH"&amp;"T(INDIRECT(ADDRESS(ROW(B56)-1, 'From Order'!$A56)), 1), B55))"),"SW")</f>
        <v>SW</v>
      </c>
      <c r="C56" s="2" t="str">
        <f>IFERROR(__xludf.DUMMYFUNCTION("IF('From Order'!$A56=COLUMNS($A56:C75), LEFT(INDEX(FILTER(C$1:C55, C$1:C55&lt;&gt;""""),COUNTA(FILTER(C$1:C55, C$1:C55&lt;&gt;""""))), LEN(INDEX(FILTER(C$1:C55, C$1:C55&lt;&gt;""""),COUNTA(FILTER(C$1:C55, C$1:C55&lt;&gt;""""))))-1), IF('To Order'!$A56=COLUMNS($A56:C75), C55&amp;RIGH"&amp;"T(INDIRECT(ADDRESS(ROW(C56)-1, 'From Order'!$A56)), 1), C55))"),"RZTRTFMJDG")</f>
        <v>RZTRTFMJDG</v>
      </c>
      <c r="D56" s="2" t="str">
        <f>IFERROR(__xludf.DUMMYFUNCTION("IF('From Order'!$A56=COLUMNS($A56:D75), LEFT(INDEX(FILTER(D$1:D55, D$1:D55&lt;&gt;""""),COUNTA(FILTER(D$1:D55, D$1:D55&lt;&gt;""""))), LEN(INDEX(FILTER(D$1:D55, D$1:D55&lt;&gt;""""),COUNTA(FILTER(D$1:D55, D$1:D55&lt;&gt;""""))))-1), IF('To Order'!$A56=COLUMNS($A56:D75), D55&amp;RIGH"&amp;"T(INDIRECT(ADDRESS(ROW(D56)-1, 'From Order'!$A56)), 1), D55))"),"DTCHSPVMZDL")</f>
        <v>DTCHSPVMZDL</v>
      </c>
      <c r="E56" s="2" t="str">
        <f>IFERROR(__xludf.DUMMYFUNCTION("IF('From Order'!$A56=COLUMNS($A56:E75), LEFT(INDEX(FILTER(E$1:E55, E$1:E55&lt;&gt;""""),COUNTA(FILTER(E$1:E55, E$1:E55&lt;&gt;""""))), LEN(INDEX(FILTER(E$1:E55, E$1:E55&lt;&gt;""""),COUNTA(FILTER(E$1:E55, E$1:E55&lt;&gt;""""))))-1), IF('To Order'!$A56=COLUMNS($A56:E75), E55&amp;RIGH"&amp;"T(INDIRECT(ADDRESS(ROW(E56)-1, 'From Order'!$A56)), 1), E55))"),"GPBSC")</f>
        <v>GPBSC</v>
      </c>
      <c r="F56" s="2" t="str">
        <f>IFERROR(__xludf.DUMMYFUNCTION("IF('From Order'!$A56=COLUMNS($A56:F75), LEFT(INDEX(FILTER(F$1:F55, F$1:F55&lt;&gt;""""),COUNTA(FILTER(F$1:F55, F$1:F55&lt;&gt;""""))), LEN(INDEX(FILTER(F$1:F55, F$1:F55&lt;&gt;""""),COUNTA(FILTER(F$1:F55, F$1:F55&lt;&gt;""""))))-1), IF('To Order'!$A56=COLUMNS($A56:F75), F55&amp;RIGH"&amp;"T(INDIRECT(ADDRESS(ROW(F56)-1, 'From Order'!$A56)), 1), F55))"),"FBR")</f>
        <v>FBR</v>
      </c>
      <c r="G56" s="2" t="str">
        <f>IFERROR(__xludf.DUMMYFUNCTION("IF('From Order'!$A56=COLUMNS($A56:G75), LEFT(INDEX(FILTER(G$1:G55, G$1:G55&lt;&gt;""""),COUNTA(FILTER(G$1:G55, G$1:G55&lt;&gt;""""))), LEN(INDEX(FILTER(G$1:G55, G$1:G55&lt;&gt;""""),COUNTA(FILTER(G$1:G55, G$1:G55&lt;&gt;""""))))-1), IF('To Order'!$A56=COLUMNS($A56:G75), G55&amp;RIGH"&amp;"T(INDIRECT(ADDRESS(ROW(G56)-1, 'From Order'!$A56)), 1), G55))"),"LWLJBRJZH")</f>
        <v>LWLJBRJZH</v>
      </c>
      <c r="H56" s="2" t="str">
        <f>IFERROR(__xludf.DUMMYFUNCTION("IF('From Order'!$A56=COLUMNS($A56:H75), LEFT(INDEX(FILTER(H$1:H55, H$1:H55&lt;&gt;""""),COUNTA(FILTER(H$1:H55, H$1:H55&lt;&gt;""""))), LEN(INDEX(FILTER(H$1:H55, H$1:H55&lt;&gt;""""),COUNTA(FILTER(H$1:H55, H$1:H55&lt;&gt;""""))))-1), IF('To Order'!$A56=COLUMNS($A56:H75), H55&amp;RIGH"&amp;"T(INDIRECT(ADDRESS(ROW(H56)-1, 'From Order'!$A56)), 1), H55))"),"DT")</f>
        <v>DT</v>
      </c>
      <c r="I56" s="2" t="str">
        <f>IFERROR(__xludf.DUMMYFUNCTION("IF('From Order'!$A56=COLUMNS($A56:I75), LEFT(INDEX(FILTER(I$1:I55, I$1:I55&lt;&gt;""""),COUNTA(FILTER(I$1:I55, I$1:I55&lt;&gt;""""))), LEN(INDEX(FILTER(I$1:I55, I$1:I55&lt;&gt;""""),COUNTA(FILTER(I$1:I55, I$1:I55&lt;&gt;""""))))-1), IF('To Order'!$A56=COLUMNS($A56:I75), I55&amp;RIGH"&amp;"T(INDIRECT(ADDRESS(ROW(I56)-1, 'From Order'!$A56)), 1), I55))"),"QPDSVTDCQMVTBR")</f>
        <v>QPDSVTDCQMVTBR</v>
      </c>
    </row>
    <row r="57">
      <c r="A57" s="2" t="str">
        <f>IFERROR(__xludf.DUMMYFUNCTION("IF('From Order'!$A57=COLUMNS($A57:A76), LEFT(INDEX(FILTER(A$1:A56, A$1:A56&lt;&gt;""""),COUNTA(FILTER(A$1:A56, A$1:A56&lt;&gt;""""))), LEN(INDEX(FILTER(A$1:A56, A$1:A56&lt;&gt;""""),COUNTA(FILTER(A$1:A56, A$1:A56&lt;&gt;""""))))-1), IF('To Order'!$A57=COLUMNS($A57:A76), A56&amp;RIGH"&amp;"T(INDIRECT(ADDRESS(ROW(A57)-1, 'From Order'!$A57)), 1), A56))"),"")</f>
        <v/>
      </c>
      <c r="B57" s="2" t="str">
        <f>IFERROR(__xludf.DUMMYFUNCTION("IF('From Order'!$A57=COLUMNS($A57:B76), LEFT(INDEX(FILTER(B$1:B56, B$1:B56&lt;&gt;""""),COUNTA(FILTER(B$1:B56, B$1:B56&lt;&gt;""""))), LEN(INDEX(FILTER(B$1:B56, B$1:B56&lt;&gt;""""),COUNTA(FILTER(B$1:B56, B$1:B56&lt;&gt;""""))))-1), IF('To Order'!$A57=COLUMNS($A57:B76), B56&amp;RIGH"&amp;"T(INDIRECT(ADDRESS(ROW(B57)-1, 'From Order'!$A57)), 1), B56))"),"SW")</f>
        <v>SW</v>
      </c>
      <c r="C57" s="2" t="str">
        <f>IFERROR(__xludf.DUMMYFUNCTION("IF('From Order'!$A57=COLUMNS($A57:C76), LEFT(INDEX(FILTER(C$1:C56, C$1:C56&lt;&gt;""""),COUNTA(FILTER(C$1:C56, C$1:C56&lt;&gt;""""))), LEN(INDEX(FILTER(C$1:C56, C$1:C56&lt;&gt;""""),COUNTA(FILTER(C$1:C56, C$1:C56&lt;&gt;""""))))-1), IF('To Order'!$A57=COLUMNS($A57:C76), C56&amp;RIGH"&amp;"T(INDIRECT(ADDRESS(ROW(C57)-1, 'From Order'!$A57)), 1), C56))"),"RZTRTFMJDG")</f>
        <v>RZTRTFMJDG</v>
      </c>
      <c r="D57" s="2" t="str">
        <f>IFERROR(__xludf.DUMMYFUNCTION("IF('From Order'!$A57=COLUMNS($A57:D76), LEFT(INDEX(FILTER(D$1:D56, D$1:D56&lt;&gt;""""),COUNTA(FILTER(D$1:D56, D$1:D56&lt;&gt;""""))), LEN(INDEX(FILTER(D$1:D56, D$1:D56&lt;&gt;""""),COUNTA(FILTER(D$1:D56, D$1:D56&lt;&gt;""""))))-1), IF('To Order'!$A57=COLUMNS($A57:D76), D56&amp;RIGH"&amp;"T(INDIRECT(ADDRESS(ROW(D57)-1, 'From Order'!$A57)), 1), D56))"),"DTCHSPVMZD")</f>
        <v>DTCHSPVMZD</v>
      </c>
      <c r="E57" s="2" t="str">
        <f>IFERROR(__xludf.DUMMYFUNCTION("IF('From Order'!$A57=COLUMNS($A57:E76), LEFT(INDEX(FILTER(E$1:E56, E$1:E56&lt;&gt;""""),COUNTA(FILTER(E$1:E56, E$1:E56&lt;&gt;""""))), LEN(INDEX(FILTER(E$1:E56, E$1:E56&lt;&gt;""""),COUNTA(FILTER(E$1:E56, E$1:E56&lt;&gt;""""))))-1), IF('To Order'!$A57=COLUMNS($A57:E76), E56&amp;RIGH"&amp;"T(INDIRECT(ADDRESS(ROW(E57)-1, 'From Order'!$A57)), 1), E56))"),"GPBSC")</f>
        <v>GPBSC</v>
      </c>
      <c r="F57" s="2" t="str">
        <f>IFERROR(__xludf.DUMMYFUNCTION("IF('From Order'!$A57=COLUMNS($A57:F76), LEFT(INDEX(FILTER(F$1:F56, F$1:F56&lt;&gt;""""),COUNTA(FILTER(F$1:F56, F$1:F56&lt;&gt;""""))), LEN(INDEX(FILTER(F$1:F56, F$1:F56&lt;&gt;""""),COUNTA(FILTER(F$1:F56, F$1:F56&lt;&gt;""""))))-1), IF('To Order'!$A57=COLUMNS($A57:F76), F56&amp;RIGH"&amp;"T(INDIRECT(ADDRESS(ROW(F57)-1, 'From Order'!$A57)), 1), F56))"),"FBR")</f>
        <v>FBR</v>
      </c>
      <c r="G57" s="2" t="str">
        <f>IFERROR(__xludf.DUMMYFUNCTION("IF('From Order'!$A57=COLUMNS($A57:G76), LEFT(INDEX(FILTER(G$1:G56, G$1:G56&lt;&gt;""""),COUNTA(FILTER(G$1:G56, G$1:G56&lt;&gt;""""))), LEN(INDEX(FILTER(G$1:G56, G$1:G56&lt;&gt;""""),COUNTA(FILTER(G$1:G56, G$1:G56&lt;&gt;""""))))-1), IF('To Order'!$A57=COLUMNS($A57:G76), G56&amp;RIGH"&amp;"T(INDIRECT(ADDRESS(ROW(G57)-1, 'From Order'!$A57)), 1), G56))"),"LWLJBRJZH")</f>
        <v>LWLJBRJZH</v>
      </c>
      <c r="H57" s="2" t="str">
        <f>IFERROR(__xludf.DUMMYFUNCTION("IF('From Order'!$A57=COLUMNS($A57:H76), LEFT(INDEX(FILTER(H$1:H56, H$1:H56&lt;&gt;""""),COUNTA(FILTER(H$1:H56, H$1:H56&lt;&gt;""""))), LEN(INDEX(FILTER(H$1:H56, H$1:H56&lt;&gt;""""),COUNTA(FILTER(H$1:H56, H$1:H56&lt;&gt;""""))))-1), IF('To Order'!$A57=COLUMNS($A57:H76), H56&amp;RIGH"&amp;"T(INDIRECT(ADDRESS(ROW(H57)-1, 'From Order'!$A57)), 1), H56))"),"DTL")</f>
        <v>DTL</v>
      </c>
      <c r="I57" s="2" t="str">
        <f>IFERROR(__xludf.DUMMYFUNCTION("IF('From Order'!$A57=COLUMNS($A57:I76), LEFT(INDEX(FILTER(I$1:I56, I$1:I56&lt;&gt;""""),COUNTA(FILTER(I$1:I56, I$1:I56&lt;&gt;""""))), LEN(INDEX(FILTER(I$1:I56, I$1:I56&lt;&gt;""""),COUNTA(FILTER(I$1:I56, I$1:I56&lt;&gt;""""))))-1), IF('To Order'!$A57=COLUMNS($A57:I76), I56&amp;RIGH"&amp;"T(INDIRECT(ADDRESS(ROW(I57)-1, 'From Order'!$A57)), 1), I56))"),"QPDSVTDCQMVTBR")</f>
        <v>QPDSVTDCQMVTBR</v>
      </c>
    </row>
    <row r="58">
      <c r="A58" s="2" t="str">
        <f>IFERROR(__xludf.DUMMYFUNCTION("IF('From Order'!$A58=COLUMNS($A58:A77), LEFT(INDEX(FILTER(A$1:A57, A$1:A57&lt;&gt;""""),COUNTA(FILTER(A$1:A57, A$1:A57&lt;&gt;""""))), LEN(INDEX(FILTER(A$1:A57, A$1:A57&lt;&gt;""""),COUNTA(FILTER(A$1:A57, A$1:A57&lt;&gt;""""))))-1), IF('To Order'!$A58=COLUMNS($A58:A77), A57&amp;RIGH"&amp;"T(INDIRECT(ADDRESS(ROW(A58)-1, 'From Order'!$A58)), 1), A57))"),"")</f>
        <v/>
      </c>
      <c r="B58" s="2" t="str">
        <f>IFERROR(__xludf.DUMMYFUNCTION("IF('From Order'!$A58=COLUMNS($A58:B77), LEFT(INDEX(FILTER(B$1:B57, B$1:B57&lt;&gt;""""),COUNTA(FILTER(B$1:B57, B$1:B57&lt;&gt;""""))), LEN(INDEX(FILTER(B$1:B57, B$1:B57&lt;&gt;""""),COUNTA(FILTER(B$1:B57, B$1:B57&lt;&gt;""""))))-1), IF('To Order'!$A58=COLUMNS($A58:B77), B57&amp;RIGH"&amp;"T(INDIRECT(ADDRESS(ROW(B58)-1, 'From Order'!$A58)), 1), B57))"),"SW")</f>
        <v>SW</v>
      </c>
      <c r="C58" s="2" t="str">
        <f>IFERROR(__xludf.DUMMYFUNCTION("IF('From Order'!$A58=COLUMNS($A58:C77), LEFT(INDEX(FILTER(C$1:C57, C$1:C57&lt;&gt;""""),COUNTA(FILTER(C$1:C57, C$1:C57&lt;&gt;""""))), LEN(INDEX(FILTER(C$1:C57, C$1:C57&lt;&gt;""""),COUNTA(FILTER(C$1:C57, C$1:C57&lt;&gt;""""))))-1), IF('To Order'!$A58=COLUMNS($A58:C77), C57&amp;RIGH"&amp;"T(INDIRECT(ADDRESS(ROW(C58)-1, 'From Order'!$A58)), 1), C57))"),"RZTRTFMJDG")</f>
        <v>RZTRTFMJDG</v>
      </c>
      <c r="D58" s="2" t="str">
        <f>IFERROR(__xludf.DUMMYFUNCTION("IF('From Order'!$A58=COLUMNS($A58:D77), LEFT(INDEX(FILTER(D$1:D57, D$1:D57&lt;&gt;""""),COUNTA(FILTER(D$1:D57, D$1:D57&lt;&gt;""""))), LEN(INDEX(FILTER(D$1:D57, D$1:D57&lt;&gt;""""),COUNTA(FILTER(D$1:D57, D$1:D57&lt;&gt;""""))))-1), IF('To Order'!$A58=COLUMNS($A58:D77), D57&amp;RIGH"&amp;"T(INDIRECT(ADDRESS(ROW(D58)-1, 'From Order'!$A58)), 1), D57))"),"DTCHSPVMZ")</f>
        <v>DTCHSPVMZ</v>
      </c>
      <c r="E58" s="2" t="str">
        <f>IFERROR(__xludf.DUMMYFUNCTION("IF('From Order'!$A58=COLUMNS($A58:E77), LEFT(INDEX(FILTER(E$1:E57, E$1:E57&lt;&gt;""""),COUNTA(FILTER(E$1:E57, E$1:E57&lt;&gt;""""))), LEN(INDEX(FILTER(E$1:E57, E$1:E57&lt;&gt;""""),COUNTA(FILTER(E$1:E57, E$1:E57&lt;&gt;""""))))-1), IF('To Order'!$A58=COLUMNS($A58:E77), E57&amp;RIGH"&amp;"T(INDIRECT(ADDRESS(ROW(E58)-1, 'From Order'!$A58)), 1), E57))"),"GPBSC")</f>
        <v>GPBSC</v>
      </c>
      <c r="F58" s="2" t="str">
        <f>IFERROR(__xludf.DUMMYFUNCTION("IF('From Order'!$A58=COLUMNS($A58:F77), LEFT(INDEX(FILTER(F$1:F57, F$1:F57&lt;&gt;""""),COUNTA(FILTER(F$1:F57, F$1:F57&lt;&gt;""""))), LEN(INDEX(FILTER(F$1:F57, F$1:F57&lt;&gt;""""),COUNTA(FILTER(F$1:F57, F$1:F57&lt;&gt;""""))))-1), IF('To Order'!$A58=COLUMNS($A58:F77), F57&amp;RIGH"&amp;"T(INDIRECT(ADDRESS(ROW(F58)-1, 'From Order'!$A58)), 1), F57))"),"FBR")</f>
        <v>FBR</v>
      </c>
      <c r="G58" s="2" t="str">
        <f>IFERROR(__xludf.DUMMYFUNCTION("IF('From Order'!$A58=COLUMNS($A58:G77), LEFT(INDEX(FILTER(G$1:G57, G$1:G57&lt;&gt;""""),COUNTA(FILTER(G$1:G57, G$1:G57&lt;&gt;""""))), LEN(INDEX(FILTER(G$1:G57, G$1:G57&lt;&gt;""""),COUNTA(FILTER(G$1:G57, G$1:G57&lt;&gt;""""))))-1), IF('To Order'!$A58=COLUMNS($A58:G77), G57&amp;RIGH"&amp;"T(INDIRECT(ADDRESS(ROW(G58)-1, 'From Order'!$A58)), 1), G57))"),"LWLJBRJZH")</f>
        <v>LWLJBRJZH</v>
      </c>
      <c r="H58" s="2" t="str">
        <f>IFERROR(__xludf.DUMMYFUNCTION("IF('From Order'!$A58=COLUMNS($A58:H77), LEFT(INDEX(FILTER(H$1:H57, H$1:H57&lt;&gt;""""),COUNTA(FILTER(H$1:H57, H$1:H57&lt;&gt;""""))), LEN(INDEX(FILTER(H$1:H57, H$1:H57&lt;&gt;""""),COUNTA(FILTER(H$1:H57, H$1:H57&lt;&gt;""""))))-1), IF('To Order'!$A58=COLUMNS($A58:H77), H57&amp;RIGH"&amp;"T(INDIRECT(ADDRESS(ROW(H58)-1, 'From Order'!$A58)), 1), H57))"),"DTLD")</f>
        <v>DTLD</v>
      </c>
      <c r="I58" s="2" t="str">
        <f>IFERROR(__xludf.DUMMYFUNCTION("IF('From Order'!$A58=COLUMNS($A58:I77), LEFT(INDEX(FILTER(I$1:I57, I$1:I57&lt;&gt;""""),COUNTA(FILTER(I$1:I57, I$1:I57&lt;&gt;""""))), LEN(INDEX(FILTER(I$1:I57, I$1:I57&lt;&gt;""""),COUNTA(FILTER(I$1:I57, I$1:I57&lt;&gt;""""))))-1), IF('To Order'!$A58=COLUMNS($A58:I77), I57&amp;RIGH"&amp;"T(INDIRECT(ADDRESS(ROW(I58)-1, 'From Order'!$A58)), 1), I57))"),"QPDSVTDCQMVTBR")</f>
        <v>QPDSVTDCQMVTBR</v>
      </c>
    </row>
    <row r="59">
      <c r="A59" s="2" t="str">
        <f>IFERROR(__xludf.DUMMYFUNCTION("IF('From Order'!$A59=COLUMNS($A59:A78), LEFT(INDEX(FILTER(A$1:A58, A$1:A58&lt;&gt;""""),COUNTA(FILTER(A$1:A58, A$1:A58&lt;&gt;""""))), LEN(INDEX(FILTER(A$1:A58, A$1:A58&lt;&gt;""""),COUNTA(FILTER(A$1:A58, A$1:A58&lt;&gt;""""))))-1), IF('To Order'!$A59=COLUMNS($A59:A78), A58&amp;RIGH"&amp;"T(INDIRECT(ADDRESS(ROW(A59)-1, 'From Order'!$A59)), 1), A58))"),"")</f>
        <v/>
      </c>
      <c r="B59" s="2" t="str">
        <f>IFERROR(__xludf.DUMMYFUNCTION("IF('From Order'!$A59=COLUMNS($A59:B78), LEFT(INDEX(FILTER(B$1:B58, B$1:B58&lt;&gt;""""),COUNTA(FILTER(B$1:B58, B$1:B58&lt;&gt;""""))), LEN(INDEX(FILTER(B$1:B58, B$1:B58&lt;&gt;""""),COUNTA(FILTER(B$1:B58, B$1:B58&lt;&gt;""""))))-1), IF('To Order'!$A59=COLUMNS($A59:B78), B58&amp;RIGH"&amp;"T(INDIRECT(ADDRESS(ROW(B59)-1, 'From Order'!$A59)), 1), B58))"),"SW")</f>
        <v>SW</v>
      </c>
      <c r="C59" s="2" t="str">
        <f>IFERROR(__xludf.DUMMYFUNCTION("IF('From Order'!$A59=COLUMNS($A59:C78), LEFT(INDEX(FILTER(C$1:C58, C$1:C58&lt;&gt;""""),COUNTA(FILTER(C$1:C58, C$1:C58&lt;&gt;""""))), LEN(INDEX(FILTER(C$1:C58, C$1:C58&lt;&gt;""""),COUNTA(FILTER(C$1:C58, C$1:C58&lt;&gt;""""))))-1), IF('To Order'!$A59=COLUMNS($A59:C78), C58&amp;RIGH"&amp;"T(INDIRECT(ADDRESS(ROW(C59)-1, 'From Order'!$A59)), 1), C58))"),"RZTRTFMJDG")</f>
        <v>RZTRTFMJDG</v>
      </c>
      <c r="D59" s="2" t="str">
        <f>IFERROR(__xludf.DUMMYFUNCTION("IF('From Order'!$A59=COLUMNS($A59:D78), LEFT(INDEX(FILTER(D$1:D58, D$1:D58&lt;&gt;""""),COUNTA(FILTER(D$1:D58, D$1:D58&lt;&gt;""""))), LEN(INDEX(FILTER(D$1:D58, D$1:D58&lt;&gt;""""),COUNTA(FILTER(D$1:D58, D$1:D58&lt;&gt;""""))))-1), IF('To Order'!$A59=COLUMNS($A59:D78), D58&amp;RIGH"&amp;"T(INDIRECT(ADDRESS(ROW(D59)-1, 'From Order'!$A59)), 1), D58))"),"DTCHSPVM")</f>
        <v>DTCHSPVM</v>
      </c>
      <c r="E59" s="2" t="str">
        <f>IFERROR(__xludf.DUMMYFUNCTION("IF('From Order'!$A59=COLUMNS($A59:E78), LEFT(INDEX(FILTER(E$1:E58, E$1:E58&lt;&gt;""""),COUNTA(FILTER(E$1:E58, E$1:E58&lt;&gt;""""))), LEN(INDEX(FILTER(E$1:E58, E$1:E58&lt;&gt;""""),COUNTA(FILTER(E$1:E58, E$1:E58&lt;&gt;""""))))-1), IF('To Order'!$A59=COLUMNS($A59:E78), E58&amp;RIGH"&amp;"T(INDIRECT(ADDRESS(ROW(E59)-1, 'From Order'!$A59)), 1), E58))"),"GPBSC")</f>
        <v>GPBSC</v>
      </c>
      <c r="F59" s="2" t="str">
        <f>IFERROR(__xludf.DUMMYFUNCTION("IF('From Order'!$A59=COLUMNS($A59:F78), LEFT(INDEX(FILTER(F$1:F58, F$1:F58&lt;&gt;""""),COUNTA(FILTER(F$1:F58, F$1:F58&lt;&gt;""""))), LEN(INDEX(FILTER(F$1:F58, F$1:F58&lt;&gt;""""),COUNTA(FILTER(F$1:F58, F$1:F58&lt;&gt;""""))))-1), IF('To Order'!$A59=COLUMNS($A59:F78), F58&amp;RIGH"&amp;"T(INDIRECT(ADDRESS(ROW(F59)-1, 'From Order'!$A59)), 1), F58))"),"FBR")</f>
        <v>FBR</v>
      </c>
      <c r="G59" s="2" t="str">
        <f>IFERROR(__xludf.DUMMYFUNCTION("IF('From Order'!$A59=COLUMNS($A59:G78), LEFT(INDEX(FILTER(G$1:G58, G$1:G58&lt;&gt;""""),COUNTA(FILTER(G$1:G58, G$1:G58&lt;&gt;""""))), LEN(INDEX(FILTER(G$1:G58, G$1:G58&lt;&gt;""""),COUNTA(FILTER(G$1:G58, G$1:G58&lt;&gt;""""))))-1), IF('To Order'!$A59=COLUMNS($A59:G78), G58&amp;RIGH"&amp;"T(INDIRECT(ADDRESS(ROW(G59)-1, 'From Order'!$A59)), 1), G58))"),"LWLJBRJZH")</f>
        <v>LWLJBRJZH</v>
      </c>
      <c r="H59" s="2" t="str">
        <f>IFERROR(__xludf.DUMMYFUNCTION("IF('From Order'!$A59=COLUMNS($A59:H78), LEFT(INDEX(FILTER(H$1:H58, H$1:H58&lt;&gt;""""),COUNTA(FILTER(H$1:H58, H$1:H58&lt;&gt;""""))), LEN(INDEX(FILTER(H$1:H58, H$1:H58&lt;&gt;""""),COUNTA(FILTER(H$1:H58, H$1:H58&lt;&gt;""""))))-1), IF('To Order'!$A59=COLUMNS($A59:H78), H58&amp;RIGH"&amp;"T(INDIRECT(ADDRESS(ROW(H59)-1, 'From Order'!$A59)), 1), H58))"),"DTLDZ")</f>
        <v>DTLDZ</v>
      </c>
      <c r="I59" s="2" t="str">
        <f>IFERROR(__xludf.DUMMYFUNCTION("IF('From Order'!$A59=COLUMNS($A59:I78), LEFT(INDEX(FILTER(I$1:I58, I$1:I58&lt;&gt;""""),COUNTA(FILTER(I$1:I58, I$1:I58&lt;&gt;""""))), LEN(INDEX(FILTER(I$1:I58, I$1:I58&lt;&gt;""""),COUNTA(FILTER(I$1:I58, I$1:I58&lt;&gt;""""))))-1), IF('To Order'!$A59=COLUMNS($A59:I78), I58&amp;RIGH"&amp;"T(INDIRECT(ADDRESS(ROW(I59)-1, 'From Order'!$A59)), 1), I58))"),"QPDSVTDCQMVTBR")</f>
        <v>QPDSVTDCQMVTBR</v>
      </c>
    </row>
    <row r="60">
      <c r="A60" s="2" t="str">
        <f>IFERROR(__xludf.DUMMYFUNCTION("IF('From Order'!$A60=COLUMNS($A60:A79), LEFT(INDEX(FILTER(A$1:A59, A$1:A59&lt;&gt;""""),COUNTA(FILTER(A$1:A59, A$1:A59&lt;&gt;""""))), LEN(INDEX(FILTER(A$1:A59, A$1:A59&lt;&gt;""""),COUNTA(FILTER(A$1:A59, A$1:A59&lt;&gt;""""))))-1), IF('To Order'!$A60=COLUMNS($A60:A79), A59&amp;RIGH"&amp;"T(INDIRECT(ADDRESS(ROW(A60)-1, 'From Order'!$A60)), 1), A59))"),"")</f>
        <v/>
      </c>
      <c r="B60" s="2" t="str">
        <f>IFERROR(__xludf.DUMMYFUNCTION("IF('From Order'!$A60=COLUMNS($A60:B79), LEFT(INDEX(FILTER(B$1:B59, B$1:B59&lt;&gt;""""),COUNTA(FILTER(B$1:B59, B$1:B59&lt;&gt;""""))), LEN(INDEX(FILTER(B$1:B59, B$1:B59&lt;&gt;""""),COUNTA(FILTER(B$1:B59, B$1:B59&lt;&gt;""""))))-1), IF('To Order'!$A60=COLUMNS($A60:B79), B59&amp;RIGH"&amp;"T(INDIRECT(ADDRESS(ROW(B60)-1, 'From Order'!$A60)), 1), B59))"),"SWR")</f>
        <v>SWR</v>
      </c>
      <c r="C60" s="2" t="str">
        <f>IFERROR(__xludf.DUMMYFUNCTION("IF('From Order'!$A60=COLUMNS($A60:C79), LEFT(INDEX(FILTER(C$1:C59, C$1:C59&lt;&gt;""""),COUNTA(FILTER(C$1:C59, C$1:C59&lt;&gt;""""))), LEN(INDEX(FILTER(C$1:C59, C$1:C59&lt;&gt;""""),COUNTA(FILTER(C$1:C59, C$1:C59&lt;&gt;""""))))-1), IF('To Order'!$A60=COLUMNS($A60:C79), C59&amp;RIGH"&amp;"T(INDIRECT(ADDRESS(ROW(C60)-1, 'From Order'!$A60)), 1), C59))"),"RZTRTFMJDG")</f>
        <v>RZTRTFMJDG</v>
      </c>
      <c r="D60" s="2" t="str">
        <f>IFERROR(__xludf.DUMMYFUNCTION("IF('From Order'!$A60=COLUMNS($A60:D79), LEFT(INDEX(FILTER(D$1:D59, D$1:D59&lt;&gt;""""),COUNTA(FILTER(D$1:D59, D$1:D59&lt;&gt;""""))), LEN(INDEX(FILTER(D$1:D59, D$1:D59&lt;&gt;""""),COUNTA(FILTER(D$1:D59, D$1:D59&lt;&gt;""""))))-1), IF('To Order'!$A60=COLUMNS($A60:D79), D59&amp;RIGH"&amp;"T(INDIRECT(ADDRESS(ROW(D60)-1, 'From Order'!$A60)), 1), D59))"),"DTCHSPVM")</f>
        <v>DTCHSPVM</v>
      </c>
      <c r="E60" s="2" t="str">
        <f>IFERROR(__xludf.DUMMYFUNCTION("IF('From Order'!$A60=COLUMNS($A60:E79), LEFT(INDEX(FILTER(E$1:E59, E$1:E59&lt;&gt;""""),COUNTA(FILTER(E$1:E59, E$1:E59&lt;&gt;""""))), LEN(INDEX(FILTER(E$1:E59, E$1:E59&lt;&gt;""""),COUNTA(FILTER(E$1:E59, E$1:E59&lt;&gt;""""))))-1), IF('To Order'!$A60=COLUMNS($A60:E79), E59&amp;RIGH"&amp;"T(INDIRECT(ADDRESS(ROW(E60)-1, 'From Order'!$A60)), 1), E59))"),"GPBSC")</f>
        <v>GPBSC</v>
      </c>
      <c r="F60" s="2" t="str">
        <f>IFERROR(__xludf.DUMMYFUNCTION("IF('From Order'!$A60=COLUMNS($A60:F79), LEFT(INDEX(FILTER(F$1:F59, F$1:F59&lt;&gt;""""),COUNTA(FILTER(F$1:F59, F$1:F59&lt;&gt;""""))), LEN(INDEX(FILTER(F$1:F59, F$1:F59&lt;&gt;""""),COUNTA(FILTER(F$1:F59, F$1:F59&lt;&gt;""""))))-1), IF('To Order'!$A60=COLUMNS($A60:F79), F59&amp;RIGH"&amp;"T(INDIRECT(ADDRESS(ROW(F60)-1, 'From Order'!$A60)), 1), F59))"),"FB")</f>
        <v>FB</v>
      </c>
      <c r="G60" s="2" t="str">
        <f>IFERROR(__xludf.DUMMYFUNCTION("IF('From Order'!$A60=COLUMNS($A60:G79), LEFT(INDEX(FILTER(G$1:G59, G$1:G59&lt;&gt;""""),COUNTA(FILTER(G$1:G59, G$1:G59&lt;&gt;""""))), LEN(INDEX(FILTER(G$1:G59, G$1:G59&lt;&gt;""""),COUNTA(FILTER(G$1:G59, G$1:G59&lt;&gt;""""))))-1), IF('To Order'!$A60=COLUMNS($A60:G79), G59&amp;RIGH"&amp;"T(INDIRECT(ADDRESS(ROW(G60)-1, 'From Order'!$A60)), 1), G59))"),"LWLJBRJZH")</f>
        <v>LWLJBRJZH</v>
      </c>
      <c r="H60" s="2" t="str">
        <f>IFERROR(__xludf.DUMMYFUNCTION("IF('From Order'!$A60=COLUMNS($A60:H79), LEFT(INDEX(FILTER(H$1:H59, H$1:H59&lt;&gt;""""),COUNTA(FILTER(H$1:H59, H$1:H59&lt;&gt;""""))), LEN(INDEX(FILTER(H$1:H59, H$1:H59&lt;&gt;""""),COUNTA(FILTER(H$1:H59, H$1:H59&lt;&gt;""""))))-1), IF('To Order'!$A60=COLUMNS($A60:H79), H59&amp;RIGH"&amp;"T(INDIRECT(ADDRESS(ROW(H60)-1, 'From Order'!$A60)), 1), H59))"),"DTLDZ")</f>
        <v>DTLDZ</v>
      </c>
      <c r="I60" s="2" t="str">
        <f>IFERROR(__xludf.DUMMYFUNCTION("IF('From Order'!$A60=COLUMNS($A60:I79), LEFT(INDEX(FILTER(I$1:I59, I$1:I59&lt;&gt;""""),COUNTA(FILTER(I$1:I59, I$1:I59&lt;&gt;""""))), LEN(INDEX(FILTER(I$1:I59, I$1:I59&lt;&gt;""""),COUNTA(FILTER(I$1:I59, I$1:I59&lt;&gt;""""))))-1), IF('To Order'!$A60=COLUMNS($A60:I79), I59&amp;RIGH"&amp;"T(INDIRECT(ADDRESS(ROW(I60)-1, 'From Order'!$A60)), 1), I59))"),"QPDSVTDCQMVTBR")</f>
        <v>QPDSVTDCQMVTBR</v>
      </c>
    </row>
    <row r="61">
      <c r="A61" s="2" t="str">
        <f>IFERROR(__xludf.DUMMYFUNCTION("IF('From Order'!$A61=COLUMNS($A61:A80), LEFT(INDEX(FILTER(A$1:A60, A$1:A60&lt;&gt;""""),COUNTA(FILTER(A$1:A60, A$1:A60&lt;&gt;""""))), LEN(INDEX(FILTER(A$1:A60, A$1:A60&lt;&gt;""""),COUNTA(FILTER(A$1:A60, A$1:A60&lt;&gt;""""))))-1), IF('To Order'!$A61=COLUMNS($A61:A80), A60&amp;RIGH"&amp;"T(INDIRECT(ADDRESS(ROW(A61)-1, 'From Order'!$A61)), 1), A60))"),"")</f>
        <v/>
      </c>
      <c r="B61" s="2" t="str">
        <f>IFERROR(__xludf.DUMMYFUNCTION("IF('From Order'!$A61=COLUMNS($A61:B80), LEFT(INDEX(FILTER(B$1:B60, B$1:B60&lt;&gt;""""),COUNTA(FILTER(B$1:B60, B$1:B60&lt;&gt;""""))), LEN(INDEX(FILTER(B$1:B60, B$1:B60&lt;&gt;""""),COUNTA(FILTER(B$1:B60, B$1:B60&lt;&gt;""""))))-1), IF('To Order'!$A61=COLUMNS($A61:B80), B60&amp;RIGH"&amp;"T(INDIRECT(ADDRESS(ROW(B61)-1, 'From Order'!$A61)), 1), B60))"),"SWR")</f>
        <v>SWR</v>
      </c>
      <c r="C61" s="2" t="str">
        <f>IFERROR(__xludf.DUMMYFUNCTION("IF('From Order'!$A61=COLUMNS($A61:C80), LEFT(INDEX(FILTER(C$1:C60, C$1:C60&lt;&gt;""""),COUNTA(FILTER(C$1:C60, C$1:C60&lt;&gt;""""))), LEN(INDEX(FILTER(C$1:C60, C$1:C60&lt;&gt;""""),COUNTA(FILTER(C$1:C60, C$1:C60&lt;&gt;""""))))-1), IF('To Order'!$A61=COLUMNS($A61:C80), C60&amp;RIGH"&amp;"T(INDIRECT(ADDRESS(ROW(C61)-1, 'From Order'!$A61)), 1), C60))"),"RZTRTFMJDG")</f>
        <v>RZTRTFMJDG</v>
      </c>
      <c r="D61" s="2" t="str">
        <f>IFERROR(__xludf.DUMMYFUNCTION("IF('From Order'!$A61=COLUMNS($A61:D80), LEFT(INDEX(FILTER(D$1:D60, D$1:D60&lt;&gt;""""),COUNTA(FILTER(D$1:D60, D$1:D60&lt;&gt;""""))), LEN(INDEX(FILTER(D$1:D60, D$1:D60&lt;&gt;""""),COUNTA(FILTER(D$1:D60, D$1:D60&lt;&gt;""""))))-1), IF('To Order'!$A61=COLUMNS($A61:D80), D60&amp;RIGH"&amp;"T(INDIRECT(ADDRESS(ROW(D61)-1, 'From Order'!$A61)), 1), D60))"),"DTCHSPVMZ")</f>
        <v>DTCHSPVMZ</v>
      </c>
      <c r="E61" s="2" t="str">
        <f>IFERROR(__xludf.DUMMYFUNCTION("IF('From Order'!$A61=COLUMNS($A61:E80), LEFT(INDEX(FILTER(E$1:E60, E$1:E60&lt;&gt;""""),COUNTA(FILTER(E$1:E60, E$1:E60&lt;&gt;""""))), LEN(INDEX(FILTER(E$1:E60, E$1:E60&lt;&gt;""""),COUNTA(FILTER(E$1:E60, E$1:E60&lt;&gt;""""))))-1), IF('To Order'!$A61=COLUMNS($A61:E80), E60&amp;RIGH"&amp;"T(INDIRECT(ADDRESS(ROW(E61)-1, 'From Order'!$A61)), 1), E60))"),"GPBSC")</f>
        <v>GPBSC</v>
      </c>
      <c r="F61" s="2" t="str">
        <f>IFERROR(__xludf.DUMMYFUNCTION("IF('From Order'!$A61=COLUMNS($A61:F80), LEFT(INDEX(FILTER(F$1:F60, F$1:F60&lt;&gt;""""),COUNTA(FILTER(F$1:F60, F$1:F60&lt;&gt;""""))), LEN(INDEX(FILTER(F$1:F60, F$1:F60&lt;&gt;""""),COUNTA(FILTER(F$1:F60, F$1:F60&lt;&gt;""""))))-1), IF('To Order'!$A61=COLUMNS($A61:F80), F60&amp;RIGH"&amp;"T(INDIRECT(ADDRESS(ROW(F61)-1, 'From Order'!$A61)), 1), F60))"),"FB")</f>
        <v>FB</v>
      </c>
      <c r="G61" s="2" t="str">
        <f>IFERROR(__xludf.DUMMYFUNCTION("IF('From Order'!$A61=COLUMNS($A61:G80), LEFT(INDEX(FILTER(G$1:G60, G$1:G60&lt;&gt;""""),COUNTA(FILTER(G$1:G60, G$1:G60&lt;&gt;""""))), LEN(INDEX(FILTER(G$1:G60, G$1:G60&lt;&gt;""""),COUNTA(FILTER(G$1:G60, G$1:G60&lt;&gt;""""))))-1), IF('To Order'!$A61=COLUMNS($A61:G80), G60&amp;RIGH"&amp;"T(INDIRECT(ADDRESS(ROW(G61)-1, 'From Order'!$A61)), 1), G60))"),"LWLJBRJZH")</f>
        <v>LWLJBRJZH</v>
      </c>
      <c r="H61" s="2" t="str">
        <f>IFERROR(__xludf.DUMMYFUNCTION("IF('From Order'!$A61=COLUMNS($A61:H80), LEFT(INDEX(FILTER(H$1:H60, H$1:H60&lt;&gt;""""),COUNTA(FILTER(H$1:H60, H$1:H60&lt;&gt;""""))), LEN(INDEX(FILTER(H$1:H60, H$1:H60&lt;&gt;""""),COUNTA(FILTER(H$1:H60, H$1:H60&lt;&gt;""""))))-1), IF('To Order'!$A61=COLUMNS($A61:H80), H60&amp;RIGH"&amp;"T(INDIRECT(ADDRESS(ROW(H61)-1, 'From Order'!$A61)), 1), H60))"),"DTLD")</f>
        <v>DTLD</v>
      </c>
      <c r="I61" s="2" t="str">
        <f>IFERROR(__xludf.DUMMYFUNCTION("IF('From Order'!$A61=COLUMNS($A61:I80), LEFT(INDEX(FILTER(I$1:I60, I$1:I60&lt;&gt;""""),COUNTA(FILTER(I$1:I60, I$1:I60&lt;&gt;""""))), LEN(INDEX(FILTER(I$1:I60, I$1:I60&lt;&gt;""""),COUNTA(FILTER(I$1:I60, I$1:I60&lt;&gt;""""))))-1), IF('To Order'!$A61=COLUMNS($A61:I80), I60&amp;RIGH"&amp;"T(INDIRECT(ADDRESS(ROW(I61)-1, 'From Order'!$A61)), 1), I60))"),"QPDSVTDCQMVTBR")</f>
        <v>QPDSVTDCQMVTBR</v>
      </c>
    </row>
    <row r="62">
      <c r="A62" s="2" t="str">
        <f>IFERROR(__xludf.DUMMYFUNCTION("IF('From Order'!$A62=COLUMNS($A62:A81), LEFT(INDEX(FILTER(A$1:A61, A$1:A61&lt;&gt;""""),COUNTA(FILTER(A$1:A61, A$1:A61&lt;&gt;""""))), LEN(INDEX(FILTER(A$1:A61, A$1:A61&lt;&gt;""""),COUNTA(FILTER(A$1:A61, A$1:A61&lt;&gt;""""))))-1), IF('To Order'!$A62=COLUMNS($A62:A81), A61&amp;RIGH"&amp;"T(INDIRECT(ADDRESS(ROW(A62)-1, 'From Order'!$A62)), 1), A61))"),"")</f>
        <v/>
      </c>
      <c r="B62" s="2" t="str">
        <f>IFERROR(__xludf.DUMMYFUNCTION("IF('From Order'!$A62=COLUMNS($A62:B81), LEFT(INDEX(FILTER(B$1:B61, B$1:B61&lt;&gt;""""),COUNTA(FILTER(B$1:B61, B$1:B61&lt;&gt;""""))), LEN(INDEX(FILTER(B$1:B61, B$1:B61&lt;&gt;""""),COUNTA(FILTER(B$1:B61, B$1:B61&lt;&gt;""""))))-1), IF('To Order'!$A62=COLUMNS($A62:B81), B61&amp;RIGH"&amp;"T(INDIRECT(ADDRESS(ROW(B62)-1, 'From Order'!$A62)), 1), B61))"),"SWR")</f>
        <v>SWR</v>
      </c>
      <c r="C62" s="2" t="str">
        <f>IFERROR(__xludf.DUMMYFUNCTION("IF('From Order'!$A62=COLUMNS($A62:C81), LEFT(INDEX(FILTER(C$1:C61, C$1:C61&lt;&gt;""""),COUNTA(FILTER(C$1:C61, C$1:C61&lt;&gt;""""))), LEN(INDEX(FILTER(C$1:C61, C$1:C61&lt;&gt;""""),COUNTA(FILTER(C$1:C61, C$1:C61&lt;&gt;""""))))-1), IF('To Order'!$A62=COLUMNS($A62:C81), C61&amp;RIGH"&amp;"T(INDIRECT(ADDRESS(ROW(C62)-1, 'From Order'!$A62)), 1), C61))"),"RZTRTFMJDG")</f>
        <v>RZTRTFMJDG</v>
      </c>
      <c r="D62" s="2" t="str">
        <f>IFERROR(__xludf.DUMMYFUNCTION("IF('From Order'!$A62=COLUMNS($A62:D81), LEFT(INDEX(FILTER(D$1:D61, D$1:D61&lt;&gt;""""),COUNTA(FILTER(D$1:D61, D$1:D61&lt;&gt;""""))), LEN(INDEX(FILTER(D$1:D61, D$1:D61&lt;&gt;""""),COUNTA(FILTER(D$1:D61, D$1:D61&lt;&gt;""""))))-1), IF('To Order'!$A62=COLUMNS($A62:D81), D61&amp;RIGH"&amp;"T(INDIRECT(ADDRESS(ROW(D62)-1, 'From Order'!$A62)), 1), D61))"),"DTCHSPVMZD")</f>
        <v>DTCHSPVMZD</v>
      </c>
      <c r="E62" s="2" t="str">
        <f>IFERROR(__xludf.DUMMYFUNCTION("IF('From Order'!$A62=COLUMNS($A62:E81), LEFT(INDEX(FILTER(E$1:E61, E$1:E61&lt;&gt;""""),COUNTA(FILTER(E$1:E61, E$1:E61&lt;&gt;""""))), LEN(INDEX(FILTER(E$1:E61, E$1:E61&lt;&gt;""""),COUNTA(FILTER(E$1:E61, E$1:E61&lt;&gt;""""))))-1), IF('To Order'!$A62=COLUMNS($A62:E81), E61&amp;RIGH"&amp;"T(INDIRECT(ADDRESS(ROW(E62)-1, 'From Order'!$A62)), 1), E61))"),"GPBSC")</f>
        <v>GPBSC</v>
      </c>
      <c r="F62" s="2" t="str">
        <f>IFERROR(__xludf.DUMMYFUNCTION("IF('From Order'!$A62=COLUMNS($A62:F81), LEFT(INDEX(FILTER(F$1:F61, F$1:F61&lt;&gt;""""),COUNTA(FILTER(F$1:F61, F$1:F61&lt;&gt;""""))), LEN(INDEX(FILTER(F$1:F61, F$1:F61&lt;&gt;""""),COUNTA(FILTER(F$1:F61, F$1:F61&lt;&gt;""""))))-1), IF('To Order'!$A62=COLUMNS($A62:F81), F61&amp;RIGH"&amp;"T(INDIRECT(ADDRESS(ROW(F62)-1, 'From Order'!$A62)), 1), F61))"),"FB")</f>
        <v>FB</v>
      </c>
      <c r="G62" s="2" t="str">
        <f>IFERROR(__xludf.DUMMYFUNCTION("IF('From Order'!$A62=COLUMNS($A62:G81), LEFT(INDEX(FILTER(G$1:G61, G$1:G61&lt;&gt;""""),COUNTA(FILTER(G$1:G61, G$1:G61&lt;&gt;""""))), LEN(INDEX(FILTER(G$1:G61, G$1:G61&lt;&gt;""""),COUNTA(FILTER(G$1:G61, G$1:G61&lt;&gt;""""))))-1), IF('To Order'!$A62=COLUMNS($A62:G81), G61&amp;RIGH"&amp;"T(INDIRECT(ADDRESS(ROW(G62)-1, 'From Order'!$A62)), 1), G61))"),"LWLJBRJZH")</f>
        <v>LWLJBRJZH</v>
      </c>
      <c r="H62" s="2" t="str">
        <f>IFERROR(__xludf.DUMMYFUNCTION("IF('From Order'!$A62=COLUMNS($A62:H81), LEFT(INDEX(FILTER(H$1:H61, H$1:H61&lt;&gt;""""),COUNTA(FILTER(H$1:H61, H$1:H61&lt;&gt;""""))), LEN(INDEX(FILTER(H$1:H61, H$1:H61&lt;&gt;""""),COUNTA(FILTER(H$1:H61, H$1:H61&lt;&gt;""""))))-1), IF('To Order'!$A62=COLUMNS($A62:H81), H61&amp;RIGH"&amp;"T(INDIRECT(ADDRESS(ROW(H62)-1, 'From Order'!$A62)), 1), H61))"),"DTL")</f>
        <v>DTL</v>
      </c>
      <c r="I62" s="2" t="str">
        <f>IFERROR(__xludf.DUMMYFUNCTION("IF('From Order'!$A62=COLUMNS($A62:I81), LEFT(INDEX(FILTER(I$1:I61, I$1:I61&lt;&gt;""""),COUNTA(FILTER(I$1:I61, I$1:I61&lt;&gt;""""))), LEN(INDEX(FILTER(I$1:I61, I$1:I61&lt;&gt;""""),COUNTA(FILTER(I$1:I61, I$1:I61&lt;&gt;""""))))-1), IF('To Order'!$A62=COLUMNS($A62:I81), I61&amp;RIGH"&amp;"T(INDIRECT(ADDRESS(ROW(I62)-1, 'From Order'!$A62)), 1), I61))"),"QPDSVTDCQMVTBR")</f>
        <v>QPDSVTDCQMVTBR</v>
      </c>
    </row>
    <row r="63">
      <c r="A63" s="2" t="str">
        <f>IFERROR(__xludf.DUMMYFUNCTION("IF('From Order'!$A63=COLUMNS($A63:A82), LEFT(INDEX(FILTER(A$1:A62, A$1:A62&lt;&gt;""""),COUNTA(FILTER(A$1:A62, A$1:A62&lt;&gt;""""))), LEN(INDEX(FILTER(A$1:A62, A$1:A62&lt;&gt;""""),COUNTA(FILTER(A$1:A62, A$1:A62&lt;&gt;""""))))-1), IF('To Order'!$A63=COLUMNS($A63:A82), A62&amp;RIGH"&amp;"T(INDIRECT(ADDRESS(ROW(A63)-1, 'From Order'!$A63)), 1), A62))"),"R")</f>
        <v>R</v>
      </c>
      <c r="B63" s="2" t="str">
        <f>IFERROR(__xludf.DUMMYFUNCTION("IF('From Order'!$A63=COLUMNS($A63:B82), LEFT(INDEX(FILTER(B$1:B62, B$1:B62&lt;&gt;""""),COUNTA(FILTER(B$1:B62, B$1:B62&lt;&gt;""""))), LEN(INDEX(FILTER(B$1:B62, B$1:B62&lt;&gt;""""),COUNTA(FILTER(B$1:B62, B$1:B62&lt;&gt;""""))))-1), IF('To Order'!$A63=COLUMNS($A63:B82), B62&amp;RIGH"&amp;"T(INDIRECT(ADDRESS(ROW(B63)-1, 'From Order'!$A63)), 1), B62))"),"SWR")</f>
        <v>SWR</v>
      </c>
      <c r="C63" s="2" t="str">
        <f>IFERROR(__xludf.DUMMYFUNCTION("IF('From Order'!$A63=COLUMNS($A63:C82), LEFT(INDEX(FILTER(C$1:C62, C$1:C62&lt;&gt;""""),COUNTA(FILTER(C$1:C62, C$1:C62&lt;&gt;""""))), LEN(INDEX(FILTER(C$1:C62, C$1:C62&lt;&gt;""""),COUNTA(FILTER(C$1:C62, C$1:C62&lt;&gt;""""))))-1), IF('To Order'!$A63=COLUMNS($A63:C82), C62&amp;RIGH"&amp;"T(INDIRECT(ADDRESS(ROW(C63)-1, 'From Order'!$A63)), 1), C62))"),"RZTRTFMJDG")</f>
        <v>RZTRTFMJDG</v>
      </c>
      <c r="D63" s="2" t="str">
        <f>IFERROR(__xludf.DUMMYFUNCTION("IF('From Order'!$A63=COLUMNS($A63:D82), LEFT(INDEX(FILTER(D$1:D62, D$1:D62&lt;&gt;""""),COUNTA(FILTER(D$1:D62, D$1:D62&lt;&gt;""""))), LEN(INDEX(FILTER(D$1:D62, D$1:D62&lt;&gt;""""),COUNTA(FILTER(D$1:D62, D$1:D62&lt;&gt;""""))))-1), IF('To Order'!$A63=COLUMNS($A63:D82), D62&amp;RIGH"&amp;"T(INDIRECT(ADDRESS(ROW(D63)-1, 'From Order'!$A63)), 1), D62))"),"DTCHSPVMZD")</f>
        <v>DTCHSPVMZD</v>
      </c>
      <c r="E63" s="2" t="str">
        <f>IFERROR(__xludf.DUMMYFUNCTION("IF('From Order'!$A63=COLUMNS($A63:E82), LEFT(INDEX(FILTER(E$1:E62, E$1:E62&lt;&gt;""""),COUNTA(FILTER(E$1:E62, E$1:E62&lt;&gt;""""))), LEN(INDEX(FILTER(E$1:E62, E$1:E62&lt;&gt;""""),COUNTA(FILTER(E$1:E62, E$1:E62&lt;&gt;""""))))-1), IF('To Order'!$A63=COLUMNS($A63:E82), E62&amp;RIGH"&amp;"T(INDIRECT(ADDRESS(ROW(E63)-1, 'From Order'!$A63)), 1), E62))"),"GPBSC")</f>
        <v>GPBSC</v>
      </c>
      <c r="F63" s="2" t="str">
        <f>IFERROR(__xludf.DUMMYFUNCTION("IF('From Order'!$A63=COLUMNS($A63:F82), LEFT(INDEX(FILTER(F$1:F62, F$1:F62&lt;&gt;""""),COUNTA(FILTER(F$1:F62, F$1:F62&lt;&gt;""""))), LEN(INDEX(FILTER(F$1:F62, F$1:F62&lt;&gt;""""),COUNTA(FILTER(F$1:F62, F$1:F62&lt;&gt;""""))))-1), IF('To Order'!$A63=COLUMNS($A63:F82), F62&amp;RIGH"&amp;"T(INDIRECT(ADDRESS(ROW(F63)-1, 'From Order'!$A63)), 1), F62))"),"FB")</f>
        <v>FB</v>
      </c>
      <c r="G63" s="2" t="str">
        <f>IFERROR(__xludf.DUMMYFUNCTION("IF('From Order'!$A63=COLUMNS($A63:G82), LEFT(INDEX(FILTER(G$1:G62, G$1:G62&lt;&gt;""""),COUNTA(FILTER(G$1:G62, G$1:G62&lt;&gt;""""))), LEN(INDEX(FILTER(G$1:G62, G$1:G62&lt;&gt;""""),COUNTA(FILTER(G$1:G62, G$1:G62&lt;&gt;""""))))-1), IF('To Order'!$A63=COLUMNS($A63:G82), G62&amp;RIGH"&amp;"T(INDIRECT(ADDRESS(ROW(G63)-1, 'From Order'!$A63)), 1), G62))"),"LWLJBRJZH")</f>
        <v>LWLJBRJZH</v>
      </c>
      <c r="H63" s="2" t="str">
        <f>IFERROR(__xludf.DUMMYFUNCTION("IF('From Order'!$A63=COLUMNS($A63:H82), LEFT(INDEX(FILTER(H$1:H62, H$1:H62&lt;&gt;""""),COUNTA(FILTER(H$1:H62, H$1:H62&lt;&gt;""""))), LEN(INDEX(FILTER(H$1:H62, H$1:H62&lt;&gt;""""),COUNTA(FILTER(H$1:H62, H$1:H62&lt;&gt;""""))))-1), IF('To Order'!$A63=COLUMNS($A63:H82), H62&amp;RIGH"&amp;"T(INDIRECT(ADDRESS(ROW(H63)-1, 'From Order'!$A63)), 1), H62))"),"DTL")</f>
        <v>DTL</v>
      </c>
      <c r="I63" s="2" t="str">
        <f>IFERROR(__xludf.DUMMYFUNCTION("IF('From Order'!$A63=COLUMNS($A63:I82), LEFT(INDEX(FILTER(I$1:I62, I$1:I62&lt;&gt;""""),COUNTA(FILTER(I$1:I62, I$1:I62&lt;&gt;""""))), LEN(INDEX(FILTER(I$1:I62, I$1:I62&lt;&gt;""""),COUNTA(FILTER(I$1:I62, I$1:I62&lt;&gt;""""))))-1), IF('To Order'!$A63=COLUMNS($A63:I82), I62&amp;RIGH"&amp;"T(INDIRECT(ADDRESS(ROW(I63)-1, 'From Order'!$A63)), 1), I62))"),"QPDSVTDCQMVTB")</f>
        <v>QPDSVTDCQMVTB</v>
      </c>
    </row>
    <row r="64">
      <c r="A64" s="2" t="str">
        <f>IFERROR(__xludf.DUMMYFUNCTION("IF('From Order'!$A64=COLUMNS($A64:A83), LEFT(INDEX(FILTER(A$1:A63, A$1:A63&lt;&gt;""""),COUNTA(FILTER(A$1:A63, A$1:A63&lt;&gt;""""))), LEN(INDEX(FILTER(A$1:A63, A$1:A63&lt;&gt;""""),COUNTA(FILTER(A$1:A63, A$1:A63&lt;&gt;""""))))-1), IF('To Order'!$A64=COLUMNS($A64:A83), A63&amp;RIGH"&amp;"T(INDIRECT(ADDRESS(ROW(A64)-1, 'From Order'!$A64)), 1), A63))"),"RB")</f>
        <v>RB</v>
      </c>
      <c r="B64" s="2" t="str">
        <f>IFERROR(__xludf.DUMMYFUNCTION("IF('From Order'!$A64=COLUMNS($A64:B83), LEFT(INDEX(FILTER(B$1:B63, B$1:B63&lt;&gt;""""),COUNTA(FILTER(B$1:B63, B$1:B63&lt;&gt;""""))), LEN(INDEX(FILTER(B$1:B63, B$1:B63&lt;&gt;""""),COUNTA(FILTER(B$1:B63, B$1:B63&lt;&gt;""""))))-1), IF('To Order'!$A64=COLUMNS($A64:B83), B63&amp;RIGH"&amp;"T(INDIRECT(ADDRESS(ROW(B64)-1, 'From Order'!$A64)), 1), B63))"),"SWR")</f>
        <v>SWR</v>
      </c>
      <c r="C64" s="2" t="str">
        <f>IFERROR(__xludf.DUMMYFUNCTION("IF('From Order'!$A64=COLUMNS($A64:C83), LEFT(INDEX(FILTER(C$1:C63, C$1:C63&lt;&gt;""""),COUNTA(FILTER(C$1:C63, C$1:C63&lt;&gt;""""))), LEN(INDEX(FILTER(C$1:C63, C$1:C63&lt;&gt;""""),COUNTA(FILTER(C$1:C63, C$1:C63&lt;&gt;""""))))-1), IF('To Order'!$A64=COLUMNS($A64:C83), C63&amp;RIGH"&amp;"T(INDIRECT(ADDRESS(ROW(C64)-1, 'From Order'!$A64)), 1), C63))"),"RZTRTFMJDG")</f>
        <v>RZTRTFMJDG</v>
      </c>
      <c r="D64" s="2" t="str">
        <f>IFERROR(__xludf.DUMMYFUNCTION("IF('From Order'!$A64=COLUMNS($A64:D83), LEFT(INDEX(FILTER(D$1:D63, D$1:D63&lt;&gt;""""),COUNTA(FILTER(D$1:D63, D$1:D63&lt;&gt;""""))), LEN(INDEX(FILTER(D$1:D63, D$1:D63&lt;&gt;""""),COUNTA(FILTER(D$1:D63, D$1:D63&lt;&gt;""""))))-1), IF('To Order'!$A64=COLUMNS($A64:D83), D63&amp;RIGH"&amp;"T(INDIRECT(ADDRESS(ROW(D64)-1, 'From Order'!$A64)), 1), D63))"),"DTCHSPVMZD")</f>
        <v>DTCHSPVMZD</v>
      </c>
      <c r="E64" s="2" t="str">
        <f>IFERROR(__xludf.DUMMYFUNCTION("IF('From Order'!$A64=COLUMNS($A64:E83), LEFT(INDEX(FILTER(E$1:E63, E$1:E63&lt;&gt;""""),COUNTA(FILTER(E$1:E63, E$1:E63&lt;&gt;""""))), LEN(INDEX(FILTER(E$1:E63, E$1:E63&lt;&gt;""""),COUNTA(FILTER(E$1:E63, E$1:E63&lt;&gt;""""))))-1), IF('To Order'!$A64=COLUMNS($A64:E83), E63&amp;RIGH"&amp;"T(INDIRECT(ADDRESS(ROW(E64)-1, 'From Order'!$A64)), 1), E63))"),"GPBSC")</f>
        <v>GPBSC</v>
      </c>
      <c r="F64" s="2" t="str">
        <f>IFERROR(__xludf.DUMMYFUNCTION("IF('From Order'!$A64=COLUMNS($A64:F83), LEFT(INDEX(FILTER(F$1:F63, F$1:F63&lt;&gt;""""),COUNTA(FILTER(F$1:F63, F$1:F63&lt;&gt;""""))), LEN(INDEX(FILTER(F$1:F63, F$1:F63&lt;&gt;""""),COUNTA(FILTER(F$1:F63, F$1:F63&lt;&gt;""""))))-1), IF('To Order'!$A64=COLUMNS($A64:F83), F63&amp;RIGH"&amp;"T(INDIRECT(ADDRESS(ROW(F64)-1, 'From Order'!$A64)), 1), F63))"),"FB")</f>
        <v>FB</v>
      </c>
      <c r="G64" s="2" t="str">
        <f>IFERROR(__xludf.DUMMYFUNCTION("IF('From Order'!$A64=COLUMNS($A64:G83), LEFT(INDEX(FILTER(G$1:G63, G$1:G63&lt;&gt;""""),COUNTA(FILTER(G$1:G63, G$1:G63&lt;&gt;""""))), LEN(INDEX(FILTER(G$1:G63, G$1:G63&lt;&gt;""""),COUNTA(FILTER(G$1:G63, G$1:G63&lt;&gt;""""))))-1), IF('To Order'!$A64=COLUMNS($A64:G83), G63&amp;RIGH"&amp;"T(INDIRECT(ADDRESS(ROW(G64)-1, 'From Order'!$A64)), 1), G63))"),"LWLJBRJZH")</f>
        <v>LWLJBRJZH</v>
      </c>
      <c r="H64" s="2" t="str">
        <f>IFERROR(__xludf.DUMMYFUNCTION("IF('From Order'!$A64=COLUMNS($A64:H83), LEFT(INDEX(FILTER(H$1:H63, H$1:H63&lt;&gt;""""),COUNTA(FILTER(H$1:H63, H$1:H63&lt;&gt;""""))), LEN(INDEX(FILTER(H$1:H63, H$1:H63&lt;&gt;""""),COUNTA(FILTER(H$1:H63, H$1:H63&lt;&gt;""""))))-1), IF('To Order'!$A64=COLUMNS($A64:H83), H63&amp;RIGH"&amp;"T(INDIRECT(ADDRESS(ROW(H64)-1, 'From Order'!$A64)), 1), H63))"),"DTL")</f>
        <v>DTL</v>
      </c>
      <c r="I64" s="2" t="str">
        <f>IFERROR(__xludf.DUMMYFUNCTION("IF('From Order'!$A64=COLUMNS($A64:I83), LEFT(INDEX(FILTER(I$1:I63, I$1:I63&lt;&gt;""""),COUNTA(FILTER(I$1:I63, I$1:I63&lt;&gt;""""))), LEN(INDEX(FILTER(I$1:I63, I$1:I63&lt;&gt;""""),COUNTA(FILTER(I$1:I63, I$1:I63&lt;&gt;""""))))-1), IF('To Order'!$A64=COLUMNS($A64:I83), I63&amp;RIGH"&amp;"T(INDIRECT(ADDRESS(ROW(I64)-1, 'From Order'!$A64)), 1), I63))"),"QPDSVTDCQMVT")</f>
        <v>QPDSVTDCQMVT</v>
      </c>
    </row>
    <row r="65">
      <c r="A65" s="2" t="str">
        <f>IFERROR(__xludf.DUMMYFUNCTION("IF('From Order'!$A65=COLUMNS($A65:A84), LEFT(INDEX(FILTER(A$1:A64, A$1:A64&lt;&gt;""""),COUNTA(FILTER(A$1:A64, A$1:A64&lt;&gt;""""))), LEN(INDEX(FILTER(A$1:A64, A$1:A64&lt;&gt;""""),COUNTA(FILTER(A$1:A64, A$1:A64&lt;&gt;""""))))-1), IF('To Order'!$A65=COLUMNS($A65:A84), A64&amp;RIGH"&amp;"T(INDIRECT(ADDRESS(ROW(A65)-1, 'From Order'!$A65)), 1), A64))"),"RBT")</f>
        <v>RBT</v>
      </c>
      <c r="B65" s="2" t="str">
        <f>IFERROR(__xludf.DUMMYFUNCTION("IF('From Order'!$A65=COLUMNS($A65:B84), LEFT(INDEX(FILTER(B$1:B64, B$1:B64&lt;&gt;""""),COUNTA(FILTER(B$1:B64, B$1:B64&lt;&gt;""""))), LEN(INDEX(FILTER(B$1:B64, B$1:B64&lt;&gt;""""),COUNTA(FILTER(B$1:B64, B$1:B64&lt;&gt;""""))))-1), IF('To Order'!$A65=COLUMNS($A65:B84), B64&amp;RIGH"&amp;"T(INDIRECT(ADDRESS(ROW(B65)-1, 'From Order'!$A65)), 1), B64))"),"SWR")</f>
        <v>SWR</v>
      </c>
      <c r="C65" s="2" t="str">
        <f>IFERROR(__xludf.DUMMYFUNCTION("IF('From Order'!$A65=COLUMNS($A65:C84), LEFT(INDEX(FILTER(C$1:C64, C$1:C64&lt;&gt;""""),COUNTA(FILTER(C$1:C64, C$1:C64&lt;&gt;""""))), LEN(INDEX(FILTER(C$1:C64, C$1:C64&lt;&gt;""""),COUNTA(FILTER(C$1:C64, C$1:C64&lt;&gt;""""))))-1), IF('To Order'!$A65=COLUMNS($A65:C84), C64&amp;RIGH"&amp;"T(INDIRECT(ADDRESS(ROW(C65)-1, 'From Order'!$A65)), 1), C64))"),"RZTRTFMJDG")</f>
        <v>RZTRTFMJDG</v>
      </c>
      <c r="D65" s="2" t="str">
        <f>IFERROR(__xludf.DUMMYFUNCTION("IF('From Order'!$A65=COLUMNS($A65:D84), LEFT(INDEX(FILTER(D$1:D64, D$1:D64&lt;&gt;""""),COUNTA(FILTER(D$1:D64, D$1:D64&lt;&gt;""""))), LEN(INDEX(FILTER(D$1:D64, D$1:D64&lt;&gt;""""),COUNTA(FILTER(D$1:D64, D$1:D64&lt;&gt;""""))))-1), IF('To Order'!$A65=COLUMNS($A65:D84), D64&amp;RIGH"&amp;"T(INDIRECT(ADDRESS(ROW(D65)-1, 'From Order'!$A65)), 1), D64))"),"DTCHSPVMZD")</f>
        <v>DTCHSPVMZD</v>
      </c>
      <c r="E65" s="2" t="str">
        <f>IFERROR(__xludf.DUMMYFUNCTION("IF('From Order'!$A65=COLUMNS($A65:E84), LEFT(INDEX(FILTER(E$1:E64, E$1:E64&lt;&gt;""""),COUNTA(FILTER(E$1:E64, E$1:E64&lt;&gt;""""))), LEN(INDEX(FILTER(E$1:E64, E$1:E64&lt;&gt;""""),COUNTA(FILTER(E$1:E64, E$1:E64&lt;&gt;""""))))-1), IF('To Order'!$A65=COLUMNS($A65:E84), E64&amp;RIGH"&amp;"T(INDIRECT(ADDRESS(ROW(E65)-1, 'From Order'!$A65)), 1), E64))"),"GPBSC")</f>
        <v>GPBSC</v>
      </c>
      <c r="F65" s="2" t="str">
        <f>IFERROR(__xludf.DUMMYFUNCTION("IF('From Order'!$A65=COLUMNS($A65:F84), LEFT(INDEX(FILTER(F$1:F64, F$1:F64&lt;&gt;""""),COUNTA(FILTER(F$1:F64, F$1:F64&lt;&gt;""""))), LEN(INDEX(FILTER(F$1:F64, F$1:F64&lt;&gt;""""),COUNTA(FILTER(F$1:F64, F$1:F64&lt;&gt;""""))))-1), IF('To Order'!$A65=COLUMNS($A65:F84), F64&amp;RIGH"&amp;"T(INDIRECT(ADDRESS(ROW(F65)-1, 'From Order'!$A65)), 1), F64))"),"FB")</f>
        <v>FB</v>
      </c>
      <c r="G65" s="2" t="str">
        <f>IFERROR(__xludf.DUMMYFUNCTION("IF('From Order'!$A65=COLUMNS($A65:G84), LEFT(INDEX(FILTER(G$1:G64, G$1:G64&lt;&gt;""""),COUNTA(FILTER(G$1:G64, G$1:G64&lt;&gt;""""))), LEN(INDEX(FILTER(G$1:G64, G$1:G64&lt;&gt;""""),COUNTA(FILTER(G$1:G64, G$1:G64&lt;&gt;""""))))-1), IF('To Order'!$A65=COLUMNS($A65:G84), G64&amp;RIGH"&amp;"T(INDIRECT(ADDRESS(ROW(G65)-1, 'From Order'!$A65)), 1), G64))"),"LWLJBRJZH")</f>
        <v>LWLJBRJZH</v>
      </c>
      <c r="H65" s="2" t="str">
        <f>IFERROR(__xludf.DUMMYFUNCTION("IF('From Order'!$A65=COLUMNS($A65:H84), LEFT(INDEX(FILTER(H$1:H64, H$1:H64&lt;&gt;""""),COUNTA(FILTER(H$1:H64, H$1:H64&lt;&gt;""""))), LEN(INDEX(FILTER(H$1:H64, H$1:H64&lt;&gt;""""),COUNTA(FILTER(H$1:H64, H$1:H64&lt;&gt;""""))))-1), IF('To Order'!$A65=COLUMNS($A65:H84), H64&amp;RIGH"&amp;"T(INDIRECT(ADDRESS(ROW(H65)-1, 'From Order'!$A65)), 1), H64))"),"DTL")</f>
        <v>DTL</v>
      </c>
      <c r="I65" s="2" t="str">
        <f>IFERROR(__xludf.DUMMYFUNCTION("IF('From Order'!$A65=COLUMNS($A65:I84), LEFT(INDEX(FILTER(I$1:I64, I$1:I64&lt;&gt;""""),COUNTA(FILTER(I$1:I64, I$1:I64&lt;&gt;""""))), LEN(INDEX(FILTER(I$1:I64, I$1:I64&lt;&gt;""""),COUNTA(FILTER(I$1:I64, I$1:I64&lt;&gt;""""))))-1), IF('To Order'!$A65=COLUMNS($A65:I84), I64&amp;RIGH"&amp;"T(INDIRECT(ADDRESS(ROW(I65)-1, 'From Order'!$A65)), 1), I64))"),"QPDSVTDCQMV")</f>
        <v>QPDSVTDCQMV</v>
      </c>
    </row>
    <row r="66">
      <c r="A66" s="2" t="str">
        <f>IFERROR(__xludf.DUMMYFUNCTION("IF('From Order'!$A66=COLUMNS($A66:A85), LEFT(INDEX(FILTER(A$1:A65, A$1:A65&lt;&gt;""""),COUNTA(FILTER(A$1:A65, A$1:A65&lt;&gt;""""))), LEN(INDEX(FILTER(A$1:A65, A$1:A65&lt;&gt;""""),COUNTA(FILTER(A$1:A65, A$1:A65&lt;&gt;""""))))-1), IF('To Order'!$A66=COLUMNS($A66:A85), A65&amp;RIGH"&amp;"T(INDIRECT(ADDRESS(ROW(A66)-1, 'From Order'!$A66)), 1), A65))"),"RBTV")</f>
        <v>RBTV</v>
      </c>
      <c r="B66" s="2" t="str">
        <f>IFERROR(__xludf.DUMMYFUNCTION("IF('From Order'!$A66=COLUMNS($A66:B85), LEFT(INDEX(FILTER(B$1:B65, B$1:B65&lt;&gt;""""),COUNTA(FILTER(B$1:B65, B$1:B65&lt;&gt;""""))), LEN(INDEX(FILTER(B$1:B65, B$1:B65&lt;&gt;""""),COUNTA(FILTER(B$1:B65, B$1:B65&lt;&gt;""""))))-1), IF('To Order'!$A66=COLUMNS($A66:B85), B65&amp;RIGH"&amp;"T(INDIRECT(ADDRESS(ROW(B66)-1, 'From Order'!$A66)), 1), B65))"),"SWR")</f>
        <v>SWR</v>
      </c>
      <c r="C66" s="2" t="str">
        <f>IFERROR(__xludf.DUMMYFUNCTION("IF('From Order'!$A66=COLUMNS($A66:C85), LEFT(INDEX(FILTER(C$1:C65, C$1:C65&lt;&gt;""""),COUNTA(FILTER(C$1:C65, C$1:C65&lt;&gt;""""))), LEN(INDEX(FILTER(C$1:C65, C$1:C65&lt;&gt;""""),COUNTA(FILTER(C$1:C65, C$1:C65&lt;&gt;""""))))-1), IF('To Order'!$A66=COLUMNS($A66:C85), C65&amp;RIGH"&amp;"T(INDIRECT(ADDRESS(ROW(C66)-1, 'From Order'!$A66)), 1), C65))"),"RZTRTFMJDG")</f>
        <v>RZTRTFMJDG</v>
      </c>
      <c r="D66" s="2" t="str">
        <f>IFERROR(__xludf.DUMMYFUNCTION("IF('From Order'!$A66=COLUMNS($A66:D85), LEFT(INDEX(FILTER(D$1:D65, D$1:D65&lt;&gt;""""),COUNTA(FILTER(D$1:D65, D$1:D65&lt;&gt;""""))), LEN(INDEX(FILTER(D$1:D65, D$1:D65&lt;&gt;""""),COUNTA(FILTER(D$1:D65, D$1:D65&lt;&gt;""""))))-1), IF('To Order'!$A66=COLUMNS($A66:D85), D65&amp;RIGH"&amp;"T(INDIRECT(ADDRESS(ROW(D66)-1, 'From Order'!$A66)), 1), D65))"),"DTCHSPVMZD")</f>
        <v>DTCHSPVMZD</v>
      </c>
      <c r="E66" s="2" t="str">
        <f>IFERROR(__xludf.DUMMYFUNCTION("IF('From Order'!$A66=COLUMNS($A66:E85), LEFT(INDEX(FILTER(E$1:E65, E$1:E65&lt;&gt;""""),COUNTA(FILTER(E$1:E65, E$1:E65&lt;&gt;""""))), LEN(INDEX(FILTER(E$1:E65, E$1:E65&lt;&gt;""""),COUNTA(FILTER(E$1:E65, E$1:E65&lt;&gt;""""))))-1), IF('To Order'!$A66=COLUMNS($A66:E85), E65&amp;RIGH"&amp;"T(INDIRECT(ADDRESS(ROW(E66)-1, 'From Order'!$A66)), 1), E65))"),"GPBSC")</f>
        <v>GPBSC</v>
      </c>
      <c r="F66" s="2" t="str">
        <f>IFERROR(__xludf.DUMMYFUNCTION("IF('From Order'!$A66=COLUMNS($A66:F85), LEFT(INDEX(FILTER(F$1:F65, F$1:F65&lt;&gt;""""),COUNTA(FILTER(F$1:F65, F$1:F65&lt;&gt;""""))), LEN(INDEX(FILTER(F$1:F65, F$1:F65&lt;&gt;""""),COUNTA(FILTER(F$1:F65, F$1:F65&lt;&gt;""""))))-1), IF('To Order'!$A66=COLUMNS($A66:F85), F65&amp;RIGH"&amp;"T(INDIRECT(ADDRESS(ROW(F66)-1, 'From Order'!$A66)), 1), F65))"),"FB")</f>
        <v>FB</v>
      </c>
      <c r="G66" s="2" t="str">
        <f>IFERROR(__xludf.DUMMYFUNCTION("IF('From Order'!$A66=COLUMNS($A66:G85), LEFT(INDEX(FILTER(G$1:G65, G$1:G65&lt;&gt;""""),COUNTA(FILTER(G$1:G65, G$1:G65&lt;&gt;""""))), LEN(INDEX(FILTER(G$1:G65, G$1:G65&lt;&gt;""""),COUNTA(FILTER(G$1:G65, G$1:G65&lt;&gt;""""))))-1), IF('To Order'!$A66=COLUMNS($A66:G85), G65&amp;RIGH"&amp;"T(INDIRECT(ADDRESS(ROW(G66)-1, 'From Order'!$A66)), 1), G65))"),"LWLJBRJZH")</f>
        <v>LWLJBRJZH</v>
      </c>
      <c r="H66" s="2" t="str">
        <f>IFERROR(__xludf.DUMMYFUNCTION("IF('From Order'!$A66=COLUMNS($A66:H85), LEFT(INDEX(FILTER(H$1:H65, H$1:H65&lt;&gt;""""),COUNTA(FILTER(H$1:H65, H$1:H65&lt;&gt;""""))), LEN(INDEX(FILTER(H$1:H65, H$1:H65&lt;&gt;""""),COUNTA(FILTER(H$1:H65, H$1:H65&lt;&gt;""""))))-1), IF('To Order'!$A66=COLUMNS($A66:H85), H65&amp;RIGH"&amp;"T(INDIRECT(ADDRESS(ROW(H66)-1, 'From Order'!$A66)), 1), H65))"),"DTL")</f>
        <v>DTL</v>
      </c>
      <c r="I66" s="2" t="str">
        <f>IFERROR(__xludf.DUMMYFUNCTION("IF('From Order'!$A66=COLUMNS($A66:I85), LEFT(INDEX(FILTER(I$1:I65, I$1:I65&lt;&gt;""""),COUNTA(FILTER(I$1:I65, I$1:I65&lt;&gt;""""))), LEN(INDEX(FILTER(I$1:I65, I$1:I65&lt;&gt;""""),COUNTA(FILTER(I$1:I65, I$1:I65&lt;&gt;""""))))-1), IF('To Order'!$A66=COLUMNS($A66:I85), I65&amp;RIGH"&amp;"T(INDIRECT(ADDRESS(ROW(I66)-1, 'From Order'!$A66)), 1), I65))"),"QPDSVTDCQM")</f>
        <v>QPDSVTDCQM</v>
      </c>
    </row>
    <row r="67">
      <c r="A67" s="2" t="str">
        <f>IFERROR(__xludf.DUMMYFUNCTION("IF('From Order'!$A67=COLUMNS($A67:A86), LEFT(INDEX(FILTER(A$1:A66, A$1:A66&lt;&gt;""""),COUNTA(FILTER(A$1:A66, A$1:A66&lt;&gt;""""))), LEN(INDEX(FILTER(A$1:A66, A$1:A66&lt;&gt;""""),COUNTA(FILTER(A$1:A66, A$1:A66&lt;&gt;""""))))-1), IF('To Order'!$A67=COLUMNS($A67:A86), A66&amp;RIGH"&amp;"T(INDIRECT(ADDRESS(ROW(A67)-1, 'From Order'!$A67)), 1), A66))"),"RBTVM")</f>
        <v>RBTVM</v>
      </c>
      <c r="B67" s="2" t="str">
        <f>IFERROR(__xludf.DUMMYFUNCTION("IF('From Order'!$A67=COLUMNS($A67:B86), LEFT(INDEX(FILTER(B$1:B66, B$1:B66&lt;&gt;""""),COUNTA(FILTER(B$1:B66, B$1:B66&lt;&gt;""""))), LEN(INDEX(FILTER(B$1:B66, B$1:B66&lt;&gt;""""),COUNTA(FILTER(B$1:B66, B$1:B66&lt;&gt;""""))))-1), IF('To Order'!$A67=COLUMNS($A67:B86), B66&amp;RIGH"&amp;"T(INDIRECT(ADDRESS(ROW(B67)-1, 'From Order'!$A67)), 1), B66))"),"SWR")</f>
        <v>SWR</v>
      </c>
      <c r="C67" s="2" t="str">
        <f>IFERROR(__xludf.DUMMYFUNCTION("IF('From Order'!$A67=COLUMNS($A67:C86), LEFT(INDEX(FILTER(C$1:C66, C$1:C66&lt;&gt;""""),COUNTA(FILTER(C$1:C66, C$1:C66&lt;&gt;""""))), LEN(INDEX(FILTER(C$1:C66, C$1:C66&lt;&gt;""""),COUNTA(FILTER(C$1:C66, C$1:C66&lt;&gt;""""))))-1), IF('To Order'!$A67=COLUMNS($A67:C86), C66&amp;RIGH"&amp;"T(INDIRECT(ADDRESS(ROW(C67)-1, 'From Order'!$A67)), 1), C66))"),"RZTRTFMJDG")</f>
        <v>RZTRTFMJDG</v>
      </c>
      <c r="D67" s="2" t="str">
        <f>IFERROR(__xludf.DUMMYFUNCTION("IF('From Order'!$A67=COLUMNS($A67:D86), LEFT(INDEX(FILTER(D$1:D66, D$1:D66&lt;&gt;""""),COUNTA(FILTER(D$1:D66, D$1:D66&lt;&gt;""""))), LEN(INDEX(FILTER(D$1:D66, D$1:D66&lt;&gt;""""),COUNTA(FILTER(D$1:D66, D$1:D66&lt;&gt;""""))))-1), IF('To Order'!$A67=COLUMNS($A67:D86), D66&amp;RIGH"&amp;"T(INDIRECT(ADDRESS(ROW(D67)-1, 'From Order'!$A67)), 1), D66))"),"DTCHSPVMZD")</f>
        <v>DTCHSPVMZD</v>
      </c>
      <c r="E67" s="2" t="str">
        <f>IFERROR(__xludf.DUMMYFUNCTION("IF('From Order'!$A67=COLUMNS($A67:E86), LEFT(INDEX(FILTER(E$1:E66, E$1:E66&lt;&gt;""""),COUNTA(FILTER(E$1:E66, E$1:E66&lt;&gt;""""))), LEN(INDEX(FILTER(E$1:E66, E$1:E66&lt;&gt;""""),COUNTA(FILTER(E$1:E66, E$1:E66&lt;&gt;""""))))-1), IF('To Order'!$A67=COLUMNS($A67:E86), E66&amp;RIGH"&amp;"T(INDIRECT(ADDRESS(ROW(E67)-1, 'From Order'!$A67)), 1), E66))"),"GPBSC")</f>
        <v>GPBSC</v>
      </c>
      <c r="F67" s="2" t="str">
        <f>IFERROR(__xludf.DUMMYFUNCTION("IF('From Order'!$A67=COLUMNS($A67:F86), LEFT(INDEX(FILTER(F$1:F66, F$1:F66&lt;&gt;""""),COUNTA(FILTER(F$1:F66, F$1:F66&lt;&gt;""""))), LEN(INDEX(FILTER(F$1:F66, F$1:F66&lt;&gt;""""),COUNTA(FILTER(F$1:F66, F$1:F66&lt;&gt;""""))))-1), IF('To Order'!$A67=COLUMNS($A67:F86), F66&amp;RIGH"&amp;"T(INDIRECT(ADDRESS(ROW(F67)-1, 'From Order'!$A67)), 1), F66))"),"FB")</f>
        <v>FB</v>
      </c>
      <c r="G67" s="2" t="str">
        <f>IFERROR(__xludf.DUMMYFUNCTION("IF('From Order'!$A67=COLUMNS($A67:G86), LEFT(INDEX(FILTER(G$1:G66, G$1:G66&lt;&gt;""""),COUNTA(FILTER(G$1:G66, G$1:G66&lt;&gt;""""))), LEN(INDEX(FILTER(G$1:G66, G$1:G66&lt;&gt;""""),COUNTA(FILTER(G$1:G66, G$1:G66&lt;&gt;""""))))-1), IF('To Order'!$A67=COLUMNS($A67:G86), G66&amp;RIGH"&amp;"T(INDIRECT(ADDRESS(ROW(G67)-1, 'From Order'!$A67)), 1), G66))"),"LWLJBRJZH")</f>
        <v>LWLJBRJZH</v>
      </c>
      <c r="H67" s="2" t="str">
        <f>IFERROR(__xludf.DUMMYFUNCTION("IF('From Order'!$A67=COLUMNS($A67:H86), LEFT(INDEX(FILTER(H$1:H66, H$1:H66&lt;&gt;""""),COUNTA(FILTER(H$1:H66, H$1:H66&lt;&gt;""""))), LEN(INDEX(FILTER(H$1:H66, H$1:H66&lt;&gt;""""),COUNTA(FILTER(H$1:H66, H$1:H66&lt;&gt;""""))))-1), IF('To Order'!$A67=COLUMNS($A67:H86), H66&amp;RIGH"&amp;"T(INDIRECT(ADDRESS(ROW(H67)-1, 'From Order'!$A67)), 1), H66))"),"DTL")</f>
        <v>DTL</v>
      </c>
      <c r="I67" s="2" t="str">
        <f>IFERROR(__xludf.DUMMYFUNCTION("IF('From Order'!$A67=COLUMNS($A67:I86), LEFT(INDEX(FILTER(I$1:I66, I$1:I66&lt;&gt;""""),COUNTA(FILTER(I$1:I66, I$1:I66&lt;&gt;""""))), LEN(INDEX(FILTER(I$1:I66, I$1:I66&lt;&gt;""""),COUNTA(FILTER(I$1:I66, I$1:I66&lt;&gt;""""))))-1), IF('To Order'!$A67=COLUMNS($A67:I86), I66&amp;RIGH"&amp;"T(INDIRECT(ADDRESS(ROW(I67)-1, 'From Order'!$A67)), 1), I66))"),"QPDSVTDCQ")</f>
        <v>QPDSVTDCQ</v>
      </c>
    </row>
    <row r="68">
      <c r="A68" s="2" t="str">
        <f>IFERROR(__xludf.DUMMYFUNCTION("IF('From Order'!$A68=COLUMNS($A68:A87), LEFT(INDEX(FILTER(A$1:A67, A$1:A67&lt;&gt;""""),COUNTA(FILTER(A$1:A67, A$1:A67&lt;&gt;""""))), LEN(INDEX(FILTER(A$1:A67, A$1:A67&lt;&gt;""""),COUNTA(FILTER(A$1:A67, A$1:A67&lt;&gt;""""))))-1), IF('To Order'!$A68=COLUMNS($A68:A87), A67&amp;RIGH"&amp;"T(INDIRECT(ADDRESS(ROW(A68)-1, 'From Order'!$A68)), 1), A67))"),"RBTVMQ")</f>
        <v>RBTVMQ</v>
      </c>
      <c r="B68" s="2" t="str">
        <f>IFERROR(__xludf.DUMMYFUNCTION("IF('From Order'!$A68=COLUMNS($A68:B87), LEFT(INDEX(FILTER(B$1:B67, B$1:B67&lt;&gt;""""),COUNTA(FILTER(B$1:B67, B$1:B67&lt;&gt;""""))), LEN(INDEX(FILTER(B$1:B67, B$1:B67&lt;&gt;""""),COUNTA(FILTER(B$1:B67, B$1:B67&lt;&gt;""""))))-1), IF('To Order'!$A68=COLUMNS($A68:B87), B67&amp;RIGH"&amp;"T(INDIRECT(ADDRESS(ROW(B68)-1, 'From Order'!$A68)), 1), B67))"),"SWR")</f>
        <v>SWR</v>
      </c>
      <c r="C68" s="2" t="str">
        <f>IFERROR(__xludf.DUMMYFUNCTION("IF('From Order'!$A68=COLUMNS($A68:C87), LEFT(INDEX(FILTER(C$1:C67, C$1:C67&lt;&gt;""""),COUNTA(FILTER(C$1:C67, C$1:C67&lt;&gt;""""))), LEN(INDEX(FILTER(C$1:C67, C$1:C67&lt;&gt;""""),COUNTA(FILTER(C$1:C67, C$1:C67&lt;&gt;""""))))-1), IF('To Order'!$A68=COLUMNS($A68:C87), C67&amp;RIGH"&amp;"T(INDIRECT(ADDRESS(ROW(C68)-1, 'From Order'!$A68)), 1), C67))"),"RZTRTFMJDG")</f>
        <v>RZTRTFMJDG</v>
      </c>
      <c r="D68" s="2" t="str">
        <f>IFERROR(__xludf.DUMMYFUNCTION("IF('From Order'!$A68=COLUMNS($A68:D87), LEFT(INDEX(FILTER(D$1:D67, D$1:D67&lt;&gt;""""),COUNTA(FILTER(D$1:D67, D$1:D67&lt;&gt;""""))), LEN(INDEX(FILTER(D$1:D67, D$1:D67&lt;&gt;""""),COUNTA(FILTER(D$1:D67, D$1:D67&lt;&gt;""""))))-1), IF('To Order'!$A68=COLUMNS($A68:D87), D67&amp;RIGH"&amp;"T(INDIRECT(ADDRESS(ROW(D68)-1, 'From Order'!$A68)), 1), D67))"),"DTCHSPVMZD")</f>
        <v>DTCHSPVMZD</v>
      </c>
      <c r="E68" s="2" t="str">
        <f>IFERROR(__xludf.DUMMYFUNCTION("IF('From Order'!$A68=COLUMNS($A68:E87), LEFT(INDEX(FILTER(E$1:E67, E$1:E67&lt;&gt;""""),COUNTA(FILTER(E$1:E67, E$1:E67&lt;&gt;""""))), LEN(INDEX(FILTER(E$1:E67, E$1:E67&lt;&gt;""""),COUNTA(FILTER(E$1:E67, E$1:E67&lt;&gt;""""))))-1), IF('To Order'!$A68=COLUMNS($A68:E87), E67&amp;RIGH"&amp;"T(INDIRECT(ADDRESS(ROW(E68)-1, 'From Order'!$A68)), 1), E67))"),"GPBSC")</f>
        <v>GPBSC</v>
      </c>
      <c r="F68" s="2" t="str">
        <f>IFERROR(__xludf.DUMMYFUNCTION("IF('From Order'!$A68=COLUMNS($A68:F87), LEFT(INDEX(FILTER(F$1:F67, F$1:F67&lt;&gt;""""),COUNTA(FILTER(F$1:F67, F$1:F67&lt;&gt;""""))), LEN(INDEX(FILTER(F$1:F67, F$1:F67&lt;&gt;""""),COUNTA(FILTER(F$1:F67, F$1:F67&lt;&gt;""""))))-1), IF('To Order'!$A68=COLUMNS($A68:F87), F67&amp;RIGH"&amp;"T(INDIRECT(ADDRESS(ROW(F68)-1, 'From Order'!$A68)), 1), F67))"),"FB")</f>
        <v>FB</v>
      </c>
      <c r="G68" s="2" t="str">
        <f>IFERROR(__xludf.DUMMYFUNCTION("IF('From Order'!$A68=COLUMNS($A68:G87), LEFT(INDEX(FILTER(G$1:G67, G$1:G67&lt;&gt;""""),COUNTA(FILTER(G$1:G67, G$1:G67&lt;&gt;""""))), LEN(INDEX(FILTER(G$1:G67, G$1:G67&lt;&gt;""""),COUNTA(FILTER(G$1:G67, G$1:G67&lt;&gt;""""))))-1), IF('To Order'!$A68=COLUMNS($A68:G87), G67&amp;RIGH"&amp;"T(INDIRECT(ADDRESS(ROW(G68)-1, 'From Order'!$A68)), 1), G67))"),"LWLJBRJZH")</f>
        <v>LWLJBRJZH</v>
      </c>
      <c r="H68" s="2" t="str">
        <f>IFERROR(__xludf.DUMMYFUNCTION("IF('From Order'!$A68=COLUMNS($A68:H87), LEFT(INDEX(FILTER(H$1:H67, H$1:H67&lt;&gt;""""),COUNTA(FILTER(H$1:H67, H$1:H67&lt;&gt;""""))), LEN(INDEX(FILTER(H$1:H67, H$1:H67&lt;&gt;""""),COUNTA(FILTER(H$1:H67, H$1:H67&lt;&gt;""""))))-1), IF('To Order'!$A68=COLUMNS($A68:H87), H67&amp;RIGH"&amp;"T(INDIRECT(ADDRESS(ROW(H68)-1, 'From Order'!$A68)), 1), H67))"),"DTL")</f>
        <v>DTL</v>
      </c>
      <c r="I68" s="2" t="str">
        <f>IFERROR(__xludf.DUMMYFUNCTION("IF('From Order'!$A68=COLUMNS($A68:I87), LEFT(INDEX(FILTER(I$1:I67, I$1:I67&lt;&gt;""""),COUNTA(FILTER(I$1:I67, I$1:I67&lt;&gt;""""))), LEN(INDEX(FILTER(I$1:I67, I$1:I67&lt;&gt;""""),COUNTA(FILTER(I$1:I67, I$1:I67&lt;&gt;""""))))-1), IF('To Order'!$A68=COLUMNS($A68:I87), I67&amp;RIGH"&amp;"T(INDIRECT(ADDRESS(ROW(I68)-1, 'From Order'!$A68)), 1), I67))"),"QPDSVTDC")</f>
        <v>QPDSVTDC</v>
      </c>
    </row>
    <row r="69">
      <c r="A69" s="2" t="str">
        <f>IFERROR(__xludf.DUMMYFUNCTION("IF('From Order'!$A69=COLUMNS($A69:A88), LEFT(INDEX(FILTER(A$1:A68, A$1:A68&lt;&gt;""""),COUNTA(FILTER(A$1:A68, A$1:A68&lt;&gt;""""))), LEN(INDEX(FILTER(A$1:A68, A$1:A68&lt;&gt;""""),COUNTA(FILTER(A$1:A68, A$1:A68&lt;&gt;""""))))-1), IF('To Order'!$A69=COLUMNS($A69:A88), A68&amp;RIGH"&amp;"T(INDIRECT(ADDRESS(ROW(A69)-1, 'From Order'!$A69)), 1), A68))"),"RBTVMQC")</f>
        <v>RBTVMQC</v>
      </c>
      <c r="B69" s="2" t="str">
        <f>IFERROR(__xludf.DUMMYFUNCTION("IF('From Order'!$A69=COLUMNS($A69:B88), LEFT(INDEX(FILTER(B$1:B68, B$1:B68&lt;&gt;""""),COUNTA(FILTER(B$1:B68, B$1:B68&lt;&gt;""""))), LEN(INDEX(FILTER(B$1:B68, B$1:B68&lt;&gt;""""),COUNTA(FILTER(B$1:B68, B$1:B68&lt;&gt;""""))))-1), IF('To Order'!$A69=COLUMNS($A69:B88), B68&amp;RIGH"&amp;"T(INDIRECT(ADDRESS(ROW(B69)-1, 'From Order'!$A69)), 1), B68))"),"SWR")</f>
        <v>SWR</v>
      </c>
      <c r="C69" s="2" t="str">
        <f>IFERROR(__xludf.DUMMYFUNCTION("IF('From Order'!$A69=COLUMNS($A69:C88), LEFT(INDEX(FILTER(C$1:C68, C$1:C68&lt;&gt;""""),COUNTA(FILTER(C$1:C68, C$1:C68&lt;&gt;""""))), LEN(INDEX(FILTER(C$1:C68, C$1:C68&lt;&gt;""""),COUNTA(FILTER(C$1:C68, C$1:C68&lt;&gt;""""))))-1), IF('To Order'!$A69=COLUMNS($A69:C88), C68&amp;RIGH"&amp;"T(INDIRECT(ADDRESS(ROW(C69)-1, 'From Order'!$A69)), 1), C68))"),"RZTRTFMJDG")</f>
        <v>RZTRTFMJDG</v>
      </c>
      <c r="D69" s="2" t="str">
        <f>IFERROR(__xludf.DUMMYFUNCTION("IF('From Order'!$A69=COLUMNS($A69:D88), LEFT(INDEX(FILTER(D$1:D68, D$1:D68&lt;&gt;""""),COUNTA(FILTER(D$1:D68, D$1:D68&lt;&gt;""""))), LEN(INDEX(FILTER(D$1:D68, D$1:D68&lt;&gt;""""),COUNTA(FILTER(D$1:D68, D$1:D68&lt;&gt;""""))))-1), IF('To Order'!$A69=COLUMNS($A69:D88), D68&amp;RIGH"&amp;"T(INDIRECT(ADDRESS(ROW(D69)-1, 'From Order'!$A69)), 1), D68))"),"DTCHSPVMZD")</f>
        <v>DTCHSPVMZD</v>
      </c>
      <c r="E69" s="2" t="str">
        <f>IFERROR(__xludf.DUMMYFUNCTION("IF('From Order'!$A69=COLUMNS($A69:E88), LEFT(INDEX(FILTER(E$1:E68, E$1:E68&lt;&gt;""""),COUNTA(FILTER(E$1:E68, E$1:E68&lt;&gt;""""))), LEN(INDEX(FILTER(E$1:E68, E$1:E68&lt;&gt;""""),COUNTA(FILTER(E$1:E68, E$1:E68&lt;&gt;""""))))-1), IF('To Order'!$A69=COLUMNS($A69:E88), E68&amp;RIGH"&amp;"T(INDIRECT(ADDRESS(ROW(E69)-1, 'From Order'!$A69)), 1), E68))"),"GPBSC")</f>
        <v>GPBSC</v>
      </c>
      <c r="F69" s="2" t="str">
        <f>IFERROR(__xludf.DUMMYFUNCTION("IF('From Order'!$A69=COLUMNS($A69:F88), LEFT(INDEX(FILTER(F$1:F68, F$1:F68&lt;&gt;""""),COUNTA(FILTER(F$1:F68, F$1:F68&lt;&gt;""""))), LEN(INDEX(FILTER(F$1:F68, F$1:F68&lt;&gt;""""),COUNTA(FILTER(F$1:F68, F$1:F68&lt;&gt;""""))))-1), IF('To Order'!$A69=COLUMNS($A69:F88), F68&amp;RIGH"&amp;"T(INDIRECT(ADDRESS(ROW(F69)-1, 'From Order'!$A69)), 1), F68))"),"FB")</f>
        <v>FB</v>
      </c>
      <c r="G69" s="2" t="str">
        <f>IFERROR(__xludf.DUMMYFUNCTION("IF('From Order'!$A69=COLUMNS($A69:G88), LEFT(INDEX(FILTER(G$1:G68, G$1:G68&lt;&gt;""""),COUNTA(FILTER(G$1:G68, G$1:G68&lt;&gt;""""))), LEN(INDEX(FILTER(G$1:G68, G$1:G68&lt;&gt;""""),COUNTA(FILTER(G$1:G68, G$1:G68&lt;&gt;""""))))-1), IF('To Order'!$A69=COLUMNS($A69:G88), G68&amp;RIGH"&amp;"T(INDIRECT(ADDRESS(ROW(G69)-1, 'From Order'!$A69)), 1), G68))"),"LWLJBRJZH")</f>
        <v>LWLJBRJZH</v>
      </c>
      <c r="H69" s="2" t="str">
        <f>IFERROR(__xludf.DUMMYFUNCTION("IF('From Order'!$A69=COLUMNS($A69:H88), LEFT(INDEX(FILTER(H$1:H68, H$1:H68&lt;&gt;""""),COUNTA(FILTER(H$1:H68, H$1:H68&lt;&gt;""""))), LEN(INDEX(FILTER(H$1:H68, H$1:H68&lt;&gt;""""),COUNTA(FILTER(H$1:H68, H$1:H68&lt;&gt;""""))))-1), IF('To Order'!$A69=COLUMNS($A69:H88), H68&amp;RIGH"&amp;"T(INDIRECT(ADDRESS(ROW(H69)-1, 'From Order'!$A69)), 1), H68))"),"DTL")</f>
        <v>DTL</v>
      </c>
      <c r="I69" s="2" t="str">
        <f>IFERROR(__xludf.DUMMYFUNCTION("IF('From Order'!$A69=COLUMNS($A69:I88), LEFT(INDEX(FILTER(I$1:I68, I$1:I68&lt;&gt;""""),COUNTA(FILTER(I$1:I68, I$1:I68&lt;&gt;""""))), LEN(INDEX(FILTER(I$1:I68, I$1:I68&lt;&gt;""""),COUNTA(FILTER(I$1:I68, I$1:I68&lt;&gt;""""))))-1), IF('To Order'!$A69=COLUMNS($A69:I88), I68&amp;RIGH"&amp;"T(INDIRECT(ADDRESS(ROW(I69)-1, 'From Order'!$A69)), 1), I68))"),"QPDSVTD")</f>
        <v>QPDSVTD</v>
      </c>
    </row>
    <row r="70">
      <c r="A70" s="2" t="str">
        <f>IFERROR(__xludf.DUMMYFUNCTION("IF('From Order'!$A70=COLUMNS($A70:A89), LEFT(INDEX(FILTER(A$1:A69, A$1:A69&lt;&gt;""""),COUNTA(FILTER(A$1:A69, A$1:A69&lt;&gt;""""))), LEN(INDEX(FILTER(A$1:A69, A$1:A69&lt;&gt;""""),COUNTA(FILTER(A$1:A69, A$1:A69&lt;&gt;""""))))-1), IF('To Order'!$A70=COLUMNS($A70:A89), A69&amp;RIGH"&amp;"T(INDIRECT(ADDRESS(ROW(A70)-1, 'From Order'!$A70)), 1), A69))"),"RBTVMQCD")</f>
        <v>RBTVMQCD</v>
      </c>
      <c r="B70" s="2" t="str">
        <f>IFERROR(__xludf.DUMMYFUNCTION("IF('From Order'!$A70=COLUMNS($A70:B89), LEFT(INDEX(FILTER(B$1:B69, B$1:B69&lt;&gt;""""),COUNTA(FILTER(B$1:B69, B$1:B69&lt;&gt;""""))), LEN(INDEX(FILTER(B$1:B69, B$1:B69&lt;&gt;""""),COUNTA(FILTER(B$1:B69, B$1:B69&lt;&gt;""""))))-1), IF('To Order'!$A70=COLUMNS($A70:B89), B69&amp;RIGH"&amp;"T(INDIRECT(ADDRESS(ROW(B70)-1, 'From Order'!$A70)), 1), B69))"),"SWR")</f>
        <v>SWR</v>
      </c>
      <c r="C70" s="2" t="str">
        <f>IFERROR(__xludf.DUMMYFUNCTION("IF('From Order'!$A70=COLUMNS($A70:C89), LEFT(INDEX(FILTER(C$1:C69, C$1:C69&lt;&gt;""""),COUNTA(FILTER(C$1:C69, C$1:C69&lt;&gt;""""))), LEN(INDEX(FILTER(C$1:C69, C$1:C69&lt;&gt;""""),COUNTA(FILTER(C$1:C69, C$1:C69&lt;&gt;""""))))-1), IF('To Order'!$A70=COLUMNS($A70:C89), C69&amp;RIGH"&amp;"T(INDIRECT(ADDRESS(ROW(C70)-1, 'From Order'!$A70)), 1), C69))"),"RZTRTFMJDG")</f>
        <v>RZTRTFMJDG</v>
      </c>
      <c r="D70" s="2" t="str">
        <f>IFERROR(__xludf.DUMMYFUNCTION("IF('From Order'!$A70=COLUMNS($A70:D89), LEFT(INDEX(FILTER(D$1:D69, D$1:D69&lt;&gt;""""),COUNTA(FILTER(D$1:D69, D$1:D69&lt;&gt;""""))), LEN(INDEX(FILTER(D$1:D69, D$1:D69&lt;&gt;""""),COUNTA(FILTER(D$1:D69, D$1:D69&lt;&gt;""""))))-1), IF('To Order'!$A70=COLUMNS($A70:D89), D69&amp;RIGH"&amp;"T(INDIRECT(ADDRESS(ROW(D70)-1, 'From Order'!$A70)), 1), D69))"),"DTCHSPVMZD")</f>
        <v>DTCHSPVMZD</v>
      </c>
      <c r="E70" s="2" t="str">
        <f>IFERROR(__xludf.DUMMYFUNCTION("IF('From Order'!$A70=COLUMNS($A70:E89), LEFT(INDEX(FILTER(E$1:E69, E$1:E69&lt;&gt;""""),COUNTA(FILTER(E$1:E69, E$1:E69&lt;&gt;""""))), LEN(INDEX(FILTER(E$1:E69, E$1:E69&lt;&gt;""""),COUNTA(FILTER(E$1:E69, E$1:E69&lt;&gt;""""))))-1), IF('To Order'!$A70=COLUMNS($A70:E89), E69&amp;RIGH"&amp;"T(INDIRECT(ADDRESS(ROW(E70)-1, 'From Order'!$A70)), 1), E69))"),"GPBSC")</f>
        <v>GPBSC</v>
      </c>
      <c r="F70" s="2" t="str">
        <f>IFERROR(__xludf.DUMMYFUNCTION("IF('From Order'!$A70=COLUMNS($A70:F89), LEFT(INDEX(FILTER(F$1:F69, F$1:F69&lt;&gt;""""),COUNTA(FILTER(F$1:F69, F$1:F69&lt;&gt;""""))), LEN(INDEX(FILTER(F$1:F69, F$1:F69&lt;&gt;""""),COUNTA(FILTER(F$1:F69, F$1:F69&lt;&gt;""""))))-1), IF('To Order'!$A70=COLUMNS($A70:F89), F69&amp;RIGH"&amp;"T(INDIRECT(ADDRESS(ROW(F70)-1, 'From Order'!$A70)), 1), F69))"),"FB")</f>
        <v>FB</v>
      </c>
      <c r="G70" s="2" t="str">
        <f>IFERROR(__xludf.DUMMYFUNCTION("IF('From Order'!$A70=COLUMNS($A70:G89), LEFT(INDEX(FILTER(G$1:G69, G$1:G69&lt;&gt;""""),COUNTA(FILTER(G$1:G69, G$1:G69&lt;&gt;""""))), LEN(INDEX(FILTER(G$1:G69, G$1:G69&lt;&gt;""""),COUNTA(FILTER(G$1:G69, G$1:G69&lt;&gt;""""))))-1), IF('To Order'!$A70=COLUMNS($A70:G89), G69&amp;RIGH"&amp;"T(INDIRECT(ADDRESS(ROW(G70)-1, 'From Order'!$A70)), 1), G69))"),"LWLJBRJZH")</f>
        <v>LWLJBRJZH</v>
      </c>
      <c r="H70" s="2" t="str">
        <f>IFERROR(__xludf.DUMMYFUNCTION("IF('From Order'!$A70=COLUMNS($A70:H89), LEFT(INDEX(FILTER(H$1:H69, H$1:H69&lt;&gt;""""),COUNTA(FILTER(H$1:H69, H$1:H69&lt;&gt;""""))), LEN(INDEX(FILTER(H$1:H69, H$1:H69&lt;&gt;""""),COUNTA(FILTER(H$1:H69, H$1:H69&lt;&gt;""""))))-1), IF('To Order'!$A70=COLUMNS($A70:H89), H69&amp;RIGH"&amp;"T(INDIRECT(ADDRESS(ROW(H70)-1, 'From Order'!$A70)), 1), H69))"),"DTL")</f>
        <v>DTL</v>
      </c>
      <c r="I70" s="2" t="str">
        <f>IFERROR(__xludf.DUMMYFUNCTION("IF('From Order'!$A70=COLUMNS($A70:I89), LEFT(INDEX(FILTER(I$1:I69, I$1:I69&lt;&gt;""""),COUNTA(FILTER(I$1:I69, I$1:I69&lt;&gt;""""))), LEN(INDEX(FILTER(I$1:I69, I$1:I69&lt;&gt;""""),COUNTA(FILTER(I$1:I69, I$1:I69&lt;&gt;""""))))-1), IF('To Order'!$A70=COLUMNS($A70:I89), I69&amp;RIGH"&amp;"T(INDIRECT(ADDRESS(ROW(I70)-1, 'From Order'!$A70)), 1), I69))"),"QPDSVT")</f>
        <v>QPDSVT</v>
      </c>
    </row>
    <row r="71">
      <c r="A71" s="2" t="str">
        <f>IFERROR(__xludf.DUMMYFUNCTION("IF('From Order'!$A71=COLUMNS($A71:A90), LEFT(INDEX(FILTER(A$1:A70, A$1:A70&lt;&gt;""""),COUNTA(FILTER(A$1:A70, A$1:A70&lt;&gt;""""))), LEN(INDEX(FILTER(A$1:A70, A$1:A70&lt;&gt;""""),COUNTA(FILTER(A$1:A70, A$1:A70&lt;&gt;""""))))-1), IF('To Order'!$A71=COLUMNS($A71:A90), A70&amp;RIGH"&amp;"T(INDIRECT(ADDRESS(ROW(A71)-1, 'From Order'!$A71)), 1), A70))"),"RBTVMQCDT")</f>
        <v>RBTVMQCDT</v>
      </c>
      <c r="B71" s="2" t="str">
        <f>IFERROR(__xludf.DUMMYFUNCTION("IF('From Order'!$A71=COLUMNS($A71:B90), LEFT(INDEX(FILTER(B$1:B70, B$1:B70&lt;&gt;""""),COUNTA(FILTER(B$1:B70, B$1:B70&lt;&gt;""""))), LEN(INDEX(FILTER(B$1:B70, B$1:B70&lt;&gt;""""),COUNTA(FILTER(B$1:B70, B$1:B70&lt;&gt;""""))))-1), IF('To Order'!$A71=COLUMNS($A71:B90), B70&amp;RIGH"&amp;"T(INDIRECT(ADDRESS(ROW(B71)-1, 'From Order'!$A71)), 1), B70))"),"SWR")</f>
        <v>SWR</v>
      </c>
      <c r="C71" s="2" t="str">
        <f>IFERROR(__xludf.DUMMYFUNCTION("IF('From Order'!$A71=COLUMNS($A71:C90), LEFT(INDEX(FILTER(C$1:C70, C$1:C70&lt;&gt;""""),COUNTA(FILTER(C$1:C70, C$1:C70&lt;&gt;""""))), LEN(INDEX(FILTER(C$1:C70, C$1:C70&lt;&gt;""""),COUNTA(FILTER(C$1:C70, C$1:C70&lt;&gt;""""))))-1), IF('To Order'!$A71=COLUMNS($A71:C90), C70&amp;RIGH"&amp;"T(INDIRECT(ADDRESS(ROW(C71)-1, 'From Order'!$A71)), 1), C70))"),"RZTRTFMJDG")</f>
        <v>RZTRTFMJDG</v>
      </c>
      <c r="D71" s="2" t="str">
        <f>IFERROR(__xludf.DUMMYFUNCTION("IF('From Order'!$A71=COLUMNS($A71:D90), LEFT(INDEX(FILTER(D$1:D70, D$1:D70&lt;&gt;""""),COUNTA(FILTER(D$1:D70, D$1:D70&lt;&gt;""""))), LEN(INDEX(FILTER(D$1:D70, D$1:D70&lt;&gt;""""),COUNTA(FILTER(D$1:D70, D$1:D70&lt;&gt;""""))))-1), IF('To Order'!$A71=COLUMNS($A71:D90), D70&amp;RIGH"&amp;"T(INDIRECT(ADDRESS(ROW(D71)-1, 'From Order'!$A71)), 1), D70))"),"DTCHSPVMZD")</f>
        <v>DTCHSPVMZD</v>
      </c>
      <c r="E71" s="2" t="str">
        <f>IFERROR(__xludf.DUMMYFUNCTION("IF('From Order'!$A71=COLUMNS($A71:E90), LEFT(INDEX(FILTER(E$1:E70, E$1:E70&lt;&gt;""""),COUNTA(FILTER(E$1:E70, E$1:E70&lt;&gt;""""))), LEN(INDEX(FILTER(E$1:E70, E$1:E70&lt;&gt;""""),COUNTA(FILTER(E$1:E70, E$1:E70&lt;&gt;""""))))-1), IF('To Order'!$A71=COLUMNS($A71:E90), E70&amp;RIGH"&amp;"T(INDIRECT(ADDRESS(ROW(E71)-1, 'From Order'!$A71)), 1), E70))"),"GPBSC")</f>
        <v>GPBSC</v>
      </c>
      <c r="F71" s="2" t="str">
        <f>IFERROR(__xludf.DUMMYFUNCTION("IF('From Order'!$A71=COLUMNS($A71:F90), LEFT(INDEX(FILTER(F$1:F70, F$1:F70&lt;&gt;""""),COUNTA(FILTER(F$1:F70, F$1:F70&lt;&gt;""""))), LEN(INDEX(FILTER(F$1:F70, F$1:F70&lt;&gt;""""),COUNTA(FILTER(F$1:F70, F$1:F70&lt;&gt;""""))))-1), IF('To Order'!$A71=COLUMNS($A71:F90), F70&amp;RIGH"&amp;"T(INDIRECT(ADDRESS(ROW(F71)-1, 'From Order'!$A71)), 1), F70))"),"FB")</f>
        <v>FB</v>
      </c>
      <c r="G71" s="2" t="str">
        <f>IFERROR(__xludf.DUMMYFUNCTION("IF('From Order'!$A71=COLUMNS($A71:G90), LEFT(INDEX(FILTER(G$1:G70, G$1:G70&lt;&gt;""""),COUNTA(FILTER(G$1:G70, G$1:G70&lt;&gt;""""))), LEN(INDEX(FILTER(G$1:G70, G$1:G70&lt;&gt;""""),COUNTA(FILTER(G$1:G70, G$1:G70&lt;&gt;""""))))-1), IF('To Order'!$A71=COLUMNS($A71:G90), G70&amp;RIGH"&amp;"T(INDIRECT(ADDRESS(ROW(G71)-1, 'From Order'!$A71)), 1), G70))"),"LWLJBRJZH")</f>
        <v>LWLJBRJZH</v>
      </c>
      <c r="H71" s="2" t="str">
        <f>IFERROR(__xludf.DUMMYFUNCTION("IF('From Order'!$A71=COLUMNS($A71:H90), LEFT(INDEX(FILTER(H$1:H70, H$1:H70&lt;&gt;""""),COUNTA(FILTER(H$1:H70, H$1:H70&lt;&gt;""""))), LEN(INDEX(FILTER(H$1:H70, H$1:H70&lt;&gt;""""),COUNTA(FILTER(H$1:H70, H$1:H70&lt;&gt;""""))))-1), IF('To Order'!$A71=COLUMNS($A71:H90), H70&amp;RIGH"&amp;"T(INDIRECT(ADDRESS(ROW(H71)-1, 'From Order'!$A71)), 1), H70))"),"DTL")</f>
        <v>DTL</v>
      </c>
      <c r="I71" s="2" t="str">
        <f>IFERROR(__xludf.DUMMYFUNCTION("IF('From Order'!$A71=COLUMNS($A71:I90), LEFT(INDEX(FILTER(I$1:I70, I$1:I70&lt;&gt;""""),COUNTA(FILTER(I$1:I70, I$1:I70&lt;&gt;""""))), LEN(INDEX(FILTER(I$1:I70, I$1:I70&lt;&gt;""""),COUNTA(FILTER(I$1:I70, I$1:I70&lt;&gt;""""))))-1), IF('To Order'!$A71=COLUMNS($A71:I90), I70&amp;RIGH"&amp;"T(INDIRECT(ADDRESS(ROW(I71)-1, 'From Order'!$A71)), 1), I70))"),"QPDSV")</f>
        <v>QPDSV</v>
      </c>
    </row>
    <row r="72">
      <c r="A72" s="2" t="str">
        <f>IFERROR(__xludf.DUMMYFUNCTION("IF('From Order'!$A72=COLUMNS($A72:A91), LEFT(INDEX(FILTER(A$1:A71, A$1:A71&lt;&gt;""""),COUNTA(FILTER(A$1:A71, A$1:A71&lt;&gt;""""))), LEN(INDEX(FILTER(A$1:A71, A$1:A71&lt;&gt;""""),COUNTA(FILTER(A$1:A71, A$1:A71&lt;&gt;""""))))-1), IF('To Order'!$A72=COLUMNS($A72:A91), A71&amp;RIGH"&amp;"T(INDIRECT(ADDRESS(ROW(A72)-1, 'From Order'!$A72)), 1), A71))"),"RBTVMQCDT")</f>
        <v>RBTVMQCDT</v>
      </c>
      <c r="B72" s="2" t="str">
        <f>IFERROR(__xludf.DUMMYFUNCTION("IF('From Order'!$A72=COLUMNS($A72:B91), LEFT(INDEX(FILTER(B$1:B71, B$1:B71&lt;&gt;""""),COUNTA(FILTER(B$1:B71, B$1:B71&lt;&gt;""""))), LEN(INDEX(FILTER(B$1:B71, B$1:B71&lt;&gt;""""),COUNTA(FILTER(B$1:B71, B$1:B71&lt;&gt;""""))))-1), IF('To Order'!$A72=COLUMNS($A72:B91), B71&amp;RIGH"&amp;"T(INDIRECT(ADDRESS(ROW(B72)-1, 'From Order'!$A72)), 1), B71))"),"SWR")</f>
        <v>SWR</v>
      </c>
      <c r="C72" s="2" t="str">
        <f>IFERROR(__xludf.DUMMYFUNCTION("IF('From Order'!$A72=COLUMNS($A72:C91), LEFT(INDEX(FILTER(C$1:C71, C$1:C71&lt;&gt;""""),COUNTA(FILTER(C$1:C71, C$1:C71&lt;&gt;""""))), LEN(INDEX(FILTER(C$1:C71, C$1:C71&lt;&gt;""""),COUNTA(FILTER(C$1:C71, C$1:C71&lt;&gt;""""))))-1), IF('To Order'!$A72=COLUMNS($A72:C91), C71&amp;RIGH"&amp;"T(INDIRECT(ADDRESS(ROW(C72)-1, 'From Order'!$A72)), 1), C71))"),"RZTRTFMJDG")</f>
        <v>RZTRTFMJDG</v>
      </c>
      <c r="D72" s="2" t="str">
        <f>IFERROR(__xludf.DUMMYFUNCTION("IF('From Order'!$A72=COLUMNS($A72:D91), LEFT(INDEX(FILTER(D$1:D71, D$1:D71&lt;&gt;""""),COUNTA(FILTER(D$1:D71, D$1:D71&lt;&gt;""""))), LEN(INDEX(FILTER(D$1:D71, D$1:D71&lt;&gt;""""),COUNTA(FILTER(D$1:D71, D$1:D71&lt;&gt;""""))))-1), IF('To Order'!$A72=COLUMNS($A72:D91), D71&amp;RIGH"&amp;"T(INDIRECT(ADDRESS(ROW(D72)-1, 'From Order'!$A72)), 1), D71))"),"DTCHSPVMZD")</f>
        <v>DTCHSPVMZD</v>
      </c>
      <c r="E72" s="2" t="str">
        <f>IFERROR(__xludf.DUMMYFUNCTION("IF('From Order'!$A72=COLUMNS($A72:E91), LEFT(INDEX(FILTER(E$1:E71, E$1:E71&lt;&gt;""""),COUNTA(FILTER(E$1:E71, E$1:E71&lt;&gt;""""))), LEN(INDEX(FILTER(E$1:E71, E$1:E71&lt;&gt;""""),COUNTA(FILTER(E$1:E71, E$1:E71&lt;&gt;""""))))-1), IF('To Order'!$A72=COLUMNS($A72:E91), E71&amp;RIGH"&amp;"T(INDIRECT(ADDRESS(ROW(E72)-1, 'From Order'!$A72)), 1), E71))"),"GPBSCL")</f>
        <v>GPBSCL</v>
      </c>
      <c r="F72" s="2" t="str">
        <f>IFERROR(__xludf.DUMMYFUNCTION("IF('From Order'!$A72=COLUMNS($A72:F91), LEFT(INDEX(FILTER(F$1:F71, F$1:F71&lt;&gt;""""),COUNTA(FILTER(F$1:F71, F$1:F71&lt;&gt;""""))), LEN(INDEX(FILTER(F$1:F71, F$1:F71&lt;&gt;""""),COUNTA(FILTER(F$1:F71, F$1:F71&lt;&gt;""""))))-1), IF('To Order'!$A72=COLUMNS($A72:F91), F71&amp;RIGH"&amp;"T(INDIRECT(ADDRESS(ROW(F72)-1, 'From Order'!$A72)), 1), F71))"),"FB")</f>
        <v>FB</v>
      </c>
      <c r="G72" s="2" t="str">
        <f>IFERROR(__xludf.DUMMYFUNCTION("IF('From Order'!$A72=COLUMNS($A72:G91), LEFT(INDEX(FILTER(G$1:G71, G$1:G71&lt;&gt;""""),COUNTA(FILTER(G$1:G71, G$1:G71&lt;&gt;""""))), LEN(INDEX(FILTER(G$1:G71, G$1:G71&lt;&gt;""""),COUNTA(FILTER(G$1:G71, G$1:G71&lt;&gt;""""))))-1), IF('To Order'!$A72=COLUMNS($A72:G91), G71&amp;RIGH"&amp;"T(INDIRECT(ADDRESS(ROW(G72)-1, 'From Order'!$A72)), 1), G71))"),"LWLJBRJZH")</f>
        <v>LWLJBRJZH</v>
      </c>
      <c r="H72" s="2" t="str">
        <f>IFERROR(__xludf.DUMMYFUNCTION("IF('From Order'!$A72=COLUMNS($A72:H91), LEFT(INDEX(FILTER(H$1:H71, H$1:H71&lt;&gt;""""),COUNTA(FILTER(H$1:H71, H$1:H71&lt;&gt;""""))), LEN(INDEX(FILTER(H$1:H71, H$1:H71&lt;&gt;""""),COUNTA(FILTER(H$1:H71, H$1:H71&lt;&gt;""""))))-1), IF('To Order'!$A72=COLUMNS($A72:H91), H71&amp;RIGH"&amp;"T(INDIRECT(ADDRESS(ROW(H72)-1, 'From Order'!$A72)), 1), H71))"),"DT")</f>
        <v>DT</v>
      </c>
      <c r="I72" s="2" t="str">
        <f>IFERROR(__xludf.DUMMYFUNCTION("IF('From Order'!$A72=COLUMNS($A72:I91), LEFT(INDEX(FILTER(I$1:I71, I$1:I71&lt;&gt;""""),COUNTA(FILTER(I$1:I71, I$1:I71&lt;&gt;""""))), LEN(INDEX(FILTER(I$1:I71, I$1:I71&lt;&gt;""""),COUNTA(FILTER(I$1:I71, I$1:I71&lt;&gt;""""))))-1), IF('To Order'!$A72=COLUMNS($A72:I91), I71&amp;RIGH"&amp;"T(INDIRECT(ADDRESS(ROW(I72)-1, 'From Order'!$A72)), 1), I71))"),"QPDSV")</f>
        <v>QPDSV</v>
      </c>
    </row>
    <row r="73">
      <c r="A73" s="2" t="str">
        <f>IFERROR(__xludf.DUMMYFUNCTION("IF('From Order'!$A73=COLUMNS($A73:A92), LEFT(INDEX(FILTER(A$1:A72, A$1:A72&lt;&gt;""""),COUNTA(FILTER(A$1:A72, A$1:A72&lt;&gt;""""))), LEN(INDEX(FILTER(A$1:A72, A$1:A72&lt;&gt;""""),COUNTA(FILTER(A$1:A72, A$1:A72&lt;&gt;""""))))-1), IF('To Order'!$A73=COLUMNS($A73:A92), A72&amp;RIGH"&amp;"T(INDIRECT(ADDRESS(ROW(A73)-1, 'From Order'!$A73)), 1), A72))"),"RBTVMQCDT")</f>
        <v>RBTVMQCDT</v>
      </c>
      <c r="B73" s="2" t="str">
        <f>IFERROR(__xludf.DUMMYFUNCTION("IF('From Order'!$A73=COLUMNS($A73:B92), LEFT(INDEX(FILTER(B$1:B72, B$1:B72&lt;&gt;""""),COUNTA(FILTER(B$1:B72, B$1:B72&lt;&gt;""""))), LEN(INDEX(FILTER(B$1:B72, B$1:B72&lt;&gt;""""),COUNTA(FILTER(B$1:B72, B$1:B72&lt;&gt;""""))))-1), IF('To Order'!$A73=COLUMNS($A73:B92), B72&amp;RIGH"&amp;"T(INDIRECT(ADDRESS(ROW(B73)-1, 'From Order'!$A73)), 1), B72))"),"SWR")</f>
        <v>SWR</v>
      </c>
      <c r="C73" s="2" t="str">
        <f>IFERROR(__xludf.DUMMYFUNCTION("IF('From Order'!$A73=COLUMNS($A73:C92), LEFT(INDEX(FILTER(C$1:C72, C$1:C72&lt;&gt;""""),COUNTA(FILTER(C$1:C72, C$1:C72&lt;&gt;""""))), LEN(INDEX(FILTER(C$1:C72, C$1:C72&lt;&gt;""""),COUNTA(FILTER(C$1:C72, C$1:C72&lt;&gt;""""))))-1), IF('To Order'!$A73=COLUMNS($A73:C92), C72&amp;RIGH"&amp;"T(INDIRECT(ADDRESS(ROW(C73)-1, 'From Order'!$A73)), 1), C72))"),"RZTRTFMJDG")</f>
        <v>RZTRTFMJDG</v>
      </c>
      <c r="D73" s="2" t="str">
        <f>IFERROR(__xludf.DUMMYFUNCTION("IF('From Order'!$A73=COLUMNS($A73:D92), LEFT(INDEX(FILTER(D$1:D72, D$1:D72&lt;&gt;""""),COUNTA(FILTER(D$1:D72, D$1:D72&lt;&gt;""""))), LEN(INDEX(FILTER(D$1:D72, D$1:D72&lt;&gt;""""),COUNTA(FILTER(D$1:D72, D$1:D72&lt;&gt;""""))))-1), IF('To Order'!$A73=COLUMNS($A73:D92), D72&amp;RIGH"&amp;"T(INDIRECT(ADDRESS(ROW(D73)-1, 'From Order'!$A73)), 1), D72))"),"DTCHSPVMZD")</f>
        <v>DTCHSPVMZD</v>
      </c>
      <c r="E73" s="2" t="str">
        <f>IFERROR(__xludf.DUMMYFUNCTION("IF('From Order'!$A73=COLUMNS($A73:E92), LEFT(INDEX(FILTER(E$1:E72, E$1:E72&lt;&gt;""""),COUNTA(FILTER(E$1:E72, E$1:E72&lt;&gt;""""))), LEN(INDEX(FILTER(E$1:E72, E$1:E72&lt;&gt;""""),COUNTA(FILTER(E$1:E72, E$1:E72&lt;&gt;""""))))-1), IF('To Order'!$A73=COLUMNS($A73:E92), E72&amp;RIGH"&amp;"T(INDIRECT(ADDRESS(ROW(E73)-1, 'From Order'!$A73)), 1), E72))"),"GPBSCLT")</f>
        <v>GPBSCLT</v>
      </c>
      <c r="F73" s="2" t="str">
        <f>IFERROR(__xludf.DUMMYFUNCTION("IF('From Order'!$A73=COLUMNS($A73:F92), LEFT(INDEX(FILTER(F$1:F72, F$1:F72&lt;&gt;""""),COUNTA(FILTER(F$1:F72, F$1:F72&lt;&gt;""""))), LEN(INDEX(FILTER(F$1:F72, F$1:F72&lt;&gt;""""),COUNTA(FILTER(F$1:F72, F$1:F72&lt;&gt;""""))))-1), IF('To Order'!$A73=COLUMNS($A73:F92), F72&amp;RIGH"&amp;"T(INDIRECT(ADDRESS(ROW(F73)-1, 'From Order'!$A73)), 1), F72))"),"FB")</f>
        <v>FB</v>
      </c>
      <c r="G73" s="2" t="str">
        <f>IFERROR(__xludf.DUMMYFUNCTION("IF('From Order'!$A73=COLUMNS($A73:G92), LEFT(INDEX(FILTER(G$1:G72, G$1:G72&lt;&gt;""""),COUNTA(FILTER(G$1:G72, G$1:G72&lt;&gt;""""))), LEN(INDEX(FILTER(G$1:G72, G$1:G72&lt;&gt;""""),COUNTA(FILTER(G$1:G72, G$1:G72&lt;&gt;""""))))-1), IF('To Order'!$A73=COLUMNS($A73:G92), G72&amp;RIGH"&amp;"T(INDIRECT(ADDRESS(ROW(G73)-1, 'From Order'!$A73)), 1), G72))"),"LWLJBRJZH")</f>
        <v>LWLJBRJZH</v>
      </c>
      <c r="H73" s="2" t="str">
        <f>IFERROR(__xludf.DUMMYFUNCTION("IF('From Order'!$A73=COLUMNS($A73:H92), LEFT(INDEX(FILTER(H$1:H72, H$1:H72&lt;&gt;""""),COUNTA(FILTER(H$1:H72, H$1:H72&lt;&gt;""""))), LEN(INDEX(FILTER(H$1:H72, H$1:H72&lt;&gt;""""),COUNTA(FILTER(H$1:H72, H$1:H72&lt;&gt;""""))))-1), IF('To Order'!$A73=COLUMNS($A73:H92), H72&amp;RIGH"&amp;"T(INDIRECT(ADDRESS(ROW(H73)-1, 'From Order'!$A73)), 1), H72))"),"D")</f>
        <v>D</v>
      </c>
      <c r="I73" s="2" t="str">
        <f>IFERROR(__xludf.DUMMYFUNCTION("IF('From Order'!$A73=COLUMNS($A73:I92), LEFT(INDEX(FILTER(I$1:I72, I$1:I72&lt;&gt;""""),COUNTA(FILTER(I$1:I72, I$1:I72&lt;&gt;""""))), LEN(INDEX(FILTER(I$1:I72, I$1:I72&lt;&gt;""""),COUNTA(FILTER(I$1:I72, I$1:I72&lt;&gt;""""))))-1), IF('To Order'!$A73=COLUMNS($A73:I92), I72&amp;RIGH"&amp;"T(INDIRECT(ADDRESS(ROW(I73)-1, 'From Order'!$A73)), 1), I72))"),"QPDSV")</f>
        <v>QPDSV</v>
      </c>
    </row>
    <row r="74">
      <c r="A74" s="2" t="str">
        <f>IFERROR(__xludf.DUMMYFUNCTION("IF('From Order'!$A74=COLUMNS($A74:A93), LEFT(INDEX(FILTER(A$1:A73, A$1:A73&lt;&gt;""""),COUNTA(FILTER(A$1:A73, A$1:A73&lt;&gt;""""))), LEN(INDEX(FILTER(A$1:A73, A$1:A73&lt;&gt;""""),COUNTA(FILTER(A$1:A73, A$1:A73&lt;&gt;""""))))-1), IF('To Order'!$A74=COLUMNS($A74:A93), A73&amp;RIGH"&amp;"T(INDIRECT(ADDRESS(ROW(A74)-1, 'From Order'!$A74)), 1), A73))"),"RBTVMQCDT")</f>
        <v>RBTVMQCDT</v>
      </c>
      <c r="B74" s="2" t="str">
        <f>IFERROR(__xludf.DUMMYFUNCTION("IF('From Order'!$A74=COLUMNS($A74:B93), LEFT(INDEX(FILTER(B$1:B73, B$1:B73&lt;&gt;""""),COUNTA(FILTER(B$1:B73, B$1:B73&lt;&gt;""""))), LEN(INDEX(FILTER(B$1:B73, B$1:B73&lt;&gt;""""),COUNTA(FILTER(B$1:B73, B$1:B73&lt;&gt;""""))))-1), IF('To Order'!$A74=COLUMNS($A74:B93), B73&amp;RIGH"&amp;"T(INDIRECT(ADDRESS(ROW(B74)-1, 'From Order'!$A74)), 1), B73))"),"SWR")</f>
        <v>SWR</v>
      </c>
      <c r="C74" s="2" t="str">
        <f>IFERROR(__xludf.DUMMYFUNCTION("IF('From Order'!$A74=COLUMNS($A74:C93), LEFT(INDEX(FILTER(C$1:C73, C$1:C73&lt;&gt;""""),COUNTA(FILTER(C$1:C73, C$1:C73&lt;&gt;""""))), LEN(INDEX(FILTER(C$1:C73, C$1:C73&lt;&gt;""""),COUNTA(FILTER(C$1:C73, C$1:C73&lt;&gt;""""))))-1), IF('To Order'!$A74=COLUMNS($A74:C93), C73&amp;RIGH"&amp;"T(INDIRECT(ADDRESS(ROW(C74)-1, 'From Order'!$A74)), 1), C73))"),"RZTRTFMJDG")</f>
        <v>RZTRTFMJDG</v>
      </c>
      <c r="D74" s="2" t="str">
        <f>IFERROR(__xludf.DUMMYFUNCTION("IF('From Order'!$A74=COLUMNS($A74:D93), LEFT(INDEX(FILTER(D$1:D73, D$1:D73&lt;&gt;""""),COUNTA(FILTER(D$1:D73, D$1:D73&lt;&gt;""""))), LEN(INDEX(FILTER(D$1:D73, D$1:D73&lt;&gt;""""),COUNTA(FILTER(D$1:D73, D$1:D73&lt;&gt;""""))))-1), IF('To Order'!$A74=COLUMNS($A74:D93), D73&amp;RIGH"&amp;"T(INDIRECT(ADDRESS(ROW(D74)-1, 'From Order'!$A74)), 1), D73))"),"DTCHSPVMZD")</f>
        <v>DTCHSPVMZD</v>
      </c>
      <c r="E74" s="2" t="str">
        <f>IFERROR(__xludf.DUMMYFUNCTION("IF('From Order'!$A74=COLUMNS($A74:E93), LEFT(INDEX(FILTER(E$1:E73, E$1:E73&lt;&gt;""""),COUNTA(FILTER(E$1:E73, E$1:E73&lt;&gt;""""))), LEN(INDEX(FILTER(E$1:E73, E$1:E73&lt;&gt;""""),COUNTA(FILTER(E$1:E73, E$1:E73&lt;&gt;""""))))-1), IF('To Order'!$A74=COLUMNS($A74:E93), E73&amp;RIGH"&amp;"T(INDIRECT(ADDRESS(ROW(E74)-1, 'From Order'!$A74)), 1), E73))"),"GPBSCLTD")</f>
        <v>GPBSCLTD</v>
      </c>
      <c r="F74" s="2" t="str">
        <f>IFERROR(__xludf.DUMMYFUNCTION("IF('From Order'!$A74=COLUMNS($A74:F93), LEFT(INDEX(FILTER(F$1:F73, F$1:F73&lt;&gt;""""),COUNTA(FILTER(F$1:F73, F$1:F73&lt;&gt;""""))), LEN(INDEX(FILTER(F$1:F73, F$1:F73&lt;&gt;""""),COUNTA(FILTER(F$1:F73, F$1:F73&lt;&gt;""""))))-1), IF('To Order'!$A74=COLUMNS($A74:F93), F73&amp;RIGH"&amp;"T(INDIRECT(ADDRESS(ROW(F74)-1, 'From Order'!$A74)), 1), F73))"),"FB")</f>
        <v>FB</v>
      </c>
      <c r="G74" s="2" t="str">
        <f>IFERROR(__xludf.DUMMYFUNCTION("IF('From Order'!$A74=COLUMNS($A74:G93), LEFT(INDEX(FILTER(G$1:G73, G$1:G73&lt;&gt;""""),COUNTA(FILTER(G$1:G73, G$1:G73&lt;&gt;""""))), LEN(INDEX(FILTER(G$1:G73, G$1:G73&lt;&gt;""""),COUNTA(FILTER(G$1:G73, G$1:G73&lt;&gt;""""))))-1), IF('To Order'!$A74=COLUMNS($A74:G93), G73&amp;RIGH"&amp;"T(INDIRECT(ADDRESS(ROW(G74)-1, 'From Order'!$A74)), 1), G73))"),"LWLJBRJZH")</f>
        <v>LWLJBRJZH</v>
      </c>
      <c r="H74" s="2" t="str">
        <f>IFERROR(__xludf.DUMMYFUNCTION("IF('From Order'!$A74=COLUMNS($A74:H93), LEFT(INDEX(FILTER(H$1:H73, H$1:H73&lt;&gt;""""),COUNTA(FILTER(H$1:H73, H$1:H73&lt;&gt;""""))), LEN(INDEX(FILTER(H$1:H73, H$1:H73&lt;&gt;""""),COUNTA(FILTER(H$1:H73, H$1:H73&lt;&gt;""""))))-1), IF('To Order'!$A74=COLUMNS($A74:H93), H73&amp;RIGH"&amp;"T(INDIRECT(ADDRESS(ROW(H74)-1, 'From Order'!$A74)), 1), H73))"),"")</f>
        <v/>
      </c>
      <c r="I74" s="2" t="str">
        <f>IFERROR(__xludf.DUMMYFUNCTION("IF('From Order'!$A74=COLUMNS($A74:I93), LEFT(INDEX(FILTER(I$1:I73, I$1:I73&lt;&gt;""""),COUNTA(FILTER(I$1:I73, I$1:I73&lt;&gt;""""))), LEN(INDEX(FILTER(I$1:I73, I$1:I73&lt;&gt;""""),COUNTA(FILTER(I$1:I73, I$1:I73&lt;&gt;""""))))-1), IF('To Order'!$A74=COLUMNS($A74:I93), I73&amp;RIGH"&amp;"T(INDIRECT(ADDRESS(ROW(I74)-1, 'From Order'!$A74)), 1), I73))"),"QPDSV")</f>
        <v>QPDSV</v>
      </c>
    </row>
    <row r="75">
      <c r="A75" s="2" t="str">
        <f>IFERROR(__xludf.DUMMYFUNCTION("IF('From Order'!$A75=COLUMNS($A75:A94), LEFT(INDEX(FILTER(A$1:A74, A$1:A74&lt;&gt;""""),COUNTA(FILTER(A$1:A74, A$1:A74&lt;&gt;""""))), LEN(INDEX(FILTER(A$1:A74, A$1:A74&lt;&gt;""""),COUNTA(FILTER(A$1:A74, A$1:A74&lt;&gt;""""))))-1), IF('To Order'!$A75=COLUMNS($A75:A94), A74&amp;RIGH"&amp;"T(INDIRECT(ADDRESS(ROW(A75)-1, 'From Order'!$A75)), 1), A74))"),"RBTVMQCDT")</f>
        <v>RBTVMQCDT</v>
      </c>
      <c r="B75" s="2" t="str">
        <f>IFERROR(__xludf.DUMMYFUNCTION("IF('From Order'!$A75=COLUMNS($A75:B94), LEFT(INDEX(FILTER(B$1:B74, B$1:B74&lt;&gt;""""),COUNTA(FILTER(B$1:B74, B$1:B74&lt;&gt;""""))), LEN(INDEX(FILTER(B$1:B74, B$1:B74&lt;&gt;""""),COUNTA(FILTER(B$1:B74, B$1:B74&lt;&gt;""""))))-1), IF('To Order'!$A75=COLUMNS($A75:B94), B74&amp;RIGH"&amp;"T(INDIRECT(ADDRESS(ROW(B75)-1, 'From Order'!$A75)), 1), B74))"),"SWRV")</f>
        <v>SWRV</v>
      </c>
      <c r="C75" s="2" t="str">
        <f>IFERROR(__xludf.DUMMYFUNCTION("IF('From Order'!$A75=COLUMNS($A75:C94), LEFT(INDEX(FILTER(C$1:C74, C$1:C74&lt;&gt;""""),COUNTA(FILTER(C$1:C74, C$1:C74&lt;&gt;""""))), LEN(INDEX(FILTER(C$1:C74, C$1:C74&lt;&gt;""""),COUNTA(FILTER(C$1:C74, C$1:C74&lt;&gt;""""))))-1), IF('To Order'!$A75=COLUMNS($A75:C94), C74&amp;RIGH"&amp;"T(INDIRECT(ADDRESS(ROW(C75)-1, 'From Order'!$A75)), 1), C74))"),"RZTRTFMJDG")</f>
        <v>RZTRTFMJDG</v>
      </c>
      <c r="D75" s="2" t="str">
        <f>IFERROR(__xludf.DUMMYFUNCTION("IF('From Order'!$A75=COLUMNS($A75:D94), LEFT(INDEX(FILTER(D$1:D74, D$1:D74&lt;&gt;""""),COUNTA(FILTER(D$1:D74, D$1:D74&lt;&gt;""""))), LEN(INDEX(FILTER(D$1:D74, D$1:D74&lt;&gt;""""),COUNTA(FILTER(D$1:D74, D$1:D74&lt;&gt;""""))))-1), IF('To Order'!$A75=COLUMNS($A75:D94), D74&amp;RIGH"&amp;"T(INDIRECT(ADDRESS(ROW(D75)-1, 'From Order'!$A75)), 1), D74))"),"DTCHSPVMZD")</f>
        <v>DTCHSPVMZD</v>
      </c>
      <c r="E75" s="2" t="str">
        <f>IFERROR(__xludf.DUMMYFUNCTION("IF('From Order'!$A75=COLUMNS($A75:E94), LEFT(INDEX(FILTER(E$1:E74, E$1:E74&lt;&gt;""""),COUNTA(FILTER(E$1:E74, E$1:E74&lt;&gt;""""))), LEN(INDEX(FILTER(E$1:E74, E$1:E74&lt;&gt;""""),COUNTA(FILTER(E$1:E74, E$1:E74&lt;&gt;""""))))-1), IF('To Order'!$A75=COLUMNS($A75:E94), E74&amp;RIGH"&amp;"T(INDIRECT(ADDRESS(ROW(E75)-1, 'From Order'!$A75)), 1), E74))"),"GPBSCLTD")</f>
        <v>GPBSCLTD</v>
      </c>
      <c r="F75" s="2" t="str">
        <f>IFERROR(__xludf.DUMMYFUNCTION("IF('From Order'!$A75=COLUMNS($A75:F94), LEFT(INDEX(FILTER(F$1:F74, F$1:F74&lt;&gt;""""),COUNTA(FILTER(F$1:F74, F$1:F74&lt;&gt;""""))), LEN(INDEX(FILTER(F$1:F74, F$1:F74&lt;&gt;""""),COUNTA(FILTER(F$1:F74, F$1:F74&lt;&gt;""""))))-1), IF('To Order'!$A75=COLUMNS($A75:F94), F74&amp;RIGH"&amp;"T(INDIRECT(ADDRESS(ROW(F75)-1, 'From Order'!$A75)), 1), F74))"),"FB")</f>
        <v>FB</v>
      </c>
      <c r="G75" s="2" t="str">
        <f>IFERROR(__xludf.DUMMYFUNCTION("IF('From Order'!$A75=COLUMNS($A75:G94), LEFT(INDEX(FILTER(G$1:G74, G$1:G74&lt;&gt;""""),COUNTA(FILTER(G$1:G74, G$1:G74&lt;&gt;""""))), LEN(INDEX(FILTER(G$1:G74, G$1:G74&lt;&gt;""""),COUNTA(FILTER(G$1:G74, G$1:G74&lt;&gt;""""))))-1), IF('To Order'!$A75=COLUMNS($A75:G94), G74&amp;RIGH"&amp;"T(INDIRECT(ADDRESS(ROW(G75)-1, 'From Order'!$A75)), 1), G74))"),"LWLJBRJZH")</f>
        <v>LWLJBRJZH</v>
      </c>
      <c r="H75" s="2" t="str">
        <f>IFERROR(__xludf.DUMMYFUNCTION("IF('From Order'!$A75=COLUMNS($A75:H94), LEFT(INDEX(FILTER(H$1:H74, H$1:H74&lt;&gt;""""),COUNTA(FILTER(H$1:H74, H$1:H74&lt;&gt;""""))), LEN(INDEX(FILTER(H$1:H74, H$1:H74&lt;&gt;""""),COUNTA(FILTER(H$1:H74, H$1:H74&lt;&gt;""""))))-1), IF('To Order'!$A75=COLUMNS($A75:H94), H74&amp;RIGH"&amp;"T(INDIRECT(ADDRESS(ROW(H75)-1, 'From Order'!$A75)), 1), H74))"),"")</f>
        <v/>
      </c>
      <c r="I75" s="2" t="str">
        <f>IFERROR(__xludf.DUMMYFUNCTION("IF('From Order'!$A75=COLUMNS($A75:I94), LEFT(INDEX(FILTER(I$1:I74, I$1:I74&lt;&gt;""""),COUNTA(FILTER(I$1:I74, I$1:I74&lt;&gt;""""))), LEN(INDEX(FILTER(I$1:I74, I$1:I74&lt;&gt;""""),COUNTA(FILTER(I$1:I74, I$1:I74&lt;&gt;""""))))-1), IF('To Order'!$A75=COLUMNS($A75:I94), I74&amp;RIGH"&amp;"T(INDIRECT(ADDRESS(ROW(I75)-1, 'From Order'!$A75)), 1), I74))"),"QPDS")</f>
        <v>QPDS</v>
      </c>
    </row>
    <row r="76">
      <c r="A76" s="2" t="str">
        <f>IFERROR(__xludf.DUMMYFUNCTION("IF('From Order'!$A76=COLUMNS($A76:A95), LEFT(INDEX(FILTER(A$1:A75, A$1:A75&lt;&gt;""""),COUNTA(FILTER(A$1:A75, A$1:A75&lt;&gt;""""))), LEN(INDEX(FILTER(A$1:A75, A$1:A75&lt;&gt;""""),COUNTA(FILTER(A$1:A75, A$1:A75&lt;&gt;""""))))-1), IF('To Order'!$A76=COLUMNS($A76:A95), A75&amp;RIGH"&amp;"T(INDIRECT(ADDRESS(ROW(A76)-1, 'From Order'!$A76)), 1), A75))"),"RBTVMQCDT")</f>
        <v>RBTVMQCDT</v>
      </c>
      <c r="B76" s="2" t="str">
        <f>IFERROR(__xludf.DUMMYFUNCTION("IF('From Order'!$A76=COLUMNS($A76:B95), LEFT(INDEX(FILTER(B$1:B75, B$1:B75&lt;&gt;""""),COUNTA(FILTER(B$1:B75, B$1:B75&lt;&gt;""""))), LEN(INDEX(FILTER(B$1:B75, B$1:B75&lt;&gt;""""),COUNTA(FILTER(B$1:B75, B$1:B75&lt;&gt;""""))))-1), IF('To Order'!$A76=COLUMNS($A76:B95), B75&amp;RIGH"&amp;"T(INDIRECT(ADDRESS(ROW(B76)-1, 'From Order'!$A76)), 1), B75))"),"SWRVS")</f>
        <v>SWRVS</v>
      </c>
      <c r="C76" s="2" t="str">
        <f>IFERROR(__xludf.DUMMYFUNCTION("IF('From Order'!$A76=COLUMNS($A76:C95), LEFT(INDEX(FILTER(C$1:C75, C$1:C75&lt;&gt;""""),COUNTA(FILTER(C$1:C75, C$1:C75&lt;&gt;""""))), LEN(INDEX(FILTER(C$1:C75, C$1:C75&lt;&gt;""""),COUNTA(FILTER(C$1:C75, C$1:C75&lt;&gt;""""))))-1), IF('To Order'!$A76=COLUMNS($A76:C95), C75&amp;RIGH"&amp;"T(INDIRECT(ADDRESS(ROW(C76)-1, 'From Order'!$A76)), 1), C75))"),"RZTRTFMJDG")</f>
        <v>RZTRTFMJDG</v>
      </c>
      <c r="D76" s="2" t="str">
        <f>IFERROR(__xludf.DUMMYFUNCTION("IF('From Order'!$A76=COLUMNS($A76:D95), LEFT(INDEX(FILTER(D$1:D75, D$1:D75&lt;&gt;""""),COUNTA(FILTER(D$1:D75, D$1:D75&lt;&gt;""""))), LEN(INDEX(FILTER(D$1:D75, D$1:D75&lt;&gt;""""),COUNTA(FILTER(D$1:D75, D$1:D75&lt;&gt;""""))))-1), IF('To Order'!$A76=COLUMNS($A76:D95), D75&amp;RIGH"&amp;"T(INDIRECT(ADDRESS(ROW(D76)-1, 'From Order'!$A76)), 1), D75))"),"DTCHSPVMZD")</f>
        <v>DTCHSPVMZD</v>
      </c>
      <c r="E76" s="2" t="str">
        <f>IFERROR(__xludf.DUMMYFUNCTION("IF('From Order'!$A76=COLUMNS($A76:E95), LEFT(INDEX(FILTER(E$1:E75, E$1:E75&lt;&gt;""""),COUNTA(FILTER(E$1:E75, E$1:E75&lt;&gt;""""))), LEN(INDEX(FILTER(E$1:E75, E$1:E75&lt;&gt;""""),COUNTA(FILTER(E$1:E75, E$1:E75&lt;&gt;""""))))-1), IF('To Order'!$A76=COLUMNS($A76:E95), E75&amp;RIGH"&amp;"T(INDIRECT(ADDRESS(ROW(E76)-1, 'From Order'!$A76)), 1), E75))"),"GPBSCLTD")</f>
        <v>GPBSCLTD</v>
      </c>
      <c r="F76" s="2" t="str">
        <f>IFERROR(__xludf.DUMMYFUNCTION("IF('From Order'!$A76=COLUMNS($A76:F95), LEFT(INDEX(FILTER(F$1:F75, F$1:F75&lt;&gt;""""),COUNTA(FILTER(F$1:F75, F$1:F75&lt;&gt;""""))), LEN(INDEX(FILTER(F$1:F75, F$1:F75&lt;&gt;""""),COUNTA(FILTER(F$1:F75, F$1:F75&lt;&gt;""""))))-1), IF('To Order'!$A76=COLUMNS($A76:F95), F75&amp;RIGH"&amp;"T(INDIRECT(ADDRESS(ROW(F76)-1, 'From Order'!$A76)), 1), F75))"),"FB")</f>
        <v>FB</v>
      </c>
      <c r="G76" s="2" t="str">
        <f>IFERROR(__xludf.DUMMYFUNCTION("IF('From Order'!$A76=COLUMNS($A76:G95), LEFT(INDEX(FILTER(G$1:G75, G$1:G75&lt;&gt;""""),COUNTA(FILTER(G$1:G75, G$1:G75&lt;&gt;""""))), LEN(INDEX(FILTER(G$1:G75, G$1:G75&lt;&gt;""""),COUNTA(FILTER(G$1:G75, G$1:G75&lt;&gt;""""))))-1), IF('To Order'!$A76=COLUMNS($A76:G95), G75&amp;RIGH"&amp;"T(INDIRECT(ADDRESS(ROW(G76)-1, 'From Order'!$A76)), 1), G75))"),"LWLJBRJZH")</f>
        <v>LWLJBRJZH</v>
      </c>
      <c r="H76" s="2" t="str">
        <f>IFERROR(__xludf.DUMMYFUNCTION("IF('From Order'!$A76=COLUMNS($A76:H95), LEFT(INDEX(FILTER(H$1:H75, H$1:H75&lt;&gt;""""),COUNTA(FILTER(H$1:H75, H$1:H75&lt;&gt;""""))), LEN(INDEX(FILTER(H$1:H75, H$1:H75&lt;&gt;""""),COUNTA(FILTER(H$1:H75, H$1:H75&lt;&gt;""""))))-1), IF('To Order'!$A76=COLUMNS($A76:H95), H75&amp;RIGH"&amp;"T(INDIRECT(ADDRESS(ROW(H76)-1, 'From Order'!$A76)), 1), H75))"),"")</f>
        <v/>
      </c>
      <c r="I76" s="2" t="str">
        <f>IFERROR(__xludf.DUMMYFUNCTION("IF('From Order'!$A76=COLUMNS($A76:I95), LEFT(INDEX(FILTER(I$1:I75, I$1:I75&lt;&gt;""""),COUNTA(FILTER(I$1:I75, I$1:I75&lt;&gt;""""))), LEN(INDEX(FILTER(I$1:I75, I$1:I75&lt;&gt;""""),COUNTA(FILTER(I$1:I75, I$1:I75&lt;&gt;""""))))-1), IF('To Order'!$A76=COLUMNS($A76:I95), I75&amp;RIGH"&amp;"T(INDIRECT(ADDRESS(ROW(I76)-1, 'From Order'!$A76)), 1), I75))"),"QPD")</f>
        <v>QPD</v>
      </c>
    </row>
    <row r="77">
      <c r="A77" s="2" t="str">
        <f>IFERROR(__xludf.DUMMYFUNCTION("IF('From Order'!$A77=COLUMNS($A77:A96), LEFT(INDEX(FILTER(A$1:A76, A$1:A76&lt;&gt;""""),COUNTA(FILTER(A$1:A76, A$1:A76&lt;&gt;""""))), LEN(INDEX(FILTER(A$1:A76, A$1:A76&lt;&gt;""""),COUNTA(FILTER(A$1:A76, A$1:A76&lt;&gt;""""))))-1), IF('To Order'!$A77=COLUMNS($A77:A96), A76&amp;RIGH"&amp;"T(INDIRECT(ADDRESS(ROW(A77)-1, 'From Order'!$A77)), 1), A76))"),"RBTVMQCDT")</f>
        <v>RBTVMQCDT</v>
      </c>
      <c r="B77" s="2" t="str">
        <f>IFERROR(__xludf.DUMMYFUNCTION("IF('From Order'!$A77=COLUMNS($A77:B96), LEFT(INDEX(FILTER(B$1:B76, B$1:B76&lt;&gt;""""),COUNTA(FILTER(B$1:B76, B$1:B76&lt;&gt;""""))), LEN(INDEX(FILTER(B$1:B76, B$1:B76&lt;&gt;""""),COUNTA(FILTER(B$1:B76, B$1:B76&lt;&gt;""""))))-1), IF('To Order'!$A77=COLUMNS($A77:B96), B76&amp;RIGH"&amp;"T(INDIRECT(ADDRESS(ROW(B77)-1, 'From Order'!$A77)), 1), B76))"),"SWRVSD")</f>
        <v>SWRVSD</v>
      </c>
      <c r="C77" s="2" t="str">
        <f>IFERROR(__xludf.DUMMYFUNCTION("IF('From Order'!$A77=COLUMNS($A77:C96), LEFT(INDEX(FILTER(C$1:C76, C$1:C76&lt;&gt;""""),COUNTA(FILTER(C$1:C76, C$1:C76&lt;&gt;""""))), LEN(INDEX(FILTER(C$1:C76, C$1:C76&lt;&gt;""""),COUNTA(FILTER(C$1:C76, C$1:C76&lt;&gt;""""))))-1), IF('To Order'!$A77=COLUMNS($A77:C96), C76&amp;RIGH"&amp;"T(INDIRECT(ADDRESS(ROW(C77)-1, 'From Order'!$A77)), 1), C76))"),"RZTRTFMJDG")</f>
        <v>RZTRTFMJDG</v>
      </c>
      <c r="D77" s="2" t="str">
        <f>IFERROR(__xludf.DUMMYFUNCTION("IF('From Order'!$A77=COLUMNS($A77:D96), LEFT(INDEX(FILTER(D$1:D76, D$1:D76&lt;&gt;""""),COUNTA(FILTER(D$1:D76, D$1:D76&lt;&gt;""""))), LEN(INDEX(FILTER(D$1:D76, D$1:D76&lt;&gt;""""),COUNTA(FILTER(D$1:D76, D$1:D76&lt;&gt;""""))))-1), IF('To Order'!$A77=COLUMNS($A77:D96), D76&amp;RIGH"&amp;"T(INDIRECT(ADDRESS(ROW(D77)-1, 'From Order'!$A77)), 1), D76))"),"DTCHSPVMZD")</f>
        <v>DTCHSPVMZD</v>
      </c>
      <c r="E77" s="2" t="str">
        <f>IFERROR(__xludf.DUMMYFUNCTION("IF('From Order'!$A77=COLUMNS($A77:E96), LEFT(INDEX(FILTER(E$1:E76, E$1:E76&lt;&gt;""""),COUNTA(FILTER(E$1:E76, E$1:E76&lt;&gt;""""))), LEN(INDEX(FILTER(E$1:E76, E$1:E76&lt;&gt;""""),COUNTA(FILTER(E$1:E76, E$1:E76&lt;&gt;""""))))-1), IF('To Order'!$A77=COLUMNS($A77:E96), E76&amp;RIGH"&amp;"T(INDIRECT(ADDRESS(ROW(E77)-1, 'From Order'!$A77)), 1), E76))"),"GPBSCLTD")</f>
        <v>GPBSCLTD</v>
      </c>
      <c r="F77" s="2" t="str">
        <f>IFERROR(__xludf.DUMMYFUNCTION("IF('From Order'!$A77=COLUMNS($A77:F96), LEFT(INDEX(FILTER(F$1:F76, F$1:F76&lt;&gt;""""),COUNTA(FILTER(F$1:F76, F$1:F76&lt;&gt;""""))), LEN(INDEX(FILTER(F$1:F76, F$1:F76&lt;&gt;""""),COUNTA(FILTER(F$1:F76, F$1:F76&lt;&gt;""""))))-1), IF('To Order'!$A77=COLUMNS($A77:F96), F76&amp;RIGH"&amp;"T(INDIRECT(ADDRESS(ROW(F77)-1, 'From Order'!$A77)), 1), F76))"),"FB")</f>
        <v>FB</v>
      </c>
      <c r="G77" s="2" t="str">
        <f>IFERROR(__xludf.DUMMYFUNCTION("IF('From Order'!$A77=COLUMNS($A77:G96), LEFT(INDEX(FILTER(G$1:G76, G$1:G76&lt;&gt;""""),COUNTA(FILTER(G$1:G76, G$1:G76&lt;&gt;""""))), LEN(INDEX(FILTER(G$1:G76, G$1:G76&lt;&gt;""""),COUNTA(FILTER(G$1:G76, G$1:G76&lt;&gt;""""))))-1), IF('To Order'!$A77=COLUMNS($A77:G96), G76&amp;RIGH"&amp;"T(INDIRECT(ADDRESS(ROW(G77)-1, 'From Order'!$A77)), 1), G76))"),"LWLJBRJZH")</f>
        <v>LWLJBRJZH</v>
      </c>
      <c r="H77" s="2" t="str">
        <f>IFERROR(__xludf.DUMMYFUNCTION("IF('From Order'!$A77=COLUMNS($A77:H96), LEFT(INDEX(FILTER(H$1:H76, H$1:H76&lt;&gt;""""),COUNTA(FILTER(H$1:H76, H$1:H76&lt;&gt;""""))), LEN(INDEX(FILTER(H$1:H76, H$1:H76&lt;&gt;""""),COUNTA(FILTER(H$1:H76, H$1:H76&lt;&gt;""""))))-1), IF('To Order'!$A77=COLUMNS($A77:H96), H76&amp;RIGH"&amp;"T(INDIRECT(ADDRESS(ROW(H77)-1, 'From Order'!$A77)), 1), H76))"),"")</f>
        <v/>
      </c>
      <c r="I77" s="2" t="str">
        <f>IFERROR(__xludf.DUMMYFUNCTION("IF('From Order'!$A77=COLUMNS($A77:I96), LEFT(INDEX(FILTER(I$1:I76, I$1:I76&lt;&gt;""""),COUNTA(FILTER(I$1:I76, I$1:I76&lt;&gt;""""))), LEN(INDEX(FILTER(I$1:I76, I$1:I76&lt;&gt;""""),COUNTA(FILTER(I$1:I76, I$1:I76&lt;&gt;""""))))-1), IF('To Order'!$A77=COLUMNS($A77:I96), I76&amp;RIGH"&amp;"T(INDIRECT(ADDRESS(ROW(I77)-1, 'From Order'!$A77)), 1), I76))"),"QP")</f>
        <v>QP</v>
      </c>
    </row>
    <row r="78">
      <c r="A78" s="2" t="str">
        <f>IFERROR(__xludf.DUMMYFUNCTION("IF('From Order'!$A78=COLUMNS($A78:A97), LEFT(INDEX(FILTER(A$1:A77, A$1:A77&lt;&gt;""""),COUNTA(FILTER(A$1:A77, A$1:A77&lt;&gt;""""))), LEN(INDEX(FILTER(A$1:A77, A$1:A77&lt;&gt;""""),COUNTA(FILTER(A$1:A77, A$1:A77&lt;&gt;""""))))-1), IF('To Order'!$A78=COLUMNS($A78:A97), A77&amp;RIGH"&amp;"T(INDIRECT(ADDRESS(ROW(A78)-1, 'From Order'!$A78)), 1), A77))"),"RBTVMQCDT")</f>
        <v>RBTVMQCDT</v>
      </c>
      <c r="B78" s="2" t="str">
        <f>IFERROR(__xludf.DUMMYFUNCTION("IF('From Order'!$A78=COLUMNS($A78:B97), LEFT(INDEX(FILTER(B$1:B77, B$1:B77&lt;&gt;""""),COUNTA(FILTER(B$1:B77, B$1:B77&lt;&gt;""""))), LEN(INDEX(FILTER(B$1:B77, B$1:B77&lt;&gt;""""),COUNTA(FILTER(B$1:B77, B$1:B77&lt;&gt;""""))))-1), IF('To Order'!$A78=COLUMNS($A78:B97), B77&amp;RIGH"&amp;"T(INDIRECT(ADDRESS(ROW(B78)-1, 'From Order'!$A78)), 1), B77))"),"SWRVSDP")</f>
        <v>SWRVSDP</v>
      </c>
      <c r="C78" s="2" t="str">
        <f>IFERROR(__xludf.DUMMYFUNCTION("IF('From Order'!$A78=COLUMNS($A78:C97), LEFT(INDEX(FILTER(C$1:C77, C$1:C77&lt;&gt;""""),COUNTA(FILTER(C$1:C77, C$1:C77&lt;&gt;""""))), LEN(INDEX(FILTER(C$1:C77, C$1:C77&lt;&gt;""""),COUNTA(FILTER(C$1:C77, C$1:C77&lt;&gt;""""))))-1), IF('To Order'!$A78=COLUMNS($A78:C97), C77&amp;RIGH"&amp;"T(INDIRECT(ADDRESS(ROW(C78)-1, 'From Order'!$A78)), 1), C77))"),"RZTRTFMJDG")</f>
        <v>RZTRTFMJDG</v>
      </c>
      <c r="D78" s="2" t="str">
        <f>IFERROR(__xludf.DUMMYFUNCTION("IF('From Order'!$A78=COLUMNS($A78:D97), LEFT(INDEX(FILTER(D$1:D77, D$1:D77&lt;&gt;""""),COUNTA(FILTER(D$1:D77, D$1:D77&lt;&gt;""""))), LEN(INDEX(FILTER(D$1:D77, D$1:D77&lt;&gt;""""),COUNTA(FILTER(D$1:D77, D$1:D77&lt;&gt;""""))))-1), IF('To Order'!$A78=COLUMNS($A78:D97), D77&amp;RIGH"&amp;"T(INDIRECT(ADDRESS(ROW(D78)-1, 'From Order'!$A78)), 1), D77))"),"DTCHSPVMZD")</f>
        <v>DTCHSPVMZD</v>
      </c>
      <c r="E78" s="2" t="str">
        <f>IFERROR(__xludf.DUMMYFUNCTION("IF('From Order'!$A78=COLUMNS($A78:E97), LEFT(INDEX(FILTER(E$1:E77, E$1:E77&lt;&gt;""""),COUNTA(FILTER(E$1:E77, E$1:E77&lt;&gt;""""))), LEN(INDEX(FILTER(E$1:E77, E$1:E77&lt;&gt;""""),COUNTA(FILTER(E$1:E77, E$1:E77&lt;&gt;""""))))-1), IF('To Order'!$A78=COLUMNS($A78:E97), E77&amp;RIGH"&amp;"T(INDIRECT(ADDRESS(ROW(E78)-1, 'From Order'!$A78)), 1), E77))"),"GPBSCLTD")</f>
        <v>GPBSCLTD</v>
      </c>
      <c r="F78" s="2" t="str">
        <f>IFERROR(__xludf.DUMMYFUNCTION("IF('From Order'!$A78=COLUMNS($A78:F97), LEFT(INDEX(FILTER(F$1:F77, F$1:F77&lt;&gt;""""),COUNTA(FILTER(F$1:F77, F$1:F77&lt;&gt;""""))), LEN(INDEX(FILTER(F$1:F77, F$1:F77&lt;&gt;""""),COUNTA(FILTER(F$1:F77, F$1:F77&lt;&gt;""""))))-1), IF('To Order'!$A78=COLUMNS($A78:F97), F77&amp;RIGH"&amp;"T(INDIRECT(ADDRESS(ROW(F78)-1, 'From Order'!$A78)), 1), F77))"),"FB")</f>
        <v>FB</v>
      </c>
      <c r="G78" s="2" t="str">
        <f>IFERROR(__xludf.DUMMYFUNCTION("IF('From Order'!$A78=COLUMNS($A78:G97), LEFT(INDEX(FILTER(G$1:G77, G$1:G77&lt;&gt;""""),COUNTA(FILTER(G$1:G77, G$1:G77&lt;&gt;""""))), LEN(INDEX(FILTER(G$1:G77, G$1:G77&lt;&gt;""""),COUNTA(FILTER(G$1:G77, G$1:G77&lt;&gt;""""))))-1), IF('To Order'!$A78=COLUMNS($A78:G97), G77&amp;RIGH"&amp;"T(INDIRECT(ADDRESS(ROW(G78)-1, 'From Order'!$A78)), 1), G77))"),"LWLJBRJZH")</f>
        <v>LWLJBRJZH</v>
      </c>
      <c r="H78" s="2" t="str">
        <f>IFERROR(__xludf.DUMMYFUNCTION("IF('From Order'!$A78=COLUMNS($A78:H97), LEFT(INDEX(FILTER(H$1:H77, H$1:H77&lt;&gt;""""),COUNTA(FILTER(H$1:H77, H$1:H77&lt;&gt;""""))), LEN(INDEX(FILTER(H$1:H77, H$1:H77&lt;&gt;""""),COUNTA(FILTER(H$1:H77, H$1:H77&lt;&gt;""""))))-1), IF('To Order'!$A78=COLUMNS($A78:H97), H77&amp;RIGH"&amp;"T(INDIRECT(ADDRESS(ROW(H78)-1, 'From Order'!$A78)), 1), H77))"),"")</f>
        <v/>
      </c>
      <c r="I78" s="2" t="str">
        <f>IFERROR(__xludf.DUMMYFUNCTION("IF('From Order'!$A78=COLUMNS($A78:I97), LEFT(INDEX(FILTER(I$1:I77, I$1:I77&lt;&gt;""""),COUNTA(FILTER(I$1:I77, I$1:I77&lt;&gt;""""))), LEN(INDEX(FILTER(I$1:I77, I$1:I77&lt;&gt;""""),COUNTA(FILTER(I$1:I77, I$1:I77&lt;&gt;""""))))-1), IF('To Order'!$A78=COLUMNS($A78:I97), I77&amp;RIGH"&amp;"T(INDIRECT(ADDRESS(ROW(I78)-1, 'From Order'!$A78)), 1), I77))"),"Q")</f>
        <v>Q</v>
      </c>
    </row>
    <row r="79">
      <c r="A79" s="2" t="str">
        <f>IFERROR(__xludf.DUMMYFUNCTION("IF('From Order'!$A79=COLUMNS($A79:A98), LEFT(INDEX(FILTER(A$1:A78, A$1:A78&lt;&gt;""""),COUNTA(FILTER(A$1:A78, A$1:A78&lt;&gt;""""))), LEN(INDEX(FILTER(A$1:A78, A$1:A78&lt;&gt;""""),COUNTA(FILTER(A$1:A78, A$1:A78&lt;&gt;""""))))-1), IF('To Order'!$A79=COLUMNS($A79:A98), A78&amp;RIGH"&amp;"T(INDIRECT(ADDRESS(ROW(A79)-1, 'From Order'!$A79)), 1), A78))"),"RBTVMQCDT")</f>
        <v>RBTVMQCDT</v>
      </c>
      <c r="B79" s="2" t="str">
        <f>IFERROR(__xludf.DUMMYFUNCTION("IF('From Order'!$A79=COLUMNS($A79:B98), LEFT(INDEX(FILTER(B$1:B78, B$1:B78&lt;&gt;""""),COUNTA(FILTER(B$1:B78, B$1:B78&lt;&gt;""""))), LEN(INDEX(FILTER(B$1:B78, B$1:B78&lt;&gt;""""),COUNTA(FILTER(B$1:B78, B$1:B78&lt;&gt;""""))))-1), IF('To Order'!$A79=COLUMNS($A79:B98), B78&amp;RIGH"&amp;"T(INDIRECT(ADDRESS(ROW(B79)-1, 'From Order'!$A79)), 1), B78))"),"SWRVSDPQ")</f>
        <v>SWRVSDPQ</v>
      </c>
      <c r="C79" s="2" t="str">
        <f>IFERROR(__xludf.DUMMYFUNCTION("IF('From Order'!$A79=COLUMNS($A79:C98), LEFT(INDEX(FILTER(C$1:C78, C$1:C78&lt;&gt;""""),COUNTA(FILTER(C$1:C78, C$1:C78&lt;&gt;""""))), LEN(INDEX(FILTER(C$1:C78, C$1:C78&lt;&gt;""""),COUNTA(FILTER(C$1:C78, C$1:C78&lt;&gt;""""))))-1), IF('To Order'!$A79=COLUMNS($A79:C98), C78&amp;RIGH"&amp;"T(INDIRECT(ADDRESS(ROW(C79)-1, 'From Order'!$A79)), 1), C78))"),"RZTRTFMJDG")</f>
        <v>RZTRTFMJDG</v>
      </c>
      <c r="D79" s="2" t="str">
        <f>IFERROR(__xludf.DUMMYFUNCTION("IF('From Order'!$A79=COLUMNS($A79:D98), LEFT(INDEX(FILTER(D$1:D78, D$1:D78&lt;&gt;""""),COUNTA(FILTER(D$1:D78, D$1:D78&lt;&gt;""""))), LEN(INDEX(FILTER(D$1:D78, D$1:D78&lt;&gt;""""),COUNTA(FILTER(D$1:D78, D$1:D78&lt;&gt;""""))))-1), IF('To Order'!$A79=COLUMNS($A79:D98), D78&amp;RIGH"&amp;"T(INDIRECT(ADDRESS(ROW(D79)-1, 'From Order'!$A79)), 1), D78))"),"DTCHSPVMZD")</f>
        <v>DTCHSPVMZD</v>
      </c>
      <c r="E79" s="2" t="str">
        <f>IFERROR(__xludf.DUMMYFUNCTION("IF('From Order'!$A79=COLUMNS($A79:E98), LEFT(INDEX(FILTER(E$1:E78, E$1:E78&lt;&gt;""""),COUNTA(FILTER(E$1:E78, E$1:E78&lt;&gt;""""))), LEN(INDEX(FILTER(E$1:E78, E$1:E78&lt;&gt;""""),COUNTA(FILTER(E$1:E78, E$1:E78&lt;&gt;""""))))-1), IF('To Order'!$A79=COLUMNS($A79:E98), E78&amp;RIGH"&amp;"T(INDIRECT(ADDRESS(ROW(E79)-1, 'From Order'!$A79)), 1), E78))"),"GPBSCLTD")</f>
        <v>GPBSCLTD</v>
      </c>
      <c r="F79" s="2" t="str">
        <f>IFERROR(__xludf.DUMMYFUNCTION("IF('From Order'!$A79=COLUMNS($A79:F98), LEFT(INDEX(FILTER(F$1:F78, F$1:F78&lt;&gt;""""),COUNTA(FILTER(F$1:F78, F$1:F78&lt;&gt;""""))), LEN(INDEX(FILTER(F$1:F78, F$1:F78&lt;&gt;""""),COUNTA(FILTER(F$1:F78, F$1:F78&lt;&gt;""""))))-1), IF('To Order'!$A79=COLUMNS($A79:F98), F78&amp;RIGH"&amp;"T(INDIRECT(ADDRESS(ROW(F79)-1, 'From Order'!$A79)), 1), F78))"),"FB")</f>
        <v>FB</v>
      </c>
      <c r="G79" s="2" t="str">
        <f>IFERROR(__xludf.DUMMYFUNCTION("IF('From Order'!$A79=COLUMNS($A79:G98), LEFT(INDEX(FILTER(G$1:G78, G$1:G78&lt;&gt;""""),COUNTA(FILTER(G$1:G78, G$1:G78&lt;&gt;""""))), LEN(INDEX(FILTER(G$1:G78, G$1:G78&lt;&gt;""""),COUNTA(FILTER(G$1:G78, G$1:G78&lt;&gt;""""))))-1), IF('To Order'!$A79=COLUMNS($A79:G98), G78&amp;RIGH"&amp;"T(INDIRECT(ADDRESS(ROW(G79)-1, 'From Order'!$A79)), 1), G78))"),"LWLJBRJZH")</f>
        <v>LWLJBRJZH</v>
      </c>
      <c r="H79" s="2" t="str">
        <f>IFERROR(__xludf.DUMMYFUNCTION("IF('From Order'!$A79=COLUMNS($A79:H98), LEFT(INDEX(FILTER(H$1:H78, H$1:H78&lt;&gt;""""),COUNTA(FILTER(H$1:H78, H$1:H78&lt;&gt;""""))), LEN(INDEX(FILTER(H$1:H78, H$1:H78&lt;&gt;""""),COUNTA(FILTER(H$1:H78, H$1:H78&lt;&gt;""""))))-1), IF('To Order'!$A79=COLUMNS($A79:H98), H78&amp;RIGH"&amp;"T(INDIRECT(ADDRESS(ROW(H79)-1, 'From Order'!$A79)), 1), H78))"),"")</f>
        <v/>
      </c>
      <c r="I79" s="2" t="str">
        <f>IFERROR(__xludf.DUMMYFUNCTION("IF('From Order'!$A79=COLUMNS($A79:I98), LEFT(INDEX(FILTER(I$1:I78, I$1:I78&lt;&gt;""""),COUNTA(FILTER(I$1:I78, I$1:I78&lt;&gt;""""))), LEN(INDEX(FILTER(I$1:I78, I$1:I78&lt;&gt;""""),COUNTA(FILTER(I$1:I78, I$1:I78&lt;&gt;""""))))-1), IF('To Order'!$A79=COLUMNS($A79:I98), I78&amp;RIGH"&amp;"T(INDIRECT(ADDRESS(ROW(I79)-1, 'From Order'!$A79)), 1), I78))"),"")</f>
        <v/>
      </c>
    </row>
    <row r="80">
      <c r="A80" s="2" t="str">
        <f>IFERROR(__xludf.DUMMYFUNCTION("IF('From Order'!$A80=COLUMNS($A80:A99), LEFT(INDEX(FILTER(A$1:A79, A$1:A79&lt;&gt;""""),COUNTA(FILTER(A$1:A79, A$1:A79&lt;&gt;""""))), LEN(INDEX(FILTER(A$1:A79, A$1:A79&lt;&gt;""""),COUNTA(FILTER(A$1:A79, A$1:A79&lt;&gt;""""))))-1), IF('To Order'!$A80=COLUMNS($A80:A99), A79&amp;RIGH"&amp;"T(INDIRECT(ADDRESS(ROW(A80)-1, 'From Order'!$A80)), 1), A79))"),"RBTVMQCDT")</f>
        <v>RBTVMQCDT</v>
      </c>
      <c r="B80" s="2" t="str">
        <f>IFERROR(__xludf.DUMMYFUNCTION("IF('From Order'!$A80=COLUMNS($A80:B99), LEFT(INDEX(FILTER(B$1:B79, B$1:B79&lt;&gt;""""),COUNTA(FILTER(B$1:B79, B$1:B79&lt;&gt;""""))), LEN(INDEX(FILTER(B$1:B79, B$1:B79&lt;&gt;""""),COUNTA(FILTER(B$1:B79, B$1:B79&lt;&gt;""""))))-1), IF('To Order'!$A80=COLUMNS($A80:B99), B79&amp;RIGH"&amp;"T(INDIRECT(ADDRESS(ROW(B80)-1, 'From Order'!$A80)), 1), B79))"),"SWRVSDPQ")</f>
        <v>SWRVSDPQ</v>
      </c>
      <c r="C80" s="2" t="str">
        <f>IFERROR(__xludf.DUMMYFUNCTION("IF('From Order'!$A80=COLUMNS($A80:C99), LEFT(INDEX(FILTER(C$1:C79, C$1:C79&lt;&gt;""""),COUNTA(FILTER(C$1:C79, C$1:C79&lt;&gt;""""))), LEN(INDEX(FILTER(C$1:C79, C$1:C79&lt;&gt;""""),COUNTA(FILTER(C$1:C79, C$1:C79&lt;&gt;""""))))-1), IF('To Order'!$A80=COLUMNS($A80:C99), C79&amp;RIGH"&amp;"T(INDIRECT(ADDRESS(ROW(C80)-1, 'From Order'!$A80)), 1), C79))"),"RZTRTFMJDG")</f>
        <v>RZTRTFMJDG</v>
      </c>
      <c r="D80" s="2" t="str">
        <f>IFERROR(__xludf.DUMMYFUNCTION("IF('From Order'!$A80=COLUMNS($A80:D99), LEFT(INDEX(FILTER(D$1:D79, D$1:D79&lt;&gt;""""),COUNTA(FILTER(D$1:D79, D$1:D79&lt;&gt;""""))), LEN(INDEX(FILTER(D$1:D79, D$1:D79&lt;&gt;""""),COUNTA(FILTER(D$1:D79, D$1:D79&lt;&gt;""""))))-1), IF('To Order'!$A80=COLUMNS($A80:D99), D79&amp;RIGH"&amp;"T(INDIRECT(ADDRESS(ROW(D80)-1, 'From Order'!$A80)), 1), D79))"),"DTCHSPVMZD")</f>
        <v>DTCHSPVMZD</v>
      </c>
      <c r="E80" s="2" t="str">
        <f>IFERROR(__xludf.DUMMYFUNCTION("IF('From Order'!$A80=COLUMNS($A80:E99), LEFT(INDEX(FILTER(E$1:E79, E$1:E79&lt;&gt;""""),COUNTA(FILTER(E$1:E79, E$1:E79&lt;&gt;""""))), LEN(INDEX(FILTER(E$1:E79, E$1:E79&lt;&gt;""""),COUNTA(FILTER(E$1:E79, E$1:E79&lt;&gt;""""))))-1), IF('To Order'!$A80=COLUMNS($A80:E99), E79&amp;RIGH"&amp;"T(INDIRECT(ADDRESS(ROW(E80)-1, 'From Order'!$A80)), 1), E79))"),"GPBSCLTD")</f>
        <v>GPBSCLTD</v>
      </c>
      <c r="F80" s="2" t="str">
        <f>IFERROR(__xludf.DUMMYFUNCTION("IF('From Order'!$A80=COLUMNS($A80:F99), LEFT(INDEX(FILTER(F$1:F79, F$1:F79&lt;&gt;""""),COUNTA(FILTER(F$1:F79, F$1:F79&lt;&gt;""""))), LEN(INDEX(FILTER(F$1:F79, F$1:F79&lt;&gt;""""),COUNTA(FILTER(F$1:F79, F$1:F79&lt;&gt;""""))))-1), IF('To Order'!$A80=COLUMNS($A80:F99), F79&amp;RIGH"&amp;"T(INDIRECT(ADDRESS(ROW(F80)-1, 'From Order'!$A80)), 1), F79))"),"F")</f>
        <v>F</v>
      </c>
      <c r="G80" s="2" t="str">
        <f>IFERROR(__xludf.DUMMYFUNCTION("IF('From Order'!$A80=COLUMNS($A80:G99), LEFT(INDEX(FILTER(G$1:G79, G$1:G79&lt;&gt;""""),COUNTA(FILTER(G$1:G79, G$1:G79&lt;&gt;""""))), LEN(INDEX(FILTER(G$1:G79, G$1:G79&lt;&gt;""""),COUNTA(FILTER(G$1:G79, G$1:G79&lt;&gt;""""))))-1), IF('To Order'!$A80=COLUMNS($A80:G99), G79&amp;RIGH"&amp;"T(INDIRECT(ADDRESS(ROW(G80)-1, 'From Order'!$A80)), 1), G79))"),"LWLJBRJZH")</f>
        <v>LWLJBRJZH</v>
      </c>
      <c r="H80" s="2" t="str">
        <f>IFERROR(__xludf.DUMMYFUNCTION("IF('From Order'!$A80=COLUMNS($A80:H99), LEFT(INDEX(FILTER(H$1:H79, H$1:H79&lt;&gt;""""),COUNTA(FILTER(H$1:H79, H$1:H79&lt;&gt;""""))), LEN(INDEX(FILTER(H$1:H79, H$1:H79&lt;&gt;""""),COUNTA(FILTER(H$1:H79, H$1:H79&lt;&gt;""""))))-1), IF('To Order'!$A80=COLUMNS($A80:H99), H79&amp;RIGH"&amp;"T(INDIRECT(ADDRESS(ROW(H80)-1, 'From Order'!$A80)), 1), H79))"),"B")</f>
        <v>B</v>
      </c>
      <c r="I80" s="2" t="str">
        <f>IFERROR(__xludf.DUMMYFUNCTION("IF('From Order'!$A80=COLUMNS($A80:I99), LEFT(INDEX(FILTER(I$1:I79, I$1:I79&lt;&gt;""""),COUNTA(FILTER(I$1:I79, I$1:I79&lt;&gt;""""))), LEN(INDEX(FILTER(I$1:I79, I$1:I79&lt;&gt;""""),COUNTA(FILTER(I$1:I79, I$1:I79&lt;&gt;""""))))-1), IF('To Order'!$A80=COLUMNS($A80:I99), I79&amp;RIGH"&amp;"T(INDIRECT(ADDRESS(ROW(I80)-1, 'From Order'!$A80)), 1), I79))"),"")</f>
        <v/>
      </c>
    </row>
    <row r="81">
      <c r="A81" s="2" t="str">
        <f>IFERROR(__xludf.DUMMYFUNCTION("IF('From Order'!$A81=COLUMNS($A81:A100), LEFT(INDEX(FILTER(A$1:A80, A$1:A80&lt;&gt;""""),COUNTA(FILTER(A$1:A80, A$1:A80&lt;&gt;""""))), LEN(INDEX(FILTER(A$1:A80, A$1:A80&lt;&gt;""""),COUNTA(FILTER(A$1:A80, A$1:A80&lt;&gt;""""))))-1), IF('To Order'!$A81=COLUMNS($A81:A100), A80&amp;RI"&amp;"GHT(INDIRECT(ADDRESS(ROW(A81)-1, 'From Order'!$A81)), 1), A80))"),"RBTVMQCD")</f>
        <v>RBTVMQCD</v>
      </c>
      <c r="B81" s="2" t="str">
        <f>IFERROR(__xludf.DUMMYFUNCTION("IF('From Order'!$A81=COLUMNS($A81:B100), LEFT(INDEX(FILTER(B$1:B80, B$1:B80&lt;&gt;""""),COUNTA(FILTER(B$1:B80, B$1:B80&lt;&gt;""""))), LEN(INDEX(FILTER(B$1:B80, B$1:B80&lt;&gt;""""),COUNTA(FILTER(B$1:B80, B$1:B80&lt;&gt;""""))))-1), IF('To Order'!$A81=COLUMNS($A81:B100), B80&amp;RI"&amp;"GHT(INDIRECT(ADDRESS(ROW(B81)-1, 'From Order'!$A81)), 1), B80))"),"SWRVSDPQ")</f>
        <v>SWRVSDPQ</v>
      </c>
      <c r="C81" s="2" t="str">
        <f>IFERROR(__xludf.DUMMYFUNCTION("IF('From Order'!$A81=COLUMNS($A81:C100), LEFT(INDEX(FILTER(C$1:C80, C$1:C80&lt;&gt;""""),COUNTA(FILTER(C$1:C80, C$1:C80&lt;&gt;""""))), LEN(INDEX(FILTER(C$1:C80, C$1:C80&lt;&gt;""""),COUNTA(FILTER(C$1:C80, C$1:C80&lt;&gt;""""))))-1), IF('To Order'!$A81=COLUMNS($A81:C100), C80&amp;RI"&amp;"GHT(INDIRECT(ADDRESS(ROW(C81)-1, 'From Order'!$A81)), 1), C80))"),"RZTRTFMJDG")</f>
        <v>RZTRTFMJDG</v>
      </c>
      <c r="D81" s="2" t="str">
        <f>IFERROR(__xludf.DUMMYFUNCTION("IF('From Order'!$A81=COLUMNS($A81:D100), LEFT(INDEX(FILTER(D$1:D80, D$1:D80&lt;&gt;""""),COUNTA(FILTER(D$1:D80, D$1:D80&lt;&gt;""""))), LEN(INDEX(FILTER(D$1:D80, D$1:D80&lt;&gt;""""),COUNTA(FILTER(D$1:D80, D$1:D80&lt;&gt;""""))))-1), IF('To Order'!$A81=COLUMNS($A81:D100), D80&amp;RI"&amp;"GHT(INDIRECT(ADDRESS(ROW(D81)-1, 'From Order'!$A81)), 1), D80))"),"DTCHSPVMZD")</f>
        <v>DTCHSPVMZD</v>
      </c>
      <c r="E81" s="2" t="str">
        <f>IFERROR(__xludf.DUMMYFUNCTION("IF('From Order'!$A81=COLUMNS($A81:E100), LEFT(INDEX(FILTER(E$1:E80, E$1:E80&lt;&gt;""""),COUNTA(FILTER(E$1:E80, E$1:E80&lt;&gt;""""))), LEN(INDEX(FILTER(E$1:E80, E$1:E80&lt;&gt;""""),COUNTA(FILTER(E$1:E80, E$1:E80&lt;&gt;""""))))-1), IF('To Order'!$A81=COLUMNS($A81:E100), E80&amp;RI"&amp;"GHT(INDIRECT(ADDRESS(ROW(E81)-1, 'From Order'!$A81)), 1), E80))"),"GPBSCLTD")</f>
        <v>GPBSCLTD</v>
      </c>
      <c r="F81" s="2" t="str">
        <f>IFERROR(__xludf.DUMMYFUNCTION("IF('From Order'!$A81=COLUMNS($A81:F100), LEFT(INDEX(FILTER(F$1:F80, F$1:F80&lt;&gt;""""),COUNTA(FILTER(F$1:F80, F$1:F80&lt;&gt;""""))), LEN(INDEX(FILTER(F$1:F80, F$1:F80&lt;&gt;""""),COUNTA(FILTER(F$1:F80, F$1:F80&lt;&gt;""""))))-1), IF('To Order'!$A81=COLUMNS($A81:F100), F80&amp;RI"&amp;"GHT(INDIRECT(ADDRESS(ROW(F81)-1, 'From Order'!$A81)), 1), F80))"),"F")</f>
        <v>F</v>
      </c>
      <c r="G81" s="2" t="str">
        <f>IFERROR(__xludf.DUMMYFUNCTION("IF('From Order'!$A81=COLUMNS($A81:G100), LEFT(INDEX(FILTER(G$1:G80, G$1:G80&lt;&gt;""""),COUNTA(FILTER(G$1:G80, G$1:G80&lt;&gt;""""))), LEN(INDEX(FILTER(G$1:G80, G$1:G80&lt;&gt;""""),COUNTA(FILTER(G$1:G80, G$1:G80&lt;&gt;""""))))-1), IF('To Order'!$A81=COLUMNS($A81:G100), G80&amp;RI"&amp;"GHT(INDIRECT(ADDRESS(ROW(G81)-1, 'From Order'!$A81)), 1), G80))"),"LWLJBRJZHT")</f>
        <v>LWLJBRJZHT</v>
      </c>
      <c r="H81" s="2" t="str">
        <f>IFERROR(__xludf.DUMMYFUNCTION("IF('From Order'!$A81=COLUMNS($A81:H100), LEFT(INDEX(FILTER(H$1:H80, H$1:H80&lt;&gt;""""),COUNTA(FILTER(H$1:H80, H$1:H80&lt;&gt;""""))), LEN(INDEX(FILTER(H$1:H80, H$1:H80&lt;&gt;""""),COUNTA(FILTER(H$1:H80, H$1:H80&lt;&gt;""""))))-1), IF('To Order'!$A81=COLUMNS($A81:H100), H80&amp;RI"&amp;"GHT(INDIRECT(ADDRESS(ROW(H81)-1, 'From Order'!$A81)), 1), H80))"),"B")</f>
        <v>B</v>
      </c>
      <c r="I81" s="2" t="str">
        <f>IFERROR(__xludf.DUMMYFUNCTION("IF('From Order'!$A81=COLUMNS($A81:I100), LEFT(INDEX(FILTER(I$1:I80, I$1:I80&lt;&gt;""""),COUNTA(FILTER(I$1:I80, I$1:I80&lt;&gt;""""))), LEN(INDEX(FILTER(I$1:I80, I$1:I80&lt;&gt;""""),COUNTA(FILTER(I$1:I80, I$1:I80&lt;&gt;""""))))-1), IF('To Order'!$A81=COLUMNS($A81:I100), I80&amp;RI"&amp;"GHT(INDIRECT(ADDRESS(ROW(I81)-1, 'From Order'!$A81)), 1), I80))"),"")</f>
        <v/>
      </c>
    </row>
    <row r="82">
      <c r="A82" s="2" t="str">
        <f>IFERROR(__xludf.DUMMYFUNCTION("IF('From Order'!$A82=COLUMNS($A82:A101), LEFT(INDEX(FILTER(A$1:A81, A$1:A81&lt;&gt;""""),COUNTA(FILTER(A$1:A81, A$1:A81&lt;&gt;""""))), LEN(INDEX(FILTER(A$1:A81, A$1:A81&lt;&gt;""""),COUNTA(FILTER(A$1:A81, A$1:A81&lt;&gt;""""))))-1), IF('To Order'!$A82=COLUMNS($A82:A101), A81&amp;RI"&amp;"GHT(INDIRECT(ADDRESS(ROW(A82)-1, 'From Order'!$A82)), 1), A81))"),"RBTVMQC")</f>
        <v>RBTVMQC</v>
      </c>
      <c r="B82" s="2" t="str">
        <f>IFERROR(__xludf.DUMMYFUNCTION("IF('From Order'!$A82=COLUMNS($A82:B101), LEFT(INDEX(FILTER(B$1:B81, B$1:B81&lt;&gt;""""),COUNTA(FILTER(B$1:B81, B$1:B81&lt;&gt;""""))), LEN(INDEX(FILTER(B$1:B81, B$1:B81&lt;&gt;""""),COUNTA(FILTER(B$1:B81, B$1:B81&lt;&gt;""""))))-1), IF('To Order'!$A82=COLUMNS($A82:B101), B81&amp;RI"&amp;"GHT(INDIRECT(ADDRESS(ROW(B82)-1, 'From Order'!$A82)), 1), B81))"),"SWRVSDPQ")</f>
        <v>SWRVSDPQ</v>
      </c>
      <c r="C82" s="2" t="str">
        <f>IFERROR(__xludf.DUMMYFUNCTION("IF('From Order'!$A82=COLUMNS($A82:C101), LEFT(INDEX(FILTER(C$1:C81, C$1:C81&lt;&gt;""""),COUNTA(FILTER(C$1:C81, C$1:C81&lt;&gt;""""))), LEN(INDEX(FILTER(C$1:C81, C$1:C81&lt;&gt;""""),COUNTA(FILTER(C$1:C81, C$1:C81&lt;&gt;""""))))-1), IF('To Order'!$A82=COLUMNS($A82:C101), C81&amp;RI"&amp;"GHT(INDIRECT(ADDRESS(ROW(C82)-1, 'From Order'!$A82)), 1), C81))"),"RZTRTFMJDG")</f>
        <v>RZTRTFMJDG</v>
      </c>
      <c r="D82" s="2" t="str">
        <f>IFERROR(__xludf.DUMMYFUNCTION("IF('From Order'!$A82=COLUMNS($A82:D101), LEFT(INDEX(FILTER(D$1:D81, D$1:D81&lt;&gt;""""),COUNTA(FILTER(D$1:D81, D$1:D81&lt;&gt;""""))), LEN(INDEX(FILTER(D$1:D81, D$1:D81&lt;&gt;""""),COUNTA(FILTER(D$1:D81, D$1:D81&lt;&gt;""""))))-1), IF('To Order'!$A82=COLUMNS($A82:D101), D81&amp;RI"&amp;"GHT(INDIRECT(ADDRESS(ROW(D82)-1, 'From Order'!$A82)), 1), D81))"),"DTCHSPVMZD")</f>
        <v>DTCHSPVMZD</v>
      </c>
      <c r="E82" s="2" t="str">
        <f>IFERROR(__xludf.DUMMYFUNCTION("IF('From Order'!$A82=COLUMNS($A82:E101), LEFT(INDEX(FILTER(E$1:E81, E$1:E81&lt;&gt;""""),COUNTA(FILTER(E$1:E81, E$1:E81&lt;&gt;""""))), LEN(INDEX(FILTER(E$1:E81, E$1:E81&lt;&gt;""""),COUNTA(FILTER(E$1:E81, E$1:E81&lt;&gt;""""))))-1), IF('To Order'!$A82=COLUMNS($A82:E101), E81&amp;RI"&amp;"GHT(INDIRECT(ADDRESS(ROW(E82)-1, 'From Order'!$A82)), 1), E81))"),"GPBSCLTD")</f>
        <v>GPBSCLTD</v>
      </c>
      <c r="F82" s="2" t="str">
        <f>IFERROR(__xludf.DUMMYFUNCTION("IF('From Order'!$A82=COLUMNS($A82:F101), LEFT(INDEX(FILTER(F$1:F81, F$1:F81&lt;&gt;""""),COUNTA(FILTER(F$1:F81, F$1:F81&lt;&gt;""""))), LEN(INDEX(FILTER(F$1:F81, F$1:F81&lt;&gt;""""),COUNTA(FILTER(F$1:F81, F$1:F81&lt;&gt;""""))))-1), IF('To Order'!$A82=COLUMNS($A82:F101), F81&amp;RI"&amp;"GHT(INDIRECT(ADDRESS(ROW(F82)-1, 'From Order'!$A82)), 1), F81))"),"F")</f>
        <v>F</v>
      </c>
      <c r="G82" s="2" t="str">
        <f>IFERROR(__xludf.DUMMYFUNCTION("IF('From Order'!$A82=COLUMNS($A82:G101), LEFT(INDEX(FILTER(G$1:G81, G$1:G81&lt;&gt;""""),COUNTA(FILTER(G$1:G81, G$1:G81&lt;&gt;""""))), LEN(INDEX(FILTER(G$1:G81, G$1:G81&lt;&gt;""""),COUNTA(FILTER(G$1:G81, G$1:G81&lt;&gt;""""))))-1), IF('To Order'!$A82=COLUMNS($A82:G101), G81&amp;RI"&amp;"GHT(INDIRECT(ADDRESS(ROW(G82)-1, 'From Order'!$A82)), 1), G81))"),"LWLJBRJZHTD")</f>
        <v>LWLJBRJZHTD</v>
      </c>
      <c r="H82" s="2" t="str">
        <f>IFERROR(__xludf.DUMMYFUNCTION("IF('From Order'!$A82=COLUMNS($A82:H101), LEFT(INDEX(FILTER(H$1:H81, H$1:H81&lt;&gt;""""),COUNTA(FILTER(H$1:H81, H$1:H81&lt;&gt;""""))), LEN(INDEX(FILTER(H$1:H81, H$1:H81&lt;&gt;""""),COUNTA(FILTER(H$1:H81, H$1:H81&lt;&gt;""""))))-1), IF('To Order'!$A82=COLUMNS($A82:H101), H81&amp;RI"&amp;"GHT(INDIRECT(ADDRESS(ROW(H82)-1, 'From Order'!$A82)), 1), H81))"),"B")</f>
        <v>B</v>
      </c>
      <c r="I82" s="2" t="str">
        <f>IFERROR(__xludf.DUMMYFUNCTION("IF('From Order'!$A82=COLUMNS($A82:I101), LEFT(INDEX(FILTER(I$1:I81, I$1:I81&lt;&gt;""""),COUNTA(FILTER(I$1:I81, I$1:I81&lt;&gt;""""))), LEN(INDEX(FILTER(I$1:I81, I$1:I81&lt;&gt;""""),COUNTA(FILTER(I$1:I81, I$1:I81&lt;&gt;""""))))-1), IF('To Order'!$A82=COLUMNS($A82:I101), I81&amp;RI"&amp;"GHT(INDIRECT(ADDRESS(ROW(I82)-1, 'From Order'!$A82)), 1), I81))"),"")</f>
        <v/>
      </c>
    </row>
    <row r="83">
      <c r="A83" s="2" t="str">
        <f>IFERROR(__xludf.DUMMYFUNCTION("IF('From Order'!$A83=COLUMNS($A83:A102), LEFT(INDEX(FILTER(A$1:A82, A$1:A82&lt;&gt;""""),COUNTA(FILTER(A$1:A82, A$1:A82&lt;&gt;""""))), LEN(INDEX(FILTER(A$1:A82, A$1:A82&lt;&gt;""""),COUNTA(FILTER(A$1:A82, A$1:A82&lt;&gt;""""))))-1), IF('To Order'!$A83=COLUMNS($A83:A102), A82&amp;RI"&amp;"GHT(INDIRECT(ADDRESS(ROW(A83)-1, 'From Order'!$A83)), 1), A82))"),"RBTVMQ")</f>
        <v>RBTVMQ</v>
      </c>
      <c r="B83" s="2" t="str">
        <f>IFERROR(__xludf.DUMMYFUNCTION("IF('From Order'!$A83=COLUMNS($A83:B102), LEFT(INDEX(FILTER(B$1:B82, B$1:B82&lt;&gt;""""),COUNTA(FILTER(B$1:B82, B$1:B82&lt;&gt;""""))), LEN(INDEX(FILTER(B$1:B82, B$1:B82&lt;&gt;""""),COUNTA(FILTER(B$1:B82, B$1:B82&lt;&gt;""""))))-1), IF('To Order'!$A83=COLUMNS($A83:B102), B82&amp;RI"&amp;"GHT(INDIRECT(ADDRESS(ROW(B83)-1, 'From Order'!$A83)), 1), B82))"),"SWRVSDPQ")</f>
        <v>SWRVSDPQ</v>
      </c>
      <c r="C83" s="2" t="str">
        <f>IFERROR(__xludf.DUMMYFUNCTION("IF('From Order'!$A83=COLUMNS($A83:C102), LEFT(INDEX(FILTER(C$1:C82, C$1:C82&lt;&gt;""""),COUNTA(FILTER(C$1:C82, C$1:C82&lt;&gt;""""))), LEN(INDEX(FILTER(C$1:C82, C$1:C82&lt;&gt;""""),COUNTA(FILTER(C$1:C82, C$1:C82&lt;&gt;""""))))-1), IF('To Order'!$A83=COLUMNS($A83:C102), C82&amp;RI"&amp;"GHT(INDIRECT(ADDRESS(ROW(C83)-1, 'From Order'!$A83)), 1), C82))"),"RZTRTFMJDG")</f>
        <v>RZTRTFMJDG</v>
      </c>
      <c r="D83" s="2" t="str">
        <f>IFERROR(__xludf.DUMMYFUNCTION("IF('From Order'!$A83=COLUMNS($A83:D102), LEFT(INDEX(FILTER(D$1:D82, D$1:D82&lt;&gt;""""),COUNTA(FILTER(D$1:D82, D$1:D82&lt;&gt;""""))), LEN(INDEX(FILTER(D$1:D82, D$1:D82&lt;&gt;""""),COUNTA(FILTER(D$1:D82, D$1:D82&lt;&gt;""""))))-1), IF('To Order'!$A83=COLUMNS($A83:D102), D82&amp;RI"&amp;"GHT(INDIRECT(ADDRESS(ROW(D83)-1, 'From Order'!$A83)), 1), D82))"),"DTCHSPVMZD")</f>
        <v>DTCHSPVMZD</v>
      </c>
      <c r="E83" s="2" t="str">
        <f>IFERROR(__xludf.DUMMYFUNCTION("IF('From Order'!$A83=COLUMNS($A83:E102), LEFT(INDEX(FILTER(E$1:E82, E$1:E82&lt;&gt;""""),COUNTA(FILTER(E$1:E82, E$1:E82&lt;&gt;""""))), LEN(INDEX(FILTER(E$1:E82, E$1:E82&lt;&gt;""""),COUNTA(FILTER(E$1:E82, E$1:E82&lt;&gt;""""))))-1), IF('To Order'!$A83=COLUMNS($A83:E102), E82&amp;RI"&amp;"GHT(INDIRECT(ADDRESS(ROW(E83)-1, 'From Order'!$A83)), 1), E82))"),"GPBSCLTD")</f>
        <v>GPBSCLTD</v>
      </c>
      <c r="F83" s="2" t="str">
        <f>IFERROR(__xludf.DUMMYFUNCTION("IF('From Order'!$A83=COLUMNS($A83:F102), LEFT(INDEX(FILTER(F$1:F82, F$1:F82&lt;&gt;""""),COUNTA(FILTER(F$1:F82, F$1:F82&lt;&gt;""""))), LEN(INDEX(FILTER(F$1:F82, F$1:F82&lt;&gt;""""),COUNTA(FILTER(F$1:F82, F$1:F82&lt;&gt;""""))))-1), IF('To Order'!$A83=COLUMNS($A83:F102), F82&amp;RI"&amp;"GHT(INDIRECT(ADDRESS(ROW(F83)-1, 'From Order'!$A83)), 1), F82))"),"F")</f>
        <v>F</v>
      </c>
      <c r="G83" s="2" t="str">
        <f>IFERROR(__xludf.DUMMYFUNCTION("IF('From Order'!$A83=COLUMNS($A83:G102), LEFT(INDEX(FILTER(G$1:G82, G$1:G82&lt;&gt;""""),COUNTA(FILTER(G$1:G82, G$1:G82&lt;&gt;""""))), LEN(INDEX(FILTER(G$1:G82, G$1:G82&lt;&gt;""""),COUNTA(FILTER(G$1:G82, G$1:G82&lt;&gt;""""))))-1), IF('To Order'!$A83=COLUMNS($A83:G102), G82&amp;RI"&amp;"GHT(INDIRECT(ADDRESS(ROW(G83)-1, 'From Order'!$A83)), 1), G82))"),"LWLJBRJZHTDC")</f>
        <v>LWLJBRJZHTDC</v>
      </c>
      <c r="H83" s="2" t="str">
        <f>IFERROR(__xludf.DUMMYFUNCTION("IF('From Order'!$A83=COLUMNS($A83:H102), LEFT(INDEX(FILTER(H$1:H82, H$1:H82&lt;&gt;""""),COUNTA(FILTER(H$1:H82, H$1:H82&lt;&gt;""""))), LEN(INDEX(FILTER(H$1:H82, H$1:H82&lt;&gt;""""),COUNTA(FILTER(H$1:H82, H$1:H82&lt;&gt;""""))))-1), IF('To Order'!$A83=COLUMNS($A83:H102), H82&amp;RI"&amp;"GHT(INDIRECT(ADDRESS(ROW(H83)-1, 'From Order'!$A83)), 1), H82))"),"B")</f>
        <v>B</v>
      </c>
      <c r="I83" s="2" t="str">
        <f>IFERROR(__xludf.DUMMYFUNCTION("IF('From Order'!$A83=COLUMNS($A83:I102), LEFT(INDEX(FILTER(I$1:I82, I$1:I82&lt;&gt;""""),COUNTA(FILTER(I$1:I82, I$1:I82&lt;&gt;""""))), LEN(INDEX(FILTER(I$1:I82, I$1:I82&lt;&gt;""""),COUNTA(FILTER(I$1:I82, I$1:I82&lt;&gt;""""))))-1), IF('To Order'!$A83=COLUMNS($A83:I102), I82&amp;RI"&amp;"GHT(INDIRECT(ADDRESS(ROW(I83)-1, 'From Order'!$A83)), 1), I82))"),"")</f>
        <v/>
      </c>
    </row>
    <row r="84">
      <c r="A84" s="2" t="str">
        <f>IFERROR(__xludf.DUMMYFUNCTION("IF('From Order'!$A84=COLUMNS($A84:A103), LEFT(INDEX(FILTER(A$1:A83, A$1:A83&lt;&gt;""""),COUNTA(FILTER(A$1:A83, A$1:A83&lt;&gt;""""))), LEN(INDEX(FILTER(A$1:A83, A$1:A83&lt;&gt;""""),COUNTA(FILTER(A$1:A83, A$1:A83&lt;&gt;""""))))-1), IF('To Order'!$A84=COLUMNS($A84:A103), A83&amp;RI"&amp;"GHT(INDIRECT(ADDRESS(ROW(A84)-1, 'From Order'!$A84)), 1), A83))"),"RBTVM")</f>
        <v>RBTVM</v>
      </c>
      <c r="B84" s="2" t="str">
        <f>IFERROR(__xludf.DUMMYFUNCTION("IF('From Order'!$A84=COLUMNS($A84:B103), LEFT(INDEX(FILTER(B$1:B83, B$1:B83&lt;&gt;""""),COUNTA(FILTER(B$1:B83, B$1:B83&lt;&gt;""""))), LEN(INDEX(FILTER(B$1:B83, B$1:B83&lt;&gt;""""),COUNTA(FILTER(B$1:B83, B$1:B83&lt;&gt;""""))))-1), IF('To Order'!$A84=COLUMNS($A84:B103), B83&amp;RI"&amp;"GHT(INDIRECT(ADDRESS(ROW(B84)-1, 'From Order'!$A84)), 1), B83))"),"SWRVSDPQ")</f>
        <v>SWRVSDPQ</v>
      </c>
      <c r="C84" s="2" t="str">
        <f>IFERROR(__xludf.DUMMYFUNCTION("IF('From Order'!$A84=COLUMNS($A84:C103), LEFT(INDEX(FILTER(C$1:C83, C$1:C83&lt;&gt;""""),COUNTA(FILTER(C$1:C83, C$1:C83&lt;&gt;""""))), LEN(INDEX(FILTER(C$1:C83, C$1:C83&lt;&gt;""""),COUNTA(FILTER(C$1:C83, C$1:C83&lt;&gt;""""))))-1), IF('To Order'!$A84=COLUMNS($A84:C103), C83&amp;RI"&amp;"GHT(INDIRECT(ADDRESS(ROW(C84)-1, 'From Order'!$A84)), 1), C83))"),"RZTRTFMJDG")</f>
        <v>RZTRTFMJDG</v>
      </c>
      <c r="D84" s="2" t="str">
        <f>IFERROR(__xludf.DUMMYFUNCTION("IF('From Order'!$A84=COLUMNS($A84:D103), LEFT(INDEX(FILTER(D$1:D83, D$1:D83&lt;&gt;""""),COUNTA(FILTER(D$1:D83, D$1:D83&lt;&gt;""""))), LEN(INDEX(FILTER(D$1:D83, D$1:D83&lt;&gt;""""),COUNTA(FILTER(D$1:D83, D$1:D83&lt;&gt;""""))))-1), IF('To Order'!$A84=COLUMNS($A84:D103), D83&amp;RI"&amp;"GHT(INDIRECT(ADDRESS(ROW(D84)-1, 'From Order'!$A84)), 1), D83))"),"DTCHSPVMZD")</f>
        <v>DTCHSPVMZD</v>
      </c>
      <c r="E84" s="2" t="str">
        <f>IFERROR(__xludf.DUMMYFUNCTION("IF('From Order'!$A84=COLUMNS($A84:E103), LEFT(INDEX(FILTER(E$1:E83, E$1:E83&lt;&gt;""""),COUNTA(FILTER(E$1:E83, E$1:E83&lt;&gt;""""))), LEN(INDEX(FILTER(E$1:E83, E$1:E83&lt;&gt;""""),COUNTA(FILTER(E$1:E83, E$1:E83&lt;&gt;""""))))-1), IF('To Order'!$A84=COLUMNS($A84:E103), E83&amp;RI"&amp;"GHT(INDIRECT(ADDRESS(ROW(E84)-1, 'From Order'!$A84)), 1), E83))"),"GPBSCLTD")</f>
        <v>GPBSCLTD</v>
      </c>
      <c r="F84" s="2" t="str">
        <f>IFERROR(__xludf.DUMMYFUNCTION("IF('From Order'!$A84=COLUMNS($A84:F103), LEFT(INDEX(FILTER(F$1:F83, F$1:F83&lt;&gt;""""),COUNTA(FILTER(F$1:F83, F$1:F83&lt;&gt;""""))), LEN(INDEX(FILTER(F$1:F83, F$1:F83&lt;&gt;""""),COUNTA(FILTER(F$1:F83, F$1:F83&lt;&gt;""""))))-1), IF('To Order'!$A84=COLUMNS($A84:F103), F83&amp;RI"&amp;"GHT(INDIRECT(ADDRESS(ROW(F84)-1, 'From Order'!$A84)), 1), F83))"),"F")</f>
        <v>F</v>
      </c>
      <c r="G84" s="2" t="str">
        <f>IFERROR(__xludf.DUMMYFUNCTION("IF('From Order'!$A84=COLUMNS($A84:G103), LEFT(INDEX(FILTER(G$1:G83, G$1:G83&lt;&gt;""""),COUNTA(FILTER(G$1:G83, G$1:G83&lt;&gt;""""))), LEN(INDEX(FILTER(G$1:G83, G$1:G83&lt;&gt;""""),COUNTA(FILTER(G$1:G83, G$1:G83&lt;&gt;""""))))-1), IF('To Order'!$A84=COLUMNS($A84:G103), G83&amp;RI"&amp;"GHT(INDIRECT(ADDRESS(ROW(G84)-1, 'From Order'!$A84)), 1), G83))"),"LWLJBRJZHTDCQ")</f>
        <v>LWLJBRJZHTDCQ</v>
      </c>
      <c r="H84" s="2" t="str">
        <f>IFERROR(__xludf.DUMMYFUNCTION("IF('From Order'!$A84=COLUMNS($A84:H103), LEFT(INDEX(FILTER(H$1:H83, H$1:H83&lt;&gt;""""),COUNTA(FILTER(H$1:H83, H$1:H83&lt;&gt;""""))), LEN(INDEX(FILTER(H$1:H83, H$1:H83&lt;&gt;""""),COUNTA(FILTER(H$1:H83, H$1:H83&lt;&gt;""""))))-1), IF('To Order'!$A84=COLUMNS($A84:H103), H83&amp;RI"&amp;"GHT(INDIRECT(ADDRESS(ROW(H84)-1, 'From Order'!$A84)), 1), H83))"),"B")</f>
        <v>B</v>
      </c>
      <c r="I84" s="2" t="str">
        <f>IFERROR(__xludf.DUMMYFUNCTION("IF('From Order'!$A84=COLUMNS($A84:I103), LEFT(INDEX(FILTER(I$1:I83, I$1:I83&lt;&gt;""""),COUNTA(FILTER(I$1:I83, I$1:I83&lt;&gt;""""))), LEN(INDEX(FILTER(I$1:I83, I$1:I83&lt;&gt;""""),COUNTA(FILTER(I$1:I83, I$1:I83&lt;&gt;""""))))-1), IF('To Order'!$A84=COLUMNS($A84:I103), I83&amp;RI"&amp;"GHT(INDIRECT(ADDRESS(ROW(I84)-1, 'From Order'!$A84)), 1), I83))"),"")</f>
        <v/>
      </c>
    </row>
    <row r="85">
      <c r="A85" s="2" t="str">
        <f>IFERROR(__xludf.DUMMYFUNCTION("IF('From Order'!$A85=COLUMNS($A85:A104), LEFT(INDEX(FILTER(A$1:A84, A$1:A84&lt;&gt;""""),COUNTA(FILTER(A$1:A84, A$1:A84&lt;&gt;""""))), LEN(INDEX(FILTER(A$1:A84, A$1:A84&lt;&gt;""""),COUNTA(FILTER(A$1:A84, A$1:A84&lt;&gt;""""))))-1), IF('To Order'!$A85=COLUMNS($A85:A104), A84&amp;RI"&amp;"GHT(INDIRECT(ADDRESS(ROW(A85)-1, 'From Order'!$A85)), 1), A84))"),"RBTV")</f>
        <v>RBTV</v>
      </c>
      <c r="B85" s="2" t="str">
        <f>IFERROR(__xludf.DUMMYFUNCTION("IF('From Order'!$A85=COLUMNS($A85:B104), LEFT(INDEX(FILTER(B$1:B84, B$1:B84&lt;&gt;""""),COUNTA(FILTER(B$1:B84, B$1:B84&lt;&gt;""""))), LEN(INDEX(FILTER(B$1:B84, B$1:B84&lt;&gt;""""),COUNTA(FILTER(B$1:B84, B$1:B84&lt;&gt;""""))))-1), IF('To Order'!$A85=COLUMNS($A85:B104), B84&amp;RI"&amp;"GHT(INDIRECT(ADDRESS(ROW(B85)-1, 'From Order'!$A85)), 1), B84))"),"SWRVSDPQ")</f>
        <v>SWRVSDPQ</v>
      </c>
      <c r="C85" s="2" t="str">
        <f>IFERROR(__xludf.DUMMYFUNCTION("IF('From Order'!$A85=COLUMNS($A85:C104), LEFT(INDEX(FILTER(C$1:C84, C$1:C84&lt;&gt;""""),COUNTA(FILTER(C$1:C84, C$1:C84&lt;&gt;""""))), LEN(INDEX(FILTER(C$1:C84, C$1:C84&lt;&gt;""""),COUNTA(FILTER(C$1:C84, C$1:C84&lt;&gt;""""))))-1), IF('To Order'!$A85=COLUMNS($A85:C104), C84&amp;RI"&amp;"GHT(INDIRECT(ADDRESS(ROW(C85)-1, 'From Order'!$A85)), 1), C84))"),"RZTRTFMJDG")</f>
        <v>RZTRTFMJDG</v>
      </c>
      <c r="D85" s="2" t="str">
        <f>IFERROR(__xludf.DUMMYFUNCTION("IF('From Order'!$A85=COLUMNS($A85:D104), LEFT(INDEX(FILTER(D$1:D84, D$1:D84&lt;&gt;""""),COUNTA(FILTER(D$1:D84, D$1:D84&lt;&gt;""""))), LEN(INDEX(FILTER(D$1:D84, D$1:D84&lt;&gt;""""),COUNTA(FILTER(D$1:D84, D$1:D84&lt;&gt;""""))))-1), IF('To Order'!$A85=COLUMNS($A85:D104), D84&amp;RI"&amp;"GHT(INDIRECT(ADDRESS(ROW(D85)-1, 'From Order'!$A85)), 1), D84))"),"DTCHSPVMZD")</f>
        <v>DTCHSPVMZD</v>
      </c>
      <c r="E85" s="2" t="str">
        <f>IFERROR(__xludf.DUMMYFUNCTION("IF('From Order'!$A85=COLUMNS($A85:E104), LEFT(INDEX(FILTER(E$1:E84, E$1:E84&lt;&gt;""""),COUNTA(FILTER(E$1:E84, E$1:E84&lt;&gt;""""))), LEN(INDEX(FILTER(E$1:E84, E$1:E84&lt;&gt;""""),COUNTA(FILTER(E$1:E84, E$1:E84&lt;&gt;""""))))-1), IF('To Order'!$A85=COLUMNS($A85:E104), E84&amp;RI"&amp;"GHT(INDIRECT(ADDRESS(ROW(E85)-1, 'From Order'!$A85)), 1), E84))"),"GPBSCLTD")</f>
        <v>GPBSCLTD</v>
      </c>
      <c r="F85" s="2" t="str">
        <f>IFERROR(__xludf.DUMMYFUNCTION("IF('From Order'!$A85=COLUMNS($A85:F104), LEFT(INDEX(FILTER(F$1:F84, F$1:F84&lt;&gt;""""),COUNTA(FILTER(F$1:F84, F$1:F84&lt;&gt;""""))), LEN(INDEX(FILTER(F$1:F84, F$1:F84&lt;&gt;""""),COUNTA(FILTER(F$1:F84, F$1:F84&lt;&gt;""""))))-1), IF('To Order'!$A85=COLUMNS($A85:F104), F84&amp;RI"&amp;"GHT(INDIRECT(ADDRESS(ROW(F85)-1, 'From Order'!$A85)), 1), F84))"),"F")</f>
        <v>F</v>
      </c>
      <c r="G85" s="2" t="str">
        <f>IFERROR(__xludf.DUMMYFUNCTION("IF('From Order'!$A85=COLUMNS($A85:G104), LEFT(INDEX(FILTER(G$1:G84, G$1:G84&lt;&gt;""""),COUNTA(FILTER(G$1:G84, G$1:G84&lt;&gt;""""))), LEN(INDEX(FILTER(G$1:G84, G$1:G84&lt;&gt;""""),COUNTA(FILTER(G$1:G84, G$1:G84&lt;&gt;""""))))-1), IF('To Order'!$A85=COLUMNS($A85:G104), G84&amp;RI"&amp;"GHT(INDIRECT(ADDRESS(ROW(G85)-1, 'From Order'!$A85)), 1), G84))"),"LWLJBRJZHTDCQM")</f>
        <v>LWLJBRJZHTDCQM</v>
      </c>
      <c r="H85" s="2" t="str">
        <f>IFERROR(__xludf.DUMMYFUNCTION("IF('From Order'!$A85=COLUMNS($A85:H104), LEFT(INDEX(FILTER(H$1:H84, H$1:H84&lt;&gt;""""),COUNTA(FILTER(H$1:H84, H$1:H84&lt;&gt;""""))), LEN(INDEX(FILTER(H$1:H84, H$1:H84&lt;&gt;""""),COUNTA(FILTER(H$1:H84, H$1:H84&lt;&gt;""""))))-1), IF('To Order'!$A85=COLUMNS($A85:H104), H84&amp;RI"&amp;"GHT(INDIRECT(ADDRESS(ROW(H85)-1, 'From Order'!$A85)), 1), H84))"),"B")</f>
        <v>B</v>
      </c>
      <c r="I85" s="2" t="str">
        <f>IFERROR(__xludf.DUMMYFUNCTION("IF('From Order'!$A85=COLUMNS($A85:I104), LEFT(INDEX(FILTER(I$1:I84, I$1:I84&lt;&gt;""""),COUNTA(FILTER(I$1:I84, I$1:I84&lt;&gt;""""))), LEN(INDEX(FILTER(I$1:I84, I$1:I84&lt;&gt;""""),COUNTA(FILTER(I$1:I84, I$1:I84&lt;&gt;""""))))-1), IF('To Order'!$A85=COLUMNS($A85:I104), I84&amp;RI"&amp;"GHT(INDIRECT(ADDRESS(ROW(I85)-1, 'From Order'!$A85)), 1), I84))"),"")</f>
        <v/>
      </c>
    </row>
    <row r="86">
      <c r="A86" s="2" t="str">
        <f>IFERROR(__xludf.DUMMYFUNCTION("IF('From Order'!$A86=COLUMNS($A86:A105), LEFT(INDEX(FILTER(A$1:A85, A$1:A85&lt;&gt;""""),COUNTA(FILTER(A$1:A85, A$1:A85&lt;&gt;""""))), LEN(INDEX(FILTER(A$1:A85, A$1:A85&lt;&gt;""""),COUNTA(FILTER(A$1:A85, A$1:A85&lt;&gt;""""))))-1), IF('To Order'!$A86=COLUMNS($A86:A105), A85&amp;RI"&amp;"GHT(INDIRECT(ADDRESS(ROW(A86)-1, 'From Order'!$A86)), 1), A85))"),"RBTV")</f>
        <v>RBTV</v>
      </c>
      <c r="B86" s="2" t="str">
        <f>IFERROR(__xludf.DUMMYFUNCTION("IF('From Order'!$A86=COLUMNS($A86:B105), LEFT(INDEX(FILTER(B$1:B85, B$1:B85&lt;&gt;""""),COUNTA(FILTER(B$1:B85, B$1:B85&lt;&gt;""""))), LEN(INDEX(FILTER(B$1:B85, B$1:B85&lt;&gt;""""),COUNTA(FILTER(B$1:B85, B$1:B85&lt;&gt;""""))))-1), IF('To Order'!$A86=COLUMNS($A86:B105), B85&amp;RI"&amp;"GHT(INDIRECT(ADDRESS(ROW(B86)-1, 'From Order'!$A86)), 1), B85))"),"SWRVSDPQB")</f>
        <v>SWRVSDPQB</v>
      </c>
      <c r="C86" s="2" t="str">
        <f>IFERROR(__xludf.DUMMYFUNCTION("IF('From Order'!$A86=COLUMNS($A86:C105), LEFT(INDEX(FILTER(C$1:C85, C$1:C85&lt;&gt;""""),COUNTA(FILTER(C$1:C85, C$1:C85&lt;&gt;""""))), LEN(INDEX(FILTER(C$1:C85, C$1:C85&lt;&gt;""""),COUNTA(FILTER(C$1:C85, C$1:C85&lt;&gt;""""))))-1), IF('To Order'!$A86=COLUMNS($A86:C105), C85&amp;RI"&amp;"GHT(INDIRECT(ADDRESS(ROW(C86)-1, 'From Order'!$A86)), 1), C85))"),"RZTRTFMJDG")</f>
        <v>RZTRTFMJDG</v>
      </c>
      <c r="D86" s="2" t="str">
        <f>IFERROR(__xludf.DUMMYFUNCTION("IF('From Order'!$A86=COLUMNS($A86:D105), LEFT(INDEX(FILTER(D$1:D85, D$1:D85&lt;&gt;""""),COUNTA(FILTER(D$1:D85, D$1:D85&lt;&gt;""""))), LEN(INDEX(FILTER(D$1:D85, D$1:D85&lt;&gt;""""),COUNTA(FILTER(D$1:D85, D$1:D85&lt;&gt;""""))))-1), IF('To Order'!$A86=COLUMNS($A86:D105), D85&amp;RI"&amp;"GHT(INDIRECT(ADDRESS(ROW(D86)-1, 'From Order'!$A86)), 1), D85))"),"DTCHSPVMZD")</f>
        <v>DTCHSPVMZD</v>
      </c>
      <c r="E86" s="2" t="str">
        <f>IFERROR(__xludf.DUMMYFUNCTION("IF('From Order'!$A86=COLUMNS($A86:E105), LEFT(INDEX(FILTER(E$1:E85, E$1:E85&lt;&gt;""""),COUNTA(FILTER(E$1:E85, E$1:E85&lt;&gt;""""))), LEN(INDEX(FILTER(E$1:E85, E$1:E85&lt;&gt;""""),COUNTA(FILTER(E$1:E85, E$1:E85&lt;&gt;""""))))-1), IF('To Order'!$A86=COLUMNS($A86:E105), E85&amp;RI"&amp;"GHT(INDIRECT(ADDRESS(ROW(E86)-1, 'From Order'!$A86)), 1), E85))"),"GPBSCLTD")</f>
        <v>GPBSCLTD</v>
      </c>
      <c r="F86" s="2" t="str">
        <f>IFERROR(__xludf.DUMMYFUNCTION("IF('From Order'!$A86=COLUMNS($A86:F105), LEFT(INDEX(FILTER(F$1:F85, F$1:F85&lt;&gt;""""),COUNTA(FILTER(F$1:F85, F$1:F85&lt;&gt;""""))), LEN(INDEX(FILTER(F$1:F85, F$1:F85&lt;&gt;""""),COUNTA(FILTER(F$1:F85, F$1:F85&lt;&gt;""""))))-1), IF('To Order'!$A86=COLUMNS($A86:F105), F85&amp;RI"&amp;"GHT(INDIRECT(ADDRESS(ROW(F86)-1, 'From Order'!$A86)), 1), F85))"),"F")</f>
        <v>F</v>
      </c>
      <c r="G86" s="2" t="str">
        <f>IFERROR(__xludf.DUMMYFUNCTION("IF('From Order'!$A86=COLUMNS($A86:G105), LEFT(INDEX(FILTER(G$1:G85, G$1:G85&lt;&gt;""""),COUNTA(FILTER(G$1:G85, G$1:G85&lt;&gt;""""))), LEN(INDEX(FILTER(G$1:G85, G$1:G85&lt;&gt;""""),COUNTA(FILTER(G$1:G85, G$1:G85&lt;&gt;""""))))-1), IF('To Order'!$A86=COLUMNS($A86:G105), G85&amp;RI"&amp;"GHT(INDIRECT(ADDRESS(ROW(G86)-1, 'From Order'!$A86)), 1), G85))"),"LWLJBRJZHTDCQM")</f>
        <v>LWLJBRJZHTDCQM</v>
      </c>
      <c r="H86" s="2" t="str">
        <f>IFERROR(__xludf.DUMMYFUNCTION("IF('From Order'!$A86=COLUMNS($A86:H105), LEFT(INDEX(FILTER(H$1:H85, H$1:H85&lt;&gt;""""),COUNTA(FILTER(H$1:H85, H$1:H85&lt;&gt;""""))), LEN(INDEX(FILTER(H$1:H85, H$1:H85&lt;&gt;""""),COUNTA(FILTER(H$1:H85, H$1:H85&lt;&gt;""""))))-1), IF('To Order'!$A86=COLUMNS($A86:H105), H85&amp;RI"&amp;"GHT(INDIRECT(ADDRESS(ROW(H86)-1, 'From Order'!$A86)), 1), H85))"),"")</f>
        <v/>
      </c>
      <c r="I86" s="2" t="str">
        <f>IFERROR(__xludf.DUMMYFUNCTION("IF('From Order'!$A86=COLUMNS($A86:I105), LEFT(INDEX(FILTER(I$1:I85, I$1:I85&lt;&gt;""""),COUNTA(FILTER(I$1:I85, I$1:I85&lt;&gt;""""))), LEN(INDEX(FILTER(I$1:I85, I$1:I85&lt;&gt;""""),COUNTA(FILTER(I$1:I85, I$1:I85&lt;&gt;""""))))-1), IF('To Order'!$A86=COLUMNS($A86:I105), I85&amp;RI"&amp;"GHT(INDIRECT(ADDRESS(ROW(I86)-1, 'From Order'!$A86)), 1), I85))"),"")</f>
        <v/>
      </c>
    </row>
    <row r="87">
      <c r="A87" s="2" t="str">
        <f>IFERROR(__xludf.DUMMYFUNCTION("IF('From Order'!$A87=COLUMNS($A87:A106), LEFT(INDEX(FILTER(A$1:A86, A$1:A86&lt;&gt;""""),COUNTA(FILTER(A$1:A86, A$1:A86&lt;&gt;""""))), LEN(INDEX(FILTER(A$1:A86, A$1:A86&lt;&gt;""""),COUNTA(FILTER(A$1:A86, A$1:A86&lt;&gt;""""))))-1), IF('To Order'!$A87=COLUMNS($A87:A106), A86&amp;RI"&amp;"GHT(INDIRECT(ADDRESS(ROW(A87)-1, 'From Order'!$A87)), 1), A86))"),"RBT")</f>
        <v>RBT</v>
      </c>
      <c r="B87" s="2" t="str">
        <f>IFERROR(__xludf.DUMMYFUNCTION("IF('From Order'!$A87=COLUMNS($A87:B106), LEFT(INDEX(FILTER(B$1:B86, B$1:B86&lt;&gt;""""),COUNTA(FILTER(B$1:B86, B$1:B86&lt;&gt;""""))), LEN(INDEX(FILTER(B$1:B86, B$1:B86&lt;&gt;""""),COUNTA(FILTER(B$1:B86, B$1:B86&lt;&gt;""""))))-1), IF('To Order'!$A87=COLUMNS($A87:B106), B86&amp;RI"&amp;"GHT(INDIRECT(ADDRESS(ROW(B87)-1, 'From Order'!$A87)), 1), B86))"),"SWRVSDPQB")</f>
        <v>SWRVSDPQB</v>
      </c>
      <c r="C87" s="2" t="str">
        <f>IFERROR(__xludf.DUMMYFUNCTION("IF('From Order'!$A87=COLUMNS($A87:C106), LEFT(INDEX(FILTER(C$1:C86, C$1:C86&lt;&gt;""""),COUNTA(FILTER(C$1:C86, C$1:C86&lt;&gt;""""))), LEN(INDEX(FILTER(C$1:C86, C$1:C86&lt;&gt;""""),COUNTA(FILTER(C$1:C86, C$1:C86&lt;&gt;""""))))-1), IF('To Order'!$A87=COLUMNS($A87:C106), C86&amp;RI"&amp;"GHT(INDIRECT(ADDRESS(ROW(C87)-1, 'From Order'!$A87)), 1), C86))"),"RZTRTFMJDG")</f>
        <v>RZTRTFMJDG</v>
      </c>
      <c r="D87" s="2" t="str">
        <f>IFERROR(__xludf.DUMMYFUNCTION("IF('From Order'!$A87=COLUMNS($A87:D106), LEFT(INDEX(FILTER(D$1:D86, D$1:D86&lt;&gt;""""),COUNTA(FILTER(D$1:D86, D$1:D86&lt;&gt;""""))), LEN(INDEX(FILTER(D$1:D86, D$1:D86&lt;&gt;""""),COUNTA(FILTER(D$1:D86, D$1:D86&lt;&gt;""""))))-1), IF('To Order'!$A87=COLUMNS($A87:D106), D86&amp;RI"&amp;"GHT(INDIRECT(ADDRESS(ROW(D87)-1, 'From Order'!$A87)), 1), D86))"),"DTCHSPVMZD")</f>
        <v>DTCHSPVMZD</v>
      </c>
      <c r="E87" s="2" t="str">
        <f>IFERROR(__xludf.DUMMYFUNCTION("IF('From Order'!$A87=COLUMNS($A87:E106), LEFT(INDEX(FILTER(E$1:E86, E$1:E86&lt;&gt;""""),COUNTA(FILTER(E$1:E86, E$1:E86&lt;&gt;""""))), LEN(INDEX(FILTER(E$1:E86, E$1:E86&lt;&gt;""""),COUNTA(FILTER(E$1:E86, E$1:E86&lt;&gt;""""))))-1), IF('To Order'!$A87=COLUMNS($A87:E106), E86&amp;RI"&amp;"GHT(INDIRECT(ADDRESS(ROW(E87)-1, 'From Order'!$A87)), 1), E86))"),"GPBSCLTD")</f>
        <v>GPBSCLTD</v>
      </c>
      <c r="F87" s="2" t="str">
        <f>IFERROR(__xludf.DUMMYFUNCTION("IF('From Order'!$A87=COLUMNS($A87:F106), LEFT(INDEX(FILTER(F$1:F86, F$1:F86&lt;&gt;""""),COUNTA(FILTER(F$1:F86, F$1:F86&lt;&gt;""""))), LEN(INDEX(FILTER(F$1:F86, F$1:F86&lt;&gt;""""),COUNTA(FILTER(F$1:F86, F$1:F86&lt;&gt;""""))))-1), IF('To Order'!$A87=COLUMNS($A87:F106), F86&amp;RI"&amp;"GHT(INDIRECT(ADDRESS(ROW(F87)-1, 'From Order'!$A87)), 1), F86))"),"F")</f>
        <v>F</v>
      </c>
      <c r="G87" s="2" t="str">
        <f>IFERROR(__xludf.DUMMYFUNCTION("IF('From Order'!$A87=COLUMNS($A87:G106), LEFT(INDEX(FILTER(G$1:G86, G$1:G86&lt;&gt;""""),COUNTA(FILTER(G$1:G86, G$1:G86&lt;&gt;""""))), LEN(INDEX(FILTER(G$1:G86, G$1:G86&lt;&gt;""""),COUNTA(FILTER(G$1:G86, G$1:G86&lt;&gt;""""))))-1), IF('To Order'!$A87=COLUMNS($A87:G106), G86&amp;RI"&amp;"GHT(INDIRECT(ADDRESS(ROW(G87)-1, 'From Order'!$A87)), 1), G86))"),"LWLJBRJZHTDCQMV")</f>
        <v>LWLJBRJZHTDCQMV</v>
      </c>
      <c r="H87" s="2" t="str">
        <f>IFERROR(__xludf.DUMMYFUNCTION("IF('From Order'!$A87=COLUMNS($A87:H106), LEFT(INDEX(FILTER(H$1:H86, H$1:H86&lt;&gt;""""),COUNTA(FILTER(H$1:H86, H$1:H86&lt;&gt;""""))), LEN(INDEX(FILTER(H$1:H86, H$1:H86&lt;&gt;""""),COUNTA(FILTER(H$1:H86, H$1:H86&lt;&gt;""""))))-1), IF('To Order'!$A87=COLUMNS($A87:H106), H86&amp;RI"&amp;"GHT(INDIRECT(ADDRESS(ROW(H87)-1, 'From Order'!$A87)), 1), H86))"),"")</f>
        <v/>
      </c>
      <c r="I87" s="2" t="str">
        <f>IFERROR(__xludf.DUMMYFUNCTION("IF('From Order'!$A87=COLUMNS($A87:I106), LEFT(INDEX(FILTER(I$1:I86, I$1:I86&lt;&gt;""""),COUNTA(FILTER(I$1:I86, I$1:I86&lt;&gt;""""))), LEN(INDEX(FILTER(I$1:I86, I$1:I86&lt;&gt;""""),COUNTA(FILTER(I$1:I86, I$1:I86&lt;&gt;""""))))-1), IF('To Order'!$A87=COLUMNS($A87:I106), I86&amp;RI"&amp;"GHT(INDIRECT(ADDRESS(ROW(I87)-1, 'From Order'!$A87)), 1), I86))"),"")</f>
        <v/>
      </c>
    </row>
    <row r="88">
      <c r="A88" s="2" t="str">
        <f>IFERROR(__xludf.DUMMYFUNCTION("IF('From Order'!$A88=COLUMNS($A88:A107), LEFT(INDEX(FILTER(A$1:A87, A$1:A87&lt;&gt;""""),COUNTA(FILTER(A$1:A87, A$1:A87&lt;&gt;""""))), LEN(INDEX(FILTER(A$1:A87, A$1:A87&lt;&gt;""""),COUNTA(FILTER(A$1:A87, A$1:A87&lt;&gt;""""))))-1), IF('To Order'!$A88=COLUMNS($A88:A107), A87&amp;RI"&amp;"GHT(INDIRECT(ADDRESS(ROW(A88)-1, 'From Order'!$A88)), 1), A87))"),"RB")</f>
        <v>RB</v>
      </c>
      <c r="B88" s="2" t="str">
        <f>IFERROR(__xludf.DUMMYFUNCTION("IF('From Order'!$A88=COLUMNS($A88:B107), LEFT(INDEX(FILTER(B$1:B87, B$1:B87&lt;&gt;""""),COUNTA(FILTER(B$1:B87, B$1:B87&lt;&gt;""""))), LEN(INDEX(FILTER(B$1:B87, B$1:B87&lt;&gt;""""),COUNTA(FILTER(B$1:B87, B$1:B87&lt;&gt;""""))))-1), IF('To Order'!$A88=COLUMNS($A88:B107), B87&amp;RI"&amp;"GHT(INDIRECT(ADDRESS(ROW(B88)-1, 'From Order'!$A88)), 1), B87))"),"SWRVSDPQB")</f>
        <v>SWRVSDPQB</v>
      </c>
      <c r="C88" s="2" t="str">
        <f>IFERROR(__xludf.DUMMYFUNCTION("IF('From Order'!$A88=COLUMNS($A88:C107), LEFT(INDEX(FILTER(C$1:C87, C$1:C87&lt;&gt;""""),COUNTA(FILTER(C$1:C87, C$1:C87&lt;&gt;""""))), LEN(INDEX(FILTER(C$1:C87, C$1:C87&lt;&gt;""""),COUNTA(FILTER(C$1:C87, C$1:C87&lt;&gt;""""))))-1), IF('To Order'!$A88=COLUMNS($A88:C107), C87&amp;RI"&amp;"GHT(INDIRECT(ADDRESS(ROW(C88)-1, 'From Order'!$A88)), 1), C87))"),"RZTRTFMJDG")</f>
        <v>RZTRTFMJDG</v>
      </c>
      <c r="D88" s="2" t="str">
        <f>IFERROR(__xludf.DUMMYFUNCTION("IF('From Order'!$A88=COLUMNS($A88:D107), LEFT(INDEX(FILTER(D$1:D87, D$1:D87&lt;&gt;""""),COUNTA(FILTER(D$1:D87, D$1:D87&lt;&gt;""""))), LEN(INDEX(FILTER(D$1:D87, D$1:D87&lt;&gt;""""),COUNTA(FILTER(D$1:D87, D$1:D87&lt;&gt;""""))))-1), IF('To Order'!$A88=COLUMNS($A88:D107), D87&amp;RI"&amp;"GHT(INDIRECT(ADDRESS(ROW(D88)-1, 'From Order'!$A88)), 1), D87))"),"DTCHSPVMZD")</f>
        <v>DTCHSPVMZD</v>
      </c>
      <c r="E88" s="2" t="str">
        <f>IFERROR(__xludf.DUMMYFUNCTION("IF('From Order'!$A88=COLUMNS($A88:E107), LEFT(INDEX(FILTER(E$1:E87, E$1:E87&lt;&gt;""""),COUNTA(FILTER(E$1:E87, E$1:E87&lt;&gt;""""))), LEN(INDEX(FILTER(E$1:E87, E$1:E87&lt;&gt;""""),COUNTA(FILTER(E$1:E87, E$1:E87&lt;&gt;""""))))-1), IF('To Order'!$A88=COLUMNS($A88:E107), E87&amp;RI"&amp;"GHT(INDIRECT(ADDRESS(ROW(E88)-1, 'From Order'!$A88)), 1), E87))"),"GPBSCLTD")</f>
        <v>GPBSCLTD</v>
      </c>
      <c r="F88" s="2" t="str">
        <f>IFERROR(__xludf.DUMMYFUNCTION("IF('From Order'!$A88=COLUMNS($A88:F107), LEFT(INDEX(FILTER(F$1:F87, F$1:F87&lt;&gt;""""),COUNTA(FILTER(F$1:F87, F$1:F87&lt;&gt;""""))), LEN(INDEX(FILTER(F$1:F87, F$1:F87&lt;&gt;""""),COUNTA(FILTER(F$1:F87, F$1:F87&lt;&gt;""""))))-1), IF('To Order'!$A88=COLUMNS($A88:F107), F87&amp;RI"&amp;"GHT(INDIRECT(ADDRESS(ROW(F88)-1, 'From Order'!$A88)), 1), F87))"),"F")</f>
        <v>F</v>
      </c>
      <c r="G88" s="2" t="str">
        <f>IFERROR(__xludf.DUMMYFUNCTION("IF('From Order'!$A88=COLUMNS($A88:G107), LEFT(INDEX(FILTER(G$1:G87, G$1:G87&lt;&gt;""""),COUNTA(FILTER(G$1:G87, G$1:G87&lt;&gt;""""))), LEN(INDEX(FILTER(G$1:G87, G$1:G87&lt;&gt;""""),COUNTA(FILTER(G$1:G87, G$1:G87&lt;&gt;""""))))-1), IF('To Order'!$A88=COLUMNS($A88:G107), G87&amp;RI"&amp;"GHT(INDIRECT(ADDRESS(ROW(G88)-1, 'From Order'!$A88)), 1), G87))"),"LWLJBRJZHTDCQMVT")</f>
        <v>LWLJBRJZHTDCQMVT</v>
      </c>
      <c r="H88" s="2" t="str">
        <f>IFERROR(__xludf.DUMMYFUNCTION("IF('From Order'!$A88=COLUMNS($A88:H107), LEFT(INDEX(FILTER(H$1:H87, H$1:H87&lt;&gt;""""),COUNTA(FILTER(H$1:H87, H$1:H87&lt;&gt;""""))), LEN(INDEX(FILTER(H$1:H87, H$1:H87&lt;&gt;""""),COUNTA(FILTER(H$1:H87, H$1:H87&lt;&gt;""""))))-1), IF('To Order'!$A88=COLUMNS($A88:H107), H87&amp;RI"&amp;"GHT(INDIRECT(ADDRESS(ROW(H88)-1, 'From Order'!$A88)), 1), H87))"),"")</f>
        <v/>
      </c>
      <c r="I88" s="2" t="str">
        <f>IFERROR(__xludf.DUMMYFUNCTION("IF('From Order'!$A88=COLUMNS($A88:I107), LEFT(INDEX(FILTER(I$1:I87, I$1:I87&lt;&gt;""""),COUNTA(FILTER(I$1:I87, I$1:I87&lt;&gt;""""))), LEN(INDEX(FILTER(I$1:I87, I$1:I87&lt;&gt;""""),COUNTA(FILTER(I$1:I87, I$1:I87&lt;&gt;""""))))-1), IF('To Order'!$A88=COLUMNS($A88:I107), I87&amp;RI"&amp;"GHT(INDIRECT(ADDRESS(ROW(I88)-1, 'From Order'!$A88)), 1), I87))"),"")</f>
        <v/>
      </c>
    </row>
    <row r="89">
      <c r="A89" s="2" t="str">
        <f>IFERROR(__xludf.DUMMYFUNCTION("IF('From Order'!$A89=COLUMNS($A89:A108), LEFT(INDEX(FILTER(A$1:A88, A$1:A88&lt;&gt;""""),COUNTA(FILTER(A$1:A88, A$1:A88&lt;&gt;""""))), LEN(INDEX(FILTER(A$1:A88, A$1:A88&lt;&gt;""""),COUNTA(FILTER(A$1:A88, A$1:A88&lt;&gt;""""))))-1), IF('To Order'!$A89=COLUMNS($A89:A108), A88&amp;RI"&amp;"GHT(INDIRECT(ADDRESS(ROW(A89)-1, 'From Order'!$A89)), 1), A88))"),"RB")</f>
        <v>RB</v>
      </c>
      <c r="B89" s="2" t="str">
        <f>IFERROR(__xludf.DUMMYFUNCTION("IF('From Order'!$A89=COLUMNS($A89:B108), LEFT(INDEX(FILTER(B$1:B88, B$1:B88&lt;&gt;""""),COUNTA(FILTER(B$1:B88, B$1:B88&lt;&gt;""""))), LEN(INDEX(FILTER(B$1:B88, B$1:B88&lt;&gt;""""),COUNTA(FILTER(B$1:B88, B$1:B88&lt;&gt;""""))))-1), IF('To Order'!$A89=COLUMNS($A89:B108), B88&amp;RI"&amp;"GHT(INDIRECT(ADDRESS(ROW(B89)-1, 'From Order'!$A89)), 1), B88))"),"SWRVSDPQ")</f>
        <v>SWRVSDPQ</v>
      </c>
      <c r="C89" s="2" t="str">
        <f>IFERROR(__xludf.DUMMYFUNCTION("IF('From Order'!$A89=COLUMNS($A89:C108), LEFT(INDEX(FILTER(C$1:C88, C$1:C88&lt;&gt;""""),COUNTA(FILTER(C$1:C88, C$1:C88&lt;&gt;""""))), LEN(INDEX(FILTER(C$1:C88, C$1:C88&lt;&gt;""""),COUNTA(FILTER(C$1:C88, C$1:C88&lt;&gt;""""))))-1), IF('To Order'!$A89=COLUMNS($A89:C108), C88&amp;RI"&amp;"GHT(INDIRECT(ADDRESS(ROW(C89)-1, 'From Order'!$A89)), 1), C88))"),"RZTRTFMJDG")</f>
        <v>RZTRTFMJDG</v>
      </c>
      <c r="D89" s="2" t="str">
        <f>IFERROR(__xludf.DUMMYFUNCTION("IF('From Order'!$A89=COLUMNS($A89:D108), LEFT(INDEX(FILTER(D$1:D88, D$1:D88&lt;&gt;""""),COUNTA(FILTER(D$1:D88, D$1:D88&lt;&gt;""""))), LEN(INDEX(FILTER(D$1:D88, D$1:D88&lt;&gt;""""),COUNTA(FILTER(D$1:D88, D$1:D88&lt;&gt;""""))))-1), IF('To Order'!$A89=COLUMNS($A89:D108), D88&amp;RI"&amp;"GHT(INDIRECT(ADDRESS(ROW(D89)-1, 'From Order'!$A89)), 1), D88))"),"DTCHSPVMZD")</f>
        <v>DTCHSPVMZD</v>
      </c>
      <c r="E89" s="2" t="str">
        <f>IFERROR(__xludf.DUMMYFUNCTION("IF('From Order'!$A89=COLUMNS($A89:E108), LEFT(INDEX(FILTER(E$1:E88, E$1:E88&lt;&gt;""""),COUNTA(FILTER(E$1:E88, E$1:E88&lt;&gt;""""))), LEN(INDEX(FILTER(E$1:E88, E$1:E88&lt;&gt;""""),COUNTA(FILTER(E$1:E88, E$1:E88&lt;&gt;""""))))-1), IF('To Order'!$A89=COLUMNS($A89:E108), E88&amp;RI"&amp;"GHT(INDIRECT(ADDRESS(ROW(E89)-1, 'From Order'!$A89)), 1), E88))"),"GPBSCLTD")</f>
        <v>GPBSCLTD</v>
      </c>
      <c r="F89" s="2" t="str">
        <f>IFERROR(__xludf.DUMMYFUNCTION("IF('From Order'!$A89=COLUMNS($A89:F108), LEFT(INDEX(FILTER(F$1:F88, F$1:F88&lt;&gt;""""),COUNTA(FILTER(F$1:F88, F$1:F88&lt;&gt;""""))), LEN(INDEX(FILTER(F$1:F88, F$1:F88&lt;&gt;""""),COUNTA(FILTER(F$1:F88, F$1:F88&lt;&gt;""""))))-1), IF('To Order'!$A89=COLUMNS($A89:F108), F88&amp;RI"&amp;"GHT(INDIRECT(ADDRESS(ROW(F89)-1, 'From Order'!$A89)), 1), F88))"),"FB")</f>
        <v>FB</v>
      </c>
      <c r="G89" s="2" t="str">
        <f>IFERROR(__xludf.DUMMYFUNCTION("IF('From Order'!$A89=COLUMNS($A89:G108), LEFT(INDEX(FILTER(G$1:G88, G$1:G88&lt;&gt;""""),COUNTA(FILTER(G$1:G88, G$1:G88&lt;&gt;""""))), LEN(INDEX(FILTER(G$1:G88, G$1:G88&lt;&gt;""""),COUNTA(FILTER(G$1:G88, G$1:G88&lt;&gt;""""))))-1), IF('To Order'!$A89=COLUMNS($A89:G108), G88&amp;RI"&amp;"GHT(INDIRECT(ADDRESS(ROW(G89)-1, 'From Order'!$A89)), 1), G88))"),"LWLJBRJZHTDCQMVT")</f>
        <v>LWLJBRJZHTDCQMVT</v>
      </c>
      <c r="H89" s="2" t="str">
        <f>IFERROR(__xludf.DUMMYFUNCTION("IF('From Order'!$A89=COLUMNS($A89:H108), LEFT(INDEX(FILTER(H$1:H88, H$1:H88&lt;&gt;""""),COUNTA(FILTER(H$1:H88, H$1:H88&lt;&gt;""""))), LEN(INDEX(FILTER(H$1:H88, H$1:H88&lt;&gt;""""),COUNTA(FILTER(H$1:H88, H$1:H88&lt;&gt;""""))))-1), IF('To Order'!$A89=COLUMNS($A89:H108), H88&amp;RI"&amp;"GHT(INDIRECT(ADDRESS(ROW(H89)-1, 'From Order'!$A89)), 1), H88))"),"")</f>
        <v/>
      </c>
      <c r="I89" s="2" t="str">
        <f>IFERROR(__xludf.DUMMYFUNCTION("IF('From Order'!$A89=COLUMNS($A89:I108), LEFT(INDEX(FILTER(I$1:I88, I$1:I88&lt;&gt;""""),COUNTA(FILTER(I$1:I88, I$1:I88&lt;&gt;""""))), LEN(INDEX(FILTER(I$1:I88, I$1:I88&lt;&gt;""""),COUNTA(FILTER(I$1:I88, I$1:I88&lt;&gt;""""))))-1), IF('To Order'!$A89=COLUMNS($A89:I108), I88&amp;RI"&amp;"GHT(INDIRECT(ADDRESS(ROW(I89)-1, 'From Order'!$A89)), 1), I88))"),"")</f>
        <v/>
      </c>
    </row>
    <row r="90">
      <c r="A90" s="2" t="str">
        <f>IFERROR(__xludf.DUMMYFUNCTION("IF('From Order'!$A90=COLUMNS($A90:A109), LEFT(INDEX(FILTER(A$1:A89, A$1:A89&lt;&gt;""""),COUNTA(FILTER(A$1:A89, A$1:A89&lt;&gt;""""))), LEN(INDEX(FILTER(A$1:A89, A$1:A89&lt;&gt;""""),COUNTA(FILTER(A$1:A89, A$1:A89&lt;&gt;""""))))-1), IF('To Order'!$A90=COLUMNS($A90:A109), A89&amp;RI"&amp;"GHT(INDIRECT(ADDRESS(ROW(A90)-1, 'From Order'!$A90)), 1), A89))"),"RB")</f>
        <v>RB</v>
      </c>
      <c r="B90" s="2" t="str">
        <f>IFERROR(__xludf.DUMMYFUNCTION("IF('From Order'!$A90=COLUMNS($A90:B109), LEFT(INDEX(FILTER(B$1:B89, B$1:B89&lt;&gt;""""),COUNTA(FILTER(B$1:B89, B$1:B89&lt;&gt;""""))), LEN(INDEX(FILTER(B$1:B89, B$1:B89&lt;&gt;""""),COUNTA(FILTER(B$1:B89, B$1:B89&lt;&gt;""""))))-1), IF('To Order'!$A90=COLUMNS($A90:B109), B89&amp;RI"&amp;"GHT(INDIRECT(ADDRESS(ROW(B90)-1, 'From Order'!$A90)), 1), B89))"),"SWRVSDPQ")</f>
        <v>SWRVSDPQ</v>
      </c>
      <c r="C90" s="2" t="str">
        <f>IFERROR(__xludf.DUMMYFUNCTION("IF('From Order'!$A90=COLUMNS($A90:C109), LEFT(INDEX(FILTER(C$1:C89, C$1:C89&lt;&gt;""""),COUNTA(FILTER(C$1:C89, C$1:C89&lt;&gt;""""))), LEN(INDEX(FILTER(C$1:C89, C$1:C89&lt;&gt;""""),COUNTA(FILTER(C$1:C89, C$1:C89&lt;&gt;""""))))-1), IF('To Order'!$A90=COLUMNS($A90:C109), C89&amp;RI"&amp;"GHT(INDIRECT(ADDRESS(ROW(C90)-1, 'From Order'!$A90)), 1), C89))"),"RZTRTFMJDG")</f>
        <v>RZTRTFMJDG</v>
      </c>
      <c r="D90" s="2" t="str">
        <f>IFERROR(__xludf.DUMMYFUNCTION("IF('From Order'!$A90=COLUMNS($A90:D109), LEFT(INDEX(FILTER(D$1:D89, D$1:D89&lt;&gt;""""),COUNTA(FILTER(D$1:D89, D$1:D89&lt;&gt;""""))), LEN(INDEX(FILTER(D$1:D89, D$1:D89&lt;&gt;""""),COUNTA(FILTER(D$1:D89, D$1:D89&lt;&gt;""""))))-1), IF('To Order'!$A90=COLUMNS($A90:D109), D89&amp;RI"&amp;"GHT(INDIRECT(ADDRESS(ROW(D90)-1, 'From Order'!$A90)), 1), D89))"),"DTCHSPVMZDD")</f>
        <v>DTCHSPVMZDD</v>
      </c>
      <c r="E90" s="2" t="str">
        <f>IFERROR(__xludf.DUMMYFUNCTION("IF('From Order'!$A90=COLUMNS($A90:E109), LEFT(INDEX(FILTER(E$1:E89, E$1:E89&lt;&gt;""""),COUNTA(FILTER(E$1:E89, E$1:E89&lt;&gt;""""))), LEN(INDEX(FILTER(E$1:E89, E$1:E89&lt;&gt;""""),COUNTA(FILTER(E$1:E89, E$1:E89&lt;&gt;""""))))-1), IF('To Order'!$A90=COLUMNS($A90:E109), E89&amp;RI"&amp;"GHT(INDIRECT(ADDRESS(ROW(E90)-1, 'From Order'!$A90)), 1), E89))"),"GPBSCLT")</f>
        <v>GPBSCLT</v>
      </c>
      <c r="F90" s="2" t="str">
        <f>IFERROR(__xludf.DUMMYFUNCTION("IF('From Order'!$A90=COLUMNS($A90:F109), LEFT(INDEX(FILTER(F$1:F89, F$1:F89&lt;&gt;""""),COUNTA(FILTER(F$1:F89, F$1:F89&lt;&gt;""""))), LEN(INDEX(FILTER(F$1:F89, F$1:F89&lt;&gt;""""),COUNTA(FILTER(F$1:F89, F$1:F89&lt;&gt;""""))))-1), IF('To Order'!$A90=COLUMNS($A90:F109), F89&amp;RI"&amp;"GHT(INDIRECT(ADDRESS(ROW(F90)-1, 'From Order'!$A90)), 1), F89))"),"FB")</f>
        <v>FB</v>
      </c>
      <c r="G90" s="2" t="str">
        <f>IFERROR(__xludf.DUMMYFUNCTION("IF('From Order'!$A90=COLUMNS($A90:G109), LEFT(INDEX(FILTER(G$1:G89, G$1:G89&lt;&gt;""""),COUNTA(FILTER(G$1:G89, G$1:G89&lt;&gt;""""))), LEN(INDEX(FILTER(G$1:G89, G$1:G89&lt;&gt;""""),COUNTA(FILTER(G$1:G89, G$1:G89&lt;&gt;""""))))-1), IF('To Order'!$A90=COLUMNS($A90:G109), G89&amp;RI"&amp;"GHT(INDIRECT(ADDRESS(ROW(G90)-1, 'From Order'!$A90)), 1), G89))"),"LWLJBRJZHTDCQMVT")</f>
        <v>LWLJBRJZHTDCQMVT</v>
      </c>
      <c r="H90" s="2" t="str">
        <f>IFERROR(__xludf.DUMMYFUNCTION("IF('From Order'!$A90=COLUMNS($A90:H109), LEFT(INDEX(FILTER(H$1:H89, H$1:H89&lt;&gt;""""),COUNTA(FILTER(H$1:H89, H$1:H89&lt;&gt;""""))), LEN(INDEX(FILTER(H$1:H89, H$1:H89&lt;&gt;""""),COUNTA(FILTER(H$1:H89, H$1:H89&lt;&gt;""""))))-1), IF('To Order'!$A90=COLUMNS($A90:H109), H89&amp;RI"&amp;"GHT(INDIRECT(ADDRESS(ROW(H90)-1, 'From Order'!$A90)), 1), H89))"),"")</f>
        <v/>
      </c>
      <c r="I90" s="2" t="str">
        <f>IFERROR(__xludf.DUMMYFUNCTION("IF('From Order'!$A90=COLUMNS($A90:I109), LEFT(INDEX(FILTER(I$1:I89, I$1:I89&lt;&gt;""""),COUNTA(FILTER(I$1:I89, I$1:I89&lt;&gt;""""))), LEN(INDEX(FILTER(I$1:I89, I$1:I89&lt;&gt;""""),COUNTA(FILTER(I$1:I89, I$1:I89&lt;&gt;""""))))-1), IF('To Order'!$A90=COLUMNS($A90:I109), I89&amp;RI"&amp;"GHT(INDIRECT(ADDRESS(ROW(I90)-1, 'From Order'!$A90)), 1), I89))"),"")</f>
        <v/>
      </c>
    </row>
    <row r="91">
      <c r="A91" s="2" t="str">
        <f>IFERROR(__xludf.DUMMYFUNCTION("IF('From Order'!$A91=COLUMNS($A91:A110), LEFT(INDEX(FILTER(A$1:A90, A$1:A90&lt;&gt;""""),COUNTA(FILTER(A$1:A90, A$1:A90&lt;&gt;""""))), LEN(INDEX(FILTER(A$1:A90, A$1:A90&lt;&gt;""""),COUNTA(FILTER(A$1:A90, A$1:A90&lt;&gt;""""))))-1), IF('To Order'!$A91=COLUMNS($A91:A110), A90&amp;RI"&amp;"GHT(INDIRECT(ADDRESS(ROW(A91)-1, 'From Order'!$A91)), 1), A90))"),"RB")</f>
        <v>RB</v>
      </c>
      <c r="B91" s="2" t="str">
        <f>IFERROR(__xludf.DUMMYFUNCTION("IF('From Order'!$A91=COLUMNS($A91:B110), LEFT(INDEX(FILTER(B$1:B90, B$1:B90&lt;&gt;""""),COUNTA(FILTER(B$1:B90, B$1:B90&lt;&gt;""""))), LEN(INDEX(FILTER(B$1:B90, B$1:B90&lt;&gt;""""),COUNTA(FILTER(B$1:B90, B$1:B90&lt;&gt;""""))))-1), IF('To Order'!$A91=COLUMNS($A91:B110), B90&amp;RI"&amp;"GHT(INDIRECT(ADDRESS(ROW(B91)-1, 'From Order'!$A91)), 1), B90))"),"SWRVSDPQ")</f>
        <v>SWRVSDPQ</v>
      </c>
      <c r="C91" s="2" t="str">
        <f>IFERROR(__xludf.DUMMYFUNCTION("IF('From Order'!$A91=COLUMNS($A91:C110), LEFT(INDEX(FILTER(C$1:C90, C$1:C90&lt;&gt;""""),COUNTA(FILTER(C$1:C90, C$1:C90&lt;&gt;""""))), LEN(INDEX(FILTER(C$1:C90, C$1:C90&lt;&gt;""""),COUNTA(FILTER(C$1:C90, C$1:C90&lt;&gt;""""))))-1), IF('To Order'!$A91=COLUMNS($A91:C110), C90&amp;RI"&amp;"GHT(INDIRECT(ADDRESS(ROW(C91)-1, 'From Order'!$A91)), 1), C90))"),"RZTRTFMJDG")</f>
        <v>RZTRTFMJDG</v>
      </c>
      <c r="D91" s="2" t="str">
        <f>IFERROR(__xludf.DUMMYFUNCTION("IF('From Order'!$A91=COLUMNS($A91:D110), LEFT(INDEX(FILTER(D$1:D90, D$1:D90&lt;&gt;""""),COUNTA(FILTER(D$1:D90, D$1:D90&lt;&gt;""""))), LEN(INDEX(FILTER(D$1:D90, D$1:D90&lt;&gt;""""),COUNTA(FILTER(D$1:D90, D$1:D90&lt;&gt;""""))))-1), IF('To Order'!$A91=COLUMNS($A91:D110), D90&amp;RI"&amp;"GHT(INDIRECT(ADDRESS(ROW(D91)-1, 'From Order'!$A91)), 1), D90))"),"DTCHSPVMZDDT")</f>
        <v>DTCHSPVMZDDT</v>
      </c>
      <c r="E91" s="2" t="str">
        <f>IFERROR(__xludf.DUMMYFUNCTION("IF('From Order'!$A91=COLUMNS($A91:E110), LEFT(INDEX(FILTER(E$1:E90, E$1:E90&lt;&gt;""""),COUNTA(FILTER(E$1:E90, E$1:E90&lt;&gt;""""))), LEN(INDEX(FILTER(E$1:E90, E$1:E90&lt;&gt;""""),COUNTA(FILTER(E$1:E90, E$1:E90&lt;&gt;""""))))-1), IF('To Order'!$A91=COLUMNS($A91:E110), E90&amp;RI"&amp;"GHT(INDIRECT(ADDRESS(ROW(E91)-1, 'From Order'!$A91)), 1), E90))"),"GPBSCL")</f>
        <v>GPBSCL</v>
      </c>
      <c r="F91" s="2" t="str">
        <f>IFERROR(__xludf.DUMMYFUNCTION("IF('From Order'!$A91=COLUMNS($A91:F110), LEFT(INDEX(FILTER(F$1:F90, F$1:F90&lt;&gt;""""),COUNTA(FILTER(F$1:F90, F$1:F90&lt;&gt;""""))), LEN(INDEX(FILTER(F$1:F90, F$1:F90&lt;&gt;""""),COUNTA(FILTER(F$1:F90, F$1:F90&lt;&gt;""""))))-1), IF('To Order'!$A91=COLUMNS($A91:F110), F90&amp;RI"&amp;"GHT(INDIRECT(ADDRESS(ROW(F91)-1, 'From Order'!$A91)), 1), F90))"),"FB")</f>
        <v>FB</v>
      </c>
      <c r="G91" s="2" t="str">
        <f>IFERROR(__xludf.DUMMYFUNCTION("IF('From Order'!$A91=COLUMNS($A91:G110), LEFT(INDEX(FILTER(G$1:G90, G$1:G90&lt;&gt;""""),COUNTA(FILTER(G$1:G90, G$1:G90&lt;&gt;""""))), LEN(INDEX(FILTER(G$1:G90, G$1:G90&lt;&gt;""""),COUNTA(FILTER(G$1:G90, G$1:G90&lt;&gt;""""))))-1), IF('To Order'!$A91=COLUMNS($A91:G110), G90&amp;RI"&amp;"GHT(INDIRECT(ADDRESS(ROW(G91)-1, 'From Order'!$A91)), 1), G90))"),"LWLJBRJZHTDCQMVT")</f>
        <v>LWLJBRJZHTDCQMVT</v>
      </c>
      <c r="H91" s="2" t="str">
        <f>IFERROR(__xludf.DUMMYFUNCTION("IF('From Order'!$A91=COLUMNS($A91:H110), LEFT(INDEX(FILTER(H$1:H90, H$1:H90&lt;&gt;""""),COUNTA(FILTER(H$1:H90, H$1:H90&lt;&gt;""""))), LEN(INDEX(FILTER(H$1:H90, H$1:H90&lt;&gt;""""),COUNTA(FILTER(H$1:H90, H$1:H90&lt;&gt;""""))))-1), IF('To Order'!$A91=COLUMNS($A91:H110), H90&amp;RI"&amp;"GHT(INDIRECT(ADDRESS(ROW(H91)-1, 'From Order'!$A91)), 1), H90))"),"")</f>
        <v/>
      </c>
      <c r="I91" s="2" t="str">
        <f>IFERROR(__xludf.DUMMYFUNCTION("IF('From Order'!$A91=COLUMNS($A91:I110), LEFT(INDEX(FILTER(I$1:I90, I$1:I90&lt;&gt;""""),COUNTA(FILTER(I$1:I90, I$1:I90&lt;&gt;""""))), LEN(INDEX(FILTER(I$1:I90, I$1:I90&lt;&gt;""""),COUNTA(FILTER(I$1:I90, I$1:I90&lt;&gt;""""))))-1), IF('To Order'!$A91=COLUMNS($A91:I110), I90&amp;RI"&amp;"GHT(INDIRECT(ADDRESS(ROW(I91)-1, 'From Order'!$A91)), 1), I90))"),"")</f>
        <v/>
      </c>
    </row>
    <row r="92">
      <c r="A92" s="2" t="str">
        <f>IFERROR(__xludf.DUMMYFUNCTION("IF('From Order'!$A92=COLUMNS($A92:A111), LEFT(INDEX(FILTER(A$1:A91, A$1:A91&lt;&gt;""""),COUNTA(FILTER(A$1:A91, A$1:A91&lt;&gt;""""))), LEN(INDEX(FILTER(A$1:A91, A$1:A91&lt;&gt;""""),COUNTA(FILTER(A$1:A91, A$1:A91&lt;&gt;""""))))-1), IF('To Order'!$A92=COLUMNS($A92:A111), A91&amp;RI"&amp;"GHT(INDIRECT(ADDRESS(ROW(A92)-1, 'From Order'!$A92)), 1), A91))"),"RB")</f>
        <v>RB</v>
      </c>
      <c r="B92" s="2" t="str">
        <f>IFERROR(__xludf.DUMMYFUNCTION("IF('From Order'!$A92=COLUMNS($A92:B111), LEFT(INDEX(FILTER(B$1:B91, B$1:B91&lt;&gt;""""),COUNTA(FILTER(B$1:B91, B$1:B91&lt;&gt;""""))), LEN(INDEX(FILTER(B$1:B91, B$1:B91&lt;&gt;""""),COUNTA(FILTER(B$1:B91, B$1:B91&lt;&gt;""""))))-1), IF('To Order'!$A92=COLUMNS($A92:B111), B91&amp;RI"&amp;"GHT(INDIRECT(ADDRESS(ROW(B92)-1, 'From Order'!$A92)), 1), B91))"),"SWRVSDPQ")</f>
        <v>SWRVSDPQ</v>
      </c>
      <c r="C92" s="2" t="str">
        <f>IFERROR(__xludf.DUMMYFUNCTION("IF('From Order'!$A92=COLUMNS($A92:C111), LEFT(INDEX(FILTER(C$1:C91, C$1:C91&lt;&gt;""""),COUNTA(FILTER(C$1:C91, C$1:C91&lt;&gt;""""))), LEN(INDEX(FILTER(C$1:C91, C$1:C91&lt;&gt;""""),COUNTA(FILTER(C$1:C91, C$1:C91&lt;&gt;""""))))-1), IF('To Order'!$A92=COLUMNS($A92:C111), C91&amp;RI"&amp;"GHT(INDIRECT(ADDRESS(ROW(C92)-1, 'From Order'!$A92)), 1), C91))"),"RZTRTFMJDG")</f>
        <v>RZTRTFMJDG</v>
      </c>
      <c r="D92" s="2" t="str">
        <f>IFERROR(__xludf.DUMMYFUNCTION("IF('From Order'!$A92=COLUMNS($A92:D111), LEFT(INDEX(FILTER(D$1:D91, D$1:D91&lt;&gt;""""),COUNTA(FILTER(D$1:D91, D$1:D91&lt;&gt;""""))), LEN(INDEX(FILTER(D$1:D91, D$1:D91&lt;&gt;""""),COUNTA(FILTER(D$1:D91, D$1:D91&lt;&gt;""""))))-1), IF('To Order'!$A92=COLUMNS($A92:D111), D91&amp;RI"&amp;"GHT(INDIRECT(ADDRESS(ROW(D92)-1, 'From Order'!$A92)), 1), D91))"),"DTCHSPVMZDDTL")</f>
        <v>DTCHSPVMZDDTL</v>
      </c>
      <c r="E92" s="2" t="str">
        <f>IFERROR(__xludf.DUMMYFUNCTION("IF('From Order'!$A92=COLUMNS($A92:E111), LEFT(INDEX(FILTER(E$1:E91, E$1:E91&lt;&gt;""""),COUNTA(FILTER(E$1:E91, E$1:E91&lt;&gt;""""))), LEN(INDEX(FILTER(E$1:E91, E$1:E91&lt;&gt;""""),COUNTA(FILTER(E$1:E91, E$1:E91&lt;&gt;""""))))-1), IF('To Order'!$A92=COLUMNS($A92:E111), E91&amp;RI"&amp;"GHT(INDIRECT(ADDRESS(ROW(E92)-1, 'From Order'!$A92)), 1), E91))"),"GPBSC")</f>
        <v>GPBSC</v>
      </c>
      <c r="F92" s="2" t="str">
        <f>IFERROR(__xludf.DUMMYFUNCTION("IF('From Order'!$A92=COLUMNS($A92:F111), LEFT(INDEX(FILTER(F$1:F91, F$1:F91&lt;&gt;""""),COUNTA(FILTER(F$1:F91, F$1:F91&lt;&gt;""""))), LEN(INDEX(FILTER(F$1:F91, F$1:F91&lt;&gt;""""),COUNTA(FILTER(F$1:F91, F$1:F91&lt;&gt;""""))))-1), IF('To Order'!$A92=COLUMNS($A92:F111), F91&amp;RI"&amp;"GHT(INDIRECT(ADDRESS(ROW(F92)-1, 'From Order'!$A92)), 1), F91))"),"FB")</f>
        <v>FB</v>
      </c>
      <c r="G92" s="2" t="str">
        <f>IFERROR(__xludf.DUMMYFUNCTION("IF('From Order'!$A92=COLUMNS($A92:G111), LEFT(INDEX(FILTER(G$1:G91, G$1:G91&lt;&gt;""""),COUNTA(FILTER(G$1:G91, G$1:G91&lt;&gt;""""))), LEN(INDEX(FILTER(G$1:G91, G$1:G91&lt;&gt;""""),COUNTA(FILTER(G$1:G91, G$1:G91&lt;&gt;""""))))-1), IF('To Order'!$A92=COLUMNS($A92:G111), G91&amp;RI"&amp;"GHT(INDIRECT(ADDRESS(ROW(G92)-1, 'From Order'!$A92)), 1), G91))"),"LWLJBRJZHTDCQMVT")</f>
        <v>LWLJBRJZHTDCQMVT</v>
      </c>
      <c r="H92" s="2" t="str">
        <f>IFERROR(__xludf.DUMMYFUNCTION("IF('From Order'!$A92=COLUMNS($A92:H111), LEFT(INDEX(FILTER(H$1:H91, H$1:H91&lt;&gt;""""),COUNTA(FILTER(H$1:H91, H$1:H91&lt;&gt;""""))), LEN(INDEX(FILTER(H$1:H91, H$1:H91&lt;&gt;""""),COUNTA(FILTER(H$1:H91, H$1:H91&lt;&gt;""""))))-1), IF('To Order'!$A92=COLUMNS($A92:H111), H91&amp;RI"&amp;"GHT(INDIRECT(ADDRESS(ROW(H92)-1, 'From Order'!$A92)), 1), H91))"),"")</f>
        <v/>
      </c>
      <c r="I92" s="2" t="str">
        <f>IFERROR(__xludf.DUMMYFUNCTION("IF('From Order'!$A92=COLUMNS($A92:I111), LEFT(INDEX(FILTER(I$1:I91, I$1:I91&lt;&gt;""""),COUNTA(FILTER(I$1:I91, I$1:I91&lt;&gt;""""))), LEN(INDEX(FILTER(I$1:I91, I$1:I91&lt;&gt;""""),COUNTA(FILTER(I$1:I91, I$1:I91&lt;&gt;""""))))-1), IF('To Order'!$A92=COLUMNS($A92:I111), I91&amp;RI"&amp;"GHT(INDIRECT(ADDRESS(ROW(I92)-1, 'From Order'!$A92)), 1), I91))"),"")</f>
        <v/>
      </c>
    </row>
    <row r="93">
      <c r="A93" s="2" t="str">
        <f>IFERROR(__xludf.DUMMYFUNCTION("IF('From Order'!$A93=COLUMNS($A93:A112), LEFT(INDEX(FILTER(A$1:A92, A$1:A92&lt;&gt;""""),COUNTA(FILTER(A$1:A92, A$1:A92&lt;&gt;""""))), LEN(INDEX(FILTER(A$1:A92, A$1:A92&lt;&gt;""""),COUNTA(FILTER(A$1:A92, A$1:A92&lt;&gt;""""))))-1), IF('To Order'!$A93=COLUMNS($A93:A112), A92&amp;RI"&amp;"GHT(INDIRECT(ADDRESS(ROW(A93)-1, 'From Order'!$A93)), 1), A92))"),"RB")</f>
        <v>RB</v>
      </c>
      <c r="B93" s="2" t="str">
        <f>IFERROR(__xludf.DUMMYFUNCTION("IF('From Order'!$A93=COLUMNS($A93:B112), LEFT(INDEX(FILTER(B$1:B92, B$1:B92&lt;&gt;""""),COUNTA(FILTER(B$1:B92, B$1:B92&lt;&gt;""""))), LEN(INDEX(FILTER(B$1:B92, B$1:B92&lt;&gt;""""),COUNTA(FILTER(B$1:B92, B$1:B92&lt;&gt;""""))))-1), IF('To Order'!$A93=COLUMNS($A93:B112), B92&amp;RI"&amp;"GHT(INDIRECT(ADDRESS(ROW(B93)-1, 'From Order'!$A93)), 1), B92))"),"SWRVSDPQ")</f>
        <v>SWRVSDPQ</v>
      </c>
      <c r="C93" s="2" t="str">
        <f>IFERROR(__xludf.DUMMYFUNCTION("IF('From Order'!$A93=COLUMNS($A93:C112), LEFT(INDEX(FILTER(C$1:C92, C$1:C92&lt;&gt;""""),COUNTA(FILTER(C$1:C92, C$1:C92&lt;&gt;""""))), LEN(INDEX(FILTER(C$1:C92, C$1:C92&lt;&gt;""""),COUNTA(FILTER(C$1:C92, C$1:C92&lt;&gt;""""))))-1), IF('To Order'!$A93=COLUMNS($A93:C112), C92&amp;RI"&amp;"GHT(INDIRECT(ADDRESS(ROW(C93)-1, 'From Order'!$A93)), 1), C92))"),"RZTRTFMJDG")</f>
        <v>RZTRTFMJDG</v>
      </c>
      <c r="D93" s="2" t="str">
        <f>IFERROR(__xludf.DUMMYFUNCTION("IF('From Order'!$A93=COLUMNS($A93:D112), LEFT(INDEX(FILTER(D$1:D92, D$1:D92&lt;&gt;""""),COUNTA(FILTER(D$1:D92, D$1:D92&lt;&gt;""""))), LEN(INDEX(FILTER(D$1:D92, D$1:D92&lt;&gt;""""),COUNTA(FILTER(D$1:D92, D$1:D92&lt;&gt;""""))))-1), IF('To Order'!$A93=COLUMNS($A93:D112), D92&amp;RI"&amp;"GHT(INDIRECT(ADDRESS(ROW(D93)-1, 'From Order'!$A93)), 1), D92))"),"DTCHSPVMZDDTLC")</f>
        <v>DTCHSPVMZDDTLC</v>
      </c>
      <c r="E93" s="2" t="str">
        <f>IFERROR(__xludf.DUMMYFUNCTION("IF('From Order'!$A93=COLUMNS($A93:E112), LEFT(INDEX(FILTER(E$1:E92, E$1:E92&lt;&gt;""""),COUNTA(FILTER(E$1:E92, E$1:E92&lt;&gt;""""))), LEN(INDEX(FILTER(E$1:E92, E$1:E92&lt;&gt;""""),COUNTA(FILTER(E$1:E92, E$1:E92&lt;&gt;""""))))-1), IF('To Order'!$A93=COLUMNS($A93:E112), E92&amp;RI"&amp;"GHT(INDIRECT(ADDRESS(ROW(E93)-1, 'From Order'!$A93)), 1), E92))"),"GPBS")</f>
        <v>GPBS</v>
      </c>
      <c r="F93" s="2" t="str">
        <f>IFERROR(__xludf.DUMMYFUNCTION("IF('From Order'!$A93=COLUMNS($A93:F112), LEFT(INDEX(FILTER(F$1:F92, F$1:F92&lt;&gt;""""),COUNTA(FILTER(F$1:F92, F$1:F92&lt;&gt;""""))), LEN(INDEX(FILTER(F$1:F92, F$1:F92&lt;&gt;""""),COUNTA(FILTER(F$1:F92, F$1:F92&lt;&gt;""""))))-1), IF('To Order'!$A93=COLUMNS($A93:F112), F92&amp;RI"&amp;"GHT(INDIRECT(ADDRESS(ROW(F93)-1, 'From Order'!$A93)), 1), F92))"),"FB")</f>
        <v>FB</v>
      </c>
      <c r="G93" s="2" t="str">
        <f>IFERROR(__xludf.DUMMYFUNCTION("IF('From Order'!$A93=COLUMNS($A93:G112), LEFT(INDEX(FILTER(G$1:G92, G$1:G92&lt;&gt;""""),COUNTA(FILTER(G$1:G92, G$1:G92&lt;&gt;""""))), LEN(INDEX(FILTER(G$1:G92, G$1:G92&lt;&gt;""""),COUNTA(FILTER(G$1:G92, G$1:G92&lt;&gt;""""))))-1), IF('To Order'!$A93=COLUMNS($A93:G112), G92&amp;RI"&amp;"GHT(INDIRECT(ADDRESS(ROW(G93)-1, 'From Order'!$A93)), 1), G92))"),"LWLJBRJZHTDCQMVT")</f>
        <v>LWLJBRJZHTDCQMVT</v>
      </c>
      <c r="H93" s="2" t="str">
        <f>IFERROR(__xludf.DUMMYFUNCTION("IF('From Order'!$A93=COLUMNS($A93:H112), LEFT(INDEX(FILTER(H$1:H92, H$1:H92&lt;&gt;""""),COUNTA(FILTER(H$1:H92, H$1:H92&lt;&gt;""""))), LEN(INDEX(FILTER(H$1:H92, H$1:H92&lt;&gt;""""),COUNTA(FILTER(H$1:H92, H$1:H92&lt;&gt;""""))))-1), IF('To Order'!$A93=COLUMNS($A93:H112), H92&amp;RI"&amp;"GHT(INDIRECT(ADDRESS(ROW(H93)-1, 'From Order'!$A93)), 1), H92))"),"")</f>
        <v/>
      </c>
      <c r="I93" s="2" t="str">
        <f>IFERROR(__xludf.DUMMYFUNCTION("IF('From Order'!$A93=COLUMNS($A93:I112), LEFT(INDEX(FILTER(I$1:I92, I$1:I92&lt;&gt;""""),COUNTA(FILTER(I$1:I92, I$1:I92&lt;&gt;""""))), LEN(INDEX(FILTER(I$1:I92, I$1:I92&lt;&gt;""""),COUNTA(FILTER(I$1:I92, I$1:I92&lt;&gt;""""))))-1), IF('To Order'!$A93=COLUMNS($A93:I112), I92&amp;RI"&amp;"GHT(INDIRECT(ADDRESS(ROW(I93)-1, 'From Order'!$A93)), 1), I92))"),"")</f>
        <v/>
      </c>
    </row>
    <row r="94">
      <c r="A94" s="2" t="str">
        <f>IFERROR(__xludf.DUMMYFUNCTION("IF('From Order'!$A94=COLUMNS($A94:A113), LEFT(INDEX(FILTER(A$1:A93, A$1:A93&lt;&gt;""""),COUNTA(FILTER(A$1:A93, A$1:A93&lt;&gt;""""))), LEN(INDEX(FILTER(A$1:A93, A$1:A93&lt;&gt;""""),COUNTA(FILTER(A$1:A93, A$1:A93&lt;&gt;""""))))-1), IF('To Order'!$A94=COLUMNS($A94:A113), A93&amp;RI"&amp;"GHT(INDIRECT(ADDRESS(ROW(A94)-1, 'From Order'!$A94)), 1), A93))"),"R")</f>
        <v>R</v>
      </c>
      <c r="B94" s="2" t="str">
        <f>IFERROR(__xludf.DUMMYFUNCTION("IF('From Order'!$A94=COLUMNS($A94:B113), LEFT(INDEX(FILTER(B$1:B93, B$1:B93&lt;&gt;""""),COUNTA(FILTER(B$1:B93, B$1:B93&lt;&gt;""""))), LEN(INDEX(FILTER(B$1:B93, B$1:B93&lt;&gt;""""),COUNTA(FILTER(B$1:B93, B$1:B93&lt;&gt;""""))))-1), IF('To Order'!$A94=COLUMNS($A94:B113), B93&amp;RI"&amp;"GHT(INDIRECT(ADDRESS(ROW(B94)-1, 'From Order'!$A94)), 1), B93))"),"SWRVSDPQ")</f>
        <v>SWRVSDPQ</v>
      </c>
      <c r="C94" s="2" t="str">
        <f>IFERROR(__xludf.DUMMYFUNCTION("IF('From Order'!$A94=COLUMNS($A94:C113), LEFT(INDEX(FILTER(C$1:C93, C$1:C93&lt;&gt;""""),COUNTA(FILTER(C$1:C93, C$1:C93&lt;&gt;""""))), LEN(INDEX(FILTER(C$1:C93, C$1:C93&lt;&gt;""""),COUNTA(FILTER(C$1:C93, C$1:C93&lt;&gt;""""))))-1), IF('To Order'!$A94=COLUMNS($A94:C113), C93&amp;RI"&amp;"GHT(INDIRECT(ADDRESS(ROW(C94)-1, 'From Order'!$A94)), 1), C93))"),"RZTRTFMJDG")</f>
        <v>RZTRTFMJDG</v>
      </c>
      <c r="D94" s="2" t="str">
        <f>IFERROR(__xludf.DUMMYFUNCTION("IF('From Order'!$A94=COLUMNS($A94:D113), LEFT(INDEX(FILTER(D$1:D93, D$1:D93&lt;&gt;""""),COUNTA(FILTER(D$1:D93, D$1:D93&lt;&gt;""""))), LEN(INDEX(FILTER(D$1:D93, D$1:D93&lt;&gt;""""),COUNTA(FILTER(D$1:D93, D$1:D93&lt;&gt;""""))))-1), IF('To Order'!$A94=COLUMNS($A94:D113), D93&amp;RI"&amp;"GHT(INDIRECT(ADDRESS(ROW(D94)-1, 'From Order'!$A94)), 1), D93))"),"DTCHSPVMZDDTLCB")</f>
        <v>DTCHSPVMZDDTLCB</v>
      </c>
      <c r="E94" s="2" t="str">
        <f>IFERROR(__xludf.DUMMYFUNCTION("IF('From Order'!$A94=COLUMNS($A94:E113), LEFT(INDEX(FILTER(E$1:E93, E$1:E93&lt;&gt;""""),COUNTA(FILTER(E$1:E93, E$1:E93&lt;&gt;""""))), LEN(INDEX(FILTER(E$1:E93, E$1:E93&lt;&gt;""""),COUNTA(FILTER(E$1:E93, E$1:E93&lt;&gt;""""))))-1), IF('To Order'!$A94=COLUMNS($A94:E113), E93&amp;RI"&amp;"GHT(INDIRECT(ADDRESS(ROW(E94)-1, 'From Order'!$A94)), 1), E93))"),"GPBS")</f>
        <v>GPBS</v>
      </c>
      <c r="F94" s="2" t="str">
        <f>IFERROR(__xludf.DUMMYFUNCTION("IF('From Order'!$A94=COLUMNS($A94:F113), LEFT(INDEX(FILTER(F$1:F93, F$1:F93&lt;&gt;""""),COUNTA(FILTER(F$1:F93, F$1:F93&lt;&gt;""""))), LEN(INDEX(FILTER(F$1:F93, F$1:F93&lt;&gt;""""),COUNTA(FILTER(F$1:F93, F$1:F93&lt;&gt;""""))))-1), IF('To Order'!$A94=COLUMNS($A94:F113), F93&amp;RI"&amp;"GHT(INDIRECT(ADDRESS(ROW(F94)-1, 'From Order'!$A94)), 1), F93))"),"FB")</f>
        <v>FB</v>
      </c>
      <c r="G94" s="2" t="str">
        <f>IFERROR(__xludf.DUMMYFUNCTION("IF('From Order'!$A94=COLUMNS($A94:G113), LEFT(INDEX(FILTER(G$1:G93, G$1:G93&lt;&gt;""""),COUNTA(FILTER(G$1:G93, G$1:G93&lt;&gt;""""))), LEN(INDEX(FILTER(G$1:G93, G$1:G93&lt;&gt;""""),COUNTA(FILTER(G$1:G93, G$1:G93&lt;&gt;""""))))-1), IF('To Order'!$A94=COLUMNS($A94:G113), G93&amp;RI"&amp;"GHT(INDIRECT(ADDRESS(ROW(G94)-1, 'From Order'!$A94)), 1), G93))"),"LWLJBRJZHTDCQMVT")</f>
        <v>LWLJBRJZHTDCQMVT</v>
      </c>
      <c r="H94" s="2" t="str">
        <f>IFERROR(__xludf.DUMMYFUNCTION("IF('From Order'!$A94=COLUMNS($A94:H113), LEFT(INDEX(FILTER(H$1:H93, H$1:H93&lt;&gt;""""),COUNTA(FILTER(H$1:H93, H$1:H93&lt;&gt;""""))), LEN(INDEX(FILTER(H$1:H93, H$1:H93&lt;&gt;""""),COUNTA(FILTER(H$1:H93, H$1:H93&lt;&gt;""""))))-1), IF('To Order'!$A94=COLUMNS($A94:H113), H93&amp;RI"&amp;"GHT(INDIRECT(ADDRESS(ROW(H94)-1, 'From Order'!$A94)), 1), H93))"),"")</f>
        <v/>
      </c>
      <c r="I94" s="2" t="str">
        <f>IFERROR(__xludf.DUMMYFUNCTION("IF('From Order'!$A94=COLUMNS($A94:I113), LEFT(INDEX(FILTER(I$1:I93, I$1:I93&lt;&gt;""""),COUNTA(FILTER(I$1:I93, I$1:I93&lt;&gt;""""))), LEN(INDEX(FILTER(I$1:I93, I$1:I93&lt;&gt;""""),COUNTA(FILTER(I$1:I93, I$1:I93&lt;&gt;""""))))-1), IF('To Order'!$A94=COLUMNS($A94:I113), I93&amp;RI"&amp;"GHT(INDIRECT(ADDRESS(ROW(I94)-1, 'From Order'!$A94)), 1), I93))"),"")</f>
        <v/>
      </c>
    </row>
    <row r="95">
      <c r="A95" s="2" t="str">
        <f>IFERROR(__xludf.DUMMYFUNCTION("IF('From Order'!$A95=COLUMNS($A95:A114), LEFT(INDEX(FILTER(A$1:A94, A$1:A94&lt;&gt;""""),COUNTA(FILTER(A$1:A94, A$1:A94&lt;&gt;""""))), LEN(INDEX(FILTER(A$1:A94, A$1:A94&lt;&gt;""""),COUNTA(FILTER(A$1:A94, A$1:A94&lt;&gt;""""))))-1), IF('To Order'!$A95=COLUMNS($A95:A114), A94&amp;RI"&amp;"GHT(INDIRECT(ADDRESS(ROW(A95)-1, 'From Order'!$A95)), 1), A94))"),"")</f>
        <v/>
      </c>
      <c r="B95" s="2" t="str">
        <f>IFERROR(__xludf.DUMMYFUNCTION("IF('From Order'!$A95=COLUMNS($A95:B114), LEFT(INDEX(FILTER(B$1:B94, B$1:B94&lt;&gt;""""),COUNTA(FILTER(B$1:B94, B$1:B94&lt;&gt;""""))), LEN(INDEX(FILTER(B$1:B94, B$1:B94&lt;&gt;""""),COUNTA(FILTER(B$1:B94, B$1:B94&lt;&gt;""""))))-1), IF('To Order'!$A95=COLUMNS($A95:B114), B94&amp;RI"&amp;"GHT(INDIRECT(ADDRESS(ROW(B95)-1, 'From Order'!$A95)), 1), B94))"),"SWRVSDPQ")</f>
        <v>SWRVSDPQ</v>
      </c>
      <c r="C95" s="2" t="str">
        <f>IFERROR(__xludf.DUMMYFUNCTION("IF('From Order'!$A95=COLUMNS($A95:C114), LEFT(INDEX(FILTER(C$1:C94, C$1:C94&lt;&gt;""""),COUNTA(FILTER(C$1:C94, C$1:C94&lt;&gt;""""))), LEN(INDEX(FILTER(C$1:C94, C$1:C94&lt;&gt;""""),COUNTA(FILTER(C$1:C94, C$1:C94&lt;&gt;""""))))-1), IF('To Order'!$A95=COLUMNS($A95:C114), C94&amp;RI"&amp;"GHT(INDIRECT(ADDRESS(ROW(C95)-1, 'From Order'!$A95)), 1), C94))"),"RZTRTFMJDG")</f>
        <v>RZTRTFMJDG</v>
      </c>
      <c r="D95" s="2" t="str">
        <f>IFERROR(__xludf.DUMMYFUNCTION("IF('From Order'!$A95=COLUMNS($A95:D114), LEFT(INDEX(FILTER(D$1:D94, D$1:D94&lt;&gt;""""),COUNTA(FILTER(D$1:D94, D$1:D94&lt;&gt;""""))), LEN(INDEX(FILTER(D$1:D94, D$1:D94&lt;&gt;""""),COUNTA(FILTER(D$1:D94, D$1:D94&lt;&gt;""""))))-1), IF('To Order'!$A95=COLUMNS($A95:D114), D94&amp;RI"&amp;"GHT(INDIRECT(ADDRESS(ROW(D95)-1, 'From Order'!$A95)), 1), D94))"),"DTCHSPVMZDDTLCBR")</f>
        <v>DTCHSPVMZDDTLCBR</v>
      </c>
      <c r="E95" s="2" t="str">
        <f>IFERROR(__xludf.DUMMYFUNCTION("IF('From Order'!$A95=COLUMNS($A95:E114), LEFT(INDEX(FILTER(E$1:E94, E$1:E94&lt;&gt;""""),COUNTA(FILTER(E$1:E94, E$1:E94&lt;&gt;""""))), LEN(INDEX(FILTER(E$1:E94, E$1:E94&lt;&gt;""""),COUNTA(FILTER(E$1:E94, E$1:E94&lt;&gt;""""))))-1), IF('To Order'!$A95=COLUMNS($A95:E114), E94&amp;RI"&amp;"GHT(INDIRECT(ADDRESS(ROW(E95)-1, 'From Order'!$A95)), 1), E94))"),"GPBS")</f>
        <v>GPBS</v>
      </c>
      <c r="F95" s="2" t="str">
        <f>IFERROR(__xludf.DUMMYFUNCTION("IF('From Order'!$A95=COLUMNS($A95:F114), LEFT(INDEX(FILTER(F$1:F94, F$1:F94&lt;&gt;""""),COUNTA(FILTER(F$1:F94, F$1:F94&lt;&gt;""""))), LEN(INDEX(FILTER(F$1:F94, F$1:F94&lt;&gt;""""),COUNTA(FILTER(F$1:F94, F$1:F94&lt;&gt;""""))))-1), IF('To Order'!$A95=COLUMNS($A95:F114), F94&amp;RI"&amp;"GHT(INDIRECT(ADDRESS(ROW(F95)-1, 'From Order'!$A95)), 1), F94))"),"FB")</f>
        <v>FB</v>
      </c>
      <c r="G95" s="2" t="str">
        <f>IFERROR(__xludf.DUMMYFUNCTION("IF('From Order'!$A95=COLUMNS($A95:G114), LEFT(INDEX(FILTER(G$1:G94, G$1:G94&lt;&gt;""""),COUNTA(FILTER(G$1:G94, G$1:G94&lt;&gt;""""))), LEN(INDEX(FILTER(G$1:G94, G$1:G94&lt;&gt;""""),COUNTA(FILTER(G$1:G94, G$1:G94&lt;&gt;""""))))-1), IF('To Order'!$A95=COLUMNS($A95:G114), G94&amp;RI"&amp;"GHT(INDIRECT(ADDRESS(ROW(G95)-1, 'From Order'!$A95)), 1), G94))"),"LWLJBRJZHTDCQMVT")</f>
        <v>LWLJBRJZHTDCQMVT</v>
      </c>
      <c r="H95" s="2" t="str">
        <f>IFERROR(__xludf.DUMMYFUNCTION("IF('From Order'!$A95=COLUMNS($A95:H114), LEFT(INDEX(FILTER(H$1:H94, H$1:H94&lt;&gt;""""),COUNTA(FILTER(H$1:H94, H$1:H94&lt;&gt;""""))), LEN(INDEX(FILTER(H$1:H94, H$1:H94&lt;&gt;""""),COUNTA(FILTER(H$1:H94, H$1:H94&lt;&gt;""""))))-1), IF('To Order'!$A95=COLUMNS($A95:H114), H94&amp;RI"&amp;"GHT(INDIRECT(ADDRESS(ROW(H95)-1, 'From Order'!$A95)), 1), H94))"),"")</f>
        <v/>
      </c>
      <c r="I95" s="2" t="str">
        <f>IFERROR(__xludf.DUMMYFUNCTION("IF('From Order'!$A95=COLUMNS($A95:I114), LEFT(INDEX(FILTER(I$1:I94, I$1:I94&lt;&gt;""""),COUNTA(FILTER(I$1:I94, I$1:I94&lt;&gt;""""))), LEN(INDEX(FILTER(I$1:I94, I$1:I94&lt;&gt;""""),COUNTA(FILTER(I$1:I94, I$1:I94&lt;&gt;""""))))-1), IF('To Order'!$A95=COLUMNS($A95:I114), I94&amp;RI"&amp;"GHT(INDIRECT(ADDRESS(ROW(I95)-1, 'From Order'!$A95)), 1), I94))"),"")</f>
        <v/>
      </c>
    </row>
    <row r="96">
      <c r="A96" s="2" t="str">
        <f>IFERROR(__xludf.DUMMYFUNCTION("IF('From Order'!$A96=COLUMNS($A96:A115), LEFT(INDEX(FILTER(A$1:A95, A$1:A95&lt;&gt;""""),COUNTA(FILTER(A$1:A95, A$1:A95&lt;&gt;""""))), LEN(INDEX(FILTER(A$1:A95, A$1:A95&lt;&gt;""""),COUNTA(FILTER(A$1:A95, A$1:A95&lt;&gt;""""))))-1), IF('To Order'!$A96=COLUMNS($A96:A115), A95&amp;RI"&amp;"GHT(INDIRECT(ADDRESS(ROW(A96)-1, 'From Order'!$A96)), 1), A95))"),"")</f>
        <v/>
      </c>
      <c r="B96" s="2" t="str">
        <f>IFERROR(__xludf.DUMMYFUNCTION("IF('From Order'!$A96=COLUMNS($A96:B115), LEFT(INDEX(FILTER(B$1:B95, B$1:B95&lt;&gt;""""),COUNTA(FILTER(B$1:B95, B$1:B95&lt;&gt;""""))), LEN(INDEX(FILTER(B$1:B95, B$1:B95&lt;&gt;""""),COUNTA(FILTER(B$1:B95, B$1:B95&lt;&gt;""""))))-1), IF('To Order'!$A96=COLUMNS($A96:B115), B95&amp;RI"&amp;"GHT(INDIRECT(ADDRESS(ROW(B96)-1, 'From Order'!$A96)), 1), B95))"),"SWRVSDPQ")</f>
        <v>SWRVSDPQ</v>
      </c>
      <c r="C96" s="2" t="str">
        <f>IFERROR(__xludf.DUMMYFUNCTION("IF('From Order'!$A96=COLUMNS($A96:C115), LEFT(INDEX(FILTER(C$1:C95, C$1:C95&lt;&gt;""""),COUNTA(FILTER(C$1:C95, C$1:C95&lt;&gt;""""))), LEN(INDEX(FILTER(C$1:C95, C$1:C95&lt;&gt;""""),COUNTA(FILTER(C$1:C95, C$1:C95&lt;&gt;""""))))-1), IF('To Order'!$A96=COLUMNS($A96:C115), C95&amp;RI"&amp;"GHT(INDIRECT(ADDRESS(ROW(C96)-1, 'From Order'!$A96)), 1), C95))"),"RZTRTFMJDG")</f>
        <v>RZTRTFMJDG</v>
      </c>
      <c r="D96" s="2" t="str">
        <f>IFERROR(__xludf.DUMMYFUNCTION("IF('From Order'!$A96=COLUMNS($A96:D115), LEFT(INDEX(FILTER(D$1:D95, D$1:D95&lt;&gt;""""),COUNTA(FILTER(D$1:D95, D$1:D95&lt;&gt;""""))), LEN(INDEX(FILTER(D$1:D95, D$1:D95&lt;&gt;""""),COUNTA(FILTER(D$1:D95, D$1:D95&lt;&gt;""""))))-1), IF('To Order'!$A96=COLUMNS($A96:D115), D95&amp;RI"&amp;"GHT(INDIRECT(ADDRESS(ROW(D96)-1, 'From Order'!$A96)), 1), D95))"),"DTCHSPVMZDDTLCBR")</f>
        <v>DTCHSPVMZDDTLCBR</v>
      </c>
      <c r="E96" s="2" t="str">
        <f>IFERROR(__xludf.DUMMYFUNCTION("IF('From Order'!$A96=COLUMNS($A96:E115), LEFT(INDEX(FILTER(E$1:E95, E$1:E95&lt;&gt;""""),COUNTA(FILTER(E$1:E95, E$1:E95&lt;&gt;""""))), LEN(INDEX(FILTER(E$1:E95, E$1:E95&lt;&gt;""""),COUNTA(FILTER(E$1:E95, E$1:E95&lt;&gt;""""))))-1), IF('To Order'!$A96=COLUMNS($A96:E115), E95&amp;RI"&amp;"GHT(INDIRECT(ADDRESS(ROW(E96)-1, 'From Order'!$A96)), 1), E95))"),"GPBS")</f>
        <v>GPBS</v>
      </c>
      <c r="F96" s="2" t="str">
        <f>IFERROR(__xludf.DUMMYFUNCTION("IF('From Order'!$A96=COLUMNS($A96:F115), LEFT(INDEX(FILTER(F$1:F95, F$1:F95&lt;&gt;""""),COUNTA(FILTER(F$1:F95, F$1:F95&lt;&gt;""""))), LEN(INDEX(FILTER(F$1:F95, F$1:F95&lt;&gt;""""),COUNTA(FILTER(F$1:F95, F$1:F95&lt;&gt;""""))))-1), IF('To Order'!$A96=COLUMNS($A96:F115), F95&amp;RI"&amp;"GHT(INDIRECT(ADDRESS(ROW(F96)-1, 'From Order'!$A96)), 1), F95))"),"FB")</f>
        <v>FB</v>
      </c>
      <c r="G96" s="2" t="str">
        <f>IFERROR(__xludf.DUMMYFUNCTION("IF('From Order'!$A96=COLUMNS($A96:G115), LEFT(INDEX(FILTER(G$1:G95, G$1:G95&lt;&gt;""""),COUNTA(FILTER(G$1:G95, G$1:G95&lt;&gt;""""))), LEN(INDEX(FILTER(G$1:G95, G$1:G95&lt;&gt;""""),COUNTA(FILTER(G$1:G95, G$1:G95&lt;&gt;""""))))-1), IF('To Order'!$A96=COLUMNS($A96:G115), G95&amp;RI"&amp;"GHT(INDIRECT(ADDRESS(ROW(G96)-1, 'From Order'!$A96)), 1), G95))"),"LWLJBRJZHTDCQMV")</f>
        <v>LWLJBRJZHTDCQMV</v>
      </c>
      <c r="H96" s="2" t="str">
        <f>IFERROR(__xludf.DUMMYFUNCTION("IF('From Order'!$A96=COLUMNS($A96:H115), LEFT(INDEX(FILTER(H$1:H95, H$1:H95&lt;&gt;""""),COUNTA(FILTER(H$1:H95, H$1:H95&lt;&gt;""""))), LEN(INDEX(FILTER(H$1:H95, H$1:H95&lt;&gt;""""),COUNTA(FILTER(H$1:H95, H$1:H95&lt;&gt;""""))))-1), IF('To Order'!$A96=COLUMNS($A96:H115), H95&amp;RI"&amp;"GHT(INDIRECT(ADDRESS(ROW(H96)-1, 'From Order'!$A96)), 1), H95))"),"T")</f>
        <v>T</v>
      </c>
      <c r="I96" s="2" t="str">
        <f>IFERROR(__xludf.DUMMYFUNCTION("IF('From Order'!$A96=COLUMNS($A96:I115), LEFT(INDEX(FILTER(I$1:I95, I$1:I95&lt;&gt;""""),COUNTA(FILTER(I$1:I95, I$1:I95&lt;&gt;""""))), LEN(INDEX(FILTER(I$1:I95, I$1:I95&lt;&gt;""""),COUNTA(FILTER(I$1:I95, I$1:I95&lt;&gt;""""))))-1), IF('To Order'!$A96=COLUMNS($A96:I115), I95&amp;RI"&amp;"GHT(INDIRECT(ADDRESS(ROW(I96)-1, 'From Order'!$A96)), 1), I95))"),"")</f>
        <v/>
      </c>
    </row>
    <row r="97">
      <c r="A97" s="2" t="str">
        <f>IFERROR(__xludf.DUMMYFUNCTION("IF('From Order'!$A97=COLUMNS($A97:A116), LEFT(INDEX(FILTER(A$1:A96, A$1:A96&lt;&gt;""""),COUNTA(FILTER(A$1:A96, A$1:A96&lt;&gt;""""))), LEN(INDEX(FILTER(A$1:A96, A$1:A96&lt;&gt;""""),COUNTA(FILTER(A$1:A96, A$1:A96&lt;&gt;""""))))-1), IF('To Order'!$A97=COLUMNS($A97:A116), A96&amp;RI"&amp;"GHT(INDIRECT(ADDRESS(ROW(A97)-1, 'From Order'!$A97)), 1), A96))"),"")</f>
        <v/>
      </c>
      <c r="B97" s="2" t="str">
        <f>IFERROR(__xludf.DUMMYFUNCTION("IF('From Order'!$A97=COLUMNS($A97:B116), LEFT(INDEX(FILTER(B$1:B96, B$1:B96&lt;&gt;""""),COUNTA(FILTER(B$1:B96, B$1:B96&lt;&gt;""""))), LEN(INDEX(FILTER(B$1:B96, B$1:B96&lt;&gt;""""),COUNTA(FILTER(B$1:B96, B$1:B96&lt;&gt;""""))))-1), IF('To Order'!$A97=COLUMNS($A97:B116), B96&amp;RI"&amp;"GHT(INDIRECT(ADDRESS(ROW(B97)-1, 'From Order'!$A97)), 1), B96))"),"SWRVSDPQ")</f>
        <v>SWRVSDPQ</v>
      </c>
      <c r="C97" s="2" t="str">
        <f>IFERROR(__xludf.DUMMYFUNCTION("IF('From Order'!$A97=COLUMNS($A97:C116), LEFT(INDEX(FILTER(C$1:C96, C$1:C96&lt;&gt;""""),COUNTA(FILTER(C$1:C96, C$1:C96&lt;&gt;""""))), LEN(INDEX(FILTER(C$1:C96, C$1:C96&lt;&gt;""""),COUNTA(FILTER(C$1:C96, C$1:C96&lt;&gt;""""))))-1), IF('To Order'!$A97=COLUMNS($A97:C116), C96&amp;RI"&amp;"GHT(INDIRECT(ADDRESS(ROW(C97)-1, 'From Order'!$A97)), 1), C96))"),"RZTRTFMJDG")</f>
        <v>RZTRTFMJDG</v>
      </c>
      <c r="D97" s="2" t="str">
        <f>IFERROR(__xludf.DUMMYFUNCTION("IF('From Order'!$A97=COLUMNS($A97:D116), LEFT(INDEX(FILTER(D$1:D96, D$1:D96&lt;&gt;""""),COUNTA(FILTER(D$1:D96, D$1:D96&lt;&gt;""""))), LEN(INDEX(FILTER(D$1:D96, D$1:D96&lt;&gt;""""),COUNTA(FILTER(D$1:D96, D$1:D96&lt;&gt;""""))))-1), IF('To Order'!$A97=COLUMNS($A97:D116), D96&amp;RI"&amp;"GHT(INDIRECT(ADDRESS(ROW(D97)-1, 'From Order'!$A97)), 1), D96))"),"DTCHSPVMZDDTLCBR")</f>
        <v>DTCHSPVMZDDTLCBR</v>
      </c>
      <c r="E97" s="2" t="str">
        <f>IFERROR(__xludf.DUMMYFUNCTION("IF('From Order'!$A97=COLUMNS($A97:E116), LEFT(INDEX(FILTER(E$1:E96, E$1:E96&lt;&gt;""""),COUNTA(FILTER(E$1:E96, E$1:E96&lt;&gt;""""))), LEN(INDEX(FILTER(E$1:E96, E$1:E96&lt;&gt;""""),COUNTA(FILTER(E$1:E96, E$1:E96&lt;&gt;""""))))-1), IF('To Order'!$A97=COLUMNS($A97:E116), E96&amp;RI"&amp;"GHT(INDIRECT(ADDRESS(ROW(E97)-1, 'From Order'!$A97)), 1), E96))"),"GPBS")</f>
        <v>GPBS</v>
      </c>
      <c r="F97" s="2" t="str">
        <f>IFERROR(__xludf.DUMMYFUNCTION("IF('From Order'!$A97=COLUMNS($A97:F116), LEFT(INDEX(FILTER(F$1:F96, F$1:F96&lt;&gt;""""),COUNTA(FILTER(F$1:F96, F$1:F96&lt;&gt;""""))), LEN(INDEX(FILTER(F$1:F96, F$1:F96&lt;&gt;""""),COUNTA(FILTER(F$1:F96, F$1:F96&lt;&gt;""""))))-1), IF('To Order'!$A97=COLUMNS($A97:F116), F96&amp;RI"&amp;"GHT(INDIRECT(ADDRESS(ROW(F97)-1, 'From Order'!$A97)), 1), F96))"),"FB")</f>
        <v>FB</v>
      </c>
      <c r="G97" s="2" t="str">
        <f>IFERROR(__xludf.DUMMYFUNCTION("IF('From Order'!$A97=COLUMNS($A97:G116), LEFT(INDEX(FILTER(G$1:G96, G$1:G96&lt;&gt;""""),COUNTA(FILTER(G$1:G96, G$1:G96&lt;&gt;""""))), LEN(INDEX(FILTER(G$1:G96, G$1:G96&lt;&gt;""""),COUNTA(FILTER(G$1:G96, G$1:G96&lt;&gt;""""))))-1), IF('To Order'!$A97=COLUMNS($A97:G116), G96&amp;RI"&amp;"GHT(INDIRECT(ADDRESS(ROW(G97)-1, 'From Order'!$A97)), 1), G96))"),"LWLJBRJZHTDCQM")</f>
        <v>LWLJBRJZHTDCQM</v>
      </c>
      <c r="H97" s="2" t="str">
        <f>IFERROR(__xludf.DUMMYFUNCTION("IF('From Order'!$A97=COLUMNS($A97:H116), LEFT(INDEX(FILTER(H$1:H96, H$1:H96&lt;&gt;""""),COUNTA(FILTER(H$1:H96, H$1:H96&lt;&gt;""""))), LEN(INDEX(FILTER(H$1:H96, H$1:H96&lt;&gt;""""),COUNTA(FILTER(H$1:H96, H$1:H96&lt;&gt;""""))))-1), IF('To Order'!$A97=COLUMNS($A97:H116), H96&amp;RI"&amp;"GHT(INDIRECT(ADDRESS(ROW(H97)-1, 'From Order'!$A97)), 1), H96))"),"TV")</f>
        <v>TV</v>
      </c>
      <c r="I97" s="2" t="str">
        <f>IFERROR(__xludf.DUMMYFUNCTION("IF('From Order'!$A97=COLUMNS($A97:I116), LEFT(INDEX(FILTER(I$1:I96, I$1:I96&lt;&gt;""""),COUNTA(FILTER(I$1:I96, I$1:I96&lt;&gt;""""))), LEN(INDEX(FILTER(I$1:I96, I$1:I96&lt;&gt;""""),COUNTA(FILTER(I$1:I96, I$1:I96&lt;&gt;""""))))-1), IF('To Order'!$A97=COLUMNS($A97:I116), I96&amp;RI"&amp;"GHT(INDIRECT(ADDRESS(ROW(I97)-1, 'From Order'!$A97)), 1), I96))"),"")</f>
        <v/>
      </c>
    </row>
    <row r="98">
      <c r="A98" s="2" t="str">
        <f>IFERROR(__xludf.DUMMYFUNCTION("IF('From Order'!$A98=COLUMNS($A98:A117), LEFT(INDEX(FILTER(A$1:A97, A$1:A97&lt;&gt;""""),COUNTA(FILTER(A$1:A97, A$1:A97&lt;&gt;""""))), LEN(INDEX(FILTER(A$1:A97, A$1:A97&lt;&gt;""""),COUNTA(FILTER(A$1:A97, A$1:A97&lt;&gt;""""))))-1), IF('To Order'!$A98=COLUMNS($A98:A117), A97&amp;RI"&amp;"GHT(INDIRECT(ADDRESS(ROW(A98)-1, 'From Order'!$A98)), 1), A97))"),"")</f>
        <v/>
      </c>
      <c r="B98" s="2" t="str">
        <f>IFERROR(__xludf.DUMMYFUNCTION("IF('From Order'!$A98=COLUMNS($A98:B117), LEFT(INDEX(FILTER(B$1:B97, B$1:B97&lt;&gt;""""),COUNTA(FILTER(B$1:B97, B$1:B97&lt;&gt;""""))), LEN(INDEX(FILTER(B$1:B97, B$1:B97&lt;&gt;""""),COUNTA(FILTER(B$1:B97, B$1:B97&lt;&gt;""""))))-1), IF('To Order'!$A98=COLUMNS($A98:B117), B97&amp;RI"&amp;"GHT(INDIRECT(ADDRESS(ROW(B98)-1, 'From Order'!$A98)), 1), B97))"),"SWRVSDPQ")</f>
        <v>SWRVSDPQ</v>
      </c>
      <c r="C98" s="2" t="str">
        <f>IFERROR(__xludf.DUMMYFUNCTION("IF('From Order'!$A98=COLUMNS($A98:C117), LEFT(INDEX(FILTER(C$1:C97, C$1:C97&lt;&gt;""""),COUNTA(FILTER(C$1:C97, C$1:C97&lt;&gt;""""))), LEN(INDEX(FILTER(C$1:C97, C$1:C97&lt;&gt;""""),COUNTA(FILTER(C$1:C97, C$1:C97&lt;&gt;""""))))-1), IF('To Order'!$A98=COLUMNS($A98:C117), C97&amp;RI"&amp;"GHT(INDIRECT(ADDRESS(ROW(C98)-1, 'From Order'!$A98)), 1), C97))"),"RZTRTFMJDG")</f>
        <v>RZTRTFMJDG</v>
      </c>
      <c r="D98" s="2" t="str">
        <f>IFERROR(__xludf.DUMMYFUNCTION("IF('From Order'!$A98=COLUMNS($A98:D117), LEFT(INDEX(FILTER(D$1:D97, D$1:D97&lt;&gt;""""),COUNTA(FILTER(D$1:D97, D$1:D97&lt;&gt;""""))), LEN(INDEX(FILTER(D$1:D97, D$1:D97&lt;&gt;""""),COUNTA(FILTER(D$1:D97, D$1:D97&lt;&gt;""""))))-1), IF('To Order'!$A98=COLUMNS($A98:D117), D97&amp;RI"&amp;"GHT(INDIRECT(ADDRESS(ROW(D98)-1, 'From Order'!$A98)), 1), D97))"),"DTCHSPVMZDDTLCBR")</f>
        <v>DTCHSPVMZDDTLCBR</v>
      </c>
      <c r="E98" s="2" t="str">
        <f>IFERROR(__xludf.DUMMYFUNCTION("IF('From Order'!$A98=COLUMNS($A98:E117), LEFT(INDEX(FILTER(E$1:E97, E$1:E97&lt;&gt;""""),COUNTA(FILTER(E$1:E97, E$1:E97&lt;&gt;""""))), LEN(INDEX(FILTER(E$1:E97, E$1:E97&lt;&gt;""""),COUNTA(FILTER(E$1:E97, E$1:E97&lt;&gt;""""))))-1), IF('To Order'!$A98=COLUMNS($A98:E117), E97&amp;RI"&amp;"GHT(INDIRECT(ADDRESS(ROW(E98)-1, 'From Order'!$A98)), 1), E97))"),"GPBS")</f>
        <v>GPBS</v>
      </c>
      <c r="F98" s="2" t="str">
        <f>IFERROR(__xludf.DUMMYFUNCTION("IF('From Order'!$A98=COLUMNS($A98:F117), LEFT(INDEX(FILTER(F$1:F97, F$1:F97&lt;&gt;""""),COUNTA(FILTER(F$1:F97, F$1:F97&lt;&gt;""""))), LEN(INDEX(FILTER(F$1:F97, F$1:F97&lt;&gt;""""),COUNTA(FILTER(F$1:F97, F$1:F97&lt;&gt;""""))))-1), IF('To Order'!$A98=COLUMNS($A98:F117), F97&amp;RI"&amp;"GHT(INDIRECT(ADDRESS(ROW(F98)-1, 'From Order'!$A98)), 1), F97))"),"FB")</f>
        <v>FB</v>
      </c>
      <c r="G98" s="2" t="str">
        <f>IFERROR(__xludf.DUMMYFUNCTION("IF('From Order'!$A98=COLUMNS($A98:G117), LEFT(INDEX(FILTER(G$1:G97, G$1:G97&lt;&gt;""""),COUNTA(FILTER(G$1:G97, G$1:G97&lt;&gt;""""))), LEN(INDEX(FILTER(G$1:G97, G$1:G97&lt;&gt;""""),COUNTA(FILTER(G$1:G97, G$1:G97&lt;&gt;""""))))-1), IF('To Order'!$A98=COLUMNS($A98:G117), G97&amp;RI"&amp;"GHT(INDIRECT(ADDRESS(ROW(G98)-1, 'From Order'!$A98)), 1), G97))"),"LWLJBRJZHTDCQ")</f>
        <v>LWLJBRJZHTDCQ</v>
      </c>
      <c r="H98" s="2" t="str">
        <f>IFERROR(__xludf.DUMMYFUNCTION("IF('From Order'!$A98=COLUMNS($A98:H117), LEFT(INDEX(FILTER(H$1:H97, H$1:H97&lt;&gt;""""),COUNTA(FILTER(H$1:H97, H$1:H97&lt;&gt;""""))), LEN(INDEX(FILTER(H$1:H97, H$1:H97&lt;&gt;""""),COUNTA(FILTER(H$1:H97, H$1:H97&lt;&gt;""""))))-1), IF('To Order'!$A98=COLUMNS($A98:H117), H97&amp;RI"&amp;"GHT(INDIRECT(ADDRESS(ROW(H98)-1, 'From Order'!$A98)), 1), H97))"),"TVM")</f>
        <v>TVM</v>
      </c>
      <c r="I98" s="2" t="str">
        <f>IFERROR(__xludf.DUMMYFUNCTION("IF('From Order'!$A98=COLUMNS($A98:I117), LEFT(INDEX(FILTER(I$1:I97, I$1:I97&lt;&gt;""""),COUNTA(FILTER(I$1:I97, I$1:I97&lt;&gt;""""))), LEN(INDEX(FILTER(I$1:I97, I$1:I97&lt;&gt;""""),COUNTA(FILTER(I$1:I97, I$1:I97&lt;&gt;""""))))-1), IF('To Order'!$A98=COLUMNS($A98:I117), I97&amp;RI"&amp;"GHT(INDIRECT(ADDRESS(ROW(I98)-1, 'From Order'!$A98)), 1), I97))"),"")</f>
        <v/>
      </c>
    </row>
    <row r="99">
      <c r="A99" s="2" t="str">
        <f>IFERROR(__xludf.DUMMYFUNCTION("IF('From Order'!$A99=COLUMNS($A99:A118), LEFT(INDEX(FILTER(A$1:A98, A$1:A98&lt;&gt;""""),COUNTA(FILTER(A$1:A98, A$1:A98&lt;&gt;""""))), LEN(INDEX(FILTER(A$1:A98, A$1:A98&lt;&gt;""""),COUNTA(FILTER(A$1:A98, A$1:A98&lt;&gt;""""))))-1), IF('To Order'!$A99=COLUMNS($A99:A118), A98&amp;RI"&amp;"GHT(INDIRECT(ADDRESS(ROW(A99)-1, 'From Order'!$A99)), 1), A98))"),"")</f>
        <v/>
      </c>
      <c r="B99" s="2" t="str">
        <f>IFERROR(__xludf.DUMMYFUNCTION("IF('From Order'!$A99=COLUMNS($A99:B118), LEFT(INDEX(FILTER(B$1:B98, B$1:B98&lt;&gt;""""),COUNTA(FILTER(B$1:B98, B$1:B98&lt;&gt;""""))), LEN(INDEX(FILTER(B$1:B98, B$1:B98&lt;&gt;""""),COUNTA(FILTER(B$1:B98, B$1:B98&lt;&gt;""""))))-1), IF('To Order'!$A99=COLUMNS($A99:B118), B98&amp;RI"&amp;"GHT(INDIRECT(ADDRESS(ROW(B99)-1, 'From Order'!$A99)), 1), B98))"),"SWRVSDPQ")</f>
        <v>SWRVSDPQ</v>
      </c>
      <c r="C99" s="2" t="str">
        <f>IFERROR(__xludf.DUMMYFUNCTION("IF('From Order'!$A99=COLUMNS($A99:C118), LEFT(INDEX(FILTER(C$1:C98, C$1:C98&lt;&gt;""""),COUNTA(FILTER(C$1:C98, C$1:C98&lt;&gt;""""))), LEN(INDEX(FILTER(C$1:C98, C$1:C98&lt;&gt;""""),COUNTA(FILTER(C$1:C98, C$1:C98&lt;&gt;""""))))-1), IF('To Order'!$A99=COLUMNS($A99:C118), C98&amp;RI"&amp;"GHT(INDIRECT(ADDRESS(ROW(C99)-1, 'From Order'!$A99)), 1), C98))"),"RZTRTFMJDG")</f>
        <v>RZTRTFMJDG</v>
      </c>
      <c r="D99" s="2" t="str">
        <f>IFERROR(__xludf.DUMMYFUNCTION("IF('From Order'!$A99=COLUMNS($A99:D118), LEFT(INDEX(FILTER(D$1:D98, D$1:D98&lt;&gt;""""),COUNTA(FILTER(D$1:D98, D$1:D98&lt;&gt;""""))), LEN(INDEX(FILTER(D$1:D98, D$1:D98&lt;&gt;""""),COUNTA(FILTER(D$1:D98, D$1:D98&lt;&gt;""""))))-1), IF('To Order'!$A99=COLUMNS($A99:D118), D98&amp;RI"&amp;"GHT(INDIRECT(ADDRESS(ROW(D99)-1, 'From Order'!$A99)), 1), D98))"),"DTCHSPVMZDDTLCBR")</f>
        <v>DTCHSPVMZDDTLCBR</v>
      </c>
      <c r="E99" s="2" t="str">
        <f>IFERROR(__xludf.DUMMYFUNCTION("IF('From Order'!$A99=COLUMNS($A99:E118), LEFT(INDEX(FILTER(E$1:E98, E$1:E98&lt;&gt;""""),COUNTA(FILTER(E$1:E98, E$1:E98&lt;&gt;""""))), LEN(INDEX(FILTER(E$1:E98, E$1:E98&lt;&gt;""""),COUNTA(FILTER(E$1:E98, E$1:E98&lt;&gt;""""))))-1), IF('To Order'!$A99=COLUMNS($A99:E118), E98&amp;RI"&amp;"GHT(INDIRECT(ADDRESS(ROW(E99)-1, 'From Order'!$A99)), 1), E98))"),"GPBS")</f>
        <v>GPBS</v>
      </c>
      <c r="F99" s="2" t="str">
        <f>IFERROR(__xludf.DUMMYFUNCTION("IF('From Order'!$A99=COLUMNS($A99:F118), LEFT(INDEX(FILTER(F$1:F98, F$1:F98&lt;&gt;""""),COUNTA(FILTER(F$1:F98, F$1:F98&lt;&gt;""""))), LEN(INDEX(FILTER(F$1:F98, F$1:F98&lt;&gt;""""),COUNTA(FILTER(F$1:F98, F$1:F98&lt;&gt;""""))))-1), IF('To Order'!$A99=COLUMNS($A99:F118), F98&amp;RI"&amp;"GHT(INDIRECT(ADDRESS(ROW(F99)-1, 'From Order'!$A99)), 1), F98))"),"FB")</f>
        <v>FB</v>
      </c>
      <c r="G99" s="2" t="str">
        <f>IFERROR(__xludf.DUMMYFUNCTION("IF('From Order'!$A99=COLUMNS($A99:G118), LEFT(INDEX(FILTER(G$1:G98, G$1:G98&lt;&gt;""""),COUNTA(FILTER(G$1:G98, G$1:G98&lt;&gt;""""))), LEN(INDEX(FILTER(G$1:G98, G$1:G98&lt;&gt;""""),COUNTA(FILTER(G$1:G98, G$1:G98&lt;&gt;""""))))-1), IF('To Order'!$A99=COLUMNS($A99:G118), G98&amp;RI"&amp;"GHT(INDIRECT(ADDRESS(ROW(G99)-1, 'From Order'!$A99)), 1), G98))"),"LWLJBRJZHTDC")</f>
        <v>LWLJBRJZHTDC</v>
      </c>
      <c r="H99" s="2" t="str">
        <f>IFERROR(__xludf.DUMMYFUNCTION("IF('From Order'!$A99=COLUMNS($A99:H118), LEFT(INDEX(FILTER(H$1:H98, H$1:H98&lt;&gt;""""),COUNTA(FILTER(H$1:H98, H$1:H98&lt;&gt;""""))), LEN(INDEX(FILTER(H$1:H98, H$1:H98&lt;&gt;""""),COUNTA(FILTER(H$1:H98, H$1:H98&lt;&gt;""""))))-1), IF('To Order'!$A99=COLUMNS($A99:H118), H98&amp;RI"&amp;"GHT(INDIRECT(ADDRESS(ROW(H99)-1, 'From Order'!$A99)), 1), H98))"),"TVMQ")</f>
        <v>TVMQ</v>
      </c>
      <c r="I99" s="2" t="str">
        <f>IFERROR(__xludf.DUMMYFUNCTION("IF('From Order'!$A99=COLUMNS($A99:I118), LEFT(INDEX(FILTER(I$1:I98, I$1:I98&lt;&gt;""""),COUNTA(FILTER(I$1:I98, I$1:I98&lt;&gt;""""))), LEN(INDEX(FILTER(I$1:I98, I$1:I98&lt;&gt;""""),COUNTA(FILTER(I$1:I98, I$1:I98&lt;&gt;""""))))-1), IF('To Order'!$A99=COLUMNS($A99:I118), I98&amp;RI"&amp;"GHT(INDIRECT(ADDRESS(ROW(I99)-1, 'From Order'!$A99)), 1), I98))"),"")</f>
        <v/>
      </c>
    </row>
    <row r="100">
      <c r="A100" s="2" t="str">
        <f>IFERROR(__xludf.DUMMYFUNCTION("IF('From Order'!$A100=COLUMNS($A100:A119), LEFT(INDEX(FILTER(A$1:A99, A$1:A99&lt;&gt;""""),COUNTA(FILTER(A$1:A99, A$1:A99&lt;&gt;""""))), LEN(INDEX(FILTER(A$1:A99, A$1:A99&lt;&gt;""""),COUNTA(FILTER(A$1:A99, A$1:A99&lt;&gt;""""))))-1), IF('To Order'!$A100=COLUMNS($A100:A119), A9"&amp;"9&amp;RIGHT(INDIRECT(ADDRESS(ROW(A100)-1, 'From Order'!$A100)), 1), A99))"),"")</f>
        <v/>
      </c>
      <c r="B100" s="2" t="str">
        <f>IFERROR(__xludf.DUMMYFUNCTION("IF('From Order'!$A100=COLUMNS($A100:B119), LEFT(INDEX(FILTER(B$1:B99, B$1:B99&lt;&gt;""""),COUNTA(FILTER(B$1:B99, B$1:B99&lt;&gt;""""))), LEN(INDEX(FILTER(B$1:B99, B$1:B99&lt;&gt;""""),COUNTA(FILTER(B$1:B99, B$1:B99&lt;&gt;""""))))-1), IF('To Order'!$A100=COLUMNS($A100:B119), B9"&amp;"9&amp;RIGHT(INDIRECT(ADDRESS(ROW(B100)-1, 'From Order'!$A100)), 1), B99))"),"SWRVSDPQ")</f>
        <v>SWRVSDPQ</v>
      </c>
      <c r="C100" s="2" t="str">
        <f>IFERROR(__xludf.DUMMYFUNCTION("IF('From Order'!$A100=COLUMNS($A100:C119), LEFT(INDEX(FILTER(C$1:C99, C$1:C99&lt;&gt;""""),COUNTA(FILTER(C$1:C99, C$1:C99&lt;&gt;""""))), LEN(INDEX(FILTER(C$1:C99, C$1:C99&lt;&gt;""""),COUNTA(FILTER(C$1:C99, C$1:C99&lt;&gt;""""))))-1), IF('To Order'!$A100=COLUMNS($A100:C119), C9"&amp;"9&amp;RIGHT(INDIRECT(ADDRESS(ROW(C100)-1, 'From Order'!$A100)), 1), C99))"),"RZTRTFMJDG")</f>
        <v>RZTRTFMJDG</v>
      </c>
      <c r="D100" s="2" t="str">
        <f>IFERROR(__xludf.DUMMYFUNCTION("IF('From Order'!$A100=COLUMNS($A100:D119), LEFT(INDEX(FILTER(D$1:D99, D$1:D99&lt;&gt;""""),COUNTA(FILTER(D$1:D99, D$1:D99&lt;&gt;""""))), LEN(INDEX(FILTER(D$1:D99, D$1:D99&lt;&gt;""""),COUNTA(FILTER(D$1:D99, D$1:D99&lt;&gt;""""))))-1), IF('To Order'!$A100=COLUMNS($A100:D119), D9"&amp;"9&amp;RIGHT(INDIRECT(ADDRESS(ROW(D100)-1, 'From Order'!$A100)), 1), D99))"),"DTCHSPVMZDDTLCBR")</f>
        <v>DTCHSPVMZDDTLCBR</v>
      </c>
      <c r="E100" s="2" t="str">
        <f>IFERROR(__xludf.DUMMYFUNCTION("IF('From Order'!$A100=COLUMNS($A100:E119), LEFT(INDEX(FILTER(E$1:E99, E$1:E99&lt;&gt;""""),COUNTA(FILTER(E$1:E99, E$1:E99&lt;&gt;""""))), LEN(INDEX(FILTER(E$1:E99, E$1:E99&lt;&gt;""""),COUNTA(FILTER(E$1:E99, E$1:E99&lt;&gt;""""))))-1), IF('To Order'!$A100=COLUMNS($A100:E119), E9"&amp;"9&amp;RIGHT(INDIRECT(ADDRESS(ROW(E100)-1, 'From Order'!$A100)), 1), E99))"),"GPBS")</f>
        <v>GPBS</v>
      </c>
      <c r="F100" s="2" t="str">
        <f>IFERROR(__xludf.DUMMYFUNCTION("IF('From Order'!$A100=COLUMNS($A100:F119), LEFT(INDEX(FILTER(F$1:F99, F$1:F99&lt;&gt;""""),COUNTA(FILTER(F$1:F99, F$1:F99&lt;&gt;""""))), LEN(INDEX(FILTER(F$1:F99, F$1:F99&lt;&gt;""""),COUNTA(FILTER(F$1:F99, F$1:F99&lt;&gt;""""))))-1), IF('To Order'!$A100=COLUMNS($A100:F119), F9"&amp;"9&amp;RIGHT(INDIRECT(ADDRESS(ROW(F100)-1, 'From Order'!$A100)), 1), F99))"),"FB")</f>
        <v>FB</v>
      </c>
      <c r="G100" s="2" t="str">
        <f>IFERROR(__xludf.DUMMYFUNCTION("IF('From Order'!$A100=COLUMNS($A100:G119), LEFT(INDEX(FILTER(G$1:G99, G$1:G99&lt;&gt;""""),COUNTA(FILTER(G$1:G99, G$1:G99&lt;&gt;""""))), LEN(INDEX(FILTER(G$1:G99, G$1:G99&lt;&gt;""""),COUNTA(FILTER(G$1:G99, G$1:G99&lt;&gt;""""))))-1), IF('To Order'!$A100=COLUMNS($A100:G119), G9"&amp;"9&amp;RIGHT(INDIRECT(ADDRESS(ROW(G100)-1, 'From Order'!$A100)), 1), G99))"),"LWLJBRJZHTD")</f>
        <v>LWLJBRJZHTD</v>
      </c>
      <c r="H100" s="2" t="str">
        <f>IFERROR(__xludf.DUMMYFUNCTION("IF('From Order'!$A100=COLUMNS($A100:H119), LEFT(INDEX(FILTER(H$1:H99, H$1:H99&lt;&gt;""""),COUNTA(FILTER(H$1:H99, H$1:H99&lt;&gt;""""))), LEN(INDEX(FILTER(H$1:H99, H$1:H99&lt;&gt;""""),COUNTA(FILTER(H$1:H99, H$1:H99&lt;&gt;""""))))-1), IF('To Order'!$A100=COLUMNS($A100:H119), H9"&amp;"9&amp;RIGHT(INDIRECT(ADDRESS(ROW(H100)-1, 'From Order'!$A100)), 1), H99))"),"TVMQC")</f>
        <v>TVMQC</v>
      </c>
      <c r="I100" s="2" t="str">
        <f>IFERROR(__xludf.DUMMYFUNCTION("IF('From Order'!$A100=COLUMNS($A100:I119), LEFT(INDEX(FILTER(I$1:I99, I$1:I99&lt;&gt;""""),COUNTA(FILTER(I$1:I99, I$1:I99&lt;&gt;""""))), LEN(INDEX(FILTER(I$1:I99, I$1:I99&lt;&gt;""""),COUNTA(FILTER(I$1:I99, I$1:I99&lt;&gt;""""))))-1), IF('To Order'!$A100=COLUMNS($A100:I119), I9"&amp;"9&amp;RIGHT(INDIRECT(ADDRESS(ROW(I100)-1, 'From Order'!$A100)), 1), I99))"),"")</f>
        <v/>
      </c>
    </row>
    <row r="101">
      <c r="A101" s="2" t="str">
        <f>IFERROR(__xludf.DUMMYFUNCTION("IF('From Order'!$A101=COLUMNS($A101:A120), LEFT(INDEX(FILTER(A$1:A100, A$1:A100&lt;&gt;""""),COUNTA(FILTER(A$1:A100, A$1:A100&lt;&gt;""""))), LEN(INDEX(FILTER(A$1:A100, A$1:A100&lt;&gt;""""),COUNTA(FILTER(A$1:A100, A$1:A100&lt;&gt;""""))))-1), IF('To Order'!$A101=COLUMNS($A101:A"&amp;"120), A100&amp;RIGHT(INDIRECT(ADDRESS(ROW(A101)-1, 'From Order'!$A101)), 1), A100))"),"")</f>
        <v/>
      </c>
      <c r="B101" s="2" t="str">
        <f>IFERROR(__xludf.DUMMYFUNCTION("IF('From Order'!$A101=COLUMNS($A101:B120), LEFT(INDEX(FILTER(B$1:B100, B$1:B100&lt;&gt;""""),COUNTA(FILTER(B$1:B100, B$1:B100&lt;&gt;""""))), LEN(INDEX(FILTER(B$1:B100, B$1:B100&lt;&gt;""""),COUNTA(FILTER(B$1:B100, B$1:B100&lt;&gt;""""))))-1), IF('To Order'!$A101=COLUMNS($A101:B"&amp;"120), B100&amp;RIGHT(INDIRECT(ADDRESS(ROW(B101)-1, 'From Order'!$A101)), 1), B100))"),"SWRVSDPQ")</f>
        <v>SWRVSDPQ</v>
      </c>
      <c r="C101" s="2" t="str">
        <f>IFERROR(__xludf.DUMMYFUNCTION("IF('From Order'!$A101=COLUMNS($A101:C120), LEFT(INDEX(FILTER(C$1:C100, C$1:C100&lt;&gt;""""),COUNTA(FILTER(C$1:C100, C$1:C100&lt;&gt;""""))), LEN(INDEX(FILTER(C$1:C100, C$1:C100&lt;&gt;""""),COUNTA(FILTER(C$1:C100, C$1:C100&lt;&gt;""""))))-1), IF('To Order'!$A101=COLUMNS($A101:C"&amp;"120), C100&amp;RIGHT(INDIRECT(ADDRESS(ROW(C101)-1, 'From Order'!$A101)), 1), C100))"),"RZTRTFMJDG")</f>
        <v>RZTRTFMJDG</v>
      </c>
      <c r="D101" s="2" t="str">
        <f>IFERROR(__xludf.DUMMYFUNCTION("IF('From Order'!$A101=COLUMNS($A101:D120), LEFT(INDEX(FILTER(D$1:D100, D$1:D100&lt;&gt;""""),COUNTA(FILTER(D$1:D100, D$1:D100&lt;&gt;""""))), LEN(INDEX(FILTER(D$1:D100, D$1:D100&lt;&gt;""""),COUNTA(FILTER(D$1:D100, D$1:D100&lt;&gt;""""))))-1), IF('To Order'!$A101=COLUMNS($A101:D"&amp;"120), D100&amp;RIGHT(INDIRECT(ADDRESS(ROW(D101)-1, 'From Order'!$A101)), 1), D100))"),"DTCHSPVMZDDTLCBR")</f>
        <v>DTCHSPVMZDDTLCBR</v>
      </c>
      <c r="E101" s="2" t="str">
        <f>IFERROR(__xludf.DUMMYFUNCTION("IF('From Order'!$A101=COLUMNS($A101:E120), LEFT(INDEX(FILTER(E$1:E100, E$1:E100&lt;&gt;""""),COUNTA(FILTER(E$1:E100, E$1:E100&lt;&gt;""""))), LEN(INDEX(FILTER(E$1:E100, E$1:E100&lt;&gt;""""),COUNTA(FILTER(E$1:E100, E$1:E100&lt;&gt;""""))))-1), IF('To Order'!$A101=COLUMNS($A101:E"&amp;"120), E100&amp;RIGHT(INDIRECT(ADDRESS(ROW(E101)-1, 'From Order'!$A101)), 1), E100))"),"GPBS")</f>
        <v>GPBS</v>
      </c>
      <c r="F101" s="2" t="str">
        <f>IFERROR(__xludf.DUMMYFUNCTION("IF('From Order'!$A101=COLUMNS($A101:F120), LEFT(INDEX(FILTER(F$1:F100, F$1:F100&lt;&gt;""""),COUNTA(FILTER(F$1:F100, F$1:F100&lt;&gt;""""))), LEN(INDEX(FILTER(F$1:F100, F$1:F100&lt;&gt;""""),COUNTA(FILTER(F$1:F100, F$1:F100&lt;&gt;""""))))-1), IF('To Order'!$A101=COLUMNS($A101:F"&amp;"120), F100&amp;RIGHT(INDIRECT(ADDRESS(ROW(F101)-1, 'From Order'!$A101)), 1), F100))"),"FB")</f>
        <v>FB</v>
      </c>
      <c r="G101" s="2" t="str">
        <f>IFERROR(__xludf.DUMMYFUNCTION("IF('From Order'!$A101=COLUMNS($A101:G120), LEFT(INDEX(FILTER(G$1:G100, G$1:G100&lt;&gt;""""),COUNTA(FILTER(G$1:G100, G$1:G100&lt;&gt;""""))), LEN(INDEX(FILTER(G$1:G100, G$1:G100&lt;&gt;""""),COUNTA(FILTER(G$1:G100, G$1:G100&lt;&gt;""""))))-1), IF('To Order'!$A101=COLUMNS($A101:G"&amp;"120), G100&amp;RIGHT(INDIRECT(ADDRESS(ROW(G101)-1, 'From Order'!$A101)), 1), G100))"),"LWLJBRJZHT")</f>
        <v>LWLJBRJZHT</v>
      </c>
      <c r="H101" s="2" t="str">
        <f>IFERROR(__xludf.DUMMYFUNCTION("IF('From Order'!$A101=COLUMNS($A101:H120), LEFT(INDEX(FILTER(H$1:H100, H$1:H100&lt;&gt;""""),COUNTA(FILTER(H$1:H100, H$1:H100&lt;&gt;""""))), LEN(INDEX(FILTER(H$1:H100, H$1:H100&lt;&gt;""""),COUNTA(FILTER(H$1:H100, H$1:H100&lt;&gt;""""))))-1), IF('To Order'!$A101=COLUMNS($A101:H"&amp;"120), H100&amp;RIGHT(INDIRECT(ADDRESS(ROW(H101)-1, 'From Order'!$A101)), 1), H100))"),"TVMQCD")</f>
        <v>TVMQCD</v>
      </c>
      <c r="I101" s="2" t="str">
        <f>IFERROR(__xludf.DUMMYFUNCTION("IF('From Order'!$A101=COLUMNS($A101:I120), LEFT(INDEX(FILTER(I$1:I100, I$1:I100&lt;&gt;""""),COUNTA(FILTER(I$1:I100, I$1:I100&lt;&gt;""""))), LEN(INDEX(FILTER(I$1:I100, I$1:I100&lt;&gt;""""),COUNTA(FILTER(I$1:I100, I$1:I100&lt;&gt;""""))))-1), IF('To Order'!$A101=COLUMNS($A101:I"&amp;"120), I100&amp;RIGHT(INDIRECT(ADDRESS(ROW(I101)-1, 'From Order'!$A101)), 1), I100))"),"")</f>
        <v/>
      </c>
    </row>
    <row r="102">
      <c r="A102" s="2" t="str">
        <f>IFERROR(__xludf.DUMMYFUNCTION("IF('From Order'!$A102=COLUMNS($A102:A121), LEFT(INDEX(FILTER(A$1:A101, A$1:A101&lt;&gt;""""),COUNTA(FILTER(A$1:A101, A$1:A101&lt;&gt;""""))), LEN(INDEX(FILTER(A$1:A101, A$1:A101&lt;&gt;""""),COUNTA(FILTER(A$1:A101, A$1:A101&lt;&gt;""""))))-1), IF('To Order'!$A102=COLUMNS($A102:A"&amp;"121), A101&amp;RIGHT(INDIRECT(ADDRESS(ROW(A102)-1, 'From Order'!$A102)), 1), A101))"),"")</f>
        <v/>
      </c>
      <c r="B102" s="2" t="str">
        <f>IFERROR(__xludf.DUMMYFUNCTION("IF('From Order'!$A102=COLUMNS($A102:B121), LEFT(INDEX(FILTER(B$1:B101, B$1:B101&lt;&gt;""""),COUNTA(FILTER(B$1:B101, B$1:B101&lt;&gt;""""))), LEN(INDEX(FILTER(B$1:B101, B$1:B101&lt;&gt;""""),COUNTA(FILTER(B$1:B101, B$1:B101&lt;&gt;""""))))-1), IF('To Order'!$A102=COLUMNS($A102:B"&amp;"121), B101&amp;RIGHT(INDIRECT(ADDRESS(ROW(B102)-1, 'From Order'!$A102)), 1), B101))"),"SWRVSDPQ")</f>
        <v>SWRVSDPQ</v>
      </c>
      <c r="C102" s="2" t="str">
        <f>IFERROR(__xludf.DUMMYFUNCTION("IF('From Order'!$A102=COLUMNS($A102:C121), LEFT(INDEX(FILTER(C$1:C101, C$1:C101&lt;&gt;""""),COUNTA(FILTER(C$1:C101, C$1:C101&lt;&gt;""""))), LEN(INDEX(FILTER(C$1:C101, C$1:C101&lt;&gt;""""),COUNTA(FILTER(C$1:C101, C$1:C101&lt;&gt;""""))))-1), IF('To Order'!$A102=COLUMNS($A102:C"&amp;"121), C101&amp;RIGHT(INDIRECT(ADDRESS(ROW(C102)-1, 'From Order'!$A102)), 1), C101))"),"RZTRTFMJDG")</f>
        <v>RZTRTFMJDG</v>
      </c>
      <c r="D102" s="2" t="str">
        <f>IFERROR(__xludf.DUMMYFUNCTION("IF('From Order'!$A102=COLUMNS($A102:D121), LEFT(INDEX(FILTER(D$1:D101, D$1:D101&lt;&gt;""""),COUNTA(FILTER(D$1:D101, D$1:D101&lt;&gt;""""))), LEN(INDEX(FILTER(D$1:D101, D$1:D101&lt;&gt;""""),COUNTA(FILTER(D$1:D101, D$1:D101&lt;&gt;""""))))-1), IF('To Order'!$A102=COLUMNS($A102:D"&amp;"121), D101&amp;RIGHT(INDIRECT(ADDRESS(ROW(D102)-1, 'From Order'!$A102)), 1), D101))"),"DTCHSPVMZDDTLCBR")</f>
        <v>DTCHSPVMZDDTLCBR</v>
      </c>
      <c r="E102" s="2" t="str">
        <f>IFERROR(__xludf.DUMMYFUNCTION("IF('From Order'!$A102=COLUMNS($A102:E121), LEFT(INDEX(FILTER(E$1:E101, E$1:E101&lt;&gt;""""),COUNTA(FILTER(E$1:E101, E$1:E101&lt;&gt;""""))), LEN(INDEX(FILTER(E$1:E101, E$1:E101&lt;&gt;""""),COUNTA(FILTER(E$1:E101, E$1:E101&lt;&gt;""""))))-1), IF('To Order'!$A102=COLUMNS($A102:E"&amp;"121), E101&amp;RIGHT(INDIRECT(ADDRESS(ROW(E102)-1, 'From Order'!$A102)), 1), E101))"),"GPBS")</f>
        <v>GPBS</v>
      </c>
      <c r="F102" s="2" t="str">
        <f>IFERROR(__xludf.DUMMYFUNCTION("IF('From Order'!$A102=COLUMNS($A102:F121), LEFT(INDEX(FILTER(F$1:F101, F$1:F101&lt;&gt;""""),COUNTA(FILTER(F$1:F101, F$1:F101&lt;&gt;""""))), LEN(INDEX(FILTER(F$1:F101, F$1:F101&lt;&gt;""""),COUNTA(FILTER(F$1:F101, F$1:F101&lt;&gt;""""))))-1), IF('To Order'!$A102=COLUMNS($A102:F"&amp;"121), F101&amp;RIGHT(INDIRECT(ADDRESS(ROW(F102)-1, 'From Order'!$A102)), 1), F101))"),"FB")</f>
        <v>FB</v>
      </c>
      <c r="G102" s="2" t="str">
        <f>IFERROR(__xludf.DUMMYFUNCTION("IF('From Order'!$A102=COLUMNS($A102:G121), LEFT(INDEX(FILTER(G$1:G101, G$1:G101&lt;&gt;""""),COUNTA(FILTER(G$1:G101, G$1:G101&lt;&gt;""""))), LEN(INDEX(FILTER(G$1:G101, G$1:G101&lt;&gt;""""),COUNTA(FILTER(G$1:G101, G$1:G101&lt;&gt;""""))))-1), IF('To Order'!$A102=COLUMNS($A102:G"&amp;"121), G101&amp;RIGHT(INDIRECT(ADDRESS(ROW(G102)-1, 'From Order'!$A102)), 1), G101))"),"LWLJBRJZH")</f>
        <v>LWLJBRJZH</v>
      </c>
      <c r="H102" s="2" t="str">
        <f>IFERROR(__xludf.DUMMYFUNCTION("IF('From Order'!$A102=COLUMNS($A102:H121), LEFT(INDEX(FILTER(H$1:H101, H$1:H101&lt;&gt;""""),COUNTA(FILTER(H$1:H101, H$1:H101&lt;&gt;""""))), LEN(INDEX(FILTER(H$1:H101, H$1:H101&lt;&gt;""""),COUNTA(FILTER(H$1:H101, H$1:H101&lt;&gt;""""))))-1), IF('To Order'!$A102=COLUMNS($A102:H"&amp;"121), H101&amp;RIGHT(INDIRECT(ADDRESS(ROW(H102)-1, 'From Order'!$A102)), 1), H101))"),"TVMQCDT")</f>
        <v>TVMQCDT</v>
      </c>
      <c r="I102" s="2" t="str">
        <f>IFERROR(__xludf.DUMMYFUNCTION("IF('From Order'!$A102=COLUMNS($A102:I121), LEFT(INDEX(FILTER(I$1:I101, I$1:I101&lt;&gt;""""),COUNTA(FILTER(I$1:I101, I$1:I101&lt;&gt;""""))), LEN(INDEX(FILTER(I$1:I101, I$1:I101&lt;&gt;""""),COUNTA(FILTER(I$1:I101, I$1:I101&lt;&gt;""""))))-1), IF('To Order'!$A102=COLUMNS($A102:I"&amp;"121), I101&amp;RIGHT(INDIRECT(ADDRESS(ROW(I102)-1, 'From Order'!$A102)), 1), I101))"),"")</f>
        <v/>
      </c>
    </row>
    <row r="103">
      <c r="A103" s="2" t="str">
        <f>IFERROR(__xludf.DUMMYFUNCTION("IF('From Order'!$A103=COLUMNS($A103:A122), LEFT(INDEX(FILTER(A$1:A102, A$1:A102&lt;&gt;""""),COUNTA(FILTER(A$1:A102, A$1:A102&lt;&gt;""""))), LEN(INDEX(FILTER(A$1:A102, A$1:A102&lt;&gt;""""),COUNTA(FILTER(A$1:A102, A$1:A102&lt;&gt;""""))))-1), IF('To Order'!$A103=COLUMNS($A103:A"&amp;"122), A102&amp;RIGHT(INDIRECT(ADDRESS(ROW(A103)-1, 'From Order'!$A103)), 1), A102))"),"")</f>
        <v/>
      </c>
      <c r="B103" s="2" t="str">
        <f>IFERROR(__xludf.DUMMYFUNCTION("IF('From Order'!$A103=COLUMNS($A103:B122), LEFT(INDEX(FILTER(B$1:B102, B$1:B102&lt;&gt;""""),COUNTA(FILTER(B$1:B102, B$1:B102&lt;&gt;""""))), LEN(INDEX(FILTER(B$1:B102, B$1:B102&lt;&gt;""""),COUNTA(FILTER(B$1:B102, B$1:B102&lt;&gt;""""))))-1), IF('To Order'!$A103=COLUMNS($A103:B"&amp;"122), B102&amp;RIGHT(INDIRECT(ADDRESS(ROW(B103)-1, 'From Order'!$A103)), 1), B102))"),"SWRVSDPQ")</f>
        <v>SWRVSDPQ</v>
      </c>
      <c r="C103" s="2" t="str">
        <f>IFERROR(__xludf.DUMMYFUNCTION("IF('From Order'!$A103=COLUMNS($A103:C122), LEFT(INDEX(FILTER(C$1:C102, C$1:C102&lt;&gt;""""),COUNTA(FILTER(C$1:C102, C$1:C102&lt;&gt;""""))), LEN(INDEX(FILTER(C$1:C102, C$1:C102&lt;&gt;""""),COUNTA(FILTER(C$1:C102, C$1:C102&lt;&gt;""""))))-1), IF('To Order'!$A103=COLUMNS($A103:C"&amp;"122), C102&amp;RIGHT(INDIRECT(ADDRESS(ROW(C103)-1, 'From Order'!$A103)), 1), C102))"),"RZTRTFMJDG")</f>
        <v>RZTRTFMJDG</v>
      </c>
      <c r="D103" s="2" t="str">
        <f>IFERROR(__xludf.DUMMYFUNCTION("IF('From Order'!$A103=COLUMNS($A103:D122), LEFT(INDEX(FILTER(D$1:D102, D$1:D102&lt;&gt;""""),COUNTA(FILTER(D$1:D102, D$1:D102&lt;&gt;""""))), LEN(INDEX(FILTER(D$1:D102, D$1:D102&lt;&gt;""""),COUNTA(FILTER(D$1:D102, D$1:D102&lt;&gt;""""))))-1), IF('To Order'!$A103=COLUMNS($A103:D"&amp;"122), D102&amp;RIGHT(INDIRECT(ADDRESS(ROW(D103)-1, 'From Order'!$A103)), 1), D102))"),"DTCHSPVMZDDTLCBR")</f>
        <v>DTCHSPVMZDDTLCBR</v>
      </c>
      <c r="E103" s="2" t="str">
        <f>IFERROR(__xludf.DUMMYFUNCTION("IF('From Order'!$A103=COLUMNS($A103:E122), LEFT(INDEX(FILTER(E$1:E102, E$1:E102&lt;&gt;""""),COUNTA(FILTER(E$1:E102, E$1:E102&lt;&gt;""""))), LEN(INDEX(FILTER(E$1:E102, E$1:E102&lt;&gt;""""),COUNTA(FILTER(E$1:E102, E$1:E102&lt;&gt;""""))))-1), IF('To Order'!$A103=COLUMNS($A103:E"&amp;"122), E102&amp;RIGHT(INDIRECT(ADDRESS(ROW(E103)-1, 'From Order'!$A103)), 1), E102))"),"GPBS")</f>
        <v>GPBS</v>
      </c>
      <c r="F103" s="2" t="str">
        <f>IFERROR(__xludf.DUMMYFUNCTION("IF('From Order'!$A103=COLUMNS($A103:F122), LEFT(INDEX(FILTER(F$1:F102, F$1:F102&lt;&gt;""""),COUNTA(FILTER(F$1:F102, F$1:F102&lt;&gt;""""))), LEN(INDEX(FILTER(F$1:F102, F$1:F102&lt;&gt;""""),COUNTA(FILTER(F$1:F102, F$1:F102&lt;&gt;""""))))-1), IF('To Order'!$A103=COLUMNS($A103:F"&amp;"122), F102&amp;RIGHT(INDIRECT(ADDRESS(ROW(F103)-1, 'From Order'!$A103)), 1), F102))"),"FB")</f>
        <v>FB</v>
      </c>
      <c r="G103" s="2" t="str">
        <f>IFERROR(__xludf.DUMMYFUNCTION("IF('From Order'!$A103=COLUMNS($A103:G122), LEFT(INDEX(FILTER(G$1:G102, G$1:G102&lt;&gt;""""),COUNTA(FILTER(G$1:G102, G$1:G102&lt;&gt;""""))), LEN(INDEX(FILTER(G$1:G102, G$1:G102&lt;&gt;""""),COUNTA(FILTER(G$1:G102, G$1:G102&lt;&gt;""""))))-1), IF('To Order'!$A103=COLUMNS($A103:G"&amp;"122), G102&amp;RIGHT(INDIRECT(ADDRESS(ROW(G103)-1, 'From Order'!$A103)), 1), G102))"),"LWLJBRJZ")</f>
        <v>LWLJBRJZ</v>
      </c>
      <c r="H103" s="2" t="str">
        <f>IFERROR(__xludf.DUMMYFUNCTION("IF('From Order'!$A103=COLUMNS($A103:H122), LEFT(INDEX(FILTER(H$1:H102, H$1:H102&lt;&gt;""""),COUNTA(FILTER(H$1:H102, H$1:H102&lt;&gt;""""))), LEN(INDEX(FILTER(H$1:H102, H$1:H102&lt;&gt;""""),COUNTA(FILTER(H$1:H102, H$1:H102&lt;&gt;""""))))-1), IF('To Order'!$A103=COLUMNS($A103:H"&amp;"122), H102&amp;RIGHT(INDIRECT(ADDRESS(ROW(H103)-1, 'From Order'!$A103)), 1), H102))"),"TVMQCDTH")</f>
        <v>TVMQCDTH</v>
      </c>
      <c r="I103" s="2" t="str">
        <f>IFERROR(__xludf.DUMMYFUNCTION("IF('From Order'!$A103=COLUMNS($A103:I122), LEFT(INDEX(FILTER(I$1:I102, I$1:I102&lt;&gt;""""),COUNTA(FILTER(I$1:I102, I$1:I102&lt;&gt;""""))), LEN(INDEX(FILTER(I$1:I102, I$1:I102&lt;&gt;""""),COUNTA(FILTER(I$1:I102, I$1:I102&lt;&gt;""""))))-1), IF('To Order'!$A103=COLUMNS($A103:I"&amp;"122), I102&amp;RIGHT(INDIRECT(ADDRESS(ROW(I103)-1, 'From Order'!$A103)), 1), I102))"),"")</f>
        <v/>
      </c>
    </row>
    <row r="104">
      <c r="A104" s="2" t="str">
        <f>IFERROR(__xludf.DUMMYFUNCTION("IF('From Order'!$A104=COLUMNS($A104:A123), LEFT(INDEX(FILTER(A$1:A103, A$1:A103&lt;&gt;""""),COUNTA(FILTER(A$1:A103, A$1:A103&lt;&gt;""""))), LEN(INDEX(FILTER(A$1:A103, A$1:A103&lt;&gt;""""),COUNTA(FILTER(A$1:A103, A$1:A103&lt;&gt;""""))))-1), IF('To Order'!$A104=COLUMNS($A104:A"&amp;"123), A103&amp;RIGHT(INDIRECT(ADDRESS(ROW(A104)-1, 'From Order'!$A104)), 1), A103))"),"")</f>
        <v/>
      </c>
      <c r="B104" s="2" t="str">
        <f>IFERROR(__xludf.DUMMYFUNCTION("IF('From Order'!$A104=COLUMNS($A104:B123), LEFT(INDEX(FILTER(B$1:B103, B$1:B103&lt;&gt;""""),COUNTA(FILTER(B$1:B103, B$1:B103&lt;&gt;""""))), LEN(INDEX(FILTER(B$1:B103, B$1:B103&lt;&gt;""""),COUNTA(FILTER(B$1:B103, B$1:B103&lt;&gt;""""))))-1), IF('To Order'!$A104=COLUMNS($A104:B"&amp;"123), B103&amp;RIGHT(INDIRECT(ADDRESS(ROW(B104)-1, 'From Order'!$A104)), 1), B103))"),"SWRVSDPQ")</f>
        <v>SWRVSDPQ</v>
      </c>
      <c r="C104" s="2" t="str">
        <f>IFERROR(__xludf.DUMMYFUNCTION("IF('From Order'!$A104=COLUMNS($A104:C123), LEFT(INDEX(FILTER(C$1:C103, C$1:C103&lt;&gt;""""),COUNTA(FILTER(C$1:C103, C$1:C103&lt;&gt;""""))), LEN(INDEX(FILTER(C$1:C103, C$1:C103&lt;&gt;""""),COUNTA(FILTER(C$1:C103, C$1:C103&lt;&gt;""""))))-1), IF('To Order'!$A104=COLUMNS($A104:C"&amp;"123), C103&amp;RIGHT(INDIRECT(ADDRESS(ROW(C104)-1, 'From Order'!$A104)), 1), C103))"),"RZTRTFMJDG")</f>
        <v>RZTRTFMJDG</v>
      </c>
      <c r="D104" s="2" t="str">
        <f>IFERROR(__xludf.DUMMYFUNCTION("IF('From Order'!$A104=COLUMNS($A104:D123), LEFT(INDEX(FILTER(D$1:D103, D$1:D103&lt;&gt;""""),COUNTA(FILTER(D$1:D103, D$1:D103&lt;&gt;""""))), LEN(INDEX(FILTER(D$1:D103, D$1:D103&lt;&gt;""""),COUNTA(FILTER(D$1:D103, D$1:D103&lt;&gt;""""))))-1), IF('To Order'!$A104=COLUMNS($A104:D"&amp;"123), D103&amp;RIGHT(INDIRECT(ADDRESS(ROW(D104)-1, 'From Order'!$A104)), 1), D103))"),"DTCHSPVMZDDTLCBR")</f>
        <v>DTCHSPVMZDDTLCBR</v>
      </c>
      <c r="E104" s="2" t="str">
        <f>IFERROR(__xludf.DUMMYFUNCTION("IF('From Order'!$A104=COLUMNS($A104:E123), LEFT(INDEX(FILTER(E$1:E103, E$1:E103&lt;&gt;""""),COUNTA(FILTER(E$1:E103, E$1:E103&lt;&gt;""""))), LEN(INDEX(FILTER(E$1:E103, E$1:E103&lt;&gt;""""),COUNTA(FILTER(E$1:E103, E$1:E103&lt;&gt;""""))))-1), IF('To Order'!$A104=COLUMNS($A104:E"&amp;"123), E103&amp;RIGHT(INDIRECT(ADDRESS(ROW(E104)-1, 'From Order'!$A104)), 1), E103))"),"GPBS")</f>
        <v>GPBS</v>
      </c>
      <c r="F104" s="2" t="str">
        <f>IFERROR(__xludf.DUMMYFUNCTION("IF('From Order'!$A104=COLUMNS($A104:F123), LEFT(INDEX(FILTER(F$1:F103, F$1:F103&lt;&gt;""""),COUNTA(FILTER(F$1:F103, F$1:F103&lt;&gt;""""))), LEN(INDEX(FILTER(F$1:F103, F$1:F103&lt;&gt;""""),COUNTA(FILTER(F$1:F103, F$1:F103&lt;&gt;""""))))-1), IF('To Order'!$A104=COLUMNS($A104:F"&amp;"123), F103&amp;RIGHT(INDIRECT(ADDRESS(ROW(F104)-1, 'From Order'!$A104)), 1), F103))"),"FB")</f>
        <v>FB</v>
      </c>
      <c r="G104" s="2" t="str">
        <f>IFERROR(__xludf.DUMMYFUNCTION("IF('From Order'!$A104=COLUMNS($A104:G123), LEFT(INDEX(FILTER(G$1:G103, G$1:G103&lt;&gt;""""),COUNTA(FILTER(G$1:G103, G$1:G103&lt;&gt;""""))), LEN(INDEX(FILTER(G$1:G103, G$1:G103&lt;&gt;""""),COUNTA(FILTER(G$1:G103, G$1:G103&lt;&gt;""""))))-1), IF('To Order'!$A104=COLUMNS($A104:G"&amp;"123), G103&amp;RIGHT(INDIRECT(ADDRESS(ROW(G104)-1, 'From Order'!$A104)), 1), G103))"),"LWLJBRJ")</f>
        <v>LWLJBRJ</v>
      </c>
      <c r="H104" s="2" t="str">
        <f>IFERROR(__xludf.DUMMYFUNCTION("IF('From Order'!$A104=COLUMNS($A104:H123), LEFT(INDEX(FILTER(H$1:H103, H$1:H103&lt;&gt;""""),COUNTA(FILTER(H$1:H103, H$1:H103&lt;&gt;""""))), LEN(INDEX(FILTER(H$1:H103, H$1:H103&lt;&gt;""""),COUNTA(FILTER(H$1:H103, H$1:H103&lt;&gt;""""))))-1), IF('To Order'!$A104=COLUMNS($A104:H"&amp;"123), H103&amp;RIGHT(INDIRECT(ADDRESS(ROW(H104)-1, 'From Order'!$A104)), 1), H103))"),"TVMQCDTHZ")</f>
        <v>TVMQCDTHZ</v>
      </c>
      <c r="I104" s="2" t="str">
        <f>IFERROR(__xludf.DUMMYFUNCTION("IF('From Order'!$A104=COLUMNS($A104:I123), LEFT(INDEX(FILTER(I$1:I103, I$1:I103&lt;&gt;""""),COUNTA(FILTER(I$1:I103, I$1:I103&lt;&gt;""""))), LEN(INDEX(FILTER(I$1:I103, I$1:I103&lt;&gt;""""),COUNTA(FILTER(I$1:I103, I$1:I103&lt;&gt;""""))))-1), IF('To Order'!$A104=COLUMNS($A104:I"&amp;"123), I103&amp;RIGHT(INDIRECT(ADDRESS(ROW(I104)-1, 'From Order'!$A104)), 1), I103))"),"")</f>
        <v/>
      </c>
    </row>
    <row r="105">
      <c r="A105" s="2" t="str">
        <f>IFERROR(__xludf.DUMMYFUNCTION("IF('From Order'!$A105=COLUMNS($A105:A124), LEFT(INDEX(FILTER(A$1:A104, A$1:A104&lt;&gt;""""),COUNTA(FILTER(A$1:A104, A$1:A104&lt;&gt;""""))), LEN(INDEX(FILTER(A$1:A104, A$1:A104&lt;&gt;""""),COUNTA(FILTER(A$1:A104, A$1:A104&lt;&gt;""""))))-1), IF('To Order'!$A105=COLUMNS($A105:A"&amp;"124), A104&amp;RIGHT(INDIRECT(ADDRESS(ROW(A105)-1, 'From Order'!$A105)), 1), A104))"),"")</f>
        <v/>
      </c>
      <c r="B105" s="2" t="str">
        <f>IFERROR(__xludf.DUMMYFUNCTION("IF('From Order'!$A105=COLUMNS($A105:B124), LEFT(INDEX(FILTER(B$1:B104, B$1:B104&lt;&gt;""""),COUNTA(FILTER(B$1:B104, B$1:B104&lt;&gt;""""))), LEN(INDEX(FILTER(B$1:B104, B$1:B104&lt;&gt;""""),COUNTA(FILTER(B$1:B104, B$1:B104&lt;&gt;""""))))-1), IF('To Order'!$A105=COLUMNS($A105:B"&amp;"124), B104&amp;RIGHT(INDIRECT(ADDRESS(ROW(B105)-1, 'From Order'!$A105)), 1), B104))"),"SWRVSDPQ")</f>
        <v>SWRVSDPQ</v>
      </c>
      <c r="C105" s="2" t="str">
        <f>IFERROR(__xludf.DUMMYFUNCTION("IF('From Order'!$A105=COLUMNS($A105:C124), LEFT(INDEX(FILTER(C$1:C104, C$1:C104&lt;&gt;""""),COUNTA(FILTER(C$1:C104, C$1:C104&lt;&gt;""""))), LEN(INDEX(FILTER(C$1:C104, C$1:C104&lt;&gt;""""),COUNTA(FILTER(C$1:C104, C$1:C104&lt;&gt;""""))))-1), IF('To Order'!$A105=COLUMNS($A105:C"&amp;"124), C104&amp;RIGHT(INDIRECT(ADDRESS(ROW(C105)-1, 'From Order'!$A105)), 1), C104))"),"RZTRTFMJDG")</f>
        <v>RZTRTFMJDG</v>
      </c>
      <c r="D105" s="2" t="str">
        <f>IFERROR(__xludf.DUMMYFUNCTION("IF('From Order'!$A105=COLUMNS($A105:D124), LEFT(INDEX(FILTER(D$1:D104, D$1:D104&lt;&gt;""""),COUNTA(FILTER(D$1:D104, D$1:D104&lt;&gt;""""))), LEN(INDEX(FILTER(D$1:D104, D$1:D104&lt;&gt;""""),COUNTA(FILTER(D$1:D104, D$1:D104&lt;&gt;""""))))-1), IF('To Order'!$A105=COLUMNS($A105:D"&amp;"124), D104&amp;RIGHT(INDIRECT(ADDRESS(ROW(D105)-1, 'From Order'!$A105)), 1), D104))"),"DTCHSPVMZDDTLCBR")</f>
        <v>DTCHSPVMZDDTLCBR</v>
      </c>
      <c r="E105" s="2" t="str">
        <f>IFERROR(__xludf.DUMMYFUNCTION("IF('From Order'!$A105=COLUMNS($A105:E124), LEFT(INDEX(FILTER(E$1:E104, E$1:E104&lt;&gt;""""),COUNTA(FILTER(E$1:E104, E$1:E104&lt;&gt;""""))), LEN(INDEX(FILTER(E$1:E104, E$1:E104&lt;&gt;""""),COUNTA(FILTER(E$1:E104, E$1:E104&lt;&gt;""""))))-1), IF('To Order'!$A105=COLUMNS($A105:E"&amp;"124), E104&amp;RIGHT(INDIRECT(ADDRESS(ROW(E105)-1, 'From Order'!$A105)), 1), E104))"),"GPBS")</f>
        <v>GPBS</v>
      </c>
      <c r="F105" s="2" t="str">
        <f>IFERROR(__xludf.DUMMYFUNCTION("IF('From Order'!$A105=COLUMNS($A105:F124), LEFT(INDEX(FILTER(F$1:F104, F$1:F104&lt;&gt;""""),COUNTA(FILTER(F$1:F104, F$1:F104&lt;&gt;""""))), LEN(INDEX(FILTER(F$1:F104, F$1:F104&lt;&gt;""""),COUNTA(FILTER(F$1:F104, F$1:F104&lt;&gt;""""))))-1), IF('To Order'!$A105=COLUMNS($A105:F"&amp;"124), F104&amp;RIGHT(INDIRECT(ADDRESS(ROW(F105)-1, 'From Order'!$A105)), 1), F104))"),"FB")</f>
        <v>FB</v>
      </c>
      <c r="G105" s="2" t="str">
        <f>IFERROR(__xludf.DUMMYFUNCTION("IF('From Order'!$A105=COLUMNS($A105:G124), LEFT(INDEX(FILTER(G$1:G104, G$1:G104&lt;&gt;""""),COUNTA(FILTER(G$1:G104, G$1:G104&lt;&gt;""""))), LEN(INDEX(FILTER(G$1:G104, G$1:G104&lt;&gt;""""),COUNTA(FILTER(G$1:G104, G$1:G104&lt;&gt;""""))))-1), IF('To Order'!$A105=COLUMNS($A105:G"&amp;"124), G104&amp;RIGHT(INDIRECT(ADDRESS(ROW(G105)-1, 'From Order'!$A105)), 1), G104))"),"LWLJBR")</f>
        <v>LWLJBR</v>
      </c>
      <c r="H105" s="2" t="str">
        <f>IFERROR(__xludf.DUMMYFUNCTION("IF('From Order'!$A105=COLUMNS($A105:H124), LEFT(INDEX(FILTER(H$1:H104, H$1:H104&lt;&gt;""""),COUNTA(FILTER(H$1:H104, H$1:H104&lt;&gt;""""))), LEN(INDEX(FILTER(H$1:H104, H$1:H104&lt;&gt;""""),COUNTA(FILTER(H$1:H104, H$1:H104&lt;&gt;""""))))-1), IF('To Order'!$A105=COLUMNS($A105:H"&amp;"124), H104&amp;RIGHT(INDIRECT(ADDRESS(ROW(H105)-1, 'From Order'!$A105)), 1), H104))"),"TVMQCDTHZJ")</f>
        <v>TVMQCDTHZJ</v>
      </c>
      <c r="I105" s="2" t="str">
        <f>IFERROR(__xludf.DUMMYFUNCTION("IF('From Order'!$A105=COLUMNS($A105:I124), LEFT(INDEX(FILTER(I$1:I104, I$1:I104&lt;&gt;""""),COUNTA(FILTER(I$1:I104, I$1:I104&lt;&gt;""""))), LEN(INDEX(FILTER(I$1:I104, I$1:I104&lt;&gt;""""),COUNTA(FILTER(I$1:I104, I$1:I104&lt;&gt;""""))))-1), IF('To Order'!$A105=COLUMNS($A105:I"&amp;"124), I104&amp;RIGHT(INDIRECT(ADDRESS(ROW(I105)-1, 'From Order'!$A105)), 1), I104))"),"")</f>
        <v/>
      </c>
    </row>
    <row r="106">
      <c r="A106" s="2" t="str">
        <f>IFERROR(__xludf.DUMMYFUNCTION("IF('From Order'!$A106=COLUMNS($A106:A125), LEFT(INDEX(FILTER(A$1:A105, A$1:A105&lt;&gt;""""),COUNTA(FILTER(A$1:A105, A$1:A105&lt;&gt;""""))), LEN(INDEX(FILTER(A$1:A105, A$1:A105&lt;&gt;""""),COUNTA(FILTER(A$1:A105, A$1:A105&lt;&gt;""""))))-1), IF('To Order'!$A106=COLUMNS($A106:A"&amp;"125), A105&amp;RIGHT(INDIRECT(ADDRESS(ROW(A106)-1, 'From Order'!$A106)), 1), A105))"),"")</f>
        <v/>
      </c>
      <c r="B106" s="2" t="str">
        <f>IFERROR(__xludf.DUMMYFUNCTION("IF('From Order'!$A106=COLUMNS($A106:B125), LEFT(INDEX(FILTER(B$1:B105, B$1:B105&lt;&gt;""""),COUNTA(FILTER(B$1:B105, B$1:B105&lt;&gt;""""))), LEN(INDEX(FILTER(B$1:B105, B$1:B105&lt;&gt;""""),COUNTA(FILTER(B$1:B105, B$1:B105&lt;&gt;""""))))-1), IF('To Order'!$A106=COLUMNS($A106:B"&amp;"125), B105&amp;RIGHT(INDIRECT(ADDRESS(ROW(B106)-1, 'From Order'!$A106)), 1), B105))"),"SWRVSDPQ")</f>
        <v>SWRVSDPQ</v>
      </c>
      <c r="C106" s="2" t="str">
        <f>IFERROR(__xludf.DUMMYFUNCTION("IF('From Order'!$A106=COLUMNS($A106:C125), LEFT(INDEX(FILTER(C$1:C105, C$1:C105&lt;&gt;""""),COUNTA(FILTER(C$1:C105, C$1:C105&lt;&gt;""""))), LEN(INDEX(FILTER(C$1:C105, C$1:C105&lt;&gt;""""),COUNTA(FILTER(C$1:C105, C$1:C105&lt;&gt;""""))))-1), IF('To Order'!$A106=COLUMNS($A106:C"&amp;"125), C105&amp;RIGHT(INDIRECT(ADDRESS(ROW(C106)-1, 'From Order'!$A106)), 1), C105))"),"RZTRTFMJDG")</f>
        <v>RZTRTFMJDG</v>
      </c>
      <c r="D106" s="2" t="str">
        <f>IFERROR(__xludf.DUMMYFUNCTION("IF('From Order'!$A106=COLUMNS($A106:D125), LEFT(INDEX(FILTER(D$1:D105, D$1:D105&lt;&gt;""""),COUNTA(FILTER(D$1:D105, D$1:D105&lt;&gt;""""))), LEN(INDEX(FILTER(D$1:D105, D$1:D105&lt;&gt;""""),COUNTA(FILTER(D$1:D105, D$1:D105&lt;&gt;""""))))-1), IF('To Order'!$A106=COLUMNS($A106:D"&amp;"125), D105&amp;RIGHT(INDIRECT(ADDRESS(ROW(D106)-1, 'From Order'!$A106)), 1), D105))"),"DTCHSPVMZDDTLCBR")</f>
        <v>DTCHSPVMZDDTLCBR</v>
      </c>
      <c r="E106" s="2" t="str">
        <f>IFERROR(__xludf.DUMMYFUNCTION("IF('From Order'!$A106=COLUMNS($A106:E125), LEFT(INDEX(FILTER(E$1:E105, E$1:E105&lt;&gt;""""),COUNTA(FILTER(E$1:E105, E$1:E105&lt;&gt;""""))), LEN(INDEX(FILTER(E$1:E105, E$1:E105&lt;&gt;""""),COUNTA(FILTER(E$1:E105, E$1:E105&lt;&gt;""""))))-1), IF('To Order'!$A106=COLUMNS($A106:E"&amp;"125), E105&amp;RIGHT(INDIRECT(ADDRESS(ROW(E106)-1, 'From Order'!$A106)), 1), E105))"),"GPBS")</f>
        <v>GPBS</v>
      </c>
      <c r="F106" s="2" t="str">
        <f>IFERROR(__xludf.DUMMYFUNCTION("IF('From Order'!$A106=COLUMNS($A106:F125), LEFT(INDEX(FILTER(F$1:F105, F$1:F105&lt;&gt;""""),COUNTA(FILTER(F$1:F105, F$1:F105&lt;&gt;""""))), LEN(INDEX(FILTER(F$1:F105, F$1:F105&lt;&gt;""""),COUNTA(FILTER(F$1:F105, F$1:F105&lt;&gt;""""))))-1), IF('To Order'!$A106=COLUMNS($A106:F"&amp;"125), F105&amp;RIGHT(INDIRECT(ADDRESS(ROW(F106)-1, 'From Order'!$A106)), 1), F105))"),"FB")</f>
        <v>FB</v>
      </c>
      <c r="G106" s="2" t="str">
        <f>IFERROR(__xludf.DUMMYFUNCTION("IF('From Order'!$A106=COLUMNS($A106:G125), LEFT(INDEX(FILTER(G$1:G105, G$1:G105&lt;&gt;""""),COUNTA(FILTER(G$1:G105, G$1:G105&lt;&gt;""""))), LEN(INDEX(FILTER(G$1:G105, G$1:G105&lt;&gt;""""),COUNTA(FILTER(G$1:G105, G$1:G105&lt;&gt;""""))))-1), IF('To Order'!$A106=COLUMNS($A106:G"&amp;"125), G105&amp;RIGHT(INDIRECT(ADDRESS(ROW(G106)-1, 'From Order'!$A106)), 1), G105))"),"LWLJB")</f>
        <v>LWLJB</v>
      </c>
      <c r="H106" s="2" t="str">
        <f>IFERROR(__xludf.DUMMYFUNCTION("IF('From Order'!$A106=COLUMNS($A106:H125), LEFT(INDEX(FILTER(H$1:H105, H$1:H105&lt;&gt;""""),COUNTA(FILTER(H$1:H105, H$1:H105&lt;&gt;""""))), LEN(INDEX(FILTER(H$1:H105, H$1:H105&lt;&gt;""""),COUNTA(FILTER(H$1:H105, H$1:H105&lt;&gt;""""))))-1), IF('To Order'!$A106=COLUMNS($A106:H"&amp;"125), H105&amp;RIGHT(INDIRECT(ADDRESS(ROW(H106)-1, 'From Order'!$A106)), 1), H105))"),"TVMQCDTHZJR")</f>
        <v>TVMQCDTHZJR</v>
      </c>
      <c r="I106" s="2" t="str">
        <f>IFERROR(__xludf.DUMMYFUNCTION("IF('From Order'!$A106=COLUMNS($A106:I125), LEFT(INDEX(FILTER(I$1:I105, I$1:I105&lt;&gt;""""),COUNTA(FILTER(I$1:I105, I$1:I105&lt;&gt;""""))), LEN(INDEX(FILTER(I$1:I105, I$1:I105&lt;&gt;""""),COUNTA(FILTER(I$1:I105, I$1:I105&lt;&gt;""""))))-1), IF('To Order'!$A106=COLUMNS($A106:I"&amp;"125), I105&amp;RIGHT(INDIRECT(ADDRESS(ROW(I106)-1, 'From Order'!$A106)), 1), I105))"),"")</f>
        <v/>
      </c>
    </row>
    <row r="107">
      <c r="A107" s="2" t="str">
        <f>IFERROR(__xludf.DUMMYFUNCTION("IF('From Order'!$A107=COLUMNS($A107:A126), LEFT(INDEX(FILTER(A$1:A106, A$1:A106&lt;&gt;""""),COUNTA(FILTER(A$1:A106, A$1:A106&lt;&gt;""""))), LEN(INDEX(FILTER(A$1:A106, A$1:A106&lt;&gt;""""),COUNTA(FILTER(A$1:A106, A$1:A106&lt;&gt;""""))))-1), IF('To Order'!$A107=COLUMNS($A107:A"&amp;"126), A106&amp;RIGHT(INDIRECT(ADDRESS(ROW(A107)-1, 'From Order'!$A107)), 1), A106))"),"")</f>
        <v/>
      </c>
      <c r="B107" s="2" t="str">
        <f>IFERROR(__xludf.DUMMYFUNCTION("IF('From Order'!$A107=COLUMNS($A107:B126), LEFT(INDEX(FILTER(B$1:B106, B$1:B106&lt;&gt;""""),COUNTA(FILTER(B$1:B106, B$1:B106&lt;&gt;""""))), LEN(INDEX(FILTER(B$1:B106, B$1:B106&lt;&gt;""""),COUNTA(FILTER(B$1:B106, B$1:B106&lt;&gt;""""))))-1), IF('To Order'!$A107=COLUMNS($A107:B"&amp;"126), B106&amp;RIGHT(INDIRECT(ADDRESS(ROW(B107)-1, 'From Order'!$A107)), 1), B106))"),"SWRVSDPQ")</f>
        <v>SWRVSDPQ</v>
      </c>
      <c r="C107" s="2" t="str">
        <f>IFERROR(__xludf.DUMMYFUNCTION("IF('From Order'!$A107=COLUMNS($A107:C126), LEFT(INDEX(FILTER(C$1:C106, C$1:C106&lt;&gt;""""),COUNTA(FILTER(C$1:C106, C$1:C106&lt;&gt;""""))), LEN(INDEX(FILTER(C$1:C106, C$1:C106&lt;&gt;""""),COUNTA(FILTER(C$1:C106, C$1:C106&lt;&gt;""""))))-1), IF('To Order'!$A107=COLUMNS($A107:C"&amp;"126), C106&amp;RIGHT(INDIRECT(ADDRESS(ROW(C107)-1, 'From Order'!$A107)), 1), C106))"),"RZTRTFMJDG")</f>
        <v>RZTRTFMJDG</v>
      </c>
      <c r="D107" s="2" t="str">
        <f>IFERROR(__xludf.DUMMYFUNCTION("IF('From Order'!$A107=COLUMNS($A107:D126), LEFT(INDEX(FILTER(D$1:D106, D$1:D106&lt;&gt;""""),COUNTA(FILTER(D$1:D106, D$1:D106&lt;&gt;""""))), LEN(INDEX(FILTER(D$1:D106, D$1:D106&lt;&gt;""""),COUNTA(FILTER(D$1:D106, D$1:D106&lt;&gt;""""))))-1), IF('To Order'!$A107=COLUMNS($A107:D"&amp;"126), D106&amp;RIGHT(INDIRECT(ADDRESS(ROW(D107)-1, 'From Order'!$A107)), 1), D106))"),"DTCHSPVMZDDTLCBR")</f>
        <v>DTCHSPVMZDDTLCBR</v>
      </c>
      <c r="E107" s="2" t="str">
        <f>IFERROR(__xludf.DUMMYFUNCTION("IF('From Order'!$A107=COLUMNS($A107:E126), LEFT(INDEX(FILTER(E$1:E106, E$1:E106&lt;&gt;""""),COUNTA(FILTER(E$1:E106, E$1:E106&lt;&gt;""""))), LEN(INDEX(FILTER(E$1:E106, E$1:E106&lt;&gt;""""),COUNTA(FILTER(E$1:E106, E$1:E106&lt;&gt;""""))))-1), IF('To Order'!$A107=COLUMNS($A107:E"&amp;"126), E106&amp;RIGHT(INDIRECT(ADDRESS(ROW(E107)-1, 'From Order'!$A107)), 1), E106))"),"GPBS")</f>
        <v>GPBS</v>
      </c>
      <c r="F107" s="2" t="str">
        <f>IFERROR(__xludf.DUMMYFUNCTION("IF('From Order'!$A107=COLUMNS($A107:F126), LEFT(INDEX(FILTER(F$1:F106, F$1:F106&lt;&gt;""""),COUNTA(FILTER(F$1:F106, F$1:F106&lt;&gt;""""))), LEN(INDEX(FILTER(F$1:F106, F$1:F106&lt;&gt;""""),COUNTA(FILTER(F$1:F106, F$1:F106&lt;&gt;""""))))-1), IF('To Order'!$A107=COLUMNS($A107:F"&amp;"126), F106&amp;RIGHT(INDIRECT(ADDRESS(ROW(F107)-1, 'From Order'!$A107)), 1), F106))"),"FB")</f>
        <v>FB</v>
      </c>
      <c r="G107" s="2" t="str">
        <f>IFERROR(__xludf.DUMMYFUNCTION("IF('From Order'!$A107=COLUMNS($A107:G126), LEFT(INDEX(FILTER(G$1:G106, G$1:G106&lt;&gt;""""),COUNTA(FILTER(G$1:G106, G$1:G106&lt;&gt;""""))), LEN(INDEX(FILTER(G$1:G106, G$1:G106&lt;&gt;""""),COUNTA(FILTER(G$1:G106, G$1:G106&lt;&gt;""""))))-1), IF('To Order'!$A107=COLUMNS($A107:G"&amp;"126), G106&amp;RIGHT(INDIRECT(ADDRESS(ROW(G107)-1, 'From Order'!$A107)), 1), G106))"),"LWLJ")</f>
        <v>LWLJ</v>
      </c>
      <c r="H107" s="2" t="str">
        <f>IFERROR(__xludf.DUMMYFUNCTION("IF('From Order'!$A107=COLUMNS($A107:H126), LEFT(INDEX(FILTER(H$1:H106, H$1:H106&lt;&gt;""""),COUNTA(FILTER(H$1:H106, H$1:H106&lt;&gt;""""))), LEN(INDEX(FILTER(H$1:H106, H$1:H106&lt;&gt;""""),COUNTA(FILTER(H$1:H106, H$1:H106&lt;&gt;""""))))-1), IF('To Order'!$A107=COLUMNS($A107:H"&amp;"126), H106&amp;RIGHT(INDIRECT(ADDRESS(ROW(H107)-1, 'From Order'!$A107)), 1), H106))"),"TVMQCDTHZJRB")</f>
        <v>TVMQCDTHZJRB</v>
      </c>
      <c r="I107" s="2" t="str">
        <f>IFERROR(__xludf.DUMMYFUNCTION("IF('From Order'!$A107=COLUMNS($A107:I126), LEFT(INDEX(FILTER(I$1:I106, I$1:I106&lt;&gt;""""),COUNTA(FILTER(I$1:I106, I$1:I106&lt;&gt;""""))), LEN(INDEX(FILTER(I$1:I106, I$1:I106&lt;&gt;""""),COUNTA(FILTER(I$1:I106, I$1:I106&lt;&gt;""""))))-1), IF('To Order'!$A107=COLUMNS($A107:I"&amp;"126), I106&amp;RIGHT(INDIRECT(ADDRESS(ROW(I107)-1, 'From Order'!$A107)), 1), I106))"),"")</f>
        <v/>
      </c>
    </row>
    <row r="108">
      <c r="A108" s="2" t="str">
        <f>IFERROR(__xludf.DUMMYFUNCTION("IF('From Order'!$A108=COLUMNS($A108:A127), LEFT(INDEX(FILTER(A$1:A107, A$1:A107&lt;&gt;""""),COUNTA(FILTER(A$1:A107, A$1:A107&lt;&gt;""""))), LEN(INDEX(FILTER(A$1:A107, A$1:A107&lt;&gt;""""),COUNTA(FILTER(A$1:A107, A$1:A107&lt;&gt;""""))))-1), IF('To Order'!$A108=COLUMNS($A108:A"&amp;"127), A107&amp;RIGHT(INDIRECT(ADDRESS(ROW(A108)-1, 'From Order'!$A108)), 1), A107))"),"")</f>
        <v/>
      </c>
      <c r="B108" s="2" t="str">
        <f>IFERROR(__xludf.DUMMYFUNCTION("IF('From Order'!$A108=COLUMNS($A108:B127), LEFT(INDEX(FILTER(B$1:B107, B$1:B107&lt;&gt;""""),COUNTA(FILTER(B$1:B107, B$1:B107&lt;&gt;""""))), LEN(INDEX(FILTER(B$1:B107, B$1:B107&lt;&gt;""""),COUNTA(FILTER(B$1:B107, B$1:B107&lt;&gt;""""))))-1), IF('To Order'!$A108=COLUMNS($A108:B"&amp;"127), B107&amp;RIGHT(INDIRECT(ADDRESS(ROW(B108)-1, 'From Order'!$A108)), 1), B107))"),"SWRVSDPQ")</f>
        <v>SWRVSDPQ</v>
      </c>
      <c r="C108" s="2" t="str">
        <f>IFERROR(__xludf.DUMMYFUNCTION("IF('From Order'!$A108=COLUMNS($A108:C127), LEFT(INDEX(FILTER(C$1:C107, C$1:C107&lt;&gt;""""),COUNTA(FILTER(C$1:C107, C$1:C107&lt;&gt;""""))), LEN(INDEX(FILTER(C$1:C107, C$1:C107&lt;&gt;""""),COUNTA(FILTER(C$1:C107, C$1:C107&lt;&gt;""""))))-1), IF('To Order'!$A108=COLUMNS($A108:C"&amp;"127), C107&amp;RIGHT(INDIRECT(ADDRESS(ROW(C108)-1, 'From Order'!$A108)), 1), C107))"),"RZTRTFMJDG")</f>
        <v>RZTRTFMJDG</v>
      </c>
      <c r="D108" s="2" t="str">
        <f>IFERROR(__xludf.DUMMYFUNCTION("IF('From Order'!$A108=COLUMNS($A108:D127), LEFT(INDEX(FILTER(D$1:D107, D$1:D107&lt;&gt;""""),COUNTA(FILTER(D$1:D107, D$1:D107&lt;&gt;""""))), LEN(INDEX(FILTER(D$1:D107, D$1:D107&lt;&gt;""""),COUNTA(FILTER(D$1:D107, D$1:D107&lt;&gt;""""))))-1), IF('To Order'!$A108=COLUMNS($A108:D"&amp;"127), D107&amp;RIGHT(INDIRECT(ADDRESS(ROW(D108)-1, 'From Order'!$A108)), 1), D107))"),"DTCHSPVMZDDTLCBR")</f>
        <v>DTCHSPVMZDDTLCBR</v>
      </c>
      <c r="E108" s="2" t="str">
        <f>IFERROR(__xludf.DUMMYFUNCTION("IF('From Order'!$A108=COLUMNS($A108:E127), LEFT(INDEX(FILTER(E$1:E107, E$1:E107&lt;&gt;""""),COUNTA(FILTER(E$1:E107, E$1:E107&lt;&gt;""""))), LEN(INDEX(FILTER(E$1:E107, E$1:E107&lt;&gt;""""),COUNTA(FILTER(E$1:E107, E$1:E107&lt;&gt;""""))))-1), IF('To Order'!$A108=COLUMNS($A108:E"&amp;"127), E107&amp;RIGHT(INDIRECT(ADDRESS(ROW(E108)-1, 'From Order'!$A108)), 1), E107))"),"GPBS")</f>
        <v>GPBS</v>
      </c>
      <c r="F108" s="2" t="str">
        <f>IFERROR(__xludf.DUMMYFUNCTION("IF('From Order'!$A108=COLUMNS($A108:F127), LEFT(INDEX(FILTER(F$1:F107, F$1:F107&lt;&gt;""""),COUNTA(FILTER(F$1:F107, F$1:F107&lt;&gt;""""))), LEN(INDEX(FILTER(F$1:F107, F$1:F107&lt;&gt;""""),COUNTA(FILTER(F$1:F107, F$1:F107&lt;&gt;""""))))-1), IF('To Order'!$A108=COLUMNS($A108:F"&amp;"127), F107&amp;RIGHT(INDIRECT(ADDRESS(ROW(F108)-1, 'From Order'!$A108)), 1), F107))"),"FB")</f>
        <v>FB</v>
      </c>
      <c r="G108" s="2" t="str">
        <f>IFERROR(__xludf.DUMMYFUNCTION("IF('From Order'!$A108=COLUMNS($A108:G127), LEFT(INDEX(FILTER(G$1:G107, G$1:G107&lt;&gt;""""),COUNTA(FILTER(G$1:G107, G$1:G107&lt;&gt;""""))), LEN(INDEX(FILTER(G$1:G107, G$1:G107&lt;&gt;""""),COUNTA(FILTER(G$1:G107, G$1:G107&lt;&gt;""""))))-1), IF('To Order'!$A108=COLUMNS($A108:G"&amp;"127), G107&amp;RIGHT(INDIRECT(ADDRESS(ROW(G108)-1, 'From Order'!$A108)), 1), G107))"),"LWL")</f>
        <v>LWL</v>
      </c>
      <c r="H108" s="2" t="str">
        <f>IFERROR(__xludf.DUMMYFUNCTION("IF('From Order'!$A108=COLUMNS($A108:H127), LEFT(INDEX(FILTER(H$1:H107, H$1:H107&lt;&gt;""""),COUNTA(FILTER(H$1:H107, H$1:H107&lt;&gt;""""))), LEN(INDEX(FILTER(H$1:H107, H$1:H107&lt;&gt;""""),COUNTA(FILTER(H$1:H107, H$1:H107&lt;&gt;""""))))-1), IF('To Order'!$A108=COLUMNS($A108:H"&amp;"127), H107&amp;RIGHT(INDIRECT(ADDRESS(ROW(H108)-1, 'From Order'!$A108)), 1), H107))"),"TVMQCDTHZJRBJ")</f>
        <v>TVMQCDTHZJRBJ</v>
      </c>
      <c r="I108" s="2" t="str">
        <f>IFERROR(__xludf.DUMMYFUNCTION("IF('From Order'!$A108=COLUMNS($A108:I127), LEFT(INDEX(FILTER(I$1:I107, I$1:I107&lt;&gt;""""),COUNTA(FILTER(I$1:I107, I$1:I107&lt;&gt;""""))), LEN(INDEX(FILTER(I$1:I107, I$1:I107&lt;&gt;""""),COUNTA(FILTER(I$1:I107, I$1:I107&lt;&gt;""""))))-1), IF('To Order'!$A108=COLUMNS($A108:I"&amp;"127), I107&amp;RIGHT(INDIRECT(ADDRESS(ROW(I108)-1, 'From Order'!$A108)), 1), I107))"),"")</f>
        <v/>
      </c>
    </row>
    <row r="109">
      <c r="A109" s="2" t="str">
        <f>IFERROR(__xludf.DUMMYFUNCTION("IF('From Order'!$A109=COLUMNS($A109:A128), LEFT(INDEX(FILTER(A$1:A108, A$1:A108&lt;&gt;""""),COUNTA(FILTER(A$1:A108, A$1:A108&lt;&gt;""""))), LEN(INDEX(FILTER(A$1:A108, A$1:A108&lt;&gt;""""),COUNTA(FILTER(A$1:A108, A$1:A108&lt;&gt;""""))))-1), IF('To Order'!$A109=COLUMNS($A109:A"&amp;"128), A108&amp;RIGHT(INDIRECT(ADDRESS(ROW(A109)-1, 'From Order'!$A109)), 1), A108))"),"")</f>
        <v/>
      </c>
      <c r="B109" s="2" t="str">
        <f>IFERROR(__xludf.DUMMYFUNCTION("IF('From Order'!$A109=COLUMNS($A109:B128), LEFT(INDEX(FILTER(B$1:B108, B$1:B108&lt;&gt;""""),COUNTA(FILTER(B$1:B108, B$1:B108&lt;&gt;""""))), LEN(INDEX(FILTER(B$1:B108, B$1:B108&lt;&gt;""""),COUNTA(FILTER(B$1:B108, B$1:B108&lt;&gt;""""))))-1), IF('To Order'!$A109=COLUMNS($A109:B"&amp;"128), B108&amp;RIGHT(INDIRECT(ADDRESS(ROW(B109)-1, 'From Order'!$A109)), 1), B108))"),"SWRVSDPQ")</f>
        <v>SWRVSDPQ</v>
      </c>
      <c r="C109" s="2" t="str">
        <f>IFERROR(__xludf.DUMMYFUNCTION("IF('From Order'!$A109=COLUMNS($A109:C128), LEFT(INDEX(FILTER(C$1:C108, C$1:C108&lt;&gt;""""),COUNTA(FILTER(C$1:C108, C$1:C108&lt;&gt;""""))), LEN(INDEX(FILTER(C$1:C108, C$1:C108&lt;&gt;""""),COUNTA(FILTER(C$1:C108, C$1:C108&lt;&gt;""""))))-1), IF('To Order'!$A109=COLUMNS($A109:C"&amp;"128), C108&amp;RIGHT(INDIRECT(ADDRESS(ROW(C109)-1, 'From Order'!$A109)), 1), C108))"),"RZTRTFMJDG")</f>
        <v>RZTRTFMJDG</v>
      </c>
      <c r="D109" s="2" t="str">
        <f>IFERROR(__xludf.DUMMYFUNCTION("IF('From Order'!$A109=COLUMNS($A109:D128), LEFT(INDEX(FILTER(D$1:D108, D$1:D108&lt;&gt;""""),COUNTA(FILTER(D$1:D108, D$1:D108&lt;&gt;""""))), LEN(INDEX(FILTER(D$1:D108, D$1:D108&lt;&gt;""""),COUNTA(FILTER(D$1:D108, D$1:D108&lt;&gt;""""))))-1), IF('To Order'!$A109=COLUMNS($A109:D"&amp;"128), D108&amp;RIGHT(INDIRECT(ADDRESS(ROW(D109)-1, 'From Order'!$A109)), 1), D108))"),"DTCHSPVMZDDTLCBR")</f>
        <v>DTCHSPVMZDDTLCBR</v>
      </c>
      <c r="E109" s="2" t="str">
        <f>IFERROR(__xludf.DUMMYFUNCTION("IF('From Order'!$A109=COLUMNS($A109:E128), LEFT(INDEX(FILTER(E$1:E108, E$1:E108&lt;&gt;""""),COUNTA(FILTER(E$1:E108, E$1:E108&lt;&gt;""""))), LEN(INDEX(FILTER(E$1:E108, E$1:E108&lt;&gt;""""),COUNTA(FILTER(E$1:E108, E$1:E108&lt;&gt;""""))))-1), IF('To Order'!$A109=COLUMNS($A109:E"&amp;"128), E108&amp;RIGHT(INDIRECT(ADDRESS(ROW(E109)-1, 'From Order'!$A109)), 1), E108))"),"GPBS")</f>
        <v>GPBS</v>
      </c>
      <c r="F109" s="2" t="str">
        <f>IFERROR(__xludf.DUMMYFUNCTION("IF('From Order'!$A109=COLUMNS($A109:F128), LEFT(INDEX(FILTER(F$1:F108, F$1:F108&lt;&gt;""""),COUNTA(FILTER(F$1:F108, F$1:F108&lt;&gt;""""))), LEN(INDEX(FILTER(F$1:F108, F$1:F108&lt;&gt;""""),COUNTA(FILTER(F$1:F108, F$1:F108&lt;&gt;""""))))-1), IF('To Order'!$A109=COLUMNS($A109:F"&amp;"128), F108&amp;RIGHT(INDIRECT(ADDRESS(ROW(F109)-1, 'From Order'!$A109)), 1), F108))"),"FBJ")</f>
        <v>FBJ</v>
      </c>
      <c r="G109" s="2" t="str">
        <f>IFERROR(__xludf.DUMMYFUNCTION("IF('From Order'!$A109=COLUMNS($A109:G128), LEFT(INDEX(FILTER(G$1:G108, G$1:G108&lt;&gt;""""),COUNTA(FILTER(G$1:G108, G$1:G108&lt;&gt;""""))), LEN(INDEX(FILTER(G$1:G108, G$1:G108&lt;&gt;""""),COUNTA(FILTER(G$1:G108, G$1:G108&lt;&gt;""""))))-1), IF('To Order'!$A109=COLUMNS($A109:G"&amp;"128), G108&amp;RIGHT(INDIRECT(ADDRESS(ROW(G109)-1, 'From Order'!$A109)), 1), G108))"),"LWL")</f>
        <v>LWL</v>
      </c>
      <c r="H109" s="2" t="str">
        <f>IFERROR(__xludf.DUMMYFUNCTION("IF('From Order'!$A109=COLUMNS($A109:H128), LEFT(INDEX(FILTER(H$1:H108, H$1:H108&lt;&gt;""""),COUNTA(FILTER(H$1:H108, H$1:H108&lt;&gt;""""))), LEN(INDEX(FILTER(H$1:H108, H$1:H108&lt;&gt;""""),COUNTA(FILTER(H$1:H108, H$1:H108&lt;&gt;""""))))-1), IF('To Order'!$A109=COLUMNS($A109:H"&amp;"128), H108&amp;RIGHT(INDIRECT(ADDRESS(ROW(H109)-1, 'From Order'!$A109)), 1), H108))"),"TVMQCDTHZJRB")</f>
        <v>TVMQCDTHZJRB</v>
      </c>
      <c r="I109" s="2" t="str">
        <f>IFERROR(__xludf.DUMMYFUNCTION("IF('From Order'!$A109=COLUMNS($A109:I128), LEFT(INDEX(FILTER(I$1:I108, I$1:I108&lt;&gt;""""),COUNTA(FILTER(I$1:I108, I$1:I108&lt;&gt;""""))), LEN(INDEX(FILTER(I$1:I108, I$1:I108&lt;&gt;""""),COUNTA(FILTER(I$1:I108, I$1:I108&lt;&gt;""""))))-1), IF('To Order'!$A109=COLUMNS($A109:I"&amp;"128), I108&amp;RIGHT(INDIRECT(ADDRESS(ROW(I109)-1, 'From Order'!$A109)), 1), I108))"),"")</f>
        <v/>
      </c>
    </row>
    <row r="110">
      <c r="A110" s="2" t="str">
        <f>IFERROR(__xludf.DUMMYFUNCTION("IF('From Order'!$A110=COLUMNS($A110:A129), LEFT(INDEX(FILTER(A$1:A109, A$1:A109&lt;&gt;""""),COUNTA(FILTER(A$1:A109, A$1:A109&lt;&gt;""""))), LEN(INDEX(FILTER(A$1:A109, A$1:A109&lt;&gt;""""),COUNTA(FILTER(A$1:A109, A$1:A109&lt;&gt;""""))))-1), IF('To Order'!$A110=COLUMNS($A110:A"&amp;"129), A109&amp;RIGHT(INDIRECT(ADDRESS(ROW(A110)-1, 'From Order'!$A110)), 1), A109))"),"")</f>
        <v/>
      </c>
      <c r="B110" s="2" t="str">
        <f>IFERROR(__xludf.DUMMYFUNCTION("IF('From Order'!$A110=COLUMNS($A110:B129), LEFT(INDEX(FILTER(B$1:B109, B$1:B109&lt;&gt;""""),COUNTA(FILTER(B$1:B109, B$1:B109&lt;&gt;""""))), LEN(INDEX(FILTER(B$1:B109, B$1:B109&lt;&gt;""""),COUNTA(FILTER(B$1:B109, B$1:B109&lt;&gt;""""))))-1), IF('To Order'!$A110=COLUMNS($A110:B"&amp;"129), B109&amp;RIGHT(INDIRECT(ADDRESS(ROW(B110)-1, 'From Order'!$A110)), 1), B109))"),"SWRVSDPQ")</f>
        <v>SWRVSDPQ</v>
      </c>
      <c r="C110" s="2" t="str">
        <f>IFERROR(__xludf.DUMMYFUNCTION("IF('From Order'!$A110=COLUMNS($A110:C129), LEFT(INDEX(FILTER(C$1:C109, C$1:C109&lt;&gt;""""),COUNTA(FILTER(C$1:C109, C$1:C109&lt;&gt;""""))), LEN(INDEX(FILTER(C$1:C109, C$1:C109&lt;&gt;""""),COUNTA(FILTER(C$1:C109, C$1:C109&lt;&gt;""""))))-1), IF('To Order'!$A110=COLUMNS($A110:C"&amp;"129), C109&amp;RIGHT(INDIRECT(ADDRESS(ROW(C110)-1, 'From Order'!$A110)), 1), C109))"),"RZTRTFMJDG")</f>
        <v>RZTRTFMJDG</v>
      </c>
      <c r="D110" s="2" t="str">
        <f>IFERROR(__xludf.DUMMYFUNCTION("IF('From Order'!$A110=COLUMNS($A110:D129), LEFT(INDEX(FILTER(D$1:D109, D$1:D109&lt;&gt;""""),COUNTA(FILTER(D$1:D109, D$1:D109&lt;&gt;""""))), LEN(INDEX(FILTER(D$1:D109, D$1:D109&lt;&gt;""""),COUNTA(FILTER(D$1:D109, D$1:D109&lt;&gt;""""))))-1), IF('To Order'!$A110=COLUMNS($A110:D"&amp;"129), D109&amp;RIGHT(INDIRECT(ADDRESS(ROW(D110)-1, 'From Order'!$A110)), 1), D109))"),"DTCHSPVMZDDTLCBR")</f>
        <v>DTCHSPVMZDDTLCBR</v>
      </c>
      <c r="E110" s="2" t="str">
        <f>IFERROR(__xludf.DUMMYFUNCTION("IF('From Order'!$A110=COLUMNS($A110:E129), LEFT(INDEX(FILTER(E$1:E109, E$1:E109&lt;&gt;""""),COUNTA(FILTER(E$1:E109, E$1:E109&lt;&gt;""""))), LEN(INDEX(FILTER(E$1:E109, E$1:E109&lt;&gt;""""),COUNTA(FILTER(E$1:E109, E$1:E109&lt;&gt;""""))))-1), IF('To Order'!$A110=COLUMNS($A110:E"&amp;"129), E109&amp;RIGHT(INDIRECT(ADDRESS(ROW(E110)-1, 'From Order'!$A110)), 1), E109))"),"GPBS")</f>
        <v>GPBS</v>
      </c>
      <c r="F110" s="2" t="str">
        <f>IFERROR(__xludf.DUMMYFUNCTION("IF('From Order'!$A110=COLUMNS($A110:F129), LEFT(INDEX(FILTER(F$1:F109, F$1:F109&lt;&gt;""""),COUNTA(FILTER(F$1:F109, F$1:F109&lt;&gt;""""))), LEN(INDEX(FILTER(F$1:F109, F$1:F109&lt;&gt;""""),COUNTA(FILTER(F$1:F109, F$1:F109&lt;&gt;""""))))-1), IF('To Order'!$A110=COLUMNS($A110:F"&amp;"129), F109&amp;RIGHT(INDIRECT(ADDRESS(ROW(F110)-1, 'From Order'!$A110)), 1), F109))"),"FBJB")</f>
        <v>FBJB</v>
      </c>
      <c r="G110" s="2" t="str">
        <f>IFERROR(__xludf.DUMMYFUNCTION("IF('From Order'!$A110=COLUMNS($A110:G129), LEFT(INDEX(FILTER(G$1:G109, G$1:G109&lt;&gt;""""),COUNTA(FILTER(G$1:G109, G$1:G109&lt;&gt;""""))), LEN(INDEX(FILTER(G$1:G109, G$1:G109&lt;&gt;""""),COUNTA(FILTER(G$1:G109, G$1:G109&lt;&gt;""""))))-1), IF('To Order'!$A110=COLUMNS($A110:G"&amp;"129), G109&amp;RIGHT(INDIRECT(ADDRESS(ROW(G110)-1, 'From Order'!$A110)), 1), G109))"),"LWL")</f>
        <v>LWL</v>
      </c>
      <c r="H110" s="2" t="str">
        <f>IFERROR(__xludf.DUMMYFUNCTION("IF('From Order'!$A110=COLUMNS($A110:H129), LEFT(INDEX(FILTER(H$1:H109, H$1:H109&lt;&gt;""""),COUNTA(FILTER(H$1:H109, H$1:H109&lt;&gt;""""))), LEN(INDEX(FILTER(H$1:H109, H$1:H109&lt;&gt;""""),COUNTA(FILTER(H$1:H109, H$1:H109&lt;&gt;""""))))-1), IF('To Order'!$A110=COLUMNS($A110:H"&amp;"129), H109&amp;RIGHT(INDIRECT(ADDRESS(ROW(H110)-1, 'From Order'!$A110)), 1), H109))"),"TVMQCDTHZJR")</f>
        <v>TVMQCDTHZJR</v>
      </c>
      <c r="I110" s="2" t="str">
        <f>IFERROR(__xludf.DUMMYFUNCTION("IF('From Order'!$A110=COLUMNS($A110:I129), LEFT(INDEX(FILTER(I$1:I109, I$1:I109&lt;&gt;""""),COUNTA(FILTER(I$1:I109, I$1:I109&lt;&gt;""""))), LEN(INDEX(FILTER(I$1:I109, I$1:I109&lt;&gt;""""),COUNTA(FILTER(I$1:I109, I$1:I109&lt;&gt;""""))))-1), IF('To Order'!$A110=COLUMNS($A110:I"&amp;"129), I109&amp;RIGHT(INDIRECT(ADDRESS(ROW(I110)-1, 'From Order'!$A110)), 1), I109))"),"")</f>
        <v/>
      </c>
    </row>
    <row r="111">
      <c r="A111" s="2" t="str">
        <f>IFERROR(__xludf.DUMMYFUNCTION("IF('From Order'!$A111=COLUMNS($A111:A130), LEFT(INDEX(FILTER(A$1:A110, A$1:A110&lt;&gt;""""),COUNTA(FILTER(A$1:A110, A$1:A110&lt;&gt;""""))), LEN(INDEX(FILTER(A$1:A110, A$1:A110&lt;&gt;""""),COUNTA(FILTER(A$1:A110, A$1:A110&lt;&gt;""""))))-1), IF('To Order'!$A111=COLUMNS($A111:A"&amp;"130), A110&amp;RIGHT(INDIRECT(ADDRESS(ROW(A111)-1, 'From Order'!$A111)), 1), A110))"),"")</f>
        <v/>
      </c>
      <c r="B111" s="2" t="str">
        <f>IFERROR(__xludf.DUMMYFUNCTION("IF('From Order'!$A111=COLUMNS($A111:B130), LEFT(INDEX(FILTER(B$1:B110, B$1:B110&lt;&gt;""""),COUNTA(FILTER(B$1:B110, B$1:B110&lt;&gt;""""))), LEN(INDEX(FILTER(B$1:B110, B$1:B110&lt;&gt;""""),COUNTA(FILTER(B$1:B110, B$1:B110&lt;&gt;""""))))-1), IF('To Order'!$A111=COLUMNS($A111:B"&amp;"130), B110&amp;RIGHT(INDIRECT(ADDRESS(ROW(B111)-1, 'From Order'!$A111)), 1), B110))"),"SWRVSDPQ")</f>
        <v>SWRVSDPQ</v>
      </c>
      <c r="C111" s="2" t="str">
        <f>IFERROR(__xludf.DUMMYFUNCTION("IF('From Order'!$A111=COLUMNS($A111:C130), LEFT(INDEX(FILTER(C$1:C110, C$1:C110&lt;&gt;""""),COUNTA(FILTER(C$1:C110, C$1:C110&lt;&gt;""""))), LEN(INDEX(FILTER(C$1:C110, C$1:C110&lt;&gt;""""),COUNTA(FILTER(C$1:C110, C$1:C110&lt;&gt;""""))))-1), IF('To Order'!$A111=COLUMNS($A111:C"&amp;"130), C110&amp;RIGHT(INDIRECT(ADDRESS(ROW(C111)-1, 'From Order'!$A111)), 1), C110))"),"RZTRTFMJDG")</f>
        <v>RZTRTFMJDG</v>
      </c>
      <c r="D111" s="2" t="str">
        <f>IFERROR(__xludf.DUMMYFUNCTION("IF('From Order'!$A111=COLUMNS($A111:D130), LEFT(INDEX(FILTER(D$1:D110, D$1:D110&lt;&gt;""""),COUNTA(FILTER(D$1:D110, D$1:D110&lt;&gt;""""))), LEN(INDEX(FILTER(D$1:D110, D$1:D110&lt;&gt;""""),COUNTA(FILTER(D$1:D110, D$1:D110&lt;&gt;""""))))-1), IF('To Order'!$A111=COLUMNS($A111:D"&amp;"130), D110&amp;RIGHT(INDIRECT(ADDRESS(ROW(D111)-1, 'From Order'!$A111)), 1), D110))"),"DTCHSPVMZDDTLCBR")</f>
        <v>DTCHSPVMZDDTLCBR</v>
      </c>
      <c r="E111" s="2" t="str">
        <f>IFERROR(__xludf.DUMMYFUNCTION("IF('From Order'!$A111=COLUMNS($A111:E130), LEFT(INDEX(FILTER(E$1:E110, E$1:E110&lt;&gt;""""),COUNTA(FILTER(E$1:E110, E$1:E110&lt;&gt;""""))), LEN(INDEX(FILTER(E$1:E110, E$1:E110&lt;&gt;""""),COUNTA(FILTER(E$1:E110, E$1:E110&lt;&gt;""""))))-1), IF('To Order'!$A111=COLUMNS($A111:E"&amp;"130), E110&amp;RIGHT(INDIRECT(ADDRESS(ROW(E111)-1, 'From Order'!$A111)), 1), E110))"),"GPBS")</f>
        <v>GPBS</v>
      </c>
      <c r="F111" s="2" t="str">
        <f>IFERROR(__xludf.DUMMYFUNCTION("IF('From Order'!$A111=COLUMNS($A111:F130), LEFT(INDEX(FILTER(F$1:F110, F$1:F110&lt;&gt;""""),COUNTA(FILTER(F$1:F110, F$1:F110&lt;&gt;""""))), LEN(INDEX(FILTER(F$1:F110, F$1:F110&lt;&gt;""""),COUNTA(FILTER(F$1:F110, F$1:F110&lt;&gt;""""))))-1), IF('To Order'!$A111=COLUMNS($A111:F"&amp;"130), F110&amp;RIGHT(INDIRECT(ADDRESS(ROW(F111)-1, 'From Order'!$A111)), 1), F110))"),"FBJBR")</f>
        <v>FBJBR</v>
      </c>
      <c r="G111" s="2" t="str">
        <f>IFERROR(__xludf.DUMMYFUNCTION("IF('From Order'!$A111=COLUMNS($A111:G130), LEFT(INDEX(FILTER(G$1:G110, G$1:G110&lt;&gt;""""),COUNTA(FILTER(G$1:G110, G$1:G110&lt;&gt;""""))), LEN(INDEX(FILTER(G$1:G110, G$1:G110&lt;&gt;""""),COUNTA(FILTER(G$1:G110, G$1:G110&lt;&gt;""""))))-1), IF('To Order'!$A111=COLUMNS($A111:G"&amp;"130), G110&amp;RIGHT(INDIRECT(ADDRESS(ROW(G111)-1, 'From Order'!$A111)), 1), G110))"),"LWL")</f>
        <v>LWL</v>
      </c>
      <c r="H111" s="2" t="str">
        <f>IFERROR(__xludf.DUMMYFUNCTION("IF('From Order'!$A111=COLUMNS($A111:H130), LEFT(INDEX(FILTER(H$1:H110, H$1:H110&lt;&gt;""""),COUNTA(FILTER(H$1:H110, H$1:H110&lt;&gt;""""))), LEN(INDEX(FILTER(H$1:H110, H$1:H110&lt;&gt;""""),COUNTA(FILTER(H$1:H110, H$1:H110&lt;&gt;""""))))-1), IF('To Order'!$A111=COLUMNS($A111:H"&amp;"130), H110&amp;RIGHT(INDIRECT(ADDRESS(ROW(H111)-1, 'From Order'!$A111)), 1), H110))"),"TVMQCDTHZJ")</f>
        <v>TVMQCDTHZJ</v>
      </c>
      <c r="I111" s="2" t="str">
        <f>IFERROR(__xludf.DUMMYFUNCTION("IF('From Order'!$A111=COLUMNS($A111:I130), LEFT(INDEX(FILTER(I$1:I110, I$1:I110&lt;&gt;""""),COUNTA(FILTER(I$1:I110, I$1:I110&lt;&gt;""""))), LEN(INDEX(FILTER(I$1:I110, I$1:I110&lt;&gt;""""),COUNTA(FILTER(I$1:I110, I$1:I110&lt;&gt;""""))))-1), IF('To Order'!$A111=COLUMNS($A111:I"&amp;"130), I110&amp;RIGHT(INDIRECT(ADDRESS(ROW(I111)-1, 'From Order'!$A111)), 1), I110))"),"")</f>
        <v/>
      </c>
    </row>
    <row r="112">
      <c r="A112" s="2" t="str">
        <f>IFERROR(__xludf.DUMMYFUNCTION("IF('From Order'!$A112=COLUMNS($A112:A131), LEFT(INDEX(FILTER(A$1:A111, A$1:A111&lt;&gt;""""),COUNTA(FILTER(A$1:A111, A$1:A111&lt;&gt;""""))), LEN(INDEX(FILTER(A$1:A111, A$1:A111&lt;&gt;""""),COUNTA(FILTER(A$1:A111, A$1:A111&lt;&gt;""""))))-1), IF('To Order'!$A112=COLUMNS($A112:A"&amp;"131), A111&amp;RIGHT(INDIRECT(ADDRESS(ROW(A112)-1, 'From Order'!$A112)), 1), A111))"),"")</f>
        <v/>
      </c>
      <c r="B112" s="2" t="str">
        <f>IFERROR(__xludf.DUMMYFUNCTION("IF('From Order'!$A112=COLUMNS($A112:B131), LEFT(INDEX(FILTER(B$1:B111, B$1:B111&lt;&gt;""""),COUNTA(FILTER(B$1:B111, B$1:B111&lt;&gt;""""))), LEN(INDEX(FILTER(B$1:B111, B$1:B111&lt;&gt;""""),COUNTA(FILTER(B$1:B111, B$1:B111&lt;&gt;""""))))-1), IF('To Order'!$A112=COLUMNS($A112:B"&amp;"131), B111&amp;RIGHT(INDIRECT(ADDRESS(ROW(B112)-1, 'From Order'!$A112)), 1), B111))"),"SWRVSDPQ")</f>
        <v>SWRVSDPQ</v>
      </c>
      <c r="C112" s="2" t="str">
        <f>IFERROR(__xludf.DUMMYFUNCTION("IF('From Order'!$A112=COLUMNS($A112:C131), LEFT(INDEX(FILTER(C$1:C111, C$1:C111&lt;&gt;""""),COUNTA(FILTER(C$1:C111, C$1:C111&lt;&gt;""""))), LEN(INDEX(FILTER(C$1:C111, C$1:C111&lt;&gt;""""),COUNTA(FILTER(C$1:C111, C$1:C111&lt;&gt;""""))))-1), IF('To Order'!$A112=COLUMNS($A112:C"&amp;"131), C111&amp;RIGHT(INDIRECT(ADDRESS(ROW(C112)-1, 'From Order'!$A112)), 1), C111))"),"RZTRTFMJDG")</f>
        <v>RZTRTFMJDG</v>
      </c>
      <c r="D112" s="2" t="str">
        <f>IFERROR(__xludf.DUMMYFUNCTION("IF('From Order'!$A112=COLUMNS($A112:D131), LEFT(INDEX(FILTER(D$1:D111, D$1:D111&lt;&gt;""""),COUNTA(FILTER(D$1:D111, D$1:D111&lt;&gt;""""))), LEN(INDEX(FILTER(D$1:D111, D$1:D111&lt;&gt;""""),COUNTA(FILTER(D$1:D111, D$1:D111&lt;&gt;""""))))-1), IF('To Order'!$A112=COLUMNS($A112:D"&amp;"131), D111&amp;RIGHT(INDIRECT(ADDRESS(ROW(D112)-1, 'From Order'!$A112)), 1), D111))"),"DTCHSPVMZDDTLCBR")</f>
        <v>DTCHSPVMZDDTLCBR</v>
      </c>
      <c r="E112" s="2" t="str">
        <f>IFERROR(__xludf.DUMMYFUNCTION("IF('From Order'!$A112=COLUMNS($A112:E131), LEFT(INDEX(FILTER(E$1:E111, E$1:E111&lt;&gt;""""),COUNTA(FILTER(E$1:E111, E$1:E111&lt;&gt;""""))), LEN(INDEX(FILTER(E$1:E111, E$1:E111&lt;&gt;""""),COUNTA(FILTER(E$1:E111, E$1:E111&lt;&gt;""""))))-1), IF('To Order'!$A112=COLUMNS($A112:E"&amp;"131), E111&amp;RIGHT(INDIRECT(ADDRESS(ROW(E112)-1, 'From Order'!$A112)), 1), E111))"),"GPBS")</f>
        <v>GPBS</v>
      </c>
      <c r="F112" s="2" t="str">
        <f>IFERROR(__xludf.DUMMYFUNCTION("IF('From Order'!$A112=COLUMNS($A112:F131), LEFT(INDEX(FILTER(F$1:F111, F$1:F111&lt;&gt;""""),COUNTA(FILTER(F$1:F111, F$1:F111&lt;&gt;""""))), LEN(INDEX(FILTER(F$1:F111, F$1:F111&lt;&gt;""""),COUNTA(FILTER(F$1:F111, F$1:F111&lt;&gt;""""))))-1), IF('To Order'!$A112=COLUMNS($A112:F"&amp;"131), F111&amp;RIGHT(INDIRECT(ADDRESS(ROW(F112)-1, 'From Order'!$A112)), 1), F111))"),"FBJB")</f>
        <v>FBJB</v>
      </c>
      <c r="G112" s="2" t="str">
        <f>IFERROR(__xludf.DUMMYFUNCTION("IF('From Order'!$A112=COLUMNS($A112:G131), LEFT(INDEX(FILTER(G$1:G111, G$1:G111&lt;&gt;""""),COUNTA(FILTER(G$1:G111, G$1:G111&lt;&gt;""""))), LEN(INDEX(FILTER(G$1:G111, G$1:G111&lt;&gt;""""),COUNTA(FILTER(G$1:G111, G$1:G111&lt;&gt;""""))))-1), IF('To Order'!$A112=COLUMNS($A112:G"&amp;"131), G111&amp;RIGHT(INDIRECT(ADDRESS(ROW(G112)-1, 'From Order'!$A112)), 1), G111))"),"LWL")</f>
        <v>LWL</v>
      </c>
      <c r="H112" s="2" t="str">
        <f>IFERROR(__xludf.DUMMYFUNCTION("IF('From Order'!$A112=COLUMNS($A112:H131), LEFT(INDEX(FILTER(H$1:H111, H$1:H111&lt;&gt;""""),COUNTA(FILTER(H$1:H111, H$1:H111&lt;&gt;""""))), LEN(INDEX(FILTER(H$1:H111, H$1:H111&lt;&gt;""""),COUNTA(FILTER(H$1:H111, H$1:H111&lt;&gt;""""))))-1), IF('To Order'!$A112=COLUMNS($A112:H"&amp;"131), H111&amp;RIGHT(INDIRECT(ADDRESS(ROW(H112)-1, 'From Order'!$A112)), 1), H111))"),"TVMQCDTHZJR")</f>
        <v>TVMQCDTHZJR</v>
      </c>
      <c r="I112" s="2" t="str">
        <f>IFERROR(__xludf.DUMMYFUNCTION("IF('From Order'!$A112=COLUMNS($A112:I131), LEFT(INDEX(FILTER(I$1:I111, I$1:I111&lt;&gt;""""),COUNTA(FILTER(I$1:I111, I$1:I111&lt;&gt;""""))), LEN(INDEX(FILTER(I$1:I111, I$1:I111&lt;&gt;""""),COUNTA(FILTER(I$1:I111, I$1:I111&lt;&gt;""""))))-1), IF('To Order'!$A112=COLUMNS($A112:I"&amp;"131), I111&amp;RIGHT(INDIRECT(ADDRESS(ROW(I112)-1, 'From Order'!$A112)), 1), I111))"),"")</f>
        <v/>
      </c>
    </row>
    <row r="113">
      <c r="A113" s="2" t="str">
        <f>IFERROR(__xludf.DUMMYFUNCTION("IF('From Order'!$A113=COLUMNS($A113:A132), LEFT(INDEX(FILTER(A$1:A112, A$1:A112&lt;&gt;""""),COUNTA(FILTER(A$1:A112, A$1:A112&lt;&gt;""""))), LEN(INDEX(FILTER(A$1:A112, A$1:A112&lt;&gt;""""),COUNTA(FILTER(A$1:A112, A$1:A112&lt;&gt;""""))))-1), IF('To Order'!$A113=COLUMNS($A113:A"&amp;"132), A112&amp;RIGHT(INDIRECT(ADDRESS(ROW(A113)-1, 'From Order'!$A113)), 1), A112))"),"")</f>
        <v/>
      </c>
      <c r="B113" s="2" t="str">
        <f>IFERROR(__xludf.DUMMYFUNCTION("IF('From Order'!$A113=COLUMNS($A113:B132), LEFT(INDEX(FILTER(B$1:B112, B$1:B112&lt;&gt;""""),COUNTA(FILTER(B$1:B112, B$1:B112&lt;&gt;""""))), LEN(INDEX(FILTER(B$1:B112, B$1:B112&lt;&gt;""""),COUNTA(FILTER(B$1:B112, B$1:B112&lt;&gt;""""))))-1), IF('To Order'!$A113=COLUMNS($A113:B"&amp;"132), B112&amp;RIGHT(INDIRECT(ADDRESS(ROW(B113)-1, 'From Order'!$A113)), 1), B112))"),"SWRVSDPQ")</f>
        <v>SWRVSDPQ</v>
      </c>
      <c r="C113" s="2" t="str">
        <f>IFERROR(__xludf.DUMMYFUNCTION("IF('From Order'!$A113=COLUMNS($A113:C132), LEFT(INDEX(FILTER(C$1:C112, C$1:C112&lt;&gt;""""),COUNTA(FILTER(C$1:C112, C$1:C112&lt;&gt;""""))), LEN(INDEX(FILTER(C$1:C112, C$1:C112&lt;&gt;""""),COUNTA(FILTER(C$1:C112, C$1:C112&lt;&gt;""""))))-1), IF('To Order'!$A113=COLUMNS($A113:C"&amp;"132), C112&amp;RIGHT(INDIRECT(ADDRESS(ROW(C113)-1, 'From Order'!$A113)), 1), C112))"),"RZTRTFMJDG")</f>
        <v>RZTRTFMJDG</v>
      </c>
      <c r="D113" s="2" t="str">
        <f>IFERROR(__xludf.DUMMYFUNCTION("IF('From Order'!$A113=COLUMNS($A113:D132), LEFT(INDEX(FILTER(D$1:D112, D$1:D112&lt;&gt;""""),COUNTA(FILTER(D$1:D112, D$1:D112&lt;&gt;""""))), LEN(INDEX(FILTER(D$1:D112, D$1:D112&lt;&gt;""""),COUNTA(FILTER(D$1:D112, D$1:D112&lt;&gt;""""))))-1), IF('To Order'!$A113=COLUMNS($A113:D"&amp;"132), D112&amp;RIGHT(INDIRECT(ADDRESS(ROW(D113)-1, 'From Order'!$A113)), 1), D112))"),"DTCHSPVMZDDTLCBR")</f>
        <v>DTCHSPVMZDDTLCBR</v>
      </c>
      <c r="E113" s="2" t="str">
        <f>IFERROR(__xludf.DUMMYFUNCTION("IF('From Order'!$A113=COLUMNS($A113:E132), LEFT(INDEX(FILTER(E$1:E112, E$1:E112&lt;&gt;""""),COUNTA(FILTER(E$1:E112, E$1:E112&lt;&gt;""""))), LEN(INDEX(FILTER(E$1:E112, E$1:E112&lt;&gt;""""),COUNTA(FILTER(E$1:E112, E$1:E112&lt;&gt;""""))))-1), IF('To Order'!$A113=COLUMNS($A113:E"&amp;"132), E112&amp;RIGHT(INDIRECT(ADDRESS(ROW(E113)-1, 'From Order'!$A113)), 1), E112))"),"GPBS")</f>
        <v>GPBS</v>
      </c>
      <c r="F113" s="2" t="str">
        <f>IFERROR(__xludf.DUMMYFUNCTION("IF('From Order'!$A113=COLUMNS($A113:F132), LEFT(INDEX(FILTER(F$1:F112, F$1:F112&lt;&gt;""""),COUNTA(FILTER(F$1:F112, F$1:F112&lt;&gt;""""))), LEN(INDEX(FILTER(F$1:F112, F$1:F112&lt;&gt;""""),COUNTA(FILTER(F$1:F112, F$1:F112&lt;&gt;""""))))-1), IF('To Order'!$A113=COLUMNS($A113:F"&amp;"132), F112&amp;RIGHT(INDIRECT(ADDRESS(ROW(F113)-1, 'From Order'!$A113)), 1), F112))"),"FBJ")</f>
        <v>FBJ</v>
      </c>
      <c r="G113" s="2" t="str">
        <f>IFERROR(__xludf.DUMMYFUNCTION("IF('From Order'!$A113=COLUMNS($A113:G132), LEFT(INDEX(FILTER(G$1:G112, G$1:G112&lt;&gt;""""),COUNTA(FILTER(G$1:G112, G$1:G112&lt;&gt;""""))), LEN(INDEX(FILTER(G$1:G112, G$1:G112&lt;&gt;""""),COUNTA(FILTER(G$1:G112, G$1:G112&lt;&gt;""""))))-1), IF('To Order'!$A113=COLUMNS($A113:G"&amp;"132), G112&amp;RIGHT(INDIRECT(ADDRESS(ROW(G113)-1, 'From Order'!$A113)), 1), G112))"),"LWL")</f>
        <v>LWL</v>
      </c>
      <c r="H113" s="2" t="str">
        <f>IFERROR(__xludf.DUMMYFUNCTION("IF('From Order'!$A113=COLUMNS($A113:H132), LEFT(INDEX(FILTER(H$1:H112, H$1:H112&lt;&gt;""""),COUNTA(FILTER(H$1:H112, H$1:H112&lt;&gt;""""))), LEN(INDEX(FILTER(H$1:H112, H$1:H112&lt;&gt;""""),COUNTA(FILTER(H$1:H112, H$1:H112&lt;&gt;""""))))-1), IF('To Order'!$A113=COLUMNS($A113:H"&amp;"132), H112&amp;RIGHT(INDIRECT(ADDRESS(ROW(H113)-1, 'From Order'!$A113)), 1), H112))"),"TVMQCDTHZJRB")</f>
        <v>TVMQCDTHZJRB</v>
      </c>
      <c r="I113" s="2" t="str">
        <f>IFERROR(__xludf.DUMMYFUNCTION("IF('From Order'!$A113=COLUMNS($A113:I132), LEFT(INDEX(FILTER(I$1:I112, I$1:I112&lt;&gt;""""),COUNTA(FILTER(I$1:I112, I$1:I112&lt;&gt;""""))), LEN(INDEX(FILTER(I$1:I112, I$1:I112&lt;&gt;""""),COUNTA(FILTER(I$1:I112, I$1:I112&lt;&gt;""""))))-1), IF('To Order'!$A113=COLUMNS($A113:I"&amp;"132), I112&amp;RIGHT(INDIRECT(ADDRESS(ROW(I113)-1, 'From Order'!$A113)), 1), I112))"),"")</f>
        <v/>
      </c>
    </row>
    <row r="114">
      <c r="A114" s="2" t="str">
        <f>IFERROR(__xludf.DUMMYFUNCTION("IF('From Order'!$A114=COLUMNS($A114:A133), LEFT(INDEX(FILTER(A$1:A113, A$1:A113&lt;&gt;""""),COUNTA(FILTER(A$1:A113, A$1:A113&lt;&gt;""""))), LEN(INDEX(FILTER(A$1:A113, A$1:A113&lt;&gt;""""),COUNTA(FILTER(A$1:A113, A$1:A113&lt;&gt;""""))))-1), IF('To Order'!$A114=COLUMNS($A114:A"&amp;"133), A113&amp;RIGHT(INDIRECT(ADDRESS(ROW(A114)-1, 'From Order'!$A114)), 1), A113))"),"")</f>
        <v/>
      </c>
      <c r="B114" s="2" t="str">
        <f>IFERROR(__xludf.DUMMYFUNCTION("IF('From Order'!$A114=COLUMNS($A114:B133), LEFT(INDEX(FILTER(B$1:B113, B$1:B113&lt;&gt;""""),COUNTA(FILTER(B$1:B113, B$1:B113&lt;&gt;""""))), LEN(INDEX(FILTER(B$1:B113, B$1:B113&lt;&gt;""""),COUNTA(FILTER(B$1:B113, B$1:B113&lt;&gt;""""))))-1), IF('To Order'!$A114=COLUMNS($A114:B"&amp;"133), B113&amp;RIGHT(INDIRECT(ADDRESS(ROW(B114)-1, 'From Order'!$A114)), 1), B113))"),"SWRVSDPQ")</f>
        <v>SWRVSDPQ</v>
      </c>
      <c r="C114" s="2" t="str">
        <f>IFERROR(__xludf.DUMMYFUNCTION("IF('From Order'!$A114=COLUMNS($A114:C133), LEFT(INDEX(FILTER(C$1:C113, C$1:C113&lt;&gt;""""),COUNTA(FILTER(C$1:C113, C$1:C113&lt;&gt;""""))), LEN(INDEX(FILTER(C$1:C113, C$1:C113&lt;&gt;""""),COUNTA(FILTER(C$1:C113, C$1:C113&lt;&gt;""""))))-1), IF('To Order'!$A114=COLUMNS($A114:C"&amp;"133), C113&amp;RIGHT(INDIRECT(ADDRESS(ROW(C114)-1, 'From Order'!$A114)), 1), C113))"),"RZTRTFMJD")</f>
        <v>RZTRTFMJD</v>
      </c>
      <c r="D114" s="2" t="str">
        <f>IFERROR(__xludf.DUMMYFUNCTION("IF('From Order'!$A114=COLUMNS($A114:D133), LEFT(INDEX(FILTER(D$1:D113, D$1:D113&lt;&gt;""""),COUNTA(FILTER(D$1:D113, D$1:D113&lt;&gt;""""))), LEN(INDEX(FILTER(D$1:D113, D$1:D113&lt;&gt;""""),COUNTA(FILTER(D$1:D113, D$1:D113&lt;&gt;""""))))-1), IF('To Order'!$A114=COLUMNS($A114:D"&amp;"133), D113&amp;RIGHT(INDIRECT(ADDRESS(ROW(D114)-1, 'From Order'!$A114)), 1), D113))"),"DTCHSPVMZDDTLCBR")</f>
        <v>DTCHSPVMZDDTLCBR</v>
      </c>
      <c r="E114" s="2" t="str">
        <f>IFERROR(__xludf.DUMMYFUNCTION("IF('From Order'!$A114=COLUMNS($A114:E133), LEFT(INDEX(FILTER(E$1:E113, E$1:E113&lt;&gt;""""),COUNTA(FILTER(E$1:E113, E$1:E113&lt;&gt;""""))), LEN(INDEX(FILTER(E$1:E113, E$1:E113&lt;&gt;""""),COUNTA(FILTER(E$1:E113, E$1:E113&lt;&gt;""""))))-1), IF('To Order'!$A114=COLUMNS($A114:E"&amp;"133), E113&amp;RIGHT(INDIRECT(ADDRESS(ROW(E114)-1, 'From Order'!$A114)), 1), E113))"),"GPBSG")</f>
        <v>GPBSG</v>
      </c>
      <c r="F114" s="2" t="str">
        <f>IFERROR(__xludf.DUMMYFUNCTION("IF('From Order'!$A114=COLUMNS($A114:F133), LEFT(INDEX(FILTER(F$1:F113, F$1:F113&lt;&gt;""""),COUNTA(FILTER(F$1:F113, F$1:F113&lt;&gt;""""))), LEN(INDEX(FILTER(F$1:F113, F$1:F113&lt;&gt;""""),COUNTA(FILTER(F$1:F113, F$1:F113&lt;&gt;""""))))-1), IF('To Order'!$A114=COLUMNS($A114:F"&amp;"133), F113&amp;RIGHT(INDIRECT(ADDRESS(ROW(F114)-1, 'From Order'!$A114)), 1), F113))"),"FBJ")</f>
        <v>FBJ</v>
      </c>
      <c r="G114" s="2" t="str">
        <f>IFERROR(__xludf.DUMMYFUNCTION("IF('From Order'!$A114=COLUMNS($A114:G133), LEFT(INDEX(FILTER(G$1:G113, G$1:G113&lt;&gt;""""),COUNTA(FILTER(G$1:G113, G$1:G113&lt;&gt;""""))), LEN(INDEX(FILTER(G$1:G113, G$1:G113&lt;&gt;""""),COUNTA(FILTER(G$1:G113, G$1:G113&lt;&gt;""""))))-1), IF('To Order'!$A114=COLUMNS($A114:G"&amp;"133), G113&amp;RIGHT(INDIRECT(ADDRESS(ROW(G114)-1, 'From Order'!$A114)), 1), G113))"),"LWL")</f>
        <v>LWL</v>
      </c>
      <c r="H114" s="2" t="str">
        <f>IFERROR(__xludf.DUMMYFUNCTION("IF('From Order'!$A114=COLUMNS($A114:H133), LEFT(INDEX(FILTER(H$1:H113, H$1:H113&lt;&gt;""""),COUNTA(FILTER(H$1:H113, H$1:H113&lt;&gt;""""))), LEN(INDEX(FILTER(H$1:H113, H$1:H113&lt;&gt;""""),COUNTA(FILTER(H$1:H113, H$1:H113&lt;&gt;""""))))-1), IF('To Order'!$A114=COLUMNS($A114:H"&amp;"133), H113&amp;RIGHT(INDIRECT(ADDRESS(ROW(H114)-1, 'From Order'!$A114)), 1), H113))"),"TVMQCDTHZJRB")</f>
        <v>TVMQCDTHZJRB</v>
      </c>
      <c r="I114" s="2" t="str">
        <f>IFERROR(__xludf.DUMMYFUNCTION("IF('From Order'!$A114=COLUMNS($A114:I133), LEFT(INDEX(FILTER(I$1:I113, I$1:I113&lt;&gt;""""),COUNTA(FILTER(I$1:I113, I$1:I113&lt;&gt;""""))), LEN(INDEX(FILTER(I$1:I113, I$1:I113&lt;&gt;""""),COUNTA(FILTER(I$1:I113, I$1:I113&lt;&gt;""""))))-1), IF('To Order'!$A114=COLUMNS($A114:I"&amp;"133), I113&amp;RIGHT(INDIRECT(ADDRESS(ROW(I114)-1, 'From Order'!$A114)), 1), I113))"),"")</f>
        <v/>
      </c>
    </row>
    <row r="115">
      <c r="A115" s="2" t="str">
        <f>IFERROR(__xludf.DUMMYFUNCTION("IF('From Order'!$A115=COLUMNS($A115:A134), LEFT(INDEX(FILTER(A$1:A114, A$1:A114&lt;&gt;""""),COUNTA(FILTER(A$1:A114, A$1:A114&lt;&gt;""""))), LEN(INDEX(FILTER(A$1:A114, A$1:A114&lt;&gt;""""),COUNTA(FILTER(A$1:A114, A$1:A114&lt;&gt;""""))))-1), IF('To Order'!$A115=COLUMNS($A115:A"&amp;"134), A114&amp;RIGHT(INDIRECT(ADDRESS(ROW(A115)-1, 'From Order'!$A115)), 1), A114))"),"")</f>
        <v/>
      </c>
      <c r="B115" s="2" t="str">
        <f>IFERROR(__xludf.DUMMYFUNCTION("IF('From Order'!$A115=COLUMNS($A115:B134), LEFT(INDEX(FILTER(B$1:B114, B$1:B114&lt;&gt;""""),COUNTA(FILTER(B$1:B114, B$1:B114&lt;&gt;""""))), LEN(INDEX(FILTER(B$1:B114, B$1:B114&lt;&gt;""""),COUNTA(FILTER(B$1:B114, B$1:B114&lt;&gt;""""))))-1), IF('To Order'!$A115=COLUMNS($A115:B"&amp;"134), B114&amp;RIGHT(INDIRECT(ADDRESS(ROW(B115)-1, 'From Order'!$A115)), 1), B114))"),"SWRVSDPQ")</f>
        <v>SWRVSDPQ</v>
      </c>
      <c r="C115" s="2" t="str">
        <f>IFERROR(__xludf.DUMMYFUNCTION("IF('From Order'!$A115=COLUMNS($A115:C134), LEFT(INDEX(FILTER(C$1:C114, C$1:C114&lt;&gt;""""),COUNTA(FILTER(C$1:C114, C$1:C114&lt;&gt;""""))), LEN(INDEX(FILTER(C$1:C114, C$1:C114&lt;&gt;""""),COUNTA(FILTER(C$1:C114, C$1:C114&lt;&gt;""""))))-1), IF('To Order'!$A115=COLUMNS($A115:C"&amp;"134), C114&amp;RIGHT(INDIRECT(ADDRESS(ROW(C115)-1, 'From Order'!$A115)), 1), C114))"),"RZTRTFMJ")</f>
        <v>RZTRTFMJ</v>
      </c>
      <c r="D115" s="2" t="str">
        <f>IFERROR(__xludf.DUMMYFUNCTION("IF('From Order'!$A115=COLUMNS($A115:D134), LEFT(INDEX(FILTER(D$1:D114, D$1:D114&lt;&gt;""""),COUNTA(FILTER(D$1:D114, D$1:D114&lt;&gt;""""))), LEN(INDEX(FILTER(D$1:D114, D$1:D114&lt;&gt;""""),COUNTA(FILTER(D$1:D114, D$1:D114&lt;&gt;""""))))-1), IF('To Order'!$A115=COLUMNS($A115:D"&amp;"134), D114&amp;RIGHT(INDIRECT(ADDRESS(ROW(D115)-1, 'From Order'!$A115)), 1), D114))"),"DTCHSPVMZDDTLCBR")</f>
        <v>DTCHSPVMZDDTLCBR</v>
      </c>
      <c r="E115" s="2" t="str">
        <f>IFERROR(__xludf.DUMMYFUNCTION("IF('From Order'!$A115=COLUMNS($A115:E134), LEFT(INDEX(FILTER(E$1:E114, E$1:E114&lt;&gt;""""),COUNTA(FILTER(E$1:E114, E$1:E114&lt;&gt;""""))), LEN(INDEX(FILTER(E$1:E114, E$1:E114&lt;&gt;""""),COUNTA(FILTER(E$1:E114, E$1:E114&lt;&gt;""""))))-1), IF('To Order'!$A115=COLUMNS($A115:E"&amp;"134), E114&amp;RIGHT(INDIRECT(ADDRESS(ROW(E115)-1, 'From Order'!$A115)), 1), E114))"),"GPBSGD")</f>
        <v>GPBSGD</v>
      </c>
      <c r="F115" s="2" t="str">
        <f>IFERROR(__xludf.DUMMYFUNCTION("IF('From Order'!$A115=COLUMNS($A115:F134), LEFT(INDEX(FILTER(F$1:F114, F$1:F114&lt;&gt;""""),COUNTA(FILTER(F$1:F114, F$1:F114&lt;&gt;""""))), LEN(INDEX(FILTER(F$1:F114, F$1:F114&lt;&gt;""""),COUNTA(FILTER(F$1:F114, F$1:F114&lt;&gt;""""))))-1), IF('To Order'!$A115=COLUMNS($A115:F"&amp;"134), F114&amp;RIGHT(INDIRECT(ADDRESS(ROW(F115)-1, 'From Order'!$A115)), 1), F114))"),"FBJ")</f>
        <v>FBJ</v>
      </c>
      <c r="G115" s="2" t="str">
        <f>IFERROR(__xludf.DUMMYFUNCTION("IF('From Order'!$A115=COLUMNS($A115:G134), LEFT(INDEX(FILTER(G$1:G114, G$1:G114&lt;&gt;""""),COUNTA(FILTER(G$1:G114, G$1:G114&lt;&gt;""""))), LEN(INDEX(FILTER(G$1:G114, G$1:G114&lt;&gt;""""),COUNTA(FILTER(G$1:G114, G$1:G114&lt;&gt;""""))))-1), IF('To Order'!$A115=COLUMNS($A115:G"&amp;"134), G114&amp;RIGHT(INDIRECT(ADDRESS(ROW(G115)-1, 'From Order'!$A115)), 1), G114))"),"LWL")</f>
        <v>LWL</v>
      </c>
      <c r="H115" s="2" t="str">
        <f>IFERROR(__xludf.DUMMYFUNCTION("IF('From Order'!$A115=COLUMNS($A115:H134), LEFT(INDEX(FILTER(H$1:H114, H$1:H114&lt;&gt;""""),COUNTA(FILTER(H$1:H114, H$1:H114&lt;&gt;""""))), LEN(INDEX(FILTER(H$1:H114, H$1:H114&lt;&gt;""""),COUNTA(FILTER(H$1:H114, H$1:H114&lt;&gt;""""))))-1), IF('To Order'!$A115=COLUMNS($A115:H"&amp;"134), H114&amp;RIGHT(INDIRECT(ADDRESS(ROW(H115)-1, 'From Order'!$A115)), 1), H114))"),"TVMQCDTHZJRB")</f>
        <v>TVMQCDTHZJRB</v>
      </c>
      <c r="I115" s="2" t="str">
        <f>IFERROR(__xludf.DUMMYFUNCTION("IF('From Order'!$A115=COLUMNS($A115:I134), LEFT(INDEX(FILTER(I$1:I114, I$1:I114&lt;&gt;""""),COUNTA(FILTER(I$1:I114, I$1:I114&lt;&gt;""""))), LEN(INDEX(FILTER(I$1:I114, I$1:I114&lt;&gt;""""),COUNTA(FILTER(I$1:I114, I$1:I114&lt;&gt;""""))))-1), IF('To Order'!$A115=COLUMNS($A115:I"&amp;"134), I114&amp;RIGHT(INDIRECT(ADDRESS(ROW(I115)-1, 'From Order'!$A115)), 1), I114))"),"")</f>
        <v/>
      </c>
    </row>
    <row r="116">
      <c r="A116" s="2" t="str">
        <f>IFERROR(__xludf.DUMMYFUNCTION("IF('From Order'!$A116=COLUMNS($A116:A135), LEFT(INDEX(FILTER(A$1:A115, A$1:A115&lt;&gt;""""),COUNTA(FILTER(A$1:A115, A$1:A115&lt;&gt;""""))), LEN(INDEX(FILTER(A$1:A115, A$1:A115&lt;&gt;""""),COUNTA(FILTER(A$1:A115, A$1:A115&lt;&gt;""""))))-1), IF('To Order'!$A116=COLUMNS($A116:A"&amp;"135), A115&amp;RIGHT(INDIRECT(ADDRESS(ROW(A116)-1, 'From Order'!$A116)), 1), A115))"),"")</f>
        <v/>
      </c>
      <c r="B116" s="2" t="str">
        <f>IFERROR(__xludf.DUMMYFUNCTION("IF('From Order'!$A116=COLUMNS($A116:B135), LEFT(INDEX(FILTER(B$1:B115, B$1:B115&lt;&gt;""""),COUNTA(FILTER(B$1:B115, B$1:B115&lt;&gt;""""))), LEN(INDEX(FILTER(B$1:B115, B$1:B115&lt;&gt;""""),COUNTA(FILTER(B$1:B115, B$1:B115&lt;&gt;""""))))-1), IF('To Order'!$A116=COLUMNS($A116:B"&amp;"135), B115&amp;RIGHT(INDIRECT(ADDRESS(ROW(B116)-1, 'From Order'!$A116)), 1), B115))"),"SWRVSDPQ")</f>
        <v>SWRVSDPQ</v>
      </c>
      <c r="C116" s="2" t="str">
        <f>IFERROR(__xludf.DUMMYFUNCTION("IF('From Order'!$A116=COLUMNS($A116:C135), LEFT(INDEX(FILTER(C$1:C115, C$1:C115&lt;&gt;""""),COUNTA(FILTER(C$1:C115, C$1:C115&lt;&gt;""""))), LEN(INDEX(FILTER(C$1:C115, C$1:C115&lt;&gt;""""),COUNTA(FILTER(C$1:C115, C$1:C115&lt;&gt;""""))))-1), IF('To Order'!$A116=COLUMNS($A116:C"&amp;"135), C115&amp;RIGHT(INDIRECT(ADDRESS(ROW(C116)-1, 'From Order'!$A116)), 1), C115))"),"RZTRTFM")</f>
        <v>RZTRTFM</v>
      </c>
      <c r="D116" s="2" t="str">
        <f>IFERROR(__xludf.DUMMYFUNCTION("IF('From Order'!$A116=COLUMNS($A116:D135), LEFT(INDEX(FILTER(D$1:D115, D$1:D115&lt;&gt;""""),COUNTA(FILTER(D$1:D115, D$1:D115&lt;&gt;""""))), LEN(INDEX(FILTER(D$1:D115, D$1:D115&lt;&gt;""""),COUNTA(FILTER(D$1:D115, D$1:D115&lt;&gt;""""))))-1), IF('To Order'!$A116=COLUMNS($A116:D"&amp;"135), D115&amp;RIGHT(INDIRECT(ADDRESS(ROW(D116)-1, 'From Order'!$A116)), 1), D115))"),"DTCHSPVMZDDTLCBR")</f>
        <v>DTCHSPVMZDDTLCBR</v>
      </c>
      <c r="E116" s="2" t="str">
        <f>IFERROR(__xludf.DUMMYFUNCTION("IF('From Order'!$A116=COLUMNS($A116:E135), LEFT(INDEX(FILTER(E$1:E115, E$1:E115&lt;&gt;""""),COUNTA(FILTER(E$1:E115, E$1:E115&lt;&gt;""""))), LEN(INDEX(FILTER(E$1:E115, E$1:E115&lt;&gt;""""),COUNTA(FILTER(E$1:E115, E$1:E115&lt;&gt;""""))))-1), IF('To Order'!$A116=COLUMNS($A116:E"&amp;"135), E115&amp;RIGHT(INDIRECT(ADDRESS(ROW(E116)-1, 'From Order'!$A116)), 1), E115))"),"GPBSGDJ")</f>
        <v>GPBSGDJ</v>
      </c>
      <c r="F116" s="2" t="str">
        <f>IFERROR(__xludf.DUMMYFUNCTION("IF('From Order'!$A116=COLUMNS($A116:F135), LEFT(INDEX(FILTER(F$1:F115, F$1:F115&lt;&gt;""""),COUNTA(FILTER(F$1:F115, F$1:F115&lt;&gt;""""))), LEN(INDEX(FILTER(F$1:F115, F$1:F115&lt;&gt;""""),COUNTA(FILTER(F$1:F115, F$1:F115&lt;&gt;""""))))-1), IF('To Order'!$A116=COLUMNS($A116:F"&amp;"135), F115&amp;RIGHT(INDIRECT(ADDRESS(ROW(F116)-1, 'From Order'!$A116)), 1), F115))"),"FBJ")</f>
        <v>FBJ</v>
      </c>
      <c r="G116" s="2" t="str">
        <f>IFERROR(__xludf.DUMMYFUNCTION("IF('From Order'!$A116=COLUMNS($A116:G135), LEFT(INDEX(FILTER(G$1:G115, G$1:G115&lt;&gt;""""),COUNTA(FILTER(G$1:G115, G$1:G115&lt;&gt;""""))), LEN(INDEX(FILTER(G$1:G115, G$1:G115&lt;&gt;""""),COUNTA(FILTER(G$1:G115, G$1:G115&lt;&gt;""""))))-1), IF('To Order'!$A116=COLUMNS($A116:G"&amp;"135), G115&amp;RIGHT(INDIRECT(ADDRESS(ROW(G116)-1, 'From Order'!$A116)), 1), G115))"),"LWL")</f>
        <v>LWL</v>
      </c>
      <c r="H116" s="2" t="str">
        <f>IFERROR(__xludf.DUMMYFUNCTION("IF('From Order'!$A116=COLUMNS($A116:H135), LEFT(INDEX(FILTER(H$1:H115, H$1:H115&lt;&gt;""""),COUNTA(FILTER(H$1:H115, H$1:H115&lt;&gt;""""))), LEN(INDEX(FILTER(H$1:H115, H$1:H115&lt;&gt;""""),COUNTA(FILTER(H$1:H115, H$1:H115&lt;&gt;""""))))-1), IF('To Order'!$A116=COLUMNS($A116:H"&amp;"135), H115&amp;RIGHT(INDIRECT(ADDRESS(ROW(H116)-1, 'From Order'!$A116)), 1), H115))"),"TVMQCDTHZJRB")</f>
        <v>TVMQCDTHZJRB</v>
      </c>
      <c r="I116" s="2" t="str">
        <f>IFERROR(__xludf.DUMMYFUNCTION("IF('From Order'!$A116=COLUMNS($A116:I135), LEFT(INDEX(FILTER(I$1:I115, I$1:I115&lt;&gt;""""),COUNTA(FILTER(I$1:I115, I$1:I115&lt;&gt;""""))), LEN(INDEX(FILTER(I$1:I115, I$1:I115&lt;&gt;""""),COUNTA(FILTER(I$1:I115, I$1:I115&lt;&gt;""""))))-1), IF('To Order'!$A116=COLUMNS($A116:I"&amp;"135), I115&amp;RIGHT(INDIRECT(ADDRESS(ROW(I116)-1, 'From Order'!$A116)), 1), I115))"),"")</f>
        <v/>
      </c>
    </row>
    <row r="117">
      <c r="A117" s="2" t="str">
        <f>IFERROR(__xludf.DUMMYFUNCTION("IF('From Order'!$A117=COLUMNS($A117:A136), LEFT(INDEX(FILTER(A$1:A116, A$1:A116&lt;&gt;""""),COUNTA(FILTER(A$1:A116, A$1:A116&lt;&gt;""""))), LEN(INDEX(FILTER(A$1:A116, A$1:A116&lt;&gt;""""),COUNTA(FILTER(A$1:A116, A$1:A116&lt;&gt;""""))))-1), IF('To Order'!$A117=COLUMNS($A117:A"&amp;"136), A116&amp;RIGHT(INDIRECT(ADDRESS(ROW(A117)-1, 'From Order'!$A117)), 1), A116))"),"")</f>
        <v/>
      </c>
      <c r="B117" s="2" t="str">
        <f>IFERROR(__xludf.DUMMYFUNCTION("IF('From Order'!$A117=COLUMNS($A117:B136), LEFT(INDEX(FILTER(B$1:B116, B$1:B116&lt;&gt;""""),COUNTA(FILTER(B$1:B116, B$1:B116&lt;&gt;""""))), LEN(INDEX(FILTER(B$1:B116, B$1:B116&lt;&gt;""""),COUNTA(FILTER(B$1:B116, B$1:B116&lt;&gt;""""))))-1), IF('To Order'!$A117=COLUMNS($A117:B"&amp;"136), B116&amp;RIGHT(INDIRECT(ADDRESS(ROW(B117)-1, 'From Order'!$A117)), 1), B116))"),"SWRVSDPQ")</f>
        <v>SWRVSDPQ</v>
      </c>
      <c r="C117" s="2" t="str">
        <f>IFERROR(__xludf.DUMMYFUNCTION("IF('From Order'!$A117=COLUMNS($A117:C136), LEFT(INDEX(FILTER(C$1:C116, C$1:C116&lt;&gt;""""),COUNTA(FILTER(C$1:C116, C$1:C116&lt;&gt;""""))), LEN(INDEX(FILTER(C$1:C116, C$1:C116&lt;&gt;""""),COUNTA(FILTER(C$1:C116, C$1:C116&lt;&gt;""""))))-1), IF('To Order'!$A117=COLUMNS($A117:C"&amp;"136), C116&amp;RIGHT(INDIRECT(ADDRESS(ROW(C117)-1, 'From Order'!$A117)), 1), C116))"),"RZTRTF")</f>
        <v>RZTRTF</v>
      </c>
      <c r="D117" s="2" t="str">
        <f>IFERROR(__xludf.DUMMYFUNCTION("IF('From Order'!$A117=COLUMNS($A117:D136), LEFT(INDEX(FILTER(D$1:D116, D$1:D116&lt;&gt;""""),COUNTA(FILTER(D$1:D116, D$1:D116&lt;&gt;""""))), LEN(INDEX(FILTER(D$1:D116, D$1:D116&lt;&gt;""""),COUNTA(FILTER(D$1:D116, D$1:D116&lt;&gt;""""))))-1), IF('To Order'!$A117=COLUMNS($A117:D"&amp;"136), D116&amp;RIGHT(INDIRECT(ADDRESS(ROW(D117)-1, 'From Order'!$A117)), 1), D116))"),"DTCHSPVMZDDTLCBR")</f>
        <v>DTCHSPVMZDDTLCBR</v>
      </c>
      <c r="E117" s="2" t="str">
        <f>IFERROR(__xludf.DUMMYFUNCTION("IF('From Order'!$A117=COLUMNS($A117:E136), LEFT(INDEX(FILTER(E$1:E116, E$1:E116&lt;&gt;""""),COUNTA(FILTER(E$1:E116, E$1:E116&lt;&gt;""""))), LEN(INDEX(FILTER(E$1:E116, E$1:E116&lt;&gt;""""),COUNTA(FILTER(E$1:E116, E$1:E116&lt;&gt;""""))))-1), IF('To Order'!$A117=COLUMNS($A117:E"&amp;"136), E116&amp;RIGHT(INDIRECT(ADDRESS(ROW(E117)-1, 'From Order'!$A117)), 1), E116))"),"GPBSGDJM")</f>
        <v>GPBSGDJM</v>
      </c>
      <c r="F117" s="2" t="str">
        <f>IFERROR(__xludf.DUMMYFUNCTION("IF('From Order'!$A117=COLUMNS($A117:F136), LEFT(INDEX(FILTER(F$1:F116, F$1:F116&lt;&gt;""""),COUNTA(FILTER(F$1:F116, F$1:F116&lt;&gt;""""))), LEN(INDEX(FILTER(F$1:F116, F$1:F116&lt;&gt;""""),COUNTA(FILTER(F$1:F116, F$1:F116&lt;&gt;""""))))-1), IF('To Order'!$A117=COLUMNS($A117:F"&amp;"136), F116&amp;RIGHT(INDIRECT(ADDRESS(ROW(F117)-1, 'From Order'!$A117)), 1), F116))"),"FBJ")</f>
        <v>FBJ</v>
      </c>
      <c r="G117" s="2" t="str">
        <f>IFERROR(__xludf.DUMMYFUNCTION("IF('From Order'!$A117=COLUMNS($A117:G136), LEFT(INDEX(FILTER(G$1:G116, G$1:G116&lt;&gt;""""),COUNTA(FILTER(G$1:G116, G$1:G116&lt;&gt;""""))), LEN(INDEX(FILTER(G$1:G116, G$1:G116&lt;&gt;""""),COUNTA(FILTER(G$1:G116, G$1:G116&lt;&gt;""""))))-1), IF('To Order'!$A117=COLUMNS($A117:G"&amp;"136), G116&amp;RIGHT(INDIRECT(ADDRESS(ROW(G117)-1, 'From Order'!$A117)), 1), G116))"),"LWL")</f>
        <v>LWL</v>
      </c>
      <c r="H117" s="2" t="str">
        <f>IFERROR(__xludf.DUMMYFUNCTION("IF('From Order'!$A117=COLUMNS($A117:H136), LEFT(INDEX(FILTER(H$1:H116, H$1:H116&lt;&gt;""""),COUNTA(FILTER(H$1:H116, H$1:H116&lt;&gt;""""))), LEN(INDEX(FILTER(H$1:H116, H$1:H116&lt;&gt;""""),COUNTA(FILTER(H$1:H116, H$1:H116&lt;&gt;""""))))-1), IF('To Order'!$A117=COLUMNS($A117:H"&amp;"136), H116&amp;RIGHT(INDIRECT(ADDRESS(ROW(H117)-1, 'From Order'!$A117)), 1), H116))"),"TVMQCDTHZJRB")</f>
        <v>TVMQCDTHZJRB</v>
      </c>
      <c r="I117" s="2" t="str">
        <f>IFERROR(__xludf.DUMMYFUNCTION("IF('From Order'!$A117=COLUMNS($A117:I136), LEFT(INDEX(FILTER(I$1:I116, I$1:I116&lt;&gt;""""),COUNTA(FILTER(I$1:I116, I$1:I116&lt;&gt;""""))), LEN(INDEX(FILTER(I$1:I116, I$1:I116&lt;&gt;""""),COUNTA(FILTER(I$1:I116, I$1:I116&lt;&gt;""""))))-1), IF('To Order'!$A117=COLUMNS($A117:I"&amp;"136), I116&amp;RIGHT(INDIRECT(ADDRESS(ROW(I117)-1, 'From Order'!$A117)), 1), I116))"),"")</f>
        <v/>
      </c>
    </row>
    <row r="118">
      <c r="A118" s="2" t="str">
        <f>IFERROR(__xludf.DUMMYFUNCTION("IF('From Order'!$A118=COLUMNS($A118:A137), LEFT(INDEX(FILTER(A$1:A117, A$1:A117&lt;&gt;""""),COUNTA(FILTER(A$1:A117, A$1:A117&lt;&gt;""""))), LEN(INDEX(FILTER(A$1:A117, A$1:A117&lt;&gt;""""),COUNTA(FILTER(A$1:A117, A$1:A117&lt;&gt;""""))))-1), IF('To Order'!$A118=COLUMNS($A118:A"&amp;"137), A117&amp;RIGHT(INDIRECT(ADDRESS(ROW(A118)-1, 'From Order'!$A118)), 1), A117))"),"")</f>
        <v/>
      </c>
      <c r="B118" s="2" t="str">
        <f>IFERROR(__xludf.DUMMYFUNCTION("IF('From Order'!$A118=COLUMNS($A118:B137), LEFT(INDEX(FILTER(B$1:B117, B$1:B117&lt;&gt;""""),COUNTA(FILTER(B$1:B117, B$1:B117&lt;&gt;""""))), LEN(INDEX(FILTER(B$1:B117, B$1:B117&lt;&gt;""""),COUNTA(FILTER(B$1:B117, B$1:B117&lt;&gt;""""))))-1), IF('To Order'!$A118=COLUMNS($A118:B"&amp;"137), B117&amp;RIGHT(INDIRECT(ADDRESS(ROW(B118)-1, 'From Order'!$A118)), 1), B117))"),"SWRVSDPQ")</f>
        <v>SWRVSDPQ</v>
      </c>
      <c r="C118" s="2" t="str">
        <f>IFERROR(__xludf.DUMMYFUNCTION("IF('From Order'!$A118=COLUMNS($A118:C137), LEFT(INDEX(FILTER(C$1:C117, C$1:C117&lt;&gt;""""),COUNTA(FILTER(C$1:C117, C$1:C117&lt;&gt;""""))), LEN(INDEX(FILTER(C$1:C117, C$1:C117&lt;&gt;""""),COUNTA(FILTER(C$1:C117, C$1:C117&lt;&gt;""""))))-1), IF('To Order'!$A118=COLUMNS($A118:C"&amp;"137), C117&amp;RIGHT(INDIRECT(ADDRESS(ROW(C118)-1, 'From Order'!$A118)), 1), C117))"),"RZTRT")</f>
        <v>RZTRT</v>
      </c>
      <c r="D118" s="2" t="str">
        <f>IFERROR(__xludf.DUMMYFUNCTION("IF('From Order'!$A118=COLUMNS($A118:D137), LEFT(INDEX(FILTER(D$1:D117, D$1:D117&lt;&gt;""""),COUNTA(FILTER(D$1:D117, D$1:D117&lt;&gt;""""))), LEN(INDEX(FILTER(D$1:D117, D$1:D117&lt;&gt;""""),COUNTA(FILTER(D$1:D117, D$1:D117&lt;&gt;""""))))-1), IF('To Order'!$A118=COLUMNS($A118:D"&amp;"137), D117&amp;RIGHT(INDIRECT(ADDRESS(ROW(D118)-1, 'From Order'!$A118)), 1), D117))"),"DTCHSPVMZDDTLCBR")</f>
        <v>DTCHSPVMZDDTLCBR</v>
      </c>
      <c r="E118" s="2" t="str">
        <f>IFERROR(__xludf.DUMMYFUNCTION("IF('From Order'!$A118=COLUMNS($A118:E137), LEFT(INDEX(FILTER(E$1:E117, E$1:E117&lt;&gt;""""),COUNTA(FILTER(E$1:E117, E$1:E117&lt;&gt;""""))), LEN(INDEX(FILTER(E$1:E117, E$1:E117&lt;&gt;""""),COUNTA(FILTER(E$1:E117, E$1:E117&lt;&gt;""""))))-1), IF('To Order'!$A118=COLUMNS($A118:E"&amp;"137), E117&amp;RIGHT(INDIRECT(ADDRESS(ROW(E118)-1, 'From Order'!$A118)), 1), E117))"),"GPBSGDJMF")</f>
        <v>GPBSGDJMF</v>
      </c>
      <c r="F118" s="2" t="str">
        <f>IFERROR(__xludf.DUMMYFUNCTION("IF('From Order'!$A118=COLUMNS($A118:F137), LEFT(INDEX(FILTER(F$1:F117, F$1:F117&lt;&gt;""""),COUNTA(FILTER(F$1:F117, F$1:F117&lt;&gt;""""))), LEN(INDEX(FILTER(F$1:F117, F$1:F117&lt;&gt;""""),COUNTA(FILTER(F$1:F117, F$1:F117&lt;&gt;""""))))-1), IF('To Order'!$A118=COLUMNS($A118:F"&amp;"137), F117&amp;RIGHT(INDIRECT(ADDRESS(ROW(F118)-1, 'From Order'!$A118)), 1), F117))"),"FBJ")</f>
        <v>FBJ</v>
      </c>
      <c r="G118" s="2" t="str">
        <f>IFERROR(__xludf.DUMMYFUNCTION("IF('From Order'!$A118=COLUMNS($A118:G137), LEFT(INDEX(FILTER(G$1:G117, G$1:G117&lt;&gt;""""),COUNTA(FILTER(G$1:G117, G$1:G117&lt;&gt;""""))), LEN(INDEX(FILTER(G$1:G117, G$1:G117&lt;&gt;""""),COUNTA(FILTER(G$1:G117, G$1:G117&lt;&gt;""""))))-1), IF('To Order'!$A118=COLUMNS($A118:G"&amp;"137), G117&amp;RIGHT(INDIRECT(ADDRESS(ROW(G118)-1, 'From Order'!$A118)), 1), G117))"),"LWL")</f>
        <v>LWL</v>
      </c>
      <c r="H118" s="2" t="str">
        <f>IFERROR(__xludf.DUMMYFUNCTION("IF('From Order'!$A118=COLUMNS($A118:H137), LEFT(INDEX(FILTER(H$1:H117, H$1:H117&lt;&gt;""""),COUNTA(FILTER(H$1:H117, H$1:H117&lt;&gt;""""))), LEN(INDEX(FILTER(H$1:H117, H$1:H117&lt;&gt;""""),COUNTA(FILTER(H$1:H117, H$1:H117&lt;&gt;""""))))-1), IF('To Order'!$A118=COLUMNS($A118:H"&amp;"137), H117&amp;RIGHT(INDIRECT(ADDRESS(ROW(H118)-1, 'From Order'!$A118)), 1), H117))"),"TVMQCDTHZJRB")</f>
        <v>TVMQCDTHZJRB</v>
      </c>
      <c r="I118" s="2" t="str">
        <f>IFERROR(__xludf.DUMMYFUNCTION("IF('From Order'!$A118=COLUMNS($A118:I137), LEFT(INDEX(FILTER(I$1:I117, I$1:I117&lt;&gt;""""),COUNTA(FILTER(I$1:I117, I$1:I117&lt;&gt;""""))), LEN(INDEX(FILTER(I$1:I117, I$1:I117&lt;&gt;""""),COUNTA(FILTER(I$1:I117, I$1:I117&lt;&gt;""""))))-1), IF('To Order'!$A118=COLUMNS($A118:I"&amp;"137), I117&amp;RIGHT(INDIRECT(ADDRESS(ROW(I118)-1, 'From Order'!$A118)), 1), I117))"),"")</f>
        <v/>
      </c>
    </row>
    <row r="119">
      <c r="A119" s="2" t="str">
        <f>IFERROR(__xludf.DUMMYFUNCTION("IF('From Order'!$A119=COLUMNS($A119:A138), LEFT(INDEX(FILTER(A$1:A118, A$1:A118&lt;&gt;""""),COUNTA(FILTER(A$1:A118, A$1:A118&lt;&gt;""""))), LEN(INDEX(FILTER(A$1:A118, A$1:A118&lt;&gt;""""),COUNTA(FILTER(A$1:A118, A$1:A118&lt;&gt;""""))))-1), IF('To Order'!$A119=COLUMNS($A119:A"&amp;"138), A118&amp;RIGHT(INDIRECT(ADDRESS(ROW(A119)-1, 'From Order'!$A119)), 1), A118))"),"")</f>
        <v/>
      </c>
      <c r="B119" s="2" t="str">
        <f>IFERROR(__xludf.DUMMYFUNCTION("IF('From Order'!$A119=COLUMNS($A119:B138), LEFT(INDEX(FILTER(B$1:B118, B$1:B118&lt;&gt;""""),COUNTA(FILTER(B$1:B118, B$1:B118&lt;&gt;""""))), LEN(INDEX(FILTER(B$1:B118, B$1:B118&lt;&gt;""""),COUNTA(FILTER(B$1:B118, B$1:B118&lt;&gt;""""))))-1), IF('To Order'!$A119=COLUMNS($A119:B"&amp;"138), B118&amp;RIGHT(INDIRECT(ADDRESS(ROW(B119)-1, 'From Order'!$A119)), 1), B118))"),"SWRVSDPQ")</f>
        <v>SWRVSDPQ</v>
      </c>
      <c r="C119" s="2" t="str">
        <f>IFERROR(__xludf.DUMMYFUNCTION("IF('From Order'!$A119=COLUMNS($A119:C138), LEFT(INDEX(FILTER(C$1:C118, C$1:C118&lt;&gt;""""),COUNTA(FILTER(C$1:C118, C$1:C118&lt;&gt;""""))), LEN(INDEX(FILTER(C$1:C118, C$1:C118&lt;&gt;""""),COUNTA(FILTER(C$1:C118, C$1:C118&lt;&gt;""""))))-1), IF('To Order'!$A119=COLUMNS($A119:C"&amp;"138), C118&amp;RIGHT(INDIRECT(ADDRESS(ROW(C119)-1, 'From Order'!$A119)), 1), C118))"),"RZTR")</f>
        <v>RZTR</v>
      </c>
      <c r="D119" s="2" t="str">
        <f>IFERROR(__xludf.DUMMYFUNCTION("IF('From Order'!$A119=COLUMNS($A119:D138), LEFT(INDEX(FILTER(D$1:D118, D$1:D118&lt;&gt;""""),COUNTA(FILTER(D$1:D118, D$1:D118&lt;&gt;""""))), LEN(INDEX(FILTER(D$1:D118, D$1:D118&lt;&gt;""""),COUNTA(FILTER(D$1:D118, D$1:D118&lt;&gt;""""))))-1), IF('To Order'!$A119=COLUMNS($A119:D"&amp;"138), D118&amp;RIGHT(INDIRECT(ADDRESS(ROW(D119)-1, 'From Order'!$A119)), 1), D118))"),"DTCHSPVMZDDTLCBR")</f>
        <v>DTCHSPVMZDDTLCBR</v>
      </c>
      <c r="E119" s="2" t="str">
        <f>IFERROR(__xludf.DUMMYFUNCTION("IF('From Order'!$A119=COLUMNS($A119:E138), LEFT(INDEX(FILTER(E$1:E118, E$1:E118&lt;&gt;""""),COUNTA(FILTER(E$1:E118, E$1:E118&lt;&gt;""""))), LEN(INDEX(FILTER(E$1:E118, E$1:E118&lt;&gt;""""),COUNTA(FILTER(E$1:E118, E$1:E118&lt;&gt;""""))))-1), IF('To Order'!$A119=COLUMNS($A119:E"&amp;"138), E118&amp;RIGHT(INDIRECT(ADDRESS(ROW(E119)-1, 'From Order'!$A119)), 1), E118))"),"GPBSGDJMFT")</f>
        <v>GPBSGDJMFT</v>
      </c>
      <c r="F119" s="2" t="str">
        <f>IFERROR(__xludf.DUMMYFUNCTION("IF('From Order'!$A119=COLUMNS($A119:F138), LEFT(INDEX(FILTER(F$1:F118, F$1:F118&lt;&gt;""""),COUNTA(FILTER(F$1:F118, F$1:F118&lt;&gt;""""))), LEN(INDEX(FILTER(F$1:F118, F$1:F118&lt;&gt;""""),COUNTA(FILTER(F$1:F118, F$1:F118&lt;&gt;""""))))-1), IF('To Order'!$A119=COLUMNS($A119:F"&amp;"138), F118&amp;RIGHT(INDIRECT(ADDRESS(ROW(F119)-1, 'From Order'!$A119)), 1), F118))"),"FBJ")</f>
        <v>FBJ</v>
      </c>
      <c r="G119" s="2" t="str">
        <f>IFERROR(__xludf.DUMMYFUNCTION("IF('From Order'!$A119=COLUMNS($A119:G138), LEFT(INDEX(FILTER(G$1:G118, G$1:G118&lt;&gt;""""),COUNTA(FILTER(G$1:G118, G$1:G118&lt;&gt;""""))), LEN(INDEX(FILTER(G$1:G118, G$1:G118&lt;&gt;""""),COUNTA(FILTER(G$1:G118, G$1:G118&lt;&gt;""""))))-1), IF('To Order'!$A119=COLUMNS($A119:G"&amp;"138), G118&amp;RIGHT(INDIRECT(ADDRESS(ROW(G119)-1, 'From Order'!$A119)), 1), G118))"),"LWL")</f>
        <v>LWL</v>
      </c>
      <c r="H119" s="2" t="str">
        <f>IFERROR(__xludf.DUMMYFUNCTION("IF('From Order'!$A119=COLUMNS($A119:H138), LEFT(INDEX(FILTER(H$1:H118, H$1:H118&lt;&gt;""""),COUNTA(FILTER(H$1:H118, H$1:H118&lt;&gt;""""))), LEN(INDEX(FILTER(H$1:H118, H$1:H118&lt;&gt;""""),COUNTA(FILTER(H$1:H118, H$1:H118&lt;&gt;""""))))-1), IF('To Order'!$A119=COLUMNS($A119:H"&amp;"138), H118&amp;RIGHT(INDIRECT(ADDRESS(ROW(H119)-1, 'From Order'!$A119)), 1), H118))"),"TVMQCDTHZJRB")</f>
        <v>TVMQCDTHZJRB</v>
      </c>
      <c r="I119" s="2" t="str">
        <f>IFERROR(__xludf.DUMMYFUNCTION("IF('From Order'!$A119=COLUMNS($A119:I138), LEFT(INDEX(FILTER(I$1:I118, I$1:I118&lt;&gt;""""),COUNTA(FILTER(I$1:I118, I$1:I118&lt;&gt;""""))), LEN(INDEX(FILTER(I$1:I118, I$1:I118&lt;&gt;""""),COUNTA(FILTER(I$1:I118, I$1:I118&lt;&gt;""""))))-1), IF('To Order'!$A119=COLUMNS($A119:I"&amp;"138), I118&amp;RIGHT(INDIRECT(ADDRESS(ROW(I119)-1, 'From Order'!$A119)), 1), I118))"),"")</f>
        <v/>
      </c>
    </row>
    <row r="120">
      <c r="A120" s="2" t="str">
        <f>IFERROR(__xludf.DUMMYFUNCTION("IF('From Order'!$A120=COLUMNS($A120:A139), LEFT(INDEX(FILTER(A$1:A119, A$1:A119&lt;&gt;""""),COUNTA(FILTER(A$1:A119, A$1:A119&lt;&gt;""""))), LEN(INDEX(FILTER(A$1:A119, A$1:A119&lt;&gt;""""),COUNTA(FILTER(A$1:A119, A$1:A119&lt;&gt;""""))))-1), IF('To Order'!$A120=COLUMNS($A120:A"&amp;"139), A119&amp;RIGHT(INDIRECT(ADDRESS(ROW(A120)-1, 'From Order'!$A120)), 1), A119))"),"")</f>
        <v/>
      </c>
      <c r="B120" s="2" t="str">
        <f>IFERROR(__xludf.DUMMYFUNCTION("IF('From Order'!$A120=COLUMNS($A120:B139), LEFT(INDEX(FILTER(B$1:B119, B$1:B119&lt;&gt;""""),COUNTA(FILTER(B$1:B119, B$1:B119&lt;&gt;""""))), LEN(INDEX(FILTER(B$1:B119, B$1:B119&lt;&gt;""""),COUNTA(FILTER(B$1:B119, B$1:B119&lt;&gt;""""))))-1), IF('To Order'!$A120=COLUMNS($A120:B"&amp;"139), B119&amp;RIGHT(INDIRECT(ADDRESS(ROW(B120)-1, 'From Order'!$A120)), 1), B119))"),"SWRVSDPQ")</f>
        <v>SWRVSDPQ</v>
      </c>
      <c r="C120" s="2" t="str">
        <f>IFERROR(__xludf.DUMMYFUNCTION("IF('From Order'!$A120=COLUMNS($A120:C139), LEFT(INDEX(FILTER(C$1:C119, C$1:C119&lt;&gt;""""),COUNTA(FILTER(C$1:C119, C$1:C119&lt;&gt;""""))), LEN(INDEX(FILTER(C$1:C119, C$1:C119&lt;&gt;""""),COUNTA(FILTER(C$1:C119, C$1:C119&lt;&gt;""""))))-1), IF('To Order'!$A120=COLUMNS($A120:C"&amp;"139), C119&amp;RIGHT(INDIRECT(ADDRESS(ROW(C120)-1, 'From Order'!$A120)), 1), C119))"),"RZT")</f>
        <v>RZT</v>
      </c>
      <c r="D120" s="2" t="str">
        <f>IFERROR(__xludf.DUMMYFUNCTION("IF('From Order'!$A120=COLUMNS($A120:D139), LEFT(INDEX(FILTER(D$1:D119, D$1:D119&lt;&gt;""""),COUNTA(FILTER(D$1:D119, D$1:D119&lt;&gt;""""))), LEN(INDEX(FILTER(D$1:D119, D$1:D119&lt;&gt;""""),COUNTA(FILTER(D$1:D119, D$1:D119&lt;&gt;""""))))-1), IF('To Order'!$A120=COLUMNS($A120:D"&amp;"139), D119&amp;RIGHT(INDIRECT(ADDRESS(ROW(D120)-1, 'From Order'!$A120)), 1), D119))"),"DTCHSPVMZDDTLCBR")</f>
        <v>DTCHSPVMZDDTLCBR</v>
      </c>
      <c r="E120" s="2" t="str">
        <f>IFERROR(__xludf.DUMMYFUNCTION("IF('From Order'!$A120=COLUMNS($A120:E139), LEFT(INDEX(FILTER(E$1:E119, E$1:E119&lt;&gt;""""),COUNTA(FILTER(E$1:E119, E$1:E119&lt;&gt;""""))), LEN(INDEX(FILTER(E$1:E119, E$1:E119&lt;&gt;""""),COUNTA(FILTER(E$1:E119, E$1:E119&lt;&gt;""""))))-1), IF('To Order'!$A120=COLUMNS($A120:E"&amp;"139), E119&amp;RIGHT(INDIRECT(ADDRESS(ROW(E120)-1, 'From Order'!$A120)), 1), E119))"),"GPBSGDJMFTR")</f>
        <v>GPBSGDJMFTR</v>
      </c>
      <c r="F120" s="2" t="str">
        <f>IFERROR(__xludf.DUMMYFUNCTION("IF('From Order'!$A120=COLUMNS($A120:F139), LEFT(INDEX(FILTER(F$1:F119, F$1:F119&lt;&gt;""""),COUNTA(FILTER(F$1:F119, F$1:F119&lt;&gt;""""))), LEN(INDEX(FILTER(F$1:F119, F$1:F119&lt;&gt;""""),COUNTA(FILTER(F$1:F119, F$1:F119&lt;&gt;""""))))-1), IF('To Order'!$A120=COLUMNS($A120:F"&amp;"139), F119&amp;RIGHT(INDIRECT(ADDRESS(ROW(F120)-1, 'From Order'!$A120)), 1), F119))"),"FBJ")</f>
        <v>FBJ</v>
      </c>
      <c r="G120" s="2" t="str">
        <f>IFERROR(__xludf.DUMMYFUNCTION("IF('From Order'!$A120=COLUMNS($A120:G139), LEFT(INDEX(FILTER(G$1:G119, G$1:G119&lt;&gt;""""),COUNTA(FILTER(G$1:G119, G$1:G119&lt;&gt;""""))), LEN(INDEX(FILTER(G$1:G119, G$1:G119&lt;&gt;""""),COUNTA(FILTER(G$1:G119, G$1:G119&lt;&gt;""""))))-1), IF('To Order'!$A120=COLUMNS($A120:G"&amp;"139), G119&amp;RIGHT(INDIRECT(ADDRESS(ROW(G120)-1, 'From Order'!$A120)), 1), G119))"),"LWL")</f>
        <v>LWL</v>
      </c>
      <c r="H120" s="2" t="str">
        <f>IFERROR(__xludf.DUMMYFUNCTION("IF('From Order'!$A120=COLUMNS($A120:H139), LEFT(INDEX(FILTER(H$1:H119, H$1:H119&lt;&gt;""""),COUNTA(FILTER(H$1:H119, H$1:H119&lt;&gt;""""))), LEN(INDEX(FILTER(H$1:H119, H$1:H119&lt;&gt;""""),COUNTA(FILTER(H$1:H119, H$1:H119&lt;&gt;""""))))-1), IF('To Order'!$A120=COLUMNS($A120:H"&amp;"139), H119&amp;RIGHT(INDIRECT(ADDRESS(ROW(H120)-1, 'From Order'!$A120)), 1), H119))"),"TVMQCDTHZJRB")</f>
        <v>TVMQCDTHZJRB</v>
      </c>
      <c r="I120" s="2" t="str">
        <f>IFERROR(__xludf.DUMMYFUNCTION("IF('From Order'!$A120=COLUMNS($A120:I139), LEFT(INDEX(FILTER(I$1:I119, I$1:I119&lt;&gt;""""),COUNTA(FILTER(I$1:I119, I$1:I119&lt;&gt;""""))), LEN(INDEX(FILTER(I$1:I119, I$1:I119&lt;&gt;""""),COUNTA(FILTER(I$1:I119, I$1:I119&lt;&gt;""""))))-1), IF('To Order'!$A120=COLUMNS($A120:I"&amp;"139), I119&amp;RIGHT(INDIRECT(ADDRESS(ROW(I120)-1, 'From Order'!$A120)), 1), I119))"),"")</f>
        <v/>
      </c>
    </row>
    <row r="121">
      <c r="A121" s="2" t="str">
        <f>IFERROR(__xludf.DUMMYFUNCTION("IF('From Order'!$A121=COLUMNS($A121:A140), LEFT(INDEX(FILTER(A$1:A120, A$1:A120&lt;&gt;""""),COUNTA(FILTER(A$1:A120, A$1:A120&lt;&gt;""""))), LEN(INDEX(FILTER(A$1:A120, A$1:A120&lt;&gt;""""),COUNTA(FILTER(A$1:A120, A$1:A120&lt;&gt;""""))))-1), IF('To Order'!$A121=COLUMNS($A121:A"&amp;"140), A120&amp;RIGHT(INDIRECT(ADDRESS(ROW(A121)-1, 'From Order'!$A121)), 1), A120))"),"")</f>
        <v/>
      </c>
      <c r="B121" s="2" t="str">
        <f>IFERROR(__xludf.DUMMYFUNCTION("IF('From Order'!$A121=COLUMNS($A121:B140), LEFT(INDEX(FILTER(B$1:B120, B$1:B120&lt;&gt;""""),COUNTA(FILTER(B$1:B120, B$1:B120&lt;&gt;""""))), LEN(INDEX(FILTER(B$1:B120, B$1:B120&lt;&gt;""""),COUNTA(FILTER(B$1:B120, B$1:B120&lt;&gt;""""))))-1), IF('To Order'!$A121=COLUMNS($A121:B"&amp;"140), B120&amp;RIGHT(INDIRECT(ADDRESS(ROW(B121)-1, 'From Order'!$A121)), 1), B120))"),"SWRVSDPQ")</f>
        <v>SWRVSDPQ</v>
      </c>
      <c r="C121" s="2" t="str">
        <f>IFERROR(__xludf.DUMMYFUNCTION("IF('From Order'!$A121=COLUMNS($A121:C140), LEFT(INDEX(FILTER(C$1:C120, C$1:C120&lt;&gt;""""),COUNTA(FILTER(C$1:C120, C$1:C120&lt;&gt;""""))), LEN(INDEX(FILTER(C$1:C120, C$1:C120&lt;&gt;""""),COUNTA(FILTER(C$1:C120, C$1:C120&lt;&gt;""""))))-1), IF('To Order'!$A121=COLUMNS($A121:C"&amp;"140), C120&amp;RIGHT(INDIRECT(ADDRESS(ROW(C121)-1, 'From Order'!$A121)), 1), C120))"),"RZ")</f>
        <v>RZ</v>
      </c>
      <c r="D121" s="2" t="str">
        <f>IFERROR(__xludf.DUMMYFUNCTION("IF('From Order'!$A121=COLUMNS($A121:D140), LEFT(INDEX(FILTER(D$1:D120, D$1:D120&lt;&gt;""""),COUNTA(FILTER(D$1:D120, D$1:D120&lt;&gt;""""))), LEN(INDEX(FILTER(D$1:D120, D$1:D120&lt;&gt;""""),COUNTA(FILTER(D$1:D120, D$1:D120&lt;&gt;""""))))-1), IF('To Order'!$A121=COLUMNS($A121:D"&amp;"140), D120&amp;RIGHT(INDIRECT(ADDRESS(ROW(D121)-1, 'From Order'!$A121)), 1), D120))"),"DTCHSPVMZDDTLCBR")</f>
        <v>DTCHSPVMZDDTLCBR</v>
      </c>
      <c r="E121" s="2" t="str">
        <f>IFERROR(__xludf.DUMMYFUNCTION("IF('From Order'!$A121=COLUMNS($A121:E140), LEFT(INDEX(FILTER(E$1:E120, E$1:E120&lt;&gt;""""),COUNTA(FILTER(E$1:E120, E$1:E120&lt;&gt;""""))), LEN(INDEX(FILTER(E$1:E120, E$1:E120&lt;&gt;""""),COUNTA(FILTER(E$1:E120, E$1:E120&lt;&gt;""""))))-1), IF('To Order'!$A121=COLUMNS($A121:E"&amp;"140), E120&amp;RIGHT(INDIRECT(ADDRESS(ROW(E121)-1, 'From Order'!$A121)), 1), E120))"),"GPBSGDJMFTRT")</f>
        <v>GPBSGDJMFTRT</v>
      </c>
      <c r="F121" s="2" t="str">
        <f>IFERROR(__xludf.DUMMYFUNCTION("IF('From Order'!$A121=COLUMNS($A121:F140), LEFT(INDEX(FILTER(F$1:F120, F$1:F120&lt;&gt;""""),COUNTA(FILTER(F$1:F120, F$1:F120&lt;&gt;""""))), LEN(INDEX(FILTER(F$1:F120, F$1:F120&lt;&gt;""""),COUNTA(FILTER(F$1:F120, F$1:F120&lt;&gt;""""))))-1), IF('To Order'!$A121=COLUMNS($A121:F"&amp;"140), F120&amp;RIGHT(INDIRECT(ADDRESS(ROW(F121)-1, 'From Order'!$A121)), 1), F120))"),"FBJ")</f>
        <v>FBJ</v>
      </c>
      <c r="G121" s="2" t="str">
        <f>IFERROR(__xludf.DUMMYFUNCTION("IF('From Order'!$A121=COLUMNS($A121:G140), LEFT(INDEX(FILTER(G$1:G120, G$1:G120&lt;&gt;""""),COUNTA(FILTER(G$1:G120, G$1:G120&lt;&gt;""""))), LEN(INDEX(FILTER(G$1:G120, G$1:G120&lt;&gt;""""),COUNTA(FILTER(G$1:G120, G$1:G120&lt;&gt;""""))))-1), IF('To Order'!$A121=COLUMNS($A121:G"&amp;"140), G120&amp;RIGHT(INDIRECT(ADDRESS(ROW(G121)-1, 'From Order'!$A121)), 1), G120))"),"LWL")</f>
        <v>LWL</v>
      </c>
      <c r="H121" s="2" t="str">
        <f>IFERROR(__xludf.DUMMYFUNCTION("IF('From Order'!$A121=COLUMNS($A121:H140), LEFT(INDEX(FILTER(H$1:H120, H$1:H120&lt;&gt;""""),COUNTA(FILTER(H$1:H120, H$1:H120&lt;&gt;""""))), LEN(INDEX(FILTER(H$1:H120, H$1:H120&lt;&gt;""""),COUNTA(FILTER(H$1:H120, H$1:H120&lt;&gt;""""))))-1), IF('To Order'!$A121=COLUMNS($A121:H"&amp;"140), H120&amp;RIGHT(INDIRECT(ADDRESS(ROW(H121)-1, 'From Order'!$A121)), 1), H120))"),"TVMQCDTHZJRB")</f>
        <v>TVMQCDTHZJRB</v>
      </c>
      <c r="I121" s="2" t="str">
        <f>IFERROR(__xludf.DUMMYFUNCTION("IF('From Order'!$A121=COLUMNS($A121:I140), LEFT(INDEX(FILTER(I$1:I120, I$1:I120&lt;&gt;""""),COUNTA(FILTER(I$1:I120, I$1:I120&lt;&gt;""""))), LEN(INDEX(FILTER(I$1:I120, I$1:I120&lt;&gt;""""),COUNTA(FILTER(I$1:I120, I$1:I120&lt;&gt;""""))))-1), IF('To Order'!$A121=COLUMNS($A121:I"&amp;"140), I120&amp;RIGHT(INDIRECT(ADDRESS(ROW(I121)-1, 'From Order'!$A121)), 1), I120))"),"")</f>
        <v/>
      </c>
    </row>
    <row r="122">
      <c r="A122" s="2" t="str">
        <f>IFERROR(__xludf.DUMMYFUNCTION("IF('From Order'!$A122=COLUMNS($A122:A141), LEFT(INDEX(FILTER(A$1:A121, A$1:A121&lt;&gt;""""),COUNTA(FILTER(A$1:A121, A$1:A121&lt;&gt;""""))), LEN(INDEX(FILTER(A$1:A121, A$1:A121&lt;&gt;""""),COUNTA(FILTER(A$1:A121, A$1:A121&lt;&gt;""""))))-1), IF('To Order'!$A122=COLUMNS($A122:A"&amp;"141), A121&amp;RIGHT(INDIRECT(ADDRESS(ROW(A122)-1, 'From Order'!$A122)), 1), A121))"),"")</f>
        <v/>
      </c>
      <c r="B122" s="2" t="str">
        <f>IFERROR(__xludf.DUMMYFUNCTION("IF('From Order'!$A122=COLUMNS($A122:B141), LEFT(INDEX(FILTER(B$1:B121, B$1:B121&lt;&gt;""""),COUNTA(FILTER(B$1:B121, B$1:B121&lt;&gt;""""))), LEN(INDEX(FILTER(B$1:B121, B$1:B121&lt;&gt;""""),COUNTA(FILTER(B$1:B121, B$1:B121&lt;&gt;""""))))-1), IF('To Order'!$A122=COLUMNS($A122:B"&amp;"141), B121&amp;RIGHT(INDIRECT(ADDRESS(ROW(B122)-1, 'From Order'!$A122)), 1), B121))"),"SWRVSDPQ")</f>
        <v>SWRVSDPQ</v>
      </c>
      <c r="C122" s="2" t="str">
        <f>IFERROR(__xludf.DUMMYFUNCTION("IF('From Order'!$A122=COLUMNS($A122:C141), LEFT(INDEX(FILTER(C$1:C121, C$1:C121&lt;&gt;""""),COUNTA(FILTER(C$1:C121, C$1:C121&lt;&gt;""""))), LEN(INDEX(FILTER(C$1:C121, C$1:C121&lt;&gt;""""),COUNTA(FILTER(C$1:C121, C$1:C121&lt;&gt;""""))))-1), IF('To Order'!$A122=COLUMNS($A122:C"&amp;"141), C121&amp;RIGHT(INDIRECT(ADDRESS(ROW(C122)-1, 'From Order'!$A122)), 1), C121))"),"R")</f>
        <v>R</v>
      </c>
      <c r="D122" s="2" t="str">
        <f>IFERROR(__xludf.DUMMYFUNCTION("IF('From Order'!$A122=COLUMNS($A122:D141), LEFT(INDEX(FILTER(D$1:D121, D$1:D121&lt;&gt;""""),COUNTA(FILTER(D$1:D121, D$1:D121&lt;&gt;""""))), LEN(INDEX(FILTER(D$1:D121, D$1:D121&lt;&gt;""""),COUNTA(FILTER(D$1:D121, D$1:D121&lt;&gt;""""))))-1), IF('To Order'!$A122=COLUMNS($A122:D"&amp;"141), D121&amp;RIGHT(INDIRECT(ADDRESS(ROW(D122)-1, 'From Order'!$A122)), 1), D121))"),"DTCHSPVMZDDTLCBR")</f>
        <v>DTCHSPVMZDDTLCBR</v>
      </c>
      <c r="E122" s="2" t="str">
        <f>IFERROR(__xludf.DUMMYFUNCTION("IF('From Order'!$A122=COLUMNS($A122:E141), LEFT(INDEX(FILTER(E$1:E121, E$1:E121&lt;&gt;""""),COUNTA(FILTER(E$1:E121, E$1:E121&lt;&gt;""""))), LEN(INDEX(FILTER(E$1:E121, E$1:E121&lt;&gt;""""),COUNTA(FILTER(E$1:E121, E$1:E121&lt;&gt;""""))))-1), IF('To Order'!$A122=COLUMNS($A122:E"&amp;"141), E121&amp;RIGHT(INDIRECT(ADDRESS(ROW(E122)-1, 'From Order'!$A122)), 1), E121))"),"GPBSGDJMFTRTZ")</f>
        <v>GPBSGDJMFTRTZ</v>
      </c>
      <c r="F122" s="2" t="str">
        <f>IFERROR(__xludf.DUMMYFUNCTION("IF('From Order'!$A122=COLUMNS($A122:F141), LEFT(INDEX(FILTER(F$1:F121, F$1:F121&lt;&gt;""""),COUNTA(FILTER(F$1:F121, F$1:F121&lt;&gt;""""))), LEN(INDEX(FILTER(F$1:F121, F$1:F121&lt;&gt;""""),COUNTA(FILTER(F$1:F121, F$1:F121&lt;&gt;""""))))-1), IF('To Order'!$A122=COLUMNS($A122:F"&amp;"141), F121&amp;RIGHT(INDIRECT(ADDRESS(ROW(F122)-1, 'From Order'!$A122)), 1), F121))"),"FBJ")</f>
        <v>FBJ</v>
      </c>
      <c r="G122" s="2" t="str">
        <f>IFERROR(__xludf.DUMMYFUNCTION("IF('From Order'!$A122=COLUMNS($A122:G141), LEFT(INDEX(FILTER(G$1:G121, G$1:G121&lt;&gt;""""),COUNTA(FILTER(G$1:G121, G$1:G121&lt;&gt;""""))), LEN(INDEX(FILTER(G$1:G121, G$1:G121&lt;&gt;""""),COUNTA(FILTER(G$1:G121, G$1:G121&lt;&gt;""""))))-1), IF('To Order'!$A122=COLUMNS($A122:G"&amp;"141), G121&amp;RIGHT(INDIRECT(ADDRESS(ROW(G122)-1, 'From Order'!$A122)), 1), G121))"),"LWL")</f>
        <v>LWL</v>
      </c>
      <c r="H122" s="2" t="str">
        <f>IFERROR(__xludf.DUMMYFUNCTION("IF('From Order'!$A122=COLUMNS($A122:H141), LEFT(INDEX(FILTER(H$1:H121, H$1:H121&lt;&gt;""""),COUNTA(FILTER(H$1:H121, H$1:H121&lt;&gt;""""))), LEN(INDEX(FILTER(H$1:H121, H$1:H121&lt;&gt;""""),COUNTA(FILTER(H$1:H121, H$1:H121&lt;&gt;""""))))-1), IF('To Order'!$A122=COLUMNS($A122:H"&amp;"141), H121&amp;RIGHT(INDIRECT(ADDRESS(ROW(H122)-1, 'From Order'!$A122)), 1), H121))"),"TVMQCDTHZJRB")</f>
        <v>TVMQCDTHZJRB</v>
      </c>
      <c r="I122" s="2" t="str">
        <f>IFERROR(__xludf.DUMMYFUNCTION("IF('From Order'!$A122=COLUMNS($A122:I141), LEFT(INDEX(FILTER(I$1:I121, I$1:I121&lt;&gt;""""),COUNTA(FILTER(I$1:I121, I$1:I121&lt;&gt;""""))), LEN(INDEX(FILTER(I$1:I121, I$1:I121&lt;&gt;""""),COUNTA(FILTER(I$1:I121, I$1:I121&lt;&gt;""""))))-1), IF('To Order'!$A122=COLUMNS($A122:I"&amp;"141), I121&amp;RIGHT(INDIRECT(ADDRESS(ROW(I122)-1, 'From Order'!$A122)), 1), I121))"),"")</f>
        <v/>
      </c>
    </row>
    <row r="123">
      <c r="A123" s="2" t="str">
        <f>IFERROR(__xludf.DUMMYFUNCTION("IF('From Order'!$A123=COLUMNS($A123:A142), LEFT(INDEX(FILTER(A$1:A122, A$1:A122&lt;&gt;""""),COUNTA(FILTER(A$1:A122, A$1:A122&lt;&gt;""""))), LEN(INDEX(FILTER(A$1:A122, A$1:A122&lt;&gt;""""),COUNTA(FILTER(A$1:A122, A$1:A122&lt;&gt;""""))))-1), IF('To Order'!$A123=COLUMNS($A123:A"&amp;"142), A122&amp;RIGHT(INDIRECT(ADDRESS(ROW(A123)-1, 'From Order'!$A123)), 1), A122))"),"")</f>
        <v/>
      </c>
      <c r="B123" s="2" t="str">
        <f>IFERROR(__xludf.DUMMYFUNCTION("IF('From Order'!$A123=COLUMNS($A123:B142), LEFT(INDEX(FILTER(B$1:B122, B$1:B122&lt;&gt;""""),COUNTA(FILTER(B$1:B122, B$1:B122&lt;&gt;""""))), LEN(INDEX(FILTER(B$1:B122, B$1:B122&lt;&gt;""""),COUNTA(FILTER(B$1:B122, B$1:B122&lt;&gt;""""))))-1), IF('To Order'!$A123=COLUMNS($A123:B"&amp;"142), B122&amp;RIGHT(INDIRECT(ADDRESS(ROW(B123)-1, 'From Order'!$A123)), 1), B122))"),"SWRVSDPQ")</f>
        <v>SWRVSDPQ</v>
      </c>
      <c r="C123" s="2" t="str">
        <f>IFERROR(__xludf.DUMMYFUNCTION("IF('From Order'!$A123=COLUMNS($A123:C142), LEFT(INDEX(FILTER(C$1:C122, C$1:C122&lt;&gt;""""),COUNTA(FILTER(C$1:C122, C$1:C122&lt;&gt;""""))), LEN(INDEX(FILTER(C$1:C122, C$1:C122&lt;&gt;""""),COUNTA(FILTER(C$1:C122, C$1:C122&lt;&gt;""""))))-1), IF('To Order'!$A123=COLUMNS($A123:C"&amp;"142), C122&amp;RIGHT(INDIRECT(ADDRESS(ROW(C123)-1, 'From Order'!$A123)), 1), C122))"),"")</f>
        <v/>
      </c>
      <c r="D123" s="2" t="str">
        <f>IFERROR(__xludf.DUMMYFUNCTION("IF('From Order'!$A123=COLUMNS($A123:D142), LEFT(INDEX(FILTER(D$1:D122, D$1:D122&lt;&gt;""""),COUNTA(FILTER(D$1:D122, D$1:D122&lt;&gt;""""))), LEN(INDEX(FILTER(D$1:D122, D$1:D122&lt;&gt;""""),COUNTA(FILTER(D$1:D122, D$1:D122&lt;&gt;""""))))-1), IF('To Order'!$A123=COLUMNS($A123:D"&amp;"142), D122&amp;RIGHT(INDIRECT(ADDRESS(ROW(D123)-1, 'From Order'!$A123)), 1), D122))"),"DTCHSPVMZDDTLCBR")</f>
        <v>DTCHSPVMZDDTLCBR</v>
      </c>
      <c r="E123" s="2" t="str">
        <f>IFERROR(__xludf.DUMMYFUNCTION("IF('From Order'!$A123=COLUMNS($A123:E142), LEFT(INDEX(FILTER(E$1:E122, E$1:E122&lt;&gt;""""),COUNTA(FILTER(E$1:E122, E$1:E122&lt;&gt;""""))), LEN(INDEX(FILTER(E$1:E122, E$1:E122&lt;&gt;""""),COUNTA(FILTER(E$1:E122, E$1:E122&lt;&gt;""""))))-1), IF('To Order'!$A123=COLUMNS($A123:E"&amp;"142), E122&amp;RIGHT(INDIRECT(ADDRESS(ROW(E123)-1, 'From Order'!$A123)), 1), E122))"),"GPBSGDJMFTRTZR")</f>
        <v>GPBSGDJMFTRTZR</v>
      </c>
      <c r="F123" s="2" t="str">
        <f>IFERROR(__xludf.DUMMYFUNCTION("IF('From Order'!$A123=COLUMNS($A123:F142), LEFT(INDEX(FILTER(F$1:F122, F$1:F122&lt;&gt;""""),COUNTA(FILTER(F$1:F122, F$1:F122&lt;&gt;""""))), LEN(INDEX(FILTER(F$1:F122, F$1:F122&lt;&gt;""""),COUNTA(FILTER(F$1:F122, F$1:F122&lt;&gt;""""))))-1), IF('To Order'!$A123=COLUMNS($A123:F"&amp;"142), F122&amp;RIGHT(INDIRECT(ADDRESS(ROW(F123)-1, 'From Order'!$A123)), 1), F122))"),"FBJ")</f>
        <v>FBJ</v>
      </c>
      <c r="G123" s="2" t="str">
        <f>IFERROR(__xludf.DUMMYFUNCTION("IF('From Order'!$A123=COLUMNS($A123:G142), LEFT(INDEX(FILTER(G$1:G122, G$1:G122&lt;&gt;""""),COUNTA(FILTER(G$1:G122, G$1:G122&lt;&gt;""""))), LEN(INDEX(FILTER(G$1:G122, G$1:G122&lt;&gt;""""),COUNTA(FILTER(G$1:G122, G$1:G122&lt;&gt;""""))))-1), IF('To Order'!$A123=COLUMNS($A123:G"&amp;"142), G122&amp;RIGHT(INDIRECT(ADDRESS(ROW(G123)-1, 'From Order'!$A123)), 1), G122))"),"LWL")</f>
        <v>LWL</v>
      </c>
      <c r="H123" s="2" t="str">
        <f>IFERROR(__xludf.DUMMYFUNCTION("IF('From Order'!$A123=COLUMNS($A123:H142), LEFT(INDEX(FILTER(H$1:H122, H$1:H122&lt;&gt;""""),COUNTA(FILTER(H$1:H122, H$1:H122&lt;&gt;""""))), LEN(INDEX(FILTER(H$1:H122, H$1:H122&lt;&gt;""""),COUNTA(FILTER(H$1:H122, H$1:H122&lt;&gt;""""))))-1), IF('To Order'!$A123=COLUMNS($A123:H"&amp;"142), H122&amp;RIGHT(INDIRECT(ADDRESS(ROW(H123)-1, 'From Order'!$A123)), 1), H122))"),"TVMQCDTHZJRB")</f>
        <v>TVMQCDTHZJRB</v>
      </c>
      <c r="I123" s="2" t="str">
        <f>IFERROR(__xludf.DUMMYFUNCTION("IF('From Order'!$A123=COLUMNS($A123:I142), LEFT(INDEX(FILTER(I$1:I122, I$1:I122&lt;&gt;""""),COUNTA(FILTER(I$1:I122, I$1:I122&lt;&gt;""""))), LEN(INDEX(FILTER(I$1:I122, I$1:I122&lt;&gt;""""),COUNTA(FILTER(I$1:I122, I$1:I122&lt;&gt;""""))))-1), IF('To Order'!$A123=COLUMNS($A123:I"&amp;"142), I122&amp;RIGHT(INDIRECT(ADDRESS(ROW(I123)-1, 'From Order'!$A123)), 1), I122))"),"")</f>
        <v/>
      </c>
    </row>
    <row r="124">
      <c r="A124" s="2" t="str">
        <f>IFERROR(__xludf.DUMMYFUNCTION("IF('From Order'!$A124=COLUMNS($A124:A143), LEFT(INDEX(FILTER(A$1:A123, A$1:A123&lt;&gt;""""),COUNTA(FILTER(A$1:A123, A$1:A123&lt;&gt;""""))), LEN(INDEX(FILTER(A$1:A123, A$1:A123&lt;&gt;""""),COUNTA(FILTER(A$1:A123, A$1:A123&lt;&gt;""""))))-1), IF('To Order'!$A124=COLUMNS($A124:A"&amp;"143), A123&amp;RIGHT(INDIRECT(ADDRESS(ROW(A124)-1, 'From Order'!$A124)), 1), A123))"),"")</f>
        <v/>
      </c>
      <c r="B124" s="2" t="str">
        <f>IFERROR(__xludf.DUMMYFUNCTION("IF('From Order'!$A124=COLUMNS($A124:B143), LEFT(INDEX(FILTER(B$1:B123, B$1:B123&lt;&gt;""""),COUNTA(FILTER(B$1:B123, B$1:B123&lt;&gt;""""))), LEN(INDEX(FILTER(B$1:B123, B$1:B123&lt;&gt;""""),COUNTA(FILTER(B$1:B123, B$1:B123&lt;&gt;""""))))-1), IF('To Order'!$A124=COLUMNS($A124:B"&amp;"143), B123&amp;RIGHT(INDIRECT(ADDRESS(ROW(B124)-1, 'From Order'!$A124)), 1), B123))"),"SWRVSDPQ")</f>
        <v>SWRVSDPQ</v>
      </c>
      <c r="C124" s="2" t="str">
        <f>IFERROR(__xludf.DUMMYFUNCTION("IF('From Order'!$A124=COLUMNS($A124:C143), LEFT(INDEX(FILTER(C$1:C123, C$1:C123&lt;&gt;""""),COUNTA(FILTER(C$1:C123, C$1:C123&lt;&gt;""""))), LEN(INDEX(FILTER(C$1:C123, C$1:C123&lt;&gt;""""),COUNTA(FILTER(C$1:C123, C$1:C123&lt;&gt;""""))))-1), IF('To Order'!$A124=COLUMNS($A124:C"&amp;"143), C123&amp;RIGHT(INDIRECT(ADDRESS(ROW(C124)-1, 'From Order'!$A124)), 1), C123))"),"")</f>
        <v/>
      </c>
      <c r="D124" s="2" t="str">
        <f>IFERROR(__xludf.DUMMYFUNCTION("IF('From Order'!$A124=COLUMNS($A124:D143), LEFT(INDEX(FILTER(D$1:D123, D$1:D123&lt;&gt;""""),COUNTA(FILTER(D$1:D123, D$1:D123&lt;&gt;""""))), LEN(INDEX(FILTER(D$1:D123, D$1:D123&lt;&gt;""""),COUNTA(FILTER(D$1:D123, D$1:D123&lt;&gt;""""))))-1), IF('To Order'!$A124=COLUMNS($A124:D"&amp;"143), D123&amp;RIGHT(INDIRECT(ADDRESS(ROW(D124)-1, 'From Order'!$A124)), 1), D123))"),"DTCHSPVMZDDTLCBR")</f>
        <v>DTCHSPVMZDDTLCBR</v>
      </c>
      <c r="E124" s="2" t="str">
        <f>IFERROR(__xludf.DUMMYFUNCTION("IF('From Order'!$A124=COLUMNS($A124:E143), LEFT(INDEX(FILTER(E$1:E123, E$1:E123&lt;&gt;""""),COUNTA(FILTER(E$1:E123, E$1:E123&lt;&gt;""""))), LEN(INDEX(FILTER(E$1:E123, E$1:E123&lt;&gt;""""),COUNTA(FILTER(E$1:E123, E$1:E123&lt;&gt;""""))))-1), IF('To Order'!$A124=COLUMNS($A124:E"&amp;"143), E123&amp;RIGHT(INDIRECT(ADDRESS(ROW(E124)-1, 'From Order'!$A124)), 1), E123))"),"GPBSGDJMFTRTZR")</f>
        <v>GPBSGDJMFTRTZR</v>
      </c>
      <c r="F124" s="2" t="str">
        <f>IFERROR(__xludf.DUMMYFUNCTION("IF('From Order'!$A124=COLUMNS($A124:F143), LEFT(INDEX(FILTER(F$1:F123, F$1:F123&lt;&gt;""""),COUNTA(FILTER(F$1:F123, F$1:F123&lt;&gt;""""))), LEN(INDEX(FILTER(F$1:F123, F$1:F123&lt;&gt;""""),COUNTA(FILTER(F$1:F123, F$1:F123&lt;&gt;""""))))-1), IF('To Order'!$A124=COLUMNS($A124:F"&amp;"143), F123&amp;RIGHT(INDIRECT(ADDRESS(ROW(F124)-1, 'From Order'!$A124)), 1), F123))"),"FBJL")</f>
        <v>FBJL</v>
      </c>
      <c r="G124" s="2" t="str">
        <f>IFERROR(__xludf.DUMMYFUNCTION("IF('From Order'!$A124=COLUMNS($A124:G143), LEFT(INDEX(FILTER(G$1:G123, G$1:G123&lt;&gt;""""),COUNTA(FILTER(G$1:G123, G$1:G123&lt;&gt;""""))), LEN(INDEX(FILTER(G$1:G123, G$1:G123&lt;&gt;""""),COUNTA(FILTER(G$1:G123, G$1:G123&lt;&gt;""""))))-1), IF('To Order'!$A124=COLUMNS($A124:G"&amp;"143), G123&amp;RIGHT(INDIRECT(ADDRESS(ROW(G124)-1, 'From Order'!$A124)), 1), G123))"),"LW")</f>
        <v>LW</v>
      </c>
      <c r="H124" s="2" t="str">
        <f>IFERROR(__xludf.DUMMYFUNCTION("IF('From Order'!$A124=COLUMNS($A124:H143), LEFT(INDEX(FILTER(H$1:H123, H$1:H123&lt;&gt;""""),COUNTA(FILTER(H$1:H123, H$1:H123&lt;&gt;""""))), LEN(INDEX(FILTER(H$1:H123, H$1:H123&lt;&gt;""""),COUNTA(FILTER(H$1:H123, H$1:H123&lt;&gt;""""))))-1), IF('To Order'!$A124=COLUMNS($A124:H"&amp;"143), H123&amp;RIGHT(INDIRECT(ADDRESS(ROW(H124)-1, 'From Order'!$A124)), 1), H123))"),"TVMQCDTHZJRB")</f>
        <v>TVMQCDTHZJRB</v>
      </c>
      <c r="I124" s="2" t="str">
        <f>IFERROR(__xludf.DUMMYFUNCTION("IF('From Order'!$A124=COLUMNS($A124:I143), LEFT(INDEX(FILTER(I$1:I123, I$1:I123&lt;&gt;""""),COUNTA(FILTER(I$1:I123, I$1:I123&lt;&gt;""""))), LEN(INDEX(FILTER(I$1:I123, I$1:I123&lt;&gt;""""),COUNTA(FILTER(I$1:I123, I$1:I123&lt;&gt;""""))))-1), IF('To Order'!$A124=COLUMNS($A124:I"&amp;"143), I123&amp;RIGHT(INDIRECT(ADDRESS(ROW(I124)-1, 'From Order'!$A124)), 1), I123))"),"")</f>
        <v/>
      </c>
    </row>
    <row r="125">
      <c r="A125" s="2" t="str">
        <f>IFERROR(__xludf.DUMMYFUNCTION("IF('From Order'!$A125=COLUMNS($A125:A144), LEFT(INDEX(FILTER(A$1:A124, A$1:A124&lt;&gt;""""),COUNTA(FILTER(A$1:A124, A$1:A124&lt;&gt;""""))), LEN(INDEX(FILTER(A$1:A124, A$1:A124&lt;&gt;""""),COUNTA(FILTER(A$1:A124, A$1:A124&lt;&gt;""""))))-1), IF('To Order'!$A125=COLUMNS($A125:A"&amp;"144), A124&amp;RIGHT(INDIRECT(ADDRESS(ROW(A125)-1, 'From Order'!$A125)), 1), A124))"),"")</f>
        <v/>
      </c>
      <c r="B125" s="2" t="str">
        <f>IFERROR(__xludf.DUMMYFUNCTION("IF('From Order'!$A125=COLUMNS($A125:B144), LEFT(INDEX(FILTER(B$1:B124, B$1:B124&lt;&gt;""""),COUNTA(FILTER(B$1:B124, B$1:B124&lt;&gt;""""))), LEN(INDEX(FILTER(B$1:B124, B$1:B124&lt;&gt;""""),COUNTA(FILTER(B$1:B124, B$1:B124&lt;&gt;""""))))-1), IF('To Order'!$A125=COLUMNS($A125:B"&amp;"144), B124&amp;RIGHT(INDIRECT(ADDRESS(ROW(B125)-1, 'From Order'!$A125)), 1), B124))"),"SWRVSDPQ")</f>
        <v>SWRVSDPQ</v>
      </c>
      <c r="C125" s="2" t="str">
        <f>IFERROR(__xludf.DUMMYFUNCTION("IF('From Order'!$A125=COLUMNS($A125:C144), LEFT(INDEX(FILTER(C$1:C124, C$1:C124&lt;&gt;""""),COUNTA(FILTER(C$1:C124, C$1:C124&lt;&gt;""""))), LEN(INDEX(FILTER(C$1:C124, C$1:C124&lt;&gt;""""),COUNTA(FILTER(C$1:C124, C$1:C124&lt;&gt;""""))))-1), IF('To Order'!$A125=COLUMNS($A125:C"&amp;"144), C124&amp;RIGHT(INDIRECT(ADDRESS(ROW(C125)-1, 'From Order'!$A125)), 1), C124))"),"")</f>
        <v/>
      </c>
      <c r="D125" s="2" t="str">
        <f>IFERROR(__xludf.DUMMYFUNCTION("IF('From Order'!$A125=COLUMNS($A125:D144), LEFT(INDEX(FILTER(D$1:D124, D$1:D124&lt;&gt;""""),COUNTA(FILTER(D$1:D124, D$1:D124&lt;&gt;""""))), LEN(INDEX(FILTER(D$1:D124, D$1:D124&lt;&gt;""""),COUNTA(FILTER(D$1:D124, D$1:D124&lt;&gt;""""))))-1), IF('To Order'!$A125=COLUMNS($A125:D"&amp;"144), D124&amp;RIGHT(INDIRECT(ADDRESS(ROW(D125)-1, 'From Order'!$A125)), 1), D124))"),"DTCHSPVMZDDTLCBR")</f>
        <v>DTCHSPVMZDDTLCBR</v>
      </c>
      <c r="E125" s="2" t="str">
        <f>IFERROR(__xludf.DUMMYFUNCTION("IF('From Order'!$A125=COLUMNS($A125:E144), LEFT(INDEX(FILTER(E$1:E124, E$1:E124&lt;&gt;""""),COUNTA(FILTER(E$1:E124, E$1:E124&lt;&gt;""""))), LEN(INDEX(FILTER(E$1:E124, E$1:E124&lt;&gt;""""),COUNTA(FILTER(E$1:E124, E$1:E124&lt;&gt;""""))))-1), IF('To Order'!$A125=COLUMNS($A125:E"&amp;"144), E124&amp;RIGHT(INDIRECT(ADDRESS(ROW(E125)-1, 'From Order'!$A125)), 1), E124))"),"GPBSGDJMFTRTZR")</f>
        <v>GPBSGDJMFTRTZR</v>
      </c>
      <c r="F125" s="2" t="str">
        <f>IFERROR(__xludf.DUMMYFUNCTION("IF('From Order'!$A125=COLUMNS($A125:F144), LEFT(INDEX(FILTER(F$1:F124, F$1:F124&lt;&gt;""""),COUNTA(FILTER(F$1:F124, F$1:F124&lt;&gt;""""))), LEN(INDEX(FILTER(F$1:F124, F$1:F124&lt;&gt;""""),COUNTA(FILTER(F$1:F124, F$1:F124&lt;&gt;""""))))-1), IF('To Order'!$A125=COLUMNS($A125:F"&amp;"144), F124&amp;RIGHT(INDIRECT(ADDRESS(ROW(F125)-1, 'From Order'!$A125)), 1), F124))"),"FBJLW")</f>
        <v>FBJLW</v>
      </c>
      <c r="G125" s="2" t="str">
        <f>IFERROR(__xludf.DUMMYFUNCTION("IF('From Order'!$A125=COLUMNS($A125:G144), LEFT(INDEX(FILTER(G$1:G124, G$1:G124&lt;&gt;""""),COUNTA(FILTER(G$1:G124, G$1:G124&lt;&gt;""""))), LEN(INDEX(FILTER(G$1:G124, G$1:G124&lt;&gt;""""),COUNTA(FILTER(G$1:G124, G$1:G124&lt;&gt;""""))))-1), IF('To Order'!$A125=COLUMNS($A125:G"&amp;"144), G124&amp;RIGHT(INDIRECT(ADDRESS(ROW(G125)-1, 'From Order'!$A125)), 1), G124))"),"L")</f>
        <v>L</v>
      </c>
      <c r="H125" s="2" t="str">
        <f>IFERROR(__xludf.DUMMYFUNCTION("IF('From Order'!$A125=COLUMNS($A125:H144), LEFT(INDEX(FILTER(H$1:H124, H$1:H124&lt;&gt;""""),COUNTA(FILTER(H$1:H124, H$1:H124&lt;&gt;""""))), LEN(INDEX(FILTER(H$1:H124, H$1:H124&lt;&gt;""""),COUNTA(FILTER(H$1:H124, H$1:H124&lt;&gt;""""))))-1), IF('To Order'!$A125=COLUMNS($A125:H"&amp;"144), H124&amp;RIGHT(INDIRECT(ADDRESS(ROW(H125)-1, 'From Order'!$A125)), 1), H124))"),"TVMQCDTHZJRB")</f>
        <v>TVMQCDTHZJRB</v>
      </c>
      <c r="I125" s="2" t="str">
        <f>IFERROR(__xludf.DUMMYFUNCTION("IF('From Order'!$A125=COLUMNS($A125:I144), LEFT(INDEX(FILTER(I$1:I124, I$1:I124&lt;&gt;""""),COUNTA(FILTER(I$1:I124, I$1:I124&lt;&gt;""""))), LEN(INDEX(FILTER(I$1:I124, I$1:I124&lt;&gt;""""),COUNTA(FILTER(I$1:I124, I$1:I124&lt;&gt;""""))))-1), IF('To Order'!$A125=COLUMNS($A125:I"&amp;"144), I124&amp;RIGHT(INDIRECT(ADDRESS(ROW(I125)-1, 'From Order'!$A125)), 1), I124))"),"")</f>
        <v/>
      </c>
    </row>
    <row r="126">
      <c r="A126" s="2" t="str">
        <f>IFERROR(__xludf.DUMMYFUNCTION("IF('From Order'!$A126=COLUMNS($A126:A145), LEFT(INDEX(FILTER(A$1:A125, A$1:A125&lt;&gt;""""),COUNTA(FILTER(A$1:A125, A$1:A125&lt;&gt;""""))), LEN(INDEX(FILTER(A$1:A125, A$1:A125&lt;&gt;""""),COUNTA(FILTER(A$1:A125, A$1:A125&lt;&gt;""""))))-1), IF('To Order'!$A126=COLUMNS($A126:A"&amp;"145), A125&amp;RIGHT(INDIRECT(ADDRESS(ROW(A126)-1, 'From Order'!$A126)), 1), A125))"),"")</f>
        <v/>
      </c>
      <c r="B126" s="2" t="str">
        <f>IFERROR(__xludf.DUMMYFUNCTION("IF('From Order'!$A126=COLUMNS($A126:B145), LEFT(INDEX(FILTER(B$1:B125, B$1:B125&lt;&gt;""""),COUNTA(FILTER(B$1:B125, B$1:B125&lt;&gt;""""))), LEN(INDEX(FILTER(B$1:B125, B$1:B125&lt;&gt;""""),COUNTA(FILTER(B$1:B125, B$1:B125&lt;&gt;""""))))-1), IF('To Order'!$A126=COLUMNS($A126:B"&amp;"145), B125&amp;RIGHT(INDIRECT(ADDRESS(ROW(B126)-1, 'From Order'!$A126)), 1), B125))"),"SWRVSDPQ")</f>
        <v>SWRVSDPQ</v>
      </c>
      <c r="C126" s="2" t="str">
        <f>IFERROR(__xludf.DUMMYFUNCTION("IF('From Order'!$A126=COLUMNS($A126:C145), LEFT(INDEX(FILTER(C$1:C125, C$1:C125&lt;&gt;""""),COUNTA(FILTER(C$1:C125, C$1:C125&lt;&gt;""""))), LEN(INDEX(FILTER(C$1:C125, C$1:C125&lt;&gt;""""),COUNTA(FILTER(C$1:C125, C$1:C125&lt;&gt;""""))))-1), IF('To Order'!$A126=COLUMNS($A126:C"&amp;"145), C125&amp;RIGHT(INDIRECT(ADDRESS(ROW(C126)-1, 'From Order'!$A126)), 1), C125))"),"")</f>
        <v/>
      </c>
      <c r="D126" s="2" t="str">
        <f>IFERROR(__xludf.DUMMYFUNCTION("IF('From Order'!$A126=COLUMNS($A126:D145), LEFT(INDEX(FILTER(D$1:D125, D$1:D125&lt;&gt;""""),COUNTA(FILTER(D$1:D125, D$1:D125&lt;&gt;""""))), LEN(INDEX(FILTER(D$1:D125, D$1:D125&lt;&gt;""""),COUNTA(FILTER(D$1:D125, D$1:D125&lt;&gt;""""))))-1), IF('To Order'!$A126=COLUMNS($A126:D"&amp;"145), D125&amp;RIGHT(INDIRECT(ADDRESS(ROW(D126)-1, 'From Order'!$A126)), 1), D125))"),"DTCHSPVMZDDTLCBR")</f>
        <v>DTCHSPVMZDDTLCBR</v>
      </c>
      <c r="E126" s="2" t="str">
        <f>IFERROR(__xludf.DUMMYFUNCTION("IF('From Order'!$A126=COLUMNS($A126:E145), LEFT(INDEX(FILTER(E$1:E125, E$1:E125&lt;&gt;""""),COUNTA(FILTER(E$1:E125, E$1:E125&lt;&gt;""""))), LEN(INDEX(FILTER(E$1:E125, E$1:E125&lt;&gt;""""),COUNTA(FILTER(E$1:E125, E$1:E125&lt;&gt;""""))))-1), IF('To Order'!$A126=COLUMNS($A126:E"&amp;"145), E125&amp;RIGHT(INDIRECT(ADDRESS(ROW(E126)-1, 'From Order'!$A126)), 1), E125))"),"GPBSGDJMFTRTZ")</f>
        <v>GPBSGDJMFTRTZ</v>
      </c>
      <c r="F126" s="2" t="str">
        <f>IFERROR(__xludf.DUMMYFUNCTION("IF('From Order'!$A126=COLUMNS($A126:F145), LEFT(INDEX(FILTER(F$1:F125, F$1:F125&lt;&gt;""""),COUNTA(FILTER(F$1:F125, F$1:F125&lt;&gt;""""))), LEN(INDEX(FILTER(F$1:F125, F$1:F125&lt;&gt;""""),COUNTA(FILTER(F$1:F125, F$1:F125&lt;&gt;""""))))-1), IF('To Order'!$A126=COLUMNS($A126:F"&amp;"145), F125&amp;RIGHT(INDIRECT(ADDRESS(ROW(F126)-1, 'From Order'!$A126)), 1), F125))"),"FBJLWR")</f>
        <v>FBJLWR</v>
      </c>
      <c r="G126" s="2" t="str">
        <f>IFERROR(__xludf.DUMMYFUNCTION("IF('From Order'!$A126=COLUMNS($A126:G145), LEFT(INDEX(FILTER(G$1:G125, G$1:G125&lt;&gt;""""),COUNTA(FILTER(G$1:G125, G$1:G125&lt;&gt;""""))), LEN(INDEX(FILTER(G$1:G125, G$1:G125&lt;&gt;""""),COUNTA(FILTER(G$1:G125, G$1:G125&lt;&gt;""""))))-1), IF('To Order'!$A126=COLUMNS($A126:G"&amp;"145), G125&amp;RIGHT(INDIRECT(ADDRESS(ROW(G126)-1, 'From Order'!$A126)), 1), G125))"),"L")</f>
        <v>L</v>
      </c>
      <c r="H126" s="2" t="str">
        <f>IFERROR(__xludf.DUMMYFUNCTION("IF('From Order'!$A126=COLUMNS($A126:H145), LEFT(INDEX(FILTER(H$1:H125, H$1:H125&lt;&gt;""""),COUNTA(FILTER(H$1:H125, H$1:H125&lt;&gt;""""))), LEN(INDEX(FILTER(H$1:H125, H$1:H125&lt;&gt;""""),COUNTA(FILTER(H$1:H125, H$1:H125&lt;&gt;""""))))-1), IF('To Order'!$A126=COLUMNS($A126:H"&amp;"145), H125&amp;RIGHT(INDIRECT(ADDRESS(ROW(H126)-1, 'From Order'!$A126)), 1), H125))"),"TVMQCDTHZJRB")</f>
        <v>TVMQCDTHZJRB</v>
      </c>
      <c r="I126" s="2" t="str">
        <f>IFERROR(__xludf.DUMMYFUNCTION("IF('From Order'!$A126=COLUMNS($A126:I145), LEFT(INDEX(FILTER(I$1:I125, I$1:I125&lt;&gt;""""),COUNTA(FILTER(I$1:I125, I$1:I125&lt;&gt;""""))), LEN(INDEX(FILTER(I$1:I125, I$1:I125&lt;&gt;""""),COUNTA(FILTER(I$1:I125, I$1:I125&lt;&gt;""""))))-1), IF('To Order'!$A126=COLUMNS($A126:I"&amp;"145), I125&amp;RIGHT(INDIRECT(ADDRESS(ROW(I126)-1, 'From Order'!$A126)), 1), I125))"),"")</f>
        <v/>
      </c>
    </row>
    <row r="127">
      <c r="A127" s="2" t="str">
        <f>IFERROR(__xludf.DUMMYFUNCTION("IF('From Order'!$A127=COLUMNS($A127:A146), LEFT(INDEX(FILTER(A$1:A126, A$1:A126&lt;&gt;""""),COUNTA(FILTER(A$1:A126, A$1:A126&lt;&gt;""""))), LEN(INDEX(FILTER(A$1:A126, A$1:A126&lt;&gt;""""),COUNTA(FILTER(A$1:A126, A$1:A126&lt;&gt;""""))))-1), IF('To Order'!$A127=COLUMNS($A127:A"&amp;"146), A126&amp;RIGHT(INDIRECT(ADDRESS(ROW(A127)-1, 'From Order'!$A127)), 1), A126))"),"")</f>
        <v/>
      </c>
      <c r="B127" s="2" t="str">
        <f>IFERROR(__xludf.DUMMYFUNCTION("IF('From Order'!$A127=COLUMNS($A127:B146), LEFT(INDEX(FILTER(B$1:B126, B$1:B126&lt;&gt;""""),COUNTA(FILTER(B$1:B126, B$1:B126&lt;&gt;""""))), LEN(INDEX(FILTER(B$1:B126, B$1:B126&lt;&gt;""""),COUNTA(FILTER(B$1:B126, B$1:B126&lt;&gt;""""))))-1), IF('To Order'!$A127=COLUMNS($A127:B"&amp;"146), B126&amp;RIGHT(INDIRECT(ADDRESS(ROW(B127)-1, 'From Order'!$A127)), 1), B126))"),"SWRVSDPQ")</f>
        <v>SWRVSDPQ</v>
      </c>
      <c r="C127" s="2" t="str">
        <f>IFERROR(__xludf.DUMMYFUNCTION("IF('From Order'!$A127=COLUMNS($A127:C146), LEFT(INDEX(FILTER(C$1:C126, C$1:C126&lt;&gt;""""),COUNTA(FILTER(C$1:C126, C$1:C126&lt;&gt;""""))), LEN(INDEX(FILTER(C$1:C126, C$1:C126&lt;&gt;""""),COUNTA(FILTER(C$1:C126, C$1:C126&lt;&gt;""""))))-1), IF('To Order'!$A127=COLUMNS($A127:C"&amp;"146), C126&amp;RIGHT(INDIRECT(ADDRESS(ROW(C127)-1, 'From Order'!$A127)), 1), C126))"),"")</f>
        <v/>
      </c>
      <c r="D127" s="2" t="str">
        <f>IFERROR(__xludf.DUMMYFUNCTION("IF('From Order'!$A127=COLUMNS($A127:D146), LEFT(INDEX(FILTER(D$1:D126, D$1:D126&lt;&gt;""""),COUNTA(FILTER(D$1:D126, D$1:D126&lt;&gt;""""))), LEN(INDEX(FILTER(D$1:D126, D$1:D126&lt;&gt;""""),COUNTA(FILTER(D$1:D126, D$1:D126&lt;&gt;""""))))-1), IF('To Order'!$A127=COLUMNS($A127:D"&amp;"146), D126&amp;RIGHT(INDIRECT(ADDRESS(ROW(D127)-1, 'From Order'!$A127)), 1), D126))"),"DTCHSPVMZDDTLCBR")</f>
        <v>DTCHSPVMZDDTLCBR</v>
      </c>
      <c r="E127" s="2" t="str">
        <f>IFERROR(__xludf.DUMMYFUNCTION("IF('From Order'!$A127=COLUMNS($A127:E146), LEFT(INDEX(FILTER(E$1:E126, E$1:E126&lt;&gt;""""),COUNTA(FILTER(E$1:E126, E$1:E126&lt;&gt;""""))), LEN(INDEX(FILTER(E$1:E126, E$1:E126&lt;&gt;""""),COUNTA(FILTER(E$1:E126, E$1:E126&lt;&gt;""""))))-1), IF('To Order'!$A127=COLUMNS($A127:E"&amp;"146), E126&amp;RIGHT(INDIRECT(ADDRESS(ROW(E127)-1, 'From Order'!$A127)), 1), E126))"),"GPBSGDJMFTRT")</f>
        <v>GPBSGDJMFTRT</v>
      </c>
      <c r="F127" s="2" t="str">
        <f>IFERROR(__xludf.DUMMYFUNCTION("IF('From Order'!$A127=COLUMNS($A127:F146), LEFT(INDEX(FILTER(F$1:F126, F$1:F126&lt;&gt;""""),COUNTA(FILTER(F$1:F126, F$1:F126&lt;&gt;""""))), LEN(INDEX(FILTER(F$1:F126, F$1:F126&lt;&gt;""""),COUNTA(FILTER(F$1:F126, F$1:F126&lt;&gt;""""))))-1), IF('To Order'!$A127=COLUMNS($A127:F"&amp;"146), F126&amp;RIGHT(INDIRECT(ADDRESS(ROW(F127)-1, 'From Order'!$A127)), 1), F126))"),"FBJLWRZ")</f>
        <v>FBJLWRZ</v>
      </c>
      <c r="G127" s="2" t="str">
        <f>IFERROR(__xludf.DUMMYFUNCTION("IF('From Order'!$A127=COLUMNS($A127:G146), LEFT(INDEX(FILTER(G$1:G126, G$1:G126&lt;&gt;""""),COUNTA(FILTER(G$1:G126, G$1:G126&lt;&gt;""""))), LEN(INDEX(FILTER(G$1:G126, G$1:G126&lt;&gt;""""),COUNTA(FILTER(G$1:G126, G$1:G126&lt;&gt;""""))))-1), IF('To Order'!$A127=COLUMNS($A127:G"&amp;"146), G126&amp;RIGHT(INDIRECT(ADDRESS(ROW(G127)-1, 'From Order'!$A127)), 1), G126))"),"L")</f>
        <v>L</v>
      </c>
      <c r="H127" s="2" t="str">
        <f>IFERROR(__xludf.DUMMYFUNCTION("IF('From Order'!$A127=COLUMNS($A127:H146), LEFT(INDEX(FILTER(H$1:H126, H$1:H126&lt;&gt;""""),COUNTA(FILTER(H$1:H126, H$1:H126&lt;&gt;""""))), LEN(INDEX(FILTER(H$1:H126, H$1:H126&lt;&gt;""""),COUNTA(FILTER(H$1:H126, H$1:H126&lt;&gt;""""))))-1), IF('To Order'!$A127=COLUMNS($A127:H"&amp;"146), H126&amp;RIGHT(INDIRECT(ADDRESS(ROW(H127)-1, 'From Order'!$A127)), 1), H126))"),"TVMQCDTHZJRB")</f>
        <v>TVMQCDTHZJRB</v>
      </c>
      <c r="I127" s="2" t="str">
        <f>IFERROR(__xludf.DUMMYFUNCTION("IF('From Order'!$A127=COLUMNS($A127:I146), LEFT(INDEX(FILTER(I$1:I126, I$1:I126&lt;&gt;""""),COUNTA(FILTER(I$1:I126, I$1:I126&lt;&gt;""""))), LEN(INDEX(FILTER(I$1:I126, I$1:I126&lt;&gt;""""),COUNTA(FILTER(I$1:I126, I$1:I126&lt;&gt;""""))))-1), IF('To Order'!$A127=COLUMNS($A127:I"&amp;"146), I126&amp;RIGHT(INDIRECT(ADDRESS(ROW(I127)-1, 'From Order'!$A127)), 1), I126))"),"")</f>
        <v/>
      </c>
    </row>
    <row r="128">
      <c r="A128" s="2" t="str">
        <f>IFERROR(__xludf.DUMMYFUNCTION("IF('From Order'!$A128=COLUMNS($A128:A147), LEFT(INDEX(FILTER(A$1:A127, A$1:A127&lt;&gt;""""),COUNTA(FILTER(A$1:A127, A$1:A127&lt;&gt;""""))), LEN(INDEX(FILTER(A$1:A127, A$1:A127&lt;&gt;""""),COUNTA(FILTER(A$1:A127, A$1:A127&lt;&gt;""""))))-1), IF('To Order'!$A128=COLUMNS($A128:A"&amp;"147), A127&amp;RIGHT(INDIRECT(ADDRESS(ROW(A128)-1, 'From Order'!$A128)), 1), A127))"),"")</f>
        <v/>
      </c>
      <c r="B128" s="2" t="str">
        <f>IFERROR(__xludf.DUMMYFUNCTION("IF('From Order'!$A128=COLUMNS($A128:B147), LEFT(INDEX(FILTER(B$1:B127, B$1:B127&lt;&gt;""""),COUNTA(FILTER(B$1:B127, B$1:B127&lt;&gt;""""))), LEN(INDEX(FILTER(B$1:B127, B$1:B127&lt;&gt;""""),COUNTA(FILTER(B$1:B127, B$1:B127&lt;&gt;""""))))-1), IF('To Order'!$A128=COLUMNS($A128:B"&amp;"147), B127&amp;RIGHT(INDIRECT(ADDRESS(ROW(B128)-1, 'From Order'!$A128)), 1), B127))"),"SWRVSDPQ")</f>
        <v>SWRVSDPQ</v>
      </c>
      <c r="C128" s="2" t="str">
        <f>IFERROR(__xludf.DUMMYFUNCTION("IF('From Order'!$A128=COLUMNS($A128:C147), LEFT(INDEX(FILTER(C$1:C127, C$1:C127&lt;&gt;""""),COUNTA(FILTER(C$1:C127, C$1:C127&lt;&gt;""""))), LEN(INDEX(FILTER(C$1:C127, C$1:C127&lt;&gt;""""),COUNTA(FILTER(C$1:C127, C$1:C127&lt;&gt;""""))))-1), IF('To Order'!$A128=COLUMNS($A128:C"&amp;"147), C127&amp;RIGHT(INDIRECT(ADDRESS(ROW(C128)-1, 'From Order'!$A128)), 1), C127))"),"")</f>
        <v/>
      </c>
      <c r="D128" s="2" t="str">
        <f>IFERROR(__xludf.DUMMYFUNCTION("IF('From Order'!$A128=COLUMNS($A128:D147), LEFT(INDEX(FILTER(D$1:D127, D$1:D127&lt;&gt;""""),COUNTA(FILTER(D$1:D127, D$1:D127&lt;&gt;""""))), LEN(INDEX(FILTER(D$1:D127, D$1:D127&lt;&gt;""""),COUNTA(FILTER(D$1:D127, D$1:D127&lt;&gt;""""))))-1), IF('To Order'!$A128=COLUMNS($A128:D"&amp;"147), D127&amp;RIGHT(INDIRECT(ADDRESS(ROW(D128)-1, 'From Order'!$A128)), 1), D127))"),"DTCHSPVMZDDTLCBR")</f>
        <v>DTCHSPVMZDDTLCBR</v>
      </c>
      <c r="E128" s="2" t="str">
        <f>IFERROR(__xludf.DUMMYFUNCTION("IF('From Order'!$A128=COLUMNS($A128:E147), LEFT(INDEX(FILTER(E$1:E127, E$1:E127&lt;&gt;""""),COUNTA(FILTER(E$1:E127, E$1:E127&lt;&gt;""""))), LEN(INDEX(FILTER(E$1:E127, E$1:E127&lt;&gt;""""),COUNTA(FILTER(E$1:E127, E$1:E127&lt;&gt;""""))))-1), IF('To Order'!$A128=COLUMNS($A128:E"&amp;"147), E127&amp;RIGHT(INDIRECT(ADDRESS(ROW(E128)-1, 'From Order'!$A128)), 1), E127))"),"GPBSGDJMFTR")</f>
        <v>GPBSGDJMFTR</v>
      </c>
      <c r="F128" s="2" t="str">
        <f>IFERROR(__xludf.DUMMYFUNCTION("IF('From Order'!$A128=COLUMNS($A128:F147), LEFT(INDEX(FILTER(F$1:F127, F$1:F127&lt;&gt;""""),COUNTA(FILTER(F$1:F127, F$1:F127&lt;&gt;""""))), LEN(INDEX(FILTER(F$1:F127, F$1:F127&lt;&gt;""""),COUNTA(FILTER(F$1:F127, F$1:F127&lt;&gt;""""))))-1), IF('To Order'!$A128=COLUMNS($A128:F"&amp;"147), F127&amp;RIGHT(INDIRECT(ADDRESS(ROW(F128)-1, 'From Order'!$A128)), 1), F127))"),"FBJLWRZT")</f>
        <v>FBJLWRZT</v>
      </c>
      <c r="G128" s="2" t="str">
        <f>IFERROR(__xludf.DUMMYFUNCTION("IF('From Order'!$A128=COLUMNS($A128:G147), LEFT(INDEX(FILTER(G$1:G127, G$1:G127&lt;&gt;""""),COUNTA(FILTER(G$1:G127, G$1:G127&lt;&gt;""""))), LEN(INDEX(FILTER(G$1:G127, G$1:G127&lt;&gt;""""),COUNTA(FILTER(G$1:G127, G$1:G127&lt;&gt;""""))))-1), IF('To Order'!$A128=COLUMNS($A128:G"&amp;"147), G127&amp;RIGHT(INDIRECT(ADDRESS(ROW(G128)-1, 'From Order'!$A128)), 1), G127))"),"L")</f>
        <v>L</v>
      </c>
      <c r="H128" s="2" t="str">
        <f>IFERROR(__xludf.DUMMYFUNCTION("IF('From Order'!$A128=COLUMNS($A128:H147), LEFT(INDEX(FILTER(H$1:H127, H$1:H127&lt;&gt;""""),COUNTA(FILTER(H$1:H127, H$1:H127&lt;&gt;""""))), LEN(INDEX(FILTER(H$1:H127, H$1:H127&lt;&gt;""""),COUNTA(FILTER(H$1:H127, H$1:H127&lt;&gt;""""))))-1), IF('To Order'!$A128=COLUMNS($A128:H"&amp;"147), H127&amp;RIGHT(INDIRECT(ADDRESS(ROW(H128)-1, 'From Order'!$A128)), 1), H127))"),"TVMQCDTHZJRB")</f>
        <v>TVMQCDTHZJRB</v>
      </c>
      <c r="I128" s="2" t="str">
        <f>IFERROR(__xludf.DUMMYFUNCTION("IF('From Order'!$A128=COLUMNS($A128:I147), LEFT(INDEX(FILTER(I$1:I127, I$1:I127&lt;&gt;""""),COUNTA(FILTER(I$1:I127, I$1:I127&lt;&gt;""""))), LEN(INDEX(FILTER(I$1:I127, I$1:I127&lt;&gt;""""),COUNTA(FILTER(I$1:I127, I$1:I127&lt;&gt;""""))))-1), IF('To Order'!$A128=COLUMNS($A128:I"&amp;"147), I127&amp;RIGHT(INDIRECT(ADDRESS(ROW(I128)-1, 'From Order'!$A128)), 1), I127))"),"")</f>
        <v/>
      </c>
    </row>
    <row r="129">
      <c r="A129" s="2" t="str">
        <f>IFERROR(__xludf.DUMMYFUNCTION("IF('From Order'!$A129=COLUMNS($A129:A148), LEFT(INDEX(FILTER(A$1:A128, A$1:A128&lt;&gt;""""),COUNTA(FILTER(A$1:A128, A$1:A128&lt;&gt;""""))), LEN(INDEX(FILTER(A$1:A128, A$1:A128&lt;&gt;""""),COUNTA(FILTER(A$1:A128, A$1:A128&lt;&gt;""""))))-1), IF('To Order'!$A129=COLUMNS($A129:A"&amp;"148), A128&amp;RIGHT(INDIRECT(ADDRESS(ROW(A129)-1, 'From Order'!$A129)), 1), A128))"),"B")</f>
        <v>B</v>
      </c>
      <c r="B129" s="2" t="str">
        <f>IFERROR(__xludf.DUMMYFUNCTION("IF('From Order'!$A129=COLUMNS($A129:B148), LEFT(INDEX(FILTER(B$1:B128, B$1:B128&lt;&gt;""""),COUNTA(FILTER(B$1:B128, B$1:B128&lt;&gt;""""))), LEN(INDEX(FILTER(B$1:B128, B$1:B128&lt;&gt;""""),COUNTA(FILTER(B$1:B128, B$1:B128&lt;&gt;""""))))-1), IF('To Order'!$A129=COLUMNS($A129:B"&amp;"148), B128&amp;RIGHT(INDIRECT(ADDRESS(ROW(B129)-1, 'From Order'!$A129)), 1), B128))"),"SWRVSDPQ")</f>
        <v>SWRVSDPQ</v>
      </c>
      <c r="C129" s="2" t="str">
        <f>IFERROR(__xludf.DUMMYFUNCTION("IF('From Order'!$A129=COLUMNS($A129:C148), LEFT(INDEX(FILTER(C$1:C128, C$1:C128&lt;&gt;""""),COUNTA(FILTER(C$1:C128, C$1:C128&lt;&gt;""""))), LEN(INDEX(FILTER(C$1:C128, C$1:C128&lt;&gt;""""),COUNTA(FILTER(C$1:C128, C$1:C128&lt;&gt;""""))))-1), IF('To Order'!$A129=COLUMNS($A129:C"&amp;"148), C128&amp;RIGHT(INDIRECT(ADDRESS(ROW(C129)-1, 'From Order'!$A129)), 1), C128))"),"")</f>
        <v/>
      </c>
      <c r="D129" s="2" t="str">
        <f>IFERROR(__xludf.DUMMYFUNCTION("IF('From Order'!$A129=COLUMNS($A129:D148), LEFT(INDEX(FILTER(D$1:D128, D$1:D128&lt;&gt;""""),COUNTA(FILTER(D$1:D128, D$1:D128&lt;&gt;""""))), LEN(INDEX(FILTER(D$1:D128, D$1:D128&lt;&gt;""""),COUNTA(FILTER(D$1:D128, D$1:D128&lt;&gt;""""))))-1), IF('To Order'!$A129=COLUMNS($A129:D"&amp;"148), D128&amp;RIGHT(INDIRECT(ADDRESS(ROW(D129)-1, 'From Order'!$A129)), 1), D128))"),"DTCHSPVMZDDTLCBR")</f>
        <v>DTCHSPVMZDDTLCBR</v>
      </c>
      <c r="E129" s="2" t="str">
        <f>IFERROR(__xludf.DUMMYFUNCTION("IF('From Order'!$A129=COLUMNS($A129:E148), LEFT(INDEX(FILTER(E$1:E128, E$1:E128&lt;&gt;""""),COUNTA(FILTER(E$1:E128, E$1:E128&lt;&gt;""""))), LEN(INDEX(FILTER(E$1:E128, E$1:E128&lt;&gt;""""),COUNTA(FILTER(E$1:E128, E$1:E128&lt;&gt;""""))))-1), IF('To Order'!$A129=COLUMNS($A129:E"&amp;"148), E128&amp;RIGHT(INDIRECT(ADDRESS(ROW(E129)-1, 'From Order'!$A129)), 1), E128))"),"GPBSGDJMFTR")</f>
        <v>GPBSGDJMFTR</v>
      </c>
      <c r="F129" s="2" t="str">
        <f>IFERROR(__xludf.DUMMYFUNCTION("IF('From Order'!$A129=COLUMNS($A129:F148), LEFT(INDEX(FILTER(F$1:F128, F$1:F128&lt;&gt;""""),COUNTA(FILTER(F$1:F128, F$1:F128&lt;&gt;""""))), LEN(INDEX(FILTER(F$1:F128, F$1:F128&lt;&gt;""""),COUNTA(FILTER(F$1:F128, F$1:F128&lt;&gt;""""))))-1), IF('To Order'!$A129=COLUMNS($A129:F"&amp;"148), F128&amp;RIGHT(INDIRECT(ADDRESS(ROW(F129)-1, 'From Order'!$A129)), 1), F128))"),"FBJLWRZT")</f>
        <v>FBJLWRZT</v>
      </c>
      <c r="G129" s="2" t="str">
        <f>IFERROR(__xludf.DUMMYFUNCTION("IF('From Order'!$A129=COLUMNS($A129:G148), LEFT(INDEX(FILTER(G$1:G128, G$1:G128&lt;&gt;""""),COUNTA(FILTER(G$1:G128, G$1:G128&lt;&gt;""""))), LEN(INDEX(FILTER(G$1:G128, G$1:G128&lt;&gt;""""),COUNTA(FILTER(G$1:G128, G$1:G128&lt;&gt;""""))))-1), IF('To Order'!$A129=COLUMNS($A129:G"&amp;"148), G128&amp;RIGHT(INDIRECT(ADDRESS(ROW(G129)-1, 'From Order'!$A129)), 1), G128))"),"L")</f>
        <v>L</v>
      </c>
      <c r="H129" s="2" t="str">
        <f>IFERROR(__xludf.DUMMYFUNCTION("IF('From Order'!$A129=COLUMNS($A129:H148), LEFT(INDEX(FILTER(H$1:H128, H$1:H128&lt;&gt;""""),COUNTA(FILTER(H$1:H128, H$1:H128&lt;&gt;""""))), LEN(INDEX(FILTER(H$1:H128, H$1:H128&lt;&gt;""""),COUNTA(FILTER(H$1:H128, H$1:H128&lt;&gt;""""))))-1), IF('To Order'!$A129=COLUMNS($A129:H"&amp;"148), H128&amp;RIGHT(INDIRECT(ADDRESS(ROW(H129)-1, 'From Order'!$A129)), 1), H128))"),"TVMQCDTHZJR")</f>
        <v>TVMQCDTHZJR</v>
      </c>
      <c r="I129" s="2" t="str">
        <f>IFERROR(__xludf.DUMMYFUNCTION("IF('From Order'!$A129=COLUMNS($A129:I148), LEFT(INDEX(FILTER(I$1:I128, I$1:I128&lt;&gt;""""),COUNTA(FILTER(I$1:I128, I$1:I128&lt;&gt;""""))), LEN(INDEX(FILTER(I$1:I128, I$1:I128&lt;&gt;""""),COUNTA(FILTER(I$1:I128, I$1:I128&lt;&gt;""""))))-1), IF('To Order'!$A129=COLUMNS($A129:I"&amp;"148), I128&amp;RIGHT(INDIRECT(ADDRESS(ROW(I129)-1, 'From Order'!$A129)), 1), I128))"),"")</f>
        <v/>
      </c>
    </row>
    <row r="130">
      <c r="A130" s="2" t="str">
        <f>IFERROR(__xludf.DUMMYFUNCTION("IF('From Order'!$A130=COLUMNS($A130:A149), LEFT(INDEX(FILTER(A$1:A129, A$1:A129&lt;&gt;""""),COUNTA(FILTER(A$1:A129, A$1:A129&lt;&gt;""""))), LEN(INDEX(FILTER(A$1:A129, A$1:A129&lt;&gt;""""),COUNTA(FILTER(A$1:A129, A$1:A129&lt;&gt;""""))))-1), IF('To Order'!$A130=COLUMNS($A130:A"&amp;"149), A129&amp;RIGHT(INDIRECT(ADDRESS(ROW(A130)-1, 'From Order'!$A130)), 1), A129))"),"BR")</f>
        <v>BR</v>
      </c>
      <c r="B130" s="2" t="str">
        <f>IFERROR(__xludf.DUMMYFUNCTION("IF('From Order'!$A130=COLUMNS($A130:B149), LEFT(INDEX(FILTER(B$1:B129, B$1:B129&lt;&gt;""""),COUNTA(FILTER(B$1:B129, B$1:B129&lt;&gt;""""))), LEN(INDEX(FILTER(B$1:B129, B$1:B129&lt;&gt;""""),COUNTA(FILTER(B$1:B129, B$1:B129&lt;&gt;""""))))-1), IF('To Order'!$A130=COLUMNS($A130:B"&amp;"149), B129&amp;RIGHT(INDIRECT(ADDRESS(ROW(B130)-1, 'From Order'!$A130)), 1), B129))"),"SWRVSDPQ")</f>
        <v>SWRVSDPQ</v>
      </c>
      <c r="C130" s="2" t="str">
        <f>IFERROR(__xludf.DUMMYFUNCTION("IF('From Order'!$A130=COLUMNS($A130:C149), LEFT(INDEX(FILTER(C$1:C129, C$1:C129&lt;&gt;""""),COUNTA(FILTER(C$1:C129, C$1:C129&lt;&gt;""""))), LEN(INDEX(FILTER(C$1:C129, C$1:C129&lt;&gt;""""),COUNTA(FILTER(C$1:C129, C$1:C129&lt;&gt;""""))))-1), IF('To Order'!$A130=COLUMNS($A130:C"&amp;"149), C129&amp;RIGHT(INDIRECT(ADDRESS(ROW(C130)-1, 'From Order'!$A130)), 1), C129))"),"")</f>
        <v/>
      </c>
      <c r="D130" s="2" t="str">
        <f>IFERROR(__xludf.DUMMYFUNCTION("IF('From Order'!$A130=COLUMNS($A130:D149), LEFT(INDEX(FILTER(D$1:D129, D$1:D129&lt;&gt;""""),COUNTA(FILTER(D$1:D129, D$1:D129&lt;&gt;""""))), LEN(INDEX(FILTER(D$1:D129, D$1:D129&lt;&gt;""""),COUNTA(FILTER(D$1:D129, D$1:D129&lt;&gt;""""))))-1), IF('To Order'!$A130=COLUMNS($A130:D"&amp;"149), D129&amp;RIGHT(INDIRECT(ADDRESS(ROW(D130)-1, 'From Order'!$A130)), 1), D129))"),"DTCHSPVMZDDTLCBR")</f>
        <v>DTCHSPVMZDDTLCBR</v>
      </c>
      <c r="E130" s="2" t="str">
        <f>IFERROR(__xludf.DUMMYFUNCTION("IF('From Order'!$A130=COLUMNS($A130:E149), LEFT(INDEX(FILTER(E$1:E129, E$1:E129&lt;&gt;""""),COUNTA(FILTER(E$1:E129, E$1:E129&lt;&gt;""""))), LEN(INDEX(FILTER(E$1:E129, E$1:E129&lt;&gt;""""),COUNTA(FILTER(E$1:E129, E$1:E129&lt;&gt;""""))))-1), IF('To Order'!$A130=COLUMNS($A130:E"&amp;"149), E129&amp;RIGHT(INDIRECT(ADDRESS(ROW(E130)-1, 'From Order'!$A130)), 1), E129))"),"GPBSGDJMFTR")</f>
        <v>GPBSGDJMFTR</v>
      </c>
      <c r="F130" s="2" t="str">
        <f>IFERROR(__xludf.DUMMYFUNCTION("IF('From Order'!$A130=COLUMNS($A130:F149), LEFT(INDEX(FILTER(F$1:F129, F$1:F129&lt;&gt;""""),COUNTA(FILTER(F$1:F129, F$1:F129&lt;&gt;""""))), LEN(INDEX(FILTER(F$1:F129, F$1:F129&lt;&gt;""""),COUNTA(FILTER(F$1:F129, F$1:F129&lt;&gt;""""))))-1), IF('To Order'!$A130=COLUMNS($A130:F"&amp;"149), F129&amp;RIGHT(INDIRECT(ADDRESS(ROW(F130)-1, 'From Order'!$A130)), 1), F129))"),"FBJLWRZT")</f>
        <v>FBJLWRZT</v>
      </c>
      <c r="G130" s="2" t="str">
        <f>IFERROR(__xludf.DUMMYFUNCTION("IF('From Order'!$A130=COLUMNS($A130:G149), LEFT(INDEX(FILTER(G$1:G129, G$1:G129&lt;&gt;""""),COUNTA(FILTER(G$1:G129, G$1:G129&lt;&gt;""""))), LEN(INDEX(FILTER(G$1:G129, G$1:G129&lt;&gt;""""),COUNTA(FILTER(G$1:G129, G$1:G129&lt;&gt;""""))))-1), IF('To Order'!$A130=COLUMNS($A130:G"&amp;"149), G129&amp;RIGHT(INDIRECT(ADDRESS(ROW(G130)-1, 'From Order'!$A130)), 1), G129))"),"L")</f>
        <v>L</v>
      </c>
      <c r="H130" s="2" t="str">
        <f>IFERROR(__xludf.DUMMYFUNCTION("IF('From Order'!$A130=COLUMNS($A130:H149), LEFT(INDEX(FILTER(H$1:H129, H$1:H129&lt;&gt;""""),COUNTA(FILTER(H$1:H129, H$1:H129&lt;&gt;""""))), LEN(INDEX(FILTER(H$1:H129, H$1:H129&lt;&gt;""""),COUNTA(FILTER(H$1:H129, H$1:H129&lt;&gt;""""))))-1), IF('To Order'!$A130=COLUMNS($A130:H"&amp;"149), H129&amp;RIGHT(INDIRECT(ADDRESS(ROW(H130)-1, 'From Order'!$A130)), 1), H129))"),"TVMQCDTHZJ")</f>
        <v>TVMQCDTHZJ</v>
      </c>
      <c r="I130" s="2" t="str">
        <f>IFERROR(__xludf.DUMMYFUNCTION("IF('From Order'!$A130=COLUMNS($A130:I149), LEFT(INDEX(FILTER(I$1:I129, I$1:I129&lt;&gt;""""),COUNTA(FILTER(I$1:I129, I$1:I129&lt;&gt;""""))), LEN(INDEX(FILTER(I$1:I129, I$1:I129&lt;&gt;""""),COUNTA(FILTER(I$1:I129, I$1:I129&lt;&gt;""""))))-1), IF('To Order'!$A130=COLUMNS($A130:I"&amp;"149), I129&amp;RIGHT(INDIRECT(ADDRESS(ROW(I130)-1, 'From Order'!$A130)), 1), I129))"),"")</f>
        <v/>
      </c>
    </row>
    <row r="131">
      <c r="A131" s="2" t="str">
        <f>IFERROR(__xludf.DUMMYFUNCTION("IF('From Order'!$A131=COLUMNS($A131:A150), LEFT(INDEX(FILTER(A$1:A130, A$1:A130&lt;&gt;""""),COUNTA(FILTER(A$1:A130, A$1:A130&lt;&gt;""""))), LEN(INDEX(FILTER(A$1:A130, A$1:A130&lt;&gt;""""),COUNTA(FILTER(A$1:A130, A$1:A130&lt;&gt;""""))))-1), IF('To Order'!$A131=COLUMNS($A131:A"&amp;"150), A130&amp;RIGHT(INDIRECT(ADDRESS(ROW(A131)-1, 'From Order'!$A131)), 1), A130))"),"BRJ")</f>
        <v>BRJ</v>
      </c>
      <c r="B131" s="2" t="str">
        <f>IFERROR(__xludf.DUMMYFUNCTION("IF('From Order'!$A131=COLUMNS($A131:B150), LEFT(INDEX(FILTER(B$1:B130, B$1:B130&lt;&gt;""""),COUNTA(FILTER(B$1:B130, B$1:B130&lt;&gt;""""))), LEN(INDEX(FILTER(B$1:B130, B$1:B130&lt;&gt;""""),COUNTA(FILTER(B$1:B130, B$1:B130&lt;&gt;""""))))-1), IF('To Order'!$A131=COLUMNS($A131:B"&amp;"150), B130&amp;RIGHT(INDIRECT(ADDRESS(ROW(B131)-1, 'From Order'!$A131)), 1), B130))"),"SWRVSDPQ")</f>
        <v>SWRVSDPQ</v>
      </c>
      <c r="C131" s="2" t="str">
        <f>IFERROR(__xludf.DUMMYFUNCTION("IF('From Order'!$A131=COLUMNS($A131:C150), LEFT(INDEX(FILTER(C$1:C130, C$1:C130&lt;&gt;""""),COUNTA(FILTER(C$1:C130, C$1:C130&lt;&gt;""""))), LEN(INDEX(FILTER(C$1:C130, C$1:C130&lt;&gt;""""),COUNTA(FILTER(C$1:C130, C$1:C130&lt;&gt;""""))))-1), IF('To Order'!$A131=COLUMNS($A131:C"&amp;"150), C130&amp;RIGHT(INDIRECT(ADDRESS(ROW(C131)-1, 'From Order'!$A131)), 1), C130))"),"")</f>
        <v/>
      </c>
      <c r="D131" s="2" t="str">
        <f>IFERROR(__xludf.DUMMYFUNCTION("IF('From Order'!$A131=COLUMNS($A131:D150), LEFT(INDEX(FILTER(D$1:D130, D$1:D130&lt;&gt;""""),COUNTA(FILTER(D$1:D130, D$1:D130&lt;&gt;""""))), LEN(INDEX(FILTER(D$1:D130, D$1:D130&lt;&gt;""""),COUNTA(FILTER(D$1:D130, D$1:D130&lt;&gt;""""))))-1), IF('To Order'!$A131=COLUMNS($A131:D"&amp;"150), D130&amp;RIGHT(INDIRECT(ADDRESS(ROW(D131)-1, 'From Order'!$A131)), 1), D130))"),"DTCHSPVMZDDTLCBR")</f>
        <v>DTCHSPVMZDDTLCBR</v>
      </c>
      <c r="E131" s="2" t="str">
        <f>IFERROR(__xludf.DUMMYFUNCTION("IF('From Order'!$A131=COLUMNS($A131:E150), LEFT(INDEX(FILTER(E$1:E130, E$1:E130&lt;&gt;""""),COUNTA(FILTER(E$1:E130, E$1:E130&lt;&gt;""""))), LEN(INDEX(FILTER(E$1:E130, E$1:E130&lt;&gt;""""),COUNTA(FILTER(E$1:E130, E$1:E130&lt;&gt;""""))))-1), IF('To Order'!$A131=COLUMNS($A131:E"&amp;"150), E130&amp;RIGHT(INDIRECT(ADDRESS(ROW(E131)-1, 'From Order'!$A131)), 1), E130))"),"GPBSGDJMFTR")</f>
        <v>GPBSGDJMFTR</v>
      </c>
      <c r="F131" s="2" t="str">
        <f>IFERROR(__xludf.DUMMYFUNCTION("IF('From Order'!$A131=COLUMNS($A131:F150), LEFT(INDEX(FILTER(F$1:F130, F$1:F130&lt;&gt;""""),COUNTA(FILTER(F$1:F130, F$1:F130&lt;&gt;""""))), LEN(INDEX(FILTER(F$1:F130, F$1:F130&lt;&gt;""""),COUNTA(FILTER(F$1:F130, F$1:F130&lt;&gt;""""))))-1), IF('To Order'!$A131=COLUMNS($A131:F"&amp;"150), F130&amp;RIGHT(INDIRECT(ADDRESS(ROW(F131)-1, 'From Order'!$A131)), 1), F130))"),"FBJLWRZT")</f>
        <v>FBJLWRZT</v>
      </c>
      <c r="G131" s="2" t="str">
        <f>IFERROR(__xludf.DUMMYFUNCTION("IF('From Order'!$A131=COLUMNS($A131:G150), LEFT(INDEX(FILTER(G$1:G130, G$1:G130&lt;&gt;""""),COUNTA(FILTER(G$1:G130, G$1:G130&lt;&gt;""""))), LEN(INDEX(FILTER(G$1:G130, G$1:G130&lt;&gt;""""),COUNTA(FILTER(G$1:G130, G$1:G130&lt;&gt;""""))))-1), IF('To Order'!$A131=COLUMNS($A131:G"&amp;"150), G130&amp;RIGHT(INDIRECT(ADDRESS(ROW(G131)-1, 'From Order'!$A131)), 1), G130))"),"L")</f>
        <v>L</v>
      </c>
      <c r="H131" s="2" t="str">
        <f>IFERROR(__xludf.DUMMYFUNCTION("IF('From Order'!$A131=COLUMNS($A131:H150), LEFT(INDEX(FILTER(H$1:H130, H$1:H130&lt;&gt;""""),COUNTA(FILTER(H$1:H130, H$1:H130&lt;&gt;""""))), LEN(INDEX(FILTER(H$1:H130, H$1:H130&lt;&gt;""""),COUNTA(FILTER(H$1:H130, H$1:H130&lt;&gt;""""))))-1), IF('To Order'!$A131=COLUMNS($A131:H"&amp;"150), H130&amp;RIGHT(INDIRECT(ADDRESS(ROW(H131)-1, 'From Order'!$A131)), 1), H130))"),"TVMQCDTHZ")</f>
        <v>TVMQCDTHZ</v>
      </c>
      <c r="I131" s="2" t="str">
        <f>IFERROR(__xludf.DUMMYFUNCTION("IF('From Order'!$A131=COLUMNS($A131:I150), LEFT(INDEX(FILTER(I$1:I130, I$1:I130&lt;&gt;""""),COUNTA(FILTER(I$1:I130, I$1:I130&lt;&gt;""""))), LEN(INDEX(FILTER(I$1:I130, I$1:I130&lt;&gt;""""),COUNTA(FILTER(I$1:I130, I$1:I130&lt;&gt;""""))))-1), IF('To Order'!$A131=COLUMNS($A131:I"&amp;"150), I130&amp;RIGHT(INDIRECT(ADDRESS(ROW(I131)-1, 'From Order'!$A131)), 1), I130))"),"")</f>
        <v/>
      </c>
    </row>
    <row r="132">
      <c r="A132" s="2" t="str">
        <f>IFERROR(__xludf.DUMMYFUNCTION("IF('From Order'!$A132=COLUMNS($A132:A151), LEFT(INDEX(FILTER(A$1:A131, A$1:A131&lt;&gt;""""),COUNTA(FILTER(A$1:A131, A$1:A131&lt;&gt;""""))), LEN(INDEX(FILTER(A$1:A131, A$1:A131&lt;&gt;""""),COUNTA(FILTER(A$1:A131, A$1:A131&lt;&gt;""""))))-1), IF('To Order'!$A132=COLUMNS($A132:A"&amp;"151), A131&amp;RIGHT(INDIRECT(ADDRESS(ROW(A132)-1, 'From Order'!$A132)), 1), A131))"),"BRJZ")</f>
        <v>BRJZ</v>
      </c>
      <c r="B132" s="2" t="str">
        <f>IFERROR(__xludf.DUMMYFUNCTION("IF('From Order'!$A132=COLUMNS($A132:B151), LEFT(INDEX(FILTER(B$1:B131, B$1:B131&lt;&gt;""""),COUNTA(FILTER(B$1:B131, B$1:B131&lt;&gt;""""))), LEN(INDEX(FILTER(B$1:B131, B$1:B131&lt;&gt;""""),COUNTA(FILTER(B$1:B131, B$1:B131&lt;&gt;""""))))-1), IF('To Order'!$A132=COLUMNS($A132:B"&amp;"151), B131&amp;RIGHT(INDIRECT(ADDRESS(ROW(B132)-1, 'From Order'!$A132)), 1), B131))"),"SWRVSDPQ")</f>
        <v>SWRVSDPQ</v>
      </c>
      <c r="C132" s="2" t="str">
        <f>IFERROR(__xludf.DUMMYFUNCTION("IF('From Order'!$A132=COLUMNS($A132:C151), LEFT(INDEX(FILTER(C$1:C131, C$1:C131&lt;&gt;""""),COUNTA(FILTER(C$1:C131, C$1:C131&lt;&gt;""""))), LEN(INDEX(FILTER(C$1:C131, C$1:C131&lt;&gt;""""),COUNTA(FILTER(C$1:C131, C$1:C131&lt;&gt;""""))))-1), IF('To Order'!$A132=COLUMNS($A132:C"&amp;"151), C131&amp;RIGHT(INDIRECT(ADDRESS(ROW(C132)-1, 'From Order'!$A132)), 1), C131))"),"")</f>
        <v/>
      </c>
      <c r="D132" s="2" t="str">
        <f>IFERROR(__xludf.DUMMYFUNCTION("IF('From Order'!$A132=COLUMNS($A132:D151), LEFT(INDEX(FILTER(D$1:D131, D$1:D131&lt;&gt;""""),COUNTA(FILTER(D$1:D131, D$1:D131&lt;&gt;""""))), LEN(INDEX(FILTER(D$1:D131, D$1:D131&lt;&gt;""""),COUNTA(FILTER(D$1:D131, D$1:D131&lt;&gt;""""))))-1), IF('To Order'!$A132=COLUMNS($A132:D"&amp;"151), D131&amp;RIGHT(INDIRECT(ADDRESS(ROW(D132)-1, 'From Order'!$A132)), 1), D131))"),"DTCHSPVMZDDTLCBR")</f>
        <v>DTCHSPVMZDDTLCBR</v>
      </c>
      <c r="E132" s="2" t="str">
        <f>IFERROR(__xludf.DUMMYFUNCTION("IF('From Order'!$A132=COLUMNS($A132:E151), LEFT(INDEX(FILTER(E$1:E131, E$1:E131&lt;&gt;""""),COUNTA(FILTER(E$1:E131, E$1:E131&lt;&gt;""""))), LEN(INDEX(FILTER(E$1:E131, E$1:E131&lt;&gt;""""),COUNTA(FILTER(E$1:E131, E$1:E131&lt;&gt;""""))))-1), IF('To Order'!$A132=COLUMNS($A132:E"&amp;"151), E131&amp;RIGHT(INDIRECT(ADDRESS(ROW(E132)-1, 'From Order'!$A132)), 1), E131))"),"GPBSGDJMFTR")</f>
        <v>GPBSGDJMFTR</v>
      </c>
      <c r="F132" s="2" t="str">
        <f>IFERROR(__xludf.DUMMYFUNCTION("IF('From Order'!$A132=COLUMNS($A132:F151), LEFT(INDEX(FILTER(F$1:F131, F$1:F131&lt;&gt;""""),COUNTA(FILTER(F$1:F131, F$1:F131&lt;&gt;""""))), LEN(INDEX(FILTER(F$1:F131, F$1:F131&lt;&gt;""""),COUNTA(FILTER(F$1:F131, F$1:F131&lt;&gt;""""))))-1), IF('To Order'!$A132=COLUMNS($A132:F"&amp;"151), F131&amp;RIGHT(INDIRECT(ADDRESS(ROW(F132)-1, 'From Order'!$A132)), 1), F131))"),"FBJLWRZT")</f>
        <v>FBJLWRZT</v>
      </c>
      <c r="G132" s="2" t="str">
        <f>IFERROR(__xludf.DUMMYFUNCTION("IF('From Order'!$A132=COLUMNS($A132:G151), LEFT(INDEX(FILTER(G$1:G131, G$1:G131&lt;&gt;""""),COUNTA(FILTER(G$1:G131, G$1:G131&lt;&gt;""""))), LEN(INDEX(FILTER(G$1:G131, G$1:G131&lt;&gt;""""),COUNTA(FILTER(G$1:G131, G$1:G131&lt;&gt;""""))))-1), IF('To Order'!$A132=COLUMNS($A132:G"&amp;"151), G131&amp;RIGHT(INDIRECT(ADDRESS(ROW(G132)-1, 'From Order'!$A132)), 1), G131))"),"L")</f>
        <v>L</v>
      </c>
      <c r="H132" s="2" t="str">
        <f>IFERROR(__xludf.DUMMYFUNCTION("IF('From Order'!$A132=COLUMNS($A132:H151), LEFT(INDEX(FILTER(H$1:H131, H$1:H131&lt;&gt;""""),COUNTA(FILTER(H$1:H131, H$1:H131&lt;&gt;""""))), LEN(INDEX(FILTER(H$1:H131, H$1:H131&lt;&gt;""""),COUNTA(FILTER(H$1:H131, H$1:H131&lt;&gt;""""))))-1), IF('To Order'!$A132=COLUMNS($A132:H"&amp;"151), H131&amp;RIGHT(INDIRECT(ADDRESS(ROW(H132)-1, 'From Order'!$A132)), 1), H131))"),"TVMQCDTH")</f>
        <v>TVMQCDTH</v>
      </c>
      <c r="I132" s="2" t="str">
        <f>IFERROR(__xludf.DUMMYFUNCTION("IF('From Order'!$A132=COLUMNS($A132:I151), LEFT(INDEX(FILTER(I$1:I131, I$1:I131&lt;&gt;""""),COUNTA(FILTER(I$1:I131, I$1:I131&lt;&gt;""""))), LEN(INDEX(FILTER(I$1:I131, I$1:I131&lt;&gt;""""),COUNTA(FILTER(I$1:I131, I$1:I131&lt;&gt;""""))))-1), IF('To Order'!$A132=COLUMNS($A132:I"&amp;"151), I131&amp;RIGHT(INDIRECT(ADDRESS(ROW(I132)-1, 'From Order'!$A132)), 1), I131))"),"")</f>
        <v/>
      </c>
    </row>
    <row r="133">
      <c r="A133" s="2" t="str">
        <f>IFERROR(__xludf.DUMMYFUNCTION("IF('From Order'!$A133=COLUMNS($A133:A152), LEFT(INDEX(FILTER(A$1:A132, A$1:A132&lt;&gt;""""),COUNTA(FILTER(A$1:A132, A$1:A132&lt;&gt;""""))), LEN(INDEX(FILTER(A$1:A132, A$1:A132&lt;&gt;""""),COUNTA(FILTER(A$1:A132, A$1:A132&lt;&gt;""""))))-1), IF('To Order'!$A133=COLUMNS($A133:A"&amp;"152), A132&amp;RIGHT(INDIRECT(ADDRESS(ROW(A133)-1, 'From Order'!$A133)), 1), A132))"),"BRJZH")</f>
        <v>BRJZH</v>
      </c>
      <c r="B133" s="2" t="str">
        <f>IFERROR(__xludf.DUMMYFUNCTION("IF('From Order'!$A133=COLUMNS($A133:B152), LEFT(INDEX(FILTER(B$1:B132, B$1:B132&lt;&gt;""""),COUNTA(FILTER(B$1:B132, B$1:B132&lt;&gt;""""))), LEN(INDEX(FILTER(B$1:B132, B$1:B132&lt;&gt;""""),COUNTA(FILTER(B$1:B132, B$1:B132&lt;&gt;""""))))-1), IF('To Order'!$A133=COLUMNS($A133:B"&amp;"152), B132&amp;RIGHT(INDIRECT(ADDRESS(ROW(B133)-1, 'From Order'!$A133)), 1), B132))"),"SWRVSDPQ")</f>
        <v>SWRVSDPQ</v>
      </c>
      <c r="C133" s="2" t="str">
        <f>IFERROR(__xludf.DUMMYFUNCTION("IF('From Order'!$A133=COLUMNS($A133:C152), LEFT(INDEX(FILTER(C$1:C132, C$1:C132&lt;&gt;""""),COUNTA(FILTER(C$1:C132, C$1:C132&lt;&gt;""""))), LEN(INDEX(FILTER(C$1:C132, C$1:C132&lt;&gt;""""),COUNTA(FILTER(C$1:C132, C$1:C132&lt;&gt;""""))))-1), IF('To Order'!$A133=COLUMNS($A133:C"&amp;"152), C132&amp;RIGHT(INDIRECT(ADDRESS(ROW(C133)-1, 'From Order'!$A133)), 1), C132))"),"")</f>
        <v/>
      </c>
      <c r="D133" s="2" t="str">
        <f>IFERROR(__xludf.DUMMYFUNCTION("IF('From Order'!$A133=COLUMNS($A133:D152), LEFT(INDEX(FILTER(D$1:D132, D$1:D132&lt;&gt;""""),COUNTA(FILTER(D$1:D132, D$1:D132&lt;&gt;""""))), LEN(INDEX(FILTER(D$1:D132, D$1:D132&lt;&gt;""""),COUNTA(FILTER(D$1:D132, D$1:D132&lt;&gt;""""))))-1), IF('To Order'!$A133=COLUMNS($A133:D"&amp;"152), D132&amp;RIGHT(INDIRECT(ADDRESS(ROW(D133)-1, 'From Order'!$A133)), 1), D132))"),"DTCHSPVMZDDTLCBR")</f>
        <v>DTCHSPVMZDDTLCBR</v>
      </c>
      <c r="E133" s="2" t="str">
        <f>IFERROR(__xludf.DUMMYFUNCTION("IF('From Order'!$A133=COLUMNS($A133:E152), LEFT(INDEX(FILTER(E$1:E132, E$1:E132&lt;&gt;""""),COUNTA(FILTER(E$1:E132, E$1:E132&lt;&gt;""""))), LEN(INDEX(FILTER(E$1:E132, E$1:E132&lt;&gt;""""),COUNTA(FILTER(E$1:E132, E$1:E132&lt;&gt;""""))))-1), IF('To Order'!$A133=COLUMNS($A133:E"&amp;"152), E132&amp;RIGHT(INDIRECT(ADDRESS(ROW(E133)-1, 'From Order'!$A133)), 1), E132))"),"GPBSGDJMFTR")</f>
        <v>GPBSGDJMFTR</v>
      </c>
      <c r="F133" s="2" t="str">
        <f>IFERROR(__xludf.DUMMYFUNCTION("IF('From Order'!$A133=COLUMNS($A133:F152), LEFT(INDEX(FILTER(F$1:F132, F$1:F132&lt;&gt;""""),COUNTA(FILTER(F$1:F132, F$1:F132&lt;&gt;""""))), LEN(INDEX(FILTER(F$1:F132, F$1:F132&lt;&gt;""""),COUNTA(FILTER(F$1:F132, F$1:F132&lt;&gt;""""))))-1), IF('To Order'!$A133=COLUMNS($A133:F"&amp;"152), F132&amp;RIGHT(INDIRECT(ADDRESS(ROW(F133)-1, 'From Order'!$A133)), 1), F132))"),"FBJLWRZT")</f>
        <v>FBJLWRZT</v>
      </c>
      <c r="G133" s="2" t="str">
        <f>IFERROR(__xludf.DUMMYFUNCTION("IF('From Order'!$A133=COLUMNS($A133:G152), LEFT(INDEX(FILTER(G$1:G132, G$1:G132&lt;&gt;""""),COUNTA(FILTER(G$1:G132, G$1:G132&lt;&gt;""""))), LEN(INDEX(FILTER(G$1:G132, G$1:G132&lt;&gt;""""),COUNTA(FILTER(G$1:G132, G$1:G132&lt;&gt;""""))))-1), IF('To Order'!$A133=COLUMNS($A133:G"&amp;"152), G132&amp;RIGHT(INDIRECT(ADDRESS(ROW(G133)-1, 'From Order'!$A133)), 1), G132))"),"L")</f>
        <v>L</v>
      </c>
      <c r="H133" s="2" t="str">
        <f>IFERROR(__xludf.DUMMYFUNCTION("IF('From Order'!$A133=COLUMNS($A133:H152), LEFT(INDEX(FILTER(H$1:H132, H$1:H132&lt;&gt;""""),COUNTA(FILTER(H$1:H132, H$1:H132&lt;&gt;""""))), LEN(INDEX(FILTER(H$1:H132, H$1:H132&lt;&gt;""""),COUNTA(FILTER(H$1:H132, H$1:H132&lt;&gt;""""))))-1), IF('To Order'!$A133=COLUMNS($A133:H"&amp;"152), H132&amp;RIGHT(INDIRECT(ADDRESS(ROW(H133)-1, 'From Order'!$A133)), 1), H132))"),"TVMQCDT")</f>
        <v>TVMQCDT</v>
      </c>
      <c r="I133" s="2" t="str">
        <f>IFERROR(__xludf.DUMMYFUNCTION("IF('From Order'!$A133=COLUMNS($A133:I152), LEFT(INDEX(FILTER(I$1:I132, I$1:I132&lt;&gt;""""),COUNTA(FILTER(I$1:I132, I$1:I132&lt;&gt;""""))), LEN(INDEX(FILTER(I$1:I132, I$1:I132&lt;&gt;""""),COUNTA(FILTER(I$1:I132, I$1:I132&lt;&gt;""""))))-1), IF('To Order'!$A133=COLUMNS($A133:I"&amp;"152), I132&amp;RIGHT(INDIRECT(ADDRESS(ROW(I133)-1, 'From Order'!$A133)), 1), I132))"),"")</f>
        <v/>
      </c>
    </row>
    <row r="134">
      <c r="A134" s="2" t="str">
        <f>IFERROR(__xludf.DUMMYFUNCTION("IF('From Order'!$A134=COLUMNS($A134:A153), LEFT(INDEX(FILTER(A$1:A133, A$1:A133&lt;&gt;""""),COUNTA(FILTER(A$1:A133, A$1:A133&lt;&gt;""""))), LEN(INDEX(FILTER(A$1:A133, A$1:A133&lt;&gt;""""),COUNTA(FILTER(A$1:A133, A$1:A133&lt;&gt;""""))))-1), IF('To Order'!$A134=COLUMNS($A134:A"&amp;"153), A133&amp;RIGHT(INDIRECT(ADDRESS(ROW(A134)-1, 'From Order'!$A134)), 1), A133))"),"BRJZHT")</f>
        <v>BRJZHT</v>
      </c>
      <c r="B134" s="2" t="str">
        <f>IFERROR(__xludf.DUMMYFUNCTION("IF('From Order'!$A134=COLUMNS($A134:B153), LEFT(INDEX(FILTER(B$1:B133, B$1:B133&lt;&gt;""""),COUNTA(FILTER(B$1:B133, B$1:B133&lt;&gt;""""))), LEN(INDEX(FILTER(B$1:B133, B$1:B133&lt;&gt;""""),COUNTA(FILTER(B$1:B133, B$1:B133&lt;&gt;""""))))-1), IF('To Order'!$A134=COLUMNS($A134:B"&amp;"153), B133&amp;RIGHT(INDIRECT(ADDRESS(ROW(B134)-1, 'From Order'!$A134)), 1), B133))"),"SWRVSDPQ")</f>
        <v>SWRVSDPQ</v>
      </c>
      <c r="C134" s="2" t="str">
        <f>IFERROR(__xludf.DUMMYFUNCTION("IF('From Order'!$A134=COLUMNS($A134:C153), LEFT(INDEX(FILTER(C$1:C133, C$1:C133&lt;&gt;""""),COUNTA(FILTER(C$1:C133, C$1:C133&lt;&gt;""""))), LEN(INDEX(FILTER(C$1:C133, C$1:C133&lt;&gt;""""),COUNTA(FILTER(C$1:C133, C$1:C133&lt;&gt;""""))))-1), IF('To Order'!$A134=COLUMNS($A134:C"&amp;"153), C133&amp;RIGHT(INDIRECT(ADDRESS(ROW(C134)-1, 'From Order'!$A134)), 1), C133))"),"")</f>
        <v/>
      </c>
      <c r="D134" s="2" t="str">
        <f>IFERROR(__xludf.DUMMYFUNCTION("IF('From Order'!$A134=COLUMNS($A134:D153), LEFT(INDEX(FILTER(D$1:D133, D$1:D133&lt;&gt;""""),COUNTA(FILTER(D$1:D133, D$1:D133&lt;&gt;""""))), LEN(INDEX(FILTER(D$1:D133, D$1:D133&lt;&gt;""""),COUNTA(FILTER(D$1:D133, D$1:D133&lt;&gt;""""))))-1), IF('To Order'!$A134=COLUMNS($A134:D"&amp;"153), D133&amp;RIGHT(INDIRECT(ADDRESS(ROW(D134)-1, 'From Order'!$A134)), 1), D133))"),"DTCHSPVMZDDTLCBR")</f>
        <v>DTCHSPVMZDDTLCBR</v>
      </c>
      <c r="E134" s="2" t="str">
        <f>IFERROR(__xludf.DUMMYFUNCTION("IF('From Order'!$A134=COLUMNS($A134:E153), LEFT(INDEX(FILTER(E$1:E133, E$1:E133&lt;&gt;""""),COUNTA(FILTER(E$1:E133, E$1:E133&lt;&gt;""""))), LEN(INDEX(FILTER(E$1:E133, E$1:E133&lt;&gt;""""),COUNTA(FILTER(E$1:E133, E$1:E133&lt;&gt;""""))))-1), IF('To Order'!$A134=COLUMNS($A134:E"&amp;"153), E133&amp;RIGHT(INDIRECT(ADDRESS(ROW(E134)-1, 'From Order'!$A134)), 1), E133))"),"GPBSGDJMFTR")</f>
        <v>GPBSGDJMFTR</v>
      </c>
      <c r="F134" s="2" t="str">
        <f>IFERROR(__xludf.DUMMYFUNCTION("IF('From Order'!$A134=COLUMNS($A134:F153), LEFT(INDEX(FILTER(F$1:F133, F$1:F133&lt;&gt;""""),COUNTA(FILTER(F$1:F133, F$1:F133&lt;&gt;""""))), LEN(INDEX(FILTER(F$1:F133, F$1:F133&lt;&gt;""""),COUNTA(FILTER(F$1:F133, F$1:F133&lt;&gt;""""))))-1), IF('To Order'!$A134=COLUMNS($A134:F"&amp;"153), F133&amp;RIGHT(INDIRECT(ADDRESS(ROW(F134)-1, 'From Order'!$A134)), 1), F133))"),"FBJLWRZT")</f>
        <v>FBJLWRZT</v>
      </c>
      <c r="G134" s="2" t="str">
        <f>IFERROR(__xludf.DUMMYFUNCTION("IF('From Order'!$A134=COLUMNS($A134:G153), LEFT(INDEX(FILTER(G$1:G133, G$1:G133&lt;&gt;""""),COUNTA(FILTER(G$1:G133, G$1:G133&lt;&gt;""""))), LEN(INDEX(FILTER(G$1:G133, G$1:G133&lt;&gt;""""),COUNTA(FILTER(G$1:G133, G$1:G133&lt;&gt;""""))))-1), IF('To Order'!$A134=COLUMNS($A134:G"&amp;"153), G133&amp;RIGHT(INDIRECT(ADDRESS(ROW(G134)-1, 'From Order'!$A134)), 1), G133))"),"L")</f>
        <v>L</v>
      </c>
      <c r="H134" s="2" t="str">
        <f>IFERROR(__xludf.DUMMYFUNCTION("IF('From Order'!$A134=COLUMNS($A134:H153), LEFT(INDEX(FILTER(H$1:H133, H$1:H133&lt;&gt;""""),COUNTA(FILTER(H$1:H133, H$1:H133&lt;&gt;""""))), LEN(INDEX(FILTER(H$1:H133, H$1:H133&lt;&gt;""""),COUNTA(FILTER(H$1:H133, H$1:H133&lt;&gt;""""))))-1), IF('To Order'!$A134=COLUMNS($A134:H"&amp;"153), H133&amp;RIGHT(INDIRECT(ADDRESS(ROW(H134)-1, 'From Order'!$A134)), 1), H133))"),"TVMQCD")</f>
        <v>TVMQCD</v>
      </c>
      <c r="I134" s="2" t="str">
        <f>IFERROR(__xludf.DUMMYFUNCTION("IF('From Order'!$A134=COLUMNS($A134:I153), LEFT(INDEX(FILTER(I$1:I133, I$1:I133&lt;&gt;""""),COUNTA(FILTER(I$1:I133, I$1:I133&lt;&gt;""""))), LEN(INDEX(FILTER(I$1:I133, I$1:I133&lt;&gt;""""),COUNTA(FILTER(I$1:I133, I$1:I133&lt;&gt;""""))))-1), IF('To Order'!$A134=COLUMNS($A134:I"&amp;"153), I133&amp;RIGHT(INDIRECT(ADDRESS(ROW(I134)-1, 'From Order'!$A134)), 1), I133))"),"")</f>
        <v/>
      </c>
    </row>
    <row r="135">
      <c r="A135" s="2" t="str">
        <f>IFERROR(__xludf.DUMMYFUNCTION("IF('From Order'!$A135=COLUMNS($A135:A154), LEFT(INDEX(FILTER(A$1:A134, A$1:A134&lt;&gt;""""),COUNTA(FILTER(A$1:A134, A$1:A134&lt;&gt;""""))), LEN(INDEX(FILTER(A$1:A134, A$1:A134&lt;&gt;""""),COUNTA(FILTER(A$1:A134, A$1:A134&lt;&gt;""""))))-1), IF('To Order'!$A135=COLUMNS($A135:A"&amp;"154), A134&amp;RIGHT(INDIRECT(ADDRESS(ROW(A135)-1, 'From Order'!$A135)), 1), A134))"),"BRJZHTD")</f>
        <v>BRJZHTD</v>
      </c>
      <c r="B135" s="2" t="str">
        <f>IFERROR(__xludf.DUMMYFUNCTION("IF('From Order'!$A135=COLUMNS($A135:B154), LEFT(INDEX(FILTER(B$1:B134, B$1:B134&lt;&gt;""""),COUNTA(FILTER(B$1:B134, B$1:B134&lt;&gt;""""))), LEN(INDEX(FILTER(B$1:B134, B$1:B134&lt;&gt;""""),COUNTA(FILTER(B$1:B134, B$1:B134&lt;&gt;""""))))-1), IF('To Order'!$A135=COLUMNS($A135:B"&amp;"154), B134&amp;RIGHT(INDIRECT(ADDRESS(ROW(B135)-1, 'From Order'!$A135)), 1), B134))"),"SWRVSDPQ")</f>
        <v>SWRVSDPQ</v>
      </c>
      <c r="C135" s="2" t="str">
        <f>IFERROR(__xludf.DUMMYFUNCTION("IF('From Order'!$A135=COLUMNS($A135:C154), LEFT(INDEX(FILTER(C$1:C134, C$1:C134&lt;&gt;""""),COUNTA(FILTER(C$1:C134, C$1:C134&lt;&gt;""""))), LEN(INDEX(FILTER(C$1:C134, C$1:C134&lt;&gt;""""),COUNTA(FILTER(C$1:C134, C$1:C134&lt;&gt;""""))))-1), IF('To Order'!$A135=COLUMNS($A135:C"&amp;"154), C134&amp;RIGHT(INDIRECT(ADDRESS(ROW(C135)-1, 'From Order'!$A135)), 1), C134))"),"")</f>
        <v/>
      </c>
      <c r="D135" s="2" t="str">
        <f>IFERROR(__xludf.DUMMYFUNCTION("IF('From Order'!$A135=COLUMNS($A135:D154), LEFT(INDEX(FILTER(D$1:D134, D$1:D134&lt;&gt;""""),COUNTA(FILTER(D$1:D134, D$1:D134&lt;&gt;""""))), LEN(INDEX(FILTER(D$1:D134, D$1:D134&lt;&gt;""""),COUNTA(FILTER(D$1:D134, D$1:D134&lt;&gt;""""))))-1), IF('To Order'!$A135=COLUMNS($A135:D"&amp;"154), D134&amp;RIGHT(INDIRECT(ADDRESS(ROW(D135)-1, 'From Order'!$A135)), 1), D134))"),"DTCHSPVMZDDTLCBR")</f>
        <v>DTCHSPVMZDDTLCBR</v>
      </c>
      <c r="E135" s="2" t="str">
        <f>IFERROR(__xludf.DUMMYFUNCTION("IF('From Order'!$A135=COLUMNS($A135:E154), LEFT(INDEX(FILTER(E$1:E134, E$1:E134&lt;&gt;""""),COUNTA(FILTER(E$1:E134, E$1:E134&lt;&gt;""""))), LEN(INDEX(FILTER(E$1:E134, E$1:E134&lt;&gt;""""),COUNTA(FILTER(E$1:E134, E$1:E134&lt;&gt;""""))))-1), IF('To Order'!$A135=COLUMNS($A135:E"&amp;"154), E134&amp;RIGHT(INDIRECT(ADDRESS(ROW(E135)-1, 'From Order'!$A135)), 1), E134))"),"GPBSGDJMFTR")</f>
        <v>GPBSGDJMFTR</v>
      </c>
      <c r="F135" s="2" t="str">
        <f>IFERROR(__xludf.DUMMYFUNCTION("IF('From Order'!$A135=COLUMNS($A135:F154), LEFT(INDEX(FILTER(F$1:F134, F$1:F134&lt;&gt;""""),COUNTA(FILTER(F$1:F134, F$1:F134&lt;&gt;""""))), LEN(INDEX(FILTER(F$1:F134, F$1:F134&lt;&gt;""""),COUNTA(FILTER(F$1:F134, F$1:F134&lt;&gt;""""))))-1), IF('To Order'!$A135=COLUMNS($A135:F"&amp;"154), F134&amp;RIGHT(INDIRECT(ADDRESS(ROW(F135)-1, 'From Order'!$A135)), 1), F134))"),"FBJLWRZT")</f>
        <v>FBJLWRZT</v>
      </c>
      <c r="G135" s="2" t="str">
        <f>IFERROR(__xludf.DUMMYFUNCTION("IF('From Order'!$A135=COLUMNS($A135:G154), LEFT(INDEX(FILTER(G$1:G134, G$1:G134&lt;&gt;""""),COUNTA(FILTER(G$1:G134, G$1:G134&lt;&gt;""""))), LEN(INDEX(FILTER(G$1:G134, G$1:G134&lt;&gt;""""),COUNTA(FILTER(G$1:G134, G$1:G134&lt;&gt;""""))))-1), IF('To Order'!$A135=COLUMNS($A135:G"&amp;"154), G134&amp;RIGHT(INDIRECT(ADDRESS(ROW(G135)-1, 'From Order'!$A135)), 1), G134))"),"L")</f>
        <v>L</v>
      </c>
      <c r="H135" s="2" t="str">
        <f>IFERROR(__xludf.DUMMYFUNCTION("IF('From Order'!$A135=COLUMNS($A135:H154), LEFT(INDEX(FILTER(H$1:H134, H$1:H134&lt;&gt;""""),COUNTA(FILTER(H$1:H134, H$1:H134&lt;&gt;""""))), LEN(INDEX(FILTER(H$1:H134, H$1:H134&lt;&gt;""""),COUNTA(FILTER(H$1:H134, H$1:H134&lt;&gt;""""))))-1), IF('To Order'!$A135=COLUMNS($A135:H"&amp;"154), H134&amp;RIGHT(INDIRECT(ADDRESS(ROW(H135)-1, 'From Order'!$A135)), 1), H134))"),"TVMQC")</f>
        <v>TVMQC</v>
      </c>
      <c r="I135" s="2" t="str">
        <f>IFERROR(__xludf.DUMMYFUNCTION("IF('From Order'!$A135=COLUMNS($A135:I154), LEFT(INDEX(FILTER(I$1:I134, I$1:I134&lt;&gt;""""),COUNTA(FILTER(I$1:I134, I$1:I134&lt;&gt;""""))), LEN(INDEX(FILTER(I$1:I134, I$1:I134&lt;&gt;""""),COUNTA(FILTER(I$1:I134, I$1:I134&lt;&gt;""""))))-1), IF('To Order'!$A135=COLUMNS($A135:I"&amp;"154), I134&amp;RIGHT(INDIRECT(ADDRESS(ROW(I135)-1, 'From Order'!$A135)), 1), I134))"),"")</f>
        <v/>
      </c>
    </row>
    <row r="136">
      <c r="A136" s="2" t="str">
        <f>IFERROR(__xludf.DUMMYFUNCTION("IF('From Order'!$A136=COLUMNS($A136:A155), LEFT(INDEX(FILTER(A$1:A135, A$1:A135&lt;&gt;""""),COUNTA(FILTER(A$1:A135, A$1:A135&lt;&gt;""""))), LEN(INDEX(FILTER(A$1:A135, A$1:A135&lt;&gt;""""),COUNTA(FILTER(A$1:A135, A$1:A135&lt;&gt;""""))))-1), IF('To Order'!$A136=COLUMNS($A136:A"&amp;"155), A135&amp;RIGHT(INDIRECT(ADDRESS(ROW(A136)-1, 'From Order'!$A136)), 1), A135))"),"BRJZHTDC")</f>
        <v>BRJZHTDC</v>
      </c>
      <c r="B136" s="2" t="str">
        <f>IFERROR(__xludf.DUMMYFUNCTION("IF('From Order'!$A136=COLUMNS($A136:B155), LEFT(INDEX(FILTER(B$1:B135, B$1:B135&lt;&gt;""""),COUNTA(FILTER(B$1:B135, B$1:B135&lt;&gt;""""))), LEN(INDEX(FILTER(B$1:B135, B$1:B135&lt;&gt;""""),COUNTA(FILTER(B$1:B135, B$1:B135&lt;&gt;""""))))-1), IF('To Order'!$A136=COLUMNS($A136:B"&amp;"155), B135&amp;RIGHT(INDIRECT(ADDRESS(ROW(B136)-1, 'From Order'!$A136)), 1), B135))"),"SWRVSDPQ")</f>
        <v>SWRVSDPQ</v>
      </c>
      <c r="C136" s="2" t="str">
        <f>IFERROR(__xludf.DUMMYFUNCTION("IF('From Order'!$A136=COLUMNS($A136:C155), LEFT(INDEX(FILTER(C$1:C135, C$1:C135&lt;&gt;""""),COUNTA(FILTER(C$1:C135, C$1:C135&lt;&gt;""""))), LEN(INDEX(FILTER(C$1:C135, C$1:C135&lt;&gt;""""),COUNTA(FILTER(C$1:C135, C$1:C135&lt;&gt;""""))))-1), IF('To Order'!$A136=COLUMNS($A136:C"&amp;"155), C135&amp;RIGHT(INDIRECT(ADDRESS(ROW(C136)-1, 'From Order'!$A136)), 1), C135))"),"")</f>
        <v/>
      </c>
      <c r="D136" s="2" t="str">
        <f>IFERROR(__xludf.DUMMYFUNCTION("IF('From Order'!$A136=COLUMNS($A136:D155), LEFT(INDEX(FILTER(D$1:D135, D$1:D135&lt;&gt;""""),COUNTA(FILTER(D$1:D135, D$1:D135&lt;&gt;""""))), LEN(INDEX(FILTER(D$1:D135, D$1:D135&lt;&gt;""""),COUNTA(FILTER(D$1:D135, D$1:D135&lt;&gt;""""))))-1), IF('To Order'!$A136=COLUMNS($A136:D"&amp;"155), D135&amp;RIGHT(INDIRECT(ADDRESS(ROW(D136)-1, 'From Order'!$A136)), 1), D135))"),"DTCHSPVMZDDTLCBR")</f>
        <v>DTCHSPVMZDDTLCBR</v>
      </c>
      <c r="E136" s="2" t="str">
        <f>IFERROR(__xludf.DUMMYFUNCTION("IF('From Order'!$A136=COLUMNS($A136:E155), LEFT(INDEX(FILTER(E$1:E135, E$1:E135&lt;&gt;""""),COUNTA(FILTER(E$1:E135, E$1:E135&lt;&gt;""""))), LEN(INDEX(FILTER(E$1:E135, E$1:E135&lt;&gt;""""),COUNTA(FILTER(E$1:E135, E$1:E135&lt;&gt;""""))))-1), IF('To Order'!$A136=COLUMNS($A136:E"&amp;"155), E135&amp;RIGHT(INDIRECT(ADDRESS(ROW(E136)-1, 'From Order'!$A136)), 1), E135))"),"GPBSGDJMFTR")</f>
        <v>GPBSGDJMFTR</v>
      </c>
      <c r="F136" s="2" t="str">
        <f>IFERROR(__xludf.DUMMYFUNCTION("IF('From Order'!$A136=COLUMNS($A136:F155), LEFT(INDEX(FILTER(F$1:F135, F$1:F135&lt;&gt;""""),COUNTA(FILTER(F$1:F135, F$1:F135&lt;&gt;""""))), LEN(INDEX(FILTER(F$1:F135, F$1:F135&lt;&gt;""""),COUNTA(FILTER(F$1:F135, F$1:F135&lt;&gt;""""))))-1), IF('To Order'!$A136=COLUMNS($A136:F"&amp;"155), F135&amp;RIGHT(INDIRECT(ADDRESS(ROW(F136)-1, 'From Order'!$A136)), 1), F135))"),"FBJLWRZT")</f>
        <v>FBJLWRZT</v>
      </c>
      <c r="G136" s="2" t="str">
        <f>IFERROR(__xludf.DUMMYFUNCTION("IF('From Order'!$A136=COLUMNS($A136:G155), LEFT(INDEX(FILTER(G$1:G135, G$1:G135&lt;&gt;""""),COUNTA(FILTER(G$1:G135, G$1:G135&lt;&gt;""""))), LEN(INDEX(FILTER(G$1:G135, G$1:G135&lt;&gt;""""),COUNTA(FILTER(G$1:G135, G$1:G135&lt;&gt;""""))))-1), IF('To Order'!$A136=COLUMNS($A136:G"&amp;"155), G135&amp;RIGHT(INDIRECT(ADDRESS(ROW(G136)-1, 'From Order'!$A136)), 1), G135))"),"L")</f>
        <v>L</v>
      </c>
      <c r="H136" s="2" t="str">
        <f>IFERROR(__xludf.DUMMYFUNCTION("IF('From Order'!$A136=COLUMNS($A136:H155), LEFT(INDEX(FILTER(H$1:H135, H$1:H135&lt;&gt;""""),COUNTA(FILTER(H$1:H135, H$1:H135&lt;&gt;""""))), LEN(INDEX(FILTER(H$1:H135, H$1:H135&lt;&gt;""""),COUNTA(FILTER(H$1:H135, H$1:H135&lt;&gt;""""))))-1), IF('To Order'!$A136=COLUMNS($A136:H"&amp;"155), H135&amp;RIGHT(INDIRECT(ADDRESS(ROW(H136)-1, 'From Order'!$A136)), 1), H135))"),"TVMQ")</f>
        <v>TVMQ</v>
      </c>
      <c r="I136" s="2" t="str">
        <f>IFERROR(__xludf.DUMMYFUNCTION("IF('From Order'!$A136=COLUMNS($A136:I155), LEFT(INDEX(FILTER(I$1:I135, I$1:I135&lt;&gt;""""),COUNTA(FILTER(I$1:I135, I$1:I135&lt;&gt;""""))), LEN(INDEX(FILTER(I$1:I135, I$1:I135&lt;&gt;""""),COUNTA(FILTER(I$1:I135, I$1:I135&lt;&gt;""""))))-1), IF('To Order'!$A136=COLUMNS($A136:I"&amp;"155), I135&amp;RIGHT(INDIRECT(ADDRESS(ROW(I136)-1, 'From Order'!$A136)), 1), I135))"),"")</f>
        <v/>
      </c>
    </row>
    <row r="137">
      <c r="A137" s="2" t="str">
        <f>IFERROR(__xludf.DUMMYFUNCTION("IF('From Order'!$A137=COLUMNS($A137:A156), LEFT(INDEX(FILTER(A$1:A136, A$1:A136&lt;&gt;""""),COUNTA(FILTER(A$1:A136, A$1:A136&lt;&gt;""""))), LEN(INDEX(FILTER(A$1:A136, A$1:A136&lt;&gt;""""),COUNTA(FILTER(A$1:A136, A$1:A136&lt;&gt;""""))))-1), IF('To Order'!$A137=COLUMNS($A137:A"&amp;"156), A136&amp;RIGHT(INDIRECT(ADDRESS(ROW(A137)-1, 'From Order'!$A137)), 1), A136))"),"BRJZHTDCQ")</f>
        <v>BRJZHTDCQ</v>
      </c>
      <c r="B137" s="2" t="str">
        <f>IFERROR(__xludf.DUMMYFUNCTION("IF('From Order'!$A137=COLUMNS($A137:B156), LEFT(INDEX(FILTER(B$1:B136, B$1:B136&lt;&gt;""""),COUNTA(FILTER(B$1:B136, B$1:B136&lt;&gt;""""))), LEN(INDEX(FILTER(B$1:B136, B$1:B136&lt;&gt;""""),COUNTA(FILTER(B$1:B136, B$1:B136&lt;&gt;""""))))-1), IF('To Order'!$A137=COLUMNS($A137:B"&amp;"156), B136&amp;RIGHT(INDIRECT(ADDRESS(ROW(B137)-1, 'From Order'!$A137)), 1), B136))"),"SWRVSDPQ")</f>
        <v>SWRVSDPQ</v>
      </c>
      <c r="C137" s="2" t="str">
        <f>IFERROR(__xludf.DUMMYFUNCTION("IF('From Order'!$A137=COLUMNS($A137:C156), LEFT(INDEX(FILTER(C$1:C136, C$1:C136&lt;&gt;""""),COUNTA(FILTER(C$1:C136, C$1:C136&lt;&gt;""""))), LEN(INDEX(FILTER(C$1:C136, C$1:C136&lt;&gt;""""),COUNTA(FILTER(C$1:C136, C$1:C136&lt;&gt;""""))))-1), IF('To Order'!$A137=COLUMNS($A137:C"&amp;"156), C136&amp;RIGHT(INDIRECT(ADDRESS(ROW(C137)-1, 'From Order'!$A137)), 1), C136))"),"")</f>
        <v/>
      </c>
      <c r="D137" s="2" t="str">
        <f>IFERROR(__xludf.DUMMYFUNCTION("IF('From Order'!$A137=COLUMNS($A137:D156), LEFT(INDEX(FILTER(D$1:D136, D$1:D136&lt;&gt;""""),COUNTA(FILTER(D$1:D136, D$1:D136&lt;&gt;""""))), LEN(INDEX(FILTER(D$1:D136, D$1:D136&lt;&gt;""""),COUNTA(FILTER(D$1:D136, D$1:D136&lt;&gt;""""))))-1), IF('To Order'!$A137=COLUMNS($A137:D"&amp;"156), D136&amp;RIGHT(INDIRECT(ADDRESS(ROW(D137)-1, 'From Order'!$A137)), 1), D136))"),"DTCHSPVMZDDTLCBR")</f>
        <v>DTCHSPVMZDDTLCBR</v>
      </c>
      <c r="E137" s="2" t="str">
        <f>IFERROR(__xludf.DUMMYFUNCTION("IF('From Order'!$A137=COLUMNS($A137:E156), LEFT(INDEX(FILTER(E$1:E136, E$1:E136&lt;&gt;""""),COUNTA(FILTER(E$1:E136, E$1:E136&lt;&gt;""""))), LEN(INDEX(FILTER(E$1:E136, E$1:E136&lt;&gt;""""),COUNTA(FILTER(E$1:E136, E$1:E136&lt;&gt;""""))))-1), IF('To Order'!$A137=COLUMNS($A137:E"&amp;"156), E136&amp;RIGHT(INDIRECT(ADDRESS(ROW(E137)-1, 'From Order'!$A137)), 1), E136))"),"GPBSGDJMFTR")</f>
        <v>GPBSGDJMFTR</v>
      </c>
      <c r="F137" s="2" t="str">
        <f>IFERROR(__xludf.DUMMYFUNCTION("IF('From Order'!$A137=COLUMNS($A137:F156), LEFT(INDEX(FILTER(F$1:F136, F$1:F136&lt;&gt;""""),COUNTA(FILTER(F$1:F136, F$1:F136&lt;&gt;""""))), LEN(INDEX(FILTER(F$1:F136, F$1:F136&lt;&gt;""""),COUNTA(FILTER(F$1:F136, F$1:F136&lt;&gt;""""))))-1), IF('To Order'!$A137=COLUMNS($A137:F"&amp;"156), F136&amp;RIGHT(INDIRECT(ADDRESS(ROW(F137)-1, 'From Order'!$A137)), 1), F136))"),"FBJLWRZT")</f>
        <v>FBJLWRZT</v>
      </c>
      <c r="G137" s="2" t="str">
        <f>IFERROR(__xludf.DUMMYFUNCTION("IF('From Order'!$A137=COLUMNS($A137:G156), LEFT(INDEX(FILTER(G$1:G136, G$1:G136&lt;&gt;""""),COUNTA(FILTER(G$1:G136, G$1:G136&lt;&gt;""""))), LEN(INDEX(FILTER(G$1:G136, G$1:G136&lt;&gt;""""),COUNTA(FILTER(G$1:G136, G$1:G136&lt;&gt;""""))))-1), IF('To Order'!$A137=COLUMNS($A137:G"&amp;"156), G136&amp;RIGHT(INDIRECT(ADDRESS(ROW(G137)-1, 'From Order'!$A137)), 1), G136))"),"L")</f>
        <v>L</v>
      </c>
      <c r="H137" s="2" t="str">
        <f>IFERROR(__xludf.DUMMYFUNCTION("IF('From Order'!$A137=COLUMNS($A137:H156), LEFT(INDEX(FILTER(H$1:H136, H$1:H136&lt;&gt;""""),COUNTA(FILTER(H$1:H136, H$1:H136&lt;&gt;""""))), LEN(INDEX(FILTER(H$1:H136, H$1:H136&lt;&gt;""""),COUNTA(FILTER(H$1:H136, H$1:H136&lt;&gt;""""))))-1), IF('To Order'!$A137=COLUMNS($A137:H"&amp;"156), H136&amp;RIGHT(INDIRECT(ADDRESS(ROW(H137)-1, 'From Order'!$A137)), 1), H136))"),"TVM")</f>
        <v>TVM</v>
      </c>
      <c r="I137" s="2" t="str">
        <f>IFERROR(__xludf.DUMMYFUNCTION("IF('From Order'!$A137=COLUMNS($A137:I156), LEFT(INDEX(FILTER(I$1:I136, I$1:I136&lt;&gt;""""),COUNTA(FILTER(I$1:I136, I$1:I136&lt;&gt;""""))), LEN(INDEX(FILTER(I$1:I136, I$1:I136&lt;&gt;""""),COUNTA(FILTER(I$1:I136, I$1:I136&lt;&gt;""""))))-1), IF('To Order'!$A137=COLUMNS($A137:I"&amp;"156), I136&amp;RIGHT(INDIRECT(ADDRESS(ROW(I137)-1, 'From Order'!$A137)), 1), I136))"),"")</f>
        <v/>
      </c>
    </row>
    <row r="138">
      <c r="A138" s="2" t="str">
        <f>IFERROR(__xludf.DUMMYFUNCTION("IF('From Order'!$A138=COLUMNS($A138:A157), LEFT(INDEX(FILTER(A$1:A137, A$1:A137&lt;&gt;""""),COUNTA(FILTER(A$1:A137, A$1:A137&lt;&gt;""""))), LEN(INDEX(FILTER(A$1:A137, A$1:A137&lt;&gt;""""),COUNTA(FILTER(A$1:A137, A$1:A137&lt;&gt;""""))))-1), IF('To Order'!$A138=COLUMNS($A138:A"&amp;"157), A137&amp;RIGHT(INDIRECT(ADDRESS(ROW(A138)-1, 'From Order'!$A138)), 1), A137))"),"BRJZHTDCQM")</f>
        <v>BRJZHTDCQM</v>
      </c>
      <c r="B138" s="2" t="str">
        <f>IFERROR(__xludf.DUMMYFUNCTION("IF('From Order'!$A138=COLUMNS($A138:B157), LEFT(INDEX(FILTER(B$1:B137, B$1:B137&lt;&gt;""""),COUNTA(FILTER(B$1:B137, B$1:B137&lt;&gt;""""))), LEN(INDEX(FILTER(B$1:B137, B$1:B137&lt;&gt;""""),COUNTA(FILTER(B$1:B137, B$1:B137&lt;&gt;""""))))-1), IF('To Order'!$A138=COLUMNS($A138:B"&amp;"157), B137&amp;RIGHT(INDIRECT(ADDRESS(ROW(B138)-1, 'From Order'!$A138)), 1), B137))"),"SWRVSDPQ")</f>
        <v>SWRVSDPQ</v>
      </c>
      <c r="C138" s="2" t="str">
        <f>IFERROR(__xludf.DUMMYFUNCTION("IF('From Order'!$A138=COLUMNS($A138:C157), LEFT(INDEX(FILTER(C$1:C137, C$1:C137&lt;&gt;""""),COUNTA(FILTER(C$1:C137, C$1:C137&lt;&gt;""""))), LEN(INDEX(FILTER(C$1:C137, C$1:C137&lt;&gt;""""),COUNTA(FILTER(C$1:C137, C$1:C137&lt;&gt;""""))))-1), IF('To Order'!$A138=COLUMNS($A138:C"&amp;"157), C137&amp;RIGHT(INDIRECT(ADDRESS(ROW(C138)-1, 'From Order'!$A138)), 1), C137))"),"")</f>
        <v/>
      </c>
      <c r="D138" s="2" t="str">
        <f>IFERROR(__xludf.DUMMYFUNCTION("IF('From Order'!$A138=COLUMNS($A138:D157), LEFT(INDEX(FILTER(D$1:D137, D$1:D137&lt;&gt;""""),COUNTA(FILTER(D$1:D137, D$1:D137&lt;&gt;""""))), LEN(INDEX(FILTER(D$1:D137, D$1:D137&lt;&gt;""""),COUNTA(FILTER(D$1:D137, D$1:D137&lt;&gt;""""))))-1), IF('To Order'!$A138=COLUMNS($A138:D"&amp;"157), D137&amp;RIGHT(INDIRECT(ADDRESS(ROW(D138)-1, 'From Order'!$A138)), 1), D137))"),"DTCHSPVMZDDTLCBR")</f>
        <v>DTCHSPVMZDDTLCBR</v>
      </c>
      <c r="E138" s="2" t="str">
        <f>IFERROR(__xludf.DUMMYFUNCTION("IF('From Order'!$A138=COLUMNS($A138:E157), LEFT(INDEX(FILTER(E$1:E137, E$1:E137&lt;&gt;""""),COUNTA(FILTER(E$1:E137, E$1:E137&lt;&gt;""""))), LEN(INDEX(FILTER(E$1:E137, E$1:E137&lt;&gt;""""),COUNTA(FILTER(E$1:E137, E$1:E137&lt;&gt;""""))))-1), IF('To Order'!$A138=COLUMNS($A138:E"&amp;"157), E137&amp;RIGHT(INDIRECT(ADDRESS(ROW(E138)-1, 'From Order'!$A138)), 1), E137))"),"GPBSGDJMFTR")</f>
        <v>GPBSGDJMFTR</v>
      </c>
      <c r="F138" s="2" t="str">
        <f>IFERROR(__xludf.DUMMYFUNCTION("IF('From Order'!$A138=COLUMNS($A138:F157), LEFT(INDEX(FILTER(F$1:F137, F$1:F137&lt;&gt;""""),COUNTA(FILTER(F$1:F137, F$1:F137&lt;&gt;""""))), LEN(INDEX(FILTER(F$1:F137, F$1:F137&lt;&gt;""""),COUNTA(FILTER(F$1:F137, F$1:F137&lt;&gt;""""))))-1), IF('To Order'!$A138=COLUMNS($A138:F"&amp;"157), F137&amp;RIGHT(INDIRECT(ADDRESS(ROW(F138)-1, 'From Order'!$A138)), 1), F137))"),"FBJLWRZT")</f>
        <v>FBJLWRZT</v>
      </c>
      <c r="G138" s="2" t="str">
        <f>IFERROR(__xludf.DUMMYFUNCTION("IF('From Order'!$A138=COLUMNS($A138:G157), LEFT(INDEX(FILTER(G$1:G137, G$1:G137&lt;&gt;""""),COUNTA(FILTER(G$1:G137, G$1:G137&lt;&gt;""""))), LEN(INDEX(FILTER(G$1:G137, G$1:G137&lt;&gt;""""),COUNTA(FILTER(G$1:G137, G$1:G137&lt;&gt;""""))))-1), IF('To Order'!$A138=COLUMNS($A138:G"&amp;"157), G137&amp;RIGHT(INDIRECT(ADDRESS(ROW(G138)-1, 'From Order'!$A138)), 1), G137))"),"L")</f>
        <v>L</v>
      </c>
      <c r="H138" s="2" t="str">
        <f>IFERROR(__xludf.DUMMYFUNCTION("IF('From Order'!$A138=COLUMNS($A138:H157), LEFT(INDEX(FILTER(H$1:H137, H$1:H137&lt;&gt;""""),COUNTA(FILTER(H$1:H137, H$1:H137&lt;&gt;""""))), LEN(INDEX(FILTER(H$1:H137, H$1:H137&lt;&gt;""""),COUNTA(FILTER(H$1:H137, H$1:H137&lt;&gt;""""))))-1), IF('To Order'!$A138=COLUMNS($A138:H"&amp;"157), H137&amp;RIGHT(INDIRECT(ADDRESS(ROW(H138)-1, 'From Order'!$A138)), 1), H137))"),"TV")</f>
        <v>TV</v>
      </c>
      <c r="I138" s="2" t="str">
        <f>IFERROR(__xludf.DUMMYFUNCTION("IF('From Order'!$A138=COLUMNS($A138:I157), LEFT(INDEX(FILTER(I$1:I137, I$1:I137&lt;&gt;""""),COUNTA(FILTER(I$1:I137, I$1:I137&lt;&gt;""""))), LEN(INDEX(FILTER(I$1:I137, I$1:I137&lt;&gt;""""),COUNTA(FILTER(I$1:I137, I$1:I137&lt;&gt;""""))))-1), IF('To Order'!$A138=COLUMNS($A138:I"&amp;"157), I137&amp;RIGHT(INDIRECT(ADDRESS(ROW(I138)-1, 'From Order'!$A138)), 1), I137))"),"")</f>
        <v/>
      </c>
    </row>
    <row r="139">
      <c r="A139" s="2" t="str">
        <f>IFERROR(__xludf.DUMMYFUNCTION("IF('From Order'!$A139=COLUMNS($A139:A158), LEFT(INDEX(FILTER(A$1:A138, A$1:A138&lt;&gt;""""),COUNTA(FILTER(A$1:A138, A$1:A138&lt;&gt;""""))), LEN(INDEX(FILTER(A$1:A138, A$1:A138&lt;&gt;""""),COUNTA(FILTER(A$1:A138, A$1:A138&lt;&gt;""""))))-1), IF('To Order'!$A139=COLUMNS($A139:A"&amp;"158), A138&amp;RIGHT(INDIRECT(ADDRESS(ROW(A139)-1, 'From Order'!$A139)), 1), A138))"),"BRJZHTDCQM")</f>
        <v>BRJZHTDCQM</v>
      </c>
      <c r="B139" s="2" t="str">
        <f>IFERROR(__xludf.DUMMYFUNCTION("IF('From Order'!$A139=COLUMNS($A139:B158), LEFT(INDEX(FILTER(B$1:B138, B$1:B138&lt;&gt;""""),COUNTA(FILTER(B$1:B138, B$1:B138&lt;&gt;""""))), LEN(INDEX(FILTER(B$1:B138, B$1:B138&lt;&gt;""""),COUNTA(FILTER(B$1:B138, B$1:B138&lt;&gt;""""))))-1), IF('To Order'!$A139=COLUMNS($A139:B"&amp;"158), B138&amp;RIGHT(INDIRECT(ADDRESS(ROW(B139)-1, 'From Order'!$A139)), 1), B138))"),"SWRVSDPQ")</f>
        <v>SWRVSDPQ</v>
      </c>
      <c r="C139" s="2" t="str">
        <f>IFERROR(__xludf.DUMMYFUNCTION("IF('From Order'!$A139=COLUMNS($A139:C158), LEFT(INDEX(FILTER(C$1:C138, C$1:C138&lt;&gt;""""),COUNTA(FILTER(C$1:C138, C$1:C138&lt;&gt;""""))), LEN(INDEX(FILTER(C$1:C138, C$1:C138&lt;&gt;""""),COUNTA(FILTER(C$1:C138, C$1:C138&lt;&gt;""""))))-1), IF('To Order'!$A139=COLUMNS($A139:C"&amp;"158), C138&amp;RIGHT(INDIRECT(ADDRESS(ROW(C139)-1, 'From Order'!$A139)), 1), C138))"),"")</f>
        <v/>
      </c>
      <c r="D139" s="2" t="str">
        <f>IFERROR(__xludf.DUMMYFUNCTION("IF('From Order'!$A139=COLUMNS($A139:D158), LEFT(INDEX(FILTER(D$1:D138, D$1:D138&lt;&gt;""""),COUNTA(FILTER(D$1:D138, D$1:D138&lt;&gt;""""))), LEN(INDEX(FILTER(D$1:D138, D$1:D138&lt;&gt;""""),COUNTA(FILTER(D$1:D138, D$1:D138&lt;&gt;""""))))-1), IF('To Order'!$A139=COLUMNS($A139:D"&amp;"158), D138&amp;RIGHT(INDIRECT(ADDRESS(ROW(D139)-1, 'From Order'!$A139)), 1), D138))"),"DTCHSPVMZDDTLCBR")</f>
        <v>DTCHSPVMZDDTLCBR</v>
      </c>
      <c r="E139" s="2" t="str">
        <f>IFERROR(__xludf.DUMMYFUNCTION("IF('From Order'!$A139=COLUMNS($A139:E158), LEFT(INDEX(FILTER(E$1:E138, E$1:E138&lt;&gt;""""),COUNTA(FILTER(E$1:E138, E$1:E138&lt;&gt;""""))), LEN(INDEX(FILTER(E$1:E138, E$1:E138&lt;&gt;""""),COUNTA(FILTER(E$1:E138, E$1:E138&lt;&gt;""""))))-1), IF('To Order'!$A139=COLUMNS($A139:E"&amp;"158), E138&amp;RIGHT(INDIRECT(ADDRESS(ROW(E139)-1, 'From Order'!$A139)), 1), E138))"),"GPBSGDJMFTR")</f>
        <v>GPBSGDJMFTR</v>
      </c>
      <c r="F139" s="2" t="str">
        <f>IFERROR(__xludf.DUMMYFUNCTION("IF('From Order'!$A139=COLUMNS($A139:F158), LEFT(INDEX(FILTER(F$1:F138, F$1:F138&lt;&gt;""""),COUNTA(FILTER(F$1:F138, F$1:F138&lt;&gt;""""))), LEN(INDEX(FILTER(F$1:F138, F$1:F138&lt;&gt;""""),COUNTA(FILTER(F$1:F138, F$1:F138&lt;&gt;""""))))-1), IF('To Order'!$A139=COLUMNS($A139:F"&amp;"158), F138&amp;RIGHT(INDIRECT(ADDRESS(ROW(F139)-1, 'From Order'!$A139)), 1), F138))"),"FBJLWRZTV")</f>
        <v>FBJLWRZTV</v>
      </c>
      <c r="G139" s="2" t="str">
        <f>IFERROR(__xludf.DUMMYFUNCTION("IF('From Order'!$A139=COLUMNS($A139:G158), LEFT(INDEX(FILTER(G$1:G138, G$1:G138&lt;&gt;""""),COUNTA(FILTER(G$1:G138, G$1:G138&lt;&gt;""""))), LEN(INDEX(FILTER(G$1:G138, G$1:G138&lt;&gt;""""),COUNTA(FILTER(G$1:G138, G$1:G138&lt;&gt;""""))))-1), IF('To Order'!$A139=COLUMNS($A139:G"&amp;"158), G138&amp;RIGHT(INDIRECT(ADDRESS(ROW(G139)-1, 'From Order'!$A139)), 1), G138))"),"L")</f>
        <v>L</v>
      </c>
      <c r="H139" s="2" t="str">
        <f>IFERROR(__xludf.DUMMYFUNCTION("IF('From Order'!$A139=COLUMNS($A139:H158), LEFT(INDEX(FILTER(H$1:H138, H$1:H138&lt;&gt;""""),COUNTA(FILTER(H$1:H138, H$1:H138&lt;&gt;""""))), LEN(INDEX(FILTER(H$1:H138, H$1:H138&lt;&gt;""""),COUNTA(FILTER(H$1:H138, H$1:H138&lt;&gt;""""))))-1), IF('To Order'!$A139=COLUMNS($A139:H"&amp;"158), H138&amp;RIGHT(INDIRECT(ADDRESS(ROW(H139)-1, 'From Order'!$A139)), 1), H138))"),"T")</f>
        <v>T</v>
      </c>
      <c r="I139" s="2" t="str">
        <f>IFERROR(__xludf.DUMMYFUNCTION("IF('From Order'!$A139=COLUMNS($A139:I158), LEFT(INDEX(FILTER(I$1:I138, I$1:I138&lt;&gt;""""),COUNTA(FILTER(I$1:I138, I$1:I138&lt;&gt;""""))), LEN(INDEX(FILTER(I$1:I138, I$1:I138&lt;&gt;""""),COUNTA(FILTER(I$1:I138, I$1:I138&lt;&gt;""""))))-1), IF('To Order'!$A139=COLUMNS($A139:I"&amp;"158), I138&amp;RIGHT(INDIRECT(ADDRESS(ROW(I139)-1, 'From Order'!$A139)), 1), I138))"),"")</f>
        <v/>
      </c>
    </row>
    <row r="140">
      <c r="A140" s="2" t="str">
        <f>IFERROR(__xludf.DUMMYFUNCTION("IF('From Order'!$A140=COLUMNS($A140:A159), LEFT(INDEX(FILTER(A$1:A139, A$1:A139&lt;&gt;""""),COUNTA(FILTER(A$1:A139, A$1:A139&lt;&gt;""""))), LEN(INDEX(FILTER(A$1:A139, A$1:A139&lt;&gt;""""),COUNTA(FILTER(A$1:A139, A$1:A139&lt;&gt;""""))))-1), IF('To Order'!$A140=COLUMNS($A140:A"&amp;"159), A139&amp;RIGHT(INDIRECT(ADDRESS(ROW(A140)-1, 'From Order'!$A140)), 1), A139))"),"BRJZHTDCQM")</f>
        <v>BRJZHTDCQM</v>
      </c>
      <c r="B140" s="2" t="str">
        <f>IFERROR(__xludf.DUMMYFUNCTION("IF('From Order'!$A140=COLUMNS($A140:B159), LEFT(INDEX(FILTER(B$1:B139, B$1:B139&lt;&gt;""""),COUNTA(FILTER(B$1:B139, B$1:B139&lt;&gt;""""))), LEN(INDEX(FILTER(B$1:B139, B$1:B139&lt;&gt;""""),COUNTA(FILTER(B$1:B139, B$1:B139&lt;&gt;""""))))-1), IF('To Order'!$A140=COLUMNS($A140:B"&amp;"159), B139&amp;RIGHT(INDIRECT(ADDRESS(ROW(B140)-1, 'From Order'!$A140)), 1), B139))"),"SWRVSDP")</f>
        <v>SWRVSDP</v>
      </c>
      <c r="C140" s="2" t="str">
        <f>IFERROR(__xludf.DUMMYFUNCTION("IF('From Order'!$A140=COLUMNS($A140:C159), LEFT(INDEX(FILTER(C$1:C139, C$1:C139&lt;&gt;""""),COUNTA(FILTER(C$1:C139, C$1:C139&lt;&gt;""""))), LEN(INDEX(FILTER(C$1:C139, C$1:C139&lt;&gt;""""),COUNTA(FILTER(C$1:C139, C$1:C139&lt;&gt;""""))))-1), IF('To Order'!$A140=COLUMNS($A140:C"&amp;"159), C139&amp;RIGHT(INDIRECT(ADDRESS(ROW(C140)-1, 'From Order'!$A140)), 1), C139))"),"")</f>
        <v/>
      </c>
      <c r="D140" s="2" t="str">
        <f>IFERROR(__xludf.DUMMYFUNCTION("IF('From Order'!$A140=COLUMNS($A140:D159), LEFT(INDEX(FILTER(D$1:D139, D$1:D139&lt;&gt;""""),COUNTA(FILTER(D$1:D139, D$1:D139&lt;&gt;""""))), LEN(INDEX(FILTER(D$1:D139, D$1:D139&lt;&gt;""""),COUNTA(FILTER(D$1:D139, D$1:D139&lt;&gt;""""))))-1), IF('To Order'!$A140=COLUMNS($A140:D"&amp;"159), D139&amp;RIGHT(INDIRECT(ADDRESS(ROW(D140)-1, 'From Order'!$A140)), 1), D139))"),"DTCHSPVMZDDTLCBRQ")</f>
        <v>DTCHSPVMZDDTLCBRQ</v>
      </c>
      <c r="E140" s="2" t="str">
        <f>IFERROR(__xludf.DUMMYFUNCTION("IF('From Order'!$A140=COLUMNS($A140:E159), LEFT(INDEX(FILTER(E$1:E139, E$1:E139&lt;&gt;""""),COUNTA(FILTER(E$1:E139, E$1:E139&lt;&gt;""""))), LEN(INDEX(FILTER(E$1:E139, E$1:E139&lt;&gt;""""),COUNTA(FILTER(E$1:E139, E$1:E139&lt;&gt;""""))))-1), IF('To Order'!$A140=COLUMNS($A140:E"&amp;"159), E139&amp;RIGHT(INDIRECT(ADDRESS(ROW(E140)-1, 'From Order'!$A140)), 1), E139))"),"GPBSGDJMFTR")</f>
        <v>GPBSGDJMFTR</v>
      </c>
      <c r="F140" s="2" t="str">
        <f>IFERROR(__xludf.DUMMYFUNCTION("IF('From Order'!$A140=COLUMNS($A140:F159), LEFT(INDEX(FILTER(F$1:F139, F$1:F139&lt;&gt;""""),COUNTA(FILTER(F$1:F139, F$1:F139&lt;&gt;""""))), LEN(INDEX(FILTER(F$1:F139, F$1:F139&lt;&gt;""""),COUNTA(FILTER(F$1:F139, F$1:F139&lt;&gt;""""))))-1), IF('To Order'!$A140=COLUMNS($A140:F"&amp;"159), F139&amp;RIGHT(INDIRECT(ADDRESS(ROW(F140)-1, 'From Order'!$A140)), 1), F139))"),"FBJLWRZTV")</f>
        <v>FBJLWRZTV</v>
      </c>
      <c r="G140" s="2" t="str">
        <f>IFERROR(__xludf.DUMMYFUNCTION("IF('From Order'!$A140=COLUMNS($A140:G159), LEFT(INDEX(FILTER(G$1:G139, G$1:G139&lt;&gt;""""),COUNTA(FILTER(G$1:G139, G$1:G139&lt;&gt;""""))), LEN(INDEX(FILTER(G$1:G139, G$1:G139&lt;&gt;""""),COUNTA(FILTER(G$1:G139, G$1:G139&lt;&gt;""""))))-1), IF('To Order'!$A140=COLUMNS($A140:G"&amp;"159), G139&amp;RIGHT(INDIRECT(ADDRESS(ROW(G140)-1, 'From Order'!$A140)), 1), G139))"),"L")</f>
        <v>L</v>
      </c>
      <c r="H140" s="2" t="str">
        <f>IFERROR(__xludf.DUMMYFUNCTION("IF('From Order'!$A140=COLUMNS($A140:H159), LEFT(INDEX(FILTER(H$1:H139, H$1:H139&lt;&gt;""""),COUNTA(FILTER(H$1:H139, H$1:H139&lt;&gt;""""))), LEN(INDEX(FILTER(H$1:H139, H$1:H139&lt;&gt;""""),COUNTA(FILTER(H$1:H139, H$1:H139&lt;&gt;""""))))-1), IF('To Order'!$A140=COLUMNS($A140:H"&amp;"159), H139&amp;RIGHT(INDIRECT(ADDRESS(ROW(H140)-1, 'From Order'!$A140)), 1), H139))"),"T")</f>
        <v>T</v>
      </c>
      <c r="I140" s="2" t="str">
        <f>IFERROR(__xludf.DUMMYFUNCTION("IF('From Order'!$A140=COLUMNS($A140:I159), LEFT(INDEX(FILTER(I$1:I139, I$1:I139&lt;&gt;""""),COUNTA(FILTER(I$1:I139, I$1:I139&lt;&gt;""""))), LEN(INDEX(FILTER(I$1:I139, I$1:I139&lt;&gt;""""),COUNTA(FILTER(I$1:I139, I$1:I139&lt;&gt;""""))))-1), IF('To Order'!$A140=COLUMNS($A140:I"&amp;"159), I139&amp;RIGHT(INDIRECT(ADDRESS(ROW(I140)-1, 'From Order'!$A140)), 1), I139))"),"")</f>
        <v/>
      </c>
    </row>
    <row r="141">
      <c r="A141" s="2" t="str">
        <f>IFERROR(__xludf.DUMMYFUNCTION("IF('From Order'!$A141=COLUMNS($A141:A160), LEFT(INDEX(FILTER(A$1:A140, A$1:A140&lt;&gt;""""),COUNTA(FILTER(A$1:A140, A$1:A140&lt;&gt;""""))), LEN(INDEX(FILTER(A$1:A140, A$1:A140&lt;&gt;""""),COUNTA(FILTER(A$1:A140, A$1:A140&lt;&gt;""""))))-1), IF('To Order'!$A141=COLUMNS($A141:A"&amp;"160), A140&amp;RIGHT(INDIRECT(ADDRESS(ROW(A141)-1, 'From Order'!$A141)), 1), A140))"),"BRJZHTDCQM")</f>
        <v>BRJZHTDCQM</v>
      </c>
      <c r="B141" s="2" t="str">
        <f>IFERROR(__xludf.DUMMYFUNCTION("IF('From Order'!$A141=COLUMNS($A141:B160), LEFT(INDEX(FILTER(B$1:B140, B$1:B140&lt;&gt;""""),COUNTA(FILTER(B$1:B140, B$1:B140&lt;&gt;""""))), LEN(INDEX(FILTER(B$1:B140, B$1:B140&lt;&gt;""""),COUNTA(FILTER(B$1:B140, B$1:B140&lt;&gt;""""))))-1), IF('To Order'!$A141=COLUMNS($A141:B"&amp;"160), B140&amp;RIGHT(INDIRECT(ADDRESS(ROW(B141)-1, 'From Order'!$A141)), 1), B140))"),"SWRVSD")</f>
        <v>SWRVSD</v>
      </c>
      <c r="C141" s="2" t="str">
        <f>IFERROR(__xludf.DUMMYFUNCTION("IF('From Order'!$A141=COLUMNS($A141:C160), LEFT(INDEX(FILTER(C$1:C140, C$1:C140&lt;&gt;""""),COUNTA(FILTER(C$1:C140, C$1:C140&lt;&gt;""""))), LEN(INDEX(FILTER(C$1:C140, C$1:C140&lt;&gt;""""),COUNTA(FILTER(C$1:C140, C$1:C140&lt;&gt;""""))))-1), IF('To Order'!$A141=COLUMNS($A141:C"&amp;"160), C140&amp;RIGHT(INDIRECT(ADDRESS(ROW(C141)-1, 'From Order'!$A141)), 1), C140))"),"")</f>
        <v/>
      </c>
      <c r="D141" s="2" t="str">
        <f>IFERROR(__xludf.DUMMYFUNCTION("IF('From Order'!$A141=COLUMNS($A141:D160), LEFT(INDEX(FILTER(D$1:D140, D$1:D140&lt;&gt;""""),COUNTA(FILTER(D$1:D140, D$1:D140&lt;&gt;""""))), LEN(INDEX(FILTER(D$1:D140, D$1:D140&lt;&gt;""""),COUNTA(FILTER(D$1:D140, D$1:D140&lt;&gt;""""))))-1), IF('To Order'!$A141=COLUMNS($A141:D"&amp;"160), D140&amp;RIGHT(INDIRECT(ADDRESS(ROW(D141)-1, 'From Order'!$A141)), 1), D140))"),"DTCHSPVMZDDTLCBRQP")</f>
        <v>DTCHSPVMZDDTLCBRQP</v>
      </c>
      <c r="E141" s="2" t="str">
        <f>IFERROR(__xludf.DUMMYFUNCTION("IF('From Order'!$A141=COLUMNS($A141:E160), LEFT(INDEX(FILTER(E$1:E140, E$1:E140&lt;&gt;""""),COUNTA(FILTER(E$1:E140, E$1:E140&lt;&gt;""""))), LEN(INDEX(FILTER(E$1:E140, E$1:E140&lt;&gt;""""),COUNTA(FILTER(E$1:E140, E$1:E140&lt;&gt;""""))))-1), IF('To Order'!$A141=COLUMNS($A141:E"&amp;"160), E140&amp;RIGHT(INDIRECT(ADDRESS(ROW(E141)-1, 'From Order'!$A141)), 1), E140))"),"GPBSGDJMFTR")</f>
        <v>GPBSGDJMFTR</v>
      </c>
      <c r="F141" s="2" t="str">
        <f>IFERROR(__xludf.DUMMYFUNCTION("IF('From Order'!$A141=COLUMNS($A141:F160), LEFT(INDEX(FILTER(F$1:F140, F$1:F140&lt;&gt;""""),COUNTA(FILTER(F$1:F140, F$1:F140&lt;&gt;""""))), LEN(INDEX(FILTER(F$1:F140, F$1:F140&lt;&gt;""""),COUNTA(FILTER(F$1:F140, F$1:F140&lt;&gt;""""))))-1), IF('To Order'!$A141=COLUMNS($A141:F"&amp;"160), F140&amp;RIGHT(INDIRECT(ADDRESS(ROW(F141)-1, 'From Order'!$A141)), 1), F140))"),"FBJLWRZTV")</f>
        <v>FBJLWRZTV</v>
      </c>
      <c r="G141" s="2" t="str">
        <f>IFERROR(__xludf.DUMMYFUNCTION("IF('From Order'!$A141=COLUMNS($A141:G160), LEFT(INDEX(FILTER(G$1:G140, G$1:G140&lt;&gt;""""),COUNTA(FILTER(G$1:G140, G$1:G140&lt;&gt;""""))), LEN(INDEX(FILTER(G$1:G140, G$1:G140&lt;&gt;""""),COUNTA(FILTER(G$1:G140, G$1:G140&lt;&gt;""""))))-1), IF('To Order'!$A141=COLUMNS($A141:G"&amp;"160), G140&amp;RIGHT(INDIRECT(ADDRESS(ROW(G141)-1, 'From Order'!$A141)), 1), G140))"),"L")</f>
        <v>L</v>
      </c>
      <c r="H141" s="2" t="str">
        <f>IFERROR(__xludf.DUMMYFUNCTION("IF('From Order'!$A141=COLUMNS($A141:H160), LEFT(INDEX(FILTER(H$1:H140, H$1:H140&lt;&gt;""""),COUNTA(FILTER(H$1:H140, H$1:H140&lt;&gt;""""))), LEN(INDEX(FILTER(H$1:H140, H$1:H140&lt;&gt;""""),COUNTA(FILTER(H$1:H140, H$1:H140&lt;&gt;""""))))-1), IF('To Order'!$A141=COLUMNS($A141:H"&amp;"160), H140&amp;RIGHT(INDIRECT(ADDRESS(ROW(H141)-1, 'From Order'!$A141)), 1), H140))"),"T")</f>
        <v>T</v>
      </c>
      <c r="I141" s="2" t="str">
        <f>IFERROR(__xludf.DUMMYFUNCTION("IF('From Order'!$A141=COLUMNS($A141:I160), LEFT(INDEX(FILTER(I$1:I140, I$1:I140&lt;&gt;""""),COUNTA(FILTER(I$1:I140, I$1:I140&lt;&gt;""""))), LEN(INDEX(FILTER(I$1:I140, I$1:I140&lt;&gt;""""),COUNTA(FILTER(I$1:I140, I$1:I140&lt;&gt;""""))))-1), IF('To Order'!$A141=COLUMNS($A141:I"&amp;"160), I140&amp;RIGHT(INDIRECT(ADDRESS(ROW(I141)-1, 'From Order'!$A141)), 1), I140))"),"")</f>
        <v/>
      </c>
    </row>
    <row r="142">
      <c r="A142" s="2" t="str">
        <f>IFERROR(__xludf.DUMMYFUNCTION("IF('From Order'!$A142=COLUMNS($A142:A161), LEFT(INDEX(FILTER(A$1:A141, A$1:A141&lt;&gt;""""),COUNTA(FILTER(A$1:A141, A$1:A141&lt;&gt;""""))), LEN(INDEX(FILTER(A$1:A141, A$1:A141&lt;&gt;""""),COUNTA(FILTER(A$1:A141, A$1:A141&lt;&gt;""""))))-1), IF('To Order'!$A142=COLUMNS($A142:A"&amp;"161), A141&amp;RIGHT(INDIRECT(ADDRESS(ROW(A142)-1, 'From Order'!$A142)), 1), A141))"),"BRJZHTDCQM")</f>
        <v>BRJZHTDCQM</v>
      </c>
      <c r="B142" s="2" t="str">
        <f>IFERROR(__xludf.DUMMYFUNCTION("IF('From Order'!$A142=COLUMNS($A142:B161), LEFT(INDEX(FILTER(B$1:B141, B$1:B141&lt;&gt;""""),COUNTA(FILTER(B$1:B141, B$1:B141&lt;&gt;""""))), LEN(INDEX(FILTER(B$1:B141, B$1:B141&lt;&gt;""""),COUNTA(FILTER(B$1:B141, B$1:B141&lt;&gt;""""))))-1), IF('To Order'!$A142=COLUMNS($A142:B"&amp;"161), B141&amp;RIGHT(INDIRECT(ADDRESS(ROW(B142)-1, 'From Order'!$A142)), 1), B141))"),"SWRVS")</f>
        <v>SWRVS</v>
      </c>
      <c r="C142" s="2" t="str">
        <f>IFERROR(__xludf.DUMMYFUNCTION("IF('From Order'!$A142=COLUMNS($A142:C161), LEFT(INDEX(FILTER(C$1:C141, C$1:C141&lt;&gt;""""),COUNTA(FILTER(C$1:C141, C$1:C141&lt;&gt;""""))), LEN(INDEX(FILTER(C$1:C141, C$1:C141&lt;&gt;""""),COUNTA(FILTER(C$1:C141, C$1:C141&lt;&gt;""""))))-1), IF('To Order'!$A142=COLUMNS($A142:C"&amp;"161), C141&amp;RIGHT(INDIRECT(ADDRESS(ROW(C142)-1, 'From Order'!$A142)), 1), C141))"),"")</f>
        <v/>
      </c>
      <c r="D142" s="2" t="str">
        <f>IFERROR(__xludf.DUMMYFUNCTION("IF('From Order'!$A142=COLUMNS($A142:D161), LEFT(INDEX(FILTER(D$1:D141, D$1:D141&lt;&gt;""""),COUNTA(FILTER(D$1:D141, D$1:D141&lt;&gt;""""))), LEN(INDEX(FILTER(D$1:D141, D$1:D141&lt;&gt;""""),COUNTA(FILTER(D$1:D141, D$1:D141&lt;&gt;""""))))-1), IF('To Order'!$A142=COLUMNS($A142:D"&amp;"161), D141&amp;RIGHT(INDIRECT(ADDRESS(ROW(D142)-1, 'From Order'!$A142)), 1), D141))"),"DTCHSPVMZDDTLCBRQPD")</f>
        <v>DTCHSPVMZDDTLCBRQPD</v>
      </c>
      <c r="E142" s="2" t="str">
        <f>IFERROR(__xludf.DUMMYFUNCTION("IF('From Order'!$A142=COLUMNS($A142:E161), LEFT(INDEX(FILTER(E$1:E141, E$1:E141&lt;&gt;""""),COUNTA(FILTER(E$1:E141, E$1:E141&lt;&gt;""""))), LEN(INDEX(FILTER(E$1:E141, E$1:E141&lt;&gt;""""),COUNTA(FILTER(E$1:E141, E$1:E141&lt;&gt;""""))))-1), IF('To Order'!$A142=COLUMNS($A142:E"&amp;"161), E141&amp;RIGHT(INDIRECT(ADDRESS(ROW(E142)-1, 'From Order'!$A142)), 1), E141))"),"GPBSGDJMFTR")</f>
        <v>GPBSGDJMFTR</v>
      </c>
      <c r="F142" s="2" t="str">
        <f>IFERROR(__xludf.DUMMYFUNCTION("IF('From Order'!$A142=COLUMNS($A142:F161), LEFT(INDEX(FILTER(F$1:F141, F$1:F141&lt;&gt;""""),COUNTA(FILTER(F$1:F141, F$1:F141&lt;&gt;""""))), LEN(INDEX(FILTER(F$1:F141, F$1:F141&lt;&gt;""""),COUNTA(FILTER(F$1:F141, F$1:F141&lt;&gt;""""))))-1), IF('To Order'!$A142=COLUMNS($A142:F"&amp;"161), F141&amp;RIGHT(INDIRECT(ADDRESS(ROW(F142)-1, 'From Order'!$A142)), 1), F141))"),"FBJLWRZTV")</f>
        <v>FBJLWRZTV</v>
      </c>
      <c r="G142" s="2" t="str">
        <f>IFERROR(__xludf.DUMMYFUNCTION("IF('From Order'!$A142=COLUMNS($A142:G161), LEFT(INDEX(FILTER(G$1:G141, G$1:G141&lt;&gt;""""),COUNTA(FILTER(G$1:G141, G$1:G141&lt;&gt;""""))), LEN(INDEX(FILTER(G$1:G141, G$1:G141&lt;&gt;""""),COUNTA(FILTER(G$1:G141, G$1:G141&lt;&gt;""""))))-1), IF('To Order'!$A142=COLUMNS($A142:G"&amp;"161), G141&amp;RIGHT(INDIRECT(ADDRESS(ROW(G142)-1, 'From Order'!$A142)), 1), G141))"),"L")</f>
        <v>L</v>
      </c>
      <c r="H142" s="2" t="str">
        <f>IFERROR(__xludf.DUMMYFUNCTION("IF('From Order'!$A142=COLUMNS($A142:H161), LEFT(INDEX(FILTER(H$1:H141, H$1:H141&lt;&gt;""""),COUNTA(FILTER(H$1:H141, H$1:H141&lt;&gt;""""))), LEN(INDEX(FILTER(H$1:H141, H$1:H141&lt;&gt;""""),COUNTA(FILTER(H$1:H141, H$1:H141&lt;&gt;""""))))-1), IF('To Order'!$A142=COLUMNS($A142:H"&amp;"161), H141&amp;RIGHT(INDIRECT(ADDRESS(ROW(H142)-1, 'From Order'!$A142)), 1), H141))"),"T")</f>
        <v>T</v>
      </c>
      <c r="I142" s="2" t="str">
        <f>IFERROR(__xludf.DUMMYFUNCTION("IF('From Order'!$A142=COLUMNS($A142:I161), LEFT(INDEX(FILTER(I$1:I141, I$1:I141&lt;&gt;""""),COUNTA(FILTER(I$1:I141, I$1:I141&lt;&gt;""""))), LEN(INDEX(FILTER(I$1:I141, I$1:I141&lt;&gt;""""),COUNTA(FILTER(I$1:I141, I$1:I141&lt;&gt;""""))))-1), IF('To Order'!$A142=COLUMNS($A142:I"&amp;"161), I141&amp;RIGHT(INDIRECT(ADDRESS(ROW(I142)-1, 'From Order'!$A142)), 1), I141))"),"")</f>
        <v/>
      </c>
    </row>
    <row r="143">
      <c r="A143" s="2" t="str">
        <f>IFERROR(__xludf.DUMMYFUNCTION("IF('From Order'!$A143=COLUMNS($A143:A162), LEFT(INDEX(FILTER(A$1:A142, A$1:A142&lt;&gt;""""),COUNTA(FILTER(A$1:A142, A$1:A142&lt;&gt;""""))), LEN(INDEX(FILTER(A$1:A142, A$1:A142&lt;&gt;""""),COUNTA(FILTER(A$1:A142, A$1:A142&lt;&gt;""""))))-1), IF('To Order'!$A143=COLUMNS($A143:A"&amp;"162), A142&amp;RIGHT(INDIRECT(ADDRESS(ROW(A143)-1, 'From Order'!$A143)), 1), A142))"),"BRJZHTDCQM")</f>
        <v>BRJZHTDCQM</v>
      </c>
      <c r="B143" s="2" t="str">
        <f>IFERROR(__xludf.DUMMYFUNCTION("IF('From Order'!$A143=COLUMNS($A143:B162), LEFT(INDEX(FILTER(B$1:B142, B$1:B142&lt;&gt;""""),COUNTA(FILTER(B$1:B142, B$1:B142&lt;&gt;""""))), LEN(INDEX(FILTER(B$1:B142, B$1:B142&lt;&gt;""""),COUNTA(FILTER(B$1:B142, B$1:B142&lt;&gt;""""))))-1), IF('To Order'!$A143=COLUMNS($A143:B"&amp;"162), B142&amp;RIGHT(INDIRECT(ADDRESS(ROW(B143)-1, 'From Order'!$A143)), 1), B142))"),"SWRV")</f>
        <v>SWRV</v>
      </c>
      <c r="C143" s="2" t="str">
        <f>IFERROR(__xludf.DUMMYFUNCTION("IF('From Order'!$A143=COLUMNS($A143:C162), LEFT(INDEX(FILTER(C$1:C142, C$1:C142&lt;&gt;""""),COUNTA(FILTER(C$1:C142, C$1:C142&lt;&gt;""""))), LEN(INDEX(FILTER(C$1:C142, C$1:C142&lt;&gt;""""),COUNTA(FILTER(C$1:C142, C$1:C142&lt;&gt;""""))))-1), IF('To Order'!$A143=COLUMNS($A143:C"&amp;"162), C142&amp;RIGHT(INDIRECT(ADDRESS(ROW(C143)-1, 'From Order'!$A143)), 1), C142))"),"")</f>
        <v/>
      </c>
      <c r="D143" s="2" t="str">
        <f>IFERROR(__xludf.DUMMYFUNCTION("IF('From Order'!$A143=COLUMNS($A143:D162), LEFT(INDEX(FILTER(D$1:D142, D$1:D142&lt;&gt;""""),COUNTA(FILTER(D$1:D142, D$1:D142&lt;&gt;""""))), LEN(INDEX(FILTER(D$1:D142, D$1:D142&lt;&gt;""""),COUNTA(FILTER(D$1:D142, D$1:D142&lt;&gt;""""))))-1), IF('To Order'!$A143=COLUMNS($A143:D"&amp;"162), D142&amp;RIGHT(INDIRECT(ADDRESS(ROW(D143)-1, 'From Order'!$A143)), 1), D142))"),"DTCHSPVMZDDTLCBRQPDS")</f>
        <v>DTCHSPVMZDDTLCBRQPDS</v>
      </c>
      <c r="E143" s="2" t="str">
        <f>IFERROR(__xludf.DUMMYFUNCTION("IF('From Order'!$A143=COLUMNS($A143:E162), LEFT(INDEX(FILTER(E$1:E142, E$1:E142&lt;&gt;""""),COUNTA(FILTER(E$1:E142, E$1:E142&lt;&gt;""""))), LEN(INDEX(FILTER(E$1:E142, E$1:E142&lt;&gt;""""),COUNTA(FILTER(E$1:E142, E$1:E142&lt;&gt;""""))))-1), IF('To Order'!$A143=COLUMNS($A143:E"&amp;"162), E142&amp;RIGHT(INDIRECT(ADDRESS(ROW(E143)-1, 'From Order'!$A143)), 1), E142))"),"GPBSGDJMFTR")</f>
        <v>GPBSGDJMFTR</v>
      </c>
      <c r="F143" s="2" t="str">
        <f>IFERROR(__xludf.DUMMYFUNCTION("IF('From Order'!$A143=COLUMNS($A143:F162), LEFT(INDEX(FILTER(F$1:F142, F$1:F142&lt;&gt;""""),COUNTA(FILTER(F$1:F142, F$1:F142&lt;&gt;""""))), LEN(INDEX(FILTER(F$1:F142, F$1:F142&lt;&gt;""""),COUNTA(FILTER(F$1:F142, F$1:F142&lt;&gt;""""))))-1), IF('To Order'!$A143=COLUMNS($A143:F"&amp;"162), F142&amp;RIGHT(INDIRECT(ADDRESS(ROW(F143)-1, 'From Order'!$A143)), 1), F142))"),"FBJLWRZTV")</f>
        <v>FBJLWRZTV</v>
      </c>
      <c r="G143" s="2" t="str">
        <f>IFERROR(__xludf.DUMMYFUNCTION("IF('From Order'!$A143=COLUMNS($A143:G162), LEFT(INDEX(FILTER(G$1:G142, G$1:G142&lt;&gt;""""),COUNTA(FILTER(G$1:G142, G$1:G142&lt;&gt;""""))), LEN(INDEX(FILTER(G$1:G142, G$1:G142&lt;&gt;""""),COUNTA(FILTER(G$1:G142, G$1:G142&lt;&gt;""""))))-1), IF('To Order'!$A143=COLUMNS($A143:G"&amp;"162), G142&amp;RIGHT(INDIRECT(ADDRESS(ROW(G143)-1, 'From Order'!$A143)), 1), G142))"),"L")</f>
        <v>L</v>
      </c>
      <c r="H143" s="2" t="str">
        <f>IFERROR(__xludf.DUMMYFUNCTION("IF('From Order'!$A143=COLUMNS($A143:H162), LEFT(INDEX(FILTER(H$1:H142, H$1:H142&lt;&gt;""""),COUNTA(FILTER(H$1:H142, H$1:H142&lt;&gt;""""))), LEN(INDEX(FILTER(H$1:H142, H$1:H142&lt;&gt;""""),COUNTA(FILTER(H$1:H142, H$1:H142&lt;&gt;""""))))-1), IF('To Order'!$A143=COLUMNS($A143:H"&amp;"162), H142&amp;RIGHT(INDIRECT(ADDRESS(ROW(H143)-1, 'From Order'!$A143)), 1), H142))"),"T")</f>
        <v>T</v>
      </c>
      <c r="I143" s="2" t="str">
        <f>IFERROR(__xludf.DUMMYFUNCTION("IF('From Order'!$A143=COLUMNS($A143:I162), LEFT(INDEX(FILTER(I$1:I142, I$1:I142&lt;&gt;""""),COUNTA(FILTER(I$1:I142, I$1:I142&lt;&gt;""""))), LEN(INDEX(FILTER(I$1:I142, I$1:I142&lt;&gt;""""),COUNTA(FILTER(I$1:I142, I$1:I142&lt;&gt;""""))))-1), IF('To Order'!$A143=COLUMNS($A143:I"&amp;"162), I142&amp;RIGHT(INDIRECT(ADDRESS(ROW(I143)-1, 'From Order'!$A143)), 1), I142))"),"")</f>
        <v/>
      </c>
    </row>
    <row r="144">
      <c r="A144" s="2" t="str">
        <f>IFERROR(__xludf.DUMMYFUNCTION("IF('From Order'!$A144=COLUMNS($A144:A163), LEFT(INDEX(FILTER(A$1:A143, A$1:A143&lt;&gt;""""),COUNTA(FILTER(A$1:A143, A$1:A143&lt;&gt;""""))), LEN(INDEX(FILTER(A$1:A143, A$1:A143&lt;&gt;""""),COUNTA(FILTER(A$1:A143, A$1:A143&lt;&gt;""""))))-1), IF('To Order'!$A144=COLUMNS($A144:A"&amp;"163), A143&amp;RIGHT(INDIRECT(ADDRESS(ROW(A144)-1, 'From Order'!$A144)), 1), A143))"),"BRJZHTDCQM")</f>
        <v>BRJZHTDCQM</v>
      </c>
      <c r="B144" s="2" t="str">
        <f>IFERROR(__xludf.DUMMYFUNCTION("IF('From Order'!$A144=COLUMNS($A144:B163), LEFT(INDEX(FILTER(B$1:B143, B$1:B143&lt;&gt;""""),COUNTA(FILTER(B$1:B143, B$1:B143&lt;&gt;""""))), LEN(INDEX(FILTER(B$1:B143, B$1:B143&lt;&gt;""""),COUNTA(FILTER(B$1:B143, B$1:B143&lt;&gt;""""))))-1), IF('To Order'!$A144=COLUMNS($A144:B"&amp;"163), B143&amp;RIGHT(INDIRECT(ADDRESS(ROW(B144)-1, 'From Order'!$A144)), 1), B143))"),"SWR")</f>
        <v>SWR</v>
      </c>
      <c r="C144" s="2" t="str">
        <f>IFERROR(__xludf.DUMMYFUNCTION("IF('From Order'!$A144=COLUMNS($A144:C163), LEFT(INDEX(FILTER(C$1:C143, C$1:C143&lt;&gt;""""),COUNTA(FILTER(C$1:C143, C$1:C143&lt;&gt;""""))), LEN(INDEX(FILTER(C$1:C143, C$1:C143&lt;&gt;""""),COUNTA(FILTER(C$1:C143, C$1:C143&lt;&gt;""""))))-1), IF('To Order'!$A144=COLUMNS($A144:C"&amp;"163), C143&amp;RIGHT(INDIRECT(ADDRESS(ROW(C144)-1, 'From Order'!$A144)), 1), C143))"),"")</f>
        <v/>
      </c>
      <c r="D144" s="2" t="str">
        <f>IFERROR(__xludf.DUMMYFUNCTION("IF('From Order'!$A144=COLUMNS($A144:D163), LEFT(INDEX(FILTER(D$1:D143, D$1:D143&lt;&gt;""""),COUNTA(FILTER(D$1:D143, D$1:D143&lt;&gt;""""))), LEN(INDEX(FILTER(D$1:D143, D$1:D143&lt;&gt;""""),COUNTA(FILTER(D$1:D143, D$1:D143&lt;&gt;""""))))-1), IF('To Order'!$A144=COLUMNS($A144:D"&amp;"163), D143&amp;RIGHT(INDIRECT(ADDRESS(ROW(D144)-1, 'From Order'!$A144)), 1), D143))"),"DTCHSPVMZDDTLCBRQPDSV")</f>
        <v>DTCHSPVMZDDTLCBRQPDSV</v>
      </c>
      <c r="E144" s="2" t="str">
        <f>IFERROR(__xludf.DUMMYFUNCTION("IF('From Order'!$A144=COLUMNS($A144:E163), LEFT(INDEX(FILTER(E$1:E143, E$1:E143&lt;&gt;""""),COUNTA(FILTER(E$1:E143, E$1:E143&lt;&gt;""""))), LEN(INDEX(FILTER(E$1:E143, E$1:E143&lt;&gt;""""),COUNTA(FILTER(E$1:E143, E$1:E143&lt;&gt;""""))))-1), IF('To Order'!$A144=COLUMNS($A144:E"&amp;"163), E143&amp;RIGHT(INDIRECT(ADDRESS(ROW(E144)-1, 'From Order'!$A144)), 1), E143))"),"GPBSGDJMFTR")</f>
        <v>GPBSGDJMFTR</v>
      </c>
      <c r="F144" s="2" t="str">
        <f>IFERROR(__xludf.DUMMYFUNCTION("IF('From Order'!$A144=COLUMNS($A144:F163), LEFT(INDEX(FILTER(F$1:F143, F$1:F143&lt;&gt;""""),COUNTA(FILTER(F$1:F143, F$1:F143&lt;&gt;""""))), LEN(INDEX(FILTER(F$1:F143, F$1:F143&lt;&gt;""""),COUNTA(FILTER(F$1:F143, F$1:F143&lt;&gt;""""))))-1), IF('To Order'!$A144=COLUMNS($A144:F"&amp;"163), F143&amp;RIGHT(INDIRECT(ADDRESS(ROW(F144)-1, 'From Order'!$A144)), 1), F143))"),"FBJLWRZTV")</f>
        <v>FBJLWRZTV</v>
      </c>
      <c r="G144" s="2" t="str">
        <f>IFERROR(__xludf.DUMMYFUNCTION("IF('From Order'!$A144=COLUMNS($A144:G163), LEFT(INDEX(FILTER(G$1:G143, G$1:G143&lt;&gt;""""),COUNTA(FILTER(G$1:G143, G$1:G143&lt;&gt;""""))), LEN(INDEX(FILTER(G$1:G143, G$1:G143&lt;&gt;""""),COUNTA(FILTER(G$1:G143, G$1:G143&lt;&gt;""""))))-1), IF('To Order'!$A144=COLUMNS($A144:G"&amp;"163), G143&amp;RIGHT(INDIRECT(ADDRESS(ROW(G144)-1, 'From Order'!$A144)), 1), G143))"),"L")</f>
        <v>L</v>
      </c>
      <c r="H144" s="2" t="str">
        <f>IFERROR(__xludf.DUMMYFUNCTION("IF('From Order'!$A144=COLUMNS($A144:H163), LEFT(INDEX(FILTER(H$1:H143, H$1:H143&lt;&gt;""""),COUNTA(FILTER(H$1:H143, H$1:H143&lt;&gt;""""))), LEN(INDEX(FILTER(H$1:H143, H$1:H143&lt;&gt;""""),COUNTA(FILTER(H$1:H143, H$1:H143&lt;&gt;""""))))-1), IF('To Order'!$A144=COLUMNS($A144:H"&amp;"163), H143&amp;RIGHT(INDIRECT(ADDRESS(ROW(H144)-1, 'From Order'!$A144)), 1), H143))"),"T")</f>
        <v>T</v>
      </c>
      <c r="I144" s="2" t="str">
        <f>IFERROR(__xludf.DUMMYFUNCTION("IF('From Order'!$A144=COLUMNS($A144:I163), LEFT(INDEX(FILTER(I$1:I143, I$1:I143&lt;&gt;""""),COUNTA(FILTER(I$1:I143, I$1:I143&lt;&gt;""""))), LEN(INDEX(FILTER(I$1:I143, I$1:I143&lt;&gt;""""),COUNTA(FILTER(I$1:I143, I$1:I143&lt;&gt;""""))))-1), IF('To Order'!$A144=COLUMNS($A144:I"&amp;"163), I143&amp;RIGHT(INDIRECT(ADDRESS(ROW(I144)-1, 'From Order'!$A144)), 1), I143))"),"")</f>
        <v/>
      </c>
    </row>
    <row r="145">
      <c r="A145" s="2" t="str">
        <f>IFERROR(__xludf.DUMMYFUNCTION("IF('From Order'!$A145=COLUMNS($A145:A164), LEFT(INDEX(FILTER(A$1:A144, A$1:A144&lt;&gt;""""),COUNTA(FILTER(A$1:A144, A$1:A144&lt;&gt;""""))), LEN(INDEX(FILTER(A$1:A144, A$1:A144&lt;&gt;""""),COUNTA(FILTER(A$1:A144, A$1:A144&lt;&gt;""""))))-1), IF('To Order'!$A145=COLUMNS($A145:A"&amp;"164), A144&amp;RIGHT(INDIRECT(ADDRESS(ROW(A145)-1, 'From Order'!$A145)), 1), A144))"),"BRJZHTDCQM")</f>
        <v>BRJZHTDCQM</v>
      </c>
      <c r="B145" s="2" t="str">
        <f>IFERROR(__xludf.DUMMYFUNCTION("IF('From Order'!$A145=COLUMNS($A145:B164), LEFT(INDEX(FILTER(B$1:B144, B$1:B144&lt;&gt;""""),COUNTA(FILTER(B$1:B144, B$1:B144&lt;&gt;""""))), LEN(INDEX(FILTER(B$1:B144, B$1:B144&lt;&gt;""""),COUNTA(FILTER(B$1:B144, B$1:B144&lt;&gt;""""))))-1), IF('To Order'!$A145=COLUMNS($A145:B"&amp;"164), B144&amp;RIGHT(INDIRECT(ADDRESS(ROW(B145)-1, 'From Order'!$A145)), 1), B144))"),"SW")</f>
        <v>SW</v>
      </c>
      <c r="C145" s="2" t="str">
        <f>IFERROR(__xludf.DUMMYFUNCTION("IF('From Order'!$A145=COLUMNS($A145:C164), LEFT(INDEX(FILTER(C$1:C144, C$1:C144&lt;&gt;""""),COUNTA(FILTER(C$1:C144, C$1:C144&lt;&gt;""""))), LEN(INDEX(FILTER(C$1:C144, C$1:C144&lt;&gt;""""),COUNTA(FILTER(C$1:C144, C$1:C144&lt;&gt;""""))))-1), IF('To Order'!$A145=COLUMNS($A145:C"&amp;"164), C144&amp;RIGHT(INDIRECT(ADDRESS(ROW(C145)-1, 'From Order'!$A145)), 1), C144))"),"")</f>
        <v/>
      </c>
      <c r="D145" s="2" t="str">
        <f>IFERROR(__xludf.DUMMYFUNCTION("IF('From Order'!$A145=COLUMNS($A145:D164), LEFT(INDEX(FILTER(D$1:D144, D$1:D144&lt;&gt;""""),COUNTA(FILTER(D$1:D144, D$1:D144&lt;&gt;""""))), LEN(INDEX(FILTER(D$1:D144, D$1:D144&lt;&gt;""""),COUNTA(FILTER(D$1:D144, D$1:D144&lt;&gt;""""))))-1), IF('To Order'!$A145=COLUMNS($A145:D"&amp;"164), D144&amp;RIGHT(INDIRECT(ADDRESS(ROW(D145)-1, 'From Order'!$A145)), 1), D144))"),"DTCHSPVMZDDTLCBRQPDSVR")</f>
        <v>DTCHSPVMZDDTLCBRQPDSVR</v>
      </c>
      <c r="E145" s="2" t="str">
        <f>IFERROR(__xludf.DUMMYFUNCTION("IF('From Order'!$A145=COLUMNS($A145:E164), LEFT(INDEX(FILTER(E$1:E144, E$1:E144&lt;&gt;""""),COUNTA(FILTER(E$1:E144, E$1:E144&lt;&gt;""""))), LEN(INDEX(FILTER(E$1:E144, E$1:E144&lt;&gt;""""),COUNTA(FILTER(E$1:E144, E$1:E144&lt;&gt;""""))))-1), IF('To Order'!$A145=COLUMNS($A145:E"&amp;"164), E144&amp;RIGHT(INDIRECT(ADDRESS(ROW(E145)-1, 'From Order'!$A145)), 1), E144))"),"GPBSGDJMFTR")</f>
        <v>GPBSGDJMFTR</v>
      </c>
      <c r="F145" s="2" t="str">
        <f>IFERROR(__xludf.DUMMYFUNCTION("IF('From Order'!$A145=COLUMNS($A145:F164), LEFT(INDEX(FILTER(F$1:F144, F$1:F144&lt;&gt;""""),COUNTA(FILTER(F$1:F144, F$1:F144&lt;&gt;""""))), LEN(INDEX(FILTER(F$1:F144, F$1:F144&lt;&gt;""""),COUNTA(FILTER(F$1:F144, F$1:F144&lt;&gt;""""))))-1), IF('To Order'!$A145=COLUMNS($A145:F"&amp;"164), F144&amp;RIGHT(INDIRECT(ADDRESS(ROW(F145)-1, 'From Order'!$A145)), 1), F144))"),"FBJLWRZTV")</f>
        <v>FBJLWRZTV</v>
      </c>
      <c r="G145" s="2" t="str">
        <f>IFERROR(__xludf.DUMMYFUNCTION("IF('From Order'!$A145=COLUMNS($A145:G164), LEFT(INDEX(FILTER(G$1:G144, G$1:G144&lt;&gt;""""),COUNTA(FILTER(G$1:G144, G$1:G144&lt;&gt;""""))), LEN(INDEX(FILTER(G$1:G144, G$1:G144&lt;&gt;""""),COUNTA(FILTER(G$1:G144, G$1:G144&lt;&gt;""""))))-1), IF('To Order'!$A145=COLUMNS($A145:G"&amp;"164), G144&amp;RIGHT(INDIRECT(ADDRESS(ROW(G145)-1, 'From Order'!$A145)), 1), G144))"),"L")</f>
        <v>L</v>
      </c>
      <c r="H145" s="2" t="str">
        <f>IFERROR(__xludf.DUMMYFUNCTION("IF('From Order'!$A145=COLUMNS($A145:H164), LEFT(INDEX(FILTER(H$1:H144, H$1:H144&lt;&gt;""""),COUNTA(FILTER(H$1:H144, H$1:H144&lt;&gt;""""))), LEN(INDEX(FILTER(H$1:H144, H$1:H144&lt;&gt;""""),COUNTA(FILTER(H$1:H144, H$1:H144&lt;&gt;""""))))-1), IF('To Order'!$A145=COLUMNS($A145:H"&amp;"164), H144&amp;RIGHT(INDIRECT(ADDRESS(ROW(H145)-1, 'From Order'!$A145)), 1), H144))"),"T")</f>
        <v>T</v>
      </c>
      <c r="I145" s="2" t="str">
        <f>IFERROR(__xludf.DUMMYFUNCTION("IF('From Order'!$A145=COLUMNS($A145:I164), LEFT(INDEX(FILTER(I$1:I144, I$1:I144&lt;&gt;""""),COUNTA(FILTER(I$1:I144, I$1:I144&lt;&gt;""""))), LEN(INDEX(FILTER(I$1:I144, I$1:I144&lt;&gt;""""),COUNTA(FILTER(I$1:I144, I$1:I144&lt;&gt;""""))))-1), IF('To Order'!$A145=COLUMNS($A145:I"&amp;"164), I144&amp;RIGHT(INDIRECT(ADDRESS(ROW(I145)-1, 'From Order'!$A145)), 1), I144))"),"")</f>
        <v/>
      </c>
    </row>
    <row r="146">
      <c r="A146" s="2" t="str">
        <f>IFERROR(__xludf.DUMMYFUNCTION("IF('From Order'!$A146=COLUMNS($A146:A165), LEFT(INDEX(FILTER(A$1:A145, A$1:A145&lt;&gt;""""),COUNTA(FILTER(A$1:A145, A$1:A145&lt;&gt;""""))), LEN(INDEX(FILTER(A$1:A145, A$1:A145&lt;&gt;""""),COUNTA(FILTER(A$1:A145, A$1:A145&lt;&gt;""""))))-1), IF('To Order'!$A146=COLUMNS($A146:A"&amp;"165), A145&amp;RIGHT(INDIRECT(ADDRESS(ROW(A146)-1, 'From Order'!$A146)), 1), A145))"),"BRJZHTDCQM")</f>
        <v>BRJZHTDCQM</v>
      </c>
      <c r="B146" s="2" t="str">
        <f>IFERROR(__xludf.DUMMYFUNCTION("IF('From Order'!$A146=COLUMNS($A146:B165), LEFT(INDEX(FILTER(B$1:B145, B$1:B145&lt;&gt;""""),COUNTA(FILTER(B$1:B145, B$1:B145&lt;&gt;""""))), LEN(INDEX(FILTER(B$1:B145, B$1:B145&lt;&gt;""""),COUNTA(FILTER(B$1:B145, B$1:B145&lt;&gt;""""))))-1), IF('To Order'!$A146=COLUMNS($A146:B"&amp;"165), B145&amp;RIGHT(INDIRECT(ADDRESS(ROW(B146)-1, 'From Order'!$A146)), 1), B145))"),"SW")</f>
        <v>SW</v>
      </c>
      <c r="C146" s="2" t="str">
        <f>IFERROR(__xludf.DUMMYFUNCTION("IF('From Order'!$A146=COLUMNS($A146:C165), LEFT(INDEX(FILTER(C$1:C145, C$1:C145&lt;&gt;""""),COUNTA(FILTER(C$1:C145, C$1:C145&lt;&gt;""""))), LEN(INDEX(FILTER(C$1:C145, C$1:C145&lt;&gt;""""),COUNTA(FILTER(C$1:C145, C$1:C145&lt;&gt;""""))))-1), IF('To Order'!$A146=COLUMNS($A146:C"&amp;"165), C145&amp;RIGHT(INDIRECT(ADDRESS(ROW(C146)-1, 'From Order'!$A146)), 1), C145))"),"")</f>
        <v/>
      </c>
      <c r="D146" s="2" t="str">
        <f>IFERROR(__xludf.DUMMYFUNCTION("IF('From Order'!$A146=COLUMNS($A146:D165), LEFT(INDEX(FILTER(D$1:D145, D$1:D145&lt;&gt;""""),COUNTA(FILTER(D$1:D145, D$1:D145&lt;&gt;""""))), LEN(INDEX(FILTER(D$1:D145, D$1:D145&lt;&gt;""""),COUNTA(FILTER(D$1:D145, D$1:D145&lt;&gt;""""))))-1), IF('To Order'!$A146=COLUMNS($A146:D"&amp;"165), D145&amp;RIGHT(INDIRECT(ADDRESS(ROW(D146)-1, 'From Order'!$A146)), 1), D145))"),"DTCHSPVMZDDTLCBRQPDSVR")</f>
        <v>DTCHSPVMZDDTLCBRQPDSVR</v>
      </c>
      <c r="E146" s="2" t="str">
        <f>IFERROR(__xludf.DUMMYFUNCTION("IF('From Order'!$A146=COLUMNS($A146:E165), LEFT(INDEX(FILTER(E$1:E145, E$1:E145&lt;&gt;""""),COUNTA(FILTER(E$1:E145, E$1:E145&lt;&gt;""""))), LEN(INDEX(FILTER(E$1:E145, E$1:E145&lt;&gt;""""),COUNTA(FILTER(E$1:E145, E$1:E145&lt;&gt;""""))))-1), IF('To Order'!$A146=COLUMNS($A146:E"&amp;"165), E145&amp;RIGHT(INDIRECT(ADDRESS(ROW(E146)-1, 'From Order'!$A146)), 1), E145))"),"GPBSGDJMFT")</f>
        <v>GPBSGDJMFT</v>
      </c>
      <c r="F146" s="2" t="str">
        <f>IFERROR(__xludf.DUMMYFUNCTION("IF('From Order'!$A146=COLUMNS($A146:F165), LEFT(INDEX(FILTER(F$1:F145, F$1:F145&lt;&gt;""""),COUNTA(FILTER(F$1:F145, F$1:F145&lt;&gt;""""))), LEN(INDEX(FILTER(F$1:F145, F$1:F145&lt;&gt;""""),COUNTA(FILTER(F$1:F145, F$1:F145&lt;&gt;""""))))-1), IF('To Order'!$A146=COLUMNS($A146:F"&amp;"165), F145&amp;RIGHT(INDIRECT(ADDRESS(ROW(F146)-1, 'From Order'!$A146)), 1), F145))"),"FBJLWRZTV")</f>
        <v>FBJLWRZTV</v>
      </c>
      <c r="G146" s="2" t="str">
        <f>IFERROR(__xludf.DUMMYFUNCTION("IF('From Order'!$A146=COLUMNS($A146:G165), LEFT(INDEX(FILTER(G$1:G145, G$1:G145&lt;&gt;""""),COUNTA(FILTER(G$1:G145, G$1:G145&lt;&gt;""""))), LEN(INDEX(FILTER(G$1:G145, G$1:G145&lt;&gt;""""),COUNTA(FILTER(G$1:G145, G$1:G145&lt;&gt;""""))))-1), IF('To Order'!$A146=COLUMNS($A146:G"&amp;"165), G145&amp;RIGHT(INDIRECT(ADDRESS(ROW(G146)-1, 'From Order'!$A146)), 1), G145))"),"L")</f>
        <v>L</v>
      </c>
      <c r="H146" s="2" t="str">
        <f>IFERROR(__xludf.DUMMYFUNCTION("IF('From Order'!$A146=COLUMNS($A146:H165), LEFT(INDEX(FILTER(H$1:H145, H$1:H145&lt;&gt;""""),COUNTA(FILTER(H$1:H145, H$1:H145&lt;&gt;""""))), LEN(INDEX(FILTER(H$1:H145, H$1:H145&lt;&gt;""""),COUNTA(FILTER(H$1:H145, H$1:H145&lt;&gt;""""))))-1), IF('To Order'!$A146=COLUMNS($A146:H"&amp;"165), H145&amp;RIGHT(INDIRECT(ADDRESS(ROW(H146)-1, 'From Order'!$A146)), 1), H145))"),"TR")</f>
        <v>TR</v>
      </c>
      <c r="I146" s="2" t="str">
        <f>IFERROR(__xludf.DUMMYFUNCTION("IF('From Order'!$A146=COLUMNS($A146:I165), LEFT(INDEX(FILTER(I$1:I145, I$1:I145&lt;&gt;""""),COUNTA(FILTER(I$1:I145, I$1:I145&lt;&gt;""""))), LEN(INDEX(FILTER(I$1:I145, I$1:I145&lt;&gt;""""),COUNTA(FILTER(I$1:I145, I$1:I145&lt;&gt;""""))))-1), IF('To Order'!$A146=COLUMNS($A146:I"&amp;"165), I145&amp;RIGHT(INDIRECT(ADDRESS(ROW(I146)-1, 'From Order'!$A146)), 1), I145))"),"")</f>
        <v/>
      </c>
    </row>
    <row r="147">
      <c r="A147" s="2" t="str">
        <f>IFERROR(__xludf.DUMMYFUNCTION("IF('From Order'!$A147=COLUMNS($A147:A166), LEFT(INDEX(FILTER(A$1:A146, A$1:A146&lt;&gt;""""),COUNTA(FILTER(A$1:A146, A$1:A146&lt;&gt;""""))), LEN(INDEX(FILTER(A$1:A146, A$1:A146&lt;&gt;""""),COUNTA(FILTER(A$1:A146, A$1:A146&lt;&gt;""""))))-1), IF('To Order'!$A147=COLUMNS($A147:A"&amp;"166), A146&amp;RIGHT(INDIRECT(ADDRESS(ROW(A147)-1, 'From Order'!$A147)), 1), A146))"),"BRJZHTDCQM")</f>
        <v>BRJZHTDCQM</v>
      </c>
      <c r="B147" s="2" t="str">
        <f>IFERROR(__xludf.DUMMYFUNCTION("IF('From Order'!$A147=COLUMNS($A147:B166), LEFT(INDEX(FILTER(B$1:B146, B$1:B146&lt;&gt;""""),COUNTA(FILTER(B$1:B146, B$1:B146&lt;&gt;""""))), LEN(INDEX(FILTER(B$1:B146, B$1:B146&lt;&gt;""""),COUNTA(FILTER(B$1:B146, B$1:B146&lt;&gt;""""))))-1), IF('To Order'!$A147=COLUMNS($A147:B"&amp;"166), B146&amp;RIGHT(INDIRECT(ADDRESS(ROW(B147)-1, 'From Order'!$A147)), 1), B146))"),"SW")</f>
        <v>SW</v>
      </c>
      <c r="C147" s="2" t="str">
        <f>IFERROR(__xludf.DUMMYFUNCTION("IF('From Order'!$A147=COLUMNS($A147:C166), LEFT(INDEX(FILTER(C$1:C146, C$1:C146&lt;&gt;""""),COUNTA(FILTER(C$1:C146, C$1:C146&lt;&gt;""""))), LEN(INDEX(FILTER(C$1:C146, C$1:C146&lt;&gt;""""),COUNTA(FILTER(C$1:C146, C$1:C146&lt;&gt;""""))))-1), IF('To Order'!$A147=COLUMNS($A147:C"&amp;"166), C146&amp;RIGHT(INDIRECT(ADDRESS(ROW(C147)-1, 'From Order'!$A147)), 1), C146))"),"V")</f>
        <v>V</v>
      </c>
      <c r="D147" s="2" t="str">
        <f>IFERROR(__xludf.DUMMYFUNCTION("IF('From Order'!$A147=COLUMNS($A147:D166), LEFT(INDEX(FILTER(D$1:D146, D$1:D146&lt;&gt;""""),COUNTA(FILTER(D$1:D146, D$1:D146&lt;&gt;""""))), LEN(INDEX(FILTER(D$1:D146, D$1:D146&lt;&gt;""""),COUNTA(FILTER(D$1:D146, D$1:D146&lt;&gt;""""))))-1), IF('To Order'!$A147=COLUMNS($A147:D"&amp;"166), D146&amp;RIGHT(INDIRECT(ADDRESS(ROW(D147)-1, 'From Order'!$A147)), 1), D146))"),"DTCHSPVMZDDTLCBRQPDSVR")</f>
        <v>DTCHSPVMZDDTLCBRQPDSVR</v>
      </c>
      <c r="E147" s="2" t="str">
        <f>IFERROR(__xludf.DUMMYFUNCTION("IF('From Order'!$A147=COLUMNS($A147:E166), LEFT(INDEX(FILTER(E$1:E146, E$1:E146&lt;&gt;""""),COUNTA(FILTER(E$1:E146, E$1:E146&lt;&gt;""""))), LEN(INDEX(FILTER(E$1:E146, E$1:E146&lt;&gt;""""),COUNTA(FILTER(E$1:E146, E$1:E146&lt;&gt;""""))))-1), IF('To Order'!$A147=COLUMNS($A147:E"&amp;"166), E146&amp;RIGHT(INDIRECT(ADDRESS(ROW(E147)-1, 'From Order'!$A147)), 1), E146))"),"GPBSGDJMFT")</f>
        <v>GPBSGDJMFT</v>
      </c>
      <c r="F147" s="2" t="str">
        <f>IFERROR(__xludf.DUMMYFUNCTION("IF('From Order'!$A147=COLUMNS($A147:F166), LEFT(INDEX(FILTER(F$1:F146, F$1:F146&lt;&gt;""""),COUNTA(FILTER(F$1:F146, F$1:F146&lt;&gt;""""))), LEN(INDEX(FILTER(F$1:F146, F$1:F146&lt;&gt;""""),COUNTA(FILTER(F$1:F146, F$1:F146&lt;&gt;""""))))-1), IF('To Order'!$A147=COLUMNS($A147:F"&amp;"166), F146&amp;RIGHT(INDIRECT(ADDRESS(ROW(F147)-1, 'From Order'!$A147)), 1), F146))"),"FBJLWRZT")</f>
        <v>FBJLWRZT</v>
      </c>
      <c r="G147" s="2" t="str">
        <f>IFERROR(__xludf.DUMMYFUNCTION("IF('From Order'!$A147=COLUMNS($A147:G166), LEFT(INDEX(FILTER(G$1:G146, G$1:G146&lt;&gt;""""),COUNTA(FILTER(G$1:G146, G$1:G146&lt;&gt;""""))), LEN(INDEX(FILTER(G$1:G146, G$1:G146&lt;&gt;""""),COUNTA(FILTER(G$1:G146, G$1:G146&lt;&gt;""""))))-1), IF('To Order'!$A147=COLUMNS($A147:G"&amp;"166), G146&amp;RIGHT(INDIRECT(ADDRESS(ROW(G147)-1, 'From Order'!$A147)), 1), G146))"),"L")</f>
        <v>L</v>
      </c>
      <c r="H147" s="2" t="str">
        <f>IFERROR(__xludf.DUMMYFUNCTION("IF('From Order'!$A147=COLUMNS($A147:H166), LEFT(INDEX(FILTER(H$1:H146, H$1:H146&lt;&gt;""""),COUNTA(FILTER(H$1:H146, H$1:H146&lt;&gt;""""))), LEN(INDEX(FILTER(H$1:H146, H$1:H146&lt;&gt;""""),COUNTA(FILTER(H$1:H146, H$1:H146&lt;&gt;""""))))-1), IF('To Order'!$A147=COLUMNS($A147:H"&amp;"166), H146&amp;RIGHT(INDIRECT(ADDRESS(ROW(H147)-1, 'From Order'!$A147)), 1), H146))"),"TR")</f>
        <v>TR</v>
      </c>
      <c r="I147" s="2" t="str">
        <f>IFERROR(__xludf.DUMMYFUNCTION("IF('From Order'!$A147=COLUMNS($A147:I166), LEFT(INDEX(FILTER(I$1:I146, I$1:I146&lt;&gt;""""),COUNTA(FILTER(I$1:I146, I$1:I146&lt;&gt;""""))), LEN(INDEX(FILTER(I$1:I146, I$1:I146&lt;&gt;""""),COUNTA(FILTER(I$1:I146, I$1:I146&lt;&gt;""""))))-1), IF('To Order'!$A147=COLUMNS($A147:I"&amp;"166), I146&amp;RIGHT(INDIRECT(ADDRESS(ROW(I147)-1, 'From Order'!$A147)), 1), I146))"),"")</f>
        <v/>
      </c>
    </row>
    <row r="148">
      <c r="A148" s="2" t="str">
        <f>IFERROR(__xludf.DUMMYFUNCTION("IF('From Order'!$A148=COLUMNS($A148:A167), LEFT(INDEX(FILTER(A$1:A147, A$1:A147&lt;&gt;""""),COUNTA(FILTER(A$1:A147, A$1:A147&lt;&gt;""""))), LEN(INDEX(FILTER(A$1:A147, A$1:A147&lt;&gt;""""),COUNTA(FILTER(A$1:A147, A$1:A147&lt;&gt;""""))))-1), IF('To Order'!$A148=COLUMNS($A148:A"&amp;"167), A147&amp;RIGHT(INDIRECT(ADDRESS(ROW(A148)-1, 'From Order'!$A148)), 1), A147))"),"BRJZHTDCQM")</f>
        <v>BRJZHTDCQM</v>
      </c>
      <c r="B148" s="2" t="str">
        <f>IFERROR(__xludf.DUMMYFUNCTION("IF('From Order'!$A148=COLUMNS($A148:B167), LEFT(INDEX(FILTER(B$1:B147, B$1:B147&lt;&gt;""""),COUNTA(FILTER(B$1:B147, B$1:B147&lt;&gt;""""))), LEN(INDEX(FILTER(B$1:B147, B$1:B147&lt;&gt;""""),COUNTA(FILTER(B$1:B147, B$1:B147&lt;&gt;""""))))-1), IF('To Order'!$A148=COLUMNS($A148:B"&amp;"167), B147&amp;RIGHT(INDIRECT(ADDRESS(ROW(B148)-1, 'From Order'!$A148)), 1), B147))"),"SW")</f>
        <v>SW</v>
      </c>
      <c r="C148" s="2" t="str">
        <f>IFERROR(__xludf.DUMMYFUNCTION("IF('From Order'!$A148=COLUMNS($A148:C167), LEFT(INDEX(FILTER(C$1:C147, C$1:C147&lt;&gt;""""),COUNTA(FILTER(C$1:C147, C$1:C147&lt;&gt;""""))), LEN(INDEX(FILTER(C$1:C147, C$1:C147&lt;&gt;""""),COUNTA(FILTER(C$1:C147, C$1:C147&lt;&gt;""""))))-1), IF('To Order'!$A148=COLUMNS($A148:C"&amp;"167), C147&amp;RIGHT(INDIRECT(ADDRESS(ROW(C148)-1, 'From Order'!$A148)), 1), C147))"),"VT")</f>
        <v>VT</v>
      </c>
      <c r="D148" s="2" t="str">
        <f>IFERROR(__xludf.DUMMYFUNCTION("IF('From Order'!$A148=COLUMNS($A148:D167), LEFT(INDEX(FILTER(D$1:D147, D$1:D147&lt;&gt;""""),COUNTA(FILTER(D$1:D147, D$1:D147&lt;&gt;""""))), LEN(INDEX(FILTER(D$1:D147, D$1:D147&lt;&gt;""""),COUNTA(FILTER(D$1:D147, D$1:D147&lt;&gt;""""))))-1), IF('To Order'!$A148=COLUMNS($A148:D"&amp;"167), D147&amp;RIGHT(INDIRECT(ADDRESS(ROW(D148)-1, 'From Order'!$A148)), 1), D147))"),"DTCHSPVMZDDTLCBRQPDSVR")</f>
        <v>DTCHSPVMZDDTLCBRQPDSVR</v>
      </c>
      <c r="E148" s="2" t="str">
        <f>IFERROR(__xludf.DUMMYFUNCTION("IF('From Order'!$A148=COLUMNS($A148:E167), LEFT(INDEX(FILTER(E$1:E147, E$1:E147&lt;&gt;""""),COUNTA(FILTER(E$1:E147, E$1:E147&lt;&gt;""""))), LEN(INDEX(FILTER(E$1:E147, E$1:E147&lt;&gt;""""),COUNTA(FILTER(E$1:E147, E$1:E147&lt;&gt;""""))))-1), IF('To Order'!$A148=COLUMNS($A148:E"&amp;"167), E147&amp;RIGHT(INDIRECT(ADDRESS(ROW(E148)-1, 'From Order'!$A148)), 1), E147))"),"GPBSGDJMFT")</f>
        <v>GPBSGDJMFT</v>
      </c>
      <c r="F148" s="2" t="str">
        <f>IFERROR(__xludf.DUMMYFUNCTION("IF('From Order'!$A148=COLUMNS($A148:F167), LEFT(INDEX(FILTER(F$1:F147, F$1:F147&lt;&gt;""""),COUNTA(FILTER(F$1:F147, F$1:F147&lt;&gt;""""))), LEN(INDEX(FILTER(F$1:F147, F$1:F147&lt;&gt;""""),COUNTA(FILTER(F$1:F147, F$1:F147&lt;&gt;""""))))-1), IF('To Order'!$A148=COLUMNS($A148:F"&amp;"167), F147&amp;RIGHT(INDIRECT(ADDRESS(ROW(F148)-1, 'From Order'!$A148)), 1), F147))"),"FBJLWRZ")</f>
        <v>FBJLWRZ</v>
      </c>
      <c r="G148" s="2" t="str">
        <f>IFERROR(__xludf.DUMMYFUNCTION("IF('From Order'!$A148=COLUMNS($A148:G167), LEFT(INDEX(FILTER(G$1:G147, G$1:G147&lt;&gt;""""),COUNTA(FILTER(G$1:G147, G$1:G147&lt;&gt;""""))), LEN(INDEX(FILTER(G$1:G147, G$1:G147&lt;&gt;""""),COUNTA(FILTER(G$1:G147, G$1:G147&lt;&gt;""""))))-1), IF('To Order'!$A148=COLUMNS($A148:G"&amp;"167), G147&amp;RIGHT(INDIRECT(ADDRESS(ROW(G148)-1, 'From Order'!$A148)), 1), G147))"),"L")</f>
        <v>L</v>
      </c>
      <c r="H148" s="2" t="str">
        <f>IFERROR(__xludf.DUMMYFUNCTION("IF('From Order'!$A148=COLUMNS($A148:H167), LEFT(INDEX(FILTER(H$1:H147, H$1:H147&lt;&gt;""""),COUNTA(FILTER(H$1:H147, H$1:H147&lt;&gt;""""))), LEN(INDEX(FILTER(H$1:H147, H$1:H147&lt;&gt;""""),COUNTA(FILTER(H$1:H147, H$1:H147&lt;&gt;""""))))-1), IF('To Order'!$A148=COLUMNS($A148:H"&amp;"167), H147&amp;RIGHT(INDIRECT(ADDRESS(ROW(H148)-1, 'From Order'!$A148)), 1), H147))"),"TR")</f>
        <v>TR</v>
      </c>
      <c r="I148" s="2" t="str">
        <f>IFERROR(__xludf.DUMMYFUNCTION("IF('From Order'!$A148=COLUMNS($A148:I167), LEFT(INDEX(FILTER(I$1:I147, I$1:I147&lt;&gt;""""),COUNTA(FILTER(I$1:I147, I$1:I147&lt;&gt;""""))), LEN(INDEX(FILTER(I$1:I147, I$1:I147&lt;&gt;""""),COUNTA(FILTER(I$1:I147, I$1:I147&lt;&gt;""""))))-1), IF('To Order'!$A148=COLUMNS($A148:I"&amp;"167), I147&amp;RIGHT(INDIRECT(ADDRESS(ROW(I148)-1, 'From Order'!$A148)), 1), I147))"),"")</f>
        <v/>
      </c>
    </row>
    <row r="149">
      <c r="A149" s="2" t="str">
        <f>IFERROR(__xludf.DUMMYFUNCTION("IF('From Order'!$A149=COLUMNS($A149:A168), LEFT(INDEX(FILTER(A$1:A148, A$1:A148&lt;&gt;""""),COUNTA(FILTER(A$1:A148, A$1:A148&lt;&gt;""""))), LEN(INDEX(FILTER(A$1:A148, A$1:A148&lt;&gt;""""),COUNTA(FILTER(A$1:A148, A$1:A148&lt;&gt;""""))))-1), IF('To Order'!$A149=COLUMNS($A149:A"&amp;"168), A148&amp;RIGHT(INDIRECT(ADDRESS(ROW(A149)-1, 'From Order'!$A149)), 1), A148))"),"BRJZHTDCQM")</f>
        <v>BRJZHTDCQM</v>
      </c>
      <c r="B149" s="2" t="str">
        <f>IFERROR(__xludf.DUMMYFUNCTION("IF('From Order'!$A149=COLUMNS($A149:B168), LEFT(INDEX(FILTER(B$1:B148, B$1:B148&lt;&gt;""""),COUNTA(FILTER(B$1:B148, B$1:B148&lt;&gt;""""))), LEN(INDEX(FILTER(B$1:B148, B$1:B148&lt;&gt;""""),COUNTA(FILTER(B$1:B148, B$1:B148&lt;&gt;""""))))-1), IF('To Order'!$A149=COLUMNS($A149:B"&amp;"168), B148&amp;RIGHT(INDIRECT(ADDRESS(ROW(B149)-1, 'From Order'!$A149)), 1), B148))"),"SW")</f>
        <v>SW</v>
      </c>
      <c r="C149" s="2" t="str">
        <f>IFERROR(__xludf.DUMMYFUNCTION("IF('From Order'!$A149=COLUMNS($A149:C168), LEFT(INDEX(FILTER(C$1:C148, C$1:C148&lt;&gt;""""),COUNTA(FILTER(C$1:C148, C$1:C148&lt;&gt;""""))), LEN(INDEX(FILTER(C$1:C148, C$1:C148&lt;&gt;""""),COUNTA(FILTER(C$1:C148, C$1:C148&lt;&gt;""""))))-1), IF('To Order'!$A149=COLUMNS($A149:C"&amp;"168), C148&amp;RIGHT(INDIRECT(ADDRESS(ROW(C149)-1, 'From Order'!$A149)), 1), C148))"),"VTZ")</f>
        <v>VTZ</v>
      </c>
      <c r="D149" s="2" t="str">
        <f>IFERROR(__xludf.DUMMYFUNCTION("IF('From Order'!$A149=COLUMNS($A149:D168), LEFT(INDEX(FILTER(D$1:D148, D$1:D148&lt;&gt;""""),COUNTA(FILTER(D$1:D148, D$1:D148&lt;&gt;""""))), LEN(INDEX(FILTER(D$1:D148, D$1:D148&lt;&gt;""""),COUNTA(FILTER(D$1:D148, D$1:D148&lt;&gt;""""))))-1), IF('To Order'!$A149=COLUMNS($A149:D"&amp;"168), D148&amp;RIGHT(INDIRECT(ADDRESS(ROW(D149)-1, 'From Order'!$A149)), 1), D148))"),"DTCHSPVMZDDTLCBRQPDSVR")</f>
        <v>DTCHSPVMZDDTLCBRQPDSVR</v>
      </c>
      <c r="E149" s="2" t="str">
        <f>IFERROR(__xludf.DUMMYFUNCTION("IF('From Order'!$A149=COLUMNS($A149:E168), LEFT(INDEX(FILTER(E$1:E148, E$1:E148&lt;&gt;""""),COUNTA(FILTER(E$1:E148, E$1:E148&lt;&gt;""""))), LEN(INDEX(FILTER(E$1:E148, E$1:E148&lt;&gt;""""),COUNTA(FILTER(E$1:E148, E$1:E148&lt;&gt;""""))))-1), IF('To Order'!$A149=COLUMNS($A149:E"&amp;"168), E148&amp;RIGHT(INDIRECT(ADDRESS(ROW(E149)-1, 'From Order'!$A149)), 1), E148))"),"GPBSGDJMFT")</f>
        <v>GPBSGDJMFT</v>
      </c>
      <c r="F149" s="2" t="str">
        <f>IFERROR(__xludf.DUMMYFUNCTION("IF('From Order'!$A149=COLUMNS($A149:F168), LEFT(INDEX(FILTER(F$1:F148, F$1:F148&lt;&gt;""""),COUNTA(FILTER(F$1:F148, F$1:F148&lt;&gt;""""))), LEN(INDEX(FILTER(F$1:F148, F$1:F148&lt;&gt;""""),COUNTA(FILTER(F$1:F148, F$1:F148&lt;&gt;""""))))-1), IF('To Order'!$A149=COLUMNS($A149:F"&amp;"168), F148&amp;RIGHT(INDIRECT(ADDRESS(ROW(F149)-1, 'From Order'!$A149)), 1), F148))"),"FBJLWR")</f>
        <v>FBJLWR</v>
      </c>
      <c r="G149" s="2" t="str">
        <f>IFERROR(__xludf.DUMMYFUNCTION("IF('From Order'!$A149=COLUMNS($A149:G168), LEFT(INDEX(FILTER(G$1:G148, G$1:G148&lt;&gt;""""),COUNTA(FILTER(G$1:G148, G$1:G148&lt;&gt;""""))), LEN(INDEX(FILTER(G$1:G148, G$1:G148&lt;&gt;""""),COUNTA(FILTER(G$1:G148, G$1:G148&lt;&gt;""""))))-1), IF('To Order'!$A149=COLUMNS($A149:G"&amp;"168), G148&amp;RIGHT(INDIRECT(ADDRESS(ROW(G149)-1, 'From Order'!$A149)), 1), G148))"),"L")</f>
        <v>L</v>
      </c>
      <c r="H149" s="2" t="str">
        <f>IFERROR(__xludf.DUMMYFUNCTION("IF('From Order'!$A149=COLUMNS($A149:H168), LEFT(INDEX(FILTER(H$1:H148, H$1:H148&lt;&gt;""""),COUNTA(FILTER(H$1:H148, H$1:H148&lt;&gt;""""))), LEN(INDEX(FILTER(H$1:H148, H$1:H148&lt;&gt;""""),COUNTA(FILTER(H$1:H148, H$1:H148&lt;&gt;""""))))-1), IF('To Order'!$A149=COLUMNS($A149:H"&amp;"168), H148&amp;RIGHT(INDIRECT(ADDRESS(ROW(H149)-1, 'From Order'!$A149)), 1), H148))"),"TR")</f>
        <v>TR</v>
      </c>
      <c r="I149" s="2" t="str">
        <f>IFERROR(__xludf.DUMMYFUNCTION("IF('From Order'!$A149=COLUMNS($A149:I168), LEFT(INDEX(FILTER(I$1:I148, I$1:I148&lt;&gt;""""),COUNTA(FILTER(I$1:I148, I$1:I148&lt;&gt;""""))), LEN(INDEX(FILTER(I$1:I148, I$1:I148&lt;&gt;""""),COUNTA(FILTER(I$1:I148, I$1:I148&lt;&gt;""""))))-1), IF('To Order'!$A149=COLUMNS($A149:I"&amp;"168), I148&amp;RIGHT(INDIRECT(ADDRESS(ROW(I149)-1, 'From Order'!$A149)), 1), I148))"),"")</f>
        <v/>
      </c>
    </row>
    <row r="150">
      <c r="A150" s="2" t="str">
        <f>IFERROR(__xludf.DUMMYFUNCTION("IF('From Order'!$A150=COLUMNS($A150:A169), LEFT(INDEX(FILTER(A$1:A149, A$1:A149&lt;&gt;""""),COUNTA(FILTER(A$1:A149, A$1:A149&lt;&gt;""""))), LEN(INDEX(FILTER(A$1:A149, A$1:A149&lt;&gt;""""),COUNTA(FILTER(A$1:A149, A$1:A149&lt;&gt;""""))))-1), IF('To Order'!$A150=COLUMNS($A150:A"&amp;"169), A149&amp;RIGHT(INDIRECT(ADDRESS(ROW(A150)-1, 'From Order'!$A150)), 1), A149))"),"BRJZHTDCQM")</f>
        <v>BRJZHTDCQM</v>
      </c>
      <c r="B150" s="2" t="str">
        <f>IFERROR(__xludf.DUMMYFUNCTION("IF('From Order'!$A150=COLUMNS($A150:B169), LEFT(INDEX(FILTER(B$1:B149, B$1:B149&lt;&gt;""""),COUNTA(FILTER(B$1:B149, B$1:B149&lt;&gt;""""))), LEN(INDEX(FILTER(B$1:B149, B$1:B149&lt;&gt;""""),COUNTA(FILTER(B$1:B149, B$1:B149&lt;&gt;""""))))-1), IF('To Order'!$A150=COLUMNS($A150:B"&amp;"169), B149&amp;RIGHT(INDIRECT(ADDRESS(ROW(B150)-1, 'From Order'!$A150)), 1), B149))"),"SW")</f>
        <v>SW</v>
      </c>
      <c r="C150" s="2" t="str">
        <f>IFERROR(__xludf.DUMMYFUNCTION("IF('From Order'!$A150=COLUMNS($A150:C169), LEFT(INDEX(FILTER(C$1:C149, C$1:C149&lt;&gt;""""),COUNTA(FILTER(C$1:C149, C$1:C149&lt;&gt;""""))), LEN(INDEX(FILTER(C$1:C149, C$1:C149&lt;&gt;""""),COUNTA(FILTER(C$1:C149, C$1:C149&lt;&gt;""""))))-1), IF('To Order'!$A150=COLUMNS($A150:C"&amp;"169), C149&amp;RIGHT(INDIRECT(ADDRESS(ROW(C150)-1, 'From Order'!$A150)), 1), C149))"),"VTZR")</f>
        <v>VTZR</v>
      </c>
      <c r="D150" s="2" t="str">
        <f>IFERROR(__xludf.DUMMYFUNCTION("IF('From Order'!$A150=COLUMNS($A150:D169), LEFT(INDEX(FILTER(D$1:D149, D$1:D149&lt;&gt;""""),COUNTA(FILTER(D$1:D149, D$1:D149&lt;&gt;""""))), LEN(INDEX(FILTER(D$1:D149, D$1:D149&lt;&gt;""""),COUNTA(FILTER(D$1:D149, D$1:D149&lt;&gt;""""))))-1), IF('To Order'!$A150=COLUMNS($A150:D"&amp;"169), D149&amp;RIGHT(INDIRECT(ADDRESS(ROW(D150)-1, 'From Order'!$A150)), 1), D149))"),"DTCHSPVMZDDTLCBRQPDSVR")</f>
        <v>DTCHSPVMZDDTLCBRQPDSVR</v>
      </c>
      <c r="E150" s="2" t="str">
        <f>IFERROR(__xludf.DUMMYFUNCTION("IF('From Order'!$A150=COLUMNS($A150:E169), LEFT(INDEX(FILTER(E$1:E149, E$1:E149&lt;&gt;""""),COUNTA(FILTER(E$1:E149, E$1:E149&lt;&gt;""""))), LEN(INDEX(FILTER(E$1:E149, E$1:E149&lt;&gt;""""),COUNTA(FILTER(E$1:E149, E$1:E149&lt;&gt;""""))))-1), IF('To Order'!$A150=COLUMNS($A150:E"&amp;"169), E149&amp;RIGHT(INDIRECT(ADDRESS(ROW(E150)-1, 'From Order'!$A150)), 1), E149))"),"GPBSGDJMFT")</f>
        <v>GPBSGDJMFT</v>
      </c>
      <c r="F150" s="2" t="str">
        <f>IFERROR(__xludf.DUMMYFUNCTION("IF('From Order'!$A150=COLUMNS($A150:F169), LEFT(INDEX(FILTER(F$1:F149, F$1:F149&lt;&gt;""""),COUNTA(FILTER(F$1:F149, F$1:F149&lt;&gt;""""))), LEN(INDEX(FILTER(F$1:F149, F$1:F149&lt;&gt;""""),COUNTA(FILTER(F$1:F149, F$1:F149&lt;&gt;""""))))-1), IF('To Order'!$A150=COLUMNS($A150:F"&amp;"169), F149&amp;RIGHT(INDIRECT(ADDRESS(ROW(F150)-1, 'From Order'!$A150)), 1), F149))"),"FBJLW")</f>
        <v>FBJLW</v>
      </c>
      <c r="G150" s="2" t="str">
        <f>IFERROR(__xludf.DUMMYFUNCTION("IF('From Order'!$A150=COLUMNS($A150:G169), LEFT(INDEX(FILTER(G$1:G149, G$1:G149&lt;&gt;""""),COUNTA(FILTER(G$1:G149, G$1:G149&lt;&gt;""""))), LEN(INDEX(FILTER(G$1:G149, G$1:G149&lt;&gt;""""),COUNTA(FILTER(G$1:G149, G$1:G149&lt;&gt;""""))))-1), IF('To Order'!$A150=COLUMNS($A150:G"&amp;"169), G149&amp;RIGHT(INDIRECT(ADDRESS(ROW(G150)-1, 'From Order'!$A150)), 1), G149))"),"L")</f>
        <v>L</v>
      </c>
      <c r="H150" s="2" t="str">
        <f>IFERROR(__xludf.DUMMYFUNCTION("IF('From Order'!$A150=COLUMNS($A150:H169), LEFT(INDEX(FILTER(H$1:H149, H$1:H149&lt;&gt;""""),COUNTA(FILTER(H$1:H149, H$1:H149&lt;&gt;""""))), LEN(INDEX(FILTER(H$1:H149, H$1:H149&lt;&gt;""""),COUNTA(FILTER(H$1:H149, H$1:H149&lt;&gt;""""))))-1), IF('To Order'!$A150=COLUMNS($A150:H"&amp;"169), H149&amp;RIGHT(INDIRECT(ADDRESS(ROW(H150)-1, 'From Order'!$A150)), 1), H149))"),"TR")</f>
        <v>TR</v>
      </c>
      <c r="I150" s="2" t="str">
        <f>IFERROR(__xludf.DUMMYFUNCTION("IF('From Order'!$A150=COLUMNS($A150:I169), LEFT(INDEX(FILTER(I$1:I149, I$1:I149&lt;&gt;""""),COUNTA(FILTER(I$1:I149, I$1:I149&lt;&gt;""""))), LEN(INDEX(FILTER(I$1:I149, I$1:I149&lt;&gt;""""),COUNTA(FILTER(I$1:I149, I$1:I149&lt;&gt;""""))))-1), IF('To Order'!$A150=COLUMNS($A150:I"&amp;"169), I149&amp;RIGHT(INDIRECT(ADDRESS(ROW(I150)-1, 'From Order'!$A150)), 1), I149))"),"")</f>
        <v/>
      </c>
    </row>
    <row r="151">
      <c r="A151" s="2" t="str">
        <f>IFERROR(__xludf.DUMMYFUNCTION("IF('From Order'!$A151=COLUMNS($A151:A170), LEFT(INDEX(FILTER(A$1:A150, A$1:A150&lt;&gt;""""),COUNTA(FILTER(A$1:A150, A$1:A150&lt;&gt;""""))), LEN(INDEX(FILTER(A$1:A150, A$1:A150&lt;&gt;""""),COUNTA(FILTER(A$1:A150, A$1:A150&lt;&gt;""""))))-1), IF('To Order'!$A151=COLUMNS($A151:A"&amp;"170), A150&amp;RIGHT(INDIRECT(ADDRESS(ROW(A151)-1, 'From Order'!$A151)), 1), A150))"),"BRJZHTDCQM")</f>
        <v>BRJZHTDCQM</v>
      </c>
      <c r="B151" s="2" t="str">
        <f>IFERROR(__xludf.DUMMYFUNCTION("IF('From Order'!$A151=COLUMNS($A151:B170), LEFT(INDEX(FILTER(B$1:B150, B$1:B150&lt;&gt;""""),COUNTA(FILTER(B$1:B150, B$1:B150&lt;&gt;""""))), LEN(INDEX(FILTER(B$1:B150, B$1:B150&lt;&gt;""""),COUNTA(FILTER(B$1:B150, B$1:B150&lt;&gt;""""))))-1), IF('To Order'!$A151=COLUMNS($A151:B"&amp;"170), B150&amp;RIGHT(INDIRECT(ADDRESS(ROW(B151)-1, 'From Order'!$A151)), 1), B150))"),"SW")</f>
        <v>SW</v>
      </c>
      <c r="C151" s="2" t="str">
        <f>IFERROR(__xludf.DUMMYFUNCTION("IF('From Order'!$A151=COLUMNS($A151:C170), LEFT(INDEX(FILTER(C$1:C150, C$1:C150&lt;&gt;""""),COUNTA(FILTER(C$1:C150, C$1:C150&lt;&gt;""""))), LEN(INDEX(FILTER(C$1:C150, C$1:C150&lt;&gt;""""),COUNTA(FILTER(C$1:C150, C$1:C150&lt;&gt;""""))))-1), IF('To Order'!$A151=COLUMNS($A151:C"&amp;"170), C150&amp;RIGHT(INDIRECT(ADDRESS(ROW(C151)-1, 'From Order'!$A151)), 1), C150))"),"VTZRW")</f>
        <v>VTZRW</v>
      </c>
      <c r="D151" s="2" t="str">
        <f>IFERROR(__xludf.DUMMYFUNCTION("IF('From Order'!$A151=COLUMNS($A151:D170), LEFT(INDEX(FILTER(D$1:D150, D$1:D150&lt;&gt;""""),COUNTA(FILTER(D$1:D150, D$1:D150&lt;&gt;""""))), LEN(INDEX(FILTER(D$1:D150, D$1:D150&lt;&gt;""""),COUNTA(FILTER(D$1:D150, D$1:D150&lt;&gt;""""))))-1), IF('To Order'!$A151=COLUMNS($A151:D"&amp;"170), D150&amp;RIGHT(INDIRECT(ADDRESS(ROW(D151)-1, 'From Order'!$A151)), 1), D150))"),"DTCHSPVMZDDTLCBRQPDSVR")</f>
        <v>DTCHSPVMZDDTLCBRQPDSVR</v>
      </c>
      <c r="E151" s="2" t="str">
        <f>IFERROR(__xludf.DUMMYFUNCTION("IF('From Order'!$A151=COLUMNS($A151:E170), LEFT(INDEX(FILTER(E$1:E150, E$1:E150&lt;&gt;""""),COUNTA(FILTER(E$1:E150, E$1:E150&lt;&gt;""""))), LEN(INDEX(FILTER(E$1:E150, E$1:E150&lt;&gt;""""),COUNTA(FILTER(E$1:E150, E$1:E150&lt;&gt;""""))))-1), IF('To Order'!$A151=COLUMNS($A151:E"&amp;"170), E150&amp;RIGHT(INDIRECT(ADDRESS(ROW(E151)-1, 'From Order'!$A151)), 1), E150))"),"GPBSGDJMFT")</f>
        <v>GPBSGDJMFT</v>
      </c>
      <c r="F151" s="2" t="str">
        <f>IFERROR(__xludf.DUMMYFUNCTION("IF('From Order'!$A151=COLUMNS($A151:F170), LEFT(INDEX(FILTER(F$1:F150, F$1:F150&lt;&gt;""""),COUNTA(FILTER(F$1:F150, F$1:F150&lt;&gt;""""))), LEN(INDEX(FILTER(F$1:F150, F$1:F150&lt;&gt;""""),COUNTA(FILTER(F$1:F150, F$1:F150&lt;&gt;""""))))-1), IF('To Order'!$A151=COLUMNS($A151:F"&amp;"170), F150&amp;RIGHT(INDIRECT(ADDRESS(ROW(F151)-1, 'From Order'!$A151)), 1), F150))"),"FBJL")</f>
        <v>FBJL</v>
      </c>
      <c r="G151" s="2" t="str">
        <f>IFERROR(__xludf.DUMMYFUNCTION("IF('From Order'!$A151=COLUMNS($A151:G170), LEFT(INDEX(FILTER(G$1:G150, G$1:G150&lt;&gt;""""),COUNTA(FILTER(G$1:G150, G$1:G150&lt;&gt;""""))), LEN(INDEX(FILTER(G$1:G150, G$1:G150&lt;&gt;""""),COUNTA(FILTER(G$1:G150, G$1:G150&lt;&gt;""""))))-1), IF('To Order'!$A151=COLUMNS($A151:G"&amp;"170), G150&amp;RIGHT(INDIRECT(ADDRESS(ROW(G151)-1, 'From Order'!$A151)), 1), G150))"),"L")</f>
        <v>L</v>
      </c>
      <c r="H151" s="2" t="str">
        <f>IFERROR(__xludf.DUMMYFUNCTION("IF('From Order'!$A151=COLUMNS($A151:H170), LEFT(INDEX(FILTER(H$1:H150, H$1:H150&lt;&gt;""""),COUNTA(FILTER(H$1:H150, H$1:H150&lt;&gt;""""))), LEN(INDEX(FILTER(H$1:H150, H$1:H150&lt;&gt;""""),COUNTA(FILTER(H$1:H150, H$1:H150&lt;&gt;""""))))-1), IF('To Order'!$A151=COLUMNS($A151:H"&amp;"170), H150&amp;RIGHT(INDIRECT(ADDRESS(ROW(H151)-1, 'From Order'!$A151)), 1), H150))"),"TR")</f>
        <v>TR</v>
      </c>
      <c r="I151" s="2" t="str">
        <f>IFERROR(__xludf.DUMMYFUNCTION("IF('From Order'!$A151=COLUMNS($A151:I170), LEFT(INDEX(FILTER(I$1:I150, I$1:I150&lt;&gt;""""),COUNTA(FILTER(I$1:I150, I$1:I150&lt;&gt;""""))), LEN(INDEX(FILTER(I$1:I150, I$1:I150&lt;&gt;""""),COUNTA(FILTER(I$1:I150, I$1:I150&lt;&gt;""""))))-1), IF('To Order'!$A151=COLUMNS($A151:I"&amp;"170), I150&amp;RIGHT(INDIRECT(ADDRESS(ROW(I151)-1, 'From Order'!$A151)), 1), I150))"),"")</f>
        <v/>
      </c>
    </row>
    <row r="152">
      <c r="A152" s="2" t="str">
        <f>IFERROR(__xludf.DUMMYFUNCTION("IF('From Order'!$A152=COLUMNS($A152:A171), LEFT(INDEX(FILTER(A$1:A151, A$1:A151&lt;&gt;""""),COUNTA(FILTER(A$1:A151, A$1:A151&lt;&gt;""""))), LEN(INDEX(FILTER(A$1:A151, A$1:A151&lt;&gt;""""),COUNTA(FILTER(A$1:A151, A$1:A151&lt;&gt;""""))))-1), IF('To Order'!$A152=COLUMNS($A152:A"&amp;"171), A151&amp;RIGHT(INDIRECT(ADDRESS(ROW(A152)-1, 'From Order'!$A152)), 1), A151))"),"BRJZHTDCQM")</f>
        <v>BRJZHTDCQM</v>
      </c>
      <c r="B152" s="2" t="str">
        <f>IFERROR(__xludf.DUMMYFUNCTION("IF('From Order'!$A152=COLUMNS($A152:B171), LEFT(INDEX(FILTER(B$1:B151, B$1:B151&lt;&gt;""""),COUNTA(FILTER(B$1:B151, B$1:B151&lt;&gt;""""))), LEN(INDEX(FILTER(B$1:B151, B$1:B151&lt;&gt;""""),COUNTA(FILTER(B$1:B151, B$1:B151&lt;&gt;""""))))-1), IF('To Order'!$A152=COLUMNS($A152:B"&amp;"171), B151&amp;RIGHT(INDIRECT(ADDRESS(ROW(B152)-1, 'From Order'!$A152)), 1), B151))"),"SW")</f>
        <v>SW</v>
      </c>
      <c r="C152" s="2" t="str">
        <f>IFERROR(__xludf.DUMMYFUNCTION("IF('From Order'!$A152=COLUMNS($A152:C171), LEFT(INDEX(FILTER(C$1:C151, C$1:C151&lt;&gt;""""),COUNTA(FILTER(C$1:C151, C$1:C151&lt;&gt;""""))), LEN(INDEX(FILTER(C$1:C151, C$1:C151&lt;&gt;""""),COUNTA(FILTER(C$1:C151, C$1:C151&lt;&gt;""""))))-1), IF('To Order'!$A152=COLUMNS($A152:C"&amp;"171), C151&amp;RIGHT(INDIRECT(ADDRESS(ROW(C152)-1, 'From Order'!$A152)), 1), C151))"),"VTZRW")</f>
        <v>VTZRW</v>
      </c>
      <c r="D152" s="2" t="str">
        <f>IFERROR(__xludf.DUMMYFUNCTION("IF('From Order'!$A152=COLUMNS($A152:D171), LEFT(INDEX(FILTER(D$1:D151, D$1:D151&lt;&gt;""""),COUNTA(FILTER(D$1:D151, D$1:D151&lt;&gt;""""))), LEN(INDEX(FILTER(D$1:D151, D$1:D151&lt;&gt;""""),COUNTA(FILTER(D$1:D151, D$1:D151&lt;&gt;""""))))-1), IF('To Order'!$A152=COLUMNS($A152:D"&amp;"171), D151&amp;RIGHT(INDIRECT(ADDRESS(ROW(D152)-1, 'From Order'!$A152)), 1), D151))"),"DTCHSPVMZDDTLCBRQPDSVR")</f>
        <v>DTCHSPVMZDDTLCBRQPDSVR</v>
      </c>
      <c r="E152" s="2" t="str">
        <f>IFERROR(__xludf.DUMMYFUNCTION("IF('From Order'!$A152=COLUMNS($A152:E171), LEFT(INDEX(FILTER(E$1:E151, E$1:E151&lt;&gt;""""),COUNTA(FILTER(E$1:E151, E$1:E151&lt;&gt;""""))), LEN(INDEX(FILTER(E$1:E151, E$1:E151&lt;&gt;""""),COUNTA(FILTER(E$1:E151, E$1:E151&lt;&gt;""""))))-1), IF('To Order'!$A152=COLUMNS($A152:E"&amp;"171), E151&amp;RIGHT(INDIRECT(ADDRESS(ROW(E152)-1, 'From Order'!$A152)), 1), E151))"),"GPBSGDJMFT")</f>
        <v>GPBSGDJMFT</v>
      </c>
      <c r="F152" s="2" t="str">
        <f>IFERROR(__xludf.DUMMYFUNCTION("IF('From Order'!$A152=COLUMNS($A152:F171), LEFT(INDEX(FILTER(F$1:F151, F$1:F151&lt;&gt;""""),COUNTA(FILTER(F$1:F151, F$1:F151&lt;&gt;""""))), LEN(INDEX(FILTER(F$1:F151, F$1:F151&lt;&gt;""""),COUNTA(FILTER(F$1:F151, F$1:F151&lt;&gt;""""))))-1), IF('To Order'!$A152=COLUMNS($A152:F"&amp;"171), F151&amp;RIGHT(INDIRECT(ADDRESS(ROW(F152)-1, 'From Order'!$A152)), 1), F151))"),"FBJLR")</f>
        <v>FBJLR</v>
      </c>
      <c r="G152" s="2" t="str">
        <f>IFERROR(__xludf.DUMMYFUNCTION("IF('From Order'!$A152=COLUMNS($A152:G171), LEFT(INDEX(FILTER(G$1:G151, G$1:G151&lt;&gt;""""),COUNTA(FILTER(G$1:G151, G$1:G151&lt;&gt;""""))), LEN(INDEX(FILTER(G$1:G151, G$1:G151&lt;&gt;""""),COUNTA(FILTER(G$1:G151, G$1:G151&lt;&gt;""""))))-1), IF('To Order'!$A152=COLUMNS($A152:G"&amp;"171), G151&amp;RIGHT(INDIRECT(ADDRESS(ROW(G152)-1, 'From Order'!$A152)), 1), G151))"),"L")</f>
        <v>L</v>
      </c>
      <c r="H152" s="2" t="str">
        <f>IFERROR(__xludf.DUMMYFUNCTION("IF('From Order'!$A152=COLUMNS($A152:H171), LEFT(INDEX(FILTER(H$1:H151, H$1:H151&lt;&gt;""""),COUNTA(FILTER(H$1:H151, H$1:H151&lt;&gt;""""))), LEN(INDEX(FILTER(H$1:H151, H$1:H151&lt;&gt;""""),COUNTA(FILTER(H$1:H151, H$1:H151&lt;&gt;""""))))-1), IF('To Order'!$A152=COLUMNS($A152:H"&amp;"171), H151&amp;RIGHT(INDIRECT(ADDRESS(ROW(H152)-1, 'From Order'!$A152)), 1), H151))"),"T")</f>
        <v>T</v>
      </c>
      <c r="I152" s="2" t="str">
        <f>IFERROR(__xludf.DUMMYFUNCTION("IF('From Order'!$A152=COLUMNS($A152:I171), LEFT(INDEX(FILTER(I$1:I151, I$1:I151&lt;&gt;""""),COUNTA(FILTER(I$1:I151, I$1:I151&lt;&gt;""""))), LEN(INDEX(FILTER(I$1:I151, I$1:I151&lt;&gt;""""),COUNTA(FILTER(I$1:I151, I$1:I151&lt;&gt;""""))))-1), IF('To Order'!$A152=COLUMNS($A152:I"&amp;"171), I151&amp;RIGHT(INDIRECT(ADDRESS(ROW(I152)-1, 'From Order'!$A152)), 1), I151))"),"")</f>
        <v/>
      </c>
    </row>
    <row r="153">
      <c r="A153" s="2" t="str">
        <f>IFERROR(__xludf.DUMMYFUNCTION("IF('From Order'!$A153=COLUMNS($A153:A172), LEFT(INDEX(FILTER(A$1:A152, A$1:A152&lt;&gt;""""),COUNTA(FILTER(A$1:A152, A$1:A152&lt;&gt;""""))), LEN(INDEX(FILTER(A$1:A152, A$1:A152&lt;&gt;""""),COUNTA(FILTER(A$1:A152, A$1:A152&lt;&gt;""""))))-1), IF('To Order'!$A153=COLUMNS($A153:A"&amp;"172), A152&amp;RIGHT(INDIRECT(ADDRESS(ROW(A153)-1, 'From Order'!$A153)), 1), A152))"),"BRJZHTDCQM")</f>
        <v>BRJZHTDCQM</v>
      </c>
      <c r="B153" s="2" t="str">
        <f>IFERROR(__xludf.DUMMYFUNCTION("IF('From Order'!$A153=COLUMNS($A153:B172), LEFT(INDEX(FILTER(B$1:B152, B$1:B152&lt;&gt;""""),COUNTA(FILTER(B$1:B152, B$1:B152&lt;&gt;""""))), LEN(INDEX(FILTER(B$1:B152, B$1:B152&lt;&gt;""""),COUNTA(FILTER(B$1:B152, B$1:B152&lt;&gt;""""))))-1), IF('To Order'!$A153=COLUMNS($A153:B"&amp;"172), B152&amp;RIGHT(INDIRECT(ADDRESS(ROW(B153)-1, 'From Order'!$A153)), 1), B152))"),"SW")</f>
        <v>SW</v>
      </c>
      <c r="C153" s="2" t="str">
        <f>IFERROR(__xludf.DUMMYFUNCTION("IF('From Order'!$A153=COLUMNS($A153:C172), LEFT(INDEX(FILTER(C$1:C152, C$1:C152&lt;&gt;""""),COUNTA(FILTER(C$1:C152, C$1:C152&lt;&gt;""""))), LEN(INDEX(FILTER(C$1:C152, C$1:C152&lt;&gt;""""),COUNTA(FILTER(C$1:C152, C$1:C152&lt;&gt;""""))))-1), IF('To Order'!$A153=COLUMNS($A153:C"&amp;"172), C152&amp;RIGHT(INDIRECT(ADDRESS(ROW(C153)-1, 'From Order'!$A153)), 1), C152))"),"VTZRW")</f>
        <v>VTZRW</v>
      </c>
      <c r="D153" s="2" t="str">
        <f>IFERROR(__xludf.DUMMYFUNCTION("IF('From Order'!$A153=COLUMNS($A153:D172), LEFT(INDEX(FILTER(D$1:D152, D$1:D152&lt;&gt;""""),COUNTA(FILTER(D$1:D152, D$1:D152&lt;&gt;""""))), LEN(INDEX(FILTER(D$1:D152, D$1:D152&lt;&gt;""""),COUNTA(FILTER(D$1:D152, D$1:D152&lt;&gt;""""))))-1), IF('To Order'!$A153=COLUMNS($A153:D"&amp;"172), D152&amp;RIGHT(INDIRECT(ADDRESS(ROW(D153)-1, 'From Order'!$A153)), 1), D152))"),"DTCHSPVMZDDTLCBRQPDSVR")</f>
        <v>DTCHSPVMZDDTLCBRQPDSVR</v>
      </c>
      <c r="E153" s="2" t="str">
        <f>IFERROR(__xludf.DUMMYFUNCTION("IF('From Order'!$A153=COLUMNS($A153:E172), LEFT(INDEX(FILTER(E$1:E152, E$1:E152&lt;&gt;""""),COUNTA(FILTER(E$1:E152, E$1:E152&lt;&gt;""""))), LEN(INDEX(FILTER(E$1:E152, E$1:E152&lt;&gt;""""),COUNTA(FILTER(E$1:E152, E$1:E152&lt;&gt;""""))))-1), IF('To Order'!$A153=COLUMNS($A153:E"&amp;"172), E152&amp;RIGHT(INDIRECT(ADDRESS(ROW(E153)-1, 'From Order'!$A153)), 1), E152))"),"GPBSGDJMFT")</f>
        <v>GPBSGDJMFT</v>
      </c>
      <c r="F153" s="2" t="str">
        <f>IFERROR(__xludf.DUMMYFUNCTION("IF('From Order'!$A153=COLUMNS($A153:F172), LEFT(INDEX(FILTER(F$1:F152, F$1:F152&lt;&gt;""""),COUNTA(FILTER(F$1:F152, F$1:F152&lt;&gt;""""))), LEN(INDEX(FILTER(F$1:F152, F$1:F152&lt;&gt;""""),COUNTA(FILTER(F$1:F152, F$1:F152&lt;&gt;""""))))-1), IF('To Order'!$A153=COLUMNS($A153:F"&amp;"172), F152&amp;RIGHT(INDIRECT(ADDRESS(ROW(F153)-1, 'From Order'!$A153)), 1), F152))"),"FBJLRT")</f>
        <v>FBJLRT</v>
      </c>
      <c r="G153" s="2" t="str">
        <f>IFERROR(__xludf.DUMMYFUNCTION("IF('From Order'!$A153=COLUMNS($A153:G172), LEFT(INDEX(FILTER(G$1:G152, G$1:G152&lt;&gt;""""),COUNTA(FILTER(G$1:G152, G$1:G152&lt;&gt;""""))), LEN(INDEX(FILTER(G$1:G152, G$1:G152&lt;&gt;""""),COUNTA(FILTER(G$1:G152, G$1:G152&lt;&gt;""""))))-1), IF('To Order'!$A153=COLUMNS($A153:G"&amp;"172), G152&amp;RIGHT(INDIRECT(ADDRESS(ROW(G153)-1, 'From Order'!$A153)), 1), G152))"),"L")</f>
        <v>L</v>
      </c>
      <c r="H153" s="2" t="str">
        <f>IFERROR(__xludf.DUMMYFUNCTION("IF('From Order'!$A153=COLUMNS($A153:H172), LEFT(INDEX(FILTER(H$1:H152, H$1:H152&lt;&gt;""""),COUNTA(FILTER(H$1:H152, H$1:H152&lt;&gt;""""))), LEN(INDEX(FILTER(H$1:H152, H$1:H152&lt;&gt;""""),COUNTA(FILTER(H$1:H152, H$1:H152&lt;&gt;""""))))-1), IF('To Order'!$A153=COLUMNS($A153:H"&amp;"172), H152&amp;RIGHT(INDIRECT(ADDRESS(ROW(H153)-1, 'From Order'!$A153)), 1), H152))"),"")</f>
        <v/>
      </c>
      <c r="I153" s="2" t="str">
        <f>IFERROR(__xludf.DUMMYFUNCTION("IF('From Order'!$A153=COLUMNS($A153:I172), LEFT(INDEX(FILTER(I$1:I152, I$1:I152&lt;&gt;""""),COUNTA(FILTER(I$1:I152, I$1:I152&lt;&gt;""""))), LEN(INDEX(FILTER(I$1:I152, I$1:I152&lt;&gt;""""),COUNTA(FILTER(I$1:I152, I$1:I152&lt;&gt;""""))))-1), IF('To Order'!$A153=COLUMNS($A153:I"&amp;"172), I152&amp;RIGHT(INDIRECT(ADDRESS(ROW(I153)-1, 'From Order'!$A153)), 1), I152))"),"")</f>
        <v/>
      </c>
    </row>
    <row r="154">
      <c r="A154" s="2" t="str">
        <f>IFERROR(__xludf.DUMMYFUNCTION("IF('From Order'!$A154=COLUMNS($A154:A173), LEFT(INDEX(FILTER(A$1:A153, A$1:A153&lt;&gt;""""),COUNTA(FILTER(A$1:A153, A$1:A153&lt;&gt;""""))), LEN(INDEX(FILTER(A$1:A153, A$1:A153&lt;&gt;""""),COUNTA(FILTER(A$1:A153, A$1:A153&lt;&gt;""""))))-1), IF('To Order'!$A154=COLUMNS($A154:A"&amp;"173), A153&amp;RIGHT(INDIRECT(ADDRESS(ROW(A154)-1, 'From Order'!$A154)), 1), A153))"),"BRJZHTDCQM")</f>
        <v>BRJZHTDCQM</v>
      </c>
      <c r="B154" s="2" t="str">
        <f>IFERROR(__xludf.DUMMYFUNCTION("IF('From Order'!$A154=COLUMNS($A154:B173), LEFT(INDEX(FILTER(B$1:B153, B$1:B153&lt;&gt;""""),COUNTA(FILTER(B$1:B153, B$1:B153&lt;&gt;""""))), LEN(INDEX(FILTER(B$1:B153, B$1:B153&lt;&gt;""""),COUNTA(FILTER(B$1:B153, B$1:B153&lt;&gt;""""))))-1), IF('To Order'!$A154=COLUMNS($A154:B"&amp;"173), B153&amp;RIGHT(INDIRECT(ADDRESS(ROW(B154)-1, 'From Order'!$A154)), 1), B153))"),"SW")</f>
        <v>SW</v>
      </c>
      <c r="C154" s="2" t="str">
        <f>IFERROR(__xludf.DUMMYFUNCTION("IF('From Order'!$A154=COLUMNS($A154:C173), LEFT(INDEX(FILTER(C$1:C153, C$1:C153&lt;&gt;""""),COUNTA(FILTER(C$1:C153, C$1:C153&lt;&gt;""""))), LEN(INDEX(FILTER(C$1:C153, C$1:C153&lt;&gt;""""),COUNTA(FILTER(C$1:C153, C$1:C153&lt;&gt;""""))))-1), IF('To Order'!$A154=COLUMNS($A154:C"&amp;"173), C153&amp;RIGHT(INDIRECT(ADDRESS(ROW(C154)-1, 'From Order'!$A154)), 1), C153))"),"VTZRW")</f>
        <v>VTZRW</v>
      </c>
      <c r="D154" s="2" t="str">
        <f>IFERROR(__xludf.DUMMYFUNCTION("IF('From Order'!$A154=COLUMNS($A154:D173), LEFT(INDEX(FILTER(D$1:D153, D$1:D153&lt;&gt;""""),COUNTA(FILTER(D$1:D153, D$1:D153&lt;&gt;""""))), LEN(INDEX(FILTER(D$1:D153, D$1:D153&lt;&gt;""""),COUNTA(FILTER(D$1:D153, D$1:D153&lt;&gt;""""))))-1), IF('To Order'!$A154=COLUMNS($A154:D"&amp;"173), D153&amp;RIGHT(INDIRECT(ADDRESS(ROW(D154)-1, 'From Order'!$A154)), 1), D153))"),"DTCHSPVMZDDTLCBRQPDSVR")</f>
        <v>DTCHSPVMZDDTLCBRQPDSVR</v>
      </c>
      <c r="E154" s="2" t="str">
        <f>IFERROR(__xludf.DUMMYFUNCTION("IF('From Order'!$A154=COLUMNS($A154:E173), LEFT(INDEX(FILTER(E$1:E153, E$1:E153&lt;&gt;""""),COUNTA(FILTER(E$1:E153, E$1:E153&lt;&gt;""""))), LEN(INDEX(FILTER(E$1:E153, E$1:E153&lt;&gt;""""),COUNTA(FILTER(E$1:E153, E$1:E153&lt;&gt;""""))))-1), IF('To Order'!$A154=COLUMNS($A154:E"&amp;"173), E153&amp;RIGHT(INDIRECT(ADDRESS(ROW(E154)-1, 'From Order'!$A154)), 1), E153))"),"GPBSGDJMFT")</f>
        <v>GPBSGDJMFT</v>
      </c>
      <c r="F154" s="2" t="str">
        <f>IFERROR(__xludf.DUMMYFUNCTION("IF('From Order'!$A154=COLUMNS($A154:F173), LEFT(INDEX(FILTER(F$1:F153, F$1:F153&lt;&gt;""""),COUNTA(FILTER(F$1:F153, F$1:F153&lt;&gt;""""))), LEN(INDEX(FILTER(F$1:F153, F$1:F153&lt;&gt;""""),COUNTA(FILTER(F$1:F153, F$1:F153&lt;&gt;""""))))-1), IF('To Order'!$A154=COLUMNS($A154:F"&amp;"173), F153&amp;RIGHT(INDIRECT(ADDRESS(ROW(F154)-1, 'From Order'!$A154)), 1), F153))"),"FBJLRT")</f>
        <v>FBJLRT</v>
      </c>
      <c r="G154" s="2" t="str">
        <f>IFERROR(__xludf.DUMMYFUNCTION("IF('From Order'!$A154=COLUMNS($A154:G173), LEFT(INDEX(FILTER(G$1:G153, G$1:G153&lt;&gt;""""),COUNTA(FILTER(G$1:G153, G$1:G153&lt;&gt;""""))), LEN(INDEX(FILTER(G$1:G153, G$1:G153&lt;&gt;""""),COUNTA(FILTER(G$1:G153, G$1:G153&lt;&gt;""""))))-1), IF('To Order'!$A154=COLUMNS($A154:G"&amp;"173), G153&amp;RIGHT(INDIRECT(ADDRESS(ROW(G154)-1, 'From Order'!$A154)), 1), G153))"),"")</f>
        <v/>
      </c>
      <c r="H154" s="2" t="str">
        <f>IFERROR(__xludf.DUMMYFUNCTION("IF('From Order'!$A154=COLUMNS($A154:H173), LEFT(INDEX(FILTER(H$1:H153, H$1:H153&lt;&gt;""""),COUNTA(FILTER(H$1:H153, H$1:H153&lt;&gt;""""))), LEN(INDEX(FILTER(H$1:H153, H$1:H153&lt;&gt;""""),COUNTA(FILTER(H$1:H153, H$1:H153&lt;&gt;""""))))-1), IF('To Order'!$A154=COLUMNS($A154:H"&amp;"173), H153&amp;RIGHT(INDIRECT(ADDRESS(ROW(H154)-1, 'From Order'!$A154)), 1), H153))"),"")</f>
        <v/>
      </c>
      <c r="I154" s="2" t="str">
        <f>IFERROR(__xludf.DUMMYFUNCTION("IF('From Order'!$A154=COLUMNS($A154:I173), LEFT(INDEX(FILTER(I$1:I153, I$1:I153&lt;&gt;""""),COUNTA(FILTER(I$1:I153, I$1:I153&lt;&gt;""""))), LEN(INDEX(FILTER(I$1:I153, I$1:I153&lt;&gt;""""),COUNTA(FILTER(I$1:I153, I$1:I153&lt;&gt;""""))))-1), IF('To Order'!$A154=COLUMNS($A154:I"&amp;"173), I153&amp;RIGHT(INDIRECT(ADDRESS(ROW(I154)-1, 'From Order'!$A154)), 1), I153))"),"L")</f>
        <v>L</v>
      </c>
    </row>
    <row r="155">
      <c r="A155" s="2" t="str">
        <f>IFERROR(__xludf.DUMMYFUNCTION("IF('From Order'!$A155=COLUMNS($A155:A174), LEFT(INDEX(FILTER(A$1:A154, A$1:A154&lt;&gt;""""),COUNTA(FILTER(A$1:A154, A$1:A154&lt;&gt;""""))), LEN(INDEX(FILTER(A$1:A154, A$1:A154&lt;&gt;""""),COUNTA(FILTER(A$1:A154, A$1:A154&lt;&gt;""""))))-1), IF('To Order'!$A155=COLUMNS($A155:A"&amp;"174), A154&amp;RIGHT(INDIRECT(ADDRESS(ROW(A155)-1, 'From Order'!$A155)), 1), A154))"),"BRJZHTDCQM")</f>
        <v>BRJZHTDCQM</v>
      </c>
      <c r="B155" s="2" t="str">
        <f>IFERROR(__xludf.DUMMYFUNCTION("IF('From Order'!$A155=COLUMNS($A155:B174), LEFT(INDEX(FILTER(B$1:B154, B$1:B154&lt;&gt;""""),COUNTA(FILTER(B$1:B154, B$1:B154&lt;&gt;""""))), LEN(INDEX(FILTER(B$1:B154, B$1:B154&lt;&gt;""""),COUNTA(FILTER(B$1:B154, B$1:B154&lt;&gt;""""))))-1), IF('To Order'!$A155=COLUMNS($A155:B"&amp;"174), B154&amp;RIGHT(INDIRECT(ADDRESS(ROW(B155)-1, 'From Order'!$A155)), 1), B154))"),"S")</f>
        <v>S</v>
      </c>
      <c r="C155" s="2" t="str">
        <f>IFERROR(__xludf.DUMMYFUNCTION("IF('From Order'!$A155=COLUMNS($A155:C174), LEFT(INDEX(FILTER(C$1:C154, C$1:C154&lt;&gt;""""),COUNTA(FILTER(C$1:C154, C$1:C154&lt;&gt;""""))), LEN(INDEX(FILTER(C$1:C154, C$1:C154&lt;&gt;""""),COUNTA(FILTER(C$1:C154, C$1:C154&lt;&gt;""""))))-1), IF('To Order'!$A155=COLUMNS($A155:C"&amp;"174), C154&amp;RIGHT(INDIRECT(ADDRESS(ROW(C155)-1, 'From Order'!$A155)), 1), C154))"),"VTZRW")</f>
        <v>VTZRW</v>
      </c>
      <c r="D155" s="2" t="str">
        <f>IFERROR(__xludf.DUMMYFUNCTION("IF('From Order'!$A155=COLUMNS($A155:D174), LEFT(INDEX(FILTER(D$1:D154, D$1:D154&lt;&gt;""""),COUNTA(FILTER(D$1:D154, D$1:D154&lt;&gt;""""))), LEN(INDEX(FILTER(D$1:D154, D$1:D154&lt;&gt;""""),COUNTA(FILTER(D$1:D154, D$1:D154&lt;&gt;""""))))-1), IF('To Order'!$A155=COLUMNS($A155:D"&amp;"174), D154&amp;RIGHT(INDIRECT(ADDRESS(ROW(D155)-1, 'From Order'!$A155)), 1), D154))"),"DTCHSPVMZDDTLCBRQPDSVR")</f>
        <v>DTCHSPVMZDDTLCBRQPDSVR</v>
      </c>
      <c r="E155" s="2" t="str">
        <f>IFERROR(__xludf.DUMMYFUNCTION("IF('From Order'!$A155=COLUMNS($A155:E174), LEFT(INDEX(FILTER(E$1:E154, E$1:E154&lt;&gt;""""),COUNTA(FILTER(E$1:E154, E$1:E154&lt;&gt;""""))), LEN(INDEX(FILTER(E$1:E154, E$1:E154&lt;&gt;""""),COUNTA(FILTER(E$1:E154, E$1:E154&lt;&gt;""""))))-1), IF('To Order'!$A155=COLUMNS($A155:E"&amp;"174), E154&amp;RIGHT(INDIRECT(ADDRESS(ROW(E155)-1, 'From Order'!$A155)), 1), E154))"),"GPBSGDJMFT")</f>
        <v>GPBSGDJMFT</v>
      </c>
      <c r="F155" s="2" t="str">
        <f>IFERROR(__xludf.DUMMYFUNCTION("IF('From Order'!$A155=COLUMNS($A155:F174), LEFT(INDEX(FILTER(F$1:F154, F$1:F154&lt;&gt;""""),COUNTA(FILTER(F$1:F154, F$1:F154&lt;&gt;""""))), LEN(INDEX(FILTER(F$1:F154, F$1:F154&lt;&gt;""""),COUNTA(FILTER(F$1:F154, F$1:F154&lt;&gt;""""))))-1), IF('To Order'!$A155=COLUMNS($A155:F"&amp;"174), F154&amp;RIGHT(INDIRECT(ADDRESS(ROW(F155)-1, 'From Order'!$A155)), 1), F154))"),"FBJLRT")</f>
        <v>FBJLRT</v>
      </c>
      <c r="G155" s="2" t="str">
        <f>IFERROR(__xludf.DUMMYFUNCTION("IF('From Order'!$A155=COLUMNS($A155:G174), LEFT(INDEX(FILTER(G$1:G154, G$1:G154&lt;&gt;""""),COUNTA(FILTER(G$1:G154, G$1:G154&lt;&gt;""""))), LEN(INDEX(FILTER(G$1:G154, G$1:G154&lt;&gt;""""),COUNTA(FILTER(G$1:G154, G$1:G154&lt;&gt;""""))))-1), IF('To Order'!$A155=COLUMNS($A155:G"&amp;"174), G154&amp;RIGHT(INDIRECT(ADDRESS(ROW(G155)-1, 'From Order'!$A155)), 1), G154))"),"W")</f>
        <v>W</v>
      </c>
      <c r="H155" s="2" t="str">
        <f>IFERROR(__xludf.DUMMYFUNCTION("IF('From Order'!$A155=COLUMNS($A155:H174), LEFT(INDEX(FILTER(H$1:H154, H$1:H154&lt;&gt;""""),COUNTA(FILTER(H$1:H154, H$1:H154&lt;&gt;""""))), LEN(INDEX(FILTER(H$1:H154, H$1:H154&lt;&gt;""""),COUNTA(FILTER(H$1:H154, H$1:H154&lt;&gt;""""))))-1), IF('To Order'!$A155=COLUMNS($A155:H"&amp;"174), H154&amp;RIGHT(INDIRECT(ADDRESS(ROW(H155)-1, 'From Order'!$A155)), 1), H154))"),"")</f>
        <v/>
      </c>
      <c r="I155" s="2" t="str">
        <f>IFERROR(__xludf.DUMMYFUNCTION("IF('From Order'!$A155=COLUMNS($A155:I174), LEFT(INDEX(FILTER(I$1:I154, I$1:I154&lt;&gt;""""),COUNTA(FILTER(I$1:I154, I$1:I154&lt;&gt;""""))), LEN(INDEX(FILTER(I$1:I154, I$1:I154&lt;&gt;""""),COUNTA(FILTER(I$1:I154, I$1:I154&lt;&gt;""""))))-1), IF('To Order'!$A155=COLUMNS($A155:I"&amp;"174), I154&amp;RIGHT(INDIRECT(ADDRESS(ROW(I155)-1, 'From Order'!$A155)), 1), I154))"),"L")</f>
        <v>L</v>
      </c>
    </row>
    <row r="156">
      <c r="A156" s="2" t="str">
        <f>IFERROR(__xludf.DUMMYFUNCTION("IF('From Order'!$A156=COLUMNS($A156:A175), LEFT(INDEX(FILTER(A$1:A155, A$1:A155&lt;&gt;""""),COUNTA(FILTER(A$1:A155, A$1:A155&lt;&gt;""""))), LEN(INDEX(FILTER(A$1:A155, A$1:A155&lt;&gt;""""),COUNTA(FILTER(A$1:A155, A$1:A155&lt;&gt;""""))))-1), IF('To Order'!$A156=COLUMNS($A156:A"&amp;"175), A155&amp;RIGHT(INDIRECT(ADDRESS(ROW(A156)-1, 'From Order'!$A156)), 1), A155))"),"BRJZHTDCQM")</f>
        <v>BRJZHTDCQM</v>
      </c>
      <c r="B156" s="2" t="str">
        <f>IFERROR(__xludf.DUMMYFUNCTION("IF('From Order'!$A156=COLUMNS($A156:B175), LEFT(INDEX(FILTER(B$1:B155, B$1:B155&lt;&gt;""""),COUNTA(FILTER(B$1:B155, B$1:B155&lt;&gt;""""))), LEN(INDEX(FILTER(B$1:B155, B$1:B155&lt;&gt;""""),COUNTA(FILTER(B$1:B155, B$1:B155&lt;&gt;""""))))-1), IF('To Order'!$A156=COLUMNS($A156:B"&amp;"175), B155&amp;RIGHT(INDIRECT(ADDRESS(ROW(B156)-1, 'From Order'!$A156)), 1), B155))"),"")</f>
        <v/>
      </c>
      <c r="C156" s="2" t="str">
        <f>IFERROR(__xludf.DUMMYFUNCTION("IF('From Order'!$A156=COLUMNS($A156:C175), LEFT(INDEX(FILTER(C$1:C155, C$1:C155&lt;&gt;""""),COUNTA(FILTER(C$1:C155, C$1:C155&lt;&gt;""""))), LEN(INDEX(FILTER(C$1:C155, C$1:C155&lt;&gt;""""),COUNTA(FILTER(C$1:C155, C$1:C155&lt;&gt;""""))))-1), IF('To Order'!$A156=COLUMNS($A156:C"&amp;"175), C155&amp;RIGHT(INDIRECT(ADDRESS(ROW(C156)-1, 'From Order'!$A156)), 1), C155))"),"VTZRW")</f>
        <v>VTZRW</v>
      </c>
      <c r="D156" s="2" t="str">
        <f>IFERROR(__xludf.DUMMYFUNCTION("IF('From Order'!$A156=COLUMNS($A156:D175), LEFT(INDEX(FILTER(D$1:D155, D$1:D155&lt;&gt;""""),COUNTA(FILTER(D$1:D155, D$1:D155&lt;&gt;""""))), LEN(INDEX(FILTER(D$1:D155, D$1:D155&lt;&gt;""""),COUNTA(FILTER(D$1:D155, D$1:D155&lt;&gt;""""))))-1), IF('To Order'!$A156=COLUMNS($A156:D"&amp;"175), D155&amp;RIGHT(INDIRECT(ADDRESS(ROW(D156)-1, 'From Order'!$A156)), 1), D155))"),"DTCHSPVMZDDTLCBRQPDSVR")</f>
        <v>DTCHSPVMZDDTLCBRQPDSVR</v>
      </c>
      <c r="E156" s="2" t="str">
        <f>IFERROR(__xludf.DUMMYFUNCTION("IF('From Order'!$A156=COLUMNS($A156:E175), LEFT(INDEX(FILTER(E$1:E155, E$1:E155&lt;&gt;""""),COUNTA(FILTER(E$1:E155, E$1:E155&lt;&gt;""""))), LEN(INDEX(FILTER(E$1:E155, E$1:E155&lt;&gt;""""),COUNTA(FILTER(E$1:E155, E$1:E155&lt;&gt;""""))))-1), IF('To Order'!$A156=COLUMNS($A156:E"&amp;"175), E155&amp;RIGHT(INDIRECT(ADDRESS(ROW(E156)-1, 'From Order'!$A156)), 1), E155))"),"GPBSGDJMFT")</f>
        <v>GPBSGDJMFT</v>
      </c>
      <c r="F156" s="2" t="str">
        <f>IFERROR(__xludf.DUMMYFUNCTION("IF('From Order'!$A156=COLUMNS($A156:F175), LEFT(INDEX(FILTER(F$1:F155, F$1:F155&lt;&gt;""""),COUNTA(FILTER(F$1:F155, F$1:F155&lt;&gt;""""))), LEN(INDEX(FILTER(F$1:F155, F$1:F155&lt;&gt;""""),COUNTA(FILTER(F$1:F155, F$1:F155&lt;&gt;""""))))-1), IF('To Order'!$A156=COLUMNS($A156:F"&amp;"175), F155&amp;RIGHT(INDIRECT(ADDRESS(ROW(F156)-1, 'From Order'!$A156)), 1), F155))"),"FBJLRT")</f>
        <v>FBJLRT</v>
      </c>
      <c r="G156" s="2" t="str">
        <f>IFERROR(__xludf.DUMMYFUNCTION("IF('From Order'!$A156=COLUMNS($A156:G175), LEFT(INDEX(FILTER(G$1:G155, G$1:G155&lt;&gt;""""),COUNTA(FILTER(G$1:G155, G$1:G155&lt;&gt;""""))), LEN(INDEX(FILTER(G$1:G155, G$1:G155&lt;&gt;""""),COUNTA(FILTER(G$1:G155, G$1:G155&lt;&gt;""""))))-1), IF('To Order'!$A156=COLUMNS($A156:G"&amp;"175), G155&amp;RIGHT(INDIRECT(ADDRESS(ROW(G156)-1, 'From Order'!$A156)), 1), G155))"),"WS")</f>
        <v>WS</v>
      </c>
      <c r="H156" s="2" t="str">
        <f>IFERROR(__xludf.DUMMYFUNCTION("IF('From Order'!$A156=COLUMNS($A156:H175), LEFT(INDEX(FILTER(H$1:H155, H$1:H155&lt;&gt;""""),COUNTA(FILTER(H$1:H155, H$1:H155&lt;&gt;""""))), LEN(INDEX(FILTER(H$1:H155, H$1:H155&lt;&gt;""""),COUNTA(FILTER(H$1:H155, H$1:H155&lt;&gt;""""))))-1), IF('To Order'!$A156=COLUMNS($A156:H"&amp;"175), H155&amp;RIGHT(INDIRECT(ADDRESS(ROW(H156)-1, 'From Order'!$A156)), 1), H155))"),"")</f>
        <v/>
      </c>
      <c r="I156" s="2" t="str">
        <f>IFERROR(__xludf.DUMMYFUNCTION("IF('From Order'!$A156=COLUMNS($A156:I175), LEFT(INDEX(FILTER(I$1:I155, I$1:I155&lt;&gt;""""),COUNTA(FILTER(I$1:I155, I$1:I155&lt;&gt;""""))), LEN(INDEX(FILTER(I$1:I155, I$1:I155&lt;&gt;""""),COUNTA(FILTER(I$1:I155, I$1:I155&lt;&gt;""""))))-1), IF('To Order'!$A156=COLUMNS($A156:I"&amp;"175), I155&amp;RIGHT(INDIRECT(ADDRESS(ROW(I156)-1, 'From Order'!$A156)), 1), I155))"),"L")</f>
        <v>L</v>
      </c>
    </row>
    <row r="157">
      <c r="A157" s="2" t="str">
        <f>IFERROR(__xludf.DUMMYFUNCTION("IF('From Order'!$A157=COLUMNS($A157:A176), LEFT(INDEX(FILTER(A$1:A156, A$1:A156&lt;&gt;""""),COUNTA(FILTER(A$1:A156, A$1:A156&lt;&gt;""""))), LEN(INDEX(FILTER(A$1:A156, A$1:A156&lt;&gt;""""),COUNTA(FILTER(A$1:A156, A$1:A156&lt;&gt;""""))))-1), IF('To Order'!$A157=COLUMNS($A157:A"&amp;"176), A156&amp;RIGHT(INDIRECT(ADDRESS(ROW(A157)-1, 'From Order'!$A157)), 1), A156))"),"BRJZHTDCQMT")</f>
        <v>BRJZHTDCQMT</v>
      </c>
      <c r="B157" s="2" t="str">
        <f>IFERROR(__xludf.DUMMYFUNCTION("IF('From Order'!$A157=COLUMNS($A157:B176), LEFT(INDEX(FILTER(B$1:B156, B$1:B156&lt;&gt;""""),COUNTA(FILTER(B$1:B156, B$1:B156&lt;&gt;""""))), LEN(INDEX(FILTER(B$1:B156, B$1:B156&lt;&gt;""""),COUNTA(FILTER(B$1:B156, B$1:B156&lt;&gt;""""))))-1), IF('To Order'!$A157=COLUMNS($A157:B"&amp;"176), B156&amp;RIGHT(INDIRECT(ADDRESS(ROW(B157)-1, 'From Order'!$A157)), 1), B156))"),"")</f>
        <v/>
      </c>
      <c r="C157" s="2" t="str">
        <f>IFERROR(__xludf.DUMMYFUNCTION("IF('From Order'!$A157=COLUMNS($A157:C176), LEFT(INDEX(FILTER(C$1:C156, C$1:C156&lt;&gt;""""),COUNTA(FILTER(C$1:C156, C$1:C156&lt;&gt;""""))), LEN(INDEX(FILTER(C$1:C156, C$1:C156&lt;&gt;""""),COUNTA(FILTER(C$1:C156, C$1:C156&lt;&gt;""""))))-1), IF('To Order'!$A157=COLUMNS($A157:C"&amp;"176), C156&amp;RIGHT(INDIRECT(ADDRESS(ROW(C157)-1, 'From Order'!$A157)), 1), C156))"),"VTZRW")</f>
        <v>VTZRW</v>
      </c>
      <c r="D157" s="2" t="str">
        <f>IFERROR(__xludf.DUMMYFUNCTION("IF('From Order'!$A157=COLUMNS($A157:D176), LEFT(INDEX(FILTER(D$1:D156, D$1:D156&lt;&gt;""""),COUNTA(FILTER(D$1:D156, D$1:D156&lt;&gt;""""))), LEN(INDEX(FILTER(D$1:D156, D$1:D156&lt;&gt;""""),COUNTA(FILTER(D$1:D156, D$1:D156&lt;&gt;""""))))-1), IF('To Order'!$A157=COLUMNS($A157:D"&amp;"176), D156&amp;RIGHT(INDIRECT(ADDRESS(ROW(D157)-1, 'From Order'!$A157)), 1), D156))"),"DTCHSPVMZDDTLCBRQPDSVR")</f>
        <v>DTCHSPVMZDDTLCBRQPDSVR</v>
      </c>
      <c r="E157" s="2" t="str">
        <f>IFERROR(__xludf.DUMMYFUNCTION("IF('From Order'!$A157=COLUMNS($A157:E176), LEFT(INDEX(FILTER(E$1:E156, E$1:E156&lt;&gt;""""),COUNTA(FILTER(E$1:E156, E$1:E156&lt;&gt;""""))), LEN(INDEX(FILTER(E$1:E156, E$1:E156&lt;&gt;""""),COUNTA(FILTER(E$1:E156, E$1:E156&lt;&gt;""""))))-1), IF('To Order'!$A157=COLUMNS($A157:E"&amp;"176), E156&amp;RIGHT(INDIRECT(ADDRESS(ROW(E157)-1, 'From Order'!$A157)), 1), E156))"),"GPBSGDJMF")</f>
        <v>GPBSGDJMF</v>
      </c>
      <c r="F157" s="2" t="str">
        <f>IFERROR(__xludf.DUMMYFUNCTION("IF('From Order'!$A157=COLUMNS($A157:F176), LEFT(INDEX(FILTER(F$1:F156, F$1:F156&lt;&gt;""""),COUNTA(FILTER(F$1:F156, F$1:F156&lt;&gt;""""))), LEN(INDEX(FILTER(F$1:F156, F$1:F156&lt;&gt;""""),COUNTA(FILTER(F$1:F156, F$1:F156&lt;&gt;""""))))-1), IF('To Order'!$A157=COLUMNS($A157:F"&amp;"176), F156&amp;RIGHT(INDIRECT(ADDRESS(ROW(F157)-1, 'From Order'!$A157)), 1), F156))"),"FBJLRT")</f>
        <v>FBJLRT</v>
      </c>
      <c r="G157" s="2" t="str">
        <f>IFERROR(__xludf.DUMMYFUNCTION("IF('From Order'!$A157=COLUMNS($A157:G176), LEFT(INDEX(FILTER(G$1:G156, G$1:G156&lt;&gt;""""),COUNTA(FILTER(G$1:G156, G$1:G156&lt;&gt;""""))), LEN(INDEX(FILTER(G$1:G156, G$1:G156&lt;&gt;""""),COUNTA(FILTER(G$1:G156, G$1:G156&lt;&gt;""""))))-1), IF('To Order'!$A157=COLUMNS($A157:G"&amp;"176), G156&amp;RIGHT(INDIRECT(ADDRESS(ROW(G157)-1, 'From Order'!$A157)), 1), G156))"),"WS")</f>
        <v>WS</v>
      </c>
      <c r="H157" s="2" t="str">
        <f>IFERROR(__xludf.DUMMYFUNCTION("IF('From Order'!$A157=COLUMNS($A157:H176), LEFT(INDEX(FILTER(H$1:H156, H$1:H156&lt;&gt;""""),COUNTA(FILTER(H$1:H156, H$1:H156&lt;&gt;""""))), LEN(INDEX(FILTER(H$1:H156, H$1:H156&lt;&gt;""""),COUNTA(FILTER(H$1:H156, H$1:H156&lt;&gt;""""))))-1), IF('To Order'!$A157=COLUMNS($A157:H"&amp;"176), H156&amp;RIGHT(INDIRECT(ADDRESS(ROW(H157)-1, 'From Order'!$A157)), 1), H156))"),"")</f>
        <v/>
      </c>
      <c r="I157" s="2" t="str">
        <f>IFERROR(__xludf.DUMMYFUNCTION("IF('From Order'!$A157=COLUMNS($A157:I176), LEFT(INDEX(FILTER(I$1:I156, I$1:I156&lt;&gt;""""),COUNTA(FILTER(I$1:I156, I$1:I156&lt;&gt;""""))), LEN(INDEX(FILTER(I$1:I156, I$1:I156&lt;&gt;""""),COUNTA(FILTER(I$1:I156, I$1:I156&lt;&gt;""""))))-1), IF('To Order'!$A157=COLUMNS($A157:I"&amp;"176), I156&amp;RIGHT(INDIRECT(ADDRESS(ROW(I157)-1, 'From Order'!$A157)), 1), I156))"),"L")</f>
        <v>L</v>
      </c>
    </row>
    <row r="158">
      <c r="A158" s="2" t="str">
        <f>IFERROR(__xludf.DUMMYFUNCTION("IF('From Order'!$A158=COLUMNS($A158:A177), LEFT(INDEX(FILTER(A$1:A157, A$1:A157&lt;&gt;""""),COUNTA(FILTER(A$1:A157, A$1:A157&lt;&gt;""""))), LEN(INDEX(FILTER(A$1:A157, A$1:A157&lt;&gt;""""),COUNTA(FILTER(A$1:A157, A$1:A157&lt;&gt;""""))))-1), IF('To Order'!$A158=COLUMNS($A158:A"&amp;"177), A157&amp;RIGHT(INDIRECT(ADDRESS(ROW(A158)-1, 'From Order'!$A158)), 1), A157))"),"BRJZHTDCQMTF")</f>
        <v>BRJZHTDCQMTF</v>
      </c>
      <c r="B158" s="2" t="str">
        <f>IFERROR(__xludf.DUMMYFUNCTION("IF('From Order'!$A158=COLUMNS($A158:B177), LEFT(INDEX(FILTER(B$1:B157, B$1:B157&lt;&gt;""""),COUNTA(FILTER(B$1:B157, B$1:B157&lt;&gt;""""))), LEN(INDEX(FILTER(B$1:B157, B$1:B157&lt;&gt;""""),COUNTA(FILTER(B$1:B157, B$1:B157&lt;&gt;""""))))-1), IF('To Order'!$A158=COLUMNS($A158:B"&amp;"177), B157&amp;RIGHT(INDIRECT(ADDRESS(ROW(B158)-1, 'From Order'!$A158)), 1), B157))"),"")</f>
        <v/>
      </c>
      <c r="C158" s="2" t="str">
        <f>IFERROR(__xludf.DUMMYFUNCTION("IF('From Order'!$A158=COLUMNS($A158:C177), LEFT(INDEX(FILTER(C$1:C157, C$1:C157&lt;&gt;""""),COUNTA(FILTER(C$1:C157, C$1:C157&lt;&gt;""""))), LEN(INDEX(FILTER(C$1:C157, C$1:C157&lt;&gt;""""),COUNTA(FILTER(C$1:C157, C$1:C157&lt;&gt;""""))))-1), IF('To Order'!$A158=COLUMNS($A158:C"&amp;"177), C157&amp;RIGHT(INDIRECT(ADDRESS(ROW(C158)-1, 'From Order'!$A158)), 1), C157))"),"VTZRW")</f>
        <v>VTZRW</v>
      </c>
      <c r="D158" s="2" t="str">
        <f>IFERROR(__xludf.DUMMYFUNCTION("IF('From Order'!$A158=COLUMNS($A158:D177), LEFT(INDEX(FILTER(D$1:D157, D$1:D157&lt;&gt;""""),COUNTA(FILTER(D$1:D157, D$1:D157&lt;&gt;""""))), LEN(INDEX(FILTER(D$1:D157, D$1:D157&lt;&gt;""""),COUNTA(FILTER(D$1:D157, D$1:D157&lt;&gt;""""))))-1), IF('To Order'!$A158=COLUMNS($A158:D"&amp;"177), D157&amp;RIGHT(INDIRECT(ADDRESS(ROW(D158)-1, 'From Order'!$A158)), 1), D157))"),"DTCHSPVMZDDTLCBRQPDSVR")</f>
        <v>DTCHSPVMZDDTLCBRQPDSVR</v>
      </c>
      <c r="E158" s="2" t="str">
        <f>IFERROR(__xludf.DUMMYFUNCTION("IF('From Order'!$A158=COLUMNS($A158:E177), LEFT(INDEX(FILTER(E$1:E157, E$1:E157&lt;&gt;""""),COUNTA(FILTER(E$1:E157, E$1:E157&lt;&gt;""""))), LEN(INDEX(FILTER(E$1:E157, E$1:E157&lt;&gt;""""),COUNTA(FILTER(E$1:E157, E$1:E157&lt;&gt;""""))))-1), IF('To Order'!$A158=COLUMNS($A158:E"&amp;"177), E157&amp;RIGHT(INDIRECT(ADDRESS(ROW(E158)-1, 'From Order'!$A158)), 1), E157))"),"GPBSGDJM")</f>
        <v>GPBSGDJM</v>
      </c>
      <c r="F158" s="2" t="str">
        <f>IFERROR(__xludf.DUMMYFUNCTION("IF('From Order'!$A158=COLUMNS($A158:F177), LEFT(INDEX(FILTER(F$1:F157, F$1:F157&lt;&gt;""""),COUNTA(FILTER(F$1:F157, F$1:F157&lt;&gt;""""))), LEN(INDEX(FILTER(F$1:F157, F$1:F157&lt;&gt;""""),COUNTA(FILTER(F$1:F157, F$1:F157&lt;&gt;""""))))-1), IF('To Order'!$A158=COLUMNS($A158:F"&amp;"177), F157&amp;RIGHT(INDIRECT(ADDRESS(ROW(F158)-1, 'From Order'!$A158)), 1), F157))"),"FBJLRT")</f>
        <v>FBJLRT</v>
      </c>
      <c r="G158" s="2" t="str">
        <f>IFERROR(__xludf.DUMMYFUNCTION("IF('From Order'!$A158=COLUMNS($A158:G177), LEFT(INDEX(FILTER(G$1:G157, G$1:G157&lt;&gt;""""),COUNTA(FILTER(G$1:G157, G$1:G157&lt;&gt;""""))), LEN(INDEX(FILTER(G$1:G157, G$1:G157&lt;&gt;""""),COUNTA(FILTER(G$1:G157, G$1:G157&lt;&gt;""""))))-1), IF('To Order'!$A158=COLUMNS($A158:G"&amp;"177), G157&amp;RIGHT(INDIRECT(ADDRESS(ROW(G158)-1, 'From Order'!$A158)), 1), G157))"),"WS")</f>
        <v>WS</v>
      </c>
      <c r="H158" s="2" t="str">
        <f>IFERROR(__xludf.DUMMYFUNCTION("IF('From Order'!$A158=COLUMNS($A158:H177), LEFT(INDEX(FILTER(H$1:H157, H$1:H157&lt;&gt;""""),COUNTA(FILTER(H$1:H157, H$1:H157&lt;&gt;""""))), LEN(INDEX(FILTER(H$1:H157, H$1:H157&lt;&gt;""""),COUNTA(FILTER(H$1:H157, H$1:H157&lt;&gt;""""))))-1), IF('To Order'!$A158=COLUMNS($A158:H"&amp;"177), H157&amp;RIGHT(INDIRECT(ADDRESS(ROW(H158)-1, 'From Order'!$A158)), 1), H157))"),"")</f>
        <v/>
      </c>
      <c r="I158" s="2" t="str">
        <f>IFERROR(__xludf.DUMMYFUNCTION("IF('From Order'!$A158=COLUMNS($A158:I177), LEFT(INDEX(FILTER(I$1:I157, I$1:I157&lt;&gt;""""),COUNTA(FILTER(I$1:I157, I$1:I157&lt;&gt;""""))), LEN(INDEX(FILTER(I$1:I157, I$1:I157&lt;&gt;""""),COUNTA(FILTER(I$1:I157, I$1:I157&lt;&gt;""""))))-1), IF('To Order'!$A158=COLUMNS($A158:I"&amp;"177), I157&amp;RIGHT(INDIRECT(ADDRESS(ROW(I158)-1, 'From Order'!$A158)), 1), I157))"),"L")</f>
        <v>L</v>
      </c>
    </row>
    <row r="159">
      <c r="A159" s="2" t="str">
        <f>IFERROR(__xludf.DUMMYFUNCTION("IF('From Order'!$A159=COLUMNS($A159:A178), LEFT(INDEX(FILTER(A$1:A158, A$1:A158&lt;&gt;""""),COUNTA(FILTER(A$1:A158, A$1:A158&lt;&gt;""""))), LEN(INDEX(FILTER(A$1:A158, A$1:A158&lt;&gt;""""),COUNTA(FILTER(A$1:A158, A$1:A158&lt;&gt;""""))))-1), IF('To Order'!$A159=COLUMNS($A159:A"&amp;"178), A158&amp;RIGHT(INDIRECT(ADDRESS(ROW(A159)-1, 'From Order'!$A159)), 1), A158))"),"BRJZHTDCQMTFM")</f>
        <v>BRJZHTDCQMTFM</v>
      </c>
      <c r="B159" s="2" t="str">
        <f>IFERROR(__xludf.DUMMYFUNCTION("IF('From Order'!$A159=COLUMNS($A159:B178), LEFT(INDEX(FILTER(B$1:B158, B$1:B158&lt;&gt;""""),COUNTA(FILTER(B$1:B158, B$1:B158&lt;&gt;""""))), LEN(INDEX(FILTER(B$1:B158, B$1:B158&lt;&gt;""""),COUNTA(FILTER(B$1:B158, B$1:B158&lt;&gt;""""))))-1), IF('To Order'!$A159=COLUMNS($A159:B"&amp;"178), B158&amp;RIGHT(INDIRECT(ADDRESS(ROW(B159)-1, 'From Order'!$A159)), 1), B158))"),"")</f>
        <v/>
      </c>
      <c r="C159" s="2" t="str">
        <f>IFERROR(__xludf.DUMMYFUNCTION("IF('From Order'!$A159=COLUMNS($A159:C178), LEFT(INDEX(FILTER(C$1:C158, C$1:C158&lt;&gt;""""),COUNTA(FILTER(C$1:C158, C$1:C158&lt;&gt;""""))), LEN(INDEX(FILTER(C$1:C158, C$1:C158&lt;&gt;""""),COUNTA(FILTER(C$1:C158, C$1:C158&lt;&gt;""""))))-1), IF('To Order'!$A159=COLUMNS($A159:C"&amp;"178), C158&amp;RIGHT(INDIRECT(ADDRESS(ROW(C159)-1, 'From Order'!$A159)), 1), C158))"),"VTZRW")</f>
        <v>VTZRW</v>
      </c>
      <c r="D159" s="2" t="str">
        <f>IFERROR(__xludf.DUMMYFUNCTION("IF('From Order'!$A159=COLUMNS($A159:D178), LEFT(INDEX(FILTER(D$1:D158, D$1:D158&lt;&gt;""""),COUNTA(FILTER(D$1:D158, D$1:D158&lt;&gt;""""))), LEN(INDEX(FILTER(D$1:D158, D$1:D158&lt;&gt;""""),COUNTA(FILTER(D$1:D158, D$1:D158&lt;&gt;""""))))-1), IF('To Order'!$A159=COLUMNS($A159:D"&amp;"178), D158&amp;RIGHT(INDIRECT(ADDRESS(ROW(D159)-1, 'From Order'!$A159)), 1), D158))"),"DTCHSPVMZDDTLCBRQPDSVR")</f>
        <v>DTCHSPVMZDDTLCBRQPDSVR</v>
      </c>
      <c r="E159" s="2" t="str">
        <f>IFERROR(__xludf.DUMMYFUNCTION("IF('From Order'!$A159=COLUMNS($A159:E178), LEFT(INDEX(FILTER(E$1:E158, E$1:E158&lt;&gt;""""),COUNTA(FILTER(E$1:E158, E$1:E158&lt;&gt;""""))), LEN(INDEX(FILTER(E$1:E158, E$1:E158&lt;&gt;""""),COUNTA(FILTER(E$1:E158, E$1:E158&lt;&gt;""""))))-1), IF('To Order'!$A159=COLUMNS($A159:E"&amp;"178), E158&amp;RIGHT(INDIRECT(ADDRESS(ROW(E159)-1, 'From Order'!$A159)), 1), E158))"),"GPBSGDJ")</f>
        <v>GPBSGDJ</v>
      </c>
      <c r="F159" s="2" t="str">
        <f>IFERROR(__xludf.DUMMYFUNCTION("IF('From Order'!$A159=COLUMNS($A159:F178), LEFT(INDEX(FILTER(F$1:F158, F$1:F158&lt;&gt;""""),COUNTA(FILTER(F$1:F158, F$1:F158&lt;&gt;""""))), LEN(INDEX(FILTER(F$1:F158, F$1:F158&lt;&gt;""""),COUNTA(FILTER(F$1:F158, F$1:F158&lt;&gt;""""))))-1), IF('To Order'!$A159=COLUMNS($A159:F"&amp;"178), F158&amp;RIGHT(INDIRECT(ADDRESS(ROW(F159)-1, 'From Order'!$A159)), 1), F158))"),"FBJLRT")</f>
        <v>FBJLRT</v>
      </c>
      <c r="G159" s="2" t="str">
        <f>IFERROR(__xludf.DUMMYFUNCTION("IF('From Order'!$A159=COLUMNS($A159:G178), LEFT(INDEX(FILTER(G$1:G158, G$1:G158&lt;&gt;""""),COUNTA(FILTER(G$1:G158, G$1:G158&lt;&gt;""""))), LEN(INDEX(FILTER(G$1:G158, G$1:G158&lt;&gt;""""),COUNTA(FILTER(G$1:G158, G$1:G158&lt;&gt;""""))))-1), IF('To Order'!$A159=COLUMNS($A159:G"&amp;"178), G158&amp;RIGHT(INDIRECT(ADDRESS(ROW(G159)-1, 'From Order'!$A159)), 1), G158))"),"WS")</f>
        <v>WS</v>
      </c>
      <c r="H159" s="2" t="str">
        <f>IFERROR(__xludf.DUMMYFUNCTION("IF('From Order'!$A159=COLUMNS($A159:H178), LEFT(INDEX(FILTER(H$1:H158, H$1:H158&lt;&gt;""""),COUNTA(FILTER(H$1:H158, H$1:H158&lt;&gt;""""))), LEN(INDEX(FILTER(H$1:H158, H$1:H158&lt;&gt;""""),COUNTA(FILTER(H$1:H158, H$1:H158&lt;&gt;""""))))-1), IF('To Order'!$A159=COLUMNS($A159:H"&amp;"178), H158&amp;RIGHT(INDIRECT(ADDRESS(ROW(H159)-1, 'From Order'!$A159)), 1), H158))"),"")</f>
        <v/>
      </c>
      <c r="I159" s="2" t="str">
        <f>IFERROR(__xludf.DUMMYFUNCTION("IF('From Order'!$A159=COLUMNS($A159:I178), LEFT(INDEX(FILTER(I$1:I158, I$1:I158&lt;&gt;""""),COUNTA(FILTER(I$1:I158, I$1:I158&lt;&gt;""""))), LEN(INDEX(FILTER(I$1:I158, I$1:I158&lt;&gt;""""),COUNTA(FILTER(I$1:I158, I$1:I158&lt;&gt;""""))))-1), IF('To Order'!$A159=COLUMNS($A159:I"&amp;"178), I158&amp;RIGHT(INDIRECT(ADDRESS(ROW(I159)-1, 'From Order'!$A159)), 1), I158))"),"L")</f>
        <v>L</v>
      </c>
    </row>
    <row r="160">
      <c r="A160" s="2" t="str">
        <f>IFERROR(__xludf.DUMMYFUNCTION("IF('From Order'!$A160=COLUMNS($A160:A179), LEFT(INDEX(FILTER(A$1:A159, A$1:A159&lt;&gt;""""),COUNTA(FILTER(A$1:A159, A$1:A159&lt;&gt;""""))), LEN(INDEX(FILTER(A$1:A159, A$1:A159&lt;&gt;""""),COUNTA(FILTER(A$1:A159, A$1:A159&lt;&gt;""""))))-1), IF('To Order'!$A160=COLUMNS($A160:A"&amp;"179), A159&amp;RIGHT(INDIRECT(ADDRESS(ROW(A160)-1, 'From Order'!$A160)), 1), A159))"),"BRJZHTDCQMTFM")</f>
        <v>BRJZHTDCQMTFM</v>
      </c>
      <c r="B160" s="2" t="str">
        <f>IFERROR(__xludf.DUMMYFUNCTION("IF('From Order'!$A160=COLUMNS($A160:B179), LEFT(INDEX(FILTER(B$1:B159, B$1:B159&lt;&gt;""""),COUNTA(FILTER(B$1:B159, B$1:B159&lt;&gt;""""))), LEN(INDEX(FILTER(B$1:B159, B$1:B159&lt;&gt;""""),COUNTA(FILTER(B$1:B159, B$1:B159&lt;&gt;""""))))-1), IF('To Order'!$A160=COLUMNS($A160:B"&amp;"179), B159&amp;RIGHT(INDIRECT(ADDRESS(ROW(B160)-1, 'From Order'!$A160)), 1), B159))"),"S")</f>
        <v>S</v>
      </c>
      <c r="C160" s="2" t="str">
        <f>IFERROR(__xludf.DUMMYFUNCTION("IF('From Order'!$A160=COLUMNS($A160:C179), LEFT(INDEX(FILTER(C$1:C159, C$1:C159&lt;&gt;""""),COUNTA(FILTER(C$1:C159, C$1:C159&lt;&gt;""""))), LEN(INDEX(FILTER(C$1:C159, C$1:C159&lt;&gt;""""),COUNTA(FILTER(C$1:C159, C$1:C159&lt;&gt;""""))))-1), IF('To Order'!$A160=COLUMNS($A160:C"&amp;"179), C159&amp;RIGHT(INDIRECT(ADDRESS(ROW(C160)-1, 'From Order'!$A160)), 1), C159))"),"VTZRW")</f>
        <v>VTZRW</v>
      </c>
      <c r="D160" s="2" t="str">
        <f>IFERROR(__xludf.DUMMYFUNCTION("IF('From Order'!$A160=COLUMNS($A160:D179), LEFT(INDEX(FILTER(D$1:D159, D$1:D159&lt;&gt;""""),COUNTA(FILTER(D$1:D159, D$1:D159&lt;&gt;""""))), LEN(INDEX(FILTER(D$1:D159, D$1:D159&lt;&gt;""""),COUNTA(FILTER(D$1:D159, D$1:D159&lt;&gt;""""))))-1), IF('To Order'!$A160=COLUMNS($A160:D"&amp;"179), D159&amp;RIGHT(INDIRECT(ADDRESS(ROW(D160)-1, 'From Order'!$A160)), 1), D159))"),"DTCHSPVMZDDTLCBRQPDSVR")</f>
        <v>DTCHSPVMZDDTLCBRQPDSVR</v>
      </c>
      <c r="E160" s="2" t="str">
        <f>IFERROR(__xludf.DUMMYFUNCTION("IF('From Order'!$A160=COLUMNS($A160:E179), LEFT(INDEX(FILTER(E$1:E159, E$1:E159&lt;&gt;""""),COUNTA(FILTER(E$1:E159, E$1:E159&lt;&gt;""""))), LEN(INDEX(FILTER(E$1:E159, E$1:E159&lt;&gt;""""),COUNTA(FILTER(E$1:E159, E$1:E159&lt;&gt;""""))))-1), IF('To Order'!$A160=COLUMNS($A160:E"&amp;"179), E159&amp;RIGHT(INDIRECT(ADDRESS(ROW(E160)-1, 'From Order'!$A160)), 1), E159))"),"GPBSGDJ")</f>
        <v>GPBSGDJ</v>
      </c>
      <c r="F160" s="2" t="str">
        <f>IFERROR(__xludf.DUMMYFUNCTION("IF('From Order'!$A160=COLUMNS($A160:F179), LEFT(INDEX(FILTER(F$1:F159, F$1:F159&lt;&gt;""""),COUNTA(FILTER(F$1:F159, F$1:F159&lt;&gt;""""))), LEN(INDEX(FILTER(F$1:F159, F$1:F159&lt;&gt;""""),COUNTA(FILTER(F$1:F159, F$1:F159&lt;&gt;""""))))-1), IF('To Order'!$A160=COLUMNS($A160:F"&amp;"179), F159&amp;RIGHT(INDIRECT(ADDRESS(ROW(F160)-1, 'From Order'!$A160)), 1), F159))"),"FBJLRT")</f>
        <v>FBJLRT</v>
      </c>
      <c r="G160" s="2" t="str">
        <f>IFERROR(__xludf.DUMMYFUNCTION("IF('From Order'!$A160=COLUMNS($A160:G179), LEFT(INDEX(FILTER(G$1:G159, G$1:G159&lt;&gt;""""),COUNTA(FILTER(G$1:G159, G$1:G159&lt;&gt;""""))), LEN(INDEX(FILTER(G$1:G159, G$1:G159&lt;&gt;""""),COUNTA(FILTER(G$1:G159, G$1:G159&lt;&gt;""""))))-1), IF('To Order'!$A160=COLUMNS($A160:G"&amp;"179), G159&amp;RIGHT(INDIRECT(ADDRESS(ROW(G160)-1, 'From Order'!$A160)), 1), G159))"),"W")</f>
        <v>W</v>
      </c>
      <c r="H160" s="2" t="str">
        <f>IFERROR(__xludf.DUMMYFUNCTION("IF('From Order'!$A160=COLUMNS($A160:H179), LEFT(INDEX(FILTER(H$1:H159, H$1:H159&lt;&gt;""""),COUNTA(FILTER(H$1:H159, H$1:H159&lt;&gt;""""))), LEN(INDEX(FILTER(H$1:H159, H$1:H159&lt;&gt;""""),COUNTA(FILTER(H$1:H159, H$1:H159&lt;&gt;""""))))-1), IF('To Order'!$A160=COLUMNS($A160:H"&amp;"179), H159&amp;RIGHT(INDIRECT(ADDRESS(ROW(H160)-1, 'From Order'!$A160)), 1), H159))"),"")</f>
        <v/>
      </c>
      <c r="I160" s="2" t="str">
        <f>IFERROR(__xludf.DUMMYFUNCTION("IF('From Order'!$A160=COLUMNS($A160:I179), LEFT(INDEX(FILTER(I$1:I159, I$1:I159&lt;&gt;""""),COUNTA(FILTER(I$1:I159, I$1:I159&lt;&gt;""""))), LEN(INDEX(FILTER(I$1:I159, I$1:I159&lt;&gt;""""),COUNTA(FILTER(I$1:I159, I$1:I159&lt;&gt;""""))))-1), IF('To Order'!$A160=COLUMNS($A160:I"&amp;"179), I159&amp;RIGHT(INDIRECT(ADDRESS(ROW(I160)-1, 'From Order'!$A160)), 1), I159))"),"L")</f>
        <v>L</v>
      </c>
    </row>
    <row r="161">
      <c r="A161" s="2" t="str">
        <f>IFERROR(__xludf.DUMMYFUNCTION("IF('From Order'!$A161=COLUMNS($A161:A180), LEFT(INDEX(FILTER(A$1:A160, A$1:A160&lt;&gt;""""),COUNTA(FILTER(A$1:A160, A$1:A160&lt;&gt;""""))), LEN(INDEX(FILTER(A$1:A160, A$1:A160&lt;&gt;""""),COUNTA(FILTER(A$1:A160, A$1:A160&lt;&gt;""""))))-1), IF('To Order'!$A161=COLUMNS($A161:A"&amp;"180), A160&amp;RIGHT(INDIRECT(ADDRESS(ROW(A161)-1, 'From Order'!$A161)), 1), A160))"),"BRJZHTDCQMTFM")</f>
        <v>BRJZHTDCQMTFM</v>
      </c>
      <c r="B161" s="2" t="str">
        <f>IFERROR(__xludf.DUMMYFUNCTION("IF('From Order'!$A161=COLUMNS($A161:B180), LEFT(INDEX(FILTER(B$1:B160, B$1:B160&lt;&gt;""""),COUNTA(FILTER(B$1:B160, B$1:B160&lt;&gt;""""))), LEN(INDEX(FILTER(B$1:B160, B$1:B160&lt;&gt;""""),COUNTA(FILTER(B$1:B160, B$1:B160&lt;&gt;""""))))-1), IF('To Order'!$A161=COLUMNS($A161:B"&amp;"180), B160&amp;RIGHT(INDIRECT(ADDRESS(ROW(B161)-1, 'From Order'!$A161)), 1), B160))"),"SW")</f>
        <v>SW</v>
      </c>
      <c r="C161" s="2" t="str">
        <f>IFERROR(__xludf.DUMMYFUNCTION("IF('From Order'!$A161=COLUMNS($A161:C180), LEFT(INDEX(FILTER(C$1:C160, C$1:C160&lt;&gt;""""),COUNTA(FILTER(C$1:C160, C$1:C160&lt;&gt;""""))), LEN(INDEX(FILTER(C$1:C160, C$1:C160&lt;&gt;""""),COUNTA(FILTER(C$1:C160, C$1:C160&lt;&gt;""""))))-1), IF('To Order'!$A161=COLUMNS($A161:C"&amp;"180), C160&amp;RIGHT(INDIRECT(ADDRESS(ROW(C161)-1, 'From Order'!$A161)), 1), C160))"),"VTZRW")</f>
        <v>VTZRW</v>
      </c>
      <c r="D161" s="2" t="str">
        <f>IFERROR(__xludf.DUMMYFUNCTION("IF('From Order'!$A161=COLUMNS($A161:D180), LEFT(INDEX(FILTER(D$1:D160, D$1:D160&lt;&gt;""""),COUNTA(FILTER(D$1:D160, D$1:D160&lt;&gt;""""))), LEN(INDEX(FILTER(D$1:D160, D$1:D160&lt;&gt;""""),COUNTA(FILTER(D$1:D160, D$1:D160&lt;&gt;""""))))-1), IF('To Order'!$A161=COLUMNS($A161:D"&amp;"180), D160&amp;RIGHT(INDIRECT(ADDRESS(ROW(D161)-1, 'From Order'!$A161)), 1), D160))"),"DTCHSPVMZDDTLCBRQPDSVR")</f>
        <v>DTCHSPVMZDDTLCBRQPDSVR</v>
      </c>
      <c r="E161" s="2" t="str">
        <f>IFERROR(__xludf.DUMMYFUNCTION("IF('From Order'!$A161=COLUMNS($A161:E180), LEFT(INDEX(FILTER(E$1:E160, E$1:E160&lt;&gt;""""),COUNTA(FILTER(E$1:E160, E$1:E160&lt;&gt;""""))), LEN(INDEX(FILTER(E$1:E160, E$1:E160&lt;&gt;""""),COUNTA(FILTER(E$1:E160, E$1:E160&lt;&gt;""""))))-1), IF('To Order'!$A161=COLUMNS($A161:E"&amp;"180), E160&amp;RIGHT(INDIRECT(ADDRESS(ROW(E161)-1, 'From Order'!$A161)), 1), E160))"),"GPBSGDJ")</f>
        <v>GPBSGDJ</v>
      </c>
      <c r="F161" s="2" t="str">
        <f>IFERROR(__xludf.DUMMYFUNCTION("IF('From Order'!$A161=COLUMNS($A161:F180), LEFT(INDEX(FILTER(F$1:F160, F$1:F160&lt;&gt;""""),COUNTA(FILTER(F$1:F160, F$1:F160&lt;&gt;""""))), LEN(INDEX(FILTER(F$1:F160, F$1:F160&lt;&gt;""""),COUNTA(FILTER(F$1:F160, F$1:F160&lt;&gt;""""))))-1), IF('To Order'!$A161=COLUMNS($A161:F"&amp;"180), F160&amp;RIGHT(INDIRECT(ADDRESS(ROW(F161)-1, 'From Order'!$A161)), 1), F160))"),"FBJLRT")</f>
        <v>FBJLRT</v>
      </c>
      <c r="G161" s="2" t="str">
        <f>IFERROR(__xludf.DUMMYFUNCTION("IF('From Order'!$A161=COLUMNS($A161:G180), LEFT(INDEX(FILTER(G$1:G160, G$1:G160&lt;&gt;""""),COUNTA(FILTER(G$1:G160, G$1:G160&lt;&gt;""""))), LEN(INDEX(FILTER(G$1:G160, G$1:G160&lt;&gt;""""),COUNTA(FILTER(G$1:G160, G$1:G160&lt;&gt;""""))))-1), IF('To Order'!$A161=COLUMNS($A161:G"&amp;"180), G160&amp;RIGHT(INDIRECT(ADDRESS(ROW(G161)-1, 'From Order'!$A161)), 1), G160))"),"")</f>
        <v/>
      </c>
      <c r="H161" s="2" t="str">
        <f>IFERROR(__xludf.DUMMYFUNCTION("IF('From Order'!$A161=COLUMNS($A161:H180), LEFT(INDEX(FILTER(H$1:H160, H$1:H160&lt;&gt;""""),COUNTA(FILTER(H$1:H160, H$1:H160&lt;&gt;""""))), LEN(INDEX(FILTER(H$1:H160, H$1:H160&lt;&gt;""""),COUNTA(FILTER(H$1:H160, H$1:H160&lt;&gt;""""))))-1), IF('To Order'!$A161=COLUMNS($A161:H"&amp;"180), H160&amp;RIGHT(INDIRECT(ADDRESS(ROW(H161)-1, 'From Order'!$A161)), 1), H160))"),"")</f>
        <v/>
      </c>
      <c r="I161" s="2" t="str">
        <f>IFERROR(__xludf.DUMMYFUNCTION("IF('From Order'!$A161=COLUMNS($A161:I180), LEFT(INDEX(FILTER(I$1:I160, I$1:I160&lt;&gt;""""),COUNTA(FILTER(I$1:I160, I$1:I160&lt;&gt;""""))), LEN(INDEX(FILTER(I$1:I160, I$1:I160&lt;&gt;""""),COUNTA(FILTER(I$1:I160, I$1:I160&lt;&gt;""""))))-1), IF('To Order'!$A161=COLUMNS($A161:I"&amp;"180), I160&amp;RIGHT(INDIRECT(ADDRESS(ROW(I161)-1, 'From Order'!$A161)), 1), I160))"),"L")</f>
        <v>L</v>
      </c>
    </row>
    <row r="162">
      <c r="A162" s="2" t="str">
        <f>IFERROR(__xludf.DUMMYFUNCTION("IF('From Order'!$A162=COLUMNS($A162:A181), LEFT(INDEX(FILTER(A$1:A161, A$1:A161&lt;&gt;""""),COUNTA(FILTER(A$1:A161, A$1:A161&lt;&gt;""""))), LEN(INDEX(FILTER(A$1:A161, A$1:A161&lt;&gt;""""),COUNTA(FILTER(A$1:A161, A$1:A161&lt;&gt;""""))))-1), IF('To Order'!$A162=COLUMNS($A162:A"&amp;"181), A161&amp;RIGHT(INDIRECT(ADDRESS(ROW(A162)-1, 'From Order'!$A162)), 1), A161))"),"BRJZHTDCQMTFM")</f>
        <v>BRJZHTDCQMTFM</v>
      </c>
      <c r="B162" s="2" t="str">
        <f>IFERROR(__xludf.DUMMYFUNCTION("IF('From Order'!$A162=COLUMNS($A162:B181), LEFT(INDEX(FILTER(B$1:B161, B$1:B161&lt;&gt;""""),COUNTA(FILTER(B$1:B161, B$1:B161&lt;&gt;""""))), LEN(INDEX(FILTER(B$1:B161, B$1:B161&lt;&gt;""""),COUNTA(FILTER(B$1:B161, B$1:B161&lt;&gt;""""))))-1), IF('To Order'!$A162=COLUMNS($A162:B"&amp;"181), B161&amp;RIGHT(INDIRECT(ADDRESS(ROW(B162)-1, 'From Order'!$A162)), 1), B161))"),"SW")</f>
        <v>SW</v>
      </c>
      <c r="C162" s="2" t="str">
        <f>IFERROR(__xludf.DUMMYFUNCTION("IF('From Order'!$A162=COLUMNS($A162:C181), LEFT(INDEX(FILTER(C$1:C161, C$1:C161&lt;&gt;""""),COUNTA(FILTER(C$1:C161, C$1:C161&lt;&gt;""""))), LEN(INDEX(FILTER(C$1:C161, C$1:C161&lt;&gt;""""),COUNTA(FILTER(C$1:C161, C$1:C161&lt;&gt;""""))))-1), IF('To Order'!$A162=COLUMNS($A162:C"&amp;"181), C161&amp;RIGHT(INDIRECT(ADDRESS(ROW(C162)-1, 'From Order'!$A162)), 1), C161))"),"VTZRWT")</f>
        <v>VTZRWT</v>
      </c>
      <c r="D162" s="2" t="str">
        <f>IFERROR(__xludf.DUMMYFUNCTION("IF('From Order'!$A162=COLUMNS($A162:D181), LEFT(INDEX(FILTER(D$1:D161, D$1:D161&lt;&gt;""""),COUNTA(FILTER(D$1:D161, D$1:D161&lt;&gt;""""))), LEN(INDEX(FILTER(D$1:D161, D$1:D161&lt;&gt;""""),COUNTA(FILTER(D$1:D161, D$1:D161&lt;&gt;""""))))-1), IF('To Order'!$A162=COLUMNS($A162:D"&amp;"181), D161&amp;RIGHT(INDIRECT(ADDRESS(ROW(D162)-1, 'From Order'!$A162)), 1), D161))"),"DTCHSPVMZDDTLCBRQPDSVR")</f>
        <v>DTCHSPVMZDDTLCBRQPDSVR</v>
      </c>
      <c r="E162" s="2" t="str">
        <f>IFERROR(__xludf.DUMMYFUNCTION("IF('From Order'!$A162=COLUMNS($A162:E181), LEFT(INDEX(FILTER(E$1:E161, E$1:E161&lt;&gt;""""),COUNTA(FILTER(E$1:E161, E$1:E161&lt;&gt;""""))), LEN(INDEX(FILTER(E$1:E161, E$1:E161&lt;&gt;""""),COUNTA(FILTER(E$1:E161, E$1:E161&lt;&gt;""""))))-1), IF('To Order'!$A162=COLUMNS($A162:E"&amp;"181), E161&amp;RIGHT(INDIRECT(ADDRESS(ROW(E162)-1, 'From Order'!$A162)), 1), E161))"),"GPBSGDJ")</f>
        <v>GPBSGDJ</v>
      </c>
      <c r="F162" s="2" t="str">
        <f>IFERROR(__xludf.DUMMYFUNCTION("IF('From Order'!$A162=COLUMNS($A162:F181), LEFT(INDEX(FILTER(F$1:F161, F$1:F161&lt;&gt;""""),COUNTA(FILTER(F$1:F161, F$1:F161&lt;&gt;""""))), LEN(INDEX(FILTER(F$1:F161, F$1:F161&lt;&gt;""""),COUNTA(FILTER(F$1:F161, F$1:F161&lt;&gt;""""))))-1), IF('To Order'!$A162=COLUMNS($A162:F"&amp;"181), F161&amp;RIGHT(INDIRECT(ADDRESS(ROW(F162)-1, 'From Order'!$A162)), 1), F161))"),"FBJLR")</f>
        <v>FBJLR</v>
      </c>
      <c r="G162" s="2" t="str">
        <f>IFERROR(__xludf.DUMMYFUNCTION("IF('From Order'!$A162=COLUMNS($A162:G181), LEFT(INDEX(FILTER(G$1:G161, G$1:G161&lt;&gt;""""),COUNTA(FILTER(G$1:G161, G$1:G161&lt;&gt;""""))), LEN(INDEX(FILTER(G$1:G161, G$1:G161&lt;&gt;""""),COUNTA(FILTER(G$1:G161, G$1:G161&lt;&gt;""""))))-1), IF('To Order'!$A162=COLUMNS($A162:G"&amp;"181), G161&amp;RIGHT(INDIRECT(ADDRESS(ROW(G162)-1, 'From Order'!$A162)), 1), G161))"),"")</f>
        <v/>
      </c>
      <c r="H162" s="2" t="str">
        <f>IFERROR(__xludf.DUMMYFUNCTION("IF('From Order'!$A162=COLUMNS($A162:H181), LEFT(INDEX(FILTER(H$1:H161, H$1:H161&lt;&gt;""""),COUNTA(FILTER(H$1:H161, H$1:H161&lt;&gt;""""))), LEN(INDEX(FILTER(H$1:H161, H$1:H161&lt;&gt;""""),COUNTA(FILTER(H$1:H161, H$1:H161&lt;&gt;""""))))-1), IF('To Order'!$A162=COLUMNS($A162:H"&amp;"181), H161&amp;RIGHT(INDIRECT(ADDRESS(ROW(H162)-1, 'From Order'!$A162)), 1), H161))"),"")</f>
        <v/>
      </c>
      <c r="I162" s="2" t="str">
        <f>IFERROR(__xludf.DUMMYFUNCTION("IF('From Order'!$A162=COLUMNS($A162:I181), LEFT(INDEX(FILTER(I$1:I161, I$1:I161&lt;&gt;""""),COUNTA(FILTER(I$1:I161, I$1:I161&lt;&gt;""""))), LEN(INDEX(FILTER(I$1:I161, I$1:I161&lt;&gt;""""),COUNTA(FILTER(I$1:I161, I$1:I161&lt;&gt;""""))))-1), IF('To Order'!$A162=COLUMNS($A162:I"&amp;"181), I161&amp;RIGHT(INDIRECT(ADDRESS(ROW(I162)-1, 'From Order'!$A162)), 1), I161))"),"L")</f>
        <v>L</v>
      </c>
    </row>
    <row r="163">
      <c r="A163" s="2" t="str">
        <f>IFERROR(__xludf.DUMMYFUNCTION("IF('From Order'!$A163=COLUMNS($A163:A182), LEFT(INDEX(FILTER(A$1:A162, A$1:A162&lt;&gt;""""),COUNTA(FILTER(A$1:A162, A$1:A162&lt;&gt;""""))), LEN(INDEX(FILTER(A$1:A162, A$1:A162&lt;&gt;""""),COUNTA(FILTER(A$1:A162, A$1:A162&lt;&gt;""""))))-1), IF('To Order'!$A163=COLUMNS($A163:A"&amp;"182), A162&amp;RIGHT(INDIRECT(ADDRESS(ROW(A163)-1, 'From Order'!$A163)), 1), A162))"),"BRJZHTDCQMTFM")</f>
        <v>BRJZHTDCQMTFM</v>
      </c>
      <c r="B163" s="2" t="str">
        <f>IFERROR(__xludf.DUMMYFUNCTION("IF('From Order'!$A163=COLUMNS($A163:B182), LEFT(INDEX(FILTER(B$1:B162, B$1:B162&lt;&gt;""""),COUNTA(FILTER(B$1:B162, B$1:B162&lt;&gt;""""))), LEN(INDEX(FILTER(B$1:B162, B$1:B162&lt;&gt;""""),COUNTA(FILTER(B$1:B162, B$1:B162&lt;&gt;""""))))-1), IF('To Order'!$A163=COLUMNS($A163:B"&amp;"182), B162&amp;RIGHT(INDIRECT(ADDRESS(ROW(B163)-1, 'From Order'!$A163)), 1), B162))"),"SW")</f>
        <v>SW</v>
      </c>
      <c r="C163" s="2" t="str">
        <f>IFERROR(__xludf.DUMMYFUNCTION("IF('From Order'!$A163=COLUMNS($A163:C182), LEFT(INDEX(FILTER(C$1:C162, C$1:C162&lt;&gt;""""),COUNTA(FILTER(C$1:C162, C$1:C162&lt;&gt;""""))), LEN(INDEX(FILTER(C$1:C162, C$1:C162&lt;&gt;""""),COUNTA(FILTER(C$1:C162, C$1:C162&lt;&gt;""""))))-1), IF('To Order'!$A163=COLUMNS($A163:C"&amp;"182), C162&amp;RIGHT(INDIRECT(ADDRESS(ROW(C163)-1, 'From Order'!$A163)), 1), C162))"),"VTZRWTR")</f>
        <v>VTZRWTR</v>
      </c>
      <c r="D163" s="2" t="str">
        <f>IFERROR(__xludf.DUMMYFUNCTION("IF('From Order'!$A163=COLUMNS($A163:D182), LEFT(INDEX(FILTER(D$1:D162, D$1:D162&lt;&gt;""""),COUNTA(FILTER(D$1:D162, D$1:D162&lt;&gt;""""))), LEN(INDEX(FILTER(D$1:D162, D$1:D162&lt;&gt;""""),COUNTA(FILTER(D$1:D162, D$1:D162&lt;&gt;""""))))-1), IF('To Order'!$A163=COLUMNS($A163:D"&amp;"182), D162&amp;RIGHT(INDIRECT(ADDRESS(ROW(D163)-1, 'From Order'!$A163)), 1), D162))"),"DTCHSPVMZDDTLCBRQPDSVR")</f>
        <v>DTCHSPVMZDDTLCBRQPDSVR</v>
      </c>
      <c r="E163" s="2" t="str">
        <f>IFERROR(__xludf.DUMMYFUNCTION("IF('From Order'!$A163=COLUMNS($A163:E182), LEFT(INDEX(FILTER(E$1:E162, E$1:E162&lt;&gt;""""),COUNTA(FILTER(E$1:E162, E$1:E162&lt;&gt;""""))), LEN(INDEX(FILTER(E$1:E162, E$1:E162&lt;&gt;""""),COUNTA(FILTER(E$1:E162, E$1:E162&lt;&gt;""""))))-1), IF('To Order'!$A163=COLUMNS($A163:E"&amp;"182), E162&amp;RIGHT(INDIRECT(ADDRESS(ROW(E163)-1, 'From Order'!$A163)), 1), E162))"),"GPBSGDJ")</f>
        <v>GPBSGDJ</v>
      </c>
      <c r="F163" s="2" t="str">
        <f>IFERROR(__xludf.DUMMYFUNCTION("IF('From Order'!$A163=COLUMNS($A163:F182), LEFT(INDEX(FILTER(F$1:F162, F$1:F162&lt;&gt;""""),COUNTA(FILTER(F$1:F162, F$1:F162&lt;&gt;""""))), LEN(INDEX(FILTER(F$1:F162, F$1:F162&lt;&gt;""""),COUNTA(FILTER(F$1:F162, F$1:F162&lt;&gt;""""))))-1), IF('To Order'!$A163=COLUMNS($A163:F"&amp;"182), F162&amp;RIGHT(INDIRECT(ADDRESS(ROW(F163)-1, 'From Order'!$A163)), 1), F162))"),"FBJL")</f>
        <v>FBJL</v>
      </c>
      <c r="G163" s="2" t="str">
        <f>IFERROR(__xludf.DUMMYFUNCTION("IF('From Order'!$A163=COLUMNS($A163:G182), LEFT(INDEX(FILTER(G$1:G162, G$1:G162&lt;&gt;""""),COUNTA(FILTER(G$1:G162, G$1:G162&lt;&gt;""""))), LEN(INDEX(FILTER(G$1:G162, G$1:G162&lt;&gt;""""),COUNTA(FILTER(G$1:G162, G$1:G162&lt;&gt;""""))))-1), IF('To Order'!$A163=COLUMNS($A163:G"&amp;"182), G162&amp;RIGHT(INDIRECT(ADDRESS(ROW(G163)-1, 'From Order'!$A163)), 1), G162))"),"")</f>
        <v/>
      </c>
      <c r="H163" s="2" t="str">
        <f>IFERROR(__xludf.DUMMYFUNCTION("IF('From Order'!$A163=COLUMNS($A163:H182), LEFT(INDEX(FILTER(H$1:H162, H$1:H162&lt;&gt;""""),COUNTA(FILTER(H$1:H162, H$1:H162&lt;&gt;""""))), LEN(INDEX(FILTER(H$1:H162, H$1:H162&lt;&gt;""""),COUNTA(FILTER(H$1:H162, H$1:H162&lt;&gt;""""))))-1), IF('To Order'!$A163=COLUMNS($A163:H"&amp;"182), H162&amp;RIGHT(INDIRECT(ADDRESS(ROW(H163)-1, 'From Order'!$A163)), 1), H162))"),"")</f>
        <v/>
      </c>
      <c r="I163" s="2" t="str">
        <f>IFERROR(__xludf.DUMMYFUNCTION("IF('From Order'!$A163=COLUMNS($A163:I182), LEFT(INDEX(FILTER(I$1:I162, I$1:I162&lt;&gt;""""),COUNTA(FILTER(I$1:I162, I$1:I162&lt;&gt;""""))), LEN(INDEX(FILTER(I$1:I162, I$1:I162&lt;&gt;""""),COUNTA(FILTER(I$1:I162, I$1:I162&lt;&gt;""""))))-1), IF('To Order'!$A163=COLUMNS($A163:I"&amp;"182), I162&amp;RIGHT(INDIRECT(ADDRESS(ROW(I163)-1, 'From Order'!$A163)), 1), I162))"),"L")</f>
        <v>L</v>
      </c>
    </row>
    <row r="164">
      <c r="A164" s="2" t="str">
        <f>IFERROR(__xludf.DUMMYFUNCTION("IF('From Order'!$A164=COLUMNS($A164:A183), LEFT(INDEX(FILTER(A$1:A163, A$1:A163&lt;&gt;""""),COUNTA(FILTER(A$1:A163, A$1:A163&lt;&gt;""""))), LEN(INDEX(FILTER(A$1:A163, A$1:A163&lt;&gt;""""),COUNTA(FILTER(A$1:A163, A$1:A163&lt;&gt;""""))))-1), IF('To Order'!$A164=COLUMNS($A164:A"&amp;"183), A163&amp;RIGHT(INDIRECT(ADDRESS(ROW(A164)-1, 'From Order'!$A164)), 1), A163))"),"BRJZHTDCQMTFM")</f>
        <v>BRJZHTDCQMTFM</v>
      </c>
      <c r="B164" s="2" t="str">
        <f>IFERROR(__xludf.DUMMYFUNCTION("IF('From Order'!$A164=COLUMNS($A164:B183), LEFT(INDEX(FILTER(B$1:B163, B$1:B163&lt;&gt;""""),COUNTA(FILTER(B$1:B163, B$1:B163&lt;&gt;""""))), LEN(INDEX(FILTER(B$1:B163, B$1:B163&lt;&gt;""""),COUNTA(FILTER(B$1:B163, B$1:B163&lt;&gt;""""))))-1), IF('To Order'!$A164=COLUMNS($A164:B"&amp;"183), B163&amp;RIGHT(INDIRECT(ADDRESS(ROW(B164)-1, 'From Order'!$A164)), 1), B163))"),"SW")</f>
        <v>SW</v>
      </c>
      <c r="C164" s="2" t="str">
        <f>IFERROR(__xludf.DUMMYFUNCTION("IF('From Order'!$A164=COLUMNS($A164:C183), LEFT(INDEX(FILTER(C$1:C163, C$1:C163&lt;&gt;""""),COUNTA(FILTER(C$1:C163, C$1:C163&lt;&gt;""""))), LEN(INDEX(FILTER(C$1:C163, C$1:C163&lt;&gt;""""),COUNTA(FILTER(C$1:C163, C$1:C163&lt;&gt;""""))))-1), IF('To Order'!$A164=COLUMNS($A164:C"&amp;"183), C163&amp;RIGHT(INDIRECT(ADDRESS(ROW(C164)-1, 'From Order'!$A164)), 1), C163))"),"VTZRWTRL")</f>
        <v>VTZRWTRL</v>
      </c>
      <c r="D164" s="2" t="str">
        <f>IFERROR(__xludf.DUMMYFUNCTION("IF('From Order'!$A164=COLUMNS($A164:D183), LEFT(INDEX(FILTER(D$1:D163, D$1:D163&lt;&gt;""""),COUNTA(FILTER(D$1:D163, D$1:D163&lt;&gt;""""))), LEN(INDEX(FILTER(D$1:D163, D$1:D163&lt;&gt;""""),COUNTA(FILTER(D$1:D163, D$1:D163&lt;&gt;""""))))-1), IF('To Order'!$A164=COLUMNS($A164:D"&amp;"183), D163&amp;RIGHT(INDIRECT(ADDRESS(ROW(D164)-1, 'From Order'!$A164)), 1), D163))"),"DTCHSPVMZDDTLCBRQPDSVR")</f>
        <v>DTCHSPVMZDDTLCBRQPDSVR</v>
      </c>
      <c r="E164" s="2" t="str">
        <f>IFERROR(__xludf.DUMMYFUNCTION("IF('From Order'!$A164=COLUMNS($A164:E183), LEFT(INDEX(FILTER(E$1:E163, E$1:E163&lt;&gt;""""),COUNTA(FILTER(E$1:E163, E$1:E163&lt;&gt;""""))), LEN(INDEX(FILTER(E$1:E163, E$1:E163&lt;&gt;""""),COUNTA(FILTER(E$1:E163, E$1:E163&lt;&gt;""""))))-1), IF('To Order'!$A164=COLUMNS($A164:E"&amp;"183), E163&amp;RIGHT(INDIRECT(ADDRESS(ROW(E164)-1, 'From Order'!$A164)), 1), E163))"),"GPBSGDJ")</f>
        <v>GPBSGDJ</v>
      </c>
      <c r="F164" s="2" t="str">
        <f>IFERROR(__xludf.DUMMYFUNCTION("IF('From Order'!$A164=COLUMNS($A164:F183), LEFT(INDEX(FILTER(F$1:F163, F$1:F163&lt;&gt;""""),COUNTA(FILTER(F$1:F163, F$1:F163&lt;&gt;""""))), LEN(INDEX(FILTER(F$1:F163, F$1:F163&lt;&gt;""""),COUNTA(FILTER(F$1:F163, F$1:F163&lt;&gt;""""))))-1), IF('To Order'!$A164=COLUMNS($A164:F"&amp;"183), F163&amp;RIGHT(INDIRECT(ADDRESS(ROW(F164)-1, 'From Order'!$A164)), 1), F163))"),"FBJ")</f>
        <v>FBJ</v>
      </c>
      <c r="G164" s="2" t="str">
        <f>IFERROR(__xludf.DUMMYFUNCTION("IF('From Order'!$A164=COLUMNS($A164:G183), LEFT(INDEX(FILTER(G$1:G163, G$1:G163&lt;&gt;""""),COUNTA(FILTER(G$1:G163, G$1:G163&lt;&gt;""""))), LEN(INDEX(FILTER(G$1:G163, G$1:G163&lt;&gt;""""),COUNTA(FILTER(G$1:G163, G$1:G163&lt;&gt;""""))))-1), IF('To Order'!$A164=COLUMNS($A164:G"&amp;"183), G163&amp;RIGHT(INDIRECT(ADDRESS(ROW(G164)-1, 'From Order'!$A164)), 1), G163))"),"")</f>
        <v/>
      </c>
      <c r="H164" s="2" t="str">
        <f>IFERROR(__xludf.DUMMYFUNCTION("IF('From Order'!$A164=COLUMNS($A164:H183), LEFT(INDEX(FILTER(H$1:H163, H$1:H163&lt;&gt;""""),COUNTA(FILTER(H$1:H163, H$1:H163&lt;&gt;""""))), LEN(INDEX(FILTER(H$1:H163, H$1:H163&lt;&gt;""""),COUNTA(FILTER(H$1:H163, H$1:H163&lt;&gt;""""))))-1), IF('To Order'!$A164=COLUMNS($A164:H"&amp;"183), H163&amp;RIGHT(INDIRECT(ADDRESS(ROW(H164)-1, 'From Order'!$A164)), 1), H163))"),"")</f>
        <v/>
      </c>
      <c r="I164" s="2" t="str">
        <f>IFERROR(__xludf.DUMMYFUNCTION("IF('From Order'!$A164=COLUMNS($A164:I183), LEFT(INDEX(FILTER(I$1:I163, I$1:I163&lt;&gt;""""),COUNTA(FILTER(I$1:I163, I$1:I163&lt;&gt;""""))), LEN(INDEX(FILTER(I$1:I163, I$1:I163&lt;&gt;""""),COUNTA(FILTER(I$1:I163, I$1:I163&lt;&gt;""""))))-1), IF('To Order'!$A164=COLUMNS($A164:I"&amp;"183), I163&amp;RIGHT(INDIRECT(ADDRESS(ROW(I164)-1, 'From Order'!$A164)), 1), I163))"),"L")</f>
        <v>L</v>
      </c>
    </row>
    <row r="165">
      <c r="A165" s="2" t="str">
        <f>IFERROR(__xludf.DUMMYFUNCTION("IF('From Order'!$A165=COLUMNS($A165:A184), LEFT(INDEX(FILTER(A$1:A164, A$1:A164&lt;&gt;""""),COUNTA(FILTER(A$1:A164, A$1:A164&lt;&gt;""""))), LEN(INDEX(FILTER(A$1:A164, A$1:A164&lt;&gt;""""),COUNTA(FILTER(A$1:A164, A$1:A164&lt;&gt;""""))))-1), IF('To Order'!$A165=COLUMNS($A165:A"&amp;"184), A164&amp;RIGHT(INDIRECT(ADDRESS(ROW(A165)-1, 'From Order'!$A165)), 1), A164))"),"BRJZHTDCQMTFM")</f>
        <v>BRJZHTDCQMTFM</v>
      </c>
      <c r="B165" s="2" t="str">
        <f>IFERROR(__xludf.DUMMYFUNCTION("IF('From Order'!$A165=COLUMNS($A165:B184), LEFT(INDEX(FILTER(B$1:B164, B$1:B164&lt;&gt;""""),COUNTA(FILTER(B$1:B164, B$1:B164&lt;&gt;""""))), LEN(INDEX(FILTER(B$1:B164, B$1:B164&lt;&gt;""""),COUNTA(FILTER(B$1:B164, B$1:B164&lt;&gt;""""))))-1), IF('To Order'!$A165=COLUMNS($A165:B"&amp;"184), B164&amp;RIGHT(INDIRECT(ADDRESS(ROW(B165)-1, 'From Order'!$A165)), 1), B164))"),"SW")</f>
        <v>SW</v>
      </c>
      <c r="C165" s="2" t="str">
        <f>IFERROR(__xludf.DUMMYFUNCTION("IF('From Order'!$A165=COLUMNS($A165:C184), LEFT(INDEX(FILTER(C$1:C164, C$1:C164&lt;&gt;""""),COUNTA(FILTER(C$1:C164, C$1:C164&lt;&gt;""""))), LEN(INDEX(FILTER(C$1:C164, C$1:C164&lt;&gt;""""),COUNTA(FILTER(C$1:C164, C$1:C164&lt;&gt;""""))))-1), IF('To Order'!$A165=COLUMNS($A165:C"&amp;"184), C164&amp;RIGHT(INDIRECT(ADDRESS(ROW(C165)-1, 'From Order'!$A165)), 1), C164))"),"VTZRWTRLJ")</f>
        <v>VTZRWTRLJ</v>
      </c>
      <c r="D165" s="2" t="str">
        <f>IFERROR(__xludf.DUMMYFUNCTION("IF('From Order'!$A165=COLUMNS($A165:D184), LEFT(INDEX(FILTER(D$1:D164, D$1:D164&lt;&gt;""""),COUNTA(FILTER(D$1:D164, D$1:D164&lt;&gt;""""))), LEN(INDEX(FILTER(D$1:D164, D$1:D164&lt;&gt;""""),COUNTA(FILTER(D$1:D164, D$1:D164&lt;&gt;""""))))-1), IF('To Order'!$A165=COLUMNS($A165:D"&amp;"184), D164&amp;RIGHT(INDIRECT(ADDRESS(ROW(D165)-1, 'From Order'!$A165)), 1), D164))"),"DTCHSPVMZDDTLCBRQPDSVR")</f>
        <v>DTCHSPVMZDDTLCBRQPDSVR</v>
      </c>
      <c r="E165" s="2" t="str">
        <f>IFERROR(__xludf.DUMMYFUNCTION("IF('From Order'!$A165=COLUMNS($A165:E184), LEFT(INDEX(FILTER(E$1:E164, E$1:E164&lt;&gt;""""),COUNTA(FILTER(E$1:E164, E$1:E164&lt;&gt;""""))), LEN(INDEX(FILTER(E$1:E164, E$1:E164&lt;&gt;""""),COUNTA(FILTER(E$1:E164, E$1:E164&lt;&gt;""""))))-1), IF('To Order'!$A165=COLUMNS($A165:E"&amp;"184), E164&amp;RIGHT(INDIRECT(ADDRESS(ROW(E165)-1, 'From Order'!$A165)), 1), E164))"),"GPBSGDJ")</f>
        <v>GPBSGDJ</v>
      </c>
      <c r="F165" s="2" t="str">
        <f>IFERROR(__xludf.DUMMYFUNCTION("IF('From Order'!$A165=COLUMNS($A165:F184), LEFT(INDEX(FILTER(F$1:F164, F$1:F164&lt;&gt;""""),COUNTA(FILTER(F$1:F164, F$1:F164&lt;&gt;""""))), LEN(INDEX(FILTER(F$1:F164, F$1:F164&lt;&gt;""""),COUNTA(FILTER(F$1:F164, F$1:F164&lt;&gt;""""))))-1), IF('To Order'!$A165=COLUMNS($A165:F"&amp;"184), F164&amp;RIGHT(INDIRECT(ADDRESS(ROW(F165)-1, 'From Order'!$A165)), 1), F164))"),"FB")</f>
        <v>FB</v>
      </c>
      <c r="G165" s="2" t="str">
        <f>IFERROR(__xludf.DUMMYFUNCTION("IF('From Order'!$A165=COLUMNS($A165:G184), LEFT(INDEX(FILTER(G$1:G164, G$1:G164&lt;&gt;""""),COUNTA(FILTER(G$1:G164, G$1:G164&lt;&gt;""""))), LEN(INDEX(FILTER(G$1:G164, G$1:G164&lt;&gt;""""),COUNTA(FILTER(G$1:G164, G$1:G164&lt;&gt;""""))))-1), IF('To Order'!$A165=COLUMNS($A165:G"&amp;"184), G164&amp;RIGHT(INDIRECT(ADDRESS(ROW(G165)-1, 'From Order'!$A165)), 1), G164))"),"")</f>
        <v/>
      </c>
      <c r="H165" s="2" t="str">
        <f>IFERROR(__xludf.DUMMYFUNCTION("IF('From Order'!$A165=COLUMNS($A165:H184), LEFT(INDEX(FILTER(H$1:H164, H$1:H164&lt;&gt;""""),COUNTA(FILTER(H$1:H164, H$1:H164&lt;&gt;""""))), LEN(INDEX(FILTER(H$1:H164, H$1:H164&lt;&gt;""""),COUNTA(FILTER(H$1:H164, H$1:H164&lt;&gt;""""))))-1), IF('To Order'!$A165=COLUMNS($A165:H"&amp;"184), H164&amp;RIGHT(INDIRECT(ADDRESS(ROW(H165)-1, 'From Order'!$A165)), 1), H164))"),"")</f>
        <v/>
      </c>
      <c r="I165" s="2" t="str">
        <f>IFERROR(__xludf.DUMMYFUNCTION("IF('From Order'!$A165=COLUMNS($A165:I184), LEFT(INDEX(FILTER(I$1:I164, I$1:I164&lt;&gt;""""),COUNTA(FILTER(I$1:I164, I$1:I164&lt;&gt;""""))), LEN(INDEX(FILTER(I$1:I164, I$1:I164&lt;&gt;""""),COUNTA(FILTER(I$1:I164, I$1:I164&lt;&gt;""""))))-1), IF('To Order'!$A165=COLUMNS($A165:I"&amp;"184), I164&amp;RIGHT(INDIRECT(ADDRESS(ROW(I165)-1, 'From Order'!$A165)), 1), I164))"),"L")</f>
        <v>L</v>
      </c>
    </row>
    <row r="166">
      <c r="A166" s="2" t="str">
        <f>IFERROR(__xludf.DUMMYFUNCTION("IF('From Order'!$A166=COLUMNS($A166:A185), LEFT(INDEX(FILTER(A$1:A165, A$1:A165&lt;&gt;""""),COUNTA(FILTER(A$1:A165, A$1:A165&lt;&gt;""""))), LEN(INDEX(FILTER(A$1:A165, A$1:A165&lt;&gt;""""),COUNTA(FILTER(A$1:A165, A$1:A165&lt;&gt;""""))))-1), IF('To Order'!$A166=COLUMNS($A166:A"&amp;"185), A165&amp;RIGHT(INDIRECT(ADDRESS(ROW(A166)-1, 'From Order'!$A166)), 1), A165))"),"BRJZHTDCQMTFM")</f>
        <v>BRJZHTDCQMTFM</v>
      </c>
      <c r="B166" s="2" t="str">
        <f>IFERROR(__xludf.DUMMYFUNCTION("IF('From Order'!$A166=COLUMNS($A166:B185), LEFT(INDEX(FILTER(B$1:B165, B$1:B165&lt;&gt;""""),COUNTA(FILTER(B$1:B165, B$1:B165&lt;&gt;""""))), LEN(INDEX(FILTER(B$1:B165, B$1:B165&lt;&gt;""""),COUNTA(FILTER(B$1:B165, B$1:B165&lt;&gt;""""))))-1), IF('To Order'!$A166=COLUMNS($A166:B"&amp;"185), B165&amp;RIGHT(INDIRECT(ADDRESS(ROW(B166)-1, 'From Order'!$A166)), 1), B165))"),"SW")</f>
        <v>SW</v>
      </c>
      <c r="C166" s="2" t="str">
        <f>IFERROR(__xludf.DUMMYFUNCTION("IF('From Order'!$A166=COLUMNS($A166:C185), LEFT(INDEX(FILTER(C$1:C165, C$1:C165&lt;&gt;""""),COUNTA(FILTER(C$1:C165, C$1:C165&lt;&gt;""""))), LEN(INDEX(FILTER(C$1:C165, C$1:C165&lt;&gt;""""),COUNTA(FILTER(C$1:C165, C$1:C165&lt;&gt;""""))))-1), IF('To Order'!$A166=COLUMNS($A166:C"&amp;"185), C165&amp;RIGHT(INDIRECT(ADDRESS(ROW(C166)-1, 'From Order'!$A166)), 1), C165))"),"VTZRWTRLJB")</f>
        <v>VTZRWTRLJB</v>
      </c>
      <c r="D166" s="2" t="str">
        <f>IFERROR(__xludf.DUMMYFUNCTION("IF('From Order'!$A166=COLUMNS($A166:D185), LEFT(INDEX(FILTER(D$1:D165, D$1:D165&lt;&gt;""""),COUNTA(FILTER(D$1:D165, D$1:D165&lt;&gt;""""))), LEN(INDEX(FILTER(D$1:D165, D$1:D165&lt;&gt;""""),COUNTA(FILTER(D$1:D165, D$1:D165&lt;&gt;""""))))-1), IF('To Order'!$A166=COLUMNS($A166:D"&amp;"185), D165&amp;RIGHT(INDIRECT(ADDRESS(ROW(D166)-1, 'From Order'!$A166)), 1), D165))"),"DTCHSPVMZDDTLCBRQPDSVR")</f>
        <v>DTCHSPVMZDDTLCBRQPDSVR</v>
      </c>
      <c r="E166" s="2" t="str">
        <f>IFERROR(__xludf.DUMMYFUNCTION("IF('From Order'!$A166=COLUMNS($A166:E185), LEFT(INDEX(FILTER(E$1:E165, E$1:E165&lt;&gt;""""),COUNTA(FILTER(E$1:E165, E$1:E165&lt;&gt;""""))), LEN(INDEX(FILTER(E$1:E165, E$1:E165&lt;&gt;""""),COUNTA(FILTER(E$1:E165, E$1:E165&lt;&gt;""""))))-1), IF('To Order'!$A166=COLUMNS($A166:E"&amp;"185), E165&amp;RIGHT(INDIRECT(ADDRESS(ROW(E166)-1, 'From Order'!$A166)), 1), E165))"),"GPBSGDJ")</f>
        <v>GPBSGDJ</v>
      </c>
      <c r="F166" s="2" t="str">
        <f>IFERROR(__xludf.DUMMYFUNCTION("IF('From Order'!$A166=COLUMNS($A166:F185), LEFT(INDEX(FILTER(F$1:F165, F$1:F165&lt;&gt;""""),COUNTA(FILTER(F$1:F165, F$1:F165&lt;&gt;""""))), LEN(INDEX(FILTER(F$1:F165, F$1:F165&lt;&gt;""""),COUNTA(FILTER(F$1:F165, F$1:F165&lt;&gt;""""))))-1), IF('To Order'!$A166=COLUMNS($A166:F"&amp;"185), F165&amp;RIGHT(INDIRECT(ADDRESS(ROW(F166)-1, 'From Order'!$A166)), 1), F165))"),"F")</f>
        <v>F</v>
      </c>
      <c r="G166" s="2" t="str">
        <f>IFERROR(__xludf.DUMMYFUNCTION("IF('From Order'!$A166=COLUMNS($A166:G185), LEFT(INDEX(FILTER(G$1:G165, G$1:G165&lt;&gt;""""),COUNTA(FILTER(G$1:G165, G$1:G165&lt;&gt;""""))), LEN(INDEX(FILTER(G$1:G165, G$1:G165&lt;&gt;""""),COUNTA(FILTER(G$1:G165, G$1:G165&lt;&gt;""""))))-1), IF('To Order'!$A166=COLUMNS($A166:G"&amp;"185), G165&amp;RIGHT(INDIRECT(ADDRESS(ROW(G166)-1, 'From Order'!$A166)), 1), G165))"),"")</f>
        <v/>
      </c>
      <c r="H166" s="2" t="str">
        <f>IFERROR(__xludf.DUMMYFUNCTION("IF('From Order'!$A166=COLUMNS($A166:H185), LEFT(INDEX(FILTER(H$1:H165, H$1:H165&lt;&gt;""""),COUNTA(FILTER(H$1:H165, H$1:H165&lt;&gt;""""))), LEN(INDEX(FILTER(H$1:H165, H$1:H165&lt;&gt;""""),COUNTA(FILTER(H$1:H165, H$1:H165&lt;&gt;""""))))-1), IF('To Order'!$A166=COLUMNS($A166:H"&amp;"185), H165&amp;RIGHT(INDIRECT(ADDRESS(ROW(H166)-1, 'From Order'!$A166)), 1), H165))"),"")</f>
        <v/>
      </c>
      <c r="I166" s="2" t="str">
        <f>IFERROR(__xludf.DUMMYFUNCTION("IF('From Order'!$A166=COLUMNS($A166:I185), LEFT(INDEX(FILTER(I$1:I165, I$1:I165&lt;&gt;""""),COUNTA(FILTER(I$1:I165, I$1:I165&lt;&gt;""""))), LEN(INDEX(FILTER(I$1:I165, I$1:I165&lt;&gt;""""),COUNTA(FILTER(I$1:I165, I$1:I165&lt;&gt;""""))))-1), IF('To Order'!$A166=COLUMNS($A166:I"&amp;"185), I165&amp;RIGHT(INDIRECT(ADDRESS(ROW(I166)-1, 'From Order'!$A166)), 1), I165))"),"L")</f>
        <v>L</v>
      </c>
    </row>
    <row r="167">
      <c r="A167" s="2" t="str">
        <f>IFERROR(__xludf.DUMMYFUNCTION("IF('From Order'!$A167=COLUMNS($A167:A186), LEFT(INDEX(FILTER(A$1:A166, A$1:A166&lt;&gt;""""),COUNTA(FILTER(A$1:A166, A$1:A166&lt;&gt;""""))), LEN(INDEX(FILTER(A$1:A166, A$1:A166&lt;&gt;""""),COUNTA(FILTER(A$1:A166, A$1:A166&lt;&gt;""""))))-1), IF('To Order'!$A167=COLUMNS($A167:A"&amp;"186), A166&amp;RIGHT(INDIRECT(ADDRESS(ROW(A167)-1, 'From Order'!$A167)), 1), A166))"),"BRJZHTDCQMTFM")</f>
        <v>BRJZHTDCQMTFM</v>
      </c>
      <c r="B167" s="2" t="str">
        <f>IFERROR(__xludf.DUMMYFUNCTION("IF('From Order'!$A167=COLUMNS($A167:B186), LEFT(INDEX(FILTER(B$1:B166, B$1:B166&lt;&gt;""""),COUNTA(FILTER(B$1:B166, B$1:B166&lt;&gt;""""))), LEN(INDEX(FILTER(B$1:B166, B$1:B166&lt;&gt;""""),COUNTA(FILTER(B$1:B166, B$1:B166&lt;&gt;""""))))-1), IF('To Order'!$A167=COLUMNS($A167:B"&amp;"186), B166&amp;RIGHT(INDIRECT(ADDRESS(ROW(B167)-1, 'From Order'!$A167)), 1), B166))"),"SW")</f>
        <v>SW</v>
      </c>
      <c r="C167" s="2" t="str">
        <f>IFERROR(__xludf.DUMMYFUNCTION("IF('From Order'!$A167=COLUMNS($A167:C186), LEFT(INDEX(FILTER(C$1:C166, C$1:C166&lt;&gt;""""),COUNTA(FILTER(C$1:C166, C$1:C166&lt;&gt;""""))), LEN(INDEX(FILTER(C$1:C166, C$1:C166&lt;&gt;""""),COUNTA(FILTER(C$1:C166, C$1:C166&lt;&gt;""""))))-1), IF('To Order'!$A167=COLUMNS($A167:C"&amp;"186), C166&amp;RIGHT(INDIRECT(ADDRESS(ROW(C167)-1, 'From Order'!$A167)), 1), C166))"),"VTZRWTRLJBF")</f>
        <v>VTZRWTRLJBF</v>
      </c>
      <c r="D167" s="2" t="str">
        <f>IFERROR(__xludf.DUMMYFUNCTION("IF('From Order'!$A167=COLUMNS($A167:D186), LEFT(INDEX(FILTER(D$1:D166, D$1:D166&lt;&gt;""""),COUNTA(FILTER(D$1:D166, D$1:D166&lt;&gt;""""))), LEN(INDEX(FILTER(D$1:D166, D$1:D166&lt;&gt;""""),COUNTA(FILTER(D$1:D166, D$1:D166&lt;&gt;""""))))-1), IF('To Order'!$A167=COLUMNS($A167:D"&amp;"186), D166&amp;RIGHT(INDIRECT(ADDRESS(ROW(D167)-1, 'From Order'!$A167)), 1), D166))"),"DTCHSPVMZDDTLCBRQPDSVR")</f>
        <v>DTCHSPVMZDDTLCBRQPDSVR</v>
      </c>
      <c r="E167" s="2" t="str">
        <f>IFERROR(__xludf.DUMMYFUNCTION("IF('From Order'!$A167=COLUMNS($A167:E186), LEFT(INDEX(FILTER(E$1:E166, E$1:E166&lt;&gt;""""),COUNTA(FILTER(E$1:E166, E$1:E166&lt;&gt;""""))), LEN(INDEX(FILTER(E$1:E166, E$1:E166&lt;&gt;""""),COUNTA(FILTER(E$1:E166, E$1:E166&lt;&gt;""""))))-1), IF('To Order'!$A167=COLUMNS($A167:E"&amp;"186), E166&amp;RIGHT(INDIRECT(ADDRESS(ROW(E167)-1, 'From Order'!$A167)), 1), E166))"),"GPBSGDJ")</f>
        <v>GPBSGDJ</v>
      </c>
      <c r="F167" s="2" t="str">
        <f>IFERROR(__xludf.DUMMYFUNCTION("IF('From Order'!$A167=COLUMNS($A167:F186), LEFT(INDEX(FILTER(F$1:F166, F$1:F166&lt;&gt;""""),COUNTA(FILTER(F$1:F166, F$1:F166&lt;&gt;""""))), LEN(INDEX(FILTER(F$1:F166, F$1:F166&lt;&gt;""""),COUNTA(FILTER(F$1:F166, F$1:F166&lt;&gt;""""))))-1), IF('To Order'!$A167=COLUMNS($A167:F"&amp;"186), F166&amp;RIGHT(INDIRECT(ADDRESS(ROW(F167)-1, 'From Order'!$A167)), 1), F166))"),"")</f>
        <v/>
      </c>
      <c r="G167" s="2" t="str">
        <f>IFERROR(__xludf.DUMMYFUNCTION("IF('From Order'!$A167=COLUMNS($A167:G186), LEFT(INDEX(FILTER(G$1:G166, G$1:G166&lt;&gt;""""),COUNTA(FILTER(G$1:G166, G$1:G166&lt;&gt;""""))), LEN(INDEX(FILTER(G$1:G166, G$1:G166&lt;&gt;""""),COUNTA(FILTER(G$1:G166, G$1:G166&lt;&gt;""""))))-1), IF('To Order'!$A167=COLUMNS($A167:G"&amp;"186), G166&amp;RIGHT(INDIRECT(ADDRESS(ROW(G167)-1, 'From Order'!$A167)), 1), G166))"),"")</f>
        <v/>
      </c>
      <c r="H167" s="2" t="str">
        <f>IFERROR(__xludf.DUMMYFUNCTION("IF('From Order'!$A167=COLUMNS($A167:H186), LEFT(INDEX(FILTER(H$1:H166, H$1:H166&lt;&gt;""""),COUNTA(FILTER(H$1:H166, H$1:H166&lt;&gt;""""))), LEN(INDEX(FILTER(H$1:H166, H$1:H166&lt;&gt;""""),COUNTA(FILTER(H$1:H166, H$1:H166&lt;&gt;""""))))-1), IF('To Order'!$A167=COLUMNS($A167:H"&amp;"186), H166&amp;RIGHT(INDIRECT(ADDRESS(ROW(H167)-1, 'From Order'!$A167)), 1), H166))"),"")</f>
        <v/>
      </c>
      <c r="I167" s="2" t="str">
        <f>IFERROR(__xludf.DUMMYFUNCTION("IF('From Order'!$A167=COLUMNS($A167:I186), LEFT(INDEX(FILTER(I$1:I166, I$1:I166&lt;&gt;""""),COUNTA(FILTER(I$1:I166, I$1:I166&lt;&gt;""""))), LEN(INDEX(FILTER(I$1:I166, I$1:I166&lt;&gt;""""),COUNTA(FILTER(I$1:I166, I$1:I166&lt;&gt;""""))))-1), IF('To Order'!$A167=COLUMNS($A167:I"&amp;"186), I166&amp;RIGHT(INDIRECT(ADDRESS(ROW(I167)-1, 'From Order'!$A167)), 1), I166))"),"L")</f>
        <v>L</v>
      </c>
    </row>
    <row r="168">
      <c r="A168" s="2" t="str">
        <f>IFERROR(__xludf.DUMMYFUNCTION("IF('From Order'!$A168=COLUMNS($A168:A187), LEFT(INDEX(FILTER(A$1:A167, A$1:A167&lt;&gt;""""),COUNTA(FILTER(A$1:A167, A$1:A167&lt;&gt;""""))), LEN(INDEX(FILTER(A$1:A167, A$1:A167&lt;&gt;""""),COUNTA(FILTER(A$1:A167, A$1:A167&lt;&gt;""""))))-1), IF('To Order'!$A168=COLUMNS($A168:A"&amp;"187), A167&amp;RIGHT(INDIRECT(ADDRESS(ROW(A168)-1, 'From Order'!$A168)), 1), A167))"),"BRJZHTDCQMTFM")</f>
        <v>BRJZHTDCQMTFM</v>
      </c>
      <c r="B168" s="2" t="str">
        <f>IFERROR(__xludf.DUMMYFUNCTION("IF('From Order'!$A168=COLUMNS($A168:B187), LEFT(INDEX(FILTER(B$1:B167, B$1:B167&lt;&gt;""""),COUNTA(FILTER(B$1:B167, B$1:B167&lt;&gt;""""))), LEN(INDEX(FILTER(B$1:B167, B$1:B167&lt;&gt;""""),COUNTA(FILTER(B$1:B167, B$1:B167&lt;&gt;""""))))-1), IF('To Order'!$A168=COLUMNS($A168:B"&amp;"187), B167&amp;RIGHT(INDIRECT(ADDRESS(ROW(B168)-1, 'From Order'!$A168)), 1), B167))"),"SW")</f>
        <v>SW</v>
      </c>
      <c r="C168" s="2" t="str">
        <f>IFERROR(__xludf.DUMMYFUNCTION("IF('From Order'!$A168=COLUMNS($A168:C187), LEFT(INDEX(FILTER(C$1:C167, C$1:C167&lt;&gt;""""),COUNTA(FILTER(C$1:C167, C$1:C167&lt;&gt;""""))), LEN(INDEX(FILTER(C$1:C167, C$1:C167&lt;&gt;""""),COUNTA(FILTER(C$1:C167, C$1:C167&lt;&gt;""""))))-1), IF('To Order'!$A168=COLUMNS($A168:C"&amp;"187), C167&amp;RIGHT(INDIRECT(ADDRESS(ROW(C168)-1, 'From Order'!$A168)), 1), C167))"),"VTZRWTRLJBF")</f>
        <v>VTZRWTRLJBF</v>
      </c>
      <c r="D168" s="2" t="str">
        <f>IFERROR(__xludf.DUMMYFUNCTION("IF('From Order'!$A168=COLUMNS($A168:D187), LEFT(INDEX(FILTER(D$1:D167, D$1:D167&lt;&gt;""""),COUNTA(FILTER(D$1:D167, D$1:D167&lt;&gt;""""))), LEN(INDEX(FILTER(D$1:D167, D$1:D167&lt;&gt;""""),COUNTA(FILTER(D$1:D167, D$1:D167&lt;&gt;""""))))-1), IF('To Order'!$A168=COLUMNS($A168:D"&amp;"187), D167&amp;RIGHT(INDIRECT(ADDRESS(ROW(D168)-1, 'From Order'!$A168)), 1), D167))"),"DTCHSPVMZDDTLCBRQPDSVR")</f>
        <v>DTCHSPVMZDDTLCBRQPDSVR</v>
      </c>
      <c r="E168" s="2" t="str">
        <f>IFERROR(__xludf.DUMMYFUNCTION("IF('From Order'!$A168=COLUMNS($A168:E187), LEFT(INDEX(FILTER(E$1:E167, E$1:E167&lt;&gt;""""),COUNTA(FILTER(E$1:E167, E$1:E167&lt;&gt;""""))), LEN(INDEX(FILTER(E$1:E167, E$1:E167&lt;&gt;""""),COUNTA(FILTER(E$1:E167, E$1:E167&lt;&gt;""""))))-1), IF('To Order'!$A168=COLUMNS($A168:E"&amp;"187), E167&amp;RIGHT(INDIRECT(ADDRESS(ROW(E168)-1, 'From Order'!$A168)), 1), E167))"),"GPBSGD")</f>
        <v>GPBSGD</v>
      </c>
      <c r="F168" s="2" t="str">
        <f>IFERROR(__xludf.DUMMYFUNCTION("IF('From Order'!$A168=COLUMNS($A168:F187), LEFT(INDEX(FILTER(F$1:F167, F$1:F167&lt;&gt;""""),COUNTA(FILTER(F$1:F167, F$1:F167&lt;&gt;""""))), LEN(INDEX(FILTER(F$1:F167, F$1:F167&lt;&gt;""""),COUNTA(FILTER(F$1:F167, F$1:F167&lt;&gt;""""))))-1), IF('To Order'!$A168=COLUMNS($A168:F"&amp;"187), F167&amp;RIGHT(INDIRECT(ADDRESS(ROW(F168)-1, 'From Order'!$A168)), 1), F167))"),"J")</f>
        <v>J</v>
      </c>
      <c r="G168" s="2" t="str">
        <f>IFERROR(__xludf.DUMMYFUNCTION("IF('From Order'!$A168=COLUMNS($A168:G187), LEFT(INDEX(FILTER(G$1:G167, G$1:G167&lt;&gt;""""),COUNTA(FILTER(G$1:G167, G$1:G167&lt;&gt;""""))), LEN(INDEX(FILTER(G$1:G167, G$1:G167&lt;&gt;""""),COUNTA(FILTER(G$1:G167, G$1:G167&lt;&gt;""""))))-1), IF('To Order'!$A168=COLUMNS($A168:G"&amp;"187), G167&amp;RIGHT(INDIRECT(ADDRESS(ROW(G168)-1, 'From Order'!$A168)), 1), G167))"),"")</f>
        <v/>
      </c>
      <c r="H168" s="2" t="str">
        <f>IFERROR(__xludf.DUMMYFUNCTION("IF('From Order'!$A168=COLUMNS($A168:H187), LEFT(INDEX(FILTER(H$1:H167, H$1:H167&lt;&gt;""""),COUNTA(FILTER(H$1:H167, H$1:H167&lt;&gt;""""))), LEN(INDEX(FILTER(H$1:H167, H$1:H167&lt;&gt;""""),COUNTA(FILTER(H$1:H167, H$1:H167&lt;&gt;""""))))-1), IF('To Order'!$A168=COLUMNS($A168:H"&amp;"187), H167&amp;RIGHT(INDIRECT(ADDRESS(ROW(H168)-1, 'From Order'!$A168)), 1), H167))"),"")</f>
        <v/>
      </c>
      <c r="I168" s="2" t="str">
        <f>IFERROR(__xludf.DUMMYFUNCTION("IF('From Order'!$A168=COLUMNS($A168:I187), LEFT(INDEX(FILTER(I$1:I167, I$1:I167&lt;&gt;""""),COUNTA(FILTER(I$1:I167, I$1:I167&lt;&gt;""""))), LEN(INDEX(FILTER(I$1:I167, I$1:I167&lt;&gt;""""),COUNTA(FILTER(I$1:I167, I$1:I167&lt;&gt;""""))))-1), IF('To Order'!$A168=COLUMNS($A168:I"&amp;"187), I167&amp;RIGHT(INDIRECT(ADDRESS(ROW(I168)-1, 'From Order'!$A168)), 1), I167))"),"L")</f>
        <v>L</v>
      </c>
    </row>
    <row r="169">
      <c r="A169" s="2" t="str">
        <f>IFERROR(__xludf.DUMMYFUNCTION("IF('From Order'!$A169=COLUMNS($A169:A188), LEFT(INDEX(FILTER(A$1:A168, A$1:A168&lt;&gt;""""),COUNTA(FILTER(A$1:A168, A$1:A168&lt;&gt;""""))), LEN(INDEX(FILTER(A$1:A168, A$1:A168&lt;&gt;""""),COUNTA(FILTER(A$1:A168, A$1:A168&lt;&gt;""""))))-1), IF('To Order'!$A169=COLUMNS($A169:A"&amp;"188), A168&amp;RIGHT(INDIRECT(ADDRESS(ROW(A169)-1, 'From Order'!$A169)), 1), A168))"),"BRJZHTDCQMTFM")</f>
        <v>BRJZHTDCQMTFM</v>
      </c>
      <c r="B169" s="2" t="str">
        <f>IFERROR(__xludf.DUMMYFUNCTION("IF('From Order'!$A169=COLUMNS($A169:B188), LEFT(INDEX(FILTER(B$1:B168, B$1:B168&lt;&gt;""""),COUNTA(FILTER(B$1:B168, B$1:B168&lt;&gt;""""))), LEN(INDEX(FILTER(B$1:B168, B$1:B168&lt;&gt;""""),COUNTA(FILTER(B$1:B168, B$1:B168&lt;&gt;""""))))-1), IF('To Order'!$A169=COLUMNS($A169:B"&amp;"188), B168&amp;RIGHT(INDIRECT(ADDRESS(ROW(B169)-1, 'From Order'!$A169)), 1), B168))"),"SW")</f>
        <v>SW</v>
      </c>
      <c r="C169" s="2" t="str">
        <f>IFERROR(__xludf.DUMMYFUNCTION("IF('From Order'!$A169=COLUMNS($A169:C188), LEFT(INDEX(FILTER(C$1:C168, C$1:C168&lt;&gt;""""),COUNTA(FILTER(C$1:C168, C$1:C168&lt;&gt;""""))), LEN(INDEX(FILTER(C$1:C168, C$1:C168&lt;&gt;""""),COUNTA(FILTER(C$1:C168, C$1:C168&lt;&gt;""""))))-1), IF('To Order'!$A169=COLUMNS($A169:C"&amp;"188), C168&amp;RIGHT(INDIRECT(ADDRESS(ROW(C169)-1, 'From Order'!$A169)), 1), C168))"),"VTZRWTRLJBF")</f>
        <v>VTZRWTRLJBF</v>
      </c>
      <c r="D169" s="2" t="str">
        <f>IFERROR(__xludf.DUMMYFUNCTION("IF('From Order'!$A169=COLUMNS($A169:D188), LEFT(INDEX(FILTER(D$1:D168, D$1:D168&lt;&gt;""""),COUNTA(FILTER(D$1:D168, D$1:D168&lt;&gt;""""))), LEN(INDEX(FILTER(D$1:D168, D$1:D168&lt;&gt;""""),COUNTA(FILTER(D$1:D168, D$1:D168&lt;&gt;""""))))-1), IF('To Order'!$A169=COLUMNS($A169:D"&amp;"188), D168&amp;RIGHT(INDIRECT(ADDRESS(ROW(D169)-1, 'From Order'!$A169)), 1), D168))"),"DTCHSPVMZDDTLCBRQPDSVR")</f>
        <v>DTCHSPVMZDDTLCBRQPDSVR</v>
      </c>
      <c r="E169" s="2" t="str">
        <f>IFERROR(__xludf.DUMMYFUNCTION("IF('From Order'!$A169=COLUMNS($A169:E188), LEFT(INDEX(FILTER(E$1:E168, E$1:E168&lt;&gt;""""),COUNTA(FILTER(E$1:E168, E$1:E168&lt;&gt;""""))), LEN(INDEX(FILTER(E$1:E168, E$1:E168&lt;&gt;""""),COUNTA(FILTER(E$1:E168, E$1:E168&lt;&gt;""""))))-1), IF('To Order'!$A169=COLUMNS($A169:E"&amp;"188), E168&amp;RIGHT(INDIRECT(ADDRESS(ROW(E169)-1, 'From Order'!$A169)), 1), E168))"),"GPBSG")</f>
        <v>GPBSG</v>
      </c>
      <c r="F169" s="2" t="str">
        <f>IFERROR(__xludf.DUMMYFUNCTION("IF('From Order'!$A169=COLUMNS($A169:F188), LEFT(INDEX(FILTER(F$1:F168, F$1:F168&lt;&gt;""""),COUNTA(FILTER(F$1:F168, F$1:F168&lt;&gt;""""))), LEN(INDEX(FILTER(F$1:F168, F$1:F168&lt;&gt;""""),COUNTA(FILTER(F$1:F168, F$1:F168&lt;&gt;""""))))-1), IF('To Order'!$A169=COLUMNS($A169:F"&amp;"188), F168&amp;RIGHT(INDIRECT(ADDRESS(ROW(F169)-1, 'From Order'!$A169)), 1), F168))"),"JD")</f>
        <v>JD</v>
      </c>
      <c r="G169" s="2" t="str">
        <f>IFERROR(__xludf.DUMMYFUNCTION("IF('From Order'!$A169=COLUMNS($A169:G188), LEFT(INDEX(FILTER(G$1:G168, G$1:G168&lt;&gt;""""),COUNTA(FILTER(G$1:G168, G$1:G168&lt;&gt;""""))), LEN(INDEX(FILTER(G$1:G168, G$1:G168&lt;&gt;""""),COUNTA(FILTER(G$1:G168, G$1:G168&lt;&gt;""""))))-1), IF('To Order'!$A169=COLUMNS($A169:G"&amp;"188), G168&amp;RIGHT(INDIRECT(ADDRESS(ROW(G169)-1, 'From Order'!$A169)), 1), G168))"),"")</f>
        <v/>
      </c>
      <c r="H169" s="2" t="str">
        <f>IFERROR(__xludf.DUMMYFUNCTION("IF('From Order'!$A169=COLUMNS($A169:H188), LEFT(INDEX(FILTER(H$1:H168, H$1:H168&lt;&gt;""""),COUNTA(FILTER(H$1:H168, H$1:H168&lt;&gt;""""))), LEN(INDEX(FILTER(H$1:H168, H$1:H168&lt;&gt;""""),COUNTA(FILTER(H$1:H168, H$1:H168&lt;&gt;""""))))-1), IF('To Order'!$A169=COLUMNS($A169:H"&amp;"188), H168&amp;RIGHT(INDIRECT(ADDRESS(ROW(H169)-1, 'From Order'!$A169)), 1), H168))"),"")</f>
        <v/>
      </c>
      <c r="I169" s="2" t="str">
        <f>IFERROR(__xludf.DUMMYFUNCTION("IF('From Order'!$A169=COLUMNS($A169:I188), LEFT(INDEX(FILTER(I$1:I168, I$1:I168&lt;&gt;""""),COUNTA(FILTER(I$1:I168, I$1:I168&lt;&gt;""""))), LEN(INDEX(FILTER(I$1:I168, I$1:I168&lt;&gt;""""),COUNTA(FILTER(I$1:I168, I$1:I168&lt;&gt;""""))))-1), IF('To Order'!$A169=COLUMNS($A169:I"&amp;"188), I168&amp;RIGHT(INDIRECT(ADDRESS(ROW(I169)-1, 'From Order'!$A169)), 1), I168))"),"L")</f>
        <v>L</v>
      </c>
    </row>
    <row r="170">
      <c r="A170" s="2" t="str">
        <f>IFERROR(__xludf.DUMMYFUNCTION("IF('From Order'!$A170=COLUMNS($A170:A189), LEFT(INDEX(FILTER(A$1:A169, A$1:A169&lt;&gt;""""),COUNTA(FILTER(A$1:A169, A$1:A169&lt;&gt;""""))), LEN(INDEX(FILTER(A$1:A169, A$1:A169&lt;&gt;""""),COUNTA(FILTER(A$1:A169, A$1:A169&lt;&gt;""""))))-1), IF('To Order'!$A170=COLUMNS($A170:A"&amp;"189), A169&amp;RIGHT(INDIRECT(ADDRESS(ROW(A170)-1, 'From Order'!$A170)), 1), A169))"),"BRJZHTDCQMTFM")</f>
        <v>BRJZHTDCQMTFM</v>
      </c>
      <c r="B170" s="2" t="str">
        <f>IFERROR(__xludf.DUMMYFUNCTION("IF('From Order'!$A170=COLUMNS($A170:B189), LEFT(INDEX(FILTER(B$1:B169, B$1:B169&lt;&gt;""""),COUNTA(FILTER(B$1:B169, B$1:B169&lt;&gt;""""))), LEN(INDEX(FILTER(B$1:B169, B$1:B169&lt;&gt;""""),COUNTA(FILTER(B$1:B169, B$1:B169&lt;&gt;""""))))-1), IF('To Order'!$A170=COLUMNS($A170:B"&amp;"189), B169&amp;RIGHT(INDIRECT(ADDRESS(ROW(B170)-1, 'From Order'!$A170)), 1), B169))"),"SW")</f>
        <v>SW</v>
      </c>
      <c r="C170" s="2" t="str">
        <f>IFERROR(__xludf.DUMMYFUNCTION("IF('From Order'!$A170=COLUMNS($A170:C189), LEFT(INDEX(FILTER(C$1:C169, C$1:C169&lt;&gt;""""),COUNTA(FILTER(C$1:C169, C$1:C169&lt;&gt;""""))), LEN(INDEX(FILTER(C$1:C169, C$1:C169&lt;&gt;""""),COUNTA(FILTER(C$1:C169, C$1:C169&lt;&gt;""""))))-1), IF('To Order'!$A170=COLUMNS($A170:C"&amp;"189), C169&amp;RIGHT(INDIRECT(ADDRESS(ROW(C170)-1, 'From Order'!$A170)), 1), C169))"),"VTZRWTRLJBF")</f>
        <v>VTZRWTRLJBF</v>
      </c>
      <c r="D170" s="2" t="str">
        <f>IFERROR(__xludf.DUMMYFUNCTION("IF('From Order'!$A170=COLUMNS($A170:D189), LEFT(INDEX(FILTER(D$1:D169, D$1:D169&lt;&gt;""""),COUNTA(FILTER(D$1:D169, D$1:D169&lt;&gt;""""))), LEN(INDEX(FILTER(D$1:D169, D$1:D169&lt;&gt;""""),COUNTA(FILTER(D$1:D169, D$1:D169&lt;&gt;""""))))-1), IF('To Order'!$A170=COLUMNS($A170:D"&amp;"189), D169&amp;RIGHT(INDIRECT(ADDRESS(ROW(D170)-1, 'From Order'!$A170)), 1), D169))"),"DTCHSPVMZDDTLCBRQPDSVR")</f>
        <v>DTCHSPVMZDDTLCBRQPDSVR</v>
      </c>
      <c r="E170" s="2" t="str">
        <f>IFERROR(__xludf.DUMMYFUNCTION("IF('From Order'!$A170=COLUMNS($A170:E189), LEFT(INDEX(FILTER(E$1:E169, E$1:E169&lt;&gt;""""),COUNTA(FILTER(E$1:E169, E$1:E169&lt;&gt;""""))), LEN(INDEX(FILTER(E$1:E169, E$1:E169&lt;&gt;""""),COUNTA(FILTER(E$1:E169, E$1:E169&lt;&gt;""""))))-1), IF('To Order'!$A170=COLUMNS($A170:E"&amp;"189), E169&amp;RIGHT(INDIRECT(ADDRESS(ROW(E170)-1, 'From Order'!$A170)), 1), E169))"),"GPBS")</f>
        <v>GPBS</v>
      </c>
      <c r="F170" s="2" t="str">
        <f>IFERROR(__xludf.DUMMYFUNCTION("IF('From Order'!$A170=COLUMNS($A170:F189), LEFT(INDEX(FILTER(F$1:F169, F$1:F169&lt;&gt;""""),COUNTA(FILTER(F$1:F169, F$1:F169&lt;&gt;""""))), LEN(INDEX(FILTER(F$1:F169, F$1:F169&lt;&gt;""""),COUNTA(FILTER(F$1:F169, F$1:F169&lt;&gt;""""))))-1), IF('To Order'!$A170=COLUMNS($A170:F"&amp;"189), F169&amp;RIGHT(INDIRECT(ADDRESS(ROW(F170)-1, 'From Order'!$A170)), 1), F169))"),"JDG")</f>
        <v>JDG</v>
      </c>
      <c r="G170" s="2" t="str">
        <f>IFERROR(__xludf.DUMMYFUNCTION("IF('From Order'!$A170=COLUMNS($A170:G189), LEFT(INDEX(FILTER(G$1:G169, G$1:G169&lt;&gt;""""),COUNTA(FILTER(G$1:G169, G$1:G169&lt;&gt;""""))), LEN(INDEX(FILTER(G$1:G169, G$1:G169&lt;&gt;""""),COUNTA(FILTER(G$1:G169, G$1:G169&lt;&gt;""""))))-1), IF('To Order'!$A170=COLUMNS($A170:G"&amp;"189), G169&amp;RIGHT(INDIRECT(ADDRESS(ROW(G170)-1, 'From Order'!$A170)), 1), G169))"),"")</f>
        <v/>
      </c>
      <c r="H170" s="2" t="str">
        <f>IFERROR(__xludf.DUMMYFUNCTION("IF('From Order'!$A170=COLUMNS($A170:H189), LEFT(INDEX(FILTER(H$1:H169, H$1:H169&lt;&gt;""""),COUNTA(FILTER(H$1:H169, H$1:H169&lt;&gt;""""))), LEN(INDEX(FILTER(H$1:H169, H$1:H169&lt;&gt;""""),COUNTA(FILTER(H$1:H169, H$1:H169&lt;&gt;""""))))-1), IF('To Order'!$A170=COLUMNS($A170:H"&amp;"189), H169&amp;RIGHT(INDIRECT(ADDRESS(ROW(H170)-1, 'From Order'!$A170)), 1), H169))"),"")</f>
        <v/>
      </c>
      <c r="I170" s="2" t="str">
        <f>IFERROR(__xludf.DUMMYFUNCTION("IF('From Order'!$A170=COLUMNS($A170:I189), LEFT(INDEX(FILTER(I$1:I169, I$1:I169&lt;&gt;""""),COUNTA(FILTER(I$1:I169, I$1:I169&lt;&gt;""""))), LEN(INDEX(FILTER(I$1:I169, I$1:I169&lt;&gt;""""),COUNTA(FILTER(I$1:I169, I$1:I169&lt;&gt;""""))))-1), IF('To Order'!$A170=COLUMNS($A170:I"&amp;"189), I169&amp;RIGHT(INDIRECT(ADDRESS(ROW(I170)-1, 'From Order'!$A170)), 1), I169))"),"L")</f>
        <v>L</v>
      </c>
    </row>
    <row r="171">
      <c r="A171" s="2" t="str">
        <f>IFERROR(__xludf.DUMMYFUNCTION("IF('From Order'!$A171=COLUMNS($A171:A190), LEFT(INDEX(FILTER(A$1:A170, A$1:A170&lt;&gt;""""),COUNTA(FILTER(A$1:A170, A$1:A170&lt;&gt;""""))), LEN(INDEX(FILTER(A$1:A170, A$1:A170&lt;&gt;""""),COUNTA(FILTER(A$1:A170, A$1:A170&lt;&gt;""""))))-1), IF('To Order'!$A171=COLUMNS($A171:A"&amp;"190), A170&amp;RIGHT(INDIRECT(ADDRESS(ROW(A171)-1, 'From Order'!$A171)), 1), A170))"),"BRJZHTDCQMTFM")</f>
        <v>BRJZHTDCQMTFM</v>
      </c>
      <c r="B171" s="2" t="str">
        <f>IFERROR(__xludf.DUMMYFUNCTION("IF('From Order'!$A171=COLUMNS($A171:B190), LEFT(INDEX(FILTER(B$1:B170, B$1:B170&lt;&gt;""""),COUNTA(FILTER(B$1:B170, B$1:B170&lt;&gt;""""))), LEN(INDEX(FILTER(B$1:B170, B$1:B170&lt;&gt;""""),COUNTA(FILTER(B$1:B170, B$1:B170&lt;&gt;""""))))-1), IF('To Order'!$A171=COLUMNS($A171:B"&amp;"190), B170&amp;RIGHT(INDIRECT(ADDRESS(ROW(B171)-1, 'From Order'!$A171)), 1), B170))"),"SW")</f>
        <v>SW</v>
      </c>
      <c r="C171" s="2" t="str">
        <f>IFERROR(__xludf.DUMMYFUNCTION("IF('From Order'!$A171=COLUMNS($A171:C190), LEFT(INDEX(FILTER(C$1:C170, C$1:C170&lt;&gt;""""),COUNTA(FILTER(C$1:C170, C$1:C170&lt;&gt;""""))), LEN(INDEX(FILTER(C$1:C170, C$1:C170&lt;&gt;""""),COUNTA(FILTER(C$1:C170, C$1:C170&lt;&gt;""""))))-1), IF('To Order'!$A171=COLUMNS($A171:C"&amp;"190), C170&amp;RIGHT(INDIRECT(ADDRESS(ROW(C171)-1, 'From Order'!$A171)), 1), C170))"),"VTZRWTRLJBF")</f>
        <v>VTZRWTRLJBF</v>
      </c>
      <c r="D171" s="2" t="str">
        <f>IFERROR(__xludf.DUMMYFUNCTION("IF('From Order'!$A171=COLUMNS($A171:D190), LEFT(INDEX(FILTER(D$1:D170, D$1:D170&lt;&gt;""""),COUNTA(FILTER(D$1:D170, D$1:D170&lt;&gt;""""))), LEN(INDEX(FILTER(D$1:D170, D$1:D170&lt;&gt;""""),COUNTA(FILTER(D$1:D170, D$1:D170&lt;&gt;""""))))-1), IF('To Order'!$A171=COLUMNS($A171:D"&amp;"190), D170&amp;RIGHT(INDIRECT(ADDRESS(ROW(D171)-1, 'From Order'!$A171)), 1), D170))"),"DTCHSPVMZDDTLCBRQPDSVR")</f>
        <v>DTCHSPVMZDDTLCBRQPDSVR</v>
      </c>
      <c r="E171" s="2" t="str">
        <f>IFERROR(__xludf.DUMMYFUNCTION("IF('From Order'!$A171=COLUMNS($A171:E190), LEFT(INDEX(FILTER(E$1:E170, E$1:E170&lt;&gt;""""),COUNTA(FILTER(E$1:E170, E$1:E170&lt;&gt;""""))), LEN(INDEX(FILTER(E$1:E170, E$1:E170&lt;&gt;""""),COUNTA(FILTER(E$1:E170, E$1:E170&lt;&gt;""""))))-1), IF('To Order'!$A171=COLUMNS($A171:E"&amp;"190), E170&amp;RIGHT(INDIRECT(ADDRESS(ROW(E171)-1, 'From Order'!$A171)), 1), E170))"),"GPB")</f>
        <v>GPB</v>
      </c>
      <c r="F171" s="2" t="str">
        <f>IFERROR(__xludf.DUMMYFUNCTION("IF('From Order'!$A171=COLUMNS($A171:F190), LEFT(INDEX(FILTER(F$1:F170, F$1:F170&lt;&gt;""""),COUNTA(FILTER(F$1:F170, F$1:F170&lt;&gt;""""))), LEN(INDEX(FILTER(F$1:F170, F$1:F170&lt;&gt;""""),COUNTA(FILTER(F$1:F170, F$1:F170&lt;&gt;""""))))-1), IF('To Order'!$A171=COLUMNS($A171:F"&amp;"190), F170&amp;RIGHT(INDIRECT(ADDRESS(ROW(F171)-1, 'From Order'!$A171)), 1), F170))"),"JDGS")</f>
        <v>JDGS</v>
      </c>
      <c r="G171" s="2" t="str">
        <f>IFERROR(__xludf.DUMMYFUNCTION("IF('From Order'!$A171=COLUMNS($A171:G190), LEFT(INDEX(FILTER(G$1:G170, G$1:G170&lt;&gt;""""),COUNTA(FILTER(G$1:G170, G$1:G170&lt;&gt;""""))), LEN(INDEX(FILTER(G$1:G170, G$1:G170&lt;&gt;""""),COUNTA(FILTER(G$1:G170, G$1:G170&lt;&gt;""""))))-1), IF('To Order'!$A171=COLUMNS($A171:G"&amp;"190), G170&amp;RIGHT(INDIRECT(ADDRESS(ROW(G171)-1, 'From Order'!$A171)), 1), G170))"),"")</f>
        <v/>
      </c>
      <c r="H171" s="2" t="str">
        <f>IFERROR(__xludf.DUMMYFUNCTION("IF('From Order'!$A171=COLUMNS($A171:H190), LEFT(INDEX(FILTER(H$1:H170, H$1:H170&lt;&gt;""""),COUNTA(FILTER(H$1:H170, H$1:H170&lt;&gt;""""))), LEN(INDEX(FILTER(H$1:H170, H$1:H170&lt;&gt;""""),COUNTA(FILTER(H$1:H170, H$1:H170&lt;&gt;""""))))-1), IF('To Order'!$A171=COLUMNS($A171:H"&amp;"190), H170&amp;RIGHT(INDIRECT(ADDRESS(ROW(H171)-1, 'From Order'!$A171)), 1), H170))"),"")</f>
        <v/>
      </c>
      <c r="I171" s="2" t="str">
        <f>IFERROR(__xludf.DUMMYFUNCTION("IF('From Order'!$A171=COLUMNS($A171:I190), LEFT(INDEX(FILTER(I$1:I170, I$1:I170&lt;&gt;""""),COUNTA(FILTER(I$1:I170, I$1:I170&lt;&gt;""""))), LEN(INDEX(FILTER(I$1:I170, I$1:I170&lt;&gt;""""),COUNTA(FILTER(I$1:I170, I$1:I170&lt;&gt;""""))))-1), IF('To Order'!$A171=COLUMNS($A171:I"&amp;"190), I170&amp;RIGHT(INDIRECT(ADDRESS(ROW(I171)-1, 'From Order'!$A171)), 1), I170))"),"L")</f>
        <v>L</v>
      </c>
    </row>
    <row r="172">
      <c r="A172" s="2" t="str">
        <f>IFERROR(__xludf.DUMMYFUNCTION("IF('From Order'!$A172=COLUMNS($A172:A191), LEFT(INDEX(FILTER(A$1:A171, A$1:A171&lt;&gt;""""),COUNTA(FILTER(A$1:A171, A$1:A171&lt;&gt;""""))), LEN(INDEX(FILTER(A$1:A171, A$1:A171&lt;&gt;""""),COUNTA(FILTER(A$1:A171, A$1:A171&lt;&gt;""""))))-1), IF('To Order'!$A172=COLUMNS($A172:A"&amp;"191), A171&amp;RIGHT(INDIRECT(ADDRESS(ROW(A172)-1, 'From Order'!$A172)), 1), A171))"),"BRJZHTDCQMTFM")</f>
        <v>BRJZHTDCQMTFM</v>
      </c>
      <c r="B172" s="2" t="str">
        <f>IFERROR(__xludf.DUMMYFUNCTION("IF('From Order'!$A172=COLUMNS($A172:B191), LEFT(INDEX(FILTER(B$1:B171, B$1:B171&lt;&gt;""""),COUNTA(FILTER(B$1:B171, B$1:B171&lt;&gt;""""))), LEN(INDEX(FILTER(B$1:B171, B$1:B171&lt;&gt;""""),COUNTA(FILTER(B$1:B171, B$1:B171&lt;&gt;""""))))-1), IF('To Order'!$A172=COLUMNS($A172:B"&amp;"191), B171&amp;RIGHT(INDIRECT(ADDRESS(ROW(B172)-1, 'From Order'!$A172)), 1), B171))"),"SW")</f>
        <v>SW</v>
      </c>
      <c r="C172" s="2" t="str">
        <f>IFERROR(__xludf.DUMMYFUNCTION("IF('From Order'!$A172=COLUMNS($A172:C191), LEFT(INDEX(FILTER(C$1:C171, C$1:C171&lt;&gt;""""),COUNTA(FILTER(C$1:C171, C$1:C171&lt;&gt;""""))), LEN(INDEX(FILTER(C$1:C171, C$1:C171&lt;&gt;""""),COUNTA(FILTER(C$1:C171, C$1:C171&lt;&gt;""""))))-1), IF('To Order'!$A172=COLUMNS($A172:C"&amp;"191), C171&amp;RIGHT(INDIRECT(ADDRESS(ROW(C172)-1, 'From Order'!$A172)), 1), C171))"),"VTZRWTRLJBF")</f>
        <v>VTZRWTRLJBF</v>
      </c>
      <c r="D172" s="2" t="str">
        <f>IFERROR(__xludf.DUMMYFUNCTION("IF('From Order'!$A172=COLUMNS($A172:D191), LEFT(INDEX(FILTER(D$1:D171, D$1:D171&lt;&gt;""""),COUNTA(FILTER(D$1:D171, D$1:D171&lt;&gt;""""))), LEN(INDEX(FILTER(D$1:D171, D$1:D171&lt;&gt;""""),COUNTA(FILTER(D$1:D171, D$1:D171&lt;&gt;""""))))-1), IF('To Order'!$A172=COLUMNS($A172:D"&amp;"191), D171&amp;RIGHT(INDIRECT(ADDRESS(ROW(D172)-1, 'From Order'!$A172)), 1), D171))"),"DTCHSPVMZDDTLCBRQPDSVR")</f>
        <v>DTCHSPVMZDDTLCBRQPDSVR</v>
      </c>
      <c r="E172" s="2" t="str">
        <f>IFERROR(__xludf.DUMMYFUNCTION("IF('From Order'!$A172=COLUMNS($A172:E191), LEFT(INDEX(FILTER(E$1:E171, E$1:E171&lt;&gt;""""),COUNTA(FILTER(E$1:E171, E$1:E171&lt;&gt;""""))), LEN(INDEX(FILTER(E$1:E171, E$1:E171&lt;&gt;""""),COUNTA(FILTER(E$1:E171, E$1:E171&lt;&gt;""""))))-1), IF('To Order'!$A172=COLUMNS($A172:E"&amp;"191), E171&amp;RIGHT(INDIRECT(ADDRESS(ROW(E172)-1, 'From Order'!$A172)), 1), E171))"),"GP")</f>
        <v>GP</v>
      </c>
      <c r="F172" s="2" t="str">
        <f>IFERROR(__xludf.DUMMYFUNCTION("IF('From Order'!$A172=COLUMNS($A172:F191), LEFT(INDEX(FILTER(F$1:F171, F$1:F171&lt;&gt;""""),COUNTA(FILTER(F$1:F171, F$1:F171&lt;&gt;""""))), LEN(INDEX(FILTER(F$1:F171, F$1:F171&lt;&gt;""""),COUNTA(FILTER(F$1:F171, F$1:F171&lt;&gt;""""))))-1), IF('To Order'!$A172=COLUMNS($A172:F"&amp;"191), F171&amp;RIGHT(INDIRECT(ADDRESS(ROW(F172)-1, 'From Order'!$A172)), 1), F171))"),"JDGSB")</f>
        <v>JDGSB</v>
      </c>
      <c r="G172" s="2" t="str">
        <f>IFERROR(__xludf.DUMMYFUNCTION("IF('From Order'!$A172=COLUMNS($A172:G191), LEFT(INDEX(FILTER(G$1:G171, G$1:G171&lt;&gt;""""),COUNTA(FILTER(G$1:G171, G$1:G171&lt;&gt;""""))), LEN(INDEX(FILTER(G$1:G171, G$1:G171&lt;&gt;""""),COUNTA(FILTER(G$1:G171, G$1:G171&lt;&gt;""""))))-1), IF('To Order'!$A172=COLUMNS($A172:G"&amp;"191), G171&amp;RIGHT(INDIRECT(ADDRESS(ROW(G172)-1, 'From Order'!$A172)), 1), G171))"),"")</f>
        <v/>
      </c>
      <c r="H172" s="2" t="str">
        <f>IFERROR(__xludf.DUMMYFUNCTION("IF('From Order'!$A172=COLUMNS($A172:H191), LEFT(INDEX(FILTER(H$1:H171, H$1:H171&lt;&gt;""""),COUNTA(FILTER(H$1:H171, H$1:H171&lt;&gt;""""))), LEN(INDEX(FILTER(H$1:H171, H$1:H171&lt;&gt;""""),COUNTA(FILTER(H$1:H171, H$1:H171&lt;&gt;""""))))-1), IF('To Order'!$A172=COLUMNS($A172:H"&amp;"191), H171&amp;RIGHT(INDIRECT(ADDRESS(ROW(H172)-1, 'From Order'!$A172)), 1), H171))"),"")</f>
        <v/>
      </c>
      <c r="I172" s="2" t="str">
        <f>IFERROR(__xludf.DUMMYFUNCTION("IF('From Order'!$A172=COLUMNS($A172:I191), LEFT(INDEX(FILTER(I$1:I171, I$1:I171&lt;&gt;""""),COUNTA(FILTER(I$1:I171, I$1:I171&lt;&gt;""""))), LEN(INDEX(FILTER(I$1:I171, I$1:I171&lt;&gt;""""),COUNTA(FILTER(I$1:I171, I$1:I171&lt;&gt;""""))))-1), IF('To Order'!$A172=COLUMNS($A172:I"&amp;"191), I171&amp;RIGHT(INDIRECT(ADDRESS(ROW(I172)-1, 'From Order'!$A172)), 1), I171))"),"L")</f>
        <v>L</v>
      </c>
    </row>
    <row r="173">
      <c r="A173" s="2" t="str">
        <f>IFERROR(__xludf.DUMMYFUNCTION("IF('From Order'!$A173=COLUMNS($A173:A192), LEFT(INDEX(FILTER(A$1:A172, A$1:A172&lt;&gt;""""),COUNTA(FILTER(A$1:A172, A$1:A172&lt;&gt;""""))), LEN(INDEX(FILTER(A$1:A172, A$1:A172&lt;&gt;""""),COUNTA(FILTER(A$1:A172, A$1:A172&lt;&gt;""""))))-1), IF('To Order'!$A173=COLUMNS($A173:A"&amp;"192), A172&amp;RIGHT(INDIRECT(ADDRESS(ROW(A173)-1, 'From Order'!$A173)), 1), A172))"),"BRJZHTDCQMTFM")</f>
        <v>BRJZHTDCQMTFM</v>
      </c>
      <c r="B173" s="2" t="str">
        <f>IFERROR(__xludf.DUMMYFUNCTION("IF('From Order'!$A173=COLUMNS($A173:B192), LEFT(INDEX(FILTER(B$1:B172, B$1:B172&lt;&gt;""""),COUNTA(FILTER(B$1:B172, B$1:B172&lt;&gt;""""))), LEN(INDEX(FILTER(B$1:B172, B$1:B172&lt;&gt;""""),COUNTA(FILTER(B$1:B172, B$1:B172&lt;&gt;""""))))-1), IF('To Order'!$A173=COLUMNS($A173:B"&amp;"192), B172&amp;RIGHT(INDIRECT(ADDRESS(ROW(B173)-1, 'From Order'!$A173)), 1), B172))"),"SW")</f>
        <v>SW</v>
      </c>
      <c r="C173" s="2" t="str">
        <f>IFERROR(__xludf.DUMMYFUNCTION("IF('From Order'!$A173=COLUMNS($A173:C192), LEFT(INDEX(FILTER(C$1:C172, C$1:C172&lt;&gt;""""),COUNTA(FILTER(C$1:C172, C$1:C172&lt;&gt;""""))), LEN(INDEX(FILTER(C$1:C172, C$1:C172&lt;&gt;""""),COUNTA(FILTER(C$1:C172, C$1:C172&lt;&gt;""""))))-1), IF('To Order'!$A173=COLUMNS($A173:C"&amp;"192), C172&amp;RIGHT(INDIRECT(ADDRESS(ROW(C173)-1, 'From Order'!$A173)), 1), C172))"),"VTZRWTRLJBF")</f>
        <v>VTZRWTRLJBF</v>
      </c>
      <c r="D173" s="2" t="str">
        <f>IFERROR(__xludf.DUMMYFUNCTION("IF('From Order'!$A173=COLUMNS($A173:D192), LEFT(INDEX(FILTER(D$1:D172, D$1:D172&lt;&gt;""""),COUNTA(FILTER(D$1:D172, D$1:D172&lt;&gt;""""))), LEN(INDEX(FILTER(D$1:D172, D$1:D172&lt;&gt;""""),COUNTA(FILTER(D$1:D172, D$1:D172&lt;&gt;""""))))-1), IF('To Order'!$A173=COLUMNS($A173:D"&amp;"192), D172&amp;RIGHT(INDIRECT(ADDRESS(ROW(D173)-1, 'From Order'!$A173)), 1), D172))"),"DTCHSPVMZDDTLCBRQPDSVR")</f>
        <v>DTCHSPVMZDDTLCBRQPDSVR</v>
      </c>
      <c r="E173" s="2" t="str">
        <f>IFERROR(__xludf.DUMMYFUNCTION("IF('From Order'!$A173=COLUMNS($A173:E192), LEFT(INDEX(FILTER(E$1:E172, E$1:E172&lt;&gt;""""),COUNTA(FILTER(E$1:E172, E$1:E172&lt;&gt;""""))), LEN(INDEX(FILTER(E$1:E172, E$1:E172&lt;&gt;""""),COUNTA(FILTER(E$1:E172, E$1:E172&lt;&gt;""""))))-1), IF('To Order'!$A173=COLUMNS($A173:E"&amp;"192), E172&amp;RIGHT(INDIRECT(ADDRESS(ROW(E173)-1, 'From Order'!$A173)), 1), E172))"),"G")</f>
        <v>G</v>
      </c>
      <c r="F173" s="2" t="str">
        <f>IFERROR(__xludf.DUMMYFUNCTION("IF('From Order'!$A173=COLUMNS($A173:F192), LEFT(INDEX(FILTER(F$1:F172, F$1:F172&lt;&gt;""""),COUNTA(FILTER(F$1:F172, F$1:F172&lt;&gt;""""))), LEN(INDEX(FILTER(F$1:F172, F$1:F172&lt;&gt;""""),COUNTA(FILTER(F$1:F172, F$1:F172&lt;&gt;""""))))-1), IF('To Order'!$A173=COLUMNS($A173:F"&amp;"192), F172&amp;RIGHT(INDIRECT(ADDRESS(ROW(F173)-1, 'From Order'!$A173)), 1), F172))"),"JDGSBP")</f>
        <v>JDGSBP</v>
      </c>
      <c r="G173" s="2" t="str">
        <f>IFERROR(__xludf.DUMMYFUNCTION("IF('From Order'!$A173=COLUMNS($A173:G192), LEFT(INDEX(FILTER(G$1:G172, G$1:G172&lt;&gt;""""),COUNTA(FILTER(G$1:G172, G$1:G172&lt;&gt;""""))), LEN(INDEX(FILTER(G$1:G172, G$1:G172&lt;&gt;""""),COUNTA(FILTER(G$1:G172, G$1:G172&lt;&gt;""""))))-1), IF('To Order'!$A173=COLUMNS($A173:G"&amp;"192), G172&amp;RIGHT(INDIRECT(ADDRESS(ROW(G173)-1, 'From Order'!$A173)), 1), G172))"),"")</f>
        <v/>
      </c>
      <c r="H173" s="2" t="str">
        <f>IFERROR(__xludf.DUMMYFUNCTION("IF('From Order'!$A173=COLUMNS($A173:H192), LEFT(INDEX(FILTER(H$1:H172, H$1:H172&lt;&gt;""""),COUNTA(FILTER(H$1:H172, H$1:H172&lt;&gt;""""))), LEN(INDEX(FILTER(H$1:H172, H$1:H172&lt;&gt;""""),COUNTA(FILTER(H$1:H172, H$1:H172&lt;&gt;""""))))-1), IF('To Order'!$A173=COLUMNS($A173:H"&amp;"192), H172&amp;RIGHT(INDIRECT(ADDRESS(ROW(H173)-1, 'From Order'!$A173)), 1), H172))"),"")</f>
        <v/>
      </c>
      <c r="I173" s="2" t="str">
        <f>IFERROR(__xludf.DUMMYFUNCTION("IF('From Order'!$A173=COLUMNS($A173:I192), LEFT(INDEX(FILTER(I$1:I172, I$1:I172&lt;&gt;""""),COUNTA(FILTER(I$1:I172, I$1:I172&lt;&gt;""""))), LEN(INDEX(FILTER(I$1:I172, I$1:I172&lt;&gt;""""),COUNTA(FILTER(I$1:I172, I$1:I172&lt;&gt;""""))))-1), IF('To Order'!$A173=COLUMNS($A173:I"&amp;"192), I172&amp;RIGHT(INDIRECT(ADDRESS(ROW(I173)-1, 'From Order'!$A173)), 1), I172))"),"L")</f>
        <v>L</v>
      </c>
    </row>
    <row r="174">
      <c r="A174" s="2" t="str">
        <f>IFERROR(__xludf.DUMMYFUNCTION("IF('From Order'!$A174=COLUMNS($A174:A193), LEFT(INDEX(FILTER(A$1:A173, A$1:A173&lt;&gt;""""),COUNTA(FILTER(A$1:A173, A$1:A173&lt;&gt;""""))), LEN(INDEX(FILTER(A$1:A173, A$1:A173&lt;&gt;""""),COUNTA(FILTER(A$1:A173, A$1:A173&lt;&gt;""""))))-1), IF('To Order'!$A174=COLUMNS($A174:A"&amp;"193), A173&amp;RIGHT(INDIRECT(ADDRESS(ROW(A174)-1, 'From Order'!$A174)), 1), A173))"),"BRJZHTDCQMTFM")</f>
        <v>BRJZHTDCQMTFM</v>
      </c>
      <c r="B174" s="2" t="str">
        <f>IFERROR(__xludf.DUMMYFUNCTION("IF('From Order'!$A174=COLUMNS($A174:B193), LEFT(INDEX(FILTER(B$1:B173, B$1:B173&lt;&gt;""""),COUNTA(FILTER(B$1:B173, B$1:B173&lt;&gt;""""))), LEN(INDEX(FILTER(B$1:B173, B$1:B173&lt;&gt;""""),COUNTA(FILTER(B$1:B173, B$1:B173&lt;&gt;""""))))-1), IF('To Order'!$A174=COLUMNS($A174:B"&amp;"193), B173&amp;RIGHT(INDIRECT(ADDRESS(ROW(B174)-1, 'From Order'!$A174)), 1), B173))"),"SW")</f>
        <v>SW</v>
      </c>
      <c r="C174" s="2" t="str">
        <f>IFERROR(__xludf.DUMMYFUNCTION("IF('From Order'!$A174=COLUMNS($A174:C193), LEFT(INDEX(FILTER(C$1:C173, C$1:C173&lt;&gt;""""),COUNTA(FILTER(C$1:C173, C$1:C173&lt;&gt;""""))), LEN(INDEX(FILTER(C$1:C173, C$1:C173&lt;&gt;""""),COUNTA(FILTER(C$1:C173, C$1:C173&lt;&gt;""""))))-1), IF('To Order'!$A174=COLUMNS($A174:C"&amp;"193), C173&amp;RIGHT(INDIRECT(ADDRESS(ROW(C174)-1, 'From Order'!$A174)), 1), C173))"),"VTZRWTRLJBF")</f>
        <v>VTZRWTRLJBF</v>
      </c>
      <c r="D174" s="2" t="str">
        <f>IFERROR(__xludf.DUMMYFUNCTION("IF('From Order'!$A174=COLUMNS($A174:D193), LEFT(INDEX(FILTER(D$1:D173, D$1:D173&lt;&gt;""""),COUNTA(FILTER(D$1:D173, D$1:D173&lt;&gt;""""))), LEN(INDEX(FILTER(D$1:D173, D$1:D173&lt;&gt;""""),COUNTA(FILTER(D$1:D173, D$1:D173&lt;&gt;""""))))-1), IF('To Order'!$A174=COLUMNS($A174:D"&amp;"193), D173&amp;RIGHT(INDIRECT(ADDRESS(ROW(D174)-1, 'From Order'!$A174)), 1), D173))"),"DTCHSPVMZDDTLCBRQPDSVR")</f>
        <v>DTCHSPVMZDDTLCBRQPDSVR</v>
      </c>
      <c r="E174" s="2" t="str">
        <f>IFERROR(__xludf.DUMMYFUNCTION("IF('From Order'!$A174=COLUMNS($A174:E193), LEFT(INDEX(FILTER(E$1:E173, E$1:E173&lt;&gt;""""),COUNTA(FILTER(E$1:E173, E$1:E173&lt;&gt;""""))), LEN(INDEX(FILTER(E$1:E173, E$1:E173&lt;&gt;""""),COUNTA(FILTER(E$1:E173, E$1:E173&lt;&gt;""""))))-1), IF('To Order'!$A174=COLUMNS($A174:E"&amp;"193), E173&amp;RIGHT(INDIRECT(ADDRESS(ROW(E174)-1, 'From Order'!$A174)), 1), E173))"),"")</f>
        <v/>
      </c>
      <c r="F174" s="2" t="str">
        <f>IFERROR(__xludf.DUMMYFUNCTION("IF('From Order'!$A174=COLUMNS($A174:F193), LEFT(INDEX(FILTER(F$1:F173, F$1:F173&lt;&gt;""""),COUNTA(FILTER(F$1:F173, F$1:F173&lt;&gt;""""))), LEN(INDEX(FILTER(F$1:F173, F$1:F173&lt;&gt;""""),COUNTA(FILTER(F$1:F173, F$1:F173&lt;&gt;""""))))-1), IF('To Order'!$A174=COLUMNS($A174:F"&amp;"193), F173&amp;RIGHT(INDIRECT(ADDRESS(ROW(F174)-1, 'From Order'!$A174)), 1), F173))"),"JDGSBPG")</f>
        <v>JDGSBPG</v>
      </c>
      <c r="G174" s="2" t="str">
        <f>IFERROR(__xludf.DUMMYFUNCTION("IF('From Order'!$A174=COLUMNS($A174:G193), LEFT(INDEX(FILTER(G$1:G173, G$1:G173&lt;&gt;""""),COUNTA(FILTER(G$1:G173, G$1:G173&lt;&gt;""""))), LEN(INDEX(FILTER(G$1:G173, G$1:G173&lt;&gt;""""),COUNTA(FILTER(G$1:G173, G$1:G173&lt;&gt;""""))))-1), IF('To Order'!$A174=COLUMNS($A174:G"&amp;"193), G173&amp;RIGHT(INDIRECT(ADDRESS(ROW(G174)-1, 'From Order'!$A174)), 1), G173))"),"")</f>
        <v/>
      </c>
      <c r="H174" s="2" t="str">
        <f>IFERROR(__xludf.DUMMYFUNCTION("IF('From Order'!$A174=COLUMNS($A174:H193), LEFT(INDEX(FILTER(H$1:H173, H$1:H173&lt;&gt;""""),COUNTA(FILTER(H$1:H173, H$1:H173&lt;&gt;""""))), LEN(INDEX(FILTER(H$1:H173, H$1:H173&lt;&gt;""""),COUNTA(FILTER(H$1:H173, H$1:H173&lt;&gt;""""))))-1), IF('To Order'!$A174=COLUMNS($A174:H"&amp;"193), H173&amp;RIGHT(INDIRECT(ADDRESS(ROW(H174)-1, 'From Order'!$A174)), 1), H173))"),"")</f>
        <v/>
      </c>
      <c r="I174" s="2" t="str">
        <f>IFERROR(__xludf.DUMMYFUNCTION("IF('From Order'!$A174=COLUMNS($A174:I193), LEFT(INDEX(FILTER(I$1:I173, I$1:I173&lt;&gt;""""),COUNTA(FILTER(I$1:I173, I$1:I173&lt;&gt;""""))), LEN(INDEX(FILTER(I$1:I173, I$1:I173&lt;&gt;""""),COUNTA(FILTER(I$1:I173, I$1:I173&lt;&gt;""""))))-1), IF('To Order'!$A174=COLUMNS($A174:I"&amp;"193), I173&amp;RIGHT(INDIRECT(ADDRESS(ROW(I174)-1, 'From Order'!$A174)), 1), I173))"),"L")</f>
        <v>L</v>
      </c>
    </row>
    <row r="175">
      <c r="A175" s="2" t="str">
        <f>IFERROR(__xludf.DUMMYFUNCTION("IF('From Order'!$A175=COLUMNS($A175:A194), LEFT(INDEX(FILTER(A$1:A174, A$1:A174&lt;&gt;""""),COUNTA(FILTER(A$1:A174, A$1:A174&lt;&gt;""""))), LEN(INDEX(FILTER(A$1:A174, A$1:A174&lt;&gt;""""),COUNTA(FILTER(A$1:A174, A$1:A174&lt;&gt;""""))))-1), IF('To Order'!$A175=COLUMNS($A175:A"&amp;"194), A174&amp;RIGHT(INDIRECT(ADDRESS(ROW(A175)-1, 'From Order'!$A175)), 1), A174))"),"BRJZHTDCQMTFM")</f>
        <v>BRJZHTDCQMTFM</v>
      </c>
      <c r="B175" s="2" t="str">
        <f>IFERROR(__xludf.DUMMYFUNCTION("IF('From Order'!$A175=COLUMNS($A175:B194), LEFT(INDEX(FILTER(B$1:B174, B$1:B174&lt;&gt;""""),COUNTA(FILTER(B$1:B174, B$1:B174&lt;&gt;""""))), LEN(INDEX(FILTER(B$1:B174, B$1:B174&lt;&gt;""""),COUNTA(FILTER(B$1:B174, B$1:B174&lt;&gt;""""))))-1), IF('To Order'!$A175=COLUMNS($A175:B"&amp;"194), B174&amp;RIGHT(INDIRECT(ADDRESS(ROW(B175)-1, 'From Order'!$A175)), 1), B174))"),"SWF")</f>
        <v>SWF</v>
      </c>
      <c r="C175" s="2" t="str">
        <f>IFERROR(__xludf.DUMMYFUNCTION("IF('From Order'!$A175=COLUMNS($A175:C194), LEFT(INDEX(FILTER(C$1:C174, C$1:C174&lt;&gt;""""),COUNTA(FILTER(C$1:C174, C$1:C174&lt;&gt;""""))), LEN(INDEX(FILTER(C$1:C174, C$1:C174&lt;&gt;""""),COUNTA(FILTER(C$1:C174, C$1:C174&lt;&gt;""""))))-1), IF('To Order'!$A175=COLUMNS($A175:C"&amp;"194), C174&amp;RIGHT(INDIRECT(ADDRESS(ROW(C175)-1, 'From Order'!$A175)), 1), C174))"),"VTZRWTRLJB")</f>
        <v>VTZRWTRLJB</v>
      </c>
      <c r="D175" s="2" t="str">
        <f>IFERROR(__xludf.DUMMYFUNCTION("IF('From Order'!$A175=COLUMNS($A175:D194), LEFT(INDEX(FILTER(D$1:D174, D$1:D174&lt;&gt;""""),COUNTA(FILTER(D$1:D174, D$1:D174&lt;&gt;""""))), LEN(INDEX(FILTER(D$1:D174, D$1:D174&lt;&gt;""""),COUNTA(FILTER(D$1:D174, D$1:D174&lt;&gt;""""))))-1), IF('To Order'!$A175=COLUMNS($A175:D"&amp;"194), D174&amp;RIGHT(INDIRECT(ADDRESS(ROW(D175)-1, 'From Order'!$A175)), 1), D174))"),"DTCHSPVMZDDTLCBRQPDSVR")</f>
        <v>DTCHSPVMZDDTLCBRQPDSVR</v>
      </c>
      <c r="E175" s="2" t="str">
        <f>IFERROR(__xludf.DUMMYFUNCTION("IF('From Order'!$A175=COLUMNS($A175:E194), LEFT(INDEX(FILTER(E$1:E174, E$1:E174&lt;&gt;""""),COUNTA(FILTER(E$1:E174, E$1:E174&lt;&gt;""""))), LEN(INDEX(FILTER(E$1:E174, E$1:E174&lt;&gt;""""),COUNTA(FILTER(E$1:E174, E$1:E174&lt;&gt;""""))))-1), IF('To Order'!$A175=COLUMNS($A175:E"&amp;"194), E174&amp;RIGHT(INDIRECT(ADDRESS(ROW(E175)-1, 'From Order'!$A175)), 1), E174))"),"")</f>
        <v/>
      </c>
      <c r="F175" s="2" t="str">
        <f>IFERROR(__xludf.DUMMYFUNCTION("IF('From Order'!$A175=COLUMNS($A175:F194), LEFT(INDEX(FILTER(F$1:F174, F$1:F174&lt;&gt;""""),COUNTA(FILTER(F$1:F174, F$1:F174&lt;&gt;""""))), LEN(INDEX(FILTER(F$1:F174, F$1:F174&lt;&gt;""""),COUNTA(FILTER(F$1:F174, F$1:F174&lt;&gt;""""))))-1), IF('To Order'!$A175=COLUMNS($A175:F"&amp;"194), F174&amp;RIGHT(INDIRECT(ADDRESS(ROW(F175)-1, 'From Order'!$A175)), 1), F174))"),"JDGSBPG")</f>
        <v>JDGSBPG</v>
      </c>
      <c r="G175" s="2" t="str">
        <f>IFERROR(__xludf.DUMMYFUNCTION("IF('From Order'!$A175=COLUMNS($A175:G194), LEFT(INDEX(FILTER(G$1:G174, G$1:G174&lt;&gt;""""),COUNTA(FILTER(G$1:G174, G$1:G174&lt;&gt;""""))), LEN(INDEX(FILTER(G$1:G174, G$1:G174&lt;&gt;""""),COUNTA(FILTER(G$1:G174, G$1:G174&lt;&gt;""""))))-1), IF('To Order'!$A175=COLUMNS($A175:G"&amp;"194), G174&amp;RIGHT(INDIRECT(ADDRESS(ROW(G175)-1, 'From Order'!$A175)), 1), G174))"),"")</f>
        <v/>
      </c>
      <c r="H175" s="2" t="str">
        <f>IFERROR(__xludf.DUMMYFUNCTION("IF('From Order'!$A175=COLUMNS($A175:H194), LEFT(INDEX(FILTER(H$1:H174, H$1:H174&lt;&gt;""""),COUNTA(FILTER(H$1:H174, H$1:H174&lt;&gt;""""))), LEN(INDEX(FILTER(H$1:H174, H$1:H174&lt;&gt;""""),COUNTA(FILTER(H$1:H174, H$1:H174&lt;&gt;""""))))-1), IF('To Order'!$A175=COLUMNS($A175:H"&amp;"194), H174&amp;RIGHT(INDIRECT(ADDRESS(ROW(H175)-1, 'From Order'!$A175)), 1), H174))"),"")</f>
        <v/>
      </c>
      <c r="I175" s="2" t="str">
        <f>IFERROR(__xludf.DUMMYFUNCTION("IF('From Order'!$A175=COLUMNS($A175:I194), LEFT(INDEX(FILTER(I$1:I174, I$1:I174&lt;&gt;""""),COUNTA(FILTER(I$1:I174, I$1:I174&lt;&gt;""""))), LEN(INDEX(FILTER(I$1:I174, I$1:I174&lt;&gt;""""),COUNTA(FILTER(I$1:I174, I$1:I174&lt;&gt;""""))))-1), IF('To Order'!$A175=COLUMNS($A175:I"&amp;"194), I174&amp;RIGHT(INDIRECT(ADDRESS(ROW(I175)-1, 'From Order'!$A175)), 1), I174))"),"L")</f>
        <v>L</v>
      </c>
    </row>
    <row r="176">
      <c r="A176" s="2" t="str">
        <f>IFERROR(__xludf.DUMMYFUNCTION("IF('From Order'!$A176=COLUMNS($A176:A195), LEFT(INDEX(FILTER(A$1:A175, A$1:A175&lt;&gt;""""),COUNTA(FILTER(A$1:A175, A$1:A175&lt;&gt;""""))), LEN(INDEX(FILTER(A$1:A175, A$1:A175&lt;&gt;""""),COUNTA(FILTER(A$1:A175, A$1:A175&lt;&gt;""""))))-1), IF('To Order'!$A176=COLUMNS($A176:A"&amp;"195), A175&amp;RIGHT(INDIRECT(ADDRESS(ROW(A176)-1, 'From Order'!$A176)), 1), A175))"),"BRJZHTDCQMTFM")</f>
        <v>BRJZHTDCQMTFM</v>
      </c>
      <c r="B176" s="2" t="str">
        <f>IFERROR(__xludf.DUMMYFUNCTION("IF('From Order'!$A176=COLUMNS($A176:B195), LEFT(INDEX(FILTER(B$1:B175, B$1:B175&lt;&gt;""""),COUNTA(FILTER(B$1:B175, B$1:B175&lt;&gt;""""))), LEN(INDEX(FILTER(B$1:B175, B$1:B175&lt;&gt;""""),COUNTA(FILTER(B$1:B175, B$1:B175&lt;&gt;""""))))-1), IF('To Order'!$A176=COLUMNS($A176:B"&amp;"195), B175&amp;RIGHT(INDIRECT(ADDRESS(ROW(B176)-1, 'From Order'!$A176)), 1), B175))"),"SWFB")</f>
        <v>SWFB</v>
      </c>
      <c r="C176" s="2" t="str">
        <f>IFERROR(__xludf.DUMMYFUNCTION("IF('From Order'!$A176=COLUMNS($A176:C195), LEFT(INDEX(FILTER(C$1:C175, C$1:C175&lt;&gt;""""),COUNTA(FILTER(C$1:C175, C$1:C175&lt;&gt;""""))), LEN(INDEX(FILTER(C$1:C175, C$1:C175&lt;&gt;""""),COUNTA(FILTER(C$1:C175, C$1:C175&lt;&gt;""""))))-1), IF('To Order'!$A176=COLUMNS($A176:C"&amp;"195), C175&amp;RIGHT(INDIRECT(ADDRESS(ROW(C176)-1, 'From Order'!$A176)), 1), C175))"),"VTZRWTRLJ")</f>
        <v>VTZRWTRLJ</v>
      </c>
      <c r="D176" s="2" t="str">
        <f>IFERROR(__xludf.DUMMYFUNCTION("IF('From Order'!$A176=COLUMNS($A176:D195), LEFT(INDEX(FILTER(D$1:D175, D$1:D175&lt;&gt;""""),COUNTA(FILTER(D$1:D175, D$1:D175&lt;&gt;""""))), LEN(INDEX(FILTER(D$1:D175, D$1:D175&lt;&gt;""""),COUNTA(FILTER(D$1:D175, D$1:D175&lt;&gt;""""))))-1), IF('To Order'!$A176=COLUMNS($A176:D"&amp;"195), D175&amp;RIGHT(INDIRECT(ADDRESS(ROW(D176)-1, 'From Order'!$A176)), 1), D175))"),"DTCHSPVMZDDTLCBRQPDSVR")</f>
        <v>DTCHSPVMZDDTLCBRQPDSVR</v>
      </c>
      <c r="E176" s="2" t="str">
        <f>IFERROR(__xludf.DUMMYFUNCTION("IF('From Order'!$A176=COLUMNS($A176:E195), LEFT(INDEX(FILTER(E$1:E175, E$1:E175&lt;&gt;""""),COUNTA(FILTER(E$1:E175, E$1:E175&lt;&gt;""""))), LEN(INDEX(FILTER(E$1:E175, E$1:E175&lt;&gt;""""),COUNTA(FILTER(E$1:E175, E$1:E175&lt;&gt;""""))))-1), IF('To Order'!$A176=COLUMNS($A176:E"&amp;"195), E175&amp;RIGHT(INDIRECT(ADDRESS(ROW(E176)-1, 'From Order'!$A176)), 1), E175))"),"")</f>
        <v/>
      </c>
      <c r="F176" s="2" t="str">
        <f>IFERROR(__xludf.DUMMYFUNCTION("IF('From Order'!$A176=COLUMNS($A176:F195), LEFT(INDEX(FILTER(F$1:F175, F$1:F175&lt;&gt;""""),COUNTA(FILTER(F$1:F175, F$1:F175&lt;&gt;""""))), LEN(INDEX(FILTER(F$1:F175, F$1:F175&lt;&gt;""""),COUNTA(FILTER(F$1:F175, F$1:F175&lt;&gt;""""))))-1), IF('To Order'!$A176=COLUMNS($A176:F"&amp;"195), F175&amp;RIGHT(INDIRECT(ADDRESS(ROW(F176)-1, 'From Order'!$A176)), 1), F175))"),"JDGSBPG")</f>
        <v>JDGSBPG</v>
      </c>
      <c r="G176" s="2" t="str">
        <f>IFERROR(__xludf.DUMMYFUNCTION("IF('From Order'!$A176=COLUMNS($A176:G195), LEFT(INDEX(FILTER(G$1:G175, G$1:G175&lt;&gt;""""),COUNTA(FILTER(G$1:G175, G$1:G175&lt;&gt;""""))), LEN(INDEX(FILTER(G$1:G175, G$1:G175&lt;&gt;""""),COUNTA(FILTER(G$1:G175, G$1:G175&lt;&gt;""""))))-1), IF('To Order'!$A176=COLUMNS($A176:G"&amp;"195), G175&amp;RIGHT(INDIRECT(ADDRESS(ROW(G176)-1, 'From Order'!$A176)), 1), G175))"),"")</f>
        <v/>
      </c>
      <c r="H176" s="2" t="str">
        <f>IFERROR(__xludf.DUMMYFUNCTION("IF('From Order'!$A176=COLUMNS($A176:H195), LEFT(INDEX(FILTER(H$1:H175, H$1:H175&lt;&gt;""""),COUNTA(FILTER(H$1:H175, H$1:H175&lt;&gt;""""))), LEN(INDEX(FILTER(H$1:H175, H$1:H175&lt;&gt;""""),COUNTA(FILTER(H$1:H175, H$1:H175&lt;&gt;""""))))-1), IF('To Order'!$A176=COLUMNS($A176:H"&amp;"195), H175&amp;RIGHT(INDIRECT(ADDRESS(ROW(H176)-1, 'From Order'!$A176)), 1), H175))"),"")</f>
        <v/>
      </c>
      <c r="I176" s="2" t="str">
        <f>IFERROR(__xludf.DUMMYFUNCTION("IF('From Order'!$A176=COLUMNS($A176:I195), LEFT(INDEX(FILTER(I$1:I175, I$1:I175&lt;&gt;""""),COUNTA(FILTER(I$1:I175, I$1:I175&lt;&gt;""""))), LEN(INDEX(FILTER(I$1:I175, I$1:I175&lt;&gt;""""),COUNTA(FILTER(I$1:I175, I$1:I175&lt;&gt;""""))))-1), IF('To Order'!$A176=COLUMNS($A176:I"&amp;"195), I175&amp;RIGHT(INDIRECT(ADDRESS(ROW(I176)-1, 'From Order'!$A176)), 1), I175))"),"L")</f>
        <v>L</v>
      </c>
    </row>
    <row r="177">
      <c r="A177" s="2" t="str">
        <f>IFERROR(__xludf.DUMMYFUNCTION("IF('From Order'!$A177=COLUMNS($A177:A196), LEFT(INDEX(FILTER(A$1:A176, A$1:A176&lt;&gt;""""),COUNTA(FILTER(A$1:A176, A$1:A176&lt;&gt;""""))), LEN(INDEX(FILTER(A$1:A176, A$1:A176&lt;&gt;""""),COUNTA(FILTER(A$1:A176, A$1:A176&lt;&gt;""""))))-1), IF('To Order'!$A177=COLUMNS($A177:A"&amp;"196), A176&amp;RIGHT(INDIRECT(ADDRESS(ROW(A177)-1, 'From Order'!$A177)), 1), A176))"),"BRJZHTDCQMTFM")</f>
        <v>BRJZHTDCQMTFM</v>
      </c>
      <c r="B177" s="2" t="str">
        <f>IFERROR(__xludf.DUMMYFUNCTION("IF('From Order'!$A177=COLUMNS($A177:B196), LEFT(INDEX(FILTER(B$1:B176, B$1:B176&lt;&gt;""""),COUNTA(FILTER(B$1:B176, B$1:B176&lt;&gt;""""))), LEN(INDEX(FILTER(B$1:B176, B$1:B176&lt;&gt;""""),COUNTA(FILTER(B$1:B176, B$1:B176&lt;&gt;""""))))-1), IF('To Order'!$A177=COLUMNS($A177:B"&amp;"196), B176&amp;RIGHT(INDIRECT(ADDRESS(ROW(B177)-1, 'From Order'!$A177)), 1), B176))"),"SWFBJ")</f>
        <v>SWFBJ</v>
      </c>
      <c r="C177" s="2" t="str">
        <f>IFERROR(__xludf.DUMMYFUNCTION("IF('From Order'!$A177=COLUMNS($A177:C196), LEFT(INDEX(FILTER(C$1:C176, C$1:C176&lt;&gt;""""),COUNTA(FILTER(C$1:C176, C$1:C176&lt;&gt;""""))), LEN(INDEX(FILTER(C$1:C176, C$1:C176&lt;&gt;""""),COUNTA(FILTER(C$1:C176, C$1:C176&lt;&gt;""""))))-1), IF('To Order'!$A177=COLUMNS($A177:C"&amp;"196), C176&amp;RIGHT(INDIRECT(ADDRESS(ROW(C177)-1, 'From Order'!$A177)), 1), C176))"),"VTZRWTRL")</f>
        <v>VTZRWTRL</v>
      </c>
      <c r="D177" s="2" t="str">
        <f>IFERROR(__xludf.DUMMYFUNCTION("IF('From Order'!$A177=COLUMNS($A177:D196), LEFT(INDEX(FILTER(D$1:D176, D$1:D176&lt;&gt;""""),COUNTA(FILTER(D$1:D176, D$1:D176&lt;&gt;""""))), LEN(INDEX(FILTER(D$1:D176, D$1:D176&lt;&gt;""""),COUNTA(FILTER(D$1:D176, D$1:D176&lt;&gt;""""))))-1), IF('To Order'!$A177=COLUMNS($A177:D"&amp;"196), D176&amp;RIGHT(INDIRECT(ADDRESS(ROW(D177)-1, 'From Order'!$A177)), 1), D176))"),"DTCHSPVMZDDTLCBRQPDSVR")</f>
        <v>DTCHSPVMZDDTLCBRQPDSVR</v>
      </c>
      <c r="E177" s="2" t="str">
        <f>IFERROR(__xludf.DUMMYFUNCTION("IF('From Order'!$A177=COLUMNS($A177:E196), LEFT(INDEX(FILTER(E$1:E176, E$1:E176&lt;&gt;""""),COUNTA(FILTER(E$1:E176, E$1:E176&lt;&gt;""""))), LEN(INDEX(FILTER(E$1:E176, E$1:E176&lt;&gt;""""),COUNTA(FILTER(E$1:E176, E$1:E176&lt;&gt;""""))))-1), IF('To Order'!$A177=COLUMNS($A177:E"&amp;"196), E176&amp;RIGHT(INDIRECT(ADDRESS(ROW(E177)-1, 'From Order'!$A177)), 1), E176))"),"")</f>
        <v/>
      </c>
      <c r="F177" s="2" t="str">
        <f>IFERROR(__xludf.DUMMYFUNCTION("IF('From Order'!$A177=COLUMNS($A177:F196), LEFT(INDEX(FILTER(F$1:F176, F$1:F176&lt;&gt;""""),COUNTA(FILTER(F$1:F176, F$1:F176&lt;&gt;""""))), LEN(INDEX(FILTER(F$1:F176, F$1:F176&lt;&gt;""""),COUNTA(FILTER(F$1:F176, F$1:F176&lt;&gt;""""))))-1), IF('To Order'!$A177=COLUMNS($A177:F"&amp;"196), F176&amp;RIGHT(INDIRECT(ADDRESS(ROW(F177)-1, 'From Order'!$A177)), 1), F176))"),"JDGSBPG")</f>
        <v>JDGSBPG</v>
      </c>
      <c r="G177" s="2" t="str">
        <f>IFERROR(__xludf.DUMMYFUNCTION("IF('From Order'!$A177=COLUMNS($A177:G196), LEFT(INDEX(FILTER(G$1:G176, G$1:G176&lt;&gt;""""),COUNTA(FILTER(G$1:G176, G$1:G176&lt;&gt;""""))), LEN(INDEX(FILTER(G$1:G176, G$1:G176&lt;&gt;""""),COUNTA(FILTER(G$1:G176, G$1:G176&lt;&gt;""""))))-1), IF('To Order'!$A177=COLUMNS($A177:G"&amp;"196), G176&amp;RIGHT(INDIRECT(ADDRESS(ROW(G177)-1, 'From Order'!$A177)), 1), G176))"),"")</f>
        <v/>
      </c>
      <c r="H177" s="2" t="str">
        <f>IFERROR(__xludf.DUMMYFUNCTION("IF('From Order'!$A177=COLUMNS($A177:H196), LEFT(INDEX(FILTER(H$1:H176, H$1:H176&lt;&gt;""""),COUNTA(FILTER(H$1:H176, H$1:H176&lt;&gt;""""))), LEN(INDEX(FILTER(H$1:H176, H$1:H176&lt;&gt;""""),COUNTA(FILTER(H$1:H176, H$1:H176&lt;&gt;""""))))-1), IF('To Order'!$A177=COLUMNS($A177:H"&amp;"196), H176&amp;RIGHT(INDIRECT(ADDRESS(ROW(H177)-1, 'From Order'!$A177)), 1), H176))"),"")</f>
        <v/>
      </c>
      <c r="I177" s="2" t="str">
        <f>IFERROR(__xludf.DUMMYFUNCTION("IF('From Order'!$A177=COLUMNS($A177:I196), LEFT(INDEX(FILTER(I$1:I176, I$1:I176&lt;&gt;""""),COUNTA(FILTER(I$1:I176, I$1:I176&lt;&gt;""""))), LEN(INDEX(FILTER(I$1:I176, I$1:I176&lt;&gt;""""),COUNTA(FILTER(I$1:I176, I$1:I176&lt;&gt;""""))))-1), IF('To Order'!$A177=COLUMNS($A177:I"&amp;"196), I176&amp;RIGHT(INDIRECT(ADDRESS(ROW(I177)-1, 'From Order'!$A177)), 1), I176))"),"L")</f>
        <v>L</v>
      </c>
    </row>
    <row r="178">
      <c r="A178" s="2" t="str">
        <f>IFERROR(__xludf.DUMMYFUNCTION("IF('From Order'!$A178=COLUMNS($A178:A197), LEFT(INDEX(FILTER(A$1:A177, A$1:A177&lt;&gt;""""),COUNTA(FILTER(A$1:A177, A$1:A177&lt;&gt;""""))), LEN(INDEX(FILTER(A$1:A177, A$1:A177&lt;&gt;""""),COUNTA(FILTER(A$1:A177, A$1:A177&lt;&gt;""""))))-1), IF('To Order'!$A178=COLUMNS($A178:A"&amp;"197), A177&amp;RIGHT(INDIRECT(ADDRESS(ROW(A178)-1, 'From Order'!$A178)), 1), A177))"),"BRJZHTDCQMTFM")</f>
        <v>BRJZHTDCQMTFM</v>
      </c>
      <c r="B178" s="2" t="str">
        <f>IFERROR(__xludf.DUMMYFUNCTION("IF('From Order'!$A178=COLUMNS($A178:B197), LEFT(INDEX(FILTER(B$1:B177, B$1:B177&lt;&gt;""""),COUNTA(FILTER(B$1:B177, B$1:B177&lt;&gt;""""))), LEN(INDEX(FILTER(B$1:B177, B$1:B177&lt;&gt;""""),COUNTA(FILTER(B$1:B177, B$1:B177&lt;&gt;""""))))-1), IF('To Order'!$A178=COLUMNS($A178:B"&amp;"197), B177&amp;RIGHT(INDIRECT(ADDRESS(ROW(B178)-1, 'From Order'!$A178)), 1), B177))"),"SWFBJL")</f>
        <v>SWFBJL</v>
      </c>
      <c r="C178" s="2" t="str">
        <f>IFERROR(__xludf.DUMMYFUNCTION("IF('From Order'!$A178=COLUMNS($A178:C197), LEFT(INDEX(FILTER(C$1:C177, C$1:C177&lt;&gt;""""),COUNTA(FILTER(C$1:C177, C$1:C177&lt;&gt;""""))), LEN(INDEX(FILTER(C$1:C177, C$1:C177&lt;&gt;""""),COUNTA(FILTER(C$1:C177, C$1:C177&lt;&gt;""""))))-1), IF('To Order'!$A178=COLUMNS($A178:C"&amp;"197), C177&amp;RIGHT(INDIRECT(ADDRESS(ROW(C178)-1, 'From Order'!$A178)), 1), C177))"),"VTZRWTR")</f>
        <v>VTZRWTR</v>
      </c>
      <c r="D178" s="2" t="str">
        <f>IFERROR(__xludf.DUMMYFUNCTION("IF('From Order'!$A178=COLUMNS($A178:D197), LEFT(INDEX(FILTER(D$1:D177, D$1:D177&lt;&gt;""""),COUNTA(FILTER(D$1:D177, D$1:D177&lt;&gt;""""))), LEN(INDEX(FILTER(D$1:D177, D$1:D177&lt;&gt;""""),COUNTA(FILTER(D$1:D177, D$1:D177&lt;&gt;""""))))-1), IF('To Order'!$A178=COLUMNS($A178:D"&amp;"197), D177&amp;RIGHT(INDIRECT(ADDRESS(ROW(D178)-1, 'From Order'!$A178)), 1), D177))"),"DTCHSPVMZDDTLCBRQPDSVR")</f>
        <v>DTCHSPVMZDDTLCBRQPDSVR</v>
      </c>
      <c r="E178" s="2" t="str">
        <f>IFERROR(__xludf.DUMMYFUNCTION("IF('From Order'!$A178=COLUMNS($A178:E197), LEFT(INDEX(FILTER(E$1:E177, E$1:E177&lt;&gt;""""),COUNTA(FILTER(E$1:E177, E$1:E177&lt;&gt;""""))), LEN(INDEX(FILTER(E$1:E177, E$1:E177&lt;&gt;""""),COUNTA(FILTER(E$1:E177, E$1:E177&lt;&gt;""""))))-1), IF('To Order'!$A178=COLUMNS($A178:E"&amp;"197), E177&amp;RIGHT(INDIRECT(ADDRESS(ROW(E178)-1, 'From Order'!$A178)), 1), E177))"),"")</f>
        <v/>
      </c>
      <c r="F178" s="2" t="str">
        <f>IFERROR(__xludf.DUMMYFUNCTION("IF('From Order'!$A178=COLUMNS($A178:F197), LEFT(INDEX(FILTER(F$1:F177, F$1:F177&lt;&gt;""""),COUNTA(FILTER(F$1:F177, F$1:F177&lt;&gt;""""))), LEN(INDEX(FILTER(F$1:F177, F$1:F177&lt;&gt;""""),COUNTA(FILTER(F$1:F177, F$1:F177&lt;&gt;""""))))-1), IF('To Order'!$A178=COLUMNS($A178:F"&amp;"197), F177&amp;RIGHT(INDIRECT(ADDRESS(ROW(F178)-1, 'From Order'!$A178)), 1), F177))"),"JDGSBPG")</f>
        <v>JDGSBPG</v>
      </c>
      <c r="G178" s="2" t="str">
        <f>IFERROR(__xludf.DUMMYFUNCTION("IF('From Order'!$A178=COLUMNS($A178:G197), LEFT(INDEX(FILTER(G$1:G177, G$1:G177&lt;&gt;""""),COUNTA(FILTER(G$1:G177, G$1:G177&lt;&gt;""""))), LEN(INDEX(FILTER(G$1:G177, G$1:G177&lt;&gt;""""),COUNTA(FILTER(G$1:G177, G$1:G177&lt;&gt;""""))))-1), IF('To Order'!$A178=COLUMNS($A178:G"&amp;"197), G177&amp;RIGHT(INDIRECT(ADDRESS(ROW(G178)-1, 'From Order'!$A178)), 1), G177))"),"")</f>
        <v/>
      </c>
      <c r="H178" s="2" t="str">
        <f>IFERROR(__xludf.DUMMYFUNCTION("IF('From Order'!$A178=COLUMNS($A178:H197), LEFT(INDEX(FILTER(H$1:H177, H$1:H177&lt;&gt;""""),COUNTA(FILTER(H$1:H177, H$1:H177&lt;&gt;""""))), LEN(INDEX(FILTER(H$1:H177, H$1:H177&lt;&gt;""""),COUNTA(FILTER(H$1:H177, H$1:H177&lt;&gt;""""))))-1), IF('To Order'!$A178=COLUMNS($A178:H"&amp;"197), H177&amp;RIGHT(INDIRECT(ADDRESS(ROW(H178)-1, 'From Order'!$A178)), 1), H177))"),"")</f>
        <v/>
      </c>
      <c r="I178" s="2" t="str">
        <f>IFERROR(__xludf.DUMMYFUNCTION("IF('From Order'!$A178=COLUMNS($A178:I197), LEFT(INDEX(FILTER(I$1:I177, I$1:I177&lt;&gt;""""),COUNTA(FILTER(I$1:I177, I$1:I177&lt;&gt;""""))), LEN(INDEX(FILTER(I$1:I177, I$1:I177&lt;&gt;""""),COUNTA(FILTER(I$1:I177, I$1:I177&lt;&gt;""""))))-1), IF('To Order'!$A178=COLUMNS($A178:I"&amp;"197), I177&amp;RIGHT(INDIRECT(ADDRESS(ROW(I178)-1, 'From Order'!$A178)), 1), I177))"),"L")</f>
        <v>L</v>
      </c>
    </row>
    <row r="179">
      <c r="A179" s="2" t="str">
        <f>IFERROR(__xludf.DUMMYFUNCTION("IF('From Order'!$A179=COLUMNS($A179:A198), LEFT(INDEX(FILTER(A$1:A178, A$1:A178&lt;&gt;""""),COUNTA(FILTER(A$1:A178, A$1:A178&lt;&gt;""""))), LEN(INDEX(FILTER(A$1:A178, A$1:A178&lt;&gt;""""),COUNTA(FILTER(A$1:A178, A$1:A178&lt;&gt;""""))))-1), IF('To Order'!$A179=COLUMNS($A179:A"&amp;"198), A178&amp;RIGHT(INDIRECT(ADDRESS(ROW(A179)-1, 'From Order'!$A179)), 1), A178))"),"BRJZHTDCQMTFM")</f>
        <v>BRJZHTDCQMTFM</v>
      </c>
      <c r="B179" s="2" t="str">
        <f>IFERROR(__xludf.DUMMYFUNCTION("IF('From Order'!$A179=COLUMNS($A179:B198), LEFT(INDEX(FILTER(B$1:B178, B$1:B178&lt;&gt;""""),COUNTA(FILTER(B$1:B178, B$1:B178&lt;&gt;""""))), LEN(INDEX(FILTER(B$1:B178, B$1:B178&lt;&gt;""""),COUNTA(FILTER(B$1:B178, B$1:B178&lt;&gt;""""))))-1), IF('To Order'!$A179=COLUMNS($A179:B"&amp;"198), B178&amp;RIGHT(INDIRECT(ADDRESS(ROW(B179)-1, 'From Order'!$A179)), 1), B178))"),"SWFBJLR")</f>
        <v>SWFBJLR</v>
      </c>
      <c r="C179" s="2" t="str">
        <f>IFERROR(__xludf.DUMMYFUNCTION("IF('From Order'!$A179=COLUMNS($A179:C198), LEFT(INDEX(FILTER(C$1:C178, C$1:C178&lt;&gt;""""),COUNTA(FILTER(C$1:C178, C$1:C178&lt;&gt;""""))), LEN(INDEX(FILTER(C$1:C178, C$1:C178&lt;&gt;""""),COUNTA(FILTER(C$1:C178, C$1:C178&lt;&gt;""""))))-1), IF('To Order'!$A179=COLUMNS($A179:C"&amp;"198), C178&amp;RIGHT(INDIRECT(ADDRESS(ROW(C179)-1, 'From Order'!$A179)), 1), C178))"),"VTZRWT")</f>
        <v>VTZRWT</v>
      </c>
      <c r="D179" s="2" t="str">
        <f>IFERROR(__xludf.DUMMYFUNCTION("IF('From Order'!$A179=COLUMNS($A179:D198), LEFT(INDEX(FILTER(D$1:D178, D$1:D178&lt;&gt;""""),COUNTA(FILTER(D$1:D178, D$1:D178&lt;&gt;""""))), LEN(INDEX(FILTER(D$1:D178, D$1:D178&lt;&gt;""""),COUNTA(FILTER(D$1:D178, D$1:D178&lt;&gt;""""))))-1), IF('To Order'!$A179=COLUMNS($A179:D"&amp;"198), D178&amp;RIGHT(INDIRECT(ADDRESS(ROW(D179)-1, 'From Order'!$A179)), 1), D178))"),"DTCHSPVMZDDTLCBRQPDSVR")</f>
        <v>DTCHSPVMZDDTLCBRQPDSVR</v>
      </c>
      <c r="E179" s="2" t="str">
        <f>IFERROR(__xludf.DUMMYFUNCTION("IF('From Order'!$A179=COLUMNS($A179:E198), LEFT(INDEX(FILTER(E$1:E178, E$1:E178&lt;&gt;""""),COUNTA(FILTER(E$1:E178, E$1:E178&lt;&gt;""""))), LEN(INDEX(FILTER(E$1:E178, E$1:E178&lt;&gt;""""),COUNTA(FILTER(E$1:E178, E$1:E178&lt;&gt;""""))))-1), IF('To Order'!$A179=COLUMNS($A179:E"&amp;"198), E178&amp;RIGHT(INDIRECT(ADDRESS(ROW(E179)-1, 'From Order'!$A179)), 1), E178))"),"")</f>
        <v/>
      </c>
      <c r="F179" s="2" t="str">
        <f>IFERROR(__xludf.DUMMYFUNCTION("IF('From Order'!$A179=COLUMNS($A179:F198), LEFT(INDEX(FILTER(F$1:F178, F$1:F178&lt;&gt;""""),COUNTA(FILTER(F$1:F178, F$1:F178&lt;&gt;""""))), LEN(INDEX(FILTER(F$1:F178, F$1:F178&lt;&gt;""""),COUNTA(FILTER(F$1:F178, F$1:F178&lt;&gt;""""))))-1), IF('To Order'!$A179=COLUMNS($A179:F"&amp;"198), F178&amp;RIGHT(INDIRECT(ADDRESS(ROW(F179)-1, 'From Order'!$A179)), 1), F178))"),"JDGSBPG")</f>
        <v>JDGSBPG</v>
      </c>
      <c r="G179" s="2" t="str">
        <f>IFERROR(__xludf.DUMMYFUNCTION("IF('From Order'!$A179=COLUMNS($A179:G198), LEFT(INDEX(FILTER(G$1:G178, G$1:G178&lt;&gt;""""),COUNTA(FILTER(G$1:G178, G$1:G178&lt;&gt;""""))), LEN(INDEX(FILTER(G$1:G178, G$1:G178&lt;&gt;""""),COUNTA(FILTER(G$1:G178, G$1:G178&lt;&gt;""""))))-1), IF('To Order'!$A179=COLUMNS($A179:G"&amp;"198), G178&amp;RIGHT(INDIRECT(ADDRESS(ROW(G179)-1, 'From Order'!$A179)), 1), G178))"),"")</f>
        <v/>
      </c>
      <c r="H179" s="2" t="str">
        <f>IFERROR(__xludf.DUMMYFUNCTION("IF('From Order'!$A179=COLUMNS($A179:H198), LEFT(INDEX(FILTER(H$1:H178, H$1:H178&lt;&gt;""""),COUNTA(FILTER(H$1:H178, H$1:H178&lt;&gt;""""))), LEN(INDEX(FILTER(H$1:H178, H$1:H178&lt;&gt;""""),COUNTA(FILTER(H$1:H178, H$1:H178&lt;&gt;""""))))-1), IF('To Order'!$A179=COLUMNS($A179:H"&amp;"198), H178&amp;RIGHT(INDIRECT(ADDRESS(ROW(H179)-1, 'From Order'!$A179)), 1), H178))"),"")</f>
        <v/>
      </c>
      <c r="I179" s="2" t="str">
        <f>IFERROR(__xludf.DUMMYFUNCTION("IF('From Order'!$A179=COLUMNS($A179:I198), LEFT(INDEX(FILTER(I$1:I178, I$1:I178&lt;&gt;""""),COUNTA(FILTER(I$1:I178, I$1:I178&lt;&gt;""""))), LEN(INDEX(FILTER(I$1:I178, I$1:I178&lt;&gt;""""),COUNTA(FILTER(I$1:I178, I$1:I178&lt;&gt;""""))))-1), IF('To Order'!$A179=COLUMNS($A179:I"&amp;"198), I178&amp;RIGHT(INDIRECT(ADDRESS(ROW(I179)-1, 'From Order'!$A179)), 1), I178))"),"L")</f>
        <v>L</v>
      </c>
    </row>
    <row r="180">
      <c r="A180" s="2" t="str">
        <f>IFERROR(__xludf.DUMMYFUNCTION("IF('From Order'!$A180=COLUMNS($A180:A199), LEFT(INDEX(FILTER(A$1:A179, A$1:A179&lt;&gt;""""),COUNTA(FILTER(A$1:A179, A$1:A179&lt;&gt;""""))), LEN(INDEX(FILTER(A$1:A179, A$1:A179&lt;&gt;""""),COUNTA(FILTER(A$1:A179, A$1:A179&lt;&gt;""""))))-1), IF('To Order'!$A180=COLUMNS($A180:A"&amp;"199), A179&amp;RIGHT(INDIRECT(ADDRESS(ROW(A180)-1, 'From Order'!$A180)), 1), A179))"),"BRJZHTDCQMTF")</f>
        <v>BRJZHTDCQMTF</v>
      </c>
      <c r="B180" s="2" t="str">
        <f>IFERROR(__xludf.DUMMYFUNCTION("IF('From Order'!$A180=COLUMNS($A180:B199), LEFT(INDEX(FILTER(B$1:B179, B$1:B179&lt;&gt;""""),COUNTA(FILTER(B$1:B179, B$1:B179&lt;&gt;""""))), LEN(INDEX(FILTER(B$1:B179, B$1:B179&lt;&gt;""""),COUNTA(FILTER(B$1:B179, B$1:B179&lt;&gt;""""))))-1), IF('To Order'!$A180=COLUMNS($A180:B"&amp;"199), B179&amp;RIGHT(INDIRECT(ADDRESS(ROW(B180)-1, 'From Order'!$A180)), 1), B179))"),"SWFBJLR")</f>
        <v>SWFBJLR</v>
      </c>
      <c r="C180" s="2" t="str">
        <f>IFERROR(__xludf.DUMMYFUNCTION("IF('From Order'!$A180=COLUMNS($A180:C199), LEFT(INDEX(FILTER(C$1:C179, C$1:C179&lt;&gt;""""),COUNTA(FILTER(C$1:C179, C$1:C179&lt;&gt;""""))), LEN(INDEX(FILTER(C$1:C179, C$1:C179&lt;&gt;""""),COUNTA(FILTER(C$1:C179, C$1:C179&lt;&gt;""""))))-1), IF('To Order'!$A180=COLUMNS($A180:C"&amp;"199), C179&amp;RIGHT(INDIRECT(ADDRESS(ROW(C180)-1, 'From Order'!$A180)), 1), C179))"),"VTZRWT")</f>
        <v>VTZRWT</v>
      </c>
      <c r="D180" s="2" t="str">
        <f>IFERROR(__xludf.DUMMYFUNCTION("IF('From Order'!$A180=COLUMNS($A180:D199), LEFT(INDEX(FILTER(D$1:D179, D$1:D179&lt;&gt;""""),COUNTA(FILTER(D$1:D179, D$1:D179&lt;&gt;""""))), LEN(INDEX(FILTER(D$1:D179, D$1:D179&lt;&gt;""""),COUNTA(FILTER(D$1:D179, D$1:D179&lt;&gt;""""))))-1), IF('To Order'!$A180=COLUMNS($A180:D"&amp;"199), D179&amp;RIGHT(INDIRECT(ADDRESS(ROW(D180)-1, 'From Order'!$A180)), 1), D179))"),"DTCHSPVMZDDTLCBRQPDSVR")</f>
        <v>DTCHSPVMZDDTLCBRQPDSVR</v>
      </c>
      <c r="E180" s="2" t="str">
        <f>IFERROR(__xludf.DUMMYFUNCTION("IF('From Order'!$A180=COLUMNS($A180:E199), LEFT(INDEX(FILTER(E$1:E179, E$1:E179&lt;&gt;""""),COUNTA(FILTER(E$1:E179, E$1:E179&lt;&gt;""""))), LEN(INDEX(FILTER(E$1:E179, E$1:E179&lt;&gt;""""),COUNTA(FILTER(E$1:E179, E$1:E179&lt;&gt;""""))))-1), IF('To Order'!$A180=COLUMNS($A180:E"&amp;"199), E179&amp;RIGHT(INDIRECT(ADDRESS(ROW(E180)-1, 'From Order'!$A180)), 1), E179))"),"")</f>
        <v/>
      </c>
      <c r="F180" s="2" t="str">
        <f>IFERROR(__xludf.DUMMYFUNCTION("IF('From Order'!$A180=COLUMNS($A180:F199), LEFT(INDEX(FILTER(F$1:F179, F$1:F179&lt;&gt;""""),COUNTA(FILTER(F$1:F179, F$1:F179&lt;&gt;""""))), LEN(INDEX(FILTER(F$1:F179, F$1:F179&lt;&gt;""""),COUNTA(FILTER(F$1:F179, F$1:F179&lt;&gt;""""))))-1), IF('To Order'!$A180=COLUMNS($A180:F"&amp;"199), F179&amp;RIGHT(INDIRECT(ADDRESS(ROW(F180)-1, 'From Order'!$A180)), 1), F179))"),"JDGSBPG")</f>
        <v>JDGSBPG</v>
      </c>
      <c r="G180" s="2" t="str">
        <f>IFERROR(__xludf.DUMMYFUNCTION("IF('From Order'!$A180=COLUMNS($A180:G199), LEFT(INDEX(FILTER(G$1:G179, G$1:G179&lt;&gt;""""),COUNTA(FILTER(G$1:G179, G$1:G179&lt;&gt;""""))), LEN(INDEX(FILTER(G$1:G179, G$1:G179&lt;&gt;""""),COUNTA(FILTER(G$1:G179, G$1:G179&lt;&gt;""""))))-1), IF('To Order'!$A180=COLUMNS($A180:G"&amp;"199), G179&amp;RIGHT(INDIRECT(ADDRESS(ROW(G180)-1, 'From Order'!$A180)), 1), G179))"),"")</f>
        <v/>
      </c>
      <c r="H180" s="2" t="str">
        <f>IFERROR(__xludf.DUMMYFUNCTION("IF('From Order'!$A180=COLUMNS($A180:H199), LEFT(INDEX(FILTER(H$1:H179, H$1:H179&lt;&gt;""""),COUNTA(FILTER(H$1:H179, H$1:H179&lt;&gt;""""))), LEN(INDEX(FILTER(H$1:H179, H$1:H179&lt;&gt;""""),COUNTA(FILTER(H$1:H179, H$1:H179&lt;&gt;""""))))-1), IF('To Order'!$A180=COLUMNS($A180:H"&amp;"199), H179&amp;RIGHT(INDIRECT(ADDRESS(ROW(H180)-1, 'From Order'!$A180)), 1), H179))"),"M")</f>
        <v>M</v>
      </c>
      <c r="I180" s="2" t="str">
        <f>IFERROR(__xludf.DUMMYFUNCTION("IF('From Order'!$A180=COLUMNS($A180:I199), LEFT(INDEX(FILTER(I$1:I179, I$1:I179&lt;&gt;""""),COUNTA(FILTER(I$1:I179, I$1:I179&lt;&gt;""""))), LEN(INDEX(FILTER(I$1:I179, I$1:I179&lt;&gt;""""),COUNTA(FILTER(I$1:I179, I$1:I179&lt;&gt;""""))))-1), IF('To Order'!$A180=COLUMNS($A180:I"&amp;"199), I179&amp;RIGHT(INDIRECT(ADDRESS(ROW(I180)-1, 'From Order'!$A180)), 1), I179))"),"L")</f>
        <v>L</v>
      </c>
    </row>
    <row r="181">
      <c r="A181" s="2" t="str">
        <f>IFERROR(__xludf.DUMMYFUNCTION("IF('From Order'!$A181=COLUMNS($A181:A200), LEFT(INDEX(FILTER(A$1:A180, A$1:A180&lt;&gt;""""),COUNTA(FILTER(A$1:A180, A$1:A180&lt;&gt;""""))), LEN(INDEX(FILTER(A$1:A180, A$1:A180&lt;&gt;""""),COUNTA(FILTER(A$1:A180, A$1:A180&lt;&gt;""""))))-1), IF('To Order'!$A181=COLUMNS($A181:A"&amp;"200), A180&amp;RIGHT(INDIRECT(ADDRESS(ROW(A181)-1, 'From Order'!$A181)), 1), A180))"),"BRJZHTDCQMT")</f>
        <v>BRJZHTDCQMT</v>
      </c>
      <c r="B181" s="2" t="str">
        <f>IFERROR(__xludf.DUMMYFUNCTION("IF('From Order'!$A181=COLUMNS($A181:B200), LEFT(INDEX(FILTER(B$1:B180, B$1:B180&lt;&gt;""""),COUNTA(FILTER(B$1:B180, B$1:B180&lt;&gt;""""))), LEN(INDEX(FILTER(B$1:B180, B$1:B180&lt;&gt;""""),COUNTA(FILTER(B$1:B180, B$1:B180&lt;&gt;""""))))-1), IF('To Order'!$A181=COLUMNS($A181:B"&amp;"200), B180&amp;RIGHT(INDIRECT(ADDRESS(ROW(B181)-1, 'From Order'!$A181)), 1), B180))"),"SWFBJLR")</f>
        <v>SWFBJLR</v>
      </c>
      <c r="C181" s="2" t="str">
        <f>IFERROR(__xludf.DUMMYFUNCTION("IF('From Order'!$A181=COLUMNS($A181:C200), LEFT(INDEX(FILTER(C$1:C180, C$1:C180&lt;&gt;""""),COUNTA(FILTER(C$1:C180, C$1:C180&lt;&gt;""""))), LEN(INDEX(FILTER(C$1:C180, C$1:C180&lt;&gt;""""),COUNTA(FILTER(C$1:C180, C$1:C180&lt;&gt;""""))))-1), IF('To Order'!$A181=COLUMNS($A181:C"&amp;"200), C180&amp;RIGHT(INDIRECT(ADDRESS(ROW(C181)-1, 'From Order'!$A181)), 1), C180))"),"VTZRWT")</f>
        <v>VTZRWT</v>
      </c>
      <c r="D181" s="2" t="str">
        <f>IFERROR(__xludf.DUMMYFUNCTION("IF('From Order'!$A181=COLUMNS($A181:D200), LEFT(INDEX(FILTER(D$1:D180, D$1:D180&lt;&gt;""""),COUNTA(FILTER(D$1:D180, D$1:D180&lt;&gt;""""))), LEN(INDEX(FILTER(D$1:D180, D$1:D180&lt;&gt;""""),COUNTA(FILTER(D$1:D180, D$1:D180&lt;&gt;""""))))-1), IF('To Order'!$A181=COLUMNS($A181:D"&amp;"200), D180&amp;RIGHT(INDIRECT(ADDRESS(ROW(D181)-1, 'From Order'!$A181)), 1), D180))"),"DTCHSPVMZDDTLCBRQPDSVR")</f>
        <v>DTCHSPVMZDDTLCBRQPDSVR</v>
      </c>
      <c r="E181" s="2" t="str">
        <f>IFERROR(__xludf.DUMMYFUNCTION("IF('From Order'!$A181=COLUMNS($A181:E200), LEFT(INDEX(FILTER(E$1:E180, E$1:E180&lt;&gt;""""),COUNTA(FILTER(E$1:E180, E$1:E180&lt;&gt;""""))), LEN(INDEX(FILTER(E$1:E180, E$1:E180&lt;&gt;""""),COUNTA(FILTER(E$1:E180, E$1:E180&lt;&gt;""""))))-1), IF('To Order'!$A181=COLUMNS($A181:E"&amp;"200), E180&amp;RIGHT(INDIRECT(ADDRESS(ROW(E181)-1, 'From Order'!$A181)), 1), E180))"),"")</f>
        <v/>
      </c>
      <c r="F181" s="2" t="str">
        <f>IFERROR(__xludf.DUMMYFUNCTION("IF('From Order'!$A181=COLUMNS($A181:F200), LEFT(INDEX(FILTER(F$1:F180, F$1:F180&lt;&gt;""""),COUNTA(FILTER(F$1:F180, F$1:F180&lt;&gt;""""))), LEN(INDEX(FILTER(F$1:F180, F$1:F180&lt;&gt;""""),COUNTA(FILTER(F$1:F180, F$1:F180&lt;&gt;""""))))-1), IF('To Order'!$A181=COLUMNS($A181:F"&amp;"200), F180&amp;RIGHT(INDIRECT(ADDRESS(ROW(F181)-1, 'From Order'!$A181)), 1), F180))"),"JDGSBPG")</f>
        <v>JDGSBPG</v>
      </c>
      <c r="G181" s="2" t="str">
        <f>IFERROR(__xludf.DUMMYFUNCTION("IF('From Order'!$A181=COLUMNS($A181:G200), LEFT(INDEX(FILTER(G$1:G180, G$1:G180&lt;&gt;""""),COUNTA(FILTER(G$1:G180, G$1:G180&lt;&gt;""""))), LEN(INDEX(FILTER(G$1:G180, G$1:G180&lt;&gt;""""),COUNTA(FILTER(G$1:G180, G$1:G180&lt;&gt;""""))))-1), IF('To Order'!$A181=COLUMNS($A181:G"&amp;"200), G180&amp;RIGHT(INDIRECT(ADDRESS(ROW(G181)-1, 'From Order'!$A181)), 1), G180))"),"")</f>
        <v/>
      </c>
      <c r="H181" s="2" t="str">
        <f>IFERROR(__xludf.DUMMYFUNCTION("IF('From Order'!$A181=COLUMNS($A181:H200), LEFT(INDEX(FILTER(H$1:H180, H$1:H180&lt;&gt;""""),COUNTA(FILTER(H$1:H180, H$1:H180&lt;&gt;""""))), LEN(INDEX(FILTER(H$1:H180, H$1:H180&lt;&gt;""""),COUNTA(FILTER(H$1:H180, H$1:H180&lt;&gt;""""))))-1), IF('To Order'!$A181=COLUMNS($A181:H"&amp;"200), H180&amp;RIGHT(INDIRECT(ADDRESS(ROW(H181)-1, 'From Order'!$A181)), 1), H180))"),"MF")</f>
        <v>MF</v>
      </c>
      <c r="I181" s="2" t="str">
        <f>IFERROR(__xludf.DUMMYFUNCTION("IF('From Order'!$A181=COLUMNS($A181:I200), LEFT(INDEX(FILTER(I$1:I180, I$1:I180&lt;&gt;""""),COUNTA(FILTER(I$1:I180, I$1:I180&lt;&gt;""""))), LEN(INDEX(FILTER(I$1:I180, I$1:I180&lt;&gt;""""),COUNTA(FILTER(I$1:I180, I$1:I180&lt;&gt;""""))))-1), IF('To Order'!$A181=COLUMNS($A181:I"&amp;"200), I180&amp;RIGHT(INDIRECT(ADDRESS(ROW(I181)-1, 'From Order'!$A181)), 1), I180))"),"L")</f>
        <v>L</v>
      </c>
    </row>
    <row r="182">
      <c r="A182" s="2" t="str">
        <f>IFERROR(__xludf.DUMMYFUNCTION("IF('From Order'!$A182=COLUMNS($A182:A201), LEFT(INDEX(FILTER(A$1:A181, A$1:A181&lt;&gt;""""),COUNTA(FILTER(A$1:A181, A$1:A181&lt;&gt;""""))), LEN(INDEX(FILTER(A$1:A181, A$1:A181&lt;&gt;""""),COUNTA(FILTER(A$1:A181, A$1:A181&lt;&gt;""""))))-1), IF('To Order'!$A182=COLUMNS($A182:A"&amp;"201), A181&amp;RIGHT(INDIRECT(ADDRESS(ROW(A182)-1, 'From Order'!$A182)), 1), A181))"),"BRJZHTDCQM")</f>
        <v>BRJZHTDCQM</v>
      </c>
      <c r="B182" s="2" t="str">
        <f>IFERROR(__xludf.DUMMYFUNCTION("IF('From Order'!$A182=COLUMNS($A182:B201), LEFT(INDEX(FILTER(B$1:B181, B$1:B181&lt;&gt;""""),COUNTA(FILTER(B$1:B181, B$1:B181&lt;&gt;""""))), LEN(INDEX(FILTER(B$1:B181, B$1:B181&lt;&gt;""""),COUNTA(FILTER(B$1:B181, B$1:B181&lt;&gt;""""))))-1), IF('To Order'!$A182=COLUMNS($A182:B"&amp;"201), B181&amp;RIGHT(INDIRECT(ADDRESS(ROW(B182)-1, 'From Order'!$A182)), 1), B181))"),"SWFBJLR")</f>
        <v>SWFBJLR</v>
      </c>
      <c r="C182" s="2" t="str">
        <f>IFERROR(__xludf.DUMMYFUNCTION("IF('From Order'!$A182=COLUMNS($A182:C201), LEFT(INDEX(FILTER(C$1:C181, C$1:C181&lt;&gt;""""),COUNTA(FILTER(C$1:C181, C$1:C181&lt;&gt;""""))), LEN(INDEX(FILTER(C$1:C181, C$1:C181&lt;&gt;""""),COUNTA(FILTER(C$1:C181, C$1:C181&lt;&gt;""""))))-1), IF('To Order'!$A182=COLUMNS($A182:C"&amp;"201), C181&amp;RIGHT(INDIRECT(ADDRESS(ROW(C182)-1, 'From Order'!$A182)), 1), C181))"),"VTZRWT")</f>
        <v>VTZRWT</v>
      </c>
      <c r="D182" s="2" t="str">
        <f>IFERROR(__xludf.DUMMYFUNCTION("IF('From Order'!$A182=COLUMNS($A182:D201), LEFT(INDEX(FILTER(D$1:D181, D$1:D181&lt;&gt;""""),COUNTA(FILTER(D$1:D181, D$1:D181&lt;&gt;""""))), LEN(INDEX(FILTER(D$1:D181, D$1:D181&lt;&gt;""""),COUNTA(FILTER(D$1:D181, D$1:D181&lt;&gt;""""))))-1), IF('To Order'!$A182=COLUMNS($A182:D"&amp;"201), D181&amp;RIGHT(INDIRECT(ADDRESS(ROW(D182)-1, 'From Order'!$A182)), 1), D181))"),"DTCHSPVMZDDTLCBRQPDSVR")</f>
        <v>DTCHSPVMZDDTLCBRQPDSVR</v>
      </c>
      <c r="E182" s="2" t="str">
        <f>IFERROR(__xludf.DUMMYFUNCTION("IF('From Order'!$A182=COLUMNS($A182:E201), LEFT(INDEX(FILTER(E$1:E181, E$1:E181&lt;&gt;""""),COUNTA(FILTER(E$1:E181, E$1:E181&lt;&gt;""""))), LEN(INDEX(FILTER(E$1:E181, E$1:E181&lt;&gt;""""),COUNTA(FILTER(E$1:E181, E$1:E181&lt;&gt;""""))))-1), IF('To Order'!$A182=COLUMNS($A182:E"&amp;"201), E181&amp;RIGHT(INDIRECT(ADDRESS(ROW(E182)-1, 'From Order'!$A182)), 1), E181))"),"")</f>
        <v/>
      </c>
      <c r="F182" s="2" t="str">
        <f>IFERROR(__xludf.DUMMYFUNCTION("IF('From Order'!$A182=COLUMNS($A182:F201), LEFT(INDEX(FILTER(F$1:F181, F$1:F181&lt;&gt;""""),COUNTA(FILTER(F$1:F181, F$1:F181&lt;&gt;""""))), LEN(INDEX(FILTER(F$1:F181, F$1:F181&lt;&gt;""""),COUNTA(FILTER(F$1:F181, F$1:F181&lt;&gt;""""))))-1), IF('To Order'!$A182=COLUMNS($A182:F"&amp;"201), F181&amp;RIGHT(INDIRECT(ADDRESS(ROW(F182)-1, 'From Order'!$A182)), 1), F181))"),"JDGSBPG")</f>
        <v>JDGSBPG</v>
      </c>
      <c r="G182" s="2" t="str">
        <f>IFERROR(__xludf.DUMMYFUNCTION("IF('From Order'!$A182=COLUMNS($A182:G201), LEFT(INDEX(FILTER(G$1:G181, G$1:G181&lt;&gt;""""),COUNTA(FILTER(G$1:G181, G$1:G181&lt;&gt;""""))), LEN(INDEX(FILTER(G$1:G181, G$1:G181&lt;&gt;""""),COUNTA(FILTER(G$1:G181, G$1:G181&lt;&gt;""""))))-1), IF('To Order'!$A182=COLUMNS($A182:G"&amp;"201), G181&amp;RIGHT(INDIRECT(ADDRESS(ROW(G182)-1, 'From Order'!$A182)), 1), G181))"),"")</f>
        <v/>
      </c>
      <c r="H182" s="2" t="str">
        <f>IFERROR(__xludf.DUMMYFUNCTION("IF('From Order'!$A182=COLUMNS($A182:H201), LEFT(INDEX(FILTER(H$1:H181, H$1:H181&lt;&gt;""""),COUNTA(FILTER(H$1:H181, H$1:H181&lt;&gt;""""))), LEN(INDEX(FILTER(H$1:H181, H$1:H181&lt;&gt;""""),COUNTA(FILTER(H$1:H181, H$1:H181&lt;&gt;""""))))-1), IF('To Order'!$A182=COLUMNS($A182:H"&amp;"201), H181&amp;RIGHT(INDIRECT(ADDRESS(ROW(H182)-1, 'From Order'!$A182)), 1), H181))"),"MFT")</f>
        <v>MFT</v>
      </c>
      <c r="I182" s="2" t="str">
        <f>IFERROR(__xludf.DUMMYFUNCTION("IF('From Order'!$A182=COLUMNS($A182:I201), LEFT(INDEX(FILTER(I$1:I181, I$1:I181&lt;&gt;""""),COUNTA(FILTER(I$1:I181, I$1:I181&lt;&gt;""""))), LEN(INDEX(FILTER(I$1:I181, I$1:I181&lt;&gt;""""),COUNTA(FILTER(I$1:I181, I$1:I181&lt;&gt;""""))))-1), IF('To Order'!$A182=COLUMNS($A182:I"&amp;"201), I181&amp;RIGHT(INDIRECT(ADDRESS(ROW(I182)-1, 'From Order'!$A182)), 1), I181))"),"L")</f>
        <v>L</v>
      </c>
    </row>
    <row r="183">
      <c r="A183" s="2" t="str">
        <f>IFERROR(__xludf.DUMMYFUNCTION("IF('From Order'!$A183=COLUMNS($A183:A202), LEFT(INDEX(FILTER(A$1:A182, A$1:A182&lt;&gt;""""),COUNTA(FILTER(A$1:A182, A$1:A182&lt;&gt;""""))), LEN(INDEX(FILTER(A$1:A182, A$1:A182&lt;&gt;""""),COUNTA(FILTER(A$1:A182, A$1:A182&lt;&gt;""""))))-1), IF('To Order'!$A183=COLUMNS($A183:A"&amp;"202), A182&amp;RIGHT(INDIRECT(ADDRESS(ROW(A183)-1, 'From Order'!$A183)), 1), A182))"),"BRJZHTDCQ")</f>
        <v>BRJZHTDCQ</v>
      </c>
      <c r="B183" s="2" t="str">
        <f>IFERROR(__xludf.DUMMYFUNCTION("IF('From Order'!$A183=COLUMNS($A183:B202), LEFT(INDEX(FILTER(B$1:B182, B$1:B182&lt;&gt;""""),COUNTA(FILTER(B$1:B182, B$1:B182&lt;&gt;""""))), LEN(INDEX(FILTER(B$1:B182, B$1:B182&lt;&gt;""""),COUNTA(FILTER(B$1:B182, B$1:B182&lt;&gt;""""))))-1), IF('To Order'!$A183=COLUMNS($A183:B"&amp;"202), B182&amp;RIGHT(INDIRECT(ADDRESS(ROW(B183)-1, 'From Order'!$A183)), 1), B182))"),"SWFBJLR")</f>
        <v>SWFBJLR</v>
      </c>
      <c r="C183" s="2" t="str">
        <f>IFERROR(__xludf.DUMMYFUNCTION("IF('From Order'!$A183=COLUMNS($A183:C202), LEFT(INDEX(FILTER(C$1:C182, C$1:C182&lt;&gt;""""),COUNTA(FILTER(C$1:C182, C$1:C182&lt;&gt;""""))), LEN(INDEX(FILTER(C$1:C182, C$1:C182&lt;&gt;""""),COUNTA(FILTER(C$1:C182, C$1:C182&lt;&gt;""""))))-1), IF('To Order'!$A183=COLUMNS($A183:C"&amp;"202), C182&amp;RIGHT(INDIRECT(ADDRESS(ROW(C183)-1, 'From Order'!$A183)), 1), C182))"),"VTZRWT")</f>
        <v>VTZRWT</v>
      </c>
      <c r="D183" s="2" t="str">
        <f>IFERROR(__xludf.DUMMYFUNCTION("IF('From Order'!$A183=COLUMNS($A183:D202), LEFT(INDEX(FILTER(D$1:D182, D$1:D182&lt;&gt;""""),COUNTA(FILTER(D$1:D182, D$1:D182&lt;&gt;""""))), LEN(INDEX(FILTER(D$1:D182, D$1:D182&lt;&gt;""""),COUNTA(FILTER(D$1:D182, D$1:D182&lt;&gt;""""))))-1), IF('To Order'!$A183=COLUMNS($A183:D"&amp;"202), D182&amp;RIGHT(INDIRECT(ADDRESS(ROW(D183)-1, 'From Order'!$A183)), 1), D182))"),"DTCHSPVMZDDTLCBRQPDSVR")</f>
        <v>DTCHSPVMZDDTLCBRQPDSVR</v>
      </c>
      <c r="E183" s="2" t="str">
        <f>IFERROR(__xludf.DUMMYFUNCTION("IF('From Order'!$A183=COLUMNS($A183:E202), LEFT(INDEX(FILTER(E$1:E182, E$1:E182&lt;&gt;""""),COUNTA(FILTER(E$1:E182, E$1:E182&lt;&gt;""""))), LEN(INDEX(FILTER(E$1:E182, E$1:E182&lt;&gt;""""),COUNTA(FILTER(E$1:E182, E$1:E182&lt;&gt;""""))))-1), IF('To Order'!$A183=COLUMNS($A183:E"&amp;"202), E182&amp;RIGHT(INDIRECT(ADDRESS(ROW(E183)-1, 'From Order'!$A183)), 1), E182))"),"")</f>
        <v/>
      </c>
      <c r="F183" s="2" t="str">
        <f>IFERROR(__xludf.DUMMYFUNCTION("IF('From Order'!$A183=COLUMNS($A183:F202), LEFT(INDEX(FILTER(F$1:F182, F$1:F182&lt;&gt;""""),COUNTA(FILTER(F$1:F182, F$1:F182&lt;&gt;""""))), LEN(INDEX(FILTER(F$1:F182, F$1:F182&lt;&gt;""""),COUNTA(FILTER(F$1:F182, F$1:F182&lt;&gt;""""))))-1), IF('To Order'!$A183=COLUMNS($A183:F"&amp;"202), F182&amp;RIGHT(INDIRECT(ADDRESS(ROW(F183)-1, 'From Order'!$A183)), 1), F182))"),"JDGSBPG")</f>
        <v>JDGSBPG</v>
      </c>
      <c r="G183" s="2" t="str">
        <f>IFERROR(__xludf.DUMMYFUNCTION("IF('From Order'!$A183=COLUMNS($A183:G202), LEFT(INDEX(FILTER(G$1:G182, G$1:G182&lt;&gt;""""),COUNTA(FILTER(G$1:G182, G$1:G182&lt;&gt;""""))), LEN(INDEX(FILTER(G$1:G182, G$1:G182&lt;&gt;""""),COUNTA(FILTER(G$1:G182, G$1:G182&lt;&gt;""""))))-1), IF('To Order'!$A183=COLUMNS($A183:G"&amp;"202), G182&amp;RIGHT(INDIRECT(ADDRESS(ROW(G183)-1, 'From Order'!$A183)), 1), G182))"),"")</f>
        <v/>
      </c>
      <c r="H183" s="2" t="str">
        <f>IFERROR(__xludf.DUMMYFUNCTION("IF('From Order'!$A183=COLUMNS($A183:H202), LEFT(INDEX(FILTER(H$1:H182, H$1:H182&lt;&gt;""""),COUNTA(FILTER(H$1:H182, H$1:H182&lt;&gt;""""))), LEN(INDEX(FILTER(H$1:H182, H$1:H182&lt;&gt;""""),COUNTA(FILTER(H$1:H182, H$1:H182&lt;&gt;""""))))-1), IF('To Order'!$A183=COLUMNS($A183:H"&amp;"202), H182&amp;RIGHT(INDIRECT(ADDRESS(ROW(H183)-1, 'From Order'!$A183)), 1), H182))"),"MFTM")</f>
        <v>MFTM</v>
      </c>
      <c r="I183" s="2" t="str">
        <f>IFERROR(__xludf.DUMMYFUNCTION("IF('From Order'!$A183=COLUMNS($A183:I202), LEFT(INDEX(FILTER(I$1:I182, I$1:I182&lt;&gt;""""),COUNTA(FILTER(I$1:I182, I$1:I182&lt;&gt;""""))), LEN(INDEX(FILTER(I$1:I182, I$1:I182&lt;&gt;""""),COUNTA(FILTER(I$1:I182, I$1:I182&lt;&gt;""""))))-1), IF('To Order'!$A183=COLUMNS($A183:I"&amp;"202), I182&amp;RIGHT(INDIRECT(ADDRESS(ROW(I183)-1, 'From Order'!$A183)), 1), I182))"),"L")</f>
        <v>L</v>
      </c>
    </row>
    <row r="184">
      <c r="A184" s="2" t="str">
        <f>IFERROR(__xludf.DUMMYFUNCTION("IF('From Order'!$A184=COLUMNS($A184:A203), LEFT(INDEX(FILTER(A$1:A183, A$1:A183&lt;&gt;""""),COUNTA(FILTER(A$1:A183, A$1:A183&lt;&gt;""""))), LEN(INDEX(FILTER(A$1:A183, A$1:A183&lt;&gt;""""),COUNTA(FILTER(A$1:A183, A$1:A183&lt;&gt;""""))))-1), IF('To Order'!$A184=COLUMNS($A184:A"&amp;"203), A183&amp;RIGHT(INDIRECT(ADDRESS(ROW(A184)-1, 'From Order'!$A184)), 1), A183))"),"BRJZHTDC")</f>
        <v>BRJZHTDC</v>
      </c>
      <c r="B184" s="2" t="str">
        <f>IFERROR(__xludf.DUMMYFUNCTION("IF('From Order'!$A184=COLUMNS($A184:B203), LEFT(INDEX(FILTER(B$1:B183, B$1:B183&lt;&gt;""""),COUNTA(FILTER(B$1:B183, B$1:B183&lt;&gt;""""))), LEN(INDEX(FILTER(B$1:B183, B$1:B183&lt;&gt;""""),COUNTA(FILTER(B$1:B183, B$1:B183&lt;&gt;""""))))-1), IF('To Order'!$A184=COLUMNS($A184:B"&amp;"203), B183&amp;RIGHT(INDIRECT(ADDRESS(ROW(B184)-1, 'From Order'!$A184)), 1), B183))"),"SWFBJLR")</f>
        <v>SWFBJLR</v>
      </c>
      <c r="C184" s="2" t="str">
        <f>IFERROR(__xludf.DUMMYFUNCTION("IF('From Order'!$A184=COLUMNS($A184:C203), LEFT(INDEX(FILTER(C$1:C183, C$1:C183&lt;&gt;""""),COUNTA(FILTER(C$1:C183, C$1:C183&lt;&gt;""""))), LEN(INDEX(FILTER(C$1:C183, C$1:C183&lt;&gt;""""),COUNTA(FILTER(C$1:C183, C$1:C183&lt;&gt;""""))))-1), IF('To Order'!$A184=COLUMNS($A184:C"&amp;"203), C183&amp;RIGHT(INDIRECT(ADDRESS(ROW(C184)-1, 'From Order'!$A184)), 1), C183))"),"VTZRWT")</f>
        <v>VTZRWT</v>
      </c>
      <c r="D184" s="2" t="str">
        <f>IFERROR(__xludf.DUMMYFUNCTION("IF('From Order'!$A184=COLUMNS($A184:D203), LEFT(INDEX(FILTER(D$1:D183, D$1:D183&lt;&gt;""""),COUNTA(FILTER(D$1:D183, D$1:D183&lt;&gt;""""))), LEN(INDEX(FILTER(D$1:D183, D$1:D183&lt;&gt;""""),COUNTA(FILTER(D$1:D183, D$1:D183&lt;&gt;""""))))-1), IF('To Order'!$A184=COLUMNS($A184:D"&amp;"203), D183&amp;RIGHT(INDIRECT(ADDRESS(ROW(D184)-1, 'From Order'!$A184)), 1), D183))"),"DTCHSPVMZDDTLCBRQPDSVR")</f>
        <v>DTCHSPVMZDDTLCBRQPDSVR</v>
      </c>
      <c r="E184" s="2" t="str">
        <f>IFERROR(__xludf.DUMMYFUNCTION("IF('From Order'!$A184=COLUMNS($A184:E203), LEFT(INDEX(FILTER(E$1:E183, E$1:E183&lt;&gt;""""),COUNTA(FILTER(E$1:E183, E$1:E183&lt;&gt;""""))), LEN(INDEX(FILTER(E$1:E183, E$1:E183&lt;&gt;""""),COUNTA(FILTER(E$1:E183, E$1:E183&lt;&gt;""""))))-1), IF('To Order'!$A184=COLUMNS($A184:E"&amp;"203), E183&amp;RIGHT(INDIRECT(ADDRESS(ROW(E184)-1, 'From Order'!$A184)), 1), E183))"),"")</f>
        <v/>
      </c>
      <c r="F184" s="2" t="str">
        <f>IFERROR(__xludf.DUMMYFUNCTION("IF('From Order'!$A184=COLUMNS($A184:F203), LEFT(INDEX(FILTER(F$1:F183, F$1:F183&lt;&gt;""""),COUNTA(FILTER(F$1:F183, F$1:F183&lt;&gt;""""))), LEN(INDEX(FILTER(F$1:F183, F$1:F183&lt;&gt;""""),COUNTA(FILTER(F$1:F183, F$1:F183&lt;&gt;""""))))-1), IF('To Order'!$A184=COLUMNS($A184:F"&amp;"203), F183&amp;RIGHT(INDIRECT(ADDRESS(ROW(F184)-1, 'From Order'!$A184)), 1), F183))"),"JDGSBPG")</f>
        <v>JDGSBPG</v>
      </c>
      <c r="G184" s="2" t="str">
        <f>IFERROR(__xludf.DUMMYFUNCTION("IF('From Order'!$A184=COLUMNS($A184:G203), LEFT(INDEX(FILTER(G$1:G183, G$1:G183&lt;&gt;""""),COUNTA(FILTER(G$1:G183, G$1:G183&lt;&gt;""""))), LEN(INDEX(FILTER(G$1:G183, G$1:G183&lt;&gt;""""),COUNTA(FILTER(G$1:G183, G$1:G183&lt;&gt;""""))))-1), IF('To Order'!$A184=COLUMNS($A184:G"&amp;"203), G183&amp;RIGHT(INDIRECT(ADDRESS(ROW(G184)-1, 'From Order'!$A184)), 1), G183))"),"")</f>
        <v/>
      </c>
      <c r="H184" s="2" t="str">
        <f>IFERROR(__xludf.DUMMYFUNCTION("IF('From Order'!$A184=COLUMNS($A184:H203), LEFT(INDEX(FILTER(H$1:H183, H$1:H183&lt;&gt;""""),COUNTA(FILTER(H$1:H183, H$1:H183&lt;&gt;""""))), LEN(INDEX(FILTER(H$1:H183, H$1:H183&lt;&gt;""""),COUNTA(FILTER(H$1:H183, H$1:H183&lt;&gt;""""))))-1), IF('To Order'!$A184=COLUMNS($A184:H"&amp;"203), H183&amp;RIGHT(INDIRECT(ADDRESS(ROW(H184)-1, 'From Order'!$A184)), 1), H183))"),"MFTMQ")</f>
        <v>MFTMQ</v>
      </c>
      <c r="I184" s="2" t="str">
        <f>IFERROR(__xludf.DUMMYFUNCTION("IF('From Order'!$A184=COLUMNS($A184:I203), LEFT(INDEX(FILTER(I$1:I183, I$1:I183&lt;&gt;""""),COUNTA(FILTER(I$1:I183, I$1:I183&lt;&gt;""""))), LEN(INDEX(FILTER(I$1:I183, I$1:I183&lt;&gt;""""),COUNTA(FILTER(I$1:I183, I$1:I183&lt;&gt;""""))))-1), IF('To Order'!$A184=COLUMNS($A184:I"&amp;"203), I183&amp;RIGHT(INDIRECT(ADDRESS(ROW(I184)-1, 'From Order'!$A184)), 1), I183))"),"L")</f>
        <v>L</v>
      </c>
    </row>
    <row r="185">
      <c r="A185" s="2" t="str">
        <f>IFERROR(__xludf.DUMMYFUNCTION("IF('From Order'!$A185=COLUMNS($A185:A204), LEFT(INDEX(FILTER(A$1:A184, A$1:A184&lt;&gt;""""),COUNTA(FILTER(A$1:A184, A$1:A184&lt;&gt;""""))), LEN(INDEX(FILTER(A$1:A184, A$1:A184&lt;&gt;""""),COUNTA(FILTER(A$1:A184, A$1:A184&lt;&gt;""""))))-1), IF('To Order'!$A185=COLUMNS($A185:A"&amp;"204), A184&amp;RIGHT(INDIRECT(ADDRESS(ROW(A185)-1, 'From Order'!$A185)), 1), A184))"),"BRJZHTD")</f>
        <v>BRJZHTD</v>
      </c>
      <c r="B185" s="2" t="str">
        <f>IFERROR(__xludf.DUMMYFUNCTION("IF('From Order'!$A185=COLUMNS($A185:B204), LEFT(INDEX(FILTER(B$1:B184, B$1:B184&lt;&gt;""""),COUNTA(FILTER(B$1:B184, B$1:B184&lt;&gt;""""))), LEN(INDEX(FILTER(B$1:B184, B$1:B184&lt;&gt;""""),COUNTA(FILTER(B$1:B184, B$1:B184&lt;&gt;""""))))-1), IF('To Order'!$A185=COLUMNS($A185:B"&amp;"204), B184&amp;RIGHT(INDIRECT(ADDRESS(ROW(B185)-1, 'From Order'!$A185)), 1), B184))"),"SWFBJLR")</f>
        <v>SWFBJLR</v>
      </c>
      <c r="C185" s="2" t="str">
        <f>IFERROR(__xludf.DUMMYFUNCTION("IF('From Order'!$A185=COLUMNS($A185:C204), LEFT(INDEX(FILTER(C$1:C184, C$1:C184&lt;&gt;""""),COUNTA(FILTER(C$1:C184, C$1:C184&lt;&gt;""""))), LEN(INDEX(FILTER(C$1:C184, C$1:C184&lt;&gt;""""),COUNTA(FILTER(C$1:C184, C$1:C184&lt;&gt;""""))))-1), IF('To Order'!$A185=COLUMNS($A185:C"&amp;"204), C184&amp;RIGHT(INDIRECT(ADDRESS(ROW(C185)-1, 'From Order'!$A185)), 1), C184))"),"VTZRWT")</f>
        <v>VTZRWT</v>
      </c>
      <c r="D185" s="2" t="str">
        <f>IFERROR(__xludf.DUMMYFUNCTION("IF('From Order'!$A185=COLUMNS($A185:D204), LEFT(INDEX(FILTER(D$1:D184, D$1:D184&lt;&gt;""""),COUNTA(FILTER(D$1:D184, D$1:D184&lt;&gt;""""))), LEN(INDEX(FILTER(D$1:D184, D$1:D184&lt;&gt;""""),COUNTA(FILTER(D$1:D184, D$1:D184&lt;&gt;""""))))-1), IF('To Order'!$A185=COLUMNS($A185:D"&amp;"204), D184&amp;RIGHT(INDIRECT(ADDRESS(ROW(D185)-1, 'From Order'!$A185)), 1), D184))"),"DTCHSPVMZDDTLCBRQPDSVR")</f>
        <v>DTCHSPVMZDDTLCBRQPDSVR</v>
      </c>
      <c r="E185" s="2" t="str">
        <f>IFERROR(__xludf.DUMMYFUNCTION("IF('From Order'!$A185=COLUMNS($A185:E204), LEFT(INDEX(FILTER(E$1:E184, E$1:E184&lt;&gt;""""),COUNTA(FILTER(E$1:E184, E$1:E184&lt;&gt;""""))), LEN(INDEX(FILTER(E$1:E184, E$1:E184&lt;&gt;""""),COUNTA(FILTER(E$1:E184, E$1:E184&lt;&gt;""""))))-1), IF('To Order'!$A185=COLUMNS($A185:E"&amp;"204), E184&amp;RIGHT(INDIRECT(ADDRESS(ROW(E185)-1, 'From Order'!$A185)), 1), E184))"),"")</f>
        <v/>
      </c>
      <c r="F185" s="2" t="str">
        <f>IFERROR(__xludf.DUMMYFUNCTION("IF('From Order'!$A185=COLUMNS($A185:F204), LEFT(INDEX(FILTER(F$1:F184, F$1:F184&lt;&gt;""""),COUNTA(FILTER(F$1:F184, F$1:F184&lt;&gt;""""))), LEN(INDEX(FILTER(F$1:F184, F$1:F184&lt;&gt;""""),COUNTA(FILTER(F$1:F184, F$1:F184&lt;&gt;""""))))-1), IF('To Order'!$A185=COLUMNS($A185:F"&amp;"204), F184&amp;RIGHT(INDIRECT(ADDRESS(ROW(F185)-1, 'From Order'!$A185)), 1), F184))"),"JDGSBPG")</f>
        <v>JDGSBPG</v>
      </c>
      <c r="G185" s="2" t="str">
        <f>IFERROR(__xludf.DUMMYFUNCTION("IF('From Order'!$A185=COLUMNS($A185:G204), LEFT(INDEX(FILTER(G$1:G184, G$1:G184&lt;&gt;""""),COUNTA(FILTER(G$1:G184, G$1:G184&lt;&gt;""""))), LEN(INDEX(FILTER(G$1:G184, G$1:G184&lt;&gt;""""),COUNTA(FILTER(G$1:G184, G$1:G184&lt;&gt;""""))))-1), IF('To Order'!$A185=COLUMNS($A185:G"&amp;"204), G184&amp;RIGHT(INDIRECT(ADDRESS(ROW(G185)-1, 'From Order'!$A185)), 1), G184))"),"")</f>
        <v/>
      </c>
      <c r="H185" s="2" t="str">
        <f>IFERROR(__xludf.DUMMYFUNCTION("IF('From Order'!$A185=COLUMNS($A185:H204), LEFT(INDEX(FILTER(H$1:H184, H$1:H184&lt;&gt;""""),COUNTA(FILTER(H$1:H184, H$1:H184&lt;&gt;""""))), LEN(INDEX(FILTER(H$1:H184, H$1:H184&lt;&gt;""""),COUNTA(FILTER(H$1:H184, H$1:H184&lt;&gt;""""))))-1), IF('To Order'!$A185=COLUMNS($A185:H"&amp;"204), H184&amp;RIGHT(INDIRECT(ADDRESS(ROW(H185)-1, 'From Order'!$A185)), 1), H184))"),"MFTMQC")</f>
        <v>MFTMQC</v>
      </c>
      <c r="I185" s="2" t="str">
        <f>IFERROR(__xludf.DUMMYFUNCTION("IF('From Order'!$A185=COLUMNS($A185:I204), LEFT(INDEX(FILTER(I$1:I184, I$1:I184&lt;&gt;""""),COUNTA(FILTER(I$1:I184, I$1:I184&lt;&gt;""""))), LEN(INDEX(FILTER(I$1:I184, I$1:I184&lt;&gt;""""),COUNTA(FILTER(I$1:I184, I$1:I184&lt;&gt;""""))))-1), IF('To Order'!$A185=COLUMNS($A185:I"&amp;"204), I184&amp;RIGHT(INDIRECT(ADDRESS(ROW(I185)-1, 'From Order'!$A185)), 1), I184))"),"L")</f>
        <v>L</v>
      </c>
    </row>
    <row r="186">
      <c r="A186" s="2" t="str">
        <f>IFERROR(__xludf.DUMMYFUNCTION("IF('From Order'!$A186=COLUMNS($A186:A205), LEFT(INDEX(FILTER(A$1:A185, A$1:A185&lt;&gt;""""),COUNTA(FILTER(A$1:A185, A$1:A185&lt;&gt;""""))), LEN(INDEX(FILTER(A$1:A185, A$1:A185&lt;&gt;""""),COUNTA(FILTER(A$1:A185, A$1:A185&lt;&gt;""""))))-1), IF('To Order'!$A186=COLUMNS($A186:A"&amp;"205), A185&amp;RIGHT(INDIRECT(ADDRESS(ROW(A186)-1, 'From Order'!$A186)), 1), A185))"),"BRJZHT")</f>
        <v>BRJZHT</v>
      </c>
      <c r="B186" s="2" t="str">
        <f>IFERROR(__xludf.DUMMYFUNCTION("IF('From Order'!$A186=COLUMNS($A186:B205), LEFT(INDEX(FILTER(B$1:B185, B$1:B185&lt;&gt;""""),COUNTA(FILTER(B$1:B185, B$1:B185&lt;&gt;""""))), LEN(INDEX(FILTER(B$1:B185, B$1:B185&lt;&gt;""""),COUNTA(FILTER(B$1:B185, B$1:B185&lt;&gt;""""))))-1), IF('To Order'!$A186=COLUMNS($A186:B"&amp;"205), B185&amp;RIGHT(INDIRECT(ADDRESS(ROW(B186)-1, 'From Order'!$A186)), 1), B185))"),"SWFBJLR")</f>
        <v>SWFBJLR</v>
      </c>
      <c r="C186" s="2" t="str">
        <f>IFERROR(__xludf.DUMMYFUNCTION("IF('From Order'!$A186=COLUMNS($A186:C205), LEFT(INDEX(FILTER(C$1:C185, C$1:C185&lt;&gt;""""),COUNTA(FILTER(C$1:C185, C$1:C185&lt;&gt;""""))), LEN(INDEX(FILTER(C$1:C185, C$1:C185&lt;&gt;""""),COUNTA(FILTER(C$1:C185, C$1:C185&lt;&gt;""""))))-1), IF('To Order'!$A186=COLUMNS($A186:C"&amp;"205), C185&amp;RIGHT(INDIRECT(ADDRESS(ROW(C186)-1, 'From Order'!$A186)), 1), C185))"),"VTZRWT")</f>
        <v>VTZRWT</v>
      </c>
      <c r="D186" s="2" t="str">
        <f>IFERROR(__xludf.DUMMYFUNCTION("IF('From Order'!$A186=COLUMNS($A186:D205), LEFT(INDEX(FILTER(D$1:D185, D$1:D185&lt;&gt;""""),COUNTA(FILTER(D$1:D185, D$1:D185&lt;&gt;""""))), LEN(INDEX(FILTER(D$1:D185, D$1:D185&lt;&gt;""""),COUNTA(FILTER(D$1:D185, D$1:D185&lt;&gt;""""))))-1), IF('To Order'!$A186=COLUMNS($A186:D"&amp;"205), D185&amp;RIGHT(INDIRECT(ADDRESS(ROW(D186)-1, 'From Order'!$A186)), 1), D185))"),"DTCHSPVMZDDTLCBRQPDSVR")</f>
        <v>DTCHSPVMZDDTLCBRQPDSVR</v>
      </c>
      <c r="E186" s="2" t="str">
        <f>IFERROR(__xludf.DUMMYFUNCTION("IF('From Order'!$A186=COLUMNS($A186:E205), LEFT(INDEX(FILTER(E$1:E185, E$1:E185&lt;&gt;""""),COUNTA(FILTER(E$1:E185, E$1:E185&lt;&gt;""""))), LEN(INDEX(FILTER(E$1:E185, E$1:E185&lt;&gt;""""),COUNTA(FILTER(E$1:E185, E$1:E185&lt;&gt;""""))))-1), IF('To Order'!$A186=COLUMNS($A186:E"&amp;"205), E185&amp;RIGHT(INDIRECT(ADDRESS(ROW(E186)-1, 'From Order'!$A186)), 1), E185))"),"")</f>
        <v/>
      </c>
      <c r="F186" s="2" t="str">
        <f>IFERROR(__xludf.DUMMYFUNCTION("IF('From Order'!$A186=COLUMNS($A186:F205), LEFT(INDEX(FILTER(F$1:F185, F$1:F185&lt;&gt;""""),COUNTA(FILTER(F$1:F185, F$1:F185&lt;&gt;""""))), LEN(INDEX(FILTER(F$1:F185, F$1:F185&lt;&gt;""""),COUNTA(FILTER(F$1:F185, F$1:F185&lt;&gt;""""))))-1), IF('To Order'!$A186=COLUMNS($A186:F"&amp;"205), F185&amp;RIGHT(INDIRECT(ADDRESS(ROW(F186)-1, 'From Order'!$A186)), 1), F185))"),"JDGSBPG")</f>
        <v>JDGSBPG</v>
      </c>
      <c r="G186" s="2" t="str">
        <f>IFERROR(__xludf.DUMMYFUNCTION("IF('From Order'!$A186=COLUMNS($A186:G205), LEFT(INDEX(FILTER(G$1:G185, G$1:G185&lt;&gt;""""),COUNTA(FILTER(G$1:G185, G$1:G185&lt;&gt;""""))), LEN(INDEX(FILTER(G$1:G185, G$1:G185&lt;&gt;""""),COUNTA(FILTER(G$1:G185, G$1:G185&lt;&gt;""""))))-1), IF('To Order'!$A186=COLUMNS($A186:G"&amp;"205), G185&amp;RIGHT(INDIRECT(ADDRESS(ROW(G186)-1, 'From Order'!$A186)), 1), G185))"),"")</f>
        <v/>
      </c>
      <c r="H186" s="2" t="str">
        <f>IFERROR(__xludf.DUMMYFUNCTION("IF('From Order'!$A186=COLUMNS($A186:H205), LEFT(INDEX(FILTER(H$1:H185, H$1:H185&lt;&gt;""""),COUNTA(FILTER(H$1:H185, H$1:H185&lt;&gt;""""))), LEN(INDEX(FILTER(H$1:H185, H$1:H185&lt;&gt;""""),COUNTA(FILTER(H$1:H185, H$1:H185&lt;&gt;""""))))-1), IF('To Order'!$A186=COLUMNS($A186:H"&amp;"205), H185&amp;RIGHT(INDIRECT(ADDRESS(ROW(H186)-1, 'From Order'!$A186)), 1), H185))"),"MFTMQCD")</f>
        <v>MFTMQCD</v>
      </c>
      <c r="I186" s="2" t="str">
        <f>IFERROR(__xludf.DUMMYFUNCTION("IF('From Order'!$A186=COLUMNS($A186:I205), LEFT(INDEX(FILTER(I$1:I185, I$1:I185&lt;&gt;""""),COUNTA(FILTER(I$1:I185, I$1:I185&lt;&gt;""""))), LEN(INDEX(FILTER(I$1:I185, I$1:I185&lt;&gt;""""),COUNTA(FILTER(I$1:I185, I$1:I185&lt;&gt;""""))))-1), IF('To Order'!$A186=COLUMNS($A186:I"&amp;"205), I185&amp;RIGHT(INDIRECT(ADDRESS(ROW(I186)-1, 'From Order'!$A186)), 1), I185))"),"L")</f>
        <v>L</v>
      </c>
    </row>
    <row r="187">
      <c r="A187" s="2" t="str">
        <f>IFERROR(__xludf.DUMMYFUNCTION("IF('From Order'!$A187=COLUMNS($A187:A206), LEFT(INDEX(FILTER(A$1:A186, A$1:A186&lt;&gt;""""),COUNTA(FILTER(A$1:A186, A$1:A186&lt;&gt;""""))), LEN(INDEX(FILTER(A$1:A186, A$1:A186&lt;&gt;""""),COUNTA(FILTER(A$1:A186, A$1:A186&lt;&gt;""""))))-1), IF('To Order'!$A187=COLUMNS($A187:A"&amp;"206), A186&amp;RIGHT(INDIRECT(ADDRESS(ROW(A187)-1, 'From Order'!$A187)), 1), A186))"),"BRJZH")</f>
        <v>BRJZH</v>
      </c>
      <c r="B187" s="2" t="str">
        <f>IFERROR(__xludf.DUMMYFUNCTION("IF('From Order'!$A187=COLUMNS($A187:B206), LEFT(INDEX(FILTER(B$1:B186, B$1:B186&lt;&gt;""""),COUNTA(FILTER(B$1:B186, B$1:B186&lt;&gt;""""))), LEN(INDEX(FILTER(B$1:B186, B$1:B186&lt;&gt;""""),COUNTA(FILTER(B$1:B186, B$1:B186&lt;&gt;""""))))-1), IF('To Order'!$A187=COLUMNS($A187:B"&amp;"206), B186&amp;RIGHT(INDIRECT(ADDRESS(ROW(B187)-1, 'From Order'!$A187)), 1), B186))"),"SWFBJLR")</f>
        <v>SWFBJLR</v>
      </c>
      <c r="C187" s="2" t="str">
        <f>IFERROR(__xludf.DUMMYFUNCTION("IF('From Order'!$A187=COLUMNS($A187:C206), LEFT(INDEX(FILTER(C$1:C186, C$1:C186&lt;&gt;""""),COUNTA(FILTER(C$1:C186, C$1:C186&lt;&gt;""""))), LEN(INDEX(FILTER(C$1:C186, C$1:C186&lt;&gt;""""),COUNTA(FILTER(C$1:C186, C$1:C186&lt;&gt;""""))))-1), IF('To Order'!$A187=COLUMNS($A187:C"&amp;"206), C186&amp;RIGHT(INDIRECT(ADDRESS(ROW(C187)-1, 'From Order'!$A187)), 1), C186))"),"VTZRWT")</f>
        <v>VTZRWT</v>
      </c>
      <c r="D187" s="2" t="str">
        <f>IFERROR(__xludf.DUMMYFUNCTION("IF('From Order'!$A187=COLUMNS($A187:D206), LEFT(INDEX(FILTER(D$1:D186, D$1:D186&lt;&gt;""""),COUNTA(FILTER(D$1:D186, D$1:D186&lt;&gt;""""))), LEN(INDEX(FILTER(D$1:D186, D$1:D186&lt;&gt;""""),COUNTA(FILTER(D$1:D186, D$1:D186&lt;&gt;""""))))-1), IF('To Order'!$A187=COLUMNS($A187:D"&amp;"206), D186&amp;RIGHT(INDIRECT(ADDRESS(ROW(D187)-1, 'From Order'!$A187)), 1), D186))"),"DTCHSPVMZDDTLCBRQPDSVR")</f>
        <v>DTCHSPVMZDDTLCBRQPDSVR</v>
      </c>
      <c r="E187" s="2" t="str">
        <f>IFERROR(__xludf.DUMMYFUNCTION("IF('From Order'!$A187=COLUMNS($A187:E206), LEFT(INDEX(FILTER(E$1:E186, E$1:E186&lt;&gt;""""),COUNTA(FILTER(E$1:E186, E$1:E186&lt;&gt;""""))), LEN(INDEX(FILTER(E$1:E186, E$1:E186&lt;&gt;""""),COUNTA(FILTER(E$1:E186, E$1:E186&lt;&gt;""""))))-1), IF('To Order'!$A187=COLUMNS($A187:E"&amp;"206), E186&amp;RIGHT(INDIRECT(ADDRESS(ROW(E187)-1, 'From Order'!$A187)), 1), E186))"),"")</f>
        <v/>
      </c>
      <c r="F187" s="2" t="str">
        <f>IFERROR(__xludf.DUMMYFUNCTION("IF('From Order'!$A187=COLUMNS($A187:F206), LEFT(INDEX(FILTER(F$1:F186, F$1:F186&lt;&gt;""""),COUNTA(FILTER(F$1:F186, F$1:F186&lt;&gt;""""))), LEN(INDEX(FILTER(F$1:F186, F$1:F186&lt;&gt;""""),COUNTA(FILTER(F$1:F186, F$1:F186&lt;&gt;""""))))-1), IF('To Order'!$A187=COLUMNS($A187:F"&amp;"206), F186&amp;RIGHT(INDIRECT(ADDRESS(ROW(F187)-1, 'From Order'!$A187)), 1), F186))"),"JDGSBPG")</f>
        <v>JDGSBPG</v>
      </c>
      <c r="G187" s="2" t="str">
        <f>IFERROR(__xludf.DUMMYFUNCTION("IF('From Order'!$A187=COLUMNS($A187:G206), LEFT(INDEX(FILTER(G$1:G186, G$1:G186&lt;&gt;""""),COUNTA(FILTER(G$1:G186, G$1:G186&lt;&gt;""""))), LEN(INDEX(FILTER(G$1:G186, G$1:G186&lt;&gt;""""),COUNTA(FILTER(G$1:G186, G$1:G186&lt;&gt;""""))))-1), IF('To Order'!$A187=COLUMNS($A187:G"&amp;"206), G186&amp;RIGHT(INDIRECT(ADDRESS(ROW(G187)-1, 'From Order'!$A187)), 1), G186))"),"")</f>
        <v/>
      </c>
      <c r="H187" s="2" t="str">
        <f>IFERROR(__xludf.DUMMYFUNCTION("IF('From Order'!$A187=COLUMNS($A187:H206), LEFT(INDEX(FILTER(H$1:H186, H$1:H186&lt;&gt;""""),COUNTA(FILTER(H$1:H186, H$1:H186&lt;&gt;""""))), LEN(INDEX(FILTER(H$1:H186, H$1:H186&lt;&gt;""""),COUNTA(FILTER(H$1:H186, H$1:H186&lt;&gt;""""))))-1), IF('To Order'!$A187=COLUMNS($A187:H"&amp;"206), H186&amp;RIGHT(INDIRECT(ADDRESS(ROW(H187)-1, 'From Order'!$A187)), 1), H186))"),"MFTMQCDT")</f>
        <v>MFTMQCDT</v>
      </c>
      <c r="I187" s="2" t="str">
        <f>IFERROR(__xludf.DUMMYFUNCTION("IF('From Order'!$A187=COLUMNS($A187:I206), LEFT(INDEX(FILTER(I$1:I186, I$1:I186&lt;&gt;""""),COUNTA(FILTER(I$1:I186, I$1:I186&lt;&gt;""""))), LEN(INDEX(FILTER(I$1:I186, I$1:I186&lt;&gt;""""),COUNTA(FILTER(I$1:I186, I$1:I186&lt;&gt;""""))))-1), IF('To Order'!$A187=COLUMNS($A187:I"&amp;"206), I186&amp;RIGHT(INDIRECT(ADDRESS(ROW(I187)-1, 'From Order'!$A187)), 1), I186))"),"L")</f>
        <v>L</v>
      </c>
    </row>
    <row r="188">
      <c r="A188" s="2" t="str">
        <f>IFERROR(__xludf.DUMMYFUNCTION("IF('From Order'!$A188=COLUMNS($A188:A207), LEFT(INDEX(FILTER(A$1:A187, A$1:A187&lt;&gt;""""),COUNTA(FILTER(A$1:A187, A$1:A187&lt;&gt;""""))), LEN(INDEX(FILTER(A$1:A187, A$1:A187&lt;&gt;""""),COUNTA(FILTER(A$1:A187, A$1:A187&lt;&gt;""""))))-1), IF('To Order'!$A188=COLUMNS($A188:A"&amp;"207), A187&amp;RIGHT(INDIRECT(ADDRESS(ROW(A188)-1, 'From Order'!$A188)), 1), A187))"),"BRJZ")</f>
        <v>BRJZ</v>
      </c>
      <c r="B188" s="2" t="str">
        <f>IFERROR(__xludf.DUMMYFUNCTION("IF('From Order'!$A188=COLUMNS($A188:B207), LEFT(INDEX(FILTER(B$1:B187, B$1:B187&lt;&gt;""""),COUNTA(FILTER(B$1:B187, B$1:B187&lt;&gt;""""))), LEN(INDEX(FILTER(B$1:B187, B$1:B187&lt;&gt;""""),COUNTA(FILTER(B$1:B187, B$1:B187&lt;&gt;""""))))-1), IF('To Order'!$A188=COLUMNS($A188:B"&amp;"207), B187&amp;RIGHT(INDIRECT(ADDRESS(ROW(B188)-1, 'From Order'!$A188)), 1), B187))"),"SWFBJLR")</f>
        <v>SWFBJLR</v>
      </c>
      <c r="C188" s="2" t="str">
        <f>IFERROR(__xludf.DUMMYFUNCTION("IF('From Order'!$A188=COLUMNS($A188:C207), LEFT(INDEX(FILTER(C$1:C187, C$1:C187&lt;&gt;""""),COUNTA(FILTER(C$1:C187, C$1:C187&lt;&gt;""""))), LEN(INDEX(FILTER(C$1:C187, C$1:C187&lt;&gt;""""),COUNTA(FILTER(C$1:C187, C$1:C187&lt;&gt;""""))))-1), IF('To Order'!$A188=COLUMNS($A188:C"&amp;"207), C187&amp;RIGHT(INDIRECT(ADDRESS(ROW(C188)-1, 'From Order'!$A188)), 1), C187))"),"VTZRWT")</f>
        <v>VTZRWT</v>
      </c>
      <c r="D188" s="2" t="str">
        <f>IFERROR(__xludf.DUMMYFUNCTION("IF('From Order'!$A188=COLUMNS($A188:D207), LEFT(INDEX(FILTER(D$1:D187, D$1:D187&lt;&gt;""""),COUNTA(FILTER(D$1:D187, D$1:D187&lt;&gt;""""))), LEN(INDEX(FILTER(D$1:D187, D$1:D187&lt;&gt;""""),COUNTA(FILTER(D$1:D187, D$1:D187&lt;&gt;""""))))-1), IF('To Order'!$A188=COLUMNS($A188:D"&amp;"207), D187&amp;RIGHT(INDIRECT(ADDRESS(ROW(D188)-1, 'From Order'!$A188)), 1), D187))"),"DTCHSPVMZDDTLCBRQPDSVR")</f>
        <v>DTCHSPVMZDDTLCBRQPDSVR</v>
      </c>
      <c r="E188" s="2" t="str">
        <f>IFERROR(__xludf.DUMMYFUNCTION("IF('From Order'!$A188=COLUMNS($A188:E207), LEFT(INDEX(FILTER(E$1:E187, E$1:E187&lt;&gt;""""),COUNTA(FILTER(E$1:E187, E$1:E187&lt;&gt;""""))), LEN(INDEX(FILTER(E$1:E187, E$1:E187&lt;&gt;""""),COUNTA(FILTER(E$1:E187, E$1:E187&lt;&gt;""""))))-1), IF('To Order'!$A188=COLUMNS($A188:E"&amp;"207), E187&amp;RIGHT(INDIRECT(ADDRESS(ROW(E188)-1, 'From Order'!$A188)), 1), E187))"),"")</f>
        <v/>
      </c>
      <c r="F188" s="2" t="str">
        <f>IFERROR(__xludf.DUMMYFUNCTION("IF('From Order'!$A188=COLUMNS($A188:F207), LEFT(INDEX(FILTER(F$1:F187, F$1:F187&lt;&gt;""""),COUNTA(FILTER(F$1:F187, F$1:F187&lt;&gt;""""))), LEN(INDEX(FILTER(F$1:F187, F$1:F187&lt;&gt;""""),COUNTA(FILTER(F$1:F187, F$1:F187&lt;&gt;""""))))-1), IF('To Order'!$A188=COLUMNS($A188:F"&amp;"207), F187&amp;RIGHT(INDIRECT(ADDRESS(ROW(F188)-1, 'From Order'!$A188)), 1), F187))"),"JDGSBPG")</f>
        <v>JDGSBPG</v>
      </c>
      <c r="G188" s="2" t="str">
        <f>IFERROR(__xludf.DUMMYFUNCTION("IF('From Order'!$A188=COLUMNS($A188:G207), LEFT(INDEX(FILTER(G$1:G187, G$1:G187&lt;&gt;""""),COUNTA(FILTER(G$1:G187, G$1:G187&lt;&gt;""""))), LEN(INDEX(FILTER(G$1:G187, G$1:G187&lt;&gt;""""),COUNTA(FILTER(G$1:G187, G$1:G187&lt;&gt;""""))))-1), IF('To Order'!$A188=COLUMNS($A188:G"&amp;"207), G187&amp;RIGHT(INDIRECT(ADDRESS(ROW(G188)-1, 'From Order'!$A188)), 1), G187))"),"")</f>
        <v/>
      </c>
      <c r="H188" s="2" t="str">
        <f>IFERROR(__xludf.DUMMYFUNCTION("IF('From Order'!$A188=COLUMNS($A188:H207), LEFT(INDEX(FILTER(H$1:H187, H$1:H187&lt;&gt;""""),COUNTA(FILTER(H$1:H187, H$1:H187&lt;&gt;""""))), LEN(INDEX(FILTER(H$1:H187, H$1:H187&lt;&gt;""""),COUNTA(FILTER(H$1:H187, H$1:H187&lt;&gt;""""))))-1), IF('To Order'!$A188=COLUMNS($A188:H"&amp;"207), H187&amp;RIGHT(INDIRECT(ADDRESS(ROW(H188)-1, 'From Order'!$A188)), 1), H187))"),"MFTMQCDTH")</f>
        <v>MFTMQCDTH</v>
      </c>
      <c r="I188" s="2" t="str">
        <f>IFERROR(__xludf.DUMMYFUNCTION("IF('From Order'!$A188=COLUMNS($A188:I207), LEFT(INDEX(FILTER(I$1:I187, I$1:I187&lt;&gt;""""),COUNTA(FILTER(I$1:I187, I$1:I187&lt;&gt;""""))), LEN(INDEX(FILTER(I$1:I187, I$1:I187&lt;&gt;""""),COUNTA(FILTER(I$1:I187, I$1:I187&lt;&gt;""""))))-1), IF('To Order'!$A188=COLUMNS($A188:I"&amp;"207), I187&amp;RIGHT(INDIRECT(ADDRESS(ROW(I188)-1, 'From Order'!$A188)), 1), I187))"),"L")</f>
        <v>L</v>
      </c>
    </row>
    <row r="189">
      <c r="A189" s="2" t="str">
        <f>IFERROR(__xludf.DUMMYFUNCTION("IF('From Order'!$A189=COLUMNS($A189:A208), LEFT(INDEX(FILTER(A$1:A188, A$1:A188&lt;&gt;""""),COUNTA(FILTER(A$1:A188, A$1:A188&lt;&gt;""""))), LEN(INDEX(FILTER(A$1:A188, A$1:A188&lt;&gt;""""),COUNTA(FILTER(A$1:A188, A$1:A188&lt;&gt;""""))))-1), IF('To Order'!$A189=COLUMNS($A189:A"&amp;"208), A188&amp;RIGHT(INDIRECT(ADDRESS(ROW(A189)-1, 'From Order'!$A189)), 1), A188))"),"BRJ")</f>
        <v>BRJ</v>
      </c>
      <c r="B189" s="2" t="str">
        <f>IFERROR(__xludf.DUMMYFUNCTION("IF('From Order'!$A189=COLUMNS($A189:B208), LEFT(INDEX(FILTER(B$1:B188, B$1:B188&lt;&gt;""""),COUNTA(FILTER(B$1:B188, B$1:B188&lt;&gt;""""))), LEN(INDEX(FILTER(B$1:B188, B$1:B188&lt;&gt;""""),COUNTA(FILTER(B$1:B188, B$1:B188&lt;&gt;""""))))-1), IF('To Order'!$A189=COLUMNS($A189:B"&amp;"208), B188&amp;RIGHT(INDIRECT(ADDRESS(ROW(B189)-1, 'From Order'!$A189)), 1), B188))"),"SWFBJLR")</f>
        <v>SWFBJLR</v>
      </c>
      <c r="C189" s="2" t="str">
        <f>IFERROR(__xludf.DUMMYFUNCTION("IF('From Order'!$A189=COLUMNS($A189:C208), LEFT(INDEX(FILTER(C$1:C188, C$1:C188&lt;&gt;""""),COUNTA(FILTER(C$1:C188, C$1:C188&lt;&gt;""""))), LEN(INDEX(FILTER(C$1:C188, C$1:C188&lt;&gt;""""),COUNTA(FILTER(C$1:C188, C$1:C188&lt;&gt;""""))))-1), IF('To Order'!$A189=COLUMNS($A189:C"&amp;"208), C188&amp;RIGHT(INDIRECT(ADDRESS(ROW(C189)-1, 'From Order'!$A189)), 1), C188))"),"VTZRWT")</f>
        <v>VTZRWT</v>
      </c>
      <c r="D189" s="2" t="str">
        <f>IFERROR(__xludf.DUMMYFUNCTION("IF('From Order'!$A189=COLUMNS($A189:D208), LEFT(INDEX(FILTER(D$1:D188, D$1:D188&lt;&gt;""""),COUNTA(FILTER(D$1:D188, D$1:D188&lt;&gt;""""))), LEN(INDEX(FILTER(D$1:D188, D$1:D188&lt;&gt;""""),COUNTA(FILTER(D$1:D188, D$1:D188&lt;&gt;""""))))-1), IF('To Order'!$A189=COLUMNS($A189:D"&amp;"208), D188&amp;RIGHT(INDIRECT(ADDRESS(ROW(D189)-1, 'From Order'!$A189)), 1), D188))"),"DTCHSPVMZDDTLCBRQPDSVR")</f>
        <v>DTCHSPVMZDDTLCBRQPDSVR</v>
      </c>
      <c r="E189" s="2" t="str">
        <f>IFERROR(__xludf.DUMMYFUNCTION("IF('From Order'!$A189=COLUMNS($A189:E208), LEFT(INDEX(FILTER(E$1:E188, E$1:E188&lt;&gt;""""),COUNTA(FILTER(E$1:E188, E$1:E188&lt;&gt;""""))), LEN(INDEX(FILTER(E$1:E188, E$1:E188&lt;&gt;""""),COUNTA(FILTER(E$1:E188, E$1:E188&lt;&gt;""""))))-1), IF('To Order'!$A189=COLUMNS($A189:E"&amp;"208), E188&amp;RIGHT(INDIRECT(ADDRESS(ROW(E189)-1, 'From Order'!$A189)), 1), E188))"),"")</f>
        <v/>
      </c>
      <c r="F189" s="2" t="str">
        <f>IFERROR(__xludf.DUMMYFUNCTION("IF('From Order'!$A189=COLUMNS($A189:F208), LEFT(INDEX(FILTER(F$1:F188, F$1:F188&lt;&gt;""""),COUNTA(FILTER(F$1:F188, F$1:F188&lt;&gt;""""))), LEN(INDEX(FILTER(F$1:F188, F$1:F188&lt;&gt;""""),COUNTA(FILTER(F$1:F188, F$1:F188&lt;&gt;""""))))-1), IF('To Order'!$A189=COLUMNS($A189:F"&amp;"208), F188&amp;RIGHT(INDIRECT(ADDRESS(ROW(F189)-1, 'From Order'!$A189)), 1), F188))"),"JDGSBPG")</f>
        <v>JDGSBPG</v>
      </c>
      <c r="G189" s="2" t="str">
        <f>IFERROR(__xludf.DUMMYFUNCTION("IF('From Order'!$A189=COLUMNS($A189:G208), LEFT(INDEX(FILTER(G$1:G188, G$1:G188&lt;&gt;""""),COUNTA(FILTER(G$1:G188, G$1:G188&lt;&gt;""""))), LEN(INDEX(FILTER(G$1:G188, G$1:G188&lt;&gt;""""),COUNTA(FILTER(G$1:G188, G$1:G188&lt;&gt;""""))))-1), IF('To Order'!$A189=COLUMNS($A189:G"&amp;"208), G188&amp;RIGHT(INDIRECT(ADDRESS(ROW(G189)-1, 'From Order'!$A189)), 1), G188))"),"")</f>
        <v/>
      </c>
      <c r="H189" s="2" t="str">
        <f>IFERROR(__xludf.DUMMYFUNCTION("IF('From Order'!$A189=COLUMNS($A189:H208), LEFT(INDEX(FILTER(H$1:H188, H$1:H188&lt;&gt;""""),COUNTA(FILTER(H$1:H188, H$1:H188&lt;&gt;""""))), LEN(INDEX(FILTER(H$1:H188, H$1:H188&lt;&gt;""""),COUNTA(FILTER(H$1:H188, H$1:H188&lt;&gt;""""))))-1), IF('To Order'!$A189=COLUMNS($A189:H"&amp;"208), H188&amp;RIGHT(INDIRECT(ADDRESS(ROW(H189)-1, 'From Order'!$A189)), 1), H188))"),"MFTMQCDTHZ")</f>
        <v>MFTMQCDTHZ</v>
      </c>
      <c r="I189" s="2" t="str">
        <f>IFERROR(__xludf.DUMMYFUNCTION("IF('From Order'!$A189=COLUMNS($A189:I208), LEFT(INDEX(FILTER(I$1:I188, I$1:I188&lt;&gt;""""),COUNTA(FILTER(I$1:I188, I$1:I188&lt;&gt;""""))), LEN(INDEX(FILTER(I$1:I188, I$1:I188&lt;&gt;""""),COUNTA(FILTER(I$1:I188, I$1:I188&lt;&gt;""""))))-1), IF('To Order'!$A189=COLUMNS($A189:I"&amp;"208), I188&amp;RIGHT(INDIRECT(ADDRESS(ROW(I189)-1, 'From Order'!$A189)), 1), I188))"),"L")</f>
        <v>L</v>
      </c>
    </row>
    <row r="190">
      <c r="A190" s="2" t="str">
        <f>IFERROR(__xludf.DUMMYFUNCTION("IF('From Order'!$A190=COLUMNS($A190:A209), LEFT(INDEX(FILTER(A$1:A189, A$1:A189&lt;&gt;""""),COUNTA(FILTER(A$1:A189, A$1:A189&lt;&gt;""""))), LEN(INDEX(FILTER(A$1:A189, A$1:A189&lt;&gt;""""),COUNTA(FILTER(A$1:A189, A$1:A189&lt;&gt;""""))))-1), IF('To Order'!$A190=COLUMNS($A190:A"&amp;"209), A189&amp;RIGHT(INDIRECT(ADDRESS(ROW(A190)-1, 'From Order'!$A190)), 1), A189))"),"BR")</f>
        <v>BR</v>
      </c>
      <c r="B190" s="2" t="str">
        <f>IFERROR(__xludf.DUMMYFUNCTION("IF('From Order'!$A190=COLUMNS($A190:B209), LEFT(INDEX(FILTER(B$1:B189, B$1:B189&lt;&gt;""""),COUNTA(FILTER(B$1:B189, B$1:B189&lt;&gt;""""))), LEN(INDEX(FILTER(B$1:B189, B$1:B189&lt;&gt;""""),COUNTA(FILTER(B$1:B189, B$1:B189&lt;&gt;""""))))-1), IF('To Order'!$A190=COLUMNS($A190:B"&amp;"209), B189&amp;RIGHT(INDIRECT(ADDRESS(ROW(B190)-1, 'From Order'!$A190)), 1), B189))"),"SWFBJLR")</f>
        <v>SWFBJLR</v>
      </c>
      <c r="C190" s="2" t="str">
        <f>IFERROR(__xludf.DUMMYFUNCTION("IF('From Order'!$A190=COLUMNS($A190:C209), LEFT(INDEX(FILTER(C$1:C189, C$1:C189&lt;&gt;""""),COUNTA(FILTER(C$1:C189, C$1:C189&lt;&gt;""""))), LEN(INDEX(FILTER(C$1:C189, C$1:C189&lt;&gt;""""),COUNTA(FILTER(C$1:C189, C$1:C189&lt;&gt;""""))))-1), IF('To Order'!$A190=COLUMNS($A190:C"&amp;"209), C189&amp;RIGHT(INDIRECT(ADDRESS(ROW(C190)-1, 'From Order'!$A190)), 1), C189))"),"VTZRWTJ")</f>
        <v>VTZRWTJ</v>
      </c>
      <c r="D190" s="2" t="str">
        <f>IFERROR(__xludf.DUMMYFUNCTION("IF('From Order'!$A190=COLUMNS($A190:D209), LEFT(INDEX(FILTER(D$1:D189, D$1:D189&lt;&gt;""""),COUNTA(FILTER(D$1:D189, D$1:D189&lt;&gt;""""))), LEN(INDEX(FILTER(D$1:D189, D$1:D189&lt;&gt;""""),COUNTA(FILTER(D$1:D189, D$1:D189&lt;&gt;""""))))-1), IF('To Order'!$A190=COLUMNS($A190:D"&amp;"209), D189&amp;RIGHT(INDIRECT(ADDRESS(ROW(D190)-1, 'From Order'!$A190)), 1), D189))"),"DTCHSPVMZDDTLCBRQPDSVR")</f>
        <v>DTCHSPVMZDDTLCBRQPDSVR</v>
      </c>
      <c r="E190" s="2" t="str">
        <f>IFERROR(__xludf.DUMMYFUNCTION("IF('From Order'!$A190=COLUMNS($A190:E209), LEFT(INDEX(FILTER(E$1:E189, E$1:E189&lt;&gt;""""),COUNTA(FILTER(E$1:E189, E$1:E189&lt;&gt;""""))), LEN(INDEX(FILTER(E$1:E189, E$1:E189&lt;&gt;""""),COUNTA(FILTER(E$1:E189, E$1:E189&lt;&gt;""""))))-1), IF('To Order'!$A190=COLUMNS($A190:E"&amp;"209), E189&amp;RIGHT(INDIRECT(ADDRESS(ROW(E190)-1, 'From Order'!$A190)), 1), E189))"),"")</f>
        <v/>
      </c>
      <c r="F190" s="2" t="str">
        <f>IFERROR(__xludf.DUMMYFUNCTION("IF('From Order'!$A190=COLUMNS($A190:F209), LEFT(INDEX(FILTER(F$1:F189, F$1:F189&lt;&gt;""""),COUNTA(FILTER(F$1:F189, F$1:F189&lt;&gt;""""))), LEN(INDEX(FILTER(F$1:F189, F$1:F189&lt;&gt;""""),COUNTA(FILTER(F$1:F189, F$1:F189&lt;&gt;""""))))-1), IF('To Order'!$A190=COLUMNS($A190:F"&amp;"209), F189&amp;RIGHT(INDIRECT(ADDRESS(ROW(F190)-1, 'From Order'!$A190)), 1), F189))"),"JDGSBPG")</f>
        <v>JDGSBPG</v>
      </c>
      <c r="G190" s="2" t="str">
        <f>IFERROR(__xludf.DUMMYFUNCTION("IF('From Order'!$A190=COLUMNS($A190:G209), LEFT(INDEX(FILTER(G$1:G189, G$1:G189&lt;&gt;""""),COUNTA(FILTER(G$1:G189, G$1:G189&lt;&gt;""""))), LEN(INDEX(FILTER(G$1:G189, G$1:G189&lt;&gt;""""),COUNTA(FILTER(G$1:G189, G$1:G189&lt;&gt;""""))))-1), IF('To Order'!$A190=COLUMNS($A190:G"&amp;"209), G189&amp;RIGHT(INDIRECT(ADDRESS(ROW(G190)-1, 'From Order'!$A190)), 1), G189))"),"")</f>
        <v/>
      </c>
      <c r="H190" s="2" t="str">
        <f>IFERROR(__xludf.DUMMYFUNCTION("IF('From Order'!$A190=COLUMNS($A190:H209), LEFT(INDEX(FILTER(H$1:H189, H$1:H189&lt;&gt;""""),COUNTA(FILTER(H$1:H189, H$1:H189&lt;&gt;""""))), LEN(INDEX(FILTER(H$1:H189, H$1:H189&lt;&gt;""""),COUNTA(FILTER(H$1:H189, H$1:H189&lt;&gt;""""))))-1), IF('To Order'!$A190=COLUMNS($A190:H"&amp;"209), H189&amp;RIGHT(INDIRECT(ADDRESS(ROW(H190)-1, 'From Order'!$A190)), 1), H189))"),"MFTMQCDTHZ")</f>
        <v>MFTMQCDTHZ</v>
      </c>
      <c r="I190" s="2" t="str">
        <f>IFERROR(__xludf.DUMMYFUNCTION("IF('From Order'!$A190=COLUMNS($A190:I209), LEFT(INDEX(FILTER(I$1:I189, I$1:I189&lt;&gt;""""),COUNTA(FILTER(I$1:I189, I$1:I189&lt;&gt;""""))), LEN(INDEX(FILTER(I$1:I189, I$1:I189&lt;&gt;""""),COUNTA(FILTER(I$1:I189, I$1:I189&lt;&gt;""""))))-1), IF('To Order'!$A190=COLUMNS($A190:I"&amp;"209), I189&amp;RIGHT(INDIRECT(ADDRESS(ROW(I190)-1, 'From Order'!$A190)), 1), I189))"),"L")</f>
        <v>L</v>
      </c>
    </row>
    <row r="191">
      <c r="A191" s="2" t="str">
        <f>IFERROR(__xludf.DUMMYFUNCTION("IF('From Order'!$A191=COLUMNS($A191:A210), LEFT(INDEX(FILTER(A$1:A190, A$1:A190&lt;&gt;""""),COUNTA(FILTER(A$1:A190, A$1:A190&lt;&gt;""""))), LEN(INDEX(FILTER(A$1:A190, A$1:A190&lt;&gt;""""),COUNTA(FILTER(A$1:A190, A$1:A190&lt;&gt;""""))))-1), IF('To Order'!$A191=COLUMNS($A191:A"&amp;"210), A190&amp;RIGHT(INDIRECT(ADDRESS(ROW(A191)-1, 'From Order'!$A191)), 1), A190))"),"B")</f>
        <v>B</v>
      </c>
      <c r="B191" s="2" t="str">
        <f>IFERROR(__xludf.DUMMYFUNCTION("IF('From Order'!$A191=COLUMNS($A191:B210), LEFT(INDEX(FILTER(B$1:B190, B$1:B190&lt;&gt;""""),COUNTA(FILTER(B$1:B190, B$1:B190&lt;&gt;""""))), LEN(INDEX(FILTER(B$1:B190, B$1:B190&lt;&gt;""""),COUNTA(FILTER(B$1:B190, B$1:B190&lt;&gt;""""))))-1), IF('To Order'!$A191=COLUMNS($A191:B"&amp;"210), B190&amp;RIGHT(INDIRECT(ADDRESS(ROW(B191)-1, 'From Order'!$A191)), 1), B190))"),"SWFBJLR")</f>
        <v>SWFBJLR</v>
      </c>
      <c r="C191" s="2" t="str">
        <f>IFERROR(__xludf.DUMMYFUNCTION("IF('From Order'!$A191=COLUMNS($A191:C210), LEFT(INDEX(FILTER(C$1:C190, C$1:C190&lt;&gt;""""),COUNTA(FILTER(C$1:C190, C$1:C190&lt;&gt;""""))), LEN(INDEX(FILTER(C$1:C190, C$1:C190&lt;&gt;""""),COUNTA(FILTER(C$1:C190, C$1:C190&lt;&gt;""""))))-1), IF('To Order'!$A191=COLUMNS($A191:C"&amp;"210), C190&amp;RIGHT(INDIRECT(ADDRESS(ROW(C191)-1, 'From Order'!$A191)), 1), C190))"),"VTZRWTJR")</f>
        <v>VTZRWTJR</v>
      </c>
      <c r="D191" s="2" t="str">
        <f>IFERROR(__xludf.DUMMYFUNCTION("IF('From Order'!$A191=COLUMNS($A191:D210), LEFT(INDEX(FILTER(D$1:D190, D$1:D190&lt;&gt;""""),COUNTA(FILTER(D$1:D190, D$1:D190&lt;&gt;""""))), LEN(INDEX(FILTER(D$1:D190, D$1:D190&lt;&gt;""""),COUNTA(FILTER(D$1:D190, D$1:D190&lt;&gt;""""))))-1), IF('To Order'!$A191=COLUMNS($A191:D"&amp;"210), D190&amp;RIGHT(INDIRECT(ADDRESS(ROW(D191)-1, 'From Order'!$A191)), 1), D190))"),"DTCHSPVMZDDTLCBRQPDSVR")</f>
        <v>DTCHSPVMZDDTLCBRQPDSVR</v>
      </c>
      <c r="E191" s="2" t="str">
        <f>IFERROR(__xludf.DUMMYFUNCTION("IF('From Order'!$A191=COLUMNS($A191:E210), LEFT(INDEX(FILTER(E$1:E190, E$1:E190&lt;&gt;""""),COUNTA(FILTER(E$1:E190, E$1:E190&lt;&gt;""""))), LEN(INDEX(FILTER(E$1:E190, E$1:E190&lt;&gt;""""),COUNTA(FILTER(E$1:E190, E$1:E190&lt;&gt;""""))))-1), IF('To Order'!$A191=COLUMNS($A191:E"&amp;"210), E190&amp;RIGHT(INDIRECT(ADDRESS(ROW(E191)-1, 'From Order'!$A191)), 1), E190))"),"")</f>
        <v/>
      </c>
      <c r="F191" s="2" t="str">
        <f>IFERROR(__xludf.DUMMYFUNCTION("IF('From Order'!$A191=COLUMNS($A191:F210), LEFT(INDEX(FILTER(F$1:F190, F$1:F190&lt;&gt;""""),COUNTA(FILTER(F$1:F190, F$1:F190&lt;&gt;""""))), LEN(INDEX(FILTER(F$1:F190, F$1:F190&lt;&gt;""""),COUNTA(FILTER(F$1:F190, F$1:F190&lt;&gt;""""))))-1), IF('To Order'!$A191=COLUMNS($A191:F"&amp;"210), F190&amp;RIGHT(INDIRECT(ADDRESS(ROW(F191)-1, 'From Order'!$A191)), 1), F190))"),"JDGSBPG")</f>
        <v>JDGSBPG</v>
      </c>
      <c r="G191" s="2" t="str">
        <f>IFERROR(__xludf.DUMMYFUNCTION("IF('From Order'!$A191=COLUMNS($A191:G210), LEFT(INDEX(FILTER(G$1:G190, G$1:G190&lt;&gt;""""),COUNTA(FILTER(G$1:G190, G$1:G190&lt;&gt;""""))), LEN(INDEX(FILTER(G$1:G190, G$1:G190&lt;&gt;""""),COUNTA(FILTER(G$1:G190, G$1:G190&lt;&gt;""""))))-1), IF('To Order'!$A191=COLUMNS($A191:G"&amp;"210), G190&amp;RIGHT(INDIRECT(ADDRESS(ROW(G191)-1, 'From Order'!$A191)), 1), G190))"),"")</f>
        <v/>
      </c>
      <c r="H191" s="2" t="str">
        <f>IFERROR(__xludf.DUMMYFUNCTION("IF('From Order'!$A191=COLUMNS($A191:H210), LEFT(INDEX(FILTER(H$1:H190, H$1:H190&lt;&gt;""""),COUNTA(FILTER(H$1:H190, H$1:H190&lt;&gt;""""))), LEN(INDEX(FILTER(H$1:H190, H$1:H190&lt;&gt;""""),COUNTA(FILTER(H$1:H190, H$1:H190&lt;&gt;""""))))-1), IF('To Order'!$A191=COLUMNS($A191:H"&amp;"210), H190&amp;RIGHT(INDIRECT(ADDRESS(ROW(H191)-1, 'From Order'!$A191)), 1), H190))"),"MFTMQCDTHZ")</f>
        <v>MFTMQCDTHZ</v>
      </c>
      <c r="I191" s="2" t="str">
        <f>IFERROR(__xludf.DUMMYFUNCTION("IF('From Order'!$A191=COLUMNS($A191:I210), LEFT(INDEX(FILTER(I$1:I190, I$1:I190&lt;&gt;""""),COUNTA(FILTER(I$1:I190, I$1:I190&lt;&gt;""""))), LEN(INDEX(FILTER(I$1:I190, I$1:I190&lt;&gt;""""),COUNTA(FILTER(I$1:I190, I$1:I190&lt;&gt;""""))))-1), IF('To Order'!$A191=COLUMNS($A191:I"&amp;"210), I190&amp;RIGHT(INDIRECT(ADDRESS(ROW(I191)-1, 'From Order'!$A191)), 1), I190))"),"L")</f>
        <v>L</v>
      </c>
    </row>
    <row r="192">
      <c r="A192" s="2" t="str">
        <f>IFERROR(__xludf.DUMMYFUNCTION("IF('From Order'!$A192=COLUMNS($A192:A211), LEFT(INDEX(FILTER(A$1:A191, A$1:A191&lt;&gt;""""),COUNTA(FILTER(A$1:A191, A$1:A191&lt;&gt;""""))), LEN(INDEX(FILTER(A$1:A191, A$1:A191&lt;&gt;""""),COUNTA(FILTER(A$1:A191, A$1:A191&lt;&gt;""""))))-1), IF('To Order'!$A192=COLUMNS($A192:A"&amp;"211), A191&amp;RIGHT(INDIRECT(ADDRESS(ROW(A192)-1, 'From Order'!$A192)), 1), A191))"),"B")</f>
        <v>B</v>
      </c>
      <c r="B192" s="2" t="str">
        <f>IFERROR(__xludf.DUMMYFUNCTION("IF('From Order'!$A192=COLUMNS($A192:B211), LEFT(INDEX(FILTER(B$1:B191, B$1:B191&lt;&gt;""""),COUNTA(FILTER(B$1:B191, B$1:B191&lt;&gt;""""))), LEN(INDEX(FILTER(B$1:B191, B$1:B191&lt;&gt;""""),COUNTA(FILTER(B$1:B191, B$1:B191&lt;&gt;""""))))-1), IF('To Order'!$A192=COLUMNS($A192:B"&amp;"211), B191&amp;RIGHT(INDIRECT(ADDRESS(ROW(B192)-1, 'From Order'!$A192)), 1), B191))"),"SWFBJLR")</f>
        <v>SWFBJLR</v>
      </c>
      <c r="C192" s="2" t="str">
        <f>IFERROR(__xludf.DUMMYFUNCTION("IF('From Order'!$A192=COLUMNS($A192:C211), LEFT(INDEX(FILTER(C$1:C191, C$1:C191&lt;&gt;""""),COUNTA(FILTER(C$1:C191, C$1:C191&lt;&gt;""""))), LEN(INDEX(FILTER(C$1:C191, C$1:C191&lt;&gt;""""),COUNTA(FILTER(C$1:C191, C$1:C191&lt;&gt;""""))))-1), IF('To Order'!$A192=COLUMNS($A192:C"&amp;"211), C191&amp;RIGHT(INDIRECT(ADDRESS(ROW(C192)-1, 'From Order'!$A192)), 1), C191))"),"VTZRWTJ")</f>
        <v>VTZRWTJ</v>
      </c>
      <c r="D192" s="2" t="str">
        <f>IFERROR(__xludf.DUMMYFUNCTION("IF('From Order'!$A192=COLUMNS($A192:D211), LEFT(INDEX(FILTER(D$1:D191, D$1:D191&lt;&gt;""""),COUNTA(FILTER(D$1:D191, D$1:D191&lt;&gt;""""))), LEN(INDEX(FILTER(D$1:D191, D$1:D191&lt;&gt;""""),COUNTA(FILTER(D$1:D191, D$1:D191&lt;&gt;""""))))-1), IF('To Order'!$A192=COLUMNS($A192:D"&amp;"211), D191&amp;RIGHT(INDIRECT(ADDRESS(ROW(D192)-1, 'From Order'!$A192)), 1), D191))"),"DTCHSPVMZDDTLCBRQPDSVR")</f>
        <v>DTCHSPVMZDDTLCBRQPDSVR</v>
      </c>
      <c r="E192" s="2" t="str">
        <f>IFERROR(__xludf.DUMMYFUNCTION("IF('From Order'!$A192=COLUMNS($A192:E211), LEFT(INDEX(FILTER(E$1:E191, E$1:E191&lt;&gt;""""),COUNTA(FILTER(E$1:E191, E$1:E191&lt;&gt;""""))), LEN(INDEX(FILTER(E$1:E191, E$1:E191&lt;&gt;""""),COUNTA(FILTER(E$1:E191, E$1:E191&lt;&gt;""""))))-1), IF('To Order'!$A192=COLUMNS($A192:E"&amp;"211), E191&amp;RIGHT(INDIRECT(ADDRESS(ROW(E192)-1, 'From Order'!$A192)), 1), E191))"),"")</f>
        <v/>
      </c>
      <c r="F192" s="2" t="str">
        <f>IFERROR(__xludf.DUMMYFUNCTION("IF('From Order'!$A192=COLUMNS($A192:F211), LEFT(INDEX(FILTER(F$1:F191, F$1:F191&lt;&gt;""""),COUNTA(FILTER(F$1:F191, F$1:F191&lt;&gt;""""))), LEN(INDEX(FILTER(F$1:F191, F$1:F191&lt;&gt;""""),COUNTA(FILTER(F$1:F191, F$1:F191&lt;&gt;""""))))-1), IF('To Order'!$A192=COLUMNS($A192:F"&amp;"211), F191&amp;RIGHT(INDIRECT(ADDRESS(ROW(F192)-1, 'From Order'!$A192)), 1), F191))"),"JDGSBPG")</f>
        <v>JDGSBPG</v>
      </c>
      <c r="G192" s="2" t="str">
        <f>IFERROR(__xludf.DUMMYFUNCTION("IF('From Order'!$A192=COLUMNS($A192:G211), LEFT(INDEX(FILTER(G$1:G191, G$1:G191&lt;&gt;""""),COUNTA(FILTER(G$1:G191, G$1:G191&lt;&gt;""""))), LEN(INDEX(FILTER(G$1:G191, G$1:G191&lt;&gt;""""),COUNTA(FILTER(G$1:G191, G$1:G191&lt;&gt;""""))))-1), IF('To Order'!$A192=COLUMNS($A192:G"&amp;"211), G191&amp;RIGHT(INDIRECT(ADDRESS(ROW(G192)-1, 'From Order'!$A192)), 1), G191))"),"R")</f>
        <v>R</v>
      </c>
      <c r="H192" s="2" t="str">
        <f>IFERROR(__xludf.DUMMYFUNCTION("IF('From Order'!$A192=COLUMNS($A192:H211), LEFT(INDEX(FILTER(H$1:H191, H$1:H191&lt;&gt;""""),COUNTA(FILTER(H$1:H191, H$1:H191&lt;&gt;""""))), LEN(INDEX(FILTER(H$1:H191, H$1:H191&lt;&gt;""""),COUNTA(FILTER(H$1:H191, H$1:H191&lt;&gt;""""))))-1), IF('To Order'!$A192=COLUMNS($A192:H"&amp;"211), H191&amp;RIGHT(INDIRECT(ADDRESS(ROW(H192)-1, 'From Order'!$A192)), 1), H191))"),"MFTMQCDTHZ")</f>
        <v>MFTMQCDTHZ</v>
      </c>
      <c r="I192" s="2" t="str">
        <f>IFERROR(__xludf.DUMMYFUNCTION("IF('From Order'!$A192=COLUMNS($A192:I211), LEFT(INDEX(FILTER(I$1:I191, I$1:I191&lt;&gt;""""),COUNTA(FILTER(I$1:I191, I$1:I191&lt;&gt;""""))), LEN(INDEX(FILTER(I$1:I191, I$1:I191&lt;&gt;""""),COUNTA(FILTER(I$1:I191, I$1:I191&lt;&gt;""""))))-1), IF('To Order'!$A192=COLUMNS($A192:I"&amp;"211), I191&amp;RIGHT(INDIRECT(ADDRESS(ROW(I192)-1, 'From Order'!$A192)), 1), I191))"),"L")</f>
        <v>L</v>
      </c>
    </row>
    <row r="193">
      <c r="A193" s="2" t="str">
        <f>IFERROR(__xludf.DUMMYFUNCTION("IF('From Order'!$A193=COLUMNS($A193:A212), LEFT(INDEX(FILTER(A$1:A192, A$1:A192&lt;&gt;""""),COUNTA(FILTER(A$1:A192, A$1:A192&lt;&gt;""""))), LEN(INDEX(FILTER(A$1:A192, A$1:A192&lt;&gt;""""),COUNTA(FILTER(A$1:A192, A$1:A192&lt;&gt;""""))))-1), IF('To Order'!$A193=COLUMNS($A193:A"&amp;"212), A192&amp;RIGHT(INDIRECT(ADDRESS(ROW(A193)-1, 'From Order'!$A193)), 1), A192))"),"B")</f>
        <v>B</v>
      </c>
      <c r="B193" s="2" t="str">
        <f>IFERROR(__xludf.DUMMYFUNCTION("IF('From Order'!$A193=COLUMNS($A193:B212), LEFT(INDEX(FILTER(B$1:B192, B$1:B192&lt;&gt;""""),COUNTA(FILTER(B$1:B192, B$1:B192&lt;&gt;""""))), LEN(INDEX(FILTER(B$1:B192, B$1:B192&lt;&gt;""""),COUNTA(FILTER(B$1:B192, B$1:B192&lt;&gt;""""))))-1), IF('To Order'!$A193=COLUMNS($A193:B"&amp;"212), B192&amp;RIGHT(INDIRECT(ADDRESS(ROW(B193)-1, 'From Order'!$A193)), 1), B192))"),"SWFBJLR")</f>
        <v>SWFBJLR</v>
      </c>
      <c r="C193" s="2" t="str">
        <f>IFERROR(__xludf.DUMMYFUNCTION("IF('From Order'!$A193=COLUMNS($A193:C212), LEFT(INDEX(FILTER(C$1:C192, C$1:C192&lt;&gt;""""),COUNTA(FILTER(C$1:C192, C$1:C192&lt;&gt;""""))), LEN(INDEX(FILTER(C$1:C192, C$1:C192&lt;&gt;""""),COUNTA(FILTER(C$1:C192, C$1:C192&lt;&gt;""""))))-1), IF('To Order'!$A193=COLUMNS($A193:C"&amp;"212), C192&amp;RIGHT(INDIRECT(ADDRESS(ROW(C193)-1, 'From Order'!$A193)), 1), C192))"),"VTZRWT")</f>
        <v>VTZRWT</v>
      </c>
      <c r="D193" s="2" t="str">
        <f>IFERROR(__xludf.DUMMYFUNCTION("IF('From Order'!$A193=COLUMNS($A193:D212), LEFT(INDEX(FILTER(D$1:D192, D$1:D192&lt;&gt;""""),COUNTA(FILTER(D$1:D192, D$1:D192&lt;&gt;""""))), LEN(INDEX(FILTER(D$1:D192, D$1:D192&lt;&gt;""""),COUNTA(FILTER(D$1:D192, D$1:D192&lt;&gt;""""))))-1), IF('To Order'!$A193=COLUMNS($A193:D"&amp;"212), D192&amp;RIGHT(INDIRECT(ADDRESS(ROW(D193)-1, 'From Order'!$A193)), 1), D192))"),"DTCHSPVMZDDTLCBRQPDSVR")</f>
        <v>DTCHSPVMZDDTLCBRQPDSVR</v>
      </c>
      <c r="E193" s="2" t="str">
        <f>IFERROR(__xludf.DUMMYFUNCTION("IF('From Order'!$A193=COLUMNS($A193:E212), LEFT(INDEX(FILTER(E$1:E192, E$1:E192&lt;&gt;""""),COUNTA(FILTER(E$1:E192, E$1:E192&lt;&gt;""""))), LEN(INDEX(FILTER(E$1:E192, E$1:E192&lt;&gt;""""),COUNTA(FILTER(E$1:E192, E$1:E192&lt;&gt;""""))))-1), IF('To Order'!$A193=COLUMNS($A193:E"&amp;"212), E192&amp;RIGHT(INDIRECT(ADDRESS(ROW(E193)-1, 'From Order'!$A193)), 1), E192))"),"")</f>
        <v/>
      </c>
      <c r="F193" s="2" t="str">
        <f>IFERROR(__xludf.DUMMYFUNCTION("IF('From Order'!$A193=COLUMNS($A193:F212), LEFT(INDEX(FILTER(F$1:F192, F$1:F192&lt;&gt;""""),COUNTA(FILTER(F$1:F192, F$1:F192&lt;&gt;""""))), LEN(INDEX(FILTER(F$1:F192, F$1:F192&lt;&gt;""""),COUNTA(FILTER(F$1:F192, F$1:F192&lt;&gt;""""))))-1), IF('To Order'!$A193=COLUMNS($A193:F"&amp;"212), F192&amp;RIGHT(INDIRECT(ADDRESS(ROW(F193)-1, 'From Order'!$A193)), 1), F192))"),"JDGSBPG")</f>
        <v>JDGSBPG</v>
      </c>
      <c r="G193" s="2" t="str">
        <f>IFERROR(__xludf.DUMMYFUNCTION("IF('From Order'!$A193=COLUMNS($A193:G212), LEFT(INDEX(FILTER(G$1:G192, G$1:G192&lt;&gt;""""),COUNTA(FILTER(G$1:G192, G$1:G192&lt;&gt;""""))), LEN(INDEX(FILTER(G$1:G192, G$1:G192&lt;&gt;""""),COUNTA(FILTER(G$1:G192, G$1:G192&lt;&gt;""""))))-1), IF('To Order'!$A193=COLUMNS($A193:G"&amp;"212), G192&amp;RIGHT(INDIRECT(ADDRESS(ROW(G193)-1, 'From Order'!$A193)), 1), G192))"),"RJ")</f>
        <v>RJ</v>
      </c>
      <c r="H193" s="2" t="str">
        <f>IFERROR(__xludf.DUMMYFUNCTION("IF('From Order'!$A193=COLUMNS($A193:H212), LEFT(INDEX(FILTER(H$1:H192, H$1:H192&lt;&gt;""""),COUNTA(FILTER(H$1:H192, H$1:H192&lt;&gt;""""))), LEN(INDEX(FILTER(H$1:H192, H$1:H192&lt;&gt;""""),COUNTA(FILTER(H$1:H192, H$1:H192&lt;&gt;""""))))-1), IF('To Order'!$A193=COLUMNS($A193:H"&amp;"212), H192&amp;RIGHT(INDIRECT(ADDRESS(ROW(H193)-1, 'From Order'!$A193)), 1), H192))"),"MFTMQCDTHZ")</f>
        <v>MFTMQCDTHZ</v>
      </c>
      <c r="I193" s="2" t="str">
        <f>IFERROR(__xludf.DUMMYFUNCTION("IF('From Order'!$A193=COLUMNS($A193:I212), LEFT(INDEX(FILTER(I$1:I192, I$1:I192&lt;&gt;""""),COUNTA(FILTER(I$1:I192, I$1:I192&lt;&gt;""""))), LEN(INDEX(FILTER(I$1:I192, I$1:I192&lt;&gt;""""),COUNTA(FILTER(I$1:I192, I$1:I192&lt;&gt;""""))))-1), IF('To Order'!$A193=COLUMNS($A193:I"&amp;"212), I192&amp;RIGHT(INDIRECT(ADDRESS(ROW(I193)-1, 'From Order'!$A193)), 1), I192))"),"L")</f>
        <v>L</v>
      </c>
    </row>
    <row r="194">
      <c r="A194" s="2" t="str">
        <f>IFERROR(__xludf.DUMMYFUNCTION("IF('From Order'!$A194=COLUMNS($A194:A213), LEFT(INDEX(FILTER(A$1:A193, A$1:A193&lt;&gt;""""),COUNTA(FILTER(A$1:A193, A$1:A193&lt;&gt;""""))), LEN(INDEX(FILTER(A$1:A193, A$1:A193&lt;&gt;""""),COUNTA(FILTER(A$1:A193, A$1:A193&lt;&gt;""""))))-1), IF('To Order'!$A194=COLUMNS($A194:A"&amp;"213), A193&amp;RIGHT(INDIRECT(ADDRESS(ROW(A194)-1, 'From Order'!$A194)), 1), A193))"),"B")</f>
        <v>B</v>
      </c>
      <c r="B194" s="2" t="str">
        <f>IFERROR(__xludf.DUMMYFUNCTION("IF('From Order'!$A194=COLUMNS($A194:B213), LEFT(INDEX(FILTER(B$1:B193, B$1:B193&lt;&gt;""""),COUNTA(FILTER(B$1:B193, B$1:B193&lt;&gt;""""))), LEN(INDEX(FILTER(B$1:B193, B$1:B193&lt;&gt;""""),COUNTA(FILTER(B$1:B193, B$1:B193&lt;&gt;""""))))-1), IF('To Order'!$A194=COLUMNS($A194:B"&amp;"213), B193&amp;RIGHT(INDIRECT(ADDRESS(ROW(B194)-1, 'From Order'!$A194)), 1), B193))"),"SWFBJLR")</f>
        <v>SWFBJLR</v>
      </c>
      <c r="C194" s="2" t="str">
        <f>IFERROR(__xludf.DUMMYFUNCTION("IF('From Order'!$A194=COLUMNS($A194:C213), LEFT(INDEX(FILTER(C$1:C193, C$1:C193&lt;&gt;""""),COUNTA(FILTER(C$1:C193, C$1:C193&lt;&gt;""""))), LEN(INDEX(FILTER(C$1:C193, C$1:C193&lt;&gt;""""),COUNTA(FILTER(C$1:C193, C$1:C193&lt;&gt;""""))))-1), IF('To Order'!$A194=COLUMNS($A194:C"&amp;"213), C193&amp;RIGHT(INDIRECT(ADDRESS(ROW(C194)-1, 'From Order'!$A194)), 1), C193))"),"VTZRW")</f>
        <v>VTZRW</v>
      </c>
      <c r="D194" s="2" t="str">
        <f>IFERROR(__xludf.DUMMYFUNCTION("IF('From Order'!$A194=COLUMNS($A194:D213), LEFT(INDEX(FILTER(D$1:D193, D$1:D193&lt;&gt;""""),COUNTA(FILTER(D$1:D193, D$1:D193&lt;&gt;""""))), LEN(INDEX(FILTER(D$1:D193, D$1:D193&lt;&gt;""""),COUNTA(FILTER(D$1:D193, D$1:D193&lt;&gt;""""))))-1), IF('To Order'!$A194=COLUMNS($A194:D"&amp;"213), D193&amp;RIGHT(INDIRECT(ADDRESS(ROW(D194)-1, 'From Order'!$A194)), 1), D193))"),"DTCHSPVMZDDTLCBRQPDSVR")</f>
        <v>DTCHSPVMZDDTLCBRQPDSVR</v>
      </c>
      <c r="E194" s="2" t="str">
        <f>IFERROR(__xludf.DUMMYFUNCTION("IF('From Order'!$A194=COLUMNS($A194:E213), LEFT(INDEX(FILTER(E$1:E193, E$1:E193&lt;&gt;""""),COUNTA(FILTER(E$1:E193, E$1:E193&lt;&gt;""""))), LEN(INDEX(FILTER(E$1:E193, E$1:E193&lt;&gt;""""),COUNTA(FILTER(E$1:E193, E$1:E193&lt;&gt;""""))))-1), IF('To Order'!$A194=COLUMNS($A194:E"&amp;"213), E193&amp;RIGHT(INDIRECT(ADDRESS(ROW(E194)-1, 'From Order'!$A194)), 1), E193))"),"")</f>
        <v/>
      </c>
      <c r="F194" s="2" t="str">
        <f>IFERROR(__xludf.DUMMYFUNCTION("IF('From Order'!$A194=COLUMNS($A194:F213), LEFT(INDEX(FILTER(F$1:F193, F$1:F193&lt;&gt;""""),COUNTA(FILTER(F$1:F193, F$1:F193&lt;&gt;""""))), LEN(INDEX(FILTER(F$1:F193, F$1:F193&lt;&gt;""""),COUNTA(FILTER(F$1:F193, F$1:F193&lt;&gt;""""))))-1), IF('To Order'!$A194=COLUMNS($A194:F"&amp;"213), F193&amp;RIGHT(INDIRECT(ADDRESS(ROW(F194)-1, 'From Order'!$A194)), 1), F193))"),"JDGSBPG")</f>
        <v>JDGSBPG</v>
      </c>
      <c r="G194" s="2" t="str">
        <f>IFERROR(__xludf.DUMMYFUNCTION("IF('From Order'!$A194=COLUMNS($A194:G213), LEFT(INDEX(FILTER(G$1:G193, G$1:G193&lt;&gt;""""),COUNTA(FILTER(G$1:G193, G$1:G193&lt;&gt;""""))), LEN(INDEX(FILTER(G$1:G193, G$1:G193&lt;&gt;""""),COUNTA(FILTER(G$1:G193, G$1:G193&lt;&gt;""""))))-1), IF('To Order'!$A194=COLUMNS($A194:G"&amp;"213), G193&amp;RIGHT(INDIRECT(ADDRESS(ROW(G194)-1, 'From Order'!$A194)), 1), G193))"),"RJT")</f>
        <v>RJT</v>
      </c>
      <c r="H194" s="2" t="str">
        <f>IFERROR(__xludf.DUMMYFUNCTION("IF('From Order'!$A194=COLUMNS($A194:H213), LEFT(INDEX(FILTER(H$1:H193, H$1:H193&lt;&gt;""""),COUNTA(FILTER(H$1:H193, H$1:H193&lt;&gt;""""))), LEN(INDEX(FILTER(H$1:H193, H$1:H193&lt;&gt;""""),COUNTA(FILTER(H$1:H193, H$1:H193&lt;&gt;""""))))-1), IF('To Order'!$A194=COLUMNS($A194:H"&amp;"213), H193&amp;RIGHT(INDIRECT(ADDRESS(ROW(H194)-1, 'From Order'!$A194)), 1), H193))"),"MFTMQCDTHZ")</f>
        <v>MFTMQCDTHZ</v>
      </c>
      <c r="I194" s="2" t="str">
        <f>IFERROR(__xludf.DUMMYFUNCTION("IF('From Order'!$A194=COLUMNS($A194:I213), LEFT(INDEX(FILTER(I$1:I193, I$1:I193&lt;&gt;""""),COUNTA(FILTER(I$1:I193, I$1:I193&lt;&gt;""""))), LEN(INDEX(FILTER(I$1:I193, I$1:I193&lt;&gt;""""),COUNTA(FILTER(I$1:I193, I$1:I193&lt;&gt;""""))))-1), IF('To Order'!$A194=COLUMNS($A194:I"&amp;"213), I193&amp;RIGHT(INDIRECT(ADDRESS(ROW(I194)-1, 'From Order'!$A194)), 1), I193))"),"L")</f>
        <v>L</v>
      </c>
    </row>
    <row r="195">
      <c r="A195" s="2" t="str">
        <f>IFERROR(__xludf.DUMMYFUNCTION("IF('From Order'!$A195=COLUMNS($A195:A214), LEFT(INDEX(FILTER(A$1:A194, A$1:A194&lt;&gt;""""),COUNTA(FILTER(A$1:A194, A$1:A194&lt;&gt;""""))), LEN(INDEX(FILTER(A$1:A194, A$1:A194&lt;&gt;""""),COUNTA(FILTER(A$1:A194, A$1:A194&lt;&gt;""""))))-1), IF('To Order'!$A195=COLUMNS($A195:A"&amp;"214), A194&amp;RIGHT(INDIRECT(ADDRESS(ROW(A195)-1, 'From Order'!$A195)), 1), A194))"),"B")</f>
        <v>B</v>
      </c>
      <c r="B195" s="2" t="str">
        <f>IFERROR(__xludf.DUMMYFUNCTION("IF('From Order'!$A195=COLUMNS($A195:B214), LEFT(INDEX(FILTER(B$1:B194, B$1:B194&lt;&gt;""""),COUNTA(FILTER(B$1:B194, B$1:B194&lt;&gt;""""))), LEN(INDEX(FILTER(B$1:B194, B$1:B194&lt;&gt;""""),COUNTA(FILTER(B$1:B194, B$1:B194&lt;&gt;""""))))-1), IF('To Order'!$A195=COLUMNS($A195:B"&amp;"214), B194&amp;RIGHT(INDIRECT(ADDRESS(ROW(B195)-1, 'From Order'!$A195)), 1), B194))"),"SWFBJLR")</f>
        <v>SWFBJLR</v>
      </c>
      <c r="C195" s="2" t="str">
        <f>IFERROR(__xludf.DUMMYFUNCTION("IF('From Order'!$A195=COLUMNS($A195:C214), LEFT(INDEX(FILTER(C$1:C194, C$1:C194&lt;&gt;""""),COUNTA(FILTER(C$1:C194, C$1:C194&lt;&gt;""""))), LEN(INDEX(FILTER(C$1:C194, C$1:C194&lt;&gt;""""),COUNTA(FILTER(C$1:C194, C$1:C194&lt;&gt;""""))))-1), IF('To Order'!$A195=COLUMNS($A195:C"&amp;"214), C194&amp;RIGHT(INDIRECT(ADDRESS(ROW(C195)-1, 'From Order'!$A195)), 1), C194))"),"VTZR")</f>
        <v>VTZR</v>
      </c>
      <c r="D195" s="2" t="str">
        <f>IFERROR(__xludf.DUMMYFUNCTION("IF('From Order'!$A195=COLUMNS($A195:D214), LEFT(INDEX(FILTER(D$1:D194, D$1:D194&lt;&gt;""""),COUNTA(FILTER(D$1:D194, D$1:D194&lt;&gt;""""))), LEN(INDEX(FILTER(D$1:D194, D$1:D194&lt;&gt;""""),COUNTA(FILTER(D$1:D194, D$1:D194&lt;&gt;""""))))-1), IF('To Order'!$A195=COLUMNS($A195:D"&amp;"214), D194&amp;RIGHT(INDIRECT(ADDRESS(ROW(D195)-1, 'From Order'!$A195)), 1), D194))"),"DTCHSPVMZDDTLCBRQPDSVR")</f>
        <v>DTCHSPVMZDDTLCBRQPDSVR</v>
      </c>
      <c r="E195" s="2" t="str">
        <f>IFERROR(__xludf.DUMMYFUNCTION("IF('From Order'!$A195=COLUMNS($A195:E214), LEFT(INDEX(FILTER(E$1:E194, E$1:E194&lt;&gt;""""),COUNTA(FILTER(E$1:E194, E$1:E194&lt;&gt;""""))), LEN(INDEX(FILTER(E$1:E194, E$1:E194&lt;&gt;""""),COUNTA(FILTER(E$1:E194, E$1:E194&lt;&gt;""""))))-1), IF('To Order'!$A195=COLUMNS($A195:E"&amp;"214), E194&amp;RIGHT(INDIRECT(ADDRESS(ROW(E195)-1, 'From Order'!$A195)), 1), E194))"),"")</f>
        <v/>
      </c>
      <c r="F195" s="2" t="str">
        <f>IFERROR(__xludf.DUMMYFUNCTION("IF('From Order'!$A195=COLUMNS($A195:F214), LEFT(INDEX(FILTER(F$1:F194, F$1:F194&lt;&gt;""""),COUNTA(FILTER(F$1:F194, F$1:F194&lt;&gt;""""))), LEN(INDEX(FILTER(F$1:F194, F$1:F194&lt;&gt;""""),COUNTA(FILTER(F$1:F194, F$1:F194&lt;&gt;""""))))-1), IF('To Order'!$A195=COLUMNS($A195:F"&amp;"214), F194&amp;RIGHT(INDIRECT(ADDRESS(ROW(F195)-1, 'From Order'!$A195)), 1), F194))"),"JDGSBPG")</f>
        <v>JDGSBPG</v>
      </c>
      <c r="G195" s="2" t="str">
        <f>IFERROR(__xludf.DUMMYFUNCTION("IF('From Order'!$A195=COLUMNS($A195:G214), LEFT(INDEX(FILTER(G$1:G194, G$1:G194&lt;&gt;""""),COUNTA(FILTER(G$1:G194, G$1:G194&lt;&gt;""""))), LEN(INDEX(FILTER(G$1:G194, G$1:G194&lt;&gt;""""),COUNTA(FILTER(G$1:G194, G$1:G194&lt;&gt;""""))))-1), IF('To Order'!$A195=COLUMNS($A195:G"&amp;"214), G194&amp;RIGHT(INDIRECT(ADDRESS(ROW(G195)-1, 'From Order'!$A195)), 1), G194))"),"RJTW")</f>
        <v>RJTW</v>
      </c>
      <c r="H195" s="2" t="str">
        <f>IFERROR(__xludf.DUMMYFUNCTION("IF('From Order'!$A195=COLUMNS($A195:H214), LEFT(INDEX(FILTER(H$1:H194, H$1:H194&lt;&gt;""""),COUNTA(FILTER(H$1:H194, H$1:H194&lt;&gt;""""))), LEN(INDEX(FILTER(H$1:H194, H$1:H194&lt;&gt;""""),COUNTA(FILTER(H$1:H194, H$1:H194&lt;&gt;""""))))-1), IF('To Order'!$A195=COLUMNS($A195:H"&amp;"214), H194&amp;RIGHT(INDIRECT(ADDRESS(ROW(H195)-1, 'From Order'!$A195)), 1), H194))"),"MFTMQCDTHZ")</f>
        <v>MFTMQCDTHZ</v>
      </c>
      <c r="I195" s="2" t="str">
        <f>IFERROR(__xludf.DUMMYFUNCTION("IF('From Order'!$A195=COLUMNS($A195:I214), LEFT(INDEX(FILTER(I$1:I194, I$1:I194&lt;&gt;""""),COUNTA(FILTER(I$1:I194, I$1:I194&lt;&gt;""""))), LEN(INDEX(FILTER(I$1:I194, I$1:I194&lt;&gt;""""),COUNTA(FILTER(I$1:I194, I$1:I194&lt;&gt;""""))))-1), IF('To Order'!$A195=COLUMNS($A195:I"&amp;"214), I194&amp;RIGHT(INDIRECT(ADDRESS(ROW(I195)-1, 'From Order'!$A195)), 1), I194))"),"L")</f>
        <v>L</v>
      </c>
    </row>
    <row r="196">
      <c r="A196" s="2" t="str">
        <f>IFERROR(__xludf.DUMMYFUNCTION("IF('From Order'!$A196=COLUMNS($A196:A215), LEFT(INDEX(FILTER(A$1:A195, A$1:A195&lt;&gt;""""),COUNTA(FILTER(A$1:A195, A$1:A195&lt;&gt;""""))), LEN(INDEX(FILTER(A$1:A195, A$1:A195&lt;&gt;""""),COUNTA(FILTER(A$1:A195, A$1:A195&lt;&gt;""""))))-1), IF('To Order'!$A196=COLUMNS($A196:A"&amp;"215), A195&amp;RIGHT(INDIRECT(ADDRESS(ROW(A196)-1, 'From Order'!$A196)), 1), A195))"),"B")</f>
        <v>B</v>
      </c>
      <c r="B196" s="2" t="str">
        <f>IFERROR(__xludf.DUMMYFUNCTION("IF('From Order'!$A196=COLUMNS($A196:B215), LEFT(INDEX(FILTER(B$1:B195, B$1:B195&lt;&gt;""""),COUNTA(FILTER(B$1:B195, B$1:B195&lt;&gt;""""))), LEN(INDEX(FILTER(B$1:B195, B$1:B195&lt;&gt;""""),COUNTA(FILTER(B$1:B195, B$1:B195&lt;&gt;""""))))-1), IF('To Order'!$A196=COLUMNS($A196:B"&amp;"215), B195&amp;RIGHT(INDIRECT(ADDRESS(ROW(B196)-1, 'From Order'!$A196)), 1), B195))"),"SWFBJLR")</f>
        <v>SWFBJLR</v>
      </c>
      <c r="C196" s="2" t="str">
        <f>IFERROR(__xludf.DUMMYFUNCTION("IF('From Order'!$A196=COLUMNS($A196:C215), LEFT(INDEX(FILTER(C$1:C195, C$1:C195&lt;&gt;""""),COUNTA(FILTER(C$1:C195, C$1:C195&lt;&gt;""""))), LEN(INDEX(FILTER(C$1:C195, C$1:C195&lt;&gt;""""),COUNTA(FILTER(C$1:C195, C$1:C195&lt;&gt;""""))))-1), IF('To Order'!$A196=COLUMNS($A196:C"&amp;"215), C195&amp;RIGHT(INDIRECT(ADDRESS(ROW(C196)-1, 'From Order'!$A196)), 1), C195))"),"VTZ")</f>
        <v>VTZ</v>
      </c>
      <c r="D196" s="2" t="str">
        <f>IFERROR(__xludf.DUMMYFUNCTION("IF('From Order'!$A196=COLUMNS($A196:D215), LEFT(INDEX(FILTER(D$1:D195, D$1:D195&lt;&gt;""""),COUNTA(FILTER(D$1:D195, D$1:D195&lt;&gt;""""))), LEN(INDEX(FILTER(D$1:D195, D$1:D195&lt;&gt;""""),COUNTA(FILTER(D$1:D195, D$1:D195&lt;&gt;""""))))-1), IF('To Order'!$A196=COLUMNS($A196:D"&amp;"215), D195&amp;RIGHT(INDIRECT(ADDRESS(ROW(D196)-1, 'From Order'!$A196)), 1), D195))"),"DTCHSPVMZDDTLCBRQPDSVR")</f>
        <v>DTCHSPVMZDDTLCBRQPDSVR</v>
      </c>
      <c r="E196" s="2" t="str">
        <f>IFERROR(__xludf.DUMMYFUNCTION("IF('From Order'!$A196=COLUMNS($A196:E215), LEFT(INDEX(FILTER(E$1:E195, E$1:E195&lt;&gt;""""),COUNTA(FILTER(E$1:E195, E$1:E195&lt;&gt;""""))), LEN(INDEX(FILTER(E$1:E195, E$1:E195&lt;&gt;""""),COUNTA(FILTER(E$1:E195, E$1:E195&lt;&gt;""""))))-1), IF('To Order'!$A196=COLUMNS($A196:E"&amp;"215), E195&amp;RIGHT(INDIRECT(ADDRESS(ROW(E196)-1, 'From Order'!$A196)), 1), E195))"),"")</f>
        <v/>
      </c>
      <c r="F196" s="2" t="str">
        <f>IFERROR(__xludf.DUMMYFUNCTION("IF('From Order'!$A196=COLUMNS($A196:F215), LEFT(INDEX(FILTER(F$1:F195, F$1:F195&lt;&gt;""""),COUNTA(FILTER(F$1:F195, F$1:F195&lt;&gt;""""))), LEN(INDEX(FILTER(F$1:F195, F$1:F195&lt;&gt;""""),COUNTA(FILTER(F$1:F195, F$1:F195&lt;&gt;""""))))-1), IF('To Order'!$A196=COLUMNS($A196:F"&amp;"215), F195&amp;RIGHT(INDIRECT(ADDRESS(ROW(F196)-1, 'From Order'!$A196)), 1), F195))"),"JDGSBPG")</f>
        <v>JDGSBPG</v>
      </c>
      <c r="G196" s="2" t="str">
        <f>IFERROR(__xludf.DUMMYFUNCTION("IF('From Order'!$A196=COLUMNS($A196:G215), LEFT(INDEX(FILTER(G$1:G195, G$1:G195&lt;&gt;""""),COUNTA(FILTER(G$1:G195, G$1:G195&lt;&gt;""""))), LEN(INDEX(FILTER(G$1:G195, G$1:G195&lt;&gt;""""),COUNTA(FILTER(G$1:G195, G$1:G195&lt;&gt;""""))))-1), IF('To Order'!$A196=COLUMNS($A196:G"&amp;"215), G195&amp;RIGHT(INDIRECT(ADDRESS(ROW(G196)-1, 'From Order'!$A196)), 1), G195))"),"RJTWR")</f>
        <v>RJTWR</v>
      </c>
      <c r="H196" s="2" t="str">
        <f>IFERROR(__xludf.DUMMYFUNCTION("IF('From Order'!$A196=COLUMNS($A196:H215), LEFT(INDEX(FILTER(H$1:H195, H$1:H195&lt;&gt;""""),COUNTA(FILTER(H$1:H195, H$1:H195&lt;&gt;""""))), LEN(INDEX(FILTER(H$1:H195, H$1:H195&lt;&gt;""""),COUNTA(FILTER(H$1:H195, H$1:H195&lt;&gt;""""))))-1), IF('To Order'!$A196=COLUMNS($A196:H"&amp;"215), H195&amp;RIGHT(INDIRECT(ADDRESS(ROW(H196)-1, 'From Order'!$A196)), 1), H195))"),"MFTMQCDTHZ")</f>
        <v>MFTMQCDTHZ</v>
      </c>
      <c r="I196" s="2" t="str">
        <f>IFERROR(__xludf.DUMMYFUNCTION("IF('From Order'!$A196=COLUMNS($A196:I215), LEFT(INDEX(FILTER(I$1:I195, I$1:I195&lt;&gt;""""),COUNTA(FILTER(I$1:I195, I$1:I195&lt;&gt;""""))), LEN(INDEX(FILTER(I$1:I195, I$1:I195&lt;&gt;""""),COUNTA(FILTER(I$1:I195, I$1:I195&lt;&gt;""""))))-1), IF('To Order'!$A196=COLUMNS($A196:I"&amp;"215), I195&amp;RIGHT(INDIRECT(ADDRESS(ROW(I196)-1, 'From Order'!$A196)), 1), I195))"),"L")</f>
        <v>L</v>
      </c>
    </row>
    <row r="197">
      <c r="A197" s="2" t="str">
        <f>IFERROR(__xludf.DUMMYFUNCTION("IF('From Order'!$A197=COLUMNS($A197:A216), LEFT(INDEX(FILTER(A$1:A196, A$1:A196&lt;&gt;""""),COUNTA(FILTER(A$1:A196, A$1:A196&lt;&gt;""""))), LEN(INDEX(FILTER(A$1:A196, A$1:A196&lt;&gt;""""),COUNTA(FILTER(A$1:A196, A$1:A196&lt;&gt;""""))))-1), IF('To Order'!$A197=COLUMNS($A197:A"&amp;"216), A196&amp;RIGHT(INDIRECT(ADDRESS(ROW(A197)-1, 'From Order'!$A197)), 1), A196))"),"B")</f>
        <v>B</v>
      </c>
      <c r="B197" s="2" t="str">
        <f>IFERROR(__xludf.DUMMYFUNCTION("IF('From Order'!$A197=COLUMNS($A197:B216), LEFT(INDEX(FILTER(B$1:B196, B$1:B196&lt;&gt;""""),COUNTA(FILTER(B$1:B196, B$1:B196&lt;&gt;""""))), LEN(INDEX(FILTER(B$1:B196, B$1:B196&lt;&gt;""""),COUNTA(FILTER(B$1:B196, B$1:B196&lt;&gt;""""))))-1), IF('To Order'!$A197=COLUMNS($A197:B"&amp;"216), B196&amp;RIGHT(INDIRECT(ADDRESS(ROW(B197)-1, 'From Order'!$A197)), 1), B196))"),"SWFBJLR")</f>
        <v>SWFBJLR</v>
      </c>
      <c r="C197" s="2" t="str">
        <f>IFERROR(__xludf.DUMMYFUNCTION("IF('From Order'!$A197=COLUMNS($A197:C216), LEFT(INDEX(FILTER(C$1:C196, C$1:C196&lt;&gt;""""),COUNTA(FILTER(C$1:C196, C$1:C196&lt;&gt;""""))), LEN(INDEX(FILTER(C$1:C196, C$1:C196&lt;&gt;""""),COUNTA(FILTER(C$1:C196, C$1:C196&lt;&gt;""""))))-1), IF('To Order'!$A197=COLUMNS($A197:C"&amp;"216), C196&amp;RIGHT(INDIRECT(ADDRESS(ROW(C197)-1, 'From Order'!$A197)), 1), C196))"),"VT")</f>
        <v>VT</v>
      </c>
      <c r="D197" s="2" t="str">
        <f>IFERROR(__xludf.DUMMYFUNCTION("IF('From Order'!$A197=COLUMNS($A197:D216), LEFT(INDEX(FILTER(D$1:D196, D$1:D196&lt;&gt;""""),COUNTA(FILTER(D$1:D196, D$1:D196&lt;&gt;""""))), LEN(INDEX(FILTER(D$1:D196, D$1:D196&lt;&gt;""""),COUNTA(FILTER(D$1:D196, D$1:D196&lt;&gt;""""))))-1), IF('To Order'!$A197=COLUMNS($A197:D"&amp;"216), D196&amp;RIGHT(INDIRECT(ADDRESS(ROW(D197)-1, 'From Order'!$A197)), 1), D196))"),"DTCHSPVMZDDTLCBRQPDSVR")</f>
        <v>DTCHSPVMZDDTLCBRQPDSVR</v>
      </c>
      <c r="E197" s="2" t="str">
        <f>IFERROR(__xludf.DUMMYFUNCTION("IF('From Order'!$A197=COLUMNS($A197:E216), LEFT(INDEX(FILTER(E$1:E196, E$1:E196&lt;&gt;""""),COUNTA(FILTER(E$1:E196, E$1:E196&lt;&gt;""""))), LEN(INDEX(FILTER(E$1:E196, E$1:E196&lt;&gt;""""),COUNTA(FILTER(E$1:E196, E$1:E196&lt;&gt;""""))))-1), IF('To Order'!$A197=COLUMNS($A197:E"&amp;"216), E196&amp;RIGHT(INDIRECT(ADDRESS(ROW(E197)-1, 'From Order'!$A197)), 1), E196))"),"")</f>
        <v/>
      </c>
      <c r="F197" s="2" t="str">
        <f>IFERROR(__xludf.DUMMYFUNCTION("IF('From Order'!$A197=COLUMNS($A197:F216), LEFT(INDEX(FILTER(F$1:F196, F$1:F196&lt;&gt;""""),COUNTA(FILTER(F$1:F196, F$1:F196&lt;&gt;""""))), LEN(INDEX(FILTER(F$1:F196, F$1:F196&lt;&gt;""""),COUNTA(FILTER(F$1:F196, F$1:F196&lt;&gt;""""))))-1), IF('To Order'!$A197=COLUMNS($A197:F"&amp;"216), F196&amp;RIGHT(INDIRECT(ADDRESS(ROW(F197)-1, 'From Order'!$A197)), 1), F196))"),"JDGSBPG")</f>
        <v>JDGSBPG</v>
      </c>
      <c r="G197" s="2" t="str">
        <f>IFERROR(__xludf.DUMMYFUNCTION("IF('From Order'!$A197=COLUMNS($A197:G216), LEFT(INDEX(FILTER(G$1:G196, G$1:G196&lt;&gt;""""),COUNTA(FILTER(G$1:G196, G$1:G196&lt;&gt;""""))), LEN(INDEX(FILTER(G$1:G196, G$1:G196&lt;&gt;""""),COUNTA(FILTER(G$1:G196, G$1:G196&lt;&gt;""""))))-1), IF('To Order'!$A197=COLUMNS($A197:G"&amp;"216), G196&amp;RIGHT(INDIRECT(ADDRESS(ROW(G197)-1, 'From Order'!$A197)), 1), G196))"),"RJTWRZ")</f>
        <v>RJTWRZ</v>
      </c>
      <c r="H197" s="2" t="str">
        <f>IFERROR(__xludf.DUMMYFUNCTION("IF('From Order'!$A197=COLUMNS($A197:H216), LEFT(INDEX(FILTER(H$1:H196, H$1:H196&lt;&gt;""""),COUNTA(FILTER(H$1:H196, H$1:H196&lt;&gt;""""))), LEN(INDEX(FILTER(H$1:H196, H$1:H196&lt;&gt;""""),COUNTA(FILTER(H$1:H196, H$1:H196&lt;&gt;""""))))-1), IF('To Order'!$A197=COLUMNS($A197:H"&amp;"216), H196&amp;RIGHT(INDIRECT(ADDRESS(ROW(H197)-1, 'From Order'!$A197)), 1), H196))"),"MFTMQCDTHZ")</f>
        <v>MFTMQCDTHZ</v>
      </c>
      <c r="I197" s="2" t="str">
        <f>IFERROR(__xludf.DUMMYFUNCTION("IF('From Order'!$A197=COLUMNS($A197:I216), LEFT(INDEX(FILTER(I$1:I196, I$1:I196&lt;&gt;""""),COUNTA(FILTER(I$1:I196, I$1:I196&lt;&gt;""""))), LEN(INDEX(FILTER(I$1:I196, I$1:I196&lt;&gt;""""),COUNTA(FILTER(I$1:I196, I$1:I196&lt;&gt;""""))))-1), IF('To Order'!$A197=COLUMNS($A197:I"&amp;"216), I196&amp;RIGHT(INDIRECT(ADDRESS(ROW(I197)-1, 'From Order'!$A197)), 1), I196))"),"L")</f>
        <v>L</v>
      </c>
    </row>
    <row r="198">
      <c r="A198" s="2" t="str">
        <f>IFERROR(__xludf.DUMMYFUNCTION("IF('From Order'!$A198=COLUMNS($A198:A217), LEFT(INDEX(FILTER(A$1:A197, A$1:A197&lt;&gt;""""),COUNTA(FILTER(A$1:A197, A$1:A197&lt;&gt;""""))), LEN(INDEX(FILTER(A$1:A197, A$1:A197&lt;&gt;""""),COUNTA(FILTER(A$1:A197, A$1:A197&lt;&gt;""""))))-1), IF('To Order'!$A198=COLUMNS($A198:A"&amp;"217), A197&amp;RIGHT(INDIRECT(ADDRESS(ROW(A198)-1, 'From Order'!$A198)), 1), A197))"),"B")</f>
        <v>B</v>
      </c>
      <c r="B198" s="2" t="str">
        <f>IFERROR(__xludf.DUMMYFUNCTION("IF('From Order'!$A198=COLUMNS($A198:B217), LEFT(INDEX(FILTER(B$1:B197, B$1:B197&lt;&gt;""""),COUNTA(FILTER(B$1:B197, B$1:B197&lt;&gt;""""))), LEN(INDEX(FILTER(B$1:B197, B$1:B197&lt;&gt;""""),COUNTA(FILTER(B$1:B197, B$1:B197&lt;&gt;""""))))-1), IF('To Order'!$A198=COLUMNS($A198:B"&amp;"217), B197&amp;RIGHT(INDIRECT(ADDRESS(ROW(B198)-1, 'From Order'!$A198)), 1), B197))"),"SWFBJLR")</f>
        <v>SWFBJLR</v>
      </c>
      <c r="C198" s="2" t="str">
        <f>IFERROR(__xludf.DUMMYFUNCTION("IF('From Order'!$A198=COLUMNS($A198:C217), LEFT(INDEX(FILTER(C$1:C197, C$1:C197&lt;&gt;""""),COUNTA(FILTER(C$1:C197, C$1:C197&lt;&gt;""""))), LEN(INDEX(FILTER(C$1:C197, C$1:C197&lt;&gt;""""),COUNTA(FILTER(C$1:C197, C$1:C197&lt;&gt;""""))))-1), IF('To Order'!$A198=COLUMNS($A198:C"&amp;"217), C197&amp;RIGHT(INDIRECT(ADDRESS(ROW(C198)-1, 'From Order'!$A198)), 1), C197))"),"V")</f>
        <v>V</v>
      </c>
      <c r="D198" s="2" t="str">
        <f>IFERROR(__xludf.DUMMYFUNCTION("IF('From Order'!$A198=COLUMNS($A198:D217), LEFT(INDEX(FILTER(D$1:D197, D$1:D197&lt;&gt;""""),COUNTA(FILTER(D$1:D197, D$1:D197&lt;&gt;""""))), LEN(INDEX(FILTER(D$1:D197, D$1:D197&lt;&gt;""""),COUNTA(FILTER(D$1:D197, D$1:D197&lt;&gt;""""))))-1), IF('To Order'!$A198=COLUMNS($A198:D"&amp;"217), D197&amp;RIGHT(INDIRECT(ADDRESS(ROW(D198)-1, 'From Order'!$A198)), 1), D197))"),"DTCHSPVMZDDTLCBRQPDSVR")</f>
        <v>DTCHSPVMZDDTLCBRQPDSVR</v>
      </c>
      <c r="E198" s="2" t="str">
        <f>IFERROR(__xludf.DUMMYFUNCTION("IF('From Order'!$A198=COLUMNS($A198:E217), LEFT(INDEX(FILTER(E$1:E197, E$1:E197&lt;&gt;""""),COUNTA(FILTER(E$1:E197, E$1:E197&lt;&gt;""""))), LEN(INDEX(FILTER(E$1:E197, E$1:E197&lt;&gt;""""),COUNTA(FILTER(E$1:E197, E$1:E197&lt;&gt;""""))))-1), IF('To Order'!$A198=COLUMNS($A198:E"&amp;"217), E197&amp;RIGHT(INDIRECT(ADDRESS(ROW(E198)-1, 'From Order'!$A198)), 1), E197))"),"")</f>
        <v/>
      </c>
      <c r="F198" s="2" t="str">
        <f>IFERROR(__xludf.DUMMYFUNCTION("IF('From Order'!$A198=COLUMNS($A198:F217), LEFT(INDEX(FILTER(F$1:F197, F$1:F197&lt;&gt;""""),COUNTA(FILTER(F$1:F197, F$1:F197&lt;&gt;""""))), LEN(INDEX(FILTER(F$1:F197, F$1:F197&lt;&gt;""""),COUNTA(FILTER(F$1:F197, F$1:F197&lt;&gt;""""))))-1), IF('To Order'!$A198=COLUMNS($A198:F"&amp;"217), F197&amp;RIGHT(INDIRECT(ADDRESS(ROW(F198)-1, 'From Order'!$A198)), 1), F197))"),"JDGSBPG")</f>
        <v>JDGSBPG</v>
      </c>
      <c r="G198" s="2" t="str">
        <f>IFERROR(__xludf.DUMMYFUNCTION("IF('From Order'!$A198=COLUMNS($A198:G217), LEFT(INDEX(FILTER(G$1:G197, G$1:G197&lt;&gt;""""),COUNTA(FILTER(G$1:G197, G$1:G197&lt;&gt;""""))), LEN(INDEX(FILTER(G$1:G197, G$1:G197&lt;&gt;""""),COUNTA(FILTER(G$1:G197, G$1:G197&lt;&gt;""""))))-1), IF('To Order'!$A198=COLUMNS($A198:G"&amp;"217), G197&amp;RIGHT(INDIRECT(ADDRESS(ROW(G198)-1, 'From Order'!$A198)), 1), G197))"),"RJTWRZT")</f>
        <v>RJTWRZT</v>
      </c>
      <c r="H198" s="2" t="str">
        <f>IFERROR(__xludf.DUMMYFUNCTION("IF('From Order'!$A198=COLUMNS($A198:H217), LEFT(INDEX(FILTER(H$1:H197, H$1:H197&lt;&gt;""""),COUNTA(FILTER(H$1:H197, H$1:H197&lt;&gt;""""))), LEN(INDEX(FILTER(H$1:H197, H$1:H197&lt;&gt;""""),COUNTA(FILTER(H$1:H197, H$1:H197&lt;&gt;""""))))-1), IF('To Order'!$A198=COLUMNS($A198:H"&amp;"217), H197&amp;RIGHT(INDIRECT(ADDRESS(ROW(H198)-1, 'From Order'!$A198)), 1), H197))"),"MFTMQCDTHZ")</f>
        <v>MFTMQCDTHZ</v>
      </c>
      <c r="I198" s="2" t="str">
        <f>IFERROR(__xludf.DUMMYFUNCTION("IF('From Order'!$A198=COLUMNS($A198:I217), LEFT(INDEX(FILTER(I$1:I197, I$1:I197&lt;&gt;""""),COUNTA(FILTER(I$1:I197, I$1:I197&lt;&gt;""""))), LEN(INDEX(FILTER(I$1:I197, I$1:I197&lt;&gt;""""),COUNTA(FILTER(I$1:I197, I$1:I197&lt;&gt;""""))))-1), IF('To Order'!$A198=COLUMNS($A198:I"&amp;"217), I197&amp;RIGHT(INDIRECT(ADDRESS(ROW(I198)-1, 'From Order'!$A198)), 1), I197))"),"L")</f>
        <v>L</v>
      </c>
    </row>
    <row r="199">
      <c r="A199" s="2" t="str">
        <f>IFERROR(__xludf.DUMMYFUNCTION("IF('From Order'!$A199=COLUMNS($A199:A218), LEFT(INDEX(FILTER(A$1:A198, A$1:A198&lt;&gt;""""),COUNTA(FILTER(A$1:A198, A$1:A198&lt;&gt;""""))), LEN(INDEX(FILTER(A$1:A198, A$1:A198&lt;&gt;""""),COUNTA(FILTER(A$1:A198, A$1:A198&lt;&gt;""""))))-1), IF('To Order'!$A199=COLUMNS($A199:A"&amp;"218), A198&amp;RIGHT(INDIRECT(ADDRESS(ROW(A199)-1, 'From Order'!$A199)), 1), A198))"),"B")</f>
        <v>B</v>
      </c>
      <c r="B199" s="2" t="str">
        <f>IFERROR(__xludf.DUMMYFUNCTION("IF('From Order'!$A199=COLUMNS($A199:B218), LEFT(INDEX(FILTER(B$1:B198, B$1:B198&lt;&gt;""""),COUNTA(FILTER(B$1:B198, B$1:B198&lt;&gt;""""))), LEN(INDEX(FILTER(B$1:B198, B$1:B198&lt;&gt;""""),COUNTA(FILTER(B$1:B198, B$1:B198&lt;&gt;""""))))-1), IF('To Order'!$A199=COLUMNS($A199:B"&amp;"218), B198&amp;RIGHT(INDIRECT(ADDRESS(ROW(B199)-1, 'From Order'!$A199)), 1), B198))"),"SWFBJLR")</f>
        <v>SWFBJLR</v>
      </c>
      <c r="C199" s="2" t="str">
        <f>IFERROR(__xludf.DUMMYFUNCTION("IF('From Order'!$A199=COLUMNS($A199:C218), LEFT(INDEX(FILTER(C$1:C198, C$1:C198&lt;&gt;""""),COUNTA(FILTER(C$1:C198, C$1:C198&lt;&gt;""""))), LEN(INDEX(FILTER(C$1:C198, C$1:C198&lt;&gt;""""),COUNTA(FILTER(C$1:C198, C$1:C198&lt;&gt;""""))))-1), IF('To Order'!$A199=COLUMNS($A199:C"&amp;"218), C198&amp;RIGHT(INDIRECT(ADDRESS(ROW(C199)-1, 'From Order'!$A199)), 1), C198))"),"")</f>
        <v/>
      </c>
      <c r="D199" s="2" t="str">
        <f>IFERROR(__xludf.DUMMYFUNCTION("IF('From Order'!$A199=COLUMNS($A199:D218), LEFT(INDEX(FILTER(D$1:D198, D$1:D198&lt;&gt;""""),COUNTA(FILTER(D$1:D198, D$1:D198&lt;&gt;""""))), LEN(INDEX(FILTER(D$1:D198, D$1:D198&lt;&gt;""""),COUNTA(FILTER(D$1:D198, D$1:D198&lt;&gt;""""))))-1), IF('To Order'!$A199=COLUMNS($A199:D"&amp;"218), D198&amp;RIGHT(INDIRECT(ADDRESS(ROW(D199)-1, 'From Order'!$A199)), 1), D198))"),"DTCHSPVMZDDTLCBRQPDSVR")</f>
        <v>DTCHSPVMZDDTLCBRQPDSVR</v>
      </c>
      <c r="E199" s="2" t="str">
        <f>IFERROR(__xludf.DUMMYFUNCTION("IF('From Order'!$A199=COLUMNS($A199:E218), LEFT(INDEX(FILTER(E$1:E198, E$1:E198&lt;&gt;""""),COUNTA(FILTER(E$1:E198, E$1:E198&lt;&gt;""""))), LEN(INDEX(FILTER(E$1:E198, E$1:E198&lt;&gt;""""),COUNTA(FILTER(E$1:E198, E$1:E198&lt;&gt;""""))))-1), IF('To Order'!$A199=COLUMNS($A199:E"&amp;"218), E198&amp;RIGHT(INDIRECT(ADDRESS(ROW(E199)-1, 'From Order'!$A199)), 1), E198))"),"")</f>
        <v/>
      </c>
      <c r="F199" s="2" t="str">
        <f>IFERROR(__xludf.DUMMYFUNCTION("IF('From Order'!$A199=COLUMNS($A199:F218), LEFT(INDEX(FILTER(F$1:F198, F$1:F198&lt;&gt;""""),COUNTA(FILTER(F$1:F198, F$1:F198&lt;&gt;""""))), LEN(INDEX(FILTER(F$1:F198, F$1:F198&lt;&gt;""""),COUNTA(FILTER(F$1:F198, F$1:F198&lt;&gt;""""))))-1), IF('To Order'!$A199=COLUMNS($A199:F"&amp;"218), F198&amp;RIGHT(INDIRECT(ADDRESS(ROW(F199)-1, 'From Order'!$A199)), 1), F198))"),"JDGSBPG")</f>
        <v>JDGSBPG</v>
      </c>
      <c r="G199" s="2" t="str">
        <f>IFERROR(__xludf.DUMMYFUNCTION("IF('From Order'!$A199=COLUMNS($A199:G218), LEFT(INDEX(FILTER(G$1:G198, G$1:G198&lt;&gt;""""),COUNTA(FILTER(G$1:G198, G$1:G198&lt;&gt;""""))), LEN(INDEX(FILTER(G$1:G198, G$1:G198&lt;&gt;""""),COUNTA(FILTER(G$1:G198, G$1:G198&lt;&gt;""""))))-1), IF('To Order'!$A199=COLUMNS($A199:G"&amp;"218), G198&amp;RIGHT(INDIRECT(ADDRESS(ROW(G199)-1, 'From Order'!$A199)), 1), G198))"),"RJTWRZTV")</f>
        <v>RJTWRZTV</v>
      </c>
      <c r="H199" s="2" t="str">
        <f>IFERROR(__xludf.DUMMYFUNCTION("IF('From Order'!$A199=COLUMNS($A199:H218), LEFT(INDEX(FILTER(H$1:H198, H$1:H198&lt;&gt;""""),COUNTA(FILTER(H$1:H198, H$1:H198&lt;&gt;""""))), LEN(INDEX(FILTER(H$1:H198, H$1:H198&lt;&gt;""""),COUNTA(FILTER(H$1:H198, H$1:H198&lt;&gt;""""))))-1), IF('To Order'!$A199=COLUMNS($A199:H"&amp;"218), H198&amp;RIGHT(INDIRECT(ADDRESS(ROW(H199)-1, 'From Order'!$A199)), 1), H198))"),"MFTMQCDTHZ")</f>
        <v>MFTMQCDTHZ</v>
      </c>
      <c r="I199" s="2" t="str">
        <f>IFERROR(__xludf.DUMMYFUNCTION("IF('From Order'!$A199=COLUMNS($A199:I218), LEFT(INDEX(FILTER(I$1:I198, I$1:I198&lt;&gt;""""),COUNTA(FILTER(I$1:I198, I$1:I198&lt;&gt;""""))), LEN(INDEX(FILTER(I$1:I198, I$1:I198&lt;&gt;""""),COUNTA(FILTER(I$1:I198, I$1:I198&lt;&gt;""""))))-1), IF('To Order'!$A199=COLUMNS($A199:I"&amp;"218), I198&amp;RIGHT(INDIRECT(ADDRESS(ROW(I199)-1, 'From Order'!$A199)), 1), I198))"),"L")</f>
        <v>L</v>
      </c>
    </row>
    <row r="200">
      <c r="A200" s="2" t="str">
        <f>IFERROR(__xludf.DUMMYFUNCTION("IF('From Order'!$A200=COLUMNS($A200:A219), LEFT(INDEX(FILTER(A$1:A199, A$1:A199&lt;&gt;""""),COUNTA(FILTER(A$1:A199, A$1:A199&lt;&gt;""""))), LEN(INDEX(FILTER(A$1:A199, A$1:A199&lt;&gt;""""),COUNTA(FILTER(A$1:A199, A$1:A199&lt;&gt;""""))))-1), IF('To Order'!$A200=COLUMNS($A200:A"&amp;"219), A199&amp;RIGHT(INDIRECT(ADDRESS(ROW(A200)-1, 'From Order'!$A200)), 1), A199))"),"B")</f>
        <v>B</v>
      </c>
      <c r="B200" s="2" t="str">
        <f>IFERROR(__xludf.DUMMYFUNCTION("IF('From Order'!$A200=COLUMNS($A200:B219), LEFT(INDEX(FILTER(B$1:B199, B$1:B199&lt;&gt;""""),COUNTA(FILTER(B$1:B199, B$1:B199&lt;&gt;""""))), LEN(INDEX(FILTER(B$1:B199, B$1:B199&lt;&gt;""""),COUNTA(FILTER(B$1:B199, B$1:B199&lt;&gt;""""))))-1), IF('To Order'!$A200=COLUMNS($A200:B"&amp;"219), B199&amp;RIGHT(INDIRECT(ADDRESS(ROW(B200)-1, 'From Order'!$A200)), 1), B199))"),"SWFBJLR")</f>
        <v>SWFBJLR</v>
      </c>
      <c r="C200" s="2" t="str">
        <f>IFERROR(__xludf.DUMMYFUNCTION("IF('From Order'!$A200=COLUMNS($A200:C219), LEFT(INDEX(FILTER(C$1:C199, C$1:C199&lt;&gt;""""),COUNTA(FILTER(C$1:C199, C$1:C199&lt;&gt;""""))), LEN(INDEX(FILTER(C$1:C199, C$1:C199&lt;&gt;""""),COUNTA(FILTER(C$1:C199, C$1:C199&lt;&gt;""""))))-1), IF('To Order'!$A200=COLUMNS($A200:C"&amp;"219), C199&amp;RIGHT(INDIRECT(ADDRESS(ROW(C200)-1, 'From Order'!$A200)), 1), C199))"),"")</f>
        <v/>
      </c>
      <c r="D200" s="2" t="str">
        <f>IFERROR(__xludf.DUMMYFUNCTION("IF('From Order'!$A200=COLUMNS($A200:D219), LEFT(INDEX(FILTER(D$1:D199, D$1:D199&lt;&gt;""""),COUNTA(FILTER(D$1:D199, D$1:D199&lt;&gt;""""))), LEN(INDEX(FILTER(D$1:D199, D$1:D199&lt;&gt;""""),COUNTA(FILTER(D$1:D199, D$1:D199&lt;&gt;""""))))-1), IF('To Order'!$A200=COLUMNS($A200:D"&amp;"219), D199&amp;RIGHT(INDIRECT(ADDRESS(ROW(D200)-1, 'From Order'!$A200)), 1), D199))"),"DTCHSPVMZDDTLCBRQPDSV")</f>
        <v>DTCHSPVMZDDTLCBRQPDSV</v>
      </c>
      <c r="E200" s="2" t="str">
        <f>IFERROR(__xludf.DUMMYFUNCTION("IF('From Order'!$A200=COLUMNS($A200:E219), LEFT(INDEX(FILTER(E$1:E199, E$1:E199&lt;&gt;""""),COUNTA(FILTER(E$1:E199, E$1:E199&lt;&gt;""""))), LEN(INDEX(FILTER(E$1:E199, E$1:E199&lt;&gt;""""),COUNTA(FILTER(E$1:E199, E$1:E199&lt;&gt;""""))))-1), IF('To Order'!$A200=COLUMNS($A200:E"&amp;"219), E199&amp;RIGHT(INDIRECT(ADDRESS(ROW(E200)-1, 'From Order'!$A200)), 1), E199))"),"")</f>
        <v/>
      </c>
      <c r="F200" s="2" t="str">
        <f>IFERROR(__xludf.DUMMYFUNCTION("IF('From Order'!$A200=COLUMNS($A200:F219), LEFT(INDEX(FILTER(F$1:F199, F$1:F199&lt;&gt;""""),COUNTA(FILTER(F$1:F199, F$1:F199&lt;&gt;""""))), LEN(INDEX(FILTER(F$1:F199, F$1:F199&lt;&gt;""""),COUNTA(FILTER(F$1:F199, F$1:F199&lt;&gt;""""))))-1), IF('To Order'!$A200=COLUMNS($A200:F"&amp;"219), F199&amp;RIGHT(INDIRECT(ADDRESS(ROW(F200)-1, 'From Order'!$A200)), 1), F199))"),"JDGSBPG")</f>
        <v>JDGSBPG</v>
      </c>
      <c r="G200" s="2" t="str">
        <f>IFERROR(__xludf.DUMMYFUNCTION("IF('From Order'!$A200=COLUMNS($A200:G219), LEFT(INDEX(FILTER(G$1:G199, G$1:G199&lt;&gt;""""),COUNTA(FILTER(G$1:G199, G$1:G199&lt;&gt;""""))), LEN(INDEX(FILTER(G$1:G199, G$1:G199&lt;&gt;""""),COUNTA(FILTER(G$1:G199, G$1:G199&lt;&gt;""""))))-1), IF('To Order'!$A200=COLUMNS($A200:G"&amp;"219), G199&amp;RIGHT(INDIRECT(ADDRESS(ROW(G200)-1, 'From Order'!$A200)), 1), G199))"),"RJTWRZTV")</f>
        <v>RJTWRZTV</v>
      </c>
      <c r="H200" s="2" t="str">
        <f>IFERROR(__xludf.DUMMYFUNCTION("IF('From Order'!$A200=COLUMNS($A200:H219), LEFT(INDEX(FILTER(H$1:H199, H$1:H199&lt;&gt;""""),COUNTA(FILTER(H$1:H199, H$1:H199&lt;&gt;""""))), LEN(INDEX(FILTER(H$1:H199, H$1:H199&lt;&gt;""""),COUNTA(FILTER(H$1:H199, H$1:H199&lt;&gt;""""))))-1), IF('To Order'!$A200=COLUMNS($A200:H"&amp;"219), H199&amp;RIGHT(INDIRECT(ADDRESS(ROW(H200)-1, 'From Order'!$A200)), 1), H199))"),"MFTMQCDTHZR")</f>
        <v>MFTMQCDTHZR</v>
      </c>
      <c r="I200" s="2" t="str">
        <f>IFERROR(__xludf.DUMMYFUNCTION("IF('From Order'!$A200=COLUMNS($A200:I219), LEFT(INDEX(FILTER(I$1:I199, I$1:I199&lt;&gt;""""),COUNTA(FILTER(I$1:I199, I$1:I199&lt;&gt;""""))), LEN(INDEX(FILTER(I$1:I199, I$1:I199&lt;&gt;""""),COUNTA(FILTER(I$1:I199, I$1:I199&lt;&gt;""""))))-1), IF('To Order'!$A200=COLUMNS($A200:I"&amp;"219), I199&amp;RIGHT(INDIRECT(ADDRESS(ROW(I200)-1, 'From Order'!$A200)), 1), I199))"),"L")</f>
        <v>L</v>
      </c>
    </row>
    <row r="201">
      <c r="A201" s="2" t="str">
        <f>IFERROR(__xludf.DUMMYFUNCTION("IF('From Order'!$A201=COLUMNS($A201:A220), LEFT(INDEX(FILTER(A$1:A200, A$1:A200&lt;&gt;""""),COUNTA(FILTER(A$1:A200, A$1:A200&lt;&gt;""""))), LEN(INDEX(FILTER(A$1:A200, A$1:A200&lt;&gt;""""),COUNTA(FILTER(A$1:A200, A$1:A200&lt;&gt;""""))))-1), IF('To Order'!$A201=COLUMNS($A201:A"&amp;"220), A200&amp;RIGHT(INDIRECT(ADDRESS(ROW(A201)-1, 'From Order'!$A201)), 1), A200))"),"B")</f>
        <v>B</v>
      </c>
      <c r="B201" s="2" t="str">
        <f>IFERROR(__xludf.DUMMYFUNCTION("IF('From Order'!$A201=COLUMNS($A201:B220), LEFT(INDEX(FILTER(B$1:B200, B$1:B200&lt;&gt;""""),COUNTA(FILTER(B$1:B200, B$1:B200&lt;&gt;""""))), LEN(INDEX(FILTER(B$1:B200, B$1:B200&lt;&gt;""""),COUNTA(FILTER(B$1:B200, B$1:B200&lt;&gt;""""))))-1), IF('To Order'!$A201=COLUMNS($A201:B"&amp;"220), B200&amp;RIGHT(INDIRECT(ADDRESS(ROW(B201)-1, 'From Order'!$A201)), 1), B200))"),"SWFBJLR")</f>
        <v>SWFBJLR</v>
      </c>
      <c r="C201" s="2" t="str">
        <f>IFERROR(__xludf.DUMMYFUNCTION("IF('From Order'!$A201=COLUMNS($A201:C220), LEFT(INDEX(FILTER(C$1:C200, C$1:C200&lt;&gt;""""),COUNTA(FILTER(C$1:C200, C$1:C200&lt;&gt;""""))), LEN(INDEX(FILTER(C$1:C200, C$1:C200&lt;&gt;""""),COUNTA(FILTER(C$1:C200, C$1:C200&lt;&gt;""""))))-1), IF('To Order'!$A201=COLUMNS($A201:C"&amp;"220), C200&amp;RIGHT(INDIRECT(ADDRESS(ROW(C201)-1, 'From Order'!$A201)), 1), C200))"),"")</f>
        <v/>
      </c>
      <c r="D201" s="2" t="str">
        <f>IFERROR(__xludf.DUMMYFUNCTION("IF('From Order'!$A201=COLUMNS($A201:D220), LEFT(INDEX(FILTER(D$1:D200, D$1:D200&lt;&gt;""""),COUNTA(FILTER(D$1:D200, D$1:D200&lt;&gt;""""))), LEN(INDEX(FILTER(D$1:D200, D$1:D200&lt;&gt;""""),COUNTA(FILTER(D$1:D200, D$1:D200&lt;&gt;""""))))-1), IF('To Order'!$A201=COLUMNS($A201:D"&amp;"220), D200&amp;RIGHT(INDIRECT(ADDRESS(ROW(D201)-1, 'From Order'!$A201)), 1), D200))"),"DTCHSPVMZDDTLCBRQPDS")</f>
        <v>DTCHSPVMZDDTLCBRQPDS</v>
      </c>
      <c r="E201" s="2" t="str">
        <f>IFERROR(__xludf.DUMMYFUNCTION("IF('From Order'!$A201=COLUMNS($A201:E220), LEFT(INDEX(FILTER(E$1:E200, E$1:E200&lt;&gt;""""),COUNTA(FILTER(E$1:E200, E$1:E200&lt;&gt;""""))), LEN(INDEX(FILTER(E$1:E200, E$1:E200&lt;&gt;""""),COUNTA(FILTER(E$1:E200, E$1:E200&lt;&gt;""""))))-1), IF('To Order'!$A201=COLUMNS($A201:E"&amp;"220), E200&amp;RIGHT(INDIRECT(ADDRESS(ROW(E201)-1, 'From Order'!$A201)), 1), E200))"),"")</f>
        <v/>
      </c>
      <c r="F201" s="2" t="str">
        <f>IFERROR(__xludf.DUMMYFUNCTION("IF('From Order'!$A201=COLUMNS($A201:F220), LEFT(INDEX(FILTER(F$1:F200, F$1:F200&lt;&gt;""""),COUNTA(FILTER(F$1:F200, F$1:F200&lt;&gt;""""))), LEN(INDEX(FILTER(F$1:F200, F$1:F200&lt;&gt;""""),COUNTA(FILTER(F$1:F200, F$1:F200&lt;&gt;""""))))-1), IF('To Order'!$A201=COLUMNS($A201:F"&amp;"220), F200&amp;RIGHT(INDIRECT(ADDRESS(ROW(F201)-1, 'From Order'!$A201)), 1), F200))"),"JDGSBPG")</f>
        <v>JDGSBPG</v>
      </c>
      <c r="G201" s="2" t="str">
        <f>IFERROR(__xludf.DUMMYFUNCTION("IF('From Order'!$A201=COLUMNS($A201:G220), LEFT(INDEX(FILTER(G$1:G200, G$1:G200&lt;&gt;""""),COUNTA(FILTER(G$1:G200, G$1:G200&lt;&gt;""""))), LEN(INDEX(FILTER(G$1:G200, G$1:G200&lt;&gt;""""),COUNTA(FILTER(G$1:G200, G$1:G200&lt;&gt;""""))))-1), IF('To Order'!$A201=COLUMNS($A201:G"&amp;"220), G200&amp;RIGHT(INDIRECT(ADDRESS(ROW(G201)-1, 'From Order'!$A201)), 1), G200))"),"RJTWRZTV")</f>
        <v>RJTWRZTV</v>
      </c>
      <c r="H201" s="2" t="str">
        <f>IFERROR(__xludf.DUMMYFUNCTION("IF('From Order'!$A201=COLUMNS($A201:H220), LEFT(INDEX(FILTER(H$1:H200, H$1:H200&lt;&gt;""""),COUNTA(FILTER(H$1:H200, H$1:H200&lt;&gt;""""))), LEN(INDEX(FILTER(H$1:H200, H$1:H200&lt;&gt;""""),COUNTA(FILTER(H$1:H200, H$1:H200&lt;&gt;""""))))-1), IF('To Order'!$A201=COLUMNS($A201:H"&amp;"220), H200&amp;RIGHT(INDIRECT(ADDRESS(ROW(H201)-1, 'From Order'!$A201)), 1), H200))"),"MFTMQCDTHZRV")</f>
        <v>MFTMQCDTHZRV</v>
      </c>
      <c r="I201" s="2" t="str">
        <f>IFERROR(__xludf.DUMMYFUNCTION("IF('From Order'!$A201=COLUMNS($A201:I220), LEFT(INDEX(FILTER(I$1:I200, I$1:I200&lt;&gt;""""),COUNTA(FILTER(I$1:I200, I$1:I200&lt;&gt;""""))), LEN(INDEX(FILTER(I$1:I200, I$1:I200&lt;&gt;""""),COUNTA(FILTER(I$1:I200, I$1:I200&lt;&gt;""""))))-1), IF('To Order'!$A201=COLUMNS($A201:I"&amp;"220), I200&amp;RIGHT(INDIRECT(ADDRESS(ROW(I201)-1, 'From Order'!$A201)), 1), I200))"),"L")</f>
        <v>L</v>
      </c>
    </row>
    <row r="202">
      <c r="A202" s="2" t="str">
        <f>IFERROR(__xludf.DUMMYFUNCTION("IF('From Order'!$A202=COLUMNS($A202:A221), LEFT(INDEX(FILTER(A$1:A201, A$1:A201&lt;&gt;""""),COUNTA(FILTER(A$1:A201, A$1:A201&lt;&gt;""""))), LEN(INDEX(FILTER(A$1:A201, A$1:A201&lt;&gt;""""),COUNTA(FILTER(A$1:A201, A$1:A201&lt;&gt;""""))))-1), IF('To Order'!$A202=COLUMNS($A202:A"&amp;"221), A201&amp;RIGHT(INDIRECT(ADDRESS(ROW(A202)-1, 'From Order'!$A202)), 1), A201))"),"B")</f>
        <v>B</v>
      </c>
      <c r="B202" s="2" t="str">
        <f>IFERROR(__xludf.DUMMYFUNCTION("IF('From Order'!$A202=COLUMNS($A202:B221), LEFT(INDEX(FILTER(B$1:B201, B$1:B201&lt;&gt;""""),COUNTA(FILTER(B$1:B201, B$1:B201&lt;&gt;""""))), LEN(INDEX(FILTER(B$1:B201, B$1:B201&lt;&gt;""""),COUNTA(FILTER(B$1:B201, B$1:B201&lt;&gt;""""))))-1), IF('To Order'!$A202=COLUMNS($A202:B"&amp;"221), B201&amp;RIGHT(INDIRECT(ADDRESS(ROW(B202)-1, 'From Order'!$A202)), 1), B201))"),"SWFBJLR")</f>
        <v>SWFBJLR</v>
      </c>
      <c r="C202" s="2" t="str">
        <f>IFERROR(__xludf.DUMMYFUNCTION("IF('From Order'!$A202=COLUMNS($A202:C221), LEFT(INDEX(FILTER(C$1:C201, C$1:C201&lt;&gt;""""),COUNTA(FILTER(C$1:C201, C$1:C201&lt;&gt;""""))), LEN(INDEX(FILTER(C$1:C201, C$1:C201&lt;&gt;""""),COUNTA(FILTER(C$1:C201, C$1:C201&lt;&gt;""""))))-1), IF('To Order'!$A202=COLUMNS($A202:C"&amp;"221), C201&amp;RIGHT(INDIRECT(ADDRESS(ROW(C202)-1, 'From Order'!$A202)), 1), C201))"),"")</f>
        <v/>
      </c>
      <c r="D202" s="2" t="str">
        <f>IFERROR(__xludf.DUMMYFUNCTION("IF('From Order'!$A202=COLUMNS($A202:D221), LEFT(INDEX(FILTER(D$1:D201, D$1:D201&lt;&gt;""""),COUNTA(FILTER(D$1:D201, D$1:D201&lt;&gt;""""))), LEN(INDEX(FILTER(D$1:D201, D$1:D201&lt;&gt;""""),COUNTA(FILTER(D$1:D201, D$1:D201&lt;&gt;""""))))-1), IF('To Order'!$A202=COLUMNS($A202:D"&amp;"221), D201&amp;RIGHT(INDIRECT(ADDRESS(ROW(D202)-1, 'From Order'!$A202)), 1), D201))"),"DTCHSPVMZDDTLCBRQPD")</f>
        <v>DTCHSPVMZDDTLCBRQPD</v>
      </c>
      <c r="E202" s="2" t="str">
        <f>IFERROR(__xludf.DUMMYFUNCTION("IF('From Order'!$A202=COLUMNS($A202:E221), LEFT(INDEX(FILTER(E$1:E201, E$1:E201&lt;&gt;""""),COUNTA(FILTER(E$1:E201, E$1:E201&lt;&gt;""""))), LEN(INDEX(FILTER(E$1:E201, E$1:E201&lt;&gt;""""),COUNTA(FILTER(E$1:E201, E$1:E201&lt;&gt;""""))))-1), IF('To Order'!$A202=COLUMNS($A202:E"&amp;"221), E201&amp;RIGHT(INDIRECT(ADDRESS(ROW(E202)-1, 'From Order'!$A202)), 1), E201))"),"")</f>
        <v/>
      </c>
      <c r="F202" s="2" t="str">
        <f>IFERROR(__xludf.DUMMYFUNCTION("IF('From Order'!$A202=COLUMNS($A202:F221), LEFT(INDEX(FILTER(F$1:F201, F$1:F201&lt;&gt;""""),COUNTA(FILTER(F$1:F201, F$1:F201&lt;&gt;""""))), LEN(INDEX(FILTER(F$1:F201, F$1:F201&lt;&gt;""""),COUNTA(FILTER(F$1:F201, F$1:F201&lt;&gt;""""))))-1), IF('To Order'!$A202=COLUMNS($A202:F"&amp;"221), F201&amp;RIGHT(INDIRECT(ADDRESS(ROW(F202)-1, 'From Order'!$A202)), 1), F201))"),"JDGSBPG")</f>
        <v>JDGSBPG</v>
      </c>
      <c r="G202" s="2" t="str">
        <f>IFERROR(__xludf.DUMMYFUNCTION("IF('From Order'!$A202=COLUMNS($A202:G221), LEFT(INDEX(FILTER(G$1:G201, G$1:G201&lt;&gt;""""),COUNTA(FILTER(G$1:G201, G$1:G201&lt;&gt;""""))), LEN(INDEX(FILTER(G$1:G201, G$1:G201&lt;&gt;""""),COUNTA(FILTER(G$1:G201, G$1:G201&lt;&gt;""""))))-1), IF('To Order'!$A202=COLUMNS($A202:G"&amp;"221), G201&amp;RIGHT(INDIRECT(ADDRESS(ROW(G202)-1, 'From Order'!$A202)), 1), G201))"),"RJTWRZTV")</f>
        <v>RJTWRZTV</v>
      </c>
      <c r="H202" s="2" t="str">
        <f>IFERROR(__xludf.DUMMYFUNCTION("IF('From Order'!$A202=COLUMNS($A202:H221), LEFT(INDEX(FILTER(H$1:H201, H$1:H201&lt;&gt;""""),COUNTA(FILTER(H$1:H201, H$1:H201&lt;&gt;""""))), LEN(INDEX(FILTER(H$1:H201, H$1:H201&lt;&gt;""""),COUNTA(FILTER(H$1:H201, H$1:H201&lt;&gt;""""))))-1), IF('To Order'!$A202=COLUMNS($A202:H"&amp;"221), H201&amp;RIGHT(INDIRECT(ADDRESS(ROW(H202)-1, 'From Order'!$A202)), 1), H201))"),"MFTMQCDTHZRVS")</f>
        <v>MFTMQCDTHZRVS</v>
      </c>
      <c r="I202" s="2" t="str">
        <f>IFERROR(__xludf.DUMMYFUNCTION("IF('From Order'!$A202=COLUMNS($A202:I221), LEFT(INDEX(FILTER(I$1:I201, I$1:I201&lt;&gt;""""),COUNTA(FILTER(I$1:I201, I$1:I201&lt;&gt;""""))), LEN(INDEX(FILTER(I$1:I201, I$1:I201&lt;&gt;""""),COUNTA(FILTER(I$1:I201, I$1:I201&lt;&gt;""""))))-1), IF('To Order'!$A202=COLUMNS($A202:I"&amp;"221), I201&amp;RIGHT(INDIRECT(ADDRESS(ROW(I202)-1, 'From Order'!$A202)), 1), I201))"),"L")</f>
        <v>L</v>
      </c>
    </row>
    <row r="203">
      <c r="A203" s="2" t="str">
        <f>IFERROR(__xludf.DUMMYFUNCTION("IF('From Order'!$A203=COLUMNS($A203:A222), LEFT(INDEX(FILTER(A$1:A202, A$1:A202&lt;&gt;""""),COUNTA(FILTER(A$1:A202, A$1:A202&lt;&gt;""""))), LEN(INDEX(FILTER(A$1:A202, A$1:A202&lt;&gt;""""),COUNTA(FILTER(A$1:A202, A$1:A202&lt;&gt;""""))))-1), IF('To Order'!$A203=COLUMNS($A203:A"&amp;"222), A202&amp;RIGHT(INDIRECT(ADDRESS(ROW(A203)-1, 'From Order'!$A203)), 1), A202))"),"B")</f>
        <v>B</v>
      </c>
      <c r="B203" s="2" t="str">
        <f>IFERROR(__xludf.DUMMYFUNCTION("IF('From Order'!$A203=COLUMNS($A203:B222), LEFT(INDEX(FILTER(B$1:B202, B$1:B202&lt;&gt;""""),COUNTA(FILTER(B$1:B202, B$1:B202&lt;&gt;""""))), LEN(INDEX(FILTER(B$1:B202, B$1:B202&lt;&gt;""""),COUNTA(FILTER(B$1:B202, B$1:B202&lt;&gt;""""))))-1), IF('To Order'!$A203=COLUMNS($A203:B"&amp;"222), B202&amp;RIGHT(INDIRECT(ADDRESS(ROW(B203)-1, 'From Order'!$A203)), 1), B202))"),"SWFBJLR")</f>
        <v>SWFBJLR</v>
      </c>
      <c r="C203" s="2" t="str">
        <f>IFERROR(__xludf.DUMMYFUNCTION("IF('From Order'!$A203=COLUMNS($A203:C222), LEFT(INDEX(FILTER(C$1:C202, C$1:C202&lt;&gt;""""),COUNTA(FILTER(C$1:C202, C$1:C202&lt;&gt;""""))), LEN(INDEX(FILTER(C$1:C202, C$1:C202&lt;&gt;""""),COUNTA(FILTER(C$1:C202, C$1:C202&lt;&gt;""""))))-1), IF('To Order'!$A203=COLUMNS($A203:C"&amp;"222), C202&amp;RIGHT(INDIRECT(ADDRESS(ROW(C203)-1, 'From Order'!$A203)), 1), C202))"),"")</f>
        <v/>
      </c>
      <c r="D203" s="2" t="str">
        <f>IFERROR(__xludf.DUMMYFUNCTION("IF('From Order'!$A203=COLUMNS($A203:D222), LEFT(INDEX(FILTER(D$1:D202, D$1:D202&lt;&gt;""""),COUNTA(FILTER(D$1:D202, D$1:D202&lt;&gt;""""))), LEN(INDEX(FILTER(D$1:D202, D$1:D202&lt;&gt;""""),COUNTA(FILTER(D$1:D202, D$1:D202&lt;&gt;""""))))-1), IF('To Order'!$A203=COLUMNS($A203:D"&amp;"222), D202&amp;RIGHT(INDIRECT(ADDRESS(ROW(D203)-1, 'From Order'!$A203)), 1), D202))"),"DTCHSPVMZDDTLCBRQP")</f>
        <v>DTCHSPVMZDDTLCBRQP</v>
      </c>
      <c r="E203" s="2" t="str">
        <f>IFERROR(__xludf.DUMMYFUNCTION("IF('From Order'!$A203=COLUMNS($A203:E222), LEFT(INDEX(FILTER(E$1:E202, E$1:E202&lt;&gt;""""),COUNTA(FILTER(E$1:E202, E$1:E202&lt;&gt;""""))), LEN(INDEX(FILTER(E$1:E202, E$1:E202&lt;&gt;""""),COUNTA(FILTER(E$1:E202, E$1:E202&lt;&gt;""""))))-1), IF('To Order'!$A203=COLUMNS($A203:E"&amp;"222), E202&amp;RIGHT(INDIRECT(ADDRESS(ROW(E203)-1, 'From Order'!$A203)), 1), E202))"),"")</f>
        <v/>
      </c>
      <c r="F203" s="2" t="str">
        <f>IFERROR(__xludf.DUMMYFUNCTION("IF('From Order'!$A203=COLUMNS($A203:F222), LEFT(INDEX(FILTER(F$1:F202, F$1:F202&lt;&gt;""""),COUNTA(FILTER(F$1:F202, F$1:F202&lt;&gt;""""))), LEN(INDEX(FILTER(F$1:F202, F$1:F202&lt;&gt;""""),COUNTA(FILTER(F$1:F202, F$1:F202&lt;&gt;""""))))-1), IF('To Order'!$A203=COLUMNS($A203:F"&amp;"222), F202&amp;RIGHT(INDIRECT(ADDRESS(ROW(F203)-1, 'From Order'!$A203)), 1), F202))"),"JDGSBPG")</f>
        <v>JDGSBPG</v>
      </c>
      <c r="G203" s="2" t="str">
        <f>IFERROR(__xludf.DUMMYFUNCTION("IF('From Order'!$A203=COLUMNS($A203:G222), LEFT(INDEX(FILTER(G$1:G202, G$1:G202&lt;&gt;""""),COUNTA(FILTER(G$1:G202, G$1:G202&lt;&gt;""""))), LEN(INDEX(FILTER(G$1:G202, G$1:G202&lt;&gt;""""),COUNTA(FILTER(G$1:G202, G$1:G202&lt;&gt;""""))))-1), IF('To Order'!$A203=COLUMNS($A203:G"&amp;"222), G202&amp;RIGHT(INDIRECT(ADDRESS(ROW(G203)-1, 'From Order'!$A203)), 1), G202))"),"RJTWRZTV")</f>
        <v>RJTWRZTV</v>
      </c>
      <c r="H203" s="2" t="str">
        <f>IFERROR(__xludf.DUMMYFUNCTION("IF('From Order'!$A203=COLUMNS($A203:H222), LEFT(INDEX(FILTER(H$1:H202, H$1:H202&lt;&gt;""""),COUNTA(FILTER(H$1:H202, H$1:H202&lt;&gt;""""))), LEN(INDEX(FILTER(H$1:H202, H$1:H202&lt;&gt;""""),COUNTA(FILTER(H$1:H202, H$1:H202&lt;&gt;""""))))-1), IF('To Order'!$A203=COLUMNS($A203:H"&amp;"222), H202&amp;RIGHT(INDIRECT(ADDRESS(ROW(H203)-1, 'From Order'!$A203)), 1), H202))"),"MFTMQCDTHZRVSD")</f>
        <v>MFTMQCDTHZRVSD</v>
      </c>
      <c r="I203" s="2" t="str">
        <f>IFERROR(__xludf.DUMMYFUNCTION("IF('From Order'!$A203=COLUMNS($A203:I222), LEFT(INDEX(FILTER(I$1:I202, I$1:I202&lt;&gt;""""),COUNTA(FILTER(I$1:I202, I$1:I202&lt;&gt;""""))), LEN(INDEX(FILTER(I$1:I202, I$1:I202&lt;&gt;""""),COUNTA(FILTER(I$1:I202, I$1:I202&lt;&gt;""""))))-1), IF('To Order'!$A203=COLUMNS($A203:I"&amp;"222), I202&amp;RIGHT(INDIRECT(ADDRESS(ROW(I203)-1, 'From Order'!$A203)), 1), I202))"),"L")</f>
        <v>L</v>
      </c>
    </row>
    <row r="204">
      <c r="A204" s="2" t="str">
        <f>IFERROR(__xludf.DUMMYFUNCTION("IF('From Order'!$A204=COLUMNS($A204:A223), LEFT(INDEX(FILTER(A$1:A203, A$1:A203&lt;&gt;""""),COUNTA(FILTER(A$1:A203, A$1:A203&lt;&gt;""""))), LEN(INDEX(FILTER(A$1:A203, A$1:A203&lt;&gt;""""),COUNTA(FILTER(A$1:A203, A$1:A203&lt;&gt;""""))))-1), IF('To Order'!$A204=COLUMNS($A204:A"&amp;"223), A203&amp;RIGHT(INDIRECT(ADDRESS(ROW(A204)-1, 'From Order'!$A204)), 1), A203))"),"B")</f>
        <v>B</v>
      </c>
      <c r="B204" s="2" t="str">
        <f>IFERROR(__xludf.DUMMYFUNCTION("IF('From Order'!$A204=COLUMNS($A204:B223), LEFT(INDEX(FILTER(B$1:B203, B$1:B203&lt;&gt;""""),COUNTA(FILTER(B$1:B203, B$1:B203&lt;&gt;""""))), LEN(INDEX(FILTER(B$1:B203, B$1:B203&lt;&gt;""""),COUNTA(FILTER(B$1:B203, B$1:B203&lt;&gt;""""))))-1), IF('To Order'!$A204=COLUMNS($A204:B"&amp;"223), B203&amp;RIGHT(INDIRECT(ADDRESS(ROW(B204)-1, 'From Order'!$A204)), 1), B203))"),"SWFBJLR")</f>
        <v>SWFBJLR</v>
      </c>
      <c r="C204" s="2" t="str">
        <f>IFERROR(__xludf.DUMMYFUNCTION("IF('From Order'!$A204=COLUMNS($A204:C223), LEFT(INDEX(FILTER(C$1:C203, C$1:C203&lt;&gt;""""),COUNTA(FILTER(C$1:C203, C$1:C203&lt;&gt;""""))), LEN(INDEX(FILTER(C$1:C203, C$1:C203&lt;&gt;""""),COUNTA(FILTER(C$1:C203, C$1:C203&lt;&gt;""""))))-1), IF('To Order'!$A204=COLUMNS($A204:C"&amp;"223), C203&amp;RIGHT(INDIRECT(ADDRESS(ROW(C204)-1, 'From Order'!$A204)), 1), C203))"),"")</f>
        <v/>
      </c>
      <c r="D204" s="2" t="str">
        <f>IFERROR(__xludf.DUMMYFUNCTION("IF('From Order'!$A204=COLUMNS($A204:D223), LEFT(INDEX(FILTER(D$1:D203, D$1:D203&lt;&gt;""""),COUNTA(FILTER(D$1:D203, D$1:D203&lt;&gt;""""))), LEN(INDEX(FILTER(D$1:D203, D$1:D203&lt;&gt;""""),COUNTA(FILTER(D$1:D203, D$1:D203&lt;&gt;""""))))-1), IF('To Order'!$A204=COLUMNS($A204:D"&amp;"223), D203&amp;RIGHT(INDIRECT(ADDRESS(ROW(D204)-1, 'From Order'!$A204)), 1), D203))"),"DTCHSPVMZDDTLCBRQ")</f>
        <v>DTCHSPVMZDDTLCBRQ</v>
      </c>
      <c r="E204" s="2" t="str">
        <f>IFERROR(__xludf.DUMMYFUNCTION("IF('From Order'!$A204=COLUMNS($A204:E223), LEFT(INDEX(FILTER(E$1:E203, E$1:E203&lt;&gt;""""),COUNTA(FILTER(E$1:E203, E$1:E203&lt;&gt;""""))), LEN(INDEX(FILTER(E$1:E203, E$1:E203&lt;&gt;""""),COUNTA(FILTER(E$1:E203, E$1:E203&lt;&gt;""""))))-1), IF('To Order'!$A204=COLUMNS($A204:E"&amp;"223), E203&amp;RIGHT(INDIRECT(ADDRESS(ROW(E204)-1, 'From Order'!$A204)), 1), E203))"),"")</f>
        <v/>
      </c>
      <c r="F204" s="2" t="str">
        <f>IFERROR(__xludf.DUMMYFUNCTION("IF('From Order'!$A204=COLUMNS($A204:F223), LEFT(INDEX(FILTER(F$1:F203, F$1:F203&lt;&gt;""""),COUNTA(FILTER(F$1:F203, F$1:F203&lt;&gt;""""))), LEN(INDEX(FILTER(F$1:F203, F$1:F203&lt;&gt;""""),COUNTA(FILTER(F$1:F203, F$1:F203&lt;&gt;""""))))-1), IF('To Order'!$A204=COLUMNS($A204:F"&amp;"223), F203&amp;RIGHT(INDIRECT(ADDRESS(ROW(F204)-1, 'From Order'!$A204)), 1), F203))"),"JDGSBPG")</f>
        <v>JDGSBPG</v>
      </c>
      <c r="G204" s="2" t="str">
        <f>IFERROR(__xludf.DUMMYFUNCTION("IF('From Order'!$A204=COLUMNS($A204:G223), LEFT(INDEX(FILTER(G$1:G203, G$1:G203&lt;&gt;""""),COUNTA(FILTER(G$1:G203, G$1:G203&lt;&gt;""""))), LEN(INDEX(FILTER(G$1:G203, G$1:G203&lt;&gt;""""),COUNTA(FILTER(G$1:G203, G$1:G203&lt;&gt;""""))))-1), IF('To Order'!$A204=COLUMNS($A204:G"&amp;"223), G203&amp;RIGHT(INDIRECT(ADDRESS(ROW(G204)-1, 'From Order'!$A204)), 1), G203))"),"RJTWRZTV")</f>
        <v>RJTWRZTV</v>
      </c>
      <c r="H204" s="2" t="str">
        <f>IFERROR(__xludf.DUMMYFUNCTION("IF('From Order'!$A204=COLUMNS($A204:H223), LEFT(INDEX(FILTER(H$1:H203, H$1:H203&lt;&gt;""""),COUNTA(FILTER(H$1:H203, H$1:H203&lt;&gt;""""))), LEN(INDEX(FILTER(H$1:H203, H$1:H203&lt;&gt;""""),COUNTA(FILTER(H$1:H203, H$1:H203&lt;&gt;""""))))-1), IF('To Order'!$A204=COLUMNS($A204:H"&amp;"223), H203&amp;RIGHT(INDIRECT(ADDRESS(ROW(H204)-1, 'From Order'!$A204)), 1), H203))"),"MFTMQCDTHZRVSDP")</f>
        <v>MFTMQCDTHZRVSDP</v>
      </c>
      <c r="I204" s="2" t="str">
        <f>IFERROR(__xludf.DUMMYFUNCTION("IF('From Order'!$A204=COLUMNS($A204:I223), LEFT(INDEX(FILTER(I$1:I203, I$1:I203&lt;&gt;""""),COUNTA(FILTER(I$1:I203, I$1:I203&lt;&gt;""""))), LEN(INDEX(FILTER(I$1:I203, I$1:I203&lt;&gt;""""),COUNTA(FILTER(I$1:I203, I$1:I203&lt;&gt;""""))))-1), IF('To Order'!$A204=COLUMNS($A204:I"&amp;"223), I203&amp;RIGHT(INDIRECT(ADDRESS(ROW(I204)-1, 'From Order'!$A204)), 1), I203))"),"L")</f>
        <v>L</v>
      </c>
    </row>
    <row r="205">
      <c r="A205" s="2" t="str">
        <f>IFERROR(__xludf.DUMMYFUNCTION("IF('From Order'!$A205=COLUMNS($A205:A224), LEFT(INDEX(FILTER(A$1:A204, A$1:A204&lt;&gt;""""),COUNTA(FILTER(A$1:A204, A$1:A204&lt;&gt;""""))), LEN(INDEX(FILTER(A$1:A204, A$1:A204&lt;&gt;""""),COUNTA(FILTER(A$1:A204, A$1:A204&lt;&gt;""""))))-1), IF('To Order'!$A205=COLUMNS($A205:A"&amp;"224), A204&amp;RIGHT(INDIRECT(ADDRESS(ROW(A205)-1, 'From Order'!$A205)), 1), A204))"),"B")</f>
        <v>B</v>
      </c>
      <c r="B205" s="2" t="str">
        <f>IFERROR(__xludf.DUMMYFUNCTION("IF('From Order'!$A205=COLUMNS($A205:B224), LEFT(INDEX(FILTER(B$1:B204, B$1:B204&lt;&gt;""""),COUNTA(FILTER(B$1:B204, B$1:B204&lt;&gt;""""))), LEN(INDEX(FILTER(B$1:B204, B$1:B204&lt;&gt;""""),COUNTA(FILTER(B$1:B204, B$1:B204&lt;&gt;""""))))-1), IF('To Order'!$A205=COLUMNS($A205:B"&amp;"224), B204&amp;RIGHT(INDIRECT(ADDRESS(ROW(B205)-1, 'From Order'!$A205)), 1), B204))"),"SWFBJLR")</f>
        <v>SWFBJLR</v>
      </c>
      <c r="C205" s="2" t="str">
        <f>IFERROR(__xludf.DUMMYFUNCTION("IF('From Order'!$A205=COLUMNS($A205:C224), LEFT(INDEX(FILTER(C$1:C204, C$1:C204&lt;&gt;""""),COUNTA(FILTER(C$1:C204, C$1:C204&lt;&gt;""""))), LEN(INDEX(FILTER(C$1:C204, C$1:C204&lt;&gt;""""),COUNTA(FILTER(C$1:C204, C$1:C204&lt;&gt;""""))))-1), IF('To Order'!$A205=COLUMNS($A205:C"&amp;"224), C204&amp;RIGHT(INDIRECT(ADDRESS(ROW(C205)-1, 'From Order'!$A205)), 1), C204))"),"")</f>
        <v/>
      </c>
      <c r="D205" s="2" t="str">
        <f>IFERROR(__xludf.DUMMYFUNCTION("IF('From Order'!$A205=COLUMNS($A205:D224), LEFT(INDEX(FILTER(D$1:D204, D$1:D204&lt;&gt;""""),COUNTA(FILTER(D$1:D204, D$1:D204&lt;&gt;""""))), LEN(INDEX(FILTER(D$1:D204, D$1:D204&lt;&gt;""""),COUNTA(FILTER(D$1:D204, D$1:D204&lt;&gt;""""))))-1), IF('To Order'!$A205=COLUMNS($A205:D"&amp;"224), D204&amp;RIGHT(INDIRECT(ADDRESS(ROW(D205)-1, 'From Order'!$A205)), 1), D204))"),"DTCHSPVMZDDTLCBR")</f>
        <v>DTCHSPVMZDDTLCBR</v>
      </c>
      <c r="E205" s="2" t="str">
        <f>IFERROR(__xludf.DUMMYFUNCTION("IF('From Order'!$A205=COLUMNS($A205:E224), LEFT(INDEX(FILTER(E$1:E204, E$1:E204&lt;&gt;""""),COUNTA(FILTER(E$1:E204, E$1:E204&lt;&gt;""""))), LEN(INDEX(FILTER(E$1:E204, E$1:E204&lt;&gt;""""),COUNTA(FILTER(E$1:E204, E$1:E204&lt;&gt;""""))))-1), IF('To Order'!$A205=COLUMNS($A205:E"&amp;"224), E204&amp;RIGHT(INDIRECT(ADDRESS(ROW(E205)-1, 'From Order'!$A205)), 1), E204))"),"")</f>
        <v/>
      </c>
      <c r="F205" s="2" t="str">
        <f>IFERROR(__xludf.DUMMYFUNCTION("IF('From Order'!$A205=COLUMNS($A205:F224), LEFT(INDEX(FILTER(F$1:F204, F$1:F204&lt;&gt;""""),COUNTA(FILTER(F$1:F204, F$1:F204&lt;&gt;""""))), LEN(INDEX(FILTER(F$1:F204, F$1:F204&lt;&gt;""""),COUNTA(FILTER(F$1:F204, F$1:F204&lt;&gt;""""))))-1), IF('To Order'!$A205=COLUMNS($A205:F"&amp;"224), F204&amp;RIGHT(INDIRECT(ADDRESS(ROW(F205)-1, 'From Order'!$A205)), 1), F204))"),"JDGSBPG")</f>
        <v>JDGSBPG</v>
      </c>
      <c r="G205" s="2" t="str">
        <f>IFERROR(__xludf.DUMMYFUNCTION("IF('From Order'!$A205=COLUMNS($A205:G224), LEFT(INDEX(FILTER(G$1:G204, G$1:G204&lt;&gt;""""),COUNTA(FILTER(G$1:G204, G$1:G204&lt;&gt;""""))), LEN(INDEX(FILTER(G$1:G204, G$1:G204&lt;&gt;""""),COUNTA(FILTER(G$1:G204, G$1:G204&lt;&gt;""""))))-1), IF('To Order'!$A205=COLUMNS($A205:G"&amp;"224), G204&amp;RIGHT(INDIRECT(ADDRESS(ROW(G205)-1, 'From Order'!$A205)), 1), G204))"),"RJTWRZTV")</f>
        <v>RJTWRZTV</v>
      </c>
      <c r="H205" s="2" t="str">
        <f>IFERROR(__xludf.DUMMYFUNCTION("IF('From Order'!$A205=COLUMNS($A205:H224), LEFT(INDEX(FILTER(H$1:H204, H$1:H204&lt;&gt;""""),COUNTA(FILTER(H$1:H204, H$1:H204&lt;&gt;""""))), LEN(INDEX(FILTER(H$1:H204, H$1:H204&lt;&gt;""""),COUNTA(FILTER(H$1:H204, H$1:H204&lt;&gt;""""))))-1), IF('To Order'!$A205=COLUMNS($A205:H"&amp;"224), H204&amp;RIGHT(INDIRECT(ADDRESS(ROW(H205)-1, 'From Order'!$A205)), 1), H204))"),"MFTMQCDTHZRVSDPQ")</f>
        <v>MFTMQCDTHZRVSDPQ</v>
      </c>
      <c r="I205" s="2" t="str">
        <f>IFERROR(__xludf.DUMMYFUNCTION("IF('From Order'!$A205=COLUMNS($A205:I224), LEFT(INDEX(FILTER(I$1:I204, I$1:I204&lt;&gt;""""),COUNTA(FILTER(I$1:I204, I$1:I204&lt;&gt;""""))), LEN(INDEX(FILTER(I$1:I204, I$1:I204&lt;&gt;""""),COUNTA(FILTER(I$1:I204, I$1:I204&lt;&gt;""""))))-1), IF('To Order'!$A205=COLUMNS($A205:I"&amp;"224), I204&amp;RIGHT(INDIRECT(ADDRESS(ROW(I205)-1, 'From Order'!$A205)), 1), I204))"),"L")</f>
        <v>L</v>
      </c>
    </row>
    <row r="206">
      <c r="A206" s="2" t="str">
        <f>IFERROR(__xludf.DUMMYFUNCTION("IF('From Order'!$A206=COLUMNS($A206:A225), LEFT(INDEX(FILTER(A$1:A205, A$1:A205&lt;&gt;""""),COUNTA(FILTER(A$1:A205, A$1:A205&lt;&gt;""""))), LEN(INDEX(FILTER(A$1:A205, A$1:A205&lt;&gt;""""),COUNTA(FILTER(A$1:A205, A$1:A205&lt;&gt;""""))))-1), IF('To Order'!$A206=COLUMNS($A206:A"&amp;"225), A205&amp;RIGHT(INDIRECT(ADDRESS(ROW(A206)-1, 'From Order'!$A206)), 1), A205))"),"B")</f>
        <v>B</v>
      </c>
      <c r="B206" s="2" t="str">
        <f>IFERROR(__xludf.DUMMYFUNCTION("IF('From Order'!$A206=COLUMNS($A206:B225), LEFT(INDEX(FILTER(B$1:B205, B$1:B205&lt;&gt;""""),COUNTA(FILTER(B$1:B205, B$1:B205&lt;&gt;""""))), LEN(INDEX(FILTER(B$1:B205, B$1:B205&lt;&gt;""""),COUNTA(FILTER(B$1:B205, B$1:B205&lt;&gt;""""))))-1), IF('To Order'!$A206=COLUMNS($A206:B"&amp;"225), B205&amp;RIGHT(INDIRECT(ADDRESS(ROW(B206)-1, 'From Order'!$A206)), 1), B205))"),"SWFBJLR")</f>
        <v>SWFBJLR</v>
      </c>
      <c r="C206" s="2" t="str">
        <f>IFERROR(__xludf.DUMMYFUNCTION("IF('From Order'!$A206=COLUMNS($A206:C225), LEFT(INDEX(FILTER(C$1:C205, C$1:C205&lt;&gt;""""),COUNTA(FILTER(C$1:C205, C$1:C205&lt;&gt;""""))), LEN(INDEX(FILTER(C$1:C205, C$1:C205&lt;&gt;""""),COUNTA(FILTER(C$1:C205, C$1:C205&lt;&gt;""""))))-1), IF('To Order'!$A206=COLUMNS($A206:C"&amp;"225), C205&amp;RIGHT(INDIRECT(ADDRESS(ROW(C206)-1, 'From Order'!$A206)), 1), C205))"),"")</f>
        <v/>
      </c>
      <c r="D206" s="2" t="str">
        <f>IFERROR(__xludf.DUMMYFUNCTION("IF('From Order'!$A206=COLUMNS($A206:D225), LEFT(INDEX(FILTER(D$1:D205, D$1:D205&lt;&gt;""""),COUNTA(FILTER(D$1:D205, D$1:D205&lt;&gt;""""))), LEN(INDEX(FILTER(D$1:D205, D$1:D205&lt;&gt;""""),COUNTA(FILTER(D$1:D205, D$1:D205&lt;&gt;""""))))-1), IF('To Order'!$A206=COLUMNS($A206:D"&amp;"225), D205&amp;RIGHT(INDIRECT(ADDRESS(ROW(D206)-1, 'From Order'!$A206)), 1), D205))"),"DTCHSPVMZDDTLCB")</f>
        <v>DTCHSPVMZDDTLCB</v>
      </c>
      <c r="E206" s="2" t="str">
        <f>IFERROR(__xludf.DUMMYFUNCTION("IF('From Order'!$A206=COLUMNS($A206:E225), LEFT(INDEX(FILTER(E$1:E205, E$1:E205&lt;&gt;""""),COUNTA(FILTER(E$1:E205, E$1:E205&lt;&gt;""""))), LEN(INDEX(FILTER(E$1:E205, E$1:E205&lt;&gt;""""),COUNTA(FILTER(E$1:E205, E$1:E205&lt;&gt;""""))))-1), IF('To Order'!$A206=COLUMNS($A206:E"&amp;"225), E205&amp;RIGHT(INDIRECT(ADDRESS(ROW(E206)-1, 'From Order'!$A206)), 1), E205))"),"")</f>
        <v/>
      </c>
      <c r="F206" s="2" t="str">
        <f>IFERROR(__xludf.DUMMYFUNCTION("IF('From Order'!$A206=COLUMNS($A206:F225), LEFT(INDEX(FILTER(F$1:F205, F$1:F205&lt;&gt;""""),COUNTA(FILTER(F$1:F205, F$1:F205&lt;&gt;""""))), LEN(INDEX(FILTER(F$1:F205, F$1:F205&lt;&gt;""""),COUNTA(FILTER(F$1:F205, F$1:F205&lt;&gt;""""))))-1), IF('To Order'!$A206=COLUMNS($A206:F"&amp;"225), F205&amp;RIGHT(INDIRECT(ADDRESS(ROW(F206)-1, 'From Order'!$A206)), 1), F205))"),"JDGSBPG")</f>
        <v>JDGSBPG</v>
      </c>
      <c r="G206" s="2" t="str">
        <f>IFERROR(__xludf.DUMMYFUNCTION("IF('From Order'!$A206=COLUMNS($A206:G225), LEFT(INDEX(FILTER(G$1:G205, G$1:G205&lt;&gt;""""),COUNTA(FILTER(G$1:G205, G$1:G205&lt;&gt;""""))), LEN(INDEX(FILTER(G$1:G205, G$1:G205&lt;&gt;""""),COUNTA(FILTER(G$1:G205, G$1:G205&lt;&gt;""""))))-1), IF('To Order'!$A206=COLUMNS($A206:G"&amp;"225), G205&amp;RIGHT(INDIRECT(ADDRESS(ROW(G206)-1, 'From Order'!$A206)), 1), G205))"),"RJTWRZTV")</f>
        <v>RJTWRZTV</v>
      </c>
      <c r="H206" s="2" t="str">
        <f>IFERROR(__xludf.DUMMYFUNCTION("IF('From Order'!$A206=COLUMNS($A206:H225), LEFT(INDEX(FILTER(H$1:H205, H$1:H205&lt;&gt;""""),COUNTA(FILTER(H$1:H205, H$1:H205&lt;&gt;""""))), LEN(INDEX(FILTER(H$1:H205, H$1:H205&lt;&gt;""""),COUNTA(FILTER(H$1:H205, H$1:H205&lt;&gt;""""))))-1), IF('To Order'!$A206=COLUMNS($A206:H"&amp;"225), H205&amp;RIGHT(INDIRECT(ADDRESS(ROW(H206)-1, 'From Order'!$A206)), 1), H205))"),"MFTMQCDTHZRVSDPQR")</f>
        <v>MFTMQCDTHZRVSDPQR</v>
      </c>
      <c r="I206" s="2" t="str">
        <f>IFERROR(__xludf.DUMMYFUNCTION("IF('From Order'!$A206=COLUMNS($A206:I225), LEFT(INDEX(FILTER(I$1:I205, I$1:I205&lt;&gt;""""),COUNTA(FILTER(I$1:I205, I$1:I205&lt;&gt;""""))), LEN(INDEX(FILTER(I$1:I205, I$1:I205&lt;&gt;""""),COUNTA(FILTER(I$1:I205, I$1:I205&lt;&gt;""""))))-1), IF('To Order'!$A206=COLUMNS($A206:I"&amp;"225), I205&amp;RIGHT(INDIRECT(ADDRESS(ROW(I206)-1, 'From Order'!$A206)), 1), I205))"),"L")</f>
        <v>L</v>
      </c>
    </row>
    <row r="207">
      <c r="A207" s="2" t="str">
        <f>IFERROR(__xludf.DUMMYFUNCTION("IF('From Order'!$A207=COLUMNS($A207:A226), LEFT(INDEX(FILTER(A$1:A206, A$1:A206&lt;&gt;""""),COUNTA(FILTER(A$1:A206, A$1:A206&lt;&gt;""""))), LEN(INDEX(FILTER(A$1:A206, A$1:A206&lt;&gt;""""),COUNTA(FILTER(A$1:A206, A$1:A206&lt;&gt;""""))))-1), IF('To Order'!$A207=COLUMNS($A207:A"&amp;"226), A206&amp;RIGHT(INDIRECT(ADDRESS(ROW(A207)-1, 'From Order'!$A207)), 1), A206))"),"B")</f>
        <v>B</v>
      </c>
      <c r="B207" s="2" t="str">
        <f>IFERROR(__xludf.DUMMYFUNCTION("IF('From Order'!$A207=COLUMNS($A207:B226), LEFT(INDEX(FILTER(B$1:B206, B$1:B206&lt;&gt;""""),COUNTA(FILTER(B$1:B206, B$1:B206&lt;&gt;""""))), LEN(INDEX(FILTER(B$1:B206, B$1:B206&lt;&gt;""""),COUNTA(FILTER(B$1:B206, B$1:B206&lt;&gt;""""))))-1), IF('To Order'!$A207=COLUMNS($A207:B"&amp;"226), B206&amp;RIGHT(INDIRECT(ADDRESS(ROW(B207)-1, 'From Order'!$A207)), 1), B206))"),"SWFBJLR")</f>
        <v>SWFBJLR</v>
      </c>
      <c r="C207" s="2" t="str">
        <f>IFERROR(__xludf.DUMMYFUNCTION("IF('From Order'!$A207=COLUMNS($A207:C226), LEFT(INDEX(FILTER(C$1:C206, C$1:C206&lt;&gt;""""),COUNTA(FILTER(C$1:C206, C$1:C206&lt;&gt;""""))), LEN(INDEX(FILTER(C$1:C206, C$1:C206&lt;&gt;""""),COUNTA(FILTER(C$1:C206, C$1:C206&lt;&gt;""""))))-1), IF('To Order'!$A207=COLUMNS($A207:C"&amp;"226), C206&amp;RIGHT(INDIRECT(ADDRESS(ROW(C207)-1, 'From Order'!$A207)), 1), C206))"),"")</f>
        <v/>
      </c>
      <c r="D207" s="2" t="str">
        <f>IFERROR(__xludf.DUMMYFUNCTION("IF('From Order'!$A207=COLUMNS($A207:D226), LEFT(INDEX(FILTER(D$1:D206, D$1:D206&lt;&gt;""""),COUNTA(FILTER(D$1:D206, D$1:D206&lt;&gt;""""))), LEN(INDEX(FILTER(D$1:D206, D$1:D206&lt;&gt;""""),COUNTA(FILTER(D$1:D206, D$1:D206&lt;&gt;""""))))-1), IF('To Order'!$A207=COLUMNS($A207:D"&amp;"226), D206&amp;RIGHT(INDIRECT(ADDRESS(ROW(D207)-1, 'From Order'!$A207)), 1), D206))"),"DTCHSPVMZDDTLC")</f>
        <v>DTCHSPVMZDDTLC</v>
      </c>
      <c r="E207" s="2" t="str">
        <f>IFERROR(__xludf.DUMMYFUNCTION("IF('From Order'!$A207=COLUMNS($A207:E226), LEFT(INDEX(FILTER(E$1:E206, E$1:E206&lt;&gt;""""),COUNTA(FILTER(E$1:E206, E$1:E206&lt;&gt;""""))), LEN(INDEX(FILTER(E$1:E206, E$1:E206&lt;&gt;""""),COUNTA(FILTER(E$1:E206, E$1:E206&lt;&gt;""""))))-1), IF('To Order'!$A207=COLUMNS($A207:E"&amp;"226), E206&amp;RIGHT(INDIRECT(ADDRESS(ROW(E207)-1, 'From Order'!$A207)), 1), E206))"),"")</f>
        <v/>
      </c>
      <c r="F207" s="2" t="str">
        <f>IFERROR(__xludf.DUMMYFUNCTION("IF('From Order'!$A207=COLUMNS($A207:F226), LEFT(INDEX(FILTER(F$1:F206, F$1:F206&lt;&gt;""""),COUNTA(FILTER(F$1:F206, F$1:F206&lt;&gt;""""))), LEN(INDEX(FILTER(F$1:F206, F$1:F206&lt;&gt;""""),COUNTA(FILTER(F$1:F206, F$1:F206&lt;&gt;""""))))-1), IF('To Order'!$A207=COLUMNS($A207:F"&amp;"226), F206&amp;RIGHT(INDIRECT(ADDRESS(ROW(F207)-1, 'From Order'!$A207)), 1), F206))"),"JDGSBPG")</f>
        <v>JDGSBPG</v>
      </c>
      <c r="G207" s="2" t="str">
        <f>IFERROR(__xludf.DUMMYFUNCTION("IF('From Order'!$A207=COLUMNS($A207:G226), LEFT(INDEX(FILTER(G$1:G206, G$1:G206&lt;&gt;""""),COUNTA(FILTER(G$1:G206, G$1:G206&lt;&gt;""""))), LEN(INDEX(FILTER(G$1:G206, G$1:G206&lt;&gt;""""),COUNTA(FILTER(G$1:G206, G$1:G206&lt;&gt;""""))))-1), IF('To Order'!$A207=COLUMNS($A207:G"&amp;"226), G206&amp;RIGHT(INDIRECT(ADDRESS(ROW(G207)-1, 'From Order'!$A207)), 1), G206))"),"RJTWRZTV")</f>
        <v>RJTWRZTV</v>
      </c>
      <c r="H207" s="2" t="str">
        <f>IFERROR(__xludf.DUMMYFUNCTION("IF('From Order'!$A207=COLUMNS($A207:H226), LEFT(INDEX(FILTER(H$1:H206, H$1:H206&lt;&gt;""""),COUNTA(FILTER(H$1:H206, H$1:H206&lt;&gt;""""))), LEN(INDEX(FILTER(H$1:H206, H$1:H206&lt;&gt;""""),COUNTA(FILTER(H$1:H206, H$1:H206&lt;&gt;""""))))-1), IF('To Order'!$A207=COLUMNS($A207:H"&amp;"226), H206&amp;RIGHT(INDIRECT(ADDRESS(ROW(H207)-1, 'From Order'!$A207)), 1), H206))"),"MFTMQCDTHZRVSDPQRB")</f>
        <v>MFTMQCDTHZRVSDPQRB</v>
      </c>
      <c r="I207" s="2" t="str">
        <f>IFERROR(__xludf.DUMMYFUNCTION("IF('From Order'!$A207=COLUMNS($A207:I226), LEFT(INDEX(FILTER(I$1:I206, I$1:I206&lt;&gt;""""),COUNTA(FILTER(I$1:I206, I$1:I206&lt;&gt;""""))), LEN(INDEX(FILTER(I$1:I206, I$1:I206&lt;&gt;""""),COUNTA(FILTER(I$1:I206, I$1:I206&lt;&gt;""""))))-1), IF('To Order'!$A207=COLUMNS($A207:I"&amp;"226), I206&amp;RIGHT(INDIRECT(ADDRESS(ROW(I207)-1, 'From Order'!$A207)), 1), I206))"),"L")</f>
        <v>L</v>
      </c>
    </row>
    <row r="208">
      <c r="A208" s="2" t="str">
        <f>IFERROR(__xludf.DUMMYFUNCTION("IF('From Order'!$A208=COLUMNS($A208:A227), LEFT(INDEX(FILTER(A$1:A207, A$1:A207&lt;&gt;""""),COUNTA(FILTER(A$1:A207, A$1:A207&lt;&gt;""""))), LEN(INDEX(FILTER(A$1:A207, A$1:A207&lt;&gt;""""),COUNTA(FILTER(A$1:A207, A$1:A207&lt;&gt;""""))))-1), IF('To Order'!$A208=COLUMNS($A208:A"&amp;"227), A207&amp;RIGHT(INDIRECT(ADDRESS(ROW(A208)-1, 'From Order'!$A208)), 1), A207))"),"B")</f>
        <v>B</v>
      </c>
      <c r="B208" s="2" t="str">
        <f>IFERROR(__xludf.DUMMYFUNCTION("IF('From Order'!$A208=COLUMNS($A208:B227), LEFT(INDEX(FILTER(B$1:B207, B$1:B207&lt;&gt;""""),COUNTA(FILTER(B$1:B207, B$1:B207&lt;&gt;""""))), LEN(INDEX(FILTER(B$1:B207, B$1:B207&lt;&gt;""""),COUNTA(FILTER(B$1:B207, B$1:B207&lt;&gt;""""))))-1), IF('To Order'!$A208=COLUMNS($A208:B"&amp;"227), B207&amp;RIGHT(INDIRECT(ADDRESS(ROW(B208)-1, 'From Order'!$A208)), 1), B207))"),"SWFBJLR")</f>
        <v>SWFBJLR</v>
      </c>
      <c r="C208" s="2" t="str">
        <f>IFERROR(__xludf.DUMMYFUNCTION("IF('From Order'!$A208=COLUMNS($A208:C227), LEFT(INDEX(FILTER(C$1:C207, C$1:C207&lt;&gt;""""),COUNTA(FILTER(C$1:C207, C$1:C207&lt;&gt;""""))), LEN(INDEX(FILTER(C$1:C207, C$1:C207&lt;&gt;""""),COUNTA(FILTER(C$1:C207, C$1:C207&lt;&gt;""""))))-1), IF('To Order'!$A208=COLUMNS($A208:C"&amp;"227), C207&amp;RIGHT(INDIRECT(ADDRESS(ROW(C208)-1, 'From Order'!$A208)), 1), C207))"),"")</f>
        <v/>
      </c>
      <c r="D208" s="2" t="str">
        <f>IFERROR(__xludf.DUMMYFUNCTION("IF('From Order'!$A208=COLUMNS($A208:D227), LEFT(INDEX(FILTER(D$1:D207, D$1:D207&lt;&gt;""""),COUNTA(FILTER(D$1:D207, D$1:D207&lt;&gt;""""))), LEN(INDEX(FILTER(D$1:D207, D$1:D207&lt;&gt;""""),COUNTA(FILTER(D$1:D207, D$1:D207&lt;&gt;""""))))-1), IF('To Order'!$A208=COLUMNS($A208:D"&amp;"227), D207&amp;RIGHT(INDIRECT(ADDRESS(ROW(D208)-1, 'From Order'!$A208)), 1), D207))"),"DTCHSPVMZDDTL")</f>
        <v>DTCHSPVMZDDTL</v>
      </c>
      <c r="E208" s="2" t="str">
        <f>IFERROR(__xludf.DUMMYFUNCTION("IF('From Order'!$A208=COLUMNS($A208:E227), LEFT(INDEX(FILTER(E$1:E207, E$1:E207&lt;&gt;""""),COUNTA(FILTER(E$1:E207, E$1:E207&lt;&gt;""""))), LEN(INDEX(FILTER(E$1:E207, E$1:E207&lt;&gt;""""),COUNTA(FILTER(E$1:E207, E$1:E207&lt;&gt;""""))))-1), IF('To Order'!$A208=COLUMNS($A208:E"&amp;"227), E207&amp;RIGHT(INDIRECT(ADDRESS(ROW(E208)-1, 'From Order'!$A208)), 1), E207))"),"")</f>
        <v/>
      </c>
      <c r="F208" s="2" t="str">
        <f>IFERROR(__xludf.DUMMYFUNCTION("IF('From Order'!$A208=COLUMNS($A208:F227), LEFT(INDEX(FILTER(F$1:F207, F$1:F207&lt;&gt;""""),COUNTA(FILTER(F$1:F207, F$1:F207&lt;&gt;""""))), LEN(INDEX(FILTER(F$1:F207, F$1:F207&lt;&gt;""""),COUNTA(FILTER(F$1:F207, F$1:F207&lt;&gt;""""))))-1), IF('To Order'!$A208=COLUMNS($A208:F"&amp;"227), F207&amp;RIGHT(INDIRECT(ADDRESS(ROW(F208)-1, 'From Order'!$A208)), 1), F207))"),"JDGSBPG")</f>
        <v>JDGSBPG</v>
      </c>
      <c r="G208" s="2" t="str">
        <f>IFERROR(__xludf.DUMMYFUNCTION("IF('From Order'!$A208=COLUMNS($A208:G227), LEFT(INDEX(FILTER(G$1:G207, G$1:G207&lt;&gt;""""),COUNTA(FILTER(G$1:G207, G$1:G207&lt;&gt;""""))), LEN(INDEX(FILTER(G$1:G207, G$1:G207&lt;&gt;""""),COUNTA(FILTER(G$1:G207, G$1:G207&lt;&gt;""""))))-1), IF('To Order'!$A208=COLUMNS($A208:G"&amp;"227), G207&amp;RIGHT(INDIRECT(ADDRESS(ROW(G208)-1, 'From Order'!$A208)), 1), G207))"),"RJTWRZTV")</f>
        <v>RJTWRZTV</v>
      </c>
      <c r="H208" s="2" t="str">
        <f>IFERROR(__xludf.DUMMYFUNCTION("IF('From Order'!$A208=COLUMNS($A208:H227), LEFT(INDEX(FILTER(H$1:H207, H$1:H207&lt;&gt;""""),COUNTA(FILTER(H$1:H207, H$1:H207&lt;&gt;""""))), LEN(INDEX(FILTER(H$1:H207, H$1:H207&lt;&gt;""""),COUNTA(FILTER(H$1:H207, H$1:H207&lt;&gt;""""))))-1), IF('To Order'!$A208=COLUMNS($A208:H"&amp;"227), H207&amp;RIGHT(INDIRECT(ADDRESS(ROW(H208)-1, 'From Order'!$A208)), 1), H207))"),"MFTMQCDTHZRVSDPQRBC")</f>
        <v>MFTMQCDTHZRVSDPQRBC</v>
      </c>
      <c r="I208" s="2" t="str">
        <f>IFERROR(__xludf.DUMMYFUNCTION("IF('From Order'!$A208=COLUMNS($A208:I227), LEFT(INDEX(FILTER(I$1:I207, I$1:I207&lt;&gt;""""),COUNTA(FILTER(I$1:I207, I$1:I207&lt;&gt;""""))), LEN(INDEX(FILTER(I$1:I207, I$1:I207&lt;&gt;""""),COUNTA(FILTER(I$1:I207, I$1:I207&lt;&gt;""""))))-1), IF('To Order'!$A208=COLUMNS($A208:I"&amp;"227), I207&amp;RIGHT(INDIRECT(ADDRESS(ROW(I208)-1, 'From Order'!$A208)), 1), I207))"),"L")</f>
        <v>L</v>
      </c>
    </row>
    <row r="209">
      <c r="A209" s="2" t="str">
        <f>IFERROR(__xludf.DUMMYFUNCTION("IF('From Order'!$A209=COLUMNS($A209:A228), LEFT(INDEX(FILTER(A$1:A208, A$1:A208&lt;&gt;""""),COUNTA(FILTER(A$1:A208, A$1:A208&lt;&gt;""""))), LEN(INDEX(FILTER(A$1:A208, A$1:A208&lt;&gt;""""),COUNTA(FILTER(A$1:A208, A$1:A208&lt;&gt;""""))))-1), IF('To Order'!$A209=COLUMNS($A209:A"&amp;"228), A208&amp;RIGHT(INDIRECT(ADDRESS(ROW(A209)-1, 'From Order'!$A209)), 1), A208))"),"B")</f>
        <v>B</v>
      </c>
      <c r="B209" s="2" t="str">
        <f>IFERROR(__xludf.DUMMYFUNCTION("IF('From Order'!$A209=COLUMNS($A209:B228), LEFT(INDEX(FILTER(B$1:B208, B$1:B208&lt;&gt;""""),COUNTA(FILTER(B$1:B208, B$1:B208&lt;&gt;""""))), LEN(INDEX(FILTER(B$1:B208, B$1:B208&lt;&gt;""""),COUNTA(FILTER(B$1:B208, B$1:B208&lt;&gt;""""))))-1), IF('To Order'!$A209=COLUMNS($A209:B"&amp;"228), B208&amp;RIGHT(INDIRECT(ADDRESS(ROW(B209)-1, 'From Order'!$A209)), 1), B208))"),"SWFBJLRL")</f>
        <v>SWFBJLRL</v>
      </c>
      <c r="C209" s="2" t="str">
        <f>IFERROR(__xludf.DUMMYFUNCTION("IF('From Order'!$A209=COLUMNS($A209:C228), LEFT(INDEX(FILTER(C$1:C208, C$1:C208&lt;&gt;""""),COUNTA(FILTER(C$1:C208, C$1:C208&lt;&gt;""""))), LEN(INDEX(FILTER(C$1:C208, C$1:C208&lt;&gt;""""),COUNTA(FILTER(C$1:C208, C$1:C208&lt;&gt;""""))))-1), IF('To Order'!$A209=COLUMNS($A209:C"&amp;"228), C208&amp;RIGHT(INDIRECT(ADDRESS(ROW(C209)-1, 'From Order'!$A209)), 1), C208))"),"")</f>
        <v/>
      </c>
      <c r="D209" s="2" t="str">
        <f>IFERROR(__xludf.DUMMYFUNCTION("IF('From Order'!$A209=COLUMNS($A209:D228), LEFT(INDEX(FILTER(D$1:D208, D$1:D208&lt;&gt;""""),COUNTA(FILTER(D$1:D208, D$1:D208&lt;&gt;""""))), LEN(INDEX(FILTER(D$1:D208, D$1:D208&lt;&gt;""""),COUNTA(FILTER(D$1:D208, D$1:D208&lt;&gt;""""))))-1), IF('To Order'!$A209=COLUMNS($A209:D"&amp;"228), D208&amp;RIGHT(INDIRECT(ADDRESS(ROW(D209)-1, 'From Order'!$A209)), 1), D208))"),"DTCHSPVMZDDTL")</f>
        <v>DTCHSPVMZDDTL</v>
      </c>
      <c r="E209" s="2" t="str">
        <f>IFERROR(__xludf.DUMMYFUNCTION("IF('From Order'!$A209=COLUMNS($A209:E228), LEFT(INDEX(FILTER(E$1:E208, E$1:E208&lt;&gt;""""),COUNTA(FILTER(E$1:E208, E$1:E208&lt;&gt;""""))), LEN(INDEX(FILTER(E$1:E208, E$1:E208&lt;&gt;""""),COUNTA(FILTER(E$1:E208, E$1:E208&lt;&gt;""""))))-1), IF('To Order'!$A209=COLUMNS($A209:E"&amp;"228), E208&amp;RIGHT(INDIRECT(ADDRESS(ROW(E209)-1, 'From Order'!$A209)), 1), E208))"),"")</f>
        <v/>
      </c>
      <c r="F209" s="2" t="str">
        <f>IFERROR(__xludf.DUMMYFUNCTION("IF('From Order'!$A209=COLUMNS($A209:F228), LEFT(INDEX(FILTER(F$1:F208, F$1:F208&lt;&gt;""""),COUNTA(FILTER(F$1:F208, F$1:F208&lt;&gt;""""))), LEN(INDEX(FILTER(F$1:F208, F$1:F208&lt;&gt;""""),COUNTA(FILTER(F$1:F208, F$1:F208&lt;&gt;""""))))-1), IF('To Order'!$A209=COLUMNS($A209:F"&amp;"228), F208&amp;RIGHT(INDIRECT(ADDRESS(ROW(F209)-1, 'From Order'!$A209)), 1), F208))"),"JDGSBPG")</f>
        <v>JDGSBPG</v>
      </c>
      <c r="G209" s="2" t="str">
        <f>IFERROR(__xludf.DUMMYFUNCTION("IF('From Order'!$A209=COLUMNS($A209:G228), LEFT(INDEX(FILTER(G$1:G208, G$1:G208&lt;&gt;""""),COUNTA(FILTER(G$1:G208, G$1:G208&lt;&gt;""""))), LEN(INDEX(FILTER(G$1:G208, G$1:G208&lt;&gt;""""),COUNTA(FILTER(G$1:G208, G$1:G208&lt;&gt;""""))))-1), IF('To Order'!$A209=COLUMNS($A209:G"&amp;"228), G208&amp;RIGHT(INDIRECT(ADDRESS(ROW(G209)-1, 'From Order'!$A209)), 1), G208))"),"RJTWRZTV")</f>
        <v>RJTWRZTV</v>
      </c>
      <c r="H209" s="2" t="str">
        <f>IFERROR(__xludf.DUMMYFUNCTION("IF('From Order'!$A209=COLUMNS($A209:H228), LEFT(INDEX(FILTER(H$1:H208, H$1:H208&lt;&gt;""""),COUNTA(FILTER(H$1:H208, H$1:H208&lt;&gt;""""))), LEN(INDEX(FILTER(H$1:H208, H$1:H208&lt;&gt;""""),COUNTA(FILTER(H$1:H208, H$1:H208&lt;&gt;""""))))-1), IF('To Order'!$A209=COLUMNS($A209:H"&amp;"228), H208&amp;RIGHT(INDIRECT(ADDRESS(ROW(H209)-1, 'From Order'!$A209)), 1), H208))"),"MFTMQCDTHZRVSDPQRBC")</f>
        <v>MFTMQCDTHZRVSDPQRBC</v>
      </c>
      <c r="I209" s="2" t="str">
        <f>IFERROR(__xludf.DUMMYFUNCTION("IF('From Order'!$A209=COLUMNS($A209:I228), LEFT(INDEX(FILTER(I$1:I208, I$1:I208&lt;&gt;""""),COUNTA(FILTER(I$1:I208, I$1:I208&lt;&gt;""""))), LEN(INDEX(FILTER(I$1:I208, I$1:I208&lt;&gt;""""),COUNTA(FILTER(I$1:I208, I$1:I208&lt;&gt;""""))))-1), IF('To Order'!$A209=COLUMNS($A209:I"&amp;"228), I208&amp;RIGHT(INDIRECT(ADDRESS(ROW(I209)-1, 'From Order'!$A209)), 1), I208))"),"")</f>
        <v/>
      </c>
    </row>
    <row r="210">
      <c r="A210" s="2" t="str">
        <f>IFERROR(__xludf.DUMMYFUNCTION("IF('From Order'!$A210=COLUMNS($A210:A229), LEFT(INDEX(FILTER(A$1:A209, A$1:A209&lt;&gt;""""),COUNTA(FILTER(A$1:A209, A$1:A209&lt;&gt;""""))), LEN(INDEX(FILTER(A$1:A209, A$1:A209&lt;&gt;""""),COUNTA(FILTER(A$1:A209, A$1:A209&lt;&gt;""""))))-1), IF('To Order'!$A210=COLUMNS($A210:A"&amp;"229), A209&amp;RIGHT(INDIRECT(ADDRESS(ROW(A210)-1, 'From Order'!$A210)), 1), A209))"),"B")</f>
        <v>B</v>
      </c>
      <c r="B210" s="2" t="str">
        <f>IFERROR(__xludf.DUMMYFUNCTION("IF('From Order'!$A210=COLUMNS($A210:B229), LEFT(INDEX(FILTER(B$1:B209, B$1:B209&lt;&gt;""""),COUNTA(FILTER(B$1:B209, B$1:B209&lt;&gt;""""))), LEN(INDEX(FILTER(B$1:B209, B$1:B209&lt;&gt;""""),COUNTA(FILTER(B$1:B209, B$1:B209&lt;&gt;""""))))-1), IF('To Order'!$A210=COLUMNS($A210:B"&amp;"229), B209&amp;RIGHT(INDIRECT(ADDRESS(ROW(B210)-1, 'From Order'!$A210)), 1), B209))"),"SWFBJLRL")</f>
        <v>SWFBJLRL</v>
      </c>
      <c r="C210" s="2" t="str">
        <f>IFERROR(__xludf.DUMMYFUNCTION("IF('From Order'!$A210=COLUMNS($A210:C229), LEFT(INDEX(FILTER(C$1:C209, C$1:C209&lt;&gt;""""),COUNTA(FILTER(C$1:C209, C$1:C209&lt;&gt;""""))), LEN(INDEX(FILTER(C$1:C209, C$1:C209&lt;&gt;""""),COUNTA(FILTER(C$1:C209, C$1:C209&lt;&gt;""""))))-1), IF('To Order'!$A210=COLUMNS($A210:C"&amp;"229), C209&amp;RIGHT(INDIRECT(ADDRESS(ROW(C210)-1, 'From Order'!$A210)), 1), C209))"),"")</f>
        <v/>
      </c>
      <c r="D210" s="2" t="str">
        <f>IFERROR(__xludf.DUMMYFUNCTION("IF('From Order'!$A210=COLUMNS($A210:D229), LEFT(INDEX(FILTER(D$1:D209, D$1:D209&lt;&gt;""""),COUNTA(FILTER(D$1:D209, D$1:D209&lt;&gt;""""))), LEN(INDEX(FILTER(D$1:D209, D$1:D209&lt;&gt;""""),COUNTA(FILTER(D$1:D209, D$1:D209&lt;&gt;""""))))-1), IF('To Order'!$A210=COLUMNS($A210:D"&amp;"229), D209&amp;RIGHT(INDIRECT(ADDRESS(ROW(D210)-1, 'From Order'!$A210)), 1), D209))"),"DTCHSPVMZDDTL")</f>
        <v>DTCHSPVMZDDTL</v>
      </c>
      <c r="E210" s="2" t="str">
        <f>IFERROR(__xludf.DUMMYFUNCTION("IF('From Order'!$A210=COLUMNS($A210:E229), LEFT(INDEX(FILTER(E$1:E209, E$1:E209&lt;&gt;""""),COUNTA(FILTER(E$1:E209, E$1:E209&lt;&gt;""""))), LEN(INDEX(FILTER(E$1:E209, E$1:E209&lt;&gt;""""),COUNTA(FILTER(E$1:E209, E$1:E209&lt;&gt;""""))))-1), IF('To Order'!$A210=COLUMNS($A210:E"&amp;"229), E209&amp;RIGHT(INDIRECT(ADDRESS(ROW(E210)-1, 'From Order'!$A210)), 1), E209))"),"")</f>
        <v/>
      </c>
      <c r="F210" s="2" t="str">
        <f>IFERROR(__xludf.DUMMYFUNCTION("IF('From Order'!$A210=COLUMNS($A210:F229), LEFT(INDEX(FILTER(F$1:F209, F$1:F209&lt;&gt;""""),COUNTA(FILTER(F$1:F209, F$1:F209&lt;&gt;""""))), LEN(INDEX(FILTER(F$1:F209, F$1:F209&lt;&gt;""""),COUNTA(FILTER(F$1:F209, F$1:F209&lt;&gt;""""))))-1), IF('To Order'!$A210=COLUMNS($A210:F"&amp;"229), F209&amp;RIGHT(INDIRECT(ADDRESS(ROW(F210)-1, 'From Order'!$A210)), 1), F209))"),"JDGSBPG")</f>
        <v>JDGSBPG</v>
      </c>
      <c r="G210" s="2" t="str">
        <f>IFERROR(__xludf.DUMMYFUNCTION("IF('From Order'!$A210=COLUMNS($A210:G229), LEFT(INDEX(FILTER(G$1:G209, G$1:G209&lt;&gt;""""),COUNTA(FILTER(G$1:G209, G$1:G209&lt;&gt;""""))), LEN(INDEX(FILTER(G$1:G209, G$1:G209&lt;&gt;""""),COUNTA(FILTER(G$1:G209, G$1:G209&lt;&gt;""""))))-1), IF('To Order'!$A210=COLUMNS($A210:G"&amp;"229), G209&amp;RIGHT(INDIRECT(ADDRESS(ROW(G210)-1, 'From Order'!$A210)), 1), G209))"),"RJTWRZT")</f>
        <v>RJTWRZT</v>
      </c>
      <c r="H210" s="2" t="str">
        <f>IFERROR(__xludf.DUMMYFUNCTION("IF('From Order'!$A210=COLUMNS($A210:H229), LEFT(INDEX(FILTER(H$1:H209, H$1:H209&lt;&gt;""""),COUNTA(FILTER(H$1:H209, H$1:H209&lt;&gt;""""))), LEN(INDEX(FILTER(H$1:H209, H$1:H209&lt;&gt;""""),COUNTA(FILTER(H$1:H209, H$1:H209&lt;&gt;""""))))-1), IF('To Order'!$A210=COLUMNS($A210:H"&amp;"229), H209&amp;RIGHT(INDIRECT(ADDRESS(ROW(H210)-1, 'From Order'!$A210)), 1), H209))"),"MFTMQCDTHZRVSDPQRBCV")</f>
        <v>MFTMQCDTHZRVSDPQRBCV</v>
      </c>
      <c r="I210" s="2" t="str">
        <f>IFERROR(__xludf.DUMMYFUNCTION("IF('From Order'!$A210=COLUMNS($A210:I229), LEFT(INDEX(FILTER(I$1:I209, I$1:I209&lt;&gt;""""),COUNTA(FILTER(I$1:I209, I$1:I209&lt;&gt;""""))), LEN(INDEX(FILTER(I$1:I209, I$1:I209&lt;&gt;""""),COUNTA(FILTER(I$1:I209, I$1:I209&lt;&gt;""""))))-1), IF('To Order'!$A210=COLUMNS($A210:I"&amp;"229), I209&amp;RIGHT(INDIRECT(ADDRESS(ROW(I210)-1, 'From Order'!$A210)), 1), I209))"),"")</f>
        <v/>
      </c>
    </row>
    <row r="211">
      <c r="A211" s="2" t="str">
        <f>IFERROR(__xludf.DUMMYFUNCTION("IF('From Order'!$A211=COLUMNS($A211:A230), LEFT(INDEX(FILTER(A$1:A210, A$1:A210&lt;&gt;""""),COUNTA(FILTER(A$1:A210, A$1:A210&lt;&gt;""""))), LEN(INDEX(FILTER(A$1:A210, A$1:A210&lt;&gt;""""),COUNTA(FILTER(A$1:A210, A$1:A210&lt;&gt;""""))))-1), IF('To Order'!$A211=COLUMNS($A211:A"&amp;"230), A210&amp;RIGHT(INDIRECT(ADDRESS(ROW(A211)-1, 'From Order'!$A211)), 1), A210))"),"B")</f>
        <v>B</v>
      </c>
      <c r="B211" s="2" t="str">
        <f>IFERROR(__xludf.DUMMYFUNCTION("IF('From Order'!$A211=COLUMNS($A211:B230), LEFT(INDEX(FILTER(B$1:B210, B$1:B210&lt;&gt;""""),COUNTA(FILTER(B$1:B210, B$1:B210&lt;&gt;""""))), LEN(INDEX(FILTER(B$1:B210, B$1:B210&lt;&gt;""""),COUNTA(FILTER(B$1:B210, B$1:B210&lt;&gt;""""))))-1), IF('To Order'!$A211=COLUMNS($A211:B"&amp;"230), B210&amp;RIGHT(INDIRECT(ADDRESS(ROW(B211)-1, 'From Order'!$A211)), 1), B210))"),"SWFBJLRL")</f>
        <v>SWFBJLRL</v>
      </c>
      <c r="C211" s="2" t="str">
        <f>IFERROR(__xludf.DUMMYFUNCTION("IF('From Order'!$A211=COLUMNS($A211:C230), LEFT(INDEX(FILTER(C$1:C210, C$1:C210&lt;&gt;""""),COUNTA(FILTER(C$1:C210, C$1:C210&lt;&gt;""""))), LEN(INDEX(FILTER(C$1:C210, C$1:C210&lt;&gt;""""),COUNTA(FILTER(C$1:C210, C$1:C210&lt;&gt;""""))))-1), IF('To Order'!$A211=COLUMNS($A211:C"&amp;"230), C210&amp;RIGHT(INDIRECT(ADDRESS(ROW(C211)-1, 'From Order'!$A211)), 1), C210))"),"")</f>
        <v/>
      </c>
      <c r="D211" s="2" t="str">
        <f>IFERROR(__xludf.DUMMYFUNCTION("IF('From Order'!$A211=COLUMNS($A211:D230), LEFT(INDEX(FILTER(D$1:D210, D$1:D210&lt;&gt;""""),COUNTA(FILTER(D$1:D210, D$1:D210&lt;&gt;""""))), LEN(INDEX(FILTER(D$1:D210, D$1:D210&lt;&gt;""""),COUNTA(FILTER(D$1:D210, D$1:D210&lt;&gt;""""))))-1), IF('To Order'!$A211=COLUMNS($A211:D"&amp;"230), D210&amp;RIGHT(INDIRECT(ADDRESS(ROW(D211)-1, 'From Order'!$A211)), 1), D210))"),"DTCHSPVMZDDTL")</f>
        <v>DTCHSPVMZDDTL</v>
      </c>
      <c r="E211" s="2" t="str">
        <f>IFERROR(__xludf.DUMMYFUNCTION("IF('From Order'!$A211=COLUMNS($A211:E230), LEFT(INDEX(FILTER(E$1:E210, E$1:E210&lt;&gt;""""),COUNTA(FILTER(E$1:E210, E$1:E210&lt;&gt;""""))), LEN(INDEX(FILTER(E$1:E210, E$1:E210&lt;&gt;""""),COUNTA(FILTER(E$1:E210, E$1:E210&lt;&gt;""""))))-1), IF('To Order'!$A211=COLUMNS($A211:E"&amp;"230), E210&amp;RIGHT(INDIRECT(ADDRESS(ROW(E211)-1, 'From Order'!$A211)), 1), E210))"),"")</f>
        <v/>
      </c>
      <c r="F211" s="2" t="str">
        <f>IFERROR(__xludf.DUMMYFUNCTION("IF('From Order'!$A211=COLUMNS($A211:F230), LEFT(INDEX(FILTER(F$1:F210, F$1:F210&lt;&gt;""""),COUNTA(FILTER(F$1:F210, F$1:F210&lt;&gt;""""))), LEN(INDEX(FILTER(F$1:F210, F$1:F210&lt;&gt;""""),COUNTA(FILTER(F$1:F210, F$1:F210&lt;&gt;""""))))-1), IF('To Order'!$A211=COLUMNS($A211:F"&amp;"230), F210&amp;RIGHT(INDIRECT(ADDRESS(ROW(F211)-1, 'From Order'!$A211)), 1), F210))"),"JDGSBPG")</f>
        <v>JDGSBPG</v>
      </c>
      <c r="G211" s="2" t="str">
        <f>IFERROR(__xludf.DUMMYFUNCTION("IF('From Order'!$A211=COLUMNS($A211:G230), LEFT(INDEX(FILTER(G$1:G210, G$1:G210&lt;&gt;""""),COUNTA(FILTER(G$1:G210, G$1:G210&lt;&gt;""""))), LEN(INDEX(FILTER(G$1:G210, G$1:G210&lt;&gt;""""),COUNTA(FILTER(G$1:G210, G$1:G210&lt;&gt;""""))))-1), IF('To Order'!$A211=COLUMNS($A211:G"&amp;"230), G210&amp;RIGHT(INDIRECT(ADDRESS(ROW(G211)-1, 'From Order'!$A211)), 1), G210))"),"RJTWRZ")</f>
        <v>RJTWRZ</v>
      </c>
      <c r="H211" s="2" t="str">
        <f>IFERROR(__xludf.DUMMYFUNCTION("IF('From Order'!$A211=COLUMNS($A211:H230), LEFT(INDEX(FILTER(H$1:H210, H$1:H210&lt;&gt;""""),COUNTA(FILTER(H$1:H210, H$1:H210&lt;&gt;""""))), LEN(INDEX(FILTER(H$1:H210, H$1:H210&lt;&gt;""""),COUNTA(FILTER(H$1:H210, H$1:H210&lt;&gt;""""))))-1), IF('To Order'!$A211=COLUMNS($A211:H"&amp;"230), H210&amp;RIGHT(INDIRECT(ADDRESS(ROW(H211)-1, 'From Order'!$A211)), 1), H210))"),"MFTMQCDTHZRVSDPQRBCVT")</f>
        <v>MFTMQCDTHZRVSDPQRBCVT</v>
      </c>
      <c r="I211" s="2" t="str">
        <f>IFERROR(__xludf.DUMMYFUNCTION("IF('From Order'!$A211=COLUMNS($A211:I230), LEFT(INDEX(FILTER(I$1:I210, I$1:I210&lt;&gt;""""),COUNTA(FILTER(I$1:I210, I$1:I210&lt;&gt;""""))), LEN(INDEX(FILTER(I$1:I210, I$1:I210&lt;&gt;""""),COUNTA(FILTER(I$1:I210, I$1:I210&lt;&gt;""""))))-1), IF('To Order'!$A211=COLUMNS($A211:I"&amp;"230), I210&amp;RIGHT(INDIRECT(ADDRESS(ROW(I211)-1, 'From Order'!$A211)), 1), I210))"),"")</f>
        <v/>
      </c>
    </row>
    <row r="212">
      <c r="A212" s="2" t="str">
        <f>IFERROR(__xludf.DUMMYFUNCTION("IF('From Order'!$A212=COLUMNS($A212:A231), LEFT(INDEX(FILTER(A$1:A211, A$1:A211&lt;&gt;""""),COUNTA(FILTER(A$1:A211, A$1:A211&lt;&gt;""""))), LEN(INDEX(FILTER(A$1:A211, A$1:A211&lt;&gt;""""),COUNTA(FILTER(A$1:A211, A$1:A211&lt;&gt;""""))))-1), IF('To Order'!$A212=COLUMNS($A212:A"&amp;"231), A211&amp;RIGHT(INDIRECT(ADDRESS(ROW(A212)-1, 'From Order'!$A212)), 1), A211))"),"B")</f>
        <v>B</v>
      </c>
      <c r="B212" s="2" t="str">
        <f>IFERROR(__xludf.DUMMYFUNCTION("IF('From Order'!$A212=COLUMNS($A212:B231), LEFT(INDEX(FILTER(B$1:B211, B$1:B211&lt;&gt;""""),COUNTA(FILTER(B$1:B211, B$1:B211&lt;&gt;""""))), LEN(INDEX(FILTER(B$1:B211, B$1:B211&lt;&gt;""""),COUNTA(FILTER(B$1:B211, B$1:B211&lt;&gt;""""))))-1), IF('To Order'!$A212=COLUMNS($A212:B"&amp;"231), B211&amp;RIGHT(INDIRECT(ADDRESS(ROW(B212)-1, 'From Order'!$A212)), 1), B211))"),"SWFBJLRL")</f>
        <v>SWFBJLRL</v>
      </c>
      <c r="C212" s="2" t="str">
        <f>IFERROR(__xludf.DUMMYFUNCTION("IF('From Order'!$A212=COLUMNS($A212:C231), LEFT(INDEX(FILTER(C$1:C211, C$1:C211&lt;&gt;""""),COUNTA(FILTER(C$1:C211, C$1:C211&lt;&gt;""""))), LEN(INDEX(FILTER(C$1:C211, C$1:C211&lt;&gt;""""),COUNTA(FILTER(C$1:C211, C$1:C211&lt;&gt;""""))))-1), IF('To Order'!$A212=COLUMNS($A212:C"&amp;"231), C211&amp;RIGHT(INDIRECT(ADDRESS(ROW(C212)-1, 'From Order'!$A212)), 1), C211))"),"")</f>
        <v/>
      </c>
      <c r="D212" s="2" t="str">
        <f>IFERROR(__xludf.DUMMYFUNCTION("IF('From Order'!$A212=COLUMNS($A212:D231), LEFT(INDEX(FILTER(D$1:D211, D$1:D211&lt;&gt;""""),COUNTA(FILTER(D$1:D211, D$1:D211&lt;&gt;""""))), LEN(INDEX(FILTER(D$1:D211, D$1:D211&lt;&gt;""""),COUNTA(FILTER(D$1:D211, D$1:D211&lt;&gt;""""))))-1), IF('To Order'!$A212=COLUMNS($A212:D"&amp;"231), D211&amp;RIGHT(INDIRECT(ADDRESS(ROW(D212)-1, 'From Order'!$A212)), 1), D211))"),"DTCHSPVMZDDTL")</f>
        <v>DTCHSPVMZDDTL</v>
      </c>
      <c r="E212" s="2" t="str">
        <f>IFERROR(__xludf.DUMMYFUNCTION("IF('From Order'!$A212=COLUMNS($A212:E231), LEFT(INDEX(FILTER(E$1:E211, E$1:E211&lt;&gt;""""),COUNTA(FILTER(E$1:E211, E$1:E211&lt;&gt;""""))), LEN(INDEX(FILTER(E$1:E211, E$1:E211&lt;&gt;""""),COUNTA(FILTER(E$1:E211, E$1:E211&lt;&gt;""""))))-1), IF('To Order'!$A212=COLUMNS($A212:E"&amp;"231), E211&amp;RIGHT(INDIRECT(ADDRESS(ROW(E212)-1, 'From Order'!$A212)), 1), E211))"),"")</f>
        <v/>
      </c>
      <c r="F212" s="2" t="str">
        <f>IFERROR(__xludf.DUMMYFUNCTION("IF('From Order'!$A212=COLUMNS($A212:F231), LEFT(INDEX(FILTER(F$1:F211, F$1:F211&lt;&gt;""""),COUNTA(FILTER(F$1:F211, F$1:F211&lt;&gt;""""))), LEN(INDEX(FILTER(F$1:F211, F$1:F211&lt;&gt;""""),COUNTA(FILTER(F$1:F211, F$1:F211&lt;&gt;""""))))-1), IF('To Order'!$A212=COLUMNS($A212:F"&amp;"231), F211&amp;RIGHT(INDIRECT(ADDRESS(ROW(F212)-1, 'From Order'!$A212)), 1), F211))"),"JDGSBP")</f>
        <v>JDGSBP</v>
      </c>
      <c r="G212" s="2" t="str">
        <f>IFERROR(__xludf.DUMMYFUNCTION("IF('From Order'!$A212=COLUMNS($A212:G231), LEFT(INDEX(FILTER(G$1:G211, G$1:G211&lt;&gt;""""),COUNTA(FILTER(G$1:G211, G$1:G211&lt;&gt;""""))), LEN(INDEX(FILTER(G$1:G211, G$1:G211&lt;&gt;""""),COUNTA(FILTER(G$1:G211, G$1:G211&lt;&gt;""""))))-1), IF('To Order'!$A212=COLUMNS($A212:G"&amp;"231), G211&amp;RIGHT(INDIRECT(ADDRESS(ROW(G212)-1, 'From Order'!$A212)), 1), G211))"),"RJTWRZ")</f>
        <v>RJTWRZ</v>
      </c>
      <c r="H212" s="2" t="str">
        <f>IFERROR(__xludf.DUMMYFUNCTION("IF('From Order'!$A212=COLUMNS($A212:H231), LEFT(INDEX(FILTER(H$1:H211, H$1:H211&lt;&gt;""""),COUNTA(FILTER(H$1:H211, H$1:H211&lt;&gt;""""))), LEN(INDEX(FILTER(H$1:H211, H$1:H211&lt;&gt;""""),COUNTA(FILTER(H$1:H211, H$1:H211&lt;&gt;""""))))-1), IF('To Order'!$A212=COLUMNS($A212:H"&amp;"231), H211&amp;RIGHT(INDIRECT(ADDRESS(ROW(H212)-1, 'From Order'!$A212)), 1), H211))"),"MFTMQCDTHZRVSDPQRBCVT")</f>
        <v>MFTMQCDTHZRVSDPQRBCVT</v>
      </c>
      <c r="I212" s="2" t="str">
        <f>IFERROR(__xludf.DUMMYFUNCTION("IF('From Order'!$A212=COLUMNS($A212:I231), LEFT(INDEX(FILTER(I$1:I211, I$1:I211&lt;&gt;""""),COUNTA(FILTER(I$1:I211, I$1:I211&lt;&gt;""""))), LEN(INDEX(FILTER(I$1:I211, I$1:I211&lt;&gt;""""),COUNTA(FILTER(I$1:I211, I$1:I211&lt;&gt;""""))))-1), IF('To Order'!$A212=COLUMNS($A212:I"&amp;"231), I211&amp;RIGHT(INDIRECT(ADDRESS(ROW(I212)-1, 'From Order'!$A212)), 1), I211))"),"G")</f>
        <v>G</v>
      </c>
    </row>
    <row r="213">
      <c r="A213" s="2" t="str">
        <f>IFERROR(__xludf.DUMMYFUNCTION("IF('From Order'!$A213=COLUMNS($A213:A232), LEFT(INDEX(FILTER(A$1:A212, A$1:A212&lt;&gt;""""),COUNTA(FILTER(A$1:A212, A$1:A212&lt;&gt;""""))), LEN(INDEX(FILTER(A$1:A212, A$1:A212&lt;&gt;""""),COUNTA(FILTER(A$1:A212, A$1:A212&lt;&gt;""""))))-1), IF('To Order'!$A213=COLUMNS($A213:A"&amp;"232), A212&amp;RIGHT(INDIRECT(ADDRESS(ROW(A213)-1, 'From Order'!$A213)), 1), A212))"),"B")</f>
        <v>B</v>
      </c>
      <c r="B213" s="2" t="str">
        <f>IFERROR(__xludf.DUMMYFUNCTION("IF('From Order'!$A213=COLUMNS($A213:B232), LEFT(INDEX(FILTER(B$1:B212, B$1:B212&lt;&gt;""""),COUNTA(FILTER(B$1:B212, B$1:B212&lt;&gt;""""))), LEN(INDEX(FILTER(B$1:B212, B$1:B212&lt;&gt;""""),COUNTA(FILTER(B$1:B212, B$1:B212&lt;&gt;""""))))-1), IF('To Order'!$A213=COLUMNS($A213:B"&amp;"232), B212&amp;RIGHT(INDIRECT(ADDRESS(ROW(B213)-1, 'From Order'!$A213)), 1), B212))"),"SWFBJLRL")</f>
        <v>SWFBJLRL</v>
      </c>
      <c r="C213" s="2" t="str">
        <f>IFERROR(__xludf.DUMMYFUNCTION("IF('From Order'!$A213=COLUMNS($A213:C232), LEFT(INDEX(FILTER(C$1:C212, C$1:C212&lt;&gt;""""),COUNTA(FILTER(C$1:C212, C$1:C212&lt;&gt;""""))), LEN(INDEX(FILTER(C$1:C212, C$1:C212&lt;&gt;""""),COUNTA(FILTER(C$1:C212, C$1:C212&lt;&gt;""""))))-1), IF('To Order'!$A213=COLUMNS($A213:C"&amp;"232), C212&amp;RIGHT(INDIRECT(ADDRESS(ROW(C213)-1, 'From Order'!$A213)), 1), C212))"),"")</f>
        <v/>
      </c>
      <c r="D213" s="2" t="str">
        <f>IFERROR(__xludf.DUMMYFUNCTION("IF('From Order'!$A213=COLUMNS($A213:D232), LEFT(INDEX(FILTER(D$1:D212, D$1:D212&lt;&gt;""""),COUNTA(FILTER(D$1:D212, D$1:D212&lt;&gt;""""))), LEN(INDEX(FILTER(D$1:D212, D$1:D212&lt;&gt;""""),COUNTA(FILTER(D$1:D212, D$1:D212&lt;&gt;""""))))-1), IF('To Order'!$A213=COLUMNS($A213:D"&amp;"232), D212&amp;RIGHT(INDIRECT(ADDRESS(ROW(D213)-1, 'From Order'!$A213)), 1), D212))"),"DTCHSPVMZDDTL")</f>
        <v>DTCHSPVMZDDTL</v>
      </c>
      <c r="E213" s="2" t="str">
        <f>IFERROR(__xludf.DUMMYFUNCTION("IF('From Order'!$A213=COLUMNS($A213:E232), LEFT(INDEX(FILTER(E$1:E212, E$1:E212&lt;&gt;""""),COUNTA(FILTER(E$1:E212, E$1:E212&lt;&gt;""""))), LEN(INDEX(FILTER(E$1:E212, E$1:E212&lt;&gt;""""),COUNTA(FILTER(E$1:E212, E$1:E212&lt;&gt;""""))))-1), IF('To Order'!$A213=COLUMNS($A213:E"&amp;"232), E212&amp;RIGHT(INDIRECT(ADDRESS(ROW(E213)-1, 'From Order'!$A213)), 1), E212))"),"")</f>
        <v/>
      </c>
      <c r="F213" s="2" t="str">
        <f>IFERROR(__xludf.DUMMYFUNCTION("IF('From Order'!$A213=COLUMNS($A213:F232), LEFT(INDEX(FILTER(F$1:F212, F$1:F212&lt;&gt;""""),COUNTA(FILTER(F$1:F212, F$1:F212&lt;&gt;""""))), LEN(INDEX(FILTER(F$1:F212, F$1:F212&lt;&gt;""""),COUNTA(FILTER(F$1:F212, F$1:F212&lt;&gt;""""))))-1), IF('To Order'!$A213=COLUMNS($A213:F"&amp;"232), F212&amp;RIGHT(INDIRECT(ADDRESS(ROW(F213)-1, 'From Order'!$A213)), 1), F212))"),"JDGSB")</f>
        <v>JDGSB</v>
      </c>
      <c r="G213" s="2" t="str">
        <f>IFERROR(__xludf.DUMMYFUNCTION("IF('From Order'!$A213=COLUMNS($A213:G232), LEFT(INDEX(FILTER(G$1:G212, G$1:G212&lt;&gt;""""),COUNTA(FILTER(G$1:G212, G$1:G212&lt;&gt;""""))), LEN(INDEX(FILTER(G$1:G212, G$1:G212&lt;&gt;""""),COUNTA(FILTER(G$1:G212, G$1:G212&lt;&gt;""""))))-1), IF('To Order'!$A213=COLUMNS($A213:G"&amp;"232), G212&amp;RIGHT(INDIRECT(ADDRESS(ROW(G213)-1, 'From Order'!$A213)), 1), G212))"),"RJTWRZ")</f>
        <v>RJTWRZ</v>
      </c>
      <c r="H213" s="2" t="str">
        <f>IFERROR(__xludf.DUMMYFUNCTION("IF('From Order'!$A213=COLUMNS($A213:H232), LEFT(INDEX(FILTER(H$1:H212, H$1:H212&lt;&gt;""""),COUNTA(FILTER(H$1:H212, H$1:H212&lt;&gt;""""))), LEN(INDEX(FILTER(H$1:H212, H$1:H212&lt;&gt;""""),COUNTA(FILTER(H$1:H212, H$1:H212&lt;&gt;""""))))-1), IF('To Order'!$A213=COLUMNS($A213:H"&amp;"232), H212&amp;RIGHT(INDIRECT(ADDRESS(ROW(H213)-1, 'From Order'!$A213)), 1), H212))"),"MFTMQCDTHZRVSDPQRBCVT")</f>
        <v>MFTMQCDTHZRVSDPQRBCVT</v>
      </c>
      <c r="I213" s="2" t="str">
        <f>IFERROR(__xludf.DUMMYFUNCTION("IF('From Order'!$A213=COLUMNS($A213:I232), LEFT(INDEX(FILTER(I$1:I212, I$1:I212&lt;&gt;""""),COUNTA(FILTER(I$1:I212, I$1:I212&lt;&gt;""""))), LEN(INDEX(FILTER(I$1:I212, I$1:I212&lt;&gt;""""),COUNTA(FILTER(I$1:I212, I$1:I212&lt;&gt;""""))))-1), IF('To Order'!$A213=COLUMNS($A213:I"&amp;"232), I212&amp;RIGHT(INDIRECT(ADDRESS(ROW(I213)-1, 'From Order'!$A213)), 1), I212))"),"GP")</f>
        <v>GP</v>
      </c>
    </row>
    <row r="214">
      <c r="A214" s="2" t="str">
        <f>IFERROR(__xludf.DUMMYFUNCTION("IF('From Order'!$A214=COLUMNS($A214:A233), LEFT(INDEX(FILTER(A$1:A213, A$1:A213&lt;&gt;""""),COUNTA(FILTER(A$1:A213, A$1:A213&lt;&gt;""""))), LEN(INDEX(FILTER(A$1:A213, A$1:A213&lt;&gt;""""),COUNTA(FILTER(A$1:A213, A$1:A213&lt;&gt;""""))))-1), IF('To Order'!$A214=COLUMNS($A214:A"&amp;"233), A213&amp;RIGHT(INDIRECT(ADDRESS(ROW(A214)-1, 'From Order'!$A214)), 1), A213))"),"B")</f>
        <v>B</v>
      </c>
      <c r="B214" s="2" t="str">
        <f>IFERROR(__xludf.DUMMYFUNCTION("IF('From Order'!$A214=COLUMNS($A214:B233), LEFT(INDEX(FILTER(B$1:B213, B$1:B213&lt;&gt;""""),COUNTA(FILTER(B$1:B213, B$1:B213&lt;&gt;""""))), LEN(INDEX(FILTER(B$1:B213, B$1:B213&lt;&gt;""""),COUNTA(FILTER(B$1:B213, B$1:B213&lt;&gt;""""))))-1), IF('To Order'!$A214=COLUMNS($A214:B"&amp;"233), B213&amp;RIGHT(INDIRECT(ADDRESS(ROW(B214)-1, 'From Order'!$A214)), 1), B213))"),"SWFBJLRL")</f>
        <v>SWFBJLRL</v>
      </c>
      <c r="C214" s="2" t="str">
        <f>IFERROR(__xludf.DUMMYFUNCTION("IF('From Order'!$A214=COLUMNS($A214:C233), LEFT(INDEX(FILTER(C$1:C213, C$1:C213&lt;&gt;""""),COUNTA(FILTER(C$1:C213, C$1:C213&lt;&gt;""""))), LEN(INDEX(FILTER(C$1:C213, C$1:C213&lt;&gt;""""),COUNTA(FILTER(C$1:C213, C$1:C213&lt;&gt;""""))))-1), IF('To Order'!$A214=COLUMNS($A214:C"&amp;"233), C213&amp;RIGHT(INDIRECT(ADDRESS(ROW(C214)-1, 'From Order'!$A214)), 1), C213))"),"")</f>
        <v/>
      </c>
      <c r="D214" s="2" t="str">
        <f>IFERROR(__xludf.DUMMYFUNCTION("IF('From Order'!$A214=COLUMNS($A214:D233), LEFT(INDEX(FILTER(D$1:D213, D$1:D213&lt;&gt;""""),COUNTA(FILTER(D$1:D213, D$1:D213&lt;&gt;""""))), LEN(INDEX(FILTER(D$1:D213, D$1:D213&lt;&gt;""""),COUNTA(FILTER(D$1:D213, D$1:D213&lt;&gt;""""))))-1), IF('To Order'!$A214=COLUMNS($A214:D"&amp;"233), D213&amp;RIGHT(INDIRECT(ADDRESS(ROW(D214)-1, 'From Order'!$A214)), 1), D213))"),"DTCHSPVMZDDTL")</f>
        <v>DTCHSPVMZDDTL</v>
      </c>
      <c r="E214" s="2" t="str">
        <f>IFERROR(__xludf.DUMMYFUNCTION("IF('From Order'!$A214=COLUMNS($A214:E233), LEFT(INDEX(FILTER(E$1:E213, E$1:E213&lt;&gt;""""),COUNTA(FILTER(E$1:E213, E$1:E213&lt;&gt;""""))), LEN(INDEX(FILTER(E$1:E213, E$1:E213&lt;&gt;""""),COUNTA(FILTER(E$1:E213, E$1:E213&lt;&gt;""""))))-1), IF('To Order'!$A214=COLUMNS($A214:E"&amp;"233), E213&amp;RIGHT(INDIRECT(ADDRESS(ROW(E214)-1, 'From Order'!$A214)), 1), E213))"),"")</f>
        <v/>
      </c>
      <c r="F214" s="2" t="str">
        <f>IFERROR(__xludf.DUMMYFUNCTION("IF('From Order'!$A214=COLUMNS($A214:F233), LEFT(INDEX(FILTER(F$1:F213, F$1:F213&lt;&gt;""""),COUNTA(FILTER(F$1:F213, F$1:F213&lt;&gt;""""))), LEN(INDEX(FILTER(F$1:F213, F$1:F213&lt;&gt;""""),COUNTA(FILTER(F$1:F213, F$1:F213&lt;&gt;""""))))-1), IF('To Order'!$A214=COLUMNS($A214:F"&amp;"233), F213&amp;RIGHT(INDIRECT(ADDRESS(ROW(F214)-1, 'From Order'!$A214)), 1), F213))"),"JDGS")</f>
        <v>JDGS</v>
      </c>
      <c r="G214" s="2" t="str">
        <f>IFERROR(__xludf.DUMMYFUNCTION("IF('From Order'!$A214=COLUMNS($A214:G233), LEFT(INDEX(FILTER(G$1:G213, G$1:G213&lt;&gt;""""),COUNTA(FILTER(G$1:G213, G$1:G213&lt;&gt;""""))), LEN(INDEX(FILTER(G$1:G213, G$1:G213&lt;&gt;""""),COUNTA(FILTER(G$1:G213, G$1:G213&lt;&gt;""""))))-1), IF('To Order'!$A214=COLUMNS($A214:G"&amp;"233), G213&amp;RIGHT(INDIRECT(ADDRESS(ROW(G214)-1, 'From Order'!$A214)), 1), G213))"),"RJTWRZ")</f>
        <v>RJTWRZ</v>
      </c>
      <c r="H214" s="2" t="str">
        <f>IFERROR(__xludf.DUMMYFUNCTION("IF('From Order'!$A214=COLUMNS($A214:H233), LEFT(INDEX(FILTER(H$1:H213, H$1:H213&lt;&gt;""""),COUNTA(FILTER(H$1:H213, H$1:H213&lt;&gt;""""))), LEN(INDEX(FILTER(H$1:H213, H$1:H213&lt;&gt;""""),COUNTA(FILTER(H$1:H213, H$1:H213&lt;&gt;""""))))-1), IF('To Order'!$A214=COLUMNS($A214:H"&amp;"233), H213&amp;RIGHT(INDIRECT(ADDRESS(ROW(H214)-1, 'From Order'!$A214)), 1), H213))"),"MFTMQCDTHZRVSDPQRBCVT")</f>
        <v>MFTMQCDTHZRVSDPQRBCVT</v>
      </c>
      <c r="I214" s="2" t="str">
        <f>IFERROR(__xludf.DUMMYFUNCTION("IF('From Order'!$A214=COLUMNS($A214:I233), LEFT(INDEX(FILTER(I$1:I213, I$1:I213&lt;&gt;""""),COUNTA(FILTER(I$1:I213, I$1:I213&lt;&gt;""""))), LEN(INDEX(FILTER(I$1:I213, I$1:I213&lt;&gt;""""),COUNTA(FILTER(I$1:I213, I$1:I213&lt;&gt;""""))))-1), IF('To Order'!$A214=COLUMNS($A214:I"&amp;"233), I213&amp;RIGHT(INDIRECT(ADDRESS(ROW(I214)-1, 'From Order'!$A214)), 1), I213))"),"GPB")</f>
        <v>GPB</v>
      </c>
    </row>
    <row r="215">
      <c r="A215" s="2" t="str">
        <f>IFERROR(__xludf.DUMMYFUNCTION("IF('From Order'!$A215=COLUMNS($A215:A234), LEFT(INDEX(FILTER(A$1:A214, A$1:A214&lt;&gt;""""),COUNTA(FILTER(A$1:A214, A$1:A214&lt;&gt;""""))), LEN(INDEX(FILTER(A$1:A214, A$1:A214&lt;&gt;""""),COUNTA(FILTER(A$1:A214, A$1:A214&lt;&gt;""""))))-1), IF('To Order'!$A215=COLUMNS($A215:A"&amp;"234), A214&amp;RIGHT(INDIRECT(ADDRESS(ROW(A215)-1, 'From Order'!$A215)), 1), A214))"),"B")</f>
        <v>B</v>
      </c>
      <c r="B215" s="2" t="str">
        <f>IFERROR(__xludf.DUMMYFUNCTION("IF('From Order'!$A215=COLUMNS($A215:B234), LEFT(INDEX(FILTER(B$1:B214, B$1:B214&lt;&gt;""""),COUNTA(FILTER(B$1:B214, B$1:B214&lt;&gt;""""))), LEN(INDEX(FILTER(B$1:B214, B$1:B214&lt;&gt;""""),COUNTA(FILTER(B$1:B214, B$1:B214&lt;&gt;""""))))-1), IF('To Order'!$A215=COLUMNS($A215:B"&amp;"234), B214&amp;RIGHT(INDIRECT(ADDRESS(ROW(B215)-1, 'From Order'!$A215)), 1), B214))"),"SWFBJLRL")</f>
        <v>SWFBJLRL</v>
      </c>
      <c r="C215" s="2" t="str">
        <f>IFERROR(__xludf.DUMMYFUNCTION("IF('From Order'!$A215=COLUMNS($A215:C234), LEFT(INDEX(FILTER(C$1:C214, C$1:C214&lt;&gt;""""),COUNTA(FILTER(C$1:C214, C$1:C214&lt;&gt;""""))), LEN(INDEX(FILTER(C$1:C214, C$1:C214&lt;&gt;""""),COUNTA(FILTER(C$1:C214, C$1:C214&lt;&gt;""""))))-1), IF('To Order'!$A215=COLUMNS($A215:C"&amp;"234), C214&amp;RIGHT(INDIRECT(ADDRESS(ROW(C215)-1, 'From Order'!$A215)), 1), C214))"),"")</f>
        <v/>
      </c>
      <c r="D215" s="2" t="str">
        <f>IFERROR(__xludf.DUMMYFUNCTION("IF('From Order'!$A215=COLUMNS($A215:D234), LEFT(INDEX(FILTER(D$1:D214, D$1:D214&lt;&gt;""""),COUNTA(FILTER(D$1:D214, D$1:D214&lt;&gt;""""))), LEN(INDEX(FILTER(D$1:D214, D$1:D214&lt;&gt;""""),COUNTA(FILTER(D$1:D214, D$1:D214&lt;&gt;""""))))-1), IF('To Order'!$A215=COLUMNS($A215:D"&amp;"234), D214&amp;RIGHT(INDIRECT(ADDRESS(ROW(D215)-1, 'From Order'!$A215)), 1), D214))"),"DTCHSPVMZDDTL")</f>
        <v>DTCHSPVMZDDTL</v>
      </c>
      <c r="E215" s="2" t="str">
        <f>IFERROR(__xludf.DUMMYFUNCTION("IF('From Order'!$A215=COLUMNS($A215:E234), LEFT(INDEX(FILTER(E$1:E214, E$1:E214&lt;&gt;""""),COUNTA(FILTER(E$1:E214, E$1:E214&lt;&gt;""""))), LEN(INDEX(FILTER(E$1:E214, E$1:E214&lt;&gt;""""),COUNTA(FILTER(E$1:E214, E$1:E214&lt;&gt;""""))))-1), IF('To Order'!$A215=COLUMNS($A215:E"&amp;"234), E214&amp;RIGHT(INDIRECT(ADDRESS(ROW(E215)-1, 'From Order'!$A215)), 1), E214))"),"")</f>
        <v/>
      </c>
      <c r="F215" s="2" t="str">
        <f>IFERROR(__xludf.DUMMYFUNCTION("IF('From Order'!$A215=COLUMNS($A215:F234), LEFT(INDEX(FILTER(F$1:F214, F$1:F214&lt;&gt;""""),COUNTA(FILTER(F$1:F214, F$1:F214&lt;&gt;""""))), LEN(INDEX(FILTER(F$1:F214, F$1:F214&lt;&gt;""""),COUNTA(FILTER(F$1:F214, F$1:F214&lt;&gt;""""))))-1), IF('To Order'!$A215=COLUMNS($A215:F"&amp;"234), F214&amp;RIGHT(INDIRECT(ADDRESS(ROW(F215)-1, 'From Order'!$A215)), 1), F214))"),"JDG")</f>
        <v>JDG</v>
      </c>
      <c r="G215" s="2" t="str">
        <f>IFERROR(__xludf.DUMMYFUNCTION("IF('From Order'!$A215=COLUMNS($A215:G234), LEFT(INDEX(FILTER(G$1:G214, G$1:G214&lt;&gt;""""),COUNTA(FILTER(G$1:G214, G$1:G214&lt;&gt;""""))), LEN(INDEX(FILTER(G$1:G214, G$1:G214&lt;&gt;""""),COUNTA(FILTER(G$1:G214, G$1:G214&lt;&gt;""""))))-1), IF('To Order'!$A215=COLUMNS($A215:G"&amp;"234), G214&amp;RIGHT(INDIRECT(ADDRESS(ROW(G215)-1, 'From Order'!$A215)), 1), G214))"),"RJTWRZ")</f>
        <v>RJTWRZ</v>
      </c>
      <c r="H215" s="2" t="str">
        <f>IFERROR(__xludf.DUMMYFUNCTION("IF('From Order'!$A215=COLUMNS($A215:H234), LEFT(INDEX(FILTER(H$1:H214, H$1:H214&lt;&gt;""""),COUNTA(FILTER(H$1:H214, H$1:H214&lt;&gt;""""))), LEN(INDEX(FILTER(H$1:H214, H$1:H214&lt;&gt;""""),COUNTA(FILTER(H$1:H214, H$1:H214&lt;&gt;""""))))-1), IF('To Order'!$A215=COLUMNS($A215:H"&amp;"234), H214&amp;RIGHT(INDIRECT(ADDRESS(ROW(H215)-1, 'From Order'!$A215)), 1), H214))"),"MFTMQCDTHZRVSDPQRBCVT")</f>
        <v>MFTMQCDTHZRVSDPQRBCVT</v>
      </c>
      <c r="I215" s="2" t="str">
        <f>IFERROR(__xludf.DUMMYFUNCTION("IF('From Order'!$A215=COLUMNS($A215:I234), LEFT(INDEX(FILTER(I$1:I214, I$1:I214&lt;&gt;""""),COUNTA(FILTER(I$1:I214, I$1:I214&lt;&gt;""""))), LEN(INDEX(FILTER(I$1:I214, I$1:I214&lt;&gt;""""),COUNTA(FILTER(I$1:I214, I$1:I214&lt;&gt;""""))))-1), IF('To Order'!$A215=COLUMNS($A215:I"&amp;"234), I214&amp;RIGHT(INDIRECT(ADDRESS(ROW(I215)-1, 'From Order'!$A215)), 1), I214))"),"GPBS")</f>
        <v>GPBS</v>
      </c>
    </row>
    <row r="216">
      <c r="A216" s="2" t="str">
        <f>IFERROR(__xludf.DUMMYFUNCTION("IF('From Order'!$A216=COLUMNS($A216:A235), LEFT(INDEX(FILTER(A$1:A215, A$1:A215&lt;&gt;""""),COUNTA(FILTER(A$1:A215, A$1:A215&lt;&gt;""""))), LEN(INDEX(FILTER(A$1:A215, A$1:A215&lt;&gt;""""),COUNTA(FILTER(A$1:A215, A$1:A215&lt;&gt;""""))))-1), IF('To Order'!$A216=COLUMNS($A216:A"&amp;"235), A215&amp;RIGHT(INDIRECT(ADDRESS(ROW(A216)-1, 'From Order'!$A216)), 1), A215))"),"B")</f>
        <v>B</v>
      </c>
      <c r="B216" s="2" t="str">
        <f>IFERROR(__xludf.DUMMYFUNCTION("IF('From Order'!$A216=COLUMNS($A216:B235), LEFT(INDEX(FILTER(B$1:B215, B$1:B215&lt;&gt;""""),COUNTA(FILTER(B$1:B215, B$1:B215&lt;&gt;""""))), LEN(INDEX(FILTER(B$1:B215, B$1:B215&lt;&gt;""""),COUNTA(FILTER(B$1:B215, B$1:B215&lt;&gt;""""))))-1), IF('To Order'!$A216=COLUMNS($A216:B"&amp;"235), B215&amp;RIGHT(INDIRECT(ADDRESS(ROW(B216)-1, 'From Order'!$A216)), 1), B215))"),"SWFBJLRL")</f>
        <v>SWFBJLRL</v>
      </c>
      <c r="C216" s="2" t="str">
        <f>IFERROR(__xludf.DUMMYFUNCTION("IF('From Order'!$A216=COLUMNS($A216:C235), LEFT(INDEX(FILTER(C$1:C215, C$1:C215&lt;&gt;""""),COUNTA(FILTER(C$1:C215, C$1:C215&lt;&gt;""""))), LEN(INDEX(FILTER(C$1:C215, C$1:C215&lt;&gt;""""),COUNTA(FILTER(C$1:C215, C$1:C215&lt;&gt;""""))))-1), IF('To Order'!$A216=COLUMNS($A216:C"&amp;"235), C215&amp;RIGHT(INDIRECT(ADDRESS(ROW(C216)-1, 'From Order'!$A216)), 1), C215))"),"")</f>
        <v/>
      </c>
      <c r="D216" s="2" t="str">
        <f>IFERROR(__xludf.DUMMYFUNCTION("IF('From Order'!$A216=COLUMNS($A216:D235), LEFT(INDEX(FILTER(D$1:D215, D$1:D215&lt;&gt;""""),COUNTA(FILTER(D$1:D215, D$1:D215&lt;&gt;""""))), LEN(INDEX(FILTER(D$1:D215, D$1:D215&lt;&gt;""""),COUNTA(FILTER(D$1:D215, D$1:D215&lt;&gt;""""))))-1), IF('To Order'!$A216=COLUMNS($A216:D"&amp;"235), D215&amp;RIGHT(INDIRECT(ADDRESS(ROW(D216)-1, 'From Order'!$A216)), 1), D215))"),"DTCHSPVMZDDT")</f>
        <v>DTCHSPVMZDDT</v>
      </c>
      <c r="E216" s="2" t="str">
        <f>IFERROR(__xludf.DUMMYFUNCTION("IF('From Order'!$A216=COLUMNS($A216:E235), LEFT(INDEX(FILTER(E$1:E215, E$1:E215&lt;&gt;""""),COUNTA(FILTER(E$1:E215, E$1:E215&lt;&gt;""""))), LEN(INDEX(FILTER(E$1:E215, E$1:E215&lt;&gt;""""),COUNTA(FILTER(E$1:E215, E$1:E215&lt;&gt;""""))))-1), IF('To Order'!$A216=COLUMNS($A216:E"&amp;"235), E215&amp;RIGHT(INDIRECT(ADDRESS(ROW(E216)-1, 'From Order'!$A216)), 1), E215))"),"")</f>
        <v/>
      </c>
      <c r="F216" s="2" t="str">
        <f>IFERROR(__xludf.DUMMYFUNCTION("IF('From Order'!$A216=COLUMNS($A216:F235), LEFT(INDEX(FILTER(F$1:F215, F$1:F215&lt;&gt;""""),COUNTA(FILTER(F$1:F215, F$1:F215&lt;&gt;""""))), LEN(INDEX(FILTER(F$1:F215, F$1:F215&lt;&gt;""""),COUNTA(FILTER(F$1:F215, F$1:F215&lt;&gt;""""))))-1), IF('To Order'!$A216=COLUMNS($A216:F"&amp;"235), F215&amp;RIGHT(INDIRECT(ADDRESS(ROW(F216)-1, 'From Order'!$A216)), 1), F215))"),"JDG")</f>
        <v>JDG</v>
      </c>
      <c r="G216" s="2" t="str">
        <f>IFERROR(__xludf.DUMMYFUNCTION("IF('From Order'!$A216=COLUMNS($A216:G235), LEFT(INDEX(FILTER(G$1:G215, G$1:G215&lt;&gt;""""),COUNTA(FILTER(G$1:G215, G$1:G215&lt;&gt;""""))), LEN(INDEX(FILTER(G$1:G215, G$1:G215&lt;&gt;""""),COUNTA(FILTER(G$1:G215, G$1:G215&lt;&gt;""""))))-1), IF('To Order'!$A216=COLUMNS($A216:G"&amp;"235), G215&amp;RIGHT(INDIRECT(ADDRESS(ROW(G216)-1, 'From Order'!$A216)), 1), G215))"),"RJTWRZ")</f>
        <v>RJTWRZ</v>
      </c>
      <c r="H216" s="2" t="str">
        <f>IFERROR(__xludf.DUMMYFUNCTION("IF('From Order'!$A216=COLUMNS($A216:H235), LEFT(INDEX(FILTER(H$1:H215, H$1:H215&lt;&gt;""""),COUNTA(FILTER(H$1:H215, H$1:H215&lt;&gt;""""))), LEN(INDEX(FILTER(H$1:H215, H$1:H215&lt;&gt;""""),COUNTA(FILTER(H$1:H215, H$1:H215&lt;&gt;""""))))-1), IF('To Order'!$A216=COLUMNS($A216:H"&amp;"235), H215&amp;RIGHT(INDIRECT(ADDRESS(ROW(H216)-1, 'From Order'!$A216)), 1), H215))"),"MFTMQCDTHZRVSDPQRBCVT")</f>
        <v>MFTMQCDTHZRVSDPQRBCVT</v>
      </c>
      <c r="I216" s="2" t="str">
        <f>IFERROR(__xludf.DUMMYFUNCTION("IF('From Order'!$A216=COLUMNS($A216:I235), LEFT(INDEX(FILTER(I$1:I215, I$1:I215&lt;&gt;""""),COUNTA(FILTER(I$1:I215, I$1:I215&lt;&gt;""""))), LEN(INDEX(FILTER(I$1:I215, I$1:I215&lt;&gt;""""),COUNTA(FILTER(I$1:I215, I$1:I215&lt;&gt;""""))))-1), IF('To Order'!$A216=COLUMNS($A216:I"&amp;"235), I215&amp;RIGHT(INDIRECT(ADDRESS(ROW(I216)-1, 'From Order'!$A216)), 1), I215))"),"GPBSL")</f>
        <v>GPBSL</v>
      </c>
    </row>
    <row r="217">
      <c r="A217" s="2" t="str">
        <f>IFERROR(__xludf.DUMMYFUNCTION("IF('From Order'!$A217=COLUMNS($A217:A236), LEFT(INDEX(FILTER(A$1:A216, A$1:A216&lt;&gt;""""),COUNTA(FILTER(A$1:A216, A$1:A216&lt;&gt;""""))), LEN(INDEX(FILTER(A$1:A216, A$1:A216&lt;&gt;""""),COUNTA(FILTER(A$1:A216, A$1:A216&lt;&gt;""""))))-1), IF('To Order'!$A217=COLUMNS($A217:A"&amp;"236), A216&amp;RIGHT(INDIRECT(ADDRESS(ROW(A217)-1, 'From Order'!$A217)), 1), A216))"),"B")</f>
        <v>B</v>
      </c>
      <c r="B217" s="2" t="str">
        <f>IFERROR(__xludf.DUMMYFUNCTION("IF('From Order'!$A217=COLUMNS($A217:B236), LEFT(INDEX(FILTER(B$1:B216, B$1:B216&lt;&gt;""""),COUNTA(FILTER(B$1:B216, B$1:B216&lt;&gt;""""))), LEN(INDEX(FILTER(B$1:B216, B$1:B216&lt;&gt;""""),COUNTA(FILTER(B$1:B216, B$1:B216&lt;&gt;""""))))-1), IF('To Order'!$A217=COLUMNS($A217:B"&amp;"236), B216&amp;RIGHT(INDIRECT(ADDRESS(ROW(B217)-1, 'From Order'!$A217)), 1), B216))"),"SWFBJLRL")</f>
        <v>SWFBJLRL</v>
      </c>
      <c r="C217" s="2" t="str">
        <f>IFERROR(__xludf.DUMMYFUNCTION("IF('From Order'!$A217=COLUMNS($A217:C236), LEFT(INDEX(FILTER(C$1:C216, C$1:C216&lt;&gt;""""),COUNTA(FILTER(C$1:C216, C$1:C216&lt;&gt;""""))), LEN(INDEX(FILTER(C$1:C216, C$1:C216&lt;&gt;""""),COUNTA(FILTER(C$1:C216, C$1:C216&lt;&gt;""""))))-1), IF('To Order'!$A217=COLUMNS($A217:C"&amp;"236), C216&amp;RIGHT(INDIRECT(ADDRESS(ROW(C217)-1, 'From Order'!$A217)), 1), C216))"),"")</f>
        <v/>
      </c>
      <c r="D217" s="2" t="str">
        <f>IFERROR(__xludf.DUMMYFUNCTION("IF('From Order'!$A217=COLUMNS($A217:D236), LEFT(INDEX(FILTER(D$1:D216, D$1:D216&lt;&gt;""""),COUNTA(FILTER(D$1:D216, D$1:D216&lt;&gt;""""))), LEN(INDEX(FILTER(D$1:D216, D$1:D216&lt;&gt;""""),COUNTA(FILTER(D$1:D216, D$1:D216&lt;&gt;""""))))-1), IF('To Order'!$A217=COLUMNS($A217:D"&amp;"236), D216&amp;RIGHT(INDIRECT(ADDRESS(ROW(D217)-1, 'From Order'!$A217)), 1), D216))"),"DTCHSPVMZDDTZ")</f>
        <v>DTCHSPVMZDDTZ</v>
      </c>
      <c r="E217" s="2" t="str">
        <f>IFERROR(__xludf.DUMMYFUNCTION("IF('From Order'!$A217=COLUMNS($A217:E236), LEFT(INDEX(FILTER(E$1:E216, E$1:E216&lt;&gt;""""),COUNTA(FILTER(E$1:E216, E$1:E216&lt;&gt;""""))), LEN(INDEX(FILTER(E$1:E216, E$1:E216&lt;&gt;""""),COUNTA(FILTER(E$1:E216, E$1:E216&lt;&gt;""""))))-1), IF('To Order'!$A217=COLUMNS($A217:E"&amp;"236), E216&amp;RIGHT(INDIRECT(ADDRESS(ROW(E217)-1, 'From Order'!$A217)), 1), E216))"),"")</f>
        <v/>
      </c>
      <c r="F217" s="2" t="str">
        <f>IFERROR(__xludf.DUMMYFUNCTION("IF('From Order'!$A217=COLUMNS($A217:F236), LEFT(INDEX(FILTER(F$1:F216, F$1:F216&lt;&gt;""""),COUNTA(FILTER(F$1:F216, F$1:F216&lt;&gt;""""))), LEN(INDEX(FILTER(F$1:F216, F$1:F216&lt;&gt;""""),COUNTA(FILTER(F$1:F216, F$1:F216&lt;&gt;""""))))-1), IF('To Order'!$A217=COLUMNS($A217:F"&amp;"236), F216&amp;RIGHT(INDIRECT(ADDRESS(ROW(F217)-1, 'From Order'!$A217)), 1), F216))"),"JDG")</f>
        <v>JDG</v>
      </c>
      <c r="G217" s="2" t="str">
        <f>IFERROR(__xludf.DUMMYFUNCTION("IF('From Order'!$A217=COLUMNS($A217:G236), LEFT(INDEX(FILTER(G$1:G216, G$1:G216&lt;&gt;""""),COUNTA(FILTER(G$1:G216, G$1:G216&lt;&gt;""""))), LEN(INDEX(FILTER(G$1:G216, G$1:G216&lt;&gt;""""),COUNTA(FILTER(G$1:G216, G$1:G216&lt;&gt;""""))))-1), IF('To Order'!$A217=COLUMNS($A217:G"&amp;"236), G216&amp;RIGHT(INDIRECT(ADDRESS(ROW(G217)-1, 'From Order'!$A217)), 1), G216))"),"RJTWR")</f>
        <v>RJTWR</v>
      </c>
      <c r="H217" s="2" t="str">
        <f>IFERROR(__xludf.DUMMYFUNCTION("IF('From Order'!$A217=COLUMNS($A217:H236), LEFT(INDEX(FILTER(H$1:H216, H$1:H216&lt;&gt;""""),COUNTA(FILTER(H$1:H216, H$1:H216&lt;&gt;""""))), LEN(INDEX(FILTER(H$1:H216, H$1:H216&lt;&gt;""""),COUNTA(FILTER(H$1:H216, H$1:H216&lt;&gt;""""))))-1), IF('To Order'!$A217=COLUMNS($A217:H"&amp;"236), H216&amp;RIGHT(INDIRECT(ADDRESS(ROW(H217)-1, 'From Order'!$A217)), 1), H216))"),"MFTMQCDTHZRVSDPQRBCVT")</f>
        <v>MFTMQCDTHZRVSDPQRBCVT</v>
      </c>
      <c r="I217" s="2" t="str">
        <f>IFERROR(__xludf.DUMMYFUNCTION("IF('From Order'!$A217=COLUMNS($A217:I236), LEFT(INDEX(FILTER(I$1:I216, I$1:I216&lt;&gt;""""),COUNTA(FILTER(I$1:I216, I$1:I216&lt;&gt;""""))), LEN(INDEX(FILTER(I$1:I216, I$1:I216&lt;&gt;""""),COUNTA(FILTER(I$1:I216, I$1:I216&lt;&gt;""""))))-1), IF('To Order'!$A217=COLUMNS($A217:I"&amp;"236), I216&amp;RIGHT(INDIRECT(ADDRESS(ROW(I217)-1, 'From Order'!$A217)), 1), I216))"),"GPBSL")</f>
        <v>GPBSL</v>
      </c>
    </row>
    <row r="218">
      <c r="A218" s="2" t="str">
        <f>IFERROR(__xludf.DUMMYFUNCTION("IF('From Order'!$A218=COLUMNS($A218:A237), LEFT(INDEX(FILTER(A$1:A217, A$1:A217&lt;&gt;""""),COUNTA(FILTER(A$1:A217, A$1:A217&lt;&gt;""""))), LEN(INDEX(FILTER(A$1:A217, A$1:A217&lt;&gt;""""),COUNTA(FILTER(A$1:A217, A$1:A217&lt;&gt;""""))))-1), IF('To Order'!$A218=COLUMNS($A218:A"&amp;"237), A217&amp;RIGHT(INDIRECT(ADDRESS(ROW(A218)-1, 'From Order'!$A218)), 1), A217))"),"B")</f>
        <v>B</v>
      </c>
      <c r="B218" s="2" t="str">
        <f>IFERROR(__xludf.DUMMYFUNCTION("IF('From Order'!$A218=COLUMNS($A218:B237), LEFT(INDEX(FILTER(B$1:B217, B$1:B217&lt;&gt;""""),COUNTA(FILTER(B$1:B217, B$1:B217&lt;&gt;""""))), LEN(INDEX(FILTER(B$1:B217, B$1:B217&lt;&gt;""""),COUNTA(FILTER(B$1:B217, B$1:B217&lt;&gt;""""))))-1), IF('To Order'!$A218=COLUMNS($A218:B"&amp;"237), B217&amp;RIGHT(INDIRECT(ADDRESS(ROW(B218)-1, 'From Order'!$A218)), 1), B217))"),"SWFBJLRL")</f>
        <v>SWFBJLRL</v>
      </c>
      <c r="C218" s="2" t="str">
        <f>IFERROR(__xludf.DUMMYFUNCTION("IF('From Order'!$A218=COLUMNS($A218:C237), LEFT(INDEX(FILTER(C$1:C217, C$1:C217&lt;&gt;""""),COUNTA(FILTER(C$1:C217, C$1:C217&lt;&gt;""""))), LEN(INDEX(FILTER(C$1:C217, C$1:C217&lt;&gt;""""),COUNTA(FILTER(C$1:C217, C$1:C217&lt;&gt;""""))))-1), IF('To Order'!$A218=COLUMNS($A218:C"&amp;"237), C217&amp;RIGHT(INDIRECT(ADDRESS(ROW(C218)-1, 'From Order'!$A218)), 1), C217))"),"")</f>
        <v/>
      </c>
      <c r="D218" s="2" t="str">
        <f>IFERROR(__xludf.DUMMYFUNCTION("IF('From Order'!$A218=COLUMNS($A218:D237), LEFT(INDEX(FILTER(D$1:D217, D$1:D217&lt;&gt;""""),COUNTA(FILTER(D$1:D217, D$1:D217&lt;&gt;""""))), LEN(INDEX(FILTER(D$1:D217, D$1:D217&lt;&gt;""""),COUNTA(FILTER(D$1:D217, D$1:D217&lt;&gt;""""))))-1), IF('To Order'!$A218=COLUMNS($A218:D"&amp;"237), D217&amp;RIGHT(INDIRECT(ADDRESS(ROW(D218)-1, 'From Order'!$A218)), 1), D217))"),"DTCHSPVMZDDTZR")</f>
        <v>DTCHSPVMZDDTZR</v>
      </c>
      <c r="E218" s="2" t="str">
        <f>IFERROR(__xludf.DUMMYFUNCTION("IF('From Order'!$A218=COLUMNS($A218:E237), LEFT(INDEX(FILTER(E$1:E217, E$1:E217&lt;&gt;""""),COUNTA(FILTER(E$1:E217, E$1:E217&lt;&gt;""""))), LEN(INDEX(FILTER(E$1:E217, E$1:E217&lt;&gt;""""),COUNTA(FILTER(E$1:E217, E$1:E217&lt;&gt;""""))))-1), IF('To Order'!$A218=COLUMNS($A218:E"&amp;"237), E217&amp;RIGHT(INDIRECT(ADDRESS(ROW(E218)-1, 'From Order'!$A218)), 1), E217))"),"")</f>
        <v/>
      </c>
      <c r="F218" s="2" t="str">
        <f>IFERROR(__xludf.DUMMYFUNCTION("IF('From Order'!$A218=COLUMNS($A218:F237), LEFT(INDEX(FILTER(F$1:F217, F$1:F217&lt;&gt;""""),COUNTA(FILTER(F$1:F217, F$1:F217&lt;&gt;""""))), LEN(INDEX(FILTER(F$1:F217, F$1:F217&lt;&gt;""""),COUNTA(FILTER(F$1:F217, F$1:F217&lt;&gt;""""))))-1), IF('To Order'!$A218=COLUMNS($A218:F"&amp;"237), F217&amp;RIGHT(INDIRECT(ADDRESS(ROW(F218)-1, 'From Order'!$A218)), 1), F217))"),"JDG")</f>
        <v>JDG</v>
      </c>
      <c r="G218" s="2" t="str">
        <f>IFERROR(__xludf.DUMMYFUNCTION("IF('From Order'!$A218=COLUMNS($A218:G237), LEFT(INDEX(FILTER(G$1:G217, G$1:G217&lt;&gt;""""),COUNTA(FILTER(G$1:G217, G$1:G217&lt;&gt;""""))), LEN(INDEX(FILTER(G$1:G217, G$1:G217&lt;&gt;""""),COUNTA(FILTER(G$1:G217, G$1:G217&lt;&gt;""""))))-1), IF('To Order'!$A218=COLUMNS($A218:G"&amp;"237), G217&amp;RIGHT(INDIRECT(ADDRESS(ROW(G218)-1, 'From Order'!$A218)), 1), G217))"),"RJTW")</f>
        <v>RJTW</v>
      </c>
      <c r="H218" s="2" t="str">
        <f>IFERROR(__xludf.DUMMYFUNCTION("IF('From Order'!$A218=COLUMNS($A218:H237), LEFT(INDEX(FILTER(H$1:H217, H$1:H217&lt;&gt;""""),COUNTA(FILTER(H$1:H217, H$1:H217&lt;&gt;""""))), LEN(INDEX(FILTER(H$1:H217, H$1:H217&lt;&gt;""""),COUNTA(FILTER(H$1:H217, H$1:H217&lt;&gt;""""))))-1), IF('To Order'!$A218=COLUMNS($A218:H"&amp;"237), H217&amp;RIGHT(INDIRECT(ADDRESS(ROW(H218)-1, 'From Order'!$A218)), 1), H217))"),"MFTMQCDTHZRVSDPQRBCVT")</f>
        <v>MFTMQCDTHZRVSDPQRBCVT</v>
      </c>
      <c r="I218" s="2" t="str">
        <f>IFERROR(__xludf.DUMMYFUNCTION("IF('From Order'!$A218=COLUMNS($A218:I237), LEFT(INDEX(FILTER(I$1:I217, I$1:I217&lt;&gt;""""),COUNTA(FILTER(I$1:I217, I$1:I217&lt;&gt;""""))), LEN(INDEX(FILTER(I$1:I217, I$1:I217&lt;&gt;""""),COUNTA(FILTER(I$1:I217, I$1:I217&lt;&gt;""""))))-1), IF('To Order'!$A218=COLUMNS($A218:I"&amp;"237), I217&amp;RIGHT(INDIRECT(ADDRESS(ROW(I218)-1, 'From Order'!$A218)), 1), I217))"),"GPBSL")</f>
        <v>GPBSL</v>
      </c>
    </row>
    <row r="219">
      <c r="A219" s="2" t="str">
        <f>IFERROR(__xludf.DUMMYFUNCTION("IF('From Order'!$A219=COLUMNS($A219:A238), LEFT(INDEX(FILTER(A$1:A218, A$1:A218&lt;&gt;""""),COUNTA(FILTER(A$1:A218, A$1:A218&lt;&gt;""""))), LEN(INDEX(FILTER(A$1:A218, A$1:A218&lt;&gt;""""),COUNTA(FILTER(A$1:A218, A$1:A218&lt;&gt;""""))))-1), IF('To Order'!$A219=COLUMNS($A219:A"&amp;"238), A218&amp;RIGHT(INDIRECT(ADDRESS(ROW(A219)-1, 'From Order'!$A219)), 1), A218))"),"B")</f>
        <v>B</v>
      </c>
      <c r="B219" s="2" t="str">
        <f>IFERROR(__xludf.DUMMYFUNCTION("IF('From Order'!$A219=COLUMNS($A219:B238), LEFT(INDEX(FILTER(B$1:B218, B$1:B218&lt;&gt;""""),COUNTA(FILTER(B$1:B218, B$1:B218&lt;&gt;""""))), LEN(INDEX(FILTER(B$1:B218, B$1:B218&lt;&gt;""""),COUNTA(FILTER(B$1:B218, B$1:B218&lt;&gt;""""))))-1), IF('To Order'!$A219=COLUMNS($A219:B"&amp;"238), B218&amp;RIGHT(INDIRECT(ADDRESS(ROW(B219)-1, 'From Order'!$A219)), 1), B218))"),"SWFBJLRL")</f>
        <v>SWFBJLRL</v>
      </c>
      <c r="C219" s="2" t="str">
        <f>IFERROR(__xludf.DUMMYFUNCTION("IF('From Order'!$A219=COLUMNS($A219:C238), LEFT(INDEX(FILTER(C$1:C218, C$1:C218&lt;&gt;""""),COUNTA(FILTER(C$1:C218, C$1:C218&lt;&gt;""""))), LEN(INDEX(FILTER(C$1:C218, C$1:C218&lt;&gt;""""),COUNTA(FILTER(C$1:C218, C$1:C218&lt;&gt;""""))))-1), IF('To Order'!$A219=COLUMNS($A219:C"&amp;"238), C218&amp;RIGHT(INDIRECT(ADDRESS(ROW(C219)-1, 'From Order'!$A219)), 1), C218))"),"")</f>
        <v/>
      </c>
      <c r="D219" s="2" t="str">
        <f>IFERROR(__xludf.DUMMYFUNCTION("IF('From Order'!$A219=COLUMNS($A219:D238), LEFT(INDEX(FILTER(D$1:D218, D$1:D218&lt;&gt;""""),COUNTA(FILTER(D$1:D218, D$1:D218&lt;&gt;""""))), LEN(INDEX(FILTER(D$1:D218, D$1:D218&lt;&gt;""""),COUNTA(FILTER(D$1:D218, D$1:D218&lt;&gt;""""))))-1), IF('To Order'!$A219=COLUMNS($A219:D"&amp;"238), D218&amp;RIGHT(INDIRECT(ADDRESS(ROW(D219)-1, 'From Order'!$A219)), 1), D218))"),"DTCHSPVMZDDTZRW")</f>
        <v>DTCHSPVMZDDTZRW</v>
      </c>
      <c r="E219" s="2" t="str">
        <f>IFERROR(__xludf.DUMMYFUNCTION("IF('From Order'!$A219=COLUMNS($A219:E238), LEFT(INDEX(FILTER(E$1:E218, E$1:E218&lt;&gt;""""),COUNTA(FILTER(E$1:E218, E$1:E218&lt;&gt;""""))), LEN(INDEX(FILTER(E$1:E218, E$1:E218&lt;&gt;""""),COUNTA(FILTER(E$1:E218, E$1:E218&lt;&gt;""""))))-1), IF('To Order'!$A219=COLUMNS($A219:E"&amp;"238), E218&amp;RIGHT(INDIRECT(ADDRESS(ROW(E219)-1, 'From Order'!$A219)), 1), E218))"),"")</f>
        <v/>
      </c>
      <c r="F219" s="2" t="str">
        <f>IFERROR(__xludf.DUMMYFUNCTION("IF('From Order'!$A219=COLUMNS($A219:F238), LEFT(INDEX(FILTER(F$1:F218, F$1:F218&lt;&gt;""""),COUNTA(FILTER(F$1:F218, F$1:F218&lt;&gt;""""))), LEN(INDEX(FILTER(F$1:F218, F$1:F218&lt;&gt;""""),COUNTA(FILTER(F$1:F218, F$1:F218&lt;&gt;""""))))-1), IF('To Order'!$A219=COLUMNS($A219:F"&amp;"238), F218&amp;RIGHT(INDIRECT(ADDRESS(ROW(F219)-1, 'From Order'!$A219)), 1), F218))"),"JDG")</f>
        <v>JDG</v>
      </c>
      <c r="G219" s="2" t="str">
        <f>IFERROR(__xludf.DUMMYFUNCTION("IF('From Order'!$A219=COLUMNS($A219:G238), LEFT(INDEX(FILTER(G$1:G218, G$1:G218&lt;&gt;""""),COUNTA(FILTER(G$1:G218, G$1:G218&lt;&gt;""""))), LEN(INDEX(FILTER(G$1:G218, G$1:G218&lt;&gt;""""),COUNTA(FILTER(G$1:G218, G$1:G218&lt;&gt;""""))))-1), IF('To Order'!$A219=COLUMNS($A219:G"&amp;"238), G218&amp;RIGHT(INDIRECT(ADDRESS(ROW(G219)-1, 'From Order'!$A219)), 1), G218))"),"RJT")</f>
        <v>RJT</v>
      </c>
      <c r="H219" s="2" t="str">
        <f>IFERROR(__xludf.DUMMYFUNCTION("IF('From Order'!$A219=COLUMNS($A219:H238), LEFT(INDEX(FILTER(H$1:H218, H$1:H218&lt;&gt;""""),COUNTA(FILTER(H$1:H218, H$1:H218&lt;&gt;""""))), LEN(INDEX(FILTER(H$1:H218, H$1:H218&lt;&gt;""""),COUNTA(FILTER(H$1:H218, H$1:H218&lt;&gt;""""))))-1), IF('To Order'!$A219=COLUMNS($A219:H"&amp;"238), H218&amp;RIGHT(INDIRECT(ADDRESS(ROW(H219)-1, 'From Order'!$A219)), 1), H218))"),"MFTMQCDTHZRVSDPQRBCVT")</f>
        <v>MFTMQCDTHZRVSDPQRBCVT</v>
      </c>
      <c r="I219" s="2" t="str">
        <f>IFERROR(__xludf.DUMMYFUNCTION("IF('From Order'!$A219=COLUMNS($A219:I238), LEFT(INDEX(FILTER(I$1:I218, I$1:I218&lt;&gt;""""),COUNTA(FILTER(I$1:I218, I$1:I218&lt;&gt;""""))), LEN(INDEX(FILTER(I$1:I218, I$1:I218&lt;&gt;""""),COUNTA(FILTER(I$1:I218, I$1:I218&lt;&gt;""""))))-1), IF('To Order'!$A219=COLUMNS($A219:I"&amp;"238), I218&amp;RIGHT(INDIRECT(ADDRESS(ROW(I219)-1, 'From Order'!$A219)), 1), I218))"),"GPBSL")</f>
        <v>GPBSL</v>
      </c>
    </row>
    <row r="220">
      <c r="A220" s="2" t="str">
        <f>IFERROR(__xludf.DUMMYFUNCTION("IF('From Order'!$A220=COLUMNS($A220:A239), LEFT(INDEX(FILTER(A$1:A219, A$1:A219&lt;&gt;""""),COUNTA(FILTER(A$1:A219, A$1:A219&lt;&gt;""""))), LEN(INDEX(FILTER(A$1:A219, A$1:A219&lt;&gt;""""),COUNTA(FILTER(A$1:A219, A$1:A219&lt;&gt;""""))))-1), IF('To Order'!$A220=COLUMNS($A220:A"&amp;"239), A219&amp;RIGHT(INDIRECT(ADDRESS(ROW(A220)-1, 'From Order'!$A220)), 1), A219))"),"B")</f>
        <v>B</v>
      </c>
      <c r="B220" s="2" t="str">
        <f>IFERROR(__xludf.DUMMYFUNCTION("IF('From Order'!$A220=COLUMNS($A220:B239), LEFT(INDEX(FILTER(B$1:B219, B$1:B219&lt;&gt;""""),COUNTA(FILTER(B$1:B219, B$1:B219&lt;&gt;""""))), LEN(INDEX(FILTER(B$1:B219, B$1:B219&lt;&gt;""""),COUNTA(FILTER(B$1:B219, B$1:B219&lt;&gt;""""))))-1), IF('To Order'!$A220=COLUMNS($A220:B"&amp;"239), B219&amp;RIGHT(INDIRECT(ADDRESS(ROW(B220)-1, 'From Order'!$A220)), 1), B219))"),"SWFBJLRL")</f>
        <v>SWFBJLRL</v>
      </c>
      <c r="C220" s="2" t="str">
        <f>IFERROR(__xludf.DUMMYFUNCTION("IF('From Order'!$A220=COLUMNS($A220:C239), LEFT(INDEX(FILTER(C$1:C219, C$1:C219&lt;&gt;""""),COUNTA(FILTER(C$1:C219, C$1:C219&lt;&gt;""""))), LEN(INDEX(FILTER(C$1:C219, C$1:C219&lt;&gt;""""),COUNTA(FILTER(C$1:C219, C$1:C219&lt;&gt;""""))))-1), IF('To Order'!$A220=COLUMNS($A220:C"&amp;"239), C219&amp;RIGHT(INDIRECT(ADDRESS(ROW(C220)-1, 'From Order'!$A220)), 1), C219))"),"")</f>
        <v/>
      </c>
      <c r="D220" s="2" t="str">
        <f>IFERROR(__xludf.DUMMYFUNCTION("IF('From Order'!$A220=COLUMNS($A220:D239), LEFT(INDEX(FILTER(D$1:D219, D$1:D219&lt;&gt;""""),COUNTA(FILTER(D$1:D219, D$1:D219&lt;&gt;""""))), LEN(INDEX(FILTER(D$1:D219, D$1:D219&lt;&gt;""""),COUNTA(FILTER(D$1:D219, D$1:D219&lt;&gt;""""))))-1), IF('To Order'!$A220=COLUMNS($A220:D"&amp;"239), D219&amp;RIGHT(INDIRECT(ADDRESS(ROW(D220)-1, 'From Order'!$A220)), 1), D219))"),"DTCHSPVMZDDTZRWT")</f>
        <v>DTCHSPVMZDDTZRWT</v>
      </c>
      <c r="E220" s="2" t="str">
        <f>IFERROR(__xludf.DUMMYFUNCTION("IF('From Order'!$A220=COLUMNS($A220:E239), LEFT(INDEX(FILTER(E$1:E219, E$1:E219&lt;&gt;""""),COUNTA(FILTER(E$1:E219, E$1:E219&lt;&gt;""""))), LEN(INDEX(FILTER(E$1:E219, E$1:E219&lt;&gt;""""),COUNTA(FILTER(E$1:E219, E$1:E219&lt;&gt;""""))))-1), IF('To Order'!$A220=COLUMNS($A220:E"&amp;"239), E219&amp;RIGHT(INDIRECT(ADDRESS(ROW(E220)-1, 'From Order'!$A220)), 1), E219))"),"")</f>
        <v/>
      </c>
      <c r="F220" s="2" t="str">
        <f>IFERROR(__xludf.DUMMYFUNCTION("IF('From Order'!$A220=COLUMNS($A220:F239), LEFT(INDEX(FILTER(F$1:F219, F$1:F219&lt;&gt;""""),COUNTA(FILTER(F$1:F219, F$1:F219&lt;&gt;""""))), LEN(INDEX(FILTER(F$1:F219, F$1:F219&lt;&gt;""""),COUNTA(FILTER(F$1:F219, F$1:F219&lt;&gt;""""))))-1), IF('To Order'!$A220=COLUMNS($A220:F"&amp;"239), F219&amp;RIGHT(INDIRECT(ADDRESS(ROW(F220)-1, 'From Order'!$A220)), 1), F219))"),"JDG")</f>
        <v>JDG</v>
      </c>
      <c r="G220" s="2" t="str">
        <f>IFERROR(__xludf.DUMMYFUNCTION("IF('From Order'!$A220=COLUMNS($A220:G239), LEFT(INDEX(FILTER(G$1:G219, G$1:G219&lt;&gt;""""),COUNTA(FILTER(G$1:G219, G$1:G219&lt;&gt;""""))), LEN(INDEX(FILTER(G$1:G219, G$1:G219&lt;&gt;""""),COUNTA(FILTER(G$1:G219, G$1:G219&lt;&gt;""""))))-1), IF('To Order'!$A220=COLUMNS($A220:G"&amp;"239), G219&amp;RIGHT(INDIRECT(ADDRESS(ROW(G220)-1, 'From Order'!$A220)), 1), G219))"),"RJ")</f>
        <v>RJ</v>
      </c>
      <c r="H220" s="2" t="str">
        <f>IFERROR(__xludf.DUMMYFUNCTION("IF('From Order'!$A220=COLUMNS($A220:H239), LEFT(INDEX(FILTER(H$1:H219, H$1:H219&lt;&gt;""""),COUNTA(FILTER(H$1:H219, H$1:H219&lt;&gt;""""))), LEN(INDEX(FILTER(H$1:H219, H$1:H219&lt;&gt;""""),COUNTA(FILTER(H$1:H219, H$1:H219&lt;&gt;""""))))-1), IF('To Order'!$A220=COLUMNS($A220:H"&amp;"239), H219&amp;RIGHT(INDIRECT(ADDRESS(ROW(H220)-1, 'From Order'!$A220)), 1), H219))"),"MFTMQCDTHZRVSDPQRBCVT")</f>
        <v>MFTMQCDTHZRVSDPQRBCVT</v>
      </c>
      <c r="I220" s="2" t="str">
        <f>IFERROR(__xludf.DUMMYFUNCTION("IF('From Order'!$A220=COLUMNS($A220:I239), LEFT(INDEX(FILTER(I$1:I219, I$1:I219&lt;&gt;""""),COUNTA(FILTER(I$1:I219, I$1:I219&lt;&gt;""""))), LEN(INDEX(FILTER(I$1:I219, I$1:I219&lt;&gt;""""),COUNTA(FILTER(I$1:I219, I$1:I219&lt;&gt;""""))))-1), IF('To Order'!$A220=COLUMNS($A220:I"&amp;"239), I219&amp;RIGHT(INDIRECT(ADDRESS(ROW(I220)-1, 'From Order'!$A220)), 1), I219))"),"GPBSL")</f>
        <v>GPBSL</v>
      </c>
    </row>
    <row r="221">
      <c r="A221" s="2" t="str">
        <f>IFERROR(__xludf.DUMMYFUNCTION("IF('From Order'!$A221=COLUMNS($A221:A240), LEFT(INDEX(FILTER(A$1:A220, A$1:A220&lt;&gt;""""),COUNTA(FILTER(A$1:A220, A$1:A220&lt;&gt;""""))), LEN(INDEX(FILTER(A$1:A220, A$1:A220&lt;&gt;""""),COUNTA(FILTER(A$1:A220, A$1:A220&lt;&gt;""""))))-1), IF('To Order'!$A221=COLUMNS($A221:A"&amp;"240), A220&amp;RIGHT(INDIRECT(ADDRESS(ROW(A221)-1, 'From Order'!$A221)), 1), A220))"),"B")</f>
        <v>B</v>
      </c>
      <c r="B221" s="2" t="str">
        <f>IFERROR(__xludf.DUMMYFUNCTION("IF('From Order'!$A221=COLUMNS($A221:B240), LEFT(INDEX(FILTER(B$1:B220, B$1:B220&lt;&gt;""""),COUNTA(FILTER(B$1:B220, B$1:B220&lt;&gt;""""))), LEN(INDEX(FILTER(B$1:B220, B$1:B220&lt;&gt;""""),COUNTA(FILTER(B$1:B220, B$1:B220&lt;&gt;""""))))-1), IF('To Order'!$A221=COLUMNS($A221:B"&amp;"240), B220&amp;RIGHT(INDIRECT(ADDRESS(ROW(B221)-1, 'From Order'!$A221)), 1), B220))"),"SWFBJLRL")</f>
        <v>SWFBJLRL</v>
      </c>
      <c r="C221" s="2" t="str">
        <f>IFERROR(__xludf.DUMMYFUNCTION("IF('From Order'!$A221=COLUMNS($A221:C240), LEFT(INDEX(FILTER(C$1:C220, C$1:C220&lt;&gt;""""),COUNTA(FILTER(C$1:C220, C$1:C220&lt;&gt;""""))), LEN(INDEX(FILTER(C$1:C220, C$1:C220&lt;&gt;""""),COUNTA(FILTER(C$1:C220, C$1:C220&lt;&gt;""""))))-1), IF('To Order'!$A221=COLUMNS($A221:C"&amp;"240), C220&amp;RIGHT(INDIRECT(ADDRESS(ROW(C221)-1, 'From Order'!$A221)), 1), C220))"),"")</f>
        <v/>
      </c>
      <c r="D221" s="2" t="str">
        <f>IFERROR(__xludf.DUMMYFUNCTION("IF('From Order'!$A221=COLUMNS($A221:D240), LEFT(INDEX(FILTER(D$1:D220, D$1:D220&lt;&gt;""""),COUNTA(FILTER(D$1:D220, D$1:D220&lt;&gt;""""))), LEN(INDEX(FILTER(D$1:D220, D$1:D220&lt;&gt;""""),COUNTA(FILTER(D$1:D220, D$1:D220&lt;&gt;""""))))-1), IF('To Order'!$A221=COLUMNS($A221:D"&amp;"240), D220&amp;RIGHT(INDIRECT(ADDRESS(ROW(D221)-1, 'From Order'!$A221)), 1), D220))"),"DTCHSPVMZDDTZRWTJ")</f>
        <v>DTCHSPVMZDDTZRWTJ</v>
      </c>
      <c r="E221" s="2" t="str">
        <f>IFERROR(__xludf.DUMMYFUNCTION("IF('From Order'!$A221=COLUMNS($A221:E240), LEFT(INDEX(FILTER(E$1:E220, E$1:E220&lt;&gt;""""),COUNTA(FILTER(E$1:E220, E$1:E220&lt;&gt;""""))), LEN(INDEX(FILTER(E$1:E220, E$1:E220&lt;&gt;""""),COUNTA(FILTER(E$1:E220, E$1:E220&lt;&gt;""""))))-1), IF('To Order'!$A221=COLUMNS($A221:E"&amp;"240), E220&amp;RIGHT(INDIRECT(ADDRESS(ROW(E221)-1, 'From Order'!$A221)), 1), E220))"),"")</f>
        <v/>
      </c>
      <c r="F221" s="2" t="str">
        <f>IFERROR(__xludf.DUMMYFUNCTION("IF('From Order'!$A221=COLUMNS($A221:F240), LEFT(INDEX(FILTER(F$1:F220, F$1:F220&lt;&gt;""""),COUNTA(FILTER(F$1:F220, F$1:F220&lt;&gt;""""))), LEN(INDEX(FILTER(F$1:F220, F$1:F220&lt;&gt;""""),COUNTA(FILTER(F$1:F220, F$1:F220&lt;&gt;""""))))-1), IF('To Order'!$A221=COLUMNS($A221:F"&amp;"240), F220&amp;RIGHT(INDIRECT(ADDRESS(ROW(F221)-1, 'From Order'!$A221)), 1), F220))"),"JDG")</f>
        <v>JDG</v>
      </c>
      <c r="G221" s="2" t="str">
        <f>IFERROR(__xludf.DUMMYFUNCTION("IF('From Order'!$A221=COLUMNS($A221:G240), LEFT(INDEX(FILTER(G$1:G220, G$1:G220&lt;&gt;""""),COUNTA(FILTER(G$1:G220, G$1:G220&lt;&gt;""""))), LEN(INDEX(FILTER(G$1:G220, G$1:G220&lt;&gt;""""),COUNTA(FILTER(G$1:G220, G$1:G220&lt;&gt;""""))))-1), IF('To Order'!$A221=COLUMNS($A221:G"&amp;"240), G220&amp;RIGHT(INDIRECT(ADDRESS(ROW(G221)-1, 'From Order'!$A221)), 1), G220))"),"R")</f>
        <v>R</v>
      </c>
      <c r="H221" s="2" t="str">
        <f>IFERROR(__xludf.DUMMYFUNCTION("IF('From Order'!$A221=COLUMNS($A221:H240), LEFT(INDEX(FILTER(H$1:H220, H$1:H220&lt;&gt;""""),COUNTA(FILTER(H$1:H220, H$1:H220&lt;&gt;""""))), LEN(INDEX(FILTER(H$1:H220, H$1:H220&lt;&gt;""""),COUNTA(FILTER(H$1:H220, H$1:H220&lt;&gt;""""))))-1), IF('To Order'!$A221=COLUMNS($A221:H"&amp;"240), H220&amp;RIGHT(INDIRECT(ADDRESS(ROW(H221)-1, 'From Order'!$A221)), 1), H220))"),"MFTMQCDTHZRVSDPQRBCVT")</f>
        <v>MFTMQCDTHZRVSDPQRBCVT</v>
      </c>
      <c r="I221" s="2" t="str">
        <f>IFERROR(__xludf.DUMMYFUNCTION("IF('From Order'!$A221=COLUMNS($A221:I240), LEFT(INDEX(FILTER(I$1:I220, I$1:I220&lt;&gt;""""),COUNTA(FILTER(I$1:I220, I$1:I220&lt;&gt;""""))), LEN(INDEX(FILTER(I$1:I220, I$1:I220&lt;&gt;""""),COUNTA(FILTER(I$1:I220, I$1:I220&lt;&gt;""""))))-1), IF('To Order'!$A221=COLUMNS($A221:I"&amp;"240), I220&amp;RIGHT(INDIRECT(ADDRESS(ROW(I221)-1, 'From Order'!$A221)), 1), I220))"),"GPBSL")</f>
        <v>GPBSL</v>
      </c>
    </row>
    <row r="222">
      <c r="A222" s="2" t="str">
        <f>IFERROR(__xludf.DUMMYFUNCTION("IF('From Order'!$A222=COLUMNS($A222:A241), LEFT(INDEX(FILTER(A$1:A221, A$1:A221&lt;&gt;""""),COUNTA(FILTER(A$1:A221, A$1:A221&lt;&gt;""""))), LEN(INDEX(FILTER(A$1:A221, A$1:A221&lt;&gt;""""),COUNTA(FILTER(A$1:A221, A$1:A221&lt;&gt;""""))))-1), IF('To Order'!$A222=COLUMNS($A222:A"&amp;"241), A221&amp;RIGHT(INDIRECT(ADDRESS(ROW(A222)-1, 'From Order'!$A222)), 1), A221))"),"B")</f>
        <v>B</v>
      </c>
      <c r="B222" s="2" t="str">
        <f>IFERROR(__xludf.DUMMYFUNCTION("IF('From Order'!$A222=COLUMNS($A222:B241), LEFT(INDEX(FILTER(B$1:B221, B$1:B221&lt;&gt;""""),COUNTA(FILTER(B$1:B221, B$1:B221&lt;&gt;""""))), LEN(INDEX(FILTER(B$1:B221, B$1:B221&lt;&gt;""""),COUNTA(FILTER(B$1:B221, B$1:B221&lt;&gt;""""))))-1), IF('To Order'!$A222=COLUMNS($A222:B"&amp;"241), B221&amp;RIGHT(INDIRECT(ADDRESS(ROW(B222)-1, 'From Order'!$A222)), 1), B221))"),"SWFBJLRL")</f>
        <v>SWFBJLRL</v>
      </c>
      <c r="C222" s="2" t="str">
        <f>IFERROR(__xludf.DUMMYFUNCTION("IF('From Order'!$A222=COLUMNS($A222:C241), LEFT(INDEX(FILTER(C$1:C221, C$1:C221&lt;&gt;""""),COUNTA(FILTER(C$1:C221, C$1:C221&lt;&gt;""""))), LEN(INDEX(FILTER(C$1:C221, C$1:C221&lt;&gt;""""),COUNTA(FILTER(C$1:C221, C$1:C221&lt;&gt;""""))))-1), IF('To Order'!$A222=COLUMNS($A222:C"&amp;"241), C221&amp;RIGHT(INDIRECT(ADDRESS(ROW(C222)-1, 'From Order'!$A222)), 1), C221))"),"")</f>
        <v/>
      </c>
      <c r="D222" s="2" t="str">
        <f>IFERROR(__xludf.DUMMYFUNCTION("IF('From Order'!$A222=COLUMNS($A222:D241), LEFT(INDEX(FILTER(D$1:D221, D$1:D221&lt;&gt;""""),COUNTA(FILTER(D$1:D221, D$1:D221&lt;&gt;""""))), LEN(INDEX(FILTER(D$1:D221, D$1:D221&lt;&gt;""""),COUNTA(FILTER(D$1:D221, D$1:D221&lt;&gt;""""))))-1), IF('To Order'!$A222=COLUMNS($A222:D"&amp;"241), D221&amp;RIGHT(INDIRECT(ADDRESS(ROW(D222)-1, 'From Order'!$A222)), 1), D221))"),"DTCHSPVMZDDTZRWTJ")</f>
        <v>DTCHSPVMZDDTZRWTJ</v>
      </c>
      <c r="E222" s="2" t="str">
        <f>IFERROR(__xludf.DUMMYFUNCTION("IF('From Order'!$A222=COLUMNS($A222:E241), LEFT(INDEX(FILTER(E$1:E221, E$1:E221&lt;&gt;""""),COUNTA(FILTER(E$1:E221, E$1:E221&lt;&gt;""""))), LEN(INDEX(FILTER(E$1:E221, E$1:E221&lt;&gt;""""),COUNTA(FILTER(E$1:E221, E$1:E221&lt;&gt;""""))))-1), IF('To Order'!$A222=COLUMNS($A222:E"&amp;"241), E221&amp;RIGHT(INDIRECT(ADDRESS(ROW(E222)-1, 'From Order'!$A222)), 1), E221))"),"G")</f>
        <v>G</v>
      </c>
      <c r="F222" s="2" t="str">
        <f>IFERROR(__xludf.DUMMYFUNCTION("IF('From Order'!$A222=COLUMNS($A222:F241), LEFT(INDEX(FILTER(F$1:F221, F$1:F221&lt;&gt;""""),COUNTA(FILTER(F$1:F221, F$1:F221&lt;&gt;""""))), LEN(INDEX(FILTER(F$1:F221, F$1:F221&lt;&gt;""""),COUNTA(FILTER(F$1:F221, F$1:F221&lt;&gt;""""))))-1), IF('To Order'!$A222=COLUMNS($A222:F"&amp;"241), F221&amp;RIGHT(INDIRECT(ADDRESS(ROW(F222)-1, 'From Order'!$A222)), 1), F221))"),"JD")</f>
        <v>JD</v>
      </c>
      <c r="G222" s="2" t="str">
        <f>IFERROR(__xludf.DUMMYFUNCTION("IF('From Order'!$A222=COLUMNS($A222:G241), LEFT(INDEX(FILTER(G$1:G221, G$1:G221&lt;&gt;""""),COUNTA(FILTER(G$1:G221, G$1:G221&lt;&gt;""""))), LEN(INDEX(FILTER(G$1:G221, G$1:G221&lt;&gt;""""),COUNTA(FILTER(G$1:G221, G$1:G221&lt;&gt;""""))))-1), IF('To Order'!$A222=COLUMNS($A222:G"&amp;"241), G221&amp;RIGHT(INDIRECT(ADDRESS(ROW(G222)-1, 'From Order'!$A222)), 1), G221))"),"R")</f>
        <v>R</v>
      </c>
      <c r="H222" s="2" t="str">
        <f>IFERROR(__xludf.DUMMYFUNCTION("IF('From Order'!$A222=COLUMNS($A222:H241), LEFT(INDEX(FILTER(H$1:H221, H$1:H221&lt;&gt;""""),COUNTA(FILTER(H$1:H221, H$1:H221&lt;&gt;""""))), LEN(INDEX(FILTER(H$1:H221, H$1:H221&lt;&gt;""""),COUNTA(FILTER(H$1:H221, H$1:H221&lt;&gt;""""))))-1), IF('To Order'!$A222=COLUMNS($A222:H"&amp;"241), H221&amp;RIGHT(INDIRECT(ADDRESS(ROW(H222)-1, 'From Order'!$A222)), 1), H221))"),"MFTMQCDTHZRVSDPQRBCVT")</f>
        <v>MFTMQCDTHZRVSDPQRBCVT</v>
      </c>
      <c r="I222" s="2" t="str">
        <f>IFERROR(__xludf.DUMMYFUNCTION("IF('From Order'!$A222=COLUMNS($A222:I241), LEFT(INDEX(FILTER(I$1:I221, I$1:I221&lt;&gt;""""),COUNTA(FILTER(I$1:I221, I$1:I221&lt;&gt;""""))), LEN(INDEX(FILTER(I$1:I221, I$1:I221&lt;&gt;""""),COUNTA(FILTER(I$1:I221, I$1:I221&lt;&gt;""""))))-1), IF('To Order'!$A222=COLUMNS($A222:I"&amp;"241), I221&amp;RIGHT(INDIRECT(ADDRESS(ROW(I222)-1, 'From Order'!$A222)), 1), I221))"),"GPBSL")</f>
        <v>GPBSL</v>
      </c>
    </row>
    <row r="223">
      <c r="A223" s="2" t="str">
        <f>IFERROR(__xludf.DUMMYFUNCTION("IF('From Order'!$A223=COLUMNS($A223:A242), LEFT(INDEX(FILTER(A$1:A222, A$1:A222&lt;&gt;""""),COUNTA(FILTER(A$1:A222, A$1:A222&lt;&gt;""""))), LEN(INDEX(FILTER(A$1:A222, A$1:A222&lt;&gt;""""),COUNTA(FILTER(A$1:A222, A$1:A222&lt;&gt;""""))))-1), IF('To Order'!$A223=COLUMNS($A223:A"&amp;"242), A222&amp;RIGHT(INDIRECT(ADDRESS(ROW(A223)-1, 'From Order'!$A223)), 1), A222))"),"B")</f>
        <v>B</v>
      </c>
      <c r="B223" s="2" t="str">
        <f>IFERROR(__xludf.DUMMYFUNCTION("IF('From Order'!$A223=COLUMNS($A223:B242), LEFT(INDEX(FILTER(B$1:B222, B$1:B222&lt;&gt;""""),COUNTA(FILTER(B$1:B222, B$1:B222&lt;&gt;""""))), LEN(INDEX(FILTER(B$1:B222, B$1:B222&lt;&gt;""""),COUNTA(FILTER(B$1:B222, B$1:B222&lt;&gt;""""))))-1), IF('To Order'!$A223=COLUMNS($A223:B"&amp;"242), B222&amp;RIGHT(INDIRECT(ADDRESS(ROW(B223)-1, 'From Order'!$A223)), 1), B222))"),"SWFBJLRL")</f>
        <v>SWFBJLRL</v>
      </c>
      <c r="C223" s="2" t="str">
        <f>IFERROR(__xludf.DUMMYFUNCTION("IF('From Order'!$A223=COLUMNS($A223:C242), LEFT(INDEX(FILTER(C$1:C222, C$1:C222&lt;&gt;""""),COUNTA(FILTER(C$1:C222, C$1:C222&lt;&gt;""""))), LEN(INDEX(FILTER(C$1:C222, C$1:C222&lt;&gt;""""),COUNTA(FILTER(C$1:C222, C$1:C222&lt;&gt;""""))))-1), IF('To Order'!$A223=COLUMNS($A223:C"&amp;"242), C222&amp;RIGHT(INDIRECT(ADDRESS(ROW(C223)-1, 'From Order'!$A223)), 1), C222))"),"")</f>
        <v/>
      </c>
      <c r="D223" s="2" t="str">
        <f>IFERROR(__xludf.DUMMYFUNCTION("IF('From Order'!$A223=COLUMNS($A223:D242), LEFT(INDEX(FILTER(D$1:D222, D$1:D222&lt;&gt;""""),COUNTA(FILTER(D$1:D222, D$1:D222&lt;&gt;""""))), LEN(INDEX(FILTER(D$1:D222, D$1:D222&lt;&gt;""""),COUNTA(FILTER(D$1:D222, D$1:D222&lt;&gt;""""))))-1), IF('To Order'!$A223=COLUMNS($A223:D"&amp;"242), D222&amp;RIGHT(INDIRECT(ADDRESS(ROW(D223)-1, 'From Order'!$A223)), 1), D222))"),"DTCHSPVMZDDTZRWTJ")</f>
        <v>DTCHSPVMZDDTZRWTJ</v>
      </c>
      <c r="E223" s="2" t="str">
        <f>IFERROR(__xludf.DUMMYFUNCTION("IF('From Order'!$A223=COLUMNS($A223:E242), LEFT(INDEX(FILTER(E$1:E222, E$1:E222&lt;&gt;""""),COUNTA(FILTER(E$1:E222, E$1:E222&lt;&gt;""""))), LEN(INDEX(FILTER(E$1:E222, E$1:E222&lt;&gt;""""),COUNTA(FILTER(E$1:E222, E$1:E222&lt;&gt;""""))))-1), IF('To Order'!$A223=COLUMNS($A223:E"&amp;"242), E222&amp;RIGHT(INDIRECT(ADDRESS(ROW(E223)-1, 'From Order'!$A223)), 1), E222))"),"GD")</f>
        <v>GD</v>
      </c>
      <c r="F223" s="2" t="str">
        <f>IFERROR(__xludf.DUMMYFUNCTION("IF('From Order'!$A223=COLUMNS($A223:F242), LEFT(INDEX(FILTER(F$1:F222, F$1:F222&lt;&gt;""""),COUNTA(FILTER(F$1:F222, F$1:F222&lt;&gt;""""))), LEN(INDEX(FILTER(F$1:F222, F$1:F222&lt;&gt;""""),COUNTA(FILTER(F$1:F222, F$1:F222&lt;&gt;""""))))-1), IF('To Order'!$A223=COLUMNS($A223:F"&amp;"242), F222&amp;RIGHT(INDIRECT(ADDRESS(ROW(F223)-1, 'From Order'!$A223)), 1), F222))"),"J")</f>
        <v>J</v>
      </c>
      <c r="G223" s="2" t="str">
        <f>IFERROR(__xludf.DUMMYFUNCTION("IF('From Order'!$A223=COLUMNS($A223:G242), LEFT(INDEX(FILTER(G$1:G222, G$1:G222&lt;&gt;""""),COUNTA(FILTER(G$1:G222, G$1:G222&lt;&gt;""""))), LEN(INDEX(FILTER(G$1:G222, G$1:G222&lt;&gt;""""),COUNTA(FILTER(G$1:G222, G$1:G222&lt;&gt;""""))))-1), IF('To Order'!$A223=COLUMNS($A223:G"&amp;"242), G222&amp;RIGHT(INDIRECT(ADDRESS(ROW(G223)-1, 'From Order'!$A223)), 1), G222))"),"R")</f>
        <v>R</v>
      </c>
      <c r="H223" s="2" t="str">
        <f>IFERROR(__xludf.DUMMYFUNCTION("IF('From Order'!$A223=COLUMNS($A223:H242), LEFT(INDEX(FILTER(H$1:H222, H$1:H222&lt;&gt;""""),COUNTA(FILTER(H$1:H222, H$1:H222&lt;&gt;""""))), LEN(INDEX(FILTER(H$1:H222, H$1:H222&lt;&gt;""""),COUNTA(FILTER(H$1:H222, H$1:H222&lt;&gt;""""))))-1), IF('To Order'!$A223=COLUMNS($A223:H"&amp;"242), H222&amp;RIGHT(INDIRECT(ADDRESS(ROW(H223)-1, 'From Order'!$A223)), 1), H222))"),"MFTMQCDTHZRVSDPQRBCVT")</f>
        <v>MFTMQCDTHZRVSDPQRBCVT</v>
      </c>
      <c r="I223" s="2" t="str">
        <f>IFERROR(__xludf.DUMMYFUNCTION("IF('From Order'!$A223=COLUMNS($A223:I242), LEFT(INDEX(FILTER(I$1:I222, I$1:I222&lt;&gt;""""),COUNTA(FILTER(I$1:I222, I$1:I222&lt;&gt;""""))), LEN(INDEX(FILTER(I$1:I222, I$1:I222&lt;&gt;""""),COUNTA(FILTER(I$1:I222, I$1:I222&lt;&gt;""""))))-1), IF('To Order'!$A223=COLUMNS($A223:I"&amp;"242), I222&amp;RIGHT(INDIRECT(ADDRESS(ROW(I223)-1, 'From Order'!$A223)), 1), I222))"),"GPBSL")</f>
        <v>GPBSL</v>
      </c>
    </row>
    <row r="224">
      <c r="A224" s="2" t="str">
        <f>IFERROR(__xludf.DUMMYFUNCTION("IF('From Order'!$A224=COLUMNS($A224:A243), LEFT(INDEX(FILTER(A$1:A223, A$1:A223&lt;&gt;""""),COUNTA(FILTER(A$1:A223, A$1:A223&lt;&gt;""""))), LEN(INDEX(FILTER(A$1:A223, A$1:A223&lt;&gt;""""),COUNTA(FILTER(A$1:A223, A$1:A223&lt;&gt;""""))))-1), IF('To Order'!$A224=COLUMNS($A224:A"&amp;"243), A223&amp;RIGHT(INDIRECT(ADDRESS(ROW(A224)-1, 'From Order'!$A224)), 1), A223))"),"B")</f>
        <v>B</v>
      </c>
      <c r="B224" s="2" t="str">
        <f>IFERROR(__xludf.DUMMYFUNCTION("IF('From Order'!$A224=COLUMNS($A224:B243), LEFT(INDEX(FILTER(B$1:B223, B$1:B223&lt;&gt;""""),COUNTA(FILTER(B$1:B223, B$1:B223&lt;&gt;""""))), LEN(INDEX(FILTER(B$1:B223, B$1:B223&lt;&gt;""""),COUNTA(FILTER(B$1:B223, B$1:B223&lt;&gt;""""))))-1), IF('To Order'!$A224=COLUMNS($A224:B"&amp;"243), B223&amp;RIGHT(INDIRECT(ADDRESS(ROW(B224)-1, 'From Order'!$A224)), 1), B223))"),"SWFBJLRL")</f>
        <v>SWFBJLRL</v>
      </c>
      <c r="C224" s="2" t="str">
        <f>IFERROR(__xludf.DUMMYFUNCTION("IF('From Order'!$A224=COLUMNS($A224:C243), LEFT(INDEX(FILTER(C$1:C223, C$1:C223&lt;&gt;""""),COUNTA(FILTER(C$1:C223, C$1:C223&lt;&gt;""""))), LEN(INDEX(FILTER(C$1:C223, C$1:C223&lt;&gt;""""),COUNTA(FILTER(C$1:C223, C$1:C223&lt;&gt;""""))))-1), IF('To Order'!$A224=COLUMNS($A224:C"&amp;"243), C223&amp;RIGHT(INDIRECT(ADDRESS(ROW(C224)-1, 'From Order'!$A224)), 1), C223))"),"")</f>
        <v/>
      </c>
      <c r="D224" s="2" t="str">
        <f>IFERROR(__xludf.DUMMYFUNCTION("IF('From Order'!$A224=COLUMNS($A224:D243), LEFT(INDEX(FILTER(D$1:D223, D$1:D223&lt;&gt;""""),COUNTA(FILTER(D$1:D223, D$1:D223&lt;&gt;""""))), LEN(INDEX(FILTER(D$1:D223, D$1:D223&lt;&gt;""""),COUNTA(FILTER(D$1:D223, D$1:D223&lt;&gt;""""))))-1), IF('To Order'!$A224=COLUMNS($A224:D"&amp;"243), D223&amp;RIGHT(INDIRECT(ADDRESS(ROW(D224)-1, 'From Order'!$A224)), 1), D223))"),"DTCHSPVMZDDTZRWTJ")</f>
        <v>DTCHSPVMZDDTZRWTJ</v>
      </c>
      <c r="E224" s="2" t="str">
        <f>IFERROR(__xludf.DUMMYFUNCTION("IF('From Order'!$A224=COLUMNS($A224:E243), LEFT(INDEX(FILTER(E$1:E223, E$1:E223&lt;&gt;""""),COUNTA(FILTER(E$1:E223, E$1:E223&lt;&gt;""""))), LEN(INDEX(FILTER(E$1:E223, E$1:E223&lt;&gt;""""),COUNTA(FILTER(E$1:E223, E$1:E223&lt;&gt;""""))))-1), IF('To Order'!$A224=COLUMNS($A224:E"&amp;"243), E223&amp;RIGHT(INDIRECT(ADDRESS(ROW(E224)-1, 'From Order'!$A224)), 1), E223))"),"GDJ")</f>
        <v>GDJ</v>
      </c>
      <c r="F224" s="2" t="str">
        <f>IFERROR(__xludf.DUMMYFUNCTION("IF('From Order'!$A224=COLUMNS($A224:F243), LEFT(INDEX(FILTER(F$1:F223, F$1:F223&lt;&gt;""""),COUNTA(FILTER(F$1:F223, F$1:F223&lt;&gt;""""))), LEN(INDEX(FILTER(F$1:F223, F$1:F223&lt;&gt;""""),COUNTA(FILTER(F$1:F223, F$1:F223&lt;&gt;""""))))-1), IF('To Order'!$A224=COLUMNS($A224:F"&amp;"243), F223&amp;RIGHT(INDIRECT(ADDRESS(ROW(F224)-1, 'From Order'!$A224)), 1), F223))"),"")</f>
        <v/>
      </c>
      <c r="G224" s="2" t="str">
        <f>IFERROR(__xludf.DUMMYFUNCTION("IF('From Order'!$A224=COLUMNS($A224:G243), LEFT(INDEX(FILTER(G$1:G223, G$1:G223&lt;&gt;""""),COUNTA(FILTER(G$1:G223, G$1:G223&lt;&gt;""""))), LEN(INDEX(FILTER(G$1:G223, G$1:G223&lt;&gt;""""),COUNTA(FILTER(G$1:G223, G$1:G223&lt;&gt;""""))))-1), IF('To Order'!$A224=COLUMNS($A224:G"&amp;"243), G223&amp;RIGHT(INDIRECT(ADDRESS(ROW(G224)-1, 'From Order'!$A224)), 1), G223))"),"R")</f>
        <v>R</v>
      </c>
      <c r="H224" s="2" t="str">
        <f>IFERROR(__xludf.DUMMYFUNCTION("IF('From Order'!$A224=COLUMNS($A224:H243), LEFT(INDEX(FILTER(H$1:H223, H$1:H223&lt;&gt;""""),COUNTA(FILTER(H$1:H223, H$1:H223&lt;&gt;""""))), LEN(INDEX(FILTER(H$1:H223, H$1:H223&lt;&gt;""""),COUNTA(FILTER(H$1:H223, H$1:H223&lt;&gt;""""))))-1), IF('To Order'!$A224=COLUMNS($A224:H"&amp;"243), H223&amp;RIGHT(INDIRECT(ADDRESS(ROW(H224)-1, 'From Order'!$A224)), 1), H223))"),"MFTMQCDTHZRVSDPQRBCVT")</f>
        <v>MFTMQCDTHZRVSDPQRBCVT</v>
      </c>
      <c r="I224" s="2" t="str">
        <f>IFERROR(__xludf.DUMMYFUNCTION("IF('From Order'!$A224=COLUMNS($A224:I243), LEFT(INDEX(FILTER(I$1:I223, I$1:I223&lt;&gt;""""),COUNTA(FILTER(I$1:I223, I$1:I223&lt;&gt;""""))), LEN(INDEX(FILTER(I$1:I223, I$1:I223&lt;&gt;""""),COUNTA(FILTER(I$1:I223, I$1:I223&lt;&gt;""""))))-1), IF('To Order'!$A224=COLUMNS($A224:I"&amp;"243), I223&amp;RIGHT(INDIRECT(ADDRESS(ROW(I224)-1, 'From Order'!$A224)), 1), I223))"),"GPBSL")</f>
        <v>GPBSL</v>
      </c>
    </row>
    <row r="225">
      <c r="A225" s="2" t="str">
        <f>IFERROR(__xludf.DUMMYFUNCTION("IF('From Order'!$A225=COLUMNS($A225:A244), LEFT(INDEX(FILTER(A$1:A224, A$1:A224&lt;&gt;""""),COUNTA(FILTER(A$1:A224, A$1:A224&lt;&gt;""""))), LEN(INDEX(FILTER(A$1:A224, A$1:A224&lt;&gt;""""),COUNTA(FILTER(A$1:A224, A$1:A224&lt;&gt;""""))))-1), IF('To Order'!$A225=COLUMNS($A225:A"&amp;"244), A224&amp;RIGHT(INDIRECT(ADDRESS(ROW(A225)-1, 'From Order'!$A225)), 1), A224))"),"")</f>
        <v/>
      </c>
      <c r="B225" s="2" t="str">
        <f>IFERROR(__xludf.DUMMYFUNCTION("IF('From Order'!$A225=COLUMNS($A225:B244), LEFT(INDEX(FILTER(B$1:B224, B$1:B224&lt;&gt;""""),COUNTA(FILTER(B$1:B224, B$1:B224&lt;&gt;""""))), LEN(INDEX(FILTER(B$1:B224, B$1:B224&lt;&gt;""""),COUNTA(FILTER(B$1:B224, B$1:B224&lt;&gt;""""))))-1), IF('To Order'!$A225=COLUMNS($A225:B"&amp;"244), B224&amp;RIGHT(INDIRECT(ADDRESS(ROW(B225)-1, 'From Order'!$A225)), 1), B224))"),"SWFBJLRL")</f>
        <v>SWFBJLRL</v>
      </c>
      <c r="C225" s="2" t="str">
        <f>IFERROR(__xludf.DUMMYFUNCTION("IF('From Order'!$A225=COLUMNS($A225:C244), LEFT(INDEX(FILTER(C$1:C224, C$1:C224&lt;&gt;""""),COUNTA(FILTER(C$1:C224, C$1:C224&lt;&gt;""""))), LEN(INDEX(FILTER(C$1:C224, C$1:C224&lt;&gt;""""),COUNTA(FILTER(C$1:C224, C$1:C224&lt;&gt;""""))))-1), IF('To Order'!$A225=COLUMNS($A225:C"&amp;"244), C224&amp;RIGHT(INDIRECT(ADDRESS(ROW(C225)-1, 'From Order'!$A225)), 1), C224))"),"")</f>
        <v/>
      </c>
      <c r="D225" s="2" t="str">
        <f>IFERROR(__xludf.DUMMYFUNCTION("IF('From Order'!$A225=COLUMNS($A225:D244), LEFT(INDEX(FILTER(D$1:D224, D$1:D224&lt;&gt;""""),COUNTA(FILTER(D$1:D224, D$1:D224&lt;&gt;""""))), LEN(INDEX(FILTER(D$1:D224, D$1:D224&lt;&gt;""""),COUNTA(FILTER(D$1:D224, D$1:D224&lt;&gt;""""))))-1), IF('To Order'!$A225=COLUMNS($A225:D"&amp;"244), D224&amp;RIGHT(INDIRECT(ADDRESS(ROW(D225)-1, 'From Order'!$A225)), 1), D224))"),"DTCHSPVMZDDTZRWTJ")</f>
        <v>DTCHSPVMZDDTZRWTJ</v>
      </c>
      <c r="E225" s="2" t="str">
        <f>IFERROR(__xludf.DUMMYFUNCTION("IF('From Order'!$A225=COLUMNS($A225:E244), LEFT(INDEX(FILTER(E$1:E224, E$1:E224&lt;&gt;""""),COUNTA(FILTER(E$1:E224, E$1:E224&lt;&gt;""""))), LEN(INDEX(FILTER(E$1:E224, E$1:E224&lt;&gt;""""),COUNTA(FILTER(E$1:E224, E$1:E224&lt;&gt;""""))))-1), IF('To Order'!$A225=COLUMNS($A225:E"&amp;"244), E224&amp;RIGHT(INDIRECT(ADDRESS(ROW(E225)-1, 'From Order'!$A225)), 1), E224))"),"GDJB")</f>
        <v>GDJB</v>
      </c>
      <c r="F225" s="2" t="str">
        <f>IFERROR(__xludf.DUMMYFUNCTION("IF('From Order'!$A225=COLUMNS($A225:F244), LEFT(INDEX(FILTER(F$1:F224, F$1:F224&lt;&gt;""""),COUNTA(FILTER(F$1:F224, F$1:F224&lt;&gt;""""))), LEN(INDEX(FILTER(F$1:F224, F$1:F224&lt;&gt;""""),COUNTA(FILTER(F$1:F224, F$1:F224&lt;&gt;""""))))-1), IF('To Order'!$A225=COLUMNS($A225:F"&amp;"244), F224&amp;RIGHT(INDIRECT(ADDRESS(ROW(F225)-1, 'From Order'!$A225)), 1), F224))"),"")</f>
        <v/>
      </c>
      <c r="G225" s="2" t="str">
        <f>IFERROR(__xludf.DUMMYFUNCTION("IF('From Order'!$A225=COLUMNS($A225:G244), LEFT(INDEX(FILTER(G$1:G224, G$1:G224&lt;&gt;""""),COUNTA(FILTER(G$1:G224, G$1:G224&lt;&gt;""""))), LEN(INDEX(FILTER(G$1:G224, G$1:G224&lt;&gt;""""),COUNTA(FILTER(G$1:G224, G$1:G224&lt;&gt;""""))))-1), IF('To Order'!$A225=COLUMNS($A225:G"&amp;"244), G224&amp;RIGHT(INDIRECT(ADDRESS(ROW(G225)-1, 'From Order'!$A225)), 1), G224))"),"R")</f>
        <v>R</v>
      </c>
      <c r="H225" s="2" t="str">
        <f>IFERROR(__xludf.DUMMYFUNCTION("IF('From Order'!$A225=COLUMNS($A225:H244), LEFT(INDEX(FILTER(H$1:H224, H$1:H224&lt;&gt;""""),COUNTA(FILTER(H$1:H224, H$1:H224&lt;&gt;""""))), LEN(INDEX(FILTER(H$1:H224, H$1:H224&lt;&gt;""""),COUNTA(FILTER(H$1:H224, H$1:H224&lt;&gt;""""))))-1), IF('To Order'!$A225=COLUMNS($A225:H"&amp;"244), H224&amp;RIGHT(INDIRECT(ADDRESS(ROW(H225)-1, 'From Order'!$A225)), 1), H224))"),"MFTMQCDTHZRVSDPQRBCVT")</f>
        <v>MFTMQCDTHZRVSDPQRBCVT</v>
      </c>
      <c r="I225" s="2" t="str">
        <f>IFERROR(__xludf.DUMMYFUNCTION("IF('From Order'!$A225=COLUMNS($A225:I244), LEFT(INDEX(FILTER(I$1:I224, I$1:I224&lt;&gt;""""),COUNTA(FILTER(I$1:I224, I$1:I224&lt;&gt;""""))), LEN(INDEX(FILTER(I$1:I224, I$1:I224&lt;&gt;""""),COUNTA(FILTER(I$1:I224, I$1:I224&lt;&gt;""""))))-1), IF('To Order'!$A225=COLUMNS($A225:I"&amp;"244), I224&amp;RIGHT(INDIRECT(ADDRESS(ROW(I225)-1, 'From Order'!$A225)), 1), I224))"),"GPBSL")</f>
        <v>GPBSL</v>
      </c>
    </row>
    <row r="226">
      <c r="A226" s="2" t="str">
        <f>IFERROR(__xludf.DUMMYFUNCTION("IF('From Order'!$A226=COLUMNS($A226:A245), LEFT(INDEX(FILTER(A$1:A225, A$1:A225&lt;&gt;""""),COUNTA(FILTER(A$1:A225, A$1:A225&lt;&gt;""""))), LEN(INDEX(FILTER(A$1:A225, A$1:A225&lt;&gt;""""),COUNTA(FILTER(A$1:A225, A$1:A225&lt;&gt;""""))))-1), IF('To Order'!$A226=COLUMNS($A226:A"&amp;"245), A225&amp;RIGHT(INDIRECT(ADDRESS(ROW(A226)-1, 'From Order'!$A226)), 1), A225))"),"")</f>
        <v/>
      </c>
      <c r="B226" s="2" t="str">
        <f>IFERROR(__xludf.DUMMYFUNCTION("IF('From Order'!$A226=COLUMNS($A226:B245), LEFT(INDEX(FILTER(B$1:B225, B$1:B225&lt;&gt;""""),COUNTA(FILTER(B$1:B225, B$1:B225&lt;&gt;""""))), LEN(INDEX(FILTER(B$1:B225, B$1:B225&lt;&gt;""""),COUNTA(FILTER(B$1:B225, B$1:B225&lt;&gt;""""))))-1), IF('To Order'!$A226=COLUMNS($A226:B"&amp;"245), B225&amp;RIGHT(INDIRECT(ADDRESS(ROW(B226)-1, 'From Order'!$A226)), 1), B225))"),"SWFBJLRL")</f>
        <v>SWFBJLRL</v>
      </c>
      <c r="C226" s="2" t="str">
        <f>IFERROR(__xludf.DUMMYFUNCTION("IF('From Order'!$A226=COLUMNS($A226:C245), LEFT(INDEX(FILTER(C$1:C225, C$1:C225&lt;&gt;""""),COUNTA(FILTER(C$1:C225, C$1:C225&lt;&gt;""""))), LEN(INDEX(FILTER(C$1:C225, C$1:C225&lt;&gt;""""),COUNTA(FILTER(C$1:C225, C$1:C225&lt;&gt;""""))))-1), IF('To Order'!$A226=COLUMNS($A226:C"&amp;"245), C225&amp;RIGHT(INDIRECT(ADDRESS(ROW(C226)-1, 'From Order'!$A226)), 1), C225))"),"")</f>
        <v/>
      </c>
      <c r="D226" s="2" t="str">
        <f>IFERROR(__xludf.DUMMYFUNCTION("IF('From Order'!$A226=COLUMNS($A226:D245), LEFT(INDEX(FILTER(D$1:D225, D$1:D225&lt;&gt;""""),COUNTA(FILTER(D$1:D225, D$1:D225&lt;&gt;""""))), LEN(INDEX(FILTER(D$1:D225, D$1:D225&lt;&gt;""""),COUNTA(FILTER(D$1:D225, D$1:D225&lt;&gt;""""))))-1), IF('To Order'!$A226=COLUMNS($A226:D"&amp;"245), D225&amp;RIGHT(INDIRECT(ADDRESS(ROW(D226)-1, 'From Order'!$A226)), 1), D225))"),"DTCHSPVMZDDTZRWT")</f>
        <v>DTCHSPVMZDDTZRWT</v>
      </c>
      <c r="E226" s="2" t="str">
        <f>IFERROR(__xludf.DUMMYFUNCTION("IF('From Order'!$A226=COLUMNS($A226:E245), LEFT(INDEX(FILTER(E$1:E225, E$1:E225&lt;&gt;""""),COUNTA(FILTER(E$1:E225, E$1:E225&lt;&gt;""""))), LEN(INDEX(FILTER(E$1:E225, E$1:E225&lt;&gt;""""),COUNTA(FILTER(E$1:E225, E$1:E225&lt;&gt;""""))))-1), IF('To Order'!$A226=COLUMNS($A226:E"&amp;"245), E225&amp;RIGHT(INDIRECT(ADDRESS(ROW(E226)-1, 'From Order'!$A226)), 1), E225))"),"GDJB")</f>
        <v>GDJB</v>
      </c>
      <c r="F226" s="2" t="str">
        <f>IFERROR(__xludf.DUMMYFUNCTION("IF('From Order'!$A226=COLUMNS($A226:F245), LEFT(INDEX(FILTER(F$1:F225, F$1:F225&lt;&gt;""""),COUNTA(FILTER(F$1:F225, F$1:F225&lt;&gt;""""))), LEN(INDEX(FILTER(F$1:F225, F$1:F225&lt;&gt;""""),COUNTA(FILTER(F$1:F225, F$1:F225&lt;&gt;""""))))-1), IF('To Order'!$A226=COLUMNS($A226:F"&amp;"245), F225&amp;RIGHT(INDIRECT(ADDRESS(ROW(F226)-1, 'From Order'!$A226)), 1), F225))"),"")</f>
        <v/>
      </c>
      <c r="G226" s="2" t="str">
        <f>IFERROR(__xludf.DUMMYFUNCTION("IF('From Order'!$A226=COLUMNS($A226:G245), LEFT(INDEX(FILTER(G$1:G225, G$1:G225&lt;&gt;""""),COUNTA(FILTER(G$1:G225, G$1:G225&lt;&gt;""""))), LEN(INDEX(FILTER(G$1:G225, G$1:G225&lt;&gt;""""),COUNTA(FILTER(G$1:G225, G$1:G225&lt;&gt;""""))))-1), IF('To Order'!$A226=COLUMNS($A226:G"&amp;"245), G225&amp;RIGHT(INDIRECT(ADDRESS(ROW(G226)-1, 'From Order'!$A226)), 1), G225))"),"R")</f>
        <v>R</v>
      </c>
      <c r="H226" s="2" t="str">
        <f>IFERROR(__xludf.DUMMYFUNCTION("IF('From Order'!$A226=COLUMNS($A226:H245), LEFT(INDEX(FILTER(H$1:H225, H$1:H225&lt;&gt;""""),COUNTA(FILTER(H$1:H225, H$1:H225&lt;&gt;""""))), LEN(INDEX(FILTER(H$1:H225, H$1:H225&lt;&gt;""""),COUNTA(FILTER(H$1:H225, H$1:H225&lt;&gt;""""))))-1), IF('To Order'!$A226=COLUMNS($A226:H"&amp;"245), H225&amp;RIGHT(INDIRECT(ADDRESS(ROW(H226)-1, 'From Order'!$A226)), 1), H225))"),"MFTMQCDTHZRVSDPQRBCVTJ")</f>
        <v>MFTMQCDTHZRVSDPQRBCVTJ</v>
      </c>
      <c r="I226" s="2" t="str">
        <f>IFERROR(__xludf.DUMMYFUNCTION("IF('From Order'!$A226=COLUMNS($A226:I245), LEFT(INDEX(FILTER(I$1:I225, I$1:I225&lt;&gt;""""),COUNTA(FILTER(I$1:I225, I$1:I225&lt;&gt;""""))), LEN(INDEX(FILTER(I$1:I225, I$1:I225&lt;&gt;""""),COUNTA(FILTER(I$1:I225, I$1:I225&lt;&gt;""""))))-1), IF('To Order'!$A226=COLUMNS($A226:I"&amp;"245), I225&amp;RIGHT(INDIRECT(ADDRESS(ROW(I226)-1, 'From Order'!$A226)), 1), I225))"),"GPBSL")</f>
        <v>GPBSL</v>
      </c>
    </row>
    <row r="227">
      <c r="A227" s="2" t="str">
        <f>IFERROR(__xludf.DUMMYFUNCTION("IF('From Order'!$A227=COLUMNS($A227:A246), LEFT(INDEX(FILTER(A$1:A226, A$1:A226&lt;&gt;""""),COUNTA(FILTER(A$1:A226, A$1:A226&lt;&gt;""""))), LEN(INDEX(FILTER(A$1:A226, A$1:A226&lt;&gt;""""),COUNTA(FILTER(A$1:A226, A$1:A226&lt;&gt;""""))))-1), IF('To Order'!$A227=COLUMNS($A227:A"&amp;"246), A226&amp;RIGHT(INDIRECT(ADDRESS(ROW(A227)-1, 'From Order'!$A227)), 1), A226))"),"")</f>
        <v/>
      </c>
      <c r="B227" s="2" t="str">
        <f>IFERROR(__xludf.DUMMYFUNCTION("IF('From Order'!$A227=COLUMNS($A227:B246), LEFT(INDEX(FILTER(B$1:B226, B$1:B226&lt;&gt;""""),COUNTA(FILTER(B$1:B226, B$1:B226&lt;&gt;""""))), LEN(INDEX(FILTER(B$1:B226, B$1:B226&lt;&gt;""""),COUNTA(FILTER(B$1:B226, B$1:B226&lt;&gt;""""))))-1), IF('To Order'!$A227=COLUMNS($A227:B"&amp;"246), B226&amp;RIGHT(INDIRECT(ADDRESS(ROW(B227)-1, 'From Order'!$A227)), 1), B226))"),"SWFBJLRL")</f>
        <v>SWFBJLRL</v>
      </c>
      <c r="C227" s="2" t="str">
        <f>IFERROR(__xludf.DUMMYFUNCTION("IF('From Order'!$A227=COLUMNS($A227:C246), LEFT(INDEX(FILTER(C$1:C226, C$1:C226&lt;&gt;""""),COUNTA(FILTER(C$1:C226, C$1:C226&lt;&gt;""""))), LEN(INDEX(FILTER(C$1:C226, C$1:C226&lt;&gt;""""),COUNTA(FILTER(C$1:C226, C$1:C226&lt;&gt;""""))))-1), IF('To Order'!$A227=COLUMNS($A227:C"&amp;"246), C226&amp;RIGHT(INDIRECT(ADDRESS(ROW(C227)-1, 'From Order'!$A227)), 1), C226))"),"")</f>
        <v/>
      </c>
      <c r="D227" s="2" t="str">
        <f>IFERROR(__xludf.DUMMYFUNCTION("IF('From Order'!$A227=COLUMNS($A227:D246), LEFT(INDEX(FILTER(D$1:D226, D$1:D226&lt;&gt;""""),COUNTA(FILTER(D$1:D226, D$1:D226&lt;&gt;""""))), LEN(INDEX(FILTER(D$1:D226, D$1:D226&lt;&gt;""""),COUNTA(FILTER(D$1:D226, D$1:D226&lt;&gt;""""))))-1), IF('To Order'!$A227=COLUMNS($A227:D"&amp;"246), D226&amp;RIGHT(INDIRECT(ADDRESS(ROW(D227)-1, 'From Order'!$A227)), 1), D226))"),"DTCHSPVMZDDTZRW")</f>
        <v>DTCHSPVMZDDTZRW</v>
      </c>
      <c r="E227" s="2" t="str">
        <f>IFERROR(__xludf.DUMMYFUNCTION("IF('From Order'!$A227=COLUMNS($A227:E246), LEFT(INDEX(FILTER(E$1:E226, E$1:E226&lt;&gt;""""),COUNTA(FILTER(E$1:E226, E$1:E226&lt;&gt;""""))), LEN(INDEX(FILTER(E$1:E226, E$1:E226&lt;&gt;""""),COUNTA(FILTER(E$1:E226, E$1:E226&lt;&gt;""""))))-1), IF('To Order'!$A227=COLUMNS($A227:E"&amp;"246), E226&amp;RIGHT(INDIRECT(ADDRESS(ROW(E227)-1, 'From Order'!$A227)), 1), E226))"),"GDJB")</f>
        <v>GDJB</v>
      </c>
      <c r="F227" s="2" t="str">
        <f>IFERROR(__xludf.DUMMYFUNCTION("IF('From Order'!$A227=COLUMNS($A227:F246), LEFT(INDEX(FILTER(F$1:F226, F$1:F226&lt;&gt;""""),COUNTA(FILTER(F$1:F226, F$1:F226&lt;&gt;""""))), LEN(INDEX(FILTER(F$1:F226, F$1:F226&lt;&gt;""""),COUNTA(FILTER(F$1:F226, F$1:F226&lt;&gt;""""))))-1), IF('To Order'!$A227=COLUMNS($A227:F"&amp;"246), F226&amp;RIGHT(INDIRECT(ADDRESS(ROW(F227)-1, 'From Order'!$A227)), 1), F226))"),"")</f>
        <v/>
      </c>
      <c r="G227" s="2" t="str">
        <f>IFERROR(__xludf.DUMMYFUNCTION("IF('From Order'!$A227=COLUMNS($A227:G246), LEFT(INDEX(FILTER(G$1:G226, G$1:G226&lt;&gt;""""),COUNTA(FILTER(G$1:G226, G$1:G226&lt;&gt;""""))), LEN(INDEX(FILTER(G$1:G226, G$1:G226&lt;&gt;""""),COUNTA(FILTER(G$1:G226, G$1:G226&lt;&gt;""""))))-1), IF('To Order'!$A227=COLUMNS($A227:G"&amp;"246), G226&amp;RIGHT(INDIRECT(ADDRESS(ROW(G227)-1, 'From Order'!$A227)), 1), G226))"),"R")</f>
        <v>R</v>
      </c>
      <c r="H227" s="2" t="str">
        <f>IFERROR(__xludf.DUMMYFUNCTION("IF('From Order'!$A227=COLUMNS($A227:H246), LEFT(INDEX(FILTER(H$1:H226, H$1:H226&lt;&gt;""""),COUNTA(FILTER(H$1:H226, H$1:H226&lt;&gt;""""))), LEN(INDEX(FILTER(H$1:H226, H$1:H226&lt;&gt;""""),COUNTA(FILTER(H$1:H226, H$1:H226&lt;&gt;""""))))-1), IF('To Order'!$A227=COLUMNS($A227:H"&amp;"246), H226&amp;RIGHT(INDIRECT(ADDRESS(ROW(H227)-1, 'From Order'!$A227)), 1), H226))"),"MFTMQCDTHZRVSDPQRBCVTJT")</f>
        <v>MFTMQCDTHZRVSDPQRBCVTJT</v>
      </c>
      <c r="I227" s="2" t="str">
        <f>IFERROR(__xludf.DUMMYFUNCTION("IF('From Order'!$A227=COLUMNS($A227:I246), LEFT(INDEX(FILTER(I$1:I226, I$1:I226&lt;&gt;""""),COUNTA(FILTER(I$1:I226, I$1:I226&lt;&gt;""""))), LEN(INDEX(FILTER(I$1:I226, I$1:I226&lt;&gt;""""),COUNTA(FILTER(I$1:I226, I$1:I226&lt;&gt;""""))))-1), IF('To Order'!$A227=COLUMNS($A227:I"&amp;"246), I226&amp;RIGHT(INDIRECT(ADDRESS(ROW(I227)-1, 'From Order'!$A227)), 1), I226))"),"GPBSL")</f>
        <v>GPBSL</v>
      </c>
    </row>
    <row r="228">
      <c r="A228" s="2" t="str">
        <f>IFERROR(__xludf.DUMMYFUNCTION("IF('From Order'!$A228=COLUMNS($A228:A247), LEFT(INDEX(FILTER(A$1:A227, A$1:A227&lt;&gt;""""),COUNTA(FILTER(A$1:A227, A$1:A227&lt;&gt;""""))), LEN(INDEX(FILTER(A$1:A227, A$1:A227&lt;&gt;""""),COUNTA(FILTER(A$1:A227, A$1:A227&lt;&gt;""""))))-1), IF('To Order'!$A228=COLUMNS($A228:A"&amp;"247), A227&amp;RIGHT(INDIRECT(ADDRESS(ROW(A228)-1, 'From Order'!$A228)), 1), A227))"),"")</f>
        <v/>
      </c>
      <c r="B228" s="2" t="str">
        <f>IFERROR(__xludf.DUMMYFUNCTION("IF('From Order'!$A228=COLUMNS($A228:B247), LEFT(INDEX(FILTER(B$1:B227, B$1:B227&lt;&gt;""""),COUNTA(FILTER(B$1:B227, B$1:B227&lt;&gt;""""))), LEN(INDEX(FILTER(B$1:B227, B$1:B227&lt;&gt;""""),COUNTA(FILTER(B$1:B227, B$1:B227&lt;&gt;""""))))-1), IF('To Order'!$A228=COLUMNS($A228:B"&amp;"247), B227&amp;RIGHT(INDIRECT(ADDRESS(ROW(B228)-1, 'From Order'!$A228)), 1), B227))"),"SWFBJLRL")</f>
        <v>SWFBJLRL</v>
      </c>
      <c r="C228" s="2" t="str">
        <f>IFERROR(__xludf.DUMMYFUNCTION("IF('From Order'!$A228=COLUMNS($A228:C247), LEFT(INDEX(FILTER(C$1:C227, C$1:C227&lt;&gt;""""),COUNTA(FILTER(C$1:C227, C$1:C227&lt;&gt;""""))), LEN(INDEX(FILTER(C$1:C227, C$1:C227&lt;&gt;""""),COUNTA(FILTER(C$1:C227, C$1:C227&lt;&gt;""""))))-1), IF('To Order'!$A228=COLUMNS($A228:C"&amp;"247), C227&amp;RIGHT(INDIRECT(ADDRESS(ROW(C228)-1, 'From Order'!$A228)), 1), C227))"),"")</f>
        <v/>
      </c>
      <c r="D228" s="2" t="str">
        <f>IFERROR(__xludf.DUMMYFUNCTION("IF('From Order'!$A228=COLUMNS($A228:D247), LEFT(INDEX(FILTER(D$1:D227, D$1:D227&lt;&gt;""""),COUNTA(FILTER(D$1:D227, D$1:D227&lt;&gt;""""))), LEN(INDEX(FILTER(D$1:D227, D$1:D227&lt;&gt;""""),COUNTA(FILTER(D$1:D227, D$1:D227&lt;&gt;""""))))-1), IF('To Order'!$A228=COLUMNS($A228:D"&amp;"247), D227&amp;RIGHT(INDIRECT(ADDRESS(ROW(D228)-1, 'From Order'!$A228)), 1), D227))"),"DTCHSPVMZDDTZR")</f>
        <v>DTCHSPVMZDDTZR</v>
      </c>
      <c r="E228" s="2" t="str">
        <f>IFERROR(__xludf.DUMMYFUNCTION("IF('From Order'!$A228=COLUMNS($A228:E247), LEFT(INDEX(FILTER(E$1:E227, E$1:E227&lt;&gt;""""),COUNTA(FILTER(E$1:E227, E$1:E227&lt;&gt;""""))), LEN(INDEX(FILTER(E$1:E227, E$1:E227&lt;&gt;""""),COUNTA(FILTER(E$1:E227, E$1:E227&lt;&gt;""""))))-1), IF('To Order'!$A228=COLUMNS($A228:E"&amp;"247), E227&amp;RIGHT(INDIRECT(ADDRESS(ROW(E228)-1, 'From Order'!$A228)), 1), E227))"),"GDJB")</f>
        <v>GDJB</v>
      </c>
      <c r="F228" s="2" t="str">
        <f>IFERROR(__xludf.DUMMYFUNCTION("IF('From Order'!$A228=COLUMNS($A228:F247), LEFT(INDEX(FILTER(F$1:F227, F$1:F227&lt;&gt;""""),COUNTA(FILTER(F$1:F227, F$1:F227&lt;&gt;""""))), LEN(INDEX(FILTER(F$1:F227, F$1:F227&lt;&gt;""""),COUNTA(FILTER(F$1:F227, F$1:F227&lt;&gt;""""))))-1), IF('To Order'!$A228=COLUMNS($A228:F"&amp;"247), F227&amp;RIGHT(INDIRECT(ADDRESS(ROW(F228)-1, 'From Order'!$A228)), 1), F227))"),"")</f>
        <v/>
      </c>
      <c r="G228" s="2" t="str">
        <f>IFERROR(__xludf.DUMMYFUNCTION("IF('From Order'!$A228=COLUMNS($A228:G247), LEFT(INDEX(FILTER(G$1:G227, G$1:G227&lt;&gt;""""),COUNTA(FILTER(G$1:G227, G$1:G227&lt;&gt;""""))), LEN(INDEX(FILTER(G$1:G227, G$1:G227&lt;&gt;""""),COUNTA(FILTER(G$1:G227, G$1:G227&lt;&gt;""""))))-1), IF('To Order'!$A228=COLUMNS($A228:G"&amp;"247), G227&amp;RIGHT(INDIRECT(ADDRESS(ROW(G228)-1, 'From Order'!$A228)), 1), G227))"),"R")</f>
        <v>R</v>
      </c>
      <c r="H228" s="2" t="str">
        <f>IFERROR(__xludf.DUMMYFUNCTION("IF('From Order'!$A228=COLUMNS($A228:H247), LEFT(INDEX(FILTER(H$1:H227, H$1:H227&lt;&gt;""""),COUNTA(FILTER(H$1:H227, H$1:H227&lt;&gt;""""))), LEN(INDEX(FILTER(H$1:H227, H$1:H227&lt;&gt;""""),COUNTA(FILTER(H$1:H227, H$1:H227&lt;&gt;""""))))-1), IF('To Order'!$A228=COLUMNS($A228:H"&amp;"247), H227&amp;RIGHT(INDIRECT(ADDRESS(ROW(H228)-1, 'From Order'!$A228)), 1), H227))"),"MFTMQCDTHZRVSDPQRBCVTJTW")</f>
        <v>MFTMQCDTHZRVSDPQRBCVTJTW</v>
      </c>
      <c r="I228" s="2" t="str">
        <f>IFERROR(__xludf.DUMMYFUNCTION("IF('From Order'!$A228=COLUMNS($A228:I247), LEFT(INDEX(FILTER(I$1:I227, I$1:I227&lt;&gt;""""),COUNTA(FILTER(I$1:I227, I$1:I227&lt;&gt;""""))), LEN(INDEX(FILTER(I$1:I227, I$1:I227&lt;&gt;""""),COUNTA(FILTER(I$1:I227, I$1:I227&lt;&gt;""""))))-1), IF('To Order'!$A228=COLUMNS($A228:I"&amp;"247), I227&amp;RIGHT(INDIRECT(ADDRESS(ROW(I228)-1, 'From Order'!$A228)), 1), I227))"),"GPBSL")</f>
        <v>GPBSL</v>
      </c>
    </row>
    <row r="229">
      <c r="A229" s="2" t="str">
        <f>IFERROR(__xludf.DUMMYFUNCTION("IF('From Order'!$A229=COLUMNS($A229:A248), LEFT(INDEX(FILTER(A$1:A228, A$1:A228&lt;&gt;""""),COUNTA(FILTER(A$1:A228, A$1:A228&lt;&gt;""""))), LEN(INDEX(FILTER(A$1:A228, A$1:A228&lt;&gt;""""),COUNTA(FILTER(A$1:A228, A$1:A228&lt;&gt;""""))))-1), IF('To Order'!$A229=COLUMNS($A229:A"&amp;"248), A228&amp;RIGHT(INDIRECT(ADDRESS(ROW(A229)-1, 'From Order'!$A229)), 1), A228))"),"")</f>
        <v/>
      </c>
      <c r="B229" s="2" t="str">
        <f>IFERROR(__xludf.DUMMYFUNCTION("IF('From Order'!$A229=COLUMNS($A229:B248), LEFT(INDEX(FILTER(B$1:B228, B$1:B228&lt;&gt;""""),COUNTA(FILTER(B$1:B228, B$1:B228&lt;&gt;""""))), LEN(INDEX(FILTER(B$1:B228, B$1:B228&lt;&gt;""""),COUNTA(FILTER(B$1:B228, B$1:B228&lt;&gt;""""))))-1), IF('To Order'!$A229=COLUMNS($A229:B"&amp;"248), B228&amp;RIGHT(INDIRECT(ADDRESS(ROW(B229)-1, 'From Order'!$A229)), 1), B228))"),"SWFBJLRL")</f>
        <v>SWFBJLRL</v>
      </c>
      <c r="C229" s="2" t="str">
        <f>IFERROR(__xludf.DUMMYFUNCTION("IF('From Order'!$A229=COLUMNS($A229:C248), LEFT(INDEX(FILTER(C$1:C228, C$1:C228&lt;&gt;""""),COUNTA(FILTER(C$1:C228, C$1:C228&lt;&gt;""""))), LEN(INDEX(FILTER(C$1:C228, C$1:C228&lt;&gt;""""),COUNTA(FILTER(C$1:C228, C$1:C228&lt;&gt;""""))))-1), IF('To Order'!$A229=COLUMNS($A229:C"&amp;"248), C228&amp;RIGHT(INDIRECT(ADDRESS(ROW(C229)-1, 'From Order'!$A229)), 1), C228))"),"")</f>
        <v/>
      </c>
      <c r="D229" s="2" t="str">
        <f>IFERROR(__xludf.DUMMYFUNCTION("IF('From Order'!$A229=COLUMNS($A229:D248), LEFT(INDEX(FILTER(D$1:D228, D$1:D228&lt;&gt;""""),COUNTA(FILTER(D$1:D228, D$1:D228&lt;&gt;""""))), LEN(INDEX(FILTER(D$1:D228, D$1:D228&lt;&gt;""""),COUNTA(FILTER(D$1:D228, D$1:D228&lt;&gt;""""))))-1), IF('To Order'!$A229=COLUMNS($A229:D"&amp;"248), D228&amp;RIGHT(INDIRECT(ADDRESS(ROW(D229)-1, 'From Order'!$A229)), 1), D228))"),"DTCHSPVMZDDTZ")</f>
        <v>DTCHSPVMZDDTZ</v>
      </c>
      <c r="E229" s="2" t="str">
        <f>IFERROR(__xludf.DUMMYFUNCTION("IF('From Order'!$A229=COLUMNS($A229:E248), LEFT(INDEX(FILTER(E$1:E228, E$1:E228&lt;&gt;""""),COUNTA(FILTER(E$1:E228, E$1:E228&lt;&gt;""""))), LEN(INDEX(FILTER(E$1:E228, E$1:E228&lt;&gt;""""),COUNTA(FILTER(E$1:E228, E$1:E228&lt;&gt;""""))))-1), IF('To Order'!$A229=COLUMNS($A229:E"&amp;"248), E228&amp;RIGHT(INDIRECT(ADDRESS(ROW(E229)-1, 'From Order'!$A229)), 1), E228))"),"GDJB")</f>
        <v>GDJB</v>
      </c>
      <c r="F229" s="2" t="str">
        <f>IFERROR(__xludf.DUMMYFUNCTION("IF('From Order'!$A229=COLUMNS($A229:F248), LEFT(INDEX(FILTER(F$1:F228, F$1:F228&lt;&gt;""""),COUNTA(FILTER(F$1:F228, F$1:F228&lt;&gt;""""))), LEN(INDEX(FILTER(F$1:F228, F$1:F228&lt;&gt;""""),COUNTA(FILTER(F$1:F228, F$1:F228&lt;&gt;""""))))-1), IF('To Order'!$A229=COLUMNS($A229:F"&amp;"248), F228&amp;RIGHT(INDIRECT(ADDRESS(ROW(F229)-1, 'From Order'!$A229)), 1), F228))"),"")</f>
        <v/>
      </c>
      <c r="G229" s="2" t="str">
        <f>IFERROR(__xludf.DUMMYFUNCTION("IF('From Order'!$A229=COLUMNS($A229:G248), LEFT(INDEX(FILTER(G$1:G228, G$1:G228&lt;&gt;""""),COUNTA(FILTER(G$1:G228, G$1:G228&lt;&gt;""""))), LEN(INDEX(FILTER(G$1:G228, G$1:G228&lt;&gt;""""),COUNTA(FILTER(G$1:G228, G$1:G228&lt;&gt;""""))))-1), IF('To Order'!$A229=COLUMNS($A229:G"&amp;"248), G228&amp;RIGHT(INDIRECT(ADDRESS(ROW(G229)-1, 'From Order'!$A229)), 1), G228))"),"R")</f>
        <v>R</v>
      </c>
      <c r="H229" s="2" t="str">
        <f>IFERROR(__xludf.DUMMYFUNCTION("IF('From Order'!$A229=COLUMNS($A229:H248), LEFT(INDEX(FILTER(H$1:H228, H$1:H228&lt;&gt;""""),COUNTA(FILTER(H$1:H228, H$1:H228&lt;&gt;""""))), LEN(INDEX(FILTER(H$1:H228, H$1:H228&lt;&gt;""""),COUNTA(FILTER(H$1:H228, H$1:H228&lt;&gt;""""))))-1), IF('To Order'!$A229=COLUMNS($A229:H"&amp;"248), H228&amp;RIGHT(INDIRECT(ADDRESS(ROW(H229)-1, 'From Order'!$A229)), 1), H228))"),"MFTMQCDTHZRVSDPQRBCVTJTWR")</f>
        <v>MFTMQCDTHZRVSDPQRBCVTJTWR</v>
      </c>
      <c r="I229" s="2" t="str">
        <f>IFERROR(__xludf.DUMMYFUNCTION("IF('From Order'!$A229=COLUMNS($A229:I248), LEFT(INDEX(FILTER(I$1:I228, I$1:I228&lt;&gt;""""),COUNTA(FILTER(I$1:I228, I$1:I228&lt;&gt;""""))), LEN(INDEX(FILTER(I$1:I228, I$1:I228&lt;&gt;""""),COUNTA(FILTER(I$1:I228, I$1:I228&lt;&gt;""""))))-1), IF('To Order'!$A229=COLUMNS($A229:I"&amp;"248), I228&amp;RIGHT(INDIRECT(ADDRESS(ROW(I229)-1, 'From Order'!$A229)), 1), I228))"),"GPBSL")</f>
        <v>GPBSL</v>
      </c>
    </row>
    <row r="230">
      <c r="A230" s="2" t="str">
        <f>IFERROR(__xludf.DUMMYFUNCTION("IF('From Order'!$A230=COLUMNS($A230:A249), LEFT(INDEX(FILTER(A$1:A229, A$1:A229&lt;&gt;""""),COUNTA(FILTER(A$1:A229, A$1:A229&lt;&gt;""""))), LEN(INDEX(FILTER(A$1:A229, A$1:A229&lt;&gt;""""),COUNTA(FILTER(A$1:A229, A$1:A229&lt;&gt;""""))))-1), IF('To Order'!$A230=COLUMNS($A230:A"&amp;"249), A229&amp;RIGHT(INDIRECT(ADDRESS(ROW(A230)-1, 'From Order'!$A230)), 1), A229))"),"")</f>
        <v/>
      </c>
      <c r="B230" s="2" t="str">
        <f>IFERROR(__xludf.DUMMYFUNCTION("IF('From Order'!$A230=COLUMNS($A230:B249), LEFT(INDEX(FILTER(B$1:B229, B$1:B229&lt;&gt;""""),COUNTA(FILTER(B$1:B229, B$1:B229&lt;&gt;""""))), LEN(INDEX(FILTER(B$1:B229, B$1:B229&lt;&gt;""""),COUNTA(FILTER(B$1:B229, B$1:B229&lt;&gt;""""))))-1), IF('To Order'!$A230=COLUMNS($A230:B"&amp;"249), B229&amp;RIGHT(INDIRECT(ADDRESS(ROW(B230)-1, 'From Order'!$A230)), 1), B229))"),"SWFBJLRL")</f>
        <v>SWFBJLRL</v>
      </c>
      <c r="C230" s="2" t="str">
        <f>IFERROR(__xludf.DUMMYFUNCTION("IF('From Order'!$A230=COLUMNS($A230:C249), LEFT(INDEX(FILTER(C$1:C229, C$1:C229&lt;&gt;""""),COUNTA(FILTER(C$1:C229, C$1:C229&lt;&gt;""""))), LEN(INDEX(FILTER(C$1:C229, C$1:C229&lt;&gt;""""),COUNTA(FILTER(C$1:C229, C$1:C229&lt;&gt;""""))))-1), IF('To Order'!$A230=COLUMNS($A230:C"&amp;"249), C229&amp;RIGHT(INDIRECT(ADDRESS(ROW(C230)-1, 'From Order'!$A230)), 1), C229))"),"")</f>
        <v/>
      </c>
      <c r="D230" s="2" t="str">
        <f>IFERROR(__xludf.DUMMYFUNCTION("IF('From Order'!$A230=COLUMNS($A230:D249), LEFT(INDEX(FILTER(D$1:D229, D$1:D229&lt;&gt;""""),COUNTA(FILTER(D$1:D229, D$1:D229&lt;&gt;""""))), LEN(INDEX(FILTER(D$1:D229, D$1:D229&lt;&gt;""""),COUNTA(FILTER(D$1:D229, D$1:D229&lt;&gt;""""))))-1), IF('To Order'!$A230=COLUMNS($A230:D"&amp;"249), D229&amp;RIGHT(INDIRECT(ADDRESS(ROW(D230)-1, 'From Order'!$A230)), 1), D229))"),"DTCHSPVMZDDT")</f>
        <v>DTCHSPVMZDDT</v>
      </c>
      <c r="E230" s="2" t="str">
        <f>IFERROR(__xludf.DUMMYFUNCTION("IF('From Order'!$A230=COLUMNS($A230:E249), LEFT(INDEX(FILTER(E$1:E229, E$1:E229&lt;&gt;""""),COUNTA(FILTER(E$1:E229, E$1:E229&lt;&gt;""""))), LEN(INDEX(FILTER(E$1:E229, E$1:E229&lt;&gt;""""),COUNTA(FILTER(E$1:E229, E$1:E229&lt;&gt;""""))))-1), IF('To Order'!$A230=COLUMNS($A230:E"&amp;"249), E229&amp;RIGHT(INDIRECT(ADDRESS(ROW(E230)-1, 'From Order'!$A230)), 1), E229))"),"GDJB")</f>
        <v>GDJB</v>
      </c>
      <c r="F230" s="2" t="str">
        <f>IFERROR(__xludf.DUMMYFUNCTION("IF('From Order'!$A230=COLUMNS($A230:F249), LEFT(INDEX(FILTER(F$1:F229, F$1:F229&lt;&gt;""""),COUNTA(FILTER(F$1:F229, F$1:F229&lt;&gt;""""))), LEN(INDEX(FILTER(F$1:F229, F$1:F229&lt;&gt;""""),COUNTA(FILTER(F$1:F229, F$1:F229&lt;&gt;""""))))-1), IF('To Order'!$A230=COLUMNS($A230:F"&amp;"249), F229&amp;RIGHT(INDIRECT(ADDRESS(ROW(F230)-1, 'From Order'!$A230)), 1), F229))"),"")</f>
        <v/>
      </c>
      <c r="G230" s="2" t="str">
        <f>IFERROR(__xludf.DUMMYFUNCTION("IF('From Order'!$A230=COLUMNS($A230:G249), LEFT(INDEX(FILTER(G$1:G229, G$1:G229&lt;&gt;""""),COUNTA(FILTER(G$1:G229, G$1:G229&lt;&gt;""""))), LEN(INDEX(FILTER(G$1:G229, G$1:G229&lt;&gt;""""),COUNTA(FILTER(G$1:G229, G$1:G229&lt;&gt;""""))))-1), IF('To Order'!$A230=COLUMNS($A230:G"&amp;"249), G229&amp;RIGHT(INDIRECT(ADDRESS(ROW(G230)-1, 'From Order'!$A230)), 1), G229))"),"R")</f>
        <v>R</v>
      </c>
      <c r="H230" s="2" t="str">
        <f>IFERROR(__xludf.DUMMYFUNCTION("IF('From Order'!$A230=COLUMNS($A230:H249), LEFT(INDEX(FILTER(H$1:H229, H$1:H229&lt;&gt;""""),COUNTA(FILTER(H$1:H229, H$1:H229&lt;&gt;""""))), LEN(INDEX(FILTER(H$1:H229, H$1:H229&lt;&gt;""""),COUNTA(FILTER(H$1:H229, H$1:H229&lt;&gt;""""))))-1), IF('To Order'!$A230=COLUMNS($A230:H"&amp;"249), H229&amp;RIGHT(INDIRECT(ADDRESS(ROW(H230)-1, 'From Order'!$A230)), 1), H229))"),"MFTMQCDTHZRVSDPQRBCVTJTWRZ")</f>
        <v>MFTMQCDTHZRVSDPQRBCVTJTWRZ</v>
      </c>
      <c r="I230" s="2" t="str">
        <f>IFERROR(__xludf.DUMMYFUNCTION("IF('From Order'!$A230=COLUMNS($A230:I249), LEFT(INDEX(FILTER(I$1:I229, I$1:I229&lt;&gt;""""),COUNTA(FILTER(I$1:I229, I$1:I229&lt;&gt;""""))), LEN(INDEX(FILTER(I$1:I229, I$1:I229&lt;&gt;""""),COUNTA(FILTER(I$1:I229, I$1:I229&lt;&gt;""""))))-1), IF('To Order'!$A230=COLUMNS($A230:I"&amp;"249), I229&amp;RIGHT(INDIRECT(ADDRESS(ROW(I230)-1, 'From Order'!$A230)), 1), I229))"),"GPBSL")</f>
        <v>GPBSL</v>
      </c>
    </row>
    <row r="231">
      <c r="A231" s="2" t="str">
        <f>IFERROR(__xludf.DUMMYFUNCTION("IF('From Order'!$A231=COLUMNS($A231:A250), LEFT(INDEX(FILTER(A$1:A230, A$1:A230&lt;&gt;""""),COUNTA(FILTER(A$1:A230, A$1:A230&lt;&gt;""""))), LEN(INDEX(FILTER(A$1:A230, A$1:A230&lt;&gt;""""),COUNTA(FILTER(A$1:A230, A$1:A230&lt;&gt;""""))))-1), IF('To Order'!$A231=COLUMNS($A231:A"&amp;"250), A230&amp;RIGHT(INDIRECT(ADDRESS(ROW(A231)-1, 'From Order'!$A231)), 1), A230))"),"")</f>
        <v/>
      </c>
      <c r="B231" s="2" t="str">
        <f>IFERROR(__xludf.DUMMYFUNCTION("IF('From Order'!$A231=COLUMNS($A231:B250), LEFT(INDEX(FILTER(B$1:B230, B$1:B230&lt;&gt;""""),COUNTA(FILTER(B$1:B230, B$1:B230&lt;&gt;""""))), LEN(INDEX(FILTER(B$1:B230, B$1:B230&lt;&gt;""""),COUNTA(FILTER(B$1:B230, B$1:B230&lt;&gt;""""))))-1), IF('To Order'!$A231=COLUMNS($A231:B"&amp;"250), B230&amp;RIGHT(INDIRECT(ADDRESS(ROW(B231)-1, 'From Order'!$A231)), 1), B230))"),"SWFBJLRL")</f>
        <v>SWFBJLRL</v>
      </c>
      <c r="C231" s="2" t="str">
        <f>IFERROR(__xludf.DUMMYFUNCTION("IF('From Order'!$A231=COLUMNS($A231:C250), LEFT(INDEX(FILTER(C$1:C230, C$1:C230&lt;&gt;""""),COUNTA(FILTER(C$1:C230, C$1:C230&lt;&gt;""""))), LEN(INDEX(FILTER(C$1:C230, C$1:C230&lt;&gt;""""),COUNTA(FILTER(C$1:C230, C$1:C230&lt;&gt;""""))))-1), IF('To Order'!$A231=COLUMNS($A231:C"&amp;"250), C230&amp;RIGHT(INDIRECT(ADDRESS(ROW(C231)-1, 'From Order'!$A231)), 1), C230))"),"")</f>
        <v/>
      </c>
      <c r="D231" s="2" t="str">
        <f>IFERROR(__xludf.DUMMYFUNCTION("IF('From Order'!$A231=COLUMNS($A231:D250), LEFT(INDEX(FILTER(D$1:D230, D$1:D230&lt;&gt;""""),COUNTA(FILTER(D$1:D230, D$1:D230&lt;&gt;""""))), LEN(INDEX(FILTER(D$1:D230, D$1:D230&lt;&gt;""""),COUNTA(FILTER(D$1:D230, D$1:D230&lt;&gt;""""))))-1), IF('To Order'!$A231=COLUMNS($A231:D"&amp;"250), D230&amp;RIGHT(INDIRECT(ADDRESS(ROW(D231)-1, 'From Order'!$A231)), 1), D230))"),"DTCHSPVMZDD")</f>
        <v>DTCHSPVMZDD</v>
      </c>
      <c r="E231" s="2" t="str">
        <f>IFERROR(__xludf.DUMMYFUNCTION("IF('From Order'!$A231=COLUMNS($A231:E250), LEFT(INDEX(FILTER(E$1:E230, E$1:E230&lt;&gt;""""),COUNTA(FILTER(E$1:E230, E$1:E230&lt;&gt;""""))), LEN(INDEX(FILTER(E$1:E230, E$1:E230&lt;&gt;""""),COUNTA(FILTER(E$1:E230, E$1:E230&lt;&gt;""""))))-1), IF('To Order'!$A231=COLUMNS($A231:E"&amp;"250), E230&amp;RIGHT(INDIRECT(ADDRESS(ROW(E231)-1, 'From Order'!$A231)), 1), E230))"),"GDJB")</f>
        <v>GDJB</v>
      </c>
      <c r="F231" s="2" t="str">
        <f>IFERROR(__xludf.DUMMYFUNCTION("IF('From Order'!$A231=COLUMNS($A231:F250), LEFT(INDEX(FILTER(F$1:F230, F$1:F230&lt;&gt;""""),COUNTA(FILTER(F$1:F230, F$1:F230&lt;&gt;""""))), LEN(INDEX(FILTER(F$1:F230, F$1:F230&lt;&gt;""""),COUNTA(FILTER(F$1:F230, F$1:F230&lt;&gt;""""))))-1), IF('To Order'!$A231=COLUMNS($A231:F"&amp;"250), F230&amp;RIGHT(INDIRECT(ADDRESS(ROW(F231)-1, 'From Order'!$A231)), 1), F230))"),"")</f>
        <v/>
      </c>
      <c r="G231" s="2" t="str">
        <f>IFERROR(__xludf.DUMMYFUNCTION("IF('From Order'!$A231=COLUMNS($A231:G250), LEFT(INDEX(FILTER(G$1:G230, G$1:G230&lt;&gt;""""),COUNTA(FILTER(G$1:G230, G$1:G230&lt;&gt;""""))), LEN(INDEX(FILTER(G$1:G230, G$1:G230&lt;&gt;""""),COUNTA(FILTER(G$1:G230, G$1:G230&lt;&gt;""""))))-1), IF('To Order'!$A231=COLUMNS($A231:G"&amp;"250), G230&amp;RIGHT(INDIRECT(ADDRESS(ROW(G231)-1, 'From Order'!$A231)), 1), G230))"),"R")</f>
        <v>R</v>
      </c>
      <c r="H231" s="2" t="str">
        <f>IFERROR(__xludf.DUMMYFUNCTION("IF('From Order'!$A231=COLUMNS($A231:H250), LEFT(INDEX(FILTER(H$1:H230, H$1:H230&lt;&gt;""""),COUNTA(FILTER(H$1:H230, H$1:H230&lt;&gt;""""))), LEN(INDEX(FILTER(H$1:H230, H$1:H230&lt;&gt;""""),COUNTA(FILTER(H$1:H230, H$1:H230&lt;&gt;""""))))-1), IF('To Order'!$A231=COLUMNS($A231:H"&amp;"250), H230&amp;RIGHT(INDIRECT(ADDRESS(ROW(H231)-1, 'From Order'!$A231)), 1), H230))"),"MFTMQCDTHZRVSDPQRBCVTJTWRZT")</f>
        <v>MFTMQCDTHZRVSDPQRBCVTJTWRZT</v>
      </c>
      <c r="I231" s="2" t="str">
        <f>IFERROR(__xludf.DUMMYFUNCTION("IF('From Order'!$A231=COLUMNS($A231:I250), LEFT(INDEX(FILTER(I$1:I230, I$1:I230&lt;&gt;""""),COUNTA(FILTER(I$1:I230, I$1:I230&lt;&gt;""""))), LEN(INDEX(FILTER(I$1:I230, I$1:I230&lt;&gt;""""),COUNTA(FILTER(I$1:I230, I$1:I230&lt;&gt;""""))))-1), IF('To Order'!$A231=COLUMNS($A231:I"&amp;"250), I230&amp;RIGHT(INDIRECT(ADDRESS(ROW(I231)-1, 'From Order'!$A231)), 1), I230))"),"GPBSL")</f>
        <v>GPBSL</v>
      </c>
    </row>
    <row r="232">
      <c r="A232" s="2" t="str">
        <f>IFERROR(__xludf.DUMMYFUNCTION("IF('From Order'!$A232=COLUMNS($A232:A251), LEFT(INDEX(FILTER(A$1:A231, A$1:A231&lt;&gt;""""),COUNTA(FILTER(A$1:A231, A$1:A231&lt;&gt;""""))), LEN(INDEX(FILTER(A$1:A231, A$1:A231&lt;&gt;""""),COUNTA(FILTER(A$1:A231, A$1:A231&lt;&gt;""""))))-1), IF('To Order'!$A232=COLUMNS($A232:A"&amp;"251), A231&amp;RIGHT(INDIRECT(ADDRESS(ROW(A232)-1, 'From Order'!$A232)), 1), A231))"),"")</f>
        <v/>
      </c>
      <c r="B232" s="2" t="str">
        <f>IFERROR(__xludf.DUMMYFUNCTION("IF('From Order'!$A232=COLUMNS($A232:B251), LEFT(INDEX(FILTER(B$1:B231, B$1:B231&lt;&gt;""""),COUNTA(FILTER(B$1:B231, B$1:B231&lt;&gt;""""))), LEN(INDEX(FILTER(B$1:B231, B$1:B231&lt;&gt;""""),COUNTA(FILTER(B$1:B231, B$1:B231&lt;&gt;""""))))-1), IF('To Order'!$A232=COLUMNS($A232:B"&amp;"251), B231&amp;RIGHT(INDIRECT(ADDRESS(ROW(B232)-1, 'From Order'!$A232)), 1), B231))"),"SWFBJLRL")</f>
        <v>SWFBJLRL</v>
      </c>
      <c r="C232" s="2" t="str">
        <f>IFERROR(__xludf.DUMMYFUNCTION("IF('From Order'!$A232=COLUMNS($A232:C251), LEFT(INDEX(FILTER(C$1:C231, C$1:C231&lt;&gt;""""),COUNTA(FILTER(C$1:C231, C$1:C231&lt;&gt;""""))), LEN(INDEX(FILTER(C$1:C231, C$1:C231&lt;&gt;""""),COUNTA(FILTER(C$1:C231, C$1:C231&lt;&gt;""""))))-1), IF('To Order'!$A232=COLUMNS($A232:C"&amp;"251), C231&amp;RIGHT(INDIRECT(ADDRESS(ROW(C232)-1, 'From Order'!$A232)), 1), C231))"),"")</f>
        <v/>
      </c>
      <c r="D232" s="2" t="str">
        <f>IFERROR(__xludf.DUMMYFUNCTION("IF('From Order'!$A232=COLUMNS($A232:D251), LEFT(INDEX(FILTER(D$1:D231, D$1:D231&lt;&gt;""""),COUNTA(FILTER(D$1:D231, D$1:D231&lt;&gt;""""))), LEN(INDEX(FILTER(D$1:D231, D$1:D231&lt;&gt;""""),COUNTA(FILTER(D$1:D231, D$1:D231&lt;&gt;""""))))-1), IF('To Order'!$A232=COLUMNS($A232:D"&amp;"251), D231&amp;RIGHT(INDIRECT(ADDRESS(ROW(D232)-1, 'From Order'!$A232)), 1), D231))"),"DTCHSPVMZD")</f>
        <v>DTCHSPVMZD</v>
      </c>
      <c r="E232" s="2" t="str">
        <f>IFERROR(__xludf.DUMMYFUNCTION("IF('From Order'!$A232=COLUMNS($A232:E251), LEFT(INDEX(FILTER(E$1:E231, E$1:E231&lt;&gt;""""),COUNTA(FILTER(E$1:E231, E$1:E231&lt;&gt;""""))), LEN(INDEX(FILTER(E$1:E231, E$1:E231&lt;&gt;""""),COUNTA(FILTER(E$1:E231, E$1:E231&lt;&gt;""""))))-1), IF('To Order'!$A232=COLUMNS($A232:E"&amp;"251), E231&amp;RIGHT(INDIRECT(ADDRESS(ROW(E232)-1, 'From Order'!$A232)), 1), E231))"),"GDJB")</f>
        <v>GDJB</v>
      </c>
      <c r="F232" s="2" t="str">
        <f>IFERROR(__xludf.DUMMYFUNCTION("IF('From Order'!$A232=COLUMNS($A232:F251), LEFT(INDEX(FILTER(F$1:F231, F$1:F231&lt;&gt;""""),COUNTA(FILTER(F$1:F231, F$1:F231&lt;&gt;""""))), LEN(INDEX(FILTER(F$1:F231, F$1:F231&lt;&gt;""""),COUNTA(FILTER(F$1:F231, F$1:F231&lt;&gt;""""))))-1), IF('To Order'!$A232=COLUMNS($A232:F"&amp;"251), F231&amp;RIGHT(INDIRECT(ADDRESS(ROW(F232)-1, 'From Order'!$A232)), 1), F231))"),"")</f>
        <v/>
      </c>
      <c r="G232" s="2" t="str">
        <f>IFERROR(__xludf.DUMMYFUNCTION("IF('From Order'!$A232=COLUMNS($A232:G251), LEFT(INDEX(FILTER(G$1:G231, G$1:G231&lt;&gt;""""),COUNTA(FILTER(G$1:G231, G$1:G231&lt;&gt;""""))), LEN(INDEX(FILTER(G$1:G231, G$1:G231&lt;&gt;""""),COUNTA(FILTER(G$1:G231, G$1:G231&lt;&gt;""""))))-1), IF('To Order'!$A232=COLUMNS($A232:G"&amp;"251), G231&amp;RIGHT(INDIRECT(ADDRESS(ROW(G232)-1, 'From Order'!$A232)), 1), G231))"),"R")</f>
        <v>R</v>
      </c>
      <c r="H232" s="2" t="str">
        <f>IFERROR(__xludf.DUMMYFUNCTION("IF('From Order'!$A232=COLUMNS($A232:H251), LEFT(INDEX(FILTER(H$1:H231, H$1:H231&lt;&gt;""""),COUNTA(FILTER(H$1:H231, H$1:H231&lt;&gt;""""))), LEN(INDEX(FILTER(H$1:H231, H$1:H231&lt;&gt;""""),COUNTA(FILTER(H$1:H231, H$1:H231&lt;&gt;""""))))-1), IF('To Order'!$A232=COLUMNS($A232:H"&amp;"251), H231&amp;RIGHT(INDIRECT(ADDRESS(ROW(H232)-1, 'From Order'!$A232)), 1), H231))"),"MFTMQCDTHZRVSDPQRBCVTJTWRZTD")</f>
        <v>MFTMQCDTHZRVSDPQRBCVTJTWRZTD</v>
      </c>
      <c r="I232" s="2" t="str">
        <f>IFERROR(__xludf.DUMMYFUNCTION("IF('From Order'!$A232=COLUMNS($A232:I251), LEFT(INDEX(FILTER(I$1:I231, I$1:I231&lt;&gt;""""),COUNTA(FILTER(I$1:I231, I$1:I231&lt;&gt;""""))), LEN(INDEX(FILTER(I$1:I231, I$1:I231&lt;&gt;""""),COUNTA(FILTER(I$1:I231, I$1:I231&lt;&gt;""""))))-1), IF('To Order'!$A232=COLUMNS($A232:I"&amp;"251), I231&amp;RIGHT(INDIRECT(ADDRESS(ROW(I232)-1, 'From Order'!$A232)), 1), I231))"),"GPBSL")</f>
        <v>GPBSL</v>
      </c>
    </row>
    <row r="233">
      <c r="A233" s="2" t="str">
        <f>IFERROR(__xludf.DUMMYFUNCTION("IF('From Order'!$A233=COLUMNS($A233:A252), LEFT(INDEX(FILTER(A$1:A232, A$1:A232&lt;&gt;""""),COUNTA(FILTER(A$1:A232, A$1:A232&lt;&gt;""""))), LEN(INDEX(FILTER(A$1:A232, A$1:A232&lt;&gt;""""),COUNTA(FILTER(A$1:A232, A$1:A232&lt;&gt;""""))))-1), IF('To Order'!$A233=COLUMNS($A233:A"&amp;"252), A232&amp;RIGHT(INDIRECT(ADDRESS(ROW(A233)-1, 'From Order'!$A233)), 1), A232))"),"")</f>
        <v/>
      </c>
      <c r="B233" s="2" t="str">
        <f>IFERROR(__xludf.DUMMYFUNCTION("IF('From Order'!$A233=COLUMNS($A233:B252), LEFT(INDEX(FILTER(B$1:B232, B$1:B232&lt;&gt;""""),COUNTA(FILTER(B$1:B232, B$1:B232&lt;&gt;""""))), LEN(INDEX(FILTER(B$1:B232, B$1:B232&lt;&gt;""""),COUNTA(FILTER(B$1:B232, B$1:B232&lt;&gt;""""))))-1), IF('To Order'!$A233=COLUMNS($A233:B"&amp;"252), B232&amp;RIGHT(INDIRECT(ADDRESS(ROW(B233)-1, 'From Order'!$A233)), 1), B232))"),"SWFBJLRL")</f>
        <v>SWFBJLRL</v>
      </c>
      <c r="C233" s="2" t="str">
        <f>IFERROR(__xludf.DUMMYFUNCTION("IF('From Order'!$A233=COLUMNS($A233:C252), LEFT(INDEX(FILTER(C$1:C232, C$1:C232&lt;&gt;""""),COUNTA(FILTER(C$1:C232, C$1:C232&lt;&gt;""""))), LEN(INDEX(FILTER(C$1:C232, C$1:C232&lt;&gt;""""),COUNTA(FILTER(C$1:C232, C$1:C232&lt;&gt;""""))))-1), IF('To Order'!$A233=COLUMNS($A233:C"&amp;"252), C232&amp;RIGHT(INDIRECT(ADDRESS(ROW(C233)-1, 'From Order'!$A233)), 1), C232))"),"")</f>
        <v/>
      </c>
      <c r="D233" s="2" t="str">
        <f>IFERROR(__xludf.DUMMYFUNCTION("IF('From Order'!$A233=COLUMNS($A233:D252), LEFT(INDEX(FILTER(D$1:D232, D$1:D232&lt;&gt;""""),COUNTA(FILTER(D$1:D232, D$1:D232&lt;&gt;""""))), LEN(INDEX(FILTER(D$1:D232, D$1:D232&lt;&gt;""""),COUNTA(FILTER(D$1:D232, D$1:D232&lt;&gt;""""))))-1), IF('To Order'!$A233=COLUMNS($A233:D"&amp;"252), D232&amp;RIGHT(INDIRECT(ADDRESS(ROW(D233)-1, 'From Order'!$A233)), 1), D232))"),"DTCHSPVMZ")</f>
        <v>DTCHSPVMZ</v>
      </c>
      <c r="E233" s="2" t="str">
        <f>IFERROR(__xludf.DUMMYFUNCTION("IF('From Order'!$A233=COLUMNS($A233:E252), LEFT(INDEX(FILTER(E$1:E232, E$1:E232&lt;&gt;""""),COUNTA(FILTER(E$1:E232, E$1:E232&lt;&gt;""""))), LEN(INDEX(FILTER(E$1:E232, E$1:E232&lt;&gt;""""),COUNTA(FILTER(E$1:E232, E$1:E232&lt;&gt;""""))))-1), IF('To Order'!$A233=COLUMNS($A233:E"&amp;"252), E232&amp;RIGHT(INDIRECT(ADDRESS(ROW(E233)-1, 'From Order'!$A233)), 1), E232))"),"GDJB")</f>
        <v>GDJB</v>
      </c>
      <c r="F233" s="2" t="str">
        <f>IFERROR(__xludf.DUMMYFUNCTION("IF('From Order'!$A233=COLUMNS($A233:F252), LEFT(INDEX(FILTER(F$1:F232, F$1:F232&lt;&gt;""""),COUNTA(FILTER(F$1:F232, F$1:F232&lt;&gt;""""))), LEN(INDEX(FILTER(F$1:F232, F$1:F232&lt;&gt;""""),COUNTA(FILTER(F$1:F232, F$1:F232&lt;&gt;""""))))-1), IF('To Order'!$A233=COLUMNS($A233:F"&amp;"252), F232&amp;RIGHT(INDIRECT(ADDRESS(ROW(F233)-1, 'From Order'!$A233)), 1), F232))"),"")</f>
        <v/>
      </c>
      <c r="G233" s="2" t="str">
        <f>IFERROR(__xludf.DUMMYFUNCTION("IF('From Order'!$A233=COLUMNS($A233:G252), LEFT(INDEX(FILTER(G$1:G232, G$1:G232&lt;&gt;""""),COUNTA(FILTER(G$1:G232, G$1:G232&lt;&gt;""""))), LEN(INDEX(FILTER(G$1:G232, G$1:G232&lt;&gt;""""),COUNTA(FILTER(G$1:G232, G$1:G232&lt;&gt;""""))))-1), IF('To Order'!$A233=COLUMNS($A233:G"&amp;"252), G232&amp;RIGHT(INDIRECT(ADDRESS(ROW(G233)-1, 'From Order'!$A233)), 1), G232))"),"R")</f>
        <v>R</v>
      </c>
      <c r="H233" s="2" t="str">
        <f>IFERROR(__xludf.DUMMYFUNCTION("IF('From Order'!$A233=COLUMNS($A233:H252), LEFT(INDEX(FILTER(H$1:H232, H$1:H232&lt;&gt;""""),COUNTA(FILTER(H$1:H232, H$1:H232&lt;&gt;""""))), LEN(INDEX(FILTER(H$1:H232, H$1:H232&lt;&gt;""""),COUNTA(FILTER(H$1:H232, H$1:H232&lt;&gt;""""))))-1), IF('To Order'!$A233=COLUMNS($A233:H"&amp;"252), H232&amp;RIGHT(INDIRECT(ADDRESS(ROW(H233)-1, 'From Order'!$A233)), 1), H232))"),"MFTMQCDTHZRVSDPQRBCVTJTWRZTDD")</f>
        <v>MFTMQCDTHZRVSDPQRBCVTJTWRZTDD</v>
      </c>
      <c r="I233" s="2" t="str">
        <f>IFERROR(__xludf.DUMMYFUNCTION("IF('From Order'!$A233=COLUMNS($A233:I252), LEFT(INDEX(FILTER(I$1:I232, I$1:I232&lt;&gt;""""),COUNTA(FILTER(I$1:I232, I$1:I232&lt;&gt;""""))), LEN(INDEX(FILTER(I$1:I232, I$1:I232&lt;&gt;""""),COUNTA(FILTER(I$1:I232, I$1:I232&lt;&gt;""""))))-1), IF('To Order'!$A233=COLUMNS($A233:I"&amp;"252), I232&amp;RIGHT(INDIRECT(ADDRESS(ROW(I233)-1, 'From Order'!$A233)), 1), I232))"),"GPBSL")</f>
        <v>GPBSL</v>
      </c>
    </row>
    <row r="234">
      <c r="A234" s="2" t="str">
        <f>IFERROR(__xludf.DUMMYFUNCTION("IF('From Order'!$A234=COLUMNS($A234:A253), LEFT(INDEX(FILTER(A$1:A233, A$1:A233&lt;&gt;""""),COUNTA(FILTER(A$1:A233, A$1:A233&lt;&gt;""""))), LEN(INDEX(FILTER(A$1:A233, A$1:A233&lt;&gt;""""),COUNTA(FILTER(A$1:A233, A$1:A233&lt;&gt;""""))))-1), IF('To Order'!$A234=COLUMNS($A234:A"&amp;"253), A233&amp;RIGHT(INDIRECT(ADDRESS(ROW(A234)-1, 'From Order'!$A234)), 1), A233))"),"")</f>
        <v/>
      </c>
      <c r="B234" s="2" t="str">
        <f>IFERROR(__xludf.DUMMYFUNCTION("IF('From Order'!$A234=COLUMNS($A234:B253), LEFT(INDEX(FILTER(B$1:B233, B$1:B233&lt;&gt;""""),COUNTA(FILTER(B$1:B233, B$1:B233&lt;&gt;""""))), LEN(INDEX(FILTER(B$1:B233, B$1:B233&lt;&gt;""""),COUNTA(FILTER(B$1:B233, B$1:B233&lt;&gt;""""))))-1), IF('To Order'!$A234=COLUMNS($A234:B"&amp;"253), B233&amp;RIGHT(INDIRECT(ADDRESS(ROW(B234)-1, 'From Order'!$A234)), 1), B233))"),"SWFBJLRL")</f>
        <v>SWFBJLRL</v>
      </c>
      <c r="C234" s="2" t="str">
        <f>IFERROR(__xludf.DUMMYFUNCTION("IF('From Order'!$A234=COLUMNS($A234:C253), LEFT(INDEX(FILTER(C$1:C233, C$1:C233&lt;&gt;""""),COUNTA(FILTER(C$1:C233, C$1:C233&lt;&gt;""""))), LEN(INDEX(FILTER(C$1:C233, C$1:C233&lt;&gt;""""),COUNTA(FILTER(C$1:C233, C$1:C233&lt;&gt;""""))))-1), IF('To Order'!$A234=COLUMNS($A234:C"&amp;"253), C233&amp;RIGHT(INDIRECT(ADDRESS(ROW(C234)-1, 'From Order'!$A234)), 1), C233))"),"")</f>
        <v/>
      </c>
      <c r="D234" s="2" t="str">
        <f>IFERROR(__xludf.DUMMYFUNCTION("IF('From Order'!$A234=COLUMNS($A234:D253), LEFT(INDEX(FILTER(D$1:D233, D$1:D233&lt;&gt;""""),COUNTA(FILTER(D$1:D233, D$1:D233&lt;&gt;""""))), LEN(INDEX(FILTER(D$1:D233, D$1:D233&lt;&gt;""""),COUNTA(FILTER(D$1:D233, D$1:D233&lt;&gt;""""))))-1), IF('To Order'!$A234=COLUMNS($A234:D"&amp;"253), D233&amp;RIGHT(INDIRECT(ADDRESS(ROW(D234)-1, 'From Order'!$A234)), 1), D233))"),"DTCHSPVM")</f>
        <v>DTCHSPVM</v>
      </c>
      <c r="E234" s="2" t="str">
        <f>IFERROR(__xludf.DUMMYFUNCTION("IF('From Order'!$A234=COLUMNS($A234:E253), LEFT(INDEX(FILTER(E$1:E233, E$1:E233&lt;&gt;""""),COUNTA(FILTER(E$1:E233, E$1:E233&lt;&gt;""""))), LEN(INDEX(FILTER(E$1:E233, E$1:E233&lt;&gt;""""),COUNTA(FILTER(E$1:E233, E$1:E233&lt;&gt;""""))))-1), IF('To Order'!$A234=COLUMNS($A234:E"&amp;"253), E233&amp;RIGHT(INDIRECT(ADDRESS(ROW(E234)-1, 'From Order'!$A234)), 1), E233))"),"GDJB")</f>
        <v>GDJB</v>
      </c>
      <c r="F234" s="2" t="str">
        <f>IFERROR(__xludf.DUMMYFUNCTION("IF('From Order'!$A234=COLUMNS($A234:F253), LEFT(INDEX(FILTER(F$1:F233, F$1:F233&lt;&gt;""""),COUNTA(FILTER(F$1:F233, F$1:F233&lt;&gt;""""))), LEN(INDEX(FILTER(F$1:F233, F$1:F233&lt;&gt;""""),COUNTA(FILTER(F$1:F233, F$1:F233&lt;&gt;""""))))-1), IF('To Order'!$A234=COLUMNS($A234:F"&amp;"253), F233&amp;RIGHT(INDIRECT(ADDRESS(ROW(F234)-1, 'From Order'!$A234)), 1), F233))"),"")</f>
        <v/>
      </c>
      <c r="G234" s="2" t="str">
        <f>IFERROR(__xludf.DUMMYFUNCTION("IF('From Order'!$A234=COLUMNS($A234:G253), LEFT(INDEX(FILTER(G$1:G233, G$1:G233&lt;&gt;""""),COUNTA(FILTER(G$1:G233, G$1:G233&lt;&gt;""""))), LEN(INDEX(FILTER(G$1:G233, G$1:G233&lt;&gt;""""),COUNTA(FILTER(G$1:G233, G$1:G233&lt;&gt;""""))))-1), IF('To Order'!$A234=COLUMNS($A234:G"&amp;"253), G233&amp;RIGHT(INDIRECT(ADDRESS(ROW(G234)-1, 'From Order'!$A234)), 1), G233))"),"R")</f>
        <v>R</v>
      </c>
      <c r="H234" s="2" t="str">
        <f>IFERROR(__xludf.DUMMYFUNCTION("IF('From Order'!$A234=COLUMNS($A234:H253), LEFT(INDEX(FILTER(H$1:H233, H$1:H233&lt;&gt;""""),COUNTA(FILTER(H$1:H233, H$1:H233&lt;&gt;""""))), LEN(INDEX(FILTER(H$1:H233, H$1:H233&lt;&gt;""""),COUNTA(FILTER(H$1:H233, H$1:H233&lt;&gt;""""))))-1), IF('To Order'!$A234=COLUMNS($A234:H"&amp;"253), H233&amp;RIGHT(INDIRECT(ADDRESS(ROW(H234)-1, 'From Order'!$A234)), 1), H233))"),"MFTMQCDTHZRVSDPQRBCVTJTWRZTDDZ")</f>
        <v>MFTMQCDTHZRVSDPQRBCVTJTWRZTDDZ</v>
      </c>
      <c r="I234" s="2" t="str">
        <f>IFERROR(__xludf.DUMMYFUNCTION("IF('From Order'!$A234=COLUMNS($A234:I253), LEFT(INDEX(FILTER(I$1:I233, I$1:I233&lt;&gt;""""),COUNTA(FILTER(I$1:I233, I$1:I233&lt;&gt;""""))), LEN(INDEX(FILTER(I$1:I233, I$1:I233&lt;&gt;""""),COUNTA(FILTER(I$1:I233, I$1:I233&lt;&gt;""""))))-1), IF('To Order'!$A234=COLUMNS($A234:I"&amp;"253), I233&amp;RIGHT(INDIRECT(ADDRESS(ROW(I234)-1, 'From Order'!$A234)), 1), I233))"),"GPBSL")</f>
        <v>GPBSL</v>
      </c>
    </row>
    <row r="235">
      <c r="A235" s="2" t="str">
        <f>IFERROR(__xludf.DUMMYFUNCTION("IF('From Order'!$A235=COLUMNS($A235:A254), LEFT(INDEX(FILTER(A$1:A234, A$1:A234&lt;&gt;""""),COUNTA(FILTER(A$1:A234, A$1:A234&lt;&gt;""""))), LEN(INDEX(FILTER(A$1:A234, A$1:A234&lt;&gt;""""),COUNTA(FILTER(A$1:A234, A$1:A234&lt;&gt;""""))))-1), IF('To Order'!$A235=COLUMNS($A235:A"&amp;"254), A234&amp;RIGHT(INDIRECT(ADDRESS(ROW(A235)-1, 'From Order'!$A235)), 1), A234))"),"")</f>
        <v/>
      </c>
      <c r="B235" s="2" t="str">
        <f>IFERROR(__xludf.DUMMYFUNCTION("IF('From Order'!$A235=COLUMNS($A235:B254), LEFT(INDEX(FILTER(B$1:B234, B$1:B234&lt;&gt;""""),COUNTA(FILTER(B$1:B234, B$1:B234&lt;&gt;""""))), LEN(INDEX(FILTER(B$1:B234, B$1:B234&lt;&gt;""""),COUNTA(FILTER(B$1:B234, B$1:B234&lt;&gt;""""))))-1), IF('To Order'!$A235=COLUMNS($A235:B"&amp;"254), B234&amp;RIGHT(INDIRECT(ADDRESS(ROW(B235)-1, 'From Order'!$A235)), 1), B234))"),"SWFBJLRL")</f>
        <v>SWFBJLRL</v>
      </c>
      <c r="C235" s="2" t="str">
        <f>IFERROR(__xludf.DUMMYFUNCTION("IF('From Order'!$A235=COLUMNS($A235:C254), LEFT(INDEX(FILTER(C$1:C234, C$1:C234&lt;&gt;""""),COUNTA(FILTER(C$1:C234, C$1:C234&lt;&gt;""""))), LEN(INDEX(FILTER(C$1:C234, C$1:C234&lt;&gt;""""),COUNTA(FILTER(C$1:C234, C$1:C234&lt;&gt;""""))))-1), IF('To Order'!$A235=COLUMNS($A235:C"&amp;"254), C234&amp;RIGHT(INDIRECT(ADDRESS(ROW(C235)-1, 'From Order'!$A235)), 1), C234))"),"")</f>
        <v/>
      </c>
      <c r="D235" s="2" t="str">
        <f>IFERROR(__xludf.DUMMYFUNCTION("IF('From Order'!$A235=COLUMNS($A235:D254), LEFT(INDEX(FILTER(D$1:D234, D$1:D234&lt;&gt;""""),COUNTA(FILTER(D$1:D234, D$1:D234&lt;&gt;""""))), LEN(INDEX(FILTER(D$1:D234, D$1:D234&lt;&gt;""""),COUNTA(FILTER(D$1:D234, D$1:D234&lt;&gt;""""))))-1), IF('To Order'!$A235=COLUMNS($A235:D"&amp;"254), D234&amp;RIGHT(INDIRECT(ADDRESS(ROW(D235)-1, 'From Order'!$A235)), 1), D234))"),"DTCHSPV")</f>
        <v>DTCHSPV</v>
      </c>
      <c r="E235" s="2" t="str">
        <f>IFERROR(__xludf.DUMMYFUNCTION("IF('From Order'!$A235=COLUMNS($A235:E254), LEFT(INDEX(FILTER(E$1:E234, E$1:E234&lt;&gt;""""),COUNTA(FILTER(E$1:E234, E$1:E234&lt;&gt;""""))), LEN(INDEX(FILTER(E$1:E234, E$1:E234&lt;&gt;""""),COUNTA(FILTER(E$1:E234, E$1:E234&lt;&gt;""""))))-1), IF('To Order'!$A235=COLUMNS($A235:E"&amp;"254), E234&amp;RIGHT(INDIRECT(ADDRESS(ROW(E235)-1, 'From Order'!$A235)), 1), E234))"),"GDJB")</f>
        <v>GDJB</v>
      </c>
      <c r="F235" s="2" t="str">
        <f>IFERROR(__xludf.DUMMYFUNCTION("IF('From Order'!$A235=COLUMNS($A235:F254), LEFT(INDEX(FILTER(F$1:F234, F$1:F234&lt;&gt;""""),COUNTA(FILTER(F$1:F234, F$1:F234&lt;&gt;""""))), LEN(INDEX(FILTER(F$1:F234, F$1:F234&lt;&gt;""""),COUNTA(FILTER(F$1:F234, F$1:F234&lt;&gt;""""))))-1), IF('To Order'!$A235=COLUMNS($A235:F"&amp;"254), F234&amp;RIGHT(INDIRECT(ADDRESS(ROW(F235)-1, 'From Order'!$A235)), 1), F234))"),"")</f>
        <v/>
      </c>
      <c r="G235" s="2" t="str">
        <f>IFERROR(__xludf.DUMMYFUNCTION("IF('From Order'!$A235=COLUMNS($A235:G254), LEFT(INDEX(FILTER(G$1:G234, G$1:G234&lt;&gt;""""),COUNTA(FILTER(G$1:G234, G$1:G234&lt;&gt;""""))), LEN(INDEX(FILTER(G$1:G234, G$1:G234&lt;&gt;""""),COUNTA(FILTER(G$1:G234, G$1:G234&lt;&gt;""""))))-1), IF('To Order'!$A235=COLUMNS($A235:G"&amp;"254), G234&amp;RIGHT(INDIRECT(ADDRESS(ROW(G235)-1, 'From Order'!$A235)), 1), G234))"),"R")</f>
        <v>R</v>
      </c>
      <c r="H235" s="2" t="str">
        <f>IFERROR(__xludf.DUMMYFUNCTION("IF('From Order'!$A235=COLUMNS($A235:H254), LEFT(INDEX(FILTER(H$1:H234, H$1:H234&lt;&gt;""""),COUNTA(FILTER(H$1:H234, H$1:H234&lt;&gt;""""))), LEN(INDEX(FILTER(H$1:H234, H$1:H234&lt;&gt;""""),COUNTA(FILTER(H$1:H234, H$1:H234&lt;&gt;""""))))-1), IF('To Order'!$A235=COLUMNS($A235:H"&amp;"254), H234&amp;RIGHT(INDIRECT(ADDRESS(ROW(H235)-1, 'From Order'!$A235)), 1), H234))"),"MFTMQCDTHZRVSDPQRBCVTJTWRZTDDZM")</f>
        <v>MFTMQCDTHZRVSDPQRBCVTJTWRZTDDZM</v>
      </c>
      <c r="I235" s="2" t="str">
        <f>IFERROR(__xludf.DUMMYFUNCTION("IF('From Order'!$A235=COLUMNS($A235:I254), LEFT(INDEX(FILTER(I$1:I234, I$1:I234&lt;&gt;""""),COUNTA(FILTER(I$1:I234, I$1:I234&lt;&gt;""""))), LEN(INDEX(FILTER(I$1:I234, I$1:I234&lt;&gt;""""),COUNTA(FILTER(I$1:I234, I$1:I234&lt;&gt;""""))))-1), IF('To Order'!$A235=COLUMNS($A235:I"&amp;"254), I234&amp;RIGHT(INDIRECT(ADDRESS(ROW(I235)-1, 'From Order'!$A235)), 1), I234))"),"GPBSL")</f>
        <v>GPBSL</v>
      </c>
    </row>
    <row r="236">
      <c r="A236" s="2" t="str">
        <f>IFERROR(__xludf.DUMMYFUNCTION("IF('From Order'!$A236=COLUMNS($A236:A255), LEFT(INDEX(FILTER(A$1:A235, A$1:A235&lt;&gt;""""),COUNTA(FILTER(A$1:A235, A$1:A235&lt;&gt;""""))), LEN(INDEX(FILTER(A$1:A235, A$1:A235&lt;&gt;""""),COUNTA(FILTER(A$1:A235, A$1:A235&lt;&gt;""""))))-1), IF('To Order'!$A236=COLUMNS($A236:A"&amp;"255), A235&amp;RIGHT(INDIRECT(ADDRESS(ROW(A236)-1, 'From Order'!$A236)), 1), A235))"),"")</f>
        <v/>
      </c>
      <c r="B236" s="2" t="str">
        <f>IFERROR(__xludf.DUMMYFUNCTION("IF('From Order'!$A236=COLUMNS($A236:B255), LEFT(INDEX(FILTER(B$1:B235, B$1:B235&lt;&gt;""""),COUNTA(FILTER(B$1:B235, B$1:B235&lt;&gt;""""))), LEN(INDEX(FILTER(B$1:B235, B$1:B235&lt;&gt;""""),COUNTA(FILTER(B$1:B235, B$1:B235&lt;&gt;""""))))-1), IF('To Order'!$A236=COLUMNS($A236:B"&amp;"255), B235&amp;RIGHT(INDIRECT(ADDRESS(ROW(B236)-1, 'From Order'!$A236)), 1), B235))"),"SWFBJLRL")</f>
        <v>SWFBJLRL</v>
      </c>
      <c r="C236" s="2" t="str">
        <f>IFERROR(__xludf.DUMMYFUNCTION("IF('From Order'!$A236=COLUMNS($A236:C255), LEFT(INDEX(FILTER(C$1:C235, C$1:C235&lt;&gt;""""),COUNTA(FILTER(C$1:C235, C$1:C235&lt;&gt;""""))), LEN(INDEX(FILTER(C$1:C235, C$1:C235&lt;&gt;""""),COUNTA(FILTER(C$1:C235, C$1:C235&lt;&gt;""""))))-1), IF('To Order'!$A236=COLUMNS($A236:C"&amp;"255), C235&amp;RIGHT(INDIRECT(ADDRESS(ROW(C236)-1, 'From Order'!$A236)), 1), C235))"),"")</f>
        <v/>
      </c>
      <c r="D236" s="2" t="str">
        <f>IFERROR(__xludf.DUMMYFUNCTION("IF('From Order'!$A236=COLUMNS($A236:D255), LEFT(INDEX(FILTER(D$1:D235, D$1:D235&lt;&gt;""""),COUNTA(FILTER(D$1:D235, D$1:D235&lt;&gt;""""))), LEN(INDEX(FILTER(D$1:D235, D$1:D235&lt;&gt;""""),COUNTA(FILTER(D$1:D235, D$1:D235&lt;&gt;""""))))-1), IF('To Order'!$A236=COLUMNS($A236:D"&amp;"255), D235&amp;RIGHT(INDIRECT(ADDRESS(ROW(D236)-1, 'From Order'!$A236)), 1), D235))"),"DTCHSP")</f>
        <v>DTCHSP</v>
      </c>
      <c r="E236" s="2" t="str">
        <f>IFERROR(__xludf.DUMMYFUNCTION("IF('From Order'!$A236=COLUMNS($A236:E255), LEFT(INDEX(FILTER(E$1:E235, E$1:E235&lt;&gt;""""),COUNTA(FILTER(E$1:E235, E$1:E235&lt;&gt;""""))), LEN(INDEX(FILTER(E$1:E235, E$1:E235&lt;&gt;""""),COUNTA(FILTER(E$1:E235, E$1:E235&lt;&gt;""""))))-1), IF('To Order'!$A236=COLUMNS($A236:E"&amp;"255), E235&amp;RIGHT(INDIRECT(ADDRESS(ROW(E236)-1, 'From Order'!$A236)), 1), E235))"),"GDJB")</f>
        <v>GDJB</v>
      </c>
      <c r="F236" s="2" t="str">
        <f>IFERROR(__xludf.DUMMYFUNCTION("IF('From Order'!$A236=COLUMNS($A236:F255), LEFT(INDEX(FILTER(F$1:F235, F$1:F235&lt;&gt;""""),COUNTA(FILTER(F$1:F235, F$1:F235&lt;&gt;""""))), LEN(INDEX(FILTER(F$1:F235, F$1:F235&lt;&gt;""""),COUNTA(FILTER(F$1:F235, F$1:F235&lt;&gt;""""))))-1), IF('To Order'!$A236=COLUMNS($A236:F"&amp;"255), F235&amp;RIGHT(INDIRECT(ADDRESS(ROW(F236)-1, 'From Order'!$A236)), 1), F235))"),"")</f>
        <v/>
      </c>
      <c r="G236" s="2" t="str">
        <f>IFERROR(__xludf.DUMMYFUNCTION("IF('From Order'!$A236=COLUMNS($A236:G255), LEFT(INDEX(FILTER(G$1:G235, G$1:G235&lt;&gt;""""),COUNTA(FILTER(G$1:G235, G$1:G235&lt;&gt;""""))), LEN(INDEX(FILTER(G$1:G235, G$1:G235&lt;&gt;""""),COUNTA(FILTER(G$1:G235, G$1:G235&lt;&gt;""""))))-1), IF('To Order'!$A236=COLUMNS($A236:G"&amp;"255), G235&amp;RIGHT(INDIRECT(ADDRESS(ROW(G236)-1, 'From Order'!$A236)), 1), G235))"),"R")</f>
        <v>R</v>
      </c>
      <c r="H236" s="2" t="str">
        <f>IFERROR(__xludf.DUMMYFUNCTION("IF('From Order'!$A236=COLUMNS($A236:H255), LEFT(INDEX(FILTER(H$1:H235, H$1:H235&lt;&gt;""""),COUNTA(FILTER(H$1:H235, H$1:H235&lt;&gt;""""))), LEN(INDEX(FILTER(H$1:H235, H$1:H235&lt;&gt;""""),COUNTA(FILTER(H$1:H235, H$1:H235&lt;&gt;""""))))-1), IF('To Order'!$A236=COLUMNS($A236:H"&amp;"255), H235&amp;RIGHT(INDIRECT(ADDRESS(ROW(H236)-1, 'From Order'!$A236)), 1), H235))"),"MFTMQCDTHZRVSDPQRBCVTJTWRZTDDZMV")</f>
        <v>MFTMQCDTHZRVSDPQRBCVTJTWRZTDDZMV</v>
      </c>
      <c r="I236" s="2" t="str">
        <f>IFERROR(__xludf.DUMMYFUNCTION("IF('From Order'!$A236=COLUMNS($A236:I255), LEFT(INDEX(FILTER(I$1:I235, I$1:I235&lt;&gt;""""),COUNTA(FILTER(I$1:I235, I$1:I235&lt;&gt;""""))), LEN(INDEX(FILTER(I$1:I235, I$1:I235&lt;&gt;""""),COUNTA(FILTER(I$1:I235, I$1:I235&lt;&gt;""""))))-1), IF('To Order'!$A236=COLUMNS($A236:I"&amp;"255), I235&amp;RIGHT(INDIRECT(ADDRESS(ROW(I236)-1, 'From Order'!$A236)), 1), I235))"),"GPBSL")</f>
        <v>GPBSL</v>
      </c>
    </row>
    <row r="237">
      <c r="A237" s="2" t="str">
        <f>IFERROR(__xludf.DUMMYFUNCTION("IF('From Order'!$A237=COLUMNS($A237:A256), LEFT(INDEX(FILTER(A$1:A236, A$1:A236&lt;&gt;""""),COUNTA(FILTER(A$1:A236, A$1:A236&lt;&gt;""""))), LEN(INDEX(FILTER(A$1:A236, A$1:A236&lt;&gt;""""),COUNTA(FILTER(A$1:A236, A$1:A236&lt;&gt;""""))))-1), IF('To Order'!$A237=COLUMNS($A237:A"&amp;"256), A236&amp;RIGHT(INDIRECT(ADDRESS(ROW(A237)-1, 'From Order'!$A237)), 1), A236))"),"")</f>
        <v/>
      </c>
      <c r="B237" s="2" t="str">
        <f>IFERROR(__xludf.DUMMYFUNCTION("IF('From Order'!$A237=COLUMNS($A237:B256), LEFT(INDEX(FILTER(B$1:B236, B$1:B236&lt;&gt;""""),COUNTA(FILTER(B$1:B236, B$1:B236&lt;&gt;""""))), LEN(INDEX(FILTER(B$1:B236, B$1:B236&lt;&gt;""""),COUNTA(FILTER(B$1:B236, B$1:B236&lt;&gt;""""))))-1), IF('To Order'!$A237=COLUMNS($A237:B"&amp;"256), B236&amp;RIGHT(INDIRECT(ADDRESS(ROW(B237)-1, 'From Order'!$A237)), 1), B236))"),"SWFBJLRL")</f>
        <v>SWFBJLRL</v>
      </c>
      <c r="C237" s="2" t="str">
        <f>IFERROR(__xludf.DUMMYFUNCTION("IF('From Order'!$A237=COLUMNS($A237:C256), LEFT(INDEX(FILTER(C$1:C236, C$1:C236&lt;&gt;""""),COUNTA(FILTER(C$1:C236, C$1:C236&lt;&gt;""""))), LEN(INDEX(FILTER(C$1:C236, C$1:C236&lt;&gt;""""),COUNTA(FILTER(C$1:C236, C$1:C236&lt;&gt;""""))))-1), IF('To Order'!$A237=COLUMNS($A237:C"&amp;"256), C236&amp;RIGHT(INDIRECT(ADDRESS(ROW(C237)-1, 'From Order'!$A237)), 1), C236))"),"")</f>
        <v/>
      </c>
      <c r="D237" s="2" t="str">
        <f>IFERROR(__xludf.DUMMYFUNCTION("IF('From Order'!$A237=COLUMNS($A237:D256), LEFT(INDEX(FILTER(D$1:D236, D$1:D236&lt;&gt;""""),COUNTA(FILTER(D$1:D236, D$1:D236&lt;&gt;""""))), LEN(INDEX(FILTER(D$1:D236, D$1:D236&lt;&gt;""""),COUNTA(FILTER(D$1:D236, D$1:D236&lt;&gt;""""))))-1), IF('To Order'!$A237=COLUMNS($A237:D"&amp;"256), D236&amp;RIGHT(INDIRECT(ADDRESS(ROW(D237)-1, 'From Order'!$A237)), 1), D236))"),"DTCHS")</f>
        <v>DTCHS</v>
      </c>
      <c r="E237" s="2" t="str">
        <f>IFERROR(__xludf.DUMMYFUNCTION("IF('From Order'!$A237=COLUMNS($A237:E256), LEFT(INDEX(FILTER(E$1:E236, E$1:E236&lt;&gt;""""),COUNTA(FILTER(E$1:E236, E$1:E236&lt;&gt;""""))), LEN(INDEX(FILTER(E$1:E236, E$1:E236&lt;&gt;""""),COUNTA(FILTER(E$1:E236, E$1:E236&lt;&gt;""""))))-1), IF('To Order'!$A237=COLUMNS($A237:E"&amp;"256), E236&amp;RIGHT(INDIRECT(ADDRESS(ROW(E237)-1, 'From Order'!$A237)), 1), E236))"),"GDJB")</f>
        <v>GDJB</v>
      </c>
      <c r="F237" s="2" t="str">
        <f>IFERROR(__xludf.DUMMYFUNCTION("IF('From Order'!$A237=COLUMNS($A237:F256), LEFT(INDEX(FILTER(F$1:F236, F$1:F236&lt;&gt;""""),COUNTA(FILTER(F$1:F236, F$1:F236&lt;&gt;""""))), LEN(INDEX(FILTER(F$1:F236, F$1:F236&lt;&gt;""""),COUNTA(FILTER(F$1:F236, F$1:F236&lt;&gt;""""))))-1), IF('To Order'!$A237=COLUMNS($A237:F"&amp;"256), F236&amp;RIGHT(INDIRECT(ADDRESS(ROW(F237)-1, 'From Order'!$A237)), 1), F236))"),"")</f>
        <v/>
      </c>
      <c r="G237" s="2" t="str">
        <f>IFERROR(__xludf.DUMMYFUNCTION("IF('From Order'!$A237=COLUMNS($A237:G256), LEFT(INDEX(FILTER(G$1:G236, G$1:G236&lt;&gt;""""),COUNTA(FILTER(G$1:G236, G$1:G236&lt;&gt;""""))), LEN(INDEX(FILTER(G$1:G236, G$1:G236&lt;&gt;""""),COUNTA(FILTER(G$1:G236, G$1:G236&lt;&gt;""""))))-1), IF('To Order'!$A237=COLUMNS($A237:G"&amp;"256), G236&amp;RIGHT(INDIRECT(ADDRESS(ROW(G237)-1, 'From Order'!$A237)), 1), G236))"),"R")</f>
        <v>R</v>
      </c>
      <c r="H237" s="2" t="str">
        <f>IFERROR(__xludf.DUMMYFUNCTION("IF('From Order'!$A237=COLUMNS($A237:H256), LEFT(INDEX(FILTER(H$1:H236, H$1:H236&lt;&gt;""""),COUNTA(FILTER(H$1:H236, H$1:H236&lt;&gt;""""))), LEN(INDEX(FILTER(H$1:H236, H$1:H236&lt;&gt;""""),COUNTA(FILTER(H$1:H236, H$1:H236&lt;&gt;""""))))-1), IF('To Order'!$A237=COLUMNS($A237:H"&amp;"256), H236&amp;RIGHT(INDIRECT(ADDRESS(ROW(H237)-1, 'From Order'!$A237)), 1), H236))"),"MFTMQCDTHZRVSDPQRBCVTJTWRZTDDZMVP")</f>
        <v>MFTMQCDTHZRVSDPQRBCVTJTWRZTDDZMVP</v>
      </c>
      <c r="I237" s="2" t="str">
        <f>IFERROR(__xludf.DUMMYFUNCTION("IF('From Order'!$A237=COLUMNS($A237:I256), LEFT(INDEX(FILTER(I$1:I236, I$1:I236&lt;&gt;""""),COUNTA(FILTER(I$1:I236, I$1:I236&lt;&gt;""""))), LEN(INDEX(FILTER(I$1:I236, I$1:I236&lt;&gt;""""),COUNTA(FILTER(I$1:I236, I$1:I236&lt;&gt;""""))))-1), IF('To Order'!$A237=COLUMNS($A237:I"&amp;"256), I236&amp;RIGHT(INDIRECT(ADDRESS(ROW(I237)-1, 'From Order'!$A237)), 1), I236))"),"GPBSL")</f>
        <v>GPBSL</v>
      </c>
    </row>
    <row r="238">
      <c r="A238" s="2" t="str">
        <f>IFERROR(__xludf.DUMMYFUNCTION("IF('From Order'!$A238=COLUMNS($A238:A257), LEFT(INDEX(FILTER(A$1:A237, A$1:A237&lt;&gt;""""),COUNTA(FILTER(A$1:A237, A$1:A237&lt;&gt;""""))), LEN(INDEX(FILTER(A$1:A237, A$1:A237&lt;&gt;""""),COUNTA(FILTER(A$1:A237, A$1:A237&lt;&gt;""""))))-1), IF('To Order'!$A238=COLUMNS($A238:A"&amp;"257), A237&amp;RIGHT(INDIRECT(ADDRESS(ROW(A238)-1, 'From Order'!$A238)), 1), A237))"),"")</f>
        <v/>
      </c>
      <c r="B238" s="2" t="str">
        <f>IFERROR(__xludf.DUMMYFUNCTION("IF('From Order'!$A238=COLUMNS($A238:B257), LEFT(INDEX(FILTER(B$1:B237, B$1:B237&lt;&gt;""""),COUNTA(FILTER(B$1:B237, B$1:B237&lt;&gt;""""))), LEN(INDEX(FILTER(B$1:B237, B$1:B237&lt;&gt;""""),COUNTA(FILTER(B$1:B237, B$1:B237&lt;&gt;""""))))-1), IF('To Order'!$A238=COLUMNS($A238:B"&amp;"257), B237&amp;RIGHT(INDIRECT(ADDRESS(ROW(B238)-1, 'From Order'!$A238)), 1), B237))"),"SWFBJLRL")</f>
        <v>SWFBJLRL</v>
      </c>
      <c r="C238" s="2" t="str">
        <f>IFERROR(__xludf.DUMMYFUNCTION("IF('From Order'!$A238=COLUMNS($A238:C257), LEFT(INDEX(FILTER(C$1:C237, C$1:C237&lt;&gt;""""),COUNTA(FILTER(C$1:C237, C$1:C237&lt;&gt;""""))), LEN(INDEX(FILTER(C$1:C237, C$1:C237&lt;&gt;""""),COUNTA(FILTER(C$1:C237, C$1:C237&lt;&gt;""""))))-1), IF('To Order'!$A238=COLUMNS($A238:C"&amp;"257), C237&amp;RIGHT(INDIRECT(ADDRESS(ROW(C238)-1, 'From Order'!$A238)), 1), C237))"),"")</f>
        <v/>
      </c>
      <c r="D238" s="2" t="str">
        <f>IFERROR(__xludf.DUMMYFUNCTION("IF('From Order'!$A238=COLUMNS($A238:D257), LEFT(INDEX(FILTER(D$1:D237, D$1:D237&lt;&gt;""""),COUNTA(FILTER(D$1:D237, D$1:D237&lt;&gt;""""))), LEN(INDEX(FILTER(D$1:D237, D$1:D237&lt;&gt;""""),COUNTA(FILTER(D$1:D237, D$1:D237&lt;&gt;""""))))-1), IF('To Order'!$A238=COLUMNS($A238:D"&amp;"257), D237&amp;RIGHT(INDIRECT(ADDRESS(ROW(D238)-1, 'From Order'!$A238)), 1), D237))"),"DTCH")</f>
        <v>DTCH</v>
      </c>
      <c r="E238" s="2" t="str">
        <f>IFERROR(__xludf.DUMMYFUNCTION("IF('From Order'!$A238=COLUMNS($A238:E257), LEFT(INDEX(FILTER(E$1:E237, E$1:E237&lt;&gt;""""),COUNTA(FILTER(E$1:E237, E$1:E237&lt;&gt;""""))), LEN(INDEX(FILTER(E$1:E237, E$1:E237&lt;&gt;""""),COUNTA(FILTER(E$1:E237, E$1:E237&lt;&gt;""""))))-1), IF('To Order'!$A238=COLUMNS($A238:E"&amp;"257), E237&amp;RIGHT(INDIRECT(ADDRESS(ROW(E238)-1, 'From Order'!$A238)), 1), E237))"),"GDJB")</f>
        <v>GDJB</v>
      </c>
      <c r="F238" s="2" t="str">
        <f>IFERROR(__xludf.DUMMYFUNCTION("IF('From Order'!$A238=COLUMNS($A238:F257), LEFT(INDEX(FILTER(F$1:F237, F$1:F237&lt;&gt;""""),COUNTA(FILTER(F$1:F237, F$1:F237&lt;&gt;""""))), LEN(INDEX(FILTER(F$1:F237, F$1:F237&lt;&gt;""""),COUNTA(FILTER(F$1:F237, F$1:F237&lt;&gt;""""))))-1), IF('To Order'!$A238=COLUMNS($A238:F"&amp;"257), F237&amp;RIGHT(INDIRECT(ADDRESS(ROW(F238)-1, 'From Order'!$A238)), 1), F237))"),"")</f>
        <v/>
      </c>
      <c r="G238" s="2" t="str">
        <f>IFERROR(__xludf.DUMMYFUNCTION("IF('From Order'!$A238=COLUMNS($A238:G257), LEFT(INDEX(FILTER(G$1:G237, G$1:G237&lt;&gt;""""),COUNTA(FILTER(G$1:G237, G$1:G237&lt;&gt;""""))), LEN(INDEX(FILTER(G$1:G237, G$1:G237&lt;&gt;""""),COUNTA(FILTER(G$1:G237, G$1:G237&lt;&gt;""""))))-1), IF('To Order'!$A238=COLUMNS($A238:G"&amp;"257), G237&amp;RIGHT(INDIRECT(ADDRESS(ROW(G238)-1, 'From Order'!$A238)), 1), G237))"),"R")</f>
        <v>R</v>
      </c>
      <c r="H238" s="2" t="str">
        <f>IFERROR(__xludf.DUMMYFUNCTION("IF('From Order'!$A238=COLUMNS($A238:H257), LEFT(INDEX(FILTER(H$1:H237, H$1:H237&lt;&gt;""""),COUNTA(FILTER(H$1:H237, H$1:H237&lt;&gt;""""))), LEN(INDEX(FILTER(H$1:H237, H$1:H237&lt;&gt;""""),COUNTA(FILTER(H$1:H237, H$1:H237&lt;&gt;""""))))-1), IF('To Order'!$A238=COLUMNS($A238:H"&amp;"257), H237&amp;RIGHT(INDIRECT(ADDRESS(ROW(H238)-1, 'From Order'!$A238)), 1), H237))"),"MFTMQCDTHZRVSDPQRBCVTJTWRZTDDZMVPS")</f>
        <v>MFTMQCDTHZRVSDPQRBCVTJTWRZTDDZMVPS</v>
      </c>
      <c r="I238" s="2" t="str">
        <f>IFERROR(__xludf.DUMMYFUNCTION("IF('From Order'!$A238=COLUMNS($A238:I257), LEFT(INDEX(FILTER(I$1:I237, I$1:I237&lt;&gt;""""),COUNTA(FILTER(I$1:I237, I$1:I237&lt;&gt;""""))), LEN(INDEX(FILTER(I$1:I237, I$1:I237&lt;&gt;""""),COUNTA(FILTER(I$1:I237, I$1:I237&lt;&gt;""""))))-1), IF('To Order'!$A238=COLUMNS($A238:I"&amp;"257), I237&amp;RIGHT(INDIRECT(ADDRESS(ROW(I238)-1, 'From Order'!$A238)), 1), I237))"),"GPBSL")</f>
        <v>GPBSL</v>
      </c>
    </row>
    <row r="239">
      <c r="A239" s="2" t="str">
        <f>IFERROR(__xludf.DUMMYFUNCTION("IF('From Order'!$A239=COLUMNS($A239:A258), LEFT(INDEX(FILTER(A$1:A238, A$1:A238&lt;&gt;""""),COUNTA(FILTER(A$1:A238, A$1:A238&lt;&gt;""""))), LEN(INDEX(FILTER(A$1:A238, A$1:A238&lt;&gt;""""),COUNTA(FILTER(A$1:A238, A$1:A238&lt;&gt;""""))))-1), IF('To Order'!$A239=COLUMNS($A239:A"&amp;"258), A238&amp;RIGHT(INDIRECT(ADDRESS(ROW(A239)-1, 'From Order'!$A239)), 1), A238))"),"")</f>
        <v/>
      </c>
      <c r="B239" s="2" t="str">
        <f>IFERROR(__xludf.DUMMYFUNCTION("IF('From Order'!$A239=COLUMNS($A239:B258), LEFT(INDEX(FILTER(B$1:B238, B$1:B238&lt;&gt;""""),COUNTA(FILTER(B$1:B238, B$1:B238&lt;&gt;""""))), LEN(INDEX(FILTER(B$1:B238, B$1:B238&lt;&gt;""""),COUNTA(FILTER(B$1:B238, B$1:B238&lt;&gt;""""))))-1), IF('To Order'!$A239=COLUMNS($A239:B"&amp;"258), B238&amp;RIGHT(INDIRECT(ADDRESS(ROW(B239)-1, 'From Order'!$A239)), 1), B238))"),"SWFBJLRL")</f>
        <v>SWFBJLRL</v>
      </c>
      <c r="C239" s="2" t="str">
        <f>IFERROR(__xludf.DUMMYFUNCTION("IF('From Order'!$A239=COLUMNS($A239:C258), LEFT(INDEX(FILTER(C$1:C238, C$1:C238&lt;&gt;""""),COUNTA(FILTER(C$1:C238, C$1:C238&lt;&gt;""""))), LEN(INDEX(FILTER(C$1:C238, C$1:C238&lt;&gt;""""),COUNTA(FILTER(C$1:C238, C$1:C238&lt;&gt;""""))))-1), IF('To Order'!$A239=COLUMNS($A239:C"&amp;"258), C238&amp;RIGHT(INDIRECT(ADDRESS(ROW(C239)-1, 'From Order'!$A239)), 1), C238))"),"")</f>
        <v/>
      </c>
      <c r="D239" s="2" t="str">
        <f>IFERROR(__xludf.DUMMYFUNCTION("IF('From Order'!$A239=COLUMNS($A239:D258), LEFT(INDEX(FILTER(D$1:D238, D$1:D238&lt;&gt;""""),COUNTA(FILTER(D$1:D238, D$1:D238&lt;&gt;""""))), LEN(INDEX(FILTER(D$1:D238, D$1:D238&lt;&gt;""""),COUNTA(FILTER(D$1:D238, D$1:D238&lt;&gt;""""))))-1), IF('To Order'!$A239=COLUMNS($A239:D"&amp;"258), D238&amp;RIGHT(INDIRECT(ADDRESS(ROW(D239)-1, 'From Order'!$A239)), 1), D238))"),"DTC")</f>
        <v>DTC</v>
      </c>
      <c r="E239" s="2" t="str">
        <f>IFERROR(__xludf.DUMMYFUNCTION("IF('From Order'!$A239=COLUMNS($A239:E258), LEFT(INDEX(FILTER(E$1:E238, E$1:E238&lt;&gt;""""),COUNTA(FILTER(E$1:E238, E$1:E238&lt;&gt;""""))), LEN(INDEX(FILTER(E$1:E238, E$1:E238&lt;&gt;""""),COUNTA(FILTER(E$1:E238, E$1:E238&lt;&gt;""""))))-1), IF('To Order'!$A239=COLUMNS($A239:E"&amp;"258), E238&amp;RIGHT(INDIRECT(ADDRESS(ROW(E239)-1, 'From Order'!$A239)), 1), E238))"),"GDJB")</f>
        <v>GDJB</v>
      </c>
      <c r="F239" s="2" t="str">
        <f>IFERROR(__xludf.DUMMYFUNCTION("IF('From Order'!$A239=COLUMNS($A239:F258), LEFT(INDEX(FILTER(F$1:F238, F$1:F238&lt;&gt;""""),COUNTA(FILTER(F$1:F238, F$1:F238&lt;&gt;""""))), LEN(INDEX(FILTER(F$1:F238, F$1:F238&lt;&gt;""""),COUNTA(FILTER(F$1:F238, F$1:F238&lt;&gt;""""))))-1), IF('To Order'!$A239=COLUMNS($A239:F"&amp;"258), F238&amp;RIGHT(INDIRECT(ADDRESS(ROW(F239)-1, 'From Order'!$A239)), 1), F238))"),"")</f>
        <v/>
      </c>
      <c r="G239" s="2" t="str">
        <f>IFERROR(__xludf.DUMMYFUNCTION("IF('From Order'!$A239=COLUMNS($A239:G258), LEFT(INDEX(FILTER(G$1:G238, G$1:G238&lt;&gt;""""),COUNTA(FILTER(G$1:G238, G$1:G238&lt;&gt;""""))), LEN(INDEX(FILTER(G$1:G238, G$1:G238&lt;&gt;""""),COUNTA(FILTER(G$1:G238, G$1:G238&lt;&gt;""""))))-1), IF('To Order'!$A239=COLUMNS($A239:G"&amp;"258), G238&amp;RIGHT(INDIRECT(ADDRESS(ROW(G239)-1, 'From Order'!$A239)), 1), G238))"),"R")</f>
        <v>R</v>
      </c>
      <c r="H239" s="2" t="str">
        <f>IFERROR(__xludf.DUMMYFUNCTION("IF('From Order'!$A239=COLUMNS($A239:H258), LEFT(INDEX(FILTER(H$1:H238, H$1:H238&lt;&gt;""""),COUNTA(FILTER(H$1:H238, H$1:H238&lt;&gt;""""))), LEN(INDEX(FILTER(H$1:H238, H$1:H238&lt;&gt;""""),COUNTA(FILTER(H$1:H238, H$1:H238&lt;&gt;""""))))-1), IF('To Order'!$A239=COLUMNS($A239:H"&amp;"258), H238&amp;RIGHT(INDIRECT(ADDRESS(ROW(H239)-1, 'From Order'!$A239)), 1), H238))"),"MFTMQCDTHZRVSDPQRBCVTJTWRZTDDZMVPSH")</f>
        <v>MFTMQCDTHZRVSDPQRBCVTJTWRZTDDZMVPSH</v>
      </c>
      <c r="I239" s="2" t="str">
        <f>IFERROR(__xludf.DUMMYFUNCTION("IF('From Order'!$A239=COLUMNS($A239:I258), LEFT(INDEX(FILTER(I$1:I238, I$1:I238&lt;&gt;""""),COUNTA(FILTER(I$1:I238, I$1:I238&lt;&gt;""""))), LEN(INDEX(FILTER(I$1:I238, I$1:I238&lt;&gt;""""),COUNTA(FILTER(I$1:I238, I$1:I238&lt;&gt;""""))))-1), IF('To Order'!$A239=COLUMNS($A239:I"&amp;"258), I238&amp;RIGHT(INDIRECT(ADDRESS(ROW(I239)-1, 'From Order'!$A239)), 1), I238))"),"GPBSL")</f>
        <v>GPBSL</v>
      </c>
    </row>
    <row r="240">
      <c r="A240" s="2" t="str">
        <f>IFERROR(__xludf.DUMMYFUNCTION("IF('From Order'!$A240=COLUMNS($A240:A259), LEFT(INDEX(FILTER(A$1:A239, A$1:A239&lt;&gt;""""),COUNTA(FILTER(A$1:A239, A$1:A239&lt;&gt;""""))), LEN(INDEX(FILTER(A$1:A239, A$1:A239&lt;&gt;""""),COUNTA(FILTER(A$1:A239, A$1:A239&lt;&gt;""""))))-1), IF('To Order'!$A240=COLUMNS($A240:A"&amp;"259), A239&amp;RIGHT(INDIRECT(ADDRESS(ROW(A240)-1, 'From Order'!$A240)), 1), A239))"),"")</f>
        <v/>
      </c>
      <c r="B240" s="2" t="str">
        <f>IFERROR(__xludf.DUMMYFUNCTION("IF('From Order'!$A240=COLUMNS($A240:B259), LEFT(INDEX(FILTER(B$1:B239, B$1:B239&lt;&gt;""""),COUNTA(FILTER(B$1:B239, B$1:B239&lt;&gt;""""))), LEN(INDEX(FILTER(B$1:B239, B$1:B239&lt;&gt;""""),COUNTA(FILTER(B$1:B239, B$1:B239&lt;&gt;""""))))-1), IF('To Order'!$A240=COLUMNS($A240:B"&amp;"259), B239&amp;RIGHT(INDIRECT(ADDRESS(ROW(B240)-1, 'From Order'!$A240)), 1), B239))"),"SWFBJLRL")</f>
        <v>SWFBJLRL</v>
      </c>
      <c r="C240" s="2" t="str">
        <f>IFERROR(__xludf.DUMMYFUNCTION("IF('From Order'!$A240=COLUMNS($A240:C259), LEFT(INDEX(FILTER(C$1:C239, C$1:C239&lt;&gt;""""),COUNTA(FILTER(C$1:C239, C$1:C239&lt;&gt;""""))), LEN(INDEX(FILTER(C$1:C239, C$1:C239&lt;&gt;""""),COUNTA(FILTER(C$1:C239, C$1:C239&lt;&gt;""""))))-1), IF('To Order'!$A240=COLUMNS($A240:C"&amp;"259), C239&amp;RIGHT(INDIRECT(ADDRESS(ROW(C240)-1, 'From Order'!$A240)), 1), C239))"),"")</f>
        <v/>
      </c>
      <c r="D240" s="2" t="str">
        <f>IFERROR(__xludf.DUMMYFUNCTION("IF('From Order'!$A240=COLUMNS($A240:D259), LEFT(INDEX(FILTER(D$1:D239, D$1:D239&lt;&gt;""""),COUNTA(FILTER(D$1:D239, D$1:D239&lt;&gt;""""))), LEN(INDEX(FILTER(D$1:D239, D$1:D239&lt;&gt;""""),COUNTA(FILTER(D$1:D239, D$1:D239&lt;&gt;""""))))-1), IF('To Order'!$A240=COLUMNS($A240:D"&amp;"259), D239&amp;RIGHT(INDIRECT(ADDRESS(ROW(D240)-1, 'From Order'!$A240)), 1), D239))"),"DTC")</f>
        <v>DTC</v>
      </c>
      <c r="E240" s="2" t="str">
        <f>IFERROR(__xludf.DUMMYFUNCTION("IF('From Order'!$A240=COLUMNS($A240:E259), LEFT(INDEX(FILTER(E$1:E239, E$1:E239&lt;&gt;""""),COUNTA(FILTER(E$1:E239, E$1:E239&lt;&gt;""""))), LEN(INDEX(FILTER(E$1:E239, E$1:E239&lt;&gt;""""),COUNTA(FILTER(E$1:E239, E$1:E239&lt;&gt;""""))))-1), IF('To Order'!$A240=COLUMNS($A240:E"&amp;"259), E239&amp;RIGHT(INDIRECT(ADDRESS(ROW(E240)-1, 'From Order'!$A240)), 1), E239))"),"GDJB")</f>
        <v>GDJB</v>
      </c>
      <c r="F240" s="2" t="str">
        <f>IFERROR(__xludf.DUMMYFUNCTION("IF('From Order'!$A240=COLUMNS($A240:F259), LEFT(INDEX(FILTER(F$1:F239, F$1:F239&lt;&gt;""""),COUNTA(FILTER(F$1:F239, F$1:F239&lt;&gt;""""))), LEN(INDEX(FILTER(F$1:F239, F$1:F239&lt;&gt;""""),COUNTA(FILTER(F$1:F239, F$1:F239&lt;&gt;""""))))-1), IF('To Order'!$A240=COLUMNS($A240:F"&amp;"259), F239&amp;RIGHT(INDIRECT(ADDRESS(ROW(F240)-1, 'From Order'!$A240)), 1), F239))"),"")</f>
        <v/>
      </c>
      <c r="G240" s="2" t="str">
        <f>IFERROR(__xludf.DUMMYFUNCTION("IF('From Order'!$A240=COLUMNS($A240:G259), LEFT(INDEX(FILTER(G$1:G239, G$1:G239&lt;&gt;""""),COUNTA(FILTER(G$1:G239, G$1:G239&lt;&gt;""""))), LEN(INDEX(FILTER(G$1:G239, G$1:G239&lt;&gt;""""),COUNTA(FILTER(G$1:G239, G$1:G239&lt;&gt;""""))))-1), IF('To Order'!$A240=COLUMNS($A240:G"&amp;"259), G239&amp;RIGHT(INDIRECT(ADDRESS(ROW(G240)-1, 'From Order'!$A240)), 1), G239))"),"RL")</f>
        <v>RL</v>
      </c>
      <c r="H240" s="2" t="str">
        <f>IFERROR(__xludf.DUMMYFUNCTION("IF('From Order'!$A240=COLUMNS($A240:H259), LEFT(INDEX(FILTER(H$1:H239, H$1:H239&lt;&gt;""""),COUNTA(FILTER(H$1:H239, H$1:H239&lt;&gt;""""))), LEN(INDEX(FILTER(H$1:H239, H$1:H239&lt;&gt;""""),COUNTA(FILTER(H$1:H239, H$1:H239&lt;&gt;""""))))-1), IF('To Order'!$A240=COLUMNS($A240:H"&amp;"259), H239&amp;RIGHT(INDIRECT(ADDRESS(ROW(H240)-1, 'From Order'!$A240)), 1), H239))"),"MFTMQCDTHZRVSDPQRBCVTJTWRZTDDZMVPSH")</f>
        <v>MFTMQCDTHZRVSDPQRBCVTJTWRZTDDZMVPSH</v>
      </c>
      <c r="I240" s="2" t="str">
        <f>IFERROR(__xludf.DUMMYFUNCTION("IF('From Order'!$A240=COLUMNS($A240:I259), LEFT(INDEX(FILTER(I$1:I239, I$1:I239&lt;&gt;""""),COUNTA(FILTER(I$1:I239, I$1:I239&lt;&gt;""""))), LEN(INDEX(FILTER(I$1:I239, I$1:I239&lt;&gt;""""),COUNTA(FILTER(I$1:I239, I$1:I239&lt;&gt;""""))))-1), IF('To Order'!$A240=COLUMNS($A240:I"&amp;"259), I239&amp;RIGHT(INDIRECT(ADDRESS(ROW(I240)-1, 'From Order'!$A240)), 1), I239))"),"GPBS")</f>
        <v>GPBS</v>
      </c>
    </row>
    <row r="241">
      <c r="A241" s="2" t="str">
        <f>IFERROR(__xludf.DUMMYFUNCTION("IF('From Order'!$A241=COLUMNS($A241:A260), LEFT(INDEX(FILTER(A$1:A240, A$1:A240&lt;&gt;""""),COUNTA(FILTER(A$1:A240, A$1:A240&lt;&gt;""""))), LEN(INDEX(FILTER(A$1:A240, A$1:A240&lt;&gt;""""),COUNTA(FILTER(A$1:A240, A$1:A240&lt;&gt;""""))))-1), IF('To Order'!$A241=COLUMNS($A241:A"&amp;"260), A240&amp;RIGHT(INDIRECT(ADDRESS(ROW(A241)-1, 'From Order'!$A241)), 1), A240))"),"")</f>
        <v/>
      </c>
      <c r="B241" s="2" t="str">
        <f>IFERROR(__xludf.DUMMYFUNCTION("IF('From Order'!$A241=COLUMNS($A241:B260), LEFT(INDEX(FILTER(B$1:B240, B$1:B240&lt;&gt;""""),COUNTA(FILTER(B$1:B240, B$1:B240&lt;&gt;""""))), LEN(INDEX(FILTER(B$1:B240, B$1:B240&lt;&gt;""""),COUNTA(FILTER(B$1:B240, B$1:B240&lt;&gt;""""))))-1), IF('To Order'!$A241=COLUMNS($A241:B"&amp;"260), B240&amp;RIGHT(INDIRECT(ADDRESS(ROW(B241)-1, 'From Order'!$A241)), 1), B240))"),"SWFBJLRL")</f>
        <v>SWFBJLRL</v>
      </c>
      <c r="C241" s="2" t="str">
        <f>IFERROR(__xludf.DUMMYFUNCTION("IF('From Order'!$A241=COLUMNS($A241:C260), LEFT(INDEX(FILTER(C$1:C240, C$1:C240&lt;&gt;""""),COUNTA(FILTER(C$1:C240, C$1:C240&lt;&gt;""""))), LEN(INDEX(FILTER(C$1:C240, C$1:C240&lt;&gt;""""),COUNTA(FILTER(C$1:C240, C$1:C240&lt;&gt;""""))))-1), IF('To Order'!$A241=COLUMNS($A241:C"&amp;"260), C240&amp;RIGHT(INDIRECT(ADDRESS(ROW(C241)-1, 'From Order'!$A241)), 1), C240))"),"")</f>
        <v/>
      </c>
      <c r="D241" s="2" t="str">
        <f>IFERROR(__xludf.DUMMYFUNCTION("IF('From Order'!$A241=COLUMNS($A241:D260), LEFT(INDEX(FILTER(D$1:D240, D$1:D240&lt;&gt;""""),COUNTA(FILTER(D$1:D240, D$1:D240&lt;&gt;""""))), LEN(INDEX(FILTER(D$1:D240, D$1:D240&lt;&gt;""""),COUNTA(FILTER(D$1:D240, D$1:D240&lt;&gt;""""))))-1), IF('To Order'!$A241=COLUMNS($A241:D"&amp;"260), D240&amp;RIGHT(INDIRECT(ADDRESS(ROW(D241)-1, 'From Order'!$A241)), 1), D240))"),"DTC")</f>
        <v>DTC</v>
      </c>
      <c r="E241" s="2" t="str">
        <f>IFERROR(__xludf.DUMMYFUNCTION("IF('From Order'!$A241=COLUMNS($A241:E260), LEFT(INDEX(FILTER(E$1:E240, E$1:E240&lt;&gt;""""),COUNTA(FILTER(E$1:E240, E$1:E240&lt;&gt;""""))), LEN(INDEX(FILTER(E$1:E240, E$1:E240&lt;&gt;""""),COUNTA(FILTER(E$1:E240, E$1:E240&lt;&gt;""""))))-1), IF('To Order'!$A241=COLUMNS($A241:E"&amp;"260), E240&amp;RIGHT(INDIRECT(ADDRESS(ROW(E241)-1, 'From Order'!$A241)), 1), E240))"),"GDJB")</f>
        <v>GDJB</v>
      </c>
      <c r="F241" s="2" t="str">
        <f>IFERROR(__xludf.DUMMYFUNCTION("IF('From Order'!$A241=COLUMNS($A241:F260), LEFT(INDEX(FILTER(F$1:F240, F$1:F240&lt;&gt;""""),COUNTA(FILTER(F$1:F240, F$1:F240&lt;&gt;""""))), LEN(INDEX(FILTER(F$1:F240, F$1:F240&lt;&gt;""""),COUNTA(FILTER(F$1:F240, F$1:F240&lt;&gt;""""))))-1), IF('To Order'!$A241=COLUMNS($A241:F"&amp;"260), F240&amp;RIGHT(INDIRECT(ADDRESS(ROW(F241)-1, 'From Order'!$A241)), 1), F240))"),"")</f>
        <v/>
      </c>
      <c r="G241" s="2" t="str">
        <f>IFERROR(__xludf.DUMMYFUNCTION("IF('From Order'!$A241=COLUMNS($A241:G260), LEFT(INDEX(FILTER(G$1:G240, G$1:G240&lt;&gt;""""),COUNTA(FILTER(G$1:G240, G$1:G240&lt;&gt;""""))), LEN(INDEX(FILTER(G$1:G240, G$1:G240&lt;&gt;""""),COUNTA(FILTER(G$1:G240, G$1:G240&lt;&gt;""""))))-1), IF('To Order'!$A241=COLUMNS($A241:G"&amp;"260), G240&amp;RIGHT(INDIRECT(ADDRESS(ROW(G241)-1, 'From Order'!$A241)), 1), G240))"),"RLS")</f>
        <v>RLS</v>
      </c>
      <c r="H241" s="2" t="str">
        <f>IFERROR(__xludf.DUMMYFUNCTION("IF('From Order'!$A241=COLUMNS($A241:H260), LEFT(INDEX(FILTER(H$1:H240, H$1:H240&lt;&gt;""""),COUNTA(FILTER(H$1:H240, H$1:H240&lt;&gt;""""))), LEN(INDEX(FILTER(H$1:H240, H$1:H240&lt;&gt;""""),COUNTA(FILTER(H$1:H240, H$1:H240&lt;&gt;""""))))-1), IF('To Order'!$A241=COLUMNS($A241:H"&amp;"260), H240&amp;RIGHT(INDIRECT(ADDRESS(ROW(H241)-1, 'From Order'!$A241)), 1), H240))"),"MFTMQCDTHZRVSDPQRBCVTJTWRZTDDZMVPSH")</f>
        <v>MFTMQCDTHZRVSDPQRBCVTJTWRZTDDZMVPSH</v>
      </c>
      <c r="I241" s="2" t="str">
        <f>IFERROR(__xludf.DUMMYFUNCTION("IF('From Order'!$A241=COLUMNS($A241:I260), LEFT(INDEX(FILTER(I$1:I240, I$1:I240&lt;&gt;""""),COUNTA(FILTER(I$1:I240, I$1:I240&lt;&gt;""""))), LEN(INDEX(FILTER(I$1:I240, I$1:I240&lt;&gt;""""),COUNTA(FILTER(I$1:I240, I$1:I240&lt;&gt;""""))))-1), IF('To Order'!$A241=COLUMNS($A241:I"&amp;"260), I240&amp;RIGHT(INDIRECT(ADDRESS(ROW(I241)-1, 'From Order'!$A241)), 1), I240))"),"GPB")</f>
        <v>GPB</v>
      </c>
    </row>
    <row r="242">
      <c r="A242" s="2" t="str">
        <f>IFERROR(__xludf.DUMMYFUNCTION("IF('From Order'!$A242=COLUMNS($A242:A261), LEFT(INDEX(FILTER(A$1:A241, A$1:A241&lt;&gt;""""),COUNTA(FILTER(A$1:A241, A$1:A241&lt;&gt;""""))), LEN(INDEX(FILTER(A$1:A241, A$1:A241&lt;&gt;""""),COUNTA(FILTER(A$1:A241, A$1:A241&lt;&gt;""""))))-1), IF('To Order'!$A242=COLUMNS($A242:A"&amp;"261), A241&amp;RIGHT(INDIRECT(ADDRESS(ROW(A242)-1, 'From Order'!$A242)), 1), A241))"),"")</f>
        <v/>
      </c>
      <c r="B242" s="2" t="str">
        <f>IFERROR(__xludf.DUMMYFUNCTION("IF('From Order'!$A242=COLUMNS($A242:B261), LEFT(INDEX(FILTER(B$1:B241, B$1:B241&lt;&gt;""""),COUNTA(FILTER(B$1:B241, B$1:B241&lt;&gt;""""))), LEN(INDEX(FILTER(B$1:B241, B$1:B241&lt;&gt;""""),COUNTA(FILTER(B$1:B241, B$1:B241&lt;&gt;""""))))-1), IF('To Order'!$A242=COLUMNS($A242:B"&amp;"261), B241&amp;RIGHT(INDIRECT(ADDRESS(ROW(B242)-1, 'From Order'!$A242)), 1), B241))"),"SWFBJLRL")</f>
        <v>SWFBJLRL</v>
      </c>
      <c r="C242" s="2" t="str">
        <f>IFERROR(__xludf.DUMMYFUNCTION("IF('From Order'!$A242=COLUMNS($A242:C261), LEFT(INDEX(FILTER(C$1:C241, C$1:C241&lt;&gt;""""),COUNTA(FILTER(C$1:C241, C$1:C241&lt;&gt;""""))), LEN(INDEX(FILTER(C$1:C241, C$1:C241&lt;&gt;""""),COUNTA(FILTER(C$1:C241, C$1:C241&lt;&gt;""""))))-1), IF('To Order'!$A242=COLUMNS($A242:C"&amp;"261), C241&amp;RIGHT(INDIRECT(ADDRESS(ROW(C242)-1, 'From Order'!$A242)), 1), C241))"),"")</f>
        <v/>
      </c>
      <c r="D242" s="2" t="str">
        <f>IFERROR(__xludf.DUMMYFUNCTION("IF('From Order'!$A242=COLUMNS($A242:D261), LEFT(INDEX(FILTER(D$1:D241, D$1:D241&lt;&gt;""""),COUNTA(FILTER(D$1:D241, D$1:D241&lt;&gt;""""))), LEN(INDEX(FILTER(D$1:D241, D$1:D241&lt;&gt;""""),COUNTA(FILTER(D$1:D241, D$1:D241&lt;&gt;""""))))-1), IF('To Order'!$A242=COLUMNS($A242:D"&amp;"261), D241&amp;RIGHT(INDIRECT(ADDRESS(ROW(D242)-1, 'From Order'!$A242)), 1), D241))"),"DTC")</f>
        <v>DTC</v>
      </c>
      <c r="E242" s="2" t="str">
        <f>IFERROR(__xludf.DUMMYFUNCTION("IF('From Order'!$A242=COLUMNS($A242:E261), LEFT(INDEX(FILTER(E$1:E241, E$1:E241&lt;&gt;""""),COUNTA(FILTER(E$1:E241, E$1:E241&lt;&gt;""""))), LEN(INDEX(FILTER(E$1:E241, E$1:E241&lt;&gt;""""),COUNTA(FILTER(E$1:E241, E$1:E241&lt;&gt;""""))))-1), IF('To Order'!$A242=COLUMNS($A242:E"&amp;"261), E241&amp;RIGHT(INDIRECT(ADDRESS(ROW(E242)-1, 'From Order'!$A242)), 1), E241))"),"GDJB")</f>
        <v>GDJB</v>
      </c>
      <c r="F242" s="2" t="str">
        <f>IFERROR(__xludf.DUMMYFUNCTION("IF('From Order'!$A242=COLUMNS($A242:F261), LEFT(INDEX(FILTER(F$1:F241, F$1:F241&lt;&gt;""""),COUNTA(FILTER(F$1:F241, F$1:F241&lt;&gt;""""))), LEN(INDEX(FILTER(F$1:F241, F$1:F241&lt;&gt;""""),COUNTA(FILTER(F$1:F241, F$1:F241&lt;&gt;""""))))-1), IF('To Order'!$A242=COLUMNS($A242:F"&amp;"261), F241&amp;RIGHT(INDIRECT(ADDRESS(ROW(F242)-1, 'From Order'!$A242)), 1), F241))"),"")</f>
        <v/>
      </c>
      <c r="G242" s="2" t="str">
        <f>IFERROR(__xludf.DUMMYFUNCTION("IF('From Order'!$A242=COLUMNS($A242:G261), LEFT(INDEX(FILTER(G$1:G241, G$1:G241&lt;&gt;""""),COUNTA(FILTER(G$1:G241, G$1:G241&lt;&gt;""""))), LEN(INDEX(FILTER(G$1:G241, G$1:G241&lt;&gt;""""),COUNTA(FILTER(G$1:G241, G$1:G241&lt;&gt;""""))))-1), IF('To Order'!$A242=COLUMNS($A242:G"&amp;"261), G241&amp;RIGHT(INDIRECT(ADDRESS(ROW(G242)-1, 'From Order'!$A242)), 1), G241))"),"RLSB")</f>
        <v>RLSB</v>
      </c>
      <c r="H242" s="2" t="str">
        <f>IFERROR(__xludf.DUMMYFUNCTION("IF('From Order'!$A242=COLUMNS($A242:H261), LEFT(INDEX(FILTER(H$1:H241, H$1:H241&lt;&gt;""""),COUNTA(FILTER(H$1:H241, H$1:H241&lt;&gt;""""))), LEN(INDEX(FILTER(H$1:H241, H$1:H241&lt;&gt;""""),COUNTA(FILTER(H$1:H241, H$1:H241&lt;&gt;""""))))-1), IF('To Order'!$A242=COLUMNS($A242:H"&amp;"261), H241&amp;RIGHT(INDIRECT(ADDRESS(ROW(H242)-1, 'From Order'!$A242)), 1), H241))"),"MFTMQCDTHZRVSDPQRBCVTJTWRZTDDZMVPSH")</f>
        <v>MFTMQCDTHZRVSDPQRBCVTJTWRZTDDZMVPSH</v>
      </c>
      <c r="I242" s="2" t="str">
        <f>IFERROR(__xludf.DUMMYFUNCTION("IF('From Order'!$A242=COLUMNS($A242:I261), LEFT(INDEX(FILTER(I$1:I241, I$1:I241&lt;&gt;""""),COUNTA(FILTER(I$1:I241, I$1:I241&lt;&gt;""""))), LEN(INDEX(FILTER(I$1:I241, I$1:I241&lt;&gt;""""),COUNTA(FILTER(I$1:I241, I$1:I241&lt;&gt;""""))))-1), IF('To Order'!$A242=COLUMNS($A242:I"&amp;"261), I241&amp;RIGHT(INDIRECT(ADDRESS(ROW(I242)-1, 'From Order'!$A242)), 1), I241))"),"GP")</f>
        <v>GP</v>
      </c>
    </row>
    <row r="243">
      <c r="A243" s="2" t="str">
        <f>IFERROR(__xludf.DUMMYFUNCTION("IF('From Order'!$A243=COLUMNS($A243:A262), LEFT(INDEX(FILTER(A$1:A242, A$1:A242&lt;&gt;""""),COUNTA(FILTER(A$1:A242, A$1:A242&lt;&gt;""""))), LEN(INDEX(FILTER(A$1:A242, A$1:A242&lt;&gt;""""),COUNTA(FILTER(A$1:A242, A$1:A242&lt;&gt;""""))))-1), IF('To Order'!$A243=COLUMNS($A243:A"&amp;"262), A242&amp;RIGHT(INDIRECT(ADDRESS(ROW(A243)-1, 'From Order'!$A243)), 1), A242))"),"")</f>
        <v/>
      </c>
      <c r="B243" s="2" t="str">
        <f>IFERROR(__xludf.DUMMYFUNCTION("IF('From Order'!$A243=COLUMNS($A243:B262), LEFT(INDEX(FILTER(B$1:B242, B$1:B242&lt;&gt;""""),COUNTA(FILTER(B$1:B242, B$1:B242&lt;&gt;""""))), LEN(INDEX(FILTER(B$1:B242, B$1:B242&lt;&gt;""""),COUNTA(FILTER(B$1:B242, B$1:B242&lt;&gt;""""))))-1), IF('To Order'!$A243=COLUMNS($A243:B"&amp;"262), B242&amp;RIGHT(INDIRECT(ADDRESS(ROW(B243)-1, 'From Order'!$A243)), 1), B242))"),"SWFBJLRL")</f>
        <v>SWFBJLRL</v>
      </c>
      <c r="C243" s="2" t="str">
        <f>IFERROR(__xludf.DUMMYFUNCTION("IF('From Order'!$A243=COLUMNS($A243:C262), LEFT(INDEX(FILTER(C$1:C242, C$1:C242&lt;&gt;""""),COUNTA(FILTER(C$1:C242, C$1:C242&lt;&gt;""""))), LEN(INDEX(FILTER(C$1:C242, C$1:C242&lt;&gt;""""),COUNTA(FILTER(C$1:C242, C$1:C242&lt;&gt;""""))))-1), IF('To Order'!$A243=COLUMNS($A243:C"&amp;"262), C242&amp;RIGHT(INDIRECT(ADDRESS(ROW(C243)-1, 'From Order'!$A243)), 1), C242))"),"")</f>
        <v/>
      </c>
      <c r="D243" s="2" t="str">
        <f>IFERROR(__xludf.DUMMYFUNCTION("IF('From Order'!$A243=COLUMNS($A243:D262), LEFT(INDEX(FILTER(D$1:D242, D$1:D242&lt;&gt;""""),COUNTA(FILTER(D$1:D242, D$1:D242&lt;&gt;""""))), LEN(INDEX(FILTER(D$1:D242, D$1:D242&lt;&gt;""""),COUNTA(FILTER(D$1:D242, D$1:D242&lt;&gt;""""))))-1), IF('To Order'!$A243=COLUMNS($A243:D"&amp;"262), D242&amp;RIGHT(INDIRECT(ADDRESS(ROW(D243)-1, 'From Order'!$A243)), 1), D242))"),"DTC")</f>
        <v>DTC</v>
      </c>
      <c r="E243" s="2" t="str">
        <f>IFERROR(__xludf.DUMMYFUNCTION("IF('From Order'!$A243=COLUMNS($A243:E262), LEFT(INDEX(FILTER(E$1:E242, E$1:E242&lt;&gt;""""),COUNTA(FILTER(E$1:E242, E$1:E242&lt;&gt;""""))), LEN(INDEX(FILTER(E$1:E242, E$1:E242&lt;&gt;""""),COUNTA(FILTER(E$1:E242, E$1:E242&lt;&gt;""""))))-1), IF('To Order'!$A243=COLUMNS($A243:E"&amp;"262), E242&amp;RIGHT(INDIRECT(ADDRESS(ROW(E243)-1, 'From Order'!$A243)), 1), E242))"),"GDJ")</f>
        <v>GDJ</v>
      </c>
      <c r="F243" s="2" t="str">
        <f>IFERROR(__xludf.DUMMYFUNCTION("IF('From Order'!$A243=COLUMNS($A243:F262), LEFT(INDEX(FILTER(F$1:F242, F$1:F242&lt;&gt;""""),COUNTA(FILTER(F$1:F242, F$1:F242&lt;&gt;""""))), LEN(INDEX(FILTER(F$1:F242, F$1:F242&lt;&gt;""""),COUNTA(FILTER(F$1:F242, F$1:F242&lt;&gt;""""))))-1), IF('To Order'!$A243=COLUMNS($A243:F"&amp;"262), F242&amp;RIGHT(INDIRECT(ADDRESS(ROW(F243)-1, 'From Order'!$A243)), 1), F242))"),"")</f>
        <v/>
      </c>
      <c r="G243" s="2" t="str">
        <f>IFERROR(__xludf.DUMMYFUNCTION("IF('From Order'!$A243=COLUMNS($A243:G262), LEFT(INDEX(FILTER(G$1:G242, G$1:G242&lt;&gt;""""),COUNTA(FILTER(G$1:G242, G$1:G242&lt;&gt;""""))), LEN(INDEX(FILTER(G$1:G242, G$1:G242&lt;&gt;""""),COUNTA(FILTER(G$1:G242, G$1:G242&lt;&gt;""""))))-1), IF('To Order'!$A243=COLUMNS($A243:G"&amp;"262), G242&amp;RIGHT(INDIRECT(ADDRESS(ROW(G243)-1, 'From Order'!$A243)), 1), G242))"),"RLSB")</f>
        <v>RLSB</v>
      </c>
      <c r="H243" s="2" t="str">
        <f>IFERROR(__xludf.DUMMYFUNCTION("IF('From Order'!$A243=COLUMNS($A243:H262), LEFT(INDEX(FILTER(H$1:H242, H$1:H242&lt;&gt;""""),COUNTA(FILTER(H$1:H242, H$1:H242&lt;&gt;""""))), LEN(INDEX(FILTER(H$1:H242, H$1:H242&lt;&gt;""""),COUNTA(FILTER(H$1:H242, H$1:H242&lt;&gt;""""))))-1), IF('To Order'!$A243=COLUMNS($A243:H"&amp;"262), H242&amp;RIGHT(INDIRECT(ADDRESS(ROW(H243)-1, 'From Order'!$A243)), 1), H242))"),"MFTMQCDTHZRVSDPQRBCVTJTWRZTDDZMVPSH")</f>
        <v>MFTMQCDTHZRVSDPQRBCVTJTWRZTDDZMVPSH</v>
      </c>
      <c r="I243" s="2" t="str">
        <f>IFERROR(__xludf.DUMMYFUNCTION("IF('From Order'!$A243=COLUMNS($A243:I262), LEFT(INDEX(FILTER(I$1:I242, I$1:I242&lt;&gt;""""),COUNTA(FILTER(I$1:I242, I$1:I242&lt;&gt;""""))), LEN(INDEX(FILTER(I$1:I242, I$1:I242&lt;&gt;""""),COUNTA(FILTER(I$1:I242, I$1:I242&lt;&gt;""""))))-1), IF('To Order'!$A243=COLUMNS($A243:I"&amp;"262), I242&amp;RIGHT(INDIRECT(ADDRESS(ROW(I243)-1, 'From Order'!$A243)), 1), I242))"),"GPB")</f>
        <v>GPB</v>
      </c>
    </row>
    <row r="244">
      <c r="A244" s="2" t="str">
        <f>IFERROR(__xludf.DUMMYFUNCTION("IF('From Order'!$A244=COLUMNS($A244:A263), LEFT(INDEX(FILTER(A$1:A243, A$1:A243&lt;&gt;""""),COUNTA(FILTER(A$1:A243, A$1:A243&lt;&gt;""""))), LEN(INDEX(FILTER(A$1:A243, A$1:A243&lt;&gt;""""),COUNTA(FILTER(A$1:A243, A$1:A243&lt;&gt;""""))))-1), IF('To Order'!$A244=COLUMNS($A244:A"&amp;"263), A243&amp;RIGHT(INDIRECT(ADDRESS(ROW(A244)-1, 'From Order'!$A244)), 1), A243))"),"")</f>
        <v/>
      </c>
      <c r="B244" s="2" t="str">
        <f>IFERROR(__xludf.DUMMYFUNCTION("IF('From Order'!$A244=COLUMNS($A244:B263), LEFT(INDEX(FILTER(B$1:B243, B$1:B243&lt;&gt;""""),COUNTA(FILTER(B$1:B243, B$1:B243&lt;&gt;""""))), LEN(INDEX(FILTER(B$1:B243, B$1:B243&lt;&gt;""""),COUNTA(FILTER(B$1:B243, B$1:B243&lt;&gt;""""))))-1), IF('To Order'!$A244=COLUMNS($A244:B"&amp;"263), B243&amp;RIGHT(INDIRECT(ADDRESS(ROW(B244)-1, 'From Order'!$A244)), 1), B243))"),"SWFBJLRL")</f>
        <v>SWFBJLRL</v>
      </c>
      <c r="C244" s="2" t="str">
        <f>IFERROR(__xludf.DUMMYFUNCTION("IF('From Order'!$A244=COLUMNS($A244:C263), LEFT(INDEX(FILTER(C$1:C243, C$1:C243&lt;&gt;""""),COUNTA(FILTER(C$1:C243, C$1:C243&lt;&gt;""""))), LEN(INDEX(FILTER(C$1:C243, C$1:C243&lt;&gt;""""),COUNTA(FILTER(C$1:C243, C$1:C243&lt;&gt;""""))))-1), IF('To Order'!$A244=COLUMNS($A244:C"&amp;"263), C243&amp;RIGHT(INDIRECT(ADDRESS(ROW(C244)-1, 'From Order'!$A244)), 1), C243))"),"")</f>
        <v/>
      </c>
      <c r="D244" s="2" t="str">
        <f>IFERROR(__xludf.DUMMYFUNCTION("IF('From Order'!$A244=COLUMNS($A244:D263), LEFT(INDEX(FILTER(D$1:D243, D$1:D243&lt;&gt;""""),COUNTA(FILTER(D$1:D243, D$1:D243&lt;&gt;""""))), LEN(INDEX(FILTER(D$1:D243, D$1:D243&lt;&gt;""""),COUNTA(FILTER(D$1:D243, D$1:D243&lt;&gt;""""))))-1), IF('To Order'!$A244=COLUMNS($A244:D"&amp;"263), D243&amp;RIGHT(INDIRECT(ADDRESS(ROW(D244)-1, 'From Order'!$A244)), 1), D243))"),"DTC")</f>
        <v>DTC</v>
      </c>
      <c r="E244" s="2" t="str">
        <f>IFERROR(__xludf.DUMMYFUNCTION("IF('From Order'!$A244=COLUMNS($A244:E263), LEFT(INDEX(FILTER(E$1:E243, E$1:E243&lt;&gt;""""),COUNTA(FILTER(E$1:E243, E$1:E243&lt;&gt;""""))), LEN(INDEX(FILTER(E$1:E243, E$1:E243&lt;&gt;""""),COUNTA(FILTER(E$1:E243, E$1:E243&lt;&gt;""""))))-1), IF('To Order'!$A244=COLUMNS($A244:E"&amp;"263), E243&amp;RIGHT(INDIRECT(ADDRESS(ROW(E244)-1, 'From Order'!$A244)), 1), E243))"),"GD")</f>
        <v>GD</v>
      </c>
      <c r="F244" s="2" t="str">
        <f>IFERROR(__xludf.DUMMYFUNCTION("IF('From Order'!$A244=COLUMNS($A244:F263), LEFT(INDEX(FILTER(F$1:F243, F$1:F243&lt;&gt;""""),COUNTA(FILTER(F$1:F243, F$1:F243&lt;&gt;""""))), LEN(INDEX(FILTER(F$1:F243, F$1:F243&lt;&gt;""""),COUNTA(FILTER(F$1:F243, F$1:F243&lt;&gt;""""))))-1), IF('To Order'!$A244=COLUMNS($A244:F"&amp;"263), F243&amp;RIGHT(INDIRECT(ADDRESS(ROW(F244)-1, 'From Order'!$A244)), 1), F243))"),"")</f>
        <v/>
      </c>
      <c r="G244" s="2" t="str">
        <f>IFERROR(__xludf.DUMMYFUNCTION("IF('From Order'!$A244=COLUMNS($A244:G263), LEFT(INDEX(FILTER(G$1:G243, G$1:G243&lt;&gt;""""),COUNTA(FILTER(G$1:G243, G$1:G243&lt;&gt;""""))), LEN(INDEX(FILTER(G$1:G243, G$1:G243&lt;&gt;""""),COUNTA(FILTER(G$1:G243, G$1:G243&lt;&gt;""""))))-1), IF('To Order'!$A244=COLUMNS($A244:G"&amp;"263), G243&amp;RIGHT(INDIRECT(ADDRESS(ROW(G244)-1, 'From Order'!$A244)), 1), G243))"),"RLSB")</f>
        <v>RLSB</v>
      </c>
      <c r="H244" s="2" t="str">
        <f>IFERROR(__xludf.DUMMYFUNCTION("IF('From Order'!$A244=COLUMNS($A244:H263), LEFT(INDEX(FILTER(H$1:H243, H$1:H243&lt;&gt;""""),COUNTA(FILTER(H$1:H243, H$1:H243&lt;&gt;""""))), LEN(INDEX(FILTER(H$1:H243, H$1:H243&lt;&gt;""""),COUNTA(FILTER(H$1:H243, H$1:H243&lt;&gt;""""))))-1), IF('To Order'!$A244=COLUMNS($A244:H"&amp;"263), H243&amp;RIGHT(INDIRECT(ADDRESS(ROW(H244)-1, 'From Order'!$A244)), 1), H243))"),"MFTMQCDTHZRVSDPQRBCVTJTWRZTDDZMVPSH")</f>
        <v>MFTMQCDTHZRVSDPQRBCVTJTWRZTDDZMVPSH</v>
      </c>
      <c r="I244" s="2" t="str">
        <f>IFERROR(__xludf.DUMMYFUNCTION("IF('From Order'!$A244=COLUMNS($A244:I263), LEFT(INDEX(FILTER(I$1:I243, I$1:I243&lt;&gt;""""),COUNTA(FILTER(I$1:I243, I$1:I243&lt;&gt;""""))), LEN(INDEX(FILTER(I$1:I243, I$1:I243&lt;&gt;""""),COUNTA(FILTER(I$1:I243, I$1:I243&lt;&gt;""""))))-1), IF('To Order'!$A244=COLUMNS($A244:I"&amp;"263), I243&amp;RIGHT(INDIRECT(ADDRESS(ROW(I244)-1, 'From Order'!$A244)), 1), I243))"),"GPBJ")</f>
        <v>GPBJ</v>
      </c>
    </row>
    <row r="245">
      <c r="A245" s="2" t="str">
        <f>IFERROR(__xludf.DUMMYFUNCTION("IF('From Order'!$A245=COLUMNS($A245:A264), LEFT(INDEX(FILTER(A$1:A244, A$1:A244&lt;&gt;""""),COUNTA(FILTER(A$1:A244, A$1:A244&lt;&gt;""""))), LEN(INDEX(FILTER(A$1:A244, A$1:A244&lt;&gt;""""),COUNTA(FILTER(A$1:A244, A$1:A244&lt;&gt;""""))))-1), IF('To Order'!$A245=COLUMNS($A245:A"&amp;"264), A244&amp;RIGHT(INDIRECT(ADDRESS(ROW(A245)-1, 'From Order'!$A245)), 1), A244))"),"")</f>
        <v/>
      </c>
      <c r="B245" s="2" t="str">
        <f>IFERROR(__xludf.DUMMYFUNCTION("IF('From Order'!$A245=COLUMNS($A245:B264), LEFT(INDEX(FILTER(B$1:B244, B$1:B244&lt;&gt;""""),COUNTA(FILTER(B$1:B244, B$1:B244&lt;&gt;""""))), LEN(INDEX(FILTER(B$1:B244, B$1:B244&lt;&gt;""""),COUNTA(FILTER(B$1:B244, B$1:B244&lt;&gt;""""))))-1), IF('To Order'!$A245=COLUMNS($A245:B"&amp;"264), B244&amp;RIGHT(INDIRECT(ADDRESS(ROW(B245)-1, 'From Order'!$A245)), 1), B244))"),"SWFBJLRL")</f>
        <v>SWFBJLRL</v>
      </c>
      <c r="C245" s="2" t="str">
        <f>IFERROR(__xludf.DUMMYFUNCTION("IF('From Order'!$A245=COLUMNS($A245:C264), LEFT(INDEX(FILTER(C$1:C244, C$1:C244&lt;&gt;""""),COUNTA(FILTER(C$1:C244, C$1:C244&lt;&gt;""""))), LEN(INDEX(FILTER(C$1:C244, C$1:C244&lt;&gt;""""),COUNTA(FILTER(C$1:C244, C$1:C244&lt;&gt;""""))))-1), IF('To Order'!$A245=COLUMNS($A245:C"&amp;"264), C244&amp;RIGHT(INDIRECT(ADDRESS(ROW(C245)-1, 'From Order'!$A245)), 1), C244))"),"")</f>
        <v/>
      </c>
      <c r="D245" s="2" t="str">
        <f>IFERROR(__xludf.DUMMYFUNCTION("IF('From Order'!$A245=COLUMNS($A245:D264), LEFT(INDEX(FILTER(D$1:D244, D$1:D244&lt;&gt;""""),COUNTA(FILTER(D$1:D244, D$1:D244&lt;&gt;""""))), LEN(INDEX(FILTER(D$1:D244, D$1:D244&lt;&gt;""""),COUNTA(FILTER(D$1:D244, D$1:D244&lt;&gt;""""))))-1), IF('To Order'!$A245=COLUMNS($A245:D"&amp;"264), D244&amp;RIGHT(INDIRECT(ADDRESS(ROW(D245)-1, 'From Order'!$A245)), 1), D244))"),"DTC")</f>
        <v>DTC</v>
      </c>
      <c r="E245" s="2" t="str">
        <f>IFERROR(__xludf.DUMMYFUNCTION("IF('From Order'!$A245=COLUMNS($A245:E264), LEFT(INDEX(FILTER(E$1:E244, E$1:E244&lt;&gt;""""),COUNTA(FILTER(E$1:E244, E$1:E244&lt;&gt;""""))), LEN(INDEX(FILTER(E$1:E244, E$1:E244&lt;&gt;""""),COUNTA(FILTER(E$1:E244, E$1:E244&lt;&gt;""""))))-1), IF('To Order'!$A245=COLUMNS($A245:E"&amp;"264), E244&amp;RIGHT(INDIRECT(ADDRESS(ROW(E245)-1, 'From Order'!$A245)), 1), E244))"),"G")</f>
        <v>G</v>
      </c>
      <c r="F245" s="2" t="str">
        <f>IFERROR(__xludf.DUMMYFUNCTION("IF('From Order'!$A245=COLUMNS($A245:F264), LEFT(INDEX(FILTER(F$1:F244, F$1:F244&lt;&gt;""""),COUNTA(FILTER(F$1:F244, F$1:F244&lt;&gt;""""))), LEN(INDEX(FILTER(F$1:F244, F$1:F244&lt;&gt;""""),COUNTA(FILTER(F$1:F244, F$1:F244&lt;&gt;""""))))-1), IF('To Order'!$A245=COLUMNS($A245:F"&amp;"264), F244&amp;RIGHT(INDIRECT(ADDRESS(ROW(F245)-1, 'From Order'!$A245)), 1), F244))"),"")</f>
        <v/>
      </c>
      <c r="G245" s="2" t="str">
        <f>IFERROR(__xludf.DUMMYFUNCTION("IF('From Order'!$A245=COLUMNS($A245:G264), LEFT(INDEX(FILTER(G$1:G244, G$1:G244&lt;&gt;""""),COUNTA(FILTER(G$1:G244, G$1:G244&lt;&gt;""""))), LEN(INDEX(FILTER(G$1:G244, G$1:G244&lt;&gt;""""),COUNTA(FILTER(G$1:G244, G$1:G244&lt;&gt;""""))))-1), IF('To Order'!$A245=COLUMNS($A245:G"&amp;"264), G244&amp;RIGHT(INDIRECT(ADDRESS(ROW(G245)-1, 'From Order'!$A245)), 1), G244))"),"RLSB")</f>
        <v>RLSB</v>
      </c>
      <c r="H245" s="2" t="str">
        <f>IFERROR(__xludf.DUMMYFUNCTION("IF('From Order'!$A245=COLUMNS($A245:H264), LEFT(INDEX(FILTER(H$1:H244, H$1:H244&lt;&gt;""""),COUNTA(FILTER(H$1:H244, H$1:H244&lt;&gt;""""))), LEN(INDEX(FILTER(H$1:H244, H$1:H244&lt;&gt;""""),COUNTA(FILTER(H$1:H244, H$1:H244&lt;&gt;""""))))-1), IF('To Order'!$A245=COLUMNS($A245:H"&amp;"264), H244&amp;RIGHT(INDIRECT(ADDRESS(ROW(H245)-1, 'From Order'!$A245)), 1), H244))"),"MFTMQCDTHZRVSDPQRBCVTJTWRZTDDZMVPSH")</f>
        <v>MFTMQCDTHZRVSDPQRBCVTJTWRZTDDZMVPSH</v>
      </c>
      <c r="I245" s="2" t="str">
        <f>IFERROR(__xludf.DUMMYFUNCTION("IF('From Order'!$A245=COLUMNS($A245:I264), LEFT(INDEX(FILTER(I$1:I244, I$1:I244&lt;&gt;""""),COUNTA(FILTER(I$1:I244, I$1:I244&lt;&gt;""""))), LEN(INDEX(FILTER(I$1:I244, I$1:I244&lt;&gt;""""),COUNTA(FILTER(I$1:I244, I$1:I244&lt;&gt;""""))))-1), IF('To Order'!$A245=COLUMNS($A245:I"&amp;"264), I244&amp;RIGHT(INDIRECT(ADDRESS(ROW(I245)-1, 'From Order'!$A245)), 1), I244))"),"GPBJD")</f>
        <v>GPBJD</v>
      </c>
    </row>
    <row r="246">
      <c r="A246" s="2" t="str">
        <f>IFERROR(__xludf.DUMMYFUNCTION("IF('From Order'!$A246=COLUMNS($A246:A265), LEFT(INDEX(FILTER(A$1:A245, A$1:A245&lt;&gt;""""),COUNTA(FILTER(A$1:A245, A$1:A245&lt;&gt;""""))), LEN(INDEX(FILTER(A$1:A245, A$1:A245&lt;&gt;""""),COUNTA(FILTER(A$1:A245, A$1:A245&lt;&gt;""""))))-1), IF('To Order'!$A246=COLUMNS($A246:A"&amp;"265), A245&amp;RIGHT(INDIRECT(ADDRESS(ROW(A246)-1, 'From Order'!$A246)), 1), A245))"),"")</f>
        <v/>
      </c>
      <c r="B246" s="2" t="str">
        <f>IFERROR(__xludf.DUMMYFUNCTION("IF('From Order'!$A246=COLUMNS($A246:B265), LEFT(INDEX(FILTER(B$1:B245, B$1:B245&lt;&gt;""""),COUNTA(FILTER(B$1:B245, B$1:B245&lt;&gt;""""))), LEN(INDEX(FILTER(B$1:B245, B$1:B245&lt;&gt;""""),COUNTA(FILTER(B$1:B245, B$1:B245&lt;&gt;""""))))-1), IF('To Order'!$A246=COLUMNS($A246:B"&amp;"265), B245&amp;RIGHT(INDIRECT(ADDRESS(ROW(B246)-1, 'From Order'!$A246)), 1), B245))"),"SWFBJLRL")</f>
        <v>SWFBJLRL</v>
      </c>
      <c r="C246" s="2" t="str">
        <f>IFERROR(__xludf.DUMMYFUNCTION("IF('From Order'!$A246=COLUMNS($A246:C265), LEFT(INDEX(FILTER(C$1:C245, C$1:C245&lt;&gt;""""),COUNTA(FILTER(C$1:C245, C$1:C245&lt;&gt;""""))), LEN(INDEX(FILTER(C$1:C245, C$1:C245&lt;&gt;""""),COUNTA(FILTER(C$1:C245, C$1:C245&lt;&gt;""""))))-1), IF('To Order'!$A246=COLUMNS($A246:C"&amp;"265), C245&amp;RIGHT(INDIRECT(ADDRESS(ROW(C246)-1, 'From Order'!$A246)), 1), C245))"),"")</f>
        <v/>
      </c>
      <c r="D246" s="2" t="str">
        <f>IFERROR(__xludf.DUMMYFUNCTION("IF('From Order'!$A246=COLUMNS($A246:D265), LEFT(INDEX(FILTER(D$1:D245, D$1:D245&lt;&gt;""""),COUNTA(FILTER(D$1:D245, D$1:D245&lt;&gt;""""))), LEN(INDEX(FILTER(D$1:D245, D$1:D245&lt;&gt;""""),COUNTA(FILTER(D$1:D245, D$1:D245&lt;&gt;""""))))-1), IF('To Order'!$A246=COLUMNS($A246:D"&amp;"265), D245&amp;RIGHT(INDIRECT(ADDRESS(ROW(D246)-1, 'From Order'!$A246)), 1), D245))"),"DTC")</f>
        <v>DTC</v>
      </c>
      <c r="E246" s="2" t="str">
        <f>IFERROR(__xludf.DUMMYFUNCTION("IF('From Order'!$A246=COLUMNS($A246:E265), LEFT(INDEX(FILTER(E$1:E245, E$1:E245&lt;&gt;""""),COUNTA(FILTER(E$1:E245, E$1:E245&lt;&gt;""""))), LEN(INDEX(FILTER(E$1:E245, E$1:E245&lt;&gt;""""),COUNTA(FILTER(E$1:E245, E$1:E245&lt;&gt;""""))))-1), IF('To Order'!$A246=COLUMNS($A246:E"&amp;"265), E245&amp;RIGHT(INDIRECT(ADDRESS(ROW(E246)-1, 'From Order'!$A246)), 1), E245))"),"")</f>
        <v/>
      </c>
      <c r="F246" s="2" t="str">
        <f>IFERROR(__xludf.DUMMYFUNCTION("IF('From Order'!$A246=COLUMNS($A246:F265), LEFT(INDEX(FILTER(F$1:F245, F$1:F245&lt;&gt;""""),COUNTA(FILTER(F$1:F245, F$1:F245&lt;&gt;""""))), LEN(INDEX(FILTER(F$1:F245, F$1:F245&lt;&gt;""""),COUNTA(FILTER(F$1:F245, F$1:F245&lt;&gt;""""))))-1), IF('To Order'!$A246=COLUMNS($A246:F"&amp;"265), F245&amp;RIGHT(INDIRECT(ADDRESS(ROW(F246)-1, 'From Order'!$A246)), 1), F245))"),"")</f>
        <v/>
      </c>
      <c r="G246" s="2" t="str">
        <f>IFERROR(__xludf.DUMMYFUNCTION("IF('From Order'!$A246=COLUMNS($A246:G265), LEFT(INDEX(FILTER(G$1:G245, G$1:G245&lt;&gt;""""),COUNTA(FILTER(G$1:G245, G$1:G245&lt;&gt;""""))), LEN(INDEX(FILTER(G$1:G245, G$1:G245&lt;&gt;""""),COUNTA(FILTER(G$1:G245, G$1:G245&lt;&gt;""""))))-1), IF('To Order'!$A246=COLUMNS($A246:G"&amp;"265), G245&amp;RIGHT(INDIRECT(ADDRESS(ROW(G246)-1, 'From Order'!$A246)), 1), G245))"),"RLSB")</f>
        <v>RLSB</v>
      </c>
      <c r="H246" s="2" t="str">
        <f>IFERROR(__xludf.DUMMYFUNCTION("IF('From Order'!$A246=COLUMNS($A246:H265), LEFT(INDEX(FILTER(H$1:H245, H$1:H245&lt;&gt;""""),COUNTA(FILTER(H$1:H245, H$1:H245&lt;&gt;""""))), LEN(INDEX(FILTER(H$1:H245, H$1:H245&lt;&gt;""""),COUNTA(FILTER(H$1:H245, H$1:H245&lt;&gt;""""))))-1), IF('To Order'!$A246=COLUMNS($A246:H"&amp;"265), H245&amp;RIGHT(INDIRECT(ADDRESS(ROW(H246)-1, 'From Order'!$A246)), 1), H245))"),"MFTMQCDTHZRVSDPQRBCVTJTWRZTDDZMVPSH")</f>
        <v>MFTMQCDTHZRVSDPQRBCVTJTWRZTDDZMVPSH</v>
      </c>
      <c r="I246" s="2" t="str">
        <f>IFERROR(__xludf.DUMMYFUNCTION("IF('From Order'!$A246=COLUMNS($A246:I265), LEFT(INDEX(FILTER(I$1:I245, I$1:I245&lt;&gt;""""),COUNTA(FILTER(I$1:I245, I$1:I245&lt;&gt;""""))), LEN(INDEX(FILTER(I$1:I245, I$1:I245&lt;&gt;""""),COUNTA(FILTER(I$1:I245, I$1:I245&lt;&gt;""""))))-1), IF('To Order'!$A246=COLUMNS($A246:I"&amp;"265), I245&amp;RIGHT(INDIRECT(ADDRESS(ROW(I246)-1, 'From Order'!$A246)), 1), I245))"),"GPBJDG")</f>
        <v>GPBJDG</v>
      </c>
    </row>
    <row r="247">
      <c r="A247" s="2" t="str">
        <f>IFERROR(__xludf.DUMMYFUNCTION("IF('From Order'!$A247=COLUMNS($A247:A266), LEFT(INDEX(FILTER(A$1:A246, A$1:A246&lt;&gt;""""),COUNTA(FILTER(A$1:A246, A$1:A246&lt;&gt;""""))), LEN(INDEX(FILTER(A$1:A246, A$1:A246&lt;&gt;""""),COUNTA(FILTER(A$1:A246, A$1:A246&lt;&gt;""""))))-1), IF('To Order'!$A247=COLUMNS($A247:A"&amp;"266), A246&amp;RIGHT(INDIRECT(ADDRESS(ROW(A247)-1, 'From Order'!$A247)), 1), A246))"),"C")</f>
        <v>C</v>
      </c>
      <c r="B247" s="2" t="str">
        <f>IFERROR(__xludf.DUMMYFUNCTION("IF('From Order'!$A247=COLUMNS($A247:B266), LEFT(INDEX(FILTER(B$1:B246, B$1:B246&lt;&gt;""""),COUNTA(FILTER(B$1:B246, B$1:B246&lt;&gt;""""))), LEN(INDEX(FILTER(B$1:B246, B$1:B246&lt;&gt;""""),COUNTA(FILTER(B$1:B246, B$1:B246&lt;&gt;""""))))-1), IF('To Order'!$A247=COLUMNS($A247:B"&amp;"266), B246&amp;RIGHT(INDIRECT(ADDRESS(ROW(B247)-1, 'From Order'!$A247)), 1), B246))"),"SWFBJLRL")</f>
        <v>SWFBJLRL</v>
      </c>
      <c r="C247" s="2" t="str">
        <f>IFERROR(__xludf.DUMMYFUNCTION("IF('From Order'!$A247=COLUMNS($A247:C266), LEFT(INDEX(FILTER(C$1:C246, C$1:C246&lt;&gt;""""),COUNTA(FILTER(C$1:C246, C$1:C246&lt;&gt;""""))), LEN(INDEX(FILTER(C$1:C246, C$1:C246&lt;&gt;""""),COUNTA(FILTER(C$1:C246, C$1:C246&lt;&gt;""""))))-1), IF('To Order'!$A247=COLUMNS($A247:C"&amp;"266), C246&amp;RIGHT(INDIRECT(ADDRESS(ROW(C247)-1, 'From Order'!$A247)), 1), C246))"),"")</f>
        <v/>
      </c>
      <c r="D247" s="2" t="str">
        <f>IFERROR(__xludf.DUMMYFUNCTION("IF('From Order'!$A247=COLUMNS($A247:D266), LEFT(INDEX(FILTER(D$1:D246, D$1:D246&lt;&gt;""""),COUNTA(FILTER(D$1:D246, D$1:D246&lt;&gt;""""))), LEN(INDEX(FILTER(D$1:D246, D$1:D246&lt;&gt;""""),COUNTA(FILTER(D$1:D246, D$1:D246&lt;&gt;""""))))-1), IF('To Order'!$A247=COLUMNS($A247:D"&amp;"266), D246&amp;RIGHT(INDIRECT(ADDRESS(ROW(D247)-1, 'From Order'!$A247)), 1), D246))"),"DT")</f>
        <v>DT</v>
      </c>
      <c r="E247" s="2" t="str">
        <f>IFERROR(__xludf.DUMMYFUNCTION("IF('From Order'!$A247=COLUMNS($A247:E266), LEFT(INDEX(FILTER(E$1:E246, E$1:E246&lt;&gt;""""),COUNTA(FILTER(E$1:E246, E$1:E246&lt;&gt;""""))), LEN(INDEX(FILTER(E$1:E246, E$1:E246&lt;&gt;""""),COUNTA(FILTER(E$1:E246, E$1:E246&lt;&gt;""""))))-1), IF('To Order'!$A247=COLUMNS($A247:E"&amp;"266), E246&amp;RIGHT(INDIRECT(ADDRESS(ROW(E247)-1, 'From Order'!$A247)), 1), E246))"),"")</f>
        <v/>
      </c>
      <c r="F247" s="2" t="str">
        <f>IFERROR(__xludf.DUMMYFUNCTION("IF('From Order'!$A247=COLUMNS($A247:F266), LEFT(INDEX(FILTER(F$1:F246, F$1:F246&lt;&gt;""""),COUNTA(FILTER(F$1:F246, F$1:F246&lt;&gt;""""))), LEN(INDEX(FILTER(F$1:F246, F$1:F246&lt;&gt;""""),COUNTA(FILTER(F$1:F246, F$1:F246&lt;&gt;""""))))-1), IF('To Order'!$A247=COLUMNS($A247:F"&amp;"266), F246&amp;RIGHT(INDIRECT(ADDRESS(ROW(F247)-1, 'From Order'!$A247)), 1), F246))"),"")</f>
        <v/>
      </c>
      <c r="G247" s="2" t="str">
        <f>IFERROR(__xludf.DUMMYFUNCTION("IF('From Order'!$A247=COLUMNS($A247:G266), LEFT(INDEX(FILTER(G$1:G246, G$1:G246&lt;&gt;""""),COUNTA(FILTER(G$1:G246, G$1:G246&lt;&gt;""""))), LEN(INDEX(FILTER(G$1:G246, G$1:G246&lt;&gt;""""),COUNTA(FILTER(G$1:G246, G$1:G246&lt;&gt;""""))))-1), IF('To Order'!$A247=COLUMNS($A247:G"&amp;"266), G246&amp;RIGHT(INDIRECT(ADDRESS(ROW(G247)-1, 'From Order'!$A247)), 1), G246))"),"RLSB")</f>
        <v>RLSB</v>
      </c>
      <c r="H247" s="2" t="str">
        <f>IFERROR(__xludf.DUMMYFUNCTION("IF('From Order'!$A247=COLUMNS($A247:H266), LEFT(INDEX(FILTER(H$1:H246, H$1:H246&lt;&gt;""""),COUNTA(FILTER(H$1:H246, H$1:H246&lt;&gt;""""))), LEN(INDEX(FILTER(H$1:H246, H$1:H246&lt;&gt;""""),COUNTA(FILTER(H$1:H246, H$1:H246&lt;&gt;""""))))-1), IF('To Order'!$A247=COLUMNS($A247:H"&amp;"266), H246&amp;RIGHT(INDIRECT(ADDRESS(ROW(H247)-1, 'From Order'!$A247)), 1), H246))"),"MFTMQCDTHZRVSDPQRBCVTJTWRZTDDZMVPSH")</f>
        <v>MFTMQCDTHZRVSDPQRBCVTJTWRZTDDZMVPSH</v>
      </c>
      <c r="I247" s="2" t="str">
        <f>IFERROR(__xludf.DUMMYFUNCTION("IF('From Order'!$A247=COLUMNS($A247:I266), LEFT(INDEX(FILTER(I$1:I246, I$1:I246&lt;&gt;""""),COUNTA(FILTER(I$1:I246, I$1:I246&lt;&gt;""""))), LEN(INDEX(FILTER(I$1:I246, I$1:I246&lt;&gt;""""),COUNTA(FILTER(I$1:I246, I$1:I246&lt;&gt;""""))))-1), IF('To Order'!$A247=COLUMNS($A247:I"&amp;"266), I246&amp;RIGHT(INDIRECT(ADDRESS(ROW(I247)-1, 'From Order'!$A247)), 1), I246))"),"GPBJDG")</f>
        <v>GPBJDG</v>
      </c>
    </row>
    <row r="248">
      <c r="A248" s="2" t="str">
        <f>IFERROR(__xludf.DUMMYFUNCTION("IF('From Order'!$A248=COLUMNS($A248:A267), LEFT(INDEX(FILTER(A$1:A247, A$1:A247&lt;&gt;""""),COUNTA(FILTER(A$1:A247, A$1:A247&lt;&gt;""""))), LEN(INDEX(FILTER(A$1:A247, A$1:A247&lt;&gt;""""),COUNTA(FILTER(A$1:A247, A$1:A247&lt;&gt;""""))))-1), IF('To Order'!$A248=COLUMNS($A248:A"&amp;"267), A247&amp;RIGHT(INDIRECT(ADDRESS(ROW(A248)-1, 'From Order'!$A248)), 1), A247))"),"CT")</f>
        <v>CT</v>
      </c>
      <c r="B248" s="2" t="str">
        <f>IFERROR(__xludf.DUMMYFUNCTION("IF('From Order'!$A248=COLUMNS($A248:B267), LEFT(INDEX(FILTER(B$1:B247, B$1:B247&lt;&gt;""""),COUNTA(FILTER(B$1:B247, B$1:B247&lt;&gt;""""))), LEN(INDEX(FILTER(B$1:B247, B$1:B247&lt;&gt;""""),COUNTA(FILTER(B$1:B247, B$1:B247&lt;&gt;""""))))-1), IF('To Order'!$A248=COLUMNS($A248:B"&amp;"267), B247&amp;RIGHT(INDIRECT(ADDRESS(ROW(B248)-1, 'From Order'!$A248)), 1), B247))"),"SWFBJLRL")</f>
        <v>SWFBJLRL</v>
      </c>
      <c r="C248" s="2" t="str">
        <f>IFERROR(__xludf.DUMMYFUNCTION("IF('From Order'!$A248=COLUMNS($A248:C267), LEFT(INDEX(FILTER(C$1:C247, C$1:C247&lt;&gt;""""),COUNTA(FILTER(C$1:C247, C$1:C247&lt;&gt;""""))), LEN(INDEX(FILTER(C$1:C247, C$1:C247&lt;&gt;""""),COUNTA(FILTER(C$1:C247, C$1:C247&lt;&gt;""""))))-1), IF('To Order'!$A248=COLUMNS($A248:C"&amp;"267), C247&amp;RIGHT(INDIRECT(ADDRESS(ROW(C248)-1, 'From Order'!$A248)), 1), C247))"),"")</f>
        <v/>
      </c>
      <c r="D248" s="2" t="str">
        <f>IFERROR(__xludf.DUMMYFUNCTION("IF('From Order'!$A248=COLUMNS($A248:D267), LEFT(INDEX(FILTER(D$1:D247, D$1:D247&lt;&gt;""""),COUNTA(FILTER(D$1:D247, D$1:D247&lt;&gt;""""))), LEN(INDEX(FILTER(D$1:D247, D$1:D247&lt;&gt;""""),COUNTA(FILTER(D$1:D247, D$1:D247&lt;&gt;""""))))-1), IF('To Order'!$A248=COLUMNS($A248:D"&amp;"267), D247&amp;RIGHT(INDIRECT(ADDRESS(ROW(D248)-1, 'From Order'!$A248)), 1), D247))"),"D")</f>
        <v>D</v>
      </c>
      <c r="E248" s="2" t="str">
        <f>IFERROR(__xludf.DUMMYFUNCTION("IF('From Order'!$A248=COLUMNS($A248:E267), LEFT(INDEX(FILTER(E$1:E247, E$1:E247&lt;&gt;""""),COUNTA(FILTER(E$1:E247, E$1:E247&lt;&gt;""""))), LEN(INDEX(FILTER(E$1:E247, E$1:E247&lt;&gt;""""),COUNTA(FILTER(E$1:E247, E$1:E247&lt;&gt;""""))))-1), IF('To Order'!$A248=COLUMNS($A248:E"&amp;"267), E247&amp;RIGHT(INDIRECT(ADDRESS(ROW(E248)-1, 'From Order'!$A248)), 1), E247))"),"")</f>
        <v/>
      </c>
      <c r="F248" s="2" t="str">
        <f>IFERROR(__xludf.DUMMYFUNCTION("IF('From Order'!$A248=COLUMNS($A248:F267), LEFT(INDEX(FILTER(F$1:F247, F$1:F247&lt;&gt;""""),COUNTA(FILTER(F$1:F247, F$1:F247&lt;&gt;""""))), LEN(INDEX(FILTER(F$1:F247, F$1:F247&lt;&gt;""""),COUNTA(FILTER(F$1:F247, F$1:F247&lt;&gt;""""))))-1), IF('To Order'!$A248=COLUMNS($A248:F"&amp;"267), F247&amp;RIGHT(INDIRECT(ADDRESS(ROW(F248)-1, 'From Order'!$A248)), 1), F247))"),"")</f>
        <v/>
      </c>
      <c r="G248" s="2" t="str">
        <f>IFERROR(__xludf.DUMMYFUNCTION("IF('From Order'!$A248=COLUMNS($A248:G267), LEFT(INDEX(FILTER(G$1:G247, G$1:G247&lt;&gt;""""),COUNTA(FILTER(G$1:G247, G$1:G247&lt;&gt;""""))), LEN(INDEX(FILTER(G$1:G247, G$1:G247&lt;&gt;""""),COUNTA(FILTER(G$1:G247, G$1:G247&lt;&gt;""""))))-1), IF('To Order'!$A248=COLUMNS($A248:G"&amp;"267), G247&amp;RIGHT(INDIRECT(ADDRESS(ROW(G248)-1, 'From Order'!$A248)), 1), G247))"),"RLSB")</f>
        <v>RLSB</v>
      </c>
      <c r="H248" s="2" t="str">
        <f>IFERROR(__xludf.DUMMYFUNCTION("IF('From Order'!$A248=COLUMNS($A248:H267), LEFT(INDEX(FILTER(H$1:H247, H$1:H247&lt;&gt;""""),COUNTA(FILTER(H$1:H247, H$1:H247&lt;&gt;""""))), LEN(INDEX(FILTER(H$1:H247, H$1:H247&lt;&gt;""""),COUNTA(FILTER(H$1:H247, H$1:H247&lt;&gt;""""))))-1), IF('To Order'!$A248=COLUMNS($A248:H"&amp;"267), H247&amp;RIGHT(INDIRECT(ADDRESS(ROW(H248)-1, 'From Order'!$A248)), 1), H247))"),"MFTMQCDTHZRVSDPQRBCVTJTWRZTDDZMVPSH")</f>
        <v>MFTMQCDTHZRVSDPQRBCVTJTWRZTDDZMVPSH</v>
      </c>
      <c r="I248" s="2" t="str">
        <f>IFERROR(__xludf.DUMMYFUNCTION("IF('From Order'!$A248=COLUMNS($A248:I267), LEFT(INDEX(FILTER(I$1:I247, I$1:I247&lt;&gt;""""),COUNTA(FILTER(I$1:I247, I$1:I247&lt;&gt;""""))), LEN(INDEX(FILTER(I$1:I247, I$1:I247&lt;&gt;""""),COUNTA(FILTER(I$1:I247, I$1:I247&lt;&gt;""""))))-1), IF('To Order'!$A248=COLUMNS($A248:I"&amp;"267), I247&amp;RIGHT(INDIRECT(ADDRESS(ROW(I248)-1, 'From Order'!$A248)), 1), I247))"),"GPBJDG")</f>
        <v>GPBJDG</v>
      </c>
    </row>
    <row r="249">
      <c r="A249" s="2" t="str">
        <f>IFERROR(__xludf.DUMMYFUNCTION("IF('From Order'!$A249=COLUMNS($A249:A268), LEFT(INDEX(FILTER(A$1:A248, A$1:A248&lt;&gt;""""),COUNTA(FILTER(A$1:A248, A$1:A248&lt;&gt;""""))), LEN(INDEX(FILTER(A$1:A248, A$1:A248&lt;&gt;""""),COUNTA(FILTER(A$1:A248, A$1:A248&lt;&gt;""""))))-1), IF('To Order'!$A249=COLUMNS($A249:A"&amp;"268), A248&amp;RIGHT(INDIRECT(ADDRESS(ROW(A249)-1, 'From Order'!$A249)), 1), A248))"),"CT")</f>
        <v>CT</v>
      </c>
      <c r="B249" s="2" t="str">
        <f>IFERROR(__xludf.DUMMYFUNCTION("IF('From Order'!$A249=COLUMNS($A249:B268), LEFT(INDEX(FILTER(B$1:B248, B$1:B248&lt;&gt;""""),COUNTA(FILTER(B$1:B248, B$1:B248&lt;&gt;""""))), LEN(INDEX(FILTER(B$1:B248, B$1:B248&lt;&gt;""""),COUNTA(FILTER(B$1:B248, B$1:B248&lt;&gt;""""))))-1), IF('To Order'!$A249=COLUMNS($A249:B"&amp;"268), B248&amp;RIGHT(INDIRECT(ADDRESS(ROW(B249)-1, 'From Order'!$A249)), 1), B248))"),"SWFBJLRL")</f>
        <v>SWFBJLRL</v>
      </c>
      <c r="C249" s="2" t="str">
        <f>IFERROR(__xludf.DUMMYFUNCTION("IF('From Order'!$A249=COLUMNS($A249:C268), LEFT(INDEX(FILTER(C$1:C248, C$1:C248&lt;&gt;""""),COUNTA(FILTER(C$1:C248, C$1:C248&lt;&gt;""""))), LEN(INDEX(FILTER(C$1:C248, C$1:C248&lt;&gt;""""),COUNTA(FILTER(C$1:C248, C$1:C248&lt;&gt;""""))))-1), IF('To Order'!$A249=COLUMNS($A249:C"&amp;"268), C248&amp;RIGHT(INDIRECT(ADDRESS(ROW(C249)-1, 'From Order'!$A249)), 1), C248))"),"")</f>
        <v/>
      </c>
      <c r="D249" s="2" t="str">
        <f>IFERROR(__xludf.DUMMYFUNCTION("IF('From Order'!$A249=COLUMNS($A249:D268), LEFT(INDEX(FILTER(D$1:D248, D$1:D248&lt;&gt;""""),COUNTA(FILTER(D$1:D248, D$1:D248&lt;&gt;""""))), LEN(INDEX(FILTER(D$1:D248, D$1:D248&lt;&gt;""""),COUNTA(FILTER(D$1:D248, D$1:D248&lt;&gt;""""))))-1), IF('To Order'!$A249=COLUMNS($A249:D"&amp;"268), D248&amp;RIGHT(INDIRECT(ADDRESS(ROW(D249)-1, 'From Order'!$A249)), 1), D248))"),"D")</f>
        <v>D</v>
      </c>
      <c r="E249" s="2" t="str">
        <f>IFERROR(__xludf.DUMMYFUNCTION("IF('From Order'!$A249=COLUMNS($A249:E268), LEFT(INDEX(FILTER(E$1:E248, E$1:E248&lt;&gt;""""),COUNTA(FILTER(E$1:E248, E$1:E248&lt;&gt;""""))), LEN(INDEX(FILTER(E$1:E248, E$1:E248&lt;&gt;""""),COUNTA(FILTER(E$1:E248, E$1:E248&lt;&gt;""""))))-1), IF('To Order'!$A249=COLUMNS($A249:E"&amp;"268), E248&amp;RIGHT(INDIRECT(ADDRESS(ROW(E249)-1, 'From Order'!$A249)), 1), E248))"),"")</f>
        <v/>
      </c>
      <c r="F249" s="2" t="str">
        <f>IFERROR(__xludf.DUMMYFUNCTION("IF('From Order'!$A249=COLUMNS($A249:F268), LEFT(INDEX(FILTER(F$1:F248, F$1:F248&lt;&gt;""""),COUNTA(FILTER(F$1:F248, F$1:F248&lt;&gt;""""))), LEN(INDEX(FILTER(F$1:F248, F$1:F248&lt;&gt;""""),COUNTA(FILTER(F$1:F248, F$1:F248&lt;&gt;""""))))-1), IF('To Order'!$A249=COLUMNS($A249:F"&amp;"268), F248&amp;RIGHT(INDIRECT(ADDRESS(ROW(F249)-1, 'From Order'!$A249)), 1), F248))"),"H")</f>
        <v>H</v>
      </c>
      <c r="G249" s="2" t="str">
        <f>IFERROR(__xludf.DUMMYFUNCTION("IF('From Order'!$A249=COLUMNS($A249:G268), LEFT(INDEX(FILTER(G$1:G248, G$1:G248&lt;&gt;""""),COUNTA(FILTER(G$1:G248, G$1:G248&lt;&gt;""""))), LEN(INDEX(FILTER(G$1:G248, G$1:G248&lt;&gt;""""),COUNTA(FILTER(G$1:G248, G$1:G248&lt;&gt;""""))))-1), IF('To Order'!$A249=COLUMNS($A249:G"&amp;"268), G248&amp;RIGHT(INDIRECT(ADDRESS(ROW(G249)-1, 'From Order'!$A249)), 1), G248))"),"RLSB")</f>
        <v>RLSB</v>
      </c>
      <c r="H249" s="2" t="str">
        <f>IFERROR(__xludf.DUMMYFUNCTION("IF('From Order'!$A249=COLUMNS($A249:H268), LEFT(INDEX(FILTER(H$1:H248, H$1:H248&lt;&gt;""""),COUNTA(FILTER(H$1:H248, H$1:H248&lt;&gt;""""))), LEN(INDEX(FILTER(H$1:H248, H$1:H248&lt;&gt;""""),COUNTA(FILTER(H$1:H248, H$1:H248&lt;&gt;""""))))-1), IF('To Order'!$A249=COLUMNS($A249:H"&amp;"268), H248&amp;RIGHT(INDIRECT(ADDRESS(ROW(H249)-1, 'From Order'!$A249)), 1), H248))"),"MFTMQCDTHZRVSDPQRBCVTJTWRZTDDZMVPS")</f>
        <v>MFTMQCDTHZRVSDPQRBCVTJTWRZTDDZMVPS</v>
      </c>
      <c r="I249" s="2" t="str">
        <f>IFERROR(__xludf.DUMMYFUNCTION("IF('From Order'!$A249=COLUMNS($A249:I268), LEFT(INDEX(FILTER(I$1:I248, I$1:I248&lt;&gt;""""),COUNTA(FILTER(I$1:I248, I$1:I248&lt;&gt;""""))), LEN(INDEX(FILTER(I$1:I248, I$1:I248&lt;&gt;""""),COUNTA(FILTER(I$1:I248, I$1:I248&lt;&gt;""""))))-1), IF('To Order'!$A249=COLUMNS($A249:I"&amp;"268), I248&amp;RIGHT(INDIRECT(ADDRESS(ROW(I249)-1, 'From Order'!$A249)), 1), I248))"),"GPBJDG")</f>
        <v>GPBJDG</v>
      </c>
    </row>
    <row r="250">
      <c r="A250" s="2" t="str">
        <f>IFERROR(__xludf.DUMMYFUNCTION("IF('From Order'!$A250=COLUMNS($A250:A269), LEFT(INDEX(FILTER(A$1:A249, A$1:A249&lt;&gt;""""),COUNTA(FILTER(A$1:A249, A$1:A249&lt;&gt;""""))), LEN(INDEX(FILTER(A$1:A249, A$1:A249&lt;&gt;""""),COUNTA(FILTER(A$1:A249, A$1:A249&lt;&gt;""""))))-1), IF('To Order'!$A250=COLUMNS($A250:A"&amp;"269), A249&amp;RIGHT(INDIRECT(ADDRESS(ROW(A250)-1, 'From Order'!$A250)), 1), A249))"),"CT")</f>
        <v>CT</v>
      </c>
      <c r="B250" s="2" t="str">
        <f>IFERROR(__xludf.DUMMYFUNCTION("IF('From Order'!$A250=COLUMNS($A250:B269), LEFT(INDEX(FILTER(B$1:B249, B$1:B249&lt;&gt;""""),COUNTA(FILTER(B$1:B249, B$1:B249&lt;&gt;""""))), LEN(INDEX(FILTER(B$1:B249, B$1:B249&lt;&gt;""""),COUNTA(FILTER(B$1:B249, B$1:B249&lt;&gt;""""))))-1), IF('To Order'!$A250=COLUMNS($A250:B"&amp;"269), B249&amp;RIGHT(INDIRECT(ADDRESS(ROW(B250)-1, 'From Order'!$A250)), 1), B249))"),"SWFBJLRL")</f>
        <v>SWFBJLRL</v>
      </c>
      <c r="C250" s="2" t="str">
        <f>IFERROR(__xludf.DUMMYFUNCTION("IF('From Order'!$A250=COLUMNS($A250:C269), LEFT(INDEX(FILTER(C$1:C249, C$1:C249&lt;&gt;""""),COUNTA(FILTER(C$1:C249, C$1:C249&lt;&gt;""""))), LEN(INDEX(FILTER(C$1:C249, C$1:C249&lt;&gt;""""),COUNTA(FILTER(C$1:C249, C$1:C249&lt;&gt;""""))))-1), IF('To Order'!$A250=COLUMNS($A250:C"&amp;"269), C249&amp;RIGHT(INDIRECT(ADDRESS(ROW(C250)-1, 'From Order'!$A250)), 1), C249))"),"")</f>
        <v/>
      </c>
      <c r="D250" s="2" t="str">
        <f>IFERROR(__xludf.DUMMYFUNCTION("IF('From Order'!$A250=COLUMNS($A250:D269), LEFT(INDEX(FILTER(D$1:D249, D$1:D249&lt;&gt;""""),COUNTA(FILTER(D$1:D249, D$1:D249&lt;&gt;""""))), LEN(INDEX(FILTER(D$1:D249, D$1:D249&lt;&gt;""""),COUNTA(FILTER(D$1:D249, D$1:D249&lt;&gt;""""))))-1), IF('To Order'!$A250=COLUMNS($A250:D"&amp;"269), D249&amp;RIGHT(INDIRECT(ADDRESS(ROW(D250)-1, 'From Order'!$A250)), 1), D249))"),"D")</f>
        <v>D</v>
      </c>
      <c r="E250" s="2" t="str">
        <f>IFERROR(__xludf.DUMMYFUNCTION("IF('From Order'!$A250=COLUMNS($A250:E269), LEFT(INDEX(FILTER(E$1:E249, E$1:E249&lt;&gt;""""),COUNTA(FILTER(E$1:E249, E$1:E249&lt;&gt;""""))), LEN(INDEX(FILTER(E$1:E249, E$1:E249&lt;&gt;""""),COUNTA(FILTER(E$1:E249, E$1:E249&lt;&gt;""""))))-1), IF('To Order'!$A250=COLUMNS($A250:E"&amp;"269), E249&amp;RIGHT(INDIRECT(ADDRESS(ROW(E250)-1, 'From Order'!$A250)), 1), E249))"),"")</f>
        <v/>
      </c>
      <c r="F250" s="2" t="str">
        <f>IFERROR(__xludf.DUMMYFUNCTION("IF('From Order'!$A250=COLUMNS($A250:F269), LEFT(INDEX(FILTER(F$1:F249, F$1:F249&lt;&gt;""""),COUNTA(FILTER(F$1:F249, F$1:F249&lt;&gt;""""))), LEN(INDEX(FILTER(F$1:F249, F$1:F249&lt;&gt;""""),COUNTA(FILTER(F$1:F249, F$1:F249&lt;&gt;""""))))-1), IF('To Order'!$A250=COLUMNS($A250:F"&amp;"269), F249&amp;RIGHT(INDIRECT(ADDRESS(ROW(F250)-1, 'From Order'!$A250)), 1), F249))"),"HS")</f>
        <v>HS</v>
      </c>
      <c r="G250" s="2" t="str">
        <f>IFERROR(__xludf.DUMMYFUNCTION("IF('From Order'!$A250=COLUMNS($A250:G269), LEFT(INDEX(FILTER(G$1:G249, G$1:G249&lt;&gt;""""),COUNTA(FILTER(G$1:G249, G$1:G249&lt;&gt;""""))), LEN(INDEX(FILTER(G$1:G249, G$1:G249&lt;&gt;""""),COUNTA(FILTER(G$1:G249, G$1:G249&lt;&gt;""""))))-1), IF('To Order'!$A250=COLUMNS($A250:G"&amp;"269), G249&amp;RIGHT(INDIRECT(ADDRESS(ROW(G250)-1, 'From Order'!$A250)), 1), G249))"),"RLSB")</f>
        <v>RLSB</v>
      </c>
      <c r="H250" s="2" t="str">
        <f>IFERROR(__xludf.DUMMYFUNCTION("IF('From Order'!$A250=COLUMNS($A250:H269), LEFT(INDEX(FILTER(H$1:H249, H$1:H249&lt;&gt;""""),COUNTA(FILTER(H$1:H249, H$1:H249&lt;&gt;""""))), LEN(INDEX(FILTER(H$1:H249, H$1:H249&lt;&gt;""""),COUNTA(FILTER(H$1:H249, H$1:H249&lt;&gt;""""))))-1), IF('To Order'!$A250=COLUMNS($A250:H"&amp;"269), H249&amp;RIGHT(INDIRECT(ADDRESS(ROW(H250)-1, 'From Order'!$A250)), 1), H249))"),"MFTMQCDTHZRVSDPQRBCVTJTWRZTDDZMVP")</f>
        <v>MFTMQCDTHZRVSDPQRBCVTJTWRZTDDZMVP</v>
      </c>
      <c r="I250" s="2" t="str">
        <f>IFERROR(__xludf.DUMMYFUNCTION("IF('From Order'!$A250=COLUMNS($A250:I269), LEFT(INDEX(FILTER(I$1:I249, I$1:I249&lt;&gt;""""),COUNTA(FILTER(I$1:I249, I$1:I249&lt;&gt;""""))), LEN(INDEX(FILTER(I$1:I249, I$1:I249&lt;&gt;""""),COUNTA(FILTER(I$1:I249, I$1:I249&lt;&gt;""""))))-1), IF('To Order'!$A250=COLUMNS($A250:I"&amp;"269), I249&amp;RIGHT(INDIRECT(ADDRESS(ROW(I250)-1, 'From Order'!$A250)), 1), I249))"),"GPBJDG")</f>
        <v>GPBJDG</v>
      </c>
    </row>
    <row r="251">
      <c r="A251" s="2" t="str">
        <f>IFERROR(__xludf.DUMMYFUNCTION("IF('From Order'!$A251=COLUMNS($A251:A270), LEFT(INDEX(FILTER(A$1:A250, A$1:A250&lt;&gt;""""),COUNTA(FILTER(A$1:A250, A$1:A250&lt;&gt;""""))), LEN(INDEX(FILTER(A$1:A250, A$1:A250&lt;&gt;""""),COUNTA(FILTER(A$1:A250, A$1:A250&lt;&gt;""""))))-1), IF('To Order'!$A251=COLUMNS($A251:A"&amp;"270), A250&amp;RIGHT(INDIRECT(ADDRESS(ROW(A251)-1, 'From Order'!$A251)), 1), A250))"),"CT")</f>
        <v>CT</v>
      </c>
      <c r="B251" s="2" t="str">
        <f>IFERROR(__xludf.DUMMYFUNCTION("IF('From Order'!$A251=COLUMNS($A251:B270), LEFT(INDEX(FILTER(B$1:B250, B$1:B250&lt;&gt;""""),COUNTA(FILTER(B$1:B250, B$1:B250&lt;&gt;""""))), LEN(INDEX(FILTER(B$1:B250, B$1:B250&lt;&gt;""""),COUNTA(FILTER(B$1:B250, B$1:B250&lt;&gt;""""))))-1), IF('To Order'!$A251=COLUMNS($A251:B"&amp;"270), B250&amp;RIGHT(INDIRECT(ADDRESS(ROW(B251)-1, 'From Order'!$A251)), 1), B250))"),"SWFBJLRL")</f>
        <v>SWFBJLRL</v>
      </c>
      <c r="C251" s="2" t="str">
        <f>IFERROR(__xludf.DUMMYFUNCTION("IF('From Order'!$A251=COLUMNS($A251:C270), LEFT(INDEX(FILTER(C$1:C250, C$1:C250&lt;&gt;""""),COUNTA(FILTER(C$1:C250, C$1:C250&lt;&gt;""""))), LEN(INDEX(FILTER(C$1:C250, C$1:C250&lt;&gt;""""),COUNTA(FILTER(C$1:C250, C$1:C250&lt;&gt;""""))))-1), IF('To Order'!$A251=COLUMNS($A251:C"&amp;"270), C250&amp;RIGHT(INDIRECT(ADDRESS(ROW(C251)-1, 'From Order'!$A251)), 1), C250))"),"")</f>
        <v/>
      </c>
      <c r="D251" s="2" t="str">
        <f>IFERROR(__xludf.DUMMYFUNCTION("IF('From Order'!$A251=COLUMNS($A251:D270), LEFT(INDEX(FILTER(D$1:D250, D$1:D250&lt;&gt;""""),COUNTA(FILTER(D$1:D250, D$1:D250&lt;&gt;""""))), LEN(INDEX(FILTER(D$1:D250, D$1:D250&lt;&gt;""""),COUNTA(FILTER(D$1:D250, D$1:D250&lt;&gt;""""))))-1), IF('To Order'!$A251=COLUMNS($A251:D"&amp;"270), D250&amp;RIGHT(INDIRECT(ADDRESS(ROW(D251)-1, 'From Order'!$A251)), 1), D250))"),"D")</f>
        <v>D</v>
      </c>
      <c r="E251" s="2" t="str">
        <f>IFERROR(__xludf.DUMMYFUNCTION("IF('From Order'!$A251=COLUMNS($A251:E270), LEFT(INDEX(FILTER(E$1:E250, E$1:E250&lt;&gt;""""),COUNTA(FILTER(E$1:E250, E$1:E250&lt;&gt;""""))), LEN(INDEX(FILTER(E$1:E250, E$1:E250&lt;&gt;""""),COUNTA(FILTER(E$1:E250, E$1:E250&lt;&gt;""""))))-1), IF('To Order'!$A251=COLUMNS($A251:E"&amp;"270), E250&amp;RIGHT(INDIRECT(ADDRESS(ROW(E251)-1, 'From Order'!$A251)), 1), E250))"),"")</f>
        <v/>
      </c>
      <c r="F251" s="2" t="str">
        <f>IFERROR(__xludf.DUMMYFUNCTION("IF('From Order'!$A251=COLUMNS($A251:F270), LEFT(INDEX(FILTER(F$1:F250, F$1:F250&lt;&gt;""""),COUNTA(FILTER(F$1:F250, F$1:F250&lt;&gt;""""))), LEN(INDEX(FILTER(F$1:F250, F$1:F250&lt;&gt;""""),COUNTA(FILTER(F$1:F250, F$1:F250&lt;&gt;""""))))-1), IF('To Order'!$A251=COLUMNS($A251:F"&amp;"270), F250&amp;RIGHT(INDIRECT(ADDRESS(ROW(F251)-1, 'From Order'!$A251)), 1), F250))"),"HSP")</f>
        <v>HSP</v>
      </c>
      <c r="G251" s="2" t="str">
        <f>IFERROR(__xludf.DUMMYFUNCTION("IF('From Order'!$A251=COLUMNS($A251:G270), LEFT(INDEX(FILTER(G$1:G250, G$1:G250&lt;&gt;""""),COUNTA(FILTER(G$1:G250, G$1:G250&lt;&gt;""""))), LEN(INDEX(FILTER(G$1:G250, G$1:G250&lt;&gt;""""),COUNTA(FILTER(G$1:G250, G$1:G250&lt;&gt;""""))))-1), IF('To Order'!$A251=COLUMNS($A251:G"&amp;"270), G250&amp;RIGHT(INDIRECT(ADDRESS(ROW(G251)-1, 'From Order'!$A251)), 1), G250))"),"RLSB")</f>
        <v>RLSB</v>
      </c>
      <c r="H251" s="2" t="str">
        <f>IFERROR(__xludf.DUMMYFUNCTION("IF('From Order'!$A251=COLUMNS($A251:H270), LEFT(INDEX(FILTER(H$1:H250, H$1:H250&lt;&gt;""""),COUNTA(FILTER(H$1:H250, H$1:H250&lt;&gt;""""))), LEN(INDEX(FILTER(H$1:H250, H$1:H250&lt;&gt;""""),COUNTA(FILTER(H$1:H250, H$1:H250&lt;&gt;""""))))-1), IF('To Order'!$A251=COLUMNS($A251:H"&amp;"270), H250&amp;RIGHT(INDIRECT(ADDRESS(ROW(H251)-1, 'From Order'!$A251)), 1), H250))"),"MFTMQCDTHZRVSDPQRBCVTJTWRZTDDZMV")</f>
        <v>MFTMQCDTHZRVSDPQRBCVTJTWRZTDDZMV</v>
      </c>
      <c r="I251" s="2" t="str">
        <f>IFERROR(__xludf.DUMMYFUNCTION("IF('From Order'!$A251=COLUMNS($A251:I270), LEFT(INDEX(FILTER(I$1:I250, I$1:I250&lt;&gt;""""),COUNTA(FILTER(I$1:I250, I$1:I250&lt;&gt;""""))), LEN(INDEX(FILTER(I$1:I250, I$1:I250&lt;&gt;""""),COUNTA(FILTER(I$1:I250, I$1:I250&lt;&gt;""""))))-1), IF('To Order'!$A251=COLUMNS($A251:I"&amp;"270), I250&amp;RIGHT(INDIRECT(ADDRESS(ROW(I251)-1, 'From Order'!$A251)), 1), I250))"),"GPBJDG")</f>
        <v>GPBJDG</v>
      </c>
    </row>
    <row r="252">
      <c r="A252" s="2" t="str">
        <f>IFERROR(__xludf.DUMMYFUNCTION("IF('From Order'!$A252=COLUMNS($A252:A271), LEFT(INDEX(FILTER(A$1:A251, A$1:A251&lt;&gt;""""),COUNTA(FILTER(A$1:A251, A$1:A251&lt;&gt;""""))), LEN(INDEX(FILTER(A$1:A251, A$1:A251&lt;&gt;""""),COUNTA(FILTER(A$1:A251, A$1:A251&lt;&gt;""""))))-1), IF('To Order'!$A252=COLUMNS($A252:A"&amp;"271), A251&amp;RIGHT(INDIRECT(ADDRESS(ROW(A252)-1, 'From Order'!$A252)), 1), A251))"),"CT")</f>
        <v>CT</v>
      </c>
      <c r="B252" s="2" t="str">
        <f>IFERROR(__xludf.DUMMYFUNCTION("IF('From Order'!$A252=COLUMNS($A252:B271), LEFT(INDEX(FILTER(B$1:B251, B$1:B251&lt;&gt;""""),COUNTA(FILTER(B$1:B251, B$1:B251&lt;&gt;""""))), LEN(INDEX(FILTER(B$1:B251, B$1:B251&lt;&gt;""""),COUNTA(FILTER(B$1:B251, B$1:B251&lt;&gt;""""))))-1), IF('To Order'!$A252=COLUMNS($A252:B"&amp;"271), B251&amp;RIGHT(INDIRECT(ADDRESS(ROW(B252)-1, 'From Order'!$A252)), 1), B251))"),"SWFBJLRL")</f>
        <v>SWFBJLRL</v>
      </c>
      <c r="C252" s="2" t="str">
        <f>IFERROR(__xludf.DUMMYFUNCTION("IF('From Order'!$A252=COLUMNS($A252:C271), LEFT(INDEX(FILTER(C$1:C251, C$1:C251&lt;&gt;""""),COUNTA(FILTER(C$1:C251, C$1:C251&lt;&gt;""""))), LEN(INDEX(FILTER(C$1:C251, C$1:C251&lt;&gt;""""),COUNTA(FILTER(C$1:C251, C$1:C251&lt;&gt;""""))))-1), IF('To Order'!$A252=COLUMNS($A252:C"&amp;"271), C251&amp;RIGHT(INDIRECT(ADDRESS(ROW(C252)-1, 'From Order'!$A252)), 1), C251))"),"")</f>
        <v/>
      </c>
      <c r="D252" s="2" t="str">
        <f>IFERROR(__xludf.DUMMYFUNCTION("IF('From Order'!$A252=COLUMNS($A252:D271), LEFT(INDEX(FILTER(D$1:D251, D$1:D251&lt;&gt;""""),COUNTA(FILTER(D$1:D251, D$1:D251&lt;&gt;""""))), LEN(INDEX(FILTER(D$1:D251, D$1:D251&lt;&gt;""""),COUNTA(FILTER(D$1:D251, D$1:D251&lt;&gt;""""))))-1), IF('To Order'!$A252=COLUMNS($A252:D"&amp;"271), D251&amp;RIGHT(INDIRECT(ADDRESS(ROW(D252)-1, 'From Order'!$A252)), 1), D251))"),"D")</f>
        <v>D</v>
      </c>
      <c r="E252" s="2" t="str">
        <f>IFERROR(__xludf.DUMMYFUNCTION("IF('From Order'!$A252=COLUMNS($A252:E271), LEFT(INDEX(FILTER(E$1:E251, E$1:E251&lt;&gt;""""),COUNTA(FILTER(E$1:E251, E$1:E251&lt;&gt;""""))), LEN(INDEX(FILTER(E$1:E251, E$1:E251&lt;&gt;""""),COUNTA(FILTER(E$1:E251, E$1:E251&lt;&gt;""""))))-1), IF('To Order'!$A252=COLUMNS($A252:E"&amp;"271), E251&amp;RIGHT(INDIRECT(ADDRESS(ROW(E252)-1, 'From Order'!$A252)), 1), E251))"),"")</f>
        <v/>
      </c>
      <c r="F252" s="2" t="str">
        <f>IFERROR(__xludf.DUMMYFUNCTION("IF('From Order'!$A252=COLUMNS($A252:F271), LEFT(INDEX(FILTER(F$1:F251, F$1:F251&lt;&gt;""""),COUNTA(FILTER(F$1:F251, F$1:F251&lt;&gt;""""))), LEN(INDEX(FILTER(F$1:F251, F$1:F251&lt;&gt;""""),COUNTA(FILTER(F$1:F251, F$1:F251&lt;&gt;""""))))-1), IF('To Order'!$A252=COLUMNS($A252:F"&amp;"271), F251&amp;RIGHT(INDIRECT(ADDRESS(ROW(F252)-1, 'From Order'!$A252)), 1), F251))"),"HSPV")</f>
        <v>HSPV</v>
      </c>
      <c r="G252" s="2" t="str">
        <f>IFERROR(__xludf.DUMMYFUNCTION("IF('From Order'!$A252=COLUMNS($A252:G271), LEFT(INDEX(FILTER(G$1:G251, G$1:G251&lt;&gt;""""),COUNTA(FILTER(G$1:G251, G$1:G251&lt;&gt;""""))), LEN(INDEX(FILTER(G$1:G251, G$1:G251&lt;&gt;""""),COUNTA(FILTER(G$1:G251, G$1:G251&lt;&gt;""""))))-1), IF('To Order'!$A252=COLUMNS($A252:G"&amp;"271), G251&amp;RIGHT(INDIRECT(ADDRESS(ROW(G252)-1, 'From Order'!$A252)), 1), G251))"),"RLSB")</f>
        <v>RLSB</v>
      </c>
      <c r="H252" s="2" t="str">
        <f>IFERROR(__xludf.DUMMYFUNCTION("IF('From Order'!$A252=COLUMNS($A252:H271), LEFT(INDEX(FILTER(H$1:H251, H$1:H251&lt;&gt;""""),COUNTA(FILTER(H$1:H251, H$1:H251&lt;&gt;""""))), LEN(INDEX(FILTER(H$1:H251, H$1:H251&lt;&gt;""""),COUNTA(FILTER(H$1:H251, H$1:H251&lt;&gt;""""))))-1), IF('To Order'!$A252=COLUMNS($A252:H"&amp;"271), H251&amp;RIGHT(INDIRECT(ADDRESS(ROW(H252)-1, 'From Order'!$A252)), 1), H251))"),"MFTMQCDTHZRVSDPQRBCVTJTWRZTDDZM")</f>
        <v>MFTMQCDTHZRVSDPQRBCVTJTWRZTDDZM</v>
      </c>
      <c r="I252" s="2" t="str">
        <f>IFERROR(__xludf.DUMMYFUNCTION("IF('From Order'!$A252=COLUMNS($A252:I271), LEFT(INDEX(FILTER(I$1:I251, I$1:I251&lt;&gt;""""),COUNTA(FILTER(I$1:I251, I$1:I251&lt;&gt;""""))), LEN(INDEX(FILTER(I$1:I251, I$1:I251&lt;&gt;""""),COUNTA(FILTER(I$1:I251, I$1:I251&lt;&gt;""""))))-1), IF('To Order'!$A252=COLUMNS($A252:I"&amp;"271), I251&amp;RIGHT(INDIRECT(ADDRESS(ROW(I252)-1, 'From Order'!$A252)), 1), I251))"),"GPBJDG")</f>
        <v>GPBJDG</v>
      </c>
    </row>
    <row r="253">
      <c r="A253" s="2" t="str">
        <f>IFERROR(__xludf.DUMMYFUNCTION("IF('From Order'!$A253=COLUMNS($A253:A272), LEFT(INDEX(FILTER(A$1:A252, A$1:A252&lt;&gt;""""),COUNTA(FILTER(A$1:A252, A$1:A252&lt;&gt;""""))), LEN(INDEX(FILTER(A$1:A252, A$1:A252&lt;&gt;""""),COUNTA(FILTER(A$1:A252, A$1:A252&lt;&gt;""""))))-1), IF('To Order'!$A253=COLUMNS($A253:A"&amp;"272), A252&amp;RIGHT(INDIRECT(ADDRESS(ROW(A253)-1, 'From Order'!$A253)), 1), A252))"),"CT")</f>
        <v>CT</v>
      </c>
      <c r="B253" s="2" t="str">
        <f>IFERROR(__xludf.DUMMYFUNCTION("IF('From Order'!$A253=COLUMNS($A253:B272), LEFT(INDEX(FILTER(B$1:B252, B$1:B252&lt;&gt;""""),COUNTA(FILTER(B$1:B252, B$1:B252&lt;&gt;""""))), LEN(INDEX(FILTER(B$1:B252, B$1:B252&lt;&gt;""""),COUNTA(FILTER(B$1:B252, B$1:B252&lt;&gt;""""))))-1), IF('To Order'!$A253=COLUMNS($A253:B"&amp;"272), B252&amp;RIGHT(INDIRECT(ADDRESS(ROW(B253)-1, 'From Order'!$A253)), 1), B252))"),"SWFBJLRL")</f>
        <v>SWFBJLRL</v>
      </c>
      <c r="C253" s="2" t="str">
        <f>IFERROR(__xludf.DUMMYFUNCTION("IF('From Order'!$A253=COLUMNS($A253:C272), LEFT(INDEX(FILTER(C$1:C252, C$1:C252&lt;&gt;""""),COUNTA(FILTER(C$1:C252, C$1:C252&lt;&gt;""""))), LEN(INDEX(FILTER(C$1:C252, C$1:C252&lt;&gt;""""),COUNTA(FILTER(C$1:C252, C$1:C252&lt;&gt;""""))))-1), IF('To Order'!$A253=COLUMNS($A253:C"&amp;"272), C252&amp;RIGHT(INDIRECT(ADDRESS(ROW(C253)-1, 'From Order'!$A253)), 1), C252))"),"")</f>
        <v/>
      </c>
      <c r="D253" s="2" t="str">
        <f>IFERROR(__xludf.DUMMYFUNCTION("IF('From Order'!$A253=COLUMNS($A253:D272), LEFT(INDEX(FILTER(D$1:D252, D$1:D252&lt;&gt;""""),COUNTA(FILTER(D$1:D252, D$1:D252&lt;&gt;""""))), LEN(INDEX(FILTER(D$1:D252, D$1:D252&lt;&gt;""""),COUNTA(FILTER(D$1:D252, D$1:D252&lt;&gt;""""))))-1), IF('To Order'!$A253=COLUMNS($A253:D"&amp;"272), D252&amp;RIGHT(INDIRECT(ADDRESS(ROW(D253)-1, 'From Order'!$A253)), 1), D252))"),"D")</f>
        <v>D</v>
      </c>
      <c r="E253" s="2" t="str">
        <f>IFERROR(__xludf.DUMMYFUNCTION("IF('From Order'!$A253=COLUMNS($A253:E272), LEFT(INDEX(FILTER(E$1:E252, E$1:E252&lt;&gt;""""),COUNTA(FILTER(E$1:E252, E$1:E252&lt;&gt;""""))), LEN(INDEX(FILTER(E$1:E252, E$1:E252&lt;&gt;""""),COUNTA(FILTER(E$1:E252, E$1:E252&lt;&gt;""""))))-1), IF('To Order'!$A253=COLUMNS($A253:E"&amp;"272), E252&amp;RIGHT(INDIRECT(ADDRESS(ROW(E253)-1, 'From Order'!$A253)), 1), E252))"),"")</f>
        <v/>
      </c>
      <c r="F253" s="2" t="str">
        <f>IFERROR(__xludf.DUMMYFUNCTION("IF('From Order'!$A253=COLUMNS($A253:F272), LEFT(INDEX(FILTER(F$1:F252, F$1:F252&lt;&gt;""""),COUNTA(FILTER(F$1:F252, F$1:F252&lt;&gt;""""))), LEN(INDEX(FILTER(F$1:F252, F$1:F252&lt;&gt;""""),COUNTA(FILTER(F$1:F252, F$1:F252&lt;&gt;""""))))-1), IF('To Order'!$A253=COLUMNS($A253:F"&amp;"272), F252&amp;RIGHT(INDIRECT(ADDRESS(ROW(F253)-1, 'From Order'!$A253)), 1), F252))"),"HSPVM")</f>
        <v>HSPVM</v>
      </c>
      <c r="G253" s="2" t="str">
        <f>IFERROR(__xludf.DUMMYFUNCTION("IF('From Order'!$A253=COLUMNS($A253:G272), LEFT(INDEX(FILTER(G$1:G252, G$1:G252&lt;&gt;""""),COUNTA(FILTER(G$1:G252, G$1:G252&lt;&gt;""""))), LEN(INDEX(FILTER(G$1:G252, G$1:G252&lt;&gt;""""),COUNTA(FILTER(G$1:G252, G$1:G252&lt;&gt;""""))))-1), IF('To Order'!$A253=COLUMNS($A253:G"&amp;"272), G252&amp;RIGHT(INDIRECT(ADDRESS(ROW(G253)-1, 'From Order'!$A253)), 1), G252))"),"RLSB")</f>
        <v>RLSB</v>
      </c>
      <c r="H253" s="2" t="str">
        <f>IFERROR(__xludf.DUMMYFUNCTION("IF('From Order'!$A253=COLUMNS($A253:H272), LEFT(INDEX(FILTER(H$1:H252, H$1:H252&lt;&gt;""""),COUNTA(FILTER(H$1:H252, H$1:H252&lt;&gt;""""))), LEN(INDEX(FILTER(H$1:H252, H$1:H252&lt;&gt;""""),COUNTA(FILTER(H$1:H252, H$1:H252&lt;&gt;""""))))-1), IF('To Order'!$A253=COLUMNS($A253:H"&amp;"272), H252&amp;RIGHT(INDIRECT(ADDRESS(ROW(H253)-1, 'From Order'!$A253)), 1), H252))"),"MFTMQCDTHZRVSDPQRBCVTJTWRZTDDZ")</f>
        <v>MFTMQCDTHZRVSDPQRBCVTJTWRZTDDZ</v>
      </c>
      <c r="I253" s="2" t="str">
        <f>IFERROR(__xludf.DUMMYFUNCTION("IF('From Order'!$A253=COLUMNS($A253:I272), LEFT(INDEX(FILTER(I$1:I252, I$1:I252&lt;&gt;""""),COUNTA(FILTER(I$1:I252, I$1:I252&lt;&gt;""""))), LEN(INDEX(FILTER(I$1:I252, I$1:I252&lt;&gt;""""),COUNTA(FILTER(I$1:I252, I$1:I252&lt;&gt;""""))))-1), IF('To Order'!$A253=COLUMNS($A253:I"&amp;"272), I252&amp;RIGHT(INDIRECT(ADDRESS(ROW(I253)-1, 'From Order'!$A253)), 1), I252))"),"GPBJDG")</f>
        <v>GPBJDG</v>
      </c>
    </row>
    <row r="254">
      <c r="A254" s="2" t="str">
        <f>IFERROR(__xludf.DUMMYFUNCTION("IF('From Order'!$A254=COLUMNS($A254:A273), LEFT(INDEX(FILTER(A$1:A253, A$1:A253&lt;&gt;""""),COUNTA(FILTER(A$1:A253, A$1:A253&lt;&gt;""""))), LEN(INDEX(FILTER(A$1:A253, A$1:A253&lt;&gt;""""),COUNTA(FILTER(A$1:A253, A$1:A253&lt;&gt;""""))))-1), IF('To Order'!$A254=COLUMNS($A254:A"&amp;"273), A253&amp;RIGHT(INDIRECT(ADDRESS(ROW(A254)-1, 'From Order'!$A254)), 1), A253))"),"CT")</f>
        <v>CT</v>
      </c>
      <c r="B254" s="2" t="str">
        <f>IFERROR(__xludf.DUMMYFUNCTION("IF('From Order'!$A254=COLUMNS($A254:B273), LEFT(INDEX(FILTER(B$1:B253, B$1:B253&lt;&gt;""""),COUNTA(FILTER(B$1:B253, B$1:B253&lt;&gt;""""))), LEN(INDEX(FILTER(B$1:B253, B$1:B253&lt;&gt;""""),COUNTA(FILTER(B$1:B253, B$1:B253&lt;&gt;""""))))-1), IF('To Order'!$A254=COLUMNS($A254:B"&amp;"273), B253&amp;RIGHT(INDIRECT(ADDRESS(ROW(B254)-1, 'From Order'!$A254)), 1), B253))"),"SWFBJLRL")</f>
        <v>SWFBJLRL</v>
      </c>
      <c r="C254" s="2" t="str">
        <f>IFERROR(__xludf.DUMMYFUNCTION("IF('From Order'!$A254=COLUMNS($A254:C273), LEFT(INDEX(FILTER(C$1:C253, C$1:C253&lt;&gt;""""),COUNTA(FILTER(C$1:C253, C$1:C253&lt;&gt;""""))), LEN(INDEX(FILTER(C$1:C253, C$1:C253&lt;&gt;""""),COUNTA(FILTER(C$1:C253, C$1:C253&lt;&gt;""""))))-1), IF('To Order'!$A254=COLUMNS($A254:C"&amp;"273), C253&amp;RIGHT(INDIRECT(ADDRESS(ROW(C254)-1, 'From Order'!$A254)), 1), C253))"),"")</f>
        <v/>
      </c>
      <c r="D254" s="2" t="str">
        <f>IFERROR(__xludf.DUMMYFUNCTION("IF('From Order'!$A254=COLUMNS($A254:D273), LEFT(INDEX(FILTER(D$1:D253, D$1:D253&lt;&gt;""""),COUNTA(FILTER(D$1:D253, D$1:D253&lt;&gt;""""))), LEN(INDEX(FILTER(D$1:D253, D$1:D253&lt;&gt;""""),COUNTA(FILTER(D$1:D253, D$1:D253&lt;&gt;""""))))-1), IF('To Order'!$A254=COLUMNS($A254:D"&amp;"273), D253&amp;RIGHT(INDIRECT(ADDRESS(ROW(D254)-1, 'From Order'!$A254)), 1), D253))"),"D")</f>
        <v>D</v>
      </c>
      <c r="E254" s="2" t="str">
        <f>IFERROR(__xludf.DUMMYFUNCTION("IF('From Order'!$A254=COLUMNS($A254:E273), LEFT(INDEX(FILTER(E$1:E253, E$1:E253&lt;&gt;""""),COUNTA(FILTER(E$1:E253, E$1:E253&lt;&gt;""""))), LEN(INDEX(FILTER(E$1:E253, E$1:E253&lt;&gt;""""),COUNTA(FILTER(E$1:E253, E$1:E253&lt;&gt;""""))))-1), IF('To Order'!$A254=COLUMNS($A254:E"&amp;"273), E253&amp;RIGHT(INDIRECT(ADDRESS(ROW(E254)-1, 'From Order'!$A254)), 1), E253))"),"")</f>
        <v/>
      </c>
      <c r="F254" s="2" t="str">
        <f>IFERROR(__xludf.DUMMYFUNCTION("IF('From Order'!$A254=COLUMNS($A254:F273), LEFT(INDEX(FILTER(F$1:F253, F$1:F253&lt;&gt;""""),COUNTA(FILTER(F$1:F253, F$1:F253&lt;&gt;""""))), LEN(INDEX(FILTER(F$1:F253, F$1:F253&lt;&gt;""""),COUNTA(FILTER(F$1:F253, F$1:F253&lt;&gt;""""))))-1), IF('To Order'!$A254=COLUMNS($A254:F"&amp;"273), F253&amp;RIGHT(INDIRECT(ADDRESS(ROW(F254)-1, 'From Order'!$A254)), 1), F253))"),"HSPVMZ")</f>
        <v>HSPVMZ</v>
      </c>
      <c r="G254" s="2" t="str">
        <f>IFERROR(__xludf.DUMMYFUNCTION("IF('From Order'!$A254=COLUMNS($A254:G273), LEFT(INDEX(FILTER(G$1:G253, G$1:G253&lt;&gt;""""),COUNTA(FILTER(G$1:G253, G$1:G253&lt;&gt;""""))), LEN(INDEX(FILTER(G$1:G253, G$1:G253&lt;&gt;""""),COUNTA(FILTER(G$1:G253, G$1:G253&lt;&gt;""""))))-1), IF('To Order'!$A254=COLUMNS($A254:G"&amp;"273), G253&amp;RIGHT(INDIRECT(ADDRESS(ROW(G254)-1, 'From Order'!$A254)), 1), G253))"),"RLSB")</f>
        <v>RLSB</v>
      </c>
      <c r="H254" s="2" t="str">
        <f>IFERROR(__xludf.DUMMYFUNCTION("IF('From Order'!$A254=COLUMNS($A254:H273), LEFT(INDEX(FILTER(H$1:H253, H$1:H253&lt;&gt;""""),COUNTA(FILTER(H$1:H253, H$1:H253&lt;&gt;""""))), LEN(INDEX(FILTER(H$1:H253, H$1:H253&lt;&gt;""""),COUNTA(FILTER(H$1:H253, H$1:H253&lt;&gt;""""))))-1), IF('To Order'!$A254=COLUMNS($A254:H"&amp;"273), H253&amp;RIGHT(INDIRECT(ADDRESS(ROW(H254)-1, 'From Order'!$A254)), 1), H253))"),"MFTMQCDTHZRVSDPQRBCVTJTWRZTDD")</f>
        <v>MFTMQCDTHZRVSDPQRBCVTJTWRZTDD</v>
      </c>
      <c r="I254" s="2" t="str">
        <f>IFERROR(__xludf.DUMMYFUNCTION("IF('From Order'!$A254=COLUMNS($A254:I273), LEFT(INDEX(FILTER(I$1:I253, I$1:I253&lt;&gt;""""),COUNTA(FILTER(I$1:I253, I$1:I253&lt;&gt;""""))), LEN(INDEX(FILTER(I$1:I253, I$1:I253&lt;&gt;""""),COUNTA(FILTER(I$1:I253, I$1:I253&lt;&gt;""""))))-1), IF('To Order'!$A254=COLUMNS($A254:I"&amp;"273), I253&amp;RIGHT(INDIRECT(ADDRESS(ROW(I254)-1, 'From Order'!$A254)), 1), I253))"),"GPBJDG")</f>
        <v>GPBJDG</v>
      </c>
    </row>
    <row r="255">
      <c r="A255" s="2" t="str">
        <f>IFERROR(__xludf.DUMMYFUNCTION("IF('From Order'!$A255=COLUMNS($A255:A274), LEFT(INDEX(FILTER(A$1:A254, A$1:A254&lt;&gt;""""),COUNTA(FILTER(A$1:A254, A$1:A254&lt;&gt;""""))), LEN(INDEX(FILTER(A$1:A254, A$1:A254&lt;&gt;""""),COUNTA(FILTER(A$1:A254, A$1:A254&lt;&gt;""""))))-1), IF('To Order'!$A255=COLUMNS($A255:A"&amp;"274), A254&amp;RIGHT(INDIRECT(ADDRESS(ROW(A255)-1, 'From Order'!$A255)), 1), A254))"),"CT")</f>
        <v>CT</v>
      </c>
      <c r="B255" s="2" t="str">
        <f>IFERROR(__xludf.DUMMYFUNCTION("IF('From Order'!$A255=COLUMNS($A255:B274), LEFT(INDEX(FILTER(B$1:B254, B$1:B254&lt;&gt;""""),COUNTA(FILTER(B$1:B254, B$1:B254&lt;&gt;""""))), LEN(INDEX(FILTER(B$1:B254, B$1:B254&lt;&gt;""""),COUNTA(FILTER(B$1:B254, B$1:B254&lt;&gt;""""))))-1), IF('To Order'!$A255=COLUMNS($A255:B"&amp;"274), B254&amp;RIGHT(INDIRECT(ADDRESS(ROW(B255)-1, 'From Order'!$A255)), 1), B254))"),"SWFBJLRL")</f>
        <v>SWFBJLRL</v>
      </c>
      <c r="C255" s="2" t="str">
        <f>IFERROR(__xludf.DUMMYFUNCTION("IF('From Order'!$A255=COLUMNS($A255:C274), LEFT(INDEX(FILTER(C$1:C254, C$1:C254&lt;&gt;""""),COUNTA(FILTER(C$1:C254, C$1:C254&lt;&gt;""""))), LEN(INDEX(FILTER(C$1:C254, C$1:C254&lt;&gt;""""),COUNTA(FILTER(C$1:C254, C$1:C254&lt;&gt;""""))))-1), IF('To Order'!$A255=COLUMNS($A255:C"&amp;"274), C254&amp;RIGHT(INDIRECT(ADDRESS(ROW(C255)-1, 'From Order'!$A255)), 1), C254))"),"")</f>
        <v/>
      </c>
      <c r="D255" s="2" t="str">
        <f>IFERROR(__xludf.DUMMYFUNCTION("IF('From Order'!$A255=COLUMNS($A255:D274), LEFT(INDEX(FILTER(D$1:D254, D$1:D254&lt;&gt;""""),COUNTA(FILTER(D$1:D254, D$1:D254&lt;&gt;""""))), LEN(INDEX(FILTER(D$1:D254, D$1:D254&lt;&gt;""""),COUNTA(FILTER(D$1:D254, D$1:D254&lt;&gt;""""))))-1), IF('To Order'!$A255=COLUMNS($A255:D"&amp;"274), D254&amp;RIGHT(INDIRECT(ADDRESS(ROW(D255)-1, 'From Order'!$A255)), 1), D254))"),"D")</f>
        <v>D</v>
      </c>
      <c r="E255" s="2" t="str">
        <f>IFERROR(__xludf.DUMMYFUNCTION("IF('From Order'!$A255=COLUMNS($A255:E274), LEFT(INDEX(FILTER(E$1:E254, E$1:E254&lt;&gt;""""),COUNTA(FILTER(E$1:E254, E$1:E254&lt;&gt;""""))), LEN(INDEX(FILTER(E$1:E254, E$1:E254&lt;&gt;""""),COUNTA(FILTER(E$1:E254, E$1:E254&lt;&gt;""""))))-1), IF('To Order'!$A255=COLUMNS($A255:E"&amp;"274), E254&amp;RIGHT(INDIRECT(ADDRESS(ROW(E255)-1, 'From Order'!$A255)), 1), E254))"),"")</f>
        <v/>
      </c>
      <c r="F255" s="2" t="str">
        <f>IFERROR(__xludf.DUMMYFUNCTION("IF('From Order'!$A255=COLUMNS($A255:F274), LEFT(INDEX(FILTER(F$1:F254, F$1:F254&lt;&gt;""""),COUNTA(FILTER(F$1:F254, F$1:F254&lt;&gt;""""))), LEN(INDEX(FILTER(F$1:F254, F$1:F254&lt;&gt;""""),COUNTA(FILTER(F$1:F254, F$1:F254&lt;&gt;""""))))-1), IF('To Order'!$A255=COLUMNS($A255:F"&amp;"274), F254&amp;RIGHT(INDIRECT(ADDRESS(ROW(F255)-1, 'From Order'!$A255)), 1), F254))"),"HSPVMZD")</f>
        <v>HSPVMZD</v>
      </c>
      <c r="G255" s="2" t="str">
        <f>IFERROR(__xludf.DUMMYFUNCTION("IF('From Order'!$A255=COLUMNS($A255:G274), LEFT(INDEX(FILTER(G$1:G254, G$1:G254&lt;&gt;""""),COUNTA(FILTER(G$1:G254, G$1:G254&lt;&gt;""""))), LEN(INDEX(FILTER(G$1:G254, G$1:G254&lt;&gt;""""),COUNTA(FILTER(G$1:G254, G$1:G254&lt;&gt;""""))))-1), IF('To Order'!$A255=COLUMNS($A255:G"&amp;"274), G254&amp;RIGHT(INDIRECT(ADDRESS(ROW(G255)-1, 'From Order'!$A255)), 1), G254))"),"RLSB")</f>
        <v>RLSB</v>
      </c>
      <c r="H255" s="2" t="str">
        <f>IFERROR(__xludf.DUMMYFUNCTION("IF('From Order'!$A255=COLUMNS($A255:H274), LEFT(INDEX(FILTER(H$1:H254, H$1:H254&lt;&gt;""""),COUNTA(FILTER(H$1:H254, H$1:H254&lt;&gt;""""))), LEN(INDEX(FILTER(H$1:H254, H$1:H254&lt;&gt;""""),COUNTA(FILTER(H$1:H254, H$1:H254&lt;&gt;""""))))-1), IF('To Order'!$A255=COLUMNS($A255:H"&amp;"274), H254&amp;RIGHT(INDIRECT(ADDRESS(ROW(H255)-1, 'From Order'!$A255)), 1), H254))"),"MFTMQCDTHZRVSDPQRBCVTJTWRZTD")</f>
        <v>MFTMQCDTHZRVSDPQRBCVTJTWRZTD</v>
      </c>
      <c r="I255" s="2" t="str">
        <f>IFERROR(__xludf.DUMMYFUNCTION("IF('From Order'!$A255=COLUMNS($A255:I274), LEFT(INDEX(FILTER(I$1:I254, I$1:I254&lt;&gt;""""),COUNTA(FILTER(I$1:I254, I$1:I254&lt;&gt;""""))), LEN(INDEX(FILTER(I$1:I254, I$1:I254&lt;&gt;""""),COUNTA(FILTER(I$1:I254, I$1:I254&lt;&gt;""""))))-1), IF('To Order'!$A255=COLUMNS($A255:I"&amp;"274), I254&amp;RIGHT(INDIRECT(ADDRESS(ROW(I255)-1, 'From Order'!$A255)), 1), I254))"),"GPBJDG")</f>
        <v>GPBJDG</v>
      </c>
    </row>
    <row r="256">
      <c r="A256" s="2" t="str">
        <f>IFERROR(__xludf.DUMMYFUNCTION("IF('From Order'!$A256=COLUMNS($A256:A275), LEFT(INDEX(FILTER(A$1:A255, A$1:A255&lt;&gt;""""),COUNTA(FILTER(A$1:A255, A$1:A255&lt;&gt;""""))), LEN(INDEX(FILTER(A$1:A255, A$1:A255&lt;&gt;""""),COUNTA(FILTER(A$1:A255, A$1:A255&lt;&gt;""""))))-1), IF('To Order'!$A256=COLUMNS($A256:A"&amp;"275), A255&amp;RIGHT(INDIRECT(ADDRESS(ROW(A256)-1, 'From Order'!$A256)), 1), A255))"),"CT")</f>
        <v>CT</v>
      </c>
      <c r="B256" s="2" t="str">
        <f>IFERROR(__xludf.DUMMYFUNCTION("IF('From Order'!$A256=COLUMNS($A256:B275), LEFT(INDEX(FILTER(B$1:B255, B$1:B255&lt;&gt;""""),COUNTA(FILTER(B$1:B255, B$1:B255&lt;&gt;""""))), LEN(INDEX(FILTER(B$1:B255, B$1:B255&lt;&gt;""""),COUNTA(FILTER(B$1:B255, B$1:B255&lt;&gt;""""))))-1), IF('To Order'!$A256=COLUMNS($A256:B"&amp;"275), B255&amp;RIGHT(INDIRECT(ADDRESS(ROW(B256)-1, 'From Order'!$A256)), 1), B255))"),"SWFBJLRL")</f>
        <v>SWFBJLRL</v>
      </c>
      <c r="C256" s="2" t="str">
        <f>IFERROR(__xludf.DUMMYFUNCTION("IF('From Order'!$A256=COLUMNS($A256:C275), LEFT(INDEX(FILTER(C$1:C255, C$1:C255&lt;&gt;""""),COUNTA(FILTER(C$1:C255, C$1:C255&lt;&gt;""""))), LEN(INDEX(FILTER(C$1:C255, C$1:C255&lt;&gt;""""),COUNTA(FILTER(C$1:C255, C$1:C255&lt;&gt;""""))))-1), IF('To Order'!$A256=COLUMNS($A256:C"&amp;"275), C255&amp;RIGHT(INDIRECT(ADDRESS(ROW(C256)-1, 'From Order'!$A256)), 1), C255))"),"")</f>
        <v/>
      </c>
      <c r="D256" s="2" t="str">
        <f>IFERROR(__xludf.DUMMYFUNCTION("IF('From Order'!$A256=COLUMNS($A256:D275), LEFT(INDEX(FILTER(D$1:D255, D$1:D255&lt;&gt;""""),COUNTA(FILTER(D$1:D255, D$1:D255&lt;&gt;""""))), LEN(INDEX(FILTER(D$1:D255, D$1:D255&lt;&gt;""""),COUNTA(FILTER(D$1:D255, D$1:D255&lt;&gt;""""))))-1), IF('To Order'!$A256=COLUMNS($A256:D"&amp;"275), D255&amp;RIGHT(INDIRECT(ADDRESS(ROW(D256)-1, 'From Order'!$A256)), 1), D255))"),"D")</f>
        <v>D</v>
      </c>
      <c r="E256" s="2" t="str">
        <f>IFERROR(__xludf.DUMMYFUNCTION("IF('From Order'!$A256=COLUMNS($A256:E275), LEFT(INDEX(FILTER(E$1:E255, E$1:E255&lt;&gt;""""),COUNTA(FILTER(E$1:E255, E$1:E255&lt;&gt;""""))), LEN(INDEX(FILTER(E$1:E255, E$1:E255&lt;&gt;""""),COUNTA(FILTER(E$1:E255, E$1:E255&lt;&gt;""""))))-1), IF('To Order'!$A256=COLUMNS($A256:E"&amp;"275), E255&amp;RIGHT(INDIRECT(ADDRESS(ROW(E256)-1, 'From Order'!$A256)), 1), E255))"),"")</f>
        <v/>
      </c>
      <c r="F256" s="2" t="str">
        <f>IFERROR(__xludf.DUMMYFUNCTION("IF('From Order'!$A256=COLUMNS($A256:F275), LEFT(INDEX(FILTER(F$1:F255, F$1:F255&lt;&gt;""""),COUNTA(FILTER(F$1:F255, F$1:F255&lt;&gt;""""))), LEN(INDEX(FILTER(F$1:F255, F$1:F255&lt;&gt;""""),COUNTA(FILTER(F$1:F255, F$1:F255&lt;&gt;""""))))-1), IF('To Order'!$A256=COLUMNS($A256:F"&amp;"275), F255&amp;RIGHT(INDIRECT(ADDRESS(ROW(F256)-1, 'From Order'!$A256)), 1), F255))"),"HSPVMZDD")</f>
        <v>HSPVMZDD</v>
      </c>
      <c r="G256" s="2" t="str">
        <f>IFERROR(__xludf.DUMMYFUNCTION("IF('From Order'!$A256=COLUMNS($A256:G275), LEFT(INDEX(FILTER(G$1:G255, G$1:G255&lt;&gt;""""),COUNTA(FILTER(G$1:G255, G$1:G255&lt;&gt;""""))), LEN(INDEX(FILTER(G$1:G255, G$1:G255&lt;&gt;""""),COUNTA(FILTER(G$1:G255, G$1:G255&lt;&gt;""""))))-1), IF('To Order'!$A256=COLUMNS($A256:G"&amp;"275), G255&amp;RIGHT(INDIRECT(ADDRESS(ROW(G256)-1, 'From Order'!$A256)), 1), G255))"),"RLSB")</f>
        <v>RLSB</v>
      </c>
      <c r="H256" s="2" t="str">
        <f>IFERROR(__xludf.DUMMYFUNCTION("IF('From Order'!$A256=COLUMNS($A256:H275), LEFT(INDEX(FILTER(H$1:H255, H$1:H255&lt;&gt;""""),COUNTA(FILTER(H$1:H255, H$1:H255&lt;&gt;""""))), LEN(INDEX(FILTER(H$1:H255, H$1:H255&lt;&gt;""""),COUNTA(FILTER(H$1:H255, H$1:H255&lt;&gt;""""))))-1), IF('To Order'!$A256=COLUMNS($A256:H"&amp;"275), H255&amp;RIGHT(INDIRECT(ADDRESS(ROW(H256)-1, 'From Order'!$A256)), 1), H255))"),"MFTMQCDTHZRVSDPQRBCVTJTWRZT")</f>
        <v>MFTMQCDTHZRVSDPQRBCVTJTWRZT</v>
      </c>
      <c r="I256" s="2" t="str">
        <f>IFERROR(__xludf.DUMMYFUNCTION("IF('From Order'!$A256=COLUMNS($A256:I275), LEFT(INDEX(FILTER(I$1:I255, I$1:I255&lt;&gt;""""),COUNTA(FILTER(I$1:I255, I$1:I255&lt;&gt;""""))), LEN(INDEX(FILTER(I$1:I255, I$1:I255&lt;&gt;""""),COUNTA(FILTER(I$1:I255, I$1:I255&lt;&gt;""""))))-1), IF('To Order'!$A256=COLUMNS($A256:I"&amp;"275), I255&amp;RIGHT(INDIRECT(ADDRESS(ROW(I256)-1, 'From Order'!$A256)), 1), I255))"),"GPBJDG")</f>
        <v>GPBJDG</v>
      </c>
    </row>
    <row r="257">
      <c r="A257" s="2" t="str">
        <f>IFERROR(__xludf.DUMMYFUNCTION("IF('From Order'!$A257=COLUMNS($A257:A276), LEFT(INDEX(FILTER(A$1:A256, A$1:A256&lt;&gt;""""),COUNTA(FILTER(A$1:A256, A$1:A256&lt;&gt;""""))), LEN(INDEX(FILTER(A$1:A256, A$1:A256&lt;&gt;""""),COUNTA(FILTER(A$1:A256, A$1:A256&lt;&gt;""""))))-1), IF('To Order'!$A257=COLUMNS($A257:A"&amp;"276), A256&amp;RIGHT(INDIRECT(ADDRESS(ROW(A257)-1, 'From Order'!$A257)), 1), A256))"),"CT")</f>
        <v>CT</v>
      </c>
      <c r="B257" s="2" t="str">
        <f>IFERROR(__xludf.DUMMYFUNCTION("IF('From Order'!$A257=COLUMNS($A257:B276), LEFT(INDEX(FILTER(B$1:B256, B$1:B256&lt;&gt;""""),COUNTA(FILTER(B$1:B256, B$1:B256&lt;&gt;""""))), LEN(INDEX(FILTER(B$1:B256, B$1:B256&lt;&gt;""""),COUNTA(FILTER(B$1:B256, B$1:B256&lt;&gt;""""))))-1), IF('To Order'!$A257=COLUMNS($A257:B"&amp;"276), B256&amp;RIGHT(INDIRECT(ADDRESS(ROW(B257)-1, 'From Order'!$A257)), 1), B256))"),"SWFBJLRL")</f>
        <v>SWFBJLRL</v>
      </c>
      <c r="C257" s="2" t="str">
        <f>IFERROR(__xludf.DUMMYFUNCTION("IF('From Order'!$A257=COLUMNS($A257:C276), LEFT(INDEX(FILTER(C$1:C256, C$1:C256&lt;&gt;""""),COUNTA(FILTER(C$1:C256, C$1:C256&lt;&gt;""""))), LEN(INDEX(FILTER(C$1:C256, C$1:C256&lt;&gt;""""),COUNTA(FILTER(C$1:C256, C$1:C256&lt;&gt;""""))))-1), IF('To Order'!$A257=COLUMNS($A257:C"&amp;"276), C256&amp;RIGHT(INDIRECT(ADDRESS(ROW(C257)-1, 'From Order'!$A257)), 1), C256))"),"")</f>
        <v/>
      </c>
      <c r="D257" s="2" t="str">
        <f>IFERROR(__xludf.DUMMYFUNCTION("IF('From Order'!$A257=COLUMNS($A257:D276), LEFT(INDEX(FILTER(D$1:D256, D$1:D256&lt;&gt;""""),COUNTA(FILTER(D$1:D256, D$1:D256&lt;&gt;""""))), LEN(INDEX(FILTER(D$1:D256, D$1:D256&lt;&gt;""""),COUNTA(FILTER(D$1:D256, D$1:D256&lt;&gt;""""))))-1), IF('To Order'!$A257=COLUMNS($A257:D"&amp;"276), D256&amp;RIGHT(INDIRECT(ADDRESS(ROW(D257)-1, 'From Order'!$A257)), 1), D256))"),"D")</f>
        <v>D</v>
      </c>
      <c r="E257" s="2" t="str">
        <f>IFERROR(__xludf.DUMMYFUNCTION("IF('From Order'!$A257=COLUMNS($A257:E276), LEFT(INDEX(FILTER(E$1:E256, E$1:E256&lt;&gt;""""),COUNTA(FILTER(E$1:E256, E$1:E256&lt;&gt;""""))), LEN(INDEX(FILTER(E$1:E256, E$1:E256&lt;&gt;""""),COUNTA(FILTER(E$1:E256, E$1:E256&lt;&gt;""""))))-1), IF('To Order'!$A257=COLUMNS($A257:E"&amp;"276), E256&amp;RIGHT(INDIRECT(ADDRESS(ROW(E257)-1, 'From Order'!$A257)), 1), E256))"),"")</f>
        <v/>
      </c>
      <c r="F257" s="2" t="str">
        <f>IFERROR(__xludf.DUMMYFUNCTION("IF('From Order'!$A257=COLUMNS($A257:F276), LEFT(INDEX(FILTER(F$1:F256, F$1:F256&lt;&gt;""""),COUNTA(FILTER(F$1:F256, F$1:F256&lt;&gt;""""))), LEN(INDEX(FILTER(F$1:F256, F$1:F256&lt;&gt;""""),COUNTA(FILTER(F$1:F256, F$1:F256&lt;&gt;""""))))-1), IF('To Order'!$A257=COLUMNS($A257:F"&amp;"276), F256&amp;RIGHT(INDIRECT(ADDRESS(ROW(F257)-1, 'From Order'!$A257)), 1), F256))"),"HSPVMZDDT")</f>
        <v>HSPVMZDDT</v>
      </c>
      <c r="G257" s="2" t="str">
        <f>IFERROR(__xludf.DUMMYFUNCTION("IF('From Order'!$A257=COLUMNS($A257:G276), LEFT(INDEX(FILTER(G$1:G256, G$1:G256&lt;&gt;""""),COUNTA(FILTER(G$1:G256, G$1:G256&lt;&gt;""""))), LEN(INDEX(FILTER(G$1:G256, G$1:G256&lt;&gt;""""),COUNTA(FILTER(G$1:G256, G$1:G256&lt;&gt;""""))))-1), IF('To Order'!$A257=COLUMNS($A257:G"&amp;"276), G256&amp;RIGHT(INDIRECT(ADDRESS(ROW(G257)-1, 'From Order'!$A257)), 1), G256))"),"RLSB")</f>
        <v>RLSB</v>
      </c>
      <c r="H257" s="2" t="str">
        <f>IFERROR(__xludf.DUMMYFUNCTION("IF('From Order'!$A257=COLUMNS($A257:H276), LEFT(INDEX(FILTER(H$1:H256, H$1:H256&lt;&gt;""""),COUNTA(FILTER(H$1:H256, H$1:H256&lt;&gt;""""))), LEN(INDEX(FILTER(H$1:H256, H$1:H256&lt;&gt;""""),COUNTA(FILTER(H$1:H256, H$1:H256&lt;&gt;""""))))-1), IF('To Order'!$A257=COLUMNS($A257:H"&amp;"276), H256&amp;RIGHT(INDIRECT(ADDRESS(ROW(H257)-1, 'From Order'!$A257)), 1), H256))"),"MFTMQCDTHZRVSDPQRBCVTJTWRZ")</f>
        <v>MFTMQCDTHZRVSDPQRBCVTJTWRZ</v>
      </c>
      <c r="I257" s="2" t="str">
        <f>IFERROR(__xludf.DUMMYFUNCTION("IF('From Order'!$A257=COLUMNS($A257:I276), LEFT(INDEX(FILTER(I$1:I256, I$1:I256&lt;&gt;""""),COUNTA(FILTER(I$1:I256, I$1:I256&lt;&gt;""""))), LEN(INDEX(FILTER(I$1:I256, I$1:I256&lt;&gt;""""),COUNTA(FILTER(I$1:I256, I$1:I256&lt;&gt;""""))))-1), IF('To Order'!$A257=COLUMNS($A257:I"&amp;"276), I256&amp;RIGHT(INDIRECT(ADDRESS(ROW(I257)-1, 'From Order'!$A257)), 1), I256))"),"GPBJDG")</f>
        <v>GPBJDG</v>
      </c>
    </row>
    <row r="258">
      <c r="A258" s="2" t="str">
        <f>IFERROR(__xludf.DUMMYFUNCTION("IF('From Order'!$A258=COLUMNS($A258:A277), LEFT(INDEX(FILTER(A$1:A257, A$1:A257&lt;&gt;""""),COUNTA(FILTER(A$1:A257, A$1:A257&lt;&gt;""""))), LEN(INDEX(FILTER(A$1:A257, A$1:A257&lt;&gt;""""),COUNTA(FILTER(A$1:A257, A$1:A257&lt;&gt;""""))))-1), IF('To Order'!$A258=COLUMNS($A258:A"&amp;"277), A257&amp;RIGHT(INDIRECT(ADDRESS(ROW(A258)-1, 'From Order'!$A258)), 1), A257))"),"CT")</f>
        <v>CT</v>
      </c>
      <c r="B258" s="2" t="str">
        <f>IFERROR(__xludf.DUMMYFUNCTION("IF('From Order'!$A258=COLUMNS($A258:B277), LEFT(INDEX(FILTER(B$1:B257, B$1:B257&lt;&gt;""""),COUNTA(FILTER(B$1:B257, B$1:B257&lt;&gt;""""))), LEN(INDEX(FILTER(B$1:B257, B$1:B257&lt;&gt;""""),COUNTA(FILTER(B$1:B257, B$1:B257&lt;&gt;""""))))-1), IF('To Order'!$A258=COLUMNS($A258:B"&amp;"277), B257&amp;RIGHT(INDIRECT(ADDRESS(ROW(B258)-1, 'From Order'!$A258)), 1), B257))"),"SWFBJLRL")</f>
        <v>SWFBJLRL</v>
      </c>
      <c r="C258" s="2" t="str">
        <f>IFERROR(__xludf.DUMMYFUNCTION("IF('From Order'!$A258=COLUMNS($A258:C277), LEFT(INDEX(FILTER(C$1:C257, C$1:C257&lt;&gt;""""),COUNTA(FILTER(C$1:C257, C$1:C257&lt;&gt;""""))), LEN(INDEX(FILTER(C$1:C257, C$1:C257&lt;&gt;""""),COUNTA(FILTER(C$1:C257, C$1:C257&lt;&gt;""""))))-1), IF('To Order'!$A258=COLUMNS($A258:C"&amp;"277), C257&amp;RIGHT(INDIRECT(ADDRESS(ROW(C258)-1, 'From Order'!$A258)), 1), C257))"),"")</f>
        <v/>
      </c>
      <c r="D258" s="2" t="str">
        <f>IFERROR(__xludf.DUMMYFUNCTION("IF('From Order'!$A258=COLUMNS($A258:D277), LEFT(INDEX(FILTER(D$1:D257, D$1:D257&lt;&gt;""""),COUNTA(FILTER(D$1:D257, D$1:D257&lt;&gt;""""))), LEN(INDEX(FILTER(D$1:D257, D$1:D257&lt;&gt;""""),COUNTA(FILTER(D$1:D257, D$1:D257&lt;&gt;""""))))-1), IF('To Order'!$A258=COLUMNS($A258:D"&amp;"277), D257&amp;RIGHT(INDIRECT(ADDRESS(ROW(D258)-1, 'From Order'!$A258)), 1), D257))"),"D")</f>
        <v>D</v>
      </c>
      <c r="E258" s="2" t="str">
        <f>IFERROR(__xludf.DUMMYFUNCTION("IF('From Order'!$A258=COLUMNS($A258:E277), LEFT(INDEX(FILTER(E$1:E257, E$1:E257&lt;&gt;""""),COUNTA(FILTER(E$1:E257, E$1:E257&lt;&gt;""""))), LEN(INDEX(FILTER(E$1:E257, E$1:E257&lt;&gt;""""),COUNTA(FILTER(E$1:E257, E$1:E257&lt;&gt;""""))))-1), IF('To Order'!$A258=COLUMNS($A258:E"&amp;"277), E257&amp;RIGHT(INDIRECT(ADDRESS(ROW(E258)-1, 'From Order'!$A258)), 1), E257))"),"")</f>
        <v/>
      </c>
      <c r="F258" s="2" t="str">
        <f>IFERROR(__xludf.DUMMYFUNCTION("IF('From Order'!$A258=COLUMNS($A258:F277), LEFT(INDEX(FILTER(F$1:F257, F$1:F257&lt;&gt;""""),COUNTA(FILTER(F$1:F257, F$1:F257&lt;&gt;""""))), LEN(INDEX(FILTER(F$1:F257, F$1:F257&lt;&gt;""""),COUNTA(FILTER(F$1:F257, F$1:F257&lt;&gt;""""))))-1), IF('To Order'!$A258=COLUMNS($A258:F"&amp;"277), F257&amp;RIGHT(INDIRECT(ADDRESS(ROW(F258)-1, 'From Order'!$A258)), 1), F257))"),"HSPVMZDDTZ")</f>
        <v>HSPVMZDDTZ</v>
      </c>
      <c r="G258" s="2" t="str">
        <f>IFERROR(__xludf.DUMMYFUNCTION("IF('From Order'!$A258=COLUMNS($A258:G277), LEFT(INDEX(FILTER(G$1:G257, G$1:G257&lt;&gt;""""),COUNTA(FILTER(G$1:G257, G$1:G257&lt;&gt;""""))), LEN(INDEX(FILTER(G$1:G257, G$1:G257&lt;&gt;""""),COUNTA(FILTER(G$1:G257, G$1:G257&lt;&gt;""""))))-1), IF('To Order'!$A258=COLUMNS($A258:G"&amp;"277), G257&amp;RIGHT(INDIRECT(ADDRESS(ROW(G258)-1, 'From Order'!$A258)), 1), G257))"),"RLSB")</f>
        <v>RLSB</v>
      </c>
      <c r="H258" s="2" t="str">
        <f>IFERROR(__xludf.DUMMYFUNCTION("IF('From Order'!$A258=COLUMNS($A258:H277), LEFT(INDEX(FILTER(H$1:H257, H$1:H257&lt;&gt;""""),COUNTA(FILTER(H$1:H257, H$1:H257&lt;&gt;""""))), LEN(INDEX(FILTER(H$1:H257, H$1:H257&lt;&gt;""""),COUNTA(FILTER(H$1:H257, H$1:H257&lt;&gt;""""))))-1), IF('To Order'!$A258=COLUMNS($A258:H"&amp;"277), H257&amp;RIGHT(INDIRECT(ADDRESS(ROW(H258)-1, 'From Order'!$A258)), 1), H257))"),"MFTMQCDTHZRVSDPQRBCVTJTWR")</f>
        <v>MFTMQCDTHZRVSDPQRBCVTJTWR</v>
      </c>
      <c r="I258" s="2" t="str">
        <f>IFERROR(__xludf.DUMMYFUNCTION("IF('From Order'!$A258=COLUMNS($A258:I277), LEFT(INDEX(FILTER(I$1:I257, I$1:I257&lt;&gt;""""),COUNTA(FILTER(I$1:I257, I$1:I257&lt;&gt;""""))), LEN(INDEX(FILTER(I$1:I257, I$1:I257&lt;&gt;""""),COUNTA(FILTER(I$1:I257, I$1:I257&lt;&gt;""""))))-1), IF('To Order'!$A258=COLUMNS($A258:I"&amp;"277), I257&amp;RIGHT(INDIRECT(ADDRESS(ROW(I258)-1, 'From Order'!$A258)), 1), I257))"),"GPBJDG")</f>
        <v>GPBJDG</v>
      </c>
    </row>
    <row r="259">
      <c r="A259" s="2" t="str">
        <f>IFERROR(__xludf.DUMMYFUNCTION("IF('From Order'!$A259=COLUMNS($A259:A278), LEFT(INDEX(FILTER(A$1:A258, A$1:A258&lt;&gt;""""),COUNTA(FILTER(A$1:A258, A$1:A258&lt;&gt;""""))), LEN(INDEX(FILTER(A$1:A258, A$1:A258&lt;&gt;""""),COUNTA(FILTER(A$1:A258, A$1:A258&lt;&gt;""""))))-1), IF('To Order'!$A259=COLUMNS($A259:A"&amp;"278), A258&amp;RIGHT(INDIRECT(ADDRESS(ROW(A259)-1, 'From Order'!$A259)), 1), A258))"),"CT")</f>
        <v>CT</v>
      </c>
      <c r="B259" s="2" t="str">
        <f>IFERROR(__xludf.DUMMYFUNCTION("IF('From Order'!$A259=COLUMNS($A259:B278), LEFT(INDEX(FILTER(B$1:B258, B$1:B258&lt;&gt;""""),COUNTA(FILTER(B$1:B258, B$1:B258&lt;&gt;""""))), LEN(INDEX(FILTER(B$1:B258, B$1:B258&lt;&gt;""""),COUNTA(FILTER(B$1:B258, B$1:B258&lt;&gt;""""))))-1), IF('To Order'!$A259=COLUMNS($A259:B"&amp;"278), B258&amp;RIGHT(INDIRECT(ADDRESS(ROW(B259)-1, 'From Order'!$A259)), 1), B258))"),"SWFBJLRL")</f>
        <v>SWFBJLRL</v>
      </c>
      <c r="C259" s="2" t="str">
        <f>IFERROR(__xludf.DUMMYFUNCTION("IF('From Order'!$A259=COLUMNS($A259:C278), LEFT(INDEX(FILTER(C$1:C258, C$1:C258&lt;&gt;""""),COUNTA(FILTER(C$1:C258, C$1:C258&lt;&gt;""""))), LEN(INDEX(FILTER(C$1:C258, C$1:C258&lt;&gt;""""),COUNTA(FILTER(C$1:C258, C$1:C258&lt;&gt;""""))))-1), IF('To Order'!$A259=COLUMNS($A259:C"&amp;"278), C258&amp;RIGHT(INDIRECT(ADDRESS(ROW(C259)-1, 'From Order'!$A259)), 1), C258))"),"")</f>
        <v/>
      </c>
      <c r="D259" s="2" t="str">
        <f>IFERROR(__xludf.DUMMYFUNCTION("IF('From Order'!$A259=COLUMNS($A259:D278), LEFT(INDEX(FILTER(D$1:D258, D$1:D258&lt;&gt;""""),COUNTA(FILTER(D$1:D258, D$1:D258&lt;&gt;""""))), LEN(INDEX(FILTER(D$1:D258, D$1:D258&lt;&gt;""""),COUNTA(FILTER(D$1:D258, D$1:D258&lt;&gt;""""))))-1), IF('To Order'!$A259=COLUMNS($A259:D"&amp;"278), D258&amp;RIGHT(INDIRECT(ADDRESS(ROW(D259)-1, 'From Order'!$A259)), 1), D258))"),"D")</f>
        <v>D</v>
      </c>
      <c r="E259" s="2" t="str">
        <f>IFERROR(__xludf.DUMMYFUNCTION("IF('From Order'!$A259=COLUMNS($A259:E278), LEFT(INDEX(FILTER(E$1:E258, E$1:E258&lt;&gt;""""),COUNTA(FILTER(E$1:E258, E$1:E258&lt;&gt;""""))), LEN(INDEX(FILTER(E$1:E258, E$1:E258&lt;&gt;""""),COUNTA(FILTER(E$1:E258, E$1:E258&lt;&gt;""""))))-1), IF('To Order'!$A259=COLUMNS($A259:E"&amp;"278), E258&amp;RIGHT(INDIRECT(ADDRESS(ROW(E259)-1, 'From Order'!$A259)), 1), E258))"),"")</f>
        <v/>
      </c>
      <c r="F259" s="2" t="str">
        <f>IFERROR(__xludf.DUMMYFUNCTION("IF('From Order'!$A259=COLUMNS($A259:F278), LEFT(INDEX(FILTER(F$1:F258, F$1:F258&lt;&gt;""""),COUNTA(FILTER(F$1:F258, F$1:F258&lt;&gt;""""))), LEN(INDEX(FILTER(F$1:F258, F$1:F258&lt;&gt;""""),COUNTA(FILTER(F$1:F258, F$1:F258&lt;&gt;""""))))-1), IF('To Order'!$A259=COLUMNS($A259:F"&amp;"278), F258&amp;RIGHT(INDIRECT(ADDRESS(ROW(F259)-1, 'From Order'!$A259)), 1), F258))"),"HSPVMZDDTZR")</f>
        <v>HSPVMZDDTZR</v>
      </c>
      <c r="G259" s="2" t="str">
        <f>IFERROR(__xludf.DUMMYFUNCTION("IF('From Order'!$A259=COLUMNS($A259:G278), LEFT(INDEX(FILTER(G$1:G258, G$1:G258&lt;&gt;""""),COUNTA(FILTER(G$1:G258, G$1:G258&lt;&gt;""""))), LEN(INDEX(FILTER(G$1:G258, G$1:G258&lt;&gt;""""),COUNTA(FILTER(G$1:G258, G$1:G258&lt;&gt;""""))))-1), IF('To Order'!$A259=COLUMNS($A259:G"&amp;"278), G258&amp;RIGHT(INDIRECT(ADDRESS(ROW(G259)-1, 'From Order'!$A259)), 1), G258))"),"RLSB")</f>
        <v>RLSB</v>
      </c>
      <c r="H259" s="2" t="str">
        <f>IFERROR(__xludf.DUMMYFUNCTION("IF('From Order'!$A259=COLUMNS($A259:H278), LEFT(INDEX(FILTER(H$1:H258, H$1:H258&lt;&gt;""""),COUNTA(FILTER(H$1:H258, H$1:H258&lt;&gt;""""))), LEN(INDEX(FILTER(H$1:H258, H$1:H258&lt;&gt;""""),COUNTA(FILTER(H$1:H258, H$1:H258&lt;&gt;""""))))-1), IF('To Order'!$A259=COLUMNS($A259:H"&amp;"278), H258&amp;RIGHT(INDIRECT(ADDRESS(ROW(H259)-1, 'From Order'!$A259)), 1), H258))"),"MFTMQCDTHZRVSDPQRBCVTJTW")</f>
        <v>MFTMQCDTHZRVSDPQRBCVTJTW</v>
      </c>
      <c r="I259" s="2" t="str">
        <f>IFERROR(__xludf.DUMMYFUNCTION("IF('From Order'!$A259=COLUMNS($A259:I278), LEFT(INDEX(FILTER(I$1:I258, I$1:I258&lt;&gt;""""),COUNTA(FILTER(I$1:I258, I$1:I258&lt;&gt;""""))), LEN(INDEX(FILTER(I$1:I258, I$1:I258&lt;&gt;""""),COUNTA(FILTER(I$1:I258, I$1:I258&lt;&gt;""""))))-1), IF('To Order'!$A259=COLUMNS($A259:I"&amp;"278), I258&amp;RIGHT(INDIRECT(ADDRESS(ROW(I259)-1, 'From Order'!$A259)), 1), I258))"),"GPBJDG")</f>
        <v>GPBJDG</v>
      </c>
    </row>
    <row r="260">
      <c r="A260" s="2" t="str">
        <f>IFERROR(__xludf.DUMMYFUNCTION("IF('From Order'!$A260=COLUMNS($A260:A279), LEFT(INDEX(FILTER(A$1:A259, A$1:A259&lt;&gt;""""),COUNTA(FILTER(A$1:A259, A$1:A259&lt;&gt;""""))), LEN(INDEX(FILTER(A$1:A259, A$1:A259&lt;&gt;""""),COUNTA(FILTER(A$1:A259, A$1:A259&lt;&gt;""""))))-1), IF('To Order'!$A260=COLUMNS($A260:A"&amp;"279), A259&amp;RIGHT(INDIRECT(ADDRESS(ROW(A260)-1, 'From Order'!$A260)), 1), A259))"),"CT")</f>
        <v>CT</v>
      </c>
      <c r="B260" s="2" t="str">
        <f>IFERROR(__xludf.DUMMYFUNCTION("IF('From Order'!$A260=COLUMNS($A260:B279), LEFT(INDEX(FILTER(B$1:B259, B$1:B259&lt;&gt;""""),COUNTA(FILTER(B$1:B259, B$1:B259&lt;&gt;""""))), LEN(INDEX(FILTER(B$1:B259, B$1:B259&lt;&gt;""""),COUNTA(FILTER(B$1:B259, B$1:B259&lt;&gt;""""))))-1), IF('To Order'!$A260=COLUMNS($A260:B"&amp;"279), B259&amp;RIGHT(INDIRECT(ADDRESS(ROW(B260)-1, 'From Order'!$A260)), 1), B259))"),"SWFBJLRL")</f>
        <v>SWFBJLRL</v>
      </c>
      <c r="C260" s="2" t="str">
        <f>IFERROR(__xludf.DUMMYFUNCTION("IF('From Order'!$A260=COLUMNS($A260:C279), LEFT(INDEX(FILTER(C$1:C259, C$1:C259&lt;&gt;""""),COUNTA(FILTER(C$1:C259, C$1:C259&lt;&gt;""""))), LEN(INDEX(FILTER(C$1:C259, C$1:C259&lt;&gt;""""),COUNTA(FILTER(C$1:C259, C$1:C259&lt;&gt;""""))))-1), IF('To Order'!$A260=COLUMNS($A260:C"&amp;"279), C259&amp;RIGHT(INDIRECT(ADDRESS(ROW(C260)-1, 'From Order'!$A260)), 1), C259))"),"")</f>
        <v/>
      </c>
      <c r="D260" s="2" t="str">
        <f>IFERROR(__xludf.DUMMYFUNCTION("IF('From Order'!$A260=COLUMNS($A260:D279), LEFT(INDEX(FILTER(D$1:D259, D$1:D259&lt;&gt;""""),COUNTA(FILTER(D$1:D259, D$1:D259&lt;&gt;""""))), LEN(INDEX(FILTER(D$1:D259, D$1:D259&lt;&gt;""""),COUNTA(FILTER(D$1:D259, D$1:D259&lt;&gt;""""))))-1), IF('To Order'!$A260=COLUMNS($A260:D"&amp;"279), D259&amp;RIGHT(INDIRECT(ADDRESS(ROW(D260)-1, 'From Order'!$A260)), 1), D259))"),"D")</f>
        <v>D</v>
      </c>
      <c r="E260" s="2" t="str">
        <f>IFERROR(__xludf.DUMMYFUNCTION("IF('From Order'!$A260=COLUMNS($A260:E279), LEFT(INDEX(FILTER(E$1:E259, E$1:E259&lt;&gt;""""),COUNTA(FILTER(E$1:E259, E$1:E259&lt;&gt;""""))), LEN(INDEX(FILTER(E$1:E259, E$1:E259&lt;&gt;""""),COUNTA(FILTER(E$1:E259, E$1:E259&lt;&gt;""""))))-1), IF('To Order'!$A260=COLUMNS($A260:E"&amp;"279), E259&amp;RIGHT(INDIRECT(ADDRESS(ROW(E260)-1, 'From Order'!$A260)), 1), E259))"),"")</f>
        <v/>
      </c>
      <c r="F260" s="2" t="str">
        <f>IFERROR(__xludf.DUMMYFUNCTION("IF('From Order'!$A260=COLUMNS($A260:F279), LEFT(INDEX(FILTER(F$1:F259, F$1:F259&lt;&gt;""""),COUNTA(FILTER(F$1:F259, F$1:F259&lt;&gt;""""))), LEN(INDEX(FILTER(F$1:F259, F$1:F259&lt;&gt;""""),COUNTA(FILTER(F$1:F259, F$1:F259&lt;&gt;""""))))-1), IF('To Order'!$A260=COLUMNS($A260:F"&amp;"279), F259&amp;RIGHT(INDIRECT(ADDRESS(ROW(F260)-1, 'From Order'!$A260)), 1), F259))"),"HSPVMZDDTZRW")</f>
        <v>HSPVMZDDTZRW</v>
      </c>
      <c r="G260" s="2" t="str">
        <f>IFERROR(__xludf.DUMMYFUNCTION("IF('From Order'!$A260=COLUMNS($A260:G279), LEFT(INDEX(FILTER(G$1:G259, G$1:G259&lt;&gt;""""),COUNTA(FILTER(G$1:G259, G$1:G259&lt;&gt;""""))), LEN(INDEX(FILTER(G$1:G259, G$1:G259&lt;&gt;""""),COUNTA(FILTER(G$1:G259, G$1:G259&lt;&gt;""""))))-1), IF('To Order'!$A260=COLUMNS($A260:G"&amp;"279), G259&amp;RIGHT(INDIRECT(ADDRESS(ROW(G260)-1, 'From Order'!$A260)), 1), G259))"),"RLSB")</f>
        <v>RLSB</v>
      </c>
      <c r="H260" s="2" t="str">
        <f>IFERROR(__xludf.DUMMYFUNCTION("IF('From Order'!$A260=COLUMNS($A260:H279), LEFT(INDEX(FILTER(H$1:H259, H$1:H259&lt;&gt;""""),COUNTA(FILTER(H$1:H259, H$1:H259&lt;&gt;""""))), LEN(INDEX(FILTER(H$1:H259, H$1:H259&lt;&gt;""""),COUNTA(FILTER(H$1:H259, H$1:H259&lt;&gt;""""))))-1), IF('To Order'!$A260=COLUMNS($A260:H"&amp;"279), H259&amp;RIGHT(INDIRECT(ADDRESS(ROW(H260)-1, 'From Order'!$A260)), 1), H259))"),"MFTMQCDTHZRVSDPQRBCVTJT")</f>
        <v>MFTMQCDTHZRVSDPQRBCVTJT</v>
      </c>
      <c r="I260" s="2" t="str">
        <f>IFERROR(__xludf.DUMMYFUNCTION("IF('From Order'!$A260=COLUMNS($A260:I279), LEFT(INDEX(FILTER(I$1:I259, I$1:I259&lt;&gt;""""),COUNTA(FILTER(I$1:I259, I$1:I259&lt;&gt;""""))), LEN(INDEX(FILTER(I$1:I259, I$1:I259&lt;&gt;""""),COUNTA(FILTER(I$1:I259, I$1:I259&lt;&gt;""""))))-1), IF('To Order'!$A260=COLUMNS($A260:I"&amp;"279), I259&amp;RIGHT(INDIRECT(ADDRESS(ROW(I260)-1, 'From Order'!$A260)), 1), I259))"),"GPBJDG")</f>
        <v>GPBJDG</v>
      </c>
    </row>
    <row r="261">
      <c r="A261" s="2" t="str">
        <f>IFERROR(__xludf.DUMMYFUNCTION("IF('From Order'!$A261=COLUMNS($A261:A280), LEFT(INDEX(FILTER(A$1:A260, A$1:A260&lt;&gt;""""),COUNTA(FILTER(A$1:A260, A$1:A260&lt;&gt;""""))), LEN(INDEX(FILTER(A$1:A260, A$1:A260&lt;&gt;""""),COUNTA(FILTER(A$1:A260, A$1:A260&lt;&gt;""""))))-1), IF('To Order'!$A261=COLUMNS($A261:A"&amp;"280), A260&amp;RIGHT(INDIRECT(ADDRESS(ROW(A261)-1, 'From Order'!$A261)), 1), A260))"),"CT")</f>
        <v>CT</v>
      </c>
      <c r="B261" s="2" t="str">
        <f>IFERROR(__xludf.DUMMYFUNCTION("IF('From Order'!$A261=COLUMNS($A261:B280), LEFT(INDEX(FILTER(B$1:B260, B$1:B260&lt;&gt;""""),COUNTA(FILTER(B$1:B260, B$1:B260&lt;&gt;""""))), LEN(INDEX(FILTER(B$1:B260, B$1:B260&lt;&gt;""""),COUNTA(FILTER(B$1:B260, B$1:B260&lt;&gt;""""))))-1), IF('To Order'!$A261=COLUMNS($A261:B"&amp;"280), B260&amp;RIGHT(INDIRECT(ADDRESS(ROW(B261)-1, 'From Order'!$A261)), 1), B260))"),"SWFBJLRL")</f>
        <v>SWFBJLRL</v>
      </c>
      <c r="C261" s="2" t="str">
        <f>IFERROR(__xludf.DUMMYFUNCTION("IF('From Order'!$A261=COLUMNS($A261:C280), LEFT(INDEX(FILTER(C$1:C260, C$1:C260&lt;&gt;""""),COUNTA(FILTER(C$1:C260, C$1:C260&lt;&gt;""""))), LEN(INDEX(FILTER(C$1:C260, C$1:C260&lt;&gt;""""),COUNTA(FILTER(C$1:C260, C$1:C260&lt;&gt;""""))))-1), IF('To Order'!$A261=COLUMNS($A261:C"&amp;"280), C260&amp;RIGHT(INDIRECT(ADDRESS(ROW(C261)-1, 'From Order'!$A261)), 1), C260))"),"")</f>
        <v/>
      </c>
      <c r="D261" s="2" t="str">
        <f>IFERROR(__xludf.DUMMYFUNCTION("IF('From Order'!$A261=COLUMNS($A261:D280), LEFT(INDEX(FILTER(D$1:D260, D$1:D260&lt;&gt;""""),COUNTA(FILTER(D$1:D260, D$1:D260&lt;&gt;""""))), LEN(INDEX(FILTER(D$1:D260, D$1:D260&lt;&gt;""""),COUNTA(FILTER(D$1:D260, D$1:D260&lt;&gt;""""))))-1), IF('To Order'!$A261=COLUMNS($A261:D"&amp;"280), D260&amp;RIGHT(INDIRECT(ADDRESS(ROW(D261)-1, 'From Order'!$A261)), 1), D260))"),"D")</f>
        <v>D</v>
      </c>
      <c r="E261" s="2" t="str">
        <f>IFERROR(__xludf.DUMMYFUNCTION("IF('From Order'!$A261=COLUMNS($A261:E280), LEFT(INDEX(FILTER(E$1:E260, E$1:E260&lt;&gt;""""),COUNTA(FILTER(E$1:E260, E$1:E260&lt;&gt;""""))), LEN(INDEX(FILTER(E$1:E260, E$1:E260&lt;&gt;""""),COUNTA(FILTER(E$1:E260, E$1:E260&lt;&gt;""""))))-1), IF('To Order'!$A261=COLUMNS($A261:E"&amp;"280), E260&amp;RIGHT(INDIRECT(ADDRESS(ROW(E261)-1, 'From Order'!$A261)), 1), E260))"),"")</f>
        <v/>
      </c>
      <c r="F261" s="2" t="str">
        <f>IFERROR(__xludf.DUMMYFUNCTION("IF('From Order'!$A261=COLUMNS($A261:F280), LEFT(INDEX(FILTER(F$1:F260, F$1:F260&lt;&gt;""""),COUNTA(FILTER(F$1:F260, F$1:F260&lt;&gt;""""))), LEN(INDEX(FILTER(F$1:F260, F$1:F260&lt;&gt;""""),COUNTA(FILTER(F$1:F260, F$1:F260&lt;&gt;""""))))-1), IF('To Order'!$A261=COLUMNS($A261:F"&amp;"280), F260&amp;RIGHT(INDIRECT(ADDRESS(ROW(F261)-1, 'From Order'!$A261)), 1), F260))"),"HSPVMZDDTZRWT")</f>
        <v>HSPVMZDDTZRWT</v>
      </c>
      <c r="G261" s="2" t="str">
        <f>IFERROR(__xludf.DUMMYFUNCTION("IF('From Order'!$A261=COLUMNS($A261:G280), LEFT(INDEX(FILTER(G$1:G260, G$1:G260&lt;&gt;""""),COUNTA(FILTER(G$1:G260, G$1:G260&lt;&gt;""""))), LEN(INDEX(FILTER(G$1:G260, G$1:G260&lt;&gt;""""),COUNTA(FILTER(G$1:G260, G$1:G260&lt;&gt;""""))))-1), IF('To Order'!$A261=COLUMNS($A261:G"&amp;"280), G260&amp;RIGHT(INDIRECT(ADDRESS(ROW(G261)-1, 'From Order'!$A261)), 1), G260))"),"RLSB")</f>
        <v>RLSB</v>
      </c>
      <c r="H261" s="2" t="str">
        <f>IFERROR(__xludf.DUMMYFUNCTION("IF('From Order'!$A261=COLUMNS($A261:H280), LEFT(INDEX(FILTER(H$1:H260, H$1:H260&lt;&gt;""""),COUNTA(FILTER(H$1:H260, H$1:H260&lt;&gt;""""))), LEN(INDEX(FILTER(H$1:H260, H$1:H260&lt;&gt;""""),COUNTA(FILTER(H$1:H260, H$1:H260&lt;&gt;""""))))-1), IF('To Order'!$A261=COLUMNS($A261:H"&amp;"280), H260&amp;RIGHT(INDIRECT(ADDRESS(ROW(H261)-1, 'From Order'!$A261)), 1), H260))"),"MFTMQCDTHZRVSDPQRBCVTJ")</f>
        <v>MFTMQCDTHZRVSDPQRBCVTJ</v>
      </c>
      <c r="I261" s="2" t="str">
        <f>IFERROR(__xludf.DUMMYFUNCTION("IF('From Order'!$A261=COLUMNS($A261:I280), LEFT(INDEX(FILTER(I$1:I260, I$1:I260&lt;&gt;""""),COUNTA(FILTER(I$1:I260, I$1:I260&lt;&gt;""""))), LEN(INDEX(FILTER(I$1:I260, I$1:I260&lt;&gt;""""),COUNTA(FILTER(I$1:I260, I$1:I260&lt;&gt;""""))))-1), IF('To Order'!$A261=COLUMNS($A261:I"&amp;"280), I260&amp;RIGHT(INDIRECT(ADDRESS(ROW(I261)-1, 'From Order'!$A261)), 1), I260))"),"GPBJDG")</f>
        <v>GPBJDG</v>
      </c>
    </row>
    <row r="262">
      <c r="A262" s="2" t="str">
        <f>IFERROR(__xludf.DUMMYFUNCTION("IF('From Order'!$A262=COLUMNS($A262:A281), LEFT(INDEX(FILTER(A$1:A261, A$1:A261&lt;&gt;""""),COUNTA(FILTER(A$1:A261, A$1:A261&lt;&gt;""""))), LEN(INDEX(FILTER(A$1:A261, A$1:A261&lt;&gt;""""),COUNTA(FILTER(A$1:A261, A$1:A261&lt;&gt;""""))))-1), IF('To Order'!$A262=COLUMNS($A262:A"&amp;"281), A261&amp;RIGHT(INDIRECT(ADDRESS(ROW(A262)-1, 'From Order'!$A262)), 1), A261))"),"CT")</f>
        <v>CT</v>
      </c>
      <c r="B262" s="2" t="str">
        <f>IFERROR(__xludf.DUMMYFUNCTION("IF('From Order'!$A262=COLUMNS($A262:B281), LEFT(INDEX(FILTER(B$1:B261, B$1:B261&lt;&gt;""""),COUNTA(FILTER(B$1:B261, B$1:B261&lt;&gt;""""))), LEN(INDEX(FILTER(B$1:B261, B$1:B261&lt;&gt;""""),COUNTA(FILTER(B$1:B261, B$1:B261&lt;&gt;""""))))-1), IF('To Order'!$A262=COLUMNS($A262:B"&amp;"281), B261&amp;RIGHT(INDIRECT(ADDRESS(ROW(B262)-1, 'From Order'!$A262)), 1), B261))"),"SWFBJLRL")</f>
        <v>SWFBJLRL</v>
      </c>
      <c r="C262" s="2" t="str">
        <f>IFERROR(__xludf.DUMMYFUNCTION("IF('From Order'!$A262=COLUMNS($A262:C281), LEFT(INDEX(FILTER(C$1:C261, C$1:C261&lt;&gt;""""),COUNTA(FILTER(C$1:C261, C$1:C261&lt;&gt;""""))), LEN(INDEX(FILTER(C$1:C261, C$1:C261&lt;&gt;""""),COUNTA(FILTER(C$1:C261, C$1:C261&lt;&gt;""""))))-1), IF('To Order'!$A262=COLUMNS($A262:C"&amp;"281), C261&amp;RIGHT(INDIRECT(ADDRESS(ROW(C262)-1, 'From Order'!$A262)), 1), C261))"),"")</f>
        <v/>
      </c>
      <c r="D262" s="2" t="str">
        <f>IFERROR(__xludf.DUMMYFUNCTION("IF('From Order'!$A262=COLUMNS($A262:D281), LEFT(INDEX(FILTER(D$1:D261, D$1:D261&lt;&gt;""""),COUNTA(FILTER(D$1:D261, D$1:D261&lt;&gt;""""))), LEN(INDEX(FILTER(D$1:D261, D$1:D261&lt;&gt;""""),COUNTA(FILTER(D$1:D261, D$1:D261&lt;&gt;""""))))-1), IF('To Order'!$A262=COLUMNS($A262:D"&amp;"281), D261&amp;RIGHT(INDIRECT(ADDRESS(ROW(D262)-1, 'From Order'!$A262)), 1), D261))"),"D")</f>
        <v>D</v>
      </c>
      <c r="E262" s="2" t="str">
        <f>IFERROR(__xludf.DUMMYFUNCTION("IF('From Order'!$A262=COLUMNS($A262:E281), LEFT(INDEX(FILTER(E$1:E261, E$1:E261&lt;&gt;""""),COUNTA(FILTER(E$1:E261, E$1:E261&lt;&gt;""""))), LEN(INDEX(FILTER(E$1:E261, E$1:E261&lt;&gt;""""),COUNTA(FILTER(E$1:E261, E$1:E261&lt;&gt;""""))))-1), IF('To Order'!$A262=COLUMNS($A262:E"&amp;"281), E261&amp;RIGHT(INDIRECT(ADDRESS(ROW(E262)-1, 'From Order'!$A262)), 1), E261))"),"")</f>
        <v/>
      </c>
      <c r="F262" s="2" t="str">
        <f>IFERROR(__xludf.DUMMYFUNCTION("IF('From Order'!$A262=COLUMNS($A262:F281), LEFT(INDEX(FILTER(F$1:F261, F$1:F261&lt;&gt;""""),COUNTA(FILTER(F$1:F261, F$1:F261&lt;&gt;""""))), LEN(INDEX(FILTER(F$1:F261, F$1:F261&lt;&gt;""""),COUNTA(FILTER(F$1:F261, F$1:F261&lt;&gt;""""))))-1), IF('To Order'!$A262=COLUMNS($A262:F"&amp;"281), F261&amp;RIGHT(INDIRECT(ADDRESS(ROW(F262)-1, 'From Order'!$A262)), 1), F261))"),"HSPVMZDDTZRWTJ")</f>
        <v>HSPVMZDDTZRWTJ</v>
      </c>
      <c r="G262" s="2" t="str">
        <f>IFERROR(__xludf.DUMMYFUNCTION("IF('From Order'!$A262=COLUMNS($A262:G281), LEFT(INDEX(FILTER(G$1:G261, G$1:G261&lt;&gt;""""),COUNTA(FILTER(G$1:G261, G$1:G261&lt;&gt;""""))), LEN(INDEX(FILTER(G$1:G261, G$1:G261&lt;&gt;""""),COUNTA(FILTER(G$1:G261, G$1:G261&lt;&gt;""""))))-1), IF('To Order'!$A262=COLUMNS($A262:G"&amp;"281), G261&amp;RIGHT(INDIRECT(ADDRESS(ROW(G262)-1, 'From Order'!$A262)), 1), G261))"),"RLSB")</f>
        <v>RLSB</v>
      </c>
      <c r="H262" s="2" t="str">
        <f>IFERROR(__xludf.DUMMYFUNCTION("IF('From Order'!$A262=COLUMNS($A262:H281), LEFT(INDEX(FILTER(H$1:H261, H$1:H261&lt;&gt;""""),COUNTA(FILTER(H$1:H261, H$1:H261&lt;&gt;""""))), LEN(INDEX(FILTER(H$1:H261, H$1:H261&lt;&gt;""""),COUNTA(FILTER(H$1:H261, H$1:H261&lt;&gt;""""))))-1), IF('To Order'!$A262=COLUMNS($A262:H"&amp;"281), H261&amp;RIGHT(INDIRECT(ADDRESS(ROW(H262)-1, 'From Order'!$A262)), 1), H261))"),"MFTMQCDTHZRVSDPQRBCVT")</f>
        <v>MFTMQCDTHZRVSDPQRBCVT</v>
      </c>
      <c r="I262" s="2" t="str">
        <f>IFERROR(__xludf.DUMMYFUNCTION("IF('From Order'!$A262=COLUMNS($A262:I281), LEFT(INDEX(FILTER(I$1:I261, I$1:I261&lt;&gt;""""),COUNTA(FILTER(I$1:I261, I$1:I261&lt;&gt;""""))), LEN(INDEX(FILTER(I$1:I261, I$1:I261&lt;&gt;""""),COUNTA(FILTER(I$1:I261, I$1:I261&lt;&gt;""""))))-1), IF('To Order'!$A262=COLUMNS($A262:I"&amp;"281), I261&amp;RIGHT(INDIRECT(ADDRESS(ROW(I262)-1, 'From Order'!$A262)), 1), I261))"),"GPBJDG")</f>
        <v>GPBJDG</v>
      </c>
    </row>
    <row r="263">
      <c r="A263" s="2" t="str">
        <f>IFERROR(__xludf.DUMMYFUNCTION("IF('From Order'!$A263=COLUMNS($A263:A282), LEFT(INDEX(FILTER(A$1:A262, A$1:A262&lt;&gt;""""),COUNTA(FILTER(A$1:A262, A$1:A262&lt;&gt;""""))), LEN(INDEX(FILTER(A$1:A262, A$1:A262&lt;&gt;""""),COUNTA(FILTER(A$1:A262, A$1:A262&lt;&gt;""""))))-1), IF('To Order'!$A263=COLUMNS($A263:A"&amp;"282), A262&amp;RIGHT(INDIRECT(ADDRESS(ROW(A263)-1, 'From Order'!$A263)), 1), A262))"),"CT")</f>
        <v>CT</v>
      </c>
      <c r="B263" s="2" t="str">
        <f>IFERROR(__xludf.DUMMYFUNCTION("IF('From Order'!$A263=COLUMNS($A263:B282), LEFT(INDEX(FILTER(B$1:B262, B$1:B262&lt;&gt;""""),COUNTA(FILTER(B$1:B262, B$1:B262&lt;&gt;""""))), LEN(INDEX(FILTER(B$1:B262, B$1:B262&lt;&gt;""""),COUNTA(FILTER(B$1:B262, B$1:B262&lt;&gt;""""))))-1), IF('To Order'!$A263=COLUMNS($A263:B"&amp;"282), B262&amp;RIGHT(INDIRECT(ADDRESS(ROW(B263)-1, 'From Order'!$A263)), 1), B262))"),"SWFBJLRL")</f>
        <v>SWFBJLRL</v>
      </c>
      <c r="C263" s="2" t="str">
        <f>IFERROR(__xludf.DUMMYFUNCTION("IF('From Order'!$A263=COLUMNS($A263:C282), LEFT(INDEX(FILTER(C$1:C262, C$1:C262&lt;&gt;""""),COUNTA(FILTER(C$1:C262, C$1:C262&lt;&gt;""""))), LEN(INDEX(FILTER(C$1:C262, C$1:C262&lt;&gt;""""),COUNTA(FILTER(C$1:C262, C$1:C262&lt;&gt;""""))))-1), IF('To Order'!$A263=COLUMNS($A263:C"&amp;"282), C262&amp;RIGHT(INDIRECT(ADDRESS(ROW(C263)-1, 'From Order'!$A263)), 1), C262))"),"")</f>
        <v/>
      </c>
      <c r="D263" s="2" t="str">
        <f>IFERROR(__xludf.DUMMYFUNCTION("IF('From Order'!$A263=COLUMNS($A263:D282), LEFT(INDEX(FILTER(D$1:D262, D$1:D262&lt;&gt;""""),COUNTA(FILTER(D$1:D262, D$1:D262&lt;&gt;""""))), LEN(INDEX(FILTER(D$1:D262, D$1:D262&lt;&gt;""""),COUNTA(FILTER(D$1:D262, D$1:D262&lt;&gt;""""))))-1), IF('To Order'!$A263=COLUMNS($A263:D"&amp;"282), D262&amp;RIGHT(INDIRECT(ADDRESS(ROW(D263)-1, 'From Order'!$A263)), 1), D262))"),"D")</f>
        <v>D</v>
      </c>
      <c r="E263" s="2" t="str">
        <f>IFERROR(__xludf.DUMMYFUNCTION("IF('From Order'!$A263=COLUMNS($A263:E282), LEFT(INDEX(FILTER(E$1:E262, E$1:E262&lt;&gt;""""),COUNTA(FILTER(E$1:E262, E$1:E262&lt;&gt;""""))), LEN(INDEX(FILTER(E$1:E262, E$1:E262&lt;&gt;""""),COUNTA(FILTER(E$1:E262, E$1:E262&lt;&gt;""""))))-1), IF('To Order'!$A263=COLUMNS($A263:E"&amp;"282), E262&amp;RIGHT(INDIRECT(ADDRESS(ROW(E263)-1, 'From Order'!$A263)), 1), E262))"),"")</f>
        <v/>
      </c>
      <c r="F263" s="2" t="str">
        <f>IFERROR(__xludf.DUMMYFUNCTION("IF('From Order'!$A263=COLUMNS($A263:F282), LEFT(INDEX(FILTER(F$1:F262, F$1:F262&lt;&gt;""""),COUNTA(FILTER(F$1:F262, F$1:F262&lt;&gt;""""))), LEN(INDEX(FILTER(F$1:F262, F$1:F262&lt;&gt;""""),COUNTA(FILTER(F$1:F262, F$1:F262&lt;&gt;""""))))-1), IF('To Order'!$A263=COLUMNS($A263:F"&amp;"282), F262&amp;RIGHT(INDIRECT(ADDRESS(ROW(F263)-1, 'From Order'!$A263)), 1), F262))"),"HSPVMZDDTZRWTJT")</f>
        <v>HSPVMZDDTZRWTJT</v>
      </c>
      <c r="G263" s="2" t="str">
        <f>IFERROR(__xludf.DUMMYFUNCTION("IF('From Order'!$A263=COLUMNS($A263:G282), LEFT(INDEX(FILTER(G$1:G262, G$1:G262&lt;&gt;""""),COUNTA(FILTER(G$1:G262, G$1:G262&lt;&gt;""""))), LEN(INDEX(FILTER(G$1:G262, G$1:G262&lt;&gt;""""),COUNTA(FILTER(G$1:G262, G$1:G262&lt;&gt;""""))))-1), IF('To Order'!$A263=COLUMNS($A263:G"&amp;"282), G262&amp;RIGHT(INDIRECT(ADDRESS(ROW(G263)-1, 'From Order'!$A263)), 1), G262))"),"RLSB")</f>
        <v>RLSB</v>
      </c>
      <c r="H263" s="2" t="str">
        <f>IFERROR(__xludf.DUMMYFUNCTION("IF('From Order'!$A263=COLUMNS($A263:H282), LEFT(INDEX(FILTER(H$1:H262, H$1:H262&lt;&gt;""""),COUNTA(FILTER(H$1:H262, H$1:H262&lt;&gt;""""))), LEN(INDEX(FILTER(H$1:H262, H$1:H262&lt;&gt;""""),COUNTA(FILTER(H$1:H262, H$1:H262&lt;&gt;""""))))-1), IF('To Order'!$A263=COLUMNS($A263:H"&amp;"282), H262&amp;RIGHT(INDIRECT(ADDRESS(ROW(H263)-1, 'From Order'!$A263)), 1), H262))"),"MFTMQCDTHZRVSDPQRBCV")</f>
        <v>MFTMQCDTHZRVSDPQRBCV</v>
      </c>
      <c r="I263" s="2" t="str">
        <f>IFERROR(__xludf.DUMMYFUNCTION("IF('From Order'!$A263=COLUMNS($A263:I282), LEFT(INDEX(FILTER(I$1:I262, I$1:I262&lt;&gt;""""),COUNTA(FILTER(I$1:I262, I$1:I262&lt;&gt;""""))), LEN(INDEX(FILTER(I$1:I262, I$1:I262&lt;&gt;""""),COUNTA(FILTER(I$1:I262, I$1:I262&lt;&gt;""""))))-1), IF('To Order'!$A263=COLUMNS($A263:I"&amp;"282), I262&amp;RIGHT(INDIRECT(ADDRESS(ROW(I263)-1, 'From Order'!$A263)), 1), I262))"),"GPBJDG")</f>
        <v>GPBJDG</v>
      </c>
    </row>
    <row r="264">
      <c r="A264" s="2" t="str">
        <f>IFERROR(__xludf.DUMMYFUNCTION("IF('From Order'!$A264=COLUMNS($A264:A283), LEFT(INDEX(FILTER(A$1:A263, A$1:A263&lt;&gt;""""),COUNTA(FILTER(A$1:A263, A$1:A263&lt;&gt;""""))), LEN(INDEX(FILTER(A$1:A263, A$1:A263&lt;&gt;""""),COUNTA(FILTER(A$1:A263, A$1:A263&lt;&gt;""""))))-1), IF('To Order'!$A264=COLUMNS($A264:A"&amp;"283), A263&amp;RIGHT(INDIRECT(ADDRESS(ROW(A264)-1, 'From Order'!$A264)), 1), A263))"),"CT")</f>
        <v>CT</v>
      </c>
      <c r="B264" s="2" t="str">
        <f>IFERROR(__xludf.DUMMYFUNCTION("IF('From Order'!$A264=COLUMNS($A264:B283), LEFT(INDEX(FILTER(B$1:B263, B$1:B263&lt;&gt;""""),COUNTA(FILTER(B$1:B263, B$1:B263&lt;&gt;""""))), LEN(INDEX(FILTER(B$1:B263, B$1:B263&lt;&gt;""""),COUNTA(FILTER(B$1:B263, B$1:B263&lt;&gt;""""))))-1), IF('To Order'!$A264=COLUMNS($A264:B"&amp;"283), B263&amp;RIGHT(INDIRECT(ADDRESS(ROW(B264)-1, 'From Order'!$A264)), 1), B263))"),"SWFBJLRL")</f>
        <v>SWFBJLRL</v>
      </c>
      <c r="C264" s="2" t="str">
        <f>IFERROR(__xludf.DUMMYFUNCTION("IF('From Order'!$A264=COLUMNS($A264:C283), LEFT(INDEX(FILTER(C$1:C263, C$1:C263&lt;&gt;""""),COUNTA(FILTER(C$1:C263, C$1:C263&lt;&gt;""""))), LEN(INDEX(FILTER(C$1:C263, C$1:C263&lt;&gt;""""),COUNTA(FILTER(C$1:C263, C$1:C263&lt;&gt;""""))))-1), IF('To Order'!$A264=COLUMNS($A264:C"&amp;"283), C263&amp;RIGHT(INDIRECT(ADDRESS(ROW(C264)-1, 'From Order'!$A264)), 1), C263))"),"")</f>
        <v/>
      </c>
      <c r="D264" s="2" t="str">
        <f>IFERROR(__xludf.DUMMYFUNCTION("IF('From Order'!$A264=COLUMNS($A264:D283), LEFT(INDEX(FILTER(D$1:D263, D$1:D263&lt;&gt;""""),COUNTA(FILTER(D$1:D263, D$1:D263&lt;&gt;""""))), LEN(INDEX(FILTER(D$1:D263, D$1:D263&lt;&gt;""""),COUNTA(FILTER(D$1:D263, D$1:D263&lt;&gt;""""))))-1), IF('To Order'!$A264=COLUMNS($A264:D"&amp;"283), D263&amp;RIGHT(INDIRECT(ADDRESS(ROW(D264)-1, 'From Order'!$A264)), 1), D263))"),"D")</f>
        <v>D</v>
      </c>
      <c r="E264" s="2" t="str">
        <f>IFERROR(__xludf.DUMMYFUNCTION("IF('From Order'!$A264=COLUMNS($A264:E283), LEFT(INDEX(FILTER(E$1:E263, E$1:E263&lt;&gt;""""),COUNTA(FILTER(E$1:E263, E$1:E263&lt;&gt;""""))), LEN(INDEX(FILTER(E$1:E263, E$1:E263&lt;&gt;""""),COUNTA(FILTER(E$1:E263, E$1:E263&lt;&gt;""""))))-1), IF('To Order'!$A264=COLUMNS($A264:E"&amp;"283), E263&amp;RIGHT(INDIRECT(ADDRESS(ROW(E264)-1, 'From Order'!$A264)), 1), E263))"),"")</f>
        <v/>
      </c>
      <c r="F264" s="2" t="str">
        <f>IFERROR(__xludf.DUMMYFUNCTION("IF('From Order'!$A264=COLUMNS($A264:F283), LEFT(INDEX(FILTER(F$1:F263, F$1:F263&lt;&gt;""""),COUNTA(FILTER(F$1:F263, F$1:F263&lt;&gt;""""))), LEN(INDEX(FILTER(F$1:F263, F$1:F263&lt;&gt;""""),COUNTA(FILTER(F$1:F263, F$1:F263&lt;&gt;""""))))-1), IF('To Order'!$A264=COLUMNS($A264:F"&amp;"283), F263&amp;RIGHT(INDIRECT(ADDRESS(ROW(F264)-1, 'From Order'!$A264)), 1), F263))"),"HSPVMZDDTZRWTJTV")</f>
        <v>HSPVMZDDTZRWTJTV</v>
      </c>
      <c r="G264" s="2" t="str">
        <f>IFERROR(__xludf.DUMMYFUNCTION("IF('From Order'!$A264=COLUMNS($A264:G283), LEFT(INDEX(FILTER(G$1:G263, G$1:G263&lt;&gt;""""),COUNTA(FILTER(G$1:G263, G$1:G263&lt;&gt;""""))), LEN(INDEX(FILTER(G$1:G263, G$1:G263&lt;&gt;""""),COUNTA(FILTER(G$1:G263, G$1:G263&lt;&gt;""""))))-1), IF('To Order'!$A264=COLUMNS($A264:G"&amp;"283), G263&amp;RIGHT(INDIRECT(ADDRESS(ROW(G264)-1, 'From Order'!$A264)), 1), G263))"),"RLSB")</f>
        <v>RLSB</v>
      </c>
      <c r="H264" s="2" t="str">
        <f>IFERROR(__xludf.DUMMYFUNCTION("IF('From Order'!$A264=COLUMNS($A264:H283), LEFT(INDEX(FILTER(H$1:H263, H$1:H263&lt;&gt;""""),COUNTA(FILTER(H$1:H263, H$1:H263&lt;&gt;""""))), LEN(INDEX(FILTER(H$1:H263, H$1:H263&lt;&gt;""""),COUNTA(FILTER(H$1:H263, H$1:H263&lt;&gt;""""))))-1), IF('To Order'!$A264=COLUMNS($A264:H"&amp;"283), H263&amp;RIGHT(INDIRECT(ADDRESS(ROW(H264)-1, 'From Order'!$A264)), 1), H263))"),"MFTMQCDTHZRVSDPQRBC")</f>
        <v>MFTMQCDTHZRVSDPQRBC</v>
      </c>
      <c r="I264" s="2" t="str">
        <f>IFERROR(__xludf.DUMMYFUNCTION("IF('From Order'!$A264=COLUMNS($A264:I283), LEFT(INDEX(FILTER(I$1:I263, I$1:I263&lt;&gt;""""),COUNTA(FILTER(I$1:I263, I$1:I263&lt;&gt;""""))), LEN(INDEX(FILTER(I$1:I263, I$1:I263&lt;&gt;""""),COUNTA(FILTER(I$1:I263, I$1:I263&lt;&gt;""""))))-1), IF('To Order'!$A264=COLUMNS($A264:I"&amp;"283), I263&amp;RIGHT(INDIRECT(ADDRESS(ROW(I264)-1, 'From Order'!$A264)), 1), I263))"),"GPBJDG")</f>
        <v>GPBJDG</v>
      </c>
    </row>
    <row r="265">
      <c r="A265" s="2" t="str">
        <f>IFERROR(__xludf.DUMMYFUNCTION("IF('From Order'!$A265=COLUMNS($A265:A284), LEFT(INDEX(FILTER(A$1:A264, A$1:A264&lt;&gt;""""),COUNTA(FILTER(A$1:A264, A$1:A264&lt;&gt;""""))), LEN(INDEX(FILTER(A$1:A264, A$1:A264&lt;&gt;""""),COUNTA(FILTER(A$1:A264, A$1:A264&lt;&gt;""""))))-1), IF('To Order'!$A265=COLUMNS($A265:A"&amp;"284), A264&amp;RIGHT(INDIRECT(ADDRESS(ROW(A265)-1, 'From Order'!$A265)), 1), A264))"),"CT")</f>
        <v>CT</v>
      </c>
      <c r="B265" s="2" t="str">
        <f>IFERROR(__xludf.DUMMYFUNCTION("IF('From Order'!$A265=COLUMNS($A265:B284), LEFT(INDEX(FILTER(B$1:B264, B$1:B264&lt;&gt;""""),COUNTA(FILTER(B$1:B264, B$1:B264&lt;&gt;""""))), LEN(INDEX(FILTER(B$1:B264, B$1:B264&lt;&gt;""""),COUNTA(FILTER(B$1:B264, B$1:B264&lt;&gt;""""))))-1), IF('To Order'!$A265=COLUMNS($A265:B"&amp;"284), B264&amp;RIGHT(INDIRECT(ADDRESS(ROW(B265)-1, 'From Order'!$A265)), 1), B264))"),"SWFBJLRL")</f>
        <v>SWFBJLRL</v>
      </c>
      <c r="C265" s="2" t="str">
        <f>IFERROR(__xludf.DUMMYFUNCTION("IF('From Order'!$A265=COLUMNS($A265:C284), LEFT(INDEX(FILTER(C$1:C264, C$1:C264&lt;&gt;""""),COUNTA(FILTER(C$1:C264, C$1:C264&lt;&gt;""""))), LEN(INDEX(FILTER(C$1:C264, C$1:C264&lt;&gt;""""),COUNTA(FILTER(C$1:C264, C$1:C264&lt;&gt;""""))))-1), IF('To Order'!$A265=COLUMNS($A265:C"&amp;"284), C264&amp;RIGHT(INDIRECT(ADDRESS(ROW(C265)-1, 'From Order'!$A265)), 1), C264))"),"")</f>
        <v/>
      </c>
      <c r="D265" s="2" t="str">
        <f>IFERROR(__xludf.DUMMYFUNCTION("IF('From Order'!$A265=COLUMNS($A265:D284), LEFT(INDEX(FILTER(D$1:D264, D$1:D264&lt;&gt;""""),COUNTA(FILTER(D$1:D264, D$1:D264&lt;&gt;""""))), LEN(INDEX(FILTER(D$1:D264, D$1:D264&lt;&gt;""""),COUNTA(FILTER(D$1:D264, D$1:D264&lt;&gt;""""))))-1), IF('To Order'!$A265=COLUMNS($A265:D"&amp;"284), D264&amp;RIGHT(INDIRECT(ADDRESS(ROW(D265)-1, 'From Order'!$A265)), 1), D264))"),"D")</f>
        <v>D</v>
      </c>
      <c r="E265" s="2" t="str">
        <f>IFERROR(__xludf.DUMMYFUNCTION("IF('From Order'!$A265=COLUMNS($A265:E284), LEFT(INDEX(FILTER(E$1:E264, E$1:E264&lt;&gt;""""),COUNTA(FILTER(E$1:E264, E$1:E264&lt;&gt;""""))), LEN(INDEX(FILTER(E$1:E264, E$1:E264&lt;&gt;""""),COUNTA(FILTER(E$1:E264, E$1:E264&lt;&gt;""""))))-1), IF('To Order'!$A265=COLUMNS($A265:E"&amp;"284), E264&amp;RIGHT(INDIRECT(ADDRESS(ROW(E265)-1, 'From Order'!$A265)), 1), E264))"),"")</f>
        <v/>
      </c>
      <c r="F265" s="2" t="str">
        <f>IFERROR(__xludf.DUMMYFUNCTION("IF('From Order'!$A265=COLUMNS($A265:F284), LEFT(INDEX(FILTER(F$1:F264, F$1:F264&lt;&gt;""""),COUNTA(FILTER(F$1:F264, F$1:F264&lt;&gt;""""))), LEN(INDEX(FILTER(F$1:F264, F$1:F264&lt;&gt;""""),COUNTA(FILTER(F$1:F264, F$1:F264&lt;&gt;""""))))-1), IF('To Order'!$A265=COLUMNS($A265:F"&amp;"284), F264&amp;RIGHT(INDIRECT(ADDRESS(ROW(F265)-1, 'From Order'!$A265)), 1), F264))"),"HSPVMZDDTZRWTJTVC")</f>
        <v>HSPVMZDDTZRWTJTVC</v>
      </c>
      <c r="G265" s="2" t="str">
        <f>IFERROR(__xludf.DUMMYFUNCTION("IF('From Order'!$A265=COLUMNS($A265:G284), LEFT(INDEX(FILTER(G$1:G264, G$1:G264&lt;&gt;""""),COUNTA(FILTER(G$1:G264, G$1:G264&lt;&gt;""""))), LEN(INDEX(FILTER(G$1:G264, G$1:G264&lt;&gt;""""),COUNTA(FILTER(G$1:G264, G$1:G264&lt;&gt;""""))))-1), IF('To Order'!$A265=COLUMNS($A265:G"&amp;"284), G264&amp;RIGHT(INDIRECT(ADDRESS(ROW(G265)-1, 'From Order'!$A265)), 1), G264))"),"RLSB")</f>
        <v>RLSB</v>
      </c>
      <c r="H265" s="2" t="str">
        <f>IFERROR(__xludf.DUMMYFUNCTION("IF('From Order'!$A265=COLUMNS($A265:H284), LEFT(INDEX(FILTER(H$1:H264, H$1:H264&lt;&gt;""""),COUNTA(FILTER(H$1:H264, H$1:H264&lt;&gt;""""))), LEN(INDEX(FILTER(H$1:H264, H$1:H264&lt;&gt;""""),COUNTA(FILTER(H$1:H264, H$1:H264&lt;&gt;""""))))-1), IF('To Order'!$A265=COLUMNS($A265:H"&amp;"284), H264&amp;RIGHT(INDIRECT(ADDRESS(ROW(H265)-1, 'From Order'!$A265)), 1), H264))"),"MFTMQCDTHZRVSDPQRB")</f>
        <v>MFTMQCDTHZRVSDPQRB</v>
      </c>
      <c r="I265" s="2" t="str">
        <f>IFERROR(__xludf.DUMMYFUNCTION("IF('From Order'!$A265=COLUMNS($A265:I284), LEFT(INDEX(FILTER(I$1:I264, I$1:I264&lt;&gt;""""),COUNTA(FILTER(I$1:I264, I$1:I264&lt;&gt;""""))), LEN(INDEX(FILTER(I$1:I264, I$1:I264&lt;&gt;""""),COUNTA(FILTER(I$1:I264, I$1:I264&lt;&gt;""""))))-1), IF('To Order'!$A265=COLUMNS($A265:I"&amp;"284), I264&amp;RIGHT(INDIRECT(ADDRESS(ROW(I265)-1, 'From Order'!$A265)), 1), I264))"),"GPBJDG")</f>
        <v>GPBJDG</v>
      </c>
    </row>
    <row r="266">
      <c r="A266" s="2" t="str">
        <f>IFERROR(__xludf.DUMMYFUNCTION("IF('From Order'!$A266=COLUMNS($A266:A285), LEFT(INDEX(FILTER(A$1:A265, A$1:A265&lt;&gt;""""),COUNTA(FILTER(A$1:A265, A$1:A265&lt;&gt;""""))), LEN(INDEX(FILTER(A$1:A265, A$1:A265&lt;&gt;""""),COUNTA(FILTER(A$1:A265, A$1:A265&lt;&gt;""""))))-1), IF('To Order'!$A266=COLUMNS($A266:A"&amp;"285), A265&amp;RIGHT(INDIRECT(ADDRESS(ROW(A266)-1, 'From Order'!$A266)), 1), A265))"),"CT")</f>
        <v>CT</v>
      </c>
      <c r="B266" s="2" t="str">
        <f>IFERROR(__xludf.DUMMYFUNCTION("IF('From Order'!$A266=COLUMNS($A266:B285), LEFT(INDEX(FILTER(B$1:B265, B$1:B265&lt;&gt;""""),COUNTA(FILTER(B$1:B265, B$1:B265&lt;&gt;""""))), LEN(INDEX(FILTER(B$1:B265, B$1:B265&lt;&gt;""""),COUNTA(FILTER(B$1:B265, B$1:B265&lt;&gt;""""))))-1), IF('To Order'!$A266=COLUMNS($A266:B"&amp;"285), B265&amp;RIGHT(INDIRECT(ADDRESS(ROW(B266)-1, 'From Order'!$A266)), 1), B265))"),"SWFBJLRL")</f>
        <v>SWFBJLRL</v>
      </c>
      <c r="C266" s="2" t="str">
        <f>IFERROR(__xludf.DUMMYFUNCTION("IF('From Order'!$A266=COLUMNS($A266:C285), LEFT(INDEX(FILTER(C$1:C265, C$1:C265&lt;&gt;""""),COUNTA(FILTER(C$1:C265, C$1:C265&lt;&gt;""""))), LEN(INDEX(FILTER(C$1:C265, C$1:C265&lt;&gt;""""),COUNTA(FILTER(C$1:C265, C$1:C265&lt;&gt;""""))))-1), IF('To Order'!$A266=COLUMNS($A266:C"&amp;"285), C265&amp;RIGHT(INDIRECT(ADDRESS(ROW(C266)-1, 'From Order'!$A266)), 1), C265))"),"")</f>
        <v/>
      </c>
      <c r="D266" s="2" t="str">
        <f>IFERROR(__xludf.DUMMYFUNCTION("IF('From Order'!$A266=COLUMNS($A266:D285), LEFT(INDEX(FILTER(D$1:D265, D$1:D265&lt;&gt;""""),COUNTA(FILTER(D$1:D265, D$1:D265&lt;&gt;""""))), LEN(INDEX(FILTER(D$1:D265, D$1:D265&lt;&gt;""""),COUNTA(FILTER(D$1:D265, D$1:D265&lt;&gt;""""))))-1), IF('To Order'!$A266=COLUMNS($A266:D"&amp;"285), D265&amp;RIGHT(INDIRECT(ADDRESS(ROW(D266)-1, 'From Order'!$A266)), 1), D265))"),"D")</f>
        <v>D</v>
      </c>
      <c r="E266" s="2" t="str">
        <f>IFERROR(__xludf.DUMMYFUNCTION("IF('From Order'!$A266=COLUMNS($A266:E285), LEFT(INDEX(FILTER(E$1:E265, E$1:E265&lt;&gt;""""),COUNTA(FILTER(E$1:E265, E$1:E265&lt;&gt;""""))), LEN(INDEX(FILTER(E$1:E265, E$1:E265&lt;&gt;""""),COUNTA(FILTER(E$1:E265, E$1:E265&lt;&gt;""""))))-1), IF('To Order'!$A266=COLUMNS($A266:E"&amp;"285), E265&amp;RIGHT(INDIRECT(ADDRESS(ROW(E266)-1, 'From Order'!$A266)), 1), E265))"),"")</f>
        <v/>
      </c>
      <c r="F266" s="2" t="str">
        <f>IFERROR(__xludf.DUMMYFUNCTION("IF('From Order'!$A266=COLUMNS($A266:F285), LEFT(INDEX(FILTER(F$1:F265, F$1:F265&lt;&gt;""""),COUNTA(FILTER(F$1:F265, F$1:F265&lt;&gt;""""))), LEN(INDEX(FILTER(F$1:F265, F$1:F265&lt;&gt;""""),COUNTA(FILTER(F$1:F265, F$1:F265&lt;&gt;""""))))-1), IF('To Order'!$A266=COLUMNS($A266:F"&amp;"285), F265&amp;RIGHT(INDIRECT(ADDRESS(ROW(F266)-1, 'From Order'!$A266)), 1), F265))"),"HSPVMZDDTZRWTJTVCB")</f>
        <v>HSPVMZDDTZRWTJTVCB</v>
      </c>
      <c r="G266" s="2" t="str">
        <f>IFERROR(__xludf.DUMMYFUNCTION("IF('From Order'!$A266=COLUMNS($A266:G285), LEFT(INDEX(FILTER(G$1:G265, G$1:G265&lt;&gt;""""),COUNTA(FILTER(G$1:G265, G$1:G265&lt;&gt;""""))), LEN(INDEX(FILTER(G$1:G265, G$1:G265&lt;&gt;""""),COUNTA(FILTER(G$1:G265, G$1:G265&lt;&gt;""""))))-1), IF('To Order'!$A266=COLUMNS($A266:G"&amp;"285), G265&amp;RIGHT(INDIRECT(ADDRESS(ROW(G266)-1, 'From Order'!$A266)), 1), G265))"),"RLSB")</f>
        <v>RLSB</v>
      </c>
      <c r="H266" s="2" t="str">
        <f>IFERROR(__xludf.DUMMYFUNCTION("IF('From Order'!$A266=COLUMNS($A266:H285), LEFT(INDEX(FILTER(H$1:H265, H$1:H265&lt;&gt;""""),COUNTA(FILTER(H$1:H265, H$1:H265&lt;&gt;""""))), LEN(INDEX(FILTER(H$1:H265, H$1:H265&lt;&gt;""""),COUNTA(FILTER(H$1:H265, H$1:H265&lt;&gt;""""))))-1), IF('To Order'!$A266=COLUMNS($A266:H"&amp;"285), H265&amp;RIGHT(INDIRECT(ADDRESS(ROW(H266)-1, 'From Order'!$A266)), 1), H265))"),"MFTMQCDTHZRVSDPQR")</f>
        <v>MFTMQCDTHZRVSDPQR</v>
      </c>
      <c r="I266" s="2" t="str">
        <f>IFERROR(__xludf.DUMMYFUNCTION("IF('From Order'!$A266=COLUMNS($A266:I285), LEFT(INDEX(FILTER(I$1:I265, I$1:I265&lt;&gt;""""),COUNTA(FILTER(I$1:I265, I$1:I265&lt;&gt;""""))), LEN(INDEX(FILTER(I$1:I265, I$1:I265&lt;&gt;""""),COUNTA(FILTER(I$1:I265, I$1:I265&lt;&gt;""""))))-1), IF('To Order'!$A266=COLUMNS($A266:I"&amp;"285), I265&amp;RIGHT(INDIRECT(ADDRESS(ROW(I266)-1, 'From Order'!$A266)), 1), I265))"),"GPBJDG")</f>
        <v>GPBJDG</v>
      </c>
    </row>
    <row r="267">
      <c r="A267" s="2" t="str">
        <f>IFERROR(__xludf.DUMMYFUNCTION("IF('From Order'!$A267=COLUMNS($A267:A286), LEFT(INDEX(FILTER(A$1:A266, A$1:A266&lt;&gt;""""),COUNTA(FILTER(A$1:A266, A$1:A266&lt;&gt;""""))), LEN(INDEX(FILTER(A$1:A266, A$1:A266&lt;&gt;""""),COUNTA(FILTER(A$1:A266, A$1:A266&lt;&gt;""""))))-1), IF('To Order'!$A267=COLUMNS($A267:A"&amp;"286), A266&amp;RIGHT(INDIRECT(ADDRESS(ROW(A267)-1, 'From Order'!$A267)), 1), A266))"),"CT")</f>
        <v>CT</v>
      </c>
      <c r="B267" s="2" t="str">
        <f>IFERROR(__xludf.DUMMYFUNCTION("IF('From Order'!$A267=COLUMNS($A267:B286), LEFT(INDEX(FILTER(B$1:B266, B$1:B266&lt;&gt;""""),COUNTA(FILTER(B$1:B266, B$1:B266&lt;&gt;""""))), LEN(INDEX(FILTER(B$1:B266, B$1:B266&lt;&gt;""""),COUNTA(FILTER(B$1:B266, B$1:B266&lt;&gt;""""))))-1), IF('To Order'!$A267=COLUMNS($A267:B"&amp;"286), B266&amp;RIGHT(INDIRECT(ADDRESS(ROW(B267)-1, 'From Order'!$A267)), 1), B266))"),"SWFBJLRL")</f>
        <v>SWFBJLRL</v>
      </c>
      <c r="C267" s="2" t="str">
        <f>IFERROR(__xludf.DUMMYFUNCTION("IF('From Order'!$A267=COLUMNS($A267:C286), LEFT(INDEX(FILTER(C$1:C266, C$1:C266&lt;&gt;""""),COUNTA(FILTER(C$1:C266, C$1:C266&lt;&gt;""""))), LEN(INDEX(FILTER(C$1:C266, C$1:C266&lt;&gt;""""),COUNTA(FILTER(C$1:C266, C$1:C266&lt;&gt;""""))))-1), IF('To Order'!$A267=COLUMNS($A267:C"&amp;"286), C266&amp;RIGHT(INDIRECT(ADDRESS(ROW(C267)-1, 'From Order'!$A267)), 1), C266))"),"")</f>
        <v/>
      </c>
      <c r="D267" s="2" t="str">
        <f>IFERROR(__xludf.DUMMYFUNCTION("IF('From Order'!$A267=COLUMNS($A267:D286), LEFT(INDEX(FILTER(D$1:D266, D$1:D266&lt;&gt;""""),COUNTA(FILTER(D$1:D266, D$1:D266&lt;&gt;""""))), LEN(INDEX(FILTER(D$1:D266, D$1:D266&lt;&gt;""""),COUNTA(FILTER(D$1:D266, D$1:D266&lt;&gt;""""))))-1), IF('To Order'!$A267=COLUMNS($A267:D"&amp;"286), D266&amp;RIGHT(INDIRECT(ADDRESS(ROW(D267)-1, 'From Order'!$A267)), 1), D266))"),"D")</f>
        <v>D</v>
      </c>
      <c r="E267" s="2" t="str">
        <f>IFERROR(__xludf.DUMMYFUNCTION("IF('From Order'!$A267=COLUMNS($A267:E286), LEFT(INDEX(FILTER(E$1:E266, E$1:E266&lt;&gt;""""),COUNTA(FILTER(E$1:E266, E$1:E266&lt;&gt;""""))), LEN(INDEX(FILTER(E$1:E266, E$1:E266&lt;&gt;""""),COUNTA(FILTER(E$1:E266, E$1:E266&lt;&gt;""""))))-1), IF('To Order'!$A267=COLUMNS($A267:E"&amp;"286), E266&amp;RIGHT(INDIRECT(ADDRESS(ROW(E267)-1, 'From Order'!$A267)), 1), E266))"),"")</f>
        <v/>
      </c>
      <c r="F267" s="2" t="str">
        <f>IFERROR(__xludf.DUMMYFUNCTION("IF('From Order'!$A267=COLUMNS($A267:F286), LEFT(INDEX(FILTER(F$1:F266, F$1:F266&lt;&gt;""""),COUNTA(FILTER(F$1:F266, F$1:F266&lt;&gt;""""))), LEN(INDEX(FILTER(F$1:F266, F$1:F266&lt;&gt;""""),COUNTA(FILTER(F$1:F266, F$1:F266&lt;&gt;""""))))-1), IF('To Order'!$A267=COLUMNS($A267:F"&amp;"286), F266&amp;RIGHT(INDIRECT(ADDRESS(ROW(F267)-1, 'From Order'!$A267)), 1), F266))"),"HSPVMZDDTZRWTJTVCBR")</f>
        <v>HSPVMZDDTZRWTJTVCBR</v>
      </c>
      <c r="G267" s="2" t="str">
        <f>IFERROR(__xludf.DUMMYFUNCTION("IF('From Order'!$A267=COLUMNS($A267:G286), LEFT(INDEX(FILTER(G$1:G266, G$1:G266&lt;&gt;""""),COUNTA(FILTER(G$1:G266, G$1:G266&lt;&gt;""""))), LEN(INDEX(FILTER(G$1:G266, G$1:G266&lt;&gt;""""),COUNTA(FILTER(G$1:G266, G$1:G266&lt;&gt;""""))))-1), IF('To Order'!$A267=COLUMNS($A267:G"&amp;"286), G266&amp;RIGHT(INDIRECT(ADDRESS(ROW(G267)-1, 'From Order'!$A267)), 1), G266))"),"RLSB")</f>
        <v>RLSB</v>
      </c>
      <c r="H267" s="2" t="str">
        <f>IFERROR(__xludf.DUMMYFUNCTION("IF('From Order'!$A267=COLUMNS($A267:H286), LEFT(INDEX(FILTER(H$1:H266, H$1:H266&lt;&gt;""""),COUNTA(FILTER(H$1:H266, H$1:H266&lt;&gt;""""))), LEN(INDEX(FILTER(H$1:H266, H$1:H266&lt;&gt;""""),COUNTA(FILTER(H$1:H266, H$1:H266&lt;&gt;""""))))-1), IF('To Order'!$A267=COLUMNS($A267:H"&amp;"286), H266&amp;RIGHT(INDIRECT(ADDRESS(ROW(H267)-1, 'From Order'!$A267)), 1), H266))"),"MFTMQCDTHZRVSDPQ")</f>
        <v>MFTMQCDTHZRVSDPQ</v>
      </c>
      <c r="I267" s="2" t="str">
        <f>IFERROR(__xludf.DUMMYFUNCTION("IF('From Order'!$A267=COLUMNS($A267:I286), LEFT(INDEX(FILTER(I$1:I266, I$1:I266&lt;&gt;""""),COUNTA(FILTER(I$1:I266, I$1:I266&lt;&gt;""""))), LEN(INDEX(FILTER(I$1:I266, I$1:I266&lt;&gt;""""),COUNTA(FILTER(I$1:I266, I$1:I266&lt;&gt;""""))))-1), IF('To Order'!$A267=COLUMNS($A267:I"&amp;"286), I266&amp;RIGHT(INDIRECT(ADDRESS(ROW(I267)-1, 'From Order'!$A267)), 1), I266))"),"GPBJDG")</f>
        <v>GPBJDG</v>
      </c>
    </row>
    <row r="268">
      <c r="A268" s="2" t="str">
        <f>IFERROR(__xludf.DUMMYFUNCTION("IF('From Order'!$A268=COLUMNS($A268:A287), LEFT(INDEX(FILTER(A$1:A267, A$1:A267&lt;&gt;""""),COUNTA(FILTER(A$1:A267, A$1:A267&lt;&gt;""""))), LEN(INDEX(FILTER(A$1:A267, A$1:A267&lt;&gt;""""),COUNTA(FILTER(A$1:A267, A$1:A267&lt;&gt;""""))))-1), IF('To Order'!$A268=COLUMNS($A268:A"&amp;"287), A267&amp;RIGHT(INDIRECT(ADDRESS(ROW(A268)-1, 'From Order'!$A268)), 1), A267))"),"CT")</f>
        <v>CT</v>
      </c>
      <c r="B268" s="2" t="str">
        <f>IFERROR(__xludf.DUMMYFUNCTION("IF('From Order'!$A268=COLUMNS($A268:B287), LEFT(INDEX(FILTER(B$1:B267, B$1:B267&lt;&gt;""""),COUNTA(FILTER(B$1:B267, B$1:B267&lt;&gt;""""))), LEN(INDEX(FILTER(B$1:B267, B$1:B267&lt;&gt;""""),COUNTA(FILTER(B$1:B267, B$1:B267&lt;&gt;""""))))-1), IF('To Order'!$A268=COLUMNS($A268:B"&amp;"287), B267&amp;RIGHT(INDIRECT(ADDRESS(ROW(B268)-1, 'From Order'!$A268)), 1), B267))"),"SWFBJLRL")</f>
        <v>SWFBJLRL</v>
      </c>
      <c r="C268" s="2" t="str">
        <f>IFERROR(__xludf.DUMMYFUNCTION("IF('From Order'!$A268=COLUMNS($A268:C287), LEFT(INDEX(FILTER(C$1:C267, C$1:C267&lt;&gt;""""),COUNTA(FILTER(C$1:C267, C$1:C267&lt;&gt;""""))), LEN(INDEX(FILTER(C$1:C267, C$1:C267&lt;&gt;""""),COUNTA(FILTER(C$1:C267, C$1:C267&lt;&gt;""""))))-1), IF('To Order'!$A268=COLUMNS($A268:C"&amp;"287), C267&amp;RIGHT(INDIRECT(ADDRESS(ROW(C268)-1, 'From Order'!$A268)), 1), C267))"),"")</f>
        <v/>
      </c>
      <c r="D268" s="2" t="str">
        <f>IFERROR(__xludf.DUMMYFUNCTION("IF('From Order'!$A268=COLUMNS($A268:D287), LEFT(INDEX(FILTER(D$1:D267, D$1:D267&lt;&gt;""""),COUNTA(FILTER(D$1:D267, D$1:D267&lt;&gt;""""))), LEN(INDEX(FILTER(D$1:D267, D$1:D267&lt;&gt;""""),COUNTA(FILTER(D$1:D267, D$1:D267&lt;&gt;""""))))-1), IF('To Order'!$A268=COLUMNS($A268:D"&amp;"287), D267&amp;RIGHT(INDIRECT(ADDRESS(ROW(D268)-1, 'From Order'!$A268)), 1), D267))"),"D")</f>
        <v>D</v>
      </c>
      <c r="E268" s="2" t="str">
        <f>IFERROR(__xludf.DUMMYFUNCTION("IF('From Order'!$A268=COLUMNS($A268:E287), LEFT(INDEX(FILTER(E$1:E267, E$1:E267&lt;&gt;""""),COUNTA(FILTER(E$1:E267, E$1:E267&lt;&gt;""""))), LEN(INDEX(FILTER(E$1:E267, E$1:E267&lt;&gt;""""),COUNTA(FILTER(E$1:E267, E$1:E267&lt;&gt;""""))))-1), IF('To Order'!$A268=COLUMNS($A268:E"&amp;"287), E267&amp;RIGHT(INDIRECT(ADDRESS(ROW(E268)-1, 'From Order'!$A268)), 1), E267))"),"")</f>
        <v/>
      </c>
      <c r="F268" s="2" t="str">
        <f>IFERROR(__xludf.DUMMYFUNCTION("IF('From Order'!$A268=COLUMNS($A268:F287), LEFT(INDEX(FILTER(F$1:F267, F$1:F267&lt;&gt;""""),COUNTA(FILTER(F$1:F267, F$1:F267&lt;&gt;""""))), LEN(INDEX(FILTER(F$1:F267, F$1:F267&lt;&gt;""""),COUNTA(FILTER(F$1:F267, F$1:F267&lt;&gt;""""))))-1), IF('To Order'!$A268=COLUMNS($A268:F"&amp;"287), F267&amp;RIGHT(INDIRECT(ADDRESS(ROW(F268)-1, 'From Order'!$A268)), 1), F267))"),"HSPVMZDDTZRWTJTVCBRQ")</f>
        <v>HSPVMZDDTZRWTJTVCBRQ</v>
      </c>
      <c r="G268" s="2" t="str">
        <f>IFERROR(__xludf.DUMMYFUNCTION("IF('From Order'!$A268=COLUMNS($A268:G287), LEFT(INDEX(FILTER(G$1:G267, G$1:G267&lt;&gt;""""),COUNTA(FILTER(G$1:G267, G$1:G267&lt;&gt;""""))), LEN(INDEX(FILTER(G$1:G267, G$1:G267&lt;&gt;""""),COUNTA(FILTER(G$1:G267, G$1:G267&lt;&gt;""""))))-1), IF('To Order'!$A268=COLUMNS($A268:G"&amp;"287), G267&amp;RIGHT(INDIRECT(ADDRESS(ROW(G268)-1, 'From Order'!$A268)), 1), G267))"),"RLSB")</f>
        <v>RLSB</v>
      </c>
      <c r="H268" s="2" t="str">
        <f>IFERROR(__xludf.DUMMYFUNCTION("IF('From Order'!$A268=COLUMNS($A268:H287), LEFT(INDEX(FILTER(H$1:H267, H$1:H267&lt;&gt;""""),COUNTA(FILTER(H$1:H267, H$1:H267&lt;&gt;""""))), LEN(INDEX(FILTER(H$1:H267, H$1:H267&lt;&gt;""""),COUNTA(FILTER(H$1:H267, H$1:H267&lt;&gt;""""))))-1), IF('To Order'!$A268=COLUMNS($A268:H"&amp;"287), H267&amp;RIGHT(INDIRECT(ADDRESS(ROW(H268)-1, 'From Order'!$A268)), 1), H267))"),"MFTMQCDTHZRVSDP")</f>
        <v>MFTMQCDTHZRVSDP</v>
      </c>
      <c r="I268" s="2" t="str">
        <f>IFERROR(__xludf.DUMMYFUNCTION("IF('From Order'!$A268=COLUMNS($A268:I287), LEFT(INDEX(FILTER(I$1:I267, I$1:I267&lt;&gt;""""),COUNTA(FILTER(I$1:I267, I$1:I267&lt;&gt;""""))), LEN(INDEX(FILTER(I$1:I267, I$1:I267&lt;&gt;""""),COUNTA(FILTER(I$1:I267, I$1:I267&lt;&gt;""""))))-1), IF('To Order'!$A268=COLUMNS($A268:I"&amp;"287), I267&amp;RIGHT(INDIRECT(ADDRESS(ROW(I268)-1, 'From Order'!$A268)), 1), I267))"),"GPBJDG")</f>
        <v>GPBJDG</v>
      </c>
    </row>
    <row r="269">
      <c r="A269" s="2" t="str">
        <f>IFERROR(__xludf.DUMMYFUNCTION("IF('From Order'!$A269=COLUMNS($A269:A288), LEFT(INDEX(FILTER(A$1:A268, A$1:A268&lt;&gt;""""),COUNTA(FILTER(A$1:A268, A$1:A268&lt;&gt;""""))), LEN(INDEX(FILTER(A$1:A268, A$1:A268&lt;&gt;""""),COUNTA(FILTER(A$1:A268, A$1:A268&lt;&gt;""""))))-1), IF('To Order'!$A269=COLUMNS($A269:A"&amp;"288), A268&amp;RIGHT(INDIRECT(ADDRESS(ROW(A269)-1, 'From Order'!$A269)), 1), A268))"),"CT")</f>
        <v>CT</v>
      </c>
      <c r="B269" s="2" t="str">
        <f>IFERROR(__xludf.DUMMYFUNCTION("IF('From Order'!$A269=COLUMNS($A269:B288), LEFT(INDEX(FILTER(B$1:B268, B$1:B268&lt;&gt;""""),COUNTA(FILTER(B$1:B268, B$1:B268&lt;&gt;""""))), LEN(INDEX(FILTER(B$1:B268, B$1:B268&lt;&gt;""""),COUNTA(FILTER(B$1:B268, B$1:B268&lt;&gt;""""))))-1), IF('To Order'!$A269=COLUMNS($A269:B"&amp;"288), B268&amp;RIGHT(INDIRECT(ADDRESS(ROW(B269)-1, 'From Order'!$A269)), 1), B268))"),"SWFBJLRL")</f>
        <v>SWFBJLRL</v>
      </c>
      <c r="C269" s="2" t="str">
        <f>IFERROR(__xludf.DUMMYFUNCTION("IF('From Order'!$A269=COLUMNS($A269:C288), LEFT(INDEX(FILTER(C$1:C268, C$1:C268&lt;&gt;""""),COUNTA(FILTER(C$1:C268, C$1:C268&lt;&gt;""""))), LEN(INDEX(FILTER(C$1:C268, C$1:C268&lt;&gt;""""),COUNTA(FILTER(C$1:C268, C$1:C268&lt;&gt;""""))))-1), IF('To Order'!$A269=COLUMNS($A269:C"&amp;"288), C268&amp;RIGHT(INDIRECT(ADDRESS(ROW(C269)-1, 'From Order'!$A269)), 1), C268))"),"")</f>
        <v/>
      </c>
      <c r="D269" s="2" t="str">
        <f>IFERROR(__xludf.DUMMYFUNCTION("IF('From Order'!$A269=COLUMNS($A269:D288), LEFT(INDEX(FILTER(D$1:D268, D$1:D268&lt;&gt;""""),COUNTA(FILTER(D$1:D268, D$1:D268&lt;&gt;""""))), LEN(INDEX(FILTER(D$1:D268, D$1:D268&lt;&gt;""""),COUNTA(FILTER(D$1:D268, D$1:D268&lt;&gt;""""))))-1), IF('To Order'!$A269=COLUMNS($A269:D"&amp;"288), D268&amp;RIGHT(INDIRECT(ADDRESS(ROW(D269)-1, 'From Order'!$A269)), 1), D268))"),"D")</f>
        <v>D</v>
      </c>
      <c r="E269" s="2" t="str">
        <f>IFERROR(__xludf.DUMMYFUNCTION("IF('From Order'!$A269=COLUMNS($A269:E288), LEFT(INDEX(FILTER(E$1:E268, E$1:E268&lt;&gt;""""),COUNTA(FILTER(E$1:E268, E$1:E268&lt;&gt;""""))), LEN(INDEX(FILTER(E$1:E268, E$1:E268&lt;&gt;""""),COUNTA(FILTER(E$1:E268, E$1:E268&lt;&gt;""""))))-1), IF('To Order'!$A269=COLUMNS($A269:E"&amp;"288), E268&amp;RIGHT(INDIRECT(ADDRESS(ROW(E269)-1, 'From Order'!$A269)), 1), E268))"),"")</f>
        <v/>
      </c>
      <c r="F269" s="2" t="str">
        <f>IFERROR(__xludf.DUMMYFUNCTION("IF('From Order'!$A269=COLUMNS($A269:F288), LEFT(INDEX(FILTER(F$1:F268, F$1:F268&lt;&gt;""""),COUNTA(FILTER(F$1:F268, F$1:F268&lt;&gt;""""))), LEN(INDEX(FILTER(F$1:F268, F$1:F268&lt;&gt;""""),COUNTA(FILTER(F$1:F268, F$1:F268&lt;&gt;""""))))-1), IF('To Order'!$A269=COLUMNS($A269:F"&amp;"288), F268&amp;RIGHT(INDIRECT(ADDRESS(ROW(F269)-1, 'From Order'!$A269)), 1), F268))"),"HSPVMZDDTZRWTJTVCBRQP")</f>
        <v>HSPVMZDDTZRWTJTVCBRQP</v>
      </c>
      <c r="G269" s="2" t="str">
        <f>IFERROR(__xludf.DUMMYFUNCTION("IF('From Order'!$A269=COLUMNS($A269:G288), LEFT(INDEX(FILTER(G$1:G268, G$1:G268&lt;&gt;""""),COUNTA(FILTER(G$1:G268, G$1:G268&lt;&gt;""""))), LEN(INDEX(FILTER(G$1:G268, G$1:G268&lt;&gt;""""),COUNTA(FILTER(G$1:G268, G$1:G268&lt;&gt;""""))))-1), IF('To Order'!$A269=COLUMNS($A269:G"&amp;"288), G268&amp;RIGHT(INDIRECT(ADDRESS(ROW(G269)-1, 'From Order'!$A269)), 1), G268))"),"RLSB")</f>
        <v>RLSB</v>
      </c>
      <c r="H269" s="2" t="str">
        <f>IFERROR(__xludf.DUMMYFUNCTION("IF('From Order'!$A269=COLUMNS($A269:H288), LEFT(INDEX(FILTER(H$1:H268, H$1:H268&lt;&gt;""""),COUNTA(FILTER(H$1:H268, H$1:H268&lt;&gt;""""))), LEN(INDEX(FILTER(H$1:H268, H$1:H268&lt;&gt;""""),COUNTA(FILTER(H$1:H268, H$1:H268&lt;&gt;""""))))-1), IF('To Order'!$A269=COLUMNS($A269:H"&amp;"288), H268&amp;RIGHT(INDIRECT(ADDRESS(ROW(H269)-1, 'From Order'!$A269)), 1), H268))"),"MFTMQCDTHZRVSD")</f>
        <v>MFTMQCDTHZRVSD</v>
      </c>
      <c r="I269" s="2" t="str">
        <f>IFERROR(__xludf.DUMMYFUNCTION("IF('From Order'!$A269=COLUMNS($A269:I288), LEFT(INDEX(FILTER(I$1:I268, I$1:I268&lt;&gt;""""),COUNTA(FILTER(I$1:I268, I$1:I268&lt;&gt;""""))), LEN(INDEX(FILTER(I$1:I268, I$1:I268&lt;&gt;""""),COUNTA(FILTER(I$1:I268, I$1:I268&lt;&gt;""""))))-1), IF('To Order'!$A269=COLUMNS($A269:I"&amp;"288), I268&amp;RIGHT(INDIRECT(ADDRESS(ROW(I269)-1, 'From Order'!$A269)), 1), I268))"),"GPBJDG")</f>
        <v>GPBJDG</v>
      </c>
    </row>
    <row r="270">
      <c r="A270" s="2" t="str">
        <f>IFERROR(__xludf.DUMMYFUNCTION("IF('From Order'!$A270=COLUMNS($A270:A289), LEFT(INDEX(FILTER(A$1:A269, A$1:A269&lt;&gt;""""),COUNTA(FILTER(A$1:A269, A$1:A269&lt;&gt;""""))), LEN(INDEX(FILTER(A$1:A269, A$1:A269&lt;&gt;""""),COUNTA(FILTER(A$1:A269, A$1:A269&lt;&gt;""""))))-1), IF('To Order'!$A270=COLUMNS($A270:A"&amp;"289), A269&amp;RIGHT(INDIRECT(ADDRESS(ROW(A270)-1, 'From Order'!$A270)), 1), A269))"),"CT")</f>
        <v>CT</v>
      </c>
      <c r="B270" s="2" t="str">
        <f>IFERROR(__xludf.DUMMYFUNCTION("IF('From Order'!$A270=COLUMNS($A270:B289), LEFT(INDEX(FILTER(B$1:B269, B$1:B269&lt;&gt;""""),COUNTA(FILTER(B$1:B269, B$1:B269&lt;&gt;""""))), LEN(INDEX(FILTER(B$1:B269, B$1:B269&lt;&gt;""""),COUNTA(FILTER(B$1:B269, B$1:B269&lt;&gt;""""))))-1), IF('To Order'!$A270=COLUMNS($A270:B"&amp;"289), B269&amp;RIGHT(INDIRECT(ADDRESS(ROW(B270)-1, 'From Order'!$A270)), 1), B269))"),"SWFBJLRL")</f>
        <v>SWFBJLRL</v>
      </c>
      <c r="C270" s="2" t="str">
        <f>IFERROR(__xludf.DUMMYFUNCTION("IF('From Order'!$A270=COLUMNS($A270:C289), LEFT(INDEX(FILTER(C$1:C269, C$1:C269&lt;&gt;""""),COUNTA(FILTER(C$1:C269, C$1:C269&lt;&gt;""""))), LEN(INDEX(FILTER(C$1:C269, C$1:C269&lt;&gt;""""),COUNTA(FILTER(C$1:C269, C$1:C269&lt;&gt;""""))))-1), IF('To Order'!$A270=COLUMNS($A270:C"&amp;"289), C269&amp;RIGHT(INDIRECT(ADDRESS(ROW(C270)-1, 'From Order'!$A270)), 1), C269))"),"")</f>
        <v/>
      </c>
      <c r="D270" s="2" t="str">
        <f>IFERROR(__xludf.DUMMYFUNCTION("IF('From Order'!$A270=COLUMNS($A270:D289), LEFT(INDEX(FILTER(D$1:D269, D$1:D269&lt;&gt;""""),COUNTA(FILTER(D$1:D269, D$1:D269&lt;&gt;""""))), LEN(INDEX(FILTER(D$1:D269, D$1:D269&lt;&gt;""""),COUNTA(FILTER(D$1:D269, D$1:D269&lt;&gt;""""))))-1), IF('To Order'!$A270=COLUMNS($A270:D"&amp;"289), D269&amp;RIGHT(INDIRECT(ADDRESS(ROW(D270)-1, 'From Order'!$A270)), 1), D269))"),"D")</f>
        <v>D</v>
      </c>
      <c r="E270" s="2" t="str">
        <f>IFERROR(__xludf.DUMMYFUNCTION("IF('From Order'!$A270=COLUMNS($A270:E289), LEFT(INDEX(FILTER(E$1:E269, E$1:E269&lt;&gt;""""),COUNTA(FILTER(E$1:E269, E$1:E269&lt;&gt;""""))), LEN(INDEX(FILTER(E$1:E269, E$1:E269&lt;&gt;""""),COUNTA(FILTER(E$1:E269, E$1:E269&lt;&gt;""""))))-1), IF('To Order'!$A270=COLUMNS($A270:E"&amp;"289), E269&amp;RIGHT(INDIRECT(ADDRESS(ROW(E270)-1, 'From Order'!$A270)), 1), E269))"),"")</f>
        <v/>
      </c>
      <c r="F270" s="2" t="str">
        <f>IFERROR(__xludf.DUMMYFUNCTION("IF('From Order'!$A270=COLUMNS($A270:F289), LEFT(INDEX(FILTER(F$1:F269, F$1:F269&lt;&gt;""""),COUNTA(FILTER(F$1:F269, F$1:F269&lt;&gt;""""))), LEN(INDEX(FILTER(F$1:F269, F$1:F269&lt;&gt;""""),COUNTA(FILTER(F$1:F269, F$1:F269&lt;&gt;""""))))-1), IF('To Order'!$A270=COLUMNS($A270:F"&amp;"289), F269&amp;RIGHT(INDIRECT(ADDRESS(ROW(F270)-1, 'From Order'!$A270)), 1), F269))"),"HSPVMZDDTZRWTJTVCBRQPD")</f>
        <v>HSPVMZDDTZRWTJTVCBRQPD</v>
      </c>
      <c r="G270" s="2" t="str">
        <f>IFERROR(__xludf.DUMMYFUNCTION("IF('From Order'!$A270=COLUMNS($A270:G289), LEFT(INDEX(FILTER(G$1:G269, G$1:G269&lt;&gt;""""),COUNTA(FILTER(G$1:G269, G$1:G269&lt;&gt;""""))), LEN(INDEX(FILTER(G$1:G269, G$1:G269&lt;&gt;""""),COUNTA(FILTER(G$1:G269, G$1:G269&lt;&gt;""""))))-1), IF('To Order'!$A270=COLUMNS($A270:G"&amp;"289), G269&amp;RIGHT(INDIRECT(ADDRESS(ROW(G270)-1, 'From Order'!$A270)), 1), G269))"),"RLSB")</f>
        <v>RLSB</v>
      </c>
      <c r="H270" s="2" t="str">
        <f>IFERROR(__xludf.DUMMYFUNCTION("IF('From Order'!$A270=COLUMNS($A270:H289), LEFT(INDEX(FILTER(H$1:H269, H$1:H269&lt;&gt;""""),COUNTA(FILTER(H$1:H269, H$1:H269&lt;&gt;""""))), LEN(INDEX(FILTER(H$1:H269, H$1:H269&lt;&gt;""""),COUNTA(FILTER(H$1:H269, H$1:H269&lt;&gt;""""))))-1), IF('To Order'!$A270=COLUMNS($A270:H"&amp;"289), H269&amp;RIGHT(INDIRECT(ADDRESS(ROW(H270)-1, 'From Order'!$A270)), 1), H269))"),"MFTMQCDTHZRVS")</f>
        <v>MFTMQCDTHZRVS</v>
      </c>
      <c r="I270" s="2" t="str">
        <f>IFERROR(__xludf.DUMMYFUNCTION("IF('From Order'!$A270=COLUMNS($A270:I289), LEFT(INDEX(FILTER(I$1:I269, I$1:I269&lt;&gt;""""),COUNTA(FILTER(I$1:I269, I$1:I269&lt;&gt;""""))), LEN(INDEX(FILTER(I$1:I269, I$1:I269&lt;&gt;""""),COUNTA(FILTER(I$1:I269, I$1:I269&lt;&gt;""""))))-1), IF('To Order'!$A270=COLUMNS($A270:I"&amp;"289), I269&amp;RIGHT(INDIRECT(ADDRESS(ROW(I270)-1, 'From Order'!$A270)), 1), I269))"),"GPBJDG")</f>
        <v>GPBJDG</v>
      </c>
    </row>
    <row r="271">
      <c r="A271" s="2" t="str">
        <f>IFERROR(__xludf.DUMMYFUNCTION("IF('From Order'!$A271=COLUMNS($A271:A290), LEFT(INDEX(FILTER(A$1:A270, A$1:A270&lt;&gt;""""),COUNTA(FILTER(A$1:A270, A$1:A270&lt;&gt;""""))), LEN(INDEX(FILTER(A$1:A270, A$1:A270&lt;&gt;""""),COUNTA(FILTER(A$1:A270, A$1:A270&lt;&gt;""""))))-1), IF('To Order'!$A271=COLUMNS($A271:A"&amp;"290), A270&amp;RIGHT(INDIRECT(ADDRESS(ROW(A271)-1, 'From Order'!$A271)), 1), A270))"),"CT")</f>
        <v>CT</v>
      </c>
      <c r="B271" s="2" t="str">
        <f>IFERROR(__xludf.DUMMYFUNCTION("IF('From Order'!$A271=COLUMNS($A271:B290), LEFT(INDEX(FILTER(B$1:B270, B$1:B270&lt;&gt;""""),COUNTA(FILTER(B$1:B270, B$1:B270&lt;&gt;""""))), LEN(INDEX(FILTER(B$1:B270, B$1:B270&lt;&gt;""""),COUNTA(FILTER(B$1:B270, B$1:B270&lt;&gt;""""))))-1), IF('To Order'!$A271=COLUMNS($A271:B"&amp;"290), B270&amp;RIGHT(INDIRECT(ADDRESS(ROW(B271)-1, 'From Order'!$A271)), 1), B270))"),"SWFBJLRL")</f>
        <v>SWFBJLRL</v>
      </c>
      <c r="C271" s="2" t="str">
        <f>IFERROR(__xludf.DUMMYFUNCTION("IF('From Order'!$A271=COLUMNS($A271:C290), LEFT(INDEX(FILTER(C$1:C270, C$1:C270&lt;&gt;""""),COUNTA(FILTER(C$1:C270, C$1:C270&lt;&gt;""""))), LEN(INDEX(FILTER(C$1:C270, C$1:C270&lt;&gt;""""),COUNTA(FILTER(C$1:C270, C$1:C270&lt;&gt;""""))))-1), IF('To Order'!$A271=COLUMNS($A271:C"&amp;"290), C270&amp;RIGHT(INDIRECT(ADDRESS(ROW(C271)-1, 'From Order'!$A271)), 1), C270))"),"")</f>
        <v/>
      </c>
      <c r="D271" s="2" t="str">
        <f>IFERROR(__xludf.DUMMYFUNCTION("IF('From Order'!$A271=COLUMNS($A271:D290), LEFT(INDEX(FILTER(D$1:D270, D$1:D270&lt;&gt;""""),COUNTA(FILTER(D$1:D270, D$1:D270&lt;&gt;""""))), LEN(INDEX(FILTER(D$1:D270, D$1:D270&lt;&gt;""""),COUNTA(FILTER(D$1:D270, D$1:D270&lt;&gt;""""))))-1), IF('To Order'!$A271=COLUMNS($A271:D"&amp;"290), D270&amp;RIGHT(INDIRECT(ADDRESS(ROW(D271)-1, 'From Order'!$A271)), 1), D270))"),"D")</f>
        <v>D</v>
      </c>
      <c r="E271" s="2" t="str">
        <f>IFERROR(__xludf.DUMMYFUNCTION("IF('From Order'!$A271=COLUMNS($A271:E290), LEFT(INDEX(FILTER(E$1:E270, E$1:E270&lt;&gt;""""),COUNTA(FILTER(E$1:E270, E$1:E270&lt;&gt;""""))), LEN(INDEX(FILTER(E$1:E270, E$1:E270&lt;&gt;""""),COUNTA(FILTER(E$1:E270, E$1:E270&lt;&gt;""""))))-1), IF('To Order'!$A271=COLUMNS($A271:E"&amp;"290), E270&amp;RIGHT(INDIRECT(ADDRESS(ROW(E271)-1, 'From Order'!$A271)), 1), E270))"),"")</f>
        <v/>
      </c>
      <c r="F271" s="2" t="str">
        <f>IFERROR(__xludf.DUMMYFUNCTION("IF('From Order'!$A271=COLUMNS($A271:F290), LEFT(INDEX(FILTER(F$1:F270, F$1:F270&lt;&gt;""""),COUNTA(FILTER(F$1:F270, F$1:F270&lt;&gt;""""))), LEN(INDEX(FILTER(F$1:F270, F$1:F270&lt;&gt;""""),COUNTA(FILTER(F$1:F270, F$1:F270&lt;&gt;""""))))-1), IF('To Order'!$A271=COLUMNS($A271:F"&amp;"290), F270&amp;RIGHT(INDIRECT(ADDRESS(ROW(F271)-1, 'From Order'!$A271)), 1), F270))"),"HSPVMZDDTZRWTJTVCBRQPDS")</f>
        <v>HSPVMZDDTZRWTJTVCBRQPDS</v>
      </c>
      <c r="G271" s="2" t="str">
        <f>IFERROR(__xludf.DUMMYFUNCTION("IF('From Order'!$A271=COLUMNS($A271:G290), LEFT(INDEX(FILTER(G$1:G270, G$1:G270&lt;&gt;""""),COUNTA(FILTER(G$1:G270, G$1:G270&lt;&gt;""""))), LEN(INDEX(FILTER(G$1:G270, G$1:G270&lt;&gt;""""),COUNTA(FILTER(G$1:G270, G$1:G270&lt;&gt;""""))))-1), IF('To Order'!$A271=COLUMNS($A271:G"&amp;"290), G270&amp;RIGHT(INDIRECT(ADDRESS(ROW(G271)-1, 'From Order'!$A271)), 1), G270))"),"RLSB")</f>
        <v>RLSB</v>
      </c>
      <c r="H271" s="2" t="str">
        <f>IFERROR(__xludf.DUMMYFUNCTION("IF('From Order'!$A271=COLUMNS($A271:H290), LEFT(INDEX(FILTER(H$1:H270, H$1:H270&lt;&gt;""""),COUNTA(FILTER(H$1:H270, H$1:H270&lt;&gt;""""))), LEN(INDEX(FILTER(H$1:H270, H$1:H270&lt;&gt;""""),COUNTA(FILTER(H$1:H270, H$1:H270&lt;&gt;""""))))-1), IF('To Order'!$A271=COLUMNS($A271:H"&amp;"290), H270&amp;RIGHT(INDIRECT(ADDRESS(ROW(H271)-1, 'From Order'!$A271)), 1), H270))"),"MFTMQCDTHZRV")</f>
        <v>MFTMQCDTHZRV</v>
      </c>
      <c r="I271" s="2" t="str">
        <f>IFERROR(__xludf.DUMMYFUNCTION("IF('From Order'!$A271=COLUMNS($A271:I290), LEFT(INDEX(FILTER(I$1:I270, I$1:I270&lt;&gt;""""),COUNTA(FILTER(I$1:I270, I$1:I270&lt;&gt;""""))), LEN(INDEX(FILTER(I$1:I270, I$1:I270&lt;&gt;""""),COUNTA(FILTER(I$1:I270, I$1:I270&lt;&gt;""""))))-1), IF('To Order'!$A271=COLUMNS($A271:I"&amp;"290), I270&amp;RIGHT(INDIRECT(ADDRESS(ROW(I271)-1, 'From Order'!$A271)), 1), I270))"),"GPBJDG")</f>
        <v>GPBJDG</v>
      </c>
    </row>
    <row r="272">
      <c r="A272" s="2" t="str">
        <f>IFERROR(__xludf.DUMMYFUNCTION("IF('From Order'!$A272=COLUMNS($A272:A291), LEFT(INDEX(FILTER(A$1:A271, A$1:A271&lt;&gt;""""),COUNTA(FILTER(A$1:A271, A$1:A271&lt;&gt;""""))), LEN(INDEX(FILTER(A$1:A271, A$1:A271&lt;&gt;""""),COUNTA(FILTER(A$1:A271, A$1:A271&lt;&gt;""""))))-1), IF('To Order'!$A272=COLUMNS($A272:A"&amp;"291), A271&amp;RIGHT(INDIRECT(ADDRESS(ROW(A272)-1, 'From Order'!$A272)), 1), A271))"),"CT")</f>
        <v>CT</v>
      </c>
      <c r="B272" s="2" t="str">
        <f>IFERROR(__xludf.DUMMYFUNCTION("IF('From Order'!$A272=COLUMNS($A272:B291), LEFT(INDEX(FILTER(B$1:B271, B$1:B271&lt;&gt;""""),COUNTA(FILTER(B$1:B271, B$1:B271&lt;&gt;""""))), LEN(INDEX(FILTER(B$1:B271, B$1:B271&lt;&gt;""""),COUNTA(FILTER(B$1:B271, B$1:B271&lt;&gt;""""))))-1), IF('To Order'!$A272=COLUMNS($A272:B"&amp;"291), B271&amp;RIGHT(INDIRECT(ADDRESS(ROW(B272)-1, 'From Order'!$A272)), 1), B271))"),"SWFBJLRL")</f>
        <v>SWFBJLRL</v>
      </c>
      <c r="C272" s="2" t="str">
        <f>IFERROR(__xludf.DUMMYFUNCTION("IF('From Order'!$A272=COLUMNS($A272:C291), LEFT(INDEX(FILTER(C$1:C271, C$1:C271&lt;&gt;""""),COUNTA(FILTER(C$1:C271, C$1:C271&lt;&gt;""""))), LEN(INDEX(FILTER(C$1:C271, C$1:C271&lt;&gt;""""),COUNTA(FILTER(C$1:C271, C$1:C271&lt;&gt;""""))))-1), IF('To Order'!$A272=COLUMNS($A272:C"&amp;"291), C271&amp;RIGHT(INDIRECT(ADDRESS(ROW(C272)-1, 'From Order'!$A272)), 1), C271))"),"")</f>
        <v/>
      </c>
      <c r="D272" s="2" t="str">
        <f>IFERROR(__xludf.DUMMYFUNCTION("IF('From Order'!$A272=COLUMNS($A272:D291), LEFT(INDEX(FILTER(D$1:D271, D$1:D271&lt;&gt;""""),COUNTA(FILTER(D$1:D271, D$1:D271&lt;&gt;""""))), LEN(INDEX(FILTER(D$1:D271, D$1:D271&lt;&gt;""""),COUNTA(FILTER(D$1:D271, D$1:D271&lt;&gt;""""))))-1), IF('To Order'!$A272=COLUMNS($A272:D"&amp;"291), D271&amp;RIGHT(INDIRECT(ADDRESS(ROW(D272)-1, 'From Order'!$A272)), 1), D271))"),"D")</f>
        <v>D</v>
      </c>
      <c r="E272" s="2" t="str">
        <f>IFERROR(__xludf.DUMMYFUNCTION("IF('From Order'!$A272=COLUMNS($A272:E291), LEFT(INDEX(FILTER(E$1:E271, E$1:E271&lt;&gt;""""),COUNTA(FILTER(E$1:E271, E$1:E271&lt;&gt;""""))), LEN(INDEX(FILTER(E$1:E271, E$1:E271&lt;&gt;""""),COUNTA(FILTER(E$1:E271, E$1:E271&lt;&gt;""""))))-1), IF('To Order'!$A272=COLUMNS($A272:E"&amp;"291), E271&amp;RIGHT(INDIRECT(ADDRESS(ROW(E272)-1, 'From Order'!$A272)), 1), E271))"),"")</f>
        <v/>
      </c>
      <c r="F272" s="2" t="str">
        <f>IFERROR(__xludf.DUMMYFUNCTION("IF('From Order'!$A272=COLUMNS($A272:F291), LEFT(INDEX(FILTER(F$1:F271, F$1:F271&lt;&gt;""""),COUNTA(FILTER(F$1:F271, F$1:F271&lt;&gt;""""))), LEN(INDEX(FILTER(F$1:F271, F$1:F271&lt;&gt;""""),COUNTA(FILTER(F$1:F271, F$1:F271&lt;&gt;""""))))-1), IF('To Order'!$A272=COLUMNS($A272:F"&amp;"291), F271&amp;RIGHT(INDIRECT(ADDRESS(ROW(F272)-1, 'From Order'!$A272)), 1), F271))"),"HSPVMZDDTZRWTJTVCBRQPDSV")</f>
        <v>HSPVMZDDTZRWTJTVCBRQPDSV</v>
      </c>
      <c r="G272" s="2" t="str">
        <f>IFERROR(__xludf.DUMMYFUNCTION("IF('From Order'!$A272=COLUMNS($A272:G291), LEFT(INDEX(FILTER(G$1:G271, G$1:G271&lt;&gt;""""),COUNTA(FILTER(G$1:G271, G$1:G271&lt;&gt;""""))), LEN(INDEX(FILTER(G$1:G271, G$1:G271&lt;&gt;""""),COUNTA(FILTER(G$1:G271, G$1:G271&lt;&gt;""""))))-1), IF('To Order'!$A272=COLUMNS($A272:G"&amp;"291), G271&amp;RIGHT(INDIRECT(ADDRESS(ROW(G272)-1, 'From Order'!$A272)), 1), G271))"),"RLSB")</f>
        <v>RLSB</v>
      </c>
      <c r="H272" s="2" t="str">
        <f>IFERROR(__xludf.DUMMYFUNCTION("IF('From Order'!$A272=COLUMNS($A272:H291), LEFT(INDEX(FILTER(H$1:H271, H$1:H271&lt;&gt;""""),COUNTA(FILTER(H$1:H271, H$1:H271&lt;&gt;""""))), LEN(INDEX(FILTER(H$1:H271, H$1:H271&lt;&gt;""""),COUNTA(FILTER(H$1:H271, H$1:H271&lt;&gt;""""))))-1), IF('To Order'!$A272=COLUMNS($A272:H"&amp;"291), H271&amp;RIGHT(INDIRECT(ADDRESS(ROW(H272)-1, 'From Order'!$A272)), 1), H271))"),"MFTMQCDTHZR")</f>
        <v>MFTMQCDTHZR</v>
      </c>
      <c r="I272" s="2" t="str">
        <f>IFERROR(__xludf.DUMMYFUNCTION("IF('From Order'!$A272=COLUMNS($A272:I291), LEFT(INDEX(FILTER(I$1:I271, I$1:I271&lt;&gt;""""),COUNTA(FILTER(I$1:I271, I$1:I271&lt;&gt;""""))), LEN(INDEX(FILTER(I$1:I271, I$1:I271&lt;&gt;""""),COUNTA(FILTER(I$1:I271, I$1:I271&lt;&gt;""""))))-1), IF('To Order'!$A272=COLUMNS($A272:I"&amp;"291), I271&amp;RIGHT(INDIRECT(ADDRESS(ROW(I272)-1, 'From Order'!$A272)), 1), I271))"),"GPBJDG")</f>
        <v>GPBJDG</v>
      </c>
    </row>
    <row r="273">
      <c r="A273" s="2" t="str">
        <f>IFERROR(__xludf.DUMMYFUNCTION("IF('From Order'!$A273=COLUMNS($A273:A292), LEFT(INDEX(FILTER(A$1:A272, A$1:A272&lt;&gt;""""),COUNTA(FILTER(A$1:A272, A$1:A272&lt;&gt;""""))), LEN(INDEX(FILTER(A$1:A272, A$1:A272&lt;&gt;""""),COUNTA(FILTER(A$1:A272, A$1:A272&lt;&gt;""""))))-1), IF('To Order'!$A273=COLUMNS($A273:A"&amp;"292), A272&amp;RIGHT(INDIRECT(ADDRESS(ROW(A273)-1, 'From Order'!$A273)), 1), A272))"),"CT")</f>
        <v>CT</v>
      </c>
      <c r="B273" s="2" t="str">
        <f>IFERROR(__xludf.DUMMYFUNCTION("IF('From Order'!$A273=COLUMNS($A273:B292), LEFT(INDEX(FILTER(B$1:B272, B$1:B272&lt;&gt;""""),COUNTA(FILTER(B$1:B272, B$1:B272&lt;&gt;""""))), LEN(INDEX(FILTER(B$1:B272, B$1:B272&lt;&gt;""""),COUNTA(FILTER(B$1:B272, B$1:B272&lt;&gt;""""))))-1), IF('To Order'!$A273=COLUMNS($A273:B"&amp;"292), B272&amp;RIGHT(INDIRECT(ADDRESS(ROW(B273)-1, 'From Order'!$A273)), 1), B272))"),"SWFBJLRL")</f>
        <v>SWFBJLRL</v>
      </c>
      <c r="C273" s="2" t="str">
        <f>IFERROR(__xludf.DUMMYFUNCTION("IF('From Order'!$A273=COLUMNS($A273:C292), LEFT(INDEX(FILTER(C$1:C272, C$1:C272&lt;&gt;""""),COUNTA(FILTER(C$1:C272, C$1:C272&lt;&gt;""""))), LEN(INDEX(FILTER(C$1:C272, C$1:C272&lt;&gt;""""),COUNTA(FILTER(C$1:C272, C$1:C272&lt;&gt;""""))))-1), IF('To Order'!$A273=COLUMNS($A273:C"&amp;"292), C272&amp;RIGHT(INDIRECT(ADDRESS(ROW(C273)-1, 'From Order'!$A273)), 1), C272))"),"")</f>
        <v/>
      </c>
      <c r="D273" s="2" t="str">
        <f>IFERROR(__xludf.DUMMYFUNCTION("IF('From Order'!$A273=COLUMNS($A273:D292), LEFT(INDEX(FILTER(D$1:D272, D$1:D272&lt;&gt;""""),COUNTA(FILTER(D$1:D272, D$1:D272&lt;&gt;""""))), LEN(INDEX(FILTER(D$1:D272, D$1:D272&lt;&gt;""""),COUNTA(FILTER(D$1:D272, D$1:D272&lt;&gt;""""))))-1), IF('To Order'!$A273=COLUMNS($A273:D"&amp;"292), D272&amp;RIGHT(INDIRECT(ADDRESS(ROW(D273)-1, 'From Order'!$A273)), 1), D272))"),"D")</f>
        <v>D</v>
      </c>
      <c r="E273" s="2" t="str">
        <f>IFERROR(__xludf.DUMMYFUNCTION("IF('From Order'!$A273=COLUMNS($A273:E292), LEFT(INDEX(FILTER(E$1:E272, E$1:E272&lt;&gt;""""),COUNTA(FILTER(E$1:E272, E$1:E272&lt;&gt;""""))), LEN(INDEX(FILTER(E$1:E272, E$1:E272&lt;&gt;""""),COUNTA(FILTER(E$1:E272, E$1:E272&lt;&gt;""""))))-1), IF('To Order'!$A273=COLUMNS($A273:E"&amp;"292), E272&amp;RIGHT(INDIRECT(ADDRESS(ROW(E273)-1, 'From Order'!$A273)), 1), E272))"),"")</f>
        <v/>
      </c>
      <c r="F273" s="2" t="str">
        <f>IFERROR(__xludf.DUMMYFUNCTION("IF('From Order'!$A273=COLUMNS($A273:F292), LEFT(INDEX(FILTER(F$1:F272, F$1:F272&lt;&gt;""""),COUNTA(FILTER(F$1:F272, F$1:F272&lt;&gt;""""))), LEN(INDEX(FILTER(F$1:F272, F$1:F272&lt;&gt;""""),COUNTA(FILTER(F$1:F272, F$1:F272&lt;&gt;""""))))-1), IF('To Order'!$A273=COLUMNS($A273:F"&amp;"292), F272&amp;RIGHT(INDIRECT(ADDRESS(ROW(F273)-1, 'From Order'!$A273)), 1), F272))"),"HSPVMZDDTZRWTJTVCBRQPDSVR")</f>
        <v>HSPVMZDDTZRWTJTVCBRQPDSVR</v>
      </c>
      <c r="G273" s="2" t="str">
        <f>IFERROR(__xludf.DUMMYFUNCTION("IF('From Order'!$A273=COLUMNS($A273:G292), LEFT(INDEX(FILTER(G$1:G272, G$1:G272&lt;&gt;""""),COUNTA(FILTER(G$1:G272, G$1:G272&lt;&gt;""""))), LEN(INDEX(FILTER(G$1:G272, G$1:G272&lt;&gt;""""),COUNTA(FILTER(G$1:G272, G$1:G272&lt;&gt;""""))))-1), IF('To Order'!$A273=COLUMNS($A273:G"&amp;"292), G272&amp;RIGHT(INDIRECT(ADDRESS(ROW(G273)-1, 'From Order'!$A273)), 1), G272))"),"RLSB")</f>
        <v>RLSB</v>
      </c>
      <c r="H273" s="2" t="str">
        <f>IFERROR(__xludf.DUMMYFUNCTION("IF('From Order'!$A273=COLUMNS($A273:H292), LEFT(INDEX(FILTER(H$1:H272, H$1:H272&lt;&gt;""""),COUNTA(FILTER(H$1:H272, H$1:H272&lt;&gt;""""))), LEN(INDEX(FILTER(H$1:H272, H$1:H272&lt;&gt;""""),COUNTA(FILTER(H$1:H272, H$1:H272&lt;&gt;""""))))-1), IF('To Order'!$A273=COLUMNS($A273:H"&amp;"292), H272&amp;RIGHT(INDIRECT(ADDRESS(ROW(H273)-1, 'From Order'!$A273)), 1), H272))"),"MFTMQCDTHZ")</f>
        <v>MFTMQCDTHZ</v>
      </c>
      <c r="I273" s="2" t="str">
        <f>IFERROR(__xludf.DUMMYFUNCTION("IF('From Order'!$A273=COLUMNS($A273:I292), LEFT(INDEX(FILTER(I$1:I272, I$1:I272&lt;&gt;""""),COUNTA(FILTER(I$1:I272, I$1:I272&lt;&gt;""""))), LEN(INDEX(FILTER(I$1:I272, I$1:I272&lt;&gt;""""),COUNTA(FILTER(I$1:I272, I$1:I272&lt;&gt;""""))))-1), IF('To Order'!$A273=COLUMNS($A273:I"&amp;"292), I272&amp;RIGHT(INDIRECT(ADDRESS(ROW(I273)-1, 'From Order'!$A273)), 1), I272))"),"GPBJDG")</f>
        <v>GPBJDG</v>
      </c>
    </row>
    <row r="274">
      <c r="A274" s="2" t="str">
        <f>IFERROR(__xludf.DUMMYFUNCTION("IF('From Order'!$A274=COLUMNS($A274:A293), LEFT(INDEX(FILTER(A$1:A273, A$1:A273&lt;&gt;""""),COUNTA(FILTER(A$1:A273, A$1:A273&lt;&gt;""""))), LEN(INDEX(FILTER(A$1:A273, A$1:A273&lt;&gt;""""),COUNTA(FILTER(A$1:A273, A$1:A273&lt;&gt;""""))))-1), IF('To Order'!$A274=COLUMNS($A274:A"&amp;"293), A273&amp;RIGHT(INDIRECT(ADDRESS(ROW(A274)-1, 'From Order'!$A274)), 1), A273))"),"CT")</f>
        <v>CT</v>
      </c>
      <c r="B274" s="2" t="str">
        <f>IFERROR(__xludf.DUMMYFUNCTION("IF('From Order'!$A274=COLUMNS($A274:B293), LEFT(INDEX(FILTER(B$1:B273, B$1:B273&lt;&gt;""""),COUNTA(FILTER(B$1:B273, B$1:B273&lt;&gt;""""))), LEN(INDEX(FILTER(B$1:B273, B$1:B273&lt;&gt;""""),COUNTA(FILTER(B$1:B273, B$1:B273&lt;&gt;""""))))-1), IF('To Order'!$A274=COLUMNS($A274:B"&amp;"293), B273&amp;RIGHT(INDIRECT(ADDRESS(ROW(B274)-1, 'From Order'!$A274)), 1), B273))"),"SWFBJLRL")</f>
        <v>SWFBJLRL</v>
      </c>
      <c r="C274" s="2" t="str">
        <f>IFERROR(__xludf.DUMMYFUNCTION("IF('From Order'!$A274=COLUMNS($A274:C293), LEFT(INDEX(FILTER(C$1:C273, C$1:C273&lt;&gt;""""),COUNTA(FILTER(C$1:C273, C$1:C273&lt;&gt;""""))), LEN(INDEX(FILTER(C$1:C273, C$1:C273&lt;&gt;""""),COUNTA(FILTER(C$1:C273, C$1:C273&lt;&gt;""""))))-1), IF('To Order'!$A274=COLUMNS($A274:C"&amp;"293), C273&amp;RIGHT(INDIRECT(ADDRESS(ROW(C274)-1, 'From Order'!$A274)), 1), C273))"),"")</f>
        <v/>
      </c>
      <c r="D274" s="2" t="str">
        <f>IFERROR(__xludf.DUMMYFUNCTION("IF('From Order'!$A274=COLUMNS($A274:D293), LEFT(INDEX(FILTER(D$1:D273, D$1:D273&lt;&gt;""""),COUNTA(FILTER(D$1:D273, D$1:D273&lt;&gt;""""))), LEN(INDEX(FILTER(D$1:D273, D$1:D273&lt;&gt;""""),COUNTA(FILTER(D$1:D273, D$1:D273&lt;&gt;""""))))-1), IF('To Order'!$A274=COLUMNS($A274:D"&amp;"293), D273&amp;RIGHT(INDIRECT(ADDRESS(ROW(D274)-1, 'From Order'!$A274)), 1), D273))"),"D")</f>
        <v>D</v>
      </c>
      <c r="E274" s="2" t="str">
        <f>IFERROR(__xludf.DUMMYFUNCTION("IF('From Order'!$A274=COLUMNS($A274:E293), LEFT(INDEX(FILTER(E$1:E273, E$1:E273&lt;&gt;""""),COUNTA(FILTER(E$1:E273, E$1:E273&lt;&gt;""""))), LEN(INDEX(FILTER(E$1:E273, E$1:E273&lt;&gt;""""),COUNTA(FILTER(E$1:E273, E$1:E273&lt;&gt;""""))))-1), IF('To Order'!$A274=COLUMNS($A274:E"&amp;"293), E273&amp;RIGHT(INDIRECT(ADDRESS(ROW(E274)-1, 'From Order'!$A274)), 1), E273))"),"")</f>
        <v/>
      </c>
      <c r="F274" s="2" t="str">
        <f>IFERROR(__xludf.DUMMYFUNCTION("IF('From Order'!$A274=COLUMNS($A274:F293), LEFT(INDEX(FILTER(F$1:F273, F$1:F273&lt;&gt;""""),COUNTA(FILTER(F$1:F273, F$1:F273&lt;&gt;""""))), LEN(INDEX(FILTER(F$1:F273, F$1:F273&lt;&gt;""""),COUNTA(FILTER(F$1:F273, F$1:F273&lt;&gt;""""))))-1), IF('To Order'!$A274=COLUMNS($A274:F"&amp;"293), F273&amp;RIGHT(INDIRECT(ADDRESS(ROW(F274)-1, 'From Order'!$A274)), 1), F273))"),"HSPVMZDDTZRWTJTVCBRQPDSVRZ")</f>
        <v>HSPVMZDDTZRWTJTVCBRQPDSVRZ</v>
      </c>
      <c r="G274" s="2" t="str">
        <f>IFERROR(__xludf.DUMMYFUNCTION("IF('From Order'!$A274=COLUMNS($A274:G293), LEFT(INDEX(FILTER(G$1:G273, G$1:G273&lt;&gt;""""),COUNTA(FILTER(G$1:G273, G$1:G273&lt;&gt;""""))), LEN(INDEX(FILTER(G$1:G273, G$1:G273&lt;&gt;""""),COUNTA(FILTER(G$1:G273, G$1:G273&lt;&gt;""""))))-1), IF('To Order'!$A274=COLUMNS($A274:G"&amp;"293), G273&amp;RIGHT(INDIRECT(ADDRESS(ROW(G274)-1, 'From Order'!$A274)), 1), G273))"),"RLSB")</f>
        <v>RLSB</v>
      </c>
      <c r="H274" s="2" t="str">
        <f>IFERROR(__xludf.DUMMYFUNCTION("IF('From Order'!$A274=COLUMNS($A274:H293), LEFT(INDEX(FILTER(H$1:H273, H$1:H273&lt;&gt;""""),COUNTA(FILTER(H$1:H273, H$1:H273&lt;&gt;""""))), LEN(INDEX(FILTER(H$1:H273, H$1:H273&lt;&gt;""""),COUNTA(FILTER(H$1:H273, H$1:H273&lt;&gt;""""))))-1), IF('To Order'!$A274=COLUMNS($A274:H"&amp;"293), H273&amp;RIGHT(INDIRECT(ADDRESS(ROW(H274)-1, 'From Order'!$A274)), 1), H273))"),"MFTMQCDTH")</f>
        <v>MFTMQCDTH</v>
      </c>
      <c r="I274" s="2" t="str">
        <f>IFERROR(__xludf.DUMMYFUNCTION("IF('From Order'!$A274=COLUMNS($A274:I293), LEFT(INDEX(FILTER(I$1:I273, I$1:I273&lt;&gt;""""),COUNTA(FILTER(I$1:I273, I$1:I273&lt;&gt;""""))), LEN(INDEX(FILTER(I$1:I273, I$1:I273&lt;&gt;""""),COUNTA(FILTER(I$1:I273, I$1:I273&lt;&gt;""""))))-1), IF('To Order'!$A274=COLUMNS($A274:I"&amp;"293), I273&amp;RIGHT(INDIRECT(ADDRESS(ROW(I274)-1, 'From Order'!$A274)), 1), I273))"),"GPBJDG")</f>
        <v>GPBJDG</v>
      </c>
    </row>
    <row r="275">
      <c r="A275" s="2" t="str">
        <f>IFERROR(__xludf.DUMMYFUNCTION("IF('From Order'!$A275=COLUMNS($A275:A294), LEFT(INDEX(FILTER(A$1:A274, A$1:A274&lt;&gt;""""),COUNTA(FILTER(A$1:A274, A$1:A274&lt;&gt;""""))), LEN(INDEX(FILTER(A$1:A274, A$1:A274&lt;&gt;""""),COUNTA(FILTER(A$1:A274, A$1:A274&lt;&gt;""""))))-1), IF('To Order'!$A275=COLUMNS($A275:A"&amp;"294), A274&amp;RIGHT(INDIRECT(ADDRESS(ROW(A275)-1, 'From Order'!$A275)), 1), A274))"),"CT")</f>
        <v>CT</v>
      </c>
      <c r="B275" s="2" t="str">
        <f>IFERROR(__xludf.DUMMYFUNCTION("IF('From Order'!$A275=COLUMNS($A275:B294), LEFT(INDEX(FILTER(B$1:B274, B$1:B274&lt;&gt;""""),COUNTA(FILTER(B$1:B274, B$1:B274&lt;&gt;""""))), LEN(INDEX(FILTER(B$1:B274, B$1:B274&lt;&gt;""""),COUNTA(FILTER(B$1:B274, B$1:B274&lt;&gt;""""))))-1), IF('To Order'!$A275=COLUMNS($A275:B"&amp;"294), B274&amp;RIGHT(INDIRECT(ADDRESS(ROW(B275)-1, 'From Order'!$A275)), 1), B274))"),"SWFBJLRL")</f>
        <v>SWFBJLRL</v>
      </c>
      <c r="C275" s="2" t="str">
        <f>IFERROR(__xludf.DUMMYFUNCTION("IF('From Order'!$A275=COLUMNS($A275:C294), LEFT(INDEX(FILTER(C$1:C274, C$1:C274&lt;&gt;""""),COUNTA(FILTER(C$1:C274, C$1:C274&lt;&gt;""""))), LEN(INDEX(FILTER(C$1:C274, C$1:C274&lt;&gt;""""),COUNTA(FILTER(C$1:C274, C$1:C274&lt;&gt;""""))))-1), IF('To Order'!$A275=COLUMNS($A275:C"&amp;"294), C274&amp;RIGHT(INDIRECT(ADDRESS(ROW(C275)-1, 'From Order'!$A275)), 1), C274))"),"")</f>
        <v/>
      </c>
      <c r="D275" s="2" t="str">
        <f>IFERROR(__xludf.DUMMYFUNCTION("IF('From Order'!$A275=COLUMNS($A275:D294), LEFT(INDEX(FILTER(D$1:D274, D$1:D274&lt;&gt;""""),COUNTA(FILTER(D$1:D274, D$1:D274&lt;&gt;""""))), LEN(INDEX(FILTER(D$1:D274, D$1:D274&lt;&gt;""""),COUNTA(FILTER(D$1:D274, D$1:D274&lt;&gt;""""))))-1), IF('To Order'!$A275=COLUMNS($A275:D"&amp;"294), D274&amp;RIGHT(INDIRECT(ADDRESS(ROW(D275)-1, 'From Order'!$A275)), 1), D274))"),"D")</f>
        <v>D</v>
      </c>
      <c r="E275" s="2" t="str">
        <f>IFERROR(__xludf.DUMMYFUNCTION("IF('From Order'!$A275=COLUMNS($A275:E294), LEFT(INDEX(FILTER(E$1:E274, E$1:E274&lt;&gt;""""),COUNTA(FILTER(E$1:E274, E$1:E274&lt;&gt;""""))), LEN(INDEX(FILTER(E$1:E274, E$1:E274&lt;&gt;""""),COUNTA(FILTER(E$1:E274, E$1:E274&lt;&gt;""""))))-1), IF('To Order'!$A275=COLUMNS($A275:E"&amp;"294), E274&amp;RIGHT(INDIRECT(ADDRESS(ROW(E275)-1, 'From Order'!$A275)), 1), E274))"),"")</f>
        <v/>
      </c>
      <c r="F275" s="2" t="str">
        <f>IFERROR(__xludf.DUMMYFUNCTION("IF('From Order'!$A275=COLUMNS($A275:F294), LEFT(INDEX(FILTER(F$1:F274, F$1:F274&lt;&gt;""""),COUNTA(FILTER(F$1:F274, F$1:F274&lt;&gt;""""))), LEN(INDEX(FILTER(F$1:F274, F$1:F274&lt;&gt;""""),COUNTA(FILTER(F$1:F274, F$1:F274&lt;&gt;""""))))-1), IF('To Order'!$A275=COLUMNS($A275:F"&amp;"294), F274&amp;RIGHT(INDIRECT(ADDRESS(ROW(F275)-1, 'From Order'!$A275)), 1), F274))"),"HSPVMZDDTZRWTJTVCBRQPDSVRZH")</f>
        <v>HSPVMZDDTZRWTJTVCBRQPDSVRZH</v>
      </c>
      <c r="G275" s="2" t="str">
        <f>IFERROR(__xludf.DUMMYFUNCTION("IF('From Order'!$A275=COLUMNS($A275:G294), LEFT(INDEX(FILTER(G$1:G274, G$1:G274&lt;&gt;""""),COUNTA(FILTER(G$1:G274, G$1:G274&lt;&gt;""""))), LEN(INDEX(FILTER(G$1:G274, G$1:G274&lt;&gt;""""),COUNTA(FILTER(G$1:G274, G$1:G274&lt;&gt;""""))))-1), IF('To Order'!$A275=COLUMNS($A275:G"&amp;"294), G274&amp;RIGHT(INDIRECT(ADDRESS(ROW(G275)-1, 'From Order'!$A275)), 1), G274))"),"RLSB")</f>
        <v>RLSB</v>
      </c>
      <c r="H275" s="2" t="str">
        <f>IFERROR(__xludf.DUMMYFUNCTION("IF('From Order'!$A275=COLUMNS($A275:H294), LEFT(INDEX(FILTER(H$1:H274, H$1:H274&lt;&gt;""""),COUNTA(FILTER(H$1:H274, H$1:H274&lt;&gt;""""))), LEN(INDEX(FILTER(H$1:H274, H$1:H274&lt;&gt;""""),COUNTA(FILTER(H$1:H274, H$1:H274&lt;&gt;""""))))-1), IF('To Order'!$A275=COLUMNS($A275:H"&amp;"294), H274&amp;RIGHT(INDIRECT(ADDRESS(ROW(H275)-1, 'From Order'!$A275)), 1), H274))"),"MFTMQCDT")</f>
        <v>MFTMQCDT</v>
      </c>
      <c r="I275" s="2" t="str">
        <f>IFERROR(__xludf.DUMMYFUNCTION("IF('From Order'!$A275=COLUMNS($A275:I294), LEFT(INDEX(FILTER(I$1:I274, I$1:I274&lt;&gt;""""),COUNTA(FILTER(I$1:I274, I$1:I274&lt;&gt;""""))), LEN(INDEX(FILTER(I$1:I274, I$1:I274&lt;&gt;""""),COUNTA(FILTER(I$1:I274, I$1:I274&lt;&gt;""""))))-1), IF('To Order'!$A275=COLUMNS($A275:I"&amp;"294), I274&amp;RIGHT(INDIRECT(ADDRESS(ROW(I275)-1, 'From Order'!$A275)), 1), I274))"),"GPBJDG")</f>
        <v>GPBJDG</v>
      </c>
    </row>
    <row r="276">
      <c r="A276" s="2" t="str">
        <f>IFERROR(__xludf.DUMMYFUNCTION("IF('From Order'!$A276=COLUMNS($A276:A295), LEFT(INDEX(FILTER(A$1:A275, A$1:A275&lt;&gt;""""),COUNTA(FILTER(A$1:A275, A$1:A275&lt;&gt;""""))), LEN(INDEX(FILTER(A$1:A275, A$1:A275&lt;&gt;""""),COUNTA(FILTER(A$1:A275, A$1:A275&lt;&gt;""""))))-1), IF('To Order'!$A276=COLUMNS($A276:A"&amp;"295), A275&amp;RIGHT(INDIRECT(ADDRESS(ROW(A276)-1, 'From Order'!$A276)), 1), A275))"),"CT")</f>
        <v>CT</v>
      </c>
      <c r="B276" s="2" t="str">
        <f>IFERROR(__xludf.DUMMYFUNCTION("IF('From Order'!$A276=COLUMNS($A276:B295), LEFT(INDEX(FILTER(B$1:B275, B$1:B275&lt;&gt;""""),COUNTA(FILTER(B$1:B275, B$1:B275&lt;&gt;""""))), LEN(INDEX(FILTER(B$1:B275, B$1:B275&lt;&gt;""""),COUNTA(FILTER(B$1:B275, B$1:B275&lt;&gt;""""))))-1), IF('To Order'!$A276=COLUMNS($A276:B"&amp;"295), B275&amp;RIGHT(INDIRECT(ADDRESS(ROW(B276)-1, 'From Order'!$A276)), 1), B275))"),"SWFBJLRLB")</f>
        <v>SWFBJLRLB</v>
      </c>
      <c r="C276" s="2" t="str">
        <f>IFERROR(__xludf.DUMMYFUNCTION("IF('From Order'!$A276=COLUMNS($A276:C295), LEFT(INDEX(FILTER(C$1:C275, C$1:C275&lt;&gt;""""),COUNTA(FILTER(C$1:C275, C$1:C275&lt;&gt;""""))), LEN(INDEX(FILTER(C$1:C275, C$1:C275&lt;&gt;""""),COUNTA(FILTER(C$1:C275, C$1:C275&lt;&gt;""""))))-1), IF('To Order'!$A276=COLUMNS($A276:C"&amp;"295), C275&amp;RIGHT(INDIRECT(ADDRESS(ROW(C276)-1, 'From Order'!$A276)), 1), C275))"),"")</f>
        <v/>
      </c>
      <c r="D276" s="2" t="str">
        <f>IFERROR(__xludf.DUMMYFUNCTION("IF('From Order'!$A276=COLUMNS($A276:D295), LEFT(INDEX(FILTER(D$1:D275, D$1:D275&lt;&gt;""""),COUNTA(FILTER(D$1:D275, D$1:D275&lt;&gt;""""))), LEN(INDEX(FILTER(D$1:D275, D$1:D275&lt;&gt;""""),COUNTA(FILTER(D$1:D275, D$1:D275&lt;&gt;""""))))-1), IF('To Order'!$A276=COLUMNS($A276:D"&amp;"295), D275&amp;RIGHT(INDIRECT(ADDRESS(ROW(D276)-1, 'From Order'!$A276)), 1), D275))"),"D")</f>
        <v>D</v>
      </c>
      <c r="E276" s="2" t="str">
        <f>IFERROR(__xludf.DUMMYFUNCTION("IF('From Order'!$A276=COLUMNS($A276:E295), LEFT(INDEX(FILTER(E$1:E275, E$1:E275&lt;&gt;""""),COUNTA(FILTER(E$1:E275, E$1:E275&lt;&gt;""""))), LEN(INDEX(FILTER(E$1:E275, E$1:E275&lt;&gt;""""),COUNTA(FILTER(E$1:E275, E$1:E275&lt;&gt;""""))))-1), IF('To Order'!$A276=COLUMNS($A276:E"&amp;"295), E275&amp;RIGHT(INDIRECT(ADDRESS(ROW(E276)-1, 'From Order'!$A276)), 1), E275))"),"")</f>
        <v/>
      </c>
      <c r="F276" s="2" t="str">
        <f>IFERROR(__xludf.DUMMYFUNCTION("IF('From Order'!$A276=COLUMNS($A276:F295), LEFT(INDEX(FILTER(F$1:F275, F$1:F275&lt;&gt;""""),COUNTA(FILTER(F$1:F275, F$1:F275&lt;&gt;""""))), LEN(INDEX(FILTER(F$1:F275, F$1:F275&lt;&gt;""""),COUNTA(FILTER(F$1:F275, F$1:F275&lt;&gt;""""))))-1), IF('To Order'!$A276=COLUMNS($A276:F"&amp;"295), F275&amp;RIGHT(INDIRECT(ADDRESS(ROW(F276)-1, 'From Order'!$A276)), 1), F275))"),"HSPVMZDDTZRWTJTVCBRQPDSVRZH")</f>
        <v>HSPVMZDDTZRWTJTVCBRQPDSVRZH</v>
      </c>
      <c r="G276" s="2" t="str">
        <f>IFERROR(__xludf.DUMMYFUNCTION("IF('From Order'!$A276=COLUMNS($A276:G295), LEFT(INDEX(FILTER(G$1:G275, G$1:G275&lt;&gt;""""),COUNTA(FILTER(G$1:G275, G$1:G275&lt;&gt;""""))), LEN(INDEX(FILTER(G$1:G275, G$1:G275&lt;&gt;""""),COUNTA(FILTER(G$1:G275, G$1:G275&lt;&gt;""""))))-1), IF('To Order'!$A276=COLUMNS($A276:G"&amp;"295), G275&amp;RIGHT(INDIRECT(ADDRESS(ROW(G276)-1, 'From Order'!$A276)), 1), G275))"),"RLS")</f>
        <v>RLS</v>
      </c>
      <c r="H276" s="2" t="str">
        <f>IFERROR(__xludf.DUMMYFUNCTION("IF('From Order'!$A276=COLUMNS($A276:H295), LEFT(INDEX(FILTER(H$1:H275, H$1:H275&lt;&gt;""""),COUNTA(FILTER(H$1:H275, H$1:H275&lt;&gt;""""))), LEN(INDEX(FILTER(H$1:H275, H$1:H275&lt;&gt;""""),COUNTA(FILTER(H$1:H275, H$1:H275&lt;&gt;""""))))-1), IF('To Order'!$A276=COLUMNS($A276:H"&amp;"295), H275&amp;RIGHT(INDIRECT(ADDRESS(ROW(H276)-1, 'From Order'!$A276)), 1), H275))"),"MFTMQCDT")</f>
        <v>MFTMQCDT</v>
      </c>
      <c r="I276" s="2" t="str">
        <f>IFERROR(__xludf.DUMMYFUNCTION("IF('From Order'!$A276=COLUMNS($A276:I295), LEFT(INDEX(FILTER(I$1:I275, I$1:I275&lt;&gt;""""),COUNTA(FILTER(I$1:I275, I$1:I275&lt;&gt;""""))), LEN(INDEX(FILTER(I$1:I275, I$1:I275&lt;&gt;""""),COUNTA(FILTER(I$1:I275, I$1:I275&lt;&gt;""""))))-1), IF('To Order'!$A276=COLUMNS($A276:I"&amp;"295), I275&amp;RIGHT(INDIRECT(ADDRESS(ROW(I276)-1, 'From Order'!$A276)), 1), I275))"),"GPBJDG")</f>
        <v>GPBJDG</v>
      </c>
    </row>
    <row r="277">
      <c r="A277" s="2" t="str">
        <f>IFERROR(__xludf.DUMMYFUNCTION("IF('From Order'!$A277=COLUMNS($A277:A296), LEFT(INDEX(FILTER(A$1:A276, A$1:A276&lt;&gt;""""),COUNTA(FILTER(A$1:A276, A$1:A276&lt;&gt;""""))), LEN(INDEX(FILTER(A$1:A276, A$1:A276&lt;&gt;""""),COUNTA(FILTER(A$1:A276, A$1:A276&lt;&gt;""""))))-1), IF('To Order'!$A277=COLUMNS($A277:A"&amp;"296), A276&amp;RIGHT(INDIRECT(ADDRESS(ROW(A277)-1, 'From Order'!$A277)), 1), A276))"),"CT")</f>
        <v>CT</v>
      </c>
      <c r="B277" s="2" t="str">
        <f>IFERROR(__xludf.DUMMYFUNCTION("IF('From Order'!$A277=COLUMNS($A277:B296), LEFT(INDEX(FILTER(B$1:B276, B$1:B276&lt;&gt;""""),COUNTA(FILTER(B$1:B276, B$1:B276&lt;&gt;""""))), LEN(INDEX(FILTER(B$1:B276, B$1:B276&lt;&gt;""""),COUNTA(FILTER(B$1:B276, B$1:B276&lt;&gt;""""))))-1), IF('To Order'!$A277=COLUMNS($A277:B"&amp;"296), B276&amp;RIGHT(INDIRECT(ADDRESS(ROW(B277)-1, 'From Order'!$A277)), 1), B276))"),"SWFBJLRLBS")</f>
        <v>SWFBJLRLBS</v>
      </c>
      <c r="C277" s="2" t="str">
        <f>IFERROR(__xludf.DUMMYFUNCTION("IF('From Order'!$A277=COLUMNS($A277:C296), LEFT(INDEX(FILTER(C$1:C276, C$1:C276&lt;&gt;""""),COUNTA(FILTER(C$1:C276, C$1:C276&lt;&gt;""""))), LEN(INDEX(FILTER(C$1:C276, C$1:C276&lt;&gt;""""),COUNTA(FILTER(C$1:C276, C$1:C276&lt;&gt;""""))))-1), IF('To Order'!$A277=COLUMNS($A277:C"&amp;"296), C276&amp;RIGHT(INDIRECT(ADDRESS(ROW(C277)-1, 'From Order'!$A277)), 1), C276))"),"")</f>
        <v/>
      </c>
      <c r="D277" s="2" t="str">
        <f>IFERROR(__xludf.DUMMYFUNCTION("IF('From Order'!$A277=COLUMNS($A277:D296), LEFT(INDEX(FILTER(D$1:D276, D$1:D276&lt;&gt;""""),COUNTA(FILTER(D$1:D276, D$1:D276&lt;&gt;""""))), LEN(INDEX(FILTER(D$1:D276, D$1:D276&lt;&gt;""""),COUNTA(FILTER(D$1:D276, D$1:D276&lt;&gt;""""))))-1), IF('To Order'!$A277=COLUMNS($A277:D"&amp;"296), D276&amp;RIGHT(INDIRECT(ADDRESS(ROW(D277)-1, 'From Order'!$A277)), 1), D276))"),"D")</f>
        <v>D</v>
      </c>
      <c r="E277" s="2" t="str">
        <f>IFERROR(__xludf.DUMMYFUNCTION("IF('From Order'!$A277=COLUMNS($A277:E296), LEFT(INDEX(FILTER(E$1:E276, E$1:E276&lt;&gt;""""),COUNTA(FILTER(E$1:E276, E$1:E276&lt;&gt;""""))), LEN(INDEX(FILTER(E$1:E276, E$1:E276&lt;&gt;""""),COUNTA(FILTER(E$1:E276, E$1:E276&lt;&gt;""""))))-1), IF('To Order'!$A277=COLUMNS($A277:E"&amp;"296), E276&amp;RIGHT(INDIRECT(ADDRESS(ROW(E277)-1, 'From Order'!$A277)), 1), E276))"),"")</f>
        <v/>
      </c>
      <c r="F277" s="2" t="str">
        <f>IFERROR(__xludf.DUMMYFUNCTION("IF('From Order'!$A277=COLUMNS($A277:F296), LEFT(INDEX(FILTER(F$1:F276, F$1:F276&lt;&gt;""""),COUNTA(FILTER(F$1:F276, F$1:F276&lt;&gt;""""))), LEN(INDEX(FILTER(F$1:F276, F$1:F276&lt;&gt;""""),COUNTA(FILTER(F$1:F276, F$1:F276&lt;&gt;""""))))-1), IF('To Order'!$A277=COLUMNS($A277:F"&amp;"296), F276&amp;RIGHT(INDIRECT(ADDRESS(ROW(F277)-1, 'From Order'!$A277)), 1), F276))"),"HSPVMZDDTZRWTJTVCBRQPDSVRZH")</f>
        <v>HSPVMZDDTZRWTJTVCBRQPDSVRZH</v>
      </c>
      <c r="G277" s="2" t="str">
        <f>IFERROR(__xludf.DUMMYFUNCTION("IF('From Order'!$A277=COLUMNS($A277:G296), LEFT(INDEX(FILTER(G$1:G276, G$1:G276&lt;&gt;""""),COUNTA(FILTER(G$1:G276, G$1:G276&lt;&gt;""""))), LEN(INDEX(FILTER(G$1:G276, G$1:G276&lt;&gt;""""),COUNTA(FILTER(G$1:G276, G$1:G276&lt;&gt;""""))))-1), IF('To Order'!$A277=COLUMNS($A277:G"&amp;"296), G276&amp;RIGHT(INDIRECT(ADDRESS(ROW(G277)-1, 'From Order'!$A277)), 1), G276))"),"RL")</f>
        <v>RL</v>
      </c>
      <c r="H277" s="2" t="str">
        <f>IFERROR(__xludf.DUMMYFUNCTION("IF('From Order'!$A277=COLUMNS($A277:H296), LEFT(INDEX(FILTER(H$1:H276, H$1:H276&lt;&gt;""""),COUNTA(FILTER(H$1:H276, H$1:H276&lt;&gt;""""))), LEN(INDEX(FILTER(H$1:H276, H$1:H276&lt;&gt;""""),COUNTA(FILTER(H$1:H276, H$1:H276&lt;&gt;""""))))-1), IF('To Order'!$A277=COLUMNS($A277:H"&amp;"296), H276&amp;RIGHT(INDIRECT(ADDRESS(ROW(H277)-1, 'From Order'!$A277)), 1), H276))"),"MFTMQCDT")</f>
        <v>MFTMQCDT</v>
      </c>
      <c r="I277" s="2" t="str">
        <f>IFERROR(__xludf.DUMMYFUNCTION("IF('From Order'!$A277=COLUMNS($A277:I296), LEFT(INDEX(FILTER(I$1:I276, I$1:I276&lt;&gt;""""),COUNTA(FILTER(I$1:I276, I$1:I276&lt;&gt;""""))), LEN(INDEX(FILTER(I$1:I276, I$1:I276&lt;&gt;""""),COUNTA(FILTER(I$1:I276, I$1:I276&lt;&gt;""""))))-1), IF('To Order'!$A277=COLUMNS($A277:I"&amp;"296), I276&amp;RIGHT(INDIRECT(ADDRESS(ROW(I277)-1, 'From Order'!$A277)), 1), I276))"),"GPBJDG")</f>
        <v>GPBJDG</v>
      </c>
    </row>
    <row r="278">
      <c r="A278" s="2" t="str">
        <f>IFERROR(__xludf.DUMMYFUNCTION("IF('From Order'!$A278=COLUMNS($A278:A297), LEFT(INDEX(FILTER(A$1:A277, A$1:A277&lt;&gt;""""),COUNTA(FILTER(A$1:A277, A$1:A277&lt;&gt;""""))), LEN(INDEX(FILTER(A$1:A277, A$1:A277&lt;&gt;""""),COUNTA(FILTER(A$1:A277, A$1:A277&lt;&gt;""""))))-1), IF('To Order'!$A278=COLUMNS($A278:A"&amp;"297), A277&amp;RIGHT(INDIRECT(ADDRESS(ROW(A278)-1, 'From Order'!$A278)), 1), A277))"),"CT")</f>
        <v>CT</v>
      </c>
      <c r="B278" s="2" t="str">
        <f>IFERROR(__xludf.DUMMYFUNCTION("IF('From Order'!$A278=COLUMNS($A278:B297), LEFT(INDEX(FILTER(B$1:B277, B$1:B277&lt;&gt;""""),COUNTA(FILTER(B$1:B277, B$1:B277&lt;&gt;""""))), LEN(INDEX(FILTER(B$1:B277, B$1:B277&lt;&gt;""""),COUNTA(FILTER(B$1:B277, B$1:B277&lt;&gt;""""))))-1), IF('To Order'!$A278=COLUMNS($A278:B"&amp;"297), B277&amp;RIGHT(INDIRECT(ADDRESS(ROW(B278)-1, 'From Order'!$A278)), 1), B277))"),"SWFBJLRLBS")</f>
        <v>SWFBJLRLBS</v>
      </c>
      <c r="C278" s="2" t="str">
        <f>IFERROR(__xludf.DUMMYFUNCTION("IF('From Order'!$A278=COLUMNS($A278:C297), LEFT(INDEX(FILTER(C$1:C277, C$1:C277&lt;&gt;""""),COUNTA(FILTER(C$1:C277, C$1:C277&lt;&gt;""""))), LEN(INDEX(FILTER(C$1:C277, C$1:C277&lt;&gt;""""),COUNTA(FILTER(C$1:C277, C$1:C277&lt;&gt;""""))))-1), IF('To Order'!$A278=COLUMNS($A278:C"&amp;"297), C277&amp;RIGHT(INDIRECT(ADDRESS(ROW(C278)-1, 'From Order'!$A278)), 1), C277))"),"")</f>
        <v/>
      </c>
      <c r="D278" s="2" t="str">
        <f>IFERROR(__xludf.DUMMYFUNCTION("IF('From Order'!$A278=COLUMNS($A278:D297), LEFT(INDEX(FILTER(D$1:D277, D$1:D277&lt;&gt;""""),COUNTA(FILTER(D$1:D277, D$1:D277&lt;&gt;""""))), LEN(INDEX(FILTER(D$1:D277, D$1:D277&lt;&gt;""""),COUNTA(FILTER(D$1:D277, D$1:D277&lt;&gt;""""))))-1), IF('To Order'!$A278=COLUMNS($A278:D"&amp;"297), D277&amp;RIGHT(INDIRECT(ADDRESS(ROW(D278)-1, 'From Order'!$A278)), 1), D277))"),"DL")</f>
        <v>DL</v>
      </c>
      <c r="E278" s="2" t="str">
        <f>IFERROR(__xludf.DUMMYFUNCTION("IF('From Order'!$A278=COLUMNS($A278:E297), LEFT(INDEX(FILTER(E$1:E277, E$1:E277&lt;&gt;""""),COUNTA(FILTER(E$1:E277, E$1:E277&lt;&gt;""""))), LEN(INDEX(FILTER(E$1:E277, E$1:E277&lt;&gt;""""),COUNTA(FILTER(E$1:E277, E$1:E277&lt;&gt;""""))))-1), IF('To Order'!$A278=COLUMNS($A278:E"&amp;"297), E277&amp;RIGHT(INDIRECT(ADDRESS(ROW(E278)-1, 'From Order'!$A278)), 1), E277))"),"")</f>
        <v/>
      </c>
      <c r="F278" s="2" t="str">
        <f>IFERROR(__xludf.DUMMYFUNCTION("IF('From Order'!$A278=COLUMNS($A278:F297), LEFT(INDEX(FILTER(F$1:F277, F$1:F277&lt;&gt;""""),COUNTA(FILTER(F$1:F277, F$1:F277&lt;&gt;""""))), LEN(INDEX(FILTER(F$1:F277, F$1:F277&lt;&gt;""""),COUNTA(FILTER(F$1:F277, F$1:F277&lt;&gt;""""))))-1), IF('To Order'!$A278=COLUMNS($A278:F"&amp;"297), F277&amp;RIGHT(INDIRECT(ADDRESS(ROW(F278)-1, 'From Order'!$A278)), 1), F277))"),"HSPVMZDDTZRWTJTVCBRQPDSVRZH")</f>
        <v>HSPVMZDDTZRWTJTVCBRQPDSVRZH</v>
      </c>
      <c r="G278" s="2" t="str">
        <f>IFERROR(__xludf.DUMMYFUNCTION("IF('From Order'!$A278=COLUMNS($A278:G297), LEFT(INDEX(FILTER(G$1:G277, G$1:G277&lt;&gt;""""),COUNTA(FILTER(G$1:G277, G$1:G277&lt;&gt;""""))), LEN(INDEX(FILTER(G$1:G277, G$1:G277&lt;&gt;""""),COUNTA(FILTER(G$1:G277, G$1:G277&lt;&gt;""""))))-1), IF('To Order'!$A278=COLUMNS($A278:G"&amp;"297), G277&amp;RIGHT(INDIRECT(ADDRESS(ROW(G278)-1, 'From Order'!$A278)), 1), G277))"),"R")</f>
        <v>R</v>
      </c>
      <c r="H278" s="2" t="str">
        <f>IFERROR(__xludf.DUMMYFUNCTION("IF('From Order'!$A278=COLUMNS($A278:H297), LEFT(INDEX(FILTER(H$1:H277, H$1:H277&lt;&gt;""""),COUNTA(FILTER(H$1:H277, H$1:H277&lt;&gt;""""))), LEN(INDEX(FILTER(H$1:H277, H$1:H277&lt;&gt;""""),COUNTA(FILTER(H$1:H277, H$1:H277&lt;&gt;""""))))-1), IF('To Order'!$A278=COLUMNS($A278:H"&amp;"297), H277&amp;RIGHT(INDIRECT(ADDRESS(ROW(H278)-1, 'From Order'!$A278)), 1), H277))"),"MFTMQCDT")</f>
        <v>MFTMQCDT</v>
      </c>
      <c r="I278" s="2" t="str">
        <f>IFERROR(__xludf.DUMMYFUNCTION("IF('From Order'!$A278=COLUMNS($A278:I297), LEFT(INDEX(FILTER(I$1:I277, I$1:I277&lt;&gt;""""),COUNTA(FILTER(I$1:I277, I$1:I277&lt;&gt;""""))), LEN(INDEX(FILTER(I$1:I277, I$1:I277&lt;&gt;""""),COUNTA(FILTER(I$1:I277, I$1:I277&lt;&gt;""""))))-1), IF('To Order'!$A278=COLUMNS($A278:I"&amp;"297), I277&amp;RIGHT(INDIRECT(ADDRESS(ROW(I278)-1, 'From Order'!$A278)), 1), I277))"),"GPBJDG")</f>
        <v>GPBJDG</v>
      </c>
    </row>
    <row r="279">
      <c r="A279" s="2" t="str">
        <f>IFERROR(__xludf.DUMMYFUNCTION("IF('From Order'!$A279=COLUMNS($A279:A298), LEFT(INDEX(FILTER(A$1:A278, A$1:A278&lt;&gt;""""),COUNTA(FILTER(A$1:A278, A$1:A278&lt;&gt;""""))), LEN(INDEX(FILTER(A$1:A278, A$1:A278&lt;&gt;""""),COUNTA(FILTER(A$1:A278, A$1:A278&lt;&gt;""""))))-1), IF('To Order'!$A279=COLUMNS($A279:A"&amp;"298), A278&amp;RIGHT(INDIRECT(ADDRESS(ROW(A279)-1, 'From Order'!$A279)), 1), A278))"),"CT")</f>
        <v>CT</v>
      </c>
      <c r="B279" s="2" t="str">
        <f>IFERROR(__xludf.DUMMYFUNCTION("IF('From Order'!$A279=COLUMNS($A279:B298), LEFT(INDEX(FILTER(B$1:B278, B$1:B278&lt;&gt;""""),COUNTA(FILTER(B$1:B278, B$1:B278&lt;&gt;""""))), LEN(INDEX(FILTER(B$1:B278, B$1:B278&lt;&gt;""""),COUNTA(FILTER(B$1:B278, B$1:B278&lt;&gt;""""))))-1), IF('To Order'!$A279=COLUMNS($A279:B"&amp;"298), B278&amp;RIGHT(INDIRECT(ADDRESS(ROW(B279)-1, 'From Order'!$A279)), 1), B278))"),"SWFBJLRLBS")</f>
        <v>SWFBJLRLBS</v>
      </c>
      <c r="C279" s="2" t="str">
        <f>IFERROR(__xludf.DUMMYFUNCTION("IF('From Order'!$A279=COLUMNS($A279:C298), LEFT(INDEX(FILTER(C$1:C278, C$1:C278&lt;&gt;""""),COUNTA(FILTER(C$1:C278, C$1:C278&lt;&gt;""""))), LEN(INDEX(FILTER(C$1:C278, C$1:C278&lt;&gt;""""),COUNTA(FILTER(C$1:C278, C$1:C278&lt;&gt;""""))))-1), IF('To Order'!$A279=COLUMNS($A279:C"&amp;"298), C278&amp;RIGHT(INDIRECT(ADDRESS(ROW(C279)-1, 'From Order'!$A279)), 1), C278))"),"")</f>
        <v/>
      </c>
      <c r="D279" s="2" t="str">
        <f>IFERROR(__xludf.DUMMYFUNCTION("IF('From Order'!$A279=COLUMNS($A279:D298), LEFT(INDEX(FILTER(D$1:D278, D$1:D278&lt;&gt;""""),COUNTA(FILTER(D$1:D278, D$1:D278&lt;&gt;""""))), LEN(INDEX(FILTER(D$1:D278, D$1:D278&lt;&gt;""""),COUNTA(FILTER(D$1:D278, D$1:D278&lt;&gt;""""))))-1), IF('To Order'!$A279=COLUMNS($A279:D"&amp;"298), D278&amp;RIGHT(INDIRECT(ADDRESS(ROW(D279)-1, 'From Order'!$A279)), 1), D278))"),"DLR")</f>
        <v>DLR</v>
      </c>
      <c r="E279" s="2" t="str">
        <f>IFERROR(__xludf.DUMMYFUNCTION("IF('From Order'!$A279=COLUMNS($A279:E298), LEFT(INDEX(FILTER(E$1:E278, E$1:E278&lt;&gt;""""),COUNTA(FILTER(E$1:E278, E$1:E278&lt;&gt;""""))), LEN(INDEX(FILTER(E$1:E278, E$1:E278&lt;&gt;""""),COUNTA(FILTER(E$1:E278, E$1:E278&lt;&gt;""""))))-1), IF('To Order'!$A279=COLUMNS($A279:E"&amp;"298), E278&amp;RIGHT(INDIRECT(ADDRESS(ROW(E279)-1, 'From Order'!$A279)), 1), E278))"),"")</f>
        <v/>
      </c>
      <c r="F279" s="2" t="str">
        <f>IFERROR(__xludf.DUMMYFUNCTION("IF('From Order'!$A279=COLUMNS($A279:F298), LEFT(INDEX(FILTER(F$1:F278, F$1:F278&lt;&gt;""""),COUNTA(FILTER(F$1:F278, F$1:F278&lt;&gt;""""))), LEN(INDEX(FILTER(F$1:F278, F$1:F278&lt;&gt;""""),COUNTA(FILTER(F$1:F278, F$1:F278&lt;&gt;""""))))-1), IF('To Order'!$A279=COLUMNS($A279:F"&amp;"298), F278&amp;RIGHT(INDIRECT(ADDRESS(ROW(F279)-1, 'From Order'!$A279)), 1), F278))"),"HSPVMZDDTZRWTJTVCBRQPDSVRZH")</f>
        <v>HSPVMZDDTZRWTJTVCBRQPDSVRZH</v>
      </c>
      <c r="G279" s="2" t="str">
        <f>IFERROR(__xludf.DUMMYFUNCTION("IF('From Order'!$A279=COLUMNS($A279:G298), LEFT(INDEX(FILTER(G$1:G278, G$1:G278&lt;&gt;""""),COUNTA(FILTER(G$1:G278, G$1:G278&lt;&gt;""""))), LEN(INDEX(FILTER(G$1:G278, G$1:G278&lt;&gt;""""),COUNTA(FILTER(G$1:G278, G$1:G278&lt;&gt;""""))))-1), IF('To Order'!$A279=COLUMNS($A279:G"&amp;"298), G278&amp;RIGHT(INDIRECT(ADDRESS(ROW(G279)-1, 'From Order'!$A279)), 1), G278))"),"")</f>
        <v/>
      </c>
      <c r="H279" s="2" t="str">
        <f>IFERROR(__xludf.DUMMYFUNCTION("IF('From Order'!$A279=COLUMNS($A279:H298), LEFT(INDEX(FILTER(H$1:H278, H$1:H278&lt;&gt;""""),COUNTA(FILTER(H$1:H278, H$1:H278&lt;&gt;""""))), LEN(INDEX(FILTER(H$1:H278, H$1:H278&lt;&gt;""""),COUNTA(FILTER(H$1:H278, H$1:H278&lt;&gt;""""))))-1), IF('To Order'!$A279=COLUMNS($A279:H"&amp;"298), H278&amp;RIGHT(INDIRECT(ADDRESS(ROW(H279)-1, 'From Order'!$A279)), 1), H278))"),"MFTMQCDT")</f>
        <v>MFTMQCDT</v>
      </c>
      <c r="I279" s="2" t="str">
        <f>IFERROR(__xludf.DUMMYFUNCTION("IF('From Order'!$A279=COLUMNS($A279:I298), LEFT(INDEX(FILTER(I$1:I278, I$1:I278&lt;&gt;""""),COUNTA(FILTER(I$1:I278, I$1:I278&lt;&gt;""""))), LEN(INDEX(FILTER(I$1:I278, I$1:I278&lt;&gt;""""),COUNTA(FILTER(I$1:I278, I$1:I278&lt;&gt;""""))))-1), IF('To Order'!$A279=COLUMNS($A279:I"&amp;"298), I278&amp;RIGHT(INDIRECT(ADDRESS(ROW(I279)-1, 'From Order'!$A279)), 1), I278))"),"GPBJDG")</f>
        <v>GPBJDG</v>
      </c>
    </row>
    <row r="280">
      <c r="A280" s="2" t="str">
        <f>IFERROR(__xludf.DUMMYFUNCTION("IF('From Order'!$A280=COLUMNS($A280:A299), LEFT(INDEX(FILTER(A$1:A279, A$1:A279&lt;&gt;""""),COUNTA(FILTER(A$1:A279, A$1:A279&lt;&gt;""""))), LEN(INDEX(FILTER(A$1:A279, A$1:A279&lt;&gt;""""),COUNTA(FILTER(A$1:A279, A$1:A279&lt;&gt;""""))))-1), IF('To Order'!$A280=COLUMNS($A280:A"&amp;"299), A279&amp;RIGHT(INDIRECT(ADDRESS(ROW(A280)-1, 'From Order'!$A280)), 1), A279))"),"CT")</f>
        <v>CT</v>
      </c>
      <c r="B280" s="2" t="str">
        <f>IFERROR(__xludf.DUMMYFUNCTION("IF('From Order'!$A280=COLUMNS($A280:B299), LEFT(INDEX(FILTER(B$1:B279, B$1:B279&lt;&gt;""""),COUNTA(FILTER(B$1:B279, B$1:B279&lt;&gt;""""))), LEN(INDEX(FILTER(B$1:B279, B$1:B279&lt;&gt;""""),COUNTA(FILTER(B$1:B279, B$1:B279&lt;&gt;""""))))-1), IF('To Order'!$A280=COLUMNS($A280:B"&amp;"299), B279&amp;RIGHT(INDIRECT(ADDRESS(ROW(B280)-1, 'From Order'!$A280)), 1), B279))"),"SWFBJLRLB")</f>
        <v>SWFBJLRLB</v>
      </c>
      <c r="C280" s="2" t="str">
        <f>IFERROR(__xludf.DUMMYFUNCTION("IF('From Order'!$A280=COLUMNS($A280:C299), LEFT(INDEX(FILTER(C$1:C279, C$1:C279&lt;&gt;""""),COUNTA(FILTER(C$1:C279, C$1:C279&lt;&gt;""""))), LEN(INDEX(FILTER(C$1:C279, C$1:C279&lt;&gt;""""),COUNTA(FILTER(C$1:C279, C$1:C279&lt;&gt;""""))))-1), IF('To Order'!$A280=COLUMNS($A280:C"&amp;"299), C279&amp;RIGHT(INDIRECT(ADDRESS(ROW(C280)-1, 'From Order'!$A280)), 1), C279))"),"")</f>
        <v/>
      </c>
      <c r="D280" s="2" t="str">
        <f>IFERROR(__xludf.DUMMYFUNCTION("IF('From Order'!$A280=COLUMNS($A280:D299), LEFT(INDEX(FILTER(D$1:D279, D$1:D279&lt;&gt;""""),COUNTA(FILTER(D$1:D279, D$1:D279&lt;&gt;""""))), LEN(INDEX(FILTER(D$1:D279, D$1:D279&lt;&gt;""""),COUNTA(FILTER(D$1:D279, D$1:D279&lt;&gt;""""))))-1), IF('To Order'!$A280=COLUMNS($A280:D"&amp;"299), D279&amp;RIGHT(INDIRECT(ADDRESS(ROW(D280)-1, 'From Order'!$A280)), 1), D279))"),"DLR")</f>
        <v>DLR</v>
      </c>
      <c r="E280" s="2" t="str">
        <f>IFERROR(__xludf.DUMMYFUNCTION("IF('From Order'!$A280=COLUMNS($A280:E299), LEFT(INDEX(FILTER(E$1:E279, E$1:E279&lt;&gt;""""),COUNTA(FILTER(E$1:E279, E$1:E279&lt;&gt;""""))), LEN(INDEX(FILTER(E$1:E279, E$1:E279&lt;&gt;""""),COUNTA(FILTER(E$1:E279, E$1:E279&lt;&gt;""""))))-1), IF('To Order'!$A280=COLUMNS($A280:E"&amp;"299), E279&amp;RIGHT(INDIRECT(ADDRESS(ROW(E280)-1, 'From Order'!$A280)), 1), E279))"),"")</f>
        <v/>
      </c>
      <c r="F280" s="2" t="str">
        <f>IFERROR(__xludf.DUMMYFUNCTION("IF('From Order'!$A280=COLUMNS($A280:F299), LEFT(INDEX(FILTER(F$1:F279, F$1:F279&lt;&gt;""""),COUNTA(FILTER(F$1:F279, F$1:F279&lt;&gt;""""))), LEN(INDEX(FILTER(F$1:F279, F$1:F279&lt;&gt;""""),COUNTA(FILTER(F$1:F279, F$1:F279&lt;&gt;""""))))-1), IF('To Order'!$A280=COLUMNS($A280:F"&amp;"299), F279&amp;RIGHT(INDIRECT(ADDRESS(ROW(F280)-1, 'From Order'!$A280)), 1), F279))"),"HSPVMZDDTZRWTJTVCBRQPDSVRZH")</f>
        <v>HSPVMZDDTZRWTJTVCBRQPDSVRZH</v>
      </c>
      <c r="G280" s="2" t="str">
        <f>IFERROR(__xludf.DUMMYFUNCTION("IF('From Order'!$A280=COLUMNS($A280:G299), LEFT(INDEX(FILTER(G$1:G279, G$1:G279&lt;&gt;""""),COUNTA(FILTER(G$1:G279, G$1:G279&lt;&gt;""""))), LEN(INDEX(FILTER(G$1:G279, G$1:G279&lt;&gt;""""),COUNTA(FILTER(G$1:G279, G$1:G279&lt;&gt;""""))))-1), IF('To Order'!$A280=COLUMNS($A280:G"&amp;"299), G279&amp;RIGHT(INDIRECT(ADDRESS(ROW(G280)-1, 'From Order'!$A280)), 1), G279))"),"")</f>
        <v/>
      </c>
      <c r="H280" s="2" t="str">
        <f>IFERROR(__xludf.DUMMYFUNCTION("IF('From Order'!$A280=COLUMNS($A280:H299), LEFT(INDEX(FILTER(H$1:H279, H$1:H279&lt;&gt;""""),COUNTA(FILTER(H$1:H279, H$1:H279&lt;&gt;""""))), LEN(INDEX(FILTER(H$1:H279, H$1:H279&lt;&gt;""""),COUNTA(FILTER(H$1:H279, H$1:H279&lt;&gt;""""))))-1), IF('To Order'!$A280=COLUMNS($A280:H"&amp;"299), H279&amp;RIGHT(INDIRECT(ADDRESS(ROW(H280)-1, 'From Order'!$A280)), 1), H279))"),"MFTMQCDT")</f>
        <v>MFTMQCDT</v>
      </c>
      <c r="I280" s="2" t="str">
        <f>IFERROR(__xludf.DUMMYFUNCTION("IF('From Order'!$A280=COLUMNS($A280:I299), LEFT(INDEX(FILTER(I$1:I279, I$1:I279&lt;&gt;""""),COUNTA(FILTER(I$1:I279, I$1:I279&lt;&gt;""""))), LEN(INDEX(FILTER(I$1:I279, I$1:I279&lt;&gt;""""),COUNTA(FILTER(I$1:I279, I$1:I279&lt;&gt;""""))))-1), IF('To Order'!$A280=COLUMNS($A280:I"&amp;"299), I279&amp;RIGHT(INDIRECT(ADDRESS(ROW(I280)-1, 'From Order'!$A280)), 1), I279))"),"GPBJDGS")</f>
        <v>GPBJDGS</v>
      </c>
    </row>
    <row r="281">
      <c r="A281" s="2" t="str">
        <f>IFERROR(__xludf.DUMMYFUNCTION("IF('From Order'!$A281=COLUMNS($A281:A300), LEFT(INDEX(FILTER(A$1:A280, A$1:A280&lt;&gt;""""),COUNTA(FILTER(A$1:A280, A$1:A280&lt;&gt;""""))), LEN(INDEX(FILTER(A$1:A280, A$1:A280&lt;&gt;""""),COUNTA(FILTER(A$1:A280, A$1:A280&lt;&gt;""""))))-1), IF('To Order'!$A281=COLUMNS($A281:A"&amp;"300), A280&amp;RIGHT(INDIRECT(ADDRESS(ROW(A281)-1, 'From Order'!$A281)), 1), A280))"),"CT")</f>
        <v>CT</v>
      </c>
      <c r="B281" s="2" t="str">
        <f>IFERROR(__xludf.DUMMYFUNCTION("IF('From Order'!$A281=COLUMNS($A281:B300), LEFT(INDEX(FILTER(B$1:B280, B$1:B280&lt;&gt;""""),COUNTA(FILTER(B$1:B280, B$1:B280&lt;&gt;""""))), LEN(INDEX(FILTER(B$1:B280, B$1:B280&lt;&gt;""""),COUNTA(FILTER(B$1:B280, B$1:B280&lt;&gt;""""))))-1), IF('To Order'!$A281=COLUMNS($A281:B"&amp;"300), B280&amp;RIGHT(INDIRECT(ADDRESS(ROW(B281)-1, 'From Order'!$A281)), 1), B280))"),"SWFBJLRL")</f>
        <v>SWFBJLRL</v>
      </c>
      <c r="C281" s="2" t="str">
        <f>IFERROR(__xludf.DUMMYFUNCTION("IF('From Order'!$A281=COLUMNS($A281:C300), LEFT(INDEX(FILTER(C$1:C280, C$1:C280&lt;&gt;""""),COUNTA(FILTER(C$1:C280, C$1:C280&lt;&gt;""""))), LEN(INDEX(FILTER(C$1:C280, C$1:C280&lt;&gt;""""),COUNTA(FILTER(C$1:C280, C$1:C280&lt;&gt;""""))))-1), IF('To Order'!$A281=COLUMNS($A281:C"&amp;"300), C280&amp;RIGHT(INDIRECT(ADDRESS(ROW(C281)-1, 'From Order'!$A281)), 1), C280))"),"")</f>
        <v/>
      </c>
      <c r="D281" s="2" t="str">
        <f>IFERROR(__xludf.DUMMYFUNCTION("IF('From Order'!$A281=COLUMNS($A281:D300), LEFT(INDEX(FILTER(D$1:D280, D$1:D280&lt;&gt;""""),COUNTA(FILTER(D$1:D280, D$1:D280&lt;&gt;""""))), LEN(INDEX(FILTER(D$1:D280, D$1:D280&lt;&gt;""""),COUNTA(FILTER(D$1:D280, D$1:D280&lt;&gt;""""))))-1), IF('To Order'!$A281=COLUMNS($A281:D"&amp;"300), D280&amp;RIGHT(INDIRECT(ADDRESS(ROW(D281)-1, 'From Order'!$A281)), 1), D280))"),"DLR")</f>
        <v>DLR</v>
      </c>
      <c r="E281" s="2" t="str">
        <f>IFERROR(__xludf.DUMMYFUNCTION("IF('From Order'!$A281=COLUMNS($A281:E300), LEFT(INDEX(FILTER(E$1:E280, E$1:E280&lt;&gt;""""),COUNTA(FILTER(E$1:E280, E$1:E280&lt;&gt;""""))), LEN(INDEX(FILTER(E$1:E280, E$1:E280&lt;&gt;""""),COUNTA(FILTER(E$1:E280, E$1:E280&lt;&gt;""""))))-1), IF('To Order'!$A281=COLUMNS($A281:E"&amp;"300), E280&amp;RIGHT(INDIRECT(ADDRESS(ROW(E281)-1, 'From Order'!$A281)), 1), E280))"),"")</f>
        <v/>
      </c>
      <c r="F281" s="2" t="str">
        <f>IFERROR(__xludf.DUMMYFUNCTION("IF('From Order'!$A281=COLUMNS($A281:F300), LEFT(INDEX(FILTER(F$1:F280, F$1:F280&lt;&gt;""""),COUNTA(FILTER(F$1:F280, F$1:F280&lt;&gt;""""))), LEN(INDEX(FILTER(F$1:F280, F$1:F280&lt;&gt;""""),COUNTA(FILTER(F$1:F280, F$1:F280&lt;&gt;""""))))-1), IF('To Order'!$A281=COLUMNS($A281:F"&amp;"300), F280&amp;RIGHT(INDIRECT(ADDRESS(ROW(F281)-1, 'From Order'!$A281)), 1), F280))"),"HSPVMZDDTZRWTJTVCBRQPDSVRZH")</f>
        <v>HSPVMZDDTZRWTJTVCBRQPDSVRZH</v>
      </c>
      <c r="G281" s="2" t="str">
        <f>IFERROR(__xludf.DUMMYFUNCTION("IF('From Order'!$A281=COLUMNS($A281:G300), LEFT(INDEX(FILTER(G$1:G280, G$1:G280&lt;&gt;""""),COUNTA(FILTER(G$1:G280, G$1:G280&lt;&gt;""""))), LEN(INDEX(FILTER(G$1:G280, G$1:G280&lt;&gt;""""),COUNTA(FILTER(G$1:G280, G$1:G280&lt;&gt;""""))))-1), IF('To Order'!$A281=COLUMNS($A281:G"&amp;"300), G280&amp;RIGHT(INDIRECT(ADDRESS(ROW(G281)-1, 'From Order'!$A281)), 1), G280))"),"")</f>
        <v/>
      </c>
      <c r="H281" s="2" t="str">
        <f>IFERROR(__xludf.DUMMYFUNCTION("IF('From Order'!$A281=COLUMNS($A281:H300), LEFT(INDEX(FILTER(H$1:H280, H$1:H280&lt;&gt;""""),COUNTA(FILTER(H$1:H280, H$1:H280&lt;&gt;""""))), LEN(INDEX(FILTER(H$1:H280, H$1:H280&lt;&gt;""""),COUNTA(FILTER(H$1:H280, H$1:H280&lt;&gt;""""))))-1), IF('To Order'!$A281=COLUMNS($A281:H"&amp;"300), H280&amp;RIGHT(INDIRECT(ADDRESS(ROW(H281)-1, 'From Order'!$A281)), 1), H280))"),"MFTMQCDT")</f>
        <v>MFTMQCDT</v>
      </c>
      <c r="I281" s="2" t="str">
        <f>IFERROR(__xludf.DUMMYFUNCTION("IF('From Order'!$A281=COLUMNS($A281:I300), LEFT(INDEX(FILTER(I$1:I280, I$1:I280&lt;&gt;""""),COUNTA(FILTER(I$1:I280, I$1:I280&lt;&gt;""""))), LEN(INDEX(FILTER(I$1:I280, I$1:I280&lt;&gt;""""),COUNTA(FILTER(I$1:I280, I$1:I280&lt;&gt;""""))))-1), IF('To Order'!$A281=COLUMNS($A281:I"&amp;"300), I280&amp;RIGHT(INDIRECT(ADDRESS(ROW(I281)-1, 'From Order'!$A281)), 1), I280))"),"GPBJDGSB")</f>
        <v>GPBJDGSB</v>
      </c>
    </row>
    <row r="282">
      <c r="A282" s="2" t="str">
        <f>IFERROR(__xludf.DUMMYFUNCTION("IF('From Order'!$A282=COLUMNS($A282:A301), LEFT(INDEX(FILTER(A$1:A281, A$1:A281&lt;&gt;""""),COUNTA(FILTER(A$1:A281, A$1:A281&lt;&gt;""""))), LEN(INDEX(FILTER(A$1:A281, A$1:A281&lt;&gt;""""),COUNTA(FILTER(A$1:A281, A$1:A281&lt;&gt;""""))))-1), IF('To Order'!$A282=COLUMNS($A282:A"&amp;"301), A281&amp;RIGHT(INDIRECT(ADDRESS(ROW(A282)-1, 'From Order'!$A282)), 1), A281))"),"CT")</f>
        <v>CT</v>
      </c>
      <c r="B282" s="2" t="str">
        <f>IFERROR(__xludf.DUMMYFUNCTION("IF('From Order'!$A282=COLUMNS($A282:B301), LEFT(INDEX(FILTER(B$1:B281, B$1:B281&lt;&gt;""""),COUNTA(FILTER(B$1:B281, B$1:B281&lt;&gt;""""))), LEN(INDEX(FILTER(B$1:B281, B$1:B281&lt;&gt;""""),COUNTA(FILTER(B$1:B281, B$1:B281&lt;&gt;""""))))-1), IF('To Order'!$A282=COLUMNS($A282:B"&amp;"301), B281&amp;RIGHT(INDIRECT(ADDRESS(ROW(B282)-1, 'From Order'!$A282)), 1), B281))"),"SWFBJLR")</f>
        <v>SWFBJLR</v>
      </c>
      <c r="C282" s="2" t="str">
        <f>IFERROR(__xludf.DUMMYFUNCTION("IF('From Order'!$A282=COLUMNS($A282:C301), LEFT(INDEX(FILTER(C$1:C281, C$1:C281&lt;&gt;""""),COUNTA(FILTER(C$1:C281, C$1:C281&lt;&gt;""""))), LEN(INDEX(FILTER(C$1:C281, C$1:C281&lt;&gt;""""),COUNTA(FILTER(C$1:C281, C$1:C281&lt;&gt;""""))))-1), IF('To Order'!$A282=COLUMNS($A282:C"&amp;"301), C281&amp;RIGHT(INDIRECT(ADDRESS(ROW(C282)-1, 'From Order'!$A282)), 1), C281))"),"")</f>
        <v/>
      </c>
      <c r="D282" s="2" t="str">
        <f>IFERROR(__xludf.DUMMYFUNCTION("IF('From Order'!$A282=COLUMNS($A282:D301), LEFT(INDEX(FILTER(D$1:D281, D$1:D281&lt;&gt;""""),COUNTA(FILTER(D$1:D281, D$1:D281&lt;&gt;""""))), LEN(INDEX(FILTER(D$1:D281, D$1:D281&lt;&gt;""""),COUNTA(FILTER(D$1:D281, D$1:D281&lt;&gt;""""))))-1), IF('To Order'!$A282=COLUMNS($A282:D"&amp;"301), D281&amp;RIGHT(INDIRECT(ADDRESS(ROW(D282)-1, 'From Order'!$A282)), 1), D281))"),"DLR")</f>
        <v>DLR</v>
      </c>
      <c r="E282" s="2" t="str">
        <f>IFERROR(__xludf.DUMMYFUNCTION("IF('From Order'!$A282=COLUMNS($A282:E301), LEFT(INDEX(FILTER(E$1:E281, E$1:E281&lt;&gt;""""),COUNTA(FILTER(E$1:E281, E$1:E281&lt;&gt;""""))), LEN(INDEX(FILTER(E$1:E281, E$1:E281&lt;&gt;""""),COUNTA(FILTER(E$1:E281, E$1:E281&lt;&gt;""""))))-1), IF('To Order'!$A282=COLUMNS($A282:E"&amp;"301), E281&amp;RIGHT(INDIRECT(ADDRESS(ROW(E282)-1, 'From Order'!$A282)), 1), E281))"),"")</f>
        <v/>
      </c>
      <c r="F282" s="2" t="str">
        <f>IFERROR(__xludf.DUMMYFUNCTION("IF('From Order'!$A282=COLUMNS($A282:F301), LEFT(INDEX(FILTER(F$1:F281, F$1:F281&lt;&gt;""""),COUNTA(FILTER(F$1:F281, F$1:F281&lt;&gt;""""))), LEN(INDEX(FILTER(F$1:F281, F$1:F281&lt;&gt;""""),COUNTA(FILTER(F$1:F281, F$1:F281&lt;&gt;""""))))-1), IF('To Order'!$A282=COLUMNS($A282:F"&amp;"301), F281&amp;RIGHT(INDIRECT(ADDRESS(ROW(F282)-1, 'From Order'!$A282)), 1), F281))"),"HSPVMZDDTZRWTJTVCBRQPDSVRZH")</f>
        <v>HSPVMZDDTZRWTJTVCBRQPDSVRZH</v>
      </c>
      <c r="G282" s="2" t="str">
        <f>IFERROR(__xludf.DUMMYFUNCTION("IF('From Order'!$A282=COLUMNS($A282:G301), LEFT(INDEX(FILTER(G$1:G281, G$1:G281&lt;&gt;""""),COUNTA(FILTER(G$1:G281, G$1:G281&lt;&gt;""""))), LEN(INDEX(FILTER(G$1:G281, G$1:G281&lt;&gt;""""),COUNTA(FILTER(G$1:G281, G$1:G281&lt;&gt;""""))))-1), IF('To Order'!$A282=COLUMNS($A282:G"&amp;"301), G281&amp;RIGHT(INDIRECT(ADDRESS(ROW(G282)-1, 'From Order'!$A282)), 1), G281))"),"")</f>
        <v/>
      </c>
      <c r="H282" s="2" t="str">
        <f>IFERROR(__xludf.DUMMYFUNCTION("IF('From Order'!$A282=COLUMNS($A282:H301), LEFT(INDEX(FILTER(H$1:H281, H$1:H281&lt;&gt;""""),COUNTA(FILTER(H$1:H281, H$1:H281&lt;&gt;""""))), LEN(INDEX(FILTER(H$1:H281, H$1:H281&lt;&gt;""""),COUNTA(FILTER(H$1:H281, H$1:H281&lt;&gt;""""))))-1), IF('To Order'!$A282=COLUMNS($A282:H"&amp;"301), H281&amp;RIGHT(INDIRECT(ADDRESS(ROW(H282)-1, 'From Order'!$A282)), 1), H281))"),"MFTMQCDT")</f>
        <v>MFTMQCDT</v>
      </c>
      <c r="I282" s="2" t="str">
        <f>IFERROR(__xludf.DUMMYFUNCTION("IF('From Order'!$A282=COLUMNS($A282:I301), LEFT(INDEX(FILTER(I$1:I281, I$1:I281&lt;&gt;""""),COUNTA(FILTER(I$1:I281, I$1:I281&lt;&gt;""""))), LEN(INDEX(FILTER(I$1:I281, I$1:I281&lt;&gt;""""),COUNTA(FILTER(I$1:I281, I$1:I281&lt;&gt;""""))))-1), IF('To Order'!$A282=COLUMNS($A282:I"&amp;"301), I281&amp;RIGHT(INDIRECT(ADDRESS(ROW(I282)-1, 'From Order'!$A282)), 1), I281))"),"GPBJDGSBL")</f>
        <v>GPBJDGSBL</v>
      </c>
    </row>
    <row r="283">
      <c r="A283" s="2" t="str">
        <f>IFERROR(__xludf.DUMMYFUNCTION("IF('From Order'!$A283=COLUMNS($A283:A302), LEFT(INDEX(FILTER(A$1:A282, A$1:A282&lt;&gt;""""),COUNTA(FILTER(A$1:A282, A$1:A282&lt;&gt;""""))), LEN(INDEX(FILTER(A$1:A282, A$1:A282&lt;&gt;""""),COUNTA(FILTER(A$1:A282, A$1:A282&lt;&gt;""""))))-1), IF('To Order'!$A283=COLUMNS($A283:A"&amp;"302), A282&amp;RIGHT(INDIRECT(ADDRESS(ROW(A283)-1, 'From Order'!$A283)), 1), A282))"),"CT")</f>
        <v>CT</v>
      </c>
      <c r="B283" s="2" t="str">
        <f>IFERROR(__xludf.DUMMYFUNCTION("IF('From Order'!$A283=COLUMNS($A283:B302), LEFT(INDEX(FILTER(B$1:B282, B$1:B282&lt;&gt;""""),COUNTA(FILTER(B$1:B282, B$1:B282&lt;&gt;""""))), LEN(INDEX(FILTER(B$1:B282, B$1:B282&lt;&gt;""""),COUNTA(FILTER(B$1:B282, B$1:B282&lt;&gt;""""))))-1), IF('To Order'!$A283=COLUMNS($A283:B"&amp;"302), B282&amp;RIGHT(INDIRECT(ADDRESS(ROW(B283)-1, 'From Order'!$A283)), 1), B282))"),"SWFBJL")</f>
        <v>SWFBJL</v>
      </c>
      <c r="C283" s="2" t="str">
        <f>IFERROR(__xludf.DUMMYFUNCTION("IF('From Order'!$A283=COLUMNS($A283:C302), LEFT(INDEX(FILTER(C$1:C282, C$1:C282&lt;&gt;""""),COUNTA(FILTER(C$1:C282, C$1:C282&lt;&gt;""""))), LEN(INDEX(FILTER(C$1:C282, C$1:C282&lt;&gt;""""),COUNTA(FILTER(C$1:C282, C$1:C282&lt;&gt;""""))))-1), IF('To Order'!$A283=COLUMNS($A283:C"&amp;"302), C282&amp;RIGHT(INDIRECT(ADDRESS(ROW(C283)-1, 'From Order'!$A283)), 1), C282))"),"")</f>
        <v/>
      </c>
      <c r="D283" s="2" t="str">
        <f>IFERROR(__xludf.DUMMYFUNCTION("IF('From Order'!$A283=COLUMNS($A283:D302), LEFT(INDEX(FILTER(D$1:D282, D$1:D282&lt;&gt;""""),COUNTA(FILTER(D$1:D282, D$1:D282&lt;&gt;""""))), LEN(INDEX(FILTER(D$1:D282, D$1:D282&lt;&gt;""""),COUNTA(FILTER(D$1:D282, D$1:D282&lt;&gt;""""))))-1), IF('To Order'!$A283=COLUMNS($A283:D"&amp;"302), D282&amp;RIGHT(INDIRECT(ADDRESS(ROW(D283)-1, 'From Order'!$A283)), 1), D282))"),"DLR")</f>
        <v>DLR</v>
      </c>
      <c r="E283" s="2" t="str">
        <f>IFERROR(__xludf.DUMMYFUNCTION("IF('From Order'!$A283=COLUMNS($A283:E302), LEFT(INDEX(FILTER(E$1:E282, E$1:E282&lt;&gt;""""),COUNTA(FILTER(E$1:E282, E$1:E282&lt;&gt;""""))), LEN(INDEX(FILTER(E$1:E282, E$1:E282&lt;&gt;""""),COUNTA(FILTER(E$1:E282, E$1:E282&lt;&gt;""""))))-1), IF('To Order'!$A283=COLUMNS($A283:E"&amp;"302), E282&amp;RIGHT(INDIRECT(ADDRESS(ROW(E283)-1, 'From Order'!$A283)), 1), E282))"),"")</f>
        <v/>
      </c>
      <c r="F283" s="2" t="str">
        <f>IFERROR(__xludf.DUMMYFUNCTION("IF('From Order'!$A283=COLUMNS($A283:F302), LEFT(INDEX(FILTER(F$1:F282, F$1:F282&lt;&gt;""""),COUNTA(FILTER(F$1:F282, F$1:F282&lt;&gt;""""))), LEN(INDEX(FILTER(F$1:F282, F$1:F282&lt;&gt;""""),COUNTA(FILTER(F$1:F282, F$1:F282&lt;&gt;""""))))-1), IF('To Order'!$A283=COLUMNS($A283:F"&amp;"302), F282&amp;RIGHT(INDIRECT(ADDRESS(ROW(F283)-1, 'From Order'!$A283)), 1), F282))"),"HSPVMZDDTZRWTJTVCBRQPDSVRZH")</f>
        <v>HSPVMZDDTZRWTJTVCBRQPDSVRZH</v>
      </c>
      <c r="G283" s="2" t="str">
        <f>IFERROR(__xludf.DUMMYFUNCTION("IF('From Order'!$A283=COLUMNS($A283:G302), LEFT(INDEX(FILTER(G$1:G282, G$1:G282&lt;&gt;""""),COUNTA(FILTER(G$1:G282, G$1:G282&lt;&gt;""""))), LEN(INDEX(FILTER(G$1:G282, G$1:G282&lt;&gt;""""),COUNTA(FILTER(G$1:G282, G$1:G282&lt;&gt;""""))))-1), IF('To Order'!$A283=COLUMNS($A283:G"&amp;"302), G282&amp;RIGHT(INDIRECT(ADDRESS(ROW(G283)-1, 'From Order'!$A283)), 1), G282))"),"")</f>
        <v/>
      </c>
      <c r="H283" s="2" t="str">
        <f>IFERROR(__xludf.DUMMYFUNCTION("IF('From Order'!$A283=COLUMNS($A283:H302), LEFT(INDEX(FILTER(H$1:H282, H$1:H282&lt;&gt;""""),COUNTA(FILTER(H$1:H282, H$1:H282&lt;&gt;""""))), LEN(INDEX(FILTER(H$1:H282, H$1:H282&lt;&gt;""""),COUNTA(FILTER(H$1:H282, H$1:H282&lt;&gt;""""))))-1), IF('To Order'!$A283=COLUMNS($A283:H"&amp;"302), H282&amp;RIGHT(INDIRECT(ADDRESS(ROW(H283)-1, 'From Order'!$A283)), 1), H282))"),"MFTMQCDT")</f>
        <v>MFTMQCDT</v>
      </c>
      <c r="I283" s="2" t="str">
        <f>IFERROR(__xludf.DUMMYFUNCTION("IF('From Order'!$A283=COLUMNS($A283:I302), LEFT(INDEX(FILTER(I$1:I282, I$1:I282&lt;&gt;""""),COUNTA(FILTER(I$1:I282, I$1:I282&lt;&gt;""""))), LEN(INDEX(FILTER(I$1:I282, I$1:I282&lt;&gt;""""),COUNTA(FILTER(I$1:I282, I$1:I282&lt;&gt;""""))))-1), IF('To Order'!$A283=COLUMNS($A283:I"&amp;"302), I282&amp;RIGHT(INDIRECT(ADDRESS(ROW(I283)-1, 'From Order'!$A283)), 1), I282))"),"GPBJDGSBLR")</f>
        <v>GPBJDGSBLR</v>
      </c>
    </row>
    <row r="284">
      <c r="A284" s="2" t="str">
        <f>IFERROR(__xludf.DUMMYFUNCTION("IF('From Order'!$A284=COLUMNS($A284:A303), LEFT(INDEX(FILTER(A$1:A283, A$1:A283&lt;&gt;""""),COUNTA(FILTER(A$1:A283, A$1:A283&lt;&gt;""""))), LEN(INDEX(FILTER(A$1:A283, A$1:A283&lt;&gt;""""),COUNTA(FILTER(A$1:A283, A$1:A283&lt;&gt;""""))))-1), IF('To Order'!$A284=COLUMNS($A284:A"&amp;"303), A283&amp;RIGHT(INDIRECT(ADDRESS(ROW(A284)-1, 'From Order'!$A284)), 1), A283))"),"CT")</f>
        <v>CT</v>
      </c>
      <c r="B284" s="2" t="str">
        <f>IFERROR(__xludf.DUMMYFUNCTION("IF('From Order'!$A284=COLUMNS($A284:B303), LEFT(INDEX(FILTER(B$1:B283, B$1:B283&lt;&gt;""""),COUNTA(FILTER(B$1:B283, B$1:B283&lt;&gt;""""))), LEN(INDEX(FILTER(B$1:B283, B$1:B283&lt;&gt;""""),COUNTA(FILTER(B$1:B283, B$1:B283&lt;&gt;""""))))-1), IF('To Order'!$A284=COLUMNS($A284:B"&amp;"303), B283&amp;RIGHT(INDIRECT(ADDRESS(ROW(B284)-1, 'From Order'!$A284)), 1), B283))"),"SWFBJL")</f>
        <v>SWFBJL</v>
      </c>
      <c r="C284" s="2" t="str">
        <f>IFERROR(__xludf.DUMMYFUNCTION("IF('From Order'!$A284=COLUMNS($A284:C303), LEFT(INDEX(FILTER(C$1:C283, C$1:C283&lt;&gt;""""),COUNTA(FILTER(C$1:C283, C$1:C283&lt;&gt;""""))), LEN(INDEX(FILTER(C$1:C283, C$1:C283&lt;&gt;""""),COUNTA(FILTER(C$1:C283, C$1:C283&lt;&gt;""""))))-1), IF('To Order'!$A284=COLUMNS($A284:C"&amp;"303), C283&amp;RIGHT(INDIRECT(ADDRESS(ROW(C284)-1, 'From Order'!$A284)), 1), C283))"),"")</f>
        <v/>
      </c>
      <c r="D284" s="2" t="str">
        <f>IFERROR(__xludf.DUMMYFUNCTION("IF('From Order'!$A284=COLUMNS($A284:D303), LEFT(INDEX(FILTER(D$1:D283, D$1:D283&lt;&gt;""""),COUNTA(FILTER(D$1:D283, D$1:D283&lt;&gt;""""))), LEN(INDEX(FILTER(D$1:D283, D$1:D283&lt;&gt;""""),COUNTA(FILTER(D$1:D283, D$1:D283&lt;&gt;""""))))-1), IF('To Order'!$A284=COLUMNS($A284:D"&amp;"303), D283&amp;RIGHT(INDIRECT(ADDRESS(ROW(D284)-1, 'From Order'!$A284)), 1), D283))"),"DLRT")</f>
        <v>DLRT</v>
      </c>
      <c r="E284" s="2" t="str">
        <f>IFERROR(__xludf.DUMMYFUNCTION("IF('From Order'!$A284=COLUMNS($A284:E303), LEFT(INDEX(FILTER(E$1:E283, E$1:E283&lt;&gt;""""),COUNTA(FILTER(E$1:E283, E$1:E283&lt;&gt;""""))), LEN(INDEX(FILTER(E$1:E283, E$1:E283&lt;&gt;""""),COUNTA(FILTER(E$1:E283, E$1:E283&lt;&gt;""""))))-1), IF('To Order'!$A284=COLUMNS($A284:E"&amp;"303), E283&amp;RIGHT(INDIRECT(ADDRESS(ROW(E284)-1, 'From Order'!$A284)), 1), E283))"),"")</f>
        <v/>
      </c>
      <c r="F284" s="2" t="str">
        <f>IFERROR(__xludf.DUMMYFUNCTION("IF('From Order'!$A284=COLUMNS($A284:F303), LEFT(INDEX(FILTER(F$1:F283, F$1:F283&lt;&gt;""""),COUNTA(FILTER(F$1:F283, F$1:F283&lt;&gt;""""))), LEN(INDEX(FILTER(F$1:F283, F$1:F283&lt;&gt;""""),COUNTA(FILTER(F$1:F283, F$1:F283&lt;&gt;""""))))-1), IF('To Order'!$A284=COLUMNS($A284:F"&amp;"303), F283&amp;RIGHT(INDIRECT(ADDRESS(ROW(F284)-1, 'From Order'!$A284)), 1), F283))"),"HSPVMZDDTZRWTJTVCBRQPDSVRZH")</f>
        <v>HSPVMZDDTZRWTJTVCBRQPDSVRZH</v>
      </c>
      <c r="G284" s="2" t="str">
        <f>IFERROR(__xludf.DUMMYFUNCTION("IF('From Order'!$A284=COLUMNS($A284:G303), LEFT(INDEX(FILTER(G$1:G283, G$1:G283&lt;&gt;""""),COUNTA(FILTER(G$1:G283, G$1:G283&lt;&gt;""""))), LEN(INDEX(FILTER(G$1:G283, G$1:G283&lt;&gt;""""),COUNTA(FILTER(G$1:G283, G$1:G283&lt;&gt;""""))))-1), IF('To Order'!$A284=COLUMNS($A284:G"&amp;"303), G283&amp;RIGHT(INDIRECT(ADDRESS(ROW(G284)-1, 'From Order'!$A284)), 1), G283))"),"")</f>
        <v/>
      </c>
      <c r="H284" s="2" t="str">
        <f>IFERROR(__xludf.DUMMYFUNCTION("IF('From Order'!$A284=COLUMNS($A284:H303), LEFT(INDEX(FILTER(H$1:H283, H$1:H283&lt;&gt;""""),COUNTA(FILTER(H$1:H283, H$1:H283&lt;&gt;""""))), LEN(INDEX(FILTER(H$1:H283, H$1:H283&lt;&gt;""""),COUNTA(FILTER(H$1:H283, H$1:H283&lt;&gt;""""))))-1), IF('To Order'!$A284=COLUMNS($A284:H"&amp;"303), H283&amp;RIGHT(INDIRECT(ADDRESS(ROW(H284)-1, 'From Order'!$A284)), 1), H283))"),"MFTMQCD")</f>
        <v>MFTMQCD</v>
      </c>
      <c r="I284" s="2" t="str">
        <f>IFERROR(__xludf.DUMMYFUNCTION("IF('From Order'!$A284=COLUMNS($A284:I303), LEFT(INDEX(FILTER(I$1:I283, I$1:I283&lt;&gt;""""),COUNTA(FILTER(I$1:I283, I$1:I283&lt;&gt;""""))), LEN(INDEX(FILTER(I$1:I283, I$1:I283&lt;&gt;""""),COUNTA(FILTER(I$1:I283, I$1:I283&lt;&gt;""""))))-1), IF('To Order'!$A284=COLUMNS($A284:I"&amp;"303), I283&amp;RIGHT(INDIRECT(ADDRESS(ROW(I284)-1, 'From Order'!$A284)), 1), I283))"),"GPBJDGSBLR")</f>
        <v>GPBJDGSBLR</v>
      </c>
    </row>
    <row r="285">
      <c r="A285" s="2" t="str">
        <f>IFERROR(__xludf.DUMMYFUNCTION("IF('From Order'!$A285=COLUMNS($A285:A304), LEFT(INDEX(FILTER(A$1:A284, A$1:A284&lt;&gt;""""),COUNTA(FILTER(A$1:A284, A$1:A284&lt;&gt;""""))), LEN(INDEX(FILTER(A$1:A284, A$1:A284&lt;&gt;""""),COUNTA(FILTER(A$1:A284, A$1:A284&lt;&gt;""""))))-1), IF('To Order'!$A285=COLUMNS($A285:A"&amp;"304), A284&amp;RIGHT(INDIRECT(ADDRESS(ROW(A285)-1, 'From Order'!$A285)), 1), A284))"),"CT")</f>
        <v>CT</v>
      </c>
      <c r="B285" s="2" t="str">
        <f>IFERROR(__xludf.DUMMYFUNCTION("IF('From Order'!$A285=COLUMNS($A285:B304), LEFT(INDEX(FILTER(B$1:B284, B$1:B284&lt;&gt;""""),COUNTA(FILTER(B$1:B284, B$1:B284&lt;&gt;""""))), LEN(INDEX(FILTER(B$1:B284, B$1:B284&lt;&gt;""""),COUNTA(FILTER(B$1:B284, B$1:B284&lt;&gt;""""))))-1), IF('To Order'!$A285=COLUMNS($A285:B"&amp;"304), B284&amp;RIGHT(INDIRECT(ADDRESS(ROW(B285)-1, 'From Order'!$A285)), 1), B284))"),"SWFBJL")</f>
        <v>SWFBJL</v>
      </c>
      <c r="C285" s="2" t="str">
        <f>IFERROR(__xludf.DUMMYFUNCTION("IF('From Order'!$A285=COLUMNS($A285:C304), LEFT(INDEX(FILTER(C$1:C284, C$1:C284&lt;&gt;""""),COUNTA(FILTER(C$1:C284, C$1:C284&lt;&gt;""""))), LEN(INDEX(FILTER(C$1:C284, C$1:C284&lt;&gt;""""),COUNTA(FILTER(C$1:C284, C$1:C284&lt;&gt;""""))))-1), IF('To Order'!$A285=COLUMNS($A285:C"&amp;"304), C284&amp;RIGHT(INDIRECT(ADDRESS(ROW(C285)-1, 'From Order'!$A285)), 1), C284))"),"")</f>
        <v/>
      </c>
      <c r="D285" s="2" t="str">
        <f>IFERROR(__xludf.DUMMYFUNCTION("IF('From Order'!$A285=COLUMNS($A285:D304), LEFT(INDEX(FILTER(D$1:D284, D$1:D284&lt;&gt;""""),COUNTA(FILTER(D$1:D284, D$1:D284&lt;&gt;""""))), LEN(INDEX(FILTER(D$1:D284, D$1:D284&lt;&gt;""""),COUNTA(FILTER(D$1:D284, D$1:D284&lt;&gt;""""))))-1), IF('To Order'!$A285=COLUMNS($A285:D"&amp;"304), D284&amp;RIGHT(INDIRECT(ADDRESS(ROW(D285)-1, 'From Order'!$A285)), 1), D284))"),"DLRTD")</f>
        <v>DLRTD</v>
      </c>
      <c r="E285" s="2" t="str">
        <f>IFERROR(__xludf.DUMMYFUNCTION("IF('From Order'!$A285=COLUMNS($A285:E304), LEFT(INDEX(FILTER(E$1:E284, E$1:E284&lt;&gt;""""),COUNTA(FILTER(E$1:E284, E$1:E284&lt;&gt;""""))), LEN(INDEX(FILTER(E$1:E284, E$1:E284&lt;&gt;""""),COUNTA(FILTER(E$1:E284, E$1:E284&lt;&gt;""""))))-1), IF('To Order'!$A285=COLUMNS($A285:E"&amp;"304), E284&amp;RIGHT(INDIRECT(ADDRESS(ROW(E285)-1, 'From Order'!$A285)), 1), E284))"),"")</f>
        <v/>
      </c>
      <c r="F285" s="2" t="str">
        <f>IFERROR(__xludf.DUMMYFUNCTION("IF('From Order'!$A285=COLUMNS($A285:F304), LEFT(INDEX(FILTER(F$1:F284, F$1:F284&lt;&gt;""""),COUNTA(FILTER(F$1:F284, F$1:F284&lt;&gt;""""))), LEN(INDEX(FILTER(F$1:F284, F$1:F284&lt;&gt;""""),COUNTA(FILTER(F$1:F284, F$1:F284&lt;&gt;""""))))-1), IF('To Order'!$A285=COLUMNS($A285:F"&amp;"304), F284&amp;RIGHT(INDIRECT(ADDRESS(ROW(F285)-1, 'From Order'!$A285)), 1), F284))"),"HSPVMZDDTZRWTJTVCBRQPDSVRZH")</f>
        <v>HSPVMZDDTZRWTJTVCBRQPDSVRZH</v>
      </c>
      <c r="G285" s="2" t="str">
        <f>IFERROR(__xludf.DUMMYFUNCTION("IF('From Order'!$A285=COLUMNS($A285:G304), LEFT(INDEX(FILTER(G$1:G284, G$1:G284&lt;&gt;""""),COUNTA(FILTER(G$1:G284, G$1:G284&lt;&gt;""""))), LEN(INDEX(FILTER(G$1:G284, G$1:G284&lt;&gt;""""),COUNTA(FILTER(G$1:G284, G$1:G284&lt;&gt;""""))))-1), IF('To Order'!$A285=COLUMNS($A285:G"&amp;"304), G284&amp;RIGHT(INDIRECT(ADDRESS(ROW(G285)-1, 'From Order'!$A285)), 1), G284))"),"")</f>
        <v/>
      </c>
      <c r="H285" s="2" t="str">
        <f>IFERROR(__xludf.DUMMYFUNCTION("IF('From Order'!$A285=COLUMNS($A285:H304), LEFT(INDEX(FILTER(H$1:H284, H$1:H284&lt;&gt;""""),COUNTA(FILTER(H$1:H284, H$1:H284&lt;&gt;""""))), LEN(INDEX(FILTER(H$1:H284, H$1:H284&lt;&gt;""""),COUNTA(FILTER(H$1:H284, H$1:H284&lt;&gt;""""))))-1), IF('To Order'!$A285=COLUMNS($A285:H"&amp;"304), H284&amp;RIGHT(INDIRECT(ADDRESS(ROW(H285)-1, 'From Order'!$A285)), 1), H284))"),"MFTMQC")</f>
        <v>MFTMQC</v>
      </c>
      <c r="I285" s="2" t="str">
        <f>IFERROR(__xludf.DUMMYFUNCTION("IF('From Order'!$A285=COLUMNS($A285:I304), LEFT(INDEX(FILTER(I$1:I284, I$1:I284&lt;&gt;""""),COUNTA(FILTER(I$1:I284, I$1:I284&lt;&gt;""""))), LEN(INDEX(FILTER(I$1:I284, I$1:I284&lt;&gt;""""),COUNTA(FILTER(I$1:I284, I$1:I284&lt;&gt;""""))))-1), IF('To Order'!$A285=COLUMNS($A285:I"&amp;"304), I284&amp;RIGHT(INDIRECT(ADDRESS(ROW(I285)-1, 'From Order'!$A285)), 1), I284))"),"GPBJDGSBLR")</f>
        <v>GPBJDGSBLR</v>
      </c>
    </row>
    <row r="286">
      <c r="A286" s="2" t="str">
        <f>IFERROR(__xludf.DUMMYFUNCTION("IF('From Order'!$A286=COLUMNS($A286:A305), LEFT(INDEX(FILTER(A$1:A285, A$1:A285&lt;&gt;""""),COUNTA(FILTER(A$1:A285, A$1:A285&lt;&gt;""""))), LEN(INDEX(FILTER(A$1:A285, A$1:A285&lt;&gt;""""),COUNTA(FILTER(A$1:A285, A$1:A285&lt;&gt;""""))))-1), IF('To Order'!$A286=COLUMNS($A286:A"&amp;"305), A285&amp;RIGHT(INDIRECT(ADDRESS(ROW(A286)-1, 'From Order'!$A286)), 1), A285))"),"CT")</f>
        <v>CT</v>
      </c>
      <c r="B286" s="2" t="str">
        <f>IFERROR(__xludf.DUMMYFUNCTION("IF('From Order'!$A286=COLUMNS($A286:B305), LEFT(INDEX(FILTER(B$1:B285, B$1:B285&lt;&gt;""""),COUNTA(FILTER(B$1:B285, B$1:B285&lt;&gt;""""))), LEN(INDEX(FILTER(B$1:B285, B$1:B285&lt;&gt;""""),COUNTA(FILTER(B$1:B285, B$1:B285&lt;&gt;""""))))-1), IF('To Order'!$A286=COLUMNS($A286:B"&amp;"305), B285&amp;RIGHT(INDIRECT(ADDRESS(ROW(B286)-1, 'From Order'!$A286)), 1), B285))"),"SWFBJL")</f>
        <v>SWFBJL</v>
      </c>
      <c r="C286" s="2" t="str">
        <f>IFERROR(__xludf.DUMMYFUNCTION("IF('From Order'!$A286=COLUMNS($A286:C305), LEFT(INDEX(FILTER(C$1:C285, C$1:C285&lt;&gt;""""),COUNTA(FILTER(C$1:C285, C$1:C285&lt;&gt;""""))), LEN(INDEX(FILTER(C$1:C285, C$1:C285&lt;&gt;""""),COUNTA(FILTER(C$1:C285, C$1:C285&lt;&gt;""""))))-1), IF('To Order'!$A286=COLUMNS($A286:C"&amp;"305), C285&amp;RIGHT(INDIRECT(ADDRESS(ROW(C286)-1, 'From Order'!$A286)), 1), C285))"),"")</f>
        <v/>
      </c>
      <c r="D286" s="2" t="str">
        <f>IFERROR(__xludf.DUMMYFUNCTION("IF('From Order'!$A286=COLUMNS($A286:D305), LEFT(INDEX(FILTER(D$1:D285, D$1:D285&lt;&gt;""""),COUNTA(FILTER(D$1:D285, D$1:D285&lt;&gt;""""))), LEN(INDEX(FILTER(D$1:D285, D$1:D285&lt;&gt;""""),COUNTA(FILTER(D$1:D285, D$1:D285&lt;&gt;""""))))-1), IF('To Order'!$A286=COLUMNS($A286:D"&amp;"305), D285&amp;RIGHT(INDIRECT(ADDRESS(ROW(D286)-1, 'From Order'!$A286)), 1), D285))"),"DLRTDC")</f>
        <v>DLRTDC</v>
      </c>
      <c r="E286" s="2" t="str">
        <f>IFERROR(__xludf.DUMMYFUNCTION("IF('From Order'!$A286=COLUMNS($A286:E305), LEFT(INDEX(FILTER(E$1:E285, E$1:E285&lt;&gt;""""),COUNTA(FILTER(E$1:E285, E$1:E285&lt;&gt;""""))), LEN(INDEX(FILTER(E$1:E285, E$1:E285&lt;&gt;""""),COUNTA(FILTER(E$1:E285, E$1:E285&lt;&gt;""""))))-1), IF('To Order'!$A286=COLUMNS($A286:E"&amp;"305), E285&amp;RIGHT(INDIRECT(ADDRESS(ROW(E286)-1, 'From Order'!$A286)), 1), E285))"),"")</f>
        <v/>
      </c>
      <c r="F286" s="2" t="str">
        <f>IFERROR(__xludf.DUMMYFUNCTION("IF('From Order'!$A286=COLUMNS($A286:F305), LEFT(INDEX(FILTER(F$1:F285, F$1:F285&lt;&gt;""""),COUNTA(FILTER(F$1:F285, F$1:F285&lt;&gt;""""))), LEN(INDEX(FILTER(F$1:F285, F$1:F285&lt;&gt;""""),COUNTA(FILTER(F$1:F285, F$1:F285&lt;&gt;""""))))-1), IF('To Order'!$A286=COLUMNS($A286:F"&amp;"305), F285&amp;RIGHT(INDIRECT(ADDRESS(ROW(F286)-1, 'From Order'!$A286)), 1), F285))"),"HSPVMZDDTZRWTJTVCBRQPDSVRZH")</f>
        <v>HSPVMZDDTZRWTJTVCBRQPDSVRZH</v>
      </c>
      <c r="G286" s="2" t="str">
        <f>IFERROR(__xludf.DUMMYFUNCTION("IF('From Order'!$A286=COLUMNS($A286:G305), LEFT(INDEX(FILTER(G$1:G285, G$1:G285&lt;&gt;""""),COUNTA(FILTER(G$1:G285, G$1:G285&lt;&gt;""""))), LEN(INDEX(FILTER(G$1:G285, G$1:G285&lt;&gt;""""),COUNTA(FILTER(G$1:G285, G$1:G285&lt;&gt;""""))))-1), IF('To Order'!$A286=COLUMNS($A286:G"&amp;"305), G285&amp;RIGHT(INDIRECT(ADDRESS(ROW(G286)-1, 'From Order'!$A286)), 1), G285))"),"")</f>
        <v/>
      </c>
      <c r="H286" s="2" t="str">
        <f>IFERROR(__xludf.DUMMYFUNCTION("IF('From Order'!$A286=COLUMNS($A286:H305), LEFT(INDEX(FILTER(H$1:H285, H$1:H285&lt;&gt;""""),COUNTA(FILTER(H$1:H285, H$1:H285&lt;&gt;""""))), LEN(INDEX(FILTER(H$1:H285, H$1:H285&lt;&gt;""""),COUNTA(FILTER(H$1:H285, H$1:H285&lt;&gt;""""))))-1), IF('To Order'!$A286=COLUMNS($A286:H"&amp;"305), H285&amp;RIGHT(INDIRECT(ADDRESS(ROW(H286)-1, 'From Order'!$A286)), 1), H285))"),"MFTMQ")</f>
        <v>MFTMQ</v>
      </c>
      <c r="I286" s="2" t="str">
        <f>IFERROR(__xludf.DUMMYFUNCTION("IF('From Order'!$A286=COLUMNS($A286:I305), LEFT(INDEX(FILTER(I$1:I285, I$1:I285&lt;&gt;""""),COUNTA(FILTER(I$1:I285, I$1:I285&lt;&gt;""""))), LEN(INDEX(FILTER(I$1:I285, I$1:I285&lt;&gt;""""),COUNTA(FILTER(I$1:I285, I$1:I285&lt;&gt;""""))))-1), IF('To Order'!$A286=COLUMNS($A286:I"&amp;"305), I285&amp;RIGHT(INDIRECT(ADDRESS(ROW(I286)-1, 'From Order'!$A286)), 1), I285))"),"GPBJDGSBLR")</f>
        <v>GPBJDGSBLR</v>
      </c>
    </row>
    <row r="287">
      <c r="A287" s="2" t="str">
        <f>IFERROR(__xludf.DUMMYFUNCTION("IF('From Order'!$A287=COLUMNS($A287:A306), LEFT(INDEX(FILTER(A$1:A286, A$1:A286&lt;&gt;""""),COUNTA(FILTER(A$1:A286, A$1:A286&lt;&gt;""""))), LEN(INDEX(FILTER(A$1:A286, A$1:A286&lt;&gt;""""),COUNTA(FILTER(A$1:A286, A$1:A286&lt;&gt;""""))))-1), IF('To Order'!$A287=COLUMNS($A287:A"&amp;"306), A286&amp;RIGHT(INDIRECT(ADDRESS(ROW(A287)-1, 'From Order'!$A287)), 1), A286))"),"CT")</f>
        <v>CT</v>
      </c>
      <c r="B287" s="2" t="str">
        <f>IFERROR(__xludf.DUMMYFUNCTION("IF('From Order'!$A287=COLUMNS($A287:B306), LEFT(INDEX(FILTER(B$1:B286, B$1:B286&lt;&gt;""""),COUNTA(FILTER(B$1:B286, B$1:B286&lt;&gt;""""))), LEN(INDEX(FILTER(B$1:B286, B$1:B286&lt;&gt;""""),COUNTA(FILTER(B$1:B286, B$1:B286&lt;&gt;""""))))-1), IF('To Order'!$A287=COLUMNS($A287:B"&amp;"306), B286&amp;RIGHT(INDIRECT(ADDRESS(ROW(B287)-1, 'From Order'!$A287)), 1), B286))"),"SWFBJL")</f>
        <v>SWFBJL</v>
      </c>
      <c r="C287" s="2" t="str">
        <f>IFERROR(__xludf.DUMMYFUNCTION("IF('From Order'!$A287=COLUMNS($A287:C306), LEFT(INDEX(FILTER(C$1:C286, C$1:C286&lt;&gt;""""),COUNTA(FILTER(C$1:C286, C$1:C286&lt;&gt;""""))), LEN(INDEX(FILTER(C$1:C286, C$1:C286&lt;&gt;""""),COUNTA(FILTER(C$1:C286, C$1:C286&lt;&gt;""""))))-1), IF('To Order'!$A287=COLUMNS($A287:C"&amp;"306), C286&amp;RIGHT(INDIRECT(ADDRESS(ROW(C287)-1, 'From Order'!$A287)), 1), C286))"),"")</f>
        <v/>
      </c>
      <c r="D287" s="2" t="str">
        <f>IFERROR(__xludf.DUMMYFUNCTION("IF('From Order'!$A287=COLUMNS($A287:D306), LEFT(INDEX(FILTER(D$1:D286, D$1:D286&lt;&gt;""""),COUNTA(FILTER(D$1:D286, D$1:D286&lt;&gt;""""))), LEN(INDEX(FILTER(D$1:D286, D$1:D286&lt;&gt;""""),COUNTA(FILTER(D$1:D286, D$1:D286&lt;&gt;""""))))-1), IF('To Order'!$A287=COLUMNS($A287:D"&amp;"306), D286&amp;RIGHT(INDIRECT(ADDRESS(ROW(D287)-1, 'From Order'!$A287)), 1), D286))"),"DLRTDCQ")</f>
        <v>DLRTDCQ</v>
      </c>
      <c r="E287" s="2" t="str">
        <f>IFERROR(__xludf.DUMMYFUNCTION("IF('From Order'!$A287=COLUMNS($A287:E306), LEFT(INDEX(FILTER(E$1:E286, E$1:E286&lt;&gt;""""),COUNTA(FILTER(E$1:E286, E$1:E286&lt;&gt;""""))), LEN(INDEX(FILTER(E$1:E286, E$1:E286&lt;&gt;""""),COUNTA(FILTER(E$1:E286, E$1:E286&lt;&gt;""""))))-1), IF('To Order'!$A287=COLUMNS($A287:E"&amp;"306), E286&amp;RIGHT(INDIRECT(ADDRESS(ROW(E287)-1, 'From Order'!$A287)), 1), E286))"),"")</f>
        <v/>
      </c>
      <c r="F287" s="2" t="str">
        <f>IFERROR(__xludf.DUMMYFUNCTION("IF('From Order'!$A287=COLUMNS($A287:F306), LEFT(INDEX(FILTER(F$1:F286, F$1:F286&lt;&gt;""""),COUNTA(FILTER(F$1:F286, F$1:F286&lt;&gt;""""))), LEN(INDEX(FILTER(F$1:F286, F$1:F286&lt;&gt;""""),COUNTA(FILTER(F$1:F286, F$1:F286&lt;&gt;""""))))-1), IF('To Order'!$A287=COLUMNS($A287:F"&amp;"306), F286&amp;RIGHT(INDIRECT(ADDRESS(ROW(F287)-1, 'From Order'!$A287)), 1), F286))"),"HSPVMZDDTZRWTJTVCBRQPDSVRZH")</f>
        <v>HSPVMZDDTZRWTJTVCBRQPDSVRZH</v>
      </c>
      <c r="G287" s="2" t="str">
        <f>IFERROR(__xludf.DUMMYFUNCTION("IF('From Order'!$A287=COLUMNS($A287:G306), LEFT(INDEX(FILTER(G$1:G286, G$1:G286&lt;&gt;""""),COUNTA(FILTER(G$1:G286, G$1:G286&lt;&gt;""""))), LEN(INDEX(FILTER(G$1:G286, G$1:G286&lt;&gt;""""),COUNTA(FILTER(G$1:G286, G$1:G286&lt;&gt;""""))))-1), IF('To Order'!$A287=COLUMNS($A287:G"&amp;"306), G286&amp;RIGHT(INDIRECT(ADDRESS(ROW(G287)-1, 'From Order'!$A287)), 1), G286))"),"")</f>
        <v/>
      </c>
      <c r="H287" s="2" t="str">
        <f>IFERROR(__xludf.DUMMYFUNCTION("IF('From Order'!$A287=COLUMNS($A287:H306), LEFT(INDEX(FILTER(H$1:H286, H$1:H286&lt;&gt;""""),COUNTA(FILTER(H$1:H286, H$1:H286&lt;&gt;""""))), LEN(INDEX(FILTER(H$1:H286, H$1:H286&lt;&gt;""""),COUNTA(FILTER(H$1:H286, H$1:H286&lt;&gt;""""))))-1), IF('To Order'!$A287=COLUMNS($A287:H"&amp;"306), H286&amp;RIGHT(INDIRECT(ADDRESS(ROW(H287)-1, 'From Order'!$A287)), 1), H286))"),"MFTM")</f>
        <v>MFTM</v>
      </c>
      <c r="I287" s="2" t="str">
        <f>IFERROR(__xludf.DUMMYFUNCTION("IF('From Order'!$A287=COLUMNS($A287:I306), LEFT(INDEX(FILTER(I$1:I286, I$1:I286&lt;&gt;""""),COUNTA(FILTER(I$1:I286, I$1:I286&lt;&gt;""""))), LEN(INDEX(FILTER(I$1:I286, I$1:I286&lt;&gt;""""),COUNTA(FILTER(I$1:I286, I$1:I286&lt;&gt;""""))))-1), IF('To Order'!$A287=COLUMNS($A287:I"&amp;"306), I286&amp;RIGHT(INDIRECT(ADDRESS(ROW(I287)-1, 'From Order'!$A287)), 1), I286))"),"GPBJDGSBLR")</f>
        <v>GPBJDGSBLR</v>
      </c>
    </row>
    <row r="288">
      <c r="A288" s="2" t="str">
        <f>IFERROR(__xludf.DUMMYFUNCTION("IF('From Order'!$A288=COLUMNS($A288:A307), LEFT(INDEX(FILTER(A$1:A287, A$1:A287&lt;&gt;""""),COUNTA(FILTER(A$1:A287, A$1:A287&lt;&gt;""""))), LEN(INDEX(FILTER(A$1:A287, A$1:A287&lt;&gt;""""),COUNTA(FILTER(A$1:A287, A$1:A287&lt;&gt;""""))))-1), IF('To Order'!$A288=COLUMNS($A288:A"&amp;"307), A287&amp;RIGHT(INDIRECT(ADDRESS(ROW(A288)-1, 'From Order'!$A288)), 1), A287))"),"CT")</f>
        <v>CT</v>
      </c>
      <c r="B288" s="2" t="str">
        <f>IFERROR(__xludf.DUMMYFUNCTION("IF('From Order'!$A288=COLUMNS($A288:B307), LEFT(INDEX(FILTER(B$1:B287, B$1:B287&lt;&gt;""""),COUNTA(FILTER(B$1:B287, B$1:B287&lt;&gt;""""))), LEN(INDEX(FILTER(B$1:B287, B$1:B287&lt;&gt;""""),COUNTA(FILTER(B$1:B287, B$1:B287&lt;&gt;""""))))-1), IF('To Order'!$A288=COLUMNS($A288:B"&amp;"307), B287&amp;RIGHT(INDIRECT(ADDRESS(ROW(B288)-1, 'From Order'!$A288)), 1), B287))"),"SWFBJL")</f>
        <v>SWFBJL</v>
      </c>
      <c r="C288" s="2" t="str">
        <f>IFERROR(__xludf.DUMMYFUNCTION("IF('From Order'!$A288=COLUMNS($A288:C307), LEFT(INDEX(FILTER(C$1:C287, C$1:C287&lt;&gt;""""),COUNTA(FILTER(C$1:C287, C$1:C287&lt;&gt;""""))), LEN(INDEX(FILTER(C$1:C287, C$1:C287&lt;&gt;""""),COUNTA(FILTER(C$1:C287, C$1:C287&lt;&gt;""""))))-1), IF('To Order'!$A288=COLUMNS($A288:C"&amp;"307), C287&amp;RIGHT(INDIRECT(ADDRESS(ROW(C288)-1, 'From Order'!$A288)), 1), C287))"),"")</f>
        <v/>
      </c>
      <c r="D288" s="2" t="str">
        <f>IFERROR(__xludf.DUMMYFUNCTION("IF('From Order'!$A288=COLUMNS($A288:D307), LEFT(INDEX(FILTER(D$1:D287, D$1:D287&lt;&gt;""""),COUNTA(FILTER(D$1:D287, D$1:D287&lt;&gt;""""))), LEN(INDEX(FILTER(D$1:D287, D$1:D287&lt;&gt;""""),COUNTA(FILTER(D$1:D287, D$1:D287&lt;&gt;""""))))-1), IF('To Order'!$A288=COLUMNS($A288:D"&amp;"307), D287&amp;RIGHT(INDIRECT(ADDRESS(ROW(D288)-1, 'From Order'!$A288)), 1), D287))"),"DLRTDCQM")</f>
        <v>DLRTDCQM</v>
      </c>
      <c r="E288" s="2" t="str">
        <f>IFERROR(__xludf.DUMMYFUNCTION("IF('From Order'!$A288=COLUMNS($A288:E307), LEFT(INDEX(FILTER(E$1:E287, E$1:E287&lt;&gt;""""),COUNTA(FILTER(E$1:E287, E$1:E287&lt;&gt;""""))), LEN(INDEX(FILTER(E$1:E287, E$1:E287&lt;&gt;""""),COUNTA(FILTER(E$1:E287, E$1:E287&lt;&gt;""""))))-1), IF('To Order'!$A288=COLUMNS($A288:E"&amp;"307), E287&amp;RIGHT(INDIRECT(ADDRESS(ROW(E288)-1, 'From Order'!$A288)), 1), E287))"),"")</f>
        <v/>
      </c>
      <c r="F288" s="2" t="str">
        <f>IFERROR(__xludf.DUMMYFUNCTION("IF('From Order'!$A288=COLUMNS($A288:F307), LEFT(INDEX(FILTER(F$1:F287, F$1:F287&lt;&gt;""""),COUNTA(FILTER(F$1:F287, F$1:F287&lt;&gt;""""))), LEN(INDEX(FILTER(F$1:F287, F$1:F287&lt;&gt;""""),COUNTA(FILTER(F$1:F287, F$1:F287&lt;&gt;""""))))-1), IF('To Order'!$A288=COLUMNS($A288:F"&amp;"307), F287&amp;RIGHT(INDIRECT(ADDRESS(ROW(F288)-1, 'From Order'!$A288)), 1), F287))"),"HSPVMZDDTZRWTJTVCBRQPDSVRZH")</f>
        <v>HSPVMZDDTZRWTJTVCBRQPDSVRZH</v>
      </c>
      <c r="G288" s="2" t="str">
        <f>IFERROR(__xludf.DUMMYFUNCTION("IF('From Order'!$A288=COLUMNS($A288:G307), LEFT(INDEX(FILTER(G$1:G287, G$1:G287&lt;&gt;""""),COUNTA(FILTER(G$1:G287, G$1:G287&lt;&gt;""""))), LEN(INDEX(FILTER(G$1:G287, G$1:G287&lt;&gt;""""),COUNTA(FILTER(G$1:G287, G$1:G287&lt;&gt;""""))))-1), IF('To Order'!$A288=COLUMNS($A288:G"&amp;"307), G287&amp;RIGHT(INDIRECT(ADDRESS(ROW(G288)-1, 'From Order'!$A288)), 1), G287))"),"")</f>
        <v/>
      </c>
      <c r="H288" s="2" t="str">
        <f>IFERROR(__xludf.DUMMYFUNCTION("IF('From Order'!$A288=COLUMNS($A288:H307), LEFT(INDEX(FILTER(H$1:H287, H$1:H287&lt;&gt;""""),COUNTA(FILTER(H$1:H287, H$1:H287&lt;&gt;""""))), LEN(INDEX(FILTER(H$1:H287, H$1:H287&lt;&gt;""""),COUNTA(FILTER(H$1:H287, H$1:H287&lt;&gt;""""))))-1), IF('To Order'!$A288=COLUMNS($A288:H"&amp;"307), H287&amp;RIGHT(INDIRECT(ADDRESS(ROW(H288)-1, 'From Order'!$A288)), 1), H287))"),"MFT")</f>
        <v>MFT</v>
      </c>
      <c r="I288" s="2" t="str">
        <f>IFERROR(__xludf.DUMMYFUNCTION("IF('From Order'!$A288=COLUMNS($A288:I307), LEFT(INDEX(FILTER(I$1:I287, I$1:I287&lt;&gt;""""),COUNTA(FILTER(I$1:I287, I$1:I287&lt;&gt;""""))), LEN(INDEX(FILTER(I$1:I287, I$1:I287&lt;&gt;""""),COUNTA(FILTER(I$1:I287, I$1:I287&lt;&gt;""""))))-1), IF('To Order'!$A288=COLUMNS($A288:I"&amp;"307), I287&amp;RIGHT(INDIRECT(ADDRESS(ROW(I288)-1, 'From Order'!$A288)), 1), I287))"),"GPBJDGSBLR")</f>
        <v>GPBJDGSBLR</v>
      </c>
    </row>
    <row r="289">
      <c r="A289" s="2" t="str">
        <f>IFERROR(__xludf.DUMMYFUNCTION("IF('From Order'!$A289=COLUMNS($A289:A308), LEFT(INDEX(FILTER(A$1:A288, A$1:A288&lt;&gt;""""),COUNTA(FILTER(A$1:A288, A$1:A288&lt;&gt;""""))), LEN(INDEX(FILTER(A$1:A288, A$1:A288&lt;&gt;""""),COUNTA(FILTER(A$1:A288, A$1:A288&lt;&gt;""""))))-1), IF('To Order'!$A289=COLUMNS($A289:A"&amp;"308), A288&amp;RIGHT(INDIRECT(ADDRESS(ROW(A289)-1, 'From Order'!$A289)), 1), A288))"),"CT")</f>
        <v>CT</v>
      </c>
      <c r="B289" s="2" t="str">
        <f>IFERROR(__xludf.DUMMYFUNCTION("IF('From Order'!$A289=COLUMNS($A289:B308), LEFT(INDEX(FILTER(B$1:B288, B$1:B288&lt;&gt;""""),COUNTA(FILTER(B$1:B288, B$1:B288&lt;&gt;""""))), LEN(INDEX(FILTER(B$1:B288, B$1:B288&lt;&gt;""""),COUNTA(FILTER(B$1:B288, B$1:B288&lt;&gt;""""))))-1), IF('To Order'!$A289=COLUMNS($A289:B"&amp;"308), B288&amp;RIGHT(INDIRECT(ADDRESS(ROW(B289)-1, 'From Order'!$A289)), 1), B288))"),"SWFBJL")</f>
        <v>SWFBJL</v>
      </c>
      <c r="C289" s="2" t="str">
        <f>IFERROR(__xludf.DUMMYFUNCTION("IF('From Order'!$A289=COLUMNS($A289:C308), LEFT(INDEX(FILTER(C$1:C288, C$1:C288&lt;&gt;""""),COUNTA(FILTER(C$1:C288, C$1:C288&lt;&gt;""""))), LEN(INDEX(FILTER(C$1:C288, C$1:C288&lt;&gt;""""),COUNTA(FILTER(C$1:C288, C$1:C288&lt;&gt;""""))))-1), IF('To Order'!$A289=COLUMNS($A289:C"&amp;"308), C288&amp;RIGHT(INDIRECT(ADDRESS(ROW(C289)-1, 'From Order'!$A289)), 1), C288))"),"")</f>
        <v/>
      </c>
      <c r="D289" s="2" t="str">
        <f>IFERROR(__xludf.DUMMYFUNCTION("IF('From Order'!$A289=COLUMNS($A289:D308), LEFT(INDEX(FILTER(D$1:D288, D$1:D288&lt;&gt;""""),COUNTA(FILTER(D$1:D288, D$1:D288&lt;&gt;""""))), LEN(INDEX(FILTER(D$1:D288, D$1:D288&lt;&gt;""""),COUNTA(FILTER(D$1:D288, D$1:D288&lt;&gt;""""))))-1), IF('To Order'!$A289=COLUMNS($A289:D"&amp;"308), D288&amp;RIGHT(INDIRECT(ADDRESS(ROW(D289)-1, 'From Order'!$A289)), 1), D288))"),"DLRTDCQMT")</f>
        <v>DLRTDCQMT</v>
      </c>
      <c r="E289" s="2" t="str">
        <f>IFERROR(__xludf.DUMMYFUNCTION("IF('From Order'!$A289=COLUMNS($A289:E308), LEFT(INDEX(FILTER(E$1:E288, E$1:E288&lt;&gt;""""),COUNTA(FILTER(E$1:E288, E$1:E288&lt;&gt;""""))), LEN(INDEX(FILTER(E$1:E288, E$1:E288&lt;&gt;""""),COUNTA(FILTER(E$1:E288, E$1:E288&lt;&gt;""""))))-1), IF('To Order'!$A289=COLUMNS($A289:E"&amp;"308), E288&amp;RIGHT(INDIRECT(ADDRESS(ROW(E289)-1, 'From Order'!$A289)), 1), E288))"),"")</f>
        <v/>
      </c>
      <c r="F289" s="2" t="str">
        <f>IFERROR(__xludf.DUMMYFUNCTION("IF('From Order'!$A289=COLUMNS($A289:F308), LEFT(INDEX(FILTER(F$1:F288, F$1:F288&lt;&gt;""""),COUNTA(FILTER(F$1:F288, F$1:F288&lt;&gt;""""))), LEN(INDEX(FILTER(F$1:F288, F$1:F288&lt;&gt;""""),COUNTA(FILTER(F$1:F288, F$1:F288&lt;&gt;""""))))-1), IF('To Order'!$A289=COLUMNS($A289:F"&amp;"308), F288&amp;RIGHT(INDIRECT(ADDRESS(ROW(F289)-1, 'From Order'!$A289)), 1), F288))"),"HSPVMZDDTZRWTJTVCBRQPDSVRZH")</f>
        <v>HSPVMZDDTZRWTJTVCBRQPDSVRZH</v>
      </c>
      <c r="G289" s="2" t="str">
        <f>IFERROR(__xludf.DUMMYFUNCTION("IF('From Order'!$A289=COLUMNS($A289:G308), LEFT(INDEX(FILTER(G$1:G288, G$1:G288&lt;&gt;""""),COUNTA(FILTER(G$1:G288, G$1:G288&lt;&gt;""""))), LEN(INDEX(FILTER(G$1:G288, G$1:G288&lt;&gt;""""),COUNTA(FILTER(G$1:G288, G$1:G288&lt;&gt;""""))))-1), IF('To Order'!$A289=COLUMNS($A289:G"&amp;"308), G288&amp;RIGHT(INDIRECT(ADDRESS(ROW(G289)-1, 'From Order'!$A289)), 1), G288))"),"")</f>
        <v/>
      </c>
      <c r="H289" s="2" t="str">
        <f>IFERROR(__xludf.DUMMYFUNCTION("IF('From Order'!$A289=COLUMNS($A289:H308), LEFT(INDEX(FILTER(H$1:H288, H$1:H288&lt;&gt;""""),COUNTA(FILTER(H$1:H288, H$1:H288&lt;&gt;""""))), LEN(INDEX(FILTER(H$1:H288, H$1:H288&lt;&gt;""""),COUNTA(FILTER(H$1:H288, H$1:H288&lt;&gt;""""))))-1), IF('To Order'!$A289=COLUMNS($A289:H"&amp;"308), H288&amp;RIGHT(INDIRECT(ADDRESS(ROW(H289)-1, 'From Order'!$A289)), 1), H288))"),"MF")</f>
        <v>MF</v>
      </c>
      <c r="I289" s="2" t="str">
        <f>IFERROR(__xludf.DUMMYFUNCTION("IF('From Order'!$A289=COLUMNS($A289:I308), LEFT(INDEX(FILTER(I$1:I288, I$1:I288&lt;&gt;""""),COUNTA(FILTER(I$1:I288, I$1:I288&lt;&gt;""""))), LEN(INDEX(FILTER(I$1:I288, I$1:I288&lt;&gt;""""),COUNTA(FILTER(I$1:I288, I$1:I288&lt;&gt;""""))))-1), IF('To Order'!$A289=COLUMNS($A289:I"&amp;"308), I288&amp;RIGHT(INDIRECT(ADDRESS(ROW(I289)-1, 'From Order'!$A289)), 1), I288))"),"GPBJDGSBLR")</f>
        <v>GPBJDGSBLR</v>
      </c>
    </row>
    <row r="290">
      <c r="A290" s="2" t="str">
        <f>IFERROR(__xludf.DUMMYFUNCTION("IF('From Order'!$A290=COLUMNS($A290:A309), LEFT(INDEX(FILTER(A$1:A289, A$1:A289&lt;&gt;""""),COUNTA(FILTER(A$1:A289, A$1:A289&lt;&gt;""""))), LEN(INDEX(FILTER(A$1:A289, A$1:A289&lt;&gt;""""),COUNTA(FILTER(A$1:A289, A$1:A289&lt;&gt;""""))))-1), IF('To Order'!$A290=COLUMNS($A290:A"&amp;"309), A289&amp;RIGHT(INDIRECT(ADDRESS(ROW(A290)-1, 'From Order'!$A290)), 1), A289))"),"CT")</f>
        <v>CT</v>
      </c>
      <c r="B290" s="2" t="str">
        <f>IFERROR(__xludf.DUMMYFUNCTION("IF('From Order'!$A290=COLUMNS($A290:B309), LEFT(INDEX(FILTER(B$1:B289, B$1:B289&lt;&gt;""""),COUNTA(FILTER(B$1:B289, B$1:B289&lt;&gt;""""))), LEN(INDEX(FILTER(B$1:B289, B$1:B289&lt;&gt;""""),COUNTA(FILTER(B$1:B289, B$1:B289&lt;&gt;""""))))-1), IF('To Order'!$A290=COLUMNS($A290:B"&amp;"309), B289&amp;RIGHT(INDIRECT(ADDRESS(ROW(B290)-1, 'From Order'!$A290)), 1), B289))"),"SWFBJL")</f>
        <v>SWFBJL</v>
      </c>
      <c r="C290" s="2" t="str">
        <f>IFERROR(__xludf.DUMMYFUNCTION("IF('From Order'!$A290=COLUMNS($A290:C309), LEFT(INDEX(FILTER(C$1:C289, C$1:C289&lt;&gt;""""),COUNTA(FILTER(C$1:C289, C$1:C289&lt;&gt;""""))), LEN(INDEX(FILTER(C$1:C289, C$1:C289&lt;&gt;""""),COUNTA(FILTER(C$1:C289, C$1:C289&lt;&gt;""""))))-1), IF('To Order'!$A290=COLUMNS($A290:C"&amp;"309), C289&amp;RIGHT(INDIRECT(ADDRESS(ROW(C290)-1, 'From Order'!$A290)), 1), C289))"),"")</f>
        <v/>
      </c>
      <c r="D290" s="2" t="str">
        <f>IFERROR(__xludf.DUMMYFUNCTION("IF('From Order'!$A290=COLUMNS($A290:D309), LEFT(INDEX(FILTER(D$1:D289, D$1:D289&lt;&gt;""""),COUNTA(FILTER(D$1:D289, D$1:D289&lt;&gt;""""))), LEN(INDEX(FILTER(D$1:D289, D$1:D289&lt;&gt;""""),COUNTA(FILTER(D$1:D289, D$1:D289&lt;&gt;""""))))-1), IF('To Order'!$A290=COLUMNS($A290:D"&amp;"309), D289&amp;RIGHT(INDIRECT(ADDRESS(ROW(D290)-1, 'From Order'!$A290)), 1), D289))"),"DLRTDCQMTF")</f>
        <v>DLRTDCQMTF</v>
      </c>
      <c r="E290" s="2" t="str">
        <f>IFERROR(__xludf.DUMMYFUNCTION("IF('From Order'!$A290=COLUMNS($A290:E309), LEFT(INDEX(FILTER(E$1:E289, E$1:E289&lt;&gt;""""),COUNTA(FILTER(E$1:E289, E$1:E289&lt;&gt;""""))), LEN(INDEX(FILTER(E$1:E289, E$1:E289&lt;&gt;""""),COUNTA(FILTER(E$1:E289, E$1:E289&lt;&gt;""""))))-1), IF('To Order'!$A290=COLUMNS($A290:E"&amp;"309), E289&amp;RIGHT(INDIRECT(ADDRESS(ROW(E290)-1, 'From Order'!$A290)), 1), E289))"),"")</f>
        <v/>
      </c>
      <c r="F290" s="2" t="str">
        <f>IFERROR(__xludf.DUMMYFUNCTION("IF('From Order'!$A290=COLUMNS($A290:F309), LEFT(INDEX(FILTER(F$1:F289, F$1:F289&lt;&gt;""""),COUNTA(FILTER(F$1:F289, F$1:F289&lt;&gt;""""))), LEN(INDEX(FILTER(F$1:F289, F$1:F289&lt;&gt;""""),COUNTA(FILTER(F$1:F289, F$1:F289&lt;&gt;""""))))-1), IF('To Order'!$A290=COLUMNS($A290:F"&amp;"309), F289&amp;RIGHT(INDIRECT(ADDRESS(ROW(F290)-1, 'From Order'!$A290)), 1), F289))"),"HSPVMZDDTZRWTJTVCBRQPDSVRZH")</f>
        <v>HSPVMZDDTZRWTJTVCBRQPDSVRZH</v>
      </c>
      <c r="G290" s="2" t="str">
        <f>IFERROR(__xludf.DUMMYFUNCTION("IF('From Order'!$A290=COLUMNS($A290:G309), LEFT(INDEX(FILTER(G$1:G289, G$1:G289&lt;&gt;""""),COUNTA(FILTER(G$1:G289, G$1:G289&lt;&gt;""""))), LEN(INDEX(FILTER(G$1:G289, G$1:G289&lt;&gt;""""),COUNTA(FILTER(G$1:G289, G$1:G289&lt;&gt;""""))))-1), IF('To Order'!$A290=COLUMNS($A290:G"&amp;"309), G289&amp;RIGHT(INDIRECT(ADDRESS(ROW(G290)-1, 'From Order'!$A290)), 1), G289))"),"")</f>
        <v/>
      </c>
      <c r="H290" s="2" t="str">
        <f>IFERROR(__xludf.DUMMYFUNCTION("IF('From Order'!$A290=COLUMNS($A290:H309), LEFT(INDEX(FILTER(H$1:H289, H$1:H289&lt;&gt;""""),COUNTA(FILTER(H$1:H289, H$1:H289&lt;&gt;""""))), LEN(INDEX(FILTER(H$1:H289, H$1:H289&lt;&gt;""""),COUNTA(FILTER(H$1:H289, H$1:H289&lt;&gt;""""))))-1), IF('To Order'!$A290=COLUMNS($A290:H"&amp;"309), H289&amp;RIGHT(INDIRECT(ADDRESS(ROW(H290)-1, 'From Order'!$A290)), 1), H289))"),"M")</f>
        <v>M</v>
      </c>
      <c r="I290" s="2" t="str">
        <f>IFERROR(__xludf.DUMMYFUNCTION("IF('From Order'!$A290=COLUMNS($A290:I309), LEFT(INDEX(FILTER(I$1:I289, I$1:I289&lt;&gt;""""),COUNTA(FILTER(I$1:I289, I$1:I289&lt;&gt;""""))), LEN(INDEX(FILTER(I$1:I289, I$1:I289&lt;&gt;""""),COUNTA(FILTER(I$1:I289, I$1:I289&lt;&gt;""""))))-1), IF('To Order'!$A290=COLUMNS($A290:I"&amp;"309), I289&amp;RIGHT(INDIRECT(ADDRESS(ROW(I290)-1, 'From Order'!$A290)), 1), I289))"),"GPBJDGSBLR")</f>
        <v>GPBJDGSBLR</v>
      </c>
    </row>
    <row r="291">
      <c r="A291" s="2" t="str">
        <f>IFERROR(__xludf.DUMMYFUNCTION("IF('From Order'!$A291=COLUMNS($A291:A310), LEFT(INDEX(FILTER(A$1:A290, A$1:A290&lt;&gt;""""),COUNTA(FILTER(A$1:A290, A$1:A290&lt;&gt;""""))), LEN(INDEX(FILTER(A$1:A290, A$1:A290&lt;&gt;""""),COUNTA(FILTER(A$1:A290, A$1:A290&lt;&gt;""""))))-1), IF('To Order'!$A291=COLUMNS($A291:A"&amp;"310), A290&amp;RIGHT(INDIRECT(ADDRESS(ROW(A291)-1, 'From Order'!$A291)), 1), A290))"),"CTF")</f>
        <v>CTF</v>
      </c>
      <c r="B291" s="2" t="str">
        <f>IFERROR(__xludf.DUMMYFUNCTION("IF('From Order'!$A291=COLUMNS($A291:B310), LEFT(INDEX(FILTER(B$1:B290, B$1:B290&lt;&gt;""""),COUNTA(FILTER(B$1:B290, B$1:B290&lt;&gt;""""))), LEN(INDEX(FILTER(B$1:B290, B$1:B290&lt;&gt;""""),COUNTA(FILTER(B$1:B290, B$1:B290&lt;&gt;""""))))-1), IF('To Order'!$A291=COLUMNS($A291:B"&amp;"310), B290&amp;RIGHT(INDIRECT(ADDRESS(ROW(B291)-1, 'From Order'!$A291)), 1), B290))"),"SWFBJL")</f>
        <v>SWFBJL</v>
      </c>
      <c r="C291" s="2" t="str">
        <f>IFERROR(__xludf.DUMMYFUNCTION("IF('From Order'!$A291=COLUMNS($A291:C310), LEFT(INDEX(FILTER(C$1:C290, C$1:C290&lt;&gt;""""),COUNTA(FILTER(C$1:C290, C$1:C290&lt;&gt;""""))), LEN(INDEX(FILTER(C$1:C290, C$1:C290&lt;&gt;""""),COUNTA(FILTER(C$1:C290, C$1:C290&lt;&gt;""""))))-1), IF('To Order'!$A291=COLUMNS($A291:C"&amp;"310), C290&amp;RIGHT(INDIRECT(ADDRESS(ROW(C291)-1, 'From Order'!$A291)), 1), C290))"),"")</f>
        <v/>
      </c>
      <c r="D291" s="2" t="str">
        <f>IFERROR(__xludf.DUMMYFUNCTION("IF('From Order'!$A291=COLUMNS($A291:D310), LEFT(INDEX(FILTER(D$1:D290, D$1:D290&lt;&gt;""""),COUNTA(FILTER(D$1:D290, D$1:D290&lt;&gt;""""))), LEN(INDEX(FILTER(D$1:D290, D$1:D290&lt;&gt;""""),COUNTA(FILTER(D$1:D290, D$1:D290&lt;&gt;""""))))-1), IF('To Order'!$A291=COLUMNS($A291:D"&amp;"310), D290&amp;RIGHT(INDIRECT(ADDRESS(ROW(D291)-1, 'From Order'!$A291)), 1), D290))"),"DLRTDCQMT")</f>
        <v>DLRTDCQMT</v>
      </c>
      <c r="E291" s="2" t="str">
        <f>IFERROR(__xludf.DUMMYFUNCTION("IF('From Order'!$A291=COLUMNS($A291:E310), LEFT(INDEX(FILTER(E$1:E290, E$1:E290&lt;&gt;""""),COUNTA(FILTER(E$1:E290, E$1:E290&lt;&gt;""""))), LEN(INDEX(FILTER(E$1:E290, E$1:E290&lt;&gt;""""),COUNTA(FILTER(E$1:E290, E$1:E290&lt;&gt;""""))))-1), IF('To Order'!$A291=COLUMNS($A291:E"&amp;"310), E290&amp;RIGHT(INDIRECT(ADDRESS(ROW(E291)-1, 'From Order'!$A291)), 1), E290))"),"")</f>
        <v/>
      </c>
      <c r="F291" s="2" t="str">
        <f>IFERROR(__xludf.DUMMYFUNCTION("IF('From Order'!$A291=COLUMNS($A291:F310), LEFT(INDEX(FILTER(F$1:F290, F$1:F290&lt;&gt;""""),COUNTA(FILTER(F$1:F290, F$1:F290&lt;&gt;""""))), LEN(INDEX(FILTER(F$1:F290, F$1:F290&lt;&gt;""""),COUNTA(FILTER(F$1:F290, F$1:F290&lt;&gt;""""))))-1), IF('To Order'!$A291=COLUMNS($A291:F"&amp;"310), F290&amp;RIGHT(INDIRECT(ADDRESS(ROW(F291)-1, 'From Order'!$A291)), 1), F290))"),"HSPVMZDDTZRWTJTVCBRQPDSVRZH")</f>
        <v>HSPVMZDDTZRWTJTVCBRQPDSVRZH</v>
      </c>
      <c r="G291" s="2" t="str">
        <f>IFERROR(__xludf.DUMMYFUNCTION("IF('From Order'!$A291=COLUMNS($A291:G310), LEFT(INDEX(FILTER(G$1:G290, G$1:G290&lt;&gt;""""),COUNTA(FILTER(G$1:G290, G$1:G290&lt;&gt;""""))), LEN(INDEX(FILTER(G$1:G290, G$1:G290&lt;&gt;""""),COUNTA(FILTER(G$1:G290, G$1:G290&lt;&gt;""""))))-1), IF('To Order'!$A291=COLUMNS($A291:G"&amp;"310), G290&amp;RIGHT(INDIRECT(ADDRESS(ROW(G291)-1, 'From Order'!$A291)), 1), G290))"),"")</f>
        <v/>
      </c>
      <c r="H291" s="2" t="str">
        <f>IFERROR(__xludf.DUMMYFUNCTION("IF('From Order'!$A291=COLUMNS($A291:H310), LEFT(INDEX(FILTER(H$1:H290, H$1:H290&lt;&gt;""""),COUNTA(FILTER(H$1:H290, H$1:H290&lt;&gt;""""))), LEN(INDEX(FILTER(H$1:H290, H$1:H290&lt;&gt;""""),COUNTA(FILTER(H$1:H290, H$1:H290&lt;&gt;""""))))-1), IF('To Order'!$A291=COLUMNS($A291:H"&amp;"310), H290&amp;RIGHT(INDIRECT(ADDRESS(ROW(H291)-1, 'From Order'!$A291)), 1), H290))"),"M")</f>
        <v>M</v>
      </c>
      <c r="I291" s="2" t="str">
        <f>IFERROR(__xludf.DUMMYFUNCTION("IF('From Order'!$A291=COLUMNS($A291:I310), LEFT(INDEX(FILTER(I$1:I290, I$1:I290&lt;&gt;""""),COUNTA(FILTER(I$1:I290, I$1:I290&lt;&gt;""""))), LEN(INDEX(FILTER(I$1:I290, I$1:I290&lt;&gt;""""),COUNTA(FILTER(I$1:I290, I$1:I290&lt;&gt;""""))))-1), IF('To Order'!$A291=COLUMNS($A291:I"&amp;"310), I290&amp;RIGHT(INDIRECT(ADDRESS(ROW(I291)-1, 'From Order'!$A291)), 1), I290))"),"GPBJDGSBLR")</f>
        <v>GPBJDGSBLR</v>
      </c>
    </row>
    <row r="292">
      <c r="A292" s="2" t="str">
        <f>IFERROR(__xludf.DUMMYFUNCTION("IF('From Order'!$A292=COLUMNS($A292:A311), LEFT(INDEX(FILTER(A$1:A291, A$1:A291&lt;&gt;""""),COUNTA(FILTER(A$1:A291, A$1:A291&lt;&gt;""""))), LEN(INDEX(FILTER(A$1:A291, A$1:A291&lt;&gt;""""),COUNTA(FILTER(A$1:A291, A$1:A291&lt;&gt;""""))))-1), IF('To Order'!$A292=COLUMNS($A292:A"&amp;"311), A291&amp;RIGHT(INDIRECT(ADDRESS(ROW(A292)-1, 'From Order'!$A292)), 1), A291))"),"CTFT")</f>
        <v>CTFT</v>
      </c>
      <c r="B292" s="2" t="str">
        <f>IFERROR(__xludf.DUMMYFUNCTION("IF('From Order'!$A292=COLUMNS($A292:B311), LEFT(INDEX(FILTER(B$1:B291, B$1:B291&lt;&gt;""""),COUNTA(FILTER(B$1:B291, B$1:B291&lt;&gt;""""))), LEN(INDEX(FILTER(B$1:B291, B$1:B291&lt;&gt;""""),COUNTA(FILTER(B$1:B291, B$1:B291&lt;&gt;""""))))-1), IF('To Order'!$A292=COLUMNS($A292:B"&amp;"311), B291&amp;RIGHT(INDIRECT(ADDRESS(ROW(B292)-1, 'From Order'!$A292)), 1), B291))"),"SWFBJL")</f>
        <v>SWFBJL</v>
      </c>
      <c r="C292" s="2" t="str">
        <f>IFERROR(__xludf.DUMMYFUNCTION("IF('From Order'!$A292=COLUMNS($A292:C311), LEFT(INDEX(FILTER(C$1:C291, C$1:C291&lt;&gt;""""),COUNTA(FILTER(C$1:C291, C$1:C291&lt;&gt;""""))), LEN(INDEX(FILTER(C$1:C291, C$1:C291&lt;&gt;""""),COUNTA(FILTER(C$1:C291, C$1:C291&lt;&gt;""""))))-1), IF('To Order'!$A292=COLUMNS($A292:C"&amp;"311), C291&amp;RIGHT(INDIRECT(ADDRESS(ROW(C292)-1, 'From Order'!$A292)), 1), C291))"),"")</f>
        <v/>
      </c>
      <c r="D292" s="2" t="str">
        <f>IFERROR(__xludf.DUMMYFUNCTION("IF('From Order'!$A292=COLUMNS($A292:D311), LEFT(INDEX(FILTER(D$1:D291, D$1:D291&lt;&gt;""""),COUNTA(FILTER(D$1:D291, D$1:D291&lt;&gt;""""))), LEN(INDEX(FILTER(D$1:D291, D$1:D291&lt;&gt;""""),COUNTA(FILTER(D$1:D291, D$1:D291&lt;&gt;""""))))-1), IF('To Order'!$A292=COLUMNS($A292:D"&amp;"311), D291&amp;RIGHT(INDIRECT(ADDRESS(ROW(D292)-1, 'From Order'!$A292)), 1), D291))"),"DLRTDCQM")</f>
        <v>DLRTDCQM</v>
      </c>
      <c r="E292" s="2" t="str">
        <f>IFERROR(__xludf.DUMMYFUNCTION("IF('From Order'!$A292=COLUMNS($A292:E311), LEFT(INDEX(FILTER(E$1:E291, E$1:E291&lt;&gt;""""),COUNTA(FILTER(E$1:E291, E$1:E291&lt;&gt;""""))), LEN(INDEX(FILTER(E$1:E291, E$1:E291&lt;&gt;""""),COUNTA(FILTER(E$1:E291, E$1:E291&lt;&gt;""""))))-1), IF('To Order'!$A292=COLUMNS($A292:E"&amp;"311), E291&amp;RIGHT(INDIRECT(ADDRESS(ROW(E292)-1, 'From Order'!$A292)), 1), E291))"),"")</f>
        <v/>
      </c>
      <c r="F292" s="2" t="str">
        <f>IFERROR(__xludf.DUMMYFUNCTION("IF('From Order'!$A292=COLUMNS($A292:F311), LEFT(INDEX(FILTER(F$1:F291, F$1:F291&lt;&gt;""""),COUNTA(FILTER(F$1:F291, F$1:F291&lt;&gt;""""))), LEN(INDEX(FILTER(F$1:F291, F$1:F291&lt;&gt;""""),COUNTA(FILTER(F$1:F291, F$1:F291&lt;&gt;""""))))-1), IF('To Order'!$A292=COLUMNS($A292:F"&amp;"311), F291&amp;RIGHT(INDIRECT(ADDRESS(ROW(F292)-1, 'From Order'!$A292)), 1), F291))"),"HSPVMZDDTZRWTJTVCBRQPDSVRZH")</f>
        <v>HSPVMZDDTZRWTJTVCBRQPDSVRZH</v>
      </c>
      <c r="G292" s="2" t="str">
        <f>IFERROR(__xludf.DUMMYFUNCTION("IF('From Order'!$A292=COLUMNS($A292:G311), LEFT(INDEX(FILTER(G$1:G291, G$1:G291&lt;&gt;""""),COUNTA(FILTER(G$1:G291, G$1:G291&lt;&gt;""""))), LEN(INDEX(FILTER(G$1:G291, G$1:G291&lt;&gt;""""),COUNTA(FILTER(G$1:G291, G$1:G291&lt;&gt;""""))))-1), IF('To Order'!$A292=COLUMNS($A292:G"&amp;"311), G291&amp;RIGHT(INDIRECT(ADDRESS(ROW(G292)-1, 'From Order'!$A292)), 1), G291))"),"")</f>
        <v/>
      </c>
      <c r="H292" s="2" t="str">
        <f>IFERROR(__xludf.DUMMYFUNCTION("IF('From Order'!$A292=COLUMNS($A292:H311), LEFT(INDEX(FILTER(H$1:H291, H$1:H291&lt;&gt;""""),COUNTA(FILTER(H$1:H291, H$1:H291&lt;&gt;""""))), LEN(INDEX(FILTER(H$1:H291, H$1:H291&lt;&gt;""""),COUNTA(FILTER(H$1:H291, H$1:H291&lt;&gt;""""))))-1), IF('To Order'!$A292=COLUMNS($A292:H"&amp;"311), H291&amp;RIGHT(INDIRECT(ADDRESS(ROW(H292)-1, 'From Order'!$A292)), 1), H291))"),"M")</f>
        <v>M</v>
      </c>
      <c r="I292" s="2" t="str">
        <f>IFERROR(__xludf.DUMMYFUNCTION("IF('From Order'!$A292=COLUMNS($A292:I311), LEFT(INDEX(FILTER(I$1:I291, I$1:I291&lt;&gt;""""),COUNTA(FILTER(I$1:I291, I$1:I291&lt;&gt;""""))), LEN(INDEX(FILTER(I$1:I291, I$1:I291&lt;&gt;""""),COUNTA(FILTER(I$1:I291, I$1:I291&lt;&gt;""""))))-1), IF('To Order'!$A292=COLUMNS($A292:I"&amp;"311), I291&amp;RIGHT(INDIRECT(ADDRESS(ROW(I292)-1, 'From Order'!$A292)), 1), I291))"),"GPBJDGSBLR")</f>
        <v>GPBJDGSBLR</v>
      </c>
    </row>
    <row r="293">
      <c r="A293" s="2" t="str">
        <f>IFERROR(__xludf.DUMMYFUNCTION("IF('From Order'!$A293=COLUMNS($A293:A312), LEFT(INDEX(FILTER(A$1:A292, A$1:A292&lt;&gt;""""),COUNTA(FILTER(A$1:A292, A$1:A292&lt;&gt;""""))), LEN(INDEX(FILTER(A$1:A292, A$1:A292&lt;&gt;""""),COUNTA(FILTER(A$1:A292, A$1:A292&lt;&gt;""""))))-1), IF('To Order'!$A293=COLUMNS($A293:A"&amp;"312), A292&amp;RIGHT(INDIRECT(ADDRESS(ROW(A293)-1, 'From Order'!$A293)), 1), A292))"),"CTFTM")</f>
        <v>CTFTM</v>
      </c>
      <c r="B293" s="2" t="str">
        <f>IFERROR(__xludf.DUMMYFUNCTION("IF('From Order'!$A293=COLUMNS($A293:B312), LEFT(INDEX(FILTER(B$1:B292, B$1:B292&lt;&gt;""""),COUNTA(FILTER(B$1:B292, B$1:B292&lt;&gt;""""))), LEN(INDEX(FILTER(B$1:B292, B$1:B292&lt;&gt;""""),COUNTA(FILTER(B$1:B292, B$1:B292&lt;&gt;""""))))-1), IF('To Order'!$A293=COLUMNS($A293:B"&amp;"312), B292&amp;RIGHT(INDIRECT(ADDRESS(ROW(B293)-1, 'From Order'!$A293)), 1), B292))"),"SWFBJL")</f>
        <v>SWFBJL</v>
      </c>
      <c r="C293" s="2" t="str">
        <f>IFERROR(__xludf.DUMMYFUNCTION("IF('From Order'!$A293=COLUMNS($A293:C312), LEFT(INDEX(FILTER(C$1:C292, C$1:C292&lt;&gt;""""),COUNTA(FILTER(C$1:C292, C$1:C292&lt;&gt;""""))), LEN(INDEX(FILTER(C$1:C292, C$1:C292&lt;&gt;""""),COUNTA(FILTER(C$1:C292, C$1:C292&lt;&gt;""""))))-1), IF('To Order'!$A293=COLUMNS($A293:C"&amp;"312), C292&amp;RIGHT(INDIRECT(ADDRESS(ROW(C293)-1, 'From Order'!$A293)), 1), C292))"),"")</f>
        <v/>
      </c>
      <c r="D293" s="2" t="str">
        <f>IFERROR(__xludf.DUMMYFUNCTION("IF('From Order'!$A293=COLUMNS($A293:D312), LEFT(INDEX(FILTER(D$1:D292, D$1:D292&lt;&gt;""""),COUNTA(FILTER(D$1:D292, D$1:D292&lt;&gt;""""))), LEN(INDEX(FILTER(D$1:D292, D$1:D292&lt;&gt;""""),COUNTA(FILTER(D$1:D292, D$1:D292&lt;&gt;""""))))-1), IF('To Order'!$A293=COLUMNS($A293:D"&amp;"312), D292&amp;RIGHT(INDIRECT(ADDRESS(ROW(D293)-1, 'From Order'!$A293)), 1), D292))"),"DLRTDCQ")</f>
        <v>DLRTDCQ</v>
      </c>
      <c r="E293" s="2" t="str">
        <f>IFERROR(__xludf.DUMMYFUNCTION("IF('From Order'!$A293=COLUMNS($A293:E312), LEFT(INDEX(FILTER(E$1:E292, E$1:E292&lt;&gt;""""),COUNTA(FILTER(E$1:E292, E$1:E292&lt;&gt;""""))), LEN(INDEX(FILTER(E$1:E292, E$1:E292&lt;&gt;""""),COUNTA(FILTER(E$1:E292, E$1:E292&lt;&gt;""""))))-1), IF('To Order'!$A293=COLUMNS($A293:E"&amp;"312), E292&amp;RIGHT(INDIRECT(ADDRESS(ROW(E293)-1, 'From Order'!$A293)), 1), E292))"),"")</f>
        <v/>
      </c>
      <c r="F293" s="2" t="str">
        <f>IFERROR(__xludf.DUMMYFUNCTION("IF('From Order'!$A293=COLUMNS($A293:F312), LEFT(INDEX(FILTER(F$1:F292, F$1:F292&lt;&gt;""""),COUNTA(FILTER(F$1:F292, F$1:F292&lt;&gt;""""))), LEN(INDEX(FILTER(F$1:F292, F$1:F292&lt;&gt;""""),COUNTA(FILTER(F$1:F292, F$1:F292&lt;&gt;""""))))-1), IF('To Order'!$A293=COLUMNS($A293:F"&amp;"312), F292&amp;RIGHT(INDIRECT(ADDRESS(ROW(F293)-1, 'From Order'!$A293)), 1), F292))"),"HSPVMZDDTZRWTJTVCBRQPDSVRZH")</f>
        <v>HSPVMZDDTZRWTJTVCBRQPDSVRZH</v>
      </c>
      <c r="G293" s="2" t="str">
        <f>IFERROR(__xludf.DUMMYFUNCTION("IF('From Order'!$A293=COLUMNS($A293:G312), LEFT(INDEX(FILTER(G$1:G292, G$1:G292&lt;&gt;""""),COUNTA(FILTER(G$1:G292, G$1:G292&lt;&gt;""""))), LEN(INDEX(FILTER(G$1:G292, G$1:G292&lt;&gt;""""),COUNTA(FILTER(G$1:G292, G$1:G292&lt;&gt;""""))))-1), IF('To Order'!$A293=COLUMNS($A293:G"&amp;"312), G292&amp;RIGHT(INDIRECT(ADDRESS(ROW(G293)-1, 'From Order'!$A293)), 1), G292))"),"")</f>
        <v/>
      </c>
      <c r="H293" s="2" t="str">
        <f>IFERROR(__xludf.DUMMYFUNCTION("IF('From Order'!$A293=COLUMNS($A293:H312), LEFT(INDEX(FILTER(H$1:H292, H$1:H292&lt;&gt;""""),COUNTA(FILTER(H$1:H292, H$1:H292&lt;&gt;""""))), LEN(INDEX(FILTER(H$1:H292, H$1:H292&lt;&gt;""""),COUNTA(FILTER(H$1:H292, H$1:H292&lt;&gt;""""))))-1), IF('To Order'!$A293=COLUMNS($A293:H"&amp;"312), H292&amp;RIGHT(INDIRECT(ADDRESS(ROW(H293)-1, 'From Order'!$A293)), 1), H292))"),"M")</f>
        <v>M</v>
      </c>
      <c r="I293" s="2" t="str">
        <f>IFERROR(__xludf.DUMMYFUNCTION("IF('From Order'!$A293=COLUMNS($A293:I312), LEFT(INDEX(FILTER(I$1:I292, I$1:I292&lt;&gt;""""),COUNTA(FILTER(I$1:I292, I$1:I292&lt;&gt;""""))), LEN(INDEX(FILTER(I$1:I292, I$1:I292&lt;&gt;""""),COUNTA(FILTER(I$1:I292, I$1:I292&lt;&gt;""""))))-1), IF('To Order'!$A293=COLUMNS($A293:I"&amp;"312), I292&amp;RIGHT(INDIRECT(ADDRESS(ROW(I293)-1, 'From Order'!$A293)), 1), I292))"),"GPBJDGSBLR")</f>
        <v>GPBJDGSBLR</v>
      </c>
    </row>
    <row r="294">
      <c r="A294" s="2" t="str">
        <f>IFERROR(__xludf.DUMMYFUNCTION("IF('From Order'!$A294=COLUMNS($A294:A313), LEFT(INDEX(FILTER(A$1:A293, A$1:A293&lt;&gt;""""),COUNTA(FILTER(A$1:A293, A$1:A293&lt;&gt;""""))), LEN(INDEX(FILTER(A$1:A293, A$1:A293&lt;&gt;""""),COUNTA(FILTER(A$1:A293, A$1:A293&lt;&gt;""""))))-1), IF('To Order'!$A294=COLUMNS($A294:A"&amp;"313), A293&amp;RIGHT(INDIRECT(ADDRESS(ROW(A294)-1, 'From Order'!$A294)), 1), A293))"),"CTFTMQ")</f>
        <v>CTFTMQ</v>
      </c>
      <c r="B294" s="2" t="str">
        <f>IFERROR(__xludf.DUMMYFUNCTION("IF('From Order'!$A294=COLUMNS($A294:B313), LEFT(INDEX(FILTER(B$1:B293, B$1:B293&lt;&gt;""""),COUNTA(FILTER(B$1:B293, B$1:B293&lt;&gt;""""))), LEN(INDEX(FILTER(B$1:B293, B$1:B293&lt;&gt;""""),COUNTA(FILTER(B$1:B293, B$1:B293&lt;&gt;""""))))-1), IF('To Order'!$A294=COLUMNS($A294:B"&amp;"313), B293&amp;RIGHT(INDIRECT(ADDRESS(ROW(B294)-1, 'From Order'!$A294)), 1), B293))"),"SWFBJL")</f>
        <v>SWFBJL</v>
      </c>
      <c r="C294" s="2" t="str">
        <f>IFERROR(__xludf.DUMMYFUNCTION("IF('From Order'!$A294=COLUMNS($A294:C313), LEFT(INDEX(FILTER(C$1:C293, C$1:C293&lt;&gt;""""),COUNTA(FILTER(C$1:C293, C$1:C293&lt;&gt;""""))), LEN(INDEX(FILTER(C$1:C293, C$1:C293&lt;&gt;""""),COUNTA(FILTER(C$1:C293, C$1:C293&lt;&gt;""""))))-1), IF('To Order'!$A294=COLUMNS($A294:C"&amp;"313), C293&amp;RIGHT(INDIRECT(ADDRESS(ROW(C294)-1, 'From Order'!$A294)), 1), C293))"),"")</f>
        <v/>
      </c>
      <c r="D294" s="2" t="str">
        <f>IFERROR(__xludf.DUMMYFUNCTION("IF('From Order'!$A294=COLUMNS($A294:D313), LEFT(INDEX(FILTER(D$1:D293, D$1:D293&lt;&gt;""""),COUNTA(FILTER(D$1:D293, D$1:D293&lt;&gt;""""))), LEN(INDEX(FILTER(D$1:D293, D$1:D293&lt;&gt;""""),COUNTA(FILTER(D$1:D293, D$1:D293&lt;&gt;""""))))-1), IF('To Order'!$A294=COLUMNS($A294:D"&amp;"313), D293&amp;RIGHT(INDIRECT(ADDRESS(ROW(D294)-1, 'From Order'!$A294)), 1), D293))"),"DLRTDC")</f>
        <v>DLRTDC</v>
      </c>
      <c r="E294" s="2" t="str">
        <f>IFERROR(__xludf.DUMMYFUNCTION("IF('From Order'!$A294=COLUMNS($A294:E313), LEFT(INDEX(FILTER(E$1:E293, E$1:E293&lt;&gt;""""),COUNTA(FILTER(E$1:E293, E$1:E293&lt;&gt;""""))), LEN(INDEX(FILTER(E$1:E293, E$1:E293&lt;&gt;""""),COUNTA(FILTER(E$1:E293, E$1:E293&lt;&gt;""""))))-1), IF('To Order'!$A294=COLUMNS($A294:E"&amp;"313), E293&amp;RIGHT(INDIRECT(ADDRESS(ROW(E294)-1, 'From Order'!$A294)), 1), E293))"),"")</f>
        <v/>
      </c>
      <c r="F294" s="2" t="str">
        <f>IFERROR(__xludf.DUMMYFUNCTION("IF('From Order'!$A294=COLUMNS($A294:F313), LEFT(INDEX(FILTER(F$1:F293, F$1:F293&lt;&gt;""""),COUNTA(FILTER(F$1:F293, F$1:F293&lt;&gt;""""))), LEN(INDEX(FILTER(F$1:F293, F$1:F293&lt;&gt;""""),COUNTA(FILTER(F$1:F293, F$1:F293&lt;&gt;""""))))-1), IF('To Order'!$A294=COLUMNS($A294:F"&amp;"313), F293&amp;RIGHT(INDIRECT(ADDRESS(ROW(F294)-1, 'From Order'!$A294)), 1), F293))"),"HSPVMZDDTZRWTJTVCBRQPDSVRZH")</f>
        <v>HSPVMZDDTZRWTJTVCBRQPDSVRZH</v>
      </c>
      <c r="G294" s="2" t="str">
        <f>IFERROR(__xludf.DUMMYFUNCTION("IF('From Order'!$A294=COLUMNS($A294:G313), LEFT(INDEX(FILTER(G$1:G293, G$1:G293&lt;&gt;""""),COUNTA(FILTER(G$1:G293, G$1:G293&lt;&gt;""""))), LEN(INDEX(FILTER(G$1:G293, G$1:G293&lt;&gt;""""),COUNTA(FILTER(G$1:G293, G$1:G293&lt;&gt;""""))))-1), IF('To Order'!$A294=COLUMNS($A294:G"&amp;"313), G293&amp;RIGHT(INDIRECT(ADDRESS(ROW(G294)-1, 'From Order'!$A294)), 1), G293))"),"")</f>
        <v/>
      </c>
      <c r="H294" s="2" t="str">
        <f>IFERROR(__xludf.DUMMYFUNCTION("IF('From Order'!$A294=COLUMNS($A294:H313), LEFT(INDEX(FILTER(H$1:H293, H$1:H293&lt;&gt;""""),COUNTA(FILTER(H$1:H293, H$1:H293&lt;&gt;""""))), LEN(INDEX(FILTER(H$1:H293, H$1:H293&lt;&gt;""""),COUNTA(FILTER(H$1:H293, H$1:H293&lt;&gt;""""))))-1), IF('To Order'!$A294=COLUMNS($A294:H"&amp;"313), H293&amp;RIGHT(INDIRECT(ADDRESS(ROW(H294)-1, 'From Order'!$A294)), 1), H293))"),"M")</f>
        <v>M</v>
      </c>
      <c r="I294" s="2" t="str">
        <f>IFERROR(__xludf.DUMMYFUNCTION("IF('From Order'!$A294=COLUMNS($A294:I313), LEFT(INDEX(FILTER(I$1:I293, I$1:I293&lt;&gt;""""),COUNTA(FILTER(I$1:I293, I$1:I293&lt;&gt;""""))), LEN(INDEX(FILTER(I$1:I293, I$1:I293&lt;&gt;""""),COUNTA(FILTER(I$1:I293, I$1:I293&lt;&gt;""""))))-1), IF('To Order'!$A294=COLUMNS($A294:I"&amp;"313), I293&amp;RIGHT(INDIRECT(ADDRESS(ROW(I294)-1, 'From Order'!$A294)), 1), I293))"),"GPBJDGSBLR")</f>
        <v>GPBJDGSBLR</v>
      </c>
    </row>
    <row r="295">
      <c r="A295" s="2" t="str">
        <f>IFERROR(__xludf.DUMMYFUNCTION("IF('From Order'!$A295=COLUMNS($A295:A314), LEFT(INDEX(FILTER(A$1:A294, A$1:A294&lt;&gt;""""),COUNTA(FILTER(A$1:A294, A$1:A294&lt;&gt;""""))), LEN(INDEX(FILTER(A$1:A294, A$1:A294&lt;&gt;""""),COUNTA(FILTER(A$1:A294, A$1:A294&lt;&gt;""""))))-1), IF('To Order'!$A295=COLUMNS($A295:A"&amp;"314), A294&amp;RIGHT(INDIRECT(ADDRESS(ROW(A295)-1, 'From Order'!$A295)), 1), A294))"),"CTFTMQC")</f>
        <v>CTFTMQC</v>
      </c>
      <c r="B295" s="2" t="str">
        <f>IFERROR(__xludf.DUMMYFUNCTION("IF('From Order'!$A295=COLUMNS($A295:B314), LEFT(INDEX(FILTER(B$1:B294, B$1:B294&lt;&gt;""""),COUNTA(FILTER(B$1:B294, B$1:B294&lt;&gt;""""))), LEN(INDEX(FILTER(B$1:B294, B$1:B294&lt;&gt;""""),COUNTA(FILTER(B$1:B294, B$1:B294&lt;&gt;""""))))-1), IF('To Order'!$A295=COLUMNS($A295:B"&amp;"314), B294&amp;RIGHT(INDIRECT(ADDRESS(ROW(B295)-1, 'From Order'!$A295)), 1), B294))"),"SWFBJL")</f>
        <v>SWFBJL</v>
      </c>
      <c r="C295" s="2" t="str">
        <f>IFERROR(__xludf.DUMMYFUNCTION("IF('From Order'!$A295=COLUMNS($A295:C314), LEFT(INDEX(FILTER(C$1:C294, C$1:C294&lt;&gt;""""),COUNTA(FILTER(C$1:C294, C$1:C294&lt;&gt;""""))), LEN(INDEX(FILTER(C$1:C294, C$1:C294&lt;&gt;""""),COUNTA(FILTER(C$1:C294, C$1:C294&lt;&gt;""""))))-1), IF('To Order'!$A295=COLUMNS($A295:C"&amp;"314), C294&amp;RIGHT(INDIRECT(ADDRESS(ROW(C295)-1, 'From Order'!$A295)), 1), C294))"),"")</f>
        <v/>
      </c>
      <c r="D295" s="2" t="str">
        <f>IFERROR(__xludf.DUMMYFUNCTION("IF('From Order'!$A295=COLUMNS($A295:D314), LEFT(INDEX(FILTER(D$1:D294, D$1:D294&lt;&gt;""""),COUNTA(FILTER(D$1:D294, D$1:D294&lt;&gt;""""))), LEN(INDEX(FILTER(D$1:D294, D$1:D294&lt;&gt;""""),COUNTA(FILTER(D$1:D294, D$1:D294&lt;&gt;""""))))-1), IF('To Order'!$A295=COLUMNS($A295:D"&amp;"314), D294&amp;RIGHT(INDIRECT(ADDRESS(ROW(D295)-1, 'From Order'!$A295)), 1), D294))"),"DLRTD")</f>
        <v>DLRTD</v>
      </c>
      <c r="E295" s="2" t="str">
        <f>IFERROR(__xludf.DUMMYFUNCTION("IF('From Order'!$A295=COLUMNS($A295:E314), LEFT(INDEX(FILTER(E$1:E294, E$1:E294&lt;&gt;""""),COUNTA(FILTER(E$1:E294, E$1:E294&lt;&gt;""""))), LEN(INDEX(FILTER(E$1:E294, E$1:E294&lt;&gt;""""),COUNTA(FILTER(E$1:E294, E$1:E294&lt;&gt;""""))))-1), IF('To Order'!$A295=COLUMNS($A295:E"&amp;"314), E294&amp;RIGHT(INDIRECT(ADDRESS(ROW(E295)-1, 'From Order'!$A295)), 1), E294))"),"")</f>
        <v/>
      </c>
      <c r="F295" s="2" t="str">
        <f>IFERROR(__xludf.DUMMYFUNCTION("IF('From Order'!$A295=COLUMNS($A295:F314), LEFT(INDEX(FILTER(F$1:F294, F$1:F294&lt;&gt;""""),COUNTA(FILTER(F$1:F294, F$1:F294&lt;&gt;""""))), LEN(INDEX(FILTER(F$1:F294, F$1:F294&lt;&gt;""""),COUNTA(FILTER(F$1:F294, F$1:F294&lt;&gt;""""))))-1), IF('To Order'!$A295=COLUMNS($A295:F"&amp;"314), F294&amp;RIGHT(INDIRECT(ADDRESS(ROW(F295)-1, 'From Order'!$A295)), 1), F294))"),"HSPVMZDDTZRWTJTVCBRQPDSVRZH")</f>
        <v>HSPVMZDDTZRWTJTVCBRQPDSVRZH</v>
      </c>
      <c r="G295" s="2" t="str">
        <f>IFERROR(__xludf.DUMMYFUNCTION("IF('From Order'!$A295=COLUMNS($A295:G314), LEFT(INDEX(FILTER(G$1:G294, G$1:G294&lt;&gt;""""),COUNTA(FILTER(G$1:G294, G$1:G294&lt;&gt;""""))), LEN(INDEX(FILTER(G$1:G294, G$1:G294&lt;&gt;""""),COUNTA(FILTER(G$1:G294, G$1:G294&lt;&gt;""""))))-1), IF('To Order'!$A295=COLUMNS($A295:G"&amp;"314), G294&amp;RIGHT(INDIRECT(ADDRESS(ROW(G295)-1, 'From Order'!$A295)), 1), G294))"),"")</f>
        <v/>
      </c>
      <c r="H295" s="2" t="str">
        <f>IFERROR(__xludf.DUMMYFUNCTION("IF('From Order'!$A295=COLUMNS($A295:H314), LEFT(INDEX(FILTER(H$1:H294, H$1:H294&lt;&gt;""""),COUNTA(FILTER(H$1:H294, H$1:H294&lt;&gt;""""))), LEN(INDEX(FILTER(H$1:H294, H$1:H294&lt;&gt;""""),COUNTA(FILTER(H$1:H294, H$1:H294&lt;&gt;""""))))-1), IF('To Order'!$A295=COLUMNS($A295:H"&amp;"314), H294&amp;RIGHT(INDIRECT(ADDRESS(ROW(H295)-1, 'From Order'!$A295)), 1), H294))"),"M")</f>
        <v>M</v>
      </c>
      <c r="I295" s="2" t="str">
        <f>IFERROR(__xludf.DUMMYFUNCTION("IF('From Order'!$A295=COLUMNS($A295:I314), LEFT(INDEX(FILTER(I$1:I294, I$1:I294&lt;&gt;""""),COUNTA(FILTER(I$1:I294, I$1:I294&lt;&gt;""""))), LEN(INDEX(FILTER(I$1:I294, I$1:I294&lt;&gt;""""),COUNTA(FILTER(I$1:I294, I$1:I294&lt;&gt;""""))))-1), IF('To Order'!$A295=COLUMNS($A295:I"&amp;"314), I294&amp;RIGHT(INDIRECT(ADDRESS(ROW(I295)-1, 'From Order'!$A295)), 1), I294))"),"GPBJDGSBLR")</f>
        <v>GPBJDGSBLR</v>
      </c>
    </row>
    <row r="296">
      <c r="A296" s="2" t="str">
        <f>IFERROR(__xludf.DUMMYFUNCTION("IF('From Order'!$A296=COLUMNS($A296:A315), LEFT(INDEX(FILTER(A$1:A295, A$1:A295&lt;&gt;""""),COUNTA(FILTER(A$1:A295, A$1:A295&lt;&gt;""""))), LEN(INDEX(FILTER(A$1:A295, A$1:A295&lt;&gt;""""),COUNTA(FILTER(A$1:A295, A$1:A295&lt;&gt;""""))))-1), IF('To Order'!$A296=COLUMNS($A296:A"&amp;"315), A295&amp;RIGHT(INDIRECT(ADDRESS(ROW(A296)-1, 'From Order'!$A296)), 1), A295))"),"CTFTMQCD")</f>
        <v>CTFTMQCD</v>
      </c>
      <c r="B296" s="2" t="str">
        <f>IFERROR(__xludf.DUMMYFUNCTION("IF('From Order'!$A296=COLUMNS($A296:B315), LEFT(INDEX(FILTER(B$1:B295, B$1:B295&lt;&gt;""""),COUNTA(FILTER(B$1:B295, B$1:B295&lt;&gt;""""))), LEN(INDEX(FILTER(B$1:B295, B$1:B295&lt;&gt;""""),COUNTA(FILTER(B$1:B295, B$1:B295&lt;&gt;""""))))-1), IF('To Order'!$A296=COLUMNS($A296:B"&amp;"315), B295&amp;RIGHT(INDIRECT(ADDRESS(ROW(B296)-1, 'From Order'!$A296)), 1), B295))"),"SWFBJL")</f>
        <v>SWFBJL</v>
      </c>
      <c r="C296" s="2" t="str">
        <f>IFERROR(__xludf.DUMMYFUNCTION("IF('From Order'!$A296=COLUMNS($A296:C315), LEFT(INDEX(FILTER(C$1:C295, C$1:C295&lt;&gt;""""),COUNTA(FILTER(C$1:C295, C$1:C295&lt;&gt;""""))), LEN(INDEX(FILTER(C$1:C295, C$1:C295&lt;&gt;""""),COUNTA(FILTER(C$1:C295, C$1:C295&lt;&gt;""""))))-1), IF('To Order'!$A296=COLUMNS($A296:C"&amp;"315), C295&amp;RIGHT(INDIRECT(ADDRESS(ROW(C296)-1, 'From Order'!$A296)), 1), C295))"),"")</f>
        <v/>
      </c>
      <c r="D296" s="2" t="str">
        <f>IFERROR(__xludf.DUMMYFUNCTION("IF('From Order'!$A296=COLUMNS($A296:D315), LEFT(INDEX(FILTER(D$1:D295, D$1:D295&lt;&gt;""""),COUNTA(FILTER(D$1:D295, D$1:D295&lt;&gt;""""))), LEN(INDEX(FILTER(D$1:D295, D$1:D295&lt;&gt;""""),COUNTA(FILTER(D$1:D295, D$1:D295&lt;&gt;""""))))-1), IF('To Order'!$A296=COLUMNS($A296:D"&amp;"315), D295&amp;RIGHT(INDIRECT(ADDRESS(ROW(D296)-1, 'From Order'!$A296)), 1), D295))"),"DLRT")</f>
        <v>DLRT</v>
      </c>
      <c r="E296" s="2" t="str">
        <f>IFERROR(__xludf.DUMMYFUNCTION("IF('From Order'!$A296=COLUMNS($A296:E315), LEFT(INDEX(FILTER(E$1:E295, E$1:E295&lt;&gt;""""),COUNTA(FILTER(E$1:E295, E$1:E295&lt;&gt;""""))), LEN(INDEX(FILTER(E$1:E295, E$1:E295&lt;&gt;""""),COUNTA(FILTER(E$1:E295, E$1:E295&lt;&gt;""""))))-1), IF('To Order'!$A296=COLUMNS($A296:E"&amp;"315), E295&amp;RIGHT(INDIRECT(ADDRESS(ROW(E296)-1, 'From Order'!$A296)), 1), E295))"),"")</f>
        <v/>
      </c>
      <c r="F296" s="2" t="str">
        <f>IFERROR(__xludf.DUMMYFUNCTION("IF('From Order'!$A296=COLUMNS($A296:F315), LEFT(INDEX(FILTER(F$1:F295, F$1:F295&lt;&gt;""""),COUNTA(FILTER(F$1:F295, F$1:F295&lt;&gt;""""))), LEN(INDEX(FILTER(F$1:F295, F$1:F295&lt;&gt;""""),COUNTA(FILTER(F$1:F295, F$1:F295&lt;&gt;""""))))-1), IF('To Order'!$A296=COLUMNS($A296:F"&amp;"315), F295&amp;RIGHT(INDIRECT(ADDRESS(ROW(F296)-1, 'From Order'!$A296)), 1), F295))"),"HSPVMZDDTZRWTJTVCBRQPDSVRZH")</f>
        <v>HSPVMZDDTZRWTJTVCBRQPDSVRZH</v>
      </c>
      <c r="G296" s="2" t="str">
        <f>IFERROR(__xludf.DUMMYFUNCTION("IF('From Order'!$A296=COLUMNS($A296:G315), LEFT(INDEX(FILTER(G$1:G295, G$1:G295&lt;&gt;""""),COUNTA(FILTER(G$1:G295, G$1:G295&lt;&gt;""""))), LEN(INDEX(FILTER(G$1:G295, G$1:G295&lt;&gt;""""),COUNTA(FILTER(G$1:G295, G$1:G295&lt;&gt;""""))))-1), IF('To Order'!$A296=COLUMNS($A296:G"&amp;"315), G295&amp;RIGHT(INDIRECT(ADDRESS(ROW(G296)-1, 'From Order'!$A296)), 1), G295))"),"")</f>
        <v/>
      </c>
      <c r="H296" s="2" t="str">
        <f>IFERROR(__xludf.DUMMYFUNCTION("IF('From Order'!$A296=COLUMNS($A296:H315), LEFT(INDEX(FILTER(H$1:H295, H$1:H295&lt;&gt;""""),COUNTA(FILTER(H$1:H295, H$1:H295&lt;&gt;""""))), LEN(INDEX(FILTER(H$1:H295, H$1:H295&lt;&gt;""""),COUNTA(FILTER(H$1:H295, H$1:H295&lt;&gt;""""))))-1), IF('To Order'!$A296=COLUMNS($A296:H"&amp;"315), H295&amp;RIGHT(INDIRECT(ADDRESS(ROW(H296)-1, 'From Order'!$A296)), 1), H295))"),"M")</f>
        <v>M</v>
      </c>
      <c r="I296" s="2" t="str">
        <f>IFERROR(__xludf.DUMMYFUNCTION("IF('From Order'!$A296=COLUMNS($A296:I315), LEFT(INDEX(FILTER(I$1:I295, I$1:I295&lt;&gt;""""),COUNTA(FILTER(I$1:I295, I$1:I295&lt;&gt;""""))), LEN(INDEX(FILTER(I$1:I295, I$1:I295&lt;&gt;""""),COUNTA(FILTER(I$1:I295, I$1:I295&lt;&gt;""""))))-1), IF('To Order'!$A296=COLUMNS($A296:I"&amp;"315), I295&amp;RIGHT(INDIRECT(ADDRESS(ROW(I296)-1, 'From Order'!$A296)), 1), I295))"),"GPBJDGSBLR")</f>
        <v>GPBJDGSBLR</v>
      </c>
    </row>
    <row r="297">
      <c r="A297" s="2" t="str">
        <f>IFERROR(__xludf.DUMMYFUNCTION("IF('From Order'!$A297=COLUMNS($A297:A316), LEFT(INDEX(FILTER(A$1:A296, A$1:A296&lt;&gt;""""),COUNTA(FILTER(A$1:A296, A$1:A296&lt;&gt;""""))), LEN(INDEX(FILTER(A$1:A296, A$1:A296&lt;&gt;""""),COUNTA(FILTER(A$1:A296, A$1:A296&lt;&gt;""""))))-1), IF('To Order'!$A297=COLUMNS($A297:A"&amp;"316), A296&amp;RIGHT(INDIRECT(ADDRESS(ROW(A297)-1, 'From Order'!$A297)), 1), A296))"),"CTFTMQCDT")</f>
        <v>CTFTMQCDT</v>
      </c>
      <c r="B297" s="2" t="str">
        <f>IFERROR(__xludf.DUMMYFUNCTION("IF('From Order'!$A297=COLUMNS($A297:B316), LEFT(INDEX(FILTER(B$1:B296, B$1:B296&lt;&gt;""""),COUNTA(FILTER(B$1:B296, B$1:B296&lt;&gt;""""))), LEN(INDEX(FILTER(B$1:B296, B$1:B296&lt;&gt;""""),COUNTA(FILTER(B$1:B296, B$1:B296&lt;&gt;""""))))-1), IF('To Order'!$A297=COLUMNS($A297:B"&amp;"316), B296&amp;RIGHT(INDIRECT(ADDRESS(ROW(B297)-1, 'From Order'!$A297)), 1), B296))"),"SWFBJL")</f>
        <v>SWFBJL</v>
      </c>
      <c r="C297" s="2" t="str">
        <f>IFERROR(__xludf.DUMMYFUNCTION("IF('From Order'!$A297=COLUMNS($A297:C316), LEFT(INDEX(FILTER(C$1:C296, C$1:C296&lt;&gt;""""),COUNTA(FILTER(C$1:C296, C$1:C296&lt;&gt;""""))), LEN(INDEX(FILTER(C$1:C296, C$1:C296&lt;&gt;""""),COUNTA(FILTER(C$1:C296, C$1:C296&lt;&gt;""""))))-1), IF('To Order'!$A297=COLUMNS($A297:C"&amp;"316), C296&amp;RIGHT(INDIRECT(ADDRESS(ROW(C297)-1, 'From Order'!$A297)), 1), C296))"),"")</f>
        <v/>
      </c>
      <c r="D297" s="2" t="str">
        <f>IFERROR(__xludf.DUMMYFUNCTION("IF('From Order'!$A297=COLUMNS($A297:D316), LEFT(INDEX(FILTER(D$1:D296, D$1:D296&lt;&gt;""""),COUNTA(FILTER(D$1:D296, D$1:D296&lt;&gt;""""))), LEN(INDEX(FILTER(D$1:D296, D$1:D296&lt;&gt;""""),COUNTA(FILTER(D$1:D296, D$1:D296&lt;&gt;""""))))-1), IF('To Order'!$A297=COLUMNS($A297:D"&amp;"316), D296&amp;RIGHT(INDIRECT(ADDRESS(ROW(D297)-1, 'From Order'!$A297)), 1), D296))"),"DLR")</f>
        <v>DLR</v>
      </c>
      <c r="E297" s="2" t="str">
        <f>IFERROR(__xludf.DUMMYFUNCTION("IF('From Order'!$A297=COLUMNS($A297:E316), LEFT(INDEX(FILTER(E$1:E296, E$1:E296&lt;&gt;""""),COUNTA(FILTER(E$1:E296, E$1:E296&lt;&gt;""""))), LEN(INDEX(FILTER(E$1:E296, E$1:E296&lt;&gt;""""),COUNTA(FILTER(E$1:E296, E$1:E296&lt;&gt;""""))))-1), IF('To Order'!$A297=COLUMNS($A297:E"&amp;"316), E296&amp;RIGHT(INDIRECT(ADDRESS(ROW(E297)-1, 'From Order'!$A297)), 1), E296))"),"")</f>
        <v/>
      </c>
      <c r="F297" s="2" t="str">
        <f>IFERROR(__xludf.DUMMYFUNCTION("IF('From Order'!$A297=COLUMNS($A297:F316), LEFT(INDEX(FILTER(F$1:F296, F$1:F296&lt;&gt;""""),COUNTA(FILTER(F$1:F296, F$1:F296&lt;&gt;""""))), LEN(INDEX(FILTER(F$1:F296, F$1:F296&lt;&gt;""""),COUNTA(FILTER(F$1:F296, F$1:F296&lt;&gt;""""))))-1), IF('To Order'!$A297=COLUMNS($A297:F"&amp;"316), F296&amp;RIGHT(INDIRECT(ADDRESS(ROW(F297)-1, 'From Order'!$A297)), 1), F296))"),"HSPVMZDDTZRWTJTVCBRQPDSVRZH")</f>
        <v>HSPVMZDDTZRWTJTVCBRQPDSVRZH</v>
      </c>
      <c r="G297" s="2" t="str">
        <f>IFERROR(__xludf.DUMMYFUNCTION("IF('From Order'!$A297=COLUMNS($A297:G316), LEFT(INDEX(FILTER(G$1:G296, G$1:G296&lt;&gt;""""),COUNTA(FILTER(G$1:G296, G$1:G296&lt;&gt;""""))), LEN(INDEX(FILTER(G$1:G296, G$1:G296&lt;&gt;""""),COUNTA(FILTER(G$1:G296, G$1:G296&lt;&gt;""""))))-1), IF('To Order'!$A297=COLUMNS($A297:G"&amp;"316), G296&amp;RIGHT(INDIRECT(ADDRESS(ROW(G297)-1, 'From Order'!$A297)), 1), G296))"),"")</f>
        <v/>
      </c>
      <c r="H297" s="2" t="str">
        <f>IFERROR(__xludf.DUMMYFUNCTION("IF('From Order'!$A297=COLUMNS($A297:H316), LEFT(INDEX(FILTER(H$1:H296, H$1:H296&lt;&gt;""""),COUNTA(FILTER(H$1:H296, H$1:H296&lt;&gt;""""))), LEN(INDEX(FILTER(H$1:H296, H$1:H296&lt;&gt;""""),COUNTA(FILTER(H$1:H296, H$1:H296&lt;&gt;""""))))-1), IF('To Order'!$A297=COLUMNS($A297:H"&amp;"316), H296&amp;RIGHT(INDIRECT(ADDRESS(ROW(H297)-1, 'From Order'!$A297)), 1), H296))"),"M")</f>
        <v>M</v>
      </c>
      <c r="I297" s="2" t="str">
        <f>IFERROR(__xludf.DUMMYFUNCTION("IF('From Order'!$A297=COLUMNS($A297:I316), LEFT(INDEX(FILTER(I$1:I296, I$1:I296&lt;&gt;""""),COUNTA(FILTER(I$1:I296, I$1:I296&lt;&gt;""""))), LEN(INDEX(FILTER(I$1:I296, I$1:I296&lt;&gt;""""),COUNTA(FILTER(I$1:I296, I$1:I296&lt;&gt;""""))))-1), IF('To Order'!$A297=COLUMNS($A297:I"&amp;"316), I296&amp;RIGHT(INDIRECT(ADDRESS(ROW(I297)-1, 'From Order'!$A297)), 1), I296))"),"GPBJDGSBLR")</f>
        <v>GPBJDGSBLR</v>
      </c>
    </row>
    <row r="298">
      <c r="A298" s="2" t="str">
        <f>IFERROR(__xludf.DUMMYFUNCTION("IF('From Order'!$A298=COLUMNS($A298:A317), LEFT(INDEX(FILTER(A$1:A297, A$1:A297&lt;&gt;""""),COUNTA(FILTER(A$1:A297, A$1:A297&lt;&gt;""""))), LEN(INDEX(FILTER(A$1:A297, A$1:A297&lt;&gt;""""),COUNTA(FILTER(A$1:A297, A$1:A297&lt;&gt;""""))))-1), IF('To Order'!$A298=COLUMNS($A298:A"&amp;"317), A297&amp;RIGHT(INDIRECT(ADDRESS(ROW(A298)-1, 'From Order'!$A298)), 1), A297))"),"CTFTMQCDTR")</f>
        <v>CTFTMQCDTR</v>
      </c>
      <c r="B298" s="2" t="str">
        <f>IFERROR(__xludf.DUMMYFUNCTION("IF('From Order'!$A298=COLUMNS($A298:B317), LEFT(INDEX(FILTER(B$1:B297, B$1:B297&lt;&gt;""""),COUNTA(FILTER(B$1:B297, B$1:B297&lt;&gt;""""))), LEN(INDEX(FILTER(B$1:B297, B$1:B297&lt;&gt;""""),COUNTA(FILTER(B$1:B297, B$1:B297&lt;&gt;""""))))-1), IF('To Order'!$A298=COLUMNS($A298:B"&amp;"317), B297&amp;RIGHT(INDIRECT(ADDRESS(ROW(B298)-1, 'From Order'!$A298)), 1), B297))"),"SWFBJL")</f>
        <v>SWFBJL</v>
      </c>
      <c r="C298" s="2" t="str">
        <f>IFERROR(__xludf.DUMMYFUNCTION("IF('From Order'!$A298=COLUMNS($A298:C317), LEFT(INDEX(FILTER(C$1:C297, C$1:C297&lt;&gt;""""),COUNTA(FILTER(C$1:C297, C$1:C297&lt;&gt;""""))), LEN(INDEX(FILTER(C$1:C297, C$1:C297&lt;&gt;""""),COUNTA(FILTER(C$1:C297, C$1:C297&lt;&gt;""""))))-1), IF('To Order'!$A298=COLUMNS($A298:C"&amp;"317), C297&amp;RIGHT(INDIRECT(ADDRESS(ROW(C298)-1, 'From Order'!$A298)), 1), C297))"),"")</f>
        <v/>
      </c>
      <c r="D298" s="2" t="str">
        <f>IFERROR(__xludf.DUMMYFUNCTION("IF('From Order'!$A298=COLUMNS($A298:D317), LEFT(INDEX(FILTER(D$1:D297, D$1:D297&lt;&gt;""""),COUNTA(FILTER(D$1:D297, D$1:D297&lt;&gt;""""))), LEN(INDEX(FILTER(D$1:D297, D$1:D297&lt;&gt;""""),COUNTA(FILTER(D$1:D297, D$1:D297&lt;&gt;""""))))-1), IF('To Order'!$A298=COLUMNS($A298:D"&amp;"317), D297&amp;RIGHT(INDIRECT(ADDRESS(ROW(D298)-1, 'From Order'!$A298)), 1), D297))"),"DL")</f>
        <v>DL</v>
      </c>
      <c r="E298" s="2" t="str">
        <f>IFERROR(__xludf.DUMMYFUNCTION("IF('From Order'!$A298=COLUMNS($A298:E317), LEFT(INDEX(FILTER(E$1:E297, E$1:E297&lt;&gt;""""),COUNTA(FILTER(E$1:E297, E$1:E297&lt;&gt;""""))), LEN(INDEX(FILTER(E$1:E297, E$1:E297&lt;&gt;""""),COUNTA(FILTER(E$1:E297, E$1:E297&lt;&gt;""""))))-1), IF('To Order'!$A298=COLUMNS($A298:E"&amp;"317), E297&amp;RIGHT(INDIRECT(ADDRESS(ROW(E298)-1, 'From Order'!$A298)), 1), E297))"),"")</f>
        <v/>
      </c>
      <c r="F298" s="2" t="str">
        <f>IFERROR(__xludf.DUMMYFUNCTION("IF('From Order'!$A298=COLUMNS($A298:F317), LEFT(INDEX(FILTER(F$1:F297, F$1:F297&lt;&gt;""""),COUNTA(FILTER(F$1:F297, F$1:F297&lt;&gt;""""))), LEN(INDEX(FILTER(F$1:F297, F$1:F297&lt;&gt;""""),COUNTA(FILTER(F$1:F297, F$1:F297&lt;&gt;""""))))-1), IF('To Order'!$A298=COLUMNS($A298:F"&amp;"317), F297&amp;RIGHT(INDIRECT(ADDRESS(ROW(F298)-1, 'From Order'!$A298)), 1), F297))"),"HSPVMZDDTZRWTJTVCBRQPDSVRZH")</f>
        <v>HSPVMZDDTZRWTJTVCBRQPDSVRZH</v>
      </c>
      <c r="G298" s="2" t="str">
        <f>IFERROR(__xludf.DUMMYFUNCTION("IF('From Order'!$A298=COLUMNS($A298:G317), LEFT(INDEX(FILTER(G$1:G297, G$1:G297&lt;&gt;""""),COUNTA(FILTER(G$1:G297, G$1:G297&lt;&gt;""""))), LEN(INDEX(FILTER(G$1:G297, G$1:G297&lt;&gt;""""),COUNTA(FILTER(G$1:G297, G$1:G297&lt;&gt;""""))))-1), IF('To Order'!$A298=COLUMNS($A298:G"&amp;"317), G297&amp;RIGHT(INDIRECT(ADDRESS(ROW(G298)-1, 'From Order'!$A298)), 1), G297))"),"")</f>
        <v/>
      </c>
      <c r="H298" s="2" t="str">
        <f>IFERROR(__xludf.DUMMYFUNCTION("IF('From Order'!$A298=COLUMNS($A298:H317), LEFT(INDEX(FILTER(H$1:H297, H$1:H297&lt;&gt;""""),COUNTA(FILTER(H$1:H297, H$1:H297&lt;&gt;""""))), LEN(INDEX(FILTER(H$1:H297, H$1:H297&lt;&gt;""""),COUNTA(FILTER(H$1:H297, H$1:H297&lt;&gt;""""))))-1), IF('To Order'!$A298=COLUMNS($A298:H"&amp;"317), H297&amp;RIGHT(INDIRECT(ADDRESS(ROW(H298)-1, 'From Order'!$A298)), 1), H297))"),"M")</f>
        <v>M</v>
      </c>
      <c r="I298" s="2" t="str">
        <f>IFERROR(__xludf.DUMMYFUNCTION("IF('From Order'!$A298=COLUMNS($A298:I317), LEFT(INDEX(FILTER(I$1:I297, I$1:I297&lt;&gt;""""),COUNTA(FILTER(I$1:I297, I$1:I297&lt;&gt;""""))), LEN(INDEX(FILTER(I$1:I297, I$1:I297&lt;&gt;""""),COUNTA(FILTER(I$1:I297, I$1:I297&lt;&gt;""""))))-1), IF('To Order'!$A298=COLUMNS($A298:I"&amp;"317), I297&amp;RIGHT(INDIRECT(ADDRESS(ROW(I298)-1, 'From Order'!$A298)), 1), I297))"),"GPBJDGSBLR")</f>
        <v>GPBJDGSBLR</v>
      </c>
    </row>
    <row r="299">
      <c r="A299" s="2" t="str">
        <f>IFERROR(__xludf.DUMMYFUNCTION("IF('From Order'!$A299=COLUMNS($A299:A318), LEFT(INDEX(FILTER(A$1:A298, A$1:A298&lt;&gt;""""),COUNTA(FILTER(A$1:A298, A$1:A298&lt;&gt;""""))), LEN(INDEX(FILTER(A$1:A298, A$1:A298&lt;&gt;""""),COUNTA(FILTER(A$1:A298, A$1:A298&lt;&gt;""""))))-1), IF('To Order'!$A299=COLUMNS($A299:A"&amp;"318), A298&amp;RIGHT(INDIRECT(ADDRESS(ROW(A299)-1, 'From Order'!$A299)), 1), A298))"),"CTFTMQCDTRL")</f>
        <v>CTFTMQCDTRL</v>
      </c>
      <c r="B299" s="2" t="str">
        <f>IFERROR(__xludf.DUMMYFUNCTION("IF('From Order'!$A299=COLUMNS($A299:B318), LEFT(INDEX(FILTER(B$1:B298, B$1:B298&lt;&gt;""""),COUNTA(FILTER(B$1:B298, B$1:B298&lt;&gt;""""))), LEN(INDEX(FILTER(B$1:B298, B$1:B298&lt;&gt;""""),COUNTA(FILTER(B$1:B298, B$1:B298&lt;&gt;""""))))-1), IF('To Order'!$A299=COLUMNS($A299:B"&amp;"318), B298&amp;RIGHT(INDIRECT(ADDRESS(ROW(B299)-1, 'From Order'!$A299)), 1), B298))"),"SWFBJL")</f>
        <v>SWFBJL</v>
      </c>
      <c r="C299" s="2" t="str">
        <f>IFERROR(__xludf.DUMMYFUNCTION("IF('From Order'!$A299=COLUMNS($A299:C318), LEFT(INDEX(FILTER(C$1:C298, C$1:C298&lt;&gt;""""),COUNTA(FILTER(C$1:C298, C$1:C298&lt;&gt;""""))), LEN(INDEX(FILTER(C$1:C298, C$1:C298&lt;&gt;""""),COUNTA(FILTER(C$1:C298, C$1:C298&lt;&gt;""""))))-1), IF('To Order'!$A299=COLUMNS($A299:C"&amp;"318), C298&amp;RIGHT(INDIRECT(ADDRESS(ROW(C299)-1, 'From Order'!$A299)), 1), C298))"),"")</f>
        <v/>
      </c>
      <c r="D299" s="2" t="str">
        <f>IFERROR(__xludf.DUMMYFUNCTION("IF('From Order'!$A299=COLUMNS($A299:D318), LEFT(INDEX(FILTER(D$1:D298, D$1:D298&lt;&gt;""""),COUNTA(FILTER(D$1:D298, D$1:D298&lt;&gt;""""))), LEN(INDEX(FILTER(D$1:D298, D$1:D298&lt;&gt;""""),COUNTA(FILTER(D$1:D298, D$1:D298&lt;&gt;""""))))-1), IF('To Order'!$A299=COLUMNS($A299:D"&amp;"318), D298&amp;RIGHT(INDIRECT(ADDRESS(ROW(D299)-1, 'From Order'!$A299)), 1), D298))"),"D")</f>
        <v>D</v>
      </c>
      <c r="E299" s="2" t="str">
        <f>IFERROR(__xludf.DUMMYFUNCTION("IF('From Order'!$A299=COLUMNS($A299:E318), LEFT(INDEX(FILTER(E$1:E298, E$1:E298&lt;&gt;""""),COUNTA(FILTER(E$1:E298, E$1:E298&lt;&gt;""""))), LEN(INDEX(FILTER(E$1:E298, E$1:E298&lt;&gt;""""),COUNTA(FILTER(E$1:E298, E$1:E298&lt;&gt;""""))))-1), IF('To Order'!$A299=COLUMNS($A299:E"&amp;"318), E298&amp;RIGHT(INDIRECT(ADDRESS(ROW(E299)-1, 'From Order'!$A299)), 1), E298))"),"")</f>
        <v/>
      </c>
      <c r="F299" s="2" t="str">
        <f>IFERROR(__xludf.DUMMYFUNCTION("IF('From Order'!$A299=COLUMNS($A299:F318), LEFT(INDEX(FILTER(F$1:F298, F$1:F298&lt;&gt;""""),COUNTA(FILTER(F$1:F298, F$1:F298&lt;&gt;""""))), LEN(INDEX(FILTER(F$1:F298, F$1:F298&lt;&gt;""""),COUNTA(FILTER(F$1:F298, F$1:F298&lt;&gt;""""))))-1), IF('To Order'!$A299=COLUMNS($A299:F"&amp;"318), F298&amp;RIGHT(INDIRECT(ADDRESS(ROW(F299)-1, 'From Order'!$A299)), 1), F298))"),"HSPVMZDDTZRWTJTVCBRQPDSVRZH")</f>
        <v>HSPVMZDDTZRWTJTVCBRQPDSVRZH</v>
      </c>
      <c r="G299" s="2" t="str">
        <f>IFERROR(__xludf.DUMMYFUNCTION("IF('From Order'!$A299=COLUMNS($A299:G318), LEFT(INDEX(FILTER(G$1:G298, G$1:G298&lt;&gt;""""),COUNTA(FILTER(G$1:G298, G$1:G298&lt;&gt;""""))), LEN(INDEX(FILTER(G$1:G298, G$1:G298&lt;&gt;""""),COUNTA(FILTER(G$1:G298, G$1:G298&lt;&gt;""""))))-1), IF('To Order'!$A299=COLUMNS($A299:G"&amp;"318), G298&amp;RIGHT(INDIRECT(ADDRESS(ROW(G299)-1, 'From Order'!$A299)), 1), G298))"),"")</f>
        <v/>
      </c>
      <c r="H299" s="2" t="str">
        <f>IFERROR(__xludf.DUMMYFUNCTION("IF('From Order'!$A299=COLUMNS($A299:H318), LEFT(INDEX(FILTER(H$1:H298, H$1:H298&lt;&gt;""""),COUNTA(FILTER(H$1:H298, H$1:H298&lt;&gt;""""))), LEN(INDEX(FILTER(H$1:H298, H$1:H298&lt;&gt;""""),COUNTA(FILTER(H$1:H298, H$1:H298&lt;&gt;""""))))-1), IF('To Order'!$A299=COLUMNS($A299:H"&amp;"318), H298&amp;RIGHT(INDIRECT(ADDRESS(ROW(H299)-1, 'From Order'!$A299)), 1), H298))"),"M")</f>
        <v>M</v>
      </c>
      <c r="I299" s="2" t="str">
        <f>IFERROR(__xludf.DUMMYFUNCTION("IF('From Order'!$A299=COLUMNS($A299:I318), LEFT(INDEX(FILTER(I$1:I298, I$1:I298&lt;&gt;""""),COUNTA(FILTER(I$1:I298, I$1:I298&lt;&gt;""""))), LEN(INDEX(FILTER(I$1:I298, I$1:I298&lt;&gt;""""),COUNTA(FILTER(I$1:I298, I$1:I298&lt;&gt;""""))))-1), IF('To Order'!$A299=COLUMNS($A299:I"&amp;"318), I298&amp;RIGHT(INDIRECT(ADDRESS(ROW(I299)-1, 'From Order'!$A299)), 1), I298))"),"GPBJDGSBLR")</f>
        <v>GPBJDGSBLR</v>
      </c>
    </row>
    <row r="300">
      <c r="A300" s="2" t="str">
        <f>IFERROR(__xludf.DUMMYFUNCTION("IF('From Order'!$A300=COLUMNS($A300:A319), LEFT(INDEX(FILTER(A$1:A299, A$1:A299&lt;&gt;""""),COUNTA(FILTER(A$1:A299, A$1:A299&lt;&gt;""""))), LEN(INDEX(FILTER(A$1:A299, A$1:A299&lt;&gt;""""),COUNTA(FILTER(A$1:A299, A$1:A299&lt;&gt;""""))))-1), IF('To Order'!$A300=COLUMNS($A300:A"&amp;"319), A299&amp;RIGHT(INDIRECT(ADDRESS(ROW(A300)-1, 'From Order'!$A300)), 1), A299))"),"CTFTMQCDTRLD")</f>
        <v>CTFTMQCDTRLD</v>
      </c>
      <c r="B300" s="2" t="str">
        <f>IFERROR(__xludf.DUMMYFUNCTION("IF('From Order'!$A300=COLUMNS($A300:B319), LEFT(INDEX(FILTER(B$1:B299, B$1:B299&lt;&gt;""""),COUNTA(FILTER(B$1:B299, B$1:B299&lt;&gt;""""))), LEN(INDEX(FILTER(B$1:B299, B$1:B299&lt;&gt;""""),COUNTA(FILTER(B$1:B299, B$1:B299&lt;&gt;""""))))-1), IF('To Order'!$A300=COLUMNS($A300:B"&amp;"319), B299&amp;RIGHT(INDIRECT(ADDRESS(ROW(B300)-1, 'From Order'!$A300)), 1), B299))"),"SWFBJL")</f>
        <v>SWFBJL</v>
      </c>
      <c r="C300" s="2" t="str">
        <f>IFERROR(__xludf.DUMMYFUNCTION("IF('From Order'!$A300=COLUMNS($A300:C319), LEFT(INDEX(FILTER(C$1:C299, C$1:C299&lt;&gt;""""),COUNTA(FILTER(C$1:C299, C$1:C299&lt;&gt;""""))), LEN(INDEX(FILTER(C$1:C299, C$1:C299&lt;&gt;""""),COUNTA(FILTER(C$1:C299, C$1:C299&lt;&gt;""""))))-1), IF('To Order'!$A300=COLUMNS($A300:C"&amp;"319), C299&amp;RIGHT(INDIRECT(ADDRESS(ROW(C300)-1, 'From Order'!$A300)), 1), C299))"),"")</f>
        <v/>
      </c>
      <c r="D300" s="2" t="str">
        <f>IFERROR(__xludf.DUMMYFUNCTION("IF('From Order'!$A300=COLUMNS($A300:D319), LEFT(INDEX(FILTER(D$1:D299, D$1:D299&lt;&gt;""""),COUNTA(FILTER(D$1:D299, D$1:D299&lt;&gt;""""))), LEN(INDEX(FILTER(D$1:D299, D$1:D299&lt;&gt;""""),COUNTA(FILTER(D$1:D299, D$1:D299&lt;&gt;""""))))-1), IF('To Order'!$A300=COLUMNS($A300:D"&amp;"319), D299&amp;RIGHT(INDIRECT(ADDRESS(ROW(D300)-1, 'From Order'!$A300)), 1), D299))"),"")</f>
        <v/>
      </c>
      <c r="E300" s="2" t="str">
        <f>IFERROR(__xludf.DUMMYFUNCTION("IF('From Order'!$A300=COLUMNS($A300:E319), LEFT(INDEX(FILTER(E$1:E299, E$1:E299&lt;&gt;""""),COUNTA(FILTER(E$1:E299, E$1:E299&lt;&gt;""""))), LEN(INDEX(FILTER(E$1:E299, E$1:E299&lt;&gt;""""),COUNTA(FILTER(E$1:E299, E$1:E299&lt;&gt;""""))))-1), IF('To Order'!$A300=COLUMNS($A300:E"&amp;"319), E299&amp;RIGHT(INDIRECT(ADDRESS(ROW(E300)-1, 'From Order'!$A300)), 1), E299))"),"")</f>
        <v/>
      </c>
      <c r="F300" s="2" t="str">
        <f>IFERROR(__xludf.DUMMYFUNCTION("IF('From Order'!$A300=COLUMNS($A300:F319), LEFT(INDEX(FILTER(F$1:F299, F$1:F299&lt;&gt;""""),COUNTA(FILTER(F$1:F299, F$1:F299&lt;&gt;""""))), LEN(INDEX(FILTER(F$1:F299, F$1:F299&lt;&gt;""""),COUNTA(FILTER(F$1:F299, F$1:F299&lt;&gt;""""))))-1), IF('To Order'!$A300=COLUMNS($A300:F"&amp;"319), F299&amp;RIGHT(INDIRECT(ADDRESS(ROW(F300)-1, 'From Order'!$A300)), 1), F299))"),"HSPVMZDDTZRWTJTVCBRQPDSVRZH")</f>
        <v>HSPVMZDDTZRWTJTVCBRQPDSVRZH</v>
      </c>
      <c r="G300" s="2" t="str">
        <f>IFERROR(__xludf.DUMMYFUNCTION("IF('From Order'!$A300=COLUMNS($A300:G319), LEFT(INDEX(FILTER(G$1:G299, G$1:G299&lt;&gt;""""),COUNTA(FILTER(G$1:G299, G$1:G299&lt;&gt;""""))), LEN(INDEX(FILTER(G$1:G299, G$1:G299&lt;&gt;""""),COUNTA(FILTER(G$1:G299, G$1:G299&lt;&gt;""""))))-1), IF('To Order'!$A300=COLUMNS($A300:G"&amp;"319), G299&amp;RIGHT(INDIRECT(ADDRESS(ROW(G300)-1, 'From Order'!$A300)), 1), G299))"),"")</f>
        <v/>
      </c>
      <c r="H300" s="2" t="str">
        <f>IFERROR(__xludf.DUMMYFUNCTION("IF('From Order'!$A300=COLUMNS($A300:H319), LEFT(INDEX(FILTER(H$1:H299, H$1:H299&lt;&gt;""""),COUNTA(FILTER(H$1:H299, H$1:H299&lt;&gt;""""))), LEN(INDEX(FILTER(H$1:H299, H$1:H299&lt;&gt;""""),COUNTA(FILTER(H$1:H299, H$1:H299&lt;&gt;""""))))-1), IF('To Order'!$A300=COLUMNS($A300:H"&amp;"319), H299&amp;RIGHT(INDIRECT(ADDRESS(ROW(H300)-1, 'From Order'!$A300)), 1), H299))"),"M")</f>
        <v>M</v>
      </c>
      <c r="I300" s="2" t="str">
        <f>IFERROR(__xludf.DUMMYFUNCTION("IF('From Order'!$A300=COLUMNS($A300:I319), LEFT(INDEX(FILTER(I$1:I299, I$1:I299&lt;&gt;""""),COUNTA(FILTER(I$1:I299, I$1:I299&lt;&gt;""""))), LEN(INDEX(FILTER(I$1:I299, I$1:I299&lt;&gt;""""),COUNTA(FILTER(I$1:I299, I$1:I299&lt;&gt;""""))))-1), IF('To Order'!$A300=COLUMNS($A300:I"&amp;"319), I299&amp;RIGHT(INDIRECT(ADDRESS(ROW(I300)-1, 'From Order'!$A300)), 1), I299))"),"GPBJDGSBLR")</f>
        <v>GPBJDGSBLR</v>
      </c>
    </row>
    <row r="301">
      <c r="A301" s="2" t="str">
        <f>IFERROR(__xludf.DUMMYFUNCTION("IF('From Order'!$A301=COLUMNS($A301:A320), LEFT(INDEX(FILTER(A$1:A300, A$1:A300&lt;&gt;""""),COUNTA(FILTER(A$1:A300, A$1:A300&lt;&gt;""""))), LEN(INDEX(FILTER(A$1:A300, A$1:A300&lt;&gt;""""),COUNTA(FILTER(A$1:A300, A$1:A300&lt;&gt;""""))))-1), IF('To Order'!$A301=COLUMNS($A301:A"&amp;"320), A300&amp;RIGHT(INDIRECT(ADDRESS(ROW(A301)-1, 'From Order'!$A301)), 1), A300))"),"CTFTMQCDTRLD")</f>
        <v>CTFTMQCDTRLD</v>
      </c>
      <c r="B301" s="2" t="str">
        <f>IFERROR(__xludf.DUMMYFUNCTION("IF('From Order'!$A301=COLUMNS($A301:B320), LEFT(INDEX(FILTER(B$1:B300, B$1:B300&lt;&gt;""""),COUNTA(FILTER(B$1:B300, B$1:B300&lt;&gt;""""))), LEN(INDEX(FILTER(B$1:B300, B$1:B300&lt;&gt;""""),COUNTA(FILTER(B$1:B300, B$1:B300&lt;&gt;""""))))-1), IF('To Order'!$A301=COLUMNS($A301:B"&amp;"320), B300&amp;RIGHT(INDIRECT(ADDRESS(ROW(B301)-1, 'From Order'!$A301)), 1), B300))"),"SWFBJL")</f>
        <v>SWFBJL</v>
      </c>
      <c r="C301" s="2" t="str">
        <f>IFERROR(__xludf.DUMMYFUNCTION("IF('From Order'!$A301=COLUMNS($A301:C320), LEFT(INDEX(FILTER(C$1:C300, C$1:C300&lt;&gt;""""),COUNTA(FILTER(C$1:C300, C$1:C300&lt;&gt;""""))), LEN(INDEX(FILTER(C$1:C300, C$1:C300&lt;&gt;""""),COUNTA(FILTER(C$1:C300, C$1:C300&lt;&gt;""""))))-1), IF('To Order'!$A301=COLUMNS($A301:C"&amp;"320), C300&amp;RIGHT(INDIRECT(ADDRESS(ROW(C301)-1, 'From Order'!$A301)), 1), C300))"),"")</f>
        <v/>
      </c>
      <c r="D301" s="2" t="str">
        <f>IFERROR(__xludf.DUMMYFUNCTION("IF('From Order'!$A301=COLUMNS($A301:D320), LEFT(INDEX(FILTER(D$1:D300, D$1:D300&lt;&gt;""""),COUNTA(FILTER(D$1:D300, D$1:D300&lt;&gt;""""))), LEN(INDEX(FILTER(D$1:D300, D$1:D300&lt;&gt;""""),COUNTA(FILTER(D$1:D300, D$1:D300&lt;&gt;""""))))-1), IF('To Order'!$A301=COLUMNS($A301:D"&amp;"320), D300&amp;RIGHT(INDIRECT(ADDRESS(ROW(D301)-1, 'From Order'!$A301)), 1), D300))"),"")</f>
        <v/>
      </c>
      <c r="E301" s="2" t="str">
        <f>IFERROR(__xludf.DUMMYFUNCTION("IF('From Order'!$A301=COLUMNS($A301:E320), LEFT(INDEX(FILTER(E$1:E300, E$1:E300&lt;&gt;""""),COUNTA(FILTER(E$1:E300, E$1:E300&lt;&gt;""""))), LEN(INDEX(FILTER(E$1:E300, E$1:E300&lt;&gt;""""),COUNTA(FILTER(E$1:E300, E$1:E300&lt;&gt;""""))))-1), IF('To Order'!$A301=COLUMNS($A301:E"&amp;"320), E300&amp;RIGHT(INDIRECT(ADDRESS(ROW(E301)-1, 'From Order'!$A301)), 1), E300))"),"H")</f>
        <v>H</v>
      </c>
      <c r="F301" s="2" t="str">
        <f>IFERROR(__xludf.DUMMYFUNCTION("IF('From Order'!$A301=COLUMNS($A301:F320), LEFT(INDEX(FILTER(F$1:F300, F$1:F300&lt;&gt;""""),COUNTA(FILTER(F$1:F300, F$1:F300&lt;&gt;""""))), LEN(INDEX(FILTER(F$1:F300, F$1:F300&lt;&gt;""""),COUNTA(FILTER(F$1:F300, F$1:F300&lt;&gt;""""))))-1), IF('To Order'!$A301=COLUMNS($A301:F"&amp;"320), F300&amp;RIGHT(INDIRECT(ADDRESS(ROW(F301)-1, 'From Order'!$A301)), 1), F300))"),"HSPVMZDDTZRWTJTVCBRQPDSVRZ")</f>
        <v>HSPVMZDDTZRWTJTVCBRQPDSVRZ</v>
      </c>
      <c r="G301" s="2" t="str">
        <f>IFERROR(__xludf.DUMMYFUNCTION("IF('From Order'!$A301=COLUMNS($A301:G320), LEFT(INDEX(FILTER(G$1:G300, G$1:G300&lt;&gt;""""),COUNTA(FILTER(G$1:G300, G$1:G300&lt;&gt;""""))), LEN(INDEX(FILTER(G$1:G300, G$1:G300&lt;&gt;""""),COUNTA(FILTER(G$1:G300, G$1:G300&lt;&gt;""""))))-1), IF('To Order'!$A301=COLUMNS($A301:G"&amp;"320), G300&amp;RIGHT(INDIRECT(ADDRESS(ROW(G301)-1, 'From Order'!$A301)), 1), G300))"),"")</f>
        <v/>
      </c>
      <c r="H301" s="2" t="str">
        <f>IFERROR(__xludf.DUMMYFUNCTION("IF('From Order'!$A301=COLUMNS($A301:H320), LEFT(INDEX(FILTER(H$1:H300, H$1:H300&lt;&gt;""""),COUNTA(FILTER(H$1:H300, H$1:H300&lt;&gt;""""))), LEN(INDEX(FILTER(H$1:H300, H$1:H300&lt;&gt;""""),COUNTA(FILTER(H$1:H300, H$1:H300&lt;&gt;""""))))-1), IF('To Order'!$A301=COLUMNS($A301:H"&amp;"320), H300&amp;RIGHT(INDIRECT(ADDRESS(ROW(H301)-1, 'From Order'!$A301)), 1), H300))"),"M")</f>
        <v>M</v>
      </c>
      <c r="I301" s="2" t="str">
        <f>IFERROR(__xludf.DUMMYFUNCTION("IF('From Order'!$A301=COLUMNS($A301:I320), LEFT(INDEX(FILTER(I$1:I300, I$1:I300&lt;&gt;""""),COUNTA(FILTER(I$1:I300, I$1:I300&lt;&gt;""""))), LEN(INDEX(FILTER(I$1:I300, I$1:I300&lt;&gt;""""),COUNTA(FILTER(I$1:I300, I$1:I300&lt;&gt;""""))))-1), IF('To Order'!$A301=COLUMNS($A301:I"&amp;"320), I300&amp;RIGHT(INDIRECT(ADDRESS(ROW(I301)-1, 'From Order'!$A301)), 1), I300))"),"GPBJDGSBLR")</f>
        <v>GPBJDGSBLR</v>
      </c>
    </row>
    <row r="302">
      <c r="A302" s="2" t="str">
        <f>IFERROR(__xludf.DUMMYFUNCTION("IF('From Order'!$A302=COLUMNS($A302:A321), LEFT(INDEX(FILTER(A$1:A301, A$1:A301&lt;&gt;""""),COUNTA(FILTER(A$1:A301, A$1:A301&lt;&gt;""""))), LEN(INDEX(FILTER(A$1:A301, A$1:A301&lt;&gt;""""),COUNTA(FILTER(A$1:A301, A$1:A301&lt;&gt;""""))))-1), IF('To Order'!$A302=COLUMNS($A302:A"&amp;"321), A301&amp;RIGHT(INDIRECT(ADDRESS(ROW(A302)-1, 'From Order'!$A302)), 1), A301))"),"CTFTMQCDTRLD")</f>
        <v>CTFTMQCDTRLD</v>
      </c>
      <c r="B302" s="2" t="str">
        <f>IFERROR(__xludf.DUMMYFUNCTION("IF('From Order'!$A302=COLUMNS($A302:B321), LEFT(INDEX(FILTER(B$1:B301, B$1:B301&lt;&gt;""""),COUNTA(FILTER(B$1:B301, B$1:B301&lt;&gt;""""))), LEN(INDEX(FILTER(B$1:B301, B$1:B301&lt;&gt;""""),COUNTA(FILTER(B$1:B301, B$1:B301&lt;&gt;""""))))-1), IF('To Order'!$A302=COLUMNS($A302:B"&amp;"321), B301&amp;RIGHT(INDIRECT(ADDRESS(ROW(B302)-1, 'From Order'!$A302)), 1), B301))"),"SWFBJL")</f>
        <v>SWFBJL</v>
      </c>
      <c r="C302" s="2" t="str">
        <f>IFERROR(__xludf.DUMMYFUNCTION("IF('From Order'!$A302=COLUMNS($A302:C321), LEFT(INDEX(FILTER(C$1:C301, C$1:C301&lt;&gt;""""),COUNTA(FILTER(C$1:C301, C$1:C301&lt;&gt;""""))), LEN(INDEX(FILTER(C$1:C301, C$1:C301&lt;&gt;""""),COUNTA(FILTER(C$1:C301, C$1:C301&lt;&gt;""""))))-1), IF('To Order'!$A302=COLUMNS($A302:C"&amp;"321), C301&amp;RIGHT(INDIRECT(ADDRESS(ROW(C302)-1, 'From Order'!$A302)), 1), C301))"),"")</f>
        <v/>
      </c>
      <c r="D302" s="2" t="str">
        <f>IFERROR(__xludf.DUMMYFUNCTION("IF('From Order'!$A302=COLUMNS($A302:D321), LEFT(INDEX(FILTER(D$1:D301, D$1:D301&lt;&gt;""""),COUNTA(FILTER(D$1:D301, D$1:D301&lt;&gt;""""))), LEN(INDEX(FILTER(D$1:D301, D$1:D301&lt;&gt;""""),COUNTA(FILTER(D$1:D301, D$1:D301&lt;&gt;""""))))-1), IF('To Order'!$A302=COLUMNS($A302:D"&amp;"321), D301&amp;RIGHT(INDIRECT(ADDRESS(ROW(D302)-1, 'From Order'!$A302)), 1), D301))"),"")</f>
        <v/>
      </c>
      <c r="E302" s="2" t="str">
        <f>IFERROR(__xludf.DUMMYFUNCTION("IF('From Order'!$A302=COLUMNS($A302:E321), LEFT(INDEX(FILTER(E$1:E301, E$1:E301&lt;&gt;""""),COUNTA(FILTER(E$1:E301, E$1:E301&lt;&gt;""""))), LEN(INDEX(FILTER(E$1:E301, E$1:E301&lt;&gt;""""),COUNTA(FILTER(E$1:E301, E$1:E301&lt;&gt;""""))))-1), IF('To Order'!$A302=COLUMNS($A302:E"&amp;"321), E301&amp;RIGHT(INDIRECT(ADDRESS(ROW(E302)-1, 'From Order'!$A302)), 1), E301))"),"HZ")</f>
        <v>HZ</v>
      </c>
      <c r="F302" s="2" t="str">
        <f>IFERROR(__xludf.DUMMYFUNCTION("IF('From Order'!$A302=COLUMNS($A302:F321), LEFT(INDEX(FILTER(F$1:F301, F$1:F301&lt;&gt;""""),COUNTA(FILTER(F$1:F301, F$1:F301&lt;&gt;""""))), LEN(INDEX(FILTER(F$1:F301, F$1:F301&lt;&gt;""""),COUNTA(FILTER(F$1:F301, F$1:F301&lt;&gt;""""))))-1), IF('To Order'!$A302=COLUMNS($A302:F"&amp;"321), F301&amp;RIGHT(INDIRECT(ADDRESS(ROW(F302)-1, 'From Order'!$A302)), 1), F301))"),"HSPVMZDDTZRWTJTVCBRQPDSVR")</f>
        <v>HSPVMZDDTZRWTJTVCBRQPDSVR</v>
      </c>
      <c r="G302" s="2" t="str">
        <f>IFERROR(__xludf.DUMMYFUNCTION("IF('From Order'!$A302=COLUMNS($A302:G321), LEFT(INDEX(FILTER(G$1:G301, G$1:G301&lt;&gt;""""),COUNTA(FILTER(G$1:G301, G$1:G301&lt;&gt;""""))), LEN(INDEX(FILTER(G$1:G301, G$1:G301&lt;&gt;""""),COUNTA(FILTER(G$1:G301, G$1:G301&lt;&gt;""""))))-1), IF('To Order'!$A302=COLUMNS($A302:G"&amp;"321), G301&amp;RIGHT(INDIRECT(ADDRESS(ROW(G302)-1, 'From Order'!$A302)), 1), G301))"),"")</f>
        <v/>
      </c>
      <c r="H302" s="2" t="str">
        <f>IFERROR(__xludf.DUMMYFUNCTION("IF('From Order'!$A302=COLUMNS($A302:H321), LEFT(INDEX(FILTER(H$1:H301, H$1:H301&lt;&gt;""""),COUNTA(FILTER(H$1:H301, H$1:H301&lt;&gt;""""))), LEN(INDEX(FILTER(H$1:H301, H$1:H301&lt;&gt;""""),COUNTA(FILTER(H$1:H301, H$1:H301&lt;&gt;""""))))-1), IF('To Order'!$A302=COLUMNS($A302:H"&amp;"321), H301&amp;RIGHT(INDIRECT(ADDRESS(ROW(H302)-1, 'From Order'!$A302)), 1), H301))"),"M")</f>
        <v>M</v>
      </c>
      <c r="I302" s="2" t="str">
        <f>IFERROR(__xludf.DUMMYFUNCTION("IF('From Order'!$A302=COLUMNS($A302:I321), LEFT(INDEX(FILTER(I$1:I301, I$1:I301&lt;&gt;""""),COUNTA(FILTER(I$1:I301, I$1:I301&lt;&gt;""""))), LEN(INDEX(FILTER(I$1:I301, I$1:I301&lt;&gt;""""),COUNTA(FILTER(I$1:I301, I$1:I301&lt;&gt;""""))))-1), IF('To Order'!$A302=COLUMNS($A302:I"&amp;"321), I301&amp;RIGHT(INDIRECT(ADDRESS(ROW(I302)-1, 'From Order'!$A302)), 1), I301))"),"GPBJDGSBLR")</f>
        <v>GPBJDGSBLR</v>
      </c>
    </row>
    <row r="303">
      <c r="A303" s="2" t="str">
        <f>IFERROR(__xludf.DUMMYFUNCTION("IF('From Order'!$A303=COLUMNS($A303:A322), LEFT(INDEX(FILTER(A$1:A302, A$1:A302&lt;&gt;""""),COUNTA(FILTER(A$1:A302, A$1:A302&lt;&gt;""""))), LEN(INDEX(FILTER(A$1:A302, A$1:A302&lt;&gt;""""),COUNTA(FILTER(A$1:A302, A$1:A302&lt;&gt;""""))))-1), IF('To Order'!$A303=COLUMNS($A303:A"&amp;"322), A302&amp;RIGHT(INDIRECT(ADDRESS(ROW(A303)-1, 'From Order'!$A303)), 1), A302))"),"CTFTMQCDTRLD")</f>
        <v>CTFTMQCDTRLD</v>
      </c>
      <c r="B303" s="2" t="str">
        <f>IFERROR(__xludf.DUMMYFUNCTION("IF('From Order'!$A303=COLUMNS($A303:B322), LEFT(INDEX(FILTER(B$1:B302, B$1:B302&lt;&gt;""""),COUNTA(FILTER(B$1:B302, B$1:B302&lt;&gt;""""))), LEN(INDEX(FILTER(B$1:B302, B$1:B302&lt;&gt;""""),COUNTA(FILTER(B$1:B302, B$1:B302&lt;&gt;""""))))-1), IF('To Order'!$A303=COLUMNS($A303:B"&amp;"322), B302&amp;RIGHT(INDIRECT(ADDRESS(ROW(B303)-1, 'From Order'!$A303)), 1), B302))"),"SWFBJL")</f>
        <v>SWFBJL</v>
      </c>
      <c r="C303" s="2" t="str">
        <f>IFERROR(__xludf.DUMMYFUNCTION("IF('From Order'!$A303=COLUMNS($A303:C322), LEFT(INDEX(FILTER(C$1:C302, C$1:C302&lt;&gt;""""),COUNTA(FILTER(C$1:C302, C$1:C302&lt;&gt;""""))), LEN(INDEX(FILTER(C$1:C302, C$1:C302&lt;&gt;""""),COUNTA(FILTER(C$1:C302, C$1:C302&lt;&gt;""""))))-1), IF('To Order'!$A303=COLUMNS($A303:C"&amp;"322), C302&amp;RIGHT(INDIRECT(ADDRESS(ROW(C303)-1, 'From Order'!$A303)), 1), C302))"),"")</f>
        <v/>
      </c>
      <c r="D303" s="2" t="str">
        <f>IFERROR(__xludf.DUMMYFUNCTION("IF('From Order'!$A303=COLUMNS($A303:D322), LEFT(INDEX(FILTER(D$1:D302, D$1:D302&lt;&gt;""""),COUNTA(FILTER(D$1:D302, D$1:D302&lt;&gt;""""))), LEN(INDEX(FILTER(D$1:D302, D$1:D302&lt;&gt;""""),COUNTA(FILTER(D$1:D302, D$1:D302&lt;&gt;""""))))-1), IF('To Order'!$A303=COLUMNS($A303:D"&amp;"322), D302&amp;RIGHT(INDIRECT(ADDRESS(ROW(D303)-1, 'From Order'!$A303)), 1), D302))"),"")</f>
        <v/>
      </c>
      <c r="E303" s="2" t="str">
        <f>IFERROR(__xludf.DUMMYFUNCTION("IF('From Order'!$A303=COLUMNS($A303:E322), LEFT(INDEX(FILTER(E$1:E302, E$1:E302&lt;&gt;""""),COUNTA(FILTER(E$1:E302, E$1:E302&lt;&gt;""""))), LEN(INDEX(FILTER(E$1:E302, E$1:E302&lt;&gt;""""),COUNTA(FILTER(E$1:E302, E$1:E302&lt;&gt;""""))))-1), IF('To Order'!$A303=COLUMNS($A303:E"&amp;"322), E302&amp;RIGHT(INDIRECT(ADDRESS(ROW(E303)-1, 'From Order'!$A303)), 1), E302))"),"HZR")</f>
        <v>HZR</v>
      </c>
      <c r="F303" s="2" t="str">
        <f>IFERROR(__xludf.DUMMYFUNCTION("IF('From Order'!$A303=COLUMNS($A303:F322), LEFT(INDEX(FILTER(F$1:F302, F$1:F302&lt;&gt;""""),COUNTA(FILTER(F$1:F302, F$1:F302&lt;&gt;""""))), LEN(INDEX(FILTER(F$1:F302, F$1:F302&lt;&gt;""""),COUNTA(FILTER(F$1:F302, F$1:F302&lt;&gt;""""))))-1), IF('To Order'!$A303=COLUMNS($A303:F"&amp;"322), F302&amp;RIGHT(INDIRECT(ADDRESS(ROW(F303)-1, 'From Order'!$A303)), 1), F302))"),"HSPVMZDDTZRWTJTVCBRQPDSV")</f>
        <v>HSPVMZDDTZRWTJTVCBRQPDSV</v>
      </c>
      <c r="G303" s="2" t="str">
        <f>IFERROR(__xludf.DUMMYFUNCTION("IF('From Order'!$A303=COLUMNS($A303:G322), LEFT(INDEX(FILTER(G$1:G302, G$1:G302&lt;&gt;""""),COUNTA(FILTER(G$1:G302, G$1:G302&lt;&gt;""""))), LEN(INDEX(FILTER(G$1:G302, G$1:G302&lt;&gt;""""),COUNTA(FILTER(G$1:G302, G$1:G302&lt;&gt;""""))))-1), IF('To Order'!$A303=COLUMNS($A303:G"&amp;"322), G302&amp;RIGHT(INDIRECT(ADDRESS(ROW(G303)-1, 'From Order'!$A303)), 1), G302))"),"")</f>
        <v/>
      </c>
      <c r="H303" s="2" t="str">
        <f>IFERROR(__xludf.DUMMYFUNCTION("IF('From Order'!$A303=COLUMNS($A303:H322), LEFT(INDEX(FILTER(H$1:H302, H$1:H302&lt;&gt;""""),COUNTA(FILTER(H$1:H302, H$1:H302&lt;&gt;""""))), LEN(INDEX(FILTER(H$1:H302, H$1:H302&lt;&gt;""""),COUNTA(FILTER(H$1:H302, H$1:H302&lt;&gt;""""))))-1), IF('To Order'!$A303=COLUMNS($A303:H"&amp;"322), H302&amp;RIGHT(INDIRECT(ADDRESS(ROW(H303)-1, 'From Order'!$A303)), 1), H302))"),"M")</f>
        <v>M</v>
      </c>
      <c r="I303" s="2" t="str">
        <f>IFERROR(__xludf.DUMMYFUNCTION("IF('From Order'!$A303=COLUMNS($A303:I322), LEFT(INDEX(FILTER(I$1:I302, I$1:I302&lt;&gt;""""),COUNTA(FILTER(I$1:I302, I$1:I302&lt;&gt;""""))), LEN(INDEX(FILTER(I$1:I302, I$1:I302&lt;&gt;""""),COUNTA(FILTER(I$1:I302, I$1:I302&lt;&gt;""""))))-1), IF('To Order'!$A303=COLUMNS($A303:I"&amp;"322), I302&amp;RIGHT(INDIRECT(ADDRESS(ROW(I303)-1, 'From Order'!$A303)), 1), I302))"),"GPBJDGSBLR")</f>
        <v>GPBJDGSBLR</v>
      </c>
    </row>
    <row r="304">
      <c r="A304" s="2" t="str">
        <f>IFERROR(__xludf.DUMMYFUNCTION("IF('From Order'!$A304=COLUMNS($A304:A323), LEFT(INDEX(FILTER(A$1:A303, A$1:A303&lt;&gt;""""),COUNTA(FILTER(A$1:A303, A$1:A303&lt;&gt;""""))), LEN(INDEX(FILTER(A$1:A303, A$1:A303&lt;&gt;""""),COUNTA(FILTER(A$1:A303, A$1:A303&lt;&gt;""""))))-1), IF('To Order'!$A304=COLUMNS($A304:A"&amp;"323), A303&amp;RIGHT(INDIRECT(ADDRESS(ROW(A304)-1, 'From Order'!$A304)), 1), A303))"),"CTFTMQCDTRLD")</f>
        <v>CTFTMQCDTRLD</v>
      </c>
      <c r="B304" s="2" t="str">
        <f>IFERROR(__xludf.DUMMYFUNCTION("IF('From Order'!$A304=COLUMNS($A304:B323), LEFT(INDEX(FILTER(B$1:B303, B$1:B303&lt;&gt;""""),COUNTA(FILTER(B$1:B303, B$1:B303&lt;&gt;""""))), LEN(INDEX(FILTER(B$1:B303, B$1:B303&lt;&gt;""""),COUNTA(FILTER(B$1:B303, B$1:B303&lt;&gt;""""))))-1), IF('To Order'!$A304=COLUMNS($A304:B"&amp;"323), B303&amp;RIGHT(INDIRECT(ADDRESS(ROW(B304)-1, 'From Order'!$A304)), 1), B303))"),"SWFBJL")</f>
        <v>SWFBJL</v>
      </c>
      <c r="C304" s="2" t="str">
        <f>IFERROR(__xludf.DUMMYFUNCTION("IF('From Order'!$A304=COLUMNS($A304:C323), LEFT(INDEX(FILTER(C$1:C303, C$1:C303&lt;&gt;""""),COUNTA(FILTER(C$1:C303, C$1:C303&lt;&gt;""""))), LEN(INDEX(FILTER(C$1:C303, C$1:C303&lt;&gt;""""),COUNTA(FILTER(C$1:C303, C$1:C303&lt;&gt;""""))))-1), IF('To Order'!$A304=COLUMNS($A304:C"&amp;"323), C303&amp;RIGHT(INDIRECT(ADDRESS(ROW(C304)-1, 'From Order'!$A304)), 1), C303))"),"")</f>
        <v/>
      </c>
      <c r="D304" s="2" t="str">
        <f>IFERROR(__xludf.DUMMYFUNCTION("IF('From Order'!$A304=COLUMNS($A304:D323), LEFT(INDEX(FILTER(D$1:D303, D$1:D303&lt;&gt;""""),COUNTA(FILTER(D$1:D303, D$1:D303&lt;&gt;""""))), LEN(INDEX(FILTER(D$1:D303, D$1:D303&lt;&gt;""""),COUNTA(FILTER(D$1:D303, D$1:D303&lt;&gt;""""))))-1), IF('To Order'!$A304=COLUMNS($A304:D"&amp;"323), D303&amp;RIGHT(INDIRECT(ADDRESS(ROW(D304)-1, 'From Order'!$A304)), 1), D303))"),"")</f>
        <v/>
      </c>
      <c r="E304" s="2" t="str">
        <f>IFERROR(__xludf.DUMMYFUNCTION("IF('From Order'!$A304=COLUMNS($A304:E323), LEFT(INDEX(FILTER(E$1:E303, E$1:E303&lt;&gt;""""),COUNTA(FILTER(E$1:E303, E$1:E303&lt;&gt;""""))), LEN(INDEX(FILTER(E$1:E303, E$1:E303&lt;&gt;""""),COUNTA(FILTER(E$1:E303, E$1:E303&lt;&gt;""""))))-1), IF('To Order'!$A304=COLUMNS($A304:E"&amp;"323), E303&amp;RIGHT(INDIRECT(ADDRESS(ROW(E304)-1, 'From Order'!$A304)), 1), E303))"),"HZRV")</f>
        <v>HZRV</v>
      </c>
      <c r="F304" s="2" t="str">
        <f>IFERROR(__xludf.DUMMYFUNCTION("IF('From Order'!$A304=COLUMNS($A304:F323), LEFT(INDEX(FILTER(F$1:F303, F$1:F303&lt;&gt;""""),COUNTA(FILTER(F$1:F303, F$1:F303&lt;&gt;""""))), LEN(INDEX(FILTER(F$1:F303, F$1:F303&lt;&gt;""""),COUNTA(FILTER(F$1:F303, F$1:F303&lt;&gt;""""))))-1), IF('To Order'!$A304=COLUMNS($A304:F"&amp;"323), F303&amp;RIGHT(INDIRECT(ADDRESS(ROW(F304)-1, 'From Order'!$A304)), 1), F303))"),"HSPVMZDDTZRWTJTVCBRQPDS")</f>
        <v>HSPVMZDDTZRWTJTVCBRQPDS</v>
      </c>
      <c r="G304" s="2" t="str">
        <f>IFERROR(__xludf.DUMMYFUNCTION("IF('From Order'!$A304=COLUMNS($A304:G323), LEFT(INDEX(FILTER(G$1:G303, G$1:G303&lt;&gt;""""),COUNTA(FILTER(G$1:G303, G$1:G303&lt;&gt;""""))), LEN(INDEX(FILTER(G$1:G303, G$1:G303&lt;&gt;""""),COUNTA(FILTER(G$1:G303, G$1:G303&lt;&gt;""""))))-1), IF('To Order'!$A304=COLUMNS($A304:G"&amp;"323), G303&amp;RIGHT(INDIRECT(ADDRESS(ROW(G304)-1, 'From Order'!$A304)), 1), G303))"),"")</f>
        <v/>
      </c>
      <c r="H304" s="2" t="str">
        <f>IFERROR(__xludf.DUMMYFUNCTION("IF('From Order'!$A304=COLUMNS($A304:H323), LEFT(INDEX(FILTER(H$1:H303, H$1:H303&lt;&gt;""""),COUNTA(FILTER(H$1:H303, H$1:H303&lt;&gt;""""))), LEN(INDEX(FILTER(H$1:H303, H$1:H303&lt;&gt;""""),COUNTA(FILTER(H$1:H303, H$1:H303&lt;&gt;""""))))-1), IF('To Order'!$A304=COLUMNS($A304:H"&amp;"323), H303&amp;RIGHT(INDIRECT(ADDRESS(ROW(H304)-1, 'From Order'!$A304)), 1), H303))"),"M")</f>
        <v>M</v>
      </c>
      <c r="I304" s="2" t="str">
        <f>IFERROR(__xludf.DUMMYFUNCTION("IF('From Order'!$A304=COLUMNS($A304:I323), LEFT(INDEX(FILTER(I$1:I303, I$1:I303&lt;&gt;""""),COUNTA(FILTER(I$1:I303, I$1:I303&lt;&gt;""""))), LEN(INDEX(FILTER(I$1:I303, I$1:I303&lt;&gt;""""),COUNTA(FILTER(I$1:I303, I$1:I303&lt;&gt;""""))))-1), IF('To Order'!$A304=COLUMNS($A304:I"&amp;"323), I303&amp;RIGHT(INDIRECT(ADDRESS(ROW(I304)-1, 'From Order'!$A304)), 1), I303))"),"GPBJDGSBLR")</f>
        <v>GPBJDGSBLR</v>
      </c>
    </row>
    <row r="305">
      <c r="A305" s="2" t="str">
        <f>IFERROR(__xludf.DUMMYFUNCTION("IF('From Order'!$A305=COLUMNS($A305:A324), LEFT(INDEX(FILTER(A$1:A304, A$1:A304&lt;&gt;""""),COUNTA(FILTER(A$1:A304, A$1:A304&lt;&gt;""""))), LEN(INDEX(FILTER(A$1:A304, A$1:A304&lt;&gt;""""),COUNTA(FILTER(A$1:A304, A$1:A304&lt;&gt;""""))))-1), IF('To Order'!$A305=COLUMNS($A305:A"&amp;"324), A304&amp;RIGHT(INDIRECT(ADDRESS(ROW(A305)-1, 'From Order'!$A305)), 1), A304))"),"CTFTMQCDTRLD")</f>
        <v>CTFTMQCDTRLD</v>
      </c>
      <c r="B305" s="2" t="str">
        <f>IFERROR(__xludf.DUMMYFUNCTION("IF('From Order'!$A305=COLUMNS($A305:B324), LEFT(INDEX(FILTER(B$1:B304, B$1:B304&lt;&gt;""""),COUNTA(FILTER(B$1:B304, B$1:B304&lt;&gt;""""))), LEN(INDEX(FILTER(B$1:B304, B$1:B304&lt;&gt;""""),COUNTA(FILTER(B$1:B304, B$1:B304&lt;&gt;""""))))-1), IF('To Order'!$A305=COLUMNS($A305:B"&amp;"324), B304&amp;RIGHT(INDIRECT(ADDRESS(ROW(B305)-1, 'From Order'!$A305)), 1), B304))"),"SWFBJL")</f>
        <v>SWFBJL</v>
      </c>
      <c r="C305" s="2" t="str">
        <f>IFERROR(__xludf.DUMMYFUNCTION("IF('From Order'!$A305=COLUMNS($A305:C324), LEFT(INDEX(FILTER(C$1:C304, C$1:C304&lt;&gt;""""),COUNTA(FILTER(C$1:C304, C$1:C304&lt;&gt;""""))), LEN(INDEX(FILTER(C$1:C304, C$1:C304&lt;&gt;""""),COUNTA(FILTER(C$1:C304, C$1:C304&lt;&gt;""""))))-1), IF('To Order'!$A305=COLUMNS($A305:C"&amp;"324), C304&amp;RIGHT(INDIRECT(ADDRESS(ROW(C305)-1, 'From Order'!$A305)), 1), C304))"),"")</f>
        <v/>
      </c>
      <c r="D305" s="2" t="str">
        <f>IFERROR(__xludf.DUMMYFUNCTION("IF('From Order'!$A305=COLUMNS($A305:D324), LEFT(INDEX(FILTER(D$1:D304, D$1:D304&lt;&gt;""""),COUNTA(FILTER(D$1:D304, D$1:D304&lt;&gt;""""))), LEN(INDEX(FILTER(D$1:D304, D$1:D304&lt;&gt;""""),COUNTA(FILTER(D$1:D304, D$1:D304&lt;&gt;""""))))-1), IF('To Order'!$A305=COLUMNS($A305:D"&amp;"324), D304&amp;RIGHT(INDIRECT(ADDRESS(ROW(D305)-1, 'From Order'!$A305)), 1), D304))"),"")</f>
        <v/>
      </c>
      <c r="E305" s="2" t="str">
        <f>IFERROR(__xludf.DUMMYFUNCTION("IF('From Order'!$A305=COLUMNS($A305:E324), LEFT(INDEX(FILTER(E$1:E304, E$1:E304&lt;&gt;""""),COUNTA(FILTER(E$1:E304, E$1:E304&lt;&gt;""""))), LEN(INDEX(FILTER(E$1:E304, E$1:E304&lt;&gt;""""),COUNTA(FILTER(E$1:E304, E$1:E304&lt;&gt;""""))))-1), IF('To Order'!$A305=COLUMNS($A305:E"&amp;"324), E304&amp;RIGHT(INDIRECT(ADDRESS(ROW(E305)-1, 'From Order'!$A305)), 1), E304))"),"HZRVS")</f>
        <v>HZRVS</v>
      </c>
      <c r="F305" s="2" t="str">
        <f>IFERROR(__xludf.DUMMYFUNCTION("IF('From Order'!$A305=COLUMNS($A305:F324), LEFT(INDEX(FILTER(F$1:F304, F$1:F304&lt;&gt;""""),COUNTA(FILTER(F$1:F304, F$1:F304&lt;&gt;""""))), LEN(INDEX(FILTER(F$1:F304, F$1:F304&lt;&gt;""""),COUNTA(FILTER(F$1:F304, F$1:F304&lt;&gt;""""))))-1), IF('To Order'!$A305=COLUMNS($A305:F"&amp;"324), F304&amp;RIGHT(INDIRECT(ADDRESS(ROW(F305)-1, 'From Order'!$A305)), 1), F304))"),"HSPVMZDDTZRWTJTVCBRQPD")</f>
        <v>HSPVMZDDTZRWTJTVCBRQPD</v>
      </c>
      <c r="G305" s="2" t="str">
        <f>IFERROR(__xludf.DUMMYFUNCTION("IF('From Order'!$A305=COLUMNS($A305:G324), LEFT(INDEX(FILTER(G$1:G304, G$1:G304&lt;&gt;""""),COUNTA(FILTER(G$1:G304, G$1:G304&lt;&gt;""""))), LEN(INDEX(FILTER(G$1:G304, G$1:G304&lt;&gt;""""),COUNTA(FILTER(G$1:G304, G$1:G304&lt;&gt;""""))))-1), IF('To Order'!$A305=COLUMNS($A305:G"&amp;"324), G304&amp;RIGHT(INDIRECT(ADDRESS(ROW(G305)-1, 'From Order'!$A305)), 1), G304))"),"")</f>
        <v/>
      </c>
      <c r="H305" s="2" t="str">
        <f>IFERROR(__xludf.DUMMYFUNCTION("IF('From Order'!$A305=COLUMNS($A305:H324), LEFT(INDEX(FILTER(H$1:H304, H$1:H304&lt;&gt;""""),COUNTA(FILTER(H$1:H304, H$1:H304&lt;&gt;""""))), LEN(INDEX(FILTER(H$1:H304, H$1:H304&lt;&gt;""""),COUNTA(FILTER(H$1:H304, H$1:H304&lt;&gt;""""))))-1), IF('To Order'!$A305=COLUMNS($A305:H"&amp;"324), H304&amp;RIGHT(INDIRECT(ADDRESS(ROW(H305)-1, 'From Order'!$A305)), 1), H304))"),"M")</f>
        <v>M</v>
      </c>
      <c r="I305" s="2" t="str">
        <f>IFERROR(__xludf.DUMMYFUNCTION("IF('From Order'!$A305=COLUMNS($A305:I324), LEFT(INDEX(FILTER(I$1:I304, I$1:I304&lt;&gt;""""),COUNTA(FILTER(I$1:I304, I$1:I304&lt;&gt;""""))), LEN(INDEX(FILTER(I$1:I304, I$1:I304&lt;&gt;""""),COUNTA(FILTER(I$1:I304, I$1:I304&lt;&gt;""""))))-1), IF('To Order'!$A305=COLUMNS($A305:I"&amp;"324), I304&amp;RIGHT(INDIRECT(ADDRESS(ROW(I305)-1, 'From Order'!$A305)), 1), I304))"),"GPBJDGSBLR")</f>
        <v>GPBJDGSBLR</v>
      </c>
    </row>
    <row r="306">
      <c r="A306" s="2" t="str">
        <f>IFERROR(__xludf.DUMMYFUNCTION("IF('From Order'!$A306=COLUMNS($A306:A325), LEFT(INDEX(FILTER(A$1:A305, A$1:A305&lt;&gt;""""),COUNTA(FILTER(A$1:A305, A$1:A305&lt;&gt;""""))), LEN(INDEX(FILTER(A$1:A305, A$1:A305&lt;&gt;""""),COUNTA(FILTER(A$1:A305, A$1:A305&lt;&gt;""""))))-1), IF('To Order'!$A306=COLUMNS($A306:A"&amp;"325), A305&amp;RIGHT(INDIRECT(ADDRESS(ROW(A306)-1, 'From Order'!$A306)), 1), A305))"),"CTFTMQCDTRLD")</f>
        <v>CTFTMQCDTRLD</v>
      </c>
      <c r="B306" s="2" t="str">
        <f>IFERROR(__xludf.DUMMYFUNCTION("IF('From Order'!$A306=COLUMNS($A306:B325), LEFT(INDEX(FILTER(B$1:B305, B$1:B305&lt;&gt;""""),COUNTA(FILTER(B$1:B305, B$1:B305&lt;&gt;""""))), LEN(INDEX(FILTER(B$1:B305, B$1:B305&lt;&gt;""""),COUNTA(FILTER(B$1:B305, B$1:B305&lt;&gt;""""))))-1), IF('To Order'!$A306=COLUMNS($A306:B"&amp;"325), B305&amp;RIGHT(INDIRECT(ADDRESS(ROW(B306)-1, 'From Order'!$A306)), 1), B305))"),"SWFBJL")</f>
        <v>SWFBJL</v>
      </c>
      <c r="C306" s="2" t="str">
        <f>IFERROR(__xludf.DUMMYFUNCTION("IF('From Order'!$A306=COLUMNS($A306:C325), LEFT(INDEX(FILTER(C$1:C305, C$1:C305&lt;&gt;""""),COUNTA(FILTER(C$1:C305, C$1:C305&lt;&gt;""""))), LEN(INDEX(FILTER(C$1:C305, C$1:C305&lt;&gt;""""),COUNTA(FILTER(C$1:C305, C$1:C305&lt;&gt;""""))))-1), IF('To Order'!$A306=COLUMNS($A306:C"&amp;"325), C305&amp;RIGHT(INDIRECT(ADDRESS(ROW(C306)-1, 'From Order'!$A306)), 1), C305))"),"")</f>
        <v/>
      </c>
      <c r="D306" s="2" t="str">
        <f>IFERROR(__xludf.DUMMYFUNCTION("IF('From Order'!$A306=COLUMNS($A306:D325), LEFT(INDEX(FILTER(D$1:D305, D$1:D305&lt;&gt;""""),COUNTA(FILTER(D$1:D305, D$1:D305&lt;&gt;""""))), LEN(INDEX(FILTER(D$1:D305, D$1:D305&lt;&gt;""""),COUNTA(FILTER(D$1:D305, D$1:D305&lt;&gt;""""))))-1), IF('To Order'!$A306=COLUMNS($A306:D"&amp;"325), D305&amp;RIGHT(INDIRECT(ADDRESS(ROW(D306)-1, 'From Order'!$A306)), 1), D305))"),"")</f>
        <v/>
      </c>
      <c r="E306" s="2" t="str">
        <f>IFERROR(__xludf.DUMMYFUNCTION("IF('From Order'!$A306=COLUMNS($A306:E325), LEFT(INDEX(FILTER(E$1:E305, E$1:E305&lt;&gt;""""),COUNTA(FILTER(E$1:E305, E$1:E305&lt;&gt;""""))), LEN(INDEX(FILTER(E$1:E305, E$1:E305&lt;&gt;""""),COUNTA(FILTER(E$1:E305, E$1:E305&lt;&gt;""""))))-1), IF('To Order'!$A306=COLUMNS($A306:E"&amp;"325), E305&amp;RIGHT(INDIRECT(ADDRESS(ROW(E306)-1, 'From Order'!$A306)), 1), E305))"),"HZRVSD")</f>
        <v>HZRVSD</v>
      </c>
      <c r="F306" s="2" t="str">
        <f>IFERROR(__xludf.DUMMYFUNCTION("IF('From Order'!$A306=COLUMNS($A306:F325), LEFT(INDEX(FILTER(F$1:F305, F$1:F305&lt;&gt;""""),COUNTA(FILTER(F$1:F305, F$1:F305&lt;&gt;""""))), LEN(INDEX(FILTER(F$1:F305, F$1:F305&lt;&gt;""""),COUNTA(FILTER(F$1:F305, F$1:F305&lt;&gt;""""))))-1), IF('To Order'!$A306=COLUMNS($A306:F"&amp;"325), F305&amp;RIGHT(INDIRECT(ADDRESS(ROW(F306)-1, 'From Order'!$A306)), 1), F305))"),"HSPVMZDDTZRWTJTVCBRQP")</f>
        <v>HSPVMZDDTZRWTJTVCBRQP</v>
      </c>
      <c r="G306" s="2" t="str">
        <f>IFERROR(__xludf.DUMMYFUNCTION("IF('From Order'!$A306=COLUMNS($A306:G325), LEFT(INDEX(FILTER(G$1:G305, G$1:G305&lt;&gt;""""),COUNTA(FILTER(G$1:G305, G$1:G305&lt;&gt;""""))), LEN(INDEX(FILTER(G$1:G305, G$1:G305&lt;&gt;""""),COUNTA(FILTER(G$1:G305, G$1:G305&lt;&gt;""""))))-1), IF('To Order'!$A306=COLUMNS($A306:G"&amp;"325), G305&amp;RIGHT(INDIRECT(ADDRESS(ROW(G306)-1, 'From Order'!$A306)), 1), G305))"),"")</f>
        <v/>
      </c>
      <c r="H306" s="2" t="str">
        <f>IFERROR(__xludf.DUMMYFUNCTION("IF('From Order'!$A306=COLUMNS($A306:H325), LEFT(INDEX(FILTER(H$1:H305, H$1:H305&lt;&gt;""""),COUNTA(FILTER(H$1:H305, H$1:H305&lt;&gt;""""))), LEN(INDEX(FILTER(H$1:H305, H$1:H305&lt;&gt;""""),COUNTA(FILTER(H$1:H305, H$1:H305&lt;&gt;""""))))-1), IF('To Order'!$A306=COLUMNS($A306:H"&amp;"325), H305&amp;RIGHT(INDIRECT(ADDRESS(ROW(H306)-1, 'From Order'!$A306)), 1), H305))"),"M")</f>
        <v>M</v>
      </c>
      <c r="I306" s="2" t="str">
        <f>IFERROR(__xludf.DUMMYFUNCTION("IF('From Order'!$A306=COLUMNS($A306:I325), LEFT(INDEX(FILTER(I$1:I305, I$1:I305&lt;&gt;""""),COUNTA(FILTER(I$1:I305, I$1:I305&lt;&gt;""""))), LEN(INDEX(FILTER(I$1:I305, I$1:I305&lt;&gt;""""),COUNTA(FILTER(I$1:I305, I$1:I305&lt;&gt;""""))))-1), IF('To Order'!$A306=COLUMNS($A306:I"&amp;"325), I305&amp;RIGHT(INDIRECT(ADDRESS(ROW(I306)-1, 'From Order'!$A306)), 1), I305))"),"GPBJDGSBLR")</f>
        <v>GPBJDGSBLR</v>
      </c>
    </row>
    <row r="307">
      <c r="A307" s="2" t="str">
        <f>IFERROR(__xludf.DUMMYFUNCTION("IF('From Order'!$A307=COLUMNS($A307:A326), LEFT(INDEX(FILTER(A$1:A306, A$1:A306&lt;&gt;""""),COUNTA(FILTER(A$1:A306, A$1:A306&lt;&gt;""""))), LEN(INDEX(FILTER(A$1:A306, A$1:A306&lt;&gt;""""),COUNTA(FILTER(A$1:A306, A$1:A306&lt;&gt;""""))))-1), IF('To Order'!$A307=COLUMNS($A307:A"&amp;"326), A306&amp;RIGHT(INDIRECT(ADDRESS(ROW(A307)-1, 'From Order'!$A307)), 1), A306))"),"CTFTMQCDTRLD")</f>
        <v>CTFTMQCDTRLD</v>
      </c>
      <c r="B307" s="2" t="str">
        <f>IFERROR(__xludf.DUMMYFUNCTION("IF('From Order'!$A307=COLUMNS($A307:B326), LEFT(INDEX(FILTER(B$1:B306, B$1:B306&lt;&gt;""""),COUNTA(FILTER(B$1:B306, B$1:B306&lt;&gt;""""))), LEN(INDEX(FILTER(B$1:B306, B$1:B306&lt;&gt;""""),COUNTA(FILTER(B$1:B306, B$1:B306&lt;&gt;""""))))-1), IF('To Order'!$A307=COLUMNS($A307:B"&amp;"326), B306&amp;RIGHT(INDIRECT(ADDRESS(ROW(B307)-1, 'From Order'!$A307)), 1), B306))"),"SWFBJL")</f>
        <v>SWFBJL</v>
      </c>
      <c r="C307" s="2" t="str">
        <f>IFERROR(__xludf.DUMMYFUNCTION("IF('From Order'!$A307=COLUMNS($A307:C326), LEFT(INDEX(FILTER(C$1:C306, C$1:C306&lt;&gt;""""),COUNTA(FILTER(C$1:C306, C$1:C306&lt;&gt;""""))), LEN(INDEX(FILTER(C$1:C306, C$1:C306&lt;&gt;""""),COUNTA(FILTER(C$1:C306, C$1:C306&lt;&gt;""""))))-1), IF('To Order'!$A307=COLUMNS($A307:C"&amp;"326), C306&amp;RIGHT(INDIRECT(ADDRESS(ROW(C307)-1, 'From Order'!$A307)), 1), C306))"),"")</f>
        <v/>
      </c>
      <c r="D307" s="2" t="str">
        <f>IFERROR(__xludf.DUMMYFUNCTION("IF('From Order'!$A307=COLUMNS($A307:D326), LEFT(INDEX(FILTER(D$1:D306, D$1:D306&lt;&gt;""""),COUNTA(FILTER(D$1:D306, D$1:D306&lt;&gt;""""))), LEN(INDEX(FILTER(D$1:D306, D$1:D306&lt;&gt;""""),COUNTA(FILTER(D$1:D306, D$1:D306&lt;&gt;""""))))-1), IF('To Order'!$A307=COLUMNS($A307:D"&amp;"326), D306&amp;RIGHT(INDIRECT(ADDRESS(ROW(D307)-1, 'From Order'!$A307)), 1), D306))"),"")</f>
        <v/>
      </c>
      <c r="E307" s="2" t="str">
        <f>IFERROR(__xludf.DUMMYFUNCTION("IF('From Order'!$A307=COLUMNS($A307:E326), LEFT(INDEX(FILTER(E$1:E306, E$1:E306&lt;&gt;""""),COUNTA(FILTER(E$1:E306, E$1:E306&lt;&gt;""""))), LEN(INDEX(FILTER(E$1:E306, E$1:E306&lt;&gt;""""),COUNTA(FILTER(E$1:E306, E$1:E306&lt;&gt;""""))))-1), IF('To Order'!$A307=COLUMNS($A307:E"&amp;"326), E306&amp;RIGHT(INDIRECT(ADDRESS(ROW(E307)-1, 'From Order'!$A307)), 1), E306))"),"HZRVSDP")</f>
        <v>HZRVSDP</v>
      </c>
      <c r="F307" s="2" t="str">
        <f>IFERROR(__xludf.DUMMYFUNCTION("IF('From Order'!$A307=COLUMNS($A307:F326), LEFT(INDEX(FILTER(F$1:F306, F$1:F306&lt;&gt;""""),COUNTA(FILTER(F$1:F306, F$1:F306&lt;&gt;""""))), LEN(INDEX(FILTER(F$1:F306, F$1:F306&lt;&gt;""""),COUNTA(FILTER(F$1:F306, F$1:F306&lt;&gt;""""))))-1), IF('To Order'!$A307=COLUMNS($A307:F"&amp;"326), F306&amp;RIGHT(INDIRECT(ADDRESS(ROW(F307)-1, 'From Order'!$A307)), 1), F306))"),"HSPVMZDDTZRWTJTVCBRQ")</f>
        <v>HSPVMZDDTZRWTJTVCBRQ</v>
      </c>
      <c r="G307" s="2" t="str">
        <f>IFERROR(__xludf.DUMMYFUNCTION("IF('From Order'!$A307=COLUMNS($A307:G326), LEFT(INDEX(FILTER(G$1:G306, G$1:G306&lt;&gt;""""),COUNTA(FILTER(G$1:G306, G$1:G306&lt;&gt;""""))), LEN(INDEX(FILTER(G$1:G306, G$1:G306&lt;&gt;""""),COUNTA(FILTER(G$1:G306, G$1:G306&lt;&gt;""""))))-1), IF('To Order'!$A307=COLUMNS($A307:G"&amp;"326), G306&amp;RIGHT(INDIRECT(ADDRESS(ROW(G307)-1, 'From Order'!$A307)), 1), G306))"),"")</f>
        <v/>
      </c>
      <c r="H307" s="2" t="str">
        <f>IFERROR(__xludf.DUMMYFUNCTION("IF('From Order'!$A307=COLUMNS($A307:H326), LEFT(INDEX(FILTER(H$1:H306, H$1:H306&lt;&gt;""""),COUNTA(FILTER(H$1:H306, H$1:H306&lt;&gt;""""))), LEN(INDEX(FILTER(H$1:H306, H$1:H306&lt;&gt;""""),COUNTA(FILTER(H$1:H306, H$1:H306&lt;&gt;""""))))-1), IF('To Order'!$A307=COLUMNS($A307:H"&amp;"326), H306&amp;RIGHT(INDIRECT(ADDRESS(ROW(H307)-1, 'From Order'!$A307)), 1), H306))"),"M")</f>
        <v>M</v>
      </c>
      <c r="I307" s="2" t="str">
        <f>IFERROR(__xludf.DUMMYFUNCTION("IF('From Order'!$A307=COLUMNS($A307:I326), LEFT(INDEX(FILTER(I$1:I306, I$1:I306&lt;&gt;""""),COUNTA(FILTER(I$1:I306, I$1:I306&lt;&gt;""""))), LEN(INDEX(FILTER(I$1:I306, I$1:I306&lt;&gt;""""),COUNTA(FILTER(I$1:I306, I$1:I306&lt;&gt;""""))))-1), IF('To Order'!$A307=COLUMNS($A307:I"&amp;"326), I306&amp;RIGHT(INDIRECT(ADDRESS(ROW(I307)-1, 'From Order'!$A307)), 1), I306))"),"GPBJDGSBLR")</f>
        <v>GPBJDGSBLR</v>
      </c>
    </row>
    <row r="308">
      <c r="A308" s="2" t="str">
        <f>IFERROR(__xludf.DUMMYFUNCTION("IF('From Order'!$A308=COLUMNS($A308:A327), LEFT(INDEX(FILTER(A$1:A307, A$1:A307&lt;&gt;""""),COUNTA(FILTER(A$1:A307, A$1:A307&lt;&gt;""""))), LEN(INDEX(FILTER(A$1:A307, A$1:A307&lt;&gt;""""),COUNTA(FILTER(A$1:A307, A$1:A307&lt;&gt;""""))))-1), IF('To Order'!$A308=COLUMNS($A308:A"&amp;"327), A307&amp;RIGHT(INDIRECT(ADDRESS(ROW(A308)-1, 'From Order'!$A308)), 1), A307))"),"CTFTMQCDTRLD")</f>
        <v>CTFTMQCDTRLD</v>
      </c>
      <c r="B308" s="2" t="str">
        <f>IFERROR(__xludf.DUMMYFUNCTION("IF('From Order'!$A308=COLUMNS($A308:B327), LEFT(INDEX(FILTER(B$1:B307, B$1:B307&lt;&gt;""""),COUNTA(FILTER(B$1:B307, B$1:B307&lt;&gt;""""))), LEN(INDEX(FILTER(B$1:B307, B$1:B307&lt;&gt;""""),COUNTA(FILTER(B$1:B307, B$1:B307&lt;&gt;""""))))-1), IF('To Order'!$A308=COLUMNS($A308:B"&amp;"327), B307&amp;RIGHT(INDIRECT(ADDRESS(ROW(B308)-1, 'From Order'!$A308)), 1), B307))"),"SWFBJL")</f>
        <v>SWFBJL</v>
      </c>
      <c r="C308" s="2" t="str">
        <f>IFERROR(__xludf.DUMMYFUNCTION("IF('From Order'!$A308=COLUMNS($A308:C327), LEFT(INDEX(FILTER(C$1:C307, C$1:C307&lt;&gt;""""),COUNTA(FILTER(C$1:C307, C$1:C307&lt;&gt;""""))), LEN(INDEX(FILTER(C$1:C307, C$1:C307&lt;&gt;""""),COUNTA(FILTER(C$1:C307, C$1:C307&lt;&gt;""""))))-1), IF('To Order'!$A308=COLUMNS($A308:C"&amp;"327), C307&amp;RIGHT(INDIRECT(ADDRESS(ROW(C308)-1, 'From Order'!$A308)), 1), C307))"),"")</f>
        <v/>
      </c>
      <c r="D308" s="2" t="str">
        <f>IFERROR(__xludf.DUMMYFUNCTION("IF('From Order'!$A308=COLUMNS($A308:D327), LEFT(INDEX(FILTER(D$1:D307, D$1:D307&lt;&gt;""""),COUNTA(FILTER(D$1:D307, D$1:D307&lt;&gt;""""))), LEN(INDEX(FILTER(D$1:D307, D$1:D307&lt;&gt;""""),COUNTA(FILTER(D$1:D307, D$1:D307&lt;&gt;""""))))-1), IF('To Order'!$A308=COLUMNS($A308:D"&amp;"327), D307&amp;RIGHT(INDIRECT(ADDRESS(ROW(D308)-1, 'From Order'!$A308)), 1), D307))"),"")</f>
        <v/>
      </c>
      <c r="E308" s="2" t="str">
        <f>IFERROR(__xludf.DUMMYFUNCTION("IF('From Order'!$A308=COLUMNS($A308:E327), LEFT(INDEX(FILTER(E$1:E307, E$1:E307&lt;&gt;""""),COUNTA(FILTER(E$1:E307, E$1:E307&lt;&gt;""""))), LEN(INDEX(FILTER(E$1:E307, E$1:E307&lt;&gt;""""),COUNTA(FILTER(E$1:E307, E$1:E307&lt;&gt;""""))))-1), IF('To Order'!$A308=COLUMNS($A308:E"&amp;"327), E307&amp;RIGHT(INDIRECT(ADDRESS(ROW(E308)-1, 'From Order'!$A308)), 1), E307))"),"HZRVSDPQ")</f>
        <v>HZRVSDPQ</v>
      </c>
      <c r="F308" s="2" t="str">
        <f>IFERROR(__xludf.DUMMYFUNCTION("IF('From Order'!$A308=COLUMNS($A308:F327), LEFT(INDEX(FILTER(F$1:F307, F$1:F307&lt;&gt;""""),COUNTA(FILTER(F$1:F307, F$1:F307&lt;&gt;""""))), LEN(INDEX(FILTER(F$1:F307, F$1:F307&lt;&gt;""""),COUNTA(FILTER(F$1:F307, F$1:F307&lt;&gt;""""))))-1), IF('To Order'!$A308=COLUMNS($A308:F"&amp;"327), F307&amp;RIGHT(INDIRECT(ADDRESS(ROW(F308)-1, 'From Order'!$A308)), 1), F307))"),"HSPVMZDDTZRWTJTVCBR")</f>
        <v>HSPVMZDDTZRWTJTVCBR</v>
      </c>
      <c r="G308" s="2" t="str">
        <f>IFERROR(__xludf.DUMMYFUNCTION("IF('From Order'!$A308=COLUMNS($A308:G327), LEFT(INDEX(FILTER(G$1:G307, G$1:G307&lt;&gt;""""),COUNTA(FILTER(G$1:G307, G$1:G307&lt;&gt;""""))), LEN(INDEX(FILTER(G$1:G307, G$1:G307&lt;&gt;""""),COUNTA(FILTER(G$1:G307, G$1:G307&lt;&gt;""""))))-1), IF('To Order'!$A308=COLUMNS($A308:G"&amp;"327), G307&amp;RIGHT(INDIRECT(ADDRESS(ROW(G308)-1, 'From Order'!$A308)), 1), G307))"),"")</f>
        <v/>
      </c>
      <c r="H308" s="2" t="str">
        <f>IFERROR(__xludf.DUMMYFUNCTION("IF('From Order'!$A308=COLUMNS($A308:H327), LEFT(INDEX(FILTER(H$1:H307, H$1:H307&lt;&gt;""""),COUNTA(FILTER(H$1:H307, H$1:H307&lt;&gt;""""))), LEN(INDEX(FILTER(H$1:H307, H$1:H307&lt;&gt;""""),COUNTA(FILTER(H$1:H307, H$1:H307&lt;&gt;""""))))-1), IF('To Order'!$A308=COLUMNS($A308:H"&amp;"327), H307&amp;RIGHT(INDIRECT(ADDRESS(ROW(H308)-1, 'From Order'!$A308)), 1), H307))"),"M")</f>
        <v>M</v>
      </c>
      <c r="I308" s="2" t="str">
        <f>IFERROR(__xludf.DUMMYFUNCTION("IF('From Order'!$A308=COLUMNS($A308:I327), LEFT(INDEX(FILTER(I$1:I307, I$1:I307&lt;&gt;""""),COUNTA(FILTER(I$1:I307, I$1:I307&lt;&gt;""""))), LEN(INDEX(FILTER(I$1:I307, I$1:I307&lt;&gt;""""),COUNTA(FILTER(I$1:I307, I$1:I307&lt;&gt;""""))))-1), IF('To Order'!$A308=COLUMNS($A308:I"&amp;"327), I307&amp;RIGHT(INDIRECT(ADDRESS(ROW(I308)-1, 'From Order'!$A308)), 1), I307))"),"GPBJDGSBLR")</f>
        <v>GPBJDGSBLR</v>
      </c>
    </row>
    <row r="309">
      <c r="A309" s="2" t="str">
        <f>IFERROR(__xludf.DUMMYFUNCTION("IF('From Order'!$A309=COLUMNS($A309:A328), LEFT(INDEX(FILTER(A$1:A308, A$1:A308&lt;&gt;""""),COUNTA(FILTER(A$1:A308, A$1:A308&lt;&gt;""""))), LEN(INDEX(FILTER(A$1:A308, A$1:A308&lt;&gt;""""),COUNTA(FILTER(A$1:A308, A$1:A308&lt;&gt;""""))))-1), IF('To Order'!$A309=COLUMNS($A309:A"&amp;"328), A308&amp;RIGHT(INDIRECT(ADDRESS(ROW(A309)-1, 'From Order'!$A309)), 1), A308))"),"CTFTMQCDTRLD")</f>
        <v>CTFTMQCDTRLD</v>
      </c>
      <c r="B309" s="2" t="str">
        <f>IFERROR(__xludf.DUMMYFUNCTION("IF('From Order'!$A309=COLUMNS($A309:B328), LEFT(INDEX(FILTER(B$1:B308, B$1:B308&lt;&gt;""""),COUNTA(FILTER(B$1:B308, B$1:B308&lt;&gt;""""))), LEN(INDEX(FILTER(B$1:B308, B$1:B308&lt;&gt;""""),COUNTA(FILTER(B$1:B308, B$1:B308&lt;&gt;""""))))-1), IF('To Order'!$A309=COLUMNS($A309:B"&amp;"328), B308&amp;RIGHT(INDIRECT(ADDRESS(ROW(B309)-1, 'From Order'!$A309)), 1), B308))"),"SWFBJL")</f>
        <v>SWFBJL</v>
      </c>
      <c r="C309" s="2" t="str">
        <f>IFERROR(__xludf.DUMMYFUNCTION("IF('From Order'!$A309=COLUMNS($A309:C328), LEFT(INDEX(FILTER(C$1:C308, C$1:C308&lt;&gt;""""),COUNTA(FILTER(C$1:C308, C$1:C308&lt;&gt;""""))), LEN(INDEX(FILTER(C$1:C308, C$1:C308&lt;&gt;""""),COUNTA(FILTER(C$1:C308, C$1:C308&lt;&gt;""""))))-1), IF('To Order'!$A309=COLUMNS($A309:C"&amp;"328), C308&amp;RIGHT(INDIRECT(ADDRESS(ROW(C309)-1, 'From Order'!$A309)), 1), C308))"),"")</f>
        <v/>
      </c>
      <c r="D309" s="2" t="str">
        <f>IFERROR(__xludf.DUMMYFUNCTION("IF('From Order'!$A309=COLUMNS($A309:D328), LEFT(INDEX(FILTER(D$1:D308, D$1:D308&lt;&gt;""""),COUNTA(FILTER(D$1:D308, D$1:D308&lt;&gt;""""))), LEN(INDEX(FILTER(D$1:D308, D$1:D308&lt;&gt;""""),COUNTA(FILTER(D$1:D308, D$1:D308&lt;&gt;""""))))-1), IF('To Order'!$A309=COLUMNS($A309:D"&amp;"328), D308&amp;RIGHT(INDIRECT(ADDRESS(ROW(D309)-1, 'From Order'!$A309)), 1), D308))"),"")</f>
        <v/>
      </c>
      <c r="E309" s="2" t="str">
        <f>IFERROR(__xludf.DUMMYFUNCTION("IF('From Order'!$A309=COLUMNS($A309:E328), LEFT(INDEX(FILTER(E$1:E308, E$1:E308&lt;&gt;""""),COUNTA(FILTER(E$1:E308, E$1:E308&lt;&gt;""""))), LEN(INDEX(FILTER(E$1:E308, E$1:E308&lt;&gt;""""),COUNTA(FILTER(E$1:E308, E$1:E308&lt;&gt;""""))))-1), IF('To Order'!$A309=COLUMNS($A309:E"&amp;"328), E308&amp;RIGHT(INDIRECT(ADDRESS(ROW(E309)-1, 'From Order'!$A309)), 1), E308))"),"HZRVSDPQR")</f>
        <v>HZRVSDPQR</v>
      </c>
      <c r="F309" s="2" t="str">
        <f>IFERROR(__xludf.DUMMYFUNCTION("IF('From Order'!$A309=COLUMNS($A309:F328), LEFT(INDEX(FILTER(F$1:F308, F$1:F308&lt;&gt;""""),COUNTA(FILTER(F$1:F308, F$1:F308&lt;&gt;""""))), LEN(INDEX(FILTER(F$1:F308, F$1:F308&lt;&gt;""""),COUNTA(FILTER(F$1:F308, F$1:F308&lt;&gt;""""))))-1), IF('To Order'!$A309=COLUMNS($A309:F"&amp;"328), F308&amp;RIGHT(INDIRECT(ADDRESS(ROW(F309)-1, 'From Order'!$A309)), 1), F308))"),"HSPVMZDDTZRWTJTVCB")</f>
        <v>HSPVMZDDTZRWTJTVCB</v>
      </c>
      <c r="G309" s="2" t="str">
        <f>IFERROR(__xludf.DUMMYFUNCTION("IF('From Order'!$A309=COLUMNS($A309:G328), LEFT(INDEX(FILTER(G$1:G308, G$1:G308&lt;&gt;""""),COUNTA(FILTER(G$1:G308, G$1:G308&lt;&gt;""""))), LEN(INDEX(FILTER(G$1:G308, G$1:G308&lt;&gt;""""),COUNTA(FILTER(G$1:G308, G$1:G308&lt;&gt;""""))))-1), IF('To Order'!$A309=COLUMNS($A309:G"&amp;"328), G308&amp;RIGHT(INDIRECT(ADDRESS(ROW(G309)-1, 'From Order'!$A309)), 1), G308))"),"")</f>
        <v/>
      </c>
      <c r="H309" s="2" t="str">
        <f>IFERROR(__xludf.DUMMYFUNCTION("IF('From Order'!$A309=COLUMNS($A309:H328), LEFT(INDEX(FILTER(H$1:H308, H$1:H308&lt;&gt;""""),COUNTA(FILTER(H$1:H308, H$1:H308&lt;&gt;""""))), LEN(INDEX(FILTER(H$1:H308, H$1:H308&lt;&gt;""""),COUNTA(FILTER(H$1:H308, H$1:H308&lt;&gt;""""))))-1), IF('To Order'!$A309=COLUMNS($A309:H"&amp;"328), H308&amp;RIGHT(INDIRECT(ADDRESS(ROW(H309)-1, 'From Order'!$A309)), 1), H308))"),"M")</f>
        <v>M</v>
      </c>
      <c r="I309" s="2" t="str">
        <f>IFERROR(__xludf.DUMMYFUNCTION("IF('From Order'!$A309=COLUMNS($A309:I328), LEFT(INDEX(FILTER(I$1:I308, I$1:I308&lt;&gt;""""),COUNTA(FILTER(I$1:I308, I$1:I308&lt;&gt;""""))), LEN(INDEX(FILTER(I$1:I308, I$1:I308&lt;&gt;""""),COUNTA(FILTER(I$1:I308, I$1:I308&lt;&gt;""""))))-1), IF('To Order'!$A309=COLUMNS($A309:I"&amp;"328), I308&amp;RIGHT(INDIRECT(ADDRESS(ROW(I309)-1, 'From Order'!$A309)), 1), I308))"),"GPBJDGSBLR")</f>
        <v>GPBJDGSBLR</v>
      </c>
    </row>
    <row r="310">
      <c r="A310" s="2" t="str">
        <f>IFERROR(__xludf.DUMMYFUNCTION("IF('From Order'!$A310=COLUMNS($A310:A329), LEFT(INDEX(FILTER(A$1:A309, A$1:A309&lt;&gt;""""),COUNTA(FILTER(A$1:A309, A$1:A309&lt;&gt;""""))), LEN(INDEX(FILTER(A$1:A309, A$1:A309&lt;&gt;""""),COUNTA(FILTER(A$1:A309, A$1:A309&lt;&gt;""""))))-1), IF('To Order'!$A310=COLUMNS($A310:A"&amp;"329), A309&amp;RIGHT(INDIRECT(ADDRESS(ROW(A310)-1, 'From Order'!$A310)), 1), A309))"),"CTFTMQCDTRLD")</f>
        <v>CTFTMQCDTRLD</v>
      </c>
      <c r="B310" s="2" t="str">
        <f>IFERROR(__xludf.DUMMYFUNCTION("IF('From Order'!$A310=COLUMNS($A310:B329), LEFT(INDEX(FILTER(B$1:B309, B$1:B309&lt;&gt;""""),COUNTA(FILTER(B$1:B309, B$1:B309&lt;&gt;""""))), LEN(INDEX(FILTER(B$1:B309, B$1:B309&lt;&gt;""""),COUNTA(FILTER(B$1:B309, B$1:B309&lt;&gt;""""))))-1), IF('To Order'!$A310=COLUMNS($A310:B"&amp;"329), B309&amp;RIGHT(INDIRECT(ADDRESS(ROW(B310)-1, 'From Order'!$A310)), 1), B309))"),"SWFBJL")</f>
        <v>SWFBJL</v>
      </c>
      <c r="C310" s="2" t="str">
        <f>IFERROR(__xludf.DUMMYFUNCTION("IF('From Order'!$A310=COLUMNS($A310:C329), LEFT(INDEX(FILTER(C$1:C309, C$1:C309&lt;&gt;""""),COUNTA(FILTER(C$1:C309, C$1:C309&lt;&gt;""""))), LEN(INDEX(FILTER(C$1:C309, C$1:C309&lt;&gt;""""),COUNTA(FILTER(C$1:C309, C$1:C309&lt;&gt;""""))))-1), IF('To Order'!$A310=COLUMNS($A310:C"&amp;"329), C309&amp;RIGHT(INDIRECT(ADDRESS(ROW(C310)-1, 'From Order'!$A310)), 1), C309))"),"")</f>
        <v/>
      </c>
      <c r="D310" s="2" t="str">
        <f>IFERROR(__xludf.DUMMYFUNCTION("IF('From Order'!$A310=COLUMNS($A310:D329), LEFT(INDEX(FILTER(D$1:D309, D$1:D309&lt;&gt;""""),COUNTA(FILTER(D$1:D309, D$1:D309&lt;&gt;""""))), LEN(INDEX(FILTER(D$1:D309, D$1:D309&lt;&gt;""""),COUNTA(FILTER(D$1:D309, D$1:D309&lt;&gt;""""))))-1), IF('To Order'!$A310=COLUMNS($A310:D"&amp;"329), D309&amp;RIGHT(INDIRECT(ADDRESS(ROW(D310)-1, 'From Order'!$A310)), 1), D309))"),"")</f>
        <v/>
      </c>
      <c r="E310" s="2" t="str">
        <f>IFERROR(__xludf.DUMMYFUNCTION("IF('From Order'!$A310=COLUMNS($A310:E329), LEFT(INDEX(FILTER(E$1:E309, E$1:E309&lt;&gt;""""),COUNTA(FILTER(E$1:E309, E$1:E309&lt;&gt;""""))), LEN(INDEX(FILTER(E$1:E309, E$1:E309&lt;&gt;""""),COUNTA(FILTER(E$1:E309, E$1:E309&lt;&gt;""""))))-1), IF('To Order'!$A310=COLUMNS($A310:E"&amp;"329), E309&amp;RIGHT(INDIRECT(ADDRESS(ROW(E310)-1, 'From Order'!$A310)), 1), E309))"),"HZRVSDPQRB")</f>
        <v>HZRVSDPQRB</v>
      </c>
      <c r="F310" s="2" t="str">
        <f>IFERROR(__xludf.DUMMYFUNCTION("IF('From Order'!$A310=COLUMNS($A310:F329), LEFT(INDEX(FILTER(F$1:F309, F$1:F309&lt;&gt;""""),COUNTA(FILTER(F$1:F309, F$1:F309&lt;&gt;""""))), LEN(INDEX(FILTER(F$1:F309, F$1:F309&lt;&gt;""""),COUNTA(FILTER(F$1:F309, F$1:F309&lt;&gt;""""))))-1), IF('To Order'!$A310=COLUMNS($A310:F"&amp;"329), F309&amp;RIGHT(INDIRECT(ADDRESS(ROW(F310)-1, 'From Order'!$A310)), 1), F309))"),"HSPVMZDDTZRWTJTVC")</f>
        <v>HSPVMZDDTZRWTJTVC</v>
      </c>
      <c r="G310" s="2" t="str">
        <f>IFERROR(__xludf.DUMMYFUNCTION("IF('From Order'!$A310=COLUMNS($A310:G329), LEFT(INDEX(FILTER(G$1:G309, G$1:G309&lt;&gt;""""),COUNTA(FILTER(G$1:G309, G$1:G309&lt;&gt;""""))), LEN(INDEX(FILTER(G$1:G309, G$1:G309&lt;&gt;""""),COUNTA(FILTER(G$1:G309, G$1:G309&lt;&gt;""""))))-1), IF('To Order'!$A310=COLUMNS($A310:G"&amp;"329), G309&amp;RIGHT(INDIRECT(ADDRESS(ROW(G310)-1, 'From Order'!$A310)), 1), G309))"),"")</f>
        <v/>
      </c>
      <c r="H310" s="2" t="str">
        <f>IFERROR(__xludf.DUMMYFUNCTION("IF('From Order'!$A310=COLUMNS($A310:H329), LEFT(INDEX(FILTER(H$1:H309, H$1:H309&lt;&gt;""""),COUNTA(FILTER(H$1:H309, H$1:H309&lt;&gt;""""))), LEN(INDEX(FILTER(H$1:H309, H$1:H309&lt;&gt;""""),COUNTA(FILTER(H$1:H309, H$1:H309&lt;&gt;""""))))-1), IF('To Order'!$A310=COLUMNS($A310:H"&amp;"329), H309&amp;RIGHT(INDIRECT(ADDRESS(ROW(H310)-1, 'From Order'!$A310)), 1), H309))"),"M")</f>
        <v>M</v>
      </c>
      <c r="I310" s="2" t="str">
        <f>IFERROR(__xludf.DUMMYFUNCTION("IF('From Order'!$A310=COLUMNS($A310:I329), LEFT(INDEX(FILTER(I$1:I309, I$1:I309&lt;&gt;""""),COUNTA(FILTER(I$1:I309, I$1:I309&lt;&gt;""""))), LEN(INDEX(FILTER(I$1:I309, I$1:I309&lt;&gt;""""),COUNTA(FILTER(I$1:I309, I$1:I309&lt;&gt;""""))))-1), IF('To Order'!$A310=COLUMNS($A310:I"&amp;"329), I309&amp;RIGHT(INDIRECT(ADDRESS(ROW(I310)-1, 'From Order'!$A310)), 1), I309))"),"GPBJDGSBLR")</f>
        <v>GPBJDGSBLR</v>
      </c>
    </row>
    <row r="311">
      <c r="A311" s="2" t="str">
        <f>IFERROR(__xludf.DUMMYFUNCTION("IF('From Order'!$A311=COLUMNS($A311:A330), LEFT(INDEX(FILTER(A$1:A310, A$1:A310&lt;&gt;""""),COUNTA(FILTER(A$1:A310, A$1:A310&lt;&gt;""""))), LEN(INDEX(FILTER(A$1:A310, A$1:A310&lt;&gt;""""),COUNTA(FILTER(A$1:A310, A$1:A310&lt;&gt;""""))))-1), IF('To Order'!$A311=COLUMNS($A311:A"&amp;"330), A310&amp;RIGHT(INDIRECT(ADDRESS(ROW(A311)-1, 'From Order'!$A311)), 1), A310))"),"CTFTMQCDTRLD")</f>
        <v>CTFTMQCDTRLD</v>
      </c>
      <c r="B311" s="2" t="str">
        <f>IFERROR(__xludf.DUMMYFUNCTION("IF('From Order'!$A311=COLUMNS($A311:B330), LEFT(INDEX(FILTER(B$1:B310, B$1:B310&lt;&gt;""""),COUNTA(FILTER(B$1:B310, B$1:B310&lt;&gt;""""))), LEN(INDEX(FILTER(B$1:B310, B$1:B310&lt;&gt;""""),COUNTA(FILTER(B$1:B310, B$1:B310&lt;&gt;""""))))-1), IF('To Order'!$A311=COLUMNS($A311:B"&amp;"330), B310&amp;RIGHT(INDIRECT(ADDRESS(ROW(B311)-1, 'From Order'!$A311)), 1), B310))"),"SWFBJL")</f>
        <v>SWFBJL</v>
      </c>
      <c r="C311" s="2" t="str">
        <f>IFERROR(__xludf.DUMMYFUNCTION("IF('From Order'!$A311=COLUMNS($A311:C330), LEFT(INDEX(FILTER(C$1:C310, C$1:C310&lt;&gt;""""),COUNTA(FILTER(C$1:C310, C$1:C310&lt;&gt;""""))), LEN(INDEX(FILTER(C$1:C310, C$1:C310&lt;&gt;""""),COUNTA(FILTER(C$1:C310, C$1:C310&lt;&gt;""""))))-1), IF('To Order'!$A311=COLUMNS($A311:C"&amp;"330), C310&amp;RIGHT(INDIRECT(ADDRESS(ROW(C311)-1, 'From Order'!$A311)), 1), C310))"),"")</f>
        <v/>
      </c>
      <c r="D311" s="2" t="str">
        <f>IFERROR(__xludf.DUMMYFUNCTION("IF('From Order'!$A311=COLUMNS($A311:D330), LEFT(INDEX(FILTER(D$1:D310, D$1:D310&lt;&gt;""""),COUNTA(FILTER(D$1:D310, D$1:D310&lt;&gt;""""))), LEN(INDEX(FILTER(D$1:D310, D$1:D310&lt;&gt;""""),COUNTA(FILTER(D$1:D310, D$1:D310&lt;&gt;""""))))-1), IF('To Order'!$A311=COLUMNS($A311:D"&amp;"330), D310&amp;RIGHT(INDIRECT(ADDRESS(ROW(D311)-1, 'From Order'!$A311)), 1), D310))"),"")</f>
        <v/>
      </c>
      <c r="E311" s="2" t="str">
        <f>IFERROR(__xludf.DUMMYFUNCTION("IF('From Order'!$A311=COLUMNS($A311:E330), LEFT(INDEX(FILTER(E$1:E310, E$1:E310&lt;&gt;""""),COUNTA(FILTER(E$1:E310, E$1:E310&lt;&gt;""""))), LEN(INDEX(FILTER(E$1:E310, E$1:E310&lt;&gt;""""),COUNTA(FILTER(E$1:E310, E$1:E310&lt;&gt;""""))))-1), IF('To Order'!$A311=COLUMNS($A311:E"&amp;"330), E310&amp;RIGHT(INDIRECT(ADDRESS(ROW(E311)-1, 'From Order'!$A311)), 1), E310))"),"HZRVSDPQRBC")</f>
        <v>HZRVSDPQRBC</v>
      </c>
      <c r="F311" s="2" t="str">
        <f>IFERROR(__xludf.DUMMYFUNCTION("IF('From Order'!$A311=COLUMNS($A311:F330), LEFT(INDEX(FILTER(F$1:F310, F$1:F310&lt;&gt;""""),COUNTA(FILTER(F$1:F310, F$1:F310&lt;&gt;""""))), LEN(INDEX(FILTER(F$1:F310, F$1:F310&lt;&gt;""""),COUNTA(FILTER(F$1:F310, F$1:F310&lt;&gt;""""))))-1), IF('To Order'!$A311=COLUMNS($A311:F"&amp;"330), F310&amp;RIGHT(INDIRECT(ADDRESS(ROW(F311)-1, 'From Order'!$A311)), 1), F310))"),"HSPVMZDDTZRWTJTV")</f>
        <v>HSPVMZDDTZRWTJTV</v>
      </c>
      <c r="G311" s="2" t="str">
        <f>IFERROR(__xludf.DUMMYFUNCTION("IF('From Order'!$A311=COLUMNS($A311:G330), LEFT(INDEX(FILTER(G$1:G310, G$1:G310&lt;&gt;""""),COUNTA(FILTER(G$1:G310, G$1:G310&lt;&gt;""""))), LEN(INDEX(FILTER(G$1:G310, G$1:G310&lt;&gt;""""),COUNTA(FILTER(G$1:G310, G$1:G310&lt;&gt;""""))))-1), IF('To Order'!$A311=COLUMNS($A311:G"&amp;"330), G310&amp;RIGHT(INDIRECT(ADDRESS(ROW(G311)-1, 'From Order'!$A311)), 1), G310))"),"")</f>
        <v/>
      </c>
      <c r="H311" s="2" t="str">
        <f>IFERROR(__xludf.DUMMYFUNCTION("IF('From Order'!$A311=COLUMNS($A311:H330), LEFT(INDEX(FILTER(H$1:H310, H$1:H310&lt;&gt;""""),COUNTA(FILTER(H$1:H310, H$1:H310&lt;&gt;""""))), LEN(INDEX(FILTER(H$1:H310, H$1:H310&lt;&gt;""""),COUNTA(FILTER(H$1:H310, H$1:H310&lt;&gt;""""))))-1), IF('To Order'!$A311=COLUMNS($A311:H"&amp;"330), H310&amp;RIGHT(INDIRECT(ADDRESS(ROW(H311)-1, 'From Order'!$A311)), 1), H310))"),"M")</f>
        <v>M</v>
      </c>
      <c r="I311" s="2" t="str">
        <f>IFERROR(__xludf.DUMMYFUNCTION("IF('From Order'!$A311=COLUMNS($A311:I330), LEFT(INDEX(FILTER(I$1:I310, I$1:I310&lt;&gt;""""),COUNTA(FILTER(I$1:I310, I$1:I310&lt;&gt;""""))), LEN(INDEX(FILTER(I$1:I310, I$1:I310&lt;&gt;""""),COUNTA(FILTER(I$1:I310, I$1:I310&lt;&gt;""""))))-1), IF('To Order'!$A311=COLUMNS($A311:I"&amp;"330), I310&amp;RIGHT(INDIRECT(ADDRESS(ROW(I311)-1, 'From Order'!$A311)), 1), I310))"),"GPBJDGSBLR")</f>
        <v>GPBJDGSBLR</v>
      </c>
    </row>
    <row r="312">
      <c r="A312" s="2" t="str">
        <f>IFERROR(__xludf.DUMMYFUNCTION("IF('From Order'!$A312=COLUMNS($A312:A331), LEFT(INDEX(FILTER(A$1:A311, A$1:A311&lt;&gt;""""),COUNTA(FILTER(A$1:A311, A$1:A311&lt;&gt;""""))), LEN(INDEX(FILTER(A$1:A311, A$1:A311&lt;&gt;""""),COUNTA(FILTER(A$1:A311, A$1:A311&lt;&gt;""""))))-1), IF('To Order'!$A312=COLUMNS($A312:A"&amp;"331), A311&amp;RIGHT(INDIRECT(ADDRESS(ROW(A312)-1, 'From Order'!$A312)), 1), A311))"),"CTFTMQCDTRLD")</f>
        <v>CTFTMQCDTRLD</v>
      </c>
      <c r="B312" s="2" t="str">
        <f>IFERROR(__xludf.DUMMYFUNCTION("IF('From Order'!$A312=COLUMNS($A312:B331), LEFT(INDEX(FILTER(B$1:B311, B$1:B311&lt;&gt;""""),COUNTA(FILTER(B$1:B311, B$1:B311&lt;&gt;""""))), LEN(INDEX(FILTER(B$1:B311, B$1:B311&lt;&gt;""""),COUNTA(FILTER(B$1:B311, B$1:B311&lt;&gt;""""))))-1), IF('To Order'!$A312=COLUMNS($A312:B"&amp;"331), B311&amp;RIGHT(INDIRECT(ADDRESS(ROW(B312)-1, 'From Order'!$A312)), 1), B311))"),"SWFBJL")</f>
        <v>SWFBJL</v>
      </c>
      <c r="C312" s="2" t="str">
        <f>IFERROR(__xludf.DUMMYFUNCTION("IF('From Order'!$A312=COLUMNS($A312:C331), LEFT(INDEX(FILTER(C$1:C311, C$1:C311&lt;&gt;""""),COUNTA(FILTER(C$1:C311, C$1:C311&lt;&gt;""""))), LEN(INDEX(FILTER(C$1:C311, C$1:C311&lt;&gt;""""),COUNTA(FILTER(C$1:C311, C$1:C311&lt;&gt;""""))))-1), IF('To Order'!$A312=COLUMNS($A312:C"&amp;"331), C311&amp;RIGHT(INDIRECT(ADDRESS(ROW(C312)-1, 'From Order'!$A312)), 1), C311))"),"")</f>
        <v/>
      </c>
      <c r="D312" s="2" t="str">
        <f>IFERROR(__xludf.DUMMYFUNCTION("IF('From Order'!$A312=COLUMNS($A312:D331), LEFT(INDEX(FILTER(D$1:D311, D$1:D311&lt;&gt;""""),COUNTA(FILTER(D$1:D311, D$1:D311&lt;&gt;""""))), LEN(INDEX(FILTER(D$1:D311, D$1:D311&lt;&gt;""""),COUNTA(FILTER(D$1:D311, D$1:D311&lt;&gt;""""))))-1), IF('To Order'!$A312=COLUMNS($A312:D"&amp;"331), D311&amp;RIGHT(INDIRECT(ADDRESS(ROW(D312)-1, 'From Order'!$A312)), 1), D311))"),"")</f>
        <v/>
      </c>
      <c r="E312" s="2" t="str">
        <f>IFERROR(__xludf.DUMMYFUNCTION("IF('From Order'!$A312=COLUMNS($A312:E331), LEFT(INDEX(FILTER(E$1:E311, E$1:E311&lt;&gt;""""),COUNTA(FILTER(E$1:E311, E$1:E311&lt;&gt;""""))), LEN(INDEX(FILTER(E$1:E311, E$1:E311&lt;&gt;""""),COUNTA(FILTER(E$1:E311, E$1:E311&lt;&gt;""""))))-1), IF('To Order'!$A312=COLUMNS($A312:E"&amp;"331), E311&amp;RIGHT(INDIRECT(ADDRESS(ROW(E312)-1, 'From Order'!$A312)), 1), E311))"),"HZRVSDPQRBCV")</f>
        <v>HZRVSDPQRBCV</v>
      </c>
      <c r="F312" s="2" t="str">
        <f>IFERROR(__xludf.DUMMYFUNCTION("IF('From Order'!$A312=COLUMNS($A312:F331), LEFT(INDEX(FILTER(F$1:F311, F$1:F311&lt;&gt;""""),COUNTA(FILTER(F$1:F311, F$1:F311&lt;&gt;""""))), LEN(INDEX(FILTER(F$1:F311, F$1:F311&lt;&gt;""""),COUNTA(FILTER(F$1:F311, F$1:F311&lt;&gt;""""))))-1), IF('To Order'!$A312=COLUMNS($A312:F"&amp;"331), F311&amp;RIGHT(INDIRECT(ADDRESS(ROW(F312)-1, 'From Order'!$A312)), 1), F311))"),"HSPVMZDDTZRWTJT")</f>
        <v>HSPVMZDDTZRWTJT</v>
      </c>
      <c r="G312" s="2" t="str">
        <f>IFERROR(__xludf.DUMMYFUNCTION("IF('From Order'!$A312=COLUMNS($A312:G331), LEFT(INDEX(FILTER(G$1:G311, G$1:G311&lt;&gt;""""),COUNTA(FILTER(G$1:G311, G$1:G311&lt;&gt;""""))), LEN(INDEX(FILTER(G$1:G311, G$1:G311&lt;&gt;""""),COUNTA(FILTER(G$1:G311, G$1:G311&lt;&gt;""""))))-1), IF('To Order'!$A312=COLUMNS($A312:G"&amp;"331), G311&amp;RIGHT(INDIRECT(ADDRESS(ROW(G312)-1, 'From Order'!$A312)), 1), G311))"),"")</f>
        <v/>
      </c>
      <c r="H312" s="2" t="str">
        <f>IFERROR(__xludf.DUMMYFUNCTION("IF('From Order'!$A312=COLUMNS($A312:H331), LEFT(INDEX(FILTER(H$1:H311, H$1:H311&lt;&gt;""""),COUNTA(FILTER(H$1:H311, H$1:H311&lt;&gt;""""))), LEN(INDEX(FILTER(H$1:H311, H$1:H311&lt;&gt;""""),COUNTA(FILTER(H$1:H311, H$1:H311&lt;&gt;""""))))-1), IF('To Order'!$A312=COLUMNS($A312:H"&amp;"331), H311&amp;RIGHT(INDIRECT(ADDRESS(ROW(H312)-1, 'From Order'!$A312)), 1), H311))"),"M")</f>
        <v>M</v>
      </c>
      <c r="I312" s="2" t="str">
        <f>IFERROR(__xludf.DUMMYFUNCTION("IF('From Order'!$A312=COLUMNS($A312:I331), LEFT(INDEX(FILTER(I$1:I311, I$1:I311&lt;&gt;""""),COUNTA(FILTER(I$1:I311, I$1:I311&lt;&gt;""""))), LEN(INDEX(FILTER(I$1:I311, I$1:I311&lt;&gt;""""),COUNTA(FILTER(I$1:I311, I$1:I311&lt;&gt;""""))))-1), IF('To Order'!$A312=COLUMNS($A312:I"&amp;"331), I311&amp;RIGHT(INDIRECT(ADDRESS(ROW(I312)-1, 'From Order'!$A312)), 1), I311))"),"GPBJDGSBLR")</f>
        <v>GPBJDGSBLR</v>
      </c>
    </row>
    <row r="313">
      <c r="A313" s="2" t="str">
        <f>IFERROR(__xludf.DUMMYFUNCTION("IF('From Order'!$A313=COLUMNS($A313:A332), LEFT(INDEX(FILTER(A$1:A312, A$1:A312&lt;&gt;""""),COUNTA(FILTER(A$1:A312, A$1:A312&lt;&gt;""""))), LEN(INDEX(FILTER(A$1:A312, A$1:A312&lt;&gt;""""),COUNTA(FILTER(A$1:A312, A$1:A312&lt;&gt;""""))))-1), IF('To Order'!$A313=COLUMNS($A313:A"&amp;"332), A312&amp;RIGHT(INDIRECT(ADDRESS(ROW(A313)-1, 'From Order'!$A313)), 1), A312))"),"CTFTMQCDTRLD")</f>
        <v>CTFTMQCDTRLD</v>
      </c>
      <c r="B313" s="2" t="str">
        <f>IFERROR(__xludf.DUMMYFUNCTION("IF('From Order'!$A313=COLUMNS($A313:B332), LEFT(INDEX(FILTER(B$1:B312, B$1:B312&lt;&gt;""""),COUNTA(FILTER(B$1:B312, B$1:B312&lt;&gt;""""))), LEN(INDEX(FILTER(B$1:B312, B$1:B312&lt;&gt;""""),COUNTA(FILTER(B$1:B312, B$1:B312&lt;&gt;""""))))-1), IF('To Order'!$A313=COLUMNS($A313:B"&amp;"332), B312&amp;RIGHT(INDIRECT(ADDRESS(ROW(B313)-1, 'From Order'!$A313)), 1), B312))"),"SWFBJL")</f>
        <v>SWFBJL</v>
      </c>
      <c r="C313" s="2" t="str">
        <f>IFERROR(__xludf.DUMMYFUNCTION("IF('From Order'!$A313=COLUMNS($A313:C332), LEFT(INDEX(FILTER(C$1:C312, C$1:C312&lt;&gt;""""),COUNTA(FILTER(C$1:C312, C$1:C312&lt;&gt;""""))), LEN(INDEX(FILTER(C$1:C312, C$1:C312&lt;&gt;""""),COUNTA(FILTER(C$1:C312, C$1:C312&lt;&gt;""""))))-1), IF('To Order'!$A313=COLUMNS($A313:C"&amp;"332), C312&amp;RIGHT(INDIRECT(ADDRESS(ROW(C313)-1, 'From Order'!$A313)), 1), C312))"),"")</f>
        <v/>
      </c>
      <c r="D313" s="2" t="str">
        <f>IFERROR(__xludf.DUMMYFUNCTION("IF('From Order'!$A313=COLUMNS($A313:D332), LEFT(INDEX(FILTER(D$1:D312, D$1:D312&lt;&gt;""""),COUNTA(FILTER(D$1:D312, D$1:D312&lt;&gt;""""))), LEN(INDEX(FILTER(D$1:D312, D$1:D312&lt;&gt;""""),COUNTA(FILTER(D$1:D312, D$1:D312&lt;&gt;""""))))-1), IF('To Order'!$A313=COLUMNS($A313:D"&amp;"332), D312&amp;RIGHT(INDIRECT(ADDRESS(ROW(D313)-1, 'From Order'!$A313)), 1), D312))"),"")</f>
        <v/>
      </c>
      <c r="E313" s="2" t="str">
        <f>IFERROR(__xludf.DUMMYFUNCTION("IF('From Order'!$A313=COLUMNS($A313:E332), LEFT(INDEX(FILTER(E$1:E312, E$1:E312&lt;&gt;""""),COUNTA(FILTER(E$1:E312, E$1:E312&lt;&gt;""""))), LEN(INDEX(FILTER(E$1:E312, E$1:E312&lt;&gt;""""),COUNTA(FILTER(E$1:E312, E$1:E312&lt;&gt;""""))))-1), IF('To Order'!$A313=COLUMNS($A313:E"&amp;"332), E312&amp;RIGHT(INDIRECT(ADDRESS(ROW(E313)-1, 'From Order'!$A313)), 1), E312))"),"HZRVSDPQRBCVT")</f>
        <v>HZRVSDPQRBCVT</v>
      </c>
      <c r="F313" s="2" t="str">
        <f>IFERROR(__xludf.DUMMYFUNCTION("IF('From Order'!$A313=COLUMNS($A313:F332), LEFT(INDEX(FILTER(F$1:F312, F$1:F312&lt;&gt;""""),COUNTA(FILTER(F$1:F312, F$1:F312&lt;&gt;""""))), LEN(INDEX(FILTER(F$1:F312, F$1:F312&lt;&gt;""""),COUNTA(FILTER(F$1:F312, F$1:F312&lt;&gt;""""))))-1), IF('To Order'!$A313=COLUMNS($A313:F"&amp;"332), F312&amp;RIGHT(INDIRECT(ADDRESS(ROW(F313)-1, 'From Order'!$A313)), 1), F312))"),"HSPVMZDDTZRWTJ")</f>
        <v>HSPVMZDDTZRWTJ</v>
      </c>
      <c r="G313" s="2" t="str">
        <f>IFERROR(__xludf.DUMMYFUNCTION("IF('From Order'!$A313=COLUMNS($A313:G332), LEFT(INDEX(FILTER(G$1:G312, G$1:G312&lt;&gt;""""),COUNTA(FILTER(G$1:G312, G$1:G312&lt;&gt;""""))), LEN(INDEX(FILTER(G$1:G312, G$1:G312&lt;&gt;""""),COUNTA(FILTER(G$1:G312, G$1:G312&lt;&gt;""""))))-1), IF('To Order'!$A313=COLUMNS($A313:G"&amp;"332), G312&amp;RIGHT(INDIRECT(ADDRESS(ROW(G313)-1, 'From Order'!$A313)), 1), G312))"),"")</f>
        <v/>
      </c>
      <c r="H313" s="2" t="str">
        <f>IFERROR(__xludf.DUMMYFUNCTION("IF('From Order'!$A313=COLUMNS($A313:H332), LEFT(INDEX(FILTER(H$1:H312, H$1:H312&lt;&gt;""""),COUNTA(FILTER(H$1:H312, H$1:H312&lt;&gt;""""))), LEN(INDEX(FILTER(H$1:H312, H$1:H312&lt;&gt;""""),COUNTA(FILTER(H$1:H312, H$1:H312&lt;&gt;""""))))-1), IF('To Order'!$A313=COLUMNS($A313:H"&amp;"332), H312&amp;RIGHT(INDIRECT(ADDRESS(ROW(H313)-1, 'From Order'!$A313)), 1), H312))"),"M")</f>
        <v>M</v>
      </c>
      <c r="I313" s="2" t="str">
        <f>IFERROR(__xludf.DUMMYFUNCTION("IF('From Order'!$A313=COLUMNS($A313:I332), LEFT(INDEX(FILTER(I$1:I312, I$1:I312&lt;&gt;""""),COUNTA(FILTER(I$1:I312, I$1:I312&lt;&gt;""""))), LEN(INDEX(FILTER(I$1:I312, I$1:I312&lt;&gt;""""),COUNTA(FILTER(I$1:I312, I$1:I312&lt;&gt;""""))))-1), IF('To Order'!$A313=COLUMNS($A313:I"&amp;"332), I312&amp;RIGHT(INDIRECT(ADDRESS(ROW(I313)-1, 'From Order'!$A313)), 1), I312))"),"GPBJDGSBLR")</f>
        <v>GPBJDGSBLR</v>
      </c>
    </row>
    <row r="314">
      <c r="A314" s="2" t="str">
        <f>IFERROR(__xludf.DUMMYFUNCTION("IF('From Order'!$A314=COLUMNS($A314:A333), LEFT(INDEX(FILTER(A$1:A313, A$1:A313&lt;&gt;""""),COUNTA(FILTER(A$1:A313, A$1:A313&lt;&gt;""""))), LEN(INDEX(FILTER(A$1:A313, A$1:A313&lt;&gt;""""),COUNTA(FILTER(A$1:A313, A$1:A313&lt;&gt;""""))))-1), IF('To Order'!$A314=COLUMNS($A314:A"&amp;"333), A313&amp;RIGHT(INDIRECT(ADDRESS(ROW(A314)-1, 'From Order'!$A314)), 1), A313))"),"CTFTMQCDTRLD")</f>
        <v>CTFTMQCDTRLD</v>
      </c>
      <c r="B314" s="2" t="str">
        <f>IFERROR(__xludf.DUMMYFUNCTION("IF('From Order'!$A314=COLUMNS($A314:B333), LEFT(INDEX(FILTER(B$1:B313, B$1:B313&lt;&gt;""""),COUNTA(FILTER(B$1:B313, B$1:B313&lt;&gt;""""))), LEN(INDEX(FILTER(B$1:B313, B$1:B313&lt;&gt;""""),COUNTA(FILTER(B$1:B313, B$1:B313&lt;&gt;""""))))-1), IF('To Order'!$A314=COLUMNS($A314:B"&amp;"333), B313&amp;RIGHT(INDIRECT(ADDRESS(ROW(B314)-1, 'From Order'!$A314)), 1), B313))"),"SWFBJL")</f>
        <v>SWFBJL</v>
      </c>
      <c r="C314" s="2" t="str">
        <f>IFERROR(__xludf.DUMMYFUNCTION("IF('From Order'!$A314=COLUMNS($A314:C333), LEFT(INDEX(FILTER(C$1:C313, C$1:C313&lt;&gt;""""),COUNTA(FILTER(C$1:C313, C$1:C313&lt;&gt;""""))), LEN(INDEX(FILTER(C$1:C313, C$1:C313&lt;&gt;""""),COUNTA(FILTER(C$1:C313, C$1:C313&lt;&gt;""""))))-1), IF('To Order'!$A314=COLUMNS($A314:C"&amp;"333), C313&amp;RIGHT(INDIRECT(ADDRESS(ROW(C314)-1, 'From Order'!$A314)), 1), C313))"),"")</f>
        <v/>
      </c>
      <c r="D314" s="2" t="str">
        <f>IFERROR(__xludf.DUMMYFUNCTION("IF('From Order'!$A314=COLUMNS($A314:D333), LEFT(INDEX(FILTER(D$1:D313, D$1:D313&lt;&gt;""""),COUNTA(FILTER(D$1:D313, D$1:D313&lt;&gt;""""))), LEN(INDEX(FILTER(D$1:D313, D$1:D313&lt;&gt;""""),COUNTA(FILTER(D$1:D313, D$1:D313&lt;&gt;""""))))-1), IF('To Order'!$A314=COLUMNS($A314:D"&amp;"333), D313&amp;RIGHT(INDIRECT(ADDRESS(ROW(D314)-1, 'From Order'!$A314)), 1), D313))"),"")</f>
        <v/>
      </c>
      <c r="E314" s="2" t="str">
        <f>IFERROR(__xludf.DUMMYFUNCTION("IF('From Order'!$A314=COLUMNS($A314:E333), LEFT(INDEX(FILTER(E$1:E313, E$1:E313&lt;&gt;""""),COUNTA(FILTER(E$1:E313, E$1:E313&lt;&gt;""""))), LEN(INDEX(FILTER(E$1:E313, E$1:E313&lt;&gt;""""),COUNTA(FILTER(E$1:E313, E$1:E313&lt;&gt;""""))))-1), IF('To Order'!$A314=COLUMNS($A314:E"&amp;"333), E313&amp;RIGHT(INDIRECT(ADDRESS(ROW(E314)-1, 'From Order'!$A314)), 1), E313))"),"HZRVSDPQRBCVTJ")</f>
        <v>HZRVSDPQRBCVTJ</v>
      </c>
      <c r="F314" s="2" t="str">
        <f>IFERROR(__xludf.DUMMYFUNCTION("IF('From Order'!$A314=COLUMNS($A314:F333), LEFT(INDEX(FILTER(F$1:F313, F$1:F313&lt;&gt;""""),COUNTA(FILTER(F$1:F313, F$1:F313&lt;&gt;""""))), LEN(INDEX(FILTER(F$1:F313, F$1:F313&lt;&gt;""""),COUNTA(FILTER(F$1:F313, F$1:F313&lt;&gt;""""))))-1), IF('To Order'!$A314=COLUMNS($A314:F"&amp;"333), F313&amp;RIGHT(INDIRECT(ADDRESS(ROW(F314)-1, 'From Order'!$A314)), 1), F313))"),"HSPVMZDDTZRWT")</f>
        <v>HSPVMZDDTZRWT</v>
      </c>
      <c r="G314" s="2" t="str">
        <f>IFERROR(__xludf.DUMMYFUNCTION("IF('From Order'!$A314=COLUMNS($A314:G333), LEFT(INDEX(FILTER(G$1:G313, G$1:G313&lt;&gt;""""),COUNTA(FILTER(G$1:G313, G$1:G313&lt;&gt;""""))), LEN(INDEX(FILTER(G$1:G313, G$1:G313&lt;&gt;""""),COUNTA(FILTER(G$1:G313, G$1:G313&lt;&gt;""""))))-1), IF('To Order'!$A314=COLUMNS($A314:G"&amp;"333), G313&amp;RIGHT(INDIRECT(ADDRESS(ROW(G314)-1, 'From Order'!$A314)), 1), G313))"),"")</f>
        <v/>
      </c>
      <c r="H314" s="2" t="str">
        <f>IFERROR(__xludf.DUMMYFUNCTION("IF('From Order'!$A314=COLUMNS($A314:H333), LEFT(INDEX(FILTER(H$1:H313, H$1:H313&lt;&gt;""""),COUNTA(FILTER(H$1:H313, H$1:H313&lt;&gt;""""))), LEN(INDEX(FILTER(H$1:H313, H$1:H313&lt;&gt;""""),COUNTA(FILTER(H$1:H313, H$1:H313&lt;&gt;""""))))-1), IF('To Order'!$A314=COLUMNS($A314:H"&amp;"333), H313&amp;RIGHT(INDIRECT(ADDRESS(ROW(H314)-1, 'From Order'!$A314)), 1), H313))"),"M")</f>
        <v>M</v>
      </c>
      <c r="I314" s="2" t="str">
        <f>IFERROR(__xludf.DUMMYFUNCTION("IF('From Order'!$A314=COLUMNS($A314:I333), LEFT(INDEX(FILTER(I$1:I313, I$1:I313&lt;&gt;""""),COUNTA(FILTER(I$1:I313, I$1:I313&lt;&gt;""""))), LEN(INDEX(FILTER(I$1:I313, I$1:I313&lt;&gt;""""),COUNTA(FILTER(I$1:I313, I$1:I313&lt;&gt;""""))))-1), IF('To Order'!$A314=COLUMNS($A314:I"&amp;"333), I313&amp;RIGHT(INDIRECT(ADDRESS(ROW(I314)-1, 'From Order'!$A314)), 1), I313))"),"GPBJDGSBLR")</f>
        <v>GPBJDGSBLR</v>
      </c>
    </row>
    <row r="315">
      <c r="A315" s="2" t="str">
        <f>IFERROR(__xludf.DUMMYFUNCTION("IF('From Order'!$A315=COLUMNS($A315:A334), LEFT(INDEX(FILTER(A$1:A314, A$1:A314&lt;&gt;""""),COUNTA(FILTER(A$1:A314, A$1:A314&lt;&gt;""""))), LEN(INDEX(FILTER(A$1:A314, A$1:A314&lt;&gt;""""),COUNTA(FILTER(A$1:A314, A$1:A314&lt;&gt;""""))))-1), IF('To Order'!$A315=COLUMNS($A315:A"&amp;"334), A314&amp;RIGHT(INDIRECT(ADDRESS(ROW(A315)-1, 'From Order'!$A315)), 1), A314))"),"CTFTMQCDTRLD")</f>
        <v>CTFTMQCDTRLD</v>
      </c>
      <c r="B315" s="2" t="str">
        <f>IFERROR(__xludf.DUMMYFUNCTION("IF('From Order'!$A315=COLUMNS($A315:B334), LEFT(INDEX(FILTER(B$1:B314, B$1:B314&lt;&gt;""""),COUNTA(FILTER(B$1:B314, B$1:B314&lt;&gt;""""))), LEN(INDEX(FILTER(B$1:B314, B$1:B314&lt;&gt;""""),COUNTA(FILTER(B$1:B314, B$1:B314&lt;&gt;""""))))-1), IF('To Order'!$A315=COLUMNS($A315:B"&amp;"334), B314&amp;RIGHT(INDIRECT(ADDRESS(ROW(B315)-1, 'From Order'!$A315)), 1), B314))"),"SWFBJL")</f>
        <v>SWFBJL</v>
      </c>
      <c r="C315" s="2" t="str">
        <f>IFERROR(__xludf.DUMMYFUNCTION("IF('From Order'!$A315=COLUMNS($A315:C334), LEFT(INDEX(FILTER(C$1:C314, C$1:C314&lt;&gt;""""),COUNTA(FILTER(C$1:C314, C$1:C314&lt;&gt;""""))), LEN(INDEX(FILTER(C$1:C314, C$1:C314&lt;&gt;""""),COUNTA(FILTER(C$1:C314, C$1:C314&lt;&gt;""""))))-1), IF('To Order'!$A315=COLUMNS($A315:C"&amp;"334), C314&amp;RIGHT(INDIRECT(ADDRESS(ROW(C315)-1, 'From Order'!$A315)), 1), C314))"),"")</f>
        <v/>
      </c>
      <c r="D315" s="2" t="str">
        <f>IFERROR(__xludf.DUMMYFUNCTION("IF('From Order'!$A315=COLUMNS($A315:D334), LEFT(INDEX(FILTER(D$1:D314, D$1:D314&lt;&gt;""""),COUNTA(FILTER(D$1:D314, D$1:D314&lt;&gt;""""))), LEN(INDEX(FILTER(D$1:D314, D$1:D314&lt;&gt;""""),COUNTA(FILTER(D$1:D314, D$1:D314&lt;&gt;""""))))-1), IF('To Order'!$A315=COLUMNS($A315:D"&amp;"334), D314&amp;RIGHT(INDIRECT(ADDRESS(ROW(D315)-1, 'From Order'!$A315)), 1), D314))"),"")</f>
        <v/>
      </c>
      <c r="E315" s="2" t="str">
        <f>IFERROR(__xludf.DUMMYFUNCTION("IF('From Order'!$A315=COLUMNS($A315:E334), LEFT(INDEX(FILTER(E$1:E314, E$1:E314&lt;&gt;""""),COUNTA(FILTER(E$1:E314, E$1:E314&lt;&gt;""""))), LEN(INDEX(FILTER(E$1:E314, E$1:E314&lt;&gt;""""),COUNTA(FILTER(E$1:E314, E$1:E314&lt;&gt;""""))))-1), IF('To Order'!$A315=COLUMNS($A315:E"&amp;"334), E314&amp;RIGHT(INDIRECT(ADDRESS(ROW(E315)-1, 'From Order'!$A315)), 1), E314))"),"HZRVSDPQRBCVTJT")</f>
        <v>HZRVSDPQRBCVTJT</v>
      </c>
      <c r="F315" s="2" t="str">
        <f>IFERROR(__xludf.DUMMYFUNCTION("IF('From Order'!$A315=COLUMNS($A315:F334), LEFT(INDEX(FILTER(F$1:F314, F$1:F314&lt;&gt;""""),COUNTA(FILTER(F$1:F314, F$1:F314&lt;&gt;""""))), LEN(INDEX(FILTER(F$1:F314, F$1:F314&lt;&gt;""""),COUNTA(FILTER(F$1:F314, F$1:F314&lt;&gt;""""))))-1), IF('To Order'!$A315=COLUMNS($A315:F"&amp;"334), F314&amp;RIGHT(INDIRECT(ADDRESS(ROW(F315)-1, 'From Order'!$A315)), 1), F314))"),"HSPVMZDDTZRW")</f>
        <v>HSPVMZDDTZRW</v>
      </c>
      <c r="G315" s="2" t="str">
        <f>IFERROR(__xludf.DUMMYFUNCTION("IF('From Order'!$A315=COLUMNS($A315:G334), LEFT(INDEX(FILTER(G$1:G314, G$1:G314&lt;&gt;""""),COUNTA(FILTER(G$1:G314, G$1:G314&lt;&gt;""""))), LEN(INDEX(FILTER(G$1:G314, G$1:G314&lt;&gt;""""),COUNTA(FILTER(G$1:G314, G$1:G314&lt;&gt;""""))))-1), IF('To Order'!$A315=COLUMNS($A315:G"&amp;"334), G314&amp;RIGHT(INDIRECT(ADDRESS(ROW(G315)-1, 'From Order'!$A315)), 1), G314))"),"")</f>
        <v/>
      </c>
      <c r="H315" s="2" t="str">
        <f>IFERROR(__xludf.DUMMYFUNCTION("IF('From Order'!$A315=COLUMNS($A315:H334), LEFT(INDEX(FILTER(H$1:H314, H$1:H314&lt;&gt;""""),COUNTA(FILTER(H$1:H314, H$1:H314&lt;&gt;""""))), LEN(INDEX(FILTER(H$1:H314, H$1:H314&lt;&gt;""""),COUNTA(FILTER(H$1:H314, H$1:H314&lt;&gt;""""))))-1), IF('To Order'!$A315=COLUMNS($A315:H"&amp;"334), H314&amp;RIGHT(INDIRECT(ADDRESS(ROW(H315)-1, 'From Order'!$A315)), 1), H314))"),"M")</f>
        <v>M</v>
      </c>
      <c r="I315" s="2" t="str">
        <f>IFERROR(__xludf.DUMMYFUNCTION("IF('From Order'!$A315=COLUMNS($A315:I334), LEFT(INDEX(FILTER(I$1:I314, I$1:I314&lt;&gt;""""),COUNTA(FILTER(I$1:I314, I$1:I314&lt;&gt;""""))), LEN(INDEX(FILTER(I$1:I314, I$1:I314&lt;&gt;""""),COUNTA(FILTER(I$1:I314, I$1:I314&lt;&gt;""""))))-1), IF('To Order'!$A315=COLUMNS($A315:I"&amp;"334), I314&amp;RIGHT(INDIRECT(ADDRESS(ROW(I315)-1, 'From Order'!$A315)), 1), I314))"),"GPBJDGSBLR")</f>
        <v>GPBJDGSBLR</v>
      </c>
    </row>
    <row r="316">
      <c r="A316" s="2" t="str">
        <f>IFERROR(__xludf.DUMMYFUNCTION("IF('From Order'!$A316=COLUMNS($A316:A335), LEFT(INDEX(FILTER(A$1:A315, A$1:A315&lt;&gt;""""),COUNTA(FILTER(A$1:A315, A$1:A315&lt;&gt;""""))), LEN(INDEX(FILTER(A$1:A315, A$1:A315&lt;&gt;""""),COUNTA(FILTER(A$1:A315, A$1:A315&lt;&gt;""""))))-1), IF('To Order'!$A316=COLUMNS($A316:A"&amp;"335), A315&amp;RIGHT(INDIRECT(ADDRESS(ROW(A316)-1, 'From Order'!$A316)), 1), A315))"),"CTFTMQCDTRLD")</f>
        <v>CTFTMQCDTRLD</v>
      </c>
      <c r="B316" s="2" t="str">
        <f>IFERROR(__xludf.DUMMYFUNCTION("IF('From Order'!$A316=COLUMNS($A316:B335), LEFT(INDEX(FILTER(B$1:B315, B$1:B315&lt;&gt;""""),COUNTA(FILTER(B$1:B315, B$1:B315&lt;&gt;""""))), LEN(INDEX(FILTER(B$1:B315, B$1:B315&lt;&gt;""""),COUNTA(FILTER(B$1:B315, B$1:B315&lt;&gt;""""))))-1), IF('To Order'!$A316=COLUMNS($A316:B"&amp;"335), B315&amp;RIGHT(INDIRECT(ADDRESS(ROW(B316)-1, 'From Order'!$A316)), 1), B315))"),"SWFBJL")</f>
        <v>SWFBJL</v>
      </c>
      <c r="C316" s="2" t="str">
        <f>IFERROR(__xludf.DUMMYFUNCTION("IF('From Order'!$A316=COLUMNS($A316:C335), LEFT(INDEX(FILTER(C$1:C315, C$1:C315&lt;&gt;""""),COUNTA(FILTER(C$1:C315, C$1:C315&lt;&gt;""""))), LEN(INDEX(FILTER(C$1:C315, C$1:C315&lt;&gt;""""),COUNTA(FILTER(C$1:C315, C$1:C315&lt;&gt;""""))))-1), IF('To Order'!$A316=COLUMNS($A316:C"&amp;"335), C315&amp;RIGHT(INDIRECT(ADDRESS(ROW(C316)-1, 'From Order'!$A316)), 1), C315))"),"")</f>
        <v/>
      </c>
      <c r="D316" s="2" t="str">
        <f>IFERROR(__xludf.DUMMYFUNCTION("IF('From Order'!$A316=COLUMNS($A316:D335), LEFT(INDEX(FILTER(D$1:D315, D$1:D315&lt;&gt;""""),COUNTA(FILTER(D$1:D315, D$1:D315&lt;&gt;""""))), LEN(INDEX(FILTER(D$1:D315, D$1:D315&lt;&gt;""""),COUNTA(FILTER(D$1:D315, D$1:D315&lt;&gt;""""))))-1), IF('To Order'!$A316=COLUMNS($A316:D"&amp;"335), D315&amp;RIGHT(INDIRECT(ADDRESS(ROW(D316)-1, 'From Order'!$A316)), 1), D315))"),"")</f>
        <v/>
      </c>
      <c r="E316" s="2" t="str">
        <f>IFERROR(__xludf.DUMMYFUNCTION("IF('From Order'!$A316=COLUMNS($A316:E335), LEFT(INDEX(FILTER(E$1:E315, E$1:E315&lt;&gt;""""),COUNTA(FILTER(E$1:E315, E$1:E315&lt;&gt;""""))), LEN(INDEX(FILTER(E$1:E315, E$1:E315&lt;&gt;""""),COUNTA(FILTER(E$1:E315, E$1:E315&lt;&gt;""""))))-1), IF('To Order'!$A316=COLUMNS($A316:E"&amp;"335), E315&amp;RIGHT(INDIRECT(ADDRESS(ROW(E316)-1, 'From Order'!$A316)), 1), E315))"),"HZRVSDPQRBCVTJTW")</f>
        <v>HZRVSDPQRBCVTJTW</v>
      </c>
      <c r="F316" s="2" t="str">
        <f>IFERROR(__xludf.DUMMYFUNCTION("IF('From Order'!$A316=COLUMNS($A316:F335), LEFT(INDEX(FILTER(F$1:F315, F$1:F315&lt;&gt;""""),COUNTA(FILTER(F$1:F315, F$1:F315&lt;&gt;""""))), LEN(INDEX(FILTER(F$1:F315, F$1:F315&lt;&gt;""""),COUNTA(FILTER(F$1:F315, F$1:F315&lt;&gt;""""))))-1), IF('To Order'!$A316=COLUMNS($A316:F"&amp;"335), F315&amp;RIGHT(INDIRECT(ADDRESS(ROW(F316)-1, 'From Order'!$A316)), 1), F315))"),"HSPVMZDDTZR")</f>
        <v>HSPVMZDDTZR</v>
      </c>
      <c r="G316" s="2" t="str">
        <f>IFERROR(__xludf.DUMMYFUNCTION("IF('From Order'!$A316=COLUMNS($A316:G335), LEFT(INDEX(FILTER(G$1:G315, G$1:G315&lt;&gt;""""),COUNTA(FILTER(G$1:G315, G$1:G315&lt;&gt;""""))), LEN(INDEX(FILTER(G$1:G315, G$1:G315&lt;&gt;""""),COUNTA(FILTER(G$1:G315, G$1:G315&lt;&gt;""""))))-1), IF('To Order'!$A316=COLUMNS($A316:G"&amp;"335), G315&amp;RIGHT(INDIRECT(ADDRESS(ROW(G316)-1, 'From Order'!$A316)), 1), G315))"),"")</f>
        <v/>
      </c>
      <c r="H316" s="2" t="str">
        <f>IFERROR(__xludf.DUMMYFUNCTION("IF('From Order'!$A316=COLUMNS($A316:H335), LEFT(INDEX(FILTER(H$1:H315, H$1:H315&lt;&gt;""""),COUNTA(FILTER(H$1:H315, H$1:H315&lt;&gt;""""))), LEN(INDEX(FILTER(H$1:H315, H$1:H315&lt;&gt;""""),COUNTA(FILTER(H$1:H315, H$1:H315&lt;&gt;""""))))-1), IF('To Order'!$A316=COLUMNS($A316:H"&amp;"335), H315&amp;RIGHT(INDIRECT(ADDRESS(ROW(H316)-1, 'From Order'!$A316)), 1), H315))"),"M")</f>
        <v>M</v>
      </c>
      <c r="I316" s="2" t="str">
        <f>IFERROR(__xludf.DUMMYFUNCTION("IF('From Order'!$A316=COLUMNS($A316:I335), LEFT(INDEX(FILTER(I$1:I315, I$1:I315&lt;&gt;""""),COUNTA(FILTER(I$1:I315, I$1:I315&lt;&gt;""""))), LEN(INDEX(FILTER(I$1:I315, I$1:I315&lt;&gt;""""),COUNTA(FILTER(I$1:I315, I$1:I315&lt;&gt;""""))))-1), IF('To Order'!$A316=COLUMNS($A316:I"&amp;"335), I315&amp;RIGHT(INDIRECT(ADDRESS(ROW(I316)-1, 'From Order'!$A316)), 1), I315))"),"GPBJDGSBLR")</f>
        <v>GPBJDGSBLR</v>
      </c>
    </row>
    <row r="317">
      <c r="A317" s="2" t="str">
        <f>IFERROR(__xludf.DUMMYFUNCTION("IF('From Order'!$A317=COLUMNS($A317:A336), LEFT(INDEX(FILTER(A$1:A316, A$1:A316&lt;&gt;""""),COUNTA(FILTER(A$1:A316, A$1:A316&lt;&gt;""""))), LEN(INDEX(FILTER(A$1:A316, A$1:A316&lt;&gt;""""),COUNTA(FILTER(A$1:A316, A$1:A316&lt;&gt;""""))))-1), IF('To Order'!$A317=COLUMNS($A317:A"&amp;"336), A316&amp;RIGHT(INDIRECT(ADDRESS(ROW(A317)-1, 'From Order'!$A317)), 1), A316))"),"CTFTMQCDTRLD")</f>
        <v>CTFTMQCDTRLD</v>
      </c>
      <c r="B317" s="2" t="str">
        <f>IFERROR(__xludf.DUMMYFUNCTION("IF('From Order'!$A317=COLUMNS($A317:B336), LEFT(INDEX(FILTER(B$1:B316, B$1:B316&lt;&gt;""""),COUNTA(FILTER(B$1:B316, B$1:B316&lt;&gt;""""))), LEN(INDEX(FILTER(B$1:B316, B$1:B316&lt;&gt;""""),COUNTA(FILTER(B$1:B316, B$1:B316&lt;&gt;""""))))-1), IF('To Order'!$A317=COLUMNS($A317:B"&amp;"336), B316&amp;RIGHT(INDIRECT(ADDRESS(ROW(B317)-1, 'From Order'!$A317)), 1), B316))"),"SWFBJL")</f>
        <v>SWFBJL</v>
      </c>
      <c r="C317" s="2" t="str">
        <f>IFERROR(__xludf.DUMMYFUNCTION("IF('From Order'!$A317=COLUMNS($A317:C336), LEFT(INDEX(FILTER(C$1:C316, C$1:C316&lt;&gt;""""),COUNTA(FILTER(C$1:C316, C$1:C316&lt;&gt;""""))), LEN(INDEX(FILTER(C$1:C316, C$1:C316&lt;&gt;""""),COUNTA(FILTER(C$1:C316, C$1:C316&lt;&gt;""""))))-1), IF('To Order'!$A317=COLUMNS($A317:C"&amp;"336), C316&amp;RIGHT(INDIRECT(ADDRESS(ROW(C317)-1, 'From Order'!$A317)), 1), C316))"),"")</f>
        <v/>
      </c>
      <c r="D317" s="2" t="str">
        <f>IFERROR(__xludf.DUMMYFUNCTION("IF('From Order'!$A317=COLUMNS($A317:D336), LEFT(INDEX(FILTER(D$1:D316, D$1:D316&lt;&gt;""""),COUNTA(FILTER(D$1:D316, D$1:D316&lt;&gt;""""))), LEN(INDEX(FILTER(D$1:D316, D$1:D316&lt;&gt;""""),COUNTA(FILTER(D$1:D316, D$1:D316&lt;&gt;""""))))-1), IF('To Order'!$A317=COLUMNS($A317:D"&amp;"336), D316&amp;RIGHT(INDIRECT(ADDRESS(ROW(D317)-1, 'From Order'!$A317)), 1), D316))"),"")</f>
        <v/>
      </c>
      <c r="E317" s="2" t="str">
        <f>IFERROR(__xludf.DUMMYFUNCTION("IF('From Order'!$A317=COLUMNS($A317:E336), LEFT(INDEX(FILTER(E$1:E316, E$1:E316&lt;&gt;""""),COUNTA(FILTER(E$1:E316, E$1:E316&lt;&gt;""""))), LEN(INDEX(FILTER(E$1:E316, E$1:E316&lt;&gt;""""),COUNTA(FILTER(E$1:E316, E$1:E316&lt;&gt;""""))))-1), IF('To Order'!$A317=COLUMNS($A317:E"&amp;"336), E316&amp;RIGHT(INDIRECT(ADDRESS(ROW(E317)-1, 'From Order'!$A317)), 1), E316))"),"HZRVSDPQRBCVTJTWR")</f>
        <v>HZRVSDPQRBCVTJTWR</v>
      </c>
      <c r="F317" s="2" t="str">
        <f>IFERROR(__xludf.DUMMYFUNCTION("IF('From Order'!$A317=COLUMNS($A317:F336), LEFT(INDEX(FILTER(F$1:F316, F$1:F316&lt;&gt;""""),COUNTA(FILTER(F$1:F316, F$1:F316&lt;&gt;""""))), LEN(INDEX(FILTER(F$1:F316, F$1:F316&lt;&gt;""""),COUNTA(FILTER(F$1:F316, F$1:F316&lt;&gt;""""))))-1), IF('To Order'!$A317=COLUMNS($A317:F"&amp;"336), F316&amp;RIGHT(INDIRECT(ADDRESS(ROW(F317)-1, 'From Order'!$A317)), 1), F316))"),"HSPVMZDDTZ")</f>
        <v>HSPVMZDDTZ</v>
      </c>
      <c r="G317" s="2" t="str">
        <f>IFERROR(__xludf.DUMMYFUNCTION("IF('From Order'!$A317=COLUMNS($A317:G336), LEFT(INDEX(FILTER(G$1:G316, G$1:G316&lt;&gt;""""),COUNTA(FILTER(G$1:G316, G$1:G316&lt;&gt;""""))), LEN(INDEX(FILTER(G$1:G316, G$1:G316&lt;&gt;""""),COUNTA(FILTER(G$1:G316, G$1:G316&lt;&gt;""""))))-1), IF('To Order'!$A317=COLUMNS($A317:G"&amp;"336), G316&amp;RIGHT(INDIRECT(ADDRESS(ROW(G317)-1, 'From Order'!$A317)), 1), G316))"),"")</f>
        <v/>
      </c>
      <c r="H317" s="2" t="str">
        <f>IFERROR(__xludf.DUMMYFUNCTION("IF('From Order'!$A317=COLUMNS($A317:H336), LEFT(INDEX(FILTER(H$1:H316, H$1:H316&lt;&gt;""""),COUNTA(FILTER(H$1:H316, H$1:H316&lt;&gt;""""))), LEN(INDEX(FILTER(H$1:H316, H$1:H316&lt;&gt;""""),COUNTA(FILTER(H$1:H316, H$1:H316&lt;&gt;""""))))-1), IF('To Order'!$A317=COLUMNS($A317:H"&amp;"336), H316&amp;RIGHT(INDIRECT(ADDRESS(ROW(H317)-1, 'From Order'!$A317)), 1), H316))"),"M")</f>
        <v>M</v>
      </c>
      <c r="I317" s="2" t="str">
        <f>IFERROR(__xludf.DUMMYFUNCTION("IF('From Order'!$A317=COLUMNS($A317:I336), LEFT(INDEX(FILTER(I$1:I316, I$1:I316&lt;&gt;""""),COUNTA(FILTER(I$1:I316, I$1:I316&lt;&gt;""""))), LEN(INDEX(FILTER(I$1:I316, I$1:I316&lt;&gt;""""),COUNTA(FILTER(I$1:I316, I$1:I316&lt;&gt;""""))))-1), IF('To Order'!$A317=COLUMNS($A317:I"&amp;"336), I316&amp;RIGHT(INDIRECT(ADDRESS(ROW(I317)-1, 'From Order'!$A317)), 1), I316))"),"GPBJDGSBLR")</f>
        <v>GPBJDGSBLR</v>
      </c>
    </row>
    <row r="318">
      <c r="A318" s="2" t="str">
        <f>IFERROR(__xludf.DUMMYFUNCTION("IF('From Order'!$A318=COLUMNS($A318:A337), LEFT(INDEX(FILTER(A$1:A317, A$1:A317&lt;&gt;""""),COUNTA(FILTER(A$1:A317, A$1:A317&lt;&gt;""""))), LEN(INDEX(FILTER(A$1:A317, A$1:A317&lt;&gt;""""),COUNTA(FILTER(A$1:A317, A$1:A317&lt;&gt;""""))))-1), IF('To Order'!$A318=COLUMNS($A318:A"&amp;"337), A317&amp;RIGHT(INDIRECT(ADDRESS(ROW(A318)-1, 'From Order'!$A318)), 1), A317))"),"CTFTMQCDTRLD")</f>
        <v>CTFTMQCDTRLD</v>
      </c>
      <c r="B318" s="2" t="str">
        <f>IFERROR(__xludf.DUMMYFUNCTION("IF('From Order'!$A318=COLUMNS($A318:B337), LEFT(INDEX(FILTER(B$1:B317, B$1:B317&lt;&gt;""""),COUNTA(FILTER(B$1:B317, B$1:B317&lt;&gt;""""))), LEN(INDEX(FILTER(B$1:B317, B$1:B317&lt;&gt;""""),COUNTA(FILTER(B$1:B317, B$1:B317&lt;&gt;""""))))-1), IF('To Order'!$A318=COLUMNS($A318:B"&amp;"337), B317&amp;RIGHT(INDIRECT(ADDRESS(ROW(B318)-1, 'From Order'!$A318)), 1), B317))"),"SWFBJL")</f>
        <v>SWFBJL</v>
      </c>
      <c r="C318" s="2" t="str">
        <f>IFERROR(__xludf.DUMMYFUNCTION("IF('From Order'!$A318=COLUMNS($A318:C337), LEFT(INDEX(FILTER(C$1:C317, C$1:C317&lt;&gt;""""),COUNTA(FILTER(C$1:C317, C$1:C317&lt;&gt;""""))), LEN(INDEX(FILTER(C$1:C317, C$1:C317&lt;&gt;""""),COUNTA(FILTER(C$1:C317, C$1:C317&lt;&gt;""""))))-1), IF('To Order'!$A318=COLUMNS($A318:C"&amp;"337), C317&amp;RIGHT(INDIRECT(ADDRESS(ROW(C318)-1, 'From Order'!$A318)), 1), C317))"),"")</f>
        <v/>
      </c>
      <c r="D318" s="2" t="str">
        <f>IFERROR(__xludf.DUMMYFUNCTION("IF('From Order'!$A318=COLUMNS($A318:D337), LEFT(INDEX(FILTER(D$1:D317, D$1:D317&lt;&gt;""""),COUNTA(FILTER(D$1:D317, D$1:D317&lt;&gt;""""))), LEN(INDEX(FILTER(D$1:D317, D$1:D317&lt;&gt;""""),COUNTA(FILTER(D$1:D317, D$1:D317&lt;&gt;""""))))-1), IF('To Order'!$A318=COLUMNS($A318:D"&amp;"337), D317&amp;RIGHT(INDIRECT(ADDRESS(ROW(D318)-1, 'From Order'!$A318)), 1), D317))"),"")</f>
        <v/>
      </c>
      <c r="E318" s="2" t="str">
        <f>IFERROR(__xludf.DUMMYFUNCTION("IF('From Order'!$A318=COLUMNS($A318:E337), LEFT(INDEX(FILTER(E$1:E317, E$1:E317&lt;&gt;""""),COUNTA(FILTER(E$1:E317, E$1:E317&lt;&gt;""""))), LEN(INDEX(FILTER(E$1:E317, E$1:E317&lt;&gt;""""),COUNTA(FILTER(E$1:E317, E$1:E317&lt;&gt;""""))))-1), IF('To Order'!$A318=COLUMNS($A318:E"&amp;"337), E317&amp;RIGHT(INDIRECT(ADDRESS(ROW(E318)-1, 'From Order'!$A318)), 1), E317))"),"HZRVSDPQRBCVTJTWRZ")</f>
        <v>HZRVSDPQRBCVTJTWRZ</v>
      </c>
      <c r="F318" s="2" t="str">
        <f>IFERROR(__xludf.DUMMYFUNCTION("IF('From Order'!$A318=COLUMNS($A318:F337), LEFT(INDEX(FILTER(F$1:F317, F$1:F317&lt;&gt;""""),COUNTA(FILTER(F$1:F317, F$1:F317&lt;&gt;""""))), LEN(INDEX(FILTER(F$1:F317, F$1:F317&lt;&gt;""""),COUNTA(FILTER(F$1:F317, F$1:F317&lt;&gt;""""))))-1), IF('To Order'!$A318=COLUMNS($A318:F"&amp;"337), F317&amp;RIGHT(INDIRECT(ADDRESS(ROW(F318)-1, 'From Order'!$A318)), 1), F317))"),"HSPVMZDDT")</f>
        <v>HSPVMZDDT</v>
      </c>
      <c r="G318" s="2" t="str">
        <f>IFERROR(__xludf.DUMMYFUNCTION("IF('From Order'!$A318=COLUMNS($A318:G337), LEFT(INDEX(FILTER(G$1:G317, G$1:G317&lt;&gt;""""),COUNTA(FILTER(G$1:G317, G$1:G317&lt;&gt;""""))), LEN(INDEX(FILTER(G$1:G317, G$1:G317&lt;&gt;""""),COUNTA(FILTER(G$1:G317, G$1:G317&lt;&gt;""""))))-1), IF('To Order'!$A318=COLUMNS($A318:G"&amp;"337), G317&amp;RIGHT(INDIRECT(ADDRESS(ROW(G318)-1, 'From Order'!$A318)), 1), G317))"),"")</f>
        <v/>
      </c>
      <c r="H318" s="2" t="str">
        <f>IFERROR(__xludf.DUMMYFUNCTION("IF('From Order'!$A318=COLUMNS($A318:H337), LEFT(INDEX(FILTER(H$1:H317, H$1:H317&lt;&gt;""""),COUNTA(FILTER(H$1:H317, H$1:H317&lt;&gt;""""))), LEN(INDEX(FILTER(H$1:H317, H$1:H317&lt;&gt;""""),COUNTA(FILTER(H$1:H317, H$1:H317&lt;&gt;""""))))-1), IF('To Order'!$A318=COLUMNS($A318:H"&amp;"337), H317&amp;RIGHT(INDIRECT(ADDRESS(ROW(H318)-1, 'From Order'!$A318)), 1), H317))"),"M")</f>
        <v>M</v>
      </c>
      <c r="I318" s="2" t="str">
        <f>IFERROR(__xludf.DUMMYFUNCTION("IF('From Order'!$A318=COLUMNS($A318:I337), LEFT(INDEX(FILTER(I$1:I317, I$1:I317&lt;&gt;""""),COUNTA(FILTER(I$1:I317, I$1:I317&lt;&gt;""""))), LEN(INDEX(FILTER(I$1:I317, I$1:I317&lt;&gt;""""),COUNTA(FILTER(I$1:I317, I$1:I317&lt;&gt;""""))))-1), IF('To Order'!$A318=COLUMNS($A318:I"&amp;"337), I317&amp;RIGHT(INDIRECT(ADDRESS(ROW(I318)-1, 'From Order'!$A318)), 1), I317))"),"GPBJDGSBLR")</f>
        <v>GPBJDGSBLR</v>
      </c>
    </row>
    <row r="319">
      <c r="A319" s="2" t="str">
        <f>IFERROR(__xludf.DUMMYFUNCTION("IF('From Order'!$A319=COLUMNS($A319:A338), LEFT(INDEX(FILTER(A$1:A318, A$1:A318&lt;&gt;""""),COUNTA(FILTER(A$1:A318, A$1:A318&lt;&gt;""""))), LEN(INDEX(FILTER(A$1:A318, A$1:A318&lt;&gt;""""),COUNTA(FILTER(A$1:A318, A$1:A318&lt;&gt;""""))))-1), IF('To Order'!$A319=COLUMNS($A319:A"&amp;"338), A318&amp;RIGHT(INDIRECT(ADDRESS(ROW(A319)-1, 'From Order'!$A319)), 1), A318))"),"CTFTMQCDTRLD")</f>
        <v>CTFTMQCDTRLD</v>
      </c>
      <c r="B319" s="2" t="str">
        <f>IFERROR(__xludf.DUMMYFUNCTION("IF('From Order'!$A319=COLUMNS($A319:B338), LEFT(INDEX(FILTER(B$1:B318, B$1:B318&lt;&gt;""""),COUNTA(FILTER(B$1:B318, B$1:B318&lt;&gt;""""))), LEN(INDEX(FILTER(B$1:B318, B$1:B318&lt;&gt;""""),COUNTA(FILTER(B$1:B318, B$1:B318&lt;&gt;""""))))-1), IF('To Order'!$A319=COLUMNS($A319:B"&amp;"338), B318&amp;RIGHT(INDIRECT(ADDRESS(ROW(B319)-1, 'From Order'!$A319)), 1), B318))"),"SWFBJLR")</f>
        <v>SWFBJLR</v>
      </c>
      <c r="C319" s="2" t="str">
        <f>IFERROR(__xludf.DUMMYFUNCTION("IF('From Order'!$A319=COLUMNS($A319:C338), LEFT(INDEX(FILTER(C$1:C318, C$1:C318&lt;&gt;""""),COUNTA(FILTER(C$1:C318, C$1:C318&lt;&gt;""""))), LEN(INDEX(FILTER(C$1:C318, C$1:C318&lt;&gt;""""),COUNTA(FILTER(C$1:C318, C$1:C318&lt;&gt;""""))))-1), IF('To Order'!$A319=COLUMNS($A319:C"&amp;"338), C318&amp;RIGHT(INDIRECT(ADDRESS(ROW(C319)-1, 'From Order'!$A319)), 1), C318))"),"")</f>
        <v/>
      </c>
      <c r="D319" s="2" t="str">
        <f>IFERROR(__xludf.DUMMYFUNCTION("IF('From Order'!$A319=COLUMNS($A319:D338), LEFT(INDEX(FILTER(D$1:D318, D$1:D318&lt;&gt;""""),COUNTA(FILTER(D$1:D318, D$1:D318&lt;&gt;""""))), LEN(INDEX(FILTER(D$1:D318, D$1:D318&lt;&gt;""""),COUNTA(FILTER(D$1:D318, D$1:D318&lt;&gt;""""))))-1), IF('To Order'!$A319=COLUMNS($A319:D"&amp;"338), D318&amp;RIGHT(INDIRECT(ADDRESS(ROW(D319)-1, 'From Order'!$A319)), 1), D318))"),"")</f>
        <v/>
      </c>
      <c r="E319" s="2" t="str">
        <f>IFERROR(__xludf.DUMMYFUNCTION("IF('From Order'!$A319=COLUMNS($A319:E338), LEFT(INDEX(FILTER(E$1:E318, E$1:E318&lt;&gt;""""),COUNTA(FILTER(E$1:E318, E$1:E318&lt;&gt;""""))), LEN(INDEX(FILTER(E$1:E318, E$1:E318&lt;&gt;""""),COUNTA(FILTER(E$1:E318, E$1:E318&lt;&gt;""""))))-1), IF('To Order'!$A319=COLUMNS($A319:E"&amp;"338), E318&amp;RIGHT(INDIRECT(ADDRESS(ROW(E319)-1, 'From Order'!$A319)), 1), E318))"),"HZRVSDPQRBCVTJTWRZ")</f>
        <v>HZRVSDPQRBCVTJTWRZ</v>
      </c>
      <c r="F319" s="2" t="str">
        <f>IFERROR(__xludf.DUMMYFUNCTION("IF('From Order'!$A319=COLUMNS($A319:F338), LEFT(INDEX(FILTER(F$1:F318, F$1:F318&lt;&gt;""""),COUNTA(FILTER(F$1:F318, F$1:F318&lt;&gt;""""))), LEN(INDEX(FILTER(F$1:F318, F$1:F318&lt;&gt;""""),COUNTA(FILTER(F$1:F318, F$1:F318&lt;&gt;""""))))-1), IF('To Order'!$A319=COLUMNS($A319:F"&amp;"338), F318&amp;RIGHT(INDIRECT(ADDRESS(ROW(F319)-1, 'From Order'!$A319)), 1), F318))"),"HSPVMZDDT")</f>
        <v>HSPVMZDDT</v>
      </c>
      <c r="G319" s="2" t="str">
        <f>IFERROR(__xludf.DUMMYFUNCTION("IF('From Order'!$A319=COLUMNS($A319:G338), LEFT(INDEX(FILTER(G$1:G318, G$1:G318&lt;&gt;""""),COUNTA(FILTER(G$1:G318, G$1:G318&lt;&gt;""""))), LEN(INDEX(FILTER(G$1:G318, G$1:G318&lt;&gt;""""),COUNTA(FILTER(G$1:G318, G$1:G318&lt;&gt;""""))))-1), IF('To Order'!$A319=COLUMNS($A319:G"&amp;"338), G318&amp;RIGHT(INDIRECT(ADDRESS(ROW(G319)-1, 'From Order'!$A319)), 1), G318))"),"")</f>
        <v/>
      </c>
      <c r="H319" s="2" t="str">
        <f>IFERROR(__xludf.DUMMYFUNCTION("IF('From Order'!$A319=COLUMNS($A319:H338), LEFT(INDEX(FILTER(H$1:H318, H$1:H318&lt;&gt;""""),COUNTA(FILTER(H$1:H318, H$1:H318&lt;&gt;""""))), LEN(INDEX(FILTER(H$1:H318, H$1:H318&lt;&gt;""""),COUNTA(FILTER(H$1:H318, H$1:H318&lt;&gt;""""))))-1), IF('To Order'!$A319=COLUMNS($A319:H"&amp;"338), H318&amp;RIGHT(INDIRECT(ADDRESS(ROW(H319)-1, 'From Order'!$A319)), 1), H318))"),"M")</f>
        <v>M</v>
      </c>
      <c r="I319" s="2" t="str">
        <f>IFERROR(__xludf.DUMMYFUNCTION("IF('From Order'!$A319=COLUMNS($A319:I338), LEFT(INDEX(FILTER(I$1:I318, I$1:I318&lt;&gt;""""),COUNTA(FILTER(I$1:I318, I$1:I318&lt;&gt;""""))), LEN(INDEX(FILTER(I$1:I318, I$1:I318&lt;&gt;""""),COUNTA(FILTER(I$1:I318, I$1:I318&lt;&gt;""""))))-1), IF('To Order'!$A319=COLUMNS($A319:I"&amp;"338), I318&amp;RIGHT(INDIRECT(ADDRESS(ROW(I319)-1, 'From Order'!$A319)), 1), I318))"),"GPBJDGSBL")</f>
        <v>GPBJDGSBL</v>
      </c>
    </row>
    <row r="320">
      <c r="A320" s="2" t="str">
        <f>IFERROR(__xludf.DUMMYFUNCTION("IF('From Order'!$A320=COLUMNS($A320:A339), LEFT(INDEX(FILTER(A$1:A319, A$1:A319&lt;&gt;""""),COUNTA(FILTER(A$1:A319, A$1:A319&lt;&gt;""""))), LEN(INDEX(FILTER(A$1:A319, A$1:A319&lt;&gt;""""),COUNTA(FILTER(A$1:A319, A$1:A319&lt;&gt;""""))))-1), IF('To Order'!$A320=COLUMNS($A320:A"&amp;"339), A319&amp;RIGHT(INDIRECT(ADDRESS(ROW(A320)-1, 'From Order'!$A320)), 1), A319))"),"CTFTMQCDTRLD")</f>
        <v>CTFTMQCDTRLD</v>
      </c>
      <c r="B320" s="2" t="str">
        <f>IFERROR(__xludf.DUMMYFUNCTION("IF('From Order'!$A320=COLUMNS($A320:B339), LEFT(INDEX(FILTER(B$1:B319, B$1:B319&lt;&gt;""""),COUNTA(FILTER(B$1:B319, B$1:B319&lt;&gt;""""))), LEN(INDEX(FILTER(B$1:B319, B$1:B319&lt;&gt;""""),COUNTA(FILTER(B$1:B319, B$1:B319&lt;&gt;""""))))-1), IF('To Order'!$A320=COLUMNS($A320:B"&amp;"339), B319&amp;RIGHT(INDIRECT(ADDRESS(ROW(B320)-1, 'From Order'!$A320)), 1), B319))"),"SWFBJLRL")</f>
        <v>SWFBJLRL</v>
      </c>
      <c r="C320" s="2" t="str">
        <f>IFERROR(__xludf.DUMMYFUNCTION("IF('From Order'!$A320=COLUMNS($A320:C339), LEFT(INDEX(FILTER(C$1:C319, C$1:C319&lt;&gt;""""),COUNTA(FILTER(C$1:C319, C$1:C319&lt;&gt;""""))), LEN(INDEX(FILTER(C$1:C319, C$1:C319&lt;&gt;""""),COUNTA(FILTER(C$1:C319, C$1:C319&lt;&gt;""""))))-1), IF('To Order'!$A320=COLUMNS($A320:C"&amp;"339), C319&amp;RIGHT(INDIRECT(ADDRESS(ROW(C320)-1, 'From Order'!$A320)), 1), C319))"),"")</f>
        <v/>
      </c>
      <c r="D320" s="2" t="str">
        <f>IFERROR(__xludf.DUMMYFUNCTION("IF('From Order'!$A320=COLUMNS($A320:D339), LEFT(INDEX(FILTER(D$1:D319, D$1:D319&lt;&gt;""""),COUNTA(FILTER(D$1:D319, D$1:D319&lt;&gt;""""))), LEN(INDEX(FILTER(D$1:D319, D$1:D319&lt;&gt;""""),COUNTA(FILTER(D$1:D319, D$1:D319&lt;&gt;""""))))-1), IF('To Order'!$A320=COLUMNS($A320:D"&amp;"339), D319&amp;RIGHT(INDIRECT(ADDRESS(ROW(D320)-1, 'From Order'!$A320)), 1), D319))"),"")</f>
        <v/>
      </c>
      <c r="E320" s="2" t="str">
        <f>IFERROR(__xludf.DUMMYFUNCTION("IF('From Order'!$A320=COLUMNS($A320:E339), LEFT(INDEX(FILTER(E$1:E319, E$1:E319&lt;&gt;""""),COUNTA(FILTER(E$1:E319, E$1:E319&lt;&gt;""""))), LEN(INDEX(FILTER(E$1:E319, E$1:E319&lt;&gt;""""),COUNTA(FILTER(E$1:E319, E$1:E319&lt;&gt;""""))))-1), IF('To Order'!$A320=COLUMNS($A320:E"&amp;"339), E319&amp;RIGHT(INDIRECT(ADDRESS(ROW(E320)-1, 'From Order'!$A320)), 1), E319))"),"HZRVSDPQRBCVTJTWRZ")</f>
        <v>HZRVSDPQRBCVTJTWRZ</v>
      </c>
      <c r="F320" s="2" t="str">
        <f>IFERROR(__xludf.DUMMYFUNCTION("IF('From Order'!$A320=COLUMNS($A320:F339), LEFT(INDEX(FILTER(F$1:F319, F$1:F319&lt;&gt;""""),COUNTA(FILTER(F$1:F319, F$1:F319&lt;&gt;""""))), LEN(INDEX(FILTER(F$1:F319, F$1:F319&lt;&gt;""""),COUNTA(FILTER(F$1:F319, F$1:F319&lt;&gt;""""))))-1), IF('To Order'!$A320=COLUMNS($A320:F"&amp;"339), F319&amp;RIGHT(INDIRECT(ADDRESS(ROW(F320)-1, 'From Order'!$A320)), 1), F319))"),"HSPVMZDDT")</f>
        <v>HSPVMZDDT</v>
      </c>
      <c r="G320" s="2" t="str">
        <f>IFERROR(__xludf.DUMMYFUNCTION("IF('From Order'!$A320=COLUMNS($A320:G339), LEFT(INDEX(FILTER(G$1:G319, G$1:G319&lt;&gt;""""),COUNTA(FILTER(G$1:G319, G$1:G319&lt;&gt;""""))), LEN(INDEX(FILTER(G$1:G319, G$1:G319&lt;&gt;""""),COUNTA(FILTER(G$1:G319, G$1:G319&lt;&gt;""""))))-1), IF('To Order'!$A320=COLUMNS($A320:G"&amp;"339), G319&amp;RIGHT(INDIRECT(ADDRESS(ROW(G320)-1, 'From Order'!$A320)), 1), G319))"),"")</f>
        <v/>
      </c>
      <c r="H320" s="2" t="str">
        <f>IFERROR(__xludf.DUMMYFUNCTION("IF('From Order'!$A320=COLUMNS($A320:H339), LEFT(INDEX(FILTER(H$1:H319, H$1:H319&lt;&gt;""""),COUNTA(FILTER(H$1:H319, H$1:H319&lt;&gt;""""))), LEN(INDEX(FILTER(H$1:H319, H$1:H319&lt;&gt;""""),COUNTA(FILTER(H$1:H319, H$1:H319&lt;&gt;""""))))-1), IF('To Order'!$A320=COLUMNS($A320:H"&amp;"339), H319&amp;RIGHT(INDIRECT(ADDRESS(ROW(H320)-1, 'From Order'!$A320)), 1), H319))"),"M")</f>
        <v>M</v>
      </c>
      <c r="I320" s="2" t="str">
        <f>IFERROR(__xludf.DUMMYFUNCTION("IF('From Order'!$A320=COLUMNS($A320:I339), LEFT(INDEX(FILTER(I$1:I319, I$1:I319&lt;&gt;""""),COUNTA(FILTER(I$1:I319, I$1:I319&lt;&gt;""""))), LEN(INDEX(FILTER(I$1:I319, I$1:I319&lt;&gt;""""),COUNTA(FILTER(I$1:I319, I$1:I319&lt;&gt;""""))))-1), IF('To Order'!$A320=COLUMNS($A320:I"&amp;"339), I319&amp;RIGHT(INDIRECT(ADDRESS(ROW(I320)-1, 'From Order'!$A320)), 1), I319))"),"GPBJDGSB")</f>
        <v>GPBJDGSB</v>
      </c>
    </row>
    <row r="321">
      <c r="A321" s="2" t="str">
        <f>IFERROR(__xludf.DUMMYFUNCTION("IF('From Order'!$A321=COLUMNS($A321:A340), LEFT(INDEX(FILTER(A$1:A320, A$1:A320&lt;&gt;""""),COUNTA(FILTER(A$1:A320, A$1:A320&lt;&gt;""""))), LEN(INDEX(FILTER(A$1:A320, A$1:A320&lt;&gt;""""),COUNTA(FILTER(A$1:A320, A$1:A320&lt;&gt;""""))))-1), IF('To Order'!$A321=COLUMNS($A321:A"&amp;"340), A320&amp;RIGHT(INDIRECT(ADDRESS(ROW(A321)-1, 'From Order'!$A321)), 1), A320))"),"CTFTMQCDTRLD")</f>
        <v>CTFTMQCDTRLD</v>
      </c>
      <c r="B321" s="2" t="str">
        <f>IFERROR(__xludf.DUMMYFUNCTION("IF('From Order'!$A321=COLUMNS($A321:B340), LEFT(INDEX(FILTER(B$1:B320, B$1:B320&lt;&gt;""""),COUNTA(FILTER(B$1:B320, B$1:B320&lt;&gt;""""))), LEN(INDEX(FILTER(B$1:B320, B$1:B320&lt;&gt;""""),COUNTA(FILTER(B$1:B320, B$1:B320&lt;&gt;""""))))-1), IF('To Order'!$A321=COLUMNS($A321:B"&amp;"340), B320&amp;RIGHT(INDIRECT(ADDRESS(ROW(B321)-1, 'From Order'!$A321)), 1), B320))"),"SWFBJLRLB")</f>
        <v>SWFBJLRLB</v>
      </c>
      <c r="C321" s="2" t="str">
        <f>IFERROR(__xludf.DUMMYFUNCTION("IF('From Order'!$A321=COLUMNS($A321:C340), LEFT(INDEX(FILTER(C$1:C320, C$1:C320&lt;&gt;""""),COUNTA(FILTER(C$1:C320, C$1:C320&lt;&gt;""""))), LEN(INDEX(FILTER(C$1:C320, C$1:C320&lt;&gt;""""),COUNTA(FILTER(C$1:C320, C$1:C320&lt;&gt;""""))))-1), IF('To Order'!$A321=COLUMNS($A321:C"&amp;"340), C320&amp;RIGHT(INDIRECT(ADDRESS(ROW(C321)-1, 'From Order'!$A321)), 1), C320))"),"")</f>
        <v/>
      </c>
      <c r="D321" s="2" t="str">
        <f>IFERROR(__xludf.DUMMYFUNCTION("IF('From Order'!$A321=COLUMNS($A321:D340), LEFT(INDEX(FILTER(D$1:D320, D$1:D320&lt;&gt;""""),COUNTA(FILTER(D$1:D320, D$1:D320&lt;&gt;""""))), LEN(INDEX(FILTER(D$1:D320, D$1:D320&lt;&gt;""""),COUNTA(FILTER(D$1:D320, D$1:D320&lt;&gt;""""))))-1), IF('To Order'!$A321=COLUMNS($A321:D"&amp;"340), D320&amp;RIGHT(INDIRECT(ADDRESS(ROW(D321)-1, 'From Order'!$A321)), 1), D320))"),"")</f>
        <v/>
      </c>
      <c r="E321" s="2" t="str">
        <f>IFERROR(__xludf.DUMMYFUNCTION("IF('From Order'!$A321=COLUMNS($A321:E340), LEFT(INDEX(FILTER(E$1:E320, E$1:E320&lt;&gt;""""),COUNTA(FILTER(E$1:E320, E$1:E320&lt;&gt;""""))), LEN(INDEX(FILTER(E$1:E320, E$1:E320&lt;&gt;""""),COUNTA(FILTER(E$1:E320, E$1:E320&lt;&gt;""""))))-1), IF('To Order'!$A321=COLUMNS($A321:E"&amp;"340), E320&amp;RIGHT(INDIRECT(ADDRESS(ROW(E321)-1, 'From Order'!$A321)), 1), E320))"),"HZRVSDPQRBCVTJTWRZ")</f>
        <v>HZRVSDPQRBCVTJTWRZ</v>
      </c>
      <c r="F321" s="2" t="str">
        <f>IFERROR(__xludf.DUMMYFUNCTION("IF('From Order'!$A321=COLUMNS($A321:F340), LEFT(INDEX(FILTER(F$1:F320, F$1:F320&lt;&gt;""""),COUNTA(FILTER(F$1:F320, F$1:F320&lt;&gt;""""))), LEN(INDEX(FILTER(F$1:F320, F$1:F320&lt;&gt;""""),COUNTA(FILTER(F$1:F320, F$1:F320&lt;&gt;""""))))-1), IF('To Order'!$A321=COLUMNS($A321:F"&amp;"340), F320&amp;RIGHT(INDIRECT(ADDRESS(ROW(F321)-1, 'From Order'!$A321)), 1), F320))"),"HSPVMZDDT")</f>
        <v>HSPVMZDDT</v>
      </c>
      <c r="G321" s="2" t="str">
        <f>IFERROR(__xludf.DUMMYFUNCTION("IF('From Order'!$A321=COLUMNS($A321:G340), LEFT(INDEX(FILTER(G$1:G320, G$1:G320&lt;&gt;""""),COUNTA(FILTER(G$1:G320, G$1:G320&lt;&gt;""""))), LEN(INDEX(FILTER(G$1:G320, G$1:G320&lt;&gt;""""),COUNTA(FILTER(G$1:G320, G$1:G320&lt;&gt;""""))))-1), IF('To Order'!$A321=COLUMNS($A321:G"&amp;"340), G320&amp;RIGHT(INDIRECT(ADDRESS(ROW(G321)-1, 'From Order'!$A321)), 1), G320))"),"")</f>
        <v/>
      </c>
      <c r="H321" s="2" t="str">
        <f>IFERROR(__xludf.DUMMYFUNCTION("IF('From Order'!$A321=COLUMNS($A321:H340), LEFT(INDEX(FILTER(H$1:H320, H$1:H320&lt;&gt;""""),COUNTA(FILTER(H$1:H320, H$1:H320&lt;&gt;""""))), LEN(INDEX(FILTER(H$1:H320, H$1:H320&lt;&gt;""""),COUNTA(FILTER(H$1:H320, H$1:H320&lt;&gt;""""))))-1), IF('To Order'!$A321=COLUMNS($A321:H"&amp;"340), H320&amp;RIGHT(INDIRECT(ADDRESS(ROW(H321)-1, 'From Order'!$A321)), 1), H320))"),"M")</f>
        <v>M</v>
      </c>
      <c r="I321" s="2" t="str">
        <f>IFERROR(__xludf.DUMMYFUNCTION("IF('From Order'!$A321=COLUMNS($A321:I340), LEFT(INDEX(FILTER(I$1:I320, I$1:I320&lt;&gt;""""),COUNTA(FILTER(I$1:I320, I$1:I320&lt;&gt;""""))), LEN(INDEX(FILTER(I$1:I320, I$1:I320&lt;&gt;""""),COUNTA(FILTER(I$1:I320, I$1:I320&lt;&gt;""""))))-1), IF('To Order'!$A321=COLUMNS($A321:I"&amp;"340), I320&amp;RIGHT(INDIRECT(ADDRESS(ROW(I321)-1, 'From Order'!$A321)), 1), I320))"),"GPBJDGS")</f>
        <v>GPBJDGS</v>
      </c>
    </row>
    <row r="322">
      <c r="A322" s="2" t="str">
        <f>IFERROR(__xludf.DUMMYFUNCTION("IF('From Order'!$A322=COLUMNS($A322:A341), LEFT(INDEX(FILTER(A$1:A321, A$1:A321&lt;&gt;""""),COUNTA(FILTER(A$1:A321, A$1:A321&lt;&gt;""""))), LEN(INDEX(FILTER(A$1:A321, A$1:A321&lt;&gt;""""),COUNTA(FILTER(A$1:A321, A$1:A321&lt;&gt;""""))))-1), IF('To Order'!$A322=COLUMNS($A322:A"&amp;"341), A321&amp;RIGHT(INDIRECT(ADDRESS(ROW(A322)-1, 'From Order'!$A322)), 1), A321))"),"CTFTMQCDTRLD")</f>
        <v>CTFTMQCDTRLD</v>
      </c>
      <c r="B322" s="2" t="str">
        <f>IFERROR(__xludf.DUMMYFUNCTION("IF('From Order'!$A322=COLUMNS($A322:B341), LEFT(INDEX(FILTER(B$1:B321, B$1:B321&lt;&gt;""""),COUNTA(FILTER(B$1:B321, B$1:B321&lt;&gt;""""))), LEN(INDEX(FILTER(B$1:B321, B$1:B321&lt;&gt;""""),COUNTA(FILTER(B$1:B321, B$1:B321&lt;&gt;""""))))-1), IF('To Order'!$A322=COLUMNS($A322:B"&amp;"341), B321&amp;RIGHT(INDIRECT(ADDRESS(ROW(B322)-1, 'From Order'!$A322)), 1), B321))"),"SWFBJLRLBS")</f>
        <v>SWFBJLRLBS</v>
      </c>
      <c r="C322" s="2" t="str">
        <f>IFERROR(__xludf.DUMMYFUNCTION("IF('From Order'!$A322=COLUMNS($A322:C341), LEFT(INDEX(FILTER(C$1:C321, C$1:C321&lt;&gt;""""),COUNTA(FILTER(C$1:C321, C$1:C321&lt;&gt;""""))), LEN(INDEX(FILTER(C$1:C321, C$1:C321&lt;&gt;""""),COUNTA(FILTER(C$1:C321, C$1:C321&lt;&gt;""""))))-1), IF('To Order'!$A322=COLUMNS($A322:C"&amp;"341), C321&amp;RIGHT(INDIRECT(ADDRESS(ROW(C322)-1, 'From Order'!$A322)), 1), C321))"),"")</f>
        <v/>
      </c>
      <c r="D322" s="2" t="str">
        <f>IFERROR(__xludf.DUMMYFUNCTION("IF('From Order'!$A322=COLUMNS($A322:D341), LEFT(INDEX(FILTER(D$1:D321, D$1:D321&lt;&gt;""""),COUNTA(FILTER(D$1:D321, D$1:D321&lt;&gt;""""))), LEN(INDEX(FILTER(D$1:D321, D$1:D321&lt;&gt;""""),COUNTA(FILTER(D$1:D321, D$1:D321&lt;&gt;""""))))-1), IF('To Order'!$A322=COLUMNS($A322:D"&amp;"341), D321&amp;RIGHT(INDIRECT(ADDRESS(ROW(D322)-1, 'From Order'!$A322)), 1), D321))"),"")</f>
        <v/>
      </c>
      <c r="E322" s="2" t="str">
        <f>IFERROR(__xludf.DUMMYFUNCTION("IF('From Order'!$A322=COLUMNS($A322:E341), LEFT(INDEX(FILTER(E$1:E321, E$1:E321&lt;&gt;""""),COUNTA(FILTER(E$1:E321, E$1:E321&lt;&gt;""""))), LEN(INDEX(FILTER(E$1:E321, E$1:E321&lt;&gt;""""),COUNTA(FILTER(E$1:E321, E$1:E321&lt;&gt;""""))))-1), IF('To Order'!$A322=COLUMNS($A322:E"&amp;"341), E321&amp;RIGHT(INDIRECT(ADDRESS(ROW(E322)-1, 'From Order'!$A322)), 1), E321))"),"HZRVSDPQRBCVTJTWRZ")</f>
        <v>HZRVSDPQRBCVTJTWRZ</v>
      </c>
      <c r="F322" s="2" t="str">
        <f>IFERROR(__xludf.DUMMYFUNCTION("IF('From Order'!$A322=COLUMNS($A322:F341), LEFT(INDEX(FILTER(F$1:F321, F$1:F321&lt;&gt;""""),COUNTA(FILTER(F$1:F321, F$1:F321&lt;&gt;""""))), LEN(INDEX(FILTER(F$1:F321, F$1:F321&lt;&gt;""""),COUNTA(FILTER(F$1:F321, F$1:F321&lt;&gt;""""))))-1), IF('To Order'!$A322=COLUMNS($A322:F"&amp;"341), F321&amp;RIGHT(INDIRECT(ADDRESS(ROW(F322)-1, 'From Order'!$A322)), 1), F321))"),"HSPVMZDDT")</f>
        <v>HSPVMZDDT</v>
      </c>
      <c r="G322" s="2" t="str">
        <f>IFERROR(__xludf.DUMMYFUNCTION("IF('From Order'!$A322=COLUMNS($A322:G341), LEFT(INDEX(FILTER(G$1:G321, G$1:G321&lt;&gt;""""),COUNTA(FILTER(G$1:G321, G$1:G321&lt;&gt;""""))), LEN(INDEX(FILTER(G$1:G321, G$1:G321&lt;&gt;""""),COUNTA(FILTER(G$1:G321, G$1:G321&lt;&gt;""""))))-1), IF('To Order'!$A322=COLUMNS($A322:G"&amp;"341), G321&amp;RIGHT(INDIRECT(ADDRESS(ROW(G322)-1, 'From Order'!$A322)), 1), G321))"),"")</f>
        <v/>
      </c>
      <c r="H322" s="2" t="str">
        <f>IFERROR(__xludf.DUMMYFUNCTION("IF('From Order'!$A322=COLUMNS($A322:H341), LEFT(INDEX(FILTER(H$1:H321, H$1:H321&lt;&gt;""""),COUNTA(FILTER(H$1:H321, H$1:H321&lt;&gt;""""))), LEN(INDEX(FILTER(H$1:H321, H$1:H321&lt;&gt;""""),COUNTA(FILTER(H$1:H321, H$1:H321&lt;&gt;""""))))-1), IF('To Order'!$A322=COLUMNS($A322:H"&amp;"341), H321&amp;RIGHT(INDIRECT(ADDRESS(ROW(H322)-1, 'From Order'!$A322)), 1), H321))"),"M")</f>
        <v>M</v>
      </c>
      <c r="I322" s="2" t="str">
        <f>IFERROR(__xludf.DUMMYFUNCTION("IF('From Order'!$A322=COLUMNS($A322:I341), LEFT(INDEX(FILTER(I$1:I321, I$1:I321&lt;&gt;""""),COUNTA(FILTER(I$1:I321, I$1:I321&lt;&gt;""""))), LEN(INDEX(FILTER(I$1:I321, I$1:I321&lt;&gt;""""),COUNTA(FILTER(I$1:I321, I$1:I321&lt;&gt;""""))))-1), IF('To Order'!$A322=COLUMNS($A322:I"&amp;"341), I321&amp;RIGHT(INDIRECT(ADDRESS(ROW(I322)-1, 'From Order'!$A322)), 1), I321))"),"GPBJDG")</f>
        <v>GPBJDG</v>
      </c>
    </row>
    <row r="323">
      <c r="A323" s="2" t="str">
        <f>IFERROR(__xludf.DUMMYFUNCTION("IF('From Order'!$A323=COLUMNS($A323:A342), LEFT(INDEX(FILTER(A$1:A322, A$1:A322&lt;&gt;""""),COUNTA(FILTER(A$1:A322, A$1:A322&lt;&gt;""""))), LEN(INDEX(FILTER(A$1:A322, A$1:A322&lt;&gt;""""),COUNTA(FILTER(A$1:A322, A$1:A322&lt;&gt;""""))))-1), IF('To Order'!$A323=COLUMNS($A323:A"&amp;"342), A322&amp;RIGHT(INDIRECT(ADDRESS(ROW(A323)-1, 'From Order'!$A323)), 1), A322))"),"CTFTMQCDTRLD")</f>
        <v>CTFTMQCDTRLD</v>
      </c>
      <c r="B323" s="2" t="str">
        <f>IFERROR(__xludf.DUMMYFUNCTION("IF('From Order'!$A323=COLUMNS($A323:B342), LEFT(INDEX(FILTER(B$1:B322, B$1:B322&lt;&gt;""""),COUNTA(FILTER(B$1:B322, B$1:B322&lt;&gt;""""))), LEN(INDEX(FILTER(B$1:B322, B$1:B322&lt;&gt;""""),COUNTA(FILTER(B$1:B322, B$1:B322&lt;&gt;""""))))-1), IF('To Order'!$A323=COLUMNS($A323:B"&amp;"342), B322&amp;RIGHT(INDIRECT(ADDRESS(ROW(B323)-1, 'From Order'!$A323)), 1), B322))"),"SWFBJLRLBSG")</f>
        <v>SWFBJLRLBSG</v>
      </c>
      <c r="C323" s="2" t="str">
        <f>IFERROR(__xludf.DUMMYFUNCTION("IF('From Order'!$A323=COLUMNS($A323:C342), LEFT(INDEX(FILTER(C$1:C322, C$1:C322&lt;&gt;""""),COUNTA(FILTER(C$1:C322, C$1:C322&lt;&gt;""""))), LEN(INDEX(FILTER(C$1:C322, C$1:C322&lt;&gt;""""),COUNTA(FILTER(C$1:C322, C$1:C322&lt;&gt;""""))))-1), IF('To Order'!$A323=COLUMNS($A323:C"&amp;"342), C322&amp;RIGHT(INDIRECT(ADDRESS(ROW(C323)-1, 'From Order'!$A323)), 1), C322))"),"")</f>
        <v/>
      </c>
      <c r="D323" s="2" t="str">
        <f>IFERROR(__xludf.DUMMYFUNCTION("IF('From Order'!$A323=COLUMNS($A323:D342), LEFT(INDEX(FILTER(D$1:D322, D$1:D322&lt;&gt;""""),COUNTA(FILTER(D$1:D322, D$1:D322&lt;&gt;""""))), LEN(INDEX(FILTER(D$1:D322, D$1:D322&lt;&gt;""""),COUNTA(FILTER(D$1:D322, D$1:D322&lt;&gt;""""))))-1), IF('To Order'!$A323=COLUMNS($A323:D"&amp;"342), D322&amp;RIGHT(INDIRECT(ADDRESS(ROW(D323)-1, 'From Order'!$A323)), 1), D322))"),"")</f>
        <v/>
      </c>
      <c r="E323" s="2" t="str">
        <f>IFERROR(__xludf.DUMMYFUNCTION("IF('From Order'!$A323=COLUMNS($A323:E342), LEFT(INDEX(FILTER(E$1:E322, E$1:E322&lt;&gt;""""),COUNTA(FILTER(E$1:E322, E$1:E322&lt;&gt;""""))), LEN(INDEX(FILTER(E$1:E322, E$1:E322&lt;&gt;""""),COUNTA(FILTER(E$1:E322, E$1:E322&lt;&gt;""""))))-1), IF('To Order'!$A323=COLUMNS($A323:E"&amp;"342), E322&amp;RIGHT(INDIRECT(ADDRESS(ROW(E323)-1, 'From Order'!$A323)), 1), E322))"),"HZRVSDPQRBCVTJTWRZ")</f>
        <v>HZRVSDPQRBCVTJTWRZ</v>
      </c>
      <c r="F323" s="2" t="str">
        <f>IFERROR(__xludf.DUMMYFUNCTION("IF('From Order'!$A323=COLUMNS($A323:F342), LEFT(INDEX(FILTER(F$1:F322, F$1:F322&lt;&gt;""""),COUNTA(FILTER(F$1:F322, F$1:F322&lt;&gt;""""))), LEN(INDEX(FILTER(F$1:F322, F$1:F322&lt;&gt;""""),COUNTA(FILTER(F$1:F322, F$1:F322&lt;&gt;""""))))-1), IF('To Order'!$A323=COLUMNS($A323:F"&amp;"342), F322&amp;RIGHT(INDIRECT(ADDRESS(ROW(F323)-1, 'From Order'!$A323)), 1), F322))"),"HSPVMZDDT")</f>
        <v>HSPVMZDDT</v>
      </c>
      <c r="G323" s="2" t="str">
        <f>IFERROR(__xludf.DUMMYFUNCTION("IF('From Order'!$A323=COLUMNS($A323:G342), LEFT(INDEX(FILTER(G$1:G322, G$1:G322&lt;&gt;""""),COUNTA(FILTER(G$1:G322, G$1:G322&lt;&gt;""""))), LEN(INDEX(FILTER(G$1:G322, G$1:G322&lt;&gt;""""),COUNTA(FILTER(G$1:G322, G$1:G322&lt;&gt;""""))))-1), IF('To Order'!$A323=COLUMNS($A323:G"&amp;"342), G322&amp;RIGHT(INDIRECT(ADDRESS(ROW(G323)-1, 'From Order'!$A323)), 1), G322))"),"")</f>
        <v/>
      </c>
      <c r="H323" s="2" t="str">
        <f>IFERROR(__xludf.DUMMYFUNCTION("IF('From Order'!$A323=COLUMNS($A323:H342), LEFT(INDEX(FILTER(H$1:H322, H$1:H322&lt;&gt;""""),COUNTA(FILTER(H$1:H322, H$1:H322&lt;&gt;""""))), LEN(INDEX(FILTER(H$1:H322, H$1:H322&lt;&gt;""""),COUNTA(FILTER(H$1:H322, H$1:H322&lt;&gt;""""))))-1), IF('To Order'!$A323=COLUMNS($A323:H"&amp;"342), H322&amp;RIGHT(INDIRECT(ADDRESS(ROW(H323)-1, 'From Order'!$A323)), 1), H322))"),"M")</f>
        <v>M</v>
      </c>
      <c r="I323" s="2" t="str">
        <f>IFERROR(__xludf.DUMMYFUNCTION("IF('From Order'!$A323=COLUMNS($A323:I342), LEFT(INDEX(FILTER(I$1:I322, I$1:I322&lt;&gt;""""),COUNTA(FILTER(I$1:I322, I$1:I322&lt;&gt;""""))), LEN(INDEX(FILTER(I$1:I322, I$1:I322&lt;&gt;""""),COUNTA(FILTER(I$1:I322, I$1:I322&lt;&gt;""""))))-1), IF('To Order'!$A323=COLUMNS($A323:I"&amp;"342), I322&amp;RIGHT(INDIRECT(ADDRESS(ROW(I323)-1, 'From Order'!$A323)), 1), I322))"),"GPBJD")</f>
        <v>GPBJD</v>
      </c>
    </row>
    <row r="324">
      <c r="A324" s="2" t="str">
        <f>IFERROR(__xludf.DUMMYFUNCTION("IF('From Order'!$A324=COLUMNS($A324:A343), LEFT(INDEX(FILTER(A$1:A323, A$1:A323&lt;&gt;""""),COUNTA(FILTER(A$1:A323, A$1:A323&lt;&gt;""""))), LEN(INDEX(FILTER(A$1:A323, A$1:A323&lt;&gt;""""),COUNTA(FILTER(A$1:A323, A$1:A323&lt;&gt;""""))))-1), IF('To Order'!$A324=COLUMNS($A324:A"&amp;"343), A323&amp;RIGHT(INDIRECT(ADDRESS(ROW(A324)-1, 'From Order'!$A324)), 1), A323))"),"CTFTMQCDTRLD")</f>
        <v>CTFTMQCDTRLD</v>
      </c>
      <c r="B324" s="2" t="str">
        <f>IFERROR(__xludf.DUMMYFUNCTION("IF('From Order'!$A324=COLUMNS($A324:B343), LEFT(INDEX(FILTER(B$1:B323, B$1:B323&lt;&gt;""""),COUNTA(FILTER(B$1:B323, B$1:B323&lt;&gt;""""))), LEN(INDEX(FILTER(B$1:B323, B$1:B323&lt;&gt;""""),COUNTA(FILTER(B$1:B323, B$1:B323&lt;&gt;""""))))-1), IF('To Order'!$A324=COLUMNS($A324:B"&amp;"343), B323&amp;RIGHT(INDIRECT(ADDRESS(ROW(B324)-1, 'From Order'!$A324)), 1), B323))"),"SWFBJLRLBSGD")</f>
        <v>SWFBJLRLBSGD</v>
      </c>
      <c r="C324" s="2" t="str">
        <f>IFERROR(__xludf.DUMMYFUNCTION("IF('From Order'!$A324=COLUMNS($A324:C343), LEFT(INDEX(FILTER(C$1:C323, C$1:C323&lt;&gt;""""),COUNTA(FILTER(C$1:C323, C$1:C323&lt;&gt;""""))), LEN(INDEX(FILTER(C$1:C323, C$1:C323&lt;&gt;""""),COUNTA(FILTER(C$1:C323, C$1:C323&lt;&gt;""""))))-1), IF('To Order'!$A324=COLUMNS($A324:C"&amp;"343), C323&amp;RIGHT(INDIRECT(ADDRESS(ROW(C324)-1, 'From Order'!$A324)), 1), C323))"),"")</f>
        <v/>
      </c>
      <c r="D324" s="2" t="str">
        <f>IFERROR(__xludf.DUMMYFUNCTION("IF('From Order'!$A324=COLUMNS($A324:D343), LEFT(INDEX(FILTER(D$1:D323, D$1:D323&lt;&gt;""""),COUNTA(FILTER(D$1:D323, D$1:D323&lt;&gt;""""))), LEN(INDEX(FILTER(D$1:D323, D$1:D323&lt;&gt;""""),COUNTA(FILTER(D$1:D323, D$1:D323&lt;&gt;""""))))-1), IF('To Order'!$A324=COLUMNS($A324:D"&amp;"343), D323&amp;RIGHT(INDIRECT(ADDRESS(ROW(D324)-1, 'From Order'!$A324)), 1), D323))"),"")</f>
        <v/>
      </c>
      <c r="E324" s="2" t="str">
        <f>IFERROR(__xludf.DUMMYFUNCTION("IF('From Order'!$A324=COLUMNS($A324:E343), LEFT(INDEX(FILTER(E$1:E323, E$1:E323&lt;&gt;""""),COUNTA(FILTER(E$1:E323, E$1:E323&lt;&gt;""""))), LEN(INDEX(FILTER(E$1:E323, E$1:E323&lt;&gt;""""),COUNTA(FILTER(E$1:E323, E$1:E323&lt;&gt;""""))))-1), IF('To Order'!$A324=COLUMNS($A324:E"&amp;"343), E323&amp;RIGHT(INDIRECT(ADDRESS(ROW(E324)-1, 'From Order'!$A324)), 1), E323))"),"HZRVSDPQRBCVTJTWRZ")</f>
        <v>HZRVSDPQRBCVTJTWRZ</v>
      </c>
      <c r="F324" s="2" t="str">
        <f>IFERROR(__xludf.DUMMYFUNCTION("IF('From Order'!$A324=COLUMNS($A324:F343), LEFT(INDEX(FILTER(F$1:F323, F$1:F323&lt;&gt;""""),COUNTA(FILTER(F$1:F323, F$1:F323&lt;&gt;""""))), LEN(INDEX(FILTER(F$1:F323, F$1:F323&lt;&gt;""""),COUNTA(FILTER(F$1:F323, F$1:F323&lt;&gt;""""))))-1), IF('To Order'!$A324=COLUMNS($A324:F"&amp;"343), F323&amp;RIGHT(INDIRECT(ADDRESS(ROW(F324)-1, 'From Order'!$A324)), 1), F323))"),"HSPVMZDDT")</f>
        <v>HSPVMZDDT</v>
      </c>
      <c r="G324" s="2" t="str">
        <f>IFERROR(__xludf.DUMMYFUNCTION("IF('From Order'!$A324=COLUMNS($A324:G343), LEFT(INDEX(FILTER(G$1:G323, G$1:G323&lt;&gt;""""),COUNTA(FILTER(G$1:G323, G$1:G323&lt;&gt;""""))), LEN(INDEX(FILTER(G$1:G323, G$1:G323&lt;&gt;""""),COUNTA(FILTER(G$1:G323, G$1:G323&lt;&gt;""""))))-1), IF('To Order'!$A324=COLUMNS($A324:G"&amp;"343), G323&amp;RIGHT(INDIRECT(ADDRESS(ROW(G324)-1, 'From Order'!$A324)), 1), G323))"),"")</f>
        <v/>
      </c>
      <c r="H324" s="2" t="str">
        <f>IFERROR(__xludf.DUMMYFUNCTION("IF('From Order'!$A324=COLUMNS($A324:H343), LEFT(INDEX(FILTER(H$1:H323, H$1:H323&lt;&gt;""""),COUNTA(FILTER(H$1:H323, H$1:H323&lt;&gt;""""))), LEN(INDEX(FILTER(H$1:H323, H$1:H323&lt;&gt;""""),COUNTA(FILTER(H$1:H323, H$1:H323&lt;&gt;""""))))-1), IF('To Order'!$A324=COLUMNS($A324:H"&amp;"343), H323&amp;RIGHT(INDIRECT(ADDRESS(ROW(H324)-1, 'From Order'!$A324)), 1), H323))"),"M")</f>
        <v>M</v>
      </c>
      <c r="I324" s="2" t="str">
        <f>IFERROR(__xludf.DUMMYFUNCTION("IF('From Order'!$A324=COLUMNS($A324:I343), LEFT(INDEX(FILTER(I$1:I323, I$1:I323&lt;&gt;""""),COUNTA(FILTER(I$1:I323, I$1:I323&lt;&gt;""""))), LEN(INDEX(FILTER(I$1:I323, I$1:I323&lt;&gt;""""),COUNTA(FILTER(I$1:I323, I$1:I323&lt;&gt;""""))))-1), IF('To Order'!$A324=COLUMNS($A324:I"&amp;"343), I323&amp;RIGHT(INDIRECT(ADDRESS(ROW(I324)-1, 'From Order'!$A324)), 1), I323))"),"GPBJ")</f>
        <v>GPBJ</v>
      </c>
    </row>
    <row r="325">
      <c r="A325" s="2" t="str">
        <f>IFERROR(__xludf.DUMMYFUNCTION("IF('From Order'!$A325=COLUMNS($A325:A344), LEFT(INDEX(FILTER(A$1:A324, A$1:A324&lt;&gt;""""),COUNTA(FILTER(A$1:A324, A$1:A324&lt;&gt;""""))), LEN(INDEX(FILTER(A$1:A324, A$1:A324&lt;&gt;""""),COUNTA(FILTER(A$1:A324, A$1:A324&lt;&gt;""""))))-1), IF('To Order'!$A325=COLUMNS($A325:A"&amp;"344), A324&amp;RIGHT(INDIRECT(ADDRESS(ROW(A325)-1, 'From Order'!$A325)), 1), A324))"),"CTFTMQCDTRLD")</f>
        <v>CTFTMQCDTRLD</v>
      </c>
      <c r="B325" s="2" t="str">
        <f>IFERROR(__xludf.DUMMYFUNCTION("IF('From Order'!$A325=COLUMNS($A325:B344), LEFT(INDEX(FILTER(B$1:B324, B$1:B324&lt;&gt;""""),COUNTA(FILTER(B$1:B324, B$1:B324&lt;&gt;""""))), LEN(INDEX(FILTER(B$1:B324, B$1:B324&lt;&gt;""""),COUNTA(FILTER(B$1:B324, B$1:B324&lt;&gt;""""))))-1), IF('To Order'!$A325=COLUMNS($A325:B"&amp;"344), B324&amp;RIGHT(INDIRECT(ADDRESS(ROW(B325)-1, 'From Order'!$A325)), 1), B324))"),"SWFBJLRLBSGD")</f>
        <v>SWFBJLRLBSGD</v>
      </c>
      <c r="C325" s="2" t="str">
        <f>IFERROR(__xludf.DUMMYFUNCTION("IF('From Order'!$A325=COLUMNS($A325:C344), LEFT(INDEX(FILTER(C$1:C324, C$1:C324&lt;&gt;""""),COUNTA(FILTER(C$1:C324, C$1:C324&lt;&gt;""""))), LEN(INDEX(FILTER(C$1:C324, C$1:C324&lt;&gt;""""),COUNTA(FILTER(C$1:C324, C$1:C324&lt;&gt;""""))))-1), IF('To Order'!$A325=COLUMNS($A325:C"&amp;"344), C324&amp;RIGHT(INDIRECT(ADDRESS(ROW(C325)-1, 'From Order'!$A325)), 1), C324))"),"")</f>
        <v/>
      </c>
      <c r="D325" s="2" t="str">
        <f>IFERROR(__xludf.DUMMYFUNCTION("IF('From Order'!$A325=COLUMNS($A325:D344), LEFT(INDEX(FILTER(D$1:D324, D$1:D324&lt;&gt;""""),COUNTA(FILTER(D$1:D324, D$1:D324&lt;&gt;""""))), LEN(INDEX(FILTER(D$1:D324, D$1:D324&lt;&gt;""""),COUNTA(FILTER(D$1:D324, D$1:D324&lt;&gt;""""))))-1), IF('To Order'!$A325=COLUMNS($A325:D"&amp;"344), D324&amp;RIGHT(INDIRECT(ADDRESS(ROW(D325)-1, 'From Order'!$A325)), 1), D324))"),"")</f>
        <v/>
      </c>
      <c r="E325" s="2" t="str">
        <f>IFERROR(__xludf.DUMMYFUNCTION("IF('From Order'!$A325=COLUMNS($A325:E344), LEFT(INDEX(FILTER(E$1:E324, E$1:E324&lt;&gt;""""),COUNTA(FILTER(E$1:E324, E$1:E324&lt;&gt;""""))), LEN(INDEX(FILTER(E$1:E324, E$1:E324&lt;&gt;""""),COUNTA(FILTER(E$1:E324, E$1:E324&lt;&gt;""""))))-1), IF('To Order'!$A325=COLUMNS($A325:E"&amp;"344), E324&amp;RIGHT(INDIRECT(ADDRESS(ROW(E325)-1, 'From Order'!$A325)), 1), E324))"),"HZRVSDPQRBCVTJTWRZJ")</f>
        <v>HZRVSDPQRBCVTJTWRZJ</v>
      </c>
      <c r="F325" s="2" t="str">
        <f>IFERROR(__xludf.DUMMYFUNCTION("IF('From Order'!$A325=COLUMNS($A325:F344), LEFT(INDEX(FILTER(F$1:F324, F$1:F324&lt;&gt;""""),COUNTA(FILTER(F$1:F324, F$1:F324&lt;&gt;""""))), LEN(INDEX(FILTER(F$1:F324, F$1:F324&lt;&gt;""""),COUNTA(FILTER(F$1:F324, F$1:F324&lt;&gt;""""))))-1), IF('To Order'!$A325=COLUMNS($A325:F"&amp;"344), F324&amp;RIGHT(INDIRECT(ADDRESS(ROW(F325)-1, 'From Order'!$A325)), 1), F324))"),"HSPVMZDDT")</f>
        <v>HSPVMZDDT</v>
      </c>
      <c r="G325" s="2" t="str">
        <f>IFERROR(__xludf.DUMMYFUNCTION("IF('From Order'!$A325=COLUMNS($A325:G344), LEFT(INDEX(FILTER(G$1:G324, G$1:G324&lt;&gt;""""),COUNTA(FILTER(G$1:G324, G$1:G324&lt;&gt;""""))), LEN(INDEX(FILTER(G$1:G324, G$1:G324&lt;&gt;""""),COUNTA(FILTER(G$1:G324, G$1:G324&lt;&gt;""""))))-1), IF('To Order'!$A325=COLUMNS($A325:G"&amp;"344), G324&amp;RIGHT(INDIRECT(ADDRESS(ROW(G325)-1, 'From Order'!$A325)), 1), G324))"),"")</f>
        <v/>
      </c>
      <c r="H325" s="2" t="str">
        <f>IFERROR(__xludf.DUMMYFUNCTION("IF('From Order'!$A325=COLUMNS($A325:H344), LEFT(INDEX(FILTER(H$1:H324, H$1:H324&lt;&gt;""""),COUNTA(FILTER(H$1:H324, H$1:H324&lt;&gt;""""))), LEN(INDEX(FILTER(H$1:H324, H$1:H324&lt;&gt;""""),COUNTA(FILTER(H$1:H324, H$1:H324&lt;&gt;""""))))-1), IF('To Order'!$A325=COLUMNS($A325:H"&amp;"344), H324&amp;RIGHT(INDIRECT(ADDRESS(ROW(H325)-1, 'From Order'!$A325)), 1), H324))"),"M")</f>
        <v>M</v>
      </c>
      <c r="I325" s="2" t="str">
        <f>IFERROR(__xludf.DUMMYFUNCTION("IF('From Order'!$A325=COLUMNS($A325:I344), LEFT(INDEX(FILTER(I$1:I324, I$1:I324&lt;&gt;""""),COUNTA(FILTER(I$1:I324, I$1:I324&lt;&gt;""""))), LEN(INDEX(FILTER(I$1:I324, I$1:I324&lt;&gt;""""),COUNTA(FILTER(I$1:I324, I$1:I324&lt;&gt;""""))))-1), IF('To Order'!$A325=COLUMNS($A325:I"&amp;"344), I324&amp;RIGHT(INDIRECT(ADDRESS(ROW(I325)-1, 'From Order'!$A325)), 1), I324))"),"GPB")</f>
        <v>GPB</v>
      </c>
    </row>
    <row r="326">
      <c r="A326" s="2" t="str">
        <f>IFERROR(__xludf.DUMMYFUNCTION("IF('From Order'!$A326=COLUMNS($A326:A345), LEFT(INDEX(FILTER(A$1:A325, A$1:A325&lt;&gt;""""),COUNTA(FILTER(A$1:A325, A$1:A325&lt;&gt;""""))), LEN(INDEX(FILTER(A$1:A325, A$1:A325&lt;&gt;""""),COUNTA(FILTER(A$1:A325, A$1:A325&lt;&gt;""""))))-1), IF('To Order'!$A326=COLUMNS($A326:A"&amp;"345), A325&amp;RIGHT(INDIRECT(ADDRESS(ROW(A326)-1, 'From Order'!$A326)), 1), A325))"),"CTFTMQCDTRLD")</f>
        <v>CTFTMQCDTRLD</v>
      </c>
      <c r="B326" s="2" t="str">
        <f>IFERROR(__xludf.DUMMYFUNCTION("IF('From Order'!$A326=COLUMNS($A326:B345), LEFT(INDEX(FILTER(B$1:B325, B$1:B325&lt;&gt;""""),COUNTA(FILTER(B$1:B325, B$1:B325&lt;&gt;""""))), LEN(INDEX(FILTER(B$1:B325, B$1:B325&lt;&gt;""""),COUNTA(FILTER(B$1:B325, B$1:B325&lt;&gt;""""))))-1), IF('To Order'!$A326=COLUMNS($A326:B"&amp;"345), B325&amp;RIGHT(INDIRECT(ADDRESS(ROW(B326)-1, 'From Order'!$A326)), 1), B325))"),"SWFBJLRLBSG")</f>
        <v>SWFBJLRLBSG</v>
      </c>
      <c r="C326" s="2" t="str">
        <f>IFERROR(__xludf.DUMMYFUNCTION("IF('From Order'!$A326=COLUMNS($A326:C345), LEFT(INDEX(FILTER(C$1:C325, C$1:C325&lt;&gt;""""),COUNTA(FILTER(C$1:C325, C$1:C325&lt;&gt;""""))), LEN(INDEX(FILTER(C$1:C325, C$1:C325&lt;&gt;""""),COUNTA(FILTER(C$1:C325, C$1:C325&lt;&gt;""""))))-1), IF('To Order'!$A326=COLUMNS($A326:C"&amp;"345), C325&amp;RIGHT(INDIRECT(ADDRESS(ROW(C326)-1, 'From Order'!$A326)), 1), C325))"),"")</f>
        <v/>
      </c>
      <c r="D326" s="2" t="str">
        <f>IFERROR(__xludf.DUMMYFUNCTION("IF('From Order'!$A326=COLUMNS($A326:D345), LEFT(INDEX(FILTER(D$1:D325, D$1:D325&lt;&gt;""""),COUNTA(FILTER(D$1:D325, D$1:D325&lt;&gt;""""))), LEN(INDEX(FILTER(D$1:D325, D$1:D325&lt;&gt;""""),COUNTA(FILTER(D$1:D325, D$1:D325&lt;&gt;""""))))-1), IF('To Order'!$A326=COLUMNS($A326:D"&amp;"345), D325&amp;RIGHT(INDIRECT(ADDRESS(ROW(D326)-1, 'From Order'!$A326)), 1), D325))"),"")</f>
        <v/>
      </c>
      <c r="E326" s="2" t="str">
        <f>IFERROR(__xludf.DUMMYFUNCTION("IF('From Order'!$A326=COLUMNS($A326:E345), LEFT(INDEX(FILTER(E$1:E325, E$1:E325&lt;&gt;""""),COUNTA(FILTER(E$1:E325, E$1:E325&lt;&gt;""""))), LEN(INDEX(FILTER(E$1:E325, E$1:E325&lt;&gt;""""),COUNTA(FILTER(E$1:E325, E$1:E325&lt;&gt;""""))))-1), IF('To Order'!$A326=COLUMNS($A326:E"&amp;"345), E325&amp;RIGHT(INDIRECT(ADDRESS(ROW(E326)-1, 'From Order'!$A326)), 1), E325))"),"HZRVSDPQRBCVTJTWRZJ")</f>
        <v>HZRVSDPQRBCVTJTWRZJ</v>
      </c>
      <c r="F326" s="2" t="str">
        <f>IFERROR(__xludf.DUMMYFUNCTION("IF('From Order'!$A326=COLUMNS($A326:F345), LEFT(INDEX(FILTER(F$1:F325, F$1:F325&lt;&gt;""""),COUNTA(FILTER(F$1:F325, F$1:F325&lt;&gt;""""))), LEN(INDEX(FILTER(F$1:F325, F$1:F325&lt;&gt;""""),COUNTA(FILTER(F$1:F325, F$1:F325&lt;&gt;""""))))-1), IF('To Order'!$A326=COLUMNS($A326:F"&amp;"345), F325&amp;RIGHT(INDIRECT(ADDRESS(ROW(F326)-1, 'From Order'!$A326)), 1), F325))"),"HSPVMZDDTD")</f>
        <v>HSPVMZDDTD</v>
      </c>
      <c r="G326" s="2" t="str">
        <f>IFERROR(__xludf.DUMMYFUNCTION("IF('From Order'!$A326=COLUMNS($A326:G345), LEFT(INDEX(FILTER(G$1:G325, G$1:G325&lt;&gt;""""),COUNTA(FILTER(G$1:G325, G$1:G325&lt;&gt;""""))), LEN(INDEX(FILTER(G$1:G325, G$1:G325&lt;&gt;""""),COUNTA(FILTER(G$1:G325, G$1:G325&lt;&gt;""""))))-1), IF('To Order'!$A326=COLUMNS($A326:G"&amp;"345), G325&amp;RIGHT(INDIRECT(ADDRESS(ROW(G326)-1, 'From Order'!$A326)), 1), G325))"),"")</f>
        <v/>
      </c>
      <c r="H326" s="2" t="str">
        <f>IFERROR(__xludf.DUMMYFUNCTION("IF('From Order'!$A326=COLUMNS($A326:H345), LEFT(INDEX(FILTER(H$1:H325, H$1:H325&lt;&gt;""""),COUNTA(FILTER(H$1:H325, H$1:H325&lt;&gt;""""))), LEN(INDEX(FILTER(H$1:H325, H$1:H325&lt;&gt;""""),COUNTA(FILTER(H$1:H325, H$1:H325&lt;&gt;""""))))-1), IF('To Order'!$A326=COLUMNS($A326:H"&amp;"345), H325&amp;RIGHT(INDIRECT(ADDRESS(ROW(H326)-1, 'From Order'!$A326)), 1), H325))"),"M")</f>
        <v>M</v>
      </c>
      <c r="I326" s="2" t="str">
        <f>IFERROR(__xludf.DUMMYFUNCTION("IF('From Order'!$A326=COLUMNS($A326:I345), LEFT(INDEX(FILTER(I$1:I325, I$1:I325&lt;&gt;""""),COUNTA(FILTER(I$1:I325, I$1:I325&lt;&gt;""""))), LEN(INDEX(FILTER(I$1:I325, I$1:I325&lt;&gt;""""),COUNTA(FILTER(I$1:I325, I$1:I325&lt;&gt;""""))))-1), IF('To Order'!$A326=COLUMNS($A326:I"&amp;"345), I325&amp;RIGHT(INDIRECT(ADDRESS(ROW(I326)-1, 'From Order'!$A326)), 1), I325))"),"GPB")</f>
        <v>GPB</v>
      </c>
    </row>
    <row r="327">
      <c r="A327" s="2" t="str">
        <f>IFERROR(__xludf.DUMMYFUNCTION("IF('From Order'!$A327=COLUMNS($A327:A346), LEFT(INDEX(FILTER(A$1:A326, A$1:A326&lt;&gt;""""),COUNTA(FILTER(A$1:A326, A$1:A326&lt;&gt;""""))), LEN(INDEX(FILTER(A$1:A326, A$1:A326&lt;&gt;""""),COUNTA(FILTER(A$1:A326, A$1:A326&lt;&gt;""""))))-1), IF('To Order'!$A327=COLUMNS($A327:A"&amp;"346), A326&amp;RIGHT(INDIRECT(ADDRESS(ROW(A327)-1, 'From Order'!$A327)), 1), A326))"),"CTFTMQCDTRLD")</f>
        <v>CTFTMQCDTRLD</v>
      </c>
      <c r="B327" s="2" t="str">
        <f>IFERROR(__xludf.DUMMYFUNCTION("IF('From Order'!$A327=COLUMNS($A327:B346), LEFT(INDEX(FILTER(B$1:B326, B$1:B326&lt;&gt;""""),COUNTA(FILTER(B$1:B326, B$1:B326&lt;&gt;""""))), LEN(INDEX(FILTER(B$1:B326, B$1:B326&lt;&gt;""""),COUNTA(FILTER(B$1:B326, B$1:B326&lt;&gt;""""))))-1), IF('To Order'!$A327=COLUMNS($A327:B"&amp;"346), B326&amp;RIGHT(INDIRECT(ADDRESS(ROW(B327)-1, 'From Order'!$A327)), 1), B326))"),"SWFBJLRLBS")</f>
        <v>SWFBJLRLBS</v>
      </c>
      <c r="C327" s="2" t="str">
        <f>IFERROR(__xludf.DUMMYFUNCTION("IF('From Order'!$A327=COLUMNS($A327:C346), LEFT(INDEX(FILTER(C$1:C326, C$1:C326&lt;&gt;""""),COUNTA(FILTER(C$1:C326, C$1:C326&lt;&gt;""""))), LEN(INDEX(FILTER(C$1:C326, C$1:C326&lt;&gt;""""),COUNTA(FILTER(C$1:C326, C$1:C326&lt;&gt;""""))))-1), IF('To Order'!$A327=COLUMNS($A327:C"&amp;"346), C326&amp;RIGHT(INDIRECT(ADDRESS(ROW(C327)-1, 'From Order'!$A327)), 1), C326))"),"")</f>
        <v/>
      </c>
      <c r="D327" s="2" t="str">
        <f>IFERROR(__xludf.DUMMYFUNCTION("IF('From Order'!$A327=COLUMNS($A327:D346), LEFT(INDEX(FILTER(D$1:D326, D$1:D326&lt;&gt;""""),COUNTA(FILTER(D$1:D326, D$1:D326&lt;&gt;""""))), LEN(INDEX(FILTER(D$1:D326, D$1:D326&lt;&gt;""""),COUNTA(FILTER(D$1:D326, D$1:D326&lt;&gt;""""))))-1), IF('To Order'!$A327=COLUMNS($A327:D"&amp;"346), D326&amp;RIGHT(INDIRECT(ADDRESS(ROW(D327)-1, 'From Order'!$A327)), 1), D326))"),"")</f>
        <v/>
      </c>
      <c r="E327" s="2" t="str">
        <f>IFERROR(__xludf.DUMMYFUNCTION("IF('From Order'!$A327=COLUMNS($A327:E346), LEFT(INDEX(FILTER(E$1:E326, E$1:E326&lt;&gt;""""),COUNTA(FILTER(E$1:E326, E$1:E326&lt;&gt;""""))), LEN(INDEX(FILTER(E$1:E326, E$1:E326&lt;&gt;""""),COUNTA(FILTER(E$1:E326, E$1:E326&lt;&gt;""""))))-1), IF('To Order'!$A327=COLUMNS($A327:E"&amp;"346), E326&amp;RIGHT(INDIRECT(ADDRESS(ROW(E327)-1, 'From Order'!$A327)), 1), E326))"),"HZRVSDPQRBCVTJTWRZJ")</f>
        <v>HZRVSDPQRBCVTJTWRZJ</v>
      </c>
      <c r="F327" s="2" t="str">
        <f>IFERROR(__xludf.DUMMYFUNCTION("IF('From Order'!$A327=COLUMNS($A327:F346), LEFT(INDEX(FILTER(F$1:F326, F$1:F326&lt;&gt;""""),COUNTA(FILTER(F$1:F326, F$1:F326&lt;&gt;""""))), LEN(INDEX(FILTER(F$1:F326, F$1:F326&lt;&gt;""""),COUNTA(FILTER(F$1:F326, F$1:F326&lt;&gt;""""))))-1), IF('To Order'!$A327=COLUMNS($A327:F"&amp;"346), F326&amp;RIGHT(INDIRECT(ADDRESS(ROW(F327)-1, 'From Order'!$A327)), 1), F326))"),"HSPVMZDDTDG")</f>
        <v>HSPVMZDDTDG</v>
      </c>
      <c r="G327" s="2" t="str">
        <f>IFERROR(__xludf.DUMMYFUNCTION("IF('From Order'!$A327=COLUMNS($A327:G346), LEFT(INDEX(FILTER(G$1:G326, G$1:G326&lt;&gt;""""),COUNTA(FILTER(G$1:G326, G$1:G326&lt;&gt;""""))), LEN(INDEX(FILTER(G$1:G326, G$1:G326&lt;&gt;""""),COUNTA(FILTER(G$1:G326, G$1:G326&lt;&gt;""""))))-1), IF('To Order'!$A327=COLUMNS($A327:G"&amp;"346), G326&amp;RIGHT(INDIRECT(ADDRESS(ROW(G327)-1, 'From Order'!$A327)), 1), G326))"),"")</f>
        <v/>
      </c>
      <c r="H327" s="2" t="str">
        <f>IFERROR(__xludf.DUMMYFUNCTION("IF('From Order'!$A327=COLUMNS($A327:H346), LEFT(INDEX(FILTER(H$1:H326, H$1:H326&lt;&gt;""""),COUNTA(FILTER(H$1:H326, H$1:H326&lt;&gt;""""))), LEN(INDEX(FILTER(H$1:H326, H$1:H326&lt;&gt;""""),COUNTA(FILTER(H$1:H326, H$1:H326&lt;&gt;""""))))-1), IF('To Order'!$A327=COLUMNS($A327:H"&amp;"346), H326&amp;RIGHT(INDIRECT(ADDRESS(ROW(H327)-1, 'From Order'!$A327)), 1), H326))"),"M")</f>
        <v>M</v>
      </c>
      <c r="I327" s="2" t="str">
        <f>IFERROR(__xludf.DUMMYFUNCTION("IF('From Order'!$A327=COLUMNS($A327:I346), LEFT(INDEX(FILTER(I$1:I326, I$1:I326&lt;&gt;""""),COUNTA(FILTER(I$1:I326, I$1:I326&lt;&gt;""""))), LEN(INDEX(FILTER(I$1:I326, I$1:I326&lt;&gt;""""),COUNTA(FILTER(I$1:I326, I$1:I326&lt;&gt;""""))))-1), IF('To Order'!$A327=COLUMNS($A327:I"&amp;"346), I326&amp;RIGHT(INDIRECT(ADDRESS(ROW(I327)-1, 'From Order'!$A327)), 1), I326))"),"GPB")</f>
        <v>GPB</v>
      </c>
    </row>
    <row r="328">
      <c r="A328" s="2" t="str">
        <f>IFERROR(__xludf.DUMMYFUNCTION("IF('From Order'!$A328=COLUMNS($A328:A347), LEFT(INDEX(FILTER(A$1:A327, A$1:A327&lt;&gt;""""),COUNTA(FILTER(A$1:A327, A$1:A327&lt;&gt;""""))), LEN(INDEX(FILTER(A$1:A327, A$1:A327&lt;&gt;""""),COUNTA(FILTER(A$1:A327, A$1:A327&lt;&gt;""""))))-1), IF('To Order'!$A328=COLUMNS($A328:A"&amp;"347), A327&amp;RIGHT(INDIRECT(ADDRESS(ROW(A328)-1, 'From Order'!$A328)), 1), A327))"),"CTFTMQCDTRLD")</f>
        <v>CTFTMQCDTRLD</v>
      </c>
      <c r="B328" s="2" t="str">
        <f>IFERROR(__xludf.DUMMYFUNCTION("IF('From Order'!$A328=COLUMNS($A328:B347), LEFT(INDEX(FILTER(B$1:B327, B$1:B327&lt;&gt;""""),COUNTA(FILTER(B$1:B327, B$1:B327&lt;&gt;""""))), LEN(INDEX(FILTER(B$1:B327, B$1:B327&lt;&gt;""""),COUNTA(FILTER(B$1:B327, B$1:B327&lt;&gt;""""))))-1), IF('To Order'!$A328=COLUMNS($A328:B"&amp;"347), B327&amp;RIGHT(INDIRECT(ADDRESS(ROW(B328)-1, 'From Order'!$A328)), 1), B327))"),"SWFBJLRLB")</f>
        <v>SWFBJLRLB</v>
      </c>
      <c r="C328" s="2" t="str">
        <f>IFERROR(__xludf.DUMMYFUNCTION("IF('From Order'!$A328=COLUMNS($A328:C347), LEFT(INDEX(FILTER(C$1:C327, C$1:C327&lt;&gt;""""),COUNTA(FILTER(C$1:C327, C$1:C327&lt;&gt;""""))), LEN(INDEX(FILTER(C$1:C327, C$1:C327&lt;&gt;""""),COUNTA(FILTER(C$1:C327, C$1:C327&lt;&gt;""""))))-1), IF('To Order'!$A328=COLUMNS($A328:C"&amp;"347), C327&amp;RIGHT(INDIRECT(ADDRESS(ROW(C328)-1, 'From Order'!$A328)), 1), C327))"),"")</f>
        <v/>
      </c>
      <c r="D328" s="2" t="str">
        <f>IFERROR(__xludf.DUMMYFUNCTION("IF('From Order'!$A328=COLUMNS($A328:D347), LEFT(INDEX(FILTER(D$1:D327, D$1:D327&lt;&gt;""""),COUNTA(FILTER(D$1:D327, D$1:D327&lt;&gt;""""))), LEN(INDEX(FILTER(D$1:D327, D$1:D327&lt;&gt;""""),COUNTA(FILTER(D$1:D327, D$1:D327&lt;&gt;""""))))-1), IF('To Order'!$A328=COLUMNS($A328:D"&amp;"347), D327&amp;RIGHT(INDIRECT(ADDRESS(ROW(D328)-1, 'From Order'!$A328)), 1), D327))"),"")</f>
        <v/>
      </c>
      <c r="E328" s="2" t="str">
        <f>IFERROR(__xludf.DUMMYFUNCTION("IF('From Order'!$A328=COLUMNS($A328:E347), LEFT(INDEX(FILTER(E$1:E327, E$1:E327&lt;&gt;""""),COUNTA(FILTER(E$1:E327, E$1:E327&lt;&gt;""""))), LEN(INDEX(FILTER(E$1:E327, E$1:E327&lt;&gt;""""),COUNTA(FILTER(E$1:E327, E$1:E327&lt;&gt;""""))))-1), IF('To Order'!$A328=COLUMNS($A328:E"&amp;"347), E327&amp;RIGHT(INDIRECT(ADDRESS(ROW(E328)-1, 'From Order'!$A328)), 1), E327))"),"HZRVSDPQRBCVTJTWRZJ")</f>
        <v>HZRVSDPQRBCVTJTWRZJ</v>
      </c>
      <c r="F328" s="2" t="str">
        <f>IFERROR(__xludf.DUMMYFUNCTION("IF('From Order'!$A328=COLUMNS($A328:F347), LEFT(INDEX(FILTER(F$1:F327, F$1:F327&lt;&gt;""""),COUNTA(FILTER(F$1:F327, F$1:F327&lt;&gt;""""))), LEN(INDEX(FILTER(F$1:F327, F$1:F327&lt;&gt;""""),COUNTA(FILTER(F$1:F327, F$1:F327&lt;&gt;""""))))-1), IF('To Order'!$A328=COLUMNS($A328:F"&amp;"347), F327&amp;RIGHT(INDIRECT(ADDRESS(ROW(F328)-1, 'From Order'!$A328)), 1), F327))"),"HSPVMZDDTDGS")</f>
        <v>HSPVMZDDTDGS</v>
      </c>
      <c r="G328" s="2" t="str">
        <f>IFERROR(__xludf.DUMMYFUNCTION("IF('From Order'!$A328=COLUMNS($A328:G347), LEFT(INDEX(FILTER(G$1:G327, G$1:G327&lt;&gt;""""),COUNTA(FILTER(G$1:G327, G$1:G327&lt;&gt;""""))), LEN(INDEX(FILTER(G$1:G327, G$1:G327&lt;&gt;""""),COUNTA(FILTER(G$1:G327, G$1:G327&lt;&gt;""""))))-1), IF('To Order'!$A328=COLUMNS($A328:G"&amp;"347), G327&amp;RIGHT(INDIRECT(ADDRESS(ROW(G328)-1, 'From Order'!$A328)), 1), G327))"),"")</f>
        <v/>
      </c>
      <c r="H328" s="2" t="str">
        <f>IFERROR(__xludf.DUMMYFUNCTION("IF('From Order'!$A328=COLUMNS($A328:H347), LEFT(INDEX(FILTER(H$1:H327, H$1:H327&lt;&gt;""""),COUNTA(FILTER(H$1:H327, H$1:H327&lt;&gt;""""))), LEN(INDEX(FILTER(H$1:H327, H$1:H327&lt;&gt;""""),COUNTA(FILTER(H$1:H327, H$1:H327&lt;&gt;""""))))-1), IF('To Order'!$A328=COLUMNS($A328:H"&amp;"347), H327&amp;RIGHT(INDIRECT(ADDRESS(ROW(H328)-1, 'From Order'!$A328)), 1), H327))"),"M")</f>
        <v>M</v>
      </c>
      <c r="I328" s="2" t="str">
        <f>IFERROR(__xludf.DUMMYFUNCTION("IF('From Order'!$A328=COLUMNS($A328:I347), LEFT(INDEX(FILTER(I$1:I327, I$1:I327&lt;&gt;""""),COUNTA(FILTER(I$1:I327, I$1:I327&lt;&gt;""""))), LEN(INDEX(FILTER(I$1:I327, I$1:I327&lt;&gt;""""),COUNTA(FILTER(I$1:I327, I$1:I327&lt;&gt;""""))))-1), IF('To Order'!$A328=COLUMNS($A328:I"&amp;"347), I327&amp;RIGHT(INDIRECT(ADDRESS(ROW(I328)-1, 'From Order'!$A328)), 1), I327))"),"GPB")</f>
        <v>GPB</v>
      </c>
    </row>
    <row r="329">
      <c r="A329" s="2" t="str">
        <f>IFERROR(__xludf.DUMMYFUNCTION("IF('From Order'!$A329=COLUMNS($A329:A348), LEFT(INDEX(FILTER(A$1:A328, A$1:A328&lt;&gt;""""),COUNTA(FILTER(A$1:A328, A$1:A328&lt;&gt;""""))), LEN(INDEX(FILTER(A$1:A328, A$1:A328&lt;&gt;""""),COUNTA(FILTER(A$1:A328, A$1:A328&lt;&gt;""""))))-1), IF('To Order'!$A329=COLUMNS($A329:A"&amp;"348), A328&amp;RIGHT(INDIRECT(ADDRESS(ROW(A329)-1, 'From Order'!$A329)), 1), A328))"),"CTFTMQCDTRLD")</f>
        <v>CTFTMQCDTRLD</v>
      </c>
      <c r="B329" s="2" t="str">
        <f>IFERROR(__xludf.DUMMYFUNCTION("IF('From Order'!$A329=COLUMNS($A329:B348), LEFT(INDEX(FILTER(B$1:B328, B$1:B328&lt;&gt;""""),COUNTA(FILTER(B$1:B328, B$1:B328&lt;&gt;""""))), LEN(INDEX(FILTER(B$1:B328, B$1:B328&lt;&gt;""""),COUNTA(FILTER(B$1:B328, B$1:B328&lt;&gt;""""))))-1), IF('To Order'!$A329=COLUMNS($A329:B"&amp;"348), B328&amp;RIGHT(INDIRECT(ADDRESS(ROW(B329)-1, 'From Order'!$A329)), 1), B328))"),"SWFBJLRL")</f>
        <v>SWFBJLRL</v>
      </c>
      <c r="C329" s="2" t="str">
        <f>IFERROR(__xludf.DUMMYFUNCTION("IF('From Order'!$A329=COLUMNS($A329:C348), LEFT(INDEX(FILTER(C$1:C328, C$1:C328&lt;&gt;""""),COUNTA(FILTER(C$1:C328, C$1:C328&lt;&gt;""""))), LEN(INDEX(FILTER(C$1:C328, C$1:C328&lt;&gt;""""),COUNTA(FILTER(C$1:C328, C$1:C328&lt;&gt;""""))))-1), IF('To Order'!$A329=COLUMNS($A329:C"&amp;"348), C328&amp;RIGHT(INDIRECT(ADDRESS(ROW(C329)-1, 'From Order'!$A329)), 1), C328))"),"")</f>
        <v/>
      </c>
      <c r="D329" s="2" t="str">
        <f>IFERROR(__xludf.DUMMYFUNCTION("IF('From Order'!$A329=COLUMNS($A329:D348), LEFT(INDEX(FILTER(D$1:D328, D$1:D328&lt;&gt;""""),COUNTA(FILTER(D$1:D328, D$1:D328&lt;&gt;""""))), LEN(INDEX(FILTER(D$1:D328, D$1:D328&lt;&gt;""""),COUNTA(FILTER(D$1:D328, D$1:D328&lt;&gt;""""))))-1), IF('To Order'!$A329=COLUMNS($A329:D"&amp;"348), D328&amp;RIGHT(INDIRECT(ADDRESS(ROW(D329)-1, 'From Order'!$A329)), 1), D328))"),"")</f>
        <v/>
      </c>
      <c r="E329" s="2" t="str">
        <f>IFERROR(__xludf.DUMMYFUNCTION("IF('From Order'!$A329=COLUMNS($A329:E348), LEFT(INDEX(FILTER(E$1:E328, E$1:E328&lt;&gt;""""),COUNTA(FILTER(E$1:E328, E$1:E328&lt;&gt;""""))), LEN(INDEX(FILTER(E$1:E328, E$1:E328&lt;&gt;""""),COUNTA(FILTER(E$1:E328, E$1:E328&lt;&gt;""""))))-1), IF('To Order'!$A329=COLUMNS($A329:E"&amp;"348), E328&amp;RIGHT(INDIRECT(ADDRESS(ROW(E329)-1, 'From Order'!$A329)), 1), E328))"),"HZRVSDPQRBCVTJTWRZJ")</f>
        <v>HZRVSDPQRBCVTJTWRZJ</v>
      </c>
      <c r="F329" s="2" t="str">
        <f>IFERROR(__xludf.DUMMYFUNCTION("IF('From Order'!$A329=COLUMNS($A329:F348), LEFT(INDEX(FILTER(F$1:F328, F$1:F328&lt;&gt;""""),COUNTA(FILTER(F$1:F328, F$1:F328&lt;&gt;""""))), LEN(INDEX(FILTER(F$1:F328, F$1:F328&lt;&gt;""""),COUNTA(FILTER(F$1:F328, F$1:F328&lt;&gt;""""))))-1), IF('To Order'!$A329=COLUMNS($A329:F"&amp;"348), F328&amp;RIGHT(INDIRECT(ADDRESS(ROW(F329)-1, 'From Order'!$A329)), 1), F328))"),"HSPVMZDDTDGSB")</f>
        <v>HSPVMZDDTDGSB</v>
      </c>
      <c r="G329" s="2" t="str">
        <f>IFERROR(__xludf.DUMMYFUNCTION("IF('From Order'!$A329=COLUMNS($A329:G348), LEFT(INDEX(FILTER(G$1:G328, G$1:G328&lt;&gt;""""),COUNTA(FILTER(G$1:G328, G$1:G328&lt;&gt;""""))), LEN(INDEX(FILTER(G$1:G328, G$1:G328&lt;&gt;""""),COUNTA(FILTER(G$1:G328, G$1:G328&lt;&gt;""""))))-1), IF('To Order'!$A329=COLUMNS($A329:G"&amp;"348), G328&amp;RIGHT(INDIRECT(ADDRESS(ROW(G329)-1, 'From Order'!$A329)), 1), G328))"),"")</f>
        <v/>
      </c>
      <c r="H329" s="2" t="str">
        <f>IFERROR(__xludf.DUMMYFUNCTION("IF('From Order'!$A329=COLUMNS($A329:H348), LEFT(INDEX(FILTER(H$1:H328, H$1:H328&lt;&gt;""""),COUNTA(FILTER(H$1:H328, H$1:H328&lt;&gt;""""))), LEN(INDEX(FILTER(H$1:H328, H$1:H328&lt;&gt;""""),COUNTA(FILTER(H$1:H328, H$1:H328&lt;&gt;""""))))-1), IF('To Order'!$A329=COLUMNS($A329:H"&amp;"348), H328&amp;RIGHT(INDIRECT(ADDRESS(ROW(H329)-1, 'From Order'!$A329)), 1), H328))"),"M")</f>
        <v>M</v>
      </c>
      <c r="I329" s="2" t="str">
        <f>IFERROR(__xludf.DUMMYFUNCTION("IF('From Order'!$A329=COLUMNS($A329:I348), LEFT(INDEX(FILTER(I$1:I328, I$1:I328&lt;&gt;""""),COUNTA(FILTER(I$1:I328, I$1:I328&lt;&gt;""""))), LEN(INDEX(FILTER(I$1:I328, I$1:I328&lt;&gt;""""),COUNTA(FILTER(I$1:I328, I$1:I328&lt;&gt;""""))))-1), IF('To Order'!$A329=COLUMNS($A329:I"&amp;"348), I328&amp;RIGHT(INDIRECT(ADDRESS(ROW(I329)-1, 'From Order'!$A329)), 1), I328))"),"GPB")</f>
        <v>GPB</v>
      </c>
    </row>
    <row r="330">
      <c r="A330" s="2" t="str">
        <f>IFERROR(__xludf.DUMMYFUNCTION("IF('From Order'!$A330=COLUMNS($A330:A349), LEFT(INDEX(FILTER(A$1:A329, A$1:A329&lt;&gt;""""),COUNTA(FILTER(A$1:A329, A$1:A329&lt;&gt;""""))), LEN(INDEX(FILTER(A$1:A329, A$1:A329&lt;&gt;""""),COUNTA(FILTER(A$1:A329, A$1:A329&lt;&gt;""""))))-1), IF('To Order'!$A330=COLUMNS($A330:A"&amp;"349), A329&amp;RIGHT(INDIRECT(ADDRESS(ROW(A330)-1, 'From Order'!$A330)), 1), A329))"),"CTFTMQCDTRLD")</f>
        <v>CTFTMQCDTRLD</v>
      </c>
      <c r="B330" s="2" t="str">
        <f>IFERROR(__xludf.DUMMYFUNCTION("IF('From Order'!$A330=COLUMNS($A330:B349), LEFT(INDEX(FILTER(B$1:B329, B$1:B329&lt;&gt;""""),COUNTA(FILTER(B$1:B329, B$1:B329&lt;&gt;""""))), LEN(INDEX(FILTER(B$1:B329, B$1:B329&lt;&gt;""""),COUNTA(FILTER(B$1:B329, B$1:B329&lt;&gt;""""))))-1), IF('To Order'!$A330=COLUMNS($A330:B"&amp;"349), B329&amp;RIGHT(INDIRECT(ADDRESS(ROW(B330)-1, 'From Order'!$A330)), 1), B329))"),"SWFBJLR")</f>
        <v>SWFBJLR</v>
      </c>
      <c r="C330" s="2" t="str">
        <f>IFERROR(__xludf.DUMMYFUNCTION("IF('From Order'!$A330=COLUMNS($A330:C349), LEFT(INDEX(FILTER(C$1:C329, C$1:C329&lt;&gt;""""),COUNTA(FILTER(C$1:C329, C$1:C329&lt;&gt;""""))), LEN(INDEX(FILTER(C$1:C329, C$1:C329&lt;&gt;""""),COUNTA(FILTER(C$1:C329, C$1:C329&lt;&gt;""""))))-1), IF('To Order'!$A330=COLUMNS($A330:C"&amp;"349), C329&amp;RIGHT(INDIRECT(ADDRESS(ROW(C330)-1, 'From Order'!$A330)), 1), C329))"),"")</f>
        <v/>
      </c>
      <c r="D330" s="2" t="str">
        <f>IFERROR(__xludf.DUMMYFUNCTION("IF('From Order'!$A330=COLUMNS($A330:D349), LEFT(INDEX(FILTER(D$1:D329, D$1:D329&lt;&gt;""""),COUNTA(FILTER(D$1:D329, D$1:D329&lt;&gt;""""))), LEN(INDEX(FILTER(D$1:D329, D$1:D329&lt;&gt;""""),COUNTA(FILTER(D$1:D329, D$1:D329&lt;&gt;""""))))-1), IF('To Order'!$A330=COLUMNS($A330:D"&amp;"349), D329&amp;RIGHT(INDIRECT(ADDRESS(ROW(D330)-1, 'From Order'!$A330)), 1), D329))"),"")</f>
        <v/>
      </c>
      <c r="E330" s="2" t="str">
        <f>IFERROR(__xludf.DUMMYFUNCTION("IF('From Order'!$A330=COLUMNS($A330:E349), LEFT(INDEX(FILTER(E$1:E329, E$1:E329&lt;&gt;""""),COUNTA(FILTER(E$1:E329, E$1:E329&lt;&gt;""""))), LEN(INDEX(FILTER(E$1:E329, E$1:E329&lt;&gt;""""),COUNTA(FILTER(E$1:E329, E$1:E329&lt;&gt;""""))))-1), IF('To Order'!$A330=COLUMNS($A330:E"&amp;"349), E329&amp;RIGHT(INDIRECT(ADDRESS(ROW(E330)-1, 'From Order'!$A330)), 1), E329))"),"HZRVSDPQRBCVTJTWRZJ")</f>
        <v>HZRVSDPQRBCVTJTWRZJ</v>
      </c>
      <c r="F330" s="2" t="str">
        <f>IFERROR(__xludf.DUMMYFUNCTION("IF('From Order'!$A330=COLUMNS($A330:F349), LEFT(INDEX(FILTER(F$1:F329, F$1:F329&lt;&gt;""""),COUNTA(FILTER(F$1:F329, F$1:F329&lt;&gt;""""))), LEN(INDEX(FILTER(F$1:F329, F$1:F329&lt;&gt;""""),COUNTA(FILTER(F$1:F329, F$1:F329&lt;&gt;""""))))-1), IF('To Order'!$A330=COLUMNS($A330:F"&amp;"349), F329&amp;RIGHT(INDIRECT(ADDRESS(ROW(F330)-1, 'From Order'!$A330)), 1), F329))"),"HSPVMZDDTDGSBL")</f>
        <v>HSPVMZDDTDGSBL</v>
      </c>
      <c r="G330" s="2" t="str">
        <f>IFERROR(__xludf.DUMMYFUNCTION("IF('From Order'!$A330=COLUMNS($A330:G349), LEFT(INDEX(FILTER(G$1:G329, G$1:G329&lt;&gt;""""),COUNTA(FILTER(G$1:G329, G$1:G329&lt;&gt;""""))), LEN(INDEX(FILTER(G$1:G329, G$1:G329&lt;&gt;""""),COUNTA(FILTER(G$1:G329, G$1:G329&lt;&gt;""""))))-1), IF('To Order'!$A330=COLUMNS($A330:G"&amp;"349), G329&amp;RIGHT(INDIRECT(ADDRESS(ROW(G330)-1, 'From Order'!$A330)), 1), G329))"),"")</f>
        <v/>
      </c>
      <c r="H330" s="2" t="str">
        <f>IFERROR(__xludf.DUMMYFUNCTION("IF('From Order'!$A330=COLUMNS($A330:H349), LEFT(INDEX(FILTER(H$1:H329, H$1:H329&lt;&gt;""""),COUNTA(FILTER(H$1:H329, H$1:H329&lt;&gt;""""))), LEN(INDEX(FILTER(H$1:H329, H$1:H329&lt;&gt;""""),COUNTA(FILTER(H$1:H329, H$1:H329&lt;&gt;""""))))-1), IF('To Order'!$A330=COLUMNS($A330:H"&amp;"349), H329&amp;RIGHT(INDIRECT(ADDRESS(ROW(H330)-1, 'From Order'!$A330)), 1), H329))"),"M")</f>
        <v>M</v>
      </c>
      <c r="I330" s="2" t="str">
        <f>IFERROR(__xludf.DUMMYFUNCTION("IF('From Order'!$A330=COLUMNS($A330:I349), LEFT(INDEX(FILTER(I$1:I329, I$1:I329&lt;&gt;""""),COUNTA(FILTER(I$1:I329, I$1:I329&lt;&gt;""""))), LEN(INDEX(FILTER(I$1:I329, I$1:I329&lt;&gt;""""),COUNTA(FILTER(I$1:I329, I$1:I329&lt;&gt;""""))))-1), IF('To Order'!$A330=COLUMNS($A330:I"&amp;"349), I329&amp;RIGHT(INDIRECT(ADDRESS(ROW(I330)-1, 'From Order'!$A330)), 1), I329))"),"GPB")</f>
        <v>GPB</v>
      </c>
    </row>
    <row r="331">
      <c r="A331" s="2" t="str">
        <f>IFERROR(__xludf.DUMMYFUNCTION("IF('From Order'!$A331=COLUMNS($A331:A350), LEFT(INDEX(FILTER(A$1:A330, A$1:A330&lt;&gt;""""),COUNTA(FILTER(A$1:A330, A$1:A330&lt;&gt;""""))), LEN(INDEX(FILTER(A$1:A330, A$1:A330&lt;&gt;""""),COUNTA(FILTER(A$1:A330, A$1:A330&lt;&gt;""""))))-1), IF('To Order'!$A331=COLUMNS($A331:A"&amp;"350), A330&amp;RIGHT(INDIRECT(ADDRESS(ROW(A331)-1, 'From Order'!$A331)), 1), A330))"),"CTFTMQCDTRLD")</f>
        <v>CTFTMQCDTRLD</v>
      </c>
      <c r="B331" s="2" t="str">
        <f>IFERROR(__xludf.DUMMYFUNCTION("IF('From Order'!$A331=COLUMNS($A331:B350), LEFT(INDEX(FILTER(B$1:B330, B$1:B330&lt;&gt;""""),COUNTA(FILTER(B$1:B330, B$1:B330&lt;&gt;""""))), LEN(INDEX(FILTER(B$1:B330, B$1:B330&lt;&gt;""""),COUNTA(FILTER(B$1:B330, B$1:B330&lt;&gt;""""))))-1), IF('To Order'!$A331=COLUMNS($A331:B"&amp;"350), B330&amp;RIGHT(INDIRECT(ADDRESS(ROW(B331)-1, 'From Order'!$A331)), 1), B330))"),"SWFBJL")</f>
        <v>SWFBJL</v>
      </c>
      <c r="C331" s="2" t="str">
        <f>IFERROR(__xludf.DUMMYFUNCTION("IF('From Order'!$A331=COLUMNS($A331:C350), LEFT(INDEX(FILTER(C$1:C330, C$1:C330&lt;&gt;""""),COUNTA(FILTER(C$1:C330, C$1:C330&lt;&gt;""""))), LEN(INDEX(FILTER(C$1:C330, C$1:C330&lt;&gt;""""),COUNTA(FILTER(C$1:C330, C$1:C330&lt;&gt;""""))))-1), IF('To Order'!$A331=COLUMNS($A331:C"&amp;"350), C330&amp;RIGHT(INDIRECT(ADDRESS(ROW(C331)-1, 'From Order'!$A331)), 1), C330))"),"")</f>
        <v/>
      </c>
      <c r="D331" s="2" t="str">
        <f>IFERROR(__xludf.DUMMYFUNCTION("IF('From Order'!$A331=COLUMNS($A331:D350), LEFT(INDEX(FILTER(D$1:D330, D$1:D330&lt;&gt;""""),COUNTA(FILTER(D$1:D330, D$1:D330&lt;&gt;""""))), LEN(INDEX(FILTER(D$1:D330, D$1:D330&lt;&gt;""""),COUNTA(FILTER(D$1:D330, D$1:D330&lt;&gt;""""))))-1), IF('To Order'!$A331=COLUMNS($A331:D"&amp;"350), D330&amp;RIGHT(INDIRECT(ADDRESS(ROW(D331)-1, 'From Order'!$A331)), 1), D330))"),"")</f>
        <v/>
      </c>
      <c r="E331" s="2" t="str">
        <f>IFERROR(__xludf.DUMMYFUNCTION("IF('From Order'!$A331=COLUMNS($A331:E350), LEFT(INDEX(FILTER(E$1:E330, E$1:E330&lt;&gt;""""),COUNTA(FILTER(E$1:E330, E$1:E330&lt;&gt;""""))), LEN(INDEX(FILTER(E$1:E330, E$1:E330&lt;&gt;""""),COUNTA(FILTER(E$1:E330, E$1:E330&lt;&gt;""""))))-1), IF('To Order'!$A331=COLUMNS($A331:E"&amp;"350), E330&amp;RIGHT(INDIRECT(ADDRESS(ROW(E331)-1, 'From Order'!$A331)), 1), E330))"),"HZRVSDPQRBCVTJTWRZJ")</f>
        <v>HZRVSDPQRBCVTJTWRZJ</v>
      </c>
      <c r="F331" s="2" t="str">
        <f>IFERROR(__xludf.DUMMYFUNCTION("IF('From Order'!$A331=COLUMNS($A331:F350), LEFT(INDEX(FILTER(F$1:F330, F$1:F330&lt;&gt;""""),COUNTA(FILTER(F$1:F330, F$1:F330&lt;&gt;""""))), LEN(INDEX(FILTER(F$1:F330, F$1:F330&lt;&gt;""""),COUNTA(FILTER(F$1:F330, F$1:F330&lt;&gt;""""))))-1), IF('To Order'!$A331=COLUMNS($A331:F"&amp;"350), F330&amp;RIGHT(INDIRECT(ADDRESS(ROW(F331)-1, 'From Order'!$A331)), 1), F330))"),"HSPVMZDDTDGSBLR")</f>
        <v>HSPVMZDDTDGSBLR</v>
      </c>
      <c r="G331" s="2" t="str">
        <f>IFERROR(__xludf.DUMMYFUNCTION("IF('From Order'!$A331=COLUMNS($A331:G350), LEFT(INDEX(FILTER(G$1:G330, G$1:G330&lt;&gt;""""),COUNTA(FILTER(G$1:G330, G$1:G330&lt;&gt;""""))), LEN(INDEX(FILTER(G$1:G330, G$1:G330&lt;&gt;""""),COUNTA(FILTER(G$1:G330, G$1:G330&lt;&gt;""""))))-1), IF('To Order'!$A331=COLUMNS($A331:G"&amp;"350), G330&amp;RIGHT(INDIRECT(ADDRESS(ROW(G331)-1, 'From Order'!$A331)), 1), G330))"),"")</f>
        <v/>
      </c>
      <c r="H331" s="2" t="str">
        <f>IFERROR(__xludf.DUMMYFUNCTION("IF('From Order'!$A331=COLUMNS($A331:H350), LEFT(INDEX(FILTER(H$1:H330, H$1:H330&lt;&gt;""""),COUNTA(FILTER(H$1:H330, H$1:H330&lt;&gt;""""))), LEN(INDEX(FILTER(H$1:H330, H$1:H330&lt;&gt;""""),COUNTA(FILTER(H$1:H330, H$1:H330&lt;&gt;""""))))-1), IF('To Order'!$A331=COLUMNS($A331:H"&amp;"350), H330&amp;RIGHT(INDIRECT(ADDRESS(ROW(H331)-1, 'From Order'!$A331)), 1), H330))"),"M")</f>
        <v>M</v>
      </c>
      <c r="I331" s="2" t="str">
        <f>IFERROR(__xludf.DUMMYFUNCTION("IF('From Order'!$A331=COLUMNS($A331:I350), LEFT(INDEX(FILTER(I$1:I330, I$1:I330&lt;&gt;""""),COUNTA(FILTER(I$1:I330, I$1:I330&lt;&gt;""""))), LEN(INDEX(FILTER(I$1:I330, I$1:I330&lt;&gt;""""),COUNTA(FILTER(I$1:I330, I$1:I330&lt;&gt;""""))))-1), IF('To Order'!$A331=COLUMNS($A331:I"&amp;"350), I330&amp;RIGHT(INDIRECT(ADDRESS(ROW(I331)-1, 'From Order'!$A331)), 1), I330))"),"GPB")</f>
        <v>GPB</v>
      </c>
    </row>
    <row r="332">
      <c r="A332" s="2" t="str">
        <f>IFERROR(__xludf.DUMMYFUNCTION("IF('From Order'!$A332=COLUMNS($A332:A351), LEFT(INDEX(FILTER(A$1:A331, A$1:A331&lt;&gt;""""),COUNTA(FILTER(A$1:A331, A$1:A331&lt;&gt;""""))), LEN(INDEX(FILTER(A$1:A331, A$1:A331&lt;&gt;""""),COUNTA(FILTER(A$1:A331, A$1:A331&lt;&gt;""""))))-1), IF('To Order'!$A332=COLUMNS($A332:A"&amp;"351), A331&amp;RIGHT(INDIRECT(ADDRESS(ROW(A332)-1, 'From Order'!$A332)), 1), A331))"),"CTFTMQCDTRLD")</f>
        <v>CTFTMQCDTRLD</v>
      </c>
      <c r="B332" s="2" t="str">
        <f>IFERROR(__xludf.DUMMYFUNCTION("IF('From Order'!$A332=COLUMNS($A332:B351), LEFT(INDEX(FILTER(B$1:B331, B$1:B331&lt;&gt;""""),COUNTA(FILTER(B$1:B331, B$1:B331&lt;&gt;""""))), LEN(INDEX(FILTER(B$1:B331, B$1:B331&lt;&gt;""""),COUNTA(FILTER(B$1:B331, B$1:B331&lt;&gt;""""))))-1), IF('To Order'!$A332=COLUMNS($A332:B"&amp;"351), B331&amp;RIGHT(INDIRECT(ADDRESS(ROW(B332)-1, 'From Order'!$A332)), 1), B331))"),"SWFBJ")</f>
        <v>SWFBJ</v>
      </c>
      <c r="C332" s="2" t="str">
        <f>IFERROR(__xludf.DUMMYFUNCTION("IF('From Order'!$A332=COLUMNS($A332:C351), LEFT(INDEX(FILTER(C$1:C331, C$1:C331&lt;&gt;""""),COUNTA(FILTER(C$1:C331, C$1:C331&lt;&gt;""""))), LEN(INDEX(FILTER(C$1:C331, C$1:C331&lt;&gt;""""),COUNTA(FILTER(C$1:C331, C$1:C331&lt;&gt;""""))))-1), IF('To Order'!$A332=COLUMNS($A332:C"&amp;"351), C331&amp;RIGHT(INDIRECT(ADDRESS(ROW(C332)-1, 'From Order'!$A332)), 1), C331))"),"")</f>
        <v/>
      </c>
      <c r="D332" s="2" t="str">
        <f>IFERROR(__xludf.DUMMYFUNCTION("IF('From Order'!$A332=COLUMNS($A332:D351), LEFT(INDEX(FILTER(D$1:D331, D$1:D331&lt;&gt;""""),COUNTA(FILTER(D$1:D331, D$1:D331&lt;&gt;""""))), LEN(INDEX(FILTER(D$1:D331, D$1:D331&lt;&gt;""""),COUNTA(FILTER(D$1:D331, D$1:D331&lt;&gt;""""))))-1), IF('To Order'!$A332=COLUMNS($A332:D"&amp;"351), D331&amp;RIGHT(INDIRECT(ADDRESS(ROW(D332)-1, 'From Order'!$A332)), 1), D331))"),"")</f>
        <v/>
      </c>
      <c r="E332" s="2" t="str">
        <f>IFERROR(__xludf.DUMMYFUNCTION("IF('From Order'!$A332=COLUMNS($A332:E351), LEFT(INDEX(FILTER(E$1:E331, E$1:E331&lt;&gt;""""),COUNTA(FILTER(E$1:E331, E$1:E331&lt;&gt;""""))), LEN(INDEX(FILTER(E$1:E331, E$1:E331&lt;&gt;""""),COUNTA(FILTER(E$1:E331, E$1:E331&lt;&gt;""""))))-1), IF('To Order'!$A332=COLUMNS($A332:E"&amp;"351), E331&amp;RIGHT(INDIRECT(ADDRESS(ROW(E332)-1, 'From Order'!$A332)), 1), E331))"),"HZRVSDPQRBCVTJTWRZJ")</f>
        <v>HZRVSDPQRBCVTJTWRZJ</v>
      </c>
      <c r="F332" s="2" t="str">
        <f>IFERROR(__xludf.DUMMYFUNCTION("IF('From Order'!$A332=COLUMNS($A332:F351), LEFT(INDEX(FILTER(F$1:F331, F$1:F331&lt;&gt;""""),COUNTA(FILTER(F$1:F331, F$1:F331&lt;&gt;""""))), LEN(INDEX(FILTER(F$1:F331, F$1:F331&lt;&gt;""""),COUNTA(FILTER(F$1:F331, F$1:F331&lt;&gt;""""))))-1), IF('To Order'!$A332=COLUMNS($A332:F"&amp;"351), F331&amp;RIGHT(INDIRECT(ADDRESS(ROW(F332)-1, 'From Order'!$A332)), 1), F331))"),"HSPVMZDDTDGSBLRL")</f>
        <v>HSPVMZDDTDGSBLRL</v>
      </c>
      <c r="G332" s="2" t="str">
        <f>IFERROR(__xludf.DUMMYFUNCTION("IF('From Order'!$A332=COLUMNS($A332:G351), LEFT(INDEX(FILTER(G$1:G331, G$1:G331&lt;&gt;""""),COUNTA(FILTER(G$1:G331, G$1:G331&lt;&gt;""""))), LEN(INDEX(FILTER(G$1:G331, G$1:G331&lt;&gt;""""),COUNTA(FILTER(G$1:G331, G$1:G331&lt;&gt;""""))))-1), IF('To Order'!$A332=COLUMNS($A332:G"&amp;"351), G331&amp;RIGHT(INDIRECT(ADDRESS(ROW(G332)-1, 'From Order'!$A332)), 1), G331))"),"")</f>
        <v/>
      </c>
      <c r="H332" s="2" t="str">
        <f>IFERROR(__xludf.DUMMYFUNCTION("IF('From Order'!$A332=COLUMNS($A332:H351), LEFT(INDEX(FILTER(H$1:H331, H$1:H331&lt;&gt;""""),COUNTA(FILTER(H$1:H331, H$1:H331&lt;&gt;""""))), LEN(INDEX(FILTER(H$1:H331, H$1:H331&lt;&gt;""""),COUNTA(FILTER(H$1:H331, H$1:H331&lt;&gt;""""))))-1), IF('To Order'!$A332=COLUMNS($A332:H"&amp;"351), H331&amp;RIGHT(INDIRECT(ADDRESS(ROW(H332)-1, 'From Order'!$A332)), 1), H331))"),"M")</f>
        <v>M</v>
      </c>
      <c r="I332" s="2" t="str">
        <f>IFERROR(__xludf.DUMMYFUNCTION("IF('From Order'!$A332=COLUMNS($A332:I351), LEFT(INDEX(FILTER(I$1:I331, I$1:I331&lt;&gt;""""),COUNTA(FILTER(I$1:I331, I$1:I331&lt;&gt;""""))), LEN(INDEX(FILTER(I$1:I331, I$1:I331&lt;&gt;""""),COUNTA(FILTER(I$1:I331, I$1:I331&lt;&gt;""""))))-1), IF('To Order'!$A332=COLUMNS($A332:I"&amp;"351), I331&amp;RIGHT(INDIRECT(ADDRESS(ROW(I332)-1, 'From Order'!$A332)), 1), I331))"),"GPB")</f>
        <v>GPB</v>
      </c>
    </row>
    <row r="333">
      <c r="A333" s="2" t="str">
        <f>IFERROR(__xludf.DUMMYFUNCTION("IF('From Order'!$A333=COLUMNS($A333:A352), LEFT(INDEX(FILTER(A$1:A332, A$1:A332&lt;&gt;""""),COUNTA(FILTER(A$1:A332, A$1:A332&lt;&gt;""""))), LEN(INDEX(FILTER(A$1:A332, A$1:A332&lt;&gt;""""),COUNTA(FILTER(A$1:A332, A$1:A332&lt;&gt;""""))))-1), IF('To Order'!$A333=COLUMNS($A333:A"&amp;"352), A332&amp;RIGHT(INDIRECT(ADDRESS(ROW(A333)-1, 'From Order'!$A333)), 1), A332))"),"CTFTMQCDTRLD")</f>
        <v>CTFTMQCDTRLD</v>
      </c>
      <c r="B333" s="2" t="str">
        <f>IFERROR(__xludf.DUMMYFUNCTION("IF('From Order'!$A333=COLUMNS($A333:B352), LEFT(INDEX(FILTER(B$1:B332, B$1:B332&lt;&gt;""""),COUNTA(FILTER(B$1:B332, B$1:B332&lt;&gt;""""))), LEN(INDEX(FILTER(B$1:B332, B$1:B332&lt;&gt;""""),COUNTA(FILTER(B$1:B332, B$1:B332&lt;&gt;""""))))-1), IF('To Order'!$A333=COLUMNS($A333:B"&amp;"352), B332&amp;RIGHT(INDIRECT(ADDRESS(ROW(B333)-1, 'From Order'!$A333)), 1), B332))"),"SWFB")</f>
        <v>SWFB</v>
      </c>
      <c r="C333" s="2" t="str">
        <f>IFERROR(__xludf.DUMMYFUNCTION("IF('From Order'!$A333=COLUMNS($A333:C352), LEFT(INDEX(FILTER(C$1:C332, C$1:C332&lt;&gt;""""),COUNTA(FILTER(C$1:C332, C$1:C332&lt;&gt;""""))), LEN(INDEX(FILTER(C$1:C332, C$1:C332&lt;&gt;""""),COUNTA(FILTER(C$1:C332, C$1:C332&lt;&gt;""""))))-1), IF('To Order'!$A333=COLUMNS($A333:C"&amp;"352), C332&amp;RIGHT(INDIRECT(ADDRESS(ROW(C333)-1, 'From Order'!$A333)), 1), C332))"),"")</f>
        <v/>
      </c>
      <c r="D333" s="2" t="str">
        <f>IFERROR(__xludf.DUMMYFUNCTION("IF('From Order'!$A333=COLUMNS($A333:D352), LEFT(INDEX(FILTER(D$1:D332, D$1:D332&lt;&gt;""""),COUNTA(FILTER(D$1:D332, D$1:D332&lt;&gt;""""))), LEN(INDEX(FILTER(D$1:D332, D$1:D332&lt;&gt;""""),COUNTA(FILTER(D$1:D332, D$1:D332&lt;&gt;""""))))-1), IF('To Order'!$A333=COLUMNS($A333:D"&amp;"352), D332&amp;RIGHT(INDIRECT(ADDRESS(ROW(D333)-1, 'From Order'!$A333)), 1), D332))"),"")</f>
        <v/>
      </c>
      <c r="E333" s="2" t="str">
        <f>IFERROR(__xludf.DUMMYFUNCTION("IF('From Order'!$A333=COLUMNS($A333:E352), LEFT(INDEX(FILTER(E$1:E332, E$1:E332&lt;&gt;""""),COUNTA(FILTER(E$1:E332, E$1:E332&lt;&gt;""""))), LEN(INDEX(FILTER(E$1:E332, E$1:E332&lt;&gt;""""),COUNTA(FILTER(E$1:E332, E$1:E332&lt;&gt;""""))))-1), IF('To Order'!$A333=COLUMNS($A333:E"&amp;"352), E332&amp;RIGHT(INDIRECT(ADDRESS(ROW(E333)-1, 'From Order'!$A333)), 1), E332))"),"HZRVSDPQRBCVTJTWRZJ")</f>
        <v>HZRVSDPQRBCVTJTWRZJ</v>
      </c>
      <c r="F333" s="2" t="str">
        <f>IFERROR(__xludf.DUMMYFUNCTION("IF('From Order'!$A333=COLUMNS($A333:F352), LEFT(INDEX(FILTER(F$1:F332, F$1:F332&lt;&gt;""""),COUNTA(FILTER(F$1:F332, F$1:F332&lt;&gt;""""))), LEN(INDEX(FILTER(F$1:F332, F$1:F332&lt;&gt;""""),COUNTA(FILTER(F$1:F332, F$1:F332&lt;&gt;""""))))-1), IF('To Order'!$A333=COLUMNS($A333:F"&amp;"352), F332&amp;RIGHT(INDIRECT(ADDRESS(ROW(F333)-1, 'From Order'!$A333)), 1), F332))"),"HSPVMZDDTDGSBLRLJ")</f>
        <v>HSPVMZDDTDGSBLRLJ</v>
      </c>
      <c r="G333" s="2" t="str">
        <f>IFERROR(__xludf.DUMMYFUNCTION("IF('From Order'!$A333=COLUMNS($A333:G352), LEFT(INDEX(FILTER(G$1:G332, G$1:G332&lt;&gt;""""),COUNTA(FILTER(G$1:G332, G$1:G332&lt;&gt;""""))), LEN(INDEX(FILTER(G$1:G332, G$1:G332&lt;&gt;""""),COUNTA(FILTER(G$1:G332, G$1:G332&lt;&gt;""""))))-1), IF('To Order'!$A333=COLUMNS($A333:G"&amp;"352), G332&amp;RIGHT(INDIRECT(ADDRESS(ROW(G333)-1, 'From Order'!$A333)), 1), G332))"),"")</f>
        <v/>
      </c>
      <c r="H333" s="2" t="str">
        <f>IFERROR(__xludf.DUMMYFUNCTION("IF('From Order'!$A333=COLUMNS($A333:H352), LEFT(INDEX(FILTER(H$1:H332, H$1:H332&lt;&gt;""""),COUNTA(FILTER(H$1:H332, H$1:H332&lt;&gt;""""))), LEN(INDEX(FILTER(H$1:H332, H$1:H332&lt;&gt;""""),COUNTA(FILTER(H$1:H332, H$1:H332&lt;&gt;""""))))-1), IF('To Order'!$A333=COLUMNS($A333:H"&amp;"352), H332&amp;RIGHT(INDIRECT(ADDRESS(ROW(H333)-1, 'From Order'!$A333)), 1), H332))"),"M")</f>
        <v>M</v>
      </c>
      <c r="I333" s="2" t="str">
        <f>IFERROR(__xludf.DUMMYFUNCTION("IF('From Order'!$A333=COLUMNS($A333:I352), LEFT(INDEX(FILTER(I$1:I332, I$1:I332&lt;&gt;""""),COUNTA(FILTER(I$1:I332, I$1:I332&lt;&gt;""""))), LEN(INDEX(FILTER(I$1:I332, I$1:I332&lt;&gt;""""),COUNTA(FILTER(I$1:I332, I$1:I332&lt;&gt;""""))))-1), IF('To Order'!$A333=COLUMNS($A333:I"&amp;"352), I332&amp;RIGHT(INDIRECT(ADDRESS(ROW(I333)-1, 'From Order'!$A333)), 1), I332))"),"GPB")</f>
        <v>GPB</v>
      </c>
    </row>
    <row r="334">
      <c r="A334" s="2" t="str">
        <f>IFERROR(__xludf.DUMMYFUNCTION("IF('From Order'!$A334=COLUMNS($A334:A353), LEFT(INDEX(FILTER(A$1:A333, A$1:A333&lt;&gt;""""),COUNTA(FILTER(A$1:A333, A$1:A333&lt;&gt;""""))), LEN(INDEX(FILTER(A$1:A333, A$1:A333&lt;&gt;""""),COUNTA(FILTER(A$1:A333, A$1:A333&lt;&gt;""""))))-1), IF('To Order'!$A334=COLUMNS($A334:A"&amp;"353), A333&amp;RIGHT(INDIRECT(ADDRESS(ROW(A334)-1, 'From Order'!$A334)), 1), A333))"),"CTFTMQCDTRLD")</f>
        <v>CTFTMQCDTRLD</v>
      </c>
      <c r="B334" s="2" t="str">
        <f>IFERROR(__xludf.DUMMYFUNCTION("IF('From Order'!$A334=COLUMNS($A334:B353), LEFT(INDEX(FILTER(B$1:B333, B$1:B333&lt;&gt;""""),COUNTA(FILTER(B$1:B333, B$1:B333&lt;&gt;""""))), LEN(INDEX(FILTER(B$1:B333, B$1:B333&lt;&gt;""""),COUNTA(FILTER(B$1:B333, B$1:B333&lt;&gt;""""))))-1), IF('To Order'!$A334=COLUMNS($A334:B"&amp;"353), B333&amp;RIGHT(INDIRECT(ADDRESS(ROW(B334)-1, 'From Order'!$A334)), 1), B333))"),"SWF")</f>
        <v>SWF</v>
      </c>
      <c r="C334" s="2" t="str">
        <f>IFERROR(__xludf.DUMMYFUNCTION("IF('From Order'!$A334=COLUMNS($A334:C353), LEFT(INDEX(FILTER(C$1:C333, C$1:C333&lt;&gt;""""),COUNTA(FILTER(C$1:C333, C$1:C333&lt;&gt;""""))), LEN(INDEX(FILTER(C$1:C333, C$1:C333&lt;&gt;""""),COUNTA(FILTER(C$1:C333, C$1:C333&lt;&gt;""""))))-1), IF('To Order'!$A334=COLUMNS($A334:C"&amp;"353), C333&amp;RIGHT(INDIRECT(ADDRESS(ROW(C334)-1, 'From Order'!$A334)), 1), C333))"),"")</f>
        <v/>
      </c>
      <c r="D334" s="2" t="str">
        <f>IFERROR(__xludf.DUMMYFUNCTION("IF('From Order'!$A334=COLUMNS($A334:D353), LEFT(INDEX(FILTER(D$1:D333, D$1:D333&lt;&gt;""""),COUNTA(FILTER(D$1:D333, D$1:D333&lt;&gt;""""))), LEN(INDEX(FILTER(D$1:D333, D$1:D333&lt;&gt;""""),COUNTA(FILTER(D$1:D333, D$1:D333&lt;&gt;""""))))-1), IF('To Order'!$A334=COLUMNS($A334:D"&amp;"353), D333&amp;RIGHT(INDIRECT(ADDRESS(ROW(D334)-1, 'From Order'!$A334)), 1), D333))"),"")</f>
        <v/>
      </c>
      <c r="E334" s="2" t="str">
        <f>IFERROR(__xludf.DUMMYFUNCTION("IF('From Order'!$A334=COLUMNS($A334:E353), LEFT(INDEX(FILTER(E$1:E333, E$1:E333&lt;&gt;""""),COUNTA(FILTER(E$1:E333, E$1:E333&lt;&gt;""""))), LEN(INDEX(FILTER(E$1:E333, E$1:E333&lt;&gt;""""),COUNTA(FILTER(E$1:E333, E$1:E333&lt;&gt;""""))))-1), IF('To Order'!$A334=COLUMNS($A334:E"&amp;"353), E333&amp;RIGHT(INDIRECT(ADDRESS(ROW(E334)-1, 'From Order'!$A334)), 1), E333))"),"HZRVSDPQRBCVTJTWRZJ")</f>
        <v>HZRVSDPQRBCVTJTWRZJ</v>
      </c>
      <c r="F334" s="2" t="str">
        <f>IFERROR(__xludf.DUMMYFUNCTION("IF('From Order'!$A334=COLUMNS($A334:F353), LEFT(INDEX(FILTER(F$1:F333, F$1:F333&lt;&gt;""""),COUNTA(FILTER(F$1:F333, F$1:F333&lt;&gt;""""))), LEN(INDEX(FILTER(F$1:F333, F$1:F333&lt;&gt;""""),COUNTA(FILTER(F$1:F333, F$1:F333&lt;&gt;""""))))-1), IF('To Order'!$A334=COLUMNS($A334:F"&amp;"353), F333&amp;RIGHT(INDIRECT(ADDRESS(ROW(F334)-1, 'From Order'!$A334)), 1), F333))"),"HSPVMZDDTDGSBLRLJB")</f>
        <v>HSPVMZDDTDGSBLRLJB</v>
      </c>
      <c r="G334" s="2" t="str">
        <f>IFERROR(__xludf.DUMMYFUNCTION("IF('From Order'!$A334=COLUMNS($A334:G353), LEFT(INDEX(FILTER(G$1:G333, G$1:G333&lt;&gt;""""),COUNTA(FILTER(G$1:G333, G$1:G333&lt;&gt;""""))), LEN(INDEX(FILTER(G$1:G333, G$1:G333&lt;&gt;""""),COUNTA(FILTER(G$1:G333, G$1:G333&lt;&gt;""""))))-1), IF('To Order'!$A334=COLUMNS($A334:G"&amp;"353), G333&amp;RIGHT(INDIRECT(ADDRESS(ROW(G334)-1, 'From Order'!$A334)), 1), G333))"),"")</f>
        <v/>
      </c>
      <c r="H334" s="2" t="str">
        <f>IFERROR(__xludf.DUMMYFUNCTION("IF('From Order'!$A334=COLUMNS($A334:H353), LEFT(INDEX(FILTER(H$1:H333, H$1:H333&lt;&gt;""""),COUNTA(FILTER(H$1:H333, H$1:H333&lt;&gt;""""))), LEN(INDEX(FILTER(H$1:H333, H$1:H333&lt;&gt;""""),COUNTA(FILTER(H$1:H333, H$1:H333&lt;&gt;""""))))-1), IF('To Order'!$A334=COLUMNS($A334:H"&amp;"353), H333&amp;RIGHT(INDIRECT(ADDRESS(ROW(H334)-1, 'From Order'!$A334)), 1), H333))"),"M")</f>
        <v>M</v>
      </c>
      <c r="I334" s="2" t="str">
        <f>IFERROR(__xludf.DUMMYFUNCTION("IF('From Order'!$A334=COLUMNS($A334:I353), LEFT(INDEX(FILTER(I$1:I333, I$1:I333&lt;&gt;""""),COUNTA(FILTER(I$1:I333, I$1:I333&lt;&gt;""""))), LEN(INDEX(FILTER(I$1:I333, I$1:I333&lt;&gt;""""),COUNTA(FILTER(I$1:I333, I$1:I333&lt;&gt;""""))))-1), IF('To Order'!$A334=COLUMNS($A334:I"&amp;"353), I333&amp;RIGHT(INDIRECT(ADDRESS(ROW(I334)-1, 'From Order'!$A334)), 1), I333))"),"GPB")</f>
        <v>GPB</v>
      </c>
    </row>
    <row r="335">
      <c r="A335" s="2" t="str">
        <f>IFERROR(__xludf.DUMMYFUNCTION("IF('From Order'!$A335=COLUMNS($A335:A354), LEFT(INDEX(FILTER(A$1:A334, A$1:A334&lt;&gt;""""),COUNTA(FILTER(A$1:A334, A$1:A334&lt;&gt;""""))), LEN(INDEX(FILTER(A$1:A334, A$1:A334&lt;&gt;""""),COUNTA(FILTER(A$1:A334, A$1:A334&lt;&gt;""""))))-1), IF('To Order'!$A335=COLUMNS($A335:A"&amp;"354), A334&amp;RIGHT(INDIRECT(ADDRESS(ROW(A335)-1, 'From Order'!$A335)), 1), A334))"),"CTFTMQCDTRLD")</f>
        <v>CTFTMQCDTRLD</v>
      </c>
      <c r="B335" s="2" t="str">
        <f>IFERROR(__xludf.DUMMYFUNCTION("IF('From Order'!$A335=COLUMNS($A335:B354), LEFT(INDEX(FILTER(B$1:B334, B$1:B334&lt;&gt;""""),COUNTA(FILTER(B$1:B334, B$1:B334&lt;&gt;""""))), LEN(INDEX(FILTER(B$1:B334, B$1:B334&lt;&gt;""""),COUNTA(FILTER(B$1:B334, B$1:B334&lt;&gt;""""))))-1), IF('To Order'!$A335=COLUMNS($A335:B"&amp;"354), B334&amp;RIGHT(INDIRECT(ADDRESS(ROW(B335)-1, 'From Order'!$A335)), 1), B334))"),"SW")</f>
        <v>SW</v>
      </c>
      <c r="C335" s="2" t="str">
        <f>IFERROR(__xludf.DUMMYFUNCTION("IF('From Order'!$A335=COLUMNS($A335:C354), LEFT(INDEX(FILTER(C$1:C334, C$1:C334&lt;&gt;""""),COUNTA(FILTER(C$1:C334, C$1:C334&lt;&gt;""""))), LEN(INDEX(FILTER(C$1:C334, C$1:C334&lt;&gt;""""),COUNTA(FILTER(C$1:C334, C$1:C334&lt;&gt;""""))))-1), IF('To Order'!$A335=COLUMNS($A335:C"&amp;"354), C334&amp;RIGHT(INDIRECT(ADDRESS(ROW(C335)-1, 'From Order'!$A335)), 1), C334))"),"")</f>
        <v/>
      </c>
      <c r="D335" s="2" t="str">
        <f>IFERROR(__xludf.DUMMYFUNCTION("IF('From Order'!$A335=COLUMNS($A335:D354), LEFT(INDEX(FILTER(D$1:D334, D$1:D334&lt;&gt;""""),COUNTA(FILTER(D$1:D334, D$1:D334&lt;&gt;""""))), LEN(INDEX(FILTER(D$1:D334, D$1:D334&lt;&gt;""""),COUNTA(FILTER(D$1:D334, D$1:D334&lt;&gt;""""))))-1), IF('To Order'!$A335=COLUMNS($A335:D"&amp;"354), D334&amp;RIGHT(INDIRECT(ADDRESS(ROW(D335)-1, 'From Order'!$A335)), 1), D334))"),"")</f>
        <v/>
      </c>
      <c r="E335" s="2" t="str">
        <f>IFERROR(__xludf.DUMMYFUNCTION("IF('From Order'!$A335=COLUMNS($A335:E354), LEFT(INDEX(FILTER(E$1:E334, E$1:E334&lt;&gt;""""),COUNTA(FILTER(E$1:E334, E$1:E334&lt;&gt;""""))), LEN(INDEX(FILTER(E$1:E334, E$1:E334&lt;&gt;""""),COUNTA(FILTER(E$1:E334, E$1:E334&lt;&gt;""""))))-1), IF('To Order'!$A335=COLUMNS($A335:E"&amp;"354), E334&amp;RIGHT(INDIRECT(ADDRESS(ROW(E335)-1, 'From Order'!$A335)), 1), E334))"),"HZRVSDPQRBCVTJTWRZJ")</f>
        <v>HZRVSDPQRBCVTJTWRZJ</v>
      </c>
      <c r="F335" s="2" t="str">
        <f>IFERROR(__xludf.DUMMYFUNCTION("IF('From Order'!$A335=COLUMNS($A335:F354), LEFT(INDEX(FILTER(F$1:F334, F$1:F334&lt;&gt;""""),COUNTA(FILTER(F$1:F334, F$1:F334&lt;&gt;""""))), LEN(INDEX(FILTER(F$1:F334, F$1:F334&lt;&gt;""""),COUNTA(FILTER(F$1:F334, F$1:F334&lt;&gt;""""))))-1), IF('To Order'!$A335=COLUMNS($A335:F"&amp;"354), F334&amp;RIGHT(INDIRECT(ADDRESS(ROW(F335)-1, 'From Order'!$A335)), 1), F334))"),"HSPVMZDDTDGSBLRLJBF")</f>
        <v>HSPVMZDDTDGSBLRLJBF</v>
      </c>
      <c r="G335" s="2" t="str">
        <f>IFERROR(__xludf.DUMMYFUNCTION("IF('From Order'!$A335=COLUMNS($A335:G354), LEFT(INDEX(FILTER(G$1:G334, G$1:G334&lt;&gt;""""),COUNTA(FILTER(G$1:G334, G$1:G334&lt;&gt;""""))), LEN(INDEX(FILTER(G$1:G334, G$1:G334&lt;&gt;""""),COUNTA(FILTER(G$1:G334, G$1:G334&lt;&gt;""""))))-1), IF('To Order'!$A335=COLUMNS($A335:G"&amp;"354), G334&amp;RIGHT(INDIRECT(ADDRESS(ROW(G335)-1, 'From Order'!$A335)), 1), G334))"),"")</f>
        <v/>
      </c>
      <c r="H335" s="2" t="str">
        <f>IFERROR(__xludf.DUMMYFUNCTION("IF('From Order'!$A335=COLUMNS($A335:H354), LEFT(INDEX(FILTER(H$1:H334, H$1:H334&lt;&gt;""""),COUNTA(FILTER(H$1:H334, H$1:H334&lt;&gt;""""))), LEN(INDEX(FILTER(H$1:H334, H$1:H334&lt;&gt;""""),COUNTA(FILTER(H$1:H334, H$1:H334&lt;&gt;""""))))-1), IF('To Order'!$A335=COLUMNS($A335:H"&amp;"354), H334&amp;RIGHT(INDIRECT(ADDRESS(ROW(H335)-1, 'From Order'!$A335)), 1), H334))"),"M")</f>
        <v>M</v>
      </c>
      <c r="I335" s="2" t="str">
        <f>IFERROR(__xludf.DUMMYFUNCTION("IF('From Order'!$A335=COLUMNS($A335:I354), LEFT(INDEX(FILTER(I$1:I334, I$1:I334&lt;&gt;""""),COUNTA(FILTER(I$1:I334, I$1:I334&lt;&gt;""""))), LEN(INDEX(FILTER(I$1:I334, I$1:I334&lt;&gt;""""),COUNTA(FILTER(I$1:I334, I$1:I334&lt;&gt;""""))))-1), IF('To Order'!$A335=COLUMNS($A335:I"&amp;"354), I334&amp;RIGHT(INDIRECT(ADDRESS(ROW(I335)-1, 'From Order'!$A335)), 1), I334))"),"GPB")</f>
        <v>GPB</v>
      </c>
    </row>
    <row r="336">
      <c r="A336" s="2" t="str">
        <f>IFERROR(__xludf.DUMMYFUNCTION("IF('From Order'!$A336=COLUMNS($A336:A355), LEFT(INDEX(FILTER(A$1:A335, A$1:A335&lt;&gt;""""),COUNTA(FILTER(A$1:A335, A$1:A335&lt;&gt;""""))), LEN(INDEX(FILTER(A$1:A335, A$1:A335&lt;&gt;""""),COUNTA(FILTER(A$1:A335, A$1:A335&lt;&gt;""""))))-1), IF('To Order'!$A336=COLUMNS($A336:A"&amp;"355), A335&amp;RIGHT(INDIRECT(ADDRESS(ROW(A336)-1, 'From Order'!$A336)), 1), A335))"),"CTFTMQCDTRLD")</f>
        <v>CTFTMQCDTRLD</v>
      </c>
      <c r="B336" s="2" t="str">
        <f>IFERROR(__xludf.DUMMYFUNCTION("IF('From Order'!$A336=COLUMNS($A336:B355), LEFT(INDEX(FILTER(B$1:B335, B$1:B335&lt;&gt;""""),COUNTA(FILTER(B$1:B335, B$1:B335&lt;&gt;""""))), LEN(INDEX(FILTER(B$1:B335, B$1:B335&lt;&gt;""""),COUNTA(FILTER(B$1:B335, B$1:B335&lt;&gt;""""))))-1), IF('To Order'!$A336=COLUMNS($A336:B"&amp;"355), B335&amp;RIGHT(INDIRECT(ADDRESS(ROW(B336)-1, 'From Order'!$A336)), 1), B335))"),"S")</f>
        <v>S</v>
      </c>
      <c r="C336" s="2" t="str">
        <f>IFERROR(__xludf.DUMMYFUNCTION("IF('From Order'!$A336=COLUMNS($A336:C355), LEFT(INDEX(FILTER(C$1:C335, C$1:C335&lt;&gt;""""),COUNTA(FILTER(C$1:C335, C$1:C335&lt;&gt;""""))), LEN(INDEX(FILTER(C$1:C335, C$1:C335&lt;&gt;""""),COUNTA(FILTER(C$1:C335, C$1:C335&lt;&gt;""""))))-1), IF('To Order'!$A336=COLUMNS($A336:C"&amp;"355), C335&amp;RIGHT(INDIRECT(ADDRESS(ROW(C336)-1, 'From Order'!$A336)), 1), C335))"),"")</f>
        <v/>
      </c>
      <c r="D336" s="2" t="str">
        <f>IFERROR(__xludf.DUMMYFUNCTION("IF('From Order'!$A336=COLUMNS($A336:D355), LEFT(INDEX(FILTER(D$1:D335, D$1:D335&lt;&gt;""""),COUNTA(FILTER(D$1:D335, D$1:D335&lt;&gt;""""))), LEN(INDEX(FILTER(D$1:D335, D$1:D335&lt;&gt;""""),COUNTA(FILTER(D$1:D335, D$1:D335&lt;&gt;""""))))-1), IF('To Order'!$A336=COLUMNS($A336:D"&amp;"355), D335&amp;RIGHT(INDIRECT(ADDRESS(ROW(D336)-1, 'From Order'!$A336)), 1), D335))"),"")</f>
        <v/>
      </c>
      <c r="E336" s="2" t="str">
        <f>IFERROR(__xludf.DUMMYFUNCTION("IF('From Order'!$A336=COLUMNS($A336:E355), LEFT(INDEX(FILTER(E$1:E335, E$1:E335&lt;&gt;""""),COUNTA(FILTER(E$1:E335, E$1:E335&lt;&gt;""""))), LEN(INDEX(FILTER(E$1:E335, E$1:E335&lt;&gt;""""),COUNTA(FILTER(E$1:E335, E$1:E335&lt;&gt;""""))))-1), IF('To Order'!$A336=COLUMNS($A336:E"&amp;"355), E335&amp;RIGHT(INDIRECT(ADDRESS(ROW(E336)-1, 'From Order'!$A336)), 1), E335))"),"HZRVSDPQRBCVTJTWRZJ")</f>
        <v>HZRVSDPQRBCVTJTWRZJ</v>
      </c>
      <c r="F336" s="2" t="str">
        <f>IFERROR(__xludf.DUMMYFUNCTION("IF('From Order'!$A336=COLUMNS($A336:F355), LEFT(INDEX(FILTER(F$1:F335, F$1:F335&lt;&gt;""""),COUNTA(FILTER(F$1:F335, F$1:F335&lt;&gt;""""))), LEN(INDEX(FILTER(F$1:F335, F$1:F335&lt;&gt;""""),COUNTA(FILTER(F$1:F335, F$1:F335&lt;&gt;""""))))-1), IF('To Order'!$A336=COLUMNS($A336:F"&amp;"355), F335&amp;RIGHT(INDIRECT(ADDRESS(ROW(F336)-1, 'From Order'!$A336)), 1), F335))"),"HSPVMZDDTDGSBLRLJBFW")</f>
        <v>HSPVMZDDTDGSBLRLJBFW</v>
      </c>
      <c r="G336" s="2" t="str">
        <f>IFERROR(__xludf.DUMMYFUNCTION("IF('From Order'!$A336=COLUMNS($A336:G355), LEFT(INDEX(FILTER(G$1:G335, G$1:G335&lt;&gt;""""),COUNTA(FILTER(G$1:G335, G$1:G335&lt;&gt;""""))), LEN(INDEX(FILTER(G$1:G335, G$1:G335&lt;&gt;""""),COUNTA(FILTER(G$1:G335, G$1:G335&lt;&gt;""""))))-1), IF('To Order'!$A336=COLUMNS($A336:G"&amp;"355), G335&amp;RIGHT(INDIRECT(ADDRESS(ROW(G336)-1, 'From Order'!$A336)), 1), G335))"),"")</f>
        <v/>
      </c>
      <c r="H336" s="2" t="str">
        <f>IFERROR(__xludf.DUMMYFUNCTION("IF('From Order'!$A336=COLUMNS($A336:H355), LEFT(INDEX(FILTER(H$1:H335, H$1:H335&lt;&gt;""""),COUNTA(FILTER(H$1:H335, H$1:H335&lt;&gt;""""))), LEN(INDEX(FILTER(H$1:H335, H$1:H335&lt;&gt;""""),COUNTA(FILTER(H$1:H335, H$1:H335&lt;&gt;""""))))-1), IF('To Order'!$A336=COLUMNS($A336:H"&amp;"355), H335&amp;RIGHT(INDIRECT(ADDRESS(ROW(H336)-1, 'From Order'!$A336)), 1), H335))"),"M")</f>
        <v>M</v>
      </c>
      <c r="I336" s="2" t="str">
        <f>IFERROR(__xludf.DUMMYFUNCTION("IF('From Order'!$A336=COLUMNS($A336:I355), LEFT(INDEX(FILTER(I$1:I335, I$1:I335&lt;&gt;""""),COUNTA(FILTER(I$1:I335, I$1:I335&lt;&gt;""""))), LEN(INDEX(FILTER(I$1:I335, I$1:I335&lt;&gt;""""),COUNTA(FILTER(I$1:I335, I$1:I335&lt;&gt;""""))))-1), IF('To Order'!$A336=COLUMNS($A336:I"&amp;"355), I335&amp;RIGHT(INDIRECT(ADDRESS(ROW(I336)-1, 'From Order'!$A336)), 1), I335))"),"GPB")</f>
        <v>GPB</v>
      </c>
    </row>
    <row r="337">
      <c r="A337" s="2" t="str">
        <f>IFERROR(__xludf.DUMMYFUNCTION("IF('From Order'!$A337=COLUMNS($A337:A356), LEFT(INDEX(FILTER(A$1:A336, A$1:A336&lt;&gt;""""),COUNTA(FILTER(A$1:A336, A$1:A336&lt;&gt;""""))), LEN(INDEX(FILTER(A$1:A336, A$1:A336&lt;&gt;""""),COUNTA(FILTER(A$1:A336, A$1:A336&lt;&gt;""""))))-1), IF('To Order'!$A337=COLUMNS($A337:A"&amp;"356), A336&amp;RIGHT(INDIRECT(ADDRESS(ROW(A337)-1, 'From Order'!$A337)), 1), A336))"),"CTFTMQCDTRLD")</f>
        <v>CTFTMQCDTRLD</v>
      </c>
      <c r="B337" s="2" t="str">
        <f>IFERROR(__xludf.DUMMYFUNCTION("IF('From Order'!$A337=COLUMNS($A337:B356), LEFT(INDEX(FILTER(B$1:B336, B$1:B336&lt;&gt;""""),COUNTA(FILTER(B$1:B336, B$1:B336&lt;&gt;""""))), LEN(INDEX(FILTER(B$1:B336, B$1:B336&lt;&gt;""""),COUNTA(FILTER(B$1:B336, B$1:B336&lt;&gt;""""))))-1), IF('To Order'!$A337=COLUMNS($A337:B"&amp;"356), B336&amp;RIGHT(INDIRECT(ADDRESS(ROW(B337)-1, 'From Order'!$A337)), 1), B336))"),"S")</f>
        <v>S</v>
      </c>
      <c r="C337" s="2" t="str">
        <f>IFERROR(__xludf.DUMMYFUNCTION("IF('From Order'!$A337=COLUMNS($A337:C356), LEFT(INDEX(FILTER(C$1:C336, C$1:C336&lt;&gt;""""),COUNTA(FILTER(C$1:C336, C$1:C336&lt;&gt;""""))), LEN(INDEX(FILTER(C$1:C336, C$1:C336&lt;&gt;""""),COUNTA(FILTER(C$1:C336, C$1:C336&lt;&gt;""""))))-1), IF('To Order'!$A337=COLUMNS($A337:C"&amp;"356), C336&amp;RIGHT(INDIRECT(ADDRESS(ROW(C337)-1, 'From Order'!$A337)), 1), C336))"),"")</f>
        <v/>
      </c>
      <c r="D337" s="2" t="str">
        <f>IFERROR(__xludf.DUMMYFUNCTION("IF('From Order'!$A337=COLUMNS($A337:D356), LEFT(INDEX(FILTER(D$1:D336, D$1:D336&lt;&gt;""""),COUNTA(FILTER(D$1:D336, D$1:D336&lt;&gt;""""))), LEN(INDEX(FILTER(D$1:D336, D$1:D336&lt;&gt;""""),COUNTA(FILTER(D$1:D336, D$1:D336&lt;&gt;""""))))-1), IF('To Order'!$A337=COLUMNS($A337:D"&amp;"356), D336&amp;RIGHT(INDIRECT(ADDRESS(ROW(D337)-1, 'From Order'!$A337)), 1), D336))"),"J")</f>
        <v>J</v>
      </c>
      <c r="E337" s="2" t="str">
        <f>IFERROR(__xludf.DUMMYFUNCTION("IF('From Order'!$A337=COLUMNS($A337:E356), LEFT(INDEX(FILTER(E$1:E336, E$1:E336&lt;&gt;""""),COUNTA(FILTER(E$1:E336, E$1:E336&lt;&gt;""""))), LEN(INDEX(FILTER(E$1:E336, E$1:E336&lt;&gt;""""),COUNTA(FILTER(E$1:E336, E$1:E336&lt;&gt;""""))))-1), IF('To Order'!$A337=COLUMNS($A337:E"&amp;"356), E336&amp;RIGHT(INDIRECT(ADDRESS(ROW(E337)-1, 'From Order'!$A337)), 1), E336))"),"HZRVSDPQRBCVTJTWRZ")</f>
        <v>HZRVSDPQRBCVTJTWRZ</v>
      </c>
      <c r="F337" s="2" t="str">
        <f>IFERROR(__xludf.DUMMYFUNCTION("IF('From Order'!$A337=COLUMNS($A337:F356), LEFT(INDEX(FILTER(F$1:F336, F$1:F336&lt;&gt;""""),COUNTA(FILTER(F$1:F336, F$1:F336&lt;&gt;""""))), LEN(INDEX(FILTER(F$1:F336, F$1:F336&lt;&gt;""""),COUNTA(FILTER(F$1:F336, F$1:F336&lt;&gt;""""))))-1), IF('To Order'!$A337=COLUMNS($A337:F"&amp;"356), F336&amp;RIGHT(INDIRECT(ADDRESS(ROW(F337)-1, 'From Order'!$A337)), 1), F336))"),"HSPVMZDDTDGSBLRLJBFW")</f>
        <v>HSPVMZDDTDGSBLRLJBFW</v>
      </c>
      <c r="G337" s="2" t="str">
        <f>IFERROR(__xludf.DUMMYFUNCTION("IF('From Order'!$A337=COLUMNS($A337:G356), LEFT(INDEX(FILTER(G$1:G336, G$1:G336&lt;&gt;""""),COUNTA(FILTER(G$1:G336, G$1:G336&lt;&gt;""""))), LEN(INDEX(FILTER(G$1:G336, G$1:G336&lt;&gt;""""),COUNTA(FILTER(G$1:G336, G$1:G336&lt;&gt;""""))))-1), IF('To Order'!$A337=COLUMNS($A337:G"&amp;"356), G336&amp;RIGHT(INDIRECT(ADDRESS(ROW(G337)-1, 'From Order'!$A337)), 1), G336))"),"")</f>
        <v/>
      </c>
      <c r="H337" s="2" t="str">
        <f>IFERROR(__xludf.DUMMYFUNCTION("IF('From Order'!$A337=COLUMNS($A337:H356), LEFT(INDEX(FILTER(H$1:H336, H$1:H336&lt;&gt;""""),COUNTA(FILTER(H$1:H336, H$1:H336&lt;&gt;""""))), LEN(INDEX(FILTER(H$1:H336, H$1:H336&lt;&gt;""""),COUNTA(FILTER(H$1:H336, H$1:H336&lt;&gt;""""))))-1), IF('To Order'!$A337=COLUMNS($A337:H"&amp;"356), H336&amp;RIGHT(INDIRECT(ADDRESS(ROW(H337)-1, 'From Order'!$A337)), 1), H336))"),"M")</f>
        <v>M</v>
      </c>
      <c r="I337" s="2" t="str">
        <f>IFERROR(__xludf.DUMMYFUNCTION("IF('From Order'!$A337=COLUMNS($A337:I356), LEFT(INDEX(FILTER(I$1:I336, I$1:I336&lt;&gt;""""),COUNTA(FILTER(I$1:I336, I$1:I336&lt;&gt;""""))), LEN(INDEX(FILTER(I$1:I336, I$1:I336&lt;&gt;""""),COUNTA(FILTER(I$1:I336, I$1:I336&lt;&gt;""""))))-1), IF('To Order'!$A337=COLUMNS($A337:I"&amp;"356), I336&amp;RIGHT(INDIRECT(ADDRESS(ROW(I337)-1, 'From Order'!$A337)), 1), I336))"),"GPB")</f>
        <v>GPB</v>
      </c>
    </row>
    <row r="338">
      <c r="A338" s="2" t="str">
        <f>IFERROR(__xludf.DUMMYFUNCTION("IF('From Order'!$A338=COLUMNS($A338:A357), LEFT(INDEX(FILTER(A$1:A337, A$1:A337&lt;&gt;""""),COUNTA(FILTER(A$1:A337, A$1:A337&lt;&gt;""""))), LEN(INDEX(FILTER(A$1:A337, A$1:A337&lt;&gt;""""),COUNTA(FILTER(A$1:A337, A$1:A337&lt;&gt;""""))))-1), IF('To Order'!$A338=COLUMNS($A338:A"&amp;"357), A337&amp;RIGHT(INDIRECT(ADDRESS(ROW(A338)-1, 'From Order'!$A338)), 1), A337))"),"CTFTMQCDTRLD")</f>
        <v>CTFTMQCDTRLD</v>
      </c>
      <c r="B338" s="2" t="str">
        <f>IFERROR(__xludf.DUMMYFUNCTION("IF('From Order'!$A338=COLUMNS($A338:B357), LEFT(INDEX(FILTER(B$1:B337, B$1:B337&lt;&gt;""""),COUNTA(FILTER(B$1:B337, B$1:B337&lt;&gt;""""))), LEN(INDEX(FILTER(B$1:B337, B$1:B337&lt;&gt;""""),COUNTA(FILTER(B$1:B337, B$1:B337&lt;&gt;""""))))-1), IF('To Order'!$A338=COLUMNS($A338:B"&amp;"357), B337&amp;RIGHT(INDIRECT(ADDRESS(ROW(B338)-1, 'From Order'!$A338)), 1), B337))"),"S")</f>
        <v>S</v>
      </c>
      <c r="C338" s="2" t="str">
        <f>IFERROR(__xludf.DUMMYFUNCTION("IF('From Order'!$A338=COLUMNS($A338:C357), LEFT(INDEX(FILTER(C$1:C337, C$1:C337&lt;&gt;""""),COUNTA(FILTER(C$1:C337, C$1:C337&lt;&gt;""""))), LEN(INDEX(FILTER(C$1:C337, C$1:C337&lt;&gt;""""),COUNTA(FILTER(C$1:C337, C$1:C337&lt;&gt;""""))))-1), IF('To Order'!$A338=COLUMNS($A338:C"&amp;"357), C337&amp;RIGHT(INDIRECT(ADDRESS(ROW(C338)-1, 'From Order'!$A338)), 1), C337))"),"")</f>
        <v/>
      </c>
      <c r="D338" s="2" t="str">
        <f>IFERROR(__xludf.DUMMYFUNCTION("IF('From Order'!$A338=COLUMNS($A338:D357), LEFT(INDEX(FILTER(D$1:D337, D$1:D337&lt;&gt;""""),COUNTA(FILTER(D$1:D337, D$1:D337&lt;&gt;""""))), LEN(INDEX(FILTER(D$1:D337, D$1:D337&lt;&gt;""""),COUNTA(FILTER(D$1:D337, D$1:D337&lt;&gt;""""))))-1), IF('To Order'!$A338=COLUMNS($A338:D"&amp;"357), D337&amp;RIGHT(INDIRECT(ADDRESS(ROW(D338)-1, 'From Order'!$A338)), 1), D337))"),"JZ")</f>
        <v>JZ</v>
      </c>
      <c r="E338" s="2" t="str">
        <f>IFERROR(__xludf.DUMMYFUNCTION("IF('From Order'!$A338=COLUMNS($A338:E357), LEFT(INDEX(FILTER(E$1:E337, E$1:E337&lt;&gt;""""),COUNTA(FILTER(E$1:E337, E$1:E337&lt;&gt;""""))), LEN(INDEX(FILTER(E$1:E337, E$1:E337&lt;&gt;""""),COUNTA(FILTER(E$1:E337, E$1:E337&lt;&gt;""""))))-1), IF('To Order'!$A338=COLUMNS($A338:E"&amp;"357), E337&amp;RIGHT(INDIRECT(ADDRESS(ROW(E338)-1, 'From Order'!$A338)), 1), E337))"),"HZRVSDPQRBCVTJTWR")</f>
        <v>HZRVSDPQRBCVTJTWR</v>
      </c>
      <c r="F338" s="2" t="str">
        <f>IFERROR(__xludf.DUMMYFUNCTION("IF('From Order'!$A338=COLUMNS($A338:F357), LEFT(INDEX(FILTER(F$1:F337, F$1:F337&lt;&gt;""""),COUNTA(FILTER(F$1:F337, F$1:F337&lt;&gt;""""))), LEN(INDEX(FILTER(F$1:F337, F$1:F337&lt;&gt;""""),COUNTA(FILTER(F$1:F337, F$1:F337&lt;&gt;""""))))-1), IF('To Order'!$A338=COLUMNS($A338:F"&amp;"357), F337&amp;RIGHT(INDIRECT(ADDRESS(ROW(F338)-1, 'From Order'!$A338)), 1), F337))"),"HSPVMZDDTDGSBLRLJBFW")</f>
        <v>HSPVMZDDTDGSBLRLJBFW</v>
      </c>
      <c r="G338" s="2" t="str">
        <f>IFERROR(__xludf.DUMMYFUNCTION("IF('From Order'!$A338=COLUMNS($A338:G357), LEFT(INDEX(FILTER(G$1:G337, G$1:G337&lt;&gt;""""),COUNTA(FILTER(G$1:G337, G$1:G337&lt;&gt;""""))), LEN(INDEX(FILTER(G$1:G337, G$1:G337&lt;&gt;""""),COUNTA(FILTER(G$1:G337, G$1:G337&lt;&gt;""""))))-1), IF('To Order'!$A338=COLUMNS($A338:G"&amp;"357), G337&amp;RIGHT(INDIRECT(ADDRESS(ROW(G338)-1, 'From Order'!$A338)), 1), G337))"),"")</f>
        <v/>
      </c>
      <c r="H338" s="2" t="str">
        <f>IFERROR(__xludf.DUMMYFUNCTION("IF('From Order'!$A338=COLUMNS($A338:H357), LEFT(INDEX(FILTER(H$1:H337, H$1:H337&lt;&gt;""""),COUNTA(FILTER(H$1:H337, H$1:H337&lt;&gt;""""))), LEN(INDEX(FILTER(H$1:H337, H$1:H337&lt;&gt;""""),COUNTA(FILTER(H$1:H337, H$1:H337&lt;&gt;""""))))-1), IF('To Order'!$A338=COLUMNS($A338:H"&amp;"357), H337&amp;RIGHT(INDIRECT(ADDRESS(ROW(H338)-1, 'From Order'!$A338)), 1), H337))"),"M")</f>
        <v>M</v>
      </c>
      <c r="I338" s="2" t="str">
        <f>IFERROR(__xludf.DUMMYFUNCTION("IF('From Order'!$A338=COLUMNS($A338:I357), LEFT(INDEX(FILTER(I$1:I337, I$1:I337&lt;&gt;""""),COUNTA(FILTER(I$1:I337, I$1:I337&lt;&gt;""""))), LEN(INDEX(FILTER(I$1:I337, I$1:I337&lt;&gt;""""),COUNTA(FILTER(I$1:I337, I$1:I337&lt;&gt;""""))))-1), IF('To Order'!$A338=COLUMNS($A338:I"&amp;"357), I337&amp;RIGHT(INDIRECT(ADDRESS(ROW(I338)-1, 'From Order'!$A338)), 1), I337))"),"GPB")</f>
        <v>GPB</v>
      </c>
    </row>
    <row r="339">
      <c r="A339" s="2" t="str">
        <f>IFERROR(__xludf.DUMMYFUNCTION("IF('From Order'!$A339=COLUMNS($A339:A358), LEFT(INDEX(FILTER(A$1:A338, A$1:A338&lt;&gt;""""),COUNTA(FILTER(A$1:A338, A$1:A338&lt;&gt;""""))), LEN(INDEX(FILTER(A$1:A338, A$1:A338&lt;&gt;""""),COUNTA(FILTER(A$1:A338, A$1:A338&lt;&gt;""""))))-1), IF('To Order'!$A339=COLUMNS($A339:A"&amp;"358), A338&amp;RIGHT(INDIRECT(ADDRESS(ROW(A339)-1, 'From Order'!$A339)), 1), A338))"),"CTFTMQCDTRLD")</f>
        <v>CTFTMQCDTRLD</v>
      </c>
      <c r="B339" s="2" t="str">
        <f>IFERROR(__xludf.DUMMYFUNCTION("IF('From Order'!$A339=COLUMNS($A339:B358), LEFT(INDEX(FILTER(B$1:B338, B$1:B338&lt;&gt;""""),COUNTA(FILTER(B$1:B338, B$1:B338&lt;&gt;""""))), LEN(INDEX(FILTER(B$1:B338, B$1:B338&lt;&gt;""""),COUNTA(FILTER(B$1:B338, B$1:B338&lt;&gt;""""))))-1), IF('To Order'!$A339=COLUMNS($A339:B"&amp;"358), B338&amp;RIGHT(INDIRECT(ADDRESS(ROW(B339)-1, 'From Order'!$A339)), 1), B338))"),"")</f>
        <v/>
      </c>
      <c r="C339" s="2" t="str">
        <f>IFERROR(__xludf.DUMMYFUNCTION("IF('From Order'!$A339=COLUMNS($A339:C358), LEFT(INDEX(FILTER(C$1:C338, C$1:C338&lt;&gt;""""),COUNTA(FILTER(C$1:C338, C$1:C338&lt;&gt;""""))), LEN(INDEX(FILTER(C$1:C338, C$1:C338&lt;&gt;""""),COUNTA(FILTER(C$1:C338, C$1:C338&lt;&gt;""""))))-1), IF('To Order'!$A339=COLUMNS($A339:C"&amp;"358), C338&amp;RIGHT(INDIRECT(ADDRESS(ROW(C339)-1, 'From Order'!$A339)), 1), C338))"),"")</f>
        <v/>
      </c>
      <c r="D339" s="2" t="str">
        <f>IFERROR(__xludf.DUMMYFUNCTION("IF('From Order'!$A339=COLUMNS($A339:D358), LEFT(INDEX(FILTER(D$1:D338, D$1:D338&lt;&gt;""""),COUNTA(FILTER(D$1:D338, D$1:D338&lt;&gt;""""))), LEN(INDEX(FILTER(D$1:D338, D$1:D338&lt;&gt;""""),COUNTA(FILTER(D$1:D338, D$1:D338&lt;&gt;""""))))-1), IF('To Order'!$A339=COLUMNS($A339:D"&amp;"358), D338&amp;RIGHT(INDIRECT(ADDRESS(ROW(D339)-1, 'From Order'!$A339)), 1), D338))"),"JZ")</f>
        <v>JZ</v>
      </c>
      <c r="E339" s="2" t="str">
        <f>IFERROR(__xludf.DUMMYFUNCTION("IF('From Order'!$A339=COLUMNS($A339:E358), LEFT(INDEX(FILTER(E$1:E338, E$1:E338&lt;&gt;""""),COUNTA(FILTER(E$1:E338, E$1:E338&lt;&gt;""""))), LEN(INDEX(FILTER(E$1:E338, E$1:E338&lt;&gt;""""),COUNTA(FILTER(E$1:E338, E$1:E338&lt;&gt;""""))))-1), IF('To Order'!$A339=COLUMNS($A339:E"&amp;"358), E338&amp;RIGHT(INDIRECT(ADDRESS(ROW(E339)-1, 'From Order'!$A339)), 1), E338))"),"HZRVSDPQRBCVTJTWR")</f>
        <v>HZRVSDPQRBCVTJTWR</v>
      </c>
      <c r="F339" s="2" t="str">
        <f>IFERROR(__xludf.DUMMYFUNCTION("IF('From Order'!$A339=COLUMNS($A339:F358), LEFT(INDEX(FILTER(F$1:F338, F$1:F338&lt;&gt;""""),COUNTA(FILTER(F$1:F338, F$1:F338&lt;&gt;""""))), LEN(INDEX(FILTER(F$1:F338, F$1:F338&lt;&gt;""""),COUNTA(FILTER(F$1:F338, F$1:F338&lt;&gt;""""))))-1), IF('To Order'!$A339=COLUMNS($A339:F"&amp;"358), F338&amp;RIGHT(INDIRECT(ADDRESS(ROW(F339)-1, 'From Order'!$A339)), 1), F338))"),"HSPVMZDDTDGSBLRLJBFW")</f>
        <v>HSPVMZDDTDGSBLRLJBFW</v>
      </c>
      <c r="G339" s="2" t="str">
        <f>IFERROR(__xludf.DUMMYFUNCTION("IF('From Order'!$A339=COLUMNS($A339:G358), LEFT(INDEX(FILTER(G$1:G338, G$1:G338&lt;&gt;""""),COUNTA(FILTER(G$1:G338, G$1:G338&lt;&gt;""""))), LEN(INDEX(FILTER(G$1:G338, G$1:G338&lt;&gt;""""),COUNTA(FILTER(G$1:G338, G$1:G338&lt;&gt;""""))))-1), IF('To Order'!$A339=COLUMNS($A339:G"&amp;"358), G338&amp;RIGHT(INDIRECT(ADDRESS(ROW(G339)-1, 'From Order'!$A339)), 1), G338))"),"")</f>
        <v/>
      </c>
      <c r="H339" s="2" t="str">
        <f>IFERROR(__xludf.DUMMYFUNCTION("IF('From Order'!$A339=COLUMNS($A339:H358), LEFT(INDEX(FILTER(H$1:H338, H$1:H338&lt;&gt;""""),COUNTA(FILTER(H$1:H338, H$1:H338&lt;&gt;""""))), LEN(INDEX(FILTER(H$1:H338, H$1:H338&lt;&gt;""""),COUNTA(FILTER(H$1:H338, H$1:H338&lt;&gt;""""))))-1), IF('To Order'!$A339=COLUMNS($A339:H"&amp;"358), H338&amp;RIGHT(INDIRECT(ADDRESS(ROW(H339)-1, 'From Order'!$A339)), 1), H338))"),"MS")</f>
        <v>MS</v>
      </c>
      <c r="I339" s="2" t="str">
        <f>IFERROR(__xludf.DUMMYFUNCTION("IF('From Order'!$A339=COLUMNS($A339:I358), LEFT(INDEX(FILTER(I$1:I338, I$1:I338&lt;&gt;""""),COUNTA(FILTER(I$1:I338, I$1:I338&lt;&gt;""""))), LEN(INDEX(FILTER(I$1:I338, I$1:I338&lt;&gt;""""),COUNTA(FILTER(I$1:I338, I$1:I338&lt;&gt;""""))))-1), IF('To Order'!$A339=COLUMNS($A339:I"&amp;"358), I338&amp;RIGHT(INDIRECT(ADDRESS(ROW(I339)-1, 'From Order'!$A339)), 1), I338))"),"GPB")</f>
        <v>GPB</v>
      </c>
    </row>
    <row r="340">
      <c r="A340" s="2" t="str">
        <f>IFERROR(__xludf.DUMMYFUNCTION("IF('From Order'!$A340=COLUMNS($A340:A359), LEFT(INDEX(FILTER(A$1:A339, A$1:A339&lt;&gt;""""),COUNTA(FILTER(A$1:A339, A$1:A339&lt;&gt;""""))), LEN(INDEX(FILTER(A$1:A339, A$1:A339&lt;&gt;""""),COUNTA(FILTER(A$1:A339, A$1:A339&lt;&gt;""""))))-1), IF('To Order'!$A340=COLUMNS($A340:A"&amp;"359), A339&amp;RIGHT(INDIRECT(ADDRESS(ROW(A340)-1, 'From Order'!$A340)), 1), A339))"),"CTFTMQCDTRLD")</f>
        <v>CTFTMQCDTRLD</v>
      </c>
      <c r="B340" s="2" t="str">
        <f>IFERROR(__xludf.DUMMYFUNCTION("IF('From Order'!$A340=COLUMNS($A340:B359), LEFT(INDEX(FILTER(B$1:B339, B$1:B339&lt;&gt;""""),COUNTA(FILTER(B$1:B339, B$1:B339&lt;&gt;""""))), LEN(INDEX(FILTER(B$1:B339, B$1:B339&lt;&gt;""""),COUNTA(FILTER(B$1:B339, B$1:B339&lt;&gt;""""))))-1), IF('To Order'!$A340=COLUMNS($A340:B"&amp;"359), B339&amp;RIGHT(INDIRECT(ADDRESS(ROW(B340)-1, 'From Order'!$A340)), 1), B339))"),"")</f>
        <v/>
      </c>
      <c r="C340" s="2" t="str">
        <f>IFERROR(__xludf.DUMMYFUNCTION("IF('From Order'!$A340=COLUMNS($A340:C359), LEFT(INDEX(FILTER(C$1:C339, C$1:C339&lt;&gt;""""),COUNTA(FILTER(C$1:C339, C$1:C339&lt;&gt;""""))), LEN(INDEX(FILTER(C$1:C339, C$1:C339&lt;&gt;""""),COUNTA(FILTER(C$1:C339, C$1:C339&lt;&gt;""""))))-1), IF('To Order'!$A340=COLUMNS($A340:C"&amp;"359), C339&amp;RIGHT(INDIRECT(ADDRESS(ROW(C340)-1, 'From Order'!$A340)), 1), C339))"),"")</f>
        <v/>
      </c>
      <c r="D340" s="2" t="str">
        <f>IFERROR(__xludf.DUMMYFUNCTION("IF('From Order'!$A340=COLUMNS($A340:D359), LEFT(INDEX(FILTER(D$1:D339, D$1:D339&lt;&gt;""""),COUNTA(FILTER(D$1:D339, D$1:D339&lt;&gt;""""))), LEN(INDEX(FILTER(D$1:D339, D$1:D339&lt;&gt;""""),COUNTA(FILTER(D$1:D339, D$1:D339&lt;&gt;""""))))-1), IF('To Order'!$A340=COLUMNS($A340:D"&amp;"359), D339&amp;RIGHT(INDIRECT(ADDRESS(ROW(D340)-1, 'From Order'!$A340)), 1), D339))"),"J")</f>
        <v>J</v>
      </c>
      <c r="E340" s="2" t="str">
        <f>IFERROR(__xludf.DUMMYFUNCTION("IF('From Order'!$A340=COLUMNS($A340:E359), LEFT(INDEX(FILTER(E$1:E339, E$1:E339&lt;&gt;""""),COUNTA(FILTER(E$1:E339, E$1:E339&lt;&gt;""""))), LEN(INDEX(FILTER(E$1:E339, E$1:E339&lt;&gt;""""),COUNTA(FILTER(E$1:E339, E$1:E339&lt;&gt;""""))))-1), IF('To Order'!$A340=COLUMNS($A340:E"&amp;"359), E339&amp;RIGHT(INDIRECT(ADDRESS(ROW(E340)-1, 'From Order'!$A340)), 1), E339))"),"HZRVSDPQRBCVTJTWR")</f>
        <v>HZRVSDPQRBCVTJTWR</v>
      </c>
      <c r="F340" s="2" t="str">
        <f>IFERROR(__xludf.DUMMYFUNCTION("IF('From Order'!$A340=COLUMNS($A340:F359), LEFT(INDEX(FILTER(F$1:F339, F$1:F339&lt;&gt;""""),COUNTA(FILTER(F$1:F339, F$1:F339&lt;&gt;""""))), LEN(INDEX(FILTER(F$1:F339, F$1:F339&lt;&gt;""""),COUNTA(FILTER(F$1:F339, F$1:F339&lt;&gt;""""))))-1), IF('To Order'!$A340=COLUMNS($A340:F"&amp;"359), F339&amp;RIGHT(INDIRECT(ADDRESS(ROW(F340)-1, 'From Order'!$A340)), 1), F339))"),"HSPVMZDDTDGSBLRLJBFW")</f>
        <v>HSPVMZDDTDGSBLRLJBFW</v>
      </c>
      <c r="G340" s="2" t="str">
        <f>IFERROR(__xludf.DUMMYFUNCTION("IF('From Order'!$A340=COLUMNS($A340:G359), LEFT(INDEX(FILTER(G$1:G339, G$1:G339&lt;&gt;""""),COUNTA(FILTER(G$1:G339, G$1:G339&lt;&gt;""""))), LEN(INDEX(FILTER(G$1:G339, G$1:G339&lt;&gt;""""),COUNTA(FILTER(G$1:G339, G$1:G339&lt;&gt;""""))))-1), IF('To Order'!$A340=COLUMNS($A340:G"&amp;"359), G339&amp;RIGHT(INDIRECT(ADDRESS(ROW(G340)-1, 'From Order'!$A340)), 1), G339))"),"")</f>
        <v/>
      </c>
      <c r="H340" s="2" t="str">
        <f>IFERROR(__xludf.DUMMYFUNCTION("IF('From Order'!$A340=COLUMNS($A340:H359), LEFT(INDEX(FILTER(H$1:H339, H$1:H339&lt;&gt;""""),COUNTA(FILTER(H$1:H339, H$1:H339&lt;&gt;""""))), LEN(INDEX(FILTER(H$1:H339, H$1:H339&lt;&gt;""""),COUNTA(FILTER(H$1:H339, H$1:H339&lt;&gt;""""))))-1), IF('To Order'!$A340=COLUMNS($A340:H"&amp;"359), H339&amp;RIGHT(INDIRECT(ADDRESS(ROW(H340)-1, 'From Order'!$A340)), 1), H339))"),"MS")</f>
        <v>MS</v>
      </c>
      <c r="I340" s="2" t="str">
        <f>IFERROR(__xludf.DUMMYFUNCTION("IF('From Order'!$A340=COLUMNS($A340:I359), LEFT(INDEX(FILTER(I$1:I339, I$1:I339&lt;&gt;""""),COUNTA(FILTER(I$1:I339, I$1:I339&lt;&gt;""""))), LEN(INDEX(FILTER(I$1:I339, I$1:I339&lt;&gt;""""),COUNTA(FILTER(I$1:I339, I$1:I339&lt;&gt;""""))))-1), IF('To Order'!$A340=COLUMNS($A340:I"&amp;"359), I339&amp;RIGHT(INDIRECT(ADDRESS(ROW(I340)-1, 'From Order'!$A340)), 1), I339))"),"GPBZ")</f>
        <v>GPBZ</v>
      </c>
    </row>
    <row r="341">
      <c r="A341" s="2" t="str">
        <f>IFERROR(__xludf.DUMMYFUNCTION("IF('From Order'!$A341=COLUMNS($A341:A360), LEFT(INDEX(FILTER(A$1:A340, A$1:A340&lt;&gt;""""),COUNTA(FILTER(A$1:A340, A$1:A340&lt;&gt;""""))), LEN(INDEX(FILTER(A$1:A340, A$1:A340&lt;&gt;""""),COUNTA(FILTER(A$1:A340, A$1:A340&lt;&gt;""""))))-1), IF('To Order'!$A341=COLUMNS($A341:A"&amp;"360), A340&amp;RIGHT(INDIRECT(ADDRESS(ROW(A341)-1, 'From Order'!$A341)), 1), A340))"),"CTFTMQCDTRLD")</f>
        <v>CTFTMQCDTRLD</v>
      </c>
      <c r="B341" s="2" t="str">
        <f>IFERROR(__xludf.DUMMYFUNCTION("IF('From Order'!$A341=COLUMNS($A341:B360), LEFT(INDEX(FILTER(B$1:B340, B$1:B340&lt;&gt;""""),COUNTA(FILTER(B$1:B340, B$1:B340&lt;&gt;""""))), LEN(INDEX(FILTER(B$1:B340, B$1:B340&lt;&gt;""""),COUNTA(FILTER(B$1:B340, B$1:B340&lt;&gt;""""))))-1), IF('To Order'!$A341=COLUMNS($A341:B"&amp;"360), B340&amp;RIGHT(INDIRECT(ADDRESS(ROW(B341)-1, 'From Order'!$A341)), 1), B340))"),"")</f>
        <v/>
      </c>
      <c r="C341" s="2" t="str">
        <f>IFERROR(__xludf.DUMMYFUNCTION("IF('From Order'!$A341=COLUMNS($A341:C360), LEFT(INDEX(FILTER(C$1:C340, C$1:C340&lt;&gt;""""),COUNTA(FILTER(C$1:C340, C$1:C340&lt;&gt;""""))), LEN(INDEX(FILTER(C$1:C340, C$1:C340&lt;&gt;""""),COUNTA(FILTER(C$1:C340, C$1:C340&lt;&gt;""""))))-1), IF('To Order'!$A341=COLUMNS($A341:C"&amp;"360), C340&amp;RIGHT(INDIRECT(ADDRESS(ROW(C341)-1, 'From Order'!$A341)), 1), C340))"),"")</f>
        <v/>
      </c>
      <c r="D341" s="2" t="str">
        <f>IFERROR(__xludf.DUMMYFUNCTION("IF('From Order'!$A341=COLUMNS($A341:D360), LEFT(INDEX(FILTER(D$1:D340, D$1:D340&lt;&gt;""""),COUNTA(FILTER(D$1:D340, D$1:D340&lt;&gt;""""))), LEN(INDEX(FILTER(D$1:D340, D$1:D340&lt;&gt;""""),COUNTA(FILTER(D$1:D340, D$1:D340&lt;&gt;""""))))-1), IF('To Order'!$A341=COLUMNS($A341:D"&amp;"360), D340&amp;RIGHT(INDIRECT(ADDRESS(ROW(D341)-1, 'From Order'!$A341)), 1), D340))"),"")</f>
        <v/>
      </c>
      <c r="E341" s="2" t="str">
        <f>IFERROR(__xludf.DUMMYFUNCTION("IF('From Order'!$A341=COLUMNS($A341:E360), LEFT(INDEX(FILTER(E$1:E340, E$1:E340&lt;&gt;""""),COUNTA(FILTER(E$1:E340, E$1:E340&lt;&gt;""""))), LEN(INDEX(FILTER(E$1:E340, E$1:E340&lt;&gt;""""),COUNTA(FILTER(E$1:E340, E$1:E340&lt;&gt;""""))))-1), IF('To Order'!$A341=COLUMNS($A341:E"&amp;"360), E340&amp;RIGHT(INDIRECT(ADDRESS(ROW(E341)-1, 'From Order'!$A341)), 1), E340))"),"HZRVSDPQRBCVTJTWR")</f>
        <v>HZRVSDPQRBCVTJTWR</v>
      </c>
      <c r="F341" s="2" t="str">
        <f>IFERROR(__xludf.DUMMYFUNCTION("IF('From Order'!$A341=COLUMNS($A341:F360), LEFT(INDEX(FILTER(F$1:F340, F$1:F340&lt;&gt;""""),COUNTA(FILTER(F$1:F340, F$1:F340&lt;&gt;""""))), LEN(INDEX(FILTER(F$1:F340, F$1:F340&lt;&gt;""""),COUNTA(FILTER(F$1:F340, F$1:F340&lt;&gt;""""))))-1), IF('To Order'!$A341=COLUMNS($A341:F"&amp;"360), F340&amp;RIGHT(INDIRECT(ADDRESS(ROW(F341)-1, 'From Order'!$A341)), 1), F340))"),"HSPVMZDDTDGSBLRLJBFW")</f>
        <v>HSPVMZDDTDGSBLRLJBFW</v>
      </c>
      <c r="G341" s="2" t="str">
        <f>IFERROR(__xludf.DUMMYFUNCTION("IF('From Order'!$A341=COLUMNS($A341:G360), LEFT(INDEX(FILTER(G$1:G340, G$1:G340&lt;&gt;""""),COUNTA(FILTER(G$1:G340, G$1:G340&lt;&gt;""""))), LEN(INDEX(FILTER(G$1:G340, G$1:G340&lt;&gt;""""),COUNTA(FILTER(G$1:G340, G$1:G340&lt;&gt;""""))))-1), IF('To Order'!$A341=COLUMNS($A341:G"&amp;"360), G340&amp;RIGHT(INDIRECT(ADDRESS(ROW(G341)-1, 'From Order'!$A341)), 1), G340))"),"")</f>
        <v/>
      </c>
      <c r="H341" s="2" t="str">
        <f>IFERROR(__xludf.DUMMYFUNCTION("IF('From Order'!$A341=COLUMNS($A341:H360), LEFT(INDEX(FILTER(H$1:H340, H$1:H340&lt;&gt;""""),COUNTA(FILTER(H$1:H340, H$1:H340&lt;&gt;""""))), LEN(INDEX(FILTER(H$1:H340, H$1:H340&lt;&gt;""""),COUNTA(FILTER(H$1:H340, H$1:H340&lt;&gt;""""))))-1), IF('To Order'!$A341=COLUMNS($A341:H"&amp;"360), H340&amp;RIGHT(INDIRECT(ADDRESS(ROW(H341)-1, 'From Order'!$A341)), 1), H340))"),"MS")</f>
        <v>MS</v>
      </c>
      <c r="I341" s="2" t="str">
        <f>IFERROR(__xludf.DUMMYFUNCTION("IF('From Order'!$A341=COLUMNS($A341:I360), LEFT(INDEX(FILTER(I$1:I340, I$1:I340&lt;&gt;""""),COUNTA(FILTER(I$1:I340, I$1:I340&lt;&gt;""""))), LEN(INDEX(FILTER(I$1:I340, I$1:I340&lt;&gt;""""),COUNTA(FILTER(I$1:I340, I$1:I340&lt;&gt;""""))))-1), IF('To Order'!$A341=COLUMNS($A341:I"&amp;"360), I340&amp;RIGHT(INDIRECT(ADDRESS(ROW(I341)-1, 'From Order'!$A341)), 1), I340))"),"GPBZJ")</f>
        <v>GPBZJ</v>
      </c>
    </row>
    <row r="342">
      <c r="A342" s="2" t="str">
        <f>IFERROR(__xludf.DUMMYFUNCTION("IF('From Order'!$A342=COLUMNS($A342:A361), LEFT(INDEX(FILTER(A$1:A341, A$1:A341&lt;&gt;""""),COUNTA(FILTER(A$1:A341, A$1:A341&lt;&gt;""""))), LEN(INDEX(FILTER(A$1:A341, A$1:A341&lt;&gt;""""),COUNTA(FILTER(A$1:A341, A$1:A341&lt;&gt;""""))))-1), IF('To Order'!$A342=COLUMNS($A342:A"&amp;"361), A341&amp;RIGHT(INDIRECT(ADDRESS(ROW(A342)-1, 'From Order'!$A342)), 1), A341))"),"CTFTMQCDTRLD")</f>
        <v>CTFTMQCDTRLD</v>
      </c>
      <c r="B342" s="2" t="str">
        <f>IFERROR(__xludf.DUMMYFUNCTION("IF('From Order'!$A342=COLUMNS($A342:B361), LEFT(INDEX(FILTER(B$1:B341, B$1:B341&lt;&gt;""""),COUNTA(FILTER(B$1:B341, B$1:B341&lt;&gt;""""))), LEN(INDEX(FILTER(B$1:B341, B$1:B341&lt;&gt;""""),COUNTA(FILTER(B$1:B341, B$1:B341&lt;&gt;""""))))-1), IF('To Order'!$A342=COLUMNS($A342:B"&amp;"361), B341&amp;RIGHT(INDIRECT(ADDRESS(ROW(B342)-1, 'From Order'!$A342)), 1), B341))"),"")</f>
        <v/>
      </c>
      <c r="C342" s="2" t="str">
        <f>IFERROR(__xludf.DUMMYFUNCTION("IF('From Order'!$A342=COLUMNS($A342:C361), LEFT(INDEX(FILTER(C$1:C341, C$1:C341&lt;&gt;""""),COUNTA(FILTER(C$1:C341, C$1:C341&lt;&gt;""""))), LEN(INDEX(FILTER(C$1:C341, C$1:C341&lt;&gt;""""),COUNTA(FILTER(C$1:C341, C$1:C341&lt;&gt;""""))))-1), IF('To Order'!$A342=COLUMNS($A342:C"&amp;"361), C341&amp;RIGHT(INDIRECT(ADDRESS(ROW(C342)-1, 'From Order'!$A342)), 1), C341))"),"S")</f>
        <v>S</v>
      </c>
      <c r="D342" s="2" t="str">
        <f>IFERROR(__xludf.DUMMYFUNCTION("IF('From Order'!$A342=COLUMNS($A342:D361), LEFT(INDEX(FILTER(D$1:D341, D$1:D341&lt;&gt;""""),COUNTA(FILTER(D$1:D341, D$1:D341&lt;&gt;""""))), LEN(INDEX(FILTER(D$1:D341, D$1:D341&lt;&gt;""""),COUNTA(FILTER(D$1:D341, D$1:D341&lt;&gt;""""))))-1), IF('To Order'!$A342=COLUMNS($A342:D"&amp;"361), D341&amp;RIGHT(INDIRECT(ADDRESS(ROW(D342)-1, 'From Order'!$A342)), 1), D341))"),"")</f>
        <v/>
      </c>
      <c r="E342" s="2" t="str">
        <f>IFERROR(__xludf.DUMMYFUNCTION("IF('From Order'!$A342=COLUMNS($A342:E361), LEFT(INDEX(FILTER(E$1:E341, E$1:E341&lt;&gt;""""),COUNTA(FILTER(E$1:E341, E$1:E341&lt;&gt;""""))), LEN(INDEX(FILTER(E$1:E341, E$1:E341&lt;&gt;""""),COUNTA(FILTER(E$1:E341, E$1:E341&lt;&gt;""""))))-1), IF('To Order'!$A342=COLUMNS($A342:E"&amp;"361), E341&amp;RIGHT(INDIRECT(ADDRESS(ROW(E342)-1, 'From Order'!$A342)), 1), E341))"),"HZRVSDPQRBCVTJTWR")</f>
        <v>HZRVSDPQRBCVTJTWR</v>
      </c>
      <c r="F342" s="2" t="str">
        <f>IFERROR(__xludf.DUMMYFUNCTION("IF('From Order'!$A342=COLUMNS($A342:F361), LEFT(INDEX(FILTER(F$1:F341, F$1:F341&lt;&gt;""""),COUNTA(FILTER(F$1:F341, F$1:F341&lt;&gt;""""))), LEN(INDEX(FILTER(F$1:F341, F$1:F341&lt;&gt;""""),COUNTA(FILTER(F$1:F341, F$1:F341&lt;&gt;""""))))-1), IF('To Order'!$A342=COLUMNS($A342:F"&amp;"361), F341&amp;RIGHT(INDIRECT(ADDRESS(ROW(F342)-1, 'From Order'!$A342)), 1), F341))"),"HSPVMZDDTDGSBLRLJBFW")</f>
        <v>HSPVMZDDTDGSBLRLJBFW</v>
      </c>
      <c r="G342" s="2" t="str">
        <f>IFERROR(__xludf.DUMMYFUNCTION("IF('From Order'!$A342=COLUMNS($A342:G361), LEFT(INDEX(FILTER(G$1:G341, G$1:G341&lt;&gt;""""),COUNTA(FILTER(G$1:G341, G$1:G341&lt;&gt;""""))), LEN(INDEX(FILTER(G$1:G341, G$1:G341&lt;&gt;""""),COUNTA(FILTER(G$1:G341, G$1:G341&lt;&gt;""""))))-1), IF('To Order'!$A342=COLUMNS($A342:G"&amp;"361), G341&amp;RIGHT(INDIRECT(ADDRESS(ROW(G342)-1, 'From Order'!$A342)), 1), G341))"),"")</f>
        <v/>
      </c>
      <c r="H342" s="2" t="str">
        <f>IFERROR(__xludf.DUMMYFUNCTION("IF('From Order'!$A342=COLUMNS($A342:H361), LEFT(INDEX(FILTER(H$1:H341, H$1:H341&lt;&gt;""""),COUNTA(FILTER(H$1:H341, H$1:H341&lt;&gt;""""))), LEN(INDEX(FILTER(H$1:H341, H$1:H341&lt;&gt;""""),COUNTA(FILTER(H$1:H341, H$1:H341&lt;&gt;""""))))-1), IF('To Order'!$A342=COLUMNS($A342:H"&amp;"361), H341&amp;RIGHT(INDIRECT(ADDRESS(ROW(H342)-1, 'From Order'!$A342)), 1), H341))"),"M")</f>
        <v>M</v>
      </c>
      <c r="I342" s="2" t="str">
        <f>IFERROR(__xludf.DUMMYFUNCTION("IF('From Order'!$A342=COLUMNS($A342:I361), LEFT(INDEX(FILTER(I$1:I341, I$1:I341&lt;&gt;""""),COUNTA(FILTER(I$1:I341, I$1:I341&lt;&gt;""""))), LEN(INDEX(FILTER(I$1:I341, I$1:I341&lt;&gt;""""),COUNTA(FILTER(I$1:I341, I$1:I341&lt;&gt;""""))))-1), IF('To Order'!$A342=COLUMNS($A342:I"&amp;"361), I341&amp;RIGHT(INDIRECT(ADDRESS(ROW(I342)-1, 'From Order'!$A342)), 1), I341))"),"GPBZJ")</f>
        <v>GPBZJ</v>
      </c>
    </row>
    <row r="343">
      <c r="A343" s="2" t="str">
        <f>IFERROR(__xludf.DUMMYFUNCTION("IF('From Order'!$A343=COLUMNS($A343:A362), LEFT(INDEX(FILTER(A$1:A342, A$1:A342&lt;&gt;""""),COUNTA(FILTER(A$1:A342, A$1:A342&lt;&gt;""""))), LEN(INDEX(FILTER(A$1:A342, A$1:A342&lt;&gt;""""),COUNTA(FILTER(A$1:A342, A$1:A342&lt;&gt;""""))))-1), IF('To Order'!$A343=COLUMNS($A343:A"&amp;"362), A342&amp;RIGHT(INDIRECT(ADDRESS(ROW(A343)-1, 'From Order'!$A343)), 1), A342))"),"CTFTMQCDTRLD")</f>
        <v>CTFTMQCDTRLD</v>
      </c>
      <c r="B343" s="2" t="str">
        <f>IFERROR(__xludf.DUMMYFUNCTION("IF('From Order'!$A343=COLUMNS($A343:B362), LEFT(INDEX(FILTER(B$1:B342, B$1:B342&lt;&gt;""""),COUNTA(FILTER(B$1:B342, B$1:B342&lt;&gt;""""))), LEN(INDEX(FILTER(B$1:B342, B$1:B342&lt;&gt;""""),COUNTA(FILTER(B$1:B342, B$1:B342&lt;&gt;""""))))-1), IF('To Order'!$A343=COLUMNS($A343:B"&amp;"362), B342&amp;RIGHT(INDIRECT(ADDRESS(ROW(B343)-1, 'From Order'!$A343)), 1), B342))"),"")</f>
        <v/>
      </c>
      <c r="C343" s="2" t="str">
        <f>IFERROR(__xludf.DUMMYFUNCTION("IF('From Order'!$A343=COLUMNS($A343:C362), LEFT(INDEX(FILTER(C$1:C342, C$1:C342&lt;&gt;""""),COUNTA(FILTER(C$1:C342, C$1:C342&lt;&gt;""""))), LEN(INDEX(FILTER(C$1:C342, C$1:C342&lt;&gt;""""),COUNTA(FILTER(C$1:C342, C$1:C342&lt;&gt;""""))))-1), IF('To Order'!$A343=COLUMNS($A343:C"&amp;"362), C342&amp;RIGHT(INDIRECT(ADDRESS(ROW(C343)-1, 'From Order'!$A343)), 1), C342))"),"SM")</f>
        <v>SM</v>
      </c>
      <c r="D343" s="2" t="str">
        <f>IFERROR(__xludf.DUMMYFUNCTION("IF('From Order'!$A343=COLUMNS($A343:D362), LEFT(INDEX(FILTER(D$1:D342, D$1:D342&lt;&gt;""""),COUNTA(FILTER(D$1:D342, D$1:D342&lt;&gt;""""))), LEN(INDEX(FILTER(D$1:D342, D$1:D342&lt;&gt;""""),COUNTA(FILTER(D$1:D342, D$1:D342&lt;&gt;""""))))-1), IF('To Order'!$A343=COLUMNS($A343:D"&amp;"362), D342&amp;RIGHT(INDIRECT(ADDRESS(ROW(D343)-1, 'From Order'!$A343)), 1), D342))"),"")</f>
        <v/>
      </c>
      <c r="E343" s="2" t="str">
        <f>IFERROR(__xludf.DUMMYFUNCTION("IF('From Order'!$A343=COLUMNS($A343:E362), LEFT(INDEX(FILTER(E$1:E342, E$1:E342&lt;&gt;""""),COUNTA(FILTER(E$1:E342, E$1:E342&lt;&gt;""""))), LEN(INDEX(FILTER(E$1:E342, E$1:E342&lt;&gt;""""),COUNTA(FILTER(E$1:E342, E$1:E342&lt;&gt;""""))))-1), IF('To Order'!$A343=COLUMNS($A343:E"&amp;"362), E342&amp;RIGHT(INDIRECT(ADDRESS(ROW(E343)-1, 'From Order'!$A343)), 1), E342))"),"HZRVSDPQRBCVTJTWR")</f>
        <v>HZRVSDPQRBCVTJTWR</v>
      </c>
      <c r="F343" s="2" t="str">
        <f>IFERROR(__xludf.DUMMYFUNCTION("IF('From Order'!$A343=COLUMNS($A343:F362), LEFT(INDEX(FILTER(F$1:F342, F$1:F342&lt;&gt;""""),COUNTA(FILTER(F$1:F342, F$1:F342&lt;&gt;""""))), LEN(INDEX(FILTER(F$1:F342, F$1:F342&lt;&gt;""""),COUNTA(FILTER(F$1:F342, F$1:F342&lt;&gt;""""))))-1), IF('To Order'!$A343=COLUMNS($A343:F"&amp;"362), F342&amp;RIGHT(INDIRECT(ADDRESS(ROW(F343)-1, 'From Order'!$A343)), 1), F342))"),"HSPVMZDDTDGSBLRLJBFW")</f>
        <v>HSPVMZDDTDGSBLRLJBFW</v>
      </c>
      <c r="G343" s="2" t="str">
        <f>IFERROR(__xludf.DUMMYFUNCTION("IF('From Order'!$A343=COLUMNS($A343:G362), LEFT(INDEX(FILTER(G$1:G342, G$1:G342&lt;&gt;""""),COUNTA(FILTER(G$1:G342, G$1:G342&lt;&gt;""""))), LEN(INDEX(FILTER(G$1:G342, G$1:G342&lt;&gt;""""),COUNTA(FILTER(G$1:G342, G$1:G342&lt;&gt;""""))))-1), IF('To Order'!$A343=COLUMNS($A343:G"&amp;"362), G342&amp;RIGHT(INDIRECT(ADDRESS(ROW(G343)-1, 'From Order'!$A343)), 1), G342))"),"")</f>
        <v/>
      </c>
      <c r="H343" s="2" t="str">
        <f>IFERROR(__xludf.DUMMYFUNCTION("IF('From Order'!$A343=COLUMNS($A343:H362), LEFT(INDEX(FILTER(H$1:H342, H$1:H342&lt;&gt;""""),COUNTA(FILTER(H$1:H342, H$1:H342&lt;&gt;""""))), LEN(INDEX(FILTER(H$1:H342, H$1:H342&lt;&gt;""""),COUNTA(FILTER(H$1:H342, H$1:H342&lt;&gt;""""))))-1), IF('To Order'!$A343=COLUMNS($A343:H"&amp;"362), H342&amp;RIGHT(INDIRECT(ADDRESS(ROW(H343)-1, 'From Order'!$A343)), 1), H342))"),"")</f>
        <v/>
      </c>
      <c r="I343" s="2" t="str">
        <f>IFERROR(__xludf.DUMMYFUNCTION("IF('From Order'!$A343=COLUMNS($A343:I362), LEFT(INDEX(FILTER(I$1:I342, I$1:I342&lt;&gt;""""),COUNTA(FILTER(I$1:I342, I$1:I342&lt;&gt;""""))), LEN(INDEX(FILTER(I$1:I342, I$1:I342&lt;&gt;""""),COUNTA(FILTER(I$1:I342, I$1:I342&lt;&gt;""""))))-1), IF('To Order'!$A343=COLUMNS($A343:I"&amp;"362), I342&amp;RIGHT(INDIRECT(ADDRESS(ROW(I343)-1, 'From Order'!$A343)), 1), I342))"),"GPBZJ")</f>
        <v>GPBZJ</v>
      </c>
    </row>
    <row r="344">
      <c r="A344" s="2" t="str">
        <f>IFERROR(__xludf.DUMMYFUNCTION("IF('From Order'!$A344=COLUMNS($A344:A363), LEFT(INDEX(FILTER(A$1:A343, A$1:A343&lt;&gt;""""),COUNTA(FILTER(A$1:A343, A$1:A343&lt;&gt;""""))), LEN(INDEX(FILTER(A$1:A343, A$1:A343&lt;&gt;""""),COUNTA(FILTER(A$1:A343, A$1:A343&lt;&gt;""""))))-1), IF('To Order'!$A344=COLUMNS($A344:A"&amp;"363), A343&amp;RIGHT(INDIRECT(ADDRESS(ROW(A344)-1, 'From Order'!$A344)), 1), A343))"),"CTFTMQCDTRLD")</f>
        <v>CTFTMQCDTRLD</v>
      </c>
      <c r="B344" s="2" t="str">
        <f>IFERROR(__xludf.DUMMYFUNCTION("IF('From Order'!$A344=COLUMNS($A344:B363), LEFT(INDEX(FILTER(B$1:B343, B$1:B343&lt;&gt;""""),COUNTA(FILTER(B$1:B343, B$1:B343&lt;&gt;""""))), LEN(INDEX(FILTER(B$1:B343, B$1:B343&lt;&gt;""""),COUNTA(FILTER(B$1:B343, B$1:B343&lt;&gt;""""))))-1), IF('To Order'!$A344=COLUMNS($A344:B"&amp;"363), B343&amp;RIGHT(INDIRECT(ADDRESS(ROW(B344)-1, 'From Order'!$A344)), 1), B343))"),"")</f>
        <v/>
      </c>
      <c r="C344" s="2" t="str">
        <f>IFERROR(__xludf.DUMMYFUNCTION("IF('From Order'!$A344=COLUMNS($A344:C363), LEFT(INDEX(FILTER(C$1:C343, C$1:C343&lt;&gt;""""),COUNTA(FILTER(C$1:C343, C$1:C343&lt;&gt;""""))), LEN(INDEX(FILTER(C$1:C343, C$1:C343&lt;&gt;""""),COUNTA(FILTER(C$1:C343, C$1:C343&lt;&gt;""""))))-1), IF('To Order'!$A344=COLUMNS($A344:C"&amp;"363), C343&amp;RIGHT(INDIRECT(ADDRESS(ROW(C344)-1, 'From Order'!$A344)), 1), C343))"),"SM")</f>
        <v>SM</v>
      </c>
      <c r="D344" s="2" t="str">
        <f>IFERROR(__xludf.DUMMYFUNCTION("IF('From Order'!$A344=COLUMNS($A344:D363), LEFT(INDEX(FILTER(D$1:D343, D$1:D343&lt;&gt;""""),COUNTA(FILTER(D$1:D343, D$1:D343&lt;&gt;""""))), LEN(INDEX(FILTER(D$1:D343, D$1:D343&lt;&gt;""""),COUNTA(FILTER(D$1:D343, D$1:D343&lt;&gt;""""))))-1), IF('To Order'!$A344=COLUMNS($A344:D"&amp;"363), D343&amp;RIGHT(INDIRECT(ADDRESS(ROW(D344)-1, 'From Order'!$A344)), 1), D343))"),"")</f>
        <v/>
      </c>
      <c r="E344" s="2" t="str">
        <f>IFERROR(__xludf.DUMMYFUNCTION("IF('From Order'!$A344=COLUMNS($A344:E363), LEFT(INDEX(FILTER(E$1:E343, E$1:E343&lt;&gt;""""),COUNTA(FILTER(E$1:E343, E$1:E343&lt;&gt;""""))), LEN(INDEX(FILTER(E$1:E343, E$1:E343&lt;&gt;""""),COUNTA(FILTER(E$1:E343, E$1:E343&lt;&gt;""""))))-1), IF('To Order'!$A344=COLUMNS($A344:E"&amp;"363), E343&amp;RIGHT(INDIRECT(ADDRESS(ROW(E344)-1, 'From Order'!$A344)), 1), E343))"),"HZRVSDPQRBCVTJTWR")</f>
        <v>HZRVSDPQRBCVTJTWR</v>
      </c>
      <c r="F344" s="2" t="str">
        <f>IFERROR(__xludf.DUMMYFUNCTION("IF('From Order'!$A344=COLUMNS($A344:F363), LEFT(INDEX(FILTER(F$1:F343, F$1:F343&lt;&gt;""""),COUNTA(FILTER(F$1:F343, F$1:F343&lt;&gt;""""))), LEN(INDEX(FILTER(F$1:F343, F$1:F343&lt;&gt;""""),COUNTA(FILTER(F$1:F343, F$1:F343&lt;&gt;""""))))-1), IF('To Order'!$A344=COLUMNS($A344:F"&amp;"363), F343&amp;RIGHT(INDIRECT(ADDRESS(ROW(F344)-1, 'From Order'!$A344)), 1), F343))"),"HSPVMZDDTDGSBLRLJBF")</f>
        <v>HSPVMZDDTDGSBLRLJBF</v>
      </c>
      <c r="G344" s="2" t="str">
        <f>IFERROR(__xludf.DUMMYFUNCTION("IF('From Order'!$A344=COLUMNS($A344:G363), LEFT(INDEX(FILTER(G$1:G343, G$1:G343&lt;&gt;""""),COUNTA(FILTER(G$1:G343, G$1:G343&lt;&gt;""""))), LEN(INDEX(FILTER(G$1:G343, G$1:G343&lt;&gt;""""),COUNTA(FILTER(G$1:G343, G$1:G343&lt;&gt;""""))))-1), IF('To Order'!$A344=COLUMNS($A344:G"&amp;"363), G343&amp;RIGHT(INDIRECT(ADDRESS(ROW(G344)-1, 'From Order'!$A344)), 1), G343))"),"")</f>
        <v/>
      </c>
      <c r="H344" s="2" t="str">
        <f>IFERROR(__xludf.DUMMYFUNCTION("IF('From Order'!$A344=COLUMNS($A344:H363), LEFT(INDEX(FILTER(H$1:H343, H$1:H343&lt;&gt;""""),COUNTA(FILTER(H$1:H343, H$1:H343&lt;&gt;""""))), LEN(INDEX(FILTER(H$1:H343, H$1:H343&lt;&gt;""""),COUNTA(FILTER(H$1:H343, H$1:H343&lt;&gt;""""))))-1), IF('To Order'!$A344=COLUMNS($A344:H"&amp;"363), H343&amp;RIGHT(INDIRECT(ADDRESS(ROW(H344)-1, 'From Order'!$A344)), 1), H343))"),"W")</f>
        <v>W</v>
      </c>
      <c r="I344" s="2" t="str">
        <f>IFERROR(__xludf.DUMMYFUNCTION("IF('From Order'!$A344=COLUMNS($A344:I363), LEFT(INDEX(FILTER(I$1:I343, I$1:I343&lt;&gt;""""),COUNTA(FILTER(I$1:I343, I$1:I343&lt;&gt;""""))), LEN(INDEX(FILTER(I$1:I343, I$1:I343&lt;&gt;""""),COUNTA(FILTER(I$1:I343, I$1:I343&lt;&gt;""""))))-1), IF('To Order'!$A344=COLUMNS($A344:I"&amp;"363), I343&amp;RIGHT(INDIRECT(ADDRESS(ROW(I344)-1, 'From Order'!$A344)), 1), I343))"),"GPBZJ")</f>
        <v>GPBZJ</v>
      </c>
    </row>
    <row r="345">
      <c r="A345" s="2" t="str">
        <f>IFERROR(__xludf.DUMMYFUNCTION("IF('From Order'!$A345=COLUMNS($A345:A364), LEFT(INDEX(FILTER(A$1:A344, A$1:A344&lt;&gt;""""),COUNTA(FILTER(A$1:A344, A$1:A344&lt;&gt;""""))), LEN(INDEX(FILTER(A$1:A344, A$1:A344&lt;&gt;""""),COUNTA(FILTER(A$1:A344, A$1:A344&lt;&gt;""""))))-1), IF('To Order'!$A345=COLUMNS($A345:A"&amp;"364), A344&amp;RIGHT(INDIRECT(ADDRESS(ROW(A345)-1, 'From Order'!$A345)), 1), A344))"),"CTFTMQCDTRLD")</f>
        <v>CTFTMQCDTRLD</v>
      </c>
      <c r="B345" s="2" t="str">
        <f>IFERROR(__xludf.DUMMYFUNCTION("IF('From Order'!$A345=COLUMNS($A345:B364), LEFT(INDEX(FILTER(B$1:B344, B$1:B344&lt;&gt;""""),COUNTA(FILTER(B$1:B344, B$1:B344&lt;&gt;""""))), LEN(INDEX(FILTER(B$1:B344, B$1:B344&lt;&gt;""""),COUNTA(FILTER(B$1:B344, B$1:B344&lt;&gt;""""))))-1), IF('To Order'!$A345=COLUMNS($A345:B"&amp;"364), B344&amp;RIGHT(INDIRECT(ADDRESS(ROW(B345)-1, 'From Order'!$A345)), 1), B344))"),"")</f>
        <v/>
      </c>
      <c r="C345" s="2" t="str">
        <f>IFERROR(__xludf.DUMMYFUNCTION("IF('From Order'!$A345=COLUMNS($A345:C364), LEFT(INDEX(FILTER(C$1:C344, C$1:C344&lt;&gt;""""),COUNTA(FILTER(C$1:C344, C$1:C344&lt;&gt;""""))), LEN(INDEX(FILTER(C$1:C344, C$1:C344&lt;&gt;""""),COUNTA(FILTER(C$1:C344, C$1:C344&lt;&gt;""""))))-1), IF('To Order'!$A345=COLUMNS($A345:C"&amp;"364), C344&amp;RIGHT(INDIRECT(ADDRESS(ROW(C345)-1, 'From Order'!$A345)), 1), C344))"),"SM")</f>
        <v>SM</v>
      </c>
      <c r="D345" s="2" t="str">
        <f>IFERROR(__xludf.DUMMYFUNCTION("IF('From Order'!$A345=COLUMNS($A345:D364), LEFT(INDEX(FILTER(D$1:D344, D$1:D344&lt;&gt;""""),COUNTA(FILTER(D$1:D344, D$1:D344&lt;&gt;""""))), LEN(INDEX(FILTER(D$1:D344, D$1:D344&lt;&gt;""""),COUNTA(FILTER(D$1:D344, D$1:D344&lt;&gt;""""))))-1), IF('To Order'!$A345=COLUMNS($A345:D"&amp;"364), D344&amp;RIGHT(INDIRECT(ADDRESS(ROW(D345)-1, 'From Order'!$A345)), 1), D344))"),"")</f>
        <v/>
      </c>
      <c r="E345" s="2" t="str">
        <f>IFERROR(__xludf.DUMMYFUNCTION("IF('From Order'!$A345=COLUMNS($A345:E364), LEFT(INDEX(FILTER(E$1:E344, E$1:E344&lt;&gt;""""),COUNTA(FILTER(E$1:E344, E$1:E344&lt;&gt;""""))), LEN(INDEX(FILTER(E$1:E344, E$1:E344&lt;&gt;""""),COUNTA(FILTER(E$1:E344, E$1:E344&lt;&gt;""""))))-1), IF('To Order'!$A345=COLUMNS($A345:E"&amp;"364), E344&amp;RIGHT(INDIRECT(ADDRESS(ROW(E345)-1, 'From Order'!$A345)), 1), E344))"),"HZRVSDPQRBCVTJTWR")</f>
        <v>HZRVSDPQRBCVTJTWR</v>
      </c>
      <c r="F345" s="2" t="str">
        <f>IFERROR(__xludf.DUMMYFUNCTION("IF('From Order'!$A345=COLUMNS($A345:F364), LEFT(INDEX(FILTER(F$1:F344, F$1:F344&lt;&gt;""""),COUNTA(FILTER(F$1:F344, F$1:F344&lt;&gt;""""))), LEN(INDEX(FILTER(F$1:F344, F$1:F344&lt;&gt;""""),COUNTA(FILTER(F$1:F344, F$1:F344&lt;&gt;""""))))-1), IF('To Order'!$A345=COLUMNS($A345:F"&amp;"364), F344&amp;RIGHT(INDIRECT(ADDRESS(ROW(F345)-1, 'From Order'!$A345)), 1), F344))"),"HSPVMZDDTDGSBLRLJBF")</f>
        <v>HSPVMZDDTDGSBLRLJBF</v>
      </c>
      <c r="G345" s="2" t="str">
        <f>IFERROR(__xludf.DUMMYFUNCTION("IF('From Order'!$A345=COLUMNS($A345:G364), LEFT(INDEX(FILTER(G$1:G344, G$1:G344&lt;&gt;""""),COUNTA(FILTER(G$1:G344, G$1:G344&lt;&gt;""""))), LEN(INDEX(FILTER(G$1:G344, G$1:G344&lt;&gt;""""),COUNTA(FILTER(G$1:G344, G$1:G344&lt;&gt;""""))))-1), IF('To Order'!$A345=COLUMNS($A345:G"&amp;"364), G344&amp;RIGHT(INDIRECT(ADDRESS(ROW(G345)-1, 'From Order'!$A345)), 1), G344))"),"J")</f>
        <v>J</v>
      </c>
      <c r="H345" s="2" t="str">
        <f>IFERROR(__xludf.DUMMYFUNCTION("IF('From Order'!$A345=COLUMNS($A345:H364), LEFT(INDEX(FILTER(H$1:H344, H$1:H344&lt;&gt;""""),COUNTA(FILTER(H$1:H344, H$1:H344&lt;&gt;""""))), LEN(INDEX(FILTER(H$1:H344, H$1:H344&lt;&gt;""""),COUNTA(FILTER(H$1:H344, H$1:H344&lt;&gt;""""))))-1), IF('To Order'!$A345=COLUMNS($A345:H"&amp;"364), H344&amp;RIGHT(INDIRECT(ADDRESS(ROW(H345)-1, 'From Order'!$A345)), 1), H344))"),"W")</f>
        <v>W</v>
      </c>
      <c r="I345" s="2" t="str">
        <f>IFERROR(__xludf.DUMMYFUNCTION("IF('From Order'!$A345=COLUMNS($A345:I364), LEFT(INDEX(FILTER(I$1:I344, I$1:I344&lt;&gt;""""),COUNTA(FILTER(I$1:I344, I$1:I344&lt;&gt;""""))), LEN(INDEX(FILTER(I$1:I344, I$1:I344&lt;&gt;""""),COUNTA(FILTER(I$1:I344, I$1:I344&lt;&gt;""""))))-1), IF('To Order'!$A345=COLUMNS($A345:I"&amp;"364), I344&amp;RIGHT(INDIRECT(ADDRESS(ROW(I345)-1, 'From Order'!$A345)), 1), I344))"),"GPBZ")</f>
        <v>GPBZ</v>
      </c>
    </row>
    <row r="346">
      <c r="A346" s="2" t="str">
        <f>IFERROR(__xludf.DUMMYFUNCTION("IF('From Order'!$A346=COLUMNS($A346:A365), LEFT(INDEX(FILTER(A$1:A345, A$1:A345&lt;&gt;""""),COUNTA(FILTER(A$1:A345, A$1:A345&lt;&gt;""""))), LEN(INDEX(FILTER(A$1:A345, A$1:A345&lt;&gt;""""),COUNTA(FILTER(A$1:A345, A$1:A345&lt;&gt;""""))))-1), IF('To Order'!$A346=COLUMNS($A346:A"&amp;"365), A345&amp;RIGHT(INDIRECT(ADDRESS(ROW(A346)-1, 'From Order'!$A346)), 1), A345))"),"CTFTMQCDTRLD")</f>
        <v>CTFTMQCDTRLD</v>
      </c>
      <c r="B346" s="2" t="str">
        <f>IFERROR(__xludf.DUMMYFUNCTION("IF('From Order'!$A346=COLUMNS($A346:B365), LEFT(INDEX(FILTER(B$1:B345, B$1:B345&lt;&gt;""""),COUNTA(FILTER(B$1:B345, B$1:B345&lt;&gt;""""))), LEN(INDEX(FILTER(B$1:B345, B$1:B345&lt;&gt;""""),COUNTA(FILTER(B$1:B345, B$1:B345&lt;&gt;""""))))-1), IF('To Order'!$A346=COLUMNS($A346:B"&amp;"365), B345&amp;RIGHT(INDIRECT(ADDRESS(ROW(B346)-1, 'From Order'!$A346)), 1), B345))"),"")</f>
        <v/>
      </c>
      <c r="C346" s="2" t="str">
        <f>IFERROR(__xludf.DUMMYFUNCTION("IF('From Order'!$A346=COLUMNS($A346:C365), LEFT(INDEX(FILTER(C$1:C345, C$1:C345&lt;&gt;""""),COUNTA(FILTER(C$1:C345, C$1:C345&lt;&gt;""""))), LEN(INDEX(FILTER(C$1:C345, C$1:C345&lt;&gt;""""),COUNTA(FILTER(C$1:C345, C$1:C345&lt;&gt;""""))))-1), IF('To Order'!$A346=COLUMNS($A346:C"&amp;"365), C345&amp;RIGHT(INDIRECT(ADDRESS(ROW(C346)-1, 'From Order'!$A346)), 1), C345))"),"SM")</f>
        <v>SM</v>
      </c>
      <c r="D346" s="2" t="str">
        <f>IFERROR(__xludf.DUMMYFUNCTION("IF('From Order'!$A346=COLUMNS($A346:D365), LEFT(INDEX(FILTER(D$1:D345, D$1:D345&lt;&gt;""""),COUNTA(FILTER(D$1:D345, D$1:D345&lt;&gt;""""))), LEN(INDEX(FILTER(D$1:D345, D$1:D345&lt;&gt;""""),COUNTA(FILTER(D$1:D345, D$1:D345&lt;&gt;""""))))-1), IF('To Order'!$A346=COLUMNS($A346:D"&amp;"365), D345&amp;RIGHT(INDIRECT(ADDRESS(ROW(D346)-1, 'From Order'!$A346)), 1), D345))"),"")</f>
        <v/>
      </c>
      <c r="E346" s="2" t="str">
        <f>IFERROR(__xludf.DUMMYFUNCTION("IF('From Order'!$A346=COLUMNS($A346:E365), LEFT(INDEX(FILTER(E$1:E345, E$1:E345&lt;&gt;""""),COUNTA(FILTER(E$1:E345, E$1:E345&lt;&gt;""""))), LEN(INDEX(FILTER(E$1:E345, E$1:E345&lt;&gt;""""),COUNTA(FILTER(E$1:E345, E$1:E345&lt;&gt;""""))))-1), IF('To Order'!$A346=COLUMNS($A346:E"&amp;"365), E345&amp;RIGHT(INDIRECT(ADDRESS(ROW(E346)-1, 'From Order'!$A346)), 1), E345))"),"HZRVSDPQRBCVTJTWR")</f>
        <v>HZRVSDPQRBCVTJTWR</v>
      </c>
      <c r="F346" s="2" t="str">
        <f>IFERROR(__xludf.DUMMYFUNCTION("IF('From Order'!$A346=COLUMNS($A346:F365), LEFT(INDEX(FILTER(F$1:F345, F$1:F345&lt;&gt;""""),COUNTA(FILTER(F$1:F345, F$1:F345&lt;&gt;""""))), LEN(INDEX(FILTER(F$1:F345, F$1:F345&lt;&gt;""""),COUNTA(FILTER(F$1:F345, F$1:F345&lt;&gt;""""))))-1), IF('To Order'!$A346=COLUMNS($A346:F"&amp;"365), F345&amp;RIGHT(INDIRECT(ADDRESS(ROW(F346)-1, 'From Order'!$A346)), 1), F345))"),"HSPVMZDDTDGSBLRLJBF")</f>
        <v>HSPVMZDDTDGSBLRLJBF</v>
      </c>
      <c r="G346" s="2" t="str">
        <f>IFERROR(__xludf.DUMMYFUNCTION("IF('From Order'!$A346=COLUMNS($A346:G365), LEFT(INDEX(FILTER(G$1:G345, G$1:G345&lt;&gt;""""),COUNTA(FILTER(G$1:G345, G$1:G345&lt;&gt;""""))), LEN(INDEX(FILTER(G$1:G345, G$1:G345&lt;&gt;""""),COUNTA(FILTER(G$1:G345, G$1:G345&lt;&gt;""""))))-1), IF('To Order'!$A346=COLUMNS($A346:G"&amp;"365), G345&amp;RIGHT(INDIRECT(ADDRESS(ROW(G346)-1, 'From Order'!$A346)), 1), G345))"),"JZ")</f>
        <v>JZ</v>
      </c>
      <c r="H346" s="2" t="str">
        <f>IFERROR(__xludf.DUMMYFUNCTION("IF('From Order'!$A346=COLUMNS($A346:H365), LEFT(INDEX(FILTER(H$1:H345, H$1:H345&lt;&gt;""""),COUNTA(FILTER(H$1:H345, H$1:H345&lt;&gt;""""))), LEN(INDEX(FILTER(H$1:H345, H$1:H345&lt;&gt;""""),COUNTA(FILTER(H$1:H345, H$1:H345&lt;&gt;""""))))-1), IF('To Order'!$A346=COLUMNS($A346:H"&amp;"365), H345&amp;RIGHT(INDIRECT(ADDRESS(ROW(H346)-1, 'From Order'!$A346)), 1), H345))"),"W")</f>
        <v>W</v>
      </c>
      <c r="I346" s="2" t="str">
        <f>IFERROR(__xludf.DUMMYFUNCTION("IF('From Order'!$A346=COLUMNS($A346:I365), LEFT(INDEX(FILTER(I$1:I345, I$1:I345&lt;&gt;""""),COUNTA(FILTER(I$1:I345, I$1:I345&lt;&gt;""""))), LEN(INDEX(FILTER(I$1:I345, I$1:I345&lt;&gt;""""),COUNTA(FILTER(I$1:I345, I$1:I345&lt;&gt;""""))))-1), IF('To Order'!$A346=COLUMNS($A346:I"&amp;"365), I345&amp;RIGHT(INDIRECT(ADDRESS(ROW(I346)-1, 'From Order'!$A346)), 1), I345))"),"GPB")</f>
        <v>GPB</v>
      </c>
    </row>
    <row r="347">
      <c r="A347" s="2" t="str">
        <f>IFERROR(__xludf.DUMMYFUNCTION("IF('From Order'!$A347=COLUMNS($A347:A366), LEFT(INDEX(FILTER(A$1:A346, A$1:A346&lt;&gt;""""),COUNTA(FILTER(A$1:A346, A$1:A346&lt;&gt;""""))), LEN(INDEX(FILTER(A$1:A346, A$1:A346&lt;&gt;""""),COUNTA(FILTER(A$1:A346, A$1:A346&lt;&gt;""""))))-1), IF('To Order'!$A347=COLUMNS($A347:A"&amp;"366), A346&amp;RIGHT(INDIRECT(ADDRESS(ROW(A347)-1, 'From Order'!$A347)), 1), A346))"),"CTFTMQCDTRLD")</f>
        <v>CTFTMQCDTRLD</v>
      </c>
      <c r="B347" s="2" t="str">
        <f>IFERROR(__xludf.DUMMYFUNCTION("IF('From Order'!$A347=COLUMNS($A347:B366), LEFT(INDEX(FILTER(B$1:B346, B$1:B346&lt;&gt;""""),COUNTA(FILTER(B$1:B346, B$1:B346&lt;&gt;""""))), LEN(INDEX(FILTER(B$1:B346, B$1:B346&lt;&gt;""""),COUNTA(FILTER(B$1:B346, B$1:B346&lt;&gt;""""))))-1), IF('To Order'!$A347=COLUMNS($A347:B"&amp;"366), B346&amp;RIGHT(INDIRECT(ADDRESS(ROW(B347)-1, 'From Order'!$A347)), 1), B346))"),"")</f>
        <v/>
      </c>
      <c r="C347" s="2" t="str">
        <f>IFERROR(__xludf.DUMMYFUNCTION("IF('From Order'!$A347=COLUMNS($A347:C366), LEFT(INDEX(FILTER(C$1:C346, C$1:C346&lt;&gt;""""),COUNTA(FILTER(C$1:C346, C$1:C346&lt;&gt;""""))), LEN(INDEX(FILTER(C$1:C346, C$1:C346&lt;&gt;""""),COUNTA(FILTER(C$1:C346, C$1:C346&lt;&gt;""""))))-1), IF('To Order'!$A347=COLUMNS($A347:C"&amp;"366), C346&amp;RIGHT(INDIRECT(ADDRESS(ROW(C347)-1, 'From Order'!$A347)), 1), C346))"),"SM")</f>
        <v>SM</v>
      </c>
      <c r="D347" s="2" t="str">
        <f>IFERROR(__xludf.DUMMYFUNCTION("IF('From Order'!$A347=COLUMNS($A347:D366), LEFT(INDEX(FILTER(D$1:D346, D$1:D346&lt;&gt;""""),COUNTA(FILTER(D$1:D346, D$1:D346&lt;&gt;""""))), LEN(INDEX(FILTER(D$1:D346, D$1:D346&lt;&gt;""""),COUNTA(FILTER(D$1:D346, D$1:D346&lt;&gt;""""))))-1), IF('To Order'!$A347=COLUMNS($A347:D"&amp;"366), D346&amp;RIGHT(INDIRECT(ADDRESS(ROW(D347)-1, 'From Order'!$A347)), 1), D346))"),"")</f>
        <v/>
      </c>
      <c r="E347" s="2" t="str">
        <f>IFERROR(__xludf.DUMMYFUNCTION("IF('From Order'!$A347=COLUMNS($A347:E366), LEFT(INDEX(FILTER(E$1:E346, E$1:E346&lt;&gt;""""),COUNTA(FILTER(E$1:E346, E$1:E346&lt;&gt;""""))), LEN(INDEX(FILTER(E$1:E346, E$1:E346&lt;&gt;""""),COUNTA(FILTER(E$1:E346, E$1:E346&lt;&gt;""""))))-1), IF('To Order'!$A347=COLUMNS($A347:E"&amp;"366), E346&amp;RIGHT(INDIRECT(ADDRESS(ROW(E347)-1, 'From Order'!$A347)), 1), E346))"),"HZRVSDPQRBCVTJTWR")</f>
        <v>HZRVSDPQRBCVTJTWR</v>
      </c>
      <c r="F347" s="2" t="str">
        <f>IFERROR(__xludf.DUMMYFUNCTION("IF('From Order'!$A347=COLUMNS($A347:F366), LEFT(INDEX(FILTER(F$1:F346, F$1:F346&lt;&gt;""""),COUNTA(FILTER(F$1:F346, F$1:F346&lt;&gt;""""))), LEN(INDEX(FILTER(F$1:F346, F$1:F346&lt;&gt;""""),COUNTA(FILTER(F$1:F346, F$1:F346&lt;&gt;""""))))-1), IF('To Order'!$A347=COLUMNS($A347:F"&amp;"366), F346&amp;RIGHT(INDIRECT(ADDRESS(ROW(F347)-1, 'From Order'!$A347)), 1), F346))"),"HSPVMZDDTDGSBLRLJBF")</f>
        <v>HSPVMZDDTDGSBLRLJBF</v>
      </c>
      <c r="G347" s="2" t="str">
        <f>IFERROR(__xludf.DUMMYFUNCTION("IF('From Order'!$A347=COLUMNS($A347:G366), LEFT(INDEX(FILTER(G$1:G346, G$1:G346&lt;&gt;""""),COUNTA(FILTER(G$1:G346, G$1:G346&lt;&gt;""""))), LEN(INDEX(FILTER(G$1:G346, G$1:G346&lt;&gt;""""),COUNTA(FILTER(G$1:G346, G$1:G346&lt;&gt;""""))))-1), IF('To Order'!$A347=COLUMNS($A347:G"&amp;"366), G346&amp;RIGHT(INDIRECT(ADDRESS(ROW(G347)-1, 'From Order'!$A347)), 1), G346))"),"JZB")</f>
        <v>JZB</v>
      </c>
      <c r="H347" s="2" t="str">
        <f>IFERROR(__xludf.DUMMYFUNCTION("IF('From Order'!$A347=COLUMNS($A347:H366), LEFT(INDEX(FILTER(H$1:H346, H$1:H346&lt;&gt;""""),COUNTA(FILTER(H$1:H346, H$1:H346&lt;&gt;""""))), LEN(INDEX(FILTER(H$1:H346, H$1:H346&lt;&gt;""""),COUNTA(FILTER(H$1:H346, H$1:H346&lt;&gt;""""))))-1), IF('To Order'!$A347=COLUMNS($A347:H"&amp;"366), H346&amp;RIGHT(INDIRECT(ADDRESS(ROW(H347)-1, 'From Order'!$A347)), 1), H346))"),"W")</f>
        <v>W</v>
      </c>
      <c r="I347" s="2" t="str">
        <f>IFERROR(__xludf.DUMMYFUNCTION("IF('From Order'!$A347=COLUMNS($A347:I366), LEFT(INDEX(FILTER(I$1:I346, I$1:I346&lt;&gt;""""),COUNTA(FILTER(I$1:I346, I$1:I346&lt;&gt;""""))), LEN(INDEX(FILTER(I$1:I346, I$1:I346&lt;&gt;""""),COUNTA(FILTER(I$1:I346, I$1:I346&lt;&gt;""""))))-1), IF('To Order'!$A347=COLUMNS($A347:I"&amp;"366), I346&amp;RIGHT(INDIRECT(ADDRESS(ROW(I347)-1, 'From Order'!$A347)), 1), I346))"),"GP")</f>
        <v>GP</v>
      </c>
    </row>
    <row r="348">
      <c r="A348" s="2" t="str">
        <f>IFERROR(__xludf.DUMMYFUNCTION("IF('From Order'!$A348=COLUMNS($A348:A367), LEFT(INDEX(FILTER(A$1:A347, A$1:A347&lt;&gt;""""),COUNTA(FILTER(A$1:A347, A$1:A347&lt;&gt;""""))), LEN(INDEX(FILTER(A$1:A347, A$1:A347&lt;&gt;""""),COUNTA(FILTER(A$1:A347, A$1:A347&lt;&gt;""""))))-1), IF('To Order'!$A348=COLUMNS($A348:A"&amp;"367), A347&amp;RIGHT(INDIRECT(ADDRESS(ROW(A348)-1, 'From Order'!$A348)), 1), A347))"),"CTFTMQCDTRLD")</f>
        <v>CTFTMQCDTRLD</v>
      </c>
      <c r="B348" s="2" t="str">
        <f>IFERROR(__xludf.DUMMYFUNCTION("IF('From Order'!$A348=COLUMNS($A348:B367), LEFT(INDEX(FILTER(B$1:B347, B$1:B347&lt;&gt;""""),COUNTA(FILTER(B$1:B347, B$1:B347&lt;&gt;""""))), LEN(INDEX(FILTER(B$1:B347, B$1:B347&lt;&gt;""""),COUNTA(FILTER(B$1:B347, B$1:B347&lt;&gt;""""))))-1), IF('To Order'!$A348=COLUMNS($A348:B"&amp;"367), B347&amp;RIGHT(INDIRECT(ADDRESS(ROW(B348)-1, 'From Order'!$A348)), 1), B347))"),"")</f>
        <v/>
      </c>
      <c r="C348" s="2" t="str">
        <f>IFERROR(__xludf.DUMMYFUNCTION("IF('From Order'!$A348=COLUMNS($A348:C367), LEFT(INDEX(FILTER(C$1:C347, C$1:C347&lt;&gt;""""),COUNTA(FILTER(C$1:C347, C$1:C347&lt;&gt;""""))), LEN(INDEX(FILTER(C$1:C347, C$1:C347&lt;&gt;""""),COUNTA(FILTER(C$1:C347, C$1:C347&lt;&gt;""""))))-1), IF('To Order'!$A348=COLUMNS($A348:C"&amp;"367), C347&amp;RIGHT(INDIRECT(ADDRESS(ROW(C348)-1, 'From Order'!$A348)), 1), C347))"),"SM")</f>
        <v>SM</v>
      </c>
      <c r="D348" s="2" t="str">
        <f>IFERROR(__xludf.DUMMYFUNCTION("IF('From Order'!$A348=COLUMNS($A348:D367), LEFT(INDEX(FILTER(D$1:D347, D$1:D347&lt;&gt;""""),COUNTA(FILTER(D$1:D347, D$1:D347&lt;&gt;""""))), LEN(INDEX(FILTER(D$1:D347, D$1:D347&lt;&gt;""""),COUNTA(FILTER(D$1:D347, D$1:D347&lt;&gt;""""))))-1), IF('To Order'!$A348=COLUMNS($A348:D"&amp;"367), D347&amp;RIGHT(INDIRECT(ADDRESS(ROW(D348)-1, 'From Order'!$A348)), 1), D347))"),"")</f>
        <v/>
      </c>
      <c r="E348" s="2" t="str">
        <f>IFERROR(__xludf.DUMMYFUNCTION("IF('From Order'!$A348=COLUMNS($A348:E367), LEFT(INDEX(FILTER(E$1:E347, E$1:E347&lt;&gt;""""),COUNTA(FILTER(E$1:E347, E$1:E347&lt;&gt;""""))), LEN(INDEX(FILTER(E$1:E347, E$1:E347&lt;&gt;""""),COUNTA(FILTER(E$1:E347, E$1:E347&lt;&gt;""""))))-1), IF('To Order'!$A348=COLUMNS($A348:E"&amp;"367), E347&amp;RIGHT(INDIRECT(ADDRESS(ROW(E348)-1, 'From Order'!$A348)), 1), E347))"),"HZRVSDPQRBCVTJTWR")</f>
        <v>HZRVSDPQRBCVTJTWR</v>
      </c>
      <c r="F348" s="2" t="str">
        <f>IFERROR(__xludf.DUMMYFUNCTION("IF('From Order'!$A348=COLUMNS($A348:F367), LEFT(INDEX(FILTER(F$1:F347, F$1:F347&lt;&gt;""""),COUNTA(FILTER(F$1:F347, F$1:F347&lt;&gt;""""))), LEN(INDEX(FILTER(F$1:F347, F$1:F347&lt;&gt;""""),COUNTA(FILTER(F$1:F347, F$1:F347&lt;&gt;""""))))-1), IF('To Order'!$A348=COLUMNS($A348:F"&amp;"367), F347&amp;RIGHT(INDIRECT(ADDRESS(ROW(F348)-1, 'From Order'!$A348)), 1), F347))"),"HSPVMZDDTDGSBLRLJBF")</f>
        <v>HSPVMZDDTDGSBLRLJBF</v>
      </c>
      <c r="G348" s="2" t="str">
        <f>IFERROR(__xludf.DUMMYFUNCTION("IF('From Order'!$A348=COLUMNS($A348:G367), LEFT(INDEX(FILTER(G$1:G347, G$1:G347&lt;&gt;""""),COUNTA(FILTER(G$1:G347, G$1:G347&lt;&gt;""""))), LEN(INDEX(FILTER(G$1:G347, G$1:G347&lt;&gt;""""),COUNTA(FILTER(G$1:G347, G$1:G347&lt;&gt;""""))))-1), IF('To Order'!$A348=COLUMNS($A348:G"&amp;"367), G347&amp;RIGHT(INDIRECT(ADDRESS(ROW(G348)-1, 'From Order'!$A348)), 1), G347))"),"JZBP")</f>
        <v>JZBP</v>
      </c>
      <c r="H348" s="2" t="str">
        <f>IFERROR(__xludf.DUMMYFUNCTION("IF('From Order'!$A348=COLUMNS($A348:H367), LEFT(INDEX(FILTER(H$1:H347, H$1:H347&lt;&gt;""""),COUNTA(FILTER(H$1:H347, H$1:H347&lt;&gt;""""))), LEN(INDEX(FILTER(H$1:H347, H$1:H347&lt;&gt;""""),COUNTA(FILTER(H$1:H347, H$1:H347&lt;&gt;""""))))-1), IF('To Order'!$A348=COLUMNS($A348:H"&amp;"367), H347&amp;RIGHT(INDIRECT(ADDRESS(ROW(H348)-1, 'From Order'!$A348)), 1), H347))"),"W")</f>
        <v>W</v>
      </c>
      <c r="I348" s="2" t="str">
        <f>IFERROR(__xludf.DUMMYFUNCTION("IF('From Order'!$A348=COLUMNS($A348:I367), LEFT(INDEX(FILTER(I$1:I347, I$1:I347&lt;&gt;""""),COUNTA(FILTER(I$1:I347, I$1:I347&lt;&gt;""""))), LEN(INDEX(FILTER(I$1:I347, I$1:I347&lt;&gt;""""),COUNTA(FILTER(I$1:I347, I$1:I347&lt;&gt;""""))))-1), IF('To Order'!$A348=COLUMNS($A348:I"&amp;"367), I347&amp;RIGHT(INDIRECT(ADDRESS(ROW(I348)-1, 'From Order'!$A348)), 1), I347))"),"G")</f>
        <v>G</v>
      </c>
    </row>
    <row r="349">
      <c r="A349" s="2" t="str">
        <f>IFERROR(__xludf.DUMMYFUNCTION("IF('From Order'!$A349=COLUMNS($A349:A368), LEFT(INDEX(FILTER(A$1:A348, A$1:A348&lt;&gt;""""),COUNTA(FILTER(A$1:A348, A$1:A348&lt;&gt;""""))), LEN(INDEX(FILTER(A$1:A348, A$1:A348&lt;&gt;""""),COUNTA(FILTER(A$1:A348, A$1:A348&lt;&gt;""""))))-1), IF('To Order'!$A349=COLUMNS($A349:A"&amp;"368), A348&amp;RIGHT(INDIRECT(ADDRESS(ROW(A349)-1, 'From Order'!$A349)), 1), A348))"),"CTFTMQCDTRLD")</f>
        <v>CTFTMQCDTRLD</v>
      </c>
      <c r="B349" s="2" t="str">
        <f>IFERROR(__xludf.DUMMYFUNCTION("IF('From Order'!$A349=COLUMNS($A349:B368), LEFT(INDEX(FILTER(B$1:B348, B$1:B348&lt;&gt;""""),COUNTA(FILTER(B$1:B348, B$1:B348&lt;&gt;""""))), LEN(INDEX(FILTER(B$1:B348, B$1:B348&lt;&gt;""""),COUNTA(FILTER(B$1:B348, B$1:B348&lt;&gt;""""))))-1), IF('To Order'!$A349=COLUMNS($A349:B"&amp;"368), B348&amp;RIGHT(INDIRECT(ADDRESS(ROW(B349)-1, 'From Order'!$A349)), 1), B348))"),"")</f>
        <v/>
      </c>
      <c r="C349" s="2" t="str">
        <f>IFERROR(__xludf.DUMMYFUNCTION("IF('From Order'!$A349=COLUMNS($A349:C368), LEFT(INDEX(FILTER(C$1:C348, C$1:C348&lt;&gt;""""),COUNTA(FILTER(C$1:C348, C$1:C348&lt;&gt;""""))), LEN(INDEX(FILTER(C$1:C348, C$1:C348&lt;&gt;""""),COUNTA(FILTER(C$1:C348, C$1:C348&lt;&gt;""""))))-1), IF('To Order'!$A349=COLUMNS($A349:C"&amp;"368), C348&amp;RIGHT(INDIRECT(ADDRESS(ROW(C349)-1, 'From Order'!$A349)), 1), C348))"),"SM")</f>
        <v>SM</v>
      </c>
      <c r="D349" s="2" t="str">
        <f>IFERROR(__xludf.DUMMYFUNCTION("IF('From Order'!$A349=COLUMNS($A349:D368), LEFT(INDEX(FILTER(D$1:D348, D$1:D348&lt;&gt;""""),COUNTA(FILTER(D$1:D348, D$1:D348&lt;&gt;""""))), LEN(INDEX(FILTER(D$1:D348, D$1:D348&lt;&gt;""""),COUNTA(FILTER(D$1:D348, D$1:D348&lt;&gt;""""))))-1), IF('To Order'!$A349=COLUMNS($A349:D"&amp;"368), D348&amp;RIGHT(INDIRECT(ADDRESS(ROW(D349)-1, 'From Order'!$A349)), 1), D348))"),"")</f>
        <v/>
      </c>
      <c r="E349" s="2" t="str">
        <f>IFERROR(__xludf.DUMMYFUNCTION("IF('From Order'!$A349=COLUMNS($A349:E368), LEFT(INDEX(FILTER(E$1:E348, E$1:E348&lt;&gt;""""),COUNTA(FILTER(E$1:E348, E$1:E348&lt;&gt;""""))), LEN(INDEX(FILTER(E$1:E348, E$1:E348&lt;&gt;""""),COUNTA(FILTER(E$1:E348, E$1:E348&lt;&gt;""""))))-1), IF('To Order'!$A349=COLUMNS($A349:E"&amp;"368), E348&amp;RIGHT(INDIRECT(ADDRESS(ROW(E349)-1, 'From Order'!$A349)), 1), E348))"),"HZRVSDPQRBCVTJTWR")</f>
        <v>HZRVSDPQRBCVTJTWR</v>
      </c>
      <c r="F349" s="2" t="str">
        <f>IFERROR(__xludf.DUMMYFUNCTION("IF('From Order'!$A349=COLUMNS($A349:F368), LEFT(INDEX(FILTER(F$1:F348, F$1:F348&lt;&gt;""""),COUNTA(FILTER(F$1:F348, F$1:F348&lt;&gt;""""))), LEN(INDEX(FILTER(F$1:F348, F$1:F348&lt;&gt;""""),COUNTA(FILTER(F$1:F348, F$1:F348&lt;&gt;""""))))-1), IF('To Order'!$A349=COLUMNS($A349:F"&amp;"368), F348&amp;RIGHT(INDIRECT(ADDRESS(ROW(F349)-1, 'From Order'!$A349)), 1), F348))"),"HSPVMZDDTDGSBLRLJBF")</f>
        <v>HSPVMZDDTDGSBLRLJBF</v>
      </c>
      <c r="G349" s="2" t="str">
        <f>IFERROR(__xludf.DUMMYFUNCTION("IF('From Order'!$A349=COLUMNS($A349:G368), LEFT(INDEX(FILTER(G$1:G348, G$1:G348&lt;&gt;""""),COUNTA(FILTER(G$1:G348, G$1:G348&lt;&gt;""""))), LEN(INDEX(FILTER(G$1:G348, G$1:G348&lt;&gt;""""),COUNTA(FILTER(G$1:G348, G$1:G348&lt;&gt;""""))))-1), IF('To Order'!$A349=COLUMNS($A349:G"&amp;"368), G348&amp;RIGHT(INDIRECT(ADDRESS(ROW(G349)-1, 'From Order'!$A349)), 1), G348))"),"JZB")</f>
        <v>JZB</v>
      </c>
      <c r="H349" s="2" t="str">
        <f>IFERROR(__xludf.DUMMYFUNCTION("IF('From Order'!$A349=COLUMNS($A349:H368), LEFT(INDEX(FILTER(H$1:H348, H$1:H348&lt;&gt;""""),COUNTA(FILTER(H$1:H348, H$1:H348&lt;&gt;""""))), LEN(INDEX(FILTER(H$1:H348, H$1:H348&lt;&gt;""""),COUNTA(FILTER(H$1:H348, H$1:H348&lt;&gt;""""))))-1), IF('To Order'!$A349=COLUMNS($A349:H"&amp;"368), H348&amp;RIGHT(INDIRECT(ADDRESS(ROW(H349)-1, 'From Order'!$A349)), 1), H348))"),"WP")</f>
        <v>WP</v>
      </c>
      <c r="I349" s="2" t="str">
        <f>IFERROR(__xludf.DUMMYFUNCTION("IF('From Order'!$A349=COLUMNS($A349:I368), LEFT(INDEX(FILTER(I$1:I348, I$1:I348&lt;&gt;""""),COUNTA(FILTER(I$1:I348, I$1:I348&lt;&gt;""""))), LEN(INDEX(FILTER(I$1:I348, I$1:I348&lt;&gt;""""),COUNTA(FILTER(I$1:I348, I$1:I348&lt;&gt;""""))))-1), IF('To Order'!$A349=COLUMNS($A349:I"&amp;"368), I348&amp;RIGHT(INDIRECT(ADDRESS(ROW(I349)-1, 'From Order'!$A349)), 1), I348))"),"G")</f>
        <v>G</v>
      </c>
    </row>
    <row r="350">
      <c r="A350" s="2" t="str">
        <f>IFERROR(__xludf.DUMMYFUNCTION("IF('From Order'!$A350=COLUMNS($A350:A369), LEFT(INDEX(FILTER(A$1:A349, A$1:A349&lt;&gt;""""),COUNTA(FILTER(A$1:A349, A$1:A349&lt;&gt;""""))), LEN(INDEX(FILTER(A$1:A349, A$1:A349&lt;&gt;""""),COUNTA(FILTER(A$1:A349, A$1:A349&lt;&gt;""""))))-1), IF('To Order'!$A350=COLUMNS($A350:A"&amp;"369), A349&amp;RIGHT(INDIRECT(ADDRESS(ROW(A350)-1, 'From Order'!$A350)), 1), A349))"),"CTFTMQCDTRLD")</f>
        <v>CTFTMQCDTRLD</v>
      </c>
      <c r="B350" s="2" t="str">
        <f>IFERROR(__xludf.DUMMYFUNCTION("IF('From Order'!$A350=COLUMNS($A350:B369), LEFT(INDEX(FILTER(B$1:B349, B$1:B349&lt;&gt;""""),COUNTA(FILTER(B$1:B349, B$1:B349&lt;&gt;""""))), LEN(INDEX(FILTER(B$1:B349, B$1:B349&lt;&gt;""""),COUNTA(FILTER(B$1:B349, B$1:B349&lt;&gt;""""))))-1), IF('To Order'!$A350=COLUMNS($A350:B"&amp;"369), B349&amp;RIGHT(INDIRECT(ADDRESS(ROW(B350)-1, 'From Order'!$A350)), 1), B349))"),"")</f>
        <v/>
      </c>
      <c r="C350" s="2" t="str">
        <f>IFERROR(__xludf.DUMMYFUNCTION("IF('From Order'!$A350=COLUMNS($A350:C369), LEFT(INDEX(FILTER(C$1:C349, C$1:C349&lt;&gt;""""),COUNTA(FILTER(C$1:C349, C$1:C349&lt;&gt;""""))), LEN(INDEX(FILTER(C$1:C349, C$1:C349&lt;&gt;""""),COUNTA(FILTER(C$1:C349, C$1:C349&lt;&gt;""""))))-1), IF('To Order'!$A350=COLUMNS($A350:C"&amp;"369), C349&amp;RIGHT(INDIRECT(ADDRESS(ROW(C350)-1, 'From Order'!$A350)), 1), C349))"),"SM")</f>
        <v>SM</v>
      </c>
      <c r="D350" s="2" t="str">
        <f>IFERROR(__xludf.DUMMYFUNCTION("IF('From Order'!$A350=COLUMNS($A350:D369), LEFT(INDEX(FILTER(D$1:D349, D$1:D349&lt;&gt;""""),COUNTA(FILTER(D$1:D349, D$1:D349&lt;&gt;""""))), LEN(INDEX(FILTER(D$1:D349, D$1:D349&lt;&gt;""""),COUNTA(FILTER(D$1:D349, D$1:D349&lt;&gt;""""))))-1), IF('To Order'!$A350=COLUMNS($A350:D"&amp;"369), D349&amp;RIGHT(INDIRECT(ADDRESS(ROW(D350)-1, 'From Order'!$A350)), 1), D349))"),"")</f>
        <v/>
      </c>
      <c r="E350" s="2" t="str">
        <f>IFERROR(__xludf.DUMMYFUNCTION("IF('From Order'!$A350=COLUMNS($A350:E369), LEFT(INDEX(FILTER(E$1:E349, E$1:E349&lt;&gt;""""),COUNTA(FILTER(E$1:E349, E$1:E349&lt;&gt;""""))), LEN(INDEX(FILTER(E$1:E349, E$1:E349&lt;&gt;""""),COUNTA(FILTER(E$1:E349, E$1:E349&lt;&gt;""""))))-1), IF('To Order'!$A350=COLUMNS($A350:E"&amp;"369), E349&amp;RIGHT(INDIRECT(ADDRESS(ROW(E350)-1, 'From Order'!$A350)), 1), E349))"),"HZRVSDPQRBCVTJTWR")</f>
        <v>HZRVSDPQRBCVTJTWR</v>
      </c>
      <c r="F350" s="2" t="str">
        <f>IFERROR(__xludf.DUMMYFUNCTION("IF('From Order'!$A350=COLUMNS($A350:F369), LEFT(INDEX(FILTER(F$1:F349, F$1:F349&lt;&gt;""""),COUNTA(FILTER(F$1:F349, F$1:F349&lt;&gt;""""))), LEN(INDEX(FILTER(F$1:F349, F$1:F349&lt;&gt;""""),COUNTA(FILTER(F$1:F349, F$1:F349&lt;&gt;""""))))-1), IF('To Order'!$A350=COLUMNS($A350:F"&amp;"369), F349&amp;RIGHT(INDIRECT(ADDRESS(ROW(F350)-1, 'From Order'!$A350)), 1), F349))"),"HSPVMZDDTDGSBLRLJBF")</f>
        <v>HSPVMZDDTDGSBLRLJBF</v>
      </c>
      <c r="G350" s="2" t="str">
        <f>IFERROR(__xludf.DUMMYFUNCTION("IF('From Order'!$A350=COLUMNS($A350:G369), LEFT(INDEX(FILTER(G$1:G349, G$1:G349&lt;&gt;""""),COUNTA(FILTER(G$1:G349, G$1:G349&lt;&gt;""""))), LEN(INDEX(FILTER(G$1:G349, G$1:G349&lt;&gt;""""),COUNTA(FILTER(G$1:G349, G$1:G349&lt;&gt;""""))))-1), IF('To Order'!$A350=COLUMNS($A350:G"&amp;"369), G349&amp;RIGHT(INDIRECT(ADDRESS(ROW(G350)-1, 'From Order'!$A350)), 1), G349))"),"JZ")</f>
        <v>JZ</v>
      </c>
      <c r="H350" s="2" t="str">
        <f>IFERROR(__xludf.DUMMYFUNCTION("IF('From Order'!$A350=COLUMNS($A350:H369), LEFT(INDEX(FILTER(H$1:H349, H$1:H349&lt;&gt;""""),COUNTA(FILTER(H$1:H349, H$1:H349&lt;&gt;""""))), LEN(INDEX(FILTER(H$1:H349, H$1:H349&lt;&gt;""""),COUNTA(FILTER(H$1:H349, H$1:H349&lt;&gt;""""))))-1), IF('To Order'!$A350=COLUMNS($A350:H"&amp;"369), H349&amp;RIGHT(INDIRECT(ADDRESS(ROW(H350)-1, 'From Order'!$A350)), 1), H349))"),"WPB")</f>
        <v>WPB</v>
      </c>
      <c r="I350" s="2" t="str">
        <f>IFERROR(__xludf.DUMMYFUNCTION("IF('From Order'!$A350=COLUMNS($A350:I369), LEFT(INDEX(FILTER(I$1:I349, I$1:I349&lt;&gt;""""),COUNTA(FILTER(I$1:I349, I$1:I349&lt;&gt;""""))), LEN(INDEX(FILTER(I$1:I349, I$1:I349&lt;&gt;""""),COUNTA(FILTER(I$1:I349, I$1:I349&lt;&gt;""""))))-1), IF('To Order'!$A350=COLUMNS($A350:I"&amp;"369), I349&amp;RIGHT(INDIRECT(ADDRESS(ROW(I350)-1, 'From Order'!$A350)), 1), I349))"),"G")</f>
        <v>G</v>
      </c>
    </row>
    <row r="351">
      <c r="A351" s="2" t="str">
        <f>IFERROR(__xludf.DUMMYFUNCTION("IF('From Order'!$A351=COLUMNS($A351:A370), LEFT(INDEX(FILTER(A$1:A350, A$1:A350&lt;&gt;""""),COUNTA(FILTER(A$1:A350, A$1:A350&lt;&gt;""""))), LEN(INDEX(FILTER(A$1:A350, A$1:A350&lt;&gt;""""),COUNTA(FILTER(A$1:A350, A$1:A350&lt;&gt;""""))))-1), IF('To Order'!$A351=COLUMNS($A351:A"&amp;"370), A350&amp;RIGHT(INDIRECT(ADDRESS(ROW(A351)-1, 'From Order'!$A351)), 1), A350))"),"CTFTMQCDTRLD")</f>
        <v>CTFTMQCDTRLD</v>
      </c>
      <c r="B351" s="2" t="str">
        <f>IFERROR(__xludf.DUMMYFUNCTION("IF('From Order'!$A351=COLUMNS($A351:B370), LEFT(INDEX(FILTER(B$1:B350, B$1:B350&lt;&gt;""""),COUNTA(FILTER(B$1:B350, B$1:B350&lt;&gt;""""))), LEN(INDEX(FILTER(B$1:B350, B$1:B350&lt;&gt;""""),COUNTA(FILTER(B$1:B350, B$1:B350&lt;&gt;""""))))-1), IF('To Order'!$A351=COLUMNS($A351:B"&amp;"370), B350&amp;RIGHT(INDIRECT(ADDRESS(ROW(B351)-1, 'From Order'!$A351)), 1), B350))"),"")</f>
        <v/>
      </c>
      <c r="C351" s="2" t="str">
        <f>IFERROR(__xludf.DUMMYFUNCTION("IF('From Order'!$A351=COLUMNS($A351:C370), LEFT(INDEX(FILTER(C$1:C350, C$1:C350&lt;&gt;""""),COUNTA(FILTER(C$1:C350, C$1:C350&lt;&gt;""""))), LEN(INDEX(FILTER(C$1:C350, C$1:C350&lt;&gt;""""),COUNTA(FILTER(C$1:C350, C$1:C350&lt;&gt;""""))))-1), IF('To Order'!$A351=COLUMNS($A351:C"&amp;"370), C350&amp;RIGHT(INDIRECT(ADDRESS(ROW(C351)-1, 'From Order'!$A351)), 1), C350))"),"SM")</f>
        <v>SM</v>
      </c>
      <c r="D351" s="2" t="str">
        <f>IFERROR(__xludf.DUMMYFUNCTION("IF('From Order'!$A351=COLUMNS($A351:D370), LEFT(INDEX(FILTER(D$1:D350, D$1:D350&lt;&gt;""""),COUNTA(FILTER(D$1:D350, D$1:D350&lt;&gt;""""))), LEN(INDEX(FILTER(D$1:D350, D$1:D350&lt;&gt;""""),COUNTA(FILTER(D$1:D350, D$1:D350&lt;&gt;""""))))-1), IF('To Order'!$A351=COLUMNS($A351:D"&amp;"370), D350&amp;RIGHT(INDIRECT(ADDRESS(ROW(D351)-1, 'From Order'!$A351)), 1), D350))"),"")</f>
        <v/>
      </c>
      <c r="E351" s="2" t="str">
        <f>IFERROR(__xludf.DUMMYFUNCTION("IF('From Order'!$A351=COLUMNS($A351:E370), LEFT(INDEX(FILTER(E$1:E350, E$1:E350&lt;&gt;""""),COUNTA(FILTER(E$1:E350, E$1:E350&lt;&gt;""""))), LEN(INDEX(FILTER(E$1:E350, E$1:E350&lt;&gt;""""),COUNTA(FILTER(E$1:E350, E$1:E350&lt;&gt;""""))))-1), IF('To Order'!$A351=COLUMNS($A351:E"&amp;"370), E350&amp;RIGHT(INDIRECT(ADDRESS(ROW(E351)-1, 'From Order'!$A351)), 1), E350))"),"HZRVSDPQRBCVTJTWR")</f>
        <v>HZRVSDPQRBCVTJTWR</v>
      </c>
      <c r="F351" s="2" t="str">
        <f>IFERROR(__xludf.DUMMYFUNCTION("IF('From Order'!$A351=COLUMNS($A351:F370), LEFT(INDEX(FILTER(F$1:F350, F$1:F350&lt;&gt;""""),COUNTA(FILTER(F$1:F350, F$1:F350&lt;&gt;""""))), LEN(INDEX(FILTER(F$1:F350, F$1:F350&lt;&gt;""""),COUNTA(FILTER(F$1:F350, F$1:F350&lt;&gt;""""))))-1), IF('To Order'!$A351=COLUMNS($A351:F"&amp;"370), F350&amp;RIGHT(INDIRECT(ADDRESS(ROW(F351)-1, 'From Order'!$A351)), 1), F350))"),"HSPVMZDDTDGSBLRLJBF")</f>
        <v>HSPVMZDDTDGSBLRLJBF</v>
      </c>
      <c r="G351" s="2" t="str">
        <f>IFERROR(__xludf.DUMMYFUNCTION("IF('From Order'!$A351=COLUMNS($A351:G370), LEFT(INDEX(FILTER(G$1:G350, G$1:G350&lt;&gt;""""),COUNTA(FILTER(G$1:G350, G$1:G350&lt;&gt;""""))), LEN(INDEX(FILTER(G$1:G350, G$1:G350&lt;&gt;""""),COUNTA(FILTER(G$1:G350, G$1:G350&lt;&gt;""""))))-1), IF('To Order'!$A351=COLUMNS($A351:G"&amp;"370), G350&amp;RIGHT(INDIRECT(ADDRESS(ROW(G351)-1, 'From Order'!$A351)), 1), G350))"),"J")</f>
        <v>J</v>
      </c>
      <c r="H351" s="2" t="str">
        <f>IFERROR(__xludf.DUMMYFUNCTION("IF('From Order'!$A351=COLUMNS($A351:H370), LEFT(INDEX(FILTER(H$1:H350, H$1:H350&lt;&gt;""""),COUNTA(FILTER(H$1:H350, H$1:H350&lt;&gt;""""))), LEN(INDEX(FILTER(H$1:H350, H$1:H350&lt;&gt;""""),COUNTA(FILTER(H$1:H350, H$1:H350&lt;&gt;""""))))-1), IF('To Order'!$A351=COLUMNS($A351:H"&amp;"370), H350&amp;RIGHT(INDIRECT(ADDRESS(ROW(H351)-1, 'From Order'!$A351)), 1), H350))"),"WPBZ")</f>
        <v>WPBZ</v>
      </c>
      <c r="I351" s="2" t="str">
        <f>IFERROR(__xludf.DUMMYFUNCTION("IF('From Order'!$A351=COLUMNS($A351:I370), LEFT(INDEX(FILTER(I$1:I350, I$1:I350&lt;&gt;""""),COUNTA(FILTER(I$1:I350, I$1:I350&lt;&gt;""""))), LEN(INDEX(FILTER(I$1:I350, I$1:I350&lt;&gt;""""),COUNTA(FILTER(I$1:I350, I$1:I350&lt;&gt;""""))))-1), IF('To Order'!$A351=COLUMNS($A351:I"&amp;"370), I350&amp;RIGHT(INDIRECT(ADDRESS(ROW(I351)-1, 'From Order'!$A351)), 1), I350))"),"G")</f>
        <v>G</v>
      </c>
    </row>
    <row r="352">
      <c r="A352" s="2" t="str">
        <f>IFERROR(__xludf.DUMMYFUNCTION("IF('From Order'!$A352=COLUMNS($A352:A371), LEFT(INDEX(FILTER(A$1:A351, A$1:A351&lt;&gt;""""),COUNTA(FILTER(A$1:A351, A$1:A351&lt;&gt;""""))), LEN(INDEX(FILTER(A$1:A351, A$1:A351&lt;&gt;""""),COUNTA(FILTER(A$1:A351, A$1:A351&lt;&gt;""""))))-1), IF('To Order'!$A352=COLUMNS($A352:A"&amp;"371), A351&amp;RIGHT(INDIRECT(ADDRESS(ROW(A352)-1, 'From Order'!$A352)), 1), A351))"),"CTFTMQCDTRLD")</f>
        <v>CTFTMQCDTRLD</v>
      </c>
      <c r="B352" s="2" t="str">
        <f>IFERROR(__xludf.DUMMYFUNCTION("IF('From Order'!$A352=COLUMNS($A352:B371), LEFT(INDEX(FILTER(B$1:B351, B$1:B351&lt;&gt;""""),COUNTA(FILTER(B$1:B351, B$1:B351&lt;&gt;""""))), LEN(INDEX(FILTER(B$1:B351, B$1:B351&lt;&gt;""""),COUNTA(FILTER(B$1:B351, B$1:B351&lt;&gt;""""))))-1), IF('To Order'!$A352=COLUMNS($A352:B"&amp;"371), B351&amp;RIGHT(INDIRECT(ADDRESS(ROW(B352)-1, 'From Order'!$A352)), 1), B351))"),"")</f>
        <v/>
      </c>
      <c r="C352" s="2" t="str">
        <f>IFERROR(__xludf.DUMMYFUNCTION("IF('From Order'!$A352=COLUMNS($A352:C371), LEFT(INDEX(FILTER(C$1:C351, C$1:C351&lt;&gt;""""),COUNTA(FILTER(C$1:C351, C$1:C351&lt;&gt;""""))), LEN(INDEX(FILTER(C$1:C351, C$1:C351&lt;&gt;""""),COUNTA(FILTER(C$1:C351, C$1:C351&lt;&gt;""""))))-1), IF('To Order'!$A352=COLUMNS($A352:C"&amp;"371), C351&amp;RIGHT(INDIRECT(ADDRESS(ROW(C352)-1, 'From Order'!$A352)), 1), C351))"),"SM")</f>
        <v>SM</v>
      </c>
      <c r="D352" s="2" t="str">
        <f>IFERROR(__xludf.DUMMYFUNCTION("IF('From Order'!$A352=COLUMNS($A352:D371), LEFT(INDEX(FILTER(D$1:D351, D$1:D351&lt;&gt;""""),COUNTA(FILTER(D$1:D351, D$1:D351&lt;&gt;""""))), LEN(INDEX(FILTER(D$1:D351, D$1:D351&lt;&gt;""""),COUNTA(FILTER(D$1:D351, D$1:D351&lt;&gt;""""))))-1), IF('To Order'!$A352=COLUMNS($A352:D"&amp;"371), D351&amp;RIGHT(INDIRECT(ADDRESS(ROW(D352)-1, 'From Order'!$A352)), 1), D351))"),"")</f>
        <v/>
      </c>
      <c r="E352" s="2" t="str">
        <f>IFERROR(__xludf.DUMMYFUNCTION("IF('From Order'!$A352=COLUMNS($A352:E371), LEFT(INDEX(FILTER(E$1:E351, E$1:E351&lt;&gt;""""),COUNTA(FILTER(E$1:E351, E$1:E351&lt;&gt;""""))), LEN(INDEX(FILTER(E$1:E351, E$1:E351&lt;&gt;""""),COUNTA(FILTER(E$1:E351, E$1:E351&lt;&gt;""""))))-1), IF('To Order'!$A352=COLUMNS($A352:E"&amp;"371), E351&amp;RIGHT(INDIRECT(ADDRESS(ROW(E352)-1, 'From Order'!$A352)), 1), E351))"),"HZRVSDPQRBCVTJTWR")</f>
        <v>HZRVSDPQRBCVTJTWR</v>
      </c>
      <c r="F352" s="2" t="str">
        <f>IFERROR(__xludf.DUMMYFUNCTION("IF('From Order'!$A352=COLUMNS($A352:F371), LEFT(INDEX(FILTER(F$1:F351, F$1:F351&lt;&gt;""""),COUNTA(FILTER(F$1:F351, F$1:F351&lt;&gt;""""))), LEN(INDEX(FILTER(F$1:F351, F$1:F351&lt;&gt;""""),COUNTA(FILTER(F$1:F351, F$1:F351&lt;&gt;""""))))-1), IF('To Order'!$A352=COLUMNS($A352:F"&amp;"371), F351&amp;RIGHT(INDIRECT(ADDRESS(ROW(F352)-1, 'From Order'!$A352)), 1), F351))"),"HSPVMZDDTDGSBLRLJBF")</f>
        <v>HSPVMZDDTDGSBLRLJBF</v>
      </c>
      <c r="G352" s="2" t="str">
        <f>IFERROR(__xludf.DUMMYFUNCTION("IF('From Order'!$A352=COLUMNS($A352:G371), LEFT(INDEX(FILTER(G$1:G351, G$1:G351&lt;&gt;""""),COUNTA(FILTER(G$1:G351, G$1:G351&lt;&gt;""""))), LEN(INDEX(FILTER(G$1:G351, G$1:G351&lt;&gt;""""),COUNTA(FILTER(G$1:G351, G$1:G351&lt;&gt;""""))))-1), IF('To Order'!$A352=COLUMNS($A352:G"&amp;"371), G351&amp;RIGHT(INDIRECT(ADDRESS(ROW(G352)-1, 'From Order'!$A352)), 1), G351))"),"")</f>
        <v/>
      </c>
      <c r="H352" s="2" t="str">
        <f>IFERROR(__xludf.DUMMYFUNCTION("IF('From Order'!$A352=COLUMNS($A352:H371), LEFT(INDEX(FILTER(H$1:H351, H$1:H351&lt;&gt;""""),COUNTA(FILTER(H$1:H351, H$1:H351&lt;&gt;""""))), LEN(INDEX(FILTER(H$1:H351, H$1:H351&lt;&gt;""""),COUNTA(FILTER(H$1:H351, H$1:H351&lt;&gt;""""))))-1), IF('To Order'!$A352=COLUMNS($A352:H"&amp;"371), H351&amp;RIGHT(INDIRECT(ADDRESS(ROW(H352)-1, 'From Order'!$A352)), 1), H351))"),"WPBZJ")</f>
        <v>WPBZJ</v>
      </c>
      <c r="I352" s="2" t="str">
        <f>IFERROR(__xludf.DUMMYFUNCTION("IF('From Order'!$A352=COLUMNS($A352:I371), LEFT(INDEX(FILTER(I$1:I351, I$1:I351&lt;&gt;""""),COUNTA(FILTER(I$1:I351, I$1:I351&lt;&gt;""""))), LEN(INDEX(FILTER(I$1:I351, I$1:I351&lt;&gt;""""),COUNTA(FILTER(I$1:I351, I$1:I351&lt;&gt;""""))))-1), IF('To Order'!$A352=COLUMNS($A352:I"&amp;"371), I351&amp;RIGHT(INDIRECT(ADDRESS(ROW(I352)-1, 'From Order'!$A352)), 1), I351))"),"G")</f>
        <v>G</v>
      </c>
    </row>
    <row r="353">
      <c r="A353" s="2" t="str">
        <f>IFERROR(__xludf.DUMMYFUNCTION("IF('From Order'!$A353=COLUMNS($A353:A372), LEFT(INDEX(FILTER(A$1:A352, A$1:A352&lt;&gt;""""),COUNTA(FILTER(A$1:A352, A$1:A352&lt;&gt;""""))), LEN(INDEX(FILTER(A$1:A352, A$1:A352&lt;&gt;""""),COUNTA(FILTER(A$1:A352, A$1:A352&lt;&gt;""""))))-1), IF('To Order'!$A353=COLUMNS($A353:A"&amp;"372), A352&amp;RIGHT(INDIRECT(ADDRESS(ROW(A353)-1, 'From Order'!$A353)), 1), A352))"),"CTFTMQCDTRLDR")</f>
        <v>CTFTMQCDTRLDR</v>
      </c>
      <c r="B353" s="2" t="str">
        <f>IFERROR(__xludf.DUMMYFUNCTION("IF('From Order'!$A353=COLUMNS($A353:B372), LEFT(INDEX(FILTER(B$1:B352, B$1:B352&lt;&gt;""""),COUNTA(FILTER(B$1:B352, B$1:B352&lt;&gt;""""))), LEN(INDEX(FILTER(B$1:B352, B$1:B352&lt;&gt;""""),COUNTA(FILTER(B$1:B352, B$1:B352&lt;&gt;""""))))-1), IF('To Order'!$A353=COLUMNS($A353:B"&amp;"372), B352&amp;RIGHT(INDIRECT(ADDRESS(ROW(B353)-1, 'From Order'!$A353)), 1), B352))"),"")</f>
        <v/>
      </c>
      <c r="C353" s="2" t="str">
        <f>IFERROR(__xludf.DUMMYFUNCTION("IF('From Order'!$A353=COLUMNS($A353:C372), LEFT(INDEX(FILTER(C$1:C352, C$1:C352&lt;&gt;""""),COUNTA(FILTER(C$1:C352, C$1:C352&lt;&gt;""""))), LEN(INDEX(FILTER(C$1:C352, C$1:C352&lt;&gt;""""),COUNTA(FILTER(C$1:C352, C$1:C352&lt;&gt;""""))))-1), IF('To Order'!$A353=COLUMNS($A353:C"&amp;"372), C352&amp;RIGHT(INDIRECT(ADDRESS(ROW(C353)-1, 'From Order'!$A353)), 1), C352))"),"SM")</f>
        <v>SM</v>
      </c>
      <c r="D353" s="2" t="str">
        <f>IFERROR(__xludf.DUMMYFUNCTION("IF('From Order'!$A353=COLUMNS($A353:D372), LEFT(INDEX(FILTER(D$1:D352, D$1:D352&lt;&gt;""""),COUNTA(FILTER(D$1:D352, D$1:D352&lt;&gt;""""))), LEN(INDEX(FILTER(D$1:D352, D$1:D352&lt;&gt;""""),COUNTA(FILTER(D$1:D352, D$1:D352&lt;&gt;""""))))-1), IF('To Order'!$A353=COLUMNS($A353:D"&amp;"372), D352&amp;RIGHT(INDIRECT(ADDRESS(ROW(D353)-1, 'From Order'!$A353)), 1), D352))"),"")</f>
        <v/>
      </c>
      <c r="E353" s="2" t="str">
        <f>IFERROR(__xludf.DUMMYFUNCTION("IF('From Order'!$A353=COLUMNS($A353:E372), LEFT(INDEX(FILTER(E$1:E352, E$1:E352&lt;&gt;""""),COUNTA(FILTER(E$1:E352, E$1:E352&lt;&gt;""""))), LEN(INDEX(FILTER(E$1:E352, E$1:E352&lt;&gt;""""),COUNTA(FILTER(E$1:E352, E$1:E352&lt;&gt;""""))))-1), IF('To Order'!$A353=COLUMNS($A353:E"&amp;"372), E352&amp;RIGHT(INDIRECT(ADDRESS(ROW(E353)-1, 'From Order'!$A353)), 1), E352))"),"HZRVSDPQRBCVTJTW")</f>
        <v>HZRVSDPQRBCVTJTW</v>
      </c>
      <c r="F353" s="2" t="str">
        <f>IFERROR(__xludf.DUMMYFUNCTION("IF('From Order'!$A353=COLUMNS($A353:F372), LEFT(INDEX(FILTER(F$1:F352, F$1:F352&lt;&gt;""""),COUNTA(FILTER(F$1:F352, F$1:F352&lt;&gt;""""))), LEN(INDEX(FILTER(F$1:F352, F$1:F352&lt;&gt;""""),COUNTA(FILTER(F$1:F352, F$1:F352&lt;&gt;""""))))-1), IF('To Order'!$A353=COLUMNS($A353:F"&amp;"372), F352&amp;RIGHT(INDIRECT(ADDRESS(ROW(F353)-1, 'From Order'!$A353)), 1), F352))"),"HSPVMZDDTDGSBLRLJBF")</f>
        <v>HSPVMZDDTDGSBLRLJBF</v>
      </c>
      <c r="G353" s="2" t="str">
        <f>IFERROR(__xludf.DUMMYFUNCTION("IF('From Order'!$A353=COLUMNS($A353:G372), LEFT(INDEX(FILTER(G$1:G352, G$1:G352&lt;&gt;""""),COUNTA(FILTER(G$1:G352, G$1:G352&lt;&gt;""""))), LEN(INDEX(FILTER(G$1:G352, G$1:G352&lt;&gt;""""),COUNTA(FILTER(G$1:G352, G$1:G352&lt;&gt;""""))))-1), IF('To Order'!$A353=COLUMNS($A353:G"&amp;"372), G352&amp;RIGHT(INDIRECT(ADDRESS(ROW(G353)-1, 'From Order'!$A353)), 1), G352))"),"")</f>
        <v/>
      </c>
      <c r="H353" s="2" t="str">
        <f>IFERROR(__xludf.DUMMYFUNCTION("IF('From Order'!$A353=COLUMNS($A353:H372), LEFT(INDEX(FILTER(H$1:H352, H$1:H352&lt;&gt;""""),COUNTA(FILTER(H$1:H352, H$1:H352&lt;&gt;""""))), LEN(INDEX(FILTER(H$1:H352, H$1:H352&lt;&gt;""""),COUNTA(FILTER(H$1:H352, H$1:H352&lt;&gt;""""))))-1), IF('To Order'!$A353=COLUMNS($A353:H"&amp;"372), H352&amp;RIGHT(INDIRECT(ADDRESS(ROW(H353)-1, 'From Order'!$A353)), 1), H352))"),"WPBZJ")</f>
        <v>WPBZJ</v>
      </c>
      <c r="I353" s="2" t="str">
        <f>IFERROR(__xludf.DUMMYFUNCTION("IF('From Order'!$A353=COLUMNS($A353:I372), LEFT(INDEX(FILTER(I$1:I352, I$1:I352&lt;&gt;""""),COUNTA(FILTER(I$1:I352, I$1:I352&lt;&gt;""""))), LEN(INDEX(FILTER(I$1:I352, I$1:I352&lt;&gt;""""),COUNTA(FILTER(I$1:I352, I$1:I352&lt;&gt;""""))))-1), IF('To Order'!$A353=COLUMNS($A353:I"&amp;"372), I352&amp;RIGHT(INDIRECT(ADDRESS(ROW(I353)-1, 'From Order'!$A353)), 1), I352))"),"G")</f>
        <v>G</v>
      </c>
    </row>
    <row r="354">
      <c r="A354" s="2" t="str">
        <f>IFERROR(__xludf.DUMMYFUNCTION("IF('From Order'!$A354=COLUMNS($A354:A373), LEFT(INDEX(FILTER(A$1:A353, A$1:A353&lt;&gt;""""),COUNTA(FILTER(A$1:A353, A$1:A353&lt;&gt;""""))), LEN(INDEX(FILTER(A$1:A353, A$1:A353&lt;&gt;""""),COUNTA(FILTER(A$1:A353, A$1:A353&lt;&gt;""""))))-1), IF('To Order'!$A354=COLUMNS($A354:A"&amp;"373), A353&amp;RIGHT(INDIRECT(ADDRESS(ROW(A354)-1, 'From Order'!$A354)), 1), A353))"),"CTFTMQCDTRLDRW")</f>
        <v>CTFTMQCDTRLDRW</v>
      </c>
      <c r="B354" s="2" t="str">
        <f>IFERROR(__xludf.DUMMYFUNCTION("IF('From Order'!$A354=COLUMNS($A354:B373), LEFT(INDEX(FILTER(B$1:B353, B$1:B353&lt;&gt;""""),COUNTA(FILTER(B$1:B353, B$1:B353&lt;&gt;""""))), LEN(INDEX(FILTER(B$1:B353, B$1:B353&lt;&gt;""""),COUNTA(FILTER(B$1:B353, B$1:B353&lt;&gt;""""))))-1), IF('To Order'!$A354=COLUMNS($A354:B"&amp;"373), B353&amp;RIGHT(INDIRECT(ADDRESS(ROW(B354)-1, 'From Order'!$A354)), 1), B353))"),"")</f>
        <v/>
      </c>
      <c r="C354" s="2" t="str">
        <f>IFERROR(__xludf.DUMMYFUNCTION("IF('From Order'!$A354=COLUMNS($A354:C373), LEFT(INDEX(FILTER(C$1:C353, C$1:C353&lt;&gt;""""),COUNTA(FILTER(C$1:C353, C$1:C353&lt;&gt;""""))), LEN(INDEX(FILTER(C$1:C353, C$1:C353&lt;&gt;""""),COUNTA(FILTER(C$1:C353, C$1:C353&lt;&gt;""""))))-1), IF('To Order'!$A354=COLUMNS($A354:C"&amp;"373), C353&amp;RIGHT(INDIRECT(ADDRESS(ROW(C354)-1, 'From Order'!$A354)), 1), C353))"),"SM")</f>
        <v>SM</v>
      </c>
      <c r="D354" s="2" t="str">
        <f>IFERROR(__xludf.DUMMYFUNCTION("IF('From Order'!$A354=COLUMNS($A354:D373), LEFT(INDEX(FILTER(D$1:D353, D$1:D353&lt;&gt;""""),COUNTA(FILTER(D$1:D353, D$1:D353&lt;&gt;""""))), LEN(INDEX(FILTER(D$1:D353, D$1:D353&lt;&gt;""""),COUNTA(FILTER(D$1:D353, D$1:D353&lt;&gt;""""))))-1), IF('To Order'!$A354=COLUMNS($A354:D"&amp;"373), D353&amp;RIGHT(INDIRECT(ADDRESS(ROW(D354)-1, 'From Order'!$A354)), 1), D353))"),"")</f>
        <v/>
      </c>
      <c r="E354" s="2" t="str">
        <f>IFERROR(__xludf.DUMMYFUNCTION("IF('From Order'!$A354=COLUMNS($A354:E373), LEFT(INDEX(FILTER(E$1:E353, E$1:E353&lt;&gt;""""),COUNTA(FILTER(E$1:E353, E$1:E353&lt;&gt;""""))), LEN(INDEX(FILTER(E$1:E353, E$1:E353&lt;&gt;""""),COUNTA(FILTER(E$1:E353, E$1:E353&lt;&gt;""""))))-1), IF('To Order'!$A354=COLUMNS($A354:E"&amp;"373), E353&amp;RIGHT(INDIRECT(ADDRESS(ROW(E354)-1, 'From Order'!$A354)), 1), E353))"),"HZRVSDPQRBCVTJT")</f>
        <v>HZRVSDPQRBCVTJT</v>
      </c>
      <c r="F354" s="2" t="str">
        <f>IFERROR(__xludf.DUMMYFUNCTION("IF('From Order'!$A354=COLUMNS($A354:F373), LEFT(INDEX(FILTER(F$1:F353, F$1:F353&lt;&gt;""""),COUNTA(FILTER(F$1:F353, F$1:F353&lt;&gt;""""))), LEN(INDEX(FILTER(F$1:F353, F$1:F353&lt;&gt;""""),COUNTA(FILTER(F$1:F353, F$1:F353&lt;&gt;""""))))-1), IF('To Order'!$A354=COLUMNS($A354:F"&amp;"373), F353&amp;RIGHT(INDIRECT(ADDRESS(ROW(F354)-1, 'From Order'!$A354)), 1), F353))"),"HSPVMZDDTDGSBLRLJBF")</f>
        <v>HSPVMZDDTDGSBLRLJBF</v>
      </c>
      <c r="G354" s="2" t="str">
        <f>IFERROR(__xludf.DUMMYFUNCTION("IF('From Order'!$A354=COLUMNS($A354:G373), LEFT(INDEX(FILTER(G$1:G353, G$1:G353&lt;&gt;""""),COUNTA(FILTER(G$1:G353, G$1:G353&lt;&gt;""""))), LEN(INDEX(FILTER(G$1:G353, G$1:G353&lt;&gt;""""),COUNTA(FILTER(G$1:G353, G$1:G353&lt;&gt;""""))))-1), IF('To Order'!$A354=COLUMNS($A354:G"&amp;"373), G353&amp;RIGHT(INDIRECT(ADDRESS(ROW(G354)-1, 'From Order'!$A354)), 1), G353))"),"")</f>
        <v/>
      </c>
      <c r="H354" s="2" t="str">
        <f>IFERROR(__xludf.DUMMYFUNCTION("IF('From Order'!$A354=COLUMNS($A354:H373), LEFT(INDEX(FILTER(H$1:H353, H$1:H353&lt;&gt;""""),COUNTA(FILTER(H$1:H353, H$1:H353&lt;&gt;""""))), LEN(INDEX(FILTER(H$1:H353, H$1:H353&lt;&gt;""""),COUNTA(FILTER(H$1:H353, H$1:H353&lt;&gt;""""))))-1), IF('To Order'!$A354=COLUMNS($A354:H"&amp;"373), H353&amp;RIGHT(INDIRECT(ADDRESS(ROW(H354)-1, 'From Order'!$A354)), 1), H353))"),"WPBZJ")</f>
        <v>WPBZJ</v>
      </c>
      <c r="I354" s="2" t="str">
        <f>IFERROR(__xludf.DUMMYFUNCTION("IF('From Order'!$A354=COLUMNS($A354:I373), LEFT(INDEX(FILTER(I$1:I353, I$1:I353&lt;&gt;""""),COUNTA(FILTER(I$1:I353, I$1:I353&lt;&gt;""""))), LEN(INDEX(FILTER(I$1:I353, I$1:I353&lt;&gt;""""),COUNTA(FILTER(I$1:I353, I$1:I353&lt;&gt;""""))))-1), IF('To Order'!$A354=COLUMNS($A354:I"&amp;"373), I353&amp;RIGHT(INDIRECT(ADDRESS(ROW(I354)-1, 'From Order'!$A354)), 1), I353))"),"G")</f>
        <v>G</v>
      </c>
    </row>
    <row r="355">
      <c r="A355" s="2" t="str">
        <f>IFERROR(__xludf.DUMMYFUNCTION("IF('From Order'!$A355=COLUMNS($A355:A374), LEFT(INDEX(FILTER(A$1:A354, A$1:A354&lt;&gt;""""),COUNTA(FILTER(A$1:A354, A$1:A354&lt;&gt;""""))), LEN(INDEX(FILTER(A$1:A354, A$1:A354&lt;&gt;""""),COUNTA(FILTER(A$1:A354, A$1:A354&lt;&gt;""""))))-1), IF('To Order'!$A355=COLUMNS($A355:A"&amp;"374), A354&amp;RIGHT(INDIRECT(ADDRESS(ROW(A355)-1, 'From Order'!$A355)), 1), A354))"),"CTFTMQCDTRLDRWT")</f>
        <v>CTFTMQCDTRLDRWT</v>
      </c>
      <c r="B355" s="2" t="str">
        <f>IFERROR(__xludf.DUMMYFUNCTION("IF('From Order'!$A355=COLUMNS($A355:B374), LEFT(INDEX(FILTER(B$1:B354, B$1:B354&lt;&gt;""""),COUNTA(FILTER(B$1:B354, B$1:B354&lt;&gt;""""))), LEN(INDEX(FILTER(B$1:B354, B$1:B354&lt;&gt;""""),COUNTA(FILTER(B$1:B354, B$1:B354&lt;&gt;""""))))-1), IF('To Order'!$A355=COLUMNS($A355:B"&amp;"374), B354&amp;RIGHT(INDIRECT(ADDRESS(ROW(B355)-1, 'From Order'!$A355)), 1), B354))"),"")</f>
        <v/>
      </c>
      <c r="C355" s="2" t="str">
        <f>IFERROR(__xludf.DUMMYFUNCTION("IF('From Order'!$A355=COLUMNS($A355:C374), LEFT(INDEX(FILTER(C$1:C354, C$1:C354&lt;&gt;""""),COUNTA(FILTER(C$1:C354, C$1:C354&lt;&gt;""""))), LEN(INDEX(FILTER(C$1:C354, C$1:C354&lt;&gt;""""),COUNTA(FILTER(C$1:C354, C$1:C354&lt;&gt;""""))))-1), IF('To Order'!$A355=COLUMNS($A355:C"&amp;"374), C354&amp;RIGHT(INDIRECT(ADDRESS(ROW(C355)-1, 'From Order'!$A355)), 1), C354))"),"SM")</f>
        <v>SM</v>
      </c>
      <c r="D355" s="2" t="str">
        <f>IFERROR(__xludf.DUMMYFUNCTION("IF('From Order'!$A355=COLUMNS($A355:D374), LEFT(INDEX(FILTER(D$1:D354, D$1:D354&lt;&gt;""""),COUNTA(FILTER(D$1:D354, D$1:D354&lt;&gt;""""))), LEN(INDEX(FILTER(D$1:D354, D$1:D354&lt;&gt;""""),COUNTA(FILTER(D$1:D354, D$1:D354&lt;&gt;""""))))-1), IF('To Order'!$A355=COLUMNS($A355:D"&amp;"374), D354&amp;RIGHT(INDIRECT(ADDRESS(ROW(D355)-1, 'From Order'!$A355)), 1), D354))"),"")</f>
        <v/>
      </c>
      <c r="E355" s="2" t="str">
        <f>IFERROR(__xludf.DUMMYFUNCTION("IF('From Order'!$A355=COLUMNS($A355:E374), LEFT(INDEX(FILTER(E$1:E354, E$1:E354&lt;&gt;""""),COUNTA(FILTER(E$1:E354, E$1:E354&lt;&gt;""""))), LEN(INDEX(FILTER(E$1:E354, E$1:E354&lt;&gt;""""),COUNTA(FILTER(E$1:E354, E$1:E354&lt;&gt;""""))))-1), IF('To Order'!$A355=COLUMNS($A355:E"&amp;"374), E354&amp;RIGHT(INDIRECT(ADDRESS(ROW(E355)-1, 'From Order'!$A355)), 1), E354))"),"HZRVSDPQRBCVTJ")</f>
        <v>HZRVSDPQRBCVTJ</v>
      </c>
      <c r="F355" s="2" t="str">
        <f>IFERROR(__xludf.DUMMYFUNCTION("IF('From Order'!$A355=COLUMNS($A355:F374), LEFT(INDEX(FILTER(F$1:F354, F$1:F354&lt;&gt;""""),COUNTA(FILTER(F$1:F354, F$1:F354&lt;&gt;""""))), LEN(INDEX(FILTER(F$1:F354, F$1:F354&lt;&gt;""""),COUNTA(FILTER(F$1:F354, F$1:F354&lt;&gt;""""))))-1), IF('To Order'!$A355=COLUMNS($A355:F"&amp;"374), F354&amp;RIGHT(INDIRECT(ADDRESS(ROW(F355)-1, 'From Order'!$A355)), 1), F354))"),"HSPVMZDDTDGSBLRLJBF")</f>
        <v>HSPVMZDDTDGSBLRLJBF</v>
      </c>
      <c r="G355" s="2" t="str">
        <f>IFERROR(__xludf.DUMMYFUNCTION("IF('From Order'!$A355=COLUMNS($A355:G374), LEFT(INDEX(FILTER(G$1:G354, G$1:G354&lt;&gt;""""),COUNTA(FILTER(G$1:G354, G$1:G354&lt;&gt;""""))), LEN(INDEX(FILTER(G$1:G354, G$1:G354&lt;&gt;""""),COUNTA(FILTER(G$1:G354, G$1:G354&lt;&gt;""""))))-1), IF('To Order'!$A355=COLUMNS($A355:G"&amp;"374), G354&amp;RIGHT(INDIRECT(ADDRESS(ROW(G355)-1, 'From Order'!$A355)), 1), G354))"),"")</f>
        <v/>
      </c>
      <c r="H355" s="2" t="str">
        <f>IFERROR(__xludf.DUMMYFUNCTION("IF('From Order'!$A355=COLUMNS($A355:H374), LEFT(INDEX(FILTER(H$1:H354, H$1:H354&lt;&gt;""""),COUNTA(FILTER(H$1:H354, H$1:H354&lt;&gt;""""))), LEN(INDEX(FILTER(H$1:H354, H$1:H354&lt;&gt;""""),COUNTA(FILTER(H$1:H354, H$1:H354&lt;&gt;""""))))-1), IF('To Order'!$A355=COLUMNS($A355:H"&amp;"374), H354&amp;RIGHT(INDIRECT(ADDRESS(ROW(H355)-1, 'From Order'!$A355)), 1), H354))"),"WPBZJ")</f>
        <v>WPBZJ</v>
      </c>
      <c r="I355" s="2" t="str">
        <f>IFERROR(__xludf.DUMMYFUNCTION("IF('From Order'!$A355=COLUMNS($A355:I374), LEFT(INDEX(FILTER(I$1:I354, I$1:I354&lt;&gt;""""),COUNTA(FILTER(I$1:I354, I$1:I354&lt;&gt;""""))), LEN(INDEX(FILTER(I$1:I354, I$1:I354&lt;&gt;""""),COUNTA(FILTER(I$1:I354, I$1:I354&lt;&gt;""""))))-1), IF('To Order'!$A355=COLUMNS($A355:I"&amp;"374), I354&amp;RIGHT(INDIRECT(ADDRESS(ROW(I355)-1, 'From Order'!$A355)), 1), I354))"),"G")</f>
        <v>G</v>
      </c>
    </row>
    <row r="356">
      <c r="A356" s="2" t="str">
        <f>IFERROR(__xludf.DUMMYFUNCTION("IF('From Order'!$A356=COLUMNS($A356:A375), LEFT(INDEX(FILTER(A$1:A355, A$1:A355&lt;&gt;""""),COUNTA(FILTER(A$1:A355, A$1:A355&lt;&gt;""""))), LEN(INDEX(FILTER(A$1:A355, A$1:A355&lt;&gt;""""),COUNTA(FILTER(A$1:A355, A$1:A355&lt;&gt;""""))))-1), IF('To Order'!$A356=COLUMNS($A356:A"&amp;"375), A355&amp;RIGHT(INDIRECT(ADDRESS(ROW(A356)-1, 'From Order'!$A356)), 1), A355))"),"CTFTMQCDTRLDRWTJ")</f>
        <v>CTFTMQCDTRLDRWTJ</v>
      </c>
      <c r="B356" s="2" t="str">
        <f>IFERROR(__xludf.DUMMYFUNCTION("IF('From Order'!$A356=COLUMNS($A356:B375), LEFT(INDEX(FILTER(B$1:B355, B$1:B355&lt;&gt;""""),COUNTA(FILTER(B$1:B355, B$1:B355&lt;&gt;""""))), LEN(INDEX(FILTER(B$1:B355, B$1:B355&lt;&gt;""""),COUNTA(FILTER(B$1:B355, B$1:B355&lt;&gt;""""))))-1), IF('To Order'!$A356=COLUMNS($A356:B"&amp;"375), B355&amp;RIGHT(INDIRECT(ADDRESS(ROW(B356)-1, 'From Order'!$A356)), 1), B355))"),"")</f>
        <v/>
      </c>
      <c r="C356" s="2" t="str">
        <f>IFERROR(__xludf.DUMMYFUNCTION("IF('From Order'!$A356=COLUMNS($A356:C375), LEFT(INDEX(FILTER(C$1:C355, C$1:C355&lt;&gt;""""),COUNTA(FILTER(C$1:C355, C$1:C355&lt;&gt;""""))), LEN(INDEX(FILTER(C$1:C355, C$1:C355&lt;&gt;""""),COUNTA(FILTER(C$1:C355, C$1:C355&lt;&gt;""""))))-1), IF('To Order'!$A356=COLUMNS($A356:C"&amp;"375), C355&amp;RIGHT(INDIRECT(ADDRESS(ROW(C356)-1, 'From Order'!$A356)), 1), C355))"),"SM")</f>
        <v>SM</v>
      </c>
      <c r="D356" s="2" t="str">
        <f>IFERROR(__xludf.DUMMYFUNCTION("IF('From Order'!$A356=COLUMNS($A356:D375), LEFT(INDEX(FILTER(D$1:D355, D$1:D355&lt;&gt;""""),COUNTA(FILTER(D$1:D355, D$1:D355&lt;&gt;""""))), LEN(INDEX(FILTER(D$1:D355, D$1:D355&lt;&gt;""""),COUNTA(FILTER(D$1:D355, D$1:D355&lt;&gt;""""))))-1), IF('To Order'!$A356=COLUMNS($A356:D"&amp;"375), D355&amp;RIGHT(INDIRECT(ADDRESS(ROW(D356)-1, 'From Order'!$A356)), 1), D355))"),"")</f>
        <v/>
      </c>
      <c r="E356" s="2" t="str">
        <f>IFERROR(__xludf.DUMMYFUNCTION("IF('From Order'!$A356=COLUMNS($A356:E375), LEFT(INDEX(FILTER(E$1:E355, E$1:E355&lt;&gt;""""),COUNTA(FILTER(E$1:E355, E$1:E355&lt;&gt;""""))), LEN(INDEX(FILTER(E$1:E355, E$1:E355&lt;&gt;""""),COUNTA(FILTER(E$1:E355, E$1:E355&lt;&gt;""""))))-1), IF('To Order'!$A356=COLUMNS($A356:E"&amp;"375), E355&amp;RIGHT(INDIRECT(ADDRESS(ROW(E356)-1, 'From Order'!$A356)), 1), E355))"),"HZRVSDPQRBCVT")</f>
        <v>HZRVSDPQRBCVT</v>
      </c>
      <c r="F356" s="2" t="str">
        <f>IFERROR(__xludf.DUMMYFUNCTION("IF('From Order'!$A356=COLUMNS($A356:F375), LEFT(INDEX(FILTER(F$1:F355, F$1:F355&lt;&gt;""""),COUNTA(FILTER(F$1:F355, F$1:F355&lt;&gt;""""))), LEN(INDEX(FILTER(F$1:F355, F$1:F355&lt;&gt;""""),COUNTA(FILTER(F$1:F355, F$1:F355&lt;&gt;""""))))-1), IF('To Order'!$A356=COLUMNS($A356:F"&amp;"375), F355&amp;RIGHT(INDIRECT(ADDRESS(ROW(F356)-1, 'From Order'!$A356)), 1), F355))"),"HSPVMZDDTDGSBLRLJBF")</f>
        <v>HSPVMZDDTDGSBLRLJBF</v>
      </c>
      <c r="G356" s="2" t="str">
        <f>IFERROR(__xludf.DUMMYFUNCTION("IF('From Order'!$A356=COLUMNS($A356:G375), LEFT(INDEX(FILTER(G$1:G355, G$1:G355&lt;&gt;""""),COUNTA(FILTER(G$1:G355, G$1:G355&lt;&gt;""""))), LEN(INDEX(FILTER(G$1:G355, G$1:G355&lt;&gt;""""),COUNTA(FILTER(G$1:G355, G$1:G355&lt;&gt;""""))))-1), IF('To Order'!$A356=COLUMNS($A356:G"&amp;"375), G355&amp;RIGHT(INDIRECT(ADDRESS(ROW(G356)-1, 'From Order'!$A356)), 1), G355))"),"")</f>
        <v/>
      </c>
      <c r="H356" s="2" t="str">
        <f>IFERROR(__xludf.DUMMYFUNCTION("IF('From Order'!$A356=COLUMNS($A356:H375), LEFT(INDEX(FILTER(H$1:H355, H$1:H355&lt;&gt;""""),COUNTA(FILTER(H$1:H355, H$1:H355&lt;&gt;""""))), LEN(INDEX(FILTER(H$1:H355, H$1:H355&lt;&gt;""""),COUNTA(FILTER(H$1:H355, H$1:H355&lt;&gt;""""))))-1), IF('To Order'!$A356=COLUMNS($A356:H"&amp;"375), H355&amp;RIGHT(INDIRECT(ADDRESS(ROW(H356)-1, 'From Order'!$A356)), 1), H355))"),"WPBZJ")</f>
        <v>WPBZJ</v>
      </c>
      <c r="I356" s="2" t="str">
        <f>IFERROR(__xludf.DUMMYFUNCTION("IF('From Order'!$A356=COLUMNS($A356:I375), LEFT(INDEX(FILTER(I$1:I355, I$1:I355&lt;&gt;""""),COUNTA(FILTER(I$1:I355, I$1:I355&lt;&gt;""""))), LEN(INDEX(FILTER(I$1:I355, I$1:I355&lt;&gt;""""),COUNTA(FILTER(I$1:I355, I$1:I355&lt;&gt;""""))))-1), IF('To Order'!$A356=COLUMNS($A356:I"&amp;"375), I355&amp;RIGHT(INDIRECT(ADDRESS(ROW(I356)-1, 'From Order'!$A356)), 1), I355))"),"G")</f>
        <v>G</v>
      </c>
    </row>
    <row r="357">
      <c r="A357" s="2" t="str">
        <f>IFERROR(__xludf.DUMMYFUNCTION("IF('From Order'!$A357=COLUMNS($A357:A376), LEFT(INDEX(FILTER(A$1:A356, A$1:A356&lt;&gt;""""),COUNTA(FILTER(A$1:A356, A$1:A356&lt;&gt;""""))), LEN(INDEX(FILTER(A$1:A356, A$1:A356&lt;&gt;""""),COUNTA(FILTER(A$1:A356, A$1:A356&lt;&gt;""""))))-1), IF('To Order'!$A357=COLUMNS($A357:A"&amp;"376), A356&amp;RIGHT(INDIRECT(ADDRESS(ROW(A357)-1, 'From Order'!$A357)), 1), A356))"),"CTFTMQCDTRLDRWTJT")</f>
        <v>CTFTMQCDTRLDRWTJT</v>
      </c>
      <c r="B357" s="2" t="str">
        <f>IFERROR(__xludf.DUMMYFUNCTION("IF('From Order'!$A357=COLUMNS($A357:B376), LEFT(INDEX(FILTER(B$1:B356, B$1:B356&lt;&gt;""""),COUNTA(FILTER(B$1:B356, B$1:B356&lt;&gt;""""))), LEN(INDEX(FILTER(B$1:B356, B$1:B356&lt;&gt;""""),COUNTA(FILTER(B$1:B356, B$1:B356&lt;&gt;""""))))-1), IF('To Order'!$A357=COLUMNS($A357:B"&amp;"376), B356&amp;RIGHT(INDIRECT(ADDRESS(ROW(B357)-1, 'From Order'!$A357)), 1), B356))"),"")</f>
        <v/>
      </c>
      <c r="C357" s="2" t="str">
        <f>IFERROR(__xludf.DUMMYFUNCTION("IF('From Order'!$A357=COLUMNS($A357:C376), LEFT(INDEX(FILTER(C$1:C356, C$1:C356&lt;&gt;""""),COUNTA(FILTER(C$1:C356, C$1:C356&lt;&gt;""""))), LEN(INDEX(FILTER(C$1:C356, C$1:C356&lt;&gt;""""),COUNTA(FILTER(C$1:C356, C$1:C356&lt;&gt;""""))))-1), IF('To Order'!$A357=COLUMNS($A357:C"&amp;"376), C356&amp;RIGHT(INDIRECT(ADDRESS(ROW(C357)-1, 'From Order'!$A357)), 1), C356))"),"SM")</f>
        <v>SM</v>
      </c>
      <c r="D357" s="2" t="str">
        <f>IFERROR(__xludf.DUMMYFUNCTION("IF('From Order'!$A357=COLUMNS($A357:D376), LEFT(INDEX(FILTER(D$1:D356, D$1:D356&lt;&gt;""""),COUNTA(FILTER(D$1:D356, D$1:D356&lt;&gt;""""))), LEN(INDEX(FILTER(D$1:D356, D$1:D356&lt;&gt;""""),COUNTA(FILTER(D$1:D356, D$1:D356&lt;&gt;""""))))-1), IF('To Order'!$A357=COLUMNS($A357:D"&amp;"376), D356&amp;RIGHT(INDIRECT(ADDRESS(ROW(D357)-1, 'From Order'!$A357)), 1), D356))"),"")</f>
        <v/>
      </c>
      <c r="E357" s="2" t="str">
        <f>IFERROR(__xludf.DUMMYFUNCTION("IF('From Order'!$A357=COLUMNS($A357:E376), LEFT(INDEX(FILTER(E$1:E356, E$1:E356&lt;&gt;""""),COUNTA(FILTER(E$1:E356, E$1:E356&lt;&gt;""""))), LEN(INDEX(FILTER(E$1:E356, E$1:E356&lt;&gt;""""),COUNTA(FILTER(E$1:E356, E$1:E356&lt;&gt;""""))))-1), IF('To Order'!$A357=COLUMNS($A357:E"&amp;"376), E356&amp;RIGHT(INDIRECT(ADDRESS(ROW(E357)-1, 'From Order'!$A357)), 1), E356))"),"HZRVSDPQRBCV")</f>
        <v>HZRVSDPQRBCV</v>
      </c>
      <c r="F357" s="2" t="str">
        <f>IFERROR(__xludf.DUMMYFUNCTION("IF('From Order'!$A357=COLUMNS($A357:F376), LEFT(INDEX(FILTER(F$1:F356, F$1:F356&lt;&gt;""""),COUNTA(FILTER(F$1:F356, F$1:F356&lt;&gt;""""))), LEN(INDEX(FILTER(F$1:F356, F$1:F356&lt;&gt;""""),COUNTA(FILTER(F$1:F356, F$1:F356&lt;&gt;""""))))-1), IF('To Order'!$A357=COLUMNS($A357:F"&amp;"376), F356&amp;RIGHT(INDIRECT(ADDRESS(ROW(F357)-1, 'From Order'!$A357)), 1), F356))"),"HSPVMZDDTDGSBLRLJBF")</f>
        <v>HSPVMZDDTDGSBLRLJBF</v>
      </c>
      <c r="G357" s="2" t="str">
        <f>IFERROR(__xludf.DUMMYFUNCTION("IF('From Order'!$A357=COLUMNS($A357:G376), LEFT(INDEX(FILTER(G$1:G356, G$1:G356&lt;&gt;""""),COUNTA(FILTER(G$1:G356, G$1:G356&lt;&gt;""""))), LEN(INDEX(FILTER(G$1:G356, G$1:G356&lt;&gt;""""),COUNTA(FILTER(G$1:G356, G$1:G356&lt;&gt;""""))))-1), IF('To Order'!$A357=COLUMNS($A357:G"&amp;"376), G356&amp;RIGHT(INDIRECT(ADDRESS(ROW(G357)-1, 'From Order'!$A357)), 1), G356))"),"")</f>
        <v/>
      </c>
      <c r="H357" s="2" t="str">
        <f>IFERROR(__xludf.DUMMYFUNCTION("IF('From Order'!$A357=COLUMNS($A357:H376), LEFT(INDEX(FILTER(H$1:H356, H$1:H356&lt;&gt;""""),COUNTA(FILTER(H$1:H356, H$1:H356&lt;&gt;""""))), LEN(INDEX(FILTER(H$1:H356, H$1:H356&lt;&gt;""""),COUNTA(FILTER(H$1:H356, H$1:H356&lt;&gt;""""))))-1), IF('To Order'!$A357=COLUMNS($A357:H"&amp;"376), H356&amp;RIGHT(INDIRECT(ADDRESS(ROW(H357)-1, 'From Order'!$A357)), 1), H356))"),"WPBZJ")</f>
        <v>WPBZJ</v>
      </c>
      <c r="I357" s="2" t="str">
        <f>IFERROR(__xludf.DUMMYFUNCTION("IF('From Order'!$A357=COLUMNS($A357:I376), LEFT(INDEX(FILTER(I$1:I356, I$1:I356&lt;&gt;""""),COUNTA(FILTER(I$1:I356, I$1:I356&lt;&gt;""""))), LEN(INDEX(FILTER(I$1:I356, I$1:I356&lt;&gt;""""),COUNTA(FILTER(I$1:I356, I$1:I356&lt;&gt;""""))))-1), IF('To Order'!$A357=COLUMNS($A357:I"&amp;"376), I356&amp;RIGHT(INDIRECT(ADDRESS(ROW(I357)-1, 'From Order'!$A357)), 1), I356))"),"G")</f>
        <v>G</v>
      </c>
    </row>
    <row r="358">
      <c r="A358" s="2" t="str">
        <f>IFERROR(__xludf.DUMMYFUNCTION("IF('From Order'!$A358=COLUMNS($A358:A377), LEFT(INDEX(FILTER(A$1:A357, A$1:A357&lt;&gt;""""),COUNTA(FILTER(A$1:A357, A$1:A357&lt;&gt;""""))), LEN(INDEX(FILTER(A$1:A357, A$1:A357&lt;&gt;""""),COUNTA(FILTER(A$1:A357, A$1:A357&lt;&gt;""""))))-1), IF('To Order'!$A358=COLUMNS($A358:A"&amp;"377), A357&amp;RIGHT(INDIRECT(ADDRESS(ROW(A358)-1, 'From Order'!$A358)), 1), A357))"),"CTFTMQCDTRLDRWTJTV")</f>
        <v>CTFTMQCDTRLDRWTJTV</v>
      </c>
      <c r="B358" s="2" t="str">
        <f>IFERROR(__xludf.DUMMYFUNCTION("IF('From Order'!$A358=COLUMNS($A358:B377), LEFT(INDEX(FILTER(B$1:B357, B$1:B357&lt;&gt;""""),COUNTA(FILTER(B$1:B357, B$1:B357&lt;&gt;""""))), LEN(INDEX(FILTER(B$1:B357, B$1:B357&lt;&gt;""""),COUNTA(FILTER(B$1:B357, B$1:B357&lt;&gt;""""))))-1), IF('To Order'!$A358=COLUMNS($A358:B"&amp;"377), B357&amp;RIGHT(INDIRECT(ADDRESS(ROW(B358)-1, 'From Order'!$A358)), 1), B357))"),"")</f>
        <v/>
      </c>
      <c r="C358" s="2" t="str">
        <f>IFERROR(__xludf.DUMMYFUNCTION("IF('From Order'!$A358=COLUMNS($A358:C377), LEFT(INDEX(FILTER(C$1:C357, C$1:C357&lt;&gt;""""),COUNTA(FILTER(C$1:C357, C$1:C357&lt;&gt;""""))), LEN(INDEX(FILTER(C$1:C357, C$1:C357&lt;&gt;""""),COUNTA(FILTER(C$1:C357, C$1:C357&lt;&gt;""""))))-1), IF('To Order'!$A358=COLUMNS($A358:C"&amp;"377), C357&amp;RIGHT(INDIRECT(ADDRESS(ROW(C358)-1, 'From Order'!$A358)), 1), C357))"),"SM")</f>
        <v>SM</v>
      </c>
      <c r="D358" s="2" t="str">
        <f>IFERROR(__xludf.DUMMYFUNCTION("IF('From Order'!$A358=COLUMNS($A358:D377), LEFT(INDEX(FILTER(D$1:D357, D$1:D357&lt;&gt;""""),COUNTA(FILTER(D$1:D357, D$1:D357&lt;&gt;""""))), LEN(INDEX(FILTER(D$1:D357, D$1:D357&lt;&gt;""""),COUNTA(FILTER(D$1:D357, D$1:D357&lt;&gt;""""))))-1), IF('To Order'!$A358=COLUMNS($A358:D"&amp;"377), D357&amp;RIGHT(INDIRECT(ADDRESS(ROW(D358)-1, 'From Order'!$A358)), 1), D357))"),"")</f>
        <v/>
      </c>
      <c r="E358" s="2" t="str">
        <f>IFERROR(__xludf.DUMMYFUNCTION("IF('From Order'!$A358=COLUMNS($A358:E377), LEFT(INDEX(FILTER(E$1:E357, E$1:E357&lt;&gt;""""),COUNTA(FILTER(E$1:E357, E$1:E357&lt;&gt;""""))), LEN(INDEX(FILTER(E$1:E357, E$1:E357&lt;&gt;""""),COUNTA(FILTER(E$1:E357, E$1:E357&lt;&gt;""""))))-1), IF('To Order'!$A358=COLUMNS($A358:E"&amp;"377), E357&amp;RIGHT(INDIRECT(ADDRESS(ROW(E358)-1, 'From Order'!$A358)), 1), E357))"),"HZRVSDPQRBC")</f>
        <v>HZRVSDPQRBC</v>
      </c>
      <c r="F358" s="2" t="str">
        <f>IFERROR(__xludf.DUMMYFUNCTION("IF('From Order'!$A358=COLUMNS($A358:F377), LEFT(INDEX(FILTER(F$1:F357, F$1:F357&lt;&gt;""""),COUNTA(FILTER(F$1:F357, F$1:F357&lt;&gt;""""))), LEN(INDEX(FILTER(F$1:F357, F$1:F357&lt;&gt;""""),COUNTA(FILTER(F$1:F357, F$1:F357&lt;&gt;""""))))-1), IF('To Order'!$A358=COLUMNS($A358:F"&amp;"377), F357&amp;RIGHT(INDIRECT(ADDRESS(ROW(F358)-1, 'From Order'!$A358)), 1), F357))"),"HSPVMZDDTDGSBLRLJBF")</f>
        <v>HSPVMZDDTDGSBLRLJBF</v>
      </c>
      <c r="G358" s="2" t="str">
        <f>IFERROR(__xludf.DUMMYFUNCTION("IF('From Order'!$A358=COLUMNS($A358:G377), LEFT(INDEX(FILTER(G$1:G357, G$1:G357&lt;&gt;""""),COUNTA(FILTER(G$1:G357, G$1:G357&lt;&gt;""""))), LEN(INDEX(FILTER(G$1:G357, G$1:G357&lt;&gt;""""),COUNTA(FILTER(G$1:G357, G$1:G357&lt;&gt;""""))))-1), IF('To Order'!$A358=COLUMNS($A358:G"&amp;"377), G357&amp;RIGHT(INDIRECT(ADDRESS(ROW(G358)-1, 'From Order'!$A358)), 1), G357))"),"")</f>
        <v/>
      </c>
      <c r="H358" s="2" t="str">
        <f>IFERROR(__xludf.DUMMYFUNCTION("IF('From Order'!$A358=COLUMNS($A358:H377), LEFT(INDEX(FILTER(H$1:H357, H$1:H357&lt;&gt;""""),COUNTA(FILTER(H$1:H357, H$1:H357&lt;&gt;""""))), LEN(INDEX(FILTER(H$1:H357, H$1:H357&lt;&gt;""""),COUNTA(FILTER(H$1:H357, H$1:H357&lt;&gt;""""))))-1), IF('To Order'!$A358=COLUMNS($A358:H"&amp;"377), H357&amp;RIGHT(INDIRECT(ADDRESS(ROW(H358)-1, 'From Order'!$A358)), 1), H357))"),"WPBZJ")</f>
        <v>WPBZJ</v>
      </c>
      <c r="I358" s="2" t="str">
        <f>IFERROR(__xludf.DUMMYFUNCTION("IF('From Order'!$A358=COLUMNS($A358:I377), LEFT(INDEX(FILTER(I$1:I357, I$1:I357&lt;&gt;""""),COUNTA(FILTER(I$1:I357, I$1:I357&lt;&gt;""""))), LEN(INDEX(FILTER(I$1:I357, I$1:I357&lt;&gt;""""),COUNTA(FILTER(I$1:I357, I$1:I357&lt;&gt;""""))))-1), IF('To Order'!$A358=COLUMNS($A358:I"&amp;"377), I357&amp;RIGHT(INDIRECT(ADDRESS(ROW(I358)-1, 'From Order'!$A358)), 1), I357))"),"G")</f>
        <v>G</v>
      </c>
    </row>
    <row r="359">
      <c r="A359" s="2" t="str">
        <f>IFERROR(__xludf.DUMMYFUNCTION("IF('From Order'!$A359=COLUMNS($A359:A378), LEFT(INDEX(FILTER(A$1:A358, A$1:A358&lt;&gt;""""),COUNTA(FILTER(A$1:A358, A$1:A358&lt;&gt;""""))), LEN(INDEX(FILTER(A$1:A358, A$1:A358&lt;&gt;""""),COUNTA(FILTER(A$1:A358, A$1:A358&lt;&gt;""""))))-1), IF('To Order'!$A359=COLUMNS($A359:A"&amp;"378), A358&amp;RIGHT(INDIRECT(ADDRESS(ROW(A359)-1, 'From Order'!$A359)), 1), A358))"),"CTFTMQCDTRLDRWTJTVC")</f>
        <v>CTFTMQCDTRLDRWTJTVC</v>
      </c>
      <c r="B359" s="2" t="str">
        <f>IFERROR(__xludf.DUMMYFUNCTION("IF('From Order'!$A359=COLUMNS($A359:B378), LEFT(INDEX(FILTER(B$1:B358, B$1:B358&lt;&gt;""""),COUNTA(FILTER(B$1:B358, B$1:B358&lt;&gt;""""))), LEN(INDEX(FILTER(B$1:B358, B$1:B358&lt;&gt;""""),COUNTA(FILTER(B$1:B358, B$1:B358&lt;&gt;""""))))-1), IF('To Order'!$A359=COLUMNS($A359:B"&amp;"378), B358&amp;RIGHT(INDIRECT(ADDRESS(ROW(B359)-1, 'From Order'!$A359)), 1), B358))"),"")</f>
        <v/>
      </c>
      <c r="C359" s="2" t="str">
        <f>IFERROR(__xludf.DUMMYFUNCTION("IF('From Order'!$A359=COLUMNS($A359:C378), LEFT(INDEX(FILTER(C$1:C358, C$1:C358&lt;&gt;""""),COUNTA(FILTER(C$1:C358, C$1:C358&lt;&gt;""""))), LEN(INDEX(FILTER(C$1:C358, C$1:C358&lt;&gt;""""),COUNTA(FILTER(C$1:C358, C$1:C358&lt;&gt;""""))))-1), IF('To Order'!$A359=COLUMNS($A359:C"&amp;"378), C358&amp;RIGHT(INDIRECT(ADDRESS(ROW(C359)-1, 'From Order'!$A359)), 1), C358))"),"SM")</f>
        <v>SM</v>
      </c>
      <c r="D359" s="2" t="str">
        <f>IFERROR(__xludf.DUMMYFUNCTION("IF('From Order'!$A359=COLUMNS($A359:D378), LEFT(INDEX(FILTER(D$1:D358, D$1:D358&lt;&gt;""""),COUNTA(FILTER(D$1:D358, D$1:D358&lt;&gt;""""))), LEN(INDEX(FILTER(D$1:D358, D$1:D358&lt;&gt;""""),COUNTA(FILTER(D$1:D358, D$1:D358&lt;&gt;""""))))-1), IF('To Order'!$A359=COLUMNS($A359:D"&amp;"378), D358&amp;RIGHT(INDIRECT(ADDRESS(ROW(D359)-1, 'From Order'!$A359)), 1), D358))"),"")</f>
        <v/>
      </c>
      <c r="E359" s="2" t="str">
        <f>IFERROR(__xludf.DUMMYFUNCTION("IF('From Order'!$A359=COLUMNS($A359:E378), LEFT(INDEX(FILTER(E$1:E358, E$1:E358&lt;&gt;""""),COUNTA(FILTER(E$1:E358, E$1:E358&lt;&gt;""""))), LEN(INDEX(FILTER(E$1:E358, E$1:E358&lt;&gt;""""),COUNTA(FILTER(E$1:E358, E$1:E358&lt;&gt;""""))))-1), IF('To Order'!$A359=COLUMNS($A359:E"&amp;"378), E358&amp;RIGHT(INDIRECT(ADDRESS(ROW(E359)-1, 'From Order'!$A359)), 1), E358))"),"HZRVSDPQRB")</f>
        <v>HZRVSDPQRB</v>
      </c>
      <c r="F359" s="2" t="str">
        <f>IFERROR(__xludf.DUMMYFUNCTION("IF('From Order'!$A359=COLUMNS($A359:F378), LEFT(INDEX(FILTER(F$1:F358, F$1:F358&lt;&gt;""""),COUNTA(FILTER(F$1:F358, F$1:F358&lt;&gt;""""))), LEN(INDEX(FILTER(F$1:F358, F$1:F358&lt;&gt;""""),COUNTA(FILTER(F$1:F358, F$1:F358&lt;&gt;""""))))-1), IF('To Order'!$A359=COLUMNS($A359:F"&amp;"378), F358&amp;RIGHT(INDIRECT(ADDRESS(ROW(F359)-1, 'From Order'!$A359)), 1), F358))"),"HSPVMZDDTDGSBLRLJBF")</f>
        <v>HSPVMZDDTDGSBLRLJBF</v>
      </c>
      <c r="G359" s="2" t="str">
        <f>IFERROR(__xludf.DUMMYFUNCTION("IF('From Order'!$A359=COLUMNS($A359:G378), LEFT(INDEX(FILTER(G$1:G358, G$1:G358&lt;&gt;""""),COUNTA(FILTER(G$1:G358, G$1:G358&lt;&gt;""""))), LEN(INDEX(FILTER(G$1:G358, G$1:G358&lt;&gt;""""),COUNTA(FILTER(G$1:G358, G$1:G358&lt;&gt;""""))))-1), IF('To Order'!$A359=COLUMNS($A359:G"&amp;"378), G358&amp;RIGHT(INDIRECT(ADDRESS(ROW(G359)-1, 'From Order'!$A359)), 1), G358))"),"")</f>
        <v/>
      </c>
      <c r="H359" s="2" t="str">
        <f>IFERROR(__xludf.DUMMYFUNCTION("IF('From Order'!$A359=COLUMNS($A359:H378), LEFT(INDEX(FILTER(H$1:H358, H$1:H358&lt;&gt;""""),COUNTA(FILTER(H$1:H358, H$1:H358&lt;&gt;""""))), LEN(INDEX(FILTER(H$1:H358, H$1:H358&lt;&gt;""""),COUNTA(FILTER(H$1:H358, H$1:H358&lt;&gt;""""))))-1), IF('To Order'!$A359=COLUMNS($A359:H"&amp;"378), H358&amp;RIGHT(INDIRECT(ADDRESS(ROW(H359)-1, 'From Order'!$A359)), 1), H358))"),"WPBZJ")</f>
        <v>WPBZJ</v>
      </c>
      <c r="I359" s="2" t="str">
        <f>IFERROR(__xludf.DUMMYFUNCTION("IF('From Order'!$A359=COLUMNS($A359:I378), LEFT(INDEX(FILTER(I$1:I358, I$1:I358&lt;&gt;""""),COUNTA(FILTER(I$1:I358, I$1:I358&lt;&gt;""""))), LEN(INDEX(FILTER(I$1:I358, I$1:I358&lt;&gt;""""),COUNTA(FILTER(I$1:I358, I$1:I358&lt;&gt;""""))))-1), IF('To Order'!$A359=COLUMNS($A359:I"&amp;"378), I358&amp;RIGHT(INDIRECT(ADDRESS(ROW(I359)-1, 'From Order'!$A359)), 1), I358))"),"G")</f>
        <v>G</v>
      </c>
    </row>
    <row r="360">
      <c r="A360" s="2" t="str">
        <f>IFERROR(__xludf.DUMMYFUNCTION("IF('From Order'!$A360=COLUMNS($A360:A379), LEFT(INDEX(FILTER(A$1:A359, A$1:A359&lt;&gt;""""),COUNTA(FILTER(A$1:A359, A$1:A359&lt;&gt;""""))), LEN(INDEX(FILTER(A$1:A359, A$1:A359&lt;&gt;""""),COUNTA(FILTER(A$1:A359, A$1:A359&lt;&gt;""""))))-1), IF('To Order'!$A360=COLUMNS($A360:A"&amp;"379), A359&amp;RIGHT(INDIRECT(ADDRESS(ROW(A360)-1, 'From Order'!$A360)), 1), A359))"),"CTFTMQCDTRLDRWTJTVC")</f>
        <v>CTFTMQCDTRLDRWTJTVC</v>
      </c>
      <c r="B360" s="2" t="str">
        <f>IFERROR(__xludf.DUMMYFUNCTION("IF('From Order'!$A360=COLUMNS($A360:B379), LEFT(INDEX(FILTER(B$1:B359, B$1:B359&lt;&gt;""""),COUNTA(FILTER(B$1:B359, B$1:B359&lt;&gt;""""))), LEN(INDEX(FILTER(B$1:B359, B$1:B359&lt;&gt;""""),COUNTA(FILTER(B$1:B359, B$1:B359&lt;&gt;""""))))-1), IF('To Order'!$A360=COLUMNS($A360:B"&amp;"379), B359&amp;RIGHT(INDIRECT(ADDRESS(ROW(B360)-1, 'From Order'!$A360)), 1), B359))"),"")</f>
        <v/>
      </c>
      <c r="C360" s="2" t="str">
        <f>IFERROR(__xludf.DUMMYFUNCTION("IF('From Order'!$A360=COLUMNS($A360:C379), LEFT(INDEX(FILTER(C$1:C359, C$1:C359&lt;&gt;""""),COUNTA(FILTER(C$1:C359, C$1:C359&lt;&gt;""""))), LEN(INDEX(FILTER(C$1:C359, C$1:C359&lt;&gt;""""),COUNTA(FILTER(C$1:C359, C$1:C359&lt;&gt;""""))))-1), IF('To Order'!$A360=COLUMNS($A360:C"&amp;"379), C359&amp;RIGHT(INDIRECT(ADDRESS(ROW(C360)-1, 'From Order'!$A360)), 1), C359))"),"SMF")</f>
        <v>SMF</v>
      </c>
      <c r="D360" s="2" t="str">
        <f>IFERROR(__xludf.DUMMYFUNCTION("IF('From Order'!$A360=COLUMNS($A360:D379), LEFT(INDEX(FILTER(D$1:D359, D$1:D359&lt;&gt;""""),COUNTA(FILTER(D$1:D359, D$1:D359&lt;&gt;""""))), LEN(INDEX(FILTER(D$1:D359, D$1:D359&lt;&gt;""""),COUNTA(FILTER(D$1:D359, D$1:D359&lt;&gt;""""))))-1), IF('To Order'!$A360=COLUMNS($A360:D"&amp;"379), D359&amp;RIGHT(INDIRECT(ADDRESS(ROW(D360)-1, 'From Order'!$A360)), 1), D359))"),"")</f>
        <v/>
      </c>
      <c r="E360" s="2" t="str">
        <f>IFERROR(__xludf.DUMMYFUNCTION("IF('From Order'!$A360=COLUMNS($A360:E379), LEFT(INDEX(FILTER(E$1:E359, E$1:E359&lt;&gt;""""),COUNTA(FILTER(E$1:E359, E$1:E359&lt;&gt;""""))), LEN(INDEX(FILTER(E$1:E359, E$1:E359&lt;&gt;""""),COUNTA(FILTER(E$1:E359, E$1:E359&lt;&gt;""""))))-1), IF('To Order'!$A360=COLUMNS($A360:E"&amp;"379), E359&amp;RIGHT(INDIRECT(ADDRESS(ROW(E360)-1, 'From Order'!$A360)), 1), E359))"),"HZRVSDPQRB")</f>
        <v>HZRVSDPQRB</v>
      </c>
      <c r="F360" s="2" t="str">
        <f>IFERROR(__xludf.DUMMYFUNCTION("IF('From Order'!$A360=COLUMNS($A360:F379), LEFT(INDEX(FILTER(F$1:F359, F$1:F359&lt;&gt;""""),COUNTA(FILTER(F$1:F359, F$1:F359&lt;&gt;""""))), LEN(INDEX(FILTER(F$1:F359, F$1:F359&lt;&gt;""""),COUNTA(FILTER(F$1:F359, F$1:F359&lt;&gt;""""))))-1), IF('To Order'!$A360=COLUMNS($A360:F"&amp;"379), F359&amp;RIGHT(INDIRECT(ADDRESS(ROW(F360)-1, 'From Order'!$A360)), 1), F359))"),"HSPVMZDDTDGSBLRLJB")</f>
        <v>HSPVMZDDTDGSBLRLJB</v>
      </c>
      <c r="G360" s="2" t="str">
        <f>IFERROR(__xludf.DUMMYFUNCTION("IF('From Order'!$A360=COLUMNS($A360:G379), LEFT(INDEX(FILTER(G$1:G359, G$1:G359&lt;&gt;""""),COUNTA(FILTER(G$1:G359, G$1:G359&lt;&gt;""""))), LEN(INDEX(FILTER(G$1:G359, G$1:G359&lt;&gt;""""),COUNTA(FILTER(G$1:G359, G$1:G359&lt;&gt;""""))))-1), IF('To Order'!$A360=COLUMNS($A360:G"&amp;"379), G359&amp;RIGHT(INDIRECT(ADDRESS(ROW(G360)-1, 'From Order'!$A360)), 1), G359))"),"")</f>
        <v/>
      </c>
      <c r="H360" s="2" t="str">
        <f>IFERROR(__xludf.DUMMYFUNCTION("IF('From Order'!$A360=COLUMNS($A360:H379), LEFT(INDEX(FILTER(H$1:H359, H$1:H359&lt;&gt;""""),COUNTA(FILTER(H$1:H359, H$1:H359&lt;&gt;""""))), LEN(INDEX(FILTER(H$1:H359, H$1:H359&lt;&gt;""""),COUNTA(FILTER(H$1:H359, H$1:H359&lt;&gt;""""))))-1), IF('To Order'!$A360=COLUMNS($A360:H"&amp;"379), H359&amp;RIGHT(INDIRECT(ADDRESS(ROW(H360)-1, 'From Order'!$A360)), 1), H359))"),"WPBZJ")</f>
        <v>WPBZJ</v>
      </c>
      <c r="I360" s="2" t="str">
        <f>IFERROR(__xludf.DUMMYFUNCTION("IF('From Order'!$A360=COLUMNS($A360:I379), LEFT(INDEX(FILTER(I$1:I359, I$1:I359&lt;&gt;""""),COUNTA(FILTER(I$1:I359, I$1:I359&lt;&gt;""""))), LEN(INDEX(FILTER(I$1:I359, I$1:I359&lt;&gt;""""),COUNTA(FILTER(I$1:I359, I$1:I359&lt;&gt;""""))))-1), IF('To Order'!$A360=COLUMNS($A360:I"&amp;"379), I359&amp;RIGHT(INDIRECT(ADDRESS(ROW(I360)-1, 'From Order'!$A360)), 1), I359))"),"G")</f>
        <v>G</v>
      </c>
    </row>
    <row r="361">
      <c r="A361" s="2" t="str">
        <f>IFERROR(__xludf.DUMMYFUNCTION("IF('From Order'!$A361=COLUMNS($A361:A380), LEFT(INDEX(FILTER(A$1:A360, A$1:A360&lt;&gt;""""),COUNTA(FILTER(A$1:A360, A$1:A360&lt;&gt;""""))), LEN(INDEX(FILTER(A$1:A360, A$1:A360&lt;&gt;""""),COUNTA(FILTER(A$1:A360, A$1:A360&lt;&gt;""""))))-1), IF('To Order'!$A361=COLUMNS($A361:A"&amp;"380), A360&amp;RIGHT(INDIRECT(ADDRESS(ROW(A361)-1, 'From Order'!$A361)), 1), A360))"),"CTFTMQCDTRLDRWTJTVC")</f>
        <v>CTFTMQCDTRLDRWTJTVC</v>
      </c>
      <c r="B361" s="2" t="str">
        <f>IFERROR(__xludf.DUMMYFUNCTION("IF('From Order'!$A361=COLUMNS($A361:B380), LEFT(INDEX(FILTER(B$1:B360, B$1:B360&lt;&gt;""""),COUNTA(FILTER(B$1:B360, B$1:B360&lt;&gt;""""))), LEN(INDEX(FILTER(B$1:B360, B$1:B360&lt;&gt;""""),COUNTA(FILTER(B$1:B360, B$1:B360&lt;&gt;""""))))-1), IF('To Order'!$A361=COLUMNS($A361:B"&amp;"380), B360&amp;RIGHT(INDIRECT(ADDRESS(ROW(B361)-1, 'From Order'!$A361)), 1), B360))"),"")</f>
        <v/>
      </c>
      <c r="C361" s="2" t="str">
        <f>IFERROR(__xludf.DUMMYFUNCTION("IF('From Order'!$A361=COLUMNS($A361:C380), LEFT(INDEX(FILTER(C$1:C360, C$1:C360&lt;&gt;""""),COUNTA(FILTER(C$1:C360, C$1:C360&lt;&gt;""""))), LEN(INDEX(FILTER(C$1:C360, C$1:C360&lt;&gt;""""),COUNTA(FILTER(C$1:C360, C$1:C360&lt;&gt;""""))))-1), IF('To Order'!$A361=COLUMNS($A361:C"&amp;"380), C360&amp;RIGHT(INDIRECT(ADDRESS(ROW(C361)-1, 'From Order'!$A361)), 1), C360))"),"SMFB")</f>
        <v>SMFB</v>
      </c>
      <c r="D361" s="2" t="str">
        <f>IFERROR(__xludf.DUMMYFUNCTION("IF('From Order'!$A361=COLUMNS($A361:D380), LEFT(INDEX(FILTER(D$1:D360, D$1:D360&lt;&gt;""""),COUNTA(FILTER(D$1:D360, D$1:D360&lt;&gt;""""))), LEN(INDEX(FILTER(D$1:D360, D$1:D360&lt;&gt;""""),COUNTA(FILTER(D$1:D360, D$1:D360&lt;&gt;""""))))-1), IF('To Order'!$A361=COLUMNS($A361:D"&amp;"380), D360&amp;RIGHT(INDIRECT(ADDRESS(ROW(D361)-1, 'From Order'!$A361)), 1), D360))"),"")</f>
        <v/>
      </c>
      <c r="E361" s="2" t="str">
        <f>IFERROR(__xludf.DUMMYFUNCTION("IF('From Order'!$A361=COLUMNS($A361:E380), LEFT(INDEX(FILTER(E$1:E360, E$1:E360&lt;&gt;""""),COUNTA(FILTER(E$1:E360, E$1:E360&lt;&gt;""""))), LEN(INDEX(FILTER(E$1:E360, E$1:E360&lt;&gt;""""),COUNTA(FILTER(E$1:E360, E$1:E360&lt;&gt;""""))))-1), IF('To Order'!$A361=COLUMNS($A361:E"&amp;"380), E360&amp;RIGHT(INDIRECT(ADDRESS(ROW(E361)-1, 'From Order'!$A361)), 1), E360))"),"HZRVSDPQRB")</f>
        <v>HZRVSDPQRB</v>
      </c>
      <c r="F361" s="2" t="str">
        <f>IFERROR(__xludf.DUMMYFUNCTION("IF('From Order'!$A361=COLUMNS($A361:F380), LEFT(INDEX(FILTER(F$1:F360, F$1:F360&lt;&gt;""""),COUNTA(FILTER(F$1:F360, F$1:F360&lt;&gt;""""))), LEN(INDEX(FILTER(F$1:F360, F$1:F360&lt;&gt;""""),COUNTA(FILTER(F$1:F360, F$1:F360&lt;&gt;""""))))-1), IF('To Order'!$A361=COLUMNS($A361:F"&amp;"380), F360&amp;RIGHT(INDIRECT(ADDRESS(ROW(F361)-1, 'From Order'!$A361)), 1), F360))"),"HSPVMZDDTDGSBLRLJ")</f>
        <v>HSPVMZDDTDGSBLRLJ</v>
      </c>
      <c r="G361" s="2" t="str">
        <f>IFERROR(__xludf.DUMMYFUNCTION("IF('From Order'!$A361=COLUMNS($A361:G380), LEFT(INDEX(FILTER(G$1:G360, G$1:G360&lt;&gt;""""),COUNTA(FILTER(G$1:G360, G$1:G360&lt;&gt;""""))), LEN(INDEX(FILTER(G$1:G360, G$1:G360&lt;&gt;""""),COUNTA(FILTER(G$1:G360, G$1:G360&lt;&gt;""""))))-1), IF('To Order'!$A361=COLUMNS($A361:G"&amp;"380), G360&amp;RIGHT(INDIRECT(ADDRESS(ROW(G361)-1, 'From Order'!$A361)), 1), G360))"),"")</f>
        <v/>
      </c>
      <c r="H361" s="2" t="str">
        <f>IFERROR(__xludf.DUMMYFUNCTION("IF('From Order'!$A361=COLUMNS($A361:H380), LEFT(INDEX(FILTER(H$1:H360, H$1:H360&lt;&gt;""""),COUNTA(FILTER(H$1:H360, H$1:H360&lt;&gt;""""))), LEN(INDEX(FILTER(H$1:H360, H$1:H360&lt;&gt;""""),COUNTA(FILTER(H$1:H360, H$1:H360&lt;&gt;""""))))-1), IF('To Order'!$A361=COLUMNS($A361:H"&amp;"380), H360&amp;RIGHT(INDIRECT(ADDRESS(ROW(H361)-1, 'From Order'!$A361)), 1), H360))"),"WPBZJ")</f>
        <v>WPBZJ</v>
      </c>
      <c r="I361" s="2" t="str">
        <f>IFERROR(__xludf.DUMMYFUNCTION("IF('From Order'!$A361=COLUMNS($A361:I380), LEFT(INDEX(FILTER(I$1:I360, I$1:I360&lt;&gt;""""),COUNTA(FILTER(I$1:I360, I$1:I360&lt;&gt;""""))), LEN(INDEX(FILTER(I$1:I360, I$1:I360&lt;&gt;""""),COUNTA(FILTER(I$1:I360, I$1:I360&lt;&gt;""""))))-1), IF('To Order'!$A361=COLUMNS($A361:I"&amp;"380), I360&amp;RIGHT(INDIRECT(ADDRESS(ROW(I361)-1, 'From Order'!$A361)), 1), I360))"),"G")</f>
        <v>G</v>
      </c>
    </row>
    <row r="362">
      <c r="A362" s="2" t="str">
        <f>IFERROR(__xludf.DUMMYFUNCTION("IF('From Order'!$A362=COLUMNS($A362:A381), LEFT(INDEX(FILTER(A$1:A361, A$1:A361&lt;&gt;""""),COUNTA(FILTER(A$1:A361, A$1:A361&lt;&gt;""""))), LEN(INDEX(FILTER(A$1:A361, A$1:A361&lt;&gt;""""),COUNTA(FILTER(A$1:A361, A$1:A361&lt;&gt;""""))))-1), IF('To Order'!$A362=COLUMNS($A362:A"&amp;"381), A361&amp;RIGHT(INDIRECT(ADDRESS(ROW(A362)-1, 'From Order'!$A362)), 1), A361))"),"CTFTMQCDTRLDRWTJTVC")</f>
        <v>CTFTMQCDTRLDRWTJTVC</v>
      </c>
      <c r="B362" s="2" t="str">
        <f>IFERROR(__xludf.DUMMYFUNCTION("IF('From Order'!$A362=COLUMNS($A362:B381), LEFT(INDEX(FILTER(B$1:B361, B$1:B361&lt;&gt;""""),COUNTA(FILTER(B$1:B361, B$1:B361&lt;&gt;""""))), LEN(INDEX(FILTER(B$1:B361, B$1:B361&lt;&gt;""""),COUNTA(FILTER(B$1:B361, B$1:B361&lt;&gt;""""))))-1), IF('To Order'!$A362=COLUMNS($A362:B"&amp;"381), B361&amp;RIGHT(INDIRECT(ADDRESS(ROW(B362)-1, 'From Order'!$A362)), 1), B361))"),"")</f>
        <v/>
      </c>
      <c r="C362" s="2" t="str">
        <f>IFERROR(__xludf.DUMMYFUNCTION("IF('From Order'!$A362=COLUMNS($A362:C381), LEFT(INDEX(FILTER(C$1:C361, C$1:C361&lt;&gt;""""),COUNTA(FILTER(C$1:C361, C$1:C361&lt;&gt;""""))), LEN(INDEX(FILTER(C$1:C361, C$1:C361&lt;&gt;""""),COUNTA(FILTER(C$1:C361, C$1:C361&lt;&gt;""""))))-1), IF('To Order'!$A362=COLUMNS($A362:C"&amp;"381), C361&amp;RIGHT(INDIRECT(ADDRESS(ROW(C362)-1, 'From Order'!$A362)), 1), C361))"),"SMFBJ")</f>
        <v>SMFBJ</v>
      </c>
      <c r="D362" s="2" t="str">
        <f>IFERROR(__xludf.DUMMYFUNCTION("IF('From Order'!$A362=COLUMNS($A362:D381), LEFT(INDEX(FILTER(D$1:D361, D$1:D361&lt;&gt;""""),COUNTA(FILTER(D$1:D361, D$1:D361&lt;&gt;""""))), LEN(INDEX(FILTER(D$1:D361, D$1:D361&lt;&gt;""""),COUNTA(FILTER(D$1:D361, D$1:D361&lt;&gt;""""))))-1), IF('To Order'!$A362=COLUMNS($A362:D"&amp;"381), D361&amp;RIGHT(INDIRECT(ADDRESS(ROW(D362)-1, 'From Order'!$A362)), 1), D361))"),"")</f>
        <v/>
      </c>
      <c r="E362" s="2" t="str">
        <f>IFERROR(__xludf.DUMMYFUNCTION("IF('From Order'!$A362=COLUMNS($A362:E381), LEFT(INDEX(FILTER(E$1:E361, E$1:E361&lt;&gt;""""),COUNTA(FILTER(E$1:E361, E$1:E361&lt;&gt;""""))), LEN(INDEX(FILTER(E$1:E361, E$1:E361&lt;&gt;""""),COUNTA(FILTER(E$1:E361, E$1:E361&lt;&gt;""""))))-1), IF('To Order'!$A362=COLUMNS($A362:E"&amp;"381), E361&amp;RIGHT(INDIRECT(ADDRESS(ROW(E362)-1, 'From Order'!$A362)), 1), E361))"),"HZRVSDPQRB")</f>
        <v>HZRVSDPQRB</v>
      </c>
      <c r="F362" s="2" t="str">
        <f>IFERROR(__xludf.DUMMYFUNCTION("IF('From Order'!$A362=COLUMNS($A362:F381), LEFT(INDEX(FILTER(F$1:F361, F$1:F361&lt;&gt;""""),COUNTA(FILTER(F$1:F361, F$1:F361&lt;&gt;""""))), LEN(INDEX(FILTER(F$1:F361, F$1:F361&lt;&gt;""""),COUNTA(FILTER(F$1:F361, F$1:F361&lt;&gt;""""))))-1), IF('To Order'!$A362=COLUMNS($A362:F"&amp;"381), F361&amp;RIGHT(INDIRECT(ADDRESS(ROW(F362)-1, 'From Order'!$A362)), 1), F361))"),"HSPVMZDDTDGSBLRL")</f>
        <v>HSPVMZDDTDGSBLRL</v>
      </c>
      <c r="G362" s="2" t="str">
        <f>IFERROR(__xludf.DUMMYFUNCTION("IF('From Order'!$A362=COLUMNS($A362:G381), LEFT(INDEX(FILTER(G$1:G361, G$1:G361&lt;&gt;""""),COUNTA(FILTER(G$1:G361, G$1:G361&lt;&gt;""""))), LEN(INDEX(FILTER(G$1:G361, G$1:G361&lt;&gt;""""),COUNTA(FILTER(G$1:G361, G$1:G361&lt;&gt;""""))))-1), IF('To Order'!$A362=COLUMNS($A362:G"&amp;"381), G361&amp;RIGHT(INDIRECT(ADDRESS(ROW(G362)-1, 'From Order'!$A362)), 1), G361))"),"")</f>
        <v/>
      </c>
      <c r="H362" s="2" t="str">
        <f>IFERROR(__xludf.DUMMYFUNCTION("IF('From Order'!$A362=COLUMNS($A362:H381), LEFT(INDEX(FILTER(H$1:H361, H$1:H361&lt;&gt;""""),COUNTA(FILTER(H$1:H361, H$1:H361&lt;&gt;""""))), LEN(INDEX(FILTER(H$1:H361, H$1:H361&lt;&gt;""""),COUNTA(FILTER(H$1:H361, H$1:H361&lt;&gt;""""))))-1), IF('To Order'!$A362=COLUMNS($A362:H"&amp;"381), H361&amp;RIGHT(INDIRECT(ADDRESS(ROW(H362)-1, 'From Order'!$A362)), 1), H361))"),"WPBZJ")</f>
        <v>WPBZJ</v>
      </c>
      <c r="I362" s="2" t="str">
        <f>IFERROR(__xludf.DUMMYFUNCTION("IF('From Order'!$A362=COLUMNS($A362:I381), LEFT(INDEX(FILTER(I$1:I361, I$1:I361&lt;&gt;""""),COUNTA(FILTER(I$1:I361, I$1:I361&lt;&gt;""""))), LEN(INDEX(FILTER(I$1:I361, I$1:I361&lt;&gt;""""),COUNTA(FILTER(I$1:I361, I$1:I361&lt;&gt;""""))))-1), IF('To Order'!$A362=COLUMNS($A362:I"&amp;"381), I361&amp;RIGHT(INDIRECT(ADDRESS(ROW(I362)-1, 'From Order'!$A362)), 1), I361))"),"G")</f>
        <v>G</v>
      </c>
    </row>
    <row r="363">
      <c r="A363" s="2" t="str">
        <f>IFERROR(__xludf.DUMMYFUNCTION("IF('From Order'!$A363=COLUMNS($A363:A382), LEFT(INDEX(FILTER(A$1:A362, A$1:A362&lt;&gt;""""),COUNTA(FILTER(A$1:A362, A$1:A362&lt;&gt;""""))), LEN(INDEX(FILTER(A$1:A362, A$1:A362&lt;&gt;""""),COUNTA(FILTER(A$1:A362, A$1:A362&lt;&gt;""""))))-1), IF('To Order'!$A363=COLUMNS($A363:A"&amp;"382), A362&amp;RIGHT(INDIRECT(ADDRESS(ROW(A363)-1, 'From Order'!$A363)), 1), A362))"),"CTFTMQCDTRLDRWTJTVC")</f>
        <v>CTFTMQCDTRLDRWTJTVC</v>
      </c>
      <c r="B363" s="2" t="str">
        <f>IFERROR(__xludf.DUMMYFUNCTION("IF('From Order'!$A363=COLUMNS($A363:B382), LEFT(INDEX(FILTER(B$1:B362, B$1:B362&lt;&gt;""""),COUNTA(FILTER(B$1:B362, B$1:B362&lt;&gt;""""))), LEN(INDEX(FILTER(B$1:B362, B$1:B362&lt;&gt;""""),COUNTA(FILTER(B$1:B362, B$1:B362&lt;&gt;""""))))-1), IF('To Order'!$A363=COLUMNS($A363:B"&amp;"382), B362&amp;RIGHT(INDIRECT(ADDRESS(ROW(B363)-1, 'From Order'!$A363)), 1), B362))"),"")</f>
        <v/>
      </c>
      <c r="C363" s="2" t="str">
        <f>IFERROR(__xludf.DUMMYFUNCTION("IF('From Order'!$A363=COLUMNS($A363:C382), LEFT(INDEX(FILTER(C$1:C362, C$1:C362&lt;&gt;""""),COUNTA(FILTER(C$1:C362, C$1:C362&lt;&gt;""""))), LEN(INDEX(FILTER(C$1:C362, C$1:C362&lt;&gt;""""),COUNTA(FILTER(C$1:C362, C$1:C362&lt;&gt;""""))))-1), IF('To Order'!$A363=COLUMNS($A363:C"&amp;"382), C362&amp;RIGHT(INDIRECT(ADDRESS(ROW(C363)-1, 'From Order'!$A363)), 1), C362))"),"SMFBJL")</f>
        <v>SMFBJL</v>
      </c>
      <c r="D363" s="2" t="str">
        <f>IFERROR(__xludf.DUMMYFUNCTION("IF('From Order'!$A363=COLUMNS($A363:D382), LEFT(INDEX(FILTER(D$1:D362, D$1:D362&lt;&gt;""""),COUNTA(FILTER(D$1:D362, D$1:D362&lt;&gt;""""))), LEN(INDEX(FILTER(D$1:D362, D$1:D362&lt;&gt;""""),COUNTA(FILTER(D$1:D362, D$1:D362&lt;&gt;""""))))-1), IF('To Order'!$A363=COLUMNS($A363:D"&amp;"382), D362&amp;RIGHT(INDIRECT(ADDRESS(ROW(D363)-1, 'From Order'!$A363)), 1), D362))"),"")</f>
        <v/>
      </c>
      <c r="E363" s="2" t="str">
        <f>IFERROR(__xludf.DUMMYFUNCTION("IF('From Order'!$A363=COLUMNS($A363:E382), LEFT(INDEX(FILTER(E$1:E362, E$1:E362&lt;&gt;""""),COUNTA(FILTER(E$1:E362, E$1:E362&lt;&gt;""""))), LEN(INDEX(FILTER(E$1:E362, E$1:E362&lt;&gt;""""),COUNTA(FILTER(E$1:E362, E$1:E362&lt;&gt;""""))))-1), IF('To Order'!$A363=COLUMNS($A363:E"&amp;"382), E362&amp;RIGHT(INDIRECT(ADDRESS(ROW(E363)-1, 'From Order'!$A363)), 1), E362))"),"HZRVSDPQRB")</f>
        <v>HZRVSDPQRB</v>
      </c>
      <c r="F363" s="2" t="str">
        <f>IFERROR(__xludf.DUMMYFUNCTION("IF('From Order'!$A363=COLUMNS($A363:F382), LEFT(INDEX(FILTER(F$1:F362, F$1:F362&lt;&gt;""""),COUNTA(FILTER(F$1:F362, F$1:F362&lt;&gt;""""))), LEN(INDEX(FILTER(F$1:F362, F$1:F362&lt;&gt;""""),COUNTA(FILTER(F$1:F362, F$1:F362&lt;&gt;""""))))-1), IF('To Order'!$A363=COLUMNS($A363:F"&amp;"382), F362&amp;RIGHT(INDIRECT(ADDRESS(ROW(F363)-1, 'From Order'!$A363)), 1), F362))"),"HSPVMZDDTDGSBLR")</f>
        <v>HSPVMZDDTDGSBLR</v>
      </c>
      <c r="G363" s="2" t="str">
        <f>IFERROR(__xludf.DUMMYFUNCTION("IF('From Order'!$A363=COLUMNS($A363:G382), LEFT(INDEX(FILTER(G$1:G362, G$1:G362&lt;&gt;""""),COUNTA(FILTER(G$1:G362, G$1:G362&lt;&gt;""""))), LEN(INDEX(FILTER(G$1:G362, G$1:G362&lt;&gt;""""),COUNTA(FILTER(G$1:G362, G$1:G362&lt;&gt;""""))))-1), IF('To Order'!$A363=COLUMNS($A363:G"&amp;"382), G362&amp;RIGHT(INDIRECT(ADDRESS(ROW(G363)-1, 'From Order'!$A363)), 1), G362))"),"")</f>
        <v/>
      </c>
      <c r="H363" s="2" t="str">
        <f>IFERROR(__xludf.DUMMYFUNCTION("IF('From Order'!$A363=COLUMNS($A363:H382), LEFT(INDEX(FILTER(H$1:H362, H$1:H362&lt;&gt;""""),COUNTA(FILTER(H$1:H362, H$1:H362&lt;&gt;""""))), LEN(INDEX(FILTER(H$1:H362, H$1:H362&lt;&gt;""""),COUNTA(FILTER(H$1:H362, H$1:H362&lt;&gt;""""))))-1), IF('To Order'!$A363=COLUMNS($A363:H"&amp;"382), H362&amp;RIGHT(INDIRECT(ADDRESS(ROW(H363)-1, 'From Order'!$A363)), 1), H362))"),"WPBZJ")</f>
        <v>WPBZJ</v>
      </c>
      <c r="I363" s="2" t="str">
        <f>IFERROR(__xludf.DUMMYFUNCTION("IF('From Order'!$A363=COLUMNS($A363:I382), LEFT(INDEX(FILTER(I$1:I362, I$1:I362&lt;&gt;""""),COUNTA(FILTER(I$1:I362, I$1:I362&lt;&gt;""""))), LEN(INDEX(FILTER(I$1:I362, I$1:I362&lt;&gt;""""),COUNTA(FILTER(I$1:I362, I$1:I362&lt;&gt;""""))))-1), IF('To Order'!$A363=COLUMNS($A363:I"&amp;"382), I362&amp;RIGHT(INDIRECT(ADDRESS(ROW(I363)-1, 'From Order'!$A363)), 1), I362))"),"G")</f>
        <v>G</v>
      </c>
    </row>
    <row r="364">
      <c r="A364" s="2" t="str">
        <f>IFERROR(__xludf.DUMMYFUNCTION("IF('From Order'!$A364=COLUMNS($A364:A383), LEFT(INDEX(FILTER(A$1:A363, A$1:A363&lt;&gt;""""),COUNTA(FILTER(A$1:A363, A$1:A363&lt;&gt;""""))), LEN(INDEX(FILTER(A$1:A363, A$1:A363&lt;&gt;""""),COUNTA(FILTER(A$1:A363, A$1:A363&lt;&gt;""""))))-1), IF('To Order'!$A364=COLUMNS($A364:A"&amp;"383), A363&amp;RIGHT(INDIRECT(ADDRESS(ROW(A364)-1, 'From Order'!$A364)), 1), A363))"),"CTFTMQCDTRLDRWTJTVC")</f>
        <v>CTFTMQCDTRLDRWTJTVC</v>
      </c>
      <c r="B364" s="2" t="str">
        <f>IFERROR(__xludf.DUMMYFUNCTION("IF('From Order'!$A364=COLUMNS($A364:B383), LEFT(INDEX(FILTER(B$1:B363, B$1:B363&lt;&gt;""""),COUNTA(FILTER(B$1:B363, B$1:B363&lt;&gt;""""))), LEN(INDEX(FILTER(B$1:B363, B$1:B363&lt;&gt;""""),COUNTA(FILTER(B$1:B363, B$1:B363&lt;&gt;""""))))-1), IF('To Order'!$A364=COLUMNS($A364:B"&amp;"383), B363&amp;RIGHT(INDIRECT(ADDRESS(ROW(B364)-1, 'From Order'!$A364)), 1), B363))"),"")</f>
        <v/>
      </c>
      <c r="C364" s="2" t="str">
        <f>IFERROR(__xludf.DUMMYFUNCTION("IF('From Order'!$A364=COLUMNS($A364:C383), LEFT(INDEX(FILTER(C$1:C363, C$1:C363&lt;&gt;""""),COUNTA(FILTER(C$1:C363, C$1:C363&lt;&gt;""""))), LEN(INDEX(FILTER(C$1:C363, C$1:C363&lt;&gt;""""),COUNTA(FILTER(C$1:C363, C$1:C363&lt;&gt;""""))))-1), IF('To Order'!$A364=COLUMNS($A364:C"&amp;"383), C363&amp;RIGHT(INDIRECT(ADDRESS(ROW(C364)-1, 'From Order'!$A364)), 1), C363))"),"SMFBJ")</f>
        <v>SMFBJ</v>
      </c>
      <c r="D364" s="2" t="str">
        <f>IFERROR(__xludf.DUMMYFUNCTION("IF('From Order'!$A364=COLUMNS($A364:D383), LEFT(INDEX(FILTER(D$1:D363, D$1:D363&lt;&gt;""""),COUNTA(FILTER(D$1:D363, D$1:D363&lt;&gt;""""))), LEN(INDEX(FILTER(D$1:D363, D$1:D363&lt;&gt;""""),COUNTA(FILTER(D$1:D363, D$1:D363&lt;&gt;""""))))-1), IF('To Order'!$A364=COLUMNS($A364:D"&amp;"383), D363&amp;RIGHT(INDIRECT(ADDRESS(ROW(D364)-1, 'From Order'!$A364)), 1), D363))"),"")</f>
        <v/>
      </c>
      <c r="E364" s="2" t="str">
        <f>IFERROR(__xludf.DUMMYFUNCTION("IF('From Order'!$A364=COLUMNS($A364:E383), LEFT(INDEX(FILTER(E$1:E363, E$1:E363&lt;&gt;""""),COUNTA(FILTER(E$1:E363, E$1:E363&lt;&gt;""""))), LEN(INDEX(FILTER(E$1:E363, E$1:E363&lt;&gt;""""),COUNTA(FILTER(E$1:E363, E$1:E363&lt;&gt;""""))))-1), IF('To Order'!$A364=COLUMNS($A364:E"&amp;"383), E363&amp;RIGHT(INDIRECT(ADDRESS(ROW(E364)-1, 'From Order'!$A364)), 1), E363))"),"HZRVSDPQRB")</f>
        <v>HZRVSDPQRB</v>
      </c>
      <c r="F364" s="2" t="str">
        <f>IFERROR(__xludf.DUMMYFUNCTION("IF('From Order'!$A364=COLUMNS($A364:F383), LEFT(INDEX(FILTER(F$1:F363, F$1:F363&lt;&gt;""""),COUNTA(FILTER(F$1:F363, F$1:F363&lt;&gt;""""))), LEN(INDEX(FILTER(F$1:F363, F$1:F363&lt;&gt;""""),COUNTA(FILTER(F$1:F363, F$1:F363&lt;&gt;""""))))-1), IF('To Order'!$A364=COLUMNS($A364:F"&amp;"383), F363&amp;RIGHT(INDIRECT(ADDRESS(ROW(F364)-1, 'From Order'!$A364)), 1), F363))"),"HSPVMZDDTDGSBLR")</f>
        <v>HSPVMZDDTDGSBLR</v>
      </c>
      <c r="G364" s="2" t="str">
        <f>IFERROR(__xludf.DUMMYFUNCTION("IF('From Order'!$A364=COLUMNS($A364:G383), LEFT(INDEX(FILTER(G$1:G363, G$1:G363&lt;&gt;""""),COUNTA(FILTER(G$1:G363, G$1:G363&lt;&gt;""""))), LEN(INDEX(FILTER(G$1:G363, G$1:G363&lt;&gt;""""),COUNTA(FILTER(G$1:G363, G$1:G363&lt;&gt;""""))))-1), IF('To Order'!$A364=COLUMNS($A364:G"&amp;"383), G363&amp;RIGHT(INDIRECT(ADDRESS(ROW(G364)-1, 'From Order'!$A364)), 1), G363))"),"L")</f>
        <v>L</v>
      </c>
      <c r="H364" s="2" t="str">
        <f>IFERROR(__xludf.DUMMYFUNCTION("IF('From Order'!$A364=COLUMNS($A364:H383), LEFT(INDEX(FILTER(H$1:H363, H$1:H363&lt;&gt;""""),COUNTA(FILTER(H$1:H363, H$1:H363&lt;&gt;""""))), LEN(INDEX(FILTER(H$1:H363, H$1:H363&lt;&gt;""""),COUNTA(FILTER(H$1:H363, H$1:H363&lt;&gt;""""))))-1), IF('To Order'!$A364=COLUMNS($A364:H"&amp;"383), H363&amp;RIGHT(INDIRECT(ADDRESS(ROW(H364)-1, 'From Order'!$A364)), 1), H363))"),"WPBZJ")</f>
        <v>WPBZJ</v>
      </c>
      <c r="I364" s="2" t="str">
        <f>IFERROR(__xludf.DUMMYFUNCTION("IF('From Order'!$A364=COLUMNS($A364:I383), LEFT(INDEX(FILTER(I$1:I363, I$1:I363&lt;&gt;""""),COUNTA(FILTER(I$1:I363, I$1:I363&lt;&gt;""""))), LEN(INDEX(FILTER(I$1:I363, I$1:I363&lt;&gt;""""),COUNTA(FILTER(I$1:I363, I$1:I363&lt;&gt;""""))))-1), IF('To Order'!$A364=COLUMNS($A364:I"&amp;"383), I363&amp;RIGHT(INDIRECT(ADDRESS(ROW(I364)-1, 'From Order'!$A364)), 1), I363))"),"G")</f>
        <v>G</v>
      </c>
    </row>
    <row r="365">
      <c r="A365" s="2" t="str">
        <f>IFERROR(__xludf.DUMMYFUNCTION("IF('From Order'!$A365=COLUMNS($A365:A384), LEFT(INDEX(FILTER(A$1:A364, A$1:A364&lt;&gt;""""),COUNTA(FILTER(A$1:A364, A$1:A364&lt;&gt;""""))), LEN(INDEX(FILTER(A$1:A364, A$1:A364&lt;&gt;""""),COUNTA(FILTER(A$1:A364, A$1:A364&lt;&gt;""""))))-1), IF('To Order'!$A365=COLUMNS($A365:A"&amp;"384), A364&amp;RIGHT(INDIRECT(ADDRESS(ROW(A365)-1, 'From Order'!$A365)), 1), A364))"),"CTFTMQCDTRLDRWTJTVC")</f>
        <v>CTFTMQCDTRLDRWTJTVC</v>
      </c>
      <c r="B365" s="2" t="str">
        <f>IFERROR(__xludf.DUMMYFUNCTION("IF('From Order'!$A365=COLUMNS($A365:B384), LEFT(INDEX(FILTER(B$1:B364, B$1:B364&lt;&gt;""""),COUNTA(FILTER(B$1:B364, B$1:B364&lt;&gt;""""))), LEN(INDEX(FILTER(B$1:B364, B$1:B364&lt;&gt;""""),COUNTA(FILTER(B$1:B364, B$1:B364&lt;&gt;""""))))-1), IF('To Order'!$A365=COLUMNS($A365:B"&amp;"384), B364&amp;RIGHT(INDIRECT(ADDRESS(ROW(B365)-1, 'From Order'!$A365)), 1), B364))"),"")</f>
        <v/>
      </c>
      <c r="C365" s="2" t="str">
        <f>IFERROR(__xludf.DUMMYFUNCTION("IF('From Order'!$A365=COLUMNS($A365:C384), LEFT(INDEX(FILTER(C$1:C364, C$1:C364&lt;&gt;""""),COUNTA(FILTER(C$1:C364, C$1:C364&lt;&gt;""""))), LEN(INDEX(FILTER(C$1:C364, C$1:C364&lt;&gt;""""),COUNTA(FILTER(C$1:C364, C$1:C364&lt;&gt;""""))))-1), IF('To Order'!$A365=COLUMNS($A365:C"&amp;"384), C364&amp;RIGHT(INDIRECT(ADDRESS(ROW(C365)-1, 'From Order'!$A365)), 1), C364))"),"SMFB")</f>
        <v>SMFB</v>
      </c>
      <c r="D365" s="2" t="str">
        <f>IFERROR(__xludf.DUMMYFUNCTION("IF('From Order'!$A365=COLUMNS($A365:D384), LEFT(INDEX(FILTER(D$1:D364, D$1:D364&lt;&gt;""""),COUNTA(FILTER(D$1:D364, D$1:D364&lt;&gt;""""))), LEN(INDEX(FILTER(D$1:D364, D$1:D364&lt;&gt;""""),COUNTA(FILTER(D$1:D364, D$1:D364&lt;&gt;""""))))-1), IF('To Order'!$A365=COLUMNS($A365:D"&amp;"384), D364&amp;RIGHT(INDIRECT(ADDRESS(ROW(D365)-1, 'From Order'!$A365)), 1), D364))"),"")</f>
        <v/>
      </c>
      <c r="E365" s="2" t="str">
        <f>IFERROR(__xludf.DUMMYFUNCTION("IF('From Order'!$A365=COLUMNS($A365:E384), LEFT(INDEX(FILTER(E$1:E364, E$1:E364&lt;&gt;""""),COUNTA(FILTER(E$1:E364, E$1:E364&lt;&gt;""""))), LEN(INDEX(FILTER(E$1:E364, E$1:E364&lt;&gt;""""),COUNTA(FILTER(E$1:E364, E$1:E364&lt;&gt;""""))))-1), IF('To Order'!$A365=COLUMNS($A365:E"&amp;"384), E364&amp;RIGHT(INDIRECT(ADDRESS(ROW(E365)-1, 'From Order'!$A365)), 1), E364))"),"HZRVSDPQRB")</f>
        <v>HZRVSDPQRB</v>
      </c>
      <c r="F365" s="2" t="str">
        <f>IFERROR(__xludf.DUMMYFUNCTION("IF('From Order'!$A365=COLUMNS($A365:F384), LEFT(INDEX(FILTER(F$1:F364, F$1:F364&lt;&gt;""""),COUNTA(FILTER(F$1:F364, F$1:F364&lt;&gt;""""))), LEN(INDEX(FILTER(F$1:F364, F$1:F364&lt;&gt;""""),COUNTA(FILTER(F$1:F364, F$1:F364&lt;&gt;""""))))-1), IF('To Order'!$A365=COLUMNS($A365:F"&amp;"384), F364&amp;RIGHT(INDIRECT(ADDRESS(ROW(F365)-1, 'From Order'!$A365)), 1), F364))"),"HSPVMZDDTDGSBLR")</f>
        <v>HSPVMZDDTDGSBLR</v>
      </c>
      <c r="G365" s="2" t="str">
        <f>IFERROR(__xludf.DUMMYFUNCTION("IF('From Order'!$A365=COLUMNS($A365:G384), LEFT(INDEX(FILTER(G$1:G364, G$1:G364&lt;&gt;""""),COUNTA(FILTER(G$1:G364, G$1:G364&lt;&gt;""""))), LEN(INDEX(FILTER(G$1:G364, G$1:G364&lt;&gt;""""),COUNTA(FILTER(G$1:G364, G$1:G364&lt;&gt;""""))))-1), IF('To Order'!$A365=COLUMNS($A365:G"&amp;"384), G364&amp;RIGHT(INDIRECT(ADDRESS(ROW(G365)-1, 'From Order'!$A365)), 1), G364))"),"LJ")</f>
        <v>LJ</v>
      </c>
      <c r="H365" s="2" t="str">
        <f>IFERROR(__xludf.DUMMYFUNCTION("IF('From Order'!$A365=COLUMNS($A365:H384), LEFT(INDEX(FILTER(H$1:H364, H$1:H364&lt;&gt;""""),COUNTA(FILTER(H$1:H364, H$1:H364&lt;&gt;""""))), LEN(INDEX(FILTER(H$1:H364, H$1:H364&lt;&gt;""""),COUNTA(FILTER(H$1:H364, H$1:H364&lt;&gt;""""))))-1), IF('To Order'!$A365=COLUMNS($A365:H"&amp;"384), H364&amp;RIGHT(INDIRECT(ADDRESS(ROW(H365)-1, 'From Order'!$A365)), 1), H364))"),"WPBZJ")</f>
        <v>WPBZJ</v>
      </c>
      <c r="I365" s="2" t="str">
        <f>IFERROR(__xludf.DUMMYFUNCTION("IF('From Order'!$A365=COLUMNS($A365:I384), LEFT(INDEX(FILTER(I$1:I364, I$1:I364&lt;&gt;""""),COUNTA(FILTER(I$1:I364, I$1:I364&lt;&gt;""""))), LEN(INDEX(FILTER(I$1:I364, I$1:I364&lt;&gt;""""),COUNTA(FILTER(I$1:I364, I$1:I364&lt;&gt;""""))))-1), IF('To Order'!$A365=COLUMNS($A365:I"&amp;"384), I364&amp;RIGHT(INDIRECT(ADDRESS(ROW(I365)-1, 'From Order'!$A365)), 1), I364))"),"G")</f>
        <v>G</v>
      </c>
    </row>
    <row r="366">
      <c r="A366" s="2" t="str">
        <f>IFERROR(__xludf.DUMMYFUNCTION("IF('From Order'!$A366=COLUMNS($A366:A385), LEFT(INDEX(FILTER(A$1:A365, A$1:A365&lt;&gt;""""),COUNTA(FILTER(A$1:A365, A$1:A365&lt;&gt;""""))), LEN(INDEX(FILTER(A$1:A365, A$1:A365&lt;&gt;""""),COUNTA(FILTER(A$1:A365, A$1:A365&lt;&gt;""""))))-1), IF('To Order'!$A366=COLUMNS($A366:A"&amp;"385), A365&amp;RIGHT(INDIRECT(ADDRESS(ROW(A366)-1, 'From Order'!$A366)), 1), A365))"),"CTFTMQCDTRLDRWTJTVC")</f>
        <v>CTFTMQCDTRLDRWTJTVC</v>
      </c>
      <c r="B366" s="2" t="str">
        <f>IFERROR(__xludf.DUMMYFUNCTION("IF('From Order'!$A366=COLUMNS($A366:B385), LEFT(INDEX(FILTER(B$1:B365, B$1:B365&lt;&gt;""""),COUNTA(FILTER(B$1:B365, B$1:B365&lt;&gt;""""))), LEN(INDEX(FILTER(B$1:B365, B$1:B365&lt;&gt;""""),COUNTA(FILTER(B$1:B365, B$1:B365&lt;&gt;""""))))-1), IF('To Order'!$A366=COLUMNS($A366:B"&amp;"385), B365&amp;RIGHT(INDIRECT(ADDRESS(ROW(B366)-1, 'From Order'!$A366)), 1), B365))"),"")</f>
        <v/>
      </c>
      <c r="C366" s="2" t="str">
        <f>IFERROR(__xludf.DUMMYFUNCTION("IF('From Order'!$A366=COLUMNS($A366:C385), LEFT(INDEX(FILTER(C$1:C365, C$1:C365&lt;&gt;""""),COUNTA(FILTER(C$1:C365, C$1:C365&lt;&gt;""""))), LEN(INDEX(FILTER(C$1:C365, C$1:C365&lt;&gt;""""),COUNTA(FILTER(C$1:C365, C$1:C365&lt;&gt;""""))))-1), IF('To Order'!$A366=COLUMNS($A366:C"&amp;"385), C365&amp;RIGHT(INDIRECT(ADDRESS(ROW(C366)-1, 'From Order'!$A366)), 1), C365))"),"SMFBB")</f>
        <v>SMFBB</v>
      </c>
      <c r="D366" s="2" t="str">
        <f>IFERROR(__xludf.DUMMYFUNCTION("IF('From Order'!$A366=COLUMNS($A366:D385), LEFT(INDEX(FILTER(D$1:D365, D$1:D365&lt;&gt;""""),COUNTA(FILTER(D$1:D365, D$1:D365&lt;&gt;""""))), LEN(INDEX(FILTER(D$1:D365, D$1:D365&lt;&gt;""""),COUNTA(FILTER(D$1:D365, D$1:D365&lt;&gt;""""))))-1), IF('To Order'!$A366=COLUMNS($A366:D"&amp;"385), D365&amp;RIGHT(INDIRECT(ADDRESS(ROW(D366)-1, 'From Order'!$A366)), 1), D365))"),"")</f>
        <v/>
      </c>
      <c r="E366" s="2" t="str">
        <f>IFERROR(__xludf.DUMMYFUNCTION("IF('From Order'!$A366=COLUMNS($A366:E385), LEFT(INDEX(FILTER(E$1:E365, E$1:E365&lt;&gt;""""),COUNTA(FILTER(E$1:E365, E$1:E365&lt;&gt;""""))), LEN(INDEX(FILTER(E$1:E365, E$1:E365&lt;&gt;""""),COUNTA(FILTER(E$1:E365, E$1:E365&lt;&gt;""""))))-1), IF('To Order'!$A366=COLUMNS($A366:E"&amp;"385), E365&amp;RIGHT(INDIRECT(ADDRESS(ROW(E366)-1, 'From Order'!$A366)), 1), E365))"),"HZRVSDPQR")</f>
        <v>HZRVSDPQR</v>
      </c>
      <c r="F366" s="2" t="str">
        <f>IFERROR(__xludf.DUMMYFUNCTION("IF('From Order'!$A366=COLUMNS($A366:F385), LEFT(INDEX(FILTER(F$1:F365, F$1:F365&lt;&gt;""""),COUNTA(FILTER(F$1:F365, F$1:F365&lt;&gt;""""))), LEN(INDEX(FILTER(F$1:F365, F$1:F365&lt;&gt;""""),COUNTA(FILTER(F$1:F365, F$1:F365&lt;&gt;""""))))-1), IF('To Order'!$A366=COLUMNS($A366:F"&amp;"385), F365&amp;RIGHT(INDIRECT(ADDRESS(ROW(F366)-1, 'From Order'!$A366)), 1), F365))"),"HSPVMZDDTDGSBLR")</f>
        <v>HSPVMZDDTDGSBLR</v>
      </c>
      <c r="G366" s="2" t="str">
        <f>IFERROR(__xludf.DUMMYFUNCTION("IF('From Order'!$A366=COLUMNS($A366:G385), LEFT(INDEX(FILTER(G$1:G365, G$1:G365&lt;&gt;""""),COUNTA(FILTER(G$1:G365, G$1:G365&lt;&gt;""""))), LEN(INDEX(FILTER(G$1:G365, G$1:G365&lt;&gt;""""),COUNTA(FILTER(G$1:G365, G$1:G365&lt;&gt;""""))))-1), IF('To Order'!$A366=COLUMNS($A366:G"&amp;"385), G365&amp;RIGHT(INDIRECT(ADDRESS(ROW(G366)-1, 'From Order'!$A366)), 1), G365))"),"LJ")</f>
        <v>LJ</v>
      </c>
      <c r="H366" s="2" t="str">
        <f>IFERROR(__xludf.DUMMYFUNCTION("IF('From Order'!$A366=COLUMNS($A366:H385), LEFT(INDEX(FILTER(H$1:H365, H$1:H365&lt;&gt;""""),COUNTA(FILTER(H$1:H365, H$1:H365&lt;&gt;""""))), LEN(INDEX(FILTER(H$1:H365, H$1:H365&lt;&gt;""""),COUNTA(FILTER(H$1:H365, H$1:H365&lt;&gt;""""))))-1), IF('To Order'!$A366=COLUMNS($A366:H"&amp;"385), H365&amp;RIGHT(INDIRECT(ADDRESS(ROW(H366)-1, 'From Order'!$A366)), 1), H365))"),"WPBZJ")</f>
        <v>WPBZJ</v>
      </c>
      <c r="I366" s="2" t="str">
        <f>IFERROR(__xludf.DUMMYFUNCTION("IF('From Order'!$A366=COLUMNS($A366:I385), LEFT(INDEX(FILTER(I$1:I365, I$1:I365&lt;&gt;""""),COUNTA(FILTER(I$1:I365, I$1:I365&lt;&gt;""""))), LEN(INDEX(FILTER(I$1:I365, I$1:I365&lt;&gt;""""),COUNTA(FILTER(I$1:I365, I$1:I365&lt;&gt;""""))))-1), IF('To Order'!$A366=COLUMNS($A366:I"&amp;"385), I365&amp;RIGHT(INDIRECT(ADDRESS(ROW(I366)-1, 'From Order'!$A366)), 1), I365))"),"G")</f>
        <v>G</v>
      </c>
    </row>
    <row r="367">
      <c r="A367" s="2" t="str">
        <f>IFERROR(__xludf.DUMMYFUNCTION("IF('From Order'!$A367=COLUMNS($A367:A386), LEFT(INDEX(FILTER(A$1:A366, A$1:A366&lt;&gt;""""),COUNTA(FILTER(A$1:A366, A$1:A366&lt;&gt;""""))), LEN(INDEX(FILTER(A$1:A366, A$1:A366&lt;&gt;""""),COUNTA(FILTER(A$1:A366, A$1:A366&lt;&gt;""""))))-1), IF('To Order'!$A367=COLUMNS($A367:A"&amp;"386), A366&amp;RIGHT(INDIRECT(ADDRESS(ROW(A367)-1, 'From Order'!$A367)), 1), A366))"),"CTFTMQCDTRLDRWTJTVC")</f>
        <v>CTFTMQCDTRLDRWTJTVC</v>
      </c>
      <c r="B367" s="2" t="str">
        <f>IFERROR(__xludf.DUMMYFUNCTION("IF('From Order'!$A367=COLUMNS($A367:B386), LEFT(INDEX(FILTER(B$1:B366, B$1:B366&lt;&gt;""""),COUNTA(FILTER(B$1:B366, B$1:B366&lt;&gt;""""))), LEN(INDEX(FILTER(B$1:B366, B$1:B366&lt;&gt;""""),COUNTA(FILTER(B$1:B366, B$1:B366&lt;&gt;""""))))-1), IF('To Order'!$A367=COLUMNS($A367:B"&amp;"386), B366&amp;RIGHT(INDIRECT(ADDRESS(ROW(B367)-1, 'From Order'!$A367)), 1), B366))"),"")</f>
        <v/>
      </c>
      <c r="C367" s="2" t="str">
        <f>IFERROR(__xludf.DUMMYFUNCTION("IF('From Order'!$A367=COLUMNS($A367:C386), LEFT(INDEX(FILTER(C$1:C366, C$1:C366&lt;&gt;""""),COUNTA(FILTER(C$1:C366, C$1:C366&lt;&gt;""""))), LEN(INDEX(FILTER(C$1:C366, C$1:C366&lt;&gt;""""),COUNTA(FILTER(C$1:C366, C$1:C366&lt;&gt;""""))))-1), IF('To Order'!$A367=COLUMNS($A367:C"&amp;"386), C366&amp;RIGHT(INDIRECT(ADDRESS(ROW(C367)-1, 'From Order'!$A367)), 1), C366))"),"SMFBBR")</f>
        <v>SMFBBR</v>
      </c>
      <c r="D367" s="2" t="str">
        <f>IFERROR(__xludf.DUMMYFUNCTION("IF('From Order'!$A367=COLUMNS($A367:D386), LEFT(INDEX(FILTER(D$1:D366, D$1:D366&lt;&gt;""""),COUNTA(FILTER(D$1:D366, D$1:D366&lt;&gt;""""))), LEN(INDEX(FILTER(D$1:D366, D$1:D366&lt;&gt;""""),COUNTA(FILTER(D$1:D366, D$1:D366&lt;&gt;""""))))-1), IF('To Order'!$A367=COLUMNS($A367:D"&amp;"386), D366&amp;RIGHT(INDIRECT(ADDRESS(ROW(D367)-1, 'From Order'!$A367)), 1), D366))"),"")</f>
        <v/>
      </c>
      <c r="E367" s="2" t="str">
        <f>IFERROR(__xludf.DUMMYFUNCTION("IF('From Order'!$A367=COLUMNS($A367:E386), LEFT(INDEX(FILTER(E$1:E366, E$1:E366&lt;&gt;""""),COUNTA(FILTER(E$1:E366, E$1:E366&lt;&gt;""""))), LEN(INDEX(FILTER(E$1:E366, E$1:E366&lt;&gt;""""),COUNTA(FILTER(E$1:E366, E$1:E366&lt;&gt;""""))))-1), IF('To Order'!$A367=COLUMNS($A367:E"&amp;"386), E366&amp;RIGHT(INDIRECT(ADDRESS(ROW(E367)-1, 'From Order'!$A367)), 1), E366))"),"HZRVSDPQ")</f>
        <v>HZRVSDPQ</v>
      </c>
      <c r="F367" s="2" t="str">
        <f>IFERROR(__xludf.DUMMYFUNCTION("IF('From Order'!$A367=COLUMNS($A367:F386), LEFT(INDEX(FILTER(F$1:F366, F$1:F366&lt;&gt;""""),COUNTA(FILTER(F$1:F366, F$1:F366&lt;&gt;""""))), LEN(INDEX(FILTER(F$1:F366, F$1:F366&lt;&gt;""""),COUNTA(FILTER(F$1:F366, F$1:F366&lt;&gt;""""))))-1), IF('To Order'!$A367=COLUMNS($A367:F"&amp;"386), F366&amp;RIGHT(INDIRECT(ADDRESS(ROW(F367)-1, 'From Order'!$A367)), 1), F366))"),"HSPVMZDDTDGSBLR")</f>
        <v>HSPVMZDDTDGSBLR</v>
      </c>
      <c r="G367" s="2" t="str">
        <f>IFERROR(__xludf.DUMMYFUNCTION("IF('From Order'!$A367=COLUMNS($A367:G386), LEFT(INDEX(FILTER(G$1:G366, G$1:G366&lt;&gt;""""),COUNTA(FILTER(G$1:G366, G$1:G366&lt;&gt;""""))), LEN(INDEX(FILTER(G$1:G366, G$1:G366&lt;&gt;""""),COUNTA(FILTER(G$1:G366, G$1:G366&lt;&gt;""""))))-1), IF('To Order'!$A367=COLUMNS($A367:G"&amp;"386), G366&amp;RIGHT(INDIRECT(ADDRESS(ROW(G367)-1, 'From Order'!$A367)), 1), G366))"),"LJ")</f>
        <v>LJ</v>
      </c>
      <c r="H367" s="2" t="str">
        <f>IFERROR(__xludf.DUMMYFUNCTION("IF('From Order'!$A367=COLUMNS($A367:H386), LEFT(INDEX(FILTER(H$1:H366, H$1:H366&lt;&gt;""""),COUNTA(FILTER(H$1:H366, H$1:H366&lt;&gt;""""))), LEN(INDEX(FILTER(H$1:H366, H$1:H366&lt;&gt;""""),COUNTA(FILTER(H$1:H366, H$1:H366&lt;&gt;""""))))-1), IF('To Order'!$A367=COLUMNS($A367:H"&amp;"386), H366&amp;RIGHT(INDIRECT(ADDRESS(ROW(H367)-1, 'From Order'!$A367)), 1), H366))"),"WPBZJ")</f>
        <v>WPBZJ</v>
      </c>
      <c r="I367" s="2" t="str">
        <f>IFERROR(__xludf.DUMMYFUNCTION("IF('From Order'!$A367=COLUMNS($A367:I386), LEFT(INDEX(FILTER(I$1:I366, I$1:I366&lt;&gt;""""),COUNTA(FILTER(I$1:I366, I$1:I366&lt;&gt;""""))), LEN(INDEX(FILTER(I$1:I366, I$1:I366&lt;&gt;""""),COUNTA(FILTER(I$1:I366, I$1:I366&lt;&gt;""""))))-1), IF('To Order'!$A367=COLUMNS($A367:I"&amp;"386), I366&amp;RIGHT(INDIRECT(ADDRESS(ROW(I367)-1, 'From Order'!$A367)), 1), I366))"),"G")</f>
        <v>G</v>
      </c>
    </row>
    <row r="368">
      <c r="A368" s="2" t="str">
        <f>IFERROR(__xludf.DUMMYFUNCTION("IF('From Order'!$A368=COLUMNS($A368:A387), LEFT(INDEX(FILTER(A$1:A367, A$1:A367&lt;&gt;""""),COUNTA(FILTER(A$1:A367, A$1:A367&lt;&gt;""""))), LEN(INDEX(FILTER(A$1:A367, A$1:A367&lt;&gt;""""),COUNTA(FILTER(A$1:A367, A$1:A367&lt;&gt;""""))))-1), IF('To Order'!$A368=COLUMNS($A368:A"&amp;"387), A367&amp;RIGHT(INDIRECT(ADDRESS(ROW(A368)-1, 'From Order'!$A368)), 1), A367))"),"CTFTMQCDTRLDRWTJTVC")</f>
        <v>CTFTMQCDTRLDRWTJTVC</v>
      </c>
      <c r="B368" s="2" t="str">
        <f>IFERROR(__xludf.DUMMYFUNCTION("IF('From Order'!$A368=COLUMNS($A368:B387), LEFT(INDEX(FILTER(B$1:B367, B$1:B367&lt;&gt;""""),COUNTA(FILTER(B$1:B367, B$1:B367&lt;&gt;""""))), LEN(INDEX(FILTER(B$1:B367, B$1:B367&lt;&gt;""""),COUNTA(FILTER(B$1:B367, B$1:B367&lt;&gt;""""))))-1), IF('To Order'!$A368=COLUMNS($A368:B"&amp;"387), B367&amp;RIGHT(INDIRECT(ADDRESS(ROW(B368)-1, 'From Order'!$A368)), 1), B367))"),"")</f>
        <v/>
      </c>
      <c r="C368" s="2" t="str">
        <f>IFERROR(__xludf.DUMMYFUNCTION("IF('From Order'!$A368=COLUMNS($A368:C387), LEFT(INDEX(FILTER(C$1:C367, C$1:C367&lt;&gt;""""),COUNTA(FILTER(C$1:C367, C$1:C367&lt;&gt;""""))), LEN(INDEX(FILTER(C$1:C367, C$1:C367&lt;&gt;""""),COUNTA(FILTER(C$1:C367, C$1:C367&lt;&gt;""""))))-1), IF('To Order'!$A368=COLUMNS($A368:C"&amp;"387), C367&amp;RIGHT(INDIRECT(ADDRESS(ROW(C368)-1, 'From Order'!$A368)), 1), C367))"),"SMFBBRQ")</f>
        <v>SMFBBRQ</v>
      </c>
      <c r="D368" s="2" t="str">
        <f>IFERROR(__xludf.DUMMYFUNCTION("IF('From Order'!$A368=COLUMNS($A368:D387), LEFT(INDEX(FILTER(D$1:D367, D$1:D367&lt;&gt;""""),COUNTA(FILTER(D$1:D367, D$1:D367&lt;&gt;""""))), LEN(INDEX(FILTER(D$1:D367, D$1:D367&lt;&gt;""""),COUNTA(FILTER(D$1:D367, D$1:D367&lt;&gt;""""))))-1), IF('To Order'!$A368=COLUMNS($A368:D"&amp;"387), D367&amp;RIGHT(INDIRECT(ADDRESS(ROW(D368)-1, 'From Order'!$A368)), 1), D367))"),"")</f>
        <v/>
      </c>
      <c r="E368" s="2" t="str">
        <f>IFERROR(__xludf.DUMMYFUNCTION("IF('From Order'!$A368=COLUMNS($A368:E387), LEFT(INDEX(FILTER(E$1:E367, E$1:E367&lt;&gt;""""),COUNTA(FILTER(E$1:E367, E$1:E367&lt;&gt;""""))), LEN(INDEX(FILTER(E$1:E367, E$1:E367&lt;&gt;""""),COUNTA(FILTER(E$1:E367, E$1:E367&lt;&gt;""""))))-1), IF('To Order'!$A368=COLUMNS($A368:E"&amp;"387), E367&amp;RIGHT(INDIRECT(ADDRESS(ROW(E368)-1, 'From Order'!$A368)), 1), E367))"),"HZRVSDP")</f>
        <v>HZRVSDP</v>
      </c>
      <c r="F368" s="2" t="str">
        <f>IFERROR(__xludf.DUMMYFUNCTION("IF('From Order'!$A368=COLUMNS($A368:F387), LEFT(INDEX(FILTER(F$1:F367, F$1:F367&lt;&gt;""""),COUNTA(FILTER(F$1:F367, F$1:F367&lt;&gt;""""))), LEN(INDEX(FILTER(F$1:F367, F$1:F367&lt;&gt;""""),COUNTA(FILTER(F$1:F367, F$1:F367&lt;&gt;""""))))-1), IF('To Order'!$A368=COLUMNS($A368:F"&amp;"387), F367&amp;RIGHT(INDIRECT(ADDRESS(ROW(F368)-1, 'From Order'!$A368)), 1), F367))"),"HSPVMZDDTDGSBLR")</f>
        <v>HSPVMZDDTDGSBLR</v>
      </c>
      <c r="G368" s="2" t="str">
        <f>IFERROR(__xludf.DUMMYFUNCTION("IF('From Order'!$A368=COLUMNS($A368:G387), LEFT(INDEX(FILTER(G$1:G367, G$1:G367&lt;&gt;""""),COUNTA(FILTER(G$1:G367, G$1:G367&lt;&gt;""""))), LEN(INDEX(FILTER(G$1:G367, G$1:G367&lt;&gt;""""),COUNTA(FILTER(G$1:G367, G$1:G367&lt;&gt;""""))))-1), IF('To Order'!$A368=COLUMNS($A368:G"&amp;"387), G367&amp;RIGHT(INDIRECT(ADDRESS(ROW(G368)-1, 'From Order'!$A368)), 1), G367))"),"LJ")</f>
        <v>LJ</v>
      </c>
      <c r="H368" s="2" t="str">
        <f>IFERROR(__xludf.DUMMYFUNCTION("IF('From Order'!$A368=COLUMNS($A368:H387), LEFT(INDEX(FILTER(H$1:H367, H$1:H367&lt;&gt;""""),COUNTA(FILTER(H$1:H367, H$1:H367&lt;&gt;""""))), LEN(INDEX(FILTER(H$1:H367, H$1:H367&lt;&gt;""""),COUNTA(FILTER(H$1:H367, H$1:H367&lt;&gt;""""))))-1), IF('To Order'!$A368=COLUMNS($A368:H"&amp;"387), H367&amp;RIGHT(INDIRECT(ADDRESS(ROW(H368)-1, 'From Order'!$A368)), 1), H367))"),"WPBZJ")</f>
        <v>WPBZJ</v>
      </c>
      <c r="I368" s="2" t="str">
        <f>IFERROR(__xludf.DUMMYFUNCTION("IF('From Order'!$A368=COLUMNS($A368:I387), LEFT(INDEX(FILTER(I$1:I367, I$1:I367&lt;&gt;""""),COUNTA(FILTER(I$1:I367, I$1:I367&lt;&gt;""""))), LEN(INDEX(FILTER(I$1:I367, I$1:I367&lt;&gt;""""),COUNTA(FILTER(I$1:I367, I$1:I367&lt;&gt;""""))))-1), IF('To Order'!$A368=COLUMNS($A368:I"&amp;"387), I367&amp;RIGHT(INDIRECT(ADDRESS(ROW(I368)-1, 'From Order'!$A368)), 1), I367))"),"G")</f>
        <v>G</v>
      </c>
    </row>
    <row r="369">
      <c r="A369" s="2" t="str">
        <f>IFERROR(__xludf.DUMMYFUNCTION("IF('From Order'!$A369=COLUMNS($A369:A388), LEFT(INDEX(FILTER(A$1:A368, A$1:A368&lt;&gt;""""),COUNTA(FILTER(A$1:A368, A$1:A368&lt;&gt;""""))), LEN(INDEX(FILTER(A$1:A368, A$1:A368&lt;&gt;""""),COUNTA(FILTER(A$1:A368, A$1:A368&lt;&gt;""""))))-1), IF('To Order'!$A369=COLUMNS($A369:A"&amp;"388), A368&amp;RIGHT(INDIRECT(ADDRESS(ROW(A369)-1, 'From Order'!$A369)), 1), A368))"),"CTFTMQCDTRLDRWTJTVC")</f>
        <v>CTFTMQCDTRLDRWTJTVC</v>
      </c>
      <c r="B369" s="2" t="str">
        <f>IFERROR(__xludf.DUMMYFUNCTION("IF('From Order'!$A369=COLUMNS($A369:B388), LEFT(INDEX(FILTER(B$1:B368, B$1:B368&lt;&gt;""""),COUNTA(FILTER(B$1:B368, B$1:B368&lt;&gt;""""))), LEN(INDEX(FILTER(B$1:B368, B$1:B368&lt;&gt;""""),COUNTA(FILTER(B$1:B368, B$1:B368&lt;&gt;""""))))-1), IF('To Order'!$A369=COLUMNS($A369:B"&amp;"388), B368&amp;RIGHT(INDIRECT(ADDRESS(ROW(B369)-1, 'From Order'!$A369)), 1), B368))"),"")</f>
        <v/>
      </c>
      <c r="C369" s="2" t="str">
        <f>IFERROR(__xludf.DUMMYFUNCTION("IF('From Order'!$A369=COLUMNS($A369:C388), LEFT(INDEX(FILTER(C$1:C368, C$1:C368&lt;&gt;""""),COUNTA(FILTER(C$1:C368, C$1:C368&lt;&gt;""""))), LEN(INDEX(FILTER(C$1:C368, C$1:C368&lt;&gt;""""),COUNTA(FILTER(C$1:C368, C$1:C368&lt;&gt;""""))))-1), IF('To Order'!$A369=COLUMNS($A369:C"&amp;"388), C368&amp;RIGHT(INDIRECT(ADDRESS(ROW(C369)-1, 'From Order'!$A369)), 1), C368))"),"SMFBBRQP")</f>
        <v>SMFBBRQP</v>
      </c>
      <c r="D369" s="2" t="str">
        <f>IFERROR(__xludf.DUMMYFUNCTION("IF('From Order'!$A369=COLUMNS($A369:D388), LEFT(INDEX(FILTER(D$1:D368, D$1:D368&lt;&gt;""""),COUNTA(FILTER(D$1:D368, D$1:D368&lt;&gt;""""))), LEN(INDEX(FILTER(D$1:D368, D$1:D368&lt;&gt;""""),COUNTA(FILTER(D$1:D368, D$1:D368&lt;&gt;""""))))-1), IF('To Order'!$A369=COLUMNS($A369:D"&amp;"388), D368&amp;RIGHT(INDIRECT(ADDRESS(ROW(D369)-1, 'From Order'!$A369)), 1), D368))"),"")</f>
        <v/>
      </c>
      <c r="E369" s="2" t="str">
        <f>IFERROR(__xludf.DUMMYFUNCTION("IF('From Order'!$A369=COLUMNS($A369:E388), LEFT(INDEX(FILTER(E$1:E368, E$1:E368&lt;&gt;""""),COUNTA(FILTER(E$1:E368, E$1:E368&lt;&gt;""""))), LEN(INDEX(FILTER(E$1:E368, E$1:E368&lt;&gt;""""),COUNTA(FILTER(E$1:E368, E$1:E368&lt;&gt;""""))))-1), IF('To Order'!$A369=COLUMNS($A369:E"&amp;"388), E368&amp;RIGHT(INDIRECT(ADDRESS(ROW(E369)-1, 'From Order'!$A369)), 1), E368))"),"HZRVSD")</f>
        <v>HZRVSD</v>
      </c>
      <c r="F369" s="2" t="str">
        <f>IFERROR(__xludf.DUMMYFUNCTION("IF('From Order'!$A369=COLUMNS($A369:F388), LEFT(INDEX(FILTER(F$1:F368, F$1:F368&lt;&gt;""""),COUNTA(FILTER(F$1:F368, F$1:F368&lt;&gt;""""))), LEN(INDEX(FILTER(F$1:F368, F$1:F368&lt;&gt;""""),COUNTA(FILTER(F$1:F368, F$1:F368&lt;&gt;""""))))-1), IF('To Order'!$A369=COLUMNS($A369:F"&amp;"388), F368&amp;RIGHT(INDIRECT(ADDRESS(ROW(F369)-1, 'From Order'!$A369)), 1), F368))"),"HSPVMZDDTDGSBLR")</f>
        <v>HSPVMZDDTDGSBLR</v>
      </c>
      <c r="G369" s="2" t="str">
        <f>IFERROR(__xludf.DUMMYFUNCTION("IF('From Order'!$A369=COLUMNS($A369:G388), LEFT(INDEX(FILTER(G$1:G368, G$1:G368&lt;&gt;""""),COUNTA(FILTER(G$1:G368, G$1:G368&lt;&gt;""""))), LEN(INDEX(FILTER(G$1:G368, G$1:G368&lt;&gt;""""),COUNTA(FILTER(G$1:G368, G$1:G368&lt;&gt;""""))))-1), IF('To Order'!$A369=COLUMNS($A369:G"&amp;"388), G368&amp;RIGHT(INDIRECT(ADDRESS(ROW(G369)-1, 'From Order'!$A369)), 1), G368))"),"LJ")</f>
        <v>LJ</v>
      </c>
      <c r="H369" s="2" t="str">
        <f>IFERROR(__xludf.DUMMYFUNCTION("IF('From Order'!$A369=COLUMNS($A369:H388), LEFT(INDEX(FILTER(H$1:H368, H$1:H368&lt;&gt;""""),COUNTA(FILTER(H$1:H368, H$1:H368&lt;&gt;""""))), LEN(INDEX(FILTER(H$1:H368, H$1:H368&lt;&gt;""""),COUNTA(FILTER(H$1:H368, H$1:H368&lt;&gt;""""))))-1), IF('To Order'!$A369=COLUMNS($A369:H"&amp;"388), H368&amp;RIGHT(INDIRECT(ADDRESS(ROW(H369)-1, 'From Order'!$A369)), 1), H368))"),"WPBZJ")</f>
        <v>WPBZJ</v>
      </c>
      <c r="I369" s="2" t="str">
        <f>IFERROR(__xludf.DUMMYFUNCTION("IF('From Order'!$A369=COLUMNS($A369:I388), LEFT(INDEX(FILTER(I$1:I368, I$1:I368&lt;&gt;""""),COUNTA(FILTER(I$1:I368, I$1:I368&lt;&gt;""""))), LEN(INDEX(FILTER(I$1:I368, I$1:I368&lt;&gt;""""),COUNTA(FILTER(I$1:I368, I$1:I368&lt;&gt;""""))))-1), IF('To Order'!$A369=COLUMNS($A369:I"&amp;"388), I368&amp;RIGHT(INDIRECT(ADDRESS(ROW(I369)-1, 'From Order'!$A369)), 1), I368))"),"G")</f>
        <v>G</v>
      </c>
    </row>
    <row r="370">
      <c r="A370" s="2" t="str">
        <f>IFERROR(__xludf.DUMMYFUNCTION("IF('From Order'!$A370=COLUMNS($A370:A389), LEFT(INDEX(FILTER(A$1:A369, A$1:A369&lt;&gt;""""),COUNTA(FILTER(A$1:A369, A$1:A369&lt;&gt;""""))), LEN(INDEX(FILTER(A$1:A369, A$1:A369&lt;&gt;""""),COUNTA(FILTER(A$1:A369, A$1:A369&lt;&gt;""""))))-1), IF('To Order'!$A370=COLUMNS($A370:A"&amp;"389), A369&amp;RIGHT(INDIRECT(ADDRESS(ROW(A370)-1, 'From Order'!$A370)), 1), A369))"),"CTFTMQCDTRLDRWTJTVC")</f>
        <v>CTFTMQCDTRLDRWTJTVC</v>
      </c>
      <c r="B370" s="2" t="str">
        <f>IFERROR(__xludf.DUMMYFUNCTION("IF('From Order'!$A370=COLUMNS($A370:B389), LEFT(INDEX(FILTER(B$1:B369, B$1:B369&lt;&gt;""""),COUNTA(FILTER(B$1:B369, B$1:B369&lt;&gt;""""))), LEN(INDEX(FILTER(B$1:B369, B$1:B369&lt;&gt;""""),COUNTA(FILTER(B$1:B369, B$1:B369&lt;&gt;""""))))-1), IF('To Order'!$A370=COLUMNS($A370:B"&amp;"389), B369&amp;RIGHT(INDIRECT(ADDRESS(ROW(B370)-1, 'From Order'!$A370)), 1), B369))"),"")</f>
        <v/>
      </c>
      <c r="C370" s="2" t="str">
        <f>IFERROR(__xludf.DUMMYFUNCTION("IF('From Order'!$A370=COLUMNS($A370:C389), LEFT(INDEX(FILTER(C$1:C369, C$1:C369&lt;&gt;""""),COUNTA(FILTER(C$1:C369, C$1:C369&lt;&gt;""""))), LEN(INDEX(FILTER(C$1:C369, C$1:C369&lt;&gt;""""),COUNTA(FILTER(C$1:C369, C$1:C369&lt;&gt;""""))))-1), IF('To Order'!$A370=COLUMNS($A370:C"&amp;"389), C369&amp;RIGHT(INDIRECT(ADDRESS(ROW(C370)-1, 'From Order'!$A370)), 1), C369))"),"SMFBBRQPD")</f>
        <v>SMFBBRQPD</v>
      </c>
      <c r="D370" s="2" t="str">
        <f>IFERROR(__xludf.DUMMYFUNCTION("IF('From Order'!$A370=COLUMNS($A370:D389), LEFT(INDEX(FILTER(D$1:D369, D$1:D369&lt;&gt;""""),COUNTA(FILTER(D$1:D369, D$1:D369&lt;&gt;""""))), LEN(INDEX(FILTER(D$1:D369, D$1:D369&lt;&gt;""""),COUNTA(FILTER(D$1:D369, D$1:D369&lt;&gt;""""))))-1), IF('To Order'!$A370=COLUMNS($A370:D"&amp;"389), D369&amp;RIGHT(INDIRECT(ADDRESS(ROW(D370)-1, 'From Order'!$A370)), 1), D369))"),"")</f>
        <v/>
      </c>
      <c r="E370" s="2" t="str">
        <f>IFERROR(__xludf.DUMMYFUNCTION("IF('From Order'!$A370=COLUMNS($A370:E389), LEFT(INDEX(FILTER(E$1:E369, E$1:E369&lt;&gt;""""),COUNTA(FILTER(E$1:E369, E$1:E369&lt;&gt;""""))), LEN(INDEX(FILTER(E$1:E369, E$1:E369&lt;&gt;""""),COUNTA(FILTER(E$1:E369, E$1:E369&lt;&gt;""""))))-1), IF('To Order'!$A370=COLUMNS($A370:E"&amp;"389), E369&amp;RIGHT(INDIRECT(ADDRESS(ROW(E370)-1, 'From Order'!$A370)), 1), E369))"),"HZRVS")</f>
        <v>HZRVS</v>
      </c>
      <c r="F370" s="2" t="str">
        <f>IFERROR(__xludf.DUMMYFUNCTION("IF('From Order'!$A370=COLUMNS($A370:F389), LEFT(INDEX(FILTER(F$1:F369, F$1:F369&lt;&gt;""""),COUNTA(FILTER(F$1:F369, F$1:F369&lt;&gt;""""))), LEN(INDEX(FILTER(F$1:F369, F$1:F369&lt;&gt;""""),COUNTA(FILTER(F$1:F369, F$1:F369&lt;&gt;""""))))-1), IF('To Order'!$A370=COLUMNS($A370:F"&amp;"389), F369&amp;RIGHT(INDIRECT(ADDRESS(ROW(F370)-1, 'From Order'!$A370)), 1), F369))"),"HSPVMZDDTDGSBLR")</f>
        <v>HSPVMZDDTDGSBLR</v>
      </c>
      <c r="G370" s="2" t="str">
        <f>IFERROR(__xludf.DUMMYFUNCTION("IF('From Order'!$A370=COLUMNS($A370:G389), LEFT(INDEX(FILTER(G$1:G369, G$1:G369&lt;&gt;""""),COUNTA(FILTER(G$1:G369, G$1:G369&lt;&gt;""""))), LEN(INDEX(FILTER(G$1:G369, G$1:G369&lt;&gt;""""),COUNTA(FILTER(G$1:G369, G$1:G369&lt;&gt;""""))))-1), IF('To Order'!$A370=COLUMNS($A370:G"&amp;"389), G369&amp;RIGHT(INDIRECT(ADDRESS(ROW(G370)-1, 'From Order'!$A370)), 1), G369))"),"LJ")</f>
        <v>LJ</v>
      </c>
      <c r="H370" s="2" t="str">
        <f>IFERROR(__xludf.DUMMYFUNCTION("IF('From Order'!$A370=COLUMNS($A370:H389), LEFT(INDEX(FILTER(H$1:H369, H$1:H369&lt;&gt;""""),COUNTA(FILTER(H$1:H369, H$1:H369&lt;&gt;""""))), LEN(INDEX(FILTER(H$1:H369, H$1:H369&lt;&gt;""""),COUNTA(FILTER(H$1:H369, H$1:H369&lt;&gt;""""))))-1), IF('To Order'!$A370=COLUMNS($A370:H"&amp;"389), H369&amp;RIGHT(INDIRECT(ADDRESS(ROW(H370)-1, 'From Order'!$A370)), 1), H369))"),"WPBZJ")</f>
        <v>WPBZJ</v>
      </c>
      <c r="I370" s="2" t="str">
        <f>IFERROR(__xludf.DUMMYFUNCTION("IF('From Order'!$A370=COLUMNS($A370:I389), LEFT(INDEX(FILTER(I$1:I369, I$1:I369&lt;&gt;""""),COUNTA(FILTER(I$1:I369, I$1:I369&lt;&gt;""""))), LEN(INDEX(FILTER(I$1:I369, I$1:I369&lt;&gt;""""),COUNTA(FILTER(I$1:I369, I$1:I369&lt;&gt;""""))))-1), IF('To Order'!$A370=COLUMNS($A370:I"&amp;"389), I369&amp;RIGHT(INDIRECT(ADDRESS(ROW(I370)-1, 'From Order'!$A370)), 1), I369))"),"G")</f>
        <v>G</v>
      </c>
    </row>
    <row r="371">
      <c r="A371" s="2" t="str">
        <f>IFERROR(__xludf.DUMMYFUNCTION("IF('From Order'!$A371=COLUMNS($A371:A390), LEFT(INDEX(FILTER(A$1:A370, A$1:A370&lt;&gt;""""),COUNTA(FILTER(A$1:A370, A$1:A370&lt;&gt;""""))), LEN(INDEX(FILTER(A$1:A370, A$1:A370&lt;&gt;""""),COUNTA(FILTER(A$1:A370, A$1:A370&lt;&gt;""""))))-1), IF('To Order'!$A371=COLUMNS($A371:A"&amp;"390), A370&amp;RIGHT(INDIRECT(ADDRESS(ROW(A371)-1, 'From Order'!$A371)), 1), A370))"),"CTFTMQCDTRLDRWTJTVC")</f>
        <v>CTFTMQCDTRLDRWTJTVC</v>
      </c>
      <c r="B371" s="2" t="str">
        <f>IFERROR(__xludf.DUMMYFUNCTION("IF('From Order'!$A371=COLUMNS($A371:B390), LEFT(INDEX(FILTER(B$1:B370, B$1:B370&lt;&gt;""""),COUNTA(FILTER(B$1:B370, B$1:B370&lt;&gt;""""))), LEN(INDEX(FILTER(B$1:B370, B$1:B370&lt;&gt;""""),COUNTA(FILTER(B$1:B370, B$1:B370&lt;&gt;""""))))-1), IF('To Order'!$A371=COLUMNS($A371:B"&amp;"390), B370&amp;RIGHT(INDIRECT(ADDRESS(ROW(B371)-1, 'From Order'!$A371)), 1), B370))"),"")</f>
        <v/>
      </c>
      <c r="C371" s="2" t="str">
        <f>IFERROR(__xludf.DUMMYFUNCTION("IF('From Order'!$A371=COLUMNS($A371:C390), LEFT(INDEX(FILTER(C$1:C370, C$1:C370&lt;&gt;""""),COUNTA(FILTER(C$1:C370, C$1:C370&lt;&gt;""""))), LEN(INDEX(FILTER(C$1:C370, C$1:C370&lt;&gt;""""),COUNTA(FILTER(C$1:C370, C$1:C370&lt;&gt;""""))))-1), IF('To Order'!$A371=COLUMNS($A371:C"&amp;"390), C370&amp;RIGHT(INDIRECT(ADDRESS(ROW(C371)-1, 'From Order'!$A371)), 1), C370))"),"SMFBBRQPDS")</f>
        <v>SMFBBRQPDS</v>
      </c>
      <c r="D371" s="2" t="str">
        <f>IFERROR(__xludf.DUMMYFUNCTION("IF('From Order'!$A371=COLUMNS($A371:D390), LEFT(INDEX(FILTER(D$1:D370, D$1:D370&lt;&gt;""""),COUNTA(FILTER(D$1:D370, D$1:D370&lt;&gt;""""))), LEN(INDEX(FILTER(D$1:D370, D$1:D370&lt;&gt;""""),COUNTA(FILTER(D$1:D370, D$1:D370&lt;&gt;""""))))-1), IF('To Order'!$A371=COLUMNS($A371:D"&amp;"390), D370&amp;RIGHT(INDIRECT(ADDRESS(ROW(D371)-1, 'From Order'!$A371)), 1), D370))"),"")</f>
        <v/>
      </c>
      <c r="E371" s="2" t="str">
        <f>IFERROR(__xludf.DUMMYFUNCTION("IF('From Order'!$A371=COLUMNS($A371:E390), LEFT(INDEX(FILTER(E$1:E370, E$1:E370&lt;&gt;""""),COUNTA(FILTER(E$1:E370, E$1:E370&lt;&gt;""""))), LEN(INDEX(FILTER(E$1:E370, E$1:E370&lt;&gt;""""),COUNTA(FILTER(E$1:E370, E$1:E370&lt;&gt;""""))))-1), IF('To Order'!$A371=COLUMNS($A371:E"&amp;"390), E370&amp;RIGHT(INDIRECT(ADDRESS(ROW(E371)-1, 'From Order'!$A371)), 1), E370))"),"HZRV")</f>
        <v>HZRV</v>
      </c>
      <c r="F371" s="2" t="str">
        <f>IFERROR(__xludf.DUMMYFUNCTION("IF('From Order'!$A371=COLUMNS($A371:F390), LEFT(INDEX(FILTER(F$1:F370, F$1:F370&lt;&gt;""""),COUNTA(FILTER(F$1:F370, F$1:F370&lt;&gt;""""))), LEN(INDEX(FILTER(F$1:F370, F$1:F370&lt;&gt;""""),COUNTA(FILTER(F$1:F370, F$1:F370&lt;&gt;""""))))-1), IF('To Order'!$A371=COLUMNS($A371:F"&amp;"390), F370&amp;RIGHT(INDIRECT(ADDRESS(ROW(F371)-1, 'From Order'!$A371)), 1), F370))"),"HSPVMZDDTDGSBLR")</f>
        <v>HSPVMZDDTDGSBLR</v>
      </c>
      <c r="G371" s="2" t="str">
        <f>IFERROR(__xludf.DUMMYFUNCTION("IF('From Order'!$A371=COLUMNS($A371:G390), LEFT(INDEX(FILTER(G$1:G370, G$1:G370&lt;&gt;""""),COUNTA(FILTER(G$1:G370, G$1:G370&lt;&gt;""""))), LEN(INDEX(FILTER(G$1:G370, G$1:G370&lt;&gt;""""),COUNTA(FILTER(G$1:G370, G$1:G370&lt;&gt;""""))))-1), IF('To Order'!$A371=COLUMNS($A371:G"&amp;"390), G370&amp;RIGHT(INDIRECT(ADDRESS(ROW(G371)-1, 'From Order'!$A371)), 1), G370))"),"LJ")</f>
        <v>LJ</v>
      </c>
      <c r="H371" s="2" t="str">
        <f>IFERROR(__xludf.DUMMYFUNCTION("IF('From Order'!$A371=COLUMNS($A371:H390), LEFT(INDEX(FILTER(H$1:H370, H$1:H370&lt;&gt;""""),COUNTA(FILTER(H$1:H370, H$1:H370&lt;&gt;""""))), LEN(INDEX(FILTER(H$1:H370, H$1:H370&lt;&gt;""""),COUNTA(FILTER(H$1:H370, H$1:H370&lt;&gt;""""))))-1), IF('To Order'!$A371=COLUMNS($A371:H"&amp;"390), H370&amp;RIGHT(INDIRECT(ADDRESS(ROW(H371)-1, 'From Order'!$A371)), 1), H370))"),"WPBZJ")</f>
        <v>WPBZJ</v>
      </c>
      <c r="I371" s="2" t="str">
        <f>IFERROR(__xludf.DUMMYFUNCTION("IF('From Order'!$A371=COLUMNS($A371:I390), LEFT(INDEX(FILTER(I$1:I370, I$1:I370&lt;&gt;""""),COUNTA(FILTER(I$1:I370, I$1:I370&lt;&gt;""""))), LEN(INDEX(FILTER(I$1:I370, I$1:I370&lt;&gt;""""),COUNTA(FILTER(I$1:I370, I$1:I370&lt;&gt;""""))))-1), IF('To Order'!$A371=COLUMNS($A371:I"&amp;"390), I370&amp;RIGHT(INDIRECT(ADDRESS(ROW(I371)-1, 'From Order'!$A371)), 1), I370))"),"G")</f>
        <v>G</v>
      </c>
    </row>
    <row r="372">
      <c r="A372" s="2" t="str">
        <f>IFERROR(__xludf.DUMMYFUNCTION("IF('From Order'!$A372=COLUMNS($A372:A391), LEFT(INDEX(FILTER(A$1:A371, A$1:A371&lt;&gt;""""),COUNTA(FILTER(A$1:A371, A$1:A371&lt;&gt;""""))), LEN(INDEX(FILTER(A$1:A371, A$1:A371&lt;&gt;""""),COUNTA(FILTER(A$1:A371, A$1:A371&lt;&gt;""""))))-1), IF('To Order'!$A372=COLUMNS($A372:A"&amp;"391), A371&amp;RIGHT(INDIRECT(ADDRESS(ROW(A372)-1, 'From Order'!$A372)), 1), A371))"),"CTFTMQCDTRLDRWTJTVC")</f>
        <v>CTFTMQCDTRLDRWTJTVC</v>
      </c>
      <c r="B372" s="2" t="str">
        <f>IFERROR(__xludf.DUMMYFUNCTION("IF('From Order'!$A372=COLUMNS($A372:B391), LEFT(INDEX(FILTER(B$1:B371, B$1:B371&lt;&gt;""""),COUNTA(FILTER(B$1:B371, B$1:B371&lt;&gt;""""))), LEN(INDEX(FILTER(B$1:B371, B$1:B371&lt;&gt;""""),COUNTA(FILTER(B$1:B371, B$1:B371&lt;&gt;""""))))-1), IF('To Order'!$A372=COLUMNS($A372:B"&amp;"391), B371&amp;RIGHT(INDIRECT(ADDRESS(ROW(B372)-1, 'From Order'!$A372)), 1), B371))"),"J")</f>
        <v>J</v>
      </c>
      <c r="C372" s="2" t="str">
        <f>IFERROR(__xludf.DUMMYFUNCTION("IF('From Order'!$A372=COLUMNS($A372:C391), LEFT(INDEX(FILTER(C$1:C371, C$1:C371&lt;&gt;""""),COUNTA(FILTER(C$1:C371, C$1:C371&lt;&gt;""""))), LEN(INDEX(FILTER(C$1:C371, C$1:C371&lt;&gt;""""),COUNTA(FILTER(C$1:C371, C$1:C371&lt;&gt;""""))))-1), IF('To Order'!$A372=COLUMNS($A372:C"&amp;"391), C371&amp;RIGHT(INDIRECT(ADDRESS(ROW(C372)-1, 'From Order'!$A372)), 1), C371))"),"SMFBBRQPDS")</f>
        <v>SMFBBRQPDS</v>
      </c>
      <c r="D372" s="2" t="str">
        <f>IFERROR(__xludf.DUMMYFUNCTION("IF('From Order'!$A372=COLUMNS($A372:D391), LEFT(INDEX(FILTER(D$1:D371, D$1:D371&lt;&gt;""""),COUNTA(FILTER(D$1:D371, D$1:D371&lt;&gt;""""))), LEN(INDEX(FILTER(D$1:D371, D$1:D371&lt;&gt;""""),COUNTA(FILTER(D$1:D371, D$1:D371&lt;&gt;""""))))-1), IF('To Order'!$A372=COLUMNS($A372:D"&amp;"391), D371&amp;RIGHT(INDIRECT(ADDRESS(ROW(D372)-1, 'From Order'!$A372)), 1), D371))"),"")</f>
        <v/>
      </c>
      <c r="E372" s="2" t="str">
        <f>IFERROR(__xludf.DUMMYFUNCTION("IF('From Order'!$A372=COLUMNS($A372:E391), LEFT(INDEX(FILTER(E$1:E371, E$1:E371&lt;&gt;""""),COUNTA(FILTER(E$1:E371, E$1:E371&lt;&gt;""""))), LEN(INDEX(FILTER(E$1:E371, E$1:E371&lt;&gt;""""),COUNTA(FILTER(E$1:E371, E$1:E371&lt;&gt;""""))))-1), IF('To Order'!$A372=COLUMNS($A372:E"&amp;"391), E371&amp;RIGHT(INDIRECT(ADDRESS(ROW(E372)-1, 'From Order'!$A372)), 1), E371))"),"HZRV")</f>
        <v>HZRV</v>
      </c>
      <c r="F372" s="2" t="str">
        <f>IFERROR(__xludf.DUMMYFUNCTION("IF('From Order'!$A372=COLUMNS($A372:F391), LEFT(INDEX(FILTER(F$1:F371, F$1:F371&lt;&gt;""""),COUNTA(FILTER(F$1:F371, F$1:F371&lt;&gt;""""))), LEN(INDEX(FILTER(F$1:F371, F$1:F371&lt;&gt;""""),COUNTA(FILTER(F$1:F371, F$1:F371&lt;&gt;""""))))-1), IF('To Order'!$A372=COLUMNS($A372:F"&amp;"391), F371&amp;RIGHT(INDIRECT(ADDRESS(ROW(F372)-1, 'From Order'!$A372)), 1), F371))"),"HSPVMZDDTDGSBLR")</f>
        <v>HSPVMZDDTDGSBLR</v>
      </c>
      <c r="G372" s="2" t="str">
        <f>IFERROR(__xludf.DUMMYFUNCTION("IF('From Order'!$A372=COLUMNS($A372:G391), LEFT(INDEX(FILTER(G$1:G371, G$1:G371&lt;&gt;""""),COUNTA(FILTER(G$1:G371, G$1:G371&lt;&gt;""""))), LEN(INDEX(FILTER(G$1:G371, G$1:G371&lt;&gt;""""),COUNTA(FILTER(G$1:G371, G$1:G371&lt;&gt;""""))))-1), IF('To Order'!$A372=COLUMNS($A372:G"&amp;"391), G371&amp;RIGHT(INDIRECT(ADDRESS(ROW(G372)-1, 'From Order'!$A372)), 1), G371))"),"LJ")</f>
        <v>LJ</v>
      </c>
      <c r="H372" s="2" t="str">
        <f>IFERROR(__xludf.DUMMYFUNCTION("IF('From Order'!$A372=COLUMNS($A372:H391), LEFT(INDEX(FILTER(H$1:H371, H$1:H371&lt;&gt;""""),COUNTA(FILTER(H$1:H371, H$1:H371&lt;&gt;""""))), LEN(INDEX(FILTER(H$1:H371, H$1:H371&lt;&gt;""""),COUNTA(FILTER(H$1:H371, H$1:H371&lt;&gt;""""))))-1), IF('To Order'!$A372=COLUMNS($A372:H"&amp;"391), H371&amp;RIGHT(INDIRECT(ADDRESS(ROW(H372)-1, 'From Order'!$A372)), 1), H371))"),"WPBZ")</f>
        <v>WPBZ</v>
      </c>
      <c r="I372" s="2" t="str">
        <f>IFERROR(__xludf.DUMMYFUNCTION("IF('From Order'!$A372=COLUMNS($A372:I391), LEFT(INDEX(FILTER(I$1:I371, I$1:I371&lt;&gt;""""),COUNTA(FILTER(I$1:I371, I$1:I371&lt;&gt;""""))), LEN(INDEX(FILTER(I$1:I371, I$1:I371&lt;&gt;""""),COUNTA(FILTER(I$1:I371, I$1:I371&lt;&gt;""""))))-1), IF('To Order'!$A372=COLUMNS($A372:I"&amp;"391), I371&amp;RIGHT(INDIRECT(ADDRESS(ROW(I372)-1, 'From Order'!$A372)), 1), I371))"),"G")</f>
        <v>G</v>
      </c>
    </row>
    <row r="373">
      <c r="A373" s="2" t="str">
        <f>IFERROR(__xludf.DUMMYFUNCTION("IF('From Order'!$A373=COLUMNS($A373:A392), LEFT(INDEX(FILTER(A$1:A372, A$1:A372&lt;&gt;""""),COUNTA(FILTER(A$1:A372, A$1:A372&lt;&gt;""""))), LEN(INDEX(FILTER(A$1:A372, A$1:A372&lt;&gt;""""),COUNTA(FILTER(A$1:A372, A$1:A372&lt;&gt;""""))))-1), IF('To Order'!$A373=COLUMNS($A373:A"&amp;"392), A372&amp;RIGHT(INDIRECT(ADDRESS(ROW(A373)-1, 'From Order'!$A373)), 1), A372))"),"CTFTMQCDTRLDRWTJTVC")</f>
        <v>CTFTMQCDTRLDRWTJTVC</v>
      </c>
      <c r="B373" s="2" t="str">
        <f>IFERROR(__xludf.DUMMYFUNCTION("IF('From Order'!$A373=COLUMNS($A373:B392), LEFT(INDEX(FILTER(B$1:B372, B$1:B372&lt;&gt;""""),COUNTA(FILTER(B$1:B372, B$1:B372&lt;&gt;""""))), LEN(INDEX(FILTER(B$1:B372, B$1:B372&lt;&gt;""""),COUNTA(FILTER(B$1:B372, B$1:B372&lt;&gt;""""))))-1), IF('To Order'!$A373=COLUMNS($A373:B"&amp;"392), B372&amp;RIGHT(INDIRECT(ADDRESS(ROW(B373)-1, 'From Order'!$A373)), 1), B372))"),"JZ")</f>
        <v>JZ</v>
      </c>
      <c r="C373" s="2" t="str">
        <f>IFERROR(__xludf.DUMMYFUNCTION("IF('From Order'!$A373=COLUMNS($A373:C392), LEFT(INDEX(FILTER(C$1:C372, C$1:C372&lt;&gt;""""),COUNTA(FILTER(C$1:C372, C$1:C372&lt;&gt;""""))), LEN(INDEX(FILTER(C$1:C372, C$1:C372&lt;&gt;""""),COUNTA(FILTER(C$1:C372, C$1:C372&lt;&gt;""""))))-1), IF('To Order'!$A373=COLUMNS($A373:C"&amp;"392), C372&amp;RIGHT(INDIRECT(ADDRESS(ROW(C373)-1, 'From Order'!$A373)), 1), C372))"),"SMFBBRQPDS")</f>
        <v>SMFBBRQPDS</v>
      </c>
      <c r="D373" s="2" t="str">
        <f>IFERROR(__xludf.DUMMYFUNCTION("IF('From Order'!$A373=COLUMNS($A373:D392), LEFT(INDEX(FILTER(D$1:D372, D$1:D372&lt;&gt;""""),COUNTA(FILTER(D$1:D372, D$1:D372&lt;&gt;""""))), LEN(INDEX(FILTER(D$1:D372, D$1:D372&lt;&gt;""""),COUNTA(FILTER(D$1:D372, D$1:D372&lt;&gt;""""))))-1), IF('To Order'!$A373=COLUMNS($A373:D"&amp;"392), D372&amp;RIGHT(INDIRECT(ADDRESS(ROW(D373)-1, 'From Order'!$A373)), 1), D372))"),"")</f>
        <v/>
      </c>
      <c r="E373" s="2" t="str">
        <f>IFERROR(__xludf.DUMMYFUNCTION("IF('From Order'!$A373=COLUMNS($A373:E392), LEFT(INDEX(FILTER(E$1:E372, E$1:E372&lt;&gt;""""),COUNTA(FILTER(E$1:E372, E$1:E372&lt;&gt;""""))), LEN(INDEX(FILTER(E$1:E372, E$1:E372&lt;&gt;""""),COUNTA(FILTER(E$1:E372, E$1:E372&lt;&gt;""""))))-1), IF('To Order'!$A373=COLUMNS($A373:E"&amp;"392), E372&amp;RIGHT(INDIRECT(ADDRESS(ROW(E373)-1, 'From Order'!$A373)), 1), E372))"),"HZRV")</f>
        <v>HZRV</v>
      </c>
      <c r="F373" s="2" t="str">
        <f>IFERROR(__xludf.DUMMYFUNCTION("IF('From Order'!$A373=COLUMNS($A373:F392), LEFT(INDEX(FILTER(F$1:F372, F$1:F372&lt;&gt;""""),COUNTA(FILTER(F$1:F372, F$1:F372&lt;&gt;""""))), LEN(INDEX(FILTER(F$1:F372, F$1:F372&lt;&gt;""""),COUNTA(FILTER(F$1:F372, F$1:F372&lt;&gt;""""))))-1), IF('To Order'!$A373=COLUMNS($A373:F"&amp;"392), F372&amp;RIGHT(INDIRECT(ADDRESS(ROW(F373)-1, 'From Order'!$A373)), 1), F372))"),"HSPVMZDDTDGSBLR")</f>
        <v>HSPVMZDDTDGSBLR</v>
      </c>
      <c r="G373" s="2" t="str">
        <f>IFERROR(__xludf.DUMMYFUNCTION("IF('From Order'!$A373=COLUMNS($A373:G392), LEFT(INDEX(FILTER(G$1:G372, G$1:G372&lt;&gt;""""),COUNTA(FILTER(G$1:G372, G$1:G372&lt;&gt;""""))), LEN(INDEX(FILTER(G$1:G372, G$1:G372&lt;&gt;""""),COUNTA(FILTER(G$1:G372, G$1:G372&lt;&gt;""""))))-1), IF('To Order'!$A373=COLUMNS($A373:G"&amp;"392), G372&amp;RIGHT(INDIRECT(ADDRESS(ROW(G373)-1, 'From Order'!$A373)), 1), G372))"),"LJ")</f>
        <v>LJ</v>
      </c>
      <c r="H373" s="2" t="str">
        <f>IFERROR(__xludf.DUMMYFUNCTION("IF('From Order'!$A373=COLUMNS($A373:H392), LEFT(INDEX(FILTER(H$1:H372, H$1:H372&lt;&gt;""""),COUNTA(FILTER(H$1:H372, H$1:H372&lt;&gt;""""))), LEN(INDEX(FILTER(H$1:H372, H$1:H372&lt;&gt;""""),COUNTA(FILTER(H$1:H372, H$1:H372&lt;&gt;""""))))-1), IF('To Order'!$A373=COLUMNS($A373:H"&amp;"392), H372&amp;RIGHT(INDIRECT(ADDRESS(ROW(H373)-1, 'From Order'!$A373)), 1), H372))"),"WPB")</f>
        <v>WPB</v>
      </c>
      <c r="I373" s="2" t="str">
        <f>IFERROR(__xludf.DUMMYFUNCTION("IF('From Order'!$A373=COLUMNS($A373:I392), LEFT(INDEX(FILTER(I$1:I372, I$1:I372&lt;&gt;""""),COUNTA(FILTER(I$1:I372, I$1:I372&lt;&gt;""""))), LEN(INDEX(FILTER(I$1:I372, I$1:I372&lt;&gt;""""),COUNTA(FILTER(I$1:I372, I$1:I372&lt;&gt;""""))))-1), IF('To Order'!$A373=COLUMNS($A373:I"&amp;"392), I372&amp;RIGHT(INDIRECT(ADDRESS(ROW(I373)-1, 'From Order'!$A373)), 1), I372))"),"G")</f>
        <v>G</v>
      </c>
    </row>
    <row r="374">
      <c r="A374" s="2" t="str">
        <f>IFERROR(__xludf.DUMMYFUNCTION("IF('From Order'!$A374=COLUMNS($A374:A393), LEFT(INDEX(FILTER(A$1:A373, A$1:A373&lt;&gt;""""),COUNTA(FILTER(A$1:A373, A$1:A373&lt;&gt;""""))), LEN(INDEX(FILTER(A$1:A373, A$1:A373&lt;&gt;""""),COUNTA(FILTER(A$1:A373, A$1:A373&lt;&gt;""""))))-1), IF('To Order'!$A374=COLUMNS($A374:A"&amp;"393), A373&amp;RIGHT(INDIRECT(ADDRESS(ROW(A374)-1, 'From Order'!$A374)), 1), A373))"),"CTFTMQCDTRLDRWTJTVC")</f>
        <v>CTFTMQCDTRLDRWTJTVC</v>
      </c>
      <c r="B374" s="2" t="str">
        <f>IFERROR(__xludf.DUMMYFUNCTION("IF('From Order'!$A374=COLUMNS($A374:B393), LEFT(INDEX(FILTER(B$1:B373, B$1:B373&lt;&gt;""""),COUNTA(FILTER(B$1:B373, B$1:B373&lt;&gt;""""))), LEN(INDEX(FILTER(B$1:B373, B$1:B373&lt;&gt;""""),COUNTA(FILTER(B$1:B373, B$1:B373&lt;&gt;""""))))-1), IF('To Order'!$A374=COLUMNS($A374:B"&amp;"393), B373&amp;RIGHT(INDIRECT(ADDRESS(ROW(B374)-1, 'From Order'!$A374)), 1), B373))"),"JZR")</f>
        <v>JZR</v>
      </c>
      <c r="C374" s="2" t="str">
        <f>IFERROR(__xludf.DUMMYFUNCTION("IF('From Order'!$A374=COLUMNS($A374:C393), LEFT(INDEX(FILTER(C$1:C373, C$1:C373&lt;&gt;""""),COUNTA(FILTER(C$1:C373, C$1:C373&lt;&gt;""""))), LEN(INDEX(FILTER(C$1:C373, C$1:C373&lt;&gt;""""),COUNTA(FILTER(C$1:C373, C$1:C373&lt;&gt;""""))))-1), IF('To Order'!$A374=COLUMNS($A374:C"&amp;"393), C373&amp;RIGHT(INDIRECT(ADDRESS(ROW(C374)-1, 'From Order'!$A374)), 1), C373))"),"SMFBBRQPDS")</f>
        <v>SMFBBRQPDS</v>
      </c>
      <c r="D374" s="2" t="str">
        <f>IFERROR(__xludf.DUMMYFUNCTION("IF('From Order'!$A374=COLUMNS($A374:D393), LEFT(INDEX(FILTER(D$1:D373, D$1:D373&lt;&gt;""""),COUNTA(FILTER(D$1:D373, D$1:D373&lt;&gt;""""))), LEN(INDEX(FILTER(D$1:D373, D$1:D373&lt;&gt;""""),COUNTA(FILTER(D$1:D373, D$1:D373&lt;&gt;""""))))-1), IF('To Order'!$A374=COLUMNS($A374:D"&amp;"393), D373&amp;RIGHT(INDIRECT(ADDRESS(ROW(D374)-1, 'From Order'!$A374)), 1), D373))"),"")</f>
        <v/>
      </c>
      <c r="E374" s="2" t="str">
        <f>IFERROR(__xludf.DUMMYFUNCTION("IF('From Order'!$A374=COLUMNS($A374:E393), LEFT(INDEX(FILTER(E$1:E373, E$1:E373&lt;&gt;""""),COUNTA(FILTER(E$1:E373, E$1:E373&lt;&gt;""""))), LEN(INDEX(FILTER(E$1:E373, E$1:E373&lt;&gt;""""),COUNTA(FILTER(E$1:E373, E$1:E373&lt;&gt;""""))))-1), IF('To Order'!$A374=COLUMNS($A374:E"&amp;"393), E373&amp;RIGHT(INDIRECT(ADDRESS(ROW(E374)-1, 'From Order'!$A374)), 1), E373))"),"HZRV")</f>
        <v>HZRV</v>
      </c>
      <c r="F374" s="2" t="str">
        <f>IFERROR(__xludf.DUMMYFUNCTION("IF('From Order'!$A374=COLUMNS($A374:F393), LEFT(INDEX(FILTER(F$1:F373, F$1:F373&lt;&gt;""""),COUNTA(FILTER(F$1:F373, F$1:F373&lt;&gt;""""))), LEN(INDEX(FILTER(F$1:F373, F$1:F373&lt;&gt;""""),COUNTA(FILTER(F$1:F373, F$1:F373&lt;&gt;""""))))-1), IF('To Order'!$A374=COLUMNS($A374:F"&amp;"393), F373&amp;RIGHT(INDIRECT(ADDRESS(ROW(F374)-1, 'From Order'!$A374)), 1), F373))"),"HSPVMZDDTDGSBL")</f>
        <v>HSPVMZDDTDGSBL</v>
      </c>
      <c r="G374" s="2" t="str">
        <f>IFERROR(__xludf.DUMMYFUNCTION("IF('From Order'!$A374=COLUMNS($A374:G393), LEFT(INDEX(FILTER(G$1:G373, G$1:G373&lt;&gt;""""),COUNTA(FILTER(G$1:G373, G$1:G373&lt;&gt;""""))), LEN(INDEX(FILTER(G$1:G373, G$1:G373&lt;&gt;""""),COUNTA(FILTER(G$1:G373, G$1:G373&lt;&gt;""""))))-1), IF('To Order'!$A374=COLUMNS($A374:G"&amp;"393), G373&amp;RIGHT(INDIRECT(ADDRESS(ROW(G374)-1, 'From Order'!$A374)), 1), G373))"),"LJ")</f>
        <v>LJ</v>
      </c>
      <c r="H374" s="2" t="str">
        <f>IFERROR(__xludf.DUMMYFUNCTION("IF('From Order'!$A374=COLUMNS($A374:H393), LEFT(INDEX(FILTER(H$1:H373, H$1:H373&lt;&gt;""""),COUNTA(FILTER(H$1:H373, H$1:H373&lt;&gt;""""))), LEN(INDEX(FILTER(H$1:H373, H$1:H373&lt;&gt;""""),COUNTA(FILTER(H$1:H373, H$1:H373&lt;&gt;""""))))-1), IF('To Order'!$A374=COLUMNS($A374:H"&amp;"393), H373&amp;RIGHT(INDIRECT(ADDRESS(ROW(H374)-1, 'From Order'!$A374)), 1), H373))"),"WPB")</f>
        <v>WPB</v>
      </c>
      <c r="I374" s="2" t="str">
        <f>IFERROR(__xludf.DUMMYFUNCTION("IF('From Order'!$A374=COLUMNS($A374:I393), LEFT(INDEX(FILTER(I$1:I373, I$1:I373&lt;&gt;""""),COUNTA(FILTER(I$1:I373, I$1:I373&lt;&gt;""""))), LEN(INDEX(FILTER(I$1:I373, I$1:I373&lt;&gt;""""),COUNTA(FILTER(I$1:I373, I$1:I373&lt;&gt;""""))))-1), IF('To Order'!$A374=COLUMNS($A374:I"&amp;"393), I373&amp;RIGHT(INDIRECT(ADDRESS(ROW(I374)-1, 'From Order'!$A374)), 1), I373))"),"G")</f>
        <v>G</v>
      </c>
    </row>
    <row r="375">
      <c r="A375" s="2" t="str">
        <f>IFERROR(__xludf.DUMMYFUNCTION("IF('From Order'!$A375=COLUMNS($A375:A394), LEFT(INDEX(FILTER(A$1:A374, A$1:A374&lt;&gt;""""),COUNTA(FILTER(A$1:A374, A$1:A374&lt;&gt;""""))), LEN(INDEX(FILTER(A$1:A374, A$1:A374&lt;&gt;""""),COUNTA(FILTER(A$1:A374, A$1:A374&lt;&gt;""""))))-1), IF('To Order'!$A375=COLUMNS($A375:A"&amp;"394), A374&amp;RIGHT(INDIRECT(ADDRESS(ROW(A375)-1, 'From Order'!$A375)), 1), A374))"),"CTFTMQCDTRLDRWTJTVC")</f>
        <v>CTFTMQCDTRLDRWTJTVC</v>
      </c>
      <c r="B375" s="2" t="str">
        <f>IFERROR(__xludf.DUMMYFUNCTION("IF('From Order'!$A375=COLUMNS($A375:B394), LEFT(INDEX(FILTER(B$1:B374, B$1:B374&lt;&gt;""""),COUNTA(FILTER(B$1:B374, B$1:B374&lt;&gt;""""))), LEN(INDEX(FILTER(B$1:B374, B$1:B374&lt;&gt;""""),COUNTA(FILTER(B$1:B374, B$1:B374&lt;&gt;""""))))-1), IF('To Order'!$A375=COLUMNS($A375:B"&amp;"394), B374&amp;RIGHT(INDIRECT(ADDRESS(ROW(B375)-1, 'From Order'!$A375)), 1), B374))"),"JZRL")</f>
        <v>JZRL</v>
      </c>
      <c r="C375" s="2" t="str">
        <f>IFERROR(__xludf.DUMMYFUNCTION("IF('From Order'!$A375=COLUMNS($A375:C394), LEFT(INDEX(FILTER(C$1:C374, C$1:C374&lt;&gt;""""),COUNTA(FILTER(C$1:C374, C$1:C374&lt;&gt;""""))), LEN(INDEX(FILTER(C$1:C374, C$1:C374&lt;&gt;""""),COUNTA(FILTER(C$1:C374, C$1:C374&lt;&gt;""""))))-1), IF('To Order'!$A375=COLUMNS($A375:C"&amp;"394), C374&amp;RIGHT(INDIRECT(ADDRESS(ROW(C375)-1, 'From Order'!$A375)), 1), C374))"),"SMFBBRQPDS")</f>
        <v>SMFBBRQPDS</v>
      </c>
      <c r="D375" s="2" t="str">
        <f>IFERROR(__xludf.DUMMYFUNCTION("IF('From Order'!$A375=COLUMNS($A375:D394), LEFT(INDEX(FILTER(D$1:D374, D$1:D374&lt;&gt;""""),COUNTA(FILTER(D$1:D374, D$1:D374&lt;&gt;""""))), LEN(INDEX(FILTER(D$1:D374, D$1:D374&lt;&gt;""""),COUNTA(FILTER(D$1:D374, D$1:D374&lt;&gt;""""))))-1), IF('To Order'!$A375=COLUMNS($A375:D"&amp;"394), D374&amp;RIGHT(INDIRECT(ADDRESS(ROW(D375)-1, 'From Order'!$A375)), 1), D374))"),"")</f>
        <v/>
      </c>
      <c r="E375" s="2" t="str">
        <f>IFERROR(__xludf.DUMMYFUNCTION("IF('From Order'!$A375=COLUMNS($A375:E394), LEFT(INDEX(FILTER(E$1:E374, E$1:E374&lt;&gt;""""),COUNTA(FILTER(E$1:E374, E$1:E374&lt;&gt;""""))), LEN(INDEX(FILTER(E$1:E374, E$1:E374&lt;&gt;""""),COUNTA(FILTER(E$1:E374, E$1:E374&lt;&gt;""""))))-1), IF('To Order'!$A375=COLUMNS($A375:E"&amp;"394), E374&amp;RIGHT(INDIRECT(ADDRESS(ROW(E375)-1, 'From Order'!$A375)), 1), E374))"),"HZRV")</f>
        <v>HZRV</v>
      </c>
      <c r="F375" s="2" t="str">
        <f>IFERROR(__xludf.DUMMYFUNCTION("IF('From Order'!$A375=COLUMNS($A375:F394), LEFT(INDEX(FILTER(F$1:F374, F$1:F374&lt;&gt;""""),COUNTA(FILTER(F$1:F374, F$1:F374&lt;&gt;""""))), LEN(INDEX(FILTER(F$1:F374, F$1:F374&lt;&gt;""""),COUNTA(FILTER(F$1:F374, F$1:F374&lt;&gt;""""))))-1), IF('To Order'!$A375=COLUMNS($A375:F"&amp;"394), F374&amp;RIGHT(INDIRECT(ADDRESS(ROW(F375)-1, 'From Order'!$A375)), 1), F374))"),"HSPVMZDDTDGSB")</f>
        <v>HSPVMZDDTDGSB</v>
      </c>
      <c r="G375" s="2" t="str">
        <f>IFERROR(__xludf.DUMMYFUNCTION("IF('From Order'!$A375=COLUMNS($A375:G394), LEFT(INDEX(FILTER(G$1:G374, G$1:G374&lt;&gt;""""),COUNTA(FILTER(G$1:G374, G$1:G374&lt;&gt;""""))), LEN(INDEX(FILTER(G$1:G374, G$1:G374&lt;&gt;""""),COUNTA(FILTER(G$1:G374, G$1:G374&lt;&gt;""""))))-1), IF('To Order'!$A375=COLUMNS($A375:G"&amp;"394), G374&amp;RIGHT(INDIRECT(ADDRESS(ROW(G375)-1, 'From Order'!$A375)), 1), G374))"),"LJ")</f>
        <v>LJ</v>
      </c>
      <c r="H375" s="2" t="str">
        <f>IFERROR(__xludf.DUMMYFUNCTION("IF('From Order'!$A375=COLUMNS($A375:H394), LEFT(INDEX(FILTER(H$1:H374, H$1:H374&lt;&gt;""""),COUNTA(FILTER(H$1:H374, H$1:H374&lt;&gt;""""))), LEN(INDEX(FILTER(H$1:H374, H$1:H374&lt;&gt;""""),COUNTA(FILTER(H$1:H374, H$1:H374&lt;&gt;""""))))-1), IF('To Order'!$A375=COLUMNS($A375:H"&amp;"394), H374&amp;RIGHT(INDIRECT(ADDRESS(ROW(H375)-1, 'From Order'!$A375)), 1), H374))"),"WPB")</f>
        <v>WPB</v>
      </c>
      <c r="I375" s="2" t="str">
        <f>IFERROR(__xludf.DUMMYFUNCTION("IF('From Order'!$A375=COLUMNS($A375:I394), LEFT(INDEX(FILTER(I$1:I374, I$1:I374&lt;&gt;""""),COUNTA(FILTER(I$1:I374, I$1:I374&lt;&gt;""""))), LEN(INDEX(FILTER(I$1:I374, I$1:I374&lt;&gt;""""),COUNTA(FILTER(I$1:I374, I$1:I374&lt;&gt;""""))))-1), IF('To Order'!$A375=COLUMNS($A375:I"&amp;"394), I374&amp;RIGHT(INDIRECT(ADDRESS(ROW(I375)-1, 'From Order'!$A375)), 1), I374))"),"G")</f>
        <v>G</v>
      </c>
    </row>
    <row r="376">
      <c r="A376" s="2" t="str">
        <f>IFERROR(__xludf.DUMMYFUNCTION("IF('From Order'!$A376=COLUMNS($A376:A395), LEFT(INDEX(FILTER(A$1:A375, A$1:A375&lt;&gt;""""),COUNTA(FILTER(A$1:A375, A$1:A375&lt;&gt;""""))), LEN(INDEX(FILTER(A$1:A375, A$1:A375&lt;&gt;""""),COUNTA(FILTER(A$1:A375, A$1:A375&lt;&gt;""""))))-1), IF('To Order'!$A376=COLUMNS($A376:A"&amp;"395), A375&amp;RIGHT(INDIRECT(ADDRESS(ROW(A376)-1, 'From Order'!$A376)), 1), A375))"),"CTFTMQCDTRLDRWTJTVC")</f>
        <v>CTFTMQCDTRLDRWTJTVC</v>
      </c>
      <c r="B376" s="2" t="str">
        <f>IFERROR(__xludf.DUMMYFUNCTION("IF('From Order'!$A376=COLUMNS($A376:B395), LEFT(INDEX(FILTER(B$1:B375, B$1:B375&lt;&gt;""""),COUNTA(FILTER(B$1:B375, B$1:B375&lt;&gt;""""))), LEN(INDEX(FILTER(B$1:B375, B$1:B375&lt;&gt;""""),COUNTA(FILTER(B$1:B375, B$1:B375&lt;&gt;""""))))-1), IF('To Order'!$A376=COLUMNS($A376:B"&amp;"395), B375&amp;RIGHT(INDIRECT(ADDRESS(ROW(B376)-1, 'From Order'!$A376)), 1), B375))"),"JZRLB")</f>
        <v>JZRLB</v>
      </c>
      <c r="C376" s="2" t="str">
        <f>IFERROR(__xludf.DUMMYFUNCTION("IF('From Order'!$A376=COLUMNS($A376:C395), LEFT(INDEX(FILTER(C$1:C375, C$1:C375&lt;&gt;""""),COUNTA(FILTER(C$1:C375, C$1:C375&lt;&gt;""""))), LEN(INDEX(FILTER(C$1:C375, C$1:C375&lt;&gt;""""),COUNTA(FILTER(C$1:C375, C$1:C375&lt;&gt;""""))))-1), IF('To Order'!$A376=COLUMNS($A376:C"&amp;"395), C375&amp;RIGHT(INDIRECT(ADDRESS(ROW(C376)-1, 'From Order'!$A376)), 1), C375))"),"SMFBBRQPDS")</f>
        <v>SMFBBRQPDS</v>
      </c>
      <c r="D376" s="2" t="str">
        <f>IFERROR(__xludf.DUMMYFUNCTION("IF('From Order'!$A376=COLUMNS($A376:D395), LEFT(INDEX(FILTER(D$1:D375, D$1:D375&lt;&gt;""""),COUNTA(FILTER(D$1:D375, D$1:D375&lt;&gt;""""))), LEN(INDEX(FILTER(D$1:D375, D$1:D375&lt;&gt;""""),COUNTA(FILTER(D$1:D375, D$1:D375&lt;&gt;""""))))-1), IF('To Order'!$A376=COLUMNS($A376:D"&amp;"395), D375&amp;RIGHT(INDIRECT(ADDRESS(ROW(D376)-1, 'From Order'!$A376)), 1), D375))"),"")</f>
        <v/>
      </c>
      <c r="E376" s="2" t="str">
        <f>IFERROR(__xludf.DUMMYFUNCTION("IF('From Order'!$A376=COLUMNS($A376:E395), LEFT(INDEX(FILTER(E$1:E375, E$1:E375&lt;&gt;""""),COUNTA(FILTER(E$1:E375, E$1:E375&lt;&gt;""""))), LEN(INDEX(FILTER(E$1:E375, E$1:E375&lt;&gt;""""),COUNTA(FILTER(E$1:E375, E$1:E375&lt;&gt;""""))))-1), IF('To Order'!$A376=COLUMNS($A376:E"&amp;"395), E375&amp;RIGHT(INDIRECT(ADDRESS(ROW(E376)-1, 'From Order'!$A376)), 1), E375))"),"HZRV")</f>
        <v>HZRV</v>
      </c>
      <c r="F376" s="2" t="str">
        <f>IFERROR(__xludf.DUMMYFUNCTION("IF('From Order'!$A376=COLUMNS($A376:F395), LEFT(INDEX(FILTER(F$1:F375, F$1:F375&lt;&gt;""""),COUNTA(FILTER(F$1:F375, F$1:F375&lt;&gt;""""))), LEN(INDEX(FILTER(F$1:F375, F$1:F375&lt;&gt;""""),COUNTA(FILTER(F$1:F375, F$1:F375&lt;&gt;""""))))-1), IF('To Order'!$A376=COLUMNS($A376:F"&amp;"395), F375&amp;RIGHT(INDIRECT(ADDRESS(ROW(F376)-1, 'From Order'!$A376)), 1), F375))"),"HSPVMZDDTDGS")</f>
        <v>HSPVMZDDTDGS</v>
      </c>
      <c r="G376" s="2" t="str">
        <f>IFERROR(__xludf.DUMMYFUNCTION("IF('From Order'!$A376=COLUMNS($A376:G395), LEFT(INDEX(FILTER(G$1:G375, G$1:G375&lt;&gt;""""),COUNTA(FILTER(G$1:G375, G$1:G375&lt;&gt;""""))), LEN(INDEX(FILTER(G$1:G375, G$1:G375&lt;&gt;""""),COUNTA(FILTER(G$1:G375, G$1:G375&lt;&gt;""""))))-1), IF('To Order'!$A376=COLUMNS($A376:G"&amp;"395), G375&amp;RIGHT(INDIRECT(ADDRESS(ROW(G376)-1, 'From Order'!$A376)), 1), G375))"),"LJ")</f>
        <v>LJ</v>
      </c>
      <c r="H376" s="2" t="str">
        <f>IFERROR(__xludf.DUMMYFUNCTION("IF('From Order'!$A376=COLUMNS($A376:H395), LEFT(INDEX(FILTER(H$1:H375, H$1:H375&lt;&gt;""""),COUNTA(FILTER(H$1:H375, H$1:H375&lt;&gt;""""))), LEN(INDEX(FILTER(H$1:H375, H$1:H375&lt;&gt;""""),COUNTA(FILTER(H$1:H375, H$1:H375&lt;&gt;""""))))-1), IF('To Order'!$A376=COLUMNS($A376:H"&amp;"395), H375&amp;RIGHT(INDIRECT(ADDRESS(ROW(H376)-1, 'From Order'!$A376)), 1), H375))"),"WPB")</f>
        <v>WPB</v>
      </c>
      <c r="I376" s="2" t="str">
        <f>IFERROR(__xludf.DUMMYFUNCTION("IF('From Order'!$A376=COLUMNS($A376:I395), LEFT(INDEX(FILTER(I$1:I375, I$1:I375&lt;&gt;""""),COUNTA(FILTER(I$1:I375, I$1:I375&lt;&gt;""""))), LEN(INDEX(FILTER(I$1:I375, I$1:I375&lt;&gt;""""),COUNTA(FILTER(I$1:I375, I$1:I375&lt;&gt;""""))))-1), IF('To Order'!$A376=COLUMNS($A376:I"&amp;"395), I375&amp;RIGHT(INDIRECT(ADDRESS(ROW(I376)-1, 'From Order'!$A376)), 1), I375))"),"G")</f>
        <v>G</v>
      </c>
    </row>
    <row r="377">
      <c r="A377" s="2" t="str">
        <f>IFERROR(__xludf.DUMMYFUNCTION("IF('From Order'!$A377=COLUMNS($A377:A396), LEFT(INDEX(FILTER(A$1:A376, A$1:A376&lt;&gt;""""),COUNTA(FILTER(A$1:A376, A$1:A376&lt;&gt;""""))), LEN(INDEX(FILTER(A$1:A376, A$1:A376&lt;&gt;""""),COUNTA(FILTER(A$1:A376, A$1:A376&lt;&gt;""""))))-1), IF('To Order'!$A377=COLUMNS($A377:A"&amp;"396), A376&amp;RIGHT(INDIRECT(ADDRESS(ROW(A377)-1, 'From Order'!$A377)), 1), A376))"),"CTFTMQCDTRLDRWTJTVC")</f>
        <v>CTFTMQCDTRLDRWTJTVC</v>
      </c>
      <c r="B377" s="2" t="str">
        <f>IFERROR(__xludf.DUMMYFUNCTION("IF('From Order'!$A377=COLUMNS($A377:B396), LEFT(INDEX(FILTER(B$1:B376, B$1:B376&lt;&gt;""""),COUNTA(FILTER(B$1:B376, B$1:B376&lt;&gt;""""))), LEN(INDEX(FILTER(B$1:B376, B$1:B376&lt;&gt;""""),COUNTA(FILTER(B$1:B376, B$1:B376&lt;&gt;""""))))-1), IF('To Order'!$A377=COLUMNS($A377:B"&amp;"396), B376&amp;RIGHT(INDIRECT(ADDRESS(ROW(B377)-1, 'From Order'!$A377)), 1), B376))"),"JZRLBS")</f>
        <v>JZRLBS</v>
      </c>
      <c r="C377" s="2" t="str">
        <f>IFERROR(__xludf.DUMMYFUNCTION("IF('From Order'!$A377=COLUMNS($A377:C396), LEFT(INDEX(FILTER(C$1:C376, C$1:C376&lt;&gt;""""),COUNTA(FILTER(C$1:C376, C$1:C376&lt;&gt;""""))), LEN(INDEX(FILTER(C$1:C376, C$1:C376&lt;&gt;""""),COUNTA(FILTER(C$1:C376, C$1:C376&lt;&gt;""""))))-1), IF('To Order'!$A377=COLUMNS($A377:C"&amp;"396), C376&amp;RIGHT(INDIRECT(ADDRESS(ROW(C377)-1, 'From Order'!$A377)), 1), C376))"),"SMFBBRQPDS")</f>
        <v>SMFBBRQPDS</v>
      </c>
      <c r="D377" s="2" t="str">
        <f>IFERROR(__xludf.DUMMYFUNCTION("IF('From Order'!$A377=COLUMNS($A377:D396), LEFT(INDEX(FILTER(D$1:D376, D$1:D376&lt;&gt;""""),COUNTA(FILTER(D$1:D376, D$1:D376&lt;&gt;""""))), LEN(INDEX(FILTER(D$1:D376, D$1:D376&lt;&gt;""""),COUNTA(FILTER(D$1:D376, D$1:D376&lt;&gt;""""))))-1), IF('To Order'!$A377=COLUMNS($A377:D"&amp;"396), D376&amp;RIGHT(INDIRECT(ADDRESS(ROW(D377)-1, 'From Order'!$A377)), 1), D376))"),"")</f>
        <v/>
      </c>
      <c r="E377" s="2" t="str">
        <f>IFERROR(__xludf.DUMMYFUNCTION("IF('From Order'!$A377=COLUMNS($A377:E396), LEFT(INDEX(FILTER(E$1:E376, E$1:E376&lt;&gt;""""),COUNTA(FILTER(E$1:E376, E$1:E376&lt;&gt;""""))), LEN(INDEX(FILTER(E$1:E376, E$1:E376&lt;&gt;""""),COUNTA(FILTER(E$1:E376, E$1:E376&lt;&gt;""""))))-1), IF('To Order'!$A377=COLUMNS($A377:E"&amp;"396), E376&amp;RIGHT(INDIRECT(ADDRESS(ROW(E377)-1, 'From Order'!$A377)), 1), E376))"),"HZRV")</f>
        <v>HZRV</v>
      </c>
      <c r="F377" s="2" t="str">
        <f>IFERROR(__xludf.DUMMYFUNCTION("IF('From Order'!$A377=COLUMNS($A377:F396), LEFT(INDEX(FILTER(F$1:F376, F$1:F376&lt;&gt;""""),COUNTA(FILTER(F$1:F376, F$1:F376&lt;&gt;""""))), LEN(INDEX(FILTER(F$1:F376, F$1:F376&lt;&gt;""""),COUNTA(FILTER(F$1:F376, F$1:F376&lt;&gt;""""))))-1), IF('To Order'!$A377=COLUMNS($A377:F"&amp;"396), F376&amp;RIGHT(INDIRECT(ADDRESS(ROW(F377)-1, 'From Order'!$A377)), 1), F376))"),"HSPVMZDDTDG")</f>
        <v>HSPVMZDDTDG</v>
      </c>
      <c r="G377" s="2" t="str">
        <f>IFERROR(__xludf.DUMMYFUNCTION("IF('From Order'!$A377=COLUMNS($A377:G396), LEFT(INDEX(FILTER(G$1:G376, G$1:G376&lt;&gt;""""),COUNTA(FILTER(G$1:G376, G$1:G376&lt;&gt;""""))), LEN(INDEX(FILTER(G$1:G376, G$1:G376&lt;&gt;""""),COUNTA(FILTER(G$1:G376, G$1:G376&lt;&gt;""""))))-1), IF('To Order'!$A377=COLUMNS($A377:G"&amp;"396), G376&amp;RIGHT(INDIRECT(ADDRESS(ROW(G377)-1, 'From Order'!$A377)), 1), G376))"),"LJ")</f>
        <v>LJ</v>
      </c>
      <c r="H377" s="2" t="str">
        <f>IFERROR(__xludf.DUMMYFUNCTION("IF('From Order'!$A377=COLUMNS($A377:H396), LEFT(INDEX(FILTER(H$1:H376, H$1:H376&lt;&gt;""""),COUNTA(FILTER(H$1:H376, H$1:H376&lt;&gt;""""))), LEN(INDEX(FILTER(H$1:H376, H$1:H376&lt;&gt;""""),COUNTA(FILTER(H$1:H376, H$1:H376&lt;&gt;""""))))-1), IF('To Order'!$A377=COLUMNS($A377:H"&amp;"396), H376&amp;RIGHT(INDIRECT(ADDRESS(ROW(H377)-1, 'From Order'!$A377)), 1), H376))"),"WPB")</f>
        <v>WPB</v>
      </c>
      <c r="I377" s="2" t="str">
        <f>IFERROR(__xludf.DUMMYFUNCTION("IF('From Order'!$A377=COLUMNS($A377:I396), LEFT(INDEX(FILTER(I$1:I376, I$1:I376&lt;&gt;""""),COUNTA(FILTER(I$1:I376, I$1:I376&lt;&gt;""""))), LEN(INDEX(FILTER(I$1:I376, I$1:I376&lt;&gt;""""),COUNTA(FILTER(I$1:I376, I$1:I376&lt;&gt;""""))))-1), IF('To Order'!$A377=COLUMNS($A377:I"&amp;"396), I376&amp;RIGHT(INDIRECT(ADDRESS(ROW(I377)-1, 'From Order'!$A377)), 1), I376))"),"G")</f>
        <v>G</v>
      </c>
    </row>
    <row r="378">
      <c r="A378" s="2" t="str">
        <f>IFERROR(__xludf.DUMMYFUNCTION("IF('From Order'!$A378=COLUMNS($A378:A397), LEFT(INDEX(FILTER(A$1:A377, A$1:A377&lt;&gt;""""),COUNTA(FILTER(A$1:A377, A$1:A377&lt;&gt;""""))), LEN(INDEX(FILTER(A$1:A377, A$1:A377&lt;&gt;""""),COUNTA(FILTER(A$1:A377, A$1:A377&lt;&gt;""""))))-1), IF('To Order'!$A378=COLUMNS($A378:A"&amp;"397), A377&amp;RIGHT(INDIRECT(ADDRESS(ROW(A378)-1, 'From Order'!$A378)), 1), A377))"),"CTFTMQCDTRLDRWTJTVC")</f>
        <v>CTFTMQCDTRLDRWTJTVC</v>
      </c>
      <c r="B378" s="2" t="str">
        <f>IFERROR(__xludf.DUMMYFUNCTION("IF('From Order'!$A378=COLUMNS($A378:B397), LEFT(INDEX(FILTER(B$1:B377, B$1:B377&lt;&gt;""""),COUNTA(FILTER(B$1:B377, B$1:B377&lt;&gt;""""))), LEN(INDEX(FILTER(B$1:B377, B$1:B377&lt;&gt;""""),COUNTA(FILTER(B$1:B377, B$1:B377&lt;&gt;""""))))-1), IF('To Order'!$A378=COLUMNS($A378:B"&amp;"397), B377&amp;RIGHT(INDIRECT(ADDRESS(ROW(B378)-1, 'From Order'!$A378)), 1), B377))"),"JZRLBSG")</f>
        <v>JZRLBSG</v>
      </c>
      <c r="C378" s="2" t="str">
        <f>IFERROR(__xludf.DUMMYFUNCTION("IF('From Order'!$A378=COLUMNS($A378:C397), LEFT(INDEX(FILTER(C$1:C377, C$1:C377&lt;&gt;""""),COUNTA(FILTER(C$1:C377, C$1:C377&lt;&gt;""""))), LEN(INDEX(FILTER(C$1:C377, C$1:C377&lt;&gt;""""),COUNTA(FILTER(C$1:C377, C$1:C377&lt;&gt;""""))))-1), IF('To Order'!$A378=COLUMNS($A378:C"&amp;"397), C377&amp;RIGHT(INDIRECT(ADDRESS(ROW(C378)-1, 'From Order'!$A378)), 1), C377))"),"SMFBBRQPDS")</f>
        <v>SMFBBRQPDS</v>
      </c>
      <c r="D378" s="2" t="str">
        <f>IFERROR(__xludf.DUMMYFUNCTION("IF('From Order'!$A378=COLUMNS($A378:D397), LEFT(INDEX(FILTER(D$1:D377, D$1:D377&lt;&gt;""""),COUNTA(FILTER(D$1:D377, D$1:D377&lt;&gt;""""))), LEN(INDEX(FILTER(D$1:D377, D$1:D377&lt;&gt;""""),COUNTA(FILTER(D$1:D377, D$1:D377&lt;&gt;""""))))-1), IF('To Order'!$A378=COLUMNS($A378:D"&amp;"397), D377&amp;RIGHT(INDIRECT(ADDRESS(ROW(D378)-1, 'From Order'!$A378)), 1), D377))"),"")</f>
        <v/>
      </c>
      <c r="E378" s="2" t="str">
        <f>IFERROR(__xludf.DUMMYFUNCTION("IF('From Order'!$A378=COLUMNS($A378:E397), LEFT(INDEX(FILTER(E$1:E377, E$1:E377&lt;&gt;""""),COUNTA(FILTER(E$1:E377, E$1:E377&lt;&gt;""""))), LEN(INDEX(FILTER(E$1:E377, E$1:E377&lt;&gt;""""),COUNTA(FILTER(E$1:E377, E$1:E377&lt;&gt;""""))))-1), IF('To Order'!$A378=COLUMNS($A378:E"&amp;"397), E377&amp;RIGHT(INDIRECT(ADDRESS(ROW(E378)-1, 'From Order'!$A378)), 1), E377))"),"HZRV")</f>
        <v>HZRV</v>
      </c>
      <c r="F378" s="2" t="str">
        <f>IFERROR(__xludf.DUMMYFUNCTION("IF('From Order'!$A378=COLUMNS($A378:F397), LEFT(INDEX(FILTER(F$1:F377, F$1:F377&lt;&gt;""""),COUNTA(FILTER(F$1:F377, F$1:F377&lt;&gt;""""))), LEN(INDEX(FILTER(F$1:F377, F$1:F377&lt;&gt;""""),COUNTA(FILTER(F$1:F377, F$1:F377&lt;&gt;""""))))-1), IF('To Order'!$A378=COLUMNS($A378:F"&amp;"397), F377&amp;RIGHT(INDIRECT(ADDRESS(ROW(F378)-1, 'From Order'!$A378)), 1), F377))"),"HSPVMZDDTD")</f>
        <v>HSPVMZDDTD</v>
      </c>
      <c r="G378" s="2" t="str">
        <f>IFERROR(__xludf.DUMMYFUNCTION("IF('From Order'!$A378=COLUMNS($A378:G397), LEFT(INDEX(FILTER(G$1:G377, G$1:G377&lt;&gt;""""),COUNTA(FILTER(G$1:G377, G$1:G377&lt;&gt;""""))), LEN(INDEX(FILTER(G$1:G377, G$1:G377&lt;&gt;""""),COUNTA(FILTER(G$1:G377, G$1:G377&lt;&gt;""""))))-1), IF('To Order'!$A378=COLUMNS($A378:G"&amp;"397), G377&amp;RIGHT(INDIRECT(ADDRESS(ROW(G378)-1, 'From Order'!$A378)), 1), G377))"),"LJ")</f>
        <v>LJ</v>
      </c>
      <c r="H378" s="2" t="str">
        <f>IFERROR(__xludf.DUMMYFUNCTION("IF('From Order'!$A378=COLUMNS($A378:H397), LEFT(INDEX(FILTER(H$1:H377, H$1:H377&lt;&gt;""""),COUNTA(FILTER(H$1:H377, H$1:H377&lt;&gt;""""))), LEN(INDEX(FILTER(H$1:H377, H$1:H377&lt;&gt;""""),COUNTA(FILTER(H$1:H377, H$1:H377&lt;&gt;""""))))-1), IF('To Order'!$A378=COLUMNS($A378:H"&amp;"397), H377&amp;RIGHT(INDIRECT(ADDRESS(ROW(H378)-1, 'From Order'!$A378)), 1), H377))"),"WPB")</f>
        <v>WPB</v>
      </c>
      <c r="I378" s="2" t="str">
        <f>IFERROR(__xludf.DUMMYFUNCTION("IF('From Order'!$A378=COLUMNS($A378:I397), LEFT(INDEX(FILTER(I$1:I377, I$1:I377&lt;&gt;""""),COUNTA(FILTER(I$1:I377, I$1:I377&lt;&gt;""""))), LEN(INDEX(FILTER(I$1:I377, I$1:I377&lt;&gt;""""),COUNTA(FILTER(I$1:I377, I$1:I377&lt;&gt;""""))))-1), IF('To Order'!$A378=COLUMNS($A378:I"&amp;"397), I377&amp;RIGHT(INDIRECT(ADDRESS(ROW(I378)-1, 'From Order'!$A378)), 1), I377))"),"G")</f>
        <v>G</v>
      </c>
    </row>
    <row r="379">
      <c r="A379" s="2" t="str">
        <f>IFERROR(__xludf.DUMMYFUNCTION("IF('From Order'!$A379=COLUMNS($A379:A398), LEFT(INDEX(FILTER(A$1:A378, A$1:A378&lt;&gt;""""),COUNTA(FILTER(A$1:A378, A$1:A378&lt;&gt;""""))), LEN(INDEX(FILTER(A$1:A378, A$1:A378&lt;&gt;""""),COUNTA(FILTER(A$1:A378, A$1:A378&lt;&gt;""""))))-1), IF('To Order'!$A379=COLUMNS($A379:A"&amp;"398), A378&amp;RIGHT(INDIRECT(ADDRESS(ROW(A379)-1, 'From Order'!$A379)), 1), A378))"),"CTFTMQCDTRLDRWTJTVC")</f>
        <v>CTFTMQCDTRLDRWTJTVC</v>
      </c>
      <c r="B379" s="2" t="str">
        <f>IFERROR(__xludf.DUMMYFUNCTION("IF('From Order'!$A379=COLUMNS($A379:B398), LEFT(INDEX(FILTER(B$1:B378, B$1:B378&lt;&gt;""""),COUNTA(FILTER(B$1:B378, B$1:B378&lt;&gt;""""))), LEN(INDEX(FILTER(B$1:B378, B$1:B378&lt;&gt;""""),COUNTA(FILTER(B$1:B378, B$1:B378&lt;&gt;""""))))-1), IF('To Order'!$A379=COLUMNS($A379:B"&amp;"398), B378&amp;RIGHT(INDIRECT(ADDRESS(ROW(B379)-1, 'From Order'!$A379)), 1), B378))"),"JZRLBSGD")</f>
        <v>JZRLBSGD</v>
      </c>
      <c r="C379" s="2" t="str">
        <f>IFERROR(__xludf.DUMMYFUNCTION("IF('From Order'!$A379=COLUMNS($A379:C398), LEFT(INDEX(FILTER(C$1:C378, C$1:C378&lt;&gt;""""),COUNTA(FILTER(C$1:C378, C$1:C378&lt;&gt;""""))), LEN(INDEX(FILTER(C$1:C378, C$1:C378&lt;&gt;""""),COUNTA(FILTER(C$1:C378, C$1:C378&lt;&gt;""""))))-1), IF('To Order'!$A379=COLUMNS($A379:C"&amp;"398), C378&amp;RIGHT(INDIRECT(ADDRESS(ROW(C379)-1, 'From Order'!$A379)), 1), C378))"),"SMFBBRQPDS")</f>
        <v>SMFBBRQPDS</v>
      </c>
      <c r="D379" s="2" t="str">
        <f>IFERROR(__xludf.DUMMYFUNCTION("IF('From Order'!$A379=COLUMNS($A379:D398), LEFT(INDEX(FILTER(D$1:D378, D$1:D378&lt;&gt;""""),COUNTA(FILTER(D$1:D378, D$1:D378&lt;&gt;""""))), LEN(INDEX(FILTER(D$1:D378, D$1:D378&lt;&gt;""""),COUNTA(FILTER(D$1:D378, D$1:D378&lt;&gt;""""))))-1), IF('To Order'!$A379=COLUMNS($A379:D"&amp;"398), D378&amp;RIGHT(INDIRECT(ADDRESS(ROW(D379)-1, 'From Order'!$A379)), 1), D378))"),"")</f>
        <v/>
      </c>
      <c r="E379" s="2" t="str">
        <f>IFERROR(__xludf.DUMMYFUNCTION("IF('From Order'!$A379=COLUMNS($A379:E398), LEFT(INDEX(FILTER(E$1:E378, E$1:E378&lt;&gt;""""),COUNTA(FILTER(E$1:E378, E$1:E378&lt;&gt;""""))), LEN(INDEX(FILTER(E$1:E378, E$1:E378&lt;&gt;""""),COUNTA(FILTER(E$1:E378, E$1:E378&lt;&gt;""""))))-1), IF('To Order'!$A379=COLUMNS($A379:E"&amp;"398), E378&amp;RIGHT(INDIRECT(ADDRESS(ROW(E379)-1, 'From Order'!$A379)), 1), E378))"),"HZRV")</f>
        <v>HZRV</v>
      </c>
      <c r="F379" s="2" t="str">
        <f>IFERROR(__xludf.DUMMYFUNCTION("IF('From Order'!$A379=COLUMNS($A379:F398), LEFT(INDEX(FILTER(F$1:F378, F$1:F378&lt;&gt;""""),COUNTA(FILTER(F$1:F378, F$1:F378&lt;&gt;""""))), LEN(INDEX(FILTER(F$1:F378, F$1:F378&lt;&gt;""""),COUNTA(FILTER(F$1:F378, F$1:F378&lt;&gt;""""))))-1), IF('To Order'!$A379=COLUMNS($A379:F"&amp;"398), F378&amp;RIGHT(INDIRECT(ADDRESS(ROW(F379)-1, 'From Order'!$A379)), 1), F378))"),"HSPVMZDDT")</f>
        <v>HSPVMZDDT</v>
      </c>
      <c r="G379" s="2" t="str">
        <f>IFERROR(__xludf.DUMMYFUNCTION("IF('From Order'!$A379=COLUMNS($A379:G398), LEFT(INDEX(FILTER(G$1:G378, G$1:G378&lt;&gt;""""),COUNTA(FILTER(G$1:G378, G$1:G378&lt;&gt;""""))), LEN(INDEX(FILTER(G$1:G378, G$1:G378&lt;&gt;""""),COUNTA(FILTER(G$1:G378, G$1:G378&lt;&gt;""""))))-1), IF('To Order'!$A379=COLUMNS($A379:G"&amp;"398), G378&amp;RIGHT(INDIRECT(ADDRESS(ROW(G379)-1, 'From Order'!$A379)), 1), G378))"),"LJ")</f>
        <v>LJ</v>
      </c>
      <c r="H379" s="2" t="str">
        <f>IFERROR(__xludf.DUMMYFUNCTION("IF('From Order'!$A379=COLUMNS($A379:H398), LEFT(INDEX(FILTER(H$1:H378, H$1:H378&lt;&gt;""""),COUNTA(FILTER(H$1:H378, H$1:H378&lt;&gt;""""))), LEN(INDEX(FILTER(H$1:H378, H$1:H378&lt;&gt;""""),COUNTA(FILTER(H$1:H378, H$1:H378&lt;&gt;""""))))-1), IF('To Order'!$A379=COLUMNS($A379:H"&amp;"398), H378&amp;RIGHT(INDIRECT(ADDRESS(ROW(H379)-1, 'From Order'!$A379)), 1), H378))"),"WPB")</f>
        <v>WPB</v>
      </c>
      <c r="I379" s="2" t="str">
        <f>IFERROR(__xludf.DUMMYFUNCTION("IF('From Order'!$A379=COLUMNS($A379:I398), LEFT(INDEX(FILTER(I$1:I378, I$1:I378&lt;&gt;""""),COUNTA(FILTER(I$1:I378, I$1:I378&lt;&gt;""""))), LEN(INDEX(FILTER(I$1:I378, I$1:I378&lt;&gt;""""),COUNTA(FILTER(I$1:I378, I$1:I378&lt;&gt;""""))))-1), IF('To Order'!$A379=COLUMNS($A379:I"&amp;"398), I378&amp;RIGHT(INDIRECT(ADDRESS(ROW(I379)-1, 'From Order'!$A379)), 1), I378))"),"G")</f>
        <v>G</v>
      </c>
    </row>
    <row r="380">
      <c r="A380" s="2" t="str">
        <f>IFERROR(__xludf.DUMMYFUNCTION("IF('From Order'!$A380=COLUMNS($A380:A399), LEFT(INDEX(FILTER(A$1:A379, A$1:A379&lt;&gt;""""),COUNTA(FILTER(A$1:A379, A$1:A379&lt;&gt;""""))), LEN(INDEX(FILTER(A$1:A379, A$1:A379&lt;&gt;""""),COUNTA(FILTER(A$1:A379, A$1:A379&lt;&gt;""""))))-1), IF('To Order'!$A380=COLUMNS($A380:A"&amp;"399), A379&amp;RIGHT(INDIRECT(ADDRESS(ROW(A380)-1, 'From Order'!$A380)), 1), A379))"),"CTFTMQCDTRLDRWTJTVC")</f>
        <v>CTFTMQCDTRLDRWTJTVC</v>
      </c>
      <c r="B380" s="2" t="str">
        <f>IFERROR(__xludf.DUMMYFUNCTION("IF('From Order'!$A380=COLUMNS($A380:B399), LEFT(INDEX(FILTER(B$1:B379, B$1:B379&lt;&gt;""""),COUNTA(FILTER(B$1:B379, B$1:B379&lt;&gt;""""))), LEN(INDEX(FILTER(B$1:B379, B$1:B379&lt;&gt;""""),COUNTA(FILTER(B$1:B379, B$1:B379&lt;&gt;""""))))-1), IF('To Order'!$A380=COLUMNS($A380:B"&amp;"399), B379&amp;RIGHT(INDIRECT(ADDRESS(ROW(B380)-1, 'From Order'!$A380)), 1), B379))"),"JZRLBSGDT")</f>
        <v>JZRLBSGDT</v>
      </c>
      <c r="C380" s="2" t="str">
        <f>IFERROR(__xludf.DUMMYFUNCTION("IF('From Order'!$A380=COLUMNS($A380:C399), LEFT(INDEX(FILTER(C$1:C379, C$1:C379&lt;&gt;""""),COUNTA(FILTER(C$1:C379, C$1:C379&lt;&gt;""""))), LEN(INDEX(FILTER(C$1:C379, C$1:C379&lt;&gt;""""),COUNTA(FILTER(C$1:C379, C$1:C379&lt;&gt;""""))))-1), IF('To Order'!$A380=COLUMNS($A380:C"&amp;"399), C379&amp;RIGHT(INDIRECT(ADDRESS(ROW(C380)-1, 'From Order'!$A380)), 1), C379))"),"SMFBBRQPDS")</f>
        <v>SMFBBRQPDS</v>
      </c>
      <c r="D380" s="2" t="str">
        <f>IFERROR(__xludf.DUMMYFUNCTION("IF('From Order'!$A380=COLUMNS($A380:D399), LEFT(INDEX(FILTER(D$1:D379, D$1:D379&lt;&gt;""""),COUNTA(FILTER(D$1:D379, D$1:D379&lt;&gt;""""))), LEN(INDEX(FILTER(D$1:D379, D$1:D379&lt;&gt;""""),COUNTA(FILTER(D$1:D379, D$1:D379&lt;&gt;""""))))-1), IF('To Order'!$A380=COLUMNS($A380:D"&amp;"399), D379&amp;RIGHT(INDIRECT(ADDRESS(ROW(D380)-1, 'From Order'!$A380)), 1), D379))"),"")</f>
        <v/>
      </c>
      <c r="E380" s="2" t="str">
        <f>IFERROR(__xludf.DUMMYFUNCTION("IF('From Order'!$A380=COLUMNS($A380:E399), LEFT(INDEX(FILTER(E$1:E379, E$1:E379&lt;&gt;""""),COUNTA(FILTER(E$1:E379, E$1:E379&lt;&gt;""""))), LEN(INDEX(FILTER(E$1:E379, E$1:E379&lt;&gt;""""),COUNTA(FILTER(E$1:E379, E$1:E379&lt;&gt;""""))))-1), IF('To Order'!$A380=COLUMNS($A380:E"&amp;"399), E379&amp;RIGHT(INDIRECT(ADDRESS(ROW(E380)-1, 'From Order'!$A380)), 1), E379))"),"HZRV")</f>
        <v>HZRV</v>
      </c>
      <c r="F380" s="2" t="str">
        <f>IFERROR(__xludf.DUMMYFUNCTION("IF('From Order'!$A380=COLUMNS($A380:F399), LEFT(INDEX(FILTER(F$1:F379, F$1:F379&lt;&gt;""""),COUNTA(FILTER(F$1:F379, F$1:F379&lt;&gt;""""))), LEN(INDEX(FILTER(F$1:F379, F$1:F379&lt;&gt;""""),COUNTA(FILTER(F$1:F379, F$1:F379&lt;&gt;""""))))-1), IF('To Order'!$A380=COLUMNS($A380:F"&amp;"399), F379&amp;RIGHT(INDIRECT(ADDRESS(ROW(F380)-1, 'From Order'!$A380)), 1), F379))"),"HSPVMZDD")</f>
        <v>HSPVMZDD</v>
      </c>
      <c r="G380" s="2" t="str">
        <f>IFERROR(__xludf.DUMMYFUNCTION("IF('From Order'!$A380=COLUMNS($A380:G399), LEFT(INDEX(FILTER(G$1:G379, G$1:G379&lt;&gt;""""),COUNTA(FILTER(G$1:G379, G$1:G379&lt;&gt;""""))), LEN(INDEX(FILTER(G$1:G379, G$1:G379&lt;&gt;""""),COUNTA(FILTER(G$1:G379, G$1:G379&lt;&gt;""""))))-1), IF('To Order'!$A380=COLUMNS($A380:G"&amp;"399), G379&amp;RIGHT(INDIRECT(ADDRESS(ROW(G380)-1, 'From Order'!$A380)), 1), G379))"),"LJ")</f>
        <v>LJ</v>
      </c>
      <c r="H380" s="2" t="str">
        <f>IFERROR(__xludf.DUMMYFUNCTION("IF('From Order'!$A380=COLUMNS($A380:H399), LEFT(INDEX(FILTER(H$1:H379, H$1:H379&lt;&gt;""""),COUNTA(FILTER(H$1:H379, H$1:H379&lt;&gt;""""))), LEN(INDEX(FILTER(H$1:H379, H$1:H379&lt;&gt;""""),COUNTA(FILTER(H$1:H379, H$1:H379&lt;&gt;""""))))-1), IF('To Order'!$A380=COLUMNS($A380:H"&amp;"399), H379&amp;RIGHT(INDIRECT(ADDRESS(ROW(H380)-1, 'From Order'!$A380)), 1), H379))"),"WPB")</f>
        <v>WPB</v>
      </c>
      <c r="I380" s="2" t="str">
        <f>IFERROR(__xludf.DUMMYFUNCTION("IF('From Order'!$A380=COLUMNS($A380:I399), LEFT(INDEX(FILTER(I$1:I379, I$1:I379&lt;&gt;""""),COUNTA(FILTER(I$1:I379, I$1:I379&lt;&gt;""""))), LEN(INDEX(FILTER(I$1:I379, I$1:I379&lt;&gt;""""),COUNTA(FILTER(I$1:I379, I$1:I379&lt;&gt;""""))))-1), IF('To Order'!$A380=COLUMNS($A380:I"&amp;"399), I379&amp;RIGHT(INDIRECT(ADDRESS(ROW(I380)-1, 'From Order'!$A380)), 1), I379))"),"G")</f>
        <v>G</v>
      </c>
    </row>
    <row r="381">
      <c r="A381" s="2" t="str">
        <f>IFERROR(__xludf.DUMMYFUNCTION("IF('From Order'!$A381=COLUMNS($A381:A400), LEFT(INDEX(FILTER(A$1:A380, A$1:A380&lt;&gt;""""),COUNTA(FILTER(A$1:A380, A$1:A380&lt;&gt;""""))), LEN(INDEX(FILTER(A$1:A380, A$1:A380&lt;&gt;""""),COUNTA(FILTER(A$1:A380, A$1:A380&lt;&gt;""""))))-1), IF('To Order'!$A381=COLUMNS($A381:A"&amp;"400), A380&amp;RIGHT(INDIRECT(ADDRESS(ROW(A381)-1, 'From Order'!$A381)), 1), A380))"),"CTFTMQCDTRLDRWTJTVC")</f>
        <v>CTFTMQCDTRLDRWTJTVC</v>
      </c>
      <c r="B381" s="2" t="str">
        <f>IFERROR(__xludf.DUMMYFUNCTION("IF('From Order'!$A381=COLUMNS($A381:B400), LEFT(INDEX(FILTER(B$1:B380, B$1:B380&lt;&gt;""""),COUNTA(FILTER(B$1:B380, B$1:B380&lt;&gt;""""))), LEN(INDEX(FILTER(B$1:B380, B$1:B380&lt;&gt;""""),COUNTA(FILTER(B$1:B380, B$1:B380&lt;&gt;""""))))-1), IF('To Order'!$A381=COLUMNS($A381:B"&amp;"400), B380&amp;RIGHT(INDIRECT(ADDRESS(ROW(B381)-1, 'From Order'!$A381)), 1), B380))"),"JZRLBSGDTD")</f>
        <v>JZRLBSGDTD</v>
      </c>
      <c r="C381" s="2" t="str">
        <f>IFERROR(__xludf.DUMMYFUNCTION("IF('From Order'!$A381=COLUMNS($A381:C400), LEFT(INDEX(FILTER(C$1:C380, C$1:C380&lt;&gt;""""),COUNTA(FILTER(C$1:C380, C$1:C380&lt;&gt;""""))), LEN(INDEX(FILTER(C$1:C380, C$1:C380&lt;&gt;""""),COUNTA(FILTER(C$1:C380, C$1:C380&lt;&gt;""""))))-1), IF('To Order'!$A381=COLUMNS($A381:C"&amp;"400), C380&amp;RIGHT(INDIRECT(ADDRESS(ROW(C381)-1, 'From Order'!$A381)), 1), C380))"),"SMFBBRQPDS")</f>
        <v>SMFBBRQPDS</v>
      </c>
      <c r="D381" s="2" t="str">
        <f>IFERROR(__xludf.DUMMYFUNCTION("IF('From Order'!$A381=COLUMNS($A381:D400), LEFT(INDEX(FILTER(D$1:D380, D$1:D380&lt;&gt;""""),COUNTA(FILTER(D$1:D380, D$1:D380&lt;&gt;""""))), LEN(INDEX(FILTER(D$1:D380, D$1:D380&lt;&gt;""""),COUNTA(FILTER(D$1:D380, D$1:D380&lt;&gt;""""))))-1), IF('To Order'!$A381=COLUMNS($A381:D"&amp;"400), D380&amp;RIGHT(INDIRECT(ADDRESS(ROW(D381)-1, 'From Order'!$A381)), 1), D380))"),"")</f>
        <v/>
      </c>
      <c r="E381" s="2" t="str">
        <f>IFERROR(__xludf.DUMMYFUNCTION("IF('From Order'!$A381=COLUMNS($A381:E400), LEFT(INDEX(FILTER(E$1:E380, E$1:E380&lt;&gt;""""),COUNTA(FILTER(E$1:E380, E$1:E380&lt;&gt;""""))), LEN(INDEX(FILTER(E$1:E380, E$1:E380&lt;&gt;""""),COUNTA(FILTER(E$1:E380, E$1:E380&lt;&gt;""""))))-1), IF('To Order'!$A381=COLUMNS($A381:E"&amp;"400), E380&amp;RIGHT(INDIRECT(ADDRESS(ROW(E381)-1, 'From Order'!$A381)), 1), E380))"),"HZRV")</f>
        <v>HZRV</v>
      </c>
      <c r="F381" s="2" t="str">
        <f>IFERROR(__xludf.DUMMYFUNCTION("IF('From Order'!$A381=COLUMNS($A381:F400), LEFT(INDEX(FILTER(F$1:F380, F$1:F380&lt;&gt;""""),COUNTA(FILTER(F$1:F380, F$1:F380&lt;&gt;""""))), LEN(INDEX(FILTER(F$1:F380, F$1:F380&lt;&gt;""""),COUNTA(FILTER(F$1:F380, F$1:F380&lt;&gt;""""))))-1), IF('To Order'!$A381=COLUMNS($A381:F"&amp;"400), F380&amp;RIGHT(INDIRECT(ADDRESS(ROW(F381)-1, 'From Order'!$A381)), 1), F380))"),"HSPVMZD")</f>
        <v>HSPVMZD</v>
      </c>
      <c r="G381" s="2" t="str">
        <f>IFERROR(__xludf.DUMMYFUNCTION("IF('From Order'!$A381=COLUMNS($A381:G400), LEFT(INDEX(FILTER(G$1:G380, G$1:G380&lt;&gt;""""),COUNTA(FILTER(G$1:G380, G$1:G380&lt;&gt;""""))), LEN(INDEX(FILTER(G$1:G380, G$1:G380&lt;&gt;""""),COUNTA(FILTER(G$1:G380, G$1:G380&lt;&gt;""""))))-1), IF('To Order'!$A381=COLUMNS($A381:G"&amp;"400), G380&amp;RIGHT(INDIRECT(ADDRESS(ROW(G381)-1, 'From Order'!$A381)), 1), G380))"),"LJ")</f>
        <v>LJ</v>
      </c>
      <c r="H381" s="2" t="str">
        <f>IFERROR(__xludf.DUMMYFUNCTION("IF('From Order'!$A381=COLUMNS($A381:H400), LEFT(INDEX(FILTER(H$1:H380, H$1:H380&lt;&gt;""""),COUNTA(FILTER(H$1:H380, H$1:H380&lt;&gt;""""))), LEN(INDEX(FILTER(H$1:H380, H$1:H380&lt;&gt;""""),COUNTA(FILTER(H$1:H380, H$1:H380&lt;&gt;""""))))-1), IF('To Order'!$A381=COLUMNS($A381:H"&amp;"400), H380&amp;RIGHT(INDIRECT(ADDRESS(ROW(H381)-1, 'From Order'!$A381)), 1), H380))"),"WPB")</f>
        <v>WPB</v>
      </c>
      <c r="I381" s="2" t="str">
        <f>IFERROR(__xludf.DUMMYFUNCTION("IF('From Order'!$A381=COLUMNS($A381:I400), LEFT(INDEX(FILTER(I$1:I380, I$1:I380&lt;&gt;""""),COUNTA(FILTER(I$1:I380, I$1:I380&lt;&gt;""""))), LEN(INDEX(FILTER(I$1:I380, I$1:I380&lt;&gt;""""),COUNTA(FILTER(I$1:I380, I$1:I380&lt;&gt;""""))))-1), IF('To Order'!$A381=COLUMNS($A381:I"&amp;"400), I380&amp;RIGHT(INDIRECT(ADDRESS(ROW(I381)-1, 'From Order'!$A381)), 1), I380))"),"G")</f>
        <v>G</v>
      </c>
    </row>
    <row r="382">
      <c r="A382" s="2" t="str">
        <f>IFERROR(__xludf.DUMMYFUNCTION("IF('From Order'!$A382=COLUMNS($A382:A401), LEFT(INDEX(FILTER(A$1:A381, A$1:A381&lt;&gt;""""),COUNTA(FILTER(A$1:A381, A$1:A381&lt;&gt;""""))), LEN(INDEX(FILTER(A$1:A381, A$1:A381&lt;&gt;""""),COUNTA(FILTER(A$1:A381, A$1:A381&lt;&gt;""""))))-1), IF('To Order'!$A382=COLUMNS($A382:A"&amp;"401), A381&amp;RIGHT(INDIRECT(ADDRESS(ROW(A382)-1, 'From Order'!$A382)), 1), A381))"),"CTFTMQCDTRLDRWTJTVC")</f>
        <v>CTFTMQCDTRLDRWTJTVC</v>
      </c>
      <c r="B382" s="2" t="str">
        <f>IFERROR(__xludf.DUMMYFUNCTION("IF('From Order'!$A382=COLUMNS($A382:B401), LEFT(INDEX(FILTER(B$1:B381, B$1:B381&lt;&gt;""""),COUNTA(FILTER(B$1:B381, B$1:B381&lt;&gt;""""))), LEN(INDEX(FILTER(B$1:B381, B$1:B381&lt;&gt;""""),COUNTA(FILTER(B$1:B381, B$1:B381&lt;&gt;""""))))-1), IF('To Order'!$A382=COLUMNS($A382:B"&amp;"401), B381&amp;RIGHT(INDIRECT(ADDRESS(ROW(B382)-1, 'From Order'!$A382)), 1), B381))"),"JZRLBSGDTDD")</f>
        <v>JZRLBSGDTDD</v>
      </c>
      <c r="C382" s="2" t="str">
        <f>IFERROR(__xludf.DUMMYFUNCTION("IF('From Order'!$A382=COLUMNS($A382:C401), LEFT(INDEX(FILTER(C$1:C381, C$1:C381&lt;&gt;""""),COUNTA(FILTER(C$1:C381, C$1:C381&lt;&gt;""""))), LEN(INDEX(FILTER(C$1:C381, C$1:C381&lt;&gt;""""),COUNTA(FILTER(C$1:C381, C$1:C381&lt;&gt;""""))))-1), IF('To Order'!$A382=COLUMNS($A382:C"&amp;"401), C381&amp;RIGHT(INDIRECT(ADDRESS(ROW(C382)-1, 'From Order'!$A382)), 1), C381))"),"SMFBBRQPDS")</f>
        <v>SMFBBRQPDS</v>
      </c>
      <c r="D382" s="2" t="str">
        <f>IFERROR(__xludf.DUMMYFUNCTION("IF('From Order'!$A382=COLUMNS($A382:D401), LEFT(INDEX(FILTER(D$1:D381, D$1:D381&lt;&gt;""""),COUNTA(FILTER(D$1:D381, D$1:D381&lt;&gt;""""))), LEN(INDEX(FILTER(D$1:D381, D$1:D381&lt;&gt;""""),COUNTA(FILTER(D$1:D381, D$1:D381&lt;&gt;""""))))-1), IF('To Order'!$A382=COLUMNS($A382:D"&amp;"401), D381&amp;RIGHT(INDIRECT(ADDRESS(ROW(D382)-1, 'From Order'!$A382)), 1), D381))"),"")</f>
        <v/>
      </c>
      <c r="E382" s="2" t="str">
        <f>IFERROR(__xludf.DUMMYFUNCTION("IF('From Order'!$A382=COLUMNS($A382:E401), LEFT(INDEX(FILTER(E$1:E381, E$1:E381&lt;&gt;""""),COUNTA(FILTER(E$1:E381, E$1:E381&lt;&gt;""""))), LEN(INDEX(FILTER(E$1:E381, E$1:E381&lt;&gt;""""),COUNTA(FILTER(E$1:E381, E$1:E381&lt;&gt;""""))))-1), IF('To Order'!$A382=COLUMNS($A382:E"&amp;"401), E381&amp;RIGHT(INDIRECT(ADDRESS(ROW(E382)-1, 'From Order'!$A382)), 1), E381))"),"HZRV")</f>
        <v>HZRV</v>
      </c>
      <c r="F382" s="2" t="str">
        <f>IFERROR(__xludf.DUMMYFUNCTION("IF('From Order'!$A382=COLUMNS($A382:F401), LEFT(INDEX(FILTER(F$1:F381, F$1:F381&lt;&gt;""""),COUNTA(FILTER(F$1:F381, F$1:F381&lt;&gt;""""))), LEN(INDEX(FILTER(F$1:F381, F$1:F381&lt;&gt;""""),COUNTA(FILTER(F$1:F381, F$1:F381&lt;&gt;""""))))-1), IF('To Order'!$A382=COLUMNS($A382:F"&amp;"401), F381&amp;RIGHT(INDIRECT(ADDRESS(ROW(F382)-1, 'From Order'!$A382)), 1), F381))"),"HSPVMZ")</f>
        <v>HSPVMZ</v>
      </c>
      <c r="G382" s="2" t="str">
        <f>IFERROR(__xludf.DUMMYFUNCTION("IF('From Order'!$A382=COLUMNS($A382:G401), LEFT(INDEX(FILTER(G$1:G381, G$1:G381&lt;&gt;""""),COUNTA(FILTER(G$1:G381, G$1:G381&lt;&gt;""""))), LEN(INDEX(FILTER(G$1:G381, G$1:G381&lt;&gt;""""),COUNTA(FILTER(G$1:G381, G$1:G381&lt;&gt;""""))))-1), IF('To Order'!$A382=COLUMNS($A382:G"&amp;"401), G381&amp;RIGHT(INDIRECT(ADDRESS(ROW(G382)-1, 'From Order'!$A382)), 1), G381))"),"LJ")</f>
        <v>LJ</v>
      </c>
      <c r="H382" s="2" t="str">
        <f>IFERROR(__xludf.DUMMYFUNCTION("IF('From Order'!$A382=COLUMNS($A382:H401), LEFT(INDEX(FILTER(H$1:H381, H$1:H381&lt;&gt;""""),COUNTA(FILTER(H$1:H381, H$1:H381&lt;&gt;""""))), LEN(INDEX(FILTER(H$1:H381, H$1:H381&lt;&gt;""""),COUNTA(FILTER(H$1:H381, H$1:H381&lt;&gt;""""))))-1), IF('To Order'!$A382=COLUMNS($A382:H"&amp;"401), H381&amp;RIGHT(INDIRECT(ADDRESS(ROW(H382)-1, 'From Order'!$A382)), 1), H381))"),"WPB")</f>
        <v>WPB</v>
      </c>
      <c r="I382" s="2" t="str">
        <f>IFERROR(__xludf.DUMMYFUNCTION("IF('From Order'!$A382=COLUMNS($A382:I401), LEFT(INDEX(FILTER(I$1:I381, I$1:I381&lt;&gt;""""),COUNTA(FILTER(I$1:I381, I$1:I381&lt;&gt;""""))), LEN(INDEX(FILTER(I$1:I381, I$1:I381&lt;&gt;""""),COUNTA(FILTER(I$1:I381, I$1:I381&lt;&gt;""""))))-1), IF('To Order'!$A382=COLUMNS($A382:I"&amp;"401), I381&amp;RIGHT(INDIRECT(ADDRESS(ROW(I382)-1, 'From Order'!$A382)), 1), I381))"),"G")</f>
        <v>G</v>
      </c>
    </row>
    <row r="383">
      <c r="A383" s="2" t="str">
        <f>IFERROR(__xludf.DUMMYFUNCTION("IF('From Order'!$A383=COLUMNS($A383:A402), LEFT(INDEX(FILTER(A$1:A382, A$1:A382&lt;&gt;""""),COUNTA(FILTER(A$1:A382, A$1:A382&lt;&gt;""""))), LEN(INDEX(FILTER(A$1:A382, A$1:A382&lt;&gt;""""),COUNTA(FILTER(A$1:A382, A$1:A382&lt;&gt;""""))))-1), IF('To Order'!$A383=COLUMNS($A383:A"&amp;"402), A382&amp;RIGHT(INDIRECT(ADDRESS(ROW(A383)-1, 'From Order'!$A383)), 1), A382))"),"CTFTMQCDTRLDRWTJTVC")</f>
        <v>CTFTMQCDTRLDRWTJTVC</v>
      </c>
      <c r="B383" s="2" t="str">
        <f>IFERROR(__xludf.DUMMYFUNCTION("IF('From Order'!$A383=COLUMNS($A383:B402), LEFT(INDEX(FILTER(B$1:B382, B$1:B382&lt;&gt;""""),COUNTA(FILTER(B$1:B382, B$1:B382&lt;&gt;""""))), LEN(INDEX(FILTER(B$1:B382, B$1:B382&lt;&gt;""""),COUNTA(FILTER(B$1:B382, B$1:B382&lt;&gt;""""))))-1), IF('To Order'!$A383=COLUMNS($A383:B"&amp;"402), B382&amp;RIGHT(INDIRECT(ADDRESS(ROW(B383)-1, 'From Order'!$A383)), 1), B382))"),"JZRLBSGDTDDZ")</f>
        <v>JZRLBSGDTDDZ</v>
      </c>
      <c r="C383" s="2" t="str">
        <f>IFERROR(__xludf.DUMMYFUNCTION("IF('From Order'!$A383=COLUMNS($A383:C402), LEFT(INDEX(FILTER(C$1:C382, C$1:C382&lt;&gt;""""),COUNTA(FILTER(C$1:C382, C$1:C382&lt;&gt;""""))), LEN(INDEX(FILTER(C$1:C382, C$1:C382&lt;&gt;""""),COUNTA(FILTER(C$1:C382, C$1:C382&lt;&gt;""""))))-1), IF('To Order'!$A383=COLUMNS($A383:C"&amp;"402), C382&amp;RIGHT(INDIRECT(ADDRESS(ROW(C383)-1, 'From Order'!$A383)), 1), C382))"),"SMFBBRQPDS")</f>
        <v>SMFBBRQPDS</v>
      </c>
      <c r="D383" s="2" t="str">
        <f>IFERROR(__xludf.DUMMYFUNCTION("IF('From Order'!$A383=COLUMNS($A383:D402), LEFT(INDEX(FILTER(D$1:D382, D$1:D382&lt;&gt;""""),COUNTA(FILTER(D$1:D382, D$1:D382&lt;&gt;""""))), LEN(INDEX(FILTER(D$1:D382, D$1:D382&lt;&gt;""""),COUNTA(FILTER(D$1:D382, D$1:D382&lt;&gt;""""))))-1), IF('To Order'!$A383=COLUMNS($A383:D"&amp;"402), D382&amp;RIGHT(INDIRECT(ADDRESS(ROW(D383)-1, 'From Order'!$A383)), 1), D382))"),"")</f>
        <v/>
      </c>
      <c r="E383" s="2" t="str">
        <f>IFERROR(__xludf.DUMMYFUNCTION("IF('From Order'!$A383=COLUMNS($A383:E402), LEFT(INDEX(FILTER(E$1:E382, E$1:E382&lt;&gt;""""),COUNTA(FILTER(E$1:E382, E$1:E382&lt;&gt;""""))), LEN(INDEX(FILTER(E$1:E382, E$1:E382&lt;&gt;""""),COUNTA(FILTER(E$1:E382, E$1:E382&lt;&gt;""""))))-1), IF('To Order'!$A383=COLUMNS($A383:E"&amp;"402), E382&amp;RIGHT(INDIRECT(ADDRESS(ROW(E383)-1, 'From Order'!$A383)), 1), E382))"),"HZRV")</f>
        <v>HZRV</v>
      </c>
      <c r="F383" s="2" t="str">
        <f>IFERROR(__xludf.DUMMYFUNCTION("IF('From Order'!$A383=COLUMNS($A383:F402), LEFT(INDEX(FILTER(F$1:F382, F$1:F382&lt;&gt;""""),COUNTA(FILTER(F$1:F382, F$1:F382&lt;&gt;""""))), LEN(INDEX(FILTER(F$1:F382, F$1:F382&lt;&gt;""""),COUNTA(FILTER(F$1:F382, F$1:F382&lt;&gt;""""))))-1), IF('To Order'!$A383=COLUMNS($A383:F"&amp;"402), F382&amp;RIGHT(INDIRECT(ADDRESS(ROW(F383)-1, 'From Order'!$A383)), 1), F382))"),"HSPVM")</f>
        <v>HSPVM</v>
      </c>
      <c r="G383" s="2" t="str">
        <f>IFERROR(__xludf.DUMMYFUNCTION("IF('From Order'!$A383=COLUMNS($A383:G402), LEFT(INDEX(FILTER(G$1:G382, G$1:G382&lt;&gt;""""),COUNTA(FILTER(G$1:G382, G$1:G382&lt;&gt;""""))), LEN(INDEX(FILTER(G$1:G382, G$1:G382&lt;&gt;""""),COUNTA(FILTER(G$1:G382, G$1:G382&lt;&gt;""""))))-1), IF('To Order'!$A383=COLUMNS($A383:G"&amp;"402), G382&amp;RIGHT(INDIRECT(ADDRESS(ROW(G383)-1, 'From Order'!$A383)), 1), G382))"),"LJ")</f>
        <v>LJ</v>
      </c>
      <c r="H383" s="2" t="str">
        <f>IFERROR(__xludf.DUMMYFUNCTION("IF('From Order'!$A383=COLUMNS($A383:H402), LEFT(INDEX(FILTER(H$1:H382, H$1:H382&lt;&gt;""""),COUNTA(FILTER(H$1:H382, H$1:H382&lt;&gt;""""))), LEN(INDEX(FILTER(H$1:H382, H$1:H382&lt;&gt;""""),COUNTA(FILTER(H$1:H382, H$1:H382&lt;&gt;""""))))-1), IF('To Order'!$A383=COLUMNS($A383:H"&amp;"402), H382&amp;RIGHT(INDIRECT(ADDRESS(ROW(H383)-1, 'From Order'!$A383)), 1), H382))"),"WPB")</f>
        <v>WPB</v>
      </c>
      <c r="I383" s="2" t="str">
        <f>IFERROR(__xludf.DUMMYFUNCTION("IF('From Order'!$A383=COLUMNS($A383:I402), LEFT(INDEX(FILTER(I$1:I382, I$1:I382&lt;&gt;""""),COUNTA(FILTER(I$1:I382, I$1:I382&lt;&gt;""""))), LEN(INDEX(FILTER(I$1:I382, I$1:I382&lt;&gt;""""),COUNTA(FILTER(I$1:I382, I$1:I382&lt;&gt;""""))))-1), IF('To Order'!$A383=COLUMNS($A383:I"&amp;"402), I382&amp;RIGHT(INDIRECT(ADDRESS(ROW(I383)-1, 'From Order'!$A383)), 1), I382))"),"G")</f>
        <v>G</v>
      </c>
    </row>
    <row r="384">
      <c r="A384" s="2" t="str">
        <f>IFERROR(__xludf.DUMMYFUNCTION("IF('From Order'!$A384=COLUMNS($A384:A403), LEFT(INDEX(FILTER(A$1:A383, A$1:A383&lt;&gt;""""),COUNTA(FILTER(A$1:A383, A$1:A383&lt;&gt;""""))), LEN(INDEX(FILTER(A$1:A383, A$1:A383&lt;&gt;""""),COUNTA(FILTER(A$1:A383, A$1:A383&lt;&gt;""""))))-1), IF('To Order'!$A384=COLUMNS($A384:A"&amp;"403), A383&amp;RIGHT(INDIRECT(ADDRESS(ROW(A384)-1, 'From Order'!$A384)), 1), A383))"),"CTFTMQCDTRLDRWTJTVC")</f>
        <v>CTFTMQCDTRLDRWTJTVC</v>
      </c>
      <c r="B384" s="2" t="str">
        <f>IFERROR(__xludf.DUMMYFUNCTION("IF('From Order'!$A384=COLUMNS($A384:B403), LEFT(INDEX(FILTER(B$1:B383, B$1:B383&lt;&gt;""""),COUNTA(FILTER(B$1:B383, B$1:B383&lt;&gt;""""))), LEN(INDEX(FILTER(B$1:B383, B$1:B383&lt;&gt;""""),COUNTA(FILTER(B$1:B383, B$1:B383&lt;&gt;""""))))-1), IF('To Order'!$A384=COLUMNS($A384:B"&amp;"403), B383&amp;RIGHT(INDIRECT(ADDRESS(ROW(B384)-1, 'From Order'!$A384)), 1), B383))"),"JZRLBSGDTDDZM")</f>
        <v>JZRLBSGDTDDZM</v>
      </c>
      <c r="C384" s="2" t="str">
        <f>IFERROR(__xludf.DUMMYFUNCTION("IF('From Order'!$A384=COLUMNS($A384:C403), LEFT(INDEX(FILTER(C$1:C383, C$1:C383&lt;&gt;""""),COUNTA(FILTER(C$1:C383, C$1:C383&lt;&gt;""""))), LEN(INDEX(FILTER(C$1:C383, C$1:C383&lt;&gt;""""),COUNTA(FILTER(C$1:C383, C$1:C383&lt;&gt;""""))))-1), IF('To Order'!$A384=COLUMNS($A384:C"&amp;"403), C383&amp;RIGHT(INDIRECT(ADDRESS(ROW(C384)-1, 'From Order'!$A384)), 1), C383))"),"SMFBBRQPDS")</f>
        <v>SMFBBRQPDS</v>
      </c>
      <c r="D384" s="2" t="str">
        <f>IFERROR(__xludf.DUMMYFUNCTION("IF('From Order'!$A384=COLUMNS($A384:D403), LEFT(INDEX(FILTER(D$1:D383, D$1:D383&lt;&gt;""""),COUNTA(FILTER(D$1:D383, D$1:D383&lt;&gt;""""))), LEN(INDEX(FILTER(D$1:D383, D$1:D383&lt;&gt;""""),COUNTA(FILTER(D$1:D383, D$1:D383&lt;&gt;""""))))-1), IF('To Order'!$A384=COLUMNS($A384:D"&amp;"403), D383&amp;RIGHT(INDIRECT(ADDRESS(ROW(D384)-1, 'From Order'!$A384)), 1), D383))"),"")</f>
        <v/>
      </c>
      <c r="E384" s="2" t="str">
        <f>IFERROR(__xludf.DUMMYFUNCTION("IF('From Order'!$A384=COLUMNS($A384:E403), LEFT(INDEX(FILTER(E$1:E383, E$1:E383&lt;&gt;""""),COUNTA(FILTER(E$1:E383, E$1:E383&lt;&gt;""""))), LEN(INDEX(FILTER(E$1:E383, E$1:E383&lt;&gt;""""),COUNTA(FILTER(E$1:E383, E$1:E383&lt;&gt;""""))))-1), IF('To Order'!$A384=COLUMNS($A384:E"&amp;"403), E383&amp;RIGHT(INDIRECT(ADDRESS(ROW(E384)-1, 'From Order'!$A384)), 1), E383))"),"HZRV")</f>
        <v>HZRV</v>
      </c>
      <c r="F384" s="2" t="str">
        <f>IFERROR(__xludf.DUMMYFUNCTION("IF('From Order'!$A384=COLUMNS($A384:F403), LEFT(INDEX(FILTER(F$1:F383, F$1:F383&lt;&gt;""""),COUNTA(FILTER(F$1:F383, F$1:F383&lt;&gt;""""))), LEN(INDEX(FILTER(F$1:F383, F$1:F383&lt;&gt;""""),COUNTA(FILTER(F$1:F383, F$1:F383&lt;&gt;""""))))-1), IF('To Order'!$A384=COLUMNS($A384:F"&amp;"403), F383&amp;RIGHT(INDIRECT(ADDRESS(ROW(F384)-1, 'From Order'!$A384)), 1), F383))"),"HSPV")</f>
        <v>HSPV</v>
      </c>
      <c r="G384" s="2" t="str">
        <f>IFERROR(__xludf.DUMMYFUNCTION("IF('From Order'!$A384=COLUMNS($A384:G403), LEFT(INDEX(FILTER(G$1:G383, G$1:G383&lt;&gt;""""),COUNTA(FILTER(G$1:G383, G$1:G383&lt;&gt;""""))), LEN(INDEX(FILTER(G$1:G383, G$1:G383&lt;&gt;""""),COUNTA(FILTER(G$1:G383, G$1:G383&lt;&gt;""""))))-1), IF('To Order'!$A384=COLUMNS($A384:G"&amp;"403), G383&amp;RIGHT(INDIRECT(ADDRESS(ROW(G384)-1, 'From Order'!$A384)), 1), G383))"),"LJ")</f>
        <v>LJ</v>
      </c>
      <c r="H384" s="2" t="str">
        <f>IFERROR(__xludf.DUMMYFUNCTION("IF('From Order'!$A384=COLUMNS($A384:H403), LEFT(INDEX(FILTER(H$1:H383, H$1:H383&lt;&gt;""""),COUNTA(FILTER(H$1:H383, H$1:H383&lt;&gt;""""))), LEN(INDEX(FILTER(H$1:H383, H$1:H383&lt;&gt;""""),COUNTA(FILTER(H$1:H383, H$1:H383&lt;&gt;""""))))-1), IF('To Order'!$A384=COLUMNS($A384:H"&amp;"403), H383&amp;RIGHT(INDIRECT(ADDRESS(ROW(H384)-1, 'From Order'!$A384)), 1), H383))"),"WPB")</f>
        <v>WPB</v>
      </c>
      <c r="I384" s="2" t="str">
        <f>IFERROR(__xludf.DUMMYFUNCTION("IF('From Order'!$A384=COLUMNS($A384:I403), LEFT(INDEX(FILTER(I$1:I383, I$1:I383&lt;&gt;""""),COUNTA(FILTER(I$1:I383, I$1:I383&lt;&gt;""""))), LEN(INDEX(FILTER(I$1:I383, I$1:I383&lt;&gt;""""),COUNTA(FILTER(I$1:I383, I$1:I383&lt;&gt;""""))))-1), IF('To Order'!$A384=COLUMNS($A384:I"&amp;"403), I383&amp;RIGHT(INDIRECT(ADDRESS(ROW(I384)-1, 'From Order'!$A384)), 1), I383))"),"G")</f>
        <v>G</v>
      </c>
    </row>
    <row r="385">
      <c r="A385" s="2" t="str">
        <f>IFERROR(__xludf.DUMMYFUNCTION("IF('From Order'!$A385=COLUMNS($A385:A404), LEFT(INDEX(FILTER(A$1:A384, A$1:A384&lt;&gt;""""),COUNTA(FILTER(A$1:A384, A$1:A384&lt;&gt;""""))), LEN(INDEX(FILTER(A$1:A384, A$1:A384&lt;&gt;""""),COUNTA(FILTER(A$1:A384, A$1:A384&lt;&gt;""""))))-1), IF('To Order'!$A385=COLUMNS($A385:A"&amp;"404), A384&amp;RIGHT(INDIRECT(ADDRESS(ROW(A385)-1, 'From Order'!$A385)), 1), A384))"),"CTFTMQCDTRLDRWTJTVC")</f>
        <v>CTFTMQCDTRLDRWTJTVC</v>
      </c>
      <c r="B385" s="2" t="str">
        <f>IFERROR(__xludf.DUMMYFUNCTION("IF('From Order'!$A385=COLUMNS($A385:B404), LEFT(INDEX(FILTER(B$1:B384, B$1:B384&lt;&gt;""""),COUNTA(FILTER(B$1:B384, B$1:B384&lt;&gt;""""))), LEN(INDEX(FILTER(B$1:B384, B$1:B384&lt;&gt;""""),COUNTA(FILTER(B$1:B384, B$1:B384&lt;&gt;""""))))-1), IF('To Order'!$A385=COLUMNS($A385:B"&amp;"404), B384&amp;RIGHT(INDIRECT(ADDRESS(ROW(B385)-1, 'From Order'!$A385)), 1), B384))"),"JZRLBSGDTDDZMV")</f>
        <v>JZRLBSGDTDDZMV</v>
      </c>
      <c r="C385" s="2" t="str">
        <f>IFERROR(__xludf.DUMMYFUNCTION("IF('From Order'!$A385=COLUMNS($A385:C404), LEFT(INDEX(FILTER(C$1:C384, C$1:C384&lt;&gt;""""),COUNTA(FILTER(C$1:C384, C$1:C384&lt;&gt;""""))), LEN(INDEX(FILTER(C$1:C384, C$1:C384&lt;&gt;""""),COUNTA(FILTER(C$1:C384, C$1:C384&lt;&gt;""""))))-1), IF('To Order'!$A385=COLUMNS($A385:C"&amp;"404), C384&amp;RIGHT(INDIRECT(ADDRESS(ROW(C385)-1, 'From Order'!$A385)), 1), C384))"),"SMFBBRQPDS")</f>
        <v>SMFBBRQPDS</v>
      </c>
      <c r="D385" s="2" t="str">
        <f>IFERROR(__xludf.DUMMYFUNCTION("IF('From Order'!$A385=COLUMNS($A385:D404), LEFT(INDEX(FILTER(D$1:D384, D$1:D384&lt;&gt;""""),COUNTA(FILTER(D$1:D384, D$1:D384&lt;&gt;""""))), LEN(INDEX(FILTER(D$1:D384, D$1:D384&lt;&gt;""""),COUNTA(FILTER(D$1:D384, D$1:D384&lt;&gt;""""))))-1), IF('To Order'!$A385=COLUMNS($A385:D"&amp;"404), D384&amp;RIGHT(INDIRECT(ADDRESS(ROW(D385)-1, 'From Order'!$A385)), 1), D384))"),"")</f>
        <v/>
      </c>
      <c r="E385" s="2" t="str">
        <f>IFERROR(__xludf.DUMMYFUNCTION("IF('From Order'!$A385=COLUMNS($A385:E404), LEFT(INDEX(FILTER(E$1:E384, E$1:E384&lt;&gt;""""),COUNTA(FILTER(E$1:E384, E$1:E384&lt;&gt;""""))), LEN(INDEX(FILTER(E$1:E384, E$1:E384&lt;&gt;""""),COUNTA(FILTER(E$1:E384, E$1:E384&lt;&gt;""""))))-1), IF('To Order'!$A385=COLUMNS($A385:E"&amp;"404), E384&amp;RIGHT(INDIRECT(ADDRESS(ROW(E385)-1, 'From Order'!$A385)), 1), E384))"),"HZRV")</f>
        <v>HZRV</v>
      </c>
      <c r="F385" s="2" t="str">
        <f>IFERROR(__xludf.DUMMYFUNCTION("IF('From Order'!$A385=COLUMNS($A385:F404), LEFT(INDEX(FILTER(F$1:F384, F$1:F384&lt;&gt;""""),COUNTA(FILTER(F$1:F384, F$1:F384&lt;&gt;""""))), LEN(INDEX(FILTER(F$1:F384, F$1:F384&lt;&gt;""""),COUNTA(FILTER(F$1:F384, F$1:F384&lt;&gt;""""))))-1), IF('To Order'!$A385=COLUMNS($A385:F"&amp;"404), F384&amp;RIGHT(INDIRECT(ADDRESS(ROW(F385)-1, 'From Order'!$A385)), 1), F384))"),"HSP")</f>
        <v>HSP</v>
      </c>
      <c r="G385" s="2" t="str">
        <f>IFERROR(__xludf.DUMMYFUNCTION("IF('From Order'!$A385=COLUMNS($A385:G404), LEFT(INDEX(FILTER(G$1:G384, G$1:G384&lt;&gt;""""),COUNTA(FILTER(G$1:G384, G$1:G384&lt;&gt;""""))), LEN(INDEX(FILTER(G$1:G384, G$1:G384&lt;&gt;""""),COUNTA(FILTER(G$1:G384, G$1:G384&lt;&gt;""""))))-1), IF('To Order'!$A385=COLUMNS($A385:G"&amp;"404), G384&amp;RIGHT(INDIRECT(ADDRESS(ROW(G385)-1, 'From Order'!$A385)), 1), G384))"),"LJ")</f>
        <v>LJ</v>
      </c>
      <c r="H385" s="2" t="str">
        <f>IFERROR(__xludf.DUMMYFUNCTION("IF('From Order'!$A385=COLUMNS($A385:H404), LEFT(INDEX(FILTER(H$1:H384, H$1:H384&lt;&gt;""""),COUNTA(FILTER(H$1:H384, H$1:H384&lt;&gt;""""))), LEN(INDEX(FILTER(H$1:H384, H$1:H384&lt;&gt;""""),COUNTA(FILTER(H$1:H384, H$1:H384&lt;&gt;""""))))-1), IF('To Order'!$A385=COLUMNS($A385:H"&amp;"404), H384&amp;RIGHT(INDIRECT(ADDRESS(ROW(H385)-1, 'From Order'!$A385)), 1), H384))"),"WPB")</f>
        <v>WPB</v>
      </c>
      <c r="I385" s="2" t="str">
        <f>IFERROR(__xludf.DUMMYFUNCTION("IF('From Order'!$A385=COLUMNS($A385:I404), LEFT(INDEX(FILTER(I$1:I384, I$1:I384&lt;&gt;""""),COUNTA(FILTER(I$1:I384, I$1:I384&lt;&gt;""""))), LEN(INDEX(FILTER(I$1:I384, I$1:I384&lt;&gt;""""),COUNTA(FILTER(I$1:I384, I$1:I384&lt;&gt;""""))))-1), IF('To Order'!$A385=COLUMNS($A385:I"&amp;"404), I384&amp;RIGHT(INDIRECT(ADDRESS(ROW(I385)-1, 'From Order'!$A385)), 1), I384))"),"G")</f>
        <v>G</v>
      </c>
    </row>
    <row r="386">
      <c r="A386" s="2" t="str">
        <f>IFERROR(__xludf.DUMMYFUNCTION("IF('From Order'!$A386=COLUMNS($A386:A405), LEFT(INDEX(FILTER(A$1:A385, A$1:A385&lt;&gt;""""),COUNTA(FILTER(A$1:A385, A$1:A385&lt;&gt;""""))), LEN(INDEX(FILTER(A$1:A385, A$1:A385&lt;&gt;""""),COUNTA(FILTER(A$1:A385, A$1:A385&lt;&gt;""""))))-1), IF('To Order'!$A386=COLUMNS($A386:A"&amp;"405), A385&amp;RIGHT(INDIRECT(ADDRESS(ROW(A386)-1, 'From Order'!$A386)), 1), A385))"),"CTFTMQCDTRLDRWTJTVC")</f>
        <v>CTFTMQCDTRLDRWTJTVC</v>
      </c>
      <c r="B386" s="2" t="str">
        <f>IFERROR(__xludf.DUMMYFUNCTION("IF('From Order'!$A386=COLUMNS($A386:B405), LEFT(INDEX(FILTER(B$1:B385, B$1:B385&lt;&gt;""""),COUNTA(FILTER(B$1:B385, B$1:B385&lt;&gt;""""))), LEN(INDEX(FILTER(B$1:B385, B$1:B385&lt;&gt;""""),COUNTA(FILTER(B$1:B385, B$1:B385&lt;&gt;""""))))-1), IF('To Order'!$A386=COLUMNS($A386:B"&amp;"405), B385&amp;RIGHT(INDIRECT(ADDRESS(ROW(B386)-1, 'From Order'!$A386)), 1), B385))"),"JZRLBSGDTDDZMVP")</f>
        <v>JZRLBSGDTDDZMVP</v>
      </c>
      <c r="C386" s="2" t="str">
        <f>IFERROR(__xludf.DUMMYFUNCTION("IF('From Order'!$A386=COLUMNS($A386:C405), LEFT(INDEX(FILTER(C$1:C385, C$1:C385&lt;&gt;""""),COUNTA(FILTER(C$1:C385, C$1:C385&lt;&gt;""""))), LEN(INDEX(FILTER(C$1:C385, C$1:C385&lt;&gt;""""),COUNTA(FILTER(C$1:C385, C$1:C385&lt;&gt;""""))))-1), IF('To Order'!$A386=COLUMNS($A386:C"&amp;"405), C385&amp;RIGHT(INDIRECT(ADDRESS(ROW(C386)-1, 'From Order'!$A386)), 1), C385))"),"SMFBBRQPDS")</f>
        <v>SMFBBRQPDS</v>
      </c>
      <c r="D386" s="2" t="str">
        <f>IFERROR(__xludf.DUMMYFUNCTION("IF('From Order'!$A386=COLUMNS($A386:D405), LEFT(INDEX(FILTER(D$1:D385, D$1:D385&lt;&gt;""""),COUNTA(FILTER(D$1:D385, D$1:D385&lt;&gt;""""))), LEN(INDEX(FILTER(D$1:D385, D$1:D385&lt;&gt;""""),COUNTA(FILTER(D$1:D385, D$1:D385&lt;&gt;""""))))-1), IF('To Order'!$A386=COLUMNS($A386:D"&amp;"405), D385&amp;RIGHT(INDIRECT(ADDRESS(ROW(D386)-1, 'From Order'!$A386)), 1), D385))"),"")</f>
        <v/>
      </c>
      <c r="E386" s="2" t="str">
        <f>IFERROR(__xludf.DUMMYFUNCTION("IF('From Order'!$A386=COLUMNS($A386:E405), LEFT(INDEX(FILTER(E$1:E385, E$1:E385&lt;&gt;""""),COUNTA(FILTER(E$1:E385, E$1:E385&lt;&gt;""""))), LEN(INDEX(FILTER(E$1:E385, E$1:E385&lt;&gt;""""),COUNTA(FILTER(E$1:E385, E$1:E385&lt;&gt;""""))))-1), IF('To Order'!$A386=COLUMNS($A386:E"&amp;"405), E385&amp;RIGHT(INDIRECT(ADDRESS(ROW(E386)-1, 'From Order'!$A386)), 1), E385))"),"HZRV")</f>
        <v>HZRV</v>
      </c>
      <c r="F386" s="2" t="str">
        <f>IFERROR(__xludf.DUMMYFUNCTION("IF('From Order'!$A386=COLUMNS($A386:F405), LEFT(INDEX(FILTER(F$1:F385, F$1:F385&lt;&gt;""""),COUNTA(FILTER(F$1:F385, F$1:F385&lt;&gt;""""))), LEN(INDEX(FILTER(F$1:F385, F$1:F385&lt;&gt;""""),COUNTA(FILTER(F$1:F385, F$1:F385&lt;&gt;""""))))-1), IF('To Order'!$A386=COLUMNS($A386:F"&amp;"405), F385&amp;RIGHT(INDIRECT(ADDRESS(ROW(F386)-1, 'From Order'!$A386)), 1), F385))"),"HS")</f>
        <v>HS</v>
      </c>
      <c r="G386" s="2" t="str">
        <f>IFERROR(__xludf.DUMMYFUNCTION("IF('From Order'!$A386=COLUMNS($A386:G405), LEFT(INDEX(FILTER(G$1:G385, G$1:G385&lt;&gt;""""),COUNTA(FILTER(G$1:G385, G$1:G385&lt;&gt;""""))), LEN(INDEX(FILTER(G$1:G385, G$1:G385&lt;&gt;""""),COUNTA(FILTER(G$1:G385, G$1:G385&lt;&gt;""""))))-1), IF('To Order'!$A386=COLUMNS($A386:G"&amp;"405), G385&amp;RIGHT(INDIRECT(ADDRESS(ROW(G386)-1, 'From Order'!$A386)), 1), G385))"),"LJ")</f>
        <v>LJ</v>
      </c>
      <c r="H386" s="2" t="str">
        <f>IFERROR(__xludf.DUMMYFUNCTION("IF('From Order'!$A386=COLUMNS($A386:H405), LEFT(INDEX(FILTER(H$1:H385, H$1:H385&lt;&gt;""""),COUNTA(FILTER(H$1:H385, H$1:H385&lt;&gt;""""))), LEN(INDEX(FILTER(H$1:H385, H$1:H385&lt;&gt;""""),COUNTA(FILTER(H$1:H385, H$1:H385&lt;&gt;""""))))-1), IF('To Order'!$A386=COLUMNS($A386:H"&amp;"405), H385&amp;RIGHT(INDIRECT(ADDRESS(ROW(H386)-1, 'From Order'!$A386)), 1), H385))"),"WPB")</f>
        <v>WPB</v>
      </c>
      <c r="I386" s="2" t="str">
        <f>IFERROR(__xludf.DUMMYFUNCTION("IF('From Order'!$A386=COLUMNS($A386:I405), LEFT(INDEX(FILTER(I$1:I385, I$1:I385&lt;&gt;""""),COUNTA(FILTER(I$1:I385, I$1:I385&lt;&gt;""""))), LEN(INDEX(FILTER(I$1:I385, I$1:I385&lt;&gt;""""),COUNTA(FILTER(I$1:I385, I$1:I385&lt;&gt;""""))))-1), IF('To Order'!$A386=COLUMNS($A386:I"&amp;"405), I385&amp;RIGHT(INDIRECT(ADDRESS(ROW(I386)-1, 'From Order'!$A386)), 1), I385))"),"G")</f>
        <v>G</v>
      </c>
    </row>
    <row r="387">
      <c r="A387" s="2" t="str">
        <f>IFERROR(__xludf.DUMMYFUNCTION("IF('From Order'!$A387=COLUMNS($A387:A406), LEFT(INDEX(FILTER(A$1:A386, A$1:A386&lt;&gt;""""),COUNTA(FILTER(A$1:A386, A$1:A386&lt;&gt;""""))), LEN(INDEX(FILTER(A$1:A386, A$1:A386&lt;&gt;""""),COUNTA(FILTER(A$1:A386, A$1:A386&lt;&gt;""""))))-1), IF('To Order'!$A387=COLUMNS($A387:A"&amp;"406), A386&amp;RIGHT(INDIRECT(ADDRESS(ROW(A387)-1, 'From Order'!$A387)), 1), A386))"),"CTFTMQCDTRLDRWTJTVC")</f>
        <v>CTFTMQCDTRLDRWTJTVC</v>
      </c>
      <c r="B387" s="2" t="str">
        <f>IFERROR(__xludf.DUMMYFUNCTION("IF('From Order'!$A387=COLUMNS($A387:B406), LEFT(INDEX(FILTER(B$1:B386, B$1:B386&lt;&gt;""""),COUNTA(FILTER(B$1:B386, B$1:B386&lt;&gt;""""))), LEN(INDEX(FILTER(B$1:B386, B$1:B386&lt;&gt;""""),COUNTA(FILTER(B$1:B386, B$1:B386&lt;&gt;""""))))-1), IF('To Order'!$A387=COLUMNS($A387:B"&amp;"406), B386&amp;RIGHT(INDIRECT(ADDRESS(ROW(B387)-1, 'From Order'!$A387)), 1), B386))"),"JZRLBSGDTDDZMVPS")</f>
        <v>JZRLBSGDTDDZMVPS</v>
      </c>
      <c r="C387" s="2" t="str">
        <f>IFERROR(__xludf.DUMMYFUNCTION("IF('From Order'!$A387=COLUMNS($A387:C406), LEFT(INDEX(FILTER(C$1:C386, C$1:C386&lt;&gt;""""),COUNTA(FILTER(C$1:C386, C$1:C386&lt;&gt;""""))), LEN(INDEX(FILTER(C$1:C386, C$1:C386&lt;&gt;""""),COUNTA(FILTER(C$1:C386, C$1:C386&lt;&gt;""""))))-1), IF('To Order'!$A387=COLUMNS($A387:C"&amp;"406), C386&amp;RIGHT(INDIRECT(ADDRESS(ROW(C387)-1, 'From Order'!$A387)), 1), C386))"),"SMFBBRQPDS")</f>
        <v>SMFBBRQPDS</v>
      </c>
      <c r="D387" s="2" t="str">
        <f>IFERROR(__xludf.DUMMYFUNCTION("IF('From Order'!$A387=COLUMNS($A387:D406), LEFT(INDEX(FILTER(D$1:D386, D$1:D386&lt;&gt;""""),COUNTA(FILTER(D$1:D386, D$1:D386&lt;&gt;""""))), LEN(INDEX(FILTER(D$1:D386, D$1:D386&lt;&gt;""""),COUNTA(FILTER(D$1:D386, D$1:D386&lt;&gt;""""))))-1), IF('To Order'!$A387=COLUMNS($A387:D"&amp;"406), D386&amp;RIGHT(INDIRECT(ADDRESS(ROW(D387)-1, 'From Order'!$A387)), 1), D386))"),"")</f>
        <v/>
      </c>
      <c r="E387" s="2" t="str">
        <f>IFERROR(__xludf.DUMMYFUNCTION("IF('From Order'!$A387=COLUMNS($A387:E406), LEFT(INDEX(FILTER(E$1:E386, E$1:E386&lt;&gt;""""),COUNTA(FILTER(E$1:E386, E$1:E386&lt;&gt;""""))), LEN(INDEX(FILTER(E$1:E386, E$1:E386&lt;&gt;""""),COUNTA(FILTER(E$1:E386, E$1:E386&lt;&gt;""""))))-1), IF('To Order'!$A387=COLUMNS($A387:E"&amp;"406), E386&amp;RIGHT(INDIRECT(ADDRESS(ROW(E387)-1, 'From Order'!$A387)), 1), E386))"),"HZRV")</f>
        <v>HZRV</v>
      </c>
      <c r="F387" s="2" t="str">
        <f>IFERROR(__xludf.DUMMYFUNCTION("IF('From Order'!$A387=COLUMNS($A387:F406), LEFT(INDEX(FILTER(F$1:F386, F$1:F386&lt;&gt;""""),COUNTA(FILTER(F$1:F386, F$1:F386&lt;&gt;""""))), LEN(INDEX(FILTER(F$1:F386, F$1:F386&lt;&gt;""""),COUNTA(FILTER(F$1:F386, F$1:F386&lt;&gt;""""))))-1), IF('To Order'!$A387=COLUMNS($A387:F"&amp;"406), F386&amp;RIGHT(INDIRECT(ADDRESS(ROW(F387)-1, 'From Order'!$A387)), 1), F386))"),"H")</f>
        <v>H</v>
      </c>
      <c r="G387" s="2" t="str">
        <f>IFERROR(__xludf.DUMMYFUNCTION("IF('From Order'!$A387=COLUMNS($A387:G406), LEFT(INDEX(FILTER(G$1:G386, G$1:G386&lt;&gt;""""),COUNTA(FILTER(G$1:G386, G$1:G386&lt;&gt;""""))), LEN(INDEX(FILTER(G$1:G386, G$1:G386&lt;&gt;""""),COUNTA(FILTER(G$1:G386, G$1:G386&lt;&gt;""""))))-1), IF('To Order'!$A387=COLUMNS($A387:G"&amp;"406), G386&amp;RIGHT(INDIRECT(ADDRESS(ROW(G387)-1, 'From Order'!$A387)), 1), G386))"),"LJ")</f>
        <v>LJ</v>
      </c>
      <c r="H387" s="2" t="str">
        <f>IFERROR(__xludf.DUMMYFUNCTION("IF('From Order'!$A387=COLUMNS($A387:H406), LEFT(INDEX(FILTER(H$1:H386, H$1:H386&lt;&gt;""""),COUNTA(FILTER(H$1:H386, H$1:H386&lt;&gt;""""))), LEN(INDEX(FILTER(H$1:H386, H$1:H386&lt;&gt;""""),COUNTA(FILTER(H$1:H386, H$1:H386&lt;&gt;""""))))-1), IF('To Order'!$A387=COLUMNS($A387:H"&amp;"406), H386&amp;RIGHT(INDIRECT(ADDRESS(ROW(H387)-1, 'From Order'!$A387)), 1), H386))"),"WPB")</f>
        <v>WPB</v>
      </c>
      <c r="I387" s="2" t="str">
        <f>IFERROR(__xludf.DUMMYFUNCTION("IF('From Order'!$A387=COLUMNS($A387:I406), LEFT(INDEX(FILTER(I$1:I386, I$1:I386&lt;&gt;""""),COUNTA(FILTER(I$1:I386, I$1:I386&lt;&gt;""""))), LEN(INDEX(FILTER(I$1:I386, I$1:I386&lt;&gt;""""),COUNTA(FILTER(I$1:I386, I$1:I386&lt;&gt;""""))))-1), IF('To Order'!$A387=COLUMNS($A387:I"&amp;"406), I386&amp;RIGHT(INDIRECT(ADDRESS(ROW(I387)-1, 'From Order'!$A387)), 1), I386))"),"G")</f>
        <v>G</v>
      </c>
    </row>
    <row r="388">
      <c r="A388" s="2" t="str">
        <f>IFERROR(__xludf.DUMMYFUNCTION("IF('From Order'!$A388=COLUMNS($A388:A407), LEFT(INDEX(FILTER(A$1:A387, A$1:A387&lt;&gt;""""),COUNTA(FILTER(A$1:A387, A$1:A387&lt;&gt;""""))), LEN(INDEX(FILTER(A$1:A387, A$1:A387&lt;&gt;""""),COUNTA(FILTER(A$1:A387, A$1:A387&lt;&gt;""""))))-1), IF('To Order'!$A388=COLUMNS($A388:A"&amp;"407), A387&amp;RIGHT(INDIRECT(ADDRESS(ROW(A388)-1, 'From Order'!$A388)), 1), A387))"),"CTFTMQCDTRLDRWTJTVCB")</f>
        <v>CTFTMQCDTRLDRWTJTVCB</v>
      </c>
      <c r="B388" s="2" t="str">
        <f>IFERROR(__xludf.DUMMYFUNCTION("IF('From Order'!$A388=COLUMNS($A388:B407), LEFT(INDEX(FILTER(B$1:B387, B$1:B387&lt;&gt;""""),COUNTA(FILTER(B$1:B387, B$1:B387&lt;&gt;""""))), LEN(INDEX(FILTER(B$1:B387, B$1:B387&lt;&gt;""""),COUNTA(FILTER(B$1:B387, B$1:B387&lt;&gt;""""))))-1), IF('To Order'!$A388=COLUMNS($A388:B"&amp;"407), B387&amp;RIGHT(INDIRECT(ADDRESS(ROW(B388)-1, 'From Order'!$A388)), 1), B387))"),"JZRLBSGDTDDZMVPS")</f>
        <v>JZRLBSGDTDDZMVPS</v>
      </c>
      <c r="C388" s="2" t="str">
        <f>IFERROR(__xludf.DUMMYFUNCTION("IF('From Order'!$A388=COLUMNS($A388:C407), LEFT(INDEX(FILTER(C$1:C387, C$1:C387&lt;&gt;""""),COUNTA(FILTER(C$1:C387, C$1:C387&lt;&gt;""""))), LEN(INDEX(FILTER(C$1:C387, C$1:C387&lt;&gt;""""),COUNTA(FILTER(C$1:C387, C$1:C387&lt;&gt;""""))))-1), IF('To Order'!$A388=COLUMNS($A388:C"&amp;"407), C387&amp;RIGHT(INDIRECT(ADDRESS(ROW(C388)-1, 'From Order'!$A388)), 1), C387))"),"SMFBBRQPDS")</f>
        <v>SMFBBRQPDS</v>
      </c>
      <c r="D388" s="2" t="str">
        <f>IFERROR(__xludf.DUMMYFUNCTION("IF('From Order'!$A388=COLUMNS($A388:D407), LEFT(INDEX(FILTER(D$1:D387, D$1:D387&lt;&gt;""""),COUNTA(FILTER(D$1:D387, D$1:D387&lt;&gt;""""))), LEN(INDEX(FILTER(D$1:D387, D$1:D387&lt;&gt;""""),COUNTA(FILTER(D$1:D387, D$1:D387&lt;&gt;""""))))-1), IF('To Order'!$A388=COLUMNS($A388:D"&amp;"407), D387&amp;RIGHT(INDIRECT(ADDRESS(ROW(D388)-1, 'From Order'!$A388)), 1), D387))"),"")</f>
        <v/>
      </c>
      <c r="E388" s="2" t="str">
        <f>IFERROR(__xludf.DUMMYFUNCTION("IF('From Order'!$A388=COLUMNS($A388:E407), LEFT(INDEX(FILTER(E$1:E387, E$1:E387&lt;&gt;""""),COUNTA(FILTER(E$1:E387, E$1:E387&lt;&gt;""""))), LEN(INDEX(FILTER(E$1:E387, E$1:E387&lt;&gt;""""),COUNTA(FILTER(E$1:E387, E$1:E387&lt;&gt;""""))))-1), IF('To Order'!$A388=COLUMNS($A388:E"&amp;"407), E387&amp;RIGHT(INDIRECT(ADDRESS(ROW(E388)-1, 'From Order'!$A388)), 1), E387))"),"HZRV")</f>
        <v>HZRV</v>
      </c>
      <c r="F388" s="2" t="str">
        <f>IFERROR(__xludf.DUMMYFUNCTION("IF('From Order'!$A388=COLUMNS($A388:F407), LEFT(INDEX(FILTER(F$1:F387, F$1:F387&lt;&gt;""""),COUNTA(FILTER(F$1:F387, F$1:F387&lt;&gt;""""))), LEN(INDEX(FILTER(F$1:F387, F$1:F387&lt;&gt;""""),COUNTA(FILTER(F$1:F387, F$1:F387&lt;&gt;""""))))-1), IF('To Order'!$A388=COLUMNS($A388:F"&amp;"407), F387&amp;RIGHT(INDIRECT(ADDRESS(ROW(F388)-1, 'From Order'!$A388)), 1), F387))"),"H")</f>
        <v>H</v>
      </c>
      <c r="G388" s="2" t="str">
        <f>IFERROR(__xludf.DUMMYFUNCTION("IF('From Order'!$A388=COLUMNS($A388:G407), LEFT(INDEX(FILTER(G$1:G387, G$1:G387&lt;&gt;""""),COUNTA(FILTER(G$1:G387, G$1:G387&lt;&gt;""""))), LEN(INDEX(FILTER(G$1:G387, G$1:G387&lt;&gt;""""),COUNTA(FILTER(G$1:G387, G$1:G387&lt;&gt;""""))))-1), IF('To Order'!$A388=COLUMNS($A388:G"&amp;"407), G387&amp;RIGHT(INDIRECT(ADDRESS(ROW(G388)-1, 'From Order'!$A388)), 1), G387))"),"LJ")</f>
        <v>LJ</v>
      </c>
      <c r="H388" s="2" t="str">
        <f>IFERROR(__xludf.DUMMYFUNCTION("IF('From Order'!$A388=COLUMNS($A388:H407), LEFT(INDEX(FILTER(H$1:H387, H$1:H387&lt;&gt;""""),COUNTA(FILTER(H$1:H387, H$1:H387&lt;&gt;""""))), LEN(INDEX(FILTER(H$1:H387, H$1:H387&lt;&gt;""""),COUNTA(FILTER(H$1:H387, H$1:H387&lt;&gt;""""))))-1), IF('To Order'!$A388=COLUMNS($A388:H"&amp;"407), H387&amp;RIGHT(INDIRECT(ADDRESS(ROW(H388)-1, 'From Order'!$A388)), 1), H387))"),"WP")</f>
        <v>WP</v>
      </c>
      <c r="I388" s="2" t="str">
        <f>IFERROR(__xludf.DUMMYFUNCTION("IF('From Order'!$A388=COLUMNS($A388:I407), LEFT(INDEX(FILTER(I$1:I387, I$1:I387&lt;&gt;""""),COUNTA(FILTER(I$1:I387, I$1:I387&lt;&gt;""""))), LEN(INDEX(FILTER(I$1:I387, I$1:I387&lt;&gt;""""),COUNTA(FILTER(I$1:I387, I$1:I387&lt;&gt;""""))))-1), IF('To Order'!$A388=COLUMNS($A388:I"&amp;"407), I387&amp;RIGHT(INDIRECT(ADDRESS(ROW(I388)-1, 'From Order'!$A388)), 1), I387))"),"G")</f>
        <v>G</v>
      </c>
    </row>
    <row r="389">
      <c r="A389" s="2" t="str">
        <f>IFERROR(__xludf.DUMMYFUNCTION("IF('From Order'!$A389=COLUMNS($A389:A408), LEFT(INDEX(FILTER(A$1:A388, A$1:A388&lt;&gt;""""),COUNTA(FILTER(A$1:A388, A$1:A388&lt;&gt;""""))), LEN(INDEX(FILTER(A$1:A388, A$1:A388&lt;&gt;""""),COUNTA(FILTER(A$1:A388, A$1:A388&lt;&gt;""""))))-1), IF('To Order'!$A389=COLUMNS($A389:A"&amp;"408), A388&amp;RIGHT(INDIRECT(ADDRESS(ROW(A389)-1, 'From Order'!$A389)), 1), A388))"),"CTFTMQCDTRLDRWTJTVCBP")</f>
        <v>CTFTMQCDTRLDRWTJTVCBP</v>
      </c>
      <c r="B389" s="2" t="str">
        <f>IFERROR(__xludf.DUMMYFUNCTION("IF('From Order'!$A389=COLUMNS($A389:B408), LEFT(INDEX(FILTER(B$1:B388, B$1:B388&lt;&gt;""""),COUNTA(FILTER(B$1:B388, B$1:B388&lt;&gt;""""))), LEN(INDEX(FILTER(B$1:B388, B$1:B388&lt;&gt;""""),COUNTA(FILTER(B$1:B388, B$1:B388&lt;&gt;""""))))-1), IF('To Order'!$A389=COLUMNS($A389:B"&amp;"408), B388&amp;RIGHT(INDIRECT(ADDRESS(ROW(B389)-1, 'From Order'!$A389)), 1), B388))"),"JZRLBSGDTDDZMVPS")</f>
        <v>JZRLBSGDTDDZMVPS</v>
      </c>
      <c r="C389" s="2" t="str">
        <f>IFERROR(__xludf.DUMMYFUNCTION("IF('From Order'!$A389=COLUMNS($A389:C408), LEFT(INDEX(FILTER(C$1:C388, C$1:C388&lt;&gt;""""),COUNTA(FILTER(C$1:C388, C$1:C388&lt;&gt;""""))), LEN(INDEX(FILTER(C$1:C388, C$1:C388&lt;&gt;""""),COUNTA(FILTER(C$1:C388, C$1:C388&lt;&gt;""""))))-1), IF('To Order'!$A389=COLUMNS($A389:C"&amp;"408), C388&amp;RIGHT(INDIRECT(ADDRESS(ROW(C389)-1, 'From Order'!$A389)), 1), C388))"),"SMFBBRQPDS")</f>
        <v>SMFBBRQPDS</v>
      </c>
      <c r="D389" s="2" t="str">
        <f>IFERROR(__xludf.DUMMYFUNCTION("IF('From Order'!$A389=COLUMNS($A389:D408), LEFT(INDEX(FILTER(D$1:D388, D$1:D388&lt;&gt;""""),COUNTA(FILTER(D$1:D388, D$1:D388&lt;&gt;""""))), LEN(INDEX(FILTER(D$1:D388, D$1:D388&lt;&gt;""""),COUNTA(FILTER(D$1:D388, D$1:D388&lt;&gt;""""))))-1), IF('To Order'!$A389=COLUMNS($A389:D"&amp;"408), D388&amp;RIGHT(INDIRECT(ADDRESS(ROW(D389)-1, 'From Order'!$A389)), 1), D388))"),"")</f>
        <v/>
      </c>
      <c r="E389" s="2" t="str">
        <f>IFERROR(__xludf.DUMMYFUNCTION("IF('From Order'!$A389=COLUMNS($A389:E408), LEFT(INDEX(FILTER(E$1:E388, E$1:E388&lt;&gt;""""),COUNTA(FILTER(E$1:E388, E$1:E388&lt;&gt;""""))), LEN(INDEX(FILTER(E$1:E388, E$1:E388&lt;&gt;""""),COUNTA(FILTER(E$1:E388, E$1:E388&lt;&gt;""""))))-1), IF('To Order'!$A389=COLUMNS($A389:E"&amp;"408), E388&amp;RIGHT(INDIRECT(ADDRESS(ROW(E389)-1, 'From Order'!$A389)), 1), E388))"),"HZRV")</f>
        <v>HZRV</v>
      </c>
      <c r="F389" s="2" t="str">
        <f>IFERROR(__xludf.DUMMYFUNCTION("IF('From Order'!$A389=COLUMNS($A389:F408), LEFT(INDEX(FILTER(F$1:F388, F$1:F388&lt;&gt;""""),COUNTA(FILTER(F$1:F388, F$1:F388&lt;&gt;""""))), LEN(INDEX(FILTER(F$1:F388, F$1:F388&lt;&gt;""""),COUNTA(FILTER(F$1:F388, F$1:F388&lt;&gt;""""))))-1), IF('To Order'!$A389=COLUMNS($A389:F"&amp;"408), F388&amp;RIGHT(INDIRECT(ADDRESS(ROW(F389)-1, 'From Order'!$A389)), 1), F388))"),"H")</f>
        <v>H</v>
      </c>
      <c r="G389" s="2" t="str">
        <f>IFERROR(__xludf.DUMMYFUNCTION("IF('From Order'!$A389=COLUMNS($A389:G408), LEFT(INDEX(FILTER(G$1:G388, G$1:G388&lt;&gt;""""),COUNTA(FILTER(G$1:G388, G$1:G388&lt;&gt;""""))), LEN(INDEX(FILTER(G$1:G388, G$1:G388&lt;&gt;""""),COUNTA(FILTER(G$1:G388, G$1:G388&lt;&gt;""""))))-1), IF('To Order'!$A389=COLUMNS($A389:G"&amp;"408), G388&amp;RIGHT(INDIRECT(ADDRESS(ROW(G389)-1, 'From Order'!$A389)), 1), G388))"),"LJ")</f>
        <v>LJ</v>
      </c>
      <c r="H389" s="2" t="str">
        <f>IFERROR(__xludf.DUMMYFUNCTION("IF('From Order'!$A389=COLUMNS($A389:H408), LEFT(INDEX(FILTER(H$1:H388, H$1:H388&lt;&gt;""""),COUNTA(FILTER(H$1:H388, H$1:H388&lt;&gt;""""))), LEN(INDEX(FILTER(H$1:H388, H$1:H388&lt;&gt;""""),COUNTA(FILTER(H$1:H388, H$1:H388&lt;&gt;""""))))-1), IF('To Order'!$A389=COLUMNS($A389:H"&amp;"408), H388&amp;RIGHT(INDIRECT(ADDRESS(ROW(H389)-1, 'From Order'!$A389)), 1), H388))"),"W")</f>
        <v>W</v>
      </c>
      <c r="I389" s="2" t="str">
        <f>IFERROR(__xludf.DUMMYFUNCTION("IF('From Order'!$A389=COLUMNS($A389:I408), LEFT(INDEX(FILTER(I$1:I388, I$1:I388&lt;&gt;""""),COUNTA(FILTER(I$1:I388, I$1:I388&lt;&gt;""""))), LEN(INDEX(FILTER(I$1:I388, I$1:I388&lt;&gt;""""),COUNTA(FILTER(I$1:I388, I$1:I388&lt;&gt;""""))))-1), IF('To Order'!$A389=COLUMNS($A389:I"&amp;"408), I388&amp;RIGHT(INDIRECT(ADDRESS(ROW(I389)-1, 'From Order'!$A389)), 1), I388))"),"G")</f>
        <v>G</v>
      </c>
    </row>
    <row r="390">
      <c r="A390" s="2" t="str">
        <f>IFERROR(__xludf.DUMMYFUNCTION("IF('From Order'!$A390=COLUMNS($A390:A409), LEFT(INDEX(FILTER(A$1:A389, A$1:A389&lt;&gt;""""),COUNTA(FILTER(A$1:A389, A$1:A389&lt;&gt;""""))), LEN(INDEX(FILTER(A$1:A389, A$1:A389&lt;&gt;""""),COUNTA(FILTER(A$1:A389, A$1:A389&lt;&gt;""""))))-1), IF('To Order'!$A390=COLUMNS($A390:A"&amp;"409), A389&amp;RIGHT(INDIRECT(ADDRESS(ROW(A390)-1, 'From Order'!$A390)), 1), A389))"),"CTFTMQCDTRLDRWTJTVCBPW")</f>
        <v>CTFTMQCDTRLDRWTJTVCBPW</v>
      </c>
      <c r="B390" s="2" t="str">
        <f>IFERROR(__xludf.DUMMYFUNCTION("IF('From Order'!$A390=COLUMNS($A390:B409), LEFT(INDEX(FILTER(B$1:B389, B$1:B389&lt;&gt;""""),COUNTA(FILTER(B$1:B389, B$1:B389&lt;&gt;""""))), LEN(INDEX(FILTER(B$1:B389, B$1:B389&lt;&gt;""""),COUNTA(FILTER(B$1:B389, B$1:B389&lt;&gt;""""))))-1), IF('To Order'!$A390=COLUMNS($A390:B"&amp;"409), B389&amp;RIGHT(INDIRECT(ADDRESS(ROW(B390)-1, 'From Order'!$A390)), 1), B389))"),"JZRLBSGDTDDZMVPS")</f>
        <v>JZRLBSGDTDDZMVPS</v>
      </c>
      <c r="C390" s="2" t="str">
        <f>IFERROR(__xludf.DUMMYFUNCTION("IF('From Order'!$A390=COLUMNS($A390:C409), LEFT(INDEX(FILTER(C$1:C389, C$1:C389&lt;&gt;""""),COUNTA(FILTER(C$1:C389, C$1:C389&lt;&gt;""""))), LEN(INDEX(FILTER(C$1:C389, C$1:C389&lt;&gt;""""),COUNTA(FILTER(C$1:C389, C$1:C389&lt;&gt;""""))))-1), IF('To Order'!$A390=COLUMNS($A390:C"&amp;"409), C389&amp;RIGHT(INDIRECT(ADDRESS(ROW(C390)-1, 'From Order'!$A390)), 1), C389))"),"SMFBBRQPDS")</f>
        <v>SMFBBRQPDS</v>
      </c>
      <c r="D390" s="2" t="str">
        <f>IFERROR(__xludf.DUMMYFUNCTION("IF('From Order'!$A390=COLUMNS($A390:D409), LEFT(INDEX(FILTER(D$1:D389, D$1:D389&lt;&gt;""""),COUNTA(FILTER(D$1:D389, D$1:D389&lt;&gt;""""))), LEN(INDEX(FILTER(D$1:D389, D$1:D389&lt;&gt;""""),COUNTA(FILTER(D$1:D389, D$1:D389&lt;&gt;""""))))-1), IF('To Order'!$A390=COLUMNS($A390:D"&amp;"409), D389&amp;RIGHT(INDIRECT(ADDRESS(ROW(D390)-1, 'From Order'!$A390)), 1), D389))"),"")</f>
        <v/>
      </c>
      <c r="E390" s="2" t="str">
        <f>IFERROR(__xludf.DUMMYFUNCTION("IF('From Order'!$A390=COLUMNS($A390:E409), LEFT(INDEX(FILTER(E$1:E389, E$1:E389&lt;&gt;""""),COUNTA(FILTER(E$1:E389, E$1:E389&lt;&gt;""""))), LEN(INDEX(FILTER(E$1:E389, E$1:E389&lt;&gt;""""),COUNTA(FILTER(E$1:E389, E$1:E389&lt;&gt;""""))))-1), IF('To Order'!$A390=COLUMNS($A390:E"&amp;"409), E389&amp;RIGHT(INDIRECT(ADDRESS(ROW(E390)-1, 'From Order'!$A390)), 1), E389))"),"HZRV")</f>
        <v>HZRV</v>
      </c>
      <c r="F390" s="2" t="str">
        <f>IFERROR(__xludf.DUMMYFUNCTION("IF('From Order'!$A390=COLUMNS($A390:F409), LEFT(INDEX(FILTER(F$1:F389, F$1:F389&lt;&gt;""""),COUNTA(FILTER(F$1:F389, F$1:F389&lt;&gt;""""))), LEN(INDEX(FILTER(F$1:F389, F$1:F389&lt;&gt;""""),COUNTA(FILTER(F$1:F389, F$1:F389&lt;&gt;""""))))-1), IF('To Order'!$A390=COLUMNS($A390:F"&amp;"409), F389&amp;RIGHT(INDIRECT(ADDRESS(ROW(F390)-1, 'From Order'!$A390)), 1), F389))"),"H")</f>
        <v>H</v>
      </c>
      <c r="G390" s="2" t="str">
        <f>IFERROR(__xludf.DUMMYFUNCTION("IF('From Order'!$A390=COLUMNS($A390:G409), LEFT(INDEX(FILTER(G$1:G389, G$1:G389&lt;&gt;""""),COUNTA(FILTER(G$1:G389, G$1:G389&lt;&gt;""""))), LEN(INDEX(FILTER(G$1:G389, G$1:G389&lt;&gt;""""),COUNTA(FILTER(G$1:G389, G$1:G389&lt;&gt;""""))))-1), IF('To Order'!$A390=COLUMNS($A390:G"&amp;"409), G389&amp;RIGHT(INDIRECT(ADDRESS(ROW(G390)-1, 'From Order'!$A390)), 1), G389))"),"LJ")</f>
        <v>LJ</v>
      </c>
      <c r="H390" s="2" t="str">
        <f>IFERROR(__xludf.DUMMYFUNCTION("IF('From Order'!$A390=COLUMNS($A390:H409), LEFT(INDEX(FILTER(H$1:H389, H$1:H389&lt;&gt;""""),COUNTA(FILTER(H$1:H389, H$1:H389&lt;&gt;""""))), LEN(INDEX(FILTER(H$1:H389, H$1:H389&lt;&gt;""""),COUNTA(FILTER(H$1:H389, H$1:H389&lt;&gt;""""))))-1), IF('To Order'!$A390=COLUMNS($A390:H"&amp;"409), H389&amp;RIGHT(INDIRECT(ADDRESS(ROW(H390)-1, 'From Order'!$A390)), 1), H389))"),"")</f>
        <v/>
      </c>
      <c r="I390" s="2" t="str">
        <f>IFERROR(__xludf.DUMMYFUNCTION("IF('From Order'!$A390=COLUMNS($A390:I409), LEFT(INDEX(FILTER(I$1:I389, I$1:I389&lt;&gt;""""),COUNTA(FILTER(I$1:I389, I$1:I389&lt;&gt;""""))), LEN(INDEX(FILTER(I$1:I389, I$1:I389&lt;&gt;""""),COUNTA(FILTER(I$1:I389, I$1:I389&lt;&gt;""""))))-1), IF('To Order'!$A390=COLUMNS($A390:I"&amp;"409), I389&amp;RIGHT(INDIRECT(ADDRESS(ROW(I390)-1, 'From Order'!$A390)), 1), I389))"),"G")</f>
        <v>G</v>
      </c>
    </row>
    <row r="391">
      <c r="A391" s="2" t="str">
        <f>IFERROR(__xludf.DUMMYFUNCTION("IF('From Order'!$A391=COLUMNS($A391:A410), LEFT(INDEX(FILTER(A$1:A390, A$1:A390&lt;&gt;""""),COUNTA(FILTER(A$1:A390, A$1:A390&lt;&gt;""""))), LEN(INDEX(FILTER(A$1:A390, A$1:A390&lt;&gt;""""),COUNTA(FILTER(A$1:A390, A$1:A390&lt;&gt;""""))))-1), IF('To Order'!$A391=COLUMNS($A391:A"&amp;"410), A390&amp;RIGHT(INDIRECT(ADDRESS(ROW(A391)-1, 'From Order'!$A391)), 1), A390))"),"CTFTMQCDTRLDRWTJTVCBPW")</f>
        <v>CTFTMQCDTRLDRWTJTVCBPW</v>
      </c>
      <c r="B391" s="2" t="str">
        <f>IFERROR(__xludf.DUMMYFUNCTION("IF('From Order'!$A391=COLUMNS($A391:B410), LEFT(INDEX(FILTER(B$1:B390, B$1:B390&lt;&gt;""""),COUNTA(FILTER(B$1:B390, B$1:B390&lt;&gt;""""))), LEN(INDEX(FILTER(B$1:B390, B$1:B390&lt;&gt;""""),COUNTA(FILTER(B$1:B390, B$1:B390&lt;&gt;""""))))-1), IF('To Order'!$A391=COLUMNS($A391:B"&amp;"410), B390&amp;RIGHT(INDIRECT(ADDRESS(ROW(B391)-1, 'From Order'!$A391)), 1), B390))"),"JZRLBSGDTDDZMVP")</f>
        <v>JZRLBSGDTDDZMVP</v>
      </c>
      <c r="C391" s="2" t="str">
        <f>IFERROR(__xludf.DUMMYFUNCTION("IF('From Order'!$A391=COLUMNS($A391:C410), LEFT(INDEX(FILTER(C$1:C390, C$1:C390&lt;&gt;""""),COUNTA(FILTER(C$1:C390, C$1:C390&lt;&gt;""""))), LEN(INDEX(FILTER(C$1:C390, C$1:C390&lt;&gt;""""),COUNTA(FILTER(C$1:C390, C$1:C390&lt;&gt;""""))))-1), IF('To Order'!$A391=COLUMNS($A391:C"&amp;"410), C390&amp;RIGHT(INDIRECT(ADDRESS(ROW(C391)-1, 'From Order'!$A391)), 1), C390))"),"SMFBBRQPDSS")</f>
        <v>SMFBBRQPDSS</v>
      </c>
      <c r="D391" s="2" t="str">
        <f>IFERROR(__xludf.DUMMYFUNCTION("IF('From Order'!$A391=COLUMNS($A391:D410), LEFT(INDEX(FILTER(D$1:D390, D$1:D390&lt;&gt;""""),COUNTA(FILTER(D$1:D390, D$1:D390&lt;&gt;""""))), LEN(INDEX(FILTER(D$1:D390, D$1:D390&lt;&gt;""""),COUNTA(FILTER(D$1:D390, D$1:D390&lt;&gt;""""))))-1), IF('To Order'!$A391=COLUMNS($A391:D"&amp;"410), D390&amp;RIGHT(INDIRECT(ADDRESS(ROW(D391)-1, 'From Order'!$A391)), 1), D390))"),"")</f>
        <v/>
      </c>
      <c r="E391" s="2" t="str">
        <f>IFERROR(__xludf.DUMMYFUNCTION("IF('From Order'!$A391=COLUMNS($A391:E410), LEFT(INDEX(FILTER(E$1:E390, E$1:E390&lt;&gt;""""),COUNTA(FILTER(E$1:E390, E$1:E390&lt;&gt;""""))), LEN(INDEX(FILTER(E$1:E390, E$1:E390&lt;&gt;""""),COUNTA(FILTER(E$1:E390, E$1:E390&lt;&gt;""""))))-1), IF('To Order'!$A391=COLUMNS($A391:E"&amp;"410), E390&amp;RIGHT(INDIRECT(ADDRESS(ROW(E391)-1, 'From Order'!$A391)), 1), E390))"),"HZRV")</f>
        <v>HZRV</v>
      </c>
      <c r="F391" s="2" t="str">
        <f>IFERROR(__xludf.DUMMYFUNCTION("IF('From Order'!$A391=COLUMNS($A391:F410), LEFT(INDEX(FILTER(F$1:F390, F$1:F390&lt;&gt;""""),COUNTA(FILTER(F$1:F390, F$1:F390&lt;&gt;""""))), LEN(INDEX(FILTER(F$1:F390, F$1:F390&lt;&gt;""""),COUNTA(FILTER(F$1:F390, F$1:F390&lt;&gt;""""))))-1), IF('To Order'!$A391=COLUMNS($A391:F"&amp;"410), F390&amp;RIGHT(INDIRECT(ADDRESS(ROW(F391)-1, 'From Order'!$A391)), 1), F390))"),"H")</f>
        <v>H</v>
      </c>
      <c r="G391" s="2" t="str">
        <f>IFERROR(__xludf.DUMMYFUNCTION("IF('From Order'!$A391=COLUMNS($A391:G410), LEFT(INDEX(FILTER(G$1:G390, G$1:G390&lt;&gt;""""),COUNTA(FILTER(G$1:G390, G$1:G390&lt;&gt;""""))), LEN(INDEX(FILTER(G$1:G390, G$1:G390&lt;&gt;""""),COUNTA(FILTER(G$1:G390, G$1:G390&lt;&gt;""""))))-1), IF('To Order'!$A391=COLUMNS($A391:G"&amp;"410), G390&amp;RIGHT(INDIRECT(ADDRESS(ROW(G391)-1, 'From Order'!$A391)), 1), G390))"),"LJ")</f>
        <v>LJ</v>
      </c>
      <c r="H391" s="2" t="str">
        <f>IFERROR(__xludf.DUMMYFUNCTION("IF('From Order'!$A391=COLUMNS($A391:H410), LEFT(INDEX(FILTER(H$1:H390, H$1:H390&lt;&gt;""""),COUNTA(FILTER(H$1:H390, H$1:H390&lt;&gt;""""))), LEN(INDEX(FILTER(H$1:H390, H$1:H390&lt;&gt;""""),COUNTA(FILTER(H$1:H390, H$1:H390&lt;&gt;""""))))-1), IF('To Order'!$A391=COLUMNS($A391:H"&amp;"410), H390&amp;RIGHT(INDIRECT(ADDRESS(ROW(H391)-1, 'From Order'!$A391)), 1), H390))"),"")</f>
        <v/>
      </c>
      <c r="I391" s="2" t="str">
        <f>IFERROR(__xludf.DUMMYFUNCTION("IF('From Order'!$A391=COLUMNS($A391:I410), LEFT(INDEX(FILTER(I$1:I390, I$1:I390&lt;&gt;""""),COUNTA(FILTER(I$1:I390, I$1:I390&lt;&gt;""""))), LEN(INDEX(FILTER(I$1:I390, I$1:I390&lt;&gt;""""),COUNTA(FILTER(I$1:I390, I$1:I390&lt;&gt;""""))))-1), IF('To Order'!$A391=COLUMNS($A391:I"&amp;"410), I390&amp;RIGHT(INDIRECT(ADDRESS(ROW(I391)-1, 'From Order'!$A391)), 1), I390))"),"G")</f>
        <v>G</v>
      </c>
    </row>
    <row r="392">
      <c r="A392" s="2" t="str">
        <f>IFERROR(__xludf.DUMMYFUNCTION("IF('From Order'!$A392=COLUMNS($A392:A411), LEFT(INDEX(FILTER(A$1:A391, A$1:A391&lt;&gt;""""),COUNTA(FILTER(A$1:A391, A$1:A391&lt;&gt;""""))), LEN(INDEX(FILTER(A$1:A391, A$1:A391&lt;&gt;""""),COUNTA(FILTER(A$1:A391, A$1:A391&lt;&gt;""""))))-1), IF('To Order'!$A392=COLUMNS($A392:A"&amp;"411), A391&amp;RIGHT(INDIRECT(ADDRESS(ROW(A392)-1, 'From Order'!$A392)), 1), A391))"),"CTFTMQCDTRLDRWTJTVCBPW")</f>
        <v>CTFTMQCDTRLDRWTJTVCBPW</v>
      </c>
      <c r="B392" s="2" t="str">
        <f>IFERROR(__xludf.DUMMYFUNCTION("IF('From Order'!$A392=COLUMNS($A392:B411), LEFT(INDEX(FILTER(B$1:B391, B$1:B391&lt;&gt;""""),COUNTA(FILTER(B$1:B391, B$1:B391&lt;&gt;""""))), LEN(INDEX(FILTER(B$1:B391, B$1:B391&lt;&gt;""""),COUNTA(FILTER(B$1:B391, B$1:B391&lt;&gt;""""))))-1), IF('To Order'!$A392=COLUMNS($A392:B"&amp;"411), B391&amp;RIGHT(INDIRECT(ADDRESS(ROW(B392)-1, 'From Order'!$A392)), 1), B391))"),"JZRLBSGDTDDZMV")</f>
        <v>JZRLBSGDTDDZMV</v>
      </c>
      <c r="C392" s="2" t="str">
        <f>IFERROR(__xludf.DUMMYFUNCTION("IF('From Order'!$A392=COLUMNS($A392:C411), LEFT(INDEX(FILTER(C$1:C391, C$1:C391&lt;&gt;""""),COUNTA(FILTER(C$1:C391, C$1:C391&lt;&gt;""""))), LEN(INDEX(FILTER(C$1:C391, C$1:C391&lt;&gt;""""),COUNTA(FILTER(C$1:C391, C$1:C391&lt;&gt;""""))))-1), IF('To Order'!$A392=COLUMNS($A392:C"&amp;"411), C391&amp;RIGHT(INDIRECT(ADDRESS(ROW(C392)-1, 'From Order'!$A392)), 1), C391))"),"SMFBBRQPDSSP")</f>
        <v>SMFBBRQPDSSP</v>
      </c>
      <c r="D392" s="2" t="str">
        <f>IFERROR(__xludf.DUMMYFUNCTION("IF('From Order'!$A392=COLUMNS($A392:D411), LEFT(INDEX(FILTER(D$1:D391, D$1:D391&lt;&gt;""""),COUNTA(FILTER(D$1:D391, D$1:D391&lt;&gt;""""))), LEN(INDEX(FILTER(D$1:D391, D$1:D391&lt;&gt;""""),COUNTA(FILTER(D$1:D391, D$1:D391&lt;&gt;""""))))-1), IF('To Order'!$A392=COLUMNS($A392:D"&amp;"411), D391&amp;RIGHT(INDIRECT(ADDRESS(ROW(D392)-1, 'From Order'!$A392)), 1), D391))"),"")</f>
        <v/>
      </c>
      <c r="E392" s="2" t="str">
        <f>IFERROR(__xludf.DUMMYFUNCTION("IF('From Order'!$A392=COLUMNS($A392:E411), LEFT(INDEX(FILTER(E$1:E391, E$1:E391&lt;&gt;""""),COUNTA(FILTER(E$1:E391, E$1:E391&lt;&gt;""""))), LEN(INDEX(FILTER(E$1:E391, E$1:E391&lt;&gt;""""),COUNTA(FILTER(E$1:E391, E$1:E391&lt;&gt;""""))))-1), IF('To Order'!$A392=COLUMNS($A392:E"&amp;"411), E391&amp;RIGHT(INDIRECT(ADDRESS(ROW(E392)-1, 'From Order'!$A392)), 1), E391))"),"HZRV")</f>
        <v>HZRV</v>
      </c>
      <c r="F392" s="2" t="str">
        <f>IFERROR(__xludf.DUMMYFUNCTION("IF('From Order'!$A392=COLUMNS($A392:F411), LEFT(INDEX(FILTER(F$1:F391, F$1:F391&lt;&gt;""""),COUNTA(FILTER(F$1:F391, F$1:F391&lt;&gt;""""))), LEN(INDEX(FILTER(F$1:F391, F$1:F391&lt;&gt;""""),COUNTA(FILTER(F$1:F391, F$1:F391&lt;&gt;""""))))-1), IF('To Order'!$A392=COLUMNS($A392:F"&amp;"411), F391&amp;RIGHT(INDIRECT(ADDRESS(ROW(F392)-1, 'From Order'!$A392)), 1), F391))"),"H")</f>
        <v>H</v>
      </c>
      <c r="G392" s="2" t="str">
        <f>IFERROR(__xludf.DUMMYFUNCTION("IF('From Order'!$A392=COLUMNS($A392:G411), LEFT(INDEX(FILTER(G$1:G391, G$1:G391&lt;&gt;""""),COUNTA(FILTER(G$1:G391, G$1:G391&lt;&gt;""""))), LEN(INDEX(FILTER(G$1:G391, G$1:G391&lt;&gt;""""),COUNTA(FILTER(G$1:G391, G$1:G391&lt;&gt;""""))))-1), IF('To Order'!$A392=COLUMNS($A392:G"&amp;"411), G391&amp;RIGHT(INDIRECT(ADDRESS(ROW(G392)-1, 'From Order'!$A392)), 1), G391))"),"LJ")</f>
        <v>LJ</v>
      </c>
      <c r="H392" s="2" t="str">
        <f>IFERROR(__xludf.DUMMYFUNCTION("IF('From Order'!$A392=COLUMNS($A392:H411), LEFT(INDEX(FILTER(H$1:H391, H$1:H391&lt;&gt;""""),COUNTA(FILTER(H$1:H391, H$1:H391&lt;&gt;""""))), LEN(INDEX(FILTER(H$1:H391, H$1:H391&lt;&gt;""""),COUNTA(FILTER(H$1:H391, H$1:H391&lt;&gt;""""))))-1), IF('To Order'!$A392=COLUMNS($A392:H"&amp;"411), H391&amp;RIGHT(INDIRECT(ADDRESS(ROW(H392)-1, 'From Order'!$A392)), 1), H391))"),"")</f>
        <v/>
      </c>
      <c r="I392" s="2" t="str">
        <f>IFERROR(__xludf.DUMMYFUNCTION("IF('From Order'!$A392=COLUMNS($A392:I411), LEFT(INDEX(FILTER(I$1:I391, I$1:I391&lt;&gt;""""),COUNTA(FILTER(I$1:I391, I$1:I391&lt;&gt;""""))), LEN(INDEX(FILTER(I$1:I391, I$1:I391&lt;&gt;""""),COUNTA(FILTER(I$1:I391, I$1:I391&lt;&gt;""""))))-1), IF('To Order'!$A392=COLUMNS($A392:I"&amp;"411), I391&amp;RIGHT(INDIRECT(ADDRESS(ROW(I392)-1, 'From Order'!$A392)), 1), I391))"),"G")</f>
        <v>G</v>
      </c>
    </row>
    <row r="393">
      <c r="A393" s="2" t="str">
        <f>IFERROR(__xludf.DUMMYFUNCTION("IF('From Order'!$A393=COLUMNS($A393:A412), LEFT(INDEX(FILTER(A$1:A392, A$1:A392&lt;&gt;""""),COUNTA(FILTER(A$1:A392, A$1:A392&lt;&gt;""""))), LEN(INDEX(FILTER(A$1:A392, A$1:A392&lt;&gt;""""),COUNTA(FILTER(A$1:A392, A$1:A392&lt;&gt;""""))))-1), IF('To Order'!$A393=COLUMNS($A393:A"&amp;"412), A392&amp;RIGHT(INDIRECT(ADDRESS(ROW(A393)-1, 'From Order'!$A393)), 1), A392))"),"CTFTMQCDTRLDRWTJTVCBPW")</f>
        <v>CTFTMQCDTRLDRWTJTVCBPW</v>
      </c>
      <c r="B393" s="2" t="str">
        <f>IFERROR(__xludf.DUMMYFUNCTION("IF('From Order'!$A393=COLUMNS($A393:B412), LEFT(INDEX(FILTER(B$1:B392, B$1:B392&lt;&gt;""""),COUNTA(FILTER(B$1:B392, B$1:B392&lt;&gt;""""))), LEN(INDEX(FILTER(B$1:B392, B$1:B392&lt;&gt;""""),COUNTA(FILTER(B$1:B392, B$1:B392&lt;&gt;""""))))-1), IF('To Order'!$A393=COLUMNS($A393:B"&amp;"412), B392&amp;RIGHT(INDIRECT(ADDRESS(ROW(B393)-1, 'From Order'!$A393)), 1), B392))"),"JZRLBSGDTDDZM")</f>
        <v>JZRLBSGDTDDZM</v>
      </c>
      <c r="C393" s="2" t="str">
        <f>IFERROR(__xludf.DUMMYFUNCTION("IF('From Order'!$A393=COLUMNS($A393:C412), LEFT(INDEX(FILTER(C$1:C392, C$1:C392&lt;&gt;""""),COUNTA(FILTER(C$1:C392, C$1:C392&lt;&gt;""""))), LEN(INDEX(FILTER(C$1:C392, C$1:C392&lt;&gt;""""),COUNTA(FILTER(C$1:C392, C$1:C392&lt;&gt;""""))))-1), IF('To Order'!$A393=COLUMNS($A393:C"&amp;"412), C392&amp;RIGHT(INDIRECT(ADDRESS(ROW(C393)-1, 'From Order'!$A393)), 1), C392))"),"SMFBBRQPDSSPV")</f>
        <v>SMFBBRQPDSSPV</v>
      </c>
      <c r="D393" s="2" t="str">
        <f>IFERROR(__xludf.DUMMYFUNCTION("IF('From Order'!$A393=COLUMNS($A393:D412), LEFT(INDEX(FILTER(D$1:D392, D$1:D392&lt;&gt;""""),COUNTA(FILTER(D$1:D392, D$1:D392&lt;&gt;""""))), LEN(INDEX(FILTER(D$1:D392, D$1:D392&lt;&gt;""""),COUNTA(FILTER(D$1:D392, D$1:D392&lt;&gt;""""))))-1), IF('To Order'!$A393=COLUMNS($A393:D"&amp;"412), D392&amp;RIGHT(INDIRECT(ADDRESS(ROW(D393)-1, 'From Order'!$A393)), 1), D392))"),"")</f>
        <v/>
      </c>
      <c r="E393" s="2" t="str">
        <f>IFERROR(__xludf.DUMMYFUNCTION("IF('From Order'!$A393=COLUMNS($A393:E412), LEFT(INDEX(FILTER(E$1:E392, E$1:E392&lt;&gt;""""),COUNTA(FILTER(E$1:E392, E$1:E392&lt;&gt;""""))), LEN(INDEX(FILTER(E$1:E392, E$1:E392&lt;&gt;""""),COUNTA(FILTER(E$1:E392, E$1:E392&lt;&gt;""""))))-1), IF('To Order'!$A393=COLUMNS($A393:E"&amp;"412), E392&amp;RIGHT(INDIRECT(ADDRESS(ROW(E393)-1, 'From Order'!$A393)), 1), E392))"),"HZRV")</f>
        <v>HZRV</v>
      </c>
      <c r="F393" s="2" t="str">
        <f>IFERROR(__xludf.DUMMYFUNCTION("IF('From Order'!$A393=COLUMNS($A393:F412), LEFT(INDEX(FILTER(F$1:F392, F$1:F392&lt;&gt;""""),COUNTA(FILTER(F$1:F392, F$1:F392&lt;&gt;""""))), LEN(INDEX(FILTER(F$1:F392, F$1:F392&lt;&gt;""""),COUNTA(FILTER(F$1:F392, F$1:F392&lt;&gt;""""))))-1), IF('To Order'!$A393=COLUMNS($A393:F"&amp;"412), F392&amp;RIGHT(INDIRECT(ADDRESS(ROW(F393)-1, 'From Order'!$A393)), 1), F392))"),"H")</f>
        <v>H</v>
      </c>
      <c r="G393" s="2" t="str">
        <f>IFERROR(__xludf.DUMMYFUNCTION("IF('From Order'!$A393=COLUMNS($A393:G412), LEFT(INDEX(FILTER(G$1:G392, G$1:G392&lt;&gt;""""),COUNTA(FILTER(G$1:G392, G$1:G392&lt;&gt;""""))), LEN(INDEX(FILTER(G$1:G392, G$1:G392&lt;&gt;""""),COUNTA(FILTER(G$1:G392, G$1:G392&lt;&gt;""""))))-1), IF('To Order'!$A393=COLUMNS($A393:G"&amp;"412), G392&amp;RIGHT(INDIRECT(ADDRESS(ROW(G393)-1, 'From Order'!$A393)), 1), G392))"),"LJ")</f>
        <v>LJ</v>
      </c>
      <c r="H393" s="2" t="str">
        <f>IFERROR(__xludf.DUMMYFUNCTION("IF('From Order'!$A393=COLUMNS($A393:H412), LEFT(INDEX(FILTER(H$1:H392, H$1:H392&lt;&gt;""""),COUNTA(FILTER(H$1:H392, H$1:H392&lt;&gt;""""))), LEN(INDEX(FILTER(H$1:H392, H$1:H392&lt;&gt;""""),COUNTA(FILTER(H$1:H392, H$1:H392&lt;&gt;""""))))-1), IF('To Order'!$A393=COLUMNS($A393:H"&amp;"412), H392&amp;RIGHT(INDIRECT(ADDRESS(ROW(H393)-1, 'From Order'!$A393)), 1), H392))"),"")</f>
        <v/>
      </c>
      <c r="I393" s="2" t="str">
        <f>IFERROR(__xludf.DUMMYFUNCTION("IF('From Order'!$A393=COLUMNS($A393:I412), LEFT(INDEX(FILTER(I$1:I392, I$1:I392&lt;&gt;""""),COUNTA(FILTER(I$1:I392, I$1:I392&lt;&gt;""""))), LEN(INDEX(FILTER(I$1:I392, I$1:I392&lt;&gt;""""),COUNTA(FILTER(I$1:I392, I$1:I392&lt;&gt;""""))))-1), IF('To Order'!$A393=COLUMNS($A393:I"&amp;"412), I392&amp;RIGHT(INDIRECT(ADDRESS(ROW(I393)-1, 'From Order'!$A393)), 1), I392))"),"G")</f>
        <v>G</v>
      </c>
    </row>
    <row r="394">
      <c r="A394" s="2" t="str">
        <f>IFERROR(__xludf.DUMMYFUNCTION("IF('From Order'!$A394=COLUMNS($A394:A413), LEFT(INDEX(FILTER(A$1:A393, A$1:A393&lt;&gt;""""),COUNTA(FILTER(A$1:A393, A$1:A393&lt;&gt;""""))), LEN(INDEX(FILTER(A$1:A393, A$1:A393&lt;&gt;""""),COUNTA(FILTER(A$1:A393, A$1:A393&lt;&gt;""""))))-1), IF('To Order'!$A394=COLUMNS($A394:A"&amp;"413), A393&amp;RIGHT(INDIRECT(ADDRESS(ROW(A394)-1, 'From Order'!$A394)), 1), A393))"),"CTFTMQCDTRLDRWTJTVCBPW")</f>
        <v>CTFTMQCDTRLDRWTJTVCBPW</v>
      </c>
      <c r="B394" s="2" t="str">
        <f>IFERROR(__xludf.DUMMYFUNCTION("IF('From Order'!$A394=COLUMNS($A394:B413), LEFT(INDEX(FILTER(B$1:B393, B$1:B393&lt;&gt;""""),COUNTA(FILTER(B$1:B393, B$1:B393&lt;&gt;""""))), LEN(INDEX(FILTER(B$1:B393, B$1:B393&lt;&gt;""""),COUNTA(FILTER(B$1:B393, B$1:B393&lt;&gt;""""))))-1), IF('To Order'!$A394=COLUMNS($A394:B"&amp;"413), B393&amp;RIGHT(INDIRECT(ADDRESS(ROW(B394)-1, 'From Order'!$A394)), 1), B393))"),"JZRLBSGDTDDZ")</f>
        <v>JZRLBSGDTDDZ</v>
      </c>
      <c r="C394" s="2" t="str">
        <f>IFERROR(__xludf.DUMMYFUNCTION("IF('From Order'!$A394=COLUMNS($A394:C413), LEFT(INDEX(FILTER(C$1:C393, C$1:C393&lt;&gt;""""),COUNTA(FILTER(C$1:C393, C$1:C393&lt;&gt;""""))), LEN(INDEX(FILTER(C$1:C393, C$1:C393&lt;&gt;""""),COUNTA(FILTER(C$1:C393, C$1:C393&lt;&gt;""""))))-1), IF('To Order'!$A394=COLUMNS($A394:C"&amp;"413), C393&amp;RIGHT(INDIRECT(ADDRESS(ROW(C394)-1, 'From Order'!$A394)), 1), C393))"),"SMFBBRQPDSSPVM")</f>
        <v>SMFBBRQPDSSPVM</v>
      </c>
      <c r="D394" s="2" t="str">
        <f>IFERROR(__xludf.DUMMYFUNCTION("IF('From Order'!$A394=COLUMNS($A394:D413), LEFT(INDEX(FILTER(D$1:D393, D$1:D393&lt;&gt;""""),COUNTA(FILTER(D$1:D393, D$1:D393&lt;&gt;""""))), LEN(INDEX(FILTER(D$1:D393, D$1:D393&lt;&gt;""""),COUNTA(FILTER(D$1:D393, D$1:D393&lt;&gt;""""))))-1), IF('To Order'!$A394=COLUMNS($A394:D"&amp;"413), D393&amp;RIGHT(INDIRECT(ADDRESS(ROW(D394)-1, 'From Order'!$A394)), 1), D393))"),"")</f>
        <v/>
      </c>
      <c r="E394" s="2" t="str">
        <f>IFERROR(__xludf.DUMMYFUNCTION("IF('From Order'!$A394=COLUMNS($A394:E413), LEFT(INDEX(FILTER(E$1:E393, E$1:E393&lt;&gt;""""),COUNTA(FILTER(E$1:E393, E$1:E393&lt;&gt;""""))), LEN(INDEX(FILTER(E$1:E393, E$1:E393&lt;&gt;""""),COUNTA(FILTER(E$1:E393, E$1:E393&lt;&gt;""""))))-1), IF('To Order'!$A394=COLUMNS($A394:E"&amp;"413), E393&amp;RIGHT(INDIRECT(ADDRESS(ROW(E394)-1, 'From Order'!$A394)), 1), E393))"),"HZRV")</f>
        <v>HZRV</v>
      </c>
      <c r="F394" s="2" t="str">
        <f>IFERROR(__xludf.DUMMYFUNCTION("IF('From Order'!$A394=COLUMNS($A394:F413), LEFT(INDEX(FILTER(F$1:F393, F$1:F393&lt;&gt;""""),COUNTA(FILTER(F$1:F393, F$1:F393&lt;&gt;""""))), LEN(INDEX(FILTER(F$1:F393, F$1:F393&lt;&gt;""""),COUNTA(FILTER(F$1:F393, F$1:F393&lt;&gt;""""))))-1), IF('To Order'!$A394=COLUMNS($A394:F"&amp;"413), F393&amp;RIGHT(INDIRECT(ADDRESS(ROW(F394)-1, 'From Order'!$A394)), 1), F393))"),"H")</f>
        <v>H</v>
      </c>
      <c r="G394" s="2" t="str">
        <f>IFERROR(__xludf.DUMMYFUNCTION("IF('From Order'!$A394=COLUMNS($A394:G413), LEFT(INDEX(FILTER(G$1:G393, G$1:G393&lt;&gt;""""),COUNTA(FILTER(G$1:G393, G$1:G393&lt;&gt;""""))), LEN(INDEX(FILTER(G$1:G393, G$1:G393&lt;&gt;""""),COUNTA(FILTER(G$1:G393, G$1:G393&lt;&gt;""""))))-1), IF('To Order'!$A394=COLUMNS($A394:G"&amp;"413), G393&amp;RIGHT(INDIRECT(ADDRESS(ROW(G394)-1, 'From Order'!$A394)), 1), G393))"),"LJ")</f>
        <v>LJ</v>
      </c>
      <c r="H394" s="2" t="str">
        <f>IFERROR(__xludf.DUMMYFUNCTION("IF('From Order'!$A394=COLUMNS($A394:H413), LEFT(INDEX(FILTER(H$1:H393, H$1:H393&lt;&gt;""""),COUNTA(FILTER(H$1:H393, H$1:H393&lt;&gt;""""))), LEN(INDEX(FILTER(H$1:H393, H$1:H393&lt;&gt;""""),COUNTA(FILTER(H$1:H393, H$1:H393&lt;&gt;""""))))-1), IF('To Order'!$A394=COLUMNS($A394:H"&amp;"413), H393&amp;RIGHT(INDIRECT(ADDRESS(ROW(H394)-1, 'From Order'!$A394)), 1), H393))"),"")</f>
        <v/>
      </c>
      <c r="I394" s="2" t="str">
        <f>IFERROR(__xludf.DUMMYFUNCTION("IF('From Order'!$A394=COLUMNS($A394:I413), LEFT(INDEX(FILTER(I$1:I393, I$1:I393&lt;&gt;""""),COUNTA(FILTER(I$1:I393, I$1:I393&lt;&gt;""""))), LEN(INDEX(FILTER(I$1:I393, I$1:I393&lt;&gt;""""),COUNTA(FILTER(I$1:I393, I$1:I393&lt;&gt;""""))))-1), IF('To Order'!$A394=COLUMNS($A394:I"&amp;"413), I393&amp;RIGHT(INDIRECT(ADDRESS(ROW(I394)-1, 'From Order'!$A394)), 1), I393))"),"G")</f>
        <v>G</v>
      </c>
    </row>
    <row r="395">
      <c r="A395" s="2" t="str">
        <f>IFERROR(__xludf.DUMMYFUNCTION("IF('From Order'!$A395=COLUMNS($A395:A414), LEFT(INDEX(FILTER(A$1:A394, A$1:A394&lt;&gt;""""),COUNTA(FILTER(A$1:A394, A$1:A394&lt;&gt;""""))), LEN(INDEX(FILTER(A$1:A394, A$1:A394&lt;&gt;""""),COUNTA(FILTER(A$1:A394, A$1:A394&lt;&gt;""""))))-1), IF('To Order'!$A395=COLUMNS($A395:A"&amp;"414), A394&amp;RIGHT(INDIRECT(ADDRESS(ROW(A395)-1, 'From Order'!$A395)), 1), A394))"),"CTFTMQCDTRLDRWTJTVCBPW")</f>
        <v>CTFTMQCDTRLDRWTJTVCBPW</v>
      </c>
      <c r="B395" s="2" t="str">
        <f>IFERROR(__xludf.DUMMYFUNCTION("IF('From Order'!$A395=COLUMNS($A395:B414), LEFT(INDEX(FILTER(B$1:B394, B$1:B394&lt;&gt;""""),COUNTA(FILTER(B$1:B394, B$1:B394&lt;&gt;""""))), LEN(INDEX(FILTER(B$1:B394, B$1:B394&lt;&gt;""""),COUNTA(FILTER(B$1:B394, B$1:B394&lt;&gt;""""))))-1), IF('To Order'!$A395=COLUMNS($A395:B"&amp;"414), B394&amp;RIGHT(INDIRECT(ADDRESS(ROW(B395)-1, 'From Order'!$A395)), 1), B394))"),"JZRLBSGDTDD")</f>
        <v>JZRLBSGDTDD</v>
      </c>
      <c r="C395" s="2" t="str">
        <f>IFERROR(__xludf.DUMMYFUNCTION("IF('From Order'!$A395=COLUMNS($A395:C414), LEFT(INDEX(FILTER(C$1:C394, C$1:C394&lt;&gt;""""),COUNTA(FILTER(C$1:C394, C$1:C394&lt;&gt;""""))), LEN(INDEX(FILTER(C$1:C394, C$1:C394&lt;&gt;""""),COUNTA(FILTER(C$1:C394, C$1:C394&lt;&gt;""""))))-1), IF('To Order'!$A395=COLUMNS($A395:C"&amp;"414), C394&amp;RIGHT(INDIRECT(ADDRESS(ROW(C395)-1, 'From Order'!$A395)), 1), C394))"),"SMFBBRQPDSSPVMZ")</f>
        <v>SMFBBRQPDSSPVMZ</v>
      </c>
      <c r="D395" s="2" t="str">
        <f>IFERROR(__xludf.DUMMYFUNCTION("IF('From Order'!$A395=COLUMNS($A395:D414), LEFT(INDEX(FILTER(D$1:D394, D$1:D394&lt;&gt;""""),COUNTA(FILTER(D$1:D394, D$1:D394&lt;&gt;""""))), LEN(INDEX(FILTER(D$1:D394, D$1:D394&lt;&gt;""""),COUNTA(FILTER(D$1:D394, D$1:D394&lt;&gt;""""))))-1), IF('To Order'!$A395=COLUMNS($A395:D"&amp;"414), D394&amp;RIGHT(INDIRECT(ADDRESS(ROW(D395)-1, 'From Order'!$A395)), 1), D394))"),"")</f>
        <v/>
      </c>
      <c r="E395" s="2" t="str">
        <f>IFERROR(__xludf.DUMMYFUNCTION("IF('From Order'!$A395=COLUMNS($A395:E414), LEFT(INDEX(FILTER(E$1:E394, E$1:E394&lt;&gt;""""),COUNTA(FILTER(E$1:E394, E$1:E394&lt;&gt;""""))), LEN(INDEX(FILTER(E$1:E394, E$1:E394&lt;&gt;""""),COUNTA(FILTER(E$1:E394, E$1:E394&lt;&gt;""""))))-1), IF('To Order'!$A395=COLUMNS($A395:E"&amp;"414), E394&amp;RIGHT(INDIRECT(ADDRESS(ROW(E395)-1, 'From Order'!$A395)), 1), E394))"),"HZRV")</f>
        <v>HZRV</v>
      </c>
      <c r="F395" s="2" t="str">
        <f>IFERROR(__xludf.DUMMYFUNCTION("IF('From Order'!$A395=COLUMNS($A395:F414), LEFT(INDEX(FILTER(F$1:F394, F$1:F394&lt;&gt;""""),COUNTA(FILTER(F$1:F394, F$1:F394&lt;&gt;""""))), LEN(INDEX(FILTER(F$1:F394, F$1:F394&lt;&gt;""""),COUNTA(FILTER(F$1:F394, F$1:F394&lt;&gt;""""))))-1), IF('To Order'!$A395=COLUMNS($A395:F"&amp;"414), F394&amp;RIGHT(INDIRECT(ADDRESS(ROW(F395)-1, 'From Order'!$A395)), 1), F394))"),"H")</f>
        <v>H</v>
      </c>
      <c r="G395" s="2" t="str">
        <f>IFERROR(__xludf.DUMMYFUNCTION("IF('From Order'!$A395=COLUMNS($A395:G414), LEFT(INDEX(FILTER(G$1:G394, G$1:G394&lt;&gt;""""),COUNTA(FILTER(G$1:G394, G$1:G394&lt;&gt;""""))), LEN(INDEX(FILTER(G$1:G394, G$1:G394&lt;&gt;""""),COUNTA(FILTER(G$1:G394, G$1:G394&lt;&gt;""""))))-1), IF('To Order'!$A395=COLUMNS($A395:G"&amp;"414), G394&amp;RIGHT(INDIRECT(ADDRESS(ROW(G395)-1, 'From Order'!$A395)), 1), G394))"),"LJ")</f>
        <v>LJ</v>
      </c>
      <c r="H395" s="2" t="str">
        <f>IFERROR(__xludf.DUMMYFUNCTION("IF('From Order'!$A395=COLUMNS($A395:H414), LEFT(INDEX(FILTER(H$1:H394, H$1:H394&lt;&gt;""""),COUNTA(FILTER(H$1:H394, H$1:H394&lt;&gt;""""))), LEN(INDEX(FILTER(H$1:H394, H$1:H394&lt;&gt;""""),COUNTA(FILTER(H$1:H394, H$1:H394&lt;&gt;""""))))-1), IF('To Order'!$A395=COLUMNS($A395:H"&amp;"414), H394&amp;RIGHT(INDIRECT(ADDRESS(ROW(H395)-1, 'From Order'!$A395)), 1), H394))"),"")</f>
        <v/>
      </c>
      <c r="I395" s="2" t="str">
        <f>IFERROR(__xludf.DUMMYFUNCTION("IF('From Order'!$A395=COLUMNS($A395:I414), LEFT(INDEX(FILTER(I$1:I394, I$1:I394&lt;&gt;""""),COUNTA(FILTER(I$1:I394, I$1:I394&lt;&gt;""""))), LEN(INDEX(FILTER(I$1:I394, I$1:I394&lt;&gt;""""),COUNTA(FILTER(I$1:I394, I$1:I394&lt;&gt;""""))))-1), IF('To Order'!$A395=COLUMNS($A395:I"&amp;"414), I394&amp;RIGHT(INDIRECT(ADDRESS(ROW(I395)-1, 'From Order'!$A395)), 1), I394))"),"G")</f>
        <v>G</v>
      </c>
    </row>
    <row r="396">
      <c r="A396" s="2" t="str">
        <f>IFERROR(__xludf.DUMMYFUNCTION("IF('From Order'!$A396=COLUMNS($A396:A415), LEFT(INDEX(FILTER(A$1:A395, A$1:A395&lt;&gt;""""),COUNTA(FILTER(A$1:A395, A$1:A395&lt;&gt;""""))), LEN(INDEX(FILTER(A$1:A395, A$1:A395&lt;&gt;""""),COUNTA(FILTER(A$1:A395, A$1:A395&lt;&gt;""""))))-1), IF('To Order'!$A396=COLUMNS($A396:A"&amp;"415), A395&amp;RIGHT(INDIRECT(ADDRESS(ROW(A396)-1, 'From Order'!$A396)), 1), A395))"),"CTFTMQCDTRLDRWTJTVCBPW")</f>
        <v>CTFTMQCDTRLDRWTJTVCBPW</v>
      </c>
      <c r="B396" s="2" t="str">
        <f>IFERROR(__xludf.DUMMYFUNCTION("IF('From Order'!$A396=COLUMNS($A396:B415), LEFT(INDEX(FILTER(B$1:B395, B$1:B395&lt;&gt;""""),COUNTA(FILTER(B$1:B395, B$1:B395&lt;&gt;""""))), LEN(INDEX(FILTER(B$1:B395, B$1:B395&lt;&gt;""""),COUNTA(FILTER(B$1:B395, B$1:B395&lt;&gt;""""))))-1), IF('To Order'!$A396=COLUMNS($A396:B"&amp;"415), B395&amp;RIGHT(INDIRECT(ADDRESS(ROW(B396)-1, 'From Order'!$A396)), 1), B395))"),"JZRLBSGDTD")</f>
        <v>JZRLBSGDTD</v>
      </c>
      <c r="C396" s="2" t="str">
        <f>IFERROR(__xludf.DUMMYFUNCTION("IF('From Order'!$A396=COLUMNS($A396:C415), LEFT(INDEX(FILTER(C$1:C395, C$1:C395&lt;&gt;""""),COUNTA(FILTER(C$1:C395, C$1:C395&lt;&gt;""""))), LEN(INDEX(FILTER(C$1:C395, C$1:C395&lt;&gt;""""),COUNTA(FILTER(C$1:C395, C$1:C395&lt;&gt;""""))))-1), IF('To Order'!$A396=COLUMNS($A396:C"&amp;"415), C395&amp;RIGHT(INDIRECT(ADDRESS(ROW(C396)-1, 'From Order'!$A396)), 1), C395))"),"SMFBBRQPDSSPVMZD")</f>
        <v>SMFBBRQPDSSPVMZD</v>
      </c>
      <c r="D396" s="2" t="str">
        <f>IFERROR(__xludf.DUMMYFUNCTION("IF('From Order'!$A396=COLUMNS($A396:D415), LEFT(INDEX(FILTER(D$1:D395, D$1:D395&lt;&gt;""""),COUNTA(FILTER(D$1:D395, D$1:D395&lt;&gt;""""))), LEN(INDEX(FILTER(D$1:D395, D$1:D395&lt;&gt;""""),COUNTA(FILTER(D$1:D395, D$1:D395&lt;&gt;""""))))-1), IF('To Order'!$A396=COLUMNS($A396:D"&amp;"415), D395&amp;RIGHT(INDIRECT(ADDRESS(ROW(D396)-1, 'From Order'!$A396)), 1), D395))"),"")</f>
        <v/>
      </c>
      <c r="E396" s="2" t="str">
        <f>IFERROR(__xludf.DUMMYFUNCTION("IF('From Order'!$A396=COLUMNS($A396:E415), LEFT(INDEX(FILTER(E$1:E395, E$1:E395&lt;&gt;""""),COUNTA(FILTER(E$1:E395, E$1:E395&lt;&gt;""""))), LEN(INDEX(FILTER(E$1:E395, E$1:E395&lt;&gt;""""),COUNTA(FILTER(E$1:E395, E$1:E395&lt;&gt;""""))))-1), IF('To Order'!$A396=COLUMNS($A396:E"&amp;"415), E395&amp;RIGHT(INDIRECT(ADDRESS(ROW(E396)-1, 'From Order'!$A396)), 1), E395))"),"HZRV")</f>
        <v>HZRV</v>
      </c>
      <c r="F396" s="2" t="str">
        <f>IFERROR(__xludf.DUMMYFUNCTION("IF('From Order'!$A396=COLUMNS($A396:F415), LEFT(INDEX(FILTER(F$1:F395, F$1:F395&lt;&gt;""""),COUNTA(FILTER(F$1:F395, F$1:F395&lt;&gt;""""))), LEN(INDEX(FILTER(F$1:F395, F$1:F395&lt;&gt;""""),COUNTA(FILTER(F$1:F395, F$1:F395&lt;&gt;""""))))-1), IF('To Order'!$A396=COLUMNS($A396:F"&amp;"415), F395&amp;RIGHT(INDIRECT(ADDRESS(ROW(F396)-1, 'From Order'!$A396)), 1), F395))"),"H")</f>
        <v>H</v>
      </c>
      <c r="G396" s="2" t="str">
        <f>IFERROR(__xludf.DUMMYFUNCTION("IF('From Order'!$A396=COLUMNS($A396:G415), LEFT(INDEX(FILTER(G$1:G395, G$1:G395&lt;&gt;""""),COUNTA(FILTER(G$1:G395, G$1:G395&lt;&gt;""""))), LEN(INDEX(FILTER(G$1:G395, G$1:G395&lt;&gt;""""),COUNTA(FILTER(G$1:G395, G$1:G395&lt;&gt;""""))))-1), IF('To Order'!$A396=COLUMNS($A396:G"&amp;"415), G395&amp;RIGHT(INDIRECT(ADDRESS(ROW(G396)-1, 'From Order'!$A396)), 1), G395))"),"LJ")</f>
        <v>LJ</v>
      </c>
      <c r="H396" s="2" t="str">
        <f>IFERROR(__xludf.DUMMYFUNCTION("IF('From Order'!$A396=COLUMNS($A396:H415), LEFT(INDEX(FILTER(H$1:H395, H$1:H395&lt;&gt;""""),COUNTA(FILTER(H$1:H395, H$1:H395&lt;&gt;""""))), LEN(INDEX(FILTER(H$1:H395, H$1:H395&lt;&gt;""""),COUNTA(FILTER(H$1:H395, H$1:H395&lt;&gt;""""))))-1), IF('To Order'!$A396=COLUMNS($A396:H"&amp;"415), H395&amp;RIGHT(INDIRECT(ADDRESS(ROW(H396)-1, 'From Order'!$A396)), 1), H395))"),"")</f>
        <v/>
      </c>
      <c r="I396" s="2" t="str">
        <f>IFERROR(__xludf.DUMMYFUNCTION("IF('From Order'!$A396=COLUMNS($A396:I415), LEFT(INDEX(FILTER(I$1:I395, I$1:I395&lt;&gt;""""),COUNTA(FILTER(I$1:I395, I$1:I395&lt;&gt;""""))), LEN(INDEX(FILTER(I$1:I395, I$1:I395&lt;&gt;""""),COUNTA(FILTER(I$1:I395, I$1:I395&lt;&gt;""""))))-1), IF('To Order'!$A396=COLUMNS($A396:I"&amp;"415), I395&amp;RIGHT(INDIRECT(ADDRESS(ROW(I396)-1, 'From Order'!$A396)), 1), I395))"),"G")</f>
        <v>G</v>
      </c>
    </row>
    <row r="397">
      <c r="A397" s="2" t="str">
        <f>IFERROR(__xludf.DUMMYFUNCTION("IF('From Order'!$A397=COLUMNS($A397:A416), LEFT(INDEX(FILTER(A$1:A396, A$1:A396&lt;&gt;""""),COUNTA(FILTER(A$1:A396, A$1:A396&lt;&gt;""""))), LEN(INDEX(FILTER(A$1:A396, A$1:A396&lt;&gt;""""),COUNTA(FILTER(A$1:A396, A$1:A396&lt;&gt;""""))))-1), IF('To Order'!$A397=COLUMNS($A397:A"&amp;"416), A396&amp;RIGHT(INDIRECT(ADDRESS(ROW(A397)-1, 'From Order'!$A397)), 1), A396))"),"CTFTMQCDTRLDRWTJTVCBPW")</f>
        <v>CTFTMQCDTRLDRWTJTVCBPW</v>
      </c>
      <c r="B397" s="2" t="str">
        <f>IFERROR(__xludf.DUMMYFUNCTION("IF('From Order'!$A397=COLUMNS($A397:B416), LEFT(INDEX(FILTER(B$1:B396, B$1:B396&lt;&gt;""""),COUNTA(FILTER(B$1:B396, B$1:B396&lt;&gt;""""))), LEN(INDEX(FILTER(B$1:B396, B$1:B396&lt;&gt;""""),COUNTA(FILTER(B$1:B396, B$1:B396&lt;&gt;""""))))-1), IF('To Order'!$A397=COLUMNS($A397:B"&amp;"416), B396&amp;RIGHT(INDIRECT(ADDRESS(ROW(B397)-1, 'From Order'!$A397)), 1), B396))"),"JZRLBSGDT")</f>
        <v>JZRLBSGDT</v>
      </c>
      <c r="C397" s="2" t="str">
        <f>IFERROR(__xludf.DUMMYFUNCTION("IF('From Order'!$A397=COLUMNS($A397:C416), LEFT(INDEX(FILTER(C$1:C396, C$1:C396&lt;&gt;""""),COUNTA(FILTER(C$1:C396, C$1:C396&lt;&gt;""""))), LEN(INDEX(FILTER(C$1:C396, C$1:C396&lt;&gt;""""),COUNTA(FILTER(C$1:C396, C$1:C396&lt;&gt;""""))))-1), IF('To Order'!$A397=COLUMNS($A397:C"&amp;"416), C396&amp;RIGHT(INDIRECT(ADDRESS(ROW(C397)-1, 'From Order'!$A397)), 1), C396))"),"SMFBBRQPDSSPVMZDD")</f>
        <v>SMFBBRQPDSSPVMZDD</v>
      </c>
      <c r="D397" s="2" t="str">
        <f>IFERROR(__xludf.DUMMYFUNCTION("IF('From Order'!$A397=COLUMNS($A397:D416), LEFT(INDEX(FILTER(D$1:D396, D$1:D396&lt;&gt;""""),COUNTA(FILTER(D$1:D396, D$1:D396&lt;&gt;""""))), LEN(INDEX(FILTER(D$1:D396, D$1:D396&lt;&gt;""""),COUNTA(FILTER(D$1:D396, D$1:D396&lt;&gt;""""))))-1), IF('To Order'!$A397=COLUMNS($A397:D"&amp;"416), D396&amp;RIGHT(INDIRECT(ADDRESS(ROW(D397)-1, 'From Order'!$A397)), 1), D396))"),"")</f>
        <v/>
      </c>
      <c r="E397" s="2" t="str">
        <f>IFERROR(__xludf.DUMMYFUNCTION("IF('From Order'!$A397=COLUMNS($A397:E416), LEFT(INDEX(FILTER(E$1:E396, E$1:E396&lt;&gt;""""),COUNTA(FILTER(E$1:E396, E$1:E396&lt;&gt;""""))), LEN(INDEX(FILTER(E$1:E396, E$1:E396&lt;&gt;""""),COUNTA(FILTER(E$1:E396, E$1:E396&lt;&gt;""""))))-1), IF('To Order'!$A397=COLUMNS($A397:E"&amp;"416), E396&amp;RIGHT(INDIRECT(ADDRESS(ROW(E397)-1, 'From Order'!$A397)), 1), E396))"),"HZRV")</f>
        <v>HZRV</v>
      </c>
      <c r="F397" s="2" t="str">
        <f>IFERROR(__xludf.DUMMYFUNCTION("IF('From Order'!$A397=COLUMNS($A397:F416), LEFT(INDEX(FILTER(F$1:F396, F$1:F396&lt;&gt;""""),COUNTA(FILTER(F$1:F396, F$1:F396&lt;&gt;""""))), LEN(INDEX(FILTER(F$1:F396, F$1:F396&lt;&gt;""""),COUNTA(FILTER(F$1:F396, F$1:F396&lt;&gt;""""))))-1), IF('To Order'!$A397=COLUMNS($A397:F"&amp;"416), F396&amp;RIGHT(INDIRECT(ADDRESS(ROW(F397)-1, 'From Order'!$A397)), 1), F396))"),"H")</f>
        <v>H</v>
      </c>
      <c r="G397" s="2" t="str">
        <f>IFERROR(__xludf.DUMMYFUNCTION("IF('From Order'!$A397=COLUMNS($A397:G416), LEFT(INDEX(FILTER(G$1:G396, G$1:G396&lt;&gt;""""),COUNTA(FILTER(G$1:G396, G$1:G396&lt;&gt;""""))), LEN(INDEX(FILTER(G$1:G396, G$1:G396&lt;&gt;""""),COUNTA(FILTER(G$1:G396, G$1:G396&lt;&gt;""""))))-1), IF('To Order'!$A397=COLUMNS($A397:G"&amp;"416), G396&amp;RIGHT(INDIRECT(ADDRESS(ROW(G397)-1, 'From Order'!$A397)), 1), G396))"),"LJ")</f>
        <v>LJ</v>
      </c>
      <c r="H397" s="2" t="str">
        <f>IFERROR(__xludf.DUMMYFUNCTION("IF('From Order'!$A397=COLUMNS($A397:H416), LEFT(INDEX(FILTER(H$1:H396, H$1:H396&lt;&gt;""""),COUNTA(FILTER(H$1:H396, H$1:H396&lt;&gt;""""))), LEN(INDEX(FILTER(H$1:H396, H$1:H396&lt;&gt;""""),COUNTA(FILTER(H$1:H396, H$1:H396&lt;&gt;""""))))-1), IF('To Order'!$A397=COLUMNS($A397:H"&amp;"416), H396&amp;RIGHT(INDIRECT(ADDRESS(ROW(H397)-1, 'From Order'!$A397)), 1), H396))"),"")</f>
        <v/>
      </c>
      <c r="I397" s="2" t="str">
        <f>IFERROR(__xludf.DUMMYFUNCTION("IF('From Order'!$A397=COLUMNS($A397:I416), LEFT(INDEX(FILTER(I$1:I396, I$1:I396&lt;&gt;""""),COUNTA(FILTER(I$1:I396, I$1:I396&lt;&gt;""""))), LEN(INDEX(FILTER(I$1:I396, I$1:I396&lt;&gt;""""),COUNTA(FILTER(I$1:I396, I$1:I396&lt;&gt;""""))))-1), IF('To Order'!$A397=COLUMNS($A397:I"&amp;"416), I396&amp;RIGHT(INDIRECT(ADDRESS(ROW(I397)-1, 'From Order'!$A397)), 1), I396))"),"G")</f>
        <v>G</v>
      </c>
    </row>
    <row r="398">
      <c r="A398" s="2" t="str">
        <f>IFERROR(__xludf.DUMMYFUNCTION("IF('From Order'!$A398=COLUMNS($A398:A417), LEFT(INDEX(FILTER(A$1:A397, A$1:A397&lt;&gt;""""),COUNTA(FILTER(A$1:A397, A$1:A397&lt;&gt;""""))), LEN(INDEX(FILTER(A$1:A397, A$1:A397&lt;&gt;""""),COUNTA(FILTER(A$1:A397, A$1:A397&lt;&gt;""""))))-1), IF('To Order'!$A398=COLUMNS($A398:A"&amp;"417), A397&amp;RIGHT(INDIRECT(ADDRESS(ROW(A398)-1, 'From Order'!$A398)), 1), A397))"),"CTFTMQCDTRLDRWTJTVCBPW")</f>
        <v>CTFTMQCDTRLDRWTJTVCBPW</v>
      </c>
      <c r="B398" s="2" t="str">
        <f>IFERROR(__xludf.DUMMYFUNCTION("IF('From Order'!$A398=COLUMNS($A398:B417), LEFT(INDEX(FILTER(B$1:B397, B$1:B397&lt;&gt;""""),COUNTA(FILTER(B$1:B397, B$1:B397&lt;&gt;""""))), LEN(INDEX(FILTER(B$1:B397, B$1:B397&lt;&gt;""""),COUNTA(FILTER(B$1:B397, B$1:B397&lt;&gt;""""))))-1), IF('To Order'!$A398=COLUMNS($A398:B"&amp;"417), B397&amp;RIGHT(INDIRECT(ADDRESS(ROW(B398)-1, 'From Order'!$A398)), 1), B397))"),"JZRLBSGD")</f>
        <v>JZRLBSGD</v>
      </c>
      <c r="C398" s="2" t="str">
        <f>IFERROR(__xludf.DUMMYFUNCTION("IF('From Order'!$A398=COLUMNS($A398:C417), LEFT(INDEX(FILTER(C$1:C397, C$1:C397&lt;&gt;""""),COUNTA(FILTER(C$1:C397, C$1:C397&lt;&gt;""""))), LEN(INDEX(FILTER(C$1:C397, C$1:C397&lt;&gt;""""),COUNTA(FILTER(C$1:C397, C$1:C397&lt;&gt;""""))))-1), IF('To Order'!$A398=COLUMNS($A398:C"&amp;"417), C397&amp;RIGHT(INDIRECT(ADDRESS(ROW(C398)-1, 'From Order'!$A398)), 1), C397))"),"SMFBBRQPDSSPVMZDDT")</f>
        <v>SMFBBRQPDSSPVMZDDT</v>
      </c>
      <c r="D398" s="2" t="str">
        <f>IFERROR(__xludf.DUMMYFUNCTION("IF('From Order'!$A398=COLUMNS($A398:D417), LEFT(INDEX(FILTER(D$1:D397, D$1:D397&lt;&gt;""""),COUNTA(FILTER(D$1:D397, D$1:D397&lt;&gt;""""))), LEN(INDEX(FILTER(D$1:D397, D$1:D397&lt;&gt;""""),COUNTA(FILTER(D$1:D397, D$1:D397&lt;&gt;""""))))-1), IF('To Order'!$A398=COLUMNS($A398:D"&amp;"417), D397&amp;RIGHT(INDIRECT(ADDRESS(ROW(D398)-1, 'From Order'!$A398)), 1), D397))"),"")</f>
        <v/>
      </c>
      <c r="E398" s="2" t="str">
        <f>IFERROR(__xludf.DUMMYFUNCTION("IF('From Order'!$A398=COLUMNS($A398:E417), LEFT(INDEX(FILTER(E$1:E397, E$1:E397&lt;&gt;""""),COUNTA(FILTER(E$1:E397, E$1:E397&lt;&gt;""""))), LEN(INDEX(FILTER(E$1:E397, E$1:E397&lt;&gt;""""),COUNTA(FILTER(E$1:E397, E$1:E397&lt;&gt;""""))))-1), IF('To Order'!$A398=COLUMNS($A398:E"&amp;"417), E397&amp;RIGHT(INDIRECT(ADDRESS(ROW(E398)-1, 'From Order'!$A398)), 1), E397))"),"HZRV")</f>
        <v>HZRV</v>
      </c>
      <c r="F398" s="2" t="str">
        <f>IFERROR(__xludf.DUMMYFUNCTION("IF('From Order'!$A398=COLUMNS($A398:F417), LEFT(INDEX(FILTER(F$1:F397, F$1:F397&lt;&gt;""""),COUNTA(FILTER(F$1:F397, F$1:F397&lt;&gt;""""))), LEN(INDEX(FILTER(F$1:F397, F$1:F397&lt;&gt;""""),COUNTA(FILTER(F$1:F397, F$1:F397&lt;&gt;""""))))-1), IF('To Order'!$A398=COLUMNS($A398:F"&amp;"417), F397&amp;RIGHT(INDIRECT(ADDRESS(ROW(F398)-1, 'From Order'!$A398)), 1), F397))"),"H")</f>
        <v>H</v>
      </c>
      <c r="G398" s="2" t="str">
        <f>IFERROR(__xludf.DUMMYFUNCTION("IF('From Order'!$A398=COLUMNS($A398:G417), LEFT(INDEX(FILTER(G$1:G397, G$1:G397&lt;&gt;""""),COUNTA(FILTER(G$1:G397, G$1:G397&lt;&gt;""""))), LEN(INDEX(FILTER(G$1:G397, G$1:G397&lt;&gt;""""),COUNTA(FILTER(G$1:G397, G$1:G397&lt;&gt;""""))))-1), IF('To Order'!$A398=COLUMNS($A398:G"&amp;"417), G397&amp;RIGHT(INDIRECT(ADDRESS(ROW(G398)-1, 'From Order'!$A398)), 1), G397))"),"LJ")</f>
        <v>LJ</v>
      </c>
      <c r="H398" s="2" t="str">
        <f>IFERROR(__xludf.DUMMYFUNCTION("IF('From Order'!$A398=COLUMNS($A398:H417), LEFT(INDEX(FILTER(H$1:H397, H$1:H397&lt;&gt;""""),COUNTA(FILTER(H$1:H397, H$1:H397&lt;&gt;""""))), LEN(INDEX(FILTER(H$1:H397, H$1:H397&lt;&gt;""""),COUNTA(FILTER(H$1:H397, H$1:H397&lt;&gt;""""))))-1), IF('To Order'!$A398=COLUMNS($A398:H"&amp;"417), H397&amp;RIGHT(INDIRECT(ADDRESS(ROW(H398)-1, 'From Order'!$A398)), 1), H397))"),"")</f>
        <v/>
      </c>
      <c r="I398" s="2" t="str">
        <f>IFERROR(__xludf.DUMMYFUNCTION("IF('From Order'!$A398=COLUMNS($A398:I417), LEFT(INDEX(FILTER(I$1:I397, I$1:I397&lt;&gt;""""),COUNTA(FILTER(I$1:I397, I$1:I397&lt;&gt;""""))), LEN(INDEX(FILTER(I$1:I397, I$1:I397&lt;&gt;""""),COUNTA(FILTER(I$1:I397, I$1:I397&lt;&gt;""""))))-1), IF('To Order'!$A398=COLUMNS($A398:I"&amp;"417), I397&amp;RIGHT(INDIRECT(ADDRESS(ROW(I398)-1, 'From Order'!$A398)), 1), I397))"),"G")</f>
        <v>G</v>
      </c>
    </row>
    <row r="399">
      <c r="A399" s="2" t="str">
        <f>IFERROR(__xludf.DUMMYFUNCTION("IF('From Order'!$A399=COLUMNS($A399:A418), LEFT(INDEX(FILTER(A$1:A398, A$1:A398&lt;&gt;""""),COUNTA(FILTER(A$1:A398, A$1:A398&lt;&gt;""""))), LEN(INDEX(FILTER(A$1:A398, A$1:A398&lt;&gt;""""),COUNTA(FILTER(A$1:A398, A$1:A398&lt;&gt;""""))))-1), IF('To Order'!$A399=COLUMNS($A399:A"&amp;"418), A398&amp;RIGHT(INDIRECT(ADDRESS(ROW(A399)-1, 'From Order'!$A399)), 1), A398))"),"CTFTMQCDTRLDRWTJTVCBPW")</f>
        <v>CTFTMQCDTRLDRWTJTVCBPW</v>
      </c>
      <c r="B399" s="2" t="str">
        <f>IFERROR(__xludf.DUMMYFUNCTION("IF('From Order'!$A399=COLUMNS($A399:B418), LEFT(INDEX(FILTER(B$1:B398, B$1:B398&lt;&gt;""""),COUNTA(FILTER(B$1:B398, B$1:B398&lt;&gt;""""))), LEN(INDEX(FILTER(B$1:B398, B$1:B398&lt;&gt;""""),COUNTA(FILTER(B$1:B398, B$1:B398&lt;&gt;""""))))-1), IF('To Order'!$A399=COLUMNS($A399:B"&amp;"418), B398&amp;RIGHT(INDIRECT(ADDRESS(ROW(B399)-1, 'From Order'!$A399)), 1), B398))"),"JZRLBSG")</f>
        <v>JZRLBSG</v>
      </c>
      <c r="C399" s="2" t="str">
        <f>IFERROR(__xludf.DUMMYFUNCTION("IF('From Order'!$A399=COLUMNS($A399:C418), LEFT(INDEX(FILTER(C$1:C398, C$1:C398&lt;&gt;""""),COUNTA(FILTER(C$1:C398, C$1:C398&lt;&gt;""""))), LEN(INDEX(FILTER(C$1:C398, C$1:C398&lt;&gt;""""),COUNTA(FILTER(C$1:C398, C$1:C398&lt;&gt;""""))))-1), IF('To Order'!$A399=COLUMNS($A399:C"&amp;"418), C398&amp;RIGHT(INDIRECT(ADDRESS(ROW(C399)-1, 'From Order'!$A399)), 1), C398))"),"SMFBBRQPDSSPVMZDDTD")</f>
        <v>SMFBBRQPDSSPVMZDDTD</v>
      </c>
      <c r="D399" s="2" t="str">
        <f>IFERROR(__xludf.DUMMYFUNCTION("IF('From Order'!$A399=COLUMNS($A399:D418), LEFT(INDEX(FILTER(D$1:D398, D$1:D398&lt;&gt;""""),COUNTA(FILTER(D$1:D398, D$1:D398&lt;&gt;""""))), LEN(INDEX(FILTER(D$1:D398, D$1:D398&lt;&gt;""""),COUNTA(FILTER(D$1:D398, D$1:D398&lt;&gt;""""))))-1), IF('To Order'!$A399=COLUMNS($A399:D"&amp;"418), D398&amp;RIGHT(INDIRECT(ADDRESS(ROW(D399)-1, 'From Order'!$A399)), 1), D398))"),"")</f>
        <v/>
      </c>
      <c r="E399" s="2" t="str">
        <f>IFERROR(__xludf.DUMMYFUNCTION("IF('From Order'!$A399=COLUMNS($A399:E418), LEFT(INDEX(FILTER(E$1:E398, E$1:E398&lt;&gt;""""),COUNTA(FILTER(E$1:E398, E$1:E398&lt;&gt;""""))), LEN(INDEX(FILTER(E$1:E398, E$1:E398&lt;&gt;""""),COUNTA(FILTER(E$1:E398, E$1:E398&lt;&gt;""""))))-1), IF('To Order'!$A399=COLUMNS($A399:E"&amp;"418), E398&amp;RIGHT(INDIRECT(ADDRESS(ROW(E399)-1, 'From Order'!$A399)), 1), E398))"),"HZRV")</f>
        <v>HZRV</v>
      </c>
      <c r="F399" s="2" t="str">
        <f>IFERROR(__xludf.DUMMYFUNCTION("IF('From Order'!$A399=COLUMNS($A399:F418), LEFT(INDEX(FILTER(F$1:F398, F$1:F398&lt;&gt;""""),COUNTA(FILTER(F$1:F398, F$1:F398&lt;&gt;""""))), LEN(INDEX(FILTER(F$1:F398, F$1:F398&lt;&gt;""""),COUNTA(FILTER(F$1:F398, F$1:F398&lt;&gt;""""))))-1), IF('To Order'!$A399=COLUMNS($A399:F"&amp;"418), F398&amp;RIGHT(INDIRECT(ADDRESS(ROW(F399)-1, 'From Order'!$A399)), 1), F398))"),"H")</f>
        <v>H</v>
      </c>
      <c r="G399" s="2" t="str">
        <f>IFERROR(__xludf.DUMMYFUNCTION("IF('From Order'!$A399=COLUMNS($A399:G418), LEFT(INDEX(FILTER(G$1:G398, G$1:G398&lt;&gt;""""),COUNTA(FILTER(G$1:G398, G$1:G398&lt;&gt;""""))), LEN(INDEX(FILTER(G$1:G398, G$1:G398&lt;&gt;""""),COUNTA(FILTER(G$1:G398, G$1:G398&lt;&gt;""""))))-1), IF('To Order'!$A399=COLUMNS($A399:G"&amp;"418), G398&amp;RIGHT(INDIRECT(ADDRESS(ROW(G399)-1, 'From Order'!$A399)), 1), G398))"),"LJ")</f>
        <v>LJ</v>
      </c>
      <c r="H399" s="2" t="str">
        <f>IFERROR(__xludf.DUMMYFUNCTION("IF('From Order'!$A399=COLUMNS($A399:H418), LEFT(INDEX(FILTER(H$1:H398, H$1:H398&lt;&gt;""""),COUNTA(FILTER(H$1:H398, H$1:H398&lt;&gt;""""))), LEN(INDEX(FILTER(H$1:H398, H$1:H398&lt;&gt;""""),COUNTA(FILTER(H$1:H398, H$1:H398&lt;&gt;""""))))-1), IF('To Order'!$A399=COLUMNS($A399:H"&amp;"418), H398&amp;RIGHT(INDIRECT(ADDRESS(ROW(H399)-1, 'From Order'!$A399)), 1), H398))"),"")</f>
        <v/>
      </c>
      <c r="I399" s="2" t="str">
        <f>IFERROR(__xludf.DUMMYFUNCTION("IF('From Order'!$A399=COLUMNS($A399:I418), LEFT(INDEX(FILTER(I$1:I398, I$1:I398&lt;&gt;""""),COUNTA(FILTER(I$1:I398, I$1:I398&lt;&gt;""""))), LEN(INDEX(FILTER(I$1:I398, I$1:I398&lt;&gt;""""),COUNTA(FILTER(I$1:I398, I$1:I398&lt;&gt;""""))))-1), IF('To Order'!$A399=COLUMNS($A399:I"&amp;"418), I398&amp;RIGHT(INDIRECT(ADDRESS(ROW(I399)-1, 'From Order'!$A399)), 1), I398))"),"G")</f>
        <v>G</v>
      </c>
    </row>
    <row r="400">
      <c r="A400" s="2" t="str">
        <f>IFERROR(__xludf.DUMMYFUNCTION("IF('From Order'!$A400=COLUMNS($A400:A419), LEFT(INDEX(FILTER(A$1:A399, A$1:A399&lt;&gt;""""),COUNTA(FILTER(A$1:A399, A$1:A399&lt;&gt;""""))), LEN(INDEX(FILTER(A$1:A399, A$1:A399&lt;&gt;""""),COUNTA(FILTER(A$1:A399, A$1:A399&lt;&gt;""""))))-1), IF('To Order'!$A400=COLUMNS($A400:A"&amp;"419), A399&amp;RIGHT(INDIRECT(ADDRESS(ROW(A400)-1, 'From Order'!$A400)), 1), A399))"),"CTFTMQCDTRLDRWTJTVCBPW")</f>
        <v>CTFTMQCDTRLDRWTJTVCBPW</v>
      </c>
      <c r="B400" s="2" t="str">
        <f>IFERROR(__xludf.DUMMYFUNCTION("IF('From Order'!$A400=COLUMNS($A400:B419), LEFT(INDEX(FILTER(B$1:B399, B$1:B399&lt;&gt;""""),COUNTA(FILTER(B$1:B399, B$1:B399&lt;&gt;""""))), LEN(INDEX(FILTER(B$1:B399, B$1:B399&lt;&gt;""""),COUNTA(FILTER(B$1:B399, B$1:B399&lt;&gt;""""))))-1), IF('To Order'!$A400=COLUMNS($A400:B"&amp;"419), B399&amp;RIGHT(INDIRECT(ADDRESS(ROW(B400)-1, 'From Order'!$A400)), 1), B399))"),"JZRLBS")</f>
        <v>JZRLBS</v>
      </c>
      <c r="C400" s="2" t="str">
        <f>IFERROR(__xludf.DUMMYFUNCTION("IF('From Order'!$A400=COLUMNS($A400:C419), LEFT(INDEX(FILTER(C$1:C399, C$1:C399&lt;&gt;""""),COUNTA(FILTER(C$1:C399, C$1:C399&lt;&gt;""""))), LEN(INDEX(FILTER(C$1:C399, C$1:C399&lt;&gt;""""),COUNTA(FILTER(C$1:C399, C$1:C399&lt;&gt;""""))))-1), IF('To Order'!$A400=COLUMNS($A400:C"&amp;"419), C399&amp;RIGHT(INDIRECT(ADDRESS(ROW(C400)-1, 'From Order'!$A400)), 1), C399))"),"SMFBBRQPDSSPVMZDDTDG")</f>
        <v>SMFBBRQPDSSPVMZDDTDG</v>
      </c>
      <c r="D400" s="2" t="str">
        <f>IFERROR(__xludf.DUMMYFUNCTION("IF('From Order'!$A400=COLUMNS($A400:D419), LEFT(INDEX(FILTER(D$1:D399, D$1:D399&lt;&gt;""""),COUNTA(FILTER(D$1:D399, D$1:D399&lt;&gt;""""))), LEN(INDEX(FILTER(D$1:D399, D$1:D399&lt;&gt;""""),COUNTA(FILTER(D$1:D399, D$1:D399&lt;&gt;""""))))-1), IF('To Order'!$A400=COLUMNS($A400:D"&amp;"419), D399&amp;RIGHT(INDIRECT(ADDRESS(ROW(D400)-1, 'From Order'!$A400)), 1), D399))"),"")</f>
        <v/>
      </c>
      <c r="E400" s="2" t="str">
        <f>IFERROR(__xludf.DUMMYFUNCTION("IF('From Order'!$A400=COLUMNS($A400:E419), LEFT(INDEX(FILTER(E$1:E399, E$1:E399&lt;&gt;""""),COUNTA(FILTER(E$1:E399, E$1:E399&lt;&gt;""""))), LEN(INDEX(FILTER(E$1:E399, E$1:E399&lt;&gt;""""),COUNTA(FILTER(E$1:E399, E$1:E399&lt;&gt;""""))))-1), IF('To Order'!$A400=COLUMNS($A400:E"&amp;"419), E399&amp;RIGHT(INDIRECT(ADDRESS(ROW(E400)-1, 'From Order'!$A400)), 1), E399))"),"HZRV")</f>
        <v>HZRV</v>
      </c>
      <c r="F400" s="2" t="str">
        <f>IFERROR(__xludf.DUMMYFUNCTION("IF('From Order'!$A400=COLUMNS($A400:F419), LEFT(INDEX(FILTER(F$1:F399, F$1:F399&lt;&gt;""""),COUNTA(FILTER(F$1:F399, F$1:F399&lt;&gt;""""))), LEN(INDEX(FILTER(F$1:F399, F$1:F399&lt;&gt;""""),COUNTA(FILTER(F$1:F399, F$1:F399&lt;&gt;""""))))-1), IF('To Order'!$A400=COLUMNS($A400:F"&amp;"419), F399&amp;RIGHT(INDIRECT(ADDRESS(ROW(F400)-1, 'From Order'!$A400)), 1), F399))"),"H")</f>
        <v>H</v>
      </c>
      <c r="G400" s="2" t="str">
        <f>IFERROR(__xludf.DUMMYFUNCTION("IF('From Order'!$A400=COLUMNS($A400:G419), LEFT(INDEX(FILTER(G$1:G399, G$1:G399&lt;&gt;""""),COUNTA(FILTER(G$1:G399, G$1:G399&lt;&gt;""""))), LEN(INDEX(FILTER(G$1:G399, G$1:G399&lt;&gt;""""),COUNTA(FILTER(G$1:G399, G$1:G399&lt;&gt;""""))))-1), IF('To Order'!$A400=COLUMNS($A400:G"&amp;"419), G399&amp;RIGHT(INDIRECT(ADDRESS(ROW(G400)-1, 'From Order'!$A400)), 1), G399))"),"LJ")</f>
        <v>LJ</v>
      </c>
      <c r="H400" s="2" t="str">
        <f>IFERROR(__xludf.DUMMYFUNCTION("IF('From Order'!$A400=COLUMNS($A400:H419), LEFT(INDEX(FILTER(H$1:H399, H$1:H399&lt;&gt;""""),COUNTA(FILTER(H$1:H399, H$1:H399&lt;&gt;""""))), LEN(INDEX(FILTER(H$1:H399, H$1:H399&lt;&gt;""""),COUNTA(FILTER(H$1:H399, H$1:H399&lt;&gt;""""))))-1), IF('To Order'!$A400=COLUMNS($A400:H"&amp;"419), H399&amp;RIGHT(INDIRECT(ADDRESS(ROW(H400)-1, 'From Order'!$A400)), 1), H399))"),"")</f>
        <v/>
      </c>
      <c r="I400" s="2" t="str">
        <f>IFERROR(__xludf.DUMMYFUNCTION("IF('From Order'!$A400=COLUMNS($A400:I419), LEFT(INDEX(FILTER(I$1:I399, I$1:I399&lt;&gt;""""),COUNTA(FILTER(I$1:I399, I$1:I399&lt;&gt;""""))), LEN(INDEX(FILTER(I$1:I399, I$1:I399&lt;&gt;""""),COUNTA(FILTER(I$1:I399, I$1:I399&lt;&gt;""""))))-1), IF('To Order'!$A400=COLUMNS($A400:I"&amp;"419), I399&amp;RIGHT(INDIRECT(ADDRESS(ROW(I400)-1, 'From Order'!$A400)), 1), I399))"),"G")</f>
        <v>G</v>
      </c>
    </row>
    <row r="401">
      <c r="A401" s="2" t="str">
        <f>IFERROR(__xludf.DUMMYFUNCTION("IF('From Order'!$A401=COLUMNS($A401:A420), LEFT(INDEX(FILTER(A$1:A400, A$1:A400&lt;&gt;""""),COUNTA(FILTER(A$1:A400, A$1:A400&lt;&gt;""""))), LEN(INDEX(FILTER(A$1:A400, A$1:A400&lt;&gt;""""),COUNTA(FILTER(A$1:A400, A$1:A400&lt;&gt;""""))))-1), IF('To Order'!$A401=COLUMNS($A401:A"&amp;"420), A400&amp;RIGHT(INDIRECT(ADDRESS(ROW(A401)-1, 'From Order'!$A401)), 1), A400))"),"CTFTMQCDTRLDRWTJTVCBPW")</f>
        <v>CTFTMQCDTRLDRWTJTVCBPW</v>
      </c>
      <c r="B401" s="2" t="str">
        <f>IFERROR(__xludf.DUMMYFUNCTION("IF('From Order'!$A401=COLUMNS($A401:B420), LEFT(INDEX(FILTER(B$1:B400, B$1:B400&lt;&gt;""""),COUNTA(FILTER(B$1:B400, B$1:B400&lt;&gt;""""))), LEN(INDEX(FILTER(B$1:B400, B$1:B400&lt;&gt;""""),COUNTA(FILTER(B$1:B400, B$1:B400&lt;&gt;""""))))-1), IF('To Order'!$A401=COLUMNS($A401:B"&amp;"420), B400&amp;RIGHT(INDIRECT(ADDRESS(ROW(B401)-1, 'From Order'!$A401)), 1), B400))"),"JZRLB")</f>
        <v>JZRLB</v>
      </c>
      <c r="C401" s="2" t="str">
        <f>IFERROR(__xludf.DUMMYFUNCTION("IF('From Order'!$A401=COLUMNS($A401:C420), LEFT(INDEX(FILTER(C$1:C400, C$1:C400&lt;&gt;""""),COUNTA(FILTER(C$1:C400, C$1:C400&lt;&gt;""""))), LEN(INDEX(FILTER(C$1:C400, C$1:C400&lt;&gt;""""),COUNTA(FILTER(C$1:C400, C$1:C400&lt;&gt;""""))))-1), IF('To Order'!$A401=COLUMNS($A401:C"&amp;"420), C400&amp;RIGHT(INDIRECT(ADDRESS(ROW(C401)-1, 'From Order'!$A401)), 1), C400))"),"SMFBBRQPDSSPVMZDDTDGS")</f>
        <v>SMFBBRQPDSSPVMZDDTDGS</v>
      </c>
      <c r="D401" s="2" t="str">
        <f>IFERROR(__xludf.DUMMYFUNCTION("IF('From Order'!$A401=COLUMNS($A401:D420), LEFT(INDEX(FILTER(D$1:D400, D$1:D400&lt;&gt;""""),COUNTA(FILTER(D$1:D400, D$1:D400&lt;&gt;""""))), LEN(INDEX(FILTER(D$1:D400, D$1:D400&lt;&gt;""""),COUNTA(FILTER(D$1:D400, D$1:D400&lt;&gt;""""))))-1), IF('To Order'!$A401=COLUMNS($A401:D"&amp;"420), D400&amp;RIGHT(INDIRECT(ADDRESS(ROW(D401)-1, 'From Order'!$A401)), 1), D400))"),"")</f>
        <v/>
      </c>
      <c r="E401" s="2" t="str">
        <f>IFERROR(__xludf.DUMMYFUNCTION("IF('From Order'!$A401=COLUMNS($A401:E420), LEFT(INDEX(FILTER(E$1:E400, E$1:E400&lt;&gt;""""),COUNTA(FILTER(E$1:E400, E$1:E400&lt;&gt;""""))), LEN(INDEX(FILTER(E$1:E400, E$1:E400&lt;&gt;""""),COUNTA(FILTER(E$1:E400, E$1:E400&lt;&gt;""""))))-1), IF('To Order'!$A401=COLUMNS($A401:E"&amp;"420), E400&amp;RIGHT(INDIRECT(ADDRESS(ROW(E401)-1, 'From Order'!$A401)), 1), E400))"),"HZRV")</f>
        <v>HZRV</v>
      </c>
      <c r="F401" s="2" t="str">
        <f>IFERROR(__xludf.DUMMYFUNCTION("IF('From Order'!$A401=COLUMNS($A401:F420), LEFT(INDEX(FILTER(F$1:F400, F$1:F400&lt;&gt;""""),COUNTA(FILTER(F$1:F400, F$1:F400&lt;&gt;""""))), LEN(INDEX(FILTER(F$1:F400, F$1:F400&lt;&gt;""""),COUNTA(FILTER(F$1:F400, F$1:F400&lt;&gt;""""))))-1), IF('To Order'!$A401=COLUMNS($A401:F"&amp;"420), F400&amp;RIGHT(INDIRECT(ADDRESS(ROW(F401)-1, 'From Order'!$A401)), 1), F400))"),"H")</f>
        <v>H</v>
      </c>
      <c r="G401" s="2" t="str">
        <f>IFERROR(__xludf.DUMMYFUNCTION("IF('From Order'!$A401=COLUMNS($A401:G420), LEFT(INDEX(FILTER(G$1:G400, G$1:G400&lt;&gt;""""),COUNTA(FILTER(G$1:G400, G$1:G400&lt;&gt;""""))), LEN(INDEX(FILTER(G$1:G400, G$1:G400&lt;&gt;""""),COUNTA(FILTER(G$1:G400, G$1:G400&lt;&gt;""""))))-1), IF('To Order'!$A401=COLUMNS($A401:G"&amp;"420), G400&amp;RIGHT(INDIRECT(ADDRESS(ROW(G401)-1, 'From Order'!$A401)), 1), G400))"),"LJ")</f>
        <v>LJ</v>
      </c>
      <c r="H401" s="2" t="str">
        <f>IFERROR(__xludf.DUMMYFUNCTION("IF('From Order'!$A401=COLUMNS($A401:H420), LEFT(INDEX(FILTER(H$1:H400, H$1:H400&lt;&gt;""""),COUNTA(FILTER(H$1:H400, H$1:H400&lt;&gt;""""))), LEN(INDEX(FILTER(H$1:H400, H$1:H400&lt;&gt;""""),COUNTA(FILTER(H$1:H400, H$1:H400&lt;&gt;""""))))-1), IF('To Order'!$A401=COLUMNS($A401:H"&amp;"420), H400&amp;RIGHT(INDIRECT(ADDRESS(ROW(H401)-1, 'From Order'!$A401)), 1), H400))"),"")</f>
        <v/>
      </c>
      <c r="I401" s="2" t="str">
        <f>IFERROR(__xludf.DUMMYFUNCTION("IF('From Order'!$A401=COLUMNS($A401:I420), LEFT(INDEX(FILTER(I$1:I400, I$1:I400&lt;&gt;""""),COUNTA(FILTER(I$1:I400, I$1:I400&lt;&gt;""""))), LEN(INDEX(FILTER(I$1:I400, I$1:I400&lt;&gt;""""),COUNTA(FILTER(I$1:I400, I$1:I400&lt;&gt;""""))))-1), IF('To Order'!$A401=COLUMNS($A401:I"&amp;"420), I400&amp;RIGHT(INDIRECT(ADDRESS(ROW(I401)-1, 'From Order'!$A401)), 1), I400))"),"G")</f>
        <v>G</v>
      </c>
    </row>
    <row r="402">
      <c r="A402" s="2" t="str">
        <f>IFERROR(__xludf.DUMMYFUNCTION("IF('From Order'!$A402=COLUMNS($A402:A421), LEFT(INDEX(FILTER(A$1:A401, A$1:A401&lt;&gt;""""),COUNTA(FILTER(A$1:A401, A$1:A401&lt;&gt;""""))), LEN(INDEX(FILTER(A$1:A401, A$1:A401&lt;&gt;""""),COUNTA(FILTER(A$1:A401, A$1:A401&lt;&gt;""""))))-1), IF('To Order'!$A402=COLUMNS($A402:A"&amp;"421), A401&amp;RIGHT(INDIRECT(ADDRESS(ROW(A402)-1, 'From Order'!$A402)), 1), A401))"),"CTFTMQCDTRLDRWTJTVCBPW")</f>
        <v>CTFTMQCDTRLDRWTJTVCBPW</v>
      </c>
      <c r="B402" s="2" t="str">
        <f>IFERROR(__xludf.DUMMYFUNCTION("IF('From Order'!$A402=COLUMNS($A402:B421), LEFT(INDEX(FILTER(B$1:B401, B$1:B401&lt;&gt;""""),COUNTA(FILTER(B$1:B401, B$1:B401&lt;&gt;""""))), LEN(INDEX(FILTER(B$1:B401, B$1:B401&lt;&gt;""""),COUNTA(FILTER(B$1:B401, B$1:B401&lt;&gt;""""))))-1), IF('To Order'!$A402=COLUMNS($A402:B"&amp;"421), B401&amp;RIGHT(INDIRECT(ADDRESS(ROW(B402)-1, 'From Order'!$A402)), 1), B401))"),"JZRL")</f>
        <v>JZRL</v>
      </c>
      <c r="C402" s="2" t="str">
        <f>IFERROR(__xludf.DUMMYFUNCTION("IF('From Order'!$A402=COLUMNS($A402:C421), LEFT(INDEX(FILTER(C$1:C401, C$1:C401&lt;&gt;""""),COUNTA(FILTER(C$1:C401, C$1:C401&lt;&gt;""""))), LEN(INDEX(FILTER(C$1:C401, C$1:C401&lt;&gt;""""),COUNTA(FILTER(C$1:C401, C$1:C401&lt;&gt;""""))))-1), IF('To Order'!$A402=COLUMNS($A402:C"&amp;"421), C401&amp;RIGHT(INDIRECT(ADDRESS(ROW(C402)-1, 'From Order'!$A402)), 1), C401))"),"SMFBBRQPDSSPVMZDDTDGSB")</f>
        <v>SMFBBRQPDSSPVMZDDTDGSB</v>
      </c>
      <c r="D402" s="2" t="str">
        <f>IFERROR(__xludf.DUMMYFUNCTION("IF('From Order'!$A402=COLUMNS($A402:D421), LEFT(INDEX(FILTER(D$1:D401, D$1:D401&lt;&gt;""""),COUNTA(FILTER(D$1:D401, D$1:D401&lt;&gt;""""))), LEN(INDEX(FILTER(D$1:D401, D$1:D401&lt;&gt;""""),COUNTA(FILTER(D$1:D401, D$1:D401&lt;&gt;""""))))-1), IF('To Order'!$A402=COLUMNS($A402:D"&amp;"421), D401&amp;RIGHT(INDIRECT(ADDRESS(ROW(D402)-1, 'From Order'!$A402)), 1), D401))"),"")</f>
        <v/>
      </c>
      <c r="E402" s="2" t="str">
        <f>IFERROR(__xludf.DUMMYFUNCTION("IF('From Order'!$A402=COLUMNS($A402:E421), LEFT(INDEX(FILTER(E$1:E401, E$1:E401&lt;&gt;""""),COUNTA(FILTER(E$1:E401, E$1:E401&lt;&gt;""""))), LEN(INDEX(FILTER(E$1:E401, E$1:E401&lt;&gt;""""),COUNTA(FILTER(E$1:E401, E$1:E401&lt;&gt;""""))))-1), IF('To Order'!$A402=COLUMNS($A402:E"&amp;"421), E401&amp;RIGHT(INDIRECT(ADDRESS(ROW(E402)-1, 'From Order'!$A402)), 1), E401))"),"HZRV")</f>
        <v>HZRV</v>
      </c>
      <c r="F402" s="2" t="str">
        <f>IFERROR(__xludf.DUMMYFUNCTION("IF('From Order'!$A402=COLUMNS($A402:F421), LEFT(INDEX(FILTER(F$1:F401, F$1:F401&lt;&gt;""""),COUNTA(FILTER(F$1:F401, F$1:F401&lt;&gt;""""))), LEN(INDEX(FILTER(F$1:F401, F$1:F401&lt;&gt;""""),COUNTA(FILTER(F$1:F401, F$1:F401&lt;&gt;""""))))-1), IF('To Order'!$A402=COLUMNS($A402:F"&amp;"421), F401&amp;RIGHT(INDIRECT(ADDRESS(ROW(F402)-1, 'From Order'!$A402)), 1), F401))"),"H")</f>
        <v>H</v>
      </c>
      <c r="G402" s="2" t="str">
        <f>IFERROR(__xludf.DUMMYFUNCTION("IF('From Order'!$A402=COLUMNS($A402:G421), LEFT(INDEX(FILTER(G$1:G401, G$1:G401&lt;&gt;""""),COUNTA(FILTER(G$1:G401, G$1:G401&lt;&gt;""""))), LEN(INDEX(FILTER(G$1:G401, G$1:G401&lt;&gt;""""),COUNTA(FILTER(G$1:G401, G$1:G401&lt;&gt;""""))))-1), IF('To Order'!$A402=COLUMNS($A402:G"&amp;"421), G401&amp;RIGHT(INDIRECT(ADDRESS(ROW(G402)-1, 'From Order'!$A402)), 1), G401))"),"LJ")</f>
        <v>LJ</v>
      </c>
      <c r="H402" s="2" t="str">
        <f>IFERROR(__xludf.DUMMYFUNCTION("IF('From Order'!$A402=COLUMNS($A402:H421), LEFT(INDEX(FILTER(H$1:H401, H$1:H401&lt;&gt;""""),COUNTA(FILTER(H$1:H401, H$1:H401&lt;&gt;""""))), LEN(INDEX(FILTER(H$1:H401, H$1:H401&lt;&gt;""""),COUNTA(FILTER(H$1:H401, H$1:H401&lt;&gt;""""))))-1), IF('To Order'!$A402=COLUMNS($A402:H"&amp;"421), H401&amp;RIGHT(INDIRECT(ADDRESS(ROW(H402)-1, 'From Order'!$A402)), 1), H401))"),"")</f>
        <v/>
      </c>
      <c r="I402" s="2" t="str">
        <f>IFERROR(__xludf.DUMMYFUNCTION("IF('From Order'!$A402=COLUMNS($A402:I421), LEFT(INDEX(FILTER(I$1:I401, I$1:I401&lt;&gt;""""),COUNTA(FILTER(I$1:I401, I$1:I401&lt;&gt;""""))), LEN(INDEX(FILTER(I$1:I401, I$1:I401&lt;&gt;""""),COUNTA(FILTER(I$1:I401, I$1:I401&lt;&gt;""""))))-1), IF('To Order'!$A402=COLUMNS($A402:I"&amp;"421), I401&amp;RIGHT(INDIRECT(ADDRESS(ROW(I402)-1, 'From Order'!$A402)), 1), I401))"),"G")</f>
        <v>G</v>
      </c>
    </row>
    <row r="403">
      <c r="A403" s="2" t="str">
        <f>IFERROR(__xludf.DUMMYFUNCTION("IF('From Order'!$A403=COLUMNS($A403:A422), LEFT(INDEX(FILTER(A$1:A402, A$1:A402&lt;&gt;""""),COUNTA(FILTER(A$1:A402, A$1:A402&lt;&gt;""""))), LEN(INDEX(FILTER(A$1:A402, A$1:A402&lt;&gt;""""),COUNTA(FILTER(A$1:A402, A$1:A402&lt;&gt;""""))))-1), IF('To Order'!$A403=COLUMNS($A403:A"&amp;"422), A402&amp;RIGHT(INDIRECT(ADDRESS(ROW(A403)-1, 'From Order'!$A403)), 1), A402))"),"CTFTMQCDTRLDRWTJTVCBPW")</f>
        <v>CTFTMQCDTRLDRWTJTVCBPW</v>
      </c>
      <c r="B403" s="2" t="str">
        <f>IFERROR(__xludf.DUMMYFUNCTION("IF('From Order'!$A403=COLUMNS($A403:B422), LEFT(INDEX(FILTER(B$1:B402, B$1:B402&lt;&gt;""""),COUNTA(FILTER(B$1:B402, B$1:B402&lt;&gt;""""))), LEN(INDEX(FILTER(B$1:B402, B$1:B402&lt;&gt;""""),COUNTA(FILTER(B$1:B402, B$1:B402&lt;&gt;""""))))-1), IF('To Order'!$A403=COLUMNS($A403:B"&amp;"422), B402&amp;RIGHT(INDIRECT(ADDRESS(ROW(B403)-1, 'From Order'!$A403)), 1), B402))"),"JZR")</f>
        <v>JZR</v>
      </c>
      <c r="C403" s="2" t="str">
        <f>IFERROR(__xludf.DUMMYFUNCTION("IF('From Order'!$A403=COLUMNS($A403:C422), LEFT(INDEX(FILTER(C$1:C402, C$1:C402&lt;&gt;""""),COUNTA(FILTER(C$1:C402, C$1:C402&lt;&gt;""""))), LEN(INDEX(FILTER(C$1:C402, C$1:C402&lt;&gt;""""),COUNTA(FILTER(C$1:C402, C$1:C402&lt;&gt;""""))))-1), IF('To Order'!$A403=COLUMNS($A403:C"&amp;"422), C402&amp;RIGHT(INDIRECT(ADDRESS(ROW(C403)-1, 'From Order'!$A403)), 1), C402))"),"SMFBBRQPDSSPVMZDDTDGSBL")</f>
        <v>SMFBBRQPDSSPVMZDDTDGSBL</v>
      </c>
      <c r="D403" s="2" t="str">
        <f>IFERROR(__xludf.DUMMYFUNCTION("IF('From Order'!$A403=COLUMNS($A403:D422), LEFT(INDEX(FILTER(D$1:D402, D$1:D402&lt;&gt;""""),COUNTA(FILTER(D$1:D402, D$1:D402&lt;&gt;""""))), LEN(INDEX(FILTER(D$1:D402, D$1:D402&lt;&gt;""""),COUNTA(FILTER(D$1:D402, D$1:D402&lt;&gt;""""))))-1), IF('To Order'!$A403=COLUMNS($A403:D"&amp;"422), D402&amp;RIGHT(INDIRECT(ADDRESS(ROW(D403)-1, 'From Order'!$A403)), 1), D402))"),"")</f>
        <v/>
      </c>
      <c r="E403" s="2" t="str">
        <f>IFERROR(__xludf.DUMMYFUNCTION("IF('From Order'!$A403=COLUMNS($A403:E422), LEFT(INDEX(FILTER(E$1:E402, E$1:E402&lt;&gt;""""),COUNTA(FILTER(E$1:E402, E$1:E402&lt;&gt;""""))), LEN(INDEX(FILTER(E$1:E402, E$1:E402&lt;&gt;""""),COUNTA(FILTER(E$1:E402, E$1:E402&lt;&gt;""""))))-1), IF('To Order'!$A403=COLUMNS($A403:E"&amp;"422), E402&amp;RIGHT(INDIRECT(ADDRESS(ROW(E403)-1, 'From Order'!$A403)), 1), E402))"),"HZRV")</f>
        <v>HZRV</v>
      </c>
      <c r="F403" s="2" t="str">
        <f>IFERROR(__xludf.DUMMYFUNCTION("IF('From Order'!$A403=COLUMNS($A403:F422), LEFT(INDEX(FILTER(F$1:F402, F$1:F402&lt;&gt;""""),COUNTA(FILTER(F$1:F402, F$1:F402&lt;&gt;""""))), LEN(INDEX(FILTER(F$1:F402, F$1:F402&lt;&gt;""""),COUNTA(FILTER(F$1:F402, F$1:F402&lt;&gt;""""))))-1), IF('To Order'!$A403=COLUMNS($A403:F"&amp;"422), F402&amp;RIGHT(INDIRECT(ADDRESS(ROW(F403)-1, 'From Order'!$A403)), 1), F402))"),"H")</f>
        <v>H</v>
      </c>
      <c r="G403" s="2" t="str">
        <f>IFERROR(__xludf.DUMMYFUNCTION("IF('From Order'!$A403=COLUMNS($A403:G422), LEFT(INDEX(FILTER(G$1:G402, G$1:G402&lt;&gt;""""),COUNTA(FILTER(G$1:G402, G$1:G402&lt;&gt;""""))), LEN(INDEX(FILTER(G$1:G402, G$1:G402&lt;&gt;""""),COUNTA(FILTER(G$1:G402, G$1:G402&lt;&gt;""""))))-1), IF('To Order'!$A403=COLUMNS($A403:G"&amp;"422), G402&amp;RIGHT(INDIRECT(ADDRESS(ROW(G403)-1, 'From Order'!$A403)), 1), G402))"),"LJ")</f>
        <v>LJ</v>
      </c>
      <c r="H403" s="2" t="str">
        <f>IFERROR(__xludf.DUMMYFUNCTION("IF('From Order'!$A403=COLUMNS($A403:H422), LEFT(INDEX(FILTER(H$1:H402, H$1:H402&lt;&gt;""""),COUNTA(FILTER(H$1:H402, H$1:H402&lt;&gt;""""))), LEN(INDEX(FILTER(H$1:H402, H$1:H402&lt;&gt;""""),COUNTA(FILTER(H$1:H402, H$1:H402&lt;&gt;""""))))-1), IF('To Order'!$A403=COLUMNS($A403:H"&amp;"422), H402&amp;RIGHT(INDIRECT(ADDRESS(ROW(H403)-1, 'From Order'!$A403)), 1), H402))"),"")</f>
        <v/>
      </c>
      <c r="I403" s="2" t="str">
        <f>IFERROR(__xludf.DUMMYFUNCTION("IF('From Order'!$A403=COLUMNS($A403:I422), LEFT(INDEX(FILTER(I$1:I402, I$1:I402&lt;&gt;""""),COUNTA(FILTER(I$1:I402, I$1:I402&lt;&gt;""""))), LEN(INDEX(FILTER(I$1:I402, I$1:I402&lt;&gt;""""),COUNTA(FILTER(I$1:I402, I$1:I402&lt;&gt;""""))))-1), IF('To Order'!$A403=COLUMNS($A403:I"&amp;"422), I402&amp;RIGHT(INDIRECT(ADDRESS(ROW(I403)-1, 'From Order'!$A403)), 1), I402))"),"G")</f>
        <v>G</v>
      </c>
    </row>
    <row r="404">
      <c r="A404" s="2" t="str">
        <f>IFERROR(__xludf.DUMMYFUNCTION("IF('From Order'!$A404=COLUMNS($A404:A423), LEFT(INDEX(FILTER(A$1:A403, A$1:A403&lt;&gt;""""),COUNTA(FILTER(A$1:A403, A$1:A403&lt;&gt;""""))), LEN(INDEX(FILTER(A$1:A403, A$1:A403&lt;&gt;""""),COUNTA(FILTER(A$1:A403, A$1:A403&lt;&gt;""""))))-1), IF('To Order'!$A404=COLUMNS($A404:A"&amp;"423), A403&amp;RIGHT(INDIRECT(ADDRESS(ROW(A404)-1, 'From Order'!$A404)), 1), A403))"),"CTFTMQCDTRLDRWTJTVCBPW")</f>
        <v>CTFTMQCDTRLDRWTJTVCBPW</v>
      </c>
      <c r="B404" s="2" t="str">
        <f>IFERROR(__xludf.DUMMYFUNCTION("IF('From Order'!$A404=COLUMNS($A404:B423), LEFT(INDEX(FILTER(B$1:B403, B$1:B403&lt;&gt;""""),COUNTA(FILTER(B$1:B403, B$1:B403&lt;&gt;""""))), LEN(INDEX(FILTER(B$1:B403, B$1:B403&lt;&gt;""""),COUNTA(FILTER(B$1:B403, B$1:B403&lt;&gt;""""))))-1), IF('To Order'!$A404=COLUMNS($A404:B"&amp;"423), B403&amp;RIGHT(INDIRECT(ADDRESS(ROW(B404)-1, 'From Order'!$A404)), 1), B403))"),"JZ")</f>
        <v>JZ</v>
      </c>
      <c r="C404" s="2" t="str">
        <f>IFERROR(__xludf.DUMMYFUNCTION("IF('From Order'!$A404=COLUMNS($A404:C423), LEFT(INDEX(FILTER(C$1:C403, C$1:C403&lt;&gt;""""),COUNTA(FILTER(C$1:C403, C$1:C403&lt;&gt;""""))), LEN(INDEX(FILTER(C$1:C403, C$1:C403&lt;&gt;""""),COUNTA(FILTER(C$1:C403, C$1:C403&lt;&gt;""""))))-1), IF('To Order'!$A404=COLUMNS($A404:C"&amp;"423), C403&amp;RIGHT(INDIRECT(ADDRESS(ROW(C404)-1, 'From Order'!$A404)), 1), C403))"),"SMFBBRQPDSSPVMZDDTDGSBLR")</f>
        <v>SMFBBRQPDSSPVMZDDTDGSBLR</v>
      </c>
      <c r="D404" s="2" t="str">
        <f>IFERROR(__xludf.DUMMYFUNCTION("IF('From Order'!$A404=COLUMNS($A404:D423), LEFT(INDEX(FILTER(D$1:D403, D$1:D403&lt;&gt;""""),COUNTA(FILTER(D$1:D403, D$1:D403&lt;&gt;""""))), LEN(INDEX(FILTER(D$1:D403, D$1:D403&lt;&gt;""""),COUNTA(FILTER(D$1:D403, D$1:D403&lt;&gt;""""))))-1), IF('To Order'!$A404=COLUMNS($A404:D"&amp;"423), D403&amp;RIGHT(INDIRECT(ADDRESS(ROW(D404)-1, 'From Order'!$A404)), 1), D403))"),"")</f>
        <v/>
      </c>
      <c r="E404" s="2" t="str">
        <f>IFERROR(__xludf.DUMMYFUNCTION("IF('From Order'!$A404=COLUMNS($A404:E423), LEFT(INDEX(FILTER(E$1:E403, E$1:E403&lt;&gt;""""),COUNTA(FILTER(E$1:E403, E$1:E403&lt;&gt;""""))), LEN(INDEX(FILTER(E$1:E403, E$1:E403&lt;&gt;""""),COUNTA(FILTER(E$1:E403, E$1:E403&lt;&gt;""""))))-1), IF('To Order'!$A404=COLUMNS($A404:E"&amp;"423), E403&amp;RIGHT(INDIRECT(ADDRESS(ROW(E404)-1, 'From Order'!$A404)), 1), E403))"),"HZRV")</f>
        <v>HZRV</v>
      </c>
      <c r="F404" s="2" t="str">
        <f>IFERROR(__xludf.DUMMYFUNCTION("IF('From Order'!$A404=COLUMNS($A404:F423), LEFT(INDEX(FILTER(F$1:F403, F$1:F403&lt;&gt;""""),COUNTA(FILTER(F$1:F403, F$1:F403&lt;&gt;""""))), LEN(INDEX(FILTER(F$1:F403, F$1:F403&lt;&gt;""""),COUNTA(FILTER(F$1:F403, F$1:F403&lt;&gt;""""))))-1), IF('To Order'!$A404=COLUMNS($A404:F"&amp;"423), F403&amp;RIGHT(INDIRECT(ADDRESS(ROW(F404)-1, 'From Order'!$A404)), 1), F403))"),"H")</f>
        <v>H</v>
      </c>
      <c r="G404" s="2" t="str">
        <f>IFERROR(__xludf.DUMMYFUNCTION("IF('From Order'!$A404=COLUMNS($A404:G423), LEFT(INDEX(FILTER(G$1:G403, G$1:G403&lt;&gt;""""),COUNTA(FILTER(G$1:G403, G$1:G403&lt;&gt;""""))), LEN(INDEX(FILTER(G$1:G403, G$1:G403&lt;&gt;""""),COUNTA(FILTER(G$1:G403, G$1:G403&lt;&gt;""""))))-1), IF('To Order'!$A404=COLUMNS($A404:G"&amp;"423), G403&amp;RIGHT(INDIRECT(ADDRESS(ROW(G404)-1, 'From Order'!$A404)), 1), G403))"),"LJ")</f>
        <v>LJ</v>
      </c>
      <c r="H404" s="2" t="str">
        <f>IFERROR(__xludf.DUMMYFUNCTION("IF('From Order'!$A404=COLUMNS($A404:H423), LEFT(INDEX(FILTER(H$1:H403, H$1:H403&lt;&gt;""""),COUNTA(FILTER(H$1:H403, H$1:H403&lt;&gt;""""))), LEN(INDEX(FILTER(H$1:H403, H$1:H403&lt;&gt;""""),COUNTA(FILTER(H$1:H403, H$1:H403&lt;&gt;""""))))-1), IF('To Order'!$A404=COLUMNS($A404:H"&amp;"423), H403&amp;RIGHT(INDIRECT(ADDRESS(ROW(H404)-1, 'From Order'!$A404)), 1), H403))"),"")</f>
        <v/>
      </c>
      <c r="I404" s="2" t="str">
        <f>IFERROR(__xludf.DUMMYFUNCTION("IF('From Order'!$A404=COLUMNS($A404:I423), LEFT(INDEX(FILTER(I$1:I403, I$1:I403&lt;&gt;""""),COUNTA(FILTER(I$1:I403, I$1:I403&lt;&gt;""""))), LEN(INDEX(FILTER(I$1:I403, I$1:I403&lt;&gt;""""),COUNTA(FILTER(I$1:I403, I$1:I403&lt;&gt;""""))))-1), IF('To Order'!$A404=COLUMNS($A404:I"&amp;"423), I403&amp;RIGHT(INDIRECT(ADDRESS(ROW(I404)-1, 'From Order'!$A404)), 1), I403))"),"G")</f>
        <v>G</v>
      </c>
    </row>
    <row r="405">
      <c r="A405" s="2" t="str">
        <f>IFERROR(__xludf.DUMMYFUNCTION("IF('From Order'!$A405=COLUMNS($A405:A424), LEFT(INDEX(FILTER(A$1:A404, A$1:A404&lt;&gt;""""),COUNTA(FILTER(A$1:A404, A$1:A404&lt;&gt;""""))), LEN(INDEX(FILTER(A$1:A404, A$1:A404&lt;&gt;""""),COUNTA(FILTER(A$1:A404, A$1:A404&lt;&gt;""""))))-1), IF('To Order'!$A405=COLUMNS($A405:A"&amp;"424), A404&amp;RIGHT(INDIRECT(ADDRESS(ROW(A405)-1, 'From Order'!$A405)), 1), A404))"),"CTFTMQCDTRLDRWTJTVCBPW")</f>
        <v>CTFTMQCDTRLDRWTJTVCBPW</v>
      </c>
      <c r="B405" s="2" t="str">
        <f>IFERROR(__xludf.DUMMYFUNCTION("IF('From Order'!$A405=COLUMNS($A405:B424), LEFT(INDEX(FILTER(B$1:B404, B$1:B404&lt;&gt;""""),COUNTA(FILTER(B$1:B404, B$1:B404&lt;&gt;""""))), LEN(INDEX(FILTER(B$1:B404, B$1:B404&lt;&gt;""""),COUNTA(FILTER(B$1:B404, B$1:B404&lt;&gt;""""))))-1), IF('To Order'!$A405=COLUMNS($A405:B"&amp;"424), B404&amp;RIGHT(INDIRECT(ADDRESS(ROW(B405)-1, 'From Order'!$A405)), 1), B404))"),"J")</f>
        <v>J</v>
      </c>
      <c r="C405" s="2" t="str">
        <f>IFERROR(__xludf.DUMMYFUNCTION("IF('From Order'!$A405=COLUMNS($A405:C424), LEFT(INDEX(FILTER(C$1:C404, C$1:C404&lt;&gt;""""),COUNTA(FILTER(C$1:C404, C$1:C404&lt;&gt;""""))), LEN(INDEX(FILTER(C$1:C404, C$1:C404&lt;&gt;""""),COUNTA(FILTER(C$1:C404, C$1:C404&lt;&gt;""""))))-1), IF('To Order'!$A405=COLUMNS($A405:C"&amp;"424), C404&amp;RIGHT(INDIRECT(ADDRESS(ROW(C405)-1, 'From Order'!$A405)), 1), C404))"),"SMFBBRQPDSSPVMZDDTDGSBLRZ")</f>
        <v>SMFBBRQPDSSPVMZDDTDGSBLRZ</v>
      </c>
      <c r="D405" s="2" t="str">
        <f>IFERROR(__xludf.DUMMYFUNCTION("IF('From Order'!$A405=COLUMNS($A405:D424), LEFT(INDEX(FILTER(D$1:D404, D$1:D404&lt;&gt;""""),COUNTA(FILTER(D$1:D404, D$1:D404&lt;&gt;""""))), LEN(INDEX(FILTER(D$1:D404, D$1:D404&lt;&gt;""""),COUNTA(FILTER(D$1:D404, D$1:D404&lt;&gt;""""))))-1), IF('To Order'!$A405=COLUMNS($A405:D"&amp;"424), D404&amp;RIGHT(INDIRECT(ADDRESS(ROW(D405)-1, 'From Order'!$A405)), 1), D404))"),"")</f>
        <v/>
      </c>
      <c r="E405" s="2" t="str">
        <f>IFERROR(__xludf.DUMMYFUNCTION("IF('From Order'!$A405=COLUMNS($A405:E424), LEFT(INDEX(FILTER(E$1:E404, E$1:E404&lt;&gt;""""),COUNTA(FILTER(E$1:E404, E$1:E404&lt;&gt;""""))), LEN(INDEX(FILTER(E$1:E404, E$1:E404&lt;&gt;""""),COUNTA(FILTER(E$1:E404, E$1:E404&lt;&gt;""""))))-1), IF('To Order'!$A405=COLUMNS($A405:E"&amp;"424), E404&amp;RIGHT(INDIRECT(ADDRESS(ROW(E405)-1, 'From Order'!$A405)), 1), E404))"),"HZRV")</f>
        <v>HZRV</v>
      </c>
      <c r="F405" s="2" t="str">
        <f>IFERROR(__xludf.DUMMYFUNCTION("IF('From Order'!$A405=COLUMNS($A405:F424), LEFT(INDEX(FILTER(F$1:F404, F$1:F404&lt;&gt;""""),COUNTA(FILTER(F$1:F404, F$1:F404&lt;&gt;""""))), LEN(INDEX(FILTER(F$1:F404, F$1:F404&lt;&gt;""""),COUNTA(FILTER(F$1:F404, F$1:F404&lt;&gt;""""))))-1), IF('To Order'!$A405=COLUMNS($A405:F"&amp;"424), F404&amp;RIGHT(INDIRECT(ADDRESS(ROW(F405)-1, 'From Order'!$A405)), 1), F404))"),"H")</f>
        <v>H</v>
      </c>
      <c r="G405" s="2" t="str">
        <f>IFERROR(__xludf.DUMMYFUNCTION("IF('From Order'!$A405=COLUMNS($A405:G424), LEFT(INDEX(FILTER(G$1:G404, G$1:G404&lt;&gt;""""),COUNTA(FILTER(G$1:G404, G$1:G404&lt;&gt;""""))), LEN(INDEX(FILTER(G$1:G404, G$1:G404&lt;&gt;""""),COUNTA(FILTER(G$1:G404, G$1:G404&lt;&gt;""""))))-1), IF('To Order'!$A405=COLUMNS($A405:G"&amp;"424), G404&amp;RIGHT(INDIRECT(ADDRESS(ROW(G405)-1, 'From Order'!$A405)), 1), G404))"),"LJ")</f>
        <v>LJ</v>
      </c>
      <c r="H405" s="2" t="str">
        <f>IFERROR(__xludf.DUMMYFUNCTION("IF('From Order'!$A405=COLUMNS($A405:H424), LEFT(INDEX(FILTER(H$1:H404, H$1:H404&lt;&gt;""""),COUNTA(FILTER(H$1:H404, H$1:H404&lt;&gt;""""))), LEN(INDEX(FILTER(H$1:H404, H$1:H404&lt;&gt;""""),COUNTA(FILTER(H$1:H404, H$1:H404&lt;&gt;""""))))-1), IF('To Order'!$A405=COLUMNS($A405:H"&amp;"424), H404&amp;RIGHT(INDIRECT(ADDRESS(ROW(H405)-1, 'From Order'!$A405)), 1), H404))"),"")</f>
        <v/>
      </c>
      <c r="I405" s="2" t="str">
        <f>IFERROR(__xludf.DUMMYFUNCTION("IF('From Order'!$A405=COLUMNS($A405:I424), LEFT(INDEX(FILTER(I$1:I404, I$1:I404&lt;&gt;""""),COUNTA(FILTER(I$1:I404, I$1:I404&lt;&gt;""""))), LEN(INDEX(FILTER(I$1:I404, I$1:I404&lt;&gt;""""),COUNTA(FILTER(I$1:I404, I$1:I404&lt;&gt;""""))))-1), IF('To Order'!$A405=COLUMNS($A405:I"&amp;"424), I404&amp;RIGHT(INDIRECT(ADDRESS(ROW(I405)-1, 'From Order'!$A405)), 1), I404))"),"G")</f>
        <v>G</v>
      </c>
    </row>
    <row r="406">
      <c r="A406" s="2" t="str">
        <f>IFERROR(__xludf.DUMMYFUNCTION("IF('From Order'!$A406=COLUMNS($A406:A425), LEFT(INDEX(FILTER(A$1:A405, A$1:A405&lt;&gt;""""),COUNTA(FILTER(A$1:A405, A$1:A405&lt;&gt;""""))), LEN(INDEX(FILTER(A$1:A405, A$1:A405&lt;&gt;""""),COUNTA(FILTER(A$1:A405, A$1:A405&lt;&gt;""""))))-1), IF('To Order'!$A406=COLUMNS($A406:A"&amp;"425), A405&amp;RIGHT(INDIRECT(ADDRESS(ROW(A406)-1, 'From Order'!$A406)), 1), A405))"),"CTFTMQCDTRLDRWTJTVCBPWH")</f>
        <v>CTFTMQCDTRLDRWTJTVCBPWH</v>
      </c>
      <c r="B406" s="2" t="str">
        <f>IFERROR(__xludf.DUMMYFUNCTION("IF('From Order'!$A406=COLUMNS($A406:B425), LEFT(INDEX(FILTER(B$1:B405, B$1:B405&lt;&gt;""""),COUNTA(FILTER(B$1:B405, B$1:B405&lt;&gt;""""))), LEN(INDEX(FILTER(B$1:B405, B$1:B405&lt;&gt;""""),COUNTA(FILTER(B$1:B405, B$1:B405&lt;&gt;""""))))-1), IF('To Order'!$A406=COLUMNS($A406:B"&amp;"425), B405&amp;RIGHT(INDIRECT(ADDRESS(ROW(B406)-1, 'From Order'!$A406)), 1), B405))"),"J")</f>
        <v>J</v>
      </c>
      <c r="C406" s="2" t="str">
        <f>IFERROR(__xludf.DUMMYFUNCTION("IF('From Order'!$A406=COLUMNS($A406:C425), LEFT(INDEX(FILTER(C$1:C405, C$1:C405&lt;&gt;""""),COUNTA(FILTER(C$1:C405, C$1:C405&lt;&gt;""""))), LEN(INDEX(FILTER(C$1:C405, C$1:C405&lt;&gt;""""),COUNTA(FILTER(C$1:C405, C$1:C405&lt;&gt;""""))))-1), IF('To Order'!$A406=COLUMNS($A406:C"&amp;"425), C405&amp;RIGHT(INDIRECT(ADDRESS(ROW(C406)-1, 'From Order'!$A406)), 1), C405))"),"SMFBBRQPDSSPVMZDDTDGSBLRZ")</f>
        <v>SMFBBRQPDSSPVMZDDTDGSBLRZ</v>
      </c>
      <c r="D406" s="2" t="str">
        <f>IFERROR(__xludf.DUMMYFUNCTION("IF('From Order'!$A406=COLUMNS($A406:D425), LEFT(INDEX(FILTER(D$1:D405, D$1:D405&lt;&gt;""""),COUNTA(FILTER(D$1:D405, D$1:D405&lt;&gt;""""))), LEN(INDEX(FILTER(D$1:D405, D$1:D405&lt;&gt;""""),COUNTA(FILTER(D$1:D405, D$1:D405&lt;&gt;""""))))-1), IF('To Order'!$A406=COLUMNS($A406:D"&amp;"425), D405&amp;RIGHT(INDIRECT(ADDRESS(ROW(D406)-1, 'From Order'!$A406)), 1), D405))"),"")</f>
        <v/>
      </c>
      <c r="E406" s="2" t="str">
        <f>IFERROR(__xludf.DUMMYFUNCTION("IF('From Order'!$A406=COLUMNS($A406:E425), LEFT(INDEX(FILTER(E$1:E405, E$1:E405&lt;&gt;""""),COUNTA(FILTER(E$1:E405, E$1:E405&lt;&gt;""""))), LEN(INDEX(FILTER(E$1:E405, E$1:E405&lt;&gt;""""),COUNTA(FILTER(E$1:E405, E$1:E405&lt;&gt;""""))))-1), IF('To Order'!$A406=COLUMNS($A406:E"&amp;"425), E405&amp;RIGHT(INDIRECT(ADDRESS(ROW(E406)-1, 'From Order'!$A406)), 1), E405))"),"HZRV")</f>
        <v>HZRV</v>
      </c>
      <c r="F406" s="2" t="str">
        <f>IFERROR(__xludf.DUMMYFUNCTION("IF('From Order'!$A406=COLUMNS($A406:F425), LEFT(INDEX(FILTER(F$1:F405, F$1:F405&lt;&gt;""""),COUNTA(FILTER(F$1:F405, F$1:F405&lt;&gt;""""))), LEN(INDEX(FILTER(F$1:F405, F$1:F405&lt;&gt;""""),COUNTA(FILTER(F$1:F405, F$1:F405&lt;&gt;""""))))-1), IF('To Order'!$A406=COLUMNS($A406:F"&amp;"425), F405&amp;RIGHT(INDIRECT(ADDRESS(ROW(F406)-1, 'From Order'!$A406)), 1), F405))"),"")</f>
        <v/>
      </c>
      <c r="G406" s="2" t="str">
        <f>IFERROR(__xludf.DUMMYFUNCTION("IF('From Order'!$A406=COLUMNS($A406:G425), LEFT(INDEX(FILTER(G$1:G405, G$1:G405&lt;&gt;""""),COUNTA(FILTER(G$1:G405, G$1:G405&lt;&gt;""""))), LEN(INDEX(FILTER(G$1:G405, G$1:G405&lt;&gt;""""),COUNTA(FILTER(G$1:G405, G$1:G405&lt;&gt;""""))))-1), IF('To Order'!$A406=COLUMNS($A406:G"&amp;"425), G405&amp;RIGHT(INDIRECT(ADDRESS(ROW(G406)-1, 'From Order'!$A406)), 1), G405))"),"LJ")</f>
        <v>LJ</v>
      </c>
      <c r="H406" s="2" t="str">
        <f>IFERROR(__xludf.DUMMYFUNCTION("IF('From Order'!$A406=COLUMNS($A406:H425), LEFT(INDEX(FILTER(H$1:H405, H$1:H405&lt;&gt;""""),COUNTA(FILTER(H$1:H405, H$1:H405&lt;&gt;""""))), LEN(INDEX(FILTER(H$1:H405, H$1:H405&lt;&gt;""""),COUNTA(FILTER(H$1:H405, H$1:H405&lt;&gt;""""))))-1), IF('To Order'!$A406=COLUMNS($A406:H"&amp;"425), H405&amp;RIGHT(INDIRECT(ADDRESS(ROW(H406)-1, 'From Order'!$A406)), 1), H405))"),"")</f>
        <v/>
      </c>
      <c r="I406" s="2" t="str">
        <f>IFERROR(__xludf.DUMMYFUNCTION("IF('From Order'!$A406=COLUMNS($A406:I425), LEFT(INDEX(FILTER(I$1:I405, I$1:I405&lt;&gt;""""),COUNTA(FILTER(I$1:I405, I$1:I405&lt;&gt;""""))), LEN(INDEX(FILTER(I$1:I405, I$1:I405&lt;&gt;""""),COUNTA(FILTER(I$1:I405, I$1:I405&lt;&gt;""""))))-1), IF('To Order'!$A406=COLUMNS($A406:I"&amp;"425), I405&amp;RIGHT(INDIRECT(ADDRESS(ROW(I406)-1, 'From Order'!$A406)), 1), I405))"),"G")</f>
        <v>G</v>
      </c>
    </row>
    <row r="407">
      <c r="A407" s="2" t="str">
        <f>IFERROR(__xludf.DUMMYFUNCTION("IF('From Order'!$A407=COLUMNS($A407:A426), LEFT(INDEX(FILTER(A$1:A406, A$1:A406&lt;&gt;""""),COUNTA(FILTER(A$1:A406, A$1:A406&lt;&gt;""""))), LEN(INDEX(FILTER(A$1:A406, A$1:A406&lt;&gt;""""),COUNTA(FILTER(A$1:A406, A$1:A406&lt;&gt;""""))))-1), IF('To Order'!$A407=COLUMNS($A407:A"&amp;"426), A406&amp;RIGHT(INDIRECT(ADDRESS(ROW(A407)-1, 'From Order'!$A407)), 1), A406))"),"CTFTMQCDTRLDRWTJTVCBPWH")</f>
        <v>CTFTMQCDTRLDRWTJTVCBPWH</v>
      </c>
      <c r="B407" s="2" t="str">
        <f>IFERROR(__xludf.DUMMYFUNCTION("IF('From Order'!$A407=COLUMNS($A407:B426), LEFT(INDEX(FILTER(B$1:B406, B$1:B406&lt;&gt;""""),COUNTA(FILTER(B$1:B406, B$1:B406&lt;&gt;""""))), LEN(INDEX(FILTER(B$1:B406, B$1:B406&lt;&gt;""""),COUNTA(FILTER(B$1:B406, B$1:B406&lt;&gt;""""))))-1), IF('To Order'!$A407=COLUMNS($A407:B"&amp;"426), B406&amp;RIGHT(INDIRECT(ADDRESS(ROW(B407)-1, 'From Order'!$A407)), 1), B406))"),"JZ")</f>
        <v>JZ</v>
      </c>
      <c r="C407" s="2" t="str">
        <f>IFERROR(__xludf.DUMMYFUNCTION("IF('From Order'!$A407=COLUMNS($A407:C426), LEFT(INDEX(FILTER(C$1:C406, C$1:C406&lt;&gt;""""),COUNTA(FILTER(C$1:C406, C$1:C406&lt;&gt;""""))), LEN(INDEX(FILTER(C$1:C406, C$1:C406&lt;&gt;""""),COUNTA(FILTER(C$1:C406, C$1:C406&lt;&gt;""""))))-1), IF('To Order'!$A407=COLUMNS($A407:C"&amp;"426), C406&amp;RIGHT(INDIRECT(ADDRESS(ROW(C407)-1, 'From Order'!$A407)), 1), C406))"),"SMFBBRQPDSSPVMZDDTDGSBLR")</f>
        <v>SMFBBRQPDSSPVMZDDTDGSBLR</v>
      </c>
      <c r="D407" s="2" t="str">
        <f>IFERROR(__xludf.DUMMYFUNCTION("IF('From Order'!$A407=COLUMNS($A407:D426), LEFT(INDEX(FILTER(D$1:D406, D$1:D406&lt;&gt;""""),COUNTA(FILTER(D$1:D406, D$1:D406&lt;&gt;""""))), LEN(INDEX(FILTER(D$1:D406, D$1:D406&lt;&gt;""""),COUNTA(FILTER(D$1:D406, D$1:D406&lt;&gt;""""))))-1), IF('To Order'!$A407=COLUMNS($A407:D"&amp;"426), D406&amp;RIGHT(INDIRECT(ADDRESS(ROW(D407)-1, 'From Order'!$A407)), 1), D406))"),"")</f>
        <v/>
      </c>
      <c r="E407" s="2" t="str">
        <f>IFERROR(__xludf.DUMMYFUNCTION("IF('From Order'!$A407=COLUMNS($A407:E426), LEFT(INDEX(FILTER(E$1:E406, E$1:E406&lt;&gt;""""),COUNTA(FILTER(E$1:E406, E$1:E406&lt;&gt;""""))), LEN(INDEX(FILTER(E$1:E406, E$1:E406&lt;&gt;""""),COUNTA(FILTER(E$1:E406, E$1:E406&lt;&gt;""""))))-1), IF('To Order'!$A407=COLUMNS($A407:E"&amp;"426), E406&amp;RIGHT(INDIRECT(ADDRESS(ROW(E407)-1, 'From Order'!$A407)), 1), E406))"),"HZRV")</f>
        <v>HZRV</v>
      </c>
      <c r="F407" s="2" t="str">
        <f>IFERROR(__xludf.DUMMYFUNCTION("IF('From Order'!$A407=COLUMNS($A407:F426), LEFT(INDEX(FILTER(F$1:F406, F$1:F406&lt;&gt;""""),COUNTA(FILTER(F$1:F406, F$1:F406&lt;&gt;""""))), LEN(INDEX(FILTER(F$1:F406, F$1:F406&lt;&gt;""""),COUNTA(FILTER(F$1:F406, F$1:F406&lt;&gt;""""))))-1), IF('To Order'!$A407=COLUMNS($A407:F"&amp;"426), F406&amp;RIGHT(INDIRECT(ADDRESS(ROW(F407)-1, 'From Order'!$A407)), 1), F406))"),"")</f>
        <v/>
      </c>
      <c r="G407" s="2" t="str">
        <f>IFERROR(__xludf.DUMMYFUNCTION("IF('From Order'!$A407=COLUMNS($A407:G426), LEFT(INDEX(FILTER(G$1:G406, G$1:G406&lt;&gt;""""),COUNTA(FILTER(G$1:G406, G$1:G406&lt;&gt;""""))), LEN(INDEX(FILTER(G$1:G406, G$1:G406&lt;&gt;""""),COUNTA(FILTER(G$1:G406, G$1:G406&lt;&gt;""""))))-1), IF('To Order'!$A407=COLUMNS($A407:G"&amp;"426), G406&amp;RIGHT(INDIRECT(ADDRESS(ROW(G407)-1, 'From Order'!$A407)), 1), G406))"),"LJ")</f>
        <v>LJ</v>
      </c>
      <c r="H407" s="2" t="str">
        <f>IFERROR(__xludf.DUMMYFUNCTION("IF('From Order'!$A407=COLUMNS($A407:H426), LEFT(INDEX(FILTER(H$1:H406, H$1:H406&lt;&gt;""""),COUNTA(FILTER(H$1:H406, H$1:H406&lt;&gt;""""))), LEN(INDEX(FILTER(H$1:H406, H$1:H406&lt;&gt;""""),COUNTA(FILTER(H$1:H406, H$1:H406&lt;&gt;""""))))-1), IF('To Order'!$A407=COLUMNS($A407:H"&amp;"426), H406&amp;RIGHT(INDIRECT(ADDRESS(ROW(H407)-1, 'From Order'!$A407)), 1), H406))"),"")</f>
        <v/>
      </c>
      <c r="I407" s="2" t="str">
        <f>IFERROR(__xludf.DUMMYFUNCTION("IF('From Order'!$A407=COLUMNS($A407:I426), LEFT(INDEX(FILTER(I$1:I406, I$1:I406&lt;&gt;""""),COUNTA(FILTER(I$1:I406, I$1:I406&lt;&gt;""""))), LEN(INDEX(FILTER(I$1:I406, I$1:I406&lt;&gt;""""),COUNTA(FILTER(I$1:I406, I$1:I406&lt;&gt;""""))))-1), IF('To Order'!$A407=COLUMNS($A407:I"&amp;"426), I406&amp;RIGHT(INDIRECT(ADDRESS(ROW(I407)-1, 'From Order'!$A407)), 1), I406))"),"G")</f>
        <v>G</v>
      </c>
    </row>
    <row r="408">
      <c r="A408" s="2" t="str">
        <f>IFERROR(__xludf.DUMMYFUNCTION("IF('From Order'!$A408=COLUMNS($A408:A427), LEFT(INDEX(FILTER(A$1:A407, A$1:A407&lt;&gt;""""),COUNTA(FILTER(A$1:A407, A$1:A407&lt;&gt;""""))), LEN(INDEX(FILTER(A$1:A407, A$1:A407&lt;&gt;""""),COUNTA(FILTER(A$1:A407, A$1:A407&lt;&gt;""""))))-1), IF('To Order'!$A408=COLUMNS($A408:A"&amp;"427), A407&amp;RIGHT(INDIRECT(ADDRESS(ROW(A408)-1, 'From Order'!$A408)), 1), A407))"),"CTFTMQCDTRLDRWTJTVCBPWH")</f>
        <v>CTFTMQCDTRLDRWTJTVCBPWH</v>
      </c>
      <c r="B408" s="2" t="str">
        <f>IFERROR(__xludf.DUMMYFUNCTION("IF('From Order'!$A408=COLUMNS($A408:B427), LEFT(INDEX(FILTER(B$1:B407, B$1:B407&lt;&gt;""""),COUNTA(FILTER(B$1:B407, B$1:B407&lt;&gt;""""))), LEN(INDEX(FILTER(B$1:B407, B$1:B407&lt;&gt;""""),COUNTA(FILTER(B$1:B407, B$1:B407&lt;&gt;""""))))-1), IF('To Order'!$A408=COLUMNS($A408:B"&amp;"427), B407&amp;RIGHT(INDIRECT(ADDRESS(ROW(B408)-1, 'From Order'!$A408)), 1), B407))"),"JZR")</f>
        <v>JZR</v>
      </c>
      <c r="C408" s="2" t="str">
        <f>IFERROR(__xludf.DUMMYFUNCTION("IF('From Order'!$A408=COLUMNS($A408:C427), LEFT(INDEX(FILTER(C$1:C407, C$1:C407&lt;&gt;""""),COUNTA(FILTER(C$1:C407, C$1:C407&lt;&gt;""""))), LEN(INDEX(FILTER(C$1:C407, C$1:C407&lt;&gt;""""),COUNTA(FILTER(C$1:C407, C$1:C407&lt;&gt;""""))))-1), IF('To Order'!$A408=COLUMNS($A408:C"&amp;"427), C407&amp;RIGHT(INDIRECT(ADDRESS(ROW(C408)-1, 'From Order'!$A408)), 1), C407))"),"SMFBBRQPDSSPVMZDDTDGSBL")</f>
        <v>SMFBBRQPDSSPVMZDDTDGSBL</v>
      </c>
      <c r="D408" s="2" t="str">
        <f>IFERROR(__xludf.DUMMYFUNCTION("IF('From Order'!$A408=COLUMNS($A408:D427), LEFT(INDEX(FILTER(D$1:D407, D$1:D407&lt;&gt;""""),COUNTA(FILTER(D$1:D407, D$1:D407&lt;&gt;""""))), LEN(INDEX(FILTER(D$1:D407, D$1:D407&lt;&gt;""""),COUNTA(FILTER(D$1:D407, D$1:D407&lt;&gt;""""))))-1), IF('To Order'!$A408=COLUMNS($A408:D"&amp;"427), D407&amp;RIGHT(INDIRECT(ADDRESS(ROW(D408)-1, 'From Order'!$A408)), 1), D407))"),"")</f>
        <v/>
      </c>
      <c r="E408" s="2" t="str">
        <f>IFERROR(__xludf.DUMMYFUNCTION("IF('From Order'!$A408=COLUMNS($A408:E427), LEFT(INDEX(FILTER(E$1:E407, E$1:E407&lt;&gt;""""),COUNTA(FILTER(E$1:E407, E$1:E407&lt;&gt;""""))), LEN(INDEX(FILTER(E$1:E407, E$1:E407&lt;&gt;""""),COUNTA(FILTER(E$1:E407, E$1:E407&lt;&gt;""""))))-1), IF('To Order'!$A408=COLUMNS($A408:E"&amp;"427), E407&amp;RIGHT(INDIRECT(ADDRESS(ROW(E408)-1, 'From Order'!$A408)), 1), E407))"),"HZRV")</f>
        <v>HZRV</v>
      </c>
      <c r="F408" s="2" t="str">
        <f>IFERROR(__xludf.DUMMYFUNCTION("IF('From Order'!$A408=COLUMNS($A408:F427), LEFT(INDEX(FILTER(F$1:F407, F$1:F407&lt;&gt;""""),COUNTA(FILTER(F$1:F407, F$1:F407&lt;&gt;""""))), LEN(INDEX(FILTER(F$1:F407, F$1:F407&lt;&gt;""""),COUNTA(FILTER(F$1:F407, F$1:F407&lt;&gt;""""))))-1), IF('To Order'!$A408=COLUMNS($A408:F"&amp;"427), F407&amp;RIGHT(INDIRECT(ADDRESS(ROW(F408)-1, 'From Order'!$A408)), 1), F407))"),"")</f>
        <v/>
      </c>
      <c r="G408" s="2" t="str">
        <f>IFERROR(__xludf.DUMMYFUNCTION("IF('From Order'!$A408=COLUMNS($A408:G427), LEFT(INDEX(FILTER(G$1:G407, G$1:G407&lt;&gt;""""),COUNTA(FILTER(G$1:G407, G$1:G407&lt;&gt;""""))), LEN(INDEX(FILTER(G$1:G407, G$1:G407&lt;&gt;""""),COUNTA(FILTER(G$1:G407, G$1:G407&lt;&gt;""""))))-1), IF('To Order'!$A408=COLUMNS($A408:G"&amp;"427), G407&amp;RIGHT(INDIRECT(ADDRESS(ROW(G408)-1, 'From Order'!$A408)), 1), G407))"),"LJ")</f>
        <v>LJ</v>
      </c>
      <c r="H408" s="2" t="str">
        <f>IFERROR(__xludf.DUMMYFUNCTION("IF('From Order'!$A408=COLUMNS($A408:H427), LEFT(INDEX(FILTER(H$1:H407, H$1:H407&lt;&gt;""""),COUNTA(FILTER(H$1:H407, H$1:H407&lt;&gt;""""))), LEN(INDEX(FILTER(H$1:H407, H$1:H407&lt;&gt;""""),COUNTA(FILTER(H$1:H407, H$1:H407&lt;&gt;""""))))-1), IF('To Order'!$A408=COLUMNS($A408:H"&amp;"427), H407&amp;RIGHT(INDIRECT(ADDRESS(ROW(H408)-1, 'From Order'!$A408)), 1), H407))"),"")</f>
        <v/>
      </c>
      <c r="I408" s="2" t="str">
        <f>IFERROR(__xludf.DUMMYFUNCTION("IF('From Order'!$A408=COLUMNS($A408:I427), LEFT(INDEX(FILTER(I$1:I407, I$1:I407&lt;&gt;""""),COUNTA(FILTER(I$1:I407, I$1:I407&lt;&gt;""""))), LEN(INDEX(FILTER(I$1:I407, I$1:I407&lt;&gt;""""),COUNTA(FILTER(I$1:I407, I$1:I407&lt;&gt;""""))))-1), IF('To Order'!$A408=COLUMNS($A408:I"&amp;"427), I407&amp;RIGHT(INDIRECT(ADDRESS(ROW(I408)-1, 'From Order'!$A408)), 1), I407))"),"G")</f>
        <v>G</v>
      </c>
    </row>
    <row r="409">
      <c r="A409" s="2" t="str">
        <f>IFERROR(__xludf.DUMMYFUNCTION("IF('From Order'!$A409=COLUMNS($A409:A428), LEFT(INDEX(FILTER(A$1:A408, A$1:A408&lt;&gt;""""),COUNTA(FILTER(A$1:A408, A$1:A408&lt;&gt;""""))), LEN(INDEX(FILTER(A$1:A408, A$1:A408&lt;&gt;""""),COUNTA(FILTER(A$1:A408, A$1:A408&lt;&gt;""""))))-1), IF('To Order'!$A409=COLUMNS($A409:A"&amp;"428), A408&amp;RIGHT(INDIRECT(ADDRESS(ROW(A409)-1, 'From Order'!$A409)), 1), A408))"),"CTFTMQCDTRLDRWTJTVCBPWH")</f>
        <v>CTFTMQCDTRLDRWTJTVCBPWH</v>
      </c>
      <c r="B409" s="2" t="str">
        <f>IFERROR(__xludf.DUMMYFUNCTION("IF('From Order'!$A409=COLUMNS($A409:B428), LEFT(INDEX(FILTER(B$1:B408, B$1:B408&lt;&gt;""""),COUNTA(FILTER(B$1:B408, B$1:B408&lt;&gt;""""))), LEN(INDEX(FILTER(B$1:B408, B$1:B408&lt;&gt;""""),COUNTA(FILTER(B$1:B408, B$1:B408&lt;&gt;""""))))-1), IF('To Order'!$A409=COLUMNS($A409:B"&amp;"428), B408&amp;RIGHT(INDIRECT(ADDRESS(ROW(B409)-1, 'From Order'!$A409)), 1), B408))"),"JZRL")</f>
        <v>JZRL</v>
      </c>
      <c r="C409" s="2" t="str">
        <f>IFERROR(__xludf.DUMMYFUNCTION("IF('From Order'!$A409=COLUMNS($A409:C428), LEFT(INDEX(FILTER(C$1:C408, C$1:C408&lt;&gt;""""),COUNTA(FILTER(C$1:C408, C$1:C408&lt;&gt;""""))), LEN(INDEX(FILTER(C$1:C408, C$1:C408&lt;&gt;""""),COUNTA(FILTER(C$1:C408, C$1:C408&lt;&gt;""""))))-1), IF('To Order'!$A409=COLUMNS($A409:C"&amp;"428), C408&amp;RIGHT(INDIRECT(ADDRESS(ROW(C409)-1, 'From Order'!$A409)), 1), C408))"),"SMFBBRQPDSSPVMZDDTDGSB")</f>
        <v>SMFBBRQPDSSPVMZDDTDGSB</v>
      </c>
      <c r="D409" s="2" t="str">
        <f>IFERROR(__xludf.DUMMYFUNCTION("IF('From Order'!$A409=COLUMNS($A409:D428), LEFT(INDEX(FILTER(D$1:D408, D$1:D408&lt;&gt;""""),COUNTA(FILTER(D$1:D408, D$1:D408&lt;&gt;""""))), LEN(INDEX(FILTER(D$1:D408, D$1:D408&lt;&gt;""""),COUNTA(FILTER(D$1:D408, D$1:D408&lt;&gt;""""))))-1), IF('To Order'!$A409=COLUMNS($A409:D"&amp;"428), D408&amp;RIGHT(INDIRECT(ADDRESS(ROW(D409)-1, 'From Order'!$A409)), 1), D408))"),"")</f>
        <v/>
      </c>
      <c r="E409" s="2" t="str">
        <f>IFERROR(__xludf.DUMMYFUNCTION("IF('From Order'!$A409=COLUMNS($A409:E428), LEFT(INDEX(FILTER(E$1:E408, E$1:E408&lt;&gt;""""),COUNTA(FILTER(E$1:E408, E$1:E408&lt;&gt;""""))), LEN(INDEX(FILTER(E$1:E408, E$1:E408&lt;&gt;""""),COUNTA(FILTER(E$1:E408, E$1:E408&lt;&gt;""""))))-1), IF('To Order'!$A409=COLUMNS($A409:E"&amp;"428), E408&amp;RIGHT(INDIRECT(ADDRESS(ROW(E409)-1, 'From Order'!$A409)), 1), E408))"),"HZRV")</f>
        <v>HZRV</v>
      </c>
      <c r="F409" s="2" t="str">
        <f>IFERROR(__xludf.DUMMYFUNCTION("IF('From Order'!$A409=COLUMNS($A409:F428), LEFT(INDEX(FILTER(F$1:F408, F$1:F408&lt;&gt;""""),COUNTA(FILTER(F$1:F408, F$1:F408&lt;&gt;""""))), LEN(INDEX(FILTER(F$1:F408, F$1:F408&lt;&gt;""""),COUNTA(FILTER(F$1:F408, F$1:F408&lt;&gt;""""))))-1), IF('To Order'!$A409=COLUMNS($A409:F"&amp;"428), F408&amp;RIGHT(INDIRECT(ADDRESS(ROW(F409)-1, 'From Order'!$A409)), 1), F408))"),"")</f>
        <v/>
      </c>
      <c r="G409" s="2" t="str">
        <f>IFERROR(__xludf.DUMMYFUNCTION("IF('From Order'!$A409=COLUMNS($A409:G428), LEFT(INDEX(FILTER(G$1:G408, G$1:G408&lt;&gt;""""),COUNTA(FILTER(G$1:G408, G$1:G408&lt;&gt;""""))), LEN(INDEX(FILTER(G$1:G408, G$1:G408&lt;&gt;""""),COUNTA(FILTER(G$1:G408, G$1:G408&lt;&gt;""""))))-1), IF('To Order'!$A409=COLUMNS($A409:G"&amp;"428), G408&amp;RIGHT(INDIRECT(ADDRESS(ROW(G409)-1, 'From Order'!$A409)), 1), G408))"),"LJ")</f>
        <v>LJ</v>
      </c>
      <c r="H409" s="2" t="str">
        <f>IFERROR(__xludf.DUMMYFUNCTION("IF('From Order'!$A409=COLUMNS($A409:H428), LEFT(INDEX(FILTER(H$1:H408, H$1:H408&lt;&gt;""""),COUNTA(FILTER(H$1:H408, H$1:H408&lt;&gt;""""))), LEN(INDEX(FILTER(H$1:H408, H$1:H408&lt;&gt;""""),COUNTA(FILTER(H$1:H408, H$1:H408&lt;&gt;""""))))-1), IF('To Order'!$A409=COLUMNS($A409:H"&amp;"428), H408&amp;RIGHT(INDIRECT(ADDRESS(ROW(H409)-1, 'From Order'!$A409)), 1), H408))"),"")</f>
        <v/>
      </c>
      <c r="I409" s="2" t="str">
        <f>IFERROR(__xludf.DUMMYFUNCTION("IF('From Order'!$A409=COLUMNS($A409:I428), LEFT(INDEX(FILTER(I$1:I408, I$1:I408&lt;&gt;""""),COUNTA(FILTER(I$1:I408, I$1:I408&lt;&gt;""""))), LEN(INDEX(FILTER(I$1:I408, I$1:I408&lt;&gt;""""),COUNTA(FILTER(I$1:I408, I$1:I408&lt;&gt;""""))))-1), IF('To Order'!$A409=COLUMNS($A409:I"&amp;"428), I408&amp;RIGHT(INDIRECT(ADDRESS(ROW(I409)-1, 'From Order'!$A409)), 1), I408))"),"G")</f>
        <v>G</v>
      </c>
    </row>
    <row r="410">
      <c r="A410" s="2" t="str">
        <f>IFERROR(__xludf.DUMMYFUNCTION("IF('From Order'!$A410=COLUMNS($A410:A429), LEFT(INDEX(FILTER(A$1:A409, A$1:A409&lt;&gt;""""),COUNTA(FILTER(A$1:A409, A$1:A409&lt;&gt;""""))), LEN(INDEX(FILTER(A$1:A409, A$1:A409&lt;&gt;""""),COUNTA(FILTER(A$1:A409, A$1:A409&lt;&gt;""""))))-1), IF('To Order'!$A410=COLUMNS($A410:A"&amp;"429), A409&amp;RIGHT(INDIRECT(ADDRESS(ROW(A410)-1, 'From Order'!$A410)), 1), A409))"),"CTFTMQCDTRLDRWTJTVCBPWH")</f>
        <v>CTFTMQCDTRLDRWTJTVCBPWH</v>
      </c>
      <c r="B410" s="2" t="str">
        <f>IFERROR(__xludf.DUMMYFUNCTION("IF('From Order'!$A410=COLUMNS($A410:B429), LEFT(INDEX(FILTER(B$1:B409, B$1:B409&lt;&gt;""""),COUNTA(FILTER(B$1:B409, B$1:B409&lt;&gt;""""))), LEN(INDEX(FILTER(B$1:B409, B$1:B409&lt;&gt;""""),COUNTA(FILTER(B$1:B409, B$1:B409&lt;&gt;""""))))-1), IF('To Order'!$A410=COLUMNS($A410:B"&amp;"429), B409&amp;RIGHT(INDIRECT(ADDRESS(ROW(B410)-1, 'From Order'!$A410)), 1), B409))"),"JZRLB")</f>
        <v>JZRLB</v>
      </c>
      <c r="C410" s="2" t="str">
        <f>IFERROR(__xludf.DUMMYFUNCTION("IF('From Order'!$A410=COLUMNS($A410:C429), LEFT(INDEX(FILTER(C$1:C409, C$1:C409&lt;&gt;""""),COUNTA(FILTER(C$1:C409, C$1:C409&lt;&gt;""""))), LEN(INDEX(FILTER(C$1:C409, C$1:C409&lt;&gt;""""),COUNTA(FILTER(C$1:C409, C$1:C409&lt;&gt;""""))))-1), IF('To Order'!$A410=COLUMNS($A410:C"&amp;"429), C409&amp;RIGHT(INDIRECT(ADDRESS(ROW(C410)-1, 'From Order'!$A410)), 1), C409))"),"SMFBBRQPDSSPVMZDDTDGS")</f>
        <v>SMFBBRQPDSSPVMZDDTDGS</v>
      </c>
      <c r="D410" s="2" t="str">
        <f>IFERROR(__xludf.DUMMYFUNCTION("IF('From Order'!$A410=COLUMNS($A410:D429), LEFT(INDEX(FILTER(D$1:D409, D$1:D409&lt;&gt;""""),COUNTA(FILTER(D$1:D409, D$1:D409&lt;&gt;""""))), LEN(INDEX(FILTER(D$1:D409, D$1:D409&lt;&gt;""""),COUNTA(FILTER(D$1:D409, D$1:D409&lt;&gt;""""))))-1), IF('To Order'!$A410=COLUMNS($A410:D"&amp;"429), D409&amp;RIGHT(INDIRECT(ADDRESS(ROW(D410)-1, 'From Order'!$A410)), 1), D409))"),"")</f>
        <v/>
      </c>
      <c r="E410" s="2" t="str">
        <f>IFERROR(__xludf.DUMMYFUNCTION("IF('From Order'!$A410=COLUMNS($A410:E429), LEFT(INDEX(FILTER(E$1:E409, E$1:E409&lt;&gt;""""),COUNTA(FILTER(E$1:E409, E$1:E409&lt;&gt;""""))), LEN(INDEX(FILTER(E$1:E409, E$1:E409&lt;&gt;""""),COUNTA(FILTER(E$1:E409, E$1:E409&lt;&gt;""""))))-1), IF('To Order'!$A410=COLUMNS($A410:E"&amp;"429), E409&amp;RIGHT(INDIRECT(ADDRESS(ROW(E410)-1, 'From Order'!$A410)), 1), E409))"),"HZRV")</f>
        <v>HZRV</v>
      </c>
      <c r="F410" s="2" t="str">
        <f>IFERROR(__xludf.DUMMYFUNCTION("IF('From Order'!$A410=COLUMNS($A410:F429), LEFT(INDEX(FILTER(F$1:F409, F$1:F409&lt;&gt;""""),COUNTA(FILTER(F$1:F409, F$1:F409&lt;&gt;""""))), LEN(INDEX(FILTER(F$1:F409, F$1:F409&lt;&gt;""""),COUNTA(FILTER(F$1:F409, F$1:F409&lt;&gt;""""))))-1), IF('To Order'!$A410=COLUMNS($A410:F"&amp;"429), F409&amp;RIGHT(INDIRECT(ADDRESS(ROW(F410)-1, 'From Order'!$A410)), 1), F409))"),"")</f>
        <v/>
      </c>
      <c r="G410" s="2" t="str">
        <f>IFERROR(__xludf.DUMMYFUNCTION("IF('From Order'!$A410=COLUMNS($A410:G429), LEFT(INDEX(FILTER(G$1:G409, G$1:G409&lt;&gt;""""),COUNTA(FILTER(G$1:G409, G$1:G409&lt;&gt;""""))), LEN(INDEX(FILTER(G$1:G409, G$1:G409&lt;&gt;""""),COUNTA(FILTER(G$1:G409, G$1:G409&lt;&gt;""""))))-1), IF('To Order'!$A410=COLUMNS($A410:G"&amp;"429), G409&amp;RIGHT(INDIRECT(ADDRESS(ROW(G410)-1, 'From Order'!$A410)), 1), G409))"),"LJ")</f>
        <v>LJ</v>
      </c>
      <c r="H410" s="2" t="str">
        <f>IFERROR(__xludf.DUMMYFUNCTION("IF('From Order'!$A410=COLUMNS($A410:H429), LEFT(INDEX(FILTER(H$1:H409, H$1:H409&lt;&gt;""""),COUNTA(FILTER(H$1:H409, H$1:H409&lt;&gt;""""))), LEN(INDEX(FILTER(H$1:H409, H$1:H409&lt;&gt;""""),COUNTA(FILTER(H$1:H409, H$1:H409&lt;&gt;""""))))-1), IF('To Order'!$A410=COLUMNS($A410:H"&amp;"429), H409&amp;RIGHT(INDIRECT(ADDRESS(ROW(H410)-1, 'From Order'!$A410)), 1), H409))"),"")</f>
        <v/>
      </c>
      <c r="I410" s="2" t="str">
        <f>IFERROR(__xludf.DUMMYFUNCTION("IF('From Order'!$A410=COLUMNS($A410:I429), LEFT(INDEX(FILTER(I$1:I409, I$1:I409&lt;&gt;""""),COUNTA(FILTER(I$1:I409, I$1:I409&lt;&gt;""""))), LEN(INDEX(FILTER(I$1:I409, I$1:I409&lt;&gt;""""),COUNTA(FILTER(I$1:I409, I$1:I409&lt;&gt;""""))))-1), IF('To Order'!$A410=COLUMNS($A410:I"&amp;"429), I409&amp;RIGHT(INDIRECT(ADDRESS(ROW(I410)-1, 'From Order'!$A410)), 1), I409))"),"G")</f>
        <v>G</v>
      </c>
    </row>
    <row r="411">
      <c r="A411" s="2" t="str">
        <f>IFERROR(__xludf.DUMMYFUNCTION("IF('From Order'!$A411=COLUMNS($A411:A430), LEFT(INDEX(FILTER(A$1:A410, A$1:A410&lt;&gt;""""),COUNTA(FILTER(A$1:A410, A$1:A410&lt;&gt;""""))), LEN(INDEX(FILTER(A$1:A410, A$1:A410&lt;&gt;""""),COUNTA(FILTER(A$1:A410, A$1:A410&lt;&gt;""""))))-1), IF('To Order'!$A411=COLUMNS($A411:A"&amp;"430), A410&amp;RIGHT(INDIRECT(ADDRESS(ROW(A411)-1, 'From Order'!$A411)), 1), A410))"),"CTFTMQCDTRLDRWTJTVCBPWH")</f>
        <v>CTFTMQCDTRLDRWTJTVCBPWH</v>
      </c>
      <c r="B411" s="2" t="str">
        <f>IFERROR(__xludf.DUMMYFUNCTION("IF('From Order'!$A411=COLUMNS($A411:B430), LEFT(INDEX(FILTER(B$1:B410, B$1:B410&lt;&gt;""""),COUNTA(FILTER(B$1:B410, B$1:B410&lt;&gt;""""))), LEN(INDEX(FILTER(B$1:B410, B$1:B410&lt;&gt;""""),COUNTA(FILTER(B$1:B410, B$1:B410&lt;&gt;""""))))-1), IF('To Order'!$A411=COLUMNS($A411:B"&amp;"430), B410&amp;RIGHT(INDIRECT(ADDRESS(ROW(B411)-1, 'From Order'!$A411)), 1), B410))"),"JZRLBS")</f>
        <v>JZRLBS</v>
      </c>
      <c r="C411" s="2" t="str">
        <f>IFERROR(__xludf.DUMMYFUNCTION("IF('From Order'!$A411=COLUMNS($A411:C430), LEFT(INDEX(FILTER(C$1:C410, C$1:C410&lt;&gt;""""),COUNTA(FILTER(C$1:C410, C$1:C410&lt;&gt;""""))), LEN(INDEX(FILTER(C$1:C410, C$1:C410&lt;&gt;""""),COUNTA(FILTER(C$1:C410, C$1:C410&lt;&gt;""""))))-1), IF('To Order'!$A411=COLUMNS($A411:C"&amp;"430), C410&amp;RIGHT(INDIRECT(ADDRESS(ROW(C411)-1, 'From Order'!$A411)), 1), C410))"),"SMFBBRQPDSSPVMZDDTDG")</f>
        <v>SMFBBRQPDSSPVMZDDTDG</v>
      </c>
      <c r="D411" s="2" t="str">
        <f>IFERROR(__xludf.DUMMYFUNCTION("IF('From Order'!$A411=COLUMNS($A411:D430), LEFT(INDEX(FILTER(D$1:D410, D$1:D410&lt;&gt;""""),COUNTA(FILTER(D$1:D410, D$1:D410&lt;&gt;""""))), LEN(INDEX(FILTER(D$1:D410, D$1:D410&lt;&gt;""""),COUNTA(FILTER(D$1:D410, D$1:D410&lt;&gt;""""))))-1), IF('To Order'!$A411=COLUMNS($A411:D"&amp;"430), D410&amp;RIGHT(INDIRECT(ADDRESS(ROW(D411)-1, 'From Order'!$A411)), 1), D410))"),"")</f>
        <v/>
      </c>
      <c r="E411" s="2" t="str">
        <f>IFERROR(__xludf.DUMMYFUNCTION("IF('From Order'!$A411=COLUMNS($A411:E430), LEFT(INDEX(FILTER(E$1:E410, E$1:E410&lt;&gt;""""),COUNTA(FILTER(E$1:E410, E$1:E410&lt;&gt;""""))), LEN(INDEX(FILTER(E$1:E410, E$1:E410&lt;&gt;""""),COUNTA(FILTER(E$1:E410, E$1:E410&lt;&gt;""""))))-1), IF('To Order'!$A411=COLUMNS($A411:E"&amp;"430), E410&amp;RIGHT(INDIRECT(ADDRESS(ROW(E411)-1, 'From Order'!$A411)), 1), E410))"),"HZRV")</f>
        <v>HZRV</v>
      </c>
      <c r="F411" s="2" t="str">
        <f>IFERROR(__xludf.DUMMYFUNCTION("IF('From Order'!$A411=COLUMNS($A411:F430), LEFT(INDEX(FILTER(F$1:F410, F$1:F410&lt;&gt;""""),COUNTA(FILTER(F$1:F410, F$1:F410&lt;&gt;""""))), LEN(INDEX(FILTER(F$1:F410, F$1:F410&lt;&gt;""""),COUNTA(FILTER(F$1:F410, F$1:F410&lt;&gt;""""))))-1), IF('To Order'!$A411=COLUMNS($A411:F"&amp;"430), F410&amp;RIGHT(INDIRECT(ADDRESS(ROW(F411)-1, 'From Order'!$A411)), 1), F410))"),"")</f>
        <v/>
      </c>
      <c r="G411" s="2" t="str">
        <f>IFERROR(__xludf.DUMMYFUNCTION("IF('From Order'!$A411=COLUMNS($A411:G430), LEFT(INDEX(FILTER(G$1:G410, G$1:G410&lt;&gt;""""),COUNTA(FILTER(G$1:G410, G$1:G410&lt;&gt;""""))), LEN(INDEX(FILTER(G$1:G410, G$1:G410&lt;&gt;""""),COUNTA(FILTER(G$1:G410, G$1:G410&lt;&gt;""""))))-1), IF('To Order'!$A411=COLUMNS($A411:G"&amp;"430), G410&amp;RIGHT(INDIRECT(ADDRESS(ROW(G411)-1, 'From Order'!$A411)), 1), G410))"),"LJ")</f>
        <v>LJ</v>
      </c>
      <c r="H411" s="2" t="str">
        <f>IFERROR(__xludf.DUMMYFUNCTION("IF('From Order'!$A411=COLUMNS($A411:H430), LEFT(INDEX(FILTER(H$1:H410, H$1:H410&lt;&gt;""""),COUNTA(FILTER(H$1:H410, H$1:H410&lt;&gt;""""))), LEN(INDEX(FILTER(H$1:H410, H$1:H410&lt;&gt;""""),COUNTA(FILTER(H$1:H410, H$1:H410&lt;&gt;""""))))-1), IF('To Order'!$A411=COLUMNS($A411:H"&amp;"430), H410&amp;RIGHT(INDIRECT(ADDRESS(ROW(H411)-1, 'From Order'!$A411)), 1), H410))"),"")</f>
        <v/>
      </c>
      <c r="I411" s="2" t="str">
        <f>IFERROR(__xludf.DUMMYFUNCTION("IF('From Order'!$A411=COLUMNS($A411:I430), LEFT(INDEX(FILTER(I$1:I410, I$1:I410&lt;&gt;""""),COUNTA(FILTER(I$1:I410, I$1:I410&lt;&gt;""""))), LEN(INDEX(FILTER(I$1:I410, I$1:I410&lt;&gt;""""),COUNTA(FILTER(I$1:I410, I$1:I410&lt;&gt;""""))))-1), IF('To Order'!$A411=COLUMNS($A411:I"&amp;"430), I410&amp;RIGHT(INDIRECT(ADDRESS(ROW(I411)-1, 'From Order'!$A411)), 1), I410))"),"G")</f>
        <v>G</v>
      </c>
    </row>
    <row r="412">
      <c r="A412" s="2" t="str">
        <f>IFERROR(__xludf.DUMMYFUNCTION("IF('From Order'!$A412=COLUMNS($A412:A431), LEFT(INDEX(FILTER(A$1:A411, A$1:A411&lt;&gt;""""),COUNTA(FILTER(A$1:A411, A$1:A411&lt;&gt;""""))), LEN(INDEX(FILTER(A$1:A411, A$1:A411&lt;&gt;""""),COUNTA(FILTER(A$1:A411, A$1:A411&lt;&gt;""""))))-1), IF('To Order'!$A412=COLUMNS($A412:A"&amp;"431), A411&amp;RIGHT(INDIRECT(ADDRESS(ROW(A412)-1, 'From Order'!$A412)), 1), A411))"),"CTFTMQCDTRLDRWTJTVCBPWH")</f>
        <v>CTFTMQCDTRLDRWTJTVCBPWH</v>
      </c>
      <c r="B412" s="2" t="str">
        <f>IFERROR(__xludf.DUMMYFUNCTION("IF('From Order'!$A412=COLUMNS($A412:B431), LEFT(INDEX(FILTER(B$1:B411, B$1:B411&lt;&gt;""""),COUNTA(FILTER(B$1:B411, B$1:B411&lt;&gt;""""))), LEN(INDEX(FILTER(B$1:B411, B$1:B411&lt;&gt;""""),COUNTA(FILTER(B$1:B411, B$1:B411&lt;&gt;""""))))-1), IF('To Order'!$A412=COLUMNS($A412:B"&amp;"431), B411&amp;RIGHT(INDIRECT(ADDRESS(ROW(B412)-1, 'From Order'!$A412)), 1), B411))"),"JZRLBSG")</f>
        <v>JZRLBSG</v>
      </c>
      <c r="C412" s="2" t="str">
        <f>IFERROR(__xludf.DUMMYFUNCTION("IF('From Order'!$A412=COLUMNS($A412:C431), LEFT(INDEX(FILTER(C$1:C411, C$1:C411&lt;&gt;""""),COUNTA(FILTER(C$1:C411, C$1:C411&lt;&gt;""""))), LEN(INDEX(FILTER(C$1:C411, C$1:C411&lt;&gt;""""),COUNTA(FILTER(C$1:C411, C$1:C411&lt;&gt;""""))))-1), IF('To Order'!$A412=COLUMNS($A412:C"&amp;"431), C411&amp;RIGHT(INDIRECT(ADDRESS(ROW(C412)-1, 'From Order'!$A412)), 1), C411))"),"SMFBBRQPDSSPVMZDDTD")</f>
        <v>SMFBBRQPDSSPVMZDDTD</v>
      </c>
      <c r="D412" s="2" t="str">
        <f>IFERROR(__xludf.DUMMYFUNCTION("IF('From Order'!$A412=COLUMNS($A412:D431), LEFT(INDEX(FILTER(D$1:D411, D$1:D411&lt;&gt;""""),COUNTA(FILTER(D$1:D411, D$1:D411&lt;&gt;""""))), LEN(INDEX(FILTER(D$1:D411, D$1:D411&lt;&gt;""""),COUNTA(FILTER(D$1:D411, D$1:D411&lt;&gt;""""))))-1), IF('To Order'!$A412=COLUMNS($A412:D"&amp;"431), D411&amp;RIGHT(INDIRECT(ADDRESS(ROW(D412)-1, 'From Order'!$A412)), 1), D411))"),"")</f>
        <v/>
      </c>
      <c r="E412" s="2" t="str">
        <f>IFERROR(__xludf.DUMMYFUNCTION("IF('From Order'!$A412=COLUMNS($A412:E431), LEFT(INDEX(FILTER(E$1:E411, E$1:E411&lt;&gt;""""),COUNTA(FILTER(E$1:E411, E$1:E411&lt;&gt;""""))), LEN(INDEX(FILTER(E$1:E411, E$1:E411&lt;&gt;""""),COUNTA(FILTER(E$1:E411, E$1:E411&lt;&gt;""""))))-1), IF('To Order'!$A412=COLUMNS($A412:E"&amp;"431), E411&amp;RIGHT(INDIRECT(ADDRESS(ROW(E412)-1, 'From Order'!$A412)), 1), E411))"),"HZRV")</f>
        <v>HZRV</v>
      </c>
      <c r="F412" s="2" t="str">
        <f>IFERROR(__xludf.DUMMYFUNCTION("IF('From Order'!$A412=COLUMNS($A412:F431), LEFT(INDEX(FILTER(F$1:F411, F$1:F411&lt;&gt;""""),COUNTA(FILTER(F$1:F411, F$1:F411&lt;&gt;""""))), LEN(INDEX(FILTER(F$1:F411, F$1:F411&lt;&gt;""""),COUNTA(FILTER(F$1:F411, F$1:F411&lt;&gt;""""))))-1), IF('To Order'!$A412=COLUMNS($A412:F"&amp;"431), F411&amp;RIGHT(INDIRECT(ADDRESS(ROW(F412)-1, 'From Order'!$A412)), 1), F411))"),"")</f>
        <v/>
      </c>
      <c r="G412" s="2" t="str">
        <f>IFERROR(__xludf.DUMMYFUNCTION("IF('From Order'!$A412=COLUMNS($A412:G431), LEFT(INDEX(FILTER(G$1:G411, G$1:G411&lt;&gt;""""),COUNTA(FILTER(G$1:G411, G$1:G411&lt;&gt;""""))), LEN(INDEX(FILTER(G$1:G411, G$1:G411&lt;&gt;""""),COUNTA(FILTER(G$1:G411, G$1:G411&lt;&gt;""""))))-1), IF('To Order'!$A412=COLUMNS($A412:G"&amp;"431), G411&amp;RIGHT(INDIRECT(ADDRESS(ROW(G412)-1, 'From Order'!$A412)), 1), G411))"),"LJ")</f>
        <v>LJ</v>
      </c>
      <c r="H412" s="2" t="str">
        <f>IFERROR(__xludf.DUMMYFUNCTION("IF('From Order'!$A412=COLUMNS($A412:H431), LEFT(INDEX(FILTER(H$1:H411, H$1:H411&lt;&gt;""""),COUNTA(FILTER(H$1:H411, H$1:H411&lt;&gt;""""))), LEN(INDEX(FILTER(H$1:H411, H$1:H411&lt;&gt;""""),COUNTA(FILTER(H$1:H411, H$1:H411&lt;&gt;""""))))-1), IF('To Order'!$A412=COLUMNS($A412:H"&amp;"431), H411&amp;RIGHT(INDIRECT(ADDRESS(ROW(H412)-1, 'From Order'!$A412)), 1), H411))"),"")</f>
        <v/>
      </c>
      <c r="I412" s="2" t="str">
        <f>IFERROR(__xludf.DUMMYFUNCTION("IF('From Order'!$A412=COLUMNS($A412:I431), LEFT(INDEX(FILTER(I$1:I411, I$1:I411&lt;&gt;""""),COUNTA(FILTER(I$1:I411, I$1:I411&lt;&gt;""""))), LEN(INDEX(FILTER(I$1:I411, I$1:I411&lt;&gt;""""),COUNTA(FILTER(I$1:I411, I$1:I411&lt;&gt;""""))))-1), IF('To Order'!$A412=COLUMNS($A412:I"&amp;"431), I411&amp;RIGHT(INDIRECT(ADDRESS(ROW(I412)-1, 'From Order'!$A412)), 1), I411))"),"G")</f>
        <v>G</v>
      </c>
    </row>
    <row r="413">
      <c r="A413" s="2" t="str">
        <f>IFERROR(__xludf.DUMMYFUNCTION("IF('From Order'!$A413=COLUMNS($A413:A432), LEFT(INDEX(FILTER(A$1:A412, A$1:A412&lt;&gt;""""),COUNTA(FILTER(A$1:A412, A$1:A412&lt;&gt;""""))), LEN(INDEX(FILTER(A$1:A412, A$1:A412&lt;&gt;""""),COUNTA(FILTER(A$1:A412, A$1:A412&lt;&gt;""""))))-1), IF('To Order'!$A413=COLUMNS($A413:A"&amp;"432), A412&amp;RIGHT(INDIRECT(ADDRESS(ROW(A413)-1, 'From Order'!$A413)), 1), A412))"),"CTFTMQCDTRLDRWTJTVCBPWH")</f>
        <v>CTFTMQCDTRLDRWTJTVCBPWH</v>
      </c>
      <c r="B413" s="2" t="str">
        <f>IFERROR(__xludf.DUMMYFUNCTION("IF('From Order'!$A413=COLUMNS($A413:B432), LEFT(INDEX(FILTER(B$1:B412, B$1:B412&lt;&gt;""""),COUNTA(FILTER(B$1:B412, B$1:B412&lt;&gt;""""))), LEN(INDEX(FILTER(B$1:B412, B$1:B412&lt;&gt;""""),COUNTA(FILTER(B$1:B412, B$1:B412&lt;&gt;""""))))-1), IF('To Order'!$A413=COLUMNS($A413:B"&amp;"432), B412&amp;RIGHT(INDIRECT(ADDRESS(ROW(B413)-1, 'From Order'!$A413)), 1), B412))"),"JZRLBSGD")</f>
        <v>JZRLBSGD</v>
      </c>
      <c r="C413" s="2" t="str">
        <f>IFERROR(__xludf.DUMMYFUNCTION("IF('From Order'!$A413=COLUMNS($A413:C432), LEFT(INDEX(FILTER(C$1:C412, C$1:C412&lt;&gt;""""),COUNTA(FILTER(C$1:C412, C$1:C412&lt;&gt;""""))), LEN(INDEX(FILTER(C$1:C412, C$1:C412&lt;&gt;""""),COUNTA(FILTER(C$1:C412, C$1:C412&lt;&gt;""""))))-1), IF('To Order'!$A413=COLUMNS($A413:C"&amp;"432), C412&amp;RIGHT(INDIRECT(ADDRESS(ROW(C413)-1, 'From Order'!$A413)), 1), C412))"),"SMFBBRQPDSSPVMZDDT")</f>
        <v>SMFBBRQPDSSPVMZDDT</v>
      </c>
      <c r="D413" s="2" t="str">
        <f>IFERROR(__xludf.DUMMYFUNCTION("IF('From Order'!$A413=COLUMNS($A413:D432), LEFT(INDEX(FILTER(D$1:D412, D$1:D412&lt;&gt;""""),COUNTA(FILTER(D$1:D412, D$1:D412&lt;&gt;""""))), LEN(INDEX(FILTER(D$1:D412, D$1:D412&lt;&gt;""""),COUNTA(FILTER(D$1:D412, D$1:D412&lt;&gt;""""))))-1), IF('To Order'!$A413=COLUMNS($A413:D"&amp;"432), D412&amp;RIGHT(INDIRECT(ADDRESS(ROW(D413)-1, 'From Order'!$A413)), 1), D412))"),"")</f>
        <v/>
      </c>
      <c r="E413" s="2" t="str">
        <f>IFERROR(__xludf.DUMMYFUNCTION("IF('From Order'!$A413=COLUMNS($A413:E432), LEFT(INDEX(FILTER(E$1:E412, E$1:E412&lt;&gt;""""),COUNTA(FILTER(E$1:E412, E$1:E412&lt;&gt;""""))), LEN(INDEX(FILTER(E$1:E412, E$1:E412&lt;&gt;""""),COUNTA(FILTER(E$1:E412, E$1:E412&lt;&gt;""""))))-1), IF('To Order'!$A413=COLUMNS($A413:E"&amp;"432), E412&amp;RIGHT(INDIRECT(ADDRESS(ROW(E413)-1, 'From Order'!$A413)), 1), E412))"),"HZRV")</f>
        <v>HZRV</v>
      </c>
      <c r="F413" s="2" t="str">
        <f>IFERROR(__xludf.DUMMYFUNCTION("IF('From Order'!$A413=COLUMNS($A413:F432), LEFT(INDEX(FILTER(F$1:F412, F$1:F412&lt;&gt;""""),COUNTA(FILTER(F$1:F412, F$1:F412&lt;&gt;""""))), LEN(INDEX(FILTER(F$1:F412, F$1:F412&lt;&gt;""""),COUNTA(FILTER(F$1:F412, F$1:F412&lt;&gt;""""))))-1), IF('To Order'!$A413=COLUMNS($A413:F"&amp;"432), F412&amp;RIGHT(INDIRECT(ADDRESS(ROW(F413)-1, 'From Order'!$A413)), 1), F412))"),"")</f>
        <v/>
      </c>
      <c r="G413" s="2" t="str">
        <f>IFERROR(__xludf.DUMMYFUNCTION("IF('From Order'!$A413=COLUMNS($A413:G432), LEFT(INDEX(FILTER(G$1:G412, G$1:G412&lt;&gt;""""),COUNTA(FILTER(G$1:G412, G$1:G412&lt;&gt;""""))), LEN(INDEX(FILTER(G$1:G412, G$1:G412&lt;&gt;""""),COUNTA(FILTER(G$1:G412, G$1:G412&lt;&gt;""""))))-1), IF('To Order'!$A413=COLUMNS($A413:G"&amp;"432), G412&amp;RIGHT(INDIRECT(ADDRESS(ROW(G413)-1, 'From Order'!$A413)), 1), G412))"),"LJ")</f>
        <v>LJ</v>
      </c>
      <c r="H413" s="2" t="str">
        <f>IFERROR(__xludf.DUMMYFUNCTION("IF('From Order'!$A413=COLUMNS($A413:H432), LEFT(INDEX(FILTER(H$1:H412, H$1:H412&lt;&gt;""""),COUNTA(FILTER(H$1:H412, H$1:H412&lt;&gt;""""))), LEN(INDEX(FILTER(H$1:H412, H$1:H412&lt;&gt;""""),COUNTA(FILTER(H$1:H412, H$1:H412&lt;&gt;""""))))-1), IF('To Order'!$A413=COLUMNS($A413:H"&amp;"432), H412&amp;RIGHT(INDIRECT(ADDRESS(ROW(H413)-1, 'From Order'!$A413)), 1), H412))"),"")</f>
        <v/>
      </c>
      <c r="I413" s="2" t="str">
        <f>IFERROR(__xludf.DUMMYFUNCTION("IF('From Order'!$A413=COLUMNS($A413:I432), LEFT(INDEX(FILTER(I$1:I412, I$1:I412&lt;&gt;""""),COUNTA(FILTER(I$1:I412, I$1:I412&lt;&gt;""""))), LEN(INDEX(FILTER(I$1:I412, I$1:I412&lt;&gt;""""),COUNTA(FILTER(I$1:I412, I$1:I412&lt;&gt;""""))))-1), IF('To Order'!$A413=COLUMNS($A413:I"&amp;"432), I412&amp;RIGHT(INDIRECT(ADDRESS(ROW(I413)-1, 'From Order'!$A413)), 1), I412))"),"G")</f>
        <v>G</v>
      </c>
    </row>
    <row r="414">
      <c r="A414" s="2" t="str">
        <f>IFERROR(__xludf.DUMMYFUNCTION("IF('From Order'!$A414=COLUMNS($A414:A433), LEFT(INDEX(FILTER(A$1:A413, A$1:A413&lt;&gt;""""),COUNTA(FILTER(A$1:A413, A$1:A413&lt;&gt;""""))), LEN(INDEX(FILTER(A$1:A413, A$1:A413&lt;&gt;""""),COUNTA(FILTER(A$1:A413, A$1:A413&lt;&gt;""""))))-1), IF('To Order'!$A414=COLUMNS($A414:A"&amp;"433), A413&amp;RIGHT(INDIRECT(ADDRESS(ROW(A414)-1, 'From Order'!$A414)), 1), A413))"),"CTFTMQCDTRLDRWTJTVCBPWH")</f>
        <v>CTFTMQCDTRLDRWTJTVCBPWH</v>
      </c>
      <c r="B414" s="2" t="str">
        <f>IFERROR(__xludf.DUMMYFUNCTION("IF('From Order'!$A414=COLUMNS($A414:B433), LEFT(INDEX(FILTER(B$1:B413, B$1:B413&lt;&gt;""""),COUNTA(FILTER(B$1:B413, B$1:B413&lt;&gt;""""))), LEN(INDEX(FILTER(B$1:B413, B$1:B413&lt;&gt;""""),COUNTA(FILTER(B$1:B413, B$1:B413&lt;&gt;""""))))-1), IF('To Order'!$A414=COLUMNS($A414:B"&amp;"433), B413&amp;RIGHT(INDIRECT(ADDRESS(ROW(B414)-1, 'From Order'!$A414)), 1), B413))"),"JZRLBSGDT")</f>
        <v>JZRLBSGDT</v>
      </c>
      <c r="C414" s="2" t="str">
        <f>IFERROR(__xludf.DUMMYFUNCTION("IF('From Order'!$A414=COLUMNS($A414:C433), LEFT(INDEX(FILTER(C$1:C413, C$1:C413&lt;&gt;""""),COUNTA(FILTER(C$1:C413, C$1:C413&lt;&gt;""""))), LEN(INDEX(FILTER(C$1:C413, C$1:C413&lt;&gt;""""),COUNTA(FILTER(C$1:C413, C$1:C413&lt;&gt;""""))))-1), IF('To Order'!$A414=COLUMNS($A414:C"&amp;"433), C413&amp;RIGHT(INDIRECT(ADDRESS(ROW(C414)-1, 'From Order'!$A414)), 1), C413))"),"SMFBBRQPDSSPVMZDD")</f>
        <v>SMFBBRQPDSSPVMZDD</v>
      </c>
      <c r="D414" s="2" t="str">
        <f>IFERROR(__xludf.DUMMYFUNCTION("IF('From Order'!$A414=COLUMNS($A414:D433), LEFT(INDEX(FILTER(D$1:D413, D$1:D413&lt;&gt;""""),COUNTA(FILTER(D$1:D413, D$1:D413&lt;&gt;""""))), LEN(INDEX(FILTER(D$1:D413, D$1:D413&lt;&gt;""""),COUNTA(FILTER(D$1:D413, D$1:D413&lt;&gt;""""))))-1), IF('To Order'!$A414=COLUMNS($A414:D"&amp;"433), D413&amp;RIGHT(INDIRECT(ADDRESS(ROW(D414)-1, 'From Order'!$A414)), 1), D413))"),"")</f>
        <v/>
      </c>
      <c r="E414" s="2" t="str">
        <f>IFERROR(__xludf.DUMMYFUNCTION("IF('From Order'!$A414=COLUMNS($A414:E433), LEFT(INDEX(FILTER(E$1:E413, E$1:E413&lt;&gt;""""),COUNTA(FILTER(E$1:E413, E$1:E413&lt;&gt;""""))), LEN(INDEX(FILTER(E$1:E413, E$1:E413&lt;&gt;""""),COUNTA(FILTER(E$1:E413, E$1:E413&lt;&gt;""""))))-1), IF('To Order'!$A414=COLUMNS($A414:E"&amp;"433), E413&amp;RIGHT(INDIRECT(ADDRESS(ROW(E414)-1, 'From Order'!$A414)), 1), E413))"),"HZRV")</f>
        <v>HZRV</v>
      </c>
      <c r="F414" s="2" t="str">
        <f>IFERROR(__xludf.DUMMYFUNCTION("IF('From Order'!$A414=COLUMNS($A414:F433), LEFT(INDEX(FILTER(F$1:F413, F$1:F413&lt;&gt;""""),COUNTA(FILTER(F$1:F413, F$1:F413&lt;&gt;""""))), LEN(INDEX(FILTER(F$1:F413, F$1:F413&lt;&gt;""""),COUNTA(FILTER(F$1:F413, F$1:F413&lt;&gt;""""))))-1), IF('To Order'!$A414=COLUMNS($A414:F"&amp;"433), F413&amp;RIGHT(INDIRECT(ADDRESS(ROW(F414)-1, 'From Order'!$A414)), 1), F413))"),"")</f>
        <v/>
      </c>
      <c r="G414" s="2" t="str">
        <f>IFERROR(__xludf.DUMMYFUNCTION("IF('From Order'!$A414=COLUMNS($A414:G433), LEFT(INDEX(FILTER(G$1:G413, G$1:G413&lt;&gt;""""),COUNTA(FILTER(G$1:G413, G$1:G413&lt;&gt;""""))), LEN(INDEX(FILTER(G$1:G413, G$1:G413&lt;&gt;""""),COUNTA(FILTER(G$1:G413, G$1:G413&lt;&gt;""""))))-1), IF('To Order'!$A414=COLUMNS($A414:G"&amp;"433), G413&amp;RIGHT(INDIRECT(ADDRESS(ROW(G414)-1, 'From Order'!$A414)), 1), G413))"),"LJ")</f>
        <v>LJ</v>
      </c>
      <c r="H414" s="2" t="str">
        <f>IFERROR(__xludf.DUMMYFUNCTION("IF('From Order'!$A414=COLUMNS($A414:H433), LEFT(INDEX(FILTER(H$1:H413, H$1:H413&lt;&gt;""""),COUNTA(FILTER(H$1:H413, H$1:H413&lt;&gt;""""))), LEN(INDEX(FILTER(H$1:H413, H$1:H413&lt;&gt;""""),COUNTA(FILTER(H$1:H413, H$1:H413&lt;&gt;""""))))-1), IF('To Order'!$A414=COLUMNS($A414:H"&amp;"433), H413&amp;RIGHT(INDIRECT(ADDRESS(ROW(H414)-1, 'From Order'!$A414)), 1), H413))"),"")</f>
        <v/>
      </c>
      <c r="I414" s="2" t="str">
        <f>IFERROR(__xludf.DUMMYFUNCTION("IF('From Order'!$A414=COLUMNS($A414:I433), LEFT(INDEX(FILTER(I$1:I413, I$1:I413&lt;&gt;""""),COUNTA(FILTER(I$1:I413, I$1:I413&lt;&gt;""""))), LEN(INDEX(FILTER(I$1:I413, I$1:I413&lt;&gt;""""),COUNTA(FILTER(I$1:I413, I$1:I413&lt;&gt;""""))))-1), IF('To Order'!$A414=COLUMNS($A414:I"&amp;"433), I413&amp;RIGHT(INDIRECT(ADDRESS(ROW(I414)-1, 'From Order'!$A414)), 1), I413))"),"G")</f>
        <v>G</v>
      </c>
    </row>
    <row r="415">
      <c r="A415" s="2" t="str">
        <f>IFERROR(__xludf.DUMMYFUNCTION("IF('From Order'!$A415=COLUMNS($A415:A434), LEFT(INDEX(FILTER(A$1:A414, A$1:A414&lt;&gt;""""),COUNTA(FILTER(A$1:A414, A$1:A414&lt;&gt;""""))), LEN(INDEX(FILTER(A$1:A414, A$1:A414&lt;&gt;""""),COUNTA(FILTER(A$1:A414, A$1:A414&lt;&gt;""""))))-1), IF('To Order'!$A415=COLUMNS($A415:A"&amp;"434), A414&amp;RIGHT(INDIRECT(ADDRESS(ROW(A415)-1, 'From Order'!$A415)), 1), A414))"),"CTFTMQCDTRLDRWTJTVCBPWH")</f>
        <v>CTFTMQCDTRLDRWTJTVCBPWH</v>
      </c>
      <c r="B415" s="2" t="str">
        <f>IFERROR(__xludf.DUMMYFUNCTION("IF('From Order'!$A415=COLUMNS($A415:B434), LEFT(INDEX(FILTER(B$1:B414, B$1:B414&lt;&gt;""""),COUNTA(FILTER(B$1:B414, B$1:B414&lt;&gt;""""))), LEN(INDEX(FILTER(B$1:B414, B$1:B414&lt;&gt;""""),COUNTA(FILTER(B$1:B414, B$1:B414&lt;&gt;""""))))-1), IF('To Order'!$A415=COLUMNS($A415:B"&amp;"434), B414&amp;RIGHT(INDIRECT(ADDRESS(ROW(B415)-1, 'From Order'!$A415)), 1), B414))"),"JZRLBSGDTD")</f>
        <v>JZRLBSGDTD</v>
      </c>
      <c r="C415" s="2" t="str">
        <f>IFERROR(__xludf.DUMMYFUNCTION("IF('From Order'!$A415=COLUMNS($A415:C434), LEFT(INDEX(FILTER(C$1:C414, C$1:C414&lt;&gt;""""),COUNTA(FILTER(C$1:C414, C$1:C414&lt;&gt;""""))), LEN(INDEX(FILTER(C$1:C414, C$1:C414&lt;&gt;""""),COUNTA(FILTER(C$1:C414, C$1:C414&lt;&gt;""""))))-1), IF('To Order'!$A415=COLUMNS($A415:C"&amp;"434), C414&amp;RIGHT(INDIRECT(ADDRESS(ROW(C415)-1, 'From Order'!$A415)), 1), C414))"),"SMFBBRQPDSSPVMZD")</f>
        <v>SMFBBRQPDSSPVMZD</v>
      </c>
      <c r="D415" s="2" t="str">
        <f>IFERROR(__xludf.DUMMYFUNCTION("IF('From Order'!$A415=COLUMNS($A415:D434), LEFT(INDEX(FILTER(D$1:D414, D$1:D414&lt;&gt;""""),COUNTA(FILTER(D$1:D414, D$1:D414&lt;&gt;""""))), LEN(INDEX(FILTER(D$1:D414, D$1:D414&lt;&gt;""""),COUNTA(FILTER(D$1:D414, D$1:D414&lt;&gt;""""))))-1), IF('To Order'!$A415=COLUMNS($A415:D"&amp;"434), D414&amp;RIGHT(INDIRECT(ADDRESS(ROW(D415)-1, 'From Order'!$A415)), 1), D414))"),"")</f>
        <v/>
      </c>
      <c r="E415" s="2" t="str">
        <f>IFERROR(__xludf.DUMMYFUNCTION("IF('From Order'!$A415=COLUMNS($A415:E434), LEFT(INDEX(FILTER(E$1:E414, E$1:E414&lt;&gt;""""),COUNTA(FILTER(E$1:E414, E$1:E414&lt;&gt;""""))), LEN(INDEX(FILTER(E$1:E414, E$1:E414&lt;&gt;""""),COUNTA(FILTER(E$1:E414, E$1:E414&lt;&gt;""""))))-1), IF('To Order'!$A415=COLUMNS($A415:E"&amp;"434), E414&amp;RIGHT(INDIRECT(ADDRESS(ROW(E415)-1, 'From Order'!$A415)), 1), E414))"),"HZRV")</f>
        <v>HZRV</v>
      </c>
      <c r="F415" s="2" t="str">
        <f>IFERROR(__xludf.DUMMYFUNCTION("IF('From Order'!$A415=COLUMNS($A415:F434), LEFT(INDEX(FILTER(F$1:F414, F$1:F414&lt;&gt;""""),COUNTA(FILTER(F$1:F414, F$1:F414&lt;&gt;""""))), LEN(INDEX(FILTER(F$1:F414, F$1:F414&lt;&gt;""""),COUNTA(FILTER(F$1:F414, F$1:F414&lt;&gt;""""))))-1), IF('To Order'!$A415=COLUMNS($A415:F"&amp;"434), F414&amp;RIGHT(INDIRECT(ADDRESS(ROW(F415)-1, 'From Order'!$A415)), 1), F414))"),"")</f>
        <v/>
      </c>
      <c r="G415" s="2" t="str">
        <f>IFERROR(__xludf.DUMMYFUNCTION("IF('From Order'!$A415=COLUMNS($A415:G434), LEFT(INDEX(FILTER(G$1:G414, G$1:G414&lt;&gt;""""),COUNTA(FILTER(G$1:G414, G$1:G414&lt;&gt;""""))), LEN(INDEX(FILTER(G$1:G414, G$1:G414&lt;&gt;""""),COUNTA(FILTER(G$1:G414, G$1:G414&lt;&gt;""""))))-1), IF('To Order'!$A415=COLUMNS($A415:G"&amp;"434), G414&amp;RIGHT(INDIRECT(ADDRESS(ROW(G415)-1, 'From Order'!$A415)), 1), G414))"),"LJ")</f>
        <v>LJ</v>
      </c>
      <c r="H415" s="2" t="str">
        <f>IFERROR(__xludf.DUMMYFUNCTION("IF('From Order'!$A415=COLUMNS($A415:H434), LEFT(INDEX(FILTER(H$1:H414, H$1:H414&lt;&gt;""""),COUNTA(FILTER(H$1:H414, H$1:H414&lt;&gt;""""))), LEN(INDEX(FILTER(H$1:H414, H$1:H414&lt;&gt;""""),COUNTA(FILTER(H$1:H414, H$1:H414&lt;&gt;""""))))-1), IF('To Order'!$A415=COLUMNS($A415:H"&amp;"434), H414&amp;RIGHT(INDIRECT(ADDRESS(ROW(H415)-1, 'From Order'!$A415)), 1), H414))"),"")</f>
        <v/>
      </c>
      <c r="I415" s="2" t="str">
        <f>IFERROR(__xludf.DUMMYFUNCTION("IF('From Order'!$A415=COLUMNS($A415:I434), LEFT(INDEX(FILTER(I$1:I414, I$1:I414&lt;&gt;""""),COUNTA(FILTER(I$1:I414, I$1:I414&lt;&gt;""""))), LEN(INDEX(FILTER(I$1:I414, I$1:I414&lt;&gt;""""),COUNTA(FILTER(I$1:I414, I$1:I414&lt;&gt;""""))))-1), IF('To Order'!$A415=COLUMNS($A415:I"&amp;"434), I414&amp;RIGHT(INDIRECT(ADDRESS(ROW(I415)-1, 'From Order'!$A415)), 1), I414))"),"G")</f>
        <v>G</v>
      </c>
    </row>
    <row r="416">
      <c r="A416" s="2" t="str">
        <f>IFERROR(__xludf.DUMMYFUNCTION("IF('From Order'!$A416=COLUMNS($A416:A435), LEFT(INDEX(FILTER(A$1:A415, A$1:A415&lt;&gt;""""),COUNTA(FILTER(A$1:A415, A$1:A415&lt;&gt;""""))), LEN(INDEX(FILTER(A$1:A415, A$1:A415&lt;&gt;""""),COUNTA(FILTER(A$1:A415, A$1:A415&lt;&gt;""""))))-1), IF('To Order'!$A416=COLUMNS($A416:A"&amp;"435), A415&amp;RIGHT(INDIRECT(ADDRESS(ROW(A416)-1, 'From Order'!$A416)), 1), A415))"),"CTFTMQCDTRLDRWTJTVCBPWH")</f>
        <v>CTFTMQCDTRLDRWTJTVCBPWH</v>
      </c>
      <c r="B416" s="2" t="str">
        <f>IFERROR(__xludf.DUMMYFUNCTION("IF('From Order'!$A416=COLUMNS($A416:B435), LEFT(INDEX(FILTER(B$1:B415, B$1:B415&lt;&gt;""""),COUNTA(FILTER(B$1:B415, B$1:B415&lt;&gt;""""))), LEN(INDEX(FILTER(B$1:B415, B$1:B415&lt;&gt;""""),COUNTA(FILTER(B$1:B415, B$1:B415&lt;&gt;""""))))-1), IF('To Order'!$A416=COLUMNS($A416:B"&amp;"435), B415&amp;RIGHT(INDIRECT(ADDRESS(ROW(B416)-1, 'From Order'!$A416)), 1), B415))"),"JZRLBSGDTDD")</f>
        <v>JZRLBSGDTDD</v>
      </c>
      <c r="C416" s="2" t="str">
        <f>IFERROR(__xludf.DUMMYFUNCTION("IF('From Order'!$A416=COLUMNS($A416:C435), LEFT(INDEX(FILTER(C$1:C415, C$1:C415&lt;&gt;""""),COUNTA(FILTER(C$1:C415, C$1:C415&lt;&gt;""""))), LEN(INDEX(FILTER(C$1:C415, C$1:C415&lt;&gt;""""),COUNTA(FILTER(C$1:C415, C$1:C415&lt;&gt;""""))))-1), IF('To Order'!$A416=COLUMNS($A416:C"&amp;"435), C415&amp;RIGHT(INDIRECT(ADDRESS(ROW(C416)-1, 'From Order'!$A416)), 1), C415))"),"SMFBBRQPDSSPVMZ")</f>
        <v>SMFBBRQPDSSPVMZ</v>
      </c>
      <c r="D416" s="2" t="str">
        <f>IFERROR(__xludf.DUMMYFUNCTION("IF('From Order'!$A416=COLUMNS($A416:D435), LEFT(INDEX(FILTER(D$1:D415, D$1:D415&lt;&gt;""""),COUNTA(FILTER(D$1:D415, D$1:D415&lt;&gt;""""))), LEN(INDEX(FILTER(D$1:D415, D$1:D415&lt;&gt;""""),COUNTA(FILTER(D$1:D415, D$1:D415&lt;&gt;""""))))-1), IF('To Order'!$A416=COLUMNS($A416:D"&amp;"435), D415&amp;RIGHT(INDIRECT(ADDRESS(ROW(D416)-1, 'From Order'!$A416)), 1), D415))"),"")</f>
        <v/>
      </c>
      <c r="E416" s="2" t="str">
        <f>IFERROR(__xludf.DUMMYFUNCTION("IF('From Order'!$A416=COLUMNS($A416:E435), LEFT(INDEX(FILTER(E$1:E415, E$1:E415&lt;&gt;""""),COUNTA(FILTER(E$1:E415, E$1:E415&lt;&gt;""""))), LEN(INDEX(FILTER(E$1:E415, E$1:E415&lt;&gt;""""),COUNTA(FILTER(E$1:E415, E$1:E415&lt;&gt;""""))))-1), IF('To Order'!$A416=COLUMNS($A416:E"&amp;"435), E415&amp;RIGHT(INDIRECT(ADDRESS(ROW(E416)-1, 'From Order'!$A416)), 1), E415))"),"HZRV")</f>
        <v>HZRV</v>
      </c>
      <c r="F416" s="2" t="str">
        <f>IFERROR(__xludf.DUMMYFUNCTION("IF('From Order'!$A416=COLUMNS($A416:F435), LEFT(INDEX(FILTER(F$1:F415, F$1:F415&lt;&gt;""""),COUNTA(FILTER(F$1:F415, F$1:F415&lt;&gt;""""))), LEN(INDEX(FILTER(F$1:F415, F$1:F415&lt;&gt;""""),COUNTA(FILTER(F$1:F415, F$1:F415&lt;&gt;""""))))-1), IF('To Order'!$A416=COLUMNS($A416:F"&amp;"435), F415&amp;RIGHT(INDIRECT(ADDRESS(ROW(F416)-1, 'From Order'!$A416)), 1), F415))"),"")</f>
        <v/>
      </c>
      <c r="G416" s="2" t="str">
        <f>IFERROR(__xludf.DUMMYFUNCTION("IF('From Order'!$A416=COLUMNS($A416:G435), LEFT(INDEX(FILTER(G$1:G415, G$1:G415&lt;&gt;""""),COUNTA(FILTER(G$1:G415, G$1:G415&lt;&gt;""""))), LEN(INDEX(FILTER(G$1:G415, G$1:G415&lt;&gt;""""),COUNTA(FILTER(G$1:G415, G$1:G415&lt;&gt;""""))))-1), IF('To Order'!$A416=COLUMNS($A416:G"&amp;"435), G415&amp;RIGHT(INDIRECT(ADDRESS(ROW(G416)-1, 'From Order'!$A416)), 1), G415))"),"LJ")</f>
        <v>LJ</v>
      </c>
      <c r="H416" s="2" t="str">
        <f>IFERROR(__xludf.DUMMYFUNCTION("IF('From Order'!$A416=COLUMNS($A416:H435), LEFT(INDEX(FILTER(H$1:H415, H$1:H415&lt;&gt;""""),COUNTA(FILTER(H$1:H415, H$1:H415&lt;&gt;""""))), LEN(INDEX(FILTER(H$1:H415, H$1:H415&lt;&gt;""""),COUNTA(FILTER(H$1:H415, H$1:H415&lt;&gt;""""))))-1), IF('To Order'!$A416=COLUMNS($A416:H"&amp;"435), H415&amp;RIGHT(INDIRECT(ADDRESS(ROW(H416)-1, 'From Order'!$A416)), 1), H415))"),"")</f>
        <v/>
      </c>
      <c r="I416" s="2" t="str">
        <f>IFERROR(__xludf.DUMMYFUNCTION("IF('From Order'!$A416=COLUMNS($A416:I435), LEFT(INDEX(FILTER(I$1:I415, I$1:I415&lt;&gt;""""),COUNTA(FILTER(I$1:I415, I$1:I415&lt;&gt;""""))), LEN(INDEX(FILTER(I$1:I415, I$1:I415&lt;&gt;""""),COUNTA(FILTER(I$1:I415, I$1:I415&lt;&gt;""""))))-1), IF('To Order'!$A416=COLUMNS($A416:I"&amp;"435), I415&amp;RIGHT(INDIRECT(ADDRESS(ROW(I416)-1, 'From Order'!$A416)), 1), I415))"),"G")</f>
        <v>G</v>
      </c>
    </row>
    <row r="417">
      <c r="A417" s="2" t="str">
        <f>IFERROR(__xludf.DUMMYFUNCTION("IF('From Order'!$A417=COLUMNS($A417:A436), LEFT(INDEX(FILTER(A$1:A416, A$1:A416&lt;&gt;""""),COUNTA(FILTER(A$1:A416, A$1:A416&lt;&gt;""""))), LEN(INDEX(FILTER(A$1:A416, A$1:A416&lt;&gt;""""),COUNTA(FILTER(A$1:A416, A$1:A416&lt;&gt;""""))))-1), IF('To Order'!$A417=COLUMNS($A417:A"&amp;"436), A416&amp;RIGHT(INDIRECT(ADDRESS(ROW(A417)-1, 'From Order'!$A417)), 1), A416))"),"CTFTMQCDTRLDRWTJTVCBPWH")</f>
        <v>CTFTMQCDTRLDRWTJTVCBPWH</v>
      </c>
      <c r="B417" s="2" t="str">
        <f>IFERROR(__xludf.DUMMYFUNCTION("IF('From Order'!$A417=COLUMNS($A417:B436), LEFT(INDEX(FILTER(B$1:B416, B$1:B416&lt;&gt;""""),COUNTA(FILTER(B$1:B416, B$1:B416&lt;&gt;""""))), LEN(INDEX(FILTER(B$1:B416, B$1:B416&lt;&gt;""""),COUNTA(FILTER(B$1:B416, B$1:B416&lt;&gt;""""))))-1), IF('To Order'!$A417=COLUMNS($A417:B"&amp;"436), B416&amp;RIGHT(INDIRECT(ADDRESS(ROW(B417)-1, 'From Order'!$A417)), 1), B416))"),"JZRLBSGDTDDZ")</f>
        <v>JZRLBSGDTDDZ</v>
      </c>
      <c r="C417" s="2" t="str">
        <f>IFERROR(__xludf.DUMMYFUNCTION("IF('From Order'!$A417=COLUMNS($A417:C436), LEFT(INDEX(FILTER(C$1:C416, C$1:C416&lt;&gt;""""),COUNTA(FILTER(C$1:C416, C$1:C416&lt;&gt;""""))), LEN(INDEX(FILTER(C$1:C416, C$1:C416&lt;&gt;""""),COUNTA(FILTER(C$1:C416, C$1:C416&lt;&gt;""""))))-1), IF('To Order'!$A417=COLUMNS($A417:C"&amp;"436), C416&amp;RIGHT(INDIRECT(ADDRESS(ROW(C417)-1, 'From Order'!$A417)), 1), C416))"),"SMFBBRQPDSSPVM")</f>
        <v>SMFBBRQPDSSPVM</v>
      </c>
      <c r="D417" s="2" t="str">
        <f>IFERROR(__xludf.DUMMYFUNCTION("IF('From Order'!$A417=COLUMNS($A417:D436), LEFT(INDEX(FILTER(D$1:D416, D$1:D416&lt;&gt;""""),COUNTA(FILTER(D$1:D416, D$1:D416&lt;&gt;""""))), LEN(INDEX(FILTER(D$1:D416, D$1:D416&lt;&gt;""""),COUNTA(FILTER(D$1:D416, D$1:D416&lt;&gt;""""))))-1), IF('To Order'!$A417=COLUMNS($A417:D"&amp;"436), D416&amp;RIGHT(INDIRECT(ADDRESS(ROW(D417)-1, 'From Order'!$A417)), 1), D416))"),"")</f>
        <v/>
      </c>
      <c r="E417" s="2" t="str">
        <f>IFERROR(__xludf.DUMMYFUNCTION("IF('From Order'!$A417=COLUMNS($A417:E436), LEFT(INDEX(FILTER(E$1:E416, E$1:E416&lt;&gt;""""),COUNTA(FILTER(E$1:E416, E$1:E416&lt;&gt;""""))), LEN(INDEX(FILTER(E$1:E416, E$1:E416&lt;&gt;""""),COUNTA(FILTER(E$1:E416, E$1:E416&lt;&gt;""""))))-1), IF('To Order'!$A417=COLUMNS($A417:E"&amp;"436), E416&amp;RIGHT(INDIRECT(ADDRESS(ROW(E417)-1, 'From Order'!$A417)), 1), E416))"),"HZRV")</f>
        <v>HZRV</v>
      </c>
      <c r="F417" s="2" t="str">
        <f>IFERROR(__xludf.DUMMYFUNCTION("IF('From Order'!$A417=COLUMNS($A417:F436), LEFT(INDEX(FILTER(F$1:F416, F$1:F416&lt;&gt;""""),COUNTA(FILTER(F$1:F416, F$1:F416&lt;&gt;""""))), LEN(INDEX(FILTER(F$1:F416, F$1:F416&lt;&gt;""""),COUNTA(FILTER(F$1:F416, F$1:F416&lt;&gt;""""))))-1), IF('To Order'!$A417=COLUMNS($A417:F"&amp;"436), F416&amp;RIGHT(INDIRECT(ADDRESS(ROW(F417)-1, 'From Order'!$A417)), 1), F416))"),"")</f>
        <v/>
      </c>
      <c r="G417" s="2" t="str">
        <f>IFERROR(__xludf.DUMMYFUNCTION("IF('From Order'!$A417=COLUMNS($A417:G436), LEFT(INDEX(FILTER(G$1:G416, G$1:G416&lt;&gt;""""),COUNTA(FILTER(G$1:G416, G$1:G416&lt;&gt;""""))), LEN(INDEX(FILTER(G$1:G416, G$1:G416&lt;&gt;""""),COUNTA(FILTER(G$1:G416, G$1:G416&lt;&gt;""""))))-1), IF('To Order'!$A417=COLUMNS($A417:G"&amp;"436), G416&amp;RIGHT(INDIRECT(ADDRESS(ROW(G417)-1, 'From Order'!$A417)), 1), G416))"),"LJ")</f>
        <v>LJ</v>
      </c>
      <c r="H417" s="2" t="str">
        <f>IFERROR(__xludf.DUMMYFUNCTION("IF('From Order'!$A417=COLUMNS($A417:H436), LEFT(INDEX(FILTER(H$1:H416, H$1:H416&lt;&gt;""""),COUNTA(FILTER(H$1:H416, H$1:H416&lt;&gt;""""))), LEN(INDEX(FILTER(H$1:H416, H$1:H416&lt;&gt;""""),COUNTA(FILTER(H$1:H416, H$1:H416&lt;&gt;""""))))-1), IF('To Order'!$A417=COLUMNS($A417:H"&amp;"436), H416&amp;RIGHT(INDIRECT(ADDRESS(ROW(H417)-1, 'From Order'!$A417)), 1), H416))"),"")</f>
        <v/>
      </c>
      <c r="I417" s="2" t="str">
        <f>IFERROR(__xludf.DUMMYFUNCTION("IF('From Order'!$A417=COLUMNS($A417:I436), LEFT(INDEX(FILTER(I$1:I416, I$1:I416&lt;&gt;""""),COUNTA(FILTER(I$1:I416, I$1:I416&lt;&gt;""""))), LEN(INDEX(FILTER(I$1:I416, I$1:I416&lt;&gt;""""),COUNTA(FILTER(I$1:I416, I$1:I416&lt;&gt;""""))))-1), IF('To Order'!$A417=COLUMNS($A417:I"&amp;"436), I416&amp;RIGHT(INDIRECT(ADDRESS(ROW(I417)-1, 'From Order'!$A417)), 1), I416))"),"G")</f>
        <v>G</v>
      </c>
    </row>
    <row r="418">
      <c r="A418" s="2" t="str">
        <f>IFERROR(__xludf.DUMMYFUNCTION("IF('From Order'!$A418=COLUMNS($A418:A437), LEFT(INDEX(FILTER(A$1:A417, A$1:A417&lt;&gt;""""),COUNTA(FILTER(A$1:A417, A$1:A417&lt;&gt;""""))), LEN(INDEX(FILTER(A$1:A417, A$1:A417&lt;&gt;""""),COUNTA(FILTER(A$1:A417, A$1:A417&lt;&gt;""""))))-1), IF('To Order'!$A418=COLUMNS($A418:A"&amp;"437), A417&amp;RIGHT(INDIRECT(ADDRESS(ROW(A418)-1, 'From Order'!$A418)), 1), A417))"),"CTFTMQCDTRLDRWTJTVCBPWH")</f>
        <v>CTFTMQCDTRLDRWTJTVCBPWH</v>
      </c>
      <c r="B418" s="2" t="str">
        <f>IFERROR(__xludf.DUMMYFUNCTION("IF('From Order'!$A418=COLUMNS($A418:B437), LEFT(INDEX(FILTER(B$1:B417, B$1:B417&lt;&gt;""""),COUNTA(FILTER(B$1:B417, B$1:B417&lt;&gt;""""))), LEN(INDEX(FILTER(B$1:B417, B$1:B417&lt;&gt;""""),COUNTA(FILTER(B$1:B417, B$1:B417&lt;&gt;""""))))-1), IF('To Order'!$A418=COLUMNS($A418:B"&amp;"437), B417&amp;RIGHT(INDIRECT(ADDRESS(ROW(B418)-1, 'From Order'!$A418)), 1), B417))"),"JZRLBSGDTDDZM")</f>
        <v>JZRLBSGDTDDZM</v>
      </c>
      <c r="C418" s="2" t="str">
        <f>IFERROR(__xludf.DUMMYFUNCTION("IF('From Order'!$A418=COLUMNS($A418:C437), LEFT(INDEX(FILTER(C$1:C417, C$1:C417&lt;&gt;""""),COUNTA(FILTER(C$1:C417, C$1:C417&lt;&gt;""""))), LEN(INDEX(FILTER(C$1:C417, C$1:C417&lt;&gt;""""),COUNTA(FILTER(C$1:C417, C$1:C417&lt;&gt;""""))))-1), IF('To Order'!$A418=COLUMNS($A418:C"&amp;"437), C417&amp;RIGHT(INDIRECT(ADDRESS(ROW(C418)-1, 'From Order'!$A418)), 1), C417))"),"SMFBBRQPDSSPV")</f>
        <v>SMFBBRQPDSSPV</v>
      </c>
      <c r="D418" s="2" t="str">
        <f>IFERROR(__xludf.DUMMYFUNCTION("IF('From Order'!$A418=COLUMNS($A418:D437), LEFT(INDEX(FILTER(D$1:D417, D$1:D417&lt;&gt;""""),COUNTA(FILTER(D$1:D417, D$1:D417&lt;&gt;""""))), LEN(INDEX(FILTER(D$1:D417, D$1:D417&lt;&gt;""""),COUNTA(FILTER(D$1:D417, D$1:D417&lt;&gt;""""))))-1), IF('To Order'!$A418=COLUMNS($A418:D"&amp;"437), D417&amp;RIGHT(INDIRECT(ADDRESS(ROW(D418)-1, 'From Order'!$A418)), 1), D417))"),"")</f>
        <v/>
      </c>
      <c r="E418" s="2" t="str">
        <f>IFERROR(__xludf.DUMMYFUNCTION("IF('From Order'!$A418=COLUMNS($A418:E437), LEFT(INDEX(FILTER(E$1:E417, E$1:E417&lt;&gt;""""),COUNTA(FILTER(E$1:E417, E$1:E417&lt;&gt;""""))), LEN(INDEX(FILTER(E$1:E417, E$1:E417&lt;&gt;""""),COUNTA(FILTER(E$1:E417, E$1:E417&lt;&gt;""""))))-1), IF('To Order'!$A418=COLUMNS($A418:E"&amp;"437), E417&amp;RIGHT(INDIRECT(ADDRESS(ROW(E418)-1, 'From Order'!$A418)), 1), E417))"),"HZRV")</f>
        <v>HZRV</v>
      </c>
      <c r="F418" s="2" t="str">
        <f>IFERROR(__xludf.DUMMYFUNCTION("IF('From Order'!$A418=COLUMNS($A418:F437), LEFT(INDEX(FILTER(F$1:F417, F$1:F417&lt;&gt;""""),COUNTA(FILTER(F$1:F417, F$1:F417&lt;&gt;""""))), LEN(INDEX(FILTER(F$1:F417, F$1:F417&lt;&gt;""""),COUNTA(FILTER(F$1:F417, F$1:F417&lt;&gt;""""))))-1), IF('To Order'!$A418=COLUMNS($A418:F"&amp;"437), F417&amp;RIGHT(INDIRECT(ADDRESS(ROW(F418)-1, 'From Order'!$A418)), 1), F417))"),"")</f>
        <v/>
      </c>
      <c r="G418" s="2" t="str">
        <f>IFERROR(__xludf.DUMMYFUNCTION("IF('From Order'!$A418=COLUMNS($A418:G437), LEFT(INDEX(FILTER(G$1:G417, G$1:G417&lt;&gt;""""),COUNTA(FILTER(G$1:G417, G$1:G417&lt;&gt;""""))), LEN(INDEX(FILTER(G$1:G417, G$1:G417&lt;&gt;""""),COUNTA(FILTER(G$1:G417, G$1:G417&lt;&gt;""""))))-1), IF('To Order'!$A418=COLUMNS($A418:G"&amp;"437), G417&amp;RIGHT(INDIRECT(ADDRESS(ROW(G418)-1, 'From Order'!$A418)), 1), G417))"),"LJ")</f>
        <v>LJ</v>
      </c>
      <c r="H418" s="2" t="str">
        <f>IFERROR(__xludf.DUMMYFUNCTION("IF('From Order'!$A418=COLUMNS($A418:H437), LEFT(INDEX(FILTER(H$1:H417, H$1:H417&lt;&gt;""""),COUNTA(FILTER(H$1:H417, H$1:H417&lt;&gt;""""))), LEN(INDEX(FILTER(H$1:H417, H$1:H417&lt;&gt;""""),COUNTA(FILTER(H$1:H417, H$1:H417&lt;&gt;""""))))-1), IF('To Order'!$A418=COLUMNS($A418:H"&amp;"437), H417&amp;RIGHT(INDIRECT(ADDRESS(ROW(H418)-1, 'From Order'!$A418)), 1), H417))"),"")</f>
        <v/>
      </c>
      <c r="I418" s="2" t="str">
        <f>IFERROR(__xludf.DUMMYFUNCTION("IF('From Order'!$A418=COLUMNS($A418:I437), LEFT(INDEX(FILTER(I$1:I417, I$1:I417&lt;&gt;""""),COUNTA(FILTER(I$1:I417, I$1:I417&lt;&gt;""""))), LEN(INDEX(FILTER(I$1:I417, I$1:I417&lt;&gt;""""),COUNTA(FILTER(I$1:I417, I$1:I417&lt;&gt;""""))))-1), IF('To Order'!$A418=COLUMNS($A418:I"&amp;"437), I417&amp;RIGHT(INDIRECT(ADDRESS(ROW(I418)-1, 'From Order'!$A418)), 1), I417))"),"G")</f>
        <v>G</v>
      </c>
    </row>
    <row r="419">
      <c r="A419" s="2" t="str">
        <f>IFERROR(__xludf.DUMMYFUNCTION("IF('From Order'!$A419=COLUMNS($A419:A438), LEFT(INDEX(FILTER(A$1:A418, A$1:A418&lt;&gt;""""),COUNTA(FILTER(A$1:A418, A$1:A418&lt;&gt;""""))), LEN(INDEX(FILTER(A$1:A418, A$1:A418&lt;&gt;""""),COUNTA(FILTER(A$1:A418, A$1:A418&lt;&gt;""""))))-1), IF('To Order'!$A419=COLUMNS($A419:A"&amp;"438), A418&amp;RIGHT(INDIRECT(ADDRESS(ROW(A419)-1, 'From Order'!$A419)), 1), A418))"),"CTFTMQCDTRLDRWTJTVCBPWH")</f>
        <v>CTFTMQCDTRLDRWTJTVCBPWH</v>
      </c>
      <c r="B419" s="2" t="str">
        <f>IFERROR(__xludf.DUMMYFUNCTION("IF('From Order'!$A419=COLUMNS($A419:B438), LEFT(INDEX(FILTER(B$1:B418, B$1:B418&lt;&gt;""""),COUNTA(FILTER(B$1:B418, B$1:B418&lt;&gt;""""))), LEN(INDEX(FILTER(B$1:B418, B$1:B418&lt;&gt;""""),COUNTA(FILTER(B$1:B418, B$1:B418&lt;&gt;""""))))-1), IF('To Order'!$A419=COLUMNS($A419:B"&amp;"438), B418&amp;RIGHT(INDIRECT(ADDRESS(ROW(B419)-1, 'From Order'!$A419)), 1), B418))"),"JZRLBSGDTDDZMV")</f>
        <v>JZRLBSGDTDDZMV</v>
      </c>
      <c r="C419" s="2" t="str">
        <f>IFERROR(__xludf.DUMMYFUNCTION("IF('From Order'!$A419=COLUMNS($A419:C438), LEFT(INDEX(FILTER(C$1:C418, C$1:C418&lt;&gt;""""),COUNTA(FILTER(C$1:C418, C$1:C418&lt;&gt;""""))), LEN(INDEX(FILTER(C$1:C418, C$1:C418&lt;&gt;""""),COUNTA(FILTER(C$1:C418, C$1:C418&lt;&gt;""""))))-1), IF('To Order'!$A419=COLUMNS($A419:C"&amp;"438), C418&amp;RIGHT(INDIRECT(ADDRESS(ROW(C419)-1, 'From Order'!$A419)), 1), C418))"),"SMFBBRQPDSSP")</f>
        <v>SMFBBRQPDSSP</v>
      </c>
      <c r="D419" s="2" t="str">
        <f>IFERROR(__xludf.DUMMYFUNCTION("IF('From Order'!$A419=COLUMNS($A419:D438), LEFT(INDEX(FILTER(D$1:D418, D$1:D418&lt;&gt;""""),COUNTA(FILTER(D$1:D418, D$1:D418&lt;&gt;""""))), LEN(INDEX(FILTER(D$1:D418, D$1:D418&lt;&gt;""""),COUNTA(FILTER(D$1:D418, D$1:D418&lt;&gt;""""))))-1), IF('To Order'!$A419=COLUMNS($A419:D"&amp;"438), D418&amp;RIGHT(INDIRECT(ADDRESS(ROW(D419)-1, 'From Order'!$A419)), 1), D418))"),"")</f>
        <v/>
      </c>
      <c r="E419" s="2" t="str">
        <f>IFERROR(__xludf.DUMMYFUNCTION("IF('From Order'!$A419=COLUMNS($A419:E438), LEFT(INDEX(FILTER(E$1:E418, E$1:E418&lt;&gt;""""),COUNTA(FILTER(E$1:E418, E$1:E418&lt;&gt;""""))), LEN(INDEX(FILTER(E$1:E418, E$1:E418&lt;&gt;""""),COUNTA(FILTER(E$1:E418, E$1:E418&lt;&gt;""""))))-1), IF('To Order'!$A419=COLUMNS($A419:E"&amp;"438), E418&amp;RIGHT(INDIRECT(ADDRESS(ROW(E419)-1, 'From Order'!$A419)), 1), E418))"),"HZRV")</f>
        <v>HZRV</v>
      </c>
      <c r="F419" s="2" t="str">
        <f>IFERROR(__xludf.DUMMYFUNCTION("IF('From Order'!$A419=COLUMNS($A419:F438), LEFT(INDEX(FILTER(F$1:F418, F$1:F418&lt;&gt;""""),COUNTA(FILTER(F$1:F418, F$1:F418&lt;&gt;""""))), LEN(INDEX(FILTER(F$1:F418, F$1:F418&lt;&gt;""""),COUNTA(FILTER(F$1:F418, F$1:F418&lt;&gt;""""))))-1), IF('To Order'!$A419=COLUMNS($A419:F"&amp;"438), F418&amp;RIGHT(INDIRECT(ADDRESS(ROW(F419)-1, 'From Order'!$A419)), 1), F418))"),"")</f>
        <v/>
      </c>
      <c r="G419" s="2" t="str">
        <f>IFERROR(__xludf.DUMMYFUNCTION("IF('From Order'!$A419=COLUMNS($A419:G438), LEFT(INDEX(FILTER(G$1:G418, G$1:G418&lt;&gt;""""),COUNTA(FILTER(G$1:G418, G$1:G418&lt;&gt;""""))), LEN(INDEX(FILTER(G$1:G418, G$1:G418&lt;&gt;""""),COUNTA(FILTER(G$1:G418, G$1:G418&lt;&gt;""""))))-1), IF('To Order'!$A419=COLUMNS($A419:G"&amp;"438), G418&amp;RIGHT(INDIRECT(ADDRESS(ROW(G419)-1, 'From Order'!$A419)), 1), G418))"),"LJ")</f>
        <v>LJ</v>
      </c>
      <c r="H419" s="2" t="str">
        <f>IFERROR(__xludf.DUMMYFUNCTION("IF('From Order'!$A419=COLUMNS($A419:H438), LEFT(INDEX(FILTER(H$1:H418, H$1:H418&lt;&gt;""""),COUNTA(FILTER(H$1:H418, H$1:H418&lt;&gt;""""))), LEN(INDEX(FILTER(H$1:H418, H$1:H418&lt;&gt;""""),COUNTA(FILTER(H$1:H418, H$1:H418&lt;&gt;""""))))-1), IF('To Order'!$A419=COLUMNS($A419:H"&amp;"438), H418&amp;RIGHT(INDIRECT(ADDRESS(ROW(H419)-1, 'From Order'!$A419)), 1), H418))"),"")</f>
        <v/>
      </c>
      <c r="I419" s="2" t="str">
        <f>IFERROR(__xludf.DUMMYFUNCTION("IF('From Order'!$A419=COLUMNS($A419:I438), LEFT(INDEX(FILTER(I$1:I418, I$1:I418&lt;&gt;""""),COUNTA(FILTER(I$1:I418, I$1:I418&lt;&gt;""""))), LEN(INDEX(FILTER(I$1:I418, I$1:I418&lt;&gt;""""),COUNTA(FILTER(I$1:I418, I$1:I418&lt;&gt;""""))))-1), IF('To Order'!$A419=COLUMNS($A419:I"&amp;"438), I418&amp;RIGHT(INDIRECT(ADDRESS(ROW(I419)-1, 'From Order'!$A419)), 1), I418))"),"G")</f>
        <v>G</v>
      </c>
    </row>
    <row r="420">
      <c r="A420" s="2" t="str">
        <f>IFERROR(__xludf.DUMMYFUNCTION("IF('From Order'!$A420=COLUMNS($A420:A439), LEFT(INDEX(FILTER(A$1:A419, A$1:A419&lt;&gt;""""),COUNTA(FILTER(A$1:A419, A$1:A419&lt;&gt;""""))), LEN(INDEX(FILTER(A$1:A419, A$1:A419&lt;&gt;""""),COUNTA(FILTER(A$1:A419, A$1:A419&lt;&gt;""""))))-1), IF('To Order'!$A420=COLUMNS($A420:A"&amp;"439), A419&amp;RIGHT(INDIRECT(ADDRESS(ROW(A420)-1, 'From Order'!$A420)), 1), A419))"),"CTFTMQCDTRLDRWTJTVCBPWH")</f>
        <v>CTFTMQCDTRLDRWTJTVCBPWH</v>
      </c>
      <c r="B420" s="2" t="str">
        <f>IFERROR(__xludf.DUMMYFUNCTION("IF('From Order'!$A420=COLUMNS($A420:B439), LEFT(INDEX(FILTER(B$1:B419, B$1:B419&lt;&gt;""""),COUNTA(FILTER(B$1:B419, B$1:B419&lt;&gt;""""))), LEN(INDEX(FILTER(B$1:B419, B$1:B419&lt;&gt;""""),COUNTA(FILTER(B$1:B419, B$1:B419&lt;&gt;""""))))-1), IF('To Order'!$A420=COLUMNS($A420:B"&amp;"439), B419&amp;RIGHT(INDIRECT(ADDRESS(ROW(B420)-1, 'From Order'!$A420)), 1), B419))"),"JZRLBSGDTDDZMVP")</f>
        <v>JZRLBSGDTDDZMVP</v>
      </c>
      <c r="C420" s="2" t="str">
        <f>IFERROR(__xludf.DUMMYFUNCTION("IF('From Order'!$A420=COLUMNS($A420:C439), LEFT(INDEX(FILTER(C$1:C419, C$1:C419&lt;&gt;""""),COUNTA(FILTER(C$1:C419, C$1:C419&lt;&gt;""""))), LEN(INDEX(FILTER(C$1:C419, C$1:C419&lt;&gt;""""),COUNTA(FILTER(C$1:C419, C$1:C419&lt;&gt;""""))))-1), IF('To Order'!$A420=COLUMNS($A420:C"&amp;"439), C419&amp;RIGHT(INDIRECT(ADDRESS(ROW(C420)-1, 'From Order'!$A420)), 1), C419))"),"SMFBBRQPDSS")</f>
        <v>SMFBBRQPDSS</v>
      </c>
      <c r="D420" s="2" t="str">
        <f>IFERROR(__xludf.DUMMYFUNCTION("IF('From Order'!$A420=COLUMNS($A420:D439), LEFT(INDEX(FILTER(D$1:D419, D$1:D419&lt;&gt;""""),COUNTA(FILTER(D$1:D419, D$1:D419&lt;&gt;""""))), LEN(INDEX(FILTER(D$1:D419, D$1:D419&lt;&gt;""""),COUNTA(FILTER(D$1:D419, D$1:D419&lt;&gt;""""))))-1), IF('To Order'!$A420=COLUMNS($A420:D"&amp;"439), D419&amp;RIGHT(INDIRECT(ADDRESS(ROW(D420)-1, 'From Order'!$A420)), 1), D419))"),"")</f>
        <v/>
      </c>
      <c r="E420" s="2" t="str">
        <f>IFERROR(__xludf.DUMMYFUNCTION("IF('From Order'!$A420=COLUMNS($A420:E439), LEFT(INDEX(FILTER(E$1:E419, E$1:E419&lt;&gt;""""),COUNTA(FILTER(E$1:E419, E$1:E419&lt;&gt;""""))), LEN(INDEX(FILTER(E$1:E419, E$1:E419&lt;&gt;""""),COUNTA(FILTER(E$1:E419, E$1:E419&lt;&gt;""""))))-1), IF('To Order'!$A420=COLUMNS($A420:E"&amp;"439), E419&amp;RIGHT(INDIRECT(ADDRESS(ROW(E420)-1, 'From Order'!$A420)), 1), E419))"),"HZRV")</f>
        <v>HZRV</v>
      </c>
      <c r="F420" s="2" t="str">
        <f>IFERROR(__xludf.DUMMYFUNCTION("IF('From Order'!$A420=COLUMNS($A420:F439), LEFT(INDEX(FILTER(F$1:F419, F$1:F419&lt;&gt;""""),COUNTA(FILTER(F$1:F419, F$1:F419&lt;&gt;""""))), LEN(INDEX(FILTER(F$1:F419, F$1:F419&lt;&gt;""""),COUNTA(FILTER(F$1:F419, F$1:F419&lt;&gt;""""))))-1), IF('To Order'!$A420=COLUMNS($A420:F"&amp;"439), F419&amp;RIGHT(INDIRECT(ADDRESS(ROW(F420)-1, 'From Order'!$A420)), 1), F419))"),"")</f>
        <v/>
      </c>
      <c r="G420" s="2" t="str">
        <f>IFERROR(__xludf.DUMMYFUNCTION("IF('From Order'!$A420=COLUMNS($A420:G439), LEFT(INDEX(FILTER(G$1:G419, G$1:G419&lt;&gt;""""),COUNTA(FILTER(G$1:G419, G$1:G419&lt;&gt;""""))), LEN(INDEX(FILTER(G$1:G419, G$1:G419&lt;&gt;""""),COUNTA(FILTER(G$1:G419, G$1:G419&lt;&gt;""""))))-1), IF('To Order'!$A420=COLUMNS($A420:G"&amp;"439), G419&amp;RIGHT(INDIRECT(ADDRESS(ROW(G420)-1, 'From Order'!$A420)), 1), G419))"),"LJ")</f>
        <v>LJ</v>
      </c>
      <c r="H420" s="2" t="str">
        <f>IFERROR(__xludf.DUMMYFUNCTION("IF('From Order'!$A420=COLUMNS($A420:H439), LEFT(INDEX(FILTER(H$1:H419, H$1:H419&lt;&gt;""""),COUNTA(FILTER(H$1:H419, H$1:H419&lt;&gt;""""))), LEN(INDEX(FILTER(H$1:H419, H$1:H419&lt;&gt;""""),COUNTA(FILTER(H$1:H419, H$1:H419&lt;&gt;""""))))-1), IF('To Order'!$A420=COLUMNS($A420:H"&amp;"439), H419&amp;RIGHT(INDIRECT(ADDRESS(ROW(H420)-1, 'From Order'!$A420)), 1), H419))"),"")</f>
        <v/>
      </c>
      <c r="I420" s="2" t="str">
        <f>IFERROR(__xludf.DUMMYFUNCTION("IF('From Order'!$A420=COLUMNS($A420:I439), LEFT(INDEX(FILTER(I$1:I419, I$1:I419&lt;&gt;""""),COUNTA(FILTER(I$1:I419, I$1:I419&lt;&gt;""""))), LEN(INDEX(FILTER(I$1:I419, I$1:I419&lt;&gt;""""),COUNTA(FILTER(I$1:I419, I$1:I419&lt;&gt;""""))))-1), IF('To Order'!$A420=COLUMNS($A420:I"&amp;"439), I419&amp;RIGHT(INDIRECT(ADDRESS(ROW(I420)-1, 'From Order'!$A420)), 1), I419))"),"G")</f>
        <v>G</v>
      </c>
    </row>
    <row r="421">
      <c r="A421" s="2" t="str">
        <f>IFERROR(__xludf.DUMMYFUNCTION("IF('From Order'!$A421=COLUMNS($A421:A440), LEFT(INDEX(FILTER(A$1:A420, A$1:A420&lt;&gt;""""),COUNTA(FILTER(A$1:A420, A$1:A420&lt;&gt;""""))), LEN(INDEX(FILTER(A$1:A420, A$1:A420&lt;&gt;""""),COUNTA(FILTER(A$1:A420, A$1:A420&lt;&gt;""""))))-1), IF('To Order'!$A421=COLUMNS($A421:A"&amp;"440), A420&amp;RIGHT(INDIRECT(ADDRESS(ROW(A421)-1, 'From Order'!$A421)), 1), A420))"),"CTFTMQCDTRLDRWTJTVCBPWH")</f>
        <v>CTFTMQCDTRLDRWTJTVCBPWH</v>
      </c>
      <c r="B421" s="2" t="str">
        <f>IFERROR(__xludf.DUMMYFUNCTION("IF('From Order'!$A421=COLUMNS($A421:B440), LEFT(INDEX(FILTER(B$1:B420, B$1:B420&lt;&gt;""""),COUNTA(FILTER(B$1:B420, B$1:B420&lt;&gt;""""))), LEN(INDEX(FILTER(B$1:B420, B$1:B420&lt;&gt;""""),COUNTA(FILTER(B$1:B420, B$1:B420&lt;&gt;""""))))-1), IF('To Order'!$A421=COLUMNS($A421:B"&amp;"440), B420&amp;RIGHT(INDIRECT(ADDRESS(ROW(B421)-1, 'From Order'!$A421)), 1), B420))"),"JZRLBSGDTDDZMV")</f>
        <v>JZRLBSGDTDDZMV</v>
      </c>
      <c r="C421" s="2" t="str">
        <f>IFERROR(__xludf.DUMMYFUNCTION("IF('From Order'!$A421=COLUMNS($A421:C440), LEFT(INDEX(FILTER(C$1:C420, C$1:C420&lt;&gt;""""),COUNTA(FILTER(C$1:C420, C$1:C420&lt;&gt;""""))), LEN(INDEX(FILTER(C$1:C420, C$1:C420&lt;&gt;""""),COUNTA(FILTER(C$1:C420, C$1:C420&lt;&gt;""""))))-1), IF('To Order'!$A421=COLUMNS($A421:C"&amp;"440), C420&amp;RIGHT(INDIRECT(ADDRESS(ROW(C421)-1, 'From Order'!$A421)), 1), C420))"),"SMFBBRQPDSS")</f>
        <v>SMFBBRQPDSS</v>
      </c>
      <c r="D421" s="2" t="str">
        <f>IFERROR(__xludf.DUMMYFUNCTION("IF('From Order'!$A421=COLUMNS($A421:D440), LEFT(INDEX(FILTER(D$1:D420, D$1:D420&lt;&gt;""""),COUNTA(FILTER(D$1:D420, D$1:D420&lt;&gt;""""))), LEN(INDEX(FILTER(D$1:D420, D$1:D420&lt;&gt;""""),COUNTA(FILTER(D$1:D420, D$1:D420&lt;&gt;""""))))-1), IF('To Order'!$A421=COLUMNS($A421:D"&amp;"440), D420&amp;RIGHT(INDIRECT(ADDRESS(ROW(D421)-1, 'From Order'!$A421)), 1), D420))"),"")</f>
        <v/>
      </c>
      <c r="E421" s="2" t="str">
        <f>IFERROR(__xludf.DUMMYFUNCTION("IF('From Order'!$A421=COLUMNS($A421:E440), LEFT(INDEX(FILTER(E$1:E420, E$1:E420&lt;&gt;""""),COUNTA(FILTER(E$1:E420, E$1:E420&lt;&gt;""""))), LEN(INDEX(FILTER(E$1:E420, E$1:E420&lt;&gt;""""),COUNTA(FILTER(E$1:E420, E$1:E420&lt;&gt;""""))))-1), IF('To Order'!$A421=COLUMNS($A421:E"&amp;"440), E420&amp;RIGHT(INDIRECT(ADDRESS(ROW(E421)-1, 'From Order'!$A421)), 1), E420))"),"HZRVP")</f>
        <v>HZRVP</v>
      </c>
      <c r="F421" s="2" t="str">
        <f>IFERROR(__xludf.DUMMYFUNCTION("IF('From Order'!$A421=COLUMNS($A421:F440), LEFT(INDEX(FILTER(F$1:F420, F$1:F420&lt;&gt;""""),COUNTA(FILTER(F$1:F420, F$1:F420&lt;&gt;""""))), LEN(INDEX(FILTER(F$1:F420, F$1:F420&lt;&gt;""""),COUNTA(FILTER(F$1:F420, F$1:F420&lt;&gt;""""))))-1), IF('To Order'!$A421=COLUMNS($A421:F"&amp;"440), F420&amp;RIGHT(INDIRECT(ADDRESS(ROW(F421)-1, 'From Order'!$A421)), 1), F420))"),"")</f>
        <v/>
      </c>
      <c r="G421" s="2" t="str">
        <f>IFERROR(__xludf.DUMMYFUNCTION("IF('From Order'!$A421=COLUMNS($A421:G440), LEFT(INDEX(FILTER(G$1:G420, G$1:G420&lt;&gt;""""),COUNTA(FILTER(G$1:G420, G$1:G420&lt;&gt;""""))), LEN(INDEX(FILTER(G$1:G420, G$1:G420&lt;&gt;""""),COUNTA(FILTER(G$1:G420, G$1:G420&lt;&gt;""""))))-1), IF('To Order'!$A421=COLUMNS($A421:G"&amp;"440), G420&amp;RIGHT(INDIRECT(ADDRESS(ROW(G421)-1, 'From Order'!$A421)), 1), G420))"),"LJ")</f>
        <v>LJ</v>
      </c>
      <c r="H421" s="2" t="str">
        <f>IFERROR(__xludf.DUMMYFUNCTION("IF('From Order'!$A421=COLUMNS($A421:H440), LEFT(INDEX(FILTER(H$1:H420, H$1:H420&lt;&gt;""""),COUNTA(FILTER(H$1:H420, H$1:H420&lt;&gt;""""))), LEN(INDEX(FILTER(H$1:H420, H$1:H420&lt;&gt;""""),COUNTA(FILTER(H$1:H420, H$1:H420&lt;&gt;""""))))-1), IF('To Order'!$A421=COLUMNS($A421:H"&amp;"440), H420&amp;RIGHT(INDIRECT(ADDRESS(ROW(H421)-1, 'From Order'!$A421)), 1), H420))"),"")</f>
        <v/>
      </c>
      <c r="I421" s="2" t="str">
        <f>IFERROR(__xludf.DUMMYFUNCTION("IF('From Order'!$A421=COLUMNS($A421:I440), LEFT(INDEX(FILTER(I$1:I420, I$1:I420&lt;&gt;""""),COUNTA(FILTER(I$1:I420, I$1:I420&lt;&gt;""""))), LEN(INDEX(FILTER(I$1:I420, I$1:I420&lt;&gt;""""),COUNTA(FILTER(I$1:I420, I$1:I420&lt;&gt;""""))))-1), IF('To Order'!$A421=COLUMNS($A421:I"&amp;"440), I420&amp;RIGHT(INDIRECT(ADDRESS(ROW(I421)-1, 'From Order'!$A421)), 1), I420))"),"G")</f>
        <v>G</v>
      </c>
    </row>
    <row r="422">
      <c r="A422" s="2" t="str">
        <f>IFERROR(__xludf.DUMMYFUNCTION("IF('From Order'!$A422=COLUMNS($A422:A441), LEFT(INDEX(FILTER(A$1:A421, A$1:A421&lt;&gt;""""),COUNTA(FILTER(A$1:A421, A$1:A421&lt;&gt;""""))), LEN(INDEX(FILTER(A$1:A421, A$1:A421&lt;&gt;""""),COUNTA(FILTER(A$1:A421, A$1:A421&lt;&gt;""""))))-1), IF('To Order'!$A422=COLUMNS($A422:A"&amp;"441), A421&amp;RIGHT(INDIRECT(ADDRESS(ROW(A422)-1, 'From Order'!$A422)), 1), A421))"),"CTFTMQCDTRLDRWTJTVCBPWH")</f>
        <v>CTFTMQCDTRLDRWTJTVCBPWH</v>
      </c>
      <c r="B422" s="2" t="str">
        <f>IFERROR(__xludf.DUMMYFUNCTION("IF('From Order'!$A422=COLUMNS($A422:B441), LEFT(INDEX(FILTER(B$1:B421, B$1:B421&lt;&gt;""""),COUNTA(FILTER(B$1:B421, B$1:B421&lt;&gt;""""))), LEN(INDEX(FILTER(B$1:B421, B$1:B421&lt;&gt;""""),COUNTA(FILTER(B$1:B421, B$1:B421&lt;&gt;""""))))-1), IF('To Order'!$A422=COLUMNS($A422:B"&amp;"441), B421&amp;RIGHT(INDIRECT(ADDRESS(ROW(B422)-1, 'From Order'!$A422)), 1), B421))"),"JZRLBSGDTDDZM")</f>
        <v>JZRLBSGDTDDZM</v>
      </c>
      <c r="C422" s="2" t="str">
        <f>IFERROR(__xludf.DUMMYFUNCTION("IF('From Order'!$A422=COLUMNS($A422:C441), LEFT(INDEX(FILTER(C$1:C421, C$1:C421&lt;&gt;""""),COUNTA(FILTER(C$1:C421, C$1:C421&lt;&gt;""""))), LEN(INDEX(FILTER(C$1:C421, C$1:C421&lt;&gt;""""),COUNTA(FILTER(C$1:C421, C$1:C421&lt;&gt;""""))))-1), IF('To Order'!$A422=COLUMNS($A422:C"&amp;"441), C421&amp;RIGHT(INDIRECT(ADDRESS(ROW(C422)-1, 'From Order'!$A422)), 1), C421))"),"SMFBBRQPDSS")</f>
        <v>SMFBBRQPDSS</v>
      </c>
      <c r="D422" s="2" t="str">
        <f>IFERROR(__xludf.DUMMYFUNCTION("IF('From Order'!$A422=COLUMNS($A422:D441), LEFT(INDEX(FILTER(D$1:D421, D$1:D421&lt;&gt;""""),COUNTA(FILTER(D$1:D421, D$1:D421&lt;&gt;""""))), LEN(INDEX(FILTER(D$1:D421, D$1:D421&lt;&gt;""""),COUNTA(FILTER(D$1:D421, D$1:D421&lt;&gt;""""))))-1), IF('To Order'!$A422=COLUMNS($A422:D"&amp;"441), D421&amp;RIGHT(INDIRECT(ADDRESS(ROW(D422)-1, 'From Order'!$A422)), 1), D421))"),"")</f>
        <v/>
      </c>
      <c r="E422" s="2" t="str">
        <f>IFERROR(__xludf.DUMMYFUNCTION("IF('From Order'!$A422=COLUMNS($A422:E441), LEFT(INDEX(FILTER(E$1:E421, E$1:E421&lt;&gt;""""),COUNTA(FILTER(E$1:E421, E$1:E421&lt;&gt;""""))), LEN(INDEX(FILTER(E$1:E421, E$1:E421&lt;&gt;""""),COUNTA(FILTER(E$1:E421, E$1:E421&lt;&gt;""""))))-1), IF('To Order'!$A422=COLUMNS($A422:E"&amp;"441), E421&amp;RIGHT(INDIRECT(ADDRESS(ROW(E422)-1, 'From Order'!$A422)), 1), E421))"),"HZRVPV")</f>
        <v>HZRVPV</v>
      </c>
      <c r="F422" s="2" t="str">
        <f>IFERROR(__xludf.DUMMYFUNCTION("IF('From Order'!$A422=COLUMNS($A422:F441), LEFT(INDEX(FILTER(F$1:F421, F$1:F421&lt;&gt;""""),COUNTA(FILTER(F$1:F421, F$1:F421&lt;&gt;""""))), LEN(INDEX(FILTER(F$1:F421, F$1:F421&lt;&gt;""""),COUNTA(FILTER(F$1:F421, F$1:F421&lt;&gt;""""))))-1), IF('To Order'!$A422=COLUMNS($A422:F"&amp;"441), F421&amp;RIGHT(INDIRECT(ADDRESS(ROW(F422)-1, 'From Order'!$A422)), 1), F421))"),"")</f>
        <v/>
      </c>
      <c r="G422" s="2" t="str">
        <f>IFERROR(__xludf.DUMMYFUNCTION("IF('From Order'!$A422=COLUMNS($A422:G441), LEFT(INDEX(FILTER(G$1:G421, G$1:G421&lt;&gt;""""),COUNTA(FILTER(G$1:G421, G$1:G421&lt;&gt;""""))), LEN(INDEX(FILTER(G$1:G421, G$1:G421&lt;&gt;""""),COUNTA(FILTER(G$1:G421, G$1:G421&lt;&gt;""""))))-1), IF('To Order'!$A422=COLUMNS($A422:G"&amp;"441), G421&amp;RIGHT(INDIRECT(ADDRESS(ROW(G422)-1, 'From Order'!$A422)), 1), G421))"),"LJ")</f>
        <v>LJ</v>
      </c>
      <c r="H422" s="2" t="str">
        <f>IFERROR(__xludf.DUMMYFUNCTION("IF('From Order'!$A422=COLUMNS($A422:H441), LEFT(INDEX(FILTER(H$1:H421, H$1:H421&lt;&gt;""""),COUNTA(FILTER(H$1:H421, H$1:H421&lt;&gt;""""))), LEN(INDEX(FILTER(H$1:H421, H$1:H421&lt;&gt;""""),COUNTA(FILTER(H$1:H421, H$1:H421&lt;&gt;""""))))-1), IF('To Order'!$A422=COLUMNS($A422:H"&amp;"441), H421&amp;RIGHT(INDIRECT(ADDRESS(ROW(H422)-1, 'From Order'!$A422)), 1), H421))"),"")</f>
        <v/>
      </c>
      <c r="I422" s="2" t="str">
        <f>IFERROR(__xludf.DUMMYFUNCTION("IF('From Order'!$A422=COLUMNS($A422:I441), LEFT(INDEX(FILTER(I$1:I421, I$1:I421&lt;&gt;""""),COUNTA(FILTER(I$1:I421, I$1:I421&lt;&gt;""""))), LEN(INDEX(FILTER(I$1:I421, I$1:I421&lt;&gt;""""),COUNTA(FILTER(I$1:I421, I$1:I421&lt;&gt;""""))))-1), IF('To Order'!$A422=COLUMNS($A422:I"&amp;"441), I421&amp;RIGHT(INDIRECT(ADDRESS(ROW(I422)-1, 'From Order'!$A422)), 1), I421))"),"G")</f>
        <v>G</v>
      </c>
    </row>
    <row r="423">
      <c r="A423" s="2" t="str">
        <f>IFERROR(__xludf.DUMMYFUNCTION("IF('From Order'!$A423=COLUMNS($A423:A442), LEFT(INDEX(FILTER(A$1:A422, A$1:A422&lt;&gt;""""),COUNTA(FILTER(A$1:A422, A$1:A422&lt;&gt;""""))), LEN(INDEX(FILTER(A$1:A422, A$1:A422&lt;&gt;""""),COUNTA(FILTER(A$1:A422, A$1:A422&lt;&gt;""""))))-1), IF('To Order'!$A423=COLUMNS($A423:A"&amp;"442), A422&amp;RIGHT(INDIRECT(ADDRESS(ROW(A423)-1, 'From Order'!$A423)), 1), A422))"),"CTFTMQCDTRLDRWTJTVCBPWH")</f>
        <v>CTFTMQCDTRLDRWTJTVCBPWH</v>
      </c>
      <c r="B423" s="2" t="str">
        <f>IFERROR(__xludf.DUMMYFUNCTION("IF('From Order'!$A423=COLUMNS($A423:B442), LEFT(INDEX(FILTER(B$1:B422, B$1:B422&lt;&gt;""""),COUNTA(FILTER(B$1:B422, B$1:B422&lt;&gt;""""))), LEN(INDEX(FILTER(B$1:B422, B$1:B422&lt;&gt;""""),COUNTA(FILTER(B$1:B422, B$1:B422&lt;&gt;""""))))-1), IF('To Order'!$A423=COLUMNS($A423:B"&amp;"442), B422&amp;RIGHT(INDIRECT(ADDRESS(ROW(B423)-1, 'From Order'!$A423)), 1), B422))"),"JZRLBSGDTDDZM")</f>
        <v>JZRLBSGDTDDZM</v>
      </c>
      <c r="C423" s="2" t="str">
        <f>IFERROR(__xludf.DUMMYFUNCTION("IF('From Order'!$A423=COLUMNS($A423:C442), LEFT(INDEX(FILTER(C$1:C422, C$1:C422&lt;&gt;""""),COUNTA(FILTER(C$1:C422, C$1:C422&lt;&gt;""""))), LEN(INDEX(FILTER(C$1:C422, C$1:C422&lt;&gt;""""),COUNTA(FILTER(C$1:C422, C$1:C422&lt;&gt;""""))))-1), IF('To Order'!$A423=COLUMNS($A423:C"&amp;"442), C422&amp;RIGHT(INDIRECT(ADDRESS(ROW(C423)-1, 'From Order'!$A423)), 1), C422))"),"SMFBBRQPDSSG")</f>
        <v>SMFBBRQPDSSG</v>
      </c>
      <c r="D423" s="2" t="str">
        <f>IFERROR(__xludf.DUMMYFUNCTION("IF('From Order'!$A423=COLUMNS($A423:D442), LEFT(INDEX(FILTER(D$1:D422, D$1:D422&lt;&gt;""""),COUNTA(FILTER(D$1:D422, D$1:D422&lt;&gt;""""))), LEN(INDEX(FILTER(D$1:D422, D$1:D422&lt;&gt;""""),COUNTA(FILTER(D$1:D422, D$1:D422&lt;&gt;""""))))-1), IF('To Order'!$A423=COLUMNS($A423:D"&amp;"442), D422&amp;RIGHT(INDIRECT(ADDRESS(ROW(D423)-1, 'From Order'!$A423)), 1), D422))"),"")</f>
        <v/>
      </c>
      <c r="E423" s="2" t="str">
        <f>IFERROR(__xludf.DUMMYFUNCTION("IF('From Order'!$A423=COLUMNS($A423:E442), LEFT(INDEX(FILTER(E$1:E422, E$1:E422&lt;&gt;""""),COUNTA(FILTER(E$1:E422, E$1:E422&lt;&gt;""""))), LEN(INDEX(FILTER(E$1:E422, E$1:E422&lt;&gt;""""),COUNTA(FILTER(E$1:E422, E$1:E422&lt;&gt;""""))))-1), IF('To Order'!$A423=COLUMNS($A423:E"&amp;"442), E422&amp;RIGHT(INDIRECT(ADDRESS(ROW(E423)-1, 'From Order'!$A423)), 1), E422))"),"HZRVPV")</f>
        <v>HZRVPV</v>
      </c>
      <c r="F423" s="2" t="str">
        <f>IFERROR(__xludf.DUMMYFUNCTION("IF('From Order'!$A423=COLUMNS($A423:F442), LEFT(INDEX(FILTER(F$1:F422, F$1:F422&lt;&gt;""""),COUNTA(FILTER(F$1:F422, F$1:F422&lt;&gt;""""))), LEN(INDEX(FILTER(F$1:F422, F$1:F422&lt;&gt;""""),COUNTA(FILTER(F$1:F422, F$1:F422&lt;&gt;""""))))-1), IF('To Order'!$A423=COLUMNS($A423:F"&amp;"442), F422&amp;RIGHT(INDIRECT(ADDRESS(ROW(F423)-1, 'From Order'!$A423)), 1), F422))"),"")</f>
        <v/>
      </c>
      <c r="G423" s="2" t="str">
        <f>IFERROR(__xludf.DUMMYFUNCTION("IF('From Order'!$A423=COLUMNS($A423:G442), LEFT(INDEX(FILTER(G$1:G422, G$1:G422&lt;&gt;""""),COUNTA(FILTER(G$1:G422, G$1:G422&lt;&gt;""""))), LEN(INDEX(FILTER(G$1:G422, G$1:G422&lt;&gt;""""),COUNTA(FILTER(G$1:G422, G$1:G422&lt;&gt;""""))))-1), IF('To Order'!$A423=COLUMNS($A423:G"&amp;"442), G422&amp;RIGHT(INDIRECT(ADDRESS(ROW(G423)-1, 'From Order'!$A423)), 1), G422))"),"LJ")</f>
        <v>LJ</v>
      </c>
      <c r="H423" s="2" t="str">
        <f>IFERROR(__xludf.DUMMYFUNCTION("IF('From Order'!$A423=COLUMNS($A423:H442), LEFT(INDEX(FILTER(H$1:H422, H$1:H422&lt;&gt;""""),COUNTA(FILTER(H$1:H422, H$1:H422&lt;&gt;""""))), LEN(INDEX(FILTER(H$1:H422, H$1:H422&lt;&gt;""""),COUNTA(FILTER(H$1:H422, H$1:H422&lt;&gt;""""))))-1), IF('To Order'!$A423=COLUMNS($A423:H"&amp;"442), H422&amp;RIGHT(INDIRECT(ADDRESS(ROW(H423)-1, 'From Order'!$A423)), 1), H422))"),"")</f>
        <v/>
      </c>
      <c r="I423" s="2" t="str">
        <f>IFERROR(__xludf.DUMMYFUNCTION("IF('From Order'!$A423=COLUMNS($A423:I442), LEFT(INDEX(FILTER(I$1:I422, I$1:I422&lt;&gt;""""),COUNTA(FILTER(I$1:I422, I$1:I422&lt;&gt;""""))), LEN(INDEX(FILTER(I$1:I422, I$1:I422&lt;&gt;""""),COUNTA(FILTER(I$1:I422, I$1:I422&lt;&gt;""""))))-1), IF('To Order'!$A423=COLUMNS($A423:I"&amp;"442), I422&amp;RIGHT(INDIRECT(ADDRESS(ROW(I423)-1, 'From Order'!$A423)), 1), I422))"),"")</f>
        <v/>
      </c>
    </row>
    <row r="424">
      <c r="A424" s="2" t="str">
        <f>IFERROR(__xludf.DUMMYFUNCTION("IF('From Order'!$A424=COLUMNS($A424:A443), LEFT(INDEX(FILTER(A$1:A423, A$1:A423&lt;&gt;""""),COUNTA(FILTER(A$1:A423, A$1:A423&lt;&gt;""""))), LEN(INDEX(FILTER(A$1:A423, A$1:A423&lt;&gt;""""),COUNTA(FILTER(A$1:A423, A$1:A423&lt;&gt;""""))))-1), IF('To Order'!$A424=COLUMNS($A424:A"&amp;"443), A423&amp;RIGHT(INDIRECT(ADDRESS(ROW(A424)-1, 'From Order'!$A424)), 1), A423))"),"CTFTMQCDTRLDRWTJTVCBPW")</f>
        <v>CTFTMQCDTRLDRWTJTVCBPW</v>
      </c>
      <c r="B424" s="2" t="str">
        <f>IFERROR(__xludf.DUMMYFUNCTION("IF('From Order'!$A424=COLUMNS($A424:B443), LEFT(INDEX(FILTER(B$1:B423, B$1:B423&lt;&gt;""""),COUNTA(FILTER(B$1:B423, B$1:B423&lt;&gt;""""))), LEN(INDEX(FILTER(B$1:B423, B$1:B423&lt;&gt;""""),COUNTA(FILTER(B$1:B423, B$1:B423&lt;&gt;""""))))-1), IF('To Order'!$A424=COLUMNS($A424:B"&amp;"443), B423&amp;RIGHT(INDIRECT(ADDRESS(ROW(B424)-1, 'From Order'!$A424)), 1), B423))"),"JZRLBSGDTDDZM")</f>
        <v>JZRLBSGDTDDZM</v>
      </c>
      <c r="C424" s="2" t="str">
        <f>IFERROR(__xludf.DUMMYFUNCTION("IF('From Order'!$A424=COLUMNS($A424:C443), LEFT(INDEX(FILTER(C$1:C423, C$1:C423&lt;&gt;""""),COUNTA(FILTER(C$1:C423, C$1:C423&lt;&gt;""""))), LEN(INDEX(FILTER(C$1:C423, C$1:C423&lt;&gt;""""),COUNTA(FILTER(C$1:C423, C$1:C423&lt;&gt;""""))))-1), IF('To Order'!$A424=COLUMNS($A424:C"&amp;"443), C423&amp;RIGHT(INDIRECT(ADDRESS(ROW(C424)-1, 'From Order'!$A424)), 1), C423))"),"SMFBBRQPDSSGH")</f>
        <v>SMFBBRQPDSSGH</v>
      </c>
      <c r="D424" s="2" t="str">
        <f>IFERROR(__xludf.DUMMYFUNCTION("IF('From Order'!$A424=COLUMNS($A424:D443), LEFT(INDEX(FILTER(D$1:D423, D$1:D423&lt;&gt;""""),COUNTA(FILTER(D$1:D423, D$1:D423&lt;&gt;""""))), LEN(INDEX(FILTER(D$1:D423, D$1:D423&lt;&gt;""""),COUNTA(FILTER(D$1:D423, D$1:D423&lt;&gt;""""))))-1), IF('To Order'!$A424=COLUMNS($A424:D"&amp;"443), D423&amp;RIGHT(INDIRECT(ADDRESS(ROW(D424)-1, 'From Order'!$A424)), 1), D423))"),"")</f>
        <v/>
      </c>
      <c r="E424" s="2" t="str">
        <f>IFERROR(__xludf.DUMMYFUNCTION("IF('From Order'!$A424=COLUMNS($A424:E443), LEFT(INDEX(FILTER(E$1:E423, E$1:E423&lt;&gt;""""),COUNTA(FILTER(E$1:E423, E$1:E423&lt;&gt;""""))), LEN(INDEX(FILTER(E$1:E423, E$1:E423&lt;&gt;""""),COUNTA(FILTER(E$1:E423, E$1:E423&lt;&gt;""""))))-1), IF('To Order'!$A424=COLUMNS($A424:E"&amp;"443), E423&amp;RIGHT(INDIRECT(ADDRESS(ROW(E424)-1, 'From Order'!$A424)), 1), E423))"),"HZRVPV")</f>
        <v>HZRVPV</v>
      </c>
      <c r="F424" s="2" t="str">
        <f>IFERROR(__xludf.DUMMYFUNCTION("IF('From Order'!$A424=COLUMNS($A424:F443), LEFT(INDEX(FILTER(F$1:F423, F$1:F423&lt;&gt;""""),COUNTA(FILTER(F$1:F423, F$1:F423&lt;&gt;""""))), LEN(INDEX(FILTER(F$1:F423, F$1:F423&lt;&gt;""""),COUNTA(FILTER(F$1:F423, F$1:F423&lt;&gt;""""))))-1), IF('To Order'!$A424=COLUMNS($A424:F"&amp;"443), F423&amp;RIGHT(INDIRECT(ADDRESS(ROW(F424)-1, 'From Order'!$A424)), 1), F423))"),"")</f>
        <v/>
      </c>
      <c r="G424" s="2" t="str">
        <f>IFERROR(__xludf.DUMMYFUNCTION("IF('From Order'!$A424=COLUMNS($A424:G443), LEFT(INDEX(FILTER(G$1:G423, G$1:G423&lt;&gt;""""),COUNTA(FILTER(G$1:G423, G$1:G423&lt;&gt;""""))), LEN(INDEX(FILTER(G$1:G423, G$1:G423&lt;&gt;""""),COUNTA(FILTER(G$1:G423, G$1:G423&lt;&gt;""""))))-1), IF('To Order'!$A424=COLUMNS($A424:G"&amp;"443), G423&amp;RIGHT(INDIRECT(ADDRESS(ROW(G424)-1, 'From Order'!$A424)), 1), G423))"),"LJ")</f>
        <v>LJ</v>
      </c>
      <c r="H424" s="2" t="str">
        <f>IFERROR(__xludf.DUMMYFUNCTION("IF('From Order'!$A424=COLUMNS($A424:H443), LEFT(INDEX(FILTER(H$1:H423, H$1:H423&lt;&gt;""""),COUNTA(FILTER(H$1:H423, H$1:H423&lt;&gt;""""))), LEN(INDEX(FILTER(H$1:H423, H$1:H423&lt;&gt;""""),COUNTA(FILTER(H$1:H423, H$1:H423&lt;&gt;""""))))-1), IF('To Order'!$A424=COLUMNS($A424:H"&amp;"443), H423&amp;RIGHT(INDIRECT(ADDRESS(ROW(H424)-1, 'From Order'!$A424)), 1), H423))"),"")</f>
        <v/>
      </c>
      <c r="I424" s="2" t="str">
        <f>IFERROR(__xludf.DUMMYFUNCTION("IF('From Order'!$A424=COLUMNS($A424:I443), LEFT(INDEX(FILTER(I$1:I423, I$1:I423&lt;&gt;""""),COUNTA(FILTER(I$1:I423, I$1:I423&lt;&gt;""""))), LEN(INDEX(FILTER(I$1:I423, I$1:I423&lt;&gt;""""),COUNTA(FILTER(I$1:I423, I$1:I423&lt;&gt;""""))))-1), IF('To Order'!$A424=COLUMNS($A424:I"&amp;"443), I423&amp;RIGHT(INDIRECT(ADDRESS(ROW(I424)-1, 'From Order'!$A424)), 1), I423))"),"")</f>
        <v/>
      </c>
    </row>
    <row r="425">
      <c r="A425" s="2" t="str">
        <f>IFERROR(__xludf.DUMMYFUNCTION("IF('From Order'!$A425=COLUMNS($A425:A444), LEFT(INDEX(FILTER(A$1:A424, A$1:A424&lt;&gt;""""),COUNTA(FILTER(A$1:A424, A$1:A424&lt;&gt;""""))), LEN(INDEX(FILTER(A$1:A424, A$1:A424&lt;&gt;""""),COUNTA(FILTER(A$1:A424, A$1:A424&lt;&gt;""""))))-1), IF('To Order'!$A425=COLUMNS($A425:A"&amp;"444), A424&amp;RIGHT(INDIRECT(ADDRESS(ROW(A425)-1, 'From Order'!$A425)), 1), A424))"),"CTFTMQCDTRLDRWTJTVCBP")</f>
        <v>CTFTMQCDTRLDRWTJTVCBP</v>
      </c>
      <c r="B425" s="2" t="str">
        <f>IFERROR(__xludf.DUMMYFUNCTION("IF('From Order'!$A425=COLUMNS($A425:B444), LEFT(INDEX(FILTER(B$1:B424, B$1:B424&lt;&gt;""""),COUNTA(FILTER(B$1:B424, B$1:B424&lt;&gt;""""))), LEN(INDEX(FILTER(B$1:B424, B$1:B424&lt;&gt;""""),COUNTA(FILTER(B$1:B424, B$1:B424&lt;&gt;""""))))-1), IF('To Order'!$A425=COLUMNS($A425:B"&amp;"444), B424&amp;RIGHT(INDIRECT(ADDRESS(ROW(B425)-1, 'From Order'!$A425)), 1), B424))"),"JZRLBSGDTDDZM")</f>
        <v>JZRLBSGDTDDZM</v>
      </c>
      <c r="C425" s="2" t="str">
        <f>IFERROR(__xludf.DUMMYFUNCTION("IF('From Order'!$A425=COLUMNS($A425:C444), LEFT(INDEX(FILTER(C$1:C424, C$1:C424&lt;&gt;""""),COUNTA(FILTER(C$1:C424, C$1:C424&lt;&gt;""""))), LEN(INDEX(FILTER(C$1:C424, C$1:C424&lt;&gt;""""),COUNTA(FILTER(C$1:C424, C$1:C424&lt;&gt;""""))))-1), IF('To Order'!$A425=COLUMNS($A425:C"&amp;"444), C424&amp;RIGHT(INDIRECT(ADDRESS(ROW(C425)-1, 'From Order'!$A425)), 1), C424))"),"SMFBBRQPDSSGHW")</f>
        <v>SMFBBRQPDSSGHW</v>
      </c>
      <c r="D425" s="2" t="str">
        <f>IFERROR(__xludf.DUMMYFUNCTION("IF('From Order'!$A425=COLUMNS($A425:D444), LEFT(INDEX(FILTER(D$1:D424, D$1:D424&lt;&gt;""""),COUNTA(FILTER(D$1:D424, D$1:D424&lt;&gt;""""))), LEN(INDEX(FILTER(D$1:D424, D$1:D424&lt;&gt;""""),COUNTA(FILTER(D$1:D424, D$1:D424&lt;&gt;""""))))-1), IF('To Order'!$A425=COLUMNS($A425:D"&amp;"444), D424&amp;RIGHT(INDIRECT(ADDRESS(ROW(D425)-1, 'From Order'!$A425)), 1), D424))"),"")</f>
        <v/>
      </c>
      <c r="E425" s="2" t="str">
        <f>IFERROR(__xludf.DUMMYFUNCTION("IF('From Order'!$A425=COLUMNS($A425:E444), LEFT(INDEX(FILTER(E$1:E424, E$1:E424&lt;&gt;""""),COUNTA(FILTER(E$1:E424, E$1:E424&lt;&gt;""""))), LEN(INDEX(FILTER(E$1:E424, E$1:E424&lt;&gt;""""),COUNTA(FILTER(E$1:E424, E$1:E424&lt;&gt;""""))))-1), IF('To Order'!$A425=COLUMNS($A425:E"&amp;"444), E424&amp;RIGHT(INDIRECT(ADDRESS(ROW(E425)-1, 'From Order'!$A425)), 1), E424))"),"HZRVPV")</f>
        <v>HZRVPV</v>
      </c>
      <c r="F425" s="2" t="str">
        <f>IFERROR(__xludf.DUMMYFUNCTION("IF('From Order'!$A425=COLUMNS($A425:F444), LEFT(INDEX(FILTER(F$1:F424, F$1:F424&lt;&gt;""""),COUNTA(FILTER(F$1:F424, F$1:F424&lt;&gt;""""))), LEN(INDEX(FILTER(F$1:F424, F$1:F424&lt;&gt;""""),COUNTA(FILTER(F$1:F424, F$1:F424&lt;&gt;""""))))-1), IF('To Order'!$A425=COLUMNS($A425:F"&amp;"444), F424&amp;RIGHT(INDIRECT(ADDRESS(ROW(F425)-1, 'From Order'!$A425)), 1), F424))"),"")</f>
        <v/>
      </c>
      <c r="G425" s="2" t="str">
        <f>IFERROR(__xludf.DUMMYFUNCTION("IF('From Order'!$A425=COLUMNS($A425:G444), LEFT(INDEX(FILTER(G$1:G424, G$1:G424&lt;&gt;""""),COUNTA(FILTER(G$1:G424, G$1:G424&lt;&gt;""""))), LEN(INDEX(FILTER(G$1:G424, G$1:G424&lt;&gt;""""),COUNTA(FILTER(G$1:G424, G$1:G424&lt;&gt;""""))))-1), IF('To Order'!$A425=COLUMNS($A425:G"&amp;"444), G424&amp;RIGHT(INDIRECT(ADDRESS(ROW(G425)-1, 'From Order'!$A425)), 1), G424))"),"LJ")</f>
        <v>LJ</v>
      </c>
      <c r="H425" s="2" t="str">
        <f>IFERROR(__xludf.DUMMYFUNCTION("IF('From Order'!$A425=COLUMNS($A425:H444), LEFT(INDEX(FILTER(H$1:H424, H$1:H424&lt;&gt;""""),COUNTA(FILTER(H$1:H424, H$1:H424&lt;&gt;""""))), LEN(INDEX(FILTER(H$1:H424, H$1:H424&lt;&gt;""""),COUNTA(FILTER(H$1:H424, H$1:H424&lt;&gt;""""))))-1), IF('To Order'!$A425=COLUMNS($A425:H"&amp;"444), H424&amp;RIGHT(INDIRECT(ADDRESS(ROW(H425)-1, 'From Order'!$A425)), 1), H424))"),"")</f>
        <v/>
      </c>
      <c r="I425" s="2" t="str">
        <f>IFERROR(__xludf.DUMMYFUNCTION("IF('From Order'!$A425=COLUMNS($A425:I444), LEFT(INDEX(FILTER(I$1:I424, I$1:I424&lt;&gt;""""),COUNTA(FILTER(I$1:I424, I$1:I424&lt;&gt;""""))), LEN(INDEX(FILTER(I$1:I424, I$1:I424&lt;&gt;""""),COUNTA(FILTER(I$1:I424, I$1:I424&lt;&gt;""""))))-1), IF('To Order'!$A425=COLUMNS($A425:I"&amp;"444), I424&amp;RIGHT(INDIRECT(ADDRESS(ROW(I425)-1, 'From Order'!$A425)), 1), I424))"),"")</f>
        <v/>
      </c>
    </row>
    <row r="426">
      <c r="A426" s="2" t="str">
        <f>IFERROR(__xludf.DUMMYFUNCTION("IF('From Order'!$A426=COLUMNS($A426:A445), LEFT(INDEX(FILTER(A$1:A425, A$1:A425&lt;&gt;""""),COUNTA(FILTER(A$1:A425, A$1:A425&lt;&gt;""""))), LEN(INDEX(FILTER(A$1:A425, A$1:A425&lt;&gt;""""),COUNTA(FILTER(A$1:A425, A$1:A425&lt;&gt;""""))))-1), IF('To Order'!$A426=COLUMNS($A426:A"&amp;"445), A425&amp;RIGHT(INDIRECT(ADDRESS(ROW(A426)-1, 'From Order'!$A426)), 1), A425))"),"CTFTMQCDTRLDRWTJTVCB")</f>
        <v>CTFTMQCDTRLDRWTJTVCB</v>
      </c>
      <c r="B426" s="2" t="str">
        <f>IFERROR(__xludf.DUMMYFUNCTION("IF('From Order'!$A426=COLUMNS($A426:B445), LEFT(INDEX(FILTER(B$1:B425, B$1:B425&lt;&gt;""""),COUNTA(FILTER(B$1:B425, B$1:B425&lt;&gt;""""))), LEN(INDEX(FILTER(B$1:B425, B$1:B425&lt;&gt;""""),COUNTA(FILTER(B$1:B425, B$1:B425&lt;&gt;""""))))-1), IF('To Order'!$A426=COLUMNS($A426:B"&amp;"445), B425&amp;RIGHT(INDIRECT(ADDRESS(ROW(B426)-1, 'From Order'!$A426)), 1), B425))"),"JZRLBSGDTDDZM")</f>
        <v>JZRLBSGDTDDZM</v>
      </c>
      <c r="C426" s="2" t="str">
        <f>IFERROR(__xludf.DUMMYFUNCTION("IF('From Order'!$A426=COLUMNS($A426:C445), LEFT(INDEX(FILTER(C$1:C425, C$1:C425&lt;&gt;""""),COUNTA(FILTER(C$1:C425, C$1:C425&lt;&gt;""""))), LEN(INDEX(FILTER(C$1:C425, C$1:C425&lt;&gt;""""),COUNTA(FILTER(C$1:C425, C$1:C425&lt;&gt;""""))))-1), IF('To Order'!$A426=COLUMNS($A426:C"&amp;"445), C425&amp;RIGHT(INDIRECT(ADDRESS(ROW(C426)-1, 'From Order'!$A426)), 1), C425))"),"SMFBBRQPDSSGHWP")</f>
        <v>SMFBBRQPDSSGHWP</v>
      </c>
      <c r="D426" s="2" t="str">
        <f>IFERROR(__xludf.DUMMYFUNCTION("IF('From Order'!$A426=COLUMNS($A426:D445), LEFT(INDEX(FILTER(D$1:D425, D$1:D425&lt;&gt;""""),COUNTA(FILTER(D$1:D425, D$1:D425&lt;&gt;""""))), LEN(INDEX(FILTER(D$1:D425, D$1:D425&lt;&gt;""""),COUNTA(FILTER(D$1:D425, D$1:D425&lt;&gt;""""))))-1), IF('To Order'!$A426=COLUMNS($A426:D"&amp;"445), D425&amp;RIGHT(INDIRECT(ADDRESS(ROW(D426)-1, 'From Order'!$A426)), 1), D425))"),"")</f>
        <v/>
      </c>
      <c r="E426" s="2" t="str">
        <f>IFERROR(__xludf.DUMMYFUNCTION("IF('From Order'!$A426=COLUMNS($A426:E445), LEFT(INDEX(FILTER(E$1:E425, E$1:E425&lt;&gt;""""),COUNTA(FILTER(E$1:E425, E$1:E425&lt;&gt;""""))), LEN(INDEX(FILTER(E$1:E425, E$1:E425&lt;&gt;""""),COUNTA(FILTER(E$1:E425, E$1:E425&lt;&gt;""""))))-1), IF('To Order'!$A426=COLUMNS($A426:E"&amp;"445), E425&amp;RIGHT(INDIRECT(ADDRESS(ROW(E426)-1, 'From Order'!$A426)), 1), E425))"),"HZRVPV")</f>
        <v>HZRVPV</v>
      </c>
      <c r="F426" s="2" t="str">
        <f>IFERROR(__xludf.DUMMYFUNCTION("IF('From Order'!$A426=COLUMNS($A426:F445), LEFT(INDEX(FILTER(F$1:F425, F$1:F425&lt;&gt;""""),COUNTA(FILTER(F$1:F425, F$1:F425&lt;&gt;""""))), LEN(INDEX(FILTER(F$1:F425, F$1:F425&lt;&gt;""""),COUNTA(FILTER(F$1:F425, F$1:F425&lt;&gt;""""))))-1), IF('To Order'!$A426=COLUMNS($A426:F"&amp;"445), F425&amp;RIGHT(INDIRECT(ADDRESS(ROW(F426)-1, 'From Order'!$A426)), 1), F425))"),"")</f>
        <v/>
      </c>
      <c r="G426" s="2" t="str">
        <f>IFERROR(__xludf.DUMMYFUNCTION("IF('From Order'!$A426=COLUMNS($A426:G445), LEFT(INDEX(FILTER(G$1:G425, G$1:G425&lt;&gt;""""),COUNTA(FILTER(G$1:G425, G$1:G425&lt;&gt;""""))), LEN(INDEX(FILTER(G$1:G425, G$1:G425&lt;&gt;""""),COUNTA(FILTER(G$1:G425, G$1:G425&lt;&gt;""""))))-1), IF('To Order'!$A426=COLUMNS($A426:G"&amp;"445), G425&amp;RIGHT(INDIRECT(ADDRESS(ROW(G426)-1, 'From Order'!$A426)), 1), G425))"),"LJ")</f>
        <v>LJ</v>
      </c>
      <c r="H426" s="2" t="str">
        <f>IFERROR(__xludf.DUMMYFUNCTION("IF('From Order'!$A426=COLUMNS($A426:H445), LEFT(INDEX(FILTER(H$1:H425, H$1:H425&lt;&gt;""""),COUNTA(FILTER(H$1:H425, H$1:H425&lt;&gt;""""))), LEN(INDEX(FILTER(H$1:H425, H$1:H425&lt;&gt;""""),COUNTA(FILTER(H$1:H425, H$1:H425&lt;&gt;""""))))-1), IF('To Order'!$A426=COLUMNS($A426:H"&amp;"445), H425&amp;RIGHT(INDIRECT(ADDRESS(ROW(H426)-1, 'From Order'!$A426)), 1), H425))"),"")</f>
        <v/>
      </c>
      <c r="I426" s="2" t="str">
        <f>IFERROR(__xludf.DUMMYFUNCTION("IF('From Order'!$A426=COLUMNS($A426:I445), LEFT(INDEX(FILTER(I$1:I425, I$1:I425&lt;&gt;""""),COUNTA(FILTER(I$1:I425, I$1:I425&lt;&gt;""""))), LEN(INDEX(FILTER(I$1:I425, I$1:I425&lt;&gt;""""),COUNTA(FILTER(I$1:I425, I$1:I425&lt;&gt;""""))))-1), IF('To Order'!$A426=COLUMNS($A426:I"&amp;"445), I425&amp;RIGHT(INDIRECT(ADDRESS(ROW(I426)-1, 'From Order'!$A426)), 1), I425))"),"")</f>
        <v/>
      </c>
    </row>
    <row r="427">
      <c r="A427" s="2" t="str">
        <f>IFERROR(__xludf.DUMMYFUNCTION("IF('From Order'!$A427=COLUMNS($A427:A446), LEFT(INDEX(FILTER(A$1:A426, A$1:A426&lt;&gt;""""),COUNTA(FILTER(A$1:A426, A$1:A426&lt;&gt;""""))), LEN(INDEX(FILTER(A$1:A426, A$1:A426&lt;&gt;""""),COUNTA(FILTER(A$1:A426, A$1:A426&lt;&gt;""""))))-1), IF('To Order'!$A427=COLUMNS($A427:A"&amp;"446), A426&amp;RIGHT(INDIRECT(ADDRESS(ROW(A427)-1, 'From Order'!$A427)), 1), A426))"),"CTFTMQCDTRLDRWTJTVC")</f>
        <v>CTFTMQCDTRLDRWTJTVC</v>
      </c>
      <c r="B427" s="2" t="str">
        <f>IFERROR(__xludf.DUMMYFUNCTION("IF('From Order'!$A427=COLUMNS($A427:B446), LEFT(INDEX(FILTER(B$1:B426, B$1:B426&lt;&gt;""""),COUNTA(FILTER(B$1:B426, B$1:B426&lt;&gt;""""))), LEN(INDEX(FILTER(B$1:B426, B$1:B426&lt;&gt;""""),COUNTA(FILTER(B$1:B426, B$1:B426&lt;&gt;""""))))-1), IF('To Order'!$A427=COLUMNS($A427:B"&amp;"446), B426&amp;RIGHT(INDIRECT(ADDRESS(ROW(B427)-1, 'From Order'!$A427)), 1), B426))"),"JZRLBSGDTDDZM")</f>
        <v>JZRLBSGDTDDZM</v>
      </c>
      <c r="C427" s="2" t="str">
        <f>IFERROR(__xludf.DUMMYFUNCTION("IF('From Order'!$A427=COLUMNS($A427:C446), LEFT(INDEX(FILTER(C$1:C426, C$1:C426&lt;&gt;""""),COUNTA(FILTER(C$1:C426, C$1:C426&lt;&gt;""""))), LEN(INDEX(FILTER(C$1:C426, C$1:C426&lt;&gt;""""),COUNTA(FILTER(C$1:C426, C$1:C426&lt;&gt;""""))))-1), IF('To Order'!$A427=COLUMNS($A427:C"&amp;"446), C426&amp;RIGHT(INDIRECT(ADDRESS(ROW(C427)-1, 'From Order'!$A427)), 1), C426))"),"SMFBBRQPDSSGHWPB")</f>
        <v>SMFBBRQPDSSGHWPB</v>
      </c>
      <c r="D427" s="2" t="str">
        <f>IFERROR(__xludf.DUMMYFUNCTION("IF('From Order'!$A427=COLUMNS($A427:D446), LEFT(INDEX(FILTER(D$1:D426, D$1:D426&lt;&gt;""""),COUNTA(FILTER(D$1:D426, D$1:D426&lt;&gt;""""))), LEN(INDEX(FILTER(D$1:D426, D$1:D426&lt;&gt;""""),COUNTA(FILTER(D$1:D426, D$1:D426&lt;&gt;""""))))-1), IF('To Order'!$A427=COLUMNS($A427:D"&amp;"446), D426&amp;RIGHT(INDIRECT(ADDRESS(ROW(D427)-1, 'From Order'!$A427)), 1), D426))"),"")</f>
        <v/>
      </c>
      <c r="E427" s="2" t="str">
        <f>IFERROR(__xludf.DUMMYFUNCTION("IF('From Order'!$A427=COLUMNS($A427:E446), LEFT(INDEX(FILTER(E$1:E426, E$1:E426&lt;&gt;""""),COUNTA(FILTER(E$1:E426, E$1:E426&lt;&gt;""""))), LEN(INDEX(FILTER(E$1:E426, E$1:E426&lt;&gt;""""),COUNTA(FILTER(E$1:E426, E$1:E426&lt;&gt;""""))))-1), IF('To Order'!$A427=COLUMNS($A427:E"&amp;"446), E426&amp;RIGHT(INDIRECT(ADDRESS(ROW(E427)-1, 'From Order'!$A427)), 1), E426))"),"HZRVPV")</f>
        <v>HZRVPV</v>
      </c>
      <c r="F427" s="2" t="str">
        <f>IFERROR(__xludf.DUMMYFUNCTION("IF('From Order'!$A427=COLUMNS($A427:F446), LEFT(INDEX(FILTER(F$1:F426, F$1:F426&lt;&gt;""""),COUNTA(FILTER(F$1:F426, F$1:F426&lt;&gt;""""))), LEN(INDEX(FILTER(F$1:F426, F$1:F426&lt;&gt;""""),COUNTA(FILTER(F$1:F426, F$1:F426&lt;&gt;""""))))-1), IF('To Order'!$A427=COLUMNS($A427:F"&amp;"446), F426&amp;RIGHT(INDIRECT(ADDRESS(ROW(F427)-1, 'From Order'!$A427)), 1), F426))"),"")</f>
        <v/>
      </c>
      <c r="G427" s="2" t="str">
        <f>IFERROR(__xludf.DUMMYFUNCTION("IF('From Order'!$A427=COLUMNS($A427:G446), LEFT(INDEX(FILTER(G$1:G426, G$1:G426&lt;&gt;""""),COUNTA(FILTER(G$1:G426, G$1:G426&lt;&gt;""""))), LEN(INDEX(FILTER(G$1:G426, G$1:G426&lt;&gt;""""),COUNTA(FILTER(G$1:G426, G$1:G426&lt;&gt;""""))))-1), IF('To Order'!$A427=COLUMNS($A427:G"&amp;"446), G426&amp;RIGHT(INDIRECT(ADDRESS(ROW(G427)-1, 'From Order'!$A427)), 1), G426))"),"LJ")</f>
        <v>LJ</v>
      </c>
      <c r="H427" s="2" t="str">
        <f>IFERROR(__xludf.DUMMYFUNCTION("IF('From Order'!$A427=COLUMNS($A427:H446), LEFT(INDEX(FILTER(H$1:H426, H$1:H426&lt;&gt;""""),COUNTA(FILTER(H$1:H426, H$1:H426&lt;&gt;""""))), LEN(INDEX(FILTER(H$1:H426, H$1:H426&lt;&gt;""""),COUNTA(FILTER(H$1:H426, H$1:H426&lt;&gt;""""))))-1), IF('To Order'!$A427=COLUMNS($A427:H"&amp;"446), H426&amp;RIGHT(INDIRECT(ADDRESS(ROW(H427)-1, 'From Order'!$A427)), 1), H426))"),"")</f>
        <v/>
      </c>
      <c r="I427" s="2" t="str">
        <f>IFERROR(__xludf.DUMMYFUNCTION("IF('From Order'!$A427=COLUMNS($A427:I446), LEFT(INDEX(FILTER(I$1:I426, I$1:I426&lt;&gt;""""),COUNTA(FILTER(I$1:I426, I$1:I426&lt;&gt;""""))), LEN(INDEX(FILTER(I$1:I426, I$1:I426&lt;&gt;""""),COUNTA(FILTER(I$1:I426, I$1:I426&lt;&gt;""""))))-1), IF('To Order'!$A427=COLUMNS($A427:I"&amp;"446), I426&amp;RIGHT(INDIRECT(ADDRESS(ROW(I427)-1, 'From Order'!$A427)), 1), I426))"),"")</f>
        <v/>
      </c>
    </row>
    <row r="428">
      <c r="A428" s="2" t="str">
        <f>IFERROR(__xludf.DUMMYFUNCTION("IF('From Order'!$A428=COLUMNS($A428:A447), LEFT(INDEX(FILTER(A$1:A427, A$1:A427&lt;&gt;""""),COUNTA(FILTER(A$1:A427, A$1:A427&lt;&gt;""""))), LEN(INDEX(FILTER(A$1:A427, A$1:A427&lt;&gt;""""),COUNTA(FILTER(A$1:A427, A$1:A427&lt;&gt;""""))))-1), IF('To Order'!$A428=COLUMNS($A428:A"&amp;"447), A427&amp;RIGHT(INDIRECT(ADDRESS(ROW(A428)-1, 'From Order'!$A428)), 1), A427))"),"CTFTMQCDTRLDRWTJTV")</f>
        <v>CTFTMQCDTRLDRWTJTV</v>
      </c>
      <c r="B428" s="2" t="str">
        <f>IFERROR(__xludf.DUMMYFUNCTION("IF('From Order'!$A428=COLUMNS($A428:B447), LEFT(INDEX(FILTER(B$1:B427, B$1:B427&lt;&gt;""""),COUNTA(FILTER(B$1:B427, B$1:B427&lt;&gt;""""))), LEN(INDEX(FILTER(B$1:B427, B$1:B427&lt;&gt;""""),COUNTA(FILTER(B$1:B427, B$1:B427&lt;&gt;""""))))-1), IF('To Order'!$A428=COLUMNS($A428:B"&amp;"447), B427&amp;RIGHT(INDIRECT(ADDRESS(ROW(B428)-1, 'From Order'!$A428)), 1), B427))"),"JZRLBSGDTDDZM")</f>
        <v>JZRLBSGDTDDZM</v>
      </c>
      <c r="C428" s="2" t="str">
        <f>IFERROR(__xludf.DUMMYFUNCTION("IF('From Order'!$A428=COLUMNS($A428:C447), LEFT(INDEX(FILTER(C$1:C427, C$1:C427&lt;&gt;""""),COUNTA(FILTER(C$1:C427, C$1:C427&lt;&gt;""""))), LEN(INDEX(FILTER(C$1:C427, C$1:C427&lt;&gt;""""),COUNTA(FILTER(C$1:C427, C$1:C427&lt;&gt;""""))))-1), IF('To Order'!$A428=COLUMNS($A428:C"&amp;"447), C427&amp;RIGHT(INDIRECT(ADDRESS(ROW(C428)-1, 'From Order'!$A428)), 1), C427))"),"SMFBBRQPDSSGHWPBC")</f>
        <v>SMFBBRQPDSSGHWPBC</v>
      </c>
      <c r="D428" s="2" t="str">
        <f>IFERROR(__xludf.DUMMYFUNCTION("IF('From Order'!$A428=COLUMNS($A428:D447), LEFT(INDEX(FILTER(D$1:D427, D$1:D427&lt;&gt;""""),COUNTA(FILTER(D$1:D427, D$1:D427&lt;&gt;""""))), LEN(INDEX(FILTER(D$1:D427, D$1:D427&lt;&gt;""""),COUNTA(FILTER(D$1:D427, D$1:D427&lt;&gt;""""))))-1), IF('To Order'!$A428=COLUMNS($A428:D"&amp;"447), D427&amp;RIGHT(INDIRECT(ADDRESS(ROW(D428)-1, 'From Order'!$A428)), 1), D427))"),"")</f>
        <v/>
      </c>
      <c r="E428" s="2" t="str">
        <f>IFERROR(__xludf.DUMMYFUNCTION("IF('From Order'!$A428=COLUMNS($A428:E447), LEFT(INDEX(FILTER(E$1:E427, E$1:E427&lt;&gt;""""),COUNTA(FILTER(E$1:E427, E$1:E427&lt;&gt;""""))), LEN(INDEX(FILTER(E$1:E427, E$1:E427&lt;&gt;""""),COUNTA(FILTER(E$1:E427, E$1:E427&lt;&gt;""""))))-1), IF('To Order'!$A428=COLUMNS($A428:E"&amp;"447), E427&amp;RIGHT(INDIRECT(ADDRESS(ROW(E428)-1, 'From Order'!$A428)), 1), E427))"),"HZRVPV")</f>
        <v>HZRVPV</v>
      </c>
      <c r="F428" s="2" t="str">
        <f>IFERROR(__xludf.DUMMYFUNCTION("IF('From Order'!$A428=COLUMNS($A428:F447), LEFT(INDEX(FILTER(F$1:F427, F$1:F427&lt;&gt;""""),COUNTA(FILTER(F$1:F427, F$1:F427&lt;&gt;""""))), LEN(INDEX(FILTER(F$1:F427, F$1:F427&lt;&gt;""""),COUNTA(FILTER(F$1:F427, F$1:F427&lt;&gt;""""))))-1), IF('To Order'!$A428=COLUMNS($A428:F"&amp;"447), F427&amp;RIGHT(INDIRECT(ADDRESS(ROW(F428)-1, 'From Order'!$A428)), 1), F427))"),"")</f>
        <v/>
      </c>
      <c r="G428" s="2" t="str">
        <f>IFERROR(__xludf.DUMMYFUNCTION("IF('From Order'!$A428=COLUMNS($A428:G447), LEFT(INDEX(FILTER(G$1:G427, G$1:G427&lt;&gt;""""),COUNTA(FILTER(G$1:G427, G$1:G427&lt;&gt;""""))), LEN(INDEX(FILTER(G$1:G427, G$1:G427&lt;&gt;""""),COUNTA(FILTER(G$1:G427, G$1:G427&lt;&gt;""""))))-1), IF('To Order'!$A428=COLUMNS($A428:G"&amp;"447), G427&amp;RIGHT(INDIRECT(ADDRESS(ROW(G428)-1, 'From Order'!$A428)), 1), G427))"),"LJ")</f>
        <v>LJ</v>
      </c>
      <c r="H428" s="2" t="str">
        <f>IFERROR(__xludf.DUMMYFUNCTION("IF('From Order'!$A428=COLUMNS($A428:H447), LEFT(INDEX(FILTER(H$1:H427, H$1:H427&lt;&gt;""""),COUNTA(FILTER(H$1:H427, H$1:H427&lt;&gt;""""))), LEN(INDEX(FILTER(H$1:H427, H$1:H427&lt;&gt;""""),COUNTA(FILTER(H$1:H427, H$1:H427&lt;&gt;""""))))-1), IF('To Order'!$A428=COLUMNS($A428:H"&amp;"447), H427&amp;RIGHT(INDIRECT(ADDRESS(ROW(H428)-1, 'From Order'!$A428)), 1), H427))"),"")</f>
        <v/>
      </c>
      <c r="I428" s="2" t="str">
        <f>IFERROR(__xludf.DUMMYFUNCTION("IF('From Order'!$A428=COLUMNS($A428:I447), LEFT(INDEX(FILTER(I$1:I427, I$1:I427&lt;&gt;""""),COUNTA(FILTER(I$1:I427, I$1:I427&lt;&gt;""""))), LEN(INDEX(FILTER(I$1:I427, I$1:I427&lt;&gt;""""),COUNTA(FILTER(I$1:I427, I$1:I427&lt;&gt;""""))))-1), IF('To Order'!$A428=COLUMNS($A428:I"&amp;"447), I427&amp;RIGHT(INDIRECT(ADDRESS(ROW(I428)-1, 'From Order'!$A428)), 1), I427))"),"")</f>
        <v/>
      </c>
    </row>
    <row r="429">
      <c r="A429" s="2" t="str">
        <f>IFERROR(__xludf.DUMMYFUNCTION("IF('From Order'!$A429=COLUMNS($A429:A448), LEFT(INDEX(FILTER(A$1:A428, A$1:A428&lt;&gt;""""),COUNTA(FILTER(A$1:A428, A$1:A428&lt;&gt;""""))), LEN(INDEX(FILTER(A$1:A428, A$1:A428&lt;&gt;""""),COUNTA(FILTER(A$1:A428, A$1:A428&lt;&gt;""""))))-1), IF('To Order'!$A429=COLUMNS($A429:A"&amp;"448), A428&amp;RIGHT(INDIRECT(ADDRESS(ROW(A429)-1, 'From Order'!$A429)), 1), A428))"),"CTFTMQCDTRLDRWTJT")</f>
        <v>CTFTMQCDTRLDRWTJT</v>
      </c>
      <c r="B429" s="2" t="str">
        <f>IFERROR(__xludf.DUMMYFUNCTION("IF('From Order'!$A429=COLUMNS($A429:B448), LEFT(INDEX(FILTER(B$1:B428, B$1:B428&lt;&gt;""""),COUNTA(FILTER(B$1:B428, B$1:B428&lt;&gt;""""))), LEN(INDEX(FILTER(B$1:B428, B$1:B428&lt;&gt;""""),COUNTA(FILTER(B$1:B428, B$1:B428&lt;&gt;""""))))-1), IF('To Order'!$A429=COLUMNS($A429:B"&amp;"448), B428&amp;RIGHT(INDIRECT(ADDRESS(ROW(B429)-1, 'From Order'!$A429)), 1), B428))"),"JZRLBSGDTDDZM")</f>
        <v>JZRLBSGDTDDZM</v>
      </c>
      <c r="C429" s="2" t="str">
        <f>IFERROR(__xludf.DUMMYFUNCTION("IF('From Order'!$A429=COLUMNS($A429:C448), LEFT(INDEX(FILTER(C$1:C428, C$1:C428&lt;&gt;""""),COUNTA(FILTER(C$1:C428, C$1:C428&lt;&gt;""""))), LEN(INDEX(FILTER(C$1:C428, C$1:C428&lt;&gt;""""),COUNTA(FILTER(C$1:C428, C$1:C428&lt;&gt;""""))))-1), IF('To Order'!$A429=COLUMNS($A429:C"&amp;"448), C428&amp;RIGHT(INDIRECT(ADDRESS(ROW(C429)-1, 'From Order'!$A429)), 1), C428))"),"SMFBBRQPDSSGHWPBCV")</f>
        <v>SMFBBRQPDSSGHWPBCV</v>
      </c>
      <c r="D429" s="2" t="str">
        <f>IFERROR(__xludf.DUMMYFUNCTION("IF('From Order'!$A429=COLUMNS($A429:D448), LEFT(INDEX(FILTER(D$1:D428, D$1:D428&lt;&gt;""""),COUNTA(FILTER(D$1:D428, D$1:D428&lt;&gt;""""))), LEN(INDEX(FILTER(D$1:D428, D$1:D428&lt;&gt;""""),COUNTA(FILTER(D$1:D428, D$1:D428&lt;&gt;""""))))-1), IF('To Order'!$A429=COLUMNS($A429:D"&amp;"448), D428&amp;RIGHT(INDIRECT(ADDRESS(ROW(D429)-1, 'From Order'!$A429)), 1), D428))"),"")</f>
        <v/>
      </c>
      <c r="E429" s="2" t="str">
        <f>IFERROR(__xludf.DUMMYFUNCTION("IF('From Order'!$A429=COLUMNS($A429:E448), LEFT(INDEX(FILTER(E$1:E428, E$1:E428&lt;&gt;""""),COUNTA(FILTER(E$1:E428, E$1:E428&lt;&gt;""""))), LEN(INDEX(FILTER(E$1:E428, E$1:E428&lt;&gt;""""),COUNTA(FILTER(E$1:E428, E$1:E428&lt;&gt;""""))))-1), IF('To Order'!$A429=COLUMNS($A429:E"&amp;"448), E428&amp;RIGHT(INDIRECT(ADDRESS(ROW(E429)-1, 'From Order'!$A429)), 1), E428))"),"HZRVPV")</f>
        <v>HZRVPV</v>
      </c>
      <c r="F429" s="2" t="str">
        <f>IFERROR(__xludf.DUMMYFUNCTION("IF('From Order'!$A429=COLUMNS($A429:F448), LEFT(INDEX(FILTER(F$1:F428, F$1:F428&lt;&gt;""""),COUNTA(FILTER(F$1:F428, F$1:F428&lt;&gt;""""))), LEN(INDEX(FILTER(F$1:F428, F$1:F428&lt;&gt;""""),COUNTA(FILTER(F$1:F428, F$1:F428&lt;&gt;""""))))-1), IF('To Order'!$A429=COLUMNS($A429:F"&amp;"448), F428&amp;RIGHT(INDIRECT(ADDRESS(ROW(F429)-1, 'From Order'!$A429)), 1), F428))"),"")</f>
        <v/>
      </c>
      <c r="G429" s="2" t="str">
        <f>IFERROR(__xludf.DUMMYFUNCTION("IF('From Order'!$A429=COLUMNS($A429:G448), LEFT(INDEX(FILTER(G$1:G428, G$1:G428&lt;&gt;""""),COUNTA(FILTER(G$1:G428, G$1:G428&lt;&gt;""""))), LEN(INDEX(FILTER(G$1:G428, G$1:G428&lt;&gt;""""),COUNTA(FILTER(G$1:G428, G$1:G428&lt;&gt;""""))))-1), IF('To Order'!$A429=COLUMNS($A429:G"&amp;"448), G428&amp;RIGHT(INDIRECT(ADDRESS(ROW(G429)-1, 'From Order'!$A429)), 1), G428))"),"LJ")</f>
        <v>LJ</v>
      </c>
      <c r="H429" s="2" t="str">
        <f>IFERROR(__xludf.DUMMYFUNCTION("IF('From Order'!$A429=COLUMNS($A429:H448), LEFT(INDEX(FILTER(H$1:H428, H$1:H428&lt;&gt;""""),COUNTA(FILTER(H$1:H428, H$1:H428&lt;&gt;""""))), LEN(INDEX(FILTER(H$1:H428, H$1:H428&lt;&gt;""""),COUNTA(FILTER(H$1:H428, H$1:H428&lt;&gt;""""))))-1), IF('To Order'!$A429=COLUMNS($A429:H"&amp;"448), H428&amp;RIGHT(INDIRECT(ADDRESS(ROW(H429)-1, 'From Order'!$A429)), 1), H428))"),"")</f>
        <v/>
      </c>
      <c r="I429" s="2" t="str">
        <f>IFERROR(__xludf.DUMMYFUNCTION("IF('From Order'!$A429=COLUMNS($A429:I448), LEFT(INDEX(FILTER(I$1:I428, I$1:I428&lt;&gt;""""),COUNTA(FILTER(I$1:I428, I$1:I428&lt;&gt;""""))), LEN(INDEX(FILTER(I$1:I428, I$1:I428&lt;&gt;""""),COUNTA(FILTER(I$1:I428, I$1:I428&lt;&gt;""""))))-1), IF('To Order'!$A429=COLUMNS($A429:I"&amp;"448), I428&amp;RIGHT(INDIRECT(ADDRESS(ROW(I429)-1, 'From Order'!$A429)), 1), I428))"),"")</f>
        <v/>
      </c>
    </row>
    <row r="430">
      <c r="A430" s="2" t="str">
        <f>IFERROR(__xludf.DUMMYFUNCTION("IF('From Order'!$A430=COLUMNS($A430:A449), LEFT(INDEX(FILTER(A$1:A429, A$1:A429&lt;&gt;""""),COUNTA(FILTER(A$1:A429, A$1:A429&lt;&gt;""""))), LEN(INDEX(FILTER(A$1:A429, A$1:A429&lt;&gt;""""),COUNTA(FILTER(A$1:A429, A$1:A429&lt;&gt;""""))))-1), IF('To Order'!$A430=COLUMNS($A430:A"&amp;"449), A429&amp;RIGHT(INDIRECT(ADDRESS(ROW(A430)-1, 'From Order'!$A430)), 1), A429))"),"CTFTMQCDTRLDRWTJ")</f>
        <v>CTFTMQCDTRLDRWTJ</v>
      </c>
      <c r="B430" s="2" t="str">
        <f>IFERROR(__xludf.DUMMYFUNCTION("IF('From Order'!$A430=COLUMNS($A430:B449), LEFT(INDEX(FILTER(B$1:B429, B$1:B429&lt;&gt;""""),COUNTA(FILTER(B$1:B429, B$1:B429&lt;&gt;""""))), LEN(INDEX(FILTER(B$1:B429, B$1:B429&lt;&gt;""""),COUNTA(FILTER(B$1:B429, B$1:B429&lt;&gt;""""))))-1), IF('To Order'!$A430=COLUMNS($A430:B"&amp;"449), B429&amp;RIGHT(INDIRECT(ADDRESS(ROW(B430)-1, 'From Order'!$A430)), 1), B429))"),"JZRLBSGDTDDZM")</f>
        <v>JZRLBSGDTDDZM</v>
      </c>
      <c r="C430" s="2" t="str">
        <f>IFERROR(__xludf.DUMMYFUNCTION("IF('From Order'!$A430=COLUMNS($A430:C449), LEFT(INDEX(FILTER(C$1:C429, C$1:C429&lt;&gt;""""),COUNTA(FILTER(C$1:C429, C$1:C429&lt;&gt;""""))), LEN(INDEX(FILTER(C$1:C429, C$1:C429&lt;&gt;""""),COUNTA(FILTER(C$1:C429, C$1:C429&lt;&gt;""""))))-1), IF('To Order'!$A430=COLUMNS($A430:C"&amp;"449), C429&amp;RIGHT(INDIRECT(ADDRESS(ROW(C430)-1, 'From Order'!$A430)), 1), C429))"),"SMFBBRQPDSSGHWPBCVT")</f>
        <v>SMFBBRQPDSSGHWPBCVT</v>
      </c>
      <c r="D430" s="2" t="str">
        <f>IFERROR(__xludf.DUMMYFUNCTION("IF('From Order'!$A430=COLUMNS($A430:D449), LEFT(INDEX(FILTER(D$1:D429, D$1:D429&lt;&gt;""""),COUNTA(FILTER(D$1:D429, D$1:D429&lt;&gt;""""))), LEN(INDEX(FILTER(D$1:D429, D$1:D429&lt;&gt;""""),COUNTA(FILTER(D$1:D429, D$1:D429&lt;&gt;""""))))-1), IF('To Order'!$A430=COLUMNS($A430:D"&amp;"449), D429&amp;RIGHT(INDIRECT(ADDRESS(ROW(D430)-1, 'From Order'!$A430)), 1), D429))"),"")</f>
        <v/>
      </c>
      <c r="E430" s="2" t="str">
        <f>IFERROR(__xludf.DUMMYFUNCTION("IF('From Order'!$A430=COLUMNS($A430:E449), LEFT(INDEX(FILTER(E$1:E429, E$1:E429&lt;&gt;""""),COUNTA(FILTER(E$1:E429, E$1:E429&lt;&gt;""""))), LEN(INDEX(FILTER(E$1:E429, E$1:E429&lt;&gt;""""),COUNTA(FILTER(E$1:E429, E$1:E429&lt;&gt;""""))))-1), IF('To Order'!$A430=COLUMNS($A430:E"&amp;"449), E429&amp;RIGHT(INDIRECT(ADDRESS(ROW(E430)-1, 'From Order'!$A430)), 1), E429))"),"HZRVPV")</f>
        <v>HZRVPV</v>
      </c>
      <c r="F430" s="2" t="str">
        <f>IFERROR(__xludf.DUMMYFUNCTION("IF('From Order'!$A430=COLUMNS($A430:F449), LEFT(INDEX(FILTER(F$1:F429, F$1:F429&lt;&gt;""""),COUNTA(FILTER(F$1:F429, F$1:F429&lt;&gt;""""))), LEN(INDEX(FILTER(F$1:F429, F$1:F429&lt;&gt;""""),COUNTA(FILTER(F$1:F429, F$1:F429&lt;&gt;""""))))-1), IF('To Order'!$A430=COLUMNS($A430:F"&amp;"449), F429&amp;RIGHT(INDIRECT(ADDRESS(ROW(F430)-1, 'From Order'!$A430)), 1), F429))"),"")</f>
        <v/>
      </c>
      <c r="G430" s="2" t="str">
        <f>IFERROR(__xludf.DUMMYFUNCTION("IF('From Order'!$A430=COLUMNS($A430:G449), LEFT(INDEX(FILTER(G$1:G429, G$1:G429&lt;&gt;""""),COUNTA(FILTER(G$1:G429, G$1:G429&lt;&gt;""""))), LEN(INDEX(FILTER(G$1:G429, G$1:G429&lt;&gt;""""),COUNTA(FILTER(G$1:G429, G$1:G429&lt;&gt;""""))))-1), IF('To Order'!$A430=COLUMNS($A430:G"&amp;"449), G429&amp;RIGHT(INDIRECT(ADDRESS(ROW(G430)-1, 'From Order'!$A430)), 1), G429))"),"LJ")</f>
        <v>LJ</v>
      </c>
      <c r="H430" s="2" t="str">
        <f>IFERROR(__xludf.DUMMYFUNCTION("IF('From Order'!$A430=COLUMNS($A430:H449), LEFT(INDEX(FILTER(H$1:H429, H$1:H429&lt;&gt;""""),COUNTA(FILTER(H$1:H429, H$1:H429&lt;&gt;""""))), LEN(INDEX(FILTER(H$1:H429, H$1:H429&lt;&gt;""""),COUNTA(FILTER(H$1:H429, H$1:H429&lt;&gt;""""))))-1), IF('To Order'!$A430=COLUMNS($A430:H"&amp;"449), H429&amp;RIGHT(INDIRECT(ADDRESS(ROW(H430)-1, 'From Order'!$A430)), 1), H429))"),"")</f>
        <v/>
      </c>
      <c r="I430" s="2" t="str">
        <f>IFERROR(__xludf.DUMMYFUNCTION("IF('From Order'!$A430=COLUMNS($A430:I449), LEFT(INDEX(FILTER(I$1:I429, I$1:I429&lt;&gt;""""),COUNTA(FILTER(I$1:I429, I$1:I429&lt;&gt;""""))), LEN(INDEX(FILTER(I$1:I429, I$1:I429&lt;&gt;""""),COUNTA(FILTER(I$1:I429, I$1:I429&lt;&gt;""""))))-1), IF('To Order'!$A430=COLUMNS($A430:I"&amp;"449), I429&amp;RIGHT(INDIRECT(ADDRESS(ROW(I430)-1, 'From Order'!$A430)), 1), I429))"),"")</f>
        <v/>
      </c>
    </row>
    <row r="431">
      <c r="A431" s="2" t="str">
        <f>IFERROR(__xludf.DUMMYFUNCTION("IF('From Order'!$A431=COLUMNS($A431:A450), LEFT(INDEX(FILTER(A$1:A430, A$1:A430&lt;&gt;""""),COUNTA(FILTER(A$1:A430, A$1:A430&lt;&gt;""""))), LEN(INDEX(FILTER(A$1:A430, A$1:A430&lt;&gt;""""),COUNTA(FILTER(A$1:A430, A$1:A430&lt;&gt;""""))))-1), IF('To Order'!$A431=COLUMNS($A431:A"&amp;"450), A430&amp;RIGHT(INDIRECT(ADDRESS(ROW(A431)-1, 'From Order'!$A431)), 1), A430))"),"CTFTMQCDTRLDRWT")</f>
        <v>CTFTMQCDTRLDRWT</v>
      </c>
      <c r="B431" s="2" t="str">
        <f>IFERROR(__xludf.DUMMYFUNCTION("IF('From Order'!$A431=COLUMNS($A431:B450), LEFT(INDEX(FILTER(B$1:B430, B$1:B430&lt;&gt;""""),COUNTA(FILTER(B$1:B430, B$1:B430&lt;&gt;""""))), LEN(INDEX(FILTER(B$1:B430, B$1:B430&lt;&gt;""""),COUNTA(FILTER(B$1:B430, B$1:B430&lt;&gt;""""))))-1), IF('To Order'!$A431=COLUMNS($A431:B"&amp;"450), B430&amp;RIGHT(INDIRECT(ADDRESS(ROW(B431)-1, 'From Order'!$A431)), 1), B430))"),"JZRLBSGDTDDZM")</f>
        <v>JZRLBSGDTDDZM</v>
      </c>
      <c r="C431" s="2" t="str">
        <f>IFERROR(__xludf.DUMMYFUNCTION("IF('From Order'!$A431=COLUMNS($A431:C450), LEFT(INDEX(FILTER(C$1:C430, C$1:C430&lt;&gt;""""),COUNTA(FILTER(C$1:C430, C$1:C430&lt;&gt;""""))), LEN(INDEX(FILTER(C$1:C430, C$1:C430&lt;&gt;""""),COUNTA(FILTER(C$1:C430, C$1:C430&lt;&gt;""""))))-1), IF('To Order'!$A431=COLUMNS($A431:C"&amp;"450), C430&amp;RIGHT(INDIRECT(ADDRESS(ROW(C431)-1, 'From Order'!$A431)), 1), C430))"),"SMFBBRQPDSSGHWPBCVTJ")</f>
        <v>SMFBBRQPDSSGHWPBCVTJ</v>
      </c>
      <c r="D431" s="2" t="str">
        <f>IFERROR(__xludf.DUMMYFUNCTION("IF('From Order'!$A431=COLUMNS($A431:D450), LEFT(INDEX(FILTER(D$1:D430, D$1:D430&lt;&gt;""""),COUNTA(FILTER(D$1:D430, D$1:D430&lt;&gt;""""))), LEN(INDEX(FILTER(D$1:D430, D$1:D430&lt;&gt;""""),COUNTA(FILTER(D$1:D430, D$1:D430&lt;&gt;""""))))-1), IF('To Order'!$A431=COLUMNS($A431:D"&amp;"450), D430&amp;RIGHT(INDIRECT(ADDRESS(ROW(D431)-1, 'From Order'!$A431)), 1), D430))"),"")</f>
        <v/>
      </c>
      <c r="E431" s="2" t="str">
        <f>IFERROR(__xludf.DUMMYFUNCTION("IF('From Order'!$A431=COLUMNS($A431:E450), LEFT(INDEX(FILTER(E$1:E430, E$1:E430&lt;&gt;""""),COUNTA(FILTER(E$1:E430, E$1:E430&lt;&gt;""""))), LEN(INDEX(FILTER(E$1:E430, E$1:E430&lt;&gt;""""),COUNTA(FILTER(E$1:E430, E$1:E430&lt;&gt;""""))))-1), IF('To Order'!$A431=COLUMNS($A431:E"&amp;"450), E430&amp;RIGHT(INDIRECT(ADDRESS(ROW(E431)-1, 'From Order'!$A431)), 1), E430))"),"HZRVPV")</f>
        <v>HZRVPV</v>
      </c>
      <c r="F431" s="2" t="str">
        <f>IFERROR(__xludf.DUMMYFUNCTION("IF('From Order'!$A431=COLUMNS($A431:F450), LEFT(INDEX(FILTER(F$1:F430, F$1:F430&lt;&gt;""""),COUNTA(FILTER(F$1:F430, F$1:F430&lt;&gt;""""))), LEN(INDEX(FILTER(F$1:F430, F$1:F430&lt;&gt;""""),COUNTA(FILTER(F$1:F430, F$1:F430&lt;&gt;""""))))-1), IF('To Order'!$A431=COLUMNS($A431:F"&amp;"450), F430&amp;RIGHT(INDIRECT(ADDRESS(ROW(F431)-1, 'From Order'!$A431)), 1), F430))"),"")</f>
        <v/>
      </c>
      <c r="G431" s="2" t="str">
        <f>IFERROR(__xludf.DUMMYFUNCTION("IF('From Order'!$A431=COLUMNS($A431:G450), LEFT(INDEX(FILTER(G$1:G430, G$1:G430&lt;&gt;""""),COUNTA(FILTER(G$1:G430, G$1:G430&lt;&gt;""""))), LEN(INDEX(FILTER(G$1:G430, G$1:G430&lt;&gt;""""),COUNTA(FILTER(G$1:G430, G$1:G430&lt;&gt;""""))))-1), IF('To Order'!$A431=COLUMNS($A431:G"&amp;"450), G430&amp;RIGHT(INDIRECT(ADDRESS(ROW(G431)-1, 'From Order'!$A431)), 1), G430))"),"LJ")</f>
        <v>LJ</v>
      </c>
      <c r="H431" s="2" t="str">
        <f>IFERROR(__xludf.DUMMYFUNCTION("IF('From Order'!$A431=COLUMNS($A431:H450), LEFT(INDEX(FILTER(H$1:H430, H$1:H430&lt;&gt;""""),COUNTA(FILTER(H$1:H430, H$1:H430&lt;&gt;""""))), LEN(INDEX(FILTER(H$1:H430, H$1:H430&lt;&gt;""""),COUNTA(FILTER(H$1:H430, H$1:H430&lt;&gt;""""))))-1), IF('To Order'!$A431=COLUMNS($A431:H"&amp;"450), H430&amp;RIGHT(INDIRECT(ADDRESS(ROW(H431)-1, 'From Order'!$A431)), 1), H430))"),"")</f>
        <v/>
      </c>
      <c r="I431" s="2" t="str">
        <f>IFERROR(__xludf.DUMMYFUNCTION("IF('From Order'!$A431=COLUMNS($A431:I450), LEFT(INDEX(FILTER(I$1:I430, I$1:I430&lt;&gt;""""),COUNTA(FILTER(I$1:I430, I$1:I430&lt;&gt;""""))), LEN(INDEX(FILTER(I$1:I430, I$1:I430&lt;&gt;""""),COUNTA(FILTER(I$1:I430, I$1:I430&lt;&gt;""""))))-1), IF('To Order'!$A431=COLUMNS($A431:I"&amp;"450), I430&amp;RIGHT(INDIRECT(ADDRESS(ROW(I431)-1, 'From Order'!$A431)), 1), I430))"),"")</f>
        <v/>
      </c>
    </row>
    <row r="432">
      <c r="A432" s="2" t="str">
        <f>IFERROR(__xludf.DUMMYFUNCTION("IF('From Order'!$A432=COLUMNS($A432:A451), LEFT(INDEX(FILTER(A$1:A431, A$1:A431&lt;&gt;""""),COUNTA(FILTER(A$1:A431, A$1:A431&lt;&gt;""""))), LEN(INDEX(FILTER(A$1:A431, A$1:A431&lt;&gt;""""),COUNTA(FILTER(A$1:A431, A$1:A431&lt;&gt;""""))))-1), IF('To Order'!$A432=COLUMNS($A432:A"&amp;"451), A431&amp;RIGHT(INDIRECT(ADDRESS(ROW(A432)-1, 'From Order'!$A432)), 1), A431))"),"CTFTMQCDTRLDRW")</f>
        <v>CTFTMQCDTRLDRW</v>
      </c>
      <c r="B432" s="2" t="str">
        <f>IFERROR(__xludf.DUMMYFUNCTION("IF('From Order'!$A432=COLUMNS($A432:B451), LEFT(INDEX(FILTER(B$1:B431, B$1:B431&lt;&gt;""""),COUNTA(FILTER(B$1:B431, B$1:B431&lt;&gt;""""))), LEN(INDEX(FILTER(B$1:B431, B$1:B431&lt;&gt;""""),COUNTA(FILTER(B$1:B431, B$1:B431&lt;&gt;""""))))-1), IF('To Order'!$A432=COLUMNS($A432:B"&amp;"451), B431&amp;RIGHT(INDIRECT(ADDRESS(ROW(B432)-1, 'From Order'!$A432)), 1), B431))"),"JZRLBSGDTDDZM")</f>
        <v>JZRLBSGDTDDZM</v>
      </c>
      <c r="C432" s="2" t="str">
        <f>IFERROR(__xludf.DUMMYFUNCTION("IF('From Order'!$A432=COLUMNS($A432:C451), LEFT(INDEX(FILTER(C$1:C431, C$1:C431&lt;&gt;""""),COUNTA(FILTER(C$1:C431, C$1:C431&lt;&gt;""""))), LEN(INDEX(FILTER(C$1:C431, C$1:C431&lt;&gt;""""),COUNTA(FILTER(C$1:C431, C$1:C431&lt;&gt;""""))))-1), IF('To Order'!$A432=COLUMNS($A432:C"&amp;"451), C431&amp;RIGHT(INDIRECT(ADDRESS(ROW(C432)-1, 'From Order'!$A432)), 1), C431))"),"SMFBBRQPDSSGHWPBCVTJT")</f>
        <v>SMFBBRQPDSSGHWPBCVTJT</v>
      </c>
      <c r="D432" s="2" t="str">
        <f>IFERROR(__xludf.DUMMYFUNCTION("IF('From Order'!$A432=COLUMNS($A432:D451), LEFT(INDEX(FILTER(D$1:D431, D$1:D431&lt;&gt;""""),COUNTA(FILTER(D$1:D431, D$1:D431&lt;&gt;""""))), LEN(INDEX(FILTER(D$1:D431, D$1:D431&lt;&gt;""""),COUNTA(FILTER(D$1:D431, D$1:D431&lt;&gt;""""))))-1), IF('To Order'!$A432=COLUMNS($A432:D"&amp;"451), D431&amp;RIGHT(INDIRECT(ADDRESS(ROW(D432)-1, 'From Order'!$A432)), 1), D431))"),"")</f>
        <v/>
      </c>
      <c r="E432" s="2" t="str">
        <f>IFERROR(__xludf.DUMMYFUNCTION("IF('From Order'!$A432=COLUMNS($A432:E451), LEFT(INDEX(FILTER(E$1:E431, E$1:E431&lt;&gt;""""),COUNTA(FILTER(E$1:E431, E$1:E431&lt;&gt;""""))), LEN(INDEX(FILTER(E$1:E431, E$1:E431&lt;&gt;""""),COUNTA(FILTER(E$1:E431, E$1:E431&lt;&gt;""""))))-1), IF('To Order'!$A432=COLUMNS($A432:E"&amp;"451), E431&amp;RIGHT(INDIRECT(ADDRESS(ROW(E432)-1, 'From Order'!$A432)), 1), E431))"),"HZRVPV")</f>
        <v>HZRVPV</v>
      </c>
      <c r="F432" s="2" t="str">
        <f>IFERROR(__xludf.DUMMYFUNCTION("IF('From Order'!$A432=COLUMNS($A432:F451), LEFT(INDEX(FILTER(F$1:F431, F$1:F431&lt;&gt;""""),COUNTA(FILTER(F$1:F431, F$1:F431&lt;&gt;""""))), LEN(INDEX(FILTER(F$1:F431, F$1:F431&lt;&gt;""""),COUNTA(FILTER(F$1:F431, F$1:F431&lt;&gt;""""))))-1), IF('To Order'!$A432=COLUMNS($A432:F"&amp;"451), F431&amp;RIGHT(INDIRECT(ADDRESS(ROW(F432)-1, 'From Order'!$A432)), 1), F431))"),"")</f>
        <v/>
      </c>
      <c r="G432" s="2" t="str">
        <f>IFERROR(__xludf.DUMMYFUNCTION("IF('From Order'!$A432=COLUMNS($A432:G451), LEFT(INDEX(FILTER(G$1:G431, G$1:G431&lt;&gt;""""),COUNTA(FILTER(G$1:G431, G$1:G431&lt;&gt;""""))), LEN(INDEX(FILTER(G$1:G431, G$1:G431&lt;&gt;""""),COUNTA(FILTER(G$1:G431, G$1:G431&lt;&gt;""""))))-1), IF('To Order'!$A432=COLUMNS($A432:G"&amp;"451), G431&amp;RIGHT(INDIRECT(ADDRESS(ROW(G432)-1, 'From Order'!$A432)), 1), G431))"),"LJ")</f>
        <v>LJ</v>
      </c>
      <c r="H432" s="2" t="str">
        <f>IFERROR(__xludf.DUMMYFUNCTION("IF('From Order'!$A432=COLUMNS($A432:H451), LEFT(INDEX(FILTER(H$1:H431, H$1:H431&lt;&gt;""""),COUNTA(FILTER(H$1:H431, H$1:H431&lt;&gt;""""))), LEN(INDEX(FILTER(H$1:H431, H$1:H431&lt;&gt;""""),COUNTA(FILTER(H$1:H431, H$1:H431&lt;&gt;""""))))-1), IF('To Order'!$A432=COLUMNS($A432:H"&amp;"451), H431&amp;RIGHT(INDIRECT(ADDRESS(ROW(H432)-1, 'From Order'!$A432)), 1), H431))"),"")</f>
        <v/>
      </c>
      <c r="I432" s="2" t="str">
        <f>IFERROR(__xludf.DUMMYFUNCTION("IF('From Order'!$A432=COLUMNS($A432:I451), LEFT(INDEX(FILTER(I$1:I431, I$1:I431&lt;&gt;""""),COUNTA(FILTER(I$1:I431, I$1:I431&lt;&gt;""""))), LEN(INDEX(FILTER(I$1:I431, I$1:I431&lt;&gt;""""),COUNTA(FILTER(I$1:I431, I$1:I431&lt;&gt;""""))))-1), IF('To Order'!$A432=COLUMNS($A432:I"&amp;"451), I431&amp;RIGHT(INDIRECT(ADDRESS(ROW(I432)-1, 'From Order'!$A432)), 1), I431))"),"")</f>
        <v/>
      </c>
    </row>
    <row r="433">
      <c r="A433" s="2" t="str">
        <f>IFERROR(__xludf.DUMMYFUNCTION("IF('From Order'!$A433=COLUMNS($A433:A452), LEFT(INDEX(FILTER(A$1:A432, A$1:A432&lt;&gt;""""),COUNTA(FILTER(A$1:A432, A$1:A432&lt;&gt;""""))), LEN(INDEX(FILTER(A$1:A432, A$1:A432&lt;&gt;""""),COUNTA(FILTER(A$1:A432, A$1:A432&lt;&gt;""""))))-1), IF('To Order'!$A433=COLUMNS($A433:A"&amp;"452), A432&amp;RIGHT(INDIRECT(ADDRESS(ROW(A433)-1, 'From Order'!$A433)), 1), A432))"),"CTFTMQCDTRLDR")</f>
        <v>CTFTMQCDTRLDR</v>
      </c>
      <c r="B433" s="2" t="str">
        <f>IFERROR(__xludf.DUMMYFUNCTION("IF('From Order'!$A433=COLUMNS($A433:B452), LEFT(INDEX(FILTER(B$1:B432, B$1:B432&lt;&gt;""""),COUNTA(FILTER(B$1:B432, B$1:B432&lt;&gt;""""))), LEN(INDEX(FILTER(B$1:B432, B$1:B432&lt;&gt;""""),COUNTA(FILTER(B$1:B432, B$1:B432&lt;&gt;""""))))-1), IF('To Order'!$A433=COLUMNS($A433:B"&amp;"452), B432&amp;RIGHT(INDIRECT(ADDRESS(ROW(B433)-1, 'From Order'!$A433)), 1), B432))"),"JZRLBSGDTDDZM")</f>
        <v>JZRLBSGDTDDZM</v>
      </c>
      <c r="C433" s="2" t="str">
        <f>IFERROR(__xludf.DUMMYFUNCTION("IF('From Order'!$A433=COLUMNS($A433:C452), LEFT(INDEX(FILTER(C$1:C432, C$1:C432&lt;&gt;""""),COUNTA(FILTER(C$1:C432, C$1:C432&lt;&gt;""""))), LEN(INDEX(FILTER(C$1:C432, C$1:C432&lt;&gt;""""),COUNTA(FILTER(C$1:C432, C$1:C432&lt;&gt;""""))))-1), IF('To Order'!$A433=COLUMNS($A433:C"&amp;"452), C432&amp;RIGHT(INDIRECT(ADDRESS(ROW(C433)-1, 'From Order'!$A433)), 1), C432))"),"SMFBBRQPDSSGHWPBCVTJTW")</f>
        <v>SMFBBRQPDSSGHWPBCVTJTW</v>
      </c>
      <c r="D433" s="2" t="str">
        <f>IFERROR(__xludf.DUMMYFUNCTION("IF('From Order'!$A433=COLUMNS($A433:D452), LEFT(INDEX(FILTER(D$1:D432, D$1:D432&lt;&gt;""""),COUNTA(FILTER(D$1:D432, D$1:D432&lt;&gt;""""))), LEN(INDEX(FILTER(D$1:D432, D$1:D432&lt;&gt;""""),COUNTA(FILTER(D$1:D432, D$1:D432&lt;&gt;""""))))-1), IF('To Order'!$A433=COLUMNS($A433:D"&amp;"452), D432&amp;RIGHT(INDIRECT(ADDRESS(ROW(D433)-1, 'From Order'!$A433)), 1), D432))"),"")</f>
        <v/>
      </c>
      <c r="E433" s="2" t="str">
        <f>IFERROR(__xludf.DUMMYFUNCTION("IF('From Order'!$A433=COLUMNS($A433:E452), LEFT(INDEX(FILTER(E$1:E432, E$1:E432&lt;&gt;""""),COUNTA(FILTER(E$1:E432, E$1:E432&lt;&gt;""""))), LEN(INDEX(FILTER(E$1:E432, E$1:E432&lt;&gt;""""),COUNTA(FILTER(E$1:E432, E$1:E432&lt;&gt;""""))))-1), IF('To Order'!$A433=COLUMNS($A433:E"&amp;"452), E432&amp;RIGHT(INDIRECT(ADDRESS(ROW(E433)-1, 'From Order'!$A433)), 1), E432))"),"HZRVPV")</f>
        <v>HZRVPV</v>
      </c>
      <c r="F433" s="2" t="str">
        <f>IFERROR(__xludf.DUMMYFUNCTION("IF('From Order'!$A433=COLUMNS($A433:F452), LEFT(INDEX(FILTER(F$1:F432, F$1:F432&lt;&gt;""""),COUNTA(FILTER(F$1:F432, F$1:F432&lt;&gt;""""))), LEN(INDEX(FILTER(F$1:F432, F$1:F432&lt;&gt;""""),COUNTA(FILTER(F$1:F432, F$1:F432&lt;&gt;""""))))-1), IF('To Order'!$A433=COLUMNS($A433:F"&amp;"452), F432&amp;RIGHT(INDIRECT(ADDRESS(ROW(F433)-1, 'From Order'!$A433)), 1), F432))"),"")</f>
        <v/>
      </c>
      <c r="G433" s="2" t="str">
        <f>IFERROR(__xludf.DUMMYFUNCTION("IF('From Order'!$A433=COLUMNS($A433:G452), LEFT(INDEX(FILTER(G$1:G432, G$1:G432&lt;&gt;""""),COUNTA(FILTER(G$1:G432, G$1:G432&lt;&gt;""""))), LEN(INDEX(FILTER(G$1:G432, G$1:G432&lt;&gt;""""),COUNTA(FILTER(G$1:G432, G$1:G432&lt;&gt;""""))))-1), IF('To Order'!$A433=COLUMNS($A433:G"&amp;"452), G432&amp;RIGHT(INDIRECT(ADDRESS(ROW(G433)-1, 'From Order'!$A433)), 1), G432))"),"LJ")</f>
        <v>LJ</v>
      </c>
      <c r="H433" s="2" t="str">
        <f>IFERROR(__xludf.DUMMYFUNCTION("IF('From Order'!$A433=COLUMNS($A433:H452), LEFT(INDEX(FILTER(H$1:H432, H$1:H432&lt;&gt;""""),COUNTA(FILTER(H$1:H432, H$1:H432&lt;&gt;""""))), LEN(INDEX(FILTER(H$1:H432, H$1:H432&lt;&gt;""""),COUNTA(FILTER(H$1:H432, H$1:H432&lt;&gt;""""))))-1), IF('To Order'!$A433=COLUMNS($A433:H"&amp;"452), H432&amp;RIGHT(INDIRECT(ADDRESS(ROW(H433)-1, 'From Order'!$A433)), 1), H432))"),"")</f>
        <v/>
      </c>
      <c r="I433" s="2" t="str">
        <f>IFERROR(__xludf.DUMMYFUNCTION("IF('From Order'!$A433=COLUMNS($A433:I452), LEFT(INDEX(FILTER(I$1:I432, I$1:I432&lt;&gt;""""),COUNTA(FILTER(I$1:I432, I$1:I432&lt;&gt;""""))), LEN(INDEX(FILTER(I$1:I432, I$1:I432&lt;&gt;""""),COUNTA(FILTER(I$1:I432, I$1:I432&lt;&gt;""""))))-1), IF('To Order'!$A433=COLUMNS($A433:I"&amp;"452), I432&amp;RIGHT(INDIRECT(ADDRESS(ROW(I433)-1, 'From Order'!$A433)), 1), I432))"),"")</f>
        <v/>
      </c>
    </row>
    <row r="434">
      <c r="A434" s="2" t="str">
        <f>IFERROR(__xludf.DUMMYFUNCTION("IF('From Order'!$A434=COLUMNS($A434:A453), LEFT(INDEX(FILTER(A$1:A433, A$1:A433&lt;&gt;""""),COUNTA(FILTER(A$1:A433, A$1:A433&lt;&gt;""""))), LEN(INDEX(FILTER(A$1:A433, A$1:A433&lt;&gt;""""),COUNTA(FILTER(A$1:A433, A$1:A433&lt;&gt;""""))))-1), IF('To Order'!$A434=COLUMNS($A434:A"&amp;"453), A433&amp;RIGHT(INDIRECT(ADDRESS(ROW(A434)-1, 'From Order'!$A434)), 1), A433))"),"CTFTMQCDTRLD")</f>
        <v>CTFTMQCDTRLD</v>
      </c>
      <c r="B434" s="2" t="str">
        <f>IFERROR(__xludf.DUMMYFUNCTION("IF('From Order'!$A434=COLUMNS($A434:B453), LEFT(INDEX(FILTER(B$1:B433, B$1:B433&lt;&gt;""""),COUNTA(FILTER(B$1:B433, B$1:B433&lt;&gt;""""))), LEN(INDEX(FILTER(B$1:B433, B$1:B433&lt;&gt;""""),COUNTA(FILTER(B$1:B433, B$1:B433&lt;&gt;""""))))-1), IF('To Order'!$A434=COLUMNS($A434:B"&amp;"453), B433&amp;RIGHT(INDIRECT(ADDRESS(ROW(B434)-1, 'From Order'!$A434)), 1), B433))"),"JZRLBSGDTDDZM")</f>
        <v>JZRLBSGDTDDZM</v>
      </c>
      <c r="C434" s="2" t="str">
        <f>IFERROR(__xludf.DUMMYFUNCTION("IF('From Order'!$A434=COLUMNS($A434:C453), LEFT(INDEX(FILTER(C$1:C433, C$1:C433&lt;&gt;""""),COUNTA(FILTER(C$1:C433, C$1:C433&lt;&gt;""""))), LEN(INDEX(FILTER(C$1:C433, C$1:C433&lt;&gt;""""),COUNTA(FILTER(C$1:C433, C$1:C433&lt;&gt;""""))))-1), IF('To Order'!$A434=COLUMNS($A434:C"&amp;"453), C433&amp;RIGHT(INDIRECT(ADDRESS(ROW(C434)-1, 'From Order'!$A434)), 1), C433))"),"SMFBBRQPDSSGHWPBCVTJTWR")</f>
        <v>SMFBBRQPDSSGHWPBCVTJTWR</v>
      </c>
      <c r="D434" s="2" t="str">
        <f>IFERROR(__xludf.DUMMYFUNCTION("IF('From Order'!$A434=COLUMNS($A434:D453), LEFT(INDEX(FILTER(D$1:D433, D$1:D433&lt;&gt;""""),COUNTA(FILTER(D$1:D433, D$1:D433&lt;&gt;""""))), LEN(INDEX(FILTER(D$1:D433, D$1:D433&lt;&gt;""""),COUNTA(FILTER(D$1:D433, D$1:D433&lt;&gt;""""))))-1), IF('To Order'!$A434=COLUMNS($A434:D"&amp;"453), D433&amp;RIGHT(INDIRECT(ADDRESS(ROW(D434)-1, 'From Order'!$A434)), 1), D433))"),"")</f>
        <v/>
      </c>
      <c r="E434" s="2" t="str">
        <f>IFERROR(__xludf.DUMMYFUNCTION("IF('From Order'!$A434=COLUMNS($A434:E453), LEFT(INDEX(FILTER(E$1:E433, E$1:E433&lt;&gt;""""),COUNTA(FILTER(E$1:E433, E$1:E433&lt;&gt;""""))), LEN(INDEX(FILTER(E$1:E433, E$1:E433&lt;&gt;""""),COUNTA(FILTER(E$1:E433, E$1:E433&lt;&gt;""""))))-1), IF('To Order'!$A434=COLUMNS($A434:E"&amp;"453), E433&amp;RIGHT(INDIRECT(ADDRESS(ROW(E434)-1, 'From Order'!$A434)), 1), E433))"),"HZRVPV")</f>
        <v>HZRVPV</v>
      </c>
      <c r="F434" s="2" t="str">
        <f>IFERROR(__xludf.DUMMYFUNCTION("IF('From Order'!$A434=COLUMNS($A434:F453), LEFT(INDEX(FILTER(F$1:F433, F$1:F433&lt;&gt;""""),COUNTA(FILTER(F$1:F433, F$1:F433&lt;&gt;""""))), LEN(INDEX(FILTER(F$1:F433, F$1:F433&lt;&gt;""""),COUNTA(FILTER(F$1:F433, F$1:F433&lt;&gt;""""))))-1), IF('To Order'!$A434=COLUMNS($A434:F"&amp;"453), F433&amp;RIGHT(INDIRECT(ADDRESS(ROW(F434)-1, 'From Order'!$A434)), 1), F433))"),"")</f>
        <v/>
      </c>
      <c r="G434" s="2" t="str">
        <f>IFERROR(__xludf.DUMMYFUNCTION("IF('From Order'!$A434=COLUMNS($A434:G453), LEFT(INDEX(FILTER(G$1:G433, G$1:G433&lt;&gt;""""),COUNTA(FILTER(G$1:G433, G$1:G433&lt;&gt;""""))), LEN(INDEX(FILTER(G$1:G433, G$1:G433&lt;&gt;""""),COUNTA(FILTER(G$1:G433, G$1:G433&lt;&gt;""""))))-1), IF('To Order'!$A434=COLUMNS($A434:G"&amp;"453), G433&amp;RIGHT(INDIRECT(ADDRESS(ROW(G434)-1, 'From Order'!$A434)), 1), G433))"),"LJ")</f>
        <v>LJ</v>
      </c>
      <c r="H434" s="2" t="str">
        <f>IFERROR(__xludf.DUMMYFUNCTION("IF('From Order'!$A434=COLUMNS($A434:H453), LEFT(INDEX(FILTER(H$1:H433, H$1:H433&lt;&gt;""""),COUNTA(FILTER(H$1:H433, H$1:H433&lt;&gt;""""))), LEN(INDEX(FILTER(H$1:H433, H$1:H433&lt;&gt;""""),COUNTA(FILTER(H$1:H433, H$1:H433&lt;&gt;""""))))-1), IF('To Order'!$A434=COLUMNS($A434:H"&amp;"453), H433&amp;RIGHT(INDIRECT(ADDRESS(ROW(H434)-1, 'From Order'!$A434)), 1), H433))"),"")</f>
        <v/>
      </c>
      <c r="I434" s="2" t="str">
        <f>IFERROR(__xludf.DUMMYFUNCTION("IF('From Order'!$A434=COLUMNS($A434:I453), LEFT(INDEX(FILTER(I$1:I433, I$1:I433&lt;&gt;""""),COUNTA(FILTER(I$1:I433, I$1:I433&lt;&gt;""""))), LEN(INDEX(FILTER(I$1:I433, I$1:I433&lt;&gt;""""),COUNTA(FILTER(I$1:I433, I$1:I433&lt;&gt;""""))))-1), IF('To Order'!$A434=COLUMNS($A434:I"&amp;"453), I433&amp;RIGHT(INDIRECT(ADDRESS(ROW(I434)-1, 'From Order'!$A434)), 1), I433))"),"")</f>
        <v/>
      </c>
    </row>
    <row r="435">
      <c r="A435" s="2" t="str">
        <f>IFERROR(__xludf.DUMMYFUNCTION("IF('From Order'!$A435=COLUMNS($A435:A454), LEFT(INDEX(FILTER(A$1:A434, A$1:A434&lt;&gt;""""),COUNTA(FILTER(A$1:A434, A$1:A434&lt;&gt;""""))), LEN(INDEX(FILTER(A$1:A434, A$1:A434&lt;&gt;""""),COUNTA(FILTER(A$1:A434, A$1:A434&lt;&gt;""""))))-1), IF('To Order'!$A435=COLUMNS($A435:A"&amp;"454), A434&amp;RIGHT(INDIRECT(ADDRESS(ROW(A435)-1, 'From Order'!$A435)), 1), A434))"),"CTFTMQCDTRL")</f>
        <v>CTFTMQCDTRL</v>
      </c>
      <c r="B435" s="2" t="str">
        <f>IFERROR(__xludf.DUMMYFUNCTION("IF('From Order'!$A435=COLUMNS($A435:B454), LEFT(INDEX(FILTER(B$1:B434, B$1:B434&lt;&gt;""""),COUNTA(FILTER(B$1:B434, B$1:B434&lt;&gt;""""))), LEN(INDEX(FILTER(B$1:B434, B$1:B434&lt;&gt;""""),COUNTA(FILTER(B$1:B434, B$1:B434&lt;&gt;""""))))-1), IF('To Order'!$A435=COLUMNS($A435:B"&amp;"454), B434&amp;RIGHT(INDIRECT(ADDRESS(ROW(B435)-1, 'From Order'!$A435)), 1), B434))"),"JZRLBSGDTDDZM")</f>
        <v>JZRLBSGDTDDZM</v>
      </c>
      <c r="C435" s="2" t="str">
        <f>IFERROR(__xludf.DUMMYFUNCTION("IF('From Order'!$A435=COLUMNS($A435:C454), LEFT(INDEX(FILTER(C$1:C434, C$1:C434&lt;&gt;""""),COUNTA(FILTER(C$1:C434, C$1:C434&lt;&gt;""""))), LEN(INDEX(FILTER(C$1:C434, C$1:C434&lt;&gt;""""),COUNTA(FILTER(C$1:C434, C$1:C434&lt;&gt;""""))))-1), IF('To Order'!$A435=COLUMNS($A435:C"&amp;"454), C434&amp;RIGHT(INDIRECT(ADDRESS(ROW(C435)-1, 'From Order'!$A435)), 1), C434))"),"SMFBBRQPDSSGHWPBCVTJTWRD")</f>
        <v>SMFBBRQPDSSGHWPBCVTJTWRD</v>
      </c>
      <c r="D435" s="2" t="str">
        <f>IFERROR(__xludf.DUMMYFUNCTION("IF('From Order'!$A435=COLUMNS($A435:D454), LEFT(INDEX(FILTER(D$1:D434, D$1:D434&lt;&gt;""""),COUNTA(FILTER(D$1:D434, D$1:D434&lt;&gt;""""))), LEN(INDEX(FILTER(D$1:D434, D$1:D434&lt;&gt;""""),COUNTA(FILTER(D$1:D434, D$1:D434&lt;&gt;""""))))-1), IF('To Order'!$A435=COLUMNS($A435:D"&amp;"454), D434&amp;RIGHT(INDIRECT(ADDRESS(ROW(D435)-1, 'From Order'!$A435)), 1), D434))"),"")</f>
        <v/>
      </c>
      <c r="E435" s="2" t="str">
        <f>IFERROR(__xludf.DUMMYFUNCTION("IF('From Order'!$A435=COLUMNS($A435:E454), LEFT(INDEX(FILTER(E$1:E434, E$1:E434&lt;&gt;""""),COUNTA(FILTER(E$1:E434, E$1:E434&lt;&gt;""""))), LEN(INDEX(FILTER(E$1:E434, E$1:E434&lt;&gt;""""),COUNTA(FILTER(E$1:E434, E$1:E434&lt;&gt;""""))))-1), IF('To Order'!$A435=COLUMNS($A435:E"&amp;"454), E434&amp;RIGHT(INDIRECT(ADDRESS(ROW(E435)-1, 'From Order'!$A435)), 1), E434))"),"HZRVPV")</f>
        <v>HZRVPV</v>
      </c>
      <c r="F435" s="2" t="str">
        <f>IFERROR(__xludf.DUMMYFUNCTION("IF('From Order'!$A435=COLUMNS($A435:F454), LEFT(INDEX(FILTER(F$1:F434, F$1:F434&lt;&gt;""""),COUNTA(FILTER(F$1:F434, F$1:F434&lt;&gt;""""))), LEN(INDEX(FILTER(F$1:F434, F$1:F434&lt;&gt;""""),COUNTA(FILTER(F$1:F434, F$1:F434&lt;&gt;""""))))-1), IF('To Order'!$A435=COLUMNS($A435:F"&amp;"454), F434&amp;RIGHT(INDIRECT(ADDRESS(ROW(F435)-1, 'From Order'!$A435)), 1), F434))"),"")</f>
        <v/>
      </c>
      <c r="G435" s="2" t="str">
        <f>IFERROR(__xludf.DUMMYFUNCTION("IF('From Order'!$A435=COLUMNS($A435:G454), LEFT(INDEX(FILTER(G$1:G434, G$1:G434&lt;&gt;""""),COUNTA(FILTER(G$1:G434, G$1:G434&lt;&gt;""""))), LEN(INDEX(FILTER(G$1:G434, G$1:G434&lt;&gt;""""),COUNTA(FILTER(G$1:G434, G$1:G434&lt;&gt;""""))))-1), IF('To Order'!$A435=COLUMNS($A435:G"&amp;"454), G434&amp;RIGHT(INDIRECT(ADDRESS(ROW(G435)-1, 'From Order'!$A435)), 1), G434))"),"LJ")</f>
        <v>LJ</v>
      </c>
      <c r="H435" s="2" t="str">
        <f>IFERROR(__xludf.DUMMYFUNCTION("IF('From Order'!$A435=COLUMNS($A435:H454), LEFT(INDEX(FILTER(H$1:H434, H$1:H434&lt;&gt;""""),COUNTA(FILTER(H$1:H434, H$1:H434&lt;&gt;""""))), LEN(INDEX(FILTER(H$1:H434, H$1:H434&lt;&gt;""""),COUNTA(FILTER(H$1:H434, H$1:H434&lt;&gt;""""))))-1), IF('To Order'!$A435=COLUMNS($A435:H"&amp;"454), H434&amp;RIGHT(INDIRECT(ADDRESS(ROW(H435)-1, 'From Order'!$A435)), 1), H434))"),"")</f>
        <v/>
      </c>
      <c r="I435" s="2" t="str">
        <f>IFERROR(__xludf.DUMMYFUNCTION("IF('From Order'!$A435=COLUMNS($A435:I454), LEFT(INDEX(FILTER(I$1:I434, I$1:I434&lt;&gt;""""),COUNTA(FILTER(I$1:I434, I$1:I434&lt;&gt;""""))), LEN(INDEX(FILTER(I$1:I434, I$1:I434&lt;&gt;""""),COUNTA(FILTER(I$1:I434, I$1:I434&lt;&gt;""""))))-1), IF('To Order'!$A435=COLUMNS($A435:I"&amp;"454), I434&amp;RIGHT(INDIRECT(ADDRESS(ROW(I435)-1, 'From Order'!$A435)), 1), I434))"),"")</f>
        <v/>
      </c>
    </row>
    <row r="436">
      <c r="A436" s="2" t="str">
        <f>IFERROR(__xludf.DUMMYFUNCTION("IF('From Order'!$A436=COLUMNS($A436:A455), LEFT(INDEX(FILTER(A$1:A435, A$1:A435&lt;&gt;""""),COUNTA(FILTER(A$1:A435, A$1:A435&lt;&gt;""""))), LEN(INDEX(FILTER(A$1:A435, A$1:A435&lt;&gt;""""),COUNTA(FILTER(A$1:A435, A$1:A435&lt;&gt;""""))))-1), IF('To Order'!$A436=COLUMNS($A436:A"&amp;"455), A435&amp;RIGHT(INDIRECT(ADDRESS(ROW(A436)-1, 'From Order'!$A436)), 1), A435))"),"CTFTMQCDTR")</f>
        <v>CTFTMQCDTR</v>
      </c>
      <c r="B436" s="2" t="str">
        <f>IFERROR(__xludf.DUMMYFUNCTION("IF('From Order'!$A436=COLUMNS($A436:B455), LEFT(INDEX(FILTER(B$1:B435, B$1:B435&lt;&gt;""""),COUNTA(FILTER(B$1:B435, B$1:B435&lt;&gt;""""))), LEN(INDEX(FILTER(B$1:B435, B$1:B435&lt;&gt;""""),COUNTA(FILTER(B$1:B435, B$1:B435&lt;&gt;""""))))-1), IF('To Order'!$A436=COLUMNS($A436:B"&amp;"455), B435&amp;RIGHT(INDIRECT(ADDRESS(ROW(B436)-1, 'From Order'!$A436)), 1), B435))"),"JZRLBSGDTDDZM")</f>
        <v>JZRLBSGDTDDZM</v>
      </c>
      <c r="C436" s="2" t="str">
        <f>IFERROR(__xludf.DUMMYFUNCTION("IF('From Order'!$A436=COLUMNS($A436:C455), LEFT(INDEX(FILTER(C$1:C435, C$1:C435&lt;&gt;""""),COUNTA(FILTER(C$1:C435, C$1:C435&lt;&gt;""""))), LEN(INDEX(FILTER(C$1:C435, C$1:C435&lt;&gt;""""),COUNTA(FILTER(C$1:C435, C$1:C435&lt;&gt;""""))))-1), IF('To Order'!$A436=COLUMNS($A436:C"&amp;"455), C435&amp;RIGHT(INDIRECT(ADDRESS(ROW(C436)-1, 'From Order'!$A436)), 1), C435))"),"SMFBBRQPDSSGHWPBCVTJTWRDL")</f>
        <v>SMFBBRQPDSSGHWPBCVTJTWRDL</v>
      </c>
      <c r="D436" s="2" t="str">
        <f>IFERROR(__xludf.DUMMYFUNCTION("IF('From Order'!$A436=COLUMNS($A436:D455), LEFT(INDEX(FILTER(D$1:D435, D$1:D435&lt;&gt;""""),COUNTA(FILTER(D$1:D435, D$1:D435&lt;&gt;""""))), LEN(INDEX(FILTER(D$1:D435, D$1:D435&lt;&gt;""""),COUNTA(FILTER(D$1:D435, D$1:D435&lt;&gt;""""))))-1), IF('To Order'!$A436=COLUMNS($A436:D"&amp;"455), D435&amp;RIGHT(INDIRECT(ADDRESS(ROW(D436)-1, 'From Order'!$A436)), 1), D435))"),"")</f>
        <v/>
      </c>
      <c r="E436" s="2" t="str">
        <f>IFERROR(__xludf.DUMMYFUNCTION("IF('From Order'!$A436=COLUMNS($A436:E455), LEFT(INDEX(FILTER(E$1:E435, E$1:E435&lt;&gt;""""),COUNTA(FILTER(E$1:E435, E$1:E435&lt;&gt;""""))), LEN(INDEX(FILTER(E$1:E435, E$1:E435&lt;&gt;""""),COUNTA(FILTER(E$1:E435, E$1:E435&lt;&gt;""""))))-1), IF('To Order'!$A436=COLUMNS($A436:E"&amp;"455), E435&amp;RIGHT(INDIRECT(ADDRESS(ROW(E436)-1, 'From Order'!$A436)), 1), E435))"),"HZRVPV")</f>
        <v>HZRVPV</v>
      </c>
      <c r="F436" s="2" t="str">
        <f>IFERROR(__xludf.DUMMYFUNCTION("IF('From Order'!$A436=COLUMNS($A436:F455), LEFT(INDEX(FILTER(F$1:F435, F$1:F435&lt;&gt;""""),COUNTA(FILTER(F$1:F435, F$1:F435&lt;&gt;""""))), LEN(INDEX(FILTER(F$1:F435, F$1:F435&lt;&gt;""""),COUNTA(FILTER(F$1:F435, F$1:F435&lt;&gt;""""))))-1), IF('To Order'!$A436=COLUMNS($A436:F"&amp;"455), F435&amp;RIGHT(INDIRECT(ADDRESS(ROW(F436)-1, 'From Order'!$A436)), 1), F435))"),"")</f>
        <v/>
      </c>
      <c r="G436" s="2" t="str">
        <f>IFERROR(__xludf.DUMMYFUNCTION("IF('From Order'!$A436=COLUMNS($A436:G455), LEFT(INDEX(FILTER(G$1:G435, G$1:G435&lt;&gt;""""),COUNTA(FILTER(G$1:G435, G$1:G435&lt;&gt;""""))), LEN(INDEX(FILTER(G$1:G435, G$1:G435&lt;&gt;""""),COUNTA(FILTER(G$1:G435, G$1:G435&lt;&gt;""""))))-1), IF('To Order'!$A436=COLUMNS($A436:G"&amp;"455), G435&amp;RIGHT(INDIRECT(ADDRESS(ROW(G436)-1, 'From Order'!$A436)), 1), G435))"),"LJ")</f>
        <v>LJ</v>
      </c>
      <c r="H436" s="2" t="str">
        <f>IFERROR(__xludf.DUMMYFUNCTION("IF('From Order'!$A436=COLUMNS($A436:H455), LEFT(INDEX(FILTER(H$1:H435, H$1:H435&lt;&gt;""""),COUNTA(FILTER(H$1:H435, H$1:H435&lt;&gt;""""))), LEN(INDEX(FILTER(H$1:H435, H$1:H435&lt;&gt;""""),COUNTA(FILTER(H$1:H435, H$1:H435&lt;&gt;""""))))-1), IF('To Order'!$A436=COLUMNS($A436:H"&amp;"455), H435&amp;RIGHT(INDIRECT(ADDRESS(ROW(H436)-1, 'From Order'!$A436)), 1), H435))"),"")</f>
        <v/>
      </c>
      <c r="I436" s="2" t="str">
        <f>IFERROR(__xludf.DUMMYFUNCTION("IF('From Order'!$A436=COLUMNS($A436:I455), LEFT(INDEX(FILTER(I$1:I435, I$1:I435&lt;&gt;""""),COUNTA(FILTER(I$1:I435, I$1:I435&lt;&gt;""""))), LEN(INDEX(FILTER(I$1:I435, I$1:I435&lt;&gt;""""),COUNTA(FILTER(I$1:I435, I$1:I435&lt;&gt;""""))))-1), IF('To Order'!$A436=COLUMNS($A436:I"&amp;"455), I435&amp;RIGHT(INDIRECT(ADDRESS(ROW(I436)-1, 'From Order'!$A436)), 1), I435))"),"")</f>
        <v/>
      </c>
    </row>
    <row r="437">
      <c r="A437" s="2" t="str">
        <f>IFERROR(__xludf.DUMMYFUNCTION("IF('From Order'!$A437=COLUMNS($A437:A456), LEFT(INDEX(FILTER(A$1:A436, A$1:A436&lt;&gt;""""),COUNTA(FILTER(A$1:A436, A$1:A436&lt;&gt;""""))), LEN(INDEX(FILTER(A$1:A436, A$1:A436&lt;&gt;""""),COUNTA(FILTER(A$1:A436, A$1:A436&lt;&gt;""""))))-1), IF('To Order'!$A437=COLUMNS($A437:A"&amp;"456), A436&amp;RIGHT(INDIRECT(ADDRESS(ROW(A437)-1, 'From Order'!$A437)), 1), A436))"),"CTFTMQCDTR")</f>
        <v>CTFTMQCDTR</v>
      </c>
      <c r="B437" s="2" t="str">
        <f>IFERROR(__xludf.DUMMYFUNCTION("IF('From Order'!$A437=COLUMNS($A437:B456), LEFT(INDEX(FILTER(B$1:B436, B$1:B436&lt;&gt;""""),COUNTA(FILTER(B$1:B436, B$1:B436&lt;&gt;""""))), LEN(INDEX(FILTER(B$1:B436, B$1:B436&lt;&gt;""""),COUNTA(FILTER(B$1:B436, B$1:B436&lt;&gt;""""))))-1), IF('To Order'!$A437=COLUMNS($A437:B"&amp;"456), B436&amp;RIGHT(INDIRECT(ADDRESS(ROW(B437)-1, 'From Order'!$A437)), 1), B436))"),"JZRLBSGDTDDZ")</f>
        <v>JZRLBSGDTDDZ</v>
      </c>
      <c r="C437" s="2" t="str">
        <f>IFERROR(__xludf.DUMMYFUNCTION("IF('From Order'!$A437=COLUMNS($A437:C456), LEFT(INDEX(FILTER(C$1:C436, C$1:C436&lt;&gt;""""),COUNTA(FILTER(C$1:C436, C$1:C436&lt;&gt;""""))), LEN(INDEX(FILTER(C$1:C436, C$1:C436&lt;&gt;""""),COUNTA(FILTER(C$1:C436, C$1:C436&lt;&gt;""""))))-1), IF('To Order'!$A437=COLUMNS($A437:C"&amp;"456), C436&amp;RIGHT(INDIRECT(ADDRESS(ROW(C437)-1, 'From Order'!$A437)), 1), C436))"),"SMFBBRQPDSSGHWPBCVTJTWRDL")</f>
        <v>SMFBBRQPDSSGHWPBCVTJTWRDL</v>
      </c>
      <c r="D437" s="2" t="str">
        <f>IFERROR(__xludf.DUMMYFUNCTION("IF('From Order'!$A437=COLUMNS($A437:D456), LEFT(INDEX(FILTER(D$1:D436, D$1:D436&lt;&gt;""""),COUNTA(FILTER(D$1:D436, D$1:D436&lt;&gt;""""))), LEN(INDEX(FILTER(D$1:D436, D$1:D436&lt;&gt;""""),COUNTA(FILTER(D$1:D436, D$1:D436&lt;&gt;""""))))-1), IF('To Order'!$A437=COLUMNS($A437:D"&amp;"456), D436&amp;RIGHT(INDIRECT(ADDRESS(ROW(D437)-1, 'From Order'!$A437)), 1), D436))"),"")</f>
        <v/>
      </c>
      <c r="E437" s="2" t="str">
        <f>IFERROR(__xludf.DUMMYFUNCTION("IF('From Order'!$A437=COLUMNS($A437:E456), LEFT(INDEX(FILTER(E$1:E436, E$1:E436&lt;&gt;""""),COUNTA(FILTER(E$1:E436, E$1:E436&lt;&gt;""""))), LEN(INDEX(FILTER(E$1:E436, E$1:E436&lt;&gt;""""),COUNTA(FILTER(E$1:E436, E$1:E436&lt;&gt;""""))))-1), IF('To Order'!$A437=COLUMNS($A437:E"&amp;"456), E436&amp;RIGHT(INDIRECT(ADDRESS(ROW(E437)-1, 'From Order'!$A437)), 1), E436))"),"HZRVPV")</f>
        <v>HZRVPV</v>
      </c>
      <c r="F437" s="2" t="str">
        <f>IFERROR(__xludf.DUMMYFUNCTION("IF('From Order'!$A437=COLUMNS($A437:F456), LEFT(INDEX(FILTER(F$1:F436, F$1:F436&lt;&gt;""""),COUNTA(FILTER(F$1:F436, F$1:F436&lt;&gt;""""))), LEN(INDEX(FILTER(F$1:F436, F$1:F436&lt;&gt;""""),COUNTA(FILTER(F$1:F436, F$1:F436&lt;&gt;""""))))-1), IF('To Order'!$A437=COLUMNS($A437:F"&amp;"456), F436&amp;RIGHT(INDIRECT(ADDRESS(ROW(F437)-1, 'From Order'!$A437)), 1), F436))"),"M")</f>
        <v>M</v>
      </c>
      <c r="G437" s="2" t="str">
        <f>IFERROR(__xludf.DUMMYFUNCTION("IF('From Order'!$A437=COLUMNS($A437:G456), LEFT(INDEX(FILTER(G$1:G436, G$1:G436&lt;&gt;""""),COUNTA(FILTER(G$1:G436, G$1:G436&lt;&gt;""""))), LEN(INDEX(FILTER(G$1:G436, G$1:G436&lt;&gt;""""),COUNTA(FILTER(G$1:G436, G$1:G436&lt;&gt;""""))))-1), IF('To Order'!$A437=COLUMNS($A437:G"&amp;"456), G436&amp;RIGHT(INDIRECT(ADDRESS(ROW(G437)-1, 'From Order'!$A437)), 1), G436))"),"LJ")</f>
        <v>LJ</v>
      </c>
      <c r="H437" s="2" t="str">
        <f>IFERROR(__xludf.DUMMYFUNCTION("IF('From Order'!$A437=COLUMNS($A437:H456), LEFT(INDEX(FILTER(H$1:H436, H$1:H436&lt;&gt;""""),COUNTA(FILTER(H$1:H436, H$1:H436&lt;&gt;""""))), LEN(INDEX(FILTER(H$1:H436, H$1:H436&lt;&gt;""""),COUNTA(FILTER(H$1:H436, H$1:H436&lt;&gt;""""))))-1), IF('To Order'!$A437=COLUMNS($A437:H"&amp;"456), H436&amp;RIGHT(INDIRECT(ADDRESS(ROW(H437)-1, 'From Order'!$A437)), 1), H436))"),"")</f>
        <v/>
      </c>
      <c r="I437" s="2" t="str">
        <f>IFERROR(__xludf.DUMMYFUNCTION("IF('From Order'!$A437=COLUMNS($A437:I456), LEFT(INDEX(FILTER(I$1:I436, I$1:I436&lt;&gt;""""),COUNTA(FILTER(I$1:I436, I$1:I436&lt;&gt;""""))), LEN(INDEX(FILTER(I$1:I436, I$1:I436&lt;&gt;""""),COUNTA(FILTER(I$1:I436, I$1:I436&lt;&gt;""""))))-1), IF('To Order'!$A437=COLUMNS($A437:I"&amp;"456), I436&amp;RIGHT(INDIRECT(ADDRESS(ROW(I437)-1, 'From Order'!$A437)), 1), I436))"),"")</f>
        <v/>
      </c>
    </row>
    <row r="438">
      <c r="A438" s="2" t="str">
        <f>IFERROR(__xludf.DUMMYFUNCTION("IF('From Order'!$A438=COLUMNS($A438:A457), LEFT(INDEX(FILTER(A$1:A437, A$1:A437&lt;&gt;""""),COUNTA(FILTER(A$1:A437, A$1:A437&lt;&gt;""""))), LEN(INDEX(FILTER(A$1:A437, A$1:A437&lt;&gt;""""),COUNTA(FILTER(A$1:A437, A$1:A437&lt;&gt;""""))))-1), IF('To Order'!$A438=COLUMNS($A438:A"&amp;"457), A437&amp;RIGHT(INDIRECT(ADDRESS(ROW(A438)-1, 'From Order'!$A438)), 1), A437))"),"CTFTMQCDTR")</f>
        <v>CTFTMQCDTR</v>
      </c>
      <c r="B438" s="2" t="str">
        <f>IFERROR(__xludf.DUMMYFUNCTION("IF('From Order'!$A438=COLUMNS($A438:B457), LEFT(INDEX(FILTER(B$1:B437, B$1:B437&lt;&gt;""""),COUNTA(FILTER(B$1:B437, B$1:B437&lt;&gt;""""))), LEN(INDEX(FILTER(B$1:B437, B$1:B437&lt;&gt;""""),COUNTA(FILTER(B$1:B437, B$1:B437&lt;&gt;""""))))-1), IF('To Order'!$A438=COLUMNS($A438:B"&amp;"457), B437&amp;RIGHT(INDIRECT(ADDRESS(ROW(B438)-1, 'From Order'!$A438)), 1), B437))"),"JZRLBSGDTDD")</f>
        <v>JZRLBSGDTDD</v>
      </c>
      <c r="C438" s="2" t="str">
        <f>IFERROR(__xludf.DUMMYFUNCTION("IF('From Order'!$A438=COLUMNS($A438:C457), LEFT(INDEX(FILTER(C$1:C437, C$1:C437&lt;&gt;""""),COUNTA(FILTER(C$1:C437, C$1:C437&lt;&gt;""""))), LEN(INDEX(FILTER(C$1:C437, C$1:C437&lt;&gt;""""),COUNTA(FILTER(C$1:C437, C$1:C437&lt;&gt;""""))))-1), IF('To Order'!$A438=COLUMNS($A438:C"&amp;"457), C437&amp;RIGHT(INDIRECT(ADDRESS(ROW(C438)-1, 'From Order'!$A438)), 1), C437))"),"SMFBBRQPDSSGHWPBCVTJTWRDL")</f>
        <v>SMFBBRQPDSSGHWPBCVTJTWRDL</v>
      </c>
      <c r="D438" s="2" t="str">
        <f>IFERROR(__xludf.DUMMYFUNCTION("IF('From Order'!$A438=COLUMNS($A438:D457), LEFT(INDEX(FILTER(D$1:D437, D$1:D437&lt;&gt;""""),COUNTA(FILTER(D$1:D437, D$1:D437&lt;&gt;""""))), LEN(INDEX(FILTER(D$1:D437, D$1:D437&lt;&gt;""""),COUNTA(FILTER(D$1:D437, D$1:D437&lt;&gt;""""))))-1), IF('To Order'!$A438=COLUMNS($A438:D"&amp;"457), D437&amp;RIGHT(INDIRECT(ADDRESS(ROW(D438)-1, 'From Order'!$A438)), 1), D437))"),"")</f>
        <v/>
      </c>
      <c r="E438" s="2" t="str">
        <f>IFERROR(__xludf.DUMMYFUNCTION("IF('From Order'!$A438=COLUMNS($A438:E457), LEFT(INDEX(FILTER(E$1:E437, E$1:E437&lt;&gt;""""),COUNTA(FILTER(E$1:E437, E$1:E437&lt;&gt;""""))), LEN(INDEX(FILTER(E$1:E437, E$1:E437&lt;&gt;""""),COUNTA(FILTER(E$1:E437, E$1:E437&lt;&gt;""""))))-1), IF('To Order'!$A438=COLUMNS($A438:E"&amp;"457), E437&amp;RIGHT(INDIRECT(ADDRESS(ROW(E438)-1, 'From Order'!$A438)), 1), E437))"),"HZRVPV")</f>
        <v>HZRVPV</v>
      </c>
      <c r="F438" s="2" t="str">
        <f>IFERROR(__xludf.DUMMYFUNCTION("IF('From Order'!$A438=COLUMNS($A438:F457), LEFT(INDEX(FILTER(F$1:F437, F$1:F437&lt;&gt;""""),COUNTA(FILTER(F$1:F437, F$1:F437&lt;&gt;""""))), LEN(INDEX(FILTER(F$1:F437, F$1:F437&lt;&gt;""""),COUNTA(FILTER(F$1:F437, F$1:F437&lt;&gt;""""))))-1), IF('To Order'!$A438=COLUMNS($A438:F"&amp;"457), F437&amp;RIGHT(INDIRECT(ADDRESS(ROW(F438)-1, 'From Order'!$A438)), 1), F437))"),"MZ")</f>
        <v>MZ</v>
      </c>
      <c r="G438" s="2" t="str">
        <f>IFERROR(__xludf.DUMMYFUNCTION("IF('From Order'!$A438=COLUMNS($A438:G457), LEFT(INDEX(FILTER(G$1:G437, G$1:G437&lt;&gt;""""),COUNTA(FILTER(G$1:G437, G$1:G437&lt;&gt;""""))), LEN(INDEX(FILTER(G$1:G437, G$1:G437&lt;&gt;""""),COUNTA(FILTER(G$1:G437, G$1:G437&lt;&gt;""""))))-1), IF('To Order'!$A438=COLUMNS($A438:G"&amp;"457), G437&amp;RIGHT(INDIRECT(ADDRESS(ROW(G438)-1, 'From Order'!$A438)), 1), G437))"),"LJ")</f>
        <v>LJ</v>
      </c>
      <c r="H438" s="2" t="str">
        <f>IFERROR(__xludf.DUMMYFUNCTION("IF('From Order'!$A438=COLUMNS($A438:H457), LEFT(INDEX(FILTER(H$1:H437, H$1:H437&lt;&gt;""""),COUNTA(FILTER(H$1:H437, H$1:H437&lt;&gt;""""))), LEN(INDEX(FILTER(H$1:H437, H$1:H437&lt;&gt;""""),COUNTA(FILTER(H$1:H437, H$1:H437&lt;&gt;""""))))-1), IF('To Order'!$A438=COLUMNS($A438:H"&amp;"457), H437&amp;RIGHT(INDIRECT(ADDRESS(ROW(H438)-1, 'From Order'!$A438)), 1), H437))"),"")</f>
        <v/>
      </c>
      <c r="I438" s="2" t="str">
        <f>IFERROR(__xludf.DUMMYFUNCTION("IF('From Order'!$A438=COLUMNS($A438:I457), LEFT(INDEX(FILTER(I$1:I437, I$1:I437&lt;&gt;""""),COUNTA(FILTER(I$1:I437, I$1:I437&lt;&gt;""""))), LEN(INDEX(FILTER(I$1:I437, I$1:I437&lt;&gt;""""),COUNTA(FILTER(I$1:I437, I$1:I437&lt;&gt;""""))))-1), IF('To Order'!$A438=COLUMNS($A438:I"&amp;"457), I437&amp;RIGHT(INDIRECT(ADDRESS(ROW(I438)-1, 'From Order'!$A438)), 1), I437))"),"")</f>
        <v/>
      </c>
    </row>
    <row r="439">
      <c r="A439" s="2" t="str">
        <f>IFERROR(__xludf.DUMMYFUNCTION("IF('From Order'!$A439=COLUMNS($A439:A458), LEFT(INDEX(FILTER(A$1:A438, A$1:A438&lt;&gt;""""),COUNTA(FILTER(A$1:A438, A$1:A438&lt;&gt;""""))), LEN(INDEX(FILTER(A$1:A438, A$1:A438&lt;&gt;""""),COUNTA(FILTER(A$1:A438, A$1:A438&lt;&gt;""""))))-1), IF('To Order'!$A439=COLUMNS($A439:A"&amp;"458), A438&amp;RIGHT(INDIRECT(ADDRESS(ROW(A439)-1, 'From Order'!$A439)), 1), A438))"),"CTFTMQCDTR")</f>
        <v>CTFTMQCDTR</v>
      </c>
      <c r="B439" s="2" t="str">
        <f>IFERROR(__xludf.DUMMYFUNCTION("IF('From Order'!$A439=COLUMNS($A439:B458), LEFT(INDEX(FILTER(B$1:B438, B$1:B438&lt;&gt;""""),COUNTA(FILTER(B$1:B438, B$1:B438&lt;&gt;""""))), LEN(INDEX(FILTER(B$1:B438, B$1:B438&lt;&gt;""""),COUNTA(FILTER(B$1:B438, B$1:B438&lt;&gt;""""))))-1), IF('To Order'!$A439=COLUMNS($A439:B"&amp;"458), B438&amp;RIGHT(INDIRECT(ADDRESS(ROW(B439)-1, 'From Order'!$A439)), 1), B438))"),"JZRLBSGDTD")</f>
        <v>JZRLBSGDTD</v>
      </c>
      <c r="C439" s="2" t="str">
        <f>IFERROR(__xludf.DUMMYFUNCTION("IF('From Order'!$A439=COLUMNS($A439:C458), LEFT(INDEX(FILTER(C$1:C438, C$1:C438&lt;&gt;""""),COUNTA(FILTER(C$1:C438, C$1:C438&lt;&gt;""""))), LEN(INDEX(FILTER(C$1:C438, C$1:C438&lt;&gt;""""),COUNTA(FILTER(C$1:C438, C$1:C438&lt;&gt;""""))))-1), IF('To Order'!$A439=COLUMNS($A439:C"&amp;"458), C438&amp;RIGHT(INDIRECT(ADDRESS(ROW(C439)-1, 'From Order'!$A439)), 1), C438))"),"SMFBBRQPDSSGHWPBCVTJTWRDL")</f>
        <v>SMFBBRQPDSSGHWPBCVTJTWRDL</v>
      </c>
      <c r="D439" s="2" t="str">
        <f>IFERROR(__xludf.DUMMYFUNCTION("IF('From Order'!$A439=COLUMNS($A439:D458), LEFT(INDEX(FILTER(D$1:D438, D$1:D438&lt;&gt;""""),COUNTA(FILTER(D$1:D438, D$1:D438&lt;&gt;""""))), LEN(INDEX(FILTER(D$1:D438, D$1:D438&lt;&gt;""""),COUNTA(FILTER(D$1:D438, D$1:D438&lt;&gt;""""))))-1), IF('To Order'!$A439=COLUMNS($A439:D"&amp;"458), D438&amp;RIGHT(INDIRECT(ADDRESS(ROW(D439)-1, 'From Order'!$A439)), 1), D438))"),"")</f>
        <v/>
      </c>
      <c r="E439" s="2" t="str">
        <f>IFERROR(__xludf.DUMMYFUNCTION("IF('From Order'!$A439=COLUMNS($A439:E458), LEFT(INDEX(FILTER(E$1:E438, E$1:E438&lt;&gt;""""),COUNTA(FILTER(E$1:E438, E$1:E438&lt;&gt;""""))), LEN(INDEX(FILTER(E$1:E438, E$1:E438&lt;&gt;""""),COUNTA(FILTER(E$1:E438, E$1:E438&lt;&gt;""""))))-1), IF('To Order'!$A439=COLUMNS($A439:E"&amp;"458), E438&amp;RIGHT(INDIRECT(ADDRESS(ROW(E439)-1, 'From Order'!$A439)), 1), E438))"),"HZRVPV")</f>
        <v>HZRVPV</v>
      </c>
      <c r="F439" s="2" t="str">
        <f>IFERROR(__xludf.DUMMYFUNCTION("IF('From Order'!$A439=COLUMNS($A439:F458), LEFT(INDEX(FILTER(F$1:F438, F$1:F438&lt;&gt;""""),COUNTA(FILTER(F$1:F438, F$1:F438&lt;&gt;""""))), LEN(INDEX(FILTER(F$1:F438, F$1:F438&lt;&gt;""""),COUNTA(FILTER(F$1:F438, F$1:F438&lt;&gt;""""))))-1), IF('To Order'!$A439=COLUMNS($A439:F"&amp;"458), F438&amp;RIGHT(INDIRECT(ADDRESS(ROW(F439)-1, 'From Order'!$A439)), 1), F438))"),"MZD")</f>
        <v>MZD</v>
      </c>
      <c r="G439" s="2" t="str">
        <f>IFERROR(__xludf.DUMMYFUNCTION("IF('From Order'!$A439=COLUMNS($A439:G458), LEFT(INDEX(FILTER(G$1:G438, G$1:G438&lt;&gt;""""),COUNTA(FILTER(G$1:G438, G$1:G438&lt;&gt;""""))), LEN(INDEX(FILTER(G$1:G438, G$1:G438&lt;&gt;""""),COUNTA(FILTER(G$1:G438, G$1:G438&lt;&gt;""""))))-1), IF('To Order'!$A439=COLUMNS($A439:G"&amp;"458), G438&amp;RIGHT(INDIRECT(ADDRESS(ROW(G439)-1, 'From Order'!$A439)), 1), G438))"),"LJ")</f>
        <v>LJ</v>
      </c>
      <c r="H439" s="2" t="str">
        <f>IFERROR(__xludf.DUMMYFUNCTION("IF('From Order'!$A439=COLUMNS($A439:H458), LEFT(INDEX(FILTER(H$1:H438, H$1:H438&lt;&gt;""""),COUNTA(FILTER(H$1:H438, H$1:H438&lt;&gt;""""))), LEN(INDEX(FILTER(H$1:H438, H$1:H438&lt;&gt;""""),COUNTA(FILTER(H$1:H438, H$1:H438&lt;&gt;""""))))-1), IF('To Order'!$A439=COLUMNS($A439:H"&amp;"458), H438&amp;RIGHT(INDIRECT(ADDRESS(ROW(H439)-1, 'From Order'!$A439)), 1), H438))"),"")</f>
        <v/>
      </c>
      <c r="I439" s="2" t="str">
        <f>IFERROR(__xludf.DUMMYFUNCTION("IF('From Order'!$A439=COLUMNS($A439:I458), LEFT(INDEX(FILTER(I$1:I438, I$1:I438&lt;&gt;""""),COUNTA(FILTER(I$1:I438, I$1:I438&lt;&gt;""""))), LEN(INDEX(FILTER(I$1:I438, I$1:I438&lt;&gt;""""),COUNTA(FILTER(I$1:I438, I$1:I438&lt;&gt;""""))))-1), IF('To Order'!$A439=COLUMNS($A439:I"&amp;"458), I438&amp;RIGHT(INDIRECT(ADDRESS(ROW(I439)-1, 'From Order'!$A439)), 1), I438))"),"")</f>
        <v/>
      </c>
    </row>
    <row r="440">
      <c r="A440" s="2" t="str">
        <f>IFERROR(__xludf.DUMMYFUNCTION("IF('From Order'!$A440=COLUMNS($A440:A459), LEFT(INDEX(FILTER(A$1:A439, A$1:A439&lt;&gt;""""),COUNTA(FILTER(A$1:A439, A$1:A439&lt;&gt;""""))), LEN(INDEX(FILTER(A$1:A439, A$1:A439&lt;&gt;""""),COUNTA(FILTER(A$1:A439, A$1:A439&lt;&gt;""""))))-1), IF('To Order'!$A440=COLUMNS($A440:A"&amp;"459), A439&amp;RIGHT(INDIRECT(ADDRESS(ROW(A440)-1, 'From Order'!$A440)), 1), A439))"),"CTFTMQCDTR")</f>
        <v>CTFTMQCDTR</v>
      </c>
      <c r="B440" s="2" t="str">
        <f>IFERROR(__xludf.DUMMYFUNCTION("IF('From Order'!$A440=COLUMNS($A440:B459), LEFT(INDEX(FILTER(B$1:B439, B$1:B439&lt;&gt;""""),COUNTA(FILTER(B$1:B439, B$1:B439&lt;&gt;""""))), LEN(INDEX(FILTER(B$1:B439, B$1:B439&lt;&gt;""""),COUNTA(FILTER(B$1:B439, B$1:B439&lt;&gt;""""))))-1), IF('To Order'!$A440=COLUMNS($A440:B"&amp;"459), B439&amp;RIGHT(INDIRECT(ADDRESS(ROW(B440)-1, 'From Order'!$A440)), 1), B439))"),"JZRLBSGDT")</f>
        <v>JZRLBSGDT</v>
      </c>
      <c r="C440" s="2" t="str">
        <f>IFERROR(__xludf.DUMMYFUNCTION("IF('From Order'!$A440=COLUMNS($A440:C459), LEFT(INDEX(FILTER(C$1:C439, C$1:C439&lt;&gt;""""),COUNTA(FILTER(C$1:C439, C$1:C439&lt;&gt;""""))), LEN(INDEX(FILTER(C$1:C439, C$1:C439&lt;&gt;""""),COUNTA(FILTER(C$1:C439, C$1:C439&lt;&gt;""""))))-1), IF('To Order'!$A440=COLUMNS($A440:C"&amp;"459), C439&amp;RIGHT(INDIRECT(ADDRESS(ROW(C440)-1, 'From Order'!$A440)), 1), C439))"),"SMFBBRQPDSSGHWPBCVTJTWRDL")</f>
        <v>SMFBBRQPDSSGHWPBCVTJTWRDL</v>
      </c>
      <c r="D440" s="2" t="str">
        <f>IFERROR(__xludf.DUMMYFUNCTION("IF('From Order'!$A440=COLUMNS($A440:D459), LEFT(INDEX(FILTER(D$1:D439, D$1:D439&lt;&gt;""""),COUNTA(FILTER(D$1:D439, D$1:D439&lt;&gt;""""))), LEN(INDEX(FILTER(D$1:D439, D$1:D439&lt;&gt;""""),COUNTA(FILTER(D$1:D439, D$1:D439&lt;&gt;""""))))-1), IF('To Order'!$A440=COLUMNS($A440:D"&amp;"459), D439&amp;RIGHT(INDIRECT(ADDRESS(ROW(D440)-1, 'From Order'!$A440)), 1), D439))"),"")</f>
        <v/>
      </c>
      <c r="E440" s="2" t="str">
        <f>IFERROR(__xludf.DUMMYFUNCTION("IF('From Order'!$A440=COLUMNS($A440:E459), LEFT(INDEX(FILTER(E$1:E439, E$1:E439&lt;&gt;""""),COUNTA(FILTER(E$1:E439, E$1:E439&lt;&gt;""""))), LEN(INDEX(FILTER(E$1:E439, E$1:E439&lt;&gt;""""),COUNTA(FILTER(E$1:E439, E$1:E439&lt;&gt;""""))))-1), IF('To Order'!$A440=COLUMNS($A440:E"&amp;"459), E439&amp;RIGHT(INDIRECT(ADDRESS(ROW(E440)-1, 'From Order'!$A440)), 1), E439))"),"HZRVPV")</f>
        <v>HZRVPV</v>
      </c>
      <c r="F440" s="2" t="str">
        <f>IFERROR(__xludf.DUMMYFUNCTION("IF('From Order'!$A440=COLUMNS($A440:F459), LEFT(INDEX(FILTER(F$1:F439, F$1:F439&lt;&gt;""""),COUNTA(FILTER(F$1:F439, F$1:F439&lt;&gt;""""))), LEN(INDEX(FILTER(F$1:F439, F$1:F439&lt;&gt;""""),COUNTA(FILTER(F$1:F439, F$1:F439&lt;&gt;""""))))-1), IF('To Order'!$A440=COLUMNS($A440:F"&amp;"459), F439&amp;RIGHT(INDIRECT(ADDRESS(ROW(F440)-1, 'From Order'!$A440)), 1), F439))"),"MZDD")</f>
        <v>MZDD</v>
      </c>
      <c r="G440" s="2" t="str">
        <f>IFERROR(__xludf.DUMMYFUNCTION("IF('From Order'!$A440=COLUMNS($A440:G459), LEFT(INDEX(FILTER(G$1:G439, G$1:G439&lt;&gt;""""),COUNTA(FILTER(G$1:G439, G$1:G439&lt;&gt;""""))), LEN(INDEX(FILTER(G$1:G439, G$1:G439&lt;&gt;""""),COUNTA(FILTER(G$1:G439, G$1:G439&lt;&gt;""""))))-1), IF('To Order'!$A440=COLUMNS($A440:G"&amp;"459), G439&amp;RIGHT(INDIRECT(ADDRESS(ROW(G440)-1, 'From Order'!$A440)), 1), G439))"),"LJ")</f>
        <v>LJ</v>
      </c>
      <c r="H440" s="2" t="str">
        <f>IFERROR(__xludf.DUMMYFUNCTION("IF('From Order'!$A440=COLUMNS($A440:H459), LEFT(INDEX(FILTER(H$1:H439, H$1:H439&lt;&gt;""""),COUNTA(FILTER(H$1:H439, H$1:H439&lt;&gt;""""))), LEN(INDEX(FILTER(H$1:H439, H$1:H439&lt;&gt;""""),COUNTA(FILTER(H$1:H439, H$1:H439&lt;&gt;""""))))-1), IF('To Order'!$A440=COLUMNS($A440:H"&amp;"459), H439&amp;RIGHT(INDIRECT(ADDRESS(ROW(H440)-1, 'From Order'!$A440)), 1), H439))"),"")</f>
        <v/>
      </c>
      <c r="I440" s="2" t="str">
        <f>IFERROR(__xludf.DUMMYFUNCTION("IF('From Order'!$A440=COLUMNS($A440:I459), LEFT(INDEX(FILTER(I$1:I439, I$1:I439&lt;&gt;""""),COUNTA(FILTER(I$1:I439, I$1:I439&lt;&gt;""""))), LEN(INDEX(FILTER(I$1:I439, I$1:I439&lt;&gt;""""),COUNTA(FILTER(I$1:I439, I$1:I439&lt;&gt;""""))))-1), IF('To Order'!$A440=COLUMNS($A440:I"&amp;"459), I439&amp;RIGHT(INDIRECT(ADDRESS(ROW(I440)-1, 'From Order'!$A440)), 1), I439))"),"")</f>
        <v/>
      </c>
    </row>
    <row r="441">
      <c r="A441" s="2" t="str">
        <f>IFERROR(__xludf.DUMMYFUNCTION("IF('From Order'!$A441=COLUMNS($A441:A460), LEFT(INDEX(FILTER(A$1:A440, A$1:A440&lt;&gt;""""),COUNTA(FILTER(A$1:A440, A$1:A440&lt;&gt;""""))), LEN(INDEX(FILTER(A$1:A440, A$1:A440&lt;&gt;""""),COUNTA(FILTER(A$1:A440, A$1:A440&lt;&gt;""""))))-1), IF('To Order'!$A441=COLUMNS($A441:A"&amp;"460), A440&amp;RIGHT(INDIRECT(ADDRESS(ROW(A441)-1, 'From Order'!$A441)), 1), A440))"),"CTFTMQCDT")</f>
        <v>CTFTMQCDT</v>
      </c>
      <c r="B441" s="2" t="str">
        <f>IFERROR(__xludf.DUMMYFUNCTION("IF('From Order'!$A441=COLUMNS($A441:B460), LEFT(INDEX(FILTER(B$1:B440, B$1:B440&lt;&gt;""""),COUNTA(FILTER(B$1:B440, B$1:B440&lt;&gt;""""))), LEN(INDEX(FILTER(B$1:B440, B$1:B440&lt;&gt;""""),COUNTA(FILTER(B$1:B440, B$1:B440&lt;&gt;""""))))-1), IF('To Order'!$A441=COLUMNS($A441:B"&amp;"460), B440&amp;RIGHT(INDIRECT(ADDRESS(ROW(B441)-1, 'From Order'!$A441)), 1), B440))"),"JZRLBSGDT")</f>
        <v>JZRLBSGDT</v>
      </c>
      <c r="C441" s="2" t="str">
        <f>IFERROR(__xludf.DUMMYFUNCTION("IF('From Order'!$A441=COLUMNS($A441:C460), LEFT(INDEX(FILTER(C$1:C440, C$1:C440&lt;&gt;""""),COUNTA(FILTER(C$1:C440, C$1:C440&lt;&gt;""""))), LEN(INDEX(FILTER(C$1:C440, C$1:C440&lt;&gt;""""),COUNTA(FILTER(C$1:C440, C$1:C440&lt;&gt;""""))))-1), IF('To Order'!$A441=COLUMNS($A441:C"&amp;"460), C440&amp;RIGHT(INDIRECT(ADDRESS(ROW(C441)-1, 'From Order'!$A441)), 1), C440))"),"SMFBBRQPDSSGHWPBCVTJTWRDLR")</f>
        <v>SMFBBRQPDSSGHWPBCVTJTWRDLR</v>
      </c>
      <c r="D441" s="2" t="str">
        <f>IFERROR(__xludf.DUMMYFUNCTION("IF('From Order'!$A441=COLUMNS($A441:D460), LEFT(INDEX(FILTER(D$1:D440, D$1:D440&lt;&gt;""""),COUNTA(FILTER(D$1:D440, D$1:D440&lt;&gt;""""))), LEN(INDEX(FILTER(D$1:D440, D$1:D440&lt;&gt;""""),COUNTA(FILTER(D$1:D440, D$1:D440&lt;&gt;""""))))-1), IF('To Order'!$A441=COLUMNS($A441:D"&amp;"460), D440&amp;RIGHT(INDIRECT(ADDRESS(ROW(D441)-1, 'From Order'!$A441)), 1), D440))"),"")</f>
        <v/>
      </c>
      <c r="E441" s="2" t="str">
        <f>IFERROR(__xludf.DUMMYFUNCTION("IF('From Order'!$A441=COLUMNS($A441:E460), LEFT(INDEX(FILTER(E$1:E440, E$1:E440&lt;&gt;""""),COUNTA(FILTER(E$1:E440, E$1:E440&lt;&gt;""""))), LEN(INDEX(FILTER(E$1:E440, E$1:E440&lt;&gt;""""),COUNTA(FILTER(E$1:E440, E$1:E440&lt;&gt;""""))))-1), IF('To Order'!$A441=COLUMNS($A441:E"&amp;"460), E440&amp;RIGHT(INDIRECT(ADDRESS(ROW(E441)-1, 'From Order'!$A441)), 1), E440))"),"HZRVPV")</f>
        <v>HZRVPV</v>
      </c>
      <c r="F441" s="2" t="str">
        <f>IFERROR(__xludf.DUMMYFUNCTION("IF('From Order'!$A441=COLUMNS($A441:F460), LEFT(INDEX(FILTER(F$1:F440, F$1:F440&lt;&gt;""""),COUNTA(FILTER(F$1:F440, F$1:F440&lt;&gt;""""))), LEN(INDEX(FILTER(F$1:F440, F$1:F440&lt;&gt;""""),COUNTA(FILTER(F$1:F440, F$1:F440&lt;&gt;""""))))-1), IF('To Order'!$A441=COLUMNS($A441:F"&amp;"460), F440&amp;RIGHT(INDIRECT(ADDRESS(ROW(F441)-1, 'From Order'!$A441)), 1), F440))"),"MZDD")</f>
        <v>MZDD</v>
      </c>
      <c r="G441" s="2" t="str">
        <f>IFERROR(__xludf.DUMMYFUNCTION("IF('From Order'!$A441=COLUMNS($A441:G460), LEFT(INDEX(FILTER(G$1:G440, G$1:G440&lt;&gt;""""),COUNTA(FILTER(G$1:G440, G$1:G440&lt;&gt;""""))), LEN(INDEX(FILTER(G$1:G440, G$1:G440&lt;&gt;""""),COUNTA(FILTER(G$1:G440, G$1:G440&lt;&gt;""""))))-1), IF('To Order'!$A441=COLUMNS($A441:G"&amp;"460), G440&amp;RIGHT(INDIRECT(ADDRESS(ROW(G441)-1, 'From Order'!$A441)), 1), G440))"),"LJ")</f>
        <v>LJ</v>
      </c>
      <c r="H441" s="2" t="str">
        <f>IFERROR(__xludf.DUMMYFUNCTION("IF('From Order'!$A441=COLUMNS($A441:H460), LEFT(INDEX(FILTER(H$1:H440, H$1:H440&lt;&gt;""""),COUNTA(FILTER(H$1:H440, H$1:H440&lt;&gt;""""))), LEN(INDEX(FILTER(H$1:H440, H$1:H440&lt;&gt;""""),COUNTA(FILTER(H$1:H440, H$1:H440&lt;&gt;""""))))-1), IF('To Order'!$A441=COLUMNS($A441:H"&amp;"460), H440&amp;RIGHT(INDIRECT(ADDRESS(ROW(H441)-1, 'From Order'!$A441)), 1), H440))"),"")</f>
        <v/>
      </c>
      <c r="I441" s="2" t="str">
        <f>IFERROR(__xludf.DUMMYFUNCTION("IF('From Order'!$A441=COLUMNS($A441:I460), LEFT(INDEX(FILTER(I$1:I440, I$1:I440&lt;&gt;""""),COUNTA(FILTER(I$1:I440, I$1:I440&lt;&gt;""""))), LEN(INDEX(FILTER(I$1:I440, I$1:I440&lt;&gt;""""),COUNTA(FILTER(I$1:I440, I$1:I440&lt;&gt;""""))))-1), IF('To Order'!$A441=COLUMNS($A441:I"&amp;"460), I440&amp;RIGHT(INDIRECT(ADDRESS(ROW(I441)-1, 'From Order'!$A441)), 1), I440))"),"")</f>
        <v/>
      </c>
    </row>
    <row r="442">
      <c r="A442" s="2" t="str">
        <f>IFERROR(__xludf.DUMMYFUNCTION("IF('From Order'!$A442=COLUMNS($A442:A461), LEFT(INDEX(FILTER(A$1:A441, A$1:A441&lt;&gt;""""),COUNTA(FILTER(A$1:A441, A$1:A441&lt;&gt;""""))), LEN(INDEX(FILTER(A$1:A441, A$1:A441&lt;&gt;""""),COUNTA(FILTER(A$1:A441, A$1:A441&lt;&gt;""""))))-1), IF('To Order'!$A442=COLUMNS($A442:A"&amp;"461), A441&amp;RIGHT(INDIRECT(ADDRESS(ROW(A442)-1, 'From Order'!$A442)), 1), A441))"),"CTFTMQCD")</f>
        <v>CTFTMQCD</v>
      </c>
      <c r="B442" s="2" t="str">
        <f>IFERROR(__xludf.DUMMYFUNCTION("IF('From Order'!$A442=COLUMNS($A442:B461), LEFT(INDEX(FILTER(B$1:B441, B$1:B441&lt;&gt;""""),COUNTA(FILTER(B$1:B441, B$1:B441&lt;&gt;""""))), LEN(INDEX(FILTER(B$1:B441, B$1:B441&lt;&gt;""""),COUNTA(FILTER(B$1:B441, B$1:B441&lt;&gt;""""))))-1), IF('To Order'!$A442=COLUMNS($A442:B"&amp;"461), B441&amp;RIGHT(INDIRECT(ADDRESS(ROW(B442)-1, 'From Order'!$A442)), 1), B441))"),"JZRLBSGDT")</f>
        <v>JZRLBSGDT</v>
      </c>
      <c r="C442" s="2" t="str">
        <f>IFERROR(__xludf.DUMMYFUNCTION("IF('From Order'!$A442=COLUMNS($A442:C461), LEFT(INDEX(FILTER(C$1:C441, C$1:C441&lt;&gt;""""),COUNTA(FILTER(C$1:C441, C$1:C441&lt;&gt;""""))), LEN(INDEX(FILTER(C$1:C441, C$1:C441&lt;&gt;""""),COUNTA(FILTER(C$1:C441, C$1:C441&lt;&gt;""""))))-1), IF('To Order'!$A442=COLUMNS($A442:C"&amp;"461), C441&amp;RIGHT(INDIRECT(ADDRESS(ROW(C442)-1, 'From Order'!$A442)), 1), C441))"),"SMFBBRQPDSSGHWPBCVTJTWRDLRT")</f>
        <v>SMFBBRQPDSSGHWPBCVTJTWRDLRT</v>
      </c>
      <c r="D442" s="2" t="str">
        <f>IFERROR(__xludf.DUMMYFUNCTION("IF('From Order'!$A442=COLUMNS($A442:D461), LEFT(INDEX(FILTER(D$1:D441, D$1:D441&lt;&gt;""""),COUNTA(FILTER(D$1:D441, D$1:D441&lt;&gt;""""))), LEN(INDEX(FILTER(D$1:D441, D$1:D441&lt;&gt;""""),COUNTA(FILTER(D$1:D441, D$1:D441&lt;&gt;""""))))-1), IF('To Order'!$A442=COLUMNS($A442:D"&amp;"461), D441&amp;RIGHT(INDIRECT(ADDRESS(ROW(D442)-1, 'From Order'!$A442)), 1), D441))"),"")</f>
        <v/>
      </c>
      <c r="E442" s="2" t="str">
        <f>IFERROR(__xludf.DUMMYFUNCTION("IF('From Order'!$A442=COLUMNS($A442:E461), LEFT(INDEX(FILTER(E$1:E441, E$1:E441&lt;&gt;""""),COUNTA(FILTER(E$1:E441, E$1:E441&lt;&gt;""""))), LEN(INDEX(FILTER(E$1:E441, E$1:E441&lt;&gt;""""),COUNTA(FILTER(E$1:E441, E$1:E441&lt;&gt;""""))))-1), IF('To Order'!$A442=COLUMNS($A442:E"&amp;"461), E441&amp;RIGHT(INDIRECT(ADDRESS(ROW(E442)-1, 'From Order'!$A442)), 1), E441))"),"HZRVPV")</f>
        <v>HZRVPV</v>
      </c>
      <c r="F442" s="2" t="str">
        <f>IFERROR(__xludf.DUMMYFUNCTION("IF('From Order'!$A442=COLUMNS($A442:F461), LEFT(INDEX(FILTER(F$1:F441, F$1:F441&lt;&gt;""""),COUNTA(FILTER(F$1:F441, F$1:F441&lt;&gt;""""))), LEN(INDEX(FILTER(F$1:F441, F$1:F441&lt;&gt;""""),COUNTA(FILTER(F$1:F441, F$1:F441&lt;&gt;""""))))-1), IF('To Order'!$A442=COLUMNS($A442:F"&amp;"461), F441&amp;RIGHT(INDIRECT(ADDRESS(ROW(F442)-1, 'From Order'!$A442)), 1), F441))"),"MZDD")</f>
        <v>MZDD</v>
      </c>
      <c r="G442" s="2" t="str">
        <f>IFERROR(__xludf.DUMMYFUNCTION("IF('From Order'!$A442=COLUMNS($A442:G461), LEFT(INDEX(FILTER(G$1:G441, G$1:G441&lt;&gt;""""),COUNTA(FILTER(G$1:G441, G$1:G441&lt;&gt;""""))), LEN(INDEX(FILTER(G$1:G441, G$1:G441&lt;&gt;""""),COUNTA(FILTER(G$1:G441, G$1:G441&lt;&gt;""""))))-1), IF('To Order'!$A442=COLUMNS($A442:G"&amp;"461), G441&amp;RIGHT(INDIRECT(ADDRESS(ROW(G442)-1, 'From Order'!$A442)), 1), G441))"),"LJ")</f>
        <v>LJ</v>
      </c>
      <c r="H442" s="2" t="str">
        <f>IFERROR(__xludf.DUMMYFUNCTION("IF('From Order'!$A442=COLUMNS($A442:H461), LEFT(INDEX(FILTER(H$1:H441, H$1:H441&lt;&gt;""""),COUNTA(FILTER(H$1:H441, H$1:H441&lt;&gt;""""))), LEN(INDEX(FILTER(H$1:H441, H$1:H441&lt;&gt;""""),COUNTA(FILTER(H$1:H441, H$1:H441&lt;&gt;""""))))-1), IF('To Order'!$A442=COLUMNS($A442:H"&amp;"461), H441&amp;RIGHT(INDIRECT(ADDRESS(ROW(H442)-1, 'From Order'!$A442)), 1), H441))"),"")</f>
        <v/>
      </c>
      <c r="I442" s="2" t="str">
        <f>IFERROR(__xludf.DUMMYFUNCTION("IF('From Order'!$A442=COLUMNS($A442:I461), LEFT(INDEX(FILTER(I$1:I441, I$1:I441&lt;&gt;""""),COUNTA(FILTER(I$1:I441, I$1:I441&lt;&gt;""""))), LEN(INDEX(FILTER(I$1:I441, I$1:I441&lt;&gt;""""),COUNTA(FILTER(I$1:I441, I$1:I441&lt;&gt;""""))))-1), IF('To Order'!$A442=COLUMNS($A442:I"&amp;"461), I441&amp;RIGHT(INDIRECT(ADDRESS(ROW(I442)-1, 'From Order'!$A442)), 1), I441))"),"")</f>
        <v/>
      </c>
    </row>
    <row r="443">
      <c r="A443" s="2" t="str">
        <f>IFERROR(__xludf.DUMMYFUNCTION("IF('From Order'!$A443=COLUMNS($A443:A462), LEFT(INDEX(FILTER(A$1:A442, A$1:A442&lt;&gt;""""),COUNTA(FILTER(A$1:A442, A$1:A442&lt;&gt;""""))), LEN(INDEX(FILTER(A$1:A442, A$1:A442&lt;&gt;""""),COUNTA(FILTER(A$1:A442, A$1:A442&lt;&gt;""""))))-1), IF('To Order'!$A443=COLUMNS($A443:A"&amp;"462), A442&amp;RIGHT(INDIRECT(ADDRESS(ROW(A443)-1, 'From Order'!$A443)), 1), A442))"),"CTFTMQC")</f>
        <v>CTFTMQC</v>
      </c>
      <c r="B443" s="2" t="str">
        <f>IFERROR(__xludf.DUMMYFUNCTION("IF('From Order'!$A443=COLUMNS($A443:B462), LEFT(INDEX(FILTER(B$1:B442, B$1:B442&lt;&gt;""""),COUNTA(FILTER(B$1:B442, B$1:B442&lt;&gt;""""))), LEN(INDEX(FILTER(B$1:B442, B$1:B442&lt;&gt;""""),COUNTA(FILTER(B$1:B442, B$1:B442&lt;&gt;""""))))-1), IF('To Order'!$A443=COLUMNS($A443:B"&amp;"462), B442&amp;RIGHT(INDIRECT(ADDRESS(ROW(B443)-1, 'From Order'!$A443)), 1), B442))"),"JZRLBSGDT")</f>
        <v>JZRLBSGDT</v>
      </c>
      <c r="C443" s="2" t="str">
        <f>IFERROR(__xludf.DUMMYFUNCTION("IF('From Order'!$A443=COLUMNS($A443:C462), LEFT(INDEX(FILTER(C$1:C442, C$1:C442&lt;&gt;""""),COUNTA(FILTER(C$1:C442, C$1:C442&lt;&gt;""""))), LEN(INDEX(FILTER(C$1:C442, C$1:C442&lt;&gt;""""),COUNTA(FILTER(C$1:C442, C$1:C442&lt;&gt;""""))))-1), IF('To Order'!$A443=COLUMNS($A443:C"&amp;"462), C442&amp;RIGHT(INDIRECT(ADDRESS(ROW(C443)-1, 'From Order'!$A443)), 1), C442))"),"SMFBBRQPDSSGHWPBCVTJTWRDLRTD")</f>
        <v>SMFBBRQPDSSGHWPBCVTJTWRDLRTD</v>
      </c>
      <c r="D443" s="2" t="str">
        <f>IFERROR(__xludf.DUMMYFUNCTION("IF('From Order'!$A443=COLUMNS($A443:D462), LEFT(INDEX(FILTER(D$1:D442, D$1:D442&lt;&gt;""""),COUNTA(FILTER(D$1:D442, D$1:D442&lt;&gt;""""))), LEN(INDEX(FILTER(D$1:D442, D$1:D442&lt;&gt;""""),COUNTA(FILTER(D$1:D442, D$1:D442&lt;&gt;""""))))-1), IF('To Order'!$A443=COLUMNS($A443:D"&amp;"462), D442&amp;RIGHT(INDIRECT(ADDRESS(ROW(D443)-1, 'From Order'!$A443)), 1), D442))"),"")</f>
        <v/>
      </c>
      <c r="E443" s="2" t="str">
        <f>IFERROR(__xludf.DUMMYFUNCTION("IF('From Order'!$A443=COLUMNS($A443:E462), LEFT(INDEX(FILTER(E$1:E442, E$1:E442&lt;&gt;""""),COUNTA(FILTER(E$1:E442, E$1:E442&lt;&gt;""""))), LEN(INDEX(FILTER(E$1:E442, E$1:E442&lt;&gt;""""),COUNTA(FILTER(E$1:E442, E$1:E442&lt;&gt;""""))))-1), IF('To Order'!$A443=COLUMNS($A443:E"&amp;"462), E442&amp;RIGHT(INDIRECT(ADDRESS(ROW(E443)-1, 'From Order'!$A443)), 1), E442))"),"HZRVPV")</f>
        <v>HZRVPV</v>
      </c>
      <c r="F443" s="2" t="str">
        <f>IFERROR(__xludf.DUMMYFUNCTION("IF('From Order'!$A443=COLUMNS($A443:F462), LEFT(INDEX(FILTER(F$1:F442, F$1:F442&lt;&gt;""""),COUNTA(FILTER(F$1:F442, F$1:F442&lt;&gt;""""))), LEN(INDEX(FILTER(F$1:F442, F$1:F442&lt;&gt;""""),COUNTA(FILTER(F$1:F442, F$1:F442&lt;&gt;""""))))-1), IF('To Order'!$A443=COLUMNS($A443:F"&amp;"462), F442&amp;RIGHT(INDIRECT(ADDRESS(ROW(F443)-1, 'From Order'!$A443)), 1), F442))"),"MZDD")</f>
        <v>MZDD</v>
      </c>
      <c r="G443" s="2" t="str">
        <f>IFERROR(__xludf.DUMMYFUNCTION("IF('From Order'!$A443=COLUMNS($A443:G462), LEFT(INDEX(FILTER(G$1:G442, G$1:G442&lt;&gt;""""),COUNTA(FILTER(G$1:G442, G$1:G442&lt;&gt;""""))), LEN(INDEX(FILTER(G$1:G442, G$1:G442&lt;&gt;""""),COUNTA(FILTER(G$1:G442, G$1:G442&lt;&gt;""""))))-1), IF('To Order'!$A443=COLUMNS($A443:G"&amp;"462), G442&amp;RIGHT(INDIRECT(ADDRESS(ROW(G443)-1, 'From Order'!$A443)), 1), G442))"),"LJ")</f>
        <v>LJ</v>
      </c>
      <c r="H443" s="2" t="str">
        <f>IFERROR(__xludf.DUMMYFUNCTION("IF('From Order'!$A443=COLUMNS($A443:H462), LEFT(INDEX(FILTER(H$1:H442, H$1:H442&lt;&gt;""""),COUNTA(FILTER(H$1:H442, H$1:H442&lt;&gt;""""))), LEN(INDEX(FILTER(H$1:H442, H$1:H442&lt;&gt;""""),COUNTA(FILTER(H$1:H442, H$1:H442&lt;&gt;""""))))-1), IF('To Order'!$A443=COLUMNS($A443:H"&amp;"462), H442&amp;RIGHT(INDIRECT(ADDRESS(ROW(H443)-1, 'From Order'!$A443)), 1), H442))"),"")</f>
        <v/>
      </c>
      <c r="I443" s="2" t="str">
        <f>IFERROR(__xludf.DUMMYFUNCTION("IF('From Order'!$A443=COLUMNS($A443:I462), LEFT(INDEX(FILTER(I$1:I442, I$1:I442&lt;&gt;""""),COUNTA(FILTER(I$1:I442, I$1:I442&lt;&gt;""""))), LEN(INDEX(FILTER(I$1:I442, I$1:I442&lt;&gt;""""),COUNTA(FILTER(I$1:I442, I$1:I442&lt;&gt;""""))))-1), IF('To Order'!$A443=COLUMNS($A443:I"&amp;"462), I442&amp;RIGHT(INDIRECT(ADDRESS(ROW(I443)-1, 'From Order'!$A443)), 1), I442))"),"")</f>
        <v/>
      </c>
    </row>
    <row r="444">
      <c r="A444" s="2" t="str">
        <f>IFERROR(__xludf.DUMMYFUNCTION("IF('From Order'!$A444=COLUMNS($A444:A463), LEFT(INDEX(FILTER(A$1:A443, A$1:A443&lt;&gt;""""),COUNTA(FILTER(A$1:A443, A$1:A443&lt;&gt;""""))), LEN(INDEX(FILTER(A$1:A443, A$1:A443&lt;&gt;""""),COUNTA(FILTER(A$1:A443, A$1:A443&lt;&gt;""""))))-1), IF('To Order'!$A444=COLUMNS($A444:A"&amp;"463), A443&amp;RIGHT(INDIRECT(ADDRESS(ROW(A444)-1, 'From Order'!$A444)), 1), A443))"),"CTFTMQ")</f>
        <v>CTFTMQ</v>
      </c>
      <c r="B444" s="2" t="str">
        <f>IFERROR(__xludf.DUMMYFUNCTION("IF('From Order'!$A444=COLUMNS($A444:B463), LEFT(INDEX(FILTER(B$1:B443, B$1:B443&lt;&gt;""""),COUNTA(FILTER(B$1:B443, B$1:B443&lt;&gt;""""))), LEN(INDEX(FILTER(B$1:B443, B$1:B443&lt;&gt;""""),COUNTA(FILTER(B$1:B443, B$1:B443&lt;&gt;""""))))-1), IF('To Order'!$A444=COLUMNS($A444:B"&amp;"463), B443&amp;RIGHT(INDIRECT(ADDRESS(ROW(B444)-1, 'From Order'!$A444)), 1), B443))"),"JZRLBSGDT")</f>
        <v>JZRLBSGDT</v>
      </c>
      <c r="C444" s="2" t="str">
        <f>IFERROR(__xludf.DUMMYFUNCTION("IF('From Order'!$A444=COLUMNS($A444:C463), LEFT(INDEX(FILTER(C$1:C443, C$1:C443&lt;&gt;""""),COUNTA(FILTER(C$1:C443, C$1:C443&lt;&gt;""""))), LEN(INDEX(FILTER(C$1:C443, C$1:C443&lt;&gt;""""),COUNTA(FILTER(C$1:C443, C$1:C443&lt;&gt;""""))))-1), IF('To Order'!$A444=COLUMNS($A444:C"&amp;"463), C443&amp;RIGHT(INDIRECT(ADDRESS(ROW(C444)-1, 'From Order'!$A444)), 1), C443))"),"SMFBBRQPDSSGHWPBCVTJTWRDLRTDC")</f>
        <v>SMFBBRQPDSSGHWPBCVTJTWRDLRTDC</v>
      </c>
      <c r="D444" s="2" t="str">
        <f>IFERROR(__xludf.DUMMYFUNCTION("IF('From Order'!$A444=COLUMNS($A444:D463), LEFT(INDEX(FILTER(D$1:D443, D$1:D443&lt;&gt;""""),COUNTA(FILTER(D$1:D443, D$1:D443&lt;&gt;""""))), LEN(INDEX(FILTER(D$1:D443, D$1:D443&lt;&gt;""""),COUNTA(FILTER(D$1:D443, D$1:D443&lt;&gt;""""))))-1), IF('To Order'!$A444=COLUMNS($A444:D"&amp;"463), D443&amp;RIGHT(INDIRECT(ADDRESS(ROW(D444)-1, 'From Order'!$A444)), 1), D443))"),"")</f>
        <v/>
      </c>
      <c r="E444" s="2" t="str">
        <f>IFERROR(__xludf.DUMMYFUNCTION("IF('From Order'!$A444=COLUMNS($A444:E463), LEFT(INDEX(FILTER(E$1:E443, E$1:E443&lt;&gt;""""),COUNTA(FILTER(E$1:E443, E$1:E443&lt;&gt;""""))), LEN(INDEX(FILTER(E$1:E443, E$1:E443&lt;&gt;""""),COUNTA(FILTER(E$1:E443, E$1:E443&lt;&gt;""""))))-1), IF('To Order'!$A444=COLUMNS($A444:E"&amp;"463), E443&amp;RIGHT(INDIRECT(ADDRESS(ROW(E444)-1, 'From Order'!$A444)), 1), E443))"),"HZRVPV")</f>
        <v>HZRVPV</v>
      </c>
      <c r="F444" s="2" t="str">
        <f>IFERROR(__xludf.DUMMYFUNCTION("IF('From Order'!$A444=COLUMNS($A444:F463), LEFT(INDEX(FILTER(F$1:F443, F$1:F443&lt;&gt;""""),COUNTA(FILTER(F$1:F443, F$1:F443&lt;&gt;""""))), LEN(INDEX(FILTER(F$1:F443, F$1:F443&lt;&gt;""""),COUNTA(FILTER(F$1:F443, F$1:F443&lt;&gt;""""))))-1), IF('To Order'!$A444=COLUMNS($A444:F"&amp;"463), F443&amp;RIGHT(INDIRECT(ADDRESS(ROW(F444)-1, 'From Order'!$A444)), 1), F443))"),"MZDD")</f>
        <v>MZDD</v>
      </c>
      <c r="G444" s="2" t="str">
        <f>IFERROR(__xludf.DUMMYFUNCTION("IF('From Order'!$A444=COLUMNS($A444:G463), LEFT(INDEX(FILTER(G$1:G443, G$1:G443&lt;&gt;""""),COUNTA(FILTER(G$1:G443, G$1:G443&lt;&gt;""""))), LEN(INDEX(FILTER(G$1:G443, G$1:G443&lt;&gt;""""),COUNTA(FILTER(G$1:G443, G$1:G443&lt;&gt;""""))))-1), IF('To Order'!$A444=COLUMNS($A444:G"&amp;"463), G443&amp;RIGHT(INDIRECT(ADDRESS(ROW(G444)-1, 'From Order'!$A444)), 1), G443))"),"LJ")</f>
        <v>LJ</v>
      </c>
      <c r="H444" s="2" t="str">
        <f>IFERROR(__xludf.DUMMYFUNCTION("IF('From Order'!$A444=COLUMNS($A444:H463), LEFT(INDEX(FILTER(H$1:H443, H$1:H443&lt;&gt;""""),COUNTA(FILTER(H$1:H443, H$1:H443&lt;&gt;""""))), LEN(INDEX(FILTER(H$1:H443, H$1:H443&lt;&gt;""""),COUNTA(FILTER(H$1:H443, H$1:H443&lt;&gt;""""))))-1), IF('To Order'!$A444=COLUMNS($A444:H"&amp;"463), H443&amp;RIGHT(INDIRECT(ADDRESS(ROW(H444)-1, 'From Order'!$A444)), 1), H443))"),"")</f>
        <v/>
      </c>
      <c r="I444" s="2" t="str">
        <f>IFERROR(__xludf.DUMMYFUNCTION("IF('From Order'!$A444=COLUMNS($A444:I463), LEFT(INDEX(FILTER(I$1:I443, I$1:I443&lt;&gt;""""),COUNTA(FILTER(I$1:I443, I$1:I443&lt;&gt;""""))), LEN(INDEX(FILTER(I$1:I443, I$1:I443&lt;&gt;""""),COUNTA(FILTER(I$1:I443, I$1:I443&lt;&gt;""""))))-1), IF('To Order'!$A444=COLUMNS($A444:I"&amp;"463), I443&amp;RIGHT(INDIRECT(ADDRESS(ROW(I444)-1, 'From Order'!$A444)), 1), I443))"),"")</f>
        <v/>
      </c>
    </row>
    <row r="445">
      <c r="A445" s="2" t="str">
        <f>IFERROR(__xludf.DUMMYFUNCTION("IF('From Order'!$A445=COLUMNS($A445:A464), LEFT(INDEX(FILTER(A$1:A444, A$1:A444&lt;&gt;""""),COUNTA(FILTER(A$1:A444, A$1:A444&lt;&gt;""""))), LEN(INDEX(FILTER(A$1:A444, A$1:A444&lt;&gt;""""),COUNTA(FILTER(A$1:A444, A$1:A444&lt;&gt;""""))))-1), IF('To Order'!$A445=COLUMNS($A445:A"&amp;"464), A444&amp;RIGHT(INDIRECT(ADDRESS(ROW(A445)-1, 'From Order'!$A445)), 1), A444))"),"CTFTM")</f>
        <v>CTFTM</v>
      </c>
      <c r="B445" s="2" t="str">
        <f>IFERROR(__xludf.DUMMYFUNCTION("IF('From Order'!$A445=COLUMNS($A445:B464), LEFT(INDEX(FILTER(B$1:B444, B$1:B444&lt;&gt;""""),COUNTA(FILTER(B$1:B444, B$1:B444&lt;&gt;""""))), LEN(INDEX(FILTER(B$1:B444, B$1:B444&lt;&gt;""""),COUNTA(FILTER(B$1:B444, B$1:B444&lt;&gt;""""))))-1), IF('To Order'!$A445=COLUMNS($A445:B"&amp;"464), B444&amp;RIGHT(INDIRECT(ADDRESS(ROW(B445)-1, 'From Order'!$A445)), 1), B444))"),"JZRLBSGDT")</f>
        <v>JZRLBSGDT</v>
      </c>
      <c r="C445" s="2" t="str">
        <f>IFERROR(__xludf.DUMMYFUNCTION("IF('From Order'!$A445=COLUMNS($A445:C464), LEFT(INDEX(FILTER(C$1:C444, C$1:C444&lt;&gt;""""),COUNTA(FILTER(C$1:C444, C$1:C444&lt;&gt;""""))), LEN(INDEX(FILTER(C$1:C444, C$1:C444&lt;&gt;""""),COUNTA(FILTER(C$1:C444, C$1:C444&lt;&gt;""""))))-1), IF('To Order'!$A445=COLUMNS($A445:C"&amp;"464), C444&amp;RIGHT(INDIRECT(ADDRESS(ROW(C445)-1, 'From Order'!$A445)), 1), C444))"),"SMFBBRQPDSSGHWPBCVTJTWRDLRTDCQ")</f>
        <v>SMFBBRQPDSSGHWPBCVTJTWRDLRTDCQ</v>
      </c>
      <c r="D445" s="2" t="str">
        <f>IFERROR(__xludf.DUMMYFUNCTION("IF('From Order'!$A445=COLUMNS($A445:D464), LEFT(INDEX(FILTER(D$1:D444, D$1:D444&lt;&gt;""""),COUNTA(FILTER(D$1:D444, D$1:D444&lt;&gt;""""))), LEN(INDEX(FILTER(D$1:D444, D$1:D444&lt;&gt;""""),COUNTA(FILTER(D$1:D444, D$1:D444&lt;&gt;""""))))-1), IF('To Order'!$A445=COLUMNS($A445:D"&amp;"464), D444&amp;RIGHT(INDIRECT(ADDRESS(ROW(D445)-1, 'From Order'!$A445)), 1), D444))"),"")</f>
        <v/>
      </c>
      <c r="E445" s="2" t="str">
        <f>IFERROR(__xludf.DUMMYFUNCTION("IF('From Order'!$A445=COLUMNS($A445:E464), LEFT(INDEX(FILTER(E$1:E444, E$1:E444&lt;&gt;""""),COUNTA(FILTER(E$1:E444, E$1:E444&lt;&gt;""""))), LEN(INDEX(FILTER(E$1:E444, E$1:E444&lt;&gt;""""),COUNTA(FILTER(E$1:E444, E$1:E444&lt;&gt;""""))))-1), IF('To Order'!$A445=COLUMNS($A445:E"&amp;"464), E444&amp;RIGHT(INDIRECT(ADDRESS(ROW(E445)-1, 'From Order'!$A445)), 1), E444))"),"HZRVPV")</f>
        <v>HZRVPV</v>
      </c>
      <c r="F445" s="2" t="str">
        <f>IFERROR(__xludf.DUMMYFUNCTION("IF('From Order'!$A445=COLUMNS($A445:F464), LEFT(INDEX(FILTER(F$1:F444, F$1:F444&lt;&gt;""""),COUNTA(FILTER(F$1:F444, F$1:F444&lt;&gt;""""))), LEN(INDEX(FILTER(F$1:F444, F$1:F444&lt;&gt;""""),COUNTA(FILTER(F$1:F444, F$1:F444&lt;&gt;""""))))-1), IF('To Order'!$A445=COLUMNS($A445:F"&amp;"464), F444&amp;RIGHT(INDIRECT(ADDRESS(ROW(F445)-1, 'From Order'!$A445)), 1), F444))"),"MZDD")</f>
        <v>MZDD</v>
      </c>
      <c r="G445" s="2" t="str">
        <f>IFERROR(__xludf.DUMMYFUNCTION("IF('From Order'!$A445=COLUMNS($A445:G464), LEFT(INDEX(FILTER(G$1:G444, G$1:G444&lt;&gt;""""),COUNTA(FILTER(G$1:G444, G$1:G444&lt;&gt;""""))), LEN(INDEX(FILTER(G$1:G444, G$1:G444&lt;&gt;""""),COUNTA(FILTER(G$1:G444, G$1:G444&lt;&gt;""""))))-1), IF('To Order'!$A445=COLUMNS($A445:G"&amp;"464), G444&amp;RIGHT(INDIRECT(ADDRESS(ROW(G445)-1, 'From Order'!$A445)), 1), G444))"),"LJ")</f>
        <v>LJ</v>
      </c>
      <c r="H445" s="2" t="str">
        <f>IFERROR(__xludf.DUMMYFUNCTION("IF('From Order'!$A445=COLUMNS($A445:H464), LEFT(INDEX(FILTER(H$1:H444, H$1:H444&lt;&gt;""""),COUNTA(FILTER(H$1:H444, H$1:H444&lt;&gt;""""))), LEN(INDEX(FILTER(H$1:H444, H$1:H444&lt;&gt;""""),COUNTA(FILTER(H$1:H444, H$1:H444&lt;&gt;""""))))-1), IF('To Order'!$A445=COLUMNS($A445:H"&amp;"464), H444&amp;RIGHT(INDIRECT(ADDRESS(ROW(H445)-1, 'From Order'!$A445)), 1), H444))"),"")</f>
        <v/>
      </c>
      <c r="I445" s="2" t="str">
        <f>IFERROR(__xludf.DUMMYFUNCTION("IF('From Order'!$A445=COLUMNS($A445:I464), LEFT(INDEX(FILTER(I$1:I444, I$1:I444&lt;&gt;""""),COUNTA(FILTER(I$1:I444, I$1:I444&lt;&gt;""""))), LEN(INDEX(FILTER(I$1:I444, I$1:I444&lt;&gt;""""),COUNTA(FILTER(I$1:I444, I$1:I444&lt;&gt;""""))))-1), IF('To Order'!$A445=COLUMNS($A445:I"&amp;"464), I444&amp;RIGHT(INDIRECT(ADDRESS(ROW(I445)-1, 'From Order'!$A445)), 1), I444))"),"")</f>
        <v/>
      </c>
    </row>
    <row r="446">
      <c r="A446" s="2" t="str">
        <f>IFERROR(__xludf.DUMMYFUNCTION("IF('From Order'!$A446=COLUMNS($A446:A465), LEFT(INDEX(FILTER(A$1:A445, A$1:A445&lt;&gt;""""),COUNTA(FILTER(A$1:A445, A$1:A445&lt;&gt;""""))), LEN(INDEX(FILTER(A$1:A445, A$1:A445&lt;&gt;""""),COUNTA(FILTER(A$1:A445, A$1:A445&lt;&gt;""""))))-1), IF('To Order'!$A446=COLUMNS($A446:A"&amp;"465), A445&amp;RIGHT(INDIRECT(ADDRESS(ROW(A446)-1, 'From Order'!$A446)), 1), A445))"),"CTFT")</f>
        <v>CTFT</v>
      </c>
      <c r="B446" s="2" t="str">
        <f>IFERROR(__xludf.DUMMYFUNCTION("IF('From Order'!$A446=COLUMNS($A446:B465), LEFT(INDEX(FILTER(B$1:B445, B$1:B445&lt;&gt;""""),COUNTA(FILTER(B$1:B445, B$1:B445&lt;&gt;""""))), LEN(INDEX(FILTER(B$1:B445, B$1:B445&lt;&gt;""""),COUNTA(FILTER(B$1:B445, B$1:B445&lt;&gt;""""))))-1), IF('To Order'!$A446=COLUMNS($A446:B"&amp;"465), B445&amp;RIGHT(INDIRECT(ADDRESS(ROW(B446)-1, 'From Order'!$A446)), 1), B445))"),"JZRLBSGDT")</f>
        <v>JZRLBSGDT</v>
      </c>
      <c r="C446" s="2" t="str">
        <f>IFERROR(__xludf.DUMMYFUNCTION("IF('From Order'!$A446=COLUMNS($A446:C465), LEFT(INDEX(FILTER(C$1:C445, C$1:C445&lt;&gt;""""),COUNTA(FILTER(C$1:C445, C$1:C445&lt;&gt;""""))), LEN(INDEX(FILTER(C$1:C445, C$1:C445&lt;&gt;""""),COUNTA(FILTER(C$1:C445, C$1:C445&lt;&gt;""""))))-1), IF('To Order'!$A446=COLUMNS($A446:C"&amp;"465), C445&amp;RIGHT(INDIRECT(ADDRESS(ROW(C446)-1, 'From Order'!$A446)), 1), C445))"),"SMFBBRQPDSSGHWPBCVTJTWRDLRTDCQM")</f>
        <v>SMFBBRQPDSSGHWPBCVTJTWRDLRTDCQM</v>
      </c>
      <c r="D446" s="2" t="str">
        <f>IFERROR(__xludf.DUMMYFUNCTION("IF('From Order'!$A446=COLUMNS($A446:D465), LEFT(INDEX(FILTER(D$1:D445, D$1:D445&lt;&gt;""""),COUNTA(FILTER(D$1:D445, D$1:D445&lt;&gt;""""))), LEN(INDEX(FILTER(D$1:D445, D$1:D445&lt;&gt;""""),COUNTA(FILTER(D$1:D445, D$1:D445&lt;&gt;""""))))-1), IF('To Order'!$A446=COLUMNS($A446:D"&amp;"465), D445&amp;RIGHT(INDIRECT(ADDRESS(ROW(D446)-1, 'From Order'!$A446)), 1), D445))"),"")</f>
        <v/>
      </c>
      <c r="E446" s="2" t="str">
        <f>IFERROR(__xludf.DUMMYFUNCTION("IF('From Order'!$A446=COLUMNS($A446:E465), LEFT(INDEX(FILTER(E$1:E445, E$1:E445&lt;&gt;""""),COUNTA(FILTER(E$1:E445, E$1:E445&lt;&gt;""""))), LEN(INDEX(FILTER(E$1:E445, E$1:E445&lt;&gt;""""),COUNTA(FILTER(E$1:E445, E$1:E445&lt;&gt;""""))))-1), IF('To Order'!$A446=COLUMNS($A446:E"&amp;"465), E445&amp;RIGHT(INDIRECT(ADDRESS(ROW(E446)-1, 'From Order'!$A446)), 1), E445))"),"HZRVPV")</f>
        <v>HZRVPV</v>
      </c>
      <c r="F446" s="2" t="str">
        <f>IFERROR(__xludf.DUMMYFUNCTION("IF('From Order'!$A446=COLUMNS($A446:F465), LEFT(INDEX(FILTER(F$1:F445, F$1:F445&lt;&gt;""""),COUNTA(FILTER(F$1:F445, F$1:F445&lt;&gt;""""))), LEN(INDEX(FILTER(F$1:F445, F$1:F445&lt;&gt;""""),COUNTA(FILTER(F$1:F445, F$1:F445&lt;&gt;""""))))-1), IF('To Order'!$A446=COLUMNS($A446:F"&amp;"465), F445&amp;RIGHT(INDIRECT(ADDRESS(ROW(F446)-1, 'From Order'!$A446)), 1), F445))"),"MZDD")</f>
        <v>MZDD</v>
      </c>
      <c r="G446" s="2" t="str">
        <f>IFERROR(__xludf.DUMMYFUNCTION("IF('From Order'!$A446=COLUMNS($A446:G465), LEFT(INDEX(FILTER(G$1:G445, G$1:G445&lt;&gt;""""),COUNTA(FILTER(G$1:G445, G$1:G445&lt;&gt;""""))), LEN(INDEX(FILTER(G$1:G445, G$1:G445&lt;&gt;""""),COUNTA(FILTER(G$1:G445, G$1:G445&lt;&gt;""""))))-1), IF('To Order'!$A446=COLUMNS($A446:G"&amp;"465), G445&amp;RIGHT(INDIRECT(ADDRESS(ROW(G446)-1, 'From Order'!$A446)), 1), G445))"),"LJ")</f>
        <v>LJ</v>
      </c>
      <c r="H446" s="2" t="str">
        <f>IFERROR(__xludf.DUMMYFUNCTION("IF('From Order'!$A446=COLUMNS($A446:H465), LEFT(INDEX(FILTER(H$1:H445, H$1:H445&lt;&gt;""""),COUNTA(FILTER(H$1:H445, H$1:H445&lt;&gt;""""))), LEN(INDEX(FILTER(H$1:H445, H$1:H445&lt;&gt;""""),COUNTA(FILTER(H$1:H445, H$1:H445&lt;&gt;""""))))-1), IF('To Order'!$A446=COLUMNS($A446:H"&amp;"465), H445&amp;RIGHT(INDIRECT(ADDRESS(ROW(H446)-1, 'From Order'!$A446)), 1), H445))"),"")</f>
        <v/>
      </c>
      <c r="I446" s="2" t="str">
        <f>IFERROR(__xludf.DUMMYFUNCTION("IF('From Order'!$A446=COLUMNS($A446:I465), LEFT(INDEX(FILTER(I$1:I445, I$1:I445&lt;&gt;""""),COUNTA(FILTER(I$1:I445, I$1:I445&lt;&gt;""""))), LEN(INDEX(FILTER(I$1:I445, I$1:I445&lt;&gt;""""),COUNTA(FILTER(I$1:I445, I$1:I445&lt;&gt;""""))))-1), IF('To Order'!$A446=COLUMNS($A446:I"&amp;"465), I445&amp;RIGHT(INDIRECT(ADDRESS(ROW(I446)-1, 'From Order'!$A446)), 1), I445))"),"")</f>
        <v/>
      </c>
    </row>
    <row r="447">
      <c r="A447" s="2" t="str">
        <f>IFERROR(__xludf.DUMMYFUNCTION("IF('From Order'!$A447=COLUMNS($A447:A466), LEFT(INDEX(FILTER(A$1:A446, A$1:A446&lt;&gt;""""),COUNTA(FILTER(A$1:A446, A$1:A446&lt;&gt;""""))), LEN(INDEX(FILTER(A$1:A446, A$1:A446&lt;&gt;""""),COUNTA(FILTER(A$1:A446, A$1:A446&lt;&gt;""""))))-1), IF('To Order'!$A447=COLUMNS($A447:A"&amp;"466), A446&amp;RIGHT(INDIRECT(ADDRESS(ROW(A447)-1, 'From Order'!$A447)), 1), A446))"),"CTF")</f>
        <v>CTF</v>
      </c>
      <c r="B447" s="2" t="str">
        <f>IFERROR(__xludf.DUMMYFUNCTION("IF('From Order'!$A447=COLUMNS($A447:B466), LEFT(INDEX(FILTER(B$1:B446, B$1:B446&lt;&gt;""""),COUNTA(FILTER(B$1:B446, B$1:B446&lt;&gt;""""))), LEN(INDEX(FILTER(B$1:B446, B$1:B446&lt;&gt;""""),COUNTA(FILTER(B$1:B446, B$1:B446&lt;&gt;""""))))-1), IF('To Order'!$A447=COLUMNS($A447:B"&amp;"466), B446&amp;RIGHT(INDIRECT(ADDRESS(ROW(B447)-1, 'From Order'!$A447)), 1), B446))"),"JZRLBSGDT")</f>
        <v>JZRLBSGDT</v>
      </c>
      <c r="C447" s="2" t="str">
        <f>IFERROR(__xludf.DUMMYFUNCTION("IF('From Order'!$A447=COLUMNS($A447:C466), LEFT(INDEX(FILTER(C$1:C446, C$1:C446&lt;&gt;""""),COUNTA(FILTER(C$1:C446, C$1:C446&lt;&gt;""""))), LEN(INDEX(FILTER(C$1:C446, C$1:C446&lt;&gt;""""),COUNTA(FILTER(C$1:C446, C$1:C446&lt;&gt;""""))))-1), IF('To Order'!$A447=COLUMNS($A447:C"&amp;"466), C446&amp;RIGHT(INDIRECT(ADDRESS(ROW(C447)-1, 'From Order'!$A447)), 1), C446))"),"SMFBBRQPDSSGHWPBCVTJTWRDLRTDCQMT")</f>
        <v>SMFBBRQPDSSGHWPBCVTJTWRDLRTDCQMT</v>
      </c>
      <c r="D447" s="2" t="str">
        <f>IFERROR(__xludf.DUMMYFUNCTION("IF('From Order'!$A447=COLUMNS($A447:D466), LEFT(INDEX(FILTER(D$1:D446, D$1:D446&lt;&gt;""""),COUNTA(FILTER(D$1:D446, D$1:D446&lt;&gt;""""))), LEN(INDEX(FILTER(D$1:D446, D$1:D446&lt;&gt;""""),COUNTA(FILTER(D$1:D446, D$1:D446&lt;&gt;""""))))-1), IF('To Order'!$A447=COLUMNS($A447:D"&amp;"466), D446&amp;RIGHT(INDIRECT(ADDRESS(ROW(D447)-1, 'From Order'!$A447)), 1), D446))"),"")</f>
        <v/>
      </c>
      <c r="E447" s="2" t="str">
        <f>IFERROR(__xludf.DUMMYFUNCTION("IF('From Order'!$A447=COLUMNS($A447:E466), LEFT(INDEX(FILTER(E$1:E446, E$1:E446&lt;&gt;""""),COUNTA(FILTER(E$1:E446, E$1:E446&lt;&gt;""""))), LEN(INDEX(FILTER(E$1:E446, E$1:E446&lt;&gt;""""),COUNTA(FILTER(E$1:E446, E$1:E446&lt;&gt;""""))))-1), IF('To Order'!$A447=COLUMNS($A447:E"&amp;"466), E446&amp;RIGHT(INDIRECT(ADDRESS(ROW(E447)-1, 'From Order'!$A447)), 1), E446))"),"HZRVPV")</f>
        <v>HZRVPV</v>
      </c>
      <c r="F447" s="2" t="str">
        <f>IFERROR(__xludf.DUMMYFUNCTION("IF('From Order'!$A447=COLUMNS($A447:F466), LEFT(INDEX(FILTER(F$1:F446, F$1:F446&lt;&gt;""""),COUNTA(FILTER(F$1:F446, F$1:F446&lt;&gt;""""))), LEN(INDEX(FILTER(F$1:F446, F$1:F446&lt;&gt;""""),COUNTA(FILTER(F$1:F446, F$1:F446&lt;&gt;""""))))-1), IF('To Order'!$A447=COLUMNS($A447:F"&amp;"466), F446&amp;RIGHT(INDIRECT(ADDRESS(ROW(F447)-1, 'From Order'!$A447)), 1), F446))"),"MZDD")</f>
        <v>MZDD</v>
      </c>
      <c r="G447" s="2" t="str">
        <f>IFERROR(__xludf.DUMMYFUNCTION("IF('From Order'!$A447=COLUMNS($A447:G466), LEFT(INDEX(FILTER(G$1:G446, G$1:G446&lt;&gt;""""),COUNTA(FILTER(G$1:G446, G$1:G446&lt;&gt;""""))), LEN(INDEX(FILTER(G$1:G446, G$1:G446&lt;&gt;""""),COUNTA(FILTER(G$1:G446, G$1:G446&lt;&gt;""""))))-1), IF('To Order'!$A447=COLUMNS($A447:G"&amp;"466), G446&amp;RIGHT(INDIRECT(ADDRESS(ROW(G447)-1, 'From Order'!$A447)), 1), G446))"),"LJ")</f>
        <v>LJ</v>
      </c>
      <c r="H447" s="2" t="str">
        <f>IFERROR(__xludf.DUMMYFUNCTION("IF('From Order'!$A447=COLUMNS($A447:H466), LEFT(INDEX(FILTER(H$1:H446, H$1:H446&lt;&gt;""""),COUNTA(FILTER(H$1:H446, H$1:H446&lt;&gt;""""))), LEN(INDEX(FILTER(H$1:H446, H$1:H446&lt;&gt;""""),COUNTA(FILTER(H$1:H446, H$1:H446&lt;&gt;""""))))-1), IF('To Order'!$A447=COLUMNS($A447:H"&amp;"466), H446&amp;RIGHT(INDIRECT(ADDRESS(ROW(H447)-1, 'From Order'!$A447)), 1), H446))"),"")</f>
        <v/>
      </c>
      <c r="I447" s="2" t="str">
        <f>IFERROR(__xludf.DUMMYFUNCTION("IF('From Order'!$A447=COLUMNS($A447:I466), LEFT(INDEX(FILTER(I$1:I446, I$1:I446&lt;&gt;""""),COUNTA(FILTER(I$1:I446, I$1:I446&lt;&gt;""""))), LEN(INDEX(FILTER(I$1:I446, I$1:I446&lt;&gt;""""),COUNTA(FILTER(I$1:I446, I$1:I446&lt;&gt;""""))))-1), IF('To Order'!$A447=COLUMNS($A447:I"&amp;"466), I446&amp;RIGHT(INDIRECT(ADDRESS(ROW(I447)-1, 'From Order'!$A447)), 1), I446))"),"")</f>
        <v/>
      </c>
    </row>
    <row r="448">
      <c r="A448" s="2" t="str">
        <f>IFERROR(__xludf.DUMMYFUNCTION("IF('From Order'!$A448=COLUMNS($A448:A467), LEFT(INDEX(FILTER(A$1:A447, A$1:A447&lt;&gt;""""),COUNTA(FILTER(A$1:A447, A$1:A447&lt;&gt;""""))), LEN(INDEX(FILTER(A$1:A447, A$1:A447&lt;&gt;""""),COUNTA(FILTER(A$1:A447, A$1:A447&lt;&gt;""""))))-1), IF('To Order'!$A448=COLUMNS($A448:A"&amp;"467), A447&amp;RIGHT(INDIRECT(ADDRESS(ROW(A448)-1, 'From Order'!$A448)), 1), A447))"),"CT")</f>
        <v>CT</v>
      </c>
      <c r="B448" s="2" t="str">
        <f>IFERROR(__xludf.DUMMYFUNCTION("IF('From Order'!$A448=COLUMNS($A448:B467), LEFT(INDEX(FILTER(B$1:B447, B$1:B447&lt;&gt;""""),COUNTA(FILTER(B$1:B447, B$1:B447&lt;&gt;""""))), LEN(INDEX(FILTER(B$1:B447, B$1:B447&lt;&gt;""""),COUNTA(FILTER(B$1:B447, B$1:B447&lt;&gt;""""))))-1), IF('To Order'!$A448=COLUMNS($A448:B"&amp;"467), B447&amp;RIGHT(INDIRECT(ADDRESS(ROW(B448)-1, 'From Order'!$A448)), 1), B447))"),"JZRLBSGDT")</f>
        <v>JZRLBSGDT</v>
      </c>
      <c r="C448" s="2" t="str">
        <f>IFERROR(__xludf.DUMMYFUNCTION("IF('From Order'!$A448=COLUMNS($A448:C467), LEFT(INDEX(FILTER(C$1:C447, C$1:C447&lt;&gt;""""),COUNTA(FILTER(C$1:C447, C$1:C447&lt;&gt;""""))), LEN(INDEX(FILTER(C$1:C447, C$1:C447&lt;&gt;""""),COUNTA(FILTER(C$1:C447, C$1:C447&lt;&gt;""""))))-1), IF('To Order'!$A448=COLUMNS($A448:C"&amp;"467), C447&amp;RIGHT(INDIRECT(ADDRESS(ROW(C448)-1, 'From Order'!$A448)), 1), C447))"),"SMFBBRQPDSSGHWPBCVTJTWRDLRTDCQMTF")</f>
        <v>SMFBBRQPDSSGHWPBCVTJTWRDLRTDCQMTF</v>
      </c>
      <c r="D448" s="2" t="str">
        <f>IFERROR(__xludf.DUMMYFUNCTION("IF('From Order'!$A448=COLUMNS($A448:D467), LEFT(INDEX(FILTER(D$1:D447, D$1:D447&lt;&gt;""""),COUNTA(FILTER(D$1:D447, D$1:D447&lt;&gt;""""))), LEN(INDEX(FILTER(D$1:D447, D$1:D447&lt;&gt;""""),COUNTA(FILTER(D$1:D447, D$1:D447&lt;&gt;""""))))-1), IF('To Order'!$A448=COLUMNS($A448:D"&amp;"467), D447&amp;RIGHT(INDIRECT(ADDRESS(ROW(D448)-1, 'From Order'!$A448)), 1), D447))"),"")</f>
        <v/>
      </c>
      <c r="E448" s="2" t="str">
        <f>IFERROR(__xludf.DUMMYFUNCTION("IF('From Order'!$A448=COLUMNS($A448:E467), LEFT(INDEX(FILTER(E$1:E447, E$1:E447&lt;&gt;""""),COUNTA(FILTER(E$1:E447, E$1:E447&lt;&gt;""""))), LEN(INDEX(FILTER(E$1:E447, E$1:E447&lt;&gt;""""),COUNTA(FILTER(E$1:E447, E$1:E447&lt;&gt;""""))))-1), IF('To Order'!$A448=COLUMNS($A448:E"&amp;"467), E447&amp;RIGHT(INDIRECT(ADDRESS(ROW(E448)-1, 'From Order'!$A448)), 1), E447))"),"HZRVPV")</f>
        <v>HZRVPV</v>
      </c>
      <c r="F448" s="2" t="str">
        <f>IFERROR(__xludf.DUMMYFUNCTION("IF('From Order'!$A448=COLUMNS($A448:F467), LEFT(INDEX(FILTER(F$1:F447, F$1:F447&lt;&gt;""""),COUNTA(FILTER(F$1:F447, F$1:F447&lt;&gt;""""))), LEN(INDEX(FILTER(F$1:F447, F$1:F447&lt;&gt;""""),COUNTA(FILTER(F$1:F447, F$1:F447&lt;&gt;""""))))-1), IF('To Order'!$A448=COLUMNS($A448:F"&amp;"467), F447&amp;RIGHT(INDIRECT(ADDRESS(ROW(F448)-1, 'From Order'!$A448)), 1), F447))"),"MZDD")</f>
        <v>MZDD</v>
      </c>
      <c r="G448" s="2" t="str">
        <f>IFERROR(__xludf.DUMMYFUNCTION("IF('From Order'!$A448=COLUMNS($A448:G467), LEFT(INDEX(FILTER(G$1:G447, G$1:G447&lt;&gt;""""),COUNTA(FILTER(G$1:G447, G$1:G447&lt;&gt;""""))), LEN(INDEX(FILTER(G$1:G447, G$1:G447&lt;&gt;""""),COUNTA(FILTER(G$1:G447, G$1:G447&lt;&gt;""""))))-1), IF('To Order'!$A448=COLUMNS($A448:G"&amp;"467), G447&amp;RIGHT(INDIRECT(ADDRESS(ROW(G448)-1, 'From Order'!$A448)), 1), G447))"),"LJ")</f>
        <v>LJ</v>
      </c>
      <c r="H448" s="2" t="str">
        <f>IFERROR(__xludf.DUMMYFUNCTION("IF('From Order'!$A448=COLUMNS($A448:H467), LEFT(INDEX(FILTER(H$1:H447, H$1:H447&lt;&gt;""""),COUNTA(FILTER(H$1:H447, H$1:H447&lt;&gt;""""))), LEN(INDEX(FILTER(H$1:H447, H$1:H447&lt;&gt;""""),COUNTA(FILTER(H$1:H447, H$1:H447&lt;&gt;""""))))-1), IF('To Order'!$A448=COLUMNS($A448:H"&amp;"467), H447&amp;RIGHT(INDIRECT(ADDRESS(ROW(H448)-1, 'From Order'!$A448)), 1), H447))"),"")</f>
        <v/>
      </c>
      <c r="I448" s="2" t="str">
        <f>IFERROR(__xludf.DUMMYFUNCTION("IF('From Order'!$A448=COLUMNS($A448:I467), LEFT(INDEX(FILTER(I$1:I447, I$1:I447&lt;&gt;""""),COUNTA(FILTER(I$1:I447, I$1:I447&lt;&gt;""""))), LEN(INDEX(FILTER(I$1:I447, I$1:I447&lt;&gt;""""),COUNTA(FILTER(I$1:I447, I$1:I447&lt;&gt;""""))))-1), IF('To Order'!$A448=COLUMNS($A448:I"&amp;"467), I447&amp;RIGHT(INDIRECT(ADDRESS(ROW(I448)-1, 'From Order'!$A448)), 1), I447))"),"")</f>
        <v/>
      </c>
    </row>
    <row r="449">
      <c r="A449" s="2" t="str">
        <f>IFERROR(__xludf.DUMMYFUNCTION("IF('From Order'!$A449=COLUMNS($A449:A468), LEFT(INDEX(FILTER(A$1:A448, A$1:A448&lt;&gt;""""),COUNTA(FILTER(A$1:A448, A$1:A448&lt;&gt;""""))), LEN(INDEX(FILTER(A$1:A448, A$1:A448&lt;&gt;""""),COUNTA(FILTER(A$1:A448, A$1:A448&lt;&gt;""""))))-1), IF('To Order'!$A449=COLUMNS($A449:A"&amp;"468), A448&amp;RIGHT(INDIRECT(ADDRESS(ROW(A449)-1, 'From Order'!$A449)), 1), A448))"),"C")</f>
        <v>C</v>
      </c>
      <c r="B449" s="2" t="str">
        <f>IFERROR(__xludf.DUMMYFUNCTION("IF('From Order'!$A449=COLUMNS($A449:B468), LEFT(INDEX(FILTER(B$1:B448, B$1:B448&lt;&gt;""""),COUNTA(FILTER(B$1:B448, B$1:B448&lt;&gt;""""))), LEN(INDEX(FILTER(B$1:B448, B$1:B448&lt;&gt;""""),COUNTA(FILTER(B$1:B448, B$1:B448&lt;&gt;""""))))-1), IF('To Order'!$A449=COLUMNS($A449:B"&amp;"468), B448&amp;RIGHT(INDIRECT(ADDRESS(ROW(B449)-1, 'From Order'!$A449)), 1), B448))"),"JZRLBSGDT")</f>
        <v>JZRLBSGDT</v>
      </c>
      <c r="C449" s="2" t="str">
        <f>IFERROR(__xludf.DUMMYFUNCTION("IF('From Order'!$A449=COLUMNS($A449:C468), LEFT(INDEX(FILTER(C$1:C448, C$1:C448&lt;&gt;""""),COUNTA(FILTER(C$1:C448, C$1:C448&lt;&gt;""""))), LEN(INDEX(FILTER(C$1:C448, C$1:C448&lt;&gt;""""),COUNTA(FILTER(C$1:C448, C$1:C448&lt;&gt;""""))))-1), IF('To Order'!$A449=COLUMNS($A449:C"&amp;"468), C448&amp;RIGHT(INDIRECT(ADDRESS(ROW(C449)-1, 'From Order'!$A449)), 1), C448))"),"SMFBBRQPDSSGHWPBCVTJTWRDLRTDCQMTFT")</f>
        <v>SMFBBRQPDSSGHWPBCVTJTWRDLRTDCQMTFT</v>
      </c>
      <c r="D449" s="2" t="str">
        <f>IFERROR(__xludf.DUMMYFUNCTION("IF('From Order'!$A449=COLUMNS($A449:D468), LEFT(INDEX(FILTER(D$1:D448, D$1:D448&lt;&gt;""""),COUNTA(FILTER(D$1:D448, D$1:D448&lt;&gt;""""))), LEN(INDEX(FILTER(D$1:D448, D$1:D448&lt;&gt;""""),COUNTA(FILTER(D$1:D448, D$1:D448&lt;&gt;""""))))-1), IF('To Order'!$A449=COLUMNS($A449:D"&amp;"468), D448&amp;RIGHT(INDIRECT(ADDRESS(ROW(D449)-1, 'From Order'!$A449)), 1), D448))"),"")</f>
        <v/>
      </c>
      <c r="E449" s="2" t="str">
        <f>IFERROR(__xludf.DUMMYFUNCTION("IF('From Order'!$A449=COLUMNS($A449:E468), LEFT(INDEX(FILTER(E$1:E448, E$1:E448&lt;&gt;""""),COUNTA(FILTER(E$1:E448, E$1:E448&lt;&gt;""""))), LEN(INDEX(FILTER(E$1:E448, E$1:E448&lt;&gt;""""),COUNTA(FILTER(E$1:E448, E$1:E448&lt;&gt;""""))))-1), IF('To Order'!$A449=COLUMNS($A449:E"&amp;"468), E448&amp;RIGHT(INDIRECT(ADDRESS(ROW(E449)-1, 'From Order'!$A449)), 1), E448))"),"HZRVPV")</f>
        <v>HZRVPV</v>
      </c>
      <c r="F449" s="2" t="str">
        <f>IFERROR(__xludf.DUMMYFUNCTION("IF('From Order'!$A449=COLUMNS($A449:F468), LEFT(INDEX(FILTER(F$1:F448, F$1:F448&lt;&gt;""""),COUNTA(FILTER(F$1:F448, F$1:F448&lt;&gt;""""))), LEN(INDEX(FILTER(F$1:F448, F$1:F448&lt;&gt;""""),COUNTA(FILTER(F$1:F448, F$1:F448&lt;&gt;""""))))-1), IF('To Order'!$A449=COLUMNS($A449:F"&amp;"468), F448&amp;RIGHT(INDIRECT(ADDRESS(ROW(F449)-1, 'From Order'!$A449)), 1), F448))"),"MZDD")</f>
        <v>MZDD</v>
      </c>
      <c r="G449" s="2" t="str">
        <f>IFERROR(__xludf.DUMMYFUNCTION("IF('From Order'!$A449=COLUMNS($A449:G468), LEFT(INDEX(FILTER(G$1:G448, G$1:G448&lt;&gt;""""),COUNTA(FILTER(G$1:G448, G$1:G448&lt;&gt;""""))), LEN(INDEX(FILTER(G$1:G448, G$1:G448&lt;&gt;""""),COUNTA(FILTER(G$1:G448, G$1:G448&lt;&gt;""""))))-1), IF('To Order'!$A449=COLUMNS($A449:G"&amp;"468), G448&amp;RIGHT(INDIRECT(ADDRESS(ROW(G449)-1, 'From Order'!$A449)), 1), G448))"),"LJ")</f>
        <v>LJ</v>
      </c>
      <c r="H449" s="2" t="str">
        <f>IFERROR(__xludf.DUMMYFUNCTION("IF('From Order'!$A449=COLUMNS($A449:H468), LEFT(INDEX(FILTER(H$1:H448, H$1:H448&lt;&gt;""""),COUNTA(FILTER(H$1:H448, H$1:H448&lt;&gt;""""))), LEN(INDEX(FILTER(H$1:H448, H$1:H448&lt;&gt;""""),COUNTA(FILTER(H$1:H448, H$1:H448&lt;&gt;""""))))-1), IF('To Order'!$A449=COLUMNS($A449:H"&amp;"468), H448&amp;RIGHT(INDIRECT(ADDRESS(ROW(H449)-1, 'From Order'!$A449)), 1), H448))"),"")</f>
        <v/>
      </c>
      <c r="I449" s="2" t="str">
        <f>IFERROR(__xludf.DUMMYFUNCTION("IF('From Order'!$A449=COLUMNS($A449:I468), LEFT(INDEX(FILTER(I$1:I448, I$1:I448&lt;&gt;""""),COUNTA(FILTER(I$1:I448, I$1:I448&lt;&gt;""""))), LEN(INDEX(FILTER(I$1:I448, I$1:I448&lt;&gt;""""),COUNTA(FILTER(I$1:I448, I$1:I448&lt;&gt;""""))))-1), IF('To Order'!$A449=COLUMNS($A449:I"&amp;"468), I448&amp;RIGHT(INDIRECT(ADDRESS(ROW(I449)-1, 'From Order'!$A449)), 1), I448))"),"")</f>
        <v/>
      </c>
    </row>
    <row r="450">
      <c r="A450" s="2" t="str">
        <f>IFERROR(__xludf.DUMMYFUNCTION("IF('From Order'!$A450=COLUMNS($A450:A469), LEFT(INDEX(FILTER(A$1:A449, A$1:A449&lt;&gt;""""),COUNTA(FILTER(A$1:A449, A$1:A449&lt;&gt;""""))), LEN(INDEX(FILTER(A$1:A449, A$1:A449&lt;&gt;""""),COUNTA(FILTER(A$1:A449, A$1:A449&lt;&gt;""""))))-1), IF('To Order'!$A450=COLUMNS($A450:A"&amp;"469), A449&amp;RIGHT(INDIRECT(ADDRESS(ROW(A450)-1, 'From Order'!$A450)), 1), A449))"),"")</f>
        <v/>
      </c>
      <c r="B450" s="2" t="str">
        <f>IFERROR(__xludf.DUMMYFUNCTION("IF('From Order'!$A450=COLUMNS($A450:B469), LEFT(INDEX(FILTER(B$1:B449, B$1:B449&lt;&gt;""""),COUNTA(FILTER(B$1:B449, B$1:B449&lt;&gt;""""))), LEN(INDEX(FILTER(B$1:B449, B$1:B449&lt;&gt;""""),COUNTA(FILTER(B$1:B449, B$1:B449&lt;&gt;""""))))-1), IF('To Order'!$A450=COLUMNS($A450:B"&amp;"469), B449&amp;RIGHT(INDIRECT(ADDRESS(ROW(B450)-1, 'From Order'!$A450)), 1), B449))"),"JZRLBSGDT")</f>
        <v>JZRLBSGDT</v>
      </c>
      <c r="C450" s="2" t="str">
        <f>IFERROR(__xludf.DUMMYFUNCTION("IF('From Order'!$A450=COLUMNS($A450:C469), LEFT(INDEX(FILTER(C$1:C449, C$1:C449&lt;&gt;""""),COUNTA(FILTER(C$1:C449, C$1:C449&lt;&gt;""""))), LEN(INDEX(FILTER(C$1:C449, C$1:C449&lt;&gt;""""),COUNTA(FILTER(C$1:C449, C$1:C449&lt;&gt;""""))))-1), IF('To Order'!$A450=COLUMNS($A450:C"&amp;"469), C449&amp;RIGHT(INDIRECT(ADDRESS(ROW(C450)-1, 'From Order'!$A450)), 1), C449))"),"SMFBBRQPDSSGHWPBCVTJTWRDLRTDCQMTFTC")</f>
        <v>SMFBBRQPDSSGHWPBCVTJTWRDLRTDCQMTFTC</v>
      </c>
      <c r="D450" s="2" t="str">
        <f>IFERROR(__xludf.DUMMYFUNCTION("IF('From Order'!$A450=COLUMNS($A450:D469), LEFT(INDEX(FILTER(D$1:D449, D$1:D449&lt;&gt;""""),COUNTA(FILTER(D$1:D449, D$1:D449&lt;&gt;""""))), LEN(INDEX(FILTER(D$1:D449, D$1:D449&lt;&gt;""""),COUNTA(FILTER(D$1:D449, D$1:D449&lt;&gt;""""))))-1), IF('To Order'!$A450=COLUMNS($A450:D"&amp;"469), D449&amp;RIGHT(INDIRECT(ADDRESS(ROW(D450)-1, 'From Order'!$A450)), 1), D449))"),"")</f>
        <v/>
      </c>
      <c r="E450" s="2" t="str">
        <f>IFERROR(__xludf.DUMMYFUNCTION("IF('From Order'!$A450=COLUMNS($A450:E469), LEFT(INDEX(FILTER(E$1:E449, E$1:E449&lt;&gt;""""),COUNTA(FILTER(E$1:E449, E$1:E449&lt;&gt;""""))), LEN(INDEX(FILTER(E$1:E449, E$1:E449&lt;&gt;""""),COUNTA(FILTER(E$1:E449, E$1:E449&lt;&gt;""""))))-1), IF('To Order'!$A450=COLUMNS($A450:E"&amp;"469), E449&amp;RIGHT(INDIRECT(ADDRESS(ROW(E450)-1, 'From Order'!$A450)), 1), E449))"),"HZRVPV")</f>
        <v>HZRVPV</v>
      </c>
      <c r="F450" s="2" t="str">
        <f>IFERROR(__xludf.DUMMYFUNCTION("IF('From Order'!$A450=COLUMNS($A450:F469), LEFT(INDEX(FILTER(F$1:F449, F$1:F449&lt;&gt;""""),COUNTA(FILTER(F$1:F449, F$1:F449&lt;&gt;""""))), LEN(INDEX(FILTER(F$1:F449, F$1:F449&lt;&gt;""""),COUNTA(FILTER(F$1:F449, F$1:F449&lt;&gt;""""))))-1), IF('To Order'!$A450=COLUMNS($A450:F"&amp;"469), F449&amp;RIGHT(INDIRECT(ADDRESS(ROW(F450)-1, 'From Order'!$A450)), 1), F449))"),"MZDD")</f>
        <v>MZDD</v>
      </c>
      <c r="G450" s="2" t="str">
        <f>IFERROR(__xludf.DUMMYFUNCTION("IF('From Order'!$A450=COLUMNS($A450:G469), LEFT(INDEX(FILTER(G$1:G449, G$1:G449&lt;&gt;""""),COUNTA(FILTER(G$1:G449, G$1:G449&lt;&gt;""""))), LEN(INDEX(FILTER(G$1:G449, G$1:G449&lt;&gt;""""),COUNTA(FILTER(G$1:G449, G$1:G449&lt;&gt;""""))))-1), IF('To Order'!$A450=COLUMNS($A450:G"&amp;"469), G449&amp;RIGHT(INDIRECT(ADDRESS(ROW(G450)-1, 'From Order'!$A450)), 1), G449))"),"LJ")</f>
        <v>LJ</v>
      </c>
      <c r="H450" s="2" t="str">
        <f>IFERROR(__xludf.DUMMYFUNCTION("IF('From Order'!$A450=COLUMNS($A450:H469), LEFT(INDEX(FILTER(H$1:H449, H$1:H449&lt;&gt;""""),COUNTA(FILTER(H$1:H449, H$1:H449&lt;&gt;""""))), LEN(INDEX(FILTER(H$1:H449, H$1:H449&lt;&gt;""""),COUNTA(FILTER(H$1:H449, H$1:H449&lt;&gt;""""))))-1), IF('To Order'!$A450=COLUMNS($A450:H"&amp;"469), H449&amp;RIGHT(INDIRECT(ADDRESS(ROW(H450)-1, 'From Order'!$A450)), 1), H449))"),"")</f>
        <v/>
      </c>
      <c r="I450" s="2" t="str">
        <f>IFERROR(__xludf.DUMMYFUNCTION("IF('From Order'!$A450=COLUMNS($A450:I469), LEFT(INDEX(FILTER(I$1:I449, I$1:I449&lt;&gt;""""),COUNTA(FILTER(I$1:I449, I$1:I449&lt;&gt;""""))), LEN(INDEX(FILTER(I$1:I449, I$1:I449&lt;&gt;""""),COUNTA(FILTER(I$1:I449, I$1:I449&lt;&gt;""""))))-1), IF('To Order'!$A450=COLUMNS($A450:I"&amp;"469), I449&amp;RIGHT(INDIRECT(ADDRESS(ROW(I450)-1, 'From Order'!$A450)), 1), I449))"),"")</f>
        <v/>
      </c>
    </row>
    <row r="451">
      <c r="A451" s="2" t="str">
        <f>IFERROR(__xludf.DUMMYFUNCTION("IF('From Order'!$A451=COLUMNS($A451:A470), LEFT(INDEX(FILTER(A$1:A450, A$1:A450&lt;&gt;""""),COUNTA(FILTER(A$1:A450, A$1:A450&lt;&gt;""""))), LEN(INDEX(FILTER(A$1:A450, A$1:A450&lt;&gt;""""),COUNTA(FILTER(A$1:A450, A$1:A450&lt;&gt;""""))))-1), IF('To Order'!$A451=COLUMNS($A451:A"&amp;"470), A450&amp;RIGHT(INDIRECT(ADDRESS(ROW(A451)-1, 'From Order'!$A451)), 1), A450))"),"")</f>
        <v/>
      </c>
      <c r="B451" s="2" t="str">
        <f>IFERROR(__xludf.DUMMYFUNCTION("IF('From Order'!$A451=COLUMNS($A451:B470), LEFT(INDEX(FILTER(B$1:B450, B$1:B450&lt;&gt;""""),COUNTA(FILTER(B$1:B450, B$1:B450&lt;&gt;""""))), LEN(INDEX(FILTER(B$1:B450, B$1:B450&lt;&gt;""""),COUNTA(FILTER(B$1:B450, B$1:B450&lt;&gt;""""))))-1), IF('To Order'!$A451=COLUMNS($A451:B"&amp;"470), B450&amp;RIGHT(INDIRECT(ADDRESS(ROW(B451)-1, 'From Order'!$A451)), 1), B450))"),"JZRLBSGDT")</f>
        <v>JZRLBSGDT</v>
      </c>
      <c r="C451" s="2" t="str">
        <f>IFERROR(__xludf.DUMMYFUNCTION("IF('From Order'!$A451=COLUMNS($A451:C470), LEFT(INDEX(FILTER(C$1:C450, C$1:C450&lt;&gt;""""),COUNTA(FILTER(C$1:C450, C$1:C450&lt;&gt;""""))), LEN(INDEX(FILTER(C$1:C450, C$1:C450&lt;&gt;""""),COUNTA(FILTER(C$1:C450, C$1:C450&lt;&gt;""""))))-1), IF('To Order'!$A451=COLUMNS($A451:C"&amp;"470), C450&amp;RIGHT(INDIRECT(ADDRESS(ROW(C451)-1, 'From Order'!$A451)), 1), C450))"),"SMFBBRQPDSSGHWPBCVTJTWRDLRTDCQMTFTC")</f>
        <v>SMFBBRQPDSSGHWPBCVTJTWRDLRTDCQMTFTC</v>
      </c>
      <c r="D451" s="2" t="str">
        <f>IFERROR(__xludf.DUMMYFUNCTION("IF('From Order'!$A451=COLUMNS($A451:D470), LEFT(INDEX(FILTER(D$1:D450, D$1:D450&lt;&gt;""""),COUNTA(FILTER(D$1:D450, D$1:D450&lt;&gt;""""))), LEN(INDEX(FILTER(D$1:D450, D$1:D450&lt;&gt;""""),COUNTA(FILTER(D$1:D450, D$1:D450&lt;&gt;""""))))-1), IF('To Order'!$A451=COLUMNS($A451:D"&amp;"470), D450&amp;RIGHT(INDIRECT(ADDRESS(ROW(D451)-1, 'From Order'!$A451)), 1), D450))"),"")</f>
        <v/>
      </c>
      <c r="E451" s="2" t="str">
        <f>IFERROR(__xludf.DUMMYFUNCTION("IF('From Order'!$A451=COLUMNS($A451:E470), LEFT(INDEX(FILTER(E$1:E450, E$1:E450&lt;&gt;""""),COUNTA(FILTER(E$1:E450, E$1:E450&lt;&gt;""""))), LEN(INDEX(FILTER(E$1:E450, E$1:E450&lt;&gt;""""),COUNTA(FILTER(E$1:E450, E$1:E450&lt;&gt;""""))))-1), IF('To Order'!$A451=COLUMNS($A451:E"&amp;"470), E450&amp;RIGHT(INDIRECT(ADDRESS(ROW(E451)-1, 'From Order'!$A451)), 1), E450))"),"HZRVPV")</f>
        <v>HZRVPV</v>
      </c>
      <c r="F451" s="2" t="str">
        <f>IFERROR(__xludf.DUMMYFUNCTION("IF('From Order'!$A451=COLUMNS($A451:F470), LEFT(INDEX(FILTER(F$1:F450, F$1:F450&lt;&gt;""""),COUNTA(FILTER(F$1:F450, F$1:F450&lt;&gt;""""))), LEN(INDEX(FILTER(F$1:F450, F$1:F450&lt;&gt;""""),COUNTA(FILTER(F$1:F450, F$1:F450&lt;&gt;""""))))-1), IF('To Order'!$A451=COLUMNS($A451:F"&amp;"470), F450&amp;RIGHT(INDIRECT(ADDRESS(ROW(F451)-1, 'From Order'!$A451)), 1), F450))"),"MZD")</f>
        <v>MZD</v>
      </c>
      <c r="G451" s="2" t="str">
        <f>IFERROR(__xludf.DUMMYFUNCTION("IF('From Order'!$A451=COLUMNS($A451:G470), LEFT(INDEX(FILTER(G$1:G450, G$1:G450&lt;&gt;""""),COUNTA(FILTER(G$1:G450, G$1:G450&lt;&gt;""""))), LEN(INDEX(FILTER(G$1:G450, G$1:G450&lt;&gt;""""),COUNTA(FILTER(G$1:G450, G$1:G450&lt;&gt;""""))))-1), IF('To Order'!$A451=COLUMNS($A451:G"&amp;"470), G450&amp;RIGHT(INDIRECT(ADDRESS(ROW(G451)-1, 'From Order'!$A451)), 1), G450))"),"LJ")</f>
        <v>LJ</v>
      </c>
      <c r="H451" s="2" t="str">
        <f>IFERROR(__xludf.DUMMYFUNCTION("IF('From Order'!$A451=COLUMNS($A451:H470), LEFT(INDEX(FILTER(H$1:H450, H$1:H450&lt;&gt;""""),COUNTA(FILTER(H$1:H450, H$1:H450&lt;&gt;""""))), LEN(INDEX(FILTER(H$1:H450, H$1:H450&lt;&gt;""""),COUNTA(FILTER(H$1:H450, H$1:H450&lt;&gt;""""))))-1), IF('To Order'!$A451=COLUMNS($A451:H"&amp;"470), H450&amp;RIGHT(INDIRECT(ADDRESS(ROW(H451)-1, 'From Order'!$A451)), 1), H450))"),"")</f>
        <v/>
      </c>
      <c r="I451" s="2" t="str">
        <f>IFERROR(__xludf.DUMMYFUNCTION("IF('From Order'!$A451=COLUMNS($A451:I470), LEFT(INDEX(FILTER(I$1:I450, I$1:I450&lt;&gt;""""),COUNTA(FILTER(I$1:I450, I$1:I450&lt;&gt;""""))), LEN(INDEX(FILTER(I$1:I450, I$1:I450&lt;&gt;""""),COUNTA(FILTER(I$1:I450, I$1:I450&lt;&gt;""""))))-1), IF('To Order'!$A451=COLUMNS($A451:I"&amp;"470), I450&amp;RIGHT(INDIRECT(ADDRESS(ROW(I451)-1, 'From Order'!$A451)), 1), I450))"),"D")</f>
        <v>D</v>
      </c>
    </row>
    <row r="452">
      <c r="A452" s="2" t="str">
        <f>IFERROR(__xludf.DUMMYFUNCTION("IF('From Order'!$A452=COLUMNS($A452:A471), LEFT(INDEX(FILTER(A$1:A451, A$1:A451&lt;&gt;""""),COUNTA(FILTER(A$1:A451, A$1:A451&lt;&gt;""""))), LEN(INDEX(FILTER(A$1:A451, A$1:A451&lt;&gt;""""),COUNTA(FILTER(A$1:A451, A$1:A451&lt;&gt;""""))))-1), IF('To Order'!$A452=COLUMNS($A452:A"&amp;"471), A451&amp;RIGHT(INDIRECT(ADDRESS(ROW(A452)-1, 'From Order'!$A452)), 1), A451))"),"")</f>
        <v/>
      </c>
      <c r="B452" s="2" t="str">
        <f>IFERROR(__xludf.DUMMYFUNCTION("IF('From Order'!$A452=COLUMNS($A452:B471), LEFT(INDEX(FILTER(B$1:B451, B$1:B451&lt;&gt;""""),COUNTA(FILTER(B$1:B451, B$1:B451&lt;&gt;""""))), LEN(INDEX(FILTER(B$1:B451, B$1:B451&lt;&gt;""""),COUNTA(FILTER(B$1:B451, B$1:B451&lt;&gt;""""))))-1), IF('To Order'!$A452=COLUMNS($A452:B"&amp;"471), B451&amp;RIGHT(INDIRECT(ADDRESS(ROW(B452)-1, 'From Order'!$A452)), 1), B451))"),"JZRLBSGDT")</f>
        <v>JZRLBSGDT</v>
      </c>
      <c r="C452" s="2" t="str">
        <f>IFERROR(__xludf.DUMMYFUNCTION("IF('From Order'!$A452=COLUMNS($A452:C471), LEFT(INDEX(FILTER(C$1:C451, C$1:C451&lt;&gt;""""),COUNTA(FILTER(C$1:C451, C$1:C451&lt;&gt;""""))), LEN(INDEX(FILTER(C$1:C451, C$1:C451&lt;&gt;""""),COUNTA(FILTER(C$1:C451, C$1:C451&lt;&gt;""""))))-1), IF('To Order'!$A452=COLUMNS($A452:C"&amp;"471), C451&amp;RIGHT(INDIRECT(ADDRESS(ROW(C452)-1, 'From Order'!$A452)), 1), C451))"),"SMFBBRQPDSSGHWPBCVTJTWRDLRTDCQMTFTC")</f>
        <v>SMFBBRQPDSSGHWPBCVTJTWRDLRTDCQMTFTC</v>
      </c>
      <c r="D452" s="2" t="str">
        <f>IFERROR(__xludf.DUMMYFUNCTION("IF('From Order'!$A452=COLUMNS($A452:D471), LEFT(INDEX(FILTER(D$1:D451, D$1:D451&lt;&gt;""""),COUNTA(FILTER(D$1:D451, D$1:D451&lt;&gt;""""))), LEN(INDEX(FILTER(D$1:D451, D$1:D451&lt;&gt;""""),COUNTA(FILTER(D$1:D451, D$1:D451&lt;&gt;""""))))-1), IF('To Order'!$A452=COLUMNS($A452:D"&amp;"471), D451&amp;RIGHT(INDIRECT(ADDRESS(ROW(D452)-1, 'From Order'!$A452)), 1), D451))"),"")</f>
        <v/>
      </c>
      <c r="E452" s="2" t="str">
        <f>IFERROR(__xludf.DUMMYFUNCTION("IF('From Order'!$A452=COLUMNS($A452:E471), LEFT(INDEX(FILTER(E$1:E451, E$1:E451&lt;&gt;""""),COUNTA(FILTER(E$1:E451, E$1:E451&lt;&gt;""""))), LEN(INDEX(FILTER(E$1:E451, E$1:E451&lt;&gt;""""),COUNTA(FILTER(E$1:E451, E$1:E451&lt;&gt;""""))))-1), IF('To Order'!$A452=COLUMNS($A452:E"&amp;"471), E451&amp;RIGHT(INDIRECT(ADDRESS(ROW(E452)-1, 'From Order'!$A452)), 1), E451))"),"HZRVPV")</f>
        <v>HZRVPV</v>
      </c>
      <c r="F452" s="2" t="str">
        <f>IFERROR(__xludf.DUMMYFUNCTION("IF('From Order'!$A452=COLUMNS($A452:F471), LEFT(INDEX(FILTER(F$1:F451, F$1:F451&lt;&gt;""""),COUNTA(FILTER(F$1:F451, F$1:F451&lt;&gt;""""))), LEN(INDEX(FILTER(F$1:F451, F$1:F451&lt;&gt;""""),COUNTA(FILTER(F$1:F451, F$1:F451&lt;&gt;""""))))-1), IF('To Order'!$A452=COLUMNS($A452:F"&amp;"471), F451&amp;RIGHT(INDIRECT(ADDRESS(ROW(F452)-1, 'From Order'!$A452)), 1), F451))"),"MZ")</f>
        <v>MZ</v>
      </c>
      <c r="G452" s="2" t="str">
        <f>IFERROR(__xludf.DUMMYFUNCTION("IF('From Order'!$A452=COLUMNS($A452:G471), LEFT(INDEX(FILTER(G$1:G451, G$1:G451&lt;&gt;""""),COUNTA(FILTER(G$1:G451, G$1:G451&lt;&gt;""""))), LEN(INDEX(FILTER(G$1:G451, G$1:G451&lt;&gt;""""),COUNTA(FILTER(G$1:G451, G$1:G451&lt;&gt;""""))))-1), IF('To Order'!$A452=COLUMNS($A452:G"&amp;"471), G451&amp;RIGHT(INDIRECT(ADDRESS(ROW(G452)-1, 'From Order'!$A452)), 1), G451))"),"LJ")</f>
        <v>LJ</v>
      </c>
      <c r="H452" s="2" t="str">
        <f>IFERROR(__xludf.DUMMYFUNCTION("IF('From Order'!$A452=COLUMNS($A452:H471), LEFT(INDEX(FILTER(H$1:H451, H$1:H451&lt;&gt;""""),COUNTA(FILTER(H$1:H451, H$1:H451&lt;&gt;""""))), LEN(INDEX(FILTER(H$1:H451, H$1:H451&lt;&gt;""""),COUNTA(FILTER(H$1:H451, H$1:H451&lt;&gt;""""))))-1), IF('To Order'!$A452=COLUMNS($A452:H"&amp;"471), H451&amp;RIGHT(INDIRECT(ADDRESS(ROW(H452)-1, 'From Order'!$A452)), 1), H451))"),"")</f>
        <v/>
      </c>
      <c r="I452" s="2" t="str">
        <f>IFERROR(__xludf.DUMMYFUNCTION("IF('From Order'!$A452=COLUMNS($A452:I471), LEFT(INDEX(FILTER(I$1:I451, I$1:I451&lt;&gt;""""),COUNTA(FILTER(I$1:I451, I$1:I451&lt;&gt;""""))), LEN(INDEX(FILTER(I$1:I451, I$1:I451&lt;&gt;""""),COUNTA(FILTER(I$1:I451, I$1:I451&lt;&gt;""""))))-1), IF('To Order'!$A452=COLUMNS($A452:I"&amp;"471), I451&amp;RIGHT(INDIRECT(ADDRESS(ROW(I452)-1, 'From Order'!$A452)), 1), I451))"),"DD")</f>
        <v>DD</v>
      </c>
    </row>
    <row r="453">
      <c r="A453" s="2" t="str">
        <f>IFERROR(__xludf.DUMMYFUNCTION("IF('From Order'!$A453=COLUMNS($A453:A472), LEFT(INDEX(FILTER(A$1:A452, A$1:A452&lt;&gt;""""),COUNTA(FILTER(A$1:A452, A$1:A452&lt;&gt;""""))), LEN(INDEX(FILTER(A$1:A452, A$1:A452&lt;&gt;""""),COUNTA(FILTER(A$1:A452, A$1:A452&lt;&gt;""""))))-1), IF('To Order'!$A453=COLUMNS($A453:A"&amp;"472), A452&amp;RIGHT(INDIRECT(ADDRESS(ROW(A453)-1, 'From Order'!$A453)), 1), A452))"),"")</f>
        <v/>
      </c>
      <c r="B453" s="2" t="str">
        <f>IFERROR(__xludf.DUMMYFUNCTION("IF('From Order'!$A453=COLUMNS($A453:B472), LEFT(INDEX(FILTER(B$1:B452, B$1:B452&lt;&gt;""""),COUNTA(FILTER(B$1:B452, B$1:B452&lt;&gt;""""))), LEN(INDEX(FILTER(B$1:B452, B$1:B452&lt;&gt;""""),COUNTA(FILTER(B$1:B452, B$1:B452&lt;&gt;""""))))-1), IF('To Order'!$A453=COLUMNS($A453:B"&amp;"472), B452&amp;RIGHT(INDIRECT(ADDRESS(ROW(B453)-1, 'From Order'!$A453)), 1), B452))"),"JZRLBSGD")</f>
        <v>JZRLBSGD</v>
      </c>
      <c r="C453" s="2" t="str">
        <f>IFERROR(__xludf.DUMMYFUNCTION("IF('From Order'!$A453=COLUMNS($A453:C472), LEFT(INDEX(FILTER(C$1:C452, C$1:C452&lt;&gt;""""),COUNTA(FILTER(C$1:C452, C$1:C452&lt;&gt;""""))), LEN(INDEX(FILTER(C$1:C452, C$1:C452&lt;&gt;""""),COUNTA(FILTER(C$1:C452, C$1:C452&lt;&gt;""""))))-1), IF('To Order'!$A453=COLUMNS($A453:C"&amp;"472), C452&amp;RIGHT(INDIRECT(ADDRESS(ROW(C453)-1, 'From Order'!$A453)), 1), C452))"),"SMFBBRQPDSSGHWPBCVTJTWRDLRTDCQMTFTC")</f>
        <v>SMFBBRQPDSSGHWPBCVTJTWRDLRTDCQMTFTC</v>
      </c>
      <c r="D453" s="2" t="str">
        <f>IFERROR(__xludf.DUMMYFUNCTION("IF('From Order'!$A453=COLUMNS($A453:D472), LEFT(INDEX(FILTER(D$1:D452, D$1:D452&lt;&gt;""""),COUNTA(FILTER(D$1:D452, D$1:D452&lt;&gt;""""))), LEN(INDEX(FILTER(D$1:D452, D$1:D452&lt;&gt;""""),COUNTA(FILTER(D$1:D452, D$1:D452&lt;&gt;""""))))-1), IF('To Order'!$A453=COLUMNS($A453:D"&amp;"472), D452&amp;RIGHT(INDIRECT(ADDRESS(ROW(D453)-1, 'From Order'!$A453)), 1), D452))"),"")</f>
        <v/>
      </c>
      <c r="E453" s="2" t="str">
        <f>IFERROR(__xludf.DUMMYFUNCTION("IF('From Order'!$A453=COLUMNS($A453:E472), LEFT(INDEX(FILTER(E$1:E452, E$1:E452&lt;&gt;""""),COUNTA(FILTER(E$1:E452, E$1:E452&lt;&gt;""""))), LEN(INDEX(FILTER(E$1:E452, E$1:E452&lt;&gt;""""),COUNTA(FILTER(E$1:E452, E$1:E452&lt;&gt;""""))))-1), IF('To Order'!$A453=COLUMNS($A453:E"&amp;"472), E452&amp;RIGHT(INDIRECT(ADDRESS(ROW(E453)-1, 'From Order'!$A453)), 1), E452))"),"HZRVPV")</f>
        <v>HZRVPV</v>
      </c>
      <c r="F453" s="2" t="str">
        <f>IFERROR(__xludf.DUMMYFUNCTION("IF('From Order'!$A453=COLUMNS($A453:F472), LEFT(INDEX(FILTER(F$1:F452, F$1:F452&lt;&gt;""""),COUNTA(FILTER(F$1:F452, F$1:F452&lt;&gt;""""))), LEN(INDEX(FILTER(F$1:F452, F$1:F452&lt;&gt;""""),COUNTA(FILTER(F$1:F452, F$1:F452&lt;&gt;""""))))-1), IF('To Order'!$A453=COLUMNS($A453:F"&amp;"472), F452&amp;RIGHT(INDIRECT(ADDRESS(ROW(F453)-1, 'From Order'!$A453)), 1), F452))"),"MZ")</f>
        <v>MZ</v>
      </c>
      <c r="G453" s="2" t="str">
        <f>IFERROR(__xludf.DUMMYFUNCTION("IF('From Order'!$A453=COLUMNS($A453:G472), LEFT(INDEX(FILTER(G$1:G452, G$1:G452&lt;&gt;""""),COUNTA(FILTER(G$1:G452, G$1:G452&lt;&gt;""""))), LEN(INDEX(FILTER(G$1:G452, G$1:G452&lt;&gt;""""),COUNTA(FILTER(G$1:G452, G$1:G452&lt;&gt;""""))))-1), IF('To Order'!$A453=COLUMNS($A453:G"&amp;"472), G452&amp;RIGHT(INDIRECT(ADDRESS(ROW(G453)-1, 'From Order'!$A453)), 1), G452))"),"LJ")</f>
        <v>LJ</v>
      </c>
      <c r="H453" s="2" t="str">
        <f>IFERROR(__xludf.DUMMYFUNCTION("IF('From Order'!$A453=COLUMNS($A453:H472), LEFT(INDEX(FILTER(H$1:H452, H$1:H452&lt;&gt;""""),COUNTA(FILTER(H$1:H452, H$1:H452&lt;&gt;""""))), LEN(INDEX(FILTER(H$1:H452, H$1:H452&lt;&gt;""""),COUNTA(FILTER(H$1:H452, H$1:H452&lt;&gt;""""))))-1), IF('To Order'!$A453=COLUMNS($A453:H"&amp;"472), H452&amp;RIGHT(INDIRECT(ADDRESS(ROW(H453)-1, 'From Order'!$A453)), 1), H452))"),"")</f>
        <v/>
      </c>
      <c r="I453" s="2" t="str">
        <f>IFERROR(__xludf.DUMMYFUNCTION("IF('From Order'!$A453=COLUMNS($A453:I472), LEFT(INDEX(FILTER(I$1:I452, I$1:I452&lt;&gt;""""),COUNTA(FILTER(I$1:I452, I$1:I452&lt;&gt;""""))), LEN(INDEX(FILTER(I$1:I452, I$1:I452&lt;&gt;""""),COUNTA(FILTER(I$1:I452, I$1:I452&lt;&gt;""""))))-1), IF('To Order'!$A453=COLUMNS($A453:I"&amp;"472), I452&amp;RIGHT(INDIRECT(ADDRESS(ROW(I453)-1, 'From Order'!$A453)), 1), I452))"),"DDT")</f>
        <v>DDT</v>
      </c>
    </row>
    <row r="454">
      <c r="A454" s="2" t="str">
        <f>IFERROR(__xludf.DUMMYFUNCTION("IF('From Order'!$A454=COLUMNS($A454:A473), LEFT(INDEX(FILTER(A$1:A453, A$1:A453&lt;&gt;""""),COUNTA(FILTER(A$1:A453, A$1:A453&lt;&gt;""""))), LEN(INDEX(FILTER(A$1:A453, A$1:A453&lt;&gt;""""),COUNTA(FILTER(A$1:A453, A$1:A453&lt;&gt;""""))))-1), IF('To Order'!$A454=COLUMNS($A454:A"&amp;"473), A453&amp;RIGHT(INDIRECT(ADDRESS(ROW(A454)-1, 'From Order'!$A454)), 1), A453))"),"")</f>
        <v/>
      </c>
      <c r="B454" s="2" t="str">
        <f>IFERROR(__xludf.DUMMYFUNCTION("IF('From Order'!$A454=COLUMNS($A454:B473), LEFT(INDEX(FILTER(B$1:B453, B$1:B453&lt;&gt;""""),COUNTA(FILTER(B$1:B453, B$1:B453&lt;&gt;""""))), LEN(INDEX(FILTER(B$1:B453, B$1:B453&lt;&gt;""""),COUNTA(FILTER(B$1:B453, B$1:B453&lt;&gt;""""))))-1), IF('To Order'!$A454=COLUMNS($A454:B"&amp;"473), B453&amp;RIGHT(INDIRECT(ADDRESS(ROW(B454)-1, 'From Order'!$A454)), 1), B453))"),"JZRLBSG")</f>
        <v>JZRLBSG</v>
      </c>
      <c r="C454" s="2" t="str">
        <f>IFERROR(__xludf.DUMMYFUNCTION("IF('From Order'!$A454=COLUMNS($A454:C473), LEFT(INDEX(FILTER(C$1:C453, C$1:C453&lt;&gt;""""),COUNTA(FILTER(C$1:C453, C$1:C453&lt;&gt;""""))), LEN(INDEX(FILTER(C$1:C453, C$1:C453&lt;&gt;""""),COUNTA(FILTER(C$1:C453, C$1:C453&lt;&gt;""""))))-1), IF('To Order'!$A454=COLUMNS($A454:C"&amp;"473), C453&amp;RIGHT(INDIRECT(ADDRESS(ROW(C454)-1, 'From Order'!$A454)), 1), C453))"),"SMFBBRQPDSSGHWPBCVTJTWRDLRTDCQMTFTC")</f>
        <v>SMFBBRQPDSSGHWPBCVTJTWRDLRTDCQMTFTC</v>
      </c>
      <c r="D454" s="2" t="str">
        <f>IFERROR(__xludf.DUMMYFUNCTION("IF('From Order'!$A454=COLUMNS($A454:D473), LEFT(INDEX(FILTER(D$1:D453, D$1:D453&lt;&gt;""""),COUNTA(FILTER(D$1:D453, D$1:D453&lt;&gt;""""))), LEN(INDEX(FILTER(D$1:D453, D$1:D453&lt;&gt;""""),COUNTA(FILTER(D$1:D453, D$1:D453&lt;&gt;""""))))-1), IF('To Order'!$A454=COLUMNS($A454:D"&amp;"473), D453&amp;RIGHT(INDIRECT(ADDRESS(ROW(D454)-1, 'From Order'!$A454)), 1), D453))"),"")</f>
        <v/>
      </c>
      <c r="E454" s="2" t="str">
        <f>IFERROR(__xludf.DUMMYFUNCTION("IF('From Order'!$A454=COLUMNS($A454:E473), LEFT(INDEX(FILTER(E$1:E453, E$1:E453&lt;&gt;""""),COUNTA(FILTER(E$1:E453, E$1:E453&lt;&gt;""""))), LEN(INDEX(FILTER(E$1:E453, E$1:E453&lt;&gt;""""),COUNTA(FILTER(E$1:E453, E$1:E453&lt;&gt;""""))))-1), IF('To Order'!$A454=COLUMNS($A454:E"&amp;"473), E453&amp;RIGHT(INDIRECT(ADDRESS(ROW(E454)-1, 'From Order'!$A454)), 1), E453))"),"HZRVPV")</f>
        <v>HZRVPV</v>
      </c>
      <c r="F454" s="2" t="str">
        <f>IFERROR(__xludf.DUMMYFUNCTION("IF('From Order'!$A454=COLUMNS($A454:F473), LEFT(INDEX(FILTER(F$1:F453, F$1:F453&lt;&gt;""""),COUNTA(FILTER(F$1:F453, F$1:F453&lt;&gt;""""))), LEN(INDEX(FILTER(F$1:F453, F$1:F453&lt;&gt;""""),COUNTA(FILTER(F$1:F453, F$1:F453&lt;&gt;""""))))-1), IF('To Order'!$A454=COLUMNS($A454:F"&amp;"473), F453&amp;RIGHT(INDIRECT(ADDRESS(ROW(F454)-1, 'From Order'!$A454)), 1), F453))"),"MZ")</f>
        <v>MZ</v>
      </c>
      <c r="G454" s="2" t="str">
        <f>IFERROR(__xludf.DUMMYFUNCTION("IF('From Order'!$A454=COLUMNS($A454:G473), LEFT(INDEX(FILTER(G$1:G453, G$1:G453&lt;&gt;""""),COUNTA(FILTER(G$1:G453, G$1:G453&lt;&gt;""""))), LEN(INDEX(FILTER(G$1:G453, G$1:G453&lt;&gt;""""),COUNTA(FILTER(G$1:G453, G$1:G453&lt;&gt;""""))))-1), IF('To Order'!$A454=COLUMNS($A454:G"&amp;"473), G453&amp;RIGHT(INDIRECT(ADDRESS(ROW(G454)-1, 'From Order'!$A454)), 1), G453))"),"LJ")</f>
        <v>LJ</v>
      </c>
      <c r="H454" s="2" t="str">
        <f>IFERROR(__xludf.DUMMYFUNCTION("IF('From Order'!$A454=COLUMNS($A454:H473), LEFT(INDEX(FILTER(H$1:H453, H$1:H453&lt;&gt;""""),COUNTA(FILTER(H$1:H453, H$1:H453&lt;&gt;""""))), LEN(INDEX(FILTER(H$1:H453, H$1:H453&lt;&gt;""""),COUNTA(FILTER(H$1:H453, H$1:H453&lt;&gt;""""))))-1), IF('To Order'!$A454=COLUMNS($A454:H"&amp;"473), H453&amp;RIGHT(INDIRECT(ADDRESS(ROW(H454)-1, 'From Order'!$A454)), 1), H453))"),"")</f>
        <v/>
      </c>
      <c r="I454" s="2" t="str">
        <f>IFERROR(__xludf.DUMMYFUNCTION("IF('From Order'!$A454=COLUMNS($A454:I473), LEFT(INDEX(FILTER(I$1:I453, I$1:I453&lt;&gt;""""),COUNTA(FILTER(I$1:I453, I$1:I453&lt;&gt;""""))), LEN(INDEX(FILTER(I$1:I453, I$1:I453&lt;&gt;""""),COUNTA(FILTER(I$1:I453, I$1:I453&lt;&gt;""""))))-1), IF('To Order'!$A454=COLUMNS($A454:I"&amp;"473), I453&amp;RIGHT(INDIRECT(ADDRESS(ROW(I454)-1, 'From Order'!$A454)), 1), I453))"),"DDTD")</f>
        <v>DDTD</v>
      </c>
    </row>
    <row r="455">
      <c r="A455" s="2" t="str">
        <f>IFERROR(__xludf.DUMMYFUNCTION("IF('From Order'!$A455=COLUMNS($A455:A474), LEFT(INDEX(FILTER(A$1:A454, A$1:A454&lt;&gt;""""),COUNTA(FILTER(A$1:A454, A$1:A454&lt;&gt;""""))), LEN(INDEX(FILTER(A$1:A454, A$1:A454&lt;&gt;""""),COUNTA(FILTER(A$1:A454, A$1:A454&lt;&gt;""""))))-1), IF('To Order'!$A455=COLUMNS($A455:A"&amp;"474), A454&amp;RIGHT(INDIRECT(ADDRESS(ROW(A455)-1, 'From Order'!$A455)), 1), A454))"),"")</f>
        <v/>
      </c>
      <c r="B455" s="2" t="str">
        <f>IFERROR(__xludf.DUMMYFUNCTION("IF('From Order'!$A455=COLUMNS($A455:B474), LEFT(INDEX(FILTER(B$1:B454, B$1:B454&lt;&gt;""""),COUNTA(FILTER(B$1:B454, B$1:B454&lt;&gt;""""))), LEN(INDEX(FILTER(B$1:B454, B$1:B454&lt;&gt;""""),COUNTA(FILTER(B$1:B454, B$1:B454&lt;&gt;""""))))-1), IF('To Order'!$A455=COLUMNS($A455:B"&amp;"474), B454&amp;RIGHT(INDIRECT(ADDRESS(ROW(B455)-1, 'From Order'!$A455)), 1), B454))"),"JZRLBS")</f>
        <v>JZRLBS</v>
      </c>
      <c r="C455" s="2" t="str">
        <f>IFERROR(__xludf.DUMMYFUNCTION("IF('From Order'!$A455=COLUMNS($A455:C474), LEFT(INDEX(FILTER(C$1:C454, C$1:C454&lt;&gt;""""),COUNTA(FILTER(C$1:C454, C$1:C454&lt;&gt;""""))), LEN(INDEX(FILTER(C$1:C454, C$1:C454&lt;&gt;""""),COUNTA(FILTER(C$1:C454, C$1:C454&lt;&gt;""""))))-1), IF('To Order'!$A455=COLUMNS($A455:C"&amp;"474), C454&amp;RIGHT(INDIRECT(ADDRESS(ROW(C455)-1, 'From Order'!$A455)), 1), C454))"),"SMFBBRQPDSSGHWPBCVTJTWRDLRTDCQMTFTC")</f>
        <v>SMFBBRQPDSSGHWPBCVTJTWRDLRTDCQMTFTC</v>
      </c>
      <c r="D455" s="2" t="str">
        <f>IFERROR(__xludf.DUMMYFUNCTION("IF('From Order'!$A455=COLUMNS($A455:D474), LEFT(INDEX(FILTER(D$1:D454, D$1:D454&lt;&gt;""""),COUNTA(FILTER(D$1:D454, D$1:D454&lt;&gt;""""))), LEN(INDEX(FILTER(D$1:D454, D$1:D454&lt;&gt;""""),COUNTA(FILTER(D$1:D454, D$1:D454&lt;&gt;""""))))-1), IF('To Order'!$A455=COLUMNS($A455:D"&amp;"474), D454&amp;RIGHT(INDIRECT(ADDRESS(ROW(D455)-1, 'From Order'!$A455)), 1), D454))"),"")</f>
        <v/>
      </c>
      <c r="E455" s="2" t="str">
        <f>IFERROR(__xludf.DUMMYFUNCTION("IF('From Order'!$A455=COLUMNS($A455:E474), LEFT(INDEX(FILTER(E$1:E454, E$1:E454&lt;&gt;""""),COUNTA(FILTER(E$1:E454, E$1:E454&lt;&gt;""""))), LEN(INDEX(FILTER(E$1:E454, E$1:E454&lt;&gt;""""),COUNTA(FILTER(E$1:E454, E$1:E454&lt;&gt;""""))))-1), IF('To Order'!$A455=COLUMNS($A455:E"&amp;"474), E454&amp;RIGHT(INDIRECT(ADDRESS(ROW(E455)-1, 'From Order'!$A455)), 1), E454))"),"HZRVPV")</f>
        <v>HZRVPV</v>
      </c>
      <c r="F455" s="2" t="str">
        <f>IFERROR(__xludf.DUMMYFUNCTION("IF('From Order'!$A455=COLUMNS($A455:F474), LEFT(INDEX(FILTER(F$1:F454, F$1:F454&lt;&gt;""""),COUNTA(FILTER(F$1:F454, F$1:F454&lt;&gt;""""))), LEN(INDEX(FILTER(F$1:F454, F$1:F454&lt;&gt;""""),COUNTA(FILTER(F$1:F454, F$1:F454&lt;&gt;""""))))-1), IF('To Order'!$A455=COLUMNS($A455:F"&amp;"474), F454&amp;RIGHT(INDIRECT(ADDRESS(ROW(F455)-1, 'From Order'!$A455)), 1), F454))"),"MZ")</f>
        <v>MZ</v>
      </c>
      <c r="G455" s="2" t="str">
        <f>IFERROR(__xludf.DUMMYFUNCTION("IF('From Order'!$A455=COLUMNS($A455:G474), LEFT(INDEX(FILTER(G$1:G454, G$1:G454&lt;&gt;""""),COUNTA(FILTER(G$1:G454, G$1:G454&lt;&gt;""""))), LEN(INDEX(FILTER(G$1:G454, G$1:G454&lt;&gt;""""),COUNTA(FILTER(G$1:G454, G$1:G454&lt;&gt;""""))))-1), IF('To Order'!$A455=COLUMNS($A455:G"&amp;"474), G454&amp;RIGHT(INDIRECT(ADDRESS(ROW(G455)-1, 'From Order'!$A455)), 1), G454))"),"LJ")</f>
        <v>LJ</v>
      </c>
      <c r="H455" s="2" t="str">
        <f>IFERROR(__xludf.DUMMYFUNCTION("IF('From Order'!$A455=COLUMNS($A455:H474), LEFT(INDEX(FILTER(H$1:H454, H$1:H454&lt;&gt;""""),COUNTA(FILTER(H$1:H454, H$1:H454&lt;&gt;""""))), LEN(INDEX(FILTER(H$1:H454, H$1:H454&lt;&gt;""""),COUNTA(FILTER(H$1:H454, H$1:H454&lt;&gt;""""))))-1), IF('To Order'!$A455=COLUMNS($A455:H"&amp;"474), H454&amp;RIGHT(INDIRECT(ADDRESS(ROW(H455)-1, 'From Order'!$A455)), 1), H454))"),"")</f>
        <v/>
      </c>
      <c r="I455" s="2" t="str">
        <f>IFERROR(__xludf.DUMMYFUNCTION("IF('From Order'!$A455=COLUMNS($A455:I474), LEFT(INDEX(FILTER(I$1:I454, I$1:I454&lt;&gt;""""),COUNTA(FILTER(I$1:I454, I$1:I454&lt;&gt;""""))), LEN(INDEX(FILTER(I$1:I454, I$1:I454&lt;&gt;""""),COUNTA(FILTER(I$1:I454, I$1:I454&lt;&gt;""""))))-1), IF('To Order'!$A455=COLUMNS($A455:I"&amp;"474), I454&amp;RIGHT(INDIRECT(ADDRESS(ROW(I455)-1, 'From Order'!$A455)), 1), I454))"),"DDTDG")</f>
        <v>DDTDG</v>
      </c>
    </row>
    <row r="456">
      <c r="A456" s="2" t="str">
        <f>IFERROR(__xludf.DUMMYFUNCTION("IF('From Order'!$A456=COLUMNS($A456:A475), LEFT(INDEX(FILTER(A$1:A455, A$1:A455&lt;&gt;""""),COUNTA(FILTER(A$1:A455, A$1:A455&lt;&gt;""""))), LEN(INDEX(FILTER(A$1:A455, A$1:A455&lt;&gt;""""),COUNTA(FILTER(A$1:A455, A$1:A455&lt;&gt;""""))))-1), IF('To Order'!$A456=COLUMNS($A456:A"&amp;"475), A455&amp;RIGHT(INDIRECT(ADDRESS(ROW(A456)-1, 'From Order'!$A456)), 1), A455))"),"")</f>
        <v/>
      </c>
      <c r="B456" s="2" t="str">
        <f>IFERROR(__xludf.DUMMYFUNCTION("IF('From Order'!$A456=COLUMNS($A456:B475), LEFT(INDEX(FILTER(B$1:B455, B$1:B455&lt;&gt;""""),COUNTA(FILTER(B$1:B455, B$1:B455&lt;&gt;""""))), LEN(INDEX(FILTER(B$1:B455, B$1:B455&lt;&gt;""""),COUNTA(FILTER(B$1:B455, B$1:B455&lt;&gt;""""))))-1), IF('To Order'!$A456=COLUMNS($A456:B"&amp;"475), B455&amp;RIGHT(INDIRECT(ADDRESS(ROW(B456)-1, 'From Order'!$A456)), 1), B455))"),"JZRLB")</f>
        <v>JZRLB</v>
      </c>
      <c r="C456" s="2" t="str">
        <f>IFERROR(__xludf.DUMMYFUNCTION("IF('From Order'!$A456=COLUMNS($A456:C475), LEFT(INDEX(FILTER(C$1:C455, C$1:C455&lt;&gt;""""),COUNTA(FILTER(C$1:C455, C$1:C455&lt;&gt;""""))), LEN(INDEX(FILTER(C$1:C455, C$1:C455&lt;&gt;""""),COUNTA(FILTER(C$1:C455, C$1:C455&lt;&gt;""""))))-1), IF('To Order'!$A456=COLUMNS($A456:C"&amp;"475), C455&amp;RIGHT(INDIRECT(ADDRESS(ROW(C456)-1, 'From Order'!$A456)), 1), C455))"),"SMFBBRQPDSSGHWPBCVTJTWRDLRTDCQMTFTC")</f>
        <v>SMFBBRQPDSSGHWPBCVTJTWRDLRTDCQMTFTC</v>
      </c>
      <c r="D456" s="2" t="str">
        <f>IFERROR(__xludf.DUMMYFUNCTION("IF('From Order'!$A456=COLUMNS($A456:D475), LEFT(INDEX(FILTER(D$1:D455, D$1:D455&lt;&gt;""""),COUNTA(FILTER(D$1:D455, D$1:D455&lt;&gt;""""))), LEN(INDEX(FILTER(D$1:D455, D$1:D455&lt;&gt;""""),COUNTA(FILTER(D$1:D455, D$1:D455&lt;&gt;""""))))-1), IF('To Order'!$A456=COLUMNS($A456:D"&amp;"475), D455&amp;RIGHT(INDIRECT(ADDRESS(ROW(D456)-1, 'From Order'!$A456)), 1), D455))"),"")</f>
        <v/>
      </c>
      <c r="E456" s="2" t="str">
        <f>IFERROR(__xludf.DUMMYFUNCTION("IF('From Order'!$A456=COLUMNS($A456:E475), LEFT(INDEX(FILTER(E$1:E455, E$1:E455&lt;&gt;""""),COUNTA(FILTER(E$1:E455, E$1:E455&lt;&gt;""""))), LEN(INDEX(FILTER(E$1:E455, E$1:E455&lt;&gt;""""),COUNTA(FILTER(E$1:E455, E$1:E455&lt;&gt;""""))))-1), IF('To Order'!$A456=COLUMNS($A456:E"&amp;"475), E455&amp;RIGHT(INDIRECT(ADDRESS(ROW(E456)-1, 'From Order'!$A456)), 1), E455))"),"HZRVPV")</f>
        <v>HZRVPV</v>
      </c>
      <c r="F456" s="2" t="str">
        <f>IFERROR(__xludf.DUMMYFUNCTION("IF('From Order'!$A456=COLUMNS($A456:F475), LEFT(INDEX(FILTER(F$1:F455, F$1:F455&lt;&gt;""""),COUNTA(FILTER(F$1:F455, F$1:F455&lt;&gt;""""))), LEN(INDEX(FILTER(F$1:F455, F$1:F455&lt;&gt;""""),COUNTA(FILTER(F$1:F455, F$1:F455&lt;&gt;""""))))-1), IF('To Order'!$A456=COLUMNS($A456:F"&amp;"475), F455&amp;RIGHT(INDIRECT(ADDRESS(ROW(F456)-1, 'From Order'!$A456)), 1), F455))"),"MZ")</f>
        <v>MZ</v>
      </c>
      <c r="G456" s="2" t="str">
        <f>IFERROR(__xludf.DUMMYFUNCTION("IF('From Order'!$A456=COLUMNS($A456:G475), LEFT(INDEX(FILTER(G$1:G455, G$1:G455&lt;&gt;""""),COUNTA(FILTER(G$1:G455, G$1:G455&lt;&gt;""""))), LEN(INDEX(FILTER(G$1:G455, G$1:G455&lt;&gt;""""),COUNTA(FILTER(G$1:G455, G$1:G455&lt;&gt;""""))))-1), IF('To Order'!$A456=COLUMNS($A456:G"&amp;"475), G455&amp;RIGHT(INDIRECT(ADDRESS(ROW(G456)-1, 'From Order'!$A456)), 1), G455))"),"LJ")</f>
        <v>LJ</v>
      </c>
      <c r="H456" s="2" t="str">
        <f>IFERROR(__xludf.DUMMYFUNCTION("IF('From Order'!$A456=COLUMNS($A456:H475), LEFT(INDEX(FILTER(H$1:H455, H$1:H455&lt;&gt;""""),COUNTA(FILTER(H$1:H455, H$1:H455&lt;&gt;""""))), LEN(INDEX(FILTER(H$1:H455, H$1:H455&lt;&gt;""""),COUNTA(FILTER(H$1:H455, H$1:H455&lt;&gt;""""))))-1), IF('To Order'!$A456=COLUMNS($A456:H"&amp;"475), H455&amp;RIGHT(INDIRECT(ADDRESS(ROW(H456)-1, 'From Order'!$A456)), 1), H455))"),"")</f>
        <v/>
      </c>
      <c r="I456" s="2" t="str">
        <f>IFERROR(__xludf.DUMMYFUNCTION("IF('From Order'!$A456=COLUMNS($A456:I475), LEFT(INDEX(FILTER(I$1:I455, I$1:I455&lt;&gt;""""),COUNTA(FILTER(I$1:I455, I$1:I455&lt;&gt;""""))), LEN(INDEX(FILTER(I$1:I455, I$1:I455&lt;&gt;""""),COUNTA(FILTER(I$1:I455, I$1:I455&lt;&gt;""""))))-1), IF('To Order'!$A456=COLUMNS($A456:I"&amp;"475), I455&amp;RIGHT(INDIRECT(ADDRESS(ROW(I456)-1, 'From Order'!$A456)), 1), I455))"),"DDTDGS")</f>
        <v>DDTDGS</v>
      </c>
    </row>
    <row r="457">
      <c r="A457" s="2" t="str">
        <f>IFERROR(__xludf.DUMMYFUNCTION("IF('From Order'!$A457=COLUMNS($A457:A476), LEFT(INDEX(FILTER(A$1:A456, A$1:A456&lt;&gt;""""),COUNTA(FILTER(A$1:A456, A$1:A456&lt;&gt;""""))), LEN(INDEX(FILTER(A$1:A456, A$1:A456&lt;&gt;""""),COUNTA(FILTER(A$1:A456, A$1:A456&lt;&gt;""""))))-1), IF('To Order'!$A457=COLUMNS($A457:A"&amp;"476), A456&amp;RIGHT(INDIRECT(ADDRESS(ROW(A457)-1, 'From Order'!$A457)), 1), A456))"),"")</f>
        <v/>
      </c>
      <c r="B457" s="2" t="str">
        <f>IFERROR(__xludf.DUMMYFUNCTION("IF('From Order'!$A457=COLUMNS($A457:B476), LEFT(INDEX(FILTER(B$1:B456, B$1:B456&lt;&gt;""""),COUNTA(FILTER(B$1:B456, B$1:B456&lt;&gt;""""))), LEN(INDEX(FILTER(B$1:B456, B$1:B456&lt;&gt;""""),COUNTA(FILTER(B$1:B456, B$1:B456&lt;&gt;""""))))-1), IF('To Order'!$A457=COLUMNS($A457:B"&amp;"476), B456&amp;RIGHT(INDIRECT(ADDRESS(ROW(B457)-1, 'From Order'!$A457)), 1), B456))"),"JZRL")</f>
        <v>JZRL</v>
      </c>
      <c r="C457" s="2" t="str">
        <f>IFERROR(__xludf.DUMMYFUNCTION("IF('From Order'!$A457=COLUMNS($A457:C476), LEFT(INDEX(FILTER(C$1:C456, C$1:C456&lt;&gt;""""),COUNTA(FILTER(C$1:C456, C$1:C456&lt;&gt;""""))), LEN(INDEX(FILTER(C$1:C456, C$1:C456&lt;&gt;""""),COUNTA(FILTER(C$1:C456, C$1:C456&lt;&gt;""""))))-1), IF('To Order'!$A457=COLUMNS($A457:C"&amp;"476), C456&amp;RIGHT(INDIRECT(ADDRESS(ROW(C457)-1, 'From Order'!$A457)), 1), C456))"),"SMFBBRQPDSSGHWPBCVTJTWRDLRTDCQMTFTC")</f>
        <v>SMFBBRQPDSSGHWPBCVTJTWRDLRTDCQMTFTC</v>
      </c>
      <c r="D457" s="2" t="str">
        <f>IFERROR(__xludf.DUMMYFUNCTION("IF('From Order'!$A457=COLUMNS($A457:D476), LEFT(INDEX(FILTER(D$1:D456, D$1:D456&lt;&gt;""""),COUNTA(FILTER(D$1:D456, D$1:D456&lt;&gt;""""))), LEN(INDEX(FILTER(D$1:D456, D$1:D456&lt;&gt;""""),COUNTA(FILTER(D$1:D456, D$1:D456&lt;&gt;""""))))-1), IF('To Order'!$A457=COLUMNS($A457:D"&amp;"476), D456&amp;RIGHT(INDIRECT(ADDRESS(ROW(D457)-1, 'From Order'!$A457)), 1), D456))"),"")</f>
        <v/>
      </c>
      <c r="E457" s="2" t="str">
        <f>IFERROR(__xludf.DUMMYFUNCTION("IF('From Order'!$A457=COLUMNS($A457:E476), LEFT(INDEX(FILTER(E$1:E456, E$1:E456&lt;&gt;""""),COUNTA(FILTER(E$1:E456, E$1:E456&lt;&gt;""""))), LEN(INDEX(FILTER(E$1:E456, E$1:E456&lt;&gt;""""),COUNTA(FILTER(E$1:E456, E$1:E456&lt;&gt;""""))))-1), IF('To Order'!$A457=COLUMNS($A457:E"&amp;"476), E456&amp;RIGHT(INDIRECT(ADDRESS(ROW(E457)-1, 'From Order'!$A457)), 1), E456))"),"HZRVPV")</f>
        <v>HZRVPV</v>
      </c>
      <c r="F457" s="2" t="str">
        <f>IFERROR(__xludf.DUMMYFUNCTION("IF('From Order'!$A457=COLUMNS($A457:F476), LEFT(INDEX(FILTER(F$1:F456, F$1:F456&lt;&gt;""""),COUNTA(FILTER(F$1:F456, F$1:F456&lt;&gt;""""))), LEN(INDEX(FILTER(F$1:F456, F$1:F456&lt;&gt;""""),COUNTA(FILTER(F$1:F456, F$1:F456&lt;&gt;""""))))-1), IF('To Order'!$A457=COLUMNS($A457:F"&amp;"476), F456&amp;RIGHT(INDIRECT(ADDRESS(ROW(F457)-1, 'From Order'!$A457)), 1), F456))"),"MZ")</f>
        <v>MZ</v>
      </c>
      <c r="G457" s="2" t="str">
        <f>IFERROR(__xludf.DUMMYFUNCTION("IF('From Order'!$A457=COLUMNS($A457:G476), LEFT(INDEX(FILTER(G$1:G456, G$1:G456&lt;&gt;""""),COUNTA(FILTER(G$1:G456, G$1:G456&lt;&gt;""""))), LEN(INDEX(FILTER(G$1:G456, G$1:G456&lt;&gt;""""),COUNTA(FILTER(G$1:G456, G$1:G456&lt;&gt;""""))))-1), IF('To Order'!$A457=COLUMNS($A457:G"&amp;"476), G456&amp;RIGHT(INDIRECT(ADDRESS(ROW(G457)-1, 'From Order'!$A457)), 1), G456))"),"LJ")</f>
        <v>LJ</v>
      </c>
      <c r="H457" s="2" t="str">
        <f>IFERROR(__xludf.DUMMYFUNCTION("IF('From Order'!$A457=COLUMNS($A457:H476), LEFT(INDEX(FILTER(H$1:H456, H$1:H456&lt;&gt;""""),COUNTA(FILTER(H$1:H456, H$1:H456&lt;&gt;""""))), LEN(INDEX(FILTER(H$1:H456, H$1:H456&lt;&gt;""""),COUNTA(FILTER(H$1:H456, H$1:H456&lt;&gt;""""))))-1), IF('To Order'!$A457=COLUMNS($A457:H"&amp;"476), H456&amp;RIGHT(INDIRECT(ADDRESS(ROW(H457)-1, 'From Order'!$A457)), 1), H456))"),"")</f>
        <v/>
      </c>
      <c r="I457" s="2" t="str">
        <f>IFERROR(__xludf.DUMMYFUNCTION("IF('From Order'!$A457=COLUMNS($A457:I476), LEFT(INDEX(FILTER(I$1:I456, I$1:I456&lt;&gt;""""),COUNTA(FILTER(I$1:I456, I$1:I456&lt;&gt;""""))), LEN(INDEX(FILTER(I$1:I456, I$1:I456&lt;&gt;""""),COUNTA(FILTER(I$1:I456, I$1:I456&lt;&gt;""""))))-1), IF('To Order'!$A457=COLUMNS($A457:I"&amp;"476), I456&amp;RIGHT(INDIRECT(ADDRESS(ROW(I457)-1, 'From Order'!$A457)), 1), I456))"),"DDTDGSB")</f>
        <v>DDTDGSB</v>
      </c>
    </row>
    <row r="458">
      <c r="A458" s="2" t="str">
        <f>IFERROR(__xludf.DUMMYFUNCTION("IF('From Order'!$A458=COLUMNS($A458:A477), LEFT(INDEX(FILTER(A$1:A457, A$1:A457&lt;&gt;""""),COUNTA(FILTER(A$1:A457, A$1:A457&lt;&gt;""""))), LEN(INDEX(FILTER(A$1:A457, A$1:A457&lt;&gt;""""),COUNTA(FILTER(A$1:A457, A$1:A457&lt;&gt;""""))))-1), IF('To Order'!$A458=COLUMNS($A458:A"&amp;"477), A457&amp;RIGHT(INDIRECT(ADDRESS(ROW(A458)-1, 'From Order'!$A458)), 1), A457))"),"")</f>
        <v/>
      </c>
      <c r="B458" s="2" t="str">
        <f>IFERROR(__xludf.DUMMYFUNCTION("IF('From Order'!$A458=COLUMNS($A458:B477), LEFT(INDEX(FILTER(B$1:B457, B$1:B457&lt;&gt;""""),COUNTA(FILTER(B$1:B457, B$1:B457&lt;&gt;""""))), LEN(INDEX(FILTER(B$1:B457, B$1:B457&lt;&gt;""""),COUNTA(FILTER(B$1:B457, B$1:B457&lt;&gt;""""))))-1), IF('To Order'!$A458=COLUMNS($A458:B"&amp;"477), B457&amp;RIGHT(INDIRECT(ADDRESS(ROW(B458)-1, 'From Order'!$A458)), 1), B457))"),"JZR")</f>
        <v>JZR</v>
      </c>
      <c r="C458" s="2" t="str">
        <f>IFERROR(__xludf.DUMMYFUNCTION("IF('From Order'!$A458=COLUMNS($A458:C477), LEFT(INDEX(FILTER(C$1:C457, C$1:C457&lt;&gt;""""),COUNTA(FILTER(C$1:C457, C$1:C457&lt;&gt;""""))), LEN(INDEX(FILTER(C$1:C457, C$1:C457&lt;&gt;""""),COUNTA(FILTER(C$1:C457, C$1:C457&lt;&gt;""""))))-1), IF('To Order'!$A458=COLUMNS($A458:C"&amp;"477), C457&amp;RIGHT(INDIRECT(ADDRESS(ROW(C458)-1, 'From Order'!$A458)), 1), C457))"),"SMFBBRQPDSSGHWPBCVTJTWRDLRTDCQMTFTC")</f>
        <v>SMFBBRQPDSSGHWPBCVTJTWRDLRTDCQMTFTC</v>
      </c>
      <c r="D458" s="2" t="str">
        <f>IFERROR(__xludf.DUMMYFUNCTION("IF('From Order'!$A458=COLUMNS($A458:D477), LEFT(INDEX(FILTER(D$1:D457, D$1:D457&lt;&gt;""""),COUNTA(FILTER(D$1:D457, D$1:D457&lt;&gt;""""))), LEN(INDEX(FILTER(D$1:D457, D$1:D457&lt;&gt;""""),COUNTA(FILTER(D$1:D457, D$1:D457&lt;&gt;""""))))-1), IF('To Order'!$A458=COLUMNS($A458:D"&amp;"477), D457&amp;RIGHT(INDIRECT(ADDRESS(ROW(D458)-1, 'From Order'!$A458)), 1), D457))"),"")</f>
        <v/>
      </c>
      <c r="E458" s="2" t="str">
        <f>IFERROR(__xludf.DUMMYFUNCTION("IF('From Order'!$A458=COLUMNS($A458:E477), LEFT(INDEX(FILTER(E$1:E457, E$1:E457&lt;&gt;""""),COUNTA(FILTER(E$1:E457, E$1:E457&lt;&gt;""""))), LEN(INDEX(FILTER(E$1:E457, E$1:E457&lt;&gt;""""),COUNTA(FILTER(E$1:E457, E$1:E457&lt;&gt;""""))))-1), IF('To Order'!$A458=COLUMNS($A458:E"&amp;"477), E457&amp;RIGHT(INDIRECT(ADDRESS(ROW(E458)-1, 'From Order'!$A458)), 1), E457))"),"HZRVPV")</f>
        <v>HZRVPV</v>
      </c>
      <c r="F458" s="2" t="str">
        <f>IFERROR(__xludf.DUMMYFUNCTION("IF('From Order'!$A458=COLUMNS($A458:F477), LEFT(INDEX(FILTER(F$1:F457, F$1:F457&lt;&gt;""""),COUNTA(FILTER(F$1:F457, F$1:F457&lt;&gt;""""))), LEN(INDEX(FILTER(F$1:F457, F$1:F457&lt;&gt;""""),COUNTA(FILTER(F$1:F457, F$1:F457&lt;&gt;""""))))-1), IF('To Order'!$A458=COLUMNS($A458:F"&amp;"477), F457&amp;RIGHT(INDIRECT(ADDRESS(ROW(F458)-1, 'From Order'!$A458)), 1), F457))"),"MZ")</f>
        <v>MZ</v>
      </c>
      <c r="G458" s="2" t="str">
        <f>IFERROR(__xludf.DUMMYFUNCTION("IF('From Order'!$A458=COLUMNS($A458:G477), LEFT(INDEX(FILTER(G$1:G457, G$1:G457&lt;&gt;""""),COUNTA(FILTER(G$1:G457, G$1:G457&lt;&gt;""""))), LEN(INDEX(FILTER(G$1:G457, G$1:G457&lt;&gt;""""),COUNTA(FILTER(G$1:G457, G$1:G457&lt;&gt;""""))))-1), IF('To Order'!$A458=COLUMNS($A458:G"&amp;"477), G457&amp;RIGHT(INDIRECT(ADDRESS(ROW(G458)-1, 'From Order'!$A458)), 1), G457))"),"LJ")</f>
        <v>LJ</v>
      </c>
      <c r="H458" s="2" t="str">
        <f>IFERROR(__xludf.DUMMYFUNCTION("IF('From Order'!$A458=COLUMNS($A458:H477), LEFT(INDEX(FILTER(H$1:H457, H$1:H457&lt;&gt;""""),COUNTA(FILTER(H$1:H457, H$1:H457&lt;&gt;""""))), LEN(INDEX(FILTER(H$1:H457, H$1:H457&lt;&gt;""""),COUNTA(FILTER(H$1:H457, H$1:H457&lt;&gt;""""))))-1), IF('To Order'!$A458=COLUMNS($A458:H"&amp;"477), H457&amp;RIGHT(INDIRECT(ADDRESS(ROW(H458)-1, 'From Order'!$A458)), 1), H457))"),"")</f>
        <v/>
      </c>
      <c r="I458" s="2" t="str">
        <f>IFERROR(__xludf.DUMMYFUNCTION("IF('From Order'!$A458=COLUMNS($A458:I477), LEFT(INDEX(FILTER(I$1:I457, I$1:I457&lt;&gt;""""),COUNTA(FILTER(I$1:I457, I$1:I457&lt;&gt;""""))), LEN(INDEX(FILTER(I$1:I457, I$1:I457&lt;&gt;""""),COUNTA(FILTER(I$1:I457, I$1:I457&lt;&gt;""""))))-1), IF('To Order'!$A458=COLUMNS($A458:I"&amp;"477), I457&amp;RIGHT(INDIRECT(ADDRESS(ROW(I458)-1, 'From Order'!$A458)), 1), I457))"),"DDTDGSBL")</f>
        <v>DDTDGSBL</v>
      </c>
    </row>
    <row r="459">
      <c r="A459" s="2" t="str">
        <f>IFERROR(__xludf.DUMMYFUNCTION("IF('From Order'!$A459=COLUMNS($A459:A478), LEFT(INDEX(FILTER(A$1:A458, A$1:A458&lt;&gt;""""),COUNTA(FILTER(A$1:A458, A$1:A458&lt;&gt;""""))), LEN(INDEX(FILTER(A$1:A458, A$1:A458&lt;&gt;""""),COUNTA(FILTER(A$1:A458, A$1:A458&lt;&gt;""""))))-1), IF('To Order'!$A459=COLUMNS($A459:A"&amp;"478), A458&amp;RIGHT(INDIRECT(ADDRESS(ROW(A459)-1, 'From Order'!$A459)), 1), A458))"),"")</f>
        <v/>
      </c>
      <c r="B459" s="2" t="str">
        <f>IFERROR(__xludf.DUMMYFUNCTION("IF('From Order'!$A459=COLUMNS($A459:B478), LEFT(INDEX(FILTER(B$1:B458, B$1:B458&lt;&gt;""""),COUNTA(FILTER(B$1:B458, B$1:B458&lt;&gt;""""))), LEN(INDEX(FILTER(B$1:B458, B$1:B458&lt;&gt;""""),COUNTA(FILTER(B$1:B458, B$1:B458&lt;&gt;""""))))-1), IF('To Order'!$A459=COLUMNS($A459:B"&amp;"478), B458&amp;RIGHT(INDIRECT(ADDRESS(ROW(B459)-1, 'From Order'!$A459)), 1), B458))"),"JZRV")</f>
        <v>JZRV</v>
      </c>
      <c r="C459" s="2" t="str">
        <f>IFERROR(__xludf.DUMMYFUNCTION("IF('From Order'!$A459=COLUMNS($A459:C478), LEFT(INDEX(FILTER(C$1:C458, C$1:C458&lt;&gt;""""),COUNTA(FILTER(C$1:C458, C$1:C458&lt;&gt;""""))), LEN(INDEX(FILTER(C$1:C458, C$1:C458&lt;&gt;""""),COUNTA(FILTER(C$1:C458, C$1:C458&lt;&gt;""""))))-1), IF('To Order'!$A459=COLUMNS($A459:C"&amp;"478), C458&amp;RIGHT(INDIRECT(ADDRESS(ROW(C459)-1, 'From Order'!$A459)), 1), C458))"),"SMFBBRQPDSSGHWPBCVTJTWRDLRTDCQMTFTC")</f>
        <v>SMFBBRQPDSSGHWPBCVTJTWRDLRTDCQMTFTC</v>
      </c>
      <c r="D459" s="2" t="str">
        <f>IFERROR(__xludf.DUMMYFUNCTION("IF('From Order'!$A459=COLUMNS($A459:D478), LEFT(INDEX(FILTER(D$1:D458, D$1:D458&lt;&gt;""""),COUNTA(FILTER(D$1:D458, D$1:D458&lt;&gt;""""))), LEN(INDEX(FILTER(D$1:D458, D$1:D458&lt;&gt;""""),COUNTA(FILTER(D$1:D458, D$1:D458&lt;&gt;""""))))-1), IF('To Order'!$A459=COLUMNS($A459:D"&amp;"478), D458&amp;RIGHT(INDIRECT(ADDRESS(ROW(D459)-1, 'From Order'!$A459)), 1), D458))"),"")</f>
        <v/>
      </c>
      <c r="E459" s="2" t="str">
        <f>IFERROR(__xludf.DUMMYFUNCTION("IF('From Order'!$A459=COLUMNS($A459:E478), LEFT(INDEX(FILTER(E$1:E458, E$1:E458&lt;&gt;""""),COUNTA(FILTER(E$1:E458, E$1:E458&lt;&gt;""""))), LEN(INDEX(FILTER(E$1:E458, E$1:E458&lt;&gt;""""),COUNTA(FILTER(E$1:E458, E$1:E458&lt;&gt;""""))))-1), IF('To Order'!$A459=COLUMNS($A459:E"&amp;"478), E458&amp;RIGHT(INDIRECT(ADDRESS(ROW(E459)-1, 'From Order'!$A459)), 1), E458))"),"HZRVP")</f>
        <v>HZRVP</v>
      </c>
      <c r="F459" s="2" t="str">
        <f>IFERROR(__xludf.DUMMYFUNCTION("IF('From Order'!$A459=COLUMNS($A459:F478), LEFT(INDEX(FILTER(F$1:F458, F$1:F458&lt;&gt;""""),COUNTA(FILTER(F$1:F458, F$1:F458&lt;&gt;""""))), LEN(INDEX(FILTER(F$1:F458, F$1:F458&lt;&gt;""""),COUNTA(FILTER(F$1:F458, F$1:F458&lt;&gt;""""))))-1), IF('To Order'!$A459=COLUMNS($A459:F"&amp;"478), F458&amp;RIGHT(INDIRECT(ADDRESS(ROW(F459)-1, 'From Order'!$A459)), 1), F458))"),"MZ")</f>
        <v>MZ</v>
      </c>
      <c r="G459" s="2" t="str">
        <f>IFERROR(__xludf.DUMMYFUNCTION("IF('From Order'!$A459=COLUMNS($A459:G478), LEFT(INDEX(FILTER(G$1:G458, G$1:G458&lt;&gt;""""),COUNTA(FILTER(G$1:G458, G$1:G458&lt;&gt;""""))), LEN(INDEX(FILTER(G$1:G458, G$1:G458&lt;&gt;""""),COUNTA(FILTER(G$1:G458, G$1:G458&lt;&gt;""""))))-1), IF('To Order'!$A459=COLUMNS($A459:G"&amp;"478), G458&amp;RIGHT(INDIRECT(ADDRESS(ROW(G459)-1, 'From Order'!$A459)), 1), G458))"),"LJ")</f>
        <v>LJ</v>
      </c>
      <c r="H459" s="2" t="str">
        <f>IFERROR(__xludf.DUMMYFUNCTION("IF('From Order'!$A459=COLUMNS($A459:H478), LEFT(INDEX(FILTER(H$1:H458, H$1:H458&lt;&gt;""""),COUNTA(FILTER(H$1:H458, H$1:H458&lt;&gt;""""))), LEN(INDEX(FILTER(H$1:H458, H$1:H458&lt;&gt;""""),COUNTA(FILTER(H$1:H458, H$1:H458&lt;&gt;""""))))-1), IF('To Order'!$A459=COLUMNS($A459:H"&amp;"478), H458&amp;RIGHT(INDIRECT(ADDRESS(ROW(H459)-1, 'From Order'!$A459)), 1), H458))"),"")</f>
        <v/>
      </c>
      <c r="I459" s="2" t="str">
        <f>IFERROR(__xludf.DUMMYFUNCTION("IF('From Order'!$A459=COLUMNS($A459:I478), LEFT(INDEX(FILTER(I$1:I458, I$1:I458&lt;&gt;""""),COUNTA(FILTER(I$1:I458, I$1:I458&lt;&gt;""""))), LEN(INDEX(FILTER(I$1:I458, I$1:I458&lt;&gt;""""),COUNTA(FILTER(I$1:I458, I$1:I458&lt;&gt;""""))))-1), IF('To Order'!$A459=COLUMNS($A459:I"&amp;"478), I458&amp;RIGHT(INDIRECT(ADDRESS(ROW(I459)-1, 'From Order'!$A459)), 1), I458))"),"DDTDGSBL")</f>
        <v>DDTDGSBL</v>
      </c>
    </row>
    <row r="460">
      <c r="A460" s="2" t="str">
        <f>IFERROR(__xludf.DUMMYFUNCTION("IF('From Order'!$A460=COLUMNS($A460:A479), LEFT(INDEX(FILTER(A$1:A459, A$1:A459&lt;&gt;""""),COUNTA(FILTER(A$1:A459, A$1:A459&lt;&gt;""""))), LEN(INDEX(FILTER(A$1:A459, A$1:A459&lt;&gt;""""),COUNTA(FILTER(A$1:A459, A$1:A459&lt;&gt;""""))))-1), IF('To Order'!$A460=COLUMNS($A460:A"&amp;"479), A459&amp;RIGHT(INDIRECT(ADDRESS(ROW(A460)-1, 'From Order'!$A460)), 1), A459))"),"")</f>
        <v/>
      </c>
      <c r="B460" s="2" t="str">
        <f>IFERROR(__xludf.DUMMYFUNCTION("IF('From Order'!$A460=COLUMNS($A460:B479), LEFT(INDEX(FILTER(B$1:B459, B$1:B459&lt;&gt;""""),COUNTA(FILTER(B$1:B459, B$1:B459&lt;&gt;""""))), LEN(INDEX(FILTER(B$1:B459, B$1:B459&lt;&gt;""""),COUNTA(FILTER(B$1:B459, B$1:B459&lt;&gt;""""))))-1), IF('To Order'!$A460=COLUMNS($A460:B"&amp;"479), B459&amp;RIGHT(INDIRECT(ADDRESS(ROW(B460)-1, 'From Order'!$A460)), 1), B459))"),"JZRVP")</f>
        <v>JZRVP</v>
      </c>
      <c r="C460" s="2" t="str">
        <f>IFERROR(__xludf.DUMMYFUNCTION("IF('From Order'!$A460=COLUMNS($A460:C479), LEFT(INDEX(FILTER(C$1:C459, C$1:C459&lt;&gt;""""),COUNTA(FILTER(C$1:C459, C$1:C459&lt;&gt;""""))), LEN(INDEX(FILTER(C$1:C459, C$1:C459&lt;&gt;""""),COUNTA(FILTER(C$1:C459, C$1:C459&lt;&gt;""""))))-1), IF('To Order'!$A460=COLUMNS($A460:C"&amp;"479), C459&amp;RIGHT(INDIRECT(ADDRESS(ROW(C460)-1, 'From Order'!$A460)), 1), C459))"),"SMFBBRQPDSSGHWPBCVTJTWRDLRTDCQMTFTC")</f>
        <v>SMFBBRQPDSSGHWPBCVTJTWRDLRTDCQMTFTC</v>
      </c>
      <c r="D460" s="2" t="str">
        <f>IFERROR(__xludf.DUMMYFUNCTION("IF('From Order'!$A460=COLUMNS($A460:D479), LEFT(INDEX(FILTER(D$1:D459, D$1:D459&lt;&gt;""""),COUNTA(FILTER(D$1:D459, D$1:D459&lt;&gt;""""))), LEN(INDEX(FILTER(D$1:D459, D$1:D459&lt;&gt;""""),COUNTA(FILTER(D$1:D459, D$1:D459&lt;&gt;""""))))-1), IF('To Order'!$A460=COLUMNS($A460:D"&amp;"479), D459&amp;RIGHT(INDIRECT(ADDRESS(ROW(D460)-1, 'From Order'!$A460)), 1), D459))"),"")</f>
        <v/>
      </c>
      <c r="E460" s="2" t="str">
        <f>IFERROR(__xludf.DUMMYFUNCTION("IF('From Order'!$A460=COLUMNS($A460:E479), LEFT(INDEX(FILTER(E$1:E459, E$1:E459&lt;&gt;""""),COUNTA(FILTER(E$1:E459, E$1:E459&lt;&gt;""""))), LEN(INDEX(FILTER(E$1:E459, E$1:E459&lt;&gt;""""),COUNTA(FILTER(E$1:E459, E$1:E459&lt;&gt;""""))))-1), IF('To Order'!$A460=COLUMNS($A460:E"&amp;"479), E459&amp;RIGHT(INDIRECT(ADDRESS(ROW(E460)-1, 'From Order'!$A460)), 1), E459))"),"HZRV")</f>
        <v>HZRV</v>
      </c>
      <c r="F460" s="2" t="str">
        <f>IFERROR(__xludf.DUMMYFUNCTION("IF('From Order'!$A460=COLUMNS($A460:F479), LEFT(INDEX(FILTER(F$1:F459, F$1:F459&lt;&gt;""""),COUNTA(FILTER(F$1:F459, F$1:F459&lt;&gt;""""))), LEN(INDEX(FILTER(F$1:F459, F$1:F459&lt;&gt;""""),COUNTA(FILTER(F$1:F459, F$1:F459&lt;&gt;""""))))-1), IF('To Order'!$A460=COLUMNS($A460:F"&amp;"479), F459&amp;RIGHT(INDIRECT(ADDRESS(ROW(F460)-1, 'From Order'!$A460)), 1), F459))"),"MZ")</f>
        <v>MZ</v>
      </c>
      <c r="G460" s="2" t="str">
        <f>IFERROR(__xludf.DUMMYFUNCTION("IF('From Order'!$A460=COLUMNS($A460:G479), LEFT(INDEX(FILTER(G$1:G459, G$1:G459&lt;&gt;""""),COUNTA(FILTER(G$1:G459, G$1:G459&lt;&gt;""""))), LEN(INDEX(FILTER(G$1:G459, G$1:G459&lt;&gt;""""),COUNTA(FILTER(G$1:G459, G$1:G459&lt;&gt;""""))))-1), IF('To Order'!$A460=COLUMNS($A460:G"&amp;"479), G459&amp;RIGHT(INDIRECT(ADDRESS(ROW(G460)-1, 'From Order'!$A460)), 1), G459))"),"LJ")</f>
        <v>LJ</v>
      </c>
      <c r="H460" s="2" t="str">
        <f>IFERROR(__xludf.DUMMYFUNCTION("IF('From Order'!$A460=COLUMNS($A460:H479), LEFT(INDEX(FILTER(H$1:H459, H$1:H459&lt;&gt;""""),COUNTA(FILTER(H$1:H459, H$1:H459&lt;&gt;""""))), LEN(INDEX(FILTER(H$1:H459, H$1:H459&lt;&gt;""""),COUNTA(FILTER(H$1:H459, H$1:H459&lt;&gt;""""))))-1), IF('To Order'!$A460=COLUMNS($A460:H"&amp;"479), H459&amp;RIGHT(INDIRECT(ADDRESS(ROW(H460)-1, 'From Order'!$A460)), 1), H459))"),"")</f>
        <v/>
      </c>
      <c r="I460" s="2" t="str">
        <f>IFERROR(__xludf.DUMMYFUNCTION("IF('From Order'!$A460=COLUMNS($A460:I479), LEFT(INDEX(FILTER(I$1:I459, I$1:I459&lt;&gt;""""),COUNTA(FILTER(I$1:I459, I$1:I459&lt;&gt;""""))), LEN(INDEX(FILTER(I$1:I459, I$1:I459&lt;&gt;""""),COUNTA(FILTER(I$1:I459, I$1:I459&lt;&gt;""""))))-1), IF('To Order'!$A460=COLUMNS($A460:I"&amp;"479), I459&amp;RIGHT(INDIRECT(ADDRESS(ROW(I460)-1, 'From Order'!$A460)), 1), I459))"),"DDTDGSBL")</f>
        <v>DDTDGSBL</v>
      </c>
    </row>
    <row r="461">
      <c r="A461" s="2" t="str">
        <f>IFERROR(__xludf.DUMMYFUNCTION("IF('From Order'!$A461=COLUMNS($A461:A480), LEFT(INDEX(FILTER(A$1:A460, A$1:A460&lt;&gt;""""),COUNTA(FILTER(A$1:A460, A$1:A460&lt;&gt;""""))), LEN(INDEX(FILTER(A$1:A460, A$1:A460&lt;&gt;""""),COUNTA(FILTER(A$1:A460, A$1:A460&lt;&gt;""""))))-1), IF('To Order'!$A461=COLUMNS($A461:A"&amp;"480), A460&amp;RIGHT(INDIRECT(ADDRESS(ROW(A461)-1, 'From Order'!$A461)), 1), A460))"),"")</f>
        <v/>
      </c>
      <c r="B461" s="2" t="str">
        <f>IFERROR(__xludf.DUMMYFUNCTION("IF('From Order'!$A461=COLUMNS($A461:B480), LEFT(INDEX(FILTER(B$1:B460, B$1:B460&lt;&gt;""""),COUNTA(FILTER(B$1:B460, B$1:B460&lt;&gt;""""))), LEN(INDEX(FILTER(B$1:B460, B$1:B460&lt;&gt;""""),COUNTA(FILTER(B$1:B460, B$1:B460&lt;&gt;""""))))-1), IF('To Order'!$A461=COLUMNS($A461:B"&amp;"480), B460&amp;RIGHT(INDIRECT(ADDRESS(ROW(B461)-1, 'From Order'!$A461)), 1), B460))"),"JZRVPV")</f>
        <v>JZRVPV</v>
      </c>
      <c r="C461" s="2" t="str">
        <f>IFERROR(__xludf.DUMMYFUNCTION("IF('From Order'!$A461=COLUMNS($A461:C480), LEFT(INDEX(FILTER(C$1:C460, C$1:C460&lt;&gt;""""),COUNTA(FILTER(C$1:C460, C$1:C460&lt;&gt;""""))), LEN(INDEX(FILTER(C$1:C460, C$1:C460&lt;&gt;""""),COUNTA(FILTER(C$1:C460, C$1:C460&lt;&gt;""""))))-1), IF('To Order'!$A461=COLUMNS($A461:C"&amp;"480), C460&amp;RIGHT(INDIRECT(ADDRESS(ROW(C461)-1, 'From Order'!$A461)), 1), C460))"),"SMFBBRQPDSSGHWPBCVTJTWRDLRTDCQMTFTC")</f>
        <v>SMFBBRQPDSSGHWPBCVTJTWRDLRTDCQMTFTC</v>
      </c>
      <c r="D461" s="2" t="str">
        <f>IFERROR(__xludf.DUMMYFUNCTION("IF('From Order'!$A461=COLUMNS($A461:D480), LEFT(INDEX(FILTER(D$1:D460, D$1:D460&lt;&gt;""""),COUNTA(FILTER(D$1:D460, D$1:D460&lt;&gt;""""))), LEN(INDEX(FILTER(D$1:D460, D$1:D460&lt;&gt;""""),COUNTA(FILTER(D$1:D460, D$1:D460&lt;&gt;""""))))-1), IF('To Order'!$A461=COLUMNS($A461:D"&amp;"480), D460&amp;RIGHT(INDIRECT(ADDRESS(ROW(D461)-1, 'From Order'!$A461)), 1), D460))"),"")</f>
        <v/>
      </c>
      <c r="E461" s="2" t="str">
        <f>IFERROR(__xludf.DUMMYFUNCTION("IF('From Order'!$A461=COLUMNS($A461:E480), LEFT(INDEX(FILTER(E$1:E460, E$1:E460&lt;&gt;""""),COUNTA(FILTER(E$1:E460, E$1:E460&lt;&gt;""""))), LEN(INDEX(FILTER(E$1:E460, E$1:E460&lt;&gt;""""),COUNTA(FILTER(E$1:E460, E$1:E460&lt;&gt;""""))))-1), IF('To Order'!$A461=COLUMNS($A461:E"&amp;"480), E460&amp;RIGHT(INDIRECT(ADDRESS(ROW(E461)-1, 'From Order'!$A461)), 1), E460))"),"HZR")</f>
        <v>HZR</v>
      </c>
      <c r="F461" s="2" t="str">
        <f>IFERROR(__xludf.DUMMYFUNCTION("IF('From Order'!$A461=COLUMNS($A461:F480), LEFT(INDEX(FILTER(F$1:F460, F$1:F460&lt;&gt;""""),COUNTA(FILTER(F$1:F460, F$1:F460&lt;&gt;""""))), LEN(INDEX(FILTER(F$1:F460, F$1:F460&lt;&gt;""""),COUNTA(FILTER(F$1:F460, F$1:F460&lt;&gt;""""))))-1), IF('To Order'!$A461=COLUMNS($A461:F"&amp;"480), F460&amp;RIGHT(INDIRECT(ADDRESS(ROW(F461)-1, 'From Order'!$A461)), 1), F460))"),"MZ")</f>
        <v>MZ</v>
      </c>
      <c r="G461" s="2" t="str">
        <f>IFERROR(__xludf.DUMMYFUNCTION("IF('From Order'!$A461=COLUMNS($A461:G480), LEFT(INDEX(FILTER(G$1:G460, G$1:G460&lt;&gt;""""),COUNTA(FILTER(G$1:G460, G$1:G460&lt;&gt;""""))), LEN(INDEX(FILTER(G$1:G460, G$1:G460&lt;&gt;""""),COUNTA(FILTER(G$1:G460, G$1:G460&lt;&gt;""""))))-1), IF('To Order'!$A461=COLUMNS($A461:G"&amp;"480), G460&amp;RIGHT(INDIRECT(ADDRESS(ROW(G461)-1, 'From Order'!$A461)), 1), G460))"),"LJ")</f>
        <v>LJ</v>
      </c>
      <c r="H461" s="2" t="str">
        <f>IFERROR(__xludf.DUMMYFUNCTION("IF('From Order'!$A461=COLUMNS($A461:H480), LEFT(INDEX(FILTER(H$1:H460, H$1:H460&lt;&gt;""""),COUNTA(FILTER(H$1:H460, H$1:H460&lt;&gt;""""))), LEN(INDEX(FILTER(H$1:H460, H$1:H460&lt;&gt;""""),COUNTA(FILTER(H$1:H460, H$1:H460&lt;&gt;""""))))-1), IF('To Order'!$A461=COLUMNS($A461:H"&amp;"480), H460&amp;RIGHT(INDIRECT(ADDRESS(ROW(H461)-1, 'From Order'!$A461)), 1), H460))"),"")</f>
        <v/>
      </c>
      <c r="I461" s="2" t="str">
        <f>IFERROR(__xludf.DUMMYFUNCTION("IF('From Order'!$A461=COLUMNS($A461:I480), LEFT(INDEX(FILTER(I$1:I460, I$1:I460&lt;&gt;""""),COUNTA(FILTER(I$1:I460, I$1:I460&lt;&gt;""""))), LEN(INDEX(FILTER(I$1:I460, I$1:I460&lt;&gt;""""),COUNTA(FILTER(I$1:I460, I$1:I460&lt;&gt;""""))))-1), IF('To Order'!$A461=COLUMNS($A461:I"&amp;"480), I460&amp;RIGHT(INDIRECT(ADDRESS(ROW(I461)-1, 'From Order'!$A461)), 1), I460))"),"DDTDGSBL")</f>
        <v>DDTDGSBL</v>
      </c>
    </row>
    <row r="462">
      <c r="A462" s="2" t="str">
        <f>IFERROR(__xludf.DUMMYFUNCTION("IF('From Order'!$A462=COLUMNS($A462:A481), LEFT(INDEX(FILTER(A$1:A461, A$1:A461&lt;&gt;""""),COUNTA(FILTER(A$1:A461, A$1:A461&lt;&gt;""""))), LEN(INDEX(FILTER(A$1:A461, A$1:A461&lt;&gt;""""),COUNTA(FILTER(A$1:A461, A$1:A461&lt;&gt;""""))))-1), IF('To Order'!$A462=COLUMNS($A462:A"&amp;"481), A461&amp;RIGHT(INDIRECT(ADDRESS(ROW(A462)-1, 'From Order'!$A462)), 1), A461))"),"")</f>
        <v/>
      </c>
      <c r="B462" s="2" t="str">
        <f>IFERROR(__xludf.DUMMYFUNCTION("IF('From Order'!$A462=COLUMNS($A462:B481), LEFT(INDEX(FILTER(B$1:B461, B$1:B461&lt;&gt;""""),COUNTA(FILTER(B$1:B461, B$1:B461&lt;&gt;""""))), LEN(INDEX(FILTER(B$1:B461, B$1:B461&lt;&gt;""""),COUNTA(FILTER(B$1:B461, B$1:B461&lt;&gt;""""))))-1), IF('To Order'!$A462=COLUMNS($A462:B"&amp;"481), B461&amp;RIGHT(INDIRECT(ADDRESS(ROW(B462)-1, 'From Order'!$A462)), 1), B461))"),"JZRVPVR")</f>
        <v>JZRVPVR</v>
      </c>
      <c r="C462" s="2" t="str">
        <f>IFERROR(__xludf.DUMMYFUNCTION("IF('From Order'!$A462=COLUMNS($A462:C481), LEFT(INDEX(FILTER(C$1:C461, C$1:C461&lt;&gt;""""),COUNTA(FILTER(C$1:C461, C$1:C461&lt;&gt;""""))), LEN(INDEX(FILTER(C$1:C461, C$1:C461&lt;&gt;""""),COUNTA(FILTER(C$1:C461, C$1:C461&lt;&gt;""""))))-1), IF('To Order'!$A462=COLUMNS($A462:C"&amp;"481), C461&amp;RIGHT(INDIRECT(ADDRESS(ROW(C462)-1, 'From Order'!$A462)), 1), C461))"),"SMFBBRQPDSSGHWPBCVTJTWRDLRTDCQMTFTC")</f>
        <v>SMFBBRQPDSSGHWPBCVTJTWRDLRTDCQMTFTC</v>
      </c>
      <c r="D462" s="2" t="str">
        <f>IFERROR(__xludf.DUMMYFUNCTION("IF('From Order'!$A462=COLUMNS($A462:D481), LEFT(INDEX(FILTER(D$1:D461, D$1:D461&lt;&gt;""""),COUNTA(FILTER(D$1:D461, D$1:D461&lt;&gt;""""))), LEN(INDEX(FILTER(D$1:D461, D$1:D461&lt;&gt;""""),COUNTA(FILTER(D$1:D461, D$1:D461&lt;&gt;""""))))-1), IF('To Order'!$A462=COLUMNS($A462:D"&amp;"481), D461&amp;RIGHT(INDIRECT(ADDRESS(ROW(D462)-1, 'From Order'!$A462)), 1), D461))"),"")</f>
        <v/>
      </c>
      <c r="E462" s="2" t="str">
        <f>IFERROR(__xludf.DUMMYFUNCTION("IF('From Order'!$A462=COLUMNS($A462:E481), LEFT(INDEX(FILTER(E$1:E461, E$1:E461&lt;&gt;""""),COUNTA(FILTER(E$1:E461, E$1:E461&lt;&gt;""""))), LEN(INDEX(FILTER(E$1:E461, E$1:E461&lt;&gt;""""),COUNTA(FILTER(E$1:E461, E$1:E461&lt;&gt;""""))))-1), IF('To Order'!$A462=COLUMNS($A462:E"&amp;"481), E461&amp;RIGHT(INDIRECT(ADDRESS(ROW(E462)-1, 'From Order'!$A462)), 1), E461))"),"HZ")</f>
        <v>HZ</v>
      </c>
      <c r="F462" s="2" t="str">
        <f>IFERROR(__xludf.DUMMYFUNCTION("IF('From Order'!$A462=COLUMNS($A462:F481), LEFT(INDEX(FILTER(F$1:F461, F$1:F461&lt;&gt;""""),COUNTA(FILTER(F$1:F461, F$1:F461&lt;&gt;""""))), LEN(INDEX(FILTER(F$1:F461, F$1:F461&lt;&gt;""""),COUNTA(FILTER(F$1:F461, F$1:F461&lt;&gt;""""))))-1), IF('To Order'!$A462=COLUMNS($A462:F"&amp;"481), F461&amp;RIGHT(INDIRECT(ADDRESS(ROW(F462)-1, 'From Order'!$A462)), 1), F461))"),"MZ")</f>
        <v>MZ</v>
      </c>
      <c r="G462" s="2" t="str">
        <f>IFERROR(__xludf.DUMMYFUNCTION("IF('From Order'!$A462=COLUMNS($A462:G481), LEFT(INDEX(FILTER(G$1:G461, G$1:G461&lt;&gt;""""),COUNTA(FILTER(G$1:G461, G$1:G461&lt;&gt;""""))), LEN(INDEX(FILTER(G$1:G461, G$1:G461&lt;&gt;""""),COUNTA(FILTER(G$1:G461, G$1:G461&lt;&gt;""""))))-1), IF('To Order'!$A462=COLUMNS($A462:G"&amp;"481), G461&amp;RIGHT(INDIRECT(ADDRESS(ROW(G462)-1, 'From Order'!$A462)), 1), G461))"),"LJ")</f>
        <v>LJ</v>
      </c>
      <c r="H462" s="2" t="str">
        <f>IFERROR(__xludf.DUMMYFUNCTION("IF('From Order'!$A462=COLUMNS($A462:H481), LEFT(INDEX(FILTER(H$1:H461, H$1:H461&lt;&gt;""""),COUNTA(FILTER(H$1:H461, H$1:H461&lt;&gt;""""))), LEN(INDEX(FILTER(H$1:H461, H$1:H461&lt;&gt;""""),COUNTA(FILTER(H$1:H461, H$1:H461&lt;&gt;""""))))-1), IF('To Order'!$A462=COLUMNS($A462:H"&amp;"481), H461&amp;RIGHT(INDIRECT(ADDRESS(ROW(H462)-1, 'From Order'!$A462)), 1), H461))"),"")</f>
        <v/>
      </c>
      <c r="I462" s="2" t="str">
        <f>IFERROR(__xludf.DUMMYFUNCTION("IF('From Order'!$A462=COLUMNS($A462:I481), LEFT(INDEX(FILTER(I$1:I461, I$1:I461&lt;&gt;""""),COUNTA(FILTER(I$1:I461, I$1:I461&lt;&gt;""""))), LEN(INDEX(FILTER(I$1:I461, I$1:I461&lt;&gt;""""),COUNTA(FILTER(I$1:I461, I$1:I461&lt;&gt;""""))))-1), IF('To Order'!$A462=COLUMNS($A462:I"&amp;"481), I461&amp;RIGHT(INDIRECT(ADDRESS(ROW(I462)-1, 'From Order'!$A462)), 1), I461))"),"DDTDGSBL")</f>
        <v>DDTDGSBL</v>
      </c>
    </row>
    <row r="463">
      <c r="A463" s="2" t="str">
        <f>IFERROR(__xludf.DUMMYFUNCTION("IF('From Order'!$A463=COLUMNS($A463:A482), LEFT(INDEX(FILTER(A$1:A462, A$1:A462&lt;&gt;""""),COUNTA(FILTER(A$1:A462, A$1:A462&lt;&gt;""""))), LEN(INDEX(FILTER(A$1:A462, A$1:A462&lt;&gt;""""),COUNTA(FILTER(A$1:A462, A$1:A462&lt;&gt;""""))))-1), IF('To Order'!$A463=COLUMNS($A463:A"&amp;"482), A462&amp;RIGHT(INDIRECT(ADDRESS(ROW(A463)-1, 'From Order'!$A463)), 1), A462))"),"")</f>
        <v/>
      </c>
      <c r="B463" s="2" t="str">
        <f>IFERROR(__xludf.DUMMYFUNCTION("IF('From Order'!$A463=COLUMNS($A463:B482), LEFT(INDEX(FILTER(B$1:B462, B$1:B462&lt;&gt;""""),COUNTA(FILTER(B$1:B462, B$1:B462&lt;&gt;""""))), LEN(INDEX(FILTER(B$1:B462, B$1:B462&lt;&gt;""""),COUNTA(FILTER(B$1:B462, B$1:B462&lt;&gt;""""))))-1), IF('To Order'!$A463=COLUMNS($A463:B"&amp;"482), B462&amp;RIGHT(INDIRECT(ADDRESS(ROW(B463)-1, 'From Order'!$A463)), 1), B462))"),"JZRVPVRZ")</f>
        <v>JZRVPVRZ</v>
      </c>
      <c r="C463" s="2" t="str">
        <f>IFERROR(__xludf.DUMMYFUNCTION("IF('From Order'!$A463=COLUMNS($A463:C482), LEFT(INDEX(FILTER(C$1:C462, C$1:C462&lt;&gt;""""),COUNTA(FILTER(C$1:C462, C$1:C462&lt;&gt;""""))), LEN(INDEX(FILTER(C$1:C462, C$1:C462&lt;&gt;""""),COUNTA(FILTER(C$1:C462, C$1:C462&lt;&gt;""""))))-1), IF('To Order'!$A463=COLUMNS($A463:C"&amp;"482), C462&amp;RIGHT(INDIRECT(ADDRESS(ROW(C463)-1, 'From Order'!$A463)), 1), C462))"),"SMFBBRQPDSSGHWPBCVTJTWRDLRTDCQMTFTC")</f>
        <v>SMFBBRQPDSSGHWPBCVTJTWRDLRTDCQMTFTC</v>
      </c>
      <c r="D463" s="2" t="str">
        <f>IFERROR(__xludf.DUMMYFUNCTION("IF('From Order'!$A463=COLUMNS($A463:D482), LEFT(INDEX(FILTER(D$1:D462, D$1:D462&lt;&gt;""""),COUNTA(FILTER(D$1:D462, D$1:D462&lt;&gt;""""))), LEN(INDEX(FILTER(D$1:D462, D$1:D462&lt;&gt;""""),COUNTA(FILTER(D$1:D462, D$1:D462&lt;&gt;""""))))-1), IF('To Order'!$A463=COLUMNS($A463:D"&amp;"482), D462&amp;RIGHT(INDIRECT(ADDRESS(ROW(D463)-1, 'From Order'!$A463)), 1), D462))"),"")</f>
        <v/>
      </c>
      <c r="E463" s="2" t="str">
        <f>IFERROR(__xludf.DUMMYFUNCTION("IF('From Order'!$A463=COLUMNS($A463:E482), LEFT(INDEX(FILTER(E$1:E462, E$1:E462&lt;&gt;""""),COUNTA(FILTER(E$1:E462, E$1:E462&lt;&gt;""""))), LEN(INDEX(FILTER(E$1:E462, E$1:E462&lt;&gt;""""),COUNTA(FILTER(E$1:E462, E$1:E462&lt;&gt;""""))))-1), IF('To Order'!$A463=COLUMNS($A463:E"&amp;"482), E462&amp;RIGHT(INDIRECT(ADDRESS(ROW(E463)-1, 'From Order'!$A463)), 1), E462))"),"H")</f>
        <v>H</v>
      </c>
      <c r="F463" s="2" t="str">
        <f>IFERROR(__xludf.DUMMYFUNCTION("IF('From Order'!$A463=COLUMNS($A463:F482), LEFT(INDEX(FILTER(F$1:F462, F$1:F462&lt;&gt;""""),COUNTA(FILTER(F$1:F462, F$1:F462&lt;&gt;""""))), LEN(INDEX(FILTER(F$1:F462, F$1:F462&lt;&gt;""""),COUNTA(FILTER(F$1:F462, F$1:F462&lt;&gt;""""))))-1), IF('To Order'!$A463=COLUMNS($A463:F"&amp;"482), F462&amp;RIGHT(INDIRECT(ADDRESS(ROW(F463)-1, 'From Order'!$A463)), 1), F462))"),"MZ")</f>
        <v>MZ</v>
      </c>
      <c r="G463" s="2" t="str">
        <f>IFERROR(__xludf.DUMMYFUNCTION("IF('From Order'!$A463=COLUMNS($A463:G482), LEFT(INDEX(FILTER(G$1:G462, G$1:G462&lt;&gt;""""),COUNTA(FILTER(G$1:G462, G$1:G462&lt;&gt;""""))), LEN(INDEX(FILTER(G$1:G462, G$1:G462&lt;&gt;""""),COUNTA(FILTER(G$1:G462, G$1:G462&lt;&gt;""""))))-1), IF('To Order'!$A463=COLUMNS($A463:G"&amp;"482), G462&amp;RIGHT(INDIRECT(ADDRESS(ROW(G463)-1, 'From Order'!$A463)), 1), G462))"),"LJ")</f>
        <v>LJ</v>
      </c>
      <c r="H463" s="2" t="str">
        <f>IFERROR(__xludf.DUMMYFUNCTION("IF('From Order'!$A463=COLUMNS($A463:H482), LEFT(INDEX(FILTER(H$1:H462, H$1:H462&lt;&gt;""""),COUNTA(FILTER(H$1:H462, H$1:H462&lt;&gt;""""))), LEN(INDEX(FILTER(H$1:H462, H$1:H462&lt;&gt;""""),COUNTA(FILTER(H$1:H462, H$1:H462&lt;&gt;""""))))-1), IF('To Order'!$A463=COLUMNS($A463:H"&amp;"482), H462&amp;RIGHT(INDIRECT(ADDRESS(ROW(H463)-1, 'From Order'!$A463)), 1), H462))"),"")</f>
        <v/>
      </c>
      <c r="I463" s="2" t="str">
        <f>IFERROR(__xludf.DUMMYFUNCTION("IF('From Order'!$A463=COLUMNS($A463:I482), LEFT(INDEX(FILTER(I$1:I462, I$1:I462&lt;&gt;""""),COUNTA(FILTER(I$1:I462, I$1:I462&lt;&gt;""""))), LEN(INDEX(FILTER(I$1:I462, I$1:I462&lt;&gt;""""),COUNTA(FILTER(I$1:I462, I$1:I462&lt;&gt;""""))))-1), IF('To Order'!$A463=COLUMNS($A463:I"&amp;"482), I462&amp;RIGHT(INDIRECT(ADDRESS(ROW(I463)-1, 'From Order'!$A463)), 1), I462))"),"DDTDGSBL")</f>
        <v>DDTDGSBL</v>
      </c>
    </row>
    <row r="464">
      <c r="A464" s="2" t="str">
        <f>IFERROR(__xludf.DUMMYFUNCTION("IF('From Order'!$A464=COLUMNS($A464:A483), LEFT(INDEX(FILTER(A$1:A463, A$1:A463&lt;&gt;""""),COUNTA(FILTER(A$1:A463, A$1:A463&lt;&gt;""""))), LEN(INDEX(FILTER(A$1:A463, A$1:A463&lt;&gt;""""),COUNTA(FILTER(A$1:A463, A$1:A463&lt;&gt;""""))))-1), IF('To Order'!$A464=COLUMNS($A464:A"&amp;"483), A463&amp;RIGHT(INDIRECT(ADDRESS(ROW(A464)-1, 'From Order'!$A464)), 1), A463))"),"")</f>
        <v/>
      </c>
      <c r="B464" s="2" t="str">
        <f>IFERROR(__xludf.DUMMYFUNCTION("IF('From Order'!$A464=COLUMNS($A464:B483), LEFT(INDEX(FILTER(B$1:B463, B$1:B463&lt;&gt;""""),COUNTA(FILTER(B$1:B463, B$1:B463&lt;&gt;""""))), LEN(INDEX(FILTER(B$1:B463, B$1:B463&lt;&gt;""""),COUNTA(FILTER(B$1:B463, B$1:B463&lt;&gt;""""))))-1), IF('To Order'!$A464=COLUMNS($A464:B"&amp;"483), B463&amp;RIGHT(INDIRECT(ADDRESS(ROW(B464)-1, 'From Order'!$A464)), 1), B463))"),"JZRVPVRZH")</f>
        <v>JZRVPVRZH</v>
      </c>
      <c r="C464" s="2" t="str">
        <f>IFERROR(__xludf.DUMMYFUNCTION("IF('From Order'!$A464=COLUMNS($A464:C483), LEFT(INDEX(FILTER(C$1:C463, C$1:C463&lt;&gt;""""),COUNTA(FILTER(C$1:C463, C$1:C463&lt;&gt;""""))), LEN(INDEX(FILTER(C$1:C463, C$1:C463&lt;&gt;""""),COUNTA(FILTER(C$1:C463, C$1:C463&lt;&gt;""""))))-1), IF('To Order'!$A464=COLUMNS($A464:C"&amp;"483), C463&amp;RIGHT(INDIRECT(ADDRESS(ROW(C464)-1, 'From Order'!$A464)), 1), C463))"),"SMFBBRQPDSSGHWPBCVTJTWRDLRTDCQMTFTC")</f>
        <v>SMFBBRQPDSSGHWPBCVTJTWRDLRTDCQMTFTC</v>
      </c>
      <c r="D464" s="2" t="str">
        <f>IFERROR(__xludf.DUMMYFUNCTION("IF('From Order'!$A464=COLUMNS($A464:D483), LEFT(INDEX(FILTER(D$1:D463, D$1:D463&lt;&gt;""""),COUNTA(FILTER(D$1:D463, D$1:D463&lt;&gt;""""))), LEN(INDEX(FILTER(D$1:D463, D$1:D463&lt;&gt;""""),COUNTA(FILTER(D$1:D463, D$1:D463&lt;&gt;""""))))-1), IF('To Order'!$A464=COLUMNS($A464:D"&amp;"483), D463&amp;RIGHT(INDIRECT(ADDRESS(ROW(D464)-1, 'From Order'!$A464)), 1), D463))"),"")</f>
        <v/>
      </c>
      <c r="E464" s="2" t="str">
        <f>IFERROR(__xludf.DUMMYFUNCTION("IF('From Order'!$A464=COLUMNS($A464:E483), LEFT(INDEX(FILTER(E$1:E463, E$1:E463&lt;&gt;""""),COUNTA(FILTER(E$1:E463, E$1:E463&lt;&gt;""""))), LEN(INDEX(FILTER(E$1:E463, E$1:E463&lt;&gt;""""),COUNTA(FILTER(E$1:E463, E$1:E463&lt;&gt;""""))))-1), IF('To Order'!$A464=COLUMNS($A464:E"&amp;"483), E463&amp;RIGHT(INDIRECT(ADDRESS(ROW(E464)-1, 'From Order'!$A464)), 1), E463))"),"")</f>
        <v/>
      </c>
      <c r="F464" s="2" t="str">
        <f>IFERROR(__xludf.DUMMYFUNCTION("IF('From Order'!$A464=COLUMNS($A464:F483), LEFT(INDEX(FILTER(F$1:F463, F$1:F463&lt;&gt;""""),COUNTA(FILTER(F$1:F463, F$1:F463&lt;&gt;""""))), LEN(INDEX(FILTER(F$1:F463, F$1:F463&lt;&gt;""""),COUNTA(FILTER(F$1:F463, F$1:F463&lt;&gt;""""))))-1), IF('To Order'!$A464=COLUMNS($A464:F"&amp;"483), F463&amp;RIGHT(INDIRECT(ADDRESS(ROW(F464)-1, 'From Order'!$A464)), 1), F463))"),"MZ")</f>
        <v>MZ</v>
      </c>
      <c r="G464" s="2" t="str">
        <f>IFERROR(__xludf.DUMMYFUNCTION("IF('From Order'!$A464=COLUMNS($A464:G483), LEFT(INDEX(FILTER(G$1:G463, G$1:G463&lt;&gt;""""),COUNTA(FILTER(G$1:G463, G$1:G463&lt;&gt;""""))), LEN(INDEX(FILTER(G$1:G463, G$1:G463&lt;&gt;""""),COUNTA(FILTER(G$1:G463, G$1:G463&lt;&gt;""""))))-1), IF('To Order'!$A464=COLUMNS($A464:G"&amp;"483), G463&amp;RIGHT(INDIRECT(ADDRESS(ROW(G464)-1, 'From Order'!$A464)), 1), G463))"),"LJ")</f>
        <v>LJ</v>
      </c>
      <c r="H464" s="2" t="str">
        <f>IFERROR(__xludf.DUMMYFUNCTION("IF('From Order'!$A464=COLUMNS($A464:H483), LEFT(INDEX(FILTER(H$1:H463, H$1:H463&lt;&gt;""""),COUNTA(FILTER(H$1:H463, H$1:H463&lt;&gt;""""))), LEN(INDEX(FILTER(H$1:H463, H$1:H463&lt;&gt;""""),COUNTA(FILTER(H$1:H463, H$1:H463&lt;&gt;""""))))-1), IF('To Order'!$A464=COLUMNS($A464:H"&amp;"483), H463&amp;RIGHT(INDIRECT(ADDRESS(ROW(H464)-1, 'From Order'!$A464)), 1), H463))"),"")</f>
        <v/>
      </c>
      <c r="I464" s="2" t="str">
        <f>IFERROR(__xludf.DUMMYFUNCTION("IF('From Order'!$A464=COLUMNS($A464:I483), LEFT(INDEX(FILTER(I$1:I463, I$1:I463&lt;&gt;""""),COUNTA(FILTER(I$1:I463, I$1:I463&lt;&gt;""""))), LEN(INDEX(FILTER(I$1:I463, I$1:I463&lt;&gt;""""),COUNTA(FILTER(I$1:I463, I$1:I463&lt;&gt;""""))))-1), IF('To Order'!$A464=COLUMNS($A464:I"&amp;"483), I463&amp;RIGHT(INDIRECT(ADDRESS(ROW(I464)-1, 'From Order'!$A464)), 1), I463))"),"DDTDGSBL")</f>
        <v>DDTDGSBL</v>
      </c>
    </row>
    <row r="465">
      <c r="A465" s="2" t="str">
        <f>IFERROR(__xludf.DUMMYFUNCTION("IF('From Order'!$A465=COLUMNS($A465:A484), LEFT(INDEX(FILTER(A$1:A464, A$1:A464&lt;&gt;""""),COUNTA(FILTER(A$1:A464, A$1:A464&lt;&gt;""""))), LEN(INDEX(FILTER(A$1:A464, A$1:A464&lt;&gt;""""),COUNTA(FILTER(A$1:A464, A$1:A464&lt;&gt;""""))))-1), IF('To Order'!$A465=COLUMNS($A465:A"&amp;"484), A464&amp;RIGHT(INDIRECT(ADDRESS(ROW(A465)-1, 'From Order'!$A465)), 1), A464))"),"")</f>
        <v/>
      </c>
      <c r="B465" s="2" t="str">
        <f>IFERROR(__xludf.DUMMYFUNCTION("IF('From Order'!$A465=COLUMNS($A465:B484), LEFT(INDEX(FILTER(B$1:B464, B$1:B464&lt;&gt;""""),COUNTA(FILTER(B$1:B464, B$1:B464&lt;&gt;""""))), LEN(INDEX(FILTER(B$1:B464, B$1:B464&lt;&gt;""""),COUNTA(FILTER(B$1:B464, B$1:B464&lt;&gt;""""))))-1), IF('To Order'!$A465=COLUMNS($A465:B"&amp;"484), B464&amp;RIGHT(INDIRECT(ADDRESS(ROW(B465)-1, 'From Order'!$A465)), 1), B464))"),"JZRVPVRZH")</f>
        <v>JZRVPVRZH</v>
      </c>
      <c r="C465" s="2" t="str">
        <f>IFERROR(__xludf.DUMMYFUNCTION("IF('From Order'!$A465=COLUMNS($A465:C484), LEFT(INDEX(FILTER(C$1:C464, C$1:C464&lt;&gt;""""),COUNTA(FILTER(C$1:C464, C$1:C464&lt;&gt;""""))), LEN(INDEX(FILTER(C$1:C464, C$1:C464&lt;&gt;""""),COUNTA(FILTER(C$1:C464, C$1:C464&lt;&gt;""""))))-1), IF('To Order'!$A465=COLUMNS($A465:C"&amp;"484), C464&amp;RIGHT(INDIRECT(ADDRESS(ROW(C465)-1, 'From Order'!$A465)), 1), C464))"),"SMFBBRQPDSSGHWPBCVTJTWRDLRTDCQMTFTC")</f>
        <v>SMFBBRQPDSSGHWPBCVTJTWRDLRTDCQMTFTC</v>
      </c>
      <c r="D465" s="2" t="str">
        <f>IFERROR(__xludf.DUMMYFUNCTION("IF('From Order'!$A465=COLUMNS($A465:D484), LEFT(INDEX(FILTER(D$1:D464, D$1:D464&lt;&gt;""""),COUNTA(FILTER(D$1:D464, D$1:D464&lt;&gt;""""))), LEN(INDEX(FILTER(D$1:D464, D$1:D464&lt;&gt;""""),COUNTA(FILTER(D$1:D464, D$1:D464&lt;&gt;""""))))-1), IF('To Order'!$A465=COLUMNS($A465:D"&amp;"484), D464&amp;RIGHT(INDIRECT(ADDRESS(ROW(D465)-1, 'From Order'!$A465)), 1), D464))"),"")</f>
        <v/>
      </c>
      <c r="E465" s="2" t="str">
        <f>IFERROR(__xludf.DUMMYFUNCTION("IF('From Order'!$A465=COLUMNS($A465:E484), LEFT(INDEX(FILTER(E$1:E464, E$1:E464&lt;&gt;""""),COUNTA(FILTER(E$1:E464, E$1:E464&lt;&gt;""""))), LEN(INDEX(FILTER(E$1:E464, E$1:E464&lt;&gt;""""),COUNTA(FILTER(E$1:E464, E$1:E464&lt;&gt;""""))))-1), IF('To Order'!$A465=COLUMNS($A465:E"&amp;"484), E464&amp;RIGHT(INDIRECT(ADDRESS(ROW(E465)-1, 'From Order'!$A465)), 1), E464))"),"")</f>
        <v/>
      </c>
      <c r="F465" s="2" t="str">
        <f>IFERROR(__xludf.DUMMYFUNCTION("IF('From Order'!$A465=COLUMNS($A465:F484), LEFT(INDEX(FILTER(F$1:F464, F$1:F464&lt;&gt;""""),COUNTA(FILTER(F$1:F464, F$1:F464&lt;&gt;""""))), LEN(INDEX(FILTER(F$1:F464, F$1:F464&lt;&gt;""""),COUNTA(FILTER(F$1:F464, F$1:F464&lt;&gt;""""))))-1), IF('To Order'!$A465=COLUMNS($A465:F"&amp;"484), F464&amp;RIGHT(INDIRECT(ADDRESS(ROW(F465)-1, 'From Order'!$A465)), 1), F464))"),"M")</f>
        <v>M</v>
      </c>
      <c r="G465" s="2" t="str">
        <f>IFERROR(__xludf.DUMMYFUNCTION("IF('From Order'!$A465=COLUMNS($A465:G484), LEFT(INDEX(FILTER(G$1:G464, G$1:G464&lt;&gt;""""),COUNTA(FILTER(G$1:G464, G$1:G464&lt;&gt;""""))), LEN(INDEX(FILTER(G$1:G464, G$1:G464&lt;&gt;""""),COUNTA(FILTER(G$1:G464, G$1:G464&lt;&gt;""""))))-1), IF('To Order'!$A465=COLUMNS($A465:G"&amp;"484), G464&amp;RIGHT(INDIRECT(ADDRESS(ROW(G465)-1, 'From Order'!$A465)), 1), G464))"),"LJ")</f>
        <v>LJ</v>
      </c>
      <c r="H465" s="2" t="str">
        <f>IFERROR(__xludf.DUMMYFUNCTION("IF('From Order'!$A465=COLUMNS($A465:H484), LEFT(INDEX(FILTER(H$1:H464, H$1:H464&lt;&gt;""""),COUNTA(FILTER(H$1:H464, H$1:H464&lt;&gt;""""))), LEN(INDEX(FILTER(H$1:H464, H$1:H464&lt;&gt;""""),COUNTA(FILTER(H$1:H464, H$1:H464&lt;&gt;""""))))-1), IF('To Order'!$A465=COLUMNS($A465:H"&amp;"484), H464&amp;RIGHT(INDIRECT(ADDRESS(ROW(H465)-1, 'From Order'!$A465)), 1), H464))"),"Z")</f>
        <v>Z</v>
      </c>
      <c r="I465" s="2" t="str">
        <f>IFERROR(__xludf.DUMMYFUNCTION("IF('From Order'!$A465=COLUMNS($A465:I484), LEFT(INDEX(FILTER(I$1:I464, I$1:I464&lt;&gt;""""),COUNTA(FILTER(I$1:I464, I$1:I464&lt;&gt;""""))), LEN(INDEX(FILTER(I$1:I464, I$1:I464&lt;&gt;""""),COUNTA(FILTER(I$1:I464, I$1:I464&lt;&gt;""""))))-1), IF('To Order'!$A465=COLUMNS($A465:I"&amp;"484), I464&amp;RIGHT(INDIRECT(ADDRESS(ROW(I465)-1, 'From Order'!$A465)), 1), I464))"),"DDTDGSBL")</f>
        <v>DDTDGSBL</v>
      </c>
    </row>
    <row r="466">
      <c r="A466" s="2" t="str">
        <f>IFERROR(__xludf.DUMMYFUNCTION("IF('From Order'!$A466=COLUMNS($A466:A485), LEFT(INDEX(FILTER(A$1:A465, A$1:A465&lt;&gt;""""),COUNTA(FILTER(A$1:A465, A$1:A465&lt;&gt;""""))), LEN(INDEX(FILTER(A$1:A465, A$1:A465&lt;&gt;""""),COUNTA(FILTER(A$1:A465, A$1:A465&lt;&gt;""""))))-1), IF('To Order'!$A466=COLUMNS($A466:A"&amp;"485), A465&amp;RIGHT(INDIRECT(ADDRESS(ROW(A466)-1, 'From Order'!$A466)), 1), A465))"),"")</f>
        <v/>
      </c>
      <c r="B466" s="2" t="str">
        <f>IFERROR(__xludf.DUMMYFUNCTION("IF('From Order'!$A466=COLUMNS($A466:B485), LEFT(INDEX(FILTER(B$1:B465, B$1:B465&lt;&gt;""""),COUNTA(FILTER(B$1:B465, B$1:B465&lt;&gt;""""))), LEN(INDEX(FILTER(B$1:B465, B$1:B465&lt;&gt;""""),COUNTA(FILTER(B$1:B465, B$1:B465&lt;&gt;""""))))-1), IF('To Order'!$A466=COLUMNS($A466:B"&amp;"485), B465&amp;RIGHT(INDIRECT(ADDRESS(ROW(B466)-1, 'From Order'!$A466)), 1), B465))"),"JZRVPVRZH")</f>
        <v>JZRVPVRZH</v>
      </c>
      <c r="C466" s="2" t="str">
        <f>IFERROR(__xludf.DUMMYFUNCTION("IF('From Order'!$A466=COLUMNS($A466:C485), LEFT(INDEX(FILTER(C$1:C465, C$1:C465&lt;&gt;""""),COUNTA(FILTER(C$1:C465, C$1:C465&lt;&gt;""""))), LEN(INDEX(FILTER(C$1:C465, C$1:C465&lt;&gt;""""),COUNTA(FILTER(C$1:C465, C$1:C465&lt;&gt;""""))))-1), IF('To Order'!$A466=COLUMNS($A466:C"&amp;"485), C465&amp;RIGHT(INDIRECT(ADDRESS(ROW(C466)-1, 'From Order'!$A466)), 1), C465))"),"SMFBBRQPDSSGHWPBCVTJTWRDLRTDCQMTFTC")</f>
        <v>SMFBBRQPDSSGHWPBCVTJTWRDLRTDCQMTFTC</v>
      </c>
      <c r="D466" s="2" t="str">
        <f>IFERROR(__xludf.DUMMYFUNCTION("IF('From Order'!$A466=COLUMNS($A466:D485), LEFT(INDEX(FILTER(D$1:D465, D$1:D465&lt;&gt;""""),COUNTA(FILTER(D$1:D465, D$1:D465&lt;&gt;""""))), LEN(INDEX(FILTER(D$1:D465, D$1:D465&lt;&gt;""""),COUNTA(FILTER(D$1:D465, D$1:D465&lt;&gt;""""))))-1), IF('To Order'!$A466=COLUMNS($A466:D"&amp;"485), D465&amp;RIGHT(INDIRECT(ADDRESS(ROW(D466)-1, 'From Order'!$A466)), 1), D465))"),"")</f>
        <v/>
      </c>
      <c r="E466" s="2" t="str">
        <f>IFERROR(__xludf.DUMMYFUNCTION("IF('From Order'!$A466=COLUMNS($A466:E485), LEFT(INDEX(FILTER(E$1:E465, E$1:E465&lt;&gt;""""),COUNTA(FILTER(E$1:E465, E$1:E465&lt;&gt;""""))), LEN(INDEX(FILTER(E$1:E465, E$1:E465&lt;&gt;""""),COUNTA(FILTER(E$1:E465, E$1:E465&lt;&gt;""""))))-1), IF('To Order'!$A466=COLUMNS($A466:E"&amp;"485), E465&amp;RIGHT(INDIRECT(ADDRESS(ROW(E466)-1, 'From Order'!$A466)), 1), E465))"),"")</f>
        <v/>
      </c>
      <c r="F466" s="2" t="str">
        <f>IFERROR(__xludf.DUMMYFUNCTION("IF('From Order'!$A466=COLUMNS($A466:F485), LEFT(INDEX(FILTER(F$1:F465, F$1:F465&lt;&gt;""""),COUNTA(FILTER(F$1:F465, F$1:F465&lt;&gt;""""))), LEN(INDEX(FILTER(F$1:F465, F$1:F465&lt;&gt;""""),COUNTA(FILTER(F$1:F465, F$1:F465&lt;&gt;""""))))-1), IF('To Order'!$A466=COLUMNS($A466:F"&amp;"485), F465&amp;RIGHT(INDIRECT(ADDRESS(ROW(F466)-1, 'From Order'!$A466)), 1), F465))"),"")</f>
        <v/>
      </c>
      <c r="G466" s="2" t="str">
        <f>IFERROR(__xludf.DUMMYFUNCTION("IF('From Order'!$A466=COLUMNS($A466:G485), LEFT(INDEX(FILTER(G$1:G465, G$1:G465&lt;&gt;""""),COUNTA(FILTER(G$1:G465, G$1:G465&lt;&gt;""""))), LEN(INDEX(FILTER(G$1:G465, G$1:G465&lt;&gt;""""),COUNTA(FILTER(G$1:G465, G$1:G465&lt;&gt;""""))))-1), IF('To Order'!$A466=COLUMNS($A466:G"&amp;"485), G465&amp;RIGHT(INDIRECT(ADDRESS(ROW(G466)-1, 'From Order'!$A466)), 1), G465))"),"LJ")</f>
        <v>LJ</v>
      </c>
      <c r="H466" s="2" t="str">
        <f>IFERROR(__xludf.DUMMYFUNCTION("IF('From Order'!$A466=COLUMNS($A466:H485), LEFT(INDEX(FILTER(H$1:H465, H$1:H465&lt;&gt;""""),COUNTA(FILTER(H$1:H465, H$1:H465&lt;&gt;""""))), LEN(INDEX(FILTER(H$1:H465, H$1:H465&lt;&gt;""""),COUNTA(FILTER(H$1:H465, H$1:H465&lt;&gt;""""))))-1), IF('To Order'!$A466=COLUMNS($A466:H"&amp;"485), H465&amp;RIGHT(INDIRECT(ADDRESS(ROW(H466)-1, 'From Order'!$A466)), 1), H465))"),"ZM")</f>
        <v>ZM</v>
      </c>
      <c r="I466" s="2" t="str">
        <f>IFERROR(__xludf.DUMMYFUNCTION("IF('From Order'!$A466=COLUMNS($A466:I485), LEFT(INDEX(FILTER(I$1:I465, I$1:I465&lt;&gt;""""),COUNTA(FILTER(I$1:I465, I$1:I465&lt;&gt;""""))), LEN(INDEX(FILTER(I$1:I465, I$1:I465&lt;&gt;""""),COUNTA(FILTER(I$1:I465, I$1:I465&lt;&gt;""""))))-1), IF('To Order'!$A466=COLUMNS($A466:I"&amp;"485), I465&amp;RIGHT(INDIRECT(ADDRESS(ROW(I466)-1, 'From Order'!$A466)), 1), I465))"),"DDTDGSBL")</f>
        <v>DDTDGSBL</v>
      </c>
    </row>
    <row r="467">
      <c r="A467" s="2" t="str">
        <f>IFERROR(__xludf.DUMMYFUNCTION("IF('From Order'!$A467=COLUMNS($A467:A486), LEFT(INDEX(FILTER(A$1:A466, A$1:A466&lt;&gt;""""),COUNTA(FILTER(A$1:A466, A$1:A466&lt;&gt;""""))), LEN(INDEX(FILTER(A$1:A466, A$1:A466&lt;&gt;""""),COUNTA(FILTER(A$1:A466, A$1:A466&lt;&gt;""""))))-1), IF('To Order'!$A467=COLUMNS($A467:A"&amp;"486), A466&amp;RIGHT(INDIRECT(ADDRESS(ROW(A467)-1, 'From Order'!$A467)), 1), A466))"),"")</f>
        <v/>
      </c>
      <c r="B467" s="2" t="str">
        <f>IFERROR(__xludf.DUMMYFUNCTION("IF('From Order'!$A467=COLUMNS($A467:B486), LEFT(INDEX(FILTER(B$1:B466, B$1:B466&lt;&gt;""""),COUNTA(FILTER(B$1:B466, B$1:B466&lt;&gt;""""))), LEN(INDEX(FILTER(B$1:B466, B$1:B466&lt;&gt;""""),COUNTA(FILTER(B$1:B466, B$1:B466&lt;&gt;""""))))-1), IF('To Order'!$A467=COLUMNS($A467:B"&amp;"486), B466&amp;RIGHT(INDIRECT(ADDRESS(ROW(B467)-1, 'From Order'!$A467)), 1), B466))"),"JZRVPVRZH")</f>
        <v>JZRVPVRZH</v>
      </c>
      <c r="C467" s="2" t="str">
        <f>IFERROR(__xludf.DUMMYFUNCTION("IF('From Order'!$A467=COLUMNS($A467:C486), LEFT(INDEX(FILTER(C$1:C466, C$1:C466&lt;&gt;""""),COUNTA(FILTER(C$1:C466, C$1:C466&lt;&gt;""""))), LEN(INDEX(FILTER(C$1:C466, C$1:C466&lt;&gt;""""),COUNTA(FILTER(C$1:C466, C$1:C466&lt;&gt;""""))))-1), IF('To Order'!$A467=COLUMNS($A467:C"&amp;"486), C466&amp;RIGHT(INDIRECT(ADDRESS(ROW(C467)-1, 'From Order'!$A467)), 1), C466))"),"SMFBBRQPDSSGHWPBCVTJTWRDLRTDCQMTFTC")</f>
        <v>SMFBBRQPDSSGHWPBCVTJTWRDLRTDCQMTFTC</v>
      </c>
      <c r="D467" s="2" t="str">
        <f>IFERROR(__xludf.DUMMYFUNCTION("IF('From Order'!$A467=COLUMNS($A467:D486), LEFT(INDEX(FILTER(D$1:D466, D$1:D466&lt;&gt;""""),COUNTA(FILTER(D$1:D466, D$1:D466&lt;&gt;""""))), LEN(INDEX(FILTER(D$1:D466, D$1:D466&lt;&gt;""""),COUNTA(FILTER(D$1:D466, D$1:D466&lt;&gt;""""))))-1), IF('To Order'!$A467=COLUMNS($A467:D"&amp;"486), D466&amp;RIGHT(INDIRECT(ADDRESS(ROW(D467)-1, 'From Order'!$A467)), 1), D466))"),"")</f>
        <v/>
      </c>
      <c r="E467" s="2" t="str">
        <f>IFERROR(__xludf.DUMMYFUNCTION("IF('From Order'!$A467=COLUMNS($A467:E486), LEFT(INDEX(FILTER(E$1:E466, E$1:E466&lt;&gt;""""),COUNTA(FILTER(E$1:E466, E$1:E466&lt;&gt;""""))), LEN(INDEX(FILTER(E$1:E466, E$1:E466&lt;&gt;""""),COUNTA(FILTER(E$1:E466, E$1:E466&lt;&gt;""""))))-1), IF('To Order'!$A467=COLUMNS($A467:E"&amp;"486), E466&amp;RIGHT(INDIRECT(ADDRESS(ROW(E467)-1, 'From Order'!$A467)), 1), E466))"),"L")</f>
        <v>L</v>
      </c>
      <c r="F467" s="2" t="str">
        <f>IFERROR(__xludf.DUMMYFUNCTION("IF('From Order'!$A467=COLUMNS($A467:F486), LEFT(INDEX(FILTER(F$1:F466, F$1:F466&lt;&gt;""""),COUNTA(FILTER(F$1:F466, F$1:F466&lt;&gt;""""))), LEN(INDEX(FILTER(F$1:F466, F$1:F466&lt;&gt;""""),COUNTA(FILTER(F$1:F466, F$1:F466&lt;&gt;""""))))-1), IF('To Order'!$A467=COLUMNS($A467:F"&amp;"486), F466&amp;RIGHT(INDIRECT(ADDRESS(ROW(F467)-1, 'From Order'!$A467)), 1), F466))"),"")</f>
        <v/>
      </c>
      <c r="G467" s="2" t="str">
        <f>IFERROR(__xludf.DUMMYFUNCTION("IF('From Order'!$A467=COLUMNS($A467:G486), LEFT(INDEX(FILTER(G$1:G466, G$1:G466&lt;&gt;""""),COUNTA(FILTER(G$1:G466, G$1:G466&lt;&gt;""""))), LEN(INDEX(FILTER(G$1:G466, G$1:G466&lt;&gt;""""),COUNTA(FILTER(G$1:G466, G$1:G466&lt;&gt;""""))))-1), IF('To Order'!$A467=COLUMNS($A467:G"&amp;"486), G466&amp;RIGHT(INDIRECT(ADDRESS(ROW(G467)-1, 'From Order'!$A467)), 1), G466))"),"LJ")</f>
        <v>LJ</v>
      </c>
      <c r="H467" s="2" t="str">
        <f>IFERROR(__xludf.DUMMYFUNCTION("IF('From Order'!$A467=COLUMNS($A467:H486), LEFT(INDEX(FILTER(H$1:H466, H$1:H466&lt;&gt;""""),COUNTA(FILTER(H$1:H466, H$1:H466&lt;&gt;""""))), LEN(INDEX(FILTER(H$1:H466, H$1:H466&lt;&gt;""""),COUNTA(FILTER(H$1:H466, H$1:H466&lt;&gt;""""))))-1), IF('To Order'!$A467=COLUMNS($A467:H"&amp;"486), H466&amp;RIGHT(INDIRECT(ADDRESS(ROW(H467)-1, 'From Order'!$A467)), 1), H466))"),"ZM")</f>
        <v>ZM</v>
      </c>
      <c r="I467" s="2" t="str">
        <f>IFERROR(__xludf.DUMMYFUNCTION("IF('From Order'!$A467=COLUMNS($A467:I486), LEFT(INDEX(FILTER(I$1:I466, I$1:I466&lt;&gt;""""),COUNTA(FILTER(I$1:I466, I$1:I466&lt;&gt;""""))), LEN(INDEX(FILTER(I$1:I466, I$1:I466&lt;&gt;""""),COUNTA(FILTER(I$1:I466, I$1:I466&lt;&gt;""""))))-1), IF('To Order'!$A467=COLUMNS($A467:I"&amp;"486), I466&amp;RIGHT(INDIRECT(ADDRESS(ROW(I467)-1, 'From Order'!$A467)), 1), I466))"),"DDTDGSB")</f>
        <v>DDTDGSB</v>
      </c>
    </row>
    <row r="468">
      <c r="A468" s="2" t="str">
        <f>IFERROR(__xludf.DUMMYFUNCTION("IF('From Order'!$A468=COLUMNS($A468:A487), LEFT(INDEX(FILTER(A$1:A467, A$1:A467&lt;&gt;""""),COUNTA(FILTER(A$1:A467, A$1:A467&lt;&gt;""""))), LEN(INDEX(FILTER(A$1:A467, A$1:A467&lt;&gt;""""),COUNTA(FILTER(A$1:A467, A$1:A467&lt;&gt;""""))))-1), IF('To Order'!$A468=COLUMNS($A468:A"&amp;"487), A467&amp;RIGHT(INDIRECT(ADDRESS(ROW(A468)-1, 'From Order'!$A468)), 1), A467))"),"")</f>
        <v/>
      </c>
      <c r="B468" s="2" t="str">
        <f>IFERROR(__xludf.DUMMYFUNCTION("IF('From Order'!$A468=COLUMNS($A468:B487), LEFT(INDEX(FILTER(B$1:B467, B$1:B467&lt;&gt;""""),COUNTA(FILTER(B$1:B467, B$1:B467&lt;&gt;""""))), LEN(INDEX(FILTER(B$1:B467, B$1:B467&lt;&gt;""""),COUNTA(FILTER(B$1:B467, B$1:B467&lt;&gt;""""))))-1), IF('To Order'!$A468=COLUMNS($A468:B"&amp;"487), B467&amp;RIGHT(INDIRECT(ADDRESS(ROW(B468)-1, 'From Order'!$A468)), 1), B467))"),"JZRVPVRZH")</f>
        <v>JZRVPVRZH</v>
      </c>
      <c r="C468" s="2" t="str">
        <f>IFERROR(__xludf.DUMMYFUNCTION("IF('From Order'!$A468=COLUMNS($A468:C487), LEFT(INDEX(FILTER(C$1:C467, C$1:C467&lt;&gt;""""),COUNTA(FILTER(C$1:C467, C$1:C467&lt;&gt;""""))), LEN(INDEX(FILTER(C$1:C467, C$1:C467&lt;&gt;""""),COUNTA(FILTER(C$1:C467, C$1:C467&lt;&gt;""""))))-1), IF('To Order'!$A468=COLUMNS($A468:C"&amp;"487), C467&amp;RIGHT(INDIRECT(ADDRESS(ROW(C468)-1, 'From Order'!$A468)), 1), C467))"),"SMFBBRQPDSSGHWPBCVTJTWRDLRTDCQMTFTC")</f>
        <v>SMFBBRQPDSSGHWPBCVTJTWRDLRTDCQMTFTC</v>
      </c>
      <c r="D468" s="2" t="str">
        <f>IFERROR(__xludf.DUMMYFUNCTION("IF('From Order'!$A468=COLUMNS($A468:D487), LEFT(INDEX(FILTER(D$1:D467, D$1:D467&lt;&gt;""""),COUNTA(FILTER(D$1:D467, D$1:D467&lt;&gt;""""))), LEN(INDEX(FILTER(D$1:D467, D$1:D467&lt;&gt;""""),COUNTA(FILTER(D$1:D467, D$1:D467&lt;&gt;""""))))-1), IF('To Order'!$A468=COLUMNS($A468:D"&amp;"487), D467&amp;RIGHT(INDIRECT(ADDRESS(ROW(D468)-1, 'From Order'!$A468)), 1), D467))"),"")</f>
        <v/>
      </c>
      <c r="E468" s="2" t="str">
        <f>IFERROR(__xludf.DUMMYFUNCTION("IF('From Order'!$A468=COLUMNS($A468:E487), LEFT(INDEX(FILTER(E$1:E467, E$1:E467&lt;&gt;""""),COUNTA(FILTER(E$1:E467, E$1:E467&lt;&gt;""""))), LEN(INDEX(FILTER(E$1:E467, E$1:E467&lt;&gt;""""),COUNTA(FILTER(E$1:E467, E$1:E467&lt;&gt;""""))))-1), IF('To Order'!$A468=COLUMNS($A468:E"&amp;"487), E467&amp;RIGHT(INDIRECT(ADDRESS(ROW(E468)-1, 'From Order'!$A468)), 1), E467))"),"LB")</f>
        <v>LB</v>
      </c>
      <c r="F468" s="2" t="str">
        <f>IFERROR(__xludf.DUMMYFUNCTION("IF('From Order'!$A468=COLUMNS($A468:F487), LEFT(INDEX(FILTER(F$1:F467, F$1:F467&lt;&gt;""""),COUNTA(FILTER(F$1:F467, F$1:F467&lt;&gt;""""))), LEN(INDEX(FILTER(F$1:F467, F$1:F467&lt;&gt;""""),COUNTA(FILTER(F$1:F467, F$1:F467&lt;&gt;""""))))-1), IF('To Order'!$A468=COLUMNS($A468:F"&amp;"487), F467&amp;RIGHT(INDIRECT(ADDRESS(ROW(F468)-1, 'From Order'!$A468)), 1), F467))"),"")</f>
        <v/>
      </c>
      <c r="G468" s="2" t="str">
        <f>IFERROR(__xludf.DUMMYFUNCTION("IF('From Order'!$A468=COLUMNS($A468:G487), LEFT(INDEX(FILTER(G$1:G467, G$1:G467&lt;&gt;""""),COUNTA(FILTER(G$1:G467, G$1:G467&lt;&gt;""""))), LEN(INDEX(FILTER(G$1:G467, G$1:G467&lt;&gt;""""),COUNTA(FILTER(G$1:G467, G$1:G467&lt;&gt;""""))))-1), IF('To Order'!$A468=COLUMNS($A468:G"&amp;"487), G467&amp;RIGHT(INDIRECT(ADDRESS(ROW(G468)-1, 'From Order'!$A468)), 1), G467))"),"LJ")</f>
        <v>LJ</v>
      </c>
      <c r="H468" s="2" t="str">
        <f>IFERROR(__xludf.DUMMYFUNCTION("IF('From Order'!$A468=COLUMNS($A468:H487), LEFT(INDEX(FILTER(H$1:H467, H$1:H467&lt;&gt;""""),COUNTA(FILTER(H$1:H467, H$1:H467&lt;&gt;""""))), LEN(INDEX(FILTER(H$1:H467, H$1:H467&lt;&gt;""""),COUNTA(FILTER(H$1:H467, H$1:H467&lt;&gt;""""))))-1), IF('To Order'!$A468=COLUMNS($A468:H"&amp;"487), H467&amp;RIGHT(INDIRECT(ADDRESS(ROW(H468)-1, 'From Order'!$A468)), 1), H467))"),"ZM")</f>
        <v>ZM</v>
      </c>
      <c r="I468" s="2" t="str">
        <f>IFERROR(__xludf.DUMMYFUNCTION("IF('From Order'!$A468=COLUMNS($A468:I487), LEFT(INDEX(FILTER(I$1:I467, I$1:I467&lt;&gt;""""),COUNTA(FILTER(I$1:I467, I$1:I467&lt;&gt;""""))), LEN(INDEX(FILTER(I$1:I467, I$1:I467&lt;&gt;""""),COUNTA(FILTER(I$1:I467, I$1:I467&lt;&gt;""""))))-1), IF('To Order'!$A468=COLUMNS($A468:I"&amp;"487), I467&amp;RIGHT(INDIRECT(ADDRESS(ROW(I468)-1, 'From Order'!$A468)), 1), I467))"),"DDTDGS")</f>
        <v>DDTDGS</v>
      </c>
    </row>
    <row r="469">
      <c r="A469" s="2" t="str">
        <f>IFERROR(__xludf.DUMMYFUNCTION("IF('From Order'!$A469=COLUMNS($A469:A488), LEFT(INDEX(FILTER(A$1:A468, A$1:A468&lt;&gt;""""),COUNTA(FILTER(A$1:A468, A$1:A468&lt;&gt;""""))), LEN(INDEX(FILTER(A$1:A468, A$1:A468&lt;&gt;""""),COUNTA(FILTER(A$1:A468, A$1:A468&lt;&gt;""""))))-1), IF('To Order'!$A469=COLUMNS($A469:A"&amp;"488), A468&amp;RIGHT(INDIRECT(ADDRESS(ROW(A469)-1, 'From Order'!$A469)), 1), A468))"),"")</f>
        <v/>
      </c>
      <c r="B469" s="2" t="str">
        <f>IFERROR(__xludf.DUMMYFUNCTION("IF('From Order'!$A469=COLUMNS($A469:B488), LEFT(INDEX(FILTER(B$1:B468, B$1:B468&lt;&gt;""""),COUNTA(FILTER(B$1:B468, B$1:B468&lt;&gt;""""))), LEN(INDEX(FILTER(B$1:B468, B$1:B468&lt;&gt;""""),COUNTA(FILTER(B$1:B468, B$1:B468&lt;&gt;""""))))-1), IF('To Order'!$A469=COLUMNS($A469:B"&amp;"488), B468&amp;RIGHT(INDIRECT(ADDRESS(ROW(B469)-1, 'From Order'!$A469)), 1), B468))"),"JZRVPVRZH")</f>
        <v>JZRVPVRZH</v>
      </c>
      <c r="C469" s="2" t="str">
        <f>IFERROR(__xludf.DUMMYFUNCTION("IF('From Order'!$A469=COLUMNS($A469:C488), LEFT(INDEX(FILTER(C$1:C468, C$1:C468&lt;&gt;""""),COUNTA(FILTER(C$1:C468, C$1:C468&lt;&gt;""""))), LEN(INDEX(FILTER(C$1:C468, C$1:C468&lt;&gt;""""),COUNTA(FILTER(C$1:C468, C$1:C468&lt;&gt;""""))))-1), IF('To Order'!$A469=COLUMNS($A469:C"&amp;"488), C468&amp;RIGHT(INDIRECT(ADDRESS(ROW(C469)-1, 'From Order'!$A469)), 1), C468))"),"SMFBBRQPDSSGHWPBCVTJTWRDLRTDCQMTFTC")</f>
        <v>SMFBBRQPDSSGHWPBCVTJTWRDLRTDCQMTFTC</v>
      </c>
      <c r="D469" s="2" t="str">
        <f>IFERROR(__xludf.DUMMYFUNCTION("IF('From Order'!$A469=COLUMNS($A469:D488), LEFT(INDEX(FILTER(D$1:D468, D$1:D468&lt;&gt;""""),COUNTA(FILTER(D$1:D468, D$1:D468&lt;&gt;""""))), LEN(INDEX(FILTER(D$1:D468, D$1:D468&lt;&gt;""""),COUNTA(FILTER(D$1:D468, D$1:D468&lt;&gt;""""))))-1), IF('To Order'!$A469=COLUMNS($A469:D"&amp;"488), D468&amp;RIGHT(INDIRECT(ADDRESS(ROW(D469)-1, 'From Order'!$A469)), 1), D468))"),"")</f>
        <v/>
      </c>
      <c r="E469" s="2" t="str">
        <f>IFERROR(__xludf.DUMMYFUNCTION("IF('From Order'!$A469=COLUMNS($A469:E488), LEFT(INDEX(FILTER(E$1:E468, E$1:E468&lt;&gt;""""),COUNTA(FILTER(E$1:E468, E$1:E468&lt;&gt;""""))), LEN(INDEX(FILTER(E$1:E468, E$1:E468&lt;&gt;""""),COUNTA(FILTER(E$1:E468, E$1:E468&lt;&gt;""""))))-1), IF('To Order'!$A469=COLUMNS($A469:E"&amp;"488), E468&amp;RIGHT(INDIRECT(ADDRESS(ROW(E469)-1, 'From Order'!$A469)), 1), E468))"),"LBS")</f>
        <v>LBS</v>
      </c>
      <c r="F469" s="2" t="str">
        <f>IFERROR(__xludf.DUMMYFUNCTION("IF('From Order'!$A469=COLUMNS($A469:F488), LEFT(INDEX(FILTER(F$1:F468, F$1:F468&lt;&gt;""""),COUNTA(FILTER(F$1:F468, F$1:F468&lt;&gt;""""))), LEN(INDEX(FILTER(F$1:F468, F$1:F468&lt;&gt;""""),COUNTA(FILTER(F$1:F468, F$1:F468&lt;&gt;""""))))-1), IF('To Order'!$A469=COLUMNS($A469:F"&amp;"488), F468&amp;RIGHT(INDIRECT(ADDRESS(ROW(F469)-1, 'From Order'!$A469)), 1), F468))"),"")</f>
        <v/>
      </c>
      <c r="G469" s="2" t="str">
        <f>IFERROR(__xludf.DUMMYFUNCTION("IF('From Order'!$A469=COLUMNS($A469:G488), LEFT(INDEX(FILTER(G$1:G468, G$1:G468&lt;&gt;""""),COUNTA(FILTER(G$1:G468, G$1:G468&lt;&gt;""""))), LEN(INDEX(FILTER(G$1:G468, G$1:G468&lt;&gt;""""),COUNTA(FILTER(G$1:G468, G$1:G468&lt;&gt;""""))))-1), IF('To Order'!$A469=COLUMNS($A469:G"&amp;"488), G468&amp;RIGHT(INDIRECT(ADDRESS(ROW(G469)-1, 'From Order'!$A469)), 1), G468))"),"LJ")</f>
        <v>LJ</v>
      </c>
      <c r="H469" s="2" t="str">
        <f>IFERROR(__xludf.DUMMYFUNCTION("IF('From Order'!$A469=COLUMNS($A469:H488), LEFT(INDEX(FILTER(H$1:H468, H$1:H468&lt;&gt;""""),COUNTA(FILTER(H$1:H468, H$1:H468&lt;&gt;""""))), LEN(INDEX(FILTER(H$1:H468, H$1:H468&lt;&gt;""""),COUNTA(FILTER(H$1:H468, H$1:H468&lt;&gt;""""))))-1), IF('To Order'!$A469=COLUMNS($A469:H"&amp;"488), H468&amp;RIGHT(INDIRECT(ADDRESS(ROW(H469)-1, 'From Order'!$A469)), 1), H468))"),"ZM")</f>
        <v>ZM</v>
      </c>
      <c r="I469" s="2" t="str">
        <f>IFERROR(__xludf.DUMMYFUNCTION("IF('From Order'!$A469=COLUMNS($A469:I488), LEFT(INDEX(FILTER(I$1:I468, I$1:I468&lt;&gt;""""),COUNTA(FILTER(I$1:I468, I$1:I468&lt;&gt;""""))), LEN(INDEX(FILTER(I$1:I468, I$1:I468&lt;&gt;""""),COUNTA(FILTER(I$1:I468, I$1:I468&lt;&gt;""""))))-1), IF('To Order'!$A469=COLUMNS($A469:I"&amp;"488), I468&amp;RIGHT(INDIRECT(ADDRESS(ROW(I469)-1, 'From Order'!$A469)), 1), I468))"),"DDTDG")</f>
        <v>DDTDG</v>
      </c>
    </row>
    <row r="470">
      <c r="A470" s="2" t="str">
        <f>IFERROR(__xludf.DUMMYFUNCTION("IF('From Order'!$A470=COLUMNS($A470:A489), LEFT(INDEX(FILTER(A$1:A469, A$1:A469&lt;&gt;""""),COUNTA(FILTER(A$1:A469, A$1:A469&lt;&gt;""""))), LEN(INDEX(FILTER(A$1:A469, A$1:A469&lt;&gt;""""),COUNTA(FILTER(A$1:A469, A$1:A469&lt;&gt;""""))))-1), IF('To Order'!$A470=COLUMNS($A470:A"&amp;"489), A469&amp;RIGHT(INDIRECT(ADDRESS(ROW(A470)-1, 'From Order'!$A470)), 1), A469))"),"")</f>
        <v/>
      </c>
      <c r="B470" s="2" t="str">
        <f>IFERROR(__xludf.DUMMYFUNCTION("IF('From Order'!$A470=COLUMNS($A470:B489), LEFT(INDEX(FILTER(B$1:B469, B$1:B469&lt;&gt;""""),COUNTA(FILTER(B$1:B469, B$1:B469&lt;&gt;""""))), LEN(INDEX(FILTER(B$1:B469, B$1:B469&lt;&gt;""""),COUNTA(FILTER(B$1:B469, B$1:B469&lt;&gt;""""))))-1), IF('To Order'!$A470=COLUMNS($A470:B"&amp;"489), B469&amp;RIGHT(INDIRECT(ADDRESS(ROW(B470)-1, 'From Order'!$A470)), 1), B469))"),"JZRVPVRZH")</f>
        <v>JZRVPVRZH</v>
      </c>
      <c r="C470" s="2" t="str">
        <f>IFERROR(__xludf.DUMMYFUNCTION("IF('From Order'!$A470=COLUMNS($A470:C489), LEFT(INDEX(FILTER(C$1:C469, C$1:C469&lt;&gt;""""),COUNTA(FILTER(C$1:C469, C$1:C469&lt;&gt;""""))), LEN(INDEX(FILTER(C$1:C469, C$1:C469&lt;&gt;""""),COUNTA(FILTER(C$1:C469, C$1:C469&lt;&gt;""""))))-1), IF('To Order'!$A470=COLUMNS($A470:C"&amp;"489), C469&amp;RIGHT(INDIRECT(ADDRESS(ROW(C470)-1, 'From Order'!$A470)), 1), C469))"),"SMFBBRQPDSSGHWPBCVTJTWRDLRTDCQMTFTC")</f>
        <v>SMFBBRQPDSSGHWPBCVTJTWRDLRTDCQMTFTC</v>
      </c>
      <c r="D470" s="2" t="str">
        <f>IFERROR(__xludf.DUMMYFUNCTION("IF('From Order'!$A470=COLUMNS($A470:D489), LEFT(INDEX(FILTER(D$1:D469, D$1:D469&lt;&gt;""""),COUNTA(FILTER(D$1:D469, D$1:D469&lt;&gt;""""))), LEN(INDEX(FILTER(D$1:D469, D$1:D469&lt;&gt;""""),COUNTA(FILTER(D$1:D469, D$1:D469&lt;&gt;""""))))-1), IF('To Order'!$A470=COLUMNS($A470:D"&amp;"489), D469&amp;RIGHT(INDIRECT(ADDRESS(ROW(D470)-1, 'From Order'!$A470)), 1), D469))"),"")</f>
        <v/>
      </c>
      <c r="E470" s="2" t="str">
        <f>IFERROR(__xludf.DUMMYFUNCTION("IF('From Order'!$A470=COLUMNS($A470:E489), LEFT(INDEX(FILTER(E$1:E469, E$1:E469&lt;&gt;""""),COUNTA(FILTER(E$1:E469, E$1:E469&lt;&gt;""""))), LEN(INDEX(FILTER(E$1:E469, E$1:E469&lt;&gt;""""),COUNTA(FILTER(E$1:E469, E$1:E469&lt;&gt;""""))))-1), IF('To Order'!$A470=COLUMNS($A470:E"&amp;"489), E469&amp;RIGHT(INDIRECT(ADDRESS(ROW(E470)-1, 'From Order'!$A470)), 1), E469))"),"LBSG")</f>
        <v>LBSG</v>
      </c>
      <c r="F470" s="2" t="str">
        <f>IFERROR(__xludf.DUMMYFUNCTION("IF('From Order'!$A470=COLUMNS($A470:F489), LEFT(INDEX(FILTER(F$1:F469, F$1:F469&lt;&gt;""""),COUNTA(FILTER(F$1:F469, F$1:F469&lt;&gt;""""))), LEN(INDEX(FILTER(F$1:F469, F$1:F469&lt;&gt;""""),COUNTA(FILTER(F$1:F469, F$1:F469&lt;&gt;""""))))-1), IF('To Order'!$A470=COLUMNS($A470:F"&amp;"489), F469&amp;RIGHT(INDIRECT(ADDRESS(ROW(F470)-1, 'From Order'!$A470)), 1), F469))"),"")</f>
        <v/>
      </c>
      <c r="G470" s="2" t="str">
        <f>IFERROR(__xludf.DUMMYFUNCTION("IF('From Order'!$A470=COLUMNS($A470:G489), LEFT(INDEX(FILTER(G$1:G469, G$1:G469&lt;&gt;""""),COUNTA(FILTER(G$1:G469, G$1:G469&lt;&gt;""""))), LEN(INDEX(FILTER(G$1:G469, G$1:G469&lt;&gt;""""),COUNTA(FILTER(G$1:G469, G$1:G469&lt;&gt;""""))))-1), IF('To Order'!$A470=COLUMNS($A470:G"&amp;"489), G469&amp;RIGHT(INDIRECT(ADDRESS(ROW(G470)-1, 'From Order'!$A470)), 1), G469))"),"LJ")</f>
        <v>LJ</v>
      </c>
      <c r="H470" s="2" t="str">
        <f>IFERROR(__xludf.DUMMYFUNCTION("IF('From Order'!$A470=COLUMNS($A470:H489), LEFT(INDEX(FILTER(H$1:H469, H$1:H469&lt;&gt;""""),COUNTA(FILTER(H$1:H469, H$1:H469&lt;&gt;""""))), LEN(INDEX(FILTER(H$1:H469, H$1:H469&lt;&gt;""""),COUNTA(FILTER(H$1:H469, H$1:H469&lt;&gt;""""))))-1), IF('To Order'!$A470=COLUMNS($A470:H"&amp;"489), H469&amp;RIGHT(INDIRECT(ADDRESS(ROW(H470)-1, 'From Order'!$A470)), 1), H469))"),"ZM")</f>
        <v>ZM</v>
      </c>
      <c r="I470" s="2" t="str">
        <f>IFERROR(__xludf.DUMMYFUNCTION("IF('From Order'!$A470=COLUMNS($A470:I489), LEFT(INDEX(FILTER(I$1:I469, I$1:I469&lt;&gt;""""),COUNTA(FILTER(I$1:I469, I$1:I469&lt;&gt;""""))), LEN(INDEX(FILTER(I$1:I469, I$1:I469&lt;&gt;""""),COUNTA(FILTER(I$1:I469, I$1:I469&lt;&gt;""""))))-1), IF('To Order'!$A470=COLUMNS($A470:I"&amp;"489), I469&amp;RIGHT(INDIRECT(ADDRESS(ROW(I470)-1, 'From Order'!$A470)), 1), I469))"),"DDTD")</f>
        <v>DDTD</v>
      </c>
    </row>
    <row r="471">
      <c r="A471" s="2" t="str">
        <f>IFERROR(__xludf.DUMMYFUNCTION("IF('From Order'!$A471=COLUMNS($A471:A490), LEFT(INDEX(FILTER(A$1:A470, A$1:A470&lt;&gt;""""),COUNTA(FILTER(A$1:A470, A$1:A470&lt;&gt;""""))), LEN(INDEX(FILTER(A$1:A470, A$1:A470&lt;&gt;""""),COUNTA(FILTER(A$1:A470, A$1:A470&lt;&gt;""""))))-1), IF('To Order'!$A471=COLUMNS($A471:A"&amp;"490), A470&amp;RIGHT(INDIRECT(ADDRESS(ROW(A471)-1, 'From Order'!$A471)), 1), A470))"),"")</f>
        <v/>
      </c>
      <c r="B471" s="2" t="str">
        <f>IFERROR(__xludf.DUMMYFUNCTION("IF('From Order'!$A471=COLUMNS($A471:B490), LEFT(INDEX(FILTER(B$1:B470, B$1:B470&lt;&gt;""""),COUNTA(FILTER(B$1:B470, B$1:B470&lt;&gt;""""))), LEN(INDEX(FILTER(B$1:B470, B$1:B470&lt;&gt;""""),COUNTA(FILTER(B$1:B470, B$1:B470&lt;&gt;""""))))-1), IF('To Order'!$A471=COLUMNS($A471:B"&amp;"490), B470&amp;RIGHT(INDIRECT(ADDRESS(ROW(B471)-1, 'From Order'!$A471)), 1), B470))"),"JZRVPVRZH")</f>
        <v>JZRVPVRZH</v>
      </c>
      <c r="C471" s="2" t="str">
        <f>IFERROR(__xludf.DUMMYFUNCTION("IF('From Order'!$A471=COLUMNS($A471:C490), LEFT(INDEX(FILTER(C$1:C470, C$1:C470&lt;&gt;""""),COUNTA(FILTER(C$1:C470, C$1:C470&lt;&gt;""""))), LEN(INDEX(FILTER(C$1:C470, C$1:C470&lt;&gt;""""),COUNTA(FILTER(C$1:C470, C$1:C470&lt;&gt;""""))))-1), IF('To Order'!$A471=COLUMNS($A471:C"&amp;"490), C470&amp;RIGHT(INDIRECT(ADDRESS(ROW(C471)-1, 'From Order'!$A471)), 1), C470))"),"SMFBBRQPDSSGHWPBCVTJTWRDLRTDCQMTFTC")</f>
        <v>SMFBBRQPDSSGHWPBCVTJTWRDLRTDCQMTFTC</v>
      </c>
      <c r="D471" s="2" t="str">
        <f>IFERROR(__xludf.DUMMYFUNCTION("IF('From Order'!$A471=COLUMNS($A471:D490), LEFT(INDEX(FILTER(D$1:D470, D$1:D470&lt;&gt;""""),COUNTA(FILTER(D$1:D470, D$1:D470&lt;&gt;""""))), LEN(INDEX(FILTER(D$1:D470, D$1:D470&lt;&gt;""""),COUNTA(FILTER(D$1:D470, D$1:D470&lt;&gt;""""))))-1), IF('To Order'!$A471=COLUMNS($A471:D"&amp;"490), D470&amp;RIGHT(INDIRECT(ADDRESS(ROW(D471)-1, 'From Order'!$A471)), 1), D470))"),"")</f>
        <v/>
      </c>
      <c r="E471" s="2" t="str">
        <f>IFERROR(__xludf.DUMMYFUNCTION("IF('From Order'!$A471=COLUMNS($A471:E490), LEFT(INDEX(FILTER(E$1:E470, E$1:E470&lt;&gt;""""),COUNTA(FILTER(E$1:E470, E$1:E470&lt;&gt;""""))), LEN(INDEX(FILTER(E$1:E470, E$1:E470&lt;&gt;""""),COUNTA(FILTER(E$1:E470, E$1:E470&lt;&gt;""""))))-1), IF('To Order'!$A471=COLUMNS($A471:E"&amp;"490), E470&amp;RIGHT(INDIRECT(ADDRESS(ROW(E471)-1, 'From Order'!$A471)), 1), E470))"),"LBSGD")</f>
        <v>LBSGD</v>
      </c>
      <c r="F471" s="2" t="str">
        <f>IFERROR(__xludf.DUMMYFUNCTION("IF('From Order'!$A471=COLUMNS($A471:F490), LEFT(INDEX(FILTER(F$1:F470, F$1:F470&lt;&gt;""""),COUNTA(FILTER(F$1:F470, F$1:F470&lt;&gt;""""))), LEN(INDEX(FILTER(F$1:F470, F$1:F470&lt;&gt;""""),COUNTA(FILTER(F$1:F470, F$1:F470&lt;&gt;""""))))-1), IF('To Order'!$A471=COLUMNS($A471:F"&amp;"490), F470&amp;RIGHT(INDIRECT(ADDRESS(ROW(F471)-1, 'From Order'!$A471)), 1), F470))"),"")</f>
        <v/>
      </c>
      <c r="G471" s="2" t="str">
        <f>IFERROR(__xludf.DUMMYFUNCTION("IF('From Order'!$A471=COLUMNS($A471:G490), LEFT(INDEX(FILTER(G$1:G470, G$1:G470&lt;&gt;""""),COUNTA(FILTER(G$1:G470, G$1:G470&lt;&gt;""""))), LEN(INDEX(FILTER(G$1:G470, G$1:G470&lt;&gt;""""),COUNTA(FILTER(G$1:G470, G$1:G470&lt;&gt;""""))))-1), IF('To Order'!$A471=COLUMNS($A471:G"&amp;"490), G470&amp;RIGHT(INDIRECT(ADDRESS(ROW(G471)-1, 'From Order'!$A471)), 1), G470))"),"LJ")</f>
        <v>LJ</v>
      </c>
      <c r="H471" s="2" t="str">
        <f>IFERROR(__xludf.DUMMYFUNCTION("IF('From Order'!$A471=COLUMNS($A471:H490), LEFT(INDEX(FILTER(H$1:H470, H$1:H470&lt;&gt;""""),COUNTA(FILTER(H$1:H470, H$1:H470&lt;&gt;""""))), LEN(INDEX(FILTER(H$1:H470, H$1:H470&lt;&gt;""""),COUNTA(FILTER(H$1:H470, H$1:H470&lt;&gt;""""))))-1), IF('To Order'!$A471=COLUMNS($A471:H"&amp;"490), H470&amp;RIGHT(INDIRECT(ADDRESS(ROW(H471)-1, 'From Order'!$A471)), 1), H470))"),"ZM")</f>
        <v>ZM</v>
      </c>
      <c r="I471" s="2" t="str">
        <f>IFERROR(__xludf.DUMMYFUNCTION("IF('From Order'!$A471=COLUMNS($A471:I490), LEFT(INDEX(FILTER(I$1:I470, I$1:I470&lt;&gt;""""),COUNTA(FILTER(I$1:I470, I$1:I470&lt;&gt;""""))), LEN(INDEX(FILTER(I$1:I470, I$1:I470&lt;&gt;""""),COUNTA(FILTER(I$1:I470, I$1:I470&lt;&gt;""""))))-1), IF('To Order'!$A471=COLUMNS($A471:I"&amp;"490), I470&amp;RIGHT(INDIRECT(ADDRESS(ROW(I471)-1, 'From Order'!$A471)), 1), I470))"),"DDT")</f>
        <v>DDT</v>
      </c>
    </row>
    <row r="472">
      <c r="A472" s="2" t="str">
        <f>IFERROR(__xludf.DUMMYFUNCTION("IF('From Order'!$A472=COLUMNS($A472:A491), LEFT(INDEX(FILTER(A$1:A471, A$1:A471&lt;&gt;""""),COUNTA(FILTER(A$1:A471, A$1:A471&lt;&gt;""""))), LEN(INDEX(FILTER(A$1:A471, A$1:A471&lt;&gt;""""),COUNTA(FILTER(A$1:A471, A$1:A471&lt;&gt;""""))))-1), IF('To Order'!$A472=COLUMNS($A472:A"&amp;"491), A471&amp;RIGHT(INDIRECT(ADDRESS(ROW(A472)-1, 'From Order'!$A472)), 1), A471))"),"")</f>
        <v/>
      </c>
      <c r="B472" s="2" t="str">
        <f>IFERROR(__xludf.DUMMYFUNCTION("IF('From Order'!$A472=COLUMNS($A472:B491), LEFT(INDEX(FILTER(B$1:B471, B$1:B471&lt;&gt;""""),COUNTA(FILTER(B$1:B471, B$1:B471&lt;&gt;""""))), LEN(INDEX(FILTER(B$1:B471, B$1:B471&lt;&gt;""""),COUNTA(FILTER(B$1:B471, B$1:B471&lt;&gt;""""))))-1), IF('To Order'!$A472=COLUMNS($A472:B"&amp;"491), B471&amp;RIGHT(INDIRECT(ADDRESS(ROW(B472)-1, 'From Order'!$A472)), 1), B471))"),"JZRVPVRZH")</f>
        <v>JZRVPVRZH</v>
      </c>
      <c r="C472" s="2" t="str">
        <f>IFERROR(__xludf.DUMMYFUNCTION("IF('From Order'!$A472=COLUMNS($A472:C491), LEFT(INDEX(FILTER(C$1:C471, C$1:C471&lt;&gt;""""),COUNTA(FILTER(C$1:C471, C$1:C471&lt;&gt;""""))), LEN(INDEX(FILTER(C$1:C471, C$1:C471&lt;&gt;""""),COUNTA(FILTER(C$1:C471, C$1:C471&lt;&gt;""""))))-1), IF('To Order'!$A472=COLUMNS($A472:C"&amp;"491), C471&amp;RIGHT(INDIRECT(ADDRESS(ROW(C472)-1, 'From Order'!$A472)), 1), C471))"),"SMFBBRQPDSSGHWPBCVTJTWRDLRTDCQMTFTC")</f>
        <v>SMFBBRQPDSSGHWPBCVTJTWRDLRTDCQMTFTC</v>
      </c>
      <c r="D472" s="2" t="str">
        <f>IFERROR(__xludf.DUMMYFUNCTION("IF('From Order'!$A472=COLUMNS($A472:D491), LEFT(INDEX(FILTER(D$1:D471, D$1:D471&lt;&gt;""""),COUNTA(FILTER(D$1:D471, D$1:D471&lt;&gt;""""))), LEN(INDEX(FILTER(D$1:D471, D$1:D471&lt;&gt;""""),COUNTA(FILTER(D$1:D471, D$1:D471&lt;&gt;""""))))-1), IF('To Order'!$A472=COLUMNS($A472:D"&amp;"491), D471&amp;RIGHT(INDIRECT(ADDRESS(ROW(D472)-1, 'From Order'!$A472)), 1), D471))"),"")</f>
        <v/>
      </c>
      <c r="E472" s="2" t="str">
        <f>IFERROR(__xludf.DUMMYFUNCTION("IF('From Order'!$A472=COLUMNS($A472:E491), LEFT(INDEX(FILTER(E$1:E471, E$1:E471&lt;&gt;""""),COUNTA(FILTER(E$1:E471, E$1:E471&lt;&gt;""""))), LEN(INDEX(FILTER(E$1:E471, E$1:E471&lt;&gt;""""),COUNTA(FILTER(E$1:E471, E$1:E471&lt;&gt;""""))))-1), IF('To Order'!$A472=COLUMNS($A472:E"&amp;"491), E471&amp;RIGHT(INDIRECT(ADDRESS(ROW(E472)-1, 'From Order'!$A472)), 1), E471))"),"LBSGDT")</f>
        <v>LBSGDT</v>
      </c>
      <c r="F472" s="2" t="str">
        <f>IFERROR(__xludf.DUMMYFUNCTION("IF('From Order'!$A472=COLUMNS($A472:F491), LEFT(INDEX(FILTER(F$1:F471, F$1:F471&lt;&gt;""""),COUNTA(FILTER(F$1:F471, F$1:F471&lt;&gt;""""))), LEN(INDEX(FILTER(F$1:F471, F$1:F471&lt;&gt;""""),COUNTA(FILTER(F$1:F471, F$1:F471&lt;&gt;""""))))-1), IF('To Order'!$A472=COLUMNS($A472:F"&amp;"491), F471&amp;RIGHT(INDIRECT(ADDRESS(ROW(F472)-1, 'From Order'!$A472)), 1), F471))"),"")</f>
        <v/>
      </c>
      <c r="G472" s="2" t="str">
        <f>IFERROR(__xludf.DUMMYFUNCTION("IF('From Order'!$A472=COLUMNS($A472:G491), LEFT(INDEX(FILTER(G$1:G471, G$1:G471&lt;&gt;""""),COUNTA(FILTER(G$1:G471, G$1:G471&lt;&gt;""""))), LEN(INDEX(FILTER(G$1:G471, G$1:G471&lt;&gt;""""),COUNTA(FILTER(G$1:G471, G$1:G471&lt;&gt;""""))))-1), IF('To Order'!$A472=COLUMNS($A472:G"&amp;"491), G471&amp;RIGHT(INDIRECT(ADDRESS(ROW(G472)-1, 'From Order'!$A472)), 1), G471))"),"LJ")</f>
        <v>LJ</v>
      </c>
      <c r="H472" s="2" t="str">
        <f>IFERROR(__xludf.DUMMYFUNCTION("IF('From Order'!$A472=COLUMNS($A472:H491), LEFT(INDEX(FILTER(H$1:H471, H$1:H471&lt;&gt;""""),COUNTA(FILTER(H$1:H471, H$1:H471&lt;&gt;""""))), LEN(INDEX(FILTER(H$1:H471, H$1:H471&lt;&gt;""""),COUNTA(FILTER(H$1:H471, H$1:H471&lt;&gt;""""))))-1), IF('To Order'!$A472=COLUMNS($A472:H"&amp;"491), H471&amp;RIGHT(INDIRECT(ADDRESS(ROW(H472)-1, 'From Order'!$A472)), 1), H471))"),"ZM")</f>
        <v>ZM</v>
      </c>
      <c r="I472" s="2" t="str">
        <f>IFERROR(__xludf.DUMMYFUNCTION("IF('From Order'!$A472=COLUMNS($A472:I491), LEFT(INDEX(FILTER(I$1:I471, I$1:I471&lt;&gt;""""),COUNTA(FILTER(I$1:I471, I$1:I471&lt;&gt;""""))), LEN(INDEX(FILTER(I$1:I471, I$1:I471&lt;&gt;""""),COUNTA(FILTER(I$1:I471, I$1:I471&lt;&gt;""""))))-1), IF('To Order'!$A472=COLUMNS($A472:I"&amp;"491), I471&amp;RIGHT(INDIRECT(ADDRESS(ROW(I472)-1, 'From Order'!$A472)), 1), I471))"),"DD")</f>
        <v>DD</v>
      </c>
    </row>
    <row r="473">
      <c r="A473" s="2" t="str">
        <f>IFERROR(__xludf.DUMMYFUNCTION("IF('From Order'!$A473=COLUMNS($A473:A492), LEFT(INDEX(FILTER(A$1:A472, A$1:A472&lt;&gt;""""),COUNTA(FILTER(A$1:A472, A$1:A472&lt;&gt;""""))), LEN(INDEX(FILTER(A$1:A472, A$1:A472&lt;&gt;""""),COUNTA(FILTER(A$1:A472, A$1:A472&lt;&gt;""""))))-1), IF('To Order'!$A473=COLUMNS($A473:A"&amp;"492), A472&amp;RIGHT(INDIRECT(ADDRESS(ROW(A473)-1, 'From Order'!$A473)), 1), A472))"),"")</f>
        <v/>
      </c>
      <c r="B473" s="2" t="str">
        <f>IFERROR(__xludf.DUMMYFUNCTION("IF('From Order'!$A473=COLUMNS($A473:B492), LEFT(INDEX(FILTER(B$1:B472, B$1:B472&lt;&gt;""""),COUNTA(FILTER(B$1:B472, B$1:B472&lt;&gt;""""))), LEN(INDEX(FILTER(B$1:B472, B$1:B472&lt;&gt;""""),COUNTA(FILTER(B$1:B472, B$1:B472&lt;&gt;""""))))-1), IF('To Order'!$A473=COLUMNS($A473:B"&amp;"492), B472&amp;RIGHT(INDIRECT(ADDRESS(ROW(B473)-1, 'From Order'!$A473)), 1), B472))"),"JZRVPVRZH")</f>
        <v>JZRVPVRZH</v>
      </c>
      <c r="C473" s="2" t="str">
        <f>IFERROR(__xludf.DUMMYFUNCTION("IF('From Order'!$A473=COLUMNS($A473:C492), LEFT(INDEX(FILTER(C$1:C472, C$1:C472&lt;&gt;""""),COUNTA(FILTER(C$1:C472, C$1:C472&lt;&gt;""""))), LEN(INDEX(FILTER(C$1:C472, C$1:C472&lt;&gt;""""),COUNTA(FILTER(C$1:C472, C$1:C472&lt;&gt;""""))))-1), IF('To Order'!$A473=COLUMNS($A473:C"&amp;"492), C472&amp;RIGHT(INDIRECT(ADDRESS(ROW(C473)-1, 'From Order'!$A473)), 1), C472))"),"SMFBBRQPDSSGHWPBCVTJTWRDLRTDCQMTFTC")</f>
        <v>SMFBBRQPDSSGHWPBCVTJTWRDLRTDCQMTFTC</v>
      </c>
      <c r="D473" s="2" t="str">
        <f>IFERROR(__xludf.DUMMYFUNCTION("IF('From Order'!$A473=COLUMNS($A473:D492), LEFT(INDEX(FILTER(D$1:D472, D$1:D472&lt;&gt;""""),COUNTA(FILTER(D$1:D472, D$1:D472&lt;&gt;""""))), LEN(INDEX(FILTER(D$1:D472, D$1:D472&lt;&gt;""""),COUNTA(FILTER(D$1:D472, D$1:D472&lt;&gt;""""))))-1), IF('To Order'!$A473=COLUMNS($A473:D"&amp;"492), D472&amp;RIGHT(INDIRECT(ADDRESS(ROW(D473)-1, 'From Order'!$A473)), 1), D472))"),"")</f>
        <v/>
      </c>
      <c r="E473" s="2" t="str">
        <f>IFERROR(__xludf.DUMMYFUNCTION("IF('From Order'!$A473=COLUMNS($A473:E492), LEFT(INDEX(FILTER(E$1:E472, E$1:E472&lt;&gt;""""),COUNTA(FILTER(E$1:E472, E$1:E472&lt;&gt;""""))), LEN(INDEX(FILTER(E$1:E472, E$1:E472&lt;&gt;""""),COUNTA(FILTER(E$1:E472, E$1:E472&lt;&gt;""""))))-1), IF('To Order'!$A473=COLUMNS($A473:E"&amp;"492), E472&amp;RIGHT(INDIRECT(ADDRESS(ROW(E473)-1, 'From Order'!$A473)), 1), E472))"),"LBSGDTD")</f>
        <v>LBSGDTD</v>
      </c>
      <c r="F473" s="2" t="str">
        <f>IFERROR(__xludf.DUMMYFUNCTION("IF('From Order'!$A473=COLUMNS($A473:F492), LEFT(INDEX(FILTER(F$1:F472, F$1:F472&lt;&gt;""""),COUNTA(FILTER(F$1:F472, F$1:F472&lt;&gt;""""))), LEN(INDEX(FILTER(F$1:F472, F$1:F472&lt;&gt;""""),COUNTA(FILTER(F$1:F472, F$1:F472&lt;&gt;""""))))-1), IF('To Order'!$A473=COLUMNS($A473:F"&amp;"492), F472&amp;RIGHT(INDIRECT(ADDRESS(ROW(F473)-1, 'From Order'!$A473)), 1), F472))"),"")</f>
        <v/>
      </c>
      <c r="G473" s="2" t="str">
        <f>IFERROR(__xludf.DUMMYFUNCTION("IF('From Order'!$A473=COLUMNS($A473:G492), LEFT(INDEX(FILTER(G$1:G472, G$1:G472&lt;&gt;""""),COUNTA(FILTER(G$1:G472, G$1:G472&lt;&gt;""""))), LEN(INDEX(FILTER(G$1:G472, G$1:G472&lt;&gt;""""),COUNTA(FILTER(G$1:G472, G$1:G472&lt;&gt;""""))))-1), IF('To Order'!$A473=COLUMNS($A473:G"&amp;"492), G472&amp;RIGHT(INDIRECT(ADDRESS(ROW(G473)-1, 'From Order'!$A473)), 1), G472))"),"LJ")</f>
        <v>LJ</v>
      </c>
      <c r="H473" s="2" t="str">
        <f>IFERROR(__xludf.DUMMYFUNCTION("IF('From Order'!$A473=COLUMNS($A473:H492), LEFT(INDEX(FILTER(H$1:H472, H$1:H472&lt;&gt;""""),COUNTA(FILTER(H$1:H472, H$1:H472&lt;&gt;""""))), LEN(INDEX(FILTER(H$1:H472, H$1:H472&lt;&gt;""""),COUNTA(FILTER(H$1:H472, H$1:H472&lt;&gt;""""))))-1), IF('To Order'!$A473=COLUMNS($A473:H"&amp;"492), H472&amp;RIGHT(INDIRECT(ADDRESS(ROW(H473)-1, 'From Order'!$A473)), 1), H472))"),"ZM")</f>
        <v>ZM</v>
      </c>
      <c r="I473" s="2" t="str">
        <f>IFERROR(__xludf.DUMMYFUNCTION("IF('From Order'!$A473=COLUMNS($A473:I492), LEFT(INDEX(FILTER(I$1:I472, I$1:I472&lt;&gt;""""),COUNTA(FILTER(I$1:I472, I$1:I472&lt;&gt;""""))), LEN(INDEX(FILTER(I$1:I472, I$1:I472&lt;&gt;""""),COUNTA(FILTER(I$1:I472, I$1:I472&lt;&gt;""""))))-1), IF('To Order'!$A473=COLUMNS($A473:I"&amp;"492), I472&amp;RIGHT(INDIRECT(ADDRESS(ROW(I473)-1, 'From Order'!$A473)), 1), I472))"),"D")</f>
        <v>D</v>
      </c>
    </row>
    <row r="474">
      <c r="A474" s="2" t="str">
        <f>IFERROR(__xludf.DUMMYFUNCTION("IF('From Order'!$A474=COLUMNS($A474:A493), LEFT(INDEX(FILTER(A$1:A473, A$1:A473&lt;&gt;""""),COUNTA(FILTER(A$1:A473, A$1:A473&lt;&gt;""""))), LEN(INDEX(FILTER(A$1:A473, A$1:A473&lt;&gt;""""),COUNTA(FILTER(A$1:A473, A$1:A473&lt;&gt;""""))))-1), IF('To Order'!$A474=COLUMNS($A474:A"&amp;"493), A473&amp;RIGHT(INDIRECT(ADDRESS(ROW(A474)-1, 'From Order'!$A474)), 1), A473))"),"")</f>
        <v/>
      </c>
      <c r="B474" s="2" t="str">
        <f>IFERROR(__xludf.DUMMYFUNCTION("IF('From Order'!$A474=COLUMNS($A474:B493), LEFT(INDEX(FILTER(B$1:B473, B$1:B473&lt;&gt;""""),COUNTA(FILTER(B$1:B473, B$1:B473&lt;&gt;""""))), LEN(INDEX(FILTER(B$1:B473, B$1:B473&lt;&gt;""""),COUNTA(FILTER(B$1:B473, B$1:B473&lt;&gt;""""))))-1), IF('To Order'!$A474=COLUMNS($A474:B"&amp;"493), B473&amp;RIGHT(INDIRECT(ADDRESS(ROW(B474)-1, 'From Order'!$A474)), 1), B473))"),"JZRVPVRZH")</f>
        <v>JZRVPVRZH</v>
      </c>
      <c r="C474" s="2" t="str">
        <f>IFERROR(__xludf.DUMMYFUNCTION("IF('From Order'!$A474=COLUMNS($A474:C493), LEFT(INDEX(FILTER(C$1:C473, C$1:C473&lt;&gt;""""),COUNTA(FILTER(C$1:C473, C$1:C473&lt;&gt;""""))), LEN(INDEX(FILTER(C$1:C473, C$1:C473&lt;&gt;""""),COUNTA(FILTER(C$1:C473, C$1:C473&lt;&gt;""""))))-1), IF('To Order'!$A474=COLUMNS($A474:C"&amp;"493), C473&amp;RIGHT(INDIRECT(ADDRESS(ROW(C474)-1, 'From Order'!$A474)), 1), C473))"),"SMFBBRQPDSSGHWPBCVTJTWRDLRTDCQMTFTC")</f>
        <v>SMFBBRQPDSSGHWPBCVTJTWRDLRTDCQMTFTC</v>
      </c>
      <c r="D474" s="2" t="str">
        <f>IFERROR(__xludf.DUMMYFUNCTION("IF('From Order'!$A474=COLUMNS($A474:D493), LEFT(INDEX(FILTER(D$1:D473, D$1:D473&lt;&gt;""""),COUNTA(FILTER(D$1:D473, D$1:D473&lt;&gt;""""))), LEN(INDEX(FILTER(D$1:D473, D$1:D473&lt;&gt;""""),COUNTA(FILTER(D$1:D473, D$1:D473&lt;&gt;""""))))-1), IF('To Order'!$A474=COLUMNS($A474:D"&amp;"493), D473&amp;RIGHT(INDIRECT(ADDRESS(ROW(D474)-1, 'From Order'!$A474)), 1), D473))"),"")</f>
        <v/>
      </c>
      <c r="E474" s="2" t="str">
        <f>IFERROR(__xludf.DUMMYFUNCTION("IF('From Order'!$A474=COLUMNS($A474:E493), LEFT(INDEX(FILTER(E$1:E473, E$1:E473&lt;&gt;""""),COUNTA(FILTER(E$1:E473, E$1:E473&lt;&gt;""""))), LEN(INDEX(FILTER(E$1:E473, E$1:E473&lt;&gt;""""),COUNTA(FILTER(E$1:E473, E$1:E473&lt;&gt;""""))))-1), IF('To Order'!$A474=COLUMNS($A474:E"&amp;"493), E473&amp;RIGHT(INDIRECT(ADDRESS(ROW(E474)-1, 'From Order'!$A474)), 1), E473))"),"LBSGDT")</f>
        <v>LBSGDT</v>
      </c>
      <c r="F474" s="2" t="str">
        <f>IFERROR(__xludf.DUMMYFUNCTION("IF('From Order'!$A474=COLUMNS($A474:F493), LEFT(INDEX(FILTER(F$1:F473, F$1:F473&lt;&gt;""""),COUNTA(FILTER(F$1:F473, F$1:F473&lt;&gt;""""))), LEN(INDEX(FILTER(F$1:F473, F$1:F473&lt;&gt;""""),COUNTA(FILTER(F$1:F473, F$1:F473&lt;&gt;""""))))-1), IF('To Order'!$A474=COLUMNS($A474:F"&amp;"493), F473&amp;RIGHT(INDIRECT(ADDRESS(ROW(F474)-1, 'From Order'!$A474)), 1), F473))"),"")</f>
        <v/>
      </c>
      <c r="G474" s="2" t="str">
        <f>IFERROR(__xludf.DUMMYFUNCTION("IF('From Order'!$A474=COLUMNS($A474:G493), LEFT(INDEX(FILTER(G$1:G473, G$1:G473&lt;&gt;""""),COUNTA(FILTER(G$1:G473, G$1:G473&lt;&gt;""""))), LEN(INDEX(FILTER(G$1:G473, G$1:G473&lt;&gt;""""),COUNTA(FILTER(G$1:G473, G$1:G473&lt;&gt;""""))))-1), IF('To Order'!$A474=COLUMNS($A474:G"&amp;"493), G473&amp;RIGHT(INDIRECT(ADDRESS(ROW(G474)-1, 'From Order'!$A474)), 1), G473))"),"LJ")</f>
        <v>LJ</v>
      </c>
      <c r="H474" s="2" t="str">
        <f>IFERROR(__xludf.DUMMYFUNCTION("IF('From Order'!$A474=COLUMNS($A474:H493), LEFT(INDEX(FILTER(H$1:H473, H$1:H473&lt;&gt;""""),COUNTA(FILTER(H$1:H473, H$1:H473&lt;&gt;""""))), LEN(INDEX(FILTER(H$1:H473, H$1:H473&lt;&gt;""""),COUNTA(FILTER(H$1:H473, H$1:H473&lt;&gt;""""))))-1), IF('To Order'!$A474=COLUMNS($A474:H"&amp;"493), H473&amp;RIGHT(INDIRECT(ADDRESS(ROW(H474)-1, 'From Order'!$A474)), 1), H473))"),"ZMD")</f>
        <v>ZMD</v>
      </c>
      <c r="I474" s="2" t="str">
        <f>IFERROR(__xludf.DUMMYFUNCTION("IF('From Order'!$A474=COLUMNS($A474:I493), LEFT(INDEX(FILTER(I$1:I473, I$1:I473&lt;&gt;""""),COUNTA(FILTER(I$1:I473, I$1:I473&lt;&gt;""""))), LEN(INDEX(FILTER(I$1:I473, I$1:I473&lt;&gt;""""),COUNTA(FILTER(I$1:I473, I$1:I473&lt;&gt;""""))))-1), IF('To Order'!$A474=COLUMNS($A474:I"&amp;"493), I473&amp;RIGHT(INDIRECT(ADDRESS(ROW(I474)-1, 'From Order'!$A474)), 1), I473))"),"D")</f>
        <v>D</v>
      </c>
    </row>
    <row r="475">
      <c r="A475" s="2" t="str">
        <f>IFERROR(__xludf.DUMMYFUNCTION("IF('From Order'!$A475=COLUMNS($A475:A494), LEFT(INDEX(FILTER(A$1:A474, A$1:A474&lt;&gt;""""),COUNTA(FILTER(A$1:A474, A$1:A474&lt;&gt;""""))), LEN(INDEX(FILTER(A$1:A474, A$1:A474&lt;&gt;""""),COUNTA(FILTER(A$1:A474, A$1:A474&lt;&gt;""""))))-1), IF('To Order'!$A475=COLUMNS($A475:A"&amp;"494), A474&amp;RIGHT(INDIRECT(ADDRESS(ROW(A475)-1, 'From Order'!$A475)), 1), A474))"),"")</f>
        <v/>
      </c>
      <c r="B475" s="2" t="str">
        <f>IFERROR(__xludf.DUMMYFUNCTION("IF('From Order'!$A475=COLUMNS($A475:B494), LEFT(INDEX(FILTER(B$1:B474, B$1:B474&lt;&gt;""""),COUNTA(FILTER(B$1:B474, B$1:B474&lt;&gt;""""))), LEN(INDEX(FILTER(B$1:B474, B$1:B474&lt;&gt;""""),COUNTA(FILTER(B$1:B474, B$1:B474&lt;&gt;""""))))-1), IF('To Order'!$A475=COLUMNS($A475:B"&amp;"494), B474&amp;RIGHT(INDIRECT(ADDRESS(ROW(B475)-1, 'From Order'!$A475)), 1), B474))"),"JZRVPVRZH")</f>
        <v>JZRVPVRZH</v>
      </c>
      <c r="C475" s="2" t="str">
        <f>IFERROR(__xludf.DUMMYFUNCTION("IF('From Order'!$A475=COLUMNS($A475:C494), LEFT(INDEX(FILTER(C$1:C474, C$1:C474&lt;&gt;""""),COUNTA(FILTER(C$1:C474, C$1:C474&lt;&gt;""""))), LEN(INDEX(FILTER(C$1:C474, C$1:C474&lt;&gt;""""),COUNTA(FILTER(C$1:C474, C$1:C474&lt;&gt;""""))))-1), IF('To Order'!$A475=COLUMNS($A475:C"&amp;"494), C474&amp;RIGHT(INDIRECT(ADDRESS(ROW(C475)-1, 'From Order'!$A475)), 1), C474))"),"SMFBBRQPDSSGHWPBCVTJTWRDLRTDCQMTFTC")</f>
        <v>SMFBBRQPDSSGHWPBCVTJTWRDLRTDCQMTFTC</v>
      </c>
      <c r="D475" s="2" t="str">
        <f>IFERROR(__xludf.DUMMYFUNCTION("IF('From Order'!$A475=COLUMNS($A475:D494), LEFT(INDEX(FILTER(D$1:D474, D$1:D474&lt;&gt;""""),COUNTA(FILTER(D$1:D474, D$1:D474&lt;&gt;""""))), LEN(INDEX(FILTER(D$1:D474, D$1:D474&lt;&gt;""""),COUNTA(FILTER(D$1:D474, D$1:D474&lt;&gt;""""))))-1), IF('To Order'!$A475=COLUMNS($A475:D"&amp;"494), D474&amp;RIGHT(INDIRECT(ADDRESS(ROW(D475)-1, 'From Order'!$A475)), 1), D474))"),"")</f>
        <v/>
      </c>
      <c r="E475" s="2" t="str">
        <f>IFERROR(__xludf.DUMMYFUNCTION("IF('From Order'!$A475=COLUMNS($A475:E494), LEFT(INDEX(FILTER(E$1:E474, E$1:E474&lt;&gt;""""),COUNTA(FILTER(E$1:E474, E$1:E474&lt;&gt;""""))), LEN(INDEX(FILTER(E$1:E474, E$1:E474&lt;&gt;""""),COUNTA(FILTER(E$1:E474, E$1:E474&lt;&gt;""""))))-1), IF('To Order'!$A475=COLUMNS($A475:E"&amp;"494), E474&amp;RIGHT(INDIRECT(ADDRESS(ROW(E475)-1, 'From Order'!$A475)), 1), E474))"),"LBSGDT")</f>
        <v>LBSGDT</v>
      </c>
      <c r="F475" s="2" t="str">
        <f>IFERROR(__xludf.DUMMYFUNCTION("IF('From Order'!$A475=COLUMNS($A475:F494), LEFT(INDEX(FILTER(F$1:F474, F$1:F474&lt;&gt;""""),COUNTA(FILTER(F$1:F474, F$1:F474&lt;&gt;""""))), LEN(INDEX(FILTER(F$1:F474, F$1:F474&lt;&gt;""""),COUNTA(FILTER(F$1:F474, F$1:F474&lt;&gt;""""))))-1), IF('To Order'!$A475=COLUMNS($A475:F"&amp;"494), F474&amp;RIGHT(INDIRECT(ADDRESS(ROW(F475)-1, 'From Order'!$A475)), 1), F474))"),"J")</f>
        <v>J</v>
      </c>
      <c r="G475" s="2" t="str">
        <f>IFERROR(__xludf.DUMMYFUNCTION("IF('From Order'!$A475=COLUMNS($A475:G494), LEFT(INDEX(FILTER(G$1:G474, G$1:G474&lt;&gt;""""),COUNTA(FILTER(G$1:G474, G$1:G474&lt;&gt;""""))), LEN(INDEX(FILTER(G$1:G474, G$1:G474&lt;&gt;""""),COUNTA(FILTER(G$1:G474, G$1:G474&lt;&gt;""""))))-1), IF('To Order'!$A475=COLUMNS($A475:G"&amp;"494), G474&amp;RIGHT(INDIRECT(ADDRESS(ROW(G475)-1, 'From Order'!$A475)), 1), G474))"),"L")</f>
        <v>L</v>
      </c>
      <c r="H475" s="2" t="str">
        <f>IFERROR(__xludf.DUMMYFUNCTION("IF('From Order'!$A475=COLUMNS($A475:H494), LEFT(INDEX(FILTER(H$1:H474, H$1:H474&lt;&gt;""""),COUNTA(FILTER(H$1:H474, H$1:H474&lt;&gt;""""))), LEN(INDEX(FILTER(H$1:H474, H$1:H474&lt;&gt;""""),COUNTA(FILTER(H$1:H474, H$1:H474&lt;&gt;""""))))-1), IF('To Order'!$A475=COLUMNS($A475:H"&amp;"494), H474&amp;RIGHT(INDIRECT(ADDRESS(ROW(H475)-1, 'From Order'!$A475)), 1), H474))"),"ZMD")</f>
        <v>ZMD</v>
      </c>
      <c r="I475" s="2" t="str">
        <f>IFERROR(__xludf.DUMMYFUNCTION("IF('From Order'!$A475=COLUMNS($A475:I494), LEFT(INDEX(FILTER(I$1:I474, I$1:I474&lt;&gt;""""),COUNTA(FILTER(I$1:I474, I$1:I474&lt;&gt;""""))), LEN(INDEX(FILTER(I$1:I474, I$1:I474&lt;&gt;""""),COUNTA(FILTER(I$1:I474, I$1:I474&lt;&gt;""""))))-1), IF('To Order'!$A475=COLUMNS($A475:I"&amp;"494), I474&amp;RIGHT(INDIRECT(ADDRESS(ROW(I475)-1, 'From Order'!$A475)), 1), I474))"),"D")</f>
        <v>D</v>
      </c>
    </row>
    <row r="476">
      <c r="A476" s="2" t="str">
        <f>IFERROR(__xludf.DUMMYFUNCTION("IF('From Order'!$A476=COLUMNS($A476:A495), LEFT(INDEX(FILTER(A$1:A475, A$1:A475&lt;&gt;""""),COUNTA(FILTER(A$1:A475, A$1:A475&lt;&gt;""""))), LEN(INDEX(FILTER(A$1:A475, A$1:A475&lt;&gt;""""),COUNTA(FILTER(A$1:A475, A$1:A475&lt;&gt;""""))))-1), IF('To Order'!$A476=COLUMNS($A476:A"&amp;"495), A475&amp;RIGHT(INDIRECT(ADDRESS(ROW(A476)-1, 'From Order'!$A476)), 1), A475))"),"")</f>
        <v/>
      </c>
      <c r="B476" s="2" t="str">
        <f>IFERROR(__xludf.DUMMYFUNCTION("IF('From Order'!$A476=COLUMNS($A476:B495), LEFT(INDEX(FILTER(B$1:B475, B$1:B475&lt;&gt;""""),COUNTA(FILTER(B$1:B475, B$1:B475&lt;&gt;""""))), LEN(INDEX(FILTER(B$1:B475, B$1:B475&lt;&gt;""""),COUNTA(FILTER(B$1:B475, B$1:B475&lt;&gt;""""))))-1), IF('To Order'!$A476=COLUMNS($A476:B"&amp;"495), B475&amp;RIGHT(INDIRECT(ADDRESS(ROW(B476)-1, 'From Order'!$A476)), 1), B475))"),"JZRVPVRZH")</f>
        <v>JZRVPVRZH</v>
      </c>
      <c r="C476" s="2" t="str">
        <f>IFERROR(__xludf.DUMMYFUNCTION("IF('From Order'!$A476=COLUMNS($A476:C495), LEFT(INDEX(FILTER(C$1:C475, C$1:C475&lt;&gt;""""),COUNTA(FILTER(C$1:C475, C$1:C475&lt;&gt;""""))), LEN(INDEX(FILTER(C$1:C475, C$1:C475&lt;&gt;""""),COUNTA(FILTER(C$1:C475, C$1:C475&lt;&gt;""""))))-1), IF('To Order'!$A476=COLUMNS($A476:C"&amp;"495), C475&amp;RIGHT(INDIRECT(ADDRESS(ROW(C476)-1, 'From Order'!$A476)), 1), C475))"),"SMFBBRQPDSSGHWPBCVTJTWRDLRTDCQMTFTC")</f>
        <v>SMFBBRQPDSSGHWPBCVTJTWRDLRTDCQMTFTC</v>
      </c>
      <c r="D476" s="2" t="str">
        <f>IFERROR(__xludf.DUMMYFUNCTION("IF('From Order'!$A476=COLUMNS($A476:D495), LEFT(INDEX(FILTER(D$1:D475, D$1:D475&lt;&gt;""""),COUNTA(FILTER(D$1:D475, D$1:D475&lt;&gt;""""))), LEN(INDEX(FILTER(D$1:D475, D$1:D475&lt;&gt;""""),COUNTA(FILTER(D$1:D475, D$1:D475&lt;&gt;""""))))-1), IF('To Order'!$A476=COLUMNS($A476:D"&amp;"495), D475&amp;RIGHT(INDIRECT(ADDRESS(ROW(D476)-1, 'From Order'!$A476)), 1), D475))"),"")</f>
        <v/>
      </c>
      <c r="E476" s="2" t="str">
        <f>IFERROR(__xludf.DUMMYFUNCTION("IF('From Order'!$A476=COLUMNS($A476:E495), LEFT(INDEX(FILTER(E$1:E475, E$1:E475&lt;&gt;""""),COUNTA(FILTER(E$1:E475, E$1:E475&lt;&gt;""""))), LEN(INDEX(FILTER(E$1:E475, E$1:E475&lt;&gt;""""),COUNTA(FILTER(E$1:E475, E$1:E475&lt;&gt;""""))))-1), IF('To Order'!$A476=COLUMNS($A476:E"&amp;"495), E475&amp;RIGHT(INDIRECT(ADDRESS(ROW(E476)-1, 'From Order'!$A476)), 1), E475))"),"LBSGDT")</f>
        <v>LBSGDT</v>
      </c>
      <c r="F476" s="2" t="str">
        <f>IFERROR(__xludf.DUMMYFUNCTION("IF('From Order'!$A476=COLUMNS($A476:F495), LEFT(INDEX(FILTER(F$1:F475, F$1:F475&lt;&gt;""""),COUNTA(FILTER(F$1:F475, F$1:F475&lt;&gt;""""))), LEN(INDEX(FILTER(F$1:F475, F$1:F475&lt;&gt;""""),COUNTA(FILTER(F$1:F475, F$1:F475&lt;&gt;""""))))-1), IF('To Order'!$A476=COLUMNS($A476:F"&amp;"495), F475&amp;RIGHT(INDIRECT(ADDRESS(ROW(F476)-1, 'From Order'!$A476)), 1), F475))"),"JL")</f>
        <v>JL</v>
      </c>
      <c r="G476" s="2" t="str">
        <f>IFERROR(__xludf.DUMMYFUNCTION("IF('From Order'!$A476=COLUMNS($A476:G495), LEFT(INDEX(FILTER(G$1:G475, G$1:G475&lt;&gt;""""),COUNTA(FILTER(G$1:G475, G$1:G475&lt;&gt;""""))), LEN(INDEX(FILTER(G$1:G475, G$1:G475&lt;&gt;""""),COUNTA(FILTER(G$1:G475, G$1:G475&lt;&gt;""""))))-1), IF('To Order'!$A476=COLUMNS($A476:G"&amp;"495), G475&amp;RIGHT(INDIRECT(ADDRESS(ROW(G476)-1, 'From Order'!$A476)), 1), G475))"),"")</f>
        <v/>
      </c>
      <c r="H476" s="2" t="str">
        <f>IFERROR(__xludf.DUMMYFUNCTION("IF('From Order'!$A476=COLUMNS($A476:H495), LEFT(INDEX(FILTER(H$1:H475, H$1:H475&lt;&gt;""""),COUNTA(FILTER(H$1:H475, H$1:H475&lt;&gt;""""))), LEN(INDEX(FILTER(H$1:H475, H$1:H475&lt;&gt;""""),COUNTA(FILTER(H$1:H475, H$1:H475&lt;&gt;""""))))-1), IF('To Order'!$A476=COLUMNS($A476:H"&amp;"495), H475&amp;RIGHT(INDIRECT(ADDRESS(ROW(H476)-1, 'From Order'!$A476)), 1), H475))"),"ZMD")</f>
        <v>ZMD</v>
      </c>
      <c r="I476" s="2" t="str">
        <f>IFERROR(__xludf.DUMMYFUNCTION("IF('From Order'!$A476=COLUMNS($A476:I495), LEFT(INDEX(FILTER(I$1:I475, I$1:I475&lt;&gt;""""),COUNTA(FILTER(I$1:I475, I$1:I475&lt;&gt;""""))), LEN(INDEX(FILTER(I$1:I475, I$1:I475&lt;&gt;""""),COUNTA(FILTER(I$1:I475, I$1:I475&lt;&gt;""""))))-1), IF('To Order'!$A476=COLUMNS($A476:I"&amp;"495), I475&amp;RIGHT(INDIRECT(ADDRESS(ROW(I476)-1, 'From Order'!$A476)), 1), I475))"),"D")</f>
        <v>D</v>
      </c>
    </row>
    <row r="477">
      <c r="A477" s="2" t="str">
        <f>IFERROR(__xludf.DUMMYFUNCTION("IF('From Order'!$A477=COLUMNS($A477:A496), LEFT(INDEX(FILTER(A$1:A476, A$1:A476&lt;&gt;""""),COUNTA(FILTER(A$1:A476, A$1:A476&lt;&gt;""""))), LEN(INDEX(FILTER(A$1:A476, A$1:A476&lt;&gt;""""),COUNTA(FILTER(A$1:A476, A$1:A476&lt;&gt;""""))))-1), IF('To Order'!$A477=COLUMNS($A477:A"&amp;"496), A476&amp;RIGHT(INDIRECT(ADDRESS(ROW(A477)-1, 'From Order'!$A477)), 1), A476))"),"")</f>
        <v/>
      </c>
      <c r="B477" s="2" t="str">
        <f>IFERROR(__xludf.DUMMYFUNCTION("IF('From Order'!$A477=COLUMNS($A477:B496), LEFT(INDEX(FILTER(B$1:B476, B$1:B476&lt;&gt;""""),COUNTA(FILTER(B$1:B476, B$1:B476&lt;&gt;""""))), LEN(INDEX(FILTER(B$1:B476, B$1:B476&lt;&gt;""""),COUNTA(FILTER(B$1:B476, B$1:B476&lt;&gt;""""))))-1), IF('To Order'!$A477=COLUMNS($A477:B"&amp;"496), B476&amp;RIGHT(INDIRECT(ADDRESS(ROW(B477)-1, 'From Order'!$A477)), 1), B476))"),"JZRVPVRZH")</f>
        <v>JZRVPVRZH</v>
      </c>
      <c r="C477" s="2" t="str">
        <f>IFERROR(__xludf.DUMMYFUNCTION("IF('From Order'!$A477=COLUMNS($A477:C496), LEFT(INDEX(FILTER(C$1:C476, C$1:C476&lt;&gt;""""),COUNTA(FILTER(C$1:C476, C$1:C476&lt;&gt;""""))), LEN(INDEX(FILTER(C$1:C476, C$1:C476&lt;&gt;""""),COUNTA(FILTER(C$1:C476, C$1:C476&lt;&gt;""""))))-1), IF('To Order'!$A477=COLUMNS($A477:C"&amp;"496), C476&amp;RIGHT(INDIRECT(ADDRESS(ROW(C477)-1, 'From Order'!$A477)), 1), C476))"),"SMFBBRQPDSSGHWPBCVTJTWRDLRTDCQMTFT")</f>
        <v>SMFBBRQPDSSGHWPBCVTJTWRDLRTDCQMTFT</v>
      </c>
      <c r="D477" s="2" t="str">
        <f>IFERROR(__xludf.DUMMYFUNCTION("IF('From Order'!$A477=COLUMNS($A477:D496), LEFT(INDEX(FILTER(D$1:D476, D$1:D476&lt;&gt;""""),COUNTA(FILTER(D$1:D476, D$1:D476&lt;&gt;""""))), LEN(INDEX(FILTER(D$1:D476, D$1:D476&lt;&gt;""""),COUNTA(FILTER(D$1:D476, D$1:D476&lt;&gt;""""))))-1), IF('To Order'!$A477=COLUMNS($A477:D"&amp;"496), D476&amp;RIGHT(INDIRECT(ADDRESS(ROW(D477)-1, 'From Order'!$A477)), 1), D476))"),"")</f>
        <v/>
      </c>
      <c r="E477" s="2" t="str">
        <f>IFERROR(__xludf.DUMMYFUNCTION("IF('From Order'!$A477=COLUMNS($A477:E496), LEFT(INDEX(FILTER(E$1:E476, E$1:E476&lt;&gt;""""),COUNTA(FILTER(E$1:E476, E$1:E476&lt;&gt;""""))), LEN(INDEX(FILTER(E$1:E476, E$1:E476&lt;&gt;""""),COUNTA(FILTER(E$1:E476, E$1:E476&lt;&gt;""""))))-1), IF('To Order'!$A477=COLUMNS($A477:E"&amp;"496), E476&amp;RIGHT(INDIRECT(ADDRESS(ROW(E477)-1, 'From Order'!$A477)), 1), E476))"),"LBSGDT")</f>
        <v>LBSGDT</v>
      </c>
      <c r="F477" s="2" t="str">
        <f>IFERROR(__xludf.DUMMYFUNCTION("IF('From Order'!$A477=COLUMNS($A477:F496), LEFT(INDEX(FILTER(F$1:F476, F$1:F476&lt;&gt;""""),COUNTA(FILTER(F$1:F476, F$1:F476&lt;&gt;""""))), LEN(INDEX(FILTER(F$1:F476, F$1:F476&lt;&gt;""""),COUNTA(FILTER(F$1:F476, F$1:F476&lt;&gt;""""))))-1), IF('To Order'!$A477=COLUMNS($A477:F"&amp;"496), F476&amp;RIGHT(INDIRECT(ADDRESS(ROW(F477)-1, 'From Order'!$A477)), 1), F476))"),"JLC")</f>
        <v>JLC</v>
      </c>
      <c r="G477" s="2" t="str">
        <f>IFERROR(__xludf.DUMMYFUNCTION("IF('From Order'!$A477=COLUMNS($A477:G496), LEFT(INDEX(FILTER(G$1:G476, G$1:G476&lt;&gt;""""),COUNTA(FILTER(G$1:G476, G$1:G476&lt;&gt;""""))), LEN(INDEX(FILTER(G$1:G476, G$1:G476&lt;&gt;""""),COUNTA(FILTER(G$1:G476, G$1:G476&lt;&gt;""""))))-1), IF('To Order'!$A477=COLUMNS($A477:G"&amp;"496), G476&amp;RIGHT(INDIRECT(ADDRESS(ROW(G477)-1, 'From Order'!$A477)), 1), G476))"),"")</f>
        <v/>
      </c>
      <c r="H477" s="2" t="str">
        <f>IFERROR(__xludf.DUMMYFUNCTION("IF('From Order'!$A477=COLUMNS($A477:H496), LEFT(INDEX(FILTER(H$1:H476, H$1:H476&lt;&gt;""""),COUNTA(FILTER(H$1:H476, H$1:H476&lt;&gt;""""))), LEN(INDEX(FILTER(H$1:H476, H$1:H476&lt;&gt;""""),COUNTA(FILTER(H$1:H476, H$1:H476&lt;&gt;""""))))-1), IF('To Order'!$A477=COLUMNS($A477:H"&amp;"496), H476&amp;RIGHT(INDIRECT(ADDRESS(ROW(H477)-1, 'From Order'!$A477)), 1), H476))"),"ZMD")</f>
        <v>ZMD</v>
      </c>
      <c r="I477" s="2" t="str">
        <f>IFERROR(__xludf.DUMMYFUNCTION("IF('From Order'!$A477=COLUMNS($A477:I496), LEFT(INDEX(FILTER(I$1:I476, I$1:I476&lt;&gt;""""),COUNTA(FILTER(I$1:I476, I$1:I476&lt;&gt;""""))), LEN(INDEX(FILTER(I$1:I476, I$1:I476&lt;&gt;""""),COUNTA(FILTER(I$1:I476, I$1:I476&lt;&gt;""""))))-1), IF('To Order'!$A477=COLUMNS($A477:I"&amp;"496), I476&amp;RIGHT(INDIRECT(ADDRESS(ROW(I477)-1, 'From Order'!$A477)), 1), I476))"),"D")</f>
        <v>D</v>
      </c>
    </row>
    <row r="478">
      <c r="A478" s="2" t="str">
        <f>IFERROR(__xludf.DUMMYFUNCTION("IF('From Order'!$A478=COLUMNS($A478:A497), LEFT(INDEX(FILTER(A$1:A477, A$1:A477&lt;&gt;""""),COUNTA(FILTER(A$1:A477, A$1:A477&lt;&gt;""""))), LEN(INDEX(FILTER(A$1:A477, A$1:A477&lt;&gt;""""),COUNTA(FILTER(A$1:A477, A$1:A477&lt;&gt;""""))))-1), IF('To Order'!$A478=COLUMNS($A478:A"&amp;"497), A477&amp;RIGHT(INDIRECT(ADDRESS(ROW(A478)-1, 'From Order'!$A478)), 1), A477))"),"")</f>
        <v/>
      </c>
      <c r="B478" s="2" t="str">
        <f>IFERROR(__xludf.DUMMYFUNCTION("IF('From Order'!$A478=COLUMNS($A478:B497), LEFT(INDEX(FILTER(B$1:B477, B$1:B477&lt;&gt;""""),COUNTA(FILTER(B$1:B477, B$1:B477&lt;&gt;""""))), LEN(INDEX(FILTER(B$1:B477, B$1:B477&lt;&gt;""""),COUNTA(FILTER(B$1:B477, B$1:B477&lt;&gt;""""))))-1), IF('To Order'!$A478=COLUMNS($A478:B"&amp;"497), B477&amp;RIGHT(INDIRECT(ADDRESS(ROW(B478)-1, 'From Order'!$A478)), 1), B477))"),"JZRVPVRZH")</f>
        <v>JZRVPVRZH</v>
      </c>
      <c r="C478" s="2" t="str">
        <f>IFERROR(__xludf.DUMMYFUNCTION("IF('From Order'!$A478=COLUMNS($A478:C497), LEFT(INDEX(FILTER(C$1:C477, C$1:C477&lt;&gt;""""),COUNTA(FILTER(C$1:C477, C$1:C477&lt;&gt;""""))), LEN(INDEX(FILTER(C$1:C477, C$1:C477&lt;&gt;""""),COUNTA(FILTER(C$1:C477, C$1:C477&lt;&gt;""""))))-1), IF('To Order'!$A478=COLUMNS($A478:C"&amp;"497), C477&amp;RIGHT(INDIRECT(ADDRESS(ROW(C478)-1, 'From Order'!$A478)), 1), C477))"),"SMFBBRQPDSSGHWPBCVTJTWRDLRTDCQMTF")</f>
        <v>SMFBBRQPDSSGHWPBCVTJTWRDLRTDCQMTF</v>
      </c>
      <c r="D478" s="2" t="str">
        <f>IFERROR(__xludf.DUMMYFUNCTION("IF('From Order'!$A478=COLUMNS($A478:D497), LEFT(INDEX(FILTER(D$1:D477, D$1:D477&lt;&gt;""""),COUNTA(FILTER(D$1:D477, D$1:D477&lt;&gt;""""))), LEN(INDEX(FILTER(D$1:D477, D$1:D477&lt;&gt;""""),COUNTA(FILTER(D$1:D477, D$1:D477&lt;&gt;""""))))-1), IF('To Order'!$A478=COLUMNS($A478:D"&amp;"497), D477&amp;RIGHT(INDIRECT(ADDRESS(ROW(D478)-1, 'From Order'!$A478)), 1), D477))"),"")</f>
        <v/>
      </c>
      <c r="E478" s="2" t="str">
        <f>IFERROR(__xludf.DUMMYFUNCTION("IF('From Order'!$A478=COLUMNS($A478:E497), LEFT(INDEX(FILTER(E$1:E477, E$1:E477&lt;&gt;""""),COUNTA(FILTER(E$1:E477, E$1:E477&lt;&gt;""""))), LEN(INDEX(FILTER(E$1:E477, E$1:E477&lt;&gt;""""),COUNTA(FILTER(E$1:E477, E$1:E477&lt;&gt;""""))))-1), IF('To Order'!$A478=COLUMNS($A478:E"&amp;"497), E477&amp;RIGHT(INDIRECT(ADDRESS(ROW(E478)-1, 'From Order'!$A478)), 1), E477))"),"LBSGDT")</f>
        <v>LBSGDT</v>
      </c>
      <c r="F478" s="2" t="str">
        <f>IFERROR(__xludf.DUMMYFUNCTION("IF('From Order'!$A478=COLUMNS($A478:F497), LEFT(INDEX(FILTER(F$1:F477, F$1:F477&lt;&gt;""""),COUNTA(FILTER(F$1:F477, F$1:F477&lt;&gt;""""))), LEN(INDEX(FILTER(F$1:F477, F$1:F477&lt;&gt;""""),COUNTA(FILTER(F$1:F477, F$1:F477&lt;&gt;""""))))-1), IF('To Order'!$A478=COLUMNS($A478:F"&amp;"497), F477&amp;RIGHT(INDIRECT(ADDRESS(ROW(F478)-1, 'From Order'!$A478)), 1), F477))"),"JLCT")</f>
        <v>JLCT</v>
      </c>
      <c r="G478" s="2" t="str">
        <f>IFERROR(__xludf.DUMMYFUNCTION("IF('From Order'!$A478=COLUMNS($A478:G497), LEFT(INDEX(FILTER(G$1:G477, G$1:G477&lt;&gt;""""),COUNTA(FILTER(G$1:G477, G$1:G477&lt;&gt;""""))), LEN(INDEX(FILTER(G$1:G477, G$1:G477&lt;&gt;""""),COUNTA(FILTER(G$1:G477, G$1:G477&lt;&gt;""""))))-1), IF('To Order'!$A478=COLUMNS($A478:G"&amp;"497), G477&amp;RIGHT(INDIRECT(ADDRESS(ROW(G478)-1, 'From Order'!$A478)), 1), G477))"),"")</f>
        <v/>
      </c>
      <c r="H478" s="2" t="str">
        <f>IFERROR(__xludf.DUMMYFUNCTION("IF('From Order'!$A478=COLUMNS($A478:H497), LEFT(INDEX(FILTER(H$1:H477, H$1:H477&lt;&gt;""""),COUNTA(FILTER(H$1:H477, H$1:H477&lt;&gt;""""))), LEN(INDEX(FILTER(H$1:H477, H$1:H477&lt;&gt;""""),COUNTA(FILTER(H$1:H477, H$1:H477&lt;&gt;""""))))-1), IF('To Order'!$A478=COLUMNS($A478:H"&amp;"497), H477&amp;RIGHT(INDIRECT(ADDRESS(ROW(H478)-1, 'From Order'!$A478)), 1), H477))"),"ZMD")</f>
        <v>ZMD</v>
      </c>
      <c r="I478" s="2" t="str">
        <f>IFERROR(__xludf.DUMMYFUNCTION("IF('From Order'!$A478=COLUMNS($A478:I497), LEFT(INDEX(FILTER(I$1:I477, I$1:I477&lt;&gt;""""),COUNTA(FILTER(I$1:I477, I$1:I477&lt;&gt;""""))), LEN(INDEX(FILTER(I$1:I477, I$1:I477&lt;&gt;""""),COUNTA(FILTER(I$1:I477, I$1:I477&lt;&gt;""""))))-1), IF('To Order'!$A478=COLUMNS($A478:I"&amp;"497), I477&amp;RIGHT(INDIRECT(ADDRESS(ROW(I478)-1, 'From Order'!$A478)), 1), I477))"),"D")</f>
        <v>D</v>
      </c>
    </row>
    <row r="479">
      <c r="A479" s="2" t="str">
        <f>IFERROR(__xludf.DUMMYFUNCTION("IF('From Order'!$A479=COLUMNS($A479:A498), LEFT(INDEX(FILTER(A$1:A478, A$1:A478&lt;&gt;""""),COUNTA(FILTER(A$1:A478, A$1:A478&lt;&gt;""""))), LEN(INDEX(FILTER(A$1:A478, A$1:A478&lt;&gt;""""),COUNTA(FILTER(A$1:A478, A$1:A478&lt;&gt;""""))))-1), IF('To Order'!$A479=COLUMNS($A479:A"&amp;"498), A478&amp;RIGHT(INDIRECT(ADDRESS(ROW(A479)-1, 'From Order'!$A479)), 1), A478))"),"")</f>
        <v/>
      </c>
      <c r="B479" s="2" t="str">
        <f>IFERROR(__xludf.DUMMYFUNCTION("IF('From Order'!$A479=COLUMNS($A479:B498), LEFT(INDEX(FILTER(B$1:B478, B$1:B478&lt;&gt;""""),COUNTA(FILTER(B$1:B478, B$1:B478&lt;&gt;""""))), LEN(INDEX(FILTER(B$1:B478, B$1:B478&lt;&gt;""""),COUNTA(FILTER(B$1:B478, B$1:B478&lt;&gt;""""))))-1), IF('To Order'!$A479=COLUMNS($A479:B"&amp;"498), B478&amp;RIGHT(INDIRECT(ADDRESS(ROW(B479)-1, 'From Order'!$A479)), 1), B478))"),"JZRVPVRZH")</f>
        <v>JZRVPVRZH</v>
      </c>
      <c r="C479" s="2" t="str">
        <f>IFERROR(__xludf.DUMMYFUNCTION("IF('From Order'!$A479=COLUMNS($A479:C498), LEFT(INDEX(FILTER(C$1:C478, C$1:C478&lt;&gt;""""),COUNTA(FILTER(C$1:C478, C$1:C478&lt;&gt;""""))), LEN(INDEX(FILTER(C$1:C478, C$1:C478&lt;&gt;""""),COUNTA(FILTER(C$1:C478, C$1:C478&lt;&gt;""""))))-1), IF('To Order'!$A479=COLUMNS($A479:C"&amp;"498), C478&amp;RIGHT(INDIRECT(ADDRESS(ROW(C479)-1, 'From Order'!$A479)), 1), C478))"),"SMFBBRQPDSSGHWPBCVTJTWRDLRTDCQMT")</f>
        <v>SMFBBRQPDSSGHWPBCVTJTWRDLRTDCQMT</v>
      </c>
      <c r="D479" s="2" t="str">
        <f>IFERROR(__xludf.DUMMYFUNCTION("IF('From Order'!$A479=COLUMNS($A479:D498), LEFT(INDEX(FILTER(D$1:D478, D$1:D478&lt;&gt;""""),COUNTA(FILTER(D$1:D478, D$1:D478&lt;&gt;""""))), LEN(INDEX(FILTER(D$1:D478, D$1:D478&lt;&gt;""""),COUNTA(FILTER(D$1:D478, D$1:D478&lt;&gt;""""))))-1), IF('To Order'!$A479=COLUMNS($A479:D"&amp;"498), D478&amp;RIGHT(INDIRECT(ADDRESS(ROW(D479)-1, 'From Order'!$A479)), 1), D478))"),"")</f>
        <v/>
      </c>
      <c r="E479" s="2" t="str">
        <f>IFERROR(__xludf.DUMMYFUNCTION("IF('From Order'!$A479=COLUMNS($A479:E498), LEFT(INDEX(FILTER(E$1:E478, E$1:E478&lt;&gt;""""),COUNTA(FILTER(E$1:E478, E$1:E478&lt;&gt;""""))), LEN(INDEX(FILTER(E$1:E478, E$1:E478&lt;&gt;""""),COUNTA(FILTER(E$1:E478, E$1:E478&lt;&gt;""""))))-1), IF('To Order'!$A479=COLUMNS($A479:E"&amp;"498), E478&amp;RIGHT(INDIRECT(ADDRESS(ROW(E479)-1, 'From Order'!$A479)), 1), E478))"),"LBSGDT")</f>
        <v>LBSGDT</v>
      </c>
      <c r="F479" s="2" t="str">
        <f>IFERROR(__xludf.DUMMYFUNCTION("IF('From Order'!$A479=COLUMNS($A479:F498), LEFT(INDEX(FILTER(F$1:F478, F$1:F478&lt;&gt;""""),COUNTA(FILTER(F$1:F478, F$1:F478&lt;&gt;""""))), LEN(INDEX(FILTER(F$1:F478, F$1:F478&lt;&gt;""""),COUNTA(FILTER(F$1:F478, F$1:F478&lt;&gt;""""))))-1), IF('To Order'!$A479=COLUMNS($A479:F"&amp;"498), F478&amp;RIGHT(INDIRECT(ADDRESS(ROW(F479)-1, 'From Order'!$A479)), 1), F478))"),"JLCTF")</f>
        <v>JLCTF</v>
      </c>
      <c r="G479" s="2" t="str">
        <f>IFERROR(__xludf.DUMMYFUNCTION("IF('From Order'!$A479=COLUMNS($A479:G498), LEFT(INDEX(FILTER(G$1:G478, G$1:G478&lt;&gt;""""),COUNTA(FILTER(G$1:G478, G$1:G478&lt;&gt;""""))), LEN(INDEX(FILTER(G$1:G478, G$1:G478&lt;&gt;""""),COUNTA(FILTER(G$1:G478, G$1:G478&lt;&gt;""""))))-1), IF('To Order'!$A479=COLUMNS($A479:G"&amp;"498), G478&amp;RIGHT(INDIRECT(ADDRESS(ROW(G479)-1, 'From Order'!$A479)), 1), G478))"),"")</f>
        <v/>
      </c>
      <c r="H479" s="2" t="str">
        <f>IFERROR(__xludf.DUMMYFUNCTION("IF('From Order'!$A479=COLUMNS($A479:H498), LEFT(INDEX(FILTER(H$1:H478, H$1:H478&lt;&gt;""""),COUNTA(FILTER(H$1:H478, H$1:H478&lt;&gt;""""))), LEN(INDEX(FILTER(H$1:H478, H$1:H478&lt;&gt;""""),COUNTA(FILTER(H$1:H478, H$1:H478&lt;&gt;""""))))-1), IF('To Order'!$A479=COLUMNS($A479:H"&amp;"498), H478&amp;RIGHT(INDIRECT(ADDRESS(ROW(H479)-1, 'From Order'!$A479)), 1), H478))"),"ZMD")</f>
        <v>ZMD</v>
      </c>
      <c r="I479" s="2" t="str">
        <f>IFERROR(__xludf.DUMMYFUNCTION("IF('From Order'!$A479=COLUMNS($A479:I498), LEFT(INDEX(FILTER(I$1:I478, I$1:I478&lt;&gt;""""),COUNTA(FILTER(I$1:I478, I$1:I478&lt;&gt;""""))), LEN(INDEX(FILTER(I$1:I478, I$1:I478&lt;&gt;""""),COUNTA(FILTER(I$1:I478, I$1:I478&lt;&gt;""""))))-1), IF('To Order'!$A479=COLUMNS($A479:I"&amp;"498), I478&amp;RIGHT(INDIRECT(ADDRESS(ROW(I479)-1, 'From Order'!$A479)), 1), I478))"),"D")</f>
        <v>D</v>
      </c>
    </row>
    <row r="480">
      <c r="A480" s="2" t="str">
        <f>IFERROR(__xludf.DUMMYFUNCTION("IF('From Order'!$A480=COLUMNS($A480:A499), LEFT(INDEX(FILTER(A$1:A479, A$1:A479&lt;&gt;""""),COUNTA(FILTER(A$1:A479, A$1:A479&lt;&gt;""""))), LEN(INDEX(FILTER(A$1:A479, A$1:A479&lt;&gt;""""),COUNTA(FILTER(A$1:A479, A$1:A479&lt;&gt;""""))))-1), IF('To Order'!$A480=COLUMNS($A480:A"&amp;"499), A479&amp;RIGHT(INDIRECT(ADDRESS(ROW(A480)-1, 'From Order'!$A480)), 1), A479))"),"")</f>
        <v/>
      </c>
      <c r="B480" s="2" t="str">
        <f>IFERROR(__xludf.DUMMYFUNCTION("IF('From Order'!$A480=COLUMNS($A480:B499), LEFT(INDEX(FILTER(B$1:B479, B$1:B479&lt;&gt;""""),COUNTA(FILTER(B$1:B479, B$1:B479&lt;&gt;""""))), LEN(INDEX(FILTER(B$1:B479, B$1:B479&lt;&gt;""""),COUNTA(FILTER(B$1:B479, B$1:B479&lt;&gt;""""))))-1), IF('To Order'!$A480=COLUMNS($A480:B"&amp;"499), B479&amp;RIGHT(INDIRECT(ADDRESS(ROW(B480)-1, 'From Order'!$A480)), 1), B479))"),"JZRVPVRZH")</f>
        <v>JZRVPVRZH</v>
      </c>
      <c r="C480" s="2" t="str">
        <f>IFERROR(__xludf.DUMMYFUNCTION("IF('From Order'!$A480=COLUMNS($A480:C499), LEFT(INDEX(FILTER(C$1:C479, C$1:C479&lt;&gt;""""),COUNTA(FILTER(C$1:C479, C$1:C479&lt;&gt;""""))), LEN(INDEX(FILTER(C$1:C479, C$1:C479&lt;&gt;""""),COUNTA(FILTER(C$1:C479, C$1:C479&lt;&gt;""""))))-1), IF('To Order'!$A480=COLUMNS($A480:C"&amp;"499), C479&amp;RIGHT(INDIRECT(ADDRESS(ROW(C480)-1, 'From Order'!$A480)), 1), C479))"),"SMFBBRQPDSSGHWPBCVTJTWRDLRTDCQM")</f>
        <v>SMFBBRQPDSSGHWPBCVTJTWRDLRTDCQM</v>
      </c>
      <c r="D480" s="2" t="str">
        <f>IFERROR(__xludf.DUMMYFUNCTION("IF('From Order'!$A480=COLUMNS($A480:D499), LEFT(INDEX(FILTER(D$1:D479, D$1:D479&lt;&gt;""""),COUNTA(FILTER(D$1:D479, D$1:D479&lt;&gt;""""))), LEN(INDEX(FILTER(D$1:D479, D$1:D479&lt;&gt;""""),COUNTA(FILTER(D$1:D479, D$1:D479&lt;&gt;""""))))-1), IF('To Order'!$A480=COLUMNS($A480:D"&amp;"499), D479&amp;RIGHT(INDIRECT(ADDRESS(ROW(D480)-1, 'From Order'!$A480)), 1), D479))"),"")</f>
        <v/>
      </c>
      <c r="E480" s="2" t="str">
        <f>IFERROR(__xludf.DUMMYFUNCTION("IF('From Order'!$A480=COLUMNS($A480:E499), LEFT(INDEX(FILTER(E$1:E479, E$1:E479&lt;&gt;""""),COUNTA(FILTER(E$1:E479, E$1:E479&lt;&gt;""""))), LEN(INDEX(FILTER(E$1:E479, E$1:E479&lt;&gt;""""),COUNTA(FILTER(E$1:E479, E$1:E479&lt;&gt;""""))))-1), IF('To Order'!$A480=COLUMNS($A480:E"&amp;"499), E479&amp;RIGHT(INDIRECT(ADDRESS(ROW(E480)-1, 'From Order'!$A480)), 1), E479))"),"LBSGDT")</f>
        <v>LBSGDT</v>
      </c>
      <c r="F480" s="2" t="str">
        <f>IFERROR(__xludf.DUMMYFUNCTION("IF('From Order'!$A480=COLUMNS($A480:F499), LEFT(INDEX(FILTER(F$1:F479, F$1:F479&lt;&gt;""""),COUNTA(FILTER(F$1:F479, F$1:F479&lt;&gt;""""))), LEN(INDEX(FILTER(F$1:F479, F$1:F479&lt;&gt;""""),COUNTA(FILTER(F$1:F479, F$1:F479&lt;&gt;""""))))-1), IF('To Order'!$A480=COLUMNS($A480:F"&amp;"499), F479&amp;RIGHT(INDIRECT(ADDRESS(ROW(F480)-1, 'From Order'!$A480)), 1), F479))"),"JLCTFT")</f>
        <v>JLCTFT</v>
      </c>
      <c r="G480" s="2" t="str">
        <f>IFERROR(__xludf.DUMMYFUNCTION("IF('From Order'!$A480=COLUMNS($A480:G499), LEFT(INDEX(FILTER(G$1:G479, G$1:G479&lt;&gt;""""),COUNTA(FILTER(G$1:G479, G$1:G479&lt;&gt;""""))), LEN(INDEX(FILTER(G$1:G479, G$1:G479&lt;&gt;""""),COUNTA(FILTER(G$1:G479, G$1:G479&lt;&gt;""""))))-1), IF('To Order'!$A480=COLUMNS($A480:G"&amp;"499), G479&amp;RIGHT(INDIRECT(ADDRESS(ROW(G480)-1, 'From Order'!$A480)), 1), G479))"),"")</f>
        <v/>
      </c>
      <c r="H480" s="2" t="str">
        <f>IFERROR(__xludf.DUMMYFUNCTION("IF('From Order'!$A480=COLUMNS($A480:H499), LEFT(INDEX(FILTER(H$1:H479, H$1:H479&lt;&gt;""""),COUNTA(FILTER(H$1:H479, H$1:H479&lt;&gt;""""))), LEN(INDEX(FILTER(H$1:H479, H$1:H479&lt;&gt;""""),COUNTA(FILTER(H$1:H479, H$1:H479&lt;&gt;""""))))-1), IF('To Order'!$A480=COLUMNS($A480:H"&amp;"499), H479&amp;RIGHT(INDIRECT(ADDRESS(ROW(H480)-1, 'From Order'!$A480)), 1), H479))"),"ZMD")</f>
        <v>ZMD</v>
      </c>
      <c r="I480" s="2" t="str">
        <f>IFERROR(__xludf.DUMMYFUNCTION("IF('From Order'!$A480=COLUMNS($A480:I499), LEFT(INDEX(FILTER(I$1:I479, I$1:I479&lt;&gt;""""),COUNTA(FILTER(I$1:I479, I$1:I479&lt;&gt;""""))), LEN(INDEX(FILTER(I$1:I479, I$1:I479&lt;&gt;""""),COUNTA(FILTER(I$1:I479, I$1:I479&lt;&gt;""""))))-1), IF('To Order'!$A480=COLUMNS($A480:I"&amp;"499), I479&amp;RIGHT(INDIRECT(ADDRESS(ROW(I480)-1, 'From Order'!$A480)), 1), I479))"),"D")</f>
        <v>D</v>
      </c>
    </row>
    <row r="481">
      <c r="A481" s="2" t="str">
        <f>IFERROR(__xludf.DUMMYFUNCTION("IF('From Order'!$A481=COLUMNS($A481:A500), LEFT(INDEX(FILTER(A$1:A480, A$1:A480&lt;&gt;""""),COUNTA(FILTER(A$1:A480, A$1:A480&lt;&gt;""""))), LEN(INDEX(FILTER(A$1:A480, A$1:A480&lt;&gt;""""),COUNTA(FILTER(A$1:A480, A$1:A480&lt;&gt;""""))))-1), IF('To Order'!$A481=COLUMNS($A481:A"&amp;"500), A480&amp;RIGHT(INDIRECT(ADDRESS(ROW(A481)-1, 'From Order'!$A481)), 1), A480))"),"")</f>
        <v/>
      </c>
      <c r="B481" s="2" t="str">
        <f>IFERROR(__xludf.DUMMYFUNCTION("IF('From Order'!$A481=COLUMNS($A481:B500), LEFT(INDEX(FILTER(B$1:B480, B$1:B480&lt;&gt;""""),COUNTA(FILTER(B$1:B480, B$1:B480&lt;&gt;""""))), LEN(INDEX(FILTER(B$1:B480, B$1:B480&lt;&gt;""""),COUNTA(FILTER(B$1:B480, B$1:B480&lt;&gt;""""))))-1), IF('To Order'!$A481=COLUMNS($A481:B"&amp;"500), B480&amp;RIGHT(INDIRECT(ADDRESS(ROW(B481)-1, 'From Order'!$A481)), 1), B480))"),"JZRVPVRZH")</f>
        <v>JZRVPVRZH</v>
      </c>
      <c r="C481" s="2" t="str">
        <f>IFERROR(__xludf.DUMMYFUNCTION("IF('From Order'!$A481=COLUMNS($A481:C500), LEFT(INDEX(FILTER(C$1:C480, C$1:C480&lt;&gt;""""),COUNTA(FILTER(C$1:C480, C$1:C480&lt;&gt;""""))), LEN(INDEX(FILTER(C$1:C480, C$1:C480&lt;&gt;""""),COUNTA(FILTER(C$1:C480, C$1:C480&lt;&gt;""""))))-1), IF('To Order'!$A481=COLUMNS($A481:C"&amp;"500), C480&amp;RIGHT(INDIRECT(ADDRESS(ROW(C481)-1, 'From Order'!$A481)), 1), C480))"),"SMFBBRQPDSSGHWPBCVTJTWRDLRTDCQ")</f>
        <v>SMFBBRQPDSSGHWPBCVTJTWRDLRTDCQ</v>
      </c>
      <c r="D481" s="2" t="str">
        <f>IFERROR(__xludf.DUMMYFUNCTION("IF('From Order'!$A481=COLUMNS($A481:D500), LEFT(INDEX(FILTER(D$1:D480, D$1:D480&lt;&gt;""""),COUNTA(FILTER(D$1:D480, D$1:D480&lt;&gt;""""))), LEN(INDEX(FILTER(D$1:D480, D$1:D480&lt;&gt;""""),COUNTA(FILTER(D$1:D480, D$1:D480&lt;&gt;""""))))-1), IF('To Order'!$A481=COLUMNS($A481:D"&amp;"500), D480&amp;RIGHT(INDIRECT(ADDRESS(ROW(D481)-1, 'From Order'!$A481)), 1), D480))"),"")</f>
        <v/>
      </c>
      <c r="E481" s="2" t="str">
        <f>IFERROR(__xludf.DUMMYFUNCTION("IF('From Order'!$A481=COLUMNS($A481:E500), LEFT(INDEX(FILTER(E$1:E480, E$1:E480&lt;&gt;""""),COUNTA(FILTER(E$1:E480, E$1:E480&lt;&gt;""""))), LEN(INDEX(FILTER(E$1:E480, E$1:E480&lt;&gt;""""),COUNTA(FILTER(E$1:E480, E$1:E480&lt;&gt;""""))))-1), IF('To Order'!$A481=COLUMNS($A481:E"&amp;"500), E480&amp;RIGHT(INDIRECT(ADDRESS(ROW(E481)-1, 'From Order'!$A481)), 1), E480))"),"LBSGDT")</f>
        <v>LBSGDT</v>
      </c>
      <c r="F481" s="2" t="str">
        <f>IFERROR(__xludf.DUMMYFUNCTION("IF('From Order'!$A481=COLUMNS($A481:F500), LEFT(INDEX(FILTER(F$1:F480, F$1:F480&lt;&gt;""""),COUNTA(FILTER(F$1:F480, F$1:F480&lt;&gt;""""))), LEN(INDEX(FILTER(F$1:F480, F$1:F480&lt;&gt;""""),COUNTA(FILTER(F$1:F480, F$1:F480&lt;&gt;""""))))-1), IF('To Order'!$A481=COLUMNS($A481:F"&amp;"500), F480&amp;RIGHT(INDIRECT(ADDRESS(ROW(F481)-1, 'From Order'!$A481)), 1), F480))"),"JLCTFTM")</f>
        <v>JLCTFTM</v>
      </c>
      <c r="G481" s="2" t="str">
        <f>IFERROR(__xludf.DUMMYFUNCTION("IF('From Order'!$A481=COLUMNS($A481:G500), LEFT(INDEX(FILTER(G$1:G480, G$1:G480&lt;&gt;""""),COUNTA(FILTER(G$1:G480, G$1:G480&lt;&gt;""""))), LEN(INDEX(FILTER(G$1:G480, G$1:G480&lt;&gt;""""),COUNTA(FILTER(G$1:G480, G$1:G480&lt;&gt;""""))))-1), IF('To Order'!$A481=COLUMNS($A481:G"&amp;"500), G480&amp;RIGHT(INDIRECT(ADDRESS(ROW(G481)-1, 'From Order'!$A481)), 1), G480))"),"")</f>
        <v/>
      </c>
      <c r="H481" s="2" t="str">
        <f>IFERROR(__xludf.DUMMYFUNCTION("IF('From Order'!$A481=COLUMNS($A481:H500), LEFT(INDEX(FILTER(H$1:H480, H$1:H480&lt;&gt;""""),COUNTA(FILTER(H$1:H480, H$1:H480&lt;&gt;""""))), LEN(INDEX(FILTER(H$1:H480, H$1:H480&lt;&gt;""""),COUNTA(FILTER(H$1:H480, H$1:H480&lt;&gt;""""))))-1), IF('To Order'!$A481=COLUMNS($A481:H"&amp;"500), H480&amp;RIGHT(INDIRECT(ADDRESS(ROW(H481)-1, 'From Order'!$A481)), 1), H480))"),"ZMD")</f>
        <v>ZMD</v>
      </c>
      <c r="I481" s="2" t="str">
        <f>IFERROR(__xludf.DUMMYFUNCTION("IF('From Order'!$A481=COLUMNS($A481:I500), LEFT(INDEX(FILTER(I$1:I480, I$1:I480&lt;&gt;""""),COUNTA(FILTER(I$1:I480, I$1:I480&lt;&gt;""""))), LEN(INDEX(FILTER(I$1:I480, I$1:I480&lt;&gt;""""),COUNTA(FILTER(I$1:I480, I$1:I480&lt;&gt;""""))))-1), IF('To Order'!$A481=COLUMNS($A481:I"&amp;"500), I480&amp;RIGHT(INDIRECT(ADDRESS(ROW(I481)-1, 'From Order'!$A481)), 1), I480))"),"D")</f>
        <v>D</v>
      </c>
    </row>
    <row r="482">
      <c r="A482" s="2" t="str">
        <f>IFERROR(__xludf.DUMMYFUNCTION("IF('From Order'!$A482=COLUMNS($A482:A501), LEFT(INDEX(FILTER(A$1:A481, A$1:A481&lt;&gt;""""),COUNTA(FILTER(A$1:A481, A$1:A481&lt;&gt;""""))), LEN(INDEX(FILTER(A$1:A481, A$1:A481&lt;&gt;""""),COUNTA(FILTER(A$1:A481, A$1:A481&lt;&gt;""""))))-1), IF('To Order'!$A482=COLUMNS($A482:A"&amp;"501), A481&amp;RIGHT(INDIRECT(ADDRESS(ROW(A482)-1, 'From Order'!$A482)), 1), A481))"),"")</f>
        <v/>
      </c>
      <c r="B482" s="2" t="str">
        <f>IFERROR(__xludf.DUMMYFUNCTION("IF('From Order'!$A482=COLUMNS($A482:B501), LEFT(INDEX(FILTER(B$1:B481, B$1:B481&lt;&gt;""""),COUNTA(FILTER(B$1:B481, B$1:B481&lt;&gt;""""))), LEN(INDEX(FILTER(B$1:B481, B$1:B481&lt;&gt;""""),COUNTA(FILTER(B$1:B481, B$1:B481&lt;&gt;""""))))-1), IF('To Order'!$A482=COLUMNS($A482:B"&amp;"501), B481&amp;RIGHT(INDIRECT(ADDRESS(ROW(B482)-1, 'From Order'!$A482)), 1), B481))"),"JZRVPVRZH")</f>
        <v>JZRVPVRZH</v>
      </c>
      <c r="C482" s="2" t="str">
        <f>IFERROR(__xludf.DUMMYFUNCTION("IF('From Order'!$A482=COLUMNS($A482:C501), LEFT(INDEX(FILTER(C$1:C481, C$1:C481&lt;&gt;""""),COUNTA(FILTER(C$1:C481, C$1:C481&lt;&gt;""""))), LEN(INDEX(FILTER(C$1:C481, C$1:C481&lt;&gt;""""),COUNTA(FILTER(C$1:C481, C$1:C481&lt;&gt;""""))))-1), IF('To Order'!$A482=COLUMNS($A482:C"&amp;"501), C481&amp;RIGHT(INDIRECT(ADDRESS(ROW(C482)-1, 'From Order'!$A482)), 1), C481))"),"SMFBBRQPDSSGHWPBCVTJTWRDLRTDC")</f>
        <v>SMFBBRQPDSSGHWPBCVTJTWRDLRTDC</v>
      </c>
      <c r="D482" s="2" t="str">
        <f>IFERROR(__xludf.DUMMYFUNCTION("IF('From Order'!$A482=COLUMNS($A482:D501), LEFT(INDEX(FILTER(D$1:D481, D$1:D481&lt;&gt;""""),COUNTA(FILTER(D$1:D481, D$1:D481&lt;&gt;""""))), LEN(INDEX(FILTER(D$1:D481, D$1:D481&lt;&gt;""""),COUNTA(FILTER(D$1:D481, D$1:D481&lt;&gt;""""))))-1), IF('To Order'!$A482=COLUMNS($A482:D"&amp;"501), D481&amp;RIGHT(INDIRECT(ADDRESS(ROW(D482)-1, 'From Order'!$A482)), 1), D481))"),"")</f>
        <v/>
      </c>
      <c r="E482" s="2" t="str">
        <f>IFERROR(__xludf.DUMMYFUNCTION("IF('From Order'!$A482=COLUMNS($A482:E501), LEFT(INDEX(FILTER(E$1:E481, E$1:E481&lt;&gt;""""),COUNTA(FILTER(E$1:E481, E$1:E481&lt;&gt;""""))), LEN(INDEX(FILTER(E$1:E481, E$1:E481&lt;&gt;""""),COUNTA(FILTER(E$1:E481, E$1:E481&lt;&gt;""""))))-1), IF('To Order'!$A482=COLUMNS($A482:E"&amp;"501), E481&amp;RIGHT(INDIRECT(ADDRESS(ROW(E482)-1, 'From Order'!$A482)), 1), E481))"),"LBSGDT")</f>
        <v>LBSGDT</v>
      </c>
      <c r="F482" s="2" t="str">
        <f>IFERROR(__xludf.DUMMYFUNCTION("IF('From Order'!$A482=COLUMNS($A482:F501), LEFT(INDEX(FILTER(F$1:F481, F$1:F481&lt;&gt;""""),COUNTA(FILTER(F$1:F481, F$1:F481&lt;&gt;""""))), LEN(INDEX(FILTER(F$1:F481, F$1:F481&lt;&gt;""""),COUNTA(FILTER(F$1:F481, F$1:F481&lt;&gt;""""))))-1), IF('To Order'!$A482=COLUMNS($A482:F"&amp;"501), F481&amp;RIGHT(INDIRECT(ADDRESS(ROW(F482)-1, 'From Order'!$A482)), 1), F481))"),"JLCTFTMQ")</f>
        <v>JLCTFTMQ</v>
      </c>
      <c r="G482" s="2" t="str">
        <f>IFERROR(__xludf.DUMMYFUNCTION("IF('From Order'!$A482=COLUMNS($A482:G501), LEFT(INDEX(FILTER(G$1:G481, G$1:G481&lt;&gt;""""),COUNTA(FILTER(G$1:G481, G$1:G481&lt;&gt;""""))), LEN(INDEX(FILTER(G$1:G481, G$1:G481&lt;&gt;""""),COUNTA(FILTER(G$1:G481, G$1:G481&lt;&gt;""""))))-1), IF('To Order'!$A482=COLUMNS($A482:G"&amp;"501), G481&amp;RIGHT(INDIRECT(ADDRESS(ROW(G482)-1, 'From Order'!$A482)), 1), G481))"),"")</f>
        <v/>
      </c>
      <c r="H482" s="2" t="str">
        <f>IFERROR(__xludf.DUMMYFUNCTION("IF('From Order'!$A482=COLUMNS($A482:H501), LEFT(INDEX(FILTER(H$1:H481, H$1:H481&lt;&gt;""""),COUNTA(FILTER(H$1:H481, H$1:H481&lt;&gt;""""))), LEN(INDEX(FILTER(H$1:H481, H$1:H481&lt;&gt;""""),COUNTA(FILTER(H$1:H481, H$1:H481&lt;&gt;""""))))-1), IF('To Order'!$A482=COLUMNS($A482:H"&amp;"501), H481&amp;RIGHT(INDIRECT(ADDRESS(ROW(H482)-1, 'From Order'!$A482)), 1), H481))"),"ZMD")</f>
        <v>ZMD</v>
      </c>
      <c r="I482" s="2" t="str">
        <f>IFERROR(__xludf.DUMMYFUNCTION("IF('From Order'!$A482=COLUMNS($A482:I501), LEFT(INDEX(FILTER(I$1:I481, I$1:I481&lt;&gt;""""),COUNTA(FILTER(I$1:I481, I$1:I481&lt;&gt;""""))), LEN(INDEX(FILTER(I$1:I481, I$1:I481&lt;&gt;""""),COUNTA(FILTER(I$1:I481, I$1:I481&lt;&gt;""""))))-1), IF('To Order'!$A482=COLUMNS($A482:I"&amp;"501), I481&amp;RIGHT(INDIRECT(ADDRESS(ROW(I482)-1, 'From Order'!$A482)), 1), I481))"),"D")</f>
        <v>D</v>
      </c>
    </row>
    <row r="483">
      <c r="A483" s="2" t="str">
        <f>IFERROR(__xludf.DUMMYFUNCTION("IF('From Order'!$A483=COLUMNS($A483:A502), LEFT(INDEX(FILTER(A$1:A482, A$1:A482&lt;&gt;""""),COUNTA(FILTER(A$1:A482, A$1:A482&lt;&gt;""""))), LEN(INDEX(FILTER(A$1:A482, A$1:A482&lt;&gt;""""),COUNTA(FILTER(A$1:A482, A$1:A482&lt;&gt;""""))))-1), IF('To Order'!$A483=COLUMNS($A483:A"&amp;"502), A482&amp;RIGHT(INDIRECT(ADDRESS(ROW(A483)-1, 'From Order'!$A483)), 1), A482))"),"")</f>
        <v/>
      </c>
      <c r="B483" s="2" t="str">
        <f>IFERROR(__xludf.DUMMYFUNCTION("IF('From Order'!$A483=COLUMNS($A483:B502), LEFT(INDEX(FILTER(B$1:B482, B$1:B482&lt;&gt;""""),COUNTA(FILTER(B$1:B482, B$1:B482&lt;&gt;""""))), LEN(INDEX(FILTER(B$1:B482, B$1:B482&lt;&gt;""""),COUNTA(FILTER(B$1:B482, B$1:B482&lt;&gt;""""))))-1), IF('To Order'!$A483=COLUMNS($A483:B"&amp;"502), B482&amp;RIGHT(INDIRECT(ADDRESS(ROW(B483)-1, 'From Order'!$A483)), 1), B482))"),"JZRVPVRZH")</f>
        <v>JZRVPVRZH</v>
      </c>
      <c r="C483" s="2" t="str">
        <f>IFERROR(__xludf.DUMMYFUNCTION("IF('From Order'!$A483=COLUMNS($A483:C502), LEFT(INDEX(FILTER(C$1:C482, C$1:C482&lt;&gt;""""),COUNTA(FILTER(C$1:C482, C$1:C482&lt;&gt;""""))), LEN(INDEX(FILTER(C$1:C482, C$1:C482&lt;&gt;""""),COUNTA(FILTER(C$1:C482, C$1:C482&lt;&gt;""""))))-1), IF('To Order'!$A483=COLUMNS($A483:C"&amp;"502), C482&amp;RIGHT(INDIRECT(ADDRESS(ROW(C483)-1, 'From Order'!$A483)), 1), C482))"),"SMFBBRQPDSSGHWPBCVTJTWRDLRTD")</f>
        <v>SMFBBRQPDSSGHWPBCVTJTWRDLRTD</v>
      </c>
      <c r="D483" s="2" t="str">
        <f>IFERROR(__xludf.DUMMYFUNCTION("IF('From Order'!$A483=COLUMNS($A483:D502), LEFT(INDEX(FILTER(D$1:D482, D$1:D482&lt;&gt;""""),COUNTA(FILTER(D$1:D482, D$1:D482&lt;&gt;""""))), LEN(INDEX(FILTER(D$1:D482, D$1:D482&lt;&gt;""""),COUNTA(FILTER(D$1:D482, D$1:D482&lt;&gt;""""))))-1), IF('To Order'!$A483=COLUMNS($A483:D"&amp;"502), D482&amp;RIGHT(INDIRECT(ADDRESS(ROW(D483)-1, 'From Order'!$A483)), 1), D482))"),"")</f>
        <v/>
      </c>
      <c r="E483" s="2" t="str">
        <f>IFERROR(__xludf.DUMMYFUNCTION("IF('From Order'!$A483=COLUMNS($A483:E502), LEFT(INDEX(FILTER(E$1:E482, E$1:E482&lt;&gt;""""),COUNTA(FILTER(E$1:E482, E$1:E482&lt;&gt;""""))), LEN(INDEX(FILTER(E$1:E482, E$1:E482&lt;&gt;""""),COUNTA(FILTER(E$1:E482, E$1:E482&lt;&gt;""""))))-1), IF('To Order'!$A483=COLUMNS($A483:E"&amp;"502), E482&amp;RIGHT(INDIRECT(ADDRESS(ROW(E483)-1, 'From Order'!$A483)), 1), E482))"),"LBSGDT")</f>
        <v>LBSGDT</v>
      </c>
      <c r="F483" s="2" t="str">
        <f>IFERROR(__xludf.DUMMYFUNCTION("IF('From Order'!$A483=COLUMNS($A483:F502), LEFT(INDEX(FILTER(F$1:F482, F$1:F482&lt;&gt;""""),COUNTA(FILTER(F$1:F482, F$1:F482&lt;&gt;""""))), LEN(INDEX(FILTER(F$1:F482, F$1:F482&lt;&gt;""""),COUNTA(FILTER(F$1:F482, F$1:F482&lt;&gt;""""))))-1), IF('To Order'!$A483=COLUMNS($A483:F"&amp;"502), F482&amp;RIGHT(INDIRECT(ADDRESS(ROW(F483)-1, 'From Order'!$A483)), 1), F482))"),"JLCTFTMQC")</f>
        <v>JLCTFTMQC</v>
      </c>
      <c r="G483" s="2" t="str">
        <f>IFERROR(__xludf.DUMMYFUNCTION("IF('From Order'!$A483=COLUMNS($A483:G502), LEFT(INDEX(FILTER(G$1:G482, G$1:G482&lt;&gt;""""),COUNTA(FILTER(G$1:G482, G$1:G482&lt;&gt;""""))), LEN(INDEX(FILTER(G$1:G482, G$1:G482&lt;&gt;""""),COUNTA(FILTER(G$1:G482, G$1:G482&lt;&gt;""""))))-1), IF('To Order'!$A483=COLUMNS($A483:G"&amp;"502), G482&amp;RIGHT(INDIRECT(ADDRESS(ROW(G483)-1, 'From Order'!$A483)), 1), G482))"),"")</f>
        <v/>
      </c>
      <c r="H483" s="2" t="str">
        <f>IFERROR(__xludf.DUMMYFUNCTION("IF('From Order'!$A483=COLUMNS($A483:H502), LEFT(INDEX(FILTER(H$1:H482, H$1:H482&lt;&gt;""""),COUNTA(FILTER(H$1:H482, H$1:H482&lt;&gt;""""))), LEN(INDEX(FILTER(H$1:H482, H$1:H482&lt;&gt;""""),COUNTA(FILTER(H$1:H482, H$1:H482&lt;&gt;""""))))-1), IF('To Order'!$A483=COLUMNS($A483:H"&amp;"502), H482&amp;RIGHT(INDIRECT(ADDRESS(ROW(H483)-1, 'From Order'!$A483)), 1), H482))"),"ZMD")</f>
        <v>ZMD</v>
      </c>
      <c r="I483" s="2" t="str">
        <f>IFERROR(__xludf.DUMMYFUNCTION("IF('From Order'!$A483=COLUMNS($A483:I502), LEFT(INDEX(FILTER(I$1:I482, I$1:I482&lt;&gt;""""),COUNTA(FILTER(I$1:I482, I$1:I482&lt;&gt;""""))), LEN(INDEX(FILTER(I$1:I482, I$1:I482&lt;&gt;""""),COUNTA(FILTER(I$1:I482, I$1:I482&lt;&gt;""""))))-1), IF('To Order'!$A483=COLUMNS($A483:I"&amp;"502), I482&amp;RIGHT(INDIRECT(ADDRESS(ROW(I483)-1, 'From Order'!$A483)), 1), I482))"),"D")</f>
        <v>D</v>
      </c>
    </row>
    <row r="484">
      <c r="A484" s="2" t="str">
        <f>IFERROR(__xludf.DUMMYFUNCTION("IF('From Order'!$A484=COLUMNS($A484:A503), LEFT(INDEX(FILTER(A$1:A483, A$1:A483&lt;&gt;""""),COUNTA(FILTER(A$1:A483, A$1:A483&lt;&gt;""""))), LEN(INDEX(FILTER(A$1:A483, A$1:A483&lt;&gt;""""),COUNTA(FILTER(A$1:A483, A$1:A483&lt;&gt;""""))))-1), IF('To Order'!$A484=COLUMNS($A484:A"&amp;"503), A483&amp;RIGHT(INDIRECT(ADDRESS(ROW(A484)-1, 'From Order'!$A484)), 1), A483))"),"")</f>
        <v/>
      </c>
      <c r="B484" s="2" t="str">
        <f>IFERROR(__xludf.DUMMYFUNCTION("IF('From Order'!$A484=COLUMNS($A484:B503), LEFT(INDEX(FILTER(B$1:B483, B$1:B483&lt;&gt;""""),COUNTA(FILTER(B$1:B483, B$1:B483&lt;&gt;""""))), LEN(INDEX(FILTER(B$1:B483, B$1:B483&lt;&gt;""""),COUNTA(FILTER(B$1:B483, B$1:B483&lt;&gt;""""))))-1), IF('To Order'!$A484=COLUMNS($A484:B"&amp;"503), B483&amp;RIGHT(INDIRECT(ADDRESS(ROW(B484)-1, 'From Order'!$A484)), 1), B483))"),"JZRVPVRZH")</f>
        <v>JZRVPVRZH</v>
      </c>
      <c r="C484" s="2" t="str">
        <f>IFERROR(__xludf.DUMMYFUNCTION("IF('From Order'!$A484=COLUMNS($A484:C503), LEFT(INDEX(FILTER(C$1:C483, C$1:C483&lt;&gt;""""),COUNTA(FILTER(C$1:C483, C$1:C483&lt;&gt;""""))), LEN(INDEX(FILTER(C$1:C483, C$1:C483&lt;&gt;""""),COUNTA(FILTER(C$1:C483, C$1:C483&lt;&gt;""""))))-1), IF('To Order'!$A484=COLUMNS($A484:C"&amp;"503), C483&amp;RIGHT(INDIRECT(ADDRESS(ROW(C484)-1, 'From Order'!$A484)), 1), C483))"),"SMFBBRQPDSSGHWPBCVTJTWRDLRT")</f>
        <v>SMFBBRQPDSSGHWPBCVTJTWRDLRT</v>
      </c>
      <c r="D484" s="2" t="str">
        <f>IFERROR(__xludf.DUMMYFUNCTION("IF('From Order'!$A484=COLUMNS($A484:D503), LEFT(INDEX(FILTER(D$1:D483, D$1:D483&lt;&gt;""""),COUNTA(FILTER(D$1:D483, D$1:D483&lt;&gt;""""))), LEN(INDEX(FILTER(D$1:D483, D$1:D483&lt;&gt;""""),COUNTA(FILTER(D$1:D483, D$1:D483&lt;&gt;""""))))-1), IF('To Order'!$A484=COLUMNS($A484:D"&amp;"503), D483&amp;RIGHT(INDIRECT(ADDRESS(ROW(D484)-1, 'From Order'!$A484)), 1), D483))"),"")</f>
        <v/>
      </c>
      <c r="E484" s="2" t="str">
        <f>IFERROR(__xludf.DUMMYFUNCTION("IF('From Order'!$A484=COLUMNS($A484:E503), LEFT(INDEX(FILTER(E$1:E483, E$1:E483&lt;&gt;""""),COUNTA(FILTER(E$1:E483, E$1:E483&lt;&gt;""""))), LEN(INDEX(FILTER(E$1:E483, E$1:E483&lt;&gt;""""),COUNTA(FILTER(E$1:E483, E$1:E483&lt;&gt;""""))))-1), IF('To Order'!$A484=COLUMNS($A484:E"&amp;"503), E483&amp;RIGHT(INDIRECT(ADDRESS(ROW(E484)-1, 'From Order'!$A484)), 1), E483))"),"LBSGDT")</f>
        <v>LBSGDT</v>
      </c>
      <c r="F484" s="2" t="str">
        <f>IFERROR(__xludf.DUMMYFUNCTION("IF('From Order'!$A484=COLUMNS($A484:F503), LEFT(INDEX(FILTER(F$1:F483, F$1:F483&lt;&gt;""""),COUNTA(FILTER(F$1:F483, F$1:F483&lt;&gt;""""))), LEN(INDEX(FILTER(F$1:F483, F$1:F483&lt;&gt;""""),COUNTA(FILTER(F$1:F483, F$1:F483&lt;&gt;""""))))-1), IF('To Order'!$A484=COLUMNS($A484:F"&amp;"503), F483&amp;RIGHT(INDIRECT(ADDRESS(ROW(F484)-1, 'From Order'!$A484)), 1), F483))"),"JLCTFTMQCD")</f>
        <v>JLCTFTMQCD</v>
      </c>
      <c r="G484" s="2" t="str">
        <f>IFERROR(__xludf.DUMMYFUNCTION("IF('From Order'!$A484=COLUMNS($A484:G503), LEFT(INDEX(FILTER(G$1:G483, G$1:G483&lt;&gt;""""),COUNTA(FILTER(G$1:G483, G$1:G483&lt;&gt;""""))), LEN(INDEX(FILTER(G$1:G483, G$1:G483&lt;&gt;""""),COUNTA(FILTER(G$1:G483, G$1:G483&lt;&gt;""""))))-1), IF('To Order'!$A484=COLUMNS($A484:G"&amp;"503), G483&amp;RIGHT(INDIRECT(ADDRESS(ROW(G484)-1, 'From Order'!$A484)), 1), G483))"),"")</f>
        <v/>
      </c>
      <c r="H484" s="2" t="str">
        <f>IFERROR(__xludf.DUMMYFUNCTION("IF('From Order'!$A484=COLUMNS($A484:H503), LEFT(INDEX(FILTER(H$1:H483, H$1:H483&lt;&gt;""""),COUNTA(FILTER(H$1:H483, H$1:H483&lt;&gt;""""))), LEN(INDEX(FILTER(H$1:H483, H$1:H483&lt;&gt;""""),COUNTA(FILTER(H$1:H483, H$1:H483&lt;&gt;""""))))-1), IF('To Order'!$A484=COLUMNS($A484:H"&amp;"503), H483&amp;RIGHT(INDIRECT(ADDRESS(ROW(H484)-1, 'From Order'!$A484)), 1), H483))"),"ZMD")</f>
        <v>ZMD</v>
      </c>
      <c r="I484" s="2" t="str">
        <f>IFERROR(__xludf.DUMMYFUNCTION("IF('From Order'!$A484=COLUMNS($A484:I503), LEFT(INDEX(FILTER(I$1:I483, I$1:I483&lt;&gt;""""),COUNTA(FILTER(I$1:I483, I$1:I483&lt;&gt;""""))), LEN(INDEX(FILTER(I$1:I483, I$1:I483&lt;&gt;""""),COUNTA(FILTER(I$1:I483, I$1:I483&lt;&gt;""""))))-1), IF('To Order'!$A484=COLUMNS($A484:I"&amp;"503), I483&amp;RIGHT(INDIRECT(ADDRESS(ROW(I484)-1, 'From Order'!$A484)), 1), I483))"),"D")</f>
        <v>D</v>
      </c>
    </row>
    <row r="485">
      <c r="A485" s="2" t="str">
        <f>IFERROR(__xludf.DUMMYFUNCTION("IF('From Order'!$A485=COLUMNS($A485:A504), LEFT(INDEX(FILTER(A$1:A484, A$1:A484&lt;&gt;""""),COUNTA(FILTER(A$1:A484, A$1:A484&lt;&gt;""""))), LEN(INDEX(FILTER(A$1:A484, A$1:A484&lt;&gt;""""),COUNTA(FILTER(A$1:A484, A$1:A484&lt;&gt;""""))))-1), IF('To Order'!$A485=COLUMNS($A485:A"&amp;"504), A484&amp;RIGHT(INDIRECT(ADDRESS(ROW(A485)-1, 'From Order'!$A485)), 1), A484))"),"")</f>
        <v/>
      </c>
      <c r="B485" s="2" t="str">
        <f>IFERROR(__xludf.DUMMYFUNCTION("IF('From Order'!$A485=COLUMNS($A485:B504), LEFT(INDEX(FILTER(B$1:B484, B$1:B484&lt;&gt;""""),COUNTA(FILTER(B$1:B484, B$1:B484&lt;&gt;""""))), LEN(INDEX(FILTER(B$1:B484, B$1:B484&lt;&gt;""""),COUNTA(FILTER(B$1:B484, B$1:B484&lt;&gt;""""))))-1), IF('To Order'!$A485=COLUMNS($A485:B"&amp;"504), B484&amp;RIGHT(INDIRECT(ADDRESS(ROW(B485)-1, 'From Order'!$A485)), 1), B484))"),"JZRVPVRZH")</f>
        <v>JZRVPVRZH</v>
      </c>
      <c r="C485" s="2" t="str">
        <f>IFERROR(__xludf.DUMMYFUNCTION("IF('From Order'!$A485=COLUMNS($A485:C504), LEFT(INDEX(FILTER(C$1:C484, C$1:C484&lt;&gt;""""),COUNTA(FILTER(C$1:C484, C$1:C484&lt;&gt;""""))), LEN(INDEX(FILTER(C$1:C484, C$1:C484&lt;&gt;""""),COUNTA(FILTER(C$1:C484, C$1:C484&lt;&gt;""""))))-1), IF('To Order'!$A485=COLUMNS($A485:C"&amp;"504), C484&amp;RIGHT(INDIRECT(ADDRESS(ROW(C485)-1, 'From Order'!$A485)), 1), C484))"),"SMFBBRQPDSSGHWPBCVTJTWRDLR")</f>
        <v>SMFBBRQPDSSGHWPBCVTJTWRDLR</v>
      </c>
      <c r="D485" s="2" t="str">
        <f>IFERROR(__xludf.DUMMYFUNCTION("IF('From Order'!$A485=COLUMNS($A485:D504), LEFT(INDEX(FILTER(D$1:D484, D$1:D484&lt;&gt;""""),COUNTA(FILTER(D$1:D484, D$1:D484&lt;&gt;""""))), LEN(INDEX(FILTER(D$1:D484, D$1:D484&lt;&gt;""""),COUNTA(FILTER(D$1:D484, D$1:D484&lt;&gt;""""))))-1), IF('To Order'!$A485=COLUMNS($A485:D"&amp;"504), D484&amp;RIGHT(INDIRECT(ADDRESS(ROW(D485)-1, 'From Order'!$A485)), 1), D484))"),"")</f>
        <v/>
      </c>
      <c r="E485" s="2" t="str">
        <f>IFERROR(__xludf.DUMMYFUNCTION("IF('From Order'!$A485=COLUMNS($A485:E504), LEFT(INDEX(FILTER(E$1:E484, E$1:E484&lt;&gt;""""),COUNTA(FILTER(E$1:E484, E$1:E484&lt;&gt;""""))), LEN(INDEX(FILTER(E$1:E484, E$1:E484&lt;&gt;""""),COUNTA(FILTER(E$1:E484, E$1:E484&lt;&gt;""""))))-1), IF('To Order'!$A485=COLUMNS($A485:E"&amp;"504), E484&amp;RIGHT(INDIRECT(ADDRESS(ROW(E485)-1, 'From Order'!$A485)), 1), E484))"),"LBSGDT")</f>
        <v>LBSGDT</v>
      </c>
      <c r="F485" s="2" t="str">
        <f>IFERROR(__xludf.DUMMYFUNCTION("IF('From Order'!$A485=COLUMNS($A485:F504), LEFT(INDEX(FILTER(F$1:F484, F$1:F484&lt;&gt;""""),COUNTA(FILTER(F$1:F484, F$1:F484&lt;&gt;""""))), LEN(INDEX(FILTER(F$1:F484, F$1:F484&lt;&gt;""""),COUNTA(FILTER(F$1:F484, F$1:F484&lt;&gt;""""))))-1), IF('To Order'!$A485=COLUMNS($A485:F"&amp;"504), F484&amp;RIGHT(INDIRECT(ADDRESS(ROW(F485)-1, 'From Order'!$A485)), 1), F484))"),"JLCTFTMQCDT")</f>
        <v>JLCTFTMQCDT</v>
      </c>
      <c r="G485" s="2" t="str">
        <f>IFERROR(__xludf.DUMMYFUNCTION("IF('From Order'!$A485=COLUMNS($A485:G504), LEFT(INDEX(FILTER(G$1:G484, G$1:G484&lt;&gt;""""),COUNTA(FILTER(G$1:G484, G$1:G484&lt;&gt;""""))), LEN(INDEX(FILTER(G$1:G484, G$1:G484&lt;&gt;""""),COUNTA(FILTER(G$1:G484, G$1:G484&lt;&gt;""""))))-1), IF('To Order'!$A485=COLUMNS($A485:G"&amp;"504), G484&amp;RIGHT(INDIRECT(ADDRESS(ROW(G485)-1, 'From Order'!$A485)), 1), G484))"),"")</f>
        <v/>
      </c>
      <c r="H485" s="2" t="str">
        <f>IFERROR(__xludf.DUMMYFUNCTION("IF('From Order'!$A485=COLUMNS($A485:H504), LEFT(INDEX(FILTER(H$1:H484, H$1:H484&lt;&gt;""""),COUNTA(FILTER(H$1:H484, H$1:H484&lt;&gt;""""))), LEN(INDEX(FILTER(H$1:H484, H$1:H484&lt;&gt;""""),COUNTA(FILTER(H$1:H484, H$1:H484&lt;&gt;""""))))-1), IF('To Order'!$A485=COLUMNS($A485:H"&amp;"504), H484&amp;RIGHT(INDIRECT(ADDRESS(ROW(H485)-1, 'From Order'!$A485)), 1), H484))"),"ZMD")</f>
        <v>ZMD</v>
      </c>
      <c r="I485" s="2" t="str">
        <f>IFERROR(__xludf.DUMMYFUNCTION("IF('From Order'!$A485=COLUMNS($A485:I504), LEFT(INDEX(FILTER(I$1:I484, I$1:I484&lt;&gt;""""),COUNTA(FILTER(I$1:I484, I$1:I484&lt;&gt;""""))), LEN(INDEX(FILTER(I$1:I484, I$1:I484&lt;&gt;""""),COUNTA(FILTER(I$1:I484, I$1:I484&lt;&gt;""""))))-1), IF('To Order'!$A485=COLUMNS($A485:I"&amp;"504), I484&amp;RIGHT(INDIRECT(ADDRESS(ROW(I485)-1, 'From Order'!$A485)), 1), I484))"),"D")</f>
        <v>D</v>
      </c>
    </row>
    <row r="486">
      <c r="A486" s="2" t="str">
        <f>IFERROR(__xludf.DUMMYFUNCTION("IF('From Order'!$A486=COLUMNS($A486:A505), LEFT(INDEX(FILTER(A$1:A485, A$1:A485&lt;&gt;""""),COUNTA(FILTER(A$1:A485, A$1:A485&lt;&gt;""""))), LEN(INDEX(FILTER(A$1:A485, A$1:A485&lt;&gt;""""),COUNTA(FILTER(A$1:A485, A$1:A485&lt;&gt;""""))))-1), IF('To Order'!$A486=COLUMNS($A486:A"&amp;"505), A485&amp;RIGHT(INDIRECT(ADDRESS(ROW(A486)-1, 'From Order'!$A486)), 1), A485))"),"")</f>
        <v/>
      </c>
      <c r="B486" s="2" t="str">
        <f>IFERROR(__xludf.DUMMYFUNCTION("IF('From Order'!$A486=COLUMNS($A486:B505), LEFT(INDEX(FILTER(B$1:B485, B$1:B485&lt;&gt;""""),COUNTA(FILTER(B$1:B485, B$1:B485&lt;&gt;""""))), LEN(INDEX(FILTER(B$1:B485, B$1:B485&lt;&gt;""""),COUNTA(FILTER(B$1:B485, B$1:B485&lt;&gt;""""))))-1), IF('To Order'!$A486=COLUMNS($A486:B"&amp;"505), B485&amp;RIGHT(INDIRECT(ADDRESS(ROW(B486)-1, 'From Order'!$A486)), 1), B485))"),"JZRVPVRZH")</f>
        <v>JZRVPVRZH</v>
      </c>
      <c r="C486" s="2" t="str">
        <f>IFERROR(__xludf.DUMMYFUNCTION("IF('From Order'!$A486=COLUMNS($A486:C505), LEFT(INDEX(FILTER(C$1:C485, C$1:C485&lt;&gt;""""),COUNTA(FILTER(C$1:C485, C$1:C485&lt;&gt;""""))), LEN(INDEX(FILTER(C$1:C485, C$1:C485&lt;&gt;""""),COUNTA(FILTER(C$1:C485, C$1:C485&lt;&gt;""""))))-1), IF('To Order'!$A486=COLUMNS($A486:C"&amp;"505), C485&amp;RIGHT(INDIRECT(ADDRESS(ROW(C486)-1, 'From Order'!$A486)), 1), C485))"),"SMFBBRQPDSSGHWPBCVTJTWRDL")</f>
        <v>SMFBBRQPDSSGHWPBCVTJTWRDL</v>
      </c>
      <c r="D486" s="2" t="str">
        <f>IFERROR(__xludf.DUMMYFUNCTION("IF('From Order'!$A486=COLUMNS($A486:D505), LEFT(INDEX(FILTER(D$1:D485, D$1:D485&lt;&gt;""""),COUNTA(FILTER(D$1:D485, D$1:D485&lt;&gt;""""))), LEN(INDEX(FILTER(D$1:D485, D$1:D485&lt;&gt;""""),COUNTA(FILTER(D$1:D485, D$1:D485&lt;&gt;""""))))-1), IF('To Order'!$A486=COLUMNS($A486:D"&amp;"505), D485&amp;RIGHT(INDIRECT(ADDRESS(ROW(D486)-1, 'From Order'!$A486)), 1), D485))"),"")</f>
        <v/>
      </c>
      <c r="E486" s="2" t="str">
        <f>IFERROR(__xludf.DUMMYFUNCTION("IF('From Order'!$A486=COLUMNS($A486:E505), LEFT(INDEX(FILTER(E$1:E485, E$1:E485&lt;&gt;""""),COUNTA(FILTER(E$1:E485, E$1:E485&lt;&gt;""""))), LEN(INDEX(FILTER(E$1:E485, E$1:E485&lt;&gt;""""),COUNTA(FILTER(E$1:E485, E$1:E485&lt;&gt;""""))))-1), IF('To Order'!$A486=COLUMNS($A486:E"&amp;"505), E485&amp;RIGHT(INDIRECT(ADDRESS(ROW(E486)-1, 'From Order'!$A486)), 1), E485))"),"LBSGDT")</f>
        <v>LBSGDT</v>
      </c>
      <c r="F486" s="2" t="str">
        <f>IFERROR(__xludf.DUMMYFUNCTION("IF('From Order'!$A486=COLUMNS($A486:F505), LEFT(INDEX(FILTER(F$1:F485, F$1:F485&lt;&gt;""""),COUNTA(FILTER(F$1:F485, F$1:F485&lt;&gt;""""))), LEN(INDEX(FILTER(F$1:F485, F$1:F485&lt;&gt;""""),COUNTA(FILTER(F$1:F485, F$1:F485&lt;&gt;""""))))-1), IF('To Order'!$A486=COLUMNS($A486:F"&amp;"505), F485&amp;RIGHT(INDIRECT(ADDRESS(ROW(F486)-1, 'From Order'!$A486)), 1), F485))"),"JLCTFTMQCDTR")</f>
        <v>JLCTFTMQCDTR</v>
      </c>
      <c r="G486" s="2" t="str">
        <f>IFERROR(__xludf.DUMMYFUNCTION("IF('From Order'!$A486=COLUMNS($A486:G505), LEFT(INDEX(FILTER(G$1:G485, G$1:G485&lt;&gt;""""),COUNTA(FILTER(G$1:G485, G$1:G485&lt;&gt;""""))), LEN(INDEX(FILTER(G$1:G485, G$1:G485&lt;&gt;""""),COUNTA(FILTER(G$1:G485, G$1:G485&lt;&gt;""""))))-1), IF('To Order'!$A486=COLUMNS($A486:G"&amp;"505), G485&amp;RIGHT(INDIRECT(ADDRESS(ROW(G486)-1, 'From Order'!$A486)), 1), G485))"),"")</f>
        <v/>
      </c>
      <c r="H486" s="2" t="str">
        <f>IFERROR(__xludf.DUMMYFUNCTION("IF('From Order'!$A486=COLUMNS($A486:H505), LEFT(INDEX(FILTER(H$1:H485, H$1:H485&lt;&gt;""""),COUNTA(FILTER(H$1:H485, H$1:H485&lt;&gt;""""))), LEN(INDEX(FILTER(H$1:H485, H$1:H485&lt;&gt;""""),COUNTA(FILTER(H$1:H485, H$1:H485&lt;&gt;""""))))-1), IF('To Order'!$A486=COLUMNS($A486:H"&amp;"505), H485&amp;RIGHT(INDIRECT(ADDRESS(ROW(H486)-1, 'From Order'!$A486)), 1), H485))"),"ZMD")</f>
        <v>ZMD</v>
      </c>
      <c r="I486" s="2" t="str">
        <f>IFERROR(__xludf.DUMMYFUNCTION("IF('From Order'!$A486=COLUMNS($A486:I505), LEFT(INDEX(FILTER(I$1:I485, I$1:I485&lt;&gt;""""),COUNTA(FILTER(I$1:I485, I$1:I485&lt;&gt;""""))), LEN(INDEX(FILTER(I$1:I485, I$1:I485&lt;&gt;""""),COUNTA(FILTER(I$1:I485, I$1:I485&lt;&gt;""""))))-1), IF('To Order'!$A486=COLUMNS($A486:I"&amp;"505), I485&amp;RIGHT(INDIRECT(ADDRESS(ROW(I486)-1, 'From Order'!$A486)), 1), I485))"),"D")</f>
        <v>D</v>
      </c>
    </row>
    <row r="487">
      <c r="A487" s="2" t="str">
        <f>IFERROR(__xludf.DUMMYFUNCTION("IF('From Order'!$A487=COLUMNS($A487:A506), LEFT(INDEX(FILTER(A$1:A486, A$1:A486&lt;&gt;""""),COUNTA(FILTER(A$1:A486, A$1:A486&lt;&gt;""""))), LEN(INDEX(FILTER(A$1:A486, A$1:A486&lt;&gt;""""),COUNTA(FILTER(A$1:A486, A$1:A486&lt;&gt;""""))))-1), IF('To Order'!$A487=COLUMNS($A487:A"&amp;"506), A486&amp;RIGHT(INDIRECT(ADDRESS(ROW(A487)-1, 'From Order'!$A487)), 1), A486))"),"")</f>
        <v/>
      </c>
      <c r="B487" s="2" t="str">
        <f>IFERROR(__xludf.DUMMYFUNCTION("IF('From Order'!$A487=COLUMNS($A487:B506), LEFT(INDEX(FILTER(B$1:B486, B$1:B486&lt;&gt;""""),COUNTA(FILTER(B$1:B486, B$1:B486&lt;&gt;""""))), LEN(INDEX(FILTER(B$1:B486, B$1:B486&lt;&gt;""""),COUNTA(FILTER(B$1:B486, B$1:B486&lt;&gt;""""))))-1), IF('To Order'!$A487=COLUMNS($A487:B"&amp;"506), B486&amp;RIGHT(INDIRECT(ADDRESS(ROW(B487)-1, 'From Order'!$A487)), 1), B486))"),"JZRVPVRZH")</f>
        <v>JZRVPVRZH</v>
      </c>
      <c r="C487" s="2" t="str">
        <f>IFERROR(__xludf.DUMMYFUNCTION("IF('From Order'!$A487=COLUMNS($A487:C506), LEFT(INDEX(FILTER(C$1:C486, C$1:C486&lt;&gt;""""),COUNTA(FILTER(C$1:C486, C$1:C486&lt;&gt;""""))), LEN(INDEX(FILTER(C$1:C486, C$1:C486&lt;&gt;""""),COUNTA(FILTER(C$1:C486, C$1:C486&lt;&gt;""""))))-1), IF('To Order'!$A487=COLUMNS($A487:C"&amp;"506), C486&amp;RIGHT(INDIRECT(ADDRESS(ROW(C487)-1, 'From Order'!$A487)), 1), C486))"),"SMFBBRQPDSSGHWPBCVTJTWRD")</f>
        <v>SMFBBRQPDSSGHWPBCVTJTWRD</v>
      </c>
      <c r="D487" s="2" t="str">
        <f>IFERROR(__xludf.DUMMYFUNCTION("IF('From Order'!$A487=COLUMNS($A487:D506), LEFT(INDEX(FILTER(D$1:D486, D$1:D486&lt;&gt;""""),COUNTA(FILTER(D$1:D486, D$1:D486&lt;&gt;""""))), LEN(INDEX(FILTER(D$1:D486, D$1:D486&lt;&gt;""""),COUNTA(FILTER(D$1:D486, D$1:D486&lt;&gt;""""))))-1), IF('To Order'!$A487=COLUMNS($A487:D"&amp;"506), D486&amp;RIGHT(INDIRECT(ADDRESS(ROW(D487)-1, 'From Order'!$A487)), 1), D486))"),"")</f>
        <v/>
      </c>
      <c r="E487" s="2" t="str">
        <f>IFERROR(__xludf.DUMMYFUNCTION("IF('From Order'!$A487=COLUMNS($A487:E506), LEFT(INDEX(FILTER(E$1:E486, E$1:E486&lt;&gt;""""),COUNTA(FILTER(E$1:E486, E$1:E486&lt;&gt;""""))), LEN(INDEX(FILTER(E$1:E486, E$1:E486&lt;&gt;""""),COUNTA(FILTER(E$1:E486, E$1:E486&lt;&gt;""""))))-1), IF('To Order'!$A487=COLUMNS($A487:E"&amp;"506), E486&amp;RIGHT(INDIRECT(ADDRESS(ROW(E487)-1, 'From Order'!$A487)), 1), E486))"),"LBSGDT")</f>
        <v>LBSGDT</v>
      </c>
      <c r="F487" s="2" t="str">
        <f>IFERROR(__xludf.DUMMYFUNCTION("IF('From Order'!$A487=COLUMNS($A487:F506), LEFT(INDEX(FILTER(F$1:F486, F$1:F486&lt;&gt;""""),COUNTA(FILTER(F$1:F486, F$1:F486&lt;&gt;""""))), LEN(INDEX(FILTER(F$1:F486, F$1:F486&lt;&gt;""""),COUNTA(FILTER(F$1:F486, F$1:F486&lt;&gt;""""))))-1), IF('To Order'!$A487=COLUMNS($A487:F"&amp;"506), F486&amp;RIGHT(INDIRECT(ADDRESS(ROW(F487)-1, 'From Order'!$A487)), 1), F486))"),"JLCTFTMQCDTRL")</f>
        <v>JLCTFTMQCDTRL</v>
      </c>
      <c r="G487" s="2" t="str">
        <f>IFERROR(__xludf.DUMMYFUNCTION("IF('From Order'!$A487=COLUMNS($A487:G506), LEFT(INDEX(FILTER(G$1:G486, G$1:G486&lt;&gt;""""),COUNTA(FILTER(G$1:G486, G$1:G486&lt;&gt;""""))), LEN(INDEX(FILTER(G$1:G486, G$1:G486&lt;&gt;""""),COUNTA(FILTER(G$1:G486, G$1:G486&lt;&gt;""""))))-1), IF('To Order'!$A487=COLUMNS($A487:G"&amp;"506), G486&amp;RIGHT(INDIRECT(ADDRESS(ROW(G487)-1, 'From Order'!$A487)), 1), G486))"),"")</f>
        <v/>
      </c>
      <c r="H487" s="2" t="str">
        <f>IFERROR(__xludf.DUMMYFUNCTION("IF('From Order'!$A487=COLUMNS($A487:H506), LEFT(INDEX(FILTER(H$1:H486, H$1:H486&lt;&gt;""""),COUNTA(FILTER(H$1:H486, H$1:H486&lt;&gt;""""))), LEN(INDEX(FILTER(H$1:H486, H$1:H486&lt;&gt;""""),COUNTA(FILTER(H$1:H486, H$1:H486&lt;&gt;""""))))-1), IF('To Order'!$A487=COLUMNS($A487:H"&amp;"506), H486&amp;RIGHT(INDIRECT(ADDRESS(ROW(H487)-1, 'From Order'!$A487)), 1), H486))"),"ZMD")</f>
        <v>ZMD</v>
      </c>
      <c r="I487" s="2" t="str">
        <f>IFERROR(__xludf.DUMMYFUNCTION("IF('From Order'!$A487=COLUMNS($A487:I506), LEFT(INDEX(FILTER(I$1:I486, I$1:I486&lt;&gt;""""),COUNTA(FILTER(I$1:I486, I$1:I486&lt;&gt;""""))), LEN(INDEX(FILTER(I$1:I486, I$1:I486&lt;&gt;""""),COUNTA(FILTER(I$1:I486, I$1:I486&lt;&gt;""""))))-1), IF('To Order'!$A487=COLUMNS($A487:I"&amp;"506), I486&amp;RIGHT(INDIRECT(ADDRESS(ROW(I487)-1, 'From Order'!$A487)), 1), I486))"),"D")</f>
        <v>D</v>
      </c>
    </row>
    <row r="488">
      <c r="A488" s="2" t="str">
        <f>IFERROR(__xludf.DUMMYFUNCTION("IF('From Order'!$A488=COLUMNS($A488:A507), LEFT(INDEX(FILTER(A$1:A487, A$1:A487&lt;&gt;""""),COUNTA(FILTER(A$1:A487, A$1:A487&lt;&gt;""""))), LEN(INDEX(FILTER(A$1:A487, A$1:A487&lt;&gt;""""),COUNTA(FILTER(A$1:A487, A$1:A487&lt;&gt;""""))))-1), IF('To Order'!$A488=COLUMNS($A488:A"&amp;"507), A487&amp;RIGHT(INDIRECT(ADDRESS(ROW(A488)-1, 'From Order'!$A488)), 1), A487))"),"")</f>
        <v/>
      </c>
      <c r="B488" s="2" t="str">
        <f>IFERROR(__xludf.DUMMYFUNCTION("IF('From Order'!$A488=COLUMNS($A488:B507), LEFT(INDEX(FILTER(B$1:B487, B$1:B487&lt;&gt;""""),COUNTA(FILTER(B$1:B487, B$1:B487&lt;&gt;""""))), LEN(INDEX(FILTER(B$1:B487, B$1:B487&lt;&gt;""""),COUNTA(FILTER(B$1:B487, B$1:B487&lt;&gt;""""))))-1), IF('To Order'!$A488=COLUMNS($A488:B"&amp;"507), B487&amp;RIGHT(INDIRECT(ADDRESS(ROW(B488)-1, 'From Order'!$A488)), 1), B487))"),"JZRVPVRZH")</f>
        <v>JZRVPVRZH</v>
      </c>
      <c r="C488" s="2" t="str">
        <f>IFERROR(__xludf.DUMMYFUNCTION("IF('From Order'!$A488=COLUMNS($A488:C507), LEFT(INDEX(FILTER(C$1:C487, C$1:C487&lt;&gt;""""),COUNTA(FILTER(C$1:C487, C$1:C487&lt;&gt;""""))), LEN(INDEX(FILTER(C$1:C487, C$1:C487&lt;&gt;""""),COUNTA(FILTER(C$1:C487, C$1:C487&lt;&gt;""""))))-1), IF('To Order'!$A488=COLUMNS($A488:C"&amp;"507), C487&amp;RIGHT(INDIRECT(ADDRESS(ROW(C488)-1, 'From Order'!$A488)), 1), C487))"),"SMFBBRQPDSSGHWPBCVTJTWR")</f>
        <v>SMFBBRQPDSSGHWPBCVTJTWR</v>
      </c>
      <c r="D488" s="2" t="str">
        <f>IFERROR(__xludf.DUMMYFUNCTION("IF('From Order'!$A488=COLUMNS($A488:D507), LEFT(INDEX(FILTER(D$1:D487, D$1:D487&lt;&gt;""""),COUNTA(FILTER(D$1:D487, D$1:D487&lt;&gt;""""))), LEN(INDEX(FILTER(D$1:D487, D$1:D487&lt;&gt;""""),COUNTA(FILTER(D$1:D487, D$1:D487&lt;&gt;""""))))-1), IF('To Order'!$A488=COLUMNS($A488:D"&amp;"507), D487&amp;RIGHT(INDIRECT(ADDRESS(ROW(D488)-1, 'From Order'!$A488)), 1), D487))"),"")</f>
        <v/>
      </c>
      <c r="E488" s="2" t="str">
        <f>IFERROR(__xludf.DUMMYFUNCTION("IF('From Order'!$A488=COLUMNS($A488:E507), LEFT(INDEX(FILTER(E$1:E487, E$1:E487&lt;&gt;""""),COUNTA(FILTER(E$1:E487, E$1:E487&lt;&gt;""""))), LEN(INDEX(FILTER(E$1:E487, E$1:E487&lt;&gt;""""),COUNTA(FILTER(E$1:E487, E$1:E487&lt;&gt;""""))))-1), IF('To Order'!$A488=COLUMNS($A488:E"&amp;"507), E487&amp;RIGHT(INDIRECT(ADDRESS(ROW(E488)-1, 'From Order'!$A488)), 1), E487))"),"LBSGDT")</f>
        <v>LBSGDT</v>
      </c>
      <c r="F488" s="2" t="str">
        <f>IFERROR(__xludf.DUMMYFUNCTION("IF('From Order'!$A488=COLUMNS($A488:F507), LEFT(INDEX(FILTER(F$1:F487, F$1:F487&lt;&gt;""""),COUNTA(FILTER(F$1:F487, F$1:F487&lt;&gt;""""))), LEN(INDEX(FILTER(F$1:F487, F$1:F487&lt;&gt;""""),COUNTA(FILTER(F$1:F487, F$1:F487&lt;&gt;""""))))-1), IF('To Order'!$A488=COLUMNS($A488:F"&amp;"507), F487&amp;RIGHT(INDIRECT(ADDRESS(ROW(F488)-1, 'From Order'!$A488)), 1), F487))"),"JLCTFTMQCDTRLD")</f>
        <v>JLCTFTMQCDTRLD</v>
      </c>
      <c r="G488" s="2" t="str">
        <f>IFERROR(__xludf.DUMMYFUNCTION("IF('From Order'!$A488=COLUMNS($A488:G507), LEFT(INDEX(FILTER(G$1:G487, G$1:G487&lt;&gt;""""),COUNTA(FILTER(G$1:G487, G$1:G487&lt;&gt;""""))), LEN(INDEX(FILTER(G$1:G487, G$1:G487&lt;&gt;""""),COUNTA(FILTER(G$1:G487, G$1:G487&lt;&gt;""""))))-1), IF('To Order'!$A488=COLUMNS($A488:G"&amp;"507), G487&amp;RIGHT(INDIRECT(ADDRESS(ROW(G488)-1, 'From Order'!$A488)), 1), G487))"),"")</f>
        <v/>
      </c>
      <c r="H488" s="2" t="str">
        <f>IFERROR(__xludf.DUMMYFUNCTION("IF('From Order'!$A488=COLUMNS($A488:H507), LEFT(INDEX(FILTER(H$1:H487, H$1:H487&lt;&gt;""""),COUNTA(FILTER(H$1:H487, H$1:H487&lt;&gt;""""))), LEN(INDEX(FILTER(H$1:H487, H$1:H487&lt;&gt;""""),COUNTA(FILTER(H$1:H487, H$1:H487&lt;&gt;""""))))-1), IF('To Order'!$A488=COLUMNS($A488:H"&amp;"507), H487&amp;RIGHT(INDIRECT(ADDRESS(ROW(H488)-1, 'From Order'!$A488)), 1), H487))"),"ZMD")</f>
        <v>ZMD</v>
      </c>
      <c r="I488" s="2" t="str">
        <f>IFERROR(__xludf.DUMMYFUNCTION("IF('From Order'!$A488=COLUMNS($A488:I507), LEFT(INDEX(FILTER(I$1:I487, I$1:I487&lt;&gt;""""),COUNTA(FILTER(I$1:I487, I$1:I487&lt;&gt;""""))), LEN(INDEX(FILTER(I$1:I487, I$1:I487&lt;&gt;""""),COUNTA(FILTER(I$1:I487, I$1:I487&lt;&gt;""""))))-1), IF('To Order'!$A488=COLUMNS($A488:I"&amp;"507), I487&amp;RIGHT(INDIRECT(ADDRESS(ROW(I488)-1, 'From Order'!$A488)), 1), I487))"),"D")</f>
        <v>D</v>
      </c>
    </row>
    <row r="489">
      <c r="A489" s="2" t="str">
        <f>IFERROR(__xludf.DUMMYFUNCTION("IF('From Order'!$A489=COLUMNS($A489:A508), LEFT(INDEX(FILTER(A$1:A488, A$1:A488&lt;&gt;""""),COUNTA(FILTER(A$1:A488, A$1:A488&lt;&gt;""""))), LEN(INDEX(FILTER(A$1:A488, A$1:A488&lt;&gt;""""),COUNTA(FILTER(A$1:A488, A$1:A488&lt;&gt;""""))))-1), IF('To Order'!$A489=COLUMNS($A489:A"&amp;"508), A488&amp;RIGHT(INDIRECT(ADDRESS(ROW(A489)-1, 'From Order'!$A489)), 1), A488))"),"")</f>
        <v/>
      </c>
      <c r="B489" s="2" t="str">
        <f>IFERROR(__xludf.DUMMYFUNCTION("IF('From Order'!$A489=COLUMNS($A489:B508), LEFT(INDEX(FILTER(B$1:B488, B$1:B488&lt;&gt;""""),COUNTA(FILTER(B$1:B488, B$1:B488&lt;&gt;""""))), LEN(INDEX(FILTER(B$1:B488, B$1:B488&lt;&gt;""""),COUNTA(FILTER(B$1:B488, B$1:B488&lt;&gt;""""))))-1), IF('To Order'!$A489=COLUMNS($A489:B"&amp;"508), B488&amp;RIGHT(INDIRECT(ADDRESS(ROW(B489)-1, 'From Order'!$A489)), 1), B488))"),"JZRVPVRZH")</f>
        <v>JZRVPVRZH</v>
      </c>
      <c r="C489" s="2" t="str">
        <f>IFERROR(__xludf.DUMMYFUNCTION("IF('From Order'!$A489=COLUMNS($A489:C508), LEFT(INDEX(FILTER(C$1:C488, C$1:C488&lt;&gt;""""),COUNTA(FILTER(C$1:C488, C$1:C488&lt;&gt;""""))), LEN(INDEX(FILTER(C$1:C488, C$1:C488&lt;&gt;""""),COUNTA(FILTER(C$1:C488, C$1:C488&lt;&gt;""""))))-1), IF('To Order'!$A489=COLUMNS($A489:C"&amp;"508), C488&amp;RIGHT(INDIRECT(ADDRESS(ROW(C489)-1, 'From Order'!$A489)), 1), C488))"),"SMFBBRQPDSSGHWPBCVTJTW")</f>
        <v>SMFBBRQPDSSGHWPBCVTJTW</v>
      </c>
      <c r="D489" s="2" t="str">
        <f>IFERROR(__xludf.DUMMYFUNCTION("IF('From Order'!$A489=COLUMNS($A489:D508), LEFT(INDEX(FILTER(D$1:D488, D$1:D488&lt;&gt;""""),COUNTA(FILTER(D$1:D488, D$1:D488&lt;&gt;""""))), LEN(INDEX(FILTER(D$1:D488, D$1:D488&lt;&gt;""""),COUNTA(FILTER(D$1:D488, D$1:D488&lt;&gt;""""))))-1), IF('To Order'!$A489=COLUMNS($A489:D"&amp;"508), D488&amp;RIGHT(INDIRECT(ADDRESS(ROW(D489)-1, 'From Order'!$A489)), 1), D488))"),"")</f>
        <v/>
      </c>
      <c r="E489" s="2" t="str">
        <f>IFERROR(__xludf.DUMMYFUNCTION("IF('From Order'!$A489=COLUMNS($A489:E508), LEFT(INDEX(FILTER(E$1:E488, E$1:E488&lt;&gt;""""),COUNTA(FILTER(E$1:E488, E$1:E488&lt;&gt;""""))), LEN(INDEX(FILTER(E$1:E488, E$1:E488&lt;&gt;""""),COUNTA(FILTER(E$1:E488, E$1:E488&lt;&gt;""""))))-1), IF('To Order'!$A489=COLUMNS($A489:E"&amp;"508), E488&amp;RIGHT(INDIRECT(ADDRESS(ROW(E489)-1, 'From Order'!$A489)), 1), E488))"),"LBSGDT")</f>
        <v>LBSGDT</v>
      </c>
      <c r="F489" s="2" t="str">
        <f>IFERROR(__xludf.DUMMYFUNCTION("IF('From Order'!$A489=COLUMNS($A489:F508), LEFT(INDEX(FILTER(F$1:F488, F$1:F488&lt;&gt;""""),COUNTA(FILTER(F$1:F488, F$1:F488&lt;&gt;""""))), LEN(INDEX(FILTER(F$1:F488, F$1:F488&lt;&gt;""""),COUNTA(FILTER(F$1:F488, F$1:F488&lt;&gt;""""))))-1), IF('To Order'!$A489=COLUMNS($A489:F"&amp;"508), F488&amp;RIGHT(INDIRECT(ADDRESS(ROW(F489)-1, 'From Order'!$A489)), 1), F488))"),"JLCTFTMQCDTRLDR")</f>
        <v>JLCTFTMQCDTRLDR</v>
      </c>
      <c r="G489" s="2" t="str">
        <f>IFERROR(__xludf.DUMMYFUNCTION("IF('From Order'!$A489=COLUMNS($A489:G508), LEFT(INDEX(FILTER(G$1:G488, G$1:G488&lt;&gt;""""),COUNTA(FILTER(G$1:G488, G$1:G488&lt;&gt;""""))), LEN(INDEX(FILTER(G$1:G488, G$1:G488&lt;&gt;""""),COUNTA(FILTER(G$1:G488, G$1:G488&lt;&gt;""""))))-1), IF('To Order'!$A489=COLUMNS($A489:G"&amp;"508), G488&amp;RIGHT(INDIRECT(ADDRESS(ROW(G489)-1, 'From Order'!$A489)), 1), G488))"),"")</f>
        <v/>
      </c>
      <c r="H489" s="2" t="str">
        <f>IFERROR(__xludf.DUMMYFUNCTION("IF('From Order'!$A489=COLUMNS($A489:H508), LEFT(INDEX(FILTER(H$1:H488, H$1:H488&lt;&gt;""""),COUNTA(FILTER(H$1:H488, H$1:H488&lt;&gt;""""))), LEN(INDEX(FILTER(H$1:H488, H$1:H488&lt;&gt;""""),COUNTA(FILTER(H$1:H488, H$1:H488&lt;&gt;""""))))-1), IF('To Order'!$A489=COLUMNS($A489:H"&amp;"508), H488&amp;RIGHT(INDIRECT(ADDRESS(ROW(H489)-1, 'From Order'!$A489)), 1), H488))"),"ZMD")</f>
        <v>ZMD</v>
      </c>
      <c r="I489" s="2" t="str">
        <f>IFERROR(__xludf.DUMMYFUNCTION("IF('From Order'!$A489=COLUMNS($A489:I508), LEFT(INDEX(FILTER(I$1:I488, I$1:I488&lt;&gt;""""),COUNTA(FILTER(I$1:I488, I$1:I488&lt;&gt;""""))), LEN(INDEX(FILTER(I$1:I488, I$1:I488&lt;&gt;""""),COUNTA(FILTER(I$1:I488, I$1:I488&lt;&gt;""""))))-1), IF('To Order'!$A489=COLUMNS($A489:I"&amp;"508), I488&amp;RIGHT(INDIRECT(ADDRESS(ROW(I489)-1, 'From Order'!$A489)), 1), I488))"),"D")</f>
        <v>D</v>
      </c>
    </row>
    <row r="490">
      <c r="A490" s="2" t="str">
        <f>IFERROR(__xludf.DUMMYFUNCTION("IF('From Order'!$A490=COLUMNS($A490:A509), LEFT(INDEX(FILTER(A$1:A489, A$1:A489&lt;&gt;""""),COUNTA(FILTER(A$1:A489, A$1:A489&lt;&gt;""""))), LEN(INDEX(FILTER(A$1:A489, A$1:A489&lt;&gt;""""),COUNTA(FILTER(A$1:A489, A$1:A489&lt;&gt;""""))))-1), IF('To Order'!$A490=COLUMNS($A490:A"&amp;"509), A489&amp;RIGHT(INDIRECT(ADDRESS(ROW(A490)-1, 'From Order'!$A490)), 1), A489))"),"")</f>
        <v/>
      </c>
      <c r="B490" s="2" t="str">
        <f>IFERROR(__xludf.DUMMYFUNCTION("IF('From Order'!$A490=COLUMNS($A490:B509), LEFT(INDEX(FILTER(B$1:B489, B$1:B489&lt;&gt;""""),COUNTA(FILTER(B$1:B489, B$1:B489&lt;&gt;""""))), LEN(INDEX(FILTER(B$1:B489, B$1:B489&lt;&gt;""""),COUNTA(FILTER(B$1:B489, B$1:B489&lt;&gt;""""))))-1), IF('To Order'!$A490=COLUMNS($A490:B"&amp;"509), B489&amp;RIGHT(INDIRECT(ADDRESS(ROW(B490)-1, 'From Order'!$A490)), 1), B489))"),"JZRVPVRZH")</f>
        <v>JZRVPVRZH</v>
      </c>
      <c r="C490" s="2" t="str">
        <f>IFERROR(__xludf.DUMMYFUNCTION("IF('From Order'!$A490=COLUMNS($A490:C509), LEFT(INDEX(FILTER(C$1:C489, C$1:C489&lt;&gt;""""),COUNTA(FILTER(C$1:C489, C$1:C489&lt;&gt;""""))), LEN(INDEX(FILTER(C$1:C489, C$1:C489&lt;&gt;""""),COUNTA(FILTER(C$1:C489, C$1:C489&lt;&gt;""""))))-1), IF('To Order'!$A490=COLUMNS($A490:C"&amp;"509), C489&amp;RIGHT(INDIRECT(ADDRESS(ROW(C490)-1, 'From Order'!$A490)), 1), C489))"),"SMFBBRQPDSSGHWPBCVTJT")</f>
        <v>SMFBBRQPDSSGHWPBCVTJT</v>
      </c>
      <c r="D490" s="2" t="str">
        <f>IFERROR(__xludf.DUMMYFUNCTION("IF('From Order'!$A490=COLUMNS($A490:D509), LEFT(INDEX(FILTER(D$1:D489, D$1:D489&lt;&gt;""""),COUNTA(FILTER(D$1:D489, D$1:D489&lt;&gt;""""))), LEN(INDEX(FILTER(D$1:D489, D$1:D489&lt;&gt;""""),COUNTA(FILTER(D$1:D489, D$1:D489&lt;&gt;""""))))-1), IF('To Order'!$A490=COLUMNS($A490:D"&amp;"509), D489&amp;RIGHT(INDIRECT(ADDRESS(ROW(D490)-1, 'From Order'!$A490)), 1), D489))"),"")</f>
        <v/>
      </c>
      <c r="E490" s="2" t="str">
        <f>IFERROR(__xludf.DUMMYFUNCTION("IF('From Order'!$A490=COLUMNS($A490:E509), LEFT(INDEX(FILTER(E$1:E489, E$1:E489&lt;&gt;""""),COUNTA(FILTER(E$1:E489, E$1:E489&lt;&gt;""""))), LEN(INDEX(FILTER(E$1:E489, E$1:E489&lt;&gt;""""),COUNTA(FILTER(E$1:E489, E$1:E489&lt;&gt;""""))))-1), IF('To Order'!$A490=COLUMNS($A490:E"&amp;"509), E489&amp;RIGHT(INDIRECT(ADDRESS(ROW(E490)-1, 'From Order'!$A490)), 1), E489))"),"LBSGDT")</f>
        <v>LBSGDT</v>
      </c>
      <c r="F490" s="2" t="str">
        <f>IFERROR(__xludf.DUMMYFUNCTION("IF('From Order'!$A490=COLUMNS($A490:F509), LEFT(INDEX(FILTER(F$1:F489, F$1:F489&lt;&gt;""""),COUNTA(FILTER(F$1:F489, F$1:F489&lt;&gt;""""))), LEN(INDEX(FILTER(F$1:F489, F$1:F489&lt;&gt;""""),COUNTA(FILTER(F$1:F489, F$1:F489&lt;&gt;""""))))-1), IF('To Order'!$A490=COLUMNS($A490:F"&amp;"509), F489&amp;RIGHT(INDIRECT(ADDRESS(ROW(F490)-1, 'From Order'!$A490)), 1), F489))"),"JLCTFTMQCDTRLDRW")</f>
        <v>JLCTFTMQCDTRLDRW</v>
      </c>
      <c r="G490" s="2" t="str">
        <f>IFERROR(__xludf.DUMMYFUNCTION("IF('From Order'!$A490=COLUMNS($A490:G509), LEFT(INDEX(FILTER(G$1:G489, G$1:G489&lt;&gt;""""),COUNTA(FILTER(G$1:G489, G$1:G489&lt;&gt;""""))), LEN(INDEX(FILTER(G$1:G489, G$1:G489&lt;&gt;""""),COUNTA(FILTER(G$1:G489, G$1:G489&lt;&gt;""""))))-1), IF('To Order'!$A490=COLUMNS($A490:G"&amp;"509), G489&amp;RIGHT(INDIRECT(ADDRESS(ROW(G490)-1, 'From Order'!$A490)), 1), G489))"),"")</f>
        <v/>
      </c>
      <c r="H490" s="2" t="str">
        <f>IFERROR(__xludf.DUMMYFUNCTION("IF('From Order'!$A490=COLUMNS($A490:H509), LEFT(INDEX(FILTER(H$1:H489, H$1:H489&lt;&gt;""""),COUNTA(FILTER(H$1:H489, H$1:H489&lt;&gt;""""))), LEN(INDEX(FILTER(H$1:H489, H$1:H489&lt;&gt;""""),COUNTA(FILTER(H$1:H489, H$1:H489&lt;&gt;""""))))-1), IF('To Order'!$A490=COLUMNS($A490:H"&amp;"509), H489&amp;RIGHT(INDIRECT(ADDRESS(ROW(H490)-1, 'From Order'!$A490)), 1), H489))"),"ZMD")</f>
        <v>ZMD</v>
      </c>
      <c r="I490" s="2" t="str">
        <f>IFERROR(__xludf.DUMMYFUNCTION("IF('From Order'!$A490=COLUMNS($A490:I509), LEFT(INDEX(FILTER(I$1:I489, I$1:I489&lt;&gt;""""),COUNTA(FILTER(I$1:I489, I$1:I489&lt;&gt;""""))), LEN(INDEX(FILTER(I$1:I489, I$1:I489&lt;&gt;""""),COUNTA(FILTER(I$1:I489, I$1:I489&lt;&gt;""""))))-1), IF('To Order'!$A490=COLUMNS($A490:I"&amp;"509), I489&amp;RIGHT(INDIRECT(ADDRESS(ROW(I490)-1, 'From Order'!$A490)), 1), I489))"),"D")</f>
        <v>D</v>
      </c>
    </row>
    <row r="491">
      <c r="A491" s="2" t="str">
        <f>IFERROR(__xludf.DUMMYFUNCTION("IF('From Order'!$A491=COLUMNS($A491:A510), LEFT(INDEX(FILTER(A$1:A490, A$1:A490&lt;&gt;""""),COUNTA(FILTER(A$1:A490, A$1:A490&lt;&gt;""""))), LEN(INDEX(FILTER(A$1:A490, A$1:A490&lt;&gt;""""),COUNTA(FILTER(A$1:A490, A$1:A490&lt;&gt;""""))))-1), IF('To Order'!$A491=COLUMNS($A491:A"&amp;"510), A490&amp;RIGHT(INDIRECT(ADDRESS(ROW(A491)-1, 'From Order'!$A491)), 1), A490))"),"")</f>
        <v/>
      </c>
      <c r="B491" s="2" t="str">
        <f>IFERROR(__xludf.DUMMYFUNCTION("IF('From Order'!$A491=COLUMNS($A491:B510), LEFT(INDEX(FILTER(B$1:B490, B$1:B490&lt;&gt;""""),COUNTA(FILTER(B$1:B490, B$1:B490&lt;&gt;""""))), LEN(INDEX(FILTER(B$1:B490, B$1:B490&lt;&gt;""""),COUNTA(FILTER(B$1:B490, B$1:B490&lt;&gt;""""))))-1), IF('To Order'!$A491=COLUMNS($A491:B"&amp;"510), B490&amp;RIGHT(INDIRECT(ADDRESS(ROW(B491)-1, 'From Order'!$A491)), 1), B490))"),"JZRVPVRZH")</f>
        <v>JZRVPVRZH</v>
      </c>
      <c r="C491" s="2" t="str">
        <f>IFERROR(__xludf.DUMMYFUNCTION("IF('From Order'!$A491=COLUMNS($A491:C510), LEFT(INDEX(FILTER(C$1:C490, C$1:C490&lt;&gt;""""),COUNTA(FILTER(C$1:C490, C$1:C490&lt;&gt;""""))), LEN(INDEX(FILTER(C$1:C490, C$1:C490&lt;&gt;""""),COUNTA(FILTER(C$1:C490, C$1:C490&lt;&gt;""""))))-1), IF('To Order'!$A491=COLUMNS($A491:C"&amp;"510), C490&amp;RIGHT(INDIRECT(ADDRESS(ROW(C491)-1, 'From Order'!$A491)), 1), C490))"),"SMFBBRQPDSSGHWPBCVTJ")</f>
        <v>SMFBBRQPDSSGHWPBCVTJ</v>
      </c>
      <c r="D491" s="2" t="str">
        <f>IFERROR(__xludf.DUMMYFUNCTION("IF('From Order'!$A491=COLUMNS($A491:D510), LEFT(INDEX(FILTER(D$1:D490, D$1:D490&lt;&gt;""""),COUNTA(FILTER(D$1:D490, D$1:D490&lt;&gt;""""))), LEN(INDEX(FILTER(D$1:D490, D$1:D490&lt;&gt;""""),COUNTA(FILTER(D$1:D490, D$1:D490&lt;&gt;""""))))-1), IF('To Order'!$A491=COLUMNS($A491:D"&amp;"510), D490&amp;RIGHT(INDIRECT(ADDRESS(ROW(D491)-1, 'From Order'!$A491)), 1), D490))"),"")</f>
        <v/>
      </c>
      <c r="E491" s="2" t="str">
        <f>IFERROR(__xludf.DUMMYFUNCTION("IF('From Order'!$A491=COLUMNS($A491:E510), LEFT(INDEX(FILTER(E$1:E490, E$1:E490&lt;&gt;""""),COUNTA(FILTER(E$1:E490, E$1:E490&lt;&gt;""""))), LEN(INDEX(FILTER(E$1:E490, E$1:E490&lt;&gt;""""),COUNTA(FILTER(E$1:E490, E$1:E490&lt;&gt;""""))))-1), IF('To Order'!$A491=COLUMNS($A491:E"&amp;"510), E490&amp;RIGHT(INDIRECT(ADDRESS(ROW(E491)-1, 'From Order'!$A491)), 1), E490))"),"LBSGDT")</f>
        <v>LBSGDT</v>
      </c>
      <c r="F491" s="2" t="str">
        <f>IFERROR(__xludf.DUMMYFUNCTION("IF('From Order'!$A491=COLUMNS($A491:F510), LEFT(INDEX(FILTER(F$1:F490, F$1:F490&lt;&gt;""""),COUNTA(FILTER(F$1:F490, F$1:F490&lt;&gt;""""))), LEN(INDEX(FILTER(F$1:F490, F$1:F490&lt;&gt;""""),COUNTA(FILTER(F$1:F490, F$1:F490&lt;&gt;""""))))-1), IF('To Order'!$A491=COLUMNS($A491:F"&amp;"510), F490&amp;RIGHT(INDIRECT(ADDRESS(ROW(F491)-1, 'From Order'!$A491)), 1), F490))"),"JLCTFTMQCDTRLDRWT")</f>
        <v>JLCTFTMQCDTRLDRWT</v>
      </c>
      <c r="G491" s="2" t="str">
        <f>IFERROR(__xludf.DUMMYFUNCTION("IF('From Order'!$A491=COLUMNS($A491:G510), LEFT(INDEX(FILTER(G$1:G490, G$1:G490&lt;&gt;""""),COUNTA(FILTER(G$1:G490, G$1:G490&lt;&gt;""""))), LEN(INDEX(FILTER(G$1:G490, G$1:G490&lt;&gt;""""),COUNTA(FILTER(G$1:G490, G$1:G490&lt;&gt;""""))))-1), IF('To Order'!$A491=COLUMNS($A491:G"&amp;"510), G490&amp;RIGHT(INDIRECT(ADDRESS(ROW(G491)-1, 'From Order'!$A491)), 1), G490))"),"")</f>
        <v/>
      </c>
      <c r="H491" s="2" t="str">
        <f>IFERROR(__xludf.DUMMYFUNCTION("IF('From Order'!$A491=COLUMNS($A491:H510), LEFT(INDEX(FILTER(H$1:H490, H$1:H490&lt;&gt;""""),COUNTA(FILTER(H$1:H490, H$1:H490&lt;&gt;""""))), LEN(INDEX(FILTER(H$1:H490, H$1:H490&lt;&gt;""""),COUNTA(FILTER(H$1:H490, H$1:H490&lt;&gt;""""))))-1), IF('To Order'!$A491=COLUMNS($A491:H"&amp;"510), H490&amp;RIGHT(INDIRECT(ADDRESS(ROW(H491)-1, 'From Order'!$A491)), 1), H490))"),"ZMD")</f>
        <v>ZMD</v>
      </c>
      <c r="I491" s="2" t="str">
        <f>IFERROR(__xludf.DUMMYFUNCTION("IF('From Order'!$A491=COLUMNS($A491:I510), LEFT(INDEX(FILTER(I$1:I490, I$1:I490&lt;&gt;""""),COUNTA(FILTER(I$1:I490, I$1:I490&lt;&gt;""""))), LEN(INDEX(FILTER(I$1:I490, I$1:I490&lt;&gt;""""),COUNTA(FILTER(I$1:I490, I$1:I490&lt;&gt;""""))))-1), IF('To Order'!$A491=COLUMNS($A491:I"&amp;"510), I490&amp;RIGHT(INDIRECT(ADDRESS(ROW(I491)-1, 'From Order'!$A491)), 1), I490))"),"D")</f>
        <v>D</v>
      </c>
    </row>
    <row r="492">
      <c r="A492" s="2" t="str">
        <f>IFERROR(__xludf.DUMMYFUNCTION("IF('From Order'!$A492=COLUMNS($A492:A511), LEFT(INDEX(FILTER(A$1:A491, A$1:A491&lt;&gt;""""),COUNTA(FILTER(A$1:A491, A$1:A491&lt;&gt;""""))), LEN(INDEX(FILTER(A$1:A491, A$1:A491&lt;&gt;""""),COUNTA(FILTER(A$1:A491, A$1:A491&lt;&gt;""""))))-1), IF('To Order'!$A492=COLUMNS($A492:A"&amp;"511), A491&amp;RIGHT(INDIRECT(ADDRESS(ROW(A492)-1, 'From Order'!$A492)), 1), A491))"),"")</f>
        <v/>
      </c>
      <c r="B492" s="2" t="str">
        <f>IFERROR(__xludf.DUMMYFUNCTION("IF('From Order'!$A492=COLUMNS($A492:B511), LEFT(INDEX(FILTER(B$1:B491, B$1:B491&lt;&gt;""""),COUNTA(FILTER(B$1:B491, B$1:B491&lt;&gt;""""))), LEN(INDEX(FILTER(B$1:B491, B$1:B491&lt;&gt;""""),COUNTA(FILTER(B$1:B491, B$1:B491&lt;&gt;""""))))-1), IF('To Order'!$A492=COLUMNS($A492:B"&amp;"511), B491&amp;RIGHT(INDIRECT(ADDRESS(ROW(B492)-1, 'From Order'!$A492)), 1), B491))"),"JZRVPVRZH")</f>
        <v>JZRVPVRZH</v>
      </c>
      <c r="C492" s="2" t="str">
        <f>IFERROR(__xludf.DUMMYFUNCTION("IF('From Order'!$A492=COLUMNS($A492:C511), LEFT(INDEX(FILTER(C$1:C491, C$1:C491&lt;&gt;""""),COUNTA(FILTER(C$1:C491, C$1:C491&lt;&gt;""""))), LEN(INDEX(FILTER(C$1:C491, C$1:C491&lt;&gt;""""),COUNTA(FILTER(C$1:C491, C$1:C491&lt;&gt;""""))))-1), IF('To Order'!$A492=COLUMNS($A492:C"&amp;"511), C491&amp;RIGHT(INDIRECT(ADDRESS(ROW(C492)-1, 'From Order'!$A492)), 1), C491))"),"SMFBBRQPDSSGHWPBCVT")</f>
        <v>SMFBBRQPDSSGHWPBCVT</v>
      </c>
      <c r="D492" s="2" t="str">
        <f>IFERROR(__xludf.DUMMYFUNCTION("IF('From Order'!$A492=COLUMNS($A492:D511), LEFT(INDEX(FILTER(D$1:D491, D$1:D491&lt;&gt;""""),COUNTA(FILTER(D$1:D491, D$1:D491&lt;&gt;""""))), LEN(INDEX(FILTER(D$1:D491, D$1:D491&lt;&gt;""""),COUNTA(FILTER(D$1:D491, D$1:D491&lt;&gt;""""))))-1), IF('To Order'!$A492=COLUMNS($A492:D"&amp;"511), D491&amp;RIGHT(INDIRECT(ADDRESS(ROW(D492)-1, 'From Order'!$A492)), 1), D491))"),"")</f>
        <v/>
      </c>
      <c r="E492" s="2" t="str">
        <f>IFERROR(__xludf.DUMMYFUNCTION("IF('From Order'!$A492=COLUMNS($A492:E511), LEFT(INDEX(FILTER(E$1:E491, E$1:E491&lt;&gt;""""),COUNTA(FILTER(E$1:E491, E$1:E491&lt;&gt;""""))), LEN(INDEX(FILTER(E$1:E491, E$1:E491&lt;&gt;""""),COUNTA(FILTER(E$1:E491, E$1:E491&lt;&gt;""""))))-1), IF('To Order'!$A492=COLUMNS($A492:E"&amp;"511), E491&amp;RIGHT(INDIRECT(ADDRESS(ROW(E492)-1, 'From Order'!$A492)), 1), E491))"),"LBSGDT")</f>
        <v>LBSGDT</v>
      </c>
      <c r="F492" s="2" t="str">
        <f>IFERROR(__xludf.DUMMYFUNCTION("IF('From Order'!$A492=COLUMNS($A492:F511), LEFT(INDEX(FILTER(F$1:F491, F$1:F491&lt;&gt;""""),COUNTA(FILTER(F$1:F491, F$1:F491&lt;&gt;""""))), LEN(INDEX(FILTER(F$1:F491, F$1:F491&lt;&gt;""""),COUNTA(FILTER(F$1:F491, F$1:F491&lt;&gt;""""))))-1), IF('To Order'!$A492=COLUMNS($A492:F"&amp;"511), F491&amp;RIGHT(INDIRECT(ADDRESS(ROW(F492)-1, 'From Order'!$A492)), 1), F491))"),"JLCTFTMQCDTRLDRWTJ")</f>
        <v>JLCTFTMQCDTRLDRWTJ</v>
      </c>
      <c r="G492" s="2" t="str">
        <f>IFERROR(__xludf.DUMMYFUNCTION("IF('From Order'!$A492=COLUMNS($A492:G511), LEFT(INDEX(FILTER(G$1:G491, G$1:G491&lt;&gt;""""),COUNTA(FILTER(G$1:G491, G$1:G491&lt;&gt;""""))), LEN(INDEX(FILTER(G$1:G491, G$1:G491&lt;&gt;""""),COUNTA(FILTER(G$1:G491, G$1:G491&lt;&gt;""""))))-1), IF('To Order'!$A492=COLUMNS($A492:G"&amp;"511), G491&amp;RIGHT(INDIRECT(ADDRESS(ROW(G492)-1, 'From Order'!$A492)), 1), G491))"),"")</f>
        <v/>
      </c>
      <c r="H492" s="2" t="str">
        <f>IFERROR(__xludf.DUMMYFUNCTION("IF('From Order'!$A492=COLUMNS($A492:H511), LEFT(INDEX(FILTER(H$1:H491, H$1:H491&lt;&gt;""""),COUNTA(FILTER(H$1:H491, H$1:H491&lt;&gt;""""))), LEN(INDEX(FILTER(H$1:H491, H$1:H491&lt;&gt;""""),COUNTA(FILTER(H$1:H491, H$1:H491&lt;&gt;""""))))-1), IF('To Order'!$A492=COLUMNS($A492:H"&amp;"511), H491&amp;RIGHT(INDIRECT(ADDRESS(ROW(H492)-1, 'From Order'!$A492)), 1), H491))"),"ZMD")</f>
        <v>ZMD</v>
      </c>
      <c r="I492" s="2" t="str">
        <f>IFERROR(__xludf.DUMMYFUNCTION("IF('From Order'!$A492=COLUMNS($A492:I511), LEFT(INDEX(FILTER(I$1:I491, I$1:I491&lt;&gt;""""),COUNTA(FILTER(I$1:I491, I$1:I491&lt;&gt;""""))), LEN(INDEX(FILTER(I$1:I491, I$1:I491&lt;&gt;""""),COUNTA(FILTER(I$1:I491, I$1:I491&lt;&gt;""""))))-1), IF('To Order'!$A492=COLUMNS($A492:I"&amp;"511), I491&amp;RIGHT(INDIRECT(ADDRESS(ROW(I492)-1, 'From Order'!$A492)), 1), I491))"),"D")</f>
        <v>D</v>
      </c>
    </row>
    <row r="493">
      <c r="A493" s="2" t="str">
        <f>IFERROR(__xludf.DUMMYFUNCTION("IF('From Order'!$A493=COLUMNS($A493:A512), LEFT(INDEX(FILTER(A$1:A492, A$1:A492&lt;&gt;""""),COUNTA(FILTER(A$1:A492, A$1:A492&lt;&gt;""""))), LEN(INDEX(FILTER(A$1:A492, A$1:A492&lt;&gt;""""),COUNTA(FILTER(A$1:A492, A$1:A492&lt;&gt;""""))))-1), IF('To Order'!$A493=COLUMNS($A493:A"&amp;"512), A492&amp;RIGHT(INDIRECT(ADDRESS(ROW(A493)-1, 'From Order'!$A493)), 1), A492))"),"")</f>
        <v/>
      </c>
      <c r="B493" s="2" t="str">
        <f>IFERROR(__xludf.DUMMYFUNCTION("IF('From Order'!$A493=COLUMNS($A493:B512), LEFT(INDEX(FILTER(B$1:B492, B$1:B492&lt;&gt;""""),COUNTA(FILTER(B$1:B492, B$1:B492&lt;&gt;""""))), LEN(INDEX(FILTER(B$1:B492, B$1:B492&lt;&gt;""""),COUNTA(FILTER(B$1:B492, B$1:B492&lt;&gt;""""))))-1), IF('To Order'!$A493=COLUMNS($A493:B"&amp;"512), B492&amp;RIGHT(INDIRECT(ADDRESS(ROW(B493)-1, 'From Order'!$A493)), 1), B492))"),"JZRVPVRZH")</f>
        <v>JZRVPVRZH</v>
      </c>
      <c r="C493" s="2" t="str">
        <f>IFERROR(__xludf.DUMMYFUNCTION("IF('From Order'!$A493=COLUMNS($A493:C512), LEFT(INDEX(FILTER(C$1:C492, C$1:C492&lt;&gt;""""),COUNTA(FILTER(C$1:C492, C$1:C492&lt;&gt;""""))), LEN(INDEX(FILTER(C$1:C492, C$1:C492&lt;&gt;""""),COUNTA(FILTER(C$1:C492, C$1:C492&lt;&gt;""""))))-1), IF('To Order'!$A493=COLUMNS($A493:C"&amp;"512), C492&amp;RIGHT(INDIRECT(ADDRESS(ROW(C493)-1, 'From Order'!$A493)), 1), C492))"),"SMFBBRQPDSSGHWPBCV")</f>
        <v>SMFBBRQPDSSGHWPBCV</v>
      </c>
      <c r="D493" s="2" t="str">
        <f>IFERROR(__xludf.DUMMYFUNCTION("IF('From Order'!$A493=COLUMNS($A493:D512), LEFT(INDEX(FILTER(D$1:D492, D$1:D492&lt;&gt;""""),COUNTA(FILTER(D$1:D492, D$1:D492&lt;&gt;""""))), LEN(INDEX(FILTER(D$1:D492, D$1:D492&lt;&gt;""""),COUNTA(FILTER(D$1:D492, D$1:D492&lt;&gt;""""))))-1), IF('To Order'!$A493=COLUMNS($A493:D"&amp;"512), D492&amp;RIGHT(INDIRECT(ADDRESS(ROW(D493)-1, 'From Order'!$A493)), 1), D492))"),"")</f>
        <v/>
      </c>
      <c r="E493" s="2" t="str">
        <f>IFERROR(__xludf.DUMMYFUNCTION("IF('From Order'!$A493=COLUMNS($A493:E512), LEFT(INDEX(FILTER(E$1:E492, E$1:E492&lt;&gt;""""),COUNTA(FILTER(E$1:E492, E$1:E492&lt;&gt;""""))), LEN(INDEX(FILTER(E$1:E492, E$1:E492&lt;&gt;""""),COUNTA(FILTER(E$1:E492, E$1:E492&lt;&gt;""""))))-1), IF('To Order'!$A493=COLUMNS($A493:E"&amp;"512), E492&amp;RIGHT(INDIRECT(ADDRESS(ROW(E493)-1, 'From Order'!$A493)), 1), E492))"),"LBSGDT")</f>
        <v>LBSGDT</v>
      </c>
      <c r="F493" s="2" t="str">
        <f>IFERROR(__xludf.DUMMYFUNCTION("IF('From Order'!$A493=COLUMNS($A493:F512), LEFT(INDEX(FILTER(F$1:F492, F$1:F492&lt;&gt;""""),COUNTA(FILTER(F$1:F492, F$1:F492&lt;&gt;""""))), LEN(INDEX(FILTER(F$1:F492, F$1:F492&lt;&gt;""""),COUNTA(FILTER(F$1:F492, F$1:F492&lt;&gt;""""))))-1), IF('To Order'!$A493=COLUMNS($A493:F"&amp;"512), F492&amp;RIGHT(INDIRECT(ADDRESS(ROW(F493)-1, 'From Order'!$A493)), 1), F492))"),"JLCTFTMQCDTRLDRWTJT")</f>
        <v>JLCTFTMQCDTRLDRWTJT</v>
      </c>
      <c r="G493" s="2" t="str">
        <f>IFERROR(__xludf.DUMMYFUNCTION("IF('From Order'!$A493=COLUMNS($A493:G512), LEFT(INDEX(FILTER(G$1:G492, G$1:G492&lt;&gt;""""),COUNTA(FILTER(G$1:G492, G$1:G492&lt;&gt;""""))), LEN(INDEX(FILTER(G$1:G492, G$1:G492&lt;&gt;""""),COUNTA(FILTER(G$1:G492, G$1:G492&lt;&gt;""""))))-1), IF('To Order'!$A493=COLUMNS($A493:G"&amp;"512), G492&amp;RIGHT(INDIRECT(ADDRESS(ROW(G493)-1, 'From Order'!$A493)), 1), G492))"),"")</f>
        <v/>
      </c>
      <c r="H493" s="2" t="str">
        <f>IFERROR(__xludf.DUMMYFUNCTION("IF('From Order'!$A493=COLUMNS($A493:H512), LEFT(INDEX(FILTER(H$1:H492, H$1:H492&lt;&gt;""""),COUNTA(FILTER(H$1:H492, H$1:H492&lt;&gt;""""))), LEN(INDEX(FILTER(H$1:H492, H$1:H492&lt;&gt;""""),COUNTA(FILTER(H$1:H492, H$1:H492&lt;&gt;""""))))-1), IF('To Order'!$A493=COLUMNS($A493:H"&amp;"512), H492&amp;RIGHT(INDIRECT(ADDRESS(ROW(H493)-1, 'From Order'!$A493)), 1), H492))"),"ZMD")</f>
        <v>ZMD</v>
      </c>
      <c r="I493" s="2" t="str">
        <f>IFERROR(__xludf.DUMMYFUNCTION("IF('From Order'!$A493=COLUMNS($A493:I512), LEFT(INDEX(FILTER(I$1:I492, I$1:I492&lt;&gt;""""),COUNTA(FILTER(I$1:I492, I$1:I492&lt;&gt;""""))), LEN(INDEX(FILTER(I$1:I492, I$1:I492&lt;&gt;""""),COUNTA(FILTER(I$1:I492, I$1:I492&lt;&gt;""""))))-1), IF('To Order'!$A493=COLUMNS($A493:I"&amp;"512), I492&amp;RIGHT(INDIRECT(ADDRESS(ROW(I493)-1, 'From Order'!$A493)), 1), I492))"),"D")</f>
        <v>D</v>
      </c>
    </row>
    <row r="494">
      <c r="A494" s="2" t="str">
        <f>IFERROR(__xludf.DUMMYFUNCTION("IF('From Order'!$A494=COLUMNS($A494:A513), LEFT(INDEX(FILTER(A$1:A493, A$1:A493&lt;&gt;""""),COUNTA(FILTER(A$1:A493, A$1:A493&lt;&gt;""""))), LEN(INDEX(FILTER(A$1:A493, A$1:A493&lt;&gt;""""),COUNTA(FILTER(A$1:A493, A$1:A493&lt;&gt;""""))))-1), IF('To Order'!$A494=COLUMNS($A494:A"&amp;"513), A493&amp;RIGHT(INDIRECT(ADDRESS(ROW(A494)-1, 'From Order'!$A494)), 1), A493))"),"")</f>
        <v/>
      </c>
      <c r="B494" s="2" t="str">
        <f>IFERROR(__xludf.DUMMYFUNCTION("IF('From Order'!$A494=COLUMNS($A494:B513), LEFT(INDEX(FILTER(B$1:B493, B$1:B493&lt;&gt;""""),COUNTA(FILTER(B$1:B493, B$1:B493&lt;&gt;""""))), LEN(INDEX(FILTER(B$1:B493, B$1:B493&lt;&gt;""""),COUNTA(FILTER(B$1:B493, B$1:B493&lt;&gt;""""))))-1), IF('To Order'!$A494=COLUMNS($A494:B"&amp;"513), B493&amp;RIGHT(INDIRECT(ADDRESS(ROW(B494)-1, 'From Order'!$A494)), 1), B493))"),"JZRVPVRZH")</f>
        <v>JZRVPVRZH</v>
      </c>
      <c r="C494" s="2" t="str">
        <f>IFERROR(__xludf.DUMMYFUNCTION("IF('From Order'!$A494=COLUMNS($A494:C513), LEFT(INDEX(FILTER(C$1:C493, C$1:C493&lt;&gt;""""),COUNTA(FILTER(C$1:C493, C$1:C493&lt;&gt;""""))), LEN(INDEX(FILTER(C$1:C493, C$1:C493&lt;&gt;""""),COUNTA(FILTER(C$1:C493, C$1:C493&lt;&gt;""""))))-1), IF('To Order'!$A494=COLUMNS($A494:C"&amp;"513), C493&amp;RIGHT(INDIRECT(ADDRESS(ROW(C494)-1, 'From Order'!$A494)), 1), C493))"),"SMFBBRQPDSSGHWPBC")</f>
        <v>SMFBBRQPDSSGHWPBC</v>
      </c>
      <c r="D494" s="2" t="str">
        <f>IFERROR(__xludf.DUMMYFUNCTION("IF('From Order'!$A494=COLUMNS($A494:D513), LEFT(INDEX(FILTER(D$1:D493, D$1:D493&lt;&gt;""""),COUNTA(FILTER(D$1:D493, D$1:D493&lt;&gt;""""))), LEN(INDEX(FILTER(D$1:D493, D$1:D493&lt;&gt;""""),COUNTA(FILTER(D$1:D493, D$1:D493&lt;&gt;""""))))-1), IF('To Order'!$A494=COLUMNS($A494:D"&amp;"513), D493&amp;RIGHT(INDIRECT(ADDRESS(ROW(D494)-1, 'From Order'!$A494)), 1), D493))"),"")</f>
        <v/>
      </c>
      <c r="E494" s="2" t="str">
        <f>IFERROR(__xludf.DUMMYFUNCTION("IF('From Order'!$A494=COLUMNS($A494:E513), LEFT(INDEX(FILTER(E$1:E493, E$1:E493&lt;&gt;""""),COUNTA(FILTER(E$1:E493, E$1:E493&lt;&gt;""""))), LEN(INDEX(FILTER(E$1:E493, E$1:E493&lt;&gt;""""),COUNTA(FILTER(E$1:E493, E$1:E493&lt;&gt;""""))))-1), IF('To Order'!$A494=COLUMNS($A494:E"&amp;"513), E493&amp;RIGHT(INDIRECT(ADDRESS(ROW(E494)-1, 'From Order'!$A494)), 1), E493))"),"LBSGDT")</f>
        <v>LBSGDT</v>
      </c>
      <c r="F494" s="2" t="str">
        <f>IFERROR(__xludf.DUMMYFUNCTION("IF('From Order'!$A494=COLUMNS($A494:F513), LEFT(INDEX(FILTER(F$1:F493, F$1:F493&lt;&gt;""""),COUNTA(FILTER(F$1:F493, F$1:F493&lt;&gt;""""))), LEN(INDEX(FILTER(F$1:F493, F$1:F493&lt;&gt;""""),COUNTA(FILTER(F$1:F493, F$1:F493&lt;&gt;""""))))-1), IF('To Order'!$A494=COLUMNS($A494:F"&amp;"513), F493&amp;RIGHT(INDIRECT(ADDRESS(ROW(F494)-1, 'From Order'!$A494)), 1), F493))"),"JLCTFTMQCDTRLDRWTJTV")</f>
        <v>JLCTFTMQCDTRLDRWTJTV</v>
      </c>
      <c r="G494" s="2" t="str">
        <f>IFERROR(__xludf.DUMMYFUNCTION("IF('From Order'!$A494=COLUMNS($A494:G513), LEFT(INDEX(FILTER(G$1:G493, G$1:G493&lt;&gt;""""),COUNTA(FILTER(G$1:G493, G$1:G493&lt;&gt;""""))), LEN(INDEX(FILTER(G$1:G493, G$1:G493&lt;&gt;""""),COUNTA(FILTER(G$1:G493, G$1:G493&lt;&gt;""""))))-1), IF('To Order'!$A494=COLUMNS($A494:G"&amp;"513), G493&amp;RIGHT(INDIRECT(ADDRESS(ROW(G494)-1, 'From Order'!$A494)), 1), G493))"),"")</f>
        <v/>
      </c>
      <c r="H494" s="2" t="str">
        <f>IFERROR(__xludf.DUMMYFUNCTION("IF('From Order'!$A494=COLUMNS($A494:H513), LEFT(INDEX(FILTER(H$1:H493, H$1:H493&lt;&gt;""""),COUNTA(FILTER(H$1:H493, H$1:H493&lt;&gt;""""))), LEN(INDEX(FILTER(H$1:H493, H$1:H493&lt;&gt;""""),COUNTA(FILTER(H$1:H493, H$1:H493&lt;&gt;""""))))-1), IF('To Order'!$A494=COLUMNS($A494:H"&amp;"513), H493&amp;RIGHT(INDIRECT(ADDRESS(ROW(H494)-1, 'From Order'!$A494)), 1), H493))"),"ZMD")</f>
        <v>ZMD</v>
      </c>
      <c r="I494" s="2" t="str">
        <f>IFERROR(__xludf.DUMMYFUNCTION("IF('From Order'!$A494=COLUMNS($A494:I513), LEFT(INDEX(FILTER(I$1:I493, I$1:I493&lt;&gt;""""),COUNTA(FILTER(I$1:I493, I$1:I493&lt;&gt;""""))), LEN(INDEX(FILTER(I$1:I493, I$1:I493&lt;&gt;""""),COUNTA(FILTER(I$1:I493, I$1:I493&lt;&gt;""""))))-1), IF('To Order'!$A494=COLUMNS($A494:I"&amp;"513), I493&amp;RIGHT(INDIRECT(ADDRESS(ROW(I494)-1, 'From Order'!$A494)), 1), I493))"),"D")</f>
        <v>D</v>
      </c>
    </row>
    <row r="495">
      <c r="A495" s="2" t="str">
        <f>IFERROR(__xludf.DUMMYFUNCTION("IF('From Order'!$A495=COLUMNS($A495:A514), LEFT(INDEX(FILTER(A$1:A494, A$1:A494&lt;&gt;""""),COUNTA(FILTER(A$1:A494, A$1:A494&lt;&gt;""""))), LEN(INDEX(FILTER(A$1:A494, A$1:A494&lt;&gt;""""),COUNTA(FILTER(A$1:A494, A$1:A494&lt;&gt;""""))))-1), IF('To Order'!$A495=COLUMNS($A495:A"&amp;"514), A494&amp;RIGHT(INDIRECT(ADDRESS(ROW(A495)-1, 'From Order'!$A495)), 1), A494))"),"")</f>
        <v/>
      </c>
      <c r="B495" s="2" t="str">
        <f>IFERROR(__xludf.DUMMYFUNCTION("IF('From Order'!$A495=COLUMNS($A495:B514), LEFT(INDEX(FILTER(B$1:B494, B$1:B494&lt;&gt;""""),COUNTA(FILTER(B$1:B494, B$1:B494&lt;&gt;""""))), LEN(INDEX(FILTER(B$1:B494, B$1:B494&lt;&gt;""""),COUNTA(FILTER(B$1:B494, B$1:B494&lt;&gt;""""))))-1), IF('To Order'!$A495=COLUMNS($A495:B"&amp;"514), B494&amp;RIGHT(INDIRECT(ADDRESS(ROW(B495)-1, 'From Order'!$A495)), 1), B494))"),"JZRVPVRZH")</f>
        <v>JZRVPVRZH</v>
      </c>
      <c r="C495" s="2" t="str">
        <f>IFERROR(__xludf.DUMMYFUNCTION("IF('From Order'!$A495=COLUMNS($A495:C514), LEFT(INDEX(FILTER(C$1:C494, C$1:C494&lt;&gt;""""),COUNTA(FILTER(C$1:C494, C$1:C494&lt;&gt;""""))), LEN(INDEX(FILTER(C$1:C494, C$1:C494&lt;&gt;""""),COUNTA(FILTER(C$1:C494, C$1:C494&lt;&gt;""""))))-1), IF('To Order'!$A495=COLUMNS($A495:C"&amp;"514), C494&amp;RIGHT(INDIRECT(ADDRESS(ROW(C495)-1, 'From Order'!$A495)), 1), C494))"),"SMFBBRQPDSSGHWPB")</f>
        <v>SMFBBRQPDSSGHWPB</v>
      </c>
      <c r="D495" s="2" t="str">
        <f>IFERROR(__xludf.DUMMYFUNCTION("IF('From Order'!$A495=COLUMNS($A495:D514), LEFT(INDEX(FILTER(D$1:D494, D$1:D494&lt;&gt;""""),COUNTA(FILTER(D$1:D494, D$1:D494&lt;&gt;""""))), LEN(INDEX(FILTER(D$1:D494, D$1:D494&lt;&gt;""""),COUNTA(FILTER(D$1:D494, D$1:D494&lt;&gt;""""))))-1), IF('To Order'!$A495=COLUMNS($A495:D"&amp;"514), D494&amp;RIGHT(INDIRECT(ADDRESS(ROW(D495)-1, 'From Order'!$A495)), 1), D494))"),"")</f>
        <v/>
      </c>
      <c r="E495" s="2" t="str">
        <f>IFERROR(__xludf.DUMMYFUNCTION("IF('From Order'!$A495=COLUMNS($A495:E514), LEFT(INDEX(FILTER(E$1:E494, E$1:E494&lt;&gt;""""),COUNTA(FILTER(E$1:E494, E$1:E494&lt;&gt;""""))), LEN(INDEX(FILTER(E$1:E494, E$1:E494&lt;&gt;""""),COUNTA(FILTER(E$1:E494, E$1:E494&lt;&gt;""""))))-1), IF('To Order'!$A495=COLUMNS($A495:E"&amp;"514), E494&amp;RIGHT(INDIRECT(ADDRESS(ROW(E495)-1, 'From Order'!$A495)), 1), E494))"),"LBSGDT")</f>
        <v>LBSGDT</v>
      </c>
      <c r="F495" s="2" t="str">
        <f>IFERROR(__xludf.DUMMYFUNCTION("IF('From Order'!$A495=COLUMNS($A495:F514), LEFT(INDEX(FILTER(F$1:F494, F$1:F494&lt;&gt;""""),COUNTA(FILTER(F$1:F494, F$1:F494&lt;&gt;""""))), LEN(INDEX(FILTER(F$1:F494, F$1:F494&lt;&gt;""""),COUNTA(FILTER(F$1:F494, F$1:F494&lt;&gt;""""))))-1), IF('To Order'!$A495=COLUMNS($A495:F"&amp;"514), F494&amp;RIGHT(INDIRECT(ADDRESS(ROW(F495)-1, 'From Order'!$A495)), 1), F494))"),"JLCTFTMQCDTRLDRWTJTVC")</f>
        <v>JLCTFTMQCDTRLDRWTJTVC</v>
      </c>
      <c r="G495" s="2" t="str">
        <f>IFERROR(__xludf.DUMMYFUNCTION("IF('From Order'!$A495=COLUMNS($A495:G514), LEFT(INDEX(FILTER(G$1:G494, G$1:G494&lt;&gt;""""),COUNTA(FILTER(G$1:G494, G$1:G494&lt;&gt;""""))), LEN(INDEX(FILTER(G$1:G494, G$1:G494&lt;&gt;""""),COUNTA(FILTER(G$1:G494, G$1:G494&lt;&gt;""""))))-1), IF('To Order'!$A495=COLUMNS($A495:G"&amp;"514), G494&amp;RIGHT(INDIRECT(ADDRESS(ROW(G495)-1, 'From Order'!$A495)), 1), G494))"),"")</f>
        <v/>
      </c>
      <c r="H495" s="2" t="str">
        <f>IFERROR(__xludf.DUMMYFUNCTION("IF('From Order'!$A495=COLUMNS($A495:H514), LEFT(INDEX(FILTER(H$1:H494, H$1:H494&lt;&gt;""""),COUNTA(FILTER(H$1:H494, H$1:H494&lt;&gt;""""))), LEN(INDEX(FILTER(H$1:H494, H$1:H494&lt;&gt;""""),COUNTA(FILTER(H$1:H494, H$1:H494&lt;&gt;""""))))-1), IF('To Order'!$A495=COLUMNS($A495:H"&amp;"514), H494&amp;RIGHT(INDIRECT(ADDRESS(ROW(H495)-1, 'From Order'!$A495)), 1), H494))"),"ZMD")</f>
        <v>ZMD</v>
      </c>
      <c r="I495" s="2" t="str">
        <f>IFERROR(__xludf.DUMMYFUNCTION("IF('From Order'!$A495=COLUMNS($A495:I514), LEFT(INDEX(FILTER(I$1:I494, I$1:I494&lt;&gt;""""),COUNTA(FILTER(I$1:I494, I$1:I494&lt;&gt;""""))), LEN(INDEX(FILTER(I$1:I494, I$1:I494&lt;&gt;""""),COUNTA(FILTER(I$1:I494, I$1:I494&lt;&gt;""""))))-1), IF('To Order'!$A495=COLUMNS($A495:I"&amp;"514), I494&amp;RIGHT(INDIRECT(ADDRESS(ROW(I495)-1, 'From Order'!$A495)), 1), I494))"),"D")</f>
        <v>D</v>
      </c>
    </row>
    <row r="496">
      <c r="A496" s="2" t="str">
        <f>IFERROR(__xludf.DUMMYFUNCTION("IF('From Order'!$A496=COLUMNS($A496:A515), LEFT(INDEX(FILTER(A$1:A495, A$1:A495&lt;&gt;""""),COUNTA(FILTER(A$1:A495, A$1:A495&lt;&gt;""""))), LEN(INDEX(FILTER(A$1:A495, A$1:A495&lt;&gt;""""),COUNTA(FILTER(A$1:A495, A$1:A495&lt;&gt;""""))))-1), IF('To Order'!$A496=COLUMNS($A496:A"&amp;"515), A495&amp;RIGHT(INDIRECT(ADDRESS(ROW(A496)-1, 'From Order'!$A496)), 1), A495))"),"")</f>
        <v/>
      </c>
      <c r="B496" s="2" t="str">
        <f>IFERROR(__xludf.DUMMYFUNCTION("IF('From Order'!$A496=COLUMNS($A496:B515), LEFT(INDEX(FILTER(B$1:B495, B$1:B495&lt;&gt;""""),COUNTA(FILTER(B$1:B495, B$1:B495&lt;&gt;""""))), LEN(INDEX(FILTER(B$1:B495, B$1:B495&lt;&gt;""""),COUNTA(FILTER(B$1:B495, B$1:B495&lt;&gt;""""))))-1), IF('To Order'!$A496=COLUMNS($A496:B"&amp;"515), B495&amp;RIGHT(INDIRECT(ADDRESS(ROW(B496)-1, 'From Order'!$A496)), 1), B495))"),"JZRVPVRZH")</f>
        <v>JZRVPVRZH</v>
      </c>
      <c r="C496" s="2" t="str">
        <f>IFERROR(__xludf.DUMMYFUNCTION("IF('From Order'!$A496=COLUMNS($A496:C515), LEFT(INDEX(FILTER(C$1:C495, C$1:C495&lt;&gt;""""),COUNTA(FILTER(C$1:C495, C$1:C495&lt;&gt;""""))), LEN(INDEX(FILTER(C$1:C495, C$1:C495&lt;&gt;""""),COUNTA(FILTER(C$1:C495, C$1:C495&lt;&gt;""""))))-1), IF('To Order'!$A496=COLUMNS($A496:C"&amp;"515), C495&amp;RIGHT(INDIRECT(ADDRESS(ROW(C496)-1, 'From Order'!$A496)), 1), C495))"),"SMFBBRQPDSSGHWP")</f>
        <v>SMFBBRQPDSSGHWP</v>
      </c>
      <c r="D496" s="2" t="str">
        <f>IFERROR(__xludf.DUMMYFUNCTION("IF('From Order'!$A496=COLUMNS($A496:D515), LEFT(INDEX(FILTER(D$1:D495, D$1:D495&lt;&gt;""""),COUNTA(FILTER(D$1:D495, D$1:D495&lt;&gt;""""))), LEN(INDEX(FILTER(D$1:D495, D$1:D495&lt;&gt;""""),COUNTA(FILTER(D$1:D495, D$1:D495&lt;&gt;""""))))-1), IF('To Order'!$A496=COLUMNS($A496:D"&amp;"515), D495&amp;RIGHT(INDIRECT(ADDRESS(ROW(D496)-1, 'From Order'!$A496)), 1), D495))"),"")</f>
        <v/>
      </c>
      <c r="E496" s="2" t="str">
        <f>IFERROR(__xludf.DUMMYFUNCTION("IF('From Order'!$A496=COLUMNS($A496:E515), LEFT(INDEX(FILTER(E$1:E495, E$1:E495&lt;&gt;""""),COUNTA(FILTER(E$1:E495, E$1:E495&lt;&gt;""""))), LEN(INDEX(FILTER(E$1:E495, E$1:E495&lt;&gt;""""),COUNTA(FILTER(E$1:E495, E$1:E495&lt;&gt;""""))))-1), IF('To Order'!$A496=COLUMNS($A496:E"&amp;"515), E495&amp;RIGHT(INDIRECT(ADDRESS(ROW(E496)-1, 'From Order'!$A496)), 1), E495))"),"LBSGDT")</f>
        <v>LBSGDT</v>
      </c>
      <c r="F496" s="2" t="str">
        <f>IFERROR(__xludf.DUMMYFUNCTION("IF('From Order'!$A496=COLUMNS($A496:F515), LEFT(INDEX(FILTER(F$1:F495, F$1:F495&lt;&gt;""""),COUNTA(FILTER(F$1:F495, F$1:F495&lt;&gt;""""))), LEN(INDEX(FILTER(F$1:F495, F$1:F495&lt;&gt;""""),COUNTA(FILTER(F$1:F495, F$1:F495&lt;&gt;""""))))-1), IF('To Order'!$A496=COLUMNS($A496:F"&amp;"515), F495&amp;RIGHT(INDIRECT(ADDRESS(ROW(F496)-1, 'From Order'!$A496)), 1), F495))"),"JLCTFTMQCDTRLDRWTJTVCB")</f>
        <v>JLCTFTMQCDTRLDRWTJTVCB</v>
      </c>
      <c r="G496" s="2" t="str">
        <f>IFERROR(__xludf.DUMMYFUNCTION("IF('From Order'!$A496=COLUMNS($A496:G515), LEFT(INDEX(FILTER(G$1:G495, G$1:G495&lt;&gt;""""),COUNTA(FILTER(G$1:G495, G$1:G495&lt;&gt;""""))), LEN(INDEX(FILTER(G$1:G495, G$1:G495&lt;&gt;""""),COUNTA(FILTER(G$1:G495, G$1:G495&lt;&gt;""""))))-1), IF('To Order'!$A496=COLUMNS($A496:G"&amp;"515), G495&amp;RIGHT(INDIRECT(ADDRESS(ROW(G496)-1, 'From Order'!$A496)), 1), G495))"),"")</f>
        <v/>
      </c>
      <c r="H496" s="2" t="str">
        <f>IFERROR(__xludf.DUMMYFUNCTION("IF('From Order'!$A496=COLUMNS($A496:H515), LEFT(INDEX(FILTER(H$1:H495, H$1:H495&lt;&gt;""""),COUNTA(FILTER(H$1:H495, H$1:H495&lt;&gt;""""))), LEN(INDEX(FILTER(H$1:H495, H$1:H495&lt;&gt;""""),COUNTA(FILTER(H$1:H495, H$1:H495&lt;&gt;""""))))-1), IF('To Order'!$A496=COLUMNS($A496:H"&amp;"515), H495&amp;RIGHT(INDIRECT(ADDRESS(ROW(H496)-1, 'From Order'!$A496)), 1), H495))"),"ZMD")</f>
        <v>ZMD</v>
      </c>
      <c r="I496" s="2" t="str">
        <f>IFERROR(__xludf.DUMMYFUNCTION("IF('From Order'!$A496=COLUMNS($A496:I515), LEFT(INDEX(FILTER(I$1:I495, I$1:I495&lt;&gt;""""),COUNTA(FILTER(I$1:I495, I$1:I495&lt;&gt;""""))), LEN(INDEX(FILTER(I$1:I495, I$1:I495&lt;&gt;""""),COUNTA(FILTER(I$1:I495, I$1:I495&lt;&gt;""""))))-1), IF('To Order'!$A496=COLUMNS($A496:I"&amp;"515), I495&amp;RIGHT(INDIRECT(ADDRESS(ROW(I496)-1, 'From Order'!$A496)), 1), I495))"),"D")</f>
        <v>D</v>
      </c>
    </row>
    <row r="497">
      <c r="A497" s="2" t="str">
        <f>IFERROR(__xludf.DUMMYFUNCTION("IF('From Order'!$A497=COLUMNS($A497:A516), LEFT(INDEX(FILTER(A$1:A496, A$1:A496&lt;&gt;""""),COUNTA(FILTER(A$1:A496, A$1:A496&lt;&gt;""""))), LEN(INDEX(FILTER(A$1:A496, A$1:A496&lt;&gt;""""),COUNTA(FILTER(A$1:A496, A$1:A496&lt;&gt;""""))))-1), IF('To Order'!$A497=COLUMNS($A497:A"&amp;"516), A496&amp;RIGHT(INDIRECT(ADDRESS(ROW(A497)-1, 'From Order'!$A497)), 1), A496))"),"")</f>
        <v/>
      </c>
      <c r="B497" s="2" t="str">
        <f>IFERROR(__xludf.DUMMYFUNCTION("IF('From Order'!$A497=COLUMNS($A497:B516), LEFT(INDEX(FILTER(B$1:B496, B$1:B496&lt;&gt;""""),COUNTA(FILTER(B$1:B496, B$1:B496&lt;&gt;""""))), LEN(INDEX(FILTER(B$1:B496, B$1:B496&lt;&gt;""""),COUNTA(FILTER(B$1:B496, B$1:B496&lt;&gt;""""))))-1), IF('To Order'!$A497=COLUMNS($A497:B"&amp;"516), B496&amp;RIGHT(INDIRECT(ADDRESS(ROW(B497)-1, 'From Order'!$A497)), 1), B496))"),"JZRVPVRZH")</f>
        <v>JZRVPVRZH</v>
      </c>
      <c r="C497" s="2" t="str">
        <f>IFERROR(__xludf.DUMMYFUNCTION("IF('From Order'!$A497=COLUMNS($A497:C516), LEFT(INDEX(FILTER(C$1:C496, C$1:C496&lt;&gt;""""),COUNTA(FILTER(C$1:C496, C$1:C496&lt;&gt;""""))), LEN(INDEX(FILTER(C$1:C496, C$1:C496&lt;&gt;""""),COUNTA(FILTER(C$1:C496, C$1:C496&lt;&gt;""""))))-1), IF('To Order'!$A497=COLUMNS($A497:C"&amp;"516), C496&amp;RIGHT(INDIRECT(ADDRESS(ROW(C497)-1, 'From Order'!$A497)), 1), C496))"),"SMFBBRQPDSSGHW")</f>
        <v>SMFBBRQPDSSGHW</v>
      </c>
      <c r="D497" s="2" t="str">
        <f>IFERROR(__xludf.DUMMYFUNCTION("IF('From Order'!$A497=COLUMNS($A497:D516), LEFT(INDEX(FILTER(D$1:D496, D$1:D496&lt;&gt;""""),COUNTA(FILTER(D$1:D496, D$1:D496&lt;&gt;""""))), LEN(INDEX(FILTER(D$1:D496, D$1:D496&lt;&gt;""""),COUNTA(FILTER(D$1:D496, D$1:D496&lt;&gt;""""))))-1), IF('To Order'!$A497=COLUMNS($A497:D"&amp;"516), D496&amp;RIGHT(INDIRECT(ADDRESS(ROW(D497)-1, 'From Order'!$A497)), 1), D496))"),"")</f>
        <v/>
      </c>
      <c r="E497" s="2" t="str">
        <f>IFERROR(__xludf.DUMMYFUNCTION("IF('From Order'!$A497=COLUMNS($A497:E516), LEFT(INDEX(FILTER(E$1:E496, E$1:E496&lt;&gt;""""),COUNTA(FILTER(E$1:E496, E$1:E496&lt;&gt;""""))), LEN(INDEX(FILTER(E$1:E496, E$1:E496&lt;&gt;""""),COUNTA(FILTER(E$1:E496, E$1:E496&lt;&gt;""""))))-1), IF('To Order'!$A497=COLUMNS($A497:E"&amp;"516), E496&amp;RIGHT(INDIRECT(ADDRESS(ROW(E497)-1, 'From Order'!$A497)), 1), E496))"),"LBSGDT")</f>
        <v>LBSGDT</v>
      </c>
      <c r="F497" s="2" t="str">
        <f>IFERROR(__xludf.DUMMYFUNCTION("IF('From Order'!$A497=COLUMNS($A497:F516), LEFT(INDEX(FILTER(F$1:F496, F$1:F496&lt;&gt;""""),COUNTA(FILTER(F$1:F496, F$1:F496&lt;&gt;""""))), LEN(INDEX(FILTER(F$1:F496, F$1:F496&lt;&gt;""""),COUNTA(FILTER(F$1:F496, F$1:F496&lt;&gt;""""))))-1), IF('To Order'!$A497=COLUMNS($A497:F"&amp;"516), F496&amp;RIGHT(INDIRECT(ADDRESS(ROW(F497)-1, 'From Order'!$A497)), 1), F496))"),"JLCTFTMQCDTRLDRWTJTVCBP")</f>
        <v>JLCTFTMQCDTRLDRWTJTVCBP</v>
      </c>
      <c r="G497" s="2" t="str">
        <f>IFERROR(__xludf.DUMMYFUNCTION("IF('From Order'!$A497=COLUMNS($A497:G516), LEFT(INDEX(FILTER(G$1:G496, G$1:G496&lt;&gt;""""),COUNTA(FILTER(G$1:G496, G$1:G496&lt;&gt;""""))), LEN(INDEX(FILTER(G$1:G496, G$1:G496&lt;&gt;""""),COUNTA(FILTER(G$1:G496, G$1:G496&lt;&gt;""""))))-1), IF('To Order'!$A497=COLUMNS($A497:G"&amp;"516), G496&amp;RIGHT(INDIRECT(ADDRESS(ROW(G497)-1, 'From Order'!$A497)), 1), G496))"),"")</f>
        <v/>
      </c>
      <c r="H497" s="2" t="str">
        <f>IFERROR(__xludf.DUMMYFUNCTION("IF('From Order'!$A497=COLUMNS($A497:H516), LEFT(INDEX(FILTER(H$1:H496, H$1:H496&lt;&gt;""""),COUNTA(FILTER(H$1:H496, H$1:H496&lt;&gt;""""))), LEN(INDEX(FILTER(H$1:H496, H$1:H496&lt;&gt;""""),COUNTA(FILTER(H$1:H496, H$1:H496&lt;&gt;""""))))-1), IF('To Order'!$A497=COLUMNS($A497:H"&amp;"516), H496&amp;RIGHT(INDIRECT(ADDRESS(ROW(H497)-1, 'From Order'!$A497)), 1), H496))"),"ZMD")</f>
        <v>ZMD</v>
      </c>
      <c r="I497" s="2" t="str">
        <f>IFERROR(__xludf.DUMMYFUNCTION("IF('From Order'!$A497=COLUMNS($A497:I516), LEFT(INDEX(FILTER(I$1:I496, I$1:I496&lt;&gt;""""),COUNTA(FILTER(I$1:I496, I$1:I496&lt;&gt;""""))), LEN(INDEX(FILTER(I$1:I496, I$1:I496&lt;&gt;""""),COUNTA(FILTER(I$1:I496, I$1:I496&lt;&gt;""""))))-1), IF('To Order'!$A497=COLUMNS($A497:I"&amp;"516), I496&amp;RIGHT(INDIRECT(ADDRESS(ROW(I497)-1, 'From Order'!$A497)), 1), I496))"),"D")</f>
        <v>D</v>
      </c>
    </row>
    <row r="498">
      <c r="A498" s="2" t="str">
        <f>IFERROR(__xludf.DUMMYFUNCTION("IF('From Order'!$A498=COLUMNS($A498:A517), LEFT(INDEX(FILTER(A$1:A497, A$1:A497&lt;&gt;""""),COUNTA(FILTER(A$1:A497, A$1:A497&lt;&gt;""""))), LEN(INDEX(FILTER(A$1:A497, A$1:A497&lt;&gt;""""),COUNTA(FILTER(A$1:A497, A$1:A497&lt;&gt;""""))))-1), IF('To Order'!$A498=COLUMNS($A498:A"&amp;"517), A497&amp;RIGHT(INDIRECT(ADDRESS(ROW(A498)-1, 'From Order'!$A498)), 1), A497))"),"")</f>
        <v/>
      </c>
      <c r="B498" s="2" t="str">
        <f>IFERROR(__xludf.DUMMYFUNCTION("IF('From Order'!$A498=COLUMNS($A498:B517), LEFT(INDEX(FILTER(B$1:B497, B$1:B497&lt;&gt;""""),COUNTA(FILTER(B$1:B497, B$1:B497&lt;&gt;""""))), LEN(INDEX(FILTER(B$1:B497, B$1:B497&lt;&gt;""""),COUNTA(FILTER(B$1:B497, B$1:B497&lt;&gt;""""))))-1), IF('To Order'!$A498=COLUMNS($A498:B"&amp;"517), B497&amp;RIGHT(INDIRECT(ADDRESS(ROW(B498)-1, 'From Order'!$A498)), 1), B497))"),"JZRVPVRZH")</f>
        <v>JZRVPVRZH</v>
      </c>
      <c r="C498" s="2" t="str">
        <f>IFERROR(__xludf.DUMMYFUNCTION("IF('From Order'!$A498=COLUMNS($A498:C517), LEFT(INDEX(FILTER(C$1:C497, C$1:C497&lt;&gt;""""),COUNTA(FILTER(C$1:C497, C$1:C497&lt;&gt;""""))), LEN(INDEX(FILTER(C$1:C497, C$1:C497&lt;&gt;""""),COUNTA(FILTER(C$1:C497, C$1:C497&lt;&gt;""""))))-1), IF('To Order'!$A498=COLUMNS($A498:C"&amp;"517), C497&amp;RIGHT(INDIRECT(ADDRESS(ROW(C498)-1, 'From Order'!$A498)), 1), C497))"),"SMFBBRQPDSSGH")</f>
        <v>SMFBBRQPDSSGH</v>
      </c>
      <c r="D498" s="2" t="str">
        <f>IFERROR(__xludf.DUMMYFUNCTION("IF('From Order'!$A498=COLUMNS($A498:D517), LEFT(INDEX(FILTER(D$1:D497, D$1:D497&lt;&gt;""""),COUNTA(FILTER(D$1:D497, D$1:D497&lt;&gt;""""))), LEN(INDEX(FILTER(D$1:D497, D$1:D497&lt;&gt;""""),COUNTA(FILTER(D$1:D497, D$1:D497&lt;&gt;""""))))-1), IF('To Order'!$A498=COLUMNS($A498:D"&amp;"517), D497&amp;RIGHT(INDIRECT(ADDRESS(ROW(D498)-1, 'From Order'!$A498)), 1), D497))"),"")</f>
        <v/>
      </c>
      <c r="E498" s="2" t="str">
        <f>IFERROR(__xludf.DUMMYFUNCTION("IF('From Order'!$A498=COLUMNS($A498:E517), LEFT(INDEX(FILTER(E$1:E497, E$1:E497&lt;&gt;""""),COUNTA(FILTER(E$1:E497, E$1:E497&lt;&gt;""""))), LEN(INDEX(FILTER(E$1:E497, E$1:E497&lt;&gt;""""),COUNTA(FILTER(E$1:E497, E$1:E497&lt;&gt;""""))))-1), IF('To Order'!$A498=COLUMNS($A498:E"&amp;"517), E497&amp;RIGHT(INDIRECT(ADDRESS(ROW(E498)-1, 'From Order'!$A498)), 1), E497))"),"LBSGDT")</f>
        <v>LBSGDT</v>
      </c>
      <c r="F498" s="2" t="str">
        <f>IFERROR(__xludf.DUMMYFUNCTION("IF('From Order'!$A498=COLUMNS($A498:F517), LEFT(INDEX(FILTER(F$1:F497, F$1:F497&lt;&gt;""""),COUNTA(FILTER(F$1:F497, F$1:F497&lt;&gt;""""))), LEN(INDEX(FILTER(F$1:F497, F$1:F497&lt;&gt;""""),COUNTA(FILTER(F$1:F497, F$1:F497&lt;&gt;""""))))-1), IF('To Order'!$A498=COLUMNS($A498:F"&amp;"517), F497&amp;RIGHT(INDIRECT(ADDRESS(ROW(F498)-1, 'From Order'!$A498)), 1), F497))"),"JLCTFTMQCDTRLDRWTJTVCBPW")</f>
        <v>JLCTFTMQCDTRLDRWTJTVCBPW</v>
      </c>
      <c r="G498" s="2" t="str">
        <f>IFERROR(__xludf.DUMMYFUNCTION("IF('From Order'!$A498=COLUMNS($A498:G517), LEFT(INDEX(FILTER(G$1:G497, G$1:G497&lt;&gt;""""),COUNTA(FILTER(G$1:G497, G$1:G497&lt;&gt;""""))), LEN(INDEX(FILTER(G$1:G497, G$1:G497&lt;&gt;""""),COUNTA(FILTER(G$1:G497, G$1:G497&lt;&gt;""""))))-1), IF('To Order'!$A498=COLUMNS($A498:G"&amp;"517), G497&amp;RIGHT(INDIRECT(ADDRESS(ROW(G498)-1, 'From Order'!$A498)), 1), G497))"),"")</f>
        <v/>
      </c>
      <c r="H498" s="2" t="str">
        <f>IFERROR(__xludf.DUMMYFUNCTION("IF('From Order'!$A498=COLUMNS($A498:H517), LEFT(INDEX(FILTER(H$1:H497, H$1:H497&lt;&gt;""""),COUNTA(FILTER(H$1:H497, H$1:H497&lt;&gt;""""))), LEN(INDEX(FILTER(H$1:H497, H$1:H497&lt;&gt;""""),COUNTA(FILTER(H$1:H497, H$1:H497&lt;&gt;""""))))-1), IF('To Order'!$A498=COLUMNS($A498:H"&amp;"517), H497&amp;RIGHT(INDIRECT(ADDRESS(ROW(H498)-1, 'From Order'!$A498)), 1), H497))"),"ZMD")</f>
        <v>ZMD</v>
      </c>
      <c r="I498" s="2" t="str">
        <f>IFERROR(__xludf.DUMMYFUNCTION("IF('From Order'!$A498=COLUMNS($A498:I517), LEFT(INDEX(FILTER(I$1:I497, I$1:I497&lt;&gt;""""),COUNTA(FILTER(I$1:I497, I$1:I497&lt;&gt;""""))), LEN(INDEX(FILTER(I$1:I497, I$1:I497&lt;&gt;""""),COUNTA(FILTER(I$1:I497, I$1:I497&lt;&gt;""""))))-1), IF('To Order'!$A498=COLUMNS($A498:I"&amp;"517), I497&amp;RIGHT(INDIRECT(ADDRESS(ROW(I498)-1, 'From Order'!$A498)), 1), I497))"),"D")</f>
        <v>D</v>
      </c>
    </row>
    <row r="499">
      <c r="A499" s="2" t="str">
        <f>IFERROR(__xludf.DUMMYFUNCTION("IF('From Order'!$A499=COLUMNS($A499:A518), LEFT(INDEX(FILTER(A$1:A498, A$1:A498&lt;&gt;""""),COUNTA(FILTER(A$1:A498, A$1:A498&lt;&gt;""""))), LEN(INDEX(FILTER(A$1:A498, A$1:A498&lt;&gt;""""),COUNTA(FILTER(A$1:A498, A$1:A498&lt;&gt;""""))))-1), IF('To Order'!$A499=COLUMNS($A499:A"&amp;"518), A498&amp;RIGHT(INDIRECT(ADDRESS(ROW(A499)-1, 'From Order'!$A499)), 1), A498))"),"")</f>
        <v/>
      </c>
      <c r="B499" s="2" t="str">
        <f>IFERROR(__xludf.DUMMYFUNCTION("IF('From Order'!$A499=COLUMNS($A499:B518), LEFT(INDEX(FILTER(B$1:B498, B$1:B498&lt;&gt;""""),COUNTA(FILTER(B$1:B498, B$1:B498&lt;&gt;""""))), LEN(INDEX(FILTER(B$1:B498, B$1:B498&lt;&gt;""""),COUNTA(FILTER(B$1:B498, B$1:B498&lt;&gt;""""))))-1), IF('To Order'!$A499=COLUMNS($A499:B"&amp;"518), B498&amp;RIGHT(INDIRECT(ADDRESS(ROW(B499)-1, 'From Order'!$A499)), 1), B498))"),"JZRVPVRZH")</f>
        <v>JZRVPVRZH</v>
      </c>
      <c r="C499" s="2" t="str">
        <f>IFERROR(__xludf.DUMMYFUNCTION("IF('From Order'!$A499=COLUMNS($A499:C518), LEFT(INDEX(FILTER(C$1:C498, C$1:C498&lt;&gt;""""),COUNTA(FILTER(C$1:C498, C$1:C498&lt;&gt;""""))), LEN(INDEX(FILTER(C$1:C498, C$1:C498&lt;&gt;""""),COUNTA(FILTER(C$1:C498, C$1:C498&lt;&gt;""""))))-1), IF('To Order'!$A499=COLUMNS($A499:C"&amp;"518), C498&amp;RIGHT(INDIRECT(ADDRESS(ROW(C499)-1, 'From Order'!$A499)), 1), C498))"),"SMFBBRQPDSSG")</f>
        <v>SMFBBRQPDSSG</v>
      </c>
      <c r="D499" s="2" t="str">
        <f>IFERROR(__xludf.DUMMYFUNCTION("IF('From Order'!$A499=COLUMNS($A499:D518), LEFT(INDEX(FILTER(D$1:D498, D$1:D498&lt;&gt;""""),COUNTA(FILTER(D$1:D498, D$1:D498&lt;&gt;""""))), LEN(INDEX(FILTER(D$1:D498, D$1:D498&lt;&gt;""""),COUNTA(FILTER(D$1:D498, D$1:D498&lt;&gt;""""))))-1), IF('To Order'!$A499=COLUMNS($A499:D"&amp;"518), D498&amp;RIGHT(INDIRECT(ADDRESS(ROW(D499)-1, 'From Order'!$A499)), 1), D498))"),"")</f>
        <v/>
      </c>
      <c r="E499" s="2" t="str">
        <f>IFERROR(__xludf.DUMMYFUNCTION("IF('From Order'!$A499=COLUMNS($A499:E518), LEFT(INDEX(FILTER(E$1:E498, E$1:E498&lt;&gt;""""),COUNTA(FILTER(E$1:E498, E$1:E498&lt;&gt;""""))), LEN(INDEX(FILTER(E$1:E498, E$1:E498&lt;&gt;""""),COUNTA(FILTER(E$1:E498, E$1:E498&lt;&gt;""""))))-1), IF('To Order'!$A499=COLUMNS($A499:E"&amp;"518), E498&amp;RIGHT(INDIRECT(ADDRESS(ROW(E499)-1, 'From Order'!$A499)), 1), E498))"),"LBSGDT")</f>
        <v>LBSGDT</v>
      </c>
      <c r="F499" s="2" t="str">
        <f>IFERROR(__xludf.DUMMYFUNCTION("IF('From Order'!$A499=COLUMNS($A499:F518), LEFT(INDEX(FILTER(F$1:F498, F$1:F498&lt;&gt;""""),COUNTA(FILTER(F$1:F498, F$1:F498&lt;&gt;""""))), LEN(INDEX(FILTER(F$1:F498, F$1:F498&lt;&gt;""""),COUNTA(FILTER(F$1:F498, F$1:F498&lt;&gt;""""))))-1), IF('To Order'!$A499=COLUMNS($A499:F"&amp;"518), F498&amp;RIGHT(INDIRECT(ADDRESS(ROW(F499)-1, 'From Order'!$A499)), 1), F498))"),"JLCTFTMQCDTRLDRWTJTVCBPWH")</f>
        <v>JLCTFTMQCDTRLDRWTJTVCBPWH</v>
      </c>
      <c r="G499" s="2" t="str">
        <f>IFERROR(__xludf.DUMMYFUNCTION("IF('From Order'!$A499=COLUMNS($A499:G518), LEFT(INDEX(FILTER(G$1:G498, G$1:G498&lt;&gt;""""),COUNTA(FILTER(G$1:G498, G$1:G498&lt;&gt;""""))), LEN(INDEX(FILTER(G$1:G498, G$1:G498&lt;&gt;""""),COUNTA(FILTER(G$1:G498, G$1:G498&lt;&gt;""""))))-1), IF('To Order'!$A499=COLUMNS($A499:G"&amp;"518), G498&amp;RIGHT(INDIRECT(ADDRESS(ROW(G499)-1, 'From Order'!$A499)), 1), G498))"),"")</f>
        <v/>
      </c>
      <c r="H499" s="2" t="str">
        <f>IFERROR(__xludf.DUMMYFUNCTION("IF('From Order'!$A499=COLUMNS($A499:H518), LEFT(INDEX(FILTER(H$1:H498, H$1:H498&lt;&gt;""""),COUNTA(FILTER(H$1:H498, H$1:H498&lt;&gt;""""))), LEN(INDEX(FILTER(H$1:H498, H$1:H498&lt;&gt;""""),COUNTA(FILTER(H$1:H498, H$1:H498&lt;&gt;""""))))-1), IF('To Order'!$A499=COLUMNS($A499:H"&amp;"518), H498&amp;RIGHT(INDIRECT(ADDRESS(ROW(H499)-1, 'From Order'!$A499)), 1), H498))"),"ZMD")</f>
        <v>ZMD</v>
      </c>
      <c r="I499" s="2" t="str">
        <f>IFERROR(__xludf.DUMMYFUNCTION("IF('From Order'!$A499=COLUMNS($A499:I518), LEFT(INDEX(FILTER(I$1:I498, I$1:I498&lt;&gt;""""),COUNTA(FILTER(I$1:I498, I$1:I498&lt;&gt;""""))), LEN(INDEX(FILTER(I$1:I498, I$1:I498&lt;&gt;""""),COUNTA(FILTER(I$1:I498, I$1:I498&lt;&gt;""""))))-1), IF('To Order'!$A499=COLUMNS($A499:I"&amp;"518), I498&amp;RIGHT(INDIRECT(ADDRESS(ROW(I499)-1, 'From Order'!$A499)), 1), I498))"),"D")</f>
        <v>D</v>
      </c>
    </row>
    <row r="500">
      <c r="A500" s="2" t="str">
        <f>IFERROR(__xludf.DUMMYFUNCTION("IF('From Order'!$A500=COLUMNS($A500:A519), LEFT(INDEX(FILTER(A$1:A499, A$1:A499&lt;&gt;""""),COUNTA(FILTER(A$1:A499, A$1:A499&lt;&gt;""""))), LEN(INDEX(FILTER(A$1:A499, A$1:A499&lt;&gt;""""),COUNTA(FILTER(A$1:A499, A$1:A499&lt;&gt;""""))))-1), IF('To Order'!$A500=COLUMNS($A500:A"&amp;"519), A499&amp;RIGHT(INDIRECT(ADDRESS(ROW(A500)-1, 'From Order'!$A500)), 1), A499))"),"")</f>
        <v/>
      </c>
      <c r="B500" s="2" t="str">
        <f>IFERROR(__xludf.DUMMYFUNCTION("IF('From Order'!$A500=COLUMNS($A500:B519), LEFT(INDEX(FILTER(B$1:B499, B$1:B499&lt;&gt;""""),COUNTA(FILTER(B$1:B499, B$1:B499&lt;&gt;""""))), LEN(INDEX(FILTER(B$1:B499, B$1:B499&lt;&gt;""""),COUNTA(FILTER(B$1:B499, B$1:B499&lt;&gt;""""))))-1), IF('To Order'!$A500=COLUMNS($A500:B"&amp;"519), B499&amp;RIGHT(INDIRECT(ADDRESS(ROW(B500)-1, 'From Order'!$A500)), 1), B499))"),"JZRVPVRZH")</f>
        <v>JZRVPVRZH</v>
      </c>
      <c r="C500" s="2" t="str">
        <f>IFERROR(__xludf.DUMMYFUNCTION("IF('From Order'!$A500=COLUMNS($A500:C519), LEFT(INDEX(FILTER(C$1:C499, C$1:C499&lt;&gt;""""),COUNTA(FILTER(C$1:C499, C$1:C499&lt;&gt;""""))), LEN(INDEX(FILTER(C$1:C499, C$1:C499&lt;&gt;""""),COUNTA(FILTER(C$1:C499, C$1:C499&lt;&gt;""""))))-1), IF('To Order'!$A500=COLUMNS($A500:C"&amp;"519), C499&amp;RIGHT(INDIRECT(ADDRESS(ROW(C500)-1, 'From Order'!$A500)), 1), C499))"),"SMFBBRQPDSS")</f>
        <v>SMFBBRQPDSS</v>
      </c>
      <c r="D500" s="2" t="str">
        <f>IFERROR(__xludf.DUMMYFUNCTION("IF('From Order'!$A500=COLUMNS($A500:D519), LEFT(INDEX(FILTER(D$1:D499, D$1:D499&lt;&gt;""""),COUNTA(FILTER(D$1:D499, D$1:D499&lt;&gt;""""))), LEN(INDEX(FILTER(D$1:D499, D$1:D499&lt;&gt;""""),COUNTA(FILTER(D$1:D499, D$1:D499&lt;&gt;""""))))-1), IF('To Order'!$A500=COLUMNS($A500:D"&amp;"519), D499&amp;RIGHT(INDIRECT(ADDRESS(ROW(D500)-1, 'From Order'!$A500)), 1), D499))"),"")</f>
        <v/>
      </c>
      <c r="E500" s="2" t="str">
        <f>IFERROR(__xludf.DUMMYFUNCTION("IF('From Order'!$A500=COLUMNS($A500:E519), LEFT(INDEX(FILTER(E$1:E499, E$1:E499&lt;&gt;""""),COUNTA(FILTER(E$1:E499, E$1:E499&lt;&gt;""""))), LEN(INDEX(FILTER(E$1:E499, E$1:E499&lt;&gt;""""),COUNTA(FILTER(E$1:E499, E$1:E499&lt;&gt;""""))))-1), IF('To Order'!$A500=COLUMNS($A500:E"&amp;"519), E499&amp;RIGHT(INDIRECT(ADDRESS(ROW(E500)-1, 'From Order'!$A500)), 1), E499))"),"LBSGDT")</f>
        <v>LBSGDT</v>
      </c>
      <c r="F500" s="2" t="str">
        <f>IFERROR(__xludf.DUMMYFUNCTION("IF('From Order'!$A500=COLUMNS($A500:F519), LEFT(INDEX(FILTER(F$1:F499, F$1:F499&lt;&gt;""""),COUNTA(FILTER(F$1:F499, F$1:F499&lt;&gt;""""))), LEN(INDEX(FILTER(F$1:F499, F$1:F499&lt;&gt;""""),COUNTA(FILTER(F$1:F499, F$1:F499&lt;&gt;""""))))-1), IF('To Order'!$A500=COLUMNS($A500:F"&amp;"519), F499&amp;RIGHT(INDIRECT(ADDRESS(ROW(F500)-1, 'From Order'!$A500)), 1), F499))"),"JLCTFTMQCDTRLDRWTJTVCBPWHG")</f>
        <v>JLCTFTMQCDTRLDRWTJTVCBPWHG</v>
      </c>
      <c r="G500" s="2" t="str">
        <f>IFERROR(__xludf.DUMMYFUNCTION("IF('From Order'!$A500=COLUMNS($A500:G519), LEFT(INDEX(FILTER(G$1:G499, G$1:G499&lt;&gt;""""),COUNTA(FILTER(G$1:G499, G$1:G499&lt;&gt;""""))), LEN(INDEX(FILTER(G$1:G499, G$1:G499&lt;&gt;""""),COUNTA(FILTER(G$1:G499, G$1:G499&lt;&gt;""""))))-1), IF('To Order'!$A500=COLUMNS($A500:G"&amp;"519), G499&amp;RIGHT(INDIRECT(ADDRESS(ROW(G500)-1, 'From Order'!$A500)), 1), G499))"),"")</f>
        <v/>
      </c>
      <c r="H500" s="2" t="str">
        <f>IFERROR(__xludf.DUMMYFUNCTION("IF('From Order'!$A500=COLUMNS($A500:H519), LEFT(INDEX(FILTER(H$1:H499, H$1:H499&lt;&gt;""""),COUNTA(FILTER(H$1:H499, H$1:H499&lt;&gt;""""))), LEN(INDEX(FILTER(H$1:H499, H$1:H499&lt;&gt;""""),COUNTA(FILTER(H$1:H499, H$1:H499&lt;&gt;""""))))-1), IF('To Order'!$A500=COLUMNS($A500:H"&amp;"519), H499&amp;RIGHT(INDIRECT(ADDRESS(ROW(H500)-1, 'From Order'!$A500)), 1), H499))"),"ZMD")</f>
        <v>ZMD</v>
      </c>
      <c r="I500" s="2" t="str">
        <f>IFERROR(__xludf.DUMMYFUNCTION("IF('From Order'!$A500=COLUMNS($A500:I519), LEFT(INDEX(FILTER(I$1:I499, I$1:I499&lt;&gt;""""),COUNTA(FILTER(I$1:I499, I$1:I499&lt;&gt;""""))), LEN(INDEX(FILTER(I$1:I499, I$1:I499&lt;&gt;""""),COUNTA(FILTER(I$1:I499, I$1:I499&lt;&gt;""""))))-1), IF('To Order'!$A500=COLUMNS($A500:I"&amp;"519), I499&amp;RIGHT(INDIRECT(ADDRESS(ROW(I500)-1, 'From Order'!$A500)), 1), I499))"),"D")</f>
        <v>D</v>
      </c>
    </row>
    <row r="501">
      <c r="A501" s="2" t="str">
        <f>IFERROR(__xludf.DUMMYFUNCTION("IF('From Order'!$A501=COLUMNS($A501:A520), LEFT(INDEX(FILTER(A$1:A500, A$1:A500&lt;&gt;""""),COUNTA(FILTER(A$1:A500, A$1:A500&lt;&gt;""""))), LEN(INDEX(FILTER(A$1:A500, A$1:A500&lt;&gt;""""),COUNTA(FILTER(A$1:A500, A$1:A500&lt;&gt;""""))))-1), IF('To Order'!$A501=COLUMNS($A501:A"&amp;"520), A500&amp;RIGHT(INDIRECT(ADDRESS(ROW(A501)-1, 'From Order'!$A501)), 1), A500))"),"")</f>
        <v/>
      </c>
      <c r="B501" s="2" t="str">
        <f>IFERROR(__xludf.DUMMYFUNCTION("IF('From Order'!$A501=COLUMNS($A501:B520), LEFT(INDEX(FILTER(B$1:B500, B$1:B500&lt;&gt;""""),COUNTA(FILTER(B$1:B500, B$1:B500&lt;&gt;""""))), LEN(INDEX(FILTER(B$1:B500, B$1:B500&lt;&gt;""""),COUNTA(FILTER(B$1:B500, B$1:B500&lt;&gt;""""))))-1), IF('To Order'!$A501=COLUMNS($A501:B"&amp;"520), B500&amp;RIGHT(INDIRECT(ADDRESS(ROW(B501)-1, 'From Order'!$A501)), 1), B500))"),"JZRVPVRZH")</f>
        <v>JZRVPVRZH</v>
      </c>
      <c r="C501" s="2" t="str">
        <f>IFERROR(__xludf.DUMMYFUNCTION("IF('From Order'!$A501=COLUMNS($A501:C520), LEFT(INDEX(FILTER(C$1:C500, C$1:C500&lt;&gt;""""),COUNTA(FILTER(C$1:C500, C$1:C500&lt;&gt;""""))), LEN(INDEX(FILTER(C$1:C500, C$1:C500&lt;&gt;""""),COUNTA(FILTER(C$1:C500, C$1:C500&lt;&gt;""""))))-1), IF('To Order'!$A501=COLUMNS($A501:C"&amp;"520), C500&amp;RIGHT(INDIRECT(ADDRESS(ROW(C501)-1, 'From Order'!$A501)), 1), C500))"),"SMFBBRQPDS")</f>
        <v>SMFBBRQPDS</v>
      </c>
      <c r="D501" s="2" t="str">
        <f>IFERROR(__xludf.DUMMYFUNCTION("IF('From Order'!$A501=COLUMNS($A501:D520), LEFT(INDEX(FILTER(D$1:D500, D$1:D500&lt;&gt;""""),COUNTA(FILTER(D$1:D500, D$1:D500&lt;&gt;""""))), LEN(INDEX(FILTER(D$1:D500, D$1:D500&lt;&gt;""""),COUNTA(FILTER(D$1:D500, D$1:D500&lt;&gt;""""))))-1), IF('To Order'!$A501=COLUMNS($A501:D"&amp;"520), D500&amp;RIGHT(INDIRECT(ADDRESS(ROW(D501)-1, 'From Order'!$A501)), 1), D500))"),"")</f>
        <v/>
      </c>
      <c r="E501" s="2" t="str">
        <f>IFERROR(__xludf.DUMMYFUNCTION("IF('From Order'!$A501=COLUMNS($A501:E520), LEFT(INDEX(FILTER(E$1:E500, E$1:E500&lt;&gt;""""),COUNTA(FILTER(E$1:E500, E$1:E500&lt;&gt;""""))), LEN(INDEX(FILTER(E$1:E500, E$1:E500&lt;&gt;""""),COUNTA(FILTER(E$1:E500, E$1:E500&lt;&gt;""""))))-1), IF('To Order'!$A501=COLUMNS($A501:E"&amp;"520), E500&amp;RIGHT(INDIRECT(ADDRESS(ROW(E501)-1, 'From Order'!$A501)), 1), E500))"),"LBSGDT")</f>
        <v>LBSGDT</v>
      </c>
      <c r="F501" s="2" t="str">
        <f>IFERROR(__xludf.DUMMYFUNCTION("IF('From Order'!$A501=COLUMNS($A501:F520), LEFT(INDEX(FILTER(F$1:F500, F$1:F500&lt;&gt;""""),COUNTA(FILTER(F$1:F500, F$1:F500&lt;&gt;""""))), LEN(INDEX(FILTER(F$1:F500, F$1:F500&lt;&gt;""""),COUNTA(FILTER(F$1:F500, F$1:F500&lt;&gt;""""))))-1), IF('To Order'!$A501=COLUMNS($A501:F"&amp;"520), F500&amp;RIGHT(INDIRECT(ADDRESS(ROW(F501)-1, 'From Order'!$A501)), 1), F500))"),"JLCTFTMQCDTRLDRWTJTVCBPWHGS")</f>
        <v>JLCTFTMQCDTRLDRWTJTVCBPWHGS</v>
      </c>
      <c r="G501" s="2" t="str">
        <f>IFERROR(__xludf.DUMMYFUNCTION("IF('From Order'!$A501=COLUMNS($A501:G520), LEFT(INDEX(FILTER(G$1:G500, G$1:G500&lt;&gt;""""),COUNTA(FILTER(G$1:G500, G$1:G500&lt;&gt;""""))), LEN(INDEX(FILTER(G$1:G500, G$1:G500&lt;&gt;""""),COUNTA(FILTER(G$1:G500, G$1:G500&lt;&gt;""""))))-1), IF('To Order'!$A501=COLUMNS($A501:G"&amp;"520), G500&amp;RIGHT(INDIRECT(ADDRESS(ROW(G501)-1, 'From Order'!$A501)), 1), G500))"),"")</f>
        <v/>
      </c>
      <c r="H501" s="2" t="str">
        <f>IFERROR(__xludf.DUMMYFUNCTION("IF('From Order'!$A501=COLUMNS($A501:H520), LEFT(INDEX(FILTER(H$1:H500, H$1:H500&lt;&gt;""""),COUNTA(FILTER(H$1:H500, H$1:H500&lt;&gt;""""))), LEN(INDEX(FILTER(H$1:H500, H$1:H500&lt;&gt;""""),COUNTA(FILTER(H$1:H500, H$1:H500&lt;&gt;""""))))-1), IF('To Order'!$A501=COLUMNS($A501:H"&amp;"520), H500&amp;RIGHT(INDIRECT(ADDRESS(ROW(H501)-1, 'From Order'!$A501)), 1), H500))"),"ZMD")</f>
        <v>ZMD</v>
      </c>
      <c r="I501" s="2" t="str">
        <f>IFERROR(__xludf.DUMMYFUNCTION("IF('From Order'!$A501=COLUMNS($A501:I520), LEFT(INDEX(FILTER(I$1:I500, I$1:I500&lt;&gt;""""),COUNTA(FILTER(I$1:I500, I$1:I500&lt;&gt;""""))), LEN(INDEX(FILTER(I$1:I500, I$1:I500&lt;&gt;""""),COUNTA(FILTER(I$1:I500, I$1:I500&lt;&gt;""""))))-1), IF('To Order'!$A501=COLUMNS($A501:I"&amp;"520), I500&amp;RIGHT(INDIRECT(ADDRESS(ROW(I501)-1, 'From Order'!$A501)), 1), I500))"),"D")</f>
        <v>D</v>
      </c>
    </row>
    <row r="502">
      <c r="A502" s="2" t="str">
        <f>IFERROR(__xludf.DUMMYFUNCTION("IF('From Order'!$A502=COLUMNS($A502:A521), LEFT(INDEX(FILTER(A$1:A501, A$1:A501&lt;&gt;""""),COUNTA(FILTER(A$1:A501, A$1:A501&lt;&gt;""""))), LEN(INDEX(FILTER(A$1:A501, A$1:A501&lt;&gt;""""),COUNTA(FILTER(A$1:A501, A$1:A501&lt;&gt;""""))))-1), IF('To Order'!$A502=COLUMNS($A502:A"&amp;"521), A501&amp;RIGHT(INDIRECT(ADDRESS(ROW(A502)-1, 'From Order'!$A502)), 1), A501))"),"")</f>
        <v/>
      </c>
      <c r="B502" s="2" t="str">
        <f>IFERROR(__xludf.DUMMYFUNCTION("IF('From Order'!$A502=COLUMNS($A502:B521), LEFT(INDEX(FILTER(B$1:B501, B$1:B501&lt;&gt;""""),COUNTA(FILTER(B$1:B501, B$1:B501&lt;&gt;""""))), LEN(INDEX(FILTER(B$1:B501, B$1:B501&lt;&gt;""""),COUNTA(FILTER(B$1:B501, B$1:B501&lt;&gt;""""))))-1), IF('To Order'!$A502=COLUMNS($A502:B"&amp;"521), B501&amp;RIGHT(INDIRECT(ADDRESS(ROW(B502)-1, 'From Order'!$A502)), 1), B501))"),"JZRVPVRZH")</f>
        <v>JZRVPVRZH</v>
      </c>
      <c r="C502" s="2" t="str">
        <f>IFERROR(__xludf.DUMMYFUNCTION("IF('From Order'!$A502=COLUMNS($A502:C521), LEFT(INDEX(FILTER(C$1:C501, C$1:C501&lt;&gt;""""),COUNTA(FILTER(C$1:C501, C$1:C501&lt;&gt;""""))), LEN(INDEX(FILTER(C$1:C501, C$1:C501&lt;&gt;""""),COUNTA(FILTER(C$1:C501, C$1:C501&lt;&gt;""""))))-1), IF('To Order'!$A502=COLUMNS($A502:C"&amp;"521), C501&amp;RIGHT(INDIRECT(ADDRESS(ROW(C502)-1, 'From Order'!$A502)), 1), C501))"),"SMFBBRQPD")</f>
        <v>SMFBBRQPD</v>
      </c>
      <c r="D502" s="2" t="str">
        <f>IFERROR(__xludf.DUMMYFUNCTION("IF('From Order'!$A502=COLUMNS($A502:D521), LEFT(INDEX(FILTER(D$1:D501, D$1:D501&lt;&gt;""""),COUNTA(FILTER(D$1:D501, D$1:D501&lt;&gt;""""))), LEN(INDEX(FILTER(D$1:D501, D$1:D501&lt;&gt;""""),COUNTA(FILTER(D$1:D501, D$1:D501&lt;&gt;""""))))-1), IF('To Order'!$A502=COLUMNS($A502:D"&amp;"521), D501&amp;RIGHT(INDIRECT(ADDRESS(ROW(D502)-1, 'From Order'!$A502)), 1), D501))"),"")</f>
        <v/>
      </c>
      <c r="E502" s="2" t="str">
        <f>IFERROR(__xludf.DUMMYFUNCTION("IF('From Order'!$A502=COLUMNS($A502:E521), LEFT(INDEX(FILTER(E$1:E501, E$1:E501&lt;&gt;""""),COUNTA(FILTER(E$1:E501, E$1:E501&lt;&gt;""""))), LEN(INDEX(FILTER(E$1:E501, E$1:E501&lt;&gt;""""),COUNTA(FILTER(E$1:E501, E$1:E501&lt;&gt;""""))))-1), IF('To Order'!$A502=COLUMNS($A502:E"&amp;"521), E501&amp;RIGHT(INDIRECT(ADDRESS(ROW(E502)-1, 'From Order'!$A502)), 1), E501))"),"LBSGDT")</f>
        <v>LBSGDT</v>
      </c>
      <c r="F502" s="2" t="str">
        <f>IFERROR(__xludf.DUMMYFUNCTION("IF('From Order'!$A502=COLUMNS($A502:F521), LEFT(INDEX(FILTER(F$1:F501, F$1:F501&lt;&gt;""""),COUNTA(FILTER(F$1:F501, F$1:F501&lt;&gt;""""))), LEN(INDEX(FILTER(F$1:F501, F$1:F501&lt;&gt;""""),COUNTA(FILTER(F$1:F501, F$1:F501&lt;&gt;""""))))-1), IF('To Order'!$A502=COLUMNS($A502:F"&amp;"521), F501&amp;RIGHT(INDIRECT(ADDRESS(ROW(F502)-1, 'From Order'!$A502)), 1), F501))"),"JLCTFTMQCDTRLDRWTJTVCBPWHGSS")</f>
        <v>JLCTFTMQCDTRLDRWTJTVCBPWHGSS</v>
      </c>
      <c r="G502" s="2" t="str">
        <f>IFERROR(__xludf.DUMMYFUNCTION("IF('From Order'!$A502=COLUMNS($A502:G521), LEFT(INDEX(FILTER(G$1:G501, G$1:G501&lt;&gt;""""),COUNTA(FILTER(G$1:G501, G$1:G501&lt;&gt;""""))), LEN(INDEX(FILTER(G$1:G501, G$1:G501&lt;&gt;""""),COUNTA(FILTER(G$1:G501, G$1:G501&lt;&gt;""""))))-1), IF('To Order'!$A502=COLUMNS($A502:G"&amp;"521), G501&amp;RIGHT(INDIRECT(ADDRESS(ROW(G502)-1, 'From Order'!$A502)), 1), G501))"),"")</f>
        <v/>
      </c>
      <c r="H502" s="2" t="str">
        <f>IFERROR(__xludf.DUMMYFUNCTION("IF('From Order'!$A502=COLUMNS($A502:H521), LEFT(INDEX(FILTER(H$1:H501, H$1:H501&lt;&gt;""""),COUNTA(FILTER(H$1:H501, H$1:H501&lt;&gt;""""))), LEN(INDEX(FILTER(H$1:H501, H$1:H501&lt;&gt;""""),COUNTA(FILTER(H$1:H501, H$1:H501&lt;&gt;""""))))-1), IF('To Order'!$A502=COLUMNS($A502:H"&amp;"521), H501&amp;RIGHT(INDIRECT(ADDRESS(ROW(H502)-1, 'From Order'!$A502)), 1), H501))"),"ZMD")</f>
        <v>ZMD</v>
      </c>
      <c r="I502" s="2" t="str">
        <f>IFERROR(__xludf.DUMMYFUNCTION("IF('From Order'!$A502=COLUMNS($A502:I521), LEFT(INDEX(FILTER(I$1:I501, I$1:I501&lt;&gt;""""),COUNTA(FILTER(I$1:I501, I$1:I501&lt;&gt;""""))), LEN(INDEX(FILTER(I$1:I501, I$1:I501&lt;&gt;""""),COUNTA(FILTER(I$1:I501, I$1:I501&lt;&gt;""""))))-1), IF('To Order'!$A502=COLUMNS($A502:I"&amp;"521), I501&amp;RIGHT(INDIRECT(ADDRESS(ROW(I502)-1, 'From Order'!$A502)), 1), I501))"),"D")</f>
        <v>D</v>
      </c>
    </row>
    <row r="503">
      <c r="A503" s="2" t="str">
        <f>IFERROR(__xludf.DUMMYFUNCTION("IF('From Order'!$A503=COLUMNS($A503:A522), LEFT(INDEX(FILTER(A$1:A502, A$1:A502&lt;&gt;""""),COUNTA(FILTER(A$1:A502, A$1:A502&lt;&gt;""""))), LEN(INDEX(FILTER(A$1:A502, A$1:A502&lt;&gt;""""),COUNTA(FILTER(A$1:A502, A$1:A502&lt;&gt;""""))))-1), IF('To Order'!$A503=COLUMNS($A503:A"&amp;"522), A502&amp;RIGHT(INDIRECT(ADDRESS(ROW(A503)-1, 'From Order'!$A503)), 1), A502))"),"")</f>
        <v/>
      </c>
      <c r="B503" s="2" t="str">
        <f>IFERROR(__xludf.DUMMYFUNCTION("IF('From Order'!$A503=COLUMNS($A503:B522), LEFT(INDEX(FILTER(B$1:B502, B$1:B502&lt;&gt;""""),COUNTA(FILTER(B$1:B502, B$1:B502&lt;&gt;""""))), LEN(INDEX(FILTER(B$1:B502, B$1:B502&lt;&gt;""""),COUNTA(FILTER(B$1:B502, B$1:B502&lt;&gt;""""))))-1), IF('To Order'!$A503=COLUMNS($A503:B"&amp;"522), B502&amp;RIGHT(INDIRECT(ADDRESS(ROW(B503)-1, 'From Order'!$A503)), 1), B502))"),"JZRVPVRZH")</f>
        <v>JZRVPVRZH</v>
      </c>
      <c r="C503" s="2" t="str">
        <f>IFERROR(__xludf.DUMMYFUNCTION("IF('From Order'!$A503=COLUMNS($A503:C522), LEFT(INDEX(FILTER(C$1:C502, C$1:C502&lt;&gt;""""),COUNTA(FILTER(C$1:C502, C$1:C502&lt;&gt;""""))), LEN(INDEX(FILTER(C$1:C502, C$1:C502&lt;&gt;""""),COUNTA(FILTER(C$1:C502, C$1:C502&lt;&gt;""""))))-1), IF('To Order'!$A503=COLUMNS($A503:C"&amp;"522), C502&amp;RIGHT(INDIRECT(ADDRESS(ROW(C503)-1, 'From Order'!$A503)), 1), C502))"),"SMFBBRQP")</f>
        <v>SMFBBRQP</v>
      </c>
      <c r="D503" s="2" t="str">
        <f>IFERROR(__xludf.DUMMYFUNCTION("IF('From Order'!$A503=COLUMNS($A503:D522), LEFT(INDEX(FILTER(D$1:D502, D$1:D502&lt;&gt;""""),COUNTA(FILTER(D$1:D502, D$1:D502&lt;&gt;""""))), LEN(INDEX(FILTER(D$1:D502, D$1:D502&lt;&gt;""""),COUNTA(FILTER(D$1:D502, D$1:D502&lt;&gt;""""))))-1), IF('To Order'!$A503=COLUMNS($A503:D"&amp;"522), D502&amp;RIGHT(INDIRECT(ADDRESS(ROW(D503)-1, 'From Order'!$A503)), 1), D502))"),"")</f>
        <v/>
      </c>
      <c r="E503" s="2" t="str">
        <f>IFERROR(__xludf.DUMMYFUNCTION("IF('From Order'!$A503=COLUMNS($A503:E522), LEFT(INDEX(FILTER(E$1:E502, E$1:E502&lt;&gt;""""),COUNTA(FILTER(E$1:E502, E$1:E502&lt;&gt;""""))), LEN(INDEX(FILTER(E$1:E502, E$1:E502&lt;&gt;""""),COUNTA(FILTER(E$1:E502, E$1:E502&lt;&gt;""""))))-1), IF('To Order'!$A503=COLUMNS($A503:E"&amp;"522), E502&amp;RIGHT(INDIRECT(ADDRESS(ROW(E503)-1, 'From Order'!$A503)), 1), E502))"),"LBSGDT")</f>
        <v>LBSGDT</v>
      </c>
      <c r="F503" s="2" t="str">
        <f>IFERROR(__xludf.DUMMYFUNCTION("IF('From Order'!$A503=COLUMNS($A503:F522), LEFT(INDEX(FILTER(F$1:F502, F$1:F502&lt;&gt;""""),COUNTA(FILTER(F$1:F502, F$1:F502&lt;&gt;""""))), LEN(INDEX(FILTER(F$1:F502, F$1:F502&lt;&gt;""""),COUNTA(FILTER(F$1:F502, F$1:F502&lt;&gt;""""))))-1), IF('To Order'!$A503=COLUMNS($A503:F"&amp;"522), F502&amp;RIGHT(INDIRECT(ADDRESS(ROW(F503)-1, 'From Order'!$A503)), 1), F502))"),"JLCTFTMQCDTRLDRWTJTVCBPWHGSSD")</f>
        <v>JLCTFTMQCDTRLDRWTJTVCBPWHGSSD</v>
      </c>
      <c r="G503" s="2" t="str">
        <f>IFERROR(__xludf.DUMMYFUNCTION("IF('From Order'!$A503=COLUMNS($A503:G522), LEFT(INDEX(FILTER(G$1:G502, G$1:G502&lt;&gt;""""),COUNTA(FILTER(G$1:G502, G$1:G502&lt;&gt;""""))), LEN(INDEX(FILTER(G$1:G502, G$1:G502&lt;&gt;""""),COUNTA(FILTER(G$1:G502, G$1:G502&lt;&gt;""""))))-1), IF('To Order'!$A503=COLUMNS($A503:G"&amp;"522), G502&amp;RIGHT(INDIRECT(ADDRESS(ROW(G503)-1, 'From Order'!$A503)), 1), G502))"),"")</f>
        <v/>
      </c>
      <c r="H503" s="2" t="str">
        <f>IFERROR(__xludf.DUMMYFUNCTION("IF('From Order'!$A503=COLUMNS($A503:H522), LEFT(INDEX(FILTER(H$1:H502, H$1:H502&lt;&gt;""""),COUNTA(FILTER(H$1:H502, H$1:H502&lt;&gt;""""))), LEN(INDEX(FILTER(H$1:H502, H$1:H502&lt;&gt;""""),COUNTA(FILTER(H$1:H502, H$1:H502&lt;&gt;""""))))-1), IF('To Order'!$A503=COLUMNS($A503:H"&amp;"522), H502&amp;RIGHT(INDIRECT(ADDRESS(ROW(H503)-1, 'From Order'!$A503)), 1), H502))"),"ZMD")</f>
        <v>ZMD</v>
      </c>
      <c r="I503" s="2" t="str">
        <f>IFERROR(__xludf.DUMMYFUNCTION("IF('From Order'!$A503=COLUMNS($A503:I522), LEFT(INDEX(FILTER(I$1:I502, I$1:I502&lt;&gt;""""),COUNTA(FILTER(I$1:I502, I$1:I502&lt;&gt;""""))), LEN(INDEX(FILTER(I$1:I502, I$1:I502&lt;&gt;""""),COUNTA(FILTER(I$1:I502, I$1:I502&lt;&gt;""""))))-1), IF('To Order'!$A503=COLUMNS($A503:I"&amp;"522), I502&amp;RIGHT(INDIRECT(ADDRESS(ROW(I503)-1, 'From Order'!$A503)), 1), I502))"),"D")</f>
        <v>D</v>
      </c>
    </row>
    <row r="504">
      <c r="A504" s="2" t="str">
        <f>IFERROR(__xludf.DUMMYFUNCTION("IF('From Order'!$A504=COLUMNS($A504:A523), LEFT(INDEX(FILTER(A$1:A503, A$1:A503&lt;&gt;""""),COUNTA(FILTER(A$1:A503, A$1:A503&lt;&gt;""""))), LEN(INDEX(FILTER(A$1:A503, A$1:A503&lt;&gt;""""),COUNTA(FILTER(A$1:A503, A$1:A503&lt;&gt;""""))))-1), IF('To Order'!$A504=COLUMNS($A504:A"&amp;"523), A503&amp;RIGHT(INDIRECT(ADDRESS(ROW(A504)-1, 'From Order'!$A504)), 1), A503))"),"")</f>
        <v/>
      </c>
      <c r="B504" s="2" t="str">
        <f>IFERROR(__xludf.DUMMYFUNCTION("IF('From Order'!$A504=COLUMNS($A504:B523), LEFT(INDEX(FILTER(B$1:B503, B$1:B503&lt;&gt;""""),COUNTA(FILTER(B$1:B503, B$1:B503&lt;&gt;""""))), LEN(INDEX(FILTER(B$1:B503, B$1:B503&lt;&gt;""""),COUNTA(FILTER(B$1:B503, B$1:B503&lt;&gt;""""))))-1), IF('To Order'!$A504=COLUMNS($A504:B"&amp;"523), B503&amp;RIGHT(INDIRECT(ADDRESS(ROW(B504)-1, 'From Order'!$A504)), 1), B503))"),"JZRVPVRZH")</f>
        <v>JZRVPVRZH</v>
      </c>
      <c r="C504" s="2" t="str">
        <f>IFERROR(__xludf.DUMMYFUNCTION("IF('From Order'!$A504=COLUMNS($A504:C523), LEFT(INDEX(FILTER(C$1:C503, C$1:C503&lt;&gt;""""),COUNTA(FILTER(C$1:C503, C$1:C503&lt;&gt;""""))), LEN(INDEX(FILTER(C$1:C503, C$1:C503&lt;&gt;""""),COUNTA(FILTER(C$1:C503, C$1:C503&lt;&gt;""""))))-1), IF('To Order'!$A504=COLUMNS($A504:C"&amp;"523), C503&amp;RIGHT(INDIRECT(ADDRESS(ROW(C504)-1, 'From Order'!$A504)), 1), C503))"),"SMFBBRQ")</f>
        <v>SMFBBRQ</v>
      </c>
      <c r="D504" s="2" t="str">
        <f>IFERROR(__xludf.DUMMYFUNCTION("IF('From Order'!$A504=COLUMNS($A504:D523), LEFT(INDEX(FILTER(D$1:D503, D$1:D503&lt;&gt;""""),COUNTA(FILTER(D$1:D503, D$1:D503&lt;&gt;""""))), LEN(INDEX(FILTER(D$1:D503, D$1:D503&lt;&gt;""""),COUNTA(FILTER(D$1:D503, D$1:D503&lt;&gt;""""))))-1), IF('To Order'!$A504=COLUMNS($A504:D"&amp;"523), D503&amp;RIGHT(INDIRECT(ADDRESS(ROW(D504)-1, 'From Order'!$A504)), 1), D503))"),"")</f>
        <v/>
      </c>
      <c r="E504" s="2" t="str">
        <f>IFERROR(__xludf.DUMMYFUNCTION("IF('From Order'!$A504=COLUMNS($A504:E523), LEFT(INDEX(FILTER(E$1:E503, E$1:E503&lt;&gt;""""),COUNTA(FILTER(E$1:E503, E$1:E503&lt;&gt;""""))), LEN(INDEX(FILTER(E$1:E503, E$1:E503&lt;&gt;""""),COUNTA(FILTER(E$1:E503, E$1:E503&lt;&gt;""""))))-1), IF('To Order'!$A504=COLUMNS($A504:E"&amp;"523), E503&amp;RIGHT(INDIRECT(ADDRESS(ROW(E504)-1, 'From Order'!$A504)), 1), E503))"),"LBSGDT")</f>
        <v>LBSGDT</v>
      </c>
      <c r="F504" s="2" t="str">
        <f>IFERROR(__xludf.DUMMYFUNCTION("IF('From Order'!$A504=COLUMNS($A504:F523), LEFT(INDEX(FILTER(F$1:F503, F$1:F503&lt;&gt;""""),COUNTA(FILTER(F$1:F503, F$1:F503&lt;&gt;""""))), LEN(INDEX(FILTER(F$1:F503, F$1:F503&lt;&gt;""""),COUNTA(FILTER(F$1:F503, F$1:F503&lt;&gt;""""))))-1), IF('To Order'!$A504=COLUMNS($A504:F"&amp;"523), F503&amp;RIGHT(INDIRECT(ADDRESS(ROW(F504)-1, 'From Order'!$A504)), 1), F503))"),"JLCTFTMQCDTRLDRWTJTVCBPWHGSSDP")</f>
        <v>JLCTFTMQCDTRLDRWTJTVCBPWHGSSDP</v>
      </c>
      <c r="G504" s="2" t="str">
        <f>IFERROR(__xludf.DUMMYFUNCTION("IF('From Order'!$A504=COLUMNS($A504:G523), LEFT(INDEX(FILTER(G$1:G503, G$1:G503&lt;&gt;""""),COUNTA(FILTER(G$1:G503, G$1:G503&lt;&gt;""""))), LEN(INDEX(FILTER(G$1:G503, G$1:G503&lt;&gt;""""),COUNTA(FILTER(G$1:G503, G$1:G503&lt;&gt;""""))))-1), IF('To Order'!$A504=COLUMNS($A504:G"&amp;"523), G503&amp;RIGHT(INDIRECT(ADDRESS(ROW(G504)-1, 'From Order'!$A504)), 1), G503))"),"")</f>
        <v/>
      </c>
      <c r="H504" s="2" t="str">
        <f>IFERROR(__xludf.DUMMYFUNCTION("IF('From Order'!$A504=COLUMNS($A504:H523), LEFT(INDEX(FILTER(H$1:H503, H$1:H503&lt;&gt;""""),COUNTA(FILTER(H$1:H503, H$1:H503&lt;&gt;""""))), LEN(INDEX(FILTER(H$1:H503, H$1:H503&lt;&gt;""""),COUNTA(FILTER(H$1:H503, H$1:H503&lt;&gt;""""))))-1), IF('To Order'!$A504=COLUMNS($A504:H"&amp;"523), H503&amp;RIGHT(INDIRECT(ADDRESS(ROW(H504)-1, 'From Order'!$A504)), 1), H503))"),"ZMD")</f>
        <v>ZMD</v>
      </c>
      <c r="I504" s="2" t="str">
        <f>IFERROR(__xludf.DUMMYFUNCTION("IF('From Order'!$A504=COLUMNS($A504:I523), LEFT(INDEX(FILTER(I$1:I503, I$1:I503&lt;&gt;""""),COUNTA(FILTER(I$1:I503, I$1:I503&lt;&gt;""""))), LEN(INDEX(FILTER(I$1:I503, I$1:I503&lt;&gt;""""),COUNTA(FILTER(I$1:I503, I$1:I503&lt;&gt;""""))))-1), IF('To Order'!$A504=COLUMNS($A504:I"&amp;"523), I503&amp;RIGHT(INDIRECT(ADDRESS(ROW(I504)-1, 'From Order'!$A504)), 1), I503))"),"D")</f>
        <v>D</v>
      </c>
    </row>
    <row r="505">
      <c r="A505" s="2" t="str">
        <f>IFERROR(__xludf.DUMMYFUNCTION("IF('From Order'!$A505=COLUMNS($A505:A524), LEFT(INDEX(FILTER(A$1:A504, A$1:A504&lt;&gt;""""),COUNTA(FILTER(A$1:A504, A$1:A504&lt;&gt;""""))), LEN(INDEX(FILTER(A$1:A504, A$1:A504&lt;&gt;""""),COUNTA(FILTER(A$1:A504, A$1:A504&lt;&gt;""""))))-1), IF('To Order'!$A505=COLUMNS($A505:A"&amp;"524), A504&amp;RIGHT(INDIRECT(ADDRESS(ROW(A505)-1, 'From Order'!$A505)), 1), A504))"),"")</f>
        <v/>
      </c>
      <c r="B505" s="2" t="str">
        <f>IFERROR(__xludf.DUMMYFUNCTION("IF('From Order'!$A505=COLUMNS($A505:B524), LEFT(INDEX(FILTER(B$1:B504, B$1:B504&lt;&gt;""""),COUNTA(FILTER(B$1:B504, B$1:B504&lt;&gt;""""))), LEN(INDEX(FILTER(B$1:B504, B$1:B504&lt;&gt;""""),COUNTA(FILTER(B$1:B504, B$1:B504&lt;&gt;""""))))-1), IF('To Order'!$A505=COLUMNS($A505:B"&amp;"524), B504&amp;RIGHT(INDIRECT(ADDRESS(ROW(B505)-1, 'From Order'!$A505)), 1), B504))"),"JZRVPVRZH")</f>
        <v>JZRVPVRZH</v>
      </c>
      <c r="C505" s="2" t="str">
        <f>IFERROR(__xludf.DUMMYFUNCTION("IF('From Order'!$A505=COLUMNS($A505:C524), LEFT(INDEX(FILTER(C$1:C504, C$1:C504&lt;&gt;""""),COUNTA(FILTER(C$1:C504, C$1:C504&lt;&gt;""""))), LEN(INDEX(FILTER(C$1:C504, C$1:C504&lt;&gt;""""),COUNTA(FILTER(C$1:C504, C$1:C504&lt;&gt;""""))))-1), IF('To Order'!$A505=COLUMNS($A505:C"&amp;"524), C504&amp;RIGHT(INDIRECT(ADDRESS(ROW(C505)-1, 'From Order'!$A505)), 1), C504))"),"SMFBBR")</f>
        <v>SMFBBR</v>
      </c>
      <c r="D505" s="2" t="str">
        <f>IFERROR(__xludf.DUMMYFUNCTION("IF('From Order'!$A505=COLUMNS($A505:D524), LEFT(INDEX(FILTER(D$1:D504, D$1:D504&lt;&gt;""""),COUNTA(FILTER(D$1:D504, D$1:D504&lt;&gt;""""))), LEN(INDEX(FILTER(D$1:D504, D$1:D504&lt;&gt;""""),COUNTA(FILTER(D$1:D504, D$1:D504&lt;&gt;""""))))-1), IF('To Order'!$A505=COLUMNS($A505:D"&amp;"524), D504&amp;RIGHT(INDIRECT(ADDRESS(ROW(D505)-1, 'From Order'!$A505)), 1), D504))"),"")</f>
        <v/>
      </c>
      <c r="E505" s="2" t="str">
        <f>IFERROR(__xludf.DUMMYFUNCTION("IF('From Order'!$A505=COLUMNS($A505:E524), LEFT(INDEX(FILTER(E$1:E504, E$1:E504&lt;&gt;""""),COUNTA(FILTER(E$1:E504, E$1:E504&lt;&gt;""""))), LEN(INDEX(FILTER(E$1:E504, E$1:E504&lt;&gt;""""),COUNTA(FILTER(E$1:E504, E$1:E504&lt;&gt;""""))))-1), IF('To Order'!$A505=COLUMNS($A505:E"&amp;"524), E504&amp;RIGHT(INDIRECT(ADDRESS(ROW(E505)-1, 'From Order'!$A505)), 1), E504))"),"LBSGDT")</f>
        <v>LBSGDT</v>
      </c>
      <c r="F505" s="2" t="str">
        <f>IFERROR(__xludf.DUMMYFUNCTION("IF('From Order'!$A505=COLUMNS($A505:F524), LEFT(INDEX(FILTER(F$1:F504, F$1:F504&lt;&gt;""""),COUNTA(FILTER(F$1:F504, F$1:F504&lt;&gt;""""))), LEN(INDEX(FILTER(F$1:F504, F$1:F504&lt;&gt;""""),COUNTA(FILTER(F$1:F504, F$1:F504&lt;&gt;""""))))-1), IF('To Order'!$A505=COLUMNS($A505:F"&amp;"524), F504&amp;RIGHT(INDIRECT(ADDRESS(ROW(F505)-1, 'From Order'!$A505)), 1), F504))"),"JLCTFTMQCDTRLDRWTJTVCBPWHGSSDPQ")</f>
        <v>JLCTFTMQCDTRLDRWTJTVCBPWHGSSDPQ</v>
      </c>
      <c r="G505" s="2" t="str">
        <f>IFERROR(__xludf.DUMMYFUNCTION("IF('From Order'!$A505=COLUMNS($A505:G524), LEFT(INDEX(FILTER(G$1:G504, G$1:G504&lt;&gt;""""),COUNTA(FILTER(G$1:G504, G$1:G504&lt;&gt;""""))), LEN(INDEX(FILTER(G$1:G504, G$1:G504&lt;&gt;""""),COUNTA(FILTER(G$1:G504, G$1:G504&lt;&gt;""""))))-1), IF('To Order'!$A505=COLUMNS($A505:G"&amp;"524), G504&amp;RIGHT(INDIRECT(ADDRESS(ROW(G505)-1, 'From Order'!$A505)), 1), G504))"),"")</f>
        <v/>
      </c>
      <c r="H505" s="2" t="str">
        <f>IFERROR(__xludf.DUMMYFUNCTION("IF('From Order'!$A505=COLUMNS($A505:H524), LEFT(INDEX(FILTER(H$1:H504, H$1:H504&lt;&gt;""""),COUNTA(FILTER(H$1:H504, H$1:H504&lt;&gt;""""))), LEN(INDEX(FILTER(H$1:H504, H$1:H504&lt;&gt;""""),COUNTA(FILTER(H$1:H504, H$1:H504&lt;&gt;""""))))-1), IF('To Order'!$A505=COLUMNS($A505:H"&amp;"524), H504&amp;RIGHT(INDIRECT(ADDRESS(ROW(H505)-1, 'From Order'!$A505)), 1), H504))"),"ZMD")</f>
        <v>ZMD</v>
      </c>
      <c r="I505" s="2" t="str">
        <f>IFERROR(__xludf.DUMMYFUNCTION("IF('From Order'!$A505=COLUMNS($A505:I524), LEFT(INDEX(FILTER(I$1:I504, I$1:I504&lt;&gt;""""),COUNTA(FILTER(I$1:I504, I$1:I504&lt;&gt;""""))), LEN(INDEX(FILTER(I$1:I504, I$1:I504&lt;&gt;""""),COUNTA(FILTER(I$1:I504, I$1:I504&lt;&gt;""""))))-1), IF('To Order'!$A505=COLUMNS($A505:I"&amp;"524), I504&amp;RIGHT(INDIRECT(ADDRESS(ROW(I505)-1, 'From Order'!$A505)), 1), I504))"),"D")</f>
        <v>D</v>
      </c>
    </row>
    <row r="506">
      <c r="A506" s="2" t="str">
        <f>IFERROR(__xludf.DUMMYFUNCTION("IF('From Order'!$A506=COLUMNS($A506:A525), LEFT(INDEX(FILTER(A$1:A505, A$1:A505&lt;&gt;""""),COUNTA(FILTER(A$1:A505, A$1:A505&lt;&gt;""""))), LEN(INDEX(FILTER(A$1:A505, A$1:A505&lt;&gt;""""),COUNTA(FILTER(A$1:A505, A$1:A505&lt;&gt;""""))))-1), IF('To Order'!$A506=COLUMNS($A506:A"&amp;"525), A505&amp;RIGHT(INDIRECT(ADDRESS(ROW(A506)-1, 'From Order'!$A506)), 1), A505))"),"")</f>
        <v/>
      </c>
      <c r="B506" s="2" t="str">
        <f>IFERROR(__xludf.DUMMYFUNCTION("IF('From Order'!$A506=COLUMNS($A506:B525), LEFT(INDEX(FILTER(B$1:B505, B$1:B505&lt;&gt;""""),COUNTA(FILTER(B$1:B505, B$1:B505&lt;&gt;""""))), LEN(INDEX(FILTER(B$1:B505, B$1:B505&lt;&gt;""""),COUNTA(FILTER(B$1:B505, B$1:B505&lt;&gt;""""))))-1), IF('To Order'!$A506=COLUMNS($A506:B"&amp;"525), B505&amp;RIGHT(INDIRECT(ADDRESS(ROW(B506)-1, 'From Order'!$A506)), 1), B505))"),"JZRVPVRZH")</f>
        <v>JZRVPVRZH</v>
      </c>
      <c r="C506" s="2" t="str">
        <f>IFERROR(__xludf.DUMMYFUNCTION("IF('From Order'!$A506=COLUMNS($A506:C525), LEFT(INDEX(FILTER(C$1:C505, C$1:C505&lt;&gt;""""),COUNTA(FILTER(C$1:C505, C$1:C505&lt;&gt;""""))), LEN(INDEX(FILTER(C$1:C505, C$1:C505&lt;&gt;""""),COUNTA(FILTER(C$1:C505, C$1:C505&lt;&gt;""""))))-1), IF('To Order'!$A506=COLUMNS($A506:C"&amp;"525), C505&amp;RIGHT(INDIRECT(ADDRESS(ROW(C506)-1, 'From Order'!$A506)), 1), C505))"),"SMFBB")</f>
        <v>SMFBB</v>
      </c>
      <c r="D506" s="2" t="str">
        <f>IFERROR(__xludf.DUMMYFUNCTION("IF('From Order'!$A506=COLUMNS($A506:D525), LEFT(INDEX(FILTER(D$1:D505, D$1:D505&lt;&gt;""""),COUNTA(FILTER(D$1:D505, D$1:D505&lt;&gt;""""))), LEN(INDEX(FILTER(D$1:D505, D$1:D505&lt;&gt;""""),COUNTA(FILTER(D$1:D505, D$1:D505&lt;&gt;""""))))-1), IF('To Order'!$A506=COLUMNS($A506:D"&amp;"525), D505&amp;RIGHT(INDIRECT(ADDRESS(ROW(D506)-1, 'From Order'!$A506)), 1), D505))"),"")</f>
        <v/>
      </c>
      <c r="E506" s="2" t="str">
        <f>IFERROR(__xludf.DUMMYFUNCTION("IF('From Order'!$A506=COLUMNS($A506:E525), LEFT(INDEX(FILTER(E$1:E505, E$1:E505&lt;&gt;""""),COUNTA(FILTER(E$1:E505, E$1:E505&lt;&gt;""""))), LEN(INDEX(FILTER(E$1:E505, E$1:E505&lt;&gt;""""),COUNTA(FILTER(E$1:E505, E$1:E505&lt;&gt;""""))))-1), IF('To Order'!$A506=COLUMNS($A506:E"&amp;"525), E505&amp;RIGHT(INDIRECT(ADDRESS(ROW(E506)-1, 'From Order'!$A506)), 1), E505))"),"LBSGDT")</f>
        <v>LBSGDT</v>
      </c>
      <c r="F506" s="2" t="str">
        <f>IFERROR(__xludf.DUMMYFUNCTION("IF('From Order'!$A506=COLUMNS($A506:F525), LEFT(INDEX(FILTER(F$1:F505, F$1:F505&lt;&gt;""""),COUNTA(FILTER(F$1:F505, F$1:F505&lt;&gt;""""))), LEN(INDEX(FILTER(F$1:F505, F$1:F505&lt;&gt;""""),COUNTA(FILTER(F$1:F505, F$1:F505&lt;&gt;""""))))-1), IF('To Order'!$A506=COLUMNS($A506:F"&amp;"525), F505&amp;RIGHT(INDIRECT(ADDRESS(ROW(F506)-1, 'From Order'!$A506)), 1), F505))"),"JLCTFTMQCDTRLDRWTJTVCBPWHGSSDPQR")</f>
        <v>JLCTFTMQCDTRLDRWTJTVCBPWHGSSDPQR</v>
      </c>
      <c r="G506" s="2" t="str">
        <f>IFERROR(__xludf.DUMMYFUNCTION("IF('From Order'!$A506=COLUMNS($A506:G525), LEFT(INDEX(FILTER(G$1:G505, G$1:G505&lt;&gt;""""),COUNTA(FILTER(G$1:G505, G$1:G505&lt;&gt;""""))), LEN(INDEX(FILTER(G$1:G505, G$1:G505&lt;&gt;""""),COUNTA(FILTER(G$1:G505, G$1:G505&lt;&gt;""""))))-1), IF('To Order'!$A506=COLUMNS($A506:G"&amp;"525), G505&amp;RIGHT(INDIRECT(ADDRESS(ROW(G506)-1, 'From Order'!$A506)), 1), G505))"),"")</f>
        <v/>
      </c>
      <c r="H506" s="2" t="str">
        <f>IFERROR(__xludf.DUMMYFUNCTION("IF('From Order'!$A506=COLUMNS($A506:H525), LEFT(INDEX(FILTER(H$1:H505, H$1:H505&lt;&gt;""""),COUNTA(FILTER(H$1:H505, H$1:H505&lt;&gt;""""))), LEN(INDEX(FILTER(H$1:H505, H$1:H505&lt;&gt;""""),COUNTA(FILTER(H$1:H505, H$1:H505&lt;&gt;""""))))-1), IF('To Order'!$A506=COLUMNS($A506:H"&amp;"525), H505&amp;RIGHT(INDIRECT(ADDRESS(ROW(H506)-1, 'From Order'!$A506)), 1), H505))"),"ZMD")</f>
        <v>ZMD</v>
      </c>
      <c r="I506" s="2" t="str">
        <f>IFERROR(__xludf.DUMMYFUNCTION("IF('From Order'!$A506=COLUMNS($A506:I525), LEFT(INDEX(FILTER(I$1:I505, I$1:I505&lt;&gt;""""),COUNTA(FILTER(I$1:I505, I$1:I505&lt;&gt;""""))), LEN(INDEX(FILTER(I$1:I505, I$1:I505&lt;&gt;""""),COUNTA(FILTER(I$1:I505, I$1:I505&lt;&gt;""""))))-1), IF('To Order'!$A506=COLUMNS($A506:I"&amp;"525), I505&amp;RIGHT(INDIRECT(ADDRESS(ROW(I506)-1, 'From Order'!$A506)), 1), I505))"),"D")</f>
        <v>D</v>
      </c>
    </row>
    <row r="507">
      <c r="A507" s="2" t="str">
        <f>IFERROR(__xludf.DUMMYFUNCTION("IF('From Order'!$A507=COLUMNS($A507:A526), LEFT(INDEX(FILTER(A$1:A506, A$1:A506&lt;&gt;""""),COUNTA(FILTER(A$1:A506, A$1:A506&lt;&gt;""""))), LEN(INDEX(FILTER(A$1:A506, A$1:A506&lt;&gt;""""),COUNTA(FILTER(A$1:A506, A$1:A506&lt;&gt;""""))))-1), IF('To Order'!$A507=COLUMNS($A507:A"&amp;"526), A506&amp;RIGHT(INDIRECT(ADDRESS(ROW(A507)-1, 'From Order'!$A507)), 1), A506))"),"")</f>
        <v/>
      </c>
      <c r="B507" s="2" t="str">
        <f>IFERROR(__xludf.DUMMYFUNCTION("IF('From Order'!$A507=COLUMNS($A507:B526), LEFT(INDEX(FILTER(B$1:B506, B$1:B506&lt;&gt;""""),COUNTA(FILTER(B$1:B506, B$1:B506&lt;&gt;""""))), LEN(INDEX(FILTER(B$1:B506, B$1:B506&lt;&gt;""""),COUNTA(FILTER(B$1:B506, B$1:B506&lt;&gt;""""))))-1), IF('To Order'!$A507=COLUMNS($A507:B"&amp;"526), B506&amp;RIGHT(INDIRECT(ADDRESS(ROW(B507)-1, 'From Order'!$A507)), 1), B506))"),"JZRVPVRZH")</f>
        <v>JZRVPVRZH</v>
      </c>
      <c r="C507" s="2" t="str">
        <f>IFERROR(__xludf.DUMMYFUNCTION("IF('From Order'!$A507=COLUMNS($A507:C526), LEFT(INDEX(FILTER(C$1:C506, C$1:C506&lt;&gt;""""),COUNTA(FILTER(C$1:C506, C$1:C506&lt;&gt;""""))), LEN(INDEX(FILTER(C$1:C506, C$1:C506&lt;&gt;""""),COUNTA(FILTER(C$1:C506, C$1:C506&lt;&gt;""""))))-1), IF('To Order'!$A507=COLUMNS($A507:C"&amp;"526), C506&amp;RIGHT(INDIRECT(ADDRESS(ROW(C507)-1, 'From Order'!$A507)), 1), C506))"),"SMFB")</f>
        <v>SMFB</v>
      </c>
      <c r="D507" s="2" t="str">
        <f>IFERROR(__xludf.DUMMYFUNCTION("IF('From Order'!$A507=COLUMNS($A507:D526), LEFT(INDEX(FILTER(D$1:D506, D$1:D506&lt;&gt;""""),COUNTA(FILTER(D$1:D506, D$1:D506&lt;&gt;""""))), LEN(INDEX(FILTER(D$1:D506, D$1:D506&lt;&gt;""""),COUNTA(FILTER(D$1:D506, D$1:D506&lt;&gt;""""))))-1), IF('To Order'!$A507=COLUMNS($A507:D"&amp;"526), D506&amp;RIGHT(INDIRECT(ADDRESS(ROW(D507)-1, 'From Order'!$A507)), 1), D506))"),"")</f>
        <v/>
      </c>
      <c r="E507" s="2" t="str">
        <f>IFERROR(__xludf.DUMMYFUNCTION("IF('From Order'!$A507=COLUMNS($A507:E526), LEFT(INDEX(FILTER(E$1:E506, E$1:E506&lt;&gt;""""),COUNTA(FILTER(E$1:E506, E$1:E506&lt;&gt;""""))), LEN(INDEX(FILTER(E$1:E506, E$1:E506&lt;&gt;""""),COUNTA(FILTER(E$1:E506, E$1:E506&lt;&gt;""""))))-1), IF('To Order'!$A507=COLUMNS($A507:E"&amp;"526), E506&amp;RIGHT(INDIRECT(ADDRESS(ROW(E507)-1, 'From Order'!$A507)), 1), E506))"),"LBSGDT")</f>
        <v>LBSGDT</v>
      </c>
      <c r="F507" s="2" t="str">
        <f>IFERROR(__xludf.DUMMYFUNCTION("IF('From Order'!$A507=COLUMNS($A507:F526), LEFT(INDEX(FILTER(F$1:F506, F$1:F506&lt;&gt;""""),COUNTA(FILTER(F$1:F506, F$1:F506&lt;&gt;""""))), LEN(INDEX(FILTER(F$1:F506, F$1:F506&lt;&gt;""""),COUNTA(FILTER(F$1:F506, F$1:F506&lt;&gt;""""))))-1), IF('To Order'!$A507=COLUMNS($A507:F"&amp;"526), F506&amp;RIGHT(INDIRECT(ADDRESS(ROW(F507)-1, 'From Order'!$A507)), 1), F506))"),"JLCTFTMQCDTRLDRWTJTVCBPWHGSSDPQRB")</f>
        <v>JLCTFTMQCDTRLDRWTJTVCBPWHGSSDPQRB</v>
      </c>
      <c r="G507" s="2" t="str">
        <f>IFERROR(__xludf.DUMMYFUNCTION("IF('From Order'!$A507=COLUMNS($A507:G526), LEFT(INDEX(FILTER(G$1:G506, G$1:G506&lt;&gt;""""),COUNTA(FILTER(G$1:G506, G$1:G506&lt;&gt;""""))), LEN(INDEX(FILTER(G$1:G506, G$1:G506&lt;&gt;""""),COUNTA(FILTER(G$1:G506, G$1:G506&lt;&gt;""""))))-1), IF('To Order'!$A507=COLUMNS($A507:G"&amp;"526), G506&amp;RIGHT(INDIRECT(ADDRESS(ROW(G507)-1, 'From Order'!$A507)), 1), G506))"),"")</f>
        <v/>
      </c>
      <c r="H507" s="2" t="str">
        <f>IFERROR(__xludf.DUMMYFUNCTION("IF('From Order'!$A507=COLUMNS($A507:H526), LEFT(INDEX(FILTER(H$1:H506, H$1:H506&lt;&gt;""""),COUNTA(FILTER(H$1:H506, H$1:H506&lt;&gt;""""))), LEN(INDEX(FILTER(H$1:H506, H$1:H506&lt;&gt;""""),COUNTA(FILTER(H$1:H506, H$1:H506&lt;&gt;""""))))-1), IF('To Order'!$A507=COLUMNS($A507:H"&amp;"526), H506&amp;RIGHT(INDIRECT(ADDRESS(ROW(H507)-1, 'From Order'!$A507)), 1), H506))"),"ZMD")</f>
        <v>ZMD</v>
      </c>
      <c r="I507" s="2" t="str">
        <f>IFERROR(__xludf.DUMMYFUNCTION("IF('From Order'!$A507=COLUMNS($A507:I526), LEFT(INDEX(FILTER(I$1:I506, I$1:I506&lt;&gt;""""),COUNTA(FILTER(I$1:I506, I$1:I506&lt;&gt;""""))), LEN(INDEX(FILTER(I$1:I506, I$1:I506&lt;&gt;""""),COUNTA(FILTER(I$1:I506, I$1:I506&lt;&gt;""""))))-1), IF('To Order'!$A507=COLUMNS($A507:I"&amp;"526), I506&amp;RIGHT(INDIRECT(ADDRESS(ROW(I507)-1, 'From Order'!$A507)), 1), I506))"),"D")</f>
        <v>D</v>
      </c>
    </row>
    <row r="508">
      <c r="A508" s="2" t="str">
        <f>IFERROR(__xludf.DUMMYFUNCTION("IF('From Order'!$A508=COLUMNS($A508:A527), LEFT(INDEX(FILTER(A$1:A507, A$1:A507&lt;&gt;""""),COUNTA(FILTER(A$1:A507, A$1:A507&lt;&gt;""""))), LEN(INDEX(FILTER(A$1:A507, A$1:A507&lt;&gt;""""),COUNTA(FILTER(A$1:A507, A$1:A507&lt;&gt;""""))))-1), IF('To Order'!$A508=COLUMNS($A508:A"&amp;"527), A507&amp;RIGHT(INDIRECT(ADDRESS(ROW(A508)-1, 'From Order'!$A508)), 1), A507))"),"")</f>
        <v/>
      </c>
      <c r="B508" s="2" t="str">
        <f>IFERROR(__xludf.DUMMYFUNCTION("IF('From Order'!$A508=COLUMNS($A508:B527), LEFT(INDEX(FILTER(B$1:B507, B$1:B507&lt;&gt;""""),COUNTA(FILTER(B$1:B507, B$1:B507&lt;&gt;""""))), LEN(INDEX(FILTER(B$1:B507, B$1:B507&lt;&gt;""""),COUNTA(FILTER(B$1:B507, B$1:B507&lt;&gt;""""))))-1), IF('To Order'!$A508=COLUMNS($A508:B"&amp;"527), B507&amp;RIGHT(INDIRECT(ADDRESS(ROW(B508)-1, 'From Order'!$A508)), 1), B507))"),"JZRVPVRZH")</f>
        <v>JZRVPVRZH</v>
      </c>
      <c r="C508" s="2" t="str">
        <f>IFERROR(__xludf.DUMMYFUNCTION("IF('From Order'!$A508=COLUMNS($A508:C527), LEFT(INDEX(FILTER(C$1:C507, C$1:C507&lt;&gt;""""),COUNTA(FILTER(C$1:C507, C$1:C507&lt;&gt;""""))), LEN(INDEX(FILTER(C$1:C507, C$1:C507&lt;&gt;""""),COUNTA(FILTER(C$1:C507, C$1:C507&lt;&gt;""""))))-1), IF('To Order'!$A508=COLUMNS($A508:C"&amp;"527), C507&amp;RIGHT(INDIRECT(ADDRESS(ROW(C508)-1, 'From Order'!$A508)), 1), C507))"),"SMF")</f>
        <v>SMF</v>
      </c>
      <c r="D508" s="2" t="str">
        <f>IFERROR(__xludf.DUMMYFUNCTION("IF('From Order'!$A508=COLUMNS($A508:D527), LEFT(INDEX(FILTER(D$1:D507, D$1:D507&lt;&gt;""""),COUNTA(FILTER(D$1:D507, D$1:D507&lt;&gt;""""))), LEN(INDEX(FILTER(D$1:D507, D$1:D507&lt;&gt;""""),COUNTA(FILTER(D$1:D507, D$1:D507&lt;&gt;""""))))-1), IF('To Order'!$A508=COLUMNS($A508:D"&amp;"527), D507&amp;RIGHT(INDIRECT(ADDRESS(ROW(D508)-1, 'From Order'!$A508)), 1), D507))"),"")</f>
        <v/>
      </c>
      <c r="E508" s="2" t="str">
        <f>IFERROR(__xludf.DUMMYFUNCTION("IF('From Order'!$A508=COLUMNS($A508:E527), LEFT(INDEX(FILTER(E$1:E507, E$1:E507&lt;&gt;""""),COUNTA(FILTER(E$1:E507, E$1:E507&lt;&gt;""""))), LEN(INDEX(FILTER(E$1:E507, E$1:E507&lt;&gt;""""),COUNTA(FILTER(E$1:E507, E$1:E507&lt;&gt;""""))))-1), IF('To Order'!$A508=COLUMNS($A508:E"&amp;"527), E507&amp;RIGHT(INDIRECT(ADDRESS(ROW(E508)-1, 'From Order'!$A508)), 1), E507))"),"LBSGDT")</f>
        <v>LBSGDT</v>
      </c>
      <c r="F508" s="2" t="str">
        <f>IFERROR(__xludf.DUMMYFUNCTION("IF('From Order'!$A508=COLUMNS($A508:F527), LEFT(INDEX(FILTER(F$1:F507, F$1:F507&lt;&gt;""""),COUNTA(FILTER(F$1:F507, F$1:F507&lt;&gt;""""))), LEN(INDEX(FILTER(F$1:F507, F$1:F507&lt;&gt;""""),COUNTA(FILTER(F$1:F507, F$1:F507&lt;&gt;""""))))-1), IF('To Order'!$A508=COLUMNS($A508:F"&amp;"527), F507&amp;RIGHT(INDIRECT(ADDRESS(ROW(F508)-1, 'From Order'!$A508)), 1), F507))"),"JLCTFTMQCDTRLDRWTJTVCBPWHGSSDPQRBB")</f>
        <v>JLCTFTMQCDTRLDRWTJTVCBPWHGSSDPQRBB</v>
      </c>
      <c r="G508" s="2" t="str">
        <f>IFERROR(__xludf.DUMMYFUNCTION("IF('From Order'!$A508=COLUMNS($A508:G527), LEFT(INDEX(FILTER(G$1:G507, G$1:G507&lt;&gt;""""),COUNTA(FILTER(G$1:G507, G$1:G507&lt;&gt;""""))), LEN(INDEX(FILTER(G$1:G507, G$1:G507&lt;&gt;""""),COUNTA(FILTER(G$1:G507, G$1:G507&lt;&gt;""""))))-1), IF('To Order'!$A508=COLUMNS($A508:G"&amp;"527), G507&amp;RIGHT(INDIRECT(ADDRESS(ROW(G508)-1, 'From Order'!$A508)), 1), G507))"),"")</f>
        <v/>
      </c>
      <c r="H508" s="2" t="str">
        <f>IFERROR(__xludf.DUMMYFUNCTION("IF('From Order'!$A508=COLUMNS($A508:H527), LEFT(INDEX(FILTER(H$1:H507, H$1:H507&lt;&gt;""""),COUNTA(FILTER(H$1:H507, H$1:H507&lt;&gt;""""))), LEN(INDEX(FILTER(H$1:H507, H$1:H507&lt;&gt;""""),COUNTA(FILTER(H$1:H507, H$1:H507&lt;&gt;""""))))-1), IF('To Order'!$A508=COLUMNS($A508:H"&amp;"527), H507&amp;RIGHT(INDIRECT(ADDRESS(ROW(H508)-1, 'From Order'!$A508)), 1), H507))"),"ZMD")</f>
        <v>ZMD</v>
      </c>
      <c r="I508" s="2" t="str">
        <f>IFERROR(__xludf.DUMMYFUNCTION("IF('From Order'!$A508=COLUMNS($A508:I527), LEFT(INDEX(FILTER(I$1:I507, I$1:I507&lt;&gt;""""),COUNTA(FILTER(I$1:I507, I$1:I507&lt;&gt;""""))), LEN(INDEX(FILTER(I$1:I507, I$1:I507&lt;&gt;""""),COUNTA(FILTER(I$1:I507, I$1:I507&lt;&gt;""""))))-1), IF('To Order'!$A508=COLUMNS($A508:I"&amp;"527), I507&amp;RIGHT(INDIRECT(ADDRESS(ROW(I508)-1, 'From Order'!$A508)), 1), I507))"),"D")</f>
        <v>D</v>
      </c>
    </row>
    <row r="509">
      <c r="A509" s="2" t="str">
        <f>IFERROR(__xludf.DUMMYFUNCTION("IF('From Order'!$A509=COLUMNS($A509:A528), LEFT(INDEX(FILTER(A$1:A508, A$1:A508&lt;&gt;""""),COUNTA(FILTER(A$1:A508, A$1:A508&lt;&gt;""""))), LEN(INDEX(FILTER(A$1:A508, A$1:A508&lt;&gt;""""),COUNTA(FILTER(A$1:A508, A$1:A508&lt;&gt;""""))))-1), IF('To Order'!$A509=COLUMNS($A509:A"&amp;"528), A508&amp;RIGHT(INDIRECT(ADDRESS(ROW(A509)-1, 'From Order'!$A509)), 1), A508))"),"")</f>
        <v/>
      </c>
      <c r="B509" s="2" t="str">
        <f>IFERROR(__xludf.DUMMYFUNCTION("IF('From Order'!$A509=COLUMNS($A509:B528), LEFT(INDEX(FILTER(B$1:B508, B$1:B508&lt;&gt;""""),COUNTA(FILTER(B$1:B508, B$1:B508&lt;&gt;""""))), LEN(INDEX(FILTER(B$1:B508, B$1:B508&lt;&gt;""""),COUNTA(FILTER(B$1:B508, B$1:B508&lt;&gt;""""))))-1), IF('To Order'!$A509=COLUMNS($A509:B"&amp;"528), B508&amp;RIGHT(INDIRECT(ADDRESS(ROW(B509)-1, 'From Order'!$A509)), 1), B508))"),"JZRVPVRZH")</f>
        <v>JZRVPVRZH</v>
      </c>
      <c r="C509" s="2" t="str">
        <f>IFERROR(__xludf.DUMMYFUNCTION("IF('From Order'!$A509=COLUMNS($A509:C528), LEFT(INDEX(FILTER(C$1:C508, C$1:C508&lt;&gt;""""),COUNTA(FILTER(C$1:C508, C$1:C508&lt;&gt;""""))), LEN(INDEX(FILTER(C$1:C508, C$1:C508&lt;&gt;""""),COUNTA(FILTER(C$1:C508, C$1:C508&lt;&gt;""""))))-1), IF('To Order'!$A509=COLUMNS($A509:C"&amp;"528), C508&amp;RIGHT(INDIRECT(ADDRESS(ROW(C509)-1, 'From Order'!$A509)), 1), C508))"),"SM")</f>
        <v>SM</v>
      </c>
      <c r="D509" s="2" t="str">
        <f>IFERROR(__xludf.DUMMYFUNCTION("IF('From Order'!$A509=COLUMNS($A509:D528), LEFT(INDEX(FILTER(D$1:D508, D$1:D508&lt;&gt;""""),COUNTA(FILTER(D$1:D508, D$1:D508&lt;&gt;""""))), LEN(INDEX(FILTER(D$1:D508, D$1:D508&lt;&gt;""""),COUNTA(FILTER(D$1:D508, D$1:D508&lt;&gt;""""))))-1), IF('To Order'!$A509=COLUMNS($A509:D"&amp;"528), D508&amp;RIGHT(INDIRECT(ADDRESS(ROW(D509)-1, 'From Order'!$A509)), 1), D508))"),"")</f>
        <v/>
      </c>
      <c r="E509" s="2" t="str">
        <f>IFERROR(__xludf.DUMMYFUNCTION("IF('From Order'!$A509=COLUMNS($A509:E528), LEFT(INDEX(FILTER(E$1:E508, E$1:E508&lt;&gt;""""),COUNTA(FILTER(E$1:E508, E$1:E508&lt;&gt;""""))), LEN(INDEX(FILTER(E$1:E508, E$1:E508&lt;&gt;""""),COUNTA(FILTER(E$1:E508, E$1:E508&lt;&gt;""""))))-1), IF('To Order'!$A509=COLUMNS($A509:E"&amp;"528), E508&amp;RIGHT(INDIRECT(ADDRESS(ROW(E509)-1, 'From Order'!$A509)), 1), E508))"),"LBSGDT")</f>
        <v>LBSGDT</v>
      </c>
      <c r="F509" s="2" t="str">
        <f>IFERROR(__xludf.DUMMYFUNCTION("IF('From Order'!$A509=COLUMNS($A509:F528), LEFT(INDEX(FILTER(F$1:F508, F$1:F508&lt;&gt;""""),COUNTA(FILTER(F$1:F508, F$1:F508&lt;&gt;""""))), LEN(INDEX(FILTER(F$1:F508, F$1:F508&lt;&gt;""""),COUNTA(FILTER(F$1:F508, F$1:F508&lt;&gt;""""))))-1), IF('To Order'!$A509=COLUMNS($A509:F"&amp;"528), F508&amp;RIGHT(INDIRECT(ADDRESS(ROW(F509)-1, 'From Order'!$A509)), 1), F508))"),"JLCTFTMQCDTRLDRWTJTVCBPWHGSSDPQRBBF")</f>
        <v>JLCTFTMQCDTRLDRWTJTVCBPWHGSSDPQRBBF</v>
      </c>
      <c r="G509" s="2" t="str">
        <f>IFERROR(__xludf.DUMMYFUNCTION("IF('From Order'!$A509=COLUMNS($A509:G528), LEFT(INDEX(FILTER(G$1:G508, G$1:G508&lt;&gt;""""),COUNTA(FILTER(G$1:G508, G$1:G508&lt;&gt;""""))), LEN(INDEX(FILTER(G$1:G508, G$1:G508&lt;&gt;""""),COUNTA(FILTER(G$1:G508, G$1:G508&lt;&gt;""""))))-1), IF('To Order'!$A509=COLUMNS($A509:G"&amp;"528), G508&amp;RIGHT(INDIRECT(ADDRESS(ROW(G509)-1, 'From Order'!$A509)), 1), G508))"),"")</f>
        <v/>
      </c>
      <c r="H509" s="2" t="str">
        <f>IFERROR(__xludf.DUMMYFUNCTION("IF('From Order'!$A509=COLUMNS($A509:H528), LEFT(INDEX(FILTER(H$1:H508, H$1:H508&lt;&gt;""""),COUNTA(FILTER(H$1:H508, H$1:H508&lt;&gt;""""))), LEN(INDEX(FILTER(H$1:H508, H$1:H508&lt;&gt;""""),COUNTA(FILTER(H$1:H508, H$1:H508&lt;&gt;""""))))-1), IF('To Order'!$A509=COLUMNS($A509:H"&amp;"528), H508&amp;RIGHT(INDIRECT(ADDRESS(ROW(H509)-1, 'From Order'!$A509)), 1), H508))"),"ZMD")</f>
        <v>ZMD</v>
      </c>
      <c r="I509" s="2" t="str">
        <f>IFERROR(__xludf.DUMMYFUNCTION("IF('From Order'!$A509=COLUMNS($A509:I528), LEFT(INDEX(FILTER(I$1:I508, I$1:I508&lt;&gt;""""),COUNTA(FILTER(I$1:I508, I$1:I508&lt;&gt;""""))), LEN(INDEX(FILTER(I$1:I508, I$1:I508&lt;&gt;""""),COUNTA(FILTER(I$1:I508, I$1:I508&lt;&gt;""""))))-1), IF('To Order'!$A509=COLUMNS($A509:I"&amp;"528), I508&amp;RIGHT(INDIRECT(ADDRESS(ROW(I509)-1, 'From Order'!$A509)), 1), I508))"),"D")</f>
        <v>D</v>
      </c>
    </row>
    <row r="510">
      <c r="A510" s="2" t="str">
        <f>IFERROR(__xludf.DUMMYFUNCTION("IF('From Order'!$A510=COLUMNS($A510:A529), LEFT(INDEX(FILTER(A$1:A509, A$1:A509&lt;&gt;""""),COUNTA(FILTER(A$1:A509, A$1:A509&lt;&gt;""""))), LEN(INDEX(FILTER(A$1:A509, A$1:A509&lt;&gt;""""),COUNTA(FILTER(A$1:A509, A$1:A509&lt;&gt;""""))))-1), IF('To Order'!$A510=COLUMNS($A510:A"&amp;"529), A509&amp;RIGHT(INDIRECT(ADDRESS(ROW(A510)-1, 'From Order'!$A510)), 1), A509))"),"")</f>
        <v/>
      </c>
      <c r="B510" s="2" t="str">
        <f>IFERROR(__xludf.DUMMYFUNCTION("IF('From Order'!$A510=COLUMNS($A510:B529), LEFT(INDEX(FILTER(B$1:B509, B$1:B509&lt;&gt;""""),COUNTA(FILTER(B$1:B509, B$1:B509&lt;&gt;""""))), LEN(INDEX(FILTER(B$1:B509, B$1:B509&lt;&gt;""""),COUNTA(FILTER(B$1:B509, B$1:B509&lt;&gt;""""))))-1), IF('To Order'!$A510=COLUMNS($A510:B"&amp;"529), B509&amp;RIGHT(INDIRECT(ADDRESS(ROW(B510)-1, 'From Order'!$A510)), 1), B509))"),"JZRVPVRZH")</f>
        <v>JZRVPVRZH</v>
      </c>
      <c r="C510" s="2" t="str">
        <f>IFERROR(__xludf.DUMMYFUNCTION("IF('From Order'!$A510=COLUMNS($A510:C529), LEFT(INDEX(FILTER(C$1:C509, C$1:C509&lt;&gt;""""),COUNTA(FILTER(C$1:C509, C$1:C509&lt;&gt;""""))), LEN(INDEX(FILTER(C$1:C509, C$1:C509&lt;&gt;""""),COUNTA(FILTER(C$1:C509, C$1:C509&lt;&gt;""""))))-1), IF('To Order'!$A510=COLUMNS($A510:C"&amp;"529), C509&amp;RIGHT(INDIRECT(ADDRESS(ROW(C510)-1, 'From Order'!$A510)), 1), C509))"),"S")</f>
        <v>S</v>
      </c>
      <c r="D510" s="2" t="str">
        <f>IFERROR(__xludf.DUMMYFUNCTION("IF('From Order'!$A510=COLUMNS($A510:D529), LEFT(INDEX(FILTER(D$1:D509, D$1:D509&lt;&gt;""""),COUNTA(FILTER(D$1:D509, D$1:D509&lt;&gt;""""))), LEN(INDEX(FILTER(D$1:D509, D$1:D509&lt;&gt;""""),COUNTA(FILTER(D$1:D509, D$1:D509&lt;&gt;""""))))-1), IF('To Order'!$A510=COLUMNS($A510:D"&amp;"529), D509&amp;RIGHT(INDIRECT(ADDRESS(ROW(D510)-1, 'From Order'!$A510)), 1), D509))"),"")</f>
        <v/>
      </c>
      <c r="E510" s="2" t="str">
        <f>IFERROR(__xludf.DUMMYFUNCTION("IF('From Order'!$A510=COLUMNS($A510:E529), LEFT(INDEX(FILTER(E$1:E509, E$1:E509&lt;&gt;""""),COUNTA(FILTER(E$1:E509, E$1:E509&lt;&gt;""""))), LEN(INDEX(FILTER(E$1:E509, E$1:E509&lt;&gt;""""),COUNTA(FILTER(E$1:E509, E$1:E509&lt;&gt;""""))))-1), IF('To Order'!$A510=COLUMNS($A510:E"&amp;"529), E509&amp;RIGHT(INDIRECT(ADDRESS(ROW(E510)-1, 'From Order'!$A510)), 1), E509))"),"LBSGDT")</f>
        <v>LBSGDT</v>
      </c>
      <c r="F510" s="2" t="str">
        <f>IFERROR(__xludf.DUMMYFUNCTION("IF('From Order'!$A510=COLUMNS($A510:F529), LEFT(INDEX(FILTER(F$1:F509, F$1:F509&lt;&gt;""""),COUNTA(FILTER(F$1:F509, F$1:F509&lt;&gt;""""))), LEN(INDEX(FILTER(F$1:F509, F$1:F509&lt;&gt;""""),COUNTA(FILTER(F$1:F509, F$1:F509&lt;&gt;""""))))-1), IF('To Order'!$A510=COLUMNS($A510:F"&amp;"529), F509&amp;RIGHT(INDIRECT(ADDRESS(ROW(F510)-1, 'From Order'!$A510)), 1), F509))"),"JLCTFTMQCDTRLDRWTJTVCBPWHGSSDPQRBBFM")</f>
        <v>JLCTFTMQCDTRLDRWTJTVCBPWHGSSDPQRBBFM</v>
      </c>
      <c r="G510" s="2" t="str">
        <f>IFERROR(__xludf.DUMMYFUNCTION("IF('From Order'!$A510=COLUMNS($A510:G529), LEFT(INDEX(FILTER(G$1:G509, G$1:G509&lt;&gt;""""),COUNTA(FILTER(G$1:G509, G$1:G509&lt;&gt;""""))), LEN(INDEX(FILTER(G$1:G509, G$1:G509&lt;&gt;""""),COUNTA(FILTER(G$1:G509, G$1:G509&lt;&gt;""""))))-1), IF('To Order'!$A510=COLUMNS($A510:G"&amp;"529), G509&amp;RIGHT(INDIRECT(ADDRESS(ROW(G510)-1, 'From Order'!$A510)), 1), G509))"),"")</f>
        <v/>
      </c>
      <c r="H510" s="2" t="str">
        <f>IFERROR(__xludf.DUMMYFUNCTION("IF('From Order'!$A510=COLUMNS($A510:H529), LEFT(INDEX(FILTER(H$1:H509, H$1:H509&lt;&gt;""""),COUNTA(FILTER(H$1:H509, H$1:H509&lt;&gt;""""))), LEN(INDEX(FILTER(H$1:H509, H$1:H509&lt;&gt;""""),COUNTA(FILTER(H$1:H509, H$1:H509&lt;&gt;""""))))-1), IF('To Order'!$A510=COLUMNS($A510:H"&amp;"529), H509&amp;RIGHT(INDIRECT(ADDRESS(ROW(H510)-1, 'From Order'!$A510)), 1), H509))"),"ZMD")</f>
        <v>ZMD</v>
      </c>
      <c r="I510" s="2" t="str">
        <f>IFERROR(__xludf.DUMMYFUNCTION("IF('From Order'!$A510=COLUMNS($A510:I529), LEFT(INDEX(FILTER(I$1:I509, I$1:I509&lt;&gt;""""),COUNTA(FILTER(I$1:I509, I$1:I509&lt;&gt;""""))), LEN(INDEX(FILTER(I$1:I509, I$1:I509&lt;&gt;""""),COUNTA(FILTER(I$1:I509, I$1:I509&lt;&gt;""""))))-1), IF('To Order'!$A510=COLUMNS($A510:I"&amp;"529), I509&amp;RIGHT(INDIRECT(ADDRESS(ROW(I510)-1, 'From Order'!$A510)), 1), I509))"),"D")</f>
        <v>D</v>
      </c>
    </row>
    <row r="511">
      <c r="A511" s="2" t="str">
        <f>IFERROR(__xludf.DUMMYFUNCTION("IF('From Order'!$A511=COLUMNS($A511:A530), LEFT(INDEX(FILTER(A$1:A510, A$1:A510&lt;&gt;""""),COUNTA(FILTER(A$1:A510, A$1:A510&lt;&gt;""""))), LEN(INDEX(FILTER(A$1:A510, A$1:A510&lt;&gt;""""),COUNTA(FILTER(A$1:A510, A$1:A510&lt;&gt;""""))))-1), IF('To Order'!$A511=COLUMNS($A511:A"&amp;"530), A510&amp;RIGHT(INDIRECT(ADDRESS(ROW(A511)-1, 'From Order'!$A511)), 1), A510))"),"")</f>
        <v/>
      </c>
      <c r="B511" s="2" t="str">
        <f>IFERROR(__xludf.DUMMYFUNCTION("IF('From Order'!$A511=COLUMNS($A511:B530), LEFT(INDEX(FILTER(B$1:B510, B$1:B510&lt;&gt;""""),COUNTA(FILTER(B$1:B510, B$1:B510&lt;&gt;""""))), LEN(INDEX(FILTER(B$1:B510, B$1:B510&lt;&gt;""""),COUNTA(FILTER(B$1:B510, B$1:B510&lt;&gt;""""))))-1), IF('To Order'!$A511=COLUMNS($A511:B"&amp;"530), B510&amp;RIGHT(INDIRECT(ADDRESS(ROW(B511)-1, 'From Order'!$A511)), 1), B510))"),"JZRVPVRZHM")</f>
        <v>JZRVPVRZHM</v>
      </c>
      <c r="C511" s="2" t="str">
        <f>IFERROR(__xludf.DUMMYFUNCTION("IF('From Order'!$A511=COLUMNS($A511:C530), LEFT(INDEX(FILTER(C$1:C510, C$1:C510&lt;&gt;""""),COUNTA(FILTER(C$1:C510, C$1:C510&lt;&gt;""""))), LEN(INDEX(FILTER(C$1:C510, C$1:C510&lt;&gt;""""),COUNTA(FILTER(C$1:C510, C$1:C510&lt;&gt;""""))))-1), IF('To Order'!$A511=COLUMNS($A511:C"&amp;"530), C510&amp;RIGHT(INDIRECT(ADDRESS(ROW(C511)-1, 'From Order'!$A511)), 1), C510))"),"S")</f>
        <v>S</v>
      </c>
      <c r="D511" s="2" t="str">
        <f>IFERROR(__xludf.DUMMYFUNCTION("IF('From Order'!$A511=COLUMNS($A511:D530), LEFT(INDEX(FILTER(D$1:D510, D$1:D510&lt;&gt;""""),COUNTA(FILTER(D$1:D510, D$1:D510&lt;&gt;""""))), LEN(INDEX(FILTER(D$1:D510, D$1:D510&lt;&gt;""""),COUNTA(FILTER(D$1:D510, D$1:D510&lt;&gt;""""))))-1), IF('To Order'!$A511=COLUMNS($A511:D"&amp;"530), D510&amp;RIGHT(INDIRECT(ADDRESS(ROW(D511)-1, 'From Order'!$A511)), 1), D510))"),"")</f>
        <v/>
      </c>
      <c r="E511" s="2" t="str">
        <f>IFERROR(__xludf.DUMMYFUNCTION("IF('From Order'!$A511=COLUMNS($A511:E530), LEFT(INDEX(FILTER(E$1:E510, E$1:E510&lt;&gt;""""),COUNTA(FILTER(E$1:E510, E$1:E510&lt;&gt;""""))), LEN(INDEX(FILTER(E$1:E510, E$1:E510&lt;&gt;""""),COUNTA(FILTER(E$1:E510, E$1:E510&lt;&gt;""""))))-1), IF('To Order'!$A511=COLUMNS($A511:E"&amp;"530), E510&amp;RIGHT(INDIRECT(ADDRESS(ROW(E511)-1, 'From Order'!$A511)), 1), E510))"),"LBSGDT")</f>
        <v>LBSGDT</v>
      </c>
      <c r="F511" s="2" t="str">
        <f>IFERROR(__xludf.DUMMYFUNCTION("IF('From Order'!$A511=COLUMNS($A511:F530), LEFT(INDEX(FILTER(F$1:F510, F$1:F510&lt;&gt;""""),COUNTA(FILTER(F$1:F510, F$1:F510&lt;&gt;""""))), LEN(INDEX(FILTER(F$1:F510, F$1:F510&lt;&gt;""""),COUNTA(FILTER(F$1:F510, F$1:F510&lt;&gt;""""))))-1), IF('To Order'!$A511=COLUMNS($A511:F"&amp;"530), F510&amp;RIGHT(INDIRECT(ADDRESS(ROW(F511)-1, 'From Order'!$A511)), 1), F510))"),"JLCTFTMQCDTRLDRWTJTVCBPWHGSSDPQRBBF")</f>
        <v>JLCTFTMQCDTRLDRWTJTVCBPWHGSSDPQRBBF</v>
      </c>
      <c r="G511" s="2" t="str">
        <f>IFERROR(__xludf.DUMMYFUNCTION("IF('From Order'!$A511=COLUMNS($A511:G530), LEFT(INDEX(FILTER(G$1:G510, G$1:G510&lt;&gt;""""),COUNTA(FILTER(G$1:G510, G$1:G510&lt;&gt;""""))), LEN(INDEX(FILTER(G$1:G510, G$1:G510&lt;&gt;""""),COUNTA(FILTER(G$1:G510, G$1:G510&lt;&gt;""""))))-1), IF('To Order'!$A511=COLUMNS($A511:G"&amp;"530), G510&amp;RIGHT(INDIRECT(ADDRESS(ROW(G511)-1, 'From Order'!$A511)), 1), G510))"),"")</f>
        <v/>
      </c>
      <c r="H511" s="2" t="str">
        <f>IFERROR(__xludf.DUMMYFUNCTION("IF('From Order'!$A511=COLUMNS($A511:H530), LEFT(INDEX(FILTER(H$1:H510, H$1:H510&lt;&gt;""""),COUNTA(FILTER(H$1:H510, H$1:H510&lt;&gt;""""))), LEN(INDEX(FILTER(H$1:H510, H$1:H510&lt;&gt;""""),COUNTA(FILTER(H$1:H510, H$1:H510&lt;&gt;""""))))-1), IF('To Order'!$A511=COLUMNS($A511:H"&amp;"530), H510&amp;RIGHT(INDIRECT(ADDRESS(ROW(H511)-1, 'From Order'!$A511)), 1), H510))"),"ZMD")</f>
        <v>ZMD</v>
      </c>
      <c r="I511" s="2" t="str">
        <f>IFERROR(__xludf.DUMMYFUNCTION("IF('From Order'!$A511=COLUMNS($A511:I530), LEFT(INDEX(FILTER(I$1:I510, I$1:I510&lt;&gt;""""),COUNTA(FILTER(I$1:I510, I$1:I510&lt;&gt;""""))), LEN(INDEX(FILTER(I$1:I510, I$1:I510&lt;&gt;""""),COUNTA(FILTER(I$1:I510, I$1:I510&lt;&gt;""""))))-1), IF('To Order'!$A511=COLUMNS($A511:I"&amp;"530), I510&amp;RIGHT(INDIRECT(ADDRESS(ROW(I511)-1, 'From Order'!$A511)), 1), I510))"),"D")</f>
        <v>D</v>
      </c>
    </row>
    <row r="512">
      <c r="A512" s="2" t="str">
        <f>IFERROR(__xludf.DUMMYFUNCTION("IF('From Order'!$A512=COLUMNS($A512:A531), LEFT(INDEX(FILTER(A$1:A511, A$1:A511&lt;&gt;""""),COUNTA(FILTER(A$1:A511, A$1:A511&lt;&gt;""""))), LEN(INDEX(FILTER(A$1:A511, A$1:A511&lt;&gt;""""),COUNTA(FILTER(A$1:A511, A$1:A511&lt;&gt;""""))))-1), IF('To Order'!$A512=COLUMNS($A512:A"&amp;"531), A511&amp;RIGHT(INDIRECT(ADDRESS(ROW(A512)-1, 'From Order'!$A512)), 1), A511))"),"")</f>
        <v/>
      </c>
      <c r="B512" s="2" t="str">
        <f>IFERROR(__xludf.DUMMYFUNCTION("IF('From Order'!$A512=COLUMNS($A512:B531), LEFT(INDEX(FILTER(B$1:B511, B$1:B511&lt;&gt;""""),COUNTA(FILTER(B$1:B511, B$1:B511&lt;&gt;""""))), LEN(INDEX(FILTER(B$1:B511, B$1:B511&lt;&gt;""""),COUNTA(FILTER(B$1:B511, B$1:B511&lt;&gt;""""))))-1), IF('To Order'!$A512=COLUMNS($A512:B"&amp;"531), B511&amp;RIGHT(INDIRECT(ADDRESS(ROW(B512)-1, 'From Order'!$A512)), 1), B511))"),"JZRVPVRZHMF")</f>
        <v>JZRVPVRZHMF</v>
      </c>
      <c r="C512" s="2" t="str">
        <f>IFERROR(__xludf.DUMMYFUNCTION("IF('From Order'!$A512=COLUMNS($A512:C531), LEFT(INDEX(FILTER(C$1:C511, C$1:C511&lt;&gt;""""),COUNTA(FILTER(C$1:C511, C$1:C511&lt;&gt;""""))), LEN(INDEX(FILTER(C$1:C511, C$1:C511&lt;&gt;""""),COUNTA(FILTER(C$1:C511, C$1:C511&lt;&gt;""""))))-1), IF('To Order'!$A512=COLUMNS($A512:C"&amp;"531), C511&amp;RIGHT(INDIRECT(ADDRESS(ROW(C512)-1, 'From Order'!$A512)), 1), C511))"),"S")</f>
        <v>S</v>
      </c>
      <c r="D512" s="2" t="str">
        <f>IFERROR(__xludf.DUMMYFUNCTION("IF('From Order'!$A512=COLUMNS($A512:D531), LEFT(INDEX(FILTER(D$1:D511, D$1:D511&lt;&gt;""""),COUNTA(FILTER(D$1:D511, D$1:D511&lt;&gt;""""))), LEN(INDEX(FILTER(D$1:D511, D$1:D511&lt;&gt;""""),COUNTA(FILTER(D$1:D511, D$1:D511&lt;&gt;""""))))-1), IF('To Order'!$A512=COLUMNS($A512:D"&amp;"531), D511&amp;RIGHT(INDIRECT(ADDRESS(ROW(D512)-1, 'From Order'!$A512)), 1), D511))"),"")</f>
        <v/>
      </c>
      <c r="E512" s="2" t="str">
        <f>IFERROR(__xludf.DUMMYFUNCTION("IF('From Order'!$A512=COLUMNS($A512:E531), LEFT(INDEX(FILTER(E$1:E511, E$1:E511&lt;&gt;""""),COUNTA(FILTER(E$1:E511, E$1:E511&lt;&gt;""""))), LEN(INDEX(FILTER(E$1:E511, E$1:E511&lt;&gt;""""),COUNTA(FILTER(E$1:E511, E$1:E511&lt;&gt;""""))))-1), IF('To Order'!$A512=COLUMNS($A512:E"&amp;"531), E511&amp;RIGHT(INDIRECT(ADDRESS(ROW(E512)-1, 'From Order'!$A512)), 1), E511))"),"LBSGDT")</f>
        <v>LBSGDT</v>
      </c>
      <c r="F512" s="2" t="str">
        <f>IFERROR(__xludf.DUMMYFUNCTION("IF('From Order'!$A512=COLUMNS($A512:F531), LEFT(INDEX(FILTER(F$1:F511, F$1:F511&lt;&gt;""""),COUNTA(FILTER(F$1:F511, F$1:F511&lt;&gt;""""))), LEN(INDEX(FILTER(F$1:F511, F$1:F511&lt;&gt;""""),COUNTA(FILTER(F$1:F511, F$1:F511&lt;&gt;""""))))-1), IF('To Order'!$A512=COLUMNS($A512:F"&amp;"531), F511&amp;RIGHT(INDIRECT(ADDRESS(ROW(F512)-1, 'From Order'!$A512)), 1), F511))"),"JLCTFTMQCDTRLDRWTJTVCBPWHGSSDPQRBB")</f>
        <v>JLCTFTMQCDTRLDRWTJTVCBPWHGSSDPQRBB</v>
      </c>
      <c r="G512" s="2" t="str">
        <f>IFERROR(__xludf.DUMMYFUNCTION("IF('From Order'!$A512=COLUMNS($A512:G531), LEFT(INDEX(FILTER(G$1:G511, G$1:G511&lt;&gt;""""),COUNTA(FILTER(G$1:G511, G$1:G511&lt;&gt;""""))), LEN(INDEX(FILTER(G$1:G511, G$1:G511&lt;&gt;""""),COUNTA(FILTER(G$1:G511, G$1:G511&lt;&gt;""""))))-1), IF('To Order'!$A512=COLUMNS($A512:G"&amp;"531), G511&amp;RIGHT(INDIRECT(ADDRESS(ROW(G512)-1, 'From Order'!$A512)), 1), G511))"),"")</f>
        <v/>
      </c>
      <c r="H512" s="2" t="str">
        <f>IFERROR(__xludf.DUMMYFUNCTION("IF('From Order'!$A512=COLUMNS($A512:H531), LEFT(INDEX(FILTER(H$1:H511, H$1:H511&lt;&gt;""""),COUNTA(FILTER(H$1:H511, H$1:H511&lt;&gt;""""))), LEN(INDEX(FILTER(H$1:H511, H$1:H511&lt;&gt;""""),COUNTA(FILTER(H$1:H511, H$1:H511&lt;&gt;""""))))-1), IF('To Order'!$A512=COLUMNS($A512:H"&amp;"531), H511&amp;RIGHT(INDIRECT(ADDRESS(ROW(H512)-1, 'From Order'!$A512)), 1), H511))"),"ZMD")</f>
        <v>ZMD</v>
      </c>
      <c r="I512" s="2" t="str">
        <f>IFERROR(__xludf.DUMMYFUNCTION("IF('From Order'!$A512=COLUMNS($A512:I531), LEFT(INDEX(FILTER(I$1:I511, I$1:I511&lt;&gt;""""),COUNTA(FILTER(I$1:I511, I$1:I511&lt;&gt;""""))), LEN(INDEX(FILTER(I$1:I511, I$1:I511&lt;&gt;""""),COUNTA(FILTER(I$1:I511, I$1:I511&lt;&gt;""""))))-1), IF('To Order'!$A512=COLUMNS($A512:I"&amp;"531), I511&amp;RIGHT(INDIRECT(ADDRESS(ROW(I512)-1, 'From Order'!$A512)), 1), I511))"),"D")</f>
        <v>D</v>
      </c>
    </row>
    <row r="513">
      <c r="A513" s="2" t="str">
        <f>IFERROR(__xludf.DUMMYFUNCTION("IF('From Order'!$A513=COLUMNS($A513:A532), LEFT(INDEX(FILTER(A$1:A512, A$1:A512&lt;&gt;""""),COUNTA(FILTER(A$1:A512, A$1:A512&lt;&gt;""""))), LEN(INDEX(FILTER(A$1:A512, A$1:A512&lt;&gt;""""),COUNTA(FILTER(A$1:A512, A$1:A512&lt;&gt;""""))))-1), IF('To Order'!$A513=COLUMNS($A513:A"&amp;"532), A512&amp;RIGHT(INDIRECT(ADDRESS(ROW(A513)-1, 'From Order'!$A513)), 1), A512))"),"")</f>
        <v/>
      </c>
      <c r="B513" s="2" t="str">
        <f>IFERROR(__xludf.DUMMYFUNCTION("IF('From Order'!$A513=COLUMNS($A513:B532), LEFT(INDEX(FILTER(B$1:B512, B$1:B512&lt;&gt;""""),COUNTA(FILTER(B$1:B512, B$1:B512&lt;&gt;""""))), LEN(INDEX(FILTER(B$1:B512, B$1:B512&lt;&gt;""""),COUNTA(FILTER(B$1:B512, B$1:B512&lt;&gt;""""))))-1), IF('To Order'!$A513=COLUMNS($A513:B"&amp;"532), B512&amp;RIGHT(INDIRECT(ADDRESS(ROW(B513)-1, 'From Order'!$A513)), 1), B512))"),"JZRVPVRZHMFB")</f>
        <v>JZRVPVRZHMFB</v>
      </c>
      <c r="C513" s="2" t="str">
        <f>IFERROR(__xludf.DUMMYFUNCTION("IF('From Order'!$A513=COLUMNS($A513:C532), LEFT(INDEX(FILTER(C$1:C512, C$1:C512&lt;&gt;""""),COUNTA(FILTER(C$1:C512, C$1:C512&lt;&gt;""""))), LEN(INDEX(FILTER(C$1:C512, C$1:C512&lt;&gt;""""),COUNTA(FILTER(C$1:C512, C$1:C512&lt;&gt;""""))))-1), IF('To Order'!$A513=COLUMNS($A513:C"&amp;"532), C512&amp;RIGHT(INDIRECT(ADDRESS(ROW(C513)-1, 'From Order'!$A513)), 1), C512))"),"S")</f>
        <v>S</v>
      </c>
      <c r="D513" s="2" t="str">
        <f>IFERROR(__xludf.DUMMYFUNCTION("IF('From Order'!$A513=COLUMNS($A513:D532), LEFT(INDEX(FILTER(D$1:D512, D$1:D512&lt;&gt;""""),COUNTA(FILTER(D$1:D512, D$1:D512&lt;&gt;""""))), LEN(INDEX(FILTER(D$1:D512, D$1:D512&lt;&gt;""""),COUNTA(FILTER(D$1:D512, D$1:D512&lt;&gt;""""))))-1), IF('To Order'!$A513=COLUMNS($A513:D"&amp;"532), D512&amp;RIGHT(INDIRECT(ADDRESS(ROW(D513)-1, 'From Order'!$A513)), 1), D512))"),"")</f>
        <v/>
      </c>
      <c r="E513" s="2" t="str">
        <f>IFERROR(__xludf.DUMMYFUNCTION("IF('From Order'!$A513=COLUMNS($A513:E532), LEFT(INDEX(FILTER(E$1:E512, E$1:E512&lt;&gt;""""),COUNTA(FILTER(E$1:E512, E$1:E512&lt;&gt;""""))), LEN(INDEX(FILTER(E$1:E512, E$1:E512&lt;&gt;""""),COUNTA(FILTER(E$1:E512, E$1:E512&lt;&gt;""""))))-1), IF('To Order'!$A513=COLUMNS($A513:E"&amp;"532), E512&amp;RIGHT(INDIRECT(ADDRESS(ROW(E513)-1, 'From Order'!$A513)), 1), E512))"),"LBSGDT")</f>
        <v>LBSGDT</v>
      </c>
      <c r="F513" s="2" t="str">
        <f>IFERROR(__xludf.DUMMYFUNCTION("IF('From Order'!$A513=COLUMNS($A513:F532), LEFT(INDEX(FILTER(F$1:F512, F$1:F512&lt;&gt;""""),COUNTA(FILTER(F$1:F512, F$1:F512&lt;&gt;""""))), LEN(INDEX(FILTER(F$1:F512, F$1:F512&lt;&gt;""""),COUNTA(FILTER(F$1:F512, F$1:F512&lt;&gt;""""))))-1), IF('To Order'!$A513=COLUMNS($A513:F"&amp;"532), F512&amp;RIGHT(INDIRECT(ADDRESS(ROW(F513)-1, 'From Order'!$A513)), 1), F512))"),"JLCTFTMQCDTRLDRWTJTVCBPWHGSSDPQRB")</f>
        <v>JLCTFTMQCDTRLDRWTJTVCBPWHGSSDPQRB</v>
      </c>
      <c r="G513" s="2" t="str">
        <f>IFERROR(__xludf.DUMMYFUNCTION("IF('From Order'!$A513=COLUMNS($A513:G532), LEFT(INDEX(FILTER(G$1:G512, G$1:G512&lt;&gt;""""),COUNTA(FILTER(G$1:G512, G$1:G512&lt;&gt;""""))), LEN(INDEX(FILTER(G$1:G512, G$1:G512&lt;&gt;""""),COUNTA(FILTER(G$1:G512, G$1:G512&lt;&gt;""""))))-1), IF('To Order'!$A513=COLUMNS($A513:G"&amp;"532), G512&amp;RIGHT(INDIRECT(ADDRESS(ROW(G513)-1, 'From Order'!$A513)), 1), G512))"),"")</f>
        <v/>
      </c>
      <c r="H513" s="2" t="str">
        <f>IFERROR(__xludf.DUMMYFUNCTION("IF('From Order'!$A513=COLUMNS($A513:H532), LEFT(INDEX(FILTER(H$1:H512, H$1:H512&lt;&gt;""""),COUNTA(FILTER(H$1:H512, H$1:H512&lt;&gt;""""))), LEN(INDEX(FILTER(H$1:H512, H$1:H512&lt;&gt;""""),COUNTA(FILTER(H$1:H512, H$1:H512&lt;&gt;""""))))-1), IF('To Order'!$A513=COLUMNS($A513:H"&amp;"532), H512&amp;RIGHT(INDIRECT(ADDRESS(ROW(H513)-1, 'From Order'!$A513)), 1), H512))"),"ZMD")</f>
        <v>ZMD</v>
      </c>
      <c r="I513" s="2" t="str">
        <f>IFERROR(__xludf.DUMMYFUNCTION("IF('From Order'!$A513=COLUMNS($A513:I532), LEFT(INDEX(FILTER(I$1:I512, I$1:I512&lt;&gt;""""),COUNTA(FILTER(I$1:I512, I$1:I512&lt;&gt;""""))), LEN(INDEX(FILTER(I$1:I512, I$1:I512&lt;&gt;""""),COUNTA(FILTER(I$1:I512, I$1:I512&lt;&gt;""""))))-1), IF('To Order'!$A513=COLUMNS($A513:I"&amp;"532), I512&amp;RIGHT(INDIRECT(ADDRESS(ROW(I513)-1, 'From Order'!$A513)), 1), I512))"),"D")</f>
        <v>D</v>
      </c>
    </row>
    <row r="514">
      <c r="A514" s="2" t="str">
        <f>IFERROR(__xludf.DUMMYFUNCTION("IF('From Order'!$A514=COLUMNS($A514:A533), LEFT(INDEX(FILTER(A$1:A513, A$1:A513&lt;&gt;""""),COUNTA(FILTER(A$1:A513, A$1:A513&lt;&gt;""""))), LEN(INDEX(FILTER(A$1:A513, A$1:A513&lt;&gt;""""),COUNTA(FILTER(A$1:A513, A$1:A513&lt;&gt;""""))))-1), IF('To Order'!$A514=COLUMNS($A514:A"&amp;"533), A513&amp;RIGHT(INDIRECT(ADDRESS(ROW(A514)-1, 'From Order'!$A514)), 1), A513))"),"")</f>
        <v/>
      </c>
      <c r="B514" s="2" t="str">
        <f>IFERROR(__xludf.DUMMYFUNCTION("IF('From Order'!$A514=COLUMNS($A514:B533), LEFT(INDEX(FILTER(B$1:B513, B$1:B513&lt;&gt;""""),COUNTA(FILTER(B$1:B513, B$1:B513&lt;&gt;""""))), LEN(INDEX(FILTER(B$1:B513, B$1:B513&lt;&gt;""""),COUNTA(FILTER(B$1:B513, B$1:B513&lt;&gt;""""))))-1), IF('To Order'!$A514=COLUMNS($A514:B"&amp;"533), B513&amp;RIGHT(INDIRECT(ADDRESS(ROW(B514)-1, 'From Order'!$A514)), 1), B513))"),"JZRVPVRZHMFBB")</f>
        <v>JZRVPVRZHMFBB</v>
      </c>
      <c r="C514" s="2" t="str">
        <f>IFERROR(__xludf.DUMMYFUNCTION("IF('From Order'!$A514=COLUMNS($A514:C533), LEFT(INDEX(FILTER(C$1:C513, C$1:C513&lt;&gt;""""),COUNTA(FILTER(C$1:C513, C$1:C513&lt;&gt;""""))), LEN(INDEX(FILTER(C$1:C513, C$1:C513&lt;&gt;""""),COUNTA(FILTER(C$1:C513, C$1:C513&lt;&gt;""""))))-1), IF('To Order'!$A514=COLUMNS($A514:C"&amp;"533), C513&amp;RIGHT(INDIRECT(ADDRESS(ROW(C514)-1, 'From Order'!$A514)), 1), C513))"),"S")</f>
        <v>S</v>
      </c>
      <c r="D514" s="2" t="str">
        <f>IFERROR(__xludf.DUMMYFUNCTION("IF('From Order'!$A514=COLUMNS($A514:D533), LEFT(INDEX(FILTER(D$1:D513, D$1:D513&lt;&gt;""""),COUNTA(FILTER(D$1:D513, D$1:D513&lt;&gt;""""))), LEN(INDEX(FILTER(D$1:D513, D$1:D513&lt;&gt;""""),COUNTA(FILTER(D$1:D513, D$1:D513&lt;&gt;""""))))-1), IF('To Order'!$A514=COLUMNS($A514:D"&amp;"533), D513&amp;RIGHT(INDIRECT(ADDRESS(ROW(D514)-1, 'From Order'!$A514)), 1), D513))"),"")</f>
        <v/>
      </c>
      <c r="E514" s="2" t="str">
        <f>IFERROR(__xludf.DUMMYFUNCTION("IF('From Order'!$A514=COLUMNS($A514:E533), LEFT(INDEX(FILTER(E$1:E513, E$1:E513&lt;&gt;""""),COUNTA(FILTER(E$1:E513, E$1:E513&lt;&gt;""""))), LEN(INDEX(FILTER(E$1:E513, E$1:E513&lt;&gt;""""),COUNTA(FILTER(E$1:E513, E$1:E513&lt;&gt;""""))))-1), IF('To Order'!$A514=COLUMNS($A514:E"&amp;"533), E513&amp;RIGHT(INDIRECT(ADDRESS(ROW(E514)-1, 'From Order'!$A514)), 1), E513))"),"LBSGDT")</f>
        <v>LBSGDT</v>
      </c>
      <c r="F514" s="2" t="str">
        <f>IFERROR(__xludf.DUMMYFUNCTION("IF('From Order'!$A514=COLUMNS($A514:F533), LEFT(INDEX(FILTER(F$1:F513, F$1:F513&lt;&gt;""""),COUNTA(FILTER(F$1:F513, F$1:F513&lt;&gt;""""))), LEN(INDEX(FILTER(F$1:F513, F$1:F513&lt;&gt;""""),COUNTA(FILTER(F$1:F513, F$1:F513&lt;&gt;""""))))-1), IF('To Order'!$A514=COLUMNS($A514:F"&amp;"533), F513&amp;RIGHT(INDIRECT(ADDRESS(ROW(F514)-1, 'From Order'!$A514)), 1), F513))"),"JLCTFTMQCDTRLDRWTJTVCBPWHGSSDPQR")</f>
        <v>JLCTFTMQCDTRLDRWTJTVCBPWHGSSDPQR</v>
      </c>
      <c r="G514" s="2" t="str">
        <f>IFERROR(__xludf.DUMMYFUNCTION("IF('From Order'!$A514=COLUMNS($A514:G533), LEFT(INDEX(FILTER(G$1:G513, G$1:G513&lt;&gt;""""),COUNTA(FILTER(G$1:G513, G$1:G513&lt;&gt;""""))), LEN(INDEX(FILTER(G$1:G513, G$1:G513&lt;&gt;""""),COUNTA(FILTER(G$1:G513, G$1:G513&lt;&gt;""""))))-1), IF('To Order'!$A514=COLUMNS($A514:G"&amp;"533), G513&amp;RIGHT(INDIRECT(ADDRESS(ROW(G514)-1, 'From Order'!$A514)), 1), G513))"),"")</f>
        <v/>
      </c>
      <c r="H514" s="2" t="str">
        <f>IFERROR(__xludf.DUMMYFUNCTION("IF('From Order'!$A514=COLUMNS($A514:H533), LEFT(INDEX(FILTER(H$1:H513, H$1:H513&lt;&gt;""""),COUNTA(FILTER(H$1:H513, H$1:H513&lt;&gt;""""))), LEN(INDEX(FILTER(H$1:H513, H$1:H513&lt;&gt;""""),COUNTA(FILTER(H$1:H513, H$1:H513&lt;&gt;""""))))-1), IF('To Order'!$A514=COLUMNS($A514:H"&amp;"533), H513&amp;RIGHT(INDIRECT(ADDRESS(ROW(H514)-1, 'From Order'!$A514)), 1), H513))"),"ZMD")</f>
        <v>ZMD</v>
      </c>
      <c r="I514" s="2" t="str">
        <f>IFERROR(__xludf.DUMMYFUNCTION("IF('From Order'!$A514=COLUMNS($A514:I533), LEFT(INDEX(FILTER(I$1:I513, I$1:I513&lt;&gt;""""),COUNTA(FILTER(I$1:I513, I$1:I513&lt;&gt;""""))), LEN(INDEX(FILTER(I$1:I513, I$1:I513&lt;&gt;""""),COUNTA(FILTER(I$1:I513, I$1:I513&lt;&gt;""""))))-1), IF('To Order'!$A514=COLUMNS($A514:I"&amp;"533), I513&amp;RIGHT(INDIRECT(ADDRESS(ROW(I514)-1, 'From Order'!$A514)), 1), I513))"),"D")</f>
        <v>D</v>
      </c>
    </row>
    <row r="515">
      <c r="A515" s="2" t="str">
        <f>IFERROR(__xludf.DUMMYFUNCTION("IF('From Order'!$A515=COLUMNS($A515:A534), LEFT(INDEX(FILTER(A$1:A514, A$1:A514&lt;&gt;""""),COUNTA(FILTER(A$1:A514, A$1:A514&lt;&gt;""""))), LEN(INDEX(FILTER(A$1:A514, A$1:A514&lt;&gt;""""),COUNTA(FILTER(A$1:A514, A$1:A514&lt;&gt;""""))))-1), IF('To Order'!$A515=COLUMNS($A515:A"&amp;"534), A514&amp;RIGHT(INDIRECT(ADDRESS(ROW(A515)-1, 'From Order'!$A515)), 1), A514))"),"")</f>
        <v/>
      </c>
      <c r="B515" s="2" t="str">
        <f>IFERROR(__xludf.DUMMYFUNCTION("IF('From Order'!$A515=COLUMNS($A515:B534), LEFT(INDEX(FILTER(B$1:B514, B$1:B514&lt;&gt;""""),COUNTA(FILTER(B$1:B514, B$1:B514&lt;&gt;""""))), LEN(INDEX(FILTER(B$1:B514, B$1:B514&lt;&gt;""""),COUNTA(FILTER(B$1:B514, B$1:B514&lt;&gt;""""))))-1), IF('To Order'!$A515=COLUMNS($A515:B"&amp;"534), B514&amp;RIGHT(INDIRECT(ADDRESS(ROW(B515)-1, 'From Order'!$A515)), 1), B514))"),"JZRVPVRZHMFBBR")</f>
        <v>JZRVPVRZHMFBBR</v>
      </c>
      <c r="C515" s="2" t="str">
        <f>IFERROR(__xludf.DUMMYFUNCTION("IF('From Order'!$A515=COLUMNS($A515:C534), LEFT(INDEX(FILTER(C$1:C514, C$1:C514&lt;&gt;""""),COUNTA(FILTER(C$1:C514, C$1:C514&lt;&gt;""""))), LEN(INDEX(FILTER(C$1:C514, C$1:C514&lt;&gt;""""),COUNTA(FILTER(C$1:C514, C$1:C514&lt;&gt;""""))))-1), IF('To Order'!$A515=COLUMNS($A515:C"&amp;"534), C514&amp;RIGHT(INDIRECT(ADDRESS(ROW(C515)-1, 'From Order'!$A515)), 1), C514))"),"S")</f>
        <v>S</v>
      </c>
      <c r="D515" s="2" t="str">
        <f>IFERROR(__xludf.DUMMYFUNCTION("IF('From Order'!$A515=COLUMNS($A515:D534), LEFT(INDEX(FILTER(D$1:D514, D$1:D514&lt;&gt;""""),COUNTA(FILTER(D$1:D514, D$1:D514&lt;&gt;""""))), LEN(INDEX(FILTER(D$1:D514, D$1:D514&lt;&gt;""""),COUNTA(FILTER(D$1:D514, D$1:D514&lt;&gt;""""))))-1), IF('To Order'!$A515=COLUMNS($A515:D"&amp;"534), D514&amp;RIGHT(INDIRECT(ADDRESS(ROW(D515)-1, 'From Order'!$A515)), 1), D514))"),"")</f>
        <v/>
      </c>
      <c r="E515" s="2" t="str">
        <f>IFERROR(__xludf.DUMMYFUNCTION("IF('From Order'!$A515=COLUMNS($A515:E534), LEFT(INDEX(FILTER(E$1:E514, E$1:E514&lt;&gt;""""),COUNTA(FILTER(E$1:E514, E$1:E514&lt;&gt;""""))), LEN(INDEX(FILTER(E$1:E514, E$1:E514&lt;&gt;""""),COUNTA(FILTER(E$1:E514, E$1:E514&lt;&gt;""""))))-1), IF('To Order'!$A515=COLUMNS($A515:E"&amp;"534), E514&amp;RIGHT(INDIRECT(ADDRESS(ROW(E515)-1, 'From Order'!$A515)), 1), E514))"),"LBSGDT")</f>
        <v>LBSGDT</v>
      </c>
      <c r="F515" s="2" t="str">
        <f>IFERROR(__xludf.DUMMYFUNCTION("IF('From Order'!$A515=COLUMNS($A515:F534), LEFT(INDEX(FILTER(F$1:F514, F$1:F514&lt;&gt;""""),COUNTA(FILTER(F$1:F514, F$1:F514&lt;&gt;""""))), LEN(INDEX(FILTER(F$1:F514, F$1:F514&lt;&gt;""""),COUNTA(FILTER(F$1:F514, F$1:F514&lt;&gt;""""))))-1), IF('To Order'!$A515=COLUMNS($A515:F"&amp;"534), F514&amp;RIGHT(INDIRECT(ADDRESS(ROW(F515)-1, 'From Order'!$A515)), 1), F514))"),"JLCTFTMQCDTRLDRWTJTVCBPWHGSSDPQ")</f>
        <v>JLCTFTMQCDTRLDRWTJTVCBPWHGSSDPQ</v>
      </c>
      <c r="G515" s="2" t="str">
        <f>IFERROR(__xludf.DUMMYFUNCTION("IF('From Order'!$A515=COLUMNS($A515:G534), LEFT(INDEX(FILTER(G$1:G514, G$1:G514&lt;&gt;""""),COUNTA(FILTER(G$1:G514, G$1:G514&lt;&gt;""""))), LEN(INDEX(FILTER(G$1:G514, G$1:G514&lt;&gt;""""),COUNTA(FILTER(G$1:G514, G$1:G514&lt;&gt;""""))))-1), IF('To Order'!$A515=COLUMNS($A515:G"&amp;"534), G514&amp;RIGHT(INDIRECT(ADDRESS(ROW(G515)-1, 'From Order'!$A515)), 1), G514))"),"")</f>
        <v/>
      </c>
      <c r="H515" s="2" t="str">
        <f>IFERROR(__xludf.DUMMYFUNCTION("IF('From Order'!$A515=COLUMNS($A515:H534), LEFT(INDEX(FILTER(H$1:H514, H$1:H514&lt;&gt;""""),COUNTA(FILTER(H$1:H514, H$1:H514&lt;&gt;""""))), LEN(INDEX(FILTER(H$1:H514, H$1:H514&lt;&gt;""""),COUNTA(FILTER(H$1:H514, H$1:H514&lt;&gt;""""))))-1), IF('To Order'!$A515=COLUMNS($A515:H"&amp;"534), H514&amp;RIGHT(INDIRECT(ADDRESS(ROW(H515)-1, 'From Order'!$A515)), 1), H514))"),"ZMD")</f>
        <v>ZMD</v>
      </c>
      <c r="I515" s="2" t="str">
        <f>IFERROR(__xludf.DUMMYFUNCTION("IF('From Order'!$A515=COLUMNS($A515:I534), LEFT(INDEX(FILTER(I$1:I514, I$1:I514&lt;&gt;""""),COUNTA(FILTER(I$1:I514, I$1:I514&lt;&gt;""""))), LEN(INDEX(FILTER(I$1:I514, I$1:I514&lt;&gt;""""),COUNTA(FILTER(I$1:I514, I$1:I514&lt;&gt;""""))))-1), IF('To Order'!$A515=COLUMNS($A515:I"&amp;"534), I514&amp;RIGHT(INDIRECT(ADDRESS(ROW(I515)-1, 'From Order'!$A515)), 1), I514))"),"D")</f>
        <v>D</v>
      </c>
    </row>
    <row r="516">
      <c r="A516" s="2" t="str">
        <f>IFERROR(__xludf.DUMMYFUNCTION("IF('From Order'!$A516=COLUMNS($A516:A535), LEFT(INDEX(FILTER(A$1:A515, A$1:A515&lt;&gt;""""),COUNTA(FILTER(A$1:A515, A$1:A515&lt;&gt;""""))), LEN(INDEX(FILTER(A$1:A515, A$1:A515&lt;&gt;""""),COUNTA(FILTER(A$1:A515, A$1:A515&lt;&gt;""""))))-1), IF('To Order'!$A516=COLUMNS($A516:A"&amp;"535), A515&amp;RIGHT(INDIRECT(ADDRESS(ROW(A516)-1, 'From Order'!$A516)), 1), A515))"),"")</f>
        <v/>
      </c>
      <c r="B516" s="2" t="str">
        <f>IFERROR(__xludf.DUMMYFUNCTION("IF('From Order'!$A516=COLUMNS($A516:B535), LEFT(INDEX(FILTER(B$1:B515, B$1:B515&lt;&gt;""""),COUNTA(FILTER(B$1:B515, B$1:B515&lt;&gt;""""))), LEN(INDEX(FILTER(B$1:B515, B$1:B515&lt;&gt;""""),COUNTA(FILTER(B$1:B515, B$1:B515&lt;&gt;""""))))-1), IF('To Order'!$A516=COLUMNS($A516:B"&amp;"535), B515&amp;RIGHT(INDIRECT(ADDRESS(ROW(B516)-1, 'From Order'!$A516)), 1), B515))"),"JZRVPVRZHMFBBRQ")</f>
        <v>JZRVPVRZHMFBBRQ</v>
      </c>
      <c r="C516" s="2" t="str">
        <f>IFERROR(__xludf.DUMMYFUNCTION("IF('From Order'!$A516=COLUMNS($A516:C535), LEFT(INDEX(FILTER(C$1:C515, C$1:C515&lt;&gt;""""),COUNTA(FILTER(C$1:C515, C$1:C515&lt;&gt;""""))), LEN(INDEX(FILTER(C$1:C515, C$1:C515&lt;&gt;""""),COUNTA(FILTER(C$1:C515, C$1:C515&lt;&gt;""""))))-1), IF('To Order'!$A516=COLUMNS($A516:C"&amp;"535), C515&amp;RIGHT(INDIRECT(ADDRESS(ROW(C516)-1, 'From Order'!$A516)), 1), C515))"),"S")</f>
        <v>S</v>
      </c>
      <c r="D516" s="2" t="str">
        <f>IFERROR(__xludf.DUMMYFUNCTION("IF('From Order'!$A516=COLUMNS($A516:D535), LEFT(INDEX(FILTER(D$1:D515, D$1:D515&lt;&gt;""""),COUNTA(FILTER(D$1:D515, D$1:D515&lt;&gt;""""))), LEN(INDEX(FILTER(D$1:D515, D$1:D515&lt;&gt;""""),COUNTA(FILTER(D$1:D515, D$1:D515&lt;&gt;""""))))-1), IF('To Order'!$A516=COLUMNS($A516:D"&amp;"535), D515&amp;RIGHT(INDIRECT(ADDRESS(ROW(D516)-1, 'From Order'!$A516)), 1), D515))"),"")</f>
        <v/>
      </c>
      <c r="E516" s="2" t="str">
        <f>IFERROR(__xludf.DUMMYFUNCTION("IF('From Order'!$A516=COLUMNS($A516:E535), LEFT(INDEX(FILTER(E$1:E515, E$1:E515&lt;&gt;""""),COUNTA(FILTER(E$1:E515, E$1:E515&lt;&gt;""""))), LEN(INDEX(FILTER(E$1:E515, E$1:E515&lt;&gt;""""),COUNTA(FILTER(E$1:E515, E$1:E515&lt;&gt;""""))))-1), IF('To Order'!$A516=COLUMNS($A516:E"&amp;"535), E515&amp;RIGHT(INDIRECT(ADDRESS(ROW(E516)-1, 'From Order'!$A516)), 1), E515))"),"LBSGDT")</f>
        <v>LBSGDT</v>
      </c>
      <c r="F516" s="2" t="str">
        <f>IFERROR(__xludf.DUMMYFUNCTION("IF('From Order'!$A516=COLUMNS($A516:F535), LEFT(INDEX(FILTER(F$1:F515, F$1:F515&lt;&gt;""""),COUNTA(FILTER(F$1:F515, F$1:F515&lt;&gt;""""))), LEN(INDEX(FILTER(F$1:F515, F$1:F515&lt;&gt;""""),COUNTA(FILTER(F$1:F515, F$1:F515&lt;&gt;""""))))-1), IF('To Order'!$A516=COLUMNS($A516:F"&amp;"535), F515&amp;RIGHT(INDIRECT(ADDRESS(ROW(F516)-1, 'From Order'!$A516)), 1), F515))"),"JLCTFTMQCDTRLDRWTJTVCBPWHGSSDP")</f>
        <v>JLCTFTMQCDTRLDRWTJTVCBPWHGSSDP</v>
      </c>
      <c r="G516" s="2" t="str">
        <f>IFERROR(__xludf.DUMMYFUNCTION("IF('From Order'!$A516=COLUMNS($A516:G535), LEFT(INDEX(FILTER(G$1:G515, G$1:G515&lt;&gt;""""),COUNTA(FILTER(G$1:G515, G$1:G515&lt;&gt;""""))), LEN(INDEX(FILTER(G$1:G515, G$1:G515&lt;&gt;""""),COUNTA(FILTER(G$1:G515, G$1:G515&lt;&gt;""""))))-1), IF('To Order'!$A516=COLUMNS($A516:G"&amp;"535), G515&amp;RIGHT(INDIRECT(ADDRESS(ROW(G516)-1, 'From Order'!$A516)), 1), G515))"),"")</f>
        <v/>
      </c>
      <c r="H516" s="2" t="str">
        <f>IFERROR(__xludf.DUMMYFUNCTION("IF('From Order'!$A516=COLUMNS($A516:H535), LEFT(INDEX(FILTER(H$1:H515, H$1:H515&lt;&gt;""""),COUNTA(FILTER(H$1:H515, H$1:H515&lt;&gt;""""))), LEN(INDEX(FILTER(H$1:H515, H$1:H515&lt;&gt;""""),COUNTA(FILTER(H$1:H515, H$1:H515&lt;&gt;""""))))-1), IF('To Order'!$A516=COLUMNS($A516:H"&amp;"535), H515&amp;RIGHT(INDIRECT(ADDRESS(ROW(H516)-1, 'From Order'!$A516)), 1), H515))"),"ZMD")</f>
        <v>ZMD</v>
      </c>
      <c r="I516" s="2" t="str">
        <f>IFERROR(__xludf.DUMMYFUNCTION("IF('From Order'!$A516=COLUMNS($A516:I535), LEFT(INDEX(FILTER(I$1:I515, I$1:I515&lt;&gt;""""),COUNTA(FILTER(I$1:I515, I$1:I515&lt;&gt;""""))), LEN(INDEX(FILTER(I$1:I515, I$1:I515&lt;&gt;""""),COUNTA(FILTER(I$1:I515, I$1:I515&lt;&gt;""""))))-1), IF('To Order'!$A516=COLUMNS($A516:I"&amp;"535), I515&amp;RIGHT(INDIRECT(ADDRESS(ROW(I516)-1, 'From Order'!$A516)), 1), I515))"),"D")</f>
        <v>D</v>
      </c>
    </row>
    <row r="517">
      <c r="A517" s="2" t="str">
        <f>IFERROR(__xludf.DUMMYFUNCTION("IF('From Order'!$A517=COLUMNS($A517:A536), LEFT(INDEX(FILTER(A$1:A516, A$1:A516&lt;&gt;""""),COUNTA(FILTER(A$1:A516, A$1:A516&lt;&gt;""""))), LEN(INDEX(FILTER(A$1:A516, A$1:A516&lt;&gt;""""),COUNTA(FILTER(A$1:A516, A$1:A516&lt;&gt;""""))))-1), IF('To Order'!$A517=COLUMNS($A517:A"&amp;"536), A516&amp;RIGHT(INDIRECT(ADDRESS(ROW(A517)-1, 'From Order'!$A517)), 1), A516))"),"")</f>
        <v/>
      </c>
      <c r="B517" s="2" t="str">
        <f>IFERROR(__xludf.DUMMYFUNCTION("IF('From Order'!$A517=COLUMNS($A517:B536), LEFT(INDEX(FILTER(B$1:B516, B$1:B516&lt;&gt;""""),COUNTA(FILTER(B$1:B516, B$1:B516&lt;&gt;""""))), LEN(INDEX(FILTER(B$1:B516, B$1:B516&lt;&gt;""""),COUNTA(FILTER(B$1:B516, B$1:B516&lt;&gt;""""))))-1), IF('To Order'!$A517=COLUMNS($A517:B"&amp;"536), B516&amp;RIGHT(INDIRECT(ADDRESS(ROW(B517)-1, 'From Order'!$A517)), 1), B516))"),"JZRVPVRZHMFBBRQP")</f>
        <v>JZRVPVRZHMFBBRQP</v>
      </c>
      <c r="C517" s="2" t="str">
        <f>IFERROR(__xludf.DUMMYFUNCTION("IF('From Order'!$A517=COLUMNS($A517:C536), LEFT(INDEX(FILTER(C$1:C516, C$1:C516&lt;&gt;""""),COUNTA(FILTER(C$1:C516, C$1:C516&lt;&gt;""""))), LEN(INDEX(FILTER(C$1:C516, C$1:C516&lt;&gt;""""),COUNTA(FILTER(C$1:C516, C$1:C516&lt;&gt;""""))))-1), IF('To Order'!$A517=COLUMNS($A517:C"&amp;"536), C516&amp;RIGHT(INDIRECT(ADDRESS(ROW(C517)-1, 'From Order'!$A517)), 1), C516))"),"S")</f>
        <v>S</v>
      </c>
      <c r="D517" s="2" t="str">
        <f>IFERROR(__xludf.DUMMYFUNCTION("IF('From Order'!$A517=COLUMNS($A517:D536), LEFT(INDEX(FILTER(D$1:D516, D$1:D516&lt;&gt;""""),COUNTA(FILTER(D$1:D516, D$1:D516&lt;&gt;""""))), LEN(INDEX(FILTER(D$1:D516, D$1:D516&lt;&gt;""""),COUNTA(FILTER(D$1:D516, D$1:D516&lt;&gt;""""))))-1), IF('To Order'!$A517=COLUMNS($A517:D"&amp;"536), D516&amp;RIGHT(INDIRECT(ADDRESS(ROW(D517)-1, 'From Order'!$A517)), 1), D516))"),"")</f>
        <v/>
      </c>
      <c r="E517" s="2" t="str">
        <f>IFERROR(__xludf.DUMMYFUNCTION("IF('From Order'!$A517=COLUMNS($A517:E536), LEFT(INDEX(FILTER(E$1:E516, E$1:E516&lt;&gt;""""),COUNTA(FILTER(E$1:E516, E$1:E516&lt;&gt;""""))), LEN(INDEX(FILTER(E$1:E516, E$1:E516&lt;&gt;""""),COUNTA(FILTER(E$1:E516, E$1:E516&lt;&gt;""""))))-1), IF('To Order'!$A517=COLUMNS($A517:E"&amp;"536), E516&amp;RIGHT(INDIRECT(ADDRESS(ROW(E517)-1, 'From Order'!$A517)), 1), E516))"),"LBSGDT")</f>
        <v>LBSGDT</v>
      </c>
      <c r="F517" s="2" t="str">
        <f>IFERROR(__xludf.DUMMYFUNCTION("IF('From Order'!$A517=COLUMNS($A517:F536), LEFT(INDEX(FILTER(F$1:F516, F$1:F516&lt;&gt;""""),COUNTA(FILTER(F$1:F516, F$1:F516&lt;&gt;""""))), LEN(INDEX(FILTER(F$1:F516, F$1:F516&lt;&gt;""""),COUNTA(FILTER(F$1:F516, F$1:F516&lt;&gt;""""))))-1), IF('To Order'!$A517=COLUMNS($A517:F"&amp;"536), F516&amp;RIGHT(INDIRECT(ADDRESS(ROW(F517)-1, 'From Order'!$A517)), 1), F516))"),"JLCTFTMQCDTRLDRWTJTVCBPWHGSSD")</f>
        <v>JLCTFTMQCDTRLDRWTJTVCBPWHGSSD</v>
      </c>
      <c r="G517" s="2" t="str">
        <f>IFERROR(__xludf.DUMMYFUNCTION("IF('From Order'!$A517=COLUMNS($A517:G536), LEFT(INDEX(FILTER(G$1:G516, G$1:G516&lt;&gt;""""),COUNTA(FILTER(G$1:G516, G$1:G516&lt;&gt;""""))), LEN(INDEX(FILTER(G$1:G516, G$1:G516&lt;&gt;""""),COUNTA(FILTER(G$1:G516, G$1:G516&lt;&gt;""""))))-1), IF('To Order'!$A517=COLUMNS($A517:G"&amp;"536), G516&amp;RIGHT(INDIRECT(ADDRESS(ROW(G517)-1, 'From Order'!$A517)), 1), G516))"),"")</f>
        <v/>
      </c>
      <c r="H517" s="2" t="str">
        <f>IFERROR(__xludf.DUMMYFUNCTION("IF('From Order'!$A517=COLUMNS($A517:H536), LEFT(INDEX(FILTER(H$1:H516, H$1:H516&lt;&gt;""""),COUNTA(FILTER(H$1:H516, H$1:H516&lt;&gt;""""))), LEN(INDEX(FILTER(H$1:H516, H$1:H516&lt;&gt;""""),COUNTA(FILTER(H$1:H516, H$1:H516&lt;&gt;""""))))-1), IF('To Order'!$A517=COLUMNS($A517:H"&amp;"536), H516&amp;RIGHT(INDIRECT(ADDRESS(ROW(H517)-1, 'From Order'!$A517)), 1), H516))"),"ZMD")</f>
        <v>ZMD</v>
      </c>
      <c r="I517" s="2" t="str">
        <f>IFERROR(__xludf.DUMMYFUNCTION("IF('From Order'!$A517=COLUMNS($A517:I536), LEFT(INDEX(FILTER(I$1:I516, I$1:I516&lt;&gt;""""),COUNTA(FILTER(I$1:I516, I$1:I516&lt;&gt;""""))), LEN(INDEX(FILTER(I$1:I516, I$1:I516&lt;&gt;""""),COUNTA(FILTER(I$1:I516, I$1:I516&lt;&gt;""""))))-1), IF('To Order'!$A517=COLUMNS($A517:I"&amp;"536), I516&amp;RIGHT(INDIRECT(ADDRESS(ROW(I517)-1, 'From Order'!$A517)), 1), I516))"),"D")</f>
        <v>D</v>
      </c>
    </row>
    <row r="518">
      <c r="A518" s="2" t="str">
        <f>IFERROR(__xludf.DUMMYFUNCTION("IF('From Order'!$A518=COLUMNS($A518:A537), LEFT(INDEX(FILTER(A$1:A517, A$1:A517&lt;&gt;""""),COUNTA(FILTER(A$1:A517, A$1:A517&lt;&gt;""""))), LEN(INDEX(FILTER(A$1:A517, A$1:A517&lt;&gt;""""),COUNTA(FILTER(A$1:A517, A$1:A517&lt;&gt;""""))))-1), IF('To Order'!$A518=COLUMNS($A518:A"&amp;"537), A517&amp;RIGHT(INDIRECT(ADDRESS(ROW(A518)-1, 'From Order'!$A518)), 1), A517))"),"")</f>
        <v/>
      </c>
      <c r="B518" s="2" t="str">
        <f>IFERROR(__xludf.DUMMYFUNCTION("IF('From Order'!$A518=COLUMNS($A518:B537), LEFT(INDEX(FILTER(B$1:B517, B$1:B517&lt;&gt;""""),COUNTA(FILTER(B$1:B517, B$1:B517&lt;&gt;""""))), LEN(INDEX(FILTER(B$1:B517, B$1:B517&lt;&gt;""""),COUNTA(FILTER(B$1:B517, B$1:B517&lt;&gt;""""))))-1), IF('To Order'!$A518=COLUMNS($A518:B"&amp;"537), B517&amp;RIGHT(INDIRECT(ADDRESS(ROW(B518)-1, 'From Order'!$A518)), 1), B517))"),"JZRVPVRZHMFBBRQPD")</f>
        <v>JZRVPVRZHMFBBRQPD</v>
      </c>
      <c r="C518" s="2" t="str">
        <f>IFERROR(__xludf.DUMMYFUNCTION("IF('From Order'!$A518=COLUMNS($A518:C537), LEFT(INDEX(FILTER(C$1:C517, C$1:C517&lt;&gt;""""),COUNTA(FILTER(C$1:C517, C$1:C517&lt;&gt;""""))), LEN(INDEX(FILTER(C$1:C517, C$1:C517&lt;&gt;""""),COUNTA(FILTER(C$1:C517, C$1:C517&lt;&gt;""""))))-1), IF('To Order'!$A518=COLUMNS($A518:C"&amp;"537), C517&amp;RIGHT(INDIRECT(ADDRESS(ROW(C518)-1, 'From Order'!$A518)), 1), C517))"),"S")</f>
        <v>S</v>
      </c>
      <c r="D518" s="2" t="str">
        <f>IFERROR(__xludf.DUMMYFUNCTION("IF('From Order'!$A518=COLUMNS($A518:D537), LEFT(INDEX(FILTER(D$1:D517, D$1:D517&lt;&gt;""""),COUNTA(FILTER(D$1:D517, D$1:D517&lt;&gt;""""))), LEN(INDEX(FILTER(D$1:D517, D$1:D517&lt;&gt;""""),COUNTA(FILTER(D$1:D517, D$1:D517&lt;&gt;""""))))-1), IF('To Order'!$A518=COLUMNS($A518:D"&amp;"537), D517&amp;RIGHT(INDIRECT(ADDRESS(ROW(D518)-1, 'From Order'!$A518)), 1), D517))"),"")</f>
        <v/>
      </c>
      <c r="E518" s="2" t="str">
        <f>IFERROR(__xludf.DUMMYFUNCTION("IF('From Order'!$A518=COLUMNS($A518:E537), LEFT(INDEX(FILTER(E$1:E517, E$1:E517&lt;&gt;""""),COUNTA(FILTER(E$1:E517, E$1:E517&lt;&gt;""""))), LEN(INDEX(FILTER(E$1:E517, E$1:E517&lt;&gt;""""),COUNTA(FILTER(E$1:E517, E$1:E517&lt;&gt;""""))))-1), IF('To Order'!$A518=COLUMNS($A518:E"&amp;"537), E517&amp;RIGHT(INDIRECT(ADDRESS(ROW(E518)-1, 'From Order'!$A518)), 1), E517))"),"LBSGDT")</f>
        <v>LBSGDT</v>
      </c>
      <c r="F518" s="2" t="str">
        <f>IFERROR(__xludf.DUMMYFUNCTION("IF('From Order'!$A518=COLUMNS($A518:F537), LEFT(INDEX(FILTER(F$1:F517, F$1:F517&lt;&gt;""""),COUNTA(FILTER(F$1:F517, F$1:F517&lt;&gt;""""))), LEN(INDEX(FILTER(F$1:F517, F$1:F517&lt;&gt;""""),COUNTA(FILTER(F$1:F517, F$1:F517&lt;&gt;""""))))-1), IF('To Order'!$A518=COLUMNS($A518:F"&amp;"537), F517&amp;RIGHT(INDIRECT(ADDRESS(ROW(F518)-1, 'From Order'!$A518)), 1), F517))"),"JLCTFTMQCDTRLDRWTJTVCBPWHGSS")</f>
        <v>JLCTFTMQCDTRLDRWTJTVCBPWHGSS</v>
      </c>
      <c r="G518" s="2" t="str">
        <f>IFERROR(__xludf.DUMMYFUNCTION("IF('From Order'!$A518=COLUMNS($A518:G537), LEFT(INDEX(FILTER(G$1:G517, G$1:G517&lt;&gt;""""),COUNTA(FILTER(G$1:G517, G$1:G517&lt;&gt;""""))), LEN(INDEX(FILTER(G$1:G517, G$1:G517&lt;&gt;""""),COUNTA(FILTER(G$1:G517, G$1:G517&lt;&gt;""""))))-1), IF('To Order'!$A518=COLUMNS($A518:G"&amp;"537), G517&amp;RIGHT(INDIRECT(ADDRESS(ROW(G518)-1, 'From Order'!$A518)), 1), G517))"),"")</f>
        <v/>
      </c>
      <c r="H518" s="2" t="str">
        <f>IFERROR(__xludf.DUMMYFUNCTION("IF('From Order'!$A518=COLUMNS($A518:H537), LEFT(INDEX(FILTER(H$1:H517, H$1:H517&lt;&gt;""""),COUNTA(FILTER(H$1:H517, H$1:H517&lt;&gt;""""))), LEN(INDEX(FILTER(H$1:H517, H$1:H517&lt;&gt;""""),COUNTA(FILTER(H$1:H517, H$1:H517&lt;&gt;""""))))-1), IF('To Order'!$A518=COLUMNS($A518:H"&amp;"537), H517&amp;RIGHT(INDIRECT(ADDRESS(ROW(H518)-1, 'From Order'!$A518)), 1), H517))"),"ZMD")</f>
        <v>ZMD</v>
      </c>
      <c r="I518" s="2" t="str">
        <f>IFERROR(__xludf.DUMMYFUNCTION("IF('From Order'!$A518=COLUMNS($A518:I537), LEFT(INDEX(FILTER(I$1:I517, I$1:I517&lt;&gt;""""),COUNTA(FILTER(I$1:I517, I$1:I517&lt;&gt;""""))), LEN(INDEX(FILTER(I$1:I517, I$1:I517&lt;&gt;""""),COUNTA(FILTER(I$1:I517, I$1:I517&lt;&gt;""""))))-1), IF('To Order'!$A518=COLUMNS($A518:I"&amp;"537), I517&amp;RIGHT(INDIRECT(ADDRESS(ROW(I518)-1, 'From Order'!$A518)), 1), I517))"),"D")</f>
        <v>D</v>
      </c>
    </row>
    <row r="519">
      <c r="A519" s="2" t="str">
        <f>IFERROR(__xludf.DUMMYFUNCTION("IF('From Order'!$A519=COLUMNS($A519:A538), LEFT(INDEX(FILTER(A$1:A518, A$1:A518&lt;&gt;""""),COUNTA(FILTER(A$1:A518, A$1:A518&lt;&gt;""""))), LEN(INDEX(FILTER(A$1:A518, A$1:A518&lt;&gt;""""),COUNTA(FILTER(A$1:A518, A$1:A518&lt;&gt;""""))))-1), IF('To Order'!$A519=COLUMNS($A519:A"&amp;"538), A518&amp;RIGHT(INDIRECT(ADDRESS(ROW(A519)-1, 'From Order'!$A519)), 1), A518))"),"")</f>
        <v/>
      </c>
      <c r="B519" s="2" t="str">
        <f>IFERROR(__xludf.DUMMYFUNCTION("IF('From Order'!$A519=COLUMNS($A519:B538), LEFT(INDEX(FILTER(B$1:B518, B$1:B518&lt;&gt;""""),COUNTA(FILTER(B$1:B518, B$1:B518&lt;&gt;""""))), LEN(INDEX(FILTER(B$1:B518, B$1:B518&lt;&gt;""""),COUNTA(FILTER(B$1:B518, B$1:B518&lt;&gt;""""))))-1), IF('To Order'!$A519=COLUMNS($A519:B"&amp;"538), B518&amp;RIGHT(INDIRECT(ADDRESS(ROW(B519)-1, 'From Order'!$A519)), 1), B518))"),"JZRVPVRZHMFBBRQPDS")</f>
        <v>JZRVPVRZHMFBBRQPDS</v>
      </c>
      <c r="C519" s="2" t="str">
        <f>IFERROR(__xludf.DUMMYFUNCTION("IF('From Order'!$A519=COLUMNS($A519:C538), LEFT(INDEX(FILTER(C$1:C518, C$1:C518&lt;&gt;""""),COUNTA(FILTER(C$1:C518, C$1:C518&lt;&gt;""""))), LEN(INDEX(FILTER(C$1:C518, C$1:C518&lt;&gt;""""),COUNTA(FILTER(C$1:C518, C$1:C518&lt;&gt;""""))))-1), IF('To Order'!$A519=COLUMNS($A519:C"&amp;"538), C518&amp;RIGHT(INDIRECT(ADDRESS(ROW(C519)-1, 'From Order'!$A519)), 1), C518))"),"S")</f>
        <v>S</v>
      </c>
      <c r="D519" s="2" t="str">
        <f>IFERROR(__xludf.DUMMYFUNCTION("IF('From Order'!$A519=COLUMNS($A519:D538), LEFT(INDEX(FILTER(D$1:D518, D$1:D518&lt;&gt;""""),COUNTA(FILTER(D$1:D518, D$1:D518&lt;&gt;""""))), LEN(INDEX(FILTER(D$1:D518, D$1:D518&lt;&gt;""""),COUNTA(FILTER(D$1:D518, D$1:D518&lt;&gt;""""))))-1), IF('To Order'!$A519=COLUMNS($A519:D"&amp;"538), D518&amp;RIGHT(INDIRECT(ADDRESS(ROW(D519)-1, 'From Order'!$A519)), 1), D518))"),"")</f>
        <v/>
      </c>
      <c r="E519" s="2" t="str">
        <f>IFERROR(__xludf.DUMMYFUNCTION("IF('From Order'!$A519=COLUMNS($A519:E538), LEFT(INDEX(FILTER(E$1:E518, E$1:E518&lt;&gt;""""),COUNTA(FILTER(E$1:E518, E$1:E518&lt;&gt;""""))), LEN(INDEX(FILTER(E$1:E518, E$1:E518&lt;&gt;""""),COUNTA(FILTER(E$1:E518, E$1:E518&lt;&gt;""""))))-1), IF('To Order'!$A519=COLUMNS($A519:E"&amp;"538), E518&amp;RIGHT(INDIRECT(ADDRESS(ROW(E519)-1, 'From Order'!$A519)), 1), E518))"),"LBSGDT")</f>
        <v>LBSGDT</v>
      </c>
      <c r="F519" s="2" t="str">
        <f>IFERROR(__xludf.DUMMYFUNCTION("IF('From Order'!$A519=COLUMNS($A519:F538), LEFT(INDEX(FILTER(F$1:F518, F$1:F518&lt;&gt;""""),COUNTA(FILTER(F$1:F518, F$1:F518&lt;&gt;""""))), LEN(INDEX(FILTER(F$1:F518, F$1:F518&lt;&gt;""""),COUNTA(FILTER(F$1:F518, F$1:F518&lt;&gt;""""))))-1), IF('To Order'!$A519=COLUMNS($A519:F"&amp;"538), F518&amp;RIGHT(INDIRECT(ADDRESS(ROW(F519)-1, 'From Order'!$A519)), 1), F518))"),"JLCTFTMQCDTRLDRWTJTVCBPWHGS")</f>
        <v>JLCTFTMQCDTRLDRWTJTVCBPWHGS</v>
      </c>
      <c r="G519" s="2" t="str">
        <f>IFERROR(__xludf.DUMMYFUNCTION("IF('From Order'!$A519=COLUMNS($A519:G538), LEFT(INDEX(FILTER(G$1:G518, G$1:G518&lt;&gt;""""),COUNTA(FILTER(G$1:G518, G$1:G518&lt;&gt;""""))), LEN(INDEX(FILTER(G$1:G518, G$1:G518&lt;&gt;""""),COUNTA(FILTER(G$1:G518, G$1:G518&lt;&gt;""""))))-1), IF('To Order'!$A519=COLUMNS($A519:G"&amp;"538), G518&amp;RIGHT(INDIRECT(ADDRESS(ROW(G519)-1, 'From Order'!$A519)), 1), G518))"),"")</f>
        <v/>
      </c>
      <c r="H519" s="2" t="str">
        <f>IFERROR(__xludf.DUMMYFUNCTION("IF('From Order'!$A519=COLUMNS($A519:H538), LEFT(INDEX(FILTER(H$1:H518, H$1:H518&lt;&gt;""""),COUNTA(FILTER(H$1:H518, H$1:H518&lt;&gt;""""))), LEN(INDEX(FILTER(H$1:H518, H$1:H518&lt;&gt;""""),COUNTA(FILTER(H$1:H518, H$1:H518&lt;&gt;""""))))-1), IF('To Order'!$A519=COLUMNS($A519:H"&amp;"538), H518&amp;RIGHT(INDIRECT(ADDRESS(ROW(H519)-1, 'From Order'!$A519)), 1), H518))"),"ZMD")</f>
        <v>ZMD</v>
      </c>
      <c r="I519" s="2" t="str">
        <f>IFERROR(__xludf.DUMMYFUNCTION("IF('From Order'!$A519=COLUMNS($A519:I538), LEFT(INDEX(FILTER(I$1:I518, I$1:I518&lt;&gt;""""),COUNTA(FILTER(I$1:I518, I$1:I518&lt;&gt;""""))), LEN(INDEX(FILTER(I$1:I518, I$1:I518&lt;&gt;""""),COUNTA(FILTER(I$1:I518, I$1:I518&lt;&gt;""""))))-1), IF('To Order'!$A519=COLUMNS($A519:I"&amp;"538), I518&amp;RIGHT(INDIRECT(ADDRESS(ROW(I519)-1, 'From Order'!$A519)), 1), I518))"),"D")</f>
        <v>D</v>
      </c>
    </row>
    <row r="520">
      <c r="A520" s="2" t="str">
        <f>IFERROR(__xludf.DUMMYFUNCTION("IF('From Order'!$A520=COLUMNS($A520:A539), LEFT(INDEX(FILTER(A$1:A519, A$1:A519&lt;&gt;""""),COUNTA(FILTER(A$1:A519, A$1:A519&lt;&gt;""""))), LEN(INDEX(FILTER(A$1:A519, A$1:A519&lt;&gt;""""),COUNTA(FILTER(A$1:A519, A$1:A519&lt;&gt;""""))))-1), IF('To Order'!$A520=COLUMNS($A520:A"&amp;"539), A519&amp;RIGHT(INDIRECT(ADDRESS(ROW(A520)-1, 'From Order'!$A520)), 1), A519))"),"")</f>
        <v/>
      </c>
      <c r="B520" s="2" t="str">
        <f>IFERROR(__xludf.DUMMYFUNCTION("IF('From Order'!$A520=COLUMNS($A520:B539), LEFT(INDEX(FILTER(B$1:B519, B$1:B519&lt;&gt;""""),COUNTA(FILTER(B$1:B519, B$1:B519&lt;&gt;""""))), LEN(INDEX(FILTER(B$1:B519, B$1:B519&lt;&gt;""""),COUNTA(FILTER(B$1:B519, B$1:B519&lt;&gt;""""))))-1), IF('To Order'!$A520=COLUMNS($A520:B"&amp;"539), B519&amp;RIGHT(INDIRECT(ADDRESS(ROW(B520)-1, 'From Order'!$A520)), 1), B519))"),"JZRVPVRZHMFBBRQPDSS")</f>
        <v>JZRVPVRZHMFBBRQPDSS</v>
      </c>
      <c r="C520" s="2" t="str">
        <f>IFERROR(__xludf.DUMMYFUNCTION("IF('From Order'!$A520=COLUMNS($A520:C539), LEFT(INDEX(FILTER(C$1:C519, C$1:C519&lt;&gt;""""),COUNTA(FILTER(C$1:C519, C$1:C519&lt;&gt;""""))), LEN(INDEX(FILTER(C$1:C519, C$1:C519&lt;&gt;""""),COUNTA(FILTER(C$1:C519, C$1:C519&lt;&gt;""""))))-1), IF('To Order'!$A520=COLUMNS($A520:C"&amp;"539), C519&amp;RIGHT(INDIRECT(ADDRESS(ROW(C520)-1, 'From Order'!$A520)), 1), C519))"),"S")</f>
        <v>S</v>
      </c>
      <c r="D520" s="2" t="str">
        <f>IFERROR(__xludf.DUMMYFUNCTION("IF('From Order'!$A520=COLUMNS($A520:D539), LEFT(INDEX(FILTER(D$1:D519, D$1:D519&lt;&gt;""""),COUNTA(FILTER(D$1:D519, D$1:D519&lt;&gt;""""))), LEN(INDEX(FILTER(D$1:D519, D$1:D519&lt;&gt;""""),COUNTA(FILTER(D$1:D519, D$1:D519&lt;&gt;""""))))-1), IF('To Order'!$A520=COLUMNS($A520:D"&amp;"539), D519&amp;RIGHT(INDIRECT(ADDRESS(ROW(D520)-1, 'From Order'!$A520)), 1), D519))"),"")</f>
        <v/>
      </c>
      <c r="E520" s="2" t="str">
        <f>IFERROR(__xludf.DUMMYFUNCTION("IF('From Order'!$A520=COLUMNS($A520:E539), LEFT(INDEX(FILTER(E$1:E519, E$1:E519&lt;&gt;""""),COUNTA(FILTER(E$1:E519, E$1:E519&lt;&gt;""""))), LEN(INDEX(FILTER(E$1:E519, E$1:E519&lt;&gt;""""),COUNTA(FILTER(E$1:E519, E$1:E519&lt;&gt;""""))))-1), IF('To Order'!$A520=COLUMNS($A520:E"&amp;"539), E519&amp;RIGHT(INDIRECT(ADDRESS(ROW(E520)-1, 'From Order'!$A520)), 1), E519))"),"LBSGDT")</f>
        <v>LBSGDT</v>
      </c>
      <c r="F520" s="2" t="str">
        <f>IFERROR(__xludf.DUMMYFUNCTION("IF('From Order'!$A520=COLUMNS($A520:F539), LEFT(INDEX(FILTER(F$1:F519, F$1:F519&lt;&gt;""""),COUNTA(FILTER(F$1:F519, F$1:F519&lt;&gt;""""))), LEN(INDEX(FILTER(F$1:F519, F$1:F519&lt;&gt;""""),COUNTA(FILTER(F$1:F519, F$1:F519&lt;&gt;""""))))-1), IF('To Order'!$A520=COLUMNS($A520:F"&amp;"539), F519&amp;RIGHT(INDIRECT(ADDRESS(ROW(F520)-1, 'From Order'!$A520)), 1), F519))"),"JLCTFTMQCDTRLDRWTJTVCBPWHG")</f>
        <v>JLCTFTMQCDTRLDRWTJTVCBPWHG</v>
      </c>
      <c r="G520" s="2" t="str">
        <f>IFERROR(__xludf.DUMMYFUNCTION("IF('From Order'!$A520=COLUMNS($A520:G539), LEFT(INDEX(FILTER(G$1:G519, G$1:G519&lt;&gt;""""),COUNTA(FILTER(G$1:G519, G$1:G519&lt;&gt;""""))), LEN(INDEX(FILTER(G$1:G519, G$1:G519&lt;&gt;""""),COUNTA(FILTER(G$1:G519, G$1:G519&lt;&gt;""""))))-1), IF('To Order'!$A520=COLUMNS($A520:G"&amp;"539), G519&amp;RIGHT(INDIRECT(ADDRESS(ROW(G520)-1, 'From Order'!$A520)), 1), G519))"),"")</f>
        <v/>
      </c>
      <c r="H520" s="2" t="str">
        <f>IFERROR(__xludf.DUMMYFUNCTION("IF('From Order'!$A520=COLUMNS($A520:H539), LEFT(INDEX(FILTER(H$1:H519, H$1:H519&lt;&gt;""""),COUNTA(FILTER(H$1:H519, H$1:H519&lt;&gt;""""))), LEN(INDEX(FILTER(H$1:H519, H$1:H519&lt;&gt;""""),COUNTA(FILTER(H$1:H519, H$1:H519&lt;&gt;""""))))-1), IF('To Order'!$A520=COLUMNS($A520:H"&amp;"539), H519&amp;RIGHT(INDIRECT(ADDRESS(ROW(H520)-1, 'From Order'!$A520)), 1), H519))"),"ZMD")</f>
        <v>ZMD</v>
      </c>
      <c r="I520" s="2" t="str">
        <f>IFERROR(__xludf.DUMMYFUNCTION("IF('From Order'!$A520=COLUMNS($A520:I539), LEFT(INDEX(FILTER(I$1:I519, I$1:I519&lt;&gt;""""),COUNTA(FILTER(I$1:I519, I$1:I519&lt;&gt;""""))), LEN(INDEX(FILTER(I$1:I519, I$1:I519&lt;&gt;""""),COUNTA(FILTER(I$1:I519, I$1:I519&lt;&gt;""""))))-1), IF('To Order'!$A520=COLUMNS($A520:I"&amp;"539), I519&amp;RIGHT(INDIRECT(ADDRESS(ROW(I520)-1, 'From Order'!$A520)), 1), I519))"),"D")</f>
        <v>D</v>
      </c>
    </row>
    <row r="521">
      <c r="A521" s="2" t="str">
        <f>IFERROR(__xludf.DUMMYFUNCTION("IF('From Order'!$A521=COLUMNS($A521:A540), LEFT(INDEX(FILTER(A$1:A520, A$1:A520&lt;&gt;""""),COUNTA(FILTER(A$1:A520, A$1:A520&lt;&gt;""""))), LEN(INDEX(FILTER(A$1:A520, A$1:A520&lt;&gt;""""),COUNTA(FILTER(A$1:A520, A$1:A520&lt;&gt;""""))))-1), IF('To Order'!$A521=COLUMNS($A521:A"&amp;"540), A520&amp;RIGHT(INDIRECT(ADDRESS(ROW(A521)-1, 'From Order'!$A521)), 1), A520))"),"")</f>
        <v/>
      </c>
      <c r="B521" s="2" t="str">
        <f>IFERROR(__xludf.DUMMYFUNCTION("IF('From Order'!$A521=COLUMNS($A521:B540), LEFT(INDEX(FILTER(B$1:B520, B$1:B520&lt;&gt;""""),COUNTA(FILTER(B$1:B520, B$1:B520&lt;&gt;""""))), LEN(INDEX(FILTER(B$1:B520, B$1:B520&lt;&gt;""""),COUNTA(FILTER(B$1:B520, B$1:B520&lt;&gt;""""))))-1), IF('To Order'!$A521=COLUMNS($A521:B"&amp;"540), B520&amp;RIGHT(INDIRECT(ADDRESS(ROW(B521)-1, 'From Order'!$A521)), 1), B520))"),"JZRVPVRZHMFBBRQPDSSG")</f>
        <v>JZRVPVRZHMFBBRQPDSSG</v>
      </c>
      <c r="C521" s="2" t="str">
        <f>IFERROR(__xludf.DUMMYFUNCTION("IF('From Order'!$A521=COLUMNS($A521:C540), LEFT(INDEX(FILTER(C$1:C520, C$1:C520&lt;&gt;""""),COUNTA(FILTER(C$1:C520, C$1:C520&lt;&gt;""""))), LEN(INDEX(FILTER(C$1:C520, C$1:C520&lt;&gt;""""),COUNTA(FILTER(C$1:C520, C$1:C520&lt;&gt;""""))))-1), IF('To Order'!$A521=COLUMNS($A521:C"&amp;"540), C520&amp;RIGHT(INDIRECT(ADDRESS(ROW(C521)-1, 'From Order'!$A521)), 1), C520))"),"S")</f>
        <v>S</v>
      </c>
      <c r="D521" s="2" t="str">
        <f>IFERROR(__xludf.DUMMYFUNCTION("IF('From Order'!$A521=COLUMNS($A521:D540), LEFT(INDEX(FILTER(D$1:D520, D$1:D520&lt;&gt;""""),COUNTA(FILTER(D$1:D520, D$1:D520&lt;&gt;""""))), LEN(INDEX(FILTER(D$1:D520, D$1:D520&lt;&gt;""""),COUNTA(FILTER(D$1:D520, D$1:D520&lt;&gt;""""))))-1), IF('To Order'!$A521=COLUMNS($A521:D"&amp;"540), D520&amp;RIGHT(INDIRECT(ADDRESS(ROW(D521)-1, 'From Order'!$A521)), 1), D520))"),"")</f>
        <v/>
      </c>
      <c r="E521" s="2" t="str">
        <f>IFERROR(__xludf.DUMMYFUNCTION("IF('From Order'!$A521=COLUMNS($A521:E540), LEFT(INDEX(FILTER(E$1:E520, E$1:E520&lt;&gt;""""),COUNTA(FILTER(E$1:E520, E$1:E520&lt;&gt;""""))), LEN(INDEX(FILTER(E$1:E520, E$1:E520&lt;&gt;""""),COUNTA(FILTER(E$1:E520, E$1:E520&lt;&gt;""""))))-1), IF('To Order'!$A521=COLUMNS($A521:E"&amp;"540), E520&amp;RIGHT(INDIRECT(ADDRESS(ROW(E521)-1, 'From Order'!$A521)), 1), E520))"),"LBSGDT")</f>
        <v>LBSGDT</v>
      </c>
      <c r="F521" s="2" t="str">
        <f>IFERROR(__xludf.DUMMYFUNCTION("IF('From Order'!$A521=COLUMNS($A521:F540), LEFT(INDEX(FILTER(F$1:F520, F$1:F520&lt;&gt;""""),COUNTA(FILTER(F$1:F520, F$1:F520&lt;&gt;""""))), LEN(INDEX(FILTER(F$1:F520, F$1:F520&lt;&gt;""""),COUNTA(FILTER(F$1:F520, F$1:F520&lt;&gt;""""))))-1), IF('To Order'!$A521=COLUMNS($A521:F"&amp;"540), F520&amp;RIGHT(INDIRECT(ADDRESS(ROW(F521)-1, 'From Order'!$A521)), 1), F520))"),"JLCTFTMQCDTRLDRWTJTVCBPWH")</f>
        <v>JLCTFTMQCDTRLDRWTJTVCBPWH</v>
      </c>
      <c r="G521" s="2" t="str">
        <f>IFERROR(__xludf.DUMMYFUNCTION("IF('From Order'!$A521=COLUMNS($A521:G540), LEFT(INDEX(FILTER(G$1:G520, G$1:G520&lt;&gt;""""),COUNTA(FILTER(G$1:G520, G$1:G520&lt;&gt;""""))), LEN(INDEX(FILTER(G$1:G520, G$1:G520&lt;&gt;""""),COUNTA(FILTER(G$1:G520, G$1:G520&lt;&gt;""""))))-1), IF('To Order'!$A521=COLUMNS($A521:G"&amp;"540), G520&amp;RIGHT(INDIRECT(ADDRESS(ROW(G521)-1, 'From Order'!$A521)), 1), G520))"),"")</f>
        <v/>
      </c>
      <c r="H521" s="2" t="str">
        <f>IFERROR(__xludf.DUMMYFUNCTION("IF('From Order'!$A521=COLUMNS($A521:H540), LEFT(INDEX(FILTER(H$1:H520, H$1:H520&lt;&gt;""""),COUNTA(FILTER(H$1:H520, H$1:H520&lt;&gt;""""))), LEN(INDEX(FILTER(H$1:H520, H$1:H520&lt;&gt;""""),COUNTA(FILTER(H$1:H520, H$1:H520&lt;&gt;""""))))-1), IF('To Order'!$A521=COLUMNS($A521:H"&amp;"540), H520&amp;RIGHT(INDIRECT(ADDRESS(ROW(H521)-1, 'From Order'!$A521)), 1), H520))"),"ZMD")</f>
        <v>ZMD</v>
      </c>
      <c r="I521" s="2" t="str">
        <f>IFERROR(__xludf.DUMMYFUNCTION("IF('From Order'!$A521=COLUMNS($A521:I540), LEFT(INDEX(FILTER(I$1:I520, I$1:I520&lt;&gt;""""),COUNTA(FILTER(I$1:I520, I$1:I520&lt;&gt;""""))), LEN(INDEX(FILTER(I$1:I520, I$1:I520&lt;&gt;""""),COUNTA(FILTER(I$1:I520, I$1:I520&lt;&gt;""""))))-1), IF('To Order'!$A521=COLUMNS($A521:I"&amp;"540), I520&amp;RIGHT(INDIRECT(ADDRESS(ROW(I521)-1, 'From Order'!$A521)), 1), I520))"),"D")</f>
        <v>D</v>
      </c>
    </row>
    <row r="522">
      <c r="A522" s="2" t="str">
        <f>IFERROR(__xludf.DUMMYFUNCTION("IF('From Order'!$A522=COLUMNS($A522:A541), LEFT(INDEX(FILTER(A$1:A521, A$1:A521&lt;&gt;""""),COUNTA(FILTER(A$1:A521, A$1:A521&lt;&gt;""""))), LEN(INDEX(FILTER(A$1:A521, A$1:A521&lt;&gt;""""),COUNTA(FILTER(A$1:A521, A$1:A521&lt;&gt;""""))))-1), IF('To Order'!$A522=COLUMNS($A522:A"&amp;"541), A521&amp;RIGHT(INDIRECT(ADDRESS(ROW(A522)-1, 'From Order'!$A522)), 1), A521))"),"")</f>
        <v/>
      </c>
      <c r="B522" s="2" t="str">
        <f>IFERROR(__xludf.DUMMYFUNCTION("IF('From Order'!$A522=COLUMNS($A522:B541), LEFT(INDEX(FILTER(B$1:B521, B$1:B521&lt;&gt;""""),COUNTA(FILTER(B$1:B521, B$1:B521&lt;&gt;""""))), LEN(INDEX(FILTER(B$1:B521, B$1:B521&lt;&gt;""""),COUNTA(FILTER(B$1:B521, B$1:B521&lt;&gt;""""))))-1), IF('To Order'!$A522=COLUMNS($A522:B"&amp;"541), B521&amp;RIGHT(INDIRECT(ADDRESS(ROW(B522)-1, 'From Order'!$A522)), 1), B521))"),"JZRVPVRZHMFBBRQPDSSGH")</f>
        <v>JZRVPVRZHMFBBRQPDSSGH</v>
      </c>
      <c r="C522" s="2" t="str">
        <f>IFERROR(__xludf.DUMMYFUNCTION("IF('From Order'!$A522=COLUMNS($A522:C541), LEFT(INDEX(FILTER(C$1:C521, C$1:C521&lt;&gt;""""),COUNTA(FILTER(C$1:C521, C$1:C521&lt;&gt;""""))), LEN(INDEX(FILTER(C$1:C521, C$1:C521&lt;&gt;""""),COUNTA(FILTER(C$1:C521, C$1:C521&lt;&gt;""""))))-1), IF('To Order'!$A522=COLUMNS($A522:C"&amp;"541), C521&amp;RIGHT(INDIRECT(ADDRESS(ROW(C522)-1, 'From Order'!$A522)), 1), C521))"),"S")</f>
        <v>S</v>
      </c>
      <c r="D522" s="2" t="str">
        <f>IFERROR(__xludf.DUMMYFUNCTION("IF('From Order'!$A522=COLUMNS($A522:D541), LEFT(INDEX(FILTER(D$1:D521, D$1:D521&lt;&gt;""""),COUNTA(FILTER(D$1:D521, D$1:D521&lt;&gt;""""))), LEN(INDEX(FILTER(D$1:D521, D$1:D521&lt;&gt;""""),COUNTA(FILTER(D$1:D521, D$1:D521&lt;&gt;""""))))-1), IF('To Order'!$A522=COLUMNS($A522:D"&amp;"541), D521&amp;RIGHT(INDIRECT(ADDRESS(ROW(D522)-1, 'From Order'!$A522)), 1), D521))"),"")</f>
        <v/>
      </c>
      <c r="E522" s="2" t="str">
        <f>IFERROR(__xludf.DUMMYFUNCTION("IF('From Order'!$A522=COLUMNS($A522:E541), LEFT(INDEX(FILTER(E$1:E521, E$1:E521&lt;&gt;""""),COUNTA(FILTER(E$1:E521, E$1:E521&lt;&gt;""""))), LEN(INDEX(FILTER(E$1:E521, E$1:E521&lt;&gt;""""),COUNTA(FILTER(E$1:E521, E$1:E521&lt;&gt;""""))))-1), IF('To Order'!$A522=COLUMNS($A522:E"&amp;"541), E521&amp;RIGHT(INDIRECT(ADDRESS(ROW(E522)-1, 'From Order'!$A522)), 1), E521))"),"LBSGDT")</f>
        <v>LBSGDT</v>
      </c>
      <c r="F522" s="2" t="str">
        <f>IFERROR(__xludf.DUMMYFUNCTION("IF('From Order'!$A522=COLUMNS($A522:F541), LEFT(INDEX(FILTER(F$1:F521, F$1:F521&lt;&gt;""""),COUNTA(FILTER(F$1:F521, F$1:F521&lt;&gt;""""))), LEN(INDEX(FILTER(F$1:F521, F$1:F521&lt;&gt;""""),COUNTA(FILTER(F$1:F521, F$1:F521&lt;&gt;""""))))-1), IF('To Order'!$A522=COLUMNS($A522:F"&amp;"541), F521&amp;RIGHT(INDIRECT(ADDRESS(ROW(F522)-1, 'From Order'!$A522)), 1), F521))"),"JLCTFTMQCDTRLDRWTJTVCBPW")</f>
        <v>JLCTFTMQCDTRLDRWTJTVCBPW</v>
      </c>
      <c r="G522" s="2" t="str">
        <f>IFERROR(__xludf.DUMMYFUNCTION("IF('From Order'!$A522=COLUMNS($A522:G541), LEFT(INDEX(FILTER(G$1:G521, G$1:G521&lt;&gt;""""),COUNTA(FILTER(G$1:G521, G$1:G521&lt;&gt;""""))), LEN(INDEX(FILTER(G$1:G521, G$1:G521&lt;&gt;""""),COUNTA(FILTER(G$1:G521, G$1:G521&lt;&gt;""""))))-1), IF('To Order'!$A522=COLUMNS($A522:G"&amp;"541), G521&amp;RIGHT(INDIRECT(ADDRESS(ROW(G522)-1, 'From Order'!$A522)), 1), G521))"),"")</f>
        <v/>
      </c>
      <c r="H522" s="2" t="str">
        <f>IFERROR(__xludf.DUMMYFUNCTION("IF('From Order'!$A522=COLUMNS($A522:H541), LEFT(INDEX(FILTER(H$1:H521, H$1:H521&lt;&gt;""""),COUNTA(FILTER(H$1:H521, H$1:H521&lt;&gt;""""))), LEN(INDEX(FILTER(H$1:H521, H$1:H521&lt;&gt;""""),COUNTA(FILTER(H$1:H521, H$1:H521&lt;&gt;""""))))-1), IF('To Order'!$A522=COLUMNS($A522:H"&amp;"541), H521&amp;RIGHT(INDIRECT(ADDRESS(ROW(H522)-1, 'From Order'!$A522)), 1), H521))"),"ZMD")</f>
        <v>ZMD</v>
      </c>
      <c r="I522" s="2" t="str">
        <f>IFERROR(__xludf.DUMMYFUNCTION("IF('From Order'!$A522=COLUMNS($A522:I541), LEFT(INDEX(FILTER(I$1:I521, I$1:I521&lt;&gt;""""),COUNTA(FILTER(I$1:I521, I$1:I521&lt;&gt;""""))), LEN(INDEX(FILTER(I$1:I521, I$1:I521&lt;&gt;""""),COUNTA(FILTER(I$1:I521, I$1:I521&lt;&gt;""""))))-1), IF('To Order'!$A522=COLUMNS($A522:I"&amp;"541), I521&amp;RIGHT(INDIRECT(ADDRESS(ROW(I522)-1, 'From Order'!$A522)), 1), I521))"),"D")</f>
        <v>D</v>
      </c>
    </row>
    <row r="523">
      <c r="A523" s="2" t="str">
        <f>IFERROR(__xludf.DUMMYFUNCTION("IF('From Order'!$A523=COLUMNS($A523:A542), LEFT(INDEX(FILTER(A$1:A522, A$1:A522&lt;&gt;""""),COUNTA(FILTER(A$1:A522, A$1:A522&lt;&gt;""""))), LEN(INDEX(FILTER(A$1:A522, A$1:A522&lt;&gt;""""),COUNTA(FILTER(A$1:A522, A$1:A522&lt;&gt;""""))))-1), IF('To Order'!$A523=COLUMNS($A523:A"&amp;"542), A522&amp;RIGHT(INDIRECT(ADDRESS(ROW(A523)-1, 'From Order'!$A523)), 1), A522))"),"")</f>
        <v/>
      </c>
      <c r="B523" s="2" t="str">
        <f>IFERROR(__xludf.DUMMYFUNCTION("IF('From Order'!$A523=COLUMNS($A523:B542), LEFT(INDEX(FILTER(B$1:B522, B$1:B522&lt;&gt;""""),COUNTA(FILTER(B$1:B522, B$1:B522&lt;&gt;""""))), LEN(INDEX(FILTER(B$1:B522, B$1:B522&lt;&gt;""""),COUNTA(FILTER(B$1:B522, B$1:B522&lt;&gt;""""))))-1), IF('To Order'!$A523=COLUMNS($A523:B"&amp;"542), B522&amp;RIGHT(INDIRECT(ADDRESS(ROW(B523)-1, 'From Order'!$A523)), 1), B522))"),"JZRVPVRZHMFBBRQPDSSGHW")</f>
        <v>JZRVPVRZHMFBBRQPDSSGHW</v>
      </c>
      <c r="C523" s="2" t="str">
        <f>IFERROR(__xludf.DUMMYFUNCTION("IF('From Order'!$A523=COLUMNS($A523:C542), LEFT(INDEX(FILTER(C$1:C522, C$1:C522&lt;&gt;""""),COUNTA(FILTER(C$1:C522, C$1:C522&lt;&gt;""""))), LEN(INDEX(FILTER(C$1:C522, C$1:C522&lt;&gt;""""),COUNTA(FILTER(C$1:C522, C$1:C522&lt;&gt;""""))))-1), IF('To Order'!$A523=COLUMNS($A523:C"&amp;"542), C522&amp;RIGHT(INDIRECT(ADDRESS(ROW(C523)-1, 'From Order'!$A523)), 1), C522))"),"S")</f>
        <v>S</v>
      </c>
      <c r="D523" s="2" t="str">
        <f>IFERROR(__xludf.DUMMYFUNCTION("IF('From Order'!$A523=COLUMNS($A523:D542), LEFT(INDEX(FILTER(D$1:D522, D$1:D522&lt;&gt;""""),COUNTA(FILTER(D$1:D522, D$1:D522&lt;&gt;""""))), LEN(INDEX(FILTER(D$1:D522, D$1:D522&lt;&gt;""""),COUNTA(FILTER(D$1:D522, D$1:D522&lt;&gt;""""))))-1), IF('To Order'!$A523=COLUMNS($A523:D"&amp;"542), D522&amp;RIGHT(INDIRECT(ADDRESS(ROW(D523)-1, 'From Order'!$A523)), 1), D522))"),"")</f>
        <v/>
      </c>
      <c r="E523" s="2" t="str">
        <f>IFERROR(__xludf.DUMMYFUNCTION("IF('From Order'!$A523=COLUMNS($A523:E542), LEFT(INDEX(FILTER(E$1:E522, E$1:E522&lt;&gt;""""),COUNTA(FILTER(E$1:E522, E$1:E522&lt;&gt;""""))), LEN(INDEX(FILTER(E$1:E522, E$1:E522&lt;&gt;""""),COUNTA(FILTER(E$1:E522, E$1:E522&lt;&gt;""""))))-1), IF('To Order'!$A523=COLUMNS($A523:E"&amp;"542), E522&amp;RIGHT(INDIRECT(ADDRESS(ROW(E523)-1, 'From Order'!$A523)), 1), E522))"),"LBSGDT")</f>
        <v>LBSGDT</v>
      </c>
      <c r="F523" s="2" t="str">
        <f>IFERROR(__xludf.DUMMYFUNCTION("IF('From Order'!$A523=COLUMNS($A523:F542), LEFT(INDEX(FILTER(F$1:F522, F$1:F522&lt;&gt;""""),COUNTA(FILTER(F$1:F522, F$1:F522&lt;&gt;""""))), LEN(INDEX(FILTER(F$1:F522, F$1:F522&lt;&gt;""""),COUNTA(FILTER(F$1:F522, F$1:F522&lt;&gt;""""))))-1), IF('To Order'!$A523=COLUMNS($A523:F"&amp;"542), F522&amp;RIGHT(INDIRECT(ADDRESS(ROW(F523)-1, 'From Order'!$A523)), 1), F522))"),"JLCTFTMQCDTRLDRWTJTVCBP")</f>
        <v>JLCTFTMQCDTRLDRWTJTVCBP</v>
      </c>
      <c r="G523" s="2" t="str">
        <f>IFERROR(__xludf.DUMMYFUNCTION("IF('From Order'!$A523=COLUMNS($A523:G542), LEFT(INDEX(FILTER(G$1:G522, G$1:G522&lt;&gt;""""),COUNTA(FILTER(G$1:G522, G$1:G522&lt;&gt;""""))), LEN(INDEX(FILTER(G$1:G522, G$1:G522&lt;&gt;""""),COUNTA(FILTER(G$1:G522, G$1:G522&lt;&gt;""""))))-1), IF('To Order'!$A523=COLUMNS($A523:G"&amp;"542), G522&amp;RIGHT(INDIRECT(ADDRESS(ROW(G523)-1, 'From Order'!$A523)), 1), G522))"),"")</f>
        <v/>
      </c>
      <c r="H523" s="2" t="str">
        <f>IFERROR(__xludf.DUMMYFUNCTION("IF('From Order'!$A523=COLUMNS($A523:H542), LEFT(INDEX(FILTER(H$1:H522, H$1:H522&lt;&gt;""""),COUNTA(FILTER(H$1:H522, H$1:H522&lt;&gt;""""))), LEN(INDEX(FILTER(H$1:H522, H$1:H522&lt;&gt;""""),COUNTA(FILTER(H$1:H522, H$1:H522&lt;&gt;""""))))-1), IF('To Order'!$A523=COLUMNS($A523:H"&amp;"542), H522&amp;RIGHT(INDIRECT(ADDRESS(ROW(H523)-1, 'From Order'!$A523)), 1), H522))"),"ZMD")</f>
        <v>ZMD</v>
      </c>
      <c r="I523" s="2" t="str">
        <f>IFERROR(__xludf.DUMMYFUNCTION("IF('From Order'!$A523=COLUMNS($A523:I542), LEFT(INDEX(FILTER(I$1:I522, I$1:I522&lt;&gt;""""),COUNTA(FILTER(I$1:I522, I$1:I522&lt;&gt;""""))), LEN(INDEX(FILTER(I$1:I522, I$1:I522&lt;&gt;""""),COUNTA(FILTER(I$1:I522, I$1:I522&lt;&gt;""""))))-1), IF('To Order'!$A523=COLUMNS($A523:I"&amp;"542), I522&amp;RIGHT(INDIRECT(ADDRESS(ROW(I523)-1, 'From Order'!$A523)), 1), I522))"),"D")</f>
        <v>D</v>
      </c>
    </row>
    <row r="524">
      <c r="A524" s="2" t="str">
        <f>IFERROR(__xludf.DUMMYFUNCTION("IF('From Order'!$A524=COLUMNS($A524:A543), LEFT(INDEX(FILTER(A$1:A523, A$1:A523&lt;&gt;""""),COUNTA(FILTER(A$1:A523, A$1:A523&lt;&gt;""""))), LEN(INDEX(FILTER(A$1:A523, A$1:A523&lt;&gt;""""),COUNTA(FILTER(A$1:A523, A$1:A523&lt;&gt;""""))))-1), IF('To Order'!$A524=COLUMNS($A524:A"&amp;"543), A523&amp;RIGHT(INDIRECT(ADDRESS(ROW(A524)-1, 'From Order'!$A524)), 1), A523))"),"")</f>
        <v/>
      </c>
      <c r="B524" s="2" t="str">
        <f>IFERROR(__xludf.DUMMYFUNCTION("IF('From Order'!$A524=COLUMNS($A524:B543), LEFT(INDEX(FILTER(B$1:B523, B$1:B523&lt;&gt;""""),COUNTA(FILTER(B$1:B523, B$1:B523&lt;&gt;""""))), LEN(INDEX(FILTER(B$1:B523, B$1:B523&lt;&gt;""""),COUNTA(FILTER(B$1:B523, B$1:B523&lt;&gt;""""))))-1), IF('To Order'!$A524=COLUMNS($A524:B"&amp;"543), B523&amp;RIGHT(INDIRECT(ADDRESS(ROW(B524)-1, 'From Order'!$A524)), 1), B523))"),"JZRVPVRZHMFBBRQPDSSGHWP")</f>
        <v>JZRVPVRZHMFBBRQPDSSGHWP</v>
      </c>
      <c r="C524" s="2" t="str">
        <f>IFERROR(__xludf.DUMMYFUNCTION("IF('From Order'!$A524=COLUMNS($A524:C543), LEFT(INDEX(FILTER(C$1:C523, C$1:C523&lt;&gt;""""),COUNTA(FILTER(C$1:C523, C$1:C523&lt;&gt;""""))), LEN(INDEX(FILTER(C$1:C523, C$1:C523&lt;&gt;""""),COUNTA(FILTER(C$1:C523, C$1:C523&lt;&gt;""""))))-1), IF('To Order'!$A524=COLUMNS($A524:C"&amp;"543), C523&amp;RIGHT(INDIRECT(ADDRESS(ROW(C524)-1, 'From Order'!$A524)), 1), C523))"),"S")</f>
        <v>S</v>
      </c>
      <c r="D524" s="2" t="str">
        <f>IFERROR(__xludf.DUMMYFUNCTION("IF('From Order'!$A524=COLUMNS($A524:D543), LEFT(INDEX(FILTER(D$1:D523, D$1:D523&lt;&gt;""""),COUNTA(FILTER(D$1:D523, D$1:D523&lt;&gt;""""))), LEN(INDEX(FILTER(D$1:D523, D$1:D523&lt;&gt;""""),COUNTA(FILTER(D$1:D523, D$1:D523&lt;&gt;""""))))-1), IF('To Order'!$A524=COLUMNS($A524:D"&amp;"543), D523&amp;RIGHT(INDIRECT(ADDRESS(ROW(D524)-1, 'From Order'!$A524)), 1), D523))"),"")</f>
        <v/>
      </c>
      <c r="E524" s="2" t="str">
        <f>IFERROR(__xludf.DUMMYFUNCTION("IF('From Order'!$A524=COLUMNS($A524:E543), LEFT(INDEX(FILTER(E$1:E523, E$1:E523&lt;&gt;""""),COUNTA(FILTER(E$1:E523, E$1:E523&lt;&gt;""""))), LEN(INDEX(FILTER(E$1:E523, E$1:E523&lt;&gt;""""),COUNTA(FILTER(E$1:E523, E$1:E523&lt;&gt;""""))))-1), IF('To Order'!$A524=COLUMNS($A524:E"&amp;"543), E523&amp;RIGHT(INDIRECT(ADDRESS(ROW(E524)-1, 'From Order'!$A524)), 1), E523))"),"LBSGDT")</f>
        <v>LBSGDT</v>
      </c>
      <c r="F524" s="2" t="str">
        <f>IFERROR(__xludf.DUMMYFUNCTION("IF('From Order'!$A524=COLUMNS($A524:F543), LEFT(INDEX(FILTER(F$1:F523, F$1:F523&lt;&gt;""""),COUNTA(FILTER(F$1:F523, F$1:F523&lt;&gt;""""))), LEN(INDEX(FILTER(F$1:F523, F$1:F523&lt;&gt;""""),COUNTA(FILTER(F$1:F523, F$1:F523&lt;&gt;""""))))-1), IF('To Order'!$A524=COLUMNS($A524:F"&amp;"543), F523&amp;RIGHT(INDIRECT(ADDRESS(ROW(F524)-1, 'From Order'!$A524)), 1), F523))"),"JLCTFTMQCDTRLDRWTJTVCB")</f>
        <v>JLCTFTMQCDTRLDRWTJTVCB</v>
      </c>
      <c r="G524" s="2" t="str">
        <f>IFERROR(__xludf.DUMMYFUNCTION("IF('From Order'!$A524=COLUMNS($A524:G543), LEFT(INDEX(FILTER(G$1:G523, G$1:G523&lt;&gt;""""),COUNTA(FILTER(G$1:G523, G$1:G523&lt;&gt;""""))), LEN(INDEX(FILTER(G$1:G523, G$1:G523&lt;&gt;""""),COUNTA(FILTER(G$1:G523, G$1:G523&lt;&gt;""""))))-1), IF('To Order'!$A524=COLUMNS($A524:G"&amp;"543), G523&amp;RIGHT(INDIRECT(ADDRESS(ROW(G524)-1, 'From Order'!$A524)), 1), G523))"),"")</f>
        <v/>
      </c>
      <c r="H524" s="2" t="str">
        <f>IFERROR(__xludf.DUMMYFUNCTION("IF('From Order'!$A524=COLUMNS($A524:H543), LEFT(INDEX(FILTER(H$1:H523, H$1:H523&lt;&gt;""""),COUNTA(FILTER(H$1:H523, H$1:H523&lt;&gt;""""))), LEN(INDEX(FILTER(H$1:H523, H$1:H523&lt;&gt;""""),COUNTA(FILTER(H$1:H523, H$1:H523&lt;&gt;""""))))-1), IF('To Order'!$A524=COLUMNS($A524:H"&amp;"543), H523&amp;RIGHT(INDIRECT(ADDRESS(ROW(H524)-1, 'From Order'!$A524)), 1), H523))"),"ZMD")</f>
        <v>ZMD</v>
      </c>
      <c r="I524" s="2" t="str">
        <f>IFERROR(__xludf.DUMMYFUNCTION("IF('From Order'!$A524=COLUMNS($A524:I543), LEFT(INDEX(FILTER(I$1:I523, I$1:I523&lt;&gt;""""),COUNTA(FILTER(I$1:I523, I$1:I523&lt;&gt;""""))), LEN(INDEX(FILTER(I$1:I523, I$1:I523&lt;&gt;""""),COUNTA(FILTER(I$1:I523, I$1:I523&lt;&gt;""""))))-1), IF('To Order'!$A524=COLUMNS($A524:I"&amp;"543), I523&amp;RIGHT(INDIRECT(ADDRESS(ROW(I524)-1, 'From Order'!$A524)), 1), I523))"),"D")</f>
        <v>D</v>
      </c>
    </row>
    <row r="525">
      <c r="A525" s="2" t="str">
        <f>IFERROR(__xludf.DUMMYFUNCTION("IF('From Order'!$A525=COLUMNS($A525:A544), LEFT(INDEX(FILTER(A$1:A524, A$1:A524&lt;&gt;""""),COUNTA(FILTER(A$1:A524, A$1:A524&lt;&gt;""""))), LEN(INDEX(FILTER(A$1:A524, A$1:A524&lt;&gt;""""),COUNTA(FILTER(A$1:A524, A$1:A524&lt;&gt;""""))))-1), IF('To Order'!$A525=COLUMNS($A525:A"&amp;"544), A524&amp;RIGHT(INDIRECT(ADDRESS(ROW(A525)-1, 'From Order'!$A525)), 1), A524))"),"")</f>
        <v/>
      </c>
      <c r="B525" s="2" t="str">
        <f>IFERROR(__xludf.DUMMYFUNCTION("IF('From Order'!$A525=COLUMNS($A525:B544), LEFT(INDEX(FILTER(B$1:B524, B$1:B524&lt;&gt;""""),COUNTA(FILTER(B$1:B524, B$1:B524&lt;&gt;""""))), LEN(INDEX(FILTER(B$1:B524, B$1:B524&lt;&gt;""""),COUNTA(FILTER(B$1:B524, B$1:B524&lt;&gt;""""))))-1), IF('To Order'!$A525=COLUMNS($A525:B"&amp;"544), B524&amp;RIGHT(INDIRECT(ADDRESS(ROW(B525)-1, 'From Order'!$A525)), 1), B524))"),"JZRVPVRZHMFBBRQPDSSGHWPB")</f>
        <v>JZRVPVRZHMFBBRQPDSSGHWPB</v>
      </c>
      <c r="C525" s="2" t="str">
        <f>IFERROR(__xludf.DUMMYFUNCTION("IF('From Order'!$A525=COLUMNS($A525:C544), LEFT(INDEX(FILTER(C$1:C524, C$1:C524&lt;&gt;""""),COUNTA(FILTER(C$1:C524, C$1:C524&lt;&gt;""""))), LEN(INDEX(FILTER(C$1:C524, C$1:C524&lt;&gt;""""),COUNTA(FILTER(C$1:C524, C$1:C524&lt;&gt;""""))))-1), IF('To Order'!$A525=COLUMNS($A525:C"&amp;"544), C524&amp;RIGHT(INDIRECT(ADDRESS(ROW(C525)-1, 'From Order'!$A525)), 1), C524))"),"S")</f>
        <v>S</v>
      </c>
      <c r="D525" s="2" t="str">
        <f>IFERROR(__xludf.DUMMYFUNCTION("IF('From Order'!$A525=COLUMNS($A525:D544), LEFT(INDEX(FILTER(D$1:D524, D$1:D524&lt;&gt;""""),COUNTA(FILTER(D$1:D524, D$1:D524&lt;&gt;""""))), LEN(INDEX(FILTER(D$1:D524, D$1:D524&lt;&gt;""""),COUNTA(FILTER(D$1:D524, D$1:D524&lt;&gt;""""))))-1), IF('To Order'!$A525=COLUMNS($A525:D"&amp;"544), D524&amp;RIGHT(INDIRECT(ADDRESS(ROW(D525)-1, 'From Order'!$A525)), 1), D524))"),"")</f>
        <v/>
      </c>
      <c r="E525" s="2" t="str">
        <f>IFERROR(__xludf.DUMMYFUNCTION("IF('From Order'!$A525=COLUMNS($A525:E544), LEFT(INDEX(FILTER(E$1:E524, E$1:E524&lt;&gt;""""),COUNTA(FILTER(E$1:E524, E$1:E524&lt;&gt;""""))), LEN(INDEX(FILTER(E$1:E524, E$1:E524&lt;&gt;""""),COUNTA(FILTER(E$1:E524, E$1:E524&lt;&gt;""""))))-1), IF('To Order'!$A525=COLUMNS($A525:E"&amp;"544), E524&amp;RIGHT(INDIRECT(ADDRESS(ROW(E525)-1, 'From Order'!$A525)), 1), E524))"),"LBSGDT")</f>
        <v>LBSGDT</v>
      </c>
      <c r="F525" s="2" t="str">
        <f>IFERROR(__xludf.DUMMYFUNCTION("IF('From Order'!$A525=COLUMNS($A525:F544), LEFT(INDEX(FILTER(F$1:F524, F$1:F524&lt;&gt;""""),COUNTA(FILTER(F$1:F524, F$1:F524&lt;&gt;""""))), LEN(INDEX(FILTER(F$1:F524, F$1:F524&lt;&gt;""""),COUNTA(FILTER(F$1:F524, F$1:F524&lt;&gt;""""))))-1), IF('To Order'!$A525=COLUMNS($A525:F"&amp;"544), F524&amp;RIGHT(INDIRECT(ADDRESS(ROW(F525)-1, 'From Order'!$A525)), 1), F524))"),"JLCTFTMQCDTRLDRWTJTVC")</f>
        <v>JLCTFTMQCDTRLDRWTJTVC</v>
      </c>
      <c r="G525" s="2" t="str">
        <f>IFERROR(__xludf.DUMMYFUNCTION("IF('From Order'!$A525=COLUMNS($A525:G544), LEFT(INDEX(FILTER(G$1:G524, G$1:G524&lt;&gt;""""),COUNTA(FILTER(G$1:G524, G$1:G524&lt;&gt;""""))), LEN(INDEX(FILTER(G$1:G524, G$1:G524&lt;&gt;""""),COUNTA(FILTER(G$1:G524, G$1:G524&lt;&gt;""""))))-1), IF('To Order'!$A525=COLUMNS($A525:G"&amp;"544), G524&amp;RIGHT(INDIRECT(ADDRESS(ROW(G525)-1, 'From Order'!$A525)), 1), G524))"),"")</f>
        <v/>
      </c>
      <c r="H525" s="2" t="str">
        <f>IFERROR(__xludf.DUMMYFUNCTION("IF('From Order'!$A525=COLUMNS($A525:H544), LEFT(INDEX(FILTER(H$1:H524, H$1:H524&lt;&gt;""""),COUNTA(FILTER(H$1:H524, H$1:H524&lt;&gt;""""))), LEN(INDEX(FILTER(H$1:H524, H$1:H524&lt;&gt;""""),COUNTA(FILTER(H$1:H524, H$1:H524&lt;&gt;""""))))-1), IF('To Order'!$A525=COLUMNS($A525:H"&amp;"544), H524&amp;RIGHT(INDIRECT(ADDRESS(ROW(H525)-1, 'From Order'!$A525)), 1), H524))"),"ZMD")</f>
        <v>ZMD</v>
      </c>
      <c r="I525" s="2" t="str">
        <f>IFERROR(__xludf.DUMMYFUNCTION("IF('From Order'!$A525=COLUMNS($A525:I544), LEFT(INDEX(FILTER(I$1:I524, I$1:I524&lt;&gt;""""),COUNTA(FILTER(I$1:I524, I$1:I524&lt;&gt;""""))), LEN(INDEX(FILTER(I$1:I524, I$1:I524&lt;&gt;""""),COUNTA(FILTER(I$1:I524, I$1:I524&lt;&gt;""""))))-1), IF('To Order'!$A525=COLUMNS($A525:I"&amp;"544), I524&amp;RIGHT(INDIRECT(ADDRESS(ROW(I525)-1, 'From Order'!$A525)), 1), I524))"),"D")</f>
        <v>D</v>
      </c>
    </row>
    <row r="526">
      <c r="A526" s="2" t="str">
        <f>IFERROR(__xludf.DUMMYFUNCTION("IF('From Order'!$A526=COLUMNS($A526:A545), LEFT(INDEX(FILTER(A$1:A525, A$1:A525&lt;&gt;""""),COUNTA(FILTER(A$1:A525, A$1:A525&lt;&gt;""""))), LEN(INDEX(FILTER(A$1:A525, A$1:A525&lt;&gt;""""),COUNTA(FILTER(A$1:A525, A$1:A525&lt;&gt;""""))))-1), IF('To Order'!$A526=COLUMNS($A526:A"&amp;"545), A525&amp;RIGHT(INDIRECT(ADDRESS(ROW(A526)-1, 'From Order'!$A526)), 1), A525))"),"")</f>
        <v/>
      </c>
      <c r="B526" s="2" t="str">
        <f>IFERROR(__xludf.DUMMYFUNCTION("IF('From Order'!$A526=COLUMNS($A526:B545), LEFT(INDEX(FILTER(B$1:B525, B$1:B525&lt;&gt;""""),COUNTA(FILTER(B$1:B525, B$1:B525&lt;&gt;""""))), LEN(INDEX(FILTER(B$1:B525, B$1:B525&lt;&gt;""""),COUNTA(FILTER(B$1:B525, B$1:B525&lt;&gt;""""))))-1), IF('To Order'!$A526=COLUMNS($A526:B"&amp;"545), B525&amp;RIGHT(INDIRECT(ADDRESS(ROW(B526)-1, 'From Order'!$A526)), 1), B525))"),"JZRVPVRZHMFBBRQPDSSGHWPBC")</f>
        <v>JZRVPVRZHMFBBRQPDSSGHWPBC</v>
      </c>
      <c r="C526" s="2" t="str">
        <f>IFERROR(__xludf.DUMMYFUNCTION("IF('From Order'!$A526=COLUMNS($A526:C545), LEFT(INDEX(FILTER(C$1:C525, C$1:C525&lt;&gt;""""),COUNTA(FILTER(C$1:C525, C$1:C525&lt;&gt;""""))), LEN(INDEX(FILTER(C$1:C525, C$1:C525&lt;&gt;""""),COUNTA(FILTER(C$1:C525, C$1:C525&lt;&gt;""""))))-1), IF('To Order'!$A526=COLUMNS($A526:C"&amp;"545), C525&amp;RIGHT(INDIRECT(ADDRESS(ROW(C526)-1, 'From Order'!$A526)), 1), C525))"),"S")</f>
        <v>S</v>
      </c>
      <c r="D526" s="2" t="str">
        <f>IFERROR(__xludf.DUMMYFUNCTION("IF('From Order'!$A526=COLUMNS($A526:D545), LEFT(INDEX(FILTER(D$1:D525, D$1:D525&lt;&gt;""""),COUNTA(FILTER(D$1:D525, D$1:D525&lt;&gt;""""))), LEN(INDEX(FILTER(D$1:D525, D$1:D525&lt;&gt;""""),COUNTA(FILTER(D$1:D525, D$1:D525&lt;&gt;""""))))-1), IF('To Order'!$A526=COLUMNS($A526:D"&amp;"545), D525&amp;RIGHT(INDIRECT(ADDRESS(ROW(D526)-1, 'From Order'!$A526)), 1), D525))"),"")</f>
        <v/>
      </c>
      <c r="E526" s="2" t="str">
        <f>IFERROR(__xludf.DUMMYFUNCTION("IF('From Order'!$A526=COLUMNS($A526:E545), LEFT(INDEX(FILTER(E$1:E525, E$1:E525&lt;&gt;""""),COUNTA(FILTER(E$1:E525, E$1:E525&lt;&gt;""""))), LEN(INDEX(FILTER(E$1:E525, E$1:E525&lt;&gt;""""),COUNTA(FILTER(E$1:E525, E$1:E525&lt;&gt;""""))))-1), IF('To Order'!$A526=COLUMNS($A526:E"&amp;"545), E525&amp;RIGHT(INDIRECT(ADDRESS(ROW(E526)-1, 'From Order'!$A526)), 1), E525))"),"LBSGDT")</f>
        <v>LBSGDT</v>
      </c>
      <c r="F526" s="2" t="str">
        <f>IFERROR(__xludf.DUMMYFUNCTION("IF('From Order'!$A526=COLUMNS($A526:F545), LEFT(INDEX(FILTER(F$1:F525, F$1:F525&lt;&gt;""""),COUNTA(FILTER(F$1:F525, F$1:F525&lt;&gt;""""))), LEN(INDEX(FILTER(F$1:F525, F$1:F525&lt;&gt;""""),COUNTA(FILTER(F$1:F525, F$1:F525&lt;&gt;""""))))-1), IF('To Order'!$A526=COLUMNS($A526:F"&amp;"545), F525&amp;RIGHT(INDIRECT(ADDRESS(ROW(F526)-1, 'From Order'!$A526)), 1), F525))"),"JLCTFTMQCDTRLDRWTJTV")</f>
        <v>JLCTFTMQCDTRLDRWTJTV</v>
      </c>
      <c r="G526" s="2" t="str">
        <f>IFERROR(__xludf.DUMMYFUNCTION("IF('From Order'!$A526=COLUMNS($A526:G545), LEFT(INDEX(FILTER(G$1:G525, G$1:G525&lt;&gt;""""),COUNTA(FILTER(G$1:G525, G$1:G525&lt;&gt;""""))), LEN(INDEX(FILTER(G$1:G525, G$1:G525&lt;&gt;""""),COUNTA(FILTER(G$1:G525, G$1:G525&lt;&gt;""""))))-1), IF('To Order'!$A526=COLUMNS($A526:G"&amp;"545), G525&amp;RIGHT(INDIRECT(ADDRESS(ROW(G526)-1, 'From Order'!$A526)), 1), G525))"),"")</f>
        <v/>
      </c>
      <c r="H526" s="2" t="str">
        <f>IFERROR(__xludf.DUMMYFUNCTION("IF('From Order'!$A526=COLUMNS($A526:H545), LEFT(INDEX(FILTER(H$1:H525, H$1:H525&lt;&gt;""""),COUNTA(FILTER(H$1:H525, H$1:H525&lt;&gt;""""))), LEN(INDEX(FILTER(H$1:H525, H$1:H525&lt;&gt;""""),COUNTA(FILTER(H$1:H525, H$1:H525&lt;&gt;""""))))-1), IF('To Order'!$A526=COLUMNS($A526:H"&amp;"545), H525&amp;RIGHT(INDIRECT(ADDRESS(ROW(H526)-1, 'From Order'!$A526)), 1), H525))"),"ZMD")</f>
        <v>ZMD</v>
      </c>
      <c r="I526" s="2" t="str">
        <f>IFERROR(__xludf.DUMMYFUNCTION("IF('From Order'!$A526=COLUMNS($A526:I545), LEFT(INDEX(FILTER(I$1:I525, I$1:I525&lt;&gt;""""),COUNTA(FILTER(I$1:I525, I$1:I525&lt;&gt;""""))), LEN(INDEX(FILTER(I$1:I525, I$1:I525&lt;&gt;""""),COUNTA(FILTER(I$1:I525, I$1:I525&lt;&gt;""""))))-1), IF('To Order'!$A526=COLUMNS($A526:I"&amp;"545), I525&amp;RIGHT(INDIRECT(ADDRESS(ROW(I526)-1, 'From Order'!$A526)), 1), I525))"),"D")</f>
        <v>D</v>
      </c>
    </row>
    <row r="527">
      <c r="A527" s="2" t="str">
        <f>IFERROR(__xludf.DUMMYFUNCTION("IF('From Order'!$A527=COLUMNS($A527:A546), LEFT(INDEX(FILTER(A$1:A526, A$1:A526&lt;&gt;""""),COUNTA(FILTER(A$1:A526, A$1:A526&lt;&gt;""""))), LEN(INDEX(FILTER(A$1:A526, A$1:A526&lt;&gt;""""),COUNTA(FILTER(A$1:A526, A$1:A526&lt;&gt;""""))))-1), IF('To Order'!$A527=COLUMNS($A527:A"&amp;"546), A526&amp;RIGHT(INDIRECT(ADDRESS(ROW(A527)-1, 'From Order'!$A527)), 1), A526))"),"")</f>
        <v/>
      </c>
      <c r="B527" s="2" t="str">
        <f>IFERROR(__xludf.DUMMYFUNCTION("IF('From Order'!$A527=COLUMNS($A527:B546), LEFT(INDEX(FILTER(B$1:B526, B$1:B526&lt;&gt;""""),COUNTA(FILTER(B$1:B526, B$1:B526&lt;&gt;""""))), LEN(INDEX(FILTER(B$1:B526, B$1:B526&lt;&gt;""""),COUNTA(FILTER(B$1:B526, B$1:B526&lt;&gt;""""))))-1), IF('To Order'!$A527=COLUMNS($A527:B"&amp;"546), B526&amp;RIGHT(INDIRECT(ADDRESS(ROW(B527)-1, 'From Order'!$A527)), 1), B526))"),"JZRVPVRZHMFBBRQPDSSGHWPBCV")</f>
        <v>JZRVPVRZHMFBBRQPDSSGHWPBCV</v>
      </c>
      <c r="C527" s="2" t="str">
        <f>IFERROR(__xludf.DUMMYFUNCTION("IF('From Order'!$A527=COLUMNS($A527:C546), LEFT(INDEX(FILTER(C$1:C526, C$1:C526&lt;&gt;""""),COUNTA(FILTER(C$1:C526, C$1:C526&lt;&gt;""""))), LEN(INDEX(FILTER(C$1:C526, C$1:C526&lt;&gt;""""),COUNTA(FILTER(C$1:C526, C$1:C526&lt;&gt;""""))))-1), IF('To Order'!$A527=COLUMNS($A527:C"&amp;"546), C526&amp;RIGHT(INDIRECT(ADDRESS(ROW(C527)-1, 'From Order'!$A527)), 1), C526))"),"S")</f>
        <v>S</v>
      </c>
      <c r="D527" s="2" t="str">
        <f>IFERROR(__xludf.DUMMYFUNCTION("IF('From Order'!$A527=COLUMNS($A527:D546), LEFT(INDEX(FILTER(D$1:D526, D$1:D526&lt;&gt;""""),COUNTA(FILTER(D$1:D526, D$1:D526&lt;&gt;""""))), LEN(INDEX(FILTER(D$1:D526, D$1:D526&lt;&gt;""""),COUNTA(FILTER(D$1:D526, D$1:D526&lt;&gt;""""))))-1), IF('To Order'!$A527=COLUMNS($A527:D"&amp;"546), D526&amp;RIGHT(INDIRECT(ADDRESS(ROW(D527)-1, 'From Order'!$A527)), 1), D526))"),"")</f>
        <v/>
      </c>
      <c r="E527" s="2" t="str">
        <f>IFERROR(__xludf.DUMMYFUNCTION("IF('From Order'!$A527=COLUMNS($A527:E546), LEFT(INDEX(FILTER(E$1:E526, E$1:E526&lt;&gt;""""),COUNTA(FILTER(E$1:E526, E$1:E526&lt;&gt;""""))), LEN(INDEX(FILTER(E$1:E526, E$1:E526&lt;&gt;""""),COUNTA(FILTER(E$1:E526, E$1:E526&lt;&gt;""""))))-1), IF('To Order'!$A527=COLUMNS($A527:E"&amp;"546), E526&amp;RIGHT(INDIRECT(ADDRESS(ROW(E527)-1, 'From Order'!$A527)), 1), E526))"),"LBSGDT")</f>
        <v>LBSGDT</v>
      </c>
      <c r="F527" s="2" t="str">
        <f>IFERROR(__xludf.DUMMYFUNCTION("IF('From Order'!$A527=COLUMNS($A527:F546), LEFT(INDEX(FILTER(F$1:F526, F$1:F526&lt;&gt;""""),COUNTA(FILTER(F$1:F526, F$1:F526&lt;&gt;""""))), LEN(INDEX(FILTER(F$1:F526, F$1:F526&lt;&gt;""""),COUNTA(FILTER(F$1:F526, F$1:F526&lt;&gt;""""))))-1), IF('To Order'!$A527=COLUMNS($A527:F"&amp;"546), F526&amp;RIGHT(INDIRECT(ADDRESS(ROW(F527)-1, 'From Order'!$A527)), 1), F526))"),"JLCTFTMQCDTRLDRWTJT")</f>
        <v>JLCTFTMQCDTRLDRWTJT</v>
      </c>
      <c r="G527" s="2" t="str">
        <f>IFERROR(__xludf.DUMMYFUNCTION("IF('From Order'!$A527=COLUMNS($A527:G546), LEFT(INDEX(FILTER(G$1:G526, G$1:G526&lt;&gt;""""),COUNTA(FILTER(G$1:G526, G$1:G526&lt;&gt;""""))), LEN(INDEX(FILTER(G$1:G526, G$1:G526&lt;&gt;""""),COUNTA(FILTER(G$1:G526, G$1:G526&lt;&gt;""""))))-1), IF('To Order'!$A527=COLUMNS($A527:G"&amp;"546), G526&amp;RIGHT(INDIRECT(ADDRESS(ROW(G527)-1, 'From Order'!$A527)), 1), G526))"),"")</f>
        <v/>
      </c>
      <c r="H527" s="2" t="str">
        <f>IFERROR(__xludf.DUMMYFUNCTION("IF('From Order'!$A527=COLUMNS($A527:H546), LEFT(INDEX(FILTER(H$1:H526, H$1:H526&lt;&gt;""""),COUNTA(FILTER(H$1:H526, H$1:H526&lt;&gt;""""))), LEN(INDEX(FILTER(H$1:H526, H$1:H526&lt;&gt;""""),COUNTA(FILTER(H$1:H526, H$1:H526&lt;&gt;""""))))-1), IF('To Order'!$A527=COLUMNS($A527:H"&amp;"546), H526&amp;RIGHT(INDIRECT(ADDRESS(ROW(H527)-1, 'From Order'!$A527)), 1), H526))"),"ZMD")</f>
        <v>ZMD</v>
      </c>
      <c r="I527" s="2" t="str">
        <f>IFERROR(__xludf.DUMMYFUNCTION("IF('From Order'!$A527=COLUMNS($A527:I546), LEFT(INDEX(FILTER(I$1:I526, I$1:I526&lt;&gt;""""),COUNTA(FILTER(I$1:I526, I$1:I526&lt;&gt;""""))), LEN(INDEX(FILTER(I$1:I526, I$1:I526&lt;&gt;""""),COUNTA(FILTER(I$1:I526, I$1:I526&lt;&gt;""""))))-1), IF('To Order'!$A527=COLUMNS($A527:I"&amp;"546), I526&amp;RIGHT(INDIRECT(ADDRESS(ROW(I527)-1, 'From Order'!$A527)), 1), I526))"),"D")</f>
        <v>D</v>
      </c>
    </row>
    <row r="528">
      <c r="A528" s="2" t="str">
        <f>IFERROR(__xludf.DUMMYFUNCTION("IF('From Order'!$A528=COLUMNS($A528:A547), LEFT(INDEX(FILTER(A$1:A527, A$1:A527&lt;&gt;""""),COUNTA(FILTER(A$1:A527, A$1:A527&lt;&gt;""""))), LEN(INDEX(FILTER(A$1:A527, A$1:A527&lt;&gt;""""),COUNTA(FILTER(A$1:A527, A$1:A527&lt;&gt;""""))))-1), IF('To Order'!$A528=COLUMNS($A528:A"&amp;"547), A527&amp;RIGHT(INDIRECT(ADDRESS(ROW(A528)-1, 'From Order'!$A528)), 1), A527))"),"")</f>
        <v/>
      </c>
      <c r="B528" s="2" t="str">
        <f>IFERROR(__xludf.DUMMYFUNCTION("IF('From Order'!$A528=COLUMNS($A528:B547), LEFT(INDEX(FILTER(B$1:B527, B$1:B527&lt;&gt;""""),COUNTA(FILTER(B$1:B527, B$1:B527&lt;&gt;""""))), LEN(INDEX(FILTER(B$1:B527, B$1:B527&lt;&gt;""""),COUNTA(FILTER(B$1:B527, B$1:B527&lt;&gt;""""))))-1), IF('To Order'!$A528=COLUMNS($A528:B"&amp;"547), B527&amp;RIGHT(INDIRECT(ADDRESS(ROW(B528)-1, 'From Order'!$A528)), 1), B527))"),"JZRVPVRZHMFBBRQPDSSGHWPBCVT")</f>
        <v>JZRVPVRZHMFBBRQPDSSGHWPBCVT</v>
      </c>
      <c r="C528" s="2" t="str">
        <f>IFERROR(__xludf.DUMMYFUNCTION("IF('From Order'!$A528=COLUMNS($A528:C547), LEFT(INDEX(FILTER(C$1:C527, C$1:C527&lt;&gt;""""),COUNTA(FILTER(C$1:C527, C$1:C527&lt;&gt;""""))), LEN(INDEX(FILTER(C$1:C527, C$1:C527&lt;&gt;""""),COUNTA(FILTER(C$1:C527, C$1:C527&lt;&gt;""""))))-1), IF('To Order'!$A528=COLUMNS($A528:C"&amp;"547), C527&amp;RIGHT(INDIRECT(ADDRESS(ROW(C528)-1, 'From Order'!$A528)), 1), C527))"),"S")</f>
        <v>S</v>
      </c>
      <c r="D528" s="2" t="str">
        <f>IFERROR(__xludf.DUMMYFUNCTION("IF('From Order'!$A528=COLUMNS($A528:D547), LEFT(INDEX(FILTER(D$1:D527, D$1:D527&lt;&gt;""""),COUNTA(FILTER(D$1:D527, D$1:D527&lt;&gt;""""))), LEN(INDEX(FILTER(D$1:D527, D$1:D527&lt;&gt;""""),COUNTA(FILTER(D$1:D527, D$1:D527&lt;&gt;""""))))-1), IF('To Order'!$A528=COLUMNS($A528:D"&amp;"547), D527&amp;RIGHT(INDIRECT(ADDRESS(ROW(D528)-1, 'From Order'!$A528)), 1), D527))"),"")</f>
        <v/>
      </c>
      <c r="E528" s="2" t="str">
        <f>IFERROR(__xludf.DUMMYFUNCTION("IF('From Order'!$A528=COLUMNS($A528:E547), LEFT(INDEX(FILTER(E$1:E527, E$1:E527&lt;&gt;""""),COUNTA(FILTER(E$1:E527, E$1:E527&lt;&gt;""""))), LEN(INDEX(FILTER(E$1:E527, E$1:E527&lt;&gt;""""),COUNTA(FILTER(E$1:E527, E$1:E527&lt;&gt;""""))))-1), IF('To Order'!$A528=COLUMNS($A528:E"&amp;"547), E527&amp;RIGHT(INDIRECT(ADDRESS(ROW(E528)-1, 'From Order'!$A528)), 1), E527))"),"LBSGDT")</f>
        <v>LBSGDT</v>
      </c>
      <c r="F528" s="2" t="str">
        <f>IFERROR(__xludf.DUMMYFUNCTION("IF('From Order'!$A528=COLUMNS($A528:F547), LEFT(INDEX(FILTER(F$1:F527, F$1:F527&lt;&gt;""""),COUNTA(FILTER(F$1:F527, F$1:F527&lt;&gt;""""))), LEN(INDEX(FILTER(F$1:F527, F$1:F527&lt;&gt;""""),COUNTA(FILTER(F$1:F527, F$1:F527&lt;&gt;""""))))-1), IF('To Order'!$A528=COLUMNS($A528:F"&amp;"547), F527&amp;RIGHT(INDIRECT(ADDRESS(ROW(F528)-1, 'From Order'!$A528)), 1), F527))"),"JLCTFTMQCDTRLDRWTJ")</f>
        <v>JLCTFTMQCDTRLDRWTJ</v>
      </c>
      <c r="G528" s="2" t="str">
        <f>IFERROR(__xludf.DUMMYFUNCTION("IF('From Order'!$A528=COLUMNS($A528:G547), LEFT(INDEX(FILTER(G$1:G527, G$1:G527&lt;&gt;""""),COUNTA(FILTER(G$1:G527, G$1:G527&lt;&gt;""""))), LEN(INDEX(FILTER(G$1:G527, G$1:G527&lt;&gt;""""),COUNTA(FILTER(G$1:G527, G$1:G527&lt;&gt;""""))))-1), IF('To Order'!$A528=COLUMNS($A528:G"&amp;"547), G527&amp;RIGHT(INDIRECT(ADDRESS(ROW(G528)-1, 'From Order'!$A528)), 1), G527))"),"")</f>
        <v/>
      </c>
      <c r="H528" s="2" t="str">
        <f>IFERROR(__xludf.DUMMYFUNCTION("IF('From Order'!$A528=COLUMNS($A528:H547), LEFT(INDEX(FILTER(H$1:H527, H$1:H527&lt;&gt;""""),COUNTA(FILTER(H$1:H527, H$1:H527&lt;&gt;""""))), LEN(INDEX(FILTER(H$1:H527, H$1:H527&lt;&gt;""""),COUNTA(FILTER(H$1:H527, H$1:H527&lt;&gt;""""))))-1), IF('To Order'!$A528=COLUMNS($A528:H"&amp;"547), H527&amp;RIGHT(INDIRECT(ADDRESS(ROW(H528)-1, 'From Order'!$A528)), 1), H527))"),"ZMD")</f>
        <v>ZMD</v>
      </c>
      <c r="I528" s="2" t="str">
        <f>IFERROR(__xludf.DUMMYFUNCTION("IF('From Order'!$A528=COLUMNS($A528:I547), LEFT(INDEX(FILTER(I$1:I527, I$1:I527&lt;&gt;""""),COUNTA(FILTER(I$1:I527, I$1:I527&lt;&gt;""""))), LEN(INDEX(FILTER(I$1:I527, I$1:I527&lt;&gt;""""),COUNTA(FILTER(I$1:I527, I$1:I527&lt;&gt;""""))))-1), IF('To Order'!$A528=COLUMNS($A528:I"&amp;"547), I527&amp;RIGHT(INDIRECT(ADDRESS(ROW(I528)-1, 'From Order'!$A528)), 1), I527))"),"D")</f>
        <v>D</v>
      </c>
    </row>
    <row r="529">
      <c r="A529" s="2" t="str">
        <f>IFERROR(__xludf.DUMMYFUNCTION("IF('From Order'!$A529=COLUMNS($A529:A548), LEFT(INDEX(FILTER(A$1:A528, A$1:A528&lt;&gt;""""),COUNTA(FILTER(A$1:A528, A$1:A528&lt;&gt;""""))), LEN(INDEX(FILTER(A$1:A528, A$1:A528&lt;&gt;""""),COUNTA(FILTER(A$1:A528, A$1:A528&lt;&gt;""""))))-1), IF('To Order'!$A529=COLUMNS($A529:A"&amp;"548), A528&amp;RIGHT(INDIRECT(ADDRESS(ROW(A529)-1, 'From Order'!$A529)), 1), A528))"),"")</f>
        <v/>
      </c>
      <c r="B529" s="2" t="str">
        <f>IFERROR(__xludf.DUMMYFUNCTION("IF('From Order'!$A529=COLUMNS($A529:B548), LEFT(INDEX(FILTER(B$1:B528, B$1:B528&lt;&gt;""""),COUNTA(FILTER(B$1:B528, B$1:B528&lt;&gt;""""))), LEN(INDEX(FILTER(B$1:B528, B$1:B528&lt;&gt;""""),COUNTA(FILTER(B$1:B528, B$1:B528&lt;&gt;""""))))-1), IF('To Order'!$A529=COLUMNS($A529:B"&amp;"548), B528&amp;RIGHT(INDIRECT(ADDRESS(ROW(B529)-1, 'From Order'!$A529)), 1), B528))"),"JZRVPVRZHMFBBRQPDSSGHWPBCVTJ")</f>
        <v>JZRVPVRZHMFBBRQPDSSGHWPBCVTJ</v>
      </c>
      <c r="C529" s="2" t="str">
        <f>IFERROR(__xludf.DUMMYFUNCTION("IF('From Order'!$A529=COLUMNS($A529:C548), LEFT(INDEX(FILTER(C$1:C528, C$1:C528&lt;&gt;""""),COUNTA(FILTER(C$1:C528, C$1:C528&lt;&gt;""""))), LEN(INDEX(FILTER(C$1:C528, C$1:C528&lt;&gt;""""),COUNTA(FILTER(C$1:C528, C$1:C528&lt;&gt;""""))))-1), IF('To Order'!$A529=COLUMNS($A529:C"&amp;"548), C528&amp;RIGHT(INDIRECT(ADDRESS(ROW(C529)-1, 'From Order'!$A529)), 1), C528))"),"S")</f>
        <v>S</v>
      </c>
      <c r="D529" s="2" t="str">
        <f>IFERROR(__xludf.DUMMYFUNCTION("IF('From Order'!$A529=COLUMNS($A529:D548), LEFT(INDEX(FILTER(D$1:D528, D$1:D528&lt;&gt;""""),COUNTA(FILTER(D$1:D528, D$1:D528&lt;&gt;""""))), LEN(INDEX(FILTER(D$1:D528, D$1:D528&lt;&gt;""""),COUNTA(FILTER(D$1:D528, D$1:D528&lt;&gt;""""))))-1), IF('To Order'!$A529=COLUMNS($A529:D"&amp;"548), D528&amp;RIGHT(INDIRECT(ADDRESS(ROW(D529)-1, 'From Order'!$A529)), 1), D528))"),"")</f>
        <v/>
      </c>
      <c r="E529" s="2" t="str">
        <f>IFERROR(__xludf.DUMMYFUNCTION("IF('From Order'!$A529=COLUMNS($A529:E548), LEFT(INDEX(FILTER(E$1:E528, E$1:E528&lt;&gt;""""),COUNTA(FILTER(E$1:E528, E$1:E528&lt;&gt;""""))), LEN(INDEX(FILTER(E$1:E528, E$1:E528&lt;&gt;""""),COUNTA(FILTER(E$1:E528, E$1:E528&lt;&gt;""""))))-1), IF('To Order'!$A529=COLUMNS($A529:E"&amp;"548), E528&amp;RIGHT(INDIRECT(ADDRESS(ROW(E529)-1, 'From Order'!$A529)), 1), E528))"),"LBSGDT")</f>
        <v>LBSGDT</v>
      </c>
      <c r="F529" s="2" t="str">
        <f>IFERROR(__xludf.DUMMYFUNCTION("IF('From Order'!$A529=COLUMNS($A529:F548), LEFT(INDEX(FILTER(F$1:F528, F$1:F528&lt;&gt;""""),COUNTA(FILTER(F$1:F528, F$1:F528&lt;&gt;""""))), LEN(INDEX(FILTER(F$1:F528, F$1:F528&lt;&gt;""""),COUNTA(FILTER(F$1:F528, F$1:F528&lt;&gt;""""))))-1), IF('To Order'!$A529=COLUMNS($A529:F"&amp;"548), F528&amp;RIGHT(INDIRECT(ADDRESS(ROW(F529)-1, 'From Order'!$A529)), 1), F528))"),"JLCTFTMQCDTRLDRWT")</f>
        <v>JLCTFTMQCDTRLDRWT</v>
      </c>
      <c r="G529" s="2" t="str">
        <f>IFERROR(__xludf.DUMMYFUNCTION("IF('From Order'!$A529=COLUMNS($A529:G548), LEFT(INDEX(FILTER(G$1:G528, G$1:G528&lt;&gt;""""),COUNTA(FILTER(G$1:G528, G$1:G528&lt;&gt;""""))), LEN(INDEX(FILTER(G$1:G528, G$1:G528&lt;&gt;""""),COUNTA(FILTER(G$1:G528, G$1:G528&lt;&gt;""""))))-1), IF('To Order'!$A529=COLUMNS($A529:G"&amp;"548), G528&amp;RIGHT(INDIRECT(ADDRESS(ROW(G529)-1, 'From Order'!$A529)), 1), G528))"),"")</f>
        <v/>
      </c>
      <c r="H529" s="2" t="str">
        <f>IFERROR(__xludf.DUMMYFUNCTION("IF('From Order'!$A529=COLUMNS($A529:H548), LEFT(INDEX(FILTER(H$1:H528, H$1:H528&lt;&gt;""""),COUNTA(FILTER(H$1:H528, H$1:H528&lt;&gt;""""))), LEN(INDEX(FILTER(H$1:H528, H$1:H528&lt;&gt;""""),COUNTA(FILTER(H$1:H528, H$1:H528&lt;&gt;""""))))-1), IF('To Order'!$A529=COLUMNS($A529:H"&amp;"548), H528&amp;RIGHT(INDIRECT(ADDRESS(ROW(H529)-1, 'From Order'!$A529)), 1), H528))"),"ZMD")</f>
        <v>ZMD</v>
      </c>
      <c r="I529" s="2" t="str">
        <f>IFERROR(__xludf.DUMMYFUNCTION("IF('From Order'!$A529=COLUMNS($A529:I548), LEFT(INDEX(FILTER(I$1:I528, I$1:I528&lt;&gt;""""),COUNTA(FILTER(I$1:I528, I$1:I528&lt;&gt;""""))), LEN(INDEX(FILTER(I$1:I528, I$1:I528&lt;&gt;""""),COUNTA(FILTER(I$1:I528, I$1:I528&lt;&gt;""""))))-1), IF('To Order'!$A529=COLUMNS($A529:I"&amp;"548), I528&amp;RIGHT(INDIRECT(ADDRESS(ROW(I529)-1, 'From Order'!$A529)), 1), I528))"),"D")</f>
        <v>D</v>
      </c>
    </row>
    <row r="530">
      <c r="A530" s="2" t="str">
        <f>IFERROR(__xludf.DUMMYFUNCTION("IF('From Order'!$A530=COLUMNS($A530:A549), LEFT(INDEX(FILTER(A$1:A529, A$1:A529&lt;&gt;""""),COUNTA(FILTER(A$1:A529, A$1:A529&lt;&gt;""""))), LEN(INDEX(FILTER(A$1:A529, A$1:A529&lt;&gt;""""),COUNTA(FILTER(A$1:A529, A$1:A529&lt;&gt;""""))))-1), IF('To Order'!$A530=COLUMNS($A530:A"&amp;"549), A529&amp;RIGHT(INDIRECT(ADDRESS(ROW(A530)-1, 'From Order'!$A530)), 1), A529))"),"")</f>
        <v/>
      </c>
      <c r="B530" s="2" t="str">
        <f>IFERROR(__xludf.DUMMYFUNCTION("IF('From Order'!$A530=COLUMNS($A530:B549), LEFT(INDEX(FILTER(B$1:B529, B$1:B529&lt;&gt;""""),COUNTA(FILTER(B$1:B529, B$1:B529&lt;&gt;""""))), LEN(INDEX(FILTER(B$1:B529, B$1:B529&lt;&gt;""""),COUNTA(FILTER(B$1:B529, B$1:B529&lt;&gt;""""))))-1), IF('To Order'!$A530=COLUMNS($A530:B"&amp;"549), B529&amp;RIGHT(INDIRECT(ADDRESS(ROW(B530)-1, 'From Order'!$A530)), 1), B529))"),"JZRVPVRZHMFBBRQPDSSGHWPBCVTJ")</f>
        <v>JZRVPVRZHMFBBRQPDSSGHWPBCVTJ</v>
      </c>
      <c r="C530" s="2" t="str">
        <f>IFERROR(__xludf.DUMMYFUNCTION("IF('From Order'!$A530=COLUMNS($A530:C549), LEFT(INDEX(FILTER(C$1:C529, C$1:C529&lt;&gt;""""),COUNTA(FILTER(C$1:C529, C$1:C529&lt;&gt;""""))), LEN(INDEX(FILTER(C$1:C529, C$1:C529&lt;&gt;""""),COUNTA(FILTER(C$1:C529, C$1:C529&lt;&gt;""""))))-1), IF('To Order'!$A530=COLUMNS($A530:C"&amp;"549), C529&amp;RIGHT(INDIRECT(ADDRESS(ROW(C530)-1, 'From Order'!$A530)), 1), C529))"),"S")</f>
        <v>S</v>
      </c>
      <c r="D530" s="2" t="str">
        <f>IFERROR(__xludf.DUMMYFUNCTION("IF('From Order'!$A530=COLUMNS($A530:D549), LEFT(INDEX(FILTER(D$1:D529, D$1:D529&lt;&gt;""""),COUNTA(FILTER(D$1:D529, D$1:D529&lt;&gt;""""))), LEN(INDEX(FILTER(D$1:D529, D$1:D529&lt;&gt;""""),COUNTA(FILTER(D$1:D529, D$1:D529&lt;&gt;""""))))-1), IF('To Order'!$A530=COLUMNS($A530:D"&amp;"549), D529&amp;RIGHT(INDIRECT(ADDRESS(ROW(D530)-1, 'From Order'!$A530)), 1), D529))"),"")</f>
        <v/>
      </c>
      <c r="E530" s="2" t="str">
        <f>IFERROR(__xludf.DUMMYFUNCTION("IF('From Order'!$A530=COLUMNS($A530:E549), LEFT(INDEX(FILTER(E$1:E529, E$1:E529&lt;&gt;""""),COUNTA(FILTER(E$1:E529, E$1:E529&lt;&gt;""""))), LEN(INDEX(FILTER(E$1:E529, E$1:E529&lt;&gt;""""),COUNTA(FILTER(E$1:E529, E$1:E529&lt;&gt;""""))))-1), IF('To Order'!$A530=COLUMNS($A530:E"&amp;"549), E529&amp;RIGHT(INDIRECT(ADDRESS(ROW(E530)-1, 'From Order'!$A530)), 1), E529))"),"LBSGDT")</f>
        <v>LBSGDT</v>
      </c>
      <c r="F530" s="2" t="str">
        <f>IFERROR(__xludf.DUMMYFUNCTION("IF('From Order'!$A530=COLUMNS($A530:F549), LEFT(INDEX(FILTER(F$1:F529, F$1:F529&lt;&gt;""""),COUNTA(FILTER(F$1:F529, F$1:F529&lt;&gt;""""))), LEN(INDEX(FILTER(F$1:F529, F$1:F529&lt;&gt;""""),COUNTA(FILTER(F$1:F529, F$1:F529&lt;&gt;""""))))-1), IF('To Order'!$A530=COLUMNS($A530:F"&amp;"549), F529&amp;RIGHT(INDIRECT(ADDRESS(ROW(F530)-1, 'From Order'!$A530)), 1), F529))"),"JLCTFTMQCDTRLDRW")</f>
        <v>JLCTFTMQCDTRLDRW</v>
      </c>
      <c r="G530" s="2" t="str">
        <f>IFERROR(__xludf.DUMMYFUNCTION("IF('From Order'!$A530=COLUMNS($A530:G549), LEFT(INDEX(FILTER(G$1:G529, G$1:G529&lt;&gt;""""),COUNTA(FILTER(G$1:G529, G$1:G529&lt;&gt;""""))), LEN(INDEX(FILTER(G$1:G529, G$1:G529&lt;&gt;""""),COUNTA(FILTER(G$1:G529, G$1:G529&lt;&gt;""""))))-1), IF('To Order'!$A530=COLUMNS($A530:G"&amp;"549), G529&amp;RIGHT(INDIRECT(ADDRESS(ROW(G530)-1, 'From Order'!$A530)), 1), G529))"),"")</f>
        <v/>
      </c>
      <c r="H530" s="2" t="str">
        <f>IFERROR(__xludf.DUMMYFUNCTION("IF('From Order'!$A530=COLUMNS($A530:H549), LEFT(INDEX(FILTER(H$1:H529, H$1:H529&lt;&gt;""""),COUNTA(FILTER(H$1:H529, H$1:H529&lt;&gt;""""))), LEN(INDEX(FILTER(H$1:H529, H$1:H529&lt;&gt;""""),COUNTA(FILTER(H$1:H529, H$1:H529&lt;&gt;""""))))-1), IF('To Order'!$A530=COLUMNS($A530:H"&amp;"549), H529&amp;RIGHT(INDIRECT(ADDRESS(ROW(H530)-1, 'From Order'!$A530)), 1), H529))"),"ZMD")</f>
        <v>ZMD</v>
      </c>
      <c r="I530" s="2" t="str">
        <f>IFERROR(__xludf.DUMMYFUNCTION("IF('From Order'!$A530=COLUMNS($A530:I549), LEFT(INDEX(FILTER(I$1:I529, I$1:I529&lt;&gt;""""),COUNTA(FILTER(I$1:I529, I$1:I529&lt;&gt;""""))), LEN(INDEX(FILTER(I$1:I529, I$1:I529&lt;&gt;""""),COUNTA(FILTER(I$1:I529, I$1:I529&lt;&gt;""""))))-1), IF('To Order'!$A530=COLUMNS($A530:I"&amp;"549), I529&amp;RIGHT(INDIRECT(ADDRESS(ROW(I530)-1, 'From Order'!$A530)), 1), I529))"),"DT")</f>
        <v>DT</v>
      </c>
    </row>
    <row r="531">
      <c r="A531" s="2" t="str">
        <f>IFERROR(__xludf.DUMMYFUNCTION("IF('From Order'!$A531=COLUMNS($A531:A550), LEFT(INDEX(FILTER(A$1:A530, A$1:A530&lt;&gt;""""),COUNTA(FILTER(A$1:A530, A$1:A530&lt;&gt;""""))), LEN(INDEX(FILTER(A$1:A530, A$1:A530&lt;&gt;""""),COUNTA(FILTER(A$1:A530, A$1:A530&lt;&gt;""""))))-1), IF('To Order'!$A531=COLUMNS($A531:A"&amp;"550), A530&amp;RIGHT(INDIRECT(ADDRESS(ROW(A531)-1, 'From Order'!$A531)), 1), A530))"),"")</f>
        <v/>
      </c>
      <c r="B531" s="2" t="str">
        <f>IFERROR(__xludf.DUMMYFUNCTION("IF('From Order'!$A531=COLUMNS($A531:B550), LEFT(INDEX(FILTER(B$1:B530, B$1:B530&lt;&gt;""""),COUNTA(FILTER(B$1:B530, B$1:B530&lt;&gt;""""))), LEN(INDEX(FILTER(B$1:B530, B$1:B530&lt;&gt;""""),COUNTA(FILTER(B$1:B530, B$1:B530&lt;&gt;""""))))-1), IF('To Order'!$A531=COLUMNS($A531:B"&amp;"550), B530&amp;RIGHT(INDIRECT(ADDRESS(ROW(B531)-1, 'From Order'!$A531)), 1), B530))"),"JZRVPVRZHMFBBRQPDSSGHWPBCVTJ")</f>
        <v>JZRVPVRZHMFBBRQPDSSGHWPBCVTJ</v>
      </c>
      <c r="C531" s="2" t="str">
        <f>IFERROR(__xludf.DUMMYFUNCTION("IF('From Order'!$A531=COLUMNS($A531:C550), LEFT(INDEX(FILTER(C$1:C530, C$1:C530&lt;&gt;""""),COUNTA(FILTER(C$1:C530, C$1:C530&lt;&gt;""""))), LEN(INDEX(FILTER(C$1:C530, C$1:C530&lt;&gt;""""),COUNTA(FILTER(C$1:C530, C$1:C530&lt;&gt;""""))))-1), IF('To Order'!$A531=COLUMNS($A531:C"&amp;"550), C530&amp;RIGHT(INDIRECT(ADDRESS(ROW(C531)-1, 'From Order'!$A531)), 1), C530))"),"S")</f>
        <v>S</v>
      </c>
      <c r="D531" s="2" t="str">
        <f>IFERROR(__xludf.DUMMYFUNCTION("IF('From Order'!$A531=COLUMNS($A531:D550), LEFT(INDEX(FILTER(D$1:D530, D$1:D530&lt;&gt;""""),COUNTA(FILTER(D$1:D530, D$1:D530&lt;&gt;""""))), LEN(INDEX(FILTER(D$1:D530, D$1:D530&lt;&gt;""""),COUNTA(FILTER(D$1:D530, D$1:D530&lt;&gt;""""))))-1), IF('To Order'!$A531=COLUMNS($A531:D"&amp;"550), D530&amp;RIGHT(INDIRECT(ADDRESS(ROW(D531)-1, 'From Order'!$A531)), 1), D530))"),"")</f>
        <v/>
      </c>
      <c r="E531" s="2" t="str">
        <f>IFERROR(__xludf.DUMMYFUNCTION("IF('From Order'!$A531=COLUMNS($A531:E550), LEFT(INDEX(FILTER(E$1:E530, E$1:E530&lt;&gt;""""),COUNTA(FILTER(E$1:E530, E$1:E530&lt;&gt;""""))), LEN(INDEX(FILTER(E$1:E530, E$1:E530&lt;&gt;""""),COUNTA(FILTER(E$1:E530, E$1:E530&lt;&gt;""""))))-1), IF('To Order'!$A531=COLUMNS($A531:E"&amp;"550), E530&amp;RIGHT(INDIRECT(ADDRESS(ROW(E531)-1, 'From Order'!$A531)), 1), E530))"),"LBSGDT")</f>
        <v>LBSGDT</v>
      </c>
      <c r="F531" s="2" t="str">
        <f>IFERROR(__xludf.DUMMYFUNCTION("IF('From Order'!$A531=COLUMNS($A531:F550), LEFT(INDEX(FILTER(F$1:F530, F$1:F530&lt;&gt;""""),COUNTA(FILTER(F$1:F530, F$1:F530&lt;&gt;""""))), LEN(INDEX(FILTER(F$1:F530, F$1:F530&lt;&gt;""""),COUNTA(FILTER(F$1:F530, F$1:F530&lt;&gt;""""))))-1), IF('To Order'!$A531=COLUMNS($A531:F"&amp;"550), F530&amp;RIGHT(INDIRECT(ADDRESS(ROW(F531)-1, 'From Order'!$A531)), 1), F530))"),"JLCTFTMQCDTRLDR")</f>
        <v>JLCTFTMQCDTRLDR</v>
      </c>
      <c r="G531" s="2" t="str">
        <f>IFERROR(__xludf.DUMMYFUNCTION("IF('From Order'!$A531=COLUMNS($A531:G550), LEFT(INDEX(FILTER(G$1:G530, G$1:G530&lt;&gt;""""),COUNTA(FILTER(G$1:G530, G$1:G530&lt;&gt;""""))), LEN(INDEX(FILTER(G$1:G530, G$1:G530&lt;&gt;""""),COUNTA(FILTER(G$1:G530, G$1:G530&lt;&gt;""""))))-1), IF('To Order'!$A531=COLUMNS($A531:G"&amp;"550), G530&amp;RIGHT(INDIRECT(ADDRESS(ROW(G531)-1, 'From Order'!$A531)), 1), G530))"),"")</f>
        <v/>
      </c>
      <c r="H531" s="2" t="str">
        <f>IFERROR(__xludf.DUMMYFUNCTION("IF('From Order'!$A531=COLUMNS($A531:H550), LEFT(INDEX(FILTER(H$1:H530, H$1:H530&lt;&gt;""""),COUNTA(FILTER(H$1:H530, H$1:H530&lt;&gt;""""))), LEN(INDEX(FILTER(H$1:H530, H$1:H530&lt;&gt;""""),COUNTA(FILTER(H$1:H530, H$1:H530&lt;&gt;""""))))-1), IF('To Order'!$A531=COLUMNS($A531:H"&amp;"550), H530&amp;RIGHT(INDIRECT(ADDRESS(ROW(H531)-1, 'From Order'!$A531)), 1), H530))"),"ZMD")</f>
        <v>ZMD</v>
      </c>
      <c r="I531" s="2" t="str">
        <f>IFERROR(__xludf.DUMMYFUNCTION("IF('From Order'!$A531=COLUMNS($A531:I550), LEFT(INDEX(FILTER(I$1:I530, I$1:I530&lt;&gt;""""),COUNTA(FILTER(I$1:I530, I$1:I530&lt;&gt;""""))), LEN(INDEX(FILTER(I$1:I530, I$1:I530&lt;&gt;""""),COUNTA(FILTER(I$1:I530, I$1:I530&lt;&gt;""""))))-1), IF('To Order'!$A531=COLUMNS($A531:I"&amp;"550), I530&amp;RIGHT(INDIRECT(ADDRESS(ROW(I531)-1, 'From Order'!$A531)), 1), I530))"),"DTW")</f>
        <v>DTW</v>
      </c>
    </row>
    <row r="532">
      <c r="A532" s="2" t="str">
        <f>IFERROR(__xludf.DUMMYFUNCTION("IF('From Order'!$A532=COLUMNS($A532:A551), LEFT(INDEX(FILTER(A$1:A531, A$1:A531&lt;&gt;""""),COUNTA(FILTER(A$1:A531, A$1:A531&lt;&gt;""""))), LEN(INDEX(FILTER(A$1:A531, A$1:A531&lt;&gt;""""),COUNTA(FILTER(A$1:A531, A$1:A531&lt;&gt;""""))))-1), IF('To Order'!$A532=COLUMNS($A532:A"&amp;"551), A531&amp;RIGHT(INDIRECT(ADDRESS(ROW(A532)-1, 'From Order'!$A532)), 1), A531))"),"")</f>
        <v/>
      </c>
      <c r="B532" s="2" t="str">
        <f>IFERROR(__xludf.DUMMYFUNCTION("IF('From Order'!$A532=COLUMNS($A532:B551), LEFT(INDEX(FILTER(B$1:B531, B$1:B531&lt;&gt;""""),COUNTA(FILTER(B$1:B531, B$1:B531&lt;&gt;""""))), LEN(INDEX(FILTER(B$1:B531, B$1:B531&lt;&gt;""""),COUNTA(FILTER(B$1:B531, B$1:B531&lt;&gt;""""))))-1), IF('To Order'!$A532=COLUMNS($A532:B"&amp;"551), B531&amp;RIGHT(INDIRECT(ADDRESS(ROW(B532)-1, 'From Order'!$A532)), 1), B531))"),"JZRVPVRZHMFBBRQPDSSGHWPBCVTJ")</f>
        <v>JZRVPVRZHMFBBRQPDSSGHWPBCVTJ</v>
      </c>
      <c r="C532" s="2" t="str">
        <f>IFERROR(__xludf.DUMMYFUNCTION("IF('From Order'!$A532=COLUMNS($A532:C551), LEFT(INDEX(FILTER(C$1:C531, C$1:C531&lt;&gt;""""),COUNTA(FILTER(C$1:C531, C$1:C531&lt;&gt;""""))), LEN(INDEX(FILTER(C$1:C531, C$1:C531&lt;&gt;""""),COUNTA(FILTER(C$1:C531, C$1:C531&lt;&gt;""""))))-1), IF('To Order'!$A532=COLUMNS($A532:C"&amp;"551), C531&amp;RIGHT(INDIRECT(ADDRESS(ROW(C532)-1, 'From Order'!$A532)), 1), C531))"),"S")</f>
        <v>S</v>
      </c>
      <c r="D532" s="2" t="str">
        <f>IFERROR(__xludf.DUMMYFUNCTION("IF('From Order'!$A532=COLUMNS($A532:D551), LEFT(INDEX(FILTER(D$1:D531, D$1:D531&lt;&gt;""""),COUNTA(FILTER(D$1:D531, D$1:D531&lt;&gt;""""))), LEN(INDEX(FILTER(D$1:D531, D$1:D531&lt;&gt;""""),COUNTA(FILTER(D$1:D531, D$1:D531&lt;&gt;""""))))-1), IF('To Order'!$A532=COLUMNS($A532:D"&amp;"551), D531&amp;RIGHT(INDIRECT(ADDRESS(ROW(D532)-1, 'From Order'!$A532)), 1), D531))"),"")</f>
        <v/>
      </c>
      <c r="E532" s="2" t="str">
        <f>IFERROR(__xludf.DUMMYFUNCTION("IF('From Order'!$A532=COLUMNS($A532:E551), LEFT(INDEX(FILTER(E$1:E531, E$1:E531&lt;&gt;""""),COUNTA(FILTER(E$1:E531, E$1:E531&lt;&gt;""""))), LEN(INDEX(FILTER(E$1:E531, E$1:E531&lt;&gt;""""),COUNTA(FILTER(E$1:E531, E$1:E531&lt;&gt;""""))))-1), IF('To Order'!$A532=COLUMNS($A532:E"&amp;"551), E531&amp;RIGHT(INDIRECT(ADDRESS(ROW(E532)-1, 'From Order'!$A532)), 1), E531))"),"LBSGDT")</f>
        <v>LBSGDT</v>
      </c>
      <c r="F532" s="2" t="str">
        <f>IFERROR(__xludf.DUMMYFUNCTION("IF('From Order'!$A532=COLUMNS($A532:F551), LEFT(INDEX(FILTER(F$1:F531, F$1:F531&lt;&gt;""""),COUNTA(FILTER(F$1:F531, F$1:F531&lt;&gt;""""))), LEN(INDEX(FILTER(F$1:F531, F$1:F531&lt;&gt;""""),COUNTA(FILTER(F$1:F531, F$1:F531&lt;&gt;""""))))-1), IF('To Order'!$A532=COLUMNS($A532:F"&amp;"551), F531&amp;RIGHT(INDIRECT(ADDRESS(ROW(F532)-1, 'From Order'!$A532)), 1), F531))"),"JLCTFTMQCDTRLD")</f>
        <v>JLCTFTMQCDTRLD</v>
      </c>
      <c r="G532" s="2" t="str">
        <f>IFERROR(__xludf.DUMMYFUNCTION("IF('From Order'!$A532=COLUMNS($A532:G551), LEFT(INDEX(FILTER(G$1:G531, G$1:G531&lt;&gt;""""),COUNTA(FILTER(G$1:G531, G$1:G531&lt;&gt;""""))), LEN(INDEX(FILTER(G$1:G531, G$1:G531&lt;&gt;""""),COUNTA(FILTER(G$1:G531, G$1:G531&lt;&gt;""""))))-1), IF('To Order'!$A532=COLUMNS($A532:G"&amp;"551), G531&amp;RIGHT(INDIRECT(ADDRESS(ROW(G532)-1, 'From Order'!$A532)), 1), G531))"),"")</f>
        <v/>
      </c>
      <c r="H532" s="2" t="str">
        <f>IFERROR(__xludf.DUMMYFUNCTION("IF('From Order'!$A532=COLUMNS($A532:H551), LEFT(INDEX(FILTER(H$1:H531, H$1:H531&lt;&gt;""""),COUNTA(FILTER(H$1:H531, H$1:H531&lt;&gt;""""))), LEN(INDEX(FILTER(H$1:H531, H$1:H531&lt;&gt;""""),COUNTA(FILTER(H$1:H531, H$1:H531&lt;&gt;""""))))-1), IF('To Order'!$A532=COLUMNS($A532:H"&amp;"551), H531&amp;RIGHT(INDIRECT(ADDRESS(ROW(H532)-1, 'From Order'!$A532)), 1), H531))"),"ZMD")</f>
        <v>ZMD</v>
      </c>
      <c r="I532" s="2" t="str">
        <f>IFERROR(__xludf.DUMMYFUNCTION("IF('From Order'!$A532=COLUMNS($A532:I551), LEFT(INDEX(FILTER(I$1:I531, I$1:I531&lt;&gt;""""),COUNTA(FILTER(I$1:I531, I$1:I531&lt;&gt;""""))), LEN(INDEX(FILTER(I$1:I531, I$1:I531&lt;&gt;""""),COUNTA(FILTER(I$1:I531, I$1:I531&lt;&gt;""""))))-1), IF('To Order'!$A532=COLUMNS($A532:I"&amp;"551), I531&amp;RIGHT(INDIRECT(ADDRESS(ROW(I532)-1, 'From Order'!$A532)), 1), I531))"),"DTWR")</f>
        <v>DTWR</v>
      </c>
    </row>
    <row r="533">
      <c r="A533" s="2" t="str">
        <f>IFERROR(__xludf.DUMMYFUNCTION("IF('From Order'!$A533=COLUMNS($A533:A552), LEFT(INDEX(FILTER(A$1:A532, A$1:A532&lt;&gt;""""),COUNTA(FILTER(A$1:A532, A$1:A532&lt;&gt;""""))), LEN(INDEX(FILTER(A$1:A532, A$1:A532&lt;&gt;""""),COUNTA(FILTER(A$1:A532, A$1:A532&lt;&gt;""""))))-1), IF('To Order'!$A533=COLUMNS($A533:A"&amp;"552), A532&amp;RIGHT(INDIRECT(ADDRESS(ROW(A533)-1, 'From Order'!$A533)), 1), A532))"),"")</f>
        <v/>
      </c>
      <c r="B533" s="2" t="str">
        <f>IFERROR(__xludf.DUMMYFUNCTION("IF('From Order'!$A533=COLUMNS($A533:B552), LEFT(INDEX(FILTER(B$1:B532, B$1:B532&lt;&gt;""""),COUNTA(FILTER(B$1:B532, B$1:B532&lt;&gt;""""))), LEN(INDEX(FILTER(B$1:B532, B$1:B532&lt;&gt;""""),COUNTA(FILTER(B$1:B532, B$1:B532&lt;&gt;""""))))-1), IF('To Order'!$A533=COLUMNS($A533:B"&amp;"552), B532&amp;RIGHT(INDIRECT(ADDRESS(ROW(B533)-1, 'From Order'!$A533)), 1), B532))"),"JZRVPVRZHMFBBRQPDSSGHWPBCVTJ")</f>
        <v>JZRVPVRZHMFBBRQPDSSGHWPBCVTJ</v>
      </c>
      <c r="C533" s="2" t="str">
        <f>IFERROR(__xludf.DUMMYFUNCTION("IF('From Order'!$A533=COLUMNS($A533:C552), LEFT(INDEX(FILTER(C$1:C532, C$1:C532&lt;&gt;""""),COUNTA(FILTER(C$1:C532, C$1:C532&lt;&gt;""""))), LEN(INDEX(FILTER(C$1:C532, C$1:C532&lt;&gt;""""),COUNTA(FILTER(C$1:C532, C$1:C532&lt;&gt;""""))))-1), IF('To Order'!$A533=COLUMNS($A533:C"&amp;"552), C532&amp;RIGHT(INDIRECT(ADDRESS(ROW(C533)-1, 'From Order'!$A533)), 1), C532))"),"S")</f>
        <v>S</v>
      </c>
      <c r="D533" s="2" t="str">
        <f>IFERROR(__xludf.DUMMYFUNCTION("IF('From Order'!$A533=COLUMNS($A533:D552), LEFT(INDEX(FILTER(D$1:D532, D$1:D532&lt;&gt;""""),COUNTA(FILTER(D$1:D532, D$1:D532&lt;&gt;""""))), LEN(INDEX(FILTER(D$1:D532, D$1:D532&lt;&gt;""""),COUNTA(FILTER(D$1:D532, D$1:D532&lt;&gt;""""))))-1), IF('To Order'!$A533=COLUMNS($A533:D"&amp;"552), D532&amp;RIGHT(INDIRECT(ADDRESS(ROW(D533)-1, 'From Order'!$A533)), 1), D532))"),"")</f>
        <v/>
      </c>
      <c r="E533" s="2" t="str">
        <f>IFERROR(__xludf.DUMMYFUNCTION("IF('From Order'!$A533=COLUMNS($A533:E552), LEFT(INDEX(FILTER(E$1:E532, E$1:E532&lt;&gt;""""),COUNTA(FILTER(E$1:E532, E$1:E532&lt;&gt;""""))), LEN(INDEX(FILTER(E$1:E532, E$1:E532&lt;&gt;""""),COUNTA(FILTER(E$1:E532, E$1:E532&lt;&gt;""""))))-1), IF('To Order'!$A533=COLUMNS($A533:E"&amp;"552), E532&amp;RIGHT(INDIRECT(ADDRESS(ROW(E533)-1, 'From Order'!$A533)), 1), E532))"),"LBSGDT")</f>
        <v>LBSGDT</v>
      </c>
      <c r="F533" s="2" t="str">
        <f>IFERROR(__xludf.DUMMYFUNCTION("IF('From Order'!$A533=COLUMNS($A533:F552), LEFT(INDEX(FILTER(F$1:F532, F$1:F532&lt;&gt;""""),COUNTA(FILTER(F$1:F532, F$1:F532&lt;&gt;""""))), LEN(INDEX(FILTER(F$1:F532, F$1:F532&lt;&gt;""""),COUNTA(FILTER(F$1:F532, F$1:F532&lt;&gt;""""))))-1), IF('To Order'!$A533=COLUMNS($A533:F"&amp;"552), F532&amp;RIGHT(INDIRECT(ADDRESS(ROW(F533)-1, 'From Order'!$A533)), 1), F532))"),"JLCTFTMQCDTRL")</f>
        <v>JLCTFTMQCDTRL</v>
      </c>
      <c r="G533" s="2" t="str">
        <f>IFERROR(__xludf.DUMMYFUNCTION("IF('From Order'!$A533=COLUMNS($A533:G552), LEFT(INDEX(FILTER(G$1:G532, G$1:G532&lt;&gt;""""),COUNTA(FILTER(G$1:G532, G$1:G532&lt;&gt;""""))), LEN(INDEX(FILTER(G$1:G532, G$1:G532&lt;&gt;""""),COUNTA(FILTER(G$1:G532, G$1:G532&lt;&gt;""""))))-1), IF('To Order'!$A533=COLUMNS($A533:G"&amp;"552), G532&amp;RIGHT(INDIRECT(ADDRESS(ROW(G533)-1, 'From Order'!$A533)), 1), G532))"),"")</f>
        <v/>
      </c>
      <c r="H533" s="2" t="str">
        <f>IFERROR(__xludf.DUMMYFUNCTION("IF('From Order'!$A533=COLUMNS($A533:H552), LEFT(INDEX(FILTER(H$1:H532, H$1:H532&lt;&gt;""""),COUNTA(FILTER(H$1:H532, H$1:H532&lt;&gt;""""))), LEN(INDEX(FILTER(H$1:H532, H$1:H532&lt;&gt;""""),COUNTA(FILTER(H$1:H532, H$1:H532&lt;&gt;""""))))-1), IF('To Order'!$A533=COLUMNS($A533:H"&amp;"552), H532&amp;RIGHT(INDIRECT(ADDRESS(ROW(H533)-1, 'From Order'!$A533)), 1), H532))"),"ZMD")</f>
        <v>ZMD</v>
      </c>
      <c r="I533" s="2" t="str">
        <f>IFERROR(__xludf.DUMMYFUNCTION("IF('From Order'!$A533=COLUMNS($A533:I552), LEFT(INDEX(FILTER(I$1:I532, I$1:I532&lt;&gt;""""),COUNTA(FILTER(I$1:I532, I$1:I532&lt;&gt;""""))), LEN(INDEX(FILTER(I$1:I532, I$1:I532&lt;&gt;""""),COUNTA(FILTER(I$1:I532, I$1:I532&lt;&gt;""""))))-1), IF('To Order'!$A533=COLUMNS($A533:I"&amp;"552), I532&amp;RIGHT(INDIRECT(ADDRESS(ROW(I533)-1, 'From Order'!$A533)), 1), I532))"),"DTWRD")</f>
        <v>DTWRD</v>
      </c>
    </row>
    <row r="534">
      <c r="A534" s="2" t="str">
        <f>IFERROR(__xludf.DUMMYFUNCTION("IF('From Order'!$A534=COLUMNS($A534:A553), LEFT(INDEX(FILTER(A$1:A533, A$1:A533&lt;&gt;""""),COUNTA(FILTER(A$1:A533, A$1:A533&lt;&gt;""""))), LEN(INDEX(FILTER(A$1:A533, A$1:A533&lt;&gt;""""),COUNTA(FILTER(A$1:A533, A$1:A533&lt;&gt;""""))))-1), IF('To Order'!$A534=COLUMNS($A534:A"&amp;"553), A533&amp;RIGHT(INDIRECT(ADDRESS(ROW(A534)-1, 'From Order'!$A534)), 1), A533))"),"")</f>
        <v/>
      </c>
      <c r="B534" s="2" t="str">
        <f>IFERROR(__xludf.DUMMYFUNCTION("IF('From Order'!$A534=COLUMNS($A534:B553), LEFT(INDEX(FILTER(B$1:B533, B$1:B533&lt;&gt;""""),COUNTA(FILTER(B$1:B533, B$1:B533&lt;&gt;""""))), LEN(INDEX(FILTER(B$1:B533, B$1:B533&lt;&gt;""""),COUNTA(FILTER(B$1:B533, B$1:B533&lt;&gt;""""))))-1), IF('To Order'!$A534=COLUMNS($A534:B"&amp;"553), B533&amp;RIGHT(INDIRECT(ADDRESS(ROW(B534)-1, 'From Order'!$A534)), 1), B533))"),"JZRVPVRZHMFBBRQPDSSGHWPBCVTJ")</f>
        <v>JZRVPVRZHMFBBRQPDSSGHWPBCVTJ</v>
      </c>
      <c r="C534" s="2" t="str">
        <f>IFERROR(__xludf.DUMMYFUNCTION("IF('From Order'!$A534=COLUMNS($A534:C553), LEFT(INDEX(FILTER(C$1:C533, C$1:C533&lt;&gt;""""),COUNTA(FILTER(C$1:C533, C$1:C533&lt;&gt;""""))), LEN(INDEX(FILTER(C$1:C533, C$1:C533&lt;&gt;""""),COUNTA(FILTER(C$1:C533, C$1:C533&lt;&gt;""""))))-1), IF('To Order'!$A534=COLUMNS($A534:C"&amp;"553), C533&amp;RIGHT(INDIRECT(ADDRESS(ROW(C534)-1, 'From Order'!$A534)), 1), C533))"),"S")</f>
        <v>S</v>
      </c>
      <c r="D534" s="2" t="str">
        <f>IFERROR(__xludf.DUMMYFUNCTION("IF('From Order'!$A534=COLUMNS($A534:D553), LEFT(INDEX(FILTER(D$1:D533, D$1:D533&lt;&gt;""""),COUNTA(FILTER(D$1:D533, D$1:D533&lt;&gt;""""))), LEN(INDEX(FILTER(D$1:D533, D$1:D533&lt;&gt;""""),COUNTA(FILTER(D$1:D533, D$1:D533&lt;&gt;""""))))-1), IF('To Order'!$A534=COLUMNS($A534:D"&amp;"553), D533&amp;RIGHT(INDIRECT(ADDRESS(ROW(D534)-1, 'From Order'!$A534)), 1), D533))"),"")</f>
        <v/>
      </c>
      <c r="E534" s="2" t="str">
        <f>IFERROR(__xludf.DUMMYFUNCTION("IF('From Order'!$A534=COLUMNS($A534:E553), LEFT(INDEX(FILTER(E$1:E533, E$1:E533&lt;&gt;""""),COUNTA(FILTER(E$1:E533, E$1:E533&lt;&gt;""""))), LEN(INDEX(FILTER(E$1:E533, E$1:E533&lt;&gt;""""),COUNTA(FILTER(E$1:E533, E$1:E533&lt;&gt;""""))))-1), IF('To Order'!$A534=COLUMNS($A534:E"&amp;"553), E533&amp;RIGHT(INDIRECT(ADDRESS(ROW(E534)-1, 'From Order'!$A534)), 1), E533))"),"LBSGDT")</f>
        <v>LBSGDT</v>
      </c>
      <c r="F534" s="2" t="str">
        <f>IFERROR(__xludf.DUMMYFUNCTION("IF('From Order'!$A534=COLUMNS($A534:F553), LEFT(INDEX(FILTER(F$1:F533, F$1:F533&lt;&gt;""""),COUNTA(FILTER(F$1:F533, F$1:F533&lt;&gt;""""))), LEN(INDEX(FILTER(F$1:F533, F$1:F533&lt;&gt;""""),COUNTA(FILTER(F$1:F533, F$1:F533&lt;&gt;""""))))-1), IF('To Order'!$A534=COLUMNS($A534:F"&amp;"553), F533&amp;RIGHT(INDIRECT(ADDRESS(ROW(F534)-1, 'From Order'!$A534)), 1), F533))"),"JLCTFTMQCDTR")</f>
        <v>JLCTFTMQCDTR</v>
      </c>
      <c r="G534" s="2" t="str">
        <f>IFERROR(__xludf.DUMMYFUNCTION("IF('From Order'!$A534=COLUMNS($A534:G553), LEFT(INDEX(FILTER(G$1:G533, G$1:G533&lt;&gt;""""),COUNTA(FILTER(G$1:G533, G$1:G533&lt;&gt;""""))), LEN(INDEX(FILTER(G$1:G533, G$1:G533&lt;&gt;""""),COUNTA(FILTER(G$1:G533, G$1:G533&lt;&gt;""""))))-1), IF('To Order'!$A534=COLUMNS($A534:G"&amp;"553), G533&amp;RIGHT(INDIRECT(ADDRESS(ROW(G534)-1, 'From Order'!$A534)), 1), G533))"),"")</f>
        <v/>
      </c>
      <c r="H534" s="2" t="str">
        <f>IFERROR(__xludf.DUMMYFUNCTION("IF('From Order'!$A534=COLUMNS($A534:H553), LEFT(INDEX(FILTER(H$1:H533, H$1:H533&lt;&gt;""""),COUNTA(FILTER(H$1:H533, H$1:H533&lt;&gt;""""))), LEN(INDEX(FILTER(H$1:H533, H$1:H533&lt;&gt;""""),COUNTA(FILTER(H$1:H533, H$1:H533&lt;&gt;""""))))-1), IF('To Order'!$A534=COLUMNS($A534:H"&amp;"553), H533&amp;RIGHT(INDIRECT(ADDRESS(ROW(H534)-1, 'From Order'!$A534)), 1), H533))"),"ZMD")</f>
        <v>ZMD</v>
      </c>
      <c r="I534" s="2" t="str">
        <f>IFERROR(__xludf.DUMMYFUNCTION("IF('From Order'!$A534=COLUMNS($A534:I553), LEFT(INDEX(FILTER(I$1:I533, I$1:I533&lt;&gt;""""),COUNTA(FILTER(I$1:I533, I$1:I533&lt;&gt;""""))), LEN(INDEX(FILTER(I$1:I533, I$1:I533&lt;&gt;""""),COUNTA(FILTER(I$1:I533, I$1:I533&lt;&gt;""""))))-1), IF('To Order'!$A534=COLUMNS($A534:I"&amp;"553), I533&amp;RIGHT(INDIRECT(ADDRESS(ROW(I534)-1, 'From Order'!$A534)), 1), I533))"),"DTWRDL")</f>
        <v>DTWRDL</v>
      </c>
    </row>
    <row r="535">
      <c r="A535" s="2" t="str">
        <f>IFERROR(__xludf.DUMMYFUNCTION("IF('From Order'!$A535=COLUMNS($A535:A554), LEFT(INDEX(FILTER(A$1:A534, A$1:A534&lt;&gt;""""),COUNTA(FILTER(A$1:A534, A$1:A534&lt;&gt;""""))), LEN(INDEX(FILTER(A$1:A534, A$1:A534&lt;&gt;""""),COUNTA(FILTER(A$1:A534, A$1:A534&lt;&gt;""""))))-1), IF('To Order'!$A535=COLUMNS($A535:A"&amp;"554), A534&amp;RIGHT(INDIRECT(ADDRESS(ROW(A535)-1, 'From Order'!$A535)), 1), A534))"),"")</f>
        <v/>
      </c>
      <c r="B535" s="2" t="str">
        <f>IFERROR(__xludf.DUMMYFUNCTION("IF('From Order'!$A535=COLUMNS($A535:B554), LEFT(INDEX(FILTER(B$1:B534, B$1:B534&lt;&gt;""""),COUNTA(FILTER(B$1:B534, B$1:B534&lt;&gt;""""))), LEN(INDEX(FILTER(B$1:B534, B$1:B534&lt;&gt;""""),COUNTA(FILTER(B$1:B534, B$1:B534&lt;&gt;""""))))-1), IF('To Order'!$A535=COLUMNS($A535:B"&amp;"554), B534&amp;RIGHT(INDIRECT(ADDRESS(ROW(B535)-1, 'From Order'!$A535)), 1), B534))"),"JZRVPVRZHMFBBRQPDSSGHWPBCVTJ")</f>
        <v>JZRVPVRZHMFBBRQPDSSGHWPBCVTJ</v>
      </c>
      <c r="C535" s="2" t="str">
        <f>IFERROR(__xludf.DUMMYFUNCTION("IF('From Order'!$A535=COLUMNS($A535:C554), LEFT(INDEX(FILTER(C$1:C534, C$1:C534&lt;&gt;""""),COUNTA(FILTER(C$1:C534, C$1:C534&lt;&gt;""""))), LEN(INDEX(FILTER(C$1:C534, C$1:C534&lt;&gt;""""),COUNTA(FILTER(C$1:C534, C$1:C534&lt;&gt;""""))))-1), IF('To Order'!$A535=COLUMNS($A535:C"&amp;"554), C534&amp;RIGHT(INDIRECT(ADDRESS(ROW(C535)-1, 'From Order'!$A535)), 1), C534))"),"S")</f>
        <v>S</v>
      </c>
      <c r="D535" s="2" t="str">
        <f>IFERROR(__xludf.DUMMYFUNCTION("IF('From Order'!$A535=COLUMNS($A535:D554), LEFT(INDEX(FILTER(D$1:D534, D$1:D534&lt;&gt;""""),COUNTA(FILTER(D$1:D534, D$1:D534&lt;&gt;""""))), LEN(INDEX(FILTER(D$1:D534, D$1:D534&lt;&gt;""""),COUNTA(FILTER(D$1:D534, D$1:D534&lt;&gt;""""))))-1), IF('To Order'!$A535=COLUMNS($A535:D"&amp;"554), D534&amp;RIGHT(INDIRECT(ADDRESS(ROW(D535)-1, 'From Order'!$A535)), 1), D534))"),"")</f>
        <v/>
      </c>
      <c r="E535" s="2" t="str">
        <f>IFERROR(__xludf.DUMMYFUNCTION("IF('From Order'!$A535=COLUMNS($A535:E554), LEFT(INDEX(FILTER(E$1:E534, E$1:E534&lt;&gt;""""),COUNTA(FILTER(E$1:E534, E$1:E534&lt;&gt;""""))), LEN(INDEX(FILTER(E$1:E534, E$1:E534&lt;&gt;""""),COUNTA(FILTER(E$1:E534, E$1:E534&lt;&gt;""""))))-1), IF('To Order'!$A535=COLUMNS($A535:E"&amp;"554), E534&amp;RIGHT(INDIRECT(ADDRESS(ROW(E535)-1, 'From Order'!$A535)), 1), E534))"),"LBSGDT")</f>
        <v>LBSGDT</v>
      </c>
      <c r="F535" s="2" t="str">
        <f>IFERROR(__xludf.DUMMYFUNCTION("IF('From Order'!$A535=COLUMNS($A535:F554), LEFT(INDEX(FILTER(F$1:F534, F$1:F534&lt;&gt;""""),COUNTA(FILTER(F$1:F534, F$1:F534&lt;&gt;""""))), LEN(INDEX(FILTER(F$1:F534, F$1:F534&lt;&gt;""""),COUNTA(FILTER(F$1:F534, F$1:F534&lt;&gt;""""))))-1), IF('To Order'!$A535=COLUMNS($A535:F"&amp;"554), F534&amp;RIGHT(INDIRECT(ADDRESS(ROW(F535)-1, 'From Order'!$A535)), 1), F534))"),"JLCTFTMQCDT")</f>
        <v>JLCTFTMQCDT</v>
      </c>
      <c r="G535" s="2" t="str">
        <f>IFERROR(__xludf.DUMMYFUNCTION("IF('From Order'!$A535=COLUMNS($A535:G554), LEFT(INDEX(FILTER(G$1:G534, G$1:G534&lt;&gt;""""),COUNTA(FILTER(G$1:G534, G$1:G534&lt;&gt;""""))), LEN(INDEX(FILTER(G$1:G534, G$1:G534&lt;&gt;""""),COUNTA(FILTER(G$1:G534, G$1:G534&lt;&gt;""""))))-1), IF('To Order'!$A535=COLUMNS($A535:G"&amp;"554), G534&amp;RIGHT(INDIRECT(ADDRESS(ROW(G535)-1, 'From Order'!$A535)), 1), G534))"),"")</f>
        <v/>
      </c>
      <c r="H535" s="2" t="str">
        <f>IFERROR(__xludf.DUMMYFUNCTION("IF('From Order'!$A535=COLUMNS($A535:H554), LEFT(INDEX(FILTER(H$1:H534, H$1:H534&lt;&gt;""""),COUNTA(FILTER(H$1:H534, H$1:H534&lt;&gt;""""))), LEN(INDEX(FILTER(H$1:H534, H$1:H534&lt;&gt;""""),COUNTA(FILTER(H$1:H534, H$1:H534&lt;&gt;""""))))-1), IF('To Order'!$A535=COLUMNS($A535:H"&amp;"554), H534&amp;RIGHT(INDIRECT(ADDRESS(ROW(H535)-1, 'From Order'!$A535)), 1), H534))"),"ZMD")</f>
        <v>ZMD</v>
      </c>
      <c r="I535" s="2" t="str">
        <f>IFERROR(__xludf.DUMMYFUNCTION("IF('From Order'!$A535=COLUMNS($A535:I554), LEFT(INDEX(FILTER(I$1:I534, I$1:I534&lt;&gt;""""),COUNTA(FILTER(I$1:I534, I$1:I534&lt;&gt;""""))), LEN(INDEX(FILTER(I$1:I534, I$1:I534&lt;&gt;""""),COUNTA(FILTER(I$1:I534, I$1:I534&lt;&gt;""""))))-1), IF('To Order'!$A535=COLUMNS($A535:I"&amp;"554), I534&amp;RIGHT(INDIRECT(ADDRESS(ROW(I535)-1, 'From Order'!$A535)), 1), I534))"),"DTWRDLR")</f>
        <v>DTWRDLR</v>
      </c>
    </row>
    <row r="536">
      <c r="A536" s="2" t="str">
        <f>IFERROR(__xludf.DUMMYFUNCTION("IF('From Order'!$A536=COLUMNS($A536:A555), LEFT(INDEX(FILTER(A$1:A535, A$1:A535&lt;&gt;""""),COUNTA(FILTER(A$1:A535, A$1:A535&lt;&gt;""""))), LEN(INDEX(FILTER(A$1:A535, A$1:A535&lt;&gt;""""),COUNTA(FILTER(A$1:A535, A$1:A535&lt;&gt;""""))))-1), IF('To Order'!$A536=COLUMNS($A536:A"&amp;"555), A535&amp;RIGHT(INDIRECT(ADDRESS(ROW(A536)-1, 'From Order'!$A536)), 1), A535))"),"")</f>
        <v/>
      </c>
      <c r="B536" s="2" t="str">
        <f>IFERROR(__xludf.DUMMYFUNCTION("IF('From Order'!$A536=COLUMNS($A536:B555), LEFT(INDEX(FILTER(B$1:B535, B$1:B535&lt;&gt;""""),COUNTA(FILTER(B$1:B535, B$1:B535&lt;&gt;""""))), LEN(INDEX(FILTER(B$1:B535, B$1:B535&lt;&gt;""""),COUNTA(FILTER(B$1:B535, B$1:B535&lt;&gt;""""))))-1), IF('To Order'!$A536=COLUMNS($A536:B"&amp;"555), B535&amp;RIGHT(INDIRECT(ADDRESS(ROW(B536)-1, 'From Order'!$A536)), 1), B535))"),"JZRVPVRZHMFBBRQPDSSGHWPBCVTJ")</f>
        <v>JZRVPVRZHMFBBRQPDSSGHWPBCVTJ</v>
      </c>
      <c r="C536" s="2" t="str">
        <f>IFERROR(__xludf.DUMMYFUNCTION("IF('From Order'!$A536=COLUMNS($A536:C555), LEFT(INDEX(FILTER(C$1:C535, C$1:C535&lt;&gt;""""),COUNTA(FILTER(C$1:C535, C$1:C535&lt;&gt;""""))), LEN(INDEX(FILTER(C$1:C535, C$1:C535&lt;&gt;""""),COUNTA(FILTER(C$1:C535, C$1:C535&lt;&gt;""""))))-1), IF('To Order'!$A536=COLUMNS($A536:C"&amp;"555), C535&amp;RIGHT(INDIRECT(ADDRESS(ROW(C536)-1, 'From Order'!$A536)), 1), C535))"),"S")</f>
        <v>S</v>
      </c>
      <c r="D536" s="2" t="str">
        <f>IFERROR(__xludf.DUMMYFUNCTION("IF('From Order'!$A536=COLUMNS($A536:D555), LEFT(INDEX(FILTER(D$1:D535, D$1:D535&lt;&gt;""""),COUNTA(FILTER(D$1:D535, D$1:D535&lt;&gt;""""))), LEN(INDEX(FILTER(D$1:D535, D$1:D535&lt;&gt;""""),COUNTA(FILTER(D$1:D535, D$1:D535&lt;&gt;""""))))-1), IF('To Order'!$A536=COLUMNS($A536:D"&amp;"555), D535&amp;RIGHT(INDIRECT(ADDRESS(ROW(D536)-1, 'From Order'!$A536)), 1), D535))"),"")</f>
        <v/>
      </c>
      <c r="E536" s="2" t="str">
        <f>IFERROR(__xludf.DUMMYFUNCTION("IF('From Order'!$A536=COLUMNS($A536:E555), LEFT(INDEX(FILTER(E$1:E535, E$1:E535&lt;&gt;""""),COUNTA(FILTER(E$1:E535, E$1:E535&lt;&gt;""""))), LEN(INDEX(FILTER(E$1:E535, E$1:E535&lt;&gt;""""),COUNTA(FILTER(E$1:E535, E$1:E535&lt;&gt;""""))))-1), IF('To Order'!$A536=COLUMNS($A536:E"&amp;"555), E535&amp;RIGHT(INDIRECT(ADDRESS(ROW(E536)-1, 'From Order'!$A536)), 1), E535))"),"LBSGDT")</f>
        <v>LBSGDT</v>
      </c>
      <c r="F536" s="2" t="str">
        <f>IFERROR(__xludf.DUMMYFUNCTION("IF('From Order'!$A536=COLUMNS($A536:F555), LEFT(INDEX(FILTER(F$1:F535, F$1:F535&lt;&gt;""""),COUNTA(FILTER(F$1:F535, F$1:F535&lt;&gt;""""))), LEN(INDEX(FILTER(F$1:F535, F$1:F535&lt;&gt;""""),COUNTA(FILTER(F$1:F535, F$1:F535&lt;&gt;""""))))-1), IF('To Order'!$A536=COLUMNS($A536:F"&amp;"555), F535&amp;RIGHT(INDIRECT(ADDRESS(ROW(F536)-1, 'From Order'!$A536)), 1), F535))"),"JLCTFTMQCD")</f>
        <v>JLCTFTMQCD</v>
      </c>
      <c r="G536" s="2" t="str">
        <f>IFERROR(__xludf.DUMMYFUNCTION("IF('From Order'!$A536=COLUMNS($A536:G555), LEFT(INDEX(FILTER(G$1:G535, G$1:G535&lt;&gt;""""),COUNTA(FILTER(G$1:G535, G$1:G535&lt;&gt;""""))), LEN(INDEX(FILTER(G$1:G535, G$1:G535&lt;&gt;""""),COUNTA(FILTER(G$1:G535, G$1:G535&lt;&gt;""""))))-1), IF('To Order'!$A536=COLUMNS($A536:G"&amp;"555), G535&amp;RIGHT(INDIRECT(ADDRESS(ROW(G536)-1, 'From Order'!$A536)), 1), G535))"),"")</f>
        <v/>
      </c>
      <c r="H536" s="2" t="str">
        <f>IFERROR(__xludf.DUMMYFUNCTION("IF('From Order'!$A536=COLUMNS($A536:H555), LEFT(INDEX(FILTER(H$1:H535, H$1:H535&lt;&gt;""""),COUNTA(FILTER(H$1:H535, H$1:H535&lt;&gt;""""))), LEN(INDEX(FILTER(H$1:H535, H$1:H535&lt;&gt;""""),COUNTA(FILTER(H$1:H535, H$1:H535&lt;&gt;""""))))-1), IF('To Order'!$A536=COLUMNS($A536:H"&amp;"555), H535&amp;RIGHT(INDIRECT(ADDRESS(ROW(H536)-1, 'From Order'!$A536)), 1), H535))"),"ZMD")</f>
        <v>ZMD</v>
      </c>
      <c r="I536" s="2" t="str">
        <f>IFERROR(__xludf.DUMMYFUNCTION("IF('From Order'!$A536=COLUMNS($A536:I555), LEFT(INDEX(FILTER(I$1:I535, I$1:I535&lt;&gt;""""),COUNTA(FILTER(I$1:I535, I$1:I535&lt;&gt;""""))), LEN(INDEX(FILTER(I$1:I535, I$1:I535&lt;&gt;""""),COUNTA(FILTER(I$1:I535, I$1:I535&lt;&gt;""""))))-1), IF('To Order'!$A536=COLUMNS($A536:I"&amp;"555), I535&amp;RIGHT(INDIRECT(ADDRESS(ROW(I536)-1, 'From Order'!$A536)), 1), I535))"),"DTWRDLRT")</f>
        <v>DTWRDLRT</v>
      </c>
    </row>
    <row r="537">
      <c r="A537" s="2" t="str">
        <f>IFERROR(__xludf.DUMMYFUNCTION("IF('From Order'!$A537=COLUMNS($A537:A556), LEFT(INDEX(FILTER(A$1:A536, A$1:A536&lt;&gt;""""),COUNTA(FILTER(A$1:A536, A$1:A536&lt;&gt;""""))), LEN(INDEX(FILTER(A$1:A536, A$1:A536&lt;&gt;""""),COUNTA(FILTER(A$1:A536, A$1:A536&lt;&gt;""""))))-1), IF('To Order'!$A537=COLUMNS($A537:A"&amp;"556), A536&amp;RIGHT(INDIRECT(ADDRESS(ROW(A537)-1, 'From Order'!$A537)), 1), A536))"),"")</f>
        <v/>
      </c>
      <c r="B537" s="2" t="str">
        <f>IFERROR(__xludf.DUMMYFUNCTION("IF('From Order'!$A537=COLUMNS($A537:B556), LEFT(INDEX(FILTER(B$1:B536, B$1:B536&lt;&gt;""""),COUNTA(FILTER(B$1:B536, B$1:B536&lt;&gt;""""))), LEN(INDEX(FILTER(B$1:B536, B$1:B536&lt;&gt;""""),COUNTA(FILTER(B$1:B536, B$1:B536&lt;&gt;""""))))-1), IF('To Order'!$A537=COLUMNS($A537:B"&amp;"556), B536&amp;RIGHT(INDIRECT(ADDRESS(ROW(B537)-1, 'From Order'!$A537)), 1), B536))"),"JZRVPVRZHMFBBRQPDSSGHWPBCVTJ")</f>
        <v>JZRVPVRZHMFBBRQPDSSGHWPBCVTJ</v>
      </c>
      <c r="C537" s="2" t="str">
        <f>IFERROR(__xludf.DUMMYFUNCTION("IF('From Order'!$A537=COLUMNS($A537:C556), LEFT(INDEX(FILTER(C$1:C536, C$1:C536&lt;&gt;""""),COUNTA(FILTER(C$1:C536, C$1:C536&lt;&gt;""""))), LEN(INDEX(FILTER(C$1:C536, C$1:C536&lt;&gt;""""),COUNTA(FILTER(C$1:C536, C$1:C536&lt;&gt;""""))))-1), IF('To Order'!$A537=COLUMNS($A537:C"&amp;"556), C536&amp;RIGHT(INDIRECT(ADDRESS(ROW(C537)-1, 'From Order'!$A537)), 1), C536))"),"S")</f>
        <v>S</v>
      </c>
      <c r="D537" s="2" t="str">
        <f>IFERROR(__xludf.DUMMYFUNCTION("IF('From Order'!$A537=COLUMNS($A537:D556), LEFT(INDEX(FILTER(D$1:D536, D$1:D536&lt;&gt;""""),COUNTA(FILTER(D$1:D536, D$1:D536&lt;&gt;""""))), LEN(INDEX(FILTER(D$1:D536, D$1:D536&lt;&gt;""""),COUNTA(FILTER(D$1:D536, D$1:D536&lt;&gt;""""))))-1), IF('To Order'!$A537=COLUMNS($A537:D"&amp;"556), D536&amp;RIGHT(INDIRECT(ADDRESS(ROW(D537)-1, 'From Order'!$A537)), 1), D536))"),"")</f>
        <v/>
      </c>
      <c r="E537" s="2" t="str">
        <f>IFERROR(__xludf.DUMMYFUNCTION("IF('From Order'!$A537=COLUMNS($A537:E556), LEFT(INDEX(FILTER(E$1:E536, E$1:E536&lt;&gt;""""),COUNTA(FILTER(E$1:E536, E$1:E536&lt;&gt;""""))), LEN(INDEX(FILTER(E$1:E536, E$1:E536&lt;&gt;""""),COUNTA(FILTER(E$1:E536, E$1:E536&lt;&gt;""""))))-1), IF('To Order'!$A537=COLUMNS($A537:E"&amp;"556), E536&amp;RIGHT(INDIRECT(ADDRESS(ROW(E537)-1, 'From Order'!$A537)), 1), E536))"),"LBSGDT")</f>
        <v>LBSGDT</v>
      </c>
      <c r="F537" s="2" t="str">
        <f>IFERROR(__xludf.DUMMYFUNCTION("IF('From Order'!$A537=COLUMNS($A537:F556), LEFT(INDEX(FILTER(F$1:F536, F$1:F536&lt;&gt;""""),COUNTA(FILTER(F$1:F536, F$1:F536&lt;&gt;""""))), LEN(INDEX(FILTER(F$1:F536, F$1:F536&lt;&gt;""""),COUNTA(FILTER(F$1:F536, F$1:F536&lt;&gt;""""))))-1), IF('To Order'!$A537=COLUMNS($A537:F"&amp;"556), F536&amp;RIGHT(INDIRECT(ADDRESS(ROW(F537)-1, 'From Order'!$A537)), 1), F536))"),"JLCTFTMQC")</f>
        <v>JLCTFTMQC</v>
      </c>
      <c r="G537" s="2" t="str">
        <f>IFERROR(__xludf.DUMMYFUNCTION("IF('From Order'!$A537=COLUMNS($A537:G556), LEFT(INDEX(FILTER(G$1:G536, G$1:G536&lt;&gt;""""),COUNTA(FILTER(G$1:G536, G$1:G536&lt;&gt;""""))), LEN(INDEX(FILTER(G$1:G536, G$1:G536&lt;&gt;""""),COUNTA(FILTER(G$1:G536, G$1:G536&lt;&gt;""""))))-1), IF('To Order'!$A537=COLUMNS($A537:G"&amp;"556), G536&amp;RIGHT(INDIRECT(ADDRESS(ROW(G537)-1, 'From Order'!$A537)), 1), G536))"),"")</f>
        <v/>
      </c>
      <c r="H537" s="2" t="str">
        <f>IFERROR(__xludf.DUMMYFUNCTION("IF('From Order'!$A537=COLUMNS($A537:H556), LEFT(INDEX(FILTER(H$1:H536, H$1:H536&lt;&gt;""""),COUNTA(FILTER(H$1:H536, H$1:H536&lt;&gt;""""))), LEN(INDEX(FILTER(H$1:H536, H$1:H536&lt;&gt;""""),COUNTA(FILTER(H$1:H536, H$1:H536&lt;&gt;""""))))-1), IF('To Order'!$A537=COLUMNS($A537:H"&amp;"556), H536&amp;RIGHT(INDIRECT(ADDRESS(ROW(H537)-1, 'From Order'!$A537)), 1), H536))"),"ZMD")</f>
        <v>ZMD</v>
      </c>
      <c r="I537" s="2" t="str">
        <f>IFERROR(__xludf.DUMMYFUNCTION("IF('From Order'!$A537=COLUMNS($A537:I556), LEFT(INDEX(FILTER(I$1:I536, I$1:I536&lt;&gt;""""),COUNTA(FILTER(I$1:I536, I$1:I536&lt;&gt;""""))), LEN(INDEX(FILTER(I$1:I536, I$1:I536&lt;&gt;""""),COUNTA(FILTER(I$1:I536, I$1:I536&lt;&gt;""""))))-1), IF('To Order'!$A537=COLUMNS($A537:I"&amp;"556), I536&amp;RIGHT(INDIRECT(ADDRESS(ROW(I537)-1, 'From Order'!$A537)), 1), I536))"),"DTWRDLRTD")</f>
        <v>DTWRDLRTD</v>
      </c>
    </row>
    <row r="538">
      <c r="A538" s="2" t="str">
        <f>IFERROR(__xludf.DUMMYFUNCTION("IF('From Order'!$A538=COLUMNS($A538:A557), LEFT(INDEX(FILTER(A$1:A537, A$1:A537&lt;&gt;""""),COUNTA(FILTER(A$1:A537, A$1:A537&lt;&gt;""""))), LEN(INDEX(FILTER(A$1:A537, A$1:A537&lt;&gt;""""),COUNTA(FILTER(A$1:A537, A$1:A537&lt;&gt;""""))))-1), IF('To Order'!$A538=COLUMNS($A538:A"&amp;"557), A537&amp;RIGHT(INDIRECT(ADDRESS(ROW(A538)-1, 'From Order'!$A538)), 1), A537))"),"")</f>
        <v/>
      </c>
      <c r="B538" s="2" t="str">
        <f>IFERROR(__xludf.DUMMYFUNCTION("IF('From Order'!$A538=COLUMNS($A538:B557), LEFT(INDEX(FILTER(B$1:B537, B$1:B537&lt;&gt;""""),COUNTA(FILTER(B$1:B537, B$1:B537&lt;&gt;""""))), LEN(INDEX(FILTER(B$1:B537, B$1:B537&lt;&gt;""""),COUNTA(FILTER(B$1:B537, B$1:B537&lt;&gt;""""))))-1), IF('To Order'!$A538=COLUMNS($A538:B"&amp;"557), B537&amp;RIGHT(INDIRECT(ADDRESS(ROW(B538)-1, 'From Order'!$A538)), 1), B537))"),"JZRVPVRZHMFBBRQPDSSGHWPBCVTJ")</f>
        <v>JZRVPVRZHMFBBRQPDSSGHWPBCVTJ</v>
      </c>
      <c r="C538" s="2" t="str">
        <f>IFERROR(__xludf.DUMMYFUNCTION("IF('From Order'!$A538=COLUMNS($A538:C557), LEFT(INDEX(FILTER(C$1:C537, C$1:C537&lt;&gt;""""),COUNTA(FILTER(C$1:C537, C$1:C537&lt;&gt;""""))), LEN(INDEX(FILTER(C$1:C537, C$1:C537&lt;&gt;""""),COUNTA(FILTER(C$1:C537, C$1:C537&lt;&gt;""""))))-1), IF('To Order'!$A538=COLUMNS($A538:C"&amp;"557), C537&amp;RIGHT(INDIRECT(ADDRESS(ROW(C538)-1, 'From Order'!$A538)), 1), C537))"),"S")</f>
        <v>S</v>
      </c>
      <c r="D538" s="2" t="str">
        <f>IFERROR(__xludf.DUMMYFUNCTION("IF('From Order'!$A538=COLUMNS($A538:D557), LEFT(INDEX(FILTER(D$1:D537, D$1:D537&lt;&gt;""""),COUNTA(FILTER(D$1:D537, D$1:D537&lt;&gt;""""))), LEN(INDEX(FILTER(D$1:D537, D$1:D537&lt;&gt;""""),COUNTA(FILTER(D$1:D537, D$1:D537&lt;&gt;""""))))-1), IF('To Order'!$A538=COLUMNS($A538:D"&amp;"557), D537&amp;RIGHT(INDIRECT(ADDRESS(ROW(D538)-1, 'From Order'!$A538)), 1), D537))"),"")</f>
        <v/>
      </c>
      <c r="E538" s="2" t="str">
        <f>IFERROR(__xludf.DUMMYFUNCTION("IF('From Order'!$A538=COLUMNS($A538:E557), LEFT(INDEX(FILTER(E$1:E537, E$1:E537&lt;&gt;""""),COUNTA(FILTER(E$1:E537, E$1:E537&lt;&gt;""""))), LEN(INDEX(FILTER(E$1:E537, E$1:E537&lt;&gt;""""),COUNTA(FILTER(E$1:E537, E$1:E537&lt;&gt;""""))))-1), IF('To Order'!$A538=COLUMNS($A538:E"&amp;"557), E537&amp;RIGHT(INDIRECT(ADDRESS(ROW(E538)-1, 'From Order'!$A538)), 1), E537))"),"LBSGDT")</f>
        <v>LBSGDT</v>
      </c>
      <c r="F538" s="2" t="str">
        <f>IFERROR(__xludf.DUMMYFUNCTION("IF('From Order'!$A538=COLUMNS($A538:F557), LEFT(INDEX(FILTER(F$1:F537, F$1:F537&lt;&gt;""""),COUNTA(FILTER(F$1:F537, F$1:F537&lt;&gt;""""))), LEN(INDEX(FILTER(F$1:F537, F$1:F537&lt;&gt;""""),COUNTA(FILTER(F$1:F537, F$1:F537&lt;&gt;""""))))-1), IF('To Order'!$A538=COLUMNS($A538:F"&amp;"557), F537&amp;RIGHT(INDIRECT(ADDRESS(ROW(F538)-1, 'From Order'!$A538)), 1), F537))"),"JLCTFTMQ")</f>
        <v>JLCTFTMQ</v>
      </c>
      <c r="G538" s="2" t="str">
        <f>IFERROR(__xludf.DUMMYFUNCTION("IF('From Order'!$A538=COLUMNS($A538:G557), LEFT(INDEX(FILTER(G$1:G537, G$1:G537&lt;&gt;""""),COUNTA(FILTER(G$1:G537, G$1:G537&lt;&gt;""""))), LEN(INDEX(FILTER(G$1:G537, G$1:G537&lt;&gt;""""),COUNTA(FILTER(G$1:G537, G$1:G537&lt;&gt;""""))))-1), IF('To Order'!$A538=COLUMNS($A538:G"&amp;"557), G537&amp;RIGHT(INDIRECT(ADDRESS(ROW(G538)-1, 'From Order'!$A538)), 1), G537))"),"")</f>
        <v/>
      </c>
      <c r="H538" s="2" t="str">
        <f>IFERROR(__xludf.DUMMYFUNCTION("IF('From Order'!$A538=COLUMNS($A538:H557), LEFT(INDEX(FILTER(H$1:H537, H$1:H537&lt;&gt;""""),COUNTA(FILTER(H$1:H537, H$1:H537&lt;&gt;""""))), LEN(INDEX(FILTER(H$1:H537, H$1:H537&lt;&gt;""""),COUNTA(FILTER(H$1:H537, H$1:H537&lt;&gt;""""))))-1), IF('To Order'!$A538=COLUMNS($A538:H"&amp;"557), H537&amp;RIGHT(INDIRECT(ADDRESS(ROW(H538)-1, 'From Order'!$A538)), 1), H537))"),"ZMD")</f>
        <v>ZMD</v>
      </c>
      <c r="I538" s="2" t="str">
        <f>IFERROR(__xludf.DUMMYFUNCTION("IF('From Order'!$A538=COLUMNS($A538:I557), LEFT(INDEX(FILTER(I$1:I537, I$1:I537&lt;&gt;""""),COUNTA(FILTER(I$1:I537, I$1:I537&lt;&gt;""""))), LEN(INDEX(FILTER(I$1:I537, I$1:I537&lt;&gt;""""),COUNTA(FILTER(I$1:I537, I$1:I537&lt;&gt;""""))))-1), IF('To Order'!$A538=COLUMNS($A538:I"&amp;"557), I537&amp;RIGHT(INDIRECT(ADDRESS(ROW(I538)-1, 'From Order'!$A538)), 1), I537))"),"DTWRDLRTDC")</f>
        <v>DTWRDLRTDC</v>
      </c>
    </row>
    <row r="539">
      <c r="A539" s="2" t="str">
        <f>IFERROR(__xludf.DUMMYFUNCTION("IF('From Order'!$A539=COLUMNS($A539:A558), LEFT(INDEX(FILTER(A$1:A538, A$1:A538&lt;&gt;""""),COUNTA(FILTER(A$1:A538, A$1:A538&lt;&gt;""""))), LEN(INDEX(FILTER(A$1:A538, A$1:A538&lt;&gt;""""),COUNTA(FILTER(A$1:A538, A$1:A538&lt;&gt;""""))))-1), IF('To Order'!$A539=COLUMNS($A539:A"&amp;"558), A538&amp;RIGHT(INDIRECT(ADDRESS(ROW(A539)-1, 'From Order'!$A539)), 1), A538))"),"")</f>
        <v/>
      </c>
      <c r="B539" s="2" t="str">
        <f>IFERROR(__xludf.DUMMYFUNCTION("IF('From Order'!$A539=COLUMNS($A539:B558), LEFT(INDEX(FILTER(B$1:B538, B$1:B538&lt;&gt;""""),COUNTA(FILTER(B$1:B538, B$1:B538&lt;&gt;""""))), LEN(INDEX(FILTER(B$1:B538, B$1:B538&lt;&gt;""""),COUNTA(FILTER(B$1:B538, B$1:B538&lt;&gt;""""))))-1), IF('To Order'!$A539=COLUMNS($A539:B"&amp;"558), B538&amp;RIGHT(INDIRECT(ADDRESS(ROW(B539)-1, 'From Order'!$A539)), 1), B538))"),"JZRVPVRZHMFBBRQPDSSGHWPBCVTJ")</f>
        <v>JZRVPVRZHMFBBRQPDSSGHWPBCVTJ</v>
      </c>
      <c r="C539" s="2" t="str">
        <f>IFERROR(__xludf.DUMMYFUNCTION("IF('From Order'!$A539=COLUMNS($A539:C558), LEFT(INDEX(FILTER(C$1:C538, C$1:C538&lt;&gt;""""),COUNTA(FILTER(C$1:C538, C$1:C538&lt;&gt;""""))), LEN(INDEX(FILTER(C$1:C538, C$1:C538&lt;&gt;""""),COUNTA(FILTER(C$1:C538, C$1:C538&lt;&gt;""""))))-1), IF('To Order'!$A539=COLUMNS($A539:C"&amp;"558), C538&amp;RIGHT(INDIRECT(ADDRESS(ROW(C539)-1, 'From Order'!$A539)), 1), C538))"),"S")</f>
        <v>S</v>
      </c>
      <c r="D539" s="2" t="str">
        <f>IFERROR(__xludf.DUMMYFUNCTION("IF('From Order'!$A539=COLUMNS($A539:D558), LEFT(INDEX(FILTER(D$1:D538, D$1:D538&lt;&gt;""""),COUNTA(FILTER(D$1:D538, D$1:D538&lt;&gt;""""))), LEN(INDEX(FILTER(D$1:D538, D$1:D538&lt;&gt;""""),COUNTA(FILTER(D$1:D538, D$1:D538&lt;&gt;""""))))-1), IF('To Order'!$A539=COLUMNS($A539:D"&amp;"558), D538&amp;RIGHT(INDIRECT(ADDRESS(ROW(D539)-1, 'From Order'!$A539)), 1), D538))"),"")</f>
        <v/>
      </c>
      <c r="E539" s="2" t="str">
        <f>IFERROR(__xludf.DUMMYFUNCTION("IF('From Order'!$A539=COLUMNS($A539:E558), LEFT(INDEX(FILTER(E$1:E538, E$1:E538&lt;&gt;""""),COUNTA(FILTER(E$1:E538, E$1:E538&lt;&gt;""""))), LEN(INDEX(FILTER(E$1:E538, E$1:E538&lt;&gt;""""),COUNTA(FILTER(E$1:E538, E$1:E538&lt;&gt;""""))))-1), IF('To Order'!$A539=COLUMNS($A539:E"&amp;"558), E538&amp;RIGHT(INDIRECT(ADDRESS(ROW(E539)-1, 'From Order'!$A539)), 1), E538))"),"LBSGDT")</f>
        <v>LBSGDT</v>
      </c>
      <c r="F539" s="2" t="str">
        <f>IFERROR(__xludf.DUMMYFUNCTION("IF('From Order'!$A539=COLUMNS($A539:F558), LEFT(INDEX(FILTER(F$1:F538, F$1:F538&lt;&gt;""""),COUNTA(FILTER(F$1:F538, F$1:F538&lt;&gt;""""))), LEN(INDEX(FILTER(F$1:F538, F$1:F538&lt;&gt;""""),COUNTA(FILTER(F$1:F538, F$1:F538&lt;&gt;""""))))-1), IF('To Order'!$A539=COLUMNS($A539:F"&amp;"558), F538&amp;RIGHT(INDIRECT(ADDRESS(ROW(F539)-1, 'From Order'!$A539)), 1), F538))"),"JLCTFTM")</f>
        <v>JLCTFTM</v>
      </c>
      <c r="G539" s="2" t="str">
        <f>IFERROR(__xludf.DUMMYFUNCTION("IF('From Order'!$A539=COLUMNS($A539:G558), LEFT(INDEX(FILTER(G$1:G538, G$1:G538&lt;&gt;""""),COUNTA(FILTER(G$1:G538, G$1:G538&lt;&gt;""""))), LEN(INDEX(FILTER(G$1:G538, G$1:G538&lt;&gt;""""),COUNTA(FILTER(G$1:G538, G$1:G538&lt;&gt;""""))))-1), IF('To Order'!$A539=COLUMNS($A539:G"&amp;"558), G538&amp;RIGHT(INDIRECT(ADDRESS(ROW(G539)-1, 'From Order'!$A539)), 1), G538))"),"")</f>
        <v/>
      </c>
      <c r="H539" s="2" t="str">
        <f>IFERROR(__xludf.DUMMYFUNCTION("IF('From Order'!$A539=COLUMNS($A539:H558), LEFT(INDEX(FILTER(H$1:H538, H$1:H538&lt;&gt;""""),COUNTA(FILTER(H$1:H538, H$1:H538&lt;&gt;""""))), LEN(INDEX(FILTER(H$1:H538, H$1:H538&lt;&gt;""""),COUNTA(FILTER(H$1:H538, H$1:H538&lt;&gt;""""))))-1), IF('To Order'!$A539=COLUMNS($A539:H"&amp;"558), H538&amp;RIGHT(INDIRECT(ADDRESS(ROW(H539)-1, 'From Order'!$A539)), 1), H538))"),"ZMD")</f>
        <v>ZMD</v>
      </c>
      <c r="I539" s="2" t="str">
        <f>IFERROR(__xludf.DUMMYFUNCTION("IF('From Order'!$A539=COLUMNS($A539:I558), LEFT(INDEX(FILTER(I$1:I538, I$1:I538&lt;&gt;""""),COUNTA(FILTER(I$1:I538, I$1:I538&lt;&gt;""""))), LEN(INDEX(FILTER(I$1:I538, I$1:I538&lt;&gt;""""),COUNTA(FILTER(I$1:I538, I$1:I538&lt;&gt;""""))))-1), IF('To Order'!$A539=COLUMNS($A539:I"&amp;"558), I538&amp;RIGHT(INDIRECT(ADDRESS(ROW(I539)-1, 'From Order'!$A539)), 1), I538))"),"DTWRDLRTDCQ")</f>
        <v>DTWRDLRTDCQ</v>
      </c>
    </row>
    <row r="540">
      <c r="A540" s="2" t="str">
        <f>IFERROR(__xludf.DUMMYFUNCTION("IF('From Order'!$A540=COLUMNS($A540:A559), LEFT(INDEX(FILTER(A$1:A539, A$1:A539&lt;&gt;""""),COUNTA(FILTER(A$1:A539, A$1:A539&lt;&gt;""""))), LEN(INDEX(FILTER(A$1:A539, A$1:A539&lt;&gt;""""),COUNTA(FILTER(A$1:A539, A$1:A539&lt;&gt;""""))))-1), IF('To Order'!$A540=COLUMNS($A540:A"&amp;"559), A539&amp;RIGHT(INDIRECT(ADDRESS(ROW(A540)-1, 'From Order'!$A540)), 1), A539))"),"")</f>
        <v/>
      </c>
      <c r="B540" s="2" t="str">
        <f>IFERROR(__xludf.DUMMYFUNCTION("IF('From Order'!$A540=COLUMNS($A540:B559), LEFT(INDEX(FILTER(B$1:B539, B$1:B539&lt;&gt;""""),COUNTA(FILTER(B$1:B539, B$1:B539&lt;&gt;""""))), LEN(INDEX(FILTER(B$1:B539, B$1:B539&lt;&gt;""""),COUNTA(FILTER(B$1:B539, B$1:B539&lt;&gt;""""))))-1), IF('To Order'!$A540=COLUMNS($A540:B"&amp;"559), B539&amp;RIGHT(INDIRECT(ADDRESS(ROW(B540)-1, 'From Order'!$A540)), 1), B539))"),"JZRVPVRZHMFBBRQPDSSGHWPBCVTJ")</f>
        <v>JZRVPVRZHMFBBRQPDSSGHWPBCVTJ</v>
      </c>
      <c r="C540" s="2" t="str">
        <f>IFERROR(__xludf.DUMMYFUNCTION("IF('From Order'!$A540=COLUMNS($A540:C559), LEFT(INDEX(FILTER(C$1:C539, C$1:C539&lt;&gt;""""),COUNTA(FILTER(C$1:C539, C$1:C539&lt;&gt;""""))), LEN(INDEX(FILTER(C$1:C539, C$1:C539&lt;&gt;""""),COUNTA(FILTER(C$1:C539, C$1:C539&lt;&gt;""""))))-1), IF('To Order'!$A540=COLUMNS($A540:C"&amp;"559), C539&amp;RIGHT(INDIRECT(ADDRESS(ROW(C540)-1, 'From Order'!$A540)), 1), C539))"),"S")</f>
        <v>S</v>
      </c>
      <c r="D540" s="2" t="str">
        <f>IFERROR(__xludf.DUMMYFUNCTION("IF('From Order'!$A540=COLUMNS($A540:D559), LEFT(INDEX(FILTER(D$1:D539, D$1:D539&lt;&gt;""""),COUNTA(FILTER(D$1:D539, D$1:D539&lt;&gt;""""))), LEN(INDEX(FILTER(D$1:D539, D$1:D539&lt;&gt;""""),COUNTA(FILTER(D$1:D539, D$1:D539&lt;&gt;""""))))-1), IF('To Order'!$A540=COLUMNS($A540:D"&amp;"559), D539&amp;RIGHT(INDIRECT(ADDRESS(ROW(D540)-1, 'From Order'!$A540)), 1), D539))"),"")</f>
        <v/>
      </c>
      <c r="E540" s="2" t="str">
        <f>IFERROR(__xludf.DUMMYFUNCTION("IF('From Order'!$A540=COLUMNS($A540:E559), LEFT(INDEX(FILTER(E$1:E539, E$1:E539&lt;&gt;""""),COUNTA(FILTER(E$1:E539, E$1:E539&lt;&gt;""""))), LEN(INDEX(FILTER(E$1:E539, E$1:E539&lt;&gt;""""),COUNTA(FILTER(E$1:E539, E$1:E539&lt;&gt;""""))))-1), IF('To Order'!$A540=COLUMNS($A540:E"&amp;"559), E539&amp;RIGHT(INDIRECT(ADDRESS(ROW(E540)-1, 'From Order'!$A540)), 1), E539))"),"LBSGDT")</f>
        <v>LBSGDT</v>
      </c>
      <c r="F540" s="2" t="str">
        <f>IFERROR(__xludf.DUMMYFUNCTION("IF('From Order'!$A540=COLUMNS($A540:F559), LEFT(INDEX(FILTER(F$1:F539, F$1:F539&lt;&gt;""""),COUNTA(FILTER(F$1:F539, F$1:F539&lt;&gt;""""))), LEN(INDEX(FILTER(F$1:F539, F$1:F539&lt;&gt;""""),COUNTA(FILTER(F$1:F539, F$1:F539&lt;&gt;""""))))-1), IF('To Order'!$A540=COLUMNS($A540:F"&amp;"559), F539&amp;RIGHT(INDIRECT(ADDRESS(ROW(F540)-1, 'From Order'!$A540)), 1), F539))"),"JLCTFT")</f>
        <v>JLCTFT</v>
      </c>
      <c r="G540" s="2" t="str">
        <f>IFERROR(__xludf.DUMMYFUNCTION("IF('From Order'!$A540=COLUMNS($A540:G559), LEFT(INDEX(FILTER(G$1:G539, G$1:G539&lt;&gt;""""),COUNTA(FILTER(G$1:G539, G$1:G539&lt;&gt;""""))), LEN(INDEX(FILTER(G$1:G539, G$1:G539&lt;&gt;""""),COUNTA(FILTER(G$1:G539, G$1:G539&lt;&gt;""""))))-1), IF('To Order'!$A540=COLUMNS($A540:G"&amp;"559), G539&amp;RIGHT(INDIRECT(ADDRESS(ROW(G540)-1, 'From Order'!$A540)), 1), G539))"),"")</f>
        <v/>
      </c>
      <c r="H540" s="2" t="str">
        <f>IFERROR(__xludf.DUMMYFUNCTION("IF('From Order'!$A540=COLUMNS($A540:H559), LEFT(INDEX(FILTER(H$1:H539, H$1:H539&lt;&gt;""""),COUNTA(FILTER(H$1:H539, H$1:H539&lt;&gt;""""))), LEN(INDEX(FILTER(H$1:H539, H$1:H539&lt;&gt;""""),COUNTA(FILTER(H$1:H539, H$1:H539&lt;&gt;""""))))-1), IF('To Order'!$A540=COLUMNS($A540:H"&amp;"559), H539&amp;RIGHT(INDIRECT(ADDRESS(ROW(H540)-1, 'From Order'!$A540)), 1), H539))"),"ZMD")</f>
        <v>ZMD</v>
      </c>
      <c r="I540" s="2" t="str">
        <f>IFERROR(__xludf.DUMMYFUNCTION("IF('From Order'!$A540=COLUMNS($A540:I559), LEFT(INDEX(FILTER(I$1:I539, I$1:I539&lt;&gt;""""),COUNTA(FILTER(I$1:I539, I$1:I539&lt;&gt;""""))), LEN(INDEX(FILTER(I$1:I539, I$1:I539&lt;&gt;""""),COUNTA(FILTER(I$1:I539, I$1:I539&lt;&gt;""""))))-1), IF('To Order'!$A540=COLUMNS($A540:I"&amp;"559), I539&amp;RIGHT(INDIRECT(ADDRESS(ROW(I540)-1, 'From Order'!$A540)), 1), I539))"),"DTWRDLRTDCQM")</f>
        <v>DTWRDLRTDCQM</v>
      </c>
    </row>
    <row r="541">
      <c r="A541" s="2" t="str">
        <f>IFERROR(__xludf.DUMMYFUNCTION("IF('From Order'!$A541=COLUMNS($A541:A560), LEFT(INDEX(FILTER(A$1:A540, A$1:A540&lt;&gt;""""),COUNTA(FILTER(A$1:A540, A$1:A540&lt;&gt;""""))), LEN(INDEX(FILTER(A$1:A540, A$1:A540&lt;&gt;""""),COUNTA(FILTER(A$1:A540, A$1:A540&lt;&gt;""""))))-1), IF('To Order'!$A541=COLUMNS($A541:A"&amp;"560), A540&amp;RIGHT(INDIRECT(ADDRESS(ROW(A541)-1, 'From Order'!$A541)), 1), A540))"),"")</f>
        <v/>
      </c>
      <c r="B541" s="2" t="str">
        <f>IFERROR(__xludf.DUMMYFUNCTION("IF('From Order'!$A541=COLUMNS($A541:B560), LEFT(INDEX(FILTER(B$1:B540, B$1:B540&lt;&gt;""""),COUNTA(FILTER(B$1:B540, B$1:B540&lt;&gt;""""))), LEN(INDEX(FILTER(B$1:B540, B$1:B540&lt;&gt;""""),COUNTA(FILTER(B$1:B540, B$1:B540&lt;&gt;""""))))-1), IF('To Order'!$A541=COLUMNS($A541:B"&amp;"560), B540&amp;RIGHT(INDIRECT(ADDRESS(ROW(B541)-1, 'From Order'!$A541)), 1), B540))"),"JZRVPVRZHMFBBRQPDSSGHWPBCVTJ")</f>
        <v>JZRVPVRZHMFBBRQPDSSGHWPBCVTJ</v>
      </c>
      <c r="C541" s="2" t="str">
        <f>IFERROR(__xludf.DUMMYFUNCTION("IF('From Order'!$A541=COLUMNS($A541:C560), LEFT(INDEX(FILTER(C$1:C540, C$1:C540&lt;&gt;""""),COUNTA(FILTER(C$1:C540, C$1:C540&lt;&gt;""""))), LEN(INDEX(FILTER(C$1:C540, C$1:C540&lt;&gt;""""),COUNTA(FILTER(C$1:C540, C$1:C540&lt;&gt;""""))))-1), IF('To Order'!$A541=COLUMNS($A541:C"&amp;"560), C540&amp;RIGHT(INDIRECT(ADDRESS(ROW(C541)-1, 'From Order'!$A541)), 1), C540))"),"S")</f>
        <v>S</v>
      </c>
      <c r="D541" s="2" t="str">
        <f>IFERROR(__xludf.DUMMYFUNCTION("IF('From Order'!$A541=COLUMNS($A541:D560), LEFT(INDEX(FILTER(D$1:D540, D$1:D540&lt;&gt;""""),COUNTA(FILTER(D$1:D540, D$1:D540&lt;&gt;""""))), LEN(INDEX(FILTER(D$1:D540, D$1:D540&lt;&gt;""""),COUNTA(FILTER(D$1:D540, D$1:D540&lt;&gt;""""))))-1), IF('To Order'!$A541=COLUMNS($A541:D"&amp;"560), D540&amp;RIGHT(INDIRECT(ADDRESS(ROW(D541)-1, 'From Order'!$A541)), 1), D540))"),"")</f>
        <v/>
      </c>
      <c r="E541" s="2" t="str">
        <f>IFERROR(__xludf.DUMMYFUNCTION("IF('From Order'!$A541=COLUMNS($A541:E560), LEFT(INDEX(FILTER(E$1:E540, E$1:E540&lt;&gt;""""),COUNTA(FILTER(E$1:E540, E$1:E540&lt;&gt;""""))), LEN(INDEX(FILTER(E$1:E540, E$1:E540&lt;&gt;""""),COUNTA(FILTER(E$1:E540, E$1:E540&lt;&gt;""""))))-1), IF('To Order'!$A541=COLUMNS($A541:E"&amp;"560), E540&amp;RIGHT(INDIRECT(ADDRESS(ROW(E541)-1, 'From Order'!$A541)), 1), E540))"),"LBSGDT")</f>
        <v>LBSGDT</v>
      </c>
      <c r="F541" s="2" t="str">
        <f>IFERROR(__xludf.DUMMYFUNCTION("IF('From Order'!$A541=COLUMNS($A541:F560), LEFT(INDEX(FILTER(F$1:F540, F$1:F540&lt;&gt;""""),COUNTA(FILTER(F$1:F540, F$1:F540&lt;&gt;""""))), LEN(INDEX(FILTER(F$1:F540, F$1:F540&lt;&gt;""""),COUNTA(FILTER(F$1:F540, F$1:F540&lt;&gt;""""))))-1), IF('To Order'!$A541=COLUMNS($A541:F"&amp;"560), F540&amp;RIGHT(INDIRECT(ADDRESS(ROW(F541)-1, 'From Order'!$A541)), 1), F540))"),"JLCTF")</f>
        <v>JLCTF</v>
      </c>
      <c r="G541" s="2" t="str">
        <f>IFERROR(__xludf.DUMMYFUNCTION("IF('From Order'!$A541=COLUMNS($A541:G560), LEFT(INDEX(FILTER(G$1:G540, G$1:G540&lt;&gt;""""),COUNTA(FILTER(G$1:G540, G$1:G540&lt;&gt;""""))), LEN(INDEX(FILTER(G$1:G540, G$1:G540&lt;&gt;""""),COUNTA(FILTER(G$1:G540, G$1:G540&lt;&gt;""""))))-1), IF('To Order'!$A541=COLUMNS($A541:G"&amp;"560), G540&amp;RIGHT(INDIRECT(ADDRESS(ROW(G541)-1, 'From Order'!$A541)), 1), G540))"),"")</f>
        <v/>
      </c>
      <c r="H541" s="2" t="str">
        <f>IFERROR(__xludf.DUMMYFUNCTION("IF('From Order'!$A541=COLUMNS($A541:H560), LEFT(INDEX(FILTER(H$1:H540, H$1:H540&lt;&gt;""""),COUNTA(FILTER(H$1:H540, H$1:H540&lt;&gt;""""))), LEN(INDEX(FILTER(H$1:H540, H$1:H540&lt;&gt;""""),COUNTA(FILTER(H$1:H540, H$1:H540&lt;&gt;""""))))-1), IF('To Order'!$A541=COLUMNS($A541:H"&amp;"560), H540&amp;RIGHT(INDIRECT(ADDRESS(ROW(H541)-1, 'From Order'!$A541)), 1), H540))"),"ZMD")</f>
        <v>ZMD</v>
      </c>
      <c r="I541" s="2" t="str">
        <f>IFERROR(__xludf.DUMMYFUNCTION("IF('From Order'!$A541=COLUMNS($A541:I560), LEFT(INDEX(FILTER(I$1:I540, I$1:I540&lt;&gt;""""),COUNTA(FILTER(I$1:I540, I$1:I540&lt;&gt;""""))), LEN(INDEX(FILTER(I$1:I540, I$1:I540&lt;&gt;""""),COUNTA(FILTER(I$1:I540, I$1:I540&lt;&gt;""""))))-1), IF('To Order'!$A541=COLUMNS($A541:I"&amp;"560), I540&amp;RIGHT(INDIRECT(ADDRESS(ROW(I541)-1, 'From Order'!$A541)), 1), I540))"),"DTWRDLRTDCQMT")</f>
        <v>DTWRDLRTDCQMT</v>
      </c>
    </row>
    <row r="542">
      <c r="A542" s="2" t="str">
        <f>IFERROR(__xludf.DUMMYFUNCTION("IF('From Order'!$A542=COLUMNS($A542:A561), LEFT(INDEX(FILTER(A$1:A541, A$1:A541&lt;&gt;""""),COUNTA(FILTER(A$1:A541, A$1:A541&lt;&gt;""""))), LEN(INDEX(FILTER(A$1:A541, A$1:A541&lt;&gt;""""),COUNTA(FILTER(A$1:A541, A$1:A541&lt;&gt;""""))))-1), IF('To Order'!$A542=COLUMNS($A542:A"&amp;"561), A541&amp;RIGHT(INDIRECT(ADDRESS(ROW(A542)-1, 'From Order'!$A542)), 1), A541))"),"")</f>
        <v/>
      </c>
      <c r="B542" s="2" t="str">
        <f>IFERROR(__xludf.DUMMYFUNCTION("IF('From Order'!$A542=COLUMNS($A542:B561), LEFT(INDEX(FILTER(B$1:B541, B$1:B541&lt;&gt;""""),COUNTA(FILTER(B$1:B541, B$1:B541&lt;&gt;""""))), LEN(INDEX(FILTER(B$1:B541, B$1:B541&lt;&gt;""""),COUNTA(FILTER(B$1:B541, B$1:B541&lt;&gt;""""))))-1), IF('To Order'!$A542=COLUMNS($A542:B"&amp;"561), B541&amp;RIGHT(INDIRECT(ADDRESS(ROW(B542)-1, 'From Order'!$A542)), 1), B541))"),"JZRVPVRZHMFBBRQPDSSGHWPBCVTJ")</f>
        <v>JZRVPVRZHMFBBRQPDSSGHWPBCVTJ</v>
      </c>
      <c r="C542" s="2" t="str">
        <f>IFERROR(__xludf.DUMMYFUNCTION("IF('From Order'!$A542=COLUMNS($A542:C561), LEFT(INDEX(FILTER(C$1:C541, C$1:C541&lt;&gt;""""),COUNTA(FILTER(C$1:C541, C$1:C541&lt;&gt;""""))), LEN(INDEX(FILTER(C$1:C541, C$1:C541&lt;&gt;""""),COUNTA(FILTER(C$1:C541, C$1:C541&lt;&gt;""""))))-1), IF('To Order'!$A542=COLUMNS($A542:C"&amp;"561), C541&amp;RIGHT(INDIRECT(ADDRESS(ROW(C542)-1, 'From Order'!$A542)), 1), C541))"),"SF")</f>
        <v>SF</v>
      </c>
      <c r="D542" s="2" t="str">
        <f>IFERROR(__xludf.DUMMYFUNCTION("IF('From Order'!$A542=COLUMNS($A542:D561), LEFT(INDEX(FILTER(D$1:D541, D$1:D541&lt;&gt;""""),COUNTA(FILTER(D$1:D541, D$1:D541&lt;&gt;""""))), LEN(INDEX(FILTER(D$1:D541, D$1:D541&lt;&gt;""""),COUNTA(FILTER(D$1:D541, D$1:D541&lt;&gt;""""))))-1), IF('To Order'!$A542=COLUMNS($A542:D"&amp;"561), D541&amp;RIGHT(INDIRECT(ADDRESS(ROW(D542)-1, 'From Order'!$A542)), 1), D541))"),"")</f>
        <v/>
      </c>
      <c r="E542" s="2" t="str">
        <f>IFERROR(__xludf.DUMMYFUNCTION("IF('From Order'!$A542=COLUMNS($A542:E561), LEFT(INDEX(FILTER(E$1:E541, E$1:E541&lt;&gt;""""),COUNTA(FILTER(E$1:E541, E$1:E541&lt;&gt;""""))), LEN(INDEX(FILTER(E$1:E541, E$1:E541&lt;&gt;""""),COUNTA(FILTER(E$1:E541, E$1:E541&lt;&gt;""""))))-1), IF('To Order'!$A542=COLUMNS($A542:E"&amp;"561), E541&amp;RIGHT(INDIRECT(ADDRESS(ROW(E542)-1, 'From Order'!$A542)), 1), E541))"),"LBSGDT")</f>
        <v>LBSGDT</v>
      </c>
      <c r="F542" s="2" t="str">
        <f>IFERROR(__xludf.DUMMYFUNCTION("IF('From Order'!$A542=COLUMNS($A542:F561), LEFT(INDEX(FILTER(F$1:F541, F$1:F541&lt;&gt;""""),COUNTA(FILTER(F$1:F541, F$1:F541&lt;&gt;""""))), LEN(INDEX(FILTER(F$1:F541, F$1:F541&lt;&gt;""""),COUNTA(FILTER(F$1:F541, F$1:F541&lt;&gt;""""))))-1), IF('To Order'!$A542=COLUMNS($A542:F"&amp;"561), F541&amp;RIGHT(INDIRECT(ADDRESS(ROW(F542)-1, 'From Order'!$A542)), 1), F541))"),"JLCT")</f>
        <v>JLCT</v>
      </c>
      <c r="G542" s="2" t="str">
        <f>IFERROR(__xludf.DUMMYFUNCTION("IF('From Order'!$A542=COLUMNS($A542:G561), LEFT(INDEX(FILTER(G$1:G541, G$1:G541&lt;&gt;""""),COUNTA(FILTER(G$1:G541, G$1:G541&lt;&gt;""""))), LEN(INDEX(FILTER(G$1:G541, G$1:G541&lt;&gt;""""),COUNTA(FILTER(G$1:G541, G$1:G541&lt;&gt;""""))))-1), IF('To Order'!$A542=COLUMNS($A542:G"&amp;"561), G541&amp;RIGHT(INDIRECT(ADDRESS(ROW(G542)-1, 'From Order'!$A542)), 1), G541))"),"")</f>
        <v/>
      </c>
      <c r="H542" s="2" t="str">
        <f>IFERROR(__xludf.DUMMYFUNCTION("IF('From Order'!$A542=COLUMNS($A542:H561), LEFT(INDEX(FILTER(H$1:H541, H$1:H541&lt;&gt;""""),COUNTA(FILTER(H$1:H541, H$1:H541&lt;&gt;""""))), LEN(INDEX(FILTER(H$1:H541, H$1:H541&lt;&gt;""""),COUNTA(FILTER(H$1:H541, H$1:H541&lt;&gt;""""))))-1), IF('To Order'!$A542=COLUMNS($A542:H"&amp;"561), H541&amp;RIGHT(INDIRECT(ADDRESS(ROW(H542)-1, 'From Order'!$A542)), 1), H541))"),"ZMD")</f>
        <v>ZMD</v>
      </c>
      <c r="I542" s="2" t="str">
        <f>IFERROR(__xludf.DUMMYFUNCTION("IF('From Order'!$A542=COLUMNS($A542:I561), LEFT(INDEX(FILTER(I$1:I541, I$1:I541&lt;&gt;""""),COUNTA(FILTER(I$1:I541, I$1:I541&lt;&gt;""""))), LEN(INDEX(FILTER(I$1:I541, I$1:I541&lt;&gt;""""),COUNTA(FILTER(I$1:I541, I$1:I541&lt;&gt;""""))))-1), IF('To Order'!$A542=COLUMNS($A542:I"&amp;"561), I541&amp;RIGHT(INDIRECT(ADDRESS(ROW(I542)-1, 'From Order'!$A542)), 1), I541))"),"DTWRDLRTDCQMT")</f>
        <v>DTWRDLRTDCQMT</v>
      </c>
    </row>
    <row r="543">
      <c r="A543" s="2" t="str">
        <f>IFERROR(__xludf.DUMMYFUNCTION("IF('From Order'!$A543=COLUMNS($A543:A562), LEFT(INDEX(FILTER(A$1:A542, A$1:A542&lt;&gt;""""),COUNTA(FILTER(A$1:A542, A$1:A542&lt;&gt;""""))), LEN(INDEX(FILTER(A$1:A542, A$1:A542&lt;&gt;""""),COUNTA(FILTER(A$1:A542, A$1:A542&lt;&gt;""""))))-1), IF('To Order'!$A543=COLUMNS($A543:A"&amp;"562), A542&amp;RIGHT(INDIRECT(ADDRESS(ROW(A543)-1, 'From Order'!$A543)), 1), A542))"),"")</f>
        <v/>
      </c>
      <c r="B543" s="2" t="str">
        <f>IFERROR(__xludf.DUMMYFUNCTION("IF('From Order'!$A543=COLUMNS($A543:B562), LEFT(INDEX(FILTER(B$1:B542, B$1:B542&lt;&gt;""""),COUNTA(FILTER(B$1:B542, B$1:B542&lt;&gt;""""))), LEN(INDEX(FILTER(B$1:B542, B$1:B542&lt;&gt;""""),COUNTA(FILTER(B$1:B542, B$1:B542&lt;&gt;""""))))-1), IF('To Order'!$A543=COLUMNS($A543:B"&amp;"562), B542&amp;RIGHT(INDIRECT(ADDRESS(ROW(B543)-1, 'From Order'!$A543)), 1), B542))"),"JZRVPVRZHMFBBRQPDSSGHWPBCVTJ")</f>
        <v>JZRVPVRZHMFBBRQPDSSGHWPBCVTJ</v>
      </c>
      <c r="C543" s="2" t="str">
        <f>IFERROR(__xludf.DUMMYFUNCTION("IF('From Order'!$A543=COLUMNS($A543:C562), LEFT(INDEX(FILTER(C$1:C542, C$1:C542&lt;&gt;""""),COUNTA(FILTER(C$1:C542, C$1:C542&lt;&gt;""""))), LEN(INDEX(FILTER(C$1:C542, C$1:C542&lt;&gt;""""),COUNTA(FILTER(C$1:C542, C$1:C542&lt;&gt;""""))))-1), IF('To Order'!$A543=COLUMNS($A543:C"&amp;"562), C542&amp;RIGHT(INDIRECT(ADDRESS(ROW(C543)-1, 'From Order'!$A543)), 1), C542))"),"SFT")</f>
        <v>SFT</v>
      </c>
      <c r="D543" s="2" t="str">
        <f>IFERROR(__xludf.DUMMYFUNCTION("IF('From Order'!$A543=COLUMNS($A543:D562), LEFT(INDEX(FILTER(D$1:D542, D$1:D542&lt;&gt;""""),COUNTA(FILTER(D$1:D542, D$1:D542&lt;&gt;""""))), LEN(INDEX(FILTER(D$1:D542, D$1:D542&lt;&gt;""""),COUNTA(FILTER(D$1:D542, D$1:D542&lt;&gt;""""))))-1), IF('To Order'!$A543=COLUMNS($A543:D"&amp;"562), D542&amp;RIGHT(INDIRECT(ADDRESS(ROW(D543)-1, 'From Order'!$A543)), 1), D542))"),"")</f>
        <v/>
      </c>
      <c r="E543" s="2" t="str">
        <f>IFERROR(__xludf.DUMMYFUNCTION("IF('From Order'!$A543=COLUMNS($A543:E562), LEFT(INDEX(FILTER(E$1:E542, E$1:E542&lt;&gt;""""),COUNTA(FILTER(E$1:E542, E$1:E542&lt;&gt;""""))), LEN(INDEX(FILTER(E$1:E542, E$1:E542&lt;&gt;""""),COUNTA(FILTER(E$1:E542, E$1:E542&lt;&gt;""""))))-1), IF('To Order'!$A543=COLUMNS($A543:E"&amp;"562), E542&amp;RIGHT(INDIRECT(ADDRESS(ROW(E543)-1, 'From Order'!$A543)), 1), E542))"),"LBSGDT")</f>
        <v>LBSGDT</v>
      </c>
      <c r="F543" s="2" t="str">
        <f>IFERROR(__xludf.DUMMYFUNCTION("IF('From Order'!$A543=COLUMNS($A543:F562), LEFT(INDEX(FILTER(F$1:F542, F$1:F542&lt;&gt;""""),COUNTA(FILTER(F$1:F542, F$1:F542&lt;&gt;""""))), LEN(INDEX(FILTER(F$1:F542, F$1:F542&lt;&gt;""""),COUNTA(FILTER(F$1:F542, F$1:F542&lt;&gt;""""))))-1), IF('To Order'!$A543=COLUMNS($A543:F"&amp;"562), F542&amp;RIGHT(INDIRECT(ADDRESS(ROW(F543)-1, 'From Order'!$A543)), 1), F542))"),"JLC")</f>
        <v>JLC</v>
      </c>
      <c r="G543" s="2" t="str">
        <f>IFERROR(__xludf.DUMMYFUNCTION("IF('From Order'!$A543=COLUMNS($A543:G562), LEFT(INDEX(FILTER(G$1:G542, G$1:G542&lt;&gt;""""),COUNTA(FILTER(G$1:G542, G$1:G542&lt;&gt;""""))), LEN(INDEX(FILTER(G$1:G542, G$1:G542&lt;&gt;""""),COUNTA(FILTER(G$1:G542, G$1:G542&lt;&gt;""""))))-1), IF('To Order'!$A543=COLUMNS($A543:G"&amp;"562), G542&amp;RIGHT(INDIRECT(ADDRESS(ROW(G543)-1, 'From Order'!$A543)), 1), G542))"),"")</f>
        <v/>
      </c>
      <c r="H543" s="2" t="str">
        <f>IFERROR(__xludf.DUMMYFUNCTION("IF('From Order'!$A543=COLUMNS($A543:H562), LEFT(INDEX(FILTER(H$1:H542, H$1:H542&lt;&gt;""""),COUNTA(FILTER(H$1:H542, H$1:H542&lt;&gt;""""))), LEN(INDEX(FILTER(H$1:H542, H$1:H542&lt;&gt;""""),COUNTA(FILTER(H$1:H542, H$1:H542&lt;&gt;""""))))-1), IF('To Order'!$A543=COLUMNS($A543:H"&amp;"562), H542&amp;RIGHT(INDIRECT(ADDRESS(ROW(H543)-1, 'From Order'!$A543)), 1), H542))"),"ZMD")</f>
        <v>ZMD</v>
      </c>
      <c r="I543" s="2" t="str">
        <f>IFERROR(__xludf.DUMMYFUNCTION("IF('From Order'!$A543=COLUMNS($A543:I562), LEFT(INDEX(FILTER(I$1:I542, I$1:I542&lt;&gt;""""),COUNTA(FILTER(I$1:I542, I$1:I542&lt;&gt;""""))), LEN(INDEX(FILTER(I$1:I542, I$1:I542&lt;&gt;""""),COUNTA(FILTER(I$1:I542, I$1:I542&lt;&gt;""""))))-1), IF('To Order'!$A543=COLUMNS($A543:I"&amp;"562), I542&amp;RIGHT(INDIRECT(ADDRESS(ROW(I543)-1, 'From Order'!$A543)), 1), I542))"),"DTWRDLRTDCQMT")</f>
        <v>DTWRDLRTDCQMT</v>
      </c>
    </row>
    <row r="544">
      <c r="A544" s="2" t="str">
        <f>IFERROR(__xludf.DUMMYFUNCTION("IF('From Order'!$A544=COLUMNS($A544:A563), LEFT(INDEX(FILTER(A$1:A543, A$1:A543&lt;&gt;""""),COUNTA(FILTER(A$1:A543, A$1:A543&lt;&gt;""""))), LEN(INDEX(FILTER(A$1:A543, A$1:A543&lt;&gt;""""),COUNTA(FILTER(A$1:A543, A$1:A543&lt;&gt;""""))))-1), IF('To Order'!$A544=COLUMNS($A544:A"&amp;"563), A543&amp;RIGHT(INDIRECT(ADDRESS(ROW(A544)-1, 'From Order'!$A544)), 1), A543))"),"")</f>
        <v/>
      </c>
      <c r="B544" s="2" t="str">
        <f>IFERROR(__xludf.DUMMYFUNCTION("IF('From Order'!$A544=COLUMNS($A544:B563), LEFT(INDEX(FILTER(B$1:B543, B$1:B543&lt;&gt;""""),COUNTA(FILTER(B$1:B543, B$1:B543&lt;&gt;""""))), LEN(INDEX(FILTER(B$1:B543, B$1:B543&lt;&gt;""""),COUNTA(FILTER(B$1:B543, B$1:B543&lt;&gt;""""))))-1), IF('To Order'!$A544=COLUMNS($A544:B"&amp;"563), B543&amp;RIGHT(INDIRECT(ADDRESS(ROW(B544)-1, 'From Order'!$A544)), 1), B543))"),"JZRVPVRZHMFBBRQPDSSGHWPBCVTJ")</f>
        <v>JZRVPVRZHMFBBRQPDSSGHWPBCVTJ</v>
      </c>
      <c r="C544" s="2" t="str">
        <f>IFERROR(__xludf.DUMMYFUNCTION("IF('From Order'!$A544=COLUMNS($A544:C563), LEFT(INDEX(FILTER(C$1:C543, C$1:C543&lt;&gt;""""),COUNTA(FILTER(C$1:C543, C$1:C543&lt;&gt;""""))), LEN(INDEX(FILTER(C$1:C543, C$1:C543&lt;&gt;""""),COUNTA(FILTER(C$1:C543, C$1:C543&lt;&gt;""""))))-1), IF('To Order'!$A544=COLUMNS($A544:C"&amp;"563), C543&amp;RIGHT(INDIRECT(ADDRESS(ROW(C544)-1, 'From Order'!$A544)), 1), C543))"),"SFTC")</f>
        <v>SFTC</v>
      </c>
      <c r="D544" s="2" t="str">
        <f>IFERROR(__xludf.DUMMYFUNCTION("IF('From Order'!$A544=COLUMNS($A544:D563), LEFT(INDEX(FILTER(D$1:D543, D$1:D543&lt;&gt;""""),COUNTA(FILTER(D$1:D543, D$1:D543&lt;&gt;""""))), LEN(INDEX(FILTER(D$1:D543, D$1:D543&lt;&gt;""""),COUNTA(FILTER(D$1:D543, D$1:D543&lt;&gt;""""))))-1), IF('To Order'!$A544=COLUMNS($A544:D"&amp;"563), D543&amp;RIGHT(INDIRECT(ADDRESS(ROW(D544)-1, 'From Order'!$A544)), 1), D543))"),"")</f>
        <v/>
      </c>
      <c r="E544" s="2" t="str">
        <f>IFERROR(__xludf.DUMMYFUNCTION("IF('From Order'!$A544=COLUMNS($A544:E563), LEFT(INDEX(FILTER(E$1:E543, E$1:E543&lt;&gt;""""),COUNTA(FILTER(E$1:E543, E$1:E543&lt;&gt;""""))), LEN(INDEX(FILTER(E$1:E543, E$1:E543&lt;&gt;""""),COUNTA(FILTER(E$1:E543, E$1:E543&lt;&gt;""""))))-1), IF('To Order'!$A544=COLUMNS($A544:E"&amp;"563), E543&amp;RIGHT(INDIRECT(ADDRESS(ROW(E544)-1, 'From Order'!$A544)), 1), E543))"),"LBSGDT")</f>
        <v>LBSGDT</v>
      </c>
      <c r="F544" s="2" t="str">
        <f>IFERROR(__xludf.DUMMYFUNCTION("IF('From Order'!$A544=COLUMNS($A544:F563), LEFT(INDEX(FILTER(F$1:F543, F$1:F543&lt;&gt;""""),COUNTA(FILTER(F$1:F543, F$1:F543&lt;&gt;""""))), LEN(INDEX(FILTER(F$1:F543, F$1:F543&lt;&gt;""""),COUNTA(FILTER(F$1:F543, F$1:F543&lt;&gt;""""))))-1), IF('To Order'!$A544=COLUMNS($A544:F"&amp;"563), F543&amp;RIGHT(INDIRECT(ADDRESS(ROW(F544)-1, 'From Order'!$A544)), 1), F543))"),"JL")</f>
        <v>JL</v>
      </c>
      <c r="G544" s="2" t="str">
        <f>IFERROR(__xludf.DUMMYFUNCTION("IF('From Order'!$A544=COLUMNS($A544:G563), LEFT(INDEX(FILTER(G$1:G543, G$1:G543&lt;&gt;""""),COUNTA(FILTER(G$1:G543, G$1:G543&lt;&gt;""""))), LEN(INDEX(FILTER(G$1:G543, G$1:G543&lt;&gt;""""),COUNTA(FILTER(G$1:G543, G$1:G543&lt;&gt;""""))))-1), IF('To Order'!$A544=COLUMNS($A544:G"&amp;"563), G543&amp;RIGHT(INDIRECT(ADDRESS(ROW(G544)-1, 'From Order'!$A544)), 1), G543))"),"")</f>
        <v/>
      </c>
      <c r="H544" s="2" t="str">
        <f>IFERROR(__xludf.DUMMYFUNCTION("IF('From Order'!$A544=COLUMNS($A544:H563), LEFT(INDEX(FILTER(H$1:H543, H$1:H543&lt;&gt;""""),COUNTA(FILTER(H$1:H543, H$1:H543&lt;&gt;""""))), LEN(INDEX(FILTER(H$1:H543, H$1:H543&lt;&gt;""""),COUNTA(FILTER(H$1:H543, H$1:H543&lt;&gt;""""))))-1), IF('To Order'!$A544=COLUMNS($A544:H"&amp;"563), H543&amp;RIGHT(INDIRECT(ADDRESS(ROW(H544)-1, 'From Order'!$A544)), 1), H543))"),"ZMD")</f>
        <v>ZMD</v>
      </c>
      <c r="I544" s="2" t="str">
        <f>IFERROR(__xludf.DUMMYFUNCTION("IF('From Order'!$A544=COLUMNS($A544:I563), LEFT(INDEX(FILTER(I$1:I543, I$1:I543&lt;&gt;""""),COUNTA(FILTER(I$1:I543, I$1:I543&lt;&gt;""""))), LEN(INDEX(FILTER(I$1:I543, I$1:I543&lt;&gt;""""),COUNTA(FILTER(I$1:I543, I$1:I543&lt;&gt;""""))))-1), IF('To Order'!$A544=COLUMNS($A544:I"&amp;"563), I543&amp;RIGHT(INDIRECT(ADDRESS(ROW(I544)-1, 'From Order'!$A544)), 1), I543))"),"DTWRDLRTDCQMT")</f>
        <v>DTWRDLRTDCQMT</v>
      </c>
    </row>
    <row r="545">
      <c r="A545" s="2" t="str">
        <f>IFERROR(__xludf.DUMMYFUNCTION("IF('From Order'!$A545=COLUMNS($A545:A564), LEFT(INDEX(FILTER(A$1:A544, A$1:A544&lt;&gt;""""),COUNTA(FILTER(A$1:A544, A$1:A544&lt;&gt;""""))), LEN(INDEX(FILTER(A$1:A544, A$1:A544&lt;&gt;""""),COUNTA(FILTER(A$1:A544, A$1:A544&lt;&gt;""""))))-1), IF('To Order'!$A545=COLUMNS($A545:A"&amp;"564), A544&amp;RIGHT(INDIRECT(ADDRESS(ROW(A545)-1, 'From Order'!$A545)), 1), A544))"),"")</f>
        <v/>
      </c>
      <c r="B545" s="2" t="str">
        <f>IFERROR(__xludf.DUMMYFUNCTION("IF('From Order'!$A545=COLUMNS($A545:B564), LEFT(INDEX(FILTER(B$1:B544, B$1:B544&lt;&gt;""""),COUNTA(FILTER(B$1:B544, B$1:B544&lt;&gt;""""))), LEN(INDEX(FILTER(B$1:B544, B$1:B544&lt;&gt;""""),COUNTA(FILTER(B$1:B544, B$1:B544&lt;&gt;""""))))-1), IF('To Order'!$A545=COLUMNS($A545:B"&amp;"564), B544&amp;RIGHT(INDIRECT(ADDRESS(ROW(B545)-1, 'From Order'!$A545)), 1), B544))"),"JZRVPVRZHMFBBRQPDSSGHWPBCVTJC")</f>
        <v>JZRVPVRZHMFBBRQPDSSGHWPBCVTJC</v>
      </c>
      <c r="C545" s="2" t="str">
        <f>IFERROR(__xludf.DUMMYFUNCTION("IF('From Order'!$A545=COLUMNS($A545:C564), LEFT(INDEX(FILTER(C$1:C544, C$1:C544&lt;&gt;""""),COUNTA(FILTER(C$1:C544, C$1:C544&lt;&gt;""""))), LEN(INDEX(FILTER(C$1:C544, C$1:C544&lt;&gt;""""),COUNTA(FILTER(C$1:C544, C$1:C544&lt;&gt;""""))))-1), IF('To Order'!$A545=COLUMNS($A545:C"&amp;"564), C544&amp;RIGHT(INDIRECT(ADDRESS(ROW(C545)-1, 'From Order'!$A545)), 1), C544))"),"SFT")</f>
        <v>SFT</v>
      </c>
      <c r="D545" s="2" t="str">
        <f>IFERROR(__xludf.DUMMYFUNCTION("IF('From Order'!$A545=COLUMNS($A545:D564), LEFT(INDEX(FILTER(D$1:D544, D$1:D544&lt;&gt;""""),COUNTA(FILTER(D$1:D544, D$1:D544&lt;&gt;""""))), LEN(INDEX(FILTER(D$1:D544, D$1:D544&lt;&gt;""""),COUNTA(FILTER(D$1:D544, D$1:D544&lt;&gt;""""))))-1), IF('To Order'!$A545=COLUMNS($A545:D"&amp;"564), D544&amp;RIGHT(INDIRECT(ADDRESS(ROW(D545)-1, 'From Order'!$A545)), 1), D544))"),"")</f>
        <v/>
      </c>
      <c r="E545" s="2" t="str">
        <f>IFERROR(__xludf.DUMMYFUNCTION("IF('From Order'!$A545=COLUMNS($A545:E564), LEFT(INDEX(FILTER(E$1:E544, E$1:E544&lt;&gt;""""),COUNTA(FILTER(E$1:E544, E$1:E544&lt;&gt;""""))), LEN(INDEX(FILTER(E$1:E544, E$1:E544&lt;&gt;""""),COUNTA(FILTER(E$1:E544, E$1:E544&lt;&gt;""""))))-1), IF('To Order'!$A545=COLUMNS($A545:E"&amp;"564), E544&amp;RIGHT(INDIRECT(ADDRESS(ROW(E545)-1, 'From Order'!$A545)), 1), E544))"),"LBSGDT")</f>
        <v>LBSGDT</v>
      </c>
      <c r="F545" s="2" t="str">
        <f>IFERROR(__xludf.DUMMYFUNCTION("IF('From Order'!$A545=COLUMNS($A545:F564), LEFT(INDEX(FILTER(F$1:F544, F$1:F544&lt;&gt;""""),COUNTA(FILTER(F$1:F544, F$1:F544&lt;&gt;""""))), LEN(INDEX(FILTER(F$1:F544, F$1:F544&lt;&gt;""""),COUNTA(FILTER(F$1:F544, F$1:F544&lt;&gt;""""))))-1), IF('To Order'!$A545=COLUMNS($A545:F"&amp;"564), F544&amp;RIGHT(INDIRECT(ADDRESS(ROW(F545)-1, 'From Order'!$A545)), 1), F544))"),"JL")</f>
        <v>JL</v>
      </c>
      <c r="G545" s="2" t="str">
        <f>IFERROR(__xludf.DUMMYFUNCTION("IF('From Order'!$A545=COLUMNS($A545:G564), LEFT(INDEX(FILTER(G$1:G544, G$1:G544&lt;&gt;""""),COUNTA(FILTER(G$1:G544, G$1:G544&lt;&gt;""""))), LEN(INDEX(FILTER(G$1:G544, G$1:G544&lt;&gt;""""),COUNTA(FILTER(G$1:G544, G$1:G544&lt;&gt;""""))))-1), IF('To Order'!$A545=COLUMNS($A545:G"&amp;"564), G544&amp;RIGHT(INDIRECT(ADDRESS(ROW(G545)-1, 'From Order'!$A545)), 1), G544))"),"")</f>
        <v/>
      </c>
      <c r="H545" s="2" t="str">
        <f>IFERROR(__xludf.DUMMYFUNCTION("IF('From Order'!$A545=COLUMNS($A545:H564), LEFT(INDEX(FILTER(H$1:H544, H$1:H544&lt;&gt;""""),COUNTA(FILTER(H$1:H544, H$1:H544&lt;&gt;""""))), LEN(INDEX(FILTER(H$1:H544, H$1:H544&lt;&gt;""""),COUNTA(FILTER(H$1:H544, H$1:H544&lt;&gt;""""))))-1), IF('To Order'!$A545=COLUMNS($A545:H"&amp;"564), H544&amp;RIGHT(INDIRECT(ADDRESS(ROW(H545)-1, 'From Order'!$A545)), 1), H544))"),"ZMD")</f>
        <v>ZMD</v>
      </c>
      <c r="I545" s="2" t="str">
        <f>IFERROR(__xludf.DUMMYFUNCTION("IF('From Order'!$A545=COLUMNS($A545:I564), LEFT(INDEX(FILTER(I$1:I544, I$1:I544&lt;&gt;""""),COUNTA(FILTER(I$1:I544, I$1:I544&lt;&gt;""""))), LEN(INDEX(FILTER(I$1:I544, I$1:I544&lt;&gt;""""),COUNTA(FILTER(I$1:I544, I$1:I544&lt;&gt;""""))))-1), IF('To Order'!$A545=COLUMNS($A545:I"&amp;"564), I544&amp;RIGHT(INDIRECT(ADDRESS(ROW(I545)-1, 'From Order'!$A545)), 1), I544))"),"DTWRDLRTDCQMT")</f>
        <v>DTWRDLRTDCQMT</v>
      </c>
    </row>
    <row r="546">
      <c r="A546" s="2" t="str">
        <f>IFERROR(__xludf.DUMMYFUNCTION("IF('From Order'!$A546=COLUMNS($A546:A565), LEFT(INDEX(FILTER(A$1:A545, A$1:A545&lt;&gt;""""),COUNTA(FILTER(A$1:A545, A$1:A545&lt;&gt;""""))), LEN(INDEX(FILTER(A$1:A545, A$1:A545&lt;&gt;""""),COUNTA(FILTER(A$1:A545, A$1:A545&lt;&gt;""""))))-1), IF('To Order'!$A546=COLUMNS($A546:A"&amp;"565), A545&amp;RIGHT(INDIRECT(ADDRESS(ROW(A546)-1, 'From Order'!$A546)), 1), A545))"),"")</f>
        <v/>
      </c>
      <c r="B546" s="2" t="str">
        <f>IFERROR(__xludf.DUMMYFUNCTION("IF('From Order'!$A546=COLUMNS($A546:B565), LEFT(INDEX(FILTER(B$1:B545, B$1:B545&lt;&gt;""""),COUNTA(FILTER(B$1:B545, B$1:B545&lt;&gt;""""))), LEN(INDEX(FILTER(B$1:B545, B$1:B545&lt;&gt;""""),COUNTA(FILTER(B$1:B545, B$1:B545&lt;&gt;""""))))-1), IF('To Order'!$A546=COLUMNS($A546:B"&amp;"565), B545&amp;RIGHT(INDIRECT(ADDRESS(ROW(B546)-1, 'From Order'!$A546)), 1), B545))"),"JZRVPVRZHMFBBRQPDSSGHWPBCVTJCT")</f>
        <v>JZRVPVRZHMFBBRQPDSSGHWPBCVTJCT</v>
      </c>
      <c r="C546" s="2" t="str">
        <f>IFERROR(__xludf.DUMMYFUNCTION("IF('From Order'!$A546=COLUMNS($A546:C565), LEFT(INDEX(FILTER(C$1:C545, C$1:C545&lt;&gt;""""),COUNTA(FILTER(C$1:C545, C$1:C545&lt;&gt;""""))), LEN(INDEX(FILTER(C$1:C545, C$1:C545&lt;&gt;""""),COUNTA(FILTER(C$1:C545, C$1:C545&lt;&gt;""""))))-1), IF('To Order'!$A546=COLUMNS($A546:C"&amp;"565), C545&amp;RIGHT(INDIRECT(ADDRESS(ROW(C546)-1, 'From Order'!$A546)), 1), C545))"),"SF")</f>
        <v>SF</v>
      </c>
      <c r="D546" s="2" t="str">
        <f>IFERROR(__xludf.DUMMYFUNCTION("IF('From Order'!$A546=COLUMNS($A546:D565), LEFT(INDEX(FILTER(D$1:D545, D$1:D545&lt;&gt;""""),COUNTA(FILTER(D$1:D545, D$1:D545&lt;&gt;""""))), LEN(INDEX(FILTER(D$1:D545, D$1:D545&lt;&gt;""""),COUNTA(FILTER(D$1:D545, D$1:D545&lt;&gt;""""))))-1), IF('To Order'!$A546=COLUMNS($A546:D"&amp;"565), D545&amp;RIGHT(INDIRECT(ADDRESS(ROW(D546)-1, 'From Order'!$A546)), 1), D545))"),"")</f>
        <v/>
      </c>
      <c r="E546" s="2" t="str">
        <f>IFERROR(__xludf.DUMMYFUNCTION("IF('From Order'!$A546=COLUMNS($A546:E565), LEFT(INDEX(FILTER(E$1:E545, E$1:E545&lt;&gt;""""),COUNTA(FILTER(E$1:E545, E$1:E545&lt;&gt;""""))), LEN(INDEX(FILTER(E$1:E545, E$1:E545&lt;&gt;""""),COUNTA(FILTER(E$1:E545, E$1:E545&lt;&gt;""""))))-1), IF('To Order'!$A546=COLUMNS($A546:E"&amp;"565), E545&amp;RIGHT(INDIRECT(ADDRESS(ROW(E546)-1, 'From Order'!$A546)), 1), E545))"),"LBSGDT")</f>
        <v>LBSGDT</v>
      </c>
      <c r="F546" s="2" t="str">
        <f>IFERROR(__xludf.DUMMYFUNCTION("IF('From Order'!$A546=COLUMNS($A546:F565), LEFT(INDEX(FILTER(F$1:F545, F$1:F545&lt;&gt;""""),COUNTA(FILTER(F$1:F545, F$1:F545&lt;&gt;""""))), LEN(INDEX(FILTER(F$1:F545, F$1:F545&lt;&gt;""""),COUNTA(FILTER(F$1:F545, F$1:F545&lt;&gt;""""))))-1), IF('To Order'!$A546=COLUMNS($A546:F"&amp;"565), F545&amp;RIGHT(INDIRECT(ADDRESS(ROW(F546)-1, 'From Order'!$A546)), 1), F545))"),"JL")</f>
        <v>JL</v>
      </c>
      <c r="G546" s="2" t="str">
        <f>IFERROR(__xludf.DUMMYFUNCTION("IF('From Order'!$A546=COLUMNS($A546:G565), LEFT(INDEX(FILTER(G$1:G545, G$1:G545&lt;&gt;""""),COUNTA(FILTER(G$1:G545, G$1:G545&lt;&gt;""""))), LEN(INDEX(FILTER(G$1:G545, G$1:G545&lt;&gt;""""),COUNTA(FILTER(G$1:G545, G$1:G545&lt;&gt;""""))))-1), IF('To Order'!$A546=COLUMNS($A546:G"&amp;"565), G545&amp;RIGHT(INDIRECT(ADDRESS(ROW(G546)-1, 'From Order'!$A546)), 1), G545))"),"")</f>
        <v/>
      </c>
      <c r="H546" s="2" t="str">
        <f>IFERROR(__xludf.DUMMYFUNCTION("IF('From Order'!$A546=COLUMNS($A546:H565), LEFT(INDEX(FILTER(H$1:H545, H$1:H545&lt;&gt;""""),COUNTA(FILTER(H$1:H545, H$1:H545&lt;&gt;""""))), LEN(INDEX(FILTER(H$1:H545, H$1:H545&lt;&gt;""""),COUNTA(FILTER(H$1:H545, H$1:H545&lt;&gt;""""))))-1), IF('To Order'!$A546=COLUMNS($A546:H"&amp;"565), H545&amp;RIGHT(INDIRECT(ADDRESS(ROW(H546)-1, 'From Order'!$A546)), 1), H545))"),"ZMD")</f>
        <v>ZMD</v>
      </c>
      <c r="I546" s="2" t="str">
        <f>IFERROR(__xludf.DUMMYFUNCTION("IF('From Order'!$A546=COLUMNS($A546:I565), LEFT(INDEX(FILTER(I$1:I545, I$1:I545&lt;&gt;""""),COUNTA(FILTER(I$1:I545, I$1:I545&lt;&gt;""""))), LEN(INDEX(FILTER(I$1:I545, I$1:I545&lt;&gt;""""),COUNTA(FILTER(I$1:I545, I$1:I545&lt;&gt;""""))))-1), IF('To Order'!$A546=COLUMNS($A546:I"&amp;"565), I545&amp;RIGHT(INDIRECT(ADDRESS(ROW(I546)-1, 'From Order'!$A546)), 1), I545))"),"DTWRDLRTDCQMT")</f>
        <v>DTWRDLRTDCQMT</v>
      </c>
    </row>
    <row r="547">
      <c r="A547" s="2" t="str">
        <f>IFERROR(__xludf.DUMMYFUNCTION("IF('From Order'!$A547=COLUMNS($A547:A566), LEFT(INDEX(FILTER(A$1:A546, A$1:A546&lt;&gt;""""),COUNTA(FILTER(A$1:A546, A$1:A546&lt;&gt;""""))), LEN(INDEX(FILTER(A$1:A546, A$1:A546&lt;&gt;""""),COUNTA(FILTER(A$1:A546, A$1:A546&lt;&gt;""""))))-1), IF('To Order'!$A547=COLUMNS($A547:A"&amp;"566), A546&amp;RIGHT(INDIRECT(ADDRESS(ROW(A547)-1, 'From Order'!$A547)), 1), A546))"),"")</f>
        <v/>
      </c>
      <c r="B547" s="2" t="str">
        <f>IFERROR(__xludf.DUMMYFUNCTION("IF('From Order'!$A547=COLUMNS($A547:B566), LEFT(INDEX(FILTER(B$1:B546, B$1:B546&lt;&gt;""""),COUNTA(FILTER(B$1:B546, B$1:B546&lt;&gt;""""))), LEN(INDEX(FILTER(B$1:B546, B$1:B546&lt;&gt;""""),COUNTA(FILTER(B$1:B546, B$1:B546&lt;&gt;""""))))-1), IF('To Order'!$A547=COLUMNS($A547:B"&amp;"566), B546&amp;RIGHT(INDIRECT(ADDRESS(ROW(B547)-1, 'From Order'!$A547)), 1), B546))"),"JZRVPVRZHMFBBRQPDSSGHWPBCVTJCT")</f>
        <v>JZRVPVRZHMFBBRQPDSSGHWPBCVTJCT</v>
      </c>
      <c r="C547" s="2" t="str">
        <f>IFERROR(__xludf.DUMMYFUNCTION("IF('From Order'!$A547=COLUMNS($A547:C566), LEFT(INDEX(FILTER(C$1:C546, C$1:C546&lt;&gt;""""),COUNTA(FILTER(C$1:C546, C$1:C546&lt;&gt;""""))), LEN(INDEX(FILTER(C$1:C546, C$1:C546&lt;&gt;""""),COUNTA(FILTER(C$1:C546, C$1:C546&lt;&gt;""""))))-1), IF('To Order'!$A547=COLUMNS($A547:C"&amp;"566), C546&amp;RIGHT(INDIRECT(ADDRESS(ROW(C547)-1, 'From Order'!$A547)), 1), C546))"),"SF")</f>
        <v>SF</v>
      </c>
      <c r="D547" s="2" t="str">
        <f>IFERROR(__xludf.DUMMYFUNCTION("IF('From Order'!$A547=COLUMNS($A547:D566), LEFT(INDEX(FILTER(D$1:D546, D$1:D546&lt;&gt;""""),COUNTA(FILTER(D$1:D546, D$1:D546&lt;&gt;""""))), LEN(INDEX(FILTER(D$1:D546, D$1:D546&lt;&gt;""""),COUNTA(FILTER(D$1:D546, D$1:D546&lt;&gt;""""))))-1), IF('To Order'!$A547=COLUMNS($A547:D"&amp;"566), D546&amp;RIGHT(INDIRECT(ADDRESS(ROW(D547)-1, 'From Order'!$A547)), 1), D546))"),"")</f>
        <v/>
      </c>
      <c r="E547" s="2" t="str">
        <f>IFERROR(__xludf.DUMMYFUNCTION("IF('From Order'!$A547=COLUMNS($A547:E566), LEFT(INDEX(FILTER(E$1:E546, E$1:E546&lt;&gt;""""),COUNTA(FILTER(E$1:E546, E$1:E546&lt;&gt;""""))), LEN(INDEX(FILTER(E$1:E546, E$1:E546&lt;&gt;""""),COUNTA(FILTER(E$1:E546, E$1:E546&lt;&gt;""""))))-1), IF('To Order'!$A547=COLUMNS($A547:E"&amp;"566), E546&amp;RIGHT(INDIRECT(ADDRESS(ROW(E547)-1, 'From Order'!$A547)), 1), E546))"),"LBSGDTL")</f>
        <v>LBSGDTL</v>
      </c>
      <c r="F547" s="2" t="str">
        <f>IFERROR(__xludf.DUMMYFUNCTION("IF('From Order'!$A547=COLUMNS($A547:F566), LEFT(INDEX(FILTER(F$1:F546, F$1:F546&lt;&gt;""""),COUNTA(FILTER(F$1:F546, F$1:F546&lt;&gt;""""))), LEN(INDEX(FILTER(F$1:F546, F$1:F546&lt;&gt;""""),COUNTA(FILTER(F$1:F546, F$1:F546&lt;&gt;""""))))-1), IF('To Order'!$A547=COLUMNS($A547:F"&amp;"566), F546&amp;RIGHT(INDIRECT(ADDRESS(ROW(F547)-1, 'From Order'!$A547)), 1), F546))"),"J")</f>
        <v>J</v>
      </c>
      <c r="G547" s="2" t="str">
        <f>IFERROR(__xludf.DUMMYFUNCTION("IF('From Order'!$A547=COLUMNS($A547:G566), LEFT(INDEX(FILTER(G$1:G546, G$1:G546&lt;&gt;""""),COUNTA(FILTER(G$1:G546, G$1:G546&lt;&gt;""""))), LEN(INDEX(FILTER(G$1:G546, G$1:G546&lt;&gt;""""),COUNTA(FILTER(G$1:G546, G$1:G546&lt;&gt;""""))))-1), IF('To Order'!$A547=COLUMNS($A547:G"&amp;"566), G546&amp;RIGHT(INDIRECT(ADDRESS(ROW(G547)-1, 'From Order'!$A547)), 1), G546))"),"")</f>
        <v/>
      </c>
      <c r="H547" s="2" t="str">
        <f>IFERROR(__xludf.DUMMYFUNCTION("IF('From Order'!$A547=COLUMNS($A547:H566), LEFT(INDEX(FILTER(H$1:H546, H$1:H546&lt;&gt;""""),COUNTA(FILTER(H$1:H546, H$1:H546&lt;&gt;""""))), LEN(INDEX(FILTER(H$1:H546, H$1:H546&lt;&gt;""""),COUNTA(FILTER(H$1:H546, H$1:H546&lt;&gt;""""))))-1), IF('To Order'!$A547=COLUMNS($A547:H"&amp;"566), H546&amp;RIGHT(INDIRECT(ADDRESS(ROW(H547)-1, 'From Order'!$A547)), 1), H546))"),"ZMD")</f>
        <v>ZMD</v>
      </c>
      <c r="I547" s="2" t="str">
        <f>IFERROR(__xludf.DUMMYFUNCTION("IF('From Order'!$A547=COLUMNS($A547:I566), LEFT(INDEX(FILTER(I$1:I546, I$1:I546&lt;&gt;""""),COUNTA(FILTER(I$1:I546, I$1:I546&lt;&gt;""""))), LEN(INDEX(FILTER(I$1:I546, I$1:I546&lt;&gt;""""),COUNTA(FILTER(I$1:I546, I$1:I546&lt;&gt;""""))))-1), IF('To Order'!$A547=COLUMNS($A547:I"&amp;"566), I546&amp;RIGHT(INDIRECT(ADDRESS(ROW(I547)-1, 'From Order'!$A547)), 1), I546))"),"DTWRDLRTDCQMT")</f>
        <v>DTWRDLRTDCQMT</v>
      </c>
    </row>
    <row r="548">
      <c r="A548" s="2" t="str">
        <f>IFERROR(__xludf.DUMMYFUNCTION("IF('From Order'!$A548=COLUMNS($A548:A567), LEFT(INDEX(FILTER(A$1:A547, A$1:A547&lt;&gt;""""),COUNTA(FILTER(A$1:A547, A$1:A547&lt;&gt;""""))), LEN(INDEX(FILTER(A$1:A547, A$1:A547&lt;&gt;""""),COUNTA(FILTER(A$1:A547, A$1:A547&lt;&gt;""""))))-1), IF('To Order'!$A548=COLUMNS($A548:A"&amp;"567), A547&amp;RIGHT(INDIRECT(ADDRESS(ROW(A548)-1, 'From Order'!$A548)), 1), A547))"),"")</f>
        <v/>
      </c>
      <c r="B548" s="2" t="str">
        <f>IFERROR(__xludf.DUMMYFUNCTION("IF('From Order'!$A548=COLUMNS($A548:B567), LEFT(INDEX(FILTER(B$1:B547, B$1:B547&lt;&gt;""""),COUNTA(FILTER(B$1:B547, B$1:B547&lt;&gt;""""))), LEN(INDEX(FILTER(B$1:B547, B$1:B547&lt;&gt;""""),COUNTA(FILTER(B$1:B547, B$1:B547&lt;&gt;""""))))-1), IF('To Order'!$A548=COLUMNS($A548:B"&amp;"567), B547&amp;RIGHT(INDIRECT(ADDRESS(ROW(B548)-1, 'From Order'!$A548)), 1), B547))"),"JZRVPVRZHMFBBRQPDSSGHWPBCVTJC")</f>
        <v>JZRVPVRZHMFBBRQPDSSGHWPBCVTJC</v>
      </c>
      <c r="C548" s="2" t="str">
        <f>IFERROR(__xludf.DUMMYFUNCTION("IF('From Order'!$A548=COLUMNS($A548:C567), LEFT(INDEX(FILTER(C$1:C547, C$1:C547&lt;&gt;""""),COUNTA(FILTER(C$1:C547, C$1:C547&lt;&gt;""""))), LEN(INDEX(FILTER(C$1:C547, C$1:C547&lt;&gt;""""),COUNTA(FILTER(C$1:C547, C$1:C547&lt;&gt;""""))))-1), IF('To Order'!$A548=COLUMNS($A548:C"&amp;"567), C547&amp;RIGHT(INDIRECT(ADDRESS(ROW(C548)-1, 'From Order'!$A548)), 1), C547))"),"SF")</f>
        <v>SF</v>
      </c>
      <c r="D548" s="2" t="str">
        <f>IFERROR(__xludf.DUMMYFUNCTION("IF('From Order'!$A548=COLUMNS($A548:D567), LEFT(INDEX(FILTER(D$1:D547, D$1:D547&lt;&gt;""""),COUNTA(FILTER(D$1:D547, D$1:D547&lt;&gt;""""))), LEN(INDEX(FILTER(D$1:D547, D$1:D547&lt;&gt;""""),COUNTA(FILTER(D$1:D547, D$1:D547&lt;&gt;""""))))-1), IF('To Order'!$A548=COLUMNS($A548:D"&amp;"567), D547&amp;RIGHT(INDIRECT(ADDRESS(ROW(D548)-1, 'From Order'!$A548)), 1), D547))"),"")</f>
        <v/>
      </c>
      <c r="E548" s="2" t="str">
        <f>IFERROR(__xludf.DUMMYFUNCTION("IF('From Order'!$A548=COLUMNS($A548:E567), LEFT(INDEX(FILTER(E$1:E547, E$1:E547&lt;&gt;""""),COUNTA(FILTER(E$1:E547, E$1:E547&lt;&gt;""""))), LEN(INDEX(FILTER(E$1:E547, E$1:E547&lt;&gt;""""),COUNTA(FILTER(E$1:E547, E$1:E547&lt;&gt;""""))))-1), IF('To Order'!$A548=COLUMNS($A548:E"&amp;"567), E547&amp;RIGHT(INDIRECT(ADDRESS(ROW(E548)-1, 'From Order'!$A548)), 1), E547))"),"LBSGDTL")</f>
        <v>LBSGDTL</v>
      </c>
      <c r="F548" s="2" t="str">
        <f>IFERROR(__xludf.DUMMYFUNCTION("IF('From Order'!$A548=COLUMNS($A548:F567), LEFT(INDEX(FILTER(F$1:F547, F$1:F547&lt;&gt;""""),COUNTA(FILTER(F$1:F547, F$1:F547&lt;&gt;""""))), LEN(INDEX(FILTER(F$1:F547, F$1:F547&lt;&gt;""""),COUNTA(FILTER(F$1:F547, F$1:F547&lt;&gt;""""))))-1), IF('To Order'!$A548=COLUMNS($A548:F"&amp;"567), F547&amp;RIGHT(INDIRECT(ADDRESS(ROW(F548)-1, 'From Order'!$A548)), 1), F547))"),"J")</f>
        <v>J</v>
      </c>
      <c r="G548" s="2" t="str">
        <f>IFERROR(__xludf.DUMMYFUNCTION("IF('From Order'!$A548=COLUMNS($A548:G567), LEFT(INDEX(FILTER(G$1:G547, G$1:G547&lt;&gt;""""),COUNTA(FILTER(G$1:G547, G$1:G547&lt;&gt;""""))), LEN(INDEX(FILTER(G$1:G547, G$1:G547&lt;&gt;""""),COUNTA(FILTER(G$1:G547, G$1:G547&lt;&gt;""""))))-1), IF('To Order'!$A548=COLUMNS($A548:G"&amp;"567), G547&amp;RIGHT(INDIRECT(ADDRESS(ROW(G548)-1, 'From Order'!$A548)), 1), G547))"),"")</f>
        <v/>
      </c>
      <c r="H548" s="2" t="str">
        <f>IFERROR(__xludf.DUMMYFUNCTION("IF('From Order'!$A548=COLUMNS($A548:H567), LEFT(INDEX(FILTER(H$1:H547, H$1:H547&lt;&gt;""""),COUNTA(FILTER(H$1:H547, H$1:H547&lt;&gt;""""))), LEN(INDEX(FILTER(H$1:H547, H$1:H547&lt;&gt;""""),COUNTA(FILTER(H$1:H547, H$1:H547&lt;&gt;""""))))-1), IF('To Order'!$A548=COLUMNS($A548:H"&amp;"567), H547&amp;RIGHT(INDIRECT(ADDRESS(ROW(H548)-1, 'From Order'!$A548)), 1), H547))"),"ZMDT")</f>
        <v>ZMDT</v>
      </c>
      <c r="I548" s="2" t="str">
        <f>IFERROR(__xludf.DUMMYFUNCTION("IF('From Order'!$A548=COLUMNS($A548:I567), LEFT(INDEX(FILTER(I$1:I547, I$1:I547&lt;&gt;""""),COUNTA(FILTER(I$1:I547, I$1:I547&lt;&gt;""""))), LEN(INDEX(FILTER(I$1:I547, I$1:I547&lt;&gt;""""),COUNTA(FILTER(I$1:I547, I$1:I547&lt;&gt;""""))))-1), IF('To Order'!$A548=COLUMNS($A548:I"&amp;"567), I547&amp;RIGHT(INDIRECT(ADDRESS(ROW(I548)-1, 'From Order'!$A548)), 1), I547))"),"DTWRDLRTDCQMT")</f>
        <v>DTWRDLRTDCQMT</v>
      </c>
    </row>
    <row r="549">
      <c r="A549" s="2" t="str">
        <f>IFERROR(__xludf.DUMMYFUNCTION("IF('From Order'!$A549=COLUMNS($A549:A568), LEFT(INDEX(FILTER(A$1:A548, A$1:A548&lt;&gt;""""),COUNTA(FILTER(A$1:A548, A$1:A548&lt;&gt;""""))), LEN(INDEX(FILTER(A$1:A548, A$1:A548&lt;&gt;""""),COUNTA(FILTER(A$1:A548, A$1:A548&lt;&gt;""""))))-1), IF('To Order'!$A549=COLUMNS($A549:A"&amp;"568), A548&amp;RIGHT(INDIRECT(ADDRESS(ROW(A549)-1, 'From Order'!$A549)), 1), A548))"),"")</f>
        <v/>
      </c>
      <c r="B549" s="2" t="str">
        <f>IFERROR(__xludf.DUMMYFUNCTION("IF('From Order'!$A549=COLUMNS($A549:B568), LEFT(INDEX(FILTER(B$1:B548, B$1:B548&lt;&gt;""""),COUNTA(FILTER(B$1:B548, B$1:B548&lt;&gt;""""))), LEN(INDEX(FILTER(B$1:B548, B$1:B548&lt;&gt;""""),COUNTA(FILTER(B$1:B548, B$1:B548&lt;&gt;""""))))-1), IF('To Order'!$A549=COLUMNS($A549:B"&amp;"568), B548&amp;RIGHT(INDIRECT(ADDRESS(ROW(B549)-1, 'From Order'!$A549)), 1), B548))"),"JZRVPVRZHMFBBRQPDSSGHWPBCVTJ")</f>
        <v>JZRVPVRZHMFBBRQPDSSGHWPBCVTJ</v>
      </c>
      <c r="C549" s="2" t="str">
        <f>IFERROR(__xludf.DUMMYFUNCTION("IF('From Order'!$A549=COLUMNS($A549:C568), LEFT(INDEX(FILTER(C$1:C548, C$1:C548&lt;&gt;""""),COUNTA(FILTER(C$1:C548, C$1:C548&lt;&gt;""""))), LEN(INDEX(FILTER(C$1:C548, C$1:C548&lt;&gt;""""),COUNTA(FILTER(C$1:C548, C$1:C548&lt;&gt;""""))))-1), IF('To Order'!$A549=COLUMNS($A549:C"&amp;"568), C548&amp;RIGHT(INDIRECT(ADDRESS(ROW(C549)-1, 'From Order'!$A549)), 1), C548))"),"SF")</f>
        <v>SF</v>
      </c>
      <c r="D549" s="2" t="str">
        <f>IFERROR(__xludf.DUMMYFUNCTION("IF('From Order'!$A549=COLUMNS($A549:D568), LEFT(INDEX(FILTER(D$1:D548, D$1:D548&lt;&gt;""""),COUNTA(FILTER(D$1:D548, D$1:D548&lt;&gt;""""))), LEN(INDEX(FILTER(D$1:D548, D$1:D548&lt;&gt;""""),COUNTA(FILTER(D$1:D548, D$1:D548&lt;&gt;""""))))-1), IF('To Order'!$A549=COLUMNS($A549:D"&amp;"568), D548&amp;RIGHT(INDIRECT(ADDRESS(ROW(D549)-1, 'From Order'!$A549)), 1), D548))"),"")</f>
        <v/>
      </c>
      <c r="E549" s="2" t="str">
        <f>IFERROR(__xludf.DUMMYFUNCTION("IF('From Order'!$A549=COLUMNS($A549:E568), LEFT(INDEX(FILTER(E$1:E548, E$1:E548&lt;&gt;""""),COUNTA(FILTER(E$1:E548, E$1:E548&lt;&gt;""""))), LEN(INDEX(FILTER(E$1:E548, E$1:E548&lt;&gt;""""),COUNTA(FILTER(E$1:E548, E$1:E548&lt;&gt;""""))))-1), IF('To Order'!$A549=COLUMNS($A549:E"&amp;"568), E548&amp;RIGHT(INDIRECT(ADDRESS(ROW(E549)-1, 'From Order'!$A549)), 1), E548))"),"LBSGDTL")</f>
        <v>LBSGDTL</v>
      </c>
      <c r="F549" s="2" t="str">
        <f>IFERROR(__xludf.DUMMYFUNCTION("IF('From Order'!$A549=COLUMNS($A549:F568), LEFT(INDEX(FILTER(F$1:F548, F$1:F548&lt;&gt;""""),COUNTA(FILTER(F$1:F548, F$1:F548&lt;&gt;""""))), LEN(INDEX(FILTER(F$1:F548, F$1:F548&lt;&gt;""""),COUNTA(FILTER(F$1:F548, F$1:F548&lt;&gt;""""))))-1), IF('To Order'!$A549=COLUMNS($A549:F"&amp;"568), F548&amp;RIGHT(INDIRECT(ADDRESS(ROW(F549)-1, 'From Order'!$A549)), 1), F548))"),"J")</f>
        <v>J</v>
      </c>
      <c r="G549" s="2" t="str">
        <f>IFERROR(__xludf.DUMMYFUNCTION("IF('From Order'!$A549=COLUMNS($A549:G568), LEFT(INDEX(FILTER(G$1:G548, G$1:G548&lt;&gt;""""),COUNTA(FILTER(G$1:G548, G$1:G548&lt;&gt;""""))), LEN(INDEX(FILTER(G$1:G548, G$1:G548&lt;&gt;""""),COUNTA(FILTER(G$1:G548, G$1:G548&lt;&gt;""""))))-1), IF('To Order'!$A549=COLUMNS($A549:G"&amp;"568), G548&amp;RIGHT(INDIRECT(ADDRESS(ROW(G549)-1, 'From Order'!$A549)), 1), G548))"),"")</f>
        <v/>
      </c>
      <c r="H549" s="2" t="str">
        <f>IFERROR(__xludf.DUMMYFUNCTION("IF('From Order'!$A549=COLUMNS($A549:H568), LEFT(INDEX(FILTER(H$1:H548, H$1:H548&lt;&gt;""""),COUNTA(FILTER(H$1:H548, H$1:H548&lt;&gt;""""))), LEN(INDEX(FILTER(H$1:H548, H$1:H548&lt;&gt;""""),COUNTA(FILTER(H$1:H548, H$1:H548&lt;&gt;""""))))-1), IF('To Order'!$A549=COLUMNS($A549:H"&amp;"568), H548&amp;RIGHT(INDIRECT(ADDRESS(ROW(H549)-1, 'From Order'!$A549)), 1), H548))"),"ZMDTC")</f>
        <v>ZMDTC</v>
      </c>
      <c r="I549" s="2" t="str">
        <f>IFERROR(__xludf.DUMMYFUNCTION("IF('From Order'!$A549=COLUMNS($A549:I568), LEFT(INDEX(FILTER(I$1:I548, I$1:I548&lt;&gt;""""),COUNTA(FILTER(I$1:I548, I$1:I548&lt;&gt;""""))), LEN(INDEX(FILTER(I$1:I548, I$1:I548&lt;&gt;""""),COUNTA(FILTER(I$1:I548, I$1:I548&lt;&gt;""""))))-1), IF('To Order'!$A549=COLUMNS($A549:I"&amp;"568), I548&amp;RIGHT(INDIRECT(ADDRESS(ROW(I549)-1, 'From Order'!$A549)), 1), I548))"),"DTWRDLRTDCQMT")</f>
        <v>DTWRDLRTDCQMT</v>
      </c>
    </row>
    <row r="550">
      <c r="A550" s="2" t="str">
        <f>IFERROR(__xludf.DUMMYFUNCTION("IF('From Order'!$A550=COLUMNS($A550:A569), LEFT(INDEX(FILTER(A$1:A549, A$1:A549&lt;&gt;""""),COUNTA(FILTER(A$1:A549, A$1:A549&lt;&gt;""""))), LEN(INDEX(FILTER(A$1:A549, A$1:A549&lt;&gt;""""),COUNTA(FILTER(A$1:A549, A$1:A549&lt;&gt;""""))))-1), IF('To Order'!$A550=COLUMNS($A550:A"&amp;"569), A549&amp;RIGHT(INDIRECT(ADDRESS(ROW(A550)-1, 'From Order'!$A550)), 1), A549))"),"")</f>
        <v/>
      </c>
      <c r="B550" s="2" t="str">
        <f>IFERROR(__xludf.DUMMYFUNCTION("IF('From Order'!$A550=COLUMNS($A550:B569), LEFT(INDEX(FILTER(B$1:B549, B$1:B549&lt;&gt;""""),COUNTA(FILTER(B$1:B549, B$1:B549&lt;&gt;""""))), LEN(INDEX(FILTER(B$1:B549, B$1:B549&lt;&gt;""""),COUNTA(FILTER(B$1:B549, B$1:B549&lt;&gt;""""))))-1), IF('To Order'!$A550=COLUMNS($A550:B"&amp;"569), B549&amp;RIGHT(INDIRECT(ADDRESS(ROW(B550)-1, 'From Order'!$A550)), 1), B549))"),"JZRVPVRZHMFBBRQPDSSGHWPBCVT")</f>
        <v>JZRVPVRZHMFBBRQPDSSGHWPBCVT</v>
      </c>
      <c r="C550" s="2" t="str">
        <f>IFERROR(__xludf.DUMMYFUNCTION("IF('From Order'!$A550=COLUMNS($A550:C569), LEFT(INDEX(FILTER(C$1:C549, C$1:C549&lt;&gt;""""),COUNTA(FILTER(C$1:C549, C$1:C549&lt;&gt;""""))), LEN(INDEX(FILTER(C$1:C549, C$1:C549&lt;&gt;""""),COUNTA(FILTER(C$1:C549, C$1:C549&lt;&gt;""""))))-1), IF('To Order'!$A550=COLUMNS($A550:C"&amp;"569), C549&amp;RIGHT(INDIRECT(ADDRESS(ROW(C550)-1, 'From Order'!$A550)), 1), C549))"),"SF")</f>
        <v>SF</v>
      </c>
      <c r="D550" s="2" t="str">
        <f>IFERROR(__xludf.DUMMYFUNCTION("IF('From Order'!$A550=COLUMNS($A550:D569), LEFT(INDEX(FILTER(D$1:D549, D$1:D549&lt;&gt;""""),COUNTA(FILTER(D$1:D549, D$1:D549&lt;&gt;""""))), LEN(INDEX(FILTER(D$1:D549, D$1:D549&lt;&gt;""""),COUNTA(FILTER(D$1:D549, D$1:D549&lt;&gt;""""))))-1), IF('To Order'!$A550=COLUMNS($A550:D"&amp;"569), D549&amp;RIGHT(INDIRECT(ADDRESS(ROW(D550)-1, 'From Order'!$A550)), 1), D549))"),"")</f>
        <v/>
      </c>
      <c r="E550" s="2" t="str">
        <f>IFERROR(__xludf.DUMMYFUNCTION("IF('From Order'!$A550=COLUMNS($A550:E569), LEFT(INDEX(FILTER(E$1:E549, E$1:E549&lt;&gt;""""),COUNTA(FILTER(E$1:E549, E$1:E549&lt;&gt;""""))), LEN(INDEX(FILTER(E$1:E549, E$1:E549&lt;&gt;""""),COUNTA(FILTER(E$1:E549, E$1:E549&lt;&gt;""""))))-1), IF('To Order'!$A550=COLUMNS($A550:E"&amp;"569), E549&amp;RIGHT(INDIRECT(ADDRESS(ROW(E550)-1, 'From Order'!$A550)), 1), E549))"),"LBSGDTL")</f>
        <v>LBSGDTL</v>
      </c>
      <c r="F550" s="2" t="str">
        <f>IFERROR(__xludf.DUMMYFUNCTION("IF('From Order'!$A550=COLUMNS($A550:F569), LEFT(INDEX(FILTER(F$1:F549, F$1:F549&lt;&gt;""""),COUNTA(FILTER(F$1:F549, F$1:F549&lt;&gt;""""))), LEN(INDEX(FILTER(F$1:F549, F$1:F549&lt;&gt;""""),COUNTA(FILTER(F$1:F549, F$1:F549&lt;&gt;""""))))-1), IF('To Order'!$A550=COLUMNS($A550:F"&amp;"569), F549&amp;RIGHT(INDIRECT(ADDRESS(ROW(F550)-1, 'From Order'!$A550)), 1), F549))"),"J")</f>
        <v>J</v>
      </c>
      <c r="G550" s="2" t="str">
        <f>IFERROR(__xludf.DUMMYFUNCTION("IF('From Order'!$A550=COLUMNS($A550:G569), LEFT(INDEX(FILTER(G$1:G549, G$1:G549&lt;&gt;""""),COUNTA(FILTER(G$1:G549, G$1:G549&lt;&gt;""""))), LEN(INDEX(FILTER(G$1:G549, G$1:G549&lt;&gt;""""),COUNTA(FILTER(G$1:G549, G$1:G549&lt;&gt;""""))))-1), IF('To Order'!$A550=COLUMNS($A550:G"&amp;"569), G549&amp;RIGHT(INDIRECT(ADDRESS(ROW(G550)-1, 'From Order'!$A550)), 1), G549))"),"")</f>
        <v/>
      </c>
      <c r="H550" s="2" t="str">
        <f>IFERROR(__xludf.DUMMYFUNCTION("IF('From Order'!$A550=COLUMNS($A550:H569), LEFT(INDEX(FILTER(H$1:H549, H$1:H549&lt;&gt;""""),COUNTA(FILTER(H$1:H549, H$1:H549&lt;&gt;""""))), LEN(INDEX(FILTER(H$1:H549, H$1:H549&lt;&gt;""""),COUNTA(FILTER(H$1:H549, H$1:H549&lt;&gt;""""))))-1), IF('To Order'!$A550=COLUMNS($A550:H"&amp;"569), H549&amp;RIGHT(INDIRECT(ADDRESS(ROW(H550)-1, 'From Order'!$A550)), 1), H549))"),"ZMDTCJ")</f>
        <v>ZMDTCJ</v>
      </c>
      <c r="I550" s="2" t="str">
        <f>IFERROR(__xludf.DUMMYFUNCTION("IF('From Order'!$A550=COLUMNS($A550:I569), LEFT(INDEX(FILTER(I$1:I549, I$1:I549&lt;&gt;""""),COUNTA(FILTER(I$1:I549, I$1:I549&lt;&gt;""""))), LEN(INDEX(FILTER(I$1:I549, I$1:I549&lt;&gt;""""),COUNTA(FILTER(I$1:I549, I$1:I549&lt;&gt;""""))))-1), IF('To Order'!$A550=COLUMNS($A550:I"&amp;"569), I549&amp;RIGHT(INDIRECT(ADDRESS(ROW(I550)-1, 'From Order'!$A550)), 1), I549))"),"DTWRDLRTDCQMT")</f>
        <v>DTWRDLRTDCQMT</v>
      </c>
    </row>
    <row r="551">
      <c r="A551" s="2" t="str">
        <f>IFERROR(__xludf.DUMMYFUNCTION("IF('From Order'!$A551=COLUMNS($A551:A570), LEFT(INDEX(FILTER(A$1:A550, A$1:A550&lt;&gt;""""),COUNTA(FILTER(A$1:A550, A$1:A550&lt;&gt;""""))), LEN(INDEX(FILTER(A$1:A550, A$1:A550&lt;&gt;""""),COUNTA(FILTER(A$1:A550, A$1:A550&lt;&gt;""""))))-1), IF('To Order'!$A551=COLUMNS($A551:A"&amp;"570), A550&amp;RIGHT(INDIRECT(ADDRESS(ROW(A551)-1, 'From Order'!$A551)), 1), A550))"),"")</f>
        <v/>
      </c>
      <c r="B551" s="2" t="str">
        <f>IFERROR(__xludf.DUMMYFUNCTION("IF('From Order'!$A551=COLUMNS($A551:B570), LEFT(INDEX(FILTER(B$1:B550, B$1:B550&lt;&gt;""""),COUNTA(FILTER(B$1:B550, B$1:B550&lt;&gt;""""))), LEN(INDEX(FILTER(B$1:B550, B$1:B550&lt;&gt;""""),COUNTA(FILTER(B$1:B550, B$1:B550&lt;&gt;""""))))-1), IF('To Order'!$A551=COLUMNS($A551:B"&amp;"570), B550&amp;RIGHT(INDIRECT(ADDRESS(ROW(B551)-1, 'From Order'!$A551)), 1), B550))"),"JZRVPVRZHMFBBRQPDSSGHWPBCV")</f>
        <v>JZRVPVRZHMFBBRQPDSSGHWPBCV</v>
      </c>
      <c r="C551" s="2" t="str">
        <f>IFERROR(__xludf.DUMMYFUNCTION("IF('From Order'!$A551=COLUMNS($A551:C570), LEFT(INDEX(FILTER(C$1:C550, C$1:C550&lt;&gt;""""),COUNTA(FILTER(C$1:C550, C$1:C550&lt;&gt;""""))), LEN(INDEX(FILTER(C$1:C550, C$1:C550&lt;&gt;""""),COUNTA(FILTER(C$1:C550, C$1:C550&lt;&gt;""""))))-1), IF('To Order'!$A551=COLUMNS($A551:C"&amp;"570), C550&amp;RIGHT(INDIRECT(ADDRESS(ROW(C551)-1, 'From Order'!$A551)), 1), C550))"),"SF")</f>
        <v>SF</v>
      </c>
      <c r="D551" s="2" t="str">
        <f>IFERROR(__xludf.DUMMYFUNCTION("IF('From Order'!$A551=COLUMNS($A551:D570), LEFT(INDEX(FILTER(D$1:D550, D$1:D550&lt;&gt;""""),COUNTA(FILTER(D$1:D550, D$1:D550&lt;&gt;""""))), LEN(INDEX(FILTER(D$1:D550, D$1:D550&lt;&gt;""""),COUNTA(FILTER(D$1:D550, D$1:D550&lt;&gt;""""))))-1), IF('To Order'!$A551=COLUMNS($A551:D"&amp;"570), D550&amp;RIGHT(INDIRECT(ADDRESS(ROW(D551)-1, 'From Order'!$A551)), 1), D550))"),"")</f>
        <v/>
      </c>
      <c r="E551" s="2" t="str">
        <f>IFERROR(__xludf.DUMMYFUNCTION("IF('From Order'!$A551=COLUMNS($A551:E570), LEFT(INDEX(FILTER(E$1:E550, E$1:E550&lt;&gt;""""),COUNTA(FILTER(E$1:E550, E$1:E550&lt;&gt;""""))), LEN(INDEX(FILTER(E$1:E550, E$1:E550&lt;&gt;""""),COUNTA(FILTER(E$1:E550, E$1:E550&lt;&gt;""""))))-1), IF('To Order'!$A551=COLUMNS($A551:E"&amp;"570), E550&amp;RIGHT(INDIRECT(ADDRESS(ROW(E551)-1, 'From Order'!$A551)), 1), E550))"),"LBSGDTL")</f>
        <v>LBSGDTL</v>
      </c>
      <c r="F551" s="2" t="str">
        <f>IFERROR(__xludf.DUMMYFUNCTION("IF('From Order'!$A551=COLUMNS($A551:F570), LEFT(INDEX(FILTER(F$1:F550, F$1:F550&lt;&gt;""""),COUNTA(FILTER(F$1:F550, F$1:F550&lt;&gt;""""))), LEN(INDEX(FILTER(F$1:F550, F$1:F550&lt;&gt;""""),COUNTA(FILTER(F$1:F550, F$1:F550&lt;&gt;""""))))-1), IF('To Order'!$A551=COLUMNS($A551:F"&amp;"570), F550&amp;RIGHT(INDIRECT(ADDRESS(ROW(F551)-1, 'From Order'!$A551)), 1), F550))"),"J")</f>
        <v>J</v>
      </c>
      <c r="G551" s="2" t="str">
        <f>IFERROR(__xludf.DUMMYFUNCTION("IF('From Order'!$A551=COLUMNS($A551:G570), LEFT(INDEX(FILTER(G$1:G550, G$1:G550&lt;&gt;""""),COUNTA(FILTER(G$1:G550, G$1:G550&lt;&gt;""""))), LEN(INDEX(FILTER(G$1:G550, G$1:G550&lt;&gt;""""),COUNTA(FILTER(G$1:G550, G$1:G550&lt;&gt;""""))))-1), IF('To Order'!$A551=COLUMNS($A551:G"&amp;"570), G550&amp;RIGHT(INDIRECT(ADDRESS(ROW(G551)-1, 'From Order'!$A551)), 1), G550))"),"")</f>
        <v/>
      </c>
      <c r="H551" s="2" t="str">
        <f>IFERROR(__xludf.DUMMYFUNCTION("IF('From Order'!$A551=COLUMNS($A551:H570), LEFT(INDEX(FILTER(H$1:H550, H$1:H550&lt;&gt;""""),COUNTA(FILTER(H$1:H550, H$1:H550&lt;&gt;""""))), LEN(INDEX(FILTER(H$1:H550, H$1:H550&lt;&gt;""""),COUNTA(FILTER(H$1:H550, H$1:H550&lt;&gt;""""))))-1), IF('To Order'!$A551=COLUMNS($A551:H"&amp;"570), H550&amp;RIGHT(INDIRECT(ADDRESS(ROW(H551)-1, 'From Order'!$A551)), 1), H550))"),"ZMDTCJT")</f>
        <v>ZMDTCJT</v>
      </c>
      <c r="I551" s="2" t="str">
        <f>IFERROR(__xludf.DUMMYFUNCTION("IF('From Order'!$A551=COLUMNS($A551:I570), LEFT(INDEX(FILTER(I$1:I550, I$1:I550&lt;&gt;""""),COUNTA(FILTER(I$1:I550, I$1:I550&lt;&gt;""""))), LEN(INDEX(FILTER(I$1:I550, I$1:I550&lt;&gt;""""),COUNTA(FILTER(I$1:I550, I$1:I550&lt;&gt;""""))))-1), IF('To Order'!$A551=COLUMNS($A551:I"&amp;"570), I550&amp;RIGHT(INDIRECT(ADDRESS(ROW(I551)-1, 'From Order'!$A551)), 1), I550))"),"DTWRDLRTDCQMT")</f>
        <v>DTWRDLRTDCQMT</v>
      </c>
    </row>
    <row r="552">
      <c r="A552" s="2" t="str">
        <f>IFERROR(__xludf.DUMMYFUNCTION("IF('From Order'!$A552=COLUMNS($A552:A571), LEFT(INDEX(FILTER(A$1:A551, A$1:A551&lt;&gt;""""),COUNTA(FILTER(A$1:A551, A$1:A551&lt;&gt;""""))), LEN(INDEX(FILTER(A$1:A551, A$1:A551&lt;&gt;""""),COUNTA(FILTER(A$1:A551, A$1:A551&lt;&gt;""""))))-1), IF('To Order'!$A552=COLUMNS($A552:A"&amp;"571), A551&amp;RIGHT(INDIRECT(ADDRESS(ROW(A552)-1, 'From Order'!$A552)), 1), A551))"),"")</f>
        <v/>
      </c>
      <c r="B552" s="2" t="str">
        <f>IFERROR(__xludf.DUMMYFUNCTION("IF('From Order'!$A552=COLUMNS($A552:B571), LEFT(INDEX(FILTER(B$1:B551, B$1:B551&lt;&gt;""""),COUNTA(FILTER(B$1:B551, B$1:B551&lt;&gt;""""))), LEN(INDEX(FILTER(B$1:B551, B$1:B551&lt;&gt;""""),COUNTA(FILTER(B$1:B551, B$1:B551&lt;&gt;""""))))-1), IF('To Order'!$A552=COLUMNS($A552:B"&amp;"571), B551&amp;RIGHT(INDIRECT(ADDRESS(ROW(B552)-1, 'From Order'!$A552)), 1), B551))"),"JZRVPVRZHMFBBRQPDSSGHWPBC")</f>
        <v>JZRVPVRZHMFBBRQPDSSGHWPBC</v>
      </c>
      <c r="C552" s="2" t="str">
        <f>IFERROR(__xludf.DUMMYFUNCTION("IF('From Order'!$A552=COLUMNS($A552:C571), LEFT(INDEX(FILTER(C$1:C551, C$1:C551&lt;&gt;""""),COUNTA(FILTER(C$1:C551, C$1:C551&lt;&gt;""""))), LEN(INDEX(FILTER(C$1:C551, C$1:C551&lt;&gt;""""),COUNTA(FILTER(C$1:C551, C$1:C551&lt;&gt;""""))))-1), IF('To Order'!$A552=COLUMNS($A552:C"&amp;"571), C551&amp;RIGHT(INDIRECT(ADDRESS(ROW(C552)-1, 'From Order'!$A552)), 1), C551))"),"SF")</f>
        <v>SF</v>
      </c>
      <c r="D552" s="2" t="str">
        <f>IFERROR(__xludf.DUMMYFUNCTION("IF('From Order'!$A552=COLUMNS($A552:D571), LEFT(INDEX(FILTER(D$1:D551, D$1:D551&lt;&gt;""""),COUNTA(FILTER(D$1:D551, D$1:D551&lt;&gt;""""))), LEN(INDEX(FILTER(D$1:D551, D$1:D551&lt;&gt;""""),COUNTA(FILTER(D$1:D551, D$1:D551&lt;&gt;""""))))-1), IF('To Order'!$A552=COLUMNS($A552:D"&amp;"571), D551&amp;RIGHT(INDIRECT(ADDRESS(ROW(D552)-1, 'From Order'!$A552)), 1), D551))"),"")</f>
        <v/>
      </c>
      <c r="E552" s="2" t="str">
        <f>IFERROR(__xludf.DUMMYFUNCTION("IF('From Order'!$A552=COLUMNS($A552:E571), LEFT(INDEX(FILTER(E$1:E551, E$1:E551&lt;&gt;""""),COUNTA(FILTER(E$1:E551, E$1:E551&lt;&gt;""""))), LEN(INDEX(FILTER(E$1:E551, E$1:E551&lt;&gt;""""),COUNTA(FILTER(E$1:E551, E$1:E551&lt;&gt;""""))))-1), IF('To Order'!$A552=COLUMNS($A552:E"&amp;"571), E551&amp;RIGHT(INDIRECT(ADDRESS(ROW(E552)-1, 'From Order'!$A552)), 1), E551))"),"LBSGDTL")</f>
        <v>LBSGDTL</v>
      </c>
      <c r="F552" s="2" t="str">
        <f>IFERROR(__xludf.DUMMYFUNCTION("IF('From Order'!$A552=COLUMNS($A552:F571), LEFT(INDEX(FILTER(F$1:F551, F$1:F551&lt;&gt;""""),COUNTA(FILTER(F$1:F551, F$1:F551&lt;&gt;""""))), LEN(INDEX(FILTER(F$1:F551, F$1:F551&lt;&gt;""""),COUNTA(FILTER(F$1:F551, F$1:F551&lt;&gt;""""))))-1), IF('To Order'!$A552=COLUMNS($A552:F"&amp;"571), F551&amp;RIGHT(INDIRECT(ADDRESS(ROW(F552)-1, 'From Order'!$A552)), 1), F551))"),"J")</f>
        <v>J</v>
      </c>
      <c r="G552" s="2" t="str">
        <f>IFERROR(__xludf.DUMMYFUNCTION("IF('From Order'!$A552=COLUMNS($A552:G571), LEFT(INDEX(FILTER(G$1:G551, G$1:G551&lt;&gt;""""),COUNTA(FILTER(G$1:G551, G$1:G551&lt;&gt;""""))), LEN(INDEX(FILTER(G$1:G551, G$1:G551&lt;&gt;""""),COUNTA(FILTER(G$1:G551, G$1:G551&lt;&gt;""""))))-1), IF('To Order'!$A552=COLUMNS($A552:G"&amp;"571), G551&amp;RIGHT(INDIRECT(ADDRESS(ROW(G552)-1, 'From Order'!$A552)), 1), G551))"),"")</f>
        <v/>
      </c>
      <c r="H552" s="2" t="str">
        <f>IFERROR(__xludf.DUMMYFUNCTION("IF('From Order'!$A552=COLUMNS($A552:H571), LEFT(INDEX(FILTER(H$1:H551, H$1:H551&lt;&gt;""""),COUNTA(FILTER(H$1:H551, H$1:H551&lt;&gt;""""))), LEN(INDEX(FILTER(H$1:H551, H$1:H551&lt;&gt;""""),COUNTA(FILTER(H$1:H551, H$1:H551&lt;&gt;""""))))-1), IF('To Order'!$A552=COLUMNS($A552:H"&amp;"571), H551&amp;RIGHT(INDIRECT(ADDRESS(ROW(H552)-1, 'From Order'!$A552)), 1), H551))"),"ZMDTCJTV")</f>
        <v>ZMDTCJTV</v>
      </c>
      <c r="I552" s="2" t="str">
        <f>IFERROR(__xludf.DUMMYFUNCTION("IF('From Order'!$A552=COLUMNS($A552:I571), LEFT(INDEX(FILTER(I$1:I551, I$1:I551&lt;&gt;""""),COUNTA(FILTER(I$1:I551, I$1:I551&lt;&gt;""""))), LEN(INDEX(FILTER(I$1:I551, I$1:I551&lt;&gt;""""),COUNTA(FILTER(I$1:I551, I$1:I551&lt;&gt;""""))))-1), IF('To Order'!$A552=COLUMNS($A552:I"&amp;"571), I551&amp;RIGHT(INDIRECT(ADDRESS(ROW(I552)-1, 'From Order'!$A552)), 1), I551))"),"DTWRDLRTDCQMT")</f>
        <v>DTWRDLRTDCQMT</v>
      </c>
    </row>
    <row r="553">
      <c r="A553" s="2" t="str">
        <f>IFERROR(__xludf.DUMMYFUNCTION("IF('From Order'!$A553=COLUMNS($A553:A572), LEFT(INDEX(FILTER(A$1:A552, A$1:A552&lt;&gt;""""),COUNTA(FILTER(A$1:A552, A$1:A552&lt;&gt;""""))), LEN(INDEX(FILTER(A$1:A552, A$1:A552&lt;&gt;""""),COUNTA(FILTER(A$1:A552, A$1:A552&lt;&gt;""""))))-1), IF('To Order'!$A553=COLUMNS($A553:A"&amp;"572), A552&amp;RIGHT(INDIRECT(ADDRESS(ROW(A553)-1, 'From Order'!$A553)), 1), A552))"),"")</f>
        <v/>
      </c>
      <c r="B553" s="2" t="str">
        <f>IFERROR(__xludf.DUMMYFUNCTION("IF('From Order'!$A553=COLUMNS($A553:B572), LEFT(INDEX(FILTER(B$1:B552, B$1:B552&lt;&gt;""""),COUNTA(FILTER(B$1:B552, B$1:B552&lt;&gt;""""))), LEN(INDEX(FILTER(B$1:B552, B$1:B552&lt;&gt;""""),COUNTA(FILTER(B$1:B552, B$1:B552&lt;&gt;""""))))-1), IF('To Order'!$A553=COLUMNS($A553:B"&amp;"572), B552&amp;RIGHT(INDIRECT(ADDRESS(ROW(B553)-1, 'From Order'!$A553)), 1), B552))"),"JZRVPVRZHMFBBRQPDSSGHWPB")</f>
        <v>JZRVPVRZHMFBBRQPDSSGHWPB</v>
      </c>
      <c r="C553" s="2" t="str">
        <f>IFERROR(__xludf.DUMMYFUNCTION("IF('From Order'!$A553=COLUMNS($A553:C572), LEFT(INDEX(FILTER(C$1:C552, C$1:C552&lt;&gt;""""),COUNTA(FILTER(C$1:C552, C$1:C552&lt;&gt;""""))), LEN(INDEX(FILTER(C$1:C552, C$1:C552&lt;&gt;""""),COUNTA(FILTER(C$1:C552, C$1:C552&lt;&gt;""""))))-1), IF('To Order'!$A553=COLUMNS($A553:C"&amp;"572), C552&amp;RIGHT(INDIRECT(ADDRESS(ROW(C553)-1, 'From Order'!$A553)), 1), C552))"),"SF")</f>
        <v>SF</v>
      </c>
      <c r="D553" s="2" t="str">
        <f>IFERROR(__xludf.DUMMYFUNCTION("IF('From Order'!$A553=COLUMNS($A553:D572), LEFT(INDEX(FILTER(D$1:D552, D$1:D552&lt;&gt;""""),COUNTA(FILTER(D$1:D552, D$1:D552&lt;&gt;""""))), LEN(INDEX(FILTER(D$1:D552, D$1:D552&lt;&gt;""""),COUNTA(FILTER(D$1:D552, D$1:D552&lt;&gt;""""))))-1), IF('To Order'!$A553=COLUMNS($A553:D"&amp;"572), D552&amp;RIGHT(INDIRECT(ADDRESS(ROW(D553)-1, 'From Order'!$A553)), 1), D552))"),"")</f>
        <v/>
      </c>
      <c r="E553" s="2" t="str">
        <f>IFERROR(__xludf.DUMMYFUNCTION("IF('From Order'!$A553=COLUMNS($A553:E572), LEFT(INDEX(FILTER(E$1:E552, E$1:E552&lt;&gt;""""),COUNTA(FILTER(E$1:E552, E$1:E552&lt;&gt;""""))), LEN(INDEX(FILTER(E$1:E552, E$1:E552&lt;&gt;""""),COUNTA(FILTER(E$1:E552, E$1:E552&lt;&gt;""""))))-1), IF('To Order'!$A553=COLUMNS($A553:E"&amp;"572), E552&amp;RIGHT(INDIRECT(ADDRESS(ROW(E553)-1, 'From Order'!$A553)), 1), E552))"),"LBSGDTL")</f>
        <v>LBSGDTL</v>
      </c>
      <c r="F553" s="2" t="str">
        <f>IFERROR(__xludf.DUMMYFUNCTION("IF('From Order'!$A553=COLUMNS($A553:F572), LEFT(INDEX(FILTER(F$1:F552, F$1:F552&lt;&gt;""""),COUNTA(FILTER(F$1:F552, F$1:F552&lt;&gt;""""))), LEN(INDEX(FILTER(F$1:F552, F$1:F552&lt;&gt;""""),COUNTA(FILTER(F$1:F552, F$1:F552&lt;&gt;""""))))-1), IF('To Order'!$A553=COLUMNS($A553:F"&amp;"572), F552&amp;RIGHT(INDIRECT(ADDRESS(ROW(F553)-1, 'From Order'!$A553)), 1), F552))"),"J")</f>
        <v>J</v>
      </c>
      <c r="G553" s="2" t="str">
        <f>IFERROR(__xludf.DUMMYFUNCTION("IF('From Order'!$A553=COLUMNS($A553:G572), LEFT(INDEX(FILTER(G$1:G552, G$1:G552&lt;&gt;""""),COUNTA(FILTER(G$1:G552, G$1:G552&lt;&gt;""""))), LEN(INDEX(FILTER(G$1:G552, G$1:G552&lt;&gt;""""),COUNTA(FILTER(G$1:G552, G$1:G552&lt;&gt;""""))))-1), IF('To Order'!$A553=COLUMNS($A553:G"&amp;"572), G552&amp;RIGHT(INDIRECT(ADDRESS(ROW(G553)-1, 'From Order'!$A553)), 1), G552))"),"")</f>
        <v/>
      </c>
      <c r="H553" s="2" t="str">
        <f>IFERROR(__xludf.DUMMYFUNCTION("IF('From Order'!$A553=COLUMNS($A553:H572), LEFT(INDEX(FILTER(H$1:H552, H$1:H552&lt;&gt;""""),COUNTA(FILTER(H$1:H552, H$1:H552&lt;&gt;""""))), LEN(INDEX(FILTER(H$1:H552, H$1:H552&lt;&gt;""""),COUNTA(FILTER(H$1:H552, H$1:H552&lt;&gt;""""))))-1), IF('To Order'!$A553=COLUMNS($A553:H"&amp;"572), H552&amp;RIGHT(INDIRECT(ADDRESS(ROW(H553)-1, 'From Order'!$A553)), 1), H552))"),"ZMDTCJTVC")</f>
        <v>ZMDTCJTVC</v>
      </c>
      <c r="I553" s="2" t="str">
        <f>IFERROR(__xludf.DUMMYFUNCTION("IF('From Order'!$A553=COLUMNS($A553:I572), LEFT(INDEX(FILTER(I$1:I552, I$1:I552&lt;&gt;""""),COUNTA(FILTER(I$1:I552, I$1:I552&lt;&gt;""""))), LEN(INDEX(FILTER(I$1:I552, I$1:I552&lt;&gt;""""),COUNTA(FILTER(I$1:I552, I$1:I552&lt;&gt;""""))))-1), IF('To Order'!$A553=COLUMNS($A553:I"&amp;"572), I552&amp;RIGHT(INDIRECT(ADDRESS(ROW(I553)-1, 'From Order'!$A553)), 1), I552))"),"DTWRDLRTDCQMT")</f>
        <v>DTWRDLRTDCQMT</v>
      </c>
    </row>
    <row r="554">
      <c r="A554" s="2" t="str">
        <f>IFERROR(__xludf.DUMMYFUNCTION("IF('From Order'!$A554=COLUMNS($A554:A573), LEFT(INDEX(FILTER(A$1:A553, A$1:A553&lt;&gt;""""),COUNTA(FILTER(A$1:A553, A$1:A553&lt;&gt;""""))), LEN(INDEX(FILTER(A$1:A553, A$1:A553&lt;&gt;""""),COUNTA(FILTER(A$1:A553, A$1:A553&lt;&gt;""""))))-1), IF('To Order'!$A554=COLUMNS($A554:A"&amp;"573), A553&amp;RIGHT(INDIRECT(ADDRESS(ROW(A554)-1, 'From Order'!$A554)), 1), A553))"),"")</f>
        <v/>
      </c>
      <c r="B554" s="2" t="str">
        <f>IFERROR(__xludf.DUMMYFUNCTION("IF('From Order'!$A554=COLUMNS($A554:B573), LEFT(INDEX(FILTER(B$1:B553, B$1:B553&lt;&gt;""""),COUNTA(FILTER(B$1:B553, B$1:B553&lt;&gt;""""))), LEN(INDEX(FILTER(B$1:B553, B$1:B553&lt;&gt;""""),COUNTA(FILTER(B$1:B553, B$1:B553&lt;&gt;""""))))-1), IF('To Order'!$A554=COLUMNS($A554:B"&amp;"573), B553&amp;RIGHT(INDIRECT(ADDRESS(ROW(B554)-1, 'From Order'!$A554)), 1), B553))"),"JZRVPVRZHMFBBRQPDSSGHWP")</f>
        <v>JZRVPVRZHMFBBRQPDSSGHWP</v>
      </c>
      <c r="C554" s="2" t="str">
        <f>IFERROR(__xludf.DUMMYFUNCTION("IF('From Order'!$A554=COLUMNS($A554:C573), LEFT(INDEX(FILTER(C$1:C553, C$1:C553&lt;&gt;""""),COUNTA(FILTER(C$1:C553, C$1:C553&lt;&gt;""""))), LEN(INDEX(FILTER(C$1:C553, C$1:C553&lt;&gt;""""),COUNTA(FILTER(C$1:C553, C$1:C553&lt;&gt;""""))))-1), IF('To Order'!$A554=COLUMNS($A554:C"&amp;"573), C553&amp;RIGHT(INDIRECT(ADDRESS(ROW(C554)-1, 'From Order'!$A554)), 1), C553))"),"SF")</f>
        <v>SF</v>
      </c>
      <c r="D554" s="2" t="str">
        <f>IFERROR(__xludf.DUMMYFUNCTION("IF('From Order'!$A554=COLUMNS($A554:D573), LEFT(INDEX(FILTER(D$1:D553, D$1:D553&lt;&gt;""""),COUNTA(FILTER(D$1:D553, D$1:D553&lt;&gt;""""))), LEN(INDEX(FILTER(D$1:D553, D$1:D553&lt;&gt;""""),COUNTA(FILTER(D$1:D553, D$1:D553&lt;&gt;""""))))-1), IF('To Order'!$A554=COLUMNS($A554:D"&amp;"573), D553&amp;RIGHT(INDIRECT(ADDRESS(ROW(D554)-1, 'From Order'!$A554)), 1), D553))"),"")</f>
        <v/>
      </c>
      <c r="E554" s="2" t="str">
        <f>IFERROR(__xludf.DUMMYFUNCTION("IF('From Order'!$A554=COLUMNS($A554:E573), LEFT(INDEX(FILTER(E$1:E553, E$1:E553&lt;&gt;""""),COUNTA(FILTER(E$1:E553, E$1:E553&lt;&gt;""""))), LEN(INDEX(FILTER(E$1:E553, E$1:E553&lt;&gt;""""),COUNTA(FILTER(E$1:E553, E$1:E553&lt;&gt;""""))))-1), IF('To Order'!$A554=COLUMNS($A554:E"&amp;"573), E553&amp;RIGHT(INDIRECT(ADDRESS(ROW(E554)-1, 'From Order'!$A554)), 1), E553))"),"LBSGDTL")</f>
        <v>LBSGDTL</v>
      </c>
      <c r="F554" s="2" t="str">
        <f>IFERROR(__xludf.DUMMYFUNCTION("IF('From Order'!$A554=COLUMNS($A554:F573), LEFT(INDEX(FILTER(F$1:F553, F$1:F553&lt;&gt;""""),COUNTA(FILTER(F$1:F553, F$1:F553&lt;&gt;""""))), LEN(INDEX(FILTER(F$1:F553, F$1:F553&lt;&gt;""""),COUNTA(FILTER(F$1:F553, F$1:F553&lt;&gt;""""))))-1), IF('To Order'!$A554=COLUMNS($A554:F"&amp;"573), F553&amp;RIGHT(INDIRECT(ADDRESS(ROW(F554)-1, 'From Order'!$A554)), 1), F553))"),"J")</f>
        <v>J</v>
      </c>
      <c r="G554" s="2" t="str">
        <f>IFERROR(__xludf.DUMMYFUNCTION("IF('From Order'!$A554=COLUMNS($A554:G573), LEFT(INDEX(FILTER(G$1:G553, G$1:G553&lt;&gt;""""),COUNTA(FILTER(G$1:G553, G$1:G553&lt;&gt;""""))), LEN(INDEX(FILTER(G$1:G553, G$1:G553&lt;&gt;""""),COUNTA(FILTER(G$1:G553, G$1:G553&lt;&gt;""""))))-1), IF('To Order'!$A554=COLUMNS($A554:G"&amp;"573), G553&amp;RIGHT(INDIRECT(ADDRESS(ROW(G554)-1, 'From Order'!$A554)), 1), G553))"),"")</f>
        <v/>
      </c>
      <c r="H554" s="2" t="str">
        <f>IFERROR(__xludf.DUMMYFUNCTION("IF('From Order'!$A554=COLUMNS($A554:H573), LEFT(INDEX(FILTER(H$1:H553, H$1:H553&lt;&gt;""""),COUNTA(FILTER(H$1:H553, H$1:H553&lt;&gt;""""))), LEN(INDEX(FILTER(H$1:H553, H$1:H553&lt;&gt;""""),COUNTA(FILTER(H$1:H553, H$1:H553&lt;&gt;""""))))-1), IF('To Order'!$A554=COLUMNS($A554:H"&amp;"573), H553&amp;RIGHT(INDIRECT(ADDRESS(ROW(H554)-1, 'From Order'!$A554)), 1), H553))"),"ZMDTCJTVCB")</f>
        <v>ZMDTCJTVCB</v>
      </c>
      <c r="I554" s="2" t="str">
        <f>IFERROR(__xludf.DUMMYFUNCTION("IF('From Order'!$A554=COLUMNS($A554:I573), LEFT(INDEX(FILTER(I$1:I553, I$1:I553&lt;&gt;""""),COUNTA(FILTER(I$1:I553, I$1:I553&lt;&gt;""""))), LEN(INDEX(FILTER(I$1:I553, I$1:I553&lt;&gt;""""),COUNTA(FILTER(I$1:I553, I$1:I553&lt;&gt;""""))))-1), IF('To Order'!$A554=COLUMNS($A554:I"&amp;"573), I553&amp;RIGHT(INDIRECT(ADDRESS(ROW(I554)-1, 'From Order'!$A554)), 1), I553))"),"DTWRDLRTDCQMT")</f>
        <v>DTWRDLRTDCQMT</v>
      </c>
    </row>
    <row r="555">
      <c r="A555" s="2" t="str">
        <f>IFERROR(__xludf.DUMMYFUNCTION("IF('From Order'!$A555=COLUMNS($A555:A574), LEFT(INDEX(FILTER(A$1:A554, A$1:A554&lt;&gt;""""),COUNTA(FILTER(A$1:A554, A$1:A554&lt;&gt;""""))), LEN(INDEX(FILTER(A$1:A554, A$1:A554&lt;&gt;""""),COUNTA(FILTER(A$1:A554, A$1:A554&lt;&gt;""""))))-1), IF('To Order'!$A555=COLUMNS($A555:A"&amp;"574), A554&amp;RIGHT(INDIRECT(ADDRESS(ROW(A555)-1, 'From Order'!$A555)), 1), A554))"),"")</f>
        <v/>
      </c>
      <c r="B555" s="2" t="str">
        <f>IFERROR(__xludf.DUMMYFUNCTION("IF('From Order'!$A555=COLUMNS($A555:B574), LEFT(INDEX(FILTER(B$1:B554, B$1:B554&lt;&gt;""""),COUNTA(FILTER(B$1:B554, B$1:B554&lt;&gt;""""))), LEN(INDEX(FILTER(B$1:B554, B$1:B554&lt;&gt;""""),COUNTA(FILTER(B$1:B554, B$1:B554&lt;&gt;""""))))-1), IF('To Order'!$A555=COLUMNS($A555:B"&amp;"574), B554&amp;RIGHT(INDIRECT(ADDRESS(ROW(B555)-1, 'From Order'!$A555)), 1), B554))"),"JZRVPVRZHMFBBRQPDSSGHW")</f>
        <v>JZRVPVRZHMFBBRQPDSSGHW</v>
      </c>
      <c r="C555" s="2" t="str">
        <f>IFERROR(__xludf.DUMMYFUNCTION("IF('From Order'!$A555=COLUMNS($A555:C574), LEFT(INDEX(FILTER(C$1:C554, C$1:C554&lt;&gt;""""),COUNTA(FILTER(C$1:C554, C$1:C554&lt;&gt;""""))), LEN(INDEX(FILTER(C$1:C554, C$1:C554&lt;&gt;""""),COUNTA(FILTER(C$1:C554, C$1:C554&lt;&gt;""""))))-1), IF('To Order'!$A555=COLUMNS($A555:C"&amp;"574), C554&amp;RIGHT(INDIRECT(ADDRESS(ROW(C555)-1, 'From Order'!$A555)), 1), C554))"),"SF")</f>
        <v>SF</v>
      </c>
      <c r="D555" s="2" t="str">
        <f>IFERROR(__xludf.DUMMYFUNCTION("IF('From Order'!$A555=COLUMNS($A555:D574), LEFT(INDEX(FILTER(D$1:D554, D$1:D554&lt;&gt;""""),COUNTA(FILTER(D$1:D554, D$1:D554&lt;&gt;""""))), LEN(INDEX(FILTER(D$1:D554, D$1:D554&lt;&gt;""""),COUNTA(FILTER(D$1:D554, D$1:D554&lt;&gt;""""))))-1), IF('To Order'!$A555=COLUMNS($A555:D"&amp;"574), D554&amp;RIGHT(INDIRECT(ADDRESS(ROW(D555)-1, 'From Order'!$A555)), 1), D554))"),"")</f>
        <v/>
      </c>
      <c r="E555" s="2" t="str">
        <f>IFERROR(__xludf.DUMMYFUNCTION("IF('From Order'!$A555=COLUMNS($A555:E574), LEFT(INDEX(FILTER(E$1:E554, E$1:E554&lt;&gt;""""),COUNTA(FILTER(E$1:E554, E$1:E554&lt;&gt;""""))), LEN(INDEX(FILTER(E$1:E554, E$1:E554&lt;&gt;""""),COUNTA(FILTER(E$1:E554, E$1:E554&lt;&gt;""""))))-1), IF('To Order'!$A555=COLUMNS($A555:E"&amp;"574), E554&amp;RIGHT(INDIRECT(ADDRESS(ROW(E555)-1, 'From Order'!$A555)), 1), E554))"),"LBSGDTL")</f>
        <v>LBSGDTL</v>
      </c>
      <c r="F555" s="2" t="str">
        <f>IFERROR(__xludf.DUMMYFUNCTION("IF('From Order'!$A555=COLUMNS($A555:F574), LEFT(INDEX(FILTER(F$1:F554, F$1:F554&lt;&gt;""""),COUNTA(FILTER(F$1:F554, F$1:F554&lt;&gt;""""))), LEN(INDEX(FILTER(F$1:F554, F$1:F554&lt;&gt;""""),COUNTA(FILTER(F$1:F554, F$1:F554&lt;&gt;""""))))-1), IF('To Order'!$A555=COLUMNS($A555:F"&amp;"574), F554&amp;RIGHT(INDIRECT(ADDRESS(ROW(F555)-1, 'From Order'!$A555)), 1), F554))"),"J")</f>
        <v>J</v>
      </c>
      <c r="G555" s="2" t="str">
        <f>IFERROR(__xludf.DUMMYFUNCTION("IF('From Order'!$A555=COLUMNS($A555:G574), LEFT(INDEX(FILTER(G$1:G554, G$1:G554&lt;&gt;""""),COUNTA(FILTER(G$1:G554, G$1:G554&lt;&gt;""""))), LEN(INDEX(FILTER(G$1:G554, G$1:G554&lt;&gt;""""),COUNTA(FILTER(G$1:G554, G$1:G554&lt;&gt;""""))))-1), IF('To Order'!$A555=COLUMNS($A555:G"&amp;"574), G554&amp;RIGHT(INDIRECT(ADDRESS(ROW(G555)-1, 'From Order'!$A555)), 1), G554))"),"")</f>
        <v/>
      </c>
      <c r="H555" s="2" t="str">
        <f>IFERROR(__xludf.DUMMYFUNCTION("IF('From Order'!$A555=COLUMNS($A555:H574), LEFT(INDEX(FILTER(H$1:H554, H$1:H554&lt;&gt;""""),COUNTA(FILTER(H$1:H554, H$1:H554&lt;&gt;""""))), LEN(INDEX(FILTER(H$1:H554, H$1:H554&lt;&gt;""""),COUNTA(FILTER(H$1:H554, H$1:H554&lt;&gt;""""))))-1), IF('To Order'!$A555=COLUMNS($A555:H"&amp;"574), H554&amp;RIGHT(INDIRECT(ADDRESS(ROW(H555)-1, 'From Order'!$A555)), 1), H554))"),"ZMDTCJTVCBP")</f>
        <v>ZMDTCJTVCBP</v>
      </c>
      <c r="I555" s="2" t="str">
        <f>IFERROR(__xludf.DUMMYFUNCTION("IF('From Order'!$A555=COLUMNS($A555:I574), LEFT(INDEX(FILTER(I$1:I554, I$1:I554&lt;&gt;""""),COUNTA(FILTER(I$1:I554, I$1:I554&lt;&gt;""""))), LEN(INDEX(FILTER(I$1:I554, I$1:I554&lt;&gt;""""),COUNTA(FILTER(I$1:I554, I$1:I554&lt;&gt;""""))))-1), IF('To Order'!$A555=COLUMNS($A555:I"&amp;"574), I554&amp;RIGHT(INDIRECT(ADDRESS(ROW(I555)-1, 'From Order'!$A555)), 1), I554))"),"DTWRDLRTDCQMT")</f>
        <v>DTWRDLRTDCQMT</v>
      </c>
    </row>
    <row r="556">
      <c r="A556" s="2" t="str">
        <f>IFERROR(__xludf.DUMMYFUNCTION("IF('From Order'!$A556=COLUMNS($A556:A575), LEFT(INDEX(FILTER(A$1:A555, A$1:A555&lt;&gt;""""),COUNTA(FILTER(A$1:A555, A$1:A555&lt;&gt;""""))), LEN(INDEX(FILTER(A$1:A555, A$1:A555&lt;&gt;""""),COUNTA(FILTER(A$1:A555, A$1:A555&lt;&gt;""""))))-1), IF('To Order'!$A556=COLUMNS($A556:A"&amp;"575), A555&amp;RIGHT(INDIRECT(ADDRESS(ROW(A556)-1, 'From Order'!$A556)), 1), A555))"),"")</f>
        <v/>
      </c>
      <c r="B556" s="2" t="str">
        <f>IFERROR(__xludf.DUMMYFUNCTION("IF('From Order'!$A556=COLUMNS($A556:B575), LEFT(INDEX(FILTER(B$1:B555, B$1:B555&lt;&gt;""""),COUNTA(FILTER(B$1:B555, B$1:B555&lt;&gt;""""))), LEN(INDEX(FILTER(B$1:B555, B$1:B555&lt;&gt;""""),COUNTA(FILTER(B$1:B555, B$1:B555&lt;&gt;""""))))-1), IF('To Order'!$A556=COLUMNS($A556:B"&amp;"575), B555&amp;RIGHT(INDIRECT(ADDRESS(ROW(B556)-1, 'From Order'!$A556)), 1), B555))"),"JZRVPVRZHMFBBRQPDSSGH")</f>
        <v>JZRVPVRZHMFBBRQPDSSGH</v>
      </c>
      <c r="C556" s="2" t="str">
        <f>IFERROR(__xludf.DUMMYFUNCTION("IF('From Order'!$A556=COLUMNS($A556:C575), LEFT(INDEX(FILTER(C$1:C555, C$1:C555&lt;&gt;""""),COUNTA(FILTER(C$1:C555, C$1:C555&lt;&gt;""""))), LEN(INDEX(FILTER(C$1:C555, C$1:C555&lt;&gt;""""),COUNTA(FILTER(C$1:C555, C$1:C555&lt;&gt;""""))))-1), IF('To Order'!$A556=COLUMNS($A556:C"&amp;"575), C555&amp;RIGHT(INDIRECT(ADDRESS(ROW(C556)-1, 'From Order'!$A556)), 1), C555))"),"SF")</f>
        <v>SF</v>
      </c>
      <c r="D556" s="2" t="str">
        <f>IFERROR(__xludf.DUMMYFUNCTION("IF('From Order'!$A556=COLUMNS($A556:D575), LEFT(INDEX(FILTER(D$1:D555, D$1:D555&lt;&gt;""""),COUNTA(FILTER(D$1:D555, D$1:D555&lt;&gt;""""))), LEN(INDEX(FILTER(D$1:D555, D$1:D555&lt;&gt;""""),COUNTA(FILTER(D$1:D555, D$1:D555&lt;&gt;""""))))-1), IF('To Order'!$A556=COLUMNS($A556:D"&amp;"575), D555&amp;RIGHT(INDIRECT(ADDRESS(ROW(D556)-1, 'From Order'!$A556)), 1), D555))"),"")</f>
        <v/>
      </c>
      <c r="E556" s="2" t="str">
        <f>IFERROR(__xludf.DUMMYFUNCTION("IF('From Order'!$A556=COLUMNS($A556:E575), LEFT(INDEX(FILTER(E$1:E555, E$1:E555&lt;&gt;""""),COUNTA(FILTER(E$1:E555, E$1:E555&lt;&gt;""""))), LEN(INDEX(FILTER(E$1:E555, E$1:E555&lt;&gt;""""),COUNTA(FILTER(E$1:E555, E$1:E555&lt;&gt;""""))))-1), IF('To Order'!$A556=COLUMNS($A556:E"&amp;"575), E555&amp;RIGHT(INDIRECT(ADDRESS(ROW(E556)-1, 'From Order'!$A556)), 1), E555))"),"LBSGDTL")</f>
        <v>LBSGDTL</v>
      </c>
      <c r="F556" s="2" t="str">
        <f>IFERROR(__xludf.DUMMYFUNCTION("IF('From Order'!$A556=COLUMNS($A556:F575), LEFT(INDEX(FILTER(F$1:F555, F$1:F555&lt;&gt;""""),COUNTA(FILTER(F$1:F555, F$1:F555&lt;&gt;""""))), LEN(INDEX(FILTER(F$1:F555, F$1:F555&lt;&gt;""""),COUNTA(FILTER(F$1:F555, F$1:F555&lt;&gt;""""))))-1), IF('To Order'!$A556=COLUMNS($A556:F"&amp;"575), F555&amp;RIGHT(INDIRECT(ADDRESS(ROW(F556)-1, 'From Order'!$A556)), 1), F555))"),"J")</f>
        <v>J</v>
      </c>
      <c r="G556" s="2" t="str">
        <f>IFERROR(__xludf.DUMMYFUNCTION("IF('From Order'!$A556=COLUMNS($A556:G575), LEFT(INDEX(FILTER(G$1:G555, G$1:G555&lt;&gt;""""),COUNTA(FILTER(G$1:G555, G$1:G555&lt;&gt;""""))), LEN(INDEX(FILTER(G$1:G555, G$1:G555&lt;&gt;""""),COUNTA(FILTER(G$1:G555, G$1:G555&lt;&gt;""""))))-1), IF('To Order'!$A556=COLUMNS($A556:G"&amp;"575), G555&amp;RIGHT(INDIRECT(ADDRESS(ROW(G556)-1, 'From Order'!$A556)), 1), G555))"),"")</f>
        <v/>
      </c>
      <c r="H556" s="2" t="str">
        <f>IFERROR(__xludf.DUMMYFUNCTION("IF('From Order'!$A556=COLUMNS($A556:H575), LEFT(INDEX(FILTER(H$1:H555, H$1:H555&lt;&gt;""""),COUNTA(FILTER(H$1:H555, H$1:H555&lt;&gt;""""))), LEN(INDEX(FILTER(H$1:H555, H$1:H555&lt;&gt;""""),COUNTA(FILTER(H$1:H555, H$1:H555&lt;&gt;""""))))-1), IF('To Order'!$A556=COLUMNS($A556:H"&amp;"575), H555&amp;RIGHT(INDIRECT(ADDRESS(ROW(H556)-1, 'From Order'!$A556)), 1), H555))"),"ZMDTCJTVCBPW")</f>
        <v>ZMDTCJTVCBPW</v>
      </c>
      <c r="I556" s="2" t="str">
        <f>IFERROR(__xludf.DUMMYFUNCTION("IF('From Order'!$A556=COLUMNS($A556:I575), LEFT(INDEX(FILTER(I$1:I555, I$1:I555&lt;&gt;""""),COUNTA(FILTER(I$1:I555, I$1:I555&lt;&gt;""""))), LEN(INDEX(FILTER(I$1:I555, I$1:I555&lt;&gt;""""),COUNTA(FILTER(I$1:I555, I$1:I555&lt;&gt;""""))))-1), IF('To Order'!$A556=COLUMNS($A556:I"&amp;"575), I555&amp;RIGHT(INDIRECT(ADDRESS(ROW(I556)-1, 'From Order'!$A556)), 1), I555))"),"DTWRDLRTDCQMT")</f>
        <v>DTWRDLRTDCQMT</v>
      </c>
    </row>
    <row r="557">
      <c r="A557" s="2" t="str">
        <f>IFERROR(__xludf.DUMMYFUNCTION("IF('From Order'!$A557=COLUMNS($A557:A576), LEFT(INDEX(FILTER(A$1:A556, A$1:A556&lt;&gt;""""),COUNTA(FILTER(A$1:A556, A$1:A556&lt;&gt;""""))), LEN(INDEX(FILTER(A$1:A556, A$1:A556&lt;&gt;""""),COUNTA(FILTER(A$1:A556, A$1:A556&lt;&gt;""""))))-1), IF('To Order'!$A557=COLUMNS($A557:A"&amp;"576), A556&amp;RIGHT(INDIRECT(ADDRESS(ROW(A557)-1, 'From Order'!$A557)), 1), A556))"),"")</f>
        <v/>
      </c>
      <c r="B557" s="2" t="str">
        <f>IFERROR(__xludf.DUMMYFUNCTION("IF('From Order'!$A557=COLUMNS($A557:B576), LEFT(INDEX(FILTER(B$1:B556, B$1:B556&lt;&gt;""""),COUNTA(FILTER(B$1:B556, B$1:B556&lt;&gt;""""))), LEN(INDEX(FILTER(B$1:B556, B$1:B556&lt;&gt;""""),COUNTA(FILTER(B$1:B556, B$1:B556&lt;&gt;""""))))-1), IF('To Order'!$A557=COLUMNS($A557:B"&amp;"576), B556&amp;RIGHT(INDIRECT(ADDRESS(ROW(B557)-1, 'From Order'!$A557)), 1), B556))"),"JZRVPVRZHMFBBRQPDSSG")</f>
        <v>JZRVPVRZHMFBBRQPDSSG</v>
      </c>
      <c r="C557" s="2" t="str">
        <f>IFERROR(__xludf.DUMMYFUNCTION("IF('From Order'!$A557=COLUMNS($A557:C576), LEFT(INDEX(FILTER(C$1:C556, C$1:C556&lt;&gt;""""),COUNTA(FILTER(C$1:C556, C$1:C556&lt;&gt;""""))), LEN(INDEX(FILTER(C$1:C556, C$1:C556&lt;&gt;""""),COUNTA(FILTER(C$1:C556, C$1:C556&lt;&gt;""""))))-1), IF('To Order'!$A557=COLUMNS($A557:C"&amp;"576), C556&amp;RIGHT(INDIRECT(ADDRESS(ROW(C557)-1, 'From Order'!$A557)), 1), C556))"),"SF")</f>
        <v>SF</v>
      </c>
      <c r="D557" s="2" t="str">
        <f>IFERROR(__xludf.DUMMYFUNCTION("IF('From Order'!$A557=COLUMNS($A557:D576), LEFT(INDEX(FILTER(D$1:D556, D$1:D556&lt;&gt;""""),COUNTA(FILTER(D$1:D556, D$1:D556&lt;&gt;""""))), LEN(INDEX(FILTER(D$1:D556, D$1:D556&lt;&gt;""""),COUNTA(FILTER(D$1:D556, D$1:D556&lt;&gt;""""))))-1), IF('To Order'!$A557=COLUMNS($A557:D"&amp;"576), D556&amp;RIGHT(INDIRECT(ADDRESS(ROW(D557)-1, 'From Order'!$A557)), 1), D556))"),"")</f>
        <v/>
      </c>
      <c r="E557" s="2" t="str">
        <f>IFERROR(__xludf.DUMMYFUNCTION("IF('From Order'!$A557=COLUMNS($A557:E576), LEFT(INDEX(FILTER(E$1:E556, E$1:E556&lt;&gt;""""),COUNTA(FILTER(E$1:E556, E$1:E556&lt;&gt;""""))), LEN(INDEX(FILTER(E$1:E556, E$1:E556&lt;&gt;""""),COUNTA(FILTER(E$1:E556, E$1:E556&lt;&gt;""""))))-1), IF('To Order'!$A557=COLUMNS($A557:E"&amp;"576), E556&amp;RIGHT(INDIRECT(ADDRESS(ROW(E557)-1, 'From Order'!$A557)), 1), E556))"),"LBSGDTL")</f>
        <v>LBSGDTL</v>
      </c>
      <c r="F557" s="2" t="str">
        <f>IFERROR(__xludf.DUMMYFUNCTION("IF('From Order'!$A557=COLUMNS($A557:F576), LEFT(INDEX(FILTER(F$1:F556, F$1:F556&lt;&gt;""""),COUNTA(FILTER(F$1:F556, F$1:F556&lt;&gt;""""))), LEN(INDEX(FILTER(F$1:F556, F$1:F556&lt;&gt;""""),COUNTA(FILTER(F$1:F556, F$1:F556&lt;&gt;""""))))-1), IF('To Order'!$A557=COLUMNS($A557:F"&amp;"576), F556&amp;RIGHT(INDIRECT(ADDRESS(ROW(F557)-1, 'From Order'!$A557)), 1), F556))"),"J")</f>
        <v>J</v>
      </c>
      <c r="G557" s="2" t="str">
        <f>IFERROR(__xludf.DUMMYFUNCTION("IF('From Order'!$A557=COLUMNS($A557:G576), LEFT(INDEX(FILTER(G$1:G556, G$1:G556&lt;&gt;""""),COUNTA(FILTER(G$1:G556, G$1:G556&lt;&gt;""""))), LEN(INDEX(FILTER(G$1:G556, G$1:G556&lt;&gt;""""),COUNTA(FILTER(G$1:G556, G$1:G556&lt;&gt;""""))))-1), IF('To Order'!$A557=COLUMNS($A557:G"&amp;"576), G556&amp;RIGHT(INDIRECT(ADDRESS(ROW(G557)-1, 'From Order'!$A557)), 1), G556))"),"")</f>
        <v/>
      </c>
      <c r="H557" s="2" t="str">
        <f>IFERROR(__xludf.DUMMYFUNCTION("IF('From Order'!$A557=COLUMNS($A557:H576), LEFT(INDEX(FILTER(H$1:H556, H$1:H556&lt;&gt;""""),COUNTA(FILTER(H$1:H556, H$1:H556&lt;&gt;""""))), LEN(INDEX(FILTER(H$1:H556, H$1:H556&lt;&gt;""""),COUNTA(FILTER(H$1:H556, H$1:H556&lt;&gt;""""))))-1), IF('To Order'!$A557=COLUMNS($A557:H"&amp;"576), H556&amp;RIGHT(INDIRECT(ADDRESS(ROW(H557)-1, 'From Order'!$A557)), 1), H556))"),"ZMDTCJTVCBPWH")</f>
        <v>ZMDTCJTVCBPWH</v>
      </c>
      <c r="I557" s="2" t="str">
        <f>IFERROR(__xludf.DUMMYFUNCTION("IF('From Order'!$A557=COLUMNS($A557:I576), LEFT(INDEX(FILTER(I$1:I556, I$1:I556&lt;&gt;""""),COUNTA(FILTER(I$1:I556, I$1:I556&lt;&gt;""""))), LEN(INDEX(FILTER(I$1:I556, I$1:I556&lt;&gt;""""),COUNTA(FILTER(I$1:I556, I$1:I556&lt;&gt;""""))))-1), IF('To Order'!$A557=COLUMNS($A557:I"&amp;"576), I556&amp;RIGHT(INDIRECT(ADDRESS(ROW(I557)-1, 'From Order'!$A557)), 1), I556))"),"DTWRDLRTDCQMT")</f>
        <v>DTWRDLRTDCQMT</v>
      </c>
    </row>
    <row r="558">
      <c r="A558" s="2" t="str">
        <f>IFERROR(__xludf.DUMMYFUNCTION("IF('From Order'!$A558=COLUMNS($A558:A577), LEFT(INDEX(FILTER(A$1:A557, A$1:A557&lt;&gt;""""),COUNTA(FILTER(A$1:A557, A$1:A557&lt;&gt;""""))), LEN(INDEX(FILTER(A$1:A557, A$1:A557&lt;&gt;""""),COUNTA(FILTER(A$1:A557, A$1:A557&lt;&gt;""""))))-1), IF('To Order'!$A558=COLUMNS($A558:A"&amp;"577), A557&amp;RIGHT(INDIRECT(ADDRESS(ROW(A558)-1, 'From Order'!$A558)), 1), A557))"),"")</f>
        <v/>
      </c>
      <c r="B558" s="2" t="str">
        <f>IFERROR(__xludf.DUMMYFUNCTION("IF('From Order'!$A558=COLUMNS($A558:B577), LEFT(INDEX(FILTER(B$1:B557, B$1:B557&lt;&gt;""""),COUNTA(FILTER(B$1:B557, B$1:B557&lt;&gt;""""))), LEN(INDEX(FILTER(B$1:B557, B$1:B557&lt;&gt;""""),COUNTA(FILTER(B$1:B557, B$1:B557&lt;&gt;""""))))-1), IF('To Order'!$A558=COLUMNS($A558:B"&amp;"577), B557&amp;RIGHT(INDIRECT(ADDRESS(ROW(B558)-1, 'From Order'!$A558)), 1), B557))"),"JZRVPVRZHMFBBRQPDSS")</f>
        <v>JZRVPVRZHMFBBRQPDSS</v>
      </c>
      <c r="C558" s="2" t="str">
        <f>IFERROR(__xludf.DUMMYFUNCTION("IF('From Order'!$A558=COLUMNS($A558:C577), LEFT(INDEX(FILTER(C$1:C557, C$1:C557&lt;&gt;""""),COUNTA(FILTER(C$1:C557, C$1:C557&lt;&gt;""""))), LEN(INDEX(FILTER(C$1:C557, C$1:C557&lt;&gt;""""),COUNTA(FILTER(C$1:C557, C$1:C557&lt;&gt;""""))))-1), IF('To Order'!$A558=COLUMNS($A558:C"&amp;"577), C557&amp;RIGHT(INDIRECT(ADDRESS(ROW(C558)-1, 'From Order'!$A558)), 1), C557))"),"SF")</f>
        <v>SF</v>
      </c>
      <c r="D558" s="2" t="str">
        <f>IFERROR(__xludf.DUMMYFUNCTION("IF('From Order'!$A558=COLUMNS($A558:D577), LEFT(INDEX(FILTER(D$1:D557, D$1:D557&lt;&gt;""""),COUNTA(FILTER(D$1:D557, D$1:D557&lt;&gt;""""))), LEN(INDEX(FILTER(D$1:D557, D$1:D557&lt;&gt;""""),COUNTA(FILTER(D$1:D557, D$1:D557&lt;&gt;""""))))-1), IF('To Order'!$A558=COLUMNS($A558:D"&amp;"577), D557&amp;RIGHT(INDIRECT(ADDRESS(ROW(D558)-1, 'From Order'!$A558)), 1), D557))"),"")</f>
        <v/>
      </c>
      <c r="E558" s="2" t="str">
        <f>IFERROR(__xludf.DUMMYFUNCTION("IF('From Order'!$A558=COLUMNS($A558:E577), LEFT(INDEX(FILTER(E$1:E557, E$1:E557&lt;&gt;""""),COUNTA(FILTER(E$1:E557, E$1:E557&lt;&gt;""""))), LEN(INDEX(FILTER(E$1:E557, E$1:E557&lt;&gt;""""),COUNTA(FILTER(E$1:E557, E$1:E557&lt;&gt;""""))))-1), IF('To Order'!$A558=COLUMNS($A558:E"&amp;"577), E557&amp;RIGHT(INDIRECT(ADDRESS(ROW(E558)-1, 'From Order'!$A558)), 1), E557))"),"LBSGDTL")</f>
        <v>LBSGDTL</v>
      </c>
      <c r="F558" s="2" t="str">
        <f>IFERROR(__xludf.DUMMYFUNCTION("IF('From Order'!$A558=COLUMNS($A558:F577), LEFT(INDEX(FILTER(F$1:F557, F$1:F557&lt;&gt;""""),COUNTA(FILTER(F$1:F557, F$1:F557&lt;&gt;""""))), LEN(INDEX(FILTER(F$1:F557, F$1:F557&lt;&gt;""""),COUNTA(FILTER(F$1:F557, F$1:F557&lt;&gt;""""))))-1), IF('To Order'!$A558=COLUMNS($A558:F"&amp;"577), F557&amp;RIGHT(INDIRECT(ADDRESS(ROW(F558)-1, 'From Order'!$A558)), 1), F557))"),"J")</f>
        <v>J</v>
      </c>
      <c r="G558" s="2" t="str">
        <f>IFERROR(__xludf.DUMMYFUNCTION("IF('From Order'!$A558=COLUMNS($A558:G577), LEFT(INDEX(FILTER(G$1:G557, G$1:G557&lt;&gt;""""),COUNTA(FILTER(G$1:G557, G$1:G557&lt;&gt;""""))), LEN(INDEX(FILTER(G$1:G557, G$1:G557&lt;&gt;""""),COUNTA(FILTER(G$1:G557, G$1:G557&lt;&gt;""""))))-1), IF('To Order'!$A558=COLUMNS($A558:G"&amp;"577), G557&amp;RIGHT(INDIRECT(ADDRESS(ROW(G558)-1, 'From Order'!$A558)), 1), G557))"),"")</f>
        <v/>
      </c>
      <c r="H558" s="2" t="str">
        <f>IFERROR(__xludf.DUMMYFUNCTION("IF('From Order'!$A558=COLUMNS($A558:H577), LEFT(INDEX(FILTER(H$1:H557, H$1:H557&lt;&gt;""""),COUNTA(FILTER(H$1:H557, H$1:H557&lt;&gt;""""))), LEN(INDEX(FILTER(H$1:H557, H$1:H557&lt;&gt;""""),COUNTA(FILTER(H$1:H557, H$1:H557&lt;&gt;""""))))-1), IF('To Order'!$A558=COLUMNS($A558:H"&amp;"577), H557&amp;RIGHT(INDIRECT(ADDRESS(ROW(H558)-1, 'From Order'!$A558)), 1), H557))"),"ZMDTCJTVCBPWHG")</f>
        <v>ZMDTCJTVCBPWHG</v>
      </c>
      <c r="I558" s="2" t="str">
        <f>IFERROR(__xludf.DUMMYFUNCTION("IF('From Order'!$A558=COLUMNS($A558:I577), LEFT(INDEX(FILTER(I$1:I557, I$1:I557&lt;&gt;""""),COUNTA(FILTER(I$1:I557, I$1:I557&lt;&gt;""""))), LEN(INDEX(FILTER(I$1:I557, I$1:I557&lt;&gt;""""),COUNTA(FILTER(I$1:I557, I$1:I557&lt;&gt;""""))))-1), IF('To Order'!$A558=COLUMNS($A558:I"&amp;"577), I557&amp;RIGHT(INDIRECT(ADDRESS(ROW(I558)-1, 'From Order'!$A558)), 1), I557))"),"DTWRDLRTDCQMT")</f>
        <v>DTWRDLRTDCQMT</v>
      </c>
    </row>
    <row r="559">
      <c r="A559" s="2" t="str">
        <f>IFERROR(__xludf.DUMMYFUNCTION("IF('From Order'!$A559=COLUMNS($A559:A578), LEFT(INDEX(FILTER(A$1:A558, A$1:A558&lt;&gt;""""),COUNTA(FILTER(A$1:A558, A$1:A558&lt;&gt;""""))), LEN(INDEX(FILTER(A$1:A558, A$1:A558&lt;&gt;""""),COUNTA(FILTER(A$1:A558, A$1:A558&lt;&gt;""""))))-1), IF('To Order'!$A559=COLUMNS($A559:A"&amp;"578), A558&amp;RIGHT(INDIRECT(ADDRESS(ROW(A559)-1, 'From Order'!$A559)), 1), A558))"),"")</f>
        <v/>
      </c>
      <c r="B559" s="2" t="str">
        <f>IFERROR(__xludf.DUMMYFUNCTION("IF('From Order'!$A559=COLUMNS($A559:B578), LEFT(INDEX(FILTER(B$1:B558, B$1:B558&lt;&gt;""""),COUNTA(FILTER(B$1:B558, B$1:B558&lt;&gt;""""))), LEN(INDEX(FILTER(B$1:B558, B$1:B558&lt;&gt;""""),COUNTA(FILTER(B$1:B558, B$1:B558&lt;&gt;""""))))-1), IF('To Order'!$A559=COLUMNS($A559:B"&amp;"578), B558&amp;RIGHT(INDIRECT(ADDRESS(ROW(B559)-1, 'From Order'!$A559)), 1), B558))"),"JZRVPVRZHMFBBRQPDS")</f>
        <v>JZRVPVRZHMFBBRQPDS</v>
      </c>
      <c r="C559" s="2" t="str">
        <f>IFERROR(__xludf.DUMMYFUNCTION("IF('From Order'!$A559=COLUMNS($A559:C578), LEFT(INDEX(FILTER(C$1:C558, C$1:C558&lt;&gt;""""),COUNTA(FILTER(C$1:C558, C$1:C558&lt;&gt;""""))), LEN(INDEX(FILTER(C$1:C558, C$1:C558&lt;&gt;""""),COUNTA(FILTER(C$1:C558, C$1:C558&lt;&gt;""""))))-1), IF('To Order'!$A559=COLUMNS($A559:C"&amp;"578), C558&amp;RIGHT(INDIRECT(ADDRESS(ROW(C559)-1, 'From Order'!$A559)), 1), C558))"),"SF")</f>
        <v>SF</v>
      </c>
      <c r="D559" s="2" t="str">
        <f>IFERROR(__xludf.DUMMYFUNCTION("IF('From Order'!$A559=COLUMNS($A559:D578), LEFT(INDEX(FILTER(D$1:D558, D$1:D558&lt;&gt;""""),COUNTA(FILTER(D$1:D558, D$1:D558&lt;&gt;""""))), LEN(INDEX(FILTER(D$1:D558, D$1:D558&lt;&gt;""""),COUNTA(FILTER(D$1:D558, D$1:D558&lt;&gt;""""))))-1), IF('To Order'!$A559=COLUMNS($A559:D"&amp;"578), D558&amp;RIGHT(INDIRECT(ADDRESS(ROW(D559)-1, 'From Order'!$A559)), 1), D558))"),"")</f>
        <v/>
      </c>
      <c r="E559" s="2" t="str">
        <f>IFERROR(__xludf.DUMMYFUNCTION("IF('From Order'!$A559=COLUMNS($A559:E578), LEFT(INDEX(FILTER(E$1:E558, E$1:E558&lt;&gt;""""),COUNTA(FILTER(E$1:E558, E$1:E558&lt;&gt;""""))), LEN(INDEX(FILTER(E$1:E558, E$1:E558&lt;&gt;""""),COUNTA(FILTER(E$1:E558, E$1:E558&lt;&gt;""""))))-1), IF('To Order'!$A559=COLUMNS($A559:E"&amp;"578), E558&amp;RIGHT(INDIRECT(ADDRESS(ROW(E559)-1, 'From Order'!$A559)), 1), E558))"),"LBSGDTL")</f>
        <v>LBSGDTL</v>
      </c>
      <c r="F559" s="2" t="str">
        <f>IFERROR(__xludf.DUMMYFUNCTION("IF('From Order'!$A559=COLUMNS($A559:F578), LEFT(INDEX(FILTER(F$1:F558, F$1:F558&lt;&gt;""""),COUNTA(FILTER(F$1:F558, F$1:F558&lt;&gt;""""))), LEN(INDEX(FILTER(F$1:F558, F$1:F558&lt;&gt;""""),COUNTA(FILTER(F$1:F558, F$1:F558&lt;&gt;""""))))-1), IF('To Order'!$A559=COLUMNS($A559:F"&amp;"578), F558&amp;RIGHT(INDIRECT(ADDRESS(ROW(F559)-1, 'From Order'!$A559)), 1), F558))"),"J")</f>
        <v>J</v>
      </c>
      <c r="G559" s="2" t="str">
        <f>IFERROR(__xludf.DUMMYFUNCTION("IF('From Order'!$A559=COLUMNS($A559:G578), LEFT(INDEX(FILTER(G$1:G558, G$1:G558&lt;&gt;""""),COUNTA(FILTER(G$1:G558, G$1:G558&lt;&gt;""""))), LEN(INDEX(FILTER(G$1:G558, G$1:G558&lt;&gt;""""),COUNTA(FILTER(G$1:G558, G$1:G558&lt;&gt;""""))))-1), IF('To Order'!$A559=COLUMNS($A559:G"&amp;"578), G558&amp;RIGHT(INDIRECT(ADDRESS(ROW(G559)-1, 'From Order'!$A559)), 1), G558))"),"")</f>
        <v/>
      </c>
      <c r="H559" s="2" t="str">
        <f>IFERROR(__xludf.DUMMYFUNCTION("IF('From Order'!$A559=COLUMNS($A559:H578), LEFT(INDEX(FILTER(H$1:H558, H$1:H558&lt;&gt;""""),COUNTA(FILTER(H$1:H558, H$1:H558&lt;&gt;""""))), LEN(INDEX(FILTER(H$1:H558, H$1:H558&lt;&gt;""""),COUNTA(FILTER(H$1:H558, H$1:H558&lt;&gt;""""))))-1), IF('To Order'!$A559=COLUMNS($A559:H"&amp;"578), H558&amp;RIGHT(INDIRECT(ADDRESS(ROW(H559)-1, 'From Order'!$A559)), 1), H558))"),"ZMDTCJTVCBPWHGS")</f>
        <v>ZMDTCJTVCBPWHGS</v>
      </c>
      <c r="I559" s="2" t="str">
        <f>IFERROR(__xludf.DUMMYFUNCTION("IF('From Order'!$A559=COLUMNS($A559:I578), LEFT(INDEX(FILTER(I$1:I558, I$1:I558&lt;&gt;""""),COUNTA(FILTER(I$1:I558, I$1:I558&lt;&gt;""""))), LEN(INDEX(FILTER(I$1:I558, I$1:I558&lt;&gt;""""),COUNTA(FILTER(I$1:I558, I$1:I558&lt;&gt;""""))))-1), IF('To Order'!$A559=COLUMNS($A559:I"&amp;"578), I558&amp;RIGHT(INDIRECT(ADDRESS(ROW(I559)-1, 'From Order'!$A559)), 1), I558))"),"DTWRDLRTDCQMT")</f>
        <v>DTWRDLRTDCQMT</v>
      </c>
    </row>
    <row r="560">
      <c r="A560" s="2" t="str">
        <f>IFERROR(__xludf.DUMMYFUNCTION("IF('From Order'!$A560=COLUMNS($A560:A579), LEFT(INDEX(FILTER(A$1:A559, A$1:A559&lt;&gt;""""),COUNTA(FILTER(A$1:A559, A$1:A559&lt;&gt;""""))), LEN(INDEX(FILTER(A$1:A559, A$1:A559&lt;&gt;""""),COUNTA(FILTER(A$1:A559, A$1:A559&lt;&gt;""""))))-1), IF('To Order'!$A560=COLUMNS($A560:A"&amp;"579), A559&amp;RIGHT(INDIRECT(ADDRESS(ROW(A560)-1, 'From Order'!$A560)), 1), A559))"),"")</f>
        <v/>
      </c>
      <c r="B560" s="2" t="str">
        <f>IFERROR(__xludf.DUMMYFUNCTION("IF('From Order'!$A560=COLUMNS($A560:B579), LEFT(INDEX(FILTER(B$1:B559, B$1:B559&lt;&gt;""""),COUNTA(FILTER(B$1:B559, B$1:B559&lt;&gt;""""))), LEN(INDEX(FILTER(B$1:B559, B$1:B559&lt;&gt;""""),COUNTA(FILTER(B$1:B559, B$1:B559&lt;&gt;""""))))-1), IF('To Order'!$A560=COLUMNS($A560:B"&amp;"579), B559&amp;RIGHT(INDIRECT(ADDRESS(ROW(B560)-1, 'From Order'!$A560)), 1), B559))"),"JZRVPVRZHMFBBRQPD")</f>
        <v>JZRVPVRZHMFBBRQPD</v>
      </c>
      <c r="C560" s="2" t="str">
        <f>IFERROR(__xludf.DUMMYFUNCTION("IF('From Order'!$A560=COLUMNS($A560:C579), LEFT(INDEX(FILTER(C$1:C559, C$1:C559&lt;&gt;""""),COUNTA(FILTER(C$1:C559, C$1:C559&lt;&gt;""""))), LEN(INDEX(FILTER(C$1:C559, C$1:C559&lt;&gt;""""),COUNTA(FILTER(C$1:C559, C$1:C559&lt;&gt;""""))))-1), IF('To Order'!$A560=COLUMNS($A560:C"&amp;"579), C559&amp;RIGHT(INDIRECT(ADDRESS(ROW(C560)-1, 'From Order'!$A560)), 1), C559))"),"SF")</f>
        <v>SF</v>
      </c>
      <c r="D560" s="2" t="str">
        <f>IFERROR(__xludf.DUMMYFUNCTION("IF('From Order'!$A560=COLUMNS($A560:D579), LEFT(INDEX(FILTER(D$1:D559, D$1:D559&lt;&gt;""""),COUNTA(FILTER(D$1:D559, D$1:D559&lt;&gt;""""))), LEN(INDEX(FILTER(D$1:D559, D$1:D559&lt;&gt;""""),COUNTA(FILTER(D$1:D559, D$1:D559&lt;&gt;""""))))-1), IF('To Order'!$A560=COLUMNS($A560:D"&amp;"579), D559&amp;RIGHT(INDIRECT(ADDRESS(ROW(D560)-1, 'From Order'!$A560)), 1), D559))"),"")</f>
        <v/>
      </c>
      <c r="E560" s="2" t="str">
        <f>IFERROR(__xludf.DUMMYFUNCTION("IF('From Order'!$A560=COLUMNS($A560:E579), LEFT(INDEX(FILTER(E$1:E559, E$1:E559&lt;&gt;""""),COUNTA(FILTER(E$1:E559, E$1:E559&lt;&gt;""""))), LEN(INDEX(FILTER(E$1:E559, E$1:E559&lt;&gt;""""),COUNTA(FILTER(E$1:E559, E$1:E559&lt;&gt;""""))))-1), IF('To Order'!$A560=COLUMNS($A560:E"&amp;"579), E559&amp;RIGHT(INDIRECT(ADDRESS(ROW(E560)-1, 'From Order'!$A560)), 1), E559))"),"LBSGDTL")</f>
        <v>LBSGDTL</v>
      </c>
      <c r="F560" s="2" t="str">
        <f>IFERROR(__xludf.DUMMYFUNCTION("IF('From Order'!$A560=COLUMNS($A560:F579), LEFT(INDEX(FILTER(F$1:F559, F$1:F559&lt;&gt;""""),COUNTA(FILTER(F$1:F559, F$1:F559&lt;&gt;""""))), LEN(INDEX(FILTER(F$1:F559, F$1:F559&lt;&gt;""""),COUNTA(FILTER(F$1:F559, F$1:F559&lt;&gt;""""))))-1), IF('To Order'!$A560=COLUMNS($A560:F"&amp;"579), F559&amp;RIGHT(INDIRECT(ADDRESS(ROW(F560)-1, 'From Order'!$A560)), 1), F559))"),"J")</f>
        <v>J</v>
      </c>
      <c r="G560" s="2" t="str">
        <f>IFERROR(__xludf.DUMMYFUNCTION("IF('From Order'!$A560=COLUMNS($A560:G579), LEFT(INDEX(FILTER(G$1:G559, G$1:G559&lt;&gt;""""),COUNTA(FILTER(G$1:G559, G$1:G559&lt;&gt;""""))), LEN(INDEX(FILTER(G$1:G559, G$1:G559&lt;&gt;""""),COUNTA(FILTER(G$1:G559, G$1:G559&lt;&gt;""""))))-1), IF('To Order'!$A560=COLUMNS($A560:G"&amp;"579), G559&amp;RIGHT(INDIRECT(ADDRESS(ROW(G560)-1, 'From Order'!$A560)), 1), G559))"),"")</f>
        <v/>
      </c>
      <c r="H560" s="2" t="str">
        <f>IFERROR(__xludf.DUMMYFUNCTION("IF('From Order'!$A560=COLUMNS($A560:H579), LEFT(INDEX(FILTER(H$1:H559, H$1:H559&lt;&gt;""""),COUNTA(FILTER(H$1:H559, H$1:H559&lt;&gt;""""))), LEN(INDEX(FILTER(H$1:H559, H$1:H559&lt;&gt;""""),COUNTA(FILTER(H$1:H559, H$1:H559&lt;&gt;""""))))-1), IF('To Order'!$A560=COLUMNS($A560:H"&amp;"579), H559&amp;RIGHT(INDIRECT(ADDRESS(ROW(H560)-1, 'From Order'!$A560)), 1), H559))"),"ZMDTCJTVCBPWHGSS")</f>
        <v>ZMDTCJTVCBPWHGSS</v>
      </c>
      <c r="I560" s="2" t="str">
        <f>IFERROR(__xludf.DUMMYFUNCTION("IF('From Order'!$A560=COLUMNS($A560:I579), LEFT(INDEX(FILTER(I$1:I559, I$1:I559&lt;&gt;""""),COUNTA(FILTER(I$1:I559, I$1:I559&lt;&gt;""""))), LEN(INDEX(FILTER(I$1:I559, I$1:I559&lt;&gt;""""),COUNTA(FILTER(I$1:I559, I$1:I559&lt;&gt;""""))))-1), IF('To Order'!$A560=COLUMNS($A560:I"&amp;"579), I559&amp;RIGHT(INDIRECT(ADDRESS(ROW(I560)-1, 'From Order'!$A560)), 1), I559))"),"DTWRDLRTDCQMT")</f>
        <v>DTWRDLRTDCQMT</v>
      </c>
    </row>
    <row r="561">
      <c r="A561" s="2" t="str">
        <f>IFERROR(__xludf.DUMMYFUNCTION("IF('From Order'!$A561=COLUMNS($A561:A580), LEFT(INDEX(FILTER(A$1:A560, A$1:A560&lt;&gt;""""),COUNTA(FILTER(A$1:A560, A$1:A560&lt;&gt;""""))), LEN(INDEX(FILTER(A$1:A560, A$1:A560&lt;&gt;""""),COUNTA(FILTER(A$1:A560, A$1:A560&lt;&gt;""""))))-1), IF('To Order'!$A561=COLUMNS($A561:A"&amp;"580), A560&amp;RIGHT(INDIRECT(ADDRESS(ROW(A561)-1, 'From Order'!$A561)), 1), A560))"),"")</f>
        <v/>
      </c>
      <c r="B561" s="2" t="str">
        <f>IFERROR(__xludf.DUMMYFUNCTION("IF('From Order'!$A561=COLUMNS($A561:B580), LEFT(INDEX(FILTER(B$1:B560, B$1:B560&lt;&gt;""""),COUNTA(FILTER(B$1:B560, B$1:B560&lt;&gt;""""))), LEN(INDEX(FILTER(B$1:B560, B$1:B560&lt;&gt;""""),COUNTA(FILTER(B$1:B560, B$1:B560&lt;&gt;""""))))-1), IF('To Order'!$A561=COLUMNS($A561:B"&amp;"580), B560&amp;RIGHT(INDIRECT(ADDRESS(ROW(B561)-1, 'From Order'!$A561)), 1), B560))"),"JZRVPVRZHMFBBRQP")</f>
        <v>JZRVPVRZHMFBBRQP</v>
      </c>
      <c r="C561" s="2" t="str">
        <f>IFERROR(__xludf.DUMMYFUNCTION("IF('From Order'!$A561=COLUMNS($A561:C580), LEFT(INDEX(FILTER(C$1:C560, C$1:C560&lt;&gt;""""),COUNTA(FILTER(C$1:C560, C$1:C560&lt;&gt;""""))), LEN(INDEX(FILTER(C$1:C560, C$1:C560&lt;&gt;""""),COUNTA(FILTER(C$1:C560, C$1:C560&lt;&gt;""""))))-1), IF('To Order'!$A561=COLUMNS($A561:C"&amp;"580), C560&amp;RIGHT(INDIRECT(ADDRESS(ROW(C561)-1, 'From Order'!$A561)), 1), C560))"),"SF")</f>
        <v>SF</v>
      </c>
      <c r="D561" s="2" t="str">
        <f>IFERROR(__xludf.DUMMYFUNCTION("IF('From Order'!$A561=COLUMNS($A561:D580), LEFT(INDEX(FILTER(D$1:D560, D$1:D560&lt;&gt;""""),COUNTA(FILTER(D$1:D560, D$1:D560&lt;&gt;""""))), LEN(INDEX(FILTER(D$1:D560, D$1:D560&lt;&gt;""""),COUNTA(FILTER(D$1:D560, D$1:D560&lt;&gt;""""))))-1), IF('To Order'!$A561=COLUMNS($A561:D"&amp;"580), D560&amp;RIGHT(INDIRECT(ADDRESS(ROW(D561)-1, 'From Order'!$A561)), 1), D560))"),"")</f>
        <v/>
      </c>
      <c r="E561" s="2" t="str">
        <f>IFERROR(__xludf.DUMMYFUNCTION("IF('From Order'!$A561=COLUMNS($A561:E580), LEFT(INDEX(FILTER(E$1:E560, E$1:E560&lt;&gt;""""),COUNTA(FILTER(E$1:E560, E$1:E560&lt;&gt;""""))), LEN(INDEX(FILTER(E$1:E560, E$1:E560&lt;&gt;""""),COUNTA(FILTER(E$1:E560, E$1:E560&lt;&gt;""""))))-1), IF('To Order'!$A561=COLUMNS($A561:E"&amp;"580), E560&amp;RIGHT(INDIRECT(ADDRESS(ROW(E561)-1, 'From Order'!$A561)), 1), E560))"),"LBSGDTL")</f>
        <v>LBSGDTL</v>
      </c>
      <c r="F561" s="2" t="str">
        <f>IFERROR(__xludf.DUMMYFUNCTION("IF('From Order'!$A561=COLUMNS($A561:F580), LEFT(INDEX(FILTER(F$1:F560, F$1:F560&lt;&gt;""""),COUNTA(FILTER(F$1:F560, F$1:F560&lt;&gt;""""))), LEN(INDEX(FILTER(F$1:F560, F$1:F560&lt;&gt;""""),COUNTA(FILTER(F$1:F560, F$1:F560&lt;&gt;""""))))-1), IF('To Order'!$A561=COLUMNS($A561:F"&amp;"580), F560&amp;RIGHT(INDIRECT(ADDRESS(ROW(F561)-1, 'From Order'!$A561)), 1), F560))"),"J")</f>
        <v>J</v>
      </c>
      <c r="G561" s="2" t="str">
        <f>IFERROR(__xludf.DUMMYFUNCTION("IF('From Order'!$A561=COLUMNS($A561:G580), LEFT(INDEX(FILTER(G$1:G560, G$1:G560&lt;&gt;""""),COUNTA(FILTER(G$1:G560, G$1:G560&lt;&gt;""""))), LEN(INDEX(FILTER(G$1:G560, G$1:G560&lt;&gt;""""),COUNTA(FILTER(G$1:G560, G$1:G560&lt;&gt;""""))))-1), IF('To Order'!$A561=COLUMNS($A561:G"&amp;"580), G560&amp;RIGHT(INDIRECT(ADDRESS(ROW(G561)-1, 'From Order'!$A561)), 1), G560))"),"")</f>
        <v/>
      </c>
      <c r="H561" s="2" t="str">
        <f>IFERROR(__xludf.DUMMYFUNCTION("IF('From Order'!$A561=COLUMNS($A561:H580), LEFT(INDEX(FILTER(H$1:H560, H$1:H560&lt;&gt;""""),COUNTA(FILTER(H$1:H560, H$1:H560&lt;&gt;""""))), LEN(INDEX(FILTER(H$1:H560, H$1:H560&lt;&gt;""""),COUNTA(FILTER(H$1:H560, H$1:H560&lt;&gt;""""))))-1), IF('To Order'!$A561=COLUMNS($A561:H"&amp;"580), H560&amp;RIGHT(INDIRECT(ADDRESS(ROW(H561)-1, 'From Order'!$A561)), 1), H560))"),"ZMDTCJTVCBPWHGSSD")</f>
        <v>ZMDTCJTVCBPWHGSSD</v>
      </c>
      <c r="I561" s="2" t="str">
        <f>IFERROR(__xludf.DUMMYFUNCTION("IF('From Order'!$A561=COLUMNS($A561:I580), LEFT(INDEX(FILTER(I$1:I560, I$1:I560&lt;&gt;""""),COUNTA(FILTER(I$1:I560, I$1:I560&lt;&gt;""""))), LEN(INDEX(FILTER(I$1:I560, I$1:I560&lt;&gt;""""),COUNTA(FILTER(I$1:I560, I$1:I560&lt;&gt;""""))))-1), IF('To Order'!$A561=COLUMNS($A561:I"&amp;"580), I560&amp;RIGHT(INDIRECT(ADDRESS(ROW(I561)-1, 'From Order'!$A561)), 1), I560))"),"DTWRDLRTDCQMT")</f>
        <v>DTWRDLRTDCQMT</v>
      </c>
    </row>
    <row r="562">
      <c r="A562" s="2" t="str">
        <f>IFERROR(__xludf.DUMMYFUNCTION("IF('From Order'!$A562=COLUMNS($A562:A581), LEFT(INDEX(FILTER(A$1:A561, A$1:A561&lt;&gt;""""),COUNTA(FILTER(A$1:A561, A$1:A561&lt;&gt;""""))), LEN(INDEX(FILTER(A$1:A561, A$1:A561&lt;&gt;""""),COUNTA(FILTER(A$1:A561, A$1:A561&lt;&gt;""""))))-1), IF('To Order'!$A562=COLUMNS($A562:A"&amp;"581), A561&amp;RIGHT(INDIRECT(ADDRESS(ROW(A562)-1, 'From Order'!$A562)), 1), A561))"),"")</f>
        <v/>
      </c>
      <c r="B562" s="2" t="str">
        <f>IFERROR(__xludf.DUMMYFUNCTION("IF('From Order'!$A562=COLUMNS($A562:B581), LEFT(INDEX(FILTER(B$1:B561, B$1:B561&lt;&gt;""""),COUNTA(FILTER(B$1:B561, B$1:B561&lt;&gt;""""))), LEN(INDEX(FILTER(B$1:B561, B$1:B561&lt;&gt;""""),COUNTA(FILTER(B$1:B561, B$1:B561&lt;&gt;""""))))-1), IF('To Order'!$A562=COLUMNS($A562:B"&amp;"581), B561&amp;RIGHT(INDIRECT(ADDRESS(ROW(B562)-1, 'From Order'!$A562)), 1), B561))"),"JZRVPVRZHMFBBRQ")</f>
        <v>JZRVPVRZHMFBBRQ</v>
      </c>
      <c r="C562" s="2" t="str">
        <f>IFERROR(__xludf.DUMMYFUNCTION("IF('From Order'!$A562=COLUMNS($A562:C581), LEFT(INDEX(FILTER(C$1:C561, C$1:C561&lt;&gt;""""),COUNTA(FILTER(C$1:C561, C$1:C561&lt;&gt;""""))), LEN(INDEX(FILTER(C$1:C561, C$1:C561&lt;&gt;""""),COUNTA(FILTER(C$1:C561, C$1:C561&lt;&gt;""""))))-1), IF('To Order'!$A562=COLUMNS($A562:C"&amp;"581), C561&amp;RIGHT(INDIRECT(ADDRESS(ROW(C562)-1, 'From Order'!$A562)), 1), C561))"),"SF")</f>
        <v>SF</v>
      </c>
      <c r="D562" s="2" t="str">
        <f>IFERROR(__xludf.DUMMYFUNCTION("IF('From Order'!$A562=COLUMNS($A562:D581), LEFT(INDEX(FILTER(D$1:D561, D$1:D561&lt;&gt;""""),COUNTA(FILTER(D$1:D561, D$1:D561&lt;&gt;""""))), LEN(INDEX(FILTER(D$1:D561, D$1:D561&lt;&gt;""""),COUNTA(FILTER(D$1:D561, D$1:D561&lt;&gt;""""))))-1), IF('To Order'!$A562=COLUMNS($A562:D"&amp;"581), D561&amp;RIGHT(INDIRECT(ADDRESS(ROW(D562)-1, 'From Order'!$A562)), 1), D561))"),"")</f>
        <v/>
      </c>
      <c r="E562" s="2" t="str">
        <f>IFERROR(__xludf.DUMMYFUNCTION("IF('From Order'!$A562=COLUMNS($A562:E581), LEFT(INDEX(FILTER(E$1:E561, E$1:E561&lt;&gt;""""),COUNTA(FILTER(E$1:E561, E$1:E561&lt;&gt;""""))), LEN(INDEX(FILTER(E$1:E561, E$1:E561&lt;&gt;""""),COUNTA(FILTER(E$1:E561, E$1:E561&lt;&gt;""""))))-1), IF('To Order'!$A562=COLUMNS($A562:E"&amp;"581), E561&amp;RIGHT(INDIRECT(ADDRESS(ROW(E562)-1, 'From Order'!$A562)), 1), E561))"),"LBSGDTL")</f>
        <v>LBSGDTL</v>
      </c>
      <c r="F562" s="2" t="str">
        <f>IFERROR(__xludf.DUMMYFUNCTION("IF('From Order'!$A562=COLUMNS($A562:F581), LEFT(INDEX(FILTER(F$1:F561, F$1:F561&lt;&gt;""""),COUNTA(FILTER(F$1:F561, F$1:F561&lt;&gt;""""))), LEN(INDEX(FILTER(F$1:F561, F$1:F561&lt;&gt;""""),COUNTA(FILTER(F$1:F561, F$1:F561&lt;&gt;""""))))-1), IF('To Order'!$A562=COLUMNS($A562:F"&amp;"581), F561&amp;RIGHT(INDIRECT(ADDRESS(ROW(F562)-1, 'From Order'!$A562)), 1), F561))"),"J")</f>
        <v>J</v>
      </c>
      <c r="G562" s="2" t="str">
        <f>IFERROR(__xludf.DUMMYFUNCTION("IF('From Order'!$A562=COLUMNS($A562:G581), LEFT(INDEX(FILTER(G$1:G561, G$1:G561&lt;&gt;""""),COUNTA(FILTER(G$1:G561, G$1:G561&lt;&gt;""""))), LEN(INDEX(FILTER(G$1:G561, G$1:G561&lt;&gt;""""),COUNTA(FILTER(G$1:G561, G$1:G561&lt;&gt;""""))))-1), IF('To Order'!$A562=COLUMNS($A562:G"&amp;"581), G561&amp;RIGHT(INDIRECT(ADDRESS(ROW(G562)-1, 'From Order'!$A562)), 1), G561))"),"")</f>
        <v/>
      </c>
      <c r="H562" s="2" t="str">
        <f>IFERROR(__xludf.DUMMYFUNCTION("IF('From Order'!$A562=COLUMNS($A562:H581), LEFT(INDEX(FILTER(H$1:H561, H$1:H561&lt;&gt;""""),COUNTA(FILTER(H$1:H561, H$1:H561&lt;&gt;""""))), LEN(INDEX(FILTER(H$1:H561, H$1:H561&lt;&gt;""""),COUNTA(FILTER(H$1:H561, H$1:H561&lt;&gt;""""))))-1), IF('To Order'!$A562=COLUMNS($A562:H"&amp;"581), H561&amp;RIGHT(INDIRECT(ADDRESS(ROW(H562)-1, 'From Order'!$A562)), 1), H561))"),"ZMDTCJTVCBPWHGSSDP")</f>
        <v>ZMDTCJTVCBPWHGSSDP</v>
      </c>
      <c r="I562" s="2" t="str">
        <f>IFERROR(__xludf.DUMMYFUNCTION("IF('From Order'!$A562=COLUMNS($A562:I581), LEFT(INDEX(FILTER(I$1:I561, I$1:I561&lt;&gt;""""),COUNTA(FILTER(I$1:I561, I$1:I561&lt;&gt;""""))), LEN(INDEX(FILTER(I$1:I561, I$1:I561&lt;&gt;""""),COUNTA(FILTER(I$1:I561, I$1:I561&lt;&gt;""""))))-1), IF('To Order'!$A562=COLUMNS($A562:I"&amp;"581), I561&amp;RIGHT(INDIRECT(ADDRESS(ROW(I562)-1, 'From Order'!$A562)), 1), I561))"),"DTWRDLRTDCQMT")</f>
        <v>DTWRDLRTDCQMT</v>
      </c>
    </row>
    <row r="563">
      <c r="A563" s="2" t="str">
        <f>IFERROR(__xludf.DUMMYFUNCTION("IF('From Order'!$A563=COLUMNS($A563:A582), LEFT(INDEX(FILTER(A$1:A562, A$1:A562&lt;&gt;""""),COUNTA(FILTER(A$1:A562, A$1:A562&lt;&gt;""""))), LEN(INDEX(FILTER(A$1:A562, A$1:A562&lt;&gt;""""),COUNTA(FILTER(A$1:A562, A$1:A562&lt;&gt;""""))))-1), IF('To Order'!$A563=COLUMNS($A563:A"&amp;"582), A562&amp;RIGHT(INDIRECT(ADDRESS(ROW(A563)-1, 'From Order'!$A563)), 1), A562))"),"")</f>
        <v/>
      </c>
      <c r="B563" s="2" t="str">
        <f>IFERROR(__xludf.DUMMYFUNCTION("IF('From Order'!$A563=COLUMNS($A563:B582), LEFT(INDEX(FILTER(B$1:B562, B$1:B562&lt;&gt;""""),COUNTA(FILTER(B$1:B562, B$1:B562&lt;&gt;""""))), LEN(INDEX(FILTER(B$1:B562, B$1:B562&lt;&gt;""""),COUNTA(FILTER(B$1:B562, B$1:B562&lt;&gt;""""))))-1), IF('To Order'!$A563=COLUMNS($A563:B"&amp;"582), B562&amp;RIGHT(INDIRECT(ADDRESS(ROW(B563)-1, 'From Order'!$A563)), 1), B562))"),"JZRVPVRZHMFBBR")</f>
        <v>JZRVPVRZHMFBBR</v>
      </c>
      <c r="C563" s="2" t="str">
        <f>IFERROR(__xludf.DUMMYFUNCTION("IF('From Order'!$A563=COLUMNS($A563:C582), LEFT(INDEX(FILTER(C$1:C562, C$1:C562&lt;&gt;""""),COUNTA(FILTER(C$1:C562, C$1:C562&lt;&gt;""""))), LEN(INDEX(FILTER(C$1:C562, C$1:C562&lt;&gt;""""),COUNTA(FILTER(C$1:C562, C$1:C562&lt;&gt;""""))))-1), IF('To Order'!$A563=COLUMNS($A563:C"&amp;"582), C562&amp;RIGHT(INDIRECT(ADDRESS(ROW(C563)-1, 'From Order'!$A563)), 1), C562))"),"SF")</f>
        <v>SF</v>
      </c>
      <c r="D563" s="2" t="str">
        <f>IFERROR(__xludf.DUMMYFUNCTION("IF('From Order'!$A563=COLUMNS($A563:D582), LEFT(INDEX(FILTER(D$1:D562, D$1:D562&lt;&gt;""""),COUNTA(FILTER(D$1:D562, D$1:D562&lt;&gt;""""))), LEN(INDEX(FILTER(D$1:D562, D$1:D562&lt;&gt;""""),COUNTA(FILTER(D$1:D562, D$1:D562&lt;&gt;""""))))-1), IF('To Order'!$A563=COLUMNS($A563:D"&amp;"582), D562&amp;RIGHT(INDIRECT(ADDRESS(ROW(D563)-1, 'From Order'!$A563)), 1), D562))"),"")</f>
        <v/>
      </c>
      <c r="E563" s="2" t="str">
        <f>IFERROR(__xludf.DUMMYFUNCTION("IF('From Order'!$A563=COLUMNS($A563:E582), LEFT(INDEX(FILTER(E$1:E562, E$1:E562&lt;&gt;""""),COUNTA(FILTER(E$1:E562, E$1:E562&lt;&gt;""""))), LEN(INDEX(FILTER(E$1:E562, E$1:E562&lt;&gt;""""),COUNTA(FILTER(E$1:E562, E$1:E562&lt;&gt;""""))))-1), IF('To Order'!$A563=COLUMNS($A563:E"&amp;"582), E562&amp;RIGHT(INDIRECT(ADDRESS(ROW(E563)-1, 'From Order'!$A563)), 1), E562))"),"LBSGDTL")</f>
        <v>LBSGDTL</v>
      </c>
      <c r="F563" s="2" t="str">
        <f>IFERROR(__xludf.DUMMYFUNCTION("IF('From Order'!$A563=COLUMNS($A563:F582), LEFT(INDEX(FILTER(F$1:F562, F$1:F562&lt;&gt;""""),COUNTA(FILTER(F$1:F562, F$1:F562&lt;&gt;""""))), LEN(INDEX(FILTER(F$1:F562, F$1:F562&lt;&gt;""""),COUNTA(FILTER(F$1:F562, F$1:F562&lt;&gt;""""))))-1), IF('To Order'!$A563=COLUMNS($A563:F"&amp;"582), F562&amp;RIGHT(INDIRECT(ADDRESS(ROW(F563)-1, 'From Order'!$A563)), 1), F562))"),"J")</f>
        <v>J</v>
      </c>
      <c r="G563" s="2" t="str">
        <f>IFERROR(__xludf.DUMMYFUNCTION("IF('From Order'!$A563=COLUMNS($A563:G582), LEFT(INDEX(FILTER(G$1:G562, G$1:G562&lt;&gt;""""),COUNTA(FILTER(G$1:G562, G$1:G562&lt;&gt;""""))), LEN(INDEX(FILTER(G$1:G562, G$1:G562&lt;&gt;""""),COUNTA(FILTER(G$1:G562, G$1:G562&lt;&gt;""""))))-1), IF('To Order'!$A563=COLUMNS($A563:G"&amp;"582), G562&amp;RIGHT(INDIRECT(ADDRESS(ROW(G563)-1, 'From Order'!$A563)), 1), G562))"),"")</f>
        <v/>
      </c>
      <c r="H563" s="2" t="str">
        <f>IFERROR(__xludf.DUMMYFUNCTION("IF('From Order'!$A563=COLUMNS($A563:H582), LEFT(INDEX(FILTER(H$1:H562, H$1:H562&lt;&gt;""""),COUNTA(FILTER(H$1:H562, H$1:H562&lt;&gt;""""))), LEN(INDEX(FILTER(H$1:H562, H$1:H562&lt;&gt;""""),COUNTA(FILTER(H$1:H562, H$1:H562&lt;&gt;""""))))-1), IF('To Order'!$A563=COLUMNS($A563:H"&amp;"582), H562&amp;RIGHT(INDIRECT(ADDRESS(ROW(H563)-1, 'From Order'!$A563)), 1), H562))"),"ZMDTCJTVCBPWHGSSDPQ")</f>
        <v>ZMDTCJTVCBPWHGSSDPQ</v>
      </c>
      <c r="I563" s="2" t="str">
        <f>IFERROR(__xludf.DUMMYFUNCTION("IF('From Order'!$A563=COLUMNS($A563:I582), LEFT(INDEX(FILTER(I$1:I562, I$1:I562&lt;&gt;""""),COUNTA(FILTER(I$1:I562, I$1:I562&lt;&gt;""""))), LEN(INDEX(FILTER(I$1:I562, I$1:I562&lt;&gt;""""),COUNTA(FILTER(I$1:I562, I$1:I562&lt;&gt;""""))))-1), IF('To Order'!$A563=COLUMNS($A563:I"&amp;"582), I562&amp;RIGHT(INDIRECT(ADDRESS(ROW(I563)-1, 'From Order'!$A563)), 1), I562))"),"DTWRDLRTDCQMT")</f>
        <v>DTWRDLRTDCQMT</v>
      </c>
    </row>
    <row r="564">
      <c r="A564" s="2" t="str">
        <f>IFERROR(__xludf.DUMMYFUNCTION("IF('From Order'!$A564=COLUMNS($A564:A583), LEFT(INDEX(FILTER(A$1:A563, A$1:A563&lt;&gt;""""),COUNTA(FILTER(A$1:A563, A$1:A563&lt;&gt;""""))), LEN(INDEX(FILTER(A$1:A563, A$1:A563&lt;&gt;""""),COUNTA(FILTER(A$1:A563, A$1:A563&lt;&gt;""""))))-1), IF('To Order'!$A564=COLUMNS($A564:A"&amp;"583), A563&amp;RIGHT(INDIRECT(ADDRESS(ROW(A564)-1, 'From Order'!$A564)), 1), A563))"),"")</f>
        <v/>
      </c>
      <c r="B564" s="2" t="str">
        <f>IFERROR(__xludf.DUMMYFUNCTION("IF('From Order'!$A564=COLUMNS($A564:B583), LEFT(INDEX(FILTER(B$1:B563, B$1:B563&lt;&gt;""""),COUNTA(FILTER(B$1:B563, B$1:B563&lt;&gt;""""))), LEN(INDEX(FILTER(B$1:B563, B$1:B563&lt;&gt;""""),COUNTA(FILTER(B$1:B563, B$1:B563&lt;&gt;""""))))-1), IF('To Order'!$A564=COLUMNS($A564:B"&amp;"583), B563&amp;RIGHT(INDIRECT(ADDRESS(ROW(B564)-1, 'From Order'!$A564)), 1), B563))"),"JZRVPVRZHMFBB")</f>
        <v>JZRVPVRZHMFBB</v>
      </c>
      <c r="C564" s="2" t="str">
        <f>IFERROR(__xludf.DUMMYFUNCTION("IF('From Order'!$A564=COLUMNS($A564:C583), LEFT(INDEX(FILTER(C$1:C563, C$1:C563&lt;&gt;""""),COUNTA(FILTER(C$1:C563, C$1:C563&lt;&gt;""""))), LEN(INDEX(FILTER(C$1:C563, C$1:C563&lt;&gt;""""),COUNTA(FILTER(C$1:C563, C$1:C563&lt;&gt;""""))))-1), IF('To Order'!$A564=COLUMNS($A564:C"&amp;"583), C563&amp;RIGHT(INDIRECT(ADDRESS(ROW(C564)-1, 'From Order'!$A564)), 1), C563))"),"SF")</f>
        <v>SF</v>
      </c>
      <c r="D564" s="2" t="str">
        <f>IFERROR(__xludf.DUMMYFUNCTION("IF('From Order'!$A564=COLUMNS($A564:D583), LEFT(INDEX(FILTER(D$1:D563, D$1:D563&lt;&gt;""""),COUNTA(FILTER(D$1:D563, D$1:D563&lt;&gt;""""))), LEN(INDEX(FILTER(D$1:D563, D$1:D563&lt;&gt;""""),COUNTA(FILTER(D$1:D563, D$1:D563&lt;&gt;""""))))-1), IF('To Order'!$A564=COLUMNS($A564:D"&amp;"583), D563&amp;RIGHT(INDIRECT(ADDRESS(ROW(D564)-1, 'From Order'!$A564)), 1), D563))"),"")</f>
        <v/>
      </c>
      <c r="E564" s="2" t="str">
        <f>IFERROR(__xludf.DUMMYFUNCTION("IF('From Order'!$A564=COLUMNS($A564:E583), LEFT(INDEX(FILTER(E$1:E563, E$1:E563&lt;&gt;""""),COUNTA(FILTER(E$1:E563, E$1:E563&lt;&gt;""""))), LEN(INDEX(FILTER(E$1:E563, E$1:E563&lt;&gt;""""),COUNTA(FILTER(E$1:E563, E$1:E563&lt;&gt;""""))))-1), IF('To Order'!$A564=COLUMNS($A564:E"&amp;"583), E563&amp;RIGHT(INDIRECT(ADDRESS(ROW(E564)-1, 'From Order'!$A564)), 1), E563))"),"LBSGDTL")</f>
        <v>LBSGDTL</v>
      </c>
      <c r="F564" s="2" t="str">
        <f>IFERROR(__xludf.DUMMYFUNCTION("IF('From Order'!$A564=COLUMNS($A564:F583), LEFT(INDEX(FILTER(F$1:F563, F$1:F563&lt;&gt;""""),COUNTA(FILTER(F$1:F563, F$1:F563&lt;&gt;""""))), LEN(INDEX(FILTER(F$1:F563, F$1:F563&lt;&gt;""""),COUNTA(FILTER(F$1:F563, F$1:F563&lt;&gt;""""))))-1), IF('To Order'!$A564=COLUMNS($A564:F"&amp;"583), F563&amp;RIGHT(INDIRECT(ADDRESS(ROW(F564)-1, 'From Order'!$A564)), 1), F563))"),"J")</f>
        <v>J</v>
      </c>
      <c r="G564" s="2" t="str">
        <f>IFERROR(__xludf.DUMMYFUNCTION("IF('From Order'!$A564=COLUMNS($A564:G583), LEFT(INDEX(FILTER(G$1:G563, G$1:G563&lt;&gt;""""),COUNTA(FILTER(G$1:G563, G$1:G563&lt;&gt;""""))), LEN(INDEX(FILTER(G$1:G563, G$1:G563&lt;&gt;""""),COUNTA(FILTER(G$1:G563, G$1:G563&lt;&gt;""""))))-1), IF('To Order'!$A564=COLUMNS($A564:G"&amp;"583), G563&amp;RIGHT(INDIRECT(ADDRESS(ROW(G564)-1, 'From Order'!$A564)), 1), G563))"),"")</f>
        <v/>
      </c>
      <c r="H564" s="2" t="str">
        <f>IFERROR(__xludf.DUMMYFUNCTION("IF('From Order'!$A564=COLUMNS($A564:H583), LEFT(INDEX(FILTER(H$1:H563, H$1:H563&lt;&gt;""""),COUNTA(FILTER(H$1:H563, H$1:H563&lt;&gt;""""))), LEN(INDEX(FILTER(H$1:H563, H$1:H563&lt;&gt;""""),COUNTA(FILTER(H$1:H563, H$1:H563&lt;&gt;""""))))-1), IF('To Order'!$A564=COLUMNS($A564:H"&amp;"583), H563&amp;RIGHT(INDIRECT(ADDRESS(ROW(H564)-1, 'From Order'!$A564)), 1), H563))"),"ZMDTCJTVCBPWHGSSDPQR")</f>
        <v>ZMDTCJTVCBPWHGSSDPQR</v>
      </c>
      <c r="I564" s="2" t="str">
        <f>IFERROR(__xludf.DUMMYFUNCTION("IF('From Order'!$A564=COLUMNS($A564:I583), LEFT(INDEX(FILTER(I$1:I563, I$1:I563&lt;&gt;""""),COUNTA(FILTER(I$1:I563, I$1:I563&lt;&gt;""""))), LEN(INDEX(FILTER(I$1:I563, I$1:I563&lt;&gt;""""),COUNTA(FILTER(I$1:I563, I$1:I563&lt;&gt;""""))))-1), IF('To Order'!$A564=COLUMNS($A564:I"&amp;"583), I563&amp;RIGHT(INDIRECT(ADDRESS(ROW(I564)-1, 'From Order'!$A564)), 1), I563))"),"DTWRDLRTDCQMT")</f>
        <v>DTWRDLRTDCQMT</v>
      </c>
    </row>
    <row r="565">
      <c r="A565" s="2" t="str">
        <f>IFERROR(__xludf.DUMMYFUNCTION("IF('From Order'!$A565=COLUMNS($A565:A584), LEFT(INDEX(FILTER(A$1:A564, A$1:A564&lt;&gt;""""),COUNTA(FILTER(A$1:A564, A$1:A564&lt;&gt;""""))), LEN(INDEX(FILTER(A$1:A564, A$1:A564&lt;&gt;""""),COUNTA(FILTER(A$1:A564, A$1:A564&lt;&gt;""""))))-1), IF('To Order'!$A565=COLUMNS($A565:A"&amp;"584), A564&amp;RIGHT(INDIRECT(ADDRESS(ROW(A565)-1, 'From Order'!$A565)), 1), A564))"),"")</f>
        <v/>
      </c>
      <c r="B565" s="2" t="str">
        <f>IFERROR(__xludf.DUMMYFUNCTION("IF('From Order'!$A565=COLUMNS($A565:B584), LEFT(INDEX(FILTER(B$1:B564, B$1:B564&lt;&gt;""""),COUNTA(FILTER(B$1:B564, B$1:B564&lt;&gt;""""))), LEN(INDEX(FILTER(B$1:B564, B$1:B564&lt;&gt;""""),COUNTA(FILTER(B$1:B564, B$1:B564&lt;&gt;""""))))-1), IF('To Order'!$A565=COLUMNS($A565:B"&amp;"584), B564&amp;RIGHT(INDIRECT(ADDRESS(ROW(B565)-1, 'From Order'!$A565)), 1), B564))"),"JZRVPVRZHMFBBF")</f>
        <v>JZRVPVRZHMFBBF</v>
      </c>
      <c r="C565" s="2" t="str">
        <f>IFERROR(__xludf.DUMMYFUNCTION("IF('From Order'!$A565=COLUMNS($A565:C584), LEFT(INDEX(FILTER(C$1:C564, C$1:C564&lt;&gt;""""),COUNTA(FILTER(C$1:C564, C$1:C564&lt;&gt;""""))), LEN(INDEX(FILTER(C$1:C564, C$1:C564&lt;&gt;""""),COUNTA(FILTER(C$1:C564, C$1:C564&lt;&gt;""""))))-1), IF('To Order'!$A565=COLUMNS($A565:C"&amp;"584), C564&amp;RIGHT(INDIRECT(ADDRESS(ROW(C565)-1, 'From Order'!$A565)), 1), C564))"),"S")</f>
        <v>S</v>
      </c>
      <c r="D565" s="2" t="str">
        <f>IFERROR(__xludf.DUMMYFUNCTION("IF('From Order'!$A565=COLUMNS($A565:D584), LEFT(INDEX(FILTER(D$1:D564, D$1:D564&lt;&gt;""""),COUNTA(FILTER(D$1:D564, D$1:D564&lt;&gt;""""))), LEN(INDEX(FILTER(D$1:D564, D$1:D564&lt;&gt;""""),COUNTA(FILTER(D$1:D564, D$1:D564&lt;&gt;""""))))-1), IF('To Order'!$A565=COLUMNS($A565:D"&amp;"584), D564&amp;RIGHT(INDIRECT(ADDRESS(ROW(D565)-1, 'From Order'!$A565)), 1), D564))"),"")</f>
        <v/>
      </c>
      <c r="E565" s="2" t="str">
        <f>IFERROR(__xludf.DUMMYFUNCTION("IF('From Order'!$A565=COLUMNS($A565:E584), LEFT(INDEX(FILTER(E$1:E564, E$1:E564&lt;&gt;""""),COUNTA(FILTER(E$1:E564, E$1:E564&lt;&gt;""""))), LEN(INDEX(FILTER(E$1:E564, E$1:E564&lt;&gt;""""),COUNTA(FILTER(E$1:E564, E$1:E564&lt;&gt;""""))))-1), IF('To Order'!$A565=COLUMNS($A565:E"&amp;"584), E564&amp;RIGHT(INDIRECT(ADDRESS(ROW(E565)-1, 'From Order'!$A565)), 1), E564))"),"LBSGDTL")</f>
        <v>LBSGDTL</v>
      </c>
      <c r="F565" s="2" t="str">
        <f>IFERROR(__xludf.DUMMYFUNCTION("IF('From Order'!$A565=COLUMNS($A565:F584), LEFT(INDEX(FILTER(F$1:F564, F$1:F564&lt;&gt;""""),COUNTA(FILTER(F$1:F564, F$1:F564&lt;&gt;""""))), LEN(INDEX(FILTER(F$1:F564, F$1:F564&lt;&gt;""""),COUNTA(FILTER(F$1:F564, F$1:F564&lt;&gt;""""))))-1), IF('To Order'!$A565=COLUMNS($A565:F"&amp;"584), F564&amp;RIGHT(INDIRECT(ADDRESS(ROW(F565)-1, 'From Order'!$A565)), 1), F564))"),"J")</f>
        <v>J</v>
      </c>
      <c r="G565" s="2" t="str">
        <f>IFERROR(__xludf.DUMMYFUNCTION("IF('From Order'!$A565=COLUMNS($A565:G584), LEFT(INDEX(FILTER(G$1:G564, G$1:G564&lt;&gt;""""),COUNTA(FILTER(G$1:G564, G$1:G564&lt;&gt;""""))), LEN(INDEX(FILTER(G$1:G564, G$1:G564&lt;&gt;""""),COUNTA(FILTER(G$1:G564, G$1:G564&lt;&gt;""""))))-1), IF('To Order'!$A565=COLUMNS($A565:G"&amp;"584), G564&amp;RIGHT(INDIRECT(ADDRESS(ROW(G565)-1, 'From Order'!$A565)), 1), G564))"),"")</f>
        <v/>
      </c>
      <c r="H565" s="2" t="str">
        <f>IFERROR(__xludf.DUMMYFUNCTION("IF('From Order'!$A565=COLUMNS($A565:H584), LEFT(INDEX(FILTER(H$1:H564, H$1:H564&lt;&gt;""""),COUNTA(FILTER(H$1:H564, H$1:H564&lt;&gt;""""))), LEN(INDEX(FILTER(H$1:H564, H$1:H564&lt;&gt;""""),COUNTA(FILTER(H$1:H564, H$1:H564&lt;&gt;""""))))-1), IF('To Order'!$A565=COLUMNS($A565:H"&amp;"584), H564&amp;RIGHT(INDIRECT(ADDRESS(ROW(H565)-1, 'From Order'!$A565)), 1), H564))"),"ZMDTCJTVCBPWHGSSDPQR")</f>
        <v>ZMDTCJTVCBPWHGSSDPQR</v>
      </c>
      <c r="I565" s="2" t="str">
        <f>IFERROR(__xludf.DUMMYFUNCTION("IF('From Order'!$A565=COLUMNS($A565:I584), LEFT(INDEX(FILTER(I$1:I564, I$1:I564&lt;&gt;""""),COUNTA(FILTER(I$1:I564, I$1:I564&lt;&gt;""""))), LEN(INDEX(FILTER(I$1:I564, I$1:I564&lt;&gt;""""),COUNTA(FILTER(I$1:I564, I$1:I564&lt;&gt;""""))))-1), IF('To Order'!$A565=COLUMNS($A565:I"&amp;"584), I564&amp;RIGHT(INDIRECT(ADDRESS(ROW(I565)-1, 'From Order'!$A565)), 1), I564))"),"DTWRDLRTDCQMT")</f>
        <v>DTWRDLRTDCQMT</v>
      </c>
    </row>
    <row r="566">
      <c r="A566" s="2" t="str">
        <f>IFERROR(__xludf.DUMMYFUNCTION("IF('From Order'!$A566=COLUMNS($A566:A585), LEFT(INDEX(FILTER(A$1:A565, A$1:A565&lt;&gt;""""),COUNTA(FILTER(A$1:A565, A$1:A565&lt;&gt;""""))), LEN(INDEX(FILTER(A$1:A565, A$1:A565&lt;&gt;""""),COUNTA(FILTER(A$1:A565, A$1:A565&lt;&gt;""""))))-1), IF('To Order'!$A566=COLUMNS($A566:A"&amp;"585), A565&amp;RIGHT(INDIRECT(ADDRESS(ROW(A566)-1, 'From Order'!$A566)), 1), A565))"),"")</f>
        <v/>
      </c>
      <c r="B566" s="2" t="str">
        <f>IFERROR(__xludf.DUMMYFUNCTION("IF('From Order'!$A566=COLUMNS($A566:B585), LEFT(INDEX(FILTER(B$1:B565, B$1:B565&lt;&gt;""""),COUNTA(FILTER(B$1:B565, B$1:B565&lt;&gt;""""))), LEN(INDEX(FILTER(B$1:B565, B$1:B565&lt;&gt;""""),COUNTA(FILTER(B$1:B565, B$1:B565&lt;&gt;""""))))-1), IF('To Order'!$A566=COLUMNS($A566:B"&amp;"585), B565&amp;RIGHT(INDIRECT(ADDRESS(ROW(B566)-1, 'From Order'!$A566)), 1), B565))"),"JZRVPVRZHMFBBFS")</f>
        <v>JZRVPVRZHMFBBFS</v>
      </c>
      <c r="C566" s="2" t="str">
        <f>IFERROR(__xludf.DUMMYFUNCTION("IF('From Order'!$A566=COLUMNS($A566:C585), LEFT(INDEX(FILTER(C$1:C565, C$1:C565&lt;&gt;""""),COUNTA(FILTER(C$1:C565, C$1:C565&lt;&gt;""""))), LEN(INDEX(FILTER(C$1:C565, C$1:C565&lt;&gt;""""),COUNTA(FILTER(C$1:C565, C$1:C565&lt;&gt;""""))))-1), IF('To Order'!$A566=COLUMNS($A566:C"&amp;"585), C565&amp;RIGHT(INDIRECT(ADDRESS(ROW(C566)-1, 'From Order'!$A566)), 1), C565))"),"")</f>
        <v/>
      </c>
      <c r="D566" s="2" t="str">
        <f>IFERROR(__xludf.DUMMYFUNCTION("IF('From Order'!$A566=COLUMNS($A566:D585), LEFT(INDEX(FILTER(D$1:D565, D$1:D565&lt;&gt;""""),COUNTA(FILTER(D$1:D565, D$1:D565&lt;&gt;""""))), LEN(INDEX(FILTER(D$1:D565, D$1:D565&lt;&gt;""""),COUNTA(FILTER(D$1:D565, D$1:D565&lt;&gt;""""))))-1), IF('To Order'!$A566=COLUMNS($A566:D"&amp;"585), D565&amp;RIGHT(INDIRECT(ADDRESS(ROW(D566)-1, 'From Order'!$A566)), 1), D565))"),"")</f>
        <v/>
      </c>
      <c r="E566" s="2" t="str">
        <f>IFERROR(__xludf.DUMMYFUNCTION("IF('From Order'!$A566=COLUMNS($A566:E585), LEFT(INDEX(FILTER(E$1:E565, E$1:E565&lt;&gt;""""),COUNTA(FILTER(E$1:E565, E$1:E565&lt;&gt;""""))), LEN(INDEX(FILTER(E$1:E565, E$1:E565&lt;&gt;""""),COUNTA(FILTER(E$1:E565, E$1:E565&lt;&gt;""""))))-1), IF('To Order'!$A566=COLUMNS($A566:E"&amp;"585), E565&amp;RIGHT(INDIRECT(ADDRESS(ROW(E566)-1, 'From Order'!$A566)), 1), E565))"),"LBSGDTL")</f>
        <v>LBSGDTL</v>
      </c>
      <c r="F566" s="2" t="str">
        <f>IFERROR(__xludf.DUMMYFUNCTION("IF('From Order'!$A566=COLUMNS($A566:F585), LEFT(INDEX(FILTER(F$1:F565, F$1:F565&lt;&gt;""""),COUNTA(FILTER(F$1:F565, F$1:F565&lt;&gt;""""))), LEN(INDEX(FILTER(F$1:F565, F$1:F565&lt;&gt;""""),COUNTA(FILTER(F$1:F565, F$1:F565&lt;&gt;""""))))-1), IF('To Order'!$A566=COLUMNS($A566:F"&amp;"585), F565&amp;RIGHT(INDIRECT(ADDRESS(ROW(F566)-1, 'From Order'!$A566)), 1), F565))"),"J")</f>
        <v>J</v>
      </c>
      <c r="G566" s="2" t="str">
        <f>IFERROR(__xludf.DUMMYFUNCTION("IF('From Order'!$A566=COLUMNS($A566:G585), LEFT(INDEX(FILTER(G$1:G565, G$1:G565&lt;&gt;""""),COUNTA(FILTER(G$1:G565, G$1:G565&lt;&gt;""""))), LEN(INDEX(FILTER(G$1:G565, G$1:G565&lt;&gt;""""),COUNTA(FILTER(G$1:G565, G$1:G565&lt;&gt;""""))))-1), IF('To Order'!$A566=COLUMNS($A566:G"&amp;"585), G565&amp;RIGHT(INDIRECT(ADDRESS(ROW(G566)-1, 'From Order'!$A566)), 1), G565))"),"")</f>
        <v/>
      </c>
      <c r="H566" s="2" t="str">
        <f>IFERROR(__xludf.DUMMYFUNCTION("IF('From Order'!$A566=COLUMNS($A566:H585), LEFT(INDEX(FILTER(H$1:H565, H$1:H565&lt;&gt;""""),COUNTA(FILTER(H$1:H565, H$1:H565&lt;&gt;""""))), LEN(INDEX(FILTER(H$1:H565, H$1:H565&lt;&gt;""""),COUNTA(FILTER(H$1:H565, H$1:H565&lt;&gt;""""))))-1), IF('To Order'!$A566=COLUMNS($A566:H"&amp;"585), H565&amp;RIGHT(INDIRECT(ADDRESS(ROW(H566)-1, 'From Order'!$A566)), 1), H565))"),"ZMDTCJTVCBPWHGSSDPQR")</f>
        <v>ZMDTCJTVCBPWHGSSDPQR</v>
      </c>
      <c r="I566" s="2" t="str">
        <f>IFERROR(__xludf.DUMMYFUNCTION("IF('From Order'!$A566=COLUMNS($A566:I585), LEFT(INDEX(FILTER(I$1:I565, I$1:I565&lt;&gt;""""),COUNTA(FILTER(I$1:I565, I$1:I565&lt;&gt;""""))), LEN(INDEX(FILTER(I$1:I565, I$1:I565&lt;&gt;""""),COUNTA(FILTER(I$1:I565, I$1:I565&lt;&gt;""""))))-1), IF('To Order'!$A566=COLUMNS($A566:I"&amp;"585), I565&amp;RIGHT(INDIRECT(ADDRESS(ROW(I566)-1, 'From Order'!$A566)), 1), I565))"),"DTWRDLRTDCQMT")</f>
        <v>DTWRDLRTDCQMT</v>
      </c>
    </row>
    <row r="567">
      <c r="A567" s="2" t="str">
        <f>IFERROR(__xludf.DUMMYFUNCTION("IF('From Order'!$A567=COLUMNS($A567:A586), LEFT(INDEX(FILTER(A$1:A566, A$1:A566&lt;&gt;""""),COUNTA(FILTER(A$1:A566, A$1:A566&lt;&gt;""""))), LEN(INDEX(FILTER(A$1:A566, A$1:A566&lt;&gt;""""),COUNTA(FILTER(A$1:A566, A$1:A566&lt;&gt;""""))))-1), IF('To Order'!$A567=COLUMNS($A567:A"&amp;"586), A566&amp;RIGHT(INDIRECT(ADDRESS(ROW(A567)-1, 'From Order'!$A567)), 1), A566))"),"")</f>
        <v/>
      </c>
      <c r="B567" s="2" t="str">
        <f>IFERROR(__xludf.DUMMYFUNCTION("IF('From Order'!$A567=COLUMNS($A567:B586), LEFT(INDEX(FILTER(B$1:B566, B$1:B566&lt;&gt;""""),COUNTA(FILTER(B$1:B566, B$1:B566&lt;&gt;""""))), LEN(INDEX(FILTER(B$1:B566, B$1:B566&lt;&gt;""""),COUNTA(FILTER(B$1:B566, B$1:B566&lt;&gt;""""))))-1), IF('To Order'!$A567=COLUMNS($A567:B"&amp;"586), B566&amp;RIGHT(INDIRECT(ADDRESS(ROW(B567)-1, 'From Order'!$A567)), 1), B566))"),"JZRVPVRZHMFBBFS")</f>
        <v>JZRVPVRZHMFBBFS</v>
      </c>
      <c r="C567" s="2" t="str">
        <f>IFERROR(__xludf.DUMMYFUNCTION("IF('From Order'!$A567=COLUMNS($A567:C586), LEFT(INDEX(FILTER(C$1:C566, C$1:C566&lt;&gt;""""),COUNTA(FILTER(C$1:C566, C$1:C566&lt;&gt;""""))), LEN(INDEX(FILTER(C$1:C566, C$1:C566&lt;&gt;""""),COUNTA(FILTER(C$1:C566, C$1:C566&lt;&gt;""""))))-1), IF('To Order'!$A567=COLUMNS($A567:C"&amp;"586), C566&amp;RIGHT(INDIRECT(ADDRESS(ROW(C567)-1, 'From Order'!$A567)), 1), C566))"),"")</f>
        <v/>
      </c>
      <c r="D567" s="2" t="str">
        <f>IFERROR(__xludf.DUMMYFUNCTION("IF('From Order'!$A567=COLUMNS($A567:D586), LEFT(INDEX(FILTER(D$1:D566, D$1:D566&lt;&gt;""""),COUNTA(FILTER(D$1:D566, D$1:D566&lt;&gt;""""))), LEN(INDEX(FILTER(D$1:D566, D$1:D566&lt;&gt;""""),COUNTA(FILTER(D$1:D566, D$1:D566&lt;&gt;""""))))-1), IF('To Order'!$A567=COLUMNS($A567:D"&amp;"586), D566&amp;RIGHT(INDIRECT(ADDRESS(ROW(D567)-1, 'From Order'!$A567)), 1), D566))"),"T")</f>
        <v>T</v>
      </c>
      <c r="E567" s="2" t="str">
        <f>IFERROR(__xludf.DUMMYFUNCTION("IF('From Order'!$A567=COLUMNS($A567:E586), LEFT(INDEX(FILTER(E$1:E566, E$1:E566&lt;&gt;""""),COUNTA(FILTER(E$1:E566, E$1:E566&lt;&gt;""""))), LEN(INDEX(FILTER(E$1:E566, E$1:E566&lt;&gt;""""),COUNTA(FILTER(E$1:E566, E$1:E566&lt;&gt;""""))))-1), IF('To Order'!$A567=COLUMNS($A567:E"&amp;"586), E566&amp;RIGHT(INDIRECT(ADDRESS(ROW(E567)-1, 'From Order'!$A567)), 1), E566))"),"LBSGDTL")</f>
        <v>LBSGDTL</v>
      </c>
      <c r="F567" s="2" t="str">
        <f>IFERROR(__xludf.DUMMYFUNCTION("IF('From Order'!$A567=COLUMNS($A567:F586), LEFT(INDEX(FILTER(F$1:F566, F$1:F566&lt;&gt;""""),COUNTA(FILTER(F$1:F566, F$1:F566&lt;&gt;""""))), LEN(INDEX(FILTER(F$1:F566, F$1:F566&lt;&gt;""""),COUNTA(FILTER(F$1:F566, F$1:F566&lt;&gt;""""))))-1), IF('To Order'!$A567=COLUMNS($A567:F"&amp;"586), F566&amp;RIGHT(INDIRECT(ADDRESS(ROW(F567)-1, 'From Order'!$A567)), 1), F566))"),"J")</f>
        <v>J</v>
      </c>
      <c r="G567" s="2" t="str">
        <f>IFERROR(__xludf.DUMMYFUNCTION("IF('From Order'!$A567=COLUMNS($A567:G586), LEFT(INDEX(FILTER(G$1:G566, G$1:G566&lt;&gt;""""),COUNTA(FILTER(G$1:G566, G$1:G566&lt;&gt;""""))), LEN(INDEX(FILTER(G$1:G566, G$1:G566&lt;&gt;""""),COUNTA(FILTER(G$1:G566, G$1:G566&lt;&gt;""""))))-1), IF('To Order'!$A567=COLUMNS($A567:G"&amp;"586), G566&amp;RIGHT(INDIRECT(ADDRESS(ROW(G567)-1, 'From Order'!$A567)), 1), G566))"),"")</f>
        <v/>
      </c>
      <c r="H567" s="2" t="str">
        <f>IFERROR(__xludf.DUMMYFUNCTION("IF('From Order'!$A567=COLUMNS($A567:H586), LEFT(INDEX(FILTER(H$1:H566, H$1:H566&lt;&gt;""""),COUNTA(FILTER(H$1:H566, H$1:H566&lt;&gt;""""))), LEN(INDEX(FILTER(H$1:H566, H$1:H566&lt;&gt;""""),COUNTA(FILTER(H$1:H566, H$1:H566&lt;&gt;""""))))-1), IF('To Order'!$A567=COLUMNS($A567:H"&amp;"586), H566&amp;RIGHT(INDIRECT(ADDRESS(ROW(H567)-1, 'From Order'!$A567)), 1), H566))"),"ZMDTCJTVCBPWHGSSDPQR")</f>
        <v>ZMDTCJTVCBPWHGSSDPQR</v>
      </c>
      <c r="I567" s="2" t="str">
        <f>IFERROR(__xludf.DUMMYFUNCTION("IF('From Order'!$A567=COLUMNS($A567:I586), LEFT(INDEX(FILTER(I$1:I566, I$1:I566&lt;&gt;""""),COUNTA(FILTER(I$1:I566, I$1:I566&lt;&gt;""""))), LEN(INDEX(FILTER(I$1:I566, I$1:I566&lt;&gt;""""),COUNTA(FILTER(I$1:I566, I$1:I566&lt;&gt;""""))))-1), IF('To Order'!$A567=COLUMNS($A567:I"&amp;"586), I566&amp;RIGHT(INDIRECT(ADDRESS(ROW(I567)-1, 'From Order'!$A567)), 1), I566))"),"DTWRDLRTDCQM")</f>
        <v>DTWRDLRTDCQM</v>
      </c>
    </row>
    <row r="568">
      <c r="A568" s="2" t="str">
        <f>IFERROR(__xludf.DUMMYFUNCTION("IF('From Order'!$A568=COLUMNS($A568:A587), LEFT(INDEX(FILTER(A$1:A567, A$1:A567&lt;&gt;""""),COUNTA(FILTER(A$1:A567, A$1:A567&lt;&gt;""""))), LEN(INDEX(FILTER(A$1:A567, A$1:A567&lt;&gt;""""),COUNTA(FILTER(A$1:A567, A$1:A567&lt;&gt;""""))))-1), IF('To Order'!$A568=COLUMNS($A568:A"&amp;"587), A567&amp;RIGHT(INDIRECT(ADDRESS(ROW(A568)-1, 'From Order'!$A568)), 1), A567))"),"")</f>
        <v/>
      </c>
      <c r="B568" s="2" t="str">
        <f>IFERROR(__xludf.DUMMYFUNCTION("IF('From Order'!$A568=COLUMNS($A568:B587), LEFT(INDEX(FILTER(B$1:B567, B$1:B567&lt;&gt;""""),COUNTA(FILTER(B$1:B567, B$1:B567&lt;&gt;""""))), LEN(INDEX(FILTER(B$1:B567, B$1:B567&lt;&gt;""""),COUNTA(FILTER(B$1:B567, B$1:B567&lt;&gt;""""))))-1), IF('To Order'!$A568=COLUMNS($A568:B"&amp;"587), B567&amp;RIGHT(INDIRECT(ADDRESS(ROW(B568)-1, 'From Order'!$A568)), 1), B567))"),"JZRVPVRZHMFBBFS")</f>
        <v>JZRVPVRZHMFBBFS</v>
      </c>
      <c r="C568" s="2" t="str">
        <f>IFERROR(__xludf.DUMMYFUNCTION("IF('From Order'!$A568=COLUMNS($A568:C587), LEFT(INDEX(FILTER(C$1:C567, C$1:C567&lt;&gt;""""),COUNTA(FILTER(C$1:C567, C$1:C567&lt;&gt;""""))), LEN(INDEX(FILTER(C$1:C567, C$1:C567&lt;&gt;""""),COUNTA(FILTER(C$1:C567, C$1:C567&lt;&gt;""""))))-1), IF('To Order'!$A568=COLUMNS($A568:C"&amp;"587), C567&amp;RIGHT(INDIRECT(ADDRESS(ROW(C568)-1, 'From Order'!$A568)), 1), C567))"),"")</f>
        <v/>
      </c>
      <c r="D568" s="2" t="str">
        <f>IFERROR(__xludf.DUMMYFUNCTION("IF('From Order'!$A568=COLUMNS($A568:D587), LEFT(INDEX(FILTER(D$1:D567, D$1:D567&lt;&gt;""""),COUNTA(FILTER(D$1:D567, D$1:D567&lt;&gt;""""))), LEN(INDEX(FILTER(D$1:D567, D$1:D567&lt;&gt;""""),COUNTA(FILTER(D$1:D567, D$1:D567&lt;&gt;""""))))-1), IF('To Order'!$A568=COLUMNS($A568:D"&amp;"587), D567&amp;RIGHT(INDIRECT(ADDRESS(ROW(D568)-1, 'From Order'!$A568)), 1), D567))"),"TM")</f>
        <v>TM</v>
      </c>
      <c r="E568" s="2" t="str">
        <f>IFERROR(__xludf.DUMMYFUNCTION("IF('From Order'!$A568=COLUMNS($A568:E587), LEFT(INDEX(FILTER(E$1:E567, E$1:E567&lt;&gt;""""),COUNTA(FILTER(E$1:E567, E$1:E567&lt;&gt;""""))), LEN(INDEX(FILTER(E$1:E567, E$1:E567&lt;&gt;""""),COUNTA(FILTER(E$1:E567, E$1:E567&lt;&gt;""""))))-1), IF('To Order'!$A568=COLUMNS($A568:E"&amp;"587), E567&amp;RIGHT(INDIRECT(ADDRESS(ROW(E568)-1, 'From Order'!$A568)), 1), E567))"),"LBSGDTL")</f>
        <v>LBSGDTL</v>
      </c>
      <c r="F568" s="2" t="str">
        <f>IFERROR(__xludf.DUMMYFUNCTION("IF('From Order'!$A568=COLUMNS($A568:F587), LEFT(INDEX(FILTER(F$1:F567, F$1:F567&lt;&gt;""""),COUNTA(FILTER(F$1:F567, F$1:F567&lt;&gt;""""))), LEN(INDEX(FILTER(F$1:F567, F$1:F567&lt;&gt;""""),COUNTA(FILTER(F$1:F567, F$1:F567&lt;&gt;""""))))-1), IF('To Order'!$A568=COLUMNS($A568:F"&amp;"587), F567&amp;RIGHT(INDIRECT(ADDRESS(ROW(F568)-1, 'From Order'!$A568)), 1), F567))"),"J")</f>
        <v>J</v>
      </c>
      <c r="G568" s="2" t="str">
        <f>IFERROR(__xludf.DUMMYFUNCTION("IF('From Order'!$A568=COLUMNS($A568:G587), LEFT(INDEX(FILTER(G$1:G567, G$1:G567&lt;&gt;""""),COUNTA(FILTER(G$1:G567, G$1:G567&lt;&gt;""""))), LEN(INDEX(FILTER(G$1:G567, G$1:G567&lt;&gt;""""),COUNTA(FILTER(G$1:G567, G$1:G567&lt;&gt;""""))))-1), IF('To Order'!$A568=COLUMNS($A568:G"&amp;"587), G567&amp;RIGHT(INDIRECT(ADDRESS(ROW(G568)-1, 'From Order'!$A568)), 1), G567))"),"")</f>
        <v/>
      </c>
      <c r="H568" s="2" t="str">
        <f>IFERROR(__xludf.DUMMYFUNCTION("IF('From Order'!$A568=COLUMNS($A568:H587), LEFT(INDEX(FILTER(H$1:H567, H$1:H567&lt;&gt;""""),COUNTA(FILTER(H$1:H567, H$1:H567&lt;&gt;""""))), LEN(INDEX(FILTER(H$1:H567, H$1:H567&lt;&gt;""""),COUNTA(FILTER(H$1:H567, H$1:H567&lt;&gt;""""))))-1), IF('To Order'!$A568=COLUMNS($A568:H"&amp;"587), H567&amp;RIGHT(INDIRECT(ADDRESS(ROW(H568)-1, 'From Order'!$A568)), 1), H567))"),"ZMDTCJTVCBPWHGSSDPQR")</f>
        <v>ZMDTCJTVCBPWHGSSDPQR</v>
      </c>
      <c r="I568" s="2" t="str">
        <f>IFERROR(__xludf.DUMMYFUNCTION("IF('From Order'!$A568=COLUMNS($A568:I587), LEFT(INDEX(FILTER(I$1:I567, I$1:I567&lt;&gt;""""),COUNTA(FILTER(I$1:I567, I$1:I567&lt;&gt;""""))), LEN(INDEX(FILTER(I$1:I567, I$1:I567&lt;&gt;""""),COUNTA(FILTER(I$1:I567, I$1:I567&lt;&gt;""""))))-1), IF('To Order'!$A568=COLUMNS($A568:I"&amp;"587), I567&amp;RIGHT(INDIRECT(ADDRESS(ROW(I568)-1, 'From Order'!$A568)), 1), I567))"),"DTWRDLRTDCQ")</f>
        <v>DTWRDLRTDCQ</v>
      </c>
    </row>
    <row r="569">
      <c r="A569" s="2" t="str">
        <f>IFERROR(__xludf.DUMMYFUNCTION("IF('From Order'!$A569=COLUMNS($A569:A588), LEFT(INDEX(FILTER(A$1:A568, A$1:A568&lt;&gt;""""),COUNTA(FILTER(A$1:A568, A$1:A568&lt;&gt;""""))), LEN(INDEX(FILTER(A$1:A568, A$1:A568&lt;&gt;""""),COUNTA(FILTER(A$1:A568, A$1:A568&lt;&gt;""""))))-1), IF('To Order'!$A569=COLUMNS($A569:A"&amp;"588), A568&amp;RIGHT(INDIRECT(ADDRESS(ROW(A569)-1, 'From Order'!$A569)), 1), A568))"),"")</f>
        <v/>
      </c>
      <c r="B569" s="2" t="str">
        <f>IFERROR(__xludf.DUMMYFUNCTION("IF('From Order'!$A569=COLUMNS($A569:B588), LEFT(INDEX(FILTER(B$1:B568, B$1:B568&lt;&gt;""""),COUNTA(FILTER(B$1:B568, B$1:B568&lt;&gt;""""))), LEN(INDEX(FILTER(B$1:B568, B$1:B568&lt;&gt;""""),COUNTA(FILTER(B$1:B568, B$1:B568&lt;&gt;""""))))-1), IF('To Order'!$A569=COLUMNS($A569:B"&amp;"588), B568&amp;RIGHT(INDIRECT(ADDRESS(ROW(B569)-1, 'From Order'!$A569)), 1), B568))"),"JZRVPVRZHMFBBFS")</f>
        <v>JZRVPVRZHMFBBFS</v>
      </c>
      <c r="C569" s="2" t="str">
        <f>IFERROR(__xludf.DUMMYFUNCTION("IF('From Order'!$A569=COLUMNS($A569:C588), LEFT(INDEX(FILTER(C$1:C568, C$1:C568&lt;&gt;""""),COUNTA(FILTER(C$1:C568, C$1:C568&lt;&gt;""""))), LEN(INDEX(FILTER(C$1:C568, C$1:C568&lt;&gt;""""),COUNTA(FILTER(C$1:C568, C$1:C568&lt;&gt;""""))))-1), IF('To Order'!$A569=COLUMNS($A569:C"&amp;"588), C568&amp;RIGHT(INDIRECT(ADDRESS(ROW(C569)-1, 'From Order'!$A569)), 1), C568))"),"")</f>
        <v/>
      </c>
      <c r="D569" s="2" t="str">
        <f>IFERROR(__xludf.DUMMYFUNCTION("IF('From Order'!$A569=COLUMNS($A569:D588), LEFT(INDEX(FILTER(D$1:D568, D$1:D568&lt;&gt;""""),COUNTA(FILTER(D$1:D568, D$1:D568&lt;&gt;""""))), LEN(INDEX(FILTER(D$1:D568, D$1:D568&lt;&gt;""""),COUNTA(FILTER(D$1:D568, D$1:D568&lt;&gt;""""))))-1), IF('To Order'!$A569=COLUMNS($A569:D"&amp;"588), D568&amp;RIGHT(INDIRECT(ADDRESS(ROW(D569)-1, 'From Order'!$A569)), 1), D568))"),"TMQ")</f>
        <v>TMQ</v>
      </c>
      <c r="E569" s="2" t="str">
        <f>IFERROR(__xludf.DUMMYFUNCTION("IF('From Order'!$A569=COLUMNS($A569:E588), LEFT(INDEX(FILTER(E$1:E568, E$1:E568&lt;&gt;""""),COUNTA(FILTER(E$1:E568, E$1:E568&lt;&gt;""""))), LEN(INDEX(FILTER(E$1:E568, E$1:E568&lt;&gt;""""),COUNTA(FILTER(E$1:E568, E$1:E568&lt;&gt;""""))))-1), IF('To Order'!$A569=COLUMNS($A569:E"&amp;"588), E568&amp;RIGHT(INDIRECT(ADDRESS(ROW(E569)-1, 'From Order'!$A569)), 1), E568))"),"LBSGDTL")</f>
        <v>LBSGDTL</v>
      </c>
      <c r="F569" s="2" t="str">
        <f>IFERROR(__xludf.DUMMYFUNCTION("IF('From Order'!$A569=COLUMNS($A569:F588), LEFT(INDEX(FILTER(F$1:F568, F$1:F568&lt;&gt;""""),COUNTA(FILTER(F$1:F568, F$1:F568&lt;&gt;""""))), LEN(INDEX(FILTER(F$1:F568, F$1:F568&lt;&gt;""""),COUNTA(FILTER(F$1:F568, F$1:F568&lt;&gt;""""))))-1), IF('To Order'!$A569=COLUMNS($A569:F"&amp;"588), F568&amp;RIGHT(INDIRECT(ADDRESS(ROW(F569)-1, 'From Order'!$A569)), 1), F568))"),"J")</f>
        <v>J</v>
      </c>
      <c r="G569" s="2" t="str">
        <f>IFERROR(__xludf.DUMMYFUNCTION("IF('From Order'!$A569=COLUMNS($A569:G588), LEFT(INDEX(FILTER(G$1:G568, G$1:G568&lt;&gt;""""),COUNTA(FILTER(G$1:G568, G$1:G568&lt;&gt;""""))), LEN(INDEX(FILTER(G$1:G568, G$1:G568&lt;&gt;""""),COUNTA(FILTER(G$1:G568, G$1:G568&lt;&gt;""""))))-1), IF('To Order'!$A569=COLUMNS($A569:G"&amp;"588), G568&amp;RIGHT(INDIRECT(ADDRESS(ROW(G569)-1, 'From Order'!$A569)), 1), G568))"),"")</f>
        <v/>
      </c>
      <c r="H569" s="2" t="str">
        <f>IFERROR(__xludf.DUMMYFUNCTION("IF('From Order'!$A569=COLUMNS($A569:H588), LEFT(INDEX(FILTER(H$1:H568, H$1:H568&lt;&gt;""""),COUNTA(FILTER(H$1:H568, H$1:H568&lt;&gt;""""))), LEN(INDEX(FILTER(H$1:H568, H$1:H568&lt;&gt;""""),COUNTA(FILTER(H$1:H568, H$1:H568&lt;&gt;""""))))-1), IF('To Order'!$A569=COLUMNS($A569:H"&amp;"588), H568&amp;RIGHT(INDIRECT(ADDRESS(ROW(H569)-1, 'From Order'!$A569)), 1), H568))"),"ZMDTCJTVCBPWHGSSDPQR")</f>
        <v>ZMDTCJTVCBPWHGSSDPQR</v>
      </c>
      <c r="I569" s="2" t="str">
        <f>IFERROR(__xludf.DUMMYFUNCTION("IF('From Order'!$A569=COLUMNS($A569:I588), LEFT(INDEX(FILTER(I$1:I568, I$1:I568&lt;&gt;""""),COUNTA(FILTER(I$1:I568, I$1:I568&lt;&gt;""""))), LEN(INDEX(FILTER(I$1:I568, I$1:I568&lt;&gt;""""),COUNTA(FILTER(I$1:I568, I$1:I568&lt;&gt;""""))))-1), IF('To Order'!$A569=COLUMNS($A569:I"&amp;"588), I568&amp;RIGHT(INDIRECT(ADDRESS(ROW(I569)-1, 'From Order'!$A569)), 1), I568))"),"DTWRDLRTDC")</f>
        <v>DTWRDLRTDC</v>
      </c>
    </row>
    <row r="570">
      <c r="A570" s="2" t="str">
        <f>IFERROR(__xludf.DUMMYFUNCTION("IF('From Order'!$A570=COLUMNS($A570:A589), LEFT(INDEX(FILTER(A$1:A569, A$1:A569&lt;&gt;""""),COUNTA(FILTER(A$1:A569, A$1:A569&lt;&gt;""""))), LEN(INDEX(FILTER(A$1:A569, A$1:A569&lt;&gt;""""),COUNTA(FILTER(A$1:A569, A$1:A569&lt;&gt;""""))))-1), IF('To Order'!$A570=COLUMNS($A570:A"&amp;"589), A569&amp;RIGHT(INDIRECT(ADDRESS(ROW(A570)-1, 'From Order'!$A570)), 1), A569))"),"")</f>
        <v/>
      </c>
      <c r="B570" s="2" t="str">
        <f>IFERROR(__xludf.DUMMYFUNCTION("IF('From Order'!$A570=COLUMNS($A570:B589), LEFT(INDEX(FILTER(B$1:B569, B$1:B569&lt;&gt;""""),COUNTA(FILTER(B$1:B569, B$1:B569&lt;&gt;""""))), LEN(INDEX(FILTER(B$1:B569, B$1:B569&lt;&gt;""""),COUNTA(FILTER(B$1:B569, B$1:B569&lt;&gt;""""))))-1), IF('To Order'!$A570=COLUMNS($A570:B"&amp;"589), B569&amp;RIGHT(INDIRECT(ADDRESS(ROW(B570)-1, 'From Order'!$A570)), 1), B569))"),"JZRVPVRZHMFBBFS")</f>
        <v>JZRVPVRZHMFBBFS</v>
      </c>
      <c r="C570" s="2" t="str">
        <f>IFERROR(__xludf.DUMMYFUNCTION("IF('From Order'!$A570=COLUMNS($A570:C589), LEFT(INDEX(FILTER(C$1:C569, C$1:C569&lt;&gt;""""),COUNTA(FILTER(C$1:C569, C$1:C569&lt;&gt;""""))), LEN(INDEX(FILTER(C$1:C569, C$1:C569&lt;&gt;""""),COUNTA(FILTER(C$1:C569, C$1:C569&lt;&gt;""""))))-1), IF('To Order'!$A570=COLUMNS($A570:C"&amp;"589), C569&amp;RIGHT(INDIRECT(ADDRESS(ROW(C570)-1, 'From Order'!$A570)), 1), C569))"),"")</f>
        <v/>
      </c>
      <c r="D570" s="2" t="str">
        <f>IFERROR(__xludf.DUMMYFUNCTION("IF('From Order'!$A570=COLUMNS($A570:D589), LEFT(INDEX(FILTER(D$1:D569, D$1:D569&lt;&gt;""""),COUNTA(FILTER(D$1:D569, D$1:D569&lt;&gt;""""))), LEN(INDEX(FILTER(D$1:D569, D$1:D569&lt;&gt;""""),COUNTA(FILTER(D$1:D569, D$1:D569&lt;&gt;""""))))-1), IF('To Order'!$A570=COLUMNS($A570:D"&amp;"589), D569&amp;RIGHT(INDIRECT(ADDRESS(ROW(D570)-1, 'From Order'!$A570)), 1), D569))"),"TMQC")</f>
        <v>TMQC</v>
      </c>
      <c r="E570" s="2" t="str">
        <f>IFERROR(__xludf.DUMMYFUNCTION("IF('From Order'!$A570=COLUMNS($A570:E589), LEFT(INDEX(FILTER(E$1:E569, E$1:E569&lt;&gt;""""),COUNTA(FILTER(E$1:E569, E$1:E569&lt;&gt;""""))), LEN(INDEX(FILTER(E$1:E569, E$1:E569&lt;&gt;""""),COUNTA(FILTER(E$1:E569, E$1:E569&lt;&gt;""""))))-1), IF('To Order'!$A570=COLUMNS($A570:E"&amp;"589), E569&amp;RIGHT(INDIRECT(ADDRESS(ROW(E570)-1, 'From Order'!$A570)), 1), E569))"),"LBSGDTL")</f>
        <v>LBSGDTL</v>
      </c>
      <c r="F570" s="2" t="str">
        <f>IFERROR(__xludf.DUMMYFUNCTION("IF('From Order'!$A570=COLUMNS($A570:F589), LEFT(INDEX(FILTER(F$1:F569, F$1:F569&lt;&gt;""""),COUNTA(FILTER(F$1:F569, F$1:F569&lt;&gt;""""))), LEN(INDEX(FILTER(F$1:F569, F$1:F569&lt;&gt;""""),COUNTA(FILTER(F$1:F569, F$1:F569&lt;&gt;""""))))-1), IF('To Order'!$A570=COLUMNS($A570:F"&amp;"589), F569&amp;RIGHT(INDIRECT(ADDRESS(ROW(F570)-1, 'From Order'!$A570)), 1), F569))"),"J")</f>
        <v>J</v>
      </c>
      <c r="G570" s="2" t="str">
        <f>IFERROR(__xludf.DUMMYFUNCTION("IF('From Order'!$A570=COLUMNS($A570:G589), LEFT(INDEX(FILTER(G$1:G569, G$1:G569&lt;&gt;""""),COUNTA(FILTER(G$1:G569, G$1:G569&lt;&gt;""""))), LEN(INDEX(FILTER(G$1:G569, G$1:G569&lt;&gt;""""),COUNTA(FILTER(G$1:G569, G$1:G569&lt;&gt;""""))))-1), IF('To Order'!$A570=COLUMNS($A570:G"&amp;"589), G569&amp;RIGHT(INDIRECT(ADDRESS(ROW(G570)-1, 'From Order'!$A570)), 1), G569))"),"")</f>
        <v/>
      </c>
      <c r="H570" s="2" t="str">
        <f>IFERROR(__xludf.DUMMYFUNCTION("IF('From Order'!$A570=COLUMNS($A570:H589), LEFT(INDEX(FILTER(H$1:H569, H$1:H569&lt;&gt;""""),COUNTA(FILTER(H$1:H569, H$1:H569&lt;&gt;""""))), LEN(INDEX(FILTER(H$1:H569, H$1:H569&lt;&gt;""""),COUNTA(FILTER(H$1:H569, H$1:H569&lt;&gt;""""))))-1), IF('To Order'!$A570=COLUMNS($A570:H"&amp;"589), H569&amp;RIGHT(INDIRECT(ADDRESS(ROW(H570)-1, 'From Order'!$A570)), 1), H569))"),"ZMDTCJTVCBPWHGSSDPQR")</f>
        <v>ZMDTCJTVCBPWHGSSDPQR</v>
      </c>
      <c r="I570" s="2" t="str">
        <f>IFERROR(__xludf.DUMMYFUNCTION("IF('From Order'!$A570=COLUMNS($A570:I589), LEFT(INDEX(FILTER(I$1:I569, I$1:I569&lt;&gt;""""),COUNTA(FILTER(I$1:I569, I$1:I569&lt;&gt;""""))), LEN(INDEX(FILTER(I$1:I569, I$1:I569&lt;&gt;""""),COUNTA(FILTER(I$1:I569, I$1:I569&lt;&gt;""""))))-1), IF('To Order'!$A570=COLUMNS($A570:I"&amp;"589), I569&amp;RIGHT(INDIRECT(ADDRESS(ROW(I570)-1, 'From Order'!$A570)), 1), I569))"),"DTWRDLRTD")</f>
        <v>DTWRDLRTD</v>
      </c>
    </row>
    <row r="571">
      <c r="A571" s="2" t="str">
        <f>IFERROR(__xludf.DUMMYFUNCTION("IF('From Order'!$A571=COLUMNS($A571:A590), LEFT(INDEX(FILTER(A$1:A570, A$1:A570&lt;&gt;""""),COUNTA(FILTER(A$1:A570, A$1:A570&lt;&gt;""""))), LEN(INDEX(FILTER(A$1:A570, A$1:A570&lt;&gt;""""),COUNTA(FILTER(A$1:A570, A$1:A570&lt;&gt;""""))))-1), IF('To Order'!$A571=COLUMNS($A571:A"&amp;"590), A570&amp;RIGHT(INDIRECT(ADDRESS(ROW(A571)-1, 'From Order'!$A571)), 1), A570))"),"")</f>
        <v/>
      </c>
      <c r="B571" s="2" t="str">
        <f>IFERROR(__xludf.DUMMYFUNCTION("IF('From Order'!$A571=COLUMNS($A571:B590), LEFT(INDEX(FILTER(B$1:B570, B$1:B570&lt;&gt;""""),COUNTA(FILTER(B$1:B570, B$1:B570&lt;&gt;""""))), LEN(INDEX(FILTER(B$1:B570, B$1:B570&lt;&gt;""""),COUNTA(FILTER(B$1:B570, B$1:B570&lt;&gt;""""))))-1), IF('To Order'!$A571=COLUMNS($A571:B"&amp;"590), B570&amp;RIGHT(INDIRECT(ADDRESS(ROW(B571)-1, 'From Order'!$A571)), 1), B570))"),"JZRVPVRZHMFBBFS")</f>
        <v>JZRVPVRZHMFBBFS</v>
      </c>
      <c r="C571" s="2" t="str">
        <f>IFERROR(__xludf.DUMMYFUNCTION("IF('From Order'!$A571=COLUMNS($A571:C590), LEFT(INDEX(FILTER(C$1:C570, C$1:C570&lt;&gt;""""),COUNTA(FILTER(C$1:C570, C$1:C570&lt;&gt;""""))), LEN(INDEX(FILTER(C$1:C570, C$1:C570&lt;&gt;""""),COUNTA(FILTER(C$1:C570, C$1:C570&lt;&gt;""""))))-1), IF('To Order'!$A571=COLUMNS($A571:C"&amp;"590), C570&amp;RIGHT(INDIRECT(ADDRESS(ROW(C571)-1, 'From Order'!$A571)), 1), C570))"),"")</f>
        <v/>
      </c>
      <c r="D571" s="2" t="str">
        <f>IFERROR(__xludf.DUMMYFUNCTION("IF('From Order'!$A571=COLUMNS($A571:D590), LEFT(INDEX(FILTER(D$1:D570, D$1:D570&lt;&gt;""""),COUNTA(FILTER(D$1:D570, D$1:D570&lt;&gt;""""))), LEN(INDEX(FILTER(D$1:D570, D$1:D570&lt;&gt;""""),COUNTA(FILTER(D$1:D570, D$1:D570&lt;&gt;""""))))-1), IF('To Order'!$A571=COLUMNS($A571:D"&amp;"590), D570&amp;RIGHT(INDIRECT(ADDRESS(ROW(D571)-1, 'From Order'!$A571)), 1), D570))"),"TMQCD")</f>
        <v>TMQCD</v>
      </c>
      <c r="E571" s="2" t="str">
        <f>IFERROR(__xludf.DUMMYFUNCTION("IF('From Order'!$A571=COLUMNS($A571:E590), LEFT(INDEX(FILTER(E$1:E570, E$1:E570&lt;&gt;""""),COUNTA(FILTER(E$1:E570, E$1:E570&lt;&gt;""""))), LEN(INDEX(FILTER(E$1:E570, E$1:E570&lt;&gt;""""),COUNTA(FILTER(E$1:E570, E$1:E570&lt;&gt;""""))))-1), IF('To Order'!$A571=COLUMNS($A571:E"&amp;"590), E570&amp;RIGHT(INDIRECT(ADDRESS(ROW(E571)-1, 'From Order'!$A571)), 1), E570))"),"LBSGDTL")</f>
        <v>LBSGDTL</v>
      </c>
      <c r="F571" s="2" t="str">
        <f>IFERROR(__xludf.DUMMYFUNCTION("IF('From Order'!$A571=COLUMNS($A571:F590), LEFT(INDEX(FILTER(F$1:F570, F$1:F570&lt;&gt;""""),COUNTA(FILTER(F$1:F570, F$1:F570&lt;&gt;""""))), LEN(INDEX(FILTER(F$1:F570, F$1:F570&lt;&gt;""""),COUNTA(FILTER(F$1:F570, F$1:F570&lt;&gt;""""))))-1), IF('To Order'!$A571=COLUMNS($A571:F"&amp;"590), F570&amp;RIGHT(INDIRECT(ADDRESS(ROW(F571)-1, 'From Order'!$A571)), 1), F570))"),"J")</f>
        <v>J</v>
      </c>
      <c r="G571" s="2" t="str">
        <f>IFERROR(__xludf.DUMMYFUNCTION("IF('From Order'!$A571=COLUMNS($A571:G590), LEFT(INDEX(FILTER(G$1:G570, G$1:G570&lt;&gt;""""),COUNTA(FILTER(G$1:G570, G$1:G570&lt;&gt;""""))), LEN(INDEX(FILTER(G$1:G570, G$1:G570&lt;&gt;""""),COUNTA(FILTER(G$1:G570, G$1:G570&lt;&gt;""""))))-1), IF('To Order'!$A571=COLUMNS($A571:G"&amp;"590), G570&amp;RIGHT(INDIRECT(ADDRESS(ROW(G571)-1, 'From Order'!$A571)), 1), G570))"),"")</f>
        <v/>
      </c>
      <c r="H571" s="2" t="str">
        <f>IFERROR(__xludf.DUMMYFUNCTION("IF('From Order'!$A571=COLUMNS($A571:H590), LEFT(INDEX(FILTER(H$1:H570, H$1:H570&lt;&gt;""""),COUNTA(FILTER(H$1:H570, H$1:H570&lt;&gt;""""))), LEN(INDEX(FILTER(H$1:H570, H$1:H570&lt;&gt;""""),COUNTA(FILTER(H$1:H570, H$1:H570&lt;&gt;""""))))-1), IF('To Order'!$A571=COLUMNS($A571:H"&amp;"590), H570&amp;RIGHT(INDIRECT(ADDRESS(ROW(H571)-1, 'From Order'!$A571)), 1), H570))"),"ZMDTCJTVCBPWHGSSDPQR")</f>
        <v>ZMDTCJTVCBPWHGSSDPQR</v>
      </c>
      <c r="I571" s="2" t="str">
        <f>IFERROR(__xludf.DUMMYFUNCTION("IF('From Order'!$A571=COLUMNS($A571:I590), LEFT(INDEX(FILTER(I$1:I570, I$1:I570&lt;&gt;""""),COUNTA(FILTER(I$1:I570, I$1:I570&lt;&gt;""""))), LEN(INDEX(FILTER(I$1:I570, I$1:I570&lt;&gt;""""),COUNTA(FILTER(I$1:I570, I$1:I570&lt;&gt;""""))))-1), IF('To Order'!$A571=COLUMNS($A571:I"&amp;"590), I570&amp;RIGHT(INDIRECT(ADDRESS(ROW(I571)-1, 'From Order'!$A571)), 1), I570))"),"DTWRDLRT")</f>
        <v>DTWRDLRT</v>
      </c>
    </row>
    <row r="572">
      <c r="A572" s="2" t="str">
        <f>IFERROR(__xludf.DUMMYFUNCTION("IF('From Order'!$A572=COLUMNS($A572:A591), LEFT(INDEX(FILTER(A$1:A571, A$1:A571&lt;&gt;""""),COUNTA(FILTER(A$1:A571, A$1:A571&lt;&gt;""""))), LEN(INDEX(FILTER(A$1:A571, A$1:A571&lt;&gt;""""),COUNTA(FILTER(A$1:A571, A$1:A571&lt;&gt;""""))))-1), IF('To Order'!$A572=COLUMNS($A572:A"&amp;"591), A571&amp;RIGHT(INDIRECT(ADDRESS(ROW(A572)-1, 'From Order'!$A572)), 1), A571))"),"")</f>
        <v/>
      </c>
      <c r="B572" s="2" t="str">
        <f>IFERROR(__xludf.DUMMYFUNCTION("IF('From Order'!$A572=COLUMNS($A572:B591), LEFT(INDEX(FILTER(B$1:B571, B$1:B571&lt;&gt;""""),COUNTA(FILTER(B$1:B571, B$1:B571&lt;&gt;""""))), LEN(INDEX(FILTER(B$1:B571, B$1:B571&lt;&gt;""""),COUNTA(FILTER(B$1:B571, B$1:B571&lt;&gt;""""))))-1), IF('To Order'!$A572=COLUMNS($A572:B"&amp;"591), B571&amp;RIGHT(INDIRECT(ADDRESS(ROW(B572)-1, 'From Order'!$A572)), 1), B571))"),"JZRVPVRZHMFBBFS")</f>
        <v>JZRVPVRZHMFBBFS</v>
      </c>
      <c r="C572" s="2" t="str">
        <f>IFERROR(__xludf.DUMMYFUNCTION("IF('From Order'!$A572=COLUMNS($A572:C591), LEFT(INDEX(FILTER(C$1:C571, C$1:C571&lt;&gt;""""),COUNTA(FILTER(C$1:C571, C$1:C571&lt;&gt;""""))), LEN(INDEX(FILTER(C$1:C571, C$1:C571&lt;&gt;""""),COUNTA(FILTER(C$1:C571, C$1:C571&lt;&gt;""""))))-1), IF('To Order'!$A572=COLUMNS($A572:C"&amp;"591), C571&amp;RIGHT(INDIRECT(ADDRESS(ROW(C572)-1, 'From Order'!$A572)), 1), C571))"),"")</f>
        <v/>
      </c>
      <c r="D572" s="2" t="str">
        <f>IFERROR(__xludf.DUMMYFUNCTION("IF('From Order'!$A572=COLUMNS($A572:D591), LEFT(INDEX(FILTER(D$1:D571, D$1:D571&lt;&gt;""""),COUNTA(FILTER(D$1:D571, D$1:D571&lt;&gt;""""))), LEN(INDEX(FILTER(D$1:D571, D$1:D571&lt;&gt;""""),COUNTA(FILTER(D$1:D571, D$1:D571&lt;&gt;""""))))-1), IF('To Order'!$A572=COLUMNS($A572:D"&amp;"591), D571&amp;RIGHT(INDIRECT(ADDRESS(ROW(D572)-1, 'From Order'!$A572)), 1), D571))"),"TMQCDT")</f>
        <v>TMQCDT</v>
      </c>
      <c r="E572" s="2" t="str">
        <f>IFERROR(__xludf.DUMMYFUNCTION("IF('From Order'!$A572=COLUMNS($A572:E591), LEFT(INDEX(FILTER(E$1:E571, E$1:E571&lt;&gt;""""),COUNTA(FILTER(E$1:E571, E$1:E571&lt;&gt;""""))), LEN(INDEX(FILTER(E$1:E571, E$1:E571&lt;&gt;""""),COUNTA(FILTER(E$1:E571, E$1:E571&lt;&gt;""""))))-1), IF('To Order'!$A572=COLUMNS($A572:E"&amp;"591), E571&amp;RIGHT(INDIRECT(ADDRESS(ROW(E572)-1, 'From Order'!$A572)), 1), E571))"),"LBSGDTL")</f>
        <v>LBSGDTL</v>
      </c>
      <c r="F572" s="2" t="str">
        <f>IFERROR(__xludf.DUMMYFUNCTION("IF('From Order'!$A572=COLUMNS($A572:F591), LEFT(INDEX(FILTER(F$1:F571, F$1:F571&lt;&gt;""""),COUNTA(FILTER(F$1:F571, F$1:F571&lt;&gt;""""))), LEN(INDEX(FILTER(F$1:F571, F$1:F571&lt;&gt;""""),COUNTA(FILTER(F$1:F571, F$1:F571&lt;&gt;""""))))-1), IF('To Order'!$A572=COLUMNS($A572:F"&amp;"591), F571&amp;RIGHT(INDIRECT(ADDRESS(ROW(F572)-1, 'From Order'!$A572)), 1), F571))"),"J")</f>
        <v>J</v>
      </c>
      <c r="G572" s="2" t="str">
        <f>IFERROR(__xludf.DUMMYFUNCTION("IF('From Order'!$A572=COLUMNS($A572:G591), LEFT(INDEX(FILTER(G$1:G571, G$1:G571&lt;&gt;""""),COUNTA(FILTER(G$1:G571, G$1:G571&lt;&gt;""""))), LEN(INDEX(FILTER(G$1:G571, G$1:G571&lt;&gt;""""),COUNTA(FILTER(G$1:G571, G$1:G571&lt;&gt;""""))))-1), IF('To Order'!$A572=COLUMNS($A572:G"&amp;"591), G571&amp;RIGHT(INDIRECT(ADDRESS(ROW(G572)-1, 'From Order'!$A572)), 1), G571))"),"")</f>
        <v/>
      </c>
      <c r="H572" s="2" t="str">
        <f>IFERROR(__xludf.DUMMYFUNCTION("IF('From Order'!$A572=COLUMNS($A572:H591), LEFT(INDEX(FILTER(H$1:H571, H$1:H571&lt;&gt;""""),COUNTA(FILTER(H$1:H571, H$1:H571&lt;&gt;""""))), LEN(INDEX(FILTER(H$1:H571, H$1:H571&lt;&gt;""""),COUNTA(FILTER(H$1:H571, H$1:H571&lt;&gt;""""))))-1), IF('To Order'!$A572=COLUMNS($A572:H"&amp;"591), H571&amp;RIGHT(INDIRECT(ADDRESS(ROW(H572)-1, 'From Order'!$A572)), 1), H571))"),"ZMDTCJTVCBPWHGSSDPQR")</f>
        <v>ZMDTCJTVCBPWHGSSDPQR</v>
      </c>
      <c r="I572" s="2" t="str">
        <f>IFERROR(__xludf.DUMMYFUNCTION("IF('From Order'!$A572=COLUMNS($A572:I591), LEFT(INDEX(FILTER(I$1:I571, I$1:I571&lt;&gt;""""),COUNTA(FILTER(I$1:I571, I$1:I571&lt;&gt;""""))), LEN(INDEX(FILTER(I$1:I571, I$1:I571&lt;&gt;""""),COUNTA(FILTER(I$1:I571, I$1:I571&lt;&gt;""""))))-1), IF('To Order'!$A572=COLUMNS($A572:I"&amp;"591), I571&amp;RIGHT(INDIRECT(ADDRESS(ROW(I572)-1, 'From Order'!$A572)), 1), I571))"),"DTWRDLR")</f>
        <v>DTWRDLR</v>
      </c>
    </row>
    <row r="573">
      <c r="A573" s="2" t="str">
        <f>IFERROR(__xludf.DUMMYFUNCTION("IF('From Order'!$A573=COLUMNS($A573:A592), LEFT(INDEX(FILTER(A$1:A572, A$1:A572&lt;&gt;""""),COUNTA(FILTER(A$1:A572, A$1:A572&lt;&gt;""""))), LEN(INDEX(FILTER(A$1:A572, A$1:A572&lt;&gt;""""),COUNTA(FILTER(A$1:A572, A$1:A572&lt;&gt;""""))))-1), IF('To Order'!$A573=COLUMNS($A573:A"&amp;"592), A572&amp;RIGHT(INDIRECT(ADDRESS(ROW(A573)-1, 'From Order'!$A573)), 1), A572))"),"")</f>
        <v/>
      </c>
      <c r="B573" s="2" t="str">
        <f>IFERROR(__xludf.DUMMYFUNCTION("IF('From Order'!$A573=COLUMNS($A573:B592), LEFT(INDEX(FILTER(B$1:B572, B$1:B572&lt;&gt;""""),COUNTA(FILTER(B$1:B572, B$1:B572&lt;&gt;""""))), LEN(INDEX(FILTER(B$1:B572, B$1:B572&lt;&gt;""""),COUNTA(FILTER(B$1:B572, B$1:B572&lt;&gt;""""))))-1), IF('To Order'!$A573=COLUMNS($A573:B"&amp;"592), B572&amp;RIGHT(INDIRECT(ADDRESS(ROW(B573)-1, 'From Order'!$A573)), 1), B572))"),"JZRVPVRZHMFBBFS")</f>
        <v>JZRVPVRZHMFBBFS</v>
      </c>
      <c r="C573" s="2" t="str">
        <f>IFERROR(__xludf.DUMMYFUNCTION("IF('From Order'!$A573=COLUMNS($A573:C592), LEFT(INDEX(FILTER(C$1:C572, C$1:C572&lt;&gt;""""),COUNTA(FILTER(C$1:C572, C$1:C572&lt;&gt;""""))), LEN(INDEX(FILTER(C$1:C572, C$1:C572&lt;&gt;""""),COUNTA(FILTER(C$1:C572, C$1:C572&lt;&gt;""""))))-1), IF('To Order'!$A573=COLUMNS($A573:C"&amp;"592), C572&amp;RIGHT(INDIRECT(ADDRESS(ROW(C573)-1, 'From Order'!$A573)), 1), C572))"),"")</f>
        <v/>
      </c>
      <c r="D573" s="2" t="str">
        <f>IFERROR(__xludf.DUMMYFUNCTION("IF('From Order'!$A573=COLUMNS($A573:D592), LEFT(INDEX(FILTER(D$1:D572, D$1:D572&lt;&gt;""""),COUNTA(FILTER(D$1:D572, D$1:D572&lt;&gt;""""))), LEN(INDEX(FILTER(D$1:D572, D$1:D572&lt;&gt;""""),COUNTA(FILTER(D$1:D572, D$1:D572&lt;&gt;""""))))-1), IF('To Order'!$A573=COLUMNS($A573:D"&amp;"592), D572&amp;RIGHT(INDIRECT(ADDRESS(ROW(D573)-1, 'From Order'!$A573)), 1), D572))"),"TMQCDTR")</f>
        <v>TMQCDTR</v>
      </c>
      <c r="E573" s="2" t="str">
        <f>IFERROR(__xludf.DUMMYFUNCTION("IF('From Order'!$A573=COLUMNS($A573:E592), LEFT(INDEX(FILTER(E$1:E572, E$1:E572&lt;&gt;""""),COUNTA(FILTER(E$1:E572, E$1:E572&lt;&gt;""""))), LEN(INDEX(FILTER(E$1:E572, E$1:E572&lt;&gt;""""),COUNTA(FILTER(E$1:E572, E$1:E572&lt;&gt;""""))))-1), IF('To Order'!$A573=COLUMNS($A573:E"&amp;"592), E572&amp;RIGHT(INDIRECT(ADDRESS(ROW(E573)-1, 'From Order'!$A573)), 1), E572))"),"LBSGDTL")</f>
        <v>LBSGDTL</v>
      </c>
      <c r="F573" s="2" t="str">
        <f>IFERROR(__xludf.DUMMYFUNCTION("IF('From Order'!$A573=COLUMNS($A573:F592), LEFT(INDEX(FILTER(F$1:F572, F$1:F572&lt;&gt;""""),COUNTA(FILTER(F$1:F572, F$1:F572&lt;&gt;""""))), LEN(INDEX(FILTER(F$1:F572, F$1:F572&lt;&gt;""""),COUNTA(FILTER(F$1:F572, F$1:F572&lt;&gt;""""))))-1), IF('To Order'!$A573=COLUMNS($A573:F"&amp;"592), F572&amp;RIGHT(INDIRECT(ADDRESS(ROW(F573)-1, 'From Order'!$A573)), 1), F572))"),"J")</f>
        <v>J</v>
      </c>
      <c r="G573" s="2" t="str">
        <f>IFERROR(__xludf.DUMMYFUNCTION("IF('From Order'!$A573=COLUMNS($A573:G592), LEFT(INDEX(FILTER(G$1:G572, G$1:G572&lt;&gt;""""),COUNTA(FILTER(G$1:G572, G$1:G572&lt;&gt;""""))), LEN(INDEX(FILTER(G$1:G572, G$1:G572&lt;&gt;""""),COUNTA(FILTER(G$1:G572, G$1:G572&lt;&gt;""""))))-1), IF('To Order'!$A573=COLUMNS($A573:G"&amp;"592), G572&amp;RIGHT(INDIRECT(ADDRESS(ROW(G573)-1, 'From Order'!$A573)), 1), G572))"),"")</f>
        <v/>
      </c>
      <c r="H573" s="2" t="str">
        <f>IFERROR(__xludf.DUMMYFUNCTION("IF('From Order'!$A573=COLUMNS($A573:H592), LEFT(INDEX(FILTER(H$1:H572, H$1:H572&lt;&gt;""""),COUNTA(FILTER(H$1:H572, H$1:H572&lt;&gt;""""))), LEN(INDEX(FILTER(H$1:H572, H$1:H572&lt;&gt;""""),COUNTA(FILTER(H$1:H572, H$1:H572&lt;&gt;""""))))-1), IF('To Order'!$A573=COLUMNS($A573:H"&amp;"592), H572&amp;RIGHT(INDIRECT(ADDRESS(ROW(H573)-1, 'From Order'!$A573)), 1), H572))"),"ZMDTCJTVCBPWHGSSDPQR")</f>
        <v>ZMDTCJTVCBPWHGSSDPQR</v>
      </c>
      <c r="I573" s="2" t="str">
        <f>IFERROR(__xludf.DUMMYFUNCTION("IF('From Order'!$A573=COLUMNS($A573:I592), LEFT(INDEX(FILTER(I$1:I572, I$1:I572&lt;&gt;""""),COUNTA(FILTER(I$1:I572, I$1:I572&lt;&gt;""""))), LEN(INDEX(FILTER(I$1:I572, I$1:I572&lt;&gt;""""),COUNTA(FILTER(I$1:I572, I$1:I572&lt;&gt;""""))))-1), IF('To Order'!$A573=COLUMNS($A573:I"&amp;"592), I572&amp;RIGHT(INDIRECT(ADDRESS(ROW(I573)-1, 'From Order'!$A573)), 1), I572))"),"DTWRDL")</f>
        <v>DTWRDL</v>
      </c>
    </row>
    <row r="574">
      <c r="A574" s="2" t="str">
        <f>IFERROR(__xludf.DUMMYFUNCTION("IF('From Order'!$A574=COLUMNS($A574:A593), LEFT(INDEX(FILTER(A$1:A573, A$1:A573&lt;&gt;""""),COUNTA(FILTER(A$1:A573, A$1:A573&lt;&gt;""""))), LEN(INDEX(FILTER(A$1:A573, A$1:A573&lt;&gt;""""),COUNTA(FILTER(A$1:A573, A$1:A573&lt;&gt;""""))))-1), IF('To Order'!$A574=COLUMNS($A574:A"&amp;"593), A573&amp;RIGHT(INDIRECT(ADDRESS(ROW(A574)-1, 'From Order'!$A574)), 1), A573))"),"")</f>
        <v/>
      </c>
      <c r="B574" s="2" t="str">
        <f>IFERROR(__xludf.DUMMYFUNCTION("IF('From Order'!$A574=COLUMNS($A574:B593), LEFT(INDEX(FILTER(B$1:B573, B$1:B573&lt;&gt;""""),COUNTA(FILTER(B$1:B573, B$1:B573&lt;&gt;""""))), LEN(INDEX(FILTER(B$1:B573, B$1:B573&lt;&gt;""""),COUNTA(FILTER(B$1:B573, B$1:B573&lt;&gt;""""))))-1), IF('To Order'!$A574=COLUMNS($A574:B"&amp;"593), B573&amp;RIGHT(INDIRECT(ADDRESS(ROW(B574)-1, 'From Order'!$A574)), 1), B573))"),"JZRVPVRZHMFBBFS")</f>
        <v>JZRVPVRZHMFBBFS</v>
      </c>
      <c r="C574" s="2" t="str">
        <f>IFERROR(__xludf.DUMMYFUNCTION("IF('From Order'!$A574=COLUMNS($A574:C593), LEFT(INDEX(FILTER(C$1:C573, C$1:C573&lt;&gt;""""),COUNTA(FILTER(C$1:C573, C$1:C573&lt;&gt;""""))), LEN(INDEX(FILTER(C$1:C573, C$1:C573&lt;&gt;""""),COUNTA(FILTER(C$1:C573, C$1:C573&lt;&gt;""""))))-1), IF('To Order'!$A574=COLUMNS($A574:C"&amp;"593), C573&amp;RIGHT(INDIRECT(ADDRESS(ROW(C574)-1, 'From Order'!$A574)), 1), C573))"),"")</f>
        <v/>
      </c>
      <c r="D574" s="2" t="str">
        <f>IFERROR(__xludf.DUMMYFUNCTION("IF('From Order'!$A574=COLUMNS($A574:D593), LEFT(INDEX(FILTER(D$1:D573, D$1:D573&lt;&gt;""""),COUNTA(FILTER(D$1:D573, D$1:D573&lt;&gt;""""))), LEN(INDEX(FILTER(D$1:D573, D$1:D573&lt;&gt;""""),COUNTA(FILTER(D$1:D573, D$1:D573&lt;&gt;""""))))-1), IF('To Order'!$A574=COLUMNS($A574:D"&amp;"593), D573&amp;RIGHT(INDIRECT(ADDRESS(ROW(D574)-1, 'From Order'!$A574)), 1), D573))"),"TMQCDTRL")</f>
        <v>TMQCDTRL</v>
      </c>
      <c r="E574" s="2" t="str">
        <f>IFERROR(__xludf.DUMMYFUNCTION("IF('From Order'!$A574=COLUMNS($A574:E593), LEFT(INDEX(FILTER(E$1:E573, E$1:E573&lt;&gt;""""),COUNTA(FILTER(E$1:E573, E$1:E573&lt;&gt;""""))), LEN(INDEX(FILTER(E$1:E573, E$1:E573&lt;&gt;""""),COUNTA(FILTER(E$1:E573, E$1:E573&lt;&gt;""""))))-1), IF('To Order'!$A574=COLUMNS($A574:E"&amp;"593), E573&amp;RIGHT(INDIRECT(ADDRESS(ROW(E574)-1, 'From Order'!$A574)), 1), E573))"),"LBSGDTL")</f>
        <v>LBSGDTL</v>
      </c>
      <c r="F574" s="2" t="str">
        <f>IFERROR(__xludf.DUMMYFUNCTION("IF('From Order'!$A574=COLUMNS($A574:F593), LEFT(INDEX(FILTER(F$1:F573, F$1:F573&lt;&gt;""""),COUNTA(FILTER(F$1:F573, F$1:F573&lt;&gt;""""))), LEN(INDEX(FILTER(F$1:F573, F$1:F573&lt;&gt;""""),COUNTA(FILTER(F$1:F573, F$1:F573&lt;&gt;""""))))-1), IF('To Order'!$A574=COLUMNS($A574:F"&amp;"593), F573&amp;RIGHT(INDIRECT(ADDRESS(ROW(F574)-1, 'From Order'!$A574)), 1), F573))"),"J")</f>
        <v>J</v>
      </c>
      <c r="G574" s="2" t="str">
        <f>IFERROR(__xludf.DUMMYFUNCTION("IF('From Order'!$A574=COLUMNS($A574:G593), LEFT(INDEX(FILTER(G$1:G573, G$1:G573&lt;&gt;""""),COUNTA(FILTER(G$1:G573, G$1:G573&lt;&gt;""""))), LEN(INDEX(FILTER(G$1:G573, G$1:G573&lt;&gt;""""),COUNTA(FILTER(G$1:G573, G$1:G573&lt;&gt;""""))))-1), IF('To Order'!$A574=COLUMNS($A574:G"&amp;"593), G573&amp;RIGHT(INDIRECT(ADDRESS(ROW(G574)-1, 'From Order'!$A574)), 1), G573))"),"")</f>
        <v/>
      </c>
      <c r="H574" s="2" t="str">
        <f>IFERROR(__xludf.DUMMYFUNCTION("IF('From Order'!$A574=COLUMNS($A574:H593), LEFT(INDEX(FILTER(H$1:H573, H$1:H573&lt;&gt;""""),COUNTA(FILTER(H$1:H573, H$1:H573&lt;&gt;""""))), LEN(INDEX(FILTER(H$1:H573, H$1:H573&lt;&gt;""""),COUNTA(FILTER(H$1:H573, H$1:H573&lt;&gt;""""))))-1), IF('To Order'!$A574=COLUMNS($A574:H"&amp;"593), H573&amp;RIGHT(INDIRECT(ADDRESS(ROW(H574)-1, 'From Order'!$A574)), 1), H573))"),"ZMDTCJTVCBPWHGSSDPQR")</f>
        <v>ZMDTCJTVCBPWHGSSDPQR</v>
      </c>
      <c r="I574" s="2" t="str">
        <f>IFERROR(__xludf.DUMMYFUNCTION("IF('From Order'!$A574=COLUMNS($A574:I593), LEFT(INDEX(FILTER(I$1:I573, I$1:I573&lt;&gt;""""),COUNTA(FILTER(I$1:I573, I$1:I573&lt;&gt;""""))), LEN(INDEX(FILTER(I$1:I573, I$1:I573&lt;&gt;""""),COUNTA(FILTER(I$1:I573, I$1:I573&lt;&gt;""""))))-1), IF('To Order'!$A574=COLUMNS($A574:I"&amp;"593), I573&amp;RIGHT(INDIRECT(ADDRESS(ROW(I574)-1, 'From Order'!$A574)), 1), I573))"),"DTWRD")</f>
        <v>DTWRD</v>
      </c>
    </row>
    <row r="575">
      <c r="A575" s="2" t="str">
        <f>IFERROR(__xludf.DUMMYFUNCTION("IF('From Order'!$A575=COLUMNS($A575:A594), LEFT(INDEX(FILTER(A$1:A574, A$1:A574&lt;&gt;""""),COUNTA(FILTER(A$1:A574, A$1:A574&lt;&gt;""""))), LEN(INDEX(FILTER(A$1:A574, A$1:A574&lt;&gt;""""),COUNTA(FILTER(A$1:A574, A$1:A574&lt;&gt;""""))))-1), IF('To Order'!$A575=COLUMNS($A575:A"&amp;"594), A574&amp;RIGHT(INDIRECT(ADDRESS(ROW(A575)-1, 'From Order'!$A575)), 1), A574))"),"")</f>
        <v/>
      </c>
      <c r="B575" s="2" t="str">
        <f>IFERROR(__xludf.DUMMYFUNCTION("IF('From Order'!$A575=COLUMNS($A575:B594), LEFT(INDEX(FILTER(B$1:B574, B$1:B574&lt;&gt;""""),COUNTA(FILTER(B$1:B574, B$1:B574&lt;&gt;""""))), LEN(INDEX(FILTER(B$1:B574, B$1:B574&lt;&gt;""""),COUNTA(FILTER(B$1:B574, B$1:B574&lt;&gt;""""))))-1), IF('To Order'!$A575=COLUMNS($A575:B"&amp;"594), B574&amp;RIGHT(INDIRECT(ADDRESS(ROW(B575)-1, 'From Order'!$A575)), 1), B574))"),"JZRVPVRZHMFBBFSL")</f>
        <v>JZRVPVRZHMFBBFSL</v>
      </c>
      <c r="C575" s="2" t="str">
        <f>IFERROR(__xludf.DUMMYFUNCTION("IF('From Order'!$A575=COLUMNS($A575:C594), LEFT(INDEX(FILTER(C$1:C574, C$1:C574&lt;&gt;""""),COUNTA(FILTER(C$1:C574, C$1:C574&lt;&gt;""""))), LEN(INDEX(FILTER(C$1:C574, C$1:C574&lt;&gt;""""),COUNTA(FILTER(C$1:C574, C$1:C574&lt;&gt;""""))))-1), IF('To Order'!$A575=COLUMNS($A575:C"&amp;"594), C574&amp;RIGHT(INDIRECT(ADDRESS(ROW(C575)-1, 'From Order'!$A575)), 1), C574))"),"")</f>
        <v/>
      </c>
      <c r="D575" s="2" t="str">
        <f>IFERROR(__xludf.DUMMYFUNCTION("IF('From Order'!$A575=COLUMNS($A575:D594), LEFT(INDEX(FILTER(D$1:D574, D$1:D574&lt;&gt;""""),COUNTA(FILTER(D$1:D574, D$1:D574&lt;&gt;""""))), LEN(INDEX(FILTER(D$1:D574, D$1:D574&lt;&gt;""""),COUNTA(FILTER(D$1:D574, D$1:D574&lt;&gt;""""))))-1), IF('To Order'!$A575=COLUMNS($A575:D"&amp;"594), D574&amp;RIGHT(INDIRECT(ADDRESS(ROW(D575)-1, 'From Order'!$A575)), 1), D574))"),"TMQCDTRL")</f>
        <v>TMQCDTRL</v>
      </c>
      <c r="E575" s="2" t="str">
        <f>IFERROR(__xludf.DUMMYFUNCTION("IF('From Order'!$A575=COLUMNS($A575:E594), LEFT(INDEX(FILTER(E$1:E574, E$1:E574&lt;&gt;""""),COUNTA(FILTER(E$1:E574, E$1:E574&lt;&gt;""""))), LEN(INDEX(FILTER(E$1:E574, E$1:E574&lt;&gt;""""),COUNTA(FILTER(E$1:E574, E$1:E574&lt;&gt;""""))))-1), IF('To Order'!$A575=COLUMNS($A575:E"&amp;"594), E574&amp;RIGHT(INDIRECT(ADDRESS(ROW(E575)-1, 'From Order'!$A575)), 1), E574))"),"LBSGDT")</f>
        <v>LBSGDT</v>
      </c>
      <c r="F575" s="2" t="str">
        <f>IFERROR(__xludf.DUMMYFUNCTION("IF('From Order'!$A575=COLUMNS($A575:F594), LEFT(INDEX(FILTER(F$1:F574, F$1:F574&lt;&gt;""""),COUNTA(FILTER(F$1:F574, F$1:F574&lt;&gt;""""))), LEN(INDEX(FILTER(F$1:F574, F$1:F574&lt;&gt;""""),COUNTA(FILTER(F$1:F574, F$1:F574&lt;&gt;""""))))-1), IF('To Order'!$A575=COLUMNS($A575:F"&amp;"594), F574&amp;RIGHT(INDIRECT(ADDRESS(ROW(F575)-1, 'From Order'!$A575)), 1), F574))"),"J")</f>
        <v>J</v>
      </c>
      <c r="G575" s="2" t="str">
        <f>IFERROR(__xludf.DUMMYFUNCTION("IF('From Order'!$A575=COLUMNS($A575:G594), LEFT(INDEX(FILTER(G$1:G574, G$1:G574&lt;&gt;""""),COUNTA(FILTER(G$1:G574, G$1:G574&lt;&gt;""""))), LEN(INDEX(FILTER(G$1:G574, G$1:G574&lt;&gt;""""),COUNTA(FILTER(G$1:G574, G$1:G574&lt;&gt;""""))))-1), IF('To Order'!$A575=COLUMNS($A575:G"&amp;"594), G574&amp;RIGHT(INDIRECT(ADDRESS(ROW(G575)-1, 'From Order'!$A575)), 1), G574))"),"")</f>
        <v/>
      </c>
      <c r="H575" s="2" t="str">
        <f>IFERROR(__xludf.DUMMYFUNCTION("IF('From Order'!$A575=COLUMNS($A575:H594), LEFT(INDEX(FILTER(H$1:H574, H$1:H574&lt;&gt;""""),COUNTA(FILTER(H$1:H574, H$1:H574&lt;&gt;""""))), LEN(INDEX(FILTER(H$1:H574, H$1:H574&lt;&gt;""""),COUNTA(FILTER(H$1:H574, H$1:H574&lt;&gt;""""))))-1), IF('To Order'!$A575=COLUMNS($A575:H"&amp;"594), H574&amp;RIGHT(INDIRECT(ADDRESS(ROW(H575)-1, 'From Order'!$A575)), 1), H574))"),"ZMDTCJTVCBPWHGSSDPQR")</f>
        <v>ZMDTCJTVCBPWHGSSDPQR</v>
      </c>
      <c r="I575" s="2" t="str">
        <f>IFERROR(__xludf.DUMMYFUNCTION("IF('From Order'!$A575=COLUMNS($A575:I594), LEFT(INDEX(FILTER(I$1:I574, I$1:I574&lt;&gt;""""),COUNTA(FILTER(I$1:I574, I$1:I574&lt;&gt;""""))), LEN(INDEX(FILTER(I$1:I574, I$1:I574&lt;&gt;""""),COUNTA(FILTER(I$1:I574, I$1:I574&lt;&gt;""""))))-1), IF('To Order'!$A575=COLUMNS($A575:I"&amp;"594), I574&amp;RIGHT(INDIRECT(ADDRESS(ROW(I575)-1, 'From Order'!$A575)), 1), I574))"),"DTWRD")</f>
        <v>DTWRD</v>
      </c>
    </row>
    <row r="576">
      <c r="A576" s="2" t="str">
        <f>IFERROR(__xludf.DUMMYFUNCTION("IF('From Order'!$A576=COLUMNS($A576:A595), LEFT(INDEX(FILTER(A$1:A575, A$1:A575&lt;&gt;""""),COUNTA(FILTER(A$1:A575, A$1:A575&lt;&gt;""""))), LEN(INDEX(FILTER(A$1:A575, A$1:A575&lt;&gt;""""),COUNTA(FILTER(A$1:A575, A$1:A575&lt;&gt;""""))))-1), IF('To Order'!$A576=COLUMNS($A576:A"&amp;"595), A575&amp;RIGHT(INDIRECT(ADDRESS(ROW(A576)-1, 'From Order'!$A576)), 1), A575))"),"")</f>
        <v/>
      </c>
      <c r="B576" s="2" t="str">
        <f>IFERROR(__xludf.DUMMYFUNCTION("IF('From Order'!$A576=COLUMNS($A576:B595), LEFT(INDEX(FILTER(B$1:B575, B$1:B575&lt;&gt;""""),COUNTA(FILTER(B$1:B575, B$1:B575&lt;&gt;""""))), LEN(INDEX(FILTER(B$1:B575, B$1:B575&lt;&gt;""""),COUNTA(FILTER(B$1:B575, B$1:B575&lt;&gt;""""))))-1), IF('To Order'!$A576=COLUMNS($A576:B"&amp;"595), B575&amp;RIGHT(INDIRECT(ADDRESS(ROW(B576)-1, 'From Order'!$A576)), 1), B575))"),"JZRVPVRZHMFBBFSLT")</f>
        <v>JZRVPVRZHMFBBFSLT</v>
      </c>
      <c r="C576" s="2" t="str">
        <f>IFERROR(__xludf.DUMMYFUNCTION("IF('From Order'!$A576=COLUMNS($A576:C595), LEFT(INDEX(FILTER(C$1:C575, C$1:C575&lt;&gt;""""),COUNTA(FILTER(C$1:C575, C$1:C575&lt;&gt;""""))), LEN(INDEX(FILTER(C$1:C575, C$1:C575&lt;&gt;""""),COUNTA(FILTER(C$1:C575, C$1:C575&lt;&gt;""""))))-1), IF('To Order'!$A576=COLUMNS($A576:C"&amp;"595), C575&amp;RIGHT(INDIRECT(ADDRESS(ROW(C576)-1, 'From Order'!$A576)), 1), C575))"),"")</f>
        <v/>
      </c>
      <c r="D576" s="2" t="str">
        <f>IFERROR(__xludf.DUMMYFUNCTION("IF('From Order'!$A576=COLUMNS($A576:D595), LEFT(INDEX(FILTER(D$1:D575, D$1:D575&lt;&gt;""""),COUNTA(FILTER(D$1:D575, D$1:D575&lt;&gt;""""))), LEN(INDEX(FILTER(D$1:D575, D$1:D575&lt;&gt;""""),COUNTA(FILTER(D$1:D575, D$1:D575&lt;&gt;""""))))-1), IF('To Order'!$A576=COLUMNS($A576:D"&amp;"595), D575&amp;RIGHT(INDIRECT(ADDRESS(ROW(D576)-1, 'From Order'!$A576)), 1), D575))"),"TMQCDTRL")</f>
        <v>TMQCDTRL</v>
      </c>
      <c r="E576" s="2" t="str">
        <f>IFERROR(__xludf.DUMMYFUNCTION("IF('From Order'!$A576=COLUMNS($A576:E595), LEFT(INDEX(FILTER(E$1:E575, E$1:E575&lt;&gt;""""),COUNTA(FILTER(E$1:E575, E$1:E575&lt;&gt;""""))), LEN(INDEX(FILTER(E$1:E575, E$1:E575&lt;&gt;""""),COUNTA(FILTER(E$1:E575, E$1:E575&lt;&gt;""""))))-1), IF('To Order'!$A576=COLUMNS($A576:E"&amp;"595), E575&amp;RIGHT(INDIRECT(ADDRESS(ROW(E576)-1, 'From Order'!$A576)), 1), E575))"),"LBSGD")</f>
        <v>LBSGD</v>
      </c>
      <c r="F576" s="2" t="str">
        <f>IFERROR(__xludf.DUMMYFUNCTION("IF('From Order'!$A576=COLUMNS($A576:F595), LEFT(INDEX(FILTER(F$1:F575, F$1:F575&lt;&gt;""""),COUNTA(FILTER(F$1:F575, F$1:F575&lt;&gt;""""))), LEN(INDEX(FILTER(F$1:F575, F$1:F575&lt;&gt;""""),COUNTA(FILTER(F$1:F575, F$1:F575&lt;&gt;""""))))-1), IF('To Order'!$A576=COLUMNS($A576:F"&amp;"595), F575&amp;RIGHT(INDIRECT(ADDRESS(ROW(F576)-1, 'From Order'!$A576)), 1), F575))"),"J")</f>
        <v>J</v>
      </c>
      <c r="G576" s="2" t="str">
        <f>IFERROR(__xludf.DUMMYFUNCTION("IF('From Order'!$A576=COLUMNS($A576:G595), LEFT(INDEX(FILTER(G$1:G575, G$1:G575&lt;&gt;""""),COUNTA(FILTER(G$1:G575, G$1:G575&lt;&gt;""""))), LEN(INDEX(FILTER(G$1:G575, G$1:G575&lt;&gt;""""),COUNTA(FILTER(G$1:G575, G$1:G575&lt;&gt;""""))))-1), IF('To Order'!$A576=COLUMNS($A576:G"&amp;"595), G575&amp;RIGHT(INDIRECT(ADDRESS(ROW(G576)-1, 'From Order'!$A576)), 1), G575))"),"")</f>
        <v/>
      </c>
      <c r="H576" s="2" t="str">
        <f>IFERROR(__xludf.DUMMYFUNCTION("IF('From Order'!$A576=COLUMNS($A576:H595), LEFT(INDEX(FILTER(H$1:H575, H$1:H575&lt;&gt;""""),COUNTA(FILTER(H$1:H575, H$1:H575&lt;&gt;""""))), LEN(INDEX(FILTER(H$1:H575, H$1:H575&lt;&gt;""""),COUNTA(FILTER(H$1:H575, H$1:H575&lt;&gt;""""))))-1), IF('To Order'!$A576=COLUMNS($A576:H"&amp;"595), H575&amp;RIGHT(INDIRECT(ADDRESS(ROW(H576)-1, 'From Order'!$A576)), 1), H575))"),"ZMDTCJTVCBPWHGSSDPQR")</f>
        <v>ZMDTCJTVCBPWHGSSDPQR</v>
      </c>
      <c r="I576" s="2" t="str">
        <f>IFERROR(__xludf.DUMMYFUNCTION("IF('From Order'!$A576=COLUMNS($A576:I595), LEFT(INDEX(FILTER(I$1:I575, I$1:I575&lt;&gt;""""),COUNTA(FILTER(I$1:I575, I$1:I575&lt;&gt;""""))), LEN(INDEX(FILTER(I$1:I575, I$1:I575&lt;&gt;""""),COUNTA(FILTER(I$1:I575, I$1:I575&lt;&gt;""""))))-1), IF('To Order'!$A576=COLUMNS($A576:I"&amp;"595), I575&amp;RIGHT(INDIRECT(ADDRESS(ROW(I576)-1, 'From Order'!$A576)), 1), I575))"),"DTWRD")</f>
        <v>DTWRD</v>
      </c>
    </row>
    <row r="577">
      <c r="A577" s="2" t="str">
        <f>IFERROR(__xludf.DUMMYFUNCTION("IF('From Order'!$A577=COLUMNS($A577:A596), LEFT(INDEX(FILTER(A$1:A576, A$1:A576&lt;&gt;""""),COUNTA(FILTER(A$1:A576, A$1:A576&lt;&gt;""""))), LEN(INDEX(FILTER(A$1:A576, A$1:A576&lt;&gt;""""),COUNTA(FILTER(A$1:A576, A$1:A576&lt;&gt;""""))))-1), IF('To Order'!$A577=COLUMNS($A577:A"&amp;"596), A576&amp;RIGHT(INDIRECT(ADDRESS(ROW(A577)-1, 'From Order'!$A577)), 1), A576))"),"")</f>
        <v/>
      </c>
      <c r="B577" s="2" t="str">
        <f>IFERROR(__xludf.DUMMYFUNCTION("IF('From Order'!$A577=COLUMNS($A577:B596), LEFT(INDEX(FILTER(B$1:B576, B$1:B576&lt;&gt;""""),COUNTA(FILTER(B$1:B576, B$1:B576&lt;&gt;""""))), LEN(INDEX(FILTER(B$1:B576, B$1:B576&lt;&gt;""""),COUNTA(FILTER(B$1:B576, B$1:B576&lt;&gt;""""))))-1), IF('To Order'!$A577=COLUMNS($A577:B"&amp;"596), B576&amp;RIGHT(INDIRECT(ADDRESS(ROW(B577)-1, 'From Order'!$A577)), 1), B576))"),"JZRVPVRZHMFBBFSLTD")</f>
        <v>JZRVPVRZHMFBBFSLTD</v>
      </c>
      <c r="C577" s="2" t="str">
        <f>IFERROR(__xludf.DUMMYFUNCTION("IF('From Order'!$A577=COLUMNS($A577:C596), LEFT(INDEX(FILTER(C$1:C576, C$1:C576&lt;&gt;""""),COUNTA(FILTER(C$1:C576, C$1:C576&lt;&gt;""""))), LEN(INDEX(FILTER(C$1:C576, C$1:C576&lt;&gt;""""),COUNTA(FILTER(C$1:C576, C$1:C576&lt;&gt;""""))))-1), IF('To Order'!$A577=COLUMNS($A577:C"&amp;"596), C576&amp;RIGHT(INDIRECT(ADDRESS(ROW(C577)-1, 'From Order'!$A577)), 1), C576))"),"")</f>
        <v/>
      </c>
      <c r="D577" s="2" t="str">
        <f>IFERROR(__xludf.DUMMYFUNCTION("IF('From Order'!$A577=COLUMNS($A577:D596), LEFT(INDEX(FILTER(D$1:D576, D$1:D576&lt;&gt;""""),COUNTA(FILTER(D$1:D576, D$1:D576&lt;&gt;""""))), LEN(INDEX(FILTER(D$1:D576, D$1:D576&lt;&gt;""""),COUNTA(FILTER(D$1:D576, D$1:D576&lt;&gt;""""))))-1), IF('To Order'!$A577=COLUMNS($A577:D"&amp;"596), D576&amp;RIGHT(INDIRECT(ADDRESS(ROW(D577)-1, 'From Order'!$A577)), 1), D576))"),"TMQCDTRL")</f>
        <v>TMQCDTRL</v>
      </c>
      <c r="E577" s="2" t="str">
        <f>IFERROR(__xludf.DUMMYFUNCTION("IF('From Order'!$A577=COLUMNS($A577:E596), LEFT(INDEX(FILTER(E$1:E576, E$1:E576&lt;&gt;""""),COUNTA(FILTER(E$1:E576, E$1:E576&lt;&gt;""""))), LEN(INDEX(FILTER(E$1:E576, E$1:E576&lt;&gt;""""),COUNTA(FILTER(E$1:E576, E$1:E576&lt;&gt;""""))))-1), IF('To Order'!$A577=COLUMNS($A577:E"&amp;"596), E576&amp;RIGHT(INDIRECT(ADDRESS(ROW(E577)-1, 'From Order'!$A577)), 1), E576))"),"LBSG")</f>
        <v>LBSG</v>
      </c>
      <c r="F577" s="2" t="str">
        <f>IFERROR(__xludf.DUMMYFUNCTION("IF('From Order'!$A577=COLUMNS($A577:F596), LEFT(INDEX(FILTER(F$1:F576, F$1:F576&lt;&gt;""""),COUNTA(FILTER(F$1:F576, F$1:F576&lt;&gt;""""))), LEN(INDEX(FILTER(F$1:F576, F$1:F576&lt;&gt;""""),COUNTA(FILTER(F$1:F576, F$1:F576&lt;&gt;""""))))-1), IF('To Order'!$A577=COLUMNS($A577:F"&amp;"596), F576&amp;RIGHT(INDIRECT(ADDRESS(ROW(F577)-1, 'From Order'!$A577)), 1), F576))"),"J")</f>
        <v>J</v>
      </c>
      <c r="G577" s="2" t="str">
        <f>IFERROR(__xludf.DUMMYFUNCTION("IF('From Order'!$A577=COLUMNS($A577:G596), LEFT(INDEX(FILTER(G$1:G576, G$1:G576&lt;&gt;""""),COUNTA(FILTER(G$1:G576, G$1:G576&lt;&gt;""""))), LEN(INDEX(FILTER(G$1:G576, G$1:G576&lt;&gt;""""),COUNTA(FILTER(G$1:G576, G$1:G576&lt;&gt;""""))))-1), IF('To Order'!$A577=COLUMNS($A577:G"&amp;"596), G576&amp;RIGHT(INDIRECT(ADDRESS(ROW(G577)-1, 'From Order'!$A577)), 1), G576))"),"")</f>
        <v/>
      </c>
      <c r="H577" s="2" t="str">
        <f>IFERROR(__xludf.DUMMYFUNCTION("IF('From Order'!$A577=COLUMNS($A577:H596), LEFT(INDEX(FILTER(H$1:H576, H$1:H576&lt;&gt;""""),COUNTA(FILTER(H$1:H576, H$1:H576&lt;&gt;""""))), LEN(INDEX(FILTER(H$1:H576, H$1:H576&lt;&gt;""""),COUNTA(FILTER(H$1:H576, H$1:H576&lt;&gt;""""))))-1), IF('To Order'!$A577=COLUMNS($A577:H"&amp;"596), H576&amp;RIGHT(INDIRECT(ADDRESS(ROW(H577)-1, 'From Order'!$A577)), 1), H576))"),"ZMDTCJTVCBPWHGSSDPQR")</f>
        <v>ZMDTCJTVCBPWHGSSDPQR</v>
      </c>
      <c r="I577" s="2" t="str">
        <f>IFERROR(__xludf.DUMMYFUNCTION("IF('From Order'!$A577=COLUMNS($A577:I596), LEFT(INDEX(FILTER(I$1:I576, I$1:I576&lt;&gt;""""),COUNTA(FILTER(I$1:I576, I$1:I576&lt;&gt;""""))), LEN(INDEX(FILTER(I$1:I576, I$1:I576&lt;&gt;""""),COUNTA(FILTER(I$1:I576, I$1:I576&lt;&gt;""""))))-1), IF('To Order'!$A577=COLUMNS($A577:I"&amp;"596), I576&amp;RIGHT(INDIRECT(ADDRESS(ROW(I577)-1, 'From Order'!$A577)), 1), I576))"),"DTWRD")</f>
        <v>DTWRD</v>
      </c>
    </row>
    <row r="578">
      <c r="A578" s="2" t="str">
        <f>IFERROR(__xludf.DUMMYFUNCTION("IF('From Order'!$A578=COLUMNS($A578:A597), LEFT(INDEX(FILTER(A$1:A577, A$1:A577&lt;&gt;""""),COUNTA(FILTER(A$1:A577, A$1:A577&lt;&gt;""""))), LEN(INDEX(FILTER(A$1:A577, A$1:A577&lt;&gt;""""),COUNTA(FILTER(A$1:A577, A$1:A577&lt;&gt;""""))))-1), IF('To Order'!$A578=COLUMNS($A578:A"&amp;"597), A577&amp;RIGHT(INDIRECT(ADDRESS(ROW(A578)-1, 'From Order'!$A578)), 1), A577))"),"")</f>
        <v/>
      </c>
      <c r="B578" s="2" t="str">
        <f>IFERROR(__xludf.DUMMYFUNCTION("IF('From Order'!$A578=COLUMNS($A578:B597), LEFT(INDEX(FILTER(B$1:B577, B$1:B577&lt;&gt;""""),COUNTA(FILTER(B$1:B577, B$1:B577&lt;&gt;""""))), LEN(INDEX(FILTER(B$1:B577, B$1:B577&lt;&gt;""""),COUNTA(FILTER(B$1:B577, B$1:B577&lt;&gt;""""))))-1), IF('To Order'!$A578=COLUMNS($A578:B"&amp;"597), B577&amp;RIGHT(INDIRECT(ADDRESS(ROW(B578)-1, 'From Order'!$A578)), 1), B577))"),"JZRVPVRZHMFBBFSLTDG")</f>
        <v>JZRVPVRZHMFBBFSLTDG</v>
      </c>
      <c r="C578" s="2" t="str">
        <f>IFERROR(__xludf.DUMMYFUNCTION("IF('From Order'!$A578=COLUMNS($A578:C597), LEFT(INDEX(FILTER(C$1:C577, C$1:C577&lt;&gt;""""),COUNTA(FILTER(C$1:C577, C$1:C577&lt;&gt;""""))), LEN(INDEX(FILTER(C$1:C577, C$1:C577&lt;&gt;""""),COUNTA(FILTER(C$1:C577, C$1:C577&lt;&gt;""""))))-1), IF('To Order'!$A578=COLUMNS($A578:C"&amp;"597), C577&amp;RIGHT(INDIRECT(ADDRESS(ROW(C578)-1, 'From Order'!$A578)), 1), C577))"),"")</f>
        <v/>
      </c>
      <c r="D578" s="2" t="str">
        <f>IFERROR(__xludf.DUMMYFUNCTION("IF('From Order'!$A578=COLUMNS($A578:D597), LEFT(INDEX(FILTER(D$1:D577, D$1:D577&lt;&gt;""""),COUNTA(FILTER(D$1:D577, D$1:D577&lt;&gt;""""))), LEN(INDEX(FILTER(D$1:D577, D$1:D577&lt;&gt;""""),COUNTA(FILTER(D$1:D577, D$1:D577&lt;&gt;""""))))-1), IF('To Order'!$A578=COLUMNS($A578:D"&amp;"597), D577&amp;RIGHT(INDIRECT(ADDRESS(ROW(D578)-1, 'From Order'!$A578)), 1), D577))"),"TMQCDTRL")</f>
        <v>TMQCDTRL</v>
      </c>
      <c r="E578" s="2" t="str">
        <f>IFERROR(__xludf.DUMMYFUNCTION("IF('From Order'!$A578=COLUMNS($A578:E597), LEFT(INDEX(FILTER(E$1:E577, E$1:E577&lt;&gt;""""),COUNTA(FILTER(E$1:E577, E$1:E577&lt;&gt;""""))), LEN(INDEX(FILTER(E$1:E577, E$1:E577&lt;&gt;""""),COUNTA(FILTER(E$1:E577, E$1:E577&lt;&gt;""""))))-1), IF('To Order'!$A578=COLUMNS($A578:E"&amp;"597), E577&amp;RIGHT(INDIRECT(ADDRESS(ROW(E578)-1, 'From Order'!$A578)), 1), E577))"),"LBS")</f>
        <v>LBS</v>
      </c>
      <c r="F578" s="2" t="str">
        <f>IFERROR(__xludf.DUMMYFUNCTION("IF('From Order'!$A578=COLUMNS($A578:F597), LEFT(INDEX(FILTER(F$1:F577, F$1:F577&lt;&gt;""""),COUNTA(FILTER(F$1:F577, F$1:F577&lt;&gt;""""))), LEN(INDEX(FILTER(F$1:F577, F$1:F577&lt;&gt;""""),COUNTA(FILTER(F$1:F577, F$1:F577&lt;&gt;""""))))-1), IF('To Order'!$A578=COLUMNS($A578:F"&amp;"597), F577&amp;RIGHT(INDIRECT(ADDRESS(ROW(F578)-1, 'From Order'!$A578)), 1), F577))"),"J")</f>
        <v>J</v>
      </c>
      <c r="G578" s="2" t="str">
        <f>IFERROR(__xludf.DUMMYFUNCTION("IF('From Order'!$A578=COLUMNS($A578:G597), LEFT(INDEX(FILTER(G$1:G577, G$1:G577&lt;&gt;""""),COUNTA(FILTER(G$1:G577, G$1:G577&lt;&gt;""""))), LEN(INDEX(FILTER(G$1:G577, G$1:G577&lt;&gt;""""),COUNTA(FILTER(G$1:G577, G$1:G577&lt;&gt;""""))))-1), IF('To Order'!$A578=COLUMNS($A578:G"&amp;"597), G577&amp;RIGHT(INDIRECT(ADDRESS(ROW(G578)-1, 'From Order'!$A578)), 1), G577))"),"")</f>
        <v/>
      </c>
      <c r="H578" s="2" t="str">
        <f>IFERROR(__xludf.DUMMYFUNCTION("IF('From Order'!$A578=COLUMNS($A578:H597), LEFT(INDEX(FILTER(H$1:H577, H$1:H577&lt;&gt;""""),COUNTA(FILTER(H$1:H577, H$1:H577&lt;&gt;""""))), LEN(INDEX(FILTER(H$1:H577, H$1:H577&lt;&gt;""""),COUNTA(FILTER(H$1:H577, H$1:H577&lt;&gt;""""))))-1), IF('To Order'!$A578=COLUMNS($A578:H"&amp;"597), H577&amp;RIGHT(INDIRECT(ADDRESS(ROW(H578)-1, 'From Order'!$A578)), 1), H577))"),"ZMDTCJTVCBPWHGSSDPQR")</f>
        <v>ZMDTCJTVCBPWHGSSDPQR</v>
      </c>
      <c r="I578" s="2" t="str">
        <f>IFERROR(__xludf.DUMMYFUNCTION("IF('From Order'!$A578=COLUMNS($A578:I597), LEFT(INDEX(FILTER(I$1:I577, I$1:I577&lt;&gt;""""),COUNTA(FILTER(I$1:I577, I$1:I577&lt;&gt;""""))), LEN(INDEX(FILTER(I$1:I577, I$1:I577&lt;&gt;""""),COUNTA(FILTER(I$1:I577, I$1:I577&lt;&gt;""""))))-1), IF('To Order'!$A578=COLUMNS($A578:I"&amp;"597), I577&amp;RIGHT(INDIRECT(ADDRESS(ROW(I578)-1, 'From Order'!$A578)), 1), I577))"),"DTWRD")</f>
        <v>DTWRD</v>
      </c>
    </row>
    <row r="579">
      <c r="A579" s="2" t="str">
        <f>IFERROR(__xludf.DUMMYFUNCTION("IF('From Order'!$A579=COLUMNS($A579:A598), LEFT(INDEX(FILTER(A$1:A578, A$1:A578&lt;&gt;""""),COUNTA(FILTER(A$1:A578, A$1:A578&lt;&gt;""""))), LEN(INDEX(FILTER(A$1:A578, A$1:A578&lt;&gt;""""),COUNTA(FILTER(A$1:A578, A$1:A578&lt;&gt;""""))))-1), IF('To Order'!$A579=COLUMNS($A579:A"&amp;"598), A578&amp;RIGHT(INDIRECT(ADDRESS(ROW(A579)-1, 'From Order'!$A579)), 1), A578))"),"")</f>
        <v/>
      </c>
      <c r="B579" s="2" t="str">
        <f>IFERROR(__xludf.DUMMYFUNCTION("IF('From Order'!$A579=COLUMNS($A579:B598), LEFT(INDEX(FILTER(B$1:B578, B$1:B578&lt;&gt;""""),COUNTA(FILTER(B$1:B578, B$1:B578&lt;&gt;""""))), LEN(INDEX(FILTER(B$1:B578, B$1:B578&lt;&gt;""""),COUNTA(FILTER(B$1:B578, B$1:B578&lt;&gt;""""))))-1), IF('To Order'!$A579=COLUMNS($A579:B"&amp;"598), B578&amp;RIGHT(INDIRECT(ADDRESS(ROW(B579)-1, 'From Order'!$A579)), 1), B578))"),"JZRVPVRZHMFBBFSLTDGS")</f>
        <v>JZRVPVRZHMFBBFSLTDGS</v>
      </c>
      <c r="C579" s="2" t="str">
        <f>IFERROR(__xludf.DUMMYFUNCTION("IF('From Order'!$A579=COLUMNS($A579:C598), LEFT(INDEX(FILTER(C$1:C578, C$1:C578&lt;&gt;""""),COUNTA(FILTER(C$1:C578, C$1:C578&lt;&gt;""""))), LEN(INDEX(FILTER(C$1:C578, C$1:C578&lt;&gt;""""),COUNTA(FILTER(C$1:C578, C$1:C578&lt;&gt;""""))))-1), IF('To Order'!$A579=COLUMNS($A579:C"&amp;"598), C578&amp;RIGHT(INDIRECT(ADDRESS(ROW(C579)-1, 'From Order'!$A579)), 1), C578))"),"")</f>
        <v/>
      </c>
      <c r="D579" s="2" t="str">
        <f>IFERROR(__xludf.DUMMYFUNCTION("IF('From Order'!$A579=COLUMNS($A579:D598), LEFT(INDEX(FILTER(D$1:D578, D$1:D578&lt;&gt;""""),COUNTA(FILTER(D$1:D578, D$1:D578&lt;&gt;""""))), LEN(INDEX(FILTER(D$1:D578, D$1:D578&lt;&gt;""""),COUNTA(FILTER(D$1:D578, D$1:D578&lt;&gt;""""))))-1), IF('To Order'!$A579=COLUMNS($A579:D"&amp;"598), D578&amp;RIGHT(INDIRECT(ADDRESS(ROW(D579)-1, 'From Order'!$A579)), 1), D578))"),"TMQCDTRL")</f>
        <v>TMQCDTRL</v>
      </c>
      <c r="E579" s="2" t="str">
        <f>IFERROR(__xludf.DUMMYFUNCTION("IF('From Order'!$A579=COLUMNS($A579:E598), LEFT(INDEX(FILTER(E$1:E578, E$1:E578&lt;&gt;""""),COUNTA(FILTER(E$1:E578, E$1:E578&lt;&gt;""""))), LEN(INDEX(FILTER(E$1:E578, E$1:E578&lt;&gt;""""),COUNTA(FILTER(E$1:E578, E$1:E578&lt;&gt;""""))))-1), IF('To Order'!$A579=COLUMNS($A579:E"&amp;"598), E578&amp;RIGHT(INDIRECT(ADDRESS(ROW(E579)-1, 'From Order'!$A579)), 1), E578))"),"LB")</f>
        <v>LB</v>
      </c>
      <c r="F579" s="2" t="str">
        <f>IFERROR(__xludf.DUMMYFUNCTION("IF('From Order'!$A579=COLUMNS($A579:F598), LEFT(INDEX(FILTER(F$1:F578, F$1:F578&lt;&gt;""""),COUNTA(FILTER(F$1:F578, F$1:F578&lt;&gt;""""))), LEN(INDEX(FILTER(F$1:F578, F$1:F578&lt;&gt;""""),COUNTA(FILTER(F$1:F578, F$1:F578&lt;&gt;""""))))-1), IF('To Order'!$A579=COLUMNS($A579:F"&amp;"598), F578&amp;RIGHT(INDIRECT(ADDRESS(ROW(F579)-1, 'From Order'!$A579)), 1), F578))"),"J")</f>
        <v>J</v>
      </c>
      <c r="G579" s="2" t="str">
        <f>IFERROR(__xludf.DUMMYFUNCTION("IF('From Order'!$A579=COLUMNS($A579:G598), LEFT(INDEX(FILTER(G$1:G578, G$1:G578&lt;&gt;""""),COUNTA(FILTER(G$1:G578, G$1:G578&lt;&gt;""""))), LEN(INDEX(FILTER(G$1:G578, G$1:G578&lt;&gt;""""),COUNTA(FILTER(G$1:G578, G$1:G578&lt;&gt;""""))))-1), IF('To Order'!$A579=COLUMNS($A579:G"&amp;"598), G578&amp;RIGHT(INDIRECT(ADDRESS(ROW(G579)-1, 'From Order'!$A579)), 1), G578))"),"")</f>
        <v/>
      </c>
      <c r="H579" s="2" t="str">
        <f>IFERROR(__xludf.DUMMYFUNCTION("IF('From Order'!$A579=COLUMNS($A579:H598), LEFT(INDEX(FILTER(H$1:H578, H$1:H578&lt;&gt;""""),COUNTA(FILTER(H$1:H578, H$1:H578&lt;&gt;""""))), LEN(INDEX(FILTER(H$1:H578, H$1:H578&lt;&gt;""""),COUNTA(FILTER(H$1:H578, H$1:H578&lt;&gt;""""))))-1), IF('To Order'!$A579=COLUMNS($A579:H"&amp;"598), H578&amp;RIGHT(INDIRECT(ADDRESS(ROW(H579)-1, 'From Order'!$A579)), 1), H578))"),"ZMDTCJTVCBPWHGSSDPQR")</f>
        <v>ZMDTCJTVCBPWHGSSDPQR</v>
      </c>
      <c r="I579" s="2" t="str">
        <f>IFERROR(__xludf.DUMMYFUNCTION("IF('From Order'!$A579=COLUMNS($A579:I598), LEFT(INDEX(FILTER(I$1:I578, I$1:I578&lt;&gt;""""),COUNTA(FILTER(I$1:I578, I$1:I578&lt;&gt;""""))), LEN(INDEX(FILTER(I$1:I578, I$1:I578&lt;&gt;""""),COUNTA(FILTER(I$1:I578, I$1:I578&lt;&gt;""""))))-1), IF('To Order'!$A579=COLUMNS($A579:I"&amp;"598), I578&amp;RIGHT(INDIRECT(ADDRESS(ROW(I579)-1, 'From Order'!$A579)), 1), I578))"),"DTWRD")</f>
        <v>DTWRD</v>
      </c>
    </row>
    <row r="580">
      <c r="A580" s="2" t="str">
        <f>IFERROR(__xludf.DUMMYFUNCTION("IF('From Order'!$A580=COLUMNS($A580:A599), LEFT(INDEX(FILTER(A$1:A579, A$1:A579&lt;&gt;""""),COUNTA(FILTER(A$1:A579, A$1:A579&lt;&gt;""""))), LEN(INDEX(FILTER(A$1:A579, A$1:A579&lt;&gt;""""),COUNTA(FILTER(A$1:A579, A$1:A579&lt;&gt;""""))))-1), IF('To Order'!$A580=COLUMNS($A580:A"&amp;"599), A579&amp;RIGHT(INDIRECT(ADDRESS(ROW(A580)-1, 'From Order'!$A580)), 1), A579))"),"")</f>
        <v/>
      </c>
      <c r="B580" s="2" t="str">
        <f>IFERROR(__xludf.DUMMYFUNCTION("IF('From Order'!$A580=COLUMNS($A580:B599), LEFT(INDEX(FILTER(B$1:B579, B$1:B579&lt;&gt;""""),COUNTA(FILTER(B$1:B579, B$1:B579&lt;&gt;""""))), LEN(INDEX(FILTER(B$1:B579, B$1:B579&lt;&gt;""""),COUNTA(FILTER(B$1:B579, B$1:B579&lt;&gt;""""))))-1), IF('To Order'!$A580=COLUMNS($A580:B"&amp;"599), B579&amp;RIGHT(INDIRECT(ADDRESS(ROW(B580)-1, 'From Order'!$A580)), 1), B579))"),"JZRVPVRZHMFBBFSLTDGSB")</f>
        <v>JZRVPVRZHMFBBFSLTDGSB</v>
      </c>
      <c r="C580" s="2" t="str">
        <f>IFERROR(__xludf.DUMMYFUNCTION("IF('From Order'!$A580=COLUMNS($A580:C599), LEFT(INDEX(FILTER(C$1:C579, C$1:C579&lt;&gt;""""),COUNTA(FILTER(C$1:C579, C$1:C579&lt;&gt;""""))), LEN(INDEX(FILTER(C$1:C579, C$1:C579&lt;&gt;""""),COUNTA(FILTER(C$1:C579, C$1:C579&lt;&gt;""""))))-1), IF('To Order'!$A580=COLUMNS($A580:C"&amp;"599), C579&amp;RIGHT(INDIRECT(ADDRESS(ROW(C580)-1, 'From Order'!$A580)), 1), C579))"),"")</f>
        <v/>
      </c>
      <c r="D580" s="2" t="str">
        <f>IFERROR(__xludf.DUMMYFUNCTION("IF('From Order'!$A580=COLUMNS($A580:D599), LEFT(INDEX(FILTER(D$1:D579, D$1:D579&lt;&gt;""""),COUNTA(FILTER(D$1:D579, D$1:D579&lt;&gt;""""))), LEN(INDEX(FILTER(D$1:D579, D$1:D579&lt;&gt;""""),COUNTA(FILTER(D$1:D579, D$1:D579&lt;&gt;""""))))-1), IF('To Order'!$A580=COLUMNS($A580:D"&amp;"599), D579&amp;RIGHT(INDIRECT(ADDRESS(ROW(D580)-1, 'From Order'!$A580)), 1), D579))"),"TMQCDTRL")</f>
        <v>TMQCDTRL</v>
      </c>
      <c r="E580" s="2" t="str">
        <f>IFERROR(__xludf.DUMMYFUNCTION("IF('From Order'!$A580=COLUMNS($A580:E599), LEFT(INDEX(FILTER(E$1:E579, E$1:E579&lt;&gt;""""),COUNTA(FILTER(E$1:E579, E$1:E579&lt;&gt;""""))), LEN(INDEX(FILTER(E$1:E579, E$1:E579&lt;&gt;""""),COUNTA(FILTER(E$1:E579, E$1:E579&lt;&gt;""""))))-1), IF('To Order'!$A580=COLUMNS($A580:E"&amp;"599), E579&amp;RIGHT(INDIRECT(ADDRESS(ROW(E580)-1, 'From Order'!$A580)), 1), E579))"),"L")</f>
        <v>L</v>
      </c>
      <c r="F580" s="2" t="str">
        <f>IFERROR(__xludf.DUMMYFUNCTION("IF('From Order'!$A580=COLUMNS($A580:F599), LEFT(INDEX(FILTER(F$1:F579, F$1:F579&lt;&gt;""""),COUNTA(FILTER(F$1:F579, F$1:F579&lt;&gt;""""))), LEN(INDEX(FILTER(F$1:F579, F$1:F579&lt;&gt;""""),COUNTA(FILTER(F$1:F579, F$1:F579&lt;&gt;""""))))-1), IF('To Order'!$A580=COLUMNS($A580:F"&amp;"599), F579&amp;RIGHT(INDIRECT(ADDRESS(ROW(F580)-1, 'From Order'!$A580)), 1), F579))"),"J")</f>
        <v>J</v>
      </c>
      <c r="G580" s="2" t="str">
        <f>IFERROR(__xludf.DUMMYFUNCTION("IF('From Order'!$A580=COLUMNS($A580:G599), LEFT(INDEX(FILTER(G$1:G579, G$1:G579&lt;&gt;""""),COUNTA(FILTER(G$1:G579, G$1:G579&lt;&gt;""""))), LEN(INDEX(FILTER(G$1:G579, G$1:G579&lt;&gt;""""),COUNTA(FILTER(G$1:G579, G$1:G579&lt;&gt;""""))))-1), IF('To Order'!$A580=COLUMNS($A580:G"&amp;"599), G579&amp;RIGHT(INDIRECT(ADDRESS(ROW(G580)-1, 'From Order'!$A580)), 1), G579))"),"")</f>
        <v/>
      </c>
      <c r="H580" s="2" t="str">
        <f>IFERROR(__xludf.DUMMYFUNCTION("IF('From Order'!$A580=COLUMNS($A580:H599), LEFT(INDEX(FILTER(H$1:H579, H$1:H579&lt;&gt;""""),COUNTA(FILTER(H$1:H579, H$1:H579&lt;&gt;""""))), LEN(INDEX(FILTER(H$1:H579, H$1:H579&lt;&gt;""""),COUNTA(FILTER(H$1:H579, H$1:H579&lt;&gt;""""))))-1), IF('To Order'!$A580=COLUMNS($A580:H"&amp;"599), H579&amp;RIGHT(INDIRECT(ADDRESS(ROW(H580)-1, 'From Order'!$A580)), 1), H579))"),"ZMDTCJTVCBPWHGSSDPQR")</f>
        <v>ZMDTCJTVCBPWHGSSDPQR</v>
      </c>
      <c r="I580" s="2" t="str">
        <f>IFERROR(__xludf.DUMMYFUNCTION("IF('From Order'!$A580=COLUMNS($A580:I599), LEFT(INDEX(FILTER(I$1:I579, I$1:I579&lt;&gt;""""),COUNTA(FILTER(I$1:I579, I$1:I579&lt;&gt;""""))), LEN(INDEX(FILTER(I$1:I579, I$1:I579&lt;&gt;""""),COUNTA(FILTER(I$1:I579, I$1:I579&lt;&gt;""""))))-1), IF('To Order'!$A580=COLUMNS($A580:I"&amp;"599), I579&amp;RIGHT(INDIRECT(ADDRESS(ROW(I580)-1, 'From Order'!$A580)), 1), I579))"),"DTWRD")</f>
        <v>DTWRD</v>
      </c>
    </row>
    <row r="581">
      <c r="A581" s="2" t="str">
        <f>IFERROR(__xludf.DUMMYFUNCTION("IF('From Order'!$A581=COLUMNS($A581:A600), LEFT(INDEX(FILTER(A$1:A580, A$1:A580&lt;&gt;""""),COUNTA(FILTER(A$1:A580, A$1:A580&lt;&gt;""""))), LEN(INDEX(FILTER(A$1:A580, A$1:A580&lt;&gt;""""),COUNTA(FILTER(A$1:A580, A$1:A580&lt;&gt;""""))))-1), IF('To Order'!$A581=COLUMNS($A581:A"&amp;"600), A580&amp;RIGHT(INDIRECT(ADDRESS(ROW(A581)-1, 'From Order'!$A581)), 1), A580))"),"")</f>
        <v/>
      </c>
      <c r="B581" s="2" t="str">
        <f>IFERROR(__xludf.DUMMYFUNCTION("IF('From Order'!$A581=COLUMNS($A581:B600), LEFT(INDEX(FILTER(B$1:B580, B$1:B580&lt;&gt;""""),COUNTA(FILTER(B$1:B580, B$1:B580&lt;&gt;""""))), LEN(INDEX(FILTER(B$1:B580, B$1:B580&lt;&gt;""""),COUNTA(FILTER(B$1:B580, B$1:B580&lt;&gt;""""))))-1), IF('To Order'!$A581=COLUMNS($A581:B"&amp;"600), B580&amp;RIGHT(INDIRECT(ADDRESS(ROW(B581)-1, 'From Order'!$A581)), 1), B580))"),"JZRVPVRZHMFBBFSLTDGSBL")</f>
        <v>JZRVPVRZHMFBBFSLTDGSBL</v>
      </c>
      <c r="C581" s="2" t="str">
        <f>IFERROR(__xludf.DUMMYFUNCTION("IF('From Order'!$A581=COLUMNS($A581:C600), LEFT(INDEX(FILTER(C$1:C580, C$1:C580&lt;&gt;""""),COUNTA(FILTER(C$1:C580, C$1:C580&lt;&gt;""""))), LEN(INDEX(FILTER(C$1:C580, C$1:C580&lt;&gt;""""),COUNTA(FILTER(C$1:C580, C$1:C580&lt;&gt;""""))))-1), IF('To Order'!$A581=COLUMNS($A581:C"&amp;"600), C580&amp;RIGHT(INDIRECT(ADDRESS(ROW(C581)-1, 'From Order'!$A581)), 1), C580))"),"")</f>
        <v/>
      </c>
      <c r="D581" s="2" t="str">
        <f>IFERROR(__xludf.DUMMYFUNCTION("IF('From Order'!$A581=COLUMNS($A581:D600), LEFT(INDEX(FILTER(D$1:D580, D$1:D580&lt;&gt;""""),COUNTA(FILTER(D$1:D580, D$1:D580&lt;&gt;""""))), LEN(INDEX(FILTER(D$1:D580, D$1:D580&lt;&gt;""""),COUNTA(FILTER(D$1:D580, D$1:D580&lt;&gt;""""))))-1), IF('To Order'!$A581=COLUMNS($A581:D"&amp;"600), D580&amp;RIGHT(INDIRECT(ADDRESS(ROW(D581)-1, 'From Order'!$A581)), 1), D580))"),"TMQCDTRL")</f>
        <v>TMQCDTRL</v>
      </c>
      <c r="E581" s="2" t="str">
        <f>IFERROR(__xludf.DUMMYFUNCTION("IF('From Order'!$A581=COLUMNS($A581:E600), LEFT(INDEX(FILTER(E$1:E580, E$1:E580&lt;&gt;""""),COUNTA(FILTER(E$1:E580, E$1:E580&lt;&gt;""""))), LEN(INDEX(FILTER(E$1:E580, E$1:E580&lt;&gt;""""),COUNTA(FILTER(E$1:E580, E$1:E580&lt;&gt;""""))))-1), IF('To Order'!$A581=COLUMNS($A581:E"&amp;"600), E580&amp;RIGHT(INDIRECT(ADDRESS(ROW(E581)-1, 'From Order'!$A581)), 1), E580))"),"")</f>
        <v/>
      </c>
      <c r="F581" s="2" t="str">
        <f>IFERROR(__xludf.DUMMYFUNCTION("IF('From Order'!$A581=COLUMNS($A581:F600), LEFT(INDEX(FILTER(F$1:F580, F$1:F580&lt;&gt;""""),COUNTA(FILTER(F$1:F580, F$1:F580&lt;&gt;""""))), LEN(INDEX(FILTER(F$1:F580, F$1:F580&lt;&gt;""""),COUNTA(FILTER(F$1:F580, F$1:F580&lt;&gt;""""))))-1), IF('To Order'!$A581=COLUMNS($A581:F"&amp;"600), F580&amp;RIGHT(INDIRECT(ADDRESS(ROW(F581)-1, 'From Order'!$A581)), 1), F580))"),"J")</f>
        <v>J</v>
      </c>
      <c r="G581" s="2" t="str">
        <f>IFERROR(__xludf.DUMMYFUNCTION("IF('From Order'!$A581=COLUMNS($A581:G600), LEFT(INDEX(FILTER(G$1:G580, G$1:G580&lt;&gt;""""),COUNTA(FILTER(G$1:G580, G$1:G580&lt;&gt;""""))), LEN(INDEX(FILTER(G$1:G580, G$1:G580&lt;&gt;""""),COUNTA(FILTER(G$1:G580, G$1:G580&lt;&gt;""""))))-1), IF('To Order'!$A581=COLUMNS($A581:G"&amp;"600), G580&amp;RIGHT(INDIRECT(ADDRESS(ROW(G581)-1, 'From Order'!$A581)), 1), G580))"),"")</f>
        <v/>
      </c>
      <c r="H581" s="2" t="str">
        <f>IFERROR(__xludf.DUMMYFUNCTION("IF('From Order'!$A581=COLUMNS($A581:H600), LEFT(INDEX(FILTER(H$1:H580, H$1:H580&lt;&gt;""""),COUNTA(FILTER(H$1:H580, H$1:H580&lt;&gt;""""))), LEN(INDEX(FILTER(H$1:H580, H$1:H580&lt;&gt;""""),COUNTA(FILTER(H$1:H580, H$1:H580&lt;&gt;""""))))-1), IF('To Order'!$A581=COLUMNS($A581:H"&amp;"600), H580&amp;RIGHT(INDIRECT(ADDRESS(ROW(H581)-1, 'From Order'!$A581)), 1), H580))"),"ZMDTCJTVCBPWHGSSDPQR")</f>
        <v>ZMDTCJTVCBPWHGSSDPQR</v>
      </c>
      <c r="I581" s="2" t="str">
        <f>IFERROR(__xludf.DUMMYFUNCTION("IF('From Order'!$A581=COLUMNS($A581:I600), LEFT(INDEX(FILTER(I$1:I580, I$1:I580&lt;&gt;""""),COUNTA(FILTER(I$1:I580, I$1:I580&lt;&gt;""""))), LEN(INDEX(FILTER(I$1:I580, I$1:I580&lt;&gt;""""),COUNTA(FILTER(I$1:I580, I$1:I580&lt;&gt;""""))))-1), IF('To Order'!$A581=COLUMNS($A581:I"&amp;"600), I580&amp;RIGHT(INDIRECT(ADDRESS(ROW(I581)-1, 'From Order'!$A581)), 1), I580))"),"DTWRD")</f>
        <v>DTWRD</v>
      </c>
    </row>
    <row r="582">
      <c r="A582" s="2" t="str">
        <f>IFERROR(__xludf.DUMMYFUNCTION("IF('From Order'!$A582=COLUMNS($A582:A601), LEFT(INDEX(FILTER(A$1:A581, A$1:A581&lt;&gt;""""),COUNTA(FILTER(A$1:A581, A$1:A581&lt;&gt;""""))), LEN(INDEX(FILTER(A$1:A581, A$1:A581&lt;&gt;""""),COUNTA(FILTER(A$1:A581, A$1:A581&lt;&gt;""""))))-1), IF('To Order'!$A582=COLUMNS($A582:A"&amp;"601), A581&amp;RIGHT(INDIRECT(ADDRESS(ROW(A582)-1, 'From Order'!$A582)), 1), A581))"),"L")</f>
        <v>L</v>
      </c>
      <c r="B582" s="2" t="str">
        <f>IFERROR(__xludf.DUMMYFUNCTION("IF('From Order'!$A582=COLUMNS($A582:B601), LEFT(INDEX(FILTER(B$1:B581, B$1:B581&lt;&gt;""""),COUNTA(FILTER(B$1:B581, B$1:B581&lt;&gt;""""))), LEN(INDEX(FILTER(B$1:B581, B$1:B581&lt;&gt;""""),COUNTA(FILTER(B$1:B581, B$1:B581&lt;&gt;""""))))-1), IF('To Order'!$A582=COLUMNS($A582:B"&amp;"601), B581&amp;RIGHT(INDIRECT(ADDRESS(ROW(B582)-1, 'From Order'!$A582)), 1), B581))"),"JZRVPVRZHMFBBFSLTDGSBL")</f>
        <v>JZRVPVRZHMFBBFSLTDGSBL</v>
      </c>
      <c r="C582" s="2" t="str">
        <f>IFERROR(__xludf.DUMMYFUNCTION("IF('From Order'!$A582=COLUMNS($A582:C601), LEFT(INDEX(FILTER(C$1:C581, C$1:C581&lt;&gt;""""),COUNTA(FILTER(C$1:C581, C$1:C581&lt;&gt;""""))), LEN(INDEX(FILTER(C$1:C581, C$1:C581&lt;&gt;""""),COUNTA(FILTER(C$1:C581, C$1:C581&lt;&gt;""""))))-1), IF('To Order'!$A582=COLUMNS($A582:C"&amp;"601), C581&amp;RIGHT(INDIRECT(ADDRESS(ROW(C582)-1, 'From Order'!$A582)), 1), C581))"),"")</f>
        <v/>
      </c>
      <c r="D582" s="2" t="str">
        <f>IFERROR(__xludf.DUMMYFUNCTION("IF('From Order'!$A582=COLUMNS($A582:D601), LEFT(INDEX(FILTER(D$1:D581, D$1:D581&lt;&gt;""""),COUNTA(FILTER(D$1:D581, D$1:D581&lt;&gt;""""))), LEN(INDEX(FILTER(D$1:D581, D$1:D581&lt;&gt;""""),COUNTA(FILTER(D$1:D581, D$1:D581&lt;&gt;""""))))-1), IF('To Order'!$A582=COLUMNS($A582:D"&amp;"601), D581&amp;RIGHT(INDIRECT(ADDRESS(ROW(D582)-1, 'From Order'!$A582)), 1), D581))"),"TMQCDTR")</f>
        <v>TMQCDTR</v>
      </c>
      <c r="E582" s="2" t="str">
        <f>IFERROR(__xludf.DUMMYFUNCTION("IF('From Order'!$A582=COLUMNS($A582:E601), LEFT(INDEX(FILTER(E$1:E581, E$1:E581&lt;&gt;""""),COUNTA(FILTER(E$1:E581, E$1:E581&lt;&gt;""""))), LEN(INDEX(FILTER(E$1:E581, E$1:E581&lt;&gt;""""),COUNTA(FILTER(E$1:E581, E$1:E581&lt;&gt;""""))))-1), IF('To Order'!$A582=COLUMNS($A582:E"&amp;"601), E581&amp;RIGHT(INDIRECT(ADDRESS(ROW(E582)-1, 'From Order'!$A582)), 1), E581))"),"")</f>
        <v/>
      </c>
      <c r="F582" s="2" t="str">
        <f>IFERROR(__xludf.DUMMYFUNCTION("IF('From Order'!$A582=COLUMNS($A582:F601), LEFT(INDEX(FILTER(F$1:F581, F$1:F581&lt;&gt;""""),COUNTA(FILTER(F$1:F581, F$1:F581&lt;&gt;""""))), LEN(INDEX(FILTER(F$1:F581, F$1:F581&lt;&gt;""""),COUNTA(FILTER(F$1:F581, F$1:F581&lt;&gt;""""))))-1), IF('To Order'!$A582=COLUMNS($A582:F"&amp;"601), F581&amp;RIGHT(INDIRECT(ADDRESS(ROW(F582)-1, 'From Order'!$A582)), 1), F581))"),"J")</f>
        <v>J</v>
      </c>
      <c r="G582" s="2" t="str">
        <f>IFERROR(__xludf.DUMMYFUNCTION("IF('From Order'!$A582=COLUMNS($A582:G601), LEFT(INDEX(FILTER(G$1:G581, G$1:G581&lt;&gt;""""),COUNTA(FILTER(G$1:G581, G$1:G581&lt;&gt;""""))), LEN(INDEX(FILTER(G$1:G581, G$1:G581&lt;&gt;""""),COUNTA(FILTER(G$1:G581, G$1:G581&lt;&gt;""""))))-1), IF('To Order'!$A582=COLUMNS($A582:G"&amp;"601), G581&amp;RIGHT(INDIRECT(ADDRESS(ROW(G582)-1, 'From Order'!$A582)), 1), G581))"),"")</f>
        <v/>
      </c>
      <c r="H582" s="2" t="str">
        <f>IFERROR(__xludf.DUMMYFUNCTION("IF('From Order'!$A582=COLUMNS($A582:H601), LEFT(INDEX(FILTER(H$1:H581, H$1:H581&lt;&gt;""""),COUNTA(FILTER(H$1:H581, H$1:H581&lt;&gt;""""))), LEN(INDEX(FILTER(H$1:H581, H$1:H581&lt;&gt;""""),COUNTA(FILTER(H$1:H581, H$1:H581&lt;&gt;""""))))-1), IF('To Order'!$A582=COLUMNS($A582:H"&amp;"601), H581&amp;RIGHT(INDIRECT(ADDRESS(ROW(H582)-1, 'From Order'!$A582)), 1), H581))"),"ZMDTCJTVCBPWHGSSDPQR")</f>
        <v>ZMDTCJTVCBPWHGSSDPQR</v>
      </c>
      <c r="I582" s="2" t="str">
        <f>IFERROR(__xludf.DUMMYFUNCTION("IF('From Order'!$A582=COLUMNS($A582:I601), LEFT(INDEX(FILTER(I$1:I581, I$1:I581&lt;&gt;""""),COUNTA(FILTER(I$1:I581, I$1:I581&lt;&gt;""""))), LEN(INDEX(FILTER(I$1:I581, I$1:I581&lt;&gt;""""),COUNTA(FILTER(I$1:I581, I$1:I581&lt;&gt;""""))))-1), IF('To Order'!$A582=COLUMNS($A582:I"&amp;"601), I581&amp;RIGHT(INDIRECT(ADDRESS(ROW(I582)-1, 'From Order'!$A582)), 1), I581))"),"DTWRD")</f>
        <v>DTWRD</v>
      </c>
    </row>
    <row r="583">
      <c r="A583" s="2" t="str">
        <f>IFERROR(__xludf.DUMMYFUNCTION("IF('From Order'!$A583=COLUMNS($A583:A602), LEFT(INDEX(FILTER(A$1:A582, A$1:A582&lt;&gt;""""),COUNTA(FILTER(A$1:A582, A$1:A582&lt;&gt;""""))), LEN(INDEX(FILTER(A$1:A582, A$1:A582&lt;&gt;""""),COUNTA(FILTER(A$1:A582, A$1:A582&lt;&gt;""""))))-1), IF('To Order'!$A583=COLUMNS($A583:A"&amp;"602), A582&amp;RIGHT(INDIRECT(ADDRESS(ROW(A583)-1, 'From Order'!$A583)), 1), A582))"),"LR")</f>
        <v>LR</v>
      </c>
      <c r="B583" s="2" t="str">
        <f>IFERROR(__xludf.DUMMYFUNCTION("IF('From Order'!$A583=COLUMNS($A583:B602), LEFT(INDEX(FILTER(B$1:B582, B$1:B582&lt;&gt;""""),COUNTA(FILTER(B$1:B582, B$1:B582&lt;&gt;""""))), LEN(INDEX(FILTER(B$1:B582, B$1:B582&lt;&gt;""""),COUNTA(FILTER(B$1:B582, B$1:B582&lt;&gt;""""))))-1), IF('To Order'!$A583=COLUMNS($A583:B"&amp;"602), B582&amp;RIGHT(INDIRECT(ADDRESS(ROW(B583)-1, 'From Order'!$A583)), 1), B582))"),"JZRVPVRZHMFBBFSLTDGSBL")</f>
        <v>JZRVPVRZHMFBBFSLTDGSBL</v>
      </c>
      <c r="C583" s="2" t="str">
        <f>IFERROR(__xludf.DUMMYFUNCTION("IF('From Order'!$A583=COLUMNS($A583:C602), LEFT(INDEX(FILTER(C$1:C582, C$1:C582&lt;&gt;""""),COUNTA(FILTER(C$1:C582, C$1:C582&lt;&gt;""""))), LEN(INDEX(FILTER(C$1:C582, C$1:C582&lt;&gt;""""),COUNTA(FILTER(C$1:C582, C$1:C582&lt;&gt;""""))))-1), IF('To Order'!$A583=COLUMNS($A583:C"&amp;"602), C582&amp;RIGHT(INDIRECT(ADDRESS(ROW(C583)-1, 'From Order'!$A583)), 1), C582))"),"")</f>
        <v/>
      </c>
      <c r="D583" s="2" t="str">
        <f>IFERROR(__xludf.DUMMYFUNCTION("IF('From Order'!$A583=COLUMNS($A583:D602), LEFT(INDEX(FILTER(D$1:D582, D$1:D582&lt;&gt;""""),COUNTA(FILTER(D$1:D582, D$1:D582&lt;&gt;""""))), LEN(INDEX(FILTER(D$1:D582, D$1:D582&lt;&gt;""""),COUNTA(FILTER(D$1:D582, D$1:D582&lt;&gt;""""))))-1), IF('To Order'!$A583=COLUMNS($A583:D"&amp;"602), D582&amp;RIGHT(INDIRECT(ADDRESS(ROW(D583)-1, 'From Order'!$A583)), 1), D582))"),"TMQCDT")</f>
        <v>TMQCDT</v>
      </c>
      <c r="E583" s="2" t="str">
        <f>IFERROR(__xludf.DUMMYFUNCTION("IF('From Order'!$A583=COLUMNS($A583:E602), LEFT(INDEX(FILTER(E$1:E582, E$1:E582&lt;&gt;""""),COUNTA(FILTER(E$1:E582, E$1:E582&lt;&gt;""""))), LEN(INDEX(FILTER(E$1:E582, E$1:E582&lt;&gt;""""),COUNTA(FILTER(E$1:E582, E$1:E582&lt;&gt;""""))))-1), IF('To Order'!$A583=COLUMNS($A583:E"&amp;"602), E582&amp;RIGHT(INDIRECT(ADDRESS(ROW(E583)-1, 'From Order'!$A583)), 1), E582))"),"")</f>
        <v/>
      </c>
      <c r="F583" s="2" t="str">
        <f>IFERROR(__xludf.DUMMYFUNCTION("IF('From Order'!$A583=COLUMNS($A583:F602), LEFT(INDEX(FILTER(F$1:F582, F$1:F582&lt;&gt;""""),COUNTA(FILTER(F$1:F582, F$1:F582&lt;&gt;""""))), LEN(INDEX(FILTER(F$1:F582, F$1:F582&lt;&gt;""""),COUNTA(FILTER(F$1:F582, F$1:F582&lt;&gt;""""))))-1), IF('To Order'!$A583=COLUMNS($A583:F"&amp;"602), F582&amp;RIGHT(INDIRECT(ADDRESS(ROW(F583)-1, 'From Order'!$A583)), 1), F582))"),"J")</f>
        <v>J</v>
      </c>
      <c r="G583" s="2" t="str">
        <f>IFERROR(__xludf.DUMMYFUNCTION("IF('From Order'!$A583=COLUMNS($A583:G602), LEFT(INDEX(FILTER(G$1:G582, G$1:G582&lt;&gt;""""),COUNTA(FILTER(G$1:G582, G$1:G582&lt;&gt;""""))), LEN(INDEX(FILTER(G$1:G582, G$1:G582&lt;&gt;""""),COUNTA(FILTER(G$1:G582, G$1:G582&lt;&gt;""""))))-1), IF('To Order'!$A583=COLUMNS($A583:G"&amp;"602), G582&amp;RIGHT(INDIRECT(ADDRESS(ROW(G583)-1, 'From Order'!$A583)), 1), G582))"),"")</f>
        <v/>
      </c>
      <c r="H583" s="2" t="str">
        <f>IFERROR(__xludf.DUMMYFUNCTION("IF('From Order'!$A583=COLUMNS($A583:H602), LEFT(INDEX(FILTER(H$1:H582, H$1:H582&lt;&gt;""""),COUNTA(FILTER(H$1:H582, H$1:H582&lt;&gt;""""))), LEN(INDEX(FILTER(H$1:H582, H$1:H582&lt;&gt;""""),COUNTA(FILTER(H$1:H582, H$1:H582&lt;&gt;""""))))-1), IF('To Order'!$A583=COLUMNS($A583:H"&amp;"602), H582&amp;RIGHT(INDIRECT(ADDRESS(ROW(H583)-1, 'From Order'!$A583)), 1), H582))"),"ZMDTCJTVCBPWHGSSDPQR")</f>
        <v>ZMDTCJTVCBPWHGSSDPQR</v>
      </c>
      <c r="I583" s="2" t="str">
        <f>IFERROR(__xludf.DUMMYFUNCTION("IF('From Order'!$A583=COLUMNS($A583:I602), LEFT(INDEX(FILTER(I$1:I582, I$1:I582&lt;&gt;""""),COUNTA(FILTER(I$1:I582, I$1:I582&lt;&gt;""""))), LEN(INDEX(FILTER(I$1:I582, I$1:I582&lt;&gt;""""),COUNTA(FILTER(I$1:I582, I$1:I582&lt;&gt;""""))))-1), IF('To Order'!$A583=COLUMNS($A583:I"&amp;"602), I582&amp;RIGHT(INDIRECT(ADDRESS(ROW(I583)-1, 'From Order'!$A583)), 1), I582))"),"DTWRD")</f>
        <v>DTWRD</v>
      </c>
    </row>
    <row r="584">
      <c r="A584" s="2" t="str">
        <f>IFERROR(__xludf.DUMMYFUNCTION("IF('From Order'!$A584=COLUMNS($A584:A603), LEFT(INDEX(FILTER(A$1:A583, A$1:A583&lt;&gt;""""),COUNTA(FILTER(A$1:A583, A$1:A583&lt;&gt;""""))), LEN(INDEX(FILTER(A$1:A583, A$1:A583&lt;&gt;""""),COUNTA(FILTER(A$1:A583, A$1:A583&lt;&gt;""""))))-1), IF('To Order'!$A584=COLUMNS($A584:A"&amp;"603), A583&amp;RIGHT(INDIRECT(ADDRESS(ROW(A584)-1, 'From Order'!$A584)), 1), A583))"),"LRT")</f>
        <v>LRT</v>
      </c>
      <c r="B584" s="2" t="str">
        <f>IFERROR(__xludf.DUMMYFUNCTION("IF('From Order'!$A584=COLUMNS($A584:B603), LEFT(INDEX(FILTER(B$1:B583, B$1:B583&lt;&gt;""""),COUNTA(FILTER(B$1:B583, B$1:B583&lt;&gt;""""))), LEN(INDEX(FILTER(B$1:B583, B$1:B583&lt;&gt;""""),COUNTA(FILTER(B$1:B583, B$1:B583&lt;&gt;""""))))-1), IF('To Order'!$A584=COLUMNS($A584:B"&amp;"603), B583&amp;RIGHT(INDIRECT(ADDRESS(ROW(B584)-1, 'From Order'!$A584)), 1), B583))"),"JZRVPVRZHMFBBFSLTDGSBL")</f>
        <v>JZRVPVRZHMFBBFSLTDGSBL</v>
      </c>
      <c r="C584" s="2" t="str">
        <f>IFERROR(__xludf.DUMMYFUNCTION("IF('From Order'!$A584=COLUMNS($A584:C603), LEFT(INDEX(FILTER(C$1:C583, C$1:C583&lt;&gt;""""),COUNTA(FILTER(C$1:C583, C$1:C583&lt;&gt;""""))), LEN(INDEX(FILTER(C$1:C583, C$1:C583&lt;&gt;""""),COUNTA(FILTER(C$1:C583, C$1:C583&lt;&gt;""""))))-1), IF('To Order'!$A584=COLUMNS($A584:C"&amp;"603), C583&amp;RIGHT(INDIRECT(ADDRESS(ROW(C584)-1, 'From Order'!$A584)), 1), C583))"),"")</f>
        <v/>
      </c>
      <c r="D584" s="2" t="str">
        <f>IFERROR(__xludf.DUMMYFUNCTION("IF('From Order'!$A584=COLUMNS($A584:D603), LEFT(INDEX(FILTER(D$1:D583, D$1:D583&lt;&gt;""""),COUNTA(FILTER(D$1:D583, D$1:D583&lt;&gt;""""))), LEN(INDEX(FILTER(D$1:D583, D$1:D583&lt;&gt;""""),COUNTA(FILTER(D$1:D583, D$1:D583&lt;&gt;""""))))-1), IF('To Order'!$A584=COLUMNS($A584:D"&amp;"603), D583&amp;RIGHT(INDIRECT(ADDRESS(ROW(D584)-1, 'From Order'!$A584)), 1), D583))"),"TMQCD")</f>
        <v>TMQCD</v>
      </c>
      <c r="E584" s="2" t="str">
        <f>IFERROR(__xludf.DUMMYFUNCTION("IF('From Order'!$A584=COLUMNS($A584:E603), LEFT(INDEX(FILTER(E$1:E583, E$1:E583&lt;&gt;""""),COUNTA(FILTER(E$1:E583, E$1:E583&lt;&gt;""""))), LEN(INDEX(FILTER(E$1:E583, E$1:E583&lt;&gt;""""),COUNTA(FILTER(E$1:E583, E$1:E583&lt;&gt;""""))))-1), IF('To Order'!$A584=COLUMNS($A584:E"&amp;"603), E583&amp;RIGHT(INDIRECT(ADDRESS(ROW(E584)-1, 'From Order'!$A584)), 1), E583))"),"")</f>
        <v/>
      </c>
      <c r="F584" s="2" t="str">
        <f>IFERROR(__xludf.DUMMYFUNCTION("IF('From Order'!$A584=COLUMNS($A584:F603), LEFT(INDEX(FILTER(F$1:F583, F$1:F583&lt;&gt;""""),COUNTA(FILTER(F$1:F583, F$1:F583&lt;&gt;""""))), LEN(INDEX(FILTER(F$1:F583, F$1:F583&lt;&gt;""""),COUNTA(FILTER(F$1:F583, F$1:F583&lt;&gt;""""))))-1), IF('To Order'!$A584=COLUMNS($A584:F"&amp;"603), F583&amp;RIGHT(INDIRECT(ADDRESS(ROW(F584)-1, 'From Order'!$A584)), 1), F583))"),"J")</f>
        <v>J</v>
      </c>
      <c r="G584" s="2" t="str">
        <f>IFERROR(__xludf.DUMMYFUNCTION("IF('From Order'!$A584=COLUMNS($A584:G603), LEFT(INDEX(FILTER(G$1:G583, G$1:G583&lt;&gt;""""),COUNTA(FILTER(G$1:G583, G$1:G583&lt;&gt;""""))), LEN(INDEX(FILTER(G$1:G583, G$1:G583&lt;&gt;""""),COUNTA(FILTER(G$1:G583, G$1:G583&lt;&gt;""""))))-1), IF('To Order'!$A584=COLUMNS($A584:G"&amp;"603), G583&amp;RIGHT(INDIRECT(ADDRESS(ROW(G584)-1, 'From Order'!$A584)), 1), G583))"),"")</f>
        <v/>
      </c>
      <c r="H584" s="2" t="str">
        <f>IFERROR(__xludf.DUMMYFUNCTION("IF('From Order'!$A584=COLUMNS($A584:H603), LEFT(INDEX(FILTER(H$1:H583, H$1:H583&lt;&gt;""""),COUNTA(FILTER(H$1:H583, H$1:H583&lt;&gt;""""))), LEN(INDEX(FILTER(H$1:H583, H$1:H583&lt;&gt;""""),COUNTA(FILTER(H$1:H583, H$1:H583&lt;&gt;""""))))-1), IF('To Order'!$A584=COLUMNS($A584:H"&amp;"603), H583&amp;RIGHT(INDIRECT(ADDRESS(ROW(H584)-1, 'From Order'!$A584)), 1), H583))"),"ZMDTCJTVCBPWHGSSDPQR")</f>
        <v>ZMDTCJTVCBPWHGSSDPQR</v>
      </c>
      <c r="I584" s="2" t="str">
        <f>IFERROR(__xludf.DUMMYFUNCTION("IF('From Order'!$A584=COLUMNS($A584:I603), LEFT(INDEX(FILTER(I$1:I583, I$1:I583&lt;&gt;""""),COUNTA(FILTER(I$1:I583, I$1:I583&lt;&gt;""""))), LEN(INDEX(FILTER(I$1:I583, I$1:I583&lt;&gt;""""),COUNTA(FILTER(I$1:I583, I$1:I583&lt;&gt;""""))))-1), IF('To Order'!$A584=COLUMNS($A584:I"&amp;"603), I583&amp;RIGHT(INDIRECT(ADDRESS(ROW(I584)-1, 'From Order'!$A584)), 1), I583))"),"DTWRD")</f>
        <v>DTWRD</v>
      </c>
    </row>
    <row r="585">
      <c r="A585" s="2" t="str">
        <f>IFERROR(__xludf.DUMMYFUNCTION("IF('From Order'!$A585=COLUMNS($A585:A604), LEFT(INDEX(FILTER(A$1:A584, A$1:A584&lt;&gt;""""),COUNTA(FILTER(A$1:A584, A$1:A584&lt;&gt;""""))), LEN(INDEX(FILTER(A$1:A584, A$1:A584&lt;&gt;""""),COUNTA(FILTER(A$1:A584, A$1:A584&lt;&gt;""""))))-1), IF('To Order'!$A585=COLUMNS($A585:A"&amp;"604), A584&amp;RIGHT(INDIRECT(ADDRESS(ROW(A585)-1, 'From Order'!$A585)), 1), A584))"),"LRTD")</f>
        <v>LRTD</v>
      </c>
      <c r="B585" s="2" t="str">
        <f>IFERROR(__xludf.DUMMYFUNCTION("IF('From Order'!$A585=COLUMNS($A585:B604), LEFT(INDEX(FILTER(B$1:B584, B$1:B584&lt;&gt;""""),COUNTA(FILTER(B$1:B584, B$1:B584&lt;&gt;""""))), LEN(INDEX(FILTER(B$1:B584, B$1:B584&lt;&gt;""""),COUNTA(FILTER(B$1:B584, B$1:B584&lt;&gt;""""))))-1), IF('To Order'!$A585=COLUMNS($A585:B"&amp;"604), B584&amp;RIGHT(INDIRECT(ADDRESS(ROW(B585)-1, 'From Order'!$A585)), 1), B584))"),"JZRVPVRZHMFBBFSLTDGSBL")</f>
        <v>JZRVPVRZHMFBBFSLTDGSBL</v>
      </c>
      <c r="C585" s="2" t="str">
        <f>IFERROR(__xludf.DUMMYFUNCTION("IF('From Order'!$A585=COLUMNS($A585:C604), LEFT(INDEX(FILTER(C$1:C584, C$1:C584&lt;&gt;""""),COUNTA(FILTER(C$1:C584, C$1:C584&lt;&gt;""""))), LEN(INDEX(FILTER(C$1:C584, C$1:C584&lt;&gt;""""),COUNTA(FILTER(C$1:C584, C$1:C584&lt;&gt;""""))))-1), IF('To Order'!$A585=COLUMNS($A585:C"&amp;"604), C584&amp;RIGHT(INDIRECT(ADDRESS(ROW(C585)-1, 'From Order'!$A585)), 1), C584))"),"")</f>
        <v/>
      </c>
      <c r="D585" s="2" t="str">
        <f>IFERROR(__xludf.DUMMYFUNCTION("IF('From Order'!$A585=COLUMNS($A585:D604), LEFT(INDEX(FILTER(D$1:D584, D$1:D584&lt;&gt;""""),COUNTA(FILTER(D$1:D584, D$1:D584&lt;&gt;""""))), LEN(INDEX(FILTER(D$1:D584, D$1:D584&lt;&gt;""""),COUNTA(FILTER(D$1:D584, D$1:D584&lt;&gt;""""))))-1), IF('To Order'!$A585=COLUMNS($A585:D"&amp;"604), D584&amp;RIGHT(INDIRECT(ADDRESS(ROW(D585)-1, 'From Order'!$A585)), 1), D584))"),"TMQC")</f>
        <v>TMQC</v>
      </c>
      <c r="E585" s="2" t="str">
        <f>IFERROR(__xludf.DUMMYFUNCTION("IF('From Order'!$A585=COLUMNS($A585:E604), LEFT(INDEX(FILTER(E$1:E584, E$1:E584&lt;&gt;""""),COUNTA(FILTER(E$1:E584, E$1:E584&lt;&gt;""""))), LEN(INDEX(FILTER(E$1:E584, E$1:E584&lt;&gt;""""),COUNTA(FILTER(E$1:E584, E$1:E584&lt;&gt;""""))))-1), IF('To Order'!$A585=COLUMNS($A585:E"&amp;"604), E584&amp;RIGHT(INDIRECT(ADDRESS(ROW(E585)-1, 'From Order'!$A585)), 1), E584))"),"")</f>
        <v/>
      </c>
      <c r="F585" s="2" t="str">
        <f>IFERROR(__xludf.DUMMYFUNCTION("IF('From Order'!$A585=COLUMNS($A585:F604), LEFT(INDEX(FILTER(F$1:F584, F$1:F584&lt;&gt;""""),COUNTA(FILTER(F$1:F584, F$1:F584&lt;&gt;""""))), LEN(INDEX(FILTER(F$1:F584, F$1:F584&lt;&gt;""""),COUNTA(FILTER(F$1:F584, F$1:F584&lt;&gt;""""))))-1), IF('To Order'!$A585=COLUMNS($A585:F"&amp;"604), F584&amp;RIGHT(INDIRECT(ADDRESS(ROW(F585)-1, 'From Order'!$A585)), 1), F584))"),"J")</f>
        <v>J</v>
      </c>
      <c r="G585" s="2" t="str">
        <f>IFERROR(__xludf.DUMMYFUNCTION("IF('From Order'!$A585=COLUMNS($A585:G604), LEFT(INDEX(FILTER(G$1:G584, G$1:G584&lt;&gt;""""),COUNTA(FILTER(G$1:G584, G$1:G584&lt;&gt;""""))), LEN(INDEX(FILTER(G$1:G584, G$1:G584&lt;&gt;""""),COUNTA(FILTER(G$1:G584, G$1:G584&lt;&gt;""""))))-1), IF('To Order'!$A585=COLUMNS($A585:G"&amp;"604), G584&amp;RIGHT(INDIRECT(ADDRESS(ROW(G585)-1, 'From Order'!$A585)), 1), G584))"),"")</f>
        <v/>
      </c>
      <c r="H585" s="2" t="str">
        <f>IFERROR(__xludf.DUMMYFUNCTION("IF('From Order'!$A585=COLUMNS($A585:H604), LEFT(INDEX(FILTER(H$1:H584, H$1:H584&lt;&gt;""""),COUNTA(FILTER(H$1:H584, H$1:H584&lt;&gt;""""))), LEN(INDEX(FILTER(H$1:H584, H$1:H584&lt;&gt;""""),COUNTA(FILTER(H$1:H584, H$1:H584&lt;&gt;""""))))-1), IF('To Order'!$A585=COLUMNS($A585:H"&amp;"604), H584&amp;RIGHT(INDIRECT(ADDRESS(ROW(H585)-1, 'From Order'!$A585)), 1), H584))"),"ZMDTCJTVCBPWHGSSDPQR")</f>
        <v>ZMDTCJTVCBPWHGSSDPQR</v>
      </c>
      <c r="I585" s="2" t="str">
        <f>IFERROR(__xludf.DUMMYFUNCTION("IF('From Order'!$A585=COLUMNS($A585:I604), LEFT(INDEX(FILTER(I$1:I584, I$1:I584&lt;&gt;""""),COUNTA(FILTER(I$1:I584, I$1:I584&lt;&gt;""""))), LEN(INDEX(FILTER(I$1:I584, I$1:I584&lt;&gt;""""),COUNTA(FILTER(I$1:I584, I$1:I584&lt;&gt;""""))))-1), IF('To Order'!$A585=COLUMNS($A585:I"&amp;"604), I584&amp;RIGHT(INDIRECT(ADDRESS(ROW(I585)-1, 'From Order'!$A585)), 1), I584))"),"DTWRD")</f>
        <v>DTWRD</v>
      </c>
    </row>
    <row r="586">
      <c r="A586" s="2" t="str">
        <f>IFERROR(__xludf.DUMMYFUNCTION("IF('From Order'!$A586=COLUMNS($A586:A605), LEFT(INDEX(FILTER(A$1:A585, A$1:A585&lt;&gt;""""),COUNTA(FILTER(A$1:A585, A$1:A585&lt;&gt;""""))), LEN(INDEX(FILTER(A$1:A585, A$1:A585&lt;&gt;""""),COUNTA(FILTER(A$1:A585, A$1:A585&lt;&gt;""""))))-1), IF('To Order'!$A586=COLUMNS($A586:A"&amp;"605), A585&amp;RIGHT(INDIRECT(ADDRESS(ROW(A586)-1, 'From Order'!$A586)), 1), A585))"),"LRTDC")</f>
        <v>LRTDC</v>
      </c>
      <c r="B586" s="2" t="str">
        <f>IFERROR(__xludf.DUMMYFUNCTION("IF('From Order'!$A586=COLUMNS($A586:B605), LEFT(INDEX(FILTER(B$1:B585, B$1:B585&lt;&gt;""""),COUNTA(FILTER(B$1:B585, B$1:B585&lt;&gt;""""))), LEN(INDEX(FILTER(B$1:B585, B$1:B585&lt;&gt;""""),COUNTA(FILTER(B$1:B585, B$1:B585&lt;&gt;""""))))-1), IF('To Order'!$A586=COLUMNS($A586:B"&amp;"605), B585&amp;RIGHT(INDIRECT(ADDRESS(ROW(B586)-1, 'From Order'!$A586)), 1), B585))"),"JZRVPVRZHMFBBFSLTDGSBL")</f>
        <v>JZRVPVRZHMFBBFSLTDGSBL</v>
      </c>
      <c r="C586" s="2" t="str">
        <f>IFERROR(__xludf.DUMMYFUNCTION("IF('From Order'!$A586=COLUMNS($A586:C605), LEFT(INDEX(FILTER(C$1:C585, C$1:C585&lt;&gt;""""),COUNTA(FILTER(C$1:C585, C$1:C585&lt;&gt;""""))), LEN(INDEX(FILTER(C$1:C585, C$1:C585&lt;&gt;""""),COUNTA(FILTER(C$1:C585, C$1:C585&lt;&gt;""""))))-1), IF('To Order'!$A586=COLUMNS($A586:C"&amp;"605), C585&amp;RIGHT(INDIRECT(ADDRESS(ROW(C586)-1, 'From Order'!$A586)), 1), C585))"),"")</f>
        <v/>
      </c>
      <c r="D586" s="2" t="str">
        <f>IFERROR(__xludf.DUMMYFUNCTION("IF('From Order'!$A586=COLUMNS($A586:D605), LEFT(INDEX(FILTER(D$1:D585, D$1:D585&lt;&gt;""""),COUNTA(FILTER(D$1:D585, D$1:D585&lt;&gt;""""))), LEN(INDEX(FILTER(D$1:D585, D$1:D585&lt;&gt;""""),COUNTA(FILTER(D$1:D585, D$1:D585&lt;&gt;""""))))-1), IF('To Order'!$A586=COLUMNS($A586:D"&amp;"605), D585&amp;RIGHT(INDIRECT(ADDRESS(ROW(D586)-1, 'From Order'!$A586)), 1), D585))"),"TMQ")</f>
        <v>TMQ</v>
      </c>
      <c r="E586" s="2" t="str">
        <f>IFERROR(__xludf.DUMMYFUNCTION("IF('From Order'!$A586=COLUMNS($A586:E605), LEFT(INDEX(FILTER(E$1:E585, E$1:E585&lt;&gt;""""),COUNTA(FILTER(E$1:E585, E$1:E585&lt;&gt;""""))), LEN(INDEX(FILTER(E$1:E585, E$1:E585&lt;&gt;""""),COUNTA(FILTER(E$1:E585, E$1:E585&lt;&gt;""""))))-1), IF('To Order'!$A586=COLUMNS($A586:E"&amp;"605), E585&amp;RIGHT(INDIRECT(ADDRESS(ROW(E586)-1, 'From Order'!$A586)), 1), E585))"),"")</f>
        <v/>
      </c>
      <c r="F586" s="2" t="str">
        <f>IFERROR(__xludf.DUMMYFUNCTION("IF('From Order'!$A586=COLUMNS($A586:F605), LEFT(INDEX(FILTER(F$1:F585, F$1:F585&lt;&gt;""""),COUNTA(FILTER(F$1:F585, F$1:F585&lt;&gt;""""))), LEN(INDEX(FILTER(F$1:F585, F$1:F585&lt;&gt;""""),COUNTA(FILTER(F$1:F585, F$1:F585&lt;&gt;""""))))-1), IF('To Order'!$A586=COLUMNS($A586:F"&amp;"605), F585&amp;RIGHT(INDIRECT(ADDRESS(ROW(F586)-1, 'From Order'!$A586)), 1), F585))"),"J")</f>
        <v>J</v>
      </c>
      <c r="G586" s="2" t="str">
        <f>IFERROR(__xludf.DUMMYFUNCTION("IF('From Order'!$A586=COLUMNS($A586:G605), LEFT(INDEX(FILTER(G$1:G585, G$1:G585&lt;&gt;""""),COUNTA(FILTER(G$1:G585, G$1:G585&lt;&gt;""""))), LEN(INDEX(FILTER(G$1:G585, G$1:G585&lt;&gt;""""),COUNTA(FILTER(G$1:G585, G$1:G585&lt;&gt;""""))))-1), IF('To Order'!$A586=COLUMNS($A586:G"&amp;"605), G585&amp;RIGHT(INDIRECT(ADDRESS(ROW(G586)-1, 'From Order'!$A586)), 1), G585))"),"")</f>
        <v/>
      </c>
      <c r="H586" s="2" t="str">
        <f>IFERROR(__xludf.DUMMYFUNCTION("IF('From Order'!$A586=COLUMNS($A586:H605), LEFT(INDEX(FILTER(H$1:H585, H$1:H585&lt;&gt;""""),COUNTA(FILTER(H$1:H585, H$1:H585&lt;&gt;""""))), LEN(INDEX(FILTER(H$1:H585, H$1:H585&lt;&gt;""""),COUNTA(FILTER(H$1:H585, H$1:H585&lt;&gt;""""))))-1), IF('To Order'!$A586=COLUMNS($A586:H"&amp;"605), H585&amp;RIGHT(INDIRECT(ADDRESS(ROW(H586)-1, 'From Order'!$A586)), 1), H585))"),"ZMDTCJTVCBPWHGSSDPQR")</f>
        <v>ZMDTCJTVCBPWHGSSDPQR</v>
      </c>
      <c r="I586" s="2" t="str">
        <f>IFERROR(__xludf.DUMMYFUNCTION("IF('From Order'!$A586=COLUMNS($A586:I605), LEFT(INDEX(FILTER(I$1:I585, I$1:I585&lt;&gt;""""),COUNTA(FILTER(I$1:I585, I$1:I585&lt;&gt;""""))), LEN(INDEX(FILTER(I$1:I585, I$1:I585&lt;&gt;""""),COUNTA(FILTER(I$1:I585, I$1:I585&lt;&gt;""""))))-1), IF('To Order'!$A586=COLUMNS($A586:I"&amp;"605), I585&amp;RIGHT(INDIRECT(ADDRESS(ROW(I586)-1, 'From Order'!$A586)), 1), I585))"),"DTWRD")</f>
        <v>DTWRD</v>
      </c>
    </row>
    <row r="587">
      <c r="A587" s="2" t="str">
        <f>IFERROR(__xludf.DUMMYFUNCTION("IF('From Order'!$A587=COLUMNS($A587:A606), LEFT(INDEX(FILTER(A$1:A586, A$1:A586&lt;&gt;""""),COUNTA(FILTER(A$1:A586, A$1:A586&lt;&gt;""""))), LEN(INDEX(FILTER(A$1:A586, A$1:A586&lt;&gt;""""),COUNTA(FILTER(A$1:A586, A$1:A586&lt;&gt;""""))))-1), IF('To Order'!$A587=COLUMNS($A587:A"&amp;"606), A586&amp;RIGHT(INDIRECT(ADDRESS(ROW(A587)-1, 'From Order'!$A587)), 1), A586))"),"LRTD")</f>
        <v>LRTD</v>
      </c>
      <c r="B587" s="2" t="str">
        <f>IFERROR(__xludf.DUMMYFUNCTION("IF('From Order'!$A587=COLUMNS($A587:B606), LEFT(INDEX(FILTER(B$1:B586, B$1:B586&lt;&gt;""""),COUNTA(FILTER(B$1:B586, B$1:B586&lt;&gt;""""))), LEN(INDEX(FILTER(B$1:B586, B$1:B586&lt;&gt;""""),COUNTA(FILTER(B$1:B586, B$1:B586&lt;&gt;""""))))-1), IF('To Order'!$A587=COLUMNS($A587:B"&amp;"606), B586&amp;RIGHT(INDIRECT(ADDRESS(ROW(B587)-1, 'From Order'!$A587)), 1), B586))"),"JZRVPVRZHMFBBFSLTDGSBL")</f>
        <v>JZRVPVRZHMFBBFSLTDGSBL</v>
      </c>
      <c r="C587" s="2" t="str">
        <f>IFERROR(__xludf.DUMMYFUNCTION("IF('From Order'!$A587=COLUMNS($A587:C606), LEFT(INDEX(FILTER(C$1:C586, C$1:C586&lt;&gt;""""),COUNTA(FILTER(C$1:C586, C$1:C586&lt;&gt;""""))), LEN(INDEX(FILTER(C$1:C586, C$1:C586&lt;&gt;""""),COUNTA(FILTER(C$1:C586, C$1:C586&lt;&gt;""""))))-1), IF('To Order'!$A587=COLUMNS($A587:C"&amp;"606), C586&amp;RIGHT(INDIRECT(ADDRESS(ROW(C587)-1, 'From Order'!$A587)), 1), C586))"),"")</f>
        <v/>
      </c>
      <c r="D587" s="2" t="str">
        <f>IFERROR(__xludf.DUMMYFUNCTION("IF('From Order'!$A587=COLUMNS($A587:D606), LEFT(INDEX(FILTER(D$1:D586, D$1:D586&lt;&gt;""""),COUNTA(FILTER(D$1:D586, D$1:D586&lt;&gt;""""))), LEN(INDEX(FILTER(D$1:D586, D$1:D586&lt;&gt;""""),COUNTA(FILTER(D$1:D586, D$1:D586&lt;&gt;""""))))-1), IF('To Order'!$A587=COLUMNS($A587:D"&amp;"606), D586&amp;RIGHT(INDIRECT(ADDRESS(ROW(D587)-1, 'From Order'!$A587)), 1), D586))"),"TMQ")</f>
        <v>TMQ</v>
      </c>
      <c r="E587" s="2" t="str">
        <f>IFERROR(__xludf.DUMMYFUNCTION("IF('From Order'!$A587=COLUMNS($A587:E606), LEFT(INDEX(FILTER(E$1:E586, E$1:E586&lt;&gt;""""),COUNTA(FILTER(E$1:E586, E$1:E586&lt;&gt;""""))), LEN(INDEX(FILTER(E$1:E586, E$1:E586&lt;&gt;""""),COUNTA(FILTER(E$1:E586, E$1:E586&lt;&gt;""""))))-1), IF('To Order'!$A587=COLUMNS($A587:E"&amp;"606), E586&amp;RIGHT(INDIRECT(ADDRESS(ROW(E587)-1, 'From Order'!$A587)), 1), E586))"),"")</f>
        <v/>
      </c>
      <c r="F587" s="2" t="str">
        <f>IFERROR(__xludf.DUMMYFUNCTION("IF('From Order'!$A587=COLUMNS($A587:F606), LEFT(INDEX(FILTER(F$1:F586, F$1:F586&lt;&gt;""""),COUNTA(FILTER(F$1:F586, F$1:F586&lt;&gt;""""))), LEN(INDEX(FILTER(F$1:F586, F$1:F586&lt;&gt;""""),COUNTA(FILTER(F$1:F586, F$1:F586&lt;&gt;""""))))-1), IF('To Order'!$A587=COLUMNS($A587:F"&amp;"606), F586&amp;RIGHT(INDIRECT(ADDRESS(ROW(F587)-1, 'From Order'!$A587)), 1), F586))"),"JC")</f>
        <v>JC</v>
      </c>
      <c r="G587" s="2" t="str">
        <f>IFERROR(__xludf.DUMMYFUNCTION("IF('From Order'!$A587=COLUMNS($A587:G606), LEFT(INDEX(FILTER(G$1:G586, G$1:G586&lt;&gt;""""),COUNTA(FILTER(G$1:G586, G$1:G586&lt;&gt;""""))), LEN(INDEX(FILTER(G$1:G586, G$1:G586&lt;&gt;""""),COUNTA(FILTER(G$1:G586, G$1:G586&lt;&gt;""""))))-1), IF('To Order'!$A587=COLUMNS($A587:G"&amp;"606), G586&amp;RIGHT(INDIRECT(ADDRESS(ROW(G587)-1, 'From Order'!$A587)), 1), G586))"),"")</f>
        <v/>
      </c>
      <c r="H587" s="2" t="str">
        <f>IFERROR(__xludf.DUMMYFUNCTION("IF('From Order'!$A587=COLUMNS($A587:H606), LEFT(INDEX(FILTER(H$1:H586, H$1:H586&lt;&gt;""""),COUNTA(FILTER(H$1:H586, H$1:H586&lt;&gt;""""))), LEN(INDEX(FILTER(H$1:H586, H$1:H586&lt;&gt;""""),COUNTA(FILTER(H$1:H586, H$1:H586&lt;&gt;""""))))-1), IF('To Order'!$A587=COLUMNS($A587:H"&amp;"606), H586&amp;RIGHT(INDIRECT(ADDRESS(ROW(H587)-1, 'From Order'!$A587)), 1), H586))"),"ZMDTCJTVCBPWHGSSDPQR")</f>
        <v>ZMDTCJTVCBPWHGSSDPQR</v>
      </c>
      <c r="I587" s="2" t="str">
        <f>IFERROR(__xludf.DUMMYFUNCTION("IF('From Order'!$A587=COLUMNS($A587:I606), LEFT(INDEX(FILTER(I$1:I586, I$1:I586&lt;&gt;""""),COUNTA(FILTER(I$1:I586, I$1:I586&lt;&gt;""""))), LEN(INDEX(FILTER(I$1:I586, I$1:I586&lt;&gt;""""),COUNTA(FILTER(I$1:I586, I$1:I586&lt;&gt;""""))))-1), IF('To Order'!$A587=COLUMNS($A587:I"&amp;"606), I586&amp;RIGHT(INDIRECT(ADDRESS(ROW(I587)-1, 'From Order'!$A587)), 1), I586))"),"DTWRD")</f>
        <v>DTWRD</v>
      </c>
    </row>
    <row r="588">
      <c r="A588" s="2" t="str">
        <f>IFERROR(__xludf.DUMMYFUNCTION("IF('From Order'!$A588=COLUMNS($A588:A607), LEFT(INDEX(FILTER(A$1:A587, A$1:A587&lt;&gt;""""),COUNTA(FILTER(A$1:A587, A$1:A587&lt;&gt;""""))), LEN(INDEX(FILTER(A$1:A587, A$1:A587&lt;&gt;""""),COUNTA(FILTER(A$1:A587, A$1:A587&lt;&gt;""""))))-1), IF('To Order'!$A588=COLUMNS($A588:A"&amp;"607), A587&amp;RIGHT(INDIRECT(ADDRESS(ROW(A588)-1, 'From Order'!$A588)), 1), A587))"),"LRT")</f>
        <v>LRT</v>
      </c>
      <c r="B588" s="2" t="str">
        <f>IFERROR(__xludf.DUMMYFUNCTION("IF('From Order'!$A588=COLUMNS($A588:B607), LEFT(INDEX(FILTER(B$1:B587, B$1:B587&lt;&gt;""""),COUNTA(FILTER(B$1:B587, B$1:B587&lt;&gt;""""))), LEN(INDEX(FILTER(B$1:B587, B$1:B587&lt;&gt;""""),COUNTA(FILTER(B$1:B587, B$1:B587&lt;&gt;""""))))-1), IF('To Order'!$A588=COLUMNS($A588:B"&amp;"607), B587&amp;RIGHT(INDIRECT(ADDRESS(ROW(B588)-1, 'From Order'!$A588)), 1), B587))"),"JZRVPVRZHMFBBFSLTDGSBL")</f>
        <v>JZRVPVRZHMFBBFSLTDGSBL</v>
      </c>
      <c r="C588" s="2" t="str">
        <f>IFERROR(__xludf.DUMMYFUNCTION("IF('From Order'!$A588=COLUMNS($A588:C607), LEFT(INDEX(FILTER(C$1:C587, C$1:C587&lt;&gt;""""),COUNTA(FILTER(C$1:C587, C$1:C587&lt;&gt;""""))), LEN(INDEX(FILTER(C$1:C587, C$1:C587&lt;&gt;""""),COUNTA(FILTER(C$1:C587, C$1:C587&lt;&gt;""""))))-1), IF('To Order'!$A588=COLUMNS($A588:C"&amp;"607), C587&amp;RIGHT(INDIRECT(ADDRESS(ROW(C588)-1, 'From Order'!$A588)), 1), C587))"),"")</f>
        <v/>
      </c>
      <c r="D588" s="2" t="str">
        <f>IFERROR(__xludf.DUMMYFUNCTION("IF('From Order'!$A588=COLUMNS($A588:D607), LEFT(INDEX(FILTER(D$1:D587, D$1:D587&lt;&gt;""""),COUNTA(FILTER(D$1:D587, D$1:D587&lt;&gt;""""))), LEN(INDEX(FILTER(D$1:D587, D$1:D587&lt;&gt;""""),COUNTA(FILTER(D$1:D587, D$1:D587&lt;&gt;""""))))-1), IF('To Order'!$A588=COLUMNS($A588:D"&amp;"607), D587&amp;RIGHT(INDIRECT(ADDRESS(ROW(D588)-1, 'From Order'!$A588)), 1), D587))"),"TMQ")</f>
        <v>TMQ</v>
      </c>
      <c r="E588" s="2" t="str">
        <f>IFERROR(__xludf.DUMMYFUNCTION("IF('From Order'!$A588=COLUMNS($A588:E607), LEFT(INDEX(FILTER(E$1:E587, E$1:E587&lt;&gt;""""),COUNTA(FILTER(E$1:E587, E$1:E587&lt;&gt;""""))), LEN(INDEX(FILTER(E$1:E587, E$1:E587&lt;&gt;""""),COUNTA(FILTER(E$1:E587, E$1:E587&lt;&gt;""""))))-1), IF('To Order'!$A588=COLUMNS($A588:E"&amp;"607), E587&amp;RIGHT(INDIRECT(ADDRESS(ROW(E588)-1, 'From Order'!$A588)), 1), E587))"),"")</f>
        <v/>
      </c>
      <c r="F588" s="2" t="str">
        <f>IFERROR(__xludf.DUMMYFUNCTION("IF('From Order'!$A588=COLUMNS($A588:F607), LEFT(INDEX(FILTER(F$1:F587, F$1:F587&lt;&gt;""""),COUNTA(FILTER(F$1:F587, F$1:F587&lt;&gt;""""))), LEN(INDEX(FILTER(F$1:F587, F$1:F587&lt;&gt;""""),COUNTA(FILTER(F$1:F587, F$1:F587&lt;&gt;""""))))-1), IF('To Order'!$A588=COLUMNS($A588:F"&amp;"607), F587&amp;RIGHT(INDIRECT(ADDRESS(ROW(F588)-1, 'From Order'!$A588)), 1), F587))"),"JCD")</f>
        <v>JCD</v>
      </c>
      <c r="G588" s="2" t="str">
        <f>IFERROR(__xludf.DUMMYFUNCTION("IF('From Order'!$A588=COLUMNS($A588:G607), LEFT(INDEX(FILTER(G$1:G587, G$1:G587&lt;&gt;""""),COUNTA(FILTER(G$1:G587, G$1:G587&lt;&gt;""""))), LEN(INDEX(FILTER(G$1:G587, G$1:G587&lt;&gt;""""),COUNTA(FILTER(G$1:G587, G$1:G587&lt;&gt;""""))))-1), IF('To Order'!$A588=COLUMNS($A588:G"&amp;"607), G587&amp;RIGHT(INDIRECT(ADDRESS(ROW(G588)-1, 'From Order'!$A588)), 1), G587))"),"")</f>
        <v/>
      </c>
      <c r="H588" s="2" t="str">
        <f>IFERROR(__xludf.DUMMYFUNCTION("IF('From Order'!$A588=COLUMNS($A588:H607), LEFT(INDEX(FILTER(H$1:H587, H$1:H587&lt;&gt;""""),COUNTA(FILTER(H$1:H587, H$1:H587&lt;&gt;""""))), LEN(INDEX(FILTER(H$1:H587, H$1:H587&lt;&gt;""""),COUNTA(FILTER(H$1:H587, H$1:H587&lt;&gt;""""))))-1), IF('To Order'!$A588=COLUMNS($A588:H"&amp;"607), H587&amp;RIGHT(INDIRECT(ADDRESS(ROW(H588)-1, 'From Order'!$A588)), 1), H587))"),"ZMDTCJTVCBPWHGSSDPQR")</f>
        <v>ZMDTCJTVCBPWHGSSDPQR</v>
      </c>
      <c r="I588" s="2" t="str">
        <f>IFERROR(__xludf.DUMMYFUNCTION("IF('From Order'!$A588=COLUMNS($A588:I607), LEFT(INDEX(FILTER(I$1:I587, I$1:I587&lt;&gt;""""),COUNTA(FILTER(I$1:I587, I$1:I587&lt;&gt;""""))), LEN(INDEX(FILTER(I$1:I587, I$1:I587&lt;&gt;""""),COUNTA(FILTER(I$1:I587, I$1:I587&lt;&gt;""""))))-1), IF('To Order'!$A588=COLUMNS($A588:I"&amp;"607), I587&amp;RIGHT(INDIRECT(ADDRESS(ROW(I588)-1, 'From Order'!$A588)), 1), I587))"),"DTWRD")</f>
        <v>DTWRD</v>
      </c>
    </row>
    <row r="589">
      <c r="A589" s="2" t="str">
        <f>IFERROR(__xludf.DUMMYFUNCTION("IF('From Order'!$A589=COLUMNS($A589:A608), LEFT(INDEX(FILTER(A$1:A588, A$1:A588&lt;&gt;""""),COUNTA(FILTER(A$1:A588, A$1:A588&lt;&gt;""""))), LEN(INDEX(FILTER(A$1:A588, A$1:A588&lt;&gt;""""),COUNTA(FILTER(A$1:A588, A$1:A588&lt;&gt;""""))))-1), IF('To Order'!$A589=COLUMNS($A589:A"&amp;"608), A588&amp;RIGHT(INDIRECT(ADDRESS(ROW(A589)-1, 'From Order'!$A589)), 1), A588))"),"LR")</f>
        <v>LR</v>
      </c>
      <c r="B589" s="2" t="str">
        <f>IFERROR(__xludf.DUMMYFUNCTION("IF('From Order'!$A589=COLUMNS($A589:B608), LEFT(INDEX(FILTER(B$1:B588, B$1:B588&lt;&gt;""""),COUNTA(FILTER(B$1:B588, B$1:B588&lt;&gt;""""))), LEN(INDEX(FILTER(B$1:B588, B$1:B588&lt;&gt;""""),COUNTA(FILTER(B$1:B588, B$1:B588&lt;&gt;""""))))-1), IF('To Order'!$A589=COLUMNS($A589:B"&amp;"608), B588&amp;RIGHT(INDIRECT(ADDRESS(ROW(B589)-1, 'From Order'!$A589)), 1), B588))"),"JZRVPVRZHMFBBFSLTDGSBL")</f>
        <v>JZRVPVRZHMFBBFSLTDGSBL</v>
      </c>
      <c r="C589" s="2" t="str">
        <f>IFERROR(__xludf.DUMMYFUNCTION("IF('From Order'!$A589=COLUMNS($A589:C608), LEFT(INDEX(FILTER(C$1:C588, C$1:C588&lt;&gt;""""),COUNTA(FILTER(C$1:C588, C$1:C588&lt;&gt;""""))), LEN(INDEX(FILTER(C$1:C588, C$1:C588&lt;&gt;""""),COUNTA(FILTER(C$1:C588, C$1:C588&lt;&gt;""""))))-1), IF('To Order'!$A589=COLUMNS($A589:C"&amp;"608), C588&amp;RIGHT(INDIRECT(ADDRESS(ROW(C589)-1, 'From Order'!$A589)), 1), C588))"),"")</f>
        <v/>
      </c>
      <c r="D589" s="2" t="str">
        <f>IFERROR(__xludf.DUMMYFUNCTION("IF('From Order'!$A589=COLUMNS($A589:D608), LEFT(INDEX(FILTER(D$1:D588, D$1:D588&lt;&gt;""""),COUNTA(FILTER(D$1:D588, D$1:D588&lt;&gt;""""))), LEN(INDEX(FILTER(D$1:D588, D$1:D588&lt;&gt;""""),COUNTA(FILTER(D$1:D588, D$1:D588&lt;&gt;""""))))-1), IF('To Order'!$A589=COLUMNS($A589:D"&amp;"608), D588&amp;RIGHT(INDIRECT(ADDRESS(ROW(D589)-1, 'From Order'!$A589)), 1), D588))"),"TMQ")</f>
        <v>TMQ</v>
      </c>
      <c r="E589" s="2" t="str">
        <f>IFERROR(__xludf.DUMMYFUNCTION("IF('From Order'!$A589=COLUMNS($A589:E608), LEFT(INDEX(FILTER(E$1:E588, E$1:E588&lt;&gt;""""),COUNTA(FILTER(E$1:E588, E$1:E588&lt;&gt;""""))), LEN(INDEX(FILTER(E$1:E588, E$1:E588&lt;&gt;""""),COUNTA(FILTER(E$1:E588, E$1:E588&lt;&gt;""""))))-1), IF('To Order'!$A589=COLUMNS($A589:E"&amp;"608), E588&amp;RIGHT(INDIRECT(ADDRESS(ROW(E589)-1, 'From Order'!$A589)), 1), E588))"),"")</f>
        <v/>
      </c>
      <c r="F589" s="2" t="str">
        <f>IFERROR(__xludf.DUMMYFUNCTION("IF('From Order'!$A589=COLUMNS($A589:F608), LEFT(INDEX(FILTER(F$1:F588, F$1:F588&lt;&gt;""""),COUNTA(FILTER(F$1:F588, F$1:F588&lt;&gt;""""))), LEN(INDEX(FILTER(F$1:F588, F$1:F588&lt;&gt;""""),COUNTA(FILTER(F$1:F588, F$1:F588&lt;&gt;""""))))-1), IF('To Order'!$A589=COLUMNS($A589:F"&amp;"608), F588&amp;RIGHT(INDIRECT(ADDRESS(ROW(F589)-1, 'From Order'!$A589)), 1), F588))"),"JCDT")</f>
        <v>JCDT</v>
      </c>
      <c r="G589" s="2" t="str">
        <f>IFERROR(__xludf.DUMMYFUNCTION("IF('From Order'!$A589=COLUMNS($A589:G608), LEFT(INDEX(FILTER(G$1:G588, G$1:G588&lt;&gt;""""),COUNTA(FILTER(G$1:G588, G$1:G588&lt;&gt;""""))), LEN(INDEX(FILTER(G$1:G588, G$1:G588&lt;&gt;""""),COUNTA(FILTER(G$1:G588, G$1:G588&lt;&gt;""""))))-1), IF('To Order'!$A589=COLUMNS($A589:G"&amp;"608), G588&amp;RIGHT(INDIRECT(ADDRESS(ROW(G589)-1, 'From Order'!$A589)), 1), G588))"),"")</f>
        <v/>
      </c>
      <c r="H589" s="2" t="str">
        <f>IFERROR(__xludf.DUMMYFUNCTION("IF('From Order'!$A589=COLUMNS($A589:H608), LEFT(INDEX(FILTER(H$1:H588, H$1:H588&lt;&gt;""""),COUNTA(FILTER(H$1:H588, H$1:H588&lt;&gt;""""))), LEN(INDEX(FILTER(H$1:H588, H$1:H588&lt;&gt;""""),COUNTA(FILTER(H$1:H588, H$1:H588&lt;&gt;""""))))-1), IF('To Order'!$A589=COLUMNS($A589:H"&amp;"608), H588&amp;RIGHT(INDIRECT(ADDRESS(ROW(H589)-1, 'From Order'!$A589)), 1), H588))"),"ZMDTCJTVCBPWHGSSDPQR")</f>
        <v>ZMDTCJTVCBPWHGSSDPQR</v>
      </c>
      <c r="I589" s="2" t="str">
        <f>IFERROR(__xludf.DUMMYFUNCTION("IF('From Order'!$A589=COLUMNS($A589:I608), LEFT(INDEX(FILTER(I$1:I588, I$1:I588&lt;&gt;""""),COUNTA(FILTER(I$1:I588, I$1:I588&lt;&gt;""""))), LEN(INDEX(FILTER(I$1:I588, I$1:I588&lt;&gt;""""),COUNTA(FILTER(I$1:I588, I$1:I588&lt;&gt;""""))))-1), IF('To Order'!$A589=COLUMNS($A589:I"&amp;"608), I588&amp;RIGHT(INDIRECT(ADDRESS(ROW(I589)-1, 'From Order'!$A589)), 1), I588))"),"DTWRD")</f>
        <v>DTWRD</v>
      </c>
    </row>
    <row r="590">
      <c r="A590" s="2" t="str">
        <f>IFERROR(__xludf.DUMMYFUNCTION("IF('From Order'!$A590=COLUMNS($A590:A609), LEFT(INDEX(FILTER(A$1:A589, A$1:A589&lt;&gt;""""),COUNTA(FILTER(A$1:A589, A$1:A589&lt;&gt;""""))), LEN(INDEX(FILTER(A$1:A589, A$1:A589&lt;&gt;""""),COUNTA(FILTER(A$1:A589, A$1:A589&lt;&gt;""""))))-1), IF('To Order'!$A590=COLUMNS($A590:A"&amp;"609), A589&amp;RIGHT(INDIRECT(ADDRESS(ROW(A590)-1, 'From Order'!$A590)), 1), A589))"),"L")</f>
        <v>L</v>
      </c>
      <c r="B590" s="2" t="str">
        <f>IFERROR(__xludf.DUMMYFUNCTION("IF('From Order'!$A590=COLUMNS($A590:B609), LEFT(INDEX(FILTER(B$1:B589, B$1:B589&lt;&gt;""""),COUNTA(FILTER(B$1:B589, B$1:B589&lt;&gt;""""))), LEN(INDEX(FILTER(B$1:B589, B$1:B589&lt;&gt;""""),COUNTA(FILTER(B$1:B589, B$1:B589&lt;&gt;""""))))-1), IF('To Order'!$A590=COLUMNS($A590:B"&amp;"609), B589&amp;RIGHT(INDIRECT(ADDRESS(ROW(B590)-1, 'From Order'!$A590)), 1), B589))"),"JZRVPVRZHMFBBFSLTDGSBL")</f>
        <v>JZRVPVRZHMFBBFSLTDGSBL</v>
      </c>
      <c r="C590" s="2" t="str">
        <f>IFERROR(__xludf.DUMMYFUNCTION("IF('From Order'!$A590=COLUMNS($A590:C609), LEFT(INDEX(FILTER(C$1:C589, C$1:C589&lt;&gt;""""),COUNTA(FILTER(C$1:C589, C$1:C589&lt;&gt;""""))), LEN(INDEX(FILTER(C$1:C589, C$1:C589&lt;&gt;""""),COUNTA(FILTER(C$1:C589, C$1:C589&lt;&gt;""""))))-1), IF('To Order'!$A590=COLUMNS($A590:C"&amp;"609), C589&amp;RIGHT(INDIRECT(ADDRESS(ROW(C590)-1, 'From Order'!$A590)), 1), C589))"),"")</f>
        <v/>
      </c>
      <c r="D590" s="2" t="str">
        <f>IFERROR(__xludf.DUMMYFUNCTION("IF('From Order'!$A590=COLUMNS($A590:D609), LEFT(INDEX(FILTER(D$1:D589, D$1:D589&lt;&gt;""""),COUNTA(FILTER(D$1:D589, D$1:D589&lt;&gt;""""))), LEN(INDEX(FILTER(D$1:D589, D$1:D589&lt;&gt;""""),COUNTA(FILTER(D$1:D589, D$1:D589&lt;&gt;""""))))-1), IF('To Order'!$A590=COLUMNS($A590:D"&amp;"609), D589&amp;RIGHT(INDIRECT(ADDRESS(ROW(D590)-1, 'From Order'!$A590)), 1), D589))"),"TMQ")</f>
        <v>TMQ</v>
      </c>
      <c r="E590" s="2" t="str">
        <f>IFERROR(__xludf.DUMMYFUNCTION("IF('From Order'!$A590=COLUMNS($A590:E609), LEFT(INDEX(FILTER(E$1:E589, E$1:E589&lt;&gt;""""),COUNTA(FILTER(E$1:E589, E$1:E589&lt;&gt;""""))), LEN(INDEX(FILTER(E$1:E589, E$1:E589&lt;&gt;""""),COUNTA(FILTER(E$1:E589, E$1:E589&lt;&gt;""""))))-1), IF('To Order'!$A590=COLUMNS($A590:E"&amp;"609), E589&amp;RIGHT(INDIRECT(ADDRESS(ROW(E590)-1, 'From Order'!$A590)), 1), E589))"),"")</f>
        <v/>
      </c>
      <c r="F590" s="2" t="str">
        <f>IFERROR(__xludf.DUMMYFUNCTION("IF('From Order'!$A590=COLUMNS($A590:F609), LEFT(INDEX(FILTER(F$1:F589, F$1:F589&lt;&gt;""""),COUNTA(FILTER(F$1:F589, F$1:F589&lt;&gt;""""))), LEN(INDEX(FILTER(F$1:F589, F$1:F589&lt;&gt;""""),COUNTA(FILTER(F$1:F589, F$1:F589&lt;&gt;""""))))-1), IF('To Order'!$A590=COLUMNS($A590:F"&amp;"609), F589&amp;RIGHT(INDIRECT(ADDRESS(ROW(F590)-1, 'From Order'!$A590)), 1), F589))"),"JCDTR")</f>
        <v>JCDTR</v>
      </c>
      <c r="G590" s="2" t="str">
        <f>IFERROR(__xludf.DUMMYFUNCTION("IF('From Order'!$A590=COLUMNS($A590:G609), LEFT(INDEX(FILTER(G$1:G589, G$1:G589&lt;&gt;""""),COUNTA(FILTER(G$1:G589, G$1:G589&lt;&gt;""""))), LEN(INDEX(FILTER(G$1:G589, G$1:G589&lt;&gt;""""),COUNTA(FILTER(G$1:G589, G$1:G589&lt;&gt;""""))))-1), IF('To Order'!$A590=COLUMNS($A590:G"&amp;"609), G589&amp;RIGHT(INDIRECT(ADDRESS(ROW(G590)-1, 'From Order'!$A590)), 1), G589))"),"")</f>
        <v/>
      </c>
      <c r="H590" s="2" t="str">
        <f>IFERROR(__xludf.DUMMYFUNCTION("IF('From Order'!$A590=COLUMNS($A590:H609), LEFT(INDEX(FILTER(H$1:H589, H$1:H589&lt;&gt;""""),COUNTA(FILTER(H$1:H589, H$1:H589&lt;&gt;""""))), LEN(INDEX(FILTER(H$1:H589, H$1:H589&lt;&gt;""""),COUNTA(FILTER(H$1:H589, H$1:H589&lt;&gt;""""))))-1), IF('To Order'!$A590=COLUMNS($A590:H"&amp;"609), H589&amp;RIGHT(INDIRECT(ADDRESS(ROW(H590)-1, 'From Order'!$A590)), 1), H589))"),"ZMDTCJTVCBPWHGSSDPQR")</f>
        <v>ZMDTCJTVCBPWHGSSDPQR</v>
      </c>
      <c r="I590" s="2" t="str">
        <f>IFERROR(__xludf.DUMMYFUNCTION("IF('From Order'!$A590=COLUMNS($A590:I609), LEFT(INDEX(FILTER(I$1:I589, I$1:I589&lt;&gt;""""),COUNTA(FILTER(I$1:I589, I$1:I589&lt;&gt;""""))), LEN(INDEX(FILTER(I$1:I589, I$1:I589&lt;&gt;""""),COUNTA(FILTER(I$1:I589, I$1:I589&lt;&gt;""""))))-1), IF('To Order'!$A590=COLUMNS($A590:I"&amp;"609), I589&amp;RIGHT(INDIRECT(ADDRESS(ROW(I590)-1, 'From Order'!$A590)), 1), I589))"),"DTWRD")</f>
        <v>DTWRD</v>
      </c>
    </row>
    <row r="591">
      <c r="A591" s="2" t="str">
        <f>IFERROR(__xludf.DUMMYFUNCTION("IF('From Order'!$A591=COLUMNS($A591:A610), LEFT(INDEX(FILTER(A$1:A590, A$1:A590&lt;&gt;""""),COUNTA(FILTER(A$1:A590, A$1:A590&lt;&gt;""""))), LEN(INDEX(FILTER(A$1:A590, A$1:A590&lt;&gt;""""),COUNTA(FILTER(A$1:A590, A$1:A590&lt;&gt;""""))))-1), IF('To Order'!$A591=COLUMNS($A591:A"&amp;"610), A590&amp;RIGHT(INDIRECT(ADDRESS(ROW(A591)-1, 'From Order'!$A591)), 1), A590))"),"")</f>
        <v/>
      </c>
      <c r="B591" s="2" t="str">
        <f>IFERROR(__xludf.DUMMYFUNCTION("IF('From Order'!$A591=COLUMNS($A591:B610), LEFT(INDEX(FILTER(B$1:B590, B$1:B590&lt;&gt;""""),COUNTA(FILTER(B$1:B590, B$1:B590&lt;&gt;""""))), LEN(INDEX(FILTER(B$1:B590, B$1:B590&lt;&gt;""""),COUNTA(FILTER(B$1:B590, B$1:B590&lt;&gt;""""))))-1), IF('To Order'!$A591=COLUMNS($A591:B"&amp;"610), B590&amp;RIGHT(INDIRECT(ADDRESS(ROW(B591)-1, 'From Order'!$A591)), 1), B590))"),"JZRVPVRZHMFBBFSLTDGSBL")</f>
        <v>JZRVPVRZHMFBBFSLTDGSBL</v>
      </c>
      <c r="C591" s="2" t="str">
        <f>IFERROR(__xludf.DUMMYFUNCTION("IF('From Order'!$A591=COLUMNS($A591:C610), LEFT(INDEX(FILTER(C$1:C590, C$1:C590&lt;&gt;""""),COUNTA(FILTER(C$1:C590, C$1:C590&lt;&gt;""""))), LEN(INDEX(FILTER(C$1:C590, C$1:C590&lt;&gt;""""),COUNTA(FILTER(C$1:C590, C$1:C590&lt;&gt;""""))))-1), IF('To Order'!$A591=COLUMNS($A591:C"&amp;"610), C590&amp;RIGHT(INDIRECT(ADDRESS(ROW(C591)-1, 'From Order'!$A591)), 1), C590))"),"")</f>
        <v/>
      </c>
      <c r="D591" s="2" t="str">
        <f>IFERROR(__xludf.DUMMYFUNCTION("IF('From Order'!$A591=COLUMNS($A591:D610), LEFT(INDEX(FILTER(D$1:D590, D$1:D590&lt;&gt;""""),COUNTA(FILTER(D$1:D590, D$1:D590&lt;&gt;""""))), LEN(INDEX(FILTER(D$1:D590, D$1:D590&lt;&gt;""""),COUNTA(FILTER(D$1:D590, D$1:D590&lt;&gt;""""))))-1), IF('To Order'!$A591=COLUMNS($A591:D"&amp;"610), D590&amp;RIGHT(INDIRECT(ADDRESS(ROW(D591)-1, 'From Order'!$A591)), 1), D590))"),"TMQ")</f>
        <v>TMQ</v>
      </c>
      <c r="E591" s="2" t="str">
        <f>IFERROR(__xludf.DUMMYFUNCTION("IF('From Order'!$A591=COLUMNS($A591:E610), LEFT(INDEX(FILTER(E$1:E590, E$1:E590&lt;&gt;""""),COUNTA(FILTER(E$1:E590, E$1:E590&lt;&gt;""""))), LEN(INDEX(FILTER(E$1:E590, E$1:E590&lt;&gt;""""),COUNTA(FILTER(E$1:E590, E$1:E590&lt;&gt;""""))))-1), IF('To Order'!$A591=COLUMNS($A591:E"&amp;"610), E590&amp;RIGHT(INDIRECT(ADDRESS(ROW(E591)-1, 'From Order'!$A591)), 1), E590))"),"")</f>
        <v/>
      </c>
      <c r="F591" s="2" t="str">
        <f>IFERROR(__xludf.DUMMYFUNCTION("IF('From Order'!$A591=COLUMNS($A591:F610), LEFT(INDEX(FILTER(F$1:F590, F$1:F590&lt;&gt;""""),COUNTA(FILTER(F$1:F590, F$1:F590&lt;&gt;""""))), LEN(INDEX(FILTER(F$1:F590, F$1:F590&lt;&gt;""""),COUNTA(FILTER(F$1:F590, F$1:F590&lt;&gt;""""))))-1), IF('To Order'!$A591=COLUMNS($A591:F"&amp;"610), F590&amp;RIGHT(INDIRECT(ADDRESS(ROW(F591)-1, 'From Order'!$A591)), 1), F590))"),"JCDTRL")</f>
        <v>JCDTRL</v>
      </c>
      <c r="G591" s="2" t="str">
        <f>IFERROR(__xludf.DUMMYFUNCTION("IF('From Order'!$A591=COLUMNS($A591:G610), LEFT(INDEX(FILTER(G$1:G590, G$1:G590&lt;&gt;""""),COUNTA(FILTER(G$1:G590, G$1:G590&lt;&gt;""""))), LEN(INDEX(FILTER(G$1:G590, G$1:G590&lt;&gt;""""),COUNTA(FILTER(G$1:G590, G$1:G590&lt;&gt;""""))))-1), IF('To Order'!$A591=COLUMNS($A591:G"&amp;"610), G590&amp;RIGHT(INDIRECT(ADDRESS(ROW(G591)-1, 'From Order'!$A591)), 1), G590))"),"")</f>
        <v/>
      </c>
      <c r="H591" s="2" t="str">
        <f>IFERROR(__xludf.DUMMYFUNCTION("IF('From Order'!$A591=COLUMNS($A591:H610), LEFT(INDEX(FILTER(H$1:H590, H$1:H590&lt;&gt;""""),COUNTA(FILTER(H$1:H590, H$1:H590&lt;&gt;""""))), LEN(INDEX(FILTER(H$1:H590, H$1:H590&lt;&gt;""""),COUNTA(FILTER(H$1:H590, H$1:H590&lt;&gt;""""))))-1), IF('To Order'!$A591=COLUMNS($A591:H"&amp;"610), H590&amp;RIGHT(INDIRECT(ADDRESS(ROW(H591)-1, 'From Order'!$A591)), 1), H590))"),"ZMDTCJTVCBPWHGSSDPQR")</f>
        <v>ZMDTCJTVCBPWHGSSDPQR</v>
      </c>
      <c r="I591" s="2" t="str">
        <f>IFERROR(__xludf.DUMMYFUNCTION("IF('From Order'!$A591=COLUMNS($A591:I610), LEFT(INDEX(FILTER(I$1:I590, I$1:I590&lt;&gt;""""),COUNTA(FILTER(I$1:I590, I$1:I590&lt;&gt;""""))), LEN(INDEX(FILTER(I$1:I590, I$1:I590&lt;&gt;""""),COUNTA(FILTER(I$1:I590, I$1:I590&lt;&gt;""""))))-1), IF('To Order'!$A591=COLUMNS($A591:I"&amp;"610), I590&amp;RIGHT(INDIRECT(ADDRESS(ROW(I591)-1, 'From Order'!$A591)), 1), I590))"),"DTWRD")</f>
        <v>DTWRD</v>
      </c>
    </row>
    <row r="592">
      <c r="A592" s="2" t="str">
        <f>IFERROR(__xludf.DUMMYFUNCTION("IF('From Order'!$A592=COLUMNS($A592:A611), LEFT(INDEX(FILTER(A$1:A591, A$1:A591&lt;&gt;""""),COUNTA(FILTER(A$1:A591, A$1:A591&lt;&gt;""""))), LEN(INDEX(FILTER(A$1:A591, A$1:A591&lt;&gt;""""),COUNTA(FILTER(A$1:A591, A$1:A591&lt;&gt;""""))))-1), IF('To Order'!$A592=COLUMNS($A592:A"&amp;"611), A591&amp;RIGHT(INDIRECT(ADDRESS(ROW(A592)-1, 'From Order'!$A592)), 1), A591))"),"")</f>
        <v/>
      </c>
      <c r="B592" s="2" t="str">
        <f>IFERROR(__xludf.DUMMYFUNCTION("IF('From Order'!$A592=COLUMNS($A592:B611), LEFT(INDEX(FILTER(B$1:B591, B$1:B591&lt;&gt;""""),COUNTA(FILTER(B$1:B591, B$1:B591&lt;&gt;""""))), LEN(INDEX(FILTER(B$1:B591, B$1:B591&lt;&gt;""""),COUNTA(FILTER(B$1:B591, B$1:B591&lt;&gt;""""))))-1), IF('To Order'!$A592=COLUMNS($A592:B"&amp;"611), B591&amp;RIGHT(INDIRECT(ADDRESS(ROW(B592)-1, 'From Order'!$A592)), 1), B591))"),"JZRVPVRZHMFBBFSLTDGSBL")</f>
        <v>JZRVPVRZHMFBBFSLTDGSBL</v>
      </c>
      <c r="C592" s="2" t="str">
        <f>IFERROR(__xludf.DUMMYFUNCTION("IF('From Order'!$A592=COLUMNS($A592:C611), LEFT(INDEX(FILTER(C$1:C591, C$1:C591&lt;&gt;""""),COUNTA(FILTER(C$1:C591, C$1:C591&lt;&gt;""""))), LEN(INDEX(FILTER(C$1:C591, C$1:C591&lt;&gt;""""),COUNTA(FILTER(C$1:C591, C$1:C591&lt;&gt;""""))))-1), IF('To Order'!$A592=COLUMNS($A592:C"&amp;"611), C591&amp;RIGHT(INDIRECT(ADDRESS(ROW(C592)-1, 'From Order'!$A592)), 1), C591))"),"")</f>
        <v/>
      </c>
      <c r="D592" s="2" t="str">
        <f>IFERROR(__xludf.DUMMYFUNCTION("IF('From Order'!$A592=COLUMNS($A592:D611), LEFT(INDEX(FILTER(D$1:D591, D$1:D591&lt;&gt;""""),COUNTA(FILTER(D$1:D591, D$1:D591&lt;&gt;""""))), LEN(INDEX(FILTER(D$1:D591, D$1:D591&lt;&gt;""""),COUNTA(FILTER(D$1:D591, D$1:D591&lt;&gt;""""))))-1), IF('To Order'!$A592=COLUMNS($A592:D"&amp;"611), D591&amp;RIGHT(INDIRECT(ADDRESS(ROW(D592)-1, 'From Order'!$A592)), 1), D591))"),"TMQ")</f>
        <v>TMQ</v>
      </c>
      <c r="E592" s="2" t="str">
        <f>IFERROR(__xludf.DUMMYFUNCTION("IF('From Order'!$A592=COLUMNS($A592:E611), LEFT(INDEX(FILTER(E$1:E591, E$1:E591&lt;&gt;""""),COUNTA(FILTER(E$1:E591, E$1:E591&lt;&gt;""""))), LEN(INDEX(FILTER(E$1:E591, E$1:E591&lt;&gt;""""),COUNTA(FILTER(E$1:E591, E$1:E591&lt;&gt;""""))))-1), IF('To Order'!$A592=COLUMNS($A592:E"&amp;"611), E591&amp;RIGHT(INDIRECT(ADDRESS(ROW(E592)-1, 'From Order'!$A592)), 1), E591))"),"")</f>
        <v/>
      </c>
      <c r="F592" s="2" t="str">
        <f>IFERROR(__xludf.DUMMYFUNCTION("IF('From Order'!$A592=COLUMNS($A592:F611), LEFT(INDEX(FILTER(F$1:F591, F$1:F591&lt;&gt;""""),COUNTA(FILTER(F$1:F591, F$1:F591&lt;&gt;""""))), LEN(INDEX(FILTER(F$1:F591, F$1:F591&lt;&gt;""""),COUNTA(FILTER(F$1:F591, F$1:F591&lt;&gt;""""))))-1), IF('To Order'!$A592=COLUMNS($A592:F"&amp;"611), F591&amp;RIGHT(INDIRECT(ADDRESS(ROW(F592)-1, 'From Order'!$A592)), 1), F591))"),"JCDTR")</f>
        <v>JCDTR</v>
      </c>
      <c r="G592" s="2" t="str">
        <f>IFERROR(__xludf.DUMMYFUNCTION("IF('From Order'!$A592=COLUMNS($A592:G611), LEFT(INDEX(FILTER(G$1:G591, G$1:G591&lt;&gt;""""),COUNTA(FILTER(G$1:G591, G$1:G591&lt;&gt;""""))), LEN(INDEX(FILTER(G$1:G591, G$1:G591&lt;&gt;""""),COUNTA(FILTER(G$1:G591, G$1:G591&lt;&gt;""""))))-1), IF('To Order'!$A592=COLUMNS($A592:G"&amp;"611), G591&amp;RIGHT(INDIRECT(ADDRESS(ROW(G592)-1, 'From Order'!$A592)), 1), G591))"),"")</f>
        <v/>
      </c>
      <c r="H592" s="2" t="str">
        <f>IFERROR(__xludf.DUMMYFUNCTION("IF('From Order'!$A592=COLUMNS($A592:H611), LEFT(INDEX(FILTER(H$1:H591, H$1:H591&lt;&gt;""""),COUNTA(FILTER(H$1:H591, H$1:H591&lt;&gt;""""))), LEN(INDEX(FILTER(H$1:H591, H$1:H591&lt;&gt;""""),COUNTA(FILTER(H$1:H591, H$1:H591&lt;&gt;""""))))-1), IF('To Order'!$A592=COLUMNS($A592:H"&amp;"611), H591&amp;RIGHT(INDIRECT(ADDRESS(ROW(H592)-1, 'From Order'!$A592)), 1), H591))"),"ZMDTCJTVCBPWHGSSDPQRL")</f>
        <v>ZMDTCJTVCBPWHGSSDPQRL</v>
      </c>
      <c r="I592" s="2" t="str">
        <f>IFERROR(__xludf.DUMMYFUNCTION("IF('From Order'!$A592=COLUMNS($A592:I611), LEFT(INDEX(FILTER(I$1:I591, I$1:I591&lt;&gt;""""),COUNTA(FILTER(I$1:I591, I$1:I591&lt;&gt;""""))), LEN(INDEX(FILTER(I$1:I591, I$1:I591&lt;&gt;""""),COUNTA(FILTER(I$1:I591, I$1:I591&lt;&gt;""""))))-1), IF('To Order'!$A592=COLUMNS($A592:I"&amp;"611), I591&amp;RIGHT(INDIRECT(ADDRESS(ROW(I592)-1, 'From Order'!$A592)), 1), I591))"),"DTWRD")</f>
        <v>DTWRD</v>
      </c>
    </row>
    <row r="593">
      <c r="A593" s="2" t="str">
        <f>IFERROR(__xludf.DUMMYFUNCTION("IF('From Order'!$A593=COLUMNS($A593:A612), LEFT(INDEX(FILTER(A$1:A592, A$1:A592&lt;&gt;""""),COUNTA(FILTER(A$1:A592, A$1:A592&lt;&gt;""""))), LEN(INDEX(FILTER(A$1:A592, A$1:A592&lt;&gt;""""),COUNTA(FILTER(A$1:A592, A$1:A592&lt;&gt;""""))))-1), IF('To Order'!$A593=COLUMNS($A593:A"&amp;"612), A592&amp;RIGHT(INDIRECT(ADDRESS(ROW(A593)-1, 'From Order'!$A593)), 1), A592))"),"")</f>
        <v/>
      </c>
      <c r="B593" s="2" t="str">
        <f>IFERROR(__xludf.DUMMYFUNCTION("IF('From Order'!$A593=COLUMNS($A593:B612), LEFT(INDEX(FILTER(B$1:B592, B$1:B592&lt;&gt;""""),COUNTA(FILTER(B$1:B592, B$1:B592&lt;&gt;""""))), LEN(INDEX(FILTER(B$1:B592, B$1:B592&lt;&gt;""""),COUNTA(FILTER(B$1:B592, B$1:B592&lt;&gt;""""))))-1), IF('To Order'!$A593=COLUMNS($A593:B"&amp;"612), B592&amp;RIGHT(INDIRECT(ADDRESS(ROW(B593)-1, 'From Order'!$A593)), 1), B592))"),"JZRVPVRZHMFBBFSLTDGSBL")</f>
        <v>JZRVPVRZHMFBBFSLTDGSBL</v>
      </c>
      <c r="C593" s="2" t="str">
        <f>IFERROR(__xludf.DUMMYFUNCTION("IF('From Order'!$A593=COLUMNS($A593:C612), LEFT(INDEX(FILTER(C$1:C592, C$1:C592&lt;&gt;""""),COUNTA(FILTER(C$1:C592, C$1:C592&lt;&gt;""""))), LEN(INDEX(FILTER(C$1:C592, C$1:C592&lt;&gt;""""),COUNTA(FILTER(C$1:C592, C$1:C592&lt;&gt;""""))))-1), IF('To Order'!$A593=COLUMNS($A593:C"&amp;"612), C592&amp;RIGHT(INDIRECT(ADDRESS(ROW(C593)-1, 'From Order'!$A593)), 1), C592))"),"")</f>
        <v/>
      </c>
      <c r="D593" s="2" t="str">
        <f>IFERROR(__xludf.DUMMYFUNCTION("IF('From Order'!$A593=COLUMNS($A593:D612), LEFT(INDEX(FILTER(D$1:D592, D$1:D592&lt;&gt;""""),COUNTA(FILTER(D$1:D592, D$1:D592&lt;&gt;""""))), LEN(INDEX(FILTER(D$1:D592, D$1:D592&lt;&gt;""""),COUNTA(FILTER(D$1:D592, D$1:D592&lt;&gt;""""))))-1), IF('To Order'!$A593=COLUMNS($A593:D"&amp;"612), D592&amp;RIGHT(INDIRECT(ADDRESS(ROW(D593)-1, 'From Order'!$A593)), 1), D592))"),"TMQ")</f>
        <v>TMQ</v>
      </c>
      <c r="E593" s="2" t="str">
        <f>IFERROR(__xludf.DUMMYFUNCTION("IF('From Order'!$A593=COLUMNS($A593:E612), LEFT(INDEX(FILTER(E$1:E592, E$1:E592&lt;&gt;""""),COUNTA(FILTER(E$1:E592, E$1:E592&lt;&gt;""""))), LEN(INDEX(FILTER(E$1:E592, E$1:E592&lt;&gt;""""),COUNTA(FILTER(E$1:E592, E$1:E592&lt;&gt;""""))))-1), IF('To Order'!$A593=COLUMNS($A593:E"&amp;"612), E592&amp;RIGHT(INDIRECT(ADDRESS(ROW(E593)-1, 'From Order'!$A593)), 1), E592))"),"")</f>
        <v/>
      </c>
      <c r="F593" s="2" t="str">
        <f>IFERROR(__xludf.DUMMYFUNCTION("IF('From Order'!$A593=COLUMNS($A593:F612), LEFT(INDEX(FILTER(F$1:F592, F$1:F592&lt;&gt;""""),COUNTA(FILTER(F$1:F592, F$1:F592&lt;&gt;""""))), LEN(INDEX(FILTER(F$1:F592, F$1:F592&lt;&gt;""""),COUNTA(FILTER(F$1:F592, F$1:F592&lt;&gt;""""))))-1), IF('To Order'!$A593=COLUMNS($A593:F"&amp;"612), F592&amp;RIGHT(INDIRECT(ADDRESS(ROW(F593)-1, 'From Order'!$A593)), 1), F592))"),"JCDT")</f>
        <v>JCDT</v>
      </c>
      <c r="G593" s="2" t="str">
        <f>IFERROR(__xludf.DUMMYFUNCTION("IF('From Order'!$A593=COLUMNS($A593:G612), LEFT(INDEX(FILTER(G$1:G592, G$1:G592&lt;&gt;""""),COUNTA(FILTER(G$1:G592, G$1:G592&lt;&gt;""""))), LEN(INDEX(FILTER(G$1:G592, G$1:G592&lt;&gt;""""),COUNTA(FILTER(G$1:G592, G$1:G592&lt;&gt;""""))))-1), IF('To Order'!$A593=COLUMNS($A593:G"&amp;"612), G592&amp;RIGHT(INDIRECT(ADDRESS(ROW(G593)-1, 'From Order'!$A593)), 1), G592))"),"")</f>
        <v/>
      </c>
      <c r="H593" s="2" t="str">
        <f>IFERROR(__xludf.DUMMYFUNCTION("IF('From Order'!$A593=COLUMNS($A593:H612), LEFT(INDEX(FILTER(H$1:H592, H$1:H592&lt;&gt;""""),COUNTA(FILTER(H$1:H592, H$1:H592&lt;&gt;""""))), LEN(INDEX(FILTER(H$1:H592, H$1:H592&lt;&gt;""""),COUNTA(FILTER(H$1:H592, H$1:H592&lt;&gt;""""))))-1), IF('To Order'!$A593=COLUMNS($A593:H"&amp;"612), H592&amp;RIGHT(INDIRECT(ADDRESS(ROW(H593)-1, 'From Order'!$A593)), 1), H592))"),"ZMDTCJTVCBPWHGSSDPQRLR")</f>
        <v>ZMDTCJTVCBPWHGSSDPQRLR</v>
      </c>
      <c r="I593" s="2" t="str">
        <f>IFERROR(__xludf.DUMMYFUNCTION("IF('From Order'!$A593=COLUMNS($A593:I612), LEFT(INDEX(FILTER(I$1:I592, I$1:I592&lt;&gt;""""),COUNTA(FILTER(I$1:I592, I$1:I592&lt;&gt;""""))), LEN(INDEX(FILTER(I$1:I592, I$1:I592&lt;&gt;""""),COUNTA(FILTER(I$1:I592, I$1:I592&lt;&gt;""""))))-1), IF('To Order'!$A593=COLUMNS($A593:I"&amp;"612), I592&amp;RIGHT(INDIRECT(ADDRESS(ROW(I593)-1, 'From Order'!$A593)), 1), I592))"),"DTWRD")</f>
        <v>DTWRD</v>
      </c>
    </row>
    <row r="594">
      <c r="A594" s="2" t="str">
        <f>IFERROR(__xludf.DUMMYFUNCTION("IF('From Order'!$A594=COLUMNS($A594:A613), LEFT(INDEX(FILTER(A$1:A593, A$1:A593&lt;&gt;""""),COUNTA(FILTER(A$1:A593, A$1:A593&lt;&gt;""""))), LEN(INDEX(FILTER(A$1:A593, A$1:A593&lt;&gt;""""),COUNTA(FILTER(A$1:A593, A$1:A593&lt;&gt;""""))))-1), IF('To Order'!$A594=COLUMNS($A594:A"&amp;"613), A593&amp;RIGHT(INDIRECT(ADDRESS(ROW(A594)-1, 'From Order'!$A594)), 1), A593))"),"")</f>
        <v/>
      </c>
      <c r="B594" s="2" t="str">
        <f>IFERROR(__xludf.DUMMYFUNCTION("IF('From Order'!$A594=COLUMNS($A594:B613), LEFT(INDEX(FILTER(B$1:B593, B$1:B593&lt;&gt;""""),COUNTA(FILTER(B$1:B593, B$1:B593&lt;&gt;""""))), LEN(INDEX(FILTER(B$1:B593, B$1:B593&lt;&gt;""""),COUNTA(FILTER(B$1:B593, B$1:B593&lt;&gt;""""))))-1), IF('To Order'!$A594=COLUMNS($A594:B"&amp;"613), B593&amp;RIGHT(INDIRECT(ADDRESS(ROW(B594)-1, 'From Order'!$A594)), 1), B593))"),"JZRVPVRZHMFBBFSLTDGSBL")</f>
        <v>JZRVPVRZHMFBBFSLTDGSBL</v>
      </c>
      <c r="C594" s="2" t="str">
        <f>IFERROR(__xludf.DUMMYFUNCTION("IF('From Order'!$A594=COLUMNS($A594:C613), LEFT(INDEX(FILTER(C$1:C593, C$1:C593&lt;&gt;""""),COUNTA(FILTER(C$1:C593, C$1:C593&lt;&gt;""""))), LEN(INDEX(FILTER(C$1:C593, C$1:C593&lt;&gt;""""),COUNTA(FILTER(C$1:C593, C$1:C593&lt;&gt;""""))))-1), IF('To Order'!$A594=COLUMNS($A594:C"&amp;"613), C593&amp;RIGHT(INDIRECT(ADDRESS(ROW(C594)-1, 'From Order'!$A594)), 1), C593))"),"")</f>
        <v/>
      </c>
      <c r="D594" s="2" t="str">
        <f>IFERROR(__xludf.DUMMYFUNCTION("IF('From Order'!$A594=COLUMNS($A594:D613), LEFT(INDEX(FILTER(D$1:D593, D$1:D593&lt;&gt;""""),COUNTA(FILTER(D$1:D593, D$1:D593&lt;&gt;""""))), LEN(INDEX(FILTER(D$1:D593, D$1:D593&lt;&gt;""""),COUNTA(FILTER(D$1:D593, D$1:D593&lt;&gt;""""))))-1), IF('To Order'!$A594=COLUMNS($A594:D"&amp;"613), D593&amp;RIGHT(INDIRECT(ADDRESS(ROW(D594)-1, 'From Order'!$A594)), 1), D593))"),"TMQ")</f>
        <v>TMQ</v>
      </c>
      <c r="E594" s="2" t="str">
        <f>IFERROR(__xludf.DUMMYFUNCTION("IF('From Order'!$A594=COLUMNS($A594:E613), LEFT(INDEX(FILTER(E$1:E593, E$1:E593&lt;&gt;""""),COUNTA(FILTER(E$1:E593, E$1:E593&lt;&gt;""""))), LEN(INDEX(FILTER(E$1:E593, E$1:E593&lt;&gt;""""),COUNTA(FILTER(E$1:E593, E$1:E593&lt;&gt;""""))))-1), IF('To Order'!$A594=COLUMNS($A594:E"&amp;"613), E593&amp;RIGHT(INDIRECT(ADDRESS(ROW(E594)-1, 'From Order'!$A594)), 1), E593))"),"")</f>
        <v/>
      </c>
      <c r="F594" s="2" t="str">
        <f>IFERROR(__xludf.DUMMYFUNCTION("IF('From Order'!$A594=COLUMNS($A594:F613), LEFT(INDEX(FILTER(F$1:F593, F$1:F593&lt;&gt;""""),COUNTA(FILTER(F$1:F593, F$1:F593&lt;&gt;""""))), LEN(INDEX(FILTER(F$1:F593, F$1:F593&lt;&gt;""""),COUNTA(FILTER(F$1:F593, F$1:F593&lt;&gt;""""))))-1), IF('To Order'!$A594=COLUMNS($A594:F"&amp;"613), F593&amp;RIGHT(INDIRECT(ADDRESS(ROW(F594)-1, 'From Order'!$A594)), 1), F593))"),"JCD")</f>
        <v>JCD</v>
      </c>
      <c r="G594" s="2" t="str">
        <f>IFERROR(__xludf.DUMMYFUNCTION("IF('From Order'!$A594=COLUMNS($A594:G613), LEFT(INDEX(FILTER(G$1:G593, G$1:G593&lt;&gt;""""),COUNTA(FILTER(G$1:G593, G$1:G593&lt;&gt;""""))), LEN(INDEX(FILTER(G$1:G593, G$1:G593&lt;&gt;""""),COUNTA(FILTER(G$1:G593, G$1:G593&lt;&gt;""""))))-1), IF('To Order'!$A594=COLUMNS($A594:G"&amp;"613), G593&amp;RIGHT(INDIRECT(ADDRESS(ROW(G594)-1, 'From Order'!$A594)), 1), G593))"),"")</f>
        <v/>
      </c>
      <c r="H594" s="2" t="str">
        <f>IFERROR(__xludf.DUMMYFUNCTION("IF('From Order'!$A594=COLUMNS($A594:H613), LEFT(INDEX(FILTER(H$1:H593, H$1:H593&lt;&gt;""""),COUNTA(FILTER(H$1:H593, H$1:H593&lt;&gt;""""))), LEN(INDEX(FILTER(H$1:H593, H$1:H593&lt;&gt;""""),COUNTA(FILTER(H$1:H593, H$1:H593&lt;&gt;""""))))-1), IF('To Order'!$A594=COLUMNS($A594:H"&amp;"613), H593&amp;RIGHT(INDIRECT(ADDRESS(ROW(H594)-1, 'From Order'!$A594)), 1), H593))"),"ZMDTCJTVCBPWHGSSDPQRLRT")</f>
        <v>ZMDTCJTVCBPWHGSSDPQRLRT</v>
      </c>
      <c r="I594" s="2" t="str">
        <f>IFERROR(__xludf.DUMMYFUNCTION("IF('From Order'!$A594=COLUMNS($A594:I613), LEFT(INDEX(FILTER(I$1:I593, I$1:I593&lt;&gt;""""),COUNTA(FILTER(I$1:I593, I$1:I593&lt;&gt;""""))), LEN(INDEX(FILTER(I$1:I593, I$1:I593&lt;&gt;""""),COUNTA(FILTER(I$1:I593, I$1:I593&lt;&gt;""""))))-1), IF('To Order'!$A594=COLUMNS($A594:I"&amp;"613), I593&amp;RIGHT(INDIRECT(ADDRESS(ROW(I594)-1, 'From Order'!$A594)), 1), I593))"),"DTWRD")</f>
        <v>DTWRD</v>
      </c>
    </row>
    <row r="595">
      <c r="A595" s="2" t="str">
        <f>IFERROR(__xludf.DUMMYFUNCTION("IF('From Order'!$A595=COLUMNS($A595:A614), LEFT(INDEX(FILTER(A$1:A594, A$1:A594&lt;&gt;""""),COUNTA(FILTER(A$1:A594, A$1:A594&lt;&gt;""""))), LEN(INDEX(FILTER(A$1:A594, A$1:A594&lt;&gt;""""),COUNTA(FILTER(A$1:A594, A$1:A594&lt;&gt;""""))))-1), IF('To Order'!$A595=COLUMNS($A595:A"&amp;"614), A594&amp;RIGHT(INDIRECT(ADDRESS(ROW(A595)-1, 'From Order'!$A595)), 1), A594))"),"")</f>
        <v/>
      </c>
      <c r="B595" s="2" t="str">
        <f>IFERROR(__xludf.DUMMYFUNCTION("IF('From Order'!$A595=COLUMNS($A595:B614), LEFT(INDEX(FILTER(B$1:B594, B$1:B594&lt;&gt;""""),COUNTA(FILTER(B$1:B594, B$1:B594&lt;&gt;""""))), LEN(INDEX(FILTER(B$1:B594, B$1:B594&lt;&gt;""""),COUNTA(FILTER(B$1:B594, B$1:B594&lt;&gt;""""))))-1), IF('To Order'!$A595=COLUMNS($A595:B"&amp;"614), B594&amp;RIGHT(INDIRECT(ADDRESS(ROW(B595)-1, 'From Order'!$A595)), 1), B594))"),"JZRVPVRZHMFBBFSLTDGSBL")</f>
        <v>JZRVPVRZHMFBBFSLTDGSBL</v>
      </c>
      <c r="C595" s="2" t="str">
        <f>IFERROR(__xludf.DUMMYFUNCTION("IF('From Order'!$A595=COLUMNS($A595:C614), LEFT(INDEX(FILTER(C$1:C594, C$1:C594&lt;&gt;""""),COUNTA(FILTER(C$1:C594, C$1:C594&lt;&gt;""""))), LEN(INDEX(FILTER(C$1:C594, C$1:C594&lt;&gt;""""),COUNTA(FILTER(C$1:C594, C$1:C594&lt;&gt;""""))))-1), IF('To Order'!$A595=COLUMNS($A595:C"&amp;"614), C594&amp;RIGHT(INDIRECT(ADDRESS(ROW(C595)-1, 'From Order'!$A595)), 1), C594))"),"")</f>
        <v/>
      </c>
      <c r="D595" s="2" t="str">
        <f>IFERROR(__xludf.DUMMYFUNCTION("IF('From Order'!$A595=COLUMNS($A595:D614), LEFT(INDEX(FILTER(D$1:D594, D$1:D594&lt;&gt;""""),COUNTA(FILTER(D$1:D594, D$1:D594&lt;&gt;""""))), LEN(INDEX(FILTER(D$1:D594, D$1:D594&lt;&gt;""""),COUNTA(FILTER(D$1:D594, D$1:D594&lt;&gt;""""))))-1), IF('To Order'!$A595=COLUMNS($A595:D"&amp;"614), D594&amp;RIGHT(INDIRECT(ADDRESS(ROW(D595)-1, 'From Order'!$A595)), 1), D594))"),"TMQ")</f>
        <v>TMQ</v>
      </c>
      <c r="E595" s="2" t="str">
        <f>IFERROR(__xludf.DUMMYFUNCTION("IF('From Order'!$A595=COLUMNS($A595:E614), LEFT(INDEX(FILTER(E$1:E594, E$1:E594&lt;&gt;""""),COUNTA(FILTER(E$1:E594, E$1:E594&lt;&gt;""""))), LEN(INDEX(FILTER(E$1:E594, E$1:E594&lt;&gt;""""),COUNTA(FILTER(E$1:E594, E$1:E594&lt;&gt;""""))))-1), IF('To Order'!$A595=COLUMNS($A595:E"&amp;"614), E594&amp;RIGHT(INDIRECT(ADDRESS(ROW(E595)-1, 'From Order'!$A595)), 1), E594))"),"")</f>
        <v/>
      </c>
      <c r="F595" s="2" t="str">
        <f>IFERROR(__xludf.DUMMYFUNCTION("IF('From Order'!$A595=COLUMNS($A595:F614), LEFT(INDEX(FILTER(F$1:F594, F$1:F594&lt;&gt;""""),COUNTA(FILTER(F$1:F594, F$1:F594&lt;&gt;""""))), LEN(INDEX(FILTER(F$1:F594, F$1:F594&lt;&gt;""""),COUNTA(FILTER(F$1:F594, F$1:F594&lt;&gt;""""))))-1), IF('To Order'!$A595=COLUMNS($A595:F"&amp;"614), F594&amp;RIGHT(INDIRECT(ADDRESS(ROW(F595)-1, 'From Order'!$A595)), 1), F594))"),"JC")</f>
        <v>JC</v>
      </c>
      <c r="G595" s="2" t="str">
        <f>IFERROR(__xludf.DUMMYFUNCTION("IF('From Order'!$A595=COLUMNS($A595:G614), LEFT(INDEX(FILTER(G$1:G594, G$1:G594&lt;&gt;""""),COUNTA(FILTER(G$1:G594, G$1:G594&lt;&gt;""""))), LEN(INDEX(FILTER(G$1:G594, G$1:G594&lt;&gt;""""),COUNTA(FILTER(G$1:G594, G$1:G594&lt;&gt;""""))))-1), IF('To Order'!$A595=COLUMNS($A595:G"&amp;"614), G594&amp;RIGHT(INDIRECT(ADDRESS(ROW(G595)-1, 'From Order'!$A595)), 1), G594))"),"")</f>
        <v/>
      </c>
      <c r="H595" s="2" t="str">
        <f>IFERROR(__xludf.DUMMYFUNCTION("IF('From Order'!$A595=COLUMNS($A595:H614), LEFT(INDEX(FILTER(H$1:H594, H$1:H594&lt;&gt;""""),COUNTA(FILTER(H$1:H594, H$1:H594&lt;&gt;""""))), LEN(INDEX(FILTER(H$1:H594, H$1:H594&lt;&gt;""""),COUNTA(FILTER(H$1:H594, H$1:H594&lt;&gt;""""))))-1), IF('To Order'!$A595=COLUMNS($A595:H"&amp;"614), H594&amp;RIGHT(INDIRECT(ADDRESS(ROW(H595)-1, 'From Order'!$A595)), 1), H594))"),"ZMDTCJTVCBPWHGSSDPQRLRTD")</f>
        <v>ZMDTCJTVCBPWHGSSDPQRLRTD</v>
      </c>
      <c r="I595" s="2" t="str">
        <f>IFERROR(__xludf.DUMMYFUNCTION("IF('From Order'!$A595=COLUMNS($A595:I614), LEFT(INDEX(FILTER(I$1:I594, I$1:I594&lt;&gt;""""),COUNTA(FILTER(I$1:I594, I$1:I594&lt;&gt;""""))), LEN(INDEX(FILTER(I$1:I594, I$1:I594&lt;&gt;""""),COUNTA(FILTER(I$1:I594, I$1:I594&lt;&gt;""""))))-1), IF('To Order'!$A595=COLUMNS($A595:I"&amp;"614), I594&amp;RIGHT(INDIRECT(ADDRESS(ROW(I595)-1, 'From Order'!$A595)), 1), I594))"),"DTWRD")</f>
        <v>DTWRD</v>
      </c>
    </row>
    <row r="596">
      <c r="A596" s="2" t="str">
        <f>IFERROR(__xludf.DUMMYFUNCTION("IF('From Order'!$A596=COLUMNS($A596:A615), LEFT(INDEX(FILTER(A$1:A595, A$1:A595&lt;&gt;""""),COUNTA(FILTER(A$1:A595, A$1:A595&lt;&gt;""""))), LEN(INDEX(FILTER(A$1:A595, A$1:A595&lt;&gt;""""),COUNTA(FILTER(A$1:A595, A$1:A595&lt;&gt;""""))))-1), IF('To Order'!$A596=COLUMNS($A596:A"&amp;"615), A595&amp;RIGHT(INDIRECT(ADDRESS(ROW(A596)-1, 'From Order'!$A596)), 1), A595))"),"")</f>
        <v/>
      </c>
      <c r="B596" s="2" t="str">
        <f>IFERROR(__xludf.DUMMYFUNCTION("IF('From Order'!$A596=COLUMNS($A596:B615), LEFT(INDEX(FILTER(B$1:B595, B$1:B595&lt;&gt;""""),COUNTA(FILTER(B$1:B595, B$1:B595&lt;&gt;""""))), LEN(INDEX(FILTER(B$1:B595, B$1:B595&lt;&gt;""""),COUNTA(FILTER(B$1:B595, B$1:B595&lt;&gt;""""))))-1), IF('To Order'!$A596=COLUMNS($A596:B"&amp;"615), B595&amp;RIGHT(INDIRECT(ADDRESS(ROW(B596)-1, 'From Order'!$A596)), 1), B595))"),"JZRVPVRZHMFBBFSLTDGSBL")</f>
        <v>JZRVPVRZHMFBBFSLTDGSBL</v>
      </c>
      <c r="C596" s="2" t="str">
        <f>IFERROR(__xludf.DUMMYFUNCTION("IF('From Order'!$A596=COLUMNS($A596:C615), LEFT(INDEX(FILTER(C$1:C595, C$1:C595&lt;&gt;""""),COUNTA(FILTER(C$1:C595, C$1:C595&lt;&gt;""""))), LEN(INDEX(FILTER(C$1:C595, C$1:C595&lt;&gt;""""),COUNTA(FILTER(C$1:C595, C$1:C595&lt;&gt;""""))))-1), IF('To Order'!$A596=COLUMNS($A596:C"&amp;"615), C595&amp;RIGHT(INDIRECT(ADDRESS(ROW(C596)-1, 'From Order'!$A596)), 1), C595))"),"")</f>
        <v/>
      </c>
      <c r="D596" s="2" t="str">
        <f>IFERROR(__xludf.DUMMYFUNCTION("IF('From Order'!$A596=COLUMNS($A596:D615), LEFT(INDEX(FILTER(D$1:D595, D$1:D595&lt;&gt;""""),COUNTA(FILTER(D$1:D595, D$1:D595&lt;&gt;""""))), LEN(INDEX(FILTER(D$1:D595, D$1:D595&lt;&gt;""""),COUNTA(FILTER(D$1:D595, D$1:D595&lt;&gt;""""))))-1), IF('To Order'!$A596=COLUMNS($A596:D"&amp;"615), D595&amp;RIGHT(INDIRECT(ADDRESS(ROW(D596)-1, 'From Order'!$A596)), 1), D595))"),"TMQ")</f>
        <v>TMQ</v>
      </c>
      <c r="E596" s="2" t="str">
        <f>IFERROR(__xludf.DUMMYFUNCTION("IF('From Order'!$A596=COLUMNS($A596:E615), LEFT(INDEX(FILTER(E$1:E595, E$1:E595&lt;&gt;""""),COUNTA(FILTER(E$1:E595, E$1:E595&lt;&gt;""""))), LEN(INDEX(FILTER(E$1:E595, E$1:E595&lt;&gt;""""),COUNTA(FILTER(E$1:E595, E$1:E595&lt;&gt;""""))))-1), IF('To Order'!$A596=COLUMNS($A596:E"&amp;"615), E595&amp;RIGHT(INDIRECT(ADDRESS(ROW(E596)-1, 'From Order'!$A596)), 1), E595))"),"")</f>
        <v/>
      </c>
      <c r="F596" s="2" t="str">
        <f>IFERROR(__xludf.DUMMYFUNCTION("IF('From Order'!$A596=COLUMNS($A596:F615), LEFT(INDEX(FILTER(F$1:F595, F$1:F595&lt;&gt;""""),COUNTA(FILTER(F$1:F595, F$1:F595&lt;&gt;""""))), LEN(INDEX(FILTER(F$1:F595, F$1:F595&lt;&gt;""""),COUNTA(FILTER(F$1:F595, F$1:F595&lt;&gt;""""))))-1), IF('To Order'!$A596=COLUMNS($A596:F"&amp;"615), F595&amp;RIGHT(INDIRECT(ADDRESS(ROW(F596)-1, 'From Order'!$A596)), 1), F595))"),"J")</f>
        <v>J</v>
      </c>
      <c r="G596" s="2" t="str">
        <f>IFERROR(__xludf.DUMMYFUNCTION("IF('From Order'!$A596=COLUMNS($A596:G615), LEFT(INDEX(FILTER(G$1:G595, G$1:G595&lt;&gt;""""),COUNTA(FILTER(G$1:G595, G$1:G595&lt;&gt;""""))), LEN(INDEX(FILTER(G$1:G595, G$1:G595&lt;&gt;""""),COUNTA(FILTER(G$1:G595, G$1:G595&lt;&gt;""""))))-1), IF('To Order'!$A596=COLUMNS($A596:G"&amp;"615), G595&amp;RIGHT(INDIRECT(ADDRESS(ROW(G596)-1, 'From Order'!$A596)), 1), G595))"),"")</f>
        <v/>
      </c>
      <c r="H596" s="2" t="str">
        <f>IFERROR(__xludf.DUMMYFUNCTION("IF('From Order'!$A596=COLUMNS($A596:H615), LEFT(INDEX(FILTER(H$1:H595, H$1:H595&lt;&gt;""""),COUNTA(FILTER(H$1:H595, H$1:H595&lt;&gt;""""))), LEN(INDEX(FILTER(H$1:H595, H$1:H595&lt;&gt;""""),COUNTA(FILTER(H$1:H595, H$1:H595&lt;&gt;""""))))-1), IF('To Order'!$A596=COLUMNS($A596:H"&amp;"615), H595&amp;RIGHT(INDIRECT(ADDRESS(ROW(H596)-1, 'From Order'!$A596)), 1), H595))"),"ZMDTCJTVCBPWHGSSDPQRLRTDC")</f>
        <v>ZMDTCJTVCBPWHGSSDPQRLRTDC</v>
      </c>
      <c r="I596" s="2" t="str">
        <f>IFERROR(__xludf.DUMMYFUNCTION("IF('From Order'!$A596=COLUMNS($A596:I615), LEFT(INDEX(FILTER(I$1:I595, I$1:I595&lt;&gt;""""),COUNTA(FILTER(I$1:I595, I$1:I595&lt;&gt;""""))), LEN(INDEX(FILTER(I$1:I595, I$1:I595&lt;&gt;""""),COUNTA(FILTER(I$1:I595, I$1:I595&lt;&gt;""""))))-1), IF('To Order'!$A596=COLUMNS($A596:I"&amp;"615), I595&amp;RIGHT(INDIRECT(ADDRESS(ROW(I596)-1, 'From Order'!$A596)), 1), I595))"),"DTWRD")</f>
        <v>DTWRD</v>
      </c>
    </row>
    <row r="597">
      <c r="A597" s="2" t="str">
        <f>IFERROR(__xludf.DUMMYFUNCTION("IF('From Order'!$A597=COLUMNS($A597:A616), LEFT(INDEX(FILTER(A$1:A596, A$1:A596&lt;&gt;""""),COUNTA(FILTER(A$1:A596, A$1:A596&lt;&gt;""""))), LEN(INDEX(FILTER(A$1:A596, A$1:A596&lt;&gt;""""),COUNTA(FILTER(A$1:A596, A$1:A596&lt;&gt;""""))))-1), IF('To Order'!$A597=COLUMNS($A597:A"&amp;"616), A596&amp;RIGHT(INDIRECT(ADDRESS(ROW(A597)-1, 'From Order'!$A597)), 1), A596))"),"")</f>
        <v/>
      </c>
      <c r="B597" s="2" t="str">
        <f>IFERROR(__xludf.DUMMYFUNCTION("IF('From Order'!$A597=COLUMNS($A597:B616), LEFT(INDEX(FILTER(B$1:B596, B$1:B596&lt;&gt;""""),COUNTA(FILTER(B$1:B596, B$1:B596&lt;&gt;""""))), LEN(INDEX(FILTER(B$1:B596, B$1:B596&lt;&gt;""""),COUNTA(FILTER(B$1:B596, B$1:B596&lt;&gt;""""))))-1), IF('To Order'!$A597=COLUMNS($A597:B"&amp;"616), B596&amp;RIGHT(INDIRECT(ADDRESS(ROW(B597)-1, 'From Order'!$A597)), 1), B596))"),"JZRVPVRZHMFBBFSLTDGSBL")</f>
        <v>JZRVPVRZHMFBBFSLTDGSBL</v>
      </c>
      <c r="C597" s="2" t="str">
        <f>IFERROR(__xludf.DUMMYFUNCTION("IF('From Order'!$A597=COLUMNS($A597:C616), LEFT(INDEX(FILTER(C$1:C596, C$1:C596&lt;&gt;""""),COUNTA(FILTER(C$1:C596, C$1:C596&lt;&gt;""""))), LEN(INDEX(FILTER(C$1:C596, C$1:C596&lt;&gt;""""),COUNTA(FILTER(C$1:C596, C$1:C596&lt;&gt;""""))))-1), IF('To Order'!$A597=COLUMNS($A597:C"&amp;"616), C596&amp;RIGHT(INDIRECT(ADDRESS(ROW(C597)-1, 'From Order'!$A597)), 1), C596))"),"")</f>
        <v/>
      </c>
      <c r="D597" s="2" t="str">
        <f>IFERROR(__xludf.DUMMYFUNCTION("IF('From Order'!$A597=COLUMNS($A597:D616), LEFT(INDEX(FILTER(D$1:D596, D$1:D596&lt;&gt;""""),COUNTA(FILTER(D$1:D596, D$1:D596&lt;&gt;""""))), LEN(INDEX(FILTER(D$1:D596, D$1:D596&lt;&gt;""""),COUNTA(FILTER(D$1:D596, D$1:D596&lt;&gt;""""))))-1), IF('To Order'!$A597=COLUMNS($A597:D"&amp;"616), D596&amp;RIGHT(INDIRECT(ADDRESS(ROW(D597)-1, 'From Order'!$A597)), 1), D596))"),"TMQ")</f>
        <v>TMQ</v>
      </c>
      <c r="E597" s="2" t="str">
        <f>IFERROR(__xludf.DUMMYFUNCTION("IF('From Order'!$A597=COLUMNS($A597:E616), LEFT(INDEX(FILTER(E$1:E596, E$1:E596&lt;&gt;""""),COUNTA(FILTER(E$1:E596, E$1:E596&lt;&gt;""""))), LEN(INDEX(FILTER(E$1:E596, E$1:E596&lt;&gt;""""),COUNTA(FILTER(E$1:E596, E$1:E596&lt;&gt;""""))))-1), IF('To Order'!$A597=COLUMNS($A597:E"&amp;"616), E596&amp;RIGHT(INDIRECT(ADDRESS(ROW(E597)-1, 'From Order'!$A597)), 1), E596))"),"")</f>
        <v/>
      </c>
      <c r="F597" s="2" t="str">
        <f>IFERROR(__xludf.DUMMYFUNCTION("IF('From Order'!$A597=COLUMNS($A597:F616), LEFT(INDEX(FILTER(F$1:F596, F$1:F596&lt;&gt;""""),COUNTA(FILTER(F$1:F596, F$1:F596&lt;&gt;""""))), LEN(INDEX(FILTER(F$1:F596, F$1:F596&lt;&gt;""""),COUNTA(FILTER(F$1:F596, F$1:F596&lt;&gt;""""))))-1), IF('To Order'!$A597=COLUMNS($A597:F"&amp;"616), F596&amp;RIGHT(INDIRECT(ADDRESS(ROW(F597)-1, 'From Order'!$A597)), 1), F596))"),"")</f>
        <v/>
      </c>
      <c r="G597" s="2" t="str">
        <f>IFERROR(__xludf.DUMMYFUNCTION("IF('From Order'!$A597=COLUMNS($A597:G616), LEFT(INDEX(FILTER(G$1:G596, G$1:G596&lt;&gt;""""),COUNTA(FILTER(G$1:G596, G$1:G596&lt;&gt;""""))), LEN(INDEX(FILTER(G$1:G596, G$1:G596&lt;&gt;""""),COUNTA(FILTER(G$1:G596, G$1:G596&lt;&gt;""""))))-1), IF('To Order'!$A597=COLUMNS($A597:G"&amp;"616), G596&amp;RIGHT(INDIRECT(ADDRESS(ROW(G597)-1, 'From Order'!$A597)), 1), G596))"),"")</f>
        <v/>
      </c>
      <c r="H597" s="2" t="str">
        <f>IFERROR(__xludf.DUMMYFUNCTION("IF('From Order'!$A597=COLUMNS($A597:H616), LEFT(INDEX(FILTER(H$1:H596, H$1:H596&lt;&gt;""""),COUNTA(FILTER(H$1:H596, H$1:H596&lt;&gt;""""))), LEN(INDEX(FILTER(H$1:H596, H$1:H596&lt;&gt;""""),COUNTA(FILTER(H$1:H596, H$1:H596&lt;&gt;""""))))-1), IF('To Order'!$A597=COLUMNS($A597:H"&amp;"616), H596&amp;RIGHT(INDIRECT(ADDRESS(ROW(H597)-1, 'From Order'!$A597)), 1), H596))"),"ZMDTCJTVCBPWHGSSDPQRLRTDCJ")</f>
        <v>ZMDTCJTVCBPWHGSSDPQRLRTDCJ</v>
      </c>
      <c r="I597" s="2" t="str">
        <f>IFERROR(__xludf.DUMMYFUNCTION("IF('From Order'!$A597=COLUMNS($A597:I616), LEFT(INDEX(FILTER(I$1:I596, I$1:I596&lt;&gt;""""),COUNTA(FILTER(I$1:I596, I$1:I596&lt;&gt;""""))), LEN(INDEX(FILTER(I$1:I596, I$1:I596&lt;&gt;""""),COUNTA(FILTER(I$1:I596, I$1:I596&lt;&gt;""""))))-1), IF('To Order'!$A597=COLUMNS($A597:I"&amp;"616), I596&amp;RIGHT(INDIRECT(ADDRESS(ROW(I597)-1, 'From Order'!$A597)), 1), I596))"),"DTWRD")</f>
        <v>DTWRD</v>
      </c>
    </row>
    <row r="598">
      <c r="A598" s="2" t="str">
        <f>IFERROR(__xludf.DUMMYFUNCTION("IF('From Order'!$A598=COLUMNS($A598:A617), LEFT(INDEX(FILTER(A$1:A597, A$1:A597&lt;&gt;""""),COUNTA(FILTER(A$1:A597, A$1:A597&lt;&gt;""""))), LEN(INDEX(FILTER(A$1:A597, A$1:A597&lt;&gt;""""),COUNTA(FILTER(A$1:A597, A$1:A597&lt;&gt;""""))))-1), IF('To Order'!$A598=COLUMNS($A598:A"&amp;"617), A597&amp;RIGHT(INDIRECT(ADDRESS(ROW(A598)-1, 'From Order'!$A598)), 1), A597))"),"")</f>
        <v/>
      </c>
      <c r="B598" s="2" t="str">
        <f>IFERROR(__xludf.DUMMYFUNCTION("IF('From Order'!$A598=COLUMNS($A598:B617), LEFT(INDEX(FILTER(B$1:B597, B$1:B597&lt;&gt;""""),COUNTA(FILTER(B$1:B597, B$1:B597&lt;&gt;""""))), LEN(INDEX(FILTER(B$1:B597, B$1:B597&lt;&gt;""""),COUNTA(FILTER(B$1:B597, B$1:B597&lt;&gt;""""))))-1), IF('To Order'!$A598=COLUMNS($A598:B"&amp;"617), B597&amp;RIGHT(INDIRECT(ADDRESS(ROW(B598)-1, 'From Order'!$A598)), 1), B597))"),"JZRVPVRZHMFBBFSLTDGSBL")</f>
        <v>JZRVPVRZHMFBBFSLTDGSBL</v>
      </c>
      <c r="C598" s="2" t="str">
        <f>IFERROR(__xludf.DUMMYFUNCTION("IF('From Order'!$A598=COLUMNS($A598:C617), LEFT(INDEX(FILTER(C$1:C597, C$1:C597&lt;&gt;""""),COUNTA(FILTER(C$1:C597, C$1:C597&lt;&gt;""""))), LEN(INDEX(FILTER(C$1:C597, C$1:C597&lt;&gt;""""),COUNTA(FILTER(C$1:C597, C$1:C597&lt;&gt;""""))))-1), IF('To Order'!$A598=COLUMNS($A598:C"&amp;"617), C597&amp;RIGHT(INDIRECT(ADDRESS(ROW(C598)-1, 'From Order'!$A598)), 1), C597))"),"")</f>
        <v/>
      </c>
      <c r="D598" s="2" t="str">
        <f>IFERROR(__xludf.DUMMYFUNCTION("IF('From Order'!$A598=COLUMNS($A598:D617), LEFT(INDEX(FILTER(D$1:D597, D$1:D597&lt;&gt;""""),COUNTA(FILTER(D$1:D597, D$1:D597&lt;&gt;""""))), LEN(INDEX(FILTER(D$1:D597, D$1:D597&lt;&gt;""""),COUNTA(FILTER(D$1:D597, D$1:D597&lt;&gt;""""))))-1), IF('To Order'!$A598=COLUMNS($A598:D"&amp;"617), D597&amp;RIGHT(INDIRECT(ADDRESS(ROW(D598)-1, 'From Order'!$A598)), 1), D597))"),"TMQJ")</f>
        <v>TMQJ</v>
      </c>
      <c r="E598" s="2" t="str">
        <f>IFERROR(__xludf.DUMMYFUNCTION("IF('From Order'!$A598=COLUMNS($A598:E617), LEFT(INDEX(FILTER(E$1:E597, E$1:E597&lt;&gt;""""),COUNTA(FILTER(E$1:E597, E$1:E597&lt;&gt;""""))), LEN(INDEX(FILTER(E$1:E597, E$1:E597&lt;&gt;""""),COUNTA(FILTER(E$1:E597, E$1:E597&lt;&gt;""""))))-1), IF('To Order'!$A598=COLUMNS($A598:E"&amp;"617), E597&amp;RIGHT(INDIRECT(ADDRESS(ROW(E598)-1, 'From Order'!$A598)), 1), E597))"),"")</f>
        <v/>
      </c>
      <c r="F598" s="2" t="str">
        <f>IFERROR(__xludf.DUMMYFUNCTION("IF('From Order'!$A598=COLUMNS($A598:F617), LEFT(INDEX(FILTER(F$1:F597, F$1:F597&lt;&gt;""""),COUNTA(FILTER(F$1:F597, F$1:F597&lt;&gt;""""))), LEN(INDEX(FILTER(F$1:F597, F$1:F597&lt;&gt;""""),COUNTA(FILTER(F$1:F597, F$1:F597&lt;&gt;""""))))-1), IF('To Order'!$A598=COLUMNS($A598:F"&amp;"617), F597&amp;RIGHT(INDIRECT(ADDRESS(ROW(F598)-1, 'From Order'!$A598)), 1), F597))"),"")</f>
        <v/>
      </c>
      <c r="G598" s="2" t="str">
        <f>IFERROR(__xludf.DUMMYFUNCTION("IF('From Order'!$A598=COLUMNS($A598:G617), LEFT(INDEX(FILTER(G$1:G597, G$1:G597&lt;&gt;""""),COUNTA(FILTER(G$1:G597, G$1:G597&lt;&gt;""""))), LEN(INDEX(FILTER(G$1:G597, G$1:G597&lt;&gt;""""),COUNTA(FILTER(G$1:G597, G$1:G597&lt;&gt;""""))))-1), IF('To Order'!$A598=COLUMNS($A598:G"&amp;"617), G597&amp;RIGHT(INDIRECT(ADDRESS(ROW(G598)-1, 'From Order'!$A598)), 1), G597))"),"")</f>
        <v/>
      </c>
      <c r="H598" s="2" t="str">
        <f>IFERROR(__xludf.DUMMYFUNCTION("IF('From Order'!$A598=COLUMNS($A598:H617), LEFT(INDEX(FILTER(H$1:H597, H$1:H597&lt;&gt;""""),COUNTA(FILTER(H$1:H597, H$1:H597&lt;&gt;""""))), LEN(INDEX(FILTER(H$1:H597, H$1:H597&lt;&gt;""""),COUNTA(FILTER(H$1:H597, H$1:H597&lt;&gt;""""))))-1), IF('To Order'!$A598=COLUMNS($A598:H"&amp;"617), H597&amp;RIGHT(INDIRECT(ADDRESS(ROW(H598)-1, 'From Order'!$A598)), 1), H597))"),"ZMDTCJTVCBPWHGSSDPQRLRTDC")</f>
        <v>ZMDTCJTVCBPWHGSSDPQRLRTDC</v>
      </c>
      <c r="I598" s="2" t="str">
        <f>IFERROR(__xludf.DUMMYFUNCTION("IF('From Order'!$A598=COLUMNS($A598:I617), LEFT(INDEX(FILTER(I$1:I597, I$1:I597&lt;&gt;""""),COUNTA(FILTER(I$1:I597, I$1:I597&lt;&gt;""""))), LEN(INDEX(FILTER(I$1:I597, I$1:I597&lt;&gt;""""),COUNTA(FILTER(I$1:I597, I$1:I597&lt;&gt;""""))))-1), IF('To Order'!$A598=COLUMNS($A598:I"&amp;"617), I597&amp;RIGHT(INDIRECT(ADDRESS(ROW(I598)-1, 'From Order'!$A598)), 1), I597))"),"DTWRD")</f>
        <v>DTWRD</v>
      </c>
    </row>
    <row r="599">
      <c r="A599" s="2" t="str">
        <f>IFERROR(__xludf.DUMMYFUNCTION("IF('From Order'!$A599=COLUMNS($A599:A618), LEFT(INDEX(FILTER(A$1:A598, A$1:A598&lt;&gt;""""),COUNTA(FILTER(A$1:A598, A$1:A598&lt;&gt;""""))), LEN(INDEX(FILTER(A$1:A598, A$1:A598&lt;&gt;""""),COUNTA(FILTER(A$1:A598, A$1:A598&lt;&gt;""""))))-1), IF('To Order'!$A599=COLUMNS($A599:A"&amp;"618), A598&amp;RIGHT(INDIRECT(ADDRESS(ROW(A599)-1, 'From Order'!$A599)), 1), A598))"),"")</f>
        <v/>
      </c>
      <c r="B599" s="2" t="str">
        <f>IFERROR(__xludf.DUMMYFUNCTION("IF('From Order'!$A599=COLUMNS($A599:B618), LEFT(INDEX(FILTER(B$1:B598, B$1:B598&lt;&gt;""""),COUNTA(FILTER(B$1:B598, B$1:B598&lt;&gt;""""))), LEN(INDEX(FILTER(B$1:B598, B$1:B598&lt;&gt;""""),COUNTA(FILTER(B$1:B598, B$1:B598&lt;&gt;""""))))-1), IF('To Order'!$A599=COLUMNS($A599:B"&amp;"618), B598&amp;RIGHT(INDIRECT(ADDRESS(ROW(B599)-1, 'From Order'!$A599)), 1), B598))"),"JZRVPVRZHMFBBFSLTDGSBL")</f>
        <v>JZRVPVRZHMFBBFSLTDGSBL</v>
      </c>
      <c r="C599" s="2" t="str">
        <f>IFERROR(__xludf.DUMMYFUNCTION("IF('From Order'!$A599=COLUMNS($A599:C618), LEFT(INDEX(FILTER(C$1:C598, C$1:C598&lt;&gt;""""),COUNTA(FILTER(C$1:C598, C$1:C598&lt;&gt;""""))), LEN(INDEX(FILTER(C$1:C598, C$1:C598&lt;&gt;""""),COUNTA(FILTER(C$1:C598, C$1:C598&lt;&gt;""""))))-1), IF('To Order'!$A599=COLUMNS($A599:C"&amp;"618), C598&amp;RIGHT(INDIRECT(ADDRESS(ROW(C599)-1, 'From Order'!$A599)), 1), C598))"),"")</f>
        <v/>
      </c>
      <c r="D599" s="2" t="str">
        <f>IFERROR(__xludf.DUMMYFUNCTION("IF('From Order'!$A599=COLUMNS($A599:D618), LEFT(INDEX(FILTER(D$1:D598, D$1:D598&lt;&gt;""""),COUNTA(FILTER(D$1:D598, D$1:D598&lt;&gt;""""))), LEN(INDEX(FILTER(D$1:D598, D$1:D598&lt;&gt;""""),COUNTA(FILTER(D$1:D598, D$1:D598&lt;&gt;""""))))-1), IF('To Order'!$A599=COLUMNS($A599:D"&amp;"618), D598&amp;RIGHT(INDIRECT(ADDRESS(ROW(D599)-1, 'From Order'!$A599)), 1), D598))"),"TMQJC")</f>
        <v>TMQJC</v>
      </c>
      <c r="E599" s="2" t="str">
        <f>IFERROR(__xludf.DUMMYFUNCTION("IF('From Order'!$A599=COLUMNS($A599:E618), LEFT(INDEX(FILTER(E$1:E598, E$1:E598&lt;&gt;""""),COUNTA(FILTER(E$1:E598, E$1:E598&lt;&gt;""""))), LEN(INDEX(FILTER(E$1:E598, E$1:E598&lt;&gt;""""),COUNTA(FILTER(E$1:E598, E$1:E598&lt;&gt;""""))))-1), IF('To Order'!$A599=COLUMNS($A599:E"&amp;"618), E598&amp;RIGHT(INDIRECT(ADDRESS(ROW(E599)-1, 'From Order'!$A599)), 1), E598))"),"")</f>
        <v/>
      </c>
      <c r="F599" s="2" t="str">
        <f>IFERROR(__xludf.DUMMYFUNCTION("IF('From Order'!$A599=COLUMNS($A599:F618), LEFT(INDEX(FILTER(F$1:F598, F$1:F598&lt;&gt;""""),COUNTA(FILTER(F$1:F598, F$1:F598&lt;&gt;""""))), LEN(INDEX(FILTER(F$1:F598, F$1:F598&lt;&gt;""""),COUNTA(FILTER(F$1:F598, F$1:F598&lt;&gt;""""))))-1), IF('To Order'!$A599=COLUMNS($A599:F"&amp;"618), F598&amp;RIGHT(INDIRECT(ADDRESS(ROW(F599)-1, 'From Order'!$A599)), 1), F598))"),"")</f>
        <v/>
      </c>
      <c r="G599" s="2" t="str">
        <f>IFERROR(__xludf.DUMMYFUNCTION("IF('From Order'!$A599=COLUMNS($A599:G618), LEFT(INDEX(FILTER(G$1:G598, G$1:G598&lt;&gt;""""),COUNTA(FILTER(G$1:G598, G$1:G598&lt;&gt;""""))), LEN(INDEX(FILTER(G$1:G598, G$1:G598&lt;&gt;""""),COUNTA(FILTER(G$1:G598, G$1:G598&lt;&gt;""""))))-1), IF('To Order'!$A599=COLUMNS($A599:G"&amp;"618), G598&amp;RIGHT(INDIRECT(ADDRESS(ROW(G599)-1, 'From Order'!$A599)), 1), G598))"),"")</f>
        <v/>
      </c>
      <c r="H599" s="2" t="str">
        <f>IFERROR(__xludf.DUMMYFUNCTION("IF('From Order'!$A599=COLUMNS($A599:H618), LEFT(INDEX(FILTER(H$1:H598, H$1:H598&lt;&gt;""""),COUNTA(FILTER(H$1:H598, H$1:H598&lt;&gt;""""))), LEN(INDEX(FILTER(H$1:H598, H$1:H598&lt;&gt;""""),COUNTA(FILTER(H$1:H598, H$1:H598&lt;&gt;""""))))-1), IF('To Order'!$A599=COLUMNS($A599:H"&amp;"618), H598&amp;RIGHT(INDIRECT(ADDRESS(ROW(H599)-1, 'From Order'!$A599)), 1), H598))"),"ZMDTCJTVCBPWHGSSDPQRLRTD")</f>
        <v>ZMDTCJTVCBPWHGSSDPQRLRTD</v>
      </c>
      <c r="I599" s="2" t="str">
        <f>IFERROR(__xludf.DUMMYFUNCTION("IF('From Order'!$A599=COLUMNS($A599:I618), LEFT(INDEX(FILTER(I$1:I598, I$1:I598&lt;&gt;""""),COUNTA(FILTER(I$1:I598, I$1:I598&lt;&gt;""""))), LEN(INDEX(FILTER(I$1:I598, I$1:I598&lt;&gt;""""),COUNTA(FILTER(I$1:I598, I$1:I598&lt;&gt;""""))))-1), IF('To Order'!$A599=COLUMNS($A599:I"&amp;"618), I598&amp;RIGHT(INDIRECT(ADDRESS(ROW(I599)-1, 'From Order'!$A599)), 1), I598))"),"DTWRD")</f>
        <v>DTWRD</v>
      </c>
    </row>
    <row r="600">
      <c r="A600" s="2" t="str">
        <f>IFERROR(__xludf.DUMMYFUNCTION("IF('From Order'!$A600=COLUMNS($A600:A619), LEFT(INDEX(FILTER(A$1:A599, A$1:A599&lt;&gt;""""),COUNTA(FILTER(A$1:A599, A$1:A599&lt;&gt;""""))), LEN(INDEX(FILTER(A$1:A599, A$1:A599&lt;&gt;""""),COUNTA(FILTER(A$1:A599, A$1:A599&lt;&gt;""""))))-1), IF('To Order'!$A600=COLUMNS($A600:A"&amp;"619), A599&amp;RIGHT(INDIRECT(ADDRESS(ROW(A600)-1, 'From Order'!$A600)), 1), A599))"),"")</f>
        <v/>
      </c>
      <c r="B600" s="2" t="str">
        <f>IFERROR(__xludf.DUMMYFUNCTION("IF('From Order'!$A600=COLUMNS($A600:B619), LEFT(INDEX(FILTER(B$1:B599, B$1:B599&lt;&gt;""""),COUNTA(FILTER(B$1:B599, B$1:B599&lt;&gt;""""))), LEN(INDEX(FILTER(B$1:B599, B$1:B599&lt;&gt;""""),COUNTA(FILTER(B$1:B599, B$1:B599&lt;&gt;""""))))-1), IF('To Order'!$A600=COLUMNS($A600:B"&amp;"619), B599&amp;RIGHT(INDIRECT(ADDRESS(ROW(B600)-1, 'From Order'!$A600)), 1), B599))"),"JZRVPVRZHMFBBFSLTDGSBL")</f>
        <v>JZRVPVRZHMFBBFSLTDGSBL</v>
      </c>
      <c r="C600" s="2" t="str">
        <f>IFERROR(__xludf.DUMMYFUNCTION("IF('From Order'!$A600=COLUMNS($A600:C619), LEFT(INDEX(FILTER(C$1:C599, C$1:C599&lt;&gt;""""),COUNTA(FILTER(C$1:C599, C$1:C599&lt;&gt;""""))), LEN(INDEX(FILTER(C$1:C599, C$1:C599&lt;&gt;""""),COUNTA(FILTER(C$1:C599, C$1:C599&lt;&gt;""""))))-1), IF('To Order'!$A600=COLUMNS($A600:C"&amp;"619), C599&amp;RIGHT(INDIRECT(ADDRESS(ROW(C600)-1, 'From Order'!$A600)), 1), C599))"),"")</f>
        <v/>
      </c>
      <c r="D600" s="2" t="str">
        <f>IFERROR(__xludf.DUMMYFUNCTION("IF('From Order'!$A600=COLUMNS($A600:D619), LEFT(INDEX(FILTER(D$1:D599, D$1:D599&lt;&gt;""""),COUNTA(FILTER(D$1:D599, D$1:D599&lt;&gt;""""))), LEN(INDEX(FILTER(D$1:D599, D$1:D599&lt;&gt;""""),COUNTA(FILTER(D$1:D599, D$1:D599&lt;&gt;""""))))-1), IF('To Order'!$A600=COLUMNS($A600:D"&amp;"619), D599&amp;RIGHT(INDIRECT(ADDRESS(ROW(D600)-1, 'From Order'!$A600)), 1), D599))"),"TMQJC")</f>
        <v>TMQJC</v>
      </c>
      <c r="E600" s="2" t="str">
        <f>IFERROR(__xludf.DUMMYFUNCTION("IF('From Order'!$A600=COLUMNS($A600:E619), LEFT(INDEX(FILTER(E$1:E599, E$1:E599&lt;&gt;""""),COUNTA(FILTER(E$1:E599, E$1:E599&lt;&gt;""""))), LEN(INDEX(FILTER(E$1:E599, E$1:E599&lt;&gt;""""),COUNTA(FILTER(E$1:E599, E$1:E599&lt;&gt;""""))))-1), IF('To Order'!$A600=COLUMNS($A600:E"&amp;"619), E599&amp;RIGHT(INDIRECT(ADDRESS(ROW(E600)-1, 'From Order'!$A600)), 1), E599))"),"")</f>
        <v/>
      </c>
      <c r="F600" s="2" t="str">
        <f>IFERROR(__xludf.DUMMYFUNCTION("IF('From Order'!$A600=COLUMNS($A600:F619), LEFT(INDEX(FILTER(F$1:F599, F$1:F599&lt;&gt;""""),COUNTA(FILTER(F$1:F599, F$1:F599&lt;&gt;""""))), LEN(INDEX(FILTER(F$1:F599, F$1:F599&lt;&gt;""""),COUNTA(FILTER(F$1:F599, F$1:F599&lt;&gt;""""))))-1), IF('To Order'!$A600=COLUMNS($A600:F"&amp;"619), F599&amp;RIGHT(INDIRECT(ADDRESS(ROW(F600)-1, 'From Order'!$A600)), 1), F599))"),"D")</f>
        <v>D</v>
      </c>
      <c r="G600" s="2" t="str">
        <f>IFERROR(__xludf.DUMMYFUNCTION("IF('From Order'!$A600=COLUMNS($A600:G619), LEFT(INDEX(FILTER(G$1:G599, G$1:G599&lt;&gt;""""),COUNTA(FILTER(G$1:G599, G$1:G599&lt;&gt;""""))), LEN(INDEX(FILTER(G$1:G599, G$1:G599&lt;&gt;""""),COUNTA(FILTER(G$1:G599, G$1:G599&lt;&gt;""""))))-1), IF('To Order'!$A600=COLUMNS($A600:G"&amp;"619), G599&amp;RIGHT(INDIRECT(ADDRESS(ROW(G600)-1, 'From Order'!$A600)), 1), G599))"),"")</f>
        <v/>
      </c>
      <c r="H600" s="2" t="str">
        <f>IFERROR(__xludf.DUMMYFUNCTION("IF('From Order'!$A600=COLUMNS($A600:H619), LEFT(INDEX(FILTER(H$1:H599, H$1:H599&lt;&gt;""""),COUNTA(FILTER(H$1:H599, H$1:H599&lt;&gt;""""))), LEN(INDEX(FILTER(H$1:H599, H$1:H599&lt;&gt;""""),COUNTA(FILTER(H$1:H599, H$1:H599&lt;&gt;""""))))-1), IF('To Order'!$A600=COLUMNS($A600:H"&amp;"619), H599&amp;RIGHT(INDIRECT(ADDRESS(ROW(H600)-1, 'From Order'!$A600)), 1), H599))"),"ZMDTCJTVCBPWHGSSDPQRLRT")</f>
        <v>ZMDTCJTVCBPWHGSSDPQRLRT</v>
      </c>
      <c r="I600" s="2" t="str">
        <f>IFERROR(__xludf.DUMMYFUNCTION("IF('From Order'!$A600=COLUMNS($A600:I619), LEFT(INDEX(FILTER(I$1:I599, I$1:I599&lt;&gt;""""),COUNTA(FILTER(I$1:I599, I$1:I599&lt;&gt;""""))), LEN(INDEX(FILTER(I$1:I599, I$1:I599&lt;&gt;""""),COUNTA(FILTER(I$1:I599, I$1:I599&lt;&gt;""""))))-1), IF('To Order'!$A600=COLUMNS($A600:I"&amp;"619), I599&amp;RIGHT(INDIRECT(ADDRESS(ROW(I600)-1, 'From Order'!$A600)), 1), I599))"),"DTWRD")</f>
        <v>DTWRD</v>
      </c>
    </row>
    <row r="601">
      <c r="A601" s="2" t="str">
        <f>IFERROR(__xludf.DUMMYFUNCTION("IF('From Order'!$A601=COLUMNS($A601:A620), LEFT(INDEX(FILTER(A$1:A600, A$1:A600&lt;&gt;""""),COUNTA(FILTER(A$1:A600, A$1:A600&lt;&gt;""""))), LEN(INDEX(FILTER(A$1:A600, A$1:A600&lt;&gt;""""),COUNTA(FILTER(A$1:A600, A$1:A600&lt;&gt;""""))))-1), IF('To Order'!$A601=COLUMNS($A601:A"&amp;"620), A600&amp;RIGHT(INDIRECT(ADDRESS(ROW(A601)-1, 'From Order'!$A601)), 1), A600))"),"")</f>
        <v/>
      </c>
      <c r="B601" s="2" t="str">
        <f>IFERROR(__xludf.DUMMYFUNCTION("IF('From Order'!$A601=COLUMNS($A601:B620), LEFT(INDEX(FILTER(B$1:B600, B$1:B600&lt;&gt;""""),COUNTA(FILTER(B$1:B600, B$1:B600&lt;&gt;""""))), LEN(INDEX(FILTER(B$1:B600, B$1:B600&lt;&gt;""""),COUNTA(FILTER(B$1:B600, B$1:B600&lt;&gt;""""))))-1), IF('To Order'!$A601=COLUMNS($A601:B"&amp;"620), B600&amp;RIGHT(INDIRECT(ADDRESS(ROW(B601)-1, 'From Order'!$A601)), 1), B600))"),"JZRVPVRZHMFBBFSLTDGSBL")</f>
        <v>JZRVPVRZHMFBBFSLTDGSBL</v>
      </c>
      <c r="C601" s="2" t="str">
        <f>IFERROR(__xludf.DUMMYFUNCTION("IF('From Order'!$A601=COLUMNS($A601:C620), LEFT(INDEX(FILTER(C$1:C600, C$1:C600&lt;&gt;""""),COUNTA(FILTER(C$1:C600, C$1:C600&lt;&gt;""""))), LEN(INDEX(FILTER(C$1:C600, C$1:C600&lt;&gt;""""),COUNTA(FILTER(C$1:C600, C$1:C600&lt;&gt;""""))))-1), IF('To Order'!$A601=COLUMNS($A601:C"&amp;"620), C600&amp;RIGHT(INDIRECT(ADDRESS(ROW(C601)-1, 'From Order'!$A601)), 1), C600))"),"")</f>
        <v/>
      </c>
      <c r="D601" s="2" t="str">
        <f>IFERROR(__xludf.DUMMYFUNCTION("IF('From Order'!$A601=COLUMNS($A601:D620), LEFT(INDEX(FILTER(D$1:D600, D$1:D600&lt;&gt;""""),COUNTA(FILTER(D$1:D600, D$1:D600&lt;&gt;""""))), LEN(INDEX(FILTER(D$1:D600, D$1:D600&lt;&gt;""""),COUNTA(FILTER(D$1:D600, D$1:D600&lt;&gt;""""))))-1), IF('To Order'!$A601=COLUMNS($A601:D"&amp;"620), D600&amp;RIGHT(INDIRECT(ADDRESS(ROW(D601)-1, 'From Order'!$A601)), 1), D600))"),"TMQJC")</f>
        <v>TMQJC</v>
      </c>
      <c r="E601" s="2" t="str">
        <f>IFERROR(__xludf.DUMMYFUNCTION("IF('From Order'!$A601=COLUMNS($A601:E620), LEFT(INDEX(FILTER(E$1:E600, E$1:E600&lt;&gt;""""),COUNTA(FILTER(E$1:E600, E$1:E600&lt;&gt;""""))), LEN(INDEX(FILTER(E$1:E600, E$1:E600&lt;&gt;""""),COUNTA(FILTER(E$1:E600, E$1:E600&lt;&gt;""""))))-1), IF('To Order'!$A601=COLUMNS($A601:E"&amp;"620), E600&amp;RIGHT(INDIRECT(ADDRESS(ROW(E601)-1, 'From Order'!$A601)), 1), E600))"),"")</f>
        <v/>
      </c>
      <c r="F601" s="2" t="str">
        <f>IFERROR(__xludf.DUMMYFUNCTION("IF('From Order'!$A601=COLUMNS($A601:F620), LEFT(INDEX(FILTER(F$1:F600, F$1:F600&lt;&gt;""""),COUNTA(FILTER(F$1:F600, F$1:F600&lt;&gt;""""))), LEN(INDEX(FILTER(F$1:F600, F$1:F600&lt;&gt;""""),COUNTA(FILTER(F$1:F600, F$1:F600&lt;&gt;""""))))-1), IF('To Order'!$A601=COLUMNS($A601:F"&amp;"620), F600&amp;RIGHT(INDIRECT(ADDRESS(ROW(F601)-1, 'From Order'!$A601)), 1), F600))"),"DT")</f>
        <v>DT</v>
      </c>
      <c r="G601" s="2" t="str">
        <f>IFERROR(__xludf.DUMMYFUNCTION("IF('From Order'!$A601=COLUMNS($A601:G620), LEFT(INDEX(FILTER(G$1:G600, G$1:G600&lt;&gt;""""),COUNTA(FILTER(G$1:G600, G$1:G600&lt;&gt;""""))), LEN(INDEX(FILTER(G$1:G600, G$1:G600&lt;&gt;""""),COUNTA(FILTER(G$1:G600, G$1:G600&lt;&gt;""""))))-1), IF('To Order'!$A601=COLUMNS($A601:G"&amp;"620), G600&amp;RIGHT(INDIRECT(ADDRESS(ROW(G601)-1, 'From Order'!$A601)), 1), G600))"),"")</f>
        <v/>
      </c>
      <c r="H601" s="2" t="str">
        <f>IFERROR(__xludf.DUMMYFUNCTION("IF('From Order'!$A601=COLUMNS($A601:H620), LEFT(INDEX(FILTER(H$1:H600, H$1:H600&lt;&gt;""""),COUNTA(FILTER(H$1:H600, H$1:H600&lt;&gt;""""))), LEN(INDEX(FILTER(H$1:H600, H$1:H600&lt;&gt;""""),COUNTA(FILTER(H$1:H600, H$1:H600&lt;&gt;""""))))-1), IF('To Order'!$A601=COLUMNS($A601:H"&amp;"620), H600&amp;RIGHT(INDIRECT(ADDRESS(ROW(H601)-1, 'From Order'!$A601)), 1), H600))"),"ZMDTCJTVCBPWHGSSDPQRLR")</f>
        <v>ZMDTCJTVCBPWHGSSDPQRLR</v>
      </c>
      <c r="I601" s="2" t="str">
        <f>IFERROR(__xludf.DUMMYFUNCTION("IF('From Order'!$A601=COLUMNS($A601:I620), LEFT(INDEX(FILTER(I$1:I600, I$1:I600&lt;&gt;""""),COUNTA(FILTER(I$1:I600, I$1:I600&lt;&gt;""""))), LEN(INDEX(FILTER(I$1:I600, I$1:I600&lt;&gt;""""),COUNTA(FILTER(I$1:I600, I$1:I600&lt;&gt;""""))))-1), IF('To Order'!$A601=COLUMNS($A601:I"&amp;"620), I600&amp;RIGHT(INDIRECT(ADDRESS(ROW(I601)-1, 'From Order'!$A601)), 1), I600))"),"DTWRD")</f>
        <v>DTWRD</v>
      </c>
    </row>
    <row r="602">
      <c r="A602" s="2" t="str">
        <f>IFERROR(__xludf.DUMMYFUNCTION("IF('From Order'!$A602=COLUMNS($A602:A621), LEFT(INDEX(FILTER(A$1:A601, A$1:A601&lt;&gt;""""),COUNTA(FILTER(A$1:A601, A$1:A601&lt;&gt;""""))), LEN(INDEX(FILTER(A$1:A601, A$1:A601&lt;&gt;""""),COUNTA(FILTER(A$1:A601, A$1:A601&lt;&gt;""""))))-1), IF('To Order'!$A602=COLUMNS($A602:A"&amp;"621), A601&amp;RIGHT(INDIRECT(ADDRESS(ROW(A602)-1, 'From Order'!$A602)), 1), A601))"),"")</f>
        <v/>
      </c>
      <c r="B602" s="2" t="str">
        <f>IFERROR(__xludf.DUMMYFUNCTION("IF('From Order'!$A602=COLUMNS($A602:B621), LEFT(INDEX(FILTER(B$1:B601, B$1:B601&lt;&gt;""""),COUNTA(FILTER(B$1:B601, B$1:B601&lt;&gt;""""))), LEN(INDEX(FILTER(B$1:B601, B$1:B601&lt;&gt;""""),COUNTA(FILTER(B$1:B601, B$1:B601&lt;&gt;""""))))-1), IF('To Order'!$A602=COLUMNS($A602:B"&amp;"621), B601&amp;RIGHT(INDIRECT(ADDRESS(ROW(B602)-1, 'From Order'!$A602)), 1), B601))"),"JZRVPVRZHMFBBFSLTDGSBL")</f>
        <v>JZRVPVRZHMFBBFSLTDGSBL</v>
      </c>
      <c r="C602" s="2" t="str">
        <f>IFERROR(__xludf.DUMMYFUNCTION("IF('From Order'!$A602=COLUMNS($A602:C621), LEFT(INDEX(FILTER(C$1:C601, C$1:C601&lt;&gt;""""),COUNTA(FILTER(C$1:C601, C$1:C601&lt;&gt;""""))), LEN(INDEX(FILTER(C$1:C601, C$1:C601&lt;&gt;""""),COUNTA(FILTER(C$1:C601, C$1:C601&lt;&gt;""""))))-1), IF('To Order'!$A602=COLUMNS($A602:C"&amp;"621), C601&amp;RIGHT(INDIRECT(ADDRESS(ROW(C602)-1, 'From Order'!$A602)), 1), C601))"),"")</f>
        <v/>
      </c>
      <c r="D602" s="2" t="str">
        <f>IFERROR(__xludf.DUMMYFUNCTION("IF('From Order'!$A602=COLUMNS($A602:D621), LEFT(INDEX(FILTER(D$1:D601, D$1:D601&lt;&gt;""""),COUNTA(FILTER(D$1:D601, D$1:D601&lt;&gt;""""))), LEN(INDEX(FILTER(D$1:D601, D$1:D601&lt;&gt;""""),COUNTA(FILTER(D$1:D601, D$1:D601&lt;&gt;""""))))-1), IF('To Order'!$A602=COLUMNS($A602:D"&amp;"621), D601&amp;RIGHT(INDIRECT(ADDRESS(ROW(D602)-1, 'From Order'!$A602)), 1), D601))"),"TMQJC")</f>
        <v>TMQJC</v>
      </c>
      <c r="E602" s="2" t="str">
        <f>IFERROR(__xludf.DUMMYFUNCTION("IF('From Order'!$A602=COLUMNS($A602:E621), LEFT(INDEX(FILTER(E$1:E601, E$1:E601&lt;&gt;""""),COUNTA(FILTER(E$1:E601, E$1:E601&lt;&gt;""""))), LEN(INDEX(FILTER(E$1:E601, E$1:E601&lt;&gt;""""),COUNTA(FILTER(E$1:E601, E$1:E601&lt;&gt;""""))))-1), IF('To Order'!$A602=COLUMNS($A602:E"&amp;"621), E601&amp;RIGHT(INDIRECT(ADDRESS(ROW(E602)-1, 'From Order'!$A602)), 1), E601))"),"")</f>
        <v/>
      </c>
      <c r="F602" s="2" t="str">
        <f>IFERROR(__xludf.DUMMYFUNCTION("IF('From Order'!$A602=COLUMNS($A602:F621), LEFT(INDEX(FILTER(F$1:F601, F$1:F601&lt;&gt;""""),COUNTA(FILTER(F$1:F601, F$1:F601&lt;&gt;""""))), LEN(INDEX(FILTER(F$1:F601, F$1:F601&lt;&gt;""""),COUNTA(FILTER(F$1:F601, F$1:F601&lt;&gt;""""))))-1), IF('To Order'!$A602=COLUMNS($A602:F"&amp;"621), F601&amp;RIGHT(INDIRECT(ADDRESS(ROW(F602)-1, 'From Order'!$A602)), 1), F601))"),"DTR")</f>
        <v>DTR</v>
      </c>
      <c r="G602" s="2" t="str">
        <f>IFERROR(__xludf.DUMMYFUNCTION("IF('From Order'!$A602=COLUMNS($A602:G621), LEFT(INDEX(FILTER(G$1:G601, G$1:G601&lt;&gt;""""),COUNTA(FILTER(G$1:G601, G$1:G601&lt;&gt;""""))), LEN(INDEX(FILTER(G$1:G601, G$1:G601&lt;&gt;""""),COUNTA(FILTER(G$1:G601, G$1:G601&lt;&gt;""""))))-1), IF('To Order'!$A602=COLUMNS($A602:G"&amp;"621), G601&amp;RIGHT(INDIRECT(ADDRESS(ROW(G602)-1, 'From Order'!$A602)), 1), G601))"),"")</f>
        <v/>
      </c>
      <c r="H602" s="2" t="str">
        <f>IFERROR(__xludf.DUMMYFUNCTION("IF('From Order'!$A602=COLUMNS($A602:H621), LEFT(INDEX(FILTER(H$1:H601, H$1:H601&lt;&gt;""""),COUNTA(FILTER(H$1:H601, H$1:H601&lt;&gt;""""))), LEN(INDEX(FILTER(H$1:H601, H$1:H601&lt;&gt;""""),COUNTA(FILTER(H$1:H601, H$1:H601&lt;&gt;""""))))-1), IF('To Order'!$A602=COLUMNS($A602:H"&amp;"621), H601&amp;RIGHT(INDIRECT(ADDRESS(ROW(H602)-1, 'From Order'!$A602)), 1), H601))"),"ZMDTCJTVCBPWHGSSDPQRL")</f>
        <v>ZMDTCJTVCBPWHGSSDPQRL</v>
      </c>
      <c r="I602" s="2" t="str">
        <f>IFERROR(__xludf.DUMMYFUNCTION("IF('From Order'!$A602=COLUMNS($A602:I621), LEFT(INDEX(FILTER(I$1:I601, I$1:I601&lt;&gt;""""),COUNTA(FILTER(I$1:I601, I$1:I601&lt;&gt;""""))), LEN(INDEX(FILTER(I$1:I601, I$1:I601&lt;&gt;""""),COUNTA(FILTER(I$1:I601, I$1:I601&lt;&gt;""""))))-1), IF('To Order'!$A602=COLUMNS($A602:I"&amp;"621), I601&amp;RIGHT(INDIRECT(ADDRESS(ROW(I602)-1, 'From Order'!$A602)), 1), I601))"),"DTWRD")</f>
        <v>DTWRD</v>
      </c>
    </row>
    <row r="603">
      <c r="A603" s="2" t="str">
        <f>IFERROR(__xludf.DUMMYFUNCTION("IF('From Order'!$A603=COLUMNS($A603:A622), LEFT(INDEX(FILTER(A$1:A602, A$1:A602&lt;&gt;""""),COUNTA(FILTER(A$1:A602, A$1:A602&lt;&gt;""""))), LEN(INDEX(FILTER(A$1:A602, A$1:A602&lt;&gt;""""),COUNTA(FILTER(A$1:A602, A$1:A602&lt;&gt;""""))))-1), IF('To Order'!$A603=COLUMNS($A603:A"&amp;"622), A602&amp;RIGHT(INDIRECT(ADDRESS(ROW(A603)-1, 'From Order'!$A603)), 1), A602))"),"")</f>
        <v/>
      </c>
      <c r="B603" s="2" t="str">
        <f>IFERROR(__xludf.DUMMYFUNCTION("IF('From Order'!$A603=COLUMNS($A603:B622), LEFT(INDEX(FILTER(B$1:B602, B$1:B602&lt;&gt;""""),COUNTA(FILTER(B$1:B602, B$1:B602&lt;&gt;""""))), LEN(INDEX(FILTER(B$1:B602, B$1:B602&lt;&gt;""""),COUNTA(FILTER(B$1:B602, B$1:B602&lt;&gt;""""))))-1), IF('To Order'!$A603=COLUMNS($A603:B"&amp;"622), B602&amp;RIGHT(INDIRECT(ADDRESS(ROW(B603)-1, 'From Order'!$A603)), 1), B602))"),"JZRVPVRZHMFBBFSLTDGSBL")</f>
        <v>JZRVPVRZHMFBBFSLTDGSBL</v>
      </c>
      <c r="C603" s="2" t="str">
        <f>IFERROR(__xludf.DUMMYFUNCTION("IF('From Order'!$A603=COLUMNS($A603:C622), LEFT(INDEX(FILTER(C$1:C602, C$1:C602&lt;&gt;""""),COUNTA(FILTER(C$1:C602, C$1:C602&lt;&gt;""""))), LEN(INDEX(FILTER(C$1:C602, C$1:C602&lt;&gt;""""),COUNTA(FILTER(C$1:C602, C$1:C602&lt;&gt;""""))))-1), IF('To Order'!$A603=COLUMNS($A603:C"&amp;"622), C602&amp;RIGHT(INDIRECT(ADDRESS(ROW(C603)-1, 'From Order'!$A603)), 1), C602))"),"")</f>
        <v/>
      </c>
      <c r="D603" s="2" t="str">
        <f>IFERROR(__xludf.DUMMYFUNCTION("IF('From Order'!$A603=COLUMNS($A603:D622), LEFT(INDEX(FILTER(D$1:D602, D$1:D602&lt;&gt;""""),COUNTA(FILTER(D$1:D602, D$1:D602&lt;&gt;""""))), LEN(INDEX(FILTER(D$1:D602, D$1:D602&lt;&gt;""""),COUNTA(FILTER(D$1:D602, D$1:D602&lt;&gt;""""))))-1), IF('To Order'!$A603=COLUMNS($A603:D"&amp;"622), D602&amp;RIGHT(INDIRECT(ADDRESS(ROW(D603)-1, 'From Order'!$A603)), 1), D602))"),"TMQJC")</f>
        <v>TMQJC</v>
      </c>
      <c r="E603" s="2" t="str">
        <f>IFERROR(__xludf.DUMMYFUNCTION("IF('From Order'!$A603=COLUMNS($A603:E622), LEFT(INDEX(FILTER(E$1:E602, E$1:E602&lt;&gt;""""),COUNTA(FILTER(E$1:E602, E$1:E602&lt;&gt;""""))), LEN(INDEX(FILTER(E$1:E602, E$1:E602&lt;&gt;""""),COUNTA(FILTER(E$1:E602, E$1:E602&lt;&gt;""""))))-1), IF('To Order'!$A603=COLUMNS($A603:E"&amp;"622), E602&amp;RIGHT(INDIRECT(ADDRESS(ROW(E603)-1, 'From Order'!$A603)), 1), E602))"),"")</f>
        <v/>
      </c>
      <c r="F603" s="2" t="str">
        <f>IFERROR(__xludf.DUMMYFUNCTION("IF('From Order'!$A603=COLUMNS($A603:F622), LEFT(INDEX(FILTER(F$1:F602, F$1:F602&lt;&gt;""""),COUNTA(FILTER(F$1:F602, F$1:F602&lt;&gt;""""))), LEN(INDEX(FILTER(F$1:F602, F$1:F602&lt;&gt;""""),COUNTA(FILTER(F$1:F602, F$1:F602&lt;&gt;""""))))-1), IF('To Order'!$A603=COLUMNS($A603:F"&amp;"622), F602&amp;RIGHT(INDIRECT(ADDRESS(ROW(F603)-1, 'From Order'!$A603)), 1), F602))"),"DTRL")</f>
        <v>DTRL</v>
      </c>
      <c r="G603" s="2" t="str">
        <f>IFERROR(__xludf.DUMMYFUNCTION("IF('From Order'!$A603=COLUMNS($A603:G622), LEFT(INDEX(FILTER(G$1:G602, G$1:G602&lt;&gt;""""),COUNTA(FILTER(G$1:G602, G$1:G602&lt;&gt;""""))), LEN(INDEX(FILTER(G$1:G602, G$1:G602&lt;&gt;""""),COUNTA(FILTER(G$1:G602, G$1:G602&lt;&gt;""""))))-1), IF('To Order'!$A603=COLUMNS($A603:G"&amp;"622), G602&amp;RIGHT(INDIRECT(ADDRESS(ROW(G603)-1, 'From Order'!$A603)), 1), G602))"),"")</f>
        <v/>
      </c>
      <c r="H603" s="2" t="str">
        <f>IFERROR(__xludf.DUMMYFUNCTION("IF('From Order'!$A603=COLUMNS($A603:H622), LEFT(INDEX(FILTER(H$1:H602, H$1:H602&lt;&gt;""""),COUNTA(FILTER(H$1:H602, H$1:H602&lt;&gt;""""))), LEN(INDEX(FILTER(H$1:H602, H$1:H602&lt;&gt;""""),COUNTA(FILTER(H$1:H602, H$1:H602&lt;&gt;""""))))-1), IF('To Order'!$A603=COLUMNS($A603:H"&amp;"622), H602&amp;RIGHT(INDIRECT(ADDRESS(ROW(H603)-1, 'From Order'!$A603)), 1), H602))"),"ZMDTCJTVCBPWHGSSDPQR")</f>
        <v>ZMDTCJTVCBPWHGSSDPQR</v>
      </c>
      <c r="I603" s="2" t="str">
        <f>IFERROR(__xludf.DUMMYFUNCTION("IF('From Order'!$A603=COLUMNS($A603:I622), LEFT(INDEX(FILTER(I$1:I602, I$1:I602&lt;&gt;""""),COUNTA(FILTER(I$1:I602, I$1:I602&lt;&gt;""""))), LEN(INDEX(FILTER(I$1:I602, I$1:I602&lt;&gt;""""),COUNTA(FILTER(I$1:I602, I$1:I602&lt;&gt;""""))))-1), IF('To Order'!$A603=COLUMNS($A603:I"&amp;"622), I602&amp;RIGHT(INDIRECT(ADDRESS(ROW(I603)-1, 'From Order'!$A603)), 1), I602))"),"DTWRD")</f>
        <v>DTWRD</v>
      </c>
    </row>
    <row r="604">
      <c r="A604" s="2" t="str">
        <f>IFERROR(__xludf.DUMMYFUNCTION("IF('From Order'!$A604=COLUMNS($A604:A623), LEFT(INDEX(FILTER(A$1:A603, A$1:A603&lt;&gt;""""),COUNTA(FILTER(A$1:A603, A$1:A603&lt;&gt;""""))), LEN(INDEX(FILTER(A$1:A603, A$1:A603&lt;&gt;""""),COUNTA(FILTER(A$1:A603, A$1:A603&lt;&gt;""""))))-1), IF('To Order'!$A604=COLUMNS($A604:A"&amp;"623), A603&amp;RIGHT(INDIRECT(ADDRESS(ROW(A604)-1, 'From Order'!$A604)), 1), A603))"),"")</f>
        <v/>
      </c>
      <c r="B604" s="2" t="str">
        <f>IFERROR(__xludf.DUMMYFUNCTION("IF('From Order'!$A604=COLUMNS($A604:B623), LEFT(INDEX(FILTER(B$1:B603, B$1:B603&lt;&gt;""""),COUNTA(FILTER(B$1:B603, B$1:B603&lt;&gt;""""))), LEN(INDEX(FILTER(B$1:B603, B$1:B603&lt;&gt;""""),COUNTA(FILTER(B$1:B603, B$1:B603&lt;&gt;""""))))-1), IF('To Order'!$A604=COLUMNS($A604:B"&amp;"623), B603&amp;RIGHT(INDIRECT(ADDRESS(ROW(B604)-1, 'From Order'!$A604)), 1), B603))"),"JZRVPVRZHMFBBFSLTDGSBL")</f>
        <v>JZRVPVRZHMFBBFSLTDGSBL</v>
      </c>
      <c r="C604" s="2" t="str">
        <f>IFERROR(__xludf.DUMMYFUNCTION("IF('From Order'!$A604=COLUMNS($A604:C623), LEFT(INDEX(FILTER(C$1:C603, C$1:C603&lt;&gt;""""),COUNTA(FILTER(C$1:C603, C$1:C603&lt;&gt;""""))), LEN(INDEX(FILTER(C$1:C603, C$1:C603&lt;&gt;""""),COUNTA(FILTER(C$1:C603, C$1:C603&lt;&gt;""""))))-1), IF('To Order'!$A604=COLUMNS($A604:C"&amp;"623), C603&amp;RIGHT(INDIRECT(ADDRESS(ROW(C604)-1, 'From Order'!$A604)), 1), C603))"),"")</f>
        <v/>
      </c>
      <c r="D604" s="2" t="str">
        <f>IFERROR(__xludf.DUMMYFUNCTION("IF('From Order'!$A604=COLUMNS($A604:D623), LEFT(INDEX(FILTER(D$1:D603, D$1:D603&lt;&gt;""""),COUNTA(FILTER(D$1:D603, D$1:D603&lt;&gt;""""))), LEN(INDEX(FILTER(D$1:D603, D$1:D603&lt;&gt;""""),COUNTA(FILTER(D$1:D603, D$1:D603&lt;&gt;""""))))-1), IF('To Order'!$A604=COLUMNS($A604:D"&amp;"623), D603&amp;RIGHT(INDIRECT(ADDRESS(ROW(D604)-1, 'From Order'!$A604)), 1), D603))"),"TMQJC")</f>
        <v>TMQJC</v>
      </c>
      <c r="E604" s="2" t="str">
        <f>IFERROR(__xludf.DUMMYFUNCTION("IF('From Order'!$A604=COLUMNS($A604:E623), LEFT(INDEX(FILTER(E$1:E603, E$1:E603&lt;&gt;""""),COUNTA(FILTER(E$1:E603, E$1:E603&lt;&gt;""""))), LEN(INDEX(FILTER(E$1:E603, E$1:E603&lt;&gt;""""),COUNTA(FILTER(E$1:E603, E$1:E603&lt;&gt;""""))))-1), IF('To Order'!$A604=COLUMNS($A604:E"&amp;"623), E603&amp;RIGHT(INDIRECT(ADDRESS(ROW(E604)-1, 'From Order'!$A604)), 1), E603))"),"")</f>
        <v/>
      </c>
      <c r="F604" s="2" t="str">
        <f>IFERROR(__xludf.DUMMYFUNCTION("IF('From Order'!$A604=COLUMNS($A604:F623), LEFT(INDEX(FILTER(F$1:F603, F$1:F603&lt;&gt;""""),COUNTA(FILTER(F$1:F603, F$1:F603&lt;&gt;""""))), LEN(INDEX(FILTER(F$1:F603, F$1:F603&lt;&gt;""""),COUNTA(FILTER(F$1:F603, F$1:F603&lt;&gt;""""))))-1), IF('To Order'!$A604=COLUMNS($A604:F"&amp;"623), F603&amp;RIGHT(INDIRECT(ADDRESS(ROW(F604)-1, 'From Order'!$A604)), 1), F603))"),"DTRLR")</f>
        <v>DTRLR</v>
      </c>
      <c r="G604" s="2" t="str">
        <f>IFERROR(__xludf.DUMMYFUNCTION("IF('From Order'!$A604=COLUMNS($A604:G623), LEFT(INDEX(FILTER(G$1:G603, G$1:G603&lt;&gt;""""),COUNTA(FILTER(G$1:G603, G$1:G603&lt;&gt;""""))), LEN(INDEX(FILTER(G$1:G603, G$1:G603&lt;&gt;""""),COUNTA(FILTER(G$1:G603, G$1:G603&lt;&gt;""""))))-1), IF('To Order'!$A604=COLUMNS($A604:G"&amp;"623), G603&amp;RIGHT(INDIRECT(ADDRESS(ROW(G604)-1, 'From Order'!$A604)), 1), G603))"),"")</f>
        <v/>
      </c>
      <c r="H604" s="2" t="str">
        <f>IFERROR(__xludf.DUMMYFUNCTION("IF('From Order'!$A604=COLUMNS($A604:H623), LEFT(INDEX(FILTER(H$1:H603, H$1:H603&lt;&gt;""""),COUNTA(FILTER(H$1:H603, H$1:H603&lt;&gt;""""))), LEN(INDEX(FILTER(H$1:H603, H$1:H603&lt;&gt;""""),COUNTA(FILTER(H$1:H603, H$1:H603&lt;&gt;""""))))-1), IF('To Order'!$A604=COLUMNS($A604:H"&amp;"623), H603&amp;RIGHT(INDIRECT(ADDRESS(ROW(H604)-1, 'From Order'!$A604)), 1), H603))"),"ZMDTCJTVCBPWHGSSDPQ")</f>
        <v>ZMDTCJTVCBPWHGSSDPQ</v>
      </c>
      <c r="I604" s="2" t="str">
        <f>IFERROR(__xludf.DUMMYFUNCTION("IF('From Order'!$A604=COLUMNS($A604:I623), LEFT(INDEX(FILTER(I$1:I603, I$1:I603&lt;&gt;""""),COUNTA(FILTER(I$1:I603, I$1:I603&lt;&gt;""""))), LEN(INDEX(FILTER(I$1:I603, I$1:I603&lt;&gt;""""),COUNTA(FILTER(I$1:I603, I$1:I603&lt;&gt;""""))))-1), IF('To Order'!$A604=COLUMNS($A604:I"&amp;"623), I603&amp;RIGHT(INDIRECT(ADDRESS(ROW(I604)-1, 'From Order'!$A604)), 1), I603))"),"DTWRD")</f>
        <v>DTWRD</v>
      </c>
    </row>
    <row r="605">
      <c r="A605" s="2" t="str">
        <f>IFERROR(__xludf.DUMMYFUNCTION("IF('From Order'!$A605=COLUMNS($A605:A624), LEFT(INDEX(FILTER(A$1:A604, A$1:A604&lt;&gt;""""),COUNTA(FILTER(A$1:A604, A$1:A604&lt;&gt;""""))), LEN(INDEX(FILTER(A$1:A604, A$1:A604&lt;&gt;""""),COUNTA(FILTER(A$1:A604, A$1:A604&lt;&gt;""""))))-1), IF('To Order'!$A605=COLUMNS($A605:A"&amp;"624), A604&amp;RIGHT(INDIRECT(ADDRESS(ROW(A605)-1, 'From Order'!$A605)), 1), A604))"),"")</f>
        <v/>
      </c>
      <c r="B605" s="2" t="str">
        <f>IFERROR(__xludf.DUMMYFUNCTION("IF('From Order'!$A605=COLUMNS($A605:B624), LEFT(INDEX(FILTER(B$1:B604, B$1:B604&lt;&gt;""""),COUNTA(FILTER(B$1:B604, B$1:B604&lt;&gt;""""))), LEN(INDEX(FILTER(B$1:B604, B$1:B604&lt;&gt;""""),COUNTA(FILTER(B$1:B604, B$1:B604&lt;&gt;""""))))-1), IF('To Order'!$A605=COLUMNS($A605:B"&amp;"624), B604&amp;RIGHT(INDIRECT(ADDRESS(ROW(B605)-1, 'From Order'!$A605)), 1), B604))"),"JZRVPVRZHMFBBFSLTDGSBL")</f>
        <v>JZRVPVRZHMFBBFSLTDGSBL</v>
      </c>
      <c r="C605" s="2" t="str">
        <f>IFERROR(__xludf.DUMMYFUNCTION("IF('From Order'!$A605=COLUMNS($A605:C624), LEFT(INDEX(FILTER(C$1:C604, C$1:C604&lt;&gt;""""),COUNTA(FILTER(C$1:C604, C$1:C604&lt;&gt;""""))), LEN(INDEX(FILTER(C$1:C604, C$1:C604&lt;&gt;""""),COUNTA(FILTER(C$1:C604, C$1:C604&lt;&gt;""""))))-1), IF('To Order'!$A605=COLUMNS($A605:C"&amp;"624), C604&amp;RIGHT(INDIRECT(ADDRESS(ROW(C605)-1, 'From Order'!$A605)), 1), C604))"),"")</f>
        <v/>
      </c>
      <c r="D605" s="2" t="str">
        <f>IFERROR(__xludf.DUMMYFUNCTION("IF('From Order'!$A605=COLUMNS($A605:D624), LEFT(INDEX(FILTER(D$1:D604, D$1:D604&lt;&gt;""""),COUNTA(FILTER(D$1:D604, D$1:D604&lt;&gt;""""))), LEN(INDEX(FILTER(D$1:D604, D$1:D604&lt;&gt;""""),COUNTA(FILTER(D$1:D604, D$1:D604&lt;&gt;""""))))-1), IF('To Order'!$A605=COLUMNS($A605:D"&amp;"624), D604&amp;RIGHT(INDIRECT(ADDRESS(ROW(D605)-1, 'From Order'!$A605)), 1), D604))"),"TMQJC")</f>
        <v>TMQJC</v>
      </c>
      <c r="E605" s="2" t="str">
        <f>IFERROR(__xludf.DUMMYFUNCTION("IF('From Order'!$A605=COLUMNS($A605:E624), LEFT(INDEX(FILTER(E$1:E604, E$1:E604&lt;&gt;""""),COUNTA(FILTER(E$1:E604, E$1:E604&lt;&gt;""""))), LEN(INDEX(FILTER(E$1:E604, E$1:E604&lt;&gt;""""),COUNTA(FILTER(E$1:E604, E$1:E604&lt;&gt;""""))))-1), IF('To Order'!$A605=COLUMNS($A605:E"&amp;"624), E604&amp;RIGHT(INDIRECT(ADDRESS(ROW(E605)-1, 'From Order'!$A605)), 1), E604))"),"")</f>
        <v/>
      </c>
      <c r="F605" s="2" t="str">
        <f>IFERROR(__xludf.DUMMYFUNCTION("IF('From Order'!$A605=COLUMNS($A605:F624), LEFT(INDEX(FILTER(F$1:F604, F$1:F604&lt;&gt;""""),COUNTA(FILTER(F$1:F604, F$1:F604&lt;&gt;""""))), LEN(INDEX(FILTER(F$1:F604, F$1:F604&lt;&gt;""""),COUNTA(FILTER(F$1:F604, F$1:F604&lt;&gt;""""))))-1), IF('To Order'!$A605=COLUMNS($A605:F"&amp;"624), F604&amp;RIGHT(INDIRECT(ADDRESS(ROW(F605)-1, 'From Order'!$A605)), 1), F604))"),"DTRLRQ")</f>
        <v>DTRLRQ</v>
      </c>
      <c r="G605" s="2" t="str">
        <f>IFERROR(__xludf.DUMMYFUNCTION("IF('From Order'!$A605=COLUMNS($A605:G624), LEFT(INDEX(FILTER(G$1:G604, G$1:G604&lt;&gt;""""),COUNTA(FILTER(G$1:G604, G$1:G604&lt;&gt;""""))), LEN(INDEX(FILTER(G$1:G604, G$1:G604&lt;&gt;""""),COUNTA(FILTER(G$1:G604, G$1:G604&lt;&gt;""""))))-1), IF('To Order'!$A605=COLUMNS($A605:G"&amp;"624), G604&amp;RIGHT(INDIRECT(ADDRESS(ROW(G605)-1, 'From Order'!$A605)), 1), G604))"),"")</f>
        <v/>
      </c>
      <c r="H605" s="2" t="str">
        <f>IFERROR(__xludf.DUMMYFUNCTION("IF('From Order'!$A605=COLUMNS($A605:H624), LEFT(INDEX(FILTER(H$1:H604, H$1:H604&lt;&gt;""""),COUNTA(FILTER(H$1:H604, H$1:H604&lt;&gt;""""))), LEN(INDEX(FILTER(H$1:H604, H$1:H604&lt;&gt;""""),COUNTA(FILTER(H$1:H604, H$1:H604&lt;&gt;""""))))-1), IF('To Order'!$A605=COLUMNS($A605:H"&amp;"624), H604&amp;RIGHT(INDIRECT(ADDRESS(ROW(H605)-1, 'From Order'!$A605)), 1), H604))"),"ZMDTCJTVCBPWHGSSDP")</f>
        <v>ZMDTCJTVCBPWHGSSDP</v>
      </c>
      <c r="I605" s="2" t="str">
        <f>IFERROR(__xludf.DUMMYFUNCTION("IF('From Order'!$A605=COLUMNS($A605:I624), LEFT(INDEX(FILTER(I$1:I604, I$1:I604&lt;&gt;""""),COUNTA(FILTER(I$1:I604, I$1:I604&lt;&gt;""""))), LEN(INDEX(FILTER(I$1:I604, I$1:I604&lt;&gt;""""),COUNTA(FILTER(I$1:I604, I$1:I604&lt;&gt;""""))))-1), IF('To Order'!$A605=COLUMNS($A605:I"&amp;"624), I604&amp;RIGHT(INDIRECT(ADDRESS(ROW(I605)-1, 'From Order'!$A605)), 1), I604))"),"DTWRD")</f>
        <v>DTWRD</v>
      </c>
    </row>
    <row r="606">
      <c r="A606" s="2" t="str">
        <f>IFERROR(__xludf.DUMMYFUNCTION("IF('From Order'!$A606=COLUMNS($A606:A625), LEFT(INDEX(FILTER(A$1:A605, A$1:A605&lt;&gt;""""),COUNTA(FILTER(A$1:A605, A$1:A605&lt;&gt;""""))), LEN(INDEX(FILTER(A$1:A605, A$1:A605&lt;&gt;""""),COUNTA(FILTER(A$1:A605, A$1:A605&lt;&gt;""""))))-1), IF('To Order'!$A606=COLUMNS($A606:A"&amp;"625), A605&amp;RIGHT(INDIRECT(ADDRESS(ROW(A606)-1, 'From Order'!$A606)), 1), A605))"),"")</f>
        <v/>
      </c>
      <c r="B606" s="2" t="str">
        <f>IFERROR(__xludf.DUMMYFUNCTION("IF('From Order'!$A606=COLUMNS($A606:B625), LEFT(INDEX(FILTER(B$1:B605, B$1:B605&lt;&gt;""""),COUNTA(FILTER(B$1:B605, B$1:B605&lt;&gt;""""))), LEN(INDEX(FILTER(B$1:B605, B$1:B605&lt;&gt;""""),COUNTA(FILTER(B$1:B605, B$1:B605&lt;&gt;""""))))-1), IF('To Order'!$A606=COLUMNS($A606:B"&amp;"625), B605&amp;RIGHT(INDIRECT(ADDRESS(ROW(B606)-1, 'From Order'!$A606)), 1), B605))"),"JZRVPVRZHMFBBFSLTDGSBL")</f>
        <v>JZRVPVRZHMFBBFSLTDGSBL</v>
      </c>
      <c r="C606" s="2" t="str">
        <f>IFERROR(__xludf.DUMMYFUNCTION("IF('From Order'!$A606=COLUMNS($A606:C625), LEFT(INDEX(FILTER(C$1:C605, C$1:C605&lt;&gt;""""),COUNTA(FILTER(C$1:C605, C$1:C605&lt;&gt;""""))), LEN(INDEX(FILTER(C$1:C605, C$1:C605&lt;&gt;""""),COUNTA(FILTER(C$1:C605, C$1:C605&lt;&gt;""""))))-1), IF('To Order'!$A606=COLUMNS($A606:C"&amp;"625), C605&amp;RIGHT(INDIRECT(ADDRESS(ROW(C606)-1, 'From Order'!$A606)), 1), C605))"),"")</f>
        <v/>
      </c>
      <c r="D606" s="2" t="str">
        <f>IFERROR(__xludf.DUMMYFUNCTION("IF('From Order'!$A606=COLUMNS($A606:D625), LEFT(INDEX(FILTER(D$1:D605, D$1:D605&lt;&gt;""""),COUNTA(FILTER(D$1:D605, D$1:D605&lt;&gt;""""))), LEN(INDEX(FILTER(D$1:D605, D$1:D605&lt;&gt;""""),COUNTA(FILTER(D$1:D605, D$1:D605&lt;&gt;""""))))-1), IF('To Order'!$A606=COLUMNS($A606:D"&amp;"625), D605&amp;RIGHT(INDIRECT(ADDRESS(ROW(D606)-1, 'From Order'!$A606)), 1), D605))"),"TMQJC")</f>
        <v>TMQJC</v>
      </c>
      <c r="E606" s="2" t="str">
        <f>IFERROR(__xludf.DUMMYFUNCTION("IF('From Order'!$A606=COLUMNS($A606:E625), LEFT(INDEX(FILTER(E$1:E605, E$1:E605&lt;&gt;""""),COUNTA(FILTER(E$1:E605, E$1:E605&lt;&gt;""""))), LEN(INDEX(FILTER(E$1:E605, E$1:E605&lt;&gt;""""),COUNTA(FILTER(E$1:E605, E$1:E605&lt;&gt;""""))))-1), IF('To Order'!$A606=COLUMNS($A606:E"&amp;"625), E605&amp;RIGHT(INDIRECT(ADDRESS(ROW(E606)-1, 'From Order'!$A606)), 1), E605))"),"")</f>
        <v/>
      </c>
      <c r="F606" s="2" t="str">
        <f>IFERROR(__xludf.DUMMYFUNCTION("IF('From Order'!$A606=COLUMNS($A606:F625), LEFT(INDEX(FILTER(F$1:F605, F$1:F605&lt;&gt;""""),COUNTA(FILTER(F$1:F605, F$1:F605&lt;&gt;""""))), LEN(INDEX(FILTER(F$1:F605, F$1:F605&lt;&gt;""""),COUNTA(FILTER(F$1:F605, F$1:F605&lt;&gt;""""))))-1), IF('To Order'!$A606=COLUMNS($A606:F"&amp;"625), F605&amp;RIGHT(INDIRECT(ADDRESS(ROW(F606)-1, 'From Order'!$A606)), 1), F605))"),"DTRLRQP")</f>
        <v>DTRLRQP</v>
      </c>
      <c r="G606" s="2" t="str">
        <f>IFERROR(__xludf.DUMMYFUNCTION("IF('From Order'!$A606=COLUMNS($A606:G625), LEFT(INDEX(FILTER(G$1:G605, G$1:G605&lt;&gt;""""),COUNTA(FILTER(G$1:G605, G$1:G605&lt;&gt;""""))), LEN(INDEX(FILTER(G$1:G605, G$1:G605&lt;&gt;""""),COUNTA(FILTER(G$1:G605, G$1:G605&lt;&gt;""""))))-1), IF('To Order'!$A606=COLUMNS($A606:G"&amp;"625), G605&amp;RIGHT(INDIRECT(ADDRESS(ROW(G606)-1, 'From Order'!$A606)), 1), G605))"),"")</f>
        <v/>
      </c>
      <c r="H606" s="2" t="str">
        <f>IFERROR(__xludf.DUMMYFUNCTION("IF('From Order'!$A606=COLUMNS($A606:H625), LEFT(INDEX(FILTER(H$1:H605, H$1:H605&lt;&gt;""""),COUNTA(FILTER(H$1:H605, H$1:H605&lt;&gt;""""))), LEN(INDEX(FILTER(H$1:H605, H$1:H605&lt;&gt;""""),COUNTA(FILTER(H$1:H605, H$1:H605&lt;&gt;""""))))-1), IF('To Order'!$A606=COLUMNS($A606:H"&amp;"625), H605&amp;RIGHT(INDIRECT(ADDRESS(ROW(H606)-1, 'From Order'!$A606)), 1), H605))"),"ZMDTCJTVCBPWHGSSD")</f>
        <v>ZMDTCJTVCBPWHGSSD</v>
      </c>
      <c r="I606" s="2" t="str">
        <f>IFERROR(__xludf.DUMMYFUNCTION("IF('From Order'!$A606=COLUMNS($A606:I625), LEFT(INDEX(FILTER(I$1:I605, I$1:I605&lt;&gt;""""),COUNTA(FILTER(I$1:I605, I$1:I605&lt;&gt;""""))), LEN(INDEX(FILTER(I$1:I605, I$1:I605&lt;&gt;""""),COUNTA(FILTER(I$1:I605, I$1:I605&lt;&gt;""""))))-1), IF('To Order'!$A606=COLUMNS($A606:I"&amp;"625), I605&amp;RIGHT(INDIRECT(ADDRESS(ROW(I606)-1, 'From Order'!$A606)), 1), I605))"),"DTWRD")</f>
        <v>DTWRD</v>
      </c>
    </row>
    <row r="607">
      <c r="A607" s="2" t="str">
        <f>IFERROR(__xludf.DUMMYFUNCTION("IF('From Order'!$A607=COLUMNS($A607:A626), LEFT(INDEX(FILTER(A$1:A606, A$1:A606&lt;&gt;""""),COUNTA(FILTER(A$1:A606, A$1:A606&lt;&gt;""""))), LEN(INDEX(FILTER(A$1:A606, A$1:A606&lt;&gt;""""),COUNTA(FILTER(A$1:A606, A$1:A606&lt;&gt;""""))))-1), IF('To Order'!$A607=COLUMNS($A607:A"&amp;"626), A606&amp;RIGHT(INDIRECT(ADDRESS(ROW(A607)-1, 'From Order'!$A607)), 1), A606))"),"")</f>
        <v/>
      </c>
      <c r="B607" s="2" t="str">
        <f>IFERROR(__xludf.DUMMYFUNCTION("IF('From Order'!$A607=COLUMNS($A607:B626), LEFT(INDEX(FILTER(B$1:B606, B$1:B606&lt;&gt;""""),COUNTA(FILTER(B$1:B606, B$1:B606&lt;&gt;""""))), LEN(INDEX(FILTER(B$1:B606, B$1:B606&lt;&gt;""""),COUNTA(FILTER(B$1:B606, B$1:B606&lt;&gt;""""))))-1), IF('To Order'!$A607=COLUMNS($A607:B"&amp;"626), B606&amp;RIGHT(INDIRECT(ADDRESS(ROW(B607)-1, 'From Order'!$A607)), 1), B606))"),"JZRVPVRZHMFBBFSLTDGSBL")</f>
        <v>JZRVPVRZHMFBBFSLTDGSBL</v>
      </c>
      <c r="C607" s="2" t="str">
        <f>IFERROR(__xludf.DUMMYFUNCTION("IF('From Order'!$A607=COLUMNS($A607:C626), LEFT(INDEX(FILTER(C$1:C606, C$1:C606&lt;&gt;""""),COUNTA(FILTER(C$1:C606, C$1:C606&lt;&gt;""""))), LEN(INDEX(FILTER(C$1:C606, C$1:C606&lt;&gt;""""),COUNTA(FILTER(C$1:C606, C$1:C606&lt;&gt;""""))))-1), IF('To Order'!$A607=COLUMNS($A607:C"&amp;"626), C606&amp;RIGHT(INDIRECT(ADDRESS(ROW(C607)-1, 'From Order'!$A607)), 1), C606))"),"")</f>
        <v/>
      </c>
      <c r="D607" s="2" t="str">
        <f>IFERROR(__xludf.DUMMYFUNCTION("IF('From Order'!$A607=COLUMNS($A607:D626), LEFT(INDEX(FILTER(D$1:D606, D$1:D606&lt;&gt;""""),COUNTA(FILTER(D$1:D606, D$1:D606&lt;&gt;""""))), LEN(INDEX(FILTER(D$1:D606, D$1:D606&lt;&gt;""""),COUNTA(FILTER(D$1:D606, D$1:D606&lt;&gt;""""))))-1), IF('To Order'!$A607=COLUMNS($A607:D"&amp;"626), D606&amp;RIGHT(INDIRECT(ADDRESS(ROW(D607)-1, 'From Order'!$A607)), 1), D606))"),"TMQJC")</f>
        <v>TMQJC</v>
      </c>
      <c r="E607" s="2" t="str">
        <f>IFERROR(__xludf.DUMMYFUNCTION("IF('From Order'!$A607=COLUMNS($A607:E626), LEFT(INDEX(FILTER(E$1:E606, E$1:E606&lt;&gt;""""),COUNTA(FILTER(E$1:E606, E$1:E606&lt;&gt;""""))), LEN(INDEX(FILTER(E$1:E606, E$1:E606&lt;&gt;""""),COUNTA(FILTER(E$1:E606, E$1:E606&lt;&gt;""""))))-1), IF('To Order'!$A607=COLUMNS($A607:E"&amp;"626), E606&amp;RIGHT(INDIRECT(ADDRESS(ROW(E607)-1, 'From Order'!$A607)), 1), E606))"),"")</f>
        <v/>
      </c>
      <c r="F607" s="2" t="str">
        <f>IFERROR(__xludf.DUMMYFUNCTION("IF('From Order'!$A607=COLUMNS($A607:F626), LEFT(INDEX(FILTER(F$1:F606, F$1:F606&lt;&gt;""""),COUNTA(FILTER(F$1:F606, F$1:F606&lt;&gt;""""))), LEN(INDEX(FILTER(F$1:F606, F$1:F606&lt;&gt;""""),COUNTA(FILTER(F$1:F606, F$1:F606&lt;&gt;""""))))-1), IF('To Order'!$A607=COLUMNS($A607:F"&amp;"626), F606&amp;RIGHT(INDIRECT(ADDRESS(ROW(F607)-1, 'From Order'!$A607)), 1), F606))"),"DTRLRQPD")</f>
        <v>DTRLRQPD</v>
      </c>
      <c r="G607" s="2" t="str">
        <f>IFERROR(__xludf.DUMMYFUNCTION("IF('From Order'!$A607=COLUMNS($A607:G626), LEFT(INDEX(FILTER(G$1:G606, G$1:G606&lt;&gt;""""),COUNTA(FILTER(G$1:G606, G$1:G606&lt;&gt;""""))), LEN(INDEX(FILTER(G$1:G606, G$1:G606&lt;&gt;""""),COUNTA(FILTER(G$1:G606, G$1:G606&lt;&gt;""""))))-1), IF('To Order'!$A607=COLUMNS($A607:G"&amp;"626), G606&amp;RIGHT(INDIRECT(ADDRESS(ROW(G607)-1, 'From Order'!$A607)), 1), G606))"),"")</f>
        <v/>
      </c>
      <c r="H607" s="2" t="str">
        <f>IFERROR(__xludf.DUMMYFUNCTION("IF('From Order'!$A607=COLUMNS($A607:H626), LEFT(INDEX(FILTER(H$1:H606, H$1:H606&lt;&gt;""""),COUNTA(FILTER(H$1:H606, H$1:H606&lt;&gt;""""))), LEN(INDEX(FILTER(H$1:H606, H$1:H606&lt;&gt;""""),COUNTA(FILTER(H$1:H606, H$1:H606&lt;&gt;""""))))-1), IF('To Order'!$A607=COLUMNS($A607:H"&amp;"626), H606&amp;RIGHT(INDIRECT(ADDRESS(ROW(H607)-1, 'From Order'!$A607)), 1), H606))"),"ZMDTCJTVCBPWHGSS")</f>
        <v>ZMDTCJTVCBPWHGSS</v>
      </c>
      <c r="I607" s="2" t="str">
        <f>IFERROR(__xludf.DUMMYFUNCTION("IF('From Order'!$A607=COLUMNS($A607:I626), LEFT(INDEX(FILTER(I$1:I606, I$1:I606&lt;&gt;""""),COUNTA(FILTER(I$1:I606, I$1:I606&lt;&gt;""""))), LEN(INDEX(FILTER(I$1:I606, I$1:I606&lt;&gt;""""),COUNTA(FILTER(I$1:I606, I$1:I606&lt;&gt;""""))))-1), IF('To Order'!$A607=COLUMNS($A607:I"&amp;"626), I606&amp;RIGHT(INDIRECT(ADDRESS(ROW(I607)-1, 'From Order'!$A607)), 1), I606))"),"DTWRD")</f>
        <v>DTWRD</v>
      </c>
    </row>
    <row r="608">
      <c r="A608" s="2" t="str">
        <f>IFERROR(__xludf.DUMMYFUNCTION("IF('From Order'!$A608=COLUMNS($A608:A627), LEFT(INDEX(FILTER(A$1:A607, A$1:A607&lt;&gt;""""),COUNTA(FILTER(A$1:A607, A$1:A607&lt;&gt;""""))), LEN(INDEX(FILTER(A$1:A607, A$1:A607&lt;&gt;""""),COUNTA(FILTER(A$1:A607, A$1:A607&lt;&gt;""""))))-1), IF('To Order'!$A608=COLUMNS($A608:A"&amp;"627), A607&amp;RIGHT(INDIRECT(ADDRESS(ROW(A608)-1, 'From Order'!$A608)), 1), A607))"),"")</f>
        <v/>
      </c>
      <c r="B608" s="2" t="str">
        <f>IFERROR(__xludf.DUMMYFUNCTION("IF('From Order'!$A608=COLUMNS($A608:B627), LEFT(INDEX(FILTER(B$1:B607, B$1:B607&lt;&gt;""""),COUNTA(FILTER(B$1:B607, B$1:B607&lt;&gt;""""))), LEN(INDEX(FILTER(B$1:B607, B$1:B607&lt;&gt;""""),COUNTA(FILTER(B$1:B607, B$1:B607&lt;&gt;""""))))-1), IF('To Order'!$A608=COLUMNS($A608:B"&amp;"627), B607&amp;RIGHT(INDIRECT(ADDRESS(ROW(B608)-1, 'From Order'!$A608)), 1), B607))"),"JZRVPVRZHMFBBFSLTDGSBL")</f>
        <v>JZRVPVRZHMFBBFSLTDGSBL</v>
      </c>
      <c r="C608" s="2" t="str">
        <f>IFERROR(__xludf.DUMMYFUNCTION("IF('From Order'!$A608=COLUMNS($A608:C627), LEFT(INDEX(FILTER(C$1:C607, C$1:C607&lt;&gt;""""),COUNTA(FILTER(C$1:C607, C$1:C607&lt;&gt;""""))), LEN(INDEX(FILTER(C$1:C607, C$1:C607&lt;&gt;""""),COUNTA(FILTER(C$1:C607, C$1:C607&lt;&gt;""""))))-1), IF('To Order'!$A608=COLUMNS($A608:C"&amp;"627), C607&amp;RIGHT(INDIRECT(ADDRESS(ROW(C608)-1, 'From Order'!$A608)), 1), C607))"),"")</f>
        <v/>
      </c>
      <c r="D608" s="2" t="str">
        <f>IFERROR(__xludf.DUMMYFUNCTION("IF('From Order'!$A608=COLUMNS($A608:D627), LEFT(INDEX(FILTER(D$1:D607, D$1:D607&lt;&gt;""""),COUNTA(FILTER(D$1:D607, D$1:D607&lt;&gt;""""))), LEN(INDEX(FILTER(D$1:D607, D$1:D607&lt;&gt;""""),COUNTA(FILTER(D$1:D607, D$1:D607&lt;&gt;""""))))-1), IF('To Order'!$A608=COLUMNS($A608:D"&amp;"627), D607&amp;RIGHT(INDIRECT(ADDRESS(ROW(D608)-1, 'From Order'!$A608)), 1), D607))"),"TMQJC")</f>
        <v>TMQJC</v>
      </c>
      <c r="E608" s="2" t="str">
        <f>IFERROR(__xludf.DUMMYFUNCTION("IF('From Order'!$A608=COLUMNS($A608:E627), LEFT(INDEX(FILTER(E$1:E607, E$1:E607&lt;&gt;""""),COUNTA(FILTER(E$1:E607, E$1:E607&lt;&gt;""""))), LEN(INDEX(FILTER(E$1:E607, E$1:E607&lt;&gt;""""),COUNTA(FILTER(E$1:E607, E$1:E607&lt;&gt;""""))))-1), IF('To Order'!$A608=COLUMNS($A608:E"&amp;"627), E607&amp;RIGHT(INDIRECT(ADDRESS(ROW(E608)-1, 'From Order'!$A608)), 1), E607))"),"")</f>
        <v/>
      </c>
      <c r="F608" s="2" t="str">
        <f>IFERROR(__xludf.DUMMYFUNCTION("IF('From Order'!$A608=COLUMNS($A608:F627), LEFT(INDEX(FILTER(F$1:F607, F$1:F607&lt;&gt;""""),COUNTA(FILTER(F$1:F607, F$1:F607&lt;&gt;""""))), LEN(INDEX(FILTER(F$1:F607, F$1:F607&lt;&gt;""""),COUNTA(FILTER(F$1:F607, F$1:F607&lt;&gt;""""))))-1), IF('To Order'!$A608=COLUMNS($A608:F"&amp;"627), F607&amp;RIGHT(INDIRECT(ADDRESS(ROW(F608)-1, 'From Order'!$A608)), 1), F607))"),"DTRLRQPDS")</f>
        <v>DTRLRQPDS</v>
      </c>
      <c r="G608" s="2" t="str">
        <f>IFERROR(__xludf.DUMMYFUNCTION("IF('From Order'!$A608=COLUMNS($A608:G627), LEFT(INDEX(FILTER(G$1:G607, G$1:G607&lt;&gt;""""),COUNTA(FILTER(G$1:G607, G$1:G607&lt;&gt;""""))), LEN(INDEX(FILTER(G$1:G607, G$1:G607&lt;&gt;""""),COUNTA(FILTER(G$1:G607, G$1:G607&lt;&gt;""""))))-1), IF('To Order'!$A608=COLUMNS($A608:G"&amp;"627), G607&amp;RIGHT(INDIRECT(ADDRESS(ROW(G608)-1, 'From Order'!$A608)), 1), G607))"),"")</f>
        <v/>
      </c>
      <c r="H608" s="2" t="str">
        <f>IFERROR(__xludf.DUMMYFUNCTION("IF('From Order'!$A608=COLUMNS($A608:H627), LEFT(INDEX(FILTER(H$1:H607, H$1:H607&lt;&gt;""""),COUNTA(FILTER(H$1:H607, H$1:H607&lt;&gt;""""))), LEN(INDEX(FILTER(H$1:H607, H$1:H607&lt;&gt;""""),COUNTA(FILTER(H$1:H607, H$1:H607&lt;&gt;""""))))-1), IF('To Order'!$A608=COLUMNS($A608:H"&amp;"627), H607&amp;RIGHT(INDIRECT(ADDRESS(ROW(H608)-1, 'From Order'!$A608)), 1), H607))"),"ZMDTCJTVCBPWHGS")</f>
        <v>ZMDTCJTVCBPWHGS</v>
      </c>
      <c r="I608" s="2" t="str">
        <f>IFERROR(__xludf.DUMMYFUNCTION("IF('From Order'!$A608=COLUMNS($A608:I627), LEFT(INDEX(FILTER(I$1:I607, I$1:I607&lt;&gt;""""),COUNTA(FILTER(I$1:I607, I$1:I607&lt;&gt;""""))), LEN(INDEX(FILTER(I$1:I607, I$1:I607&lt;&gt;""""),COUNTA(FILTER(I$1:I607, I$1:I607&lt;&gt;""""))))-1), IF('To Order'!$A608=COLUMNS($A608:I"&amp;"627), I607&amp;RIGHT(INDIRECT(ADDRESS(ROW(I608)-1, 'From Order'!$A608)), 1), I607))"),"DTWRD")</f>
        <v>DTWRD</v>
      </c>
    </row>
    <row r="609">
      <c r="A609" s="2" t="str">
        <f>IFERROR(__xludf.DUMMYFUNCTION("IF('From Order'!$A609=COLUMNS($A609:A628), LEFT(INDEX(FILTER(A$1:A608, A$1:A608&lt;&gt;""""),COUNTA(FILTER(A$1:A608, A$1:A608&lt;&gt;""""))), LEN(INDEX(FILTER(A$1:A608, A$1:A608&lt;&gt;""""),COUNTA(FILTER(A$1:A608, A$1:A608&lt;&gt;""""))))-1), IF('To Order'!$A609=COLUMNS($A609:A"&amp;"628), A608&amp;RIGHT(INDIRECT(ADDRESS(ROW(A609)-1, 'From Order'!$A609)), 1), A608))"),"")</f>
        <v/>
      </c>
      <c r="B609" s="2" t="str">
        <f>IFERROR(__xludf.DUMMYFUNCTION("IF('From Order'!$A609=COLUMNS($A609:B628), LEFT(INDEX(FILTER(B$1:B608, B$1:B608&lt;&gt;""""),COUNTA(FILTER(B$1:B608, B$1:B608&lt;&gt;""""))), LEN(INDEX(FILTER(B$1:B608, B$1:B608&lt;&gt;""""),COUNTA(FILTER(B$1:B608, B$1:B608&lt;&gt;""""))))-1), IF('To Order'!$A609=COLUMNS($A609:B"&amp;"628), B608&amp;RIGHT(INDIRECT(ADDRESS(ROW(B609)-1, 'From Order'!$A609)), 1), B608))"),"JZRVPVRZHMFBBFSLTDGSBL")</f>
        <v>JZRVPVRZHMFBBFSLTDGSBL</v>
      </c>
      <c r="C609" s="2" t="str">
        <f>IFERROR(__xludf.DUMMYFUNCTION("IF('From Order'!$A609=COLUMNS($A609:C628), LEFT(INDEX(FILTER(C$1:C608, C$1:C608&lt;&gt;""""),COUNTA(FILTER(C$1:C608, C$1:C608&lt;&gt;""""))), LEN(INDEX(FILTER(C$1:C608, C$1:C608&lt;&gt;""""),COUNTA(FILTER(C$1:C608, C$1:C608&lt;&gt;""""))))-1), IF('To Order'!$A609=COLUMNS($A609:C"&amp;"628), C608&amp;RIGHT(INDIRECT(ADDRESS(ROW(C609)-1, 'From Order'!$A609)), 1), C608))"),"")</f>
        <v/>
      </c>
      <c r="D609" s="2" t="str">
        <f>IFERROR(__xludf.DUMMYFUNCTION("IF('From Order'!$A609=COLUMNS($A609:D628), LEFT(INDEX(FILTER(D$1:D608, D$1:D608&lt;&gt;""""),COUNTA(FILTER(D$1:D608, D$1:D608&lt;&gt;""""))), LEN(INDEX(FILTER(D$1:D608, D$1:D608&lt;&gt;""""),COUNTA(FILTER(D$1:D608, D$1:D608&lt;&gt;""""))))-1), IF('To Order'!$A609=COLUMNS($A609:D"&amp;"628), D608&amp;RIGHT(INDIRECT(ADDRESS(ROW(D609)-1, 'From Order'!$A609)), 1), D608))"),"TMQJC")</f>
        <v>TMQJC</v>
      </c>
      <c r="E609" s="2" t="str">
        <f>IFERROR(__xludf.DUMMYFUNCTION("IF('From Order'!$A609=COLUMNS($A609:E628), LEFT(INDEX(FILTER(E$1:E608, E$1:E608&lt;&gt;""""),COUNTA(FILTER(E$1:E608, E$1:E608&lt;&gt;""""))), LEN(INDEX(FILTER(E$1:E608, E$1:E608&lt;&gt;""""),COUNTA(FILTER(E$1:E608, E$1:E608&lt;&gt;""""))))-1), IF('To Order'!$A609=COLUMNS($A609:E"&amp;"628), E608&amp;RIGHT(INDIRECT(ADDRESS(ROW(E609)-1, 'From Order'!$A609)), 1), E608))"),"")</f>
        <v/>
      </c>
      <c r="F609" s="2" t="str">
        <f>IFERROR(__xludf.DUMMYFUNCTION("IF('From Order'!$A609=COLUMNS($A609:F628), LEFT(INDEX(FILTER(F$1:F608, F$1:F608&lt;&gt;""""),COUNTA(FILTER(F$1:F608, F$1:F608&lt;&gt;""""))), LEN(INDEX(FILTER(F$1:F608, F$1:F608&lt;&gt;""""),COUNTA(FILTER(F$1:F608, F$1:F608&lt;&gt;""""))))-1), IF('To Order'!$A609=COLUMNS($A609:F"&amp;"628), F608&amp;RIGHT(INDIRECT(ADDRESS(ROW(F609)-1, 'From Order'!$A609)), 1), F608))"),"DTRLRQPDSS")</f>
        <v>DTRLRQPDSS</v>
      </c>
      <c r="G609" s="2" t="str">
        <f>IFERROR(__xludf.DUMMYFUNCTION("IF('From Order'!$A609=COLUMNS($A609:G628), LEFT(INDEX(FILTER(G$1:G608, G$1:G608&lt;&gt;""""),COUNTA(FILTER(G$1:G608, G$1:G608&lt;&gt;""""))), LEN(INDEX(FILTER(G$1:G608, G$1:G608&lt;&gt;""""),COUNTA(FILTER(G$1:G608, G$1:G608&lt;&gt;""""))))-1), IF('To Order'!$A609=COLUMNS($A609:G"&amp;"628), G608&amp;RIGHT(INDIRECT(ADDRESS(ROW(G609)-1, 'From Order'!$A609)), 1), G608))"),"")</f>
        <v/>
      </c>
      <c r="H609" s="2" t="str">
        <f>IFERROR(__xludf.DUMMYFUNCTION("IF('From Order'!$A609=COLUMNS($A609:H628), LEFT(INDEX(FILTER(H$1:H608, H$1:H608&lt;&gt;""""),COUNTA(FILTER(H$1:H608, H$1:H608&lt;&gt;""""))), LEN(INDEX(FILTER(H$1:H608, H$1:H608&lt;&gt;""""),COUNTA(FILTER(H$1:H608, H$1:H608&lt;&gt;""""))))-1), IF('To Order'!$A609=COLUMNS($A609:H"&amp;"628), H608&amp;RIGHT(INDIRECT(ADDRESS(ROW(H609)-1, 'From Order'!$A609)), 1), H608))"),"ZMDTCJTVCBPWHG")</f>
        <v>ZMDTCJTVCBPWHG</v>
      </c>
      <c r="I609" s="2" t="str">
        <f>IFERROR(__xludf.DUMMYFUNCTION("IF('From Order'!$A609=COLUMNS($A609:I628), LEFT(INDEX(FILTER(I$1:I608, I$1:I608&lt;&gt;""""),COUNTA(FILTER(I$1:I608, I$1:I608&lt;&gt;""""))), LEN(INDEX(FILTER(I$1:I608, I$1:I608&lt;&gt;""""),COUNTA(FILTER(I$1:I608, I$1:I608&lt;&gt;""""))))-1), IF('To Order'!$A609=COLUMNS($A609:I"&amp;"628), I608&amp;RIGHT(INDIRECT(ADDRESS(ROW(I609)-1, 'From Order'!$A609)), 1), I608))"),"DTWRD")</f>
        <v>DTWRD</v>
      </c>
    </row>
    <row r="610">
      <c r="A610" s="2" t="str">
        <f>IFERROR(__xludf.DUMMYFUNCTION("IF('From Order'!$A610=COLUMNS($A610:A629), LEFT(INDEX(FILTER(A$1:A609, A$1:A609&lt;&gt;""""),COUNTA(FILTER(A$1:A609, A$1:A609&lt;&gt;""""))), LEN(INDEX(FILTER(A$1:A609, A$1:A609&lt;&gt;""""),COUNTA(FILTER(A$1:A609, A$1:A609&lt;&gt;""""))))-1), IF('To Order'!$A610=COLUMNS($A610:A"&amp;"629), A609&amp;RIGHT(INDIRECT(ADDRESS(ROW(A610)-1, 'From Order'!$A610)), 1), A609))"),"")</f>
        <v/>
      </c>
      <c r="B610" s="2" t="str">
        <f>IFERROR(__xludf.DUMMYFUNCTION("IF('From Order'!$A610=COLUMNS($A610:B629), LEFT(INDEX(FILTER(B$1:B609, B$1:B609&lt;&gt;""""),COUNTA(FILTER(B$1:B609, B$1:B609&lt;&gt;""""))), LEN(INDEX(FILTER(B$1:B609, B$1:B609&lt;&gt;""""),COUNTA(FILTER(B$1:B609, B$1:B609&lt;&gt;""""))))-1), IF('To Order'!$A610=COLUMNS($A610:B"&amp;"629), B609&amp;RIGHT(INDIRECT(ADDRESS(ROW(B610)-1, 'From Order'!$A610)), 1), B609))"),"JZRVPVRZHMFBBFSLTDGSBL")</f>
        <v>JZRVPVRZHMFBBFSLTDGSBL</v>
      </c>
      <c r="C610" s="2" t="str">
        <f>IFERROR(__xludf.DUMMYFUNCTION("IF('From Order'!$A610=COLUMNS($A610:C629), LEFT(INDEX(FILTER(C$1:C609, C$1:C609&lt;&gt;""""),COUNTA(FILTER(C$1:C609, C$1:C609&lt;&gt;""""))), LEN(INDEX(FILTER(C$1:C609, C$1:C609&lt;&gt;""""),COUNTA(FILTER(C$1:C609, C$1:C609&lt;&gt;""""))))-1), IF('To Order'!$A610=COLUMNS($A610:C"&amp;"629), C609&amp;RIGHT(INDIRECT(ADDRESS(ROW(C610)-1, 'From Order'!$A610)), 1), C609))"),"")</f>
        <v/>
      </c>
      <c r="D610" s="2" t="str">
        <f>IFERROR(__xludf.DUMMYFUNCTION("IF('From Order'!$A610=COLUMNS($A610:D629), LEFT(INDEX(FILTER(D$1:D609, D$1:D609&lt;&gt;""""),COUNTA(FILTER(D$1:D609, D$1:D609&lt;&gt;""""))), LEN(INDEX(FILTER(D$1:D609, D$1:D609&lt;&gt;""""),COUNTA(FILTER(D$1:D609, D$1:D609&lt;&gt;""""))))-1), IF('To Order'!$A610=COLUMNS($A610:D"&amp;"629), D609&amp;RIGHT(INDIRECT(ADDRESS(ROW(D610)-1, 'From Order'!$A610)), 1), D609))"),"TMQJC")</f>
        <v>TMQJC</v>
      </c>
      <c r="E610" s="2" t="str">
        <f>IFERROR(__xludf.DUMMYFUNCTION("IF('From Order'!$A610=COLUMNS($A610:E629), LEFT(INDEX(FILTER(E$1:E609, E$1:E609&lt;&gt;""""),COUNTA(FILTER(E$1:E609, E$1:E609&lt;&gt;""""))), LEN(INDEX(FILTER(E$1:E609, E$1:E609&lt;&gt;""""),COUNTA(FILTER(E$1:E609, E$1:E609&lt;&gt;""""))))-1), IF('To Order'!$A610=COLUMNS($A610:E"&amp;"629), E609&amp;RIGHT(INDIRECT(ADDRESS(ROW(E610)-1, 'From Order'!$A610)), 1), E609))"),"")</f>
        <v/>
      </c>
      <c r="F610" s="2" t="str">
        <f>IFERROR(__xludf.DUMMYFUNCTION("IF('From Order'!$A610=COLUMNS($A610:F629), LEFT(INDEX(FILTER(F$1:F609, F$1:F609&lt;&gt;""""),COUNTA(FILTER(F$1:F609, F$1:F609&lt;&gt;""""))), LEN(INDEX(FILTER(F$1:F609, F$1:F609&lt;&gt;""""),COUNTA(FILTER(F$1:F609, F$1:F609&lt;&gt;""""))))-1), IF('To Order'!$A610=COLUMNS($A610:F"&amp;"629), F609&amp;RIGHT(INDIRECT(ADDRESS(ROW(F610)-1, 'From Order'!$A610)), 1), F609))"),"DTRLRQPDSSG")</f>
        <v>DTRLRQPDSSG</v>
      </c>
      <c r="G610" s="2" t="str">
        <f>IFERROR(__xludf.DUMMYFUNCTION("IF('From Order'!$A610=COLUMNS($A610:G629), LEFT(INDEX(FILTER(G$1:G609, G$1:G609&lt;&gt;""""),COUNTA(FILTER(G$1:G609, G$1:G609&lt;&gt;""""))), LEN(INDEX(FILTER(G$1:G609, G$1:G609&lt;&gt;""""),COUNTA(FILTER(G$1:G609, G$1:G609&lt;&gt;""""))))-1), IF('To Order'!$A610=COLUMNS($A610:G"&amp;"629), G609&amp;RIGHT(INDIRECT(ADDRESS(ROW(G610)-1, 'From Order'!$A610)), 1), G609))"),"")</f>
        <v/>
      </c>
      <c r="H610" s="2" t="str">
        <f>IFERROR(__xludf.DUMMYFUNCTION("IF('From Order'!$A610=COLUMNS($A610:H629), LEFT(INDEX(FILTER(H$1:H609, H$1:H609&lt;&gt;""""),COUNTA(FILTER(H$1:H609, H$1:H609&lt;&gt;""""))), LEN(INDEX(FILTER(H$1:H609, H$1:H609&lt;&gt;""""),COUNTA(FILTER(H$1:H609, H$1:H609&lt;&gt;""""))))-1), IF('To Order'!$A610=COLUMNS($A610:H"&amp;"629), H609&amp;RIGHT(INDIRECT(ADDRESS(ROW(H610)-1, 'From Order'!$A610)), 1), H609))"),"ZMDTCJTVCBPWH")</f>
        <v>ZMDTCJTVCBPWH</v>
      </c>
      <c r="I610" s="2" t="str">
        <f>IFERROR(__xludf.DUMMYFUNCTION("IF('From Order'!$A610=COLUMNS($A610:I629), LEFT(INDEX(FILTER(I$1:I609, I$1:I609&lt;&gt;""""),COUNTA(FILTER(I$1:I609, I$1:I609&lt;&gt;""""))), LEN(INDEX(FILTER(I$1:I609, I$1:I609&lt;&gt;""""),COUNTA(FILTER(I$1:I609, I$1:I609&lt;&gt;""""))))-1), IF('To Order'!$A610=COLUMNS($A610:I"&amp;"629), I609&amp;RIGHT(INDIRECT(ADDRESS(ROW(I610)-1, 'From Order'!$A610)), 1), I609))"),"DTWRD")</f>
        <v>DTWRD</v>
      </c>
    </row>
    <row r="611">
      <c r="A611" s="2" t="str">
        <f>IFERROR(__xludf.DUMMYFUNCTION("IF('From Order'!$A611=COLUMNS($A611:A630), LEFT(INDEX(FILTER(A$1:A610, A$1:A610&lt;&gt;""""),COUNTA(FILTER(A$1:A610, A$1:A610&lt;&gt;""""))), LEN(INDEX(FILTER(A$1:A610, A$1:A610&lt;&gt;""""),COUNTA(FILTER(A$1:A610, A$1:A610&lt;&gt;""""))))-1), IF('To Order'!$A611=COLUMNS($A611:A"&amp;"630), A610&amp;RIGHT(INDIRECT(ADDRESS(ROW(A611)-1, 'From Order'!$A611)), 1), A610))"),"")</f>
        <v/>
      </c>
      <c r="B611" s="2" t="str">
        <f>IFERROR(__xludf.DUMMYFUNCTION("IF('From Order'!$A611=COLUMNS($A611:B630), LEFT(INDEX(FILTER(B$1:B610, B$1:B610&lt;&gt;""""),COUNTA(FILTER(B$1:B610, B$1:B610&lt;&gt;""""))), LEN(INDEX(FILTER(B$1:B610, B$1:B610&lt;&gt;""""),COUNTA(FILTER(B$1:B610, B$1:B610&lt;&gt;""""))))-1), IF('To Order'!$A611=COLUMNS($A611:B"&amp;"630), B610&amp;RIGHT(INDIRECT(ADDRESS(ROW(B611)-1, 'From Order'!$A611)), 1), B610))"),"JZRVPVRZHMFBBFSLTDGSBL")</f>
        <v>JZRVPVRZHMFBBFSLTDGSBL</v>
      </c>
      <c r="C611" s="2" t="str">
        <f>IFERROR(__xludf.DUMMYFUNCTION("IF('From Order'!$A611=COLUMNS($A611:C630), LEFT(INDEX(FILTER(C$1:C610, C$1:C610&lt;&gt;""""),COUNTA(FILTER(C$1:C610, C$1:C610&lt;&gt;""""))), LEN(INDEX(FILTER(C$1:C610, C$1:C610&lt;&gt;""""),COUNTA(FILTER(C$1:C610, C$1:C610&lt;&gt;""""))))-1), IF('To Order'!$A611=COLUMNS($A611:C"&amp;"630), C610&amp;RIGHT(INDIRECT(ADDRESS(ROW(C611)-1, 'From Order'!$A611)), 1), C610))"),"")</f>
        <v/>
      </c>
      <c r="D611" s="2" t="str">
        <f>IFERROR(__xludf.DUMMYFUNCTION("IF('From Order'!$A611=COLUMNS($A611:D630), LEFT(INDEX(FILTER(D$1:D610, D$1:D610&lt;&gt;""""),COUNTA(FILTER(D$1:D610, D$1:D610&lt;&gt;""""))), LEN(INDEX(FILTER(D$1:D610, D$1:D610&lt;&gt;""""),COUNTA(FILTER(D$1:D610, D$1:D610&lt;&gt;""""))))-1), IF('To Order'!$A611=COLUMNS($A611:D"&amp;"630), D610&amp;RIGHT(INDIRECT(ADDRESS(ROW(D611)-1, 'From Order'!$A611)), 1), D610))"),"TMQJC")</f>
        <v>TMQJC</v>
      </c>
      <c r="E611" s="2" t="str">
        <f>IFERROR(__xludf.DUMMYFUNCTION("IF('From Order'!$A611=COLUMNS($A611:E630), LEFT(INDEX(FILTER(E$1:E610, E$1:E610&lt;&gt;""""),COUNTA(FILTER(E$1:E610, E$1:E610&lt;&gt;""""))), LEN(INDEX(FILTER(E$1:E610, E$1:E610&lt;&gt;""""),COUNTA(FILTER(E$1:E610, E$1:E610&lt;&gt;""""))))-1), IF('To Order'!$A611=COLUMNS($A611:E"&amp;"630), E610&amp;RIGHT(INDIRECT(ADDRESS(ROW(E611)-1, 'From Order'!$A611)), 1), E610))"),"")</f>
        <v/>
      </c>
      <c r="F611" s="2" t="str">
        <f>IFERROR(__xludf.DUMMYFUNCTION("IF('From Order'!$A611=COLUMNS($A611:F630), LEFT(INDEX(FILTER(F$1:F610, F$1:F610&lt;&gt;""""),COUNTA(FILTER(F$1:F610, F$1:F610&lt;&gt;""""))), LEN(INDEX(FILTER(F$1:F610, F$1:F610&lt;&gt;""""),COUNTA(FILTER(F$1:F610, F$1:F610&lt;&gt;""""))))-1), IF('To Order'!$A611=COLUMNS($A611:F"&amp;"630), F610&amp;RIGHT(INDIRECT(ADDRESS(ROW(F611)-1, 'From Order'!$A611)), 1), F610))"),"DTRLRQPDSSGH")</f>
        <v>DTRLRQPDSSGH</v>
      </c>
      <c r="G611" s="2" t="str">
        <f>IFERROR(__xludf.DUMMYFUNCTION("IF('From Order'!$A611=COLUMNS($A611:G630), LEFT(INDEX(FILTER(G$1:G610, G$1:G610&lt;&gt;""""),COUNTA(FILTER(G$1:G610, G$1:G610&lt;&gt;""""))), LEN(INDEX(FILTER(G$1:G610, G$1:G610&lt;&gt;""""),COUNTA(FILTER(G$1:G610, G$1:G610&lt;&gt;""""))))-1), IF('To Order'!$A611=COLUMNS($A611:G"&amp;"630), G610&amp;RIGHT(INDIRECT(ADDRESS(ROW(G611)-1, 'From Order'!$A611)), 1), G610))"),"")</f>
        <v/>
      </c>
      <c r="H611" s="2" t="str">
        <f>IFERROR(__xludf.DUMMYFUNCTION("IF('From Order'!$A611=COLUMNS($A611:H630), LEFT(INDEX(FILTER(H$1:H610, H$1:H610&lt;&gt;""""),COUNTA(FILTER(H$1:H610, H$1:H610&lt;&gt;""""))), LEN(INDEX(FILTER(H$1:H610, H$1:H610&lt;&gt;""""),COUNTA(FILTER(H$1:H610, H$1:H610&lt;&gt;""""))))-1), IF('To Order'!$A611=COLUMNS($A611:H"&amp;"630), H610&amp;RIGHT(INDIRECT(ADDRESS(ROW(H611)-1, 'From Order'!$A611)), 1), H610))"),"ZMDTCJTVCBPW")</f>
        <v>ZMDTCJTVCBPW</v>
      </c>
      <c r="I611" s="2" t="str">
        <f>IFERROR(__xludf.DUMMYFUNCTION("IF('From Order'!$A611=COLUMNS($A611:I630), LEFT(INDEX(FILTER(I$1:I610, I$1:I610&lt;&gt;""""),COUNTA(FILTER(I$1:I610, I$1:I610&lt;&gt;""""))), LEN(INDEX(FILTER(I$1:I610, I$1:I610&lt;&gt;""""),COUNTA(FILTER(I$1:I610, I$1:I610&lt;&gt;""""))))-1), IF('To Order'!$A611=COLUMNS($A611:I"&amp;"630), I610&amp;RIGHT(INDIRECT(ADDRESS(ROW(I611)-1, 'From Order'!$A611)), 1), I610))"),"DTWRD")</f>
        <v>DTWRD</v>
      </c>
    </row>
    <row r="612">
      <c r="A612" s="2" t="str">
        <f>IFERROR(__xludf.DUMMYFUNCTION("IF('From Order'!$A612=COLUMNS($A612:A631), LEFT(INDEX(FILTER(A$1:A611, A$1:A611&lt;&gt;""""),COUNTA(FILTER(A$1:A611, A$1:A611&lt;&gt;""""))), LEN(INDEX(FILTER(A$1:A611, A$1:A611&lt;&gt;""""),COUNTA(FILTER(A$1:A611, A$1:A611&lt;&gt;""""))))-1), IF('To Order'!$A612=COLUMNS($A612:A"&amp;"631), A611&amp;RIGHT(INDIRECT(ADDRESS(ROW(A612)-1, 'From Order'!$A612)), 1), A611))"),"")</f>
        <v/>
      </c>
      <c r="B612" s="2" t="str">
        <f>IFERROR(__xludf.DUMMYFUNCTION("IF('From Order'!$A612=COLUMNS($A612:B631), LEFT(INDEX(FILTER(B$1:B611, B$1:B611&lt;&gt;""""),COUNTA(FILTER(B$1:B611, B$1:B611&lt;&gt;""""))), LEN(INDEX(FILTER(B$1:B611, B$1:B611&lt;&gt;""""),COUNTA(FILTER(B$1:B611, B$1:B611&lt;&gt;""""))))-1), IF('To Order'!$A612=COLUMNS($A612:B"&amp;"631), B611&amp;RIGHT(INDIRECT(ADDRESS(ROW(B612)-1, 'From Order'!$A612)), 1), B611))"),"JZRVPVRZHMFBBFSLTDGSBL")</f>
        <v>JZRVPVRZHMFBBFSLTDGSBL</v>
      </c>
      <c r="C612" s="2" t="str">
        <f>IFERROR(__xludf.DUMMYFUNCTION("IF('From Order'!$A612=COLUMNS($A612:C631), LEFT(INDEX(FILTER(C$1:C611, C$1:C611&lt;&gt;""""),COUNTA(FILTER(C$1:C611, C$1:C611&lt;&gt;""""))), LEN(INDEX(FILTER(C$1:C611, C$1:C611&lt;&gt;""""),COUNTA(FILTER(C$1:C611, C$1:C611&lt;&gt;""""))))-1), IF('To Order'!$A612=COLUMNS($A612:C"&amp;"631), C611&amp;RIGHT(INDIRECT(ADDRESS(ROW(C612)-1, 'From Order'!$A612)), 1), C611))"),"")</f>
        <v/>
      </c>
      <c r="D612" s="2" t="str">
        <f>IFERROR(__xludf.DUMMYFUNCTION("IF('From Order'!$A612=COLUMNS($A612:D631), LEFT(INDEX(FILTER(D$1:D611, D$1:D611&lt;&gt;""""),COUNTA(FILTER(D$1:D611, D$1:D611&lt;&gt;""""))), LEN(INDEX(FILTER(D$1:D611, D$1:D611&lt;&gt;""""),COUNTA(FILTER(D$1:D611, D$1:D611&lt;&gt;""""))))-1), IF('To Order'!$A612=COLUMNS($A612:D"&amp;"631), D611&amp;RIGHT(INDIRECT(ADDRESS(ROW(D612)-1, 'From Order'!$A612)), 1), D611))"),"TMQJC")</f>
        <v>TMQJC</v>
      </c>
      <c r="E612" s="2" t="str">
        <f>IFERROR(__xludf.DUMMYFUNCTION("IF('From Order'!$A612=COLUMNS($A612:E631), LEFT(INDEX(FILTER(E$1:E611, E$1:E611&lt;&gt;""""),COUNTA(FILTER(E$1:E611, E$1:E611&lt;&gt;""""))), LEN(INDEX(FILTER(E$1:E611, E$1:E611&lt;&gt;""""),COUNTA(FILTER(E$1:E611, E$1:E611&lt;&gt;""""))))-1), IF('To Order'!$A612=COLUMNS($A612:E"&amp;"631), E611&amp;RIGHT(INDIRECT(ADDRESS(ROW(E612)-1, 'From Order'!$A612)), 1), E611))"),"")</f>
        <v/>
      </c>
      <c r="F612" s="2" t="str">
        <f>IFERROR(__xludf.DUMMYFUNCTION("IF('From Order'!$A612=COLUMNS($A612:F631), LEFT(INDEX(FILTER(F$1:F611, F$1:F611&lt;&gt;""""),COUNTA(FILTER(F$1:F611, F$1:F611&lt;&gt;""""))), LEN(INDEX(FILTER(F$1:F611, F$1:F611&lt;&gt;""""),COUNTA(FILTER(F$1:F611, F$1:F611&lt;&gt;""""))))-1), IF('To Order'!$A612=COLUMNS($A612:F"&amp;"631), F611&amp;RIGHT(INDIRECT(ADDRESS(ROW(F612)-1, 'From Order'!$A612)), 1), F611))"),"DTRLRQPDSSGHW")</f>
        <v>DTRLRQPDSSGHW</v>
      </c>
      <c r="G612" s="2" t="str">
        <f>IFERROR(__xludf.DUMMYFUNCTION("IF('From Order'!$A612=COLUMNS($A612:G631), LEFT(INDEX(FILTER(G$1:G611, G$1:G611&lt;&gt;""""),COUNTA(FILTER(G$1:G611, G$1:G611&lt;&gt;""""))), LEN(INDEX(FILTER(G$1:G611, G$1:G611&lt;&gt;""""),COUNTA(FILTER(G$1:G611, G$1:G611&lt;&gt;""""))))-1), IF('To Order'!$A612=COLUMNS($A612:G"&amp;"631), G611&amp;RIGHT(INDIRECT(ADDRESS(ROW(G612)-1, 'From Order'!$A612)), 1), G611))"),"")</f>
        <v/>
      </c>
      <c r="H612" s="2" t="str">
        <f>IFERROR(__xludf.DUMMYFUNCTION("IF('From Order'!$A612=COLUMNS($A612:H631), LEFT(INDEX(FILTER(H$1:H611, H$1:H611&lt;&gt;""""),COUNTA(FILTER(H$1:H611, H$1:H611&lt;&gt;""""))), LEN(INDEX(FILTER(H$1:H611, H$1:H611&lt;&gt;""""),COUNTA(FILTER(H$1:H611, H$1:H611&lt;&gt;""""))))-1), IF('To Order'!$A612=COLUMNS($A612:H"&amp;"631), H611&amp;RIGHT(INDIRECT(ADDRESS(ROW(H612)-1, 'From Order'!$A612)), 1), H611))"),"ZMDTCJTVCBP")</f>
        <v>ZMDTCJTVCBP</v>
      </c>
      <c r="I612" s="2" t="str">
        <f>IFERROR(__xludf.DUMMYFUNCTION("IF('From Order'!$A612=COLUMNS($A612:I631), LEFT(INDEX(FILTER(I$1:I611, I$1:I611&lt;&gt;""""),COUNTA(FILTER(I$1:I611, I$1:I611&lt;&gt;""""))), LEN(INDEX(FILTER(I$1:I611, I$1:I611&lt;&gt;""""),COUNTA(FILTER(I$1:I611, I$1:I611&lt;&gt;""""))))-1), IF('To Order'!$A612=COLUMNS($A612:I"&amp;"631), I611&amp;RIGHT(INDIRECT(ADDRESS(ROW(I612)-1, 'From Order'!$A612)), 1), I611))"),"DTWRD")</f>
        <v>DTWRD</v>
      </c>
    </row>
    <row r="613">
      <c r="A613" s="2" t="str">
        <f>IFERROR(__xludf.DUMMYFUNCTION("IF('From Order'!$A613=COLUMNS($A613:A632), LEFT(INDEX(FILTER(A$1:A612, A$1:A612&lt;&gt;""""),COUNTA(FILTER(A$1:A612, A$1:A612&lt;&gt;""""))), LEN(INDEX(FILTER(A$1:A612, A$1:A612&lt;&gt;""""),COUNTA(FILTER(A$1:A612, A$1:A612&lt;&gt;""""))))-1), IF('To Order'!$A613=COLUMNS($A613:A"&amp;"632), A612&amp;RIGHT(INDIRECT(ADDRESS(ROW(A613)-1, 'From Order'!$A613)), 1), A612))"),"")</f>
        <v/>
      </c>
      <c r="B613" s="2" t="str">
        <f>IFERROR(__xludf.DUMMYFUNCTION("IF('From Order'!$A613=COLUMNS($A613:B632), LEFT(INDEX(FILTER(B$1:B612, B$1:B612&lt;&gt;""""),COUNTA(FILTER(B$1:B612, B$1:B612&lt;&gt;""""))), LEN(INDEX(FILTER(B$1:B612, B$1:B612&lt;&gt;""""),COUNTA(FILTER(B$1:B612, B$1:B612&lt;&gt;""""))))-1), IF('To Order'!$A613=COLUMNS($A613:B"&amp;"632), B612&amp;RIGHT(INDIRECT(ADDRESS(ROW(B613)-1, 'From Order'!$A613)), 1), B612))"),"JZRVPVRZHMFBBFSLTDGSBL")</f>
        <v>JZRVPVRZHMFBBFSLTDGSBL</v>
      </c>
      <c r="C613" s="2" t="str">
        <f>IFERROR(__xludf.DUMMYFUNCTION("IF('From Order'!$A613=COLUMNS($A613:C632), LEFT(INDEX(FILTER(C$1:C612, C$1:C612&lt;&gt;""""),COUNTA(FILTER(C$1:C612, C$1:C612&lt;&gt;""""))), LEN(INDEX(FILTER(C$1:C612, C$1:C612&lt;&gt;""""),COUNTA(FILTER(C$1:C612, C$1:C612&lt;&gt;""""))))-1), IF('To Order'!$A613=COLUMNS($A613:C"&amp;"632), C612&amp;RIGHT(INDIRECT(ADDRESS(ROW(C613)-1, 'From Order'!$A613)), 1), C612))"),"")</f>
        <v/>
      </c>
      <c r="D613" s="2" t="str">
        <f>IFERROR(__xludf.DUMMYFUNCTION("IF('From Order'!$A613=COLUMNS($A613:D632), LEFT(INDEX(FILTER(D$1:D612, D$1:D612&lt;&gt;""""),COUNTA(FILTER(D$1:D612, D$1:D612&lt;&gt;""""))), LEN(INDEX(FILTER(D$1:D612, D$1:D612&lt;&gt;""""),COUNTA(FILTER(D$1:D612, D$1:D612&lt;&gt;""""))))-1), IF('To Order'!$A613=COLUMNS($A613:D"&amp;"632), D612&amp;RIGHT(INDIRECT(ADDRESS(ROW(D613)-1, 'From Order'!$A613)), 1), D612))"),"TMQJC")</f>
        <v>TMQJC</v>
      </c>
      <c r="E613" s="2" t="str">
        <f>IFERROR(__xludf.DUMMYFUNCTION("IF('From Order'!$A613=COLUMNS($A613:E632), LEFT(INDEX(FILTER(E$1:E612, E$1:E612&lt;&gt;""""),COUNTA(FILTER(E$1:E612, E$1:E612&lt;&gt;""""))), LEN(INDEX(FILTER(E$1:E612, E$1:E612&lt;&gt;""""),COUNTA(FILTER(E$1:E612, E$1:E612&lt;&gt;""""))))-1), IF('To Order'!$A613=COLUMNS($A613:E"&amp;"632), E612&amp;RIGHT(INDIRECT(ADDRESS(ROW(E613)-1, 'From Order'!$A613)), 1), E612))"),"")</f>
        <v/>
      </c>
      <c r="F613" s="2" t="str">
        <f>IFERROR(__xludf.DUMMYFUNCTION("IF('From Order'!$A613=COLUMNS($A613:F632), LEFT(INDEX(FILTER(F$1:F612, F$1:F612&lt;&gt;""""),COUNTA(FILTER(F$1:F612, F$1:F612&lt;&gt;""""))), LEN(INDEX(FILTER(F$1:F612, F$1:F612&lt;&gt;""""),COUNTA(FILTER(F$1:F612, F$1:F612&lt;&gt;""""))))-1), IF('To Order'!$A613=COLUMNS($A613:F"&amp;"632), F612&amp;RIGHT(INDIRECT(ADDRESS(ROW(F613)-1, 'From Order'!$A613)), 1), F612))"),"DTRLRQPDSSGHWP")</f>
        <v>DTRLRQPDSSGHWP</v>
      </c>
      <c r="G613" s="2" t="str">
        <f>IFERROR(__xludf.DUMMYFUNCTION("IF('From Order'!$A613=COLUMNS($A613:G632), LEFT(INDEX(FILTER(G$1:G612, G$1:G612&lt;&gt;""""),COUNTA(FILTER(G$1:G612, G$1:G612&lt;&gt;""""))), LEN(INDEX(FILTER(G$1:G612, G$1:G612&lt;&gt;""""),COUNTA(FILTER(G$1:G612, G$1:G612&lt;&gt;""""))))-1), IF('To Order'!$A613=COLUMNS($A613:G"&amp;"632), G612&amp;RIGHT(INDIRECT(ADDRESS(ROW(G613)-1, 'From Order'!$A613)), 1), G612))"),"")</f>
        <v/>
      </c>
      <c r="H613" s="2" t="str">
        <f>IFERROR(__xludf.DUMMYFUNCTION("IF('From Order'!$A613=COLUMNS($A613:H632), LEFT(INDEX(FILTER(H$1:H612, H$1:H612&lt;&gt;""""),COUNTA(FILTER(H$1:H612, H$1:H612&lt;&gt;""""))), LEN(INDEX(FILTER(H$1:H612, H$1:H612&lt;&gt;""""),COUNTA(FILTER(H$1:H612, H$1:H612&lt;&gt;""""))))-1), IF('To Order'!$A613=COLUMNS($A613:H"&amp;"632), H612&amp;RIGHT(INDIRECT(ADDRESS(ROW(H613)-1, 'From Order'!$A613)), 1), H612))"),"ZMDTCJTVCB")</f>
        <v>ZMDTCJTVCB</v>
      </c>
      <c r="I613" s="2" t="str">
        <f>IFERROR(__xludf.DUMMYFUNCTION("IF('From Order'!$A613=COLUMNS($A613:I632), LEFT(INDEX(FILTER(I$1:I612, I$1:I612&lt;&gt;""""),COUNTA(FILTER(I$1:I612, I$1:I612&lt;&gt;""""))), LEN(INDEX(FILTER(I$1:I612, I$1:I612&lt;&gt;""""),COUNTA(FILTER(I$1:I612, I$1:I612&lt;&gt;""""))))-1), IF('To Order'!$A613=COLUMNS($A613:I"&amp;"632), I612&amp;RIGHT(INDIRECT(ADDRESS(ROW(I613)-1, 'From Order'!$A613)), 1), I612))"),"DTWRD")</f>
        <v>DTWRD</v>
      </c>
    </row>
    <row r="614">
      <c r="A614" s="2" t="str">
        <f>IFERROR(__xludf.DUMMYFUNCTION("IF('From Order'!$A614=COLUMNS($A614:A633), LEFT(INDEX(FILTER(A$1:A613, A$1:A613&lt;&gt;""""),COUNTA(FILTER(A$1:A613, A$1:A613&lt;&gt;""""))), LEN(INDEX(FILTER(A$1:A613, A$1:A613&lt;&gt;""""),COUNTA(FILTER(A$1:A613, A$1:A613&lt;&gt;""""))))-1), IF('To Order'!$A614=COLUMNS($A614:A"&amp;"633), A613&amp;RIGHT(INDIRECT(ADDRESS(ROW(A614)-1, 'From Order'!$A614)), 1), A613))"),"")</f>
        <v/>
      </c>
      <c r="B614" s="2" t="str">
        <f>IFERROR(__xludf.DUMMYFUNCTION("IF('From Order'!$A614=COLUMNS($A614:B633), LEFT(INDEX(FILTER(B$1:B613, B$1:B613&lt;&gt;""""),COUNTA(FILTER(B$1:B613, B$1:B613&lt;&gt;""""))), LEN(INDEX(FILTER(B$1:B613, B$1:B613&lt;&gt;""""),COUNTA(FILTER(B$1:B613, B$1:B613&lt;&gt;""""))))-1), IF('To Order'!$A614=COLUMNS($A614:B"&amp;"633), B613&amp;RIGHT(INDIRECT(ADDRESS(ROW(B614)-1, 'From Order'!$A614)), 1), B613))"),"JZRVPVRZHMFBBFSLTDGSBL")</f>
        <v>JZRVPVRZHMFBBFSLTDGSBL</v>
      </c>
      <c r="C614" s="2" t="str">
        <f>IFERROR(__xludf.DUMMYFUNCTION("IF('From Order'!$A614=COLUMNS($A614:C633), LEFT(INDEX(FILTER(C$1:C613, C$1:C613&lt;&gt;""""),COUNTA(FILTER(C$1:C613, C$1:C613&lt;&gt;""""))), LEN(INDEX(FILTER(C$1:C613, C$1:C613&lt;&gt;""""),COUNTA(FILTER(C$1:C613, C$1:C613&lt;&gt;""""))))-1), IF('To Order'!$A614=COLUMNS($A614:C"&amp;"633), C613&amp;RIGHT(INDIRECT(ADDRESS(ROW(C614)-1, 'From Order'!$A614)), 1), C613))"),"")</f>
        <v/>
      </c>
      <c r="D614" s="2" t="str">
        <f>IFERROR(__xludf.DUMMYFUNCTION("IF('From Order'!$A614=COLUMNS($A614:D633), LEFT(INDEX(FILTER(D$1:D613, D$1:D613&lt;&gt;""""),COUNTA(FILTER(D$1:D613, D$1:D613&lt;&gt;""""))), LEN(INDEX(FILTER(D$1:D613, D$1:D613&lt;&gt;""""),COUNTA(FILTER(D$1:D613, D$1:D613&lt;&gt;""""))))-1), IF('To Order'!$A614=COLUMNS($A614:D"&amp;"633), D613&amp;RIGHT(INDIRECT(ADDRESS(ROW(D614)-1, 'From Order'!$A614)), 1), D613))"),"TMQJC")</f>
        <v>TMQJC</v>
      </c>
      <c r="E614" s="2" t="str">
        <f>IFERROR(__xludf.DUMMYFUNCTION("IF('From Order'!$A614=COLUMNS($A614:E633), LEFT(INDEX(FILTER(E$1:E613, E$1:E613&lt;&gt;""""),COUNTA(FILTER(E$1:E613, E$1:E613&lt;&gt;""""))), LEN(INDEX(FILTER(E$1:E613, E$1:E613&lt;&gt;""""),COUNTA(FILTER(E$1:E613, E$1:E613&lt;&gt;""""))))-1), IF('To Order'!$A614=COLUMNS($A614:E"&amp;"633), E613&amp;RIGHT(INDIRECT(ADDRESS(ROW(E614)-1, 'From Order'!$A614)), 1), E613))"),"")</f>
        <v/>
      </c>
      <c r="F614" s="2" t="str">
        <f>IFERROR(__xludf.DUMMYFUNCTION("IF('From Order'!$A614=COLUMNS($A614:F633), LEFT(INDEX(FILTER(F$1:F613, F$1:F613&lt;&gt;""""),COUNTA(FILTER(F$1:F613, F$1:F613&lt;&gt;""""))), LEN(INDEX(FILTER(F$1:F613, F$1:F613&lt;&gt;""""),COUNTA(FILTER(F$1:F613, F$1:F613&lt;&gt;""""))))-1), IF('To Order'!$A614=COLUMNS($A614:F"&amp;"633), F613&amp;RIGHT(INDIRECT(ADDRESS(ROW(F614)-1, 'From Order'!$A614)), 1), F613))"),"DTRLRQPDSSGHWPB")</f>
        <v>DTRLRQPDSSGHWPB</v>
      </c>
      <c r="G614" s="2" t="str">
        <f>IFERROR(__xludf.DUMMYFUNCTION("IF('From Order'!$A614=COLUMNS($A614:G633), LEFT(INDEX(FILTER(G$1:G613, G$1:G613&lt;&gt;""""),COUNTA(FILTER(G$1:G613, G$1:G613&lt;&gt;""""))), LEN(INDEX(FILTER(G$1:G613, G$1:G613&lt;&gt;""""),COUNTA(FILTER(G$1:G613, G$1:G613&lt;&gt;""""))))-1), IF('To Order'!$A614=COLUMNS($A614:G"&amp;"633), G613&amp;RIGHT(INDIRECT(ADDRESS(ROW(G614)-1, 'From Order'!$A614)), 1), G613))"),"")</f>
        <v/>
      </c>
      <c r="H614" s="2" t="str">
        <f>IFERROR(__xludf.DUMMYFUNCTION("IF('From Order'!$A614=COLUMNS($A614:H633), LEFT(INDEX(FILTER(H$1:H613, H$1:H613&lt;&gt;""""),COUNTA(FILTER(H$1:H613, H$1:H613&lt;&gt;""""))), LEN(INDEX(FILTER(H$1:H613, H$1:H613&lt;&gt;""""),COUNTA(FILTER(H$1:H613, H$1:H613&lt;&gt;""""))))-1), IF('To Order'!$A614=COLUMNS($A614:H"&amp;"633), H613&amp;RIGHT(INDIRECT(ADDRESS(ROW(H614)-1, 'From Order'!$A614)), 1), H613))"),"ZMDTCJTVC")</f>
        <v>ZMDTCJTVC</v>
      </c>
      <c r="I614" s="2" t="str">
        <f>IFERROR(__xludf.DUMMYFUNCTION("IF('From Order'!$A614=COLUMNS($A614:I633), LEFT(INDEX(FILTER(I$1:I613, I$1:I613&lt;&gt;""""),COUNTA(FILTER(I$1:I613, I$1:I613&lt;&gt;""""))), LEN(INDEX(FILTER(I$1:I613, I$1:I613&lt;&gt;""""),COUNTA(FILTER(I$1:I613, I$1:I613&lt;&gt;""""))))-1), IF('To Order'!$A614=COLUMNS($A614:I"&amp;"633), I613&amp;RIGHT(INDIRECT(ADDRESS(ROW(I614)-1, 'From Order'!$A614)), 1), I613))"),"DTWRD")</f>
        <v>DTWRD</v>
      </c>
    </row>
    <row r="615">
      <c r="A615" s="2" t="str">
        <f>IFERROR(__xludf.DUMMYFUNCTION("IF('From Order'!$A615=COLUMNS($A615:A634), LEFT(INDEX(FILTER(A$1:A614, A$1:A614&lt;&gt;""""),COUNTA(FILTER(A$1:A614, A$1:A614&lt;&gt;""""))), LEN(INDEX(FILTER(A$1:A614, A$1:A614&lt;&gt;""""),COUNTA(FILTER(A$1:A614, A$1:A614&lt;&gt;""""))))-1), IF('To Order'!$A615=COLUMNS($A615:A"&amp;"634), A614&amp;RIGHT(INDIRECT(ADDRESS(ROW(A615)-1, 'From Order'!$A615)), 1), A614))"),"")</f>
        <v/>
      </c>
      <c r="B615" s="2" t="str">
        <f>IFERROR(__xludf.DUMMYFUNCTION("IF('From Order'!$A615=COLUMNS($A615:B634), LEFT(INDEX(FILTER(B$1:B614, B$1:B614&lt;&gt;""""),COUNTA(FILTER(B$1:B614, B$1:B614&lt;&gt;""""))), LEN(INDEX(FILTER(B$1:B614, B$1:B614&lt;&gt;""""),COUNTA(FILTER(B$1:B614, B$1:B614&lt;&gt;""""))))-1), IF('To Order'!$A615=COLUMNS($A615:B"&amp;"634), B614&amp;RIGHT(INDIRECT(ADDRESS(ROW(B615)-1, 'From Order'!$A615)), 1), B614))"),"JZRVPVRZHMFBBFSLTDGSBL")</f>
        <v>JZRVPVRZHMFBBFSLTDGSBL</v>
      </c>
      <c r="C615" s="2" t="str">
        <f>IFERROR(__xludf.DUMMYFUNCTION("IF('From Order'!$A615=COLUMNS($A615:C634), LEFT(INDEX(FILTER(C$1:C614, C$1:C614&lt;&gt;""""),COUNTA(FILTER(C$1:C614, C$1:C614&lt;&gt;""""))), LEN(INDEX(FILTER(C$1:C614, C$1:C614&lt;&gt;""""),COUNTA(FILTER(C$1:C614, C$1:C614&lt;&gt;""""))))-1), IF('To Order'!$A615=COLUMNS($A615:C"&amp;"634), C614&amp;RIGHT(INDIRECT(ADDRESS(ROW(C615)-1, 'From Order'!$A615)), 1), C614))"),"")</f>
        <v/>
      </c>
      <c r="D615" s="2" t="str">
        <f>IFERROR(__xludf.DUMMYFUNCTION("IF('From Order'!$A615=COLUMNS($A615:D634), LEFT(INDEX(FILTER(D$1:D614, D$1:D614&lt;&gt;""""),COUNTA(FILTER(D$1:D614, D$1:D614&lt;&gt;""""))), LEN(INDEX(FILTER(D$1:D614, D$1:D614&lt;&gt;""""),COUNTA(FILTER(D$1:D614, D$1:D614&lt;&gt;""""))))-1), IF('To Order'!$A615=COLUMNS($A615:D"&amp;"634), D614&amp;RIGHT(INDIRECT(ADDRESS(ROW(D615)-1, 'From Order'!$A615)), 1), D614))"),"TMQJC")</f>
        <v>TMQJC</v>
      </c>
      <c r="E615" s="2" t="str">
        <f>IFERROR(__xludf.DUMMYFUNCTION("IF('From Order'!$A615=COLUMNS($A615:E634), LEFT(INDEX(FILTER(E$1:E614, E$1:E614&lt;&gt;""""),COUNTA(FILTER(E$1:E614, E$1:E614&lt;&gt;""""))), LEN(INDEX(FILTER(E$1:E614, E$1:E614&lt;&gt;""""),COUNTA(FILTER(E$1:E614, E$1:E614&lt;&gt;""""))))-1), IF('To Order'!$A615=COLUMNS($A615:E"&amp;"634), E614&amp;RIGHT(INDIRECT(ADDRESS(ROW(E615)-1, 'From Order'!$A615)), 1), E614))"),"")</f>
        <v/>
      </c>
      <c r="F615" s="2" t="str">
        <f>IFERROR(__xludf.DUMMYFUNCTION("IF('From Order'!$A615=COLUMNS($A615:F634), LEFT(INDEX(FILTER(F$1:F614, F$1:F614&lt;&gt;""""),COUNTA(FILTER(F$1:F614, F$1:F614&lt;&gt;""""))), LEN(INDEX(FILTER(F$1:F614, F$1:F614&lt;&gt;""""),COUNTA(FILTER(F$1:F614, F$1:F614&lt;&gt;""""))))-1), IF('To Order'!$A615=COLUMNS($A615:F"&amp;"634), F614&amp;RIGHT(INDIRECT(ADDRESS(ROW(F615)-1, 'From Order'!$A615)), 1), F614))"),"DTRLRQPDSSGHWPBC")</f>
        <v>DTRLRQPDSSGHWPBC</v>
      </c>
      <c r="G615" s="2" t="str">
        <f>IFERROR(__xludf.DUMMYFUNCTION("IF('From Order'!$A615=COLUMNS($A615:G634), LEFT(INDEX(FILTER(G$1:G614, G$1:G614&lt;&gt;""""),COUNTA(FILTER(G$1:G614, G$1:G614&lt;&gt;""""))), LEN(INDEX(FILTER(G$1:G614, G$1:G614&lt;&gt;""""),COUNTA(FILTER(G$1:G614, G$1:G614&lt;&gt;""""))))-1), IF('To Order'!$A615=COLUMNS($A615:G"&amp;"634), G614&amp;RIGHT(INDIRECT(ADDRESS(ROW(G615)-1, 'From Order'!$A615)), 1), G614))"),"")</f>
        <v/>
      </c>
      <c r="H615" s="2" t="str">
        <f>IFERROR(__xludf.DUMMYFUNCTION("IF('From Order'!$A615=COLUMNS($A615:H634), LEFT(INDEX(FILTER(H$1:H614, H$1:H614&lt;&gt;""""),COUNTA(FILTER(H$1:H614, H$1:H614&lt;&gt;""""))), LEN(INDEX(FILTER(H$1:H614, H$1:H614&lt;&gt;""""),COUNTA(FILTER(H$1:H614, H$1:H614&lt;&gt;""""))))-1), IF('To Order'!$A615=COLUMNS($A615:H"&amp;"634), H614&amp;RIGHT(INDIRECT(ADDRESS(ROW(H615)-1, 'From Order'!$A615)), 1), H614))"),"ZMDTCJTV")</f>
        <v>ZMDTCJTV</v>
      </c>
      <c r="I615" s="2" t="str">
        <f>IFERROR(__xludf.DUMMYFUNCTION("IF('From Order'!$A615=COLUMNS($A615:I634), LEFT(INDEX(FILTER(I$1:I614, I$1:I614&lt;&gt;""""),COUNTA(FILTER(I$1:I614, I$1:I614&lt;&gt;""""))), LEN(INDEX(FILTER(I$1:I614, I$1:I614&lt;&gt;""""),COUNTA(FILTER(I$1:I614, I$1:I614&lt;&gt;""""))))-1), IF('To Order'!$A615=COLUMNS($A615:I"&amp;"634), I614&amp;RIGHT(INDIRECT(ADDRESS(ROW(I615)-1, 'From Order'!$A615)), 1), I614))"),"DTWRD")</f>
        <v>DTWRD</v>
      </c>
    </row>
    <row r="616">
      <c r="A616" s="2" t="str">
        <f>IFERROR(__xludf.DUMMYFUNCTION("IF('From Order'!$A616=COLUMNS($A616:A635), LEFT(INDEX(FILTER(A$1:A615, A$1:A615&lt;&gt;""""),COUNTA(FILTER(A$1:A615, A$1:A615&lt;&gt;""""))), LEN(INDEX(FILTER(A$1:A615, A$1:A615&lt;&gt;""""),COUNTA(FILTER(A$1:A615, A$1:A615&lt;&gt;""""))))-1), IF('To Order'!$A616=COLUMNS($A616:A"&amp;"635), A615&amp;RIGHT(INDIRECT(ADDRESS(ROW(A616)-1, 'From Order'!$A616)), 1), A615))"),"")</f>
        <v/>
      </c>
      <c r="B616" s="2" t="str">
        <f>IFERROR(__xludf.DUMMYFUNCTION("IF('From Order'!$A616=COLUMNS($A616:B635), LEFT(INDEX(FILTER(B$1:B615, B$1:B615&lt;&gt;""""),COUNTA(FILTER(B$1:B615, B$1:B615&lt;&gt;""""))), LEN(INDEX(FILTER(B$1:B615, B$1:B615&lt;&gt;""""),COUNTA(FILTER(B$1:B615, B$1:B615&lt;&gt;""""))))-1), IF('To Order'!$A616=COLUMNS($A616:B"&amp;"635), B615&amp;RIGHT(INDIRECT(ADDRESS(ROW(B616)-1, 'From Order'!$A616)), 1), B615))"),"JZRVPVRZHMFBBFSLTDGSBL")</f>
        <v>JZRVPVRZHMFBBFSLTDGSBL</v>
      </c>
      <c r="C616" s="2" t="str">
        <f>IFERROR(__xludf.DUMMYFUNCTION("IF('From Order'!$A616=COLUMNS($A616:C635), LEFT(INDEX(FILTER(C$1:C615, C$1:C615&lt;&gt;""""),COUNTA(FILTER(C$1:C615, C$1:C615&lt;&gt;""""))), LEN(INDEX(FILTER(C$1:C615, C$1:C615&lt;&gt;""""),COUNTA(FILTER(C$1:C615, C$1:C615&lt;&gt;""""))))-1), IF('To Order'!$A616=COLUMNS($A616:C"&amp;"635), C615&amp;RIGHT(INDIRECT(ADDRESS(ROW(C616)-1, 'From Order'!$A616)), 1), C615))"),"")</f>
        <v/>
      </c>
      <c r="D616" s="2" t="str">
        <f>IFERROR(__xludf.DUMMYFUNCTION("IF('From Order'!$A616=COLUMNS($A616:D635), LEFT(INDEX(FILTER(D$1:D615, D$1:D615&lt;&gt;""""),COUNTA(FILTER(D$1:D615, D$1:D615&lt;&gt;""""))), LEN(INDEX(FILTER(D$1:D615, D$1:D615&lt;&gt;""""),COUNTA(FILTER(D$1:D615, D$1:D615&lt;&gt;""""))))-1), IF('To Order'!$A616=COLUMNS($A616:D"&amp;"635), D615&amp;RIGHT(INDIRECT(ADDRESS(ROW(D616)-1, 'From Order'!$A616)), 1), D615))"),"TMQJC")</f>
        <v>TMQJC</v>
      </c>
      <c r="E616" s="2" t="str">
        <f>IFERROR(__xludf.DUMMYFUNCTION("IF('From Order'!$A616=COLUMNS($A616:E635), LEFT(INDEX(FILTER(E$1:E615, E$1:E615&lt;&gt;""""),COUNTA(FILTER(E$1:E615, E$1:E615&lt;&gt;""""))), LEN(INDEX(FILTER(E$1:E615, E$1:E615&lt;&gt;""""),COUNTA(FILTER(E$1:E615, E$1:E615&lt;&gt;""""))))-1), IF('To Order'!$A616=COLUMNS($A616:E"&amp;"635), E615&amp;RIGHT(INDIRECT(ADDRESS(ROW(E616)-1, 'From Order'!$A616)), 1), E615))"),"")</f>
        <v/>
      </c>
      <c r="F616" s="2" t="str">
        <f>IFERROR(__xludf.DUMMYFUNCTION("IF('From Order'!$A616=COLUMNS($A616:F635), LEFT(INDEX(FILTER(F$1:F615, F$1:F615&lt;&gt;""""),COUNTA(FILTER(F$1:F615, F$1:F615&lt;&gt;""""))), LEN(INDEX(FILTER(F$1:F615, F$1:F615&lt;&gt;""""),COUNTA(FILTER(F$1:F615, F$1:F615&lt;&gt;""""))))-1), IF('To Order'!$A616=COLUMNS($A616:F"&amp;"635), F615&amp;RIGHT(INDIRECT(ADDRESS(ROW(F616)-1, 'From Order'!$A616)), 1), F615))"),"DTRLRQPDSSGHWPBCV")</f>
        <v>DTRLRQPDSSGHWPBCV</v>
      </c>
      <c r="G616" s="2" t="str">
        <f>IFERROR(__xludf.DUMMYFUNCTION("IF('From Order'!$A616=COLUMNS($A616:G635), LEFT(INDEX(FILTER(G$1:G615, G$1:G615&lt;&gt;""""),COUNTA(FILTER(G$1:G615, G$1:G615&lt;&gt;""""))), LEN(INDEX(FILTER(G$1:G615, G$1:G615&lt;&gt;""""),COUNTA(FILTER(G$1:G615, G$1:G615&lt;&gt;""""))))-1), IF('To Order'!$A616=COLUMNS($A616:G"&amp;"635), G615&amp;RIGHT(INDIRECT(ADDRESS(ROW(G616)-1, 'From Order'!$A616)), 1), G615))"),"")</f>
        <v/>
      </c>
      <c r="H616" s="2" t="str">
        <f>IFERROR(__xludf.DUMMYFUNCTION("IF('From Order'!$A616=COLUMNS($A616:H635), LEFT(INDEX(FILTER(H$1:H615, H$1:H615&lt;&gt;""""),COUNTA(FILTER(H$1:H615, H$1:H615&lt;&gt;""""))), LEN(INDEX(FILTER(H$1:H615, H$1:H615&lt;&gt;""""),COUNTA(FILTER(H$1:H615, H$1:H615&lt;&gt;""""))))-1), IF('To Order'!$A616=COLUMNS($A616:H"&amp;"635), H615&amp;RIGHT(INDIRECT(ADDRESS(ROW(H616)-1, 'From Order'!$A616)), 1), H615))"),"ZMDTCJT")</f>
        <v>ZMDTCJT</v>
      </c>
      <c r="I616" s="2" t="str">
        <f>IFERROR(__xludf.DUMMYFUNCTION("IF('From Order'!$A616=COLUMNS($A616:I635), LEFT(INDEX(FILTER(I$1:I615, I$1:I615&lt;&gt;""""),COUNTA(FILTER(I$1:I615, I$1:I615&lt;&gt;""""))), LEN(INDEX(FILTER(I$1:I615, I$1:I615&lt;&gt;""""),COUNTA(FILTER(I$1:I615, I$1:I615&lt;&gt;""""))))-1), IF('To Order'!$A616=COLUMNS($A616:I"&amp;"635), I615&amp;RIGHT(INDIRECT(ADDRESS(ROW(I616)-1, 'From Order'!$A616)), 1), I615))"),"DTWRD")</f>
        <v>DTWRD</v>
      </c>
    </row>
    <row r="617">
      <c r="A617" s="2" t="str">
        <f>IFERROR(__xludf.DUMMYFUNCTION("IF('From Order'!$A617=COLUMNS($A617:A636), LEFT(INDEX(FILTER(A$1:A616, A$1:A616&lt;&gt;""""),COUNTA(FILTER(A$1:A616, A$1:A616&lt;&gt;""""))), LEN(INDEX(FILTER(A$1:A616, A$1:A616&lt;&gt;""""),COUNTA(FILTER(A$1:A616, A$1:A616&lt;&gt;""""))))-1), IF('To Order'!$A617=COLUMNS($A617:A"&amp;"636), A616&amp;RIGHT(INDIRECT(ADDRESS(ROW(A617)-1, 'From Order'!$A617)), 1), A616))"),"")</f>
        <v/>
      </c>
      <c r="B617" s="2" t="str">
        <f>IFERROR(__xludf.DUMMYFUNCTION("IF('From Order'!$A617=COLUMNS($A617:B636), LEFT(INDEX(FILTER(B$1:B616, B$1:B616&lt;&gt;""""),COUNTA(FILTER(B$1:B616, B$1:B616&lt;&gt;""""))), LEN(INDEX(FILTER(B$1:B616, B$1:B616&lt;&gt;""""),COUNTA(FILTER(B$1:B616, B$1:B616&lt;&gt;""""))))-1), IF('To Order'!$A617=COLUMNS($A617:B"&amp;"636), B616&amp;RIGHT(INDIRECT(ADDRESS(ROW(B617)-1, 'From Order'!$A617)), 1), B616))"),"JZRVPVRZHMFBBFSLTDGSBL")</f>
        <v>JZRVPVRZHMFBBFSLTDGSBL</v>
      </c>
      <c r="C617" s="2" t="str">
        <f>IFERROR(__xludf.DUMMYFUNCTION("IF('From Order'!$A617=COLUMNS($A617:C636), LEFT(INDEX(FILTER(C$1:C616, C$1:C616&lt;&gt;""""),COUNTA(FILTER(C$1:C616, C$1:C616&lt;&gt;""""))), LEN(INDEX(FILTER(C$1:C616, C$1:C616&lt;&gt;""""),COUNTA(FILTER(C$1:C616, C$1:C616&lt;&gt;""""))))-1), IF('To Order'!$A617=COLUMNS($A617:C"&amp;"636), C616&amp;RIGHT(INDIRECT(ADDRESS(ROW(C617)-1, 'From Order'!$A617)), 1), C616))"),"")</f>
        <v/>
      </c>
      <c r="D617" s="2" t="str">
        <f>IFERROR(__xludf.DUMMYFUNCTION("IF('From Order'!$A617=COLUMNS($A617:D636), LEFT(INDEX(FILTER(D$1:D616, D$1:D616&lt;&gt;""""),COUNTA(FILTER(D$1:D616, D$1:D616&lt;&gt;""""))), LEN(INDEX(FILTER(D$1:D616, D$1:D616&lt;&gt;""""),COUNTA(FILTER(D$1:D616, D$1:D616&lt;&gt;""""))))-1), IF('To Order'!$A617=COLUMNS($A617:D"&amp;"636), D616&amp;RIGHT(INDIRECT(ADDRESS(ROW(D617)-1, 'From Order'!$A617)), 1), D616))"),"TMQJ")</f>
        <v>TMQJ</v>
      </c>
      <c r="E617" s="2" t="str">
        <f>IFERROR(__xludf.DUMMYFUNCTION("IF('From Order'!$A617=COLUMNS($A617:E636), LEFT(INDEX(FILTER(E$1:E616, E$1:E616&lt;&gt;""""),COUNTA(FILTER(E$1:E616, E$1:E616&lt;&gt;""""))), LEN(INDEX(FILTER(E$1:E616, E$1:E616&lt;&gt;""""),COUNTA(FILTER(E$1:E616, E$1:E616&lt;&gt;""""))))-1), IF('To Order'!$A617=COLUMNS($A617:E"&amp;"636), E616&amp;RIGHT(INDIRECT(ADDRESS(ROW(E617)-1, 'From Order'!$A617)), 1), E616))"),"C")</f>
        <v>C</v>
      </c>
      <c r="F617" s="2" t="str">
        <f>IFERROR(__xludf.DUMMYFUNCTION("IF('From Order'!$A617=COLUMNS($A617:F636), LEFT(INDEX(FILTER(F$1:F616, F$1:F616&lt;&gt;""""),COUNTA(FILTER(F$1:F616, F$1:F616&lt;&gt;""""))), LEN(INDEX(FILTER(F$1:F616, F$1:F616&lt;&gt;""""),COUNTA(FILTER(F$1:F616, F$1:F616&lt;&gt;""""))))-1), IF('To Order'!$A617=COLUMNS($A617:F"&amp;"636), F616&amp;RIGHT(INDIRECT(ADDRESS(ROW(F617)-1, 'From Order'!$A617)), 1), F616))"),"DTRLRQPDSSGHWPBCV")</f>
        <v>DTRLRQPDSSGHWPBCV</v>
      </c>
      <c r="G617" s="2" t="str">
        <f>IFERROR(__xludf.DUMMYFUNCTION("IF('From Order'!$A617=COLUMNS($A617:G636), LEFT(INDEX(FILTER(G$1:G616, G$1:G616&lt;&gt;""""),COUNTA(FILTER(G$1:G616, G$1:G616&lt;&gt;""""))), LEN(INDEX(FILTER(G$1:G616, G$1:G616&lt;&gt;""""),COUNTA(FILTER(G$1:G616, G$1:G616&lt;&gt;""""))))-1), IF('To Order'!$A617=COLUMNS($A617:G"&amp;"636), G616&amp;RIGHT(INDIRECT(ADDRESS(ROW(G617)-1, 'From Order'!$A617)), 1), G616))"),"")</f>
        <v/>
      </c>
      <c r="H617" s="2" t="str">
        <f>IFERROR(__xludf.DUMMYFUNCTION("IF('From Order'!$A617=COLUMNS($A617:H636), LEFT(INDEX(FILTER(H$1:H616, H$1:H616&lt;&gt;""""),COUNTA(FILTER(H$1:H616, H$1:H616&lt;&gt;""""))), LEN(INDEX(FILTER(H$1:H616, H$1:H616&lt;&gt;""""),COUNTA(FILTER(H$1:H616, H$1:H616&lt;&gt;""""))))-1), IF('To Order'!$A617=COLUMNS($A617:H"&amp;"636), H616&amp;RIGHT(INDIRECT(ADDRESS(ROW(H617)-1, 'From Order'!$A617)), 1), H616))"),"ZMDTCJT")</f>
        <v>ZMDTCJT</v>
      </c>
      <c r="I617" s="2" t="str">
        <f>IFERROR(__xludf.DUMMYFUNCTION("IF('From Order'!$A617=COLUMNS($A617:I636), LEFT(INDEX(FILTER(I$1:I616, I$1:I616&lt;&gt;""""),COUNTA(FILTER(I$1:I616, I$1:I616&lt;&gt;""""))), LEN(INDEX(FILTER(I$1:I616, I$1:I616&lt;&gt;""""),COUNTA(FILTER(I$1:I616, I$1:I616&lt;&gt;""""))))-1), IF('To Order'!$A617=COLUMNS($A617:I"&amp;"636), I616&amp;RIGHT(INDIRECT(ADDRESS(ROW(I617)-1, 'From Order'!$A617)), 1), I616))"),"DTWRD")</f>
        <v>DTWRD</v>
      </c>
    </row>
    <row r="618">
      <c r="A618" s="2" t="str">
        <f>IFERROR(__xludf.DUMMYFUNCTION("IF('From Order'!$A618=COLUMNS($A618:A637), LEFT(INDEX(FILTER(A$1:A617, A$1:A617&lt;&gt;""""),COUNTA(FILTER(A$1:A617, A$1:A617&lt;&gt;""""))), LEN(INDEX(FILTER(A$1:A617, A$1:A617&lt;&gt;""""),COUNTA(FILTER(A$1:A617, A$1:A617&lt;&gt;""""))))-1), IF('To Order'!$A618=COLUMNS($A618:A"&amp;"637), A617&amp;RIGHT(INDIRECT(ADDRESS(ROW(A618)-1, 'From Order'!$A618)), 1), A617))"),"")</f>
        <v/>
      </c>
      <c r="B618" s="2" t="str">
        <f>IFERROR(__xludf.DUMMYFUNCTION("IF('From Order'!$A618=COLUMNS($A618:B637), LEFT(INDEX(FILTER(B$1:B617, B$1:B617&lt;&gt;""""),COUNTA(FILTER(B$1:B617, B$1:B617&lt;&gt;""""))), LEN(INDEX(FILTER(B$1:B617, B$1:B617&lt;&gt;""""),COUNTA(FILTER(B$1:B617, B$1:B617&lt;&gt;""""))))-1), IF('To Order'!$A618=COLUMNS($A618:B"&amp;"637), B617&amp;RIGHT(INDIRECT(ADDRESS(ROW(B618)-1, 'From Order'!$A618)), 1), B617))"),"JZRVPVRZHMFBBFSLTDGSBL")</f>
        <v>JZRVPVRZHMFBBFSLTDGSBL</v>
      </c>
      <c r="C618" s="2" t="str">
        <f>IFERROR(__xludf.DUMMYFUNCTION("IF('From Order'!$A618=COLUMNS($A618:C637), LEFT(INDEX(FILTER(C$1:C617, C$1:C617&lt;&gt;""""),COUNTA(FILTER(C$1:C617, C$1:C617&lt;&gt;""""))), LEN(INDEX(FILTER(C$1:C617, C$1:C617&lt;&gt;""""),COUNTA(FILTER(C$1:C617, C$1:C617&lt;&gt;""""))))-1), IF('To Order'!$A618=COLUMNS($A618:C"&amp;"637), C617&amp;RIGHT(INDIRECT(ADDRESS(ROW(C618)-1, 'From Order'!$A618)), 1), C617))"),"")</f>
        <v/>
      </c>
      <c r="D618" s="2" t="str">
        <f>IFERROR(__xludf.DUMMYFUNCTION("IF('From Order'!$A618=COLUMNS($A618:D637), LEFT(INDEX(FILTER(D$1:D617, D$1:D617&lt;&gt;""""),COUNTA(FILTER(D$1:D617, D$1:D617&lt;&gt;""""))), LEN(INDEX(FILTER(D$1:D617, D$1:D617&lt;&gt;""""),COUNTA(FILTER(D$1:D617, D$1:D617&lt;&gt;""""))))-1), IF('To Order'!$A618=COLUMNS($A618:D"&amp;"637), D617&amp;RIGHT(INDIRECT(ADDRESS(ROW(D618)-1, 'From Order'!$A618)), 1), D617))"),"TMQ")</f>
        <v>TMQ</v>
      </c>
      <c r="E618" s="2" t="str">
        <f>IFERROR(__xludf.DUMMYFUNCTION("IF('From Order'!$A618=COLUMNS($A618:E637), LEFT(INDEX(FILTER(E$1:E617, E$1:E617&lt;&gt;""""),COUNTA(FILTER(E$1:E617, E$1:E617&lt;&gt;""""))), LEN(INDEX(FILTER(E$1:E617, E$1:E617&lt;&gt;""""),COUNTA(FILTER(E$1:E617, E$1:E617&lt;&gt;""""))))-1), IF('To Order'!$A618=COLUMNS($A618:E"&amp;"637), E617&amp;RIGHT(INDIRECT(ADDRESS(ROW(E618)-1, 'From Order'!$A618)), 1), E617))"),"CJ")</f>
        <v>CJ</v>
      </c>
      <c r="F618" s="2" t="str">
        <f>IFERROR(__xludf.DUMMYFUNCTION("IF('From Order'!$A618=COLUMNS($A618:F637), LEFT(INDEX(FILTER(F$1:F617, F$1:F617&lt;&gt;""""),COUNTA(FILTER(F$1:F617, F$1:F617&lt;&gt;""""))), LEN(INDEX(FILTER(F$1:F617, F$1:F617&lt;&gt;""""),COUNTA(FILTER(F$1:F617, F$1:F617&lt;&gt;""""))))-1), IF('To Order'!$A618=COLUMNS($A618:F"&amp;"637), F617&amp;RIGHT(INDIRECT(ADDRESS(ROW(F618)-1, 'From Order'!$A618)), 1), F617))"),"DTRLRQPDSSGHWPBCV")</f>
        <v>DTRLRQPDSSGHWPBCV</v>
      </c>
      <c r="G618" s="2" t="str">
        <f>IFERROR(__xludf.DUMMYFUNCTION("IF('From Order'!$A618=COLUMNS($A618:G637), LEFT(INDEX(FILTER(G$1:G617, G$1:G617&lt;&gt;""""),COUNTA(FILTER(G$1:G617, G$1:G617&lt;&gt;""""))), LEN(INDEX(FILTER(G$1:G617, G$1:G617&lt;&gt;""""),COUNTA(FILTER(G$1:G617, G$1:G617&lt;&gt;""""))))-1), IF('To Order'!$A618=COLUMNS($A618:G"&amp;"637), G617&amp;RIGHT(INDIRECT(ADDRESS(ROW(G618)-1, 'From Order'!$A618)), 1), G617))"),"")</f>
        <v/>
      </c>
      <c r="H618" s="2" t="str">
        <f>IFERROR(__xludf.DUMMYFUNCTION("IF('From Order'!$A618=COLUMNS($A618:H637), LEFT(INDEX(FILTER(H$1:H617, H$1:H617&lt;&gt;""""),COUNTA(FILTER(H$1:H617, H$1:H617&lt;&gt;""""))), LEN(INDEX(FILTER(H$1:H617, H$1:H617&lt;&gt;""""),COUNTA(FILTER(H$1:H617, H$1:H617&lt;&gt;""""))))-1), IF('To Order'!$A618=COLUMNS($A618:H"&amp;"637), H617&amp;RIGHT(INDIRECT(ADDRESS(ROW(H618)-1, 'From Order'!$A618)), 1), H617))"),"ZMDTCJT")</f>
        <v>ZMDTCJT</v>
      </c>
      <c r="I618" s="2" t="str">
        <f>IFERROR(__xludf.DUMMYFUNCTION("IF('From Order'!$A618=COLUMNS($A618:I637), LEFT(INDEX(FILTER(I$1:I617, I$1:I617&lt;&gt;""""),COUNTA(FILTER(I$1:I617, I$1:I617&lt;&gt;""""))), LEN(INDEX(FILTER(I$1:I617, I$1:I617&lt;&gt;""""),COUNTA(FILTER(I$1:I617, I$1:I617&lt;&gt;""""))))-1), IF('To Order'!$A618=COLUMNS($A618:I"&amp;"637), I617&amp;RIGHT(INDIRECT(ADDRESS(ROW(I618)-1, 'From Order'!$A618)), 1), I617))"),"DTWRD")</f>
        <v>DTWRD</v>
      </c>
    </row>
    <row r="619">
      <c r="A619" s="2" t="str">
        <f>IFERROR(__xludf.DUMMYFUNCTION("IF('From Order'!$A619=COLUMNS($A619:A638), LEFT(INDEX(FILTER(A$1:A618, A$1:A618&lt;&gt;""""),COUNTA(FILTER(A$1:A618, A$1:A618&lt;&gt;""""))), LEN(INDEX(FILTER(A$1:A618, A$1:A618&lt;&gt;""""),COUNTA(FILTER(A$1:A618, A$1:A618&lt;&gt;""""))))-1), IF('To Order'!$A619=COLUMNS($A619:A"&amp;"638), A618&amp;RIGHT(INDIRECT(ADDRESS(ROW(A619)-1, 'From Order'!$A619)), 1), A618))"),"")</f>
        <v/>
      </c>
      <c r="B619" s="2" t="str">
        <f>IFERROR(__xludf.DUMMYFUNCTION("IF('From Order'!$A619=COLUMNS($A619:B638), LEFT(INDEX(FILTER(B$1:B618, B$1:B618&lt;&gt;""""),COUNTA(FILTER(B$1:B618, B$1:B618&lt;&gt;""""))), LEN(INDEX(FILTER(B$1:B618, B$1:B618&lt;&gt;""""),COUNTA(FILTER(B$1:B618, B$1:B618&lt;&gt;""""))))-1), IF('To Order'!$A619=COLUMNS($A619:B"&amp;"638), B618&amp;RIGHT(INDIRECT(ADDRESS(ROW(B619)-1, 'From Order'!$A619)), 1), B618))"),"JZRVPVRZHMFBBFSLTDGSBL")</f>
        <v>JZRVPVRZHMFBBFSLTDGSBL</v>
      </c>
      <c r="C619" s="2" t="str">
        <f>IFERROR(__xludf.DUMMYFUNCTION("IF('From Order'!$A619=COLUMNS($A619:C638), LEFT(INDEX(FILTER(C$1:C618, C$1:C618&lt;&gt;""""),COUNTA(FILTER(C$1:C618, C$1:C618&lt;&gt;""""))), LEN(INDEX(FILTER(C$1:C618, C$1:C618&lt;&gt;""""),COUNTA(FILTER(C$1:C618, C$1:C618&lt;&gt;""""))))-1), IF('To Order'!$A619=COLUMNS($A619:C"&amp;"638), C618&amp;RIGHT(INDIRECT(ADDRESS(ROW(C619)-1, 'From Order'!$A619)), 1), C618))"),"")</f>
        <v/>
      </c>
      <c r="D619" s="2" t="str">
        <f>IFERROR(__xludf.DUMMYFUNCTION("IF('From Order'!$A619=COLUMNS($A619:D638), LEFT(INDEX(FILTER(D$1:D618, D$1:D618&lt;&gt;""""),COUNTA(FILTER(D$1:D618, D$1:D618&lt;&gt;""""))), LEN(INDEX(FILTER(D$1:D618, D$1:D618&lt;&gt;""""),COUNTA(FILTER(D$1:D618, D$1:D618&lt;&gt;""""))))-1), IF('To Order'!$A619=COLUMNS($A619:D"&amp;"638), D618&amp;RIGHT(INDIRECT(ADDRESS(ROW(D619)-1, 'From Order'!$A619)), 1), D618))"),"TMQ")</f>
        <v>TMQ</v>
      </c>
      <c r="E619" s="2" t="str">
        <f>IFERROR(__xludf.DUMMYFUNCTION("IF('From Order'!$A619=COLUMNS($A619:E638), LEFT(INDEX(FILTER(E$1:E618, E$1:E618&lt;&gt;""""),COUNTA(FILTER(E$1:E618, E$1:E618&lt;&gt;""""))), LEN(INDEX(FILTER(E$1:E618, E$1:E618&lt;&gt;""""),COUNTA(FILTER(E$1:E618, E$1:E618&lt;&gt;""""))))-1), IF('To Order'!$A619=COLUMNS($A619:E"&amp;"638), E618&amp;RIGHT(INDIRECT(ADDRESS(ROW(E619)-1, 'From Order'!$A619)), 1), E618))"),"CJ")</f>
        <v>CJ</v>
      </c>
      <c r="F619" s="2" t="str">
        <f>IFERROR(__xludf.DUMMYFUNCTION("IF('From Order'!$A619=COLUMNS($A619:F638), LEFT(INDEX(FILTER(F$1:F618, F$1:F618&lt;&gt;""""),COUNTA(FILTER(F$1:F618, F$1:F618&lt;&gt;""""))), LEN(INDEX(FILTER(F$1:F618, F$1:F618&lt;&gt;""""),COUNTA(FILTER(F$1:F618, F$1:F618&lt;&gt;""""))))-1), IF('To Order'!$A619=COLUMNS($A619:F"&amp;"638), F618&amp;RIGHT(INDIRECT(ADDRESS(ROW(F619)-1, 'From Order'!$A619)), 1), F618))"),"DTRLRQPDSSGHWPBC")</f>
        <v>DTRLRQPDSSGHWPBC</v>
      </c>
      <c r="G619" s="2" t="str">
        <f>IFERROR(__xludf.DUMMYFUNCTION("IF('From Order'!$A619=COLUMNS($A619:G638), LEFT(INDEX(FILTER(G$1:G618, G$1:G618&lt;&gt;""""),COUNTA(FILTER(G$1:G618, G$1:G618&lt;&gt;""""))), LEN(INDEX(FILTER(G$1:G618, G$1:G618&lt;&gt;""""),COUNTA(FILTER(G$1:G618, G$1:G618&lt;&gt;""""))))-1), IF('To Order'!$A619=COLUMNS($A619:G"&amp;"638), G618&amp;RIGHT(INDIRECT(ADDRESS(ROW(G619)-1, 'From Order'!$A619)), 1), G618))"),"")</f>
        <v/>
      </c>
      <c r="H619" s="2" t="str">
        <f>IFERROR(__xludf.DUMMYFUNCTION("IF('From Order'!$A619=COLUMNS($A619:H638), LEFT(INDEX(FILTER(H$1:H618, H$1:H618&lt;&gt;""""),COUNTA(FILTER(H$1:H618, H$1:H618&lt;&gt;""""))), LEN(INDEX(FILTER(H$1:H618, H$1:H618&lt;&gt;""""),COUNTA(FILTER(H$1:H618, H$1:H618&lt;&gt;""""))))-1), IF('To Order'!$A619=COLUMNS($A619:H"&amp;"638), H618&amp;RIGHT(INDIRECT(ADDRESS(ROW(H619)-1, 'From Order'!$A619)), 1), H618))"),"ZMDTCJT")</f>
        <v>ZMDTCJT</v>
      </c>
      <c r="I619" s="2" t="str">
        <f>IFERROR(__xludf.DUMMYFUNCTION("IF('From Order'!$A619=COLUMNS($A619:I638), LEFT(INDEX(FILTER(I$1:I618, I$1:I618&lt;&gt;""""),COUNTA(FILTER(I$1:I618, I$1:I618&lt;&gt;""""))), LEN(INDEX(FILTER(I$1:I618, I$1:I618&lt;&gt;""""),COUNTA(FILTER(I$1:I618, I$1:I618&lt;&gt;""""))))-1), IF('To Order'!$A619=COLUMNS($A619:I"&amp;"638), I618&amp;RIGHT(INDIRECT(ADDRESS(ROW(I619)-1, 'From Order'!$A619)), 1), I618))"),"DTWRDV")</f>
        <v>DTWRDV</v>
      </c>
    </row>
    <row r="620">
      <c r="A620" s="2" t="str">
        <f>IFERROR(__xludf.DUMMYFUNCTION("IF('From Order'!$A620=COLUMNS($A620:A639), LEFT(INDEX(FILTER(A$1:A619, A$1:A619&lt;&gt;""""),COUNTA(FILTER(A$1:A619, A$1:A619&lt;&gt;""""))), LEN(INDEX(FILTER(A$1:A619, A$1:A619&lt;&gt;""""),COUNTA(FILTER(A$1:A619, A$1:A619&lt;&gt;""""))))-1), IF('To Order'!$A620=COLUMNS($A620:A"&amp;"639), A619&amp;RIGHT(INDIRECT(ADDRESS(ROW(A620)-1, 'From Order'!$A620)), 1), A619))"),"")</f>
        <v/>
      </c>
      <c r="B620" s="2" t="str">
        <f>IFERROR(__xludf.DUMMYFUNCTION("IF('From Order'!$A620=COLUMNS($A620:B639), LEFT(INDEX(FILTER(B$1:B619, B$1:B619&lt;&gt;""""),COUNTA(FILTER(B$1:B619, B$1:B619&lt;&gt;""""))), LEN(INDEX(FILTER(B$1:B619, B$1:B619&lt;&gt;""""),COUNTA(FILTER(B$1:B619, B$1:B619&lt;&gt;""""))))-1), IF('To Order'!$A620=COLUMNS($A620:B"&amp;"639), B619&amp;RIGHT(INDIRECT(ADDRESS(ROW(B620)-1, 'From Order'!$A620)), 1), B619))"),"JZRVPVRZHMFBBFSLTDGSBL")</f>
        <v>JZRVPVRZHMFBBFSLTDGSBL</v>
      </c>
      <c r="C620" s="2" t="str">
        <f>IFERROR(__xludf.DUMMYFUNCTION("IF('From Order'!$A620=COLUMNS($A620:C639), LEFT(INDEX(FILTER(C$1:C619, C$1:C619&lt;&gt;""""),COUNTA(FILTER(C$1:C619, C$1:C619&lt;&gt;""""))), LEN(INDEX(FILTER(C$1:C619, C$1:C619&lt;&gt;""""),COUNTA(FILTER(C$1:C619, C$1:C619&lt;&gt;""""))))-1), IF('To Order'!$A620=COLUMNS($A620:C"&amp;"639), C619&amp;RIGHT(INDIRECT(ADDRESS(ROW(C620)-1, 'From Order'!$A620)), 1), C619))"),"")</f>
        <v/>
      </c>
      <c r="D620" s="2" t="str">
        <f>IFERROR(__xludf.DUMMYFUNCTION("IF('From Order'!$A620=COLUMNS($A620:D639), LEFT(INDEX(FILTER(D$1:D619, D$1:D619&lt;&gt;""""),COUNTA(FILTER(D$1:D619, D$1:D619&lt;&gt;""""))), LEN(INDEX(FILTER(D$1:D619, D$1:D619&lt;&gt;""""),COUNTA(FILTER(D$1:D619, D$1:D619&lt;&gt;""""))))-1), IF('To Order'!$A620=COLUMNS($A620:D"&amp;"639), D619&amp;RIGHT(INDIRECT(ADDRESS(ROW(D620)-1, 'From Order'!$A620)), 1), D619))"),"TMQ")</f>
        <v>TMQ</v>
      </c>
      <c r="E620" s="2" t="str">
        <f>IFERROR(__xludf.DUMMYFUNCTION("IF('From Order'!$A620=COLUMNS($A620:E639), LEFT(INDEX(FILTER(E$1:E619, E$1:E619&lt;&gt;""""),COUNTA(FILTER(E$1:E619, E$1:E619&lt;&gt;""""))), LEN(INDEX(FILTER(E$1:E619, E$1:E619&lt;&gt;""""),COUNTA(FILTER(E$1:E619, E$1:E619&lt;&gt;""""))))-1), IF('To Order'!$A620=COLUMNS($A620:E"&amp;"639), E619&amp;RIGHT(INDIRECT(ADDRESS(ROW(E620)-1, 'From Order'!$A620)), 1), E619))"),"CJ")</f>
        <v>CJ</v>
      </c>
      <c r="F620" s="2" t="str">
        <f>IFERROR(__xludf.DUMMYFUNCTION("IF('From Order'!$A620=COLUMNS($A620:F639), LEFT(INDEX(FILTER(F$1:F619, F$1:F619&lt;&gt;""""),COUNTA(FILTER(F$1:F619, F$1:F619&lt;&gt;""""))), LEN(INDEX(FILTER(F$1:F619, F$1:F619&lt;&gt;""""),COUNTA(FILTER(F$1:F619, F$1:F619&lt;&gt;""""))))-1), IF('To Order'!$A620=COLUMNS($A620:F"&amp;"639), F619&amp;RIGHT(INDIRECT(ADDRESS(ROW(F620)-1, 'From Order'!$A620)), 1), F619))"),"DTRLRQPDSSGHWPB")</f>
        <v>DTRLRQPDSSGHWPB</v>
      </c>
      <c r="G620" s="2" t="str">
        <f>IFERROR(__xludf.DUMMYFUNCTION("IF('From Order'!$A620=COLUMNS($A620:G639), LEFT(INDEX(FILTER(G$1:G619, G$1:G619&lt;&gt;""""),COUNTA(FILTER(G$1:G619, G$1:G619&lt;&gt;""""))), LEN(INDEX(FILTER(G$1:G619, G$1:G619&lt;&gt;""""),COUNTA(FILTER(G$1:G619, G$1:G619&lt;&gt;""""))))-1), IF('To Order'!$A620=COLUMNS($A620:G"&amp;"639), G619&amp;RIGHT(INDIRECT(ADDRESS(ROW(G620)-1, 'From Order'!$A620)), 1), G619))"),"")</f>
        <v/>
      </c>
      <c r="H620" s="2" t="str">
        <f>IFERROR(__xludf.DUMMYFUNCTION("IF('From Order'!$A620=COLUMNS($A620:H639), LEFT(INDEX(FILTER(H$1:H619, H$1:H619&lt;&gt;""""),COUNTA(FILTER(H$1:H619, H$1:H619&lt;&gt;""""))), LEN(INDEX(FILTER(H$1:H619, H$1:H619&lt;&gt;""""),COUNTA(FILTER(H$1:H619, H$1:H619&lt;&gt;""""))))-1), IF('To Order'!$A620=COLUMNS($A620:H"&amp;"639), H619&amp;RIGHT(INDIRECT(ADDRESS(ROW(H620)-1, 'From Order'!$A620)), 1), H619))"),"ZMDTCJT")</f>
        <v>ZMDTCJT</v>
      </c>
      <c r="I620" s="2" t="str">
        <f>IFERROR(__xludf.DUMMYFUNCTION("IF('From Order'!$A620=COLUMNS($A620:I639), LEFT(INDEX(FILTER(I$1:I619, I$1:I619&lt;&gt;""""),COUNTA(FILTER(I$1:I619, I$1:I619&lt;&gt;""""))), LEN(INDEX(FILTER(I$1:I619, I$1:I619&lt;&gt;""""),COUNTA(FILTER(I$1:I619, I$1:I619&lt;&gt;""""))))-1), IF('To Order'!$A620=COLUMNS($A620:I"&amp;"639), I619&amp;RIGHT(INDIRECT(ADDRESS(ROW(I620)-1, 'From Order'!$A620)), 1), I619))"),"DTWRDVC")</f>
        <v>DTWRDVC</v>
      </c>
    </row>
    <row r="621">
      <c r="A621" s="2" t="str">
        <f>IFERROR(__xludf.DUMMYFUNCTION("IF('From Order'!$A621=COLUMNS($A621:A640), LEFT(INDEX(FILTER(A$1:A620, A$1:A620&lt;&gt;""""),COUNTA(FILTER(A$1:A620, A$1:A620&lt;&gt;""""))), LEN(INDEX(FILTER(A$1:A620, A$1:A620&lt;&gt;""""),COUNTA(FILTER(A$1:A620, A$1:A620&lt;&gt;""""))))-1), IF('To Order'!$A621=COLUMNS($A621:A"&amp;"640), A620&amp;RIGHT(INDIRECT(ADDRESS(ROW(A621)-1, 'From Order'!$A621)), 1), A620))"),"")</f>
        <v/>
      </c>
      <c r="B621" s="2" t="str">
        <f>IFERROR(__xludf.DUMMYFUNCTION("IF('From Order'!$A621=COLUMNS($A621:B640), LEFT(INDEX(FILTER(B$1:B620, B$1:B620&lt;&gt;""""),COUNTA(FILTER(B$1:B620, B$1:B620&lt;&gt;""""))), LEN(INDEX(FILTER(B$1:B620, B$1:B620&lt;&gt;""""),COUNTA(FILTER(B$1:B620, B$1:B620&lt;&gt;""""))))-1), IF('To Order'!$A621=COLUMNS($A621:B"&amp;"640), B620&amp;RIGHT(INDIRECT(ADDRESS(ROW(B621)-1, 'From Order'!$A621)), 1), B620))"),"JZRVPVRZHMFBBFSLTDGSBL")</f>
        <v>JZRVPVRZHMFBBFSLTDGSBL</v>
      </c>
      <c r="C621" s="2" t="str">
        <f>IFERROR(__xludf.DUMMYFUNCTION("IF('From Order'!$A621=COLUMNS($A621:C640), LEFT(INDEX(FILTER(C$1:C620, C$1:C620&lt;&gt;""""),COUNTA(FILTER(C$1:C620, C$1:C620&lt;&gt;""""))), LEN(INDEX(FILTER(C$1:C620, C$1:C620&lt;&gt;""""),COUNTA(FILTER(C$1:C620, C$1:C620&lt;&gt;""""))))-1), IF('To Order'!$A621=COLUMNS($A621:C"&amp;"640), C620&amp;RIGHT(INDIRECT(ADDRESS(ROW(C621)-1, 'From Order'!$A621)), 1), C620))"),"")</f>
        <v/>
      </c>
      <c r="D621" s="2" t="str">
        <f>IFERROR(__xludf.DUMMYFUNCTION("IF('From Order'!$A621=COLUMNS($A621:D640), LEFT(INDEX(FILTER(D$1:D620, D$1:D620&lt;&gt;""""),COUNTA(FILTER(D$1:D620, D$1:D620&lt;&gt;""""))), LEN(INDEX(FILTER(D$1:D620, D$1:D620&lt;&gt;""""),COUNTA(FILTER(D$1:D620, D$1:D620&lt;&gt;""""))))-1), IF('To Order'!$A621=COLUMNS($A621:D"&amp;"640), D620&amp;RIGHT(INDIRECT(ADDRESS(ROW(D621)-1, 'From Order'!$A621)), 1), D620))"),"TMQ")</f>
        <v>TMQ</v>
      </c>
      <c r="E621" s="2" t="str">
        <f>IFERROR(__xludf.DUMMYFUNCTION("IF('From Order'!$A621=COLUMNS($A621:E640), LEFT(INDEX(FILTER(E$1:E620, E$1:E620&lt;&gt;""""),COUNTA(FILTER(E$1:E620, E$1:E620&lt;&gt;""""))), LEN(INDEX(FILTER(E$1:E620, E$1:E620&lt;&gt;""""),COUNTA(FILTER(E$1:E620, E$1:E620&lt;&gt;""""))))-1), IF('To Order'!$A621=COLUMNS($A621:E"&amp;"640), E620&amp;RIGHT(INDIRECT(ADDRESS(ROW(E621)-1, 'From Order'!$A621)), 1), E620))"),"CJ")</f>
        <v>CJ</v>
      </c>
      <c r="F621" s="2" t="str">
        <f>IFERROR(__xludf.DUMMYFUNCTION("IF('From Order'!$A621=COLUMNS($A621:F640), LEFT(INDEX(FILTER(F$1:F620, F$1:F620&lt;&gt;""""),COUNTA(FILTER(F$1:F620, F$1:F620&lt;&gt;""""))), LEN(INDEX(FILTER(F$1:F620, F$1:F620&lt;&gt;""""),COUNTA(FILTER(F$1:F620, F$1:F620&lt;&gt;""""))))-1), IF('To Order'!$A621=COLUMNS($A621:F"&amp;"640), F620&amp;RIGHT(INDIRECT(ADDRESS(ROW(F621)-1, 'From Order'!$A621)), 1), F620))"),"DTRLRQPDSSGHWP")</f>
        <v>DTRLRQPDSSGHWP</v>
      </c>
      <c r="G621" s="2" t="str">
        <f>IFERROR(__xludf.DUMMYFUNCTION("IF('From Order'!$A621=COLUMNS($A621:G640), LEFT(INDEX(FILTER(G$1:G620, G$1:G620&lt;&gt;""""),COUNTA(FILTER(G$1:G620, G$1:G620&lt;&gt;""""))), LEN(INDEX(FILTER(G$1:G620, G$1:G620&lt;&gt;""""),COUNTA(FILTER(G$1:G620, G$1:G620&lt;&gt;""""))))-1), IF('To Order'!$A621=COLUMNS($A621:G"&amp;"640), G620&amp;RIGHT(INDIRECT(ADDRESS(ROW(G621)-1, 'From Order'!$A621)), 1), G620))"),"")</f>
        <v/>
      </c>
      <c r="H621" s="2" t="str">
        <f>IFERROR(__xludf.DUMMYFUNCTION("IF('From Order'!$A621=COLUMNS($A621:H640), LEFT(INDEX(FILTER(H$1:H620, H$1:H620&lt;&gt;""""),COUNTA(FILTER(H$1:H620, H$1:H620&lt;&gt;""""))), LEN(INDEX(FILTER(H$1:H620, H$1:H620&lt;&gt;""""),COUNTA(FILTER(H$1:H620, H$1:H620&lt;&gt;""""))))-1), IF('To Order'!$A621=COLUMNS($A621:H"&amp;"640), H620&amp;RIGHT(INDIRECT(ADDRESS(ROW(H621)-1, 'From Order'!$A621)), 1), H620))"),"ZMDTCJT")</f>
        <v>ZMDTCJT</v>
      </c>
      <c r="I621" s="2" t="str">
        <f>IFERROR(__xludf.DUMMYFUNCTION("IF('From Order'!$A621=COLUMNS($A621:I640), LEFT(INDEX(FILTER(I$1:I620, I$1:I620&lt;&gt;""""),COUNTA(FILTER(I$1:I620, I$1:I620&lt;&gt;""""))), LEN(INDEX(FILTER(I$1:I620, I$1:I620&lt;&gt;""""),COUNTA(FILTER(I$1:I620, I$1:I620&lt;&gt;""""))))-1), IF('To Order'!$A621=COLUMNS($A621:I"&amp;"640), I620&amp;RIGHT(INDIRECT(ADDRESS(ROW(I621)-1, 'From Order'!$A621)), 1), I620))"),"DTWRDVCB")</f>
        <v>DTWRDVCB</v>
      </c>
    </row>
    <row r="622">
      <c r="A622" s="2" t="str">
        <f>IFERROR(__xludf.DUMMYFUNCTION("IF('From Order'!$A622=COLUMNS($A622:A641), LEFT(INDEX(FILTER(A$1:A621, A$1:A621&lt;&gt;""""),COUNTA(FILTER(A$1:A621, A$1:A621&lt;&gt;""""))), LEN(INDEX(FILTER(A$1:A621, A$1:A621&lt;&gt;""""),COUNTA(FILTER(A$1:A621, A$1:A621&lt;&gt;""""))))-1), IF('To Order'!$A622=COLUMNS($A622:A"&amp;"641), A621&amp;RIGHT(INDIRECT(ADDRESS(ROW(A622)-1, 'From Order'!$A622)), 1), A621))"),"")</f>
        <v/>
      </c>
      <c r="B622" s="2" t="str">
        <f>IFERROR(__xludf.DUMMYFUNCTION("IF('From Order'!$A622=COLUMNS($A622:B641), LEFT(INDEX(FILTER(B$1:B621, B$1:B621&lt;&gt;""""),COUNTA(FILTER(B$1:B621, B$1:B621&lt;&gt;""""))), LEN(INDEX(FILTER(B$1:B621, B$1:B621&lt;&gt;""""),COUNTA(FILTER(B$1:B621, B$1:B621&lt;&gt;""""))))-1), IF('To Order'!$A622=COLUMNS($A622:B"&amp;"641), B621&amp;RIGHT(INDIRECT(ADDRESS(ROW(B622)-1, 'From Order'!$A622)), 1), B621))"),"JZRVPVRZHMFBBFSLTDGSBL")</f>
        <v>JZRVPVRZHMFBBFSLTDGSBL</v>
      </c>
      <c r="C622" s="2" t="str">
        <f>IFERROR(__xludf.DUMMYFUNCTION("IF('From Order'!$A622=COLUMNS($A622:C641), LEFT(INDEX(FILTER(C$1:C621, C$1:C621&lt;&gt;""""),COUNTA(FILTER(C$1:C621, C$1:C621&lt;&gt;""""))), LEN(INDEX(FILTER(C$1:C621, C$1:C621&lt;&gt;""""),COUNTA(FILTER(C$1:C621, C$1:C621&lt;&gt;""""))))-1), IF('To Order'!$A622=COLUMNS($A622:C"&amp;"641), C621&amp;RIGHT(INDIRECT(ADDRESS(ROW(C622)-1, 'From Order'!$A622)), 1), C621))"),"")</f>
        <v/>
      </c>
      <c r="D622" s="2" t="str">
        <f>IFERROR(__xludf.DUMMYFUNCTION("IF('From Order'!$A622=COLUMNS($A622:D641), LEFT(INDEX(FILTER(D$1:D621, D$1:D621&lt;&gt;""""),COUNTA(FILTER(D$1:D621, D$1:D621&lt;&gt;""""))), LEN(INDEX(FILTER(D$1:D621, D$1:D621&lt;&gt;""""),COUNTA(FILTER(D$1:D621, D$1:D621&lt;&gt;""""))))-1), IF('To Order'!$A622=COLUMNS($A622:D"&amp;"641), D621&amp;RIGHT(INDIRECT(ADDRESS(ROW(D622)-1, 'From Order'!$A622)), 1), D621))"),"TMQ")</f>
        <v>TMQ</v>
      </c>
      <c r="E622" s="2" t="str">
        <f>IFERROR(__xludf.DUMMYFUNCTION("IF('From Order'!$A622=COLUMNS($A622:E641), LEFT(INDEX(FILTER(E$1:E621, E$1:E621&lt;&gt;""""),COUNTA(FILTER(E$1:E621, E$1:E621&lt;&gt;""""))), LEN(INDEX(FILTER(E$1:E621, E$1:E621&lt;&gt;""""),COUNTA(FILTER(E$1:E621, E$1:E621&lt;&gt;""""))))-1), IF('To Order'!$A622=COLUMNS($A622:E"&amp;"641), E621&amp;RIGHT(INDIRECT(ADDRESS(ROW(E622)-1, 'From Order'!$A622)), 1), E621))"),"CJ")</f>
        <v>CJ</v>
      </c>
      <c r="F622" s="2" t="str">
        <f>IFERROR(__xludf.DUMMYFUNCTION("IF('From Order'!$A622=COLUMNS($A622:F641), LEFT(INDEX(FILTER(F$1:F621, F$1:F621&lt;&gt;""""),COUNTA(FILTER(F$1:F621, F$1:F621&lt;&gt;""""))), LEN(INDEX(FILTER(F$1:F621, F$1:F621&lt;&gt;""""),COUNTA(FILTER(F$1:F621, F$1:F621&lt;&gt;""""))))-1), IF('To Order'!$A622=COLUMNS($A622:F"&amp;"641), F621&amp;RIGHT(INDIRECT(ADDRESS(ROW(F622)-1, 'From Order'!$A622)), 1), F621))"),"DTRLRQPDSSGHW")</f>
        <v>DTRLRQPDSSGHW</v>
      </c>
      <c r="G622" s="2" t="str">
        <f>IFERROR(__xludf.DUMMYFUNCTION("IF('From Order'!$A622=COLUMNS($A622:G641), LEFT(INDEX(FILTER(G$1:G621, G$1:G621&lt;&gt;""""),COUNTA(FILTER(G$1:G621, G$1:G621&lt;&gt;""""))), LEN(INDEX(FILTER(G$1:G621, G$1:G621&lt;&gt;""""),COUNTA(FILTER(G$1:G621, G$1:G621&lt;&gt;""""))))-1), IF('To Order'!$A622=COLUMNS($A622:G"&amp;"641), G621&amp;RIGHT(INDIRECT(ADDRESS(ROW(G622)-1, 'From Order'!$A622)), 1), G621))"),"")</f>
        <v/>
      </c>
      <c r="H622" s="2" t="str">
        <f>IFERROR(__xludf.DUMMYFUNCTION("IF('From Order'!$A622=COLUMNS($A622:H641), LEFT(INDEX(FILTER(H$1:H621, H$1:H621&lt;&gt;""""),COUNTA(FILTER(H$1:H621, H$1:H621&lt;&gt;""""))), LEN(INDEX(FILTER(H$1:H621, H$1:H621&lt;&gt;""""),COUNTA(FILTER(H$1:H621, H$1:H621&lt;&gt;""""))))-1), IF('To Order'!$A622=COLUMNS($A622:H"&amp;"641), H621&amp;RIGHT(INDIRECT(ADDRESS(ROW(H622)-1, 'From Order'!$A622)), 1), H621))"),"ZMDTCJT")</f>
        <v>ZMDTCJT</v>
      </c>
      <c r="I622" s="2" t="str">
        <f>IFERROR(__xludf.DUMMYFUNCTION("IF('From Order'!$A622=COLUMNS($A622:I641), LEFT(INDEX(FILTER(I$1:I621, I$1:I621&lt;&gt;""""),COUNTA(FILTER(I$1:I621, I$1:I621&lt;&gt;""""))), LEN(INDEX(FILTER(I$1:I621, I$1:I621&lt;&gt;""""),COUNTA(FILTER(I$1:I621, I$1:I621&lt;&gt;""""))))-1), IF('To Order'!$A622=COLUMNS($A622:I"&amp;"641), I621&amp;RIGHT(INDIRECT(ADDRESS(ROW(I622)-1, 'From Order'!$A622)), 1), I621))"),"DTWRDVCBP")</f>
        <v>DTWRDVCBP</v>
      </c>
    </row>
    <row r="623">
      <c r="A623" s="2" t="str">
        <f>IFERROR(__xludf.DUMMYFUNCTION("IF('From Order'!$A623=COLUMNS($A623:A642), LEFT(INDEX(FILTER(A$1:A622, A$1:A622&lt;&gt;""""),COUNTA(FILTER(A$1:A622, A$1:A622&lt;&gt;""""))), LEN(INDEX(FILTER(A$1:A622, A$1:A622&lt;&gt;""""),COUNTA(FILTER(A$1:A622, A$1:A622&lt;&gt;""""))))-1), IF('To Order'!$A623=COLUMNS($A623:A"&amp;"642), A622&amp;RIGHT(INDIRECT(ADDRESS(ROW(A623)-1, 'From Order'!$A623)), 1), A622))"),"")</f>
        <v/>
      </c>
      <c r="B623" s="2" t="str">
        <f>IFERROR(__xludf.DUMMYFUNCTION("IF('From Order'!$A623=COLUMNS($A623:B642), LEFT(INDEX(FILTER(B$1:B622, B$1:B622&lt;&gt;""""),COUNTA(FILTER(B$1:B622, B$1:B622&lt;&gt;""""))), LEN(INDEX(FILTER(B$1:B622, B$1:B622&lt;&gt;""""),COUNTA(FILTER(B$1:B622, B$1:B622&lt;&gt;""""))))-1), IF('To Order'!$A623=COLUMNS($A623:B"&amp;"642), B622&amp;RIGHT(INDIRECT(ADDRESS(ROW(B623)-1, 'From Order'!$A623)), 1), B622))"),"JZRVPVRZHMFBBFSLTDGSBL")</f>
        <v>JZRVPVRZHMFBBFSLTDGSBL</v>
      </c>
      <c r="C623" s="2" t="str">
        <f>IFERROR(__xludf.DUMMYFUNCTION("IF('From Order'!$A623=COLUMNS($A623:C642), LEFT(INDEX(FILTER(C$1:C622, C$1:C622&lt;&gt;""""),COUNTA(FILTER(C$1:C622, C$1:C622&lt;&gt;""""))), LEN(INDEX(FILTER(C$1:C622, C$1:C622&lt;&gt;""""),COUNTA(FILTER(C$1:C622, C$1:C622&lt;&gt;""""))))-1), IF('To Order'!$A623=COLUMNS($A623:C"&amp;"642), C622&amp;RIGHT(INDIRECT(ADDRESS(ROW(C623)-1, 'From Order'!$A623)), 1), C622))"),"")</f>
        <v/>
      </c>
      <c r="D623" s="2" t="str">
        <f>IFERROR(__xludf.DUMMYFUNCTION("IF('From Order'!$A623=COLUMNS($A623:D642), LEFT(INDEX(FILTER(D$1:D622, D$1:D622&lt;&gt;""""),COUNTA(FILTER(D$1:D622, D$1:D622&lt;&gt;""""))), LEN(INDEX(FILTER(D$1:D622, D$1:D622&lt;&gt;""""),COUNTA(FILTER(D$1:D622, D$1:D622&lt;&gt;""""))))-1), IF('To Order'!$A623=COLUMNS($A623:D"&amp;"642), D622&amp;RIGHT(INDIRECT(ADDRESS(ROW(D623)-1, 'From Order'!$A623)), 1), D622))"),"TMQ")</f>
        <v>TMQ</v>
      </c>
      <c r="E623" s="2" t="str">
        <f>IFERROR(__xludf.DUMMYFUNCTION("IF('From Order'!$A623=COLUMNS($A623:E642), LEFT(INDEX(FILTER(E$1:E622, E$1:E622&lt;&gt;""""),COUNTA(FILTER(E$1:E622, E$1:E622&lt;&gt;""""))), LEN(INDEX(FILTER(E$1:E622, E$1:E622&lt;&gt;""""),COUNTA(FILTER(E$1:E622, E$1:E622&lt;&gt;""""))))-1), IF('To Order'!$A623=COLUMNS($A623:E"&amp;"642), E622&amp;RIGHT(INDIRECT(ADDRESS(ROW(E623)-1, 'From Order'!$A623)), 1), E622))"),"CJ")</f>
        <v>CJ</v>
      </c>
      <c r="F623" s="2" t="str">
        <f>IFERROR(__xludf.DUMMYFUNCTION("IF('From Order'!$A623=COLUMNS($A623:F642), LEFT(INDEX(FILTER(F$1:F622, F$1:F622&lt;&gt;""""),COUNTA(FILTER(F$1:F622, F$1:F622&lt;&gt;""""))), LEN(INDEX(FILTER(F$1:F622, F$1:F622&lt;&gt;""""),COUNTA(FILTER(F$1:F622, F$1:F622&lt;&gt;""""))))-1), IF('To Order'!$A623=COLUMNS($A623:F"&amp;"642), F622&amp;RIGHT(INDIRECT(ADDRESS(ROW(F623)-1, 'From Order'!$A623)), 1), F622))"),"DTRLRQPDSSGH")</f>
        <v>DTRLRQPDSSGH</v>
      </c>
      <c r="G623" s="2" t="str">
        <f>IFERROR(__xludf.DUMMYFUNCTION("IF('From Order'!$A623=COLUMNS($A623:G642), LEFT(INDEX(FILTER(G$1:G622, G$1:G622&lt;&gt;""""),COUNTA(FILTER(G$1:G622, G$1:G622&lt;&gt;""""))), LEN(INDEX(FILTER(G$1:G622, G$1:G622&lt;&gt;""""),COUNTA(FILTER(G$1:G622, G$1:G622&lt;&gt;""""))))-1), IF('To Order'!$A623=COLUMNS($A623:G"&amp;"642), G622&amp;RIGHT(INDIRECT(ADDRESS(ROW(G623)-1, 'From Order'!$A623)), 1), G622))"),"")</f>
        <v/>
      </c>
      <c r="H623" s="2" t="str">
        <f>IFERROR(__xludf.DUMMYFUNCTION("IF('From Order'!$A623=COLUMNS($A623:H642), LEFT(INDEX(FILTER(H$1:H622, H$1:H622&lt;&gt;""""),COUNTA(FILTER(H$1:H622, H$1:H622&lt;&gt;""""))), LEN(INDEX(FILTER(H$1:H622, H$1:H622&lt;&gt;""""),COUNTA(FILTER(H$1:H622, H$1:H622&lt;&gt;""""))))-1), IF('To Order'!$A623=COLUMNS($A623:H"&amp;"642), H622&amp;RIGHT(INDIRECT(ADDRESS(ROW(H623)-1, 'From Order'!$A623)), 1), H622))"),"ZMDTCJT")</f>
        <v>ZMDTCJT</v>
      </c>
      <c r="I623" s="2" t="str">
        <f>IFERROR(__xludf.DUMMYFUNCTION("IF('From Order'!$A623=COLUMNS($A623:I642), LEFT(INDEX(FILTER(I$1:I622, I$1:I622&lt;&gt;""""),COUNTA(FILTER(I$1:I622, I$1:I622&lt;&gt;""""))), LEN(INDEX(FILTER(I$1:I622, I$1:I622&lt;&gt;""""),COUNTA(FILTER(I$1:I622, I$1:I622&lt;&gt;""""))))-1), IF('To Order'!$A623=COLUMNS($A623:I"&amp;"642), I622&amp;RIGHT(INDIRECT(ADDRESS(ROW(I623)-1, 'From Order'!$A623)), 1), I622))"),"DTWRDVCBPW")</f>
        <v>DTWRDVCBPW</v>
      </c>
    </row>
    <row r="624">
      <c r="A624" s="2" t="str">
        <f>IFERROR(__xludf.DUMMYFUNCTION("IF('From Order'!$A624=COLUMNS($A624:A643), LEFT(INDEX(FILTER(A$1:A623, A$1:A623&lt;&gt;""""),COUNTA(FILTER(A$1:A623, A$1:A623&lt;&gt;""""))), LEN(INDEX(FILTER(A$1:A623, A$1:A623&lt;&gt;""""),COUNTA(FILTER(A$1:A623, A$1:A623&lt;&gt;""""))))-1), IF('To Order'!$A624=COLUMNS($A624:A"&amp;"643), A623&amp;RIGHT(INDIRECT(ADDRESS(ROW(A624)-1, 'From Order'!$A624)), 1), A623))"),"")</f>
        <v/>
      </c>
      <c r="B624" s="2" t="str">
        <f>IFERROR(__xludf.DUMMYFUNCTION("IF('From Order'!$A624=COLUMNS($A624:B643), LEFT(INDEX(FILTER(B$1:B623, B$1:B623&lt;&gt;""""),COUNTA(FILTER(B$1:B623, B$1:B623&lt;&gt;""""))), LEN(INDEX(FILTER(B$1:B623, B$1:B623&lt;&gt;""""),COUNTA(FILTER(B$1:B623, B$1:B623&lt;&gt;""""))))-1), IF('To Order'!$A624=COLUMNS($A624:B"&amp;"643), B623&amp;RIGHT(INDIRECT(ADDRESS(ROW(B624)-1, 'From Order'!$A624)), 1), B623))"),"JZRVPVRZHMFBBFSLTDGSBL")</f>
        <v>JZRVPVRZHMFBBFSLTDGSBL</v>
      </c>
      <c r="C624" s="2" t="str">
        <f>IFERROR(__xludf.DUMMYFUNCTION("IF('From Order'!$A624=COLUMNS($A624:C643), LEFT(INDEX(FILTER(C$1:C623, C$1:C623&lt;&gt;""""),COUNTA(FILTER(C$1:C623, C$1:C623&lt;&gt;""""))), LEN(INDEX(FILTER(C$1:C623, C$1:C623&lt;&gt;""""),COUNTA(FILTER(C$1:C623, C$1:C623&lt;&gt;""""))))-1), IF('To Order'!$A624=COLUMNS($A624:C"&amp;"643), C623&amp;RIGHT(INDIRECT(ADDRESS(ROW(C624)-1, 'From Order'!$A624)), 1), C623))"),"")</f>
        <v/>
      </c>
      <c r="D624" s="2" t="str">
        <f>IFERROR(__xludf.DUMMYFUNCTION("IF('From Order'!$A624=COLUMNS($A624:D643), LEFT(INDEX(FILTER(D$1:D623, D$1:D623&lt;&gt;""""),COUNTA(FILTER(D$1:D623, D$1:D623&lt;&gt;""""))), LEN(INDEX(FILTER(D$1:D623, D$1:D623&lt;&gt;""""),COUNTA(FILTER(D$1:D623, D$1:D623&lt;&gt;""""))))-1), IF('To Order'!$A624=COLUMNS($A624:D"&amp;"643), D623&amp;RIGHT(INDIRECT(ADDRESS(ROW(D624)-1, 'From Order'!$A624)), 1), D623))"),"TMQ")</f>
        <v>TMQ</v>
      </c>
      <c r="E624" s="2" t="str">
        <f>IFERROR(__xludf.DUMMYFUNCTION("IF('From Order'!$A624=COLUMNS($A624:E643), LEFT(INDEX(FILTER(E$1:E623, E$1:E623&lt;&gt;""""),COUNTA(FILTER(E$1:E623, E$1:E623&lt;&gt;""""))), LEN(INDEX(FILTER(E$1:E623, E$1:E623&lt;&gt;""""),COUNTA(FILTER(E$1:E623, E$1:E623&lt;&gt;""""))))-1), IF('To Order'!$A624=COLUMNS($A624:E"&amp;"643), E623&amp;RIGHT(INDIRECT(ADDRESS(ROW(E624)-1, 'From Order'!$A624)), 1), E623))"),"CJ")</f>
        <v>CJ</v>
      </c>
      <c r="F624" s="2" t="str">
        <f>IFERROR(__xludf.DUMMYFUNCTION("IF('From Order'!$A624=COLUMNS($A624:F643), LEFT(INDEX(FILTER(F$1:F623, F$1:F623&lt;&gt;""""),COUNTA(FILTER(F$1:F623, F$1:F623&lt;&gt;""""))), LEN(INDEX(FILTER(F$1:F623, F$1:F623&lt;&gt;""""),COUNTA(FILTER(F$1:F623, F$1:F623&lt;&gt;""""))))-1), IF('To Order'!$A624=COLUMNS($A624:F"&amp;"643), F623&amp;RIGHT(INDIRECT(ADDRESS(ROW(F624)-1, 'From Order'!$A624)), 1), F623))"),"DTRLRQPDSSG")</f>
        <v>DTRLRQPDSSG</v>
      </c>
      <c r="G624" s="2" t="str">
        <f>IFERROR(__xludf.DUMMYFUNCTION("IF('From Order'!$A624=COLUMNS($A624:G643), LEFT(INDEX(FILTER(G$1:G623, G$1:G623&lt;&gt;""""),COUNTA(FILTER(G$1:G623, G$1:G623&lt;&gt;""""))), LEN(INDEX(FILTER(G$1:G623, G$1:G623&lt;&gt;""""),COUNTA(FILTER(G$1:G623, G$1:G623&lt;&gt;""""))))-1), IF('To Order'!$A624=COLUMNS($A624:G"&amp;"643), G623&amp;RIGHT(INDIRECT(ADDRESS(ROW(G624)-1, 'From Order'!$A624)), 1), G623))"),"")</f>
        <v/>
      </c>
      <c r="H624" s="2" t="str">
        <f>IFERROR(__xludf.DUMMYFUNCTION("IF('From Order'!$A624=COLUMNS($A624:H643), LEFT(INDEX(FILTER(H$1:H623, H$1:H623&lt;&gt;""""),COUNTA(FILTER(H$1:H623, H$1:H623&lt;&gt;""""))), LEN(INDEX(FILTER(H$1:H623, H$1:H623&lt;&gt;""""),COUNTA(FILTER(H$1:H623, H$1:H623&lt;&gt;""""))))-1), IF('To Order'!$A624=COLUMNS($A624:H"&amp;"643), H623&amp;RIGHT(INDIRECT(ADDRESS(ROW(H624)-1, 'From Order'!$A624)), 1), H623))"),"ZMDTCJT")</f>
        <v>ZMDTCJT</v>
      </c>
      <c r="I624" s="2" t="str">
        <f>IFERROR(__xludf.DUMMYFUNCTION("IF('From Order'!$A624=COLUMNS($A624:I643), LEFT(INDEX(FILTER(I$1:I623, I$1:I623&lt;&gt;""""),COUNTA(FILTER(I$1:I623, I$1:I623&lt;&gt;""""))), LEN(INDEX(FILTER(I$1:I623, I$1:I623&lt;&gt;""""),COUNTA(FILTER(I$1:I623, I$1:I623&lt;&gt;""""))))-1), IF('To Order'!$A624=COLUMNS($A624:I"&amp;"643), I623&amp;RIGHT(INDIRECT(ADDRESS(ROW(I624)-1, 'From Order'!$A624)), 1), I623))"),"DTWRDVCBPWH")</f>
        <v>DTWRDVCBPWH</v>
      </c>
    </row>
    <row r="625">
      <c r="A625" s="2" t="str">
        <f>IFERROR(__xludf.DUMMYFUNCTION("IF('From Order'!$A625=COLUMNS($A625:A644), LEFT(INDEX(FILTER(A$1:A624, A$1:A624&lt;&gt;""""),COUNTA(FILTER(A$1:A624, A$1:A624&lt;&gt;""""))), LEN(INDEX(FILTER(A$1:A624, A$1:A624&lt;&gt;""""),COUNTA(FILTER(A$1:A624, A$1:A624&lt;&gt;""""))))-1), IF('To Order'!$A625=COLUMNS($A625:A"&amp;"644), A624&amp;RIGHT(INDIRECT(ADDRESS(ROW(A625)-1, 'From Order'!$A625)), 1), A624))"),"")</f>
        <v/>
      </c>
      <c r="B625" s="2" t="str">
        <f>IFERROR(__xludf.DUMMYFUNCTION("IF('From Order'!$A625=COLUMNS($A625:B644), LEFT(INDEX(FILTER(B$1:B624, B$1:B624&lt;&gt;""""),COUNTA(FILTER(B$1:B624, B$1:B624&lt;&gt;""""))), LEN(INDEX(FILTER(B$1:B624, B$1:B624&lt;&gt;""""),COUNTA(FILTER(B$1:B624, B$1:B624&lt;&gt;""""))))-1), IF('To Order'!$A625=COLUMNS($A625:B"&amp;"644), B624&amp;RIGHT(INDIRECT(ADDRESS(ROW(B625)-1, 'From Order'!$A625)), 1), B624))"),"JZRVPVRZHMFBBFSLTDGSBL")</f>
        <v>JZRVPVRZHMFBBFSLTDGSBL</v>
      </c>
      <c r="C625" s="2" t="str">
        <f>IFERROR(__xludf.DUMMYFUNCTION("IF('From Order'!$A625=COLUMNS($A625:C644), LEFT(INDEX(FILTER(C$1:C624, C$1:C624&lt;&gt;""""),COUNTA(FILTER(C$1:C624, C$1:C624&lt;&gt;""""))), LEN(INDEX(FILTER(C$1:C624, C$1:C624&lt;&gt;""""),COUNTA(FILTER(C$1:C624, C$1:C624&lt;&gt;""""))))-1), IF('To Order'!$A625=COLUMNS($A625:C"&amp;"644), C624&amp;RIGHT(INDIRECT(ADDRESS(ROW(C625)-1, 'From Order'!$A625)), 1), C624))"),"")</f>
        <v/>
      </c>
      <c r="D625" s="2" t="str">
        <f>IFERROR(__xludf.DUMMYFUNCTION("IF('From Order'!$A625=COLUMNS($A625:D644), LEFT(INDEX(FILTER(D$1:D624, D$1:D624&lt;&gt;""""),COUNTA(FILTER(D$1:D624, D$1:D624&lt;&gt;""""))), LEN(INDEX(FILTER(D$1:D624, D$1:D624&lt;&gt;""""),COUNTA(FILTER(D$1:D624, D$1:D624&lt;&gt;""""))))-1), IF('To Order'!$A625=COLUMNS($A625:D"&amp;"644), D624&amp;RIGHT(INDIRECT(ADDRESS(ROW(D625)-1, 'From Order'!$A625)), 1), D624))"),"TMQ")</f>
        <v>TMQ</v>
      </c>
      <c r="E625" s="2" t="str">
        <f>IFERROR(__xludf.DUMMYFUNCTION("IF('From Order'!$A625=COLUMNS($A625:E644), LEFT(INDEX(FILTER(E$1:E624, E$1:E624&lt;&gt;""""),COUNTA(FILTER(E$1:E624, E$1:E624&lt;&gt;""""))), LEN(INDEX(FILTER(E$1:E624, E$1:E624&lt;&gt;""""),COUNTA(FILTER(E$1:E624, E$1:E624&lt;&gt;""""))))-1), IF('To Order'!$A625=COLUMNS($A625:E"&amp;"644), E624&amp;RIGHT(INDIRECT(ADDRESS(ROW(E625)-1, 'From Order'!$A625)), 1), E624))"),"CJ")</f>
        <v>CJ</v>
      </c>
      <c r="F625" s="2" t="str">
        <f>IFERROR(__xludf.DUMMYFUNCTION("IF('From Order'!$A625=COLUMNS($A625:F644), LEFT(INDEX(FILTER(F$1:F624, F$1:F624&lt;&gt;""""),COUNTA(FILTER(F$1:F624, F$1:F624&lt;&gt;""""))), LEN(INDEX(FILTER(F$1:F624, F$1:F624&lt;&gt;""""),COUNTA(FILTER(F$1:F624, F$1:F624&lt;&gt;""""))))-1), IF('To Order'!$A625=COLUMNS($A625:F"&amp;"644), F624&amp;RIGHT(INDIRECT(ADDRESS(ROW(F625)-1, 'From Order'!$A625)), 1), F624))"),"DTRLRQPDSS")</f>
        <v>DTRLRQPDSS</v>
      </c>
      <c r="G625" s="2" t="str">
        <f>IFERROR(__xludf.DUMMYFUNCTION("IF('From Order'!$A625=COLUMNS($A625:G644), LEFT(INDEX(FILTER(G$1:G624, G$1:G624&lt;&gt;""""),COUNTA(FILTER(G$1:G624, G$1:G624&lt;&gt;""""))), LEN(INDEX(FILTER(G$1:G624, G$1:G624&lt;&gt;""""),COUNTA(FILTER(G$1:G624, G$1:G624&lt;&gt;""""))))-1), IF('To Order'!$A625=COLUMNS($A625:G"&amp;"644), G624&amp;RIGHT(INDIRECT(ADDRESS(ROW(G625)-1, 'From Order'!$A625)), 1), G624))"),"")</f>
        <v/>
      </c>
      <c r="H625" s="2" t="str">
        <f>IFERROR(__xludf.DUMMYFUNCTION("IF('From Order'!$A625=COLUMNS($A625:H644), LEFT(INDEX(FILTER(H$1:H624, H$1:H624&lt;&gt;""""),COUNTA(FILTER(H$1:H624, H$1:H624&lt;&gt;""""))), LEN(INDEX(FILTER(H$1:H624, H$1:H624&lt;&gt;""""),COUNTA(FILTER(H$1:H624, H$1:H624&lt;&gt;""""))))-1), IF('To Order'!$A625=COLUMNS($A625:H"&amp;"644), H624&amp;RIGHT(INDIRECT(ADDRESS(ROW(H625)-1, 'From Order'!$A625)), 1), H624))"),"ZMDTCJT")</f>
        <v>ZMDTCJT</v>
      </c>
      <c r="I625" s="2" t="str">
        <f>IFERROR(__xludf.DUMMYFUNCTION("IF('From Order'!$A625=COLUMNS($A625:I644), LEFT(INDEX(FILTER(I$1:I624, I$1:I624&lt;&gt;""""),COUNTA(FILTER(I$1:I624, I$1:I624&lt;&gt;""""))), LEN(INDEX(FILTER(I$1:I624, I$1:I624&lt;&gt;""""),COUNTA(FILTER(I$1:I624, I$1:I624&lt;&gt;""""))))-1), IF('To Order'!$A625=COLUMNS($A625:I"&amp;"644), I624&amp;RIGHT(INDIRECT(ADDRESS(ROW(I625)-1, 'From Order'!$A625)), 1), I624))"),"DTWRDVCBPWHG")</f>
        <v>DTWRDVCBPWHG</v>
      </c>
    </row>
    <row r="626">
      <c r="A626" s="2" t="str">
        <f>IFERROR(__xludf.DUMMYFUNCTION("IF('From Order'!$A626=COLUMNS($A626:A645), LEFT(INDEX(FILTER(A$1:A625, A$1:A625&lt;&gt;""""),COUNTA(FILTER(A$1:A625, A$1:A625&lt;&gt;""""))), LEN(INDEX(FILTER(A$1:A625, A$1:A625&lt;&gt;""""),COUNTA(FILTER(A$1:A625, A$1:A625&lt;&gt;""""))))-1), IF('To Order'!$A626=COLUMNS($A626:A"&amp;"645), A625&amp;RIGHT(INDIRECT(ADDRESS(ROW(A626)-1, 'From Order'!$A626)), 1), A625))"),"")</f>
        <v/>
      </c>
      <c r="B626" s="2" t="str">
        <f>IFERROR(__xludf.DUMMYFUNCTION("IF('From Order'!$A626=COLUMNS($A626:B645), LEFT(INDEX(FILTER(B$1:B625, B$1:B625&lt;&gt;""""),COUNTA(FILTER(B$1:B625, B$1:B625&lt;&gt;""""))), LEN(INDEX(FILTER(B$1:B625, B$1:B625&lt;&gt;""""),COUNTA(FILTER(B$1:B625, B$1:B625&lt;&gt;""""))))-1), IF('To Order'!$A626=COLUMNS($A626:B"&amp;"645), B625&amp;RIGHT(INDIRECT(ADDRESS(ROW(B626)-1, 'From Order'!$A626)), 1), B625))"),"JZRVPVRZHMFBBFSLTDGSBL")</f>
        <v>JZRVPVRZHMFBBFSLTDGSBL</v>
      </c>
      <c r="C626" s="2" t="str">
        <f>IFERROR(__xludf.DUMMYFUNCTION("IF('From Order'!$A626=COLUMNS($A626:C645), LEFT(INDEX(FILTER(C$1:C625, C$1:C625&lt;&gt;""""),COUNTA(FILTER(C$1:C625, C$1:C625&lt;&gt;""""))), LEN(INDEX(FILTER(C$1:C625, C$1:C625&lt;&gt;""""),COUNTA(FILTER(C$1:C625, C$1:C625&lt;&gt;""""))))-1), IF('To Order'!$A626=COLUMNS($A626:C"&amp;"645), C625&amp;RIGHT(INDIRECT(ADDRESS(ROW(C626)-1, 'From Order'!$A626)), 1), C625))"),"")</f>
        <v/>
      </c>
      <c r="D626" s="2" t="str">
        <f>IFERROR(__xludf.DUMMYFUNCTION("IF('From Order'!$A626=COLUMNS($A626:D645), LEFT(INDEX(FILTER(D$1:D625, D$1:D625&lt;&gt;""""),COUNTA(FILTER(D$1:D625, D$1:D625&lt;&gt;""""))), LEN(INDEX(FILTER(D$1:D625, D$1:D625&lt;&gt;""""),COUNTA(FILTER(D$1:D625, D$1:D625&lt;&gt;""""))))-1), IF('To Order'!$A626=COLUMNS($A626:D"&amp;"645), D625&amp;RIGHT(INDIRECT(ADDRESS(ROW(D626)-1, 'From Order'!$A626)), 1), D625))"),"TMQ")</f>
        <v>TMQ</v>
      </c>
      <c r="E626" s="2" t="str">
        <f>IFERROR(__xludf.DUMMYFUNCTION("IF('From Order'!$A626=COLUMNS($A626:E645), LEFT(INDEX(FILTER(E$1:E625, E$1:E625&lt;&gt;""""),COUNTA(FILTER(E$1:E625, E$1:E625&lt;&gt;""""))), LEN(INDEX(FILTER(E$1:E625, E$1:E625&lt;&gt;""""),COUNTA(FILTER(E$1:E625, E$1:E625&lt;&gt;""""))))-1), IF('To Order'!$A626=COLUMNS($A626:E"&amp;"645), E625&amp;RIGHT(INDIRECT(ADDRESS(ROW(E626)-1, 'From Order'!$A626)), 1), E625))"),"CJ")</f>
        <v>CJ</v>
      </c>
      <c r="F626" s="2" t="str">
        <f>IFERROR(__xludf.DUMMYFUNCTION("IF('From Order'!$A626=COLUMNS($A626:F645), LEFT(INDEX(FILTER(F$1:F625, F$1:F625&lt;&gt;""""),COUNTA(FILTER(F$1:F625, F$1:F625&lt;&gt;""""))), LEN(INDEX(FILTER(F$1:F625, F$1:F625&lt;&gt;""""),COUNTA(FILTER(F$1:F625, F$1:F625&lt;&gt;""""))))-1), IF('To Order'!$A626=COLUMNS($A626:F"&amp;"645), F625&amp;RIGHT(INDIRECT(ADDRESS(ROW(F626)-1, 'From Order'!$A626)), 1), F625))"),"DTRLRQPDS")</f>
        <v>DTRLRQPDS</v>
      </c>
      <c r="G626" s="2" t="str">
        <f>IFERROR(__xludf.DUMMYFUNCTION("IF('From Order'!$A626=COLUMNS($A626:G645), LEFT(INDEX(FILTER(G$1:G625, G$1:G625&lt;&gt;""""),COUNTA(FILTER(G$1:G625, G$1:G625&lt;&gt;""""))), LEN(INDEX(FILTER(G$1:G625, G$1:G625&lt;&gt;""""),COUNTA(FILTER(G$1:G625, G$1:G625&lt;&gt;""""))))-1), IF('To Order'!$A626=COLUMNS($A626:G"&amp;"645), G625&amp;RIGHT(INDIRECT(ADDRESS(ROW(G626)-1, 'From Order'!$A626)), 1), G625))"),"")</f>
        <v/>
      </c>
      <c r="H626" s="2" t="str">
        <f>IFERROR(__xludf.DUMMYFUNCTION("IF('From Order'!$A626=COLUMNS($A626:H645), LEFT(INDEX(FILTER(H$1:H625, H$1:H625&lt;&gt;""""),COUNTA(FILTER(H$1:H625, H$1:H625&lt;&gt;""""))), LEN(INDEX(FILTER(H$1:H625, H$1:H625&lt;&gt;""""),COUNTA(FILTER(H$1:H625, H$1:H625&lt;&gt;""""))))-1), IF('To Order'!$A626=COLUMNS($A626:H"&amp;"645), H625&amp;RIGHT(INDIRECT(ADDRESS(ROW(H626)-1, 'From Order'!$A626)), 1), H625))"),"ZMDTCJT")</f>
        <v>ZMDTCJT</v>
      </c>
      <c r="I626" s="2" t="str">
        <f>IFERROR(__xludf.DUMMYFUNCTION("IF('From Order'!$A626=COLUMNS($A626:I645), LEFT(INDEX(FILTER(I$1:I625, I$1:I625&lt;&gt;""""),COUNTA(FILTER(I$1:I625, I$1:I625&lt;&gt;""""))), LEN(INDEX(FILTER(I$1:I625, I$1:I625&lt;&gt;""""),COUNTA(FILTER(I$1:I625, I$1:I625&lt;&gt;""""))))-1), IF('To Order'!$A626=COLUMNS($A626:I"&amp;"645), I625&amp;RIGHT(INDIRECT(ADDRESS(ROW(I626)-1, 'From Order'!$A626)), 1), I625))"),"DTWRDVCBPWHGS")</f>
        <v>DTWRDVCBPWHGS</v>
      </c>
    </row>
    <row r="627">
      <c r="A627" s="2" t="str">
        <f>IFERROR(__xludf.DUMMYFUNCTION("IF('From Order'!$A627=COLUMNS($A627:A646), LEFT(INDEX(FILTER(A$1:A626, A$1:A626&lt;&gt;""""),COUNTA(FILTER(A$1:A626, A$1:A626&lt;&gt;""""))), LEN(INDEX(FILTER(A$1:A626, A$1:A626&lt;&gt;""""),COUNTA(FILTER(A$1:A626, A$1:A626&lt;&gt;""""))))-1), IF('To Order'!$A627=COLUMNS($A627:A"&amp;"646), A626&amp;RIGHT(INDIRECT(ADDRESS(ROW(A627)-1, 'From Order'!$A627)), 1), A626))"),"")</f>
        <v/>
      </c>
      <c r="B627" s="2" t="str">
        <f>IFERROR(__xludf.DUMMYFUNCTION("IF('From Order'!$A627=COLUMNS($A627:B646), LEFT(INDEX(FILTER(B$1:B626, B$1:B626&lt;&gt;""""),COUNTA(FILTER(B$1:B626, B$1:B626&lt;&gt;""""))), LEN(INDEX(FILTER(B$1:B626, B$1:B626&lt;&gt;""""),COUNTA(FILTER(B$1:B626, B$1:B626&lt;&gt;""""))))-1), IF('To Order'!$A627=COLUMNS($A627:B"&amp;"646), B626&amp;RIGHT(INDIRECT(ADDRESS(ROW(B627)-1, 'From Order'!$A627)), 1), B626))"),"JZRVPVRZHMFBBFSLTDGSBL")</f>
        <v>JZRVPVRZHMFBBFSLTDGSBL</v>
      </c>
      <c r="C627" s="2" t="str">
        <f>IFERROR(__xludf.DUMMYFUNCTION("IF('From Order'!$A627=COLUMNS($A627:C646), LEFT(INDEX(FILTER(C$1:C626, C$1:C626&lt;&gt;""""),COUNTA(FILTER(C$1:C626, C$1:C626&lt;&gt;""""))), LEN(INDEX(FILTER(C$1:C626, C$1:C626&lt;&gt;""""),COUNTA(FILTER(C$1:C626, C$1:C626&lt;&gt;""""))))-1), IF('To Order'!$A627=COLUMNS($A627:C"&amp;"646), C626&amp;RIGHT(INDIRECT(ADDRESS(ROW(C627)-1, 'From Order'!$A627)), 1), C626))"),"")</f>
        <v/>
      </c>
      <c r="D627" s="2" t="str">
        <f>IFERROR(__xludf.DUMMYFUNCTION("IF('From Order'!$A627=COLUMNS($A627:D646), LEFT(INDEX(FILTER(D$1:D626, D$1:D626&lt;&gt;""""),COUNTA(FILTER(D$1:D626, D$1:D626&lt;&gt;""""))), LEN(INDEX(FILTER(D$1:D626, D$1:D626&lt;&gt;""""),COUNTA(FILTER(D$1:D626, D$1:D626&lt;&gt;""""))))-1), IF('To Order'!$A627=COLUMNS($A627:D"&amp;"646), D626&amp;RIGHT(INDIRECT(ADDRESS(ROW(D627)-1, 'From Order'!$A627)), 1), D626))"),"TMQ")</f>
        <v>TMQ</v>
      </c>
      <c r="E627" s="2" t="str">
        <f>IFERROR(__xludf.DUMMYFUNCTION("IF('From Order'!$A627=COLUMNS($A627:E646), LEFT(INDEX(FILTER(E$1:E626, E$1:E626&lt;&gt;""""),COUNTA(FILTER(E$1:E626, E$1:E626&lt;&gt;""""))), LEN(INDEX(FILTER(E$1:E626, E$1:E626&lt;&gt;""""),COUNTA(FILTER(E$1:E626, E$1:E626&lt;&gt;""""))))-1), IF('To Order'!$A627=COLUMNS($A627:E"&amp;"646), E626&amp;RIGHT(INDIRECT(ADDRESS(ROW(E627)-1, 'From Order'!$A627)), 1), E626))"),"CJ")</f>
        <v>CJ</v>
      </c>
      <c r="F627" s="2" t="str">
        <f>IFERROR(__xludf.DUMMYFUNCTION("IF('From Order'!$A627=COLUMNS($A627:F646), LEFT(INDEX(FILTER(F$1:F626, F$1:F626&lt;&gt;""""),COUNTA(FILTER(F$1:F626, F$1:F626&lt;&gt;""""))), LEN(INDEX(FILTER(F$1:F626, F$1:F626&lt;&gt;""""),COUNTA(FILTER(F$1:F626, F$1:F626&lt;&gt;""""))))-1), IF('To Order'!$A627=COLUMNS($A627:F"&amp;"646), F626&amp;RIGHT(INDIRECT(ADDRESS(ROW(F627)-1, 'From Order'!$A627)), 1), F626))"),"DTRLRQPD")</f>
        <v>DTRLRQPD</v>
      </c>
      <c r="G627" s="2" t="str">
        <f>IFERROR(__xludf.DUMMYFUNCTION("IF('From Order'!$A627=COLUMNS($A627:G646), LEFT(INDEX(FILTER(G$1:G626, G$1:G626&lt;&gt;""""),COUNTA(FILTER(G$1:G626, G$1:G626&lt;&gt;""""))), LEN(INDEX(FILTER(G$1:G626, G$1:G626&lt;&gt;""""),COUNTA(FILTER(G$1:G626, G$1:G626&lt;&gt;""""))))-1), IF('To Order'!$A627=COLUMNS($A627:G"&amp;"646), G626&amp;RIGHT(INDIRECT(ADDRESS(ROW(G627)-1, 'From Order'!$A627)), 1), G626))"),"")</f>
        <v/>
      </c>
      <c r="H627" s="2" t="str">
        <f>IFERROR(__xludf.DUMMYFUNCTION("IF('From Order'!$A627=COLUMNS($A627:H646), LEFT(INDEX(FILTER(H$1:H626, H$1:H626&lt;&gt;""""),COUNTA(FILTER(H$1:H626, H$1:H626&lt;&gt;""""))), LEN(INDEX(FILTER(H$1:H626, H$1:H626&lt;&gt;""""),COUNTA(FILTER(H$1:H626, H$1:H626&lt;&gt;""""))))-1), IF('To Order'!$A627=COLUMNS($A627:H"&amp;"646), H626&amp;RIGHT(INDIRECT(ADDRESS(ROW(H627)-1, 'From Order'!$A627)), 1), H626))"),"ZMDTCJT")</f>
        <v>ZMDTCJT</v>
      </c>
      <c r="I627" s="2" t="str">
        <f>IFERROR(__xludf.DUMMYFUNCTION("IF('From Order'!$A627=COLUMNS($A627:I646), LEFT(INDEX(FILTER(I$1:I626, I$1:I626&lt;&gt;""""),COUNTA(FILTER(I$1:I626, I$1:I626&lt;&gt;""""))), LEN(INDEX(FILTER(I$1:I626, I$1:I626&lt;&gt;""""),COUNTA(FILTER(I$1:I626, I$1:I626&lt;&gt;""""))))-1), IF('To Order'!$A627=COLUMNS($A627:I"&amp;"646), I626&amp;RIGHT(INDIRECT(ADDRESS(ROW(I627)-1, 'From Order'!$A627)), 1), I626))"),"DTWRDVCBPWHGSS")</f>
        <v>DTWRDVCBPWHGSS</v>
      </c>
    </row>
    <row r="628">
      <c r="A628" s="2" t="str">
        <f>IFERROR(__xludf.DUMMYFUNCTION("IF('From Order'!$A628=COLUMNS($A628:A647), LEFT(INDEX(FILTER(A$1:A627, A$1:A627&lt;&gt;""""),COUNTA(FILTER(A$1:A627, A$1:A627&lt;&gt;""""))), LEN(INDEX(FILTER(A$1:A627, A$1:A627&lt;&gt;""""),COUNTA(FILTER(A$1:A627, A$1:A627&lt;&gt;""""))))-1), IF('To Order'!$A628=COLUMNS($A628:A"&amp;"647), A627&amp;RIGHT(INDIRECT(ADDRESS(ROW(A628)-1, 'From Order'!$A628)), 1), A627))"),"")</f>
        <v/>
      </c>
      <c r="B628" s="2" t="str">
        <f>IFERROR(__xludf.DUMMYFUNCTION("IF('From Order'!$A628=COLUMNS($A628:B647), LEFT(INDEX(FILTER(B$1:B627, B$1:B627&lt;&gt;""""),COUNTA(FILTER(B$1:B627, B$1:B627&lt;&gt;""""))), LEN(INDEX(FILTER(B$1:B627, B$1:B627&lt;&gt;""""),COUNTA(FILTER(B$1:B627, B$1:B627&lt;&gt;""""))))-1), IF('To Order'!$A628=COLUMNS($A628:B"&amp;"647), B627&amp;RIGHT(INDIRECT(ADDRESS(ROW(B628)-1, 'From Order'!$A628)), 1), B627))"),"JZRVPVRZHMFBBFSLTDGSBL")</f>
        <v>JZRVPVRZHMFBBFSLTDGSBL</v>
      </c>
      <c r="C628" s="2" t="str">
        <f>IFERROR(__xludf.DUMMYFUNCTION("IF('From Order'!$A628=COLUMNS($A628:C647), LEFT(INDEX(FILTER(C$1:C627, C$1:C627&lt;&gt;""""),COUNTA(FILTER(C$1:C627, C$1:C627&lt;&gt;""""))), LEN(INDEX(FILTER(C$1:C627, C$1:C627&lt;&gt;""""),COUNTA(FILTER(C$1:C627, C$1:C627&lt;&gt;""""))))-1), IF('To Order'!$A628=COLUMNS($A628:C"&amp;"647), C627&amp;RIGHT(INDIRECT(ADDRESS(ROW(C628)-1, 'From Order'!$A628)), 1), C627))"),"")</f>
        <v/>
      </c>
      <c r="D628" s="2" t="str">
        <f>IFERROR(__xludf.DUMMYFUNCTION("IF('From Order'!$A628=COLUMNS($A628:D647), LEFT(INDEX(FILTER(D$1:D627, D$1:D627&lt;&gt;""""),COUNTA(FILTER(D$1:D627, D$1:D627&lt;&gt;""""))), LEN(INDEX(FILTER(D$1:D627, D$1:D627&lt;&gt;""""),COUNTA(FILTER(D$1:D627, D$1:D627&lt;&gt;""""))))-1), IF('To Order'!$A628=COLUMNS($A628:D"&amp;"647), D627&amp;RIGHT(INDIRECT(ADDRESS(ROW(D628)-1, 'From Order'!$A628)), 1), D627))"),"TMQ")</f>
        <v>TMQ</v>
      </c>
      <c r="E628" s="2" t="str">
        <f>IFERROR(__xludf.DUMMYFUNCTION("IF('From Order'!$A628=COLUMNS($A628:E647), LEFT(INDEX(FILTER(E$1:E627, E$1:E627&lt;&gt;""""),COUNTA(FILTER(E$1:E627, E$1:E627&lt;&gt;""""))), LEN(INDEX(FILTER(E$1:E627, E$1:E627&lt;&gt;""""),COUNTA(FILTER(E$1:E627, E$1:E627&lt;&gt;""""))))-1), IF('To Order'!$A628=COLUMNS($A628:E"&amp;"647), E627&amp;RIGHT(INDIRECT(ADDRESS(ROW(E628)-1, 'From Order'!$A628)), 1), E627))"),"CJ")</f>
        <v>CJ</v>
      </c>
      <c r="F628" s="2" t="str">
        <f>IFERROR(__xludf.DUMMYFUNCTION("IF('From Order'!$A628=COLUMNS($A628:F647), LEFT(INDEX(FILTER(F$1:F627, F$1:F627&lt;&gt;""""),COUNTA(FILTER(F$1:F627, F$1:F627&lt;&gt;""""))), LEN(INDEX(FILTER(F$1:F627, F$1:F627&lt;&gt;""""),COUNTA(FILTER(F$1:F627, F$1:F627&lt;&gt;""""))))-1), IF('To Order'!$A628=COLUMNS($A628:F"&amp;"647), F627&amp;RIGHT(INDIRECT(ADDRESS(ROW(F628)-1, 'From Order'!$A628)), 1), F627))"),"DTRLRQP")</f>
        <v>DTRLRQP</v>
      </c>
      <c r="G628" s="2" t="str">
        <f>IFERROR(__xludf.DUMMYFUNCTION("IF('From Order'!$A628=COLUMNS($A628:G647), LEFT(INDEX(FILTER(G$1:G627, G$1:G627&lt;&gt;""""),COUNTA(FILTER(G$1:G627, G$1:G627&lt;&gt;""""))), LEN(INDEX(FILTER(G$1:G627, G$1:G627&lt;&gt;""""),COUNTA(FILTER(G$1:G627, G$1:G627&lt;&gt;""""))))-1), IF('To Order'!$A628=COLUMNS($A628:G"&amp;"647), G627&amp;RIGHT(INDIRECT(ADDRESS(ROW(G628)-1, 'From Order'!$A628)), 1), G627))"),"")</f>
        <v/>
      </c>
      <c r="H628" s="2" t="str">
        <f>IFERROR(__xludf.DUMMYFUNCTION("IF('From Order'!$A628=COLUMNS($A628:H647), LEFT(INDEX(FILTER(H$1:H627, H$1:H627&lt;&gt;""""),COUNTA(FILTER(H$1:H627, H$1:H627&lt;&gt;""""))), LEN(INDEX(FILTER(H$1:H627, H$1:H627&lt;&gt;""""),COUNTA(FILTER(H$1:H627, H$1:H627&lt;&gt;""""))))-1), IF('To Order'!$A628=COLUMNS($A628:H"&amp;"647), H627&amp;RIGHT(INDIRECT(ADDRESS(ROW(H628)-1, 'From Order'!$A628)), 1), H627))"),"ZMDTCJT")</f>
        <v>ZMDTCJT</v>
      </c>
      <c r="I628" s="2" t="str">
        <f>IFERROR(__xludf.DUMMYFUNCTION("IF('From Order'!$A628=COLUMNS($A628:I647), LEFT(INDEX(FILTER(I$1:I627, I$1:I627&lt;&gt;""""),COUNTA(FILTER(I$1:I627, I$1:I627&lt;&gt;""""))), LEN(INDEX(FILTER(I$1:I627, I$1:I627&lt;&gt;""""),COUNTA(FILTER(I$1:I627, I$1:I627&lt;&gt;""""))))-1), IF('To Order'!$A628=COLUMNS($A628:I"&amp;"647), I627&amp;RIGHT(INDIRECT(ADDRESS(ROW(I628)-1, 'From Order'!$A628)), 1), I627))"),"DTWRDVCBPWHGSSD")</f>
        <v>DTWRDVCBPWHGSSD</v>
      </c>
    </row>
    <row r="629">
      <c r="A629" s="2" t="str">
        <f>IFERROR(__xludf.DUMMYFUNCTION("IF('From Order'!$A629=COLUMNS($A629:A648), LEFT(INDEX(FILTER(A$1:A628, A$1:A628&lt;&gt;""""),COUNTA(FILTER(A$1:A628, A$1:A628&lt;&gt;""""))), LEN(INDEX(FILTER(A$1:A628, A$1:A628&lt;&gt;""""),COUNTA(FILTER(A$1:A628, A$1:A628&lt;&gt;""""))))-1), IF('To Order'!$A629=COLUMNS($A629:A"&amp;"648), A628&amp;RIGHT(INDIRECT(ADDRESS(ROW(A629)-1, 'From Order'!$A629)), 1), A628))"),"")</f>
        <v/>
      </c>
      <c r="B629" s="2" t="str">
        <f>IFERROR(__xludf.DUMMYFUNCTION("IF('From Order'!$A629=COLUMNS($A629:B648), LEFT(INDEX(FILTER(B$1:B628, B$1:B628&lt;&gt;""""),COUNTA(FILTER(B$1:B628, B$1:B628&lt;&gt;""""))), LEN(INDEX(FILTER(B$1:B628, B$1:B628&lt;&gt;""""),COUNTA(FILTER(B$1:B628, B$1:B628&lt;&gt;""""))))-1), IF('To Order'!$A629=COLUMNS($A629:B"&amp;"648), B628&amp;RIGHT(INDIRECT(ADDRESS(ROW(B629)-1, 'From Order'!$A629)), 1), B628))"),"JZRVPVRZHMFBBFSLTDGSBL")</f>
        <v>JZRVPVRZHMFBBFSLTDGSBL</v>
      </c>
      <c r="C629" s="2" t="str">
        <f>IFERROR(__xludf.DUMMYFUNCTION("IF('From Order'!$A629=COLUMNS($A629:C648), LEFT(INDEX(FILTER(C$1:C628, C$1:C628&lt;&gt;""""),COUNTA(FILTER(C$1:C628, C$1:C628&lt;&gt;""""))), LEN(INDEX(FILTER(C$1:C628, C$1:C628&lt;&gt;""""),COUNTA(FILTER(C$1:C628, C$1:C628&lt;&gt;""""))))-1), IF('To Order'!$A629=COLUMNS($A629:C"&amp;"648), C628&amp;RIGHT(INDIRECT(ADDRESS(ROW(C629)-1, 'From Order'!$A629)), 1), C628))"),"")</f>
        <v/>
      </c>
      <c r="D629" s="2" t="str">
        <f>IFERROR(__xludf.DUMMYFUNCTION("IF('From Order'!$A629=COLUMNS($A629:D648), LEFT(INDEX(FILTER(D$1:D628, D$1:D628&lt;&gt;""""),COUNTA(FILTER(D$1:D628, D$1:D628&lt;&gt;""""))), LEN(INDEX(FILTER(D$1:D628, D$1:D628&lt;&gt;""""),COUNTA(FILTER(D$1:D628, D$1:D628&lt;&gt;""""))))-1), IF('To Order'!$A629=COLUMNS($A629:D"&amp;"648), D628&amp;RIGHT(INDIRECT(ADDRESS(ROW(D629)-1, 'From Order'!$A629)), 1), D628))"),"TMQ")</f>
        <v>TMQ</v>
      </c>
      <c r="E629" s="2" t="str">
        <f>IFERROR(__xludf.DUMMYFUNCTION("IF('From Order'!$A629=COLUMNS($A629:E648), LEFT(INDEX(FILTER(E$1:E628, E$1:E628&lt;&gt;""""),COUNTA(FILTER(E$1:E628, E$1:E628&lt;&gt;""""))), LEN(INDEX(FILTER(E$1:E628, E$1:E628&lt;&gt;""""),COUNTA(FILTER(E$1:E628, E$1:E628&lt;&gt;""""))))-1), IF('To Order'!$A629=COLUMNS($A629:E"&amp;"648), E628&amp;RIGHT(INDIRECT(ADDRESS(ROW(E629)-1, 'From Order'!$A629)), 1), E628))"),"CJ")</f>
        <v>CJ</v>
      </c>
      <c r="F629" s="2" t="str">
        <f>IFERROR(__xludf.DUMMYFUNCTION("IF('From Order'!$A629=COLUMNS($A629:F648), LEFT(INDEX(FILTER(F$1:F628, F$1:F628&lt;&gt;""""),COUNTA(FILTER(F$1:F628, F$1:F628&lt;&gt;""""))), LEN(INDEX(FILTER(F$1:F628, F$1:F628&lt;&gt;""""),COUNTA(FILTER(F$1:F628, F$1:F628&lt;&gt;""""))))-1), IF('To Order'!$A629=COLUMNS($A629:F"&amp;"648), F628&amp;RIGHT(INDIRECT(ADDRESS(ROW(F629)-1, 'From Order'!$A629)), 1), F628))"),"DTRLRQ")</f>
        <v>DTRLRQ</v>
      </c>
      <c r="G629" s="2" t="str">
        <f>IFERROR(__xludf.DUMMYFUNCTION("IF('From Order'!$A629=COLUMNS($A629:G648), LEFT(INDEX(FILTER(G$1:G628, G$1:G628&lt;&gt;""""),COUNTA(FILTER(G$1:G628, G$1:G628&lt;&gt;""""))), LEN(INDEX(FILTER(G$1:G628, G$1:G628&lt;&gt;""""),COUNTA(FILTER(G$1:G628, G$1:G628&lt;&gt;""""))))-1), IF('To Order'!$A629=COLUMNS($A629:G"&amp;"648), G628&amp;RIGHT(INDIRECT(ADDRESS(ROW(G629)-1, 'From Order'!$A629)), 1), G628))"),"")</f>
        <v/>
      </c>
      <c r="H629" s="2" t="str">
        <f>IFERROR(__xludf.DUMMYFUNCTION("IF('From Order'!$A629=COLUMNS($A629:H648), LEFT(INDEX(FILTER(H$1:H628, H$1:H628&lt;&gt;""""),COUNTA(FILTER(H$1:H628, H$1:H628&lt;&gt;""""))), LEN(INDEX(FILTER(H$1:H628, H$1:H628&lt;&gt;""""),COUNTA(FILTER(H$1:H628, H$1:H628&lt;&gt;""""))))-1), IF('To Order'!$A629=COLUMNS($A629:H"&amp;"648), H628&amp;RIGHT(INDIRECT(ADDRESS(ROW(H629)-1, 'From Order'!$A629)), 1), H628))"),"ZMDTCJT")</f>
        <v>ZMDTCJT</v>
      </c>
      <c r="I629" s="2" t="str">
        <f>IFERROR(__xludf.DUMMYFUNCTION("IF('From Order'!$A629=COLUMNS($A629:I648), LEFT(INDEX(FILTER(I$1:I628, I$1:I628&lt;&gt;""""),COUNTA(FILTER(I$1:I628, I$1:I628&lt;&gt;""""))), LEN(INDEX(FILTER(I$1:I628, I$1:I628&lt;&gt;""""),COUNTA(FILTER(I$1:I628, I$1:I628&lt;&gt;""""))))-1), IF('To Order'!$A629=COLUMNS($A629:I"&amp;"648), I628&amp;RIGHT(INDIRECT(ADDRESS(ROW(I629)-1, 'From Order'!$A629)), 1), I628))"),"DTWRDVCBPWHGSSDP")</f>
        <v>DTWRDVCBPWHGSSDP</v>
      </c>
    </row>
    <row r="630">
      <c r="A630" s="2" t="str">
        <f>IFERROR(__xludf.DUMMYFUNCTION("IF('From Order'!$A630=COLUMNS($A630:A649), LEFT(INDEX(FILTER(A$1:A629, A$1:A629&lt;&gt;""""),COUNTA(FILTER(A$1:A629, A$1:A629&lt;&gt;""""))), LEN(INDEX(FILTER(A$1:A629, A$1:A629&lt;&gt;""""),COUNTA(FILTER(A$1:A629, A$1:A629&lt;&gt;""""))))-1), IF('To Order'!$A630=COLUMNS($A630:A"&amp;"649), A629&amp;RIGHT(INDIRECT(ADDRESS(ROW(A630)-1, 'From Order'!$A630)), 1), A629))"),"")</f>
        <v/>
      </c>
      <c r="B630" s="2" t="str">
        <f>IFERROR(__xludf.DUMMYFUNCTION("IF('From Order'!$A630=COLUMNS($A630:B649), LEFT(INDEX(FILTER(B$1:B629, B$1:B629&lt;&gt;""""),COUNTA(FILTER(B$1:B629, B$1:B629&lt;&gt;""""))), LEN(INDEX(FILTER(B$1:B629, B$1:B629&lt;&gt;""""),COUNTA(FILTER(B$1:B629, B$1:B629&lt;&gt;""""))))-1), IF('To Order'!$A630=COLUMNS($A630:B"&amp;"649), B629&amp;RIGHT(INDIRECT(ADDRESS(ROW(B630)-1, 'From Order'!$A630)), 1), B629))"),"JZRVPVRZHMFBBFSLTDGSBL")</f>
        <v>JZRVPVRZHMFBBFSLTDGSBL</v>
      </c>
      <c r="C630" s="2" t="str">
        <f>IFERROR(__xludf.DUMMYFUNCTION("IF('From Order'!$A630=COLUMNS($A630:C649), LEFT(INDEX(FILTER(C$1:C629, C$1:C629&lt;&gt;""""),COUNTA(FILTER(C$1:C629, C$1:C629&lt;&gt;""""))), LEN(INDEX(FILTER(C$1:C629, C$1:C629&lt;&gt;""""),COUNTA(FILTER(C$1:C629, C$1:C629&lt;&gt;""""))))-1), IF('To Order'!$A630=COLUMNS($A630:C"&amp;"649), C629&amp;RIGHT(INDIRECT(ADDRESS(ROW(C630)-1, 'From Order'!$A630)), 1), C629))"),"")</f>
        <v/>
      </c>
      <c r="D630" s="2" t="str">
        <f>IFERROR(__xludf.DUMMYFUNCTION("IF('From Order'!$A630=COLUMNS($A630:D649), LEFT(INDEX(FILTER(D$1:D629, D$1:D629&lt;&gt;""""),COUNTA(FILTER(D$1:D629, D$1:D629&lt;&gt;""""))), LEN(INDEX(FILTER(D$1:D629, D$1:D629&lt;&gt;""""),COUNTA(FILTER(D$1:D629, D$1:D629&lt;&gt;""""))))-1), IF('To Order'!$A630=COLUMNS($A630:D"&amp;"649), D629&amp;RIGHT(INDIRECT(ADDRESS(ROW(D630)-1, 'From Order'!$A630)), 1), D629))"),"TMQ")</f>
        <v>TMQ</v>
      </c>
      <c r="E630" s="2" t="str">
        <f>IFERROR(__xludf.DUMMYFUNCTION("IF('From Order'!$A630=COLUMNS($A630:E649), LEFT(INDEX(FILTER(E$1:E629, E$1:E629&lt;&gt;""""),COUNTA(FILTER(E$1:E629, E$1:E629&lt;&gt;""""))), LEN(INDEX(FILTER(E$1:E629, E$1:E629&lt;&gt;""""),COUNTA(FILTER(E$1:E629, E$1:E629&lt;&gt;""""))))-1), IF('To Order'!$A630=COLUMNS($A630:E"&amp;"649), E629&amp;RIGHT(INDIRECT(ADDRESS(ROW(E630)-1, 'From Order'!$A630)), 1), E629))"),"CJ")</f>
        <v>CJ</v>
      </c>
      <c r="F630" s="2" t="str">
        <f>IFERROR(__xludf.DUMMYFUNCTION("IF('From Order'!$A630=COLUMNS($A630:F649), LEFT(INDEX(FILTER(F$1:F629, F$1:F629&lt;&gt;""""),COUNTA(FILTER(F$1:F629, F$1:F629&lt;&gt;""""))), LEN(INDEX(FILTER(F$1:F629, F$1:F629&lt;&gt;""""),COUNTA(FILTER(F$1:F629, F$1:F629&lt;&gt;""""))))-1), IF('To Order'!$A630=COLUMNS($A630:F"&amp;"649), F629&amp;RIGHT(INDIRECT(ADDRESS(ROW(F630)-1, 'From Order'!$A630)), 1), F629))"),"DTRLR")</f>
        <v>DTRLR</v>
      </c>
      <c r="G630" s="2" t="str">
        <f>IFERROR(__xludf.DUMMYFUNCTION("IF('From Order'!$A630=COLUMNS($A630:G649), LEFT(INDEX(FILTER(G$1:G629, G$1:G629&lt;&gt;""""),COUNTA(FILTER(G$1:G629, G$1:G629&lt;&gt;""""))), LEN(INDEX(FILTER(G$1:G629, G$1:G629&lt;&gt;""""),COUNTA(FILTER(G$1:G629, G$1:G629&lt;&gt;""""))))-1), IF('To Order'!$A630=COLUMNS($A630:G"&amp;"649), G629&amp;RIGHT(INDIRECT(ADDRESS(ROW(G630)-1, 'From Order'!$A630)), 1), G629))"),"")</f>
        <v/>
      </c>
      <c r="H630" s="2" t="str">
        <f>IFERROR(__xludf.DUMMYFUNCTION("IF('From Order'!$A630=COLUMNS($A630:H649), LEFT(INDEX(FILTER(H$1:H629, H$1:H629&lt;&gt;""""),COUNTA(FILTER(H$1:H629, H$1:H629&lt;&gt;""""))), LEN(INDEX(FILTER(H$1:H629, H$1:H629&lt;&gt;""""),COUNTA(FILTER(H$1:H629, H$1:H629&lt;&gt;""""))))-1), IF('To Order'!$A630=COLUMNS($A630:H"&amp;"649), H629&amp;RIGHT(INDIRECT(ADDRESS(ROW(H630)-1, 'From Order'!$A630)), 1), H629))"),"ZMDTCJT")</f>
        <v>ZMDTCJT</v>
      </c>
      <c r="I630" s="2" t="str">
        <f>IFERROR(__xludf.DUMMYFUNCTION("IF('From Order'!$A630=COLUMNS($A630:I649), LEFT(INDEX(FILTER(I$1:I629, I$1:I629&lt;&gt;""""),COUNTA(FILTER(I$1:I629, I$1:I629&lt;&gt;""""))), LEN(INDEX(FILTER(I$1:I629, I$1:I629&lt;&gt;""""),COUNTA(FILTER(I$1:I629, I$1:I629&lt;&gt;""""))))-1), IF('To Order'!$A630=COLUMNS($A630:I"&amp;"649), I629&amp;RIGHT(INDIRECT(ADDRESS(ROW(I630)-1, 'From Order'!$A630)), 1), I629))"),"DTWRDVCBPWHGSSDPQ")</f>
        <v>DTWRDVCBPWHGSSDPQ</v>
      </c>
    </row>
    <row r="631">
      <c r="A631" s="2" t="str">
        <f>IFERROR(__xludf.DUMMYFUNCTION("IF('From Order'!$A631=COLUMNS($A631:A650), LEFT(INDEX(FILTER(A$1:A630, A$1:A630&lt;&gt;""""),COUNTA(FILTER(A$1:A630, A$1:A630&lt;&gt;""""))), LEN(INDEX(FILTER(A$1:A630, A$1:A630&lt;&gt;""""),COUNTA(FILTER(A$1:A630, A$1:A630&lt;&gt;""""))))-1), IF('To Order'!$A631=COLUMNS($A631:A"&amp;"650), A630&amp;RIGHT(INDIRECT(ADDRESS(ROW(A631)-1, 'From Order'!$A631)), 1), A630))"),"")</f>
        <v/>
      </c>
      <c r="B631" s="2" t="str">
        <f>IFERROR(__xludf.DUMMYFUNCTION("IF('From Order'!$A631=COLUMNS($A631:B650), LEFT(INDEX(FILTER(B$1:B630, B$1:B630&lt;&gt;""""),COUNTA(FILTER(B$1:B630, B$1:B630&lt;&gt;""""))), LEN(INDEX(FILTER(B$1:B630, B$1:B630&lt;&gt;""""),COUNTA(FILTER(B$1:B630, B$1:B630&lt;&gt;""""))))-1), IF('To Order'!$A631=COLUMNS($A631:B"&amp;"650), B630&amp;RIGHT(INDIRECT(ADDRESS(ROW(B631)-1, 'From Order'!$A631)), 1), B630))"),"JZRVPVRZHMFBBFSLTDGSBL")</f>
        <v>JZRVPVRZHMFBBFSLTDGSBL</v>
      </c>
      <c r="C631" s="2" t="str">
        <f>IFERROR(__xludf.DUMMYFUNCTION("IF('From Order'!$A631=COLUMNS($A631:C650), LEFT(INDEX(FILTER(C$1:C630, C$1:C630&lt;&gt;""""),COUNTA(FILTER(C$1:C630, C$1:C630&lt;&gt;""""))), LEN(INDEX(FILTER(C$1:C630, C$1:C630&lt;&gt;""""),COUNTA(FILTER(C$1:C630, C$1:C630&lt;&gt;""""))))-1), IF('To Order'!$A631=COLUMNS($A631:C"&amp;"650), C630&amp;RIGHT(INDIRECT(ADDRESS(ROW(C631)-1, 'From Order'!$A631)), 1), C630))"),"")</f>
        <v/>
      </c>
      <c r="D631" s="2" t="str">
        <f>IFERROR(__xludf.DUMMYFUNCTION("IF('From Order'!$A631=COLUMNS($A631:D650), LEFT(INDEX(FILTER(D$1:D630, D$1:D630&lt;&gt;""""),COUNTA(FILTER(D$1:D630, D$1:D630&lt;&gt;""""))), LEN(INDEX(FILTER(D$1:D630, D$1:D630&lt;&gt;""""),COUNTA(FILTER(D$1:D630, D$1:D630&lt;&gt;""""))))-1), IF('To Order'!$A631=COLUMNS($A631:D"&amp;"650), D630&amp;RIGHT(INDIRECT(ADDRESS(ROW(D631)-1, 'From Order'!$A631)), 1), D630))"),"TMQ")</f>
        <v>TMQ</v>
      </c>
      <c r="E631" s="2" t="str">
        <f>IFERROR(__xludf.DUMMYFUNCTION("IF('From Order'!$A631=COLUMNS($A631:E650), LEFT(INDEX(FILTER(E$1:E630, E$1:E630&lt;&gt;""""),COUNTA(FILTER(E$1:E630, E$1:E630&lt;&gt;""""))), LEN(INDEX(FILTER(E$1:E630, E$1:E630&lt;&gt;""""),COUNTA(FILTER(E$1:E630, E$1:E630&lt;&gt;""""))))-1), IF('To Order'!$A631=COLUMNS($A631:E"&amp;"650), E630&amp;RIGHT(INDIRECT(ADDRESS(ROW(E631)-1, 'From Order'!$A631)), 1), E630))"),"CJ")</f>
        <v>CJ</v>
      </c>
      <c r="F631" s="2" t="str">
        <f>IFERROR(__xludf.DUMMYFUNCTION("IF('From Order'!$A631=COLUMNS($A631:F650), LEFT(INDEX(FILTER(F$1:F630, F$1:F630&lt;&gt;""""),COUNTA(FILTER(F$1:F630, F$1:F630&lt;&gt;""""))), LEN(INDEX(FILTER(F$1:F630, F$1:F630&lt;&gt;""""),COUNTA(FILTER(F$1:F630, F$1:F630&lt;&gt;""""))))-1), IF('To Order'!$A631=COLUMNS($A631:F"&amp;"650), F630&amp;RIGHT(INDIRECT(ADDRESS(ROW(F631)-1, 'From Order'!$A631)), 1), F630))"),"DTRL")</f>
        <v>DTRL</v>
      </c>
      <c r="G631" s="2" t="str">
        <f>IFERROR(__xludf.DUMMYFUNCTION("IF('From Order'!$A631=COLUMNS($A631:G650), LEFT(INDEX(FILTER(G$1:G630, G$1:G630&lt;&gt;""""),COUNTA(FILTER(G$1:G630, G$1:G630&lt;&gt;""""))), LEN(INDEX(FILTER(G$1:G630, G$1:G630&lt;&gt;""""),COUNTA(FILTER(G$1:G630, G$1:G630&lt;&gt;""""))))-1), IF('To Order'!$A631=COLUMNS($A631:G"&amp;"650), G630&amp;RIGHT(INDIRECT(ADDRESS(ROW(G631)-1, 'From Order'!$A631)), 1), G630))"),"")</f>
        <v/>
      </c>
      <c r="H631" s="2" t="str">
        <f>IFERROR(__xludf.DUMMYFUNCTION("IF('From Order'!$A631=COLUMNS($A631:H650), LEFT(INDEX(FILTER(H$1:H630, H$1:H630&lt;&gt;""""),COUNTA(FILTER(H$1:H630, H$1:H630&lt;&gt;""""))), LEN(INDEX(FILTER(H$1:H630, H$1:H630&lt;&gt;""""),COUNTA(FILTER(H$1:H630, H$1:H630&lt;&gt;""""))))-1), IF('To Order'!$A631=COLUMNS($A631:H"&amp;"650), H630&amp;RIGHT(INDIRECT(ADDRESS(ROW(H631)-1, 'From Order'!$A631)), 1), H630))"),"ZMDTCJT")</f>
        <v>ZMDTCJT</v>
      </c>
      <c r="I631" s="2" t="str">
        <f>IFERROR(__xludf.DUMMYFUNCTION("IF('From Order'!$A631=COLUMNS($A631:I650), LEFT(INDEX(FILTER(I$1:I630, I$1:I630&lt;&gt;""""),COUNTA(FILTER(I$1:I630, I$1:I630&lt;&gt;""""))), LEN(INDEX(FILTER(I$1:I630, I$1:I630&lt;&gt;""""),COUNTA(FILTER(I$1:I630, I$1:I630&lt;&gt;""""))))-1), IF('To Order'!$A631=COLUMNS($A631:I"&amp;"650), I630&amp;RIGHT(INDIRECT(ADDRESS(ROW(I631)-1, 'From Order'!$A631)), 1), I630))"),"DTWRDVCBPWHGSSDPQR")</f>
        <v>DTWRDVCBPWHGSSDPQR</v>
      </c>
    </row>
    <row r="632">
      <c r="A632" s="2" t="str">
        <f>IFERROR(__xludf.DUMMYFUNCTION("IF('From Order'!$A632=COLUMNS($A632:A651), LEFT(INDEX(FILTER(A$1:A631, A$1:A631&lt;&gt;""""),COUNTA(FILTER(A$1:A631, A$1:A631&lt;&gt;""""))), LEN(INDEX(FILTER(A$1:A631, A$1:A631&lt;&gt;""""),COUNTA(FILTER(A$1:A631, A$1:A631&lt;&gt;""""))))-1), IF('To Order'!$A632=COLUMNS($A632:A"&amp;"651), A631&amp;RIGHT(INDIRECT(ADDRESS(ROW(A632)-1, 'From Order'!$A632)), 1), A631))"),"")</f>
        <v/>
      </c>
      <c r="B632" s="2" t="str">
        <f>IFERROR(__xludf.DUMMYFUNCTION("IF('From Order'!$A632=COLUMNS($A632:B651), LEFT(INDEX(FILTER(B$1:B631, B$1:B631&lt;&gt;""""),COUNTA(FILTER(B$1:B631, B$1:B631&lt;&gt;""""))), LEN(INDEX(FILTER(B$1:B631, B$1:B631&lt;&gt;""""),COUNTA(FILTER(B$1:B631, B$1:B631&lt;&gt;""""))))-1), IF('To Order'!$A632=COLUMNS($A632:B"&amp;"651), B631&amp;RIGHT(INDIRECT(ADDRESS(ROW(B632)-1, 'From Order'!$A632)), 1), B631))"),"JZRVPVRZHMFBBFSLTDGSBL")</f>
        <v>JZRVPVRZHMFBBFSLTDGSBL</v>
      </c>
      <c r="C632" s="2" t="str">
        <f>IFERROR(__xludf.DUMMYFUNCTION("IF('From Order'!$A632=COLUMNS($A632:C651), LEFT(INDEX(FILTER(C$1:C631, C$1:C631&lt;&gt;""""),COUNTA(FILTER(C$1:C631, C$1:C631&lt;&gt;""""))), LEN(INDEX(FILTER(C$1:C631, C$1:C631&lt;&gt;""""),COUNTA(FILTER(C$1:C631, C$1:C631&lt;&gt;""""))))-1), IF('To Order'!$A632=COLUMNS($A632:C"&amp;"651), C631&amp;RIGHT(INDIRECT(ADDRESS(ROW(C632)-1, 'From Order'!$A632)), 1), C631))"),"")</f>
        <v/>
      </c>
      <c r="D632" s="2" t="str">
        <f>IFERROR(__xludf.DUMMYFUNCTION("IF('From Order'!$A632=COLUMNS($A632:D651), LEFT(INDEX(FILTER(D$1:D631, D$1:D631&lt;&gt;""""),COUNTA(FILTER(D$1:D631, D$1:D631&lt;&gt;""""))), LEN(INDEX(FILTER(D$1:D631, D$1:D631&lt;&gt;""""),COUNTA(FILTER(D$1:D631, D$1:D631&lt;&gt;""""))))-1), IF('To Order'!$A632=COLUMNS($A632:D"&amp;"651), D631&amp;RIGHT(INDIRECT(ADDRESS(ROW(D632)-1, 'From Order'!$A632)), 1), D631))"),"TMQ")</f>
        <v>TMQ</v>
      </c>
      <c r="E632" s="2" t="str">
        <f>IFERROR(__xludf.DUMMYFUNCTION("IF('From Order'!$A632=COLUMNS($A632:E651), LEFT(INDEX(FILTER(E$1:E631, E$1:E631&lt;&gt;""""),COUNTA(FILTER(E$1:E631, E$1:E631&lt;&gt;""""))), LEN(INDEX(FILTER(E$1:E631, E$1:E631&lt;&gt;""""),COUNTA(FILTER(E$1:E631, E$1:E631&lt;&gt;""""))))-1), IF('To Order'!$A632=COLUMNS($A632:E"&amp;"651), E631&amp;RIGHT(INDIRECT(ADDRESS(ROW(E632)-1, 'From Order'!$A632)), 1), E631))"),"CJ")</f>
        <v>CJ</v>
      </c>
      <c r="F632" s="2" t="str">
        <f>IFERROR(__xludf.DUMMYFUNCTION("IF('From Order'!$A632=COLUMNS($A632:F651), LEFT(INDEX(FILTER(F$1:F631, F$1:F631&lt;&gt;""""),COUNTA(FILTER(F$1:F631, F$1:F631&lt;&gt;""""))), LEN(INDEX(FILTER(F$1:F631, F$1:F631&lt;&gt;""""),COUNTA(FILTER(F$1:F631, F$1:F631&lt;&gt;""""))))-1), IF('To Order'!$A632=COLUMNS($A632:F"&amp;"651), F631&amp;RIGHT(INDIRECT(ADDRESS(ROW(F632)-1, 'From Order'!$A632)), 1), F631))"),"DTR")</f>
        <v>DTR</v>
      </c>
      <c r="G632" s="2" t="str">
        <f>IFERROR(__xludf.DUMMYFUNCTION("IF('From Order'!$A632=COLUMNS($A632:G651), LEFT(INDEX(FILTER(G$1:G631, G$1:G631&lt;&gt;""""),COUNTA(FILTER(G$1:G631, G$1:G631&lt;&gt;""""))), LEN(INDEX(FILTER(G$1:G631, G$1:G631&lt;&gt;""""),COUNTA(FILTER(G$1:G631, G$1:G631&lt;&gt;""""))))-1), IF('To Order'!$A632=COLUMNS($A632:G"&amp;"651), G631&amp;RIGHT(INDIRECT(ADDRESS(ROW(G632)-1, 'From Order'!$A632)), 1), G631))"),"")</f>
        <v/>
      </c>
      <c r="H632" s="2" t="str">
        <f>IFERROR(__xludf.DUMMYFUNCTION("IF('From Order'!$A632=COLUMNS($A632:H651), LEFT(INDEX(FILTER(H$1:H631, H$1:H631&lt;&gt;""""),COUNTA(FILTER(H$1:H631, H$1:H631&lt;&gt;""""))), LEN(INDEX(FILTER(H$1:H631, H$1:H631&lt;&gt;""""),COUNTA(FILTER(H$1:H631, H$1:H631&lt;&gt;""""))))-1), IF('To Order'!$A632=COLUMNS($A632:H"&amp;"651), H631&amp;RIGHT(INDIRECT(ADDRESS(ROW(H632)-1, 'From Order'!$A632)), 1), H631))"),"ZMDTCJT")</f>
        <v>ZMDTCJT</v>
      </c>
      <c r="I632" s="2" t="str">
        <f>IFERROR(__xludf.DUMMYFUNCTION("IF('From Order'!$A632=COLUMNS($A632:I651), LEFT(INDEX(FILTER(I$1:I631, I$1:I631&lt;&gt;""""),COUNTA(FILTER(I$1:I631, I$1:I631&lt;&gt;""""))), LEN(INDEX(FILTER(I$1:I631, I$1:I631&lt;&gt;""""),COUNTA(FILTER(I$1:I631, I$1:I631&lt;&gt;""""))))-1), IF('To Order'!$A632=COLUMNS($A632:I"&amp;"651), I631&amp;RIGHT(INDIRECT(ADDRESS(ROW(I632)-1, 'From Order'!$A632)), 1), I631))"),"DTWRDVCBPWHGSSDPQRL")</f>
        <v>DTWRDVCBPWHGSSDPQRL</v>
      </c>
    </row>
    <row r="633">
      <c r="A633" s="2" t="str">
        <f>IFERROR(__xludf.DUMMYFUNCTION("IF('From Order'!$A633=COLUMNS($A633:A652), LEFT(INDEX(FILTER(A$1:A632, A$1:A632&lt;&gt;""""),COUNTA(FILTER(A$1:A632, A$1:A632&lt;&gt;""""))), LEN(INDEX(FILTER(A$1:A632, A$1:A632&lt;&gt;""""),COUNTA(FILTER(A$1:A632, A$1:A632&lt;&gt;""""))))-1), IF('To Order'!$A633=COLUMNS($A633:A"&amp;"652), A632&amp;RIGHT(INDIRECT(ADDRESS(ROW(A633)-1, 'From Order'!$A633)), 1), A632))"),"")</f>
        <v/>
      </c>
      <c r="B633" s="2" t="str">
        <f>IFERROR(__xludf.DUMMYFUNCTION("IF('From Order'!$A633=COLUMNS($A633:B652), LEFT(INDEX(FILTER(B$1:B632, B$1:B632&lt;&gt;""""),COUNTA(FILTER(B$1:B632, B$1:B632&lt;&gt;""""))), LEN(INDEX(FILTER(B$1:B632, B$1:B632&lt;&gt;""""),COUNTA(FILTER(B$1:B632, B$1:B632&lt;&gt;""""))))-1), IF('To Order'!$A633=COLUMNS($A633:B"&amp;"652), B632&amp;RIGHT(INDIRECT(ADDRESS(ROW(B633)-1, 'From Order'!$A633)), 1), B632))"),"JZRVPVRZHMFBBFSLTDGSBL")</f>
        <v>JZRVPVRZHMFBBFSLTDGSBL</v>
      </c>
      <c r="C633" s="2" t="str">
        <f>IFERROR(__xludf.DUMMYFUNCTION("IF('From Order'!$A633=COLUMNS($A633:C652), LEFT(INDEX(FILTER(C$1:C632, C$1:C632&lt;&gt;""""),COUNTA(FILTER(C$1:C632, C$1:C632&lt;&gt;""""))), LEN(INDEX(FILTER(C$1:C632, C$1:C632&lt;&gt;""""),COUNTA(FILTER(C$1:C632, C$1:C632&lt;&gt;""""))))-1), IF('To Order'!$A633=COLUMNS($A633:C"&amp;"652), C632&amp;RIGHT(INDIRECT(ADDRESS(ROW(C633)-1, 'From Order'!$A633)), 1), C632))"),"")</f>
        <v/>
      </c>
      <c r="D633" s="2" t="str">
        <f>IFERROR(__xludf.DUMMYFUNCTION("IF('From Order'!$A633=COLUMNS($A633:D652), LEFT(INDEX(FILTER(D$1:D632, D$1:D632&lt;&gt;""""),COUNTA(FILTER(D$1:D632, D$1:D632&lt;&gt;""""))), LEN(INDEX(FILTER(D$1:D632, D$1:D632&lt;&gt;""""),COUNTA(FILTER(D$1:D632, D$1:D632&lt;&gt;""""))))-1), IF('To Order'!$A633=COLUMNS($A633:D"&amp;"652), D632&amp;RIGHT(INDIRECT(ADDRESS(ROW(D633)-1, 'From Order'!$A633)), 1), D632))"),"TMQ")</f>
        <v>TMQ</v>
      </c>
      <c r="E633" s="2" t="str">
        <f>IFERROR(__xludf.DUMMYFUNCTION("IF('From Order'!$A633=COLUMNS($A633:E652), LEFT(INDEX(FILTER(E$1:E632, E$1:E632&lt;&gt;""""),COUNTA(FILTER(E$1:E632, E$1:E632&lt;&gt;""""))), LEN(INDEX(FILTER(E$1:E632, E$1:E632&lt;&gt;""""),COUNTA(FILTER(E$1:E632, E$1:E632&lt;&gt;""""))))-1), IF('To Order'!$A633=COLUMNS($A633:E"&amp;"652), E632&amp;RIGHT(INDIRECT(ADDRESS(ROW(E633)-1, 'From Order'!$A633)), 1), E632))"),"CJ")</f>
        <v>CJ</v>
      </c>
      <c r="F633" s="2" t="str">
        <f>IFERROR(__xludf.DUMMYFUNCTION("IF('From Order'!$A633=COLUMNS($A633:F652), LEFT(INDEX(FILTER(F$1:F632, F$1:F632&lt;&gt;""""),COUNTA(FILTER(F$1:F632, F$1:F632&lt;&gt;""""))), LEN(INDEX(FILTER(F$1:F632, F$1:F632&lt;&gt;""""),COUNTA(FILTER(F$1:F632, F$1:F632&lt;&gt;""""))))-1), IF('To Order'!$A633=COLUMNS($A633:F"&amp;"652), F632&amp;RIGHT(INDIRECT(ADDRESS(ROW(F633)-1, 'From Order'!$A633)), 1), F632))"),"DT")</f>
        <v>DT</v>
      </c>
      <c r="G633" s="2" t="str">
        <f>IFERROR(__xludf.DUMMYFUNCTION("IF('From Order'!$A633=COLUMNS($A633:G652), LEFT(INDEX(FILTER(G$1:G632, G$1:G632&lt;&gt;""""),COUNTA(FILTER(G$1:G632, G$1:G632&lt;&gt;""""))), LEN(INDEX(FILTER(G$1:G632, G$1:G632&lt;&gt;""""),COUNTA(FILTER(G$1:G632, G$1:G632&lt;&gt;""""))))-1), IF('To Order'!$A633=COLUMNS($A633:G"&amp;"652), G632&amp;RIGHT(INDIRECT(ADDRESS(ROW(G633)-1, 'From Order'!$A633)), 1), G632))"),"")</f>
        <v/>
      </c>
      <c r="H633" s="2" t="str">
        <f>IFERROR(__xludf.DUMMYFUNCTION("IF('From Order'!$A633=COLUMNS($A633:H652), LEFT(INDEX(FILTER(H$1:H632, H$1:H632&lt;&gt;""""),COUNTA(FILTER(H$1:H632, H$1:H632&lt;&gt;""""))), LEN(INDEX(FILTER(H$1:H632, H$1:H632&lt;&gt;""""),COUNTA(FILTER(H$1:H632, H$1:H632&lt;&gt;""""))))-1), IF('To Order'!$A633=COLUMNS($A633:H"&amp;"652), H632&amp;RIGHT(INDIRECT(ADDRESS(ROW(H633)-1, 'From Order'!$A633)), 1), H632))"),"ZMDTCJT")</f>
        <v>ZMDTCJT</v>
      </c>
      <c r="I633" s="2" t="str">
        <f>IFERROR(__xludf.DUMMYFUNCTION("IF('From Order'!$A633=COLUMNS($A633:I652), LEFT(INDEX(FILTER(I$1:I632, I$1:I632&lt;&gt;""""),COUNTA(FILTER(I$1:I632, I$1:I632&lt;&gt;""""))), LEN(INDEX(FILTER(I$1:I632, I$1:I632&lt;&gt;""""),COUNTA(FILTER(I$1:I632, I$1:I632&lt;&gt;""""))))-1), IF('To Order'!$A633=COLUMNS($A633:I"&amp;"652), I632&amp;RIGHT(INDIRECT(ADDRESS(ROW(I633)-1, 'From Order'!$A633)), 1), I632))"),"DTWRDVCBPWHGSSDPQRLR")</f>
        <v>DTWRDVCBPWHGSSDPQRLR</v>
      </c>
    </row>
    <row r="634">
      <c r="A634" s="2" t="str">
        <f>IFERROR(__xludf.DUMMYFUNCTION("IF('From Order'!$A634=COLUMNS($A634:A653), LEFT(INDEX(FILTER(A$1:A633, A$1:A633&lt;&gt;""""),COUNTA(FILTER(A$1:A633, A$1:A633&lt;&gt;""""))), LEN(INDEX(FILTER(A$1:A633, A$1:A633&lt;&gt;""""),COUNTA(FILTER(A$1:A633, A$1:A633&lt;&gt;""""))))-1), IF('To Order'!$A634=COLUMNS($A634:A"&amp;"653), A633&amp;RIGHT(INDIRECT(ADDRESS(ROW(A634)-1, 'From Order'!$A634)), 1), A633))"),"")</f>
        <v/>
      </c>
      <c r="B634" s="2" t="str">
        <f>IFERROR(__xludf.DUMMYFUNCTION("IF('From Order'!$A634=COLUMNS($A634:B653), LEFT(INDEX(FILTER(B$1:B633, B$1:B633&lt;&gt;""""),COUNTA(FILTER(B$1:B633, B$1:B633&lt;&gt;""""))), LEN(INDEX(FILTER(B$1:B633, B$1:B633&lt;&gt;""""),COUNTA(FILTER(B$1:B633, B$1:B633&lt;&gt;""""))))-1), IF('To Order'!$A634=COLUMNS($A634:B"&amp;"653), B633&amp;RIGHT(INDIRECT(ADDRESS(ROW(B634)-1, 'From Order'!$A634)), 1), B633))"),"JZRVPVRZHMFBBFSLTDGSBL")</f>
        <v>JZRVPVRZHMFBBFSLTDGSBL</v>
      </c>
      <c r="C634" s="2" t="str">
        <f>IFERROR(__xludf.DUMMYFUNCTION("IF('From Order'!$A634=COLUMNS($A634:C653), LEFT(INDEX(FILTER(C$1:C633, C$1:C633&lt;&gt;""""),COUNTA(FILTER(C$1:C633, C$1:C633&lt;&gt;""""))), LEN(INDEX(FILTER(C$1:C633, C$1:C633&lt;&gt;""""),COUNTA(FILTER(C$1:C633, C$1:C633&lt;&gt;""""))))-1), IF('To Order'!$A634=COLUMNS($A634:C"&amp;"653), C633&amp;RIGHT(INDIRECT(ADDRESS(ROW(C634)-1, 'From Order'!$A634)), 1), C633))"),"")</f>
        <v/>
      </c>
      <c r="D634" s="2" t="str">
        <f>IFERROR(__xludf.DUMMYFUNCTION("IF('From Order'!$A634=COLUMNS($A634:D653), LEFT(INDEX(FILTER(D$1:D633, D$1:D633&lt;&gt;""""),COUNTA(FILTER(D$1:D633, D$1:D633&lt;&gt;""""))), LEN(INDEX(FILTER(D$1:D633, D$1:D633&lt;&gt;""""),COUNTA(FILTER(D$1:D633, D$1:D633&lt;&gt;""""))))-1), IF('To Order'!$A634=COLUMNS($A634:D"&amp;"653), D633&amp;RIGHT(INDIRECT(ADDRESS(ROW(D634)-1, 'From Order'!$A634)), 1), D633))"),"TMQ")</f>
        <v>TMQ</v>
      </c>
      <c r="E634" s="2" t="str">
        <f>IFERROR(__xludf.DUMMYFUNCTION("IF('From Order'!$A634=COLUMNS($A634:E653), LEFT(INDEX(FILTER(E$1:E633, E$1:E633&lt;&gt;""""),COUNTA(FILTER(E$1:E633, E$1:E633&lt;&gt;""""))), LEN(INDEX(FILTER(E$1:E633, E$1:E633&lt;&gt;""""),COUNTA(FILTER(E$1:E633, E$1:E633&lt;&gt;""""))))-1), IF('To Order'!$A634=COLUMNS($A634:E"&amp;"653), E633&amp;RIGHT(INDIRECT(ADDRESS(ROW(E634)-1, 'From Order'!$A634)), 1), E633))"),"CJ")</f>
        <v>CJ</v>
      </c>
      <c r="F634" s="2" t="str">
        <f>IFERROR(__xludf.DUMMYFUNCTION("IF('From Order'!$A634=COLUMNS($A634:F653), LEFT(INDEX(FILTER(F$1:F633, F$1:F633&lt;&gt;""""),COUNTA(FILTER(F$1:F633, F$1:F633&lt;&gt;""""))), LEN(INDEX(FILTER(F$1:F633, F$1:F633&lt;&gt;""""),COUNTA(FILTER(F$1:F633, F$1:F633&lt;&gt;""""))))-1), IF('To Order'!$A634=COLUMNS($A634:F"&amp;"653), F633&amp;RIGHT(INDIRECT(ADDRESS(ROW(F634)-1, 'From Order'!$A634)), 1), F633))"),"D")</f>
        <v>D</v>
      </c>
      <c r="G634" s="2" t="str">
        <f>IFERROR(__xludf.DUMMYFUNCTION("IF('From Order'!$A634=COLUMNS($A634:G653), LEFT(INDEX(FILTER(G$1:G633, G$1:G633&lt;&gt;""""),COUNTA(FILTER(G$1:G633, G$1:G633&lt;&gt;""""))), LEN(INDEX(FILTER(G$1:G633, G$1:G633&lt;&gt;""""),COUNTA(FILTER(G$1:G633, G$1:G633&lt;&gt;""""))))-1), IF('To Order'!$A634=COLUMNS($A634:G"&amp;"653), G633&amp;RIGHT(INDIRECT(ADDRESS(ROW(G634)-1, 'From Order'!$A634)), 1), G633))"),"")</f>
        <v/>
      </c>
      <c r="H634" s="2" t="str">
        <f>IFERROR(__xludf.DUMMYFUNCTION("IF('From Order'!$A634=COLUMNS($A634:H653), LEFT(INDEX(FILTER(H$1:H633, H$1:H633&lt;&gt;""""),COUNTA(FILTER(H$1:H633, H$1:H633&lt;&gt;""""))), LEN(INDEX(FILTER(H$1:H633, H$1:H633&lt;&gt;""""),COUNTA(FILTER(H$1:H633, H$1:H633&lt;&gt;""""))))-1), IF('To Order'!$A634=COLUMNS($A634:H"&amp;"653), H633&amp;RIGHT(INDIRECT(ADDRESS(ROW(H634)-1, 'From Order'!$A634)), 1), H633))"),"ZMDTCJT")</f>
        <v>ZMDTCJT</v>
      </c>
      <c r="I634" s="2" t="str">
        <f>IFERROR(__xludf.DUMMYFUNCTION("IF('From Order'!$A634=COLUMNS($A634:I653), LEFT(INDEX(FILTER(I$1:I633, I$1:I633&lt;&gt;""""),COUNTA(FILTER(I$1:I633, I$1:I633&lt;&gt;""""))), LEN(INDEX(FILTER(I$1:I633, I$1:I633&lt;&gt;""""),COUNTA(FILTER(I$1:I633, I$1:I633&lt;&gt;""""))))-1), IF('To Order'!$A634=COLUMNS($A634:I"&amp;"653), I633&amp;RIGHT(INDIRECT(ADDRESS(ROW(I634)-1, 'From Order'!$A634)), 1), I633))"),"DTWRDVCBPWHGSSDPQRLRT")</f>
        <v>DTWRDVCBPWHGSSDPQRLRT</v>
      </c>
    </row>
    <row r="635">
      <c r="A635" s="2" t="str">
        <f>IFERROR(__xludf.DUMMYFUNCTION("IF('From Order'!$A635=COLUMNS($A635:A654), LEFT(INDEX(FILTER(A$1:A634, A$1:A634&lt;&gt;""""),COUNTA(FILTER(A$1:A634, A$1:A634&lt;&gt;""""))), LEN(INDEX(FILTER(A$1:A634, A$1:A634&lt;&gt;""""),COUNTA(FILTER(A$1:A634, A$1:A634&lt;&gt;""""))))-1), IF('To Order'!$A635=COLUMNS($A635:A"&amp;"654), A634&amp;RIGHT(INDIRECT(ADDRESS(ROW(A635)-1, 'From Order'!$A635)), 1), A634))"),"")</f>
        <v/>
      </c>
      <c r="B635" s="2" t="str">
        <f>IFERROR(__xludf.DUMMYFUNCTION("IF('From Order'!$A635=COLUMNS($A635:B654), LEFT(INDEX(FILTER(B$1:B634, B$1:B634&lt;&gt;""""),COUNTA(FILTER(B$1:B634, B$1:B634&lt;&gt;""""))), LEN(INDEX(FILTER(B$1:B634, B$1:B634&lt;&gt;""""),COUNTA(FILTER(B$1:B634, B$1:B634&lt;&gt;""""))))-1), IF('To Order'!$A635=COLUMNS($A635:B"&amp;"654), B634&amp;RIGHT(INDIRECT(ADDRESS(ROW(B635)-1, 'From Order'!$A635)), 1), B634))"),"JZRVPVRZHMFBBFSLTDGSBL")</f>
        <v>JZRVPVRZHMFBBFSLTDGSBL</v>
      </c>
      <c r="C635" s="2" t="str">
        <f>IFERROR(__xludf.DUMMYFUNCTION("IF('From Order'!$A635=COLUMNS($A635:C654), LEFT(INDEX(FILTER(C$1:C634, C$1:C634&lt;&gt;""""),COUNTA(FILTER(C$1:C634, C$1:C634&lt;&gt;""""))), LEN(INDEX(FILTER(C$1:C634, C$1:C634&lt;&gt;""""),COUNTA(FILTER(C$1:C634, C$1:C634&lt;&gt;""""))))-1), IF('To Order'!$A635=COLUMNS($A635:C"&amp;"654), C634&amp;RIGHT(INDIRECT(ADDRESS(ROW(C635)-1, 'From Order'!$A635)), 1), C634))"),"")</f>
        <v/>
      </c>
      <c r="D635" s="2" t="str">
        <f>IFERROR(__xludf.DUMMYFUNCTION("IF('From Order'!$A635=COLUMNS($A635:D654), LEFT(INDEX(FILTER(D$1:D634, D$1:D634&lt;&gt;""""),COUNTA(FILTER(D$1:D634, D$1:D634&lt;&gt;""""))), LEN(INDEX(FILTER(D$1:D634, D$1:D634&lt;&gt;""""),COUNTA(FILTER(D$1:D634, D$1:D634&lt;&gt;""""))))-1), IF('To Order'!$A635=COLUMNS($A635:D"&amp;"654), D634&amp;RIGHT(INDIRECT(ADDRESS(ROW(D635)-1, 'From Order'!$A635)), 1), D634))"),"TMQ")</f>
        <v>TMQ</v>
      </c>
      <c r="E635" s="2" t="str">
        <f>IFERROR(__xludf.DUMMYFUNCTION("IF('From Order'!$A635=COLUMNS($A635:E654), LEFT(INDEX(FILTER(E$1:E634, E$1:E634&lt;&gt;""""),COUNTA(FILTER(E$1:E634, E$1:E634&lt;&gt;""""))), LEN(INDEX(FILTER(E$1:E634, E$1:E634&lt;&gt;""""),COUNTA(FILTER(E$1:E634, E$1:E634&lt;&gt;""""))))-1), IF('To Order'!$A635=COLUMNS($A635:E"&amp;"654), E634&amp;RIGHT(INDIRECT(ADDRESS(ROW(E635)-1, 'From Order'!$A635)), 1), E634))"),"CJ")</f>
        <v>CJ</v>
      </c>
      <c r="F635" s="2" t="str">
        <f>IFERROR(__xludf.DUMMYFUNCTION("IF('From Order'!$A635=COLUMNS($A635:F654), LEFT(INDEX(FILTER(F$1:F634, F$1:F634&lt;&gt;""""),COUNTA(FILTER(F$1:F634, F$1:F634&lt;&gt;""""))), LEN(INDEX(FILTER(F$1:F634, F$1:F634&lt;&gt;""""),COUNTA(FILTER(F$1:F634, F$1:F634&lt;&gt;""""))))-1), IF('To Order'!$A635=COLUMNS($A635:F"&amp;"654), F634&amp;RIGHT(INDIRECT(ADDRESS(ROW(F635)-1, 'From Order'!$A635)), 1), F634))"),"")</f>
        <v/>
      </c>
      <c r="G635" s="2" t="str">
        <f>IFERROR(__xludf.DUMMYFUNCTION("IF('From Order'!$A635=COLUMNS($A635:G654), LEFT(INDEX(FILTER(G$1:G634, G$1:G634&lt;&gt;""""),COUNTA(FILTER(G$1:G634, G$1:G634&lt;&gt;""""))), LEN(INDEX(FILTER(G$1:G634, G$1:G634&lt;&gt;""""),COUNTA(FILTER(G$1:G634, G$1:G634&lt;&gt;""""))))-1), IF('To Order'!$A635=COLUMNS($A635:G"&amp;"654), G634&amp;RIGHT(INDIRECT(ADDRESS(ROW(G635)-1, 'From Order'!$A635)), 1), G634))"),"")</f>
        <v/>
      </c>
      <c r="H635" s="2" t="str">
        <f>IFERROR(__xludf.DUMMYFUNCTION("IF('From Order'!$A635=COLUMNS($A635:H654), LEFT(INDEX(FILTER(H$1:H634, H$1:H634&lt;&gt;""""),COUNTA(FILTER(H$1:H634, H$1:H634&lt;&gt;""""))), LEN(INDEX(FILTER(H$1:H634, H$1:H634&lt;&gt;""""),COUNTA(FILTER(H$1:H634, H$1:H634&lt;&gt;""""))))-1), IF('To Order'!$A635=COLUMNS($A635:H"&amp;"654), H634&amp;RIGHT(INDIRECT(ADDRESS(ROW(H635)-1, 'From Order'!$A635)), 1), H634))"),"ZMDTCJT")</f>
        <v>ZMDTCJT</v>
      </c>
      <c r="I635" s="2" t="str">
        <f>IFERROR(__xludf.DUMMYFUNCTION("IF('From Order'!$A635=COLUMNS($A635:I654), LEFT(INDEX(FILTER(I$1:I634, I$1:I634&lt;&gt;""""),COUNTA(FILTER(I$1:I634, I$1:I634&lt;&gt;""""))), LEN(INDEX(FILTER(I$1:I634, I$1:I634&lt;&gt;""""),COUNTA(FILTER(I$1:I634, I$1:I634&lt;&gt;""""))))-1), IF('To Order'!$A635=COLUMNS($A635:I"&amp;"654), I634&amp;RIGHT(INDIRECT(ADDRESS(ROW(I635)-1, 'From Order'!$A635)), 1), I634))"),"DTWRDVCBPWHGSSDPQRLRTD")</f>
        <v>DTWRDVCBPWHGSSDPQRLRTD</v>
      </c>
    </row>
    <row r="636">
      <c r="A636" s="2" t="str">
        <f>IFERROR(__xludf.DUMMYFUNCTION("IF('From Order'!$A636=COLUMNS($A636:A655), LEFT(INDEX(FILTER(A$1:A635, A$1:A635&lt;&gt;""""),COUNTA(FILTER(A$1:A635, A$1:A635&lt;&gt;""""))), LEN(INDEX(FILTER(A$1:A635, A$1:A635&lt;&gt;""""),COUNTA(FILTER(A$1:A635, A$1:A635&lt;&gt;""""))))-1), IF('To Order'!$A636=COLUMNS($A636:A"&amp;"655), A635&amp;RIGHT(INDIRECT(ADDRESS(ROW(A636)-1, 'From Order'!$A636)), 1), A635))"),"")</f>
        <v/>
      </c>
      <c r="B636" s="2" t="str">
        <f>IFERROR(__xludf.DUMMYFUNCTION("IF('From Order'!$A636=COLUMNS($A636:B655), LEFT(INDEX(FILTER(B$1:B635, B$1:B635&lt;&gt;""""),COUNTA(FILTER(B$1:B635, B$1:B635&lt;&gt;""""))), LEN(INDEX(FILTER(B$1:B635, B$1:B635&lt;&gt;""""),COUNTA(FILTER(B$1:B635, B$1:B635&lt;&gt;""""))))-1), IF('To Order'!$A636=COLUMNS($A636:B"&amp;"655), B635&amp;RIGHT(INDIRECT(ADDRESS(ROW(B636)-1, 'From Order'!$A636)), 1), B635))"),"JZRVPVRZHMFBBFSLTDGSBL")</f>
        <v>JZRVPVRZHMFBBFSLTDGSBL</v>
      </c>
      <c r="C636" s="2" t="str">
        <f>IFERROR(__xludf.DUMMYFUNCTION("IF('From Order'!$A636=COLUMNS($A636:C655), LEFT(INDEX(FILTER(C$1:C635, C$1:C635&lt;&gt;""""),COUNTA(FILTER(C$1:C635, C$1:C635&lt;&gt;""""))), LEN(INDEX(FILTER(C$1:C635, C$1:C635&lt;&gt;""""),COUNTA(FILTER(C$1:C635, C$1:C635&lt;&gt;""""))))-1), IF('To Order'!$A636=COLUMNS($A636:C"&amp;"655), C635&amp;RIGHT(INDIRECT(ADDRESS(ROW(C636)-1, 'From Order'!$A636)), 1), C635))"),"")</f>
        <v/>
      </c>
      <c r="D636" s="2" t="str">
        <f>IFERROR(__xludf.DUMMYFUNCTION("IF('From Order'!$A636=COLUMNS($A636:D655), LEFT(INDEX(FILTER(D$1:D635, D$1:D635&lt;&gt;""""),COUNTA(FILTER(D$1:D635, D$1:D635&lt;&gt;""""))), LEN(INDEX(FILTER(D$1:D635, D$1:D635&lt;&gt;""""),COUNTA(FILTER(D$1:D635, D$1:D635&lt;&gt;""""))))-1), IF('To Order'!$A636=COLUMNS($A636:D"&amp;"655), D635&amp;RIGHT(INDIRECT(ADDRESS(ROW(D636)-1, 'From Order'!$A636)), 1), D635))"),"TMQ")</f>
        <v>TMQ</v>
      </c>
      <c r="E636" s="2" t="str">
        <f>IFERROR(__xludf.DUMMYFUNCTION("IF('From Order'!$A636=COLUMNS($A636:E655), LEFT(INDEX(FILTER(E$1:E635, E$1:E635&lt;&gt;""""),COUNTA(FILTER(E$1:E635, E$1:E635&lt;&gt;""""))), LEN(INDEX(FILTER(E$1:E635, E$1:E635&lt;&gt;""""),COUNTA(FILTER(E$1:E635, E$1:E635&lt;&gt;""""))))-1), IF('To Order'!$A636=COLUMNS($A636:E"&amp;"655), E635&amp;RIGHT(INDIRECT(ADDRESS(ROW(E636)-1, 'From Order'!$A636)), 1), E635))"),"CJ")</f>
        <v>CJ</v>
      </c>
      <c r="F636" s="2" t="str">
        <f>IFERROR(__xludf.DUMMYFUNCTION("IF('From Order'!$A636=COLUMNS($A636:F655), LEFT(INDEX(FILTER(F$1:F635, F$1:F635&lt;&gt;""""),COUNTA(FILTER(F$1:F635, F$1:F635&lt;&gt;""""))), LEN(INDEX(FILTER(F$1:F635, F$1:F635&lt;&gt;""""),COUNTA(FILTER(F$1:F635, F$1:F635&lt;&gt;""""))))-1), IF('To Order'!$A636=COLUMNS($A636:F"&amp;"655), F635&amp;RIGHT(INDIRECT(ADDRESS(ROW(F636)-1, 'From Order'!$A636)), 1), F635))"),"")</f>
        <v/>
      </c>
      <c r="G636" s="2" t="str">
        <f>IFERROR(__xludf.DUMMYFUNCTION("IF('From Order'!$A636=COLUMNS($A636:G655), LEFT(INDEX(FILTER(G$1:G635, G$1:G635&lt;&gt;""""),COUNTA(FILTER(G$1:G635, G$1:G635&lt;&gt;""""))), LEN(INDEX(FILTER(G$1:G635, G$1:G635&lt;&gt;""""),COUNTA(FILTER(G$1:G635, G$1:G635&lt;&gt;""""))))-1), IF('To Order'!$A636=COLUMNS($A636:G"&amp;"655), G635&amp;RIGHT(INDIRECT(ADDRESS(ROW(G636)-1, 'From Order'!$A636)), 1), G635))"),"D")</f>
        <v>D</v>
      </c>
      <c r="H636" s="2" t="str">
        <f>IFERROR(__xludf.DUMMYFUNCTION("IF('From Order'!$A636=COLUMNS($A636:H655), LEFT(INDEX(FILTER(H$1:H635, H$1:H635&lt;&gt;""""),COUNTA(FILTER(H$1:H635, H$1:H635&lt;&gt;""""))), LEN(INDEX(FILTER(H$1:H635, H$1:H635&lt;&gt;""""),COUNTA(FILTER(H$1:H635, H$1:H635&lt;&gt;""""))))-1), IF('To Order'!$A636=COLUMNS($A636:H"&amp;"655), H635&amp;RIGHT(INDIRECT(ADDRESS(ROW(H636)-1, 'From Order'!$A636)), 1), H635))"),"ZMDTCJT")</f>
        <v>ZMDTCJT</v>
      </c>
      <c r="I636" s="2" t="str">
        <f>IFERROR(__xludf.DUMMYFUNCTION("IF('From Order'!$A636=COLUMNS($A636:I655), LEFT(INDEX(FILTER(I$1:I635, I$1:I635&lt;&gt;""""),COUNTA(FILTER(I$1:I635, I$1:I635&lt;&gt;""""))), LEN(INDEX(FILTER(I$1:I635, I$1:I635&lt;&gt;""""),COUNTA(FILTER(I$1:I635, I$1:I635&lt;&gt;""""))))-1), IF('To Order'!$A636=COLUMNS($A636:I"&amp;"655), I635&amp;RIGHT(INDIRECT(ADDRESS(ROW(I636)-1, 'From Order'!$A636)), 1), I635))"),"DTWRDVCBPWHGSSDPQRLRT")</f>
        <v>DTWRDVCBPWHGSSDPQRLRT</v>
      </c>
    </row>
    <row r="637">
      <c r="A637" s="2" t="str">
        <f>IFERROR(__xludf.DUMMYFUNCTION("IF('From Order'!$A637=COLUMNS($A637:A656), LEFT(INDEX(FILTER(A$1:A636, A$1:A636&lt;&gt;""""),COUNTA(FILTER(A$1:A636, A$1:A636&lt;&gt;""""))), LEN(INDEX(FILTER(A$1:A636, A$1:A636&lt;&gt;""""),COUNTA(FILTER(A$1:A636, A$1:A636&lt;&gt;""""))))-1), IF('To Order'!$A637=COLUMNS($A637:A"&amp;"656), A636&amp;RIGHT(INDIRECT(ADDRESS(ROW(A637)-1, 'From Order'!$A637)), 1), A636))"),"")</f>
        <v/>
      </c>
      <c r="B637" s="2" t="str">
        <f>IFERROR(__xludf.DUMMYFUNCTION("IF('From Order'!$A637=COLUMNS($A637:B656), LEFT(INDEX(FILTER(B$1:B636, B$1:B636&lt;&gt;""""),COUNTA(FILTER(B$1:B636, B$1:B636&lt;&gt;""""))), LEN(INDEX(FILTER(B$1:B636, B$1:B636&lt;&gt;""""),COUNTA(FILTER(B$1:B636, B$1:B636&lt;&gt;""""))))-1), IF('To Order'!$A637=COLUMNS($A637:B"&amp;"656), B636&amp;RIGHT(INDIRECT(ADDRESS(ROW(B637)-1, 'From Order'!$A637)), 1), B636))"),"JZRVPVRZHMFBBFSLTDGSBL")</f>
        <v>JZRVPVRZHMFBBFSLTDGSBL</v>
      </c>
      <c r="C637" s="2" t="str">
        <f>IFERROR(__xludf.DUMMYFUNCTION("IF('From Order'!$A637=COLUMNS($A637:C656), LEFT(INDEX(FILTER(C$1:C636, C$1:C636&lt;&gt;""""),COUNTA(FILTER(C$1:C636, C$1:C636&lt;&gt;""""))), LEN(INDEX(FILTER(C$1:C636, C$1:C636&lt;&gt;""""),COUNTA(FILTER(C$1:C636, C$1:C636&lt;&gt;""""))))-1), IF('To Order'!$A637=COLUMNS($A637:C"&amp;"656), C636&amp;RIGHT(INDIRECT(ADDRESS(ROW(C637)-1, 'From Order'!$A637)), 1), C636))"),"")</f>
        <v/>
      </c>
      <c r="D637" s="2" t="str">
        <f>IFERROR(__xludf.DUMMYFUNCTION("IF('From Order'!$A637=COLUMNS($A637:D656), LEFT(INDEX(FILTER(D$1:D636, D$1:D636&lt;&gt;""""),COUNTA(FILTER(D$1:D636, D$1:D636&lt;&gt;""""))), LEN(INDEX(FILTER(D$1:D636, D$1:D636&lt;&gt;""""),COUNTA(FILTER(D$1:D636, D$1:D636&lt;&gt;""""))))-1), IF('To Order'!$A637=COLUMNS($A637:D"&amp;"656), D636&amp;RIGHT(INDIRECT(ADDRESS(ROW(D637)-1, 'From Order'!$A637)), 1), D636))"),"TMQ")</f>
        <v>TMQ</v>
      </c>
      <c r="E637" s="2" t="str">
        <f>IFERROR(__xludf.DUMMYFUNCTION("IF('From Order'!$A637=COLUMNS($A637:E656), LEFT(INDEX(FILTER(E$1:E636, E$1:E636&lt;&gt;""""),COUNTA(FILTER(E$1:E636, E$1:E636&lt;&gt;""""))), LEN(INDEX(FILTER(E$1:E636, E$1:E636&lt;&gt;""""),COUNTA(FILTER(E$1:E636, E$1:E636&lt;&gt;""""))))-1), IF('To Order'!$A637=COLUMNS($A637:E"&amp;"656), E636&amp;RIGHT(INDIRECT(ADDRESS(ROW(E637)-1, 'From Order'!$A637)), 1), E636))"),"CJ")</f>
        <v>CJ</v>
      </c>
      <c r="F637" s="2" t="str">
        <f>IFERROR(__xludf.DUMMYFUNCTION("IF('From Order'!$A637=COLUMNS($A637:F656), LEFT(INDEX(FILTER(F$1:F636, F$1:F636&lt;&gt;""""),COUNTA(FILTER(F$1:F636, F$1:F636&lt;&gt;""""))), LEN(INDEX(FILTER(F$1:F636, F$1:F636&lt;&gt;""""),COUNTA(FILTER(F$1:F636, F$1:F636&lt;&gt;""""))))-1), IF('To Order'!$A637=COLUMNS($A637:F"&amp;"656), F636&amp;RIGHT(INDIRECT(ADDRESS(ROW(F637)-1, 'From Order'!$A637)), 1), F636))"),"")</f>
        <v/>
      </c>
      <c r="G637" s="2" t="str">
        <f>IFERROR(__xludf.DUMMYFUNCTION("IF('From Order'!$A637=COLUMNS($A637:G656), LEFT(INDEX(FILTER(G$1:G636, G$1:G636&lt;&gt;""""),COUNTA(FILTER(G$1:G636, G$1:G636&lt;&gt;""""))), LEN(INDEX(FILTER(G$1:G636, G$1:G636&lt;&gt;""""),COUNTA(FILTER(G$1:G636, G$1:G636&lt;&gt;""""))))-1), IF('To Order'!$A637=COLUMNS($A637:G"&amp;"656), G636&amp;RIGHT(INDIRECT(ADDRESS(ROW(G637)-1, 'From Order'!$A637)), 1), G636))"),"DT")</f>
        <v>DT</v>
      </c>
      <c r="H637" s="2" t="str">
        <f>IFERROR(__xludf.DUMMYFUNCTION("IF('From Order'!$A637=COLUMNS($A637:H656), LEFT(INDEX(FILTER(H$1:H636, H$1:H636&lt;&gt;""""),COUNTA(FILTER(H$1:H636, H$1:H636&lt;&gt;""""))), LEN(INDEX(FILTER(H$1:H636, H$1:H636&lt;&gt;""""),COUNTA(FILTER(H$1:H636, H$1:H636&lt;&gt;""""))))-1), IF('To Order'!$A637=COLUMNS($A637:H"&amp;"656), H636&amp;RIGHT(INDIRECT(ADDRESS(ROW(H637)-1, 'From Order'!$A637)), 1), H636))"),"ZMDTCJT")</f>
        <v>ZMDTCJT</v>
      </c>
      <c r="I637" s="2" t="str">
        <f>IFERROR(__xludf.DUMMYFUNCTION("IF('From Order'!$A637=COLUMNS($A637:I656), LEFT(INDEX(FILTER(I$1:I636, I$1:I636&lt;&gt;""""),COUNTA(FILTER(I$1:I636, I$1:I636&lt;&gt;""""))), LEN(INDEX(FILTER(I$1:I636, I$1:I636&lt;&gt;""""),COUNTA(FILTER(I$1:I636, I$1:I636&lt;&gt;""""))))-1), IF('To Order'!$A637=COLUMNS($A637:I"&amp;"656), I636&amp;RIGHT(INDIRECT(ADDRESS(ROW(I637)-1, 'From Order'!$A637)), 1), I636))"),"DTWRDVCBPWHGSSDPQRLR")</f>
        <v>DTWRDVCBPWHGSSDPQRLR</v>
      </c>
    </row>
    <row r="638">
      <c r="A638" s="2" t="str">
        <f>IFERROR(__xludf.DUMMYFUNCTION("IF('From Order'!$A638=COLUMNS($A638:A657), LEFT(INDEX(FILTER(A$1:A637, A$1:A637&lt;&gt;""""),COUNTA(FILTER(A$1:A637, A$1:A637&lt;&gt;""""))), LEN(INDEX(FILTER(A$1:A637, A$1:A637&lt;&gt;""""),COUNTA(FILTER(A$1:A637, A$1:A637&lt;&gt;""""))))-1), IF('To Order'!$A638=COLUMNS($A638:A"&amp;"657), A637&amp;RIGHT(INDIRECT(ADDRESS(ROW(A638)-1, 'From Order'!$A638)), 1), A637))"),"")</f>
        <v/>
      </c>
      <c r="B638" s="2" t="str">
        <f>IFERROR(__xludf.DUMMYFUNCTION("IF('From Order'!$A638=COLUMNS($A638:B657), LEFT(INDEX(FILTER(B$1:B637, B$1:B637&lt;&gt;""""),COUNTA(FILTER(B$1:B637, B$1:B637&lt;&gt;""""))), LEN(INDEX(FILTER(B$1:B637, B$1:B637&lt;&gt;""""),COUNTA(FILTER(B$1:B637, B$1:B637&lt;&gt;""""))))-1), IF('To Order'!$A638=COLUMNS($A638:B"&amp;"657), B637&amp;RIGHT(INDIRECT(ADDRESS(ROW(B638)-1, 'From Order'!$A638)), 1), B637))"),"JZRVPVRZHMFBBFSLTDGSBL")</f>
        <v>JZRVPVRZHMFBBFSLTDGSBL</v>
      </c>
      <c r="C638" s="2" t="str">
        <f>IFERROR(__xludf.DUMMYFUNCTION("IF('From Order'!$A638=COLUMNS($A638:C657), LEFT(INDEX(FILTER(C$1:C637, C$1:C637&lt;&gt;""""),COUNTA(FILTER(C$1:C637, C$1:C637&lt;&gt;""""))), LEN(INDEX(FILTER(C$1:C637, C$1:C637&lt;&gt;""""),COUNTA(FILTER(C$1:C637, C$1:C637&lt;&gt;""""))))-1), IF('To Order'!$A638=COLUMNS($A638:C"&amp;"657), C637&amp;RIGHT(INDIRECT(ADDRESS(ROW(C638)-1, 'From Order'!$A638)), 1), C637))"),"")</f>
        <v/>
      </c>
      <c r="D638" s="2" t="str">
        <f>IFERROR(__xludf.DUMMYFUNCTION("IF('From Order'!$A638=COLUMNS($A638:D657), LEFT(INDEX(FILTER(D$1:D637, D$1:D637&lt;&gt;""""),COUNTA(FILTER(D$1:D637, D$1:D637&lt;&gt;""""))), LEN(INDEX(FILTER(D$1:D637, D$1:D637&lt;&gt;""""),COUNTA(FILTER(D$1:D637, D$1:D637&lt;&gt;""""))))-1), IF('To Order'!$A638=COLUMNS($A638:D"&amp;"657), D637&amp;RIGHT(INDIRECT(ADDRESS(ROW(D638)-1, 'From Order'!$A638)), 1), D637))"),"TMQ")</f>
        <v>TMQ</v>
      </c>
      <c r="E638" s="2" t="str">
        <f>IFERROR(__xludf.DUMMYFUNCTION("IF('From Order'!$A638=COLUMNS($A638:E657), LEFT(INDEX(FILTER(E$1:E637, E$1:E637&lt;&gt;""""),COUNTA(FILTER(E$1:E637, E$1:E637&lt;&gt;""""))), LEN(INDEX(FILTER(E$1:E637, E$1:E637&lt;&gt;""""),COUNTA(FILTER(E$1:E637, E$1:E637&lt;&gt;""""))))-1), IF('To Order'!$A638=COLUMNS($A638:E"&amp;"657), E637&amp;RIGHT(INDIRECT(ADDRESS(ROW(E638)-1, 'From Order'!$A638)), 1), E637))"),"CJ")</f>
        <v>CJ</v>
      </c>
      <c r="F638" s="2" t="str">
        <f>IFERROR(__xludf.DUMMYFUNCTION("IF('From Order'!$A638=COLUMNS($A638:F657), LEFT(INDEX(FILTER(F$1:F637, F$1:F637&lt;&gt;""""),COUNTA(FILTER(F$1:F637, F$1:F637&lt;&gt;""""))), LEN(INDEX(FILTER(F$1:F637, F$1:F637&lt;&gt;""""),COUNTA(FILTER(F$1:F637, F$1:F637&lt;&gt;""""))))-1), IF('To Order'!$A638=COLUMNS($A638:F"&amp;"657), F637&amp;RIGHT(INDIRECT(ADDRESS(ROW(F638)-1, 'From Order'!$A638)), 1), F637))"),"")</f>
        <v/>
      </c>
      <c r="G638" s="2" t="str">
        <f>IFERROR(__xludf.DUMMYFUNCTION("IF('From Order'!$A638=COLUMNS($A638:G657), LEFT(INDEX(FILTER(G$1:G637, G$1:G637&lt;&gt;""""),COUNTA(FILTER(G$1:G637, G$1:G637&lt;&gt;""""))), LEN(INDEX(FILTER(G$1:G637, G$1:G637&lt;&gt;""""),COUNTA(FILTER(G$1:G637, G$1:G637&lt;&gt;""""))))-1), IF('To Order'!$A638=COLUMNS($A638:G"&amp;"657), G637&amp;RIGHT(INDIRECT(ADDRESS(ROW(G638)-1, 'From Order'!$A638)), 1), G637))"),"DTR")</f>
        <v>DTR</v>
      </c>
      <c r="H638" s="2" t="str">
        <f>IFERROR(__xludf.DUMMYFUNCTION("IF('From Order'!$A638=COLUMNS($A638:H657), LEFT(INDEX(FILTER(H$1:H637, H$1:H637&lt;&gt;""""),COUNTA(FILTER(H$1:H637, H$1:H637&lt;&gt;""""))), LEN(INDEX(FILTER(H$1:H637, H$1:H637&lt;&gt;""""),COUNTA(FILTER(H$1:H637, H$1:H637&lt;&gt;""""))))-1), IF('To Order'!$A638=COLUMNS($A638:H"&amp;"657), H637&amp;RIGHT(INDIRECT(ADDRESS(ROW(H638)-1, 'From Order'!$A638)), 1), H637))"),"ZMDTCJT")</f>
        <v>ZMDTCJT</v>
      </c>
      <c r="I638" s="2" t="str">
        <f>IFERROR(__xludf.DUMMYFUNCTION("IF('From Order'!$A638=COLUMNS($A638:I657), LEFT(INDEX(FILTER(I$1:I637, I$1:I637&lt;&gt;""""),COUNTA(FILTER(I$1:I637, I$1:I637&lt;&gt;""""))), LEN(INDEX(FILTER(I$1:I637, I$1:I637&lt;&gt;""""),COUNTA(FILTER(I$1:I637, I$1:I637&lt;&gt;""""))))-1), IF('To Order'!$A638=COLUMNS($A638:I"&amp;"657), I637&amp;RIGHT(INDIRECT(ADDRESS(ROW(I638)-1, 'From Order'!$A638)), 1), I637))"),"DTWRDVCBPWHGSSDPQRL")</f>
        <v>DTWRDVCBPWHGSSDPQRL</v>
      </c>
    </row>
    <row r="639">
      <c r="A639" s="2" t="str">
        <f>IFERROR(__xludf.DUMMYFUNCTION("IF('From Order'!$A639=COLUMNS($A639:A658), LEFT(INDEX(FILTER(A$1:A638, A$1:A638&lt;&gt;""""),COUNTA(FILTER(A$1:A638, A$1:A638&lt;&gt;""""))), LEN(INDEX(FILTER(A$1:A638, A$1:A638&lt;&gt;""""),COUNTA(FILTER(A$1:A638, A$1:A638&lt;&gt;""""))))-1), IF('To Order'!$A639=COLUMNS($A639:A"&amp;"658), A638&amp;RIGHT(INDIRECT(ADDRESS(ROW(A639)-1, 'From Order'!$A639)), 1), A638))"),"")</f>
        <v/>
      </c>
      <c r="B639" s="2" t="str">
        <f>IFERROR(__xludf.DUMMYFUNCTION("IF('From Order'!$A639=COLUMNS($A639:B658), LEFT(INDEX(FILTER(B$1:B638, B$1:B638&lt;&gt;""""),COUNTA(FILTER(B$1:B638, B$1:B638&lt;&gt;""""))), LEN(INDEX(FILTER(B$1:B638, B$1:B638&lt;&gt;""""),COUNTA(FILTER(B$1:B638, B$1:B638&lt;&gt;""""))))-1), IF('To Order'!$A639=COLUMNS($A639:B"&amp;"658), B638&amp;RIGHT(INDIRECT(ADDRESS(ROW(B639)-1, 'From Order'!$A639)), 1), B638))"),"JZRVPVRZHMFBBFSLTDGSBL")</f>
        <v>JZRVPVRZHMFBBFSLTDGSBL</v>
      </c>
      <c r="C639" s="2" t="str">
        <f>IFERROR(__xludf.DUMMYFUNCTION("IF('From Order'!$A639=COLUMNS($A639:C658), LEFT(INDEX(FILTER(C$1:C638, C$1:C638&lt;&gt;""""),COUNTA(FILTER(C$1:C638, C$1:C638&lt;&gt;""""))), LEN(INDEX(FILTER(C$1:C638, C$1:C638&lt;&gt;""""),COUNTA(FILTER(C$1:C638, C$1:C638&lt;&gt;""""))))-1), IF('To Order'!$A639=COLUMNS($A639:C"&amp;"658), C638&amp;RIGHT(INDIRECT(ADDRESS(ROW(C639)-1, 'From Order'!$A639)), 1), C638))"),"")</f>
        <v/>
      </c>
      <c r="D639" s="2" t="str">
        <f>IFERROR(__xludf.DUMMYFUNCTION("IF('From Order'!$A639=COLUMNS($A639:D658), LEFT(INDEX(FILTER(D$1:D638, D$1:D638&lt;&gt;""""),COUNTA(FILTER(D$1:D638, D$1:D638&lt;&gt;""""))), LEN(INDEX(FILTER(D$1:D638, D$1:D638&lt;&gt;""""),COUNTA(FILTER(D$1:D638, D$1:D638&lt;&gt;""""))))-1), IF('To Order'!$A639=COLUMNS($A639:D"&amp;"658), D638&amp;RIGHT(INDIRECT(ADDRESS(ROW(D639)-1, 'From Order'!$A639)), 1), D638))"),"TMQ")</f>
        <v>TMQ</v>
      </c>
      <c r="E639" s="2" t="str">
        <f>IFERROR(__xludf.DUMMYFUNCTION("IF('From Order'!$A639=COLUMNS($A639:E658), LEFT(INDEX(FILTER(E$1:E638, E$1:E638&lt;&gt;""""),COUNTA(FILTER(E$1:E638, E$1:E638&lt;&gt;""""))), LEN(INDEX(FILTER(E$1:E638, E$1:E638&lt;&gt;""""),COUNTA(FILTER(E$1:E638, E$1:E638&lt;&gt;""""))))-1), IF('To Order'!$A639=COLUMNS($A639:E"&amp;"658), E638&amp;RIGHT(INDIRECT(ADDRESS(ROW(E639)-1, 'From Order'!$A639)), 1), E638))"),"CJ")</f>
        <v>CJ</v>
      </c>
      <c r="F639" s="2" t="str">
        <f>IFERROR(__xludf.DUMMYFUNCTION("IF('From Order'!$A639=COLUMNS($A639:F658), LEFT(INDEX(FILTER(F$1:F638, F$1:F638&lt;&gt;""""),COUNTA(FILTER(F$1:F638, F$1:F638&lt;&gt;""""))), LEN(INDEX(FILTER(F$1:F638, F$1:F638&lt;&gt;""""),COUNTA(FILTER(F$1:F638, F$1:F638&lt;&gt;""""))))-1), IF('To Order'!$A639=COLUMNS($A639:F"&amp;"658), F638&amp;RIGHT(INDIRECT(ADDRESS(ROW(F639)-1, 'From Order'!$A639)), 1), F638))"),"")</f>
        <v/>
      </c>
      <c r="G639" s="2" t="str">
        <f>IFERROR(__xludf.DUMMYFUNCTION("IF('From Order'!$A639=COLUMNS($A639:G658), LEFT(INDEX(FILTER(G$1:G638, G$1:G638&lt;&gt;""""),COUNTA(FILTER(G$1:G638, G$1:G638&lt;&gt;""""))), LEN(INDEX(FILTER(G$1:G638, G$1:G638&lt;&gt;""""),COUNTA(FILTER(G$1:G638, G$1:G638&lt;&gt;""""))))-1), IF('To Order'!$A639=COLUMNS($A639:G"&amp;"658), G638&amp;RIGHT(INDIRECT(ADDRESS(ROW(G639)-1, 'From Order'!$A639)), 1), G638))"),"DTRL")</f>
        <v>DTRL</v>
      </c>
      <c r="H639" s="2" t="str">
        <f>IFERROR(__xludf.DUMMYFUNCTION("IF('From Order'!$A639=COLUMNS($A639:H658), LEFT(INDEX(FILTER(H$1:H638, H$1:H638&lt;&gt;""""),COUNTA(FILTER(H$1:H638, H$1:H638&lt;&gt;""""))), LEN(INDEX(FILTER(H$1:H638, H$1:H638&lt;&gt;""""),COUNTA(FILTER(H$1:H638, H$1:H638&lt;&gt;""""))))-1), IF('To Order'!$A639=COLUMNS($A639:H"&amp;"658), H638&amp;RIGHT(INDIRECT(ADDRESS(ROW(H639)-1, 'From Order'!$A639)), 1), H638))"),"ZMDTCJT")</f>
        <v>ZMDTCJT</v>
      </c>
      <c r="I639" s="2" t="str">
        <f>IFERROR(__xludf.DUMMYFUNCTION("IF('From Order'!$A639=COLUMNS($A639:I658), LEFT(INDEX(FILTER(I$1:I638, I$1:I638&lt;&gt;""""),COUNTA(FILTER(I$1:I638, I$1:I638&lt;&gt;""""))), LEN(INDEX(FILTER(I$1:I638, I$1:I638&lt;&gt;""""),COUNTA(FILTER(I$1:I638, I$1:I638&lt;&gt;""""))))-1), IF('To Order'!$A639=COLUMNS($A639:I"&amp;"658), I638&amp;RIGHT(INDIRECT(ADDRESS(ROW(I639)-1, 'From Order'!$A639)), 1), I638))"),"DTWRDVCBPWHGSSDPQR")</f>
        <v>DTWRDVCBPWHGSSDPQR</v>
      </c>
    </row>
    <row r="640">
      <c r="A640" s="2" t="str">
        <f>IFERROR(__xludf.DUMMYFUNCTION("IF('From Order'!$A640=COLUMNS($A640:A659), LEFT(INDEX(FILTER(A$1:A639, A$1:A639&lt;&gt;""""),COUNTA(FILTER(A$1:A639, A$1:A639&lt;&gt;""""))), LEN(INDEX(FILTER(A$1:A639, A$1:A639&lt;&gt;""""),COUNTA(FILTER(A$1:A639, A$1:A639&lt;&gt;""""))))-1), IF('To Order'!$A640=COLUMNS($A640:A"&amp;"659), A639&amp;RIGHT(INDIRECT(ADDRESS(ROW(A640)-1, 'From Order'!$A640)), 1), A639))"),"")</f>
        <v/>
      </c>
      <c r="B640" s="2" t="str">
        <f>IFERROR(__xludf.DUMMYFUNCTION("IF('From Order'!$A640=COLUMNS($A640:B659), LEFT(INDEX(FILTER(B$1:B639, B$1:B639&lt;&gt;""""),COUNTA(FILTER(B$1:B639, B$1:B639&lt;&gt;""""))), LEN(INDEX(FILTER(B$1:B639, B$1:B639&lt;&gt;""""),COUNTA(FILTER(B$1:B639, B$1:B639&lt;&gt;""""))))-1), IF('To Order'!$A640=COLUMNS($A640:B"&amp;"659), B639&amp;RIGHT(INDIRECT(ADDRESS(ROW(B640)-1, 'From Order'!$A640)), 1), B639))"),"JZRVPVRZHMFBBFSLTDGSBL")</f>
        <v>JZRVPVRZHMFBBFSLTDGSBL</v>
      </c>
      <c r="C640" s="2" t="str">
        <f>IFERROR(__xludf.DUMMYFUNCTION("IF('From Order'!$A640=COLUMNS($A640:C659), LEFT(INDEX(FILTER(C$1:C639, C$1:C639&lt;&gt;""""),COUNTA(FILTER(C$1:C639, C$1:C639&lt;&gt;""""))), LEN(INDEX(FILTER(C$1:C639, C$1:C639&lt;&gt;""""),COUNTA(FILTER(C$1:C639, C$1:C639&lt;&gt;""""))))-1), IF('To Order'!$A640=COLUMNS($A640:C"&amp;"659), C639&amp;RIGHT(INDIRECT(ADDRESS(ROW(C640)-1, 'From Order'!$A640)), 1), C639))"),"")</f>
        <v/>
      </c>
      <c r="D640" s="2" t="str">
        <f>IFERROR(__xludf.DUMMYFUNCTION("IF('From Order'!$A640=COLUMNS($A640:D659), LEFT(INDEX(FILTER(D$1:D639, D$1:D639&lt;&gt;""""),COUNTA(FILTER(D$1:D639, D$1:D639&lt;&gt;""""))), LEN(INDEX(FILTER(D$1:D639, D$1:D639&lt;&gt;""""),COUNTA(FILTER(D$1:D639, D$1:D639&lt;&gt;""""))))-1), IF('To Order'!$A640=COLUMNS($A640:D"&amp;"659), D639&amp;RIGHT(INDIRECT(ADDRESS(ROW(D640)-1, 'From Order'!$A640)), 1), D639))"),"TMQ")</f>
        <v>TMQ</v>
      </c>
      <c r="E640" s="2" t="str">
        <f>IFERROR(__xludf.DUMMYFUNCTION("IF('From Order'!$A640=COLUMNS($A640:E659), LEFT(INDEX(FILTER(E$1:E639, E$1:E639&lt;&gt;""""),COUNTA(FILTER(E$1:E639, E$1:E639&lt;&gt;""""))), LEN(INDEX(FILTER(E$1:E639, E$1:E639&lt;&gt;""""),COUNTA(FILTER(E$1:E639, E$1:E639&lt;&gt;""""))))-1), IF('To Order'!$A640=COLUMNS($A640:E"&amp;"659), E639&amp;RIGHT(INDIRECT(ADDRESS(ROW(E640)-1, 'From Order'!$A640)), 1), E639))"),"CJ")</f>
        <v>CJ</v>
      </c>
      <c r="F640" s="2" t="str">
        <f>IFERROR(__xludf.DUMMYFUNCTION("IF('From Order'!$A640=COLUMNS($A640:F659), LEFT(INDEX(FILTER(F$1:F639, F$1:F639&lt;&gt;""""),COUNTA(FILTER(F$1:F639, F$1:F639&lt;&gt;""""))), LEN(INDEX(FILTER(F$1:F639, F$1:F639&lt;&gt;""""),COUNTA(FILTER(F$1:F639, F$1:F639&lt;&gt;""""))))-1), IF('To Order'!$A640=COLUMNS($A640:F"&amp;"659), F639&amp;RIGHT(INDIRECT(ADDRESS(ROW(F640)-1, 'From Order'!$A640)), 1), F639))"),"")</f>
        <v/>
      </c>
      <c r="G640" s="2" t="str">
        <f>IFERROR(__xludf.DUMMYFUNCTION("IF('From Order'!$A640=COLUMNS($A640:G659), LEFT(INDEX(FILTER(G$1:G639, G$1:G639&lt;&gt;""""),COUNTA(FILTER(G$1:G639, G$1:G639&lt;&gt;""""))), LEN(INDEX(FILTER(G$1:G639, G$1:G639&lt;&gt;""""),COUNTA(FILTER(G$1:G639, G$1:G639&lt;&gt;""""))))-1), IF('To Order'!$A640=COLUMNS($A640:G"&amp;"659), G639&amp;RIGHT(INDIRECT(ADDRESS(ROW(G640)-1, 'From Order'!$A640)), 1), G639))"),"DTRLR")</f>
        <v>DTRLR</v>
      </c>
      <c r="H640" s="2" t="str">
        <f>IFERROR(__xludf.DUMMYFUNCTION("IF('From Order'!$A640=COLUMNS($A640:H659), LEFT(INDEX(FILTER(H$1:H639, H$1:H639&lt;&gt;""""),COUNTA(FILTER(H$1:H639, H$1:H639&lt;&gt;""""))), LEN(INDEX(FILTER(H$1:H639, H$1:H639&lt;&gt;""""),COUNTA(FILTER(H$1:H639, H$1:H639&lt;&gt;""""))))-1), IF('To Order'!$A640=COLUMNS($A640:H"&amp;"659), H639&amp;RIGHT(INDIRECT(ADDRESS(ROW(H640)-1, 'From Order'!$A640)), 1), H639))"),"ZMDTCJT")</f>
        <v>ZMDTCJT</v>
      </c>
      <c r="I640" s="2" t="str">
        <f>IFERROR(__xludf.DUMMYFUNCTION("IF('From Order'!$A640=COLUMNS($A640:I659), LEFT(INDEX(FILTER(I$1:I639, I$1:I639&lt;&gt;""""),COUNTA(FILTER(I$1:I639, I$1:I639&lt;&gt;""""))), LEN(INDEX(FILTER(I$1:I639, I$1:I639&lt;&gt;""""),COUNTA(FILTER(I$1:I639, I$1:I639&lt;&gt;""""))))-1), IF('To Order'!$A640=COLUMNS($A640:I"&amp;"659), I639&amp;RIGHT(INDIRECT(ADDRESS(ROW(I640)-1, 'From Order'!$A640)), 1), I639))"),"DTWRDVCBPWHGSSDPQ")</f>
        <v>DTWRDVCBPWHGSSDPQ</v>
      </c>
    </row>
    <row r="641">
      <c r="A641" s="2" t="str">
        <f>IFERROR(__xludf.DUMMYFUNCTION("IF('From Order'!$A641=COLUMNS($A641:A660), LEFT(INDEX(FILTER(A$1:A640, A$1:A640&lt;&gt;""""),COUNTA(FILTER(A$1:A640, A$1:A640&lt;&gt;""""))), LEN(INDEX(FILTER(A$1:A640, A$1:A640&lt;&gt;""""),COUNTA(FILTER(A$1:A640, A$1:A640&lt;&gt;""""))))-1), IF('To Order'!$A641=COLUMNS($A641:A"&amp;"660), A640&amp;RIGHT(INDIRECT(ADDRESS(ROW(A641)-1, 'From Order'!$A641)), 1), A640))"),"")</f>
        <v/>
      </c>
      <c r="B641" s="2" t="str">
        <f>IFERROR(__xludf.DUMMYFUNCTION("IF('From Order'!$A641=COLUMNS($A641:B660), LEFT(INDEX(FILTER(B$1:B640, B$1:B640&lt;&gt;""""),COUNTA(FILTER(B$1:B640, B$1:B640&lt;&gt;""""))), LEN(INDEX(FILTER(B$1:B640, B$1:B640&lt;&gt;""""),COUNTA(FILTER(B$1:B640, B$1:B640&lt;&gt;""""))))-1), IF('To Order'!$A641=COLUMNS($A641:B"&amp;"660), B640&amp;RIGHT(INDIRECT(ADDRESS(ROW(B641)-1, 'From Order'!$A641)), 1), B640))"),"JZRVPVRZHMFBBFSLTDGSBL")</f>
        <v>JZRVPVRZHMFBBFSLTDGSBL</v>
      </c>
      <c r="C641" s="2" t="str">
        <f>IFERROR(__xludf.DUMMYFUNCTION("IF('From Order'!$A641=COLUMNS($A641:C660), LEFT(INDEX(FILTER(C$1:C640, C$1:C640&lt;&gt;""""),COUNTA(FILTER(C$1:C640, C$1:C640&lt;&gt;""""))), LEN(INDEX(FILTER(C$1:C640, C$1:C640&lt;&gt;""""),COUNTA(FILTER(C$1:C640, C$1:C640&lt;&gt;""""))))-1), IF('To Order'!$A641=COLUMNS($A641:C"&amp;"660), C640&amp;RIGHT(INDIRECT(ADDRESS(ROW(C641)-1, 'From Order'!$A641)), 1), C640))"),"")</f>
        <v/>
      </c>
      <c r="D641" s="2" t="str">
        <f>IFERROR(__xludf.DUMMYFUNCTION("IF('From Order'!$A641=COLUMNS($A641:D660), LEFT(INDEX(FILTER(D$1:D640, D$1:D640&lt;&gt;""""),COUNTA(FILTER(D$1:D640, D$1:D640&lt;&gt;""""))), LEN(INDEX(FILTER(D$1:D640, D$1:D640&lt;&gt;""""),COUNTA(FILTER(D$1:D640, D$1:D640&lt;&gt;""""))))-1), IF('To Order'!$A641=COLUMNS($A641:D"&amp;"660), D640&amp;RIGHT(INDIRECT(ADDRESS(ROW(D641)-1, 'From Order'!$A641)), 1), D640))"),"TMQ")</f>
        <v>TMQ</v>
      </c>
      <c r="E641" s="2" t="str">
        <f>IFERROR(__xludf.DUMMYFUNCTION("IF('From Order'!$A641=COLUMNS($A641:E660), LEFT(INDEX(FILTER(E$1:E640, E$1:E640&lt;&gt;""""),COUNTA(FILTER(E$1:E640, E$1:E640&lt;&gt;""""))), LEN(INDEX(FILTER(E$1:E640, E$1:E640&lt;&gt;""""),COUNTA(FILTER(E$1:E640, E$1:E640&lt;&gt;""""))))-1), IF('To Order'!$A641=COLUMNS($A641:E"&amp;"660), E640&amp;RIGHT(INDIRECT(ADDRESS(ROW(E641)-1, 'From Order'!$A641)), 1), E640))"),"CJ")</f>
        <v>CJ</v>
      </c>
      <c r="F641" s="2" t="str">
        <f>IFERROR(__xludf.DUMMYFUNCTION("IF('From Order'!$A641=COLUMNS($A641:F660), LEFT(INDEX(FILTER(F$1:F640, F$1:F640&lt;&gt;""""),COUNTA(FILTER(F$1:F640, F$1:F640&lt;&gt;""""))), LEN(INDEX(FILTER(F$1:F640, F$1:F640&lt;&gt;""""),COUNTA(FILTER(F$1:F640, F$1:F640&lt;&gt;""""))))-1), IF('To Order'!$A641=COLUMNS($A641:F"&amp;"660), F640&amp;RIGHT(INDIRECT(ADDRESS(ROW(F641)-1, 'From Order'!$A641)), 1), F640))"),"")</f>
        <v/>
      </c>
      <c r="G641" s="2" t="str">
        <f>IFERROR(__xludf.DUMMYFUNCTION("IF('From Order'!$A641=COLUMNS($A641:G660), LEFT(INDEX(FILTER(G$1:G640, G$1:G640&lt;&gt;""""),COUNTA(FILTER(G$1:G640, G$1:G640&lt;&gt;""""))), LEN(INDEX(FILTER(G$1:G640, G$1:G640&lt;&gt;""""),COUNTA(FILTER(G$1:G640, G$1:G640&lt;&gt;""""))))-1), IF('To Order'!$A641=COLUMNS($A641:G"&amp;"660), G640&amp;RIGHT(INDIRECT(ADDRESS(ROW(G641)-1, 'From Order'!$A641)), 1), G640))"),"DTRLRQ")</f>
        <v>DTRLRQ</v>
      </c>
      <c r="H641" s="2" t="str">
        <f>IFERROR(__xludf.DUMMYFUNCTION("IF('From Order'!$A641=COLUMNS($A641:H660), LEFT(INDEX(FILTER(H$1:H640, H$1:H640&lt;&gt;""""),COUNTA(FILTER(H$1:H640, H$1:H640&lt;&gt;""""))), LEN(INDEX(FILTER(H$1:H640, H$1:H640&lt;&gt;""""),COUNTA(FILTER(H$1:H640, H$1:H640&lt;&gt;""""))))-1), IF('To Order'!$A641=COLUMNS($A641:H"&amp;"660), H640&amp;RIGHT(INDIRECT(ADDRESS(ROW(H641)-1, 'From Order'!$A641)), 1), H640))"),"ZMDTCJT")</f>
        <v>ZMDTCJT</v>
      </c>
      <c r="I641" s="2" t="str">
        <f>IFERROR(__xludf.DUMMYFUNCTION("IF('From Order'!$A641=COLUMNS($A641:I660), LEFT(INDEX(FILTER(I$1:I640, I$1:I640&lt;&gt;""""),COUNTA(FILTER(I$1:I640, I$1:I640&lt;&gt;""""))), LEN(INDEX(FILTER(I$1:I640, I$1:I640&lt;&gt;""""),COUNTA(FILTER(I$1:I640, I$1:I640&lt;&gt;""""))))-1), IF('To Order'!$A641=COLUMNS($A641:I"&amp;"660), I640&amp;RIGHT(INDIRECT(ADDRESS(ROW(I641)-1, 'From Order'!$A641)), 1), I640))"),"DTWRDVCBPWHGSSDP")</f>
        <v>DTWRDVCBPWHGSSDP</v>
      </c>
    </row>
    <row r="642">
      <c r="A642" s="2" t="str">
        <f>IFERROR(__xludf.DUMMYFUNCTION("IF('From Order'!$A642=COLUMNS($A642:A661), LEFT(INDEX(FILTER(A$1:A641, A$1:A641&lt;&gt;""""),COUNTA(FILTER(A$1:A641, A$1:A641&lt;&gt;""""))), LEN(INDEX(FILTER(A$1:A641, A$1:A641&lt;&gt;""""),COUNTA(FILTER(A$1:A641, A$1:A641&lt;&gt;""""))))-1), IF('To Order'!$A642=COLUMNS($A642:A"&amp;"661), A641&amp;RIGHT(INDIRECT(ADDRESS(ROW(A642)-1, 'From Order'!$A642)), 1), A641))"),"")</f>
        <v/>
      </c>
      <c r="B642" s="2" t="str">
        <f>IFERROR(__xludf.DUMMYFUNCTION("IF('From Order'!$A642=COLUMNS($A642:B661), LEFT(INDEX(FILTER(B$1:B641, B$1:B641&lt;&gt;""""),COUNTA(FILTER(B$1:B641, B$1:B641&lt;&gt;""""))), LEN(INDEX(FILTER(B$1:B641, B$1:B641&lt;&gt;""""),COUNTA(FILTER(B$1:B641, B$1:B641&lt;&gt;""""))))-1), IF('To Order'!$A642=COLUMNS($A642:B"&amp;"661), B641&amp;RIGHT(INDIRECT(ADDRESS(ROW(B642)-1, 'From Order'!$A642)), 1), B641))"),"JZRVPVRZHMFBBFSLTDGSBL")</f>
        <v>JZRVPVRZHMFBBFSLTDGSBL</v>
      </c>
      <c r="C642" s="2" t="str">
        <f>IFERROR(__xludf.DUMMYFUNCTION("IF('From Order'!$A642=COLUMNS($A642:C661), LEFT(INDEX(FILTER(C$1:C641, C$1:C641&lt;&gt;""""),COUNTA(FILTER(C$1:C641, C$1:C641&lt;&gt;""""))), LEN(INDEX(FILTER(C$1:C641, C$1:C641&lt;&gt;""""),COUNTA(FILTER(C$1:C641, C$1:C641&lt;&gt;""""))))-1), IF('To Order'!$A642=COLUMNS($A642:C"&amp;"661), C641&amp;RIGHT(INDIRECT(ADDRESS(ROW(C642)-1, 'From Order'!$A642)), 1), C641))"),"")</f>
        <v/>
      </c>
      <c r="D642" s="2" t="str">
        <f>IFERROR(__xludf.DUMMYFUNCTION("IF('From Order'!$A642=COLUMNS($A642:D661), LEFT(INDEX(FILTER(D$1:D641, D$1:D641&lt;&gt;""""),COUNTA(FILTER(D$1:D641, D$1:D641&lt;&gt;""""))), LEN(INDEX(FILTER(D$1:D641, D$1:D641&lt;&gt;""""),COUNTA(FILTER(D$1:D641, D$1:D641&lt;&gt;""""))))-1), IF('To Order'!$A642=COLUMNS($A642:D"&amp;"661), D641&amp;RIGHT(INDIRECT(ADDRESS(ROW(D642)-1, 'From Order'!$A642)), 1), D641))"),"TMQ")</f>
        <v>TMQ</v>
      </c>
      <c r="E642" s="2" t="str">
        <f>IFERROR(__xludf.DUMMYFUNCTION("IF('From Order'!$A642=COLUMNS($A642:E661), LEFT(INDEX(FILTER(E$1:E641, E$1:E641&lt;&gt;""""),COUNTA(FILTER(E$1:E641, E$1:E641&lt;&gt;""""))), LEN(INDEX(FILTER(E$1:E641, E$1:E641&lt;&gt;""""),COUNTA(FILTER(E$1:E641, E$1:E641&lt;&gt;""""))))-1), IF('To Order'!$A642=COLUMNS($A642:E"&amp;"661), E641&amp;RIGHT(INDIRECT(ADDRESS(ROW(E642)-1, 'From Order'!$A642)), 1), E641))"),"CJ")</f>
        <v>CJ</v>
      </c>
      <c r="F642" s="2" t="str">
        <f>IFERROR(__xludf.DUMMYFUNCTION("IF('From Order'!$A642=COLUMNS($A642:F661), LEFT(INDEX(FILTER(F$1:F641, F$1:F641&lt;&gt;""""),COUNTA(FILTER(F$1:F641, F$1:F641&lt;&gt;""""))), LEN(INDEX(FILTER(F$1:F641, F$1:F641&lt;&gt;""""),COUNTA(FILTER(F$1:F641, F$1:F641&lt;&gt;""""))))-1), IF('To Order'!$A642=COLUMNS($A642:F"&amp;"661), F641&amp;RIGHT(INDIRECT(ADDRESS(ROW(F642)-1, 'From Order'!$A642)), 1), F641))"),"")</f>
        <v/>
      </c>
      <c r="G642" s="2" t="str">
        <f>IFERROR(__xludf.DUMMYFUNCTION("IF('From Order'!$A642=COLUMNS($A642:G661), LEFT(INDEX(FILTER(G$1:G641, G$1:G641&lt;&gt;""""),COUNTA(FILTER(G$1:G641, G$1:G641&lt;&gt;""""))), LEN(INDEX(FILTER(G$1:G641, G$1:G641&lt;&gt;""""),COUNTA(FILTER(G$1:G641, G$1:G641&lt;&gt;""""))))-1), IF('To Order'!$A642=COLUMNS($A642:G"&amp;"661), G641&amp;RIGHT(INDIRECT(ADDRESS(ROW(G642)-1, 'From Order'!$A642)), 1), G641))"),"DTRLRQP")</f>
        <v>DTRLRQP</v>
      </c>
      <c r="H642" s="2" t="str">
        <f>IFERROR(__xludf.DUMMYFUNCTION("IF('From Order'!$A642=COLUMNS($A642:H661), LEFT(INDEX(FILTER(H$1:H641, H$1:H641&lt;&gt;""""),COUNTA(FILTER(H$1:H641, H$1:H641&lt;&gt;""""))), LEN(INDEX(FILTER(H$1:H641, H$1:H641&lt;&gt;""""),COUNTA(FILTER(H$1:H641, H$1:H641&lt;&gt;""""))))-1), IF('To Order'!$A642=COLUMNS($A642:H"&amp;"661), H641&amp;RIGHT(INDIRECT(ADDRESS(ROW(H642)-1, 'From Order'!$A642)), 1), H641))"),"ZMDTCJT")</f>
        <v>ZMDTCJT</v>
      </c>
      <c r="I642" s="2" t="str">
        <f>IFERROR(__xludf.DUMMYFUNCTION("IF('From Order'!$A642=COLUMNS($A642:I661), LEFT(INDEX(FILTER(I$1:I641, I$1:I641&lt;&gt;""""),COUNTA(FILTER(I$1:I641, I$1:I641&lt;&gt;""""))), LEN(INDEX(FILTER(I$1:I641, I$1:I641&lt;&gt;""""),COUNTA(FILTER(I$1:I641, I$1:I641&lt;&gt;""""))))-1), IF('To Order'!$A642=COLUMNS($A642:I"&amp;"661), I641&amp;RIGHT(INDIRECT(ADDRESS(ROW(I642)-1, 'From Order'!$A642)), 1), I641))"),"DTWRDVCBPWHGSSD")</f>
        <v>DTWRDVCBPWHGSSD</v>
      </c>
    </row>
    <row r="643">
      <c r="A643" s="2" t="str">
        <f>IFERROR(__xludf.DUMMYFUNCTION("IF('From Order'!$A643=COLUMNS($A643:A662), LEFT(INDEX(FILTER(A$1:A642, A$1:A642&lt;&gt;""""),COUNTA(FILTER(A$1:A642, A$1:A642&lt;&gt;""""))), LEN(INDEX(FILTER(A$1:A642, A$1:A642&lt;&gt;""""),COUNTA(FILTER(A$1:A642, A$1:A642&lt;&gt;""""))))-1), IF('To Order'!$A643=COLUMNS($A643:A"&amp;"662), A642&amp;RIGHT(INDIRECT(ADDRESS(ROW(A643)-1, 'From Order'!$A643)), 1), A642))"),"")</f>
        <v/>
      </c>
      <c r="B643" s="2" t="str">
        <f>IFERROR(__xludf.DUMMYFUNCTION("IF('From Order'!$A643=COLUMNS($A643:B662), LEFT(INDEX(FILTER(B$1:B642, B$1:B642&lt;&gt;""""),COUNTA(FILTER(B$1:B642, B$1:B642&lt;&gt;""""))), LEN(INDEX(FILTER(B$1:B642, B$1:B642&lt;&gt;""""),COUNTA(FILTER(B$1:B642, B$1:B642&lt;&gt;""""))))-1), IF('To Order'!$A643=COLUMNS($A643:B"&amp;"662), B642&amp;RIGHT(INDIRECT(ADDRESS(ROW(B643)-1, 'From Order'!$A643)), 1), B642))"),"JZRVPVRZHMFBBFSLTDGSBL")</f>
        <v>JZRVPVRZHMFBBFSLTDGSBL</v>
      </c>
      <c r="C643" s="2" t="str">
        <f>IFERROR(__xludf.DUMMYFUNCTION("IF('From Order'!$A643=COLUMNS($A643:C662), LEFT(INDEX(FILTER(C$1:C642, C$1:C642&lt;&gt;""""),COUNTA(FILTER(C$1:C642, C$1:C642&lt;&gt;""""))), LEN(INDEX(FILTER(C$1:C642, C$1:C642&lt;&gt;""""),COUNTA(FILTER(C$1:C642, C$1:C642&lt;&gt;""""))))-1), IF('To Order'!$A643=COLUMNS($A643:C"&amp;"662), C642&amp;RIGHT(INDIRECT(ADDRESS(ROW(C643)-1, 'From Order'!$A643)), 1), C642))"),"")</f>
        <v/>
      </c>
      <c r="D643" s="2" t="str">
        <f>IFERROR(__xludf.DUMMYFUNCTION("IF('From Order'!$A643=COLUMNS($A643:D662), LEFT(INDEX(FILTER(D$1:D642, D$1:D642&lt;&gt;""""),COUNTA(FILTER(D$1:D642, D$1:D642&lt;&gt;""""))), LEN(INDEX(FILTER(D$1:D642, D$1:D642&lt;&gt;""""),COUNTA(FILTER(D$1:D642, D$1:D642&lt;&gt;""""))))-1), IF('To Order'!$A643=COLUMNS($A643:D"&amp;"662), D642&amp;RIGHT(INDIRECT(ADDRESS(ROW(D643)-1, 'From Order'!$A643)), 1), D642))"),"TMQ")</f>
        <v>TMQ</v>
      </c>
      <c r="E643" s="2" t="str">
        <f>IFERROR(__xludf.DUMMYFUNCTION("IF('From Order'!$A643=COLUMNS($A643:E662), LEFT(INDEX(FILTER(E$1:E642, E$1:E642&lt;&gt;""""),COUNTA(FILTER(E$1:E642, E$1:E642&lt;&gt;""""))), LEN(INDEX(FILTER(E$1:E642, E$1:E642&lt;&gt;""""),COUNTA(FILTER(E$1:E642, E$1:E642&lt;&gt;""""))))-1), IF('To Order'!$A643=COLUMNS($A643:E"&amp;"662), E642&amp;RIGHT(INDIRECT(ADDRESS(ROW(E643)-1, 'From Order'!$A643)), 1), E642))"),"CJ")</f>
        <v>CJ</v>
      </c>
      <c r="F643" s="2" t="str">
        <f>IFERROR(__xludf.DUMMYFUNCTION("IF('From Order'!$A643=COLUMNS($A643:F662), LEFT(INDEX(FILTER(F$1:F642, F$1:F642&lt;&gt;""""),COUNTA(FILTER(F$1:F642, F$1:F642&lt;&gt;""""))), LEN(INDEX(FILTER(F$1:F642, F$1:F642&lt;&gt;""""),COUNTA(FILTER(F$1:F642, F$1:F642&lt;&gt;""""))))-1), IF('To Order'!$A643=COLUMNS($A643:F"&amp;"662), F642&amp;RIGHT(INDIRECT(ADDRESS(ROW(F643)-1, 'From Order'!$A643)), 1), F642))"),"")</f>
        <v/>
      </c>
      <c r="G643" s="2" t="str">
        <f>IFERROR(__xludf.DUMMYFUNCTION("IF('From Order'!$A643=COLUMNS($A643:G662), LEFT(INDEX(FILTER(G$1:G642, G$1:G642&lt;&gt;""""),COUNTA(FILTER(G$1:G642, G$1:G642&lt;&gt;""""))), LEN(INDEX(FILTER(G$1:G642, G$1:G642&lt;&gt;""""),COUNTA(FILTER(G$1:G642, G$1:G642&lt;&gt;""""))))-1), IF('To Order'!$A643=COLUMNS($A643:G"&amp;"662), G642&amp;RIGHT(INDIRECT(ADDRESS(ROW(G643)-1, 'From Order'!$A643)), 1), G642))"),"DTRLRQPD")</f>
        <v>DTRLRQPD</v>
      </c>
      <c r="H643" s="2" t="str">
        <f>IFERROR(__xludf.DUMMYFUNCTION("IF('From Order'!$A643=COLUMNS($A643:H662), LEFT(INDEX(FILTER(H$1:H642, H$1:H642&lt;&gt;""""),COUNTA(FILTER(H$1:H642, H$1:H642&lt;&gt;""""))), LEN(INDEX(FILTER(H$1:H642, H$1:H642&lt;&gt;""""),COUNTA(FILTER(H$1:H642, H$1:H642&lt;&gt;""""))))-1), IF('To Order'!$A643=COLUMNS($A643:H"&amp;"662), H642&amp;RIGHT(INDIRECT(ADDRESS(ROW(H643)-1, 'From Order'!$A643)), 1), H642))"),"ZMDTCJT")</f>
        <v>ZMDTCJT</v>
      </c>
      <c r="I643" s="2" t="str">
        <f>IFERROR(__xludf.DUMMYFUNCTION("IF('From Order'!$A643=COLUMNS($A643:I662), LEFT(INDEX(FILTER(I$1:I642, I$1:I642&lt;&gt;""""),COUNTA(FILTER(I$1:I642, I$1:I642&lt;&gt;""""))), LEN(INDEX(FILTER(I$1:I642, I$1:I642&lt;&gt;""""),COUNTA(FILTER(I$1:I642, I$1:I642&lt;&gt;""""))))-1), IF('To Order'!$A643=COLUMNS($A643:I"&amp;"662), I642&amp;RIGHT(INDIRECT(ADDRESS(ROW(I643)-1, 'From Order'!$A643)), 1), I642))"),"DTWRDVCBPWHGSS")</f>
        <v>DTWRDVCBPWHGSS</v>
      </c>
    </row>
    <row r="644">
      <c r="A644" s="2" t="str">
        <f>IFERROR(__xludf.DUMMYFUNCTION("IF('From Order'!$A644=COLUMNS($A644:A663), LEFT(INDEX(FILTER(A$1:A643, A$1:A643&lt;&gt;""""),COUNTA(FILTER(A$1:A643, A$1:A643&lt;&gt;""""))), LEN(INDEX(FILTER(A$1:A643, A$1:A643&lt;&gt;""""),COUNTA(FILTER(A$1:A643, A$1:A643&lt;&gt;""""))))-1), IF('To Order'!$A644=COLUMNS($A644:A"&amp;"663), A643&amp;RIGHT(INDIRECT(ADDRESS(ROW(A644)-1, 'From Order'!$A644)), 1), A643))"),"")</f>
        <v/>
      </c>
      <c r="B644" s="2" t="str">
        <f>IFERROR(__xludf.DUMMYFUNCTION("IF('From Order'!$A644=COLUMNS($A644:B663), LEFT(INDEX(FILTER(B$1:B643, B$1:B643&lt;&gt;""""),COUNTA(FILTER(B$1:B643, B$1:B643&lt;&gt;""""))), LEN(INDEX(FILTER(B$1:B643, B$1:B643&lt;&gt;""""),COUNTA(FILTER(B$1:B643, B$1:B643&lt;&gt;""""))))-1), IF('To Order'!$A644=COLUMNS($A644:B"&amp;"663), B643&amp;RIGHT(INDIRECT(ADDRESS(ROW(B644)-1, 'From Order'!$A644)), 1), B643))"),"JZRVPVRZHMFBBFSLTDGSBL")</f>
        <v>JZRVPVRZHMFBBFSLTDGSBL</v>
      </c>
      <c r="C644" s="2" t="str">
        <f>IFERROR(__xludf.DUMMYFUNCTION("IF('From Order'!$A644=COLUMNS($A644:C663), LEFT(INDEX(FILTER(C$1:C643, C$1:C643&lt;&gt;""""),COUNTA(FILTER(C$1:C643, C$1:C643&lt;&gt;""""))), LEN(INDEX(FILTER(C$1:C643, C$1:C643&lt;&gt;""""),COUNTA(FILTER(C$1:C643, C$1:C643&lt;&gt;""""))))-1), IF('To Order'!$A644=COLUMNS($A644:C"&amp;"663), C643&amp;RIGHT(INDIRECT(ADDRESS(ROW(C644)-1, 'From Order'!$A644)), 1), C643))"),"")</f>
        <v/>
      </c>
      <c r="D644" s="2" t="str">
        <f>IFERROR(__xludf.DUMMYFUNCTION("IF('From Order'!$A644=COLUMNS($A644:D663), LEFT(INDEX(FILTER(D$1:D643, D$1:D643&lt;&gt;""""),COUNTA(FILTER(D$1:D643, D$1:D643&lt;&gt;""""))), LEN(INDEX(FILTER(D$1:D643, D$1:D643&lt;&gt;""""),COUNTA(FILTER(D$1:D643, D$1:D643&lt;&gt;""""))))-1), IF('To Order'!$A644=COLUMNS($A644:D"&amp;"663), D643&amp;RIGHT(INDIRECT(ADDRESS(ROW(D644)-1, 'From Order'!$A644)), 1), D643))"),"TMQ")</f>
        <v>TMQ</v>
      </c>
      <c r="E644" s="2" t="str">
        <f>IFERROR(__xludf.DUMMYFUNCTION("IF('From Order'!$A644=COLUMNS($A644:E663), LEFT(INDEX(FILTER(E$1:E643, E$1:E643&lt;&gt;""""),COUNTA(FILTER(E$1:E643, E$1:E643&lt;&gt;""""))), LEN(INDEX(FILTER(E$1:E643, E$1:E643&lt;&gt;""""),COUNTA(FILTER(E$1:E643, E$1:E643&lt;&gt;""""))))-1), IF('To Order'!$A644=COLUMNS($A644:E"&amp;"663), E643&amp;RIGHT(INDIRECT(ADDRESS(ROW(E644)-1, 'From Order'!$A644)), 1), E643))"),"CJ")</f>
        <v>CJ</v>
      </c>
      <c r="F644" s="2" t="str">
        <f>IFERROR(__xludf.DUMMYFUNCTION("IF('From Order'!$A644=COLUMNS($A644:F663), LEFT(INDEX(FILTER(F$1:F643, F$1:F643&lt;&gt;""""),COUNTA(FILTER(F$1:F643, F$1:F643&lt;&gt;""""))), LEN(INDEX(FILTER(F$1:F643, F$1:F643&lt;&gt;""""),COUNTA(FILTER(F$1:F643, F$1:F643&lt;&gt;""""))))-1), IF('To Order'!$A644=COLUMNS($A644:F"&amp;"663), F643&amp;RIGHT(INDIRECT(ADDRESS(ROW(F644)-1, 'From Order'!$A644)), 1), F643))"),"")</f>
        <v/>
      </c>
      <c r="G644" s="2" t="str">
        <f>IFERROR(__xludf.DUMMYFUNCTION("IF('From Order'!$A644=COLUMNS($A644:G663), LEFT(INDEX(FILTER(G$1:G643, G$1:G643&lt;&gt;""""),COUNTA(FILTER(G$1:G643, G$1:G643&lt;&gt;""""))), LEN(INDEX(FILTER(G$1:G643, G$1:G643&lt;&gt;""""),COUNTA(FILTER(G$1:G643, G$1:G643&lt;&gt;""""))))-1), IF('To Order'!$A644=COLUMNS($A644:G"&amp;"663), G643&amp;RIGHT(INDIRECT(ADDRESS(ROW(G644)-1, 'From Order'!$A644)), 1), G643))"),"DTRLRQPDS")</f>
        <v>DTRLRQPDS</v>
      </c>
      <c r="H644" s="2" t="str">
        <f>IFERROR(__xludf.DUMMYFUNCTION("IF('From Order'!$A644=COLUMNS($A644:H663), LEFT(INDEX(FILTER(H$1:H643, H$1:H643&lt;&gt;""""),COUNTA(FILTER(H$1:H643, H$1:H643&lt;&gt;""""))), LEN(INDEX(FILTER(H$1:H643, H$1:H643&lt;&gt;""""),COUNTA(FILTER(H$1:H643, H$1:H643&lt;&gt;""""))))-1), IF('To Order'!$A644=COLUMNS($A644:H"&amp;"663), H643&amp;RIGHT(INDIRECT(ADDRESS(ROW(H644)-1, 'From Order'!$A644)), 1), H643))"),"ZMDTCJT")</f>
        <v>ZMDTCJT</v>
      </c>
      <c r="I644" s="2" t="str">
        <f>IFERROR(__xludf.DUMMYFUNCTION("IF('From Order'!$A644=COLUMNS($A644:I663), LEFT(INDEX(FILTER(I$1:I643, I$1:I643&lt;&gt;""""),COUNTA(FILTER(I$1:I643, I$1:I643&lt;&gt;""""))), LEN(INDEX(FILTER(I$1:I643, I$1:I643&lt;&gt;""""),COUNTA(FILTER(I$1:I643, I$1:I643&lt;&gt;""""))))-1), IF('To Order'!$A644=COLUMNS($A644:I"&amp;"663), I643&amp;RIGHT(INDIRECT(ADDRESS(ROW(I644)-1, 'From Order'!$A644)), 1), I643))"),"DTWRDVCBPWHGS")</f>
        <v>DTWRDVCBPWHGS</v>
      </c>
    </row>
    <row r="645">
      <c r="A645" s="2" t="str">
        <f>IFERROR(__xludf.DUMMYFUNCTION("IF('From Order'!$A645=COLUMNS($A645:A664), LEFT(INDEX(FILTER(A$1:A644, A$1:A644&lt;&gt;""""),COUNTA(FILTER(A$1:A644, A$1:A644&lt;&gt;""""))), LEN(INDEX(FILTER(A$1:A644, A$1:A644&lt;&gt;""""),COUNTA(FILTER(A$1:A644, A$1:A644&lt;&gt;""""))))-1), IF('To Order'!$A645=COLUMNS($A645:A"&amp;"664), A644&amp;RIGHT(INDIRECT(ADDRESS(ROW(A645)-1, 'From Order'!$A645)), 1), A644))"),"")</f>
        <v/>
      </c>
      <c r="B645" s="2" t="str">
        <f>IFERROR(__xludf.DUMMYFUNCTION("IF('From Order'!$A645=COLUMNS($A645:B664), LEFT(INDEX(FILTER(B$1:B644, B$1:B644&lt;&gt;""""),COUNTA(FILTER(B$1:B644, B$1:B644&lt;&gt;""""))), LEN(INDEX(FILTER(B$1:B644, B$1:B644&lt;&gt;""""),COUNTA(FILTER(B$1:B644, B$1:B644&lt;&gt;""""))))-1), IF('To Order'!$A645=COLUMNS($A645:B"&amp;"664), B644&amp;RIGHT(INDIRECT(ADDRESS(ROW(B645)-1, 'From Order'!$A645)), 1), B644))"),"JZRVPVRZHMFBBFSLTDGSBL")</f>
        <v>JZRVPVRZHMFBBFSLTDGSBL</v>
      </c>
      <c r="C645" s="2" t="str">
        <f>IFERROR(__xludf.DUMMYFUNCTION("IF('From Order'!$A645=COLUMNS($A645:C664), LEFT(INDEX(FILTER(C$1:C644, C$1:C644&lt;&gt;""""),COUNTA(FILTER(C$1:C644, C$1:C644&lt;&gt;""""))), LEN(INDEX(FILTER(C$1:C644, C$1:C644&lt;&gt;""""),COUNTA(FILTER(C$1:C644, C$1:C644&lt;&gt;""""))))-1), IF('To Order'!$A645=COLUMNS($A645:C"&amp;"664), C644&amp;RIGHT(INDIRECT(ADDRESS(ROW(C645)-1, 'From Order'!$A645)), 1), C644))"),"")</f>
        <v/>
      </c>
      <c r="D645" s="2" t="str">
        <f>IFERROR(__xludf.DUMMYFUNCTION("IF('From Order'!$A645=COLUMNS($A645:D664), LEFT(INDEX(FILTER(D$1:D644, D$1:D644&lt;&gt;""""),COUNTA(FILTER(D$1:D644, D$1:D644&lt;&gt;""""))), LEN(INDEX(FILTER(D$1:D644, D$1:D644&lt;&gt;""""),COUNTA(FILTER(D$1:D644, D$1:D644&lt;&gt;""""))))-1), IF('To Order'!$A645=COLUMNS($A645:D"&amp;"664), D644&amp;RIGHT(INDIRECT(ADDRESS(ROW(D645)-1, 'From Order'!$A645)), 1), D644))"),"TMQ")</f>
        <v>TMQ</v>
      </c>
      <c r="E645" s="2" t="str">
        <f>IFERROR(__xludf.DUMMYFUNCTION("IF('From Order'!$A645=COLUMNS($A645:E664), LEFT(INDEX(FILTER(E$1:E644, E$1:E644&lt;&gt;""""),COUNTA(FILTER(E$1:E644, E$1:E644&lt;&gt;""""))), LEN(INDEX(FILTER(E$1:E644, E$1:E644&lt;&gt;""""),COUNTA(FILTER(E$1:E644, E$1:E644&lt;&gt;""""))))-1), IF('To Order'!$A645=COLUMNS($A645:E"&amp;"664), E644&amp;RIGHT(INDIRECT(ADDRESS(ROW(E645)-1, 'From Order'!$A645)), 1), E644))"),"CJ")</f>
        <v>CJ</v>
      </c>
      <c r="F645" s="2" t="str">
        <f>IFERROR(__xludf.DUMMYFUNCTION("IF('From Order'!$A645=COLUMNS($A645:F664), LEFT(INDEX(FILTER(F$1:F644, F$1:F644&lt;&gt;""""),COUNTA(FILTER(F$1:F644, F$1:F644&lt;&gt;""""))), LEN(INDEX(FILTER(F$1:F644, F$1:F644&lt;&gt;""""),COUNTA(FILTER(F$1:F644, F$1:F644&lt;&gt;""""))))-1), IF('To Order'!$A645=COLUMNS($A645:F"&amp;"664), F644&amp;RIGHT(INDIRECT(ADDRESS(ROW(F645)-1, 'From Order'!$A645)), 1), F644))"),"")</f>
        <v/>
      </c>
      <c r="G645" s="2" t="str">
        <f>IFERROR(__xludf.DUMMYFUNCTION("IF('From Order'!$A645=COLUMNS($A645:G664), LEFT(INDEX(FILTER(G$1:G644, G$1:G644&lt;&gt;""""),COUNTA(FILTER(G$1:G644, G$1:G644&lt;&gt;""""))), LEN(INDEX(FILTER(G$1:G644, G$1:G644&lt;&gt;""""),COUNTA(FILTER(G$1:G644, G$1:G644&lt;&gt;""""))))-1), IF('To Order'!$A645=COLUMNS($A645:G"&amp;"664), G644&amp;RIGHT(INDIRECT(ADDRESS(ROW(G645)-1, 'From Order'!$A645)), 1), G644))"),"DTRLRQPDSS")</f>
        <v>DTRLRQPDSS</v>
      </c>
      <c r="H645" s="2" t="str">
        <f>IFERROR(__xludf.DUMMYFUNCTION("IF('From Order'!$A645=COLUMNS($A645:H664), LEFT(INDEX(FILTER(H$1:H644, H$1:H644&lt;&gt;""""),COUNTA(FILTER(H$1:H644, H$1:H644&lt;&gt;""""))), LEN(INDEX(FILTER(H$1:H644, H$1:H644&lt;&gt;""""),COUNTA(FILTER(H$1:H644, H$1:H644&lt;&gt;""""))))-1), IF('To Order'!$A645=COLUMNS($A645:H"&amp;"664), H644&amp;RIGHT(INDIRECT(ADDRESS(ROW(H645)-1, 'From Order'!$A645)), 1), H644))"),"ZMDTCJT")</f>
        <v>ZMDTCJT</v>
      </c>
      <c r="I645" s="2" t="str">
        <f>IFERROR(__xludf.DUMMYFUNCTION("IF('From Order'!$A645=COLUMNS($A645:I664), LEFT(INDEX(FILTER(I$1:I644, I$1:I644&lt;&gt;""""),COUNTA(FILTER(I$1:I644, I$1:I644&lt;&gt;""""))), LEN(INDEX(FILTER(I$1:I644, I$1:I644&lt;&gt;""""),COUNTA(FILTER(I$1:I644, I$1:I644&lt;&gt;""""))))-1), IF('To Order'!$A645=COLUMNS($A645:I"&amp;"664), I644&amp;RIGHT(INDIRECT(ADDRESS(ROW(I645)-1, 'From Order'!$A645)), 1), I644))"),"DTWRDVCBPWHG")</f>
        <v>DTWRDVCBPWHG</v>
      </c>
    </row>
    <row r="646">
      <c r="A646" s="2" t="str">
        <f>IFERROR(__xludf.DUMMYFUNCTION("IF('From Order'!$A646=COLUMNS($A646:A665), LEFT(INDEX(FILTER(A$1:A645, A$1:A645&lt;&gt;""""),COUNTA(FILTER(A$1:A645, A$1:A645&lt;&gt;""""))), LEN(INDEX(FILTER(A$1:A645, A$1:A645&lt;&gt;""""),COUNTA(FILTER(A$1:A645, A$1:A645&lt;&gt;""""))))-1), IF('To Order'!$A646=COLUMNS($A646:A"&amp;"665), A645&amp;RIGHT(INDIRECT(ADDRESS(ROW(A646)-1, 'From Order'!$A646)), 1), A645))"),"")</f>
        <v/>
      </c>
      <c r="B646" s="2" t="str">
        <f>IFERROR(__xludf.DUMMYFUNCTION("IF('From Order'!$A646=COLUMNS($A646:B665), LEFT(INDEX(FILTER(B$1:B645, B$1:B645&lt;&gt;""""),COUNTA(FILTER(B$1:B645, B$1:B645&lt;&gt;""""))), LEN(INDEX(FILTER(B$1:B645, B$1:B645&lt;&gt;""""),COUNTA(FILTER(B$1:B645, B$1:B645&lt;&gt;""""))))-1), IF('To Order'!$A646=COLUMNS($A646:B"&amp;"665), B645&amp;RIGHT(INDIRECT(ADDRESS(ROW(B646)-1, 'From Order'!$A646)), 1), B645))"),"JZRVPVRZHMFBBFSLTDGSBL")</f>
        <v>JZRVPVRZHMFBBFSLTDGSBL</v>
      </c>
      <c r="C646" s="2" t="str">
        <f>IFERROR(__xludf.DUMMYFUNCTION("IF('From Order'!$A646=COLUMNS($A646:C665), LEFT(INDEX(FILTER(C$1:C645, C$1:C645&lt;&gt;""""),COUNTA(FILTER(C$1:C645, C$1:C645&lt;&gt;""""))), LEN(INDEX(FILTER(C$1:C645, C$1:C645&lt;&gt;""""),COUNTA(FILTER(C$1:C645, C$1:C645&lt;&gt;""""))))-1), IF('To Order'!$A646=COLUMNS($A646:C"&amp;"665), C645&amp;RIGHT(INDIRECT(ADDRESS(ROW(C646)-1, 'From Order'!$A646)), 1), C645))"),"")</f>
        <v/>
      </c>
      <c r="D646" s="2" t="str">
        <f>IFERROR(__xludf.DUMMYFUNCTION("IF('From Order'!$A646=COLUMNS($A646:D665), LEFT(INDEX(FILTER(D$1:D645, D$1:D645&lt;&gt;""""),COUNTA(FILTER(D$1:D645, D$1:D645&lt;&gt;""""))), LEN(INDEX(FILTER(D$1:D645, D$1:D645&lt;&gt;""""),COUNTA(FILTER(D$1:D645, D$1:D645&lt;&gt;""""))))-1), IF('To Order'!$A646=COLUMNS($A646:D"&amp;"665), D645&amp;RIGHT(INDIRECT(ADDRESS(ROW(D646)-1, 'From Order'!$A646)), 1), D645))"),"TMQ")</f>
        <v>TMQ</v>
      </c>
      <c r="E646" s="2" t="str">
        <f>IFERROR(__xludf.DUMMYFUNCTION("IF('From Order'!$A646=COLUMNS($A646:E665), LEFT(INDEX(FILTER(E$1:E645, E$1:E645&lt;&gt;""""),COUNTA(FILTER(E$1:E645, E$1:E645&lt;&gt;""""))), LEN(INDEX(FILTER(E$1:E645, E$1:E645&lt;&gt;""""),COUNTA(FILTER(E$1:E645, E$1:E645&lt;&gt;""""))))-1), IF('To Order'!$A646=COLUMNS($A646:E"&amp;"665), E645&amp;RIGHT(INDIRECT(ADDRESS(ROW(E646)-1, 'From Order'!$A646)), 1), E645))"),"CJ")</f>
        <v>CJ</v>
      </c>
      <c r="F646" s="2" t="str">
        <f>IFERROR(__xludf.DUMMYFUNCTION("IF('From Order'!$A646=COLUMNS($A646:F665), LEFT(INDEX(FILTER(F$1:F645, F$1:F645&lt;&gt;""""),COUNTA(FILTER(F$1:F645, F$1:F645&lt;&gt;""""))), LEN(INDEX(FILTER(F$1:F645, F$1:F645&lt;&gt;""""),COUNTA(FILTER(F$1:F645, F$1:F645&lt;&gt;""""))))-1), IF('To Order'!$A646=COLUMNS($A646:F"&amp;"665), F645&amp;RIGHT(INDIRECT(ADDRESS(ROW(F646)-1, 'From Order'!$A646)), 1), F645))"),"")</f>
        <v/>
      </c>
      <c r="G646" s="2" t="str">
        <f>IFERROR(__xludf.DUMMYFUNCTION("IF('From Order'!$A646=COLUMNS($A646:G665), LEFT(INDEX(FILTER(G$1:G645, G$1:G645&lt;&gt;""""),COUNTA(FILTER(G$1:G645, G$1:G645&lt;&gt;""""))), LEN(INDEX(FILTER(G$1:G645, G$1:G645&lt;&gt;""""),COUNTA(FILTER(G$1:G645, G$1:G645&lt;&gt;""""))))-1), IF('To Order'!$A646=COLUMNS($A646:G"&amp;"665), G645&amp;RIGHT(INDIRECT(ADDRESS(ROW(G646)-1, 'From Order'!$A646)), 1), G645))"),"DTRLRQPDSSG")</f>
        <v>DTRLRQPDSSG</v>
      </c>
      <c r="H646" s="2" t="str">
        <f>IFERROR(__xludf.DUMMYFUNCTION("IF('From Order'!$A646=COLUMNS($A646:H665), LEFT(INDEX(FILTER(H$1:H645, H$1:H645&lt;&gt;""""),COUNTA(FILTER(H$1:H645, H$1:H645&lt;&gt;""""))), LEN(INDEX(FILTER(H$1:H645, H$1:H645&lt;&gt;""""),COUNTA(FILTER(H$1:H645, H$1:H645&lt;&gt;""""))))-1), IF('To Order'!$A646=COLUMNS($A646:H"&amp;"665), H645&amp;RIGHT(INDIRECT(ADDRESS(ROW(H646)-1, 'From Order'!$A646)), 1), H645))"),"ZMDTCJT")</f>
        <v>ZMDTCJT</v>
      </c>
      <c r="I646" s="2" t="str">
        <f>IFERROR(__xludf.DUMMYFUNCTION("IF('From Order'!$A646=COLUMNS($A646:I665), LEFT(INDEX(FILTER(I$1:I645, I$1:I645&lt;&gt;""""),COUNTA(FILTER(I$1:I645, I$1:I645&lt;&gt;""""))), LEN(INDEX(FILTER(I$1:I645, I$1:I645&lt;&gt;""""),COUNTA(FILTER(I$1:I645, I$1:I645&lt;&gt;""""))))-1), IF('To Order'!$A646=COLUMNS($A646:I"&amp;"665), I645&amp;RIGHT(INDIRECT(ADDRESS(ROW(I646)-1, 'From Order'!$A646)), 1), I645))"),"DTWRDVCBPWH")</f>
        <v>DTWRDVCBPWH</v>
      </c>
    </row>
    <row r="647">
      <c r="A647" s="2" t="str">
        <f>IFERROR(__xludf.DUMMYFUNCTION("IF('From Order'!$A647=COLUMNS($A647:A666), LEFT(INDEX(FILTER(A$1:A646, A$1:A646&lt;&gt;""""),COUNTA(FILTER(A$1:A646, A$1:A646&lt;&gt;""""))), LEN(INDEX(FILTER(A$1:A646, A$1:A646&lt;&gt;""""),COUNTA(FILTER(A$1:A646, A$1:A646&lt;&gt;""""))))-1), IF('To Order'!$A647=COLUMNS($A647:A"&amp;"666), A646&amp;RIGHT(INDIRECT(ADDRESS(ROW(A647)-1, 'From Order'!$A647)), 1), A646))"),"")</f>
        <v/>
      </c>
      <c r="B647" s="2" t="str">
        <f>IFERROR(__xludf.DUMMYFUNCTION("IF('From Order'!$A647=COLUMNS($A647:B666), LEFT(INDEX(FILTER(B$1:B646, B$1:B646&lt;&gt;""""),COUNTA(FILTER(B$1:B646, B$1:B646&lt;&gt;""""))), LEN(INDEX(FILTER(B$1:B646, B$1:B646&lt;&gt;""""),COUNTA(FILTER(B$1:B646, B$1:B646&lt;&gt;""""))))-1), IF('To Order'!$A647=COLUMNS($A647:B"&amp;"666), B646&amp;RIGHT(INDIRECT(ADDRESS(ROW(B647)-1, 'From Order'!$A647)), 1), B646))"),"JZRVPVRZHMFBBFSLTDGSBL")</f>
        <v>JZRVPVRZHMFBBFSLTDGSBL</v>
      </c>
      <c r="C647" s="2" t="str">
        <f>IFERROR(__xludf.DUMMYFUNCTION("IF('From Order'!$A647=COLUMNS($A647:C666), LEFT(INDEX(FILTER(C$1:C646, C$1:C646&lt;&gt;""""),COUNTA(FILTER(C$1:C646, C$1:C646&lt;&gt;""""))), LEN(INDEX(FILTER(C$1:C646, C$1:C646&lt;&gt;""""),COUNTA(FILTER(C$1:C646, C$1:C646&lt;&gt;""""))))-1), IF('To Order'!$A647=COLUMNS($A647:C"&amp;"666), C646&amp;RIGHT(INDIRECT(ADDRESS(ROW(C647)-1, 'From Order'!$A647)), 1), C646))"),"")</f>
        <v/>
      </c>
      <c r="D647" s="2" t="str">
        <f>IFERROR(__xludf.DUMMYFUNCTION("IF('From Order'!$A647=COLUMNS($A647:D666), LEFT(INDEX(FILTER(D$1:D646, D$1:D646&lt;&gt;""""),COUNTA(FILTER(D$1:D646, D$1:D646&lt;&gt;""""))), LEN(INDEX(FILTER(D$1:D646, D$1:D646&lt;&gt;""""),COUNTA(FILTER(D$1:D646, D$1:D646&lt;&gt;""""))))-1), IF('To Order'!$A647=COLUMNS($A647:D"&amp;"666), D646&amp;RIGHT(INDIRECT(ADDRESS(ROW(D647)-1, 'From Order'!$A647)), 1), D646))"),"TMQ")</f>
        <v>TMQ</v>
      </c>
      <c r="E647" s="2" t="str">
        <f>IFERROR(__xludf.DUMMYFUNCTION("IF('From Order'!$A647=COLUMNS($A647:E666), LEFT(INDEX(FILTER(E$1:E646, E$1:E646&lt;&gt;""""),COUNTA(FILTER(E$1:E646, E$1:E646&lt;&gt;""""))), LEN(INDEX(FILTER(E$1:E646, E$1:E646&lt;&gt;""""),COUNTA(FILTER(E$1:E646, E$1:E646&lt;&gt;""""))))-1), IF('To Order'!$A647=COLUMNS($A647:E"&amp;"666), E646&amp;RIGHT(INDIRECT(ADDRESS(ROW(E647)-1, 'From Order'!$A647)), 1), E646))"),"CJ")</f>
        <v>CJ</v>
      </c>
      <c r="F647" s="2" t="str">
        <f>IFERROR(__xludf.DUMMYFUNCTION("IF('From Order'!$A647=COLUMNS($A647:F666), LEFT(INDEX(FILTER(F$1:F646, F$1:F646&lt;&gt;""""),COUNTA(FILTER(F$1:F646, F$1:F646&lt;&gt;""""))), LEN(INDEX(FILTER(F$1:F646, F$1:F646&lt;&gt;""""),COUNTA(FILTER(F$1:F646, F$1:F646&lt;&gt;""""))))-1), IF('To Order'!$A647=COLUMNS($A647:F"&amp;"666), F646&amp;RIGHT(INDIRECT(ADDRESS(ROW(F647)-1, 'From Order'!$A647)), 1), F646))"),"")</f>
        <v/>
      </c>
      <c r="G647" s="2" t="str">
        <f>IFERROR(__xludf.DUMMYFUNCTION("IF('From Order'!$A647=COLUMNS($A647:G666), LEFT(INDEX(FILTER(G$1:G646, G$1:G646&lt;&gt;""""),COUNTA(FILTER(G$1:G646, G$1:G646&lt;&gt;""""))), LEN(INDEX(FILTER(G$1:G646, G$1:G646&lt;&gt;""""),COUNTA(FILTER(G$1:G646, G$1:G646&lt;&gt;""""))))-1), IF('To Order'!$A647=COLUMNS($A647:G"&amp;"666), G646&amp;RIGHT(INDIRECT(ADDRESS(ROW(G647)-1, 'From Order'!$A647)), 1), G646))"),"DTRLRQPDSSGH")</f>
        <v>DTRLRQPDSSGH</v>
      </c>
      <c r="H647" s="2" t="str">
        <f>IFERROR(__xludf.DUMMYFUNCTION("IF('From Order'!$A647=COLUMNS($A647:H666), LEFT(INDEX(FILTER(H$1:H646, H$1:H646&lt;&gt;""""),COUNTA(FILTER(H$1:H646, H$1:H646&lt;&gt;""""))), LEN(INDEX(FILTER(H$1:H646, H$1:H646&lt;&gt;""""),COUNTA(FILTER(H$1:H646, H$1:H646&lt;&gt;""""))))-1), IF('To Order'!$A647=COLUMNS($A647:H"&amp;"666), H646&amp;RIGHT(INDIRECT(ADDRESS(ROW(H647)-1, 'From Order'!$A647)), 1), H646))"),"ZMDTCJT")</f>
        <v>ZMDTCJT</v>
      </c>
      <c r="I647" s="2" t="str">
        <f>IFERROR(__xludf.DUMMYFUNCTION("IF('From Order'!$A647=COLUMNS($A647:I666), LEFT(INDEX(FILTER(I$1:I646, I$1:I646&lt;&gt;""""),COUNTA(FILTER(I$1:I646, I$1:I646&lt;&gt;""""))), LEN(INDEX(FILTER(I$1:I646, I$1:I646&lt;&gt;""""),COUNTA(FILTER(I$1:I646, I$1:I646&lt;&gt;""""))))-1), IF('To Order'!$A647=COLUMNS($A647:I"&amp;"666), I646&amp;RIGHT(INDIRECT(ADDRESS(ROW(I647)-1, 'From Order'!$A647)), 1), I646))"),"DTWRDVCBPW")</f>
        <v>DTWRDVCBPW</v>
      </c>
    </row>
    <row r="648">
      <c r="A648" s="2" t="str">
        <f>IFERROR(__xludf.DUMMYFUNCTION("IF('From Order'!$A648=COLUMNS($A648:A667), LEFT(INDEX(FILTER(A$1:A647, A$1:A647&lt;&gt;""""),COUNTA(FILTER(A$1:A647, A$1:A647&lt;&gt;""""))), LEN(INDEX(FILTER(A$1:A647, A$1:A647&lt;&gt;""""),COUNTA(FILTER(A$1:A647, A$1:A647&lt;&gt;""""))))-1), IF('To Order'!$A648=COLUMNS($A648:A"&amp;"667), A647&amp;RIGHT(INDIRECT(ADDRESS(ROW(A648)-1, 'From Order'!$A648)), 1), A647))"),"")</f>
        <v/>
      </c>
      <c r="B648" s="2" t="str">
        <f>IFERROR(__xludf.DUMMYFUNCTION("IF('From Order'!$A648=COLUMNS($A648:B667), LEFT(INDEX(FILTER(B$1:B647, B$1:B647&lt;&gt;""""),COUNTA(FILTER(B$1:B647, B$1:B647&lt;&gt;""""))), LEN(INDEX(FILTER(B$1:B647, B$1:B647&lt;&gt;""""),COUNTA(FILTER(B$1:B647, B$1:B647&lt;&gt;""""))))-1), IF('To Order'!$A648=COLUMNS($A648:B"&amp;"667), B647&amp;RIGHT(INDIRECT(ADDRESS(ROW(B648)-1, 'From Order'!$A648)), 1), B647))"),"JZRVPVRZHMFBBFSLTDGSBL")</f>
        <v>JZRVPVRZHMFBBFSLTDGSBL</v>
      </c>
      <c r="C648" s="2" t="str">
        <f>IFERROR(__xludf.DUMMYFUNCTION("IF('From Order'!$A648=COLUMNS($A648:C667), LEFT(INDEX(FILTER(C$1:C647, C$1:C647&lt;&gt;""""),COUNTA(FILTER(C$1:C647, C$1:C647&lt;&gt;""""))), LEN(INDEX(FILTER(C$1:C647, C$1:C647&lt;&gt;""""),COUNTA(FILTER(C$1:C647, C$1:C647&lt;&gt;""""))))-1), IF('To Order'!$A648=COLUMNS($A648:C"&amp;"667), C647&amp;RIGHT(INDIRECT(ADDRESS(ROW(C648)-1, 'From Order'!$A648)), 1), C647))"),"")</f>
        <v/>
      </c>
      <c r="D648" s="2" t="str">
        <f>IFERROR(__xludf.DUMMYFUNCTION("IF('From Order'!$A648=COLUMNS($A648:D667), LEFT(INDEX(FILTER(D$1:D647, D$1:D647&lt;&gt;""""),COUNTA(FILTER(D$1:D647, D$1:D647&lt;&gt;""""))), LEN(INDEX(FILTER(D$1:D647, D$1:D647&lt;&gt;""""),COUNTA(FILTER(D$1:D647, D$1:D647&lt;&gt;""""))))-1), IF('To Order'!$A648=COLUMNS($A648:D"&amp;"667), D647&amp;RIGHT(INDIRECT(ADDRESS(ROW(D648)-1, 'From Order'!$A648)), 1), D647))"),"TMQ")</f>
        <v>TMQ</v>
      </c>
      <c r="E648" s="2" t="str">
        <f>IFERROR(__xludf.DUMMYFUNCTION("IF('From Order'!$A648=COLUMNS($A648:E667), LEFT(INDEX(FILTER(E$1:E647, E$1:E647&lt;&gt;""""),COUNTA(FILTER(E$1:E647, E$1:E647&lt;&gt;""""))), LEN(INDEX(FILTER(E$1:E647, E$1:E647&lt;&gt;""""),COUNTA(FILTER(E$1:E647, E$1:E647&lt;&gt;""""))))-1), IF('To Order'!$A648=COLUMNS($A648:E"&amp;"667), E647&amp;RIGHT(INDIRECT(ADDRESS(ROW(E648)-1, 'From Order'!$A648)), 1), E647))"),"CJ")</f>
        <v>CJ</v>
      </c>
      <c r="F648" s="2" t="str">
        <f>IFERROR(__xludf.DUMMYFUNCTION("IF('From Order'!$A648=COLUMNS($A648:F667), LEFT(INDEX(FILTER(F$1:F647, F$1:F647&lt;&gt;""""),COUNTA(FILTER(F$1:F647, F$1:F647&lt;&gt;""""))), LEN(INDEX(FILTER(F$1:F647, F$1:F647&lt;&gt;""""),COUNTA(FILTER(F$1:F647, F$1:F647&lt;&gt;""""))))-1), IF('To Order'!$A648=COLUMNS($A648:F"&amp;"667), F647&amp;RIGHT(INDIRECT(ADDRESS(ROW(F648)-1, 'From Order'!$A648)), 1), F647))"),"")</f>
        <v/>
      </c>
      <c r="G648" s="2" t="str">
        <f>IFERROR(__xludf.DUMMYFUNCTION("IF('From Order'!$A648=COLUMNS($A648:G667), LEFT(INDEX(FILTER(G$1:G647, G$1:G647&lt;&gt;""""),COUNTA(FILTER(G$1:G647, G$1:G647&lt;&gt;""""))), LEN(INDEX(FILTER(G$1:G647, G$1:G647&lt;&gt;""""),COUNTA(FILTER(G$1:G647, G$1:G647&lt;&gt;""""))))-1), IF('To Order'!$A648=COLUMNS($A648:G"&amp;"667), G647&amp;RIGHT(INDIRECT(ADDRESS(ROW(G648)-1, 'From Order'!$A648)), 1), G647))"),"DTRLRQPDSSGHW")</f>
        <v>DTRLRQPDSSGHW</v>
      </c>
      <c r="H648" s="2" t="str">
        <f>IFERROR(__xludf.DUMMYFUNCTION("IF('From Order'!$A648=COLUMNS($A648:H667), LEFT(INDEX(FILTER(H$1:H647, H$1:H647&lt;&gt;""""),COUNTA(FILTER(H$1:H647, H$1:H647&lt;&gt;""""))), LEN(INDEX(FILTER(H$1:H647, H$1:H647&lt;&gt;""""),COUNTA(FILTER(H$1:H647, H$1:H647&lt;&gt;""""))))-1), IF('To Order'!$A648=COLUMNS($A648:H"&amp;"667), H647&amp;RIGHT(INDIRECT(ADDRESS(ROW(H648)-1, 'From Order'!$A648)), 1), H647))"),"ZMDTCJT")</f>
        <v>ZMDTCJT</v>
      </c>
      <c r="I648" s="2" t="str">
        <f>IFERROR(__xludf.DUMMYFUNCTION("IF('From Order'!$A648=COLUMNS($A648:I667), LEFT(INDEX(FILTER(I$1:I647, I$1:I647&lt;&gt;""""),COUNTA(FILTER(I$1:I647, I$1:I647&lt;&gt;""""))), LEN(INDEX(FILTER(I$1:I647, I$1:I647&lt;&gt;""""),COUNTA(FILTER(I$1:I647, I$1:I647&lt;&gt;""""))))-1), IF('To Order'!$A648=COLUMNS($A648:I"&amp;"667), I647&amp;RIGHT(INDIRECT(ADDRESS(ROW(I648)-1, 'From Order'!$A648)), 1), I647))"),"DTWRDVCBP")</f>
        <v>DTWRDVCBP</v>
      </c>
    </row>
    <row r="649">
      <c r="A649" s="2" t="str">
        <f>IFERROR(__xludf.DUMMYFUNCTION("IF('From Order'!$A649=COLUMNS($A649:A668), LEFT(INDEX(FILTER(A$1:A648, A$1:A648&lt;&gt;""""),COUNTA(FILTER(A$1:A648, A$1:A648&lt;&gt;""""))), LEN(INDEX(FILTER(A$1:A648, A$1:A648&lt;&gt;""""),COUNTA(FILTER(A$1:A648, A$1:A648&lt;&gt;""""))))-1), IF('To Order'!$A649=COLUMNS($A649:A"&amp;"668), A648&amp;RIGHT(INDIRECT(ADDRESS(ROW(A649)-1, 'From Order'!$A649)), 1), A648))"),"")</f>
        <v/>
      </c>
      <c r="B649" s="2" t="str">
        <f>IFERROR(__xludf.DUMMYFUNCTION("IF('From Order'!$A649=COLUMNS($A649:B668), LEFT(INDEX(FILTER(B$1:B648, B$1:B648&lt;&gt;""""),COUNTA(FILTER(B$1:B648, B$1:B648&lt;&gt;""""))), LEN(INDEX(FILTER(B$1:B648, B$1:B648&lt;&gt;""""),COUNTA(FILTER(B$1:B648, B$1:B648&lt;&gt;""""))))-1), IF('To Order'!$A649=COLUMNS($A649:B"&amp;"668), B648&amp;RIGHT(INDIRECT(ADDRESS(ROW(B649)-1, 'From Order'!$A649)), 1), B648))"),"JZRVPVRZHMFBBFSLTDGSBL")</f>
        <v>JZRVPVRZHMFBBFSLTDGSBL</v>
      </c>
      <c r="C649" s="2" t="str">
        <f>IFERROR(__xludf.DUMMYFUNCTION("IF('From Order'!$A649=COLUMNS($A649:C668), LEFT(INDEX(FILTER(C$1:C648, C$1:C648&lt;&gt;""""),COUNTA(FILTER(C$1:C648, C$1:C648&lt;&gt;""""))), LEN(INDEX(FILTER(C$1:C648, C$1:C648&lt;&gt;""""),COUNTA(FILTER(C$1:C648, C$1:C648&lt;&gt;""""))))-1), IF('To Order'!$A649=COLUMNS($A649:C"&amp;"668), C648&amp;RIGHT(INDIRECT(ADDRESS(ROW(C649)-1, 'From Order'!$A649)), 1), C648))"),"")</f>
        <v/>
      </c>
      <c r="D649" s="2" t="str">
        <f>IFERROR(__xludf.DUMMYFUNCTION("IF('From Order'!$A649=COLUMNS($A649:D668), LEFT(INDEX(FILTER(D$1:D648, D$1:D648&lt;&gt;""""),COUNTA(FILTER(D$1:D648, D$1:D648&lt;&gt;""""))), LEN(INDEX(FILTER(D$1:D648, D$1:D648&lt;&gt;""""),COUNTA(FILTER(D$1:D648, D$1:D648&lt;&gt;""""))))-1), IF('To Order'!$A649=COLUMNS($A649:D"&amp;"668), D648&amp;RIGHT(INDIRECT(ADDRESS(ROW(D649)-1, 'From Order'!$A649)), 1), D648))"),"TMQ")</f>
        <v>TMQ</v>
      </c>
      <c r="E649" s="2" t="str">
        <f>IFERROR(__xludf.DUMMYFUNCTION("IF('From Order'!$A649=COLUMNS($A649:E668), LEFT(INDEX(FILTER(E$1:E648, E$1:E648&lt;&gt;""""),COUNTA(FILTER(E$1:E648, E$1:E648&lt;&gt;""""))), LEN(INDEX(FILTER(E$1:E648, E$1:E648&lt;&gt;""""),COUNTA(FILTER(E$1:E648, E$1:E648&lt;&gt;""""))))-1), IF('To Order'!$A649=COLUMNS($A649:E"&amp;"668), E648&amp;RIGHT(INDIRECT(ADDRESS(ROW(E649)-1, 'From Order'!$A649)), 1), E648))"),"CJ")</f>
        <v>CJ</v>
      </c>
      <c r="F649" s="2" t="str">
        <f>IFERROR(__xludf.DUMMYFUNCTION("IF('From Order'!$A649=COLUMNS($A649:F668), LEFT(INDEX(FILTER(F$1:F648, F$1:F648&lt;&gt;""""),COUNTA(FILTER(F$1:F648, F$1:F648&lt;&gt;""""))), LEN(INDEX(FILTER(F$1:F648, F$1:F648&lt;&gt;""""),COUNTA(FILTER(F$1:F648, F$1:F648&lt;&gt;""""))))-1), IF('To Order'!$A649=COLUMNS($A649:F"&amp;"668), F648&amp;RIGHT(INDIRECT(ADDRESS(ROW(F649)-1, 'From Order'!$A649)), 1), F648))"),"")</f>
        <v/>
      </c>
      <c r="G649" s="2" t="str">
        <f>IFERROR(__xludf.DUMMYFUNCTION("IF('From Order'!$A649=COLUMNS($A649:G668), LEFT(INDEX(FILTER(G$1:G648, G$1:G648&lt;&gt;""""),COUNTA(FILTER(G$1:G648, G$1:G648&lt;&gt;""""))), LEN(INDEX(FILTER(G$1:G648, G$1:G648&lt;&gt;""""),COUNTA(FILTER(G$1:G648, G$1:G648&lt;&gt;""""))))-1), IF('To Order'!$A649=COLUMNS($A649:G"&amp;"668), G648&amp;RIGHT(INDIRECT(ADDRESS(ROW(G649)-1, 'From Order'!$A649)), 1), G648))"),"DTRLRQPDSSGHWP")</f>
        <v>DTRLRQPDSSGHWP</v>
      </c>
      <c r="H649" s="2" t="str">
        <f>IFERROR(__xludf.DUMMYFUNCTION("IF('From Order'!$A649=COLUMNS($A649:H668), LEFT(INDEX(FILTER(H$1:H648, H$1:H648&lt;&gt;""""),COUNTA(FILTER(H$1:H648, H$1:H648&lt;&gt;""""))), LEN(INDEX(FILTER(H$1:H648, H$1:H648&lt;&gt;""""),COUNTA(FILTER(H$1:H648, H$1:H648&lt;&gt;""""))))-1), IF('To Order'!$A649=COLUMNS($A649:H"&amp;"668), H648&amp;RIGHT(INDIRECT(ADDRESS(ROW(H649)-1, 'From Order'!$A649)), 1), H648))"),"ZMDTCJT")</f>
        <v>ZMDTCJT</v>
      </c>
      <c r="I649" s="2" t="str">
        <f>IFERROR(__xludf.DUMMYFUNCTION("IF('From Order'!$A649=COLUMNS($A649:I668), LEFT(INDEX(FILTER(I$1:I648, I$1:I648&lt;&gt;""""),COUNTA(FILTER(I$1:I648, I$1:I648&lt;&gt;""""))), LEN(INDEX(FILTER(I$1:I648, I$1:I648&lt;&gt;""""),COUNTA(FILTER(I$1:I648, I$1:I648&lt;&gt;""""))))-1), IF('To Order'!$A649=COLUMNS($A649:I"&amp;"668), I648&amp;RIGHT(INDIRECT(ADDRESS(ROW(I649)-1, 'From Order'!$A649)), 1), I648))"),"DTWRDVCB")</f>
        <v>DTWRDVCB</v>
      </c>
    </row>
    <row r="650">
      <c r="A650" s="2" t="str">
        <f>IFERROR(__xludf.DUMMYFUNCTION("IF('From Order'!$A650=COLUMNS($A650:A669), LEFT(INDEX(FILTER(A$1:A649, A$1:A649&lt;&gt;""""),COUNTA(FILTER(A$1:A649, A$1:A649&lt;&gt;""""))), LEN(INDEX(FILTER(A$1:A649, A$1:A649&lt;&gt;""""),COUNTA(FILTER(A$1:A649, A$1:A649&lt;&gt;""""))))-1), IF('To Order'!$A650=COLUMNS($A650:A"&amp;"669), A649&amp;RIGHT(INDIRECT(ADDRESS(ROW(A650)-1, 'From Order'!$A650)), 1), A649))"),"")</f>
        <v/>
      </c>
      <c r="B650" s="2" t="str">
        <f>IFERROR(__xludf.DUMMYFUNCTION("IF('From Order'!$A650=COLUMNS($A650:B669), LEFT(INDEX(FILTER(B$1:B649, B$1:B649&lt;&gt;""""),COUNTA(FILTER(B$1:B649, B$1:B649&lt;&gt;""""))), LEN(INDEX(FILTER(B$1:B649, B$1:B649&lt;&gt;""""),COUNTA(FILTER(B$1:B649, B$1:B649&lt;&gt;""""))))-1), IF('To Order'!$A650=COLUMNS($A650:B"&amp;"669), B649&amp;RIGHT(INDIRECT(ADDRESS(ROW(B650)-1, 'From Order'!$A650)), 1), B649))"),"JZRVPVRZHMFBBFSLTDGSBL")</f>
        <v>JZRVPVRZHMFBBFSLTDGSBL</v>
      </c>
      <c r="C650" s="2" t="str">
        <f>IFERROR(__xludf.DUMMYFUNCTION("IF('From Order'!$A650=COLUMNS($A650:C669), LEFT(INDEX(FILTER(C$1:C649, C$1:C649&lt;&gt;""""),COUNTA(FILTER(C$1:C649, C$1:C649&lt;&gt;""""))), LEN(INDEX(FILTER(C$1:C649, C$1:C649&lt;&gt;""""),COUNTA(FILTER(C$1:C649, C$1:C649&lt;&gt;""""))))-1), IF('To Order'!$A650=COLUMNS($A650:C"&amp;"669), C649&amp;RIGHT(INDIRECT(ADDRESS(ROW(C650)-1, 'From Order'!$A650)), 1), C649))"),"")</f>
        <v/>
      </c>
      <c r="D650" s="2" t="str">
        <f>IFERROR(__xludf.DUMMYFUNCTION("IF('From Order'!$A650=COLUMNS($A650:D669), LEFT(INDEX(FILTER(D$1:D649, D$1:D649&lt;&gt;""""),COUNTA(FILTER(D$1:D649, D$1:D649&lt;&gt;""""))), LEN(INDEX(FILTER(D$1:D649, D$1:D649&lt;&gt;""""),COUNTA(FILTER(D$1:D649, D$1:D649&lt;&gt;""""))))-1), IF('To Order'!$A650=COLUMNS($A650:D"&amp;"669), D649&amp;RIGHT(INDIRECT(ADDRESS(ROW(D650)-1, 'From Order'!$A650)), 1), D649))"),"TMQ")</f>
        <v>TMQ</v>
      </c>
      <c r="E650" s="2" t="str">
        <f>IFERROR(__xludf.DUMMYFUNCTION("IF('From Order'!$A650=COLUMNS($A650:E669), LEFT(INDEX(FILTER(E$1:E649, E$1:E649&lt;&gt;""""),COUNTA(FILTER(E$1:E649, E$1:E649&lt;&gt;""""))), LEN(INDEX(FILTER(E$1:E649, E$1:E649&lt;&gt;""""),COUNTA(FILTER(E$1:E649, E$1:E649&lt;&gt;""""))))-1), IF('To Order'!$A650=COLUMNS($A650:E"&amp;"669), E649&amp;RIGHT(INDIRECT(ADDRESS(ROW(E650)-1, 'From Order'!$A650)), 1), E649))"),"CJ")</f>
        <v>CJ</v>
      </c>
      <c r="F650" s="2" t="str">
        <f>IFERROR(__xludf.DUMMYFUNCTION("IF('From Order'!$A650=COLUMNS($A650:F669), LEFT(INDEX(FILTER(F$1:F649, F$1:F649&lt;&gt;""""),COUNTA(FILTER(F$1:F649, F$1:F649&lt;&gt;""""))), LEN(INDEX(FILTER(F$1:F649, F$1:F649&lt;&gt;""""),COUNTA(FILTER(F$1:F649, F$1:F649&lt;&gt;""""))))-1), IF('To Order'!$A650=COLUMNS($A650:F"&amp;"669), F649&amp;RIGHT(INDIRECT(ADDRESS(ROW(F650)-1, 'From Order'!$A650)), 1), F649))"),"")</f>
        <v/>
      </c>
      <c r="G650" s="2" t="str">
        <f>IFERROR(__xludf.DUMMYFUNCTION("IF('From Order'!$A650=COLUMNS($A650:G669), LEFT(INDEX(FILTER(G$1:G649, G$1:G649&lt;&gt;""""),COUNTA(FILTER(G$1:G649, G$1:G649&lt;&gt;""""))), LEN(INDEX(FILTER(G$1:G649, G$1:G649&lt;&gt;""""),COUNTA(FILTER(G$1:G649, G$1:G649&lt;&gt;""""))))-1), IF('To Order'!$A650=COLUMNS($A650:G"&amp;"669), G649&amp;RIGHT(INDIRECT(ADDRESS(ROW(G650)-1, 'From Order'!$A650)), 1), G649))"),"DTRLRQPDSSGHWPB")</f>
        <v>DTRLRQPDSSGHWPB</v>
      </c>
      <c r="H650" s="2" t="str">
        <f>IFERROR(__xludf.DUMMYFUNCTION("IF('From Order'!$A650=COLUMNS($A650:H669), LEFT(INDEX(FILTER(H$1:H649, H$1:H649&lt;&gt;""""),COUNTA(FILTER(H$1:H649, H$1:H649&lt;&gt;""""))), LEN(INDEX(FILTER(H$1:H649, H$1:H649&lt;&gt;""""),COUNTA(FILTER(H$1:H649, H$1:H649&lt;&gt;""""))))-1), IF('To Order'!$A650=COLUMNS($A650:H"&amp;"669), H649&amp;RIGHT(INDIRECT(ADDRESS(ROW(H650)-1, 'From Order'!$A650)), 1), H649))"),"ZMDTCJT")</f>
        <v>ZMDTCJT</v>
      </c>
      <c r="I650" s="2" t="str">
        <f>IFERROR(__xludf.DUMMYFUNCTION("IF('From Order'!$A650=COLUMNS($A650:I669), LEFT(INDEX(FILTER(I$1:I649, I$1:I649&lt;&gt;""""),COUNTA(FILTER(I$1:I649, I$1:I649&lt;&gt;""""))), LEN(INDEX(FILTER(I$1:I649, I$1:I649&lt;&gt;""""),COUNTA(FILTER(I$1:I649, I$1:I649&lt;&gt;""""))))-1), IF('To Order'!$A650=COLUMNS($A650:I"&amp;"669), I649&amp;RIGHT(INDIRECT(ADDRESS(ROW(I650)-1, 'From Order'!$A650)), 1), I649))"),"DTWRDVC")</f>
        <v>DTWRDVC</v>
      </c>
    </row>
    <row r="651">
      <c r="A651" s="2" t="str">
        <f>IFERROR(__xludf.DUMMYFUNCTION("IF('From Order'!$A651=COLUMNS($A651:A670), LEFT(INDEX(FILTER(A$1:A650, A$1:A650&lt;&gt;""""),COUNTA(FILTER(A$1:A650, A$1:A650&lt;&gt;""""))), LEN(INDEX(FILTER(A$1:A650, A$1:A650&lt;&gt;""""),COUNTA(FILTER(A$1:A650, A$1:A650&lt;&gt;""""))))-1), IF('To Order'!$A651=COLUMNS($A651:A"&amp;"670), A650&amp;RIGHT(INDIRECT(ADDRESS(ROW(A651)-1, 'From Order'!$A651)), 1), A650))"),"")</f>
        <v/>
      </c>
      <c r="B651" s="2" t="str">
        <f>IFERROR(__xludf.DUMMYFUNCTION("IF('From Order'!$A651=COLUMNS($A651:B670), LEFT(INDEX(FILTER(B$1:B650, B$1:B650&lt;&gt;""""),COUNTA(FILTER(B$1:B650, B$1:B650&lt;&gt;""""))), LEN(INDEX(FILTER(B$1:B650, B$1:B650&lt;&gt;""""),COUNTA(FILTER(B$1:B650, B$1:B650&lt;&gt;""""))))-1), IF('To Order'!$A651=COLUMNS($A651:B"&amp;"670), B650&amp;RIGHT(INDIRECT(ADDRESS(ROW(B651)-1, 'From Order'!$A651)), 1), B650))"),"JZRVPVRZHMFBBFSLTDGSBL")</f>
        <v>JZRVPVRZHMFBBFSLTDGSBL</v>
      </c>
      <c r="C651" s="2" t="str">
        <f>IFERROR(__xludf.DUMMYFUNCTION("IF('From Order'!$A651=COLUMNS($A651:C670), LEFT(INDEX(FILTER(C$1:C650, C$1:C650&lt;&gt;""""),COUNTA(FILTER(C$1:C650, C$1:C650&lt;&gt;""""))), LEN(INDEX(FILTER(C$1:C650, C$1:C650&lt;&gt;""""),COUNTA(FILTER(C$1:C650, C$1:C650&lt;&gt;""""))))-1), IF('To Order'!$A651=COLUMNS($A651:C"&amp;"670), C650&amp;RIGHT(INDIRECT(ADDRESS(ROW(C651)-1, 'From Order'!$A651)), 1), C650))"),"")</f>
        <v/>
      </c>
      <c r="D651" s="2" t="str">
        <f>IFERROR(__xludf.DUMMYFUNCTION("IF('From Order'!$A651=COLUMNS($A651:D670), LEFT(INDEX(FILTER(D$1:D650, D$1:D650&lt;&gt;""""),COUNTA(FILTER(D$1:D650, D$1:D650&lt;&gt;""""))), LEN(INDEX(FILTER(D$1:D650, D$1:D650&lt;&gt;""""),COUNTA(FILTER(D$1:D650, D$1:D650&lt;&gt;""""))))-1), IF('To Order'!$A651=COLUMNS($A651:D"&amp;"670), D650&amp;RIGHT(INDIRECT(ADDRESS(ROW(D651)-1, 'From Order'!$A651)), 1), D650))"),"TMQ")</f>
        <v>TMQ</v>
      </c>
      <c r="E651" s="2" t="str">
        <f>IFERROR(__xludf.DUMMYFUNCTION("IF('From Order'!$A651=COLUMNS($A651:E670), LEFT(INDEX(FILTER(E$1:E650, E$1:E650&lt;&gt;""""),COUNTA(FILTER(E$1:E650, E$1:E650&lt;&gt;""""))), LEN(INDEX(FILTER(E$1:E650, E$1:E650&lt;&gt;""""),COUNTA(FILTER(E$1:E650, E$1:E650&lt;&gt;""""))))-1), IF('To Order'!$A651=COLUMNS($A651:E"&amp;"670), E650&amp;RIGHT(INDIRECT(ADDRESS(ROW(E651)-1, 'From Order'!$A651)), 1), E650))"),"CJ")</f>
        <v>CJ</v>
      </c>
      <c r="F651" s="2" t="str">
        <f>IFERROR(__xludf.DUMMYFUNCTION("IF('From Order'!$A651=COLUMNS($A651:F670), LEFT(INDEX(FILTER(F$1:F650, F$1:F650&lt;&gt;""""),COUNTA(FILTER(F$1:F650, F$1:F650&lt;&gt;""""))), LEN(INDEX(FILTER(F$1:F650, F$1:F650&lt;&gt;""""),COUNTA(FILTER(F$1:F650, F$1:F650&lt;&gt;""""))))-1), IF('To Order'!$A651=COLUMNS($A651:F"&amp;"670), F650&amp;RIGHT(INDIRECT(ADDRESS(ROW(F651)-1, 'From Order'!$A651)), 1), F650))"),"")</f>
        <v/>
      </c>
      <c r="G651" s="2" t="str">
        <f>IFERROR(__xludf.DUMMYFUNCTION("IF('From Order'!$A651=COLUMNS($A651:G670), LEFT(INDEX(FILTER(G$1:G650, G$1:G650&lt;&gt;""""),COUNTA(FILTER(G$1:G650, G$1:G650&lt;&gt;""""))), LEN(INDEX(FILTER(G$1:G650, G$1:G650&lt;&gt;""""),COUNTA(FILTER(G$1:G650, G$1:G650&lt;&gt;""""))))-1), IF('To Order'!$A651=COLUMNS($A651:G"&amp;"670), G650&amp;RIGHT(INDIRECT(ADDRESS(ROW(G651)-1, 'From Order'!$A651)), 1), G650))"),"DTRLRQPDSSGHWPBC")</f>
        <v>DTRLRQPDSSGHWPBC</v>
      </c>
      <c r="H651" s="2" t="str">
        <f>IFERROR(__xludf.DUMMYFUNCTION("IF('From Order'!$A651=COLUMNS($A651:H670), LEFT(INDEX(FILTER(H$1:H650, H$1:H650&lt;&gt;""""),COUNTA(FILTER(H$1:H650, H$1:H650&lt;&gt;""""))), LEN(INDEX(FILTER(H$1:H650, H$1:H650&lt;&gt;""""),COUNTA(FILTER(H$1:H650, H$1:H650&lt;&gt;""""))))-1), IF('To Order'!$A651=COLUMNS($A651:H"&amp;"670), H650&amp;RIGHT(INDIRECT(ADDRESS(ROW(H651)-1, 'From Order'!$A651)), 1), H650))"),"ZMDTCJT")</f>
        <v>ZMDTCJT</v>
      </c>
      <c r="I651" s="2" t="str">
        <f>IFERROR(__xludf.DUMMYFUNCTION("IF('From Order'!$A651=COLUMNS($A651:I670), LEFT(INDEX(FILTER(I$1:I650, I$1:I650&lt;&gt;""""),COUNTA(FILTER(I$1:I650, I$1:I650&lt;&gt;""""))), LEN(INDEX(FILTER(I$1:I650, I$1:I650&lt;&gt;""""),COUNTA(FILTER(I$1:I650, I$1:I650&lt;&gt;""""))))-1), IF('To Order'!$A651=COLUMNS($A651:I"&amp;"670), I650&amp;RIGHT(INDIRECT(ADDRESS(ROW(I651)-1, 'From Order'!$A651)), 1), I650))"),"DTWRDV")</f>
        <v>DTWRDV</v>
      </c>
    </row>
    <row r="652">
      <c r="A652" s="2" t="str">
        <f>IFERROR(__xludf.DUMMYFUNCTION("IF('From Order'!$A652=COLUMNS($A652:A671), LEFT(INDEX(FILTER(A$1:A651, A$1:A651&lt;&gt;""""),COUNTA(FILTER(A$1:A651, A$1:A651&lt;&gt;""""))), LEN(INDEX(FILTER(A$1:A651, A$1:A651&lt;&gt;""""),COUNTA(FILTER(A$1:A651, A$1:A651&lt;&gt;""""))))-1), IF('To Order'!$A652=COLUMNS($A652:A"&amp;"671), A651&amp;RIGHT(INDIRECT(ADDRESS(ROW(A652)-1, 'From Order'!$A652)), 1), A651))"),"")</f>
        <v/>
      </c>
      <c r="B652" s="2" t="str">
        <f>IFERROR(__xludf.DUMMYFUNCTION("IF('From Order'!$A652=COLUMNS($A652:B671), LEFT(INDEX(FILTER(B$1:B651, B$1:B651&lt;&gt;""""),COUNTA(FILTER(B$1:B651, B$1:B651&lt;&gt;""""))), LEN(INDEX(FILTER(B$1:B651, B$1:B651&lt;&gt;""""),COUNTA(FILTER(B$1:B651, B$1:B651&lt;&gt;""""))))-1), IF('To Order'!$A652=COLUMNS($A652:B"&amp;"671), B651&amp;RIGHT(INDIRECT(ADDRESS(ROW(B652)-1, 'From Order'!$A652)), 1), B651))"),"JZRVPVRZHMFBBFSLTDGSBL")</f>
        <v>JZRVPVRZHMFBBFSLTDGSBL</v>
      </c>
      <c r="C652" s="2" t="str">
        <f>IFERROR(__xludf.DUMMYFUNCTION("IF('From Order'!$A652=COLUMNS($A652:C671), LEFT(INDEX(FILTER(C$1:C651, C$1:C651&lt;&gt;""""),COUNTA(FILTER(C$1:C651, C$1:C651&lt;&gt;""""))), LEN(INDEX(FILTER(C$1:C651, C$1:C651&lt;&gt;""""),COUNTA(FILTER(C$1:C651, C$1:C651&lt;&gt;""""))))-1), IF('To Order'!$A652=COLUMNS($A652:C"&amp;"671), C651&amp;RIGHT(INDIRECT(ADDRESS(ROW(C652)-1, 'From Order'!$A652)), 1), C651))"),"")</f>
        <v/>
      </c>
      <c r="D652" s="2" t="str">
        <f>IFERROR(__xludf.DUMMYFUNCTION("IF('From Order'!$A652=COLUMNS($A652:D671), LEFT(INDEX(FILTER(D$1:D651, D$1:D651&lt;&gt;""""),COUNTA(FILTER(D$1:D651, D$1:D651&lt;&gt;""""))), LEN(INDEX(FILTER(D$1:D651, D$1:D651&lt;&gt;""""),COUNTA(FILTER(D$1:D651, D$1:D651&lt;&gt;""""))))-1), IF('To Order'!$A652=COLUMNS($A652:D"&amp;"671), D651&amp;RIGHT(INDIRECT(ADDRESS(ROW(D652)-1, 'From Order'!$A652)), 1), D651))"),"TMQ")</f>
        <v>TMQ</v>
      </c>
      <c r="E652" s="2" t="str">
        <f>IFERROR(__xludf.DUMMYFUNCTION("IF('From Order'!$A652=COLUMNS($A652:E671), LEFT(INDEX(FILTER(E$1:E651, E$1:E651&lt;&gt;""""),COUNTA(FILTER(E$1:E651, E$1:E651&lt;&gt;""""))), LEN(INDEX(FILTER(E$1:E651, E$1:E651&lt;&gt;""""),COUNTA(FILTER(E$1:E651, E$1:E651&lt;&gt;""""))))-1), IF('To Order'!$A652=COLUMNS($A652:E"&amp;"671), E651&amp;RIGHT(INDIRECT(ADDRESS(ROW(E652)-1, 'From Order'!$A652)), 1), E651))"),"CJ")</f>
        <v>CJ</v>
      </c>
      <c r="F652" s="2" t="str">
        <f>IFERROR(__xludf.DUMMYFUNCTION("IF('From Order'!$A652=COLUMNS($A652:F671), LEFT(INDEX(FILTER(F$1:F651, F$1:F651&lt;&gt;""""),COUNTA(FILTER(F$1:F651, F$1:F651&lt;&gt;""""))), LEN(INDEX(FILTER(F$1:F651, F$1:F651&lt;&gt;""""),COUNTA(FILTER(F$1:F651, F$1:F651&lt;&gt;""""))))-1), IF('To Order'!$A652=COLUMNS($A652:F"&amp;"671), F651&amp;RIGHT(INDIRECT(ADDRESS(ROW(F652)-1, 'From Order'!$A652)), 1), F651))"),"")</f>
        <v/>
      </c>
      <c r="G652" s="2" t="str">
        <f>IFERROR(__xludf.DUMMYFUNCTION("IF('From Order'!$A652=COLUMNS($A652:G671), LEFT(INDEX(FILTER(G$1:G651, G$1:G651&lt;&gt;""""),COUNTA(FILTER(G$1:G651, G$1:G651&lt;&gt;""""))), LEN(INDEX(FILTER(G$1:G651, G$1:G651&lt;&gt;""""),COUNTA(FILTER(G$1:G651, G$1:G651&lt;&gt;""""))))-1), IF('To Order'!$A652=COLUMNS($A652:G"&amp;"671), G651&amp;RIGHT(INDIRECT(ADDRESS(ROW(G652)-1, 'From Order'!$A652)), 1), G651))"),"DTRLRQPDSSGHWPBCV")</f>
        <v>DTRLRQPDSSGHWPBCV</v>
      </c>
      <c r="H652" s="2" t="str">
        <f>IFERROR(__xludf.DUMMYFUNCTION("IF('From Order'!$A652=COLUMNS($A652:H671), LEFT(INDEX(FILTER(H$1:H651, H$1:H651&lt;&gt;""""),COUNTA(FILTER(H$1:H651, H$1:H651&lt;&gt;""""))), LEN(INDEX(FILTER(H$1:H651, H$1:H651&lt;&gt;""""),COUNTA(FILTER(H$1:H651, H$1:H651&lt;&gt;""""))))-1), IF('To Order'!$A652=COLUMNS($A652:H"&amp;"671), H651&amp;RIGHT(INDIRECT(ADDRESS(ROW(H652)-1, 'From Order'!$A652)), 1), H651))"),"ZMDTCJT")</f>
        <v>ZMDTCJT</v>
      </c>
      <c r="I652" s="2" t="str">
        <f>IFERROR(__xludf.DUMMYFUNCTION("IF('From Order'!$A652=COLUMNS($A652:I671), LEFT(INDEX(FILTER(I$1:I651, I$1:I651&lt;&gt;""""),COUNTA(FILTER(I$1:I651, I$1:I651&lt;&gt;""""))), LEN(INDEX(FILTER(I$1:I651, I$1:I651&lt;&gt;""""),COUNTA(FILTER(I$1:I651, I$1:I651&lt;&gt;""""))))-1), IF('To Order'!$A652=COLUMNS($A652:I"&amp;"671), I651&amp;RIGHT(INDIRECT(ADDRESS(ROW(I652)-1, 'From Order'!$A652)), 1), I651))"),"DTWRD")</f>
        <v>DTWRD</v>
      </c>
    </row>
    <row r="653">
      <c r="A653" s="2" t="str">
        <f>IFERROR(__xludf.DUMMYFUNCTION("IF('From Order'!$A653=COLUMNS($A653:A672), LEFT(INDEX(FILTER(A$1:A652, A$1:A652&lt;&gt;""""),COUNTA(FILTER(A$1:A652, A$1:A652&lt;&gt;""""))), LEN(INDEX(FILTER(A$1:A652, A$1:A652&lt;&gt;""""),COUNTA(FILTER(A$1:A652, A$1:A652&lt;&gt;""""))))-1), IF('To Order'!$A653=COLUMNS($A653:A"&amp;"672), A652&amp;RIGHT(INDIRECT(ADDRESS(ROW(A653)-1, 'From Order'!$A653)), 1), A652))"),"")</f>
        <v/>
      </c>
      <c r="B653" s="2" t="str">
        <f>IFERROR(__xludf.DUMMYFUNCTION("IF('From Order'!$A653=COLUMNS($A653:B672), LEFT(INDEX(FILTER(B$1:B652, B$1:B652&lt;&gt;""""),COUNTA(FILTER(B$1:B652, B$1:B652&lt;&gt;""""))), LEN(INDEX(FILTER(B$1:B652, B$1:B652&lt;&gt;""""),COUNTA(FILTER(B$1:B652, B$1:B652&lt;&gt;""""))))-1), IF('To Order'!$A653=COLUMNS($A653:B"&amp;"672), B652&amp;RIGHT(INDIRECT(ADDRESS(ROW(B653)-1, 'From Order'!$A653)), 1), B652))"),"JZRVPVRZHMFBBFSLTDGSBL")</f>
        <v>JZRVPVRZHMFBBFSLTDGSBL</v>
      </c>
      <c r="C653" s="2" t="str">
        <f>IFERROR(__xludf.DUMMYFUNCTION("IF('From Order'!$A653=COLUMNS($A653:C672), LEFT(INDEX(FILTER(C$1:C652, C$1:C652&lt;&gt;""""),COUNTA(FILTER(C$1:C652, C$1:C652&lt;&gt;""""))), LEN(INDEX(FILTER(C$1:C652, C$1:C652&lt;&gt;""""),COUNTA(FILTER(C$1:C652, C$1:C652&lt;&gt;""""))))-1), IF('To Order'!$A653=COLUMNS($A653:C"&amp;"672), C652&amp;RIGHT(INDIRECT(ADDRESS(ROW(C653)-1, 'From Order'!$A653)), 1), C652))"),"")</f>
        <v/>
      </c>
      <c r="D653" s="2" t="str">
        <f>IFERROR(__xludf.DUMMYFUNCTION("IF('From Order'!$A653=COLUMNS($A653:D672), LEFT(INDEX(FILTER(D$1:D652, D$1:D652&lt;&gt;""""),COUNTA(FILTER(D$1:D652, D$1:D652&lt;&gt;""""))), LEN(INDEX(FILTER(D$1:D652, D$1:D652&lt;&gt;""""),COUNTA(FILTER(D$1:D652, D$1:D652&lt;&gt;""""))))-1), IF('To Order'!$A653=COLUMNS($A653:D"&amp;"672), D652&amp;RIGHT(INDIRECT(ADDRESS(ROW(D653)-1, 'From Order'!$A653)), 1), D652))"),"TMQ")</f>
        <v>TMQ</v>
      </c>
      <c r="E653" s="2" t="str">
        <f>IFERROR(__xludf.DUMMYFUNCTION("IF('From Order'!$A653=COLUMNS($A653:E672), LEFT(INDEX(FILTER(E$1:E652, E$1:E652&lt;&gt;""""),COUNTA(FILTER(E$1:E652, E$1:E652&lt;&gt;""""))), LEN(INDEX(FILTER(E$1:E652, E$1:E652&lt;&gt;""""),COUNTA(FILTER(E$1:E652, E$1:E652&lt;&gt;""""))))-1), IF('To Order'!$A653=COLUMNS($A653:E"&amp;"672), E652&amp;RIGHT(INDIRECT(ADDRESS(ROW(E653)-1, 'From Order'!$A653)), 1), E652))"),"CJ")</f>
        <v>CJ</v>
      </c>
      <c r="F653" s="2" t="str">
        <f>IFERROR(__xludf.DUMMYFUNCTION("IF('From Order'!$A653=COLUMNS($A653:F672), LEFT(INDEX(FILTER(F$1:F652, F$1:F652&lt;&gt;""""),COUNTA(FILTER(F$1:F652, F$1:F652&lt;&gt;""""))), LEN(INDEX(FILTER(F$1:F652, F$1:F652&lt;&gt;""""),COUNTA(FILTER(F$1:F652, F$1:F652&lt;&gt;""""))))-1), IF('To Order'!$A653=COLUMNS($A653:F"&amp;"672), F652&amp;RIGHT(INDIRECT(ADDRESS(ROW(F653)-1, 'From Order'!$A653)), 1), F652))"),"")</f>
        <v/>
      </c>
      <c r="G653" s="2" t="str">
        <f>IFERROR(__xludf.DUMMYFUNCTION("IF('From Order'!$A653=COLUMNS($A653:G672), LEFT(INDEX(FILTER(G$1:G652, G$1:G652&lt;&gt;""""),COUNTA(FILTER(G$1:G652, G$1:G652&lt;&gt;""""))), LEN(INDEX(FILTER(G$1:G652, G$1:G652&lt;&gt;""""),COUNTA(FILTER(G$1:G652, G$1:G652&lt;&gt;""""))))-1), IF('To Order'!$A653=COLUMNS($A653:G"&amp;"672), G652&amp;RIGHT(INDIRECT(ADDRESS(ROW(G653)-1, 'From Order'!$A653)), 1), G652))"),"DTRLRQPDSSGHWPBCVD")</f>
        <v>DTRLRQPDSSGHWPBCVD</v>
      </c>
      <c r="H653" s="2" t="str">
        <f>IFERROR(__xludf.DUMMYFUNCTION("IF('From Order'!$A653=COLUMNS($A653:H672), LEFT(INDEX(FILTER(H$1:H652, H$1:H652&lt;&gt;""""),COUNTA(FILTER(H$1:H652, H$1:H652&lt;&gt;""""))), LEN(INDEX(FILTER(H$1:H652, H$1:H652&lt;&gt;""""),COUNTA(FILTER(H$1:H652, H$1:H652&lt;&gt;""""))))-1), IF('To Order'!$A653=COLUMNS($A653:H"&amp;"672), H652&amp;RIGHT(INDIRECT(ADDRESS(ROW(H653)-1, 'From Order'!$A653)), 1), H652))"),"ZMDTCJT")</f>
        <v>ZMDTCJT</v>
      </c>
      <c r="I653" s="2" t="str">
        <f>IFERROR(__xludf.DUMMYFUNCTION("IF('From Order'!$A653=COLUMNS($A653:I672), LEFT(INDEX(FILTER(I$1:I652, I$1:I652&lt;&gt;""""),COUNTA(FILTER(I$1:I652, I$1:I652&lt;&gt;""""))), LEN(INDEX(FILTER(I$1:I652, I$1:I652&lt;&gt;""""),COUNTA(FILTER(I$1:I652, I$1:I652&lt;&gt;""""))))-1), IF('To Order'!$A653=COLUMNS($A653:I"&amp;"672), I652&amp;RIGHT(INDIRECT(ADDRESS(ROW(I653)-1, 'From Order'!$A653)), 1), I652))"),"DTWR")</f>
        <v>DTWR</v>
      </c>
    </row>
    <row r="654">
      <c r="A654" s="2" t="str">
        <f>IFERROR(__xludf.DUMMYFUNCTION("IF('From Order'!$A654=COLUMNS($A654:A673), LEFT(INDEX(FILTER(A$1:A653, A$1:A653&lt;&gt;""""),COUNTA(FILTER(A$1:A653, A$1:A653&lt;&gt;""""))), LEN(INDEX(FILTER(A$1:A653, A$1:A653&lt;&gt;""""),COUNTA(FILTER(A$1:A653, A$1:A653&lt;&gt;""""))))-1), IF('To Order'!$A654=COLUMNS($A654:A"&amp;"673), A653&amp;RIGHT(INDIRECT(ADDRESS(ROW(A654)-1, 'From Order'!$A654)), 1), A653))"),"")</f>
        <v/>
      </c>
      <c r="B654" s="2" t="str">
        <f>IFERROR(__xludf.DUMMYFUNCTION("IF('From Order'!$A654=COLUMNS($A654:B673), LEFT(INDEX(FILTER(B$1:B653, B$1:B653&lt;&gt;""""),COUNTA(FILTER(B$1:B653, B$1:B653&lt;&gt;""""))), LEN(INDEX(FILTER(B$1:B653, B$1:B653&lt;&gt;""""),COUNTA(FILTER(B$1:B653, B$1:B653&lt;&gt;""""))))-1), IF('To Order'!$A654=COLUMNS($A654:B"&amp;"673), B653&amp;RIGHT(INDIRECT(ADDRESS(ROW(B654)-1, 'From Order'!$A654)), 1), B653))"),"JZRVPVRZHMFBBFSLTDGSBL")</f>
        <v>JZRVPVRZHMFBBFSLTDGSBL</v>
      </c>
      <c r="C654" s="2" t="str">
        <f>IFERROR(__xludf.DUMMYFUNCTION("IF('From Order'!$A654=COLUMNS($A654:C673), LEFT(INDEX(FILTER(C$1:C653, C$1:C653&lt;&gt;""""),COUNTA(FILTER(C$1:C653, C$1:C653&lt;&gt;""""))), LEN(INDEX(FILTER(C$1:C653, C$1:C653&lt;&gt;""""),COUNTA(FILTER(C$1:C653, C$1:C653&lt;&gt;""""))))-1), IF('To Order'!$A654=COLUMNS($A654:C"&amp;"673), C653&amp;RIGHT(INDIRECT(ADDRESS(ROW(C654)-1, 'From Order'!$A654)), 1), C653))"),"")</f>
        <v/>
      </c>
      <c r="D654" s="2" t="str">
        <f>IFERROR(__xludf.DUMMYFUNCTION("IF('From Order'!$A654=COLUMNS($A654:D673), LEFT(INDEX(FILTER(D$1:D653, D$1:D653&lt;&gt;""""),COUNTA(FILTER(D$1:D653, D$1:D653&lt;&gt;""""))), LEN(INDEX(FILTER(D$1:D653, D$1:D653&lt;&gt;""""),COUNTA(FILTER(D$1:D653, D$1:D653&lt;&gt;""""))))-1), IF('To Order'!$A654=COLUMNS($A654:D"&amp;"673), D653&amp;RIGHT(INDIRECT(ADDRESS(ROW(D654)-1, 'From Order'!$A654)), 1), D653))"),"TMQ")</f>
        <v>TMQ</v>
      </c>
      <c r="E654" s="2" t="str">
        <f>IFERROR(__xludf.DUMMYFUNCTION("IF('From Order'!$A654=COLUMNS($A654:E673), LEFT(INDEX(FILTER(E$1:E653, E$1:E653&lt;&gt;""""),COUNTA(FILTER(E$1:E653, E$1:E653&lt;&gt;""""))), LEN(INDEX(FILTER(E$1:E653, E$1:E653&lt;&gt;""""),COUNTA(FILTER(E$1:E653, E$1:E653&lt;&gt;""""))))-1), IF('To Order'!$A654=COLUMNS($A654:E"&amp;"673), E653&amp;RIGHT(INDIRECT(ADDRESS(ROW(E654)-1, 'From Order'!$A654)), 1), E653))"),"CJ")</f>
        <v>CJ</v>
      </c>
      <c r="F654" s="2" t="str">
        <f>IFERROR(__xludf.DUMMYFUNCTION("IF('From Order'!$A654=COLUMNS($A654:F673), LEFT(INDEX(FILTER(F$1:F653, F$1:F653&lt;&gt;""""),COUNTA(FILTER(F$1:F653, F$1:F653&lt;&gt;""""))), LEN(INDEX(FILTER(F$1:F653, F$1:F653&lt;&gt;""""),COUNTA(FILTER(F$1:F653, F$1:F653&lt;&gt;""""))))-1), IF('To Order'!$A654=COLUMNS($A654:F"&amp;"673), F653&amp;RIGHT(INDIRECT(ADDRESS(ROW(F654)-1, 'From Order'!$A654)), 1), F653))"),"")</f>
        <v/>
      </c>
      <c r="G654" s="2" t="str">
        <f>IFERROR(__xludf.DUMMYFUNCTION("IF('From Order'!$A654=COLUMNS($A654:G673), LEFT(INDEX(FILTER(G$1:G653, G$1:G653&lt;&gt;""""),COUNTA(FILTER(G$1:G653, G$1:G653&lt;&gt;""""))), LEN(INDEX(FILTER(G$1:G653, G$1:G653&lt;&gt;""""),COUNTA(FILTER(G$1:G653, G$1:G653&lt;&gt;""""))))-1), IF('To Order'!$A654=COLUMNS($A654:G"&amp;"673), G653&amp;RIGHT(INDIRECT(ADDRESS(ROW(G654)-1, 'From Order'!$A654)), 1), G653))"),"DTRLRQPDSSGHWPBCVDR")</f>
        <v>DTRLRQPDSSGHWPBCVDR</v>
      </c>
      <c r="H654" s="2" t="str">
        <f>IFERROR(__xludf.DUMMYFUNCTION("IF('From Order'!$A654=COLUMNS($A654:H673), LEFT(INDEX(FILTER(H$1:H653, H$1:H653&lt;&gt;""""),COUNTA(FILTER(H$1:H653, H$1:H653&lt;&gt;""""))), LEN(INDEX(FILTER(H$1:H653, H$1:H653&lt;&gt;""""),COUNTA(FILTER(H$1:H653, H$1:H653&lt;&gt;""""))))-1), IF('To Order'!$A654=COLUMNS($A654:H"&amp;"673), H653&amp;RIGHT(INDIRECT(ADDRESS(ROW(H654)-1, 'From Order'!$A654)), 1), H653))"),"ZMDTCJT")</f>
        <v>ZMDTCJT</v>
      </c>
      <c r="I654" s="2" t="str">
        <f>IFERROR(__xludf.DUMMYFUNCTION("IF('From Order'!$A654=COLUMNS($A654:I673), LEFT(INDEX(FILTER(I$1:I653, I$1:I653&lt;&gt;""""),COUNTA(FILTER(I$1:I653, I$1:I653&lt;&gt;""""))), LEN(INDEX(FILTER(I$1:I653, I$1:I653&lt;&gt;""""),COUNTA(FILTER(I$1:I653, I$1:I653&lt;&gt;""""))))-1), IF('To Order'!$A654=COLUMNS($A654:I"&amp;"673), I653&amp;RIGHT(INDIRECT(ADDRESS(ROW(I654)-1, 'From Order'!$A654)), 1), I653))"),"DTW")</f>
        <v>DTW</v>
      </c>
    </row>
    <row r="655">
      <c r="A655" s="2" t="str">
        <f>IFERROR(__xludf.DUMMYFUNCTION("IF('From Order'!$A655=COLUMNS($A655:A674), LEFT(INDEX(FILTER(A$1:A654, A$1:A654&lt;&gt;""""),COUNTA(FILTER(A$1:A654, A$1:A654&lt;&gt;""""))), LEN(INDEX(FILTER(A$1:A654, A$1:A654&lt;&gt;""""),COUNTA(FILTER(A$1:A654, A$1:A654&lt;&gt;""""))))-1), IF('To Order'!$A655=COLUMNS($A655:A"&amp;"674), A654&amp;RIGHT(INDIRECT(ADDRESS(ROW(A655)-1, 'From Order'!$A655)), 1), A654))"),"")</f>
        <v/>
      </c>
      <c r="B655" s="2" t="str">
        <f>IFERROR(__xludf.DUMMYFUNCTION("IF('From Order'!$A655=COLUMNS($A655:B674), LEFT(INDEX(FILTER(B$1:B654, B$1:B654&lt;&gt;""""),COUNTA(FILTER(B$1:B654, B$1:B654&lt;&gt;""""))), LEN(INDEX(FILTER(B$1:B654, B$1:B654&lt;&gt;""""),COUNTA(FILTER(B$1:B654, B$1:B654&lt;&gt;""""))))-1), IF('To Order'!$A655=COLUMNS($A655:B"&amp;"674), B654&amp;RIGHT(INDIRECT(ADDRESS(ROW(B655)-1, 'From Order'!$A655)), 1), B654))"),"JZRVPVRZHMFBBFSLTDGSBL")</f>
        <v>JZRVPVRZHMFBBFSLTDGSBL</v>
      </c>
      <c r="C655" s="2" t="str">
        <f>IFERROR(__xludf.DUMMYFUNCTION("IF('From Order'!$A655=COLUMNS($A655:C674), LEFT(INDEX(FILTER(C$1:C654, C$1:C654&lt;&gt;""""),COUNTA(FILTER(C$1:C654, C$1:C654&lt;&gt;""""))), LEN(INDEX(FILTER(C$1:C654, C$1:C654&lt;&gt;""""),COUNTA(FILTER(C$1:C654, C$1:C654&lt;&gt;""""))))-1), IF('To Order'!$A655=COLUMNS($A655:C"&amp;"674), C654&amp;RIGHT(INDIRECT(ADDRESS(ROW(C655)-1, 'From Order'!$A655)), 1), C654))"),"")</f>
        <v/>
      </c>
      <c r="D655" s="2" t="str">
        <f>IFERROR(__xludf.DUMMYFUNCTION("IF('From Order'!$A655=COLUMNS($A655:D674), LEFT(INDEX(FILTER(D$1:D654, D$1:D654&lt;&gt;""""),COUNTA(FILTER(D$1:D654, D$1:D654&lt;&gt;""""))), LEN(INDEX(FILTER(D$1:D654, D$1:D654&lt;&gt;""""),COUNTA(FILTER(D$1:D654, D$1:D654&lt;&gt;""""))))-1), IF('To Order'!$A655=COLUMNS($A655:D"&amp;"674), D654&amp;RIGHT(INDIRECT(ADDRESS(ROW(D655)-1, 'From Order'!$A655)), 1), D654))"),"TMQ")</f>
        <v>TMQ</v>
      </c>
      <c r="E655" s="2" t="str">
        <f>IFERROR(__xludf.DUMMYFUNCTION("IF('From Order'!$A655=COLUMNS($A655:E674), LEFT(INDEX(FILTER(E$1:E654, E$1:E654&lt;&gt;""""),COUNTA(FILTER(E$1:E654, E$1:E654&lt;&gt;""""))), LEN(INDEX(FILTER(E$1:E654, E$1:E654&lt;&gt;""""),COUNTA(FILTER(E$1:E654, E$1:E654&lt;&gt;""""))))-1), IF('To Order'!$A655=COLUMNS($A655:E"&amp;"674), E654&amp;RIGHT(INDIRECT(ADDRESS(ROW(E655)-1, 'From Order'!$A655)), 1), E654))"),"CJ")</f>
        <v>CJ</v>
      </c>
      <c r="F655" s="2" t="str">
        <f>IFERROR(__xludf.DUMMYFUNCTION("IF('From Order'!$A655=COLUMNS($A655:F674), LEFT(INDEX(FILTER(F$1:F654, F$1:F654&lt;&gt;""""),COUNTA(FILTER(F$1:F654, F$1:F654&lt;&gt;""""))), LEN(INDEX(FILTER(F$1:F654, F$1:F654&lt;&gt;""""),COUNTA(FILTER(F$1:F654, F$1:F654&lt;&gt;""""))))-1), IF('To Order'!$A655=COLUMNS($A655:F"&amp;"674), F654&amp;RIGHT(INDIRECT(ADDRESS(ROW(F655)-1, 'From Order'!$A655)), 1), F654))"),"")</f>
        <v/>
      </c>
      <c r="G655" s="2" t="str">
        <f>IFERROR(__xludf.DUMMYFUNCTION("IF('From Order'!$A655=COLUMNS($A655:G674), LEFT(INDEX(FILTER(G$1:G654, G$1:G654&lt;&gt;""""),COUNTA(FILTER(G$1:G654, G$1:G654&lt;&gt;""""))), LEN(INDEX(FILTER(G$1:G654, G$1:G654&lt;&gt;""""),COUNTA(FILTER(G$1:G654, G$1:G654&lt;&gt;""""))))-1), IF('To Order'!$A655=COLUMNS($A655:G"&amp;"674), G654&amp;RIGHT(INDIRECT(ADDRESS(ROW(G655)-1, 'From Order'!$A655)), 1), G654))"),"DTRLRQPDSSGHWPBCVDRW")</f>
        <v>DTRLRQPDSSGHWPBCVDRW</v>
      </c>
      <c r="H655" s="2" t="str">
        <f>IFERROR(__xludf.DUMMYFUNCTION("IF('From Order'!$A655=COLUMNS($A655:H674), LEFT(INDEX(FILTER(H$1:H654, H$1:H654&lt;&gt;""""),COUNTA(FILTER(H$1:H654, H$1:H654&lt;&gt;""""))), LEN(INDEX(FILTER(H$1:H654, H$1:H654&lt;&gt;""""),COUNTA(FILTER(H$1:H654, H$1:H654&lt;&gt;""""))))-1), IF('To Order'!$A655=COLUMNS($A655:H"&amp;"674), H654&amp;RIGHT(INDIRECT(ADDRESS(ROW(H655)-1, 'From Order'!$A655)), 1), H654))"),"ZMDTCJT")</f>
        <v>ZMDTCJT</v>
      </c>
      <c r="I655" s="2" t="str">
        <f>IFERROR(__xludf.DUMMYFUNCTION("IF('From Order'!$A655=COLUMNS($A655:I674), LEFT(INDEX(FILTER(I$1:I654, I$1:I654&lt;&gt;""""),COUNTA(FILTER(I$1:I654, I$1:I654&lt;&gt;""""))), LEN(INDEX(FILTER(I$1:I654, I$1:I654&lt;&gt;""""),COUNTA(FILTER(I$1:I654, I$1:I654&lt;&gt;""""))))-1), IF('To Order'!$A655=COLUMNS($A655:I"&amp;"674), I654&amp;RIGHT(INDIRECT(ADDRESS(ROW(I655)-1, 'From Order'!$A655)), 1), I654))"),"DT")</f>
        <v>DT</v>
      </c>
    </row>
    <row r="656">
      <c r="A656" s="2" t="str">
        <f>IFERROR(__xludf.DUMMYFUNCTION("IF('From Order'!$A656=COLUMNS($A656:A675), LEFT(INDEX(FILTER(A$1:A655, A$1:A655&lt;&gt;""""),COUNTA(FILTER(A$1:A655, A$1:A655&lt;&gt;""""))), LEN(INDEX(FILTER(A$1:A655, A$1:A655&lt;&gt;""""),COUNTA(FILTER(A$1:A655, A$1:A655&lt;&gt;""""))))-1), IF('To Order'!$A656=COLUMNS($A656:A"&amp;"675), A655&amp;RIGHT(INDIRECT(ADDRESS(ROW(A656)-1, 'From Order'!$A656)), 1), A655))"),"")</f>
        <v/>
      </c>
      <c r="B656" s="2" t="str">
        <f>IFERROR(__xludf.DUMMYFUNCTION("IF('From Order'!$A656=COLUMNS($A656:B675), LEFT(INDEX(FILTER(B$1:B655, B$1:B655&lt;&gt;""""),COUNTA(FILTER(B$1:B655, B$1:B655&lt;&gt;""""))), LEN(INDEX(FILTER(B$1:B655, B$1:B655&lt;&gt;""""),COUNTA(FILTER(B$1:B655, B$1:B655&lt;&gt;""""))))-1), IF('To Order'!$A656=COLUMNS($A656:B"&amp;"675), B655&amp;RIGHT(INDIRECT(ADDRESS(ROW(B656)-1, 'From Order'!$A656)), 1), B655))"),"JZRVPVRZHMFBBFSLTDGSBL")</f>
        <v>JZRVPVRZHMFBBFSLTDGSBL</v>
      </c>
      <c r="C656" s="2" t="str">
        <f>IFERROR(__xludf.DUMMYFUNCTION("IF('From Order'!$A656=COLUMNS($A656:C675), LEFT(INDEX(FILTER(C$1:C655, C$1:C655&lt;&gt;""""),COUNTA(FILTER(C$1:C655, C$1:C655&lt;&gt;""""))), LEN(INDEX(FILTER(C$1:C655, C$1:C655&lt;&gt;""""),COUNTA(FILTER(C$1:C655, C$1:C655&lt;&gt;""""))))-1), IF('To Order'!$A656=COLUMNS($A656:C"&amp;"675), C655&amp;RIGHT(INDIRECT(ADDRESS(ROW(C656)-1, 'From Order'!$A656)), 1), C655))"),"")</f>
        <v/>
      </c>
      <c r="D656" s="2" t="str">
        <f>IFERROR(__xludf.DUMMYFUNCTION("IF('From Order'!$A656=COLUMNS($A656:D675), LEFT(INDEX(FILTER(D$1:D655, D$1:D655&lt;&gt;""""),COUNTA(FILTER(D$1:D655, D$1:D655&lt;&gt;""""))), LEN(INDEX(FILTER(D$1:D655, D$1:D655&lt;&gt;""""),COUNTA(FILTER(D$1:D655, D$1:D655&lt;&gt;""""))))-1), IF('To Order'!$A656=COLUMNS($A656:D"&amp;"675), D655&amp;RIGHT(INDIRECT(ADDRESS(ROW(D656)-1, 'From Order'!$A656)), 1), D655))"),"TMQ")</f>
        <v>TMQ</v>
      </c>
      <c r="E656" s="2" t="str">
        <f>IFERROR(__xludf.DUMMYFUNCTION("IF('From Order'!$A656=COLUMNS($A656:E675), LEFT(INDEX(FILTER(E$1:E655, E$1:E655&lt;&gt;""""),COUNTA(FILTER(E$1:E655, E$1:E655&lt;&gt;""""))), LEN(INDEX(FILTER(E$1:E655, E$1:E655&lt;&gt;""""),COUNTA(FILTER(E$1:E655, E$1:E655&lt;&gt;""""))))-1), IF('To Order'!$A656=COLUMNS($A656:E"&amp;"675), E655&amp;RIGHT(INDIRECT(ADDRESS(ROW(E656)-1, 'From Order'!$A656)), 1), E655))"),"CJ")</f>
        <v>CJ</v>
      </c>
      <c r="F656" s="2" t="str">
        <f>IFERROR(__xludf.DUMMYFUNCTION("IF('From Order'!$A656=COLUMNS($A656:F675), LEFT(INDEX(FILTER(F$1:F655, F$1:F655&lt;&gt;""""),COUNTA(FILTER(F$1:F655, F$1:F655&lt;&gt;""""))), LEN(INDEX(FILTER(F$1:F655, F$1:F655&lt;&gt;""""),COUNTA(FILTER(F$1:F655, F$1:F655&lt;&gt;""""))))-1), IF('To Order'!$A656=COLUMNS($A656:F"&amp;"675), F655&amp;RIGHT(INDIRECT(ADDRESS(ROW(F656)-1, 'From Order'!$A656)), 1), F655))"),"")</f>
        <v/>
      </c>
      <c r="G656" s="2" t="str">
        <f>IFERROR(__xludf.DUMMYFUNCTION("IF('From Order'!$A656=COLUMNS($A656:G675), LEFT(INDEX(FILTER(G$1:G655, G$1:G655&lt;&gt;""""),COUNTA(FILTER(G$1:G655, G$1:G655&lt;&gt;""""))), LEN(INDEX(FILTER(G$1:G655, G$1:G655&lt;&gt;""""),COUNTA(FILTER(G$1:G655, G$1:G655&lt;&gt;""""))))-1), IF('To Order'!$A656=COLUMNS($A656:G"&amp;"675), G655&amp;RIGHT(INDIRECT(ADDRESS(ROW(G656)-1, 'From Order'!$A656)), 1), G655))"),"DTRLRQPDSSGHWPBCVDRWT")</f>
        <v>DTRLRQPDSSGHWPBCVDRWT</v>
      </c>
      <c r="H656" s="2" t="str">
        <f>IFERROR(__xludf.DUMMYFUNCTION("IF('From Order'!$A656=COLUMNS($A656:H675), LEFT(INDEX(FILTER(H$1:H655, H$1:H655&lt;&gt;""""),COUNTA(FILTER(H$1:H655, H$1:H655&lt;&gt;""""))), LEN(INDEX(FILTER(H$1:H655, H$1:H655&lt;&gt;""""),COUNTA(FILTER(H$1:H655, H$1:H655&lt;&gt;""""))))-1), IF('To Order'!$A656=COLUMNS($A656:H"&amp;"675), H655&amp;RIGHT(INDIRECT(ADDRESS(ROW(H656)-1, 'From Order'!$A656)), 1), H655))"),"ZMDTCJT")</f>
        <v>ZMDTCJT</v>
      </c>
      <c r="I656" s="2" t="str">
        <f>IFERROR(__xludf.DUMMYFUNCTION("IF('From Order'!$A656=COLUMNS($A656:I675), LEFT(INDEX(FILTER(I$1:I655, I$1:I655&lt;&gt;""""),COUNTA(FILTER(I$1:I655, I$1:I655&lt;&gt;""""))), LEN(INDEX(FILTER(I$1:I655, I$1:I655&lt;&gt;""""),COUNTA(FILTER(I$1:I655, I$1:I655&lt;&gt;""""))))-1), IF('To Order'!$A656=COLUMNS($A656:I"&amp;"675), I655&amp;RIGHT(INDIRECT(ADDRESS(ROW(I656)-1, 'From Order'!$A656)), 1), I655))"),"D")</f>
        <v>D</v>
      </c>
    </row>
    <row r="657">
      <c r="A657" s="2" t="str">
        <f>IFERROR(__xludf.DUMMYFUNCTION("IF('From Order'!$A657=COLUMNS($A657:A676), LEFT(INDEX(FILTER(A$1:A656, A$1:A656&lt;&gt;""""),COUNTA(FILTER(A$1:A656, A$1:A656&lt;&gt;""""))), LEN(INDEX(FILTER(A$1:A656, A$1:A656&lt;&gt;""""),COUNTA(FILTER(A$1:A656, A$1:A656&lt;&gt;""""))))-1), IF('To Order'!$A657=COLUMNS($A657:A"&amp;"676), A656&amp;RIGHT(INDIRECT(ADDRESS(ROW(A657)-1, 'From Order'!$A657)), 1), A656))"),"")</f>
        <v/>
      </c>
      <c r="B657" s="2" t="str">
        <f>IFERROR(__xludf.DUMMYFUNCTION("IF('From Order'!$A657=COLUMNS($A657:B676), LEFT(INDEX(FILTER(B$1:B656, B$1:B656&lt;&gt;""""),COUNTA(FILTER(B$1:B656, B$1:B656&lt;&gt;""""))), LEN(INDEX(FILTER(B$1:B656, B$1:B656&lt;&gt;""""),COUNTA(FILTER(B$1:B656, B$1:B656&lt;&gt;""""))))-1), IF('To Order'!$A657=COLUMNS($A657:B"&amp;"676), B656&amp;RIGHT(INDIRECT(ADDRESS(ROW(B657)-1, 'From Order'!$A657)), 1), B656))"),"JZRVPVRZHMFBBFSLTDGSBL")</f>
        <v>JZRVPVRZHMFBBFSLTDGSBL</v>
      </c>
      <c r="C657" s="2" t="str">
        <f>IFERROR(__xludf.DUMMYFUNCTION("IF('From Order'!$A657=COLUMNS($A657:C676), LEFT(INDEX(FILTER(C$1:C656, C$1:C656&lt;&gt;""""),COUNTA(FILTER(C$1:C656, C$1:C656&lt;&gt;""""))), LEN(INDEX(FILTER(C$1:C656, C$1:C656&lt;&gt;""""),COUNTA(FILTER(C$1:C656, C$1:C656&lt;&gt;""""))))-1), IF('To Order'!$A657=COLUMNS($A657:C"&amp;"676), C656&amp;RIGHT(INDIRECT(ADDRESS(ROW(C657)-1, 'From Order'!$A657)), 1), C656))"),"")</f>
        <v/>
      </c>
      <c r="D657" s="2" t="str">
        <f>IFERROR(__xludf.DUMMYFUNCTION("IF('From Order'!$A657=COLUMNS($A657:D676), LEFT(INDEX(FILTER(D$1:D656, D$1:D656&lt;&gt;""""),COUNTA(FILTER(D$1:D656, D$1:D656&lt;&gt;""""))), LEN(INDEX(FILTER(D$1:D656, D$1:D656&lt;&gt;""""),COUNTA(FILTER(D$1:D656, D$1:D656&lt;&gt;""""))))-1), IF('To Order'!$A657=COLUMNS($A657:D"&amp;"676), D656&amp;RIGHT(INDIRECT(ADDRESS(ROW(D657)-1, 'From Order'!$A657)), 1), D656))"),"TMQ")</f>
        <v>TMQ</v>
      </c>
      <c r="E657" s="2" t="str">
        <f>IFERROR(__xludf.DUMMYFUNCTION("IF('From Order'!$A657=COLUMNS($A657:E676), LEFT(INDEX(FILTER(E$1:E656, E$1:E656&lt;&gt;""""),COUNTA(FILTER(E$1:E656, E$1:E656&lt;&gt;""""))), LEN(INDEX(FILTER(E$1:E656, E$1:E656&lt;&gt;""""),COUNTA(FILTER(E$1:E656, E$1:E656&lt;&gt;""""))))-1), IF('To Order'!$A657=COLUMNS($A657:E"&amp;"676), E656&amp;RIGHT(INDIRECT(ADDRESS(ROW(E657)-1, 'From Order'!$A657)), 1), E656))"),"CJ")</f>
        <v>CJ</v>
      </c>
      <c r="F657" s="2" t="str">
        <f>IFERROR(__xludf.DUMMYFUNCTION("IF('From Order'!$A657=COLUMNS($A657:F676), LEFT(INDEX(FILTER(F$1:F656, F$1:F656&lt;&gt;""""),COUNTA(FILTER(F$1:F656, F$1:F656&lt;&gt;""""))), LEN(INDEX(FILTER(F$1:F656, F$1:F656&lt;&gt;""""),COUNTA(FILTER(F$1:F656, F$1:F656&lt;&gt;""""))))-1), IF('To Order'!$A657=COLUMNS($A657:F"&amp;"676), F656&amp;RIGHT(INDIRECT(ADDRESS(ROW(F657)-1, 'From Order'!$A657)), 1), F656))"),"")</f>
        <v/>
      </c>
      <c r="G657" s="2" t="str">
        <f>IFERROR(__xludf.DUMMYFUNCTION("IF('From Order'!$A657=COLUMNS($A657:G676), LEFT(INDEX(FILTER(G$1:G656, G$1:G656&lt;&gt;""""),COUNTA(FILTER(G$1:G656, G$1:G656&lt;&gt;""""))), LEN(INDEX(FILTER(G$1:G656, G$1:G656&lt;&gt;""""),COUNTA(FILTER(G$1:G656, G$1:G656&lt;&gt;""""))))-1), IF('To Order'!$A657=COLUMNS($A657:G"&amp;"676), G656&amp;RIGHT(INDIRECT(ADDRESS(ROW(G657)-1, 'From Order'!$A657)), 1), G656))"),"DTRLRQPDSSGHWPBCVDRWTD")</f>
        <v>DTRLRQPDSSGHWPBCVDRWTD</v>
      </c>
      <c r="H657" s="2" t="str">
        <f>IFERROR(__xludf.DUMMYFUNCTION("IF('From Order'!$A657=COLUMNS($A657:H676), LEFT(INDEX(FILTER(H$1:H656, H$1:H656&lt;&gt;""""),COUNTA(FILTER(H$1:H656, H$1:H656&lt;&gt;""""))), LEN(INDEX(FILTER(H$1:H656, H$1:H656&lt;&gt;""""),COUNTA(FILTER(H$1:H656, H$1:H656&lt;&gt;""""))))-1), IF('To Order'!$A657=COLUMNS($A657:H"&amp;"676), H656&amp;RIGHT(INDIRECT(ADDRESS(ROW(H657)-1, 'From Order'!$A657)), 1), H656))"),"ZMDTCJT")</f>
        <v>ZMDTCJT</v>
      </c>
      <c r="I657" s="2" t="str">
        <f>IFERROR(__xludf.DUMMYFUNCTION("IF('From Order'!$A657=COLUMNS($A657:I676), LEFT(INDEX(FILTER(I$1:I656, I$1:I656&lt;&gt;""""),COUNTA(FILTER(I$1:I656, I$1:I656&lt;&gt;""""))), LEN(INDEX(FILTER(I$1:I656, I$1:I656&lt;&gt;""""),COUNTA(FILTER(I$1:I656, I$1:I656&lt;&gt;""""))))-1), IF('To Order'!$A657=COLUMNS($A657:I"&amp;"676), I656&amp;RIGHT(INDIRECT(ADDRESS(ROW(I657)-1, 'From Order'!$A657)), 1), I656))"),"")</f>
        <v/>
      </c>
    </row>
    <row r="658">
      <c r="A658" s="2" t="str">
        <f>IFERROR(__xludf.DUMMYFUNCTION("IF('From Order'!$A658=COLUMNS($A658:A677), LEFT(INDEX(FILTER(A$1:A657, A$1:A657&lt;&gt;""""),COUNTA(FILTER(A$1:A657, A$1:A657&lt;&gt;""""))), LEN(INDEX(FILTER(A$1:A657, A$1:A657&lt;&gt;""""),COUNTA(FILTER(A$1:A657, A$1:A657&lt;&gt;""""))))-1), IF('To Order'!$A658=COLUMNS($A658:A"&amp;"677), A657&amp;RIGHT(INDIRECT(ADDRESS(ROW(A658)-1, 'From Order'!$A658)), 1), A657))"),"")</f>
        <v/>
      </c>
      <c r="B658" s="2" t="str">
        <f>IFERROR(__xludf.DUMMYFUNCTION("IF('From Order'!$A658=COLUMNS($A658:B677), LEFT(INDEX(FILTER(B$1:B657, B$1:B657&lt;&gt;""""),COUNTA(FILTER(B$1:B657, B$1:B657&lt;&gt;""""))), LEN(INDEX(FILTER(B$1:B657, B$1:B657&lt;&gt;""""),COUNTA(FILTER(B$1:B657, B$1:B657&lt;&gt;""""))))-1), IF('To Order'!$A658=COLUMNS($A658:B"&amp;"677), B657&amp;RIGHT(INDIRECT(ADDRESS(ROW(B658)-1, 'From Order'!$A658)), 1), B657))"),"JZRVPVRZHMFBBFSLTDGSBLJ")</f>
        <v>JZRVPVRZHMFBBFSLTDGSBLJ</v>
      </c>
      <c r="C658" s="2" t="str">
        <f>IFERROR(__xludf.DUMMYFUNCTION("IF('From Order'!$A658=COLUMNS($A658:C677), LEFT(INDEX(FILTER(C$1:C657, C$1:C657&lt;&gt;""""),COUNTA(FILTER(C$1:C657, C$1:C657&lt;&gt;""""))), LEN(INDEX(FILTER(C$1:C657, C$1:C657&lt;&gt;""""),COUNTA(FILTER(C$1:C657, C$1:C657&lt;&gt;""""))))-1), IF('To Order'!$A658=COLUMNS($A658:C"&amp;"677), C657&amp;RIGHT(INDIRECT(ADDRESS(ROW(C658)-1, 'From Order'!$A658)), 1), C657))"),"")</f>
        <v/>
      </c>
      <c r="D658" s="2" t="str">
        <f>IFERROR(__xludf.DUMMYFUNCTION("IF('From Order'!$A658=COLUMNS($A658:D677), LEFT(INDEX(FILTER(D$1:D657, D$1:D657&lt;&gt;""""),COUNTA(FILTER(D$1:D657, D$1:D657&lt;&gt;""""))), LEN(INDEX(FILTER(D$1:D657, D$1:D657&lt;&gt;""""),COUNTA(FILTER(D$1:D657, D$1:D657&lt;&gt;""""))))-1), IF('To Order'!$A658=COLUMNS($A658:D"&amp;"677), D657&amp;RIGHT(INDIRECT(ADDRESS(ROW(D658)-1, 'From Order'!$A658)), 1), D657))"),"TMQ")</f>
        <v>TMQ</v>
      </c>
      <c r="E658" s="2" t="str">
        <f>IFERROR(__xludf.DUMMYFUNCTION("IF('From Order'!$A658=COLUMNS($A658:E677), LEFT(INDEX(FILTER(E$1:E657, E$1:E657&lt;&gt;""""),COUNTA(FILTER(E$1:E657, E$1:E657&lt;&gt;""""))), LEN(INDEX(FILTER(E$1:E657, E$1:E657&lt;&gt;""""),COUNTA(FILTER(E$1:E657, E$1:E657&lt;&gt;""""))))-1), IF('To Order'!$A658=COLUMNS($A658:E"&amp;"677), E657&amp;RIGHT(INDIRECT(ADDRESS(ROW(E658)-1, 'From Order'!$A658)), 1), E657))"),"C")</f>
        <v>C</v>
      </c>
      <c r="F658" s="2" t="str">
        <f>IFERROR(__xludf.DUMMYFUNCTION("IF('From Order'!$A658=COLUMNS($A658:F677), LEFT(INDEX(FILTER(F$1:F657, F$1:F657&lt;&gt;""""),COUNTA(FILTER(F$1:F657, F$1:F657&lt;&gt;""""))), LEN(INDEX(FILTER(F$1:F657, F$1:F657&lt;&gt;""""),COUNTA(FILTER(F$1:F657, F$1:F657&lt;&gt;""""))))-1), IF('To Order'!$A658=COLUMNS($A658:F"&amp;"677), F657&amp;RIGHT(INDIRECT(ADDRESS(ROW(F658)-1, 'From Order'!$A658)), 1), F657))"),"")</f>
        <v/>
      </c>
      <c r="G658" s="2" t="str">
        <f>IFERROR(__xludf.DUMMYFUNCTION("IF('From Order'!$A658=COLUMNS($A658:G677), LEFT(INDEX(FILTER(G$1:G657, G$1:G657&lt;&gt;""""),COUNTA(FILTER(G$1:G657, G$1:G657&lt;&gt;""""))), LEN(INDEX(FILTER(G$1:G657, G$1:G657&lt;&gt;""""),COUNTA(FILTER(G$1:G657, G$1:G657&lt;&gt;""""))))-1), IF('To Order'!$A658=COLUMNS($A658:G"&amp;"677), G657&amp;RIGHT(INDIRECT(ADDRESS(ROW(G658)-1, 'From Order'!$A658)), 1), G657))"),"DTRLRQPDSSGHWPBCVDRWTD")</f>
        <v>DTRLRQPDSSGHWPBCVDRWTD</v>
      </c>
      <c r="H658" s="2" t="str">
        <f>IFERROR(__xludf.DUMMYFUNCTION("IF('From Order'!$A658=COLUMNS($A658:H677), LEFT(INDEX(FILTER(H$1:H657, H$1:H657&lt;&gt;""""),COUNTA(FILTER(H$1:H657, H$1:H657&lt;&gt;""""))), LEN(INDEX(FILTER(H$1:H657, H$1:H657&lt;&gt;""""),COUNTA(FILTER(H$1:H657, H$1:H657&lt;&gt;""""))))-1), IF('To Order'!$A658=COLUMNS($A658:H"&amp;"677), H657&amp;RIGHT(INDIRECT(ADDRESS(ROW(H658)-1, 'From Order'!$A658)), 1), H657))"),"ZMDTCJT")</f>
        <v>ZMDTCJT</v>
      </c>
      <c r="I658" s="2" t="str">
        <f>IFERROR(__xludf.DUMMYFUNCTION("IF('From Order'!$A658=COLUMNS($A658:I677), LEFT(INDEX(FILTER(I$1:I657, I$1:I657&lt;&gt;""""),COUNTA(FILTER(I$1:I657, I$1:I657&lt;&gt;""""))), LEN(INDEX(FILTER(I$1:I657, I$1:I657&lt;&gt;""""),COUNTA(FILTER(I$1:I657, I$1:I657&lt;&gt;""""))))-1), IF('To Order'!$A658=COLUMNS($A658:I"&amp;"677), I657&amp;RIGHT(INDIRECT(ADDRESS(ROW(I658)-1, 'From Order'!$A658)), 1), I657))"),"")</f>
        <v/>
      </c>
    </row>
    <row r="659">
      <c r="A659" s="2" t="str">
        <f>IFERROR(__xludf.DUMMYFUNCTION("IF('From Order'!$A659=COLUMNS($A659:A678), LEFT(INDEX(FILTER(A$1:A658, A$1:A658&lt;&gt;""""),COUNTA(FILTER(A$1:A658, A$1:A658&lt;&gt;""""))), LEN(INDEX(FILTER(A$1:A658, A$1:A658&lt;&gt;""""),COUNTA(FILTER(A$1:A658, A$1:A658&lt;&gt;""""))))-1), IF('To Order'!$A659=COLUMNS($A659:A"&amp;"678), A658&amp;RIGHT(INDIRECT(ADDRESS(ROW(A659)-1, 'From Order'!$A659)), 1), A658))"),"")</f>
        <v/>
      </c>
      <c r="B659" s="2" t="str">
        <f>IFERROR(__xludf.DUMMYFUNCTION("IF('From Order'!$A659=COLUMNS($A659:B678), LEFT(INDEX(FILTER(B$1:B658, B$1:B658&lt;&gt;""""),COUNTA(FILTER(B$1:B658, B$1:B658&lt;&gt;""""))), LEN(INDEX(FILTER(B$1:B658, B$1:B658&lt;&gt;""""),COUNTA(FILTER(B$1:B658, B$1:B658&lt;&gt;""""))))-1), IF('To Order'!$A659=COLUMNS($A659:B"&amp;"678), B658&amp;RIGHT(INDIRECT(ADDRESS(ROW(B659)-1, 'From Order'!$A659)), 1), B658))"),"JZRVPVRZHMFBBFSLTDGSBL")</f>
        <v>JZRVPVRZHMFBBFSLTDGSBL</v>
      </c>
      <c r="C659" s="2" t="str">
        <f>IFERROR(__xludf.DUMMYFUNCTION("IF('From Order'!$A659=COLUMNS($A659:C678), LEFT(INDEX(FILTER(C$1:C658, C$1:C658&lt;&gt;""""),COUNTA(FILTER(C$1:C658, C$1:C658&lt;&gt;""""))), LEN(INDEX(FILTER(C$1:C658, C$1:C658&lt;&gt;""""),COUNTA(FILTER(C$1:C658, C$1:C658&lt;&gt;""""))))-1), IF('To Order'!$A659=COLUMNS($A659:C"&amp;"678), C658&amp;RIGHT(INDIRECT(ADDRESS(ROW(C659)-1, 'From Order'!$A659)), 1), C658))"),"")</f>
        <v/>
      </c>
      <c r="D659" s="2" t="str">
        <f>IFERROR(__xludf.DUMMYFUNCTION("IF('From Order'!$A659=COLUMNS($A659:D678), LEFT(INDEX(FILTER(D$1:D658, D$1:D658&lt;&gt;""""),COUNTA(FILTER(D$1:D658, D$1:D658&lt;&gt;""""))), LEN(INDEX(FILTER(D$1:D658, D$1:D658&lt;&gt;""""),COUNTA(FILTER(D$1:D658, D$1:D658&lt;&gt;""""))))-1), IF('To Order'!$A659=COLUMNS($A659:D"&amp;"678), D658&amp;RIGHT(INDIRECT(ADDRESS(ROW(D659)-1, 'From Order'!$A659)), 1), D658))"),"TMQ")</f>
        <v>TMQ</v>
      </c>
      <c r="E659" s="2" t="str">
        <f>IFERROR(__xludf.DUMMYFUNCTION("IF('From Order'!$A659=COLUMNS($A659:E678), LEFT(INDEX(FILTER(E$1:E658, E$1:E658&lt;&gt;""""),COUNTA(FILTER(E$1:E658, E$1:E658&lt;&gt;""""))), LEN(INDEX(FILTER(E$1:E658, E$1:E658&lt;&gt;""""),COUNTA(FILTER(E$1:E658, E$1:E658&lt;&gt;""""))))-1), IF('To Order'!$A659=COLUMNS($A659:E"&amp;"678), E658&amp;RIGHT(INDIRECT(ADDRESS(ROW(E659)-1, 'From Order'!$A659)), 1), E658))"),"C")</f>
        <v>C</v>
      </c>
      <c r="F659" s="2" t="str">
        <f>IFERROR(__xludf.DUMMYFUNCTION("IF('From Order'!$A659=COLUMNS($A659:F678), LEFT(INDEX(FILTER(F$1:F658, F$1:F658&lt;&gt;""""),COUNTA(FILTER(F$1:F658, F$1:F658&lt;&gt;""""))), LEN(INDEX(FILTER(F$1:F658, F$1:F658&lt;&gt;""""),COUNTA(FILTER(F$1:F658, F$1:F658&lt;&gt;""""))))-1), IF('To Order'!$A659=COLUMNS($A659:F"&amp;"678), F658&amp;RIGHT(INDIRECT(ADDRESS(ROW(F659)-1, 'From Order'!$A659)), 1), F658))"),"")</f>
        <v/>
      </c>
      <c r="G659" s="2" t="str">
        <f>IFERROR(__xludf.DUMMYFUNCTION("IF('From Order'!$A659=COLUMNS($A659:G678), LEFT(INDEX(FILTER(G$1:G658, G$1:G658&lt;&gt;""""),COUNTA(FILTER(G$1:G658, G$1:G658&lt;&gt;""""))), LEN(INDEX(FILTER(G$1:G658, G$1:G658&lt;&gt;""""),COUNTA(FILTER(G$1:G658, G$1:G658&lt;&gt;""""))))-1), IF('To Order'!$A659=COLUMNS($A659:G"&amp;"678), G658&amp;RIGHT(INDIRECT(ADDRESS(ROW(G659)-1, 'From Order'!$A659)), 1), G658))"),"DTRLRQPDSSGHWPBCVDRWTDJ")</f>
        <v>DTRLRQPDSSGHWPBCVDRWTDJ</v>
      </c>
      <c r="H659" s="2" t="str">
        <f>IFERROR(__xludf.DUMMYFUNCTION("IF('From Order'!$A659=COLUMNS($A659:H678), LEFT(INDEX(FILTER(H$1:H658, H$1:H658&lt;&gt;""""),COUNTA(FILTER(H$1:H658, H$1:H658&lt;&gt;""""))), LEN(INDEX(FILTER(H$1:H658, H$1:H658&lt;&gt;""""),COUNTA(FILTER(H$1:H658, H$1:H658&lt;&gt;""""))))-1), IF('To Order'!$A659=COLUMNS($A659:H"&amp;"678), H658&amp;RIGHT(INDIRECT(ADDRESS(ROW(H659)-1, 'From Order'!$A659)), 1), H658))"),"ZMDTCJT")</f>
        <v>ZMDTCJT</v>
      </c>
      <c r="I659" s="2" t="str">
        <f>IFERROR(__xludf.DUMMYFUNCTION("IF('From Order'!$A659=COLUMNS($A659:I678), LEFT(INDEX(FILTER(I$1:I658, I$1:I658&lt;&gt;""""),COUNTA(FILTER(I$1:I658, I$1:I658&lt;&gt;""""))), LEN(INDEX(FILTER(I$1:I658, I$1:I658&lt;&gt;""""),COUNTA(FILTER(I$1:I658, I$1:I658&lt;&gt;""""))))-1), IF('To Order'!$A659=COLUMNS($A659:I"&amp;"678), I658&amp;RIGHT(INDIRECT(ADDRESS(ROW(I659)-1, 'From Order'!$A659)), 1), I658))"),"")</f>
        <v/>
      </c>
    </row>
    <row r="660">
      <c r="A660" s="2" t="str">
        <f>IFERROR(__xludf.DUMMYFUNCTION("IF('From Order'!$A660=COLUMNS($A660:A679), LEFT(INDEX(FILTER(A$1:A659, A$1:A659&lt;&gt;""""),COUNTA(FILTER(A$1:A659, A$1:A659&lt;&gt;""""))), LEN(INDEX(FILTER(A$1:A659, A$1:A659&lt;&gt;""""),COUNTA(FILTER(A$1:A659, A$1:A659&lt;&gt;""""))))-1), IF('To Order'!$A660=COLUMNS($A660:A"&amp;"679), A659&amp;RIGHT(INDIRECT(ADDRESS(ROW(A660)-1, 'From Order'!$A660)), 1), A659))"),"")</f>
        <v/>
      </c>
      <c r="B660" s="2" t="str">
        <f>IFERROR(__xludf.DUMMYFUNCTION("IF('From Order'!$A660=COLUMNS($A660:B679), LEFT(INDEX(FILTER(B$1:B659, B$1:B659&lt;&gt;""""),COUNTA(FILTER(B$1:B659, B$1:B659&lt;&gt;""""))), LEN(INDEX(FILTER(B$1:B659, B$1:B659&lt;&gt;""""),COUNTA(FILTER(B$1:B659, B$1:B659&lt;&gt;""""))))-1), IF('To Order'!$A660=COLUMNS($A660:B"&amp;"679), B659&amp;RIGHT(INDIRECT(ADDRESS(ROW(B660)-1, 'From Order'!$A660)), 1), B659))"),"JZRVPVRZHMFBBFSLTDGSB")</f>
        <v>JZRVPVRZHMFBBFSLTDGSB</v>
      </c>
      <c r="C660" s="2" t="str">
        <f>IFERROR(__xludf.DUMMYFUNCTION("IF('From Order'!$A660=COLUMNS($A660:C679), LEFT(INDEX(FILTER(C$1:C659, C$1:C659&lt;&gt;""""),COUNTA(FILTER(C$1:C659, C$1:C659&lt;&gt;""""))), LEN(INDEX(FILTER(C$1:C659, C$1:C659&lt;&gt;""""),COUNTA(FILTER(C$1:C659, C$1:C659&lt;&gt;""""))))-1), IF('To Order'!$A660=COLUMNS($A660:C"&amp;"679), C659&amp;RIGHT(INDIRECT(ADDRESS(ROW(C660)-1, 'From Order'!$A660)), 1), C659))"),"")</f>
        <v/>
      </c>
      <c r="D660" s="2" t="str">
        <f>IFERROR(__xludf.DUMMYFUNCTION("IF('From Order'!$A660=COLUMNS($A660:D679), LEFT(INDEX(FILTER(D$1:D659, D$1:D659&lt;&gt;""""),COUNTA(FILTER(D$1:D659, D$1:D659&lt;&gt;""""))), LEN(INDEX(FILTER(D$1:D659, D$1:D659&lt;&gt;""""),COUNTA(FILTER(D$1:D659, D$1:D659&lt;&gt;""""))))-1), IF('To Order'!$A660=COLUMNS($A660:D"&amp;"679), D659&amp;RIGHT(INDIRECT(ADDRESS(ROW(D660)-1, 'From Order'!$A660)), 1), D659))"),"TMQ")</f>
        <v>TMQ</v>
      </c>
      <c r="E660" s="2" t="str">
        <f>IFERROR(__xludf.DUMMYFUNCTION("IF('From Order'!$A660=COLUMNS($A660:E679), LEFT(INDEX(FILTER(E$1:E659, E$1:E659&lt;&gt;""""),COUNTA(FILTER(E$1:E659, E$1:E659&lt;&gt;""""))), LEN(INDEX(FILTER(E$1:E659, E$1:E659&lt;&gt;""""),COUNTA(FILTER(E$1:E659, E$1:E659&lt;&gt;""""))))-1), IF('To Order'!$A660=COLUMNS($A660:E"&amp;"679), E659&amp;RIGHT(INDIRECT(ADDRESS(ROW(E660)-1, 'From Order'!$A660)), 1), E659))"),"C")</f>
        <v>C</v>
      </c>
      <c r="F660" s="2" t="str">
        <f>IFERROR(__xludf.DUMMYFUNCTION("IF('From Order'!$A660=COLUMNS($A660:F679), LEFT(INDEX(FILTER(F$1:F659, F$1:F659&lt;&gt;""""),COUNTA(FILTER(F$1:F659, F$1:F659&lt;&gt;""""))), LEN(INDEX(FILTER(F$1:F659, F$1:F659&lt;&gt;""""),COUNTA(FILTER(F$1:F659, F$1:F659&lt;&gt;""""))))-1), IF('To Order'!$A660=COLUMNS($A660:F"&amp;"679), F659&amp;RIGHT(INDIRECT(ADDRESS(ROW(F660)-1, 'From Order'!$A660)), 1), F659))"),"")</f>
        <v/>
      </c>
      <c r="G660" s="2" t="str">
        <f>IFERROR(__xludf.DUMMYFUNCTION("IF('From Order'!$A660=COLUMNS($A660:G679), LEFT(INDEX(FILTER(G$1:G659, G$1:G659&lt;&gt;""""),COUNTA(FILTER(G$1:G659, G$1:G659&lt;&gt;""""))), LEN(INDEX(FILTER(G$1:G659, G$1:G659&lt;&gt;""""),COUNTA(FILTER(G$1:G659, G$1:G659&lt;&gt;""""))))-1), IF('To Order'!$A660=COLUMNS($A660:G"&amp;"679), G659&amp;RIGHT(INDIRECT(ADDRESS(ROW(G660)-1, 'From Order'!$A660)), 1), G659))"),"DTRLRQPDSSGHWPBCVDRWTDJL")</f>
        <v>DTRLRQPDSSGHWPBCVDRWTDJL</v>
      </c>
      <c r="H660" s="2" t="str">
        <f>IFERROR(__xludf.DUMMYFUNCTION("IF('From Order'!$A660=COLUMNS($A660:H679), LEFT(INDEX(FILTER(H$1:H659, H$1:H659&lt;&gt;""""),COUNTA(FILTER(H$1:H659, H$1:H659&lt;&gt;""""))), LEN(INDEX(FILTER(H$1:H659, H$1:H659&lt;&gt;""""),COUNTA(FILTER(H$1:H659, H$1:H659&lt;&gt;""""))))-1), IF('To Order'!$A660=COLUMNS($A660:H"&amp;"679), H659&amp;RIGHT(INDIRECT(ADDRESS(ROW(H660)-1, 'From Order'!$A660)), 1), H659))"),"ZMDTCJT")</f>
        <v>ZMDTCJT</v>
      </c>
      <c r="I660" s="2" t="str">
        <f>IFERROR(__xludf.DUMMYFUNCTION("IF('From Order'!$A660=COLUMNS($A660:I679), LEFT(INDEX(FILTER(I$1:I659, I$1:I659&lt;&gt;""""),COUNTA(FILTER(I$1:I659, I$1:I659&lt;&gt;""""))), LEN(INDEX(FILTER(I$1:I659, I$1:I659&lt;&gt;""""),COUNTA(FILTER(I$1:I659, I$1:I659&lt;&gt;""""))))-1), IF('To Order'!$A660=COLUMNS($A660:I"&amp;"679), I659&amp;RIGHT(INDIRECT(ADDRESS(ROW(I660)-1, 'From Order'!$A660)), 1), I659))"),"")</f>
        <v/>
      </c>
    </row>
    <row r="661">
      <c r="A661" s="2" t="str">
        <f>IFERROR(__xludf.DUMMYFUNCTION("IF('From Order'!$A661=COLUMNS($A661:A680), LEFT(INDEX(FILTER(A$1:A660, A$1:A660&lt;&gt;""""),COUNTA(FILTER(A$1:A660, A$1:A660&lt;&gt;""""))), LEN(INDEX(FILTER(A$1:A660, A$1:A660&lt;&gt;""""),COUNTA(FILTER(A$1:A660, A$1:A660&lt;&gt;""""))))-1), IF('To Order'!$A661=COLUMNS($A661:A"&amp;"680), A660&amp;RIGHT(INDIRECT(ADDRESS(ROW(A661)-1, 'From Order'!$A661)), 1), A660))"),"")</f>
        <v/>
      </c>
      <c r="B661" s="2" t="str">
        <f>IFERROR(__xludf.DUMMYFUNCTION("IF('From Order'!$A661=COLUMNS($A661:B680), LEFT(INDEX(FILTER(B$1:B660, B$1:B660&lt;&gt;""""),COUNTA(FILTER(B$1:B660, B$1:B660&lt;&gt;""""))), LEN(INDEX(FILTER(B$1:B660, B$1:B660&lt;&gt;""""),COUNTA(FILTER(B$1:B660, B$1:B660&lt;&gt;""""))))-1), IF('To Order'!$A661=COLUMNS($A661:B"&amp;"680), B660&amp;RIGHT(INDIRECT(ADDRESS(ROW(B661)-1, 'From Order'!$A661)), 1), B660))"),"JZRVPVRZHMFBBFSLTDGS")</f>
        <v>JZRVPVRZHMFBBFSLTDGS</v>
      </c>
      <c r="C661" s="2" t="str">
        <f>IFERROR(__xludf.DUMMYFUNCTION("IF('From Order'!$A661=COLUMNS($A661:C680), LEFT(INDEX(FILTER(C$1:C660, C$1:C660&lt;&gt;""""),COUNTA(FILTER(C$1:C660, C$1:C660&lt;&gt;""""))), LEN(INDEX(FILTER(C$1:C660, C$1:C660&lt;&gt;""""),COUNTA(FILTER(C$1:C660, C$1:C660&lt;&gt;""""))))-1), IF('To Order'!$A661=COLUMNS($A661:C"&amp;"680), C660&amp;RIGHT(INDIRECT(ADDRESS(ROW(C661)-1, 'From Order'!$A661)), 1), C660))"),"")</f>
        <v/>
      </c>
      <c r="D661" s="2" t="str">
        <f>IFERROR(__xludf.DUMMYFUNCTION("IF('From Order'!$A661=COLUMNS($A661:D680), LEFT(INDEX(FILTER(D$1:D660, D$1:D660&lt;&gt;""""),COUNTA(FILTER(D$1:D660, D$1:D660&lt;&gt;""""))), LEN(INDEX(FILTER(D$1:D660, D$1:D660&lt;&gt;""""),COUNTA(FILTER(D$1:D660, D$1:D660&lt;&gt;""""))))-1), IF('To Order'!$A661=COLUMNS($A661:D"&amp;"680), D660&amp;RIGHT(INDIRECT(ADDRESS(ROW(D661)-1, 'From Order'!$A661)), 1), D660))"),"TMQ")</f>
        <v>TMQ</v>
      </c>
      <c r="E661" s="2" t="str">
        <f>IFERROR(__xludf.DUMMYFUNCTION("IF('From Order'!$A661=COLUMNS($A661:E680), LEFT(INDEX(FILTER(E$1:E660, E$1:E660&lt;&gt;""""),COUNTA(FILTER(E$1:E660, E$1:E660&lt;&gt;""""))), LEN(INDEX(FILTER(E$1:E660, E$1:E660&lt;&gt;""""),COUNTA(FILTER(E$1:E660, E$1:E660&lt;&gt;""""))))-1), IF('To Order'!$A661=COLUMNS($A661:E"&amp;"680), E660&amp;RIGHT(INDIRECT(ADDRESS(ROW(E661)-1, 'From Order'!$A661)), 1), E660))"),"C")</f>
        <v>C</v>
      </c>
      <c r="F661" s="2" t="str">
        <f>IFERROR(__xludf.DUMMYFUNCTION("IF('From Order'!$A661=COLUMNS($A661:F680), LEFT(INDEX(FILTER(F$1:F660, F$1:F660&lt;&gt;""""),COUNTA(FILTER(F$1:F660, F$1:F660&lt;&gt;""""))), LEN(INDEX(FILTER(F$1:F660, F$1:F660&lt;&gt;""""),COUNTA(FILTER(F$1:F660, F$1:F660&lt;&gt;""""))))-1), IF('To Order'!$A661=COLUMNS($A661:F"&amp;"680), F660&amp;RIGHT(INDIRECT(ADDRESS(ROW(F661)-1, 'From Order'!$A661)), 1), F660))"),"")</f>
        <v/>
      </c>
      <c r="G661" s="2" t="str">
        <f>IFERROR(__xludf.DUMMYFUNCTION("IF('From Order'!$A661=COLUMNS($A661:G680), LEFT(INDEX(FILTER(G$1:G660, G$1:G660&lt;&gt;""""),COUNTA(FILTER(G$1:G660, G$1:G660&lt;&gt;""""))), LEN(INDEX(FILTER(G$1:G660, G$1:G660&lt;&gt;""""),COUNTA(FILTER(G$1:G660, G$1:G660&lt;&gt;""""))))-1), IF('To Order'!$A661=COLUMNS($A661:G"&amp;"680), G660&amp;RIGHT(INDIRECT(ADDRESS(ROW(G661)-1, 'From Order'!$A661)), 1), G660))"),"DTRLRQPDSSGHWPBCVDRWTDJLB")</f>
        <v>DTRLRQPDSSGHWPBCVDRWTDJLB</v>
      </c>
      <c r="H661" s="2" t="str">
        <f>IFERROR(__xludf.DUMMYFUNCTION("IF('From Order'!$A661=COLUMNS($A661:H680), LEFT(INDEX(FILTER(H$1:H660, H$1:H660&lt;&gt;""""),COUNTA(FILTER(H$1:H660, H$1:H660&lt;&gt;""""))), LEN(INDEX(FILTER(H$1:H660, H$1:H660&lt;&gt;""""),COUNTA(FILTER(H$1:H660, H$1:H660&lt;&gt;""""))))-1), IF('To Order'!$A661=COLUMNS($A661:H"&amp;"680), H660&amp;RIGHT(INDIRECT(ADDRESS(ROW(H661)-1, 'From Order'!$A661)), 1), H660))"),"ZMDTCJT")</f>
        <v>ZMDTCJT</v>
      </c>
      <c r="I661" s="2" t="str">
        <f>IFERROR(__xludf.DUMMYFUNCTION("IF('From Order'!$A661=COLUMNS($A661:I680), LEFT(INDEX(FILTER(I$1:I660, I$1:I660&lt;&gt;""""),COUNTA(FILTER(I$1:I660, I$1:I660&lt;&gt;""""))), LEN(INDEX(FILTER(I$1:I660, I$1:I660&lt;&gt;""""),COUNTA(FILTER(I$1:I660, I$1:I660&lt;&gt;""""))))-1), IF('To Order'!$A661=COLUMNS($A661:I"&amp;"680), I660&amp;RIGHT(INDIRECT(ADDRESS(ROW(I661)-1, 'From Order'!$A661)), 1), I660))"),"")</f>
        <v/>
      </c>
    </row>
    <row r="662">
      <c r="A662" s="2" t="str">
        <f>IFERROR(__xludf.DUMMYFUNCTION("IF('From Order'!$A662=COLUMNS($A662:A681), LEFT(INDEX(FILTER(A$1:A661, A$1:A661&lt;&gt;""""),COUNTA(FILTER(A$1:A661, A$1:A661&lt;&gt;""""))), LEN(INDEX(FILTER(A$1:A661, A$1:A661&lt;&gt;""""),COUNTA(FILTER(A$1:A661, A$1:A661&lt;&gt;""""))))-1), IF('To Order'!$A662=COLUMNS($A662:A"&amp;"681), A661&amp;RIGHT(INDIRECT(ADDRESS(ROW(A662)-1, 'From Order'!$A662)), 1), A661))"),"")</f>
        <v/>
      </c>
      <c r="B662" s="2" t="str">
        <f>IFERROR(__xludf.DUMMYFUNCTION("IF('From Order'!$A662=COLUMNS($A662:B681), LEFT(INDEX(FILTER(B$1:B661, B$1:B661&lt;&gt;""""),COUNTA(FILTER(B$1:B661, B$1:B661&lt;&gt;""""))), LEN(INDEX(FILTER(B$1:B661, B$1:B661&lt;&gt;""""),COUNTA(FILTER(B$1:B661, B$1:B661&lt;&gt;""""))))-1), IF('To Order'!$A662=COLUMNS($A662:B"&amp;"681), B661&amp;RIGHT(INDIRECT(ADDRESS(ROW(B662)-1, 'From Order'!$A662)), 1), B661))"),"JZRVPVRZHMFBBFSLTDG")</f>
        <v>JZRVPVRZHMFBBFSLTDG</v>
      </c>
      <c r="C662" s="2" t="str">
        <f>IFERROR(__xludf.DUMMYFUNCTION("IF('From Order'!$A662=COLUMNS($A662:C681), LEFT(INDEX(FILTER(C$1:C661, C$1:C661&lt;&gt;""""),COUNTA(FILTER(C$1:C661, C$1:C661&lt;&gt;""""))), LEN(INDEX(FILTER(C$1:C661, C$1:C661&lt;&gt;""""),COUNTA(FILTER(C$1:C661, C$1:C661&lt;&gt;""""))))-1), IF('To Order'!$A662=COLUMNS($A662:C"&amp;"681), C661&amp;RIGHT(INDIRECT(ADDRESS(ROW(C662)-1, 'From Order'!$A662)), 1), C661))"),"")</f>
        <v/>
      </c>
      <c r="D662" s="2" t="str">
        <f>IFERROR(__xludf.DUMMYFUNCTION("IF('From Order'!$A662=COLUMNS($A662:D681), LEFT(INDEX(FILTER(D$1:D661, D$1:D661&lt;&gt;""""),COUNTA(FILTER(D$1:D661, D$1:D661&lt;&gt;""""))), LEN(INDEX(FILTER(D$1:D661, D$1:D661&lt;&gt;""""),COUNTA(FILTER(D$1:D661, D$1:D661&lt;&gt;""""))))-1), IF('To Order'!$A662=COLUMNS($A662:D"&amp;"681), D661&amp;RIGHT(INDIRECT(ADDRESS(ROW(D662)-1, 'From Order'!$A662)), 1), D661))"),"TMQ")</f>
        <v>TMQ</v>
      </c>
      <c r="E662" s="2" t="str">
        <f>IFERROR(__xludf.DUMMYFUNCTION("IF('From Order'!$A662=COLUMNS($A662:E681), LEFT(INDEX(FILTER(E$1:E661, E$1:E661&lt;&gt;""""),COUNTA(FILTER(E$1:E661, E$1:E661&lt;&gt;""""))), LEN(INDEX(FILTER(E$1:E661, E$1:E661&lt;&gt;""""),COUNTA(FILTER(E$1:E661, E$1:E661&lt;&gt;""""))))-1), IF('To Order'!$A662=COLUMNS($A662:E"&amp;"681), E661&amp;RIGHT(INDIRECT(ADDRESS(ROW(E662)-1, 'From Order'!$A662)), 1), E661))"),"C")</f>
        <v>C</v>
      </c>
      <c r="F662" s="2" t="str">
        <f>IFERROR(__xludf.DUMMYFUNCTION("IF('From Order'!$A662=COLUMNS($A662:F681), LEFT(INDEX(FILTER(F$1:F661, F$1:F661&lt;&gt;""""),COUNTA(FILTER(F$1:F661, F$1:F661&lt;&gt;""""))), LEN(INDEX(FILTER(F$1:F661, F$1:F661&lt;&gt;""""),COUNTA(FILTER(F$1:F661, F$1:F661&lt;&gt;""""))))-1), IF('To Order'!$A662=COLUMNS($A662:F"&amp;"681), F661&amp;RIGHT(INDIRECT(ADDRESS(ROW(F662)-1, 'From Order'!$A662)), 1), F661))"),"")</f>
        <v/>
      </c>
      <c r="G662" s="2" t="str">
        <f>IFERROR(__xludf.DUMMYFUNCTION("IF('From Order'!$A662=COLUMNS($A662:G681), LEFT(INDEX(FILTER(G$1:G661, G$1:G661&lt;&gt;""""),COUNTA(FILTER(G$1:G661, G$1:G661&lt;&gt;""""))), LEN(INDEX(FILTER(G$1:G661, G$1:G661&lt;&gt;""""),COUNTA(FILTER(G$1:G661, G$1:G661&lt;&gt;""""))))-1), IF('To Order'!$A662=COLUMNS($A662:G"&amp;"681), G661&amp;RIGHT(INDIRECT(ADDRESS(ROW(G662)-1, 'From Order'!$A662)), 1), G661))"),"DTRLRQPDSSGHWPBCVDRWTDJLBS")</f>
        <v>DTRLRQPDSSGHWPBCVDRWTDJLBS</v>
      </c>
      <c r="H662" s="2" t="str">
        <f>IFERROR(__xludf.DUMMYFUNCTION("IF('From Order'!$A662=COLUMNS($A662:H681), LEFT(INDEX(FILTER(H$1:H661, H$1:H661&lt;&gt;""""),COUNTA(FILTER(H$1:H661, H$1:H661&lt;&gt;""""))), LEN(INDEX(FILTER(H$1:H661, H$1:H661&lt;&gt;""""),COUNTA(FILTER(H$1:H661, H$1:H661&lt;&gt;""""))))-1), IF('To Order'!$A662=COLUMNS($A662:H"&amp;"681), H661&amp;RIGHT(INDIRECT(ADDRESS(ROW(H662)-1, 'From Order'!$A662)), 1), H661))"),"ZMDTCJT")</f>
        <v>ZMDTCJT</v>
      </c>
      <c r="I662" s="2" t="str">
        <f>IFERROR(__xludf.DUMMYFUNCTION("IF('From Order'!$A662=COLUMNS($A662:I681), LEFT(INDEX(FILTER(I$1:I661, I$1:I661&lt;&gt;""""),COUNTA(FILTER(I$1:I661, I$1:I661&lt;&gt;""""))), LEN(INDEX(FILTER(I$1:I661, I$1:I661&lt;&gt;""""),COUNTA(FILTER(I$1:I661, I$1:I661&lt;&gt;""""))))-1), IF('To Order'!$A662=COLUMNS($A662:I"&amp;"681), I661&amp;RIGHT(INDIRECT(ADDRESS(ROW(I662)-1, 'From Order'!$A662)), 1), I661))"),"")</f>
        <v/>
      </c>
    </row>
    <row r="663">
      <c r="A663" s="2" t="str">
        <f>IFERROR(__xludf.DUMMYFUNCTION("IF('From Order'!$A663=COLUMNS($A663:A682), LEFT(INDEX(FILTER(A$1:A662, A$1:A662&lt;&gt;""""),COUNTA(FILTER(A$1:A662, A$1:A662&lt;&gt;""""))), LEN(INDEX(FILTER(A$1:A662, A$1:A662&lt;&gt;""""),COUNTA(FILTER(A$1:A662, A$1:A662&lt;&gt;""""))))-1), IF('To Order'!$A663=COLUMNS($A663:A"&amp;"682), A662&amp;RIGHT(INDIRECT(ADDRESS(ROW(A663)-1, 'From Order'!$A663)), 1), A662))"),"")</f>
        <v/>
      </c>
      <c r="B663" s="2" t="str">
        <f>IFERROR(__xludf.DUMMYFUNCTION("IF('From Order'!$A663=COLUMNS($A663:B682), LEFT(INDEX(FILTER(B$1:B662, B$1:B662&lt;&gt;""""),COUNTA(FILTER(B$1:B662, B$1:B662&lt;&gt;""""))), LEN(INDEX(FILTER(B$1:B662, B$1:B662&lt;&gt;""""),COUNTA(FILTER(B$1:B662, B$1:B662&lt;&gt;""""))))-1), IF('To Order'!$A663=COLUMNS($A663:B"&amp;"682), B662&amp;RIGHT(INDIRECT(ADDRESS(ROW(B663)-1, 'From Order'!$A663)), 1), B662))"),"JZRVPVRZHMFBBFSLTD")</f>
        <v>JZRVPVRZHMFBBFSLTD</v>
      </c>
      <c r="C663" s="2" t="str">
        <f>IFERROR(__xludf.DUMMYFUNCTION("IF('From Order'!$A663=COLUMNS($A663:C682), LEFT(INDEX(FILTER(C$1:C662, C$1:C662&lt;&gt;""""),COUNTA(FILTER(C$1:C662, C$1:C662&lt;&gt;""""))), LEN(INDEX(FILTER(C$1:C662, C$1:C662&lt;&gt;""""),COUNTA(FILTER(C$1:C662, C$1:C662&lt;&gt;""""))))-1), IF('To Order'!$A663=COLUMNS($A663:C"&amp;"682), C662&amp;RIGHT(INDIRECT(ADDRESS(ROW(C663)-1, 'From Order'!$A663)), 1), C662))"),"")</f>
        <v/>
      </c>
      <c r="D663" s="2" t="str">
        <f>IFERROR(__xludf.DUMMYFUNCTION("IF('From Order'!$A663=COLUMNS($A663:D682), LEFT(INDEX(FILTER(D$1:D662, D$1:D662&lt;&gt;""""),COUNTA(FILTER(D$1:D662, D$1:D662&lt;&gt;""""))), LEN(INDEX(FILTER(D$1:D662, D$1:D662&lt;&gt;""""),COUNTA(FILTER(D$1:D662, D$1:D662&lt;&gt;""""))))-1), IF('To Order'!$A663=COLUMNS($A663:D"&amp;"682), D662&amp;RIGHT(INDIRECT(ADDRESS(ROW(D663)-1, 'From Order'!$A663)), 1), D662))"),"TMQ")</f>
        <v>TMQ</v>
      </c>
      <c r="E663" s="2" t="str">
        <f>IFERROR(__xludf.DUMMYFUNCTION("IF('From Order'!$A663=COLUMNS($A663:E682), LEFT(INDEX(FILTER(E$1:E662, E$1:E662&lt;&gt;""""),COUNTA(FILTER(E$1:E662, E$1:E662&lt;&gt;""""))), LEN(INDEX(FILTER(E$1:E662, E$1:E662&lt;&gt;""""),COUNTA(FILTER(E$1:E662, E$1:E662&lt;&gt;""""))))-1), IF('To Order'!$A663=COLUMNS($A663:E"&amp;"682), E662&amp;RIGHT(INDIRECT(ADDRESS(ROW(E663)-1, 'From Order'!$A663)), 1), E662))"),"C")</f>
        <v>C</v>
      </c>
      <c r="F663" s="2" t="str">
        <f>IFERROR(__xludf.DUMMYFUNCTION("IF('From Order'!$A663=COLUMNS($A663:F682), LEFT(INDEX(FILTER(F$1:F662, F$1:F662&lt;&gt;""""),COUNTA(FILTER(F$1:F662, F$1:F662&lt;&gt;""""))), LEN(INDEX(FILTER(F$1:F662, F$1:F662&lt;&gt;""""),COUNTA(FILTER(F$1:F662, F$1:F662&lt;&gt;""""))))-1), IF('To Order'!$A663=COLUMNS($A663:F"&amp;"682), F662&amp;RIGHT(INDIRECT(ADDRESS(ROW(F663)-1, 'From Order'!$A663)), 1), F662))"),"")</f>
        <v/>
      </c>
      <c r="G663" s="2" t="str">
        <f>IFERROR(__xludf.DUMMYFUNCTION("IF('From Order'!$A663=COLUMNS($A663:G682), LEFT(INDEX(FILTER(G$1:G662, G$1:G662&lt;&gt;""""),COUNTA(FILTER(G$1:G662, G$1:G662&lt;&gt;""""))), LEN(INDEX(FILTER(G$1:G662, G$1:G662&lt;&gt;""""),COUNTA(FILTER(G$1:G662, G$1:G662&lt;&gt;""""))))-1), IF('To Order'!$A663=COLUMNS($A663:G"&amp;"682), G662&amp;RIGHT(INDIRECT(ADDRESS(ROW(G663)-1, 'From Order'!$A663)), 1), G662))"),"DTRLRQPDSSGHWPBCVDRWTDJLBSG")</f>
        <v>DTRLRQPDSSGHWPBCVDRWTDJLBSG</v>
      </c>
      <c r="H663" s="2" t="str">
        <f>IFERROR(__xludf.DUMMYFUNCTION("IF('From Order'!$A663=COLUMNS($A663:H682), LEFT(INDEX(FILTER(H$1:H662, H$1:H662&lt;&gt;""""),COUNTA(FILTER(H$1:H662, H$1:H662&lt;&gt;""""))), LEN(INDEX(FILTER(H$1:H662, H$1:H662&lt;&gt;""""),COUNTA(FILTER(H$1:H662, H$1:H662&lt;&gt;""""))))-1), IF('To Order'!$A663=COLUMNS($A663:H"&amp;"682), H662&amp;RIGHT(INDIRECT(ADDRESS(ROW(H663)-1, 'From Order'!$A663)), 1), H662))"),"ZMDTCJT")</f>
        <v>ZMDTCJT</v>
      </c>
      <c r="I663" s="2" t="str">
        <f>IFERROR(__xludf.DUMMYFUNCTION("IF('From Order'!$A663=COLUMNS($A663:I682), LEFT(INDEX(FILTER(I$1:I662, I$1:I662&lt;&gt;""""),COUNTA(FILTER(I$1:I662, I$1:I662&lt;&gt;""""))), LEN(INDEX(FILTER(I$1:I662, I$1:I662&lt;&gt;""""),COUNTA(FILTER(I$1:I662, I$1:I662&lt;&gt;""""))))-1), IF('To Order'!$A663=COLUMNS($A663:I"&amp;"682), I662&amp;RIGHT(INDIRECT(ADDRESS(ROW(I663)-1, 'From Order'!$A663)), 1), I662))"),"")</f>
        <v/>
      </c>
    </row>
    <row r="664">
      <c r="A664" s="2" t="str">
        <f>IFERROR(__xludf.DUMMYFUNCTION("IF('From Order'!$A664=COLUMNS($A664:A683), LEFT(INDEX(FILTER(A$1:A663, A$1:A663&lt;&gt;""""),COUNTA(FILTER(A$1:A663, A$1:A663&lt;&gt;""""))), LEN(INDEX(FILTER(A$1:A663, A$1:A663&lt;&gt;""""),COUNTA(FILTER(A$1:A663, A$1:A663&lt;&gt;""""))))-1), IF('To Order'!$A664=COLUMNS($A664:A"&amp;"683), A663&amp;RIGHT(INDIRECT(ADDRESS(ROW(A664)-1, 'From Order'!$A664)), 1), A663))"),"")</f>
        <v/>
      </c>
      <c r="B664" s="2" t="str">
        <f>IFERROR(__xludf.DUMMYFUNCTION("IF('From Order'!$A664=COLUMNS($A664:B683), LEFT(INDEX(FILTER(B$1:B663, B$1:B663&lt;&gt;""""),COUNTA(FILTER(B$1:B663, B$1:B663&lt;&gt;""""))), LEN(INDEX(FILTER(B$1:B663, B$1:B663&lt;&gt;""""),COUNTA(FILTER(B$1:B663, B$1:B663&lt;&gt;""""))))-1), IF('To Order'!$A664=COLUMNS($A664:B"&amp;"683), B663&amp;RIGHT(INDIRECT(ADDRESS(ROW(B664)-1, 'From Order'!$A664)), 1), B663))"),"JZRVPVRZHMFBBFSLT")</f>
        <v>JZRVPVRZHMFBBFSLT</v>
      </c>
      <c r="C664" s="2" t="str">
        <f>IFERROR(__xludf.DUMMYFUNCTION("IF('From Order'!$A664=COLUMNS($A664:C683), LEFT(INDEX(FILTER(C$1:C663, C$1:C663&lt;&gt;""""),COUNTA(FILTER(C$1:C663, C$1:C663&lt;&gt;""""))), LEN(INDEX(FILTER(C$1:C663, C$1:C663&lt;&gt;""""),COUNTA(FILTER(C$1:C663, C$1:C663&lt;&gt;""""))))-1), IF('To Order'!$A664=COLUMNS($A664:C"&amp;"683), C663&amp;RIGHT(INDIRECT(ADDRESS(ROW(C664)-1, 'From Order'!$A664)), 1), C663))"),"")</f>
        <v/>
      </c>
      <c r="D664" s="2" t="str">
        <f>IFERROR(__xludf.DUMMYFUNCTION("IF('From Order'!$A664=COLUMNS($A664:D683), LEFT(INDEX(FILTER(D$1:D663, D$1:D663&lt;&gt;""""),COUNTA(FILTER(D$1:D663, D$1:D663&lt;&gt;""""))), LEN(INDEX(FILTER(D$1:D663, D$1:D663&lt;&gt;""""),COUNTA(FILTER(D$1:D663, D$1:D663&lt;&gt;""""))))-1), IF('To Order'!$A664=COLUMNS($A664:D"&amp;"683), D663&amp;RIGHT(INDIRECT(ADDRESS(ROW(D664)-1, 'From Order'!$A664)), 1), D663))"),"TMQ")</f>
        <v>TMQ</v>
      </c>
      <c r="E664" s="2" t="str">
        <f>IFERROR(__xludf.DUMMYFUNCTION("IF('From Order'!$A664=COLUMNS($A664:E683), LEFT(INDEX(FILTER(E$1:E663, E$1:E663&lt;&gt;""""),COUNTA(FILTER(E$1:E663, E$1:E663&lt;&gt;""""))), LEN(INDEX(FILTER(E$1:E663, E$1:E663&lt;&gt;""""),COUNTA(FILTER(E$1:E663, E$1:E663&lt;&gt;""""))))-1), IF('To Order'!$A664=COLUMNS($A664:E"&amp;"683), E663&amp;RIGHT(INDIRECT(ADDRESS(ROW(E664)-1, 'From Order'!$A664)), 1), E663))"),"C")</f>
        <v>C</v>
      </c>
      <c r="F664" s="2" t="str">
        <f>IFERROR(__xludf.DUMMYFUNCTION("IF('From Order'!$A664=COLUMNS($A664:F683), LEFT(INDEX(FILTER(F$1:F663, F$1:F663&lt;&gt;""""),COUNTA(FILTER(F$1:F663, F$1:F663&lt;&gt;""""))), LEN(INDEX(FILTER(F$1:F663, F$1:F663&lt;&gt;""""),COUNTA(FILTER(F$1:F663, F$1:F663&lt;&gt;""""))))-1), IF('To Order'!$A664=COLUMNS($A664:F"&amp;"683), F663&amp;RIGHT(INDIRECT(ADDRESS(ROW(F664)-1, 'From Order'!$A664)), 1), F663))"),"")</f>
        <v/>
      </c>
      <c r="G664" s="2" t="str">
        <f>IFERROR(__xludf.DUMMYFUNCTION("IF('From Order'!$A664=COLUMNS($A664:G683), LEFT(INDEX(FILTER(G$1:G663, G$1:G663&lt;&gt;""""),COUNTA(FILTER(G$1:G663, G$1:G663&lt;&gt;""""))), LEN(INDEX(FILTER(G$1:G663, G$1:G663&lt;&gt;""""),COUNTA(FILTER(G$1:G663, G$1:G663&lt;&gt;""""))))-1), IF('To Order'!$A664=COLUMNS($A664:G"&amp;"683), G663&amp;RIGHT(INDIRECT(ADDRESS(ROW(G664)-1, 'From Order'!$A664)), 1), G663))"),"DTRLRQPDSSGHWPBCVDRWTDJLBSGD")</f>
        <v>DTRLRQPDSSGHWPBCVDRWTDJLBSGD</v>
      </c>
      <c r="H664" s="2" t="str">
        <f>IFERROR(__xludf.DUMMYFUNCTION("IF('From Order'!$A664=COLUMNS($A664:H683), LEFT(INDEX(FILTER(H$1:H663, H$1:H663&lt;&gt;""""),COUNTA(FILTER(H$1:H663, H$1:H663&lt;&gt;""""))), LEN(INDEX(FILTER(H$1:H663, H$1:H663&lt;&gt;""""),COUNTA(FILTER(H$1:H663, H$1:H663&lt;&gt;""""))))-1), IF('To Order'!$A664=COLUMNS($A664:H"&amp;"683), H663&amp;RIGHT(INDIRECT(ADDRESS(ROW(H664)-1, 'From Order'!$A664)), 1), H663))"),"ZMDTCJT")</f>
        <v>ZMDTCJT</v>
      </c>
      <c r="I664" s="2" t="str">
        <f>IFERROR(__xludf.DUMMYFUNCTION("IF('From Order'!$A664=COLUMNS($A664:I683), LEFT(INDEX(FILTER(I$1:I663, I$1:I663&lt;&gt;""""),COUNTA(FILTER(I$1:I663, I$1:I663&lt;&gt;""""))), LEN(INDEX(FILTER(I$1:I663, I$1:I663&lt;&gt;""""),COUNTA(FILTER(I$1:I663, I$1:I663&lt;&gt;""""))))-1), IF('To Order'!$A664=COLUMNS($A664:I"&amp;"683), I663&amp;RIGHT(INDIRECT(ADDRESS(ROW(I664)-1, 'From Order'!$A664)), 1), I663))"),"")</f>
        <v/>
      </c>
    </row>
    <row r="665">
      <c r="A665" s="2" t="str">
        <f>IFERROR(__xludf.DUMMYFUNCTION("IF('From Order'!$A665=COLUMNS($A665:A684), LEFT(INDEX(FILTER(A$1:A664, A$1:A664&lt;&gt;""""),COUNTA(FILTER(A$1:A664, A$1:A664&lt;&gt;""""))), LEN(INDEX(FILTER(A$1:A664, A$1:A664&lt;&gt;""""),COUNTA(FILTER(A$1:A664, A$1:A664&lt;&gt;""""))))-1), IF('To Order'!$A665=COLUMNS($A665:A"&amp;"684), A664&amp;RIGHT(INDIRECT(ADDRESS(ROW(A665)-1, 'From Order'!$A665)), 1), A664))"),"")</f>
        <v/>
      </c>
      <c r="B665" s="2" t="str">
        <f>IFERROR(__xludf.DUMMYFUNCTION("IF('From Order'!$A665=COLUMNS($A665:B684), LEFT(INDEX(FILTER(B$1:B664, B$1:B664&lt;&gt;""""),COUNTA(FILTER(B$1:B664, B$1:B664&lt;&gt;""""))), LEN(INDEX(FILTER(B$1:B664, B$1:B664&lt;&gt;""""),COUNTA(FILTER(B$1:B664, B$1:B664&lt;&gt;""""))))-1), IF('To Order'!$A665=COLUMNS($A665:B"&amp;"684), B664&amp;RIGHT(INDIRECT(ADDRESS(ROW(B665)-1, 'From Order'!$A665)), 1), B664))"),"JZRVPVRZHMFBBFSL")</f>
        <v>JZRVPVRZHMFBBFSL</v>
      </c>
      <c r="C665" s="2" t="str">
        <f>IFERROR(__xludf.DUMMYFUNCTION("IF('From Order'!$A665=COLUMNS($A665:C684), LEFT(INDEX(FILTER(C$1:C664, C$1:C664&lt;&gt;""""),COUNTA(FILTER(C$1:C664, C$1:C664&lt;&gt;""""))), LEN(INDEX(FILTER(C$1:C664, C$1:C664&lt;&gt;""""),COUNTA(FILTER(C$1:C664, C$1:C664&lt;&gt;""""))))-1), IF('To Order'!$A665=COLUMNS($A665:C"&amp;"684), C664&amp;RIGHT(INDIRECT(ADDRESS(ROW(C665)-1, 'From Order'!$A665)), 1), C664))"),"")</f>
        <v/>
      </c>
      <c r="D665" s="2" t="str">
        <f>IFERROR(__xludf.DUMMYFUNCTION("IF('From Order'!$A665=COLUMNS($A665:D684), LEFT(INDEX(FILTER(D$1:D664, D$1:D664&lt;&gt;""""),COUNTA(FILTER(D$1:D664, D$1:D664&lt;&gt;""""))), LEN(INDEX(FILTER(D$1:D664, D$1:D664&lt;&gt;""""),COUNTA(FILTER(D$1:D664, D$1:D664&lt;&gt;""""))))-1), IF('To Order'!$A665=COLUMNS($A665:D"&amp;"684), D664&amp;RIGHT(INDIRECT(ADDRESS(ROW(D665)-1, 'From Order'!$A665)), 1), D664))"),"TMQ")</f>
        <v>TMQ</v>
      </c>
      <c r="E665" s="2" t="str">
        <f>IFERROR(__xludf.DUMMYFUNCTION("IF('From Order'!$A665=COLUMNS($A665:E684), LEFT(INDEX(FILTER(E$1:E664, E$1:E664&lt;&gt;""""),COUNTA(FILTER(E$1:E664, E$1:E664&lt;&gt;""""))), LEN(INDEX(FILTER(E$1:E664, E$1:E664&lt;&gt;""""),COUNTA(FILTER(E$1:E664, E$1:E664&lt;&gt;""""))))-1), IF('To Order'!$A665=COLUMNS($A665:E"&amp;"684), E664&amp;RIGHT(INDIRECT(ADDRESS(ROW(E665)-1, 'From Order'!$A665)), 1), E664))"),"C")</f>
        <v>C</v>
      </c>
      <c r="F665" s="2" t="str">
        <f>IFERROR(__xludf.DUMMYFUNCTION("IF('From Order'!$A665=COLUMNS($A665:F684), LEFT(INDEX(FILTER(F$1:F664, F$1:F664&lt;&gt;""""),COUNTA(FILTER(F$1:F664, F$1:F664&lt;&gt;""""))), LEN(INDEX(FILTER(F$1:F664, F$1:F664&lt;&gt;""""),COUNTA(FILTER(F$1:F664, F$1:F664&lt;&gt;""""))))-1), IF('To Order'!$A665=COLUMNS($A665:F"&amp;"684), F664&amp;RIGHT(INDIRECT(ADDRESS(ROW(F665)-1, 'From Order'!$A665)), 1), F664))"),"")</f>
        <v/>
      </c>
      <c r="G665" s="2" t="str">
        <f>IFERROR(__xludf.DUMMYFUNCTION("IF('From Order'!$A665=COLUMNS($A665:G684), LEFT(INDEX(FILTER(G$1:G664, G$1:G664&lt;&gt;""""),COUNTA(FILTER(G$1:G664, G$1:G664&lt;&gt;""""))), LEN(INDEX(FILTER(G$1:G664, G$1:G664&lt;&gt;""""),COUNTA(FILTER(G$1:G664, G$1:G664&lt;&gt;""""))))-1), IF('To Order'!$A665=COLUMNS($A665:G"&amp;"684), G664&amp;RIGHT(INDIRECT(ADDRESS(ROW(G665)-1, 'From Order'!$A665)), 1), G664))"),"DTRLRQPDSSGHWPBCVDRWTDJLBSGDT")</f>
        <v>DTRLRQPDSSGHWPBCVDRWTDJLBSGDT</v>
      </c>
      <c r="H665" s="2" t="str">
        <f>IFERROR(__xludf.DUMMYFUNCTION("IF('From Order'!$A665=COLUMNS($A665:H684), LEFT(INDEX(FILTER(H$1:H664, H$1:H664&lt;&gt;""""),COUNTA(FILTER(H$1:H664, H$1:H664&lt;&gt;""""))), LEN(INDEX(FILTER(H$1:H664, H$1:H664&lt;&gt;""""),COUNTA(FILTER(H$1:H664, H$1:H664&lt;&gt;""""))))-1), IF('To Order'!$A665=COLUMNS($A665:H"&amp;"684), H664&amp;RIGHT(INDIRECT(ADDRESS(ROW(H665)-1, 'From Order'!$A665)), 1), H664))"),"ZMDTCJT")</f>
        <v>ZMDTCJT</v>
      </c>
      <c r="I665" s="2" t="str">
        <f>IFERROR(__xludf.DUMMYFUNCTION("IF('From Order'!$A665=COLUMNS($A665:I684), LEFT(INDEX(FILTER(I$1:I664, I$1:I664&lt;&gt;""""),COUNTA(FILTER(I$1:I664, I$1:I664&lt;&gt;""""))), LEN(INDEX(FILTER(I$1:I664, I$1:I664&lt;&gt;""""),COUNTA(FILTER(I$1:I664, I$1:I664&lt;&gt;""""))))-1), IF('To Order'!$A665=COLUMNS($A665:I"&amp;"684), I664&amp;RIGHT(INDIRECT(ADDRESS(ROW(I665)-1, 'From Order'!$A665)), 1), I664))"),"")</f>
        <v/>
      </c>
    </row>
    <row r="666">
      <c r="A666" s="2" t="str">
        <f>IFERROR(__xludf.DUMMYFUNCTION("IF('From Order'!$A666=COLUMNS($A666:A685), LEFT(INDEX(FILTER(A$1:A665, A$1:A665&lt;&gt;""""),COUNTA(FILTER(A$1:A665, A$1:A665&lt;&gt;""""))), LEN(INDEX(FILTER(A$1:A665, A$1:A665&lt;&gt;""""),COUNTA(FILTER(A$1:A665, A$1:A665&lt;&gt;""""))))-1), IF('To Order'!$A666=COLUMNS($A666:A"&amp;"685), A665&amp;RIGHT(INDIRECT(ADDRESS(ROW(A666)-1, 'From Order'!$A666)), 1), A665))"),"")</f>
        <v/>
      </c>
      <c r="B666" s="2" t="str">
        <f>IFERROR(__xludf.DUMMYFUNCTION("IF('From Order'!$A666=COLUMNS($A666:B685), LEFT(INDEX(FILTER(B$1:B665, B$1:B665&lt;&gt;""""),COUNTA(FILTER(B$1:B665, B$1:B665&lt;&gt;""""))), LEN(INDEX(FILTER(B$1:B665, B$1:B665&lt;&gt;""""),COUNTA(FILTER(B$1:B665, B$1:B665&lt;&gt;""""))))-1), IF('To Order'!$A666=COLUMNS($A666:B"&amp;"685), B665&amp;RIGHT(INDIRECT(ADDRESS(ROW(B666)-1, 'From Order'!$A666)), 1), B665))"),"JZRVPVRZHMFBBFS")</f>
        <v>JZRVPVRZHMFBBFS</v>
      </c>
      <c r="C666" s="2" t="str">
        <f>IFERROR(__xludf.DUMMYFUNCTION("IF('From Order'!$A666=COLUMNS($A666:C685), LEFT(INDEX(FILTER(C$1:C665, C$1:C665&lt;&gt;""""),COUNTA(FILTER(C$1:C665, C$1:C665&lt;&gt;""""))), LEN(INDEX(FILTER(C$1:C665, C$1:C665&lt;&gt;""""),COUNTA(FILTER(C$1:C665, C$1:C665&lt;&gt;""""))))-1), IF('To Order'!$A666=COLUMNS($A666:C"&amp;"685), C665&amp;RIGHT(INDIRECT(ADDRESS(ROW(C666)-1, 'From Order'!$A666)), 1), C665))"),"")</f>
        <v/>
      </c>
      <c r="D666" s="2" t="str">
        <f>IFERROR(__xludf.DUMMYFUNCTION("IF('From Order'!$A666=COLUMNS($A666:D685), LEFT(INDEX(FILTER(D$1:D665, D$1:D665&lt;&gt;""""),COUNTA(FILTER(D$1:D665, D$1:D665&lt;&gt;""""))), LEN(INDEX(FILTER(D$1:D665, D$1:D665&lt;&gt;""""),COUNTA(FILTER(D$1:D665, D$1:D665&lt;&gt;""""))))-1), IF('To Order'!$A666=COLUMNS($A666:D"&amp;"685), D665&amp;RIGHT(INDIRECT(ADDRESS(ROW(D666)-1, 'From Order'!$A666)), 1), D665))"),"TMQ")</f>
        <v>TMQ</v>
      </c>
      <c r="E666" s="2" t="str">
        <f>IFERROR(__xludf.DUMMYFUNCTION("IF('From Order'!$A666=COLUMNS($A666:E685), LEFT(INDEX(FILTER(E$1:E665, E$1:E665&lt;&gt;""""),COUNTA(FILTER(E$1:E665, E$1:E665&lt;&gt;""""))), LEN(INDEX(FILTER(E$1:E665, E$1:E665&lt;&gt;""""),COUNTA(FILTER(E$1:E665, E$1:E665&lt;&gt;""""))))-1), IF('To Order'!$A666=COLUMNS($A666:E"&amp;"685), E665&amp;RIGHT(INDIRECT(ADDRESS(ROW(E666)-1, 'From Order'!$A666)), 1), E665))"),"C")</f>
        <v>C</v>
      </c>
      <c r="F666" s="2" t="str">
        <f>IFERROR(__xludf.DUMMYFUNCTION("IF('From Order'!$A666=COLUMNS($A666:F685), LEFT(INDEX(FILTER(F$1:F665, F$1:F665&lt;&gt;""""),COUNTA(FILTER(F$1:F665, F$1:F665&lt;&gt;""""))), LEN(INDEX(FILTER(F$1:F665, F$1:F665&lt;&gt;""""),COUNTA(FILTER(F$1:F665, F$1:F665&lt;&gt;""""))))-1), IF('To Order'!$A666=COLUMNS($A666:F"&amp;"685), F665&amp;RIGHT(INDIRECT(ADDRESS(ROW(F666)-1, 'From Order'!$A666)), 1), F665))"),"")</f>
        <v/>
      </c>
      <c r="G666" s="2" t="str">
        <f>IFERROR(__xludf.DUMMYFUNCTION("IF('From Order'!$A666=COLUMNS($A666:G685), LEFT(INDEX(FILTER(G$1:G665, G$1:G665&lt;&gt;""""),COUNTA(FILTER(G$1:G665, G$1:G665&lt;&gt;""""))), LEN(INDEX(FILTER(G$1:G665, G$1:G665&lt;&gt;""""),COUNTA(FILTER(G$1:G665, G$1:G665&lt;&gt;""""))))-1), IF('To Order'!$A666=COLUMNS($A666:G"&amp;"685), G665&amp;RIGHT(INDIRECT(ADDRESS(ROW(G666)-1, 'From Order'!$A666)), 1), G665))"),"DTRLRQPDSSGHWPBCVDRWTDJLBSGDTL")</f>
        <v>DTRLRQPDSSGHWPBCVDRWTDJLBSGDTL</v>
      </c>
      <c r="H666" s="2" t="str">
        <f>IFERROR(__xludf.DUMMYFUNCTION("IF('From Order'!$A666=COLUMNS($A666:H685), LEFT(INDEX(FILTER(H$1:H665, H$1:H665&lt;&gt;""""),COUNTA(FILTER(H$1:H665, H$1:H665&lt;&gt;""""))), LEN(INDEX(FILTER(H$1:H665, H$1:H665&lt;&gt;""""),COUNTA(FILTER(H$1:H665, H$1:H665&lt;&gt;""""))))-1), IF('To Order'!$A666=COLUMNS($A666:H"&amp;"685), H665&amp;RIGHT(INDIRECT(ADDRESS(ROW(H666)-1, 'From Order'!$A666)), 1), H665))"),"ZMDTCJT")</f>
        <v>ZMDTCJT</v>
      </c>
      <c r="I666" s="2" t="str">
        <f>IFERROR(__xludf.DUMMYFUNCTION("IF('From Order'!$A666=COLUMNS($A666:I685), LEFT(INDEX(FILTER(I$1:I665, I$1:I665&lt;&gt;""""),COUNTA(FILTER(I$1:I665, I$1:I665&lt;&gt;""""))), LEN(INDEX(FILTER(I$1:I665, I$1:I665&lt;&gt;""""),COUNTA(FILTER(I$1:I665, I$1:I665&lt;&gt;""""))))-1), IF('To Order'!$A666=COLUMNS($A666:I"&amp;"685), I665&amp;RIGHT(INDIRECT(ADDRESS(ROW(I666)-1, 'From Order'!$A666)), 1), I665))"),"")</f>
        <v/>
      </c>
    </row>
    <row r="667">
      <c r="A667" s="2" t="str">
        <f>IFERROR(__xludf.DUMMYFUNCTION("IF('From Order'!$A667=COLUMNS($A667:A686), LEFT(INDEX(FILTER(A$1:A666, A$1:A666&lt;&gt;""""),COUNTA(FILTER(A$1:A666, A$1:A666&lt;&gt;""""))), LEN(INDEX(FILTER(A$1:A666, A$1:A666&lt;&gt;""""),COUNTA(FILTER(A$1:A666, A$1:A666&lt;&gt;""""))))-1), IF('To Order'!$A667=COLUMNS($A667:A"&amp;"686), A666&amp;RIGHT(INDIRECT(ADDRESS(ROW(A667)-1, 'From Order'!$A667)), 1), A666))"),"")</f>
        <v/>
      </c>
      <c r="B667" s="2" t="str">
        <f>IFERROR(__xludf.DUMMYFUNCTION("IF('From Order'!$A667=COLUMNS($A667:B686), LEFT(INDEX(FILTER(B$1:B666, B$1:B666&lt;&gt;""""),COUNTA(FILTER(B$1:B666, B$1:B666&lt;&gt;""""))), LEN(INDEX(FILTER(B$1:B666, B$1:B666&lt;&gt;""""),COUNTA(FILTER(B$1:B666, B$1:B666&lt;&gt;""""))))-1), IF('To Order'!$A667=COLUMNS($A667:B"&amp;"686), B666&amp;RIGHT(INDIRECT(ADDRESS(ROW(B667)-1, 'From Order'!$A667)), 1), B666))"),"JZRVPVRZHMFBBF")</f>
        <v>JZRVPVRZHMFBBF</v>
      </c>
      <c r="C667" s="2" t="str">
        <f>IFERROR(__xludf.DUMMYFUNCTION("IF('From Order'!$A667=COLUMNS($A667:C686), LEFT(INDEX(FILTER(C$1:C666, C$1:C666&lt;&gt;""""),COUNTA(FILTER(C$1:C666, C$1:C666&lt;&gt;""""))), LEN(INDEX(FILTER(C$1:C666, C$1:C666&lt;&gt;""""),COUNTA(FILTER(C$1:C666, C$1:C666&lt;&gt;""""))))-1), IF('To Order'!$A667=COLUMNS($A667:C"&amp;"686), C666&amp;RIGHT(INDIRECT(ADDRESS(ROW(C667)-1, 'From Order'!$A667)), 1), C666))"),"")</f>
        <v/>
      </c>
      <c r="D667" s="2" t="str">
        <f>IFERROR(__xludf.DUMMYFUNCTION("IF('From Order'!$A667=COLUMNS($A667:D686), LEFT(INDEX(FILTER(D$1:D666, D$1:D666&lt;&gt;""""),COUNTA(FILTER(D$1:D666, D$1:D666&lt;&gt;""""))), LEN(INDEX(FILTER(D$1:D666, D$1:D666&lt;&gt;""""),COUNTA(FILTER(D$1:D666, D$1:D666&lt;&gt;""""))))-1), IF('To Order'!$A667=COLUMNS($A667:D"&amp;"686), D666&amp;RIGHT(INDIRECT(ADDRESS(ROW(D667)-1, 'From Order'!$A667)), 1), D666))"),"TMQ")</f>
        <v>TMQ</v>
      </c>
      <c r="E667" s="2" t="str">
        <f>IFERROR(__xludf.DUMMYFUNCTION("IF('From Order'!$A667=COLUMNS($A667:E686), LEFT(INDEX(FILTER(E$1:E666, E$1:E666&lt;&gt;""""),COUNTA(FILTER(E$1:E666, E$1:E666&lt;&gt;""""))), LEN(INDEX(FILTER(E$1:E666, E$1:E666&lt;&gt;""""),COUNTA(FILTER(E$1:E666, E$1:E666&lt;&gt;""""))))-1), IF('To Order'!$A667=COLUMNS($A667:E"&amp;"686), E666&amp;RIGHT(INDIRECT(ADDRESS(ROW(E667)-1, 'From Order'!$A667)), 1), E666))"),"C")</f>
        <v>C</v>
      </c>
      <c r="F667" s="2" t="str">
        <f>IFERROR(__xludf.DUMMYFUNCTION("IF('From Order'!$A667=COLUMNS($A667:F686), LEFT(INDEX(FILTER(F$1:F666, F$1:F666&lt;&gt;""""),COUNTA(FILTER(F$1:F666, F$1:F666&lt;&gt;""""))), LEN(INDEX(FILTER(F$1:F666, F$1:F666&lt;&gt;""""),COUNTA(FILTER(F$1:F666, F$1:F666&lt;&gt;""""))))-1), IF('To Order'!$A667=COLUMNS($A667:F"&amp;"686), F666&amp;RIGHT(INDIRECT(ADDRESS(ROW(F667)-1, 'From Order'!$A667)), 1), F666))"),"")</f>
        <v/>
      </c>
      <c r="G667" s="2" t="str">
        <f>IFERROR(__xludf.DUMMYFUNCTION("IF('From Order'!$A667=COLUMNS($A667:G686), LEFT(INDEX(FILTER(G$1:G666, G$1:G666&lt;&gt;""""),COUNTA(FILTER(G$1:G666, G$1:G666&lt;&gt;""""))), LEN(INDEX(FILTER(G$1:G666, G$1:G666&lt;&gt;""""),COUNTA(FILTER(G$1:G666, G$1:G666&lt;&gt;""""))))-1), IF('To Order'!$A667=COLUMNS($A667:G"&amp;"686), G666&amp;RIGHT(INDIRECT(ADDRESS(ROW(G667)-1, 'From Order'!$A667)), 1), G666))"),"DTRLRQPDSSGHWPBCVDRWTDJLBSGDTLS")</f>
        <v>DTRLRQPDSSGHWPBCVDRWTDJLBSGDTLS</v>
      </c>
      <c r="H667" s="2" t="str">
        <f>IFERROR(__xludf.DUMMYFUNCTION("IF('From Order'!$A667=COLUMNS($A667:H686), LEFT(INDEX(FILTER(H$1:H666, H$1:H666&lt;&gt;""""),COUNTA(FILTER(H$1:H666, H$1:H666&lt;&gt;""""))), LEN(INDEX(FILTER(H$1:H666, H$1:H666&lt;&gt;""""),COUNTA(FILTER(H$1:H666, H$1:H666&lt;&gt;""""))))-1), IF('To Order'!$A667=COLUMNS($A667:H"&amp;"686), H666&amp;RIGHT(INDIRECT(ADDRESS(ROW(H667)-1, 'From Order'!$A667)), 1), H666))"),"ZMDTCJT")</f>
        <v>ZMDTCJT</v>
      </c>
      <c r="I667" s="2" t="str">
        <f>IFERROR(__xludf.DUMMYFUNCTION("IF('From Order'!$A667=COLUMNS($A667:I686), LEFT(INDEX(FILTER(I$1:I666, I$1:I666&lt;&gt;""""),COUNTA(FILTER(I$1:I666, I$1:I666&lt;&gt;""""))), LEN(INDEX(FILTER(I$1:I666, I$1:I666&lt;&gt;""""),COUNTA(FILTER(I$1:I666, I$1:I666&lt;&gt;""""))))-1), IF('To Order'!$A667=COLUMNS($A667:I"&amp;"686), I666&amp;RIGHT(INDIRECT(ADDRESS(ROW(I667)-1, 'From Order'!$A667)), 1), I666))"),"")</f>
        <v/>
      </c>
    </row>
    <row r="668">
      <c r="A668" s="2" t="str">
        <f>IFERROR(__xludf.DUMMYFUNCTION("IF('From Order'!$A668=COLUMNS($A668:A687), LEFT(INDEX(FILTER(A$1:A667, A$1:A667&lt;&gt;""""),COUNTA(FILTER(A$1:A667, A$1:A667&lt;&gt;""""))), LEN(INDEX(FILTER(A$1:A667, A$1:A667&lt;&gt;""""),COUNTA(FILTER(A$1:A667, A$1:A667&lt;&gt;""""))))-1), IF('To Order'!$A668=COLUMNS($A668:A"&amp;"687), A667&amp;RIGHT(INDIRECT(ADDRESS(ROW(A668)-1, 'From Order'!$A668)), 1), A667))"),"")</f>
        <v/>
      </c>
      <c r="B668" s="2" t="str">
        <f>IFERROR(__xludf.DUMMYFUNCTION("IF('From Order'!$A668=COLUMNS($A668:B687), LEFT(INDEX(FILTER(B$1:B667, B$1:B667&lt;&gt;""""),COUNTA(FILTER(B$1:B667, B$1:B667&lt;&gt;""""))), LEN(INDEX(FILTER(B$1:B667, B$1:B667&lt;&gt;""""),COUNTA(FILTER(B$1:B667, B$1:B667&lt;&gt;""""))))-1), IF('To Order'!$A668=COLUMNS($A668:B"&amp;"687), B667&amp;RIGHT(INDIRECT(ADDRESS(ROW(B668)-1, 'From Order'!$A668)), 1), B667))"),"JZRVPVRZHMFBB")</f>
        <v>JZRVPVRZHMFBB</v>
      </c>
      <c r="C668" s="2" t="str">
        <f>IFERROR(__xludf.DUMMYFUNCTION("IF('From Order'!$A668=COLUMNS($A668:C687), LEFT(INDEX(FILTER(C$1:C667, C$1:C667&lt;&gt;""""),COUNTA(FILTER(C$1:C667, C$1:C667&lt;&gt;""""))), LEN(INDEX(FILTER(C$1:C667, C$1:C667&lt;&gt;""""),COUNTA(FILTER(C$1:C667, C$1:C667&lt;&gt;""""))))-1), IF('To Order'!$A668=COLUMNS($A668:C"&amp;"687), C667&amp;RIGHT(INDIRECT(ADDRESS(ROW(C668)-1, 'From Order'!$A668)), 1), C667))"),"")</f>
        <v/>
      </c>
      <c r="D668" s="2" t="str">
        <f>IFERROR(__xludf.DUMMYFUNCTION("IF('From Order'!$A668=COLUMNS($A668:D687), LEFT(INDEX(FILTER(D$1:D667, D$1:D667&lt;&gt;""""),COUNTA(FILTER(D$1:D667, D$1:D667&lt;&gt;""""))), LEN(INDEX(FILTER(D$1:D667, D$1:D667&lt;&gt;""""),COUNTA(FILTER(D$1:D667, D$1:D667&lt;&gt;""""))))-1), IF('To Order'!$A668=COLUMNS($A668:D"&amp;"687), D667&amp;RIGHT(INDIRECT(ADDRESS(ROW(D668)-1, 'From Order'!$A668)), 1), D667))"),"TMQ")</f>
        <v>TMQ</v>
      </c>
      <c r="E668" s="2" t="str">
        <f>IFERROR(__xludf.DUMMYFUNCTION("IF('From Order'!$A668=COLUMNS($A668:E687), LEFT(INDEX(FILTER(E$1:E667, E$1:E667&lt;&gt;""""),COUNTA(FILTER(E$1:E667, E$1:E667&lt;&gt;""""))), LEN(INDEX(FILTER(E$1:E667, E$1:E667&lt;&gt;""""),COUNTA(FILTER(E$1:E667, E$1:E667&lt;&gt;""""))))-1), IF('To Order'!$A668=COLUMNS($A668:E"&amp;"687), E667&amp;RIGHT(INDIRECT(ADDRESS(ROW(E668)-1, 'From Order'!$A668)), 1), E667))"),"C")</f>
        <v>C</v>
      </c>
      <c r="F668" s="2" t="str">
        <f>IFERROR(__xludf.DUMMYFUNCTION("IF('From Order'!$A668=COLUMNS($A668:F687), LEFT(INDEX(FILTER(F$1:F667, F$1:F667&lt;&gt;""""),COUNTA(FILTER(F$1:F667, F$1:F667&lt;&gt;""""))), LEN(INDEX(FILTER(F$1:F667, F$1:F667&lt;&gt;""""),COUNTA(FILTER(F$1:F667, F$1:F667&lt;&gt;""""))))-1), IF('To Order'!$A668=COLUMNS($A668:F"&amp;"687), F667&amp;RIGHT(INDIRECT(ADDRESS(ROW(F668)-1, 'From Order'!$A668)), 1), F667))"),"")</f>
        <v/>
      </c>
      <c r="G668" s="2" t="str">
        <f>IFERROR(__xludf.DUMMYFUNCTION("IF('From Order'!$A668=COLUMNS($A668:G687), LEFT(INDEX(FILTER(G$1:G667, G$1:G667&lt;&gt;""""),COUNTA(FILTER(G$1:G667, G$1:G667&lt;&gt;""""))), LEN(INDEX(FILTER(G$1:G667, G$1:G667&lt;&gt;""""),COUNTA(FILTER(G$1:G667, G$1:G667&lt;&gt;""""))))-1), IF('To Order'!$A668=COLUMNS($A668:G"&amp;"687), G667&amp;RIGHT(INDIRECT(ADDRESS(ROW(G668)-1, 'From Order'!$A668)), 1), G667))"),"DTRLRQPDSSGHWPBCVDRWTDJLBSGDTLSF")</f>
        <v>DTRLRQPDSSGHWPBCVDRWTDJLBSGDTLSF</v>
      </c>
      <c r="H668" s="2" t="str">
        <f>IFERROR(__xludf.DUMMYFUNCTION("IF('From Order'!$A668=COLUMNS($A668:H687), LEFT(INDEX(FILTER(H$1:H667, H$1:H667&lt;&gt;""""),COUNTA(FILTER(H$1:H667, H$1:H667&lt;&gt;""""))), LEN(INDEX(FILTER(H$1:H667, H$1:H667&lt;&gt;""""),COUNTA(FILTER(H$1:H667, H$1:H667&lt;&gt;""""))))-1), IF('To Order'!$A668=COLUMNS($A668:H"&amp;"687), H667&amp;RIGHT(INDIRECT(ADDRESS(ROW(H668)-1, 'From Order'!$A668)), 1), H667))"),"ZMDTCJT")</f>
        <v>ZMDTCJT</v>
      </c>
      <c r="I668" s="2" t="str">
        <f>IFERROR(__xludf.DUMMYFUNCTION("IF('From Order'!$A668=COLUMNS($A668:I687), LEFT(INDEX(FILTER(I$1:I667, I$1:I667&lt;&gt;""""),COUNTA(FILTER(I$1:I667, I$1:I667&lt;&gt;""""))), LEN(INDEX(FILTER(I$1:I667, I$1:I667&lt;&gt;""""),COUNTA(FILTER(I$1:I667, I$1:I667&lt;&gt;""""))))-1), IF('To Order'!$A668=COLUMNS($A668:I"&amp;"687), I667&amp;RIGHT(INDIRECT(ADDRESS(ROW(I668)-1, 'From Order'!$A668)), 1), I667))"),"")</f>
        <v/>
      </c>
    </row>
    <row r="669">
      <c r="A669" s="2" t="str">
        <f>IFERROR(__xludf.DUMMYFUNCTION("IF('From Order'!$A669=COLUMNS($A669:A688), LEFT(INDEX(FILTER(A$1:A668, A$1:A668&lt;&gt;""""),COUNTA(FILTER(A$1:A668, A$1:A668&lt;&gt;""""))), LEN(INDEX(FILTER(A$1:A668, A$1:A668&lt;&gt;""""),COUNTA(FILTER(A$1:A668, A$1:A668&lt;&gt;""""))))-1), IF('To Order'!$A669=COLUMNS($A669:A"&amp;"688), A668&amp;RIGHT(INDIRECT(ADDRESS(ROW(A669)-1, 'From Order'!$A669)), 1), A668))"),"")</f>
        <v/>
      </c>
      <c r="B669" s="2" t="str">
        <f>IFERROR(__xludf.DUMMYFUNCTION("IF('From Order'!$A669=COLUMNS($A669:B688), LEFT(INDEX(FILTER(B$1:B668, B$1:B668&lt;&gt;""""),COUNTA(FILTER(B$1:B668, B$1:B668&lt;&gt;""""))), LEN(INDEX(FILTER(B$1:B668, B$1:B668&lt;&gt;""""),COUNTA(FILTER(B$1:B668, B$1:B668&lt;&gt;""""))))-1), IF('To Order'!$A669=COLUMNS($A669:B"&amp;"688), B668&amp;RIGHT(INDIRECT(ADDRESS(ROW(B669)-1, 'From Order'!$A669)), 1), B668))"),"JZRVPVRZHMFB")</f>
        <v>JZRVPVRZHMFB</v>
      </c>
      <c r="C669" s="2" t="str">
        <f>IFERROR(__xludf.DUMMYFUNCTION("IF('From Order'!$A669=COLUMNS($A669:C688), LEFT(INDEX(FILTER(C$1:C668, C$1:C668&lt;&gt;""""),COUNTA(FILTER(C$1:C668, C$1:C668&lt;&gt;""""))), LEN(INDEX(FILTER(C$1:C668, C$1:C668&lt;&gt;""""),COUNTA(FILTER(C$1:C668, C$1:C668&lt;&gt;""""))))-1), IF('To Order'!$A669=COLUMNS($A669:C"&amp;"688), C668&amp;RIGHT(INDIRECT(ADDRESS(ROW(C669)-1, 'From Order'!$A669)), 1), C668))"),"")</f>
        <v/>
      </c>
      <c r="D669" s="2" t="str">
        <f>IFERROR(__xludf.DUMMYFUNCTION("IF('From Order'!$A669=COLUMNS($A669:D688), LEFT(INDEX(FILTER(D$1:D668, D$1:D668&lt;&gt;""""),COUNTA(FILTER(D$1:D668, D$1:D668&lt;&gt;""""))), LEN(INDEX(FILTER(D$1:D668, D$1:D668&lt;&gt;""""),COUNTA(FILTER(D$1:D668, D$1:D668&lt;&gt;""""))))-1), IF('To Order'!$A669=COLUMNS($A669:D"&amp;"688), D668&amp;RIGHT(INDIRECT(ADDRESS(ROW(D669)-1, 'From Order'!$A669)), 1), D668))"),"TMQ")</f>
        <v>TMQ</v>
      </c>
      <c r="E669" s="2" t="str">
        <f>IFERROR(__xludf.DUMMYFUNCTION("IF('From Order'!$A669=COLUMNS($A669:E688), LEFT(INDEX(FILTER(E$1:E668, E$1:E668&lt;&gt;""""),COUNTA(FILTER(E$1:E668, E$1:E668&lt;&gt;""""))), LEN(INDEX(FILTER(E$1:E668, E$1:E668&lt;&gt;""""),COUNTA(FILTER(E$1:E668, E$1:E668&lt;&gt;""""))))-1), IF('To Order'!$A669=COLUMNS($A669:E"&amp;"688), E668&amp;RIGHT(INDIRECT(ADDRESS(ROW(E669)-1, 'From Order'!$A669)), 1), E668))"),"C")</f>
        <v>C</v>
      </c>
      <c r="F669" s="2" t="str">
        <f>IFERROR(__xludf.DUMMYFUNCTION("IF('From Order'!$A669=COLUMNS($A669:F688), LEFT(INDEX(FILTER(F$1:F668, F$1:F668&lt;&gt;""""),COUNTA(FILTER(F$1:F668, F$1:F668&lt;&gt;""""))), LEN(INDEX(FILTER(F$1:F668, F$1:F668&lt;&gt;""""),COUNTA(FILTER(F$1:F668, F$1:F668&lt;&gt;""""))))-1), IF('To Order'!$A669=COLUMNS($A669:F"&amp;"688), F668&amp;RIGHT(INDIRECT(ADDRESS(ROW(F669)-1, 'From Order'!$A669)), 1), F668))"),"")</f>
        <v/>
      </c>
      <c r="G669" s="2" t="str">
        <f>IFERROR(__xludf.DUMMYFUNCTION("IF('From Order'!$A669=COLUMNS($A669:G688), LEFT(INDEX(FILTER(G$1:G668, G$1:G668&lt;&gt;""""),COUNTA(FILTER(G$1:G668, G$1:G668&lt;&gt;""""))), LEN(INDEX(FILTER(G$1:G668, G$1:G668&lt;&gt;""""),COUNTA(FILTER(G$1:G668, G$1:G668&lt;&gt;""""))))-1), IF('To Order'!$A669=COLUMNS($A669:G"&amp;"688), G668&amp;RIGHT(INDIRECT(ADDRESS(ROW(G669)-1, 'From Order'!$A669)), 1), G668))"),"DTRLRQPDSSGHWPBCVDRWTDJLBSGDTLSFB")</f>
        <v>DTRLRQPDSSGHWPBCVDRWTDJLBSGDTLSFB</v>
      </c>
      <c r="H669" s="2" t="str">
        <f>IFERROR(__xludf.DUMMYFUNCTION("IF('From Order'!$A669=COLUMNS($A669:H688), LEFT(INDEX(FILTER(H$1:H668, H$1:H668&lt;&gt;""""),COUNTA(FILTER(H$1:H668, H$1:H668&lt;&gt;""""))), LEN(INDEX(FILTER(H$1:H668, H$1:H668&lt;&gt;""""),COUNTA(FILTER(H$1:H668, H$1:H668&lt;&gt;""""))))-1), IF('To Order'!$A669=COLUMNS($A669:H"&amp;"688), H668&amp;RIGHT(INDIRECT(ADDRESS(ROW(H669)-1, 'From Order'!$A669)), 1), H668))"),"ZMDTCJT")</f>
        <v>ZMDTCJT</v>
      </c>
      <c r="I669" s="2" t="str">
        <f>IFERROR(__xludf.DUMMYFUNCTION("IF('From Order'!$A669=COLUMNS($A669:I688), LEFT(INDEX(FILTER(I$1:I668, I$1:I668&lt;&gt;""""),COUNTA(FILTER(I$1:I668, I$1:I668&lt;&gt;""""))), LEN(INDEX(FILTER(I$1:I668, I$1:I668&lt;&gt;""""),COUNTA(FILTER(I$1:I668, I$1:I668&lt;&gt;""""))))-1), IF('To Order'!$A669=COLUMNS($A669:I"&amp;"688), I668&amp;RIGHT(INDIRECT(ADDRESS(ROW(I669)-1, 'From Order'!$A669)), 1), I668))"),"")</f>
        <v/>
      </c>
    </row>
    <row r="670">
      <c r="A670" s="2" t="str">
        <f>IFERROR(__xludf.DUMMYFUNCTION("IF('From Order'!$A670=COLUMNS($A670:A689), LEFT(INDEX(FILTER(A$1:A669, A$1:A669&lt;&gt;""""),COUNTA(FILTER(A$1:A669, A$1:A669&lt;&gt;""""))), LEN(INDEX(FILTER(A$1:A669, A$1:A669&lt;&gt;""""),COUNTA(FILTER(A$1:A669, A$1:A669&lt;&gt;""""))))-1), IF('To Order'!$A670=COLUMNS($A670:A"&amp;"689), A669&amp;RIGHT(INDIRECT(ADDRESS(ROW(A670)-1, 'From Order'!$A670)), 1), A669))"),"")</f>
        <v/>
      </c>
      <c r="B670" s="2" t="str">
        <f>IFERROR(__xludf.DUMMYFUNCTION("IF('From Order'!$A670=COLUMNS($A670:B689), LEFT(INDEX(FILTER(B$1:B669, B$1:B669&lt;&gt;""""),COUNTA(FILTER(B$1:B669, B$1:B669&lt;&gt;""""))), LEN(INDEX(FILTER(B$1:B669, B$1:B669&lt;&gt;""""),COUNTA(FILTER(B$1:B669, B$1:B669&lt;&gt;""""))))-1), IF('To Order'!$A670=COLUMNS($A670:B"&amp;"689), B669&amp;RIGHT(INDIRECT(ADDRESS(ROW(B670)-1, 'From Order'!$A670)), 1), B669))"),"JZRVPVRZHMF")</f>
        <v>JZRVPVRZHMF</v>
      </c>
      <c r="C670" s="2" t="str">
        <f>IFERROR(__xludf.DUMMYFUNCTION("IF('From Order'!$A670=COLUMNS($A670:C689), LEFT(INDEX(FILTER(C$1:C669, C$1:C669&lt;&gt;""""),COUNTA(FILTER(C$1:C669, C$1:C669&lt;&gt;""""))), LEN(INDEX(FILTER(C$1:C669, C$1:C669&lt;&gt;""""),COUNTA(FILTER(C$1:C669, C$1:C669&lt;&gt;""""))))-1), IF('To Order'!$A670=COLUMNS($A670:C"&amp;"689), C669&amp;RIGHT(INDIRECT(ADDRESS(ROW(C670)-1, 'From Order'!$A670)), 1), C669))"),"")</f>
        <v/>
      </c>
      <c r="D670" s="2" t="str">
        <f>IFERROR(__xludf.DUMMYFUNCTION("IF('From Order'!$A670=COLUMNS($A670:D689), LEFT(INDEX(FILTER(D$1:D669, D$1:D669&lt;&gt;""""),COUNTA(FILTER(D$1:D669, D$1:D669&lt;&gt;""""))), LEN(INDEX(FILTER(D$1:D669, D$1:D669&lt;&gt;""""),COUNTA(FILTER(D$1:D669, D$1:D669&lt;&gt;""""))))-1), IF('To Order'!$A670=COLUMNS($A670:D"&amp;"689), D669&amp;RIGHT(INDIRECT(ADDRESS(ROW(D670)-1, 'From Order'!$A670)), 1), D669))"),"TMQ")</f>
        <v>TMQ</v>
      </c>
      <c r="E670" s="2" t="str">
        <f>IFERROR(__xludf.DUMMYFUNCTION("IF('From Order'!$A670=COLUMNS($A670:E689), LEFT(INDEX(FILTER(E$1:E669, E$1:E669&lt;&gt;""""),COUNTA(FILTER(E$1:E669, E$1:E669&lt;&gt;""""))), LEN(INDEX(FILTER(E$1:E669, E$1:E669&lt;&gt;""""),COUNTA(FILTER(E$1:E669, E$1:E669&lt;&gt;""""))))-1), IF('To Order'!$A670=COLUMNS($A670:E"&amp;"689), E669&amp;RIGHT(INDIRECT(ADDRESS(ROW(E670)-1, 'From Order'!$A670)), 1), E669))"),"C")</f>
        <v>C</v>
      </c>
      <c r="F670" s="2" t="str">
        <f>IFERROR(__xludf.DUMMYFUNCTION("IF('From Order'!$A670=COLUMNS($A670:F689), LEFT(INDEX(FILTER(F$1:F669, F$1:F669&lt;&gt;""""),COUNTA(FILTER(F$1:F669, F$1:F669&lt;&gt;""""))), LEN(INDEX(FILTER(F$1:F669, F$1:F669&lt;&gt;""""),COUNTA(FILTER(F$1:F669, F$1:F669&lt;&gt;""""))))-1), IF('To Order'!$A670=COLUMNS($A670:F"&amp;"689), F669&amp;RIGHT(INDIRECT(ADDRESS(ROW(F670)-1, 'From Order'!$A670)), 1), F669))"),"")</f>
        <v/>
      </c>
      <c r="G670" s="2" t="str">
        <f>IFERROR(__xludf.DUMMYFUNCTION("IF('From Order'!$A670=COLUMNS($A670:G689), LEFT(INDEX(FILTER(G$1:G669, G$1:G669&lt;&gt;""""),COUNTA(FILTER(G$1:G669, G$1:G669&lt;&gt;""""))), LEN(INDEX(FILTER(G$1:G669, G$1:G669&lt;&gt;""""),COUNTA(FILTER(G$1:G669, G$1:G669&lt;&gt;""""))))-1), IF('To Order'!$A670=COLUMNS($A670:G"&amp;"689), G669&amp;RIGHT(INDIRECT(ADDRESS(ROW(G670)-1, 'From Order'!$A670)), 1), G669))"),"DTRLRQPDSSGHWPBCVDRWTDJLBSGDTLSFBB")</f>
        <v>DTRLRQPDSSGHWPBCVDRWTDJLBSGDTLSFBB</v>
      </c>
      <c r="H670" s="2" t="str">
        <f>IFERROR(__xludf.DUMMYFUNCTION("IF('From Order'!$A670=COLUMNS($A670:H689), LEFT(INDEX(FILTER(H$1:H669, H$1:H669&lt;&gt;""""),COUNTA(FILTER(H$1:H669, H$1:H669&lt;&gt;""""))), LEN(INDEX(FILTER(H$1:H669, H$1:H669&lt;&gt;""""),COUNTA(FILTER(H$1:H669, H$1:H669&lt;&gt;""""))))-1), IF('To Order'!$A670=COLUMNS($A670:H"&amp;"689), H669&amp;RIGHT(INDIRECT(ADDRESS(ROW(H670)-1, 'From Order'!$A670)), 1), H669))"),"ZMDTCJT")</f>
        <v>ZMDTCJT</v>
      </c>
      <c r="I670" s="2" t="str">
        <f>IFERROR(__xludf.DUMMYFUNCTION("IF('From Order'!$A670=COLUMNS($A670:I689), LEFT(INDEX(FILTER(I$1:I669, I$1:I669&lt;&gt;""""),COUNTA(FILTER(I$1:I669, I$1:I669&lt;&gt;""""))), LEN(INDEX(FILTER(I$1:I669, I$1:I669&lt;&gt;""""),COUNTA(FILTER(I$1:I669, I$1:I669&lt;&gt;""""))))-1), IF('To Order'!$A670=COLUMNS($A670:I"&amp;"689), I669&amp;RIGHT(INDIRECT(ADDRESS(ROW(I670)-1, 'From Order'!$A670)), 1), I669))"),"")</f>
        <v/>
      </c>
    </row>
    <row r="671">
      <c r="A671" s="2" t="str">
        <f>IFERROR(__xludf.DUMMYFUNCTION("IF('From Order'!$A671=COLUMNS($A671:A690), LEFT(INDEX(FILTER(A$1:A670, A$1:A670&lt;&gt;""""),COUNTA(FILTER(A$1:A670, A$1:A670&lt;&gt;""""))), LEN(INDEX(FILTER(A$1:A670, A$1:A670&lt;&gt;""""),COUNTA(FILTER(A$1:A670, A$1:A670&lt;&gt;""""))))-1), IF('To Order'!$A671=COLUMNS($A671:A"&amp;"690), A670&amp;RIGHT(INDIRECT(ADDRESS(ROW(A671)-1, 'From Order'!$A671)), 1), A670))"),"")</f>
        <v/>
      </c>
      <c r="B671" s="2" t="str">
        <f>IFERROR(__xludf.DUMMYFUNCTION("IF('From Order'!$A671=COLUMNS($A671:B690), LEFT(INDEX(FILTER(B$1:B670, B$1:B670&lt;&gt;""""),COUNTA(FILTER(B$1:B670, B$1:B670&lt;&gt;""""))), LEN(INDEX(FILTER(B$1:B670, B$1:B670&lt;&gt;""""),COUNTA(FILTER(B$1:B670, B$1:B670&lt;&gt;""""))))-1), IF('To Order'!$A671=COLUMNS($A671:B"&amp;"690), B670&amp;RIGHT(INDIRECT(ADDRESS(ROW(B671)-1, 'From Order'!$A671)), 1), B670))"),"JZRVPVRZHM")</f>
        <v>JZRVPVRZHM</v>
      </c>
      <c r="C671" s="2" t="str">
        <f>IFERROR(__xludf.DUMMYFUNCTION("IF('From Order'!$A671=COLUMNS($A671:C690), LEFT(INDEX(FILTER(C$1:C670, C$1:C670&lt;&gt;""""),COUNTA(FILTER(C$1:C670, C$1:C670&lt;&gt;""""))), LEN(INDEX(FILTER(C$1:C670, C$1:C670&lt;&gt;""""),COUNTA(FILTER(C$1:C670, C$1:C670&lt;&gt;""""))))-1), IF('To Order'!$A671=COLUMNS($A671:C"&amp;"690), C670&amp;RIGHT(INDIRECT(ADDRESS(ROW(C671)-1, 'From Order'!$A671)), 1), C670))"),"")</f>
        <v/>
      </c>
      <c r="D671" s="2" t="str">
        <f>IFERROR(__xludf.DUMMYFUNCTION("IF('From Order'!$A671=COLUMNS($A671:D690), LEFT(INDEX(FILTER(D$1:D670, D$1:D670&lt;&gt;""""),COUNTA(FILTER(D$1:D670, D$1:D670&lt;&gt;""""))), LEN(INDEX(FILTER(D$1:D670, D$1:D670&lt;&gt;""""),COUNTA(FILTER(D$1:D670, D$1:D670&lt;&gt;""""))))-1), IF('To Order'!$A671=COLUMNS($A671:D"&amp;"690), D670&amp;RIGHT(INDIRECT(ADDRESS(ROW(D671)-1, 'From Order'!$A671)), 1), D670))"),"TMQ")</f>
        <v>TMQ</v>
      </c>
      <c r="E671" s="2" t="str">
        <f>IFERROR(__xludf.DUMMYFUNCTION("IF('From Order'!$A671=COLUMNS($A671:E690), LEFT(INDEX(FILTER(E$1:E670, E$1:E670&lt;&gt;""""),COUNTA(FILTER(E$1:E670, E$1:E670&lt;&gt;""""))), LEN(INDEX(FILTER(E$1:E670, E$1:E670&lt;&gt;""""),COUNTA(FILTER(E$1:E670, E$1:E670&lt;&gt;""""))))-1), IF('To Order'!$A671=COLUMNS($A671:E"&amp;"690), E670&amp;RIGHT(INDIRECT(ADDRESS(ROW(E671)-1, 'From Order'!$A671)), 1), E670))"),"C")</f>
        <v>C</v>
      </c>
      <c r="F671" s="2" t="str">
        <f>IFERROR(__xludf.DUMMYFUNCTION("IF('From Order'!$A671=COLUMNS($A671:F690), LEFT(INDEX(FILTER(F$1:F670, F$1:F670&lt;&gt;""""),COUNTA(FILTER(F$1:F670, F$1:F670&lt;&gt;""""))), LEN(INDEX(FILTER(F$1:F670, F$1:F670&lt;&gt;""""),COUNTA(FILTER(F$1:F670, F$1:F670&lt;&gt;""""))))-1), IF('To Order'!$A671=COLUMNS($A671:F"&amp;"690), F670&amp;RIGHT(INDIRECT(ADDRESS(ROW(F671)-1, 'From Order'!$A671)), 1), F670))"),"")</f>
        <v/>
      </c>
      <c r="G671" s="2" t="str">
        <f>IFERROR(__xludf.DUMMYFUNCTION("IF('From Order'!$A671=COLUMNS($A671:G690), LEFT(INDEX(FILTER(G$1:G670, G$1:G670&lt;&gt;""""),COUNTA(FILTER(G$1:G670, G$1:G670&lt;&gt;""""))), LEN(INDEX(FILTER(G$1:G670, G$1:G670&lt;&gt;""""),COUNTA(FILTER(G$1:G670, G$1:G670&lt;&gt;""""))))-1), IF('To Order'!$A671=COLUMNS($A671:G"&amp;"690), G670&amp;RIGHT(INDIRECT(ADDRESS(ROW(G671)-1, 'From Order'!$A671)), 1), G670))"),"DTRLRQPDSSGHWPBCVDRWTDJLBSGDTLSFBBF")</f>
        <v>DTRLRQPDSSGHWPBCVDRWTDJLBSGDTLSFBBF</v>
      </c>
      <c r="H671" s="2" t="str">
        <f>IFERROR(__xludf.DUMMYFUNCTION("IF('From Order'!$A671=COLUMNS($A671:H690), LEFT(INDEX(FILTER(H$1:H670, H$1:H670&lt;&gt;""""),COUNTA(FILTER(H$1:H670, H$1:H670&lt;&gt;""""))), LEN(INDEX(FILTER(H$1:H670, H$1:H670&lt;&gt;""""),COUNTA(FILTER(H$1:H670, H$1:H670&lt;&gt;""""))))-1), IF('To Order'!$A671=COLUMNS($A671:H"&amp;"690), H670&amp;RIGHT(INDIRECT(ADDRESS(ROW(H671)-1, 'From Order'!$A671)), 1), H670))"),"ZMDTCJT")</f>
        <v>ZMDTCJT</v>
      </c>
      <c r="I671" s="2" t="str">
        <f>IFERROR(__xludf.DUMMYFUNCTION("IF('From Order'!$A671=COLUMNS($A671:I690), LEFT(INDEX(FILTER(I$1:I670, I$1:I670&lt;&gt;""""),COUNTA(FILTER(I$1:I670, I$1:I670&lt;&gt;""""))), LEN(INDEX(FILTER(I$1:I670, I$1:I670&lt;&gt;""""),COUNTA(FILTER(I$1:I670, I$1:I670&lt;&gt;""""))))-1), IF('To Order'!$A671=COLUMNS($A671:I"&amp;"690), I670&amp;RIGHT(INDIRECT(ADDRESS(ROW(I671)-1, 'From Order'!$A671)), 1), I670))"),"")</f>
        <v/>
      </c>
    </row>
    <row r="672">
      <c r="A672" s="2" t="str">
        <f>IFERROR(__xludf.DUMMYFUNCTION("IF('From Order'!$A672=COLUMNS($A672:A691), LEFT(INDEX(FILTER(A$1:A671, A$1:A671&lt;&gt;""""),COUNTA(FILTER(A$1:A671, A$1:A671&lt;&gt;""""))), LEN(INDEX(FILTER(A$1:A671, A$1:A671&lt;&gt;""""),COUNTA(FILTER(A$1:A671, A$1:A671&lt;&gt;""""))))-1), IF('To Order'!$A672=COLUMNS($A672:A"&amp;"691), A671&amp;RIGHT(INDIRECT(ADDRESS(ROW(A672)-1, 'From Order'!$A672)), 1), A671))"),"")</f>
        <v/>
      </c>
      <c r="B672" s="2" t="str">
        <f>IFERROR(__xludf.DUMMYFUNCTION("IF('From Order'!$A672=COLUMNS($A672:B691), LEFT(INDEX(FILTER(B$1:B671, B$1:B671&lt;&gt;""""),COUNTA(FILTER(B$1:B671, B$1:B671&lt;&gt;""""))), LEN(INDEX(FILTER(B$1:B671, B$1:B671&lt;&gt;""""),COUNTA(FILTER(B$1:B671, B$1:B671&lt;&gt;""""))))-1), IF('To Order'!$A672=COLUMNS($A672:B"&amp;"691), B671&amp;RIGHT(INDIRECT(ADDRESS(ROW(B672)-1, 'From Order'!$A672)), 1), B671))"),"JZRVPVRZH")</f>
        <v>JZRVPVRZH</v>
      </c>
      <c r="C672" s="2" t="str">
        <f>IFERROR(__xludf.DUMMYFUNCTION("IF('From Order'!$A672=COLUMNS($A672:C691), LEFT(INDEX(FILTER(C$1:C671, C$1:C671&lt;&gt;""""),COUNTA(FILTER(C$1:C671, C$1:C671&lt;&gt;""""))), LEN(INDEX(FILTER(C$1:C671, C$1:C671&lt;&gt;""""),COUNTA(FILTER(C$1:C671, C$1:C671&lt;&gt;""""))))-1), IF('To Order'!$A672=COLUMNS($A672:C"&amp;"691), C671&amp;RIGHT(INDIRECT(ADDRESS(ROW(C672)-1, 'From Order'!$A672)), 1), C671))"),"")</f>
        <v/>
      </c>
      <c r="D672" s="2" t="str">
        <f>IFERROR(__xludf.DUMMYFUNCTION("IF('From Order'!$A672=COLUMNS($A672:D691), LEFT(INDEX(FILTER(D$1:D671, D$1:D671&lt;&gt;""""),COUNTA(FILTER(D$1:D671, D$1:D671&lt;&gt;""""))), LEN(INDEX(FILTER(D$1:D671, D$1:D671&lt;&gt;""""),COUNTA(FILTER(D$1:D671, D$1:D671&lt;&gt;""""))))-1), IF('To Order'!$A672=COLUMNS($A672:D"&amp;"691), D671&amp;RIGHT(INDIRECT(ADDRESS(ROW(D672)-1, 'From Order'!$A672)), 1), D671))"),"TMQ")</f>
        <v>TMQ</v>
      </c>
      <c r="E672" s="2" t="str">
        <f>IFERROR(__xludf.DUMMYFUNCTION("IF('From Order'!$A672=COLUMNS($A672:E691), LEFT(INDEX(FILTER(E$1:E671, E$1:E671&lt;&gt;""""),COUNTA(FILTER(E$1:E671, E$1:E671&lt;&gt;""""))), LEN(INDEX(FILTER(E$1:E671, E$1:E671&lt;&gt;""""),COUNTA(FILTER(E$1:E671, E$1:E671&lt;&gt;""""))))-1), IF('To Order'!$A672=COLUMNS($A672:E"&amp;"691), E671&amp;RIGHT(INDIRECT(ADDRESS(ROW(E672)-1, 'From Order'!$A672)), 1), E671))"),"C")</f>
        <v>C</v>
      </c>
      <c r="F672" s="2" t="str">
        <f>IFERROR(__xludf.DUMMYFUNCTION("IF('From Order'!$A672=COLUMNS($A672:F691), LEFT(INDEX(FILTER(F$1:F671, F$1:F671&lt;&gt;""""),COUNTA(FILTER(F$1:F671, F$1:F671&lt;&gt;""""))), LEN(INDEX(FILTER(F$1:F671, F$1:F671&lt;&gt;""""),COUNTA(FILTER(F$1:F671, F$1:F671&lt;&gt;""""))))-1), IF('To Order'!$A672=COLUMNS($A672:F"&amp;"691), F671&amp;RIGHT(INDIRECT(ADDRESS(ROW(F672)-1, 'From Order'!$A672)), 1), F671))"),"")</f>
        <v/>
      </c>
      <c r="G672" s="2" t="str">
        <f>IFERROR(__xludf.DUMMYFUNCTION("IF('From Order'!$A672=COLUMNS($A672:G691), LEFT(INDEX(FILTER(G$1:G671, G$1:G671&lt;&gt;""""),COUNTA(FILTER(G$1:G671, G$1:G671&lt;&gt;""""))), LEN(INDEX(FILTER(G$1:G671, G$1:G671&lt;&gt;""""),COUNTA(FILTER(G$1:G671, G$1:G671&lt;&gt;""""))))-1), IF('To Order'!$A672=COLUMNS($A672:G"&amp;"691), G671&amp;RIGHT(INDIRECT(ADDRESS(ROW(G672)-1, 'From Order'!$A672)), 1), G671))"),"DTRLRQPDSSGHWPBCVDRWTDJLBSGDTLSFBBFM")</f>
        <v>DTRLRQPDSSGHWPBCVDRWTDJLBSGDTLSFBBFM</v>
      </c>
      <c r="H672" s="2" t="str">
        <f>IFERROR(__xludf.DUMMYFUNCTION("IF('From Order'!$A672=COLUMNS($A672:H691), LEFT(INDEX(FILTER(H$1:H671, H$1:H671&lt;&gt;""""),COUNTA(FILTER(H$1:H671, H$1:H671&lt;&gt;""""))), LEN(INDEX(FILTER(H$1:H671, H$1:H671&lt;&gt;""""),COUNTA(FILTER(H$1:H671, H$1:H671&lt;&gt;""""))))-1), IF('To Order'!$A672=COLUMNS($A672:H"&amp;"691), H671&amp;RIGHT(INDIRECT(ADDRESS(ROW(H672)-1, 'From Order'!$A672)), 1), H671))"),"ZMDTCJT")</f>
        <v>ZMDTCJT</v>
      </c>
      <c r="I672" s="2" t="str">
        <f>IFERROR(__xludf.DUMMYFUNCTION("IF('From Order'!$A672=COLUMNS($A672:I691), LEFT(INDEX(FILTER(I$1:I671, I$1:I671&lt;&gt;""""),COUNTA(FILTER(I$1:I671, I$1:I671&lt;&gt;""""))), LEN(INDEX(FILTER(I$1:I671, I$1:I671&lt;&gt;""""),COUNTA(FILTER(I$1:I671, I$1:I671&lt;&gt;""""))))-1), IF('To Order'!$A672=COLUMNS($A672:I"&amp;"691), I671&amp;RIGHT(INDIRECT(ADDRESS(ROW(I672)-1, 'From Order'!$A672)), 1), I671))"),"")</f>
        <v/>
      </c>
    </row>
    <row r="673">
      <c r="A673" s="2" t="str">
        <f>IFERROR(__xludf.DUMMYFUNCTION("IF('From Order'!$A673=COLUMNS($A673:A692), LEFT(INDEX(FILTER(A$1:A672, A$1:A672&lt;&gt;""""),COUNTA(FILTER(A$1:A672, A$1:A672&lt;&gt;""""))), LEN(INDEX(FILTER(A$1:A672, A$1:A672&lt;&gt;""""),COUNTA(FILTER(A$1:A672, A$1:A672&lt;&gt;""""))))-1), IF('To Order'!$A673=COLUMNS($A673:A"&amp;"692), A672&amp;RIGHT(INDIRECT(ADDRESS(ROW(A673)-1, 'From Order'!$A673)), 1), A672))"),"")</f>
        <v/>
      </c>
      <c r="B673" s="2" t="str">
        <f>IFERROR(__xludf.DUMMYFUNCTION("IF('From Order'!$A673=COLUMNS($A673:B692), LEFT(INDEX(FILTER(B$1:B672, B$1:B672&lt;&gt;""""),COUNTA(FILTER(B$1:B672, B$1:B672&lt;&gt;""""))), LEN(INDEX(FILTER(B$1:B672, B$1:B672&lt;&gt;""""),COUNTA(FILTER(B$1:B672, B$1:B672&lt;&gt;""""))))-1), IF('To Order'!$A673=COLUMNS($A673:B"&amp;"692), B672&amp;RIGHT(INDIRECT(ADDRESS(ROW(B673)-1, 'From Order'!$A673)), 1), B672))"),"JZRVPVRZ")</f>
        <v>JZRVPVRZ</v>
      </c>
      <c r="C673" s="2" t="str">
        <f>IFERROR(__xludf.DUMMYFUNCTION("IF('From Order'!$A673=COLUMNS($A673:C692), LEFT(INDEX(FILTER(C$1:C672, C$1:C672&lt;&gt;""""),COUNTA(FILTER(C$1:C672, C$1:C672&lt;&gt;""""))), LEN(INDEX(FILTER(C$1:C672, C$1:C672&lt;&gt;""""),COUNTA(FILTER(C$1:C672, C$1:C672&lt;&gt;""""))))-1), IF('To Order'!$A673=COLUMNS($A673:C"&amp;"692), C672&amp;RIGHT(INDIRECT(ADDRESS(ROW(C673)-1, 'From Order'!$A673)), 1), C672))"),"")</f>
        <v/>
      </c>
      <c r="D673" s="2" t="str">
        <f>IFERROR(__xludf.DUMMYFUNCTION("IF('From Order'!$A673=COLUMNS($A673:D692), LEFT(INDEX(FILTER(D$1:D672, D$1:D672&lt;&gt;""""),COUNTA(FILTER(D$1:D672, D$1:D672&lt;&gt;""""))), LEN(INDEX(FILTER(D$1:D672, D$1:D672&lt;&gt;""""),COUNTA(FILTER(D$1:D672, D$1:D672&lt;&gt;""""))))-1), IF('To Order'!$A673=COLUMNS($A673:D"&amp;"692), D672&amp;RIGHT(INDIRECT(ADDRESS(ROW(D673)-1, 'From Order'!$A673)), 1), D672))"),"TMQ")</f>
        <v>TMQ</v>
      </c>
      <c r="E673" s="2" t="str">
        <f>IFERROR(__xludf.DUMMYFUNCTION("IF('From Order'!$A673=COLUMNS($A673:E692), LEFT(INDEX(FILTER(E$1:E672, E$1:E672&lt;&gt;""""),COUNTA(FILTER(E$1:E672, E$1:E672&lt;&gt;""""))), LEN(INDEX(FILTER(E$1:E672, E$1:E672&lt;&gt;""""),COUNTA(FILTER(E$1:E672, E$1:E672&lt;&gt;""""))))-1), IF('To Order'!$A673=COLUMNS($A673:E"&amp;"692), E672&amp;RIGHT(INDIRECT(ADDRESS(ROW(E673)-1, 'From Order'!$A673)), 1), E672))"),"C")</f>
        <v>C</v>
      </c>
      <c r="F673" s="2" t="str">
        <f>IFERROR(__xludf.DUMMYFUNCTION("IF('From Order'!$A673=COLUMNS($A673:F692), LEFT(INDEX(FILTER(F$1:F672, F$1:F672&lt;&gt;""""),COUNTA(FILTER(F$1:F672, F$1:F672&lt;&gt;""""))), LEN(INDEX(FILTER(F$1:F672, F$1:F672&lt;&gt;""""),COUNTA(FILTER(F$1:F672, F$1:F672&lt;&gt;""""))))-1), IF('To Order'!$A673=COLUMNS($A673:F"&amp;"692), F672&amp;RIGHT(INDIRECT(ADDRESS(ROW(F673)-1, 'From Order'!$A673)), 1), F672))"),"")</f>
        <v/>
      </c>
      <c r="G673" s="2" t="str">
        <f>IFERROR(__xludf.DUMMYFUNCTION("IF('From Order'!$A673=COLUMNS($A673:G692), LEFT(INDEX(FILTER(G$1:G672, G$1:G672&lt;&gt;""""),COUNTA(FILTER(G$1:G672, G$1:G672&lt;&gt;""""))), LEN(INDEX(FILTER(G$1:G672, G$1:G672&lt;&gt;""""),COUNTA(FILTER(G$1:G672, G$1:G672&lt;&gt;""""))))-1), IF('To Order'!$A673=COLUMNS($A673:G"&amp;"692), G672&amp;RIGHT(INDIRECT(ADDRESS(ROW(G673)-1, 'From Order'!$A673)), 1), G672))"),"DTRLRQPDSSGHWPBCVDRWTDJLBSGDTLSFBBFMH")</f>
        <v>DTRLRQPDSSGHWPBCVDRWTDJLBSGDTLSFBBFMH</v>
      </c>
      <c r="H673" s="2" t="str">
        <f>IFERROR(__xludf.DUMMYFUNCTION("IF('From Order'!$A673=COLUMNS($A673:H692), LEFT(INDEX(FILTER(H$1:H672, H$1:H672&lt;&gt;""""),COUNTA(FILTER(H$1:H672, H$1:H672&lt;&gt;""""))), LEN(INDEX(FILTER(H$1:H672, H$1:H672&lt;&gt;""""),COUNTA(FILTER(H$1:H672, H$1:H672&lt;&gt;""""))))-1), IF('To Order'!$A673=COLUMNS($A673:H"&amp;"692), H672&amp;RIGHT(INDIRECT(ADDRESS(ROW(H673)-1, 'From Order'!$A673)), 1), H672))"),"ZMDTCJT")</f>
        <v>ZMDTCJT</v>
      </c>
      <c r="I673" s="2" t="str">
        <f>IFERROR(__xludf.DUMMYFUNCTION("IF('From Order'!$A673=COLUMNS($A673:I692), LEFT(INDEX(FILTER(I$1:I672, I$1:I672&lt;&gt;""""),COUNTA(FILTER(I$1:I672, I$1:I672&lt;&gt;""""))), LEN(INDEX(FILTER(I$1:I672, I$1:I672&lt;&gt;""""),COUNTA(FILTER(I$1:I672, I$1:I672&lt;&gt;""""))))-1), IF('To Order'!$A673=COLUMNS($A673:I"&amp;"692), I672&amp;RIGHT(INDIRECT(ADDRESS(ROW(I673)-1, 'From Order'!$A673)), 1), I672))"),"")</f>
        <v/>
      </c>
    </row>
    <row r="674">
      <c r="A674" s="2" t="str">
        <f>IFERROR(__xludf.DUMMYFUNCTION("IF('From Order'!$A674=COLUMNS($A674:A693), LEFT(INDEX(FILTER(A$1:A673, A$1:A673&lt;&gt;""""),COUNTA(FILTER(A$1:A673, A$1:A673&lt;&gt;""""))), LEN(INDEX(FILTER(A$1:A673, A$1:A673&lt;&gt;""""),COUNTA(FILTER(A$1:A673, A$1:A673&lt;&gt;""""))))-1), IF('To Order'!$A674=COLUMNS($A674:A"&amp;"693), A673&amp;RIGHT(INDIRECT(ADDRESS(ROW(A674)-1, 'From Order'!$A674)), 1), A673))"),"")</f>
        <v/>
      </c>
      <c r="B674" s="2" t="str">
        <f>IFERROR(__xludf.DUMMYFUNCTION("IF('From Order'!$A674=COLUMNS($A674:B693), LEFT(INDEX(FILTER(B$1:B673, B$1:B673&lt;&gt;""""),COUNTA(FILTER(B$1:B673, B$1:B673&lt;&gt;""""))), LEN(INDEX(FILTER(B$1:B673, B$1:B673&lt;&gt;""""),COUNTA(FILTER(B$1:B673, B$1:B673&lt;&gt;""""))))-1), IF('To Order'!$A674=COLUMNS($A674:B"&amp;"693), B673&amp;RIGHT(INDIRECT(ADDRESS(ROW(B674)-1, 'From Order'!$A674)), 1), B673))"),"JZRVPVR")</f>
        <v>JZRVPVR</v>
      </c>
      <c r="C674" s="2" t="str">
        <f>IFERROR(__xludf.DUMMYFUNCTION("IF('From Order'!$A674=COLUMNS($A674:C693), LEFT(INDEX(FILTER(C$1:C673, C$1:C673&lt;&gt;""""),COUNTA(FILTER(C$1:C673, C$1:C673&lt;&gt;""""))), LEN(INDEX(FILTER(C$1:C673, C$1:C673&lt;&gt;""""),COUNTA(FILTER(C$1:C673, C$1:C673&lt;&gt;""""))))-1), IF('To Order'!$A674=COLUMNS($A674:C"&amp;"693), C673&amp;RIGHT(INDIRECT(ADDRESS(ROW(C674)-1, 'From Order'!$A674)), 1), C673))"),"")</f>
        <v/>
      </c>
      <c r="D674" s="2" t="str">
        <f>IFERROR(__xludf.DUMMYFUNCTION("IF('From Order'!$A674=COLUMNS($A674:D693), LEFT(INDEX(FILTER(D$1:D673, D$1:D673&lt;&gt;""""),COUNTA(FILTER(D$1:D673, D$1:D673&lt;&gt;""""))), LEN(INDEX(FILTER(D$1:D673, D$1:D673&lt;&gt;""""),COUNTA(FILTER(D$1:D673, D$1:D673&lt;&gt;""""))))-1), IF('To Order'!$A674=COLUMNS($A674:D"&amp;"693), D673&amp;RIGHT(INDIRECT(ADDRESS(ROW(D674)-1, 'From Order'!$A674)), 1), D673))"),"TMQ")</f>
        <v>TMQ</v>
      </c>
      <c r="E674" s="2" t="str">
        <f>IFERROR(__xludf.DUMMYFUNCTION("IF('From Order'!$A674=COLUMNS($A674:E693), LEFT(INDEX(FILTER(E$1:E673, E$1:E673&lt;&gt;""""),COUNTA(FILTER(E$1:E673, E$1:E673&lt;&gt;""""))), LEN(INDEX(FILTER(E$1:E673, E$1:E673&lt;&gt;""""),COUNTA(FILTER(E$1:E673, E$1:E673&lt;&gt;""""))))-1), IF('To Order'!$A674=COLUMNS($A674:E"&amp;"693), E673&amp;RIGHT(INDIRECT(ADDRESS(ROW(E674)-1, 'From Order'!$A674)), 1), E673))"),"C")</f>
        <v>C</v>
      </c>
      <c r="F674" s="2" t="str">
        <f>IFERROR(__xludf.DUMMYFUNCTION("IF('From Order'!$A674=COLUMNS($A674:F693), LEFT(INDEX(FILTER(F$1:F673, F$1:F673&lt;&gt;""""),COUNTA(FILTER(F$1:F673, F$1:F673&lt;&gt;""""))), LEN(INDEX(FILTER(F$1:F673, F$1:F673&lt;&gt;""""),COUNTA(FILTER(F$1:F673, F$1:F673&lt;&gt;""""))))-1), IF('To Order'!$A674=COLUMNS($A674:F"&amp;"693), F673&amp;RIGHT(INDIRECT(ADDRESS(ROW(F674)-1, 'From Order'!$A674)), 1), F673))"),"")</f>
        <v/>
      </c>
      <c r="G674" s="2" t="str">
        <f>IFERROR(__xludf.DUMMYFUNCTION("IF('From Order'!$A674=COLUMNS($A674:G693), LEFT(INDEX(FILTER(G$1:G673, G$1:G673&lt;&gt;""""),COUNTA(FILTER(G$1:G673, G$1:G673&lt;&gt;""""))), LEN(INDEX(FILTER(G$1:G673, G$1:G673&lt;&gt;""""),COUNTA(FILTER(G$1:G673, G$1:G673&lt;&gt;""""))))-1), IF('To Order'!$A674=COLUMNS($A674:G"&amp;"693), G673&amp;RIGHT(INDIRECT(ADDRESS(ROW(G674)-1, 'From Order'!$A674)), 1), G673))"),"DTRLRQPDSSGHWPBCVDRWTDJLBSGDTLSFBBFMHZ")</f>
        <v>DTRLRQPDSSGHWPBCVDRWTDJLBSGDTLSFBBFMHZ</v>
      </c>
      <c r="H674" s="2" t="str">
        <f>IFERROR(__xludf.DUMMYFUNCTION("IF('From Order'!$A674=COLUMNS($A674:H693), LEFT(INDEX(FILTER(H$1:H673, H$1:H673&lt;&gt;""""),COUNTA(FILTER(H$1:H673, H$1:H673&lt;&gt;""""))), LEN(INDEX(FILTER(H$1:H673, H$1:H673&lt;&gt;""""),COUNTA(FILTER(H$1:H673, H$1:H673&lt;&gt;""""))))-1), IF('To Order'!$A674=COLUMNS($A674:H"&amp;"693), H673&amp;RIGHT(INDIRECT(ADDRESS(ROW(H674)-1, 'From Order'!$A674)), 1), H673))"),"ZMDTCJT")</f>
        <v>ZMDTCJT</v>
      </c>
      <c r="I674" s="2" t="str">
        <f>IFERROR(__xludf.DUMMYFUNCTION("IF('From Order'!$A674=COLUMNS($A674:I693), LEFT(INDEX(FILTER(I$1:I673, I$1:I673&lt;&gt;""""),COUNTA(FILTER(I$1:I673, I$1:I673&lt;&gt;""""))), LEN(INDEX(FILTER(I$1:I673, I$1:I673&lt;&gt;""""),COUNTA(FILTER(I$1:I673, I$1:I673&lt;&gt;""""))))-1), IF('To Order'!$A674=COLUMNS($A674:I"&amp;"693), I673&amp;RIGHT(INDIRECT(ADDRESS(ROW(I674)-1, 'From Order'!$A674)), 1), I673))"),"")</f>
        <v/>
      </c>
    </row>
    <row r="675">
      <c r="A675" s="2" t="str">
        <f>IFERROR(__xludf.DUMMYFUNCTION("IF('From Order'!$A675=COLUMNS($A675:A694), LEFT(INDEX(FILTER(A$1:A674, A$1:A674&lt;&gt;""""),COUNTA(FILTER(A$1:A674, A$1:A674&lt;&gt;""""))), LEN(INDEX(FILTER(A$1:A674, A$1:A674&lt;&gt;""""),COUNTA(FILTER(A$1:A674, A$1:A674&lt;&gt;""""))))-1), IF('To Order'!$A675=COLUMNS($A675:A"&amp;"694), A674&amp;RIGHT(INDIRECT(ADDRESS(ROW(A675)-1, 'From Order'!$A675)), 1), A674))"),"")</f>
        <v/>
      </c>
      <c r="B675" s="2" t="str">
        <f>IFERROR(__xludf.DUMMYFUNCTION("IF('From Order'!$A675=COLUMNS($A675:B694), LEFT(INDEX(FILTER(B$1:B674, B$1:B674&lt;&gt;""""),COUNTA(FILTER(B$1:B674, B$1:B674&lt;&gt;""""))), LEN(INDEX(FILTER(B$1:B674, B$1:B674&lt;&gt;""""),COUNTA(FILTER(B$1:B674, B$1:B674&lt;&gt;""""))))-1), IF('To Order'!$A675=COLUMNS($A675:B"&amp;"694), B674&amp;RIGHT(INDIRECT(ADDRESS(ROW(B675)-1, 'From Order'!$A675)), 1), B674))"),"JZRVPV")</f>
        <v>JZRVPV</v>
      </c>
      <c r="C675" s="2" t="str">
        <f>IFERROR(__xludf.DUMMYFUNCTION("IF('From Order'!$A675=COLUMNS($A675:C694), LEFT(INDEX(FILTER(C$1:C674, C$1:C674&lt;&gt;""""),COUNTA(FILTER(C$1:C674, C$1:C674&lt;&gt;""""))), LEN(INDEX(FILTER(C$1:C674, C$1:C674&lt;&gt;""""),COUNTA(FILTER(C$1:C674, C$1:C674&lt;&gt;""""))))-1), IF('To Order'!$A675=COLUMNS($A675:C"&amp;"694), C674&amp;RIGHT(INDIRECT(ADDRESS(ROW(C675)-1, 'From Order'!$A675)), 1), C674))"),"")</f>
        <v/>
      </c>
      <c r="D675" s="2" t="str">
        <f>IFERROR(__xludf.DUMMYFUNCTION("IF('From Order'!$A675=COLUMNS($A675:D694), LEFT(INDEX(FILTER(D$1:D674, D$1:D674&lt;&gt;""""),COUNTA(FILTER(D$1:D674, D$1:D674&lt;&gt;""""))), LEN(INDEX(FILTER(D$1:D674, D$1:D674&lt;&gt;""""),COUNTA(FILTER(D$1:D674, D$1:D674&lt;&gt;""""))))-1), IF('To Order'!$A675=COLUMNS($A675:D"&amp;"694), D674&amp;RIGHT(INDIRECT(ADDRESS(ROW(D675)-1, 'From Order'!$A675)), 1), D674))"),"TMQ")</f>
        <v>TMQ</v>
      </c>
      <c r="E675" s="2" t="str">
        <f>IFERROR(__xludf.DUMMYFUNCTION("IF('From Order'!$A675=COLUMNS($A675:E694), LEFT(INDEX(FILTER(E$1:E674, E$1:E674&lt;&gt;""""),COUNTA(FILTER(E$1:E674, E$1:E674&lt;&gt;""""))), LEN(INDEX(FILTER(E$1:E674, E$1:E674&lt;&gt;""""),COUNTA(FILTER(E$1:E674, E$1:E674&lt;&gt;""""))))-1), IF('To Order'!$A675=COLUMNS($A675:E"&amp;"694), E674&amp;RIGHT(INDIRECT(ADDRESS(ROW(E675)-1, 'From Order'!$A675)), 1), E674))"),"C")</f>
        <v>C</v>
      </c>
      <c r="F675" s="2" t="str">
        <f>IFERROR(__xludf.DUMMYFUNCTION("IF('From Order'!$A675=COLUMNS($A675:F694), LEFT(INDEX(FILTER(F$1:F674, F$1:F674&lt;&gt;""""),COUNTA(FILTER(F$1:F674, F$1:F674&lt;&gt;""""))), LEN(INDEX(FILTER(F$1:F674, F$1:F674&lt;&gt;""""),COUNTA(FILTER(F$1:F674, F$1:F674&lt;&gt;""""))))-1), IF('To Order'!$A675=COLUMNS($A675:F"&amp;"694), F674&amp;RIGHT(INDIRECT(ADDRESS(ROW(F675)-1, 'From Order'!$A675)), 1), F674))"),"")</f>
        <v/>
      </c>
      <c r="G675" s="2" t="str">
        <f>IFERROR(__xludf.DUMMYFUNCTION("IF('From Order'!$A675=COLUMNS($A675:G694), LEFT(INDEX(FILTER(G$1:G674, G$1:G674&lt;&gt;""""),COUNTA(FILTER(G$1:G674, G$1:G674&lt;&gt;""""))), LEN(INDEX(FILTER(G$1:G674, G$1:G674&lt;&gt;""""),COUNTA(FILTER(G$1:G674, G$1:G674&lt;&gt;""""))))-1), IF('To Order'!$A675=COLUMNS($A675:G"&amp;"694), G674&amp;RIGHT(INDIRECT(ADDRESS(ROW(G675)-1, 'From Order'!$A675)), 1), G674))"),"DTRLRQPDSSGHWPBCVDRWTDJLBSGDTLSFBBFMHZR")</f>
        <v>DTRLRQPDSSGHWPBCVDRWTDJLBSGDTLSFBBFMHZR</v>
      </c>
      <c r="H675" s="2" t="str">
        <f>IFERROR(__xludf.DUMMYFUNCTION("IF('From Order'!$A675=COLUMNS($A675:H694), LEFT(INDEX(FILTER(H$1:H674, H$1:H674&lt;&gt;""""),COUNTA(FILTER(H$1:H674, H$1:H674&lt;&gt;""""))), LEN(INDEX(FILTER(H$1:H674, H$1:H674&lt;&gt;""""),COUNTA(FILTER(H$1:H674, H$1:H674&lt;&gt;""""))))-1), IF('To Order'!$A675=COLUMNS($A675:H"&amp;"694), H674&amp;RIGHT(INDIRECT(ADDRESS(ROW(H675)-1, 'From Order'!$A675)), 1), H674))"),"ZMDTCJT")</f>
        <v>ZMDTCJT</v>
      </c>
      <c r="I675" s="2" t="str">
        <f>IFERROR(__xludf.DUMMYFUNCTION("IF('From Order'!$A675=COLUMNS($A675:I694), LEFT(INDEX(FILTER(I$1:I674, I$1:I674&lt;&gt;""""),COUNTA(FILTER(I$1:I674, I$1:I674&lt;&gt;""""))), LEN(INDEX(FILTER(I$1:I674, I$1:I674&lt;&gt;""""),COUNTA(FILTER(I$1:I674, I$1:I674&lt;&gt;""""))))-1), IF('To Order'!$A675=COLUMNS($A675:I"&amp;"694), I674&amp;RIGHT(INDIRECT(ADDRESS(ROW(I675)-1, 'From Order'!$A675)), 1), I674))"),"")</f>
        <v/>
      </c>
    </row>
    <row r="676">
      <c r="A676" s="2" t="str">
        <f>IFERROR(__xludf.DUMMYFUNCTION("IF('From Order'!$A676=COLUMNS($A676:A695), LEFT(INDEX(FILTER(A$1:A675, A$1:A675&lt;&gt;""""),COUNTA(FILTER(A$1:A675, A$1:A675&lt;&gt;""""))), LEN(INDEX(FILTER(A$1:A675, A$1:A675&lt;&gt;""""),COUNTA(FILTER(A$1:A675, A$1:A675&lt;&gt;""""))))-1), IF('To Order'!$A676=COLUMNS($A676:A"&amp;"695), A675&amp;RIGHT(INDIRECT(ADDRESS(ROW(A676)-1, 'From Order'!$A676)), 1), A675))"),"")</f>
        <v/>
      </c>
      <c r="B676" s="2" t="str">
        <f>IFERROR(__xludf.DUMMYFUNCTION("IF('From Order'!$A676=COLUMNS($A676:B695), LEFT(INDEX(FILTER(B$1:B675, B$1:B675&lt;&gt;""""),COUNTA(FILTER(B$1:B675, B$1:B675&lt;&gt;""""))), LEN(INDEX(FILTER(B$1:B675, B$1:B675&lt;&gt;""""),COUNTA(FILTER(B$1:B675, B$1:B675&lt;&gt;""""))))-1), IF('To Order'!$A676=COLUMNS($A676:B"&amp;"695), B675&amp;RIGHT(INDIRECT(ADDRESS(ROW(B676)-1, 'From Order'!$A676)), 1), B675))"),"JZRVP")</f>
        <v>JZRVP</v>
      </c>
      <c r="C676" s="2" t="str">
        <f>IFERROR(__xludf.DUMMYFUNCTION("IF('From Order'!$A676=COLUMNS($A676:C695), LEFT(INDEX(FILTER(C$1:C675, C$1:C675&lt;&gt;""""),COUNTA(FILTER(C$1:C675, C$1:C675&lt;&gt;""""))), LEN(INDEX(FILTER(C$1:C675, C$1:C675&lt;&gt;""""),COUNTA(FILTER(C$1:C675, C$1:C675&lt;&gt;""""))))-1), IF('To Order'!$A676=COLUMNS($A676:C"&amp;"695), C675&amp;RIGHT(INDIRECT(ADDRESS(ROW(C676)-1, 'From Order'!$A676)), 1), C675))"),"")</f>
        <v/>
      </c>
      <c r="D676" s="2" t="str">
        <f>IFERROR(__xludf.DUMMYFUNCTION("IF('From Order'!$A676=COLUMNS($A676:D695), LEFT(INDEX(FILTER(D$1:D675, D$1:D675&lt;&gt;""""),COUNTA(FILTER(D$1:D675, D$1:D675&lt;&gt;""""))), LEN(INDEX(FILTER(D$1:D675, D$1:D675&lt;&gt;""""),COUNTA(FILTER(D$1:D675, D$1:D675&lt;&gt;""""))))-1), IF('To Order'!$A676=COLUMNS($A676:D"&amp;"695), D675&amp;RIGHT(INDIRECT(ADDRESS(ROW(D676)-1, 'From Order'!$A676)), 1), D675))"),"TMQ")</f>
        <v>TMQ</v>
      </c>
      <c r="E676" s="2" t="str">
        <f>IFERROR(__xludf.DUMMYFUNCTION("IF('From Order'!$A676=COLUMNS($A676:E695), LEFT(INDEX(FILTER(E$1:E675, E$1:E675&lt;&gt;""""),COUNTA(FILTER(E$1:E675, E$1:E675&lt;&gt;""""))), LEN(INDEX(FILTER(E$1:E675, E$1:E675&lt;&gt;""""),COUNTA(FILTER(E$1:E675, E$1:E675&lt;&gt;""""))))-1), IF('To Order'!$A676=COLUMNS($A676:E"&amp;"695), E675&amp;RIGHT(INDIRECT(ADDRESS(ROW(E676)-1, 'From Order'!$A676)), 1), E675))"),"C")</f>
        <v>C</v>
      </c>
      <c r="F676" s="2" t="str">
        <f>IFERROR(__xludf.DUMMYFUNCTION("IF('From Order'!$A676=COLUMNS($A676:F695), LEFT(INDEX(FILTER(F$1:F675, F$1:F675&lt;&gt;""""),COUNTA(FILTER(F$1:F675, F$1:F675&lt;&gt;""""))), LEN(INDEX(FILTER(F$1:F675, F$1:F675&lt;&gt;""""),COUNTA(FILTER(F$1:F675, F$1:F675&lt;&gt;""""))))-1), IF('To Order'!$A676=COLUMNS($A676:F"&amp;"695), F675&amp;RIGHT(INDIRECT(ADDRESS(ROW(F676)-1, 'From Order'!$A676)), 1), F675))"),"")</f>
        <v/>
      </c>
      <c r="G676" s="2" t="str">
        <f>IFERROR(__xludf.DUMMYFUNCTION("IF('From Order'!$A676=COLUMNS($A676:G695), LEFT(INDEX(FILTER(G$1:G675, G$1:G675&lt;&gt;""""),COUNTA(FILTER(G$1:G675, G$1:G675&lt;&gt;""""))), LEN(INDEX(FILTER(G$1:G675, G$1:G675&lt;&gt;""""),COUNTA(FILTER(G$1:G675, G$1:G675&lt;&gt;""""))))-1), IF('To Order'!$A676=COLUMNS($A676:G"&amp;"695), G675&amp;RIGHT(INDIRECT(ADDRESS(ROW(G676)-1, 'From Order'!$A676)), 1), G675))"),"DTRLRQPDSSGHWPBCVDRWTDJLBSGDTLSFBBFMHZRV")</f>
        <v>DTRLRQPDSSGHWPBCVDRWTDJLBSGDTLSFBBFMHZRV</v>
      </c>
      <c r="H676" s="2" t="str">
        <f>IFERROR(__xludf.DUMMYFUNCTION("IF('From Order'!$A676=COLUMNS($A676:H695), LEFT(INDEX(FILTER(H$1:H675, H$1:H675&lt;&gt;""""),COUNTA(FILTER(H$1:H675, H$1:H675&lt;&gt;""""))), LEN(INDEX(FILTER(H$1:H675, H$1:H675&lt;&gt;""""),COUNTA(FILTER(H$1:H675, H$1:H675&lt;&gt;""""))))-1), IF('To Order'!$A676=COLUMNS($A676:H"&amp;"695), H675&amp;RIGHT(INDIRECT(ADDRESS(ROW(H676)-1, 'From Order'!$A676)), 1), H675))"),"ZMDTCJT")</f>
        <v>ZMDTCJT</v>
      </c>
      <c r="I676" s="2" t="str">
        <f>IFERROR(__xludf.DUMMYFUNCTION("IF('From Order'!$A676=COLUMNS($A676:I695), LEFT(INDEX(FILTER(I$1:I675, I$1:I675&lt;&gt;""""),COUNTA(FILTER(I$1:I675, I$1:I675&lt;&gt;""""))), LEN(INDEX(FILTER(I$1:I675, I$1:I675&lt;&gt;""""),COUNTA(FILTER(I$1:I675, I$1:I675&lt;&gt;""""))))-1), IF('To Order'!$A676=COLUMNS($A676:I"&amp;"695), I675&amp;RIGHT(INDIRECT(ADDRESS(ROW(I676)-1, 'From Order'!$A676)), 1), I675))"),"")</f>
        <v/>
      </c>
    </row>
    <row r="677">
      <c r="A677" s="2" t="str">
        <f>IFERROR(__xludf.DUMMYFUNCTION("IF('From Order'!$A677=COLUMNS($A677:A696), LEFT(INDEX(FILTER(A$1:A676, A$1:A676&lt;&gt;""""),COUNTA(FILTER(A$1:A676, A$1:A676&lt;&gt;""""))), LEN(INDEX(FILTER(A$1:A676, A$1:A676&lt;&gt;""""),COUNTA(FILTER(A$1:A676, A$1:A676&lt;&gt;""""))))-1), IF('To Order'!$A677=COLUMNS($A677:A"&amp;"696), A676&amp;RIGHT(INDIRECT(ADDRESS(ROW(A677)-1, 'From Order'!$A677)), 1), A676))"),"")</f>
        <v/>
      </c>
      <c r="B677" s="2" t="str">
        <f>IFERROR(__xludf.DUMMYFUNCTION("IF('From Order'!$A677=COLUMNS($A677:B696), LEFT(INDEX(FILTER(B$1:B676, B$1:B676&lt;&gt;""""),COUNTA(FILTER(B$1:B676, B$1:B676&lt;&gt;""""))), LEN(INDEX(FILTER(B$1:B676, B$1:B676&lt;&gt;""""),COUNTA(FILTER(B$1:B676, B$1:B676&lt;&gt;""""))))-1), IF('To Order'!$A677=COLUMNS($A677:B"&amp;"696), B676&amp;RIGHT(INDIRECT(ADDRESS(ROW(B677)-1, 'From Order'!$A677)), 1), B676))"),"JZRV")</f>
        <v>JZRV</v>
      </c>
      <c r="C677" s="2" t="str">
        <f>IFERROR(__xludf.DUMMYFUNCTION("IF('From Order'!$A677=COLUMNS($A677:C696), LEFT(INDEX(FILTER(C$1:C676, C$1:C676&lt;&gt;""""),COUNTA(FILTER(C$1:C676, C$1:C676&lt;&gt;""""))), LEN(INDEX(FILTER(C$1:C676, C$1:C676&lt;&gt;""""),COUNTA(FILTER(C$1:C676, C$1:C676&lt;&gt;""""))))-1), IF('To Order'!$A677=COLUMNS($A677:C"&amp;"696), C676&amp;RIGHT(INDIRECT(ADDRESS(ROW(C677)-1, 'From Order'!$A677)), 1), C676))"),"")</f>
        <v/>
      </c>
      <c r="D677" s="2" t="str">
        <f>IFERROR(__xludf.DUMMYFUNCTION("IF('From Order'!$A677=COLUMNS($A677:D696), LEFT(INDEX(FILTER(D$1:D676, D$1:D676&lt;&gt;""""),COUNTA(FILTER(D$1:D676, D$1:D676&lt;&gt;""""))), LEN(INDEX(FILTER(D$1:D676, D$1:D676&lt;&gt;""""),COUNTA(FILTER(D$1:D676, D$1:D676&lt;&gt;""""))))-1), IF('To Order'!$A677=COLUMNS($A677:D"&amp;"696), D676&amp;RIGHT(INDIRECT(ADDRESS(ROW(D677)-1, 'From Order'!$A677)), 1), D676))"),"TMQ")</f>
        <v>TMQ</v>
      </c>
      <c r="E677" s="2" t="str">
        <f>IFERROR(__xludf.DUMMYFUNCTION("IF('From Order'!$A677=COLUMNS($A677:E696), LEFT(INDEX(FILTER(E$1:E676, E$1:E676&lt;&gt;""""),COUNTA(FILTER(E$1:E676, E$1:E676&lt;&gt;""""))), LEN(INDEX(FILTER(E$1:E676, E$1:E676&lt;&gt;""""),COUNTA(FILTER(E$1:E676, E$1:E676&lt;&gt;""""))))-1), IF('To Order'!$A677=COLUMNS($A677:E"&amp;"696), E676&amp;RIGHT(INDIRECT(ADDRESS(ROW(E677)-1, 'From Order'!$A677)), 1), E676))"),"C")</f>
        <v>C</v>
      </c>
      <c r="F677" s="2" t="str">
        <f>IFERROR(__xludf.DUMMYFUNCTION("IF('From Order'!$A677=COLUMNS($A677:F696), LEFT(INDEX(FILTER(F$1:F676, F$1:F676&lt;&gt;""""),COUNTA(FILTER(F$1:F676, F$1:F676&lt;&gt;""""))), LEN(INDEX(FILTER(F$1:F676, F$1:F676&lt;&gt;""""),COUNTA(FILTER(F$1:F676, F$1:F676&lt;&gt;""""))))-1), IF('To Order'!$A677=COLUMNS($A677:F"&amp;"696), F676&amp;RIGHT(INDIRECT(ADDRESS(ROW(F677)-1, 'From Order'!$A677)), 1), F676))"),"")</f>
        <v/>
      </c>
      <c r="G677" s="2" t="str">
        <f>IFERROR(__xludf.DUMMYFUNCTION("IF('From Order'!$A677=COLUMNS($A677:G696), LEFT(INDEX(FILTER(G$1:G676, G$1:G676&lt;&gt;""""),COUNTA(FILTER(G$1:G676, G$1:G676&lt;&gt;""""))), LEN(INDEX(FILTER(G$1:G676, G$1:G676&lt;&gt;""""),COUNTA(FILTER(G$1:G676, G$1:G676&lt;&gt;""""))))-1), IF('To Order'!$A677=COLUMNS($A677:G"&amp;"696), G676&amp;RIGHT(INDIRECT(ADDRESS(ROW(G677)-1, 'From Order'!$A677)), 1), G676))"),"DTRLRQPDSSGHWPBCVDRWTDJLBSGDTLSFBBFMHZRVP")</f>
        <v>DTRLRQPDSSGHWPBCVDRWTDJLBSGDTLSFBBFMHZRVP</v>
      </c>
      <c r="H677" s="2" t="str">
        <f>IFERROR(__xludf.DUMMYFUNCTION("IF('From Order'!$A677=COLUMNS($A677:H696), LEFT(INDEX(FILTER(H$1:H676, H$1:H676&lt;&gt;""""),COUNTA(FILTER(H$1:H676, H$1:H676&lt;&gt;""""))), LEN(INDEX(FILTER(H$1:H676, H$1:H676&lt;&gt;""""),COUNTA(FILTER(H$1:H676, H$1:H676&lt;&gt;""""))))-1), IF('To Order'!$A677=COLUMNS($A677:H"&amp;"696), H676&amp;RIGHT(INDIRECT(ADDRESS(ROW(H677)-1, 'From Order'!$A677)), 1), H676))"),"ZMDTCJT")</f>
        <v>ZMDTCJT</v>
      </c>
      <c r="I677" s="2" t="str">
        <f>IFERROR(__xludf.DUMMYFUNCTION("IF('From Order'!$A677=COLUMNS($A677:I696), LEFT(INDEX(FILTER(I$1:I676, I$1:I676&lt;&gt;""""),COUNTA(FILTER(I$1:I676, I$1:I676&lt;&gt;""""))), LEN(INDEX(FILTER(I$1:I676, I$1:I676&lt;&gt;""""),COUNTA(FILTER(I$1:I676, I$1:I676&lt;&gt;""""))))-1), IF('To Order'!$A677=COLUMNS($A677:I"&amp;"696), I676&amp;RIGHT(INDIRECT(ADDRESS(ROW(I677)-1, 'From Order'!$A677)), 1), I676))"),"")</f>
        <v/>
      </c>
    </row>
    <row r="678">
      <c r="A678" s="2" t="str">
        <f>IFERROR(__xludf.DUMMYFUNCTION("IF('From Order'!$A678=COLUMNS($A678:A697), LEFT(INDEX(FILTER(A$1:A677, A$1:A677&lt;&gt;""""),COUNTA(FILTER(A$1:A677, A$1:A677&lt;&gt;""""))), LEN(INDEX(FILTER(A$1:A677, A$1:A677&lt;&gt;""""),COUNTA(FILTER(A$1:A677, A$1:A677&lt;&gt;""""))))-1), IF('To Order'!$A678=COLUMNS($A678:A"&amp;"697), A677&amp;RIGHT(INDIRECT(ADDRESS(ROW(A678)-1, 'From Order'!$A678)), 1), A677))"),"")</f>
        <v/>
      </c>
      <c r="B678" s="2" t="str">
        <f>IFERROR(__xludf.DUMMYFUNCTION("IF('From Order'!$A678=COLUMNS($A678:B697), LEFT(INDEX(FILTER(B$1:B677, B$1:B677&lt;&gt;""""),COUNTA(FILTER(B$1:B677, B$1:B677&lt;&gt;""""))), LEN(INDEX(FILTER(B$1:B677, B$1:B677&lt;&gt;""""),COUNTA(FILTER(B$1:B677, B$1:B677&lt;&gt;""""))))-1), IF('To Order'!$A678=COLUMNS($A678:B"&amp;"697), B677&amp;RIGHT(INDIRECT(ADDRESS(ROW(B678)-1, 'From Order'!$A678)), 1), B677))"),"JZR")</f>
        <v>JZR</v>
      </c>
      <c r="C678" s="2" t="str">
        <f>IFERROR(__xludf.DUMMYFUNCTION("IF('From Order'!$A678=COLUMNS($A678:C697), LEFT(INDEX(FILTER(C$1:C677, C$1:C677&lt;&gt;""""),COUNTA(FILTER(C$1:C677, C$1:C677&lt;&gt;""""))), LEN(INDEX(FILTER(C$1:C677, C$1:C677&lt;&gt;""""),COUNTA(FILTER(C$1:C677, C$1:C677&lt;&gt;""""))))-1), IF('To Order'!$A678=COLUMNS($A678:C"&amp;"697), C677&amp;RIGHT(INDIRECT(ADDRESS(ROW(C678)-1, 'From Order'!$A678)), 1), C677))"),"")</f>
        <v/>
      </c>
      <c r="D678" s="2" t="str">
        <f>IFERROR(__xludf.DUMMYFUNCTION("IF('From Order'!$A678=COLUMNS($A678:D697), LEFT(INDEX(FILTER(D$1:D677, D$1:D677&lt;&gt;""""),COUNTA(FILTER(D$1:D677, D$1:D677&lt;&gt;""""))), LEN(INDEX(FILTER(D$1:D677, D$1:D677&lt;&gt;""""),COUNTA(FILTER(D$1:D677, D$1:D677&lt;&gt;""""))))-1), IF('To Order'!$A678=COLUMNS($A678:D"&amp;"697), D677&amp;RIGHT(INDIRECT(ADDRESS(ROW(D678)-1, 'From Order'!$A678)), 1), D677))"),"TMQ")</f>
        <v>TMQ</v>
      </c>
      <c r="E678" s="2" t="str">
        <f>IFERROR(__xludf.DUMMYFUNCTION("IF('From Order'!$A678=COLUMNS($A678:E697), LEFT(INDEX(FILTER(E$1:E677, E$1:E677&lt;&gt;""""),COUNTA(FILTER(E$1:E677, E$1:E677&lt;&gt;""""))), LEN(INDEX(FILTER(E$1:E677, E$1:E677&lt;&gt;""""),COUNTA(FILTER(E$1:E677, E$1:E677&lt;&gt;""""))))-1), IF('To Order'!$A678=COLUMNS($A678:E"&amp;"697), E677&amp;RIGHT(INDIRECT(ADDRESS(ROW(E678)-1, 'From Order'!$A678)), 1), E677))"),"C")</f>
        <v>C</v>
      </c>
      <c r="F678" s="2" t="str">
        <f>IFERROR(__xludf.DUMMYFUNCTION("IF('From Order'!$A678=COLUMNS($A678:F697), LEFT(INDEX(FILTER(F$1:F677, F$1:F677&lt;&gt;""""),COUNTA(FILTER(F$1:F677, F$1:F677&lt;&gt;""""))), LEN(INDEX(FILTER(F$1:F677, F$1:F677&lt;&gt;""""),COUNTA(FILTER(F$1:F677, F$1:F677&lt;&gt;""""))))-1), IF('To Order'!$A678=COLUMNS($A678:F"&amp;"697), F677&amp;RIGHT(INDIRECT(ADDRESS(ROW(F678)-1, 'From Order'!$A678)), 1), F677))"),"")</f>
        <v/>
      </c>
      <c r="G678" s="2" t="str">
        <f>IFERROR(__xludf.DUMMYFUNCTION("IF('From Order'!$A678=COLUMNS($A678:G697), LEFT(INDEX(FILTER(G$1:G677, G$1:G677&lt;&gt;""""),COUNTA(FILTER(G$1:G677, G$1:G677&lt;&gt;""""))), LEN(INDEX(FILTER(G$1:G677, G$1:G677&lt;&gt;""""),COUNTA(FILTER(G$1:G677, G$1:G677&lt;&gt;""""))))-1), IF('To Order'!$A678=COLUMNS($A678:G"&amp;"697), G677&amp;RIGHT(INDIRECT(ADDRESS(ROW(G678)-1, 'From Order'!$A678)), 1), G677))"),"DTRLRQPDSSGHWPBCVDRWTDJLBSGDTLSFBBFMHZRVPV")</f>
        <v>DTRLRQPDSSGHWPBCVDRWTDJLBSGDTLSFBBFMHZRVPV</v>
      </c>
      <c r="H678" s="2" t="str">
        <f>IFERROR(__xludf.DUMMYFUNCTION("IF('From Order'!$A678=COLUMNS($A678:H697), LEFT(INDEX(FILTER(H$1:H677, H$1:H677&lt;&gt;""""),COUNTA(FILTER(H$1:H677, H$1:H677&lt;&gt;""""))), LEN(INDEX(FILTER(H$1:H677, H$1:H677&lt;&gt;""""),COUNTA(FILTER(H$1:H677, H$1:H677&lt;&gt;""""))))-1), IF('To Order'!$A678=COLUMNS($A678:H"&amp;"697), H677&amp;RIGHT(INDIRECT(ADDRESS(ROW(H678)-1, 'From Order'!$A678)), 1), H677))"),"ZMDTCJT")</f>
        <v>ZMDTCJT</v>
      </c>
      <c r="I678" s="2" t="str">
        <f>IFERROR(__xludf.DUMMYFUNCTION("IF('From Order'!$A678=COLUMNS($A678:I697), LEFT(INDEX(FILTER(I$1:I677, I$1:I677&lt;&gt;""""),COUNTA(FILTER(I$1:I677, I$1:I677&lt;&gt;""""))), LEN(INDEX(FILTER(I$1:I677, I$1:I677&lt;&gt;""""),COUNTA(FILTER(I$1:I677, I$1:I677&lt;&gt;""""))))-1), IF('To Order'!$A678=COLUMNS($A678:I"&amp;"697), I677&amp;RIGHT(INDIRECT(ADDRESS(ROW(I678)-1, 'From Order'!$A678)), 1), I677))"),"")</f>
        <v/>
      </c>
    </row>
    <row r="679">
      <c r="A679" s="2" t="str">
        <f>IFERROR(__xludf.DUMMYFUNCTION("IF('From Order'!$A679=COLUMNS($A679:A698), LEFT(INDEX(FILTER(A$1:A678, A$1:A678&lt;&gt;""""),COUNTA(FILTER(A$1:A678, A$1:A678&lt;&gt;""""))), LEN(INDEX(FILTER(A$1:A678, A$1:A678&lt;&gt;""""),COUNTA(FILTER(A$1:A678, A$1:A678&lt;&gt;""""))))-1), IF('To Order'!$A679=COLUMNS($A679:A"&amp;"698), A678&amp;RIGHT(INDIRECT(ADDRESS(ROW(A679)-1, 'From Order'!$A679)), 1), A678))"),"")</f>
        <v/>
      </c>
      <c r="B679" s="2" t="str">
        <f>IFERROR(__xludf.DUMMYFUNCTION("IF('From Order'!$A679=COLUMNS($A679:B698), LEFT(INDEX(FILTER(B$1:B678, B$1:B678&lt;&gt;""""),COUNTA(FILTER(B$1:B678, B$1:B678&lt;&gt;""""))), LEN(INDEX(FILTER(B$1:B678, B$1:B678&lt;&gt;""""),COUNTA(FILTER(B$1:B678, B$1:B678&lt;&gt;""""))))-1), IF('To Order'!$A679=COLUMNS($A679:B"&amp;"698), B678&amp;RIGHT(INDIRECT(ADDRESS(ROW(B679)-1, 'From Order'!$A679)), 1), B678))"),"JZR")</f>
        <v>JZR</v>
      </c>
      <c r="C679" s="2" t="str">
        <f>IFERROR(__xludf.DUMMYFUNCTION("IF('From Order'!$A679=COLUMNS($A679:C698), LEFT(INDEX(FILTER(C$1:C678, C$1:C678&lt;&gt;""""),COUNTA(FILTER(C$1:C678, C$1:C678&lt;&gt;""""))), LEN(INDEX(FILTER(C$1:C678, C$1:C678&lt;&gt;""""),COUNTA(FILTER(C$1:C678, C$1:C678&lt;&gt;""""))))-1), IF('To Order'!$A679=COLUMNS($A679:C"&amp;"698), C678&amp;RIGHT(INDIRECT(ADDRESS(ROW(C679)-1, 'From Order'!$A679)), 1), C678))"),"")</f>
        <v/>
      </c>
      <c r="D679" s="2" t="str">
        <f>IFERROR(__xludf.DUMMYFUNCTION("IF('From Order'!$A679=COLUMNS($A679:D698), LEFT(INDEX(FILTER(D$1:D678, D$1:D678&lt;&gt;""""),COUNTA(FILTER(D$1:D678, D$1:D678&lt;&gt;""""))), LEN(INDEX(FILTER(D$1:D678, D$1:D678&lt;&gt;""""),COUNTA(FILTER(D$1:D678, D$1:D678&lt;&gt;""""))))-1), IF('To Order'!$A679=COLUMNS($A679:D"&amp;"698), D678&amp;RIGHT(INDIRECT(ADDRESS(ROW(D679)-1, 'From Order'!$A679)), 1), D678))"),"TMQ")</f>
        <v>TMQ</v>
      </c>
      <c r="E679" s="2" t="str">
        <f>IFERROR(__xludf.DUMMYFUNCTION("IF('From Order'!$A679=COLUMNS($A679:E698), LEFT(INDEX(FILTER(E$1:E678, E$1:E678&lt;&gt;""""),COUNTA(FILTER(E$1:E678, E$1:E678&lt;&gt;""""))), LEN(INDEX(FILTER(E$1:E678, E$1:E678&lt;&gt;""""),COUNTA(FILTER(E$1:E678, E$1:E678&lt;&gt;""""))))-1), IF('To Order'!$A679=COLUMNS($A679:E"&amp;"698), E678&amp;RIGHT(INDIRECT(ADDRESS(ROW(E679)-1, 'From Order'!$A679)), 1), E678))"),"C")</f>
        <v>C</v>
      </c>
      <c r="F679" s="2" t="str">
        <f>IFERROR(__xludf.DUMMYFUNCTION("IF('From Order'!$A679=COLUMNS($A679:F698), LEFT(INDEX(FILTER(F$1:F678, F$1:F678&lt;&gt;""""),COUNTA(FILTER(F$1:F678, F$1:F678&lt;&gt;""""))), LEN(INDEX(FILTER(F$1:F678, F$1:F678&lt;&gt;""""),COUNTA(FILTER(F$1:F678, F$1:F678&lt;&gt;""""))))-1), IF('To Order'!$A679=COLUMNS($A679:F"&amp;"698), F678&amp;RIGHT(INDIRECT(ADDRESS(ROW(F679)-1, 'From Order'!$A679)), 1), F678))"),"")</f>
        <v/>
      </c>
      <c r="G679" s="2" t="str">
        <f>IFERROR(__xludf.DUMMYFUNCTION("IF('From Order'!$A679=COLUMNS($A679:G698), LEFT(INDEX(FILTER(G$1:G678, G$1:G678&lt;&gt;""""),COUNTA(FILTER(G$1:G678, G$1:G678&lt;&gt;""""))), LEN(INDEX(FILTER(G$1:G678, G$1:G678&lt;&gt;""""),COUNTA(FILTER(G$1:G678, G$1:G678&lt;&gt;""""))))-1), IF('To Order'!$A679=COLUMNS($A679:G"&amp;"698), G678&amp;RIGHT(INDIRECT(ADDRESS(ROW(G679)-1, 'From Order'!$A679)), 1), G678))"),"DTRLRQPDSSGHWPBCVDRWTDJLBSGDTLSFBBFMHZRVP")</f>
        <v>DTRLRQPDSSGHWPBCVDRWTDJLBSGDTLSFBBFMHZRVP</v>
      </c>
      <c r="H679" s="2" t="str">
        <f>IFERROR(__xludf.DUMMYFUNCTION("IF('From Order'!$A679=COLUMNS($A679:H698), LEFT(INDEX(FILTER(H$1:H678, H$1:H678&lt;&gt;""""),COUNTA(FILTER(H$1:H678, H$1:H678&lt;&gt;""""))), LEN(INDEX(FILTER(H$1:H678, H$1:H678&lt;&gt;""""),COUNTA(FILTER(H$1:H678, H$1:H678&lt;&gt;""""))))-1), IF('To Order'!$A679=COLUMNS($A679:H"&amp;"698), H678&amp;RIGHT(INDIRECT(ADDRESS(ROW(H679)-1, 'From Order'!$A679)), 1), H678))"),"ZMDTCJT")</f>
        <v>ZMDTCJT</v>
      </c>
      <c r="I679" s="2" t="str">
        <f>IFERROR(__xludf.DUMMYFUNCTION("IF('From Order'!$A679=COLUMNS($A679:I698), LEFT(INDEX(FILTER(I$1:I678, I$1:I678&lt;&gt;""""),COUNTA(FILTER(I$1:I678, I$1:I678&lt;&gt;""""))), LEN(INDEX(FILTER(I$1:I678, I$1:I678&lt;&gt;""""),COUNTA(FILTER(I$1:I678, I$1:I678&lt;&gt;""""))))-1), IF('To Order'!$A679=COLUMNS($A679:I"&amp;"698), I678&amp;RIGHT(INDIRECT(ADDRESS(ROW(I679)-1, 'From Order'!$A679)), 1), I678))"),"V")</f>
        <v>V</v>
      </c>
    </row>
    <row r="680">
      <c r="A680" s="2" t="str">
        <f>IFERROR(__xludf.DUMMYFUNCTION("IF('From Order'!$A680=COLUMNS($A680:A699), LEFT(INDEX(FILTER(A$1:A679, A$1:A679&lt;&gt;""""),COUNTA(FILTER(A$1:A679, A$1:A679&lt;&gt;""""))), LEN(INDEX(FILTER(A$1:A679, A$1:A679&lt;&gt;""""),COUNTA(FILTER(A$1:A679, A$1:A679&lt;&gt;""""))))-1), IF('To Order'!$A680=COLUMNS($A680:A"&amp;"699), A679&amp;RIGHT(INDIRECT(ADDRESS(ROW(A680)-1, 'From Order'!$A680)), 1), A679))"),"")</f>
        <v/>
      </c>
      <c r="B680" s="2" t="str">
        <f>IFERROR(__xludf.DUMMYFUNCTION("IF('From Order'!$A680=COLUMNS($A680:B699), LEFT(INDEX(FILTER(B$1:B679, B$1:B679&lt;&gt;""""),COUNTA(FILTER(B$1:B679, B$1:B679&lt;&gt;""""))), LEN(INDEX(FILTER(B$1:B679, B$1:B679&lt;&gt;""""),COUNTA(FILTER(B$1:B679, B$1:B679&lt;&gt;""""))))-1), IF('To Order'!$A680=COLUMNS($A680:B"&amp;"699), B679&amp;RIGHT(INDIRECT(ADDRESS(ROW(B680)-1, 'From Order'!$A680)), 1), B679))"),"JZR")</f>
        <v>JZR</v>
      </c>
      <c r="C680" s="2" t="str">
        <f>IFERROR(__xludf.DUMMYFUNCTION("IF('From Order'!$A680=COLUMNS($A680:C699), LEFT(INDEX(FILTER(C$1:C679, C$1:C679&lt;&gt;""""),COUNTA(FILTER(C$1:C679, C$1:C679&lt;&gt;""""))), LEN(INDEX(FILTER(C$1:C679, C$1:C679&lt;&gt;""""),COUNTA(FILTER(C$1:C679, C$1:C679&lt;&gt;""""))))-1), IF('To Order'!$A680=COLUMNS($A680:C"&amp;"699), C679&amp;RIGHT(INDIRECT(ADDRESS(ROW(C680)-1, 'From Order'!$A680)), 1), C679))"),"")</f>
        <v/>
      </c>
      <c r="D680" s="2" t="str">
        <f>IFERROR(__xludf.DUMMYFUNCTION("IF('From Order'!$A680=COLUMNS($A680:D699), LEFT(INDEX(FILTER(D$1:D679, D$1:D679&lt;&gt;""""),COUNTA(FILTER(D$1:D679, D$1:D679&lt;&gt;""""))), LEN(INDEX(FILTER(D$1:D679, D$1:D679&lt;&gt;""""),COUNTA(FILTER(D$1:D679, D$1:D679&lt;&gt;""""))))-1), IF('To Order'!$A680=COLUMNS($A680:D"&amp;"699), D679&amp;RIGHT(INDIRECT(ADDRESS(ROW(D680)-1, 'From Order'!$A680)), 1), D679))"),"TMQ")</f>
        <v>TMQ</v>
      </c>
      <c r="E680" s="2" t="str">
        <f>IFERROR(__xludf.DUMMYFUNCTION("IF('From Order'!$A680=COLUMNS($A680:E699), LEFT(INDEX(FILTER(E$1:E679, E$1:E679&lt;&gt;""""),COUNTA(FILTER(E$1:E679, E$1:E679&lt;&gt;""""))), LEN(INDEX(FILTER(E$1:E679, E$1:E679&lt;&gt;""""),COUNTA(FILTER(E$1:E679, E$1:E679&lt;&gt;""""))))-1), IF('To Order'!$A680=COLUMNS($A680:E"&amp;"699), E679&amp;RIGHT(INDIRECT(ADDRESS(ROW(E680)-1, 'From Order'!$A680)), 1), E679))"),"C")</f>
        <v>C</v>
      </c>
      <c r="F680" s="2" t="str">
        <f>IFERROR(__xludf.DUMMYFUNCTION("IF('From Order'!$A680=COLUMNS($A680:F699), LEFT(INDEX(FILTER(F$1:F679, F$1:F679&lt;&gt;""""),COUNTA(FILTER(F$1:F679, F$1:F679&lt;&gt;""""))), LEN(INDEX(FILTER(F$1:F679, F$1:F679&lt;&gt;""""),COUNTA(FILTER(F$1:F679, F$1:F679&lt;&gt;""""))))-1), IF('To Order'!$A680=COLUMNS($A680:F"&amp;"699), F679&amp;RIGHT(INDIRECT(ADDRESS(ROW(F680)-1, 'From Order'!$A680)), 1), F679))"),"")</f>
        <v/>
      </c>
      <c r="G680" s="2" t="str">
        <f>IFERROR(__xludf.DUMMYFUNCTION("IF('From Order'!$A680=COLUMNS($A680:G699), LEFT(INDEX(FILTER(G$1:G679, G$1:G679&lt;&gt;""""),COUNTA(FILTER(G$1:G679, G$1:G679&lt;&gt;""""))), LEN(INDEX(FILTER(G$1:G679, G$1:G679&lt;&gt;""""),COUNTA(FILTER(G$1:G679, G$1:G679&lt;&gt;""""))))-1), IF('To Order'!$A680=COLUMNS($A680:G"&amp;"699), G679&amp;RIGHT(INDIRECT(ADDRESS(ROW(G680)-1, 'From Order'!$A680)), 1), G679))"),"DTRLRQPDSSGHWPBCVDRWTDJLBSGDTLSFBBFMHZRV")</f>
        <v>DTRLRQPDSSGHWPBCVDRWTDJLBSGDTLSFBBFMHZRV</v>
      </c>
      <c r="H680" s="2" t="str">
        <f>IFERROR(__xludf.DUMMYFUNCTION("IF('From Order'!$A680=COLUMNS($A680:H699), LEFT(INDEX(FILTER(H$1:H679, H$1:H679&lt;&gt;""""),COUNTA(FILTER(H$1:H679, H$1:H679&lt;&gt;""""))), LEN(INDEX(FILTER(H$1:H679, H$1:H679&lt;&gt;""""),COUNTA(FILTER(H$1:H679, H$1:H679&lt;&gt;""""))))-1), IF('To Order'!$A680=COLUMNS($A680:H"&amp;"699), H679&amp;RIGHT(INDIRECT(ADDRESS(ROW(H680)-1, 'From Order'!$A680)), 1), H679))"),"ZMDTCJT")</f>
        <v>ZMDTCJT</v>
      </c>
      <c r="I680" s="2" t="str">
        <f>IFERROR(__xludf.DUMMYFUNCTION("IF('From Order'!$A680=COLUMNS($A680:I699), LEFT(INDEX(FILTER(I$1:I679, I$1:I679&lt;&gt;""""),COUNTA(FILTER(I$1:I679, I$1:I679&lt;&gt;""""))), LEN(INDEX(FILTER(I$1:I679, I$1:I679&lt;&gt;""""),COUNTA(FILTER(I$1:I679, I$1:I679&lt;&gt;""""))))-1), IF('To Order'!$A680=COLUMNS($A680:I"&amp;"699), I679&amp;RIGHT(INDIRECT(ADDRESS(ROW(I680)-1, 'From Order'!$A680)), 1), I679))"),"VP")</f>
        <v>VP</v>
      </c>
    </row>
    <row r="681">
      <c r="A681" s="2" t="str">
        <f>IFERROR(__xludf.DUMMYFUNCTION("IF('From Order'!$A681=COLUMNS($A681:A700), LEFT(INDEX(FILTER(A$1:A680, A$1:A680&lt;&gt;""""),COUNTA(FILTER(A$1:A680, A$1:A680&lt;&gt;""""))), LEN(INDEX(FILTER(A$1:A680, A$1:A680&lt;&gt;""""),COUNTA(FILTER(A$1:A680, A$1:A680&lt;&gt;""""))))-1), IF('To Order'!$A681=COLUMNS($A681:A"&amp;"700), A680&amp;RIGHT(INDIRECT(ADDRESS(ROW(A681)-1, 'From Order'!$A681)), 1), A680))"),"")</f>
        <v/>
      </c>
      <c r="B681" s="2" t="str">
        <f>IFERROR(__xludf.DUMMYFUNCTION("IF('From Order'!$A681=COLUMNS($A681:B700), LEFT(INDEX(FILTER(B$1:B680, B$1:B680&lt;&gt;""""),COUNTA(FILTER(B$1:B680, B$1:B680&lt;&gt;""""))), LEN(INDEX(FILTER(B$1:B680, B$1:B680&lt;&gt;""""),COUNTA(FILTER(B$1:B680, B$1:B680&lt;&gt;""""))))-1), IF('To Order'!$A681=COLUMNS($A681:B"&amp;"700), B680&amp;RIGHT(INDIRECT(ADDRESS(ROW(B681)-1, 'From Order'!$A681)), 1), B680))"),"JZR")</f>
        <v>JZR</v>
      </c>
      <c r="C681" s="2" t="str">
        <f>IFERROR(__xludf.DUMMYFUNCTION("IF('From Order'!$A681=COLUMNS($A681:C700), LEFT(INDEX(FILTER(C$1:C680, C$1:C680&lt;&gt;""""),COUNTA(FILTER(C$1:C680, C$1:C680&lt;&gt;""""))), LEN(INDEX(FILTER(C$1:C680, C$1:C680&lt;&gt;""""),COUNTA(FILTER(C$1:C680, C$1:C680&lt;&gt;""""))))-1), IF('To Order'!$A681=COLUMNS($A681:C"&amp;"700), C680&amp;RIGHT(INDIRECT(ADDRESS(ROW(C681)-1, 'From Order'!$A681)), 1), C680))"),"")</f>
        <v/>
      </c>
      <c r="D681" s="2" t="str">
        <f>IFERROR(__xludf.DUMMYFUNCTION("IF('From Order'!$A681=COLUMNS($A681:D700), LEFT(INDEX(FILTER(D$1:D680, D$1:D680&lt;&gt;""""),COUNTA(FILTER(D$1:D680, D$1:D680&lt;&gt;""""))), LEN(INDEX(FILTER(D$1:D680, D$1:D680&lt;&gt;""""),COUNTA(FILTER(D$1:D680, D$1:D680&lt;&gt;""""))))-1), IF('To Order'!$A681=COLUMNS($A681:D"&amp;"700), D680&amp;RIGHT(INDIRECT(ADDRESS(ROW(D681)-1, 'From Order'!$A681)), 1), D680))"),"TMQ")</f>
        <v>TMQ</v>
      </c>
      <c r="E681" s="2" t="str">
        <f>IFERROR(__xludf.DUMMYFUNCTION("IF('From Order'!$A681=COLUMNS($A681:E700), LEFT(INDEX(FILTER(E$1:E680, E$1:E680&lt;&gt;""""),COUNTA(FILTER(E$1:E680, E$1:E680&lt;&gt;""""))), LEN(INDEX(FILTER(E$1:E680, E$1:E680&lt;&gt;""""),COUNTA(FILTER(E$1:E680, E$1:E680&lt;&gt;""""))))-1), IF('To Order'!$A681=COLUMNS($A681:E"&amp;"700), E680&amp;RIGHT(INDIRECT(ADDRESS(ROW(E681)-1, 'From Order'!$A681)), 1), E680))"),"C")</f>
        <v>C</v>
      </c>
      <c r="F681" s="2" t="str">
        <f>IFERROR(__xludf.DUMMYFUNCTION("IF('From Order'!$A681=COLUMNS($A681:F700), LEFT(INDEX(FILTER(F$1:F680, F$1:F680&lt;&gt;""""),COUNTA(FILTER(F$1:F680, F$1:F680&lt;&gt;""""))), LEN(INDEX(FILTER(F$1:F680, F$1:F680&lt;&gt;""""),COUNTA(FILTER(F$1:F680, F$1:F680&lt;&gt;""""))))-1), IF('To Order'!$A681=COLUMNS($A681:F"&amp;"700), F680&amp;RIGHT(INDIRECT(ADDRESS(ROW(F681)-1, 'From Order'!$A681)), 1), F680))"),"")</f>
        <v/>
      </c>
      <c r="G681" s="2" t="str">
        <f>IFERROR(__xludf.DUMMYFUNCTION("IF('From Order'!$A681=COLUMNS($A681:G700), LEFT(INDEX(FILTER(G$1:G680, G$1:G680&lt;&gt;""""),COUNTA(FILTER(G$1:G680, G$1:G680&lt;&gt;""""))), LEN(INDEX(FILTER(G$1:G680, G$1:G680&lt;&gt;""""),COUNTA(FILTER(G$1:G680, G$1:G680&lt;&gt;""""))))-1), IF('To Order'!$A681=COLUMNS($A681:G"&amp;"700), G680&amp;RIGHT(INDIRECT(ADDRESS(ROW(G681)-1, 'From Order'!$A681)), 1), G680))"),"DTRLRQPDSSGHWPBCVDRWTDJLBSGDTLSFBBFMHZR")</f>
        <v>DTRLRQPDSSGHWPBCVDRWTDJLBSGDTLSFBBFMHZR</v>
      </c>
      <c r="H681" s="2" t="str">
        <f>IFERROR(__xludf.DUMMYFUNCTION("IF('From Order'!$A681=COLUMNS($A681:H700), LEFT(INDEX(FILTER(H$1:H680, H$1:H680&lt;&gt;""""),COUNTA(FILTER(H$1:H680, H$1:H680&lt;&gt;""""))), LEN(INDEX(FILTER(H$1:H680, H$1:H680&lt;&gt;""""),COUNTA(FILTER(H$1:H680, H$1:H680&lt;&gt;""""))))-1), IF('To Order'!$A681=COLUMNS($A681:H"&amp;"700), H680&amp;RIGHT(INDIRECT(ADDRESS(ROW(H681)-1, 'From Order'!$A681)), 1), H680))"),"ZMDTCJT")</f>
        <v>ZMDTCJT</v>
      </c>
      <c r="I681" s="2" t="str">
        <f>IFERROR(__xludf.DUMMYFUNCTION("IF('From Order'!$A681=COLUMNS($A681:I700), LEFT(INDEX(FILTER(I$1:I680, I$1:I680&lt;&gt;""""),COUNTA(FILTER(I$1:I680, I$1:I680&lt;&gt;""""))), LEN(INDEX(FILTER(I$1:I680, I$1:I680&lt;&gt;""""),COUNTA(FILTER(I$1:I680, I$1:I680&lt;&gt;""""))))-1), IF('To Order'!$A681=COLUMNS($A681:I"&amp;"700), I680&amp;RIGHT(INDIRECT(ADDRESS(ROW(I681)-1, 'From Order'!$A681)), 1), I680))"),"VPV")</f>
        <v>VPV</v>
      </c>
    </row>
    <row r="682">
      <c r="A682" s="2" t="str">
        <f>IFERROR(__xludf.DUMMYFUNCTION("IF('From Order'!$A682=COLUMNS($A682:A701), LEFT(INDEX(FILTER(A$1:A681, A$1:A681&lt;&gt;""""),COUNTA(FILTER(A$1:A681, A$1:A681&lt;&gt;""""))), LEN(INDEX(FILTER(A$1:A681, A$1:A681&lt;&gt;""""),COUNTA(FILTER(A$1:A681, A$1:A681&lt;&gt;""""))))-1), IF('To Order'!$A682=COLUMNS($A682:A"&amp;"701), A681&amp;RIGHT(INDIRECT(ADDRESS(ROW(A682)-1, 'From Order'!$A682)), 1), A681))"),"")</f>
        <v/>
      </c>
      <c r="B682" s="2" t="str">
        <f>IFERROR(__xludf.DUMMYFUNCTION("IF('From Order'!$A682=COLUMNS($A682:B701), LEFT(INDEX(FILTER(B$1:B681, B$1:B681&lt;&gt;""""),COUNTA(FILTER(B$1:B681, B$1:B681&lt;&gt;""""))), LEN(INDEX(FILTER(B$1:B681, B$1:B681&lt;&gt;""""),COUNTA(FILTER(B$1:B681, B$1:B681&lt;&gt;""""))))-1), IF('To Order'!$A682=COLUMNS($A682:B"&amp;"701), B681&amp;RIGHT(INDIRECT(ADDRESS(ROW(B682)-1, 'From Order'!$A682)), 1), B681))"),"JZR")</f>
        <v>JZR</v>
      </c>
      <c r="C682" s="2" t="str">
        <f>IFERROR(__xludf.DUMMYFUNCTION("IF('From Order'!$A682=COLUMNS($A682:C701), LEFT(INDEX(FILTER(C$1:C681, C$1:C681&lt;&gt;""""),COUNTA(FILTER(C$1:C681, C$1:C681&lt;&gt;""""))), LEN(INDEX(FILTER(C$1:C681, C$1:C681&lt;&gt;""""),COUNTA(FILTER(C$1:C681, C$1:C681&lt;&gt;""""))))-1), IF('To Order'!$A682=COLUMNS($A682:C"&amp;"701), C681&amp;RIGHT(INDIRECT(ADDRESS(ROW(C682)-1, 'From Order'!$A682)), 1), C681))"),"")</f>
        <v/>
      </c>
      <c r="D682" s="2" t="str">
        <f>IFERROR(__xludf.DUMMYFUNCTION("IF('From Order'!$A682=COLUMNS($A682:D701), LEFT(INDEX(FILTER(D$1:D681, D$1:D681&lt;&gt;""""),COUNTA(FILTER(D$1:D681, D$1:D681&lt;&gt;""""))), LEN(INDEX(FILTER(D$1:D681, D$1:D681&lt;&gt;""""),COUNTA(FILTER(D$1:D681, D$1:D681&lt;&gt;""""))))-1), IF('To Order'!$A682=COLUMNS($A682:D"&amp;"701), D681&amp;RIGHT(INDIRECT(ADDRESS(ROW(D682)-1, 'From Order'!$A682)), 1), D681))"),"TMQ")</f>
        <v>TMQ</v>
      </c>
      <c r="E682" s="2" t="str">
        <f>IFERROR(__xludf.DUMMYFUNCTION("IF('From Order'!$A682=COLUMNS($A682:E701), LEFT(INDEX(FILTER(E$1:E681, E$1:E681&lt;&gt;""""),COUNTA(FILTER(E$1:E681, E$1:E681&lt;&gt;""""))), LEN(INDEX(FILTER(E$1:E681, E$1:E681&lt;&gt;""""),COUNTA(FILTER(E$1:E681, E$1:E681&lt;&gt;""""))))-1), IF('To Order'!$A682=COLUMNS($A682:E"&amp;"701), E681&amp;RIGHT(INDIRECT(ADDRESS(ROW(E682)-1, 'From Order'!$A682)), 1), E681))"),"C")</f>
        <v>C</v>
      </c>
      <c r="F682" s="2" t="str">
        <f>IFERROR(__xludf.DUMMYFUNCTION("IF('From Order'!$A682=COLUMNS($A682:F701), LEFT(INDEX(FILTER(F$1:F681, F$1:F681&lt;&gt;""""),COUNTA(FILTER(F$1:F681, F$1:F681&lt;&gt;""""))), LEN(INDEX(FILTER(F$1:F681, F$1:F681&lt;&gt;""""),COUNTA(FILTER(F$1:F681, F$1:F681&lt;&gt;""""))))-1), IF('To Order'!$A682=COLUMNS($A682:F"&amp;"701), F681&amp;RIGHT(INDIRECT(ADDRESS(ROW(F682)-1, 'From Order'!$A682)), 1), F681))"),"")</f>
        <v/>
      </c>
      <c r="G682" s="2" t="str">
        <f>IFERROR(__xludf.DUMMYFUNCTION("IF('From Order'!$A682=COLUMNS($A682:G701), LEFT(INDEX(FILTER(G$1:G681, G$1:G681&lt;&gt;""""),COUNTA(FILTER(G$1:G681, G$1:G681&lt;&gt;""""))), LEN(INDEX(FILTER(G$1:G681, G$1:G681&lt;&gt;""""),COUNTA(FILTER(G$1:G681, G$1:G681&lt;&gt;""""))))-1), IF('To Order'!$A682=COLUMNS($A682:G"&amp;"701), G681&amp;RIGHT(INDIRECT(ADDRESS(ROW(G682)-1, 'From Order'!$A682)), 1), G681))"),"DTRLRQPDSSGHWPBCVDRWTDJLBSGDTLSFBBFMHZ")</f>
        <v>DTRLRQPDSSGHWPBCVDRWTDJLBSGDTLSFBBFMHZ</v>
      </c>
      <c r="H682" s="2" t="str">
        <f>IFERROR(__xludf.DUMMYFUNCTION("IF('From Order'!$A682=COLUMNS($A682:H701), LEFT(INDEX(FILTER(H$1:H681, H$1:H681&lt;&gt;""""),COUNTA(FILTER(H$1:H681, H$1:H681&lt;&gt;""""))), LEN(INDEX(FILTER(H$1:H681, H$1:H681&lt;&gt;""""),COUNTA(FILTER(H$1:H681, H$1:H681&lt;&gt;""""))))-1), IF('To Order'!$A682=COLUMNS($A682:H"&amp;"701), H681&amp;RIGHT(INDIRECT(ADDRESS(ROW(H682)-1, 'From Order'!$A682)), 1), H681))"),"ZMDTCJT")</f>
        <v>ZMDTCJT</v>
      </c>
      <c r="I682" s="2" t="str">
        <f>IFERROR(__xludf.DUMMYFUNCTION("IF('From Order'!$A682=COLUMNS($A682:I701), LEFT(INDEX(FILTER(I$1:I681, I$1:I681&lt;&gt;""""),COUNTA(FILTER(I$1:I681, I$1:I681&lt;&gt;""""))), LEN(INDEX(FILTER(I$1:I681, I$1:I681&lt;&gt;""""),COUNTA(FILTER(I$1:I681, I$1:I681&lt;&gt;""""))))-1), IF('To Order'!$A682=COLUMNS($A682:I"&amp;"701), I681&amp;RIGHT(INDIRECT(ADDRESS(ROW(I682)-1, 'From Order'!$A682)), 1), I681))"),"VPVR")</f>
        <v>VPVR</v>
      </c>
    </row>
    <row r="683">
      <c r="A683" s="2" t="str">
        <f>IFERROR(__xludf.DUMMYFUNCTION("IF('From Order'!$A683=COLUMNS($A683:A702), LEFT(INDEX(FILTER(A$1:A682, A$1:A682&lt;&gt;""""),COUNTA(FILTER(A$1:A682, A$1:A682&lt;&gt;""""))), LEN(INDEX(FILTER(A$1:A682, A$1:A682&lt;&gt;""""),COUNTA(FILTER(A$1:A682, A$1:A682&lt;&gt;""""))))-1), IF('To Order'!$A683=COLUMNS($A683:A"&amp;"702), A682&amp;RIGHT(INDIRECT(ADDRESS(ROW(A683)-1, 'From Order'!$A683)), 1), A682))"),"")</f>
        <v/>
      </c>
      <c r="B683" s="2" t="str">
        <f>IFERROR(__xludf.DUMMYFUNCTION("IF('From Order'!$A683=COLUMNS($A683:B702), LEFT(INDEX(FILTER(B$1:B682, B$1:B682&lt;&gt;""""),COUNTA(FILTER(B$1:B682, B$1:B682&lt;&gt;""""))), LEN(INDEX(FILTER(B$1:B682, B$1:B682&lt;&gt;""""),COUNTA(FILTER(B$1:B682, B$1:B682&lt;&gt;""""))))-1), IF('To Order'!$A683=COLUMNS($A683:B"&amp;"702), B682&amp;RIGHT(INDIRECT(ADDRESS(ROW(B683)-1, 'From Order'!$A683)), 1), B682))"),"JZR")</f>
        <v>JZR</v>
      </c>
      <c r="C683" s="2" t="str">
        <f>IFERROR(__xludf.DUMMYFUNCTION("IF('From Order'!$A683=COLUMNS($A683:C702), LEFT(INDEX(FILTER(C$1:C682, C$1:C682&lt;&gt;""""),COUNTA(FILTER(C$1:C682, C$1:C682&lt;&gt;""""))), LEN(INDEX(FILTER(C$1:C682, C$1:C682&lt;&gt;""""),COUNTA(FILTER(C$1:C682, C$1:C682&lt;&gt;""""))))-1), IF('To Order'!$A683=COLUMNS($A683:C"&amp;"702), C682&amp;RIGHT(INDIRECT(ADDRESS(ROW(C683)-1, 'From Order'!$A683)), 1), C682))"),"")</f>
        <v/>
      </c>
      <c r="D683" s="2" t="str">
        <f>IFERROR(__xludf.DUMMYFUNCTION("IF('From Order'!$A683=COLUMNS($A683:D702), LEFT(INDEX(FILTER(D$1:D682, D$1:D682&lt;&gt;""""),COUNTA(FILTER(D$1:D682, D$1:D682&lt;&gt;""""))), LEN(INDEX(FILTER(D$1:D682, D$1:D682&lt;&gt;""""),COUNTA(FILTER(D$1:D682, D$1:D682&lt;&gt;""""))))-1), IF('To Order'!$A683=COLUMNS($A683:D"&amp;"702), D682&amp;RIGHT(INDIRECT(ADDRESS(ROW(D683)-1, 'From Order'!$A683)), 1), D682))"),"TMQ")</f>
        <v>TMQ</v>
      </c>
      <c r="E683" s="2" t="str">
        <f>IFERROR(__xludf.DUMMYFUNCTION("IF('From Order'!$A683=COLUMNS($A683:E702), LEFT(INDEX(FILTER(E$1:E682, E$1:E682&lt;&gt;""""),COUNTA(FILTER(E$1:E682, E$1:E682&lt;&gt;""""))), LEN(INDEX(FILTER(E$1:E682, E$1:E682&lt;&gt;""""),COUNTA(FILTER(E$1:E682, E$1:E682&lt;&gt;""""))))-1), IF('To Order'!$A683=COLUMNS($A683:E"&amp;"702), E682&amp;RIGHT(INDIRECT(ADDRESS(ROW(E683)-1, 'From Order'!$A683)), 1), E682))"),"C")</f>
        <v>C</v>
      </c>
      <c r="F683" s="2" t="str">
        <f>IFERROR(__xludf.DUMMYFUNCTION("IF('From Order'!$A683=COLUMNS($A683:F702), LEFT(INDEX(FILTER(F$1:F682, F$1:F682&lt;&gt;""""),COUNTA(FILTER(F$1:F682, F$1:F682&lt;&gt;""""))), LEN(INDEX(FILTER(F$1:F682, F$1:F682&lt;&gt;""""),COUNTA(FILTER(F$1:F682, F$1:F682&lt;&gt;""""))))-1), IF('To Order'!$A683=COLUMNS($A683:F"&amp;"702), F682&amp;RIGHT(INDIRECT(ADDRESS(ROW(F683)-1, 'From Order'!$A683)), 1), F682))"),"")</f>
        <v/>
      </c>
      <c r="G683" s="2" t="str">
        <f>IFERROR(__xludf.DUMMYFUNCTION("IF('From Order'!$A683=COLUMNS($A683:G702), LEFT(INDEX(FILTER(G$1:G682, G$1:G682&lt;&gt;""""),COUNTA(FILTER(G$1:G682, G$1:G682&lt;&gt;""""))), LEN(INDEX(FILTER(G$1:G682, G$1:G682&lt;&gt;""""),COUNTA(FILTER(G$1:G682, G$1:G682&lt;&gt;""""))))-1), IF('To Order'!$A683=COLUMNS($A683:G"&amp;"702), G682&amp;RIGHT(INDIRECT(ADDRESS(ROW(G683)-1, 'From Order'!$A683)), 1), G682))"),"DTRLRQPDSSGHWPBCVDRWTDJLBSGDTLSFBBFMH")</f>
        <v>DTRLRQPDSSGHWPBCVDRWTDJLBSGDTLSFBBFMH</v>
      </c>
      <c r="H683" s="2" t="str">
        <f>IFERROR(__xludf.DUMMYFUNCTION("IF('From Order'!$A683=COLUMNS($A683:H702), LEFT(INDEX(FILTER(H$1:H682, H$1:H682&lt;&gt;""""),COUNTA(FILTER(H$1:H682, H$1:H682&lt;&gt;""""))), LEN(INDEX(FILTER(H$1:H682, H$1:H682&lt;&gt;""""),COUNTA(FILTER(H$1:H682, H$1:H682&lt;&gt;""""))))-1), IF('To Order'!$A683=COLUMNS($A683:H"&amp;"702), H682&amp;RIGHT(INDIRECT(ADDRESS(ROW(H683)-1, 'From Order'!$A683)), 1), H682))"),"ZMDTCJT")</f>
        <v>ZMDTCJT</v>
      </c>
      <c r="I683" s="2" t="str">
        <f>IFERROR(__xludf.DUMMYFUNCTION("IF('From Order'!$A683=COLUMNS($A683:I702), LEFT(INDEX(FILTER(I$1:I682, I$1:I682&lt;&gt;""""),COUNTA(FILTER(I$1:I682, I$1:I682&lt;&gt;""""))), LEN(INDEX(FILTER(I$1:I682, I$1:I682&lt;&gt;""""),COUNTA(FILTER(I$1:I682, I$1:I682&lt;&gt;""""))))-1), IF('To Order'!$A683=COLUMNS($A683:I"&amp;"702), I682&amp;RIGHT(INDIRECT(ADDRESS(ROW(I683)-1, 'From Order'!$A683)), 1), I682))"),"VPVRZ")</f>
        <v>VPVRZ</v>
      </c>
    </row>
    <row r="684">
      <c r="A684" s="2" t="str">
        <f>IFERROR(__xludf.DUMMYFUNCTION("IF('From Order'!$A684=COLUMNS($A684:A703), LEFT(INDEX(FILTER(A$1:A683, A$1:A683&lt;&gt;""""),COUNTA(FILTER(A$1:A683, A$1:A683&lt;&gt;""""))), LEN(INDEX(FILTER(A$1:A683, A$1:A683&lt;&gt;""""),COUNTA(FILTER(A$1:A683, A$1:A683&lt;&gt;""""))))-1), IF('To Order'!$A684=COLUMNS($A684:A"&amp;"703), A683&amp;RIGHT(INDIRECT(ADDRESS(ROW(A684)-1, 'From Order'!$A684)), 1), A683))"),"")</f>
        <v/>
      </c>
      <c r="B684" s="2" t="str">
        <f>IFERROR(__xludf.DUMMYFUNCTION("IF('From Order'!$A684=COLUMNS($A684:B703), LEFT(INDEX(FILTER(B$1:B683, B$1:B683&lt;&gt;""""),COUNTA(FILTER(B$1:B683, B$1:B683&lt;&gt;""""))), LEN(INDEX(FILTER(B$1:B683, B$1:B683&lt;&gt;""""),COUNTA(FILTER(B$1:B683, B$1:B683&lt;&gt;""""))))-1), IF('To Order'!$A684=COLUMNS($A684:B"&amp;"703), B683&amp;RIGHT(INDIRECT(ADDRESS(ROW(B684)-1, 'From Order'!$A684)), 1), B683))"),"JZR")</f>
        <v>JZR</v>
      </c>
      <c r="C684" s="2" t="str">
        <f>IFERROR(__xludf.DUMMYFUNCTION("IF('From Order'!$A684=COLUMNS($A684:C703), LEFT(INDEX(FILTER(C$1:C683, C$1:C683&lt;&gt;""""),COUNTA(FILTER(C$1:C683, C$1:C683&lt;&gt;""""))), LEN(INDEX(FILTER(C$1:C683, C$1:C683&lt;&gt;""""),COUNTA(FILTER(C$1:C683, C$1:C683&lt;&gt;""""))))-1), IF('To Order'!$A684=COLUMNS($A684:C"&amp;"703), C683&amp;RIGHT(INDIRECT(ADDRESS(ROW(C684)-1, 'From Order'!$A684)), 1), C683))"),"")</f>
        <v/>
      </c>
      <c r="D684" s="2" t="str">
        <f>IFERROR(__xludf.DUMMYFUNCTION("IF('From Order'!$A684=COLUMNS($A684:D703), LEFT(INDEX(FILTER(D$1:D683, D$1:D683&lt;&gt;""""),COUNTA(FILTER(D$1:D683, D$1:D683&lt;&gt;""""))), LEN(INDEX(FILTER(D$1:D683, D$1:D683&lt;&gt;""""),COUNTA(FILTER(D$1:D683, D$1:D683&lt;&gt;""""))))-1), IF('To Order'!$A684=COLUMNS($A684:D"&amp;"703), D683&amp;RIGHT(INDIRECT(ADDRESS(ROW(D684)-1, 'From Order'!$A684)), 1), D683))"),"TMQ")</f>
        <v>TMQ</v>
      </c>
      <c r="E684" s="2" t="str">
        <f>IFERROR(__xludf.DUMMYFUNCTION("IF('From Order'!$A684=COLUMNS($A684:E703), LEFT(INDEX(FILTER(E$1:E683, E$1:E683&lt;&gt;""""),COUNTA(FILTER(E$1:E683, E$1:E683&lt;&gt;""""))), LEN(INDEX(FILTER(E$1:E683, E$1:E683&lt;&gt;""""),COUNTA(FILTER(E$1:E683, E$1:E683&lt;&gt;""""))))-1), IF('To Order'!$A684=COLUMNS($A684:E"&amp;"703), E683&amp;RIGHT(INDIRECT(ADDRESS(ROW(E684)-1, 'From Order'!$A684)), 1), E683))"),"C")</f>
        <v>C</v>
      </c>
      <c r="F684" s="2" t="str">
        <f>IFERROR(__xludf.DUMMYFUNCTION("IF('From Order'!$A684=COLUMNS($A684:F703), LEFT(INDEX(FILTER(F$1:F683, F$1:F683&lt;&gt;""""),COUNTA(FILTER(F$1:F683, F$1:F683&lt;&gt;""""))), LEN(INDEX(FILTER(F$1:F683, F$1:F683&lt;&gt;""""),COUNTA(FILTER(F$1:F683, F$1:F683&lt;&gt;""""))))-1), IF('To Order'!$A684=COLUMNS($A684:F"&amp;"703), F683&amp;RIGHT(INDIRECT(ADDRESS(ROW(F684)-1, 'From Order'!$A684)), 1), F683))"),"")</f>
        <v/>
      </c>
      <c r="G684" s="2" t="str">
        <f>IFERROR(__xludf.DUMMYFUNCTION("IF('From Order'!$A684=COLUMNS($A684:G703), LEFT(INDEX(FILTER(G$1:G683, G$1:G683&lt;&gt;""""),COUNTA(FILTER(G$1:G683, G$1:G683&lt;&gt;""""))), LEN(INDEX(FILTER(G$1:G683, G$1:G683&lt;&gt;""""),COUNTA(FILTER(G$1:G683, G$1:G683&lt;&gt;""""))))-1), IF('To Order'!$A684=COLUMNS($A684:G"&amp;"703), G683&amp;RIGHT(INDIRECT(ADDRESS(ROW(G684)-1, 'From Order'!$A684)), 1), G683))"),"DTRLRQPDSSGHWPBCVDRWTDJLBSGDTLSFBBFM")</f>
        <v>DTRLRQPDSSGHWPBCVDRWTDJLBSGDTLSFBBFM</v>
      </c>
      <c r="H684" s="2" t="str">
        <f>IFERROR(__xludf.DUMMYFUNCTION("IF('From Order'!$A684=COLUMNS($A684:H703), LEFT(INDEX(FILTER(H$1:H683, H$1:H683&lt;&gt;""""),COUNTA(FILTER(H$1:H683, H$1:H683&lt;&gt;""""))), LEN(INDEX(FILTER(H$1:H683, H$1:H683&lt;&gt;""""),COUNTA(FILTER(H$1:H683, H$1:H683&lt;&gt;""""))))-1), IF('To Order'!$A684=COLUMNS($A684:H"&amp;"703), H683&amp;RIGHT(INDIRECT(ADDRESS(ROW(H684)-1, 'From Order'!$A684)), 1), H683))"),"ZMDTCJT")</f>
        <v>ZMDTCJT</v>
      </c>
      <c r="I684" s="2" t="str">
        <f>IFERROR(__xludf.DUMMYFUNCTION("IF('From Order'!$A684=COLUMNS($A684:I703), LEFT(INDEX(FILTER(I$1:I683, I$1:I683&lt;&gt;""""),COUNTA(FILTER(I$1:I683, I$1:I683&lt;&gt;""""))), LEN(INDEX(FILTER(I$1:I683, I$1:I683&lt;&gt;""""),COUNTA(FILTER(I$1:I683, I$1:I683&lt;&gt;""""))))-1), IF('To Order'!$A684=COLUMNS($A684:I"&amp;"703), I683&amp;RIGHT(INDIRECT(ADDRESS(ROW(I684)-1, 'From Order'!$A684)), 1), I683))"),"VPVRZH")</f>
        <v>VPVRZH</v>
      </c>
    </row>
    <row r="685">
      <c r="A685" s="2" t="str">
        <f>IFERROR(__xludf.DUMMYFUNCTION("IF('From Order'!$A685=COLUMNS($A685:A704), LEFT(INDEX(FILTER(A$1:A684, A$1:A684&lt;&gt;""""),COUNTA(FILTER(A$1:A684, A$1:A684&lt;&gt;""""))), LEN(INDEX(FILTER(A$1:A684, A$1:A684&lt;&gt;""""),COUNTA(FILTER(A$1:A684, A$1:A684&lt;&gt;""""))))-1), IF('To Order'!$A685=COLUMNS($A685:A"&amp;"704), A684&amp;RIGHT(INDIRECT(ADDRESS(ROW(A685)-1, 'From Order'!$A685)), 1), A684))"),"")</f>
        <v/>
      </c>
      <c r="B685" s="2" t="str">
        <f>IFERROR(__xludf.DUMMYFUNCTION("IF('From Order'!$A685=COLUMNS($A685:B704), LEFT(INDEX(FILTER(B$1:B684, B$1:B684&lt;&gt;""""),COUNTA(FILTER(B$1:B684, B$1:B684&lt;&gt;""""))), LEN(INDEX(FILTER(B$1:B684, B$1:B684&lt;&gt;""""),COUNTA(FILTER(B$1:B684, B$1:B684&lt;&gt;""""))))-1), IF('To Order'!$A685=COLUMNS($A685:B"&amp;"704), B684&amp;RIGHT(INDIRECT(ADDRESS(ROW(B685)-1, 'From Order'!$A685)), 1), B684))"),"JZR")</f>
        <v>JZR</v>
      </c>
      <c r="C685" s="2" t="str">
        <f>IFERROR(__xludf.DUMMYFUNCTION("IF('From Order'!$A685=COLUMNS($A685:C704), LEFT(INDEX(FILTER(C$1:C684, C$1:C684&lt;&gt;""""),COUNTA(FILTER(C$1:C684, C$1:C684&lt;&gt;""""))), LEN(INDEX(FILTER(C$1:C684, C$1:C684&lt;&gt;""""),COUNTA(FILTER(C$1:C684, C$1:C684&lt;&gt;""""))))-1), IF('To Order'!$A685=COLUMNS($A685:C"&amp;"704), C684&amp;RIGHT(INDIRECT(ADDRESS(ROW(C685)-1, 'From Order'!$A685)), 1), C684))"),"")</f>
        <v/>
      </c>
      <c r="D685" s="2" t="str">
        <f>IFERROR(__xludf.DUMMYFUNCTION("IF('From Order'!$A685=COLUMNS($A685:D704), LEFT(INDEX(FILTER(D$1:D684, D$1:D684&lt;&gt;""""),COUNTA(FILTER(D$1:D684, D$1:D684&lt;&gt;""""))), LEN(INDEX(FILTER(D$1:D684, D$1:D684&lt;&gt;""""),COUNTA(FILTER(D$1:D684, D$1:D684&lt;&gt;""""))))-1), IF('To Order'!$A685=COLUMNS($A685:D"&amp;"704), D684&amp;RIGHT(INDIRECT(ADDRESS(ROW(D685)-1, 'From Order'!$A685)), 1), D684))"),"TMQ")</f>
        <v>TMQ</v>
      </c>
      <c r="E685" s="2" t="str">
        <f>IFERROR(__xludf.DUMMYFUNCTION("IF('From Order'!$A685=COLUMNS($A685:E704), LEFT(INDEX(FILTER(E$1:E684, E$1:E684&lt;&gt;""""),COUNTA(FILTER(E$1:E684, E$1:E684&lt;&gt;""""))), LEN(INDEX(FILTER(E$1:E684, E$1:E684&lt;&gt;""""),COUNTA(FILTER(E$1:E684, E$1:E684&lt;&gt;""""))))-1), IF('To Order'!$A685=COLUMNS($A685:E"&amp;"704), E684&amp;RIGHT(INDIRECT(ADDRESS(ROW(E685)-1, 'From Order'!$A685)), 1), E684))"),"C")</f>
        <v>C</v>
      </c>
      <c r="F685" s="2" t="str">
        <f>IFERROR(__xludf.DUMMYFUNCTION("IF('From Order'!$A685=COLUMNS($A685:F704), LEFT(INDEX(FILTER(F$1:F684, F$1:F684&lt;&gt;""""),COUNTA(FILTER(F$1:F684, F$1:F684&lt;&gt;""""))), LEN(INDEX(FILTER(F$1:F684, F$1:F684&lt;&gt;""""),COUNTA(FILTER(F$1:F684, F$1:F684&lt;&gt;""""))))-1), IF('To Order'!$A685=COLUMNS($A685:F"&amp;"704), F684&amp;RIGHT(INDIRECT(ADDRESS(ROW(F685)-1, 'From Order'!$A685)), 1), F684))"),"")</f>
        <v/>
      </c>
      <c r="G685" s="2" t="str">
        <f>IFERROR(__xludf.DUMMYFUNCTION("IF('From Order'!$A685=COLUMNS($A685:G704), LEFT(INDEX(FILTER(G$1:G684, G$1:G684&lt;&gt;""""),COUNTA(FILTER(G$1:G684, G$1:G684&lt;&gt;""""))), LEN(INDEX(FILTER(G$1:G684, G$1:G684&lt;&gt;""""),COUNTA(FILTER(G$1:G684, G$1:G684&lt;&gt;""""))))-1), IF('To Order'!$A685=COLUMNS($A685:G"&amp;"704), G684&amp;RIGHT(INDIRECT(ADDRESS(ROW(G685)-1, 'From Order'!$A685)), 1), G684))"),"DTRLRQPDSSGHWPBCVDRWTDJLBSGDTLSFBBF")</f>
        <v>DTRLRQPDSSGHWPBCVDRWTDJLBSGDTLSFBBF</v>
      </c>
      <c r="H685" s="2" t="str">
        <f>IFERROR(__xludf.DUMMYFUNCTION("IF('From Order'!$A685=COLUMNS($A685:H704), LEFT(INDEX(FILTER(H$1:H684, H$1:H684&lt;&gt;""""),COUNTA(FILTER(H$1:H684, H$1:H684&lt;&gt;""""))), LEN(INDEX(FILTER(H$1:H684, H$1:H684&lt;&gt;""""),COUNTA(FILTER(H$1:H684, H$1:H684&lt;&gt;""""))))-1), IF('To Order'!$A685=COLUMNS($A685:H"&amp;"704), H684&amp;RIGHT(INDIRECT(ADDRESS(ROW(H685)-1, 'From Order'!$A685)), 1), H684))"),"ZMDTCJT")</f>
        <v>ZMDTCJT</v>
      </c>
      <c r="I685" s="2" t="str">
        <f>IFERROR(__xludf.DUMMYFUNCTION("IF('From Order'!$A685=COLUMNS($A685:I704), LEFT(INDEX(FILTER(I$1:I684, I$1:I684&lt;&gt;""""),COUNTA(FILTER(I$1:I684, I$1:I684&lt;&gt;""""))), LEN(INDEX(FILTER(I$1:I684, I$1:I684&lt;&gt;""""),COUNTA(FILTER(I$1:I684, I$1:I684&lt;&gt;""""))))-1), IF('To Order'!$A685=COLUMNS($A685:I"&amp;"704), I684&amp;RIGHT(INDIRECT(ADDRESS(ROW(I685)-1, 'From Order'!$A685)), 1), I684))"),"VPVRZHM")</f>
        <v>VPVRZHM</v>
      </c>
    </row>
    <row r="686">
      <c r="A686" s="2" t="str">
        <f>IFERROR(__xludf.DUMMYFUNCTION("IF('From Order'!$A686=COLUMNS($A686:A705), LEFT(INDEX(FILTER(A$1:A685, A$1:A685&lt;&gt;""""),COUNTA(FILTER(A$1:A685, A$1:A685&lt;&gt;""""))), LEN(INDEX(FILTER(A$1:A685, A$1:A685&lt;&gt;""""),COUNTA(FILTER(A$1:A685, A$1:A685&lt;&gt;""""))))-1), IF('To Order'!$A686=COLUMNS($A686:A"&amp;"705), A685&amp;RIGHT(INDIRECT(ADDRESS(ROW(A686)-1, 'From Order'!$A686)), 1), A685))"),"")</f>
        <v/>
      </c>
      <c r="B686" s="2" t="str">
        <f>IFERROR(__xludf.DUMMYFUNCTION("IF('From Order'!$A686=COLUMNS($A686:B705), LEFT(INDEX(FILTER(B$1:B685, B$1:B685&lt;&gt;""""),COUNTA(FILTER(B$1:B685, B$1:B685&lt;&gt;""""))), LEN(INDEX(FILTER(B$1:B685, B$1:B685&lt;&gt;""""),COUNTA(FILTER(B$1:B685, B$1:B685&lt;&gt;""""))))-1), IF('To Order'!$A686=COLUMNS($A686:B"&amp;"705), B685&amp;RIGHT(INDIRECT(ADDRESS(ROW(B686)-1, 'From Order'!$A686)), 1), B685))"),"JZR")</f>
        <v>JZR</v>
      </c>
      <c r="C686" s="2" t="str">
        <f>IFERROR(__xludf.DUMMYFUNCTION("IF('From Order'!$A686=COLUMNS($A686:C705), LEFT(INDEX(FILTER(C$1:C685, C$1:C685&lt;&gt;""""),COUNTA(FILTER(C$1:C685, C$1:C685&lt;&gt;""""))), LEN(INDEX(FILTER(C$1:C685, C$1:C685&lt;&gt;""""),COUNTA(FILTER(C$1:C685, C$1:C685&lt;&gt;""""))))-1), IF('To Order'!$A686=COLUMNS($A686:C"&amp;"705), C685&amp;RIGHT(INDIRECT(ADDRESS(ROW(C686)-1, 'From Order'!$A686)), 1), C685))"),"")</f>
        <v/>
      </c>
      <c r="D686" s="2" t="str">
        <f>IFERROR(__xludf.DUMMYFUNCTION("IF('From Order'!$A686=COLUMNS($A686:D705), LEFT(INDEX(FILTER(D$1:D685, D$1:D685&lt;&gt;""""),COUNTA(FILTER(D$1:D685, D$1:D685&lt;&gt;""""))), LEN(INDEX(FILTER(D$1:D685, D$1:D685&lt;&gt;""""),COUNTA(FILTER(D$1:D685, D$1:D685&lt;&gt;""""))))-1), IF('To Order'!$A686=COLUMNS($A686:D"&amp;"705), D685&amp;RIGHT(INDIRECT(ADDRESS(ROW(D686)-1, 'From Order'!$A686)), 1), D685))"),"TMQ")</f>
        <v>TMQ</v>
      </c>
      <c r="E686" s="2" t="str">
        <f>IFERROR(__xludf.DUMMYFUNCTION("IF('From Order'!$A686=COLUMNS($A686:E705), LEFT(INDEX(FILTER(E$1:E685, E$1:E685&lt;&gt;""""),COUNTA(FILTER(E$1:E685, E$1:E685&lt;&gt;""""))), LEN(INDEX(FILTER(E$1:E685, E$1:E685&lt;&gt;""""),COUNTA(FILTER(E$1:E685, E$1:E685&lt;&gt;""""))))-1), IF('To Order'!$A686=COLUMNS($A686:E"&amp;"705), E685&amp;RIGHT(INDIRECT(ADDRESS(ROW(E686)-1, 'From Order'!$A686)), 1), E685))"),"C")</f>
        <v>C</v>
      </c>
      <c r="F686" s="2" t="str">
        <f>IFERROR(__xludf.DUMMYFUNCTION("IF('From Order'!$A686=COLUMNS($A686:F705), LEFT(INDEX(FILTER(F$1:F685, F$1:F685&lt;&gt;""""),COUNTA(FILTER(F$1:F685, F$1:F685&lt;&gt;""""))), LEN(INDEX(FILTER(F$1:F685, F$1:F685&lt;&gt;""""),COUNTA(FILTER(F$1:F685, F$1:F685&lt;&gt;""""))))-1), IF('To Order'!$A686=COLUMNS($A686:F"&amp;"705), F685&amp;RIGHT(INDIRECT(ADDRESS(ROW(F686)-1, 'From Order'!$A686)), 1), F685))"),"")</f>
        <v/>
      </c>
      <c r="G686" s="2" t="str">
        <f>IFERROR(__xludf.DUMMYFUNCTION("IF('From Order'!$A686=COLUMNS($A686:G705), LEFT(INDEX(FILTER(G$1:G685, G$1:G685&lt;&gt;""""),COUNTA(FILTER(G$1:G685, G$1:G685&lt;&gt;""""))), LEN(INDEX(FILTER(G$1:G685, G$1:G685&lt;&gt;""""),COUNTA(FILTER(G$1:G685, G$1:G685&lt;&gt;""""))))-1), IF('To Order'!$A686=COLUMNS($A686:G"&amp;"705), G685&amp;RIGHT(INDIRECT(ADDRESS(ROW(G686)-1, 'From Order'!$A686)), 1), G685))"),"DTRLRQPDSSGHWPBCVDRWTDJLBSGDTLSFBB")</f>
        <v>DTRLRQPDSSGHWPBCVDRWTDJLBSGDTLSFBB</v>
      </c>
      <c r="H686" s="2" t="str">
        <f>IFERROR(__xludf.DUMMYFUNCTION("IF('From Order'!$A686=COLUMNS($A686:H705), LEFT(INDEX(FILTER(H$1:H685, H$1:H685&lt;&gt;""""),COUNTA(FILTER(H$1:H685, H$1:H685&lt;&gt;""""))), LEN(INDEX(FILTER(H$1:H685, H$1:H685&lt;&gt;""""),COUNTA(FILTER(H$1:H685, H$1:H685&lt;&gt;""""))))-1), IF('To Order'!$A686=COLUMNS($A686:H"&amp;"705), H685&amp;RIGHT(INDIRECT(ADDRESS(ROW(H686)-1, 'From Order'!$A686)), 1), H685))"),"ZMDTCJT")</f>
        <v>ZMDTCJT</v>
      </c>
      <c r="I686" s="2" t="str">
        <f>IFERROR(__xludf.DUMMYFUNCTION("IF('From Order'!$A686=COLUMNS($A686:I705), LEFT(INDEX(FILTER(I$1:I685, I$1:I685&lt;&gt;""""),COUNTA(FILTER(I$1:I685, I$1:I685&lt;&gt;""""))), LEN(INDEX(FILTER(I$1:I685, I$1:I685&lt;&gt;""""),COUNTA(FILTER(I$1:I685, I$1:I685&lt;&gt;""""))))-1), IF('To Order'!$A686=COLUMNS($A686:I"&amp;"705), I685&amp;RIGHT(INDIRECT(ADDRESS(ROW(I686)-1, 'From Order'!$A686)), 1), I685))"),"VPVRZHMF")</f>
        <v>VPVRZHMF</v>
      </c>
    </row>
    <row r="687">
      <c r="A687" s="2" t="str">
        <f>IFERROR(__xludf.DUMMYFUNCTION("IF('From Order'!$A687=COLUMNS($A687:A706), LEFT(INDEX(FILTER(A$1:A686, A$1:A686&lt;&gt;""""),COUNTA(FILTER(A$1:A686, A$1:A686&lt;&gt;""""))), LEN(INDEX(FILTER(A$1:A686, A$1:A686&lt;&gt;""""),COUNTA(FILTER(A$1:A686, A$1:A686&lt;&gt;""""))))-1), IF('To Order'!$A687=COLUMNS($A687:A"&amp;"706), A686&amp;RIGHT(INDIRECT(ADDRESS(ROW(A687)-1, 'From Order'!$A687)), 1), A686))"),"")</f>
        <v/>
      </c>
      <c r="B687" s="2" t="str">
        <f>IFERROR(__xludf.DUMMYFUNCTION("IF('From Order'!$A687=COLUMNS($A687:B706), LEFT(INDEX(FILTER(B$1:B686, B$1:B686&lt;&gt;""""),COUNTA(FILTER(B$1:B686, B$1:B686&lt;&gt;""""))), LEN(INDEX(FILTER(B$1:B686, B$1:B686&lt;&gt;""""),COUNTA(FILTER(B$1:B686, B$1:B686&lt;&gt;""""))))-1), IF('To Order'!$A687=COLUMNS($A687:B"&amp;"706), B686&amp;RIGHT(INDIRECT(ADDRESS(ROW(B687)-1, 'From Order'!$A687)), 1), B686))"),"JZR")</f>
        <v>JZR</v>
      </c>
      <c r="C687" s="2" t="str">
        <f>IFERROR(__xludf.DUMMYFUNCTION("IF('From Order'!$A687=COLUMNS($A687:C706), LEFT(INDEX(FILTER(C$1:C686, C$1:C686&lt;&gt;""""),COUNTA(FILTER(C$1:C686, C$1:C686&lt;&gt;""""))), LEN(INDEX(FILTER(C$1:C686, C$1:C686&lt;&gt;""""),COUNTA(FILTER(C$1:C686, C$1:C686&lt;&gt;""""))))-1), IF('To Order'!$A687=COLUMNS($A687:C"&amp;"706), C686&amp;RIGHT(INDIRECT(ADDRESS(ROW(C687)-1, 'From Order'!$A687)), 1), C686))"),"")</f>
        <v/>
      </c>
      <c r="D687" s="2" t="str">
        <f>IFERROR(__xludf.DUMMYFUNCTION("IF('From Order'!$A687=COLUMNS($A687:D706), LEFT(INDEX(FILTER(D$1:D686, D$1:D686&lt;&gt;""""),COUNTA(FILTER(D$1:D686, D$1:D686&lt;&gt;""""))), LEN(INDEX(FILTER(D$1:D686, D$1:D686&lt;&gt;""""),COUNTA(FILTER(D$1:D686, D$1:D686&lt;&gt;""""))))-1), IF('To Order'!$A687=COLUMNS($A687:D"&amp;"706), D686&amp;RIGHT(INDIRECT(ADDRESS(ROW(D687)-1, 'From Order'!$A687)), 1), D686))"),"TMQ")</f>
        <v>TMQ</v>
      </c>
      <c r="E687" s="2" t="str">
        <f>IFERROR(__xludf.DUMMYFUNCTION("IF('From Order'!$A687=COLUMNS($A687:E706), LEFT(INDEX(FILTER(E$1:E686, E$1:E686&lt;&gt;""""),COUNTA(FILTER(E$1:E686, E$1:E686&lt;&gt;""""))), LEN(INDEX(FILTER(E$1:E686, E$1:E686&lt;&gt;""""),COUNTA(FILTER(E$1:E686, E$1:E686&lt;&gt;""""))))-1), IF('To Order'!$A687=COLUMNS($A687:E"&amp;"706), E686&amp;RIGHT(INDIRECT(ADDRESS(ROW(E687)-1, 'From Order'!$A687)), 1), E686))"),"C")</f>
        <v>C</v>
      </c>
      <c r="F687" s="2" t="str">
        <f>IFERROR(__xludf.DUMMYFUNCTION("IF('From Order'!$A687=COLUMNS($A687:F706), LEFT(INDEX(FILTER(F$1:F686, F$1:F686&lt;&gt;""""),COUNTA(FILTER(F$1:F686, F$1:F686&lt;&gt;""""))), LEN(INDEX(FILTER(F$1:F686, F$1:F686&lt;&gt;""""),COUNTA(FILTER(F$1:F686, F$1:F686&lt;&gt;""""))))-1), IF('To Order'!$A687=COLUMNS($A687:F"&amp;"706), F686&amp;RIGHT(INDIRECT(ADDRESS(ROW(F687)-1, 'From Order'!$A687)), 1), F686))"),"")</f>
        <v/>
      </c>
      <c r="G687" s="2" t="str">
        <f>IFERROR(__xludf.DUMMYFUNCTION("IF('From Order'!$A687=COLUMNS($A687:G706), LEFT(INDEX(FILTER(G$1:G686, G$1:G686&lt;&gt;""""),COUNTA(FILTER(G$1:G686, G$1:G686&lt;&gt;""""))), LEN(INDEX(FILTER(G$1:G686, G$1:G686&lt;&gt;""""),COUNTA(FILTER(G$1:G686, G$1:G686&lt;&gt;""""))))-1), IF('To Order'!$A687=COLUMNS($A687:G"&amp;"706), G686&amp;RIGHT(INDIRECT(ADDRESS(ROW(G687)-1, 'From Order'!$A687)), 1), G686))"),"DTRLRQPDSSGHWPBCVDRWTDJLBSGDTLSFB")</f>
        <v>DTRLRQPDSSGHWPBCVDRWTDJLBSGDTLSFB</v>
      </c>
      <c r="H687" s="2" t="str">
        <f>IFERROR(__xludf.DUMMYFUNCTION("IF('From Order'!$A687=COLUMNS($A687:H706), LEFT(INDEX(FILTER(H$1:H686, H$1:H686&lt;&gt;""""),COUNTA(FILTER(H$1:H686, H$1:H686&lt;&gt;""""))), LEN(INDEX(FILTER(H$1:H686, H$1:H686&lt;&gt;""""),COUNTA(FILTER(H$1:H686, H$1:H686&lt;&gt;""""))))-1), IF('To Order'!$A687=COLUMNS($A687:H"&amp;"706), H686&amp;RIGHT(INDIRECT(ADDRESS(ROW(H687)-1, 'From Order'!$A687)), 1), H686))"),"ZMDTCJT")</f>
        <v>ZMDTCJT</v>
      </c>
      <c r="I687" s="2" t="str">
        <f>IFERROR(__xludf.DUMMYFUNCTION("IF('From Order'!$A687=COLUMNS($A687:I706), LEFT(INDEX(FILTER(I$1:I686, I$1:I686&lt;&gt;""""),COUNTA(FILTER(I$1:I686, I$1:I686&lt;&gt;""""))), LEN(INDEX(FILTER(I$1:I686, I$1:I686&lt;&gt;""""),COUNTA(FILTER(I$1:I686, I$1:I686&lt;&gt;""""))))-1), IF('To Order'!$A687=COLUMNS($A687:I"&amp;"706), I686&amp;RIGHT(INDIRECT(ADDRESS(ROW(I687)-1, 'From Order'!$A687)), 1), I686))"),"VPVRZHMFB")</f>
        <v>VPVRZHMFB</v>
      </c>
    </row>
    <row r="688">
      <c r="A688" s="2" t="str">
        <f>IFERROR(__xludf.DUMMYFUNCTION("IF('From Order'!$A688=COLUMNS($A688:A707), LEFT(INDEX(FILTER(A$1:A687, A$1:A687&lt;&gt;""""),COUNTA(FILTER(A$1:A687, A$1:A687&lt;&gt;""""))), LEN(INDEX(FILTER(A$1:A687, A$1:A687&lt;&gt;""""),COUNTA(FILTER(A$1:A687, A$1:A687&lt;&gt;""""))))-1), IF('To Order'!$A688=COLUMNS($A688:A"&amp;"707), A687&amp;RIGHT(INDIRECT(ADDRESS(ROW(A688)-1, 'From Order'!$A688)), 1), A687))"),"")</f>
        <v/>
      </c>
      <c r="B688" s="2" t="str">
        <f>IFERROR(__xludf.DUMMYFUNCTION("IF('From Order'!$A688=COLUMNS($A688:B707), LEFT(INDEX(FILTER(B$1:B687, B$1:B687&lt;&gt;""""),COUNTA(FILTER(B$1:B687, B$1:B687&lt;&gt;""""))), LEN(INDEX(FILTER(B$1:B687, B$1:B687&lt;&gt;""""),COUNTA(FILTER(B$1:B687, B$1:B687&lt;&gt;""""))))-1), IF('To Order'!$A688=COLUMNS($A688:B"&amp;"707), B687&amp;RIGHT(INDIRECT(ADDRESS(ROW(B688)-1, 'From Order'!$A688)), 1), B687))"),"JZR")</f>
        <v>JZR</v>
      </c>
      <c r="C688" s="2" t="str">
        <f>IFERROR(__xludf.DUMMYFUNCTION("IF('From Order'!$A688=COLUMNS($A688:C707), LEFT(INDEX(FILTER(C$1:C687, C$1:C687&lt;&gt;""""),COUNTA(FILTER(C$1:C687, C$1:C687&lt;&gt;""""))), LEN(INDEX(FILTER(C$1:C687, C$1:C687&lt;&gt;""""),COUNTA(FILTER(C$1:C687, C$1:C687&lt;&gt;""""))))-1), IF('To Order'!$A688=COLUMNS($A688:C"&amp;"707), C687&amp;RIGHT(INDIRECT(ADDRESS(ROW(C688)-1, 'From Order'!$A688)), 1), C687))"),"")</f>
        <v/>
      </c>
      <c r="D688" s="2" t="str">
        <f>IFERROR(__xludf.DUMMYFUNCTION("IF('From Order'!$A688=COLUMNS($A688:D707), LEFT(INDEX(FILTER(D$1:D687, D$1:D687&lt;&gt;""""),COUNTA(FILTER(D$1:D687, D$1:D687&lt;&gt;""""))), LEN(INDEX(FILTER(D$1:D687, D$1:D687&lt;&gt;""""),COUNTA(FILTER(D$1:D687, D$1:D687&lt;&gt;""""))))-1), IF('To Order'!$A688=COLUMNS($A688:D"&amp;"707), D687&amp;RIGHT(INDIRECT(ADDRESS(ROW(D688)-1, 'From Order'!$A688)), 1), D687))"),"TMQ")</f>
        <v>TMQ</v>
      </c>
      <c r="E688" s="2" t="str">
        <f>IFERROR(__xludf.DUMMYFUNCTION("IF('From Order'!$A688=COLUMNS($A688:E707), LEFT(INDEX(FILTER(E$1:E687, E$1:E687&lt;&gt;""""),COUNTA(FILTER(E$1:E687, E$1:E687&lt;&gt;""""))), LEN(INDEX(FILTER(E$1:E687, E$1:E687&lt;&gt;""""),COUNTA(FILTER(E$1:E687, E$1:E687&lt;&gt;""""))))-1), IF('To Order'!$A688=COLUMNS($A688:E"&amp;"707), E687&amp;RIGHT(INDIRECT(ADDRESS(ROW(E688)-1, 'From Order'!$A688)), 1), E687))"),"C")</f>
        <v>C</v>
      </c>
      <c r="F688" s="2" t="str">
        <f>IFERROR(__xludf.DUMMYFUNCTION("IF('From Order'!$A688=COLUMNS($A688:F707), LEFT(INDEX(FILTER(F$1:F687, F$1:F687&lt;&gt;""""),COUNTA(FILTER(F$1:F687, F$1:F687&lt;&gt;""""))), LEN(INDEX(FILTER(F$1:F687, F$1:F687&lt;&gt;""""),COUNTA(FILTER(F$1:F687, F$1:F687&lt;&gt;""""))))-1), IF('To Order'!$A688=COLUMNS($A688:F"&amp;"707), F687&amp;RIGHT(INDIRECT(ADDRESS(ROW(F688)-1, 'From Order'!$A688)), 1), F687))"),"")</f>
        <v/>
      </c>
      <c r="G688" s="2" t="str">
        <f>IFERROR(__xludf.DUMMYFUNCTION("IF('From Order'!$A688=COLUMNS($A688:G707), LEFT(INDEX(FILTER(G$1:G687, G$1:G687&lt;&gt;""""),COUNTA(FILTER(G$1:G687, G$1:G687&lt;&gt;""""))), LEN(INDEX(FILTER(G$1:G687, G$1:G687&lt;&gt;""""),COUNTA(FILTER(G$1:G687, G$1:G687&lt;&gt;""""))))-1), IF('To Order'!$A688=COLUMNS($A688:G"&amp;"707), G687&amp;RIGHT(INDIRECT(ADDRESS(ROW(G688)-1, 'From Order'!$A688)), 1), G687))"),"DTRLRQPDSSGHWPBCVDRWTDJLBSGDTLSF")</f>
        <v>DTRLRQPDSSGHWPBCVDRWTDJLBSGDTLSF</v>
      </c>
      <c r="H688" s="2" t="str">
        <f>IFERROR(__xludf.DUMMYFUNCTION("IF('From Order'!$A688=COLUMNS($A688:H707), LEFT(INDEX(FILTER(H$1:H687, H$1:H687&lt;&gt;""""),COUNTA(FILTER(H$1:H687, H$1:H687&lt;&gt;""""))), LEN(INDEX(FILTER(H$1:H687, H$1:H687&lt;&gt;""""),COUNTA(FILTER(H$1:H687, H$1:H687&lt;&gt;""""))))-1), IF('To Order'!$A688=COLUMNS($A688:H"&amp;"707), H687&amp;RIGHT(INDIRECT(ADDRESS(ROW(H688)-1, 'From Order'!$A688)), 1), H687))"),"ZMDTCJT")</f>
        <v>ZMDTCJT</v>
      </c>
      <c r="I688" s="2" t="str">
        <f>IFERROR(__xludf.DUMMYFUNCTION("IF('From Order'!$A688=COLUMNS($A688:I707), LEFT(INDEX(FILTER(I$1:I687, I$1:I687&lt;&gt;""""),COUNTA(FILTER(I$1:I687, I$1:I687&lt;&gt;""""))), LEN(INDEX(FILTER(I$1:I687, I$1:I687&lt;&gt;""""),COUNTA(FILTER(I$1:I687, I$1:I687&lt;&gt;""""))))-1), IF('To Order'!$A688=COLUMNS($A688:I"&amp;"707), I687&amp;RIGHT(INDIRECT(ADDRESS(ROW(I688)-1, 'From Order'!$A688)), 1), I687))"),"VPVRZHMFBB")</f>
        <v>VPVRZHMFBB</v>
      </c>
    </row>
    <row r="689">
      <c r="A689" s="2" t="str">
        <f>IFERROR(__xludf.DUMMYFUNCTION("IF('From Order'!$A689=COLUMNS($A689:A708), LEFT(INDEX(FILTER(A$1:A688, A$1:A688&lt;&gt;""""),COUNTA(FILTER(A$1:A688, A$1:A688&lt;&gt;""""))), LEN(INDEX(FILTER(A$1:A688, A$1:A688&lt;&gt;""""),COUNTA(FILTER(A$1:A688, A$1:A688&lt;&gt;""""))))-1), IF('To Order'!$A689=COLUMNS($A689:A"&amp;"708), A688&amp;RIGHT(INDIRECT(ADDRESS(ROW(A689)-1, 'From Order'!$A689)), 1), A688))"),"")</f>
        <v/>
      </c>
      <c r="B689" s="2" t="str">
        <f>IFERROR(__xludf.DUMMYFUNCTION("IF('From Order'!$A689=COLUMNS($A689:B708), LEFT(INDEX(FILTER(B$1:B688, B$1:B688&lt;&gt;""""),COUNTA(FILTER(B$1:B688, B$1:B688&lt;&gt;""""))), LEN(INDEX(FILTER(B$1:B688, B$1:B688&lt;&gt;""""),COUNTA(FILTER(B$1:B688, B$1:B688&lt;&gt;""""))))-1), IF('To Order'!$A689=COLUMNS($A689:B"&amp;"708), B688&amp;RIGHT(INDIRECT(ADDRESS(ROW(B689)-1, 'From Order'!$A689)), 1), B688))"),"JZR")</f>
        <v>JZR</v>
      </c>
      <c r="C689" s="2" t="str">
        <f>IFERROR(__xludf.DUMMYFUNCTION("IF('From Order'!$A689=COLUMNS($A689:C708), LEFT(INDEX(FILTER(C$1:C688, C$1:C688&lt;&gt;""""),COUNTA(FILTER(C$1:C688, C$1:C688&lt;&gt;""""))), LEN(INDEX(FILTER(C$1:C688, C$1:C688&lt;&gt;""""),COUNTA(FILTER(C$1:C688, C$1:C688&lt;&gt;""""))))-1), IF('To Order'!$A689=COLUMNS($A689:C"&amp;"708), C688&amp;RIGHT(INDIRECT(ADDRESS(ROW(C689)-1, 'From Order'!$A689)), 1), C688))"),"")</f>
        <v/>
      </c>
      <c r="D689" s="2" t="str">
        <f>IFERROR(__xludf.DUMMYFUNCTION("IF('From Order'!$A689=COLUMNS($A689:D708), LEFT(INDEX(FILTER(D$1:D688, D$1:D688&lt;&gt;""""),COUNTA(FILTER(D$1:D688, D$1:D688&lt;&gt;""""))), LEN(INDEX(FILTER(D$1:D688, D$1:D688&lt;&gt;""""),COUNTA(FILTER(D$1:D688, D$1:D688&lt;&gt;""""))))-1), IF('To Order'!$A689=COLUMNS($A689:D"&amp;"708), D688&amp;RIGHT(INDIRECT(ADDRESS(ROW(D689)-1, 'From Order'!$A689)), 1), D688))"),"TMQ")</f>
        <v>TMQ</v>
      </c>
      <c r="E689" s="2" t="str">
        <f>IFERROR(__xludf.DUMMYFUNCTION("IF('From Order'!$A689=COLUMNS($A689:E708), LEFT(INDEX(FILTER(E$1:E688, E$1:E688&lt;&gt;""""),COUNTA(FILTER(E$1:E688, E$1:E688&lt;&gt;""""))), LEN(INDEX(FILTER(E$1:E688, E$1:E688&lt;&gt;""""),COUNTA(FILTER(E$1:E688, E$1:E688&lt;&gt;""""))))-1), IF('To Order'!$A689=COLUMNS($A689:E"&amp;"708), E688&amp;RIGHT(INDIRECT(ADDRESS(ROW(E689)-1, 'From Order'!$A689)), 1), E688))"),"C")</f>
        <v>C</v>
      </c>
      <c r="F689" s="2" t="str">
        <f>IFERROR(__xludf.DUMMYFUNCTION("IF('From Order'!$A689=COLUMNS($A689:F708), LEFT(INDEX(FILTER(F$1:F688, F$1:F688&lt;&gt;""""),COUNTA(FILTER(F$1:F688, F$1:F688&lt;&gt;""""))), LEN(INDEX(FILTER(F$1:F688, F$1:F688&lt;&gt;""""),COUNTA(FILTER(F$1:F688, F$1:F688&lt;&gt;""""))))-1), IF('To Order'!$A689=COLUMNS($A689:F"&amp;"708), F688&amp;RIGHT(INDIRECT(ADDRESS(ROW(F689)-1, 'From Order'!$A689)), 1), F688))"),"")</f>
        <v/>
      </c>
      <c r="G689" s="2" t="str">
        <f>IFERROR(__xludf.DUMMYFUNCTION("IF('From Order'!$A689=COLUMNS($A689:G708), LEFT(INDEX(FILTER(G$1:G688, G$1:G688&lt;&gt;""""),COUNTA(FILTER(G$1:G688, G$1:G688&lt;&gt;""""))), LEN(INDEX(FILTER(G$1:G688, G$1:G688&lt;&gt;""""),COUNTA(FILTER(G$1:G688, G$1:G688&lt;&gt;""""))))-1), IF('To Order'!$A689=COLUMNS($A689:G"&amp;"708), G688&amp;RIGHT(INDIRECT(ADDRESS(ROW(G689)-1, 'From Order'!$A689)), 1), G688))"),"DTRLRQPDSSGHWPBCVDRWTDJLBSGDTLS")</f>
        <v>DTRLRQPDSSGHWPBCVDRWTDJLBSGDTLS</v>
      </c>
      <c r="H689" s="2" t="str">
        <f>IFERROR(__xludf.DUMMYFUNCTION("IF('From Order'!$A689=COLUMNS($A689:H708), LEFT(INDEX(FILTER(H$1:H688, H$1:H688&lt;&gt;""""),COUNTA(FILTER(H$1:H688, H$1:H688&lt;&gt;""""))), LEN(INDEX(FILTER(H$1:H688, H$1:H688&lt;&gt;""""),COUNTA(FILTER(H$1:H688, H$1:H688&lt;&gt;""""))))-1), IF('To Order'!$A689=COLUMNS($A689:H"&amp;"708), H688&amp;RIGHT(INDIRECT(ADDRESS(ROW(H689)-1, 'From Order'!$A689)), 1), H688))"),"ZMDTCJT")</f>
        <v>ZMDTCJT</v>
      </c>
      <c r="I689" s="2" t="str">
        <f>IFERROR(__xludf.DUMMYFUNCTION("IF('From Order'!$A689=COLUMNS($A689:I708), LEFT(INDEX(FILTER(I$1:I688, I$1:I688&lt;&gt;""""),COUNTA(FILTER(I$1:I688, I$1:I688&lt;&gt;""""))), LEN(INDEX(FILTER(I$1:I688, I$1:I688&lt;&gt;""""),COUNTA(FILTER(I$1:I688, I$1:I688&lt;&gt;""""))))-1), IF('To Order'!$A689=COLUMNS($A689:I"&amp;"708), I688&amp;RIGHT(INDIRECT(ADDRESS(ROW(I689)-1, 'From Order'!$A689)), 1), I688))"),"VPVRZHMFBBF")</f>
        <v>VPVRZHMFBBF</v>
      </c>
    </row>
    <row r="690">
      <c r="A690" s="2" t="str">
        <f>IFERROR(__xludf.DUMMYFUNCTION("IF('From Order'!$A690=COLUMNS($A690:A709), LEFT(INDEX(FILTER(A$1:A689, A$1:A689&lt;&gt;""""),COUNTA(FILTER(A$1:A689, A$1:A689&lt;&gt;""""))), LEN(INDEX(FILTER(A$1:A689, A$1:A689&lt;&gt;""""),COUNTA(FILTER(A$1:A689, A$1:A689&lt;&gt;""""))))-1), IF('To Order'!$A690=COLUMNS($A690:A"&amp;"709), A689&amp;RIGHT(INDIRECT(ADDRESS(ROW(A690)-1, 'From Order'!$A690)), 1), A689))"),"")</f>
        <v/>
      </c>
      <c r="B690" s="2" t="str">
        <f>IFERROR(__xludf.DUMMYFUNCTION("IF('From Order'!$A690=COLUMNS($A690:B709), LEFT(INDEX(FILTER(B$1:B689, B$1:B689&lt;&gt;""""),COUNTA(FILTER(B$1:B689, B$1:B689&lt;&gt;""""))), LEN(INDEX(FILTER(B$1:B689, B$1:B689&lt;&gt;""""),COUNTA(FILTER(B$1:B689, B$1:B689&lt;&gt;""""))))-1), IF('To Order'!$A690=COLUMNS($A690:B"&amp;"709), B689&amp;RIGHT(INDIRECT(ADDRESS(ROW(B690)-1, 'From Order'!$A690)), 1), B689))"),"JZR")</f>
        <v>JZR</v>
      </c>
      <c r="C690" s="2" t="str">
        <f>IFERROR(__xludf.DUMMYFUNCTION("IF('From Order'!$A690=COLUMNS($A690:C709), LEFT(INDEX(FILTER(C$1:C689, C$1:C689&lt;&gt;""""),COUNTA(FILTER(C$1:C689, C$1:C689&lt;&gt;""""))), LEN(INDEX(FILTER(C$1:C689, C$1:C689&lt;&gt;""""),COUNTA(FILTER(C$1:C689, C$1:C689&lt;&gt;""""))))-1), IF('To Order'!$A690=COLUMNS($A690:C"&amp;"709), C689&amp;RIGHT(INDIRECT(ADDRESS(ROW(C690)-1, 'From Order'!$A690)), 1), C689))"),"")</f>
        <v/>
      </c>
      <c r="D690" s="2" t="str">
        <f>IFERROR(__xludf.DUMMYFUNCTION("IF('From Order'!$A690=COLUMNS($A690:D709), LEFT(INDEX(FILTER(D$1:D689, D$1:D689&lt;&gt;""""),COUNTA(FILTER(D$1:D689, D$1:D689&lt;&gt;""""))), LEN(INDEX(FILTER(D$1:D689, D$1:D689&lt;&gt;""""),COUNTA(FILTER(D$1:D689, D$1:D689&lt;&gt;""""))))-1), IF('To Order'!$A690=COLUMNS($A690:D"&amp;"709), D689&amp;RIGHT(INDIRECT(ADDRESS(ROW(D690)-1, 'From Order'!$A690)), 1), D689))"),"TMQ")</f>
        <v>TMQ</v>
      </c>
      <c r="E690" s="2" t="str">
        <f>IFERROR(__xludf.DUMMYFUNCTION("IF('From Order'!$A690=COLUMNS($A690:E709), LEFT(INDEX(FILTER(E$1:E689, E$1:E689&lt;&gt;""""),COUNTA(FILTER(E$1:E689, E$1:E689&lt;&gt;""""))), LEN(INDEX(FILTER(E$1:E689, E$1:E689&lt;&gt;""""),COUNTA(FILTER(E$1:E689, E$1:E689&lt;&gt;""""))))-1), IF('To Order'!$A690=COLUMNS($A690:E"&amp;"709), E689&amp;RIGHT(INDIRECT(ADDRESS(ROW(E690)-1, 'From Order'!$A690)), 1), E689))"),"C")</f>
        <v>C</v>
      </c>
      <c r="F690" s="2" t="str">
        <f>IFERROR(__xludf.DUMMYFUNCTION("IF('From Order'!$A690=COLUMNS($A690:F709), LEFT(INDEX(FILTER(F$1:F689, F$1:F689&lt;&gt;""""),COUNTA(FILTER(F$1:F689, F$1:F689&lt;&gt;""""))), LEN(INDEX(FILTER(F$1:F689, F$1:F689&lt;&gt;""""),COUNTA(FILTER(F$1:F689, F$1:F689&lt;&gt;""""))))-1), IF('To Order'!$A690=COLUMNS($A690:F"&amp;"709), F689&amp;RIGHT(INDIRECT(ADDRESS(ROW(F690)-1, 'From Order'!$A690)), 1), F689))"),"")</f>
        <v/>
      </c>
      <c r="G690" s="2" t="str">
        <f>IFERROR(__xludf.DUMMYFUNCTION("IF('From Order'!$A690=COLUMNS($A690:G709), LEFT(INDEX(FILTER(G$1:G689, G$1:G689&lt;&gt;""""),COUNTA(FILTER(G$1:G689, G$1:G689&lt;&gt;""""))), LEN(INDEX(FILTER(G$1:G689, G$1:G689&lt;&gt;""""),COUNTA(FILTER(G$1:G689, G$1:G689&lt;&gt;""""))))-1), IF('To Order'!$A690=COLUMNS($A690:G"&amp;"709), G689&amp;RIGHT(INDIRECT(ADDRESS(ROW(G690)-1, 'From Order'!$A690)), 1), G689))"),"DTRLRQPDSSGHWPBCVDRWTDJLBSGDTL")</f>
        <v>DTRLRQPDSSGHWPBCVDRWTDJLBSGDTL</v>
      </c>
      <c r="H690" s="2" t="str">
        <f>IFERROR(__xludf.DUMMYFUNCTION("IF('From Order'!$A690=COLUMNS($A690:H709), LEFT(INDEX(FILTER(H$1:H689, H$1:H689&lt;&gt;""""),COUNTA(FILTER(H$1:H689, H$1:H689&lt;&gt;""""))), LEN(INDEX(FILTER(H$1:H689, H$1:H689&lt;&gt;""""),COUNTA(FILTER(H$1:H689, H$1:H689&lt;&gt;""""))))-1), IF('To Order'!$A690=COLUMNS($A690:H"&amp;"709), H689&amp;RIGHT(INDIRECT(ADDRESS(ROW(H690)-1, 'From Order'!$A690)), 1), H689))"),"ZMDTCJT")</f>
        <v>ZMDTCJT</v>
      </c>
      <c r="I690" s="2" t="str">
        <f>IFERROR(__xludf.DUMMYFUNCTION("IF('From Order'!$A690=COLUMNS($A690:I709), LEFT(INDEX(FILTER(I$1:I689, I$1:I689&lt;&gt;""""),COUNTA(FILTER(I$1:I689, I$1:I689&lt;&gt;""""))), LEN(INDEX(FILTER(I$1:I689, I$1:I689&lt;&gt;""""),COUNTA(FILTER(I$1:I689, I$1:I689&lt;&gt;""""))))-1), IF('To Order'!$A690=COLUMNS($A690:I"&amp;"709), I689&amp;RIGHT(INDIRECT(ADDRESS(ROW(I690)-1, 'From Order'!$A690)), 1), I689))"),"VPVRZHMFBBFS")</f>
        <v>VPVRZHMFBBFS</v>
      </c>
    </row>
    <row r="691">
      <c r="A691" s="2" t="str">
        <f>IFERROR(__xludf.DUMMYFUNCTION("IF('From Order'!$A691=COLUMNS($A691:A710), LEFT(INDEX(FILTER(A$1:A690, A$1:A690&lt;&gt;""""),COUNTA(FILTER(A$1:A690, A$1:A690&lt;&gt;""""))), LEN(INDEX(FILTER(A$1:A690, A$1:A690&lt;&gt;""""),COUNTA(FILTER(A$1:A690, A$1:A690&lt;&gt;""""))))-1), IF('To Order'!$A691=COLUMNS($A691:A"&amp;"710), A690&amp;RIGHT(INDIRECT(ADDRESS(ROW(A691)-1, 'From Order'!$A691)), 1), A690))"),"")</f>
        <v/>
      </c>
      <c r="B691" s="2" t="str">
        <f>IFERROR(__xludf.DUMMYFUNCTION("IF('From Order'!$A691=COLUMNS($A691:B710), LEFT(INDEX(FILTER(B$1:B690, B$1:B690&lt;&gt;""""),COUNTA(FILTER(B$1:B690, B$1:B690&lt;&gt;""""))), LEN(INDEX(FILTER(B$1:B690, B$1:B690&lt;&gt;""""),COUNTA(FILTER(B$1:B690, B$1:B690&lt;&gt;""""))))-1), IF('To Order'!$A691=COLUMNS($A691:B"&amp;"710), B690&amp;RIGHT(INDIRECT(ADDRESS(ROW(B691)-1, 'From Order'!$A691)), 1), B690))"),"JZR")</f>
        <v>JZR</v>
      </c>
      <c r="C691" s="2" t="str">
        <f>IFERROR(__xludf.DUMMYFUNCTION("IF('From Order'!$A691=COLUMNS($A691:C710), LEFT(INDEX(FILTER(C$1:C690, C$1:C690&lt;&gt;""""),COUNTA(FILTER(C$1:C690, C$1:C690&lt;&gt;""""))), LEN(INDEX(FILTER(C$1:C690, C$1:C690&lt;&gt;""""),COUNTA(FILTER(C$1:C690, C$1:C690&lt;&gt;""""))))-1), IF('To Order'!$A691=COLUMNS($A691:C"&amp;"710), C690&amp;RIGHT(INDIRECT(ADDRESS(ROW(C691)-1, 'From Order'!$A691)), 1), C690))"),"")</f>
        <v/>
      </c>
      <c r="D691" s="2" t="str">
        <f>IFERROR(__xludf.DUMMYFUNCTION("IF('From Order'!$A691=COLUMNS($A691:D710), LEFT(INDEX(FILTER(D$1:D690, D$1:D690&lt;&gt;""""),COUNTA(FILTER(D$1:D690, D$1:D690&lt;&gt;""""))), LEN(INDEX(FILTER(D$1:D690, D$1:D690&lt;&gt;""""),COUNTA(FILTER(D$1:D690, D$1:D690&lt;&gt;""""))))-1), IF('To Order'!$A691=COLUMNS($A691:D"&amp;"710), D690&amp;RIGHT(INDIRECT(ADDRESS(ROW(D691)-1, 'From Order'!$A691)), 1), D690))"),"TMQ")</f>
        <v>TMQ</v>
      </c>
      <c r="E691" s="2" t="str">
        <f>IFERROR(__xludf.DUMMYFUNCTION("IF('From Order'!$A691=COLUMNS($A691:E710), LEFT(INDEX(FILTER(E$1:E690, E$1:E690&lt;&gt;""""),COUNTA(FILTER(E$1:E690, E$1:E690&lt;&gt;""""))), LEN(INDEX(FILTER(E$1:E690, E$1:E690&lt;&gt;""""),COUNTA(FILTER(E$1:E690, E$1:E690&lt;&gt;""""))))-1), IF('To Order'!$A691=COLUMNS($A691:E"&amp;"710), E690&amp;RIGHT(INDIRECT(ADDRESS(ROW(E691)-1, 'From Order'!$A691)), 1), E690))"),"C")</f>
        <v>C</v>
      </c>
      <c r="F691" s="2" t="str">
        <f>IFERROR(__xludf.DUMMYFUNCTION("IF('From Order'!$A691=COLUMNS($A691:F710), LEFT(INDEX(FILTER(F$1:F690, F$1:F690&lt;&gt;""""),COUNTA(FILTER(F$1:F690, F$1:F690&lt;&gt;""""))), LEN(INDEX(FILTER(F$1:F690, F$1:F690&lt;&gt;""""),COUNTA(FILTER(F$1:F690, F$1:F690&lt;&gt;""""))))-1), IF('To Order'!$A691=COLUMNS($A691:F"&amp;"710), F690&amp;RIGHT(INDIRECT(ADDRESS(ROW(F691)-1, 'From Order'!$A691)), 1), F690))"),"")</f>
        <v/>
      </c>
      <c r="G691" s="2" t="str">
        <f>IFERROR(__xludf.DUMMYFUNCTION("IF('From Order'!$A691=COLUMNS($A691:G710), LEFT(INDEX(FILTER(G$1:G690, G$1:G690&lt;&gt;""""),COUNTA(FILTER(G$1:G690, G$1:G690&lt;&gt;""""))), LEN(INDEX(FILTER(G$1:G690, G$1:G690&lt;&gt;""""),COUNTA(FILTER(G$1:G690, G$1:G690&lt;&gt;""""))))-1), IF('To Order'!$A691=COLUMNS($A691:G"&amp;"710), G690&amp;RIGHT(INDIRECT(ADDRESS(ROW(G691)-1, 'From Order'!$A691)), 1), G690))"),"DTRLRQPDSSGHWPBCVDRWTDJLBSGDT")</f>
        <v>DTRLRQPDSSGHWPBCVDRWTDJLBSGDT</v>
      </c>
      <c r="H691" s="2" t="str">
        <f>IFERROR(__xludf.DUMMYFUNCTION("IF('From Order'!$A691=COLUMNS($A691:H710), LEFT(INDEX(FILTER(H$1:H690, H$1:H690&lt;&gt;""""),COUNTA(FILTER(H$1:H690, H$1:H690&lt;&gt;""""))), LEN(INDEX(FILTER(H$1:H690, H$1:H690&lt;&gt;""""),COUNTA(FILTER(H$1:H690, H$1:H690&lt;&gt;""""))))-1), IF('To Order'!$A691=COLUMNS($A691:H"&amp;"710), H690&amp;RIGHT(INDIRECT(ADDRESS(ROW(H691)-1, 'From Order'!$A691)), 1), H690))"),"ZMDTCJT")</f>
        <v>ZMDTCJT</v>
      </c>
      <c r="I691" s="2" t="str">
        <f>IFERROR(__xludf.DUMMYFUNCTION("IF('From Order'!$A691=COLUMNS($A691:I710), LEFT(INDEX(FILTER(I$1:I690, I$1:I690&lt;&gt;""""),COUNTA(FILTER(I$1:I690, I$1:I690&lt;&gt;""""))), LEN(INDEX(FILTER(I$1:I690, I$1:I690&lt;&gt;""""),COUNTA(FILTER(I$1:I690, I$1:I690&lt;&gt;""""))))-1), IF('To Order'!$A691=COLUMNS($A691:I"&amp;"710), I690&amp;RIGHT(INDIRECT(ADDRESS(ROW(I691)-1, 'From Order'!$A691)), 1), I690))"),"VPVRZHMFBBFSL")</f>
        <v>VPVRZHMFBBFSL</v>
      </c>
    </row>
    <row r="692">
      <c r="A692" s="2" t="str">
        <f>IFERROR(__xludf.DUMMYFUNCTION("IF('From Order'!$A692=COLUMNS($A692:A711), LEFT(INDEX(FILTER(A$1:A691, A$1:A691&lt;&gt;""""),COUNTA(FILTER(A$1:A691, A$1:A691&lt;&gt;""""))), LEN(INDEX(FILTER(A$1:A691, A$1:A691&lt;&gt;""""),COUNTA(FILTER(A$1:A691, A$1:A691&lt;&gt;""""))))-1), IF('To Order'!$A692=COLUMNS($A692:A"&amp;"711), A691&amp;RIGHT(INDIRECT(ADDRESS(ROW(A692)-1, 'From Order'!$A692)), 1), A691))"),"")</f>
        <v/>
      </c>
      <c r="B692" s="2" t="str">
        <f>IFERROR(__xludf.DUMMYFUNCTION("IF('From Order'!$A692=COLUMNS($A692:B711), LEFT(INDEX(FILTER(B$1:B691, B$1:B691&lt;&gt;""""),COUNTA(FILTER(B$1:B691, B$1:B691&lt;&gt;""""))), LEN(INDEX(FILTER(B$1:B691, B$1:B691&lt;&gt;""""),COUNTA(FILTER(B$1:B691, B$1:B691&lt;&gt;""""))))-1), IF('To Order'!$A692=COLUMNS($A692:B"&amp;"711), B691&amp;RIGHT(INDIRECT(ADDRESS(ROW(B692)-1, 'From Order'!$A692)), 1), B691))"),"JZR")</f>
        <v>JZR</v>
      </c>
      <c r="C692" s="2" t="str">
        <f>IFERROR(__xludf.DUMMYFUNCTION("IF('From Order'!$A692=COLUMNS($A692:C711), LEFT(INDEX(FILTER(C$1:C691, C$1:C691&lt;&gt;""""),COUNTA(FILTER(C$1:C691, C$1:C691&lt;&gt;""""))), LEN(INDEX(FILTER(C$1:C691, C$1:C691&lt;&gt;""""),COUNTA(FILTER(C$1:C691, C$1:C691&lt;&gt;""""))))-1), IF('To Order'!$A692=COLUMNS($A692:C"&amp;"711), C691&amp;RIGHT(INDIRECT(ADDRESS(ROW(C692)-1, 'From Order'!$A692)), 1), C691))"),"")</f>
        <v/>
      </c>
      <c r="D692" s="2" t="str">
        <f>IFERROR(__xludf.DUMMYFUNCTION("IF('From Order'!$A692=COLUMNS($A692:D711), LEFT(INDEX(FILTER(D$1:D691, D$1:D691&lt;&gt;""""),COUNTA(FILTER(D$1:D691, D$1:D691&lt;&gt;""""))), LEN(INDEX(FILTER(D$1:D691, D$1:D691&lt;&gt;""""),COUNTA(FILTER(D$1:D691, D$1:D691&lt;&gt;""""))))-1), IF('To Order'!$A692=COLUMNS($A692:D"&amp;"711), D691&amp;RIGHT(INDIRECT(ADDRESS(ROW(D692)-1, 'From Order'!$A692)), 1), D691))"),"TMQ")</f>
        <v>TMQ</v>
      </c>
      <c r="E692" s="2" t="str">
        <f>IFERROR(__xludf.DUMMYFUNCTION("IF('From Order'!$A692=COLUMNS($A692:E711), LEFT(INDEX(FILTER(E$1:E691, E$1:E691&lt;&gt;""""),COUNTA(FILTER(E$1:E691, E$1:E691&lt;&gt;""""))), LEN(INDEX(FILTER(E$1:E691, E$1:E691&lt;&gt;""""),COUNTA(FILTER(E$1:E691, E$1:E691&lt;&gt;""""))))-1), IF('To Order'!$A692=COLUMNS($A692:E"&amp;"711), E691&amp;RIGHT(INDIRECT(ADDRESS(ROW(E692)-1, 'From Order'!$A692)), 1), E691))"),"C")</f>
        <v>C</v>
      </c>
      <c r="F692" s="2" t="str">
        <f>IFERROR(__xludf.DUMMYFUNCTION("IF('From Order'!$A692=COLUMNS($A692:F711), LEFT(INDEX(FILTER(F$1:F691, F$1:F691&lt;&gt;""""),COUNTA(FILTER(F$1:F691, F$1:F691&lt;&gt;""""))), LEN(INDEX(FILTER(F$1:F691, F$1:F691&lt;&gt;""""),COUNTA(FILTER(F$1:F691, F$1:F691&lt;&gt;""""))))-1), IF('To Order'!$A692=COLUMNS($A692:F"&amp;"711), F691&amp;RIGHT(INDIRECT(ADDRESS(ROW(F692)-1, 'From Order'!$A692)), 1), F691))"),"")</f>
        <v/>
      </c>
      <c r="G692" s="2" t="str">
        <f>IFERROR(__xludf.DUMMYFUNCTION("IF('From Order'!$A692=COLUMNS($A692:G711), LEFT(INDEX(FILTER(G$1:G691, G$1:G691&lt;&gt;""""),COUNTA(FILTER(G$1:G691, G$1:G691&lt;&gt;""""))), LEN(INDEX(FILTER(G$1:G691, G$1:G691&lt;&gt;""""),COUNTA(FILTER(G$1:G691, G$1:G691&lt;&gt;""""))))-1), IF('To Order'!$A692=COLUMNS($A692:G"&amp;"711), G691&amp;RIGHT(INDIRECT(ADDRESS(ROW(G692)-1, 'From Order'!$A692)), 1), G691))"),"DTRLRQPDSSGHWPBCVDRWTDJLBSGD")</f>
        <v>DTRLRQPDSSGHWPBCVDRWTDJLBSGD</v>
      </c>
      <c r="H692" s="2" t="str">
        <f>IFERROR(__xludf.DUMMYFUNCTION("IF('From Order'!$A692=COLUMNS($A692:H711), LEFT(INDEX(FILTER(H$1:H691, H$1:H691&lt;&gt;""""),COUNTA(FILTER(H$1:H691, H$1:H691&lt;&gt;""""))), LEN(INDEX(FILTER(H$1:H691, H$1:H691&lt;&gt;""""),COUNTA(FILTER(H$1:H691, H$1:H691&lt;&gt;""""))))-1), IF('To Order'!$A692=COLUMNS($A692:H"&amp;"711), H691&amp;RIGHT(INDIRECT(ADDRESS(ROW(H692)-1, 'From Order'!$A692)), 1), H691))"),"ZMDTCJT")</f>
        <v>ZMDTCJT</v>
      </c>
      <c r="I692" s="2" t="str">
        <f>IFERROR(__xludf.DUMMYFUNCTION("IF('From Order'!$A692=COLUMNS($A692:I711), LEFT(INDEX(FILTER(I$1:I691, I$1:I691&lt;&gt;""""),COUNTA(FILTER(I$1:I691, I$1:I691&lt;&gt;""""))), LEN(INDEX(FILTER(I$1:I691, I$1:I691&lt;&gt;""""),COUNTA(FILTER(I$1:I691, I$1:I691&lt;&gt;""""))))-1), IF('To Order'!$A692=COLUMNS($A692:I"&amp;"711), I691&amp;RIGHT(INDIRECT(ADDRESS(ROW(I692)-1, 'From Order'!$A692)), 1), I691))"),"VPVRZHMFBBFSLT")</f>
        <v>VPVRZHMFBBFSLT</v>
      </c>
    </row>
    <row r="693">
      <c r="A693" s="2" t="str">
        <f>IFERROR(__xludf.DUMMYFUNCTION("IF('From Order'!$A693=COLUMNS($A693:A712), LEFT(INDEX(FILTER(A$1:A692, A$1:A692&lt;&gt;""""),COUNTA(FILTER(A$1:A692, A$1:A692&lt;&gt;""""))), LEN(INDEX(FILTER(A$1:A692, A$1:A692&lt;&gt;""""),COUNTA(FILTER(A$1:A692, A$1:A692&lt;&gt;""""))))-1), IF('To Order'!$A693=COLUMNS($A693:A"&amp;"712), A692&amp;RIGHT(INDIRECT(ADDRESS(ROW(A693)-1, 'From Order'!$A693)), 1), A692))"),"")</f>
        <v/>
      </c>
      <c r="B693" s="2" t="str">
        <f>IFERROR(__xludf.DUMMYFUNCTION("IF('From Order'!$A693=COLUMNS($A693:B712), LEFT(INDEX(FILTER(B$1:B692, B$1:B692&lt;&gt;""""),COUNTA(FILTER(B$1:B692, B$1:B692&lt;&gt;""""))), LEN(INDEX(FILTER(B$1:B692, B$1:B692&lt;&gt;""""),COUNTA(FILTER(B$1:B692, B$1:B692&lt;&gt;""""))))-1), IF('To Order'!$A693=COLUMNS($A693:B"&amp;"712), B692&amp;RIGHT(INDIRECT(ADDRESS(ROW(B693)-1, 'From Order'!$A693)), 1), B692))"),"JZR")</f>
        <v>JZR</v>
      </c>
      <c r="C693" s="2" t="str">
        <f>IFERROR(__xludf.DUMMYFUNCTION("IF('From Order'!$A693=COLUMNS($A693:C712), LEFT(INDEX(FILTER(C$1:C692, C$1:C692&lt;&gt;""""),COUNTA(FILTER(C$1:C692, C$1:C692&lt;&gt;""""))), LEN(INDEX(FILTER(C$1:C692, C$1:C692&lt;&gt;""""),COUNTA(FILTER(C$1:C692, C$1:C692&lt;&gt;""""))))-1), IF('To Order'!$A693=COLUMNS($A693:C"&amp;"712), C692&amp;RIGHT(INDIRECT(ADDRESS(ROW(C693)-1, 'From Order'!$A693)), 1), C692))"),"")</f>
        <v/>
      </c>
      <c r="D693" s="2" t="str">
        <f>IFERROR(__xludf.DUMMYFUNCTION("IF('From Order'!$A693=COLUMNS($A693:D712), LEFT(INDEX(FILTER(D$1:D692, D$1:D692&lt;&gt;""""),COUNTA(FILTER(D$1:D692, D$1:D692&lt;&gt;""""))), LEN(INDEX(FILTER(D$1:D692, D$1:D692&lt;&gt;""""),COUNTA(FILTER(D$1:D692, D$1:D692&lt;&gt;""""))))-1), IF('To Order'!$A693=COLUMNS($A693:D"&amp;"712), D692&amp;RIGHT(INDIRECT(ADDRESS(ROW(D693)-1, 'From Order'!$A693)), 1), D692))"),"TMQ")</f>
        <v>TMQ</v>
      </c>
      <c r="E693" s="2" t="str">
        <f>IFERROR(__xludf.DUMMYFUNCTION("IF('From Order'!$A693=COLUMNS($A693:E712), LEFT(INDEX(FILTER(E$1:E692, E$1:E692&lt;&gt;""""),COUNTA(FILTER(E$1:E692, E$1:E692&lt;&gt;""""))), LEN(INDEX(FILTER(E$1:E692, E$1:E692&lt;&gt;""""),COUNTA(FILTER(E$1:E692, E$1:E692&lt;&gt;""""))))-1), IF('To Order'!$A693=COLUMNS($A693:E"&amp;"712), E692&amp;RIGHT(INDIRECT(ADDRESS(ROW(E693)-1, 'From Order'!$A693)), 1), E692))"),"C")</f>
        <v>C</v>
      </c>
      <c r="F693" s="2" t="str">
        <f>IFERROR(__xludf.DUMMYFUNCTION("IF('From Order'!$A693=COLUMNS($A693:F712), LEFT(INDEX(FILTER(F$1:F692, F$1:F692&lt;&gt;""""),COUNTA(FILTER(F$1:F692, F$1:F692&lt;&gt;""""))), LEN(INDEX(FILTER(F$1:F692, F$1:F692&lt;&gt;""""),COUNTA(FILTER(F$1:F692, F$1:F692&lt;&gt;""""))))-1), IF('To Order'!$A693=COLUMNS($A693:F"&amp;"712), F692&amp;RIGHT(INDIRECT(ADDRESS(ROW(F693)-1, 'From Order'!$A693)), 1), F692))"),"")</f>
        <v/>
      </c>
      <c r="G693" s="2" t="str">
        <f>IFERROR(__xludf.DUMMYFUNCTION("IF('From Order'!$A693=COLUMNS($A693:G712), LEFT(INDEX(FILTER(G$1:G692, G$1:G692&lt;&gt;""""),COUNTA(FILTER(G$1:G692, G$1:G692&lt;&gt;""""))), LEN(INDEX(FILTER(G$1:G692, G$1:G692&lt;&gt;""""),COUNTA(FILTER(G$1:G692, G$1:G692&lt;&gt;""""))))-1), IF('To Order'!$A693=COLUMNS($A693:G"&amp;"712), G692&amp;RIGHT(INDIRECT(ADDRESS(ROW(G693)-1, 'From Order'!$A693)), 1), G692))"),"DTRLRQPDSSGHWPBCVDRWTDJLBSG")</f>
        <v>DTRLRQPDSSGHWPBCVDRWTDJLBSG</v>
      </c>
      <c r="H693" s="2" t="str">
        <f>IFERROR(__xludf.DUMMYFUNCTION("IF('From Order'!$A693=COLUMNS($A693:H712), LEFT(INDEX(FILTER(H$1:H692, H$1:H692&lt;&gt;""""),COUNTA(FILTER(H$1:H692, H$1:H692&lt;&gt;""""))), LEN(INDEX(FILTER(H$1:H692, H$1:H692&lt;&gt;""""),COUNTA(FILTER(H$1:H692, H$1:H692&lt;&gt;""""))))-1), IF('To Order'!$A693=COLUMNS($A693:H"&amp;"712), H692&amp;RIGHT(INDIRECT(ADDRESS(ROW(H693)-1, 'From Order'!$A693)), 1), H692))"),"ZMDTCJT")</f>
        <v>ZMDTCJT</v>
      </c>
      <c r="I693" s="2" t="str">
        <f>IFERROR(__xludf.DUMMYFUNCTION("IF('From Order'!$A693=COLUMNS($A693:I712), LEFT(INDEX(FILTER(I$1:I692, I$1:I692&lt;&gt;""""),COUNTA(FILTER(I$1:I692, I$1:I692&lt;&gt;""""))), LEN(INDEX(FILTER(I$1:I692, I$1:I692&lt;&gt;""""),COUNTA(FILTER(I$1:I692, I$1:I692&lt;&gt;""""))))-1), IF('To Order'!$A693=COLUMNS($A693:I"&amp;"712), I692&amp;RIGHT(INDIRECT(ADDRESS(ROW(I693)-1, 'From Order'!$A693)), 1), I692))"),"VPVRZHMFBBFSLTD")</f>
        <v>VPVRZHMFBBFSLTD</v>
      </c>
    </row>
    <row r="694">
      <c r="A694" s="2" t="str">
        <f>IFERROR(__xludf.DUMMYFUNCTION("IF('From Order'!$A694=COLUMNS($A694:A713), LEFT(INDEX(FILTER(A$1:A693, A$1:A693&lt;&gt;""""),COUNTA(FILTER(A$1:A693, A$1:A693&lt;&gt;""""))), LEN(INDEX(FILTER(A$1:A693, A$1:A693&lt;&gt;""""),COUNTA(FILTER(A$1:A693, A$1:A693&lt;&gt;""""))))-1), IF('To Order'!$A694=COLUMNS($A694:A"&amp;"713), A693&amp;RIGHT(INDIRECT(ADDRESS(ROW(A694)-1, 'From Order'!$A694)), 1), A693))"),"")</f>
        <v/>
      </c>
      <c r="B694" s="2" t="str">
        <f>IFERROR(__xludf.DUMMYFUNCTION("IF('From Order'!$A694=COLUMNS($A694:B713), LEFT(INDEX(FILTER(B$1:B693, B$1:B693&lt;&gt;""""),COUNTA(FILTER(B$1:B693, B$1:B693&lt;&gt;""""))), LEN(INDEX(FILTER(B$1:B693, B$1:B693&lt;&gt;""""),COUNTA(FILTER(B$1:B693, B$1:B693&lt;&gt;""""))))-1), IF('To Order'!$A694=COLUMNS($A694:B"&amp;"713), B693&amp;RIGHT(INDIRECT(ADDRESS(ROW(B694)-1, 'From Order'!$A694)), 1), B693))"),"JZR")</f>
        <v>JZR</v>
      </c>
      <c r="C694" s="2" t="str">
        <f>IFERROR(__xludf.DUMMYFUNCTION("IF('From Order'!$A694=COLUMNS($A694:C713), LEFT(INDEX(FILTER(C$1:C693, C$1:C693&lt;&gt;""""),COUNTA(FILTER(C$1:C693, C$1:C693&lt;&gt;""""))), LEN(INDEX(FILTER(C$1:C693, C$1:C693&lt;&gt;""""),COUNTA(FILTER(C$1:C693, C$1:C693&lt;&gt;""""))))-1), IF('To Order'!$A694=COLUMNS($A694:C"&amp;"713), C693&amp;RIGHT(INDIRECT(ADDRESS(ROW(C694)-1, 'From Order'!$A694)), 1), C693))"),"")</f>
        <v/>
      </c>
      <c r="D694" s="2" t="str">
        <f>IFERROR(__xludf.DUMMYFUNCTION("IF('From Order'!$A694=COLUMNS($A694:D713), LEFT(INDEX(FILTER(D$1:D693, D$1:D693&lt;&gt;""""),COUNTA(FILTER(D$1:D693, D$1:D693&lt;&gt;""""))), LEN(INDEX(FILTER(D$1:D693, D$1:D693&lt;&gt;""""),COUNTA(FILTER(D$1:D693, D$1:D693&lt;&gt;""""))))-1), IF('To Order'!$A694=COLUMNS($A694:D"&amp;"713), D693&amp;RIGHT(INDIRECT(ADDRESS(ROW(D694)-1, 'From Order'!$A694)), 1), D693))"),"TMQ")</f>
        <v>TMQ</v>
      </c>
      <c r="E694" s="2" t="str">
        <f>IFERROR(__xludf.DUMMYFUNCTION("IF('From Order'!$A694=COLUMNS($A694:E713), LEFT(INDEX(FILTER(E$1:E693, E$1:E693&lt;&gt;""""),COUNTA(FILTER(E$1:E693, E$1:E693&lt;&gt;""""))), LEN(INDEX(FILTER(E$1:E693, E$1:E693&lt;&gt;""""),COUNTA(FILTER(E$1:E693, E$1:E693&lt;&gt;""""))))-1), IF('To Order'!$A694=COLUMNS($A694:E"&amp;"713), E693&amp;RIGHT(INDIRECT(ADDRESS(ROW(E694)-1, 'From Order'!$A694)), 1), E693))"),"C")</f>
        <v>C</v>
      </c>
      <c r="F694" s="2" t="str">
        <f>IFERROR(__xludf.DUMMYFUNCTION("IF('From Order'!$A694=COLUMNS($A694:F713), LEFT(INDEX(FILTER(F$1:F693, F$1:F693&lt;&gt;""""),COUNTA(FILTER(F$1:F693, F$1:F693&lt;&gt;""""))), LEN(INDEX(FILTER(F$1:F693, F$1:F693&lt;&gt;""""),COUNTA(FILTER(F$1:F693, F$1:F693&lt;&gt;""""))))-1), IF('To Order'!$A694=COLUMNS($A694:F"&amp;"713), F693&amp;RIGHT(INDIRECT(ADDRESS(ROW(F694)-1, 'From Order'!$A694)), 1), F693))"),"")</f>
        <v/>
      </c>
      <c r="G694" s="2" t="str">
        <f>IFERROR(__xludf.DUMMYFUNCTION("IF('From Order'!$A694=COLUMNS($A694:G713), LEFT(INDEX(FILTER(G$1:G693, G$1:G693&lt;&gt;""""),COUNTA(FILTER(G$1:G693, G$1:G693&lt;&gt;""""))), LEN(INDEX(FILTER(G$1:G693, G$1:G693&lt;&gt;""""),COUNTA(FILTER(G$1:G693, G$1:G693&lt;&gt;""""))))-1), IF('To Order'!$A694=COLUMNS($A694:G"&amp;"713), G693&amp;RIGHT(INDIRECT(ADDRESS(ROW(G694)-1, 'From Order'!$A694)), 1), G693))"),"DTRLRQPDSSGHWPBCVDRWTDJLBS")</f>
        <v>DTRLRQPDSSGHWPBCVDRWTDJLBS</v>
      </c>
      <c r="H694" s="2" t="str">
        <f>IFERROR(__xludf.DUMMYFUNCTION("IF('From Order'!$A694=COLUMNS($A694:H713), LEFT(INDEX(FILTER(H$1:H693, H$1:H693&lt;&gt;""""),COUNTA(FILTER(H$1:H693, H$1:H693&lt;&gt;""""))), LEN(INDEX(FILTER(H$1:H693, H$1:H693&lt;&gt;""""),COUNTA(FILTER(H$1:H693, H$1:H693&lt;&gt;""""))))-1), IF('To Order'!$A694=COLUMNS($A694:H"&amp;"713), H693&amp;RIGHT(INDIRECT(ADDRESS(ROW(H694)-1, 'From Order'!$A694)), 1), H693))"),"ZMDTCJT")</f>
        <v>ZMDTCJT</v>
      </c>
      <c r="I694" s="2" t="str">
        <f>IFERROR(__xludf.DUMMYFUNCTION("IF('From Order'!$A694=COLUMNS($A694:I713), LEFT(INDEX(FILTER(I$1:I693, I$1:I693&lt;&gt;""""),COUNTA(FILTER(I$1:I693, I$1:I693&lt;&gt;""""))), LEN(INDEX(FILTER(I$1:I693, I$1:I693&lt;&gt;""""),COUNTA(FILTER(I$1:I693, I$1:I693&lt;&gt;""""))))-1), IF('To Order'!$A694=COLUMNS($A694:I"&amp;"713), I693&amp;RIGHT(INDIRECT(ADDRESS(ROW(I694)-1, 'From Order'!$A694)), 1), I693))"),"VPVRZHMFBBFSLTDG")</f>
        <v>VPVRZHMFBBFSLTDG</v>
      </c>
    </row>
    <row r="695">
      <c r="A695" s="2" t="str">
        <f>IFERROR(__xludf.DUMMYFUNCTION("IF('From Order'!$A695=COLUMNS($A695:A714), LEFT(INDEX(FILTER(A$1:A694, A$1:A694&lt;&gt;""""),COUNTA(FILTER(A$1:A694, A$1:A694&lt;&gt;""""))), LEN(INDEX(FILTER(A$1:A694, A$1:A694&lt;&gt;""""),COUNTA(FILTER(A$1:A694, A$1:A694&lt;&gt;""""))))-1), IF('To Order'!$A695=COLUMNS($A695:A"&amp;"714), A694&amp;RIGHT(INDIRECT(ADDRESS(ROW(A695)-1, 'From Order'!$A695)), 1), A694))"),"")</f>
        <v/>
      </c>
      <c r="B695" s="2" t="str">
        <f>IFERROR(__xludf.DUMMYFUNCTION("IF('From Order'!$A695=COLUMNS($A695:B714), LEFT(INDEX(FILTER(B$1:B694, B$1:B694&lt;&gt;""""),COUNTA(FILTER(B$1:B694, B$1:B694&lt;&gt;""""))), LEN(INDEX(FILTER(B$1:B694, B$1:B694&lt;&gt;""""),COUNTA(FILTER(B$1:B694, B$1:B694&lt;&gt;""""))))-1), IF('To Order'!$A695=COLUMNS($A695:B"&amp;"714), B694&amp;RIGHT(INDIRECT(ADDRESS(ROW(B695)-1, 'From Order'!$A695)), 1), B694))"),"JZR")</f>
        <v>JZR</v>
      </c>
      <c r="C695" s="2" t="str">
        <f>IFERROR(__xludf.DUMMYFUNCTION("IF('From Order'!$A695=COLUMNS($A695:C714), LEFT(INDEX(FILTER(C$1:C694, C$1:C694&lt;&gt;""""),COUNTA(FILTER(C$1:C694, C$1:C694&lt;&gt;""""))), LEN(INDEX(FILTER(C$1:C694, C$1:C694&lt;&gt;""""),COUNTA(FILTER(C$1:C694, C$1:C694&lt;&gt;""""))))-1), IF('To Order'!$A695=COLUMNS($A695:C"&amp;"714), C694&amp;RIGHT(INDIRECT(ADDRESS(ROW(C695)-1, 'From Order'!$A695)), 1), C694))"),"")</f>
        <v/>
      </c>
      <c r="D695" s="2" t="str">
        <f>IFERROR(__xludf.DUMMYFUNCTION("IF('From Order'!$A695=COLUMNS($A695:D714), LEFT(INDEX(FILTER(D$1:D694, D$1:D694&lt;&gt;""""),COUNTA(FILTER(D$1:D694, D$1:D694&lt;&gt;""""))), LEN(INDEX(FILTER(D$1:D694, D$1:D694&lt;&gt;""""),COUNTA(FILTER(D$1:D694, D$1:D694&lt;&gt;""""))))-1), IF('To Order'!$A695=COLUMNS($A695:D"&amp;"714), D694&amp;RIGHT(INDIRECT(ADDRESS(ROW(D695)-1, 'From Order'!$A695)), 1), D694))"),"TMQ")</f>
        <v>TMQ</v>
      </c>
      <c r="E695" s="2" t="str">
        <f>IFERROR(__xludf.DUMMYFUNCTION("IF('From Order'!$A695=COLUMNS($A695:E714), LEFT(INDEX(FILTER(E$1:E694, E$1:E694&lt;&gt;""""),COUNTA(FILTER(E$1:E694, E$1:E694&lt;&gt;""""))), LEN(INDEX(FILTER(E$1:E694, E$1:E694&lt;&gt;""""),COUNTA(FILTER(E$1:E694, E$1:E694&lt;&gt;""""))))-1), IF('To Order'!$A695=COLUMNS($A695:E"&amp;"714), E694&amp;RIGHT(INDIRECT(ADDRESS(ROW(E695)-1, 'From Order'!$A695)), 1), E694))"),"C")</f>
        <v>C</v>
      </c>
      <c r="F695" s="2" t="str">
        <f>IFERROR(__xludf.DUMMYFUNCTION("IF('From Order'!$A695=COLUMNS($A695:F714), LEFT(INDEX(FILTER(F$1:F694, F$1:F694&lt;&gt;""""),COUNTA(FILTER(F$1:F694, F$1:F694&lt;&gt;""""))), LEN(INDEX(FILTER(F$1:F694, F$1:F694&lt;&gt;""""),COUNTA(FILTER(F$1:F694, F$1:F694&lt;&gt;""""))))-1), IF('To Order'!$A695=COLUMNS($A695:F"&amp;"714), F694&amp;RIGHT(INDIRECT(ADDRESS(ROW(F695)-1, 'From Order'!$A695)), 1), F694))"),"")</f>
        <v/>
      </c>
      <c r="G695" s="2" t="str">
        <f>IFERROR(__xludf.DUMMYFUNCTION("IF('From Order'!$A695=COLUMNS($A695:G714), LEFT(INDEX(FILTER(G$1:G694, G$1:G694&lt;&gt;""""),COUNTA(FILTER(G$1:G694, G$1:G694&lt;&gt;""""))), LEN(INDEX(FILTER(G$1:G694, G$1:G694&lt;&gt;""""),COUNTA(FILTER(G$1:G694, G$1:G694&lt;&gt;""""))))-1), IF('To Order'!$A695=COLUMNS($A695:G"&amp;"714), G694&amp;RIGHT(INDIRECT(ADDRESS(ROW(G695)-1, 'From Order'!$A695)), 1), G694))"),"DTRLRQPDSSGHWPBCVDRWTDJLB")</f>
        <v>DTRLRQPDSSGHWPBCVDRWTDJLB</v>
      </c>
      <c r="H695" s="2" t="str">
        <f>IFERROR(__xludf.DUMMYFUNCTION("IF('From Order'!$A695=COLUMNS($A695:H714), LEFT(INDEX(FILTER(H$1:H694, H$1:H694&lt;&gt;""""),COUNTA(FILTER(H$1:H694, H$1:H694&lt;&gt;""""))), LEN(INDEX(FILTER(H$1:H694, H$1:H694&lt;&gt;""""),COUNTA(FILTER(H$1:H694, H$1:H694&lt;&gt;""""))))-1), IF('To Order'!$A695=COLUMNS($A695:H"&amp;"714), H694&amp;RIGHT(INDIRECT(ADDRESS(ROW(H695)-1, 'From Order'!$A695)), 1), H694))"),"ZMDTCJT")</f>
        <v>ZMDTCJT</v>
      </c>
      <c r="I695" s="2" t="str">
        <f>IFERROR(__xludf.DUMMYFUNCTION("IF('From Order'!$A695=COLUMNS($A695:I714), LEFT(INDEX(FILTER(I$1:I694, I$1:I694&lt;&gt;""""),COUNTA(FILTER(I$1:I694, I$1:I694&lt;&gt;""""))), LEN(INDEX(FILTER(I$1:I694, I$1:I694&lt;&gt;""""),COUNTA(FILTER(I$1:I694, I$1:I694&lt;&gt;""""))))-1), IF('To Order'!$A695=COLUMNS($A695:I"&amp;"714), I694&amp;RIGHT(INDIRECT(ADDRESS(ROW(I695)-1, 'From Order'!$A695)), 1), I694))"),"VPVRZHMFBBFSLTDGS")</f>
        <v>VPVRZHMFBBFSLTDGS</v>
      </c>
    </row>
    <row r="696">
      <c r="A696" s="2" t="str">
        <f>IFERROR(__xludf.DUMMYFUNCTION("IF('From Order'!$A696=COLUMNS($A696:A715), LEFT(INDEX(FILTER(A$1:A695, A$1:A695&lt;&gt;""""),COUNTA(FILTER(A$1:A695, A$1:A695&lt;&gt;""""))), LEN(INDEX(FILTER(A$1:A695, A$1:A695&lt;&gt;""""),COUNTA(FILTER(A$1:A695, A$1:A695&lt;&gt;""""))))-1), IF('To Order'!$A696=COLUMNS($A696:A"&amp;"715), A695&amp;RIGHT(INDIRECT(ADDRESS(ROW(A696)-1, 'From Order'!$A696)), 1), A695))"),"")</f>
        <v/>
      </c>
      <c r="B696" s="2" t="str">
        <f>IFERROR(__xludf.DUMMYFUNCTION("IF('From Order'!$A696=COLUMNS($A696:B715), LEFT(INDEX(FILTER(B$1:B695, B$1:B695&lt;&gt;""""),COUNTA(FILTER(B$1:B695, B$1:B695&lt;&gt;""""))), LEN(INDEX(FILTER(B$1:B695, B$1:B695&lt;&gt;""""),COUNTA(FILTER(B$1:B695, B$1:B695&lt;&gt;""""))))-1), IF('To Order'!$A696=COLUMNS($A696:B"&amp;"715), B695&amp;RIGHT(INDIRECT(ADDRESS(ROW(B696)-1, 'From Order'!$A696)), 1), B695))"),"JZR")</f>
        <v>JZR</v>
      </c>
      <c r="C696" s="2" t="str">
        <f>IFERROR(__xludf.DUMMYFUNCTION("IF('From Order'!$A696=COLUMNS($A696:C715), LEFT(INDEX(FILTER(C$1:C695, C$1:C695&lt;&gt;""""),COUNTA(FILTER(C$1:C695, C$1:C695&lt;&gt;""""))), LEN(INDEX(FILTER(C$1:C695, C$1:C695&lt;&gt;""""),COUNTA(FILTER(C$1:C695, C$1:C695&lt;&gt;""""))))-1), IF('To Order'!$A696=COLUMNS($A696:C"&amp;"715), C695&amp;RIGHT(INDIRECT(ADDRESS(ROW(C696)-1, 'From Order'!$A696)), 1), C695))"),"")</f>
        <v/>
      </c>
      <c r="D696" s="2" t="str">
        <f>IFERROR(__xludf.DUMMYFUNCTION("IF('From Order'!$A696=COLUMNS($A696:D715), LEFT(INDEX(FILTER(D$1:D695, D$1:D695&lt;&gt;""""),COUNTA(FILTER(D$1:D695, D$1:D695&lt;&gt;""""))), LEN(INDEX(FILTER(D$1:D695, D$1:D695&lt;&gt;""""),COUNTA(FILTER(D$1:D695, D$1:D695&lt;&gt;""""))))-1), IF('To Order'!$A696=COLUMNS($A696:D"&amp;"715), D695&amp;RIGHT(INDIRECT(ADDRESS(ROW(D696)-1, 'From Order'!$A696)), 1), D695))"),"TMQ")</f>
        <v>TMQ</v>
      </c>
      <c r="E696" s="2" t="str">
        <f>IFERROR(__xludf.DUMMYFUNCTION("IF('From Order'!$A696=COLUMNS($A696:E715), LEFT(INDEX(FILTER(E$1:E695, E$1:E695&lt;&gt;""""),COUNTA(FILTER(E$1:E695, E$1:E695&lt;&gt;""""))), LEN(INDEX(FILTER(E$1:E695, E$1:E695&lt;&gt;""""),COUNTA(FILTER(E$1:E695, E$1:E695&lt;&gt;""""))))-1), IF('To Order'!$A696=COLUMNS($A696:E"&amp;"715), E695&amp;RIGHT(INDIRECT(ADDRESS(ROW(E696)-1, 'From Order'!$A696)), 1), E695))"),"C")</f>
        <v>C</v>
      </c>
      <c r="F696" s="2" t="str">
        <f>IFERROR(__xludf.DUMMYFUNCTION("IF('From Order'!$A696=COLUMNS($A696:F715), LEFT(INDEX(FILTER(F$1:F695, F$1:F695&lt;&gt;""""),COUNTA(FILTER(F$1:F695, F$1:F695&lt;&gt;""""))), LEN(INDEX(FILTER(F$1:F695, F$1:F695&lt;&gt;""""),COUNTA(FILTER(F$1:F695, F$1:F695&lt;&gt;""""))))-1), IF('To Order'!$A696=COLUMNS($A696:F"&amp;"715), F695&amp;RIGHT(INDIRECT(ADDRESS(ROW(F696)-1, 'From Order'!$A696)), 1), F695))"),"")</f>
        <v/>
      </c>
      <c r="G696" s="2" t="str">
        <f>IFERROR(__xludf.DUMMYFUNCTION("IF('From Order'!$A696=COLUMNS($A696:G715), LEFT(INDEX(FILTER(G$1:G695, G$1:G695&lt;&gt;""""),COUNTA(FILTER(G$1:G695, G$1:G695&lt;&gt;""""))), LEN(INDEX(FILTER(G$1:G695, G$1:G695&lt;&gt;""""),COUNTA(FILTER(G$1:G695, G$1:G695&lt;&gt;""""))))-1), IF('To Order'!$A696=COLUMNS($A696:G"&amp;"715), G695&amp;RIGHT(INDIRECT(ADDRESS(ROW(G696)-1, 'From Order'!$A696)), 1), G695))"),"DTRLRQPDSSGHWPBCVDRWTDJL")</f>
        <v>DTRLRQPDSSGHWPBCVDRWTDJL</v>
      </c>
      <c r="H696" s="2" t="str">
        <f>IFERROR(__xludf.DUMMYFUNCTION("IF('From Order'!$A696=COLUMNS($A696:H715), LEFT(INDEX(FILTER(H$1:H695, H$1:H695&lt;&gt;""""),COUNTA(FILTER(H$1:H695, H$1:H695&lt;&gt;""""))), LEN(INDEX(FILTER(H$1:H695, H$1:H695&lt;&gt;""""),COUNTA(FILTER(H$1:H695, H$1:H695&lt;&gt;""""))))-1), IF('To Order'!$A696=COLUMNS($A696:H"&amp;"715), H695&amp;RIGHT(INDIRECT(ADDRESS(ROW(H696)-1, 'From Order'!$A696)), 1), H695))"),"ZMDTCJT")</f>
        <v>ZMDTCJT</v>
      </c>
      <c r="I696" s="2" t="str">
        <f>IFERROR(__xludf.DUMMYFUNCTION("IF('From Order'!$A696=COLUMNS($A696:I715), LEFT(INDEX(FILTER(I$1:I695, I$1:I695&lt;&gt;""""),COUNTA(FILTER(I$1:I695, I$1:I695&lt;&gt;""""))), LEN(INDEX(FILTER(I$1:I695, I$1:I695&lt;&gt;""""),COUNTA(FILTER(I$1:I695, I$1:I695&lt;&gt;""""))))-1), IF('To Order'!$A696=COLUMNS($A696:I"&amp;"715), I695&amp;RIGHT(INDIRECT(ADDRESS(ROW(I696)-1, 'From Order'!$A696)), 1), I695))"),"VPVRZHMFBBFSLTDGSB")</f>
        <v>VPVRZHMFBBFSLTDGSB</v>
      </c>
    </row>
    <row r="697">
      <c r="A697" s="2" t="str">
        <f>IFERROR(__xludf.DUMMYFUNCTION("IF('From Order'!$A697=COLUMNS($A697:A716), LEFT(INDEX(FILTER(A$1:A696, A$1:A696&lt;&gt;""""),COUNTA(FILTER(A$1:A696, A$1:A696&lt;&gt;""""))), LEN(INDEX(FILTER(A$1:A696, A$1:A696&lt;&gt;""""),COUNTA(FILTER(A$1:A696, A$1:A696&lt;&gt;""""))))-1), IF('To Order'!$A697=COLUMNS($A697:A"&amp;"716), A696&amp;RIGHT(INDIRECT(ADDRESS(ROW(A697)-1, 'From Order'!$A697)), 1), A696))"),"")</f>
        <v/>
      </c>
      <c r="B697" s="2" t="str">
        <f>IFERROR(__xludf.DUMMYFUNCTION("IF('From Order'!$A697=COLUMNS($A697:B716), LEFT(INDEX(FILTER(B$1:B696, B$1:B696&lt;&gt;""""),COUNTA(FILTER(B$1:B696, B$1:B696&lt;&gt;""""))), LEN(INDEX(FILTER(B$1:B696, B$1:B696&lt;&gt;""""),COUNTA(FILTER(B$1:B696, B$1:B696&lt;&gt;""""))))-1), IF('To Order'!$A697=COLUMNS($A697:B"&amp;"716), B696&amp;RIGHT(INDIRECT(ADDRESS(ROW(B697)-1, 'From Order'!$A697)), 1), B696))"),"JZR")</f>
        <v>JZR</v>
      </c>
      <c r="C697" s="2" t="str">
        <f>IFERROR(__xludf.DUMMYFUNCTION("IF('From Order'!$A697=COLUMNS($A697:C716), LEFT(INDEX(FILTER(C$1:C696, C$1:C696&lt;&gt;""""),COUNTA(FILTER(C$1:C696, C$1:C696&lt;&gt;""""))), LEN(INDEX(FILTER(C$1:C696, C$1:C696&lt;&gt;""""),COUNTA(FILTER(C$1:C696, C$1:C696&lt;&gt;""""))))-1), IF('To Order'!$A697=COLUMNS($A697:C"&amp;"716), C696&amp;RIGHT(INDIRECT(ADDRESS(ROW(C697)-1, 'From Order'!$A697)), 1), C696))"),"")</f>
        <v/>
      </c>
      <c r="D697" s="2" t="str">
        <f>IFERROR(__xludf.DUMMYFUNCTION("IF('From Order'!$A697=COLUMNS($A697:D716), LEFT(INDEX(FILTER(D$1:D696, D$1:D696&lt;&gt;""""),COUNTA(FILTER(D$1:D696, D$1:D696&lt;&gt;""""))), LEN(INDEX(FILTER(D$1:D696, D$1:D696&lt;&gt;""""),COUNTA(FILTER(D$1:D696, D$1:D696&lt;&gt;""""))))-1), IF('To Order'!$A697=COLUMNS($A697:D"&amp;"716), D696&amp;RIGHT(INDIRECT(ADDRESS(ROW(D697)-1, 'From Order'!$A697)), 1), D696))"),"TMQ")</f>
        <v>TMQ</v>
      </c>
      <c r="E697" s="2" t="str">
        <f>IFERROR(__xludf.DUMMYFUNCTION("IF('From Order'!$A697=COLUMNS($A697:E716), LEFT(INDEX(FILTER(E$1:E696, E$1:E696&lt;&gt;""""),COUNTA(FILTER(E$1:E696, E$1:E696&lt;&gt;""""))), LEN(INDEX(FILTER(E$1:E696, E$1:E696&lt;&gt;""""),COUNTA(FILTER(E$1:E696, E$1:E696&lt;&gt;""""))))-1), IF('To Order'!$A697=COLUMNS($A697:E"&amp;"716), E696&amp;RIGHT(INDIRECT(ADDRESS(ROW(E697)-1, 'From Order'!$A697)), 1), E696))"),"C")</f>
        <v>C</v>
      </c>
      <c r="F697" s="2" t="str">
        <f>IFERROR(__xludf.DUMMYFUNCTION("IF('From Order'!$A697=COLUMNS($A697:F716), LEFT(INDEX(FILTER(F$1:F696, F$1:F696&lt;&gt;""""),COUNTA(FILTER(F$1:F696, F$1:F696&lt;&gt;""""))), LEN(INDEX(FILTER(F$1:F696, F$1:F696&lt;&gt;""""),COUNTA(FILTER(F$1:F696, F$1:F696&lt;&gt;""""))))-1), IF('To Order'!$A697=COLUMNS($A697:F"&amp;"716), F696&amp;RIGHT(INDIRECT(ADDRESS(ROW(F697)-1, 'From Order'!$A697)), 1), F696))"),"")</f>
        <v/>
      </c>
      <c r="G697" s="2" t="str">
        <f>IFERROR(__xludf.DUMMYFUNCTION("IF('From Order'!$A697=COLUMNS($A697:G716), LEFT(INDEX(FILTER(G$1:G696, G$1:G696&lt;&gt;""""),COUNTA(FILTER(G$1:G696, G$1:G696&lt;&gt;""""))), LEN(INDEX(FILTER(G$1:G696, G$1:G696&lt;&gt;""""),COUNTA(FILTER(G$1:G696, G$1:G696&lt;&gt;""""))))-1), IF('To Order'!$A697=COLUMNS($A697:G"&amp;"716), G696&amp;RIGHT(INDIRECT(ADDRESS(ROW(G697)-1, 'From Order'!$A697)), 1), G696))"),"DTRLRQPDSSGHWPBCVDRWTDJ")</f>
        <v>DTRLRQPDSSGHWPBCVDRWTDJ</v>
      </c>
      <c r="H697" s="2" t="str">
        <f>IFERROR(__xludf.DUMMYFUNCTION("IF('From Order'!$A697=COLUMNS($A697:H716), LEFT(INDEX(FILTER(H$1:H696, H$1:H696&lt;&gt;""""),COUNTA(FILTER(H$1:H696, H$1:H696&lt;&gt;""""))), LEN(INDEX(FILTER(H$1:H696, H$1:H696&lt;&gt;""""),COUNTA(FILTER(H$1:H696, H$1:H696&lt;&gt;""""))))-1), IF('To Order'!$A697=COLUMNS($A697:H"&amp;"716), H696&amp;RIGHT(INDIRECT(ADDRESS(ROW(H697)-1, 'From Order'!$A697)), 1), H696))"),"ZMDTCJT")</f>
        <v>ZMDTCJT</v>
      </c>
      <c r="I697" s="2" t="str">
        <f>IFERROR(__xludf.DUMMYFUNCTION("IF('From Order'!$A697=COLUMNS($A697:I716), LEFT(INDEX(FILTER(I$1:I696, I$1:I696&lt;&gt;""""),COUNTA(FILTER(I$1:I696, I$1:I696&lt;&gt;""""))), LEN(INDEX(FILTER(I$1:I696, I$1:I696&lt;&gt;""""),COUNTA(FILTER(I$1:I696, I$1:I696&lt;&gt;""""))))-1), IF('To Order'!$A697=COLUMNS($A697:I"&amp;"716), I696&amp;RIGHT(INDIRECT(ADDRESS(ROW(I697)-1, 'From Order'!$A697)), 1), I696))"),"VPVRZHMFBBFSLTDGSBL")</f>
        <v>VPVRZHMFBBFSLTDGSBL</v>
      </c>
    </row>
    <row r="698">
      <c r="A698" s="2" t="str">
        <f>IFERROR(__xludf.DUMMYFUNCTION("IF('From Order'!$A698=COLUMNS($A698:A717), LEFT(INDEX(FILTER(A$1:A697, A$1:A697&lt;&gt;""""),COUNTA(FILTER(A$1:A697, A$1:A697&lt;&gt;""""))), LEN(INDEX(FILTER(A$1:A697, A$1:A697&lt;&gt;""""),COUNTA(FILTER(A$1:A697, A$1:A697&lt;&gt;""""))))-1), IF('To Order'!$A698=COLUMNS($A698:A"&amp;"717), A697&amp;RIGHT(INDIRECT(ADDRESS(ROW(A698)-1, 'From Order'!$A698)), 1), A697))"),"")</f>
        <v/>
      </c>
      <c r="B698" s="2" t="str">
        <f>IFERROR(__xludf.DUMMYFUNCTION("IF('From Order'!$A698=COLUMNS($A698:B717), LEFT(INDEX(FILTER(B$1:B697, B$1:B697&lt;&gt;""""),COUNTA(FILTER(B$1:B697, B$1:B697&lt;&gt;""""))), LEN(INDEX(FILTER(B$1:B697, B$1:B697&lt;&gt;""""),COUNTA(FILTER(B$1:B697, B$1:B697&lt;&gt;""""))))-1), IF('To Order'!$A698=COLUMNS($A698:B"&amp;"717), B697&amp;RIGHT(INDIRECT(ADDRESS(ROW(B698)-1, 'From Order'!$A698)), 1), B697))"),"JZR")</f>
        <v>JZR</v>
      </c>
      <c r="C698" s="2" t="str">
        <f>IFERROR(__xludf.DUMMYFUNCTION("IF('From Order'!$A698=COLUMNS($A698:C717), LEFT(INDEX(FILTER(C$1:C697, C$1:C697&lt;&gt;""""),COUNTA(FILTER(C$1:C697, C$1:C697&lt;&gt;""""))), LEN(INDEX(FILTER(C$1:C697, C$1:C697&lt;&gt;""""),COUNTA(FILTER(C$1:C697, C$1:C697&lt;&gt;""""))))-1), IF('To Order'!$A698=COLUMNS($A698:C"&amp;"717), C697&amp;RIGHT(INDIRECT(ADDRESS(ROW(C698)-1, 'From Order'!$A698)), 1), C697))"),"")</f>
        <v/>
      </c>
      <c r="D698" s="2" t="str">
        <f>IFERROR(__xludf.DUMMYFUNCTION("IF('From Order'!$A698=COLUMNS($A698:D717), LEFT(INDEX(FILTER(D$1:D697, D$1:D697&lt;&gt;""""),COUNTA(FILTER(D$1:D697, D$1:D697&lt;&gt;""""))), LEN(INDEX(FILTER(D$1:D697, D$1:D697&lt;&gt;""""),COUNTA(FILTER(D$1:D697, D$1:D697&lt;&gt;""""))))-1), IF('To Order'!$A698=COLUMNS($A698:D"&amp;"717), D697&amp;RIGHT(INDIRECT(ADDRESS(ROW(D698)-1, 'From Order'!$A698)), 1), D697))"),"TMQ")</f>
        <v>TMQ</v>
      </c>
      <c r="E698" s="2" t="str">
        <f>IFERROR(__xludf.DUMMYFUNCTION("IF('From Order'!$A698=COLUMNS($A698:E717), LEFT(INDEX(FILTER(E$1:E697, E$1:E697&lt;&gt;""""),COUNTA(FILTER(E$1:E697, E$1:E697&lt;&gt;""""))), LEN(INDEX(FILTER(E$1:E697, E$1:E697&lt;&gt;""""),COUNTA(FILTER(E$1:E697, E$1:E697&lt;&gt;""""))))-1), IF('To Order'!$A698=COLUMNS($A698:E"&amp;"717), E697&amp;RIGHT(INDIRECT(ADDRESS(ROW(E698)-1, 'From Order'!$A698)), 1), E697))"),"C")</f>
        <v>C</v>
      </c>
      <c r="F698" s="2" t="str">
        <f>IFERROR(__xludf.DUMMYFUNCTION("IF('From Order'!$A698=COLUMNS($A698:F717), LEFT(INDEX(FILTER(F$1:F697, F$1:F697&lt;&gt;""""),COUNTA(FILTER(F$1:F697, F$1:F697&lt;&gt;""""))), LEN(INDEX(FILTER(F$1:F697, F$1:F697&lt;&gt;""""),COUNTA(FILTER(F$1:F697, F$1:F697&lt;&gt;""""))))-1), IF('To Order'!$A698=COLUMNS($A698:F"&amp;"717), F697&amp;RIGHT(INDIRECT(ADDRESS(ROW(F698)-1, 'From Order'!$A698)), 1), F697))"),"")</f>
        <v/>
      </c>
      <c r="G698" s="2" t="str">
        <f>IFERROR(__xludf.DUMMYFUNCTION("IF('From Order'!$A698=COLUMNS($A698:G717), LEFT(INDEX(FILTER(G$1:G697, G$1:G697&lt;&gt;""""),COUNTA(FILTER(G$1:G697, G$1:G697&lt;&gt;""""))), LEN(INDEX(FILTER(G$1:G697, G$1:G697&lt;&gt;""""),COUNTA(FILTER(G$1:G697, G$1:G697&lt;&gt;""""))))-1), IF('To Order'!$A698=COLUMNS($A698:G"&amp;"717), G697&amp;RIGHT(INDIRECT(ADDRESS(ROW(G698)-1, 'From Order'!$A698)), 1), G697))"),"DTRLRQPDSSGHWPBCVDRWTD")</f>
        <v>DTRLRQPDSSGHWPBCVDRWTD</v>
      </c>
      <c r="H698" s="2" t="str">
        <f>IFERROR(__xludf.DUMMYFUNCTION("IF('From Order'!$A698=COLUMNS($A698:H717), LEFT(INDEX(FILTER(H$1:H697, H$1:H697&lt;&gt;""""),COUNTA(FILTER(H$1:H697, H$1:H697&lt;&gt;""""))), LEN(INDEX(FILTER(H$1:H697, H$1:H697&lt;&gt;""""),COUNTA(FILTER(H$1:H697, H$1:H697&lt;&gt;""""))))-1), IF('To Order'!$A698=COLUMNS($A698:H"&amp;"717), H697&amp;RIGHT(INDIRECT(ADDRESS(ROW(H698)-1, 'From Order'!$A698)), 1), H697))"),"ZMDTCJT")</f>
        <v>ZMDTCJT</v>
      </c>
      <c r="I698" s="2" t="str">
        <f>IFERROR(__xludf.DUMMYFUNCTION("IF('From Order'!$A698=COLUMNS($A698:I717), LEFT(INDEX(FILTER(I$1:I697, I$1:I697&lt;&gt;""""),COUNTA(FILTER(I$1:I697, I$1:I697&lt;&gt;""""))), LEN(INDEX(FILTER(I$1:I697, I$1:I697&lt;&gt;""""),COUNTA(FILTER(I$1:I697, I$1:I697&lt;&gt;""""))))-1), IF('To Order'!$A698=COLUMNS($A698:I"&amp;"717), I697&amp;RIGHT(INDIRECT(ADDRESS(ROW(I698)-1, 'From Order'!$A698)), 1), I697))"),"VPVRZHMFBBFSLTDGSBLJ")</f>
        <v>VPVRZHMFBBFSLTDGSBLJ</v>
      </c>
    </row>
    <row r="699">
      <c r="A699" s="2" t="str">
        <f>IFERROR(__xludf.DUMMYFUNCTION("IF('From Order'!$A699=COLUMNS($A699:A718), LEFT(INDEX(FILTER(A$1:A698, A$1:A698&lt;&gt;""""),COUNTA(FILTER(A$1:A698, A$1:A698&lt;&gt;""""))), LEN(INDEX(FILTER(A$1:A698, A$1:A698&lt;&gt;""""),COUNTA(FILTER(A$1:A698, A$1:A698&lt;&gt;""""))))-1), IF('To Order'!$A699=COLUMNS($A699:A"&amp;"718), A698&amp;RIGHT(INDIRECT(ADDRESS(ROW(A699)-1, 'From Order'!$A699)), 1), A698))"),"")</f>
        <v/>
      </c>
      <c r="B699" s="2" t="str">
        <f>IFERROR(__xludf.DUMMYFUNCTION("IF('From Order'!$A699=COLUMNS($A699:B718), LEFT(INDEX(FILTER(B$1:B698, B$1:B698&lt;&gt;""""),COUNTA(FILTER(B$1:B698, B$1:B698&lt;&gt;""""))), LEN(INDEX(FILTER(B$1:B698, B$1:B698&lt;&gt;""""),COUNTA(FILTER(B$1:B698, B$1:B698&lt;&gt;""""))))-1), IF('To Order'!$A699=COLUMNS($A699:B"&amp;"718), B698&amp;RIGHT(INDIRECT(ADDRESS(ROW(B699)-1, 'From Order'!$A699)), 1), B698))"),"JZR")</f>
        <v>JZR</v>
      </c>
      <c r="C699" s="2" t="str">
        <f>IFERROR(__xludf.DUMMYFUNCTION("IF('From Order'!$A699=COLUMNS($A699:C718), LEFT(INDEX(FILTER(C$1:C698, C$1:C698&lt;&gt;""""),COUNTA(FILTER(C$1:C698, C$1:C698&lt;&gt;""""))), LEN(INDEX(FILTER(C$1:C698, C$1:C698&lt;&gt;""""),COUNTA(FILTER(C$1:C698, C$1:C698&lt;&gt;""""))))-1), IF('To Order'!$A699=COLUMNS($A699:C"&amp;"718), C698&amp;RIGHT(INDIRECT(ADDRESS(ROW(C699)-1, 'From Order'!$A699)), 1), C698))"),"")</f>
        <v/>
      </c>
      <c r="D699" s="2" t="str">
        <f>IFERROR(__xludf.DUMMYFUNCTION("IF('From Order'!$A699=COLUMNS($A699:D718), LEFT(INDEX(FILTER(D$1:D698, D$1:D698&lt;&gt;""""),COUNTA(FILTER(D$1:D698, D$1:D698&lt;&gt;""""))), LEN(INDEX(FILTER(D$1:D698, D$1:D698&lt;&gt;""""),COUNTA(FILTER(D$1:D698, D$1:D698&lt;&gt;""""))))-1), IF('To Order'!$A699=COLUMNS($A699:D"&amp;"718), D698&amp;RIGHT(INDIRECT(ADDRESS(ROW(D699)-1, 'From Order'!$A699)), 1), D698))"),"TMQ")</f>
        <v>TMQ</v>
      </c>
      <c r="E699" s="2" t="str">
        <f>IFERROR(__xludf.DUMMYFUNCTION("IF('From Order'!$A699=COLUMNS($A699:E718), LEFT(INDEX(FILTER(E$1:E698, E$1:E698&lt;&gt;""""),COUNTA(FILTER(E$1:E698, E$1:E698&lt;&gt;""""))), LEN(INDEX(FILTER(E$1:E698, E$1:E698&lt;&gt;""""),COUNTA(FILTER(E$1:E698, E$1:E698&lt;&gt;""""))))-1), IF('To Order'!$A699=COLUMNS($A699:E"&amp;"718), E698&amp;RIGHT(INDIRECT(ADDRESS(ROW(E699)-1, 'From Order'!$A699)), 1), E698))"),"C")</f>
        <v>C</v>
      </c>
      <c r="F699" s="2" t="str">
        <f>IFERROR(__xludf.DUMMYFUNCTION("IF('From Order'!$A699=COLUMNS($A699:F718), LEFT(INDEX(FILTER(F$1:F698, F$1:F698&lt;&gt;""""),COUNTA(FILTER(F$1:F698, F$1:F698&lt;&gt;""""))), LEN(INDEX(FILTER(F$1:F698, F$1:F698&lt;&gt;""""),COUNTA(FILTER(F$1:F698, F$1:F698&lt;&gt;""""))))-1), IF('To Order'!$A699=COLUMNS($A699:F"&amp;"718), F698&amp;RIGHT(INDIRECT(ADDRESS(ROW(F699)-1, 'From Order'!$A699)), 1), F698))"),"")</f>
        <v/>
      </c>
      <c r="G699" s="2" t="str">
        <f>IFERROR(__xludf.DUMMYFUNCTION("IF('From Order'!$A699=COLUMNS($A699:G718), LEFT(INDEX(FILTER(G$1:G698, G$1:G698&lt;&gt;""""),COUNTA(FILTER(G$1:G698, G$1:G698&lt;&gt;""""))), LEN(INDEX(FILTER(G$1:G698, G$1:G698&lt;&gt;""""),COUNTA(FILTER(G$1:G698, G$1:G698&lt;&gt;""""))))-1), IF('To Order'!$A699=COLUMNS($A699:G"&amp;"718), G698&amp;RIGHT(INDIRECT(ADDRESS(ROW(G699)-1, 'From Order'!$A699)), 1), G698))"),"DTRLRQPDSSGHWPBCVDRWT")</f>
        <v>DTRLRQPDSSGHWPBCVDRWT</v>
      </c>
      <c r="H699" s="2" t="str">
        <f>IFERROR(__xludf.DUMMYFUNCTION("IF('From Order'!$A699=COLUMNS($A699:H718), LEFT(INDEX(FILTER(H$1:H698, H$1:H698&lt;&gt;""""),COUNTA(FILTER(H$1:H698, H$1:H698&lt;&gt;""""))), LEN(INDEX(FILTER(H$1:H698, H$1:H698&lt;&gt;""""),COUNTA(FILTER(H$1:H698, H$1:H698&lt;&gt;""""))))-1), IF('To Order'!$A699=COLUMNS($A699:H"&amp;"718), H698&amp;RIGHT(INDIRECT(ADDRESS(ROW(H699)-1, 'From Order'!$A699)), 1), H698))"),"ZMDTCJT")</f>
        <v>ZMDTCJT</v>
      </c>
      <c r="I699" s="2" t="str">
        <f>IFERROR(__xludf.DUMMYFUNCTION("IF('From Order'!$A699=COLUMNS($A699:I718), LEFT(INDEX(FILTER(I$1:I698, I$1:I698&lt;&gt;""""),COUNTA(FILTER(I$1:I698, I$1:I698&lt;&gt;""""))), LEN(INDEX(FILTER(I$1:I698, I$1:I698&lt;&gt;""""),COUNTA(FILTER(I$1:I698, I$1:I698&lt;&gt;""""))))-1), IF('To Order'!$A699=COLUMNS($A699:I"&amp;"718), I698&amp;RIGHT(INDIRECT(ADDRESS(ROW(I699)-1, 'From Order'!$A699)), 1), I698))"),"VPVRZHMFBBFSLTDGSBLJD")</f>
        <v>VPVRZHMFBBFSLTDGSBLJD</v>
      </c>
    </row>
    <row r="700">
      <c r="A700" s="2" t="str">
        <f>IFERROR(__xludf.DUMMYFUNCTION("IF('From Order'!$A700=COLUMNS($A700:A719), LEFT(INDEX(FILTER(A$1:A699, A$1:A699&lt;&gt;""""),COUNTA(FILTER(A$1:A699, A$1:A699&lt;&gt;""""))), LEN(INDEX(FILTER(A$1:A699, A$1:A699&lt;&gt;""""),COUNTA(FILTER(A$1:A699, A$1:A699&lt;&gt;""""))))-1), IF('To Order'!$A700=COLUMNS($A700:A"&amp;"719), A699&amp;RIGHT(INDIRECT(ADDRESS(ROW(A700)-1, 'From Order'!$A700)), 1), A699))"),"")</f>
        <v/>
      </c>
      <c r="B700" s="2" t="str">
        <f>IFERROR(__xludf.DUMMYFUNCTION("IF('From Order'!$A700=COLUMNS($A700:B719), LEFT(INDEX(FILTER(B$1:B699, B$1:B699&lt;&gt;""""),COUNTA(FILTER(B$1:B699, B$1:B699&lt;&gt;""""))), LEN(INDEX(FILTER(B$1:B699, B$1:B699&lt;&gt;""""),COUNTA(FILTER(B$1:B699, B$1:B699&lt;&gt;""""))))-1), IF('To Order'!$A700=COLUMNS($A700:B"&amp;"719), B699&amp;RIGHT(INDIRECT(ADDRESS(ROW(B700)-1, 'From Order'!$A700)), 1), B699))"),"JZR")</f>
        <v>JZR</v>
      </c>
      <c r="C700" s="2" t="str">
        <f>IFERROR(__xludf.DUMMYFUNCTION("IF('From Order'!$A700=COLUMNS($A700:C719), LEFT(INDEX(FILTER(C$1:C699, C$1:C699&lt;&gt;""""),COUNTA(FILTER(C$1:C699, C$1:C699&lt;&gt;""""))), LEN(INDEX(FILTER(C$1:C699, C$1:C699&lt;&gt;""""),COUNTA(FILTER(C$1:C699, C$1:C699&lt;&gt;""""))))-1), IF('To Order'!$A700=COLUMNS($A700:C"&amp;"719), C699&amp;RIGHT(INDIRECT(ADDRESS(ROW(C700)-1, 'From Order'!$A700)), 1), C699))"),"")</f>
        <v/>
      </c>
      <c r="D700" s="2" t="str">
        <f>IFERROR(__xludf.DUMMYFUNCTION("IF('From Order'!$A700=COLUMNS($A700:D719), LEFT(INDEX(FILTER(D$1:D699, D$1:D699&lt;&gt;""""),COUNTA(FILTER(D$1:D699, D$1:D699&lt;&gt;""""))), LEN(INDEX(FILTER(D$1:D699, D$1:D699&lt;&gt;""""),COUNTA(FILTER(D$1:D699, D$1:D699&lt;&gt;""""))))-1), IF('To Order'!$A700=COLUMNS($A700:D"&amp;"719), D699&amp;RIGHT(INDIRECT(ADDRESS(ROW(D700)-1, 'From Order'!$A700)), 1), D699))"),"TMQ")</f>
        <v>TMQ</v>
      </c>
      <c r="E700" s="2" t="str">
        <f>IFERROR(__xludf.DUMMYFUNCTION("IF('From Order'!$A700=COLUMNS($A700:E719), LEFT(INDEX(FILTER(E$1:E699, E$1:E699&lt;&gt;""""),COUNTA(FILTER(E$1:E699, E$1:E699&lt;&gt;""""))), LEN(INDEX(FILTER(E$1:E699, E$1:E699&lt;&gt;""""),COUNTA(FILTER(E$1:E699, E$1:E699&lt;&gt;""""))))-1), IF('To Order'!$A700=COLUMNS($A700:E"&amp;"719), E699&amp;RIGHT(INDIRECT(ADDRESS(ROW(E700)-1, 'From Order'!$A700)), 1), E699))"),"C")</f>
        <v>C</v>
      </c>
      <c r="F700" s="2" t="str">
        <f>IFERROR(__xludf.DUMMYFUNCTION("IF('From Order'!$A700=COLUMNS($A700:F719), LEFT(INDEX(FILTER(F$1:F699, F$1:F699&lt;&gt;""""),COUNTA(FILTER(F$1:F699, F$1:F699&lt;&gt;""""))), LEN(INDEX(FILTER(F$1:F699, F$1:F699&lt;&gt;""""),COUNTA(FILTER(F$1:F699, F$1:F699&lt;&gt;""""))))-1), IF('To Order'!$A700=COLUMNS($A700:F"&amp;"719), F699&amp;RIGHT(INDIRECT(ADDRESS(ROW(F700)-1, 'From Order'!$A700)), 1), F699))"),"")</f>
        <v/>
      </c>
      <c r="G700" s="2" t="str">
        <f>IFERROR(__xludf.DUMMYFUNCTION("IF('From Order'!$A700=COLUMNS($A700:G719), LEFT(INDEX(FILTER(G$1:G699, G$1:G699&lt;&gt;""""),COUNTA(FILTER(G$1:G699, G$1:G699&lt;&gt;""""))), LEN(INDEX(FILTER(G$1:G699, G$1:G699&lt;&gt;""""),COUNTA(FILTER(G$1:G699, G$1:G699&lt;&gt;""""))))-1), IF('To Order'!$A700=COLUMNS($A700:G"&amp;"719), G699&amp;RIGHT(INDIRECT(ADDRESS(ROW(G700)-1, 'From Order'!$A700)), 1), G699))"),"DTRLRQPDSSGHWPBCVDRW")</f>
        <v>DTRLRQPDSSGHWPBCVDRW</v>
      </c>
      <c r="H700" s="2" t="str">
        <f>IFERROR(__xludf.DUMMYFUNCTION("IF('From Order'!$A700=COLUMNS($A700:H719), LEFT(INDEX(FILTER(H$1:H699, H$1:H699&lt;&gt;""""),COUNTA(FILTER(H$1:H699, H$1:H699&lt;&gt;""""))), LEN(INDEX(FILTER(H$1:H699, H$1:H699&lt;&gt;""""),COUNTA(FILTER(H$1:H699, H$1:H699&lt;&gt;""""))))-1), IF('To Order'!$A700=COLUMNS($A700:H"&amp;"719), H699&amp;RIGHT(INDIRECT(ADDRESS(ROW(H700)-1, 'From Order'!$A700)), 1), H699))"),"ZMDTCJT")</f>
        <v>ZMDTCJT</v>
      </c>
      <c r="I700" s="2" t="str">
        <f>IFERROR(__xludf.DUMMYFUNCTION("IF('From Order'!$A700=COLUMNS($A700:I719), LEFT(INDEX(FILTER(I$1:I699, I$1:I699&lt;&gt;""""),COUNTA(FILTER(I$1:I699, I$1:I699&lt;&gt;""""))), LEN(INDEX(FILTER(I$1:I699, I$1:I699&lt;&gt;""""),COUNTA(FILTER(I$1:I699, I$1:I699&lt;&gt;""""))))-1), IF('To Order'!$A700=COLUMNS($A700:I"&amp;"719), I699&amp;RIGHT(INDIRECT(ADDRESS(ROW(I700)-1, 'From Order'!$A700)), 1), I699))"),"VPVRZHMFBBFSLTDGSBLJDT")</f>
        <v>VPVRZHMFBBFSLTDGSBLJDT</v>
      </c>
    </row>
    <row r="701">
      <c r="A701" s="2" t="str">
        <f>IFERROR(__xludf.DUMMYFUNCTION("IF('From Order'!$A701=COLUMNS($A701:A720), LEFT(INDEX(FILTER(A$1:A700, A$1:A700&lt;&gt;""""),COUNTA(FILTER(A$1:A700, A$1:A700&lt;&gt;""""))), LEN(INDEX(FILTER(A$1:A700, A$1:A700&lt;&gt;""""),COUNTA(FILTER(A$1:A700, A$1:A700&lt;&gt;""""))))-1), IF('To Order'!$A701=COLUMNS($A701:A"&amp;"720), A700&amp;RIGHT(INDIRECT(ADDRESS(ROW(A701)-1, 'From Order'!$A701)), 1), A700))"),"")</f>
        <v/>
      </c>
      <c r="B701" s="2" t="str">
        <f>IFERROR(__xludf.DUMMYFUNCTION("IF('From Order'!$A701=COLUMNS($A701:B720), LEFT(INDEX(FILTER(B$1:B700, B$1:B700&lt;&gt;""""),COUNTA(FILTER(B$1:B700, B$1:B700&lt;&gt;""""))), LEN(INDEX(FILTER(B$1:B700, B$1:B700&lt;&gt;""""),COUNTA(FILTER(B$1:B700, B$1:B700&lt;&gt;""""))))-1), IF('To Order'!$A701=COLUMNS($A701:B"&amp;"720), B700&amp;RIGHT(INDIRECT(ADDRESS(ROW(B701)-1, 'From Order'!$A701)), 1), B700))"),"JZR")</f>
        <v>JZR</v>
      </c>
      <c r="C701" s="2" t="str">
        <f>IFERROR(__xludf.DUMMYFUNCTION("IF('From Order'!$A701=COLUMNS($A701:C720), LEFT(INDEX(FILTER(C$1:C700, C$1:C700&lt;&gt;""""),COUNTA(FILTER(C$1:C700, C$1:C700&lt;&gt;""""))), LEN(INDEX(FILTER(C$1:C700, C$1:C700&lt;&gt;""""),COUNTA(FILTER(C$1:C700, C$1:C700&lt;&gt;""""))))-1), IF('To Order'!$A701=COLUMNS($A701:C"&amp;"720), C700&amp;RIGHT(INDIRECT(ADDRESS(ROW(C701)-1, 'From Order'!$A701)), 1), C700))"),"")</f>
        <v/>
      </c>
      <c r="D701" s="2" t="str">
        <f>IFERROR(__xludf.DUMMYFUNCTION("IF('From Order'!$A701=COLUMNS($A701:D720), LEFT(INDEX(FILTER(D$1:D700, D$1:D700&lt;&gt;""""),COUNTA(FILTER(D$1:D700, D$1:D700&lt;&gt;""""))), LEN(INDEX(FILTER(D$1:D700, D$1:D700&lt;&gt;""""),COUNTA(FILTER(D$1:D700, D$1:D700&lt;&gt;""""))))-1), IF('To Order'!$A701=COLUMNS($A701:D"&amp;"720), D700&amp;RIGHT(INDIRECT(ADDRESS(ROW(D701)-1, 'From Order'!$A701)), 1), D700))"),"TMQ")</f>
        <v>TMQ</v>
      </c>
      <c r="E701" s="2" t="str">
        <f>IFERROR(__xludf.DUMMYFUNCTION("IF('From Order'!$A701=COLUMNS($A701:E720), LEFT(INDEX(FILTER(E$1:E700, E$1:E700&lt;&gt;""""),COUNTA(FILTER(E$1:E700, E$1:E700&lt;&gt;""""))), LEN(INDEX(FILTER(E$1:E700, E$1:E700&lt;&gt;""""),COUNTA(FILTER(E$1:E700, E$1:E700&lt;&gt;""""))))-1), IF('To Order'!$A701=COLUMNS($A701:E"&amp;"720), E700&amp;RIGHT(INDIRECT(ADDRESS(ROW(E701)-1, 'From Order'!$A701)), 1), E700))"),"C")</f>
        <v>C</v>
      </c>
      <c r="F701" s="2" t="str">
        <f>IFERROR(__xludf.DUMMYFUNCTION("IF('From Order'!$A701=COLUMNS($A701:F720), LEFT(INDEX(FILTER(F$1:F700, F$1:F700&lt;&gt;""""),COUNTA(FILTER(F$1:F700, F$1:F700&lt;&gt;""""))), LEN(INDEX(FILTER(F$1:F700, F$1:F700&lt;&gt;""""),COUNTA(FILTER(F$1:F700, F$1:F700&lt;&gt;""""))))-1), IF('To Order'!$A701=COLUMNS($A701:F"&amp;"720), F700&amp;RIGHT(INDIRECT(ADDRESS(ROW(F701)-1, 'From Order'!$A701)), 1), F700))"),"")</f>
        <v/>
      </c>
      <c r="G701" s="2" t="str">
        <f>IFERROR(__xludf.DUMMYFUNCTION("IF('From Order'!$A701=COLUMNS($A701:G720), LEFT(INDEX(FILTER(G$1:G700, G$1:G700&lt;&gt;""""),COUNTA(FILTER(G$1:G700, G$1:G700&lt;&gt;""""))), LEN(INDEX(FILTER(G$1:G700, G$1:G700&lt;&gt;""""),COUNTA(FILTER(G$1:G700, G$1:G700&lt;&gt;""""))))-1), IF('To Order'!$A701=COLUMNS($A701:G"&amp;"720), G700&amp;RIGHT(INDIRECT(ADDRESS(ROW(G701)-1, 'From Order'!$A701)), 1), G700))"),"DTRLRQPDSSGHWPBCVDR")</f>
        <v>DTRLRQPDSSGHWPBCVDR</v>
      </c>
      <c r="H701" s="2" t="str">
        <f>IFERROR(__xludf.DUMMYFUNCTION("IF('From Order'!$A701=COLUMNS($A701:H720), LEFT(INDEX(FILTER(H$1:H700, H$1:H700&lt;&gt;""""),COUNTA(FILTER(H$1:H700, H$1:H700&lt;&gt;""""))), LEN(INDEX(FILTER(H$1:H700, H$1:H700&lt;&gt;""""),COUNTA(FILTER(H$1:H700, H$1:H700&lt;&gt;""""))))-1), IF('To Order'!$A701=COLUMNS($A701:H"&amp;"720), H700&amp;RIGHT(INDIRECT(ADDRESS(ROW(H701)-1, 'From Order'!$A701)), 1), H700))"),"ZMDTCJT")</f>
        <v>ZMDTCJT</v>
      </c>
      <c r="I701" s="2" t="str">
        <f>IFERROR(__xludf.DUMMYFUNCTION("IF('From Order'!$A701=COLUMNS($A701:I720), LEFT(INDEX(FILTER(I$1:I700, I$1:I700&lt;&gt;""""),COUNTA(FILTER(I$1:I700, I$1:I700&lt;&gt;""""))), LEN(INDEX(FILTER(I$1:I700, I$1:I700&lt;&gt;""""),COUNTA(FILTER(I$1:I700, I$1:I700&lt;&gt;""""))))-1), IF('To Order'!$A701=COLUMNS($A701:I"&amp;"720), I700&amp;RIGHT(INDIRECT(ADDRESS(ROW(I701)-1, 'From Order'!$A701)), 1), I700))"),"VPVRZHMFBBFSLTDGSBLJDTW")</f>
        <v>VPVRZHMFBBFSLTDGSBLJDTW</v>
      </c>
    </row>
    <row r="702">
      <c r="A702" s="2" t="str">
        <f>IFERROR(__xludf.DUMMYFUNCTION("IF('From Order'!$A702=COLUMNS($A702:A721), LEFT(INDEX(FILTER(A$1:A701, A$1:A701&lt;&gt;""""),COUNTA(FILTER(A$1:A701, A$1:A701&lt;&gt;""""))), LEN(INDEX(FILTER(A$1:A701, A$1:A701&lt;&gt;""""),COUNTA(FILTER(A$1:A701, A$1:A701&lt;&gt;""""))))-1), IF('To Order'!$A702=COLUMNS($A702:A"&amp;"721), A701&amp;RIGHT(INDIRECT(ADDRESS(ROW(A702)-1, 'From Order'!$A702)), 1), A701))"),"")</f>
        <v/>
      </c>
      <c r="B702" s="2" t="str">
        <f>IFERROR(__xludf.DUMMYFUNCTION("IF('From Order'!$A702=COLUMNS($A702:B721), LEFT(INDEX(FILTER(B$1:B701, B$1:B701&lt;&gt;""""),COUNTA(FILTER(B$1:B701, B$1:B701&lt;&gt;""""))), LEN(INDEX(FILTER(B$1:B701, B$1:B701&lt;&gt;""""),COUNTA(FILTER(B$1:B701, B$1:B701&lt;&gt;""""))))-1), IF('To Order'!$A702=COLUMNS($A702:B"&amp;"721), B701&amp;RIGHT(INDIRECT(ADDRESS(ROW(B702)-1, 'From Order'!$A702)), 1), B701))"),"JZR")</f>
        <v>JZR</v>
      </c>
      <c r="C702" s="2" t="str">
        <f>IFERROR(__xludf.DUMMYFUNCTION("IF('From Order'!$A702=COLUMNS($A702:C721), LEFT(INDEX(FILTER(C$1:C701, C$1:C701&lt;&gt;""""),COUNTA(FILTER(C$1:C701, C$1:C701&lt;&gt;""""))), LEN(INDEX(FILTER(C$1:C701, C$1:C701&lt;&gt;""""),COUNTA(FILTER(C$1:C701, C$1:C701&lt;&gt;""""))))-1), IF('To Order'!$A702=COLUMNS($A702:C"&amp;"721), C701&amp;RIGHT(INDIRECT(ADDRESS(ROW(C702)-1, 'From Order'!$A702)), 1), C701))"),"")</f>
        <v/>
      </c>
      <c r="D702" s="2" t="str">
        <f>IFERROR(__xludf.DUMMYFUNCTION("IF('From Order'!$A702=COLUMNS($A702:D721), LEFT(INDEX(FILTER(D$1:D701, D$1:D701&lt;&gt;""""),COUNTA(FILTER(D$1:D701, D$1:D701&lt;&gt;""""))), LEN(INDEX(FILTER(D$1:D701, D$1:D701&lt;&gt;""""),COUNTA(FILTER(D$1:D701, D$1:D701&lt;&gt;""""))))-1), IF('To Order'!$A702=COLUMNS($A702:D"&amp;"721), D701&amp;RIGHT(INDIRECT(ADDRESS(ROW(D702)-1, 'From Order'!$A702)), 1), D701))"),"TMQ")</f>
        <v>TMQ</v>
      </c>
      <c r="E702" s="2" t="str">
        <f>IFERROR(__xludf.DUMMYFUNCTION("IF('From Order'!$A702=COLUMNS($A702:E721), LEFT(INDEX(FILTER(E$1:E701, E$1:E701&lt;&gt;""""),COUNTA(FILTER(E$1:E701, E$1:E701&lt;&gt;""""))), LEN(INDEX(FILTER(E$1:E701, E$1:E701&lt;&gt;""""),COUNTA(FILTER(E$1:E701, E$1:E701&lt;&gt;""""))))-1), IF('To Order'!$A702=COLUMNS($A702:E"&amp;"721), E701&amp;RIGHT(INDIRECT(ADDRESS(ROW(E702)-1, 'From Order'!$A702)), 1), E701))"),"C")</f>
        <v>C</v>
      </c>
      <c r="F702" s="2" t="str">
        <f>IFERROR(__xludf.DUMMYFUNCTION("IF('From Order'!$A702=COLUMNS($A702:F721), LEFT(INDEX(FILTER(F$1:F701, F$1:F701&lt;&gt;""""),COUNTA(FILTER(F$1:F701, F$1:F701&lt;&gt;""""))), LEN(INDEX(FILTER(F$1:F701, F$1:F701&lt;&gt;""""),COUNTA(FILTER(F$1:F701, F$1:F701&lt;&gt;""""))))-1), IF('To Order'!$A702=COLUMNS($A702:F"&amp;"721), F701&amp;RIGHT(INDIRECT(ADDRESS(ROW(F702)-1, 'From Order'!$A702)), 1), F701))"),"")</f>
        <v/>
      </c>
      <c r="G702" s="2" t="str">
        <f>IFERROR(__xludf.DUMMYFUNCTION("IF('From Order'!$A702=COLUMNS($A702:G721), LEFT(INDEX(FILTER(G$1:G701, G$1:G701&lt;&gt;""""),COUNTA(FILTER(G$1:G701, G$1:G701&lt;&gt;""""))), LEN(INDEX(FILTER(G$1:G701, G$1:G701&lt;&gt;""""),COUNTA(FILTER(G$1:G701, G$1:G701&lt;&gt;""""))))-1), IF('To Order'!$A702=COLUMNS($A702:G"&amp;"721), G701&amp;RIGHT(INDIRECT(ADDRESS(ROW(G702)-1, 'From Order'!$A702)), 1), G701))"),"DTRLRQPDSSGHWPBCVD")</f>
        <v>DTRLRQPDSSGHWPBCVD</v>
      </c>
      <c r="H702" s="2" t="str">
        <f>IFERROR(__xludf.DUMMYFUNCTION("IF('From Order'!$A702=COLUMNS($A702:H721), LEFT(INDEX(FILTER(H$1:H701, H$1:H701&lt;&gt;""""),COUNTA(FILTER(H$1:H701, H$1:H701&lt;&gt;""""))), LEN(INDEX(FILTER(H$1:H701, H$1:H701&lt;&gt;""""),COUNTA(FILTER(H$1:H701, H$1:H701&lt;&gt;""""))))-1), IF('To Order'!$A702=COLUMNS($A702:H"&amp;"721), H701&amp;RIGHT(INDIRECT(ADDRESS(ROW(H702)-1, 'From Order'!$A702)), 1), H701))"),"ZMDTCJT")</f>
        <v>ZMDTCJT</v>
      </c>
      <c r="I702" s="2" t="str">
        <f>IFERROR(__xludf.DUMMYFUNCTION("IF('From Order'!$A702=COLUMNS($A702:I721), LEFT(INDEX(FILTER(I$1:I701, I$1:I701&lt;&gt;""""),COUNTA(FILTER(I$1:I701, I$1:I701&lt;&gt;""""))), LEN(INDEX(FILTER(I$1:I701, I$1:I701&lt;&gt;""""),COUNTA(FILTER(I$1:I701, I$1:I701&lt;&gt;""""))))-1), IF('To Order'!$A702=COLUMNS($A702:I"&amp;"721), I701&amp;RIGHT(INDIRECT(ADDRESS(ROW(I702)-1, 'From Order'!$A702)), 1), I701))"),"VPVRZHMFBBFSLTDGSBLJDTWR")</f>
        <v>VPVRZHMFBBFSLTDGSBLJDTWR</v>
      </c>
    </row>
    <row r="703">
      <c r="A703" s="2" t="str">
        <f>IFERROR(__xludf.DUMMYFUNCTION("IF('From Order'!$A703=COLUMNS($A703:A722), LEFT(INDEX(FILTER(A$1:A702, A$1:A702&lt;&gt;""""),COUNTA(FILTER(A$1:A702, A$1:A702&lt;&gt;""""))), LEN(INDEX(FILTER(A$1:A702, A$1:A702&lt;&gt;""""),COUNTA(FILTER(A$1:A702, A$1:A702&lt;&gt;""""))))-1), IF('To Order'!$A703=COLUMNS($A703:A"&amp;"722), A702&amp;RIGHT(INDIRECT(ADDRESS(ROW(A703)-1, 'From Order'!$A703)), 1), A702))"),"")</f>
        <v/>
      </c>
      <c r="B703" s="2" t="str">
        <f>IFERROR(__xludf.DUMMYFUNCTION("IF('From Order'!$A703=COLUMNS($A703:B722), LEFT(INDEX(FILTER(B$1:B702, B$1:B702&lt;&gt;""""),COUNTA(FILTER(B$1:B702, B$1:B702&lt;&gt;""""))), LEN(INDEX(FILTER(B$1:B702, B$1:B702&lt;&gt;""""),COUNTA(FILTER(B$1:B702, B$1:B702&lt;&gt;""""))))-1), IF('To Order'!$A703=COLUMNS($A703:B"&amp;"722), B702&amp;RIGHT(INDIRECT(ADDRESS(ROW(B703)-1, 'From Order'!$A703)), 1), B702))"),"JZR")</f>
        <v>JZR</v>
      </c>
      <c r="C703" s="2" t="str">
        <f>IFERROR(__xludf.DUMMYFUNCTION("IF('From Order'!$A703=COLUMNS($A703:C722), LEFT(INDEX(FILTER(C$1:C702, C$1:C702&lt;&gt;""""),COUNTA(FILTER(C$1:C702, C$1:C702&lt;&gt;""""))), LEN(INDEX(FILTER(C$1:C702, C$1:C702&lt;&gt;""""),COUNTA(FILTER(C$1:C702, C$1:C702&lt;&gt;""""))))-1), IF('To Order'!$A703=COLUMNS($A703:C"&amp;"722), C702&amp;RIGHT(INDIRECT(ADDRESS(ROW(C703)-1, 'From Order'!$A703)), 1), C702))"),"")</f>
        <v/>
      </c>
      <c r="D703" s="2" t="str">
        <f>IFERROR(__xludf.DUMMYFUNCTION("IF('From Order'!$A703=COLUMNS($A703:D722), LEFT(INDEX(FILTER(D$1:D702, D$1:D702&lt;&gt;""""),COUNTA(FILTER(D$1:D702, D$1:D702&lt;&gt;""""))), LEN(INDEX(FILTER(D$1:D702, D$1:D702&lt;&gt;""""),COUNTA(FILTER(D$1:D702, D$1:D702&lt;&gt;""""))))-1), IF('To Order'!$A703=COLUMNS($A703:D"&amp;"722), D702&amp;RIGHT(INDIRECT(ADDRESS(ROW(D703)-1, 'From Order'!$A703)), 1), D702))"),"TMQ")</f>
        <v>TMQ</v>
      </c>
      <c r="E703" s="2" t="str">
        <f>IFERROR(__xludf.DUMMYFUNCTION("IF('From Order'!$A703=COLUMNS($A703:E722), LEFT(INDEX(FILTER(E$1:E702, E$1:E702&lt;&gt;""""),COUNTA(FILTER(E$1:E702, E$1:E702&lt;&gt;""""))), LEN(INDEX(FILTER(E$1:E702, E$1:E702&lt;&gt;""""),COUNTA(FILTER(E$1:E702, E$1:E702&lt;&gt;""""))))-1), IF('To Order'!$A703=COLUMNS($A703:E"&amp;"722), E702&amp;RIGHT(INDIRECT(ADDRESS(ROW(E703)-1, 'From Order'!$A703)), 1), E702))"),"C")</f>
        <v>C</v>
      </c>
      <c r="F703" s="2" t="str">
        <f>IFERROR(__xludf.DUMMYFUNCTION("IF('From Order'!$A703=COLUMNS($A703:F722), LEFT(INDEX(FILTER(F$1:F702, F$1:F702&lt;&gt;""""),COUNTA(FILTER(F$1:F702, F$1:F702&lt;&gt;""""))), LEN(INDEX(FILTER(F$1:F702, F$1:F702&lt;&gt;""""),COUNTA(FILTER(F$1:F702, F$1:F702&lt;&gt;""""))))-1), IF('To Order'!$A703=COLUMNS($A703:F"&amp;"722), F702&amp;RIGHT(INDIRECT(ADDRESS(ROW(F703)-1, 'From Order'!$A703)), 1), F702))"),"")</f>
        <v/>
      </c>
      <c r="G703" s="2" t="str">
        <f>IFERROR(__xludf.DUMMYFUNCTION("IF('From Order'!$A703=COLUMNS($A703:G722), LEFT(INDEX(FILTER(G$1:G702, G$1:G702&lt;&gt;""""),COUNTA(FILTER(G$1:G702, G$1:G702&lt;&gt;""""))), LEN(INDEX(FILTER(G$1:G702, G$1:G702&lt;&gt;""""),COUNTA(FILTER(G$1:G702, G$1:G702&lt;&gt;""""))))-1), IF('To Order'!$A703=COLUMNS($A703:G"&amp;"722), G702&amp;RIGHT(INDIRECT(ADDRESS(ROW(G703)-1, 'From Order'!$A703)), 1), G702))"),"DTRLRQPDSSGHWPBCV")</f>
        <v>DTRLRQPDSSGHWPBCV</v>
      </c>
      <c r="H703" s="2" t="str">
        <f>IFERROR(__xludf.DUMMYFUNCTION("IF('From Order'!$A703=COLUMNS($A703:H722), LEFT(INDEX(FILTER(H$1:H702, H$1:H702&lt;&gt;""""),COUNTA(FILTER(H$1:H702, H$1:H702&lt;&gt;""""))), LEN(INDEX(FILTER(H$1:H702, H$1:H702&lt;&gt;""""),COUNTA(FILTER(H$1:H702, H$1:H702&lt;&gt;""""))))-1), IF('To Order'!$A703=COLUMNS($A703:H"&amp;"722), H702&amp;RIGHT(INDIRECT(ADDRESS(ROW(H703)-1, 'From Order'!$A703)), 1), H702))"),"ZMDTCJT")</f>
        <v>ZMDTCJT</v>
      </c>
      <c r="I703" s="2" t="str">
        <f>IFERROR(__xludf.DUMMYFUNCTION("IF('From Order'!$A703=COLUMNS($A703:I722), LEFT(INDEX(FILTER(I$1:I702, I$1:I702&lt;&gt;""""),COUNTA(FILTER(I$1:I702, I$1:I702&lt;&gt;""""))), LEN(INDEX(FILTER(I$1:I702, I$1:I702&lt;&gt;""""),COUNTA(FILTER(I$1:I702, I$1:I702&lt;&gt;""""))))-1), IF('To Order'!$A703=COLUMNS($A703:I"&amp;"722), I702&amp;RIGHT(INDIRECT(ADDRESS(ROW(I703)-1, 'From Order'!$A703)), 1), I702))"),"VPVRZHMFBBFSLTDGSBLJDTWRD")</f>
        <v>VPVRZHMFBBFSLTDGSBLJDTWRD</v>
      </c>
    </row>
    <row r="704">
      <c r="A704" s="2" t="str">
        <f>IFERROR(__xludf.DUMMYFUNCTION("IF('From Order'!$A704=COLUMNS($A704:A723), LEFT(INDEX(FILTER(A$1:A703, A$1:A703&lt;&gt;""""),COUNTA(FILTER(A$1:A703, A$1:A703&lt;&gt;""""))), LEN(INDEX(FILTER(A$1:A703, A$1:A703&lt;&gt;""""),COUNTA(FILTER(A$1:A703, A$1:A703&lt;&gt;""""))))-1), IF('To Order'!$A704=COLUMNS($A704:A"&amp;"723), A703&amp;RIGHT(INDIRECT(ADDRESS(ROW(A704)-1, 'From Order'!$A704)), 1), A703))"),"")</f>
        <v/>
      </c>
      <c r="B704" s="2" t="str">
        <f>IFERROR(__xludf.DUMMYFUNCTION("IF('From Order'!$A704=COLUMNS($A704:B723), LEFT(INDEX(FILTER(B$1:B703, B$1:B703&lt;&gt;""""),COUNTA(FILTER(B$1:B703, B$1:B703&lt;&gt;""""))), LEN(INDEX(FILTER(B$1:B703, B$1:B703&lt;&gt;""""),COUNTA(FILTER(B$1:B703, B$1:B703&lt;&gt;""""))))-1), IF('To Order'!$A704=COLUMNS($A704:B"&amp;"723), B703&amp;RIGHT(INDIRECT(ADDRESS(ROW(B704)-1, 'From Order'!$A704)), 1), B703))"),"JZR")</f>
        <v>JZR</v>
      </c>
      <c r="C704" s="2" t="str">
        <f>IFERROR(__xludf.DUMMYFUNCTION("IF('From Order'!$A704=COLUMNS($A704:C723), LEFT(INDEX(FILTER(C$1:C703, C$1:C703&lt;&gt;""""),COUNTA(FILTER(C$1:C703, C$1:C703&lt;&gt;""""))), LEN(INDEX(FILTER(C$1:C703, C$1:C703&lt;&gt;""""),COUNTA(FILTER(C$1:C703, C$1:C703&lt;&gt;""""))))-1), IF('To Order'!$A704=COLUMNS($A704:C"&amp;"723), C703&amp;RIGHT(INDIRECT(ADDRESS(ROW(C704)-1, 'From Order'!$A704)), 1), C703))"),"")</f>
        <v/>
      </c>
      <c r="D704" s="2" t="str">
        <f>IFERROR(__xludf.DUMMYFUNCTION("IF('From Order'!$A704=COLUMNS($A704:D723), LEFT(INDEX(FILTER(D$1:D703, D$1:D703&lt;&gt;""""),COUNTA(FILTER(D$1:D703, D$1:D703&lt;&gt;""""))), LEN(INDEX(FILTER(D$1:D703, D$1:D703&lt;&gt;""""),COUNTA(FILTER(D$1:D703, D$1:D703&lt;&gt;""""))))-1), IF('To Order'!$A704=COLUMNS($A704:D"&amp;"723), D703&amp;RIGHT(INDIRECT(ADDRESS(ROW(D704)-1, 'From Order'!$A704)), 1), D703))"),"TMQ")</f>
        <v>TMQ</v>
      </c>
      <c r="E704" s="2" t="str">
        <f>IFERROR(__xludf.DUMMYFUNCTION("IF('From Order'!$A704=COLUMNS($A704:E723), LEFT(INDEX(FILTER(E$1:E703, E$1:E703&lt;&gt;""""),COUNTA(FILTER(E$1:E703, E$1:E703&lt;&gt;""""))), LEN(INDEX(FILTER(E$1:E703, E$1:E703&lt;&gt;""""),COUNTA(FILTER(E$1:E703, E$1:E703&lt;&gt;""""))))-1), IF('To Order'!$A704=COLUMNS($A704:E"&amp;"723), E703&amp;RIGHT(INDIRECT(ADDRESS(ROW(E704)-1, 'From Order'!$A704)), 1), E703))"),"C")</f>
        <v>C</v>
      </c>
      <c r="F704" s="2" t="str">
        <f>IFERROR(__xludf.DUMMYFUNCTION("IF('From Order'!$A704=COLUMNS($A704:F723), LEFT(INDEX(FILTER(F$1:F703, F$1:F703&lt;&gt;""""),COUNTA(FILTER(F$1:F703, F$1:F703&lt;&gt;""""))), LEN(INDEX(FILTER(F$1:F703, F$1:F703&lt;&gt;""""),COUNTA(FILTER(F$1:F703, F$1:F703&lt;&gt;""""))))-1), IF('To Order'!$A704=COLUMNS($A704:F"&amp;"723), F703&amp;RIGHT(INDIRECT(ADDRESS(ROW(F704)-1, 'From Order'!$A704)), 1), F703))"),"")</f>
        <v/>
      </c>
      <c r="G704" s="2" t="str">
        <f>IFERROR(__xludf.DUMMYFUNCTION("IF('From Order'!$A704=COLUMNS($A704:G723), LEFT(INDEX(FILTER(G$1:G703, G$1:G703&lt;&gt;""""),COUNTA(FILTER(G$1:G703, G$1:G703&lt;&gt;""""))), LEN(INDEX(FILTER(G$1:G703, G$1:G703&lt;&gt;""""),COUNTA(FILTER(G$1:G703, G$1:G703&lt;&gt;""""))))-1), IF('To Order'!$A704=COLUMNS($A704:G"&amp;"723), G703&amp;RIGHT(INDIRECT(ADDRESS(ROW(G704)-1, 'From Order'!$A704)), 1), G703))"),"DTRLRQPDSSGHWPBC")</f>
        <v>DTRLRQPDSSGHWPBC</v>
      </c>
      <c r="H704" s="2" t="str">
        <f>IFERROR(__xludf.DUMMYFUNCTION("IF('From Order'!$A704=COLUMNS($A704:H723), LEFT(INDEX(FILTER(H$1:H703, H$1:H703&lt;&gt;""""),COUNTA(FILTER(H$1:H703, H$1:H703&lt;&gt;""""))), LEN(INDEX(FILTER(H$1:H703, H$1:H703&lt;&gt;""""),COUNTA(FILTER(H$1:H703, H$1:H703&lt;&gt;""""))))-1), IF('To Order'!$A704=COLUMNS($A704:H"&amp;"723), H703&amp;RIGHT(INDIRECT(ADDRESS(ROW(H704)-1, 'From Order'!$A704)), 1), H703))"),"ZMDTCJT")</f>
        <v>ZMDTCJT</v>
      </c>
      <c r="I704" s="2" t="str">
        <f>IFERROR(__xludf.DUMMYFUNCTION("IF('From Order'!$A704=COLUMNS($A704:I723), LEFT(INDEX(FILTER(I$1:I703, I$1:I703&lt;&gt;""""),COUNTA(FILTER(I$1:I703, I$1:I703&lt;&gt;""""))), LEN(INDEX(FILTER(I$1:I703, I$1:I703&lt;&gt;""""),COUNTA(FILTER(I$1:I703, I$1:I703&lt;&gt;""""))))-1), IF('To Order'!$A704=COLUMNS($A704:I"&amp;"723), I703&amp;RIGHT(INDIRECT(ADDRESS(ROW(I704)-1, 'From Order'!$A704)), 1), I703))"),"VPVRZHMFBBFSLTDGSBLJDTWRDV")</f>
        <v>VPVRZHMFBBFSLTDGSBLJDTWRDV</v>
      </c>
    </row>
    <row r="705">
      <c r="A705" s="2" t="str">
        <f>IFERROR(__xludf.DUMMYFUNCTION("IF('From Order'!$A705=COLUMNS($A705:A724), LEFT(INDEX(FILTER(A$1:A704, A$1:A704&lt;&gt;""""),COUNTA(FILTER(A$1:A704, A$1:A704&lt;&gt;""""))), LEN(INDEX(FILTER(A$1:A704, A$1:A704&lt;&gt;""""),COUNTA(FILTER(A$1:A704, A$1:A704&lt;&gt;""""))))-1), IF('To Order'!$A705=COLUMNS($A705:A"&amp;"724), A704&amp;RIGHT(INDIRECT(ADDRESS(ROW(A705)-1, 'From Order'!$A705)), 1), A704))"),"")</f>
        <v/>
      </c>
      <c r="B705" s="2" t="str">
        <f>IFERROR(__xludf.DUMMYFUNCTION("IF('From Order'!$A705=COLUMNS($A705:B724), LEFT(INDEX(FILTER(B$1:B704, B$1:B704&lt;&gt;""""),COUNTA(FILTER(B$1:B704, B$1:B704&lt;&gt;""""))), LEN(INDEX(FILTER(B$1:B704, B$1:B704&lt;&gt;""""),COUNTA(FILTER(B$1:B704, B$1:B704&lt;&gt;""""))))-1), IF('To Order'!$A705=COLUMNS($A705:B"&amp;"724), B704&amp;RIGHT(INDIRECT(ADDRESS(ROW(B705)-1, 'From Order'!$A705)), 1), B704))"),"JZR")</f>
        <v>JZR</v>
      </c>
      <c r="C705" s="2" t="str">
        <f>IFERROR(__xludf.DUMMYFUNCTION("IF('From Order'!$A705=COLUMNS($A705:C724), LEFT(INDEX(FILTER(C$1:C704, C$1:C704&lt;&gt;""""),COUNTA(FILTER(C$1:C704, C$1:C704&lt;&gt;""""))), LEN(INDEX(FILTER(C$1:C704, C$1:C704&lt;&gt;""""),COUNTA(FILTER(C$1:C704, C$1:C704&lt;&gt;""""))))-1), IF('To Order'!$A705=COLUMNS($A705:C"&amp;"724), C704&amp;RIGHT(INDIRECT(ADDRESS(ROW(C705)-1, 'From Order'!$A705)), 1), C704))"),"")</f>
        <v/>
      </c>
      <c r="D705" s="2" t="str">
        <f>IFERROR(__xludf.DUMMYFUNCTION("IF('From Order'!$A705=COLUMNS($A705:D724), LEFT(INDEX(FILTER(D$1:D704, D$1:D704&lt;&gt;""""),COUNTA(FILTER(D$1:D704, D$1:D704&lt;&gt;""""))), LEN(INDEX(FILTER(D$1:D704, D$1:D704&lt;&gt;""""),COUNTA(FILTER(D$1:D704, D$1:D704&lt;&gt;""""))))-1), IF('To Order'!$A705=COLUMNS($A705:D"&amp;"724), D704&amp;RIGHT(INDIRECT(ADDRESS(ROW(D705)-1, 'From Order'!$A705)), 1), D704))"),"TMQ")</f>
        <v>TMQ</v>
      </c>
      <c r="E705" s="2" t="str">
        <f>IFERROR(__xludf.DUMMYFUNCTION("IF('From Order'!$A705=COLUMNS($A705:E724), LEFT(INDEX(FILTER(E$1:E704, E$1:E704&lt;&gt;""""),COUNTA(FILTER(E$1:E704, E$1:E704&lt;&gt;""""))), LEN(INDEX(FILTER(E$1:E704, E$1:E704&lt;&gt;""""),COUNTA(FILTER(E$1:E704, E$1:E704&lt;&gt;""""))))-1), IF('To Order'!$A705=COLUMNS($A705:E"&amp;"724), E704&amp;RIGHT(INDIRECT(ADDRESS(ROW(E705)-1, 'From Order'!$A705)), 1), E704))"),"C")</f>
        <v>C</v>
      </c>
      <c r="F705" s="2" t="str">
        <f>IFERROR(__xludf.DUMMYFUNCTION("IF('From Order'!$A705=COLUMNS($A705:F724), LEFT(INDEX(FILTER(F$1:F704, F$1:F704&lt;&gt;""""),COUNTA(FILTER(F$1:F704, F$1:F704&lt;&gt;""""))), LEN(INDEX(FILTER(F$1:F704, F$1:F704&lt;&gt;""""),COUNTA(FILTER(F$1:F704, F$1:F704&lt;&gt;""""))))-1), IF('To Order'!$A705=COLUMNS($A705:F"&amp;"724), F704&amp;RIGHT(INDIRECT(ADDRESS(ROW(F705)-1, 'From Order'!$A705)), 1), F704))"),"")</f>
        <v/>
      </c>
      <c r="G705" s="2" t="str">
        <f>IFERROR(__xludf.DUMMYFUNCTION("IF('From Order'!$A705=COLUMNS($A705:G724), LEFT(INDEX(FILTER(G$1:G704, G$1:G704&lt;&gt;""""),COUNTA(FILTER(G$1:G704, G$1:G704&lt;&gt;""""))), LEN(INDEX(FILTER(G$1:G704, G$1:G704&lt;&gt;""""),COUNTA(FILTER(G$1:G704, G$1:G704&lt;&gt;""""))))-1), IF('To Order'!$A705=COLUMNS($A705:G"&amp;"724), G704&amp;RIGHT(INDIRECT(ADDRESS(ROW(G705)-1, 'From Order'!$A705)), 1), G704))"),"DTRLRQPDSSGHWPB")</f>
        <v>DTRLRQPDSSGHWPB</v>
      </c>
      <c r="H705" s="2" t="str">
        <f>IFERROR(__xludf.DUMMYFUNCTION("IF('From Order'!$A705=COLUMNS($A705:H724), LEFT(INDEX(FILTER(H$1:H704, H$1:H704&lt;&gt;""""),COUNTA(FILTER(H$1:H704, H$1:H704&lt;&gt;""""))), LEN(INDEX(FILTER(H$1:H704, H$1:H704&lt;&gt;""""),COUNTA(FILTER(H$1:H704, H$1:H704&lt;&gt;""""))))-1), IF('To Order'!$A705=COLUMNS($A705:H"&amp;"724), H704&amp;RIGHT(INDIRECT(ADDRESS(ROW(H705)-1, 'From Order'!$A705)), 1), H704))"),"ZMDTCJT")</f>
        <v>ZMDTCJT</v>
      </c>
      <c r="I705" s="2" t="str">
        <f>IFERROR(__xludf.DUMMYFUNCTION("IF('From Order'!$A705=COLUMNS($A705:I724), LEFT(INDEX(FILTER(I$1:I704, I$1:I704&lt;&gt;""""),COUNTA(FILTER(I$1:I704, I$1:I704&lt;&gt;""""))), LEN(INDEX(FILTER(I$1:I704, I$1:I704&lt;&gt;""""),COUNTA(FILTER(I$1:I704, I$1:I704&lt;&gt;""""))))-1), IF('To Order'!$A705=COLUMNS($A705:I"&amp;"724), I704&amp;RIGHT(INDIRECT(ADDRESS(ROW(I705)-1, 'From Order'!$A705)), 1), I704))"),"VPVRZHMFBBFSLTDGSBLJDTWRDVC")</f>
        <v>VPVRZHMFBBFSLTDGSBLJDTWRDVC</v>
      </c>
    </row>
    <row r="706">
      <c r="A706" s="2" t="str">
        <f>IFERROR(__xludf.DUMMYFUNCTION("IF('From Order'!$A706=COLUMNS($A706:A725), LEFT(INDEX(FILTER(A$1:A705, A$1:A705&lt;&gt;""""),COUNTA(FILTER(A$1:A705, A$1:A705&lt;&gt;""""))), LEN(INDEX(FILTER(A$1:A705, A$1:A705&lt;&gt;""""),COUNTA(FILTER(A$1:A705, A$1:A705&lt;&gt;""""))))-1), IF('To Order'!$A706=COLUMNS($A706:A"&amp;"725), A705&amp;RIGHT(INDIRECT(ADDRESS(ROW(A706)-1, 'From Order'!$A706)), 1), A705))"),"")</f>
        <v/>
      </c>
      <c r="B706" s="2" t="str">
        <f>IFERROR(__xludf.DUMMYFUNCTION("IF('From Order'!$A706=COLUMNS($A706:B725), LEFT(INDEX(FILTER(B$1:B705, B$1:B705&lt;&gt;""""),COUNTA(FILTER(B$1:B705, B$1:B705&lt;&gt;""""))), LEN(INDEX(FILTER(B$1:B705, B$1:B705&lt;&gt;""""),COUNTA(FILTER(B$1:B705, B$1:B705&lt;&gt;""""))))-1), IF('To Order'!$A706=COLUMNS($A706:B"&amp;"725), B705&amp;RIGHT(INDIRECT(ADDRESS(ROW(B706)-1, 'From Order'!$A706)), 1), B705))"),"JZR")</f>
        <v>JZR</v>
      </c>
      <c r="C706" s="2" t="str">
        <f>IFERROR(__xludf.DUMMYFUNCTION("IF('From Order'!$A706=COLUMNS($A706:C725), LEFT(INDEX(FILTER(C$1:C705, C$1:C705&lt;&gt;""""),COUNTA(FILTER(C$1:C705, C$1:C705&lt;&gt;""""))), LEN(INDEX(FILTER(C$1:C705, C$1:C705&lt;&gt;""""),COUNTA(FILTER(C$1:C705, C$1:C705&lt;&gt;""""))))-1), IF('To Order'!$A706=COLUMNS($A706:C"&amp;"725), C705&amp;RIGHT(INDIRECT(ADDRESS(ROW(C706)-1, 'From Order'!$A706)), 1), C705))"),"")</f>
        <v/>
      </c>
      <c r="D706" s="2" t="str">
        <f>IFERROR(__xludf.DUMMYFUNCTION("IF('From Order'!$A706=COLUMNS($A706:D725), LEFT(INDEX(FILTER(D$1:D705, D$1:D705&lt;&gt;""""),COUNTA(FILTER(D$1:D705, D$1:D705&lt;&gt;""""))), LEN(INDEX(FILTER(D$1:D705, D$1:D705&lt;&gt;""""),COUNTA(FILTER(D$1:D705, D$1:D705&lt;&gt;""""))))-1), IF('To Order'!$A706=COLUMNS($A706:D"&amp;"725), D705&amp;RIGHT(INDIRECT(ADDRESS(ROW(D706)-1, 'From Order'!$A706)), 1), D705))"),"TMQ")</f>
        <v>TMQ</v>
      </c>
      <c r="E706" s="2" t="str">
        <f>IFERROR(__xludf.DUMMYFUNCTION("IF('From Order'!$A706=COLUMNS($A706:E725), LEFT(INDEX(FILTER(E$1:E705, E$1:E705&lt;&gt;""""),COUNTA(FILTER(E$1:E705, E$1:E705&lt;&gt;""""))), LEN(INDEX(FILTER(E$1:E705, E$1:E705&lt;&gt;""""),COUNTA(FILTER(E$1:E705, E$1:E705&lt;&gt;""""))))-1), IF('To Order'!$A706=COLUMNS($A706:E"&amp;"725), E705&amp;RIGHT(INDIRECT(ADDRESS(ROW(E706)-1, 'From Order'!$A706)), 1), E705))"),"C")</f>
        <v>C</v>
      </c>
      <c r="F706" s="2" t="str">
        <f>IFERROR(__xludf.DUMMYFUNCTION("IF('From Order'!$A706=COLUMNS($A706:F725), LEFT(INDEX(FILTER(F$1:F705, F$1:F705&lt;&gt;""""),COUNTA(FILTER(F$1:F705, F$1:F705&lt;&gt;""""))), LEN(INDEX(FILTER(F$1:F705, F$1:F705&lt;&gt;""""),COUNTA(FILTER(F$1:F705, F$1:F705&lt;&gt;""""))))-1), IF('To Order'!$A706=COLUMNS($A706:F"&amp;"725), F705&amp;RIGHT(INDIRECT(ADDRESS(ROW(F706)-1, 'From Order'!$A706)), 1), F705))"),"")</f>
        <v/>
      </c>
      <c r="G706" s="2" t="str">
        <f>IFERROR(__xludf.DUMMYFUNCTION("IF('From Order'!$A706=COLUMNS($A706:G725), LEFT(INDEX(FILTER(G$1:G705, G$1:G705&lt;&gt;""""),COUNTA(FILTER(G$1:G705, G$1:G705&lt;&gt;""""))), LEN(INDEX(FILTER(G$1:G705, G$1:G705&lt;&gt;""""),COUNTA(FILTER(G$1:G705, G$1:G705&lt;&gt;""""))))-1), IF('To Order'!$A706=COLUMNS($A706:G"&amp;"725), G705&amp;RIGHT(INDIRECT(ADDRESS(ROW(G706)-1, 'From Order'!$A706)), 1), G705))"),"DTRLRQPDSSGHWP")</f>
        <v>DTRLRQPDSSGHWP</v>
      </c>
      <c r="H706" s="2" t="str">
        <f>IFERROR(__xludf.DUMMYFUNCTION("IF('From Order'!$A706=COLUMNS($A706:H725), LEFT(INDEX(FILTER(H$1:H705, H$1:H705&lt;&gt;""""),COUNTA(FILTER(H$1:H705, H$1:H705&lt;&gt;""""))), LEN(INDEX(FILTER(H$1:H705, H$1:H705&lt;&gt;""""),COUNTA(FILTER(H$1:H705, H$1:H705&lt;&gt;""""))))-1), IF('To Order'!$A706=COLUMNS($A706:H"&amp;"725), H705&amp;RIGHT(INDIRECT(ADDRESS(ROW(H706)-1, 'From Order'!$A706)), 1), H705))"),"ZMDTCJT")</f>
        <v>ZMDTCJT</v>
      </c>
      <c r="I706" s="2" t="str">
        <f>IFERROR(__xludf.DUMMYFUNCTION("IF('From Order'!$A706=COLUMNS($A706:I725), LEFT(INDEX(FILTER(I$1:I705, I$1:I705&lt;&gt;""""),COUNTA(FILTER(I$1:I705, I$1:I705&lt;&gt;""""))), LEN(INDEX(FILTER(I$1:I705, I$1:I705&lt;&gt;""""),COUNTA(FILTER(I$1:I705, I$1:I705&lt;&gt;""""))))-1), IF('To Order'!$A706=COLUMNS($A706:I"&amp;"725), I705&amp;RIGHT(INDIRECT(ADDRESS(ROW(I706)-1, 'From Order'!$A706)), 1), I705))"),"VPVRZHMFBBFSLTDGSBLJDTWRDVCB")</f>
        <v>VPVRZHMFBBFSLTDGSBLJDTWRDVCB</v>
      </c>
    </row>
    <row r="707">
      <c r="A707" s="2" t="str">
        <f>IFERROR(__xludf.DUMMYFUNCTION("IF('From Order'!$A707=COLUMNS($A707:A726), LEFT(INDEX(FILTER(A$1:A706, A$1:A706&lt;&gt;""""),COUNTA(FILTER(A$1:A706, A$1:A706&lt;&gt;""""))), LEN(INDEX(FILTER(A$1:A706, A$1:A706&lt;&gt;""""),COUNTA(FILTER(A$1:A706, A$1:A706&lt;&gt;""""))))-1), IF('To Order'!$A707=COLUMNS($A707:A"&amp;"726), A706&amp;RIGHT(INDIRECT(ADDRESS(ROW(A707)-1, 'From Order'!$A707)), 1), A706))"),"")</f>
        <v/>
      </c>
      <c r="B707" s="2" t="str">
        <f>IFERROR(__xludf.DUMMYFUNCTION("IF('From Order'!$A707=COLUMNS($A707:B726), LEFT(INDEX(FILTER(B$1:B706, B$1:B706&lt;&gt;""""),COUNTA(FILTER(B$1:B706, B$1:B706&lt;&gt;""""))), LEN(INDEX(FILTER(B$1:B706, B$1:B706&lt;&gt;""""),COUNTA(FILTER(B$1:B706, B$1:B706&lt;&gt;""""))))-1), IF('To Order'!$A707=COLUMNS($A707:B"&amp;"726), B706&amp;RIGHT(INDIRECT(ADDRESS(ROW(B707)-1, 'From Order'!$A707)), 1), B706))"),"JZR")</f>
        <v>JZR</v>
      </c>
      <c r="C707" s="2" t="str">
        <f>IFERROR(__xludf.DUMMYFUNCTION("IF('From Order'!$A707=COLUMNS($A707:C726), LEFT(INDEX(FILTER(C$1:C706, C$1:C706&lt;&gt;""""),COUNTA(FILTER(C$1:C706, C$1:C706&lt;&gt;""""))), LEN(INDEX(FILTER(C$1:C706, C$1:C706&lt;&gt;""""),COUNTA(FILTER(C$1:C706, C$1:C706&lt;&gt;""""))))-1), IF('To Order'!$A707=COLUMNS($A707:C"&amp;"726), C706&amp;RIGHT(INDIRECT(ADDRESS(ROW(C707)-1, 'From Order'!$A707)), 1), C706))"),"")</f>
        <v/>
      </c>
      <c r="D707" s="2" t="str">
        <f>IFERROR(__xludf.DUMMYFUNCTION("IF('From Order'!$A707=COLUMNS($A707:D726), LEFT(INDEX(FILTER(D$1:D706, D$1:D706&lt;&gt;""""),COUNTA(FILTER(D$1:D706, D$1:D706&lt;&gt;""""))), LEN(INDEX(FILTER(D$1:D706, D$1:D706&lt;&gt;""""),COUNTA(FILTER(D$1:D706, D$1:D706&lt;&gt;""""))))-1), IF('To Order'!$A707=COLUMNS($A707:D"&amp;"726), D706&amp;RIGHT(INDIRECT(ADDRESS(ROW(D707)-1, 'From Order'!$A707)), 1), D706))"),"TMQ")</f>
        <v>TMQ</v>
      </c>
      <c r="E707" s="2" t="str">
        <f>IFERROR(__xludf.DUMMYFUNCTION("IF('From Order'!$A707=COLUMNS($A707:E726), LEFT(INDEX(FILTER(E$1:E706, E$1:E706&lt;&gt;""""),COUNTA(FILTER(E$1:E706, E$1:E706&lt;&gt;""""))), LEN(INDEX(FILTER(E$1:E706, E$1:E706&lt;&gt;""""),COUNTA(FILTER(E$1:E706, E$1:E706&lt;&gt;""""))))-1), IF('To Order'!$A707=COLUMNS($A707:E"&amp;"726), E706&amp;RIGHT(INDIRECT(ADDRESS(ROW(E707)-1, 'From Order'!$A707)), 1), E706))"),"C")</f>
        <v>C</v>
      </c>
      <c r="F707" s="2" t="str">
        <f>IFERROR(__xludf.DUMMYFUNCTION("IF('From Order'!$A707=COLUMNS($A707:F726), LEFT(INDEX(FILTER(F$1:F706, F$1:F706&lt;&gt;""""),COUNTA(FILTER(F$1:F706, F$1:F706&lt;&gt;""""))), LEN(INDEX(FILTER(F$1:F706, F$1:F706&lt;&gt;""""),COUNTA(FILTER(F$1:F706, F$1:F706&lt;&gt;""""))))-1), IF('To Order'!$A707=COLUMNS($A707:F"&amp;"726), F706&amp;RIGHT(INDIRECT(ADDRESS(ROW(F707)-1, 'From Order'!$A707)), 1), F706))"),"")</f>
        <v/>
      </c>
      <c r="G707" s="2" t="str">
        <f>IFERROR(__xludf.DUMMYFUNCTION("IF('From Order'!$A707=COLUMNS($A707:G726), LEFT(INDEX(FILTER(G$1:G706, G$1:G706&lt;&gt;""""),COUNTA(FILTER(G$1:G706, G$1:G706&lt;&gt;""""))), LEN(INDEX(FILTER(G$1:G706, G$1:G706&lt;&gt;""""),COUNTA(FILTER(G$1:G706, G$1:G706&lt;&gt;""""))))-1), IF('To Order'!$A707=COLUMNS($A707:G"&amp;"726), G706&amp;RIGHT(INDIRECT(ADDRESS(ROW(G707)-1, 'From Order'!$A707)), 1), G706))"),"DTRLRQPDSSGHW")</f>
        <v>DTRLRQPDSSGHW</v>
      </c>
      <c r="H707" s="2" t="str">
        <f>IFERROR(__xludf.DUMMYFUNCTION("IF('From Order'!$A707=COLUMNS($A707:H726), LEFT(INDEX(FILTER(H$1:H706, H$1:H706&lt;&gt;""""),COUNTA(FILTER(H$1:H706, H$1:H706&lt;&gt;""""))), LEN(INDEX(FILTER(H$1:H706, H$1:H706&lt;&gt;""""),COUNTA(FILTER(H$1:H706, H$1:H706&lt;&gt;""""))))-1), IF('To Order'!$A707=COLUMNS($A707:H"&amp;"726), H706&amp;RIGHT(INDIRECT(ADDRESS(ROW(H707)-1, 'From Order'!$A707)), 1), H706))"),"ZMDTCJT")</f>
        <v>ZMDTCJT</v>
      </c>
      <c r="I707" s="2" t="str">
        <f>IFERROR(__xludf.DUMMYFUNCTION("IF('From Order'!$A707=COLUMNS($A707:I726), LEFT(INDEX(FILTER(I$1:I706, I$1:I706&lt;&gt;""""),COUNTA(FILTER(I$1:I706, I$1:I706&lt;&gt;""""))), LEN(INDEX(FILTER(I$1:I706, I$1:I706&lt;&gt;""""),COUNTA(FILTER(I$1:I706, I$1:I706&lt;&gt;""""))))-1), IF('To Order'!$A707=COLUMNS($A707:I"&amp;"726), I706&amp;RIGHT(INDIRECT(ADDRESS(ROW(I707)-1, 'From Order'!$A707)), 1), I706))"),"VPVRZHMFBBFSLTDGSBLJDTWRDVCBP")</f>
        <v>VPVRZHMFBBFSLTDGSBLJDTWRDVCBP</v>
      </c>
    </row>
    <row r="708">
      <c r="A708" s="2" t="str">
        <f>IFERROR(__xludf.DUMMYFUNCTION("IF('From Order'!$A708=COLUMNS($A708:A727), LEFT(INDEX(FILTER(A$1:A707, A$1:A707&lt;&gt;""""),COUNTA(FILTER(A$1:A707, A$1:A707&lt;&gt;""""))), LEN(INDEX(FILTER(A$1:A707, A$1:A707&lt;&gt;""""),COUNTA(FILTER(A$1:A707, A$1:A707&lt;&gt;""""))))-1), IF('To Order'!$A708=COLUMNS($A708:A"&amp;"727), A707&amp;RIGHT(INDIRECT(ADDRESS(ROW(A708)-1, 'From Order'!$A708)), 1), A707))"),"")</f>
        <v/>
      </c>
      <c r="B708" s="2" t="str">
        <f>IFERROR(__xludf.DUMMYFUNCTION("IF('From Order'!$A708=COLUMNS($A708:B727), LEFT(INDEX(FILTER(B$1:B707, B$1:B707&lt;&gt;""""),COUNTA(FILTER(B$1:B707, B$1:B707&lt;&gt;""""))), LEN(INDEX(FILTER(B$1:B707, B$1:B707&lt;&gt;""""),COUNTA(FILTER(B$1:B707, B$1:B707&lt;&gt;""""))))-1), IF('To Order'!$A708=COLUMNS($A708:B"&amp;"727), B707&amp;RIGHT(INDIRECT(ADDRESS(ROW(B708)-1, 'From Order'!$A708)), 1), B707))"),"JZR")</f>
        <v>JZR</v>
      </c>
      <c r="C708" s="2" t="str">
        <f>IFERROR(__xludf.DUMMYFUNCTION("IF('From Order'!$A708=COLUMNS($A708:C727), LEFT(INDEX(FILTER(C$1:C707, C$1:C707&lt;&gt;""""),COUNTA(FILTER(C$1:C707, C$1:C707&lt;&gt;""""))), LEN(INDEX(FILTER(C$1:C707, C$1:C707&lt;&gt;""""),COUNTA(FILTER(C$1:C707, C$1:C707&lt;&gt;""""))))-1), IF('To Order'!$A708=COLUMNS($A708:C"&amp;"727), C707&amp;RIGHT(INDIRECT(ADDRESS(ROW(C708)-1, 'From Order'!$A708)), 1), C707))"),"")</f>
        <v/>
      </c>
      <c r="D708" s="2" t="str">
        <f>IFERROR(__xludf.DUMMYFUNCTION("IF('From Order'!$A708=COLUMNS($A708:D727), LEFT(INDEX(FILTER(D$1:D707, D$1:D707&lt;&gt;""""),COUNTA(FILTER(D$1:D707, D$1:D707&lt;&gt;""""))), LEN(INDEX(FILTER(D$1:D707, D$1:D707&lt;&gt;""""),COUNTA(FILTER(D$1:D707, D$1:D707&lt;&gt;""""))))-1), IF('To Order'!$A708=COLUMNS($A708:D"&amp;"727), D707&amp;RIGHT(INDIRECT(ADDRESS(ROW(D708)-1, 'From Order'!$A708)), 1), D707))"),"TM")</f>
        <v>TM</v>
      </c>
      <c r="E708" s="2" t="str">
        <f>IFERROR(__xludf.DUMMYFUNCTION("IF('From Order'!$A708=COLUMNS($A708:E727), LEFT(INDEX(FILTER(E$1:E707, E$1:E707&lt;&gt;""""),COUNTA(FILTER(E$1:E707, E$1:E707&lt;&gt;""""))), LEN(INDEX(FILTER(E$1:E707, E$1:E707&lt;&gt;""""),COUNTA(FILTER(E$1:E707, E$1:E707&lt;&gt;""""))))-1), IF('To Order'!$A708=COLUMNS($A708:E"&amp;"727), E707&amp;RIGHT(INDIRECT(ADDRESS(ROW(E708)-1, 'From Order'!$A708)), 1), E707))"),"C")</f>
        <v>C</v>
      </c>
      <c r="F708" s="2" t="str">
        <f>IFERROR(__xludf.DUMMYFUNCTION("IF('From Order'!$A708=COLUMNS($A708:F727), LEFT(INDEX(FILTER(F$1:F707, F$1:F707&lt;&gt;""""),COUNTA(FILTER(F$1:F707, F$1:F707&lt;&gt;""""))), LEN(INDEX(FILTER(F$1:F707, F$1:F707&lt;&gt;""""),COUNTA(FILTER(F$1:F707, F$1:F707&lt;&gt;""""))))-1), IF('To Order'!$A708=COLUMNS($A708:F"&amp;"727), F707&amp;RIGHT(INDIRECT(ADDRESS(ROW(F708)-1, 'From Order'!$A708)), 1), F707))"),"")</f>
        <v/>
      </c>
      <c r="G708" s="2" t="str">
        <f>IFERROR(__xludf.DUMMYFUNCTION("IF('From Order'!$A708=COLUMNS($A708:G727), LEFT(INDEX(FILTER(G$1:G707, G$1:G707&lt;&gt;""""),COUNTA(FILTER(G$1:G707, G$1:G707&lt;&gt;""""))), LEN(INDEX(FILTER(G$1:G707, G$1:G707&lt;&gt;""""),COUNTA(FILTER(G$1:G707, G$1:G707&lt;&gt;""""))))-1), IF('To Order'!$A708=COLUMNS($A708:G"&amp;"727), G707&amp;RIGHT(INDIRECT(ADDRESS(ROW(G708)-1, 'From Order'!$A708)), 1), G707))"),"DTRLRQPDSSGHWQ")</f>
        <v>DTRLRQPDSSGHWQ</v>
      </c>
      <c r="H708" s="2" t="str">
        <f>IFERROR(__xludf.DUMMYFUNCTION("IF('From Order'!$A708=COLUMNS($A708:H727), LEFT(INDEX(FILTER(H$1:H707, H$1:H707&lt;&gt;""""),COUNTA(FILTER(H$1:H707, H$1:H707&lt;&gt;""""))), LEN(INDEX(FILTER(H$1:H707, H$1:H707&lt;&gt;""""),COUNTA(FILTER(H$1:H707, H$1:H707&lt;&gt;""""))))-1), IF('To Order'!$A708=COLUMNS($A708:H"&amp;"727), H707&amp;RIGHT(INDIRECT(ADDRESS(ROW(H708)-1, 'From Order'!$A708)), 1), H707))"),"ZMDTCJT")</f>
        <v>ZMDTCJT</v>
      </c>
      <c r="I708" s="2" t="str">
        <f>IFERROR(__xludf.DUMMYFUNCTION("IF('From Order'!$A708=COLUMNS($A708:I727), LEFT(INDEX(FILTER(I$1:I707, I$1:I707&lt;&gt;""""),COUNTA(FILTER(I$1:I707, I$1:I707&lt;&gt;""""))), LEN(INDEX(FILTER(I$1:I707, I$1:I707&lt;&gt;""""),COUNTA(FILTER(I$1:I707, I$1:I707&lt;&gt;""""))))-1), IF('To Order'!$A708=COLUMNS($A708:I"&amp;"727), I707&amp;RIGHT(INDIRECT(ADDRESS(ROW(I708)-1, 'From Order'!$A708)), 1), I707))"),"VPVRZHMFBBFSLTDGSBLJDTWRDVCBP")</f>
        <v>VPVRZHMFBBFSLTDGSBLJDTWRDVCBP</v>
      </c>
    </row>
    <row r="709">
      <c r="A709" s="2" t="str">
        <f>IFERROR(__xludf.DUMMYFUNCTION("IF('From Order'!$A709=COLUMNS($A709:A728), LEFT(INDEX(FILTER(A$1:A708, A$1:A708&lt;&gt;""""),COUNTA(FILTER(A$1:A708, A$1:A708&lt;&gt;""""))), LEN(INDEX(FILTER(A$1:A708, A$1:A708&lt;&gt;""""),COUNTA(FILTER(A$1:A708, A$1:A708&lt;&gt;""""))))-1), IF('To Order'!$A709=COLUMNS($A709:A"&amp;"728), A708&amp;RIGHT(INDIRECT(ADDRESS(ROW(A709)-1, 'From Order'!$A709)), 1), A708))"),"")</f>
        <v/>
      </c>
      <c r="B709" s="2" t="str">
        <f>IFERROR(__xludf.DUMMYFUNCTION("IF('From Order'!$A709=COLUMNS($A709:B728), LEFT(INDEX(FILTER(B$1:B708, B$1:B708&lt;&gt;""""),COUNTA(FILTER(B$1:B708, B$1:B708&lt;&gt;""""))), LEN(INDEX(FILTER(B$1:B708, B$1:B708&lt;&gt;""""),COUNTA(FILTER(B$1:B708, B$1:B708&lt;&gt;""""))))-1), IF('To Order'!$A709=COLUMNS($A709:B"&amp;"728), B708&amp;RIGHT(INDIRECT(ADDRESS(ROW(B709)-1, 'From Order'!$A709)), 1), B708))"),"JZR")</f>
        <v>JZR</v>
      </c>
      <c r="C709" s="2" t="str">
        <f>IFERROR(__xludf.DUMMYFUNCTION("IF('From Order'!$A709=COLUMNS($A709:C728), LEFT(INDEX(FILTER(C$1:C708, C$1:C708&lt;&gt;""""),COUNTA(FILTER(C$1:C708, C$1:C708&lt;&gt;""""))), LEN(INDEX(FILTER(C$1:C708, C$1:C708&lt;&gt;""""),COUNTA(FILTER(C$1:C708, C$1:C708&lt;&gt;""""))))-1), IF('To Order'!$A709=COLUMNS($A709:C"&amp;"728), C708&amp;RIGHT(INDIRECT(ADDRESS(ROW(C709)-1, 'From Order'!$A709)), 1), C708))"),"T")</f>
        <v>T</v>
      </c>
      <c r="D709" s="2" t="str">
        <f>IFERROR(__xludf.DUMMYFUNCTION("IF('From Order'!$A709=COLUMNS($A709:D728), LEFT(INDEX(FILTER(D$1:D708, D$1:D708&lt;&gt;""""),COUNTA(FILTER(D$1:D708, D$1:D708&lt;&gt;""""))), LEN(INDEX(FILTER(D$1:D708, D$1:D708&lt;&gt;""""),COUNTA(FILTER(D$1:D708, D$1:D708&lt;&gt;""""))))-1), IF('To Order'!$A709=COLUMNS($A709:D"&amp;"728), D708&amp;RIGHT(INDIRECT(ADDRESS(ROW(D709)-1, 'From Order'!$A709)), 1), D708))"),"TM")</f>
        <v>TM</v>
      </c>
      <c r="E709" s="2" t="str">
        <f>IFERROR(__xludf.DUMMYFUNCTION("IF('From Order'!$A709=COLUMNS($A709:E728), LEFT(INDEX(FILTER(E$1:E708, E$1:E708&lt;&gt;""""),COUNTA(FILTER(E$1:E708, E$1:E708&lt;&gt;""""))), LEN(INDEX(FILTER(E$1:E708, E$1:E708&lt;&gt;""""),COUNTA(FILTER(E$1:E708, E$1:E708&lt;&gt;""""))))-1), IF('To Order'!$A709=COLUMNS($A709:E"&amp;"728), E708&amp;RIGHT(INDIRECT(ADDRESS(ROW(E709)-1, 'From Order'!$A709)), 1), E708))"),"C")</f>
        <v>C</v>
      </c>
      <c r="F709" s="2" t="str">
        <f>IFERROR(__xludf.DUMMYFUNCTION("IF('From Order'!$A709=COLUMNS($A709:F728), LEFT(INDEX(FILTER(F$1:F708, F$1:F708&lt;&gt;""""),COUNTA(FILTER(F$1:F708, F$1:F708&lt;&gt;""""))), LEN(INDEX(FILTER(F$1:F708, F$1:F708&lt;&gt;""""),COUNTA(FILTER(F$1:F708, F$1:F708&lt;&gt;""""))))-1), IF('To Order'!$A709=COLUMNS($A709:F"&amp;"728), F708&amp;RIGHT(INDIRECT(ADDRESS(ROW(F709)-1, 'From Order'!$A709)), 1), F708))"),"")</f>
        <v/>
      </c>
      <c r="G709" s="2" t="str">
        <f>IFERROR(__xludf.DUMMYFUNCTION("IF('From Order'!$A709=COLUMNS($A709:G728), LEFT(INDEX(FILTER(G$1:G708, G$1:G708&lt;&gt;""""),COUNTA(FILTER(G$1:G708, G$1:G708&lt;&gt;""""))), LEN(INDEX(FILTER(G$1:G708, G$1:G708&lt;&gt;""""),COUNTA(FILTER(G$1:G708, G$1:G708&lt;&gt;""""))))-1), IF('To Order'!$A709=COLUMNS($A709:G"&amp;"728), G708&amp;RIGHT(INDIRECT(ADDRESS(ROW(G709)-1, 'From Order'!$A709)), 1), G708))"),"DTRLRQPDSSGHWQ")</f>
        <v>DTRLRQPDSSGHWQ</v>
      </c>
      <c r="H709" s="2" t="str">
        <f>IFERROR(__xludf.DUMMYFUNCTION("IF('From Order'!$A709=COLUMNS($A709:H728), LEFT(INDEX(FILTER(H$1:H708, H$1:H708&lt;&gt;""""),COUNTA(FILTER(H$1:H708, H$1:H708&lt;&gt;""""))), LEN(INDEX(FILTER(H$1:H708, H$1:H708&lt;&gt;""""),COUNTA(FILTER(H$1:H708, H$1:H708&lt;&gt;""""))))-1), IF('To Order'!$A709=COLUMNS($A709:H"&amp;"728), H708&amp;RIGHT(INDIRECT(ADDRESS(ROW(H709)-1, 'From Order'!$A709)), 1), H708))"),"ZMDTCJ")</f>
        <v>ZMDTCJ</v>
      </c>
      <c r="I709" s="2" t="str">
        <f>IFERROR(__xludf.DUMMYFUNCTION("IF('From Order'!$A709=COLUMNS($A709:I728), LEFT(INDEX(FILTER(I$1:I708, I$1:I708&lt;&gt;""""),COUNTA(FILTER(I$1:I708, I$1:I708&lt;&gt;""""))), LEN(INDEX(FILTER(I$1:I708, I$1:I708&lt;&gt;""""),COUNTA(FILTER(I$1:I708, I$1:I708&lt;&gt;""""))))-1), IF('To Order'!$A709=COLUMNS($A709:I"&amp;"728), I708&amp;RIGHT(INDIRECT(ADDRESS(ROW(I709)-1, 'From Order'!$A709)), 1), I708))"),"VPVRZHMFBBFSLTDGSBLJDTWRDVCBP")</f>
        <v>VPVRZHMFBBFSLTDGSBLJDTWRDVCBP</v>
      </c>
    </row>
    <row r="710">
      <c r="A710" s="2" t="str">
        <f>IFERROR(__xludf.DUMMYFUNCTION("IF('From Order'!$A710=COLUMNS($A710:A729), LEFT(INDEX(FILTER(A$1:A709, A$1:A709&lt;&gt;""""),COUNTA(FILTER(A$1:A709, A$1:A709&lt;&gt;""""))), LEN(INDEX(FILTER(A$1:A709, A$1:A709&lt;&gt;""""),COUNTA(FILTER(A$1:A709, A$1:A709&lt;&gt;""""))))-1), IF('To Order'!$A710=COLUMNS($A710:A"&amp;"729), A709&amp;RIGHT(INDIRECT(ADDRESS(ROW(A710)-1, 'From Order'!$A710)), 1), A709))"),"")</f>
        <v/>
      </c>
      <c r="B710" s="2" t="str">
        <f>IFERROR(__xludf.DUMMYFUNCTION("IF('From Order'!$A710=COLUMNS($A710:B729), LEFT(INDEX(FILTER(B$1:B709, B$1:B709&lt;&gt;""""),COUNTA(FILTER(B$1:B709, B$1:B709&lt;&gt;""""))), LEN(INDEX(FILTER(B$1:B709, B$1:B709&lt;&gt;""""),COUNTA(FILTER(B$1:B709, B$1:B709&lt;&gt;""""))))-1), IF('To Order'!$A710=COLUMNS($A710:B"&amp;"729), B709&amp;RIGHT(INDIRECT(ADDRESS(ROW(B710)-1, 'From Order'!$A710)), 1), B709))"),"JZR")</f>
        <v>JZR</v>
      </c>
      <c r="C710" s="2" t="str">
        <f>IFERROR(__xludf.DUMMYFUNCTION("IF('From Order'!$A710=COLUMNS($A710:C729), LEFT(INDEX(FILTER(C$1:C709, C$1:C709&lt;&gt;""""),COUNTA(FILTER(C$1:C709, C$1:C709&lt;&gt;""""))), LEN(INDEX(FILTER(C$1:C709, C$1:C709&lt;&gt;""""),COUNTA(FILTER(C$1:C709, C$1:C709&lt;&gt;""""))))-1), IF('To Order'!$A710=COLUMNS($A710:C"&amp;"729), C709&amp;RIGHT(INDIRECT(ADDRESS(ROW(C710)-1, 'From Order'!$A710)), 1), C709))"),"TJ")</f>
        <v>TJ</v>
      </c>
      <c r="D710" s="2" t="str">
        <f>IFERROR(__xludf.DUMMYFUNCTION("IF('From Order'!$A710=COLUMNS($A710:D729), LEFT(INDEX(FILTER(D$1:D709, D$1:D709&lt;&gt;""""),COUNTA(FILTER(D$1:D709, D$1:D709&lt;&gt;""""))), LEN(INDEX(FILTER(D$1:D709, D$1:D709&lt;&gt;""""),COUNTA(FILTER(D$1:D709, D$1:D709&lt;&gt;""""))))-1), IF('To Order'!$A710=COLUMNS($A710:D"&amp;"729), D709&amp;RIGHT(INDIRECT(ADDRESS(ROW(D710)-1, 'From Order'!$A710)), 1), D709))"),"TM")</f>
        <v>TM</v>
      </c>
      <c r="E710" s="2" t="str">
        <f>IFERROR(__xludf.DUMMYFUNCTION("IF('From Order'!$A710=COLUMNS($A710:E729), LEFT(INDEX(FILTER(E$1:E709, E$1:E709&lt;&gt;""""),COUNTA(FILTER(E$1:E709, E$1:E709&lt;&gt;""""))), LEN(INDEX(FILTER(E$1:E709, E$1:E709&lt;&gt;""""),COUNTA(FILTER(E$1:E709, E$1:E709&lt;&gt;""""))))-1), IF('To Order'!$A710=COLUMNS($A710:E"&amp;"729), E709&amp;RIGHT(INDIRECT(ADDRESS(ROW(E710)-1, 'From Order'!$A710)), 1), E709))"),"C")</f>
        <v>C</v>
      </c>
      <c r="F710" s="2" t="str">
        <f>IFERROR(__xludf.DUMMYFUNCTION("IF('From Order'!$A710=COLUMNS($A710:F729), LEFT(INDEX(FILTER(F$1:F709, F$1:F709&lt;&gt;""""),COUNTA(FILTER(F$1:F709, F$1:F709&lt;&gt;""""))), LEN(INDEX(FILTER(F$1:F709, F$1:F709&lt;&gt;""""),COUNTA(FILTER(F$1:F709, F$1:F709&lt;&gt;""""))))-1), IF('To Order'!$A710=COLUMNS($A710:F"&amp;"729), F709&amp;RIGHT(INDIRECT(ADDRESS(ROW(F710)-1, 'From Order'!$A710)), 1), F709))"),"")</f>
        <v/>
      </c>
      <c r="G710" s="2" t="str">
        <f>IFERROR(__xludf.DUMMYFUNCTION("IF('From Order'!$A710=COLUMNS($A710:G729), LEFT(INDEX(FILTER(G$1:G709, G$1:G709&lt;&gt;""""),COUNTA(FILTER(G$1:G709, G$1:G709&lt;&gt;""""))), LEN(INDEX(FILTER(G$1:G709, G$1:G709&lt;&gt;""""),COUNTA(FILTER(G$1:G709, G$1:G709&lt;&gt;""""))))-1), IF('To Order'!$A710=COLUMNS($A710:G"&amp;"729), G709&amp;RIGHT(INDIRECT(ADDRESS(ROW(G710)-1, 'From Order'!$A710)), 1), G709))"),"DTRLRQPDSSGHWQ")</f>
        <v>DTRLRQPDSSGHWQ</v>
      </c>
      <c r="H710" s="2" t="str">
        <f>IFERROR(__xludf.DUMMYFUNCTION("IF('From Order'!$A710=COLUMNS($A710:H729), LEFT(INDEX(FILTER(H$1:H709, H$1:H709&lt;&gt;""""),COUNTA(FILTER(H$1:H709, H$1:H709&lt;&gt;""""))), LEN(INDEX(FILTER(H$1:H709, H$1:H709&lt;&gt;""""),COUNTA(FILTER(H$1:H709, H$1:H709&lt;&gt;""""))))-1), IF('To Order'!$A710=COLUMNS($A710:H"&amp;"729), H709&amp;RIGHT(INDIRECT(ADDRESS(ROW(H710)-1, 'From Order'!$A710)), 1), H709))"),"ZMDTC")</f>
        <v>ZMDTC</v>
      </c>
      <c r="I710" s="2" t="str">
        <f>IFERROR(__xludf.DUMMYFUNCTION("IF('From Order'!$A710=COLUMNS($A710:I729), LEFT(INDEX(FILTER(I$1:I709, I$1:I709&lt;&gt;""""),COUNTA(FILTER(I$1:I709, I$1:I709&lt;&gt;""""))), LEN(INDEX(FILTER(I$1:I709, I$1:I709&lt;&gt;""""),COUNTA(FILTER(I$1:I709, I$1:I709&lt;&gt;""""))))-1), IF('To Order'!$A710=COLUMNS($A710:I"&amp;"729), I709&amp;RIGHT(INDIRECT(ADDRESS(ROW(I710)-1, 'From Order'!$A710)), 1), I709))"),"VPVRZHMFBBFSLTDGSBLJDTWRDVCBP")</f>
        <v>VPVRZHMFBBFSLTDGSBLJDTWRDVCBP</v>
      </c>
    </row>
    <row r="711">
      <c r="A711" s="2" t="str">
        <f>IFERROR(__xludf.DUMMYFUNCTION("IF('From Order'!$A711=COLUMNS($A711:A730), LEFT(INDEX(FILTER(A$1:A710, A$1:A710&lt;&gt;""""),COUNTA(FILTER(A$1:A710, A$1:A710&lt;&gt;""""))), LEN(INDEX(FILTER(A$1:A710, A$1:A710&lt;&gt;""""),COUNTA(FILTER(A$1:A710, A$1:A710&lt;&gt;""""))))-1), IF('To Order'!$A711=COLUMNS($A711:A"&amp;"730), A710&amp;RIGHT(INDIRECT(ADDRESS(ROW(A711)-1, 'From Order'!$A711)), 1), A710))"),"")</f>
        <v/>
      </c>
      <c r="B711" s="2" t="str">
        <f>IFERROR(__xludf.DUMMYFUNCTION("IF('From Order'!$A711=COLUMNS($A711:B730), LEFT(INDEX(FILTER(B$1:B710, B$1:B710&lt;&gt;""""),COUNTA(FILTER(B$1:B710, B$1:B710&lt;&gt;""""))), LEN(INDEX(FILTER(B$1:B710, B$1:B710&lt;&gt;""""),COUNTA(FILTER(B$1:B710, B$1:B710&lt;&gt;""""))))-1), IF('To Order'!$A711=COLUMNS($A711:B"&amp;"730), B710&amp;RIGHT(INDIRECT(ADDRESS(ROW(B711)-1, 'From Order'!$A711)), 1), B710))"),"JZR")</f>
        <v>JZR</v>
      </c>
      <c r="C711" s="2" t="str">
        <f>IFERROR(__xludf.DUMMYFUNCTION("IF('From Order'!$A711=COLUMNS($A711:C730), LEFT(INDEX(FILTER(C$1:C710, C$1:C710&lt;&gt;""""),COUNTA(FILTER(C$1:C710, C$1:C710&lt;&gt;""""))), LEN(INDEX(FILTER(C$1:C710, C$1:C710&lt;&gt;""""),COUNTA(FILTER(C$1:C710, C$1:C710&lt;&gt;""""))))-1), IF('To Order'!$A711=COLUMNS($A711:C"&amp;"730), C710&amp;RIGHT(INDIRECT(ADDRESS(ROW(C711)-1, 'From Order'!$A711)), 1), C710))"),"TJC")</f>
        <v>TJC</v>
      </c>
      <c r="D711" s="2" t="str">
        <f>IFERROR(__xludf.DUMMYFUNCTION("IF('From Order'!$A711=COLUMNS($A711:D730), LEFT(INDEX(FILTER(D$1:D710, D$1:D710&lt;&gt;""""),COUNTA(FILTER(D$1:D710, D$1:D710&lt;&gt;""""))), LEN(INDEX(FILTER(D$1:D710, D$1:D710&lt;&gt;""""),COUNTA(FILTER(D$1:D710, D$1:D710&lt;&gt;""""))))-1), IF('To Order'!$A711=COLUMNS($A711:D"&amp;"730), D710&amp;RIGHT(INDIRECT(ADDRESS(ROW(D711)-1, 'From Order'!$A711)), 1), D710))"),"TM")</f>
        <v>TM</v>
      </c>
      <c r="E711" s="2" t="str">
        <f>IFERROR(__xludf.DUMMYFUNCTION("IF('From Order'!$A711=COLUMNS($A711:E730), LEFT(INDEX(FILTER(E$1:E710, E$1:E710&lt;&gt;""""),COUNTA(FILTER(E$1:E710, E$1:E710&lt;&gt;""""))), LEN(INDEX(FILTER(E$1:E710, E$1:E710&lt;&gt;""""),COUNTA(FILTER(E$1:E710, E$1:E710&lt;&gt;""""))))-1), IF('To Order'!$A711=COLUMNS($A711:E"&amp;"730), E710&amp;RIGHT(INDIRECT(ADDRESS(ROW(E711)-1, 'From Order'!$A711)), 1), E710))"),"C")</f>
        <v>C</v>
      </c>
      <c r="F711" s="2" t="str">
        <f>IFERROR(__xludf.DUMMYFUNCTION("IF('From Order'!$A711=COLUMNS($A711:F730), LEFT(INDEX(FILTER(F$1:F710, F$1:F710&lt;&gt;""""),COUNTA(FILTER(F$1:F710, F$1:F710&lt;&gt;""""))), LEN(INDEX(FILTER(F$1:F710, F$1:F710&lt;&gt;""""),COUNTA(FILTER(F$1:F710, F$1:F710&lt;&gt;""""))))-1), IF('To Order'!$A711=COLUMNS($A711:F"&amp;"730), F710&amp;RIGHT(INDIRECT(ADDRESS(ROW(F711)-1, 'From Order'!$A711)), 1), F710))"),"")</f>
        <v/>
      </c>
      <c r="G711" s="2" t="str">
        <f>IFERROR(__xludf.DUMMYFUNCTION("IF('From Order'!$A711=COLUMNS($A711:G730), LEFT(INDEX(FILTER(G$1:G710, G$1:G710&lt;&gt;""""),COUNTA(FILTER(G$1:G710, G$1:G710&lt;&gt;""""))), LEN(INDEX(FILTER(G$1:G710, G$1:G710&lt;&gt;""""),COUNTA(FILTER(G$1:G710, G$1:G710&lt;&gt;""""))))-1), IF('To Order'!$A711=COLUMNS($A711:G"&amp;"730), G710&amp;RIGHT(INDIRECT(ADDRESS(ROW(G711)-1, 'From Order'!$A711)), 1), G710))"),"DTRLRQPDSSGHWQ")</f>
        <v>DTRLRQPDSSGHWQ</v>
      </c>
      <c r="H711" s="2" t="str">
        <f>IFERROR(__xludf.DUMMYFUNCTION("IF('From Order'!$A711=COLUMNS($A711:H730), LEFT(INDEX(FILTER(H$1:H710, H$1:H710&lt;&gt;""""),COUNTA(FILTER(H$1:H710, H$1:H710&lt;&gt;""""))), LEN(INDEX(FILTER(H$1:H710, H$1:H710&lt;&gt;""""),COUNTA(FILTER(H$1:H710, H$1:H710&lt;&gt;""""))))-1), IF('To Order'!$A711=COLUMNS($A711:H"&amp;"730), H710&amp;RIGHT(INDIRECT(ADDRESS(ROW(H711)-1, 'From Order'!$A711)), 1), H710))"),"ZMDT")</f>
        <v>ZMDT</v>
      </c>
      <c r="I711" s="2" t="str">
        <f>IFERROR(__xludf.DUMMYFUNCTION("IF('From Order'!$A711=COLUMNS($A711:I730), LEFT(INDEX(FILTER(I$1:I710, I$1:I710&lt;&gt;""""),COUNTA(FILTER(I$1:I710, I$1:I710&lt;&gt;""""))), LEN(INDEX(FILTER(I$1:I710, I$1:I710&lt;&gt;""""),COUNTA(FILTER(I$1:I710, I$1:I710&lt;&gt;""""))))-1), IF('To Order'!$A711=COLUMNS($A711:I"&amp;"730), I710&amp;RIGHT(INDIRECT(ADDRESS(ROW(I711)-1, 'From Order'!$A711)), 1), I710))"),"VPVRZHMFBBFSLTDGSBLJDTWRDVCBP")</f>
        <v>VPVRZHMFBBFSLTDGSBLJDTWRDVCBP</v>
      </c>
    </row>
    <row r="712">
      <c r="A712" s="2" t="str">
        <f>IFERROR(__xludf.DUMMYFUNCTION("IF('From Order'!$A712=COLUMNS($A712:A731), LEFT(INDEX(FILTER(A$1:A711, A$1:A711&lt;&gt;""""),COUNTA(FILTER(A$1:A711, A$1:A711&lt;&gt;""""))), LEN(INDEX(FILTER(A$1:A711, A$1:A711&lt;&gt;""""),COUNTA(FILTER(A$1:A711, A$1:A711&lt;&gt;""""))))-1), IF('To Order'!$A712=COLUMNS($A712:A"&amp;"731), A711&amp;RIGHT(INDIRECT(ADDRESS(ROW(A712)-1, 'From Order'!$A712)), 1), A711))"),"")</f>
        <v/>
      </c>
      <c r="B712" s="2" t="str">
        <f>IFERROR(__xludf.DUMMYFUNCTION("IF('From Order'!$A712=COLUMNS($A712:B731), LEFT(INDEX(FILTER(B$1:B711, B$1:B711&lt;&gt;""""),COUNTA(FILTER(B$1:B711, B$1:B711&lt;&gt;""""))), LEN(INDEX(FILTER(B$1:B711, B$1:B711&lt;&gt;""""),COUNTA(FILTER(B$1:B711, B$1:B711&lt;&gt;""""))))-1), IF('To Order'!$A712=COLUMNS($A712:B"&amp;"731), B711&amp;RIGHT(INDIRECT(ADDRESS(ROW(B712)-1, 'From Order'!$A712)), 1), B711))"),"JZR")</f>
        <v>JZR</v>
      </c>
      <c r="C712" s="2" t="str">
        <f>IFERROR(__xludf.DUMMYFUNCTION("IF('From Order'!$A712=COLUMNS($A712:C731), LEFT(INDEX(FILTER(C$1:C711, C$1:C711&lt;&gt;""""),COUNTA(FILTER(C$1:C711, C$1:C711&lt;&gt;""""))), LEN(INDEX(FILTER(C$1:C711, C$1:C711&lt;&gt;""""),COUNTA(FILTER(C$1:C711, C$1:C711&lt;&gt;""""))))-1), IF('To Order'!$A712=COLUMNS($A712:C"&amp;"731), C711&amp;RIGHT(INDIRECT(ADDRESS(ROW(C712)-1, 'From Order'!$A712)), 1), C711))"),"TJC")</f>
        <v>TJC</v>
      </c>
      <c r="D712" s="2" t="str">
        <f>IFERROR(__xludf.DUMMYFUNCTION("IF('From Order'!$A712=COLUMNS($A712:D731), LEFT(INDEX(FILTER(D$1:D711, D$1:D711&lt;&gt;""""),COUNTA(FILTER(D$1:D711, D$1:D711&lt;&gt;""""))), LEN(INDEX(FILTER(D$1:D711, D$1:D711&lt;&gt;""""),COUNTA(FILTER(D$1:D711, D$1:D711&lt;&gt;""""))))-1), IF('To Order'!$A712=COLUMNS($A712:D"&amp;"731), D711&amp;RIGHT(INDIRECT(ADDRESS(ROW(D712)-1, 'From Order'!$A712)), 1), D711))"),"TM")</f>
        <v>TM</v>
      </c>
      <c r="E712" s="2" t="str">
        <f>IFERROR(__xludf.DUMMYFUNCTION("IF('From Order'!$A712=COLUMNS($A712:E731), LEFT(INDEX(FILTER(E$1:E711, E$1:E711&lt;&gt;""""),COUNTA(FILTER(E$1:E711, E$1:E711&lt;&gt;""""))), LEN(INDEX(FILTER(E$1:E711, E$1:E711&lt;&gt;""""),COUNTA(FILTER(E$1:E711, E$1:E711&lt;&gt;""""))))-1), IF('To Order'!$A712=COLUMNS($A712:E"&amp;"731), E711&amp;RIGHT(INDIRECT(ADDRESS(ROW(E712)-1, 'From Order'!$A712)), 1), E711))"),"CT")</f>
        <v>CT</v>
      </c>
      <c r="F712" s="2" t="str">
        <f>IFERROR(__xludf.DUMMYFUNCTION("IF('From Order'!$A712=COLUMNS($A712:F731), LEFT(INDEX(FILTER(F$1:F711, F$1:F711&lt;&gt;""""),COUNTA(FILTER(F$1:F711, F$1:F711&lt;&gt;""""))), LEN(INDEX(FILTER(F$1:F711, F$1:F711&lt;&gt;""""),COUNTA(FILTER(F$1:F711, F$1:F711&lt;&gt;""""))))-1), IF('To Order'!$A712=COLUMNS($A712:F"&amp;"731), F711&amp;RIGHT(INDIRECT(ADDRESS(ROW(F712)-1, 'From Order'!$A712)), 1), F711))"),"")</f>
        <v/>
      </c>
      <c r="G712" s="2" t="str">
        <f>IFERROR(__xludf.DUMMYFUNCTION("IF('From Order'!$A712=COLUMNS($A712:G731), LEFT(INDEX(FILTER(G$1:G711, G$1:G711&lt;&gt;""""),COUNTA(FILTER(G$1:G711, G$1:G711&lt;&gt;""""))), LEN(INDEX(FILTER(G$1:G711, G$1:G711&lt;&gt;""""),COUNTA(FILTER(G$1:G711, G$1:G711&lt;&gt;""""))))-1), IF('To Order'!$A712=COLUMNS($A712:G"&amp;"731), G711&amp;RIGHT(INDIRECT(ADDRESS(ROW(G712)-1, 'From Order'!$A712)), 1), G711))"),"DTRLRQPDSSGHWQ")</f>
        <v>DTRLRQPDSSGHWQ</v>
      </c>
      <c r="H712" s="2" t="str">
        <f>IFERROR(__xludf.DUMMYFUNCTION("IF('From Order'!$A712=COLUMNS($A712:H731), LEFT(INDEX(FILTER(H$1:H711, H$1:H711&lt;&gt;""""),COUNTA(FILTER(H$1:H711, H$1:H711&lt;&gt;""""))), LEN(INDEX(FILTER(H$1:H711, H$1:H711&lt;&gt;""""),COUNTA(FILTER(H$1:H711, H$1:H711&lt;&gt;""""))))-1), IF('To Order'!$A712=COLUMNS($A712:H"&amp;"731), H711&amp;RIGHT(INDIRECT(ADDRESS(ROW(H712)-1, 'From Order'!$A712)), 1), H711))"),"ZMD")</f>
        <v>ZMD</v>
      </c>
      <c r="I712" s="2" t="str">
        <f>IFERROR(__xludf.DUMMYFUNCTION("IF('From Order'!$A712=COLUMNS($A712:I731), LEFT(INDEX(FILTER(I$1:I711, I$1:I711&lt;&gt;""""),COUNTA(FILTER(I$1:I711, I$1:I711&lt;&gt;""""))), LEN(INDEX(FILTER(I$1:I711, I$1:I711&lt;&gt;""""),COUNTA(FILTER(I$1:I711, I$1:I711&lt;&gt;""""))))-1), IF('To Order'!$A712=COLUMNS($A712:I"&amp;"731), I711&amp;RIGHT(INDIRECT(ADDRESS(ROW(I712)-1, 'From Order'!$A712)), 1), I711))"),"VPVRZHMFBBFSLTDGSBLJDTWRDVCBP")</f>
        <v>VPVRZHMFBBFSLTDGSBLJDTWRDVCBP</v>
      </c>
    </row>
    <row r="713">
      <c r="A713" s="2" t="str">
        <f>IFERROR(__xludf.DUMMYFUNCTION("IF('From Order'!$A713=COLUMNS($A713:A732), LEFT(INDEX(FILTER(A$1:A712, A$1:A712&lt;&gt;""""),COUNTA(FILTER(A$1:A712, A$1:A712&lt;&gt;""""))), LEN(INDEX(FILTER(A$1:A712, A$1:A712&lt;&gt;""""),COUNTA(FILTER(A$1:A712, A$1:A712&lt;&gt;""""))))-1), IF('To Order'!$A713=COLUMNS($A713:A"&amp;"732), A712&amp;RIGHT(INDIRECT(ADDRESS(ROW(A713)-1, 'From Order'!$A713)), 1), A712))"),"")</f>
        <v/>
      </c>
      <c r="B713" s="2" t="str">
        <f>IFERROR(__xludf.DUMMYFUNCTION("IF('From Order'!$A713=COLUMNS($A713:B732), LEFT(INDEX(FILTER(B$1:B712, B$1:B712&lt;&gt;""""),COUNTA(FILTER(B$1:B712, B$1:B712&lt;&gt;""""))), LEN(INDEX(FILTER(B$1:B712, B$1:B712&lt;&gt;""""),COUNTA(FILTER(B$1:B712, B$1:B712&lt;&gt;""""))))-1), IF('To Order'!$A713=COLUMNS($A713:B"&amp;"732), B712&amp;RIGHT(INDIRECT(ADDRESS(ROW(B713)-1, 'From Order'!$A713)), 1), B712))"),"JZRD")</f>
        <v>JZRD</v>
      </c>
      <c r="C713" s="2" t="str">
        <f>IFERROR(__xludf.DUMMYFUNCTION("IF('From Order'!$A713=COLUMNS($A713:C732), LEFT(INDEX(FILTER(C$1:C712, C$1:C712&lt;&gt;""""),COUNTA(FILTER(C$1:C712, C$1:C712&lt;&gt;""""))), LEN(INDEX(FILTER(C$1:C712, C$1:C712&lt;&gt;""""),COUNTA(FILTER(C$1:C712, C$1:C712&lt;&gt;""""))))-1), IF('To Order'!$A713=COLUMNS($A713:C"&amp;"732), C712&amp;RIGHT(INDIRECT(ADDRESS(ROW(C713)-1, 'From Order'!$A713)), 1), C712))"),"TJC")</f>
        <v>TJC</v>
      </c>
      <c r="D713" s="2" t="str">
        <f>IFERROR(__xludf.DUMMYFUNCTION("IF('From Order'!$A713=COLUMNS($A713:D732), LEFT(INDEX(FILTER(D$1:D712, D$1:D712&lt;&gt;""""),COUNTA(FILTER(D$1:D712, D$1:D712&lt;&gt;""""))), LEN(INDEX(FILTER(D$1:D712, D$1:D712&lt;&gt;""""),COUNTA(FILTER(D$1:D712, D$1:D712&lt;&gt;""""))))-1), IF('To Order'!$A713=COLUMNS($A713:D"&amp;"732), D712&amp;RIGHT(INDIRECT(ADDRESS(ROW(D713)-1, 'From Order'!$A713)), 1), D712))"),"TM")</f>
        <v>TM</v>
      </c>
      <c r="E713" s="2" t="str">
        <f>IFERROR(__xludf.DUMMYFUNCTION("IF('From Order'!$A713=COLUMNS($A713:E732), LEFT(INDEX(FILTER(E$1:E712, E$1:E712&lt;&gt;""""),COUNTA(FILTER(E$1:E712, E$1:E712&lt;&gt;""""))), LEN(INDEX(FILTER(E$1:E712, E$1:E712&lt;&gt;""""),COUNTA(FILTER(E$1:E712, E$1:E712&lt;&gt;""""))))-1), IF('To Order'!$A713=COLUMNS($A713:E"&amp;"732), E712&amp;RIGHT(INDIRECT(ADDRESS(ROW(E713)-1, 'From Order'!$A713)), 1), E712))"),"CT")</f>
        <v>CT</v>
      </c>
      <c r="F713" s="2" t="str">
        <f>IFERROR(__xludf.DUMMYFUNCTION("IF('From Order'!$A713=COLUMNS($A713:F732), LEFT(INDEX(FILTER(F$1:F712, F$1:F712&lt;&gt;""""),COUNTA(FILTER(F$1:F712, F$1:F712&lt;&gt;""""))), LEN(INDEX(FILTER(F$1:F712, F$1:F712&lt;&gt;""""),COUNTA(FILTER(F$1:F712, F$1:F712&lt;&gt;""""))))-1), IF('To Order'!$A713=COLUMNS($A713:F"&amp;"732), F712&amp;RIGHT(INDIRECT(ADDRESS(ROW(F713)-1, 'From Order'!$A713)), 1), F712))"),"")</f>
        <v/>
      </c>
      <c r="G713" s="2" t="str">
        <f>IFERROR(__xludf.DUMMYFUNCTION("IF('From Order'!$A713=COLUMNS($A713:G732), LEFT(INDEX(FILTER(G$1:G712, G$1:G712&lt;&gt;""""),COUNTA(FILTER(G$1:G712, G$1:G712&lt;&gt;""""))), LEN(INDEX(FILTER(G$1:G712, G$1:G712&lt;&gt;""""),COUNTA(FILTER(G$1:G712, G$1:G712&lt;&gt;""""))))-1), IF('To Order'!$A713=COLUMNS($A713:G"&amp;"732), G712&amp;RIGHT(INDIRECT(ADDRESS(ROW(G713)-1, 'From Order'!$A713)), 1), G712))"),"DTRLRQPDSSGHWQ")</f>
        <v>DTRLRQPDSSGHWQ</v>
      </c>
      <c r="H713" s="2" t="str">
        <f>IFERROR(__xludf.DUMMYFUNCTION("IF('From Order'!$A713=COLUMNS($A713:H732), LEFT(INDEX(FILTER(H$1:H712, H$1:H712&lt;&gt;""""),COUNTA(FILTER(H$1:H712, H$1:H712&lt;&gt;""""))), LEN(INDEX(FILTER(H$1:H712, H$1:H712&lt;&gt;""""),COUNTA(FILTER(H$1:H712, H$1:H712&lt;&gt;""""))))-1), IF('To Order'!$A713=COLUMNS($A713:H"&amp;"732), H712&amp;RIGHT(INDIRECT(ADDRESS(ROW(H713)-1, 'From Order'!$A713)), 1), H712))"),"ZM")</f>
        <v>ZM</v>
      </c>
      <c r="I713" s="2" t="str">
        <f>IFERROR(__xludf.DUMMYFUNCTION("IF('From Order'!$A713=COLUMNS($A713:I732), LEFT(INDEX(FILTER(I$1:I712, I$1:I712&lt;&gt;""""),COUNTA(FILTER(I$1:I712, I$1:I712&lt;&gt;""""))), LEN(INDEX(FILTER(I$1:I712, I$1:I712&lt;&gt;""""),COUNTA(FILTER(I$1:I712, I$1:I712&lt;&gt;""""))))-1), IF('To Order'!$A713=COLUMNS($A713:I"&amp;"732), I712&amp;RIGHT(INDIRECT(ADDRESS(ROW(I713)-1, 'From Order'!$A713)), 1), I712))"),"VPVRZHMFBBFSLTDGSBLJDTWRDVCBP")</f>
        <v>VPVRZHMFBBFSLTDGSBLJDTWRDVCBP</v>
      </c>
    </row>
    <row r="714">
      <c r="A714" s="2" t="str">
        <f>IFERROR(__xludf.DUMMYFUNCTION("IF('From Order'!$A714=COLUMNS($A714:A733), LEFT(INDEX(FILTER(A$1:A713, A$1:A713&lt;&gt;""""),COUNTA(FILTER(A$1:A713, A$1:A713&lt;&gt;""""))), LEN(INDEX(FILTER(A$1:A713, A$1:A713&lt;&gt;""""),COUNTA(FILTER(A$1:A713, A$1:A713&lt;&gt;""""))))-1), IF('To Order'!$A714=COLUMNS($A714:A"&amp;"733), A713&amp;RIGHT(INDIRECT(ADDRESS(ROW(A714)-1, 'From Order'!$A714)), 1), A713))"),"")</f>
        <v/>
      </c>
      <c r="B714" s="2" t="str">
        <f>IFERROR(__xludf.DUMMYFUNCTION("IF('From Order'!$A714=COLUMNS($A714:B733), LEFT(INDEX(FILTER(B$1:B713, B$1:B713&lt;&gt;""""),COUNTA(FILTER(B$1:B713, B$1:B713&lt;&gt;""""))), LEN(INDEX(FILTER(B$1:B713, B$1:B713&lt;&gt;""""),COUNTA(FILTER(B$1:B713, B$1:B713&lt;&gt;""""))))-1), IF('To Order'!$A714=COLUMNS($A714:B"&amp;"733), B713&amp;RIGHT(INDIRECT(ADDRESS(ROW(B714)-1, 'From Order'!$A714)), 1), B713))"),"JZRDM")</f>
        <v>JZRDM</v>
      </c>
      <c r="C714" s="2" t="str">
        <f>IFERROR(__xludf.DUMMYFUNCTION("IF('From Order'!$A714=COLUMNS($A714:C733), LEFT(INDEX(FILTER(C$1:C713, C$1:C713&lt;&gt;""""),COUNTA(FILTER(C$1:C713, C$1:C713&lt;&gt;""""))), LEN(INDEX(FILTER(C$1:C713, C$1:C713&lt;&gt;""""),COUNTA(FILTER(C$1:C713, C$1:C713&lt;&gt;""""))))-1), IF('To Order'!$A714=COLUMNS($A714:C"&amp;"733), C713&amp;RIGHT(INDIRECT(ADDRESS(ROW(C714)-1, 'From Order'!$A714)), 1), C713))"),"TJC")</f>
        <v>TJC</v>
      </c>
      <c r="D714" s="2" t="str">
        <f>IFERROR(__xludf.DUMMYFUNCTION("IF('From Order'!$A714=COLUMNS($A714:D733), LEFT(INDEX(FILTER(D$1:D713, D$1:D713&lt;&gt;""""),COUNTA(FILTER(D$1:D713, D$1:D713&lt;&gt;""""))), LEN(INDEX(FILTER(D$1:D713, D$1:D713&lt;&gt;""""),COUNTA(FILTER(D$1:D713, D$1:D713&lt;&gt;""""))))-1), IF('To Order'!$A714=COLUMNS($A714:D"&amp;"733), D713&amp;RIGHT(INDIRECT(ADDRESS(ROW(D714)-1, 'From Order'!$A714)), 1), D713))"),"TM")</f>
        <v>TM</v>
      </c>
      <c r="E714" s="2" t="str">
        <f>IFERROR(__xludf.DUMMYFUNCTION("IF('From Order'!$A714=COLUMNS($A714:E733), LEFT(INDEX(FILTER(E$1:E713, E$1:E713&lt;&gt;""""),COUNTA(FILTER(E$1:E713, E$1:E713&lt;&gt;""""))), LEN(INDEX(FILTER(E$1:E713, E$1:E713&lt;&gt;""""),COUNTA(FILTER(E$1:E713, E$1:E713&lt;&gt;""""))))-1), IF('To Order'!$A714=COLUMNS($A714:E"&amp;"733), E713&amp;RIGHT(INDIRECT(ADDRESS(ROW(E714)-1, 'From Order'!$A714)), 1), E713))"),"CT")</f>
        <v>CT</v>
      </c>
      <c r="F714" s="2" t="str">
        <f>IFERROR(__xludf.DUMMYFUNCTION("IF('From Order'!$A714=COLUMNS($A714:F733), LEFT(INDEX(FILTER(F$1:F713, F$1:F713&lt;&gt;""""),COUNTA(FILTER(F$1:F713, F$1:F713&lt;&gt;""""))), LEN(INDEX(FILTER(F$1:F713, F$1:F713&lt;&gt;""""),COUNTA(FILTER(F$1:F713, F$1:F713&lt;&gt;""""))))-1), IF('To Order'!$A714=COLUMNS($A714:F"&amp;"733), F713&amp;RIGHT(INDIRECT(ADDRESS(ROW(F714)-1, 'From Order'!$A714)), 1), F713))"),"")</f>
        <v/>
      </c>
      <c r="G714" s="2" t="str">
        <f>IFERROR(__xludf.DUMMYFUNCTION("IF('From Order'!$A714=COLUMNS($A714:G733), LEFT(INDEX(FILTER(G$1:G713, G$1:G713&lt;&gt;""""),COUNTA(FILTER(G$1:G713, G$1:G713&lt;&gt;""""))), LEN(INDEX(FILTER(G$1:G713, G$1:G713&lt;&gt;""""),COUNTA(FILTER(G$1:G713, G$1:G713&lt;&gt;""""))))-1), IF('To Order'!$A714=COLUMNS($A714:G"&amp;"733), G713&amp;RIGHT(INDIRECT(ADDRESS(ROW(G714)-1, 'From Order'!$A714)), 1), G713))"),"DTRLRQPDSSGHWQ")</f>
        <v>DTRLRQPDSSGHWQ</v>
      </c>
      <c r="H714" s="2" t="str">
        <f>IFERROR(__xludf.DUMMYFUNCTION("IF('From Order'!$A714=COLUMNS($A714:H733), LEFT(INDEX(FILTER(H$1:H713, H$1:H713&lt;&gt;""""),COUNTA(FILTER(H$1:H713, H$1:H713&lt;&gt;""""))), LEN(INDEX(FILTER(H$1:H713, H$1:H713&lt;&gt;""""),COUNTA(FILTER(H$1:H713, H$1:H713&lt;&gt;""""))))-1), IF('To Order'!$A714=COLUMNS($A714:H"&amp;"733), H713&amp;RIGHT(INDIRECT(ADDRESS(ROW(H714)-1, 'From Order'!$A714)), 1), H713))"),"Z")</f>
        <v>Z</v>
      </c>
      <c r="I714" s="2" t="str">
        <f>IFERROR(__xludf.DUMMYFUNCTION("IF('From Order'!$A714=COLUMNS($A714:I733), LEFT(INDEX(FILTER(I$1:I713, I$1:I713&lt;&gt;""""),COUNTA(FILTER(I$1:I713, I$1:I713&lt;&gt;""""))), LEN(INDEX(FILTER(I$1:I713, I$1:I713&lt;&gt;""""),COUNTA(FILTER(I$1:I713, I$1:I713&lt;&gt;""""))))-1), IF('To Order'!$A714=COLUMNS($A714:I"&amp;"733), I713&amp;RIGHT(INDIRECT(ADDRESS(ROW(I714)-1, 'From Order'!$A714)), 1), I713))"),"VPVRZHMFBBFSLTDGSBLJDTWRDVCBP")</f>
        <v>VPVRZHMFBBFSLTDGSBLJDTWRDVCBP</v>
      </c>
    </row>
    <row r="715">
      <c r="A715" s="2" t="str">
        <f>IFERROR(__xludf.DUMMYFUNCTION("IF('From Order'!$A715=COLUMNS($A715:A734), LEFT(INDEX(FILTER(A$1:A714, A$1:A714&lt;&gt;""""),COUNTA(FILTER(A$1:A714, A$1:A714&lt;&gt;""""))), LEN(INDEX(FILTER(A$1:A714, A$1:A714&lt;&gt;""""),COUNTA(FILTER(A$1:A714, A$1:A714&lt;&gt;""""))))-1), IF('To Order'!$A715=COLUMNS($A715:A"&amp;"734), A714&amp;RIGHT(INDIRECT(ADDRESS(ROW(A715)-1, 'From Order'!$A715)), 1), A714))"),"")</f>
        <v/>
      </c>
      <c r="B715" s="2" t="str">
        <f>IFERROR(__xludf.DUMMYFUNCTION("IF('From Order'!$A715=COLUMNS($A715:B734), LEFT(INDEX(FILTER(B$1:B714, B$1:B714&lt;&gt;""""),COUNTA(FILTER(B$1:B714, B$1:B714&lt;&gt;""""))), LEN(INDEX(FILTER(B$1:B714, B$1:B714&lt;&gt;""""),COUNTA(FILTER(B$1:B714, B$1:B714&lt;&gt;""""))))-1), IF('To Order'!$A715=COLUMNS($A715:B"&amp;"734), B714&amp;RIGHT(INDIRECT(ADDRESS(ROW(B715)-1, 'From Order'!$A715)), 1), B714))"),"JZRDMZ")</f>
        <v>JZRDMZ</v>
      </c>
      <c r="C715" s="2" t="str">
        <f>IFERROR(__xludf.DUMMYFUNCTION("IF('From Order'!$A715=COLUMNS($A715:C734), LEFT(INDEX(FILTER(C$1:C714, C$1:C714&lt;&gt;""""),COUNTA(FILTER(C$1:C714, C$1:C714&lt;&gt;""""))), LEN(INDEX(FILTER(C$1:C714, C$1:C714&lt;&gt;""""),COUNTA(FILTER(C$1:C714, C$1:C714&lt;&gt;""""))))-1), IF('To Order'!$A715=COLUMNS($A715:C"&amp;"734), C714&amp;RIGHT(INDIRECT(ADDRESS(ROW(C715)-1, 'From Order'!$A715)), 1), C714))"),"TJC")</f>
        <v>TJC</v>
      </c>
      <c r="D715" s="2" t="str">
        <f>IFERROR(__xludf.DUMMYFUNCTION("IF('From Order'!$A715=COLUMNS($A715:D734), LEFT(INDEX(FILTER(D$1:D714, D$1:D714&lt;&gt;""""),COUNTA(FILTER(D$1:D714, D$1:D714&lt;&gt;""""))), LEN(INDEX(FILTER(D$1:D714, D$1:D714&lt;&gt;""""),COUNTA(FILTER(D$1:D714, D$1:D714&lt;&gt;""""))))-1), IF('To Order'!$A715=COLUMNS($A715:D"&amp;"734), D714&amp;RIGHT(INDIRECT(ADDRESS(ROW(D715)-1, 'From Order'!$A715)), 1), D714))"),"TM")</f>
        <v>TM</v>
      </c>
      <c r="E715" s="2" t="str">
        <f>IFERROR(__xludf.DUMMYFUNCTION("IF('From Order'!$A715=COLUMNS($A715:E734), LEFT(INDEX(FILTER(E$1:E714, E$1:E714&lt;&gt;""""),COUNTA(FILTER(E$1:E714, E$1:E714&lt;&gt;""""))), LEN(INDEX(FILTER(E$1:E714, E$1:E714&lt;&gt;""""),COUNTA(FILTER(E$1:E714, E$1:E714&lt;&gt;""""))))-1), IF('To Order'!$A715=COLUMNS($A715:E"&amp;"734), E714&amp;RIGHT(INDIRECT(ADDRESS(ROW(E715)-1, 'From Order'!$A715)), 1), E714))"),"CT")</f>
        <v>CT</v>
      </c>
      <c r="F715" s="2" t="str">
        <f>IFERROR(__xludf.DUMMYFUNCTION("IF('From Order'!$A715=COLUMNS($A715:F734), LEFT(INDEX(FILTER(F$1:F714, F$1:F714&lt;&gt;""""),COUNTA(FILTER(F$1:F714, F$1:F714&lt;&gt;""""))), LEN(INDEX(FILTER(F$1:F714, F$1:F714&lt;&gt;""""),COUNTA(FILTER(F$1:F714, F$1:F714&lt;&gt;""""))))-1), IF('To Order'!$A715=COLUMNS($A715:F"&amp;"734), F714&amp;RIGHT(INDIRECT(ADDRESS(ROW(F715)-1, 'From Order'!$A715)), 1), F714))"),"")</f>
        <v/>
      </c>
      <c r="G715" s="2" t="str">
        <f>IFERROR(__xludf.DUMMYFUNCTION("IF('From Order'!$A715=COLUMNS($A715:G734), LEFT(INDEX(FILTER(G$1:G714, G$1:G714&lt;&gt;""""),COUNTA(FILTER(G$1:G714, G$1:G714&lt;&gt;""""))), LEN(INDEX(FILTER(G$1:G714, G$1:G714&lt;&gt;""""),COUNTA(FILTER(G$1:G714, G$1:G714&lt;&gt;""""))))-1), IF('To Order'!$A715=COLUMNS($A715:G"&amp;"734), G714&amp;RIGHT(INDIRECT(ADDRESS(ROW(G715)-1, 'From Order'!$A715)), 1), G714))"),"DTRLRQPDSSGHWQ")</f>
        <v>DTRLRQPDSSGHWQ</v>
      </c>
      <c r="H715" s="2" t="str">
        <f>IFERROR(__xludf.DUMMYFUNCTION("IF('From Order'!$A715=COLUMNS($A715:H734), LEFT(INDEX(FILTER(H$1:H714, H$1:H714&lt;&gt;""""),COUNTA(FILTER(H$1:H714, H$1:H714&lt;&gt;""""))), LEN(INDEX(FILTER(H$1:H714, H$1:H714&lt;&gt;""""),COUNTA(FILTER(H$1:H714, H$1:H714&lt;&gt;""""))))-1), IF('To Order'!$A715=COLUMNS($A715:H"&amp;"734), H714&amp;RIGHT(INDIRECT(ADDRESS(ROW(H715)-1, 'From Order'!$A715)), 1), H714))"),"")</f>
        <v/>
      </c>
      <c r="I715" s="2" t="str">
        <f>IFERROR(__xludf.DUMMYFUNCTION("IF('From Order'!$A715=COLUMNS($A715:I734), LEFT(INDEX(FILTER(I$1:I714, I$1:I714&lt;&gt;""""),COUNTA(FILTER(I$1:I714, I$1:I714&lt;&gt;""""))), LEN(INDEX(FILTER(I$1:I714, I$1:I714&lt;&gt;""""),COUNTA(FILTER(I$1:I714, I$1:I714&lt;&gt;""""))))-1), IF('To Order'!$A715=COLUMNS($A715:I"&amp;"734), I714&amp;RIGHT(INDIRECT(ADDRESS(ROW(I715)-1, 'From Order'!$A715)), 1), I714))"),"VPVRZHMFBBFSLTDGSBLJDTWRDVCBP")</f>
        <v>VPVRZHMFBBFSLTDGSBLJDTWRDVCBP</v>
      </c>
    </row>
    <row r="716">
      <c r="A716" s="2" t="str">
        <f>IFERROR(__xludf.DUMMYFUNCTION("IF('From Order'!$A716=COLUMNS($A716:A735), LEFT(INDEX(FILTER(A$1:A715, A$1:A715&lt;&gt;""""),COUNTA(FILTER(A$1:A715, A$1:A715&lt;&gt;""""))), LEN(INDEX(FILTER(A$1:A715, A$1:A715&lt;&gt;""""),COUNTA(FILTER(A$1:A715, A$1:A715&lt;&gt;""""))))-1), IF('To Order'!$A716=COLUMNS($A716:A"&amp;"735), A715&amp;RIGHT(INDIRECT(ADDRESS(ROW(A716)-1, 'From Order'!$A716)), 1), A715))"),"")</f>
        <v/>
      </c>
      <c r="B716" s="2" t="str">
        <f>IFERROR(__xludf.DUMMYFUNCTION("IF('From Order'!$A716=COLUMNS($A716:B735), LEFT(INDEX(FILTER(B$1:B715, B$1:B715&lt;&gt;""""),COUNTA(FILTER(B$1:B715, B$1:B715&lt;&gt;""""))), LEN(INDEX(FILTER(B$1:B715, B$1:B715&lt;&gt;""""),COUNTA(FILTER(B$1:B715, B$1:B715&lt;&gt;""""))))-1), IF('To Order'!$A716=COLUMNS($A716:B"&amp;"735), B715&amp;RIGHT(INDIRECT(ADDRESS(ROW(B716)-1, 'From Order'!$A716)), 1), B715))"),"JZRDM")</f>
        <v>JZRDM</v>
      </c>
      <c r="C716" s="2" t="str">
        <f>IFERROR(__xludf.DUMMYFUNCTION("IF('From Order'!$A716=COLUMNS($A716:C735), LEFT(INDEX(FILTER(C$1:C715, C$1:C715&lt;&gt;""""),COUNTA(FILTER(C$1:C715, C$1:C715&lt;&gt;""""))), LEN(INDEX(FILTER(C$1:C715, C$1:C715&lt;&gt;""""),COUNTA(FILTER(C$1:C715, C$1:C715&lt;&gt;""""))))-1), IF('To Order'!$A716=COLUMNS($A716:C"&amp;"735), C715&amp;RIGHT(INDIRECT(ADDRESS(ROW(C716)-1, 'From Order'!$A716)), 1), C715))"),"TJC")</f>
        <v>TJC</v>
      </c>
      <c r="D716" s="2" t="str">
        <f>IFERROR(__xludf.DUMMYFUNCTION("IF('From Order'!$A716=COLUMNS($A716:D735), LEFT(INDEX(FILTER(D$1:D715, D$1:D715&lt;&gt;""""),COUNTA(FILTER(D$1:D715, D$1:D715&lt;&gt;""""))), LEN(INDEX(FILTER(D$1:D715, D$1:D715&lt;&gt;""""),COUNTA(FILTER(D$1:D715, D$1:D715&lt;&gt;""""))))-1), IF('To Order'!$A716=COLUMNS($A716:D"&amp;"735), D715&amp;RIGHT(INDIRECT(ADDRESS(ROW(D716)-1, 'From Order'!$A716)), 1), D715))"),"TMZ")</f>
        <v>TMZ</v>
      </c>
      <c r="E716" s="2" t="str">
        <f>IFERROR(__xludf.DUMMYFUNCTION("IF('From Order'!$A716=COLUMNS($A716:E735), LEFT(INDEX(FILTER(E$1:E715, E$1:E715&lt;&gt;""""),COUNTA(FILTER(E$1:E715, E$1:E715&lt;&gt;""""))), LEN(INDEX(FILTER(E$1:E715, E$1:E715&lt;&gt;""""),COUNTA(FILTER(E$1:E715, E$1:E715&lt;&gt;""""))))-1), IF('To Order'!$A716=COLUMNS($A716:E"&amp;"735), E715&amp;RIGHT(INDIRECT(ADDRESS(ROW(E716)-1, 'From Order'!$A716)), 1), E715))"),"CT")</f>
        <v>CT</v>
      </c>
      <c r="F716" s="2" t="str">
        <f>IFERROR(__xludf.DUMMYFUNCTION("IF('From Order'!$A716=COLUMNS($A716:F735), LEFT(INDEX(FILTER(F$1:F715, F$1:F715&lt;&gt;""""),COUNTA(FILTER(F$1:F715, F$1:F715&lt;&gt;""""))), LEN(INDEX(FILTER(F$1:F715, F$1:F715&lt;&gt;""""),COUNTA(FILTER(F$1:F715, F$1:F715&lt;&gt;""""))))-1), IF('To Order'!$A716=COLUMNS($A716:F"&amp;"735), F715&amp;RIGHT(INDIRECT(ADDRESS(ROW(F716)-1, 'From Order'!$A716)), 1), F715))"),"")</f>
        <v/>
      </c>
      <c r="G716" s="2" t="str">
        <f>IFERROR(__xludf.DUMMYFUNCTION("IF('From Order'!$A716=COLUMNS($A716:G735), LEFT(INDEX(FILTER(G$1:G715, G$1:G715&lt;&gt;""""),COUNTA(FILTER(G$1:G715, G$1:G715&lt;&gt;""""))), LEN(INDEX(FILTER(G$1:G715, G$1:G715&lt;&gt;""""),COUNTA(FILTER(G$1:G715, G$1:G715&lt;&gt;""""))))-1), IF('To Order'!$A716=COLUMNS($A716:G"&amp;"735), G715&amp;RIGHT(INDIRECT(ADDRESS(ROW(G716)-1, 'From Order'!$A716)), 1), G715))"),"DTRLRQPDSSGHWQ")</f>
        <v>DTRLRQPDSSGHWQ</v>
      </c>
      <c r="H716" s="2" t="str">
        <f>IFERROR(__xludf.DUMMYFUNCTION("IF('From Order'!$A716=COLUMNS($A716:H735), LEFT(INDEX(FILTER(H$1:H715, H$1:H715&lt;&gt;""""),COUNTA(FILTER(H$1:H715, H$1:H715&lt;&gt;""""))), LEN(INDEX(FILTER(H$1:H715, H$1:H715&lt;&gt;""""),COUNTA(FILTER(H$1:H715, H$1:H715&lt;&gt;""""))))-1), IF('To Order'!$A716=COLUMNS($A716:H"&amp;"735), H715&amp;RIGHT(INDIRECT(ADDRESS(ROW(H716)-1, 'From Order'!$A716)), 1), H715))"),"")</f>
        <v/>
      </c>
      <c r="I716" s="2" t="str">
        <f>IFERROR(__xludf.DUMMYFUNCTION("IF('From Order'!$A716=COLUMNS($A716:I735), LEFT(INDEX(FILTER(I$1:I715, I$1:I715&lt;&gt;""""),COUNTA(FILTER(I$1:I715, I$1:I715&lt;&gt;""""))), LEN(INDEX(FILTER(I$1:I715, I$1:I715&lt;&gt;""""),COUNTA(FILTER(I$1:I715, I$1:I715&lt;&gt;""""))))-1), IF('To Order'!$A716=COLUMNS($A716:I"&amp;"735), I715&amp;RIGHT(INDIRECT(ADDRESS(ROW(I716)-1, 'From Order'!$A716)), 1), I715))"),"VPVRZHMFBBFSLTDGSBLJDTWRDVCBP")</f>
        <v>VPVRZHMFBBFSLTDGSBLJDTWRDVCBP</v>
      </c>
    </row>
    <row r="717">
      <c r="A717" s="2" t="str">
        <f>IFERROR(__xludf.DUMMYFUNCTION("IF('From Order'!$A717=COLUMNS($A717:A736), LEFT(INDEX(FILTER(A$1:A716, A$1:A716&lt;&gt;""""),COUNTA(FILTER(A$1:A716, A$1:A716&lt;&gt;""""))), LEN(INDEX(FILTER(A$1:A716, A$1:A716&lt;&gt;""""),COUNTA(FILTER(A$1:A716, A$1:A716&lt;&gt;""""))))-1), IF('To Order'!$A717=COLUMNS($A717:A"&amp;"736), A716&amp;RIGHT(INDIRECT(ADDRESS(ROW(A717)-1, 'From Order'!$A717)), 1), A716))"),"")</f>
        <v/>
      </c>
      <c r="B717" s="2" t="str">
        <f>IFERROR(__xludf.DUMMYFUNCTION("IF('From Order'!$A717=COLUMNS($A717:B736), LEFT(INDEX(FILTER(B$1:B716, B$1:B716&lt;&gt;""""),COUNTA(FILTER(B$1:B716, B$1:B716&lt;&gt;""""))), LEN(INDEX(FILTER(B$1:B716, B$1:B716&lt;&gt;""""),COUNTA(FILTER(B$1:B716, B$1:B716&lt;&gt;""""))))-1), IF('To Order'!$A717=COLUMNS($A717:B"&amp;"736), B716&amp;RIGHT(INDIRECT(ADDRESS(ROW(B717)-1, 'From Order'!$A717)), 1), B716))"),"JZRD")</f>
        <v>JZRD</v>
      </c>
      <c r="C717" s="2" t="str">
        <f>IFERROR(__xludf.DUMMYFUNCTION("IF('From Order'!$A717=COLUMNS($A717:C736), LEFT(INDEX(FILTER(C$1:C716, C$1:C716&lt;&gt;""""),COUNTA(FILTER(C$1:C716, C$1:C716&lt;&gt;""""))), LEN(INDEX(FILTER(C$1:C716, C$1:C716&lt;&gt;""""),COUNTA(FILTER(C$1:C716, C$1:C716&lt;&gt;""""))))-1), IF('To Order'!$A717=COLUMNS($A717:C"&amp;"736), C716&amp;RIGHT(INDIRECT(ADDRESS(ROW(C717)-1, 'From Order'!$A717)), 1), C716))"),"TJC")</f>
        <v>TJC</v>
      </c>
      <c r="D717" s="2" t="str">
        <f>IFERROR(__xludf.DUMMYFUNCTION("IF('From Order'!$A717=COLUMNS($A717:D736), LEFT(INDEX(FILTER(D$1:D716, D$1:D716&lt;&gt;""""),COUNTA(FILTER(D$1:D716, D$1:D716&lt;&gt;""""))), LEN(INDEX(FILTER(D$1:D716, D$1:D716&lt;&gt;""""),COUNTA(FILTER(D$1:D716, D$1:D716&lt;&gt;""""))))-1), IF('To Order'!$A717=COLUMNS($A717:D"&amp;"736), D716&amp;RIGHT(INDIRECT(ADDRESS(ROW(D717)-1, 'From Order'!$A717)), 1), D716))"),"TMZM")</f>
        <v>TMZM</v>
      </c>
      <c r="E717" s="2" t="str">
        <f>IFERROR(__xludf.DUMMYFUNCTION("IF('From Order'!$A717=COLUMNS($A717:E736), LEFT(INDEX(FILTER(E$1:E716, E$1:E716&lt;&gt;""""),COUNTA(FILTER(E$1:E716, E$1:E716&lt;&gt;""""))), LEN(INDEX(FILTER(E$1:E716, E$1:E716&lt;&gt;""""),COUNTA(FILTER(E$1:E716, E$1:E716&lt;&gt;""""))))-1), IF('To Order'!$A717=COLUMNS($A717:E"&amp;"736), E716&amp;RIGHT(INDIRECT(ADDRESS(ROW(E717)-1, 'From Order'!$A717)), 1), E716))"),"CT")</f>
        <v>CT</v>
      </c>
      <c r="F717" s="2" t="str">
        <f>IFERROR(__xludf.DUMMYFUNCTION("IF('From Order'!$A717=COLUMNS($A717:F736), LEFT(INDEX(FILTER(F$1:F716, F$1:F716&lt;&gt;""""),COUNTA(FILTER(F$1:F716, F$1:F716&lt;&gt;""""))), LEN(INDEX(FILTER(F$1:F716, F$1:F716&lt;&gt;""""),COUNTA(FILTER(F$1:F716, F$1:F716&lt;&gt;""""))))-1), IF('To Order'!$A717=COLUMNS($A717:F"&amp;"736), F716&amp;RIGHT(INDIRECT(ADDRESS(ROW(F717)-1, 'From Order'!$A717)), 1), F716))"),"")</f>
        <v/>
      </c>
      <c r="G717" s="2" t="str">
        <f>IFERROR(__xludf.DUMMYFUNCTION("IF('From Order'!$A717=COLUMNS($A717:G736), LEFT(INDEX(FILTER(G$1:G716, G$1:G716&lt;&gt;""""),COUNTA(FILTER(G$1:G716, G$1:G716&lt;&gt;""""))), LEN(INDEX(FILTER(G$1:G716, G$1:G716&lt;&gt;""""),COUNTA(FILTER(G$1:G716, G$1:G716&lt;&gt;""""))))-1), IF('To Order'!$A717=COLUMNS($A717:G"&amp;"736), G716&amp;RIGHT(INDIRECT(ADDRESS(ROW(G717)-1, 'From Order'!$A717)), 1), G716))"),"DTRLRQPDSSGHWQ")</f>
        <v>DTRLRQPDSSGHWQ</v>
      </c>
      <c r="H717" s="2" t="str">
        <f>IFERROR(__xludf.DUMMYFUNCTION("IF('From Order'!$A717=COLUMNS($A717:H736), LEFT(INDEX(FILTER(H$1:H716, H$1:H716&lt;&gt;""""),COUNTA(FILTER(H$1:H716, H$1:H716&lt;&gt;""""))), LEN(INDEX(FILTER(H$1:H716, H$1:H716&lt;&gt;""""),COUNTA(FILTER(H$1:H716, H$1:H716&lt;&gt;""""))))-1), IF('To Order'!$A717=COLUMNS($A717:H"&amp;"736), H716&amp;RIGHT(INDIRECT(ADDRESS(ROW(H717)-1, 'From Order'!$A717)), 1), H716))"),"")</f>
        <v/>
      </c>
      <c r="I717" s="2" t="str">
        <f>IFERROR(__xludf.DUMMYFUNCTION("IF('From Order'!$A717=COLUMNS($A717:I736), LEFT(INDEX(FILTER(I$1:I716, I$1:I716&lt;&gt;""""),COUNTA(FILTER(I$1:I716, I$1:I716&lt;&gt;""""))), LEN(INDEX(FILTER(I$1:I716, I$1:I716&lt;&gt;""""),COUNTA(FILTER(I$1:I716, I$1:I716&lt;&gt;""""))))-1), IF('To Order'!$A717=COLUMNS($A717:I"&amp;"736), I716&amp;RIGHT(INDIRECT(ADDRESS(ROW(I717)-1, 'From Order'!$A717)), 1), I716))"),"VPVRZHMFBBFSLTDGSBLJDTWRDVCBP")</f>
        <v>VPVRZHMFBBFSLTDGSBLJDTWRDVCBP</v>
      </c>
    </row>
    <row r="718">
      <c r="A718" s="2" t="str">
        <f>IFERROR(__xludf.DUMMYFUNCTION("IF('From Order'!$A718=COLUMNS($A718:A737), LEFT(INDEX(FILTER(A$1:A717, A$1:A717&lt;&gt;""""),COUNTA(FILTER(A$1:A717, A$1:A717&lt;&gt;""""))), LEN(INDEX(FILTER(A$1:A717, A$1:A717&lt;&gt;""""),COUNTA(FILTER(A$1:A717, A$1:A717&lt;&gt;""""))))-1), IF('To Order'!$A718=COLUMNS($A718:A"&amp;"737), A717&amp;RIGHT(INDIRECT(ADDRESS(ROW(A718)-1, 'From Order'!$A718)), 1), A717))"),"")</f>
        <v/>
      </c>
      <c r="B718" s="2" t="str">
        <f>IFERROR(__xludf.DUMMYFUNCTION("IF('From Order'!$A718=COLUMNS($A718:B737), LEFT(INDEX(FILTER(B$1:B717, B$1:B717&lt;&gt;""""),COUNTA(FILTER(B$1:B717, B$1:B717&lt;&gt;""""))), LEN(INDEX(FILTER(B$1:B717, B$1:B717&lt;&gt;""""),COUNTA(FILTER(B$1:B717, B$1:B717&lt;&gt;""""))))-1), IF('To Order'!$A718=COLUMNS($A718:B"&amp;"737), B717&amp;RIGHT(INDIRECT(ADDRESS(ROW(B718)-1, 'From Order'!$A718)), 1), B717))"),"JZRD")</f>
        <v>JZRD</v>
      </c>
      <c r="C718" s="2" t="str">
        <f>IFERROR(__xludf.DUMMYFUNCTION("IF('From Order'!$A718=COLUMNS($A718:C737), LEFT(INDEX(FILTER(C$1:C717, C$1:C717&lt;&gt;""""),COUNTA(FILTER(C$1:C717, C$1:C717&lt;&gt;""""))), LEN(INDEX(FILTER(C$1:C717, C$1:C717&lt;&gt;""""),COUNTA(FILTER(C$1:C717, C$1:C717&lt;&gt;""""))))-1), IF('To Order'!$A718=COLUMNS($A718:C"&amp;"737), C717&amp;RIGHT(INDIRECT(ADDRESS(ROW(C718)-1, 'From Order'!$A718)), 1), C717))"),"TJC")</f>
        <v>TJC</v>
      </c>
      <c r="D718" s="2" t="str">
        <f>IFERROR(__xludf.DUMMYFUNCTION("IF('From Order'!$A718=COLUMNS($A718:D737), LEFT(INDEX(FILTER(D$1:D717, D$1:D717&lt;&gt;""""),COUNTA(FILTER(D$1:D717, D$1:D717&lt;&gt;""""))), LEN(INDEX(FILTER(D$1:D717, D$1:D717&lt;&gt;""""),COUNTA(FILTER(D$1:D717, D$1:D717&lt;&gt;""""))))-1), IF('To Order'!$A718=COLUMNS($A718:D"&amp;"737), D717&amp;RIGHT(INDIRECT(ADDRESS(ROW(D718)-1, 'From Order'!$A718)), 1), D717))"),"TMZM")</f>
        <v>TMZM</v>
      </c>
      <c r="E718" s="2" t="str">
        <f>IFERROR(__xludf.DUMMYFUNCTION("IF('From Order'!$A718=COLUMNS($A718:E737), LEFT(INDEX(FILTER(E$1:E717, E$1:E717&lt;&gt;""""),COUNTA(FILTER(E$1:E717, E$1:E717&lt;&gt;""""))), LEN(INDEX(FILTER(E$1:E717, E$1:E717&lt;&gt;""""),COUNTA(FILTER(E$1:E717, E$1:E717&lt;&gt;""""))))-1), IF('To Order'!$A718=COLUMNS($A718:E"&amp;"737), E717&amp;RIGHT(INDIRECT(ADDRESS(ROW(E718)-1, 'From Order'!$A718)), 1), E717))"),"CT")</f>
        <v>CT</v>
      </c>
      <c r="F718" s="2" t="str">
        <f>IFERROR(__xludf.DUMMYFUNCTION("IF('From Order'!$A718=COLUMNS($A718:F737), LEFT(INDEX(FILTER(F$1:F717, F$1:F717&lt;&gt;""""),COUNTA(FILTER(F$1:F717, F$1:F717&lt;&gt;""""))), LEN(INDEX(FILTER(F$1:F717, F$1:F717&lt;&gt;""""),COUNTA(FILTER(F$1:F717, F$1:F717&lt;&gt;""""))))-1), IF('To Order'!$A718=COLUMNS($A718:F"&amp;"737), F717&amp;RIGHT(INDIRECT(ADDRESS(ROW(F718)-1, 'From Order'!$A718)), 1), F717))"),"")</f>
        <v/>
      </c>
      <c r="G718" s="2" t="str">
        <f>IFERROR(__xludf.DUMMYFUNCTION("IF('From Order'!$A718=COLUMNS($A718:G737), LEFT(INDEX(FILTER(G$1:G717, G$1:G717&lt;&gt;""""),COUNTA(FILTER(G$1:G717, G$1:G717&lt;&gt;""""))), LEN(INDEX(FILTER(G$1:G717, G$1:G717&lt;&gt;""""),COUNTA(FILTER(G$1:G717, G$1:G717&lt;&gt;""""))))-1), IF('To Order'!$A718=COLUMNS($A718:G"&amp;"737), G717&amp;RIGHT(INDIRECT(ADDRESS(ROW(G718)-1, 'From Order'!$A718)), 1), G717))"),"DTRLRQPDSSGHWQP")</f>
        <v>DTRLRQPDSSGHWQP</v>
      </c>
      <c r="H718" s="2" t="str">
        <f>IFERROR(__xludf.DUMMYFUNCTION("IF('From Order'!$A718=COLUMNS($A718:H737), LEFT(INDEX(FILTER(H$1:H717, H$1:H717&lt;&gt;""""),COUNTA(FILTER(H$1:H717, H$1:H717&lt;&gt;""""))), LEN(INDEX(FILTER(H$1:H717, H$1:H717&lt;&gt;""""),COUNTA(FILTER(H$1:H717, H$1:H717&lt;&gt;""""))))-1), IF('To Order'!$A718=COLUMNS($A718:H"&amp;"737), H717&amp;RIGHT(INDIRECT(ADDRESS(ROW(H718)-1, 'From Order'!$A718)), 1), H717))"),"")</f>
        <v/>
      </c>
      <c r="I718" s="2" t="str">
        <f>IFERROR(__xludf.DUMMYFUNCTION("IF('From Order'!$A718=COLUMNS($A718:I737), LEFT(INDEX(FILTER(I$1:I717, I$1:I717&lt;&gt;""""),COUNTA(FILTER(I$1:I717, I$1:I717&lt;&gt;""""))), LEN(INDEX(FILTER(I$1:I717, I$1:I717&lt;&gt;""""),COUNTA(FILTER(I$1:I717, I$1:I717&lt;&gt;""""))))-1), IF('To Order'!$A718=COLUMNS($A718:I"&amp;"737), I717&amp;RIGHT(INDIRECT(ADDRESS(ROW(I718)-1, 'From Order'!$A718)), 1), I717))"),"VPVRZHMFBBFSLTDGSBLJDTWRDVCB")</f>
        <v>VPVRZHMFBBFSLTDGSBLJDTWRDVCB</v>
      </c>
    </row>
    <row r="719">
      <c r="A719" s="2" t="str">
        <f>IFERROR(__xludf.DUMMYFUNCTION("IF('From Order'!$A719=COLUMNS($A719:A738), LEFT(INDEX(FILTER(A$1:A718, A$1:A718&lt;&gt;""""),COUNTA(FILTER(A$1:A718, A$1:A718&lt;&gt;""""))), LEN(INDEX(FILTER(A$1:A718, A$1:A718&lt;&gt;""""),COUNTA(FILTER(A$1:A718, A$1:A718&lt;&gt;""""))))-1), IF('To Order'!$A719=COLUMNS($A719:A"&amp;"738), A718&amp;RIGHT(INDIRECT(ADDRESS(ROW(A719)-1, 'From Order'!$A719)), 1), A718))"),"")</f>
        <v/>
      </c>
      <c r="B719" s="2" t="str">
        <f>IFERROR(__xludf.DUMMYFUNCTION("IF('From Order'!$A719=COLUMNS($A719:B738), LEFT(INDEX(FILTER(B$1:B718, B$1:B718&lt;&gt;""""),COUNTA(FILTER(B$1:B718, B$1:B718&lt;&gt;""""))), LEN(INDEX(FILTER(B$1:B718, B$1:B718&lt;&gt;""""),COUNTA(FILTER(B$1:B718, B$1:B718&lt;&gt;""""))))-1), IF('To Order'!$A719=COLUMNS($A719:B"&amp;"738), B718&amp;RIGHT(INDIRECT(ADDRESS(ROW(B719)-1, 'From Order'!$A719)), 1), B718))"),"JZRD")</f>
        <v>JZRD</v>
      </c>
      <c r="C719" s="2" t="str">
        <f>IFERROR(__xludf.DUMMYFUNCTION("IF('From Order'!$A719=COLUMNS($A719:C738), LEFT(INDEX(FILTER(C$1:C718, C$1:C718&lt;&gt;""""),COUNTA(FILTER(C$1:C718, C$1:C718&lt;&gt;""""))), LEN(INDEX(FILTER(C$1:C718, C$1:C718&lt;&gt;""""),COUNTA(FILTER(C$1:C718, C$1:C718&lt;&gt;""""))))-1), IF('To Order'!$A719=COLUMNS($A719:C"&amp;"738), C718&amp;RIGHT(INDIRECT(ADDRESS(ROW(C719)-1, 'From Order'!$A719)), 1), C718))"),"TJC")</f>
        <v>TJC</v>
      </c>
      <c r="D719" s="2" t="str">
        <f>IFERROR(__xludf.DUMMYFUNCTION("IF('From Order'!$A719=COLUMNS($A719:D738), LEFT(INDEX(FILTER(D$1:D718, D$1:D718&lt;&gt;""""),COUNTA(FILTER(D$1:D718, D$1:D718&lt;&gt;""""))), LEN(INDEX(FILTER(D$1:D718, D$1:D718&lt;&gt;""""),COUNTA(FILTER(D$1:D718, D$1:D718&lt;&gt;""""))))-1), IF('To Order'!$A719=COLUMNS($A719:D"&amp;"738), D718&amp;RIGHT(INDIRECT(ADDRESS(ROW(D719)-1, 'From Order'!$A719)), 1), D718))"),"TMZM")</f>
        <v>TMZM</v>
      </c>
      <c r="E719" s="2" t="str">
        <f>IFERROR(__xludf.DUMMYFUNCTION("IF('From Order'!$A719=COLUMNS($A719:E738), LEFT(INDEX(FILTER(E$1:E718, E$1:E718&lt;&gt;""""),COUNTA(FILTER(E$1:E718, E$1:E718&lt;&gt;""""))), LEN(INDEX(FILTER(E$1:E718, E$1:E718&lt;&gt;""""),COUNTA(FILTER(E$1:E718, E$1:E718&lt;&gt;""""))))-1), IF('To Order'!$A719=COLUMNS($A719:E"&amp;"738), E718&amp;RIGHT(INDIRECT(ADDRESS(ROW(E719)-1, 'From Order'!$A719)), 1), E718))"),"CT")</f>
        <v>CT</v>
      </c>
      <c r="F719" s="2" t="str">
        <f>IFERROR(__xludf.DUMMYFUNCTION("IF('From Order'!$A719=COLUMNS($A719:F738), LEFT(INDEX(FILTER(F$1:F718, F$1:F718&lt;&gt;""""),COUNTA(FILTER(F$1:F718, F$1:F718&lt;&gt;""""))), LEN(INDEX(FILTER(F$1:F718, F$1:F718&lt;&gt;""""),COUNTA(FILTER(F$1:F718, F$1:F718&lt;&gt;""""))))-1), IF('To Order'!$A719=COLUMNS($A719:F"&amp;"738), F718&amp;RIGHT(INDIRECT(ADDRESS(ROW(F719)-1, 'From Order'!$A719)), 1), F718))"),"")</f>
        <v/>
      </c>
      <c r="G719" s="2" t="str">
        <f>IFERROR(__xludf.DUMMYFUNCTION("IF('From Order'!$A719=COLUMNS($A719:G738), LEFT(INDEX(FILTER(G$1:G718, G$1:G718&lt;&gt;""""),COUNTA(FILTER(G$1:G718, G$1:G718&lt;&gt;""""))), LEN(INDEX(FILTER(G$1:G718, G$1:G718&lt;&gt;""""),COUNTA(FILTER(G$1:G718, G$1:G718&lt;&gt;""""))))-1), IF('To Order'!$A719=COLUMNS($A719:G"&amp;"738), G718&amp;RIGHT(INDIRECT(ADDRESS(ROW(G719)-1, 'From Order'!$A719)), 1), G718))"),"DTRLRQPDSSGHWQPB")</f>
        <v>DTRLRQPDSSGHWQPB</v>
      </c>
      <c r="H719" s="2" t="str">
        <f>IFERROR(__xludf.DUMMYFUNCTION("IF('From Order'!$A719=COLUMNS($A719:H738), LEFT(INDEX(FILTER(H$1:H718, H$1:H718&lt;&gt;""""),COUNTA(FILTER(H$1:H718, H$1:H718&lt;&gt;""""))), LEN(INDEX(FILTER(H$1:H718, H$1:H718&lt;&gt;""""),COUNTA(FILTER(H$1:H718, H$1:H718&lt;&gt;""""))))-1), IF('To Order'!$A719=COLUMNS($A719:H"&amp;"738), H718&amp;RIGHT(INDIRECT(ADDRESS(ROW(H719)-1, 'From Order'!$A719)), 1), H718))"),"")</f>
        <v/>
      </c>
      <c r="I719" s="2" t="str">
        <f>IFERROR(__xludf.DUMMYFUNCTION("IF('From Order'!$A719=COLUMNS($A719:I738), LEFT(INDEX(FILTER(I$1:I718, I$1:I718&lt;&gt;""""),COUNTA(FILTER(I$1:I718, I$1:I718&lt;&gt;""""))), LEN(INDEX(FILTER(I$1:I718, I$1:I718&lt;&gt;""""),COUNTA(FILTER(I$1:I718, I$1:I718&lt;&gt;""""))))-1), IF('To Order'!$A719=COLUMNS($A719:I"&amp;"738), I718&amp;RIGHT(INDIRECT(ADDRESS(ROW(I719)-1, 'From Order'!$A719)), 1), I718))"),"VPVRZHMFBBFSLTDGSBLJDTWRDVC")</f>
        <v>VPVRZHMFBBFSLTDGSBLJDTWRDVC</v>
      </c>
    </row>
    <row r="720">
      <c r="A720" s="2" t="str">
        <f>IFERROR(__xludf.DUMMYFUNCTION("IF('From Order'!$A720=COLUMNS($A720:A739), LEFT(INDEX(FILTER(A$1:A719, A$1:A719&lt;&gt;""""),COUNTA(FILTER(A$1:A719, A$1:A719&lt;&gt;""""))), LEN(INDEX(FILTER(A$1:A719, A$1:A719&lt;&gt;""""),COUNTA(FILTER(A$1:A719, A$1:A719&lt;&gt;""""))))-1), IF('To Order'!$A720=COLUMNS($A720:A"&amp;"739), A719&amp;RIGHT(INDIRECT(ADDRESS(ROW(A720)-1, 'From Order'!$A720)), 1), A719))"),"")</f>
        <v/>
      </c>
      <c r="B720" s="2" t="str">
        <f>IFERROR(__xludf.DUMMYFUNCTION("IF('From Order'!$A720=COLUMNS($A720:B739), LEFT(INDEX(FILTER(B$1:B719, B$1:B719&lt;&gt;""""),COUNTA(FILTER(B$1:B719, B$1:B719&lt;&gt;""""))), LEN(INDEX(FILTER(B$1:B719, B$1:B719&lt;&gt;""""),COUNTA(FILTER(B$1:B719, B$1:B719&lt;&gt;""""))))-1), IF('To Order'!$A720=COLUMNS($A720:B"&amp;"739), B719&amp;RIGHT(INDIRECT(ADDRESS(ROW(B720)-1, 'From Order'!$A720)), 1), B719))"),"JZRD")</f>
        <v>JZRD</v>
      </c>
      <c r="C720" s="2" t="str">
        <f>IFERROR(__xludf.DUMMYFUNCTION("IF('From Order'!$A720=COLUMNS($A720:C739), LEFT(INDEX(FILTER(C$1:C719, C$1:C719&lt;&gt;""""),COUNTA(FILTER(C$1:C719, C$1:C719&lt;&gt;""""))), LEN(INDEX(FILTER(C$1:C719, C$1:C719&lt;&gt;""""),COUNTA(FILTER(C$1:C719, C$1:C719&lt;&gt;""""))))-1), IF('To Order'!$A720=COLUMNS($A720:C"&amp;"739), C719&amp;RIGHT(INDIRECT(ADDRESS(ROW(C720)-1, 'From Order'!$A720)), 1), C719))"),"TJC")</f>
        <v>TJC</v>
      </c>
      <c r="D720" s="2" t="str">
        <f>IFERROR(__xludf.DUMMYFUNCTION("IF('From Order'!$A720=COLUMNS($A720:D739), LEFT(INDEX(FILTER(D$1:D719, D$1:D719&lt;&gt;""""),COUNTA(FILTER(D$1:D719, D$1:D719&lt;&gt;""""))), LEN(INDEX(FILTER(D$1:D719, D$1:D719&lt;&gt;""""),COUNTA(FILTER(D$1:D719, D$1:D719&lt;&gt;""""))))-1), IF('To Order'!$A720=COLUMNS($A720:D"&amp;"739), D719&amp;RIGHT(INDIRECT(ADDRESS(ROW(D720)-1, 'From Order'!$A720)), 1), D719))"),"TMZM")</f>
        <v>TMZM</v>
      </c>
      <c r="E720" s="2" t="str">
        <f>IFERROR(__xludf.DUMMYFUNCTION("IF('From Order'!$A720=COLUMNS($A720:E739), LEFT(INDEX(FILTER(E$1:E719, E$1:E719&lt;&gt;""""),COUNTA(FILTER(E$1:E719, E$1:E719&lt;&gt;""""))), LEN(INDEX(FILTER(E$1:E719, E$1:E719&lt;&gt;""""),COUNTA(FILTER(E$1:E719, E$1:E719&lt;&gt;""""))))-1), IF('To Order'!$A720=COLUMNS($A720:E"&amp;"739), E719&amp;RIGHT(INDIRECT(ADDRESS(ROW(E720)-1, 'From Order'!$A720)), 1), E719))"),"CT")</f>
        <v>CT</v>
      </c>
      <c r="F720" s="2" t="str">
        <f>IFERROR(__xludf.DUMMYFUNCTION("IF('From Order'!$A720=COLUMNS($A720:F739), LEFT(INDEX(FILTER(F$1:F719, F$1:F719&lt;&gt;""""),COUNTA(FILTER(F$1:F719, F$1:F719&lt;&gt;""""))), LEN(INDEX(FILTER(F$1:F719, F$1:F719&lt;&gt;""""),COUNTA(FILTER(F$1:F719, F$1:F719&lt;&gt;""""))))-1), IF('To Order'!$A720=COLUMNS($A720:F"&amp;"739), F719&amp;RIGHT(INDIRECT(ADDRESS(ROW(F720)-1, 'From Order'!$A720)), 1), F719))"),"")</f>
        <v/>
      </c>
      <c r="G720" s="2" t="str">
        <f>IFERROR(__xludf.DUMMYFUNCTION("IF('From Order'!$A720=COLUMNS($A720:G739), LEFT(INDEX(FILTER(G$1:G719, G$1:G719&lt;&gt;""""),COUNTA(FILTER(G$1:G719, G$1:G719&lt;&gt;""""))), LEN(INDEX(FILTER(G$1:G719, G$1:G719&lt;&gt;""""),COUNTA(FILTER(G$1:G719, G$1:G719&lt;&gt;""""))))-1), IF('To Order'!$A720=COLUMNS($A720:G"&amp;"739), G719&amp;RIGHT(INDIRECT(ADDRESS(ROW(G720)-1, 'From Order'!$A720)), 1), G719))"),"DTRLRQPDSSGHWQPBC")</f>
        <v>DTRLRQPDSSGHWQPBC</v>
      </c>
      <c r="H720" s="2" t="str">
        <f>IFERROR(__xludf.DUMMYFUNCTION("IF('From Order'!$A720=COLUMNS($A720:H739), LEFT(INDEX(FILTER(H$1:H719, H$1:H719&lt;&gt;""""),COUNTA(FILTER(H$1:H719, H$1:H719&lt;&gt;""""))), LEN(INDEX(FILTER(H$1:H719, H$1:H719&lt;&gt;""""),COUNTA(FILTER(H$1:H719, H$1:H719&lt;&gt;""""))))-1), IF('To Order'!$A720=COLUMNS($A720:H"&amp;"739), H719&amp;RIGHT(INDIRECT(ADDRESS(ROW(H720)-1, 'From Order'!$A720)), 1), H719))"),"")</f>
        <v/>
      </c>
      <c r="I720" s="2" t="str">
        <f>IFERROR(__xludf.DUMMYFUNCTION("IF('From Order'!$A720=COLUMNS($A720:I739), LEFT(INDEX(FILTER(I$1:I719, I$1:I719&lt;&gt;""""),COUNTA(FILTER(I$1:I719, I$1:I719&lt;&gt;""""))), LEN(INDEX(FILTER(I$1:I719, I$1:I719&lt;&gt;""""),COUNTA(FILTER(I$1:I719, I$1:I719&lt;&gt;""""))))-1), IF('To Order'!$A720=COLUMNS($A720:I"&amp;"739), I719&amp;RIGHT(INDIRECT(ADDRESS(ROW(I720)-1, 'From Order'!$A720)), 1), I719))"),"VPVRZHMFBBFSLTDGSBLJDTWRDV")</f>
        <v>VPVRZHMFBBFSLTDGSBLJDTWRDV</v>
      </c>
    </row>
    <row r="721">
      <c r="A721" s="2" t="str">
        <f>IFERROR(__xludf.DUMMYFUNCTION("IF('From Order'!$A721=COLUMNS($A721:A740), LEFT(INDEX(FILTER(A$1:A720, A$1:A720&lt;&gt;""""),COUNTA(FILTER(A$1:A720, A$1:A720&lt;&gt;""""))), LEN(INDEX(FILTER(A$1:A720, A$1:A720&lt;&gt;""""),COUNTA(FILTER(A$1:A720, A$1:A720&lt;&gt;""""))))-1), IF('To Order'!$A721=COLUMNS($A721:A"&amp;"740), A720&amp;RIGHT(INDIRECT(ADDRESS(ROW(A721)-1, 'From Order'!$A721)), 1), A720))"),"")</f>
        <v/>
      </c>
      <c r="B721" s="2" t="str">
        <f>IFERROR(__xludf.DUMMYFUNCTION("IF('From Order'!$A721=COLUMNS($A721:B740), LEFT(INDEX(FILTER(B$1:B720, B$1:B720&lt;&gt;""""),COUNTA(FILTER(B$1:B720, B$1:B720&lt;&gt;""""))), LEN(INDEX(FILTER(B$1:B720, B$1:B720&lt;&gt;""""),COUNTA(FILTER(B$1:B720, B$1:B720&lt;&gt;""""))))-1), IF('To Order'!$A721=COLUMNS($A721:B"&amp;"740), B720&amp;RIGHT(INDIRECT(ADDRESS(ROW(B721)-1, 'From Order'!$A721)), 1), B720))"),"JZRD")</f>
        <v>JZRD</v>
      </c>
      <c r="C721" s="2" t="str">
        <f>IFERROR(__xludf.DUMMYFUNCTION("IF('From Order'!$A721=COLUMNS($A721:C740), LEFT(INDEX(FILTER(C$1:C720, C$1:C720&lt;&gt;""""),COUNTA(FILTER(C$1:C720, C$1:C720&lt;&gt;""""))), LEN(INDEX(FILTER(C$1:C720, C$1:C720&lt;&gt;""""),COUNTA(FILTER(C$1:C720, C$1:C720&lt;&gt;""""))))-1), IF('To Order'!$A721=COLUMNS($A721:C"&amp;"740), C720&amp;RIGHT(INDIRECT(ADDRESS(ROW(C721)-1, 'From Order'!$A721)), 1), C720))"),"TJC")</f>
        <v>TJC</v>
      </c>
      <c r="D721" s="2" t="str">
        <f>IFERROR(__xludf.DUMMYFUNCTION("IF('From Order'!$A721=COLUMNS($A721:D740), LEFT(INDEX(FILTER(D$1:D720, D$1:D720&lt;&gt;""""),COUNTA(FILTER(D$1:D720, D$1:D720&lt;&gt;""""))), LEN(INDEX(FILTER(D$1:D720, D$1:D720&lt;&gt;""""),COUNTA(FILTER(D$1:D720, D$1:D720&lt;&gt;""""))))-1), IF('To Order'!$A721=COLUMNS($A721:D"&amp;"740), D720&amp;RIGHT(INDIRECT(ADDRESS(ROW(D721)-1, 'From Order'!$A721)), 1), D720))"),"TMZM")</f>
        <v>TMZM</v>
      </c>
      <c r="E721" s="2" t="str">
        <f>IFERROR(__xludf.DUMMYFUNCTION("IF('From Order'!$A721=COLUMNS($A721:E740), LEFT(INDEX(FILTER(E$1:E720, E$1:E720&lt;&gt;""""),COUNTA(FILTER(E$1:E720, E$1:E720&lt;&gt;""""))), LEN(INDEX(FILTER(E$1:E720, E$1:E720&lt;&gt;""""),COUNTA(FILTER(E$1:E720, E$1:E720&lt;&gt;""""))))-1), IF('To Order'!$A721=COLUMNS($A721:E"&amp;"740), E720&amp;RIGHT(INDIRECT(ADDRESS(ROW(E721)-1, 'From Order'!$A721)), 1), E720))"),"CT")</f>
        <v>CT</v>
      </c>
      <c r="F721" s="2" t="str">
        <f>IFERROR(__xludf.DUMMYFUNCTION("IF('From Order'!$A721=COLUMNS($A721:F740), LEFT(INDEX(FILTER(F$1:F720, F$1:F720&lt;&gt;""""),COUNTA(FILTER(F$1:F720, F$1:F720&lt;&gt;""""))), LEN(INDEX(FILTER(F$1:F720, F$1:F720&lt;&gt;""""),COUNTA(FILTER(F$1:F720, F$1:F720&lt;&gt;""""))))-1), IF('To Order'!$A721=COLUMNS($A721:F"&amp;"740), F720&amp;RIGHT(INDIRECT(ADDRESS(ROW(F721)-1, 'From Order'!$A721)), 1), F720))"),"")</f>
        <v/>
      </c>
      <c r="G721" s="2" t="str">
        <f>IFERROR(__xludf.DUMMYFUNCTION("IF('From Order'!$A721=COLUMNS($A721:G740), LEFT(INDEX(FILTER(G$1:G720, G$1:G720&lt;&gt;""""),COUNTA(FILTER(G$1:G720, G$1:G720&lt;&gt;""""))), LEN(INDEX(FILTER(G$1:G720, G$1:G720&lt;&gt;""""),COUNTA(FILTER(G$1:G720, G$1:G720&lt;&gt;""""))))-1), IF('To Order'!$A721=COLUMNS($A721:G"&amp;"740), G720&amp;RIGHT(INDIRECT(ADDRESS(ROW(G721)-1, 'From Order'!$A721)), 1), G720))"),"DTRLRQPDSSGHWQPBCV")</f>
        <v>DTRLRQPDSSGHWQPBCV</v>
      </c>
      <c r="H721" s="2" t="str">
        <f>IFERROR(__xludf.DUMMYFUNCTION("IF('From Order'!$A721=COLUMNS($A721:H740), LEFT(INDEX(FILTER(H$1:H720, H$1:H720&lt;&gt;""""),COUNTA(FILTER(H$1:H720, H$1:H720&lt;&gt;""""))), LEN(INDEX(FILTER(H$1:H720, H$1:H720&lt;&gt;""""),COUNTA(FILTER(H$1:H720, H$1:H720&lt;&gt;""""))))-1), IF('To Order'!$A721=COLUMNS($A721:H"&amp;"740), H720&amp;RIGHT(INDIRECT(ADDRESS(ROW(H721)-1, 'From Order'!$A721)), 1), H720))"),"")</f>
        <v/>
      </c>
      <c r="I721" s="2" t="str">
        <f>IFERROR(__xludf.DUMMYFUNCTION("IF('From Order'!$A721=COLUMNS($A721:I740), LEFT(INDEX(FILTER(I$1:I720, I$1:I720&lt;&gt;""""),COUNTA(FILTER(I$1:I720, I$1:I720&lt;&gt;""""))), LEN(INDEX(FILTER(I$1:I720, I$1:I720&lt;&gt;""""),COUNTA(FILTER(I$1:I720, I$1:I720&lt;&gt;""""))))-1), IF('To Order'!$A721=COLUMNS($A721:I"&amp;"740), I720&amp;RIGHT(INDIRECT(ADDRESS(ROW(I721)-1, 'From Order'!$A721)), 1), I720))"),"VPVRZHMFBBFSLTDGSBLJDTWRD")</f>
        <v>VPVRZHMFBBFSLTDGSBLJDTWRD</v>
      </c>
    </row>
    <row r="722">
      <c r="A722" s="2" t="str">
        <f>IFERROR(__xludf.DUMMYFUNCTION("IF('From Order'!$A722=COLUMNS($A722:A741), LEFT(INDEX(FILTER(A$1:A721, A$1:A721&lt;&gt;""""),COUNTA(FILTER(A$1:A721, A$1:A721&lt;&gt;""""))), LEN(INDEX(FILTER(A$1:A721, A$1:A721&lt;&gt;""""),COUNTA(FILTER(A$1:A721, A$1:A721&lt;&gt;""""))))-1), IF('To Order'!$A722=COLUMNS($A722:A"&amp;"741), A721&amp;RIGHT(INDIRECT(ADDRESS(ROW(A722)-1, 'From Order'!$A722)), 1), A721))"),"")</f>
        <v/>
      </c>
      <c r="B722" s="2" t="str">
        <f>IFERROR(__xludf.DUMMYFUNCTION("IF('From Order'!$A722=COLUMNS($A722:B741), LEFT(INDEX(FILTER(B$1:B721, B$1:B721&lt;&gt;""""),COUNTA(FILTER(B$1:B721, B$1:B721&lt;&gt;""""))), LEN(INDEX(FILTER(B$1:B721, B$1:B721&lt;&gt;""""),COUNTA(FILTER(B$1:B721, B$1:B721&lt;&gt;""""))))-1), IF('To Order'!$A722=COLUMNS($A722:B"&amp;"741), B721&amp;RIGHT(INDIRECT(ADDRESS(ROW(B722)-1, 'From Order'!$A722)), 1), B721))"),"JZRD")</f>
        <v>JZRD</v>
      </c>
      <c r="C722" s="2" t="str">
        <f>IFERROR(__xludf.DUMMYFUNCTION("IF('From Order'!$A722=COLUMNS($A722:C741), LEFT(INDEX(FILTER(C$1:C721, C$1:C721&lt;&gt;""""),COUNTA(FILTER(C$1:C721, C$1:C721&lt;&gt;""""))), LEN(INDEX(FILTER(C$1:C721, C$1:C721&lt;&gt;""""),COUNTA(FILTER(C$1:C721, C$1:C721&lt;&gt;""""))))-1), IF('To Order'!$A722=COLUMNS($A722:C"&amp;"741), C721&amp;RIGHT(INDIRECT(ADDRESS(ROW(C722)-1, 'From Order'!$A722)), 1), C721))"),"TJC")</f>
        <v>TJC</v>
      </c>
      <c r="D722" s="2" t="str">
        <f>IFERROR(__xludf.DUMMYFUNCTION("IF('From Order'!$A722=COLUMNS($A722:D741), LEFT(INDEX(FILTER(D$1:D721, D$1:D721&lt;&gt;""""),COUNTA(FILTER(D$1:D721, D$1:D721&lt;&gt;""""))), LEN(INDEX(FILTER(D$1:D721, D$1:D721&lt;&gt;""""),COUNTA(FILTER(D$1:D721, D$1:D721&lt;&gt;""""))))-1), IF('To Order'!$A722=COLUMNS($A722:D"&amp;"741), D721&amp;RIGHT(INDIRECT(ADDRESS(ROW(D722)-1, 'From Order'!$A722)), 1), D721))"),"TMZM")</f>
        <v>TMZM</v>
      </c>
      <c r="E722" s="2" t="str">
        <f>IFERROR(__xludf.DUMMYFUNCTION("IF('From Order'!$A722=COLUMNS($A722:E741), LEFT(INDEX(FILTER(E$1:E721, E$1:E721&lt;&gt;""""),COUNTA(FILTER(E$1:E721, E$1:E721&lt;&gt;""""))), LEN(INDEX(FILTER(E$1:E721, E$1:E721&lt;&gt;""""),COUNTA(FILTER(E$1:E721, E$1:E721&lt;&gt;""""))))-1), IF('To Order'!$A722=COLUMNS($A722:E"&amp;"741), E721&amp;RIGHT(INDIRECT(ADDRESS(ROW(E722)-1, 'From Order'!$A722)), 1), E721))"),"CT")</f>
        <v>CT</v>
      </c>
      <c r="F722" s="2" t="str">
        <f>IFERROR(__xludf.DUMMYFUNCTION("IF('From Order'!$A722=COLUMNS($A722:F741), LEFT(INDEX(FILTER(F$1:F721, F$1:F721&lt;&gt;""""),COUNTA(FILTER(F$1:F721, F$1:F721&lt;&gt;""""))), LEN(INDEX(FILTER(F$1:F721, F$1:F721&lt;&gt;""""),COUNTA(FILTER(F$1:F721, F$1:F721&lt;&gt;""""))))-1), IF('To Order'!$A722=COLUMNS($A722:F"&amp;"741), F721&amp;RIGHT(INDIRECT(ADDRESS(ROW(F722)-1, 'From Order'!$A722)), 1), F721))"),"")</f>
        <v/>
      </c>
      <c r="G722" s="2" t="str">
        <f>IFERROR(__xludf.DUMMYFUNCTION("IF('From Order'!$A722=COLUMNS($A722:G741), LEFT(INDEX(FILTER(G$1:G721, G$1:G721&lt;&gt;""""),COUNTA(FILTER(G$1:G721, G$1:G721&lt;&gt;""""))), LEN(INDEX(FILTER(G$1:G721, G$1:G721&lt;&gt;""""),COUNTA(FILTER(G$1:G721, G$1:G721&lt;&gt;""""))))-1), IF('To Order'!$A722=COLUMNS($A722:G"&amp;"741), G721&amp;RIGHT(INDIRECT(ADDRESS(ROW(G722)-1, 'From Order'!$A722)), 1), G721))"),"DTRLRQPDSSGHWQPBCVD")</f>
        <v>DTRLRQPDSSGHWQPBCVD</v>
      </c>
      <c r="H722" s="2" t="str">
        <f>IFERROR(__xludf.DUMMYFUNCTION("IF('From Order'!$A722=COLUMNS($A722:H741), LEFT(INDEX(FILTER(H$1:H721, H$1:H721&lt;&gt;""""),COUNTA(FILTER(H$1:H721, H$1:H721&lt;&gt;""""))), LEN(INDEX(FILTER(H$1:H721, H$1:H721&lt;&gt;""""),COUNTA(FILTER(H$1:H721, H$1:H721&lt;&gt;""""))))-1), IF('To Order'!$A722=COLUMNS($A722:H"&amp;"741), H721&amp;RIGHT(INDIRECT(ADDRESS(ROW(H722)-1, 'From Order'!$A722)), 1), H721))"),"")</f>
        <v/>
      </c>
      <c r="I722" s="2" t="str">
        <f>IFERROR(__xludf.DUMMYFUNCTION("IF('From Order'!$A722=COLUMNS($A722:I741), LEFT(INDEX(FILTER(I$1:I721, I$1:I721&lt;&gt;""""),COUNTA(FILTER(I$1:I721, I$1:I721&lt;&gt;""""))), LEN(INDEX(FILTER(I$1:I721, I$1:I721&lt;&gt;""""),COUNTA(FILTER(I$1:I721, I$1:I721&lt;&gt;""""))))-1), IF('To Order'!$A722=COLUMNS($A722:I"&amp;"741), I721&amp;RIGHT(INDIRECT(ADDRESS(ROW(I722)-1, 'From Order'!$A722)), 1), I721))"),"VPVRZHMFBBFSLTDGSBLJDTWR")</f>
        <v>VPVRZHMFBBFSLTDGSBLJDTWR</v>
      </c>
    </row>
    <row r="723">
      <c r="A723" s="2" t="str">
        <f>IFERROR(__xludf.DUMMYFUNCTION("IF('From Order'!$A723=COLUMNS($A723:A742), LEFT(INDEX(FILTER(A$1:A722, A$1:A722&lt;&gt;""""),COUNTA(FILTER(A$1:A722, A$1:A722&lt;&gt;""""))), LEN(INDEX(FILTER(A$1:A722, A$1:A722&lt;&gt;""""),COUNTA(FILTER(A$1:A722, A$1:A722&lt;&gt;""""))))-1), IF('To Order'!$A723=COLUMNS($A723:A"&amp;"742), A722&amp;RIGHT(INDIRECT(ADDRESS(ROW(A723)-1, 'From Order'!$A723)), 1), A722))"),"")</f>
        <v/>
      </c>
      <c r="B723" s="2" t="str">
        <f>IFERROR(__xludf.DUMMYFUNCTION("IF('From Order'!$A723=COLUMNS($A723:B742), LEFT(INDEX(FILTER(B$1:B722, B$1:B722&lt;&gt;""""),COUNTA(FILTER(B$1:B722, B$1:B722&lt;&gt;""""))), LEN(INDEX(FILTER(B$1:B722, B$1:B722&lt;&gt;""""),COUNTA(FILTER(B$1:B722, B$1:B722&lt;&gt;""""))))-1), IF('To Order'!$A723=COLUMNS($A723:B"&amp;"742), B722&amp;RIGHT(INDIRECT(ADDRESS(ROW(B723)-1, 'From Order'!$A723)), 1), B722))"),"JZRD")</f>
        <v>JZRD</v>
      </c>
      <c r="C723" s="2" t="str">
        <f>IFERROR(__xludf.DUMMYFUNCTION("IF('From Order'!$A723=COLUMNS($A723:C742), LEFT(INDEX(FILTER(C$1:C722, C$1:C722&lt;&gt;""""),COUNTA(FILTER(C$1:C722, C$1:C722&lt;&gt;""""))), LEN(INDEX(FILTER(C$1:C722, C$1:C722&lt;&gt;""""),COUNTA(FILTER(C$1:C722, C$1:C722&lt;&gt;""""))))-1), IF('To Order'!$A723=COLUMNS($A723:C"&amp;"742), C722&amp;RIGHT(INDIRECT(ADDRESS(ROW(C723)-1, 'From Order'!$A723)), 1), C722))"),"TJC")</f>
        <v>TJC</v>
      </c>
      <c r="D723" s="2" t="str">
        <f>IFERROR(__xludf.DUMMYFUNCTION("IF('From Order'!$A723=COLUMNS($A723:D742), LEFT(INDEX(FILTER(D$1:D722, D$1:D722&lt;&gt;""""),COUNTA(FILTER(D$1:D722, D$1:D722&lt;&gt;""""))), LEN(INDEX(FILTER(D$1:D722, D$1:D722&lt;&gt;""""),COUNTA(FILTER(D$1:D722, D$1:D722&lt;&gt;""""))))-1), IF('To Order'!$A723=COLUMNS($A723:D"&amp;"742), D722&amp;RIGHT(INDIRECT(ADDRESS(ROW(D723)-1, 'From Order'!$A723)), 1), D722))"),"TMZM")</f>
        <v>TMZM</v>
      </c>
      <c r="E723" s="2" t="str">
        <f>IFERROR(__xludf.DUMMYFUNCTION("IF('From Order'!$A723=COLUMNS($A723:E742), LEFT(INDEX(FILTER(E$1:E722, E$1:E722&lt;&gt;""""),COUNTA(FILTER(E$1:E722, E$1:E722&lt;&gt;""""))), LEN(INDEX(FILTER(E$1:E722, E$1:E722&lt;&gt;""""),COUNTA(FILTER(E$1:E722, E$1:E722&lt;&gt;""""))))-1), IF('To Order'!$A723=COLUMNS($A723:E"&amp;"742), E722&amp;RIGHT(INDIRECT(ADDRESS(ROW(E723)-1, 'From Order'!$A723)), 1), E722))"),"CT")</f>
        <v>CT</v>
      </c>
      <c r="F723" s="2" t="str">
        <f>IFERROR(__xludf.DUMMYFUNCTION("IF('From Order'!$A723=COLUMNS($A723:F742), LEFT(INDEX(FILTER(F$1:F722, F$1:F722&lt;&gt;""""),COUNTA(FILTER(F$1:F722, F$1:F722&lt;&gt;""""))), LEN(INDEX(FILTER(F$1:F722, F$1:F722&lt;&gt;""""),COUNTA(FILTER(F$1:F722, F$1:F722&lt;&gt;""""))))-1), IF('To Order'!$A723=COLUMNS($A723:F"&amp;"742), F722&amp;RIGHT(INDIRECT(ADDRESS(ROW(F723)-1, 'From Order'!$A723)), 1), F722))"),"")</f>
        <v/>
      </c>
      <c r="G723" s="2" t="str">
        <f>IFERROR(__xludf.DUMMYFUNCTION("IF('From Order'!$A723=COLUMNS($A723:G742), LEFT(INDEX(FILTER(G$1:G722, G$1:G722&lt;&gt;""""),COUNTA(FILTER(G$1:G722, G$1:G722&lt;&gt;""""))), LEN(INDEX(FILTER(G$1:G722, G$1:G722&lt;&gt;""""),COUNTA(FILTER(G$1:G722, G$1:G722&lt;&gt;""""))))-1), IF('To Order'!$A723=COLUMNS($A723:G"&amp;"742), G722&amp;RIGHT(INDIRECT(ADDRESS(ROW(G723)-1, 'From Order'!$A723)), 1), G722))"),"DTRLRQPDSSGHWQPBCVDR")</f>
        <v>DTRLRQPDSSGHWQPBCVDR</v>
      </c>
      <c r="H723" s="2" t="str">
        <f>IFERROR(__xludf.DUMMYFUNCTION("IF('From Order'!$A723=COLUMNS($A723:H742), LEFT(INDEX(FILTER(H$1:H722, H$1:H722&lt;&gt;""""),COUNTA(FILTER(H$1:H722, H$1:H722&lt;&gt;""""))), LEN(INDEX(FILTER(H$1:H722, H$1:H722&lt;&gt;""""),COUNTA(FILTER(H$1:H722, H$1:H722&lt;&gt;""""))))-1), IF('To Order'!$A723=COLUMNS($A723:H"&amp;"742), H722&amp;RIGHT(INDIRECT(ADDRESS(ROW(H723)-1, 'From Order'!$A723)), 1), H722))"),"")</f>
        <v/>
      </c>
      <c r="I723" s="2" t="str">
        <f>IFERROR(__xludf.DUMMYFUNCTION("IF('From Order'!$A723=COLUMNS($A723:I742), LEFT(INDEX(FILTER(I$1:I722, I$1:I722&lt;&gt;""""),COUNTA(FILTER(I$1:I722, I$1:I722&lt;&gt;""""))), LEN(INDEX(FILTER(I$1:I722, I$1:I722&lt;&gt;""""),COUNTA(FILTER(I$1:I722, I$1:I722&lt;&gt;""""))))-1), IF('To Order'!$A723=COLUMNS($A723:I"&amp;"742), I722&amp;RIGHT(INDIRECT(ADDRESS(ROW(I723)-1, 'From Order'!$A723)), 1), I722))"),"VPVRZHMFBBFSLTDGSBLJDTW")</f>
        <v>VPVRZHMFBBFSLTDGSBLJDTW</v>
      </c>
    </row>
    <row r="724">
      <c r="A724" s="2" t="str">
        <f>IFERROR(__xludf.DUMMYFUNCTION("IF('From Order'!$A724=COLUMNS($A724:A743), LEFT(INDEX(FILTER(A$1:A723, A$1:A723&lt;&gt;""""),COUNTA(FILTER(A$1:A723, A$1:A723&lt;&gt;""""))), LEN(INDEX(FILTER(A$1:A723, A$1:A723&lt;&gt;""""),COUNTA(FILTER(A$1:A723, A$1:A723&lt;&gt;""""))))-1), IF('To Order'!$A724=COLUMNS($A724:A"&amp;"743), A723&amp;RIGHT(INDIRECT(ADDRESS(ROW(A724)-1, 'From Order'!$A724)), 1), A723))"),"")</f>
        <v/>
      </c>
      <c r="B724" s="2" t="str">
        <f>IFERROR(__xludf.DUMMYFUNCTION("IF('From Order'!$A724=COLUMNS($A724:B743), LEFT(INDEX(FILTER(B$1:B723, B$1:B723&lt;&gt;""""),COUNTA(FILTER(B$1:B723, B$1:B723&lt;&gt;""""))), LEN(INDEX(FILTER(B$1:B723, B$1:B723&lt;&gt;""""),COUNTA(FILTER(B$1:B723, B$1:B723&lt;&gt;""""))))-1), IF('To Order'!$A724=COLUMNS($A724:B"&amp;"743), B723&amp;RIGHT(INDIRECT(ADDRESS(ROW(B724)-1, 'From Order'!$A724)), 1), B723))"),"JZRD")</f>
        <v>JZRD</v>
      </c>
      <c r="C724" s="2" t="str">
        <f>IFERROR(__xludf.DUMMYFUNCTION("IF('From Order'!$A724=COLUMNS($A724:C743), LEFT(INDEX(FILTER(C$1:C723, C$1:C723&lt;&gt;""""),COUNTA(FILTER(C$1:C723, C$1:C723&lt;&gt;""""))), LEN(INDEX(FILTER(C$1:C723, C$1:C723&lt;&gt;""""),COUNTA(FILTER(C$1:C723, C$1:C723&lt;&gt;""""))))-1), IF('To Order'!$A724=COLUMNS($A724:C"&amp;"743), C723&amp;RIGHT(INDIRECT(ADDRESS(ROW(C724)-1, 'From Order'!$A724)), 1), C723))"),"TJC")</f>
        <v>TJC</v>
      </c>
      <c r="D724" s="2" t="str">
        <f>IFERROR(__xludf.DUMMYFUNCTION("IF('From Order'!$A724=COLUMNS($A724:D743), LEFT(INDEX(FILTER(D$1:D723, D$1:D723&lt;&gt;""""),COUNTA(FILTER(D$1:D723, D$1:D723&lt;&gt;""""))), LEN(INDEX(FILTER(D$1:D723, D$1:D723&lt;&gt;""""),COUNTA(FILTER(D$1:D723, D$1:D723&lt;&gt;""""))))-1), IF('To Order'!$A724=COLUMNS($A724:D"&amp;"743), D723&amp;RIGHT(INDIRECT(ADDRESS(ROW(D724)-1, 'From Order'!$A724)), 1), D723))"),"TMZM")</f>
        <v>TMZM</v>
      </c>
      <c r="E724" s="2" t="str">
        <f>IFERROR(__xludf.DUMMYFUNCTION("IF('From Order'!$A724=COLUMNS($A724:E743), LEFT(INDEX(FILTER(E$1:E723, E$1:E723&lt;&gt;""""),COUNTA(FILTER(E$1:E723, E$1:E723&lt;&gt;""""))), LEN(INDEX(FILTER(E$1:E723, E$1:E723&lt;&gt;""""),COUNTA(FILTER(E$1:E723, E$1:E723&lt;&gt;""""))))-1), IF('To Order'!$A724=COLUMNS($A724:E"&amp;"743), E723&amp;RIGHT(INDIRECT(ADDRESS(ROW(E724)-1, 'From Order'!$A724)), 1), E723))"),"CT")</f>
        <v>CT</v>
      </c>
      <c r="F724" s="2" t="str">
        <f>IFERROR(__xludf.DUMMYFUNCTION("IF('From Order'!$A724=COLUMNS($A724:F743), LEFT(INDEX(FILTER(F$1:F723, F$1:F723&lt;&gt;""""),COUNTA(FILTER(F$1:F723, F$1:F723&lt;&gt;""""))), LEN(INDEX(FILTER(F$1:F723, F$1:F723&lt;&gt;""""),COUNTA(FILTER(F$1:F723, F$1:F723&lt;&gt;""""))))-1), IF('To Order'!$A724=COLUMNS($A724:F"&amp;"743), F723&amp;RIGHT(INDIRECT(ADDRESS(ROW(F724)-1, 'From Order'!$A724)), 1), F723))"),"")</f>
        <v/>
      </c>
      <c r="G724" s="2" t="str">
        <f>IFERROR(__xludf.DUMMYFUNCTION("IF('From Order'!$A724=COLUMNS($A724:G743), LEFT(INDEX(FILTER(G$1:G723, G$1:G723&lt;&gt;""""),COUNTA(FILTER(G$1:G723, G$1:G723&lt;&gt;""""))), LEN(INDEX(FILTER(G$1:G723, G$1:G723&lt;&gt;""""),COUNTA(FILTER(G$1:G723, G$1:G723&lt;&gt;""""))))-1), IF('To Order'!$A724=COLUMNS($A724:G"&amp;"743), G723&amp;RIGHT(INDIRECT(ADDRESS(ROW(G724)-1, 'From Order'!$A724)), 1), G723))"),"DTRLRQPDSSGHWQPBCVDRW")</f>
        <v>DTRLRQPDSSGHWQPBCVDRW</v>
      </c>
      <c r="H724" s="2" t="str">
        <f>IFERROR(__xludf.DUMMYFUNCTION("IF('From Order'!$A724=COLUMNS($A724:H743), LEFT(INDEX(FILTER(H$1:H723, H$1:H723&lt;&gt;""""),COUNTA(FILTER(H$1:H723, H$1:H723&lt;&gt;""""))), LEN(INDEX(FILTER(H$1:H723, H$1:H723&lt;&gt;""""),COUNTA(FILTER(H$1:H723, H$1:H723&lt;&gt;""""))))-1), IF('To Order'!$A724=COLUMNS($A724:H"&amp;"743), H723&amp;RIGHT(INDIRECT(ADDRESS(ROW(H724)-1, 'From Order'!$A724)), 1), H723))"),"")</f>
        <v/>
      </c>
      <c r="I724" s="2" t="str">
        <f>IFERROR(__xludf.DUMMYFUNCTION("IF('From Order'!$A724=COLUMNS($A724:I743), LEFT(INDEX(FILTER(I$1:I723, I$1:I723&lt;&gt;""""),COUNTA(FILTER(I$1:I723, I$1:I723&lt;&gt;""""))), LEN(INDEX(FILTER(I$1:I723, I$1:I723&lt;&gt;""""),COUNTA(FILTER(I$1:I723, I$1:I723&lt;&gt;""""))))-1), IF('To Order'!$A724=COLUMNS($A724:I"&amp;"743), I723&amp;RIGHT(INDIRECT(ADDRESS(ROW(I724)-1, 'From Order'!$A724)), 1), I723))"),"VPVRZHMFBBFSLTDGSBLJDT")</f>
        <v>VPVRZHMFBBFSLTDGSBLJDT</v>
      </c>
    </row>
    <row r="725">
      <c r="A725" s="2" t="str">
        <f>IFERROR(__xludf.DUMMYFUNCTION("IF('From Order'!$A725=COLUMNS($A725:A744), LEFT(INDEX(FILTER(A$1:A724, A$1:A724&lt;&gt;""""),COUNTA(FILTER(A$1:A724, A$1:A724&lt;&gt;""""))), LEN(INDEX(FILTER(A$1:A724, A$1:A724&lt;&gt;""""),COUNTA(FILTER(A$1:A724, A$1:A724&lt;&gt;""""))))-1), IF('To Order'!$A725=COLUMNS($A725:A"&amp;"744), A724&amp;RIGHT(INDIRECT(ADDRESS(ROW(A725)-1, 'From Order'!$A725)), 1), A724))"),"")</f>
        <v/>
      </c>
      <c r="B725" s="2" t="str">
        <f>IFERROR(__xludf.DUMMYFUNCTION("IF('From Order'!$A725=COLUMNS($A725:B744), LEFT(INDEX(FILTER(B$1:B724, B$1:B724&lt;&gt;""""),COUNTA(FILTER(B$1:B724, B$1:B724&lt;&gt;""""))), LEN(INDEX(FILTER(B$1:B724, B$1:B724&lt;&gt;""""),COUNTA(FILTER(B$1:B724, B$1:B724&lt;&gt;""""))))-1), IF('To Order'!$A725=COLUMNS($A725:B"&amp;"744), B724&amp;RIGHT(INDIRECT(ADDRESS(ROW(B725)-1, 'From Order'!$A725)), 1), B724))"),"JZRD")</f>
        <v>JZRD</v>
      </c>
      <c r="C725" s="2" t="str">
        <f>IFERROR(__xludf.DUMMYFUNCTION("IF('From Order'!$A725=COLUMNS($A725:C744), LEFT(INDEX(FILTER(C$1:C724, C$1:C724&lt;&gt;""""),COUNTA(FILTER(C$1:C724, C$1:C724&lt;&gt;""""))), LEN(INDEX(FILTER(C$1:C724, C$1:C724&lt;&gt;""""),COUNTA(FILTER(C$1:C724, C$1:C724&lt;&gt;""""))))-1), IF('To Order'!$A725=COLUMNS($A725:C"&amp;"744), C724&amp;RIGHT(INDIRECT(ADDRESS(ROW(C725)-1, 'From Order'!$A725)), 1), C724))"),"TJC")</f>
        <v>TJC</v>
      </c>
      <c r="D725" s="2" t="str">
        <f>IFERROR(__xludf.DUMMYFUNCTION("IF('From Order'!$A725=COLUMNS($A725:D744), LEFT(INDEX(FILTER(D$1:D724, D$1:D724&lt;&gt;""""),COUNTA(FILTER(D$1:D724, D$1:D724&lt;&gt;""""))), LEN(INDEX(FILTER(D$1:D724, D$1:D724&lt;&gt;""""),COUNTA(FILTER(D$1:D724, D$1:D724&lt;&gt;""""))))-1), IF('To Order'!$A725=COLUMNS($A725:D"&amp;"744), D724&amp;RIGHT(INDIRECT(ADDRESS(ROW(D725)-1, 'From Order'!$A725)), 1), D724))"),"TMZM")</f>
        <v>TMZM</v>
      </c>
      <c r="E725" s="2" t="str">
        <f>IFERROR(__xludf.DUMMYFUNCTION("IF('From Order'!$A725=COLUMNS($A725:E744), LEFT(INDEX(FILTER(E$1:E724, E$1:E724&lt;&gt;""""),COUNTA(FILTER(E$1:E724, E$1:E724&lt;&gt;""""))), LEN(INDEX(FILTER(E$1:E724, E$1:E724&lt;&gt;""""),COUNTA(FILTER(E$1:E724, E$1:E724&lt;&gt;""""))))-1), IF('To Order'!$A725=COLUMNS($A725:E"&amp;"744), E724&amp;RIGHT(INDIRECT(ADDRESS(ROW(E725)-1, 'From Order'!$A725)), 1), E724))"),"CT")</f>
        <v>CT</v>
      </c>
      <c r="F725" s="2" t="str">
        <f>IFERROR(__xludf.DUMMYFUNCTION("IF('From Order'!$A725=COLUMNS($A725:F744), LEFT(INDEX(FILTER(F$1:F724, F$1:F724&lt;&gt;""""),COUNTA(FILTER(F$1:F724, F$1:F724&lt;&gt;""""))), LEN(INDEX(FILTER(F$1:F724, F$1:F724&lt;&gt;""""),COUNTA(FILTER(F$1:F724, F$1:F724&lt;&gt;""""))))-1), IF('To Order'!$A725=COLUMNS($A725:F"&amp;"744), F724&amp;RIGHT(INDIRECT(ADDRESS(ROW(F725)-1, 'From Order'!$A725)), 1), F724))"),"")</f>
        <v/>
      </c>
      <c r="G725" s="2" t="str">
        <f>IFERROR(__xludf.DUMMYFUNCTION("IF('From Order'!$A725=COLUMNS($A725:G744), LEFT(INDEX(FILTER(G$1:G724, G$1:G724&lt;&gt;""""),COUNTA(FILTER(G$1:G724, G$1:G724&lt;&gt;""""))), LEN(INDEX(FILTER(G$1:G724, G$1:G724&lt;&gt;""""),COUNTA(FILTER(G$1:G724, G$1:G724&lt;&gt;""""))))-1), IF('To Order'!$A725=COLUMNS($A725:G"&amp;"744), G724&amp;RIGHT(INDIRECT(ADDRESS(ROW(G725)-1, 'From Order'!$A725)), 1), G724))"),"DTRLRQPDSSGHWQPBCVDRWT")</f>
        <v>DTRLRQPDSSGHWQPBCVDRWT</v>
      </c>
      <c r="H725" s="2" t="str">
        <f>IFERROR(__xludf.DUMMYFUNCTION("IF('From Order'!$A725=COLUMNS($A725:H744), LEFT(INDEX(FILTER(H$1:H724, H$1:H724&lt;&gt;""""),COUNTA(FILTER(H$1:H724, H$1:H724&lt;&gt;""""))), LEN(INDEX(FILTER(H$1:H724, H$1:H724&lt;&gt;""""),COUNTA(FILTER(H$1:H724, H$1:H724&lt;&gt;""""))))-1), IF('To Order'!$A725=COLUMNS($A725:H"&amp;"744), H724&amp;RIGHT(INDIRECT(ADDRESS(ROW(H725)-1, 'From Order'!$A725)), 1), H724))"),"")</f>
        <v/>
      </c>
      <c r="I725" s="2" t="str">
        <f>IFERROR(__xludf.DUMMYFUNCTION("IF('From Order'!$A725=COLUMNS($A725:I744), LEFT(INDEX(FILTER(I$1:I724, I$1:I724&lt;&gt;""""),COUNTA(FILTER(I$1:I724, I$1:I724&lt;&gt;""""))), LEN(INDEX(FILTER(I$1:I724, I$1:I724&lt;&gt;""""),COUNTA(FILTER(I$1:I724, I$1:I724&lt;&gt;""""))))-1), IF('To Order'!$A725=COLUMNS($A725:I"&amp;"744), I724&amp;RIGHT(INDIRECT(ADDRESS(ROW(I725)-1, 'From Order'!$A725)), 1), I724))"),"VPVRZHMFBBFSLTDGSBLJD")</f>
        <v>VPVRZHMFBBFSLTDGSBLJD</v>
      </c>
    </row>
    <row r="726">
      <c r="A726" s="2" t="str">
        <f>IFERROR(__xludf.DUMMYFUNCTION("IF('From Order'!$A726=COLUMNS($A726:A745), LEFT(INDEX(FILTER(A$1:A725, A$1:A725&lt;&gt;""""),COUNTA(FILTER(A$1:A725, A$1:A725&lt;&gt;""""))), LEN(INDEX(FILTER(A$1:A725, A$1:A725&lt;&gt;""""),COUNTA(FILTER(A$1:A725, A$1:A725&lt;&gt;""""))))-1), IF('To Order'!$A726=COLUMNS($A726:A"&amp;"745), A725&amp;RIGHT(INDIRECT(ADDRESS(ROW(A726)-1, 'From Order'!$A726)), 1), A725))"),"")</f>
        <v/>
      </c>
      <c r="B726" s="2" t="str">
        <f>IFERROR(__xludf.DUMMYFUNCTION("IF('From Order'!$A726=COLUMNS($A726:B745), LEFT(INDEX(FILTER(B$1:B725, B$1:B725&lt;&gt;""""),COUNTA(FILTER(B$1:B725, B$1:B725&lt;&gt;""""))), LEN(INDEX(FILTER(B$1:B725, B$1:B725&lt;&gt;""""),COUNTA(FILTER(B$1:B725, B$1:B725&lt;&gt;""""))))-1), IF('To Order'!$A726=COLUMNS($A726:B"&amp;"745), B725&amp;RIGHT(INDIRECT(ADDRESS(ROW(B726)-1, 'From Order'!$A726)), 1), B725))"),"JZRD")</f>
        <v>JZRD</v>
      </c>
      <c r="C726" s="2" t="str">
        <f>IFERROR(__xludf.DUMMYFUNCTION("IF('From Order'!$A726=COLUMNS($A726:C745), LEFT(INDEX(FILTER(C$1:C725, C$1:C725&lt;&gt;""""),COUNTA(FILTER(C$1:C725, C$1:C725&lt;&gt;""""))), LEN(INDEX(FILTER(C$1:C725, C$1:C725&lt;&gt;""""),COUNTA(FILTER(C$1:C725, C$1:C725&lt;&gt;""""))))-1), IF('To Order'!$A726=COLUMNS($A726:C"&amp;"745), C725&amp;RIGHT(INDIRECT(ADDRESS(ROW(C726)-1, 'From Order'!$A726)), 1), C725))"),"TJC")</f>
        <v>TJC</v>
      </c>
      <c r="D726" s="2" t="str">
        <f>IFERROR(__xludf.DUMMYFUNCTION("IF('From Order'!$A726=COLUMNS($A726:D745), LEFT(INDEX(FILTER(D$1:D725, D$1:D725&lt;&gt;""""),COUNTA(FILTER(D$1:D725, D$1:D725&lt;&gt;""""))), LEN(INDEX(FILTER(D$1:D725, D$1:D725&lt;&gt;""""),COUNTA(FILTER(D$1:D725, D$1:D725&lt;&gt;""""))))-1), IF('To Order'!$A726=COLUMNS($A726:D"&amp;"745), D725&amp;RIGHT(INDIRECT(ADDRESS(ROW(D726)-1, 'From Order'!$A726)), 1), D725))"),"TMZM")</f>
        <v>TMZM</v>
      </c>
      <c r="E726" s="2" t="str">
        <f>IFERROR(__xludf.DUMMYFUNCTION("IF('From Order'!$A726=COLUMNS($A726:E745), LEFT(INDEX(FILTER(E$1:E725, E$1:E725&lt;&gt;""""),COUNTA(FILTER(E$1:E725, E$1:E725&lt;&gt;""""))), LEN(INDEX(FILTER(E$1:E725, E$1:E725&lt;&gt;""""),COUNTA(FILTER(E$1:E725, E$1:E725&lt;&gt;""""))))-1), IF('To Order'!$A726=COLUMNS($A726:E"&amp;"745), E725&amp;RIGHT(INDIRECT(ADDRESS(ROW(E726)-1, 'From Order'!$A726)), 1), E725))"),"CT")</f>
        <v>CT</v>
      </c>
      <c r="F726" s="2" t="str">
        <f>IFERROR(__xludf.DUMMYFUNCTION("IF('From Order'!$A726=COLUMNS($A726:F745), LEFT(INDEX(FILTER(F$1:F725, F$1:F725&lt;&gt;""""),COUNTA(FILTER(F$1:F725, F$1:F725&lt;&gt;""""))), LEN(INDEX(FILTER(F$1:F725, F$1:F725&lt;&gt;""""),COUNTA(FILTER(F$1:F725, F$1:F725&lt;&gt;""""))))-1), IF('To Order'!$A726=COLUMNS($A726:F"&amp;"745), F725&amp;RIGHT(INDIRECT(ADDRESS(ROW(F726)-1, 'From Order'!$A726)), 1), F725))"),"")</f>
        <v/>
      </c>
      <c r="G726" s="2" t="str">
        <f>IFERROR(__xludf.DUMMYFUNCTION("IF('From Order'!$A726=COLUMNS($A726:G745), LEFT(INDEX(FILTER(G$1:G725, G$1:G725&lt;&gt;""""),COUNTA(FILTER(G$1:G725, G$1:G725&lt;&gt;""""))), LEN(INDEX(FILTER(G$1:G725, G$1:G725&lt;&gt;""""),COUNTA(FILTER(G$1:G725, G$1:G725&lt;&gt;""""))))-1), IF('To Order'!$A726=COLUMNS($A726:G"&amp;"745), G725&amp;RIGHT(INDIRECT(ADDRESS(ROW(G726)-1, 'From Order'!$A726)), 1), G725))"),"DTRLRQPDSSGHWQPBCVDRWTD")</f>
        <v>DTRLRQPDSSGHWQPBCVDRWTD</v>
      </c>
      <c r="H726" s="2" t="str">
        <f>IFERROR(__xludf.DUMMYFUNCTION("IF('From Order'!$A726=COLUMNS($A726:H745), LEFT(INDEX(FILTER(H$1:H725, H$1:H725&lt;&gt;""""),COUNTA(FILTER(H$1:H725, H$1:H725&lt;&gt;""""))), LEN(INDEX(FILTER(H$1:H725, H$1:H725&lt;&gt;""""),COUNTA(FILTER(H$1:H725, H$1:H725&lt;&gt;""""))))-1), IF('To Order'!$A726=COLUMNS($A726:H"&amp;"745), H725&amp;RIGHT(INDIRECT(ADDRESS(ROW(H726)-1, 'From Order'!$A726)), 1), H725))"),"")</f>
        <v/>
      </c>
      <c r="I726" s="2" t="str">
        <f>IFERROR(__xludf.DUMMYFUNCTION("IF('From Order'!$A726=COLUMNS($A726:I745), LEFT(INDEX(FILTER(I$1:I725, I$1:I725&lt;&gt;""""),COUNTA(FILTER(I$1:I725, I$1:I725&lt;&gt;""""))), LEN(INDEX(FILTER(I$1:I725, I$1:I725&lt;&gt;""""),COUNTA(FILTER(I$1:I725, I$1:I725&lt;&gt;""""))))-1), IF('To Order'!$A726=COLUMNS($A726:I"&amp;"745), I725&amp;RIGHT(INDIRECT(ADDRESS(ROW(I726)-1, 'From Order'!$A726)), 1), I725))"),"VPVRZHMFBBFSLTDGSBLJ")</f>
        <v>VPVRZHMFBBFSLTDGSBLJ</v>
      </c>
    </row>
    <row r="727">
      <c r="A727" s="2" t="str">
        <f>IFERROR(__xludf.DUMMYFUNCTION("IF('From Order'!$A727=COLUMNS($A727:A746), LEFT(INDEX(FILTER(A$1:A726, A$1:A726&lt;&gt;""""),COUNTA(FILTER(A$1:A726, A$1:A726&lt;&gt;""""))), LEN(INDEX(FILTER(A$1:A726, A$1:A726&lt;&gt;""""),COUNTA(FILTER(A$1:A726, A$1:A726&lt;&gt;""""))))-1), IF('To Order'!$A727=COLUMNS($A727:A"&amp;"746), A726&amp;RIGHT(INDIRECT(ADDRESS(ROW(A727)-1, 'From Order'!$A727)), 1), A726))"),"")</f>
        <v/>
      </c>
      <c r="B727" s="2" t="str">
        <f>IFERROR(__xludf.DUMMYFUNCTION("IF('From Order'!$A727=COLUMNS($A727:B746), LEFT(INDEX(FILTER(B$1:B726, B$1:B726&lt;&gt;""""),COUNTA(FILTER(B$1:B726, B$1:B726&lt;&gt;""""))), LEN(INDEX(FILTER(B$1:B726, B$1:B726&lt;&gt;""""),COUNTA(FILTER(B$1:B726, B$1:B726&lt;&gt;""""))))-1), IF('To Order'!$A727=COLUMNS($A727:B"&amp;"746), B726&amp;RIGHT(INDIRECT(ADDRESS(ROW(B727)-1, 'From Order'!$A727)), 1), B726))"),"JZRD")</f>
        <v>JZRD</v>
      </c>
      <c r="C727" s="2" t="str">
        <f>IFERROR(__xludf.DUMMYFUNCTION("IF('From Order'!$A727=COLUMNS($A727:C746), LEFT(INDEX(FILTER(C$1:C726, C$1:C726&lt;&gt;""""),COUNTA(FILTER(C$1:C726, C$1:C726&lt;&gt;""""))), LEN(INDEX(FILTER(C$1:C726, C$1:C726&lt;&gt;""""),COUNTA(FILTER(C$1:C726, C$1:C726&lt;&gt;""""))))-1), IF('To Order'!$A727=COLUMNS($A727:C"&amp;"746), C726&amp;RIGHT(INDIRECT(ADDRESS(ROW(C727)-1, 'From Order'!$A727)), 1), C726))"),"TJC")</f>
        <v>TJC</v>
      </c>
      <c r="D727" s="2" t="str">
        <f>IFERROR(__xludf.DUMMYFUNCTION("IF('From Order'!$A727=COLUMNS($A727:D746), LEFT(INDEX(FILTER(D$1:D726, D$1:D726&lt;&gt;""""),COUNTA(FILTER(D$1:D726, D$1:D726&lt;&gt;""""))), LEN(INDEX(FILTER(D$1:D726, D$1:D726&lt;&gt;""""),COUNTA(FILTER(D$1:D726, D$1:D726&lt;&gt;""""))))-1), IF('To Order'!$A727=COLUMNS($A727:D"&amp;"746), D726&amp;RIGHT(INDIRECT(ADDRESS(ROW(D727)-1, 'From Order'!$A727)), 1), D726))"),"TMZM")</f>
        <v>TMZM</v>
      </c>
      <c r="E727" s="2" t="str">
        <f>IFERROR(__xludf.DUMMYFUNCTION("IF('From Order'!$A727=COLUMNS($A727:E746), LEFT(INDEX(FILTER(E$1:E726, E$1:E726&lt;&gt;""""),COUNTA(FILTER(E$1:E726, E$1:E726&lt;&gt;""""))), LEN(INDEX(FILTER(E$1:E726, E$1:E726&lt;&gt;""""),COUNTA(FILTER(E$1:E726, E$1:E726&lt;&gt;""""))))-1), IF('To Order'!$A727=COLUMNS($A727:E"&amp;"746), E726&amp;RIGHT(INDIRECT(ADDRESS(ROW(E727)-1, 'From Order'!$A727)), 1), E726))"),"CT")</f>
        <v>CT</v>
      </c>
      <c r="F727" s="2" t="str">
        <f>IFERROR(__xludf.DUMMYFUNCTION("IF('From Order'!$A727=COLUMNS($A727:F746), LEFT(INDEX(FILTER(F$1:F726, F$1:F726&lt;&gt;""""),COUNTA(FILTER(F$1:F726, F$1:F726&lt;&gt;""""))), LEN(INDEX(FILTER(F$1:F726, F$1:F726&lt;&gt;""""),COUNTA(FILTER(F$1:F726, F$1:F726&lt;&gt;""""))))-1), IF('To Order'!$A727=COLUMNS($A727:F"&amp;"746), F726&amp;RIGHT(INDIRECT(ADDRESS(ROW(F727)-1, 'From Order'!$A727)), 1), F726))"),"")</f>
        <v/>
      </c>
      <c r="G727" s="2" t="str">
        <f>IFERROR(__xludf.DUMMYFUNCTION("IF('From Order'!$A727=COLUMNS($A727:G746), LEFT(INDEX(FILTER(G$1:G726, G$1:G726&lt;&gt;""""),COUNTA(FILTER(G$1:G726, G$1:G726&lt;&gt;""""))), LEN(INDEX(FILTER(G$1:G726, G$1:G726&lt;&gt;""""),COUNTA(FILTER(G$1:G726, G$1:G726&lt;&gt;""""))))-1), IF('To Order'!$A727=COLUMNS($A727:G"&amp;"746), G726&amp;RIGHT(INDIRECT(ADDRESS(ROW(G727)-1, 'From Order'!$A727)), 1), G726))"),"DTRLRQPDSSGHWQPBCVDRWTDJ")</f>
        <v>DTRLRQPDSSGHWQPBCVDRWTDJ</v>
      </c>
      <c r="H727" s="2" t="str">
        <f>IFERROR(__xludf.DUMMYFUNCTION("IF('From Order'!$A727=COLUMNS($A727:H746), LEFT(INDEX(FILTER(H$1:H726, H$1:H726&lt;&gt;""""),COUNTA(FILTER(H$1:H726, H$1:H726&lt;&gt;""""))), LEN(INDEX(FILTER(H$1:H726, H$1:H726&lt;&gt;""""),COUNTA(FILTER(H$1:H726, H$1:H726&lt;&gt;""""))))-1), IF('To Order'!$A727=COLUMNS($A727:H"&amp;"746), H726&amp;RIGHT(INDIRECT(ADDRESS(ROW(H727)-1, 'From Order'!$A727)), 1), H726))"),"")</f>
        <v/>
      </c>
      <c r="I727" s="2" t="str">
        <f>IFERROR(__xludf.DUMMYFUNCTION("IF('From Order'!$A727=COLUMNS($A727:I746), LEFT(INDEX(FILTER(I$1:I726, I$1:I726&lt;&gt;""""),COUNTA(FILTER(I$1:I726, I$1:I726&lt;&gt;""""))), LEN(INDEX(FILTER(I$1:I726, I$1:I726&lt;&gt;""""),COUNTA(FILTER(I$1:I726, I$1:I726&lt;&gt;""""))))-1), IF('To Order'!$A727=COLUMNS($A727:I"&amp;"746), I726&amp;RIGHT(INDIRECT(ADDRESS(ROW(I727)-1, 'From Order'!$A727)), 1), I726))"),"VPVRZHMFBBFSLTDGSBL")</f>
        <v>VPVRZHMFBBFSLTDGSBL</v>
      </c>
    </row>
    <row r="728">
      <c r="A728" s="2" t="str">
        <f>IFERROR(__xludf.DUMMYFUNCTION("IF('From Order'!$A728=COLUMNS($A728:A747), LEFT(INDEX(FILTER(A$1:A727, A$1:A727&lt;&gt;""""),COUNTA(FILTER(A$1:A727, A$1:A727&lt;&gt;""""))), LEN(INDEX(FILTER(A$1:A727, A$1:A727&lt;&gt;""""),COUNTA(FILTER(A$1:A727, A$1:A727&lt;&gt;""""))))-1), IF('To Order'!$A728=COLUMNS($A728:A"&amp;"747), A727&amp;RIGHT(INDIRECT(ADDRESS(ROW(A728)-1, 'From Order'!$A728)), 1), A727))"),"")</f>
        <v/>
      </c>
      <c r="B728" s="2" t="str">
        <f>IFERROR(__xludf.DUMMYFUNCTION("IF('From Order'!$A728=COLUMNS($A728:B747), LEFT(INDEX(FILTER(B$1:B727, B$1:B727&lt;&gt;""""),COUNTA(FILTER(B$1:B727, B$1:B727&lt;&gt;""""))), LEN(INDEX(FILTER(B$1:B727, B$1:B727&lt;&gt;""""),COUNTA(FILTER(B$1:B727, B$1:B727&lt;&gt;""""))))-1), IF('To Order'!$A728=COLUMNS($A728:B"&amp;"747), B727&amp;RIGHT(INDIRECT(ADDRESS(ROW(B728)-1, 'From Order'!$A728)), 1), B727))"),"JZRD")</f>
        <v>JZRD</v>
      </c>
      <c r="C728" s="2" t="str">
        <f>IFERROR(__xludf.DUMMYFUNCTION("IF('From Order'!$A728=COLUMNS($A728:C747), LEFT(INDEX(FILTER(C$1:C727, C$1:C727&lt;&gt;""""),COUNTA(FILTER(C$1:C727, C$1:C727&lt;&gt;""""))), LEN(INDEX(FILTER(C$1:C727, C$1:C727&lt;&gt;""""),COUNTA(FILTER(C$1:C727, C$1:C727&lt;&gt;""""))))-1), IF('To Order'!$A728=COLUMNS($A728:C"&amp;"747), C727&amp;RIGHT(INDIRECT(ADDRESS(ROW(C728)-1, 'From Order'!$A728)), 1), C727))"),"TJC")</f>
        <v>TJC</v>
      </c>
      <c r="D728" s="2" t="str">
        <f>IFERROR(__xludf.DUMMYFUNCTION("IF('From Order'!$A728=COLUMNS($A728:D747), LEFT(INDEX(FILTER(D$1:D727, D$1:D727&lt;&gt;""""),COUNTA(FILTER(D$1:D727, D$1:D727&lt;&gt;""""))), LEN(INDEX(FILTER(D$1:D727, D$1:D727&lt;&gt;""""),COUNTA(FILTER(D$1:D727, D$1:D727&lt;&gt;""""))))-1), IF('To Order'!$A728=COLUMNS($A728:D"&amp;"747), D727&amp;RIGHT(INDIRECT(ADDRESS(ROW(D728)-1, 'From Order'!$A728)), 1), D727))"),"TMZM")</f>
        <v>TMZM</v>
      </c>
      <c r="E728" s="2" t="str">
        <f>IFERROR(__xludf.DUMMYFUNCTION("IF('From Order'!$A728=COLUMNS($A728:E747), LEFT(INDEX(FILTER(E$1:E727, E$1:E727&lt;&gt;""""),COUNTA(FILTER(E$1:E727, E$1:E727&lt;&gt;""""))), LEN(INDEX(FILTER(E$1:E727, E$1:E727&lt;&gt;""""),COUNTA(FILTER(E$1:E727, E$1:E727&lt;&gt;""""))))-1), IF('To Order'!$A728=COLUMNS($A728:E"&amp;"747), E727&amp;RIGHT(INDIRECT(ADDRESS(ROW(E728)-1, 'From Order'!$A728)), 1), E727))"),"CT")</f>
        <v>CT</v>
      </c>
      <c r="F728" s="2" t="str">
        <f>IFERROR(__xludf.DUMMYFUNCTION("IF('From Order'!$A728=COLUMNS($A728:F747), LEFT(INDEX(FILTER(F$1:F727, F$1:F727&lt;&gt;""""),COUNTA(FILTER(F$1:F727, F$1:F727&lt;&gt;""""))), LEN(INDEX(FILTER(F$1:F727, F$1:F727&lt;&gt;""""),COUNTA(FILTER(F$1:F727, F$1:F727&lt;&gt;""""))))-1), IF('To Order'!$A728=COLUMNS($A728:F"&amp;"747), F727&amp;RIGHT(INDIRECT(ADDRESS(ROW(F728)-1, 'From Order'!$A728)), 1), F727))"),"")</f>
        <v/>
      </c>
      <c r="G728" s="2" t="str">
        <f>IFERROR(__xludf.DUMMYFUNCTION("IF('From Order'!$A728=COLUMNS($A728:G747), LEFT(INDEX(FILTER(G$1:G727, G$1:G727&lt;&gt;""""),COUNTA(FILTER(G$1:G727, G$1:G727&lt;&gt;""""))), LEN(INDEX(FILTER(G$1:G727, G$1:G727&lt;&gt;""""),COUNTA(FILTER(G$1:G727, G$1:G727&lt;&gt;""""))))-1), IF('To Order'!$A728=COLUMNS($A728:G"&amp;"747), G727&amp;RIGHT(INDIRECT(ADDRESS(ROW(G728)-1, 'From Order'!$A728)), 1), G727))"),"DTRLRQPDSSGHWQPBCVDRWTDJL")</f>
        <v>DTRLRQPDSSGHWQPBCVDRWTDJL</v>
      </c>
      <c r="H728" s="2" t="str">
        <f>IFERROR(__xludf.DUMMYFUNCTION("IF('From Order'!$A728=COLUMNS($A728:H747), LEFT(INDEX(FILTER(H$1:H727, H$1:H727&lt;&gt;""""),COUNTA(FILTER(H$1:H727, H$1:H727&lt;&gt;""""))), LEN(INDEX(FILTER(H$1:H727, H$1:H727&lt;&gt;""""),COUNTA(FILTER(H$1:H727, H$1:H727&lt;&gt;""""))))-1), IF('To Order'!$A728=COLUMNS($A728:H"&amp;"747), H727&amp;RIGHT(INDIRECT(ADDRESS(ROW(H728)-1, 'From Order'!$A728)), 1), H727))"),"")</f>
        <v/>
      </c>
      <c r="I728" s="2" t="str">
        <f>IFERROR(__xludf.DUMMYFUNCTION("IF('From Order'!$A728=COLUMNS($A728:I747), LEFT(INDEX(FILTER(I$1:I727, I$1:I727&lt;&gt;""""),COUNTA(FILTER(I$1:I727, I$1:I727&lt;&gt;""""))), LEN(INDEX(FILTER(I$1:I727, I$1:I727&lt;&gt;""""),COUNTA(FILTER(I$1:I727, I$1:I727&lt;&gt;""""))))-1), IF('To Order'!$A728=COLUMNS($A728:I"&amp;"747), I727&amp;RIGHT(INDIRECT(ADDRESS(ROW(I728)-1, 'From Order'!$A728)), 1), I727))"),"VPVRZHMFBBFSLTDGSB")</f>
        <v>VPVRZHMFBBFSLTDGSB</v>
      </c>
    </row>
    <row r="729">
      <c r="A729" s="2" t="str">
        <f>IFERROR(__xludf.DUMMYFUNCTION("IF('From Order'!$A729=COLUMNS($A729:A748), LEFT(INDEX(FILTER(A$1:A728, A$1:A728&lt;&gt;""""),COUNTA(FILTER(A$1:A728, A$1:A728&lt;&gt;""""))), LEN(INDEX(FILTER(A$1:A728, A$1:A728&lt;&gt;""""),COUNTA(FILTER(A$1:A728, A$1:A728&lt;&gt;""""))))-1), IF('To Order'!$A729=COLUMNS($A729:A"&amp;"748), A728&amp;RIGHT(INDIRECT(ADDRESS(ROW(A729)-1, 'From Order'!$A729)), 1), A728))"),"")</f>
        <v/>
      </c>
      <c r="B729" s="2" t="str">
        <f>IFERROR(__xludf.DUMMYFUNCTION("IF('From Order'!$A729=COLUMNS($A729:B748), LEFT(INDEX(FILTER(B$1:B728, B$1:B728&lt;&gt;""""),COUNTA(FILTER(B$1:B728, B$1:B728&lt;&gt;""""))), LEN(INDEX(FILTER(B$1:B728, B$1:B728&lt;&gt;""""),COUNTA(FILTER(B$1:B728, B$1:B728&lt;&gt;""""))))-1), IF('To Order'!$A729=COLUMNS($A729:B"&amp;"748), B728&amp;RIGHT(INDIRECT(ADDRESS(ROW(B729)-1, 'From Order'!$A729)), 1), B728))"),"JZRD")</f>
        <v>JZRD</v>
      </c>
      <c r="C729" s="2" t="str">
        <f>IFERROR(__xludf.DUMMYFUNCTION("IF('From Order'!$A729=COLUMNS($A729:C748), LEFT(INDEX(FILTER(C$1:C728, C$1:C728&lt;&gt;""""),COUNTA(FILTER(C$1:C728, C$1:C728&lt;&gt;""""))), LEN(INDEX(FILTER(C$1:C728, C$1:C728&lt;&gt;""""),COUNTA(FILTER(C$1:C728, C$1:C728&lt;&gt;""""))))-1), IF('To Order'!$A729=COLUMNS($A729:C"&amp;"748), C728&amp;RIGHT(INDIRECT(ADDRESS(ROW(C729)-1, 'From Order'!$A729)), 1), C728))"),"TJC")</f>
        <v>TJC</v>
      </c>
      <c r="D729" s="2" t="str">
        <f>IFERROR(__xludf.DUMMYFUNCTION("IF('From Order'!$A729=COLUMNS($A729:D748), LEFT(INDEX(FILTER(D$1:D728, D$1:D728&lt;&gt;""""),COUNTA(FILTER(D$1:D728, D$1:D728&lt;&gt;""""))), LEN(INDEX(FILTER(D$1:D728, D$1:D728&lt;&gt;""""),COUNTA(FILTER(D$1:D728, D$1:D728&lt;&gt;""""))))-1), IF('To Order'!$A729=COLUMNS($A729:D"&amp;"748), D728&amp;RIGHT(INDIRECT(ADDRESS(ROW(D729)-1, 'From Order'!$A729)), 1), D728))"),"TMZM")</f>
        <v>TMZM</v>
      </c>
      <c r="E729" s="2" t="str">
        <f>IFERROR(__xludf.DUMMYFUNCTION("IF('From Order'!$A729=COLUMNS($A729:E748), LEFT(INDEX(FILTER(E$1:E728, E$1:E728&lt;&gt;""""),COUNTA(FILTER(E$1:E728, E$1:E728&lt;&gt;""""))), LEN(INDEX(FILTER(E$1:E728, E$1:E728&lt;&gt;""""),COUNTA(FILTER(E$1:E728, E$1:E728&lt;&gt;""""))))-1), IF('To Order'!$A729=COLUMNS($A729:E"&amp;"748), E728&amp;RIGHT(INDIRECT(ADDRESS(ROW(E729)-1, 'From Order'!$A729)), 1), E728))"),"CT")</f>
        <v>CT</v>
      </c>
      <c r="F729" s="2" t="str">
        <f>IFERROR(__xludf.DUMMYFUNCTION("IF('From Order'!$A729=COLUMNS($A729:F748), LEFT(INDEX(FILTER(F$1:F728, F$1:F728&lt;&gt;""""),COUNTA(FILTER(F$1:F728, F$1:F728&lt;&gt;""""))), LEN(INDEX(FILTER(F$1:F728, F$1:F728&lt;&gt;""""),COUNTA(FILTER(F$1:F728, F$1:F728&lt;&gt;""""))))-1), IF('To Order'!$A729=COLUMNS($A729:F"&amp;"748), F728&amp;RIGHT(INDIRECT(ADDRESS(ROW(F729)-1, 'From Order'!$A729)), 1), F728))"),"")</f>
        <v/>
      </c>
      <c r="G729" s="2" t="str">
        <f>IFERROR(__xludf.DUMMYFUNCTION("IF('From Order'!$A729=COLUMNS($A729:G748), LEFT(INDEX(FILTER(G$1:G728, G$1:G728&lt;&gt;""""),COUNTA(FILTER(G$1:G728, G$1:G728&lt;&gt;""""))), LEN(INDEX(FILTER(G$1:G728, G$1:G728&lt;&gt;""""),COUNTA(FILTER(G$1:G728, G$1:G728&lt;&gt;""""))))-1), IF('To Order'!$A729=COLUMNS($A729:G"&amp;"748), G728&amp;RIGHT(INDIRECT(ADDRESS(ROW(G729)-1, 'From Order'!$A729)), 1), G728))"),"DTRLRQPDSSGHWQPBCVDRWTDJLB")</f>
        <v>DTRLRQPDSSGHWQPBCVDRWTDJLB</v>
      </c>
      <c r="H729" s="2" t="str">
        <f>IFERROR(__xludf.DUMMYFUNCTION("IF('From Order'!$A729=COLUMNS($A729:H748), LEFT(INDEX(FILTER(H$1:H728, H$1:H728&lt;&gt;""""),COUNTA(FILTER(H$1:H728, H$1:H728&lt;&gt;""""))), LEN(INDEX(FILTER(H$1:H728, H$1:H728&lt;&gt;""""),COUNTA(FILTER(H$1:H728, H$1:H728&lt;&gt;""""))))-1), IF('To Order'!$A729=COLUMNS($A729:H"&amp;"748), H728&amp;RIGHT(INDIRECT(ADDRESS(ROW(H729)-1, 'From Order'!$A729)), 1), H728))"),"")</f>
        <v/>
      </c>
      <c r="I729" s="2" t="str">
        <f>IFERROR(__xludf.DUMMYFUNCTION("IF('From Order'!$A729=COLUMNS($A729:I748), LEFT(INDEX(FILTER(I$1:I728, I$1:I728&lt;&gt;""""),COUNTA(FILTER(I$1:I728, I$1:I728&lt;&gt;""""))), LEN(INDEX(FILTER(I$1:I728, I$1:I728&lt;&gt;""""),COUNTA(FILTER(I$1:I728, I$1:I728&lt;&gt;""""))))-1), IF('To Order'!$A729=COLUMNS($A729:I"&amp;"748), I728&amp;RIGHT(INDIRECT(ADDRESS(ROW(I729)-1, 'From Order'!$A729)), 1), I728))"),"VPVRZHMFBBFSLTDGS")</f>
        <v>VPVRZHMFBBFSLTDGS</v>
      </c>
    </row>
    <row r="730">
      <c r="A730" s="2" t="str">
        <f>IFERROR(__xludf.DUMMYFUNCTION("IF('From Order'!$A730=COLUMNS($A730:A749), LEFT(INDEX(FILTER(A$1:A729, A$1:A729&lt;&gt;""""),COUNTA(FILTER(A$1:A729, A$1:A729&lt;&gt;""""))), LEN(INDEX(FILTER(A$1:A729, A$1:A729&lt;&gt;""""),COUNTA(FILTER(A$1:A729, A$1:A729&lt;&gt;""""))))-1), IF('To Order'!$A730=COLUMNS($A730:A"&amp;"749), A729&amp;RIGHT(INDIRECT(ADDRESS(ROW(A730)-1, 'From Order'!$A730)), 1), A729))"),"")</f>
        <v/>
      </c>
      <c r="B730" s="2" t="str">
        <f>IFERROR(__xludf.DUMMYFUNCTION("IF('From Order'!$A730=COLUMNS($A730:B749), LEFT(INDEX(FILTER(B$1:B729, B$1:B729&lt;&gt;""""),COUNTA(FILTER(B$1:B729, B$1:B729&lt;&gt;""""))), LEN(INDEX(FILTER(B$1:B729, B$1:B729&lt;&gt;""""),COUNTA(FILTER(B$1:B729, B$1:B729&lt;&gt;""""))))-1), IF('To Order'!$A730=COLUMNS($A730:B"&amp;"749), B729&amp;RIGHT(INDIRECT(ADDRESS(ROW(B730)-1, 'From Order'!$A730)), 1), B729))"),"JZRD")</f>
        <v>JZRD</v>
      </c>
      <c r="C730" s="2" t="str">
        <f>IFERROR(__xludf.DUMMYFUNCTION("IF('From Order'!$A730=COLUMNS($A730:C749), LEFT(INDEX(FILTER(C$1:C729, C$1:C729&lt;&gt;""""),COUNTA(FILTER(C$1:C729, C$1:C729&lt;&gt;""""))), LEN(INDEX(FILTER(C$1:C729, C$1:C729&lt;&gt;""""),COUNTA(FILTER(C$1:C729, C$1:C729&lt;&gt;""""))))-1), IF('To Order'!$A730=COLUMNS($A730:C"&amp;"749), C729&amp;RIGHT(INDIRECT(ADDRESS(ROW(C730)-1, 'From Order'!$A730)), 1), C729))"),"TJC")</f>
        <v>TJC</v>
      </c>
      <c r="D730" s="2" t="str">
        <f>IFERROR(__xludf.DUMMYFUNCTION("IF('From Order'!$A730=COLUMNS($A730:D749), LEFT(INDEX(FILTER(D$1:D729, D$1:D729&lt;&gt;""""),COUNTA(FILTER(D$1:D729, D$1:D729&lt;&gt;""""))), LEN(INDEX(FILTER(D$1:D729, D$1:D729&lt;&gt;""""),COUNTA(FILTER(D$1:D729, D$1:D729&lt;&gt;""""))))-1), IF('To Order'!$A730=COLUMNS($A730:D"&amp;"749), D729&amp;RIGHT(INDIRECT(ADDRESS(ROW(D730)-1, 'From Order'!$A730)), 1), D729))"),"TMZM")</f>
        <v>TMZM</v>
      </c>
      <c r="E730" s="2" t="str">
        <f>IFERROR(__xludf.DUMMYFUNCTION("IF('From Order'!$A730=COLUMNS($A730:E749), LEFT(INDEX(FILTER(E$1:E729, E$1:E729&lt;&gt;""""),COUNTA(FILTER(E$1:E729, E$1:E729&lt;&gt;""""))), LEN(INDEX(FILTER(E$1:E729, E$1:E729&lt;&gt;""""),COUNTA(FILTER(E$1:E729, E$1:E729&lt;&gt;""""))))-1), IF('To Order'!$A730=COLUMNS($A730:E"&amp;"749), E729&amp;RIGHT(INDIRECT(ADDRESS(ROW(E730)-1, 'From Order'!$A730)), 1), E729))"),"CT")</f>
        <v>CT</v>
      </c>
      <c r="F730" s="2" t="str">
        <f>IFERROR(__xludf.DUMMYFUNCTION("IF('From Order'!$A730=COLUMNS($A730:F749), LEFT(INDEX(FILTER(F$1:F729, F$1:F729&lt;&gt;""""),COUNTA(FILTER(F$1:F729, F$1:F729&lt;&gt;""""))), LEN(INDEX(FILTER(F$1:F729, F$1:F729&lt;&gt;""""),COUNTA(FILTER(F$1:F729, F$1:F729&lt;&gt;""""))))-1), IF('To Order'!$A730=COLUMNS($A730:F"&amp;"749), F729&amp;RIGHT(INDIRECT(ADDRESS(ROW(F730)-1, 'From Order'!$A730)), 1), F729))"),"")</f>
        <v/>
      </c>
      <c r="G730" s="2" t="str">
        <f>IFERROR(__xludf.DUMMYFUNCTION("IF('From Order'!$A730=COLUMNS($A730:G749), LEFT(INDEX(FILTER(G$1:G729, G$1:G729&lt;&gt;""""),COUNTA(FILTER(G$1:G729, G$1:G729&lt;&gt;""""))), LEN(INDEX(FILTER(G$1:G729, G$1:G729&lt;&gt;""""),COUNTA(FILTER(G$1:G729, G$1:G729&lt;&gt;""""))))-1), IF('To Order'!$A730=COLUMNS($A730:G"&amp;"749), G729&amp;RIGHT(INDIRECT(ADDRESS(ROW(G730)-1, 'From Order'!$A730)), 1), G729))"),"DTRLRQPDSSGHWQPBCVDRWTDJLBS")</f>
        <v>DTRLRQPDSSGHWQPBCVDRWTDJLBS</v>
      </c>
      <c r="H730" s="2" t="str">
        <f>IFERROR(__xludf.DUMMYFUNCTION("IF('From Order'!$A730=COLUMNS($A730:H749), LEFT(INDEX(FILTER(H$1:H729, H$1:H729&lt;&gt;""""),COUNTA(FILTER(H$1:H729, H$1:H729&lt;&gt;""""))), LEN(INDEX(FILTER(H$1:H729, H$1:H729&lt;&gt;""""),COUNTA(FILTER(H$1:H729, H$1:H729&lt;&gt;""""))))-1), IF('To Order'!$A730=COLUMNS($A730:H"&amp;"749), H729&amp;RIGHT(INDIRECT(ADDRESS(ROW(H730)-1, 'From Order'!$A730)), 1), H729))"),"")</f>
        <v/>
      </c>
      <c r="I730" s="2" t="str">
        <f>IFERROR(__xludf.DUMMYFUNCTION("IF('From Order'!$A730=COLUMNS($A730:I749), LEFT(INDEX(FILTER(I$1:I729, I$1:I729&lt;&gt;""""),COUNTA(FILTER(I$1:I729, I$1:I729&lt;&gt;""""))), LEN(INDEX(FILTER(I$1:I729, I$1:I729&lt;&gt;""""),COUNTA(FILTER(I$1:I729, I$1:I729&lt;&gt;""""))))-1), IF('To Order'!$A730=COLUMNS($A730:I"&amp;"749), I729&amp;RIGHT(INDIRECT(ADDRESS(ROW(I730)-1, 'From Order'!$A730)), 1), I729))"),"VPVRZHMFBBFSLTDG")</f>
        <v>VPVRZHMFBBFSLTDG</v>
      </c>
    </row>
    <row r="731">
      <c r="A731" s="2" t="str">
        <f>IFERROR(__xludf.DUMMYFUNCTION("IF('From Order'!$A731=COLUMNS($A731:A750), LEFT(INDEX(FILTER(A$1:A730, A$1:A730&lt;&gt;""""),COUNTA(FILTER(A$1:A730, A$1:A730&lt;&gt;""""))), LEN(INDEX(FILTER(A$1:A730, A$1:A730&lt;&gt;""""),COUNTA(FILTER(A$1:A730, A$1:A730&lt;&gt;""""))))-1), IF('To Order'!$A731=COLUMNS($A731:A"&amp;"750), A730&amp;RIGHT(INDIRECT(ADDRESS(ROW(A731)-1, 'From Order'!$A731)), 1), A730))"),"")</f>
        <v/>
      </c>
      <c r="B731" s="2" t="str">
        <f>IFERROR(__xludf.DUMMYFUNCTION("IF('From Order'!$A731=COLUMNS($A731:B750), LEFT(INDEX(FILTER(B$1:B730, B$1:B730&lt;&gt;""""),COUNTA(FILTER(B$1:B730, B$1:B730&lt;&gt;""""))), LEN(INDEX(FILTER(B$1:B730, B$1:B730&lt;&gt;""""),COUNTA(FILTER(B$1:B730, B$1:B730&lt;&gt;""""))))-1), IF('To Order'!$A731=COLUMNS($A731:B"&amp;"750), B730&amp;RIGHT(INDIRECT(ADDRESS(ROW(B731)-1, 'From Order'!$A731)), 1), B730))"),"JZRD")</f>
        <v>JZRD</v>
      </c>
      <c r="C731" s="2" t="str">
        <f>IFERROR(__xludf.DUMMYFUNCTION("IF('From Order'!$A731=COLUMNS($A731:C750), LEFT(INDEX(FILTER(C$1:C730, C$1:C730&lt;&gt;""""),COUNTA(FILTER(C$1:C730, C$1:C730&lt;&gt;""""))), LEN(INDEX(FILTER(C$1:C730, C$1:C730&lt;&gt;""""),COUNTA(FILTER(C$1:C730, C$1:C730&lt;&gt;""""))))-1), IF('To Order'!$A731=COLUMNS($A731:C"&amp;"750), C730&amp;RIGHT(INDIRECT(ADDRESS(ROW(C731)-1, 'From Order'!$A731)), 1), C730))"),"TJC")</f>
        <v>TJC</v>
      </c>
      <c r="D731" s="2" t="str">
        <f>IFERROR(__xludf.DUMMYFUNCTION("IF('From Order'!$A731=COLUMNS($A731:D750), LEFT(INDEX(FILTER(D$1:D730, D$1:D730&lt;&gt;""""),COUNTA(FILTER(D$1:D730, D$1:D730&lt;&gt;""""))), LEN(INDEX(FILTER(D$1:D730, D$1:D730&lt;&gt;""""),COUNTA(FILTER(D$1:D730, D$1:D730&lt;&gt;""""))))-1), IF('To Order'!$A731=COLUMNS($A731:D"&amp;"750), D730&amp;RIGHT(INDIRECT(ADDRESS(ROW(D731)-1, 'From Order'!$A731)), 1), D730))"),"TMZM")</f>
        <v>TMZM</v>
      </c>
      <c r="E731" s="2" t="str">
        <f>IFERROR(__xludf.DUMMYFUNCTION("IF('From Order'!$A731=COLUMNS($A731:E750), LEFT(INDEX(FILTER(E$1:E730, E$1:E730&lt;&gt;""""),COUNTA(FILTER(E$1:E730, E$1:E730&lt;&gt;""""))), LEN(INDEX(FILTER(E$1:E730, E$1:E730&lt;&gt;""""),COUNTA(FILTER(E$1:E730, E$1:E730&lt;&gt;""""))))-1), IF('To Order'!$A731=COLUMNS($A731:E"&amp;"750), E730&amp;RIGHT(INDIRECT(ADDRESS(ROW(E731)-1, 'From Order'!$A731)), 1), E730))"),"CT")</f>
        <v>CT</v>
      </c>
      <c r="F731" s="2" t="str">
        <f>IFERROR(__xludf.DUMMYFUNCTION("IF('From Order'!$A731=COLUMNS($A731:F750), LEFT(INDEX(FILTER(F$1:F730, F$1:F730&lt;&gt;""""),COUNTA(FILTER(F$1:F730, F$1:F730&lt;&gt;""""))), LEN(INDEX(FILTER(F$1:F730, F$1:F730&lt;&gt;""""),COUNTA(FILTER(F$1:F730, F$1:F730&lt;&gt;""""))))-1), IF('To Order'!$A731=COLUMNS($A731:F"&amp;"750), F730&amp;RIGHT(INDIRECT(ADDRESS(ROW(F731)-1, 'From Order'!$A731)), 1), F730))"),"")</f>
        <v/>
      </c>
      <c r="G731" s="2" t="str">
        <f>IFERROR(__xludf.DUMMYFUNCTION("IF('From Order'!$A731=COLUMNS($A731:G750), LEFT(INDEX(FILTER(G$1:G730, G$1:G730&lt;&gt;""""),COUNTA(FILTER(G$1:G730, G$1:G730&lt;&gt;""""))), LEN(INDEX(FILTER(G$1:G730, G$1:G730&lt;&gt;""""),COUNTA(FILTER(G$1:G730, G$1:G730&lt;&gt;""""))))-1), IF('To Order'!$A731=COLUMNS($A731:G"&amp;"750), G730&amp;RIGHT(INDIRECT(ADDRESS(ROW(G731)-1, 'From Order'!$A731)), 1), G730))"),"DTRLRQPDSSGHWQPBCVDRWTDJLBSG")</f>
        <v>DTRLRQPDSSGHWQPBCVDRWTDJLBSG</v>
      </c>
      <c r="H731" s="2" t="str">
        <f>IFERROR(__xludf.DUMMYFUNCTION("IF('From Order'!$A731=COLUMNS($A731:H750), LEFT(INDEX(FILTER(H$1:H730, H$1:H730&lt;&gt;""""),COUNTA(FILTER(H$1:H730, H$1:H730&lt;&gt;""""))), LEN(INDEX(FILTER(H$1:H730, H$1:H730&lt;&gt;""""),COUNTA(FILTER(H$1:H730, H$1:H730&lt;&gt;""""))))-1), IF('To Order'!$A731=COLUMNS($A731:H"&amp;"750), H730&amp;RIGHT(INDIRECT(ADDRESS(ROW(H731)-1, 'From Order'!$A731)), 1), H730))"),"")</f>
        <v/>
      </c>
      <c r="I731" s="2" t="str">
        <f>IFERROR(__xludf.DUMMYFUNCTION("IF('From Order'!$A731=COLUMNS($A731:I750), LEFT(INDEX(FILTER(I$1:I730, I$1:I730&lt;&gt;""""),COUNTA(FILTER(I$1:I730, I$1:I730&lt;&gt;""""))), LEN(INDEX(FILTER(I$1:I730, I$1:I730&lt;&gt;""""),COUNTA(FILTER(I$1:I730, I$1:I730&lt;&gt;""""))))-1), IF('To Order'!$A731=COLUMNS($A731:I"&amp;"750), I730&amp;RIGHT(INDIRECT(ADDRESS(ROW(I731)-1, 'From Order'!$A731)), 1), I730))"),"VPVRZHMFBBFSLTD")</f>
        <v>VPVRZHMFBBFSLTD</v>
      </c>
    </row>
    <row r="732">
      <c r="A732" s="2" t="str">
        <f>IFERROR(__xludf.DUMMYFUNCTION("IF('From Order'!$A732=COLUMNS($A732:A751), LEFT(INDEX(FILTER(A$1:A731, A$1:A731&lt;&gt;""""),COUNTA(FILTER(A$1:A731, A$1:A731&lt;&gt;""""))), LEN(INDEX(FILTER(A$1:A731, A$1:A731&lt;&gt;""""),COUNTA(FILTER(A$1:A731, A$1:A731&lt;&gt;""""))))-1), IF('To Order'!$A732=COLUMNS($A732:A"&amp;"751), A731&amp;RIGHT(INDIRECT(ADDRESS(ROW(A732)-1, 'From Order'!$A732)), 1), A731))"),"")</f>
        <v/>
      </c>
      <c r="B732" s="2" t="str">
        <f>IFERROR(__xludf.DUMMYFUNCTION("IF('From Order'!$A732=COLUMNS($A732:B751), LEFT(INDEX(FILTER(B$1:B731, B$1:B731&lt;&gt;""""),COUNTA(FILTER(B$1:B731, B$1:B731&lt;&gt;""""))), LEN(INDEX(FILTER(B$1:B731, B$1:B731&lt;&gt;""""),COUNTA(FILTER(B$1:B731, B$1:B731&lt;&gt;""""))))-1), IF('To Order'!$A732=COLUMNS($A732:B"&amp;"751), B731&amp;RIGHT(INDIRECT(ADDRESS(ROW(B732)-1, 'From Order'!$A732)), 1), B731))"),"JZRD")</f>
        <v>JZRD</v>
      </c>
      <c r="C732" s="2" t="str">
        <f>IFERROR(__xludf.DUMMYFUNCTION("IF('From Order'!$A732=COLUMNS($A732:C751), LEFT(INDEX(FILTER(C$1:C731, C$1:C731&lt;&gt;""""),COUNTA(FILTER(C$1:C731, C$1:C731&lt;&gt;""""))), LEN(INDEX(FILTER(C$1:C731, C$1:C731&lt;&gt;""""),COUNTA(FILTER(C$1:C731, C$1:C731&lt;&gt;""""))))-1), IF('To Order'!$A732=COLUMNS($A732:C"&amp;"751), C731&amp;RIGHT(INDIRECT(ADDRESS(ROW(C732)-1, 'From Order'!$A732)), 1), C731))"),"TJC")</f>
        <v>TJC</v>
      </c>
      <c r="D732" s="2" t="str">
        <f>IFERROR(__xludf.DUMMYFUNCTION("IF('From Order'!$A732=COLUMNS($A732:D751), LEFT(INDEX(FILTER(D$1:D731, D$1:D731&lt;&gt;""""),COUNTA(FILTER(D$1:D731, D$1:D731&lt;&gt;""""))), LEN(INDEX(FILTER(D$1:D731, D$1:D731&lt;&gt;""""),COUNTA(FILTER(D$1:D731, D$1:D731&lt;&gt;""""))))-1), IF('To Order'!$A732=COLUMNS($A732:D"&amp;"751), D731&amp;RIGHT(INDIRECT(ADDRESS(ROW(D732)-1, 'From Order'!$A732)), 1), D731))"),"TMZM")</f>
        <v>TMZM</v>
      </c>
      <c r="E732" s="2" t="str">
        <f>IFERROR(__xludf.DUMMYFUNCTION("IF('From Order'!$A732=COLUMNS($A732:E751), LEFT(INDEX(FILTER(E$1:E731, E$1:E731&lt;&gt;""""),COUNTA(FILTER(E$1:E731, E$1:E731&lt;&gt;""""))), LEN(INDEX(FILTER(E$1:E731, E$1:E731&lt;&gt;""""),COUNTA(FILTER(E$1:E731, E$1:E731&lt;&gt;""""))))-1), IF('To Order'!$A732=COLUMNS($A732:E"&amp;"751), E731&amp;RIGHT(INDIRECT(ADDRESS(ROW(E732)-1, 'From Order'!$A732)), 1), E731))"),"CT")</f>
        <v>CT</v>
      </c>
      <c r="F732" s="2" t="str">
        <f>IFERROR(__xludf.DUMMYFUNCTION("IF('From Order'!$A732=COLUMNS($A732:F751), LEFT(INDEX(FILTER(F$1:F731, F$1:F731&lt;&gt;""""),COUNTA(FILTER(F$1:F731, F$1:F731&lt;&gt;""""))), LEN(INDEX(FILTER(F$1:F731, F$1:F731&lt;&gt;""""),COUNTA(FILTER(F$1:F731, F$1:F731&lt;&gt;""""))))-1), IF('To Order'!$A732=COLUMNS($A732:F"&amp;"751), F731&amp;RIGHT(INDIRECT(ADDRESS(ROW(F732)-1, 'From Order'!$A732)), 1), F731))"),"")</f>
        <v/>
      </c>
      <c r="G732" s="2" t="str">
        <f>IFERROR(__xludf.DUMMYFUNCTION("IF('From Order'!$A732=COLUMNS($A732:G751), LEFT(INDEX(FILTER(G$1:G731, G$1:G731&lt;&gt;""""),COUNTA(FILTER(G$1:G731, G$1:G731&lt;&gt;""""))), LEN(INDEX(FILTER(G$1:G731, G$1:G731&lt;&gt;""""),COUNTA(FILTER(G$1:G731, G$1:G731&lt;&gt;""""))))-1), IF('To Order'!$A732=COLUMNS($A732:G"&amp;"751), G731&amp;RIGHT(INDIRECT(ADDRESS(ROW(G732)-1, 'From Order'!$A732)), 1), G731))"),"DTRLRQPDSSGHWQPBCVDRWTDJLBSGD")</f>
        <v>DTRLRQPDSSGHWQPBCVDRWTDJLBSGD</v>
      </c>
      <c r="H732" s="2" t="str">
        <f>IFERROR(__xludf.DUMMYFUNCTION("IF('From Order'!$A732=COLUMNS($A732:H751), LEFT(INDEX(FILTER(H$1:H731, H$1:H731&lt;&gt;""""),COUNTA(FILTER(H$1:H731, H$1:H731&lt;&gt;""""))), LEN(INDEX(FILTER(H$1:H731, H$1:H731&lt;&gt;""""),COUNTA(FILTER(H$1:H731, H$1:H731&lt;&gt;""""))))-1), IF('To Order'!$A732=COLUMNS($A732:H"&amp;"751), H731&amp;RIGHT(INDIRECT(ADDRESS(ROW(H732)-1, 'From Order'!$A732)), 1), H731))"),"")</f>
        <v/>
      </c>
      <c r="I732" s="2" t="str">
        <f>IFERROR(__xludf.DUMMYFUNCTION("IF('From Order'!$A732=COLUMNS($A732:I751), LEFT(INDEX(FILTER(I$1:I731, I$1:I731&lt;&gt;""""),COUNTA(FILTER(I$1:I731, I$1:I731&lt;&gt;""""))), LEN(INDEX(FILTER(I$1:I731, I$1:I731&lt;&gt;""""),COUNTA(FILTER(I$1:I731, I$1:I731&lt;&gt;""""))))-1), IF('To Order'!$A732=COLUMNS($A732:I"&amp;"751), I731&amp;RIGHT(INDIRECT(ADDRESS(ROW(I732)-1, 'From Order'!$A732)), 1), I731))"),"VPVRZHMFBBFSLT")</f>
        <v>VPVRZHMFBBFSLT</v>
      </c>
    </row>
    <row r="733">
      <c r="A733" s="2" t="str">
        <f>IFERROR(__xludf.DUMMYFUNCTION("IF('From Order'!$A733=COLUMNS($A733:A752), LEFT(INDEX(FILTER(A$1:A732, A$1:A732&lt;&gt;""""),COUNTA(FILTER(A$1:A732, A$1:A732&lt;&gt;""""))), LEN(INDEX(FILTER(A$1:A732, A$1:A732&lt;&gt;""""),COUNTA(FILTER(A$1:A732, A$1:A732&lt;&gt;""""))))-1), IF('To Order'!$A733=COLUMNS($A733:A"&amp;"752), A732&amp;RIGHT(INDIRECT(ADDRESS(ROW(A733)-1, 'From Order'!$A733)), 1), A732))"),"")</f>
        <v/>
      </c>
      <c r="B733" s="2" t="str">
        <f>IFERROR(__xludf.DUMMYFUNCTION("IF('From Order'!$A733=COLUMNS($A733:B752), LEFT(INDEX(FILTER(B$1:B732, B$1:B732&lt;&gt;""""),COUNTA(FILTER(B$1:B732, B$1:B732&lt;&gt;""""))), LEN(INDEX(FILTER(B$1:B732, B$1:B732&lt;&gt;""""),COUNTA(FILTER(B$1:B732, B$1:B732&lt;&gt;""""))))-1), IF('To Order'!$A733=COLUMNS($A733:B"&amp;"752), B732&amp;RIGHT(INDIRECT(ADDRESS(ROW(B733)-1, 'From Order'!$A733)), 1), B732))"),"JZRD")</f>
        <v>JZRD</v>
      </c>
      <c r="C733" s="2" t="str">
        <f>IFERROR(__xludf.DUMMYFUNCTION("IF('From Order'!$A733=COLUMNS($A733:C752), LEFT(INDEX(FILTER(C$1:C732, C$1:C732&lt;&gt;""""),COUNTA(FILTER(C$1:C732, C$1:C732&lt;&gt;""""))), LEN(INDEX(FILTER(C$1:C732, C$1:C732&lt;&gt;""""),COUNTA(FILTER(C$1:C732, C$1:C732&lt;&gt;""""))))-1), IF('To Order'!$A733=COLUMNS($A733:C"&amp;"752), C732&amp;RIGHT(INDIRECT(ADDRESS(ROW(C733)-1, 'From Order'!$A733)), 1), C732))"),"TJC")</f>
        <v>TJC</v>
      </c>
      <c r="D733" s="2" t="str">
        <f>IFERROR(__xludf.DUMMYFUNCTION("IF('From Order'!$A733=COLUMNS($A733:D752), LEFT(INDEX(FILTER(D$1:D732, D$1:D732&lt;&gt;""""),COUNTA(FILTER(D$1:D732, D$1:D732&lt;&gt;""""))), LEN(INDEX(FILTER(D$1:D732, D$1:D732&lt;&gt;""""),COUNTA(FILTER(D$1:D732, D$1:D732&lt;&gt;""""))))-1), IF('To Order'!$A733=COLUMNS($A733:D"&amp;"752), D732&amp;RIGHT(INDIRECT(ADDRESS(ROW(D733)-1, 'From Order'!$A733)), 1), D732))"),"TMZM")</f>
        <v>TMZM</v>
      </c>
      <c r="E733" s="2" t="str">
        <f>IFERROR(__xludf.DUMMYFUNCTION("IF('From Order'!$A733=COLUMNS($A733:E752), LEFT(INDEX(FILTER(E$1:E732, E$1:E732&lt;&gt;""""),COUNTA(FILTER(E$1:E732, E$1:E732&lt;&gt;""""))), LEN(INDEX(FILTER(E$1:E732, E$1:E732&lt;&gt;""""),COUNTA(FILTER(E$1:E732, E$1:E732&lt;&gt;""""))))-1), IF('To Order'!$A733=COLUMNS($A733:E"&amp;"752), E732&amp;RIGHT(INDIRECT(ADDRESS(ROW(E733)-1, 'From Order'!$A733)), 1), E732))"),"CT")</f>
        <v>CT</v>
      </c>
      <c r="F733" s="2" t="str">
        <f>IFERROR(__xludf.DUMMYFUNCTION("IF('From Order'!$A733=COLUMNS($A733:F752), LEFT(INDEX(FILTER(F$1:F732, F$1:F732&lt;&gt;""""),COUNTA(FILTER(F$1:F732, F$1:F732&lt;&gt;""""))), LEN(INDEX(FILTER(F$1:F732, F$1:F732&lt;&gt;""""),COUNTA(FILTER(F$1:F732, F$1:F732&lt;&gt;""""))))-1), IF('To Order'!$A733=COLUMNS($A733:F"&amp;"752), F732&amp;RIGHT(INDIRECT(ADDRESS(ROW(F733)-1, 'From Order'!$A733)), 1), F732))"),"")</f>
        <v/>
      </c>
      <c r="G733" s="2" t="str">
        <f>IFERROR(__xludf.DUMMYFUNCTION("IF('From Order'!$A733=COLUMNS($A733:G752), LEFT(INDEX(FILTER(G$1:G732, G$1:G732&lt;&gt;""""),COUNTA(FILTER(G$1:G732, G$1:G732&lt;&gt;""""))), LEN(INDEX(FILTER(G$1:G732, G$1:G732&lt;&gt;""""),COUNTA(FILTER(G$1:G732, G$1:G732&lt;&gt;""""))))-1), IF('To Order'!$A733=COLUMNS($A733:G"&amp;"752), G732&amp;RIGHT(INDIRECT(ADDRESS(ROW(G733)-1, 'From Order'!$A733)), 1), G732))"),"DTRLRQPDSSGHWQPBCVDRWTDJLBSGDT")</f>
        <v>DTRLRQPDSSGHWQPBCVDRWTDJLBSGDT</v>
      </c>
      <c r="H733" s="2" t="str">
        <f>IFERROR(__xludf.DUMMYFUNCTION("IF('From Order'!$A733=COLUMNS($A733:H752), LEFT(INDEX(FILTER(H$1:H732, H$1:H732&lt;&gt;""""),COUNTA(FILTER(H$1:H732, H$1:H732&lt;&gt;""""))), LEN(INDEX(FILTER(H$1:H732, H$1:H732&lt;&gt;""""),COUNTA(FILTER(H$1:H732, H$1:H732&lt;&gt;""""))))-1), IF('To Order'!$A733=COLUMNS($A733:H"&amp;"752), H732&amp;RIGHT(INDIRECT(ADDRESS(ROW(H733)-1, 'From Order'!$A733)), 1), H732))"),"")</f>
        <v/>
      </c>
      <c r="I733" s="2" t="str">
        <f>IFERROR(__xludf.DUMMYFUNCTION("IF('From Order'!$A733=COLUMNS($A733:I752), LEFT(INDEX(FILTER(I$1:I732, I$1:I732&lt;&gt;""""),COUNTA(FILTER(I$1:I732, I$1:I732&lt;&gt;""""))), LEN(INDEX(FILTER(I$1:I732, I$1:I732&lt;&gt;""""),COUNTA(FILTER(I$1:I732, I$1:I732&lt;&gt;""""))))-1), IF('To Order'!$A733=COLUMNS($A733:I"&amp;"752), I732&amp;RIGHT(INDIRECT(ADDRESS(ROW(I733)-1, 'From Order'!$A733)), 1), I732))"),"VPVRZHMFBBFSL")</f>
        <v>VPVRZHMFBBFSL</v>
      </c>
    </row>
    <row r="734">
      <c r="A734" s="2" t="str">
        <f>IFERROR(__xludf.DUMMYFUNCTION("IF('From Order'!$A734=COLUMNS($A734:A753), LEFT(INDEX(FILTER(A$1:A733, A$1:A733&lt;&gt;""""),COUNTA(FILTER(A$1:A733, A$1:A733&lt;&gt;""""))), LEN(INDEX(FILTER(A$1:A733, A$1:A733&lt;&gt;""""),COUNTA(FILTER(A$1:A733, A$1:A733&lt;&gt;""""))))-1), IF('To Order'!$A734=COLUMNS($A734:A"&amp;"753), A733&amp;RIGHT(INDIRECT(ADDRESS(ROW(A734)-1, 'From Order'!$A734)), 1), A733))"),"")</f>
        <v/>
      </c>
      <c r="B734" s="2" t="str">
        <f>IFERROR(__xludf.DUMMYFUNCTION("IF('From Order'!$A734=COLUMNS($A734:B753), LEFT(INDEX(FILTER(B$1:B733, B$1:B733&lt;&gt;""""),COUNTA(FILTER(B$1:B733, B$1:B733&lt;&gt;""""))), LEN(INDEX(FILTER(B$1:B733, B$1:B733&lt;&gt;""""),COUNTA(FILTER(B$1:B733, B$1:B733&lt;&gt;""""))))-1), IF('To Order'!$A734=COLUMNS($A734:B"&amp;"753), B733&amp;RIGHT(INDIRECT(ADDRESS(ROW(B734)-1, 'From Order'!$A734)), 1), B733))"),"JZRD")</f>
        <v>JZRD</v>
      </c>
      <c r="C734" s="2" t="str">
        <f>IFERROR(__xludf.DUMMYFUNCTION("IF('From Order'!$A734=COLUMNS($A734:C753), LEFT(INDEX(FILTER(C$1:C733, C$1:C733&lt;&gt;""""),COUNTA(FILTER(C$1:C733, C$1:C733&lt;&gt;""""))), LEN(INDEX(FILTER(C$1:C733, C$1:C733&lt;&gt;""""),COUNTA(FILTER(C$1:C733, C$1:C733&lt;&gt;""""))))-1), IF('To Order'!$A734=COLUMNS($A734:C"&amp;"753), C733&amp;RIGHT(INDIRECT(ADDRESS(ROW(C734)-1, 'From Order'!$A734)), 1), C733))"),"TJC")</f>
        <v>TJC</v>
      </c>
      <c r="D734" s="2" t="str">
        <f>IFERROR(__xludf.DUMMYFUNCTION("IF('From Order'!$A734=COLUMNS($A734:D753), LEFT(INDEX(FILTER(D$1:D733, D$1:D733&lt;&gt;""""),COUNTA(FILTER(D$1:D733, D$1:D733&lt;&gt;""""))), LEN(INDEX(FILTER(D$1:D733, D$1:D733&lt;&gt;""""),COUNTA(FILTER(D$1:D733, D$1:D733&lt;&gt;""""))))-1), IF('To Order'!$A734=COLUMNS($A734:D"&amp;"753), D733&amp;RIGHT(INDIRECT(ADDRESS(ROW(D734)-1, 'From Order'!$A734)), 1), D733))"),"TMZM")</f>
        <v>TMZM</v>
      </c>
      <c r="E734" s="2" t="str">
        <f>IFERROR(__xludf.DUMMYFUNCTION("IF('From Order'!$A734=COLUMNS($A734:E753), LEFT(INDEX(FILTER(E$1:E733, E$1:E733&lt;&gt;""""),COUNTA(FILTER(E$1:E733, E$1:E733&lt;&gt;""""))), LEN(INDEX(FILTER(E$1:E733, E$1:E733&lt;&gt;""""),COUNTA(FILTER(E$1:E733, E$1:E733&lt;&gt;""""))))-1), IF('To Order'!$A734=COLUMNS($A734:E"&amp;"753), E733&amp;RIGHT(INDIRECT(ADDRESS(ROW(E734)-1, 'From Order'!$A734)), 1), E733))"),"CT")</f>
        <v>CT</v>
      </c>
      <c r="F734" s="2" t="str">
        <f>IFERROR(__xludf.DUMMYFUNCTION("IF('From Order'!$A734=COLUMNS($A734:F753), LEFT(INDEX(FILTER(F$1:F733, F$1:F733&lt;&gt;""""),COUNTA(FILTER(F$1:F733, F$1:F733&lt;&gt;""""))), LEN(INDEX(FILTER(F$1:F733, F$1:F733&lt;&gt;""""),COUNTA(FILTER(F$1:F733, F$1:F733&lt;&gt;""""))))-1), IF('To Order'!$A734=COLUMNS($A734:F"&amp;"753), F733&amp;RIGHT(INDIRECT(ADDRESS(ROW(F734)-1, 'From Order'!$A734)), 1), F733))"),"")</f>
        <v/>
      </c>
      <c r="G734" s="2" t="str">
        <f>IFERROR(__xludf.DUMMYFUNCTION("IF('From Order'!$A734=COLUMNS($A734:G753), LEFT(INDEX(FILTER(G$1:G733, G$1:G733&lt;&gt;""""),COUNTA(FILTER(G$1:G733, G$1:G733&lt;&gt;""""))), LEN(INDEX(FILTER(G$1:G733, G$1:G733&lt;&gt;""""),COUNTA(FILTER(G$1:G733, G$1:G733&lt;&gt;""""))))-1), IF('To Order'!$A734=COLUMNS($A734:G"&amp;"753), G733&amp;RIGHT(INDIRECT(ADDRESS(ROW(G734)-1, 'From Order'!$A734)), 1), G733))"),"DTRLRQPDSSGHWQPBCVDRWTDJLBSGDTL")</f>
        <v>DTRLRQPDSSGHWQPBCVDRWTDJLBSGDTL</v>
      </c>
      <c r="H734" s="2" t="str">
        <f>IFERROR(__xludf.DUMMYFUNCTION("IF('From Order'!$A734=COLUMNS($A734:H753), LEFT(INDEX(FILTER(H$1:H733, H$1:H733&lt;&gt;""""),COUNTA(FILTER(H$1:H733, H$1:H733&lt;&gt;""""))), LEN(INDEX(FILTER(H$1:H733, H$1:H733&lt;&gt;""""),COUNTA(FILTER(H$1:H733, H$1:H733&lt;&gt;""""))))-1), IF('To Order'!$A734=COLUMNS($A734:H"&amp;"753), H733&amp;RIGHT(INDIRECT(ADDRESS(ROW(H734)-1, 'From Order'!$A734)), 1), H733))"),"")</f>
        <v/>
      </c>
      <c r="I734" s="2" t="str">
        <f>IFERROR(__xludf.DUMMYFUNCTION("IF('From Order'!$A734=COLUMNS($A734:I753), LEFT(INDEX(FILTER(I$1:I733, I$1:I733&lt;&gt;""""),COUNTA(FILTER(I$1:I733, I$1:I733&lt;&gt;""""))), LEN(INDEX(FILTER(I$1:I733, I$1:I733&lt;&gt;""""),COUNTA(FILTER(I$1:I733, I$1:I733&lt;&gt;""""))))-1), IF('To Order'!$A734=COLUMNS($A734:I"&amp;"753), I733&amp;RIGHT(INDIRECT(ADDRESS(ROW(I734)-1, 'From Order'!$A734)), 1), I733))"),"VPVRZHMFBBFS")</f>
        <v>VPVRZHMFBBFS</v>
      </c>
    </row>
    <row r="735">
      <c r="A735" s="2" t="str">
        <f>IFERROR(__xludf.DUMMYFUNCTION("IF('From Order'!$A735=COLUMNS($A735:A754), LEFT(INDEX(FILTER(A$1:A734, A$1:A734&lt;&gt;""""),COUNTA(FILTER(A$1:A734, A$1:A734&lt;&gt;""""))), LEN(INDEX(FILTER(A$1:A734, A$1:A734&lt;&gt;""""),COUNTA(FILTER(A$1:A734, A$1:A734&lt;&gt;""""))))-1), IF('To Order'!$A735=COLUMNS($A735:A"&amp;"754), A734&amp;RIGHT(INDIRECT(ADDRESS(ROW(A735)-1, 'From Order'!$A735)), 1), A734))"),"")</f>
        <v/>
      </c>
      <c r="B735" s="2" t="str">
        <f>IFERROR(__xludf.DUMMYFUNCTION("IF('From Order'!$A735=COLUMNS($A735:B754), LEFT(INDEX(FILTER(B$1:B734, B$1:B734&lt;&gt;""""),COUNTA(FILTER(B$1:B734, B$1:B734&lt;&gt;""""))), LEN(INDEX(FILTER(B$1:B734, B$1:B734&lt;&gt;""""),COUNTA(FILTER(B$1:B734, B$1:B734&lt;&gt;""""))))-1), IF('To Order'!$A735=COLUMNS($A735:B"&amp;"754), B734&amp;RIGHT(INDIRECT(ADDRESS(ROW(B735)-1, 'From Order'!$A735)), 1), B734))"),"JZRD")</f>
        <v>JZRD</v>
      </c>
      <c r="C735" s="2" t="str">
        <f>IFERROR(__xludf.DUMMYFUNCTION("IF('From Order'!$A735=COLUMNS($A735:C754), LEFT(INDEX(FILTER(C$1:C734, C$1:C734&lt;&gt;""""),COUNTA(FILTER(C$1:C734, C$1:C734&lt;&gt;""""))), LEN(INDEX(FILTER(C$1:C734, C$1:C734&lt;&gt;""""),COUNTA(FILTER(C$1:C734, C$1:C734&lt;&gt;""""))))-1), IF('To Order'!$A735=COLUMNS($A735:C"&amp;"754), C734&amp;RIGHT(INDIRECT(ADDRESS(ROW(C735)-1, 'From Order'!$A735)), 1), C734))"),"TJC")</f>
        <v>TJC</v>
      </c>
      <c r="D735" s="2" t="str">
        <f>IFERROR(__xludf.DUMMYFUNCTION("IF('From Order'!$A735=COLUMNS($A735:D754), LEFT(INDEX(FILTER(D$1:D734, D$1:D734&lt;&gt;""""),COUNTA(FILTER(D$1:D734, D$1:D734&lt;&gt;""""))), LEN(INDEX(FILTER(D$1:D734, D$1:D734&lt;&gt;""""),COUNTA(FILTER(D$1:D734, D$1:D734&lt;&gt;""""))))-1), IF('To Order'!$A735=COLUMNS($A735:D"&amp;"754), D734&amp;RIGHT(INDIRECT(ADDRESS(ROW(D735)-1, 'From Order'!$A735)), 1), D734))"),"TMZM")</f>
        <v>TMZM</v>
      </c>
      <c r="E735" s="2" t="str">
        <f>IFERROR(__xludf.DUMMYFUNCTION("IF('From Order'!$A735=COLUMNS($A735:E754), LEFT(INDEX(FILTER(E$1:E734, E$1:E734&lt;&gt;""""),COUNTA(FILTER(E$1:E734, E$1:E734&lt;&gt;""""))), LEN(INDEX(FILTER(E$1:E734, E$1:E734&lt;&gt;""""),COUNTA(FILTER(E$1:E734, E$1:E734&lt;&gt;""""))))-1), IF('To Order'!$A735=COLUMNS($A735:E"&amp;"754), E734&amp;RIGHT(INDIRECT(ADDRESS(ROW(E735)-1, 'From Order'!$A735)), 1), E734))"),"CT")</f>
        <v>CT</v>
      </c>
      <c r="F735" s="2" t="str">
        <f>IFERROR(__xludf.DUMMYFUNCTION("IF('From Order'!$A735=COLUMNS($A735:F754), LEFT(INDEX(FILTER(F$1:F734, F$1:F734&lt;&gt;""""),COUNTA(FILTER(F$1:F734, F$1:F734&lt;&gt;""""))), LEN(INDEX(FILTER(F$1:F734, F$1:F734&lt;&gt;""""),COUNTA(FILTER(F$1:F734, F$1:F734&lt;&gt;""""))))-1), IF('To Order'!$A735=COLUMNS($A735:F"&amp;"754), F734&amp;RIGHT(INDIRECT(ADDRESS(ROW(F735)-1, 'From Order'!$A735)), 1), F734))"),"")</f>
        <v/>
      </c>
      <c r="G735" s="2" t="str">
        <f>IFERROR(__xludf.DUMMYFUNCTION("IF('From Order'!$A735=COLUMNS($A735:G754), LEFT(INDEX(FILTER(G$1:G734, G$1:G734&lt;&gt;""""),COUNTA(FILTER(G$1:G734, G$1:G734&lt;&gt;""""))), LEN(INDEX(FILTER(G$1:G734, G$1:G734&lt;&gt;""""),COUNTA(FILTER(G$1:G734, G$1:G734&lt;&gt;""""))))-1), IF('To Order'!$A735=COLUMNS($A735:G"&amp;"754), G734&amp;RIGHT(INDIRECT(ADDRESS(ROW(G735)-1, 'From Order'!$A735)), 1), G734))"),"DTRLRQPDSSGHWQPBCVDRWTDJLBSGDTLS")</f>
        <v>DTRLRQPDSSGHWQPBCVDRWTDJLBSGDTLS</v>
      </c>
      <c r="H735" s="2" t="str">
        <f>IFERROR(__xludf.DUMMYFUNCTION("IF('From Order'!$A735=COLUMNS($A735:H754), LEFT(INDEX(FILTER(H$1:H734, H$1:H734&lt;&gt;""""),COUNTA(FILTER(H$1:H734, H$1:H734&lt;&gt;""""))), LEN(INDEX(FILTER(H$1:H734, H$1:H734&lt;&gt;""""),COUNTA(FILTER(H$1:H734, H$1:H734&lt;&gt;""""))))-1), IF('To Order'!$A735=COLUMNS($A735:H"&amp;"754), H734&amp;RIGHT(INDIRECT(ADDRESS(ROW(H735)-1, 'From Order'!$A735)), 1), H734))"),"")</f>
        <v/>
      </c>
      <c r="I735" s="2" t="str">
        <f>IFERROR(__xludf.DUMMYFUNCTION("IF('From Order'!$A735=COLUMNS($A735:I754), LEFT(INDEX(FILTER(I$1:I734, I$1:I734&lt;&gt;""""),COUNTA(FILTER(I$1:I734, I$1:I734&lt;&gt;""""))), LEN(INDEX(FILTER(I$1:I734, I$1:I734&lt;&gt;""""),COUNTA(FILTER(I$1:I734, I$1:I734&lt;&gt;""""))))-1), IF('To Order'!$A735=COLUMNS($A735:I"&amp;"754), I734&amp;RIGHT(INDIRECT(ADDRESS(ROW(I735)-1, 'From Order'!$A735)), 1), I734))"),"VPVRZHMFBBF")</f>
        <v>VPVRZHMFBBF</v>
      </c>
    </row>
    <row r="736">
      <c r="A736" s="2" t="str">
        <f>IFERROR(__xludf.DUMMYFUNCTION("IF('From Order'!$A736=COLUMNS($A736:A755), LEFT(INDEX(FILTER(A$1:A735, A$1:A735&lt;&gt;""""),COUNTA(FILTER(A$1:A735, A$1:A735&lt;&gt;""""))), LEN(INDEX(FILTER(A$1:A735, A$1:A735&lt;&gt;""""),COUNTA(FILTER(A$1:A735, A$1:A735&lt;&gt;""""))))-1), IF('To Order'!$A736=COLUMNS($A736:A"&amp;"755), A735&amp;RIGHT(INDIRECT(ADDRESS(ROW(A736)-1, 'From Order'!$A736)), 1), A735))"),"")</f>
        <v/>
      </c>
      <c r="B736" s="2" t="str">
        <f>IFERROR(__xludf.DUMMYFUNCTION("IF('From Order'!$A736=COLUMNS($A736:B755), LEFT(INDEX(FILTER(B$1:B735, B$1:B735&lt;&gt;""""),COUNTA(FILTER(B$1:B735, B$1:B735&lt;&gt;""""))), LEN(INDEX(FILTER(B$1:B735, B$1:B735&lt;&gt;""""),COUNTA(FILTER(B$1:B735, B$1:B735&lt;&gt;""""))))-1), IF('To Order'!$A736=COLUMNS($A736:B"&amp;"755), B735&amp;RIGHT(INDIRECT(ADDRESS(ROW(B736)-1, 'From Order'!$A736)), 1), B735))"),"JZRD")</f>
        <v>JZRD</v>
      </c>
      <c r="C736" s="2" t="str">
        <f>IFERROR(__xludf.DUMMYFUNCTION("IF('From Order'!$A736=COLUMNS($A736:C755), LEFT(INDEX(FILTER(C$1:C735, C$1:C735&lt;&gt;""""),COUNTA(FILTER(C$1:C735, C$1:C735&lt;&gt;""""))), LEN(INDEX(FILTER(C$1:C735, C$1:C735&lt;&gt;""""),COUNTA(FILTER(C$1:C735, C$1:C735&lt;&gt;""""))))-1), IF('To Order'!$A736=COLUMNS($A736:C"&amp;"755), C735&amp;RIGHT(INDIRECT(ADDRESS(ROW(C736)-1, 'From Order'!$A736)), 1), C735))"),"TJC")</f>
        <v>TJC</v>
      </c>
      <c r="D736" s="2" t="str">
        <f>IFERROR(__xludf.DUMMYFUNCTION("IF('From Order'!$A736=COLUMNS($A736:D755), LEFT(INDEX(FILTER(D$1:D735, D$1:D735&lt;&gt;""""),COUNTA(FILTER(D$1:D735, D$1:D735&lt;&gt;""""))), LEN(INDEX(FILTER(D$1:D735, D$1:D735&lt;&gt;""""),COUNTA(FILTER(D$1:D735, D$1:D735&lt;&gt;""""))))-1), IF('To Order'!$A736=COLUMNS($A736:D"&amp;"755), D735&amp;RIGHT(INDIRECT(ADDRESS(ROW(D736)-1, 'From Order'!$A736)), 1), D735))"),"TMZM")</f>
        <v>TMZM</v>
      </c>
      <c r="E736" s="2" t="str">
        <f>IFERROR(__xludf.DUMMYFUNCTION("IF('From Order'!$A736=COLUMNS($A736:E755), LEFT(INDEX(FILTER(E$1:E735, E$1:E735&lt;&gt;""""),COUNTA(FILTER(E$1:E735, E$1:E735&lt;&gt;""""))), LEN(INDEX(FILTER(E$1:E735, E$1:E735&lt;&gt;""""),COUNTA(FILTER(E$1:E735, E$1:E735&lt;&gt;""""))))-1), IF('To Order'!$A736=COLUMNS($A736:E"&amp;"755), E735&amp;RIGHT(INDIRECT(ADDRESS(ROW(E736)-1, 'From Order'!$A736)), 1), E735))"),"CT")</f>
        <v>CT</v>
      </c>
      <c r="F736" s="2" t="str">
        <f>IFERROR(__xludf.DUMMYFUNCTION("IF('From Order'!$A736=COLUMNS($A736:F755), LEFT(INDEX(FILTER(F$1:F735, F$1:F735&lt;&gt;""""),COUNTA(FILTER(F$1:F735, F$1:F735&lt;&gt;""""))), LEN(INDEX(FILTER(F$1:F735, F$1:F735&lt;&gt;""""),COUNTA(FILTER(F$1:F735, F$1:F735&lt;&gt;""""))))-1), IF('To Order'!$A736=COLUMNS($A736:F"&amp;"755), F735&amp;RIGHT(INDIRECT(ADDRESS(ROW(F736)-1, 'From Order'!$A736)), 1), F735))"),"")</f>
        <v/>
      </c>
      <c r="G736" s="2" t="str">
        <f>IFERROR(__xludf.DUMMYFUNCTION("IF('From Order'!$A736=COLUMNS($A736:G755), LEFT(INDEX(FILTER(G$1:G735, G$1:G735&lt;&gt;""""),COUNTA(FILTER(G$1:G735, G$1:G735&lt;&gt;""""))), LEN(INDEX(FILTER(G$1:G735, G$1:G735&lt;&gt;""""),COUNTA(FILTER(G$1:G735, G$1:G735&lt;&gt;""""))))-1), IF('To Order'!$A736=COLUMNS($A736:G"&amp;"755), G735&amp;RIGHT(INDIRECT(ADDRESS(ROW(G736)-1, 'From Order'!$A736)), 1), G735))"),"DTRLRQPDSSGHWQPBCVDRWTDJLBSGDTLSF")</f>
        <v>DTRLRQPDSSGHWQPBCVDRWTDJLBSGDTLSF</v>
      </c>
      <c r="H736" s="2" t="str">
        <f>IFERROR(__xludf.DUMMYFUNCTION("IF('From Order'!$A736=COLUMNS($A736:H755), LEFT(INDEX(FILTER(H$1:H735, H$1:H735&lt;&gt;""""),COUNTA(FILTER(H$1:H735, H$1:H735&lt;&gt;""""))), LEN(INDEX(FILTER(H$1:H735, H$1:H735&lt;&gt;""""),COUNTA(FILTER(H$1:H735, H$1:H735&lt;&gt;""""))))-1), IF('To Order'!$A736=COLUMNS($A736:H"&amp;"755), H735&amp;RIGHT(INDIRECT(ADDRESS(ROW(H736)-1, 'From Order'!$A736)), 1), H735))"),"")</f>
        <v/>
      </c>
      <c r="I736" s="2" t="str">
        <f>IFERROR(__xludf.DUMMYFUNCTION("IF('From Order'!$A736=COLUMNS($A736:I755), LEFT(INDEX(FILTER(I$1:I735, I$1:I735&lt;&gt;""""),COUNTA(FILTER(I$1:I735, I$1:I735&lt;&gt;""""))), LEN(INDEX(FILTER(I$1:I735, I$1:I735&lt;&gt;""""),COUNTA(FILTER(I$1:I735, I$1:I735&lt;&gt;""""))))-1), IF('To Order'!$A736=COLUMNS($A736:I"&amp;"755), I735&amp;RIGHT(INDIRECT(ADDRESS(ROW(I736)-1, 'From Order'!$A736)), 1), I735))"),"VPVRZHMFBB")</f>
        <v>VPVRZHMFBB</v>
      </c>
    </row>
    <row r="737">
      <c r="A737" s="2" t="str">
        <f>IFERROR(__xludf.DUMMYFUNCTION("IF('From Order'!$A737=COLUMNS($A737:A756), LEFT(INDEX(FILTER(A$1:A736, A$1:A736&lt;&gt;""""),COUNTA(FILTER(A$1:A736, A$1:A736&lt;&gt;""""))), LEN(INDEX(FILTER(A$1:A736, A$1:A736&lt;&gt;""""),COUNTA(FILTER(A$1:A736, A$1:A736&lt;&gt;""""))))-1), IF('To Order'!$A737=COLUMNS($A737:A"&amp;"756), A736&amp;RIGHT(INDIRECT(ADDRESS(ROW(A737)-1, 'From Order'!$A737)), 1), A736))"),"")</f>
        <v/>
      </c>
      <c r="B737" s="2" t="str">
        <f>IFERROR(__xludf.DUMMYFUNCTION("IF('From Order'!$A737=COLUMNS($A737:B756), LEFT(INDEX(FILTER(B$1:B736, B$1:B736&lt;&gt;""""),COUNTA(FILTER(B$1:B736, B$1:B736&lt;&gt;""""))), LEN(INDEX(FILTER(B$1:B736, B$1:B736&lt;&gt;""""),COUNTA(FILTER(B$1:B736, B$1:B736&lt;&gt;""""))))-1), IF('To Order'!$A737=COLUMNS($A737:B"&amp;"756), B736&amp;RIGHT(INDIRECT(ADDRESS(ROW(B737)-1, 'From Order'!$A737)), 1), B736))"),"JZRD")</f>
        <v>JZRD</v>
      </c>
      <c r="C737" s="2" t="str">
        <f>IFERROR(__xludf.DUMMYFUNCTION("IF('From Order'!$A737=COLUMNS($A737:C756), LEFT(INDEX(FILTER(C$1:C736, C$1:C736&lt;&gt;""""),COUNTA(FILTER(C$1:C736, C$1:C736&lt;&gt;""""))), LEN(INDEX(FILTER(C$1:C736, C$1:C736&lt;&gt;""""),COUNTA(FILTER(C$1:C736, C$1:C736&lt;&gt;""""))))-1), IF('To Order'!$A737=COLUMNS($A737:C"&amp;"756), C736&amp;RIGHT(INDIRECT(ADDRESS(ROW(C737)-1, 'From Order'!$A737)), 1), C736))"),"TJC")</f>
        <v>TJC</v>
      </c>
      <c r="D737" s="2" t="str">
        <f>IFERROR(__xludf.DUMMYFUNCTION("IF('From Order'!$A737=COLUMNS($A737:D756), LEFT(INDEX(FILTER(D$1:D736, D$1:D736&lt;&gt;""""),COUNTA(FILTER(D$1:D736, D$1:D736&lt;&gt;""""))), LEN(INDEX(FILTER(D$1:D736, D$1:D736&lt;&gt;""""),COUNTA(FILTER(D$1:D736, D$1:D736&lt;&gt;""""))))-1), IF('To Order'!$A737=COLUMNS($A737:D"&amp;"756), D736&amp;RIGHT(INDIRECT(ADDRESS(ROW(D737)-1, 'From Order'!$A737)), 1), D736))"),"TMZM")</f>
        <v>TMZM</v>
      </c>
      <c r="E737" s="2" t="str">
        <f>IFERROR(__xludf.DUMMYFUNCTION("IF('From Order'!$A737=COLUMNS($A737:E756), LEFT(INDEX(FILTER(E$1:E736, E$1:E736&lt;&gt;""""),COUNTA(FILTER(E$1:E736, E$1:E736&lt;&gt;""""))), LEN(INDEX(FILTER(E$1:E736, E$1:E736&lt;&gt;""""),COUNTA(FILTER(E$1:E736, E$1:E736&lt;&gt;""""))))-1), IF('To Order'!$A737=COLUMNS($A737:E"&amp;"756), E736&amp;RIGHT(INDIRECT(ADDRESS(ROW(E737)-1, 'From Order'!$A737)), 1), E736))"),"CT")</f>
        <v>CT</v>
      </c>
      <c r="F737" s="2" t="str">
        <f>IFERROR(__xludf.DUMMYFUNCTION("IF('From Order'!$A737=COLUMNS($A737:F756), LEFT(INDEX(FILTER(F$1:F736, F$1:F736&lt;&gt;""""),COUNTA(FILTER(F$1:F736, F$1:F736&lt;&gt;""""))), LEN(INDEX(FILTER(F$1:F736, F$1:F736&lt;&gt;""""),COUNTA(FILTER(F$1:F736, F$1:F736&lt;&gt;""""))))-1), IF('To Order'!$A737=COLUMNS($A737:F"&amp;"756), F736&amp;RIGHT(INDIRECT(ADDRESS(ROW(F737)-1, 'From Order'!$A737)), 1), F736))"),"")</f>
        <v/>
      </c>
      <c r="G737" s="2" t="str">
        <f>IFERROR(__xludf.DUMMYFUNCTION("IF('From Order'!$A737=COLUMNS($A737:G756), LEFT(INDEX(FILTER(G$1:G736, G$1:G736&lt;&gt;""""),COUNTA(FILTER(G$1:G736, G$1:G736&lt;&gt;""""))), LEN(INDEX(FILTER(G$1:G736, G$1:G736&lt;&gt;""""),COUNTA(FILTER(G$1:G736, G$1:G736&lt;&gt;""""))))-1), IF('To Order'!$A737=COLUMNS($A737:G"&amp;"756), G736&amp;RIGHT(INDIRECT(ADDRESS(ROW(G737)-1, 'From Order'!$A737)), 1), G736))"),"DTRLRQPDSSGHWQPBCVDRWTDJLBSGDTLSFB")</f>
        <v>DTRLRQPDSSGHWQPBCVDRWTDJLBSGDTLSFB</v>
      </c>
      <c r="H737" s="2" t="str">
        <f>IFERROR(__xludf.DUMMYFUNCTION("IF('From Order'!$A737=COLUMNS($A737:H756), LEFT(INDEX(FILTER(H$1:H736, H$1:H736&lt;&gt;""""),COUNTA(FILTER(H$1:H736, H$1:H736&lt;&gt;""""))), LEN(INDEX(FILTER(H$1:H736, H$1:H736&lt;&gt;""""),COUNTA(FILTER(H$1:H736, H$1:H736&lt;&gt;""""))))-1), IF('To Order'!$A737=COLUMNS($A737:H"&amp;"756), H736&amp;RIGHT(INDIRECT(ADDRESS(ROW(H737)-1, 'From Order'!$A737)), 1), H736))"),"")</f>
        <v/>
      </c>
      <c r="I737" s="2" t="str">
        <f>IFERROR(__xludf.DUMMYFUNCTION("IF('From Order'!$A737=COLUMNS($A737:I756), LEFT(INDEX(FILTER(I$1:I736, I$1:I736&lt;&gt;""""),COUNTA(FILTER(I$1:I736, I$1:I736&lt;&gt;""""))), LEN(INDEX(FILTER(I$1:I736, I$1:I736&lt;&gt;""""),COUNTA(FILTER(I$1:I736, I$1:I736&lt;&gt;""""))))-1), IF('To Order'!$A737=COLUMNS($A737:I"&amp;"756), I736&amp;RIGHT(INDIRECT(ADDRESS(ROW(I737)-1, 'From Order'!$A737)), 1), I736))"),"VPVRZHMFB")</f>
        <v>VPVRZHMFB</v>
      </c>
    </row>
    <row r="738">
      <c r="A738" s="2" t="str">
        <f>IFERROR(__xludf.DUMMYFUNCTION("IF('From Order'!$A738=COLUMNS($A738:A757), LEFT(INDEX(FILTER(A$1:A737, A$1:A737&lt;&gt;""""),COUNTA(FILTER(A$1:A737, A$1:A737&lt;&gt;""""))), LEN(INDEX(FILTER(A$1:A737, A$1:A737&lt;&gt;""""),COUNTA(FILTER(A$1:A737, A$1:A737&lt;&gt;""""))))-1), IF('To Order'!$A738=COLUMNS($A738:A"&amp;"757), A737&amp;RIGHT(INDIRECT(ADDRESS(ROW(A738)-1, 'From Order'!$A738)), 1), A737))"),"")</f>
        <v/>
      </c>
      <c r="B738" s="2" t="str">
        <f>IFERROR(__xludf.DUMMYFUNCTION("IF('From Order'!$A738=COLUMNS($A738:B757), LEFT(INDEX(FILTER(B$1:B737, B$1:B737&lt;&gt;""""),COUNTA(FILTER(B$1:B737, B$1:B737&lt;&gt;""""))), LEN(INDEX(FILTER(B$1:B737, B$1:B737&lt;&gt;""""),COUNTA(FILTER(B$1:B737, B$1:B737&lt;&gt;""""))))-1), IF('To Order'!$A738=COLUMNS($A738:B"&amp;"757), B737&amp;RIGHT(INDIRECT(ADDRESS(ROW(B738)-1, 'From Order'!$A738)), 1), B737))"),"JZRD")</f>
        <v>JZRD</v>
      </c>
      <c r="C738" s="2" t="str">
        <f>IFERROR(__xludf.DUMMYFUNCTION("IF('From Order'!$A738=COLUMNS($A738:C757), LEFT(INDEX(FILTER(C$1:C737, C$1:C737&lt;&gt;""""),COUNTA(FILTER(C$1:C737, C$1:C737&lt;&gt;""""))), LEN(INDEX(FILTER(C$1:C737, C$1:C737&lt;&gt;""""),COUNTA(FILTER(C$1:C737, C$1:C737&lt;&gt;""""))))-1), IF('To Order'!$A738=COLUMNS($A738:C"&amp;"757), C737&amp;RIGHT(INDIRECT(ADDRESS(ROW(C738)-1, 'From Order'!$A738)), 1), C737))"),"TJC")</f>
        <v>TJC</v>
      </c>
      <c r="D738" s="2" t="str">
        <f>IFERROR(__xludf.DUMMYFUNCTION("IF('From Order'!$A738=COLUMNS($A738:D757), LEFT(INDEX(FILTER(D$1:D737, D$1:D737&lt;&gt;""""),COUNTA(FILTER(D$1:D737, D$1:D737&lt;&gt;""""))), LEN(INDEX(FILTER(D$1:D737, D$1:D737&lt;&gt;""""),COUNTA(FILTER(D$1:D737, D$1:D737&lt;&gt;""""))))-1), IF('To Order'!$A738=COLUMNS($A738:D"&amp;"757), D737&amp;RIGHT(INDIRECT(ADDRESS(ROW(D738)-1, 'From Order'!$A738)), 1), D737))"),"TMZM")</f>
        <v>TMZM</v>
      </c>
      <c r="E738" s="2" t="str">
        <f>IFERROR(__xludf.DUMMYFUNCTION("IF('From Order'!$A738=COLUMNS($A738:E757), LEFT(INDEX(FILTER(E$1:E737, E$1:E737&lt;&gt;""""),COUNTA(FILTER(E$1:E737, E$1:E737&lt;&gt;""""))), LEN(INDEX(FILTER(E$1:E737, E$1:E737&lt;&gt;""""),COUNTA(FILTER(E$1:E737, E$1:E737&lt;&gt;""""))))-1), IF('To Order'!$A738=COLUMNS($A738:E"&amp;"757), E737&amp;RIGHT(INDIRECT(ADDRESS(ROW(E738)-1, 'From Order'!$A738)), 1), E737))"),"CT")</f>
        <v>CT</v>
      </c>
      <c r="F738" s="2" t="str">
        <f>IFERROR(__xludf.DUMMYFUNCTION("IF('From Order'!$A738=COLUMNS($A738:F757), LEFT(INDEX(FILTER(F$1:F737, F$1:F737&lt;&gt;""""),COUNTA(FILTER(F$1:F737, F$1:F737&lt;&gt;""""))), LEN(INDEX(FILTER(F$1:F737, F$1:F737&lt;&gt;""""),COUNTA(FILTER(F$1:F737, F$1:F737&lt;&gt;""""))))-1), IF('To Order'!$A738=COLUMNS($A738:F"&amp;"757), F737&amp;RIGHT(INDIRECT(ADDRESS(ROW(F738)-1, 'From Order'!$A738)), 1), F737))"),"")</f>
        <v/>
      </c>
      <c r="G738" s="2" t="str">
        <f>IFERROR(__xludf.DUMMYFUNCTION("IF('From Order'!$A738=COLUMNS($A738:G757), LEFT(INDEX(FILTER(G$1:G737, G$1:G737&lt;&gt;""""),COUNTA(FILTER(G$1:G737, G$1:G737&lt;&gt;""""))), LEN(INDEX(FILTER(G$1:G737, G$1:G737&lt;&gt;""""),COUNTA(FILTER(G$1:G737, G$1:G737&lt;&gt;""""))))-1), IF('To Order'!$A738=COLUMNS($A738:G"&amp;"757), G737&amp;RIGHT(INDIRECT(ADDRESS(ROW(G738)-1, 'From Order'!$A738)), 1), G737))"),"DTRLRQPDSSGHWQPBCVDRWTDJLBSGDTLSFBB")</f>
        <v>DTRLRQPDSSGHWQPBCVDRWTDJLBSGDTLSFBB</v>
      </c>
      <c r="H738" s="2" t="str">
        <f>IFERROR(__xludf.DUMMYFUNCTION("IF('From Order'!$A738=COLUMNS($A738:H757), LEFT(INDEX(FILTER(H$1:H737, H$1:H737&lt;&gt;""""),COUNTA(FILTER(H$1:H737, H$1:H737&lt;&gt;""""))), LEN(INDEX(FILTER(H$1:H737, H$1:H737&lt;&gt;""""),COUNTA(FILTER(H$1:H737, H$1:H737&lt;&gt;""""))))-1), IF('To Order'!$A738=COLUMNS($A738:H"&amp;"757), H737&amp;RIGHT(INDIRECT(ADDRESS(ROW(H738)-1, 'From Order'!$A738)), 1), H737))"),"")</f>
        <v/>
      </c>
      <c r="I738" s="2" t="str">
        <f>IFERROR(__xludf.DUMMYFUNCTION("IF('From Order'!$A738=COLUMNS($A738:I757), LEFT(INDEX(FILTER(I$1:I737, I$1:I737&lt;&gt;""""),COUNTA(FILTER(I$1:I737, I$1:I737&lt;&gt;""""))), LEN(INDEX(FILTER(I$1:I737, I$1:I737&lt;&gt;""""),COUNTA(FILTER(I$1:I737, I$1:I737&lt;&gt;""""))))-1), IF('To Order'!$A738=COLUMNS($A738:I"&amp;"757), I737&amp;RIGHT(INDIRECT(ADDRESS(ROW(I738)-1, 'From Order'!$A738)), 1), I737))"),"VPVRZHMF")</f>
        <v>VPVRZHMF</v>
      </c>
    </row>
    <row r="739">
      <c r="A739" s="2" t="str">
        <f>IFERROR(__xludf.DUMMYFUNCTION("IF('From Order'!$A739=COLUMNS($A739:A758), LEFT(INDEX(FILTER(A$1:A738, A$1:A738&lt;&gt;""""),COUNTA(FILTER(A$1:A738, A$1:A738&lt;&gt;""""))), LEN(INDEX(FILTER(A$1:A738, A$1:A738&lt;&gt;""""),COUNTA(FILTER(A$1:A738, A$1:A738&lt;&gt;""""))))-1), IF('To Order'!$A739=COLUMNS($A739:A"&amp;"758), A738&amp;RIGHT(INDIRECT(ADDRESS(ROW(A739)-1, 'From Order'!$A739)), 1), A738))"),"")</f>
        <v/>
      </c>
      <c r="B739" s="2" t="str">
        <f>IFERROR(__xludf.DUMMYFUNCTION("IF('From Order'!$A739=COLUMNS($A739:B758), LEFT(INDEX(FILTER(B$1:B738, B$1:B738&lt;&gt;""""),COUNTA(FILTER(B$1:B738, B$1:B738&lt;&gt;""""))), LEN(INDEX(FILTER(B$1:B738, B$1:B738&lt;&gt;""""),COUNTA(FILTER(B$1:B738, B$1:B738&lt;&gt;""""))))-1), IF('To Order'!$A739=COLUMNS($A739:B"&amp;"758), B738&amp;RIGHT(INDIRECT(ADDRESS(ROW(B739)-1, 'From Order'!$A739)), 1), B738))"),"JZRD")</f>
        <v>JZRD</v>
      </c>
      <c r="C739" s="2" t="str">
        <f>IFERROR(__xludf.DUMMYFUNCTION("IF('From Order'!$A739=COLUMNS($A739:C758), LEFT(INDEX(FILTER(C$1:C738, C$1:C738&lt;&gt;""""),COUNTA(FILTER(C$1:C738, C$1:C738&lt;&gt;""""))), LEN(INDEX(FILTER(C$1:C738, C$1:C738&lt;&gt;""""),COUNTA(FILTER(C$1:C738, C$1:C738&lt;&gt;""""))))-1), IF('To Order'!$A739=COLUMNS($A739:C"&amp;"758), C738&amp;RIGHT(INDIRECT(ADDRESS(ROW(C739)-1, 'From Order'!$A739)), 1), C738))"),"TJC")</f>
        <v>TJC</v>
      </c>
      <c r="D739" s="2" t="str">
        <f>IFERROR(__xludf.DUMMYFUNCTION("IF('From Order'!$A739=COLUMNS($A739:D758), LEFT(INDEX(FILTER(D$1:D738, D$1:D738&lt;&gt;""""),COUNTA(FILTER(D$1:D738, D$1:D738&lt;&gt;""""))), LEN(INDEX(FILTER(D$1:D738, D$1:D738&lt;&gt;""""),COUNTA(FILTER(D$1:D738, D$1:D738&lt;&gt;""""))))-1), IF('To Order'!$A739=COLUMNS($A739:D"&amp;"758), D738&amp;RIGHT(INDIRECT(ADDRESS(ROW(D739)-1, 'From Order'!$A739)), 1), D738))"),"TMZM")</f>
        <v>TMZM</v>
      </c>
      <c r="E739" s="2" t="str">
        <f>IFERROR(__xludf.DUMMYFUNCTION("IF('From Order'!$A739=COLUMNS($A739:E758), LEFT(INDEX(FILTER(E$1:E738, E$1:E738&lt;&gt;""""),COUNTA(FILTER(E$1:E738, E$1:E738&lt;&gt;""""))), LEN(INDEX(FILTER(E$1:E738, E$1:E738&lt;&gt;""""),COUNTA(FILTER(E$1:E738, E$1:E738&lt;&gt;""""))))-1), IF('To Order'!$A739=COLUMNS($A739:E"&amp;"758), E738&amp;RIGHT(INDIRECT(ADDRESS(ROW(E739)-1, 'From Order'!$A739)), 1), E738))"),"CT")</f>
        <v>CT</v>
      </c>
      <c r="F739" s="2" t="str">
        <f>IFERROR(__xludf.DUMMYFUNCTION("IF('From Order'!$A739=COLUMNS($A739:F758), LEFT(INDEX(FILTER(F$1:F738, F$1:F738&lt;&gt;""""),COUNTA(FILTER(F$1:F738, F$1:F738&lt;&gt;""""))), LEN(INDEX(FILTER(F$1:F738, F$1:F738&lt;&gt;""""),COUNTA(FILTER(F$1:F738, F$1:F738&lt;&gt;""""))))-1), IF('To Order'!$A739=COLUMNS($A739:F"&amp;"758), F738&amp;RIGHT(INDIRECT(ADDRESS(ROW(F739)-1, 'From Order'!$A739)), 1), F738))"),"")</f>
        <v/>
      </c>
      <c r="G739" s="2" t="str">
        <f>IFERROR(__xludf.DUMMYFUNCTION("IF('From Order'!$A739=COLUMNS($A739:G758), LEFT(INDEX(FILTER(G$1:G738, G$1:G738&lt;&gt;""""),COUNTA(FILTER(G$1:G738, G$1:G738&lt;&gt;""""))), LEN(INDEX(FILTER(G$1:G738, G$1:G738&lt;&gt;""""),COUNTA(FILTER(G$1:G738, G$1:G738&lt;&gt;""""))))-1), IF('To Order'!$A739=COLUMNS($A739:G"&amp;"758), G738&amp;RIGHT(INDIRECT(ADDRESS(ROW(G739)-1, 'From Order'!$A739)), 1), G738))"),"DTRLRQPDSSGHWQPBCVDRWTDJLBSGDTLSFBBF")</f>
        <v>DTRLRQPDSSGHWQPBCVDRWTDJLBSGDTLSFBBF</v>
      </c>
      <c r="H739" s="2" t="str">
        <f>IFERROR(__xludf.DUMMYFUNCTION("IF('From Order'!$A739=COLUMNS($A739:H758), LEFT(INDEX(FILTER(H$1:H738, H$1:H738&lt;&gt;""""),COUNTA(FILTER(H$1:H738, H$1:H738&lt;&gt;""""))), LEN(INDEX(FILTER(H$1:H738, H$1:H738&lt;&gt;""""),COUNTA(FILTER(H$1:H738, H$1:H738&lt;&gt;""""))))-1), IF('To Order'!$A739=COLUMNS($A739:H"&amp;"758), H738&amp;RIGHT(INDIRECT(ADDRESS(ROW(H739)-1, 'From Order'!$A739)), 1), H738))"),"")</f>
        <v/>
      </c>
      <c r="I739" s="2" t="str">
        <f>IFERROR(__xludf.DUMMYFUNCTION("IF('From Order'!$A739=COLUMNS($A739:I758), LEFT(INDEX(FILTER(I$1:I738, I$1:I738&lt;&gt;""""),COUNTA(FILTER(I$1:I738, I$1:I738&lt;&gt;""""))), LEN(INDEX(FILTER(I$1:I738, I$1:I738&lt;&gt;""""),COUNTA(FILTER(I$1:I738, I$1:I738&lt;&gt;""""))))-1), IF('To Order'!$A739=COLUMNS($A739:I"&amp;"758), I738&amp;RIGHT(INDIRECT(ADDRESS(ROW(I739)-1, 'From Order'!$A739)), 1), I738))"),"VPVRZHM")</f>
        <v>VPVRZHM</v>
      </c>
    </row>
    <row r="740">
      <c r="A740" s="2" t="str">
        <f>IFERROR(__xludf.DUMMYFUNCTION("IF('From Order'!$A740=COLUMNS($A740:A759), LEFT(INDEX(FILTER(A$1:A739, A$1:A739&lt;&gt;""""),COUNTA(FILTER(A$1:A739, A$1:A739&lt;&gt;""""))), LEN(INDEX(FILTER(A$1:A739, A$1:A739&lt;&gt;""""),COUNTA(FILTER(A$1:A739, A$1:A739&lt;&gt;""""))))-1), IF('To Order'!$A740=COLUMNS($A740:A"&amp;"759), A739&amp;RIGHT(INDIRECT(ADDRESS(ROW(A740)-1, 'From Order'!$A740)), 1), A739))"),"")</f>
        <v/>
      </c>
      <c r="B740" s="2" t="str">
        <f>IFERROR(__xludf.DUMMYFUNCTION("IF('From Order'!$A740=COLUMNS($A740:B759), LEFT(INDEX(FILTER(B$1:B739, B$1:B739&lt;&gt;""""),COUNTA(FILTER(B$1:B739, B$1:B739&lt;&gt;""""))), LEN(INDEX(FILTER(B$1:B739, B$1:B739&lt;&gt;""""),COUNTA(FILTER(B$1:B739, B$1:B739&lt;&gt;""""))))-1), IF('To Order'!$A740=COLUMNS($A740:B"&amp;"759), B739&amp;RIGHT(INDIRECT(ADDRESS(ROW(B740)-1, 'From Order'!$A740)), 1), B739))"),"JZRD")</f>
        <v>JZRD</v>
      </c>
      <c r="C740" s="2" t="str">
        <f>IFERROR(__xludf.DUMMYFUNCTION("IF('From Order'!$A740=COLUMNS($A740:C759), LEFT(INDEX(FILTER(C$1:C739, C$1:C739&lt;&gt;""""),COUNTA(FILTER(C$1:C739, C$1:C739&lt;&gt;""""))), LEN(INDEX(FILTER(C$1:C739, C$1:C739&lt;&gt;""""),COUNTA(FILTER(C$1:C739, C$1:C739&lt;&gt;""""))))-1), IF('To Order'!$A740=COLUMNS($A740:C"&amp;"759), C739&amp;RIGHT(INDIRECT(ADDRESS(ROW(C740)-1, 'From Order'!$A740)), 1), C739))"),"TJC")</f>
        <v>TJC</v>
      </c>
      <c r="D740" s="2" t="str">
        <f>IFERROR(__xludf.DUMMYFUNCTION("IF('From Order'!$A740=COLUMNS($A740:D759), LEFT(INDEX(FILTER(D$1:D739, D$1:D739&lt;&gt;""""),COUNTA(FILTER(D$1:D739, D$1:D739&lt;&gt;""""))), LEN(INDEX(FILTER(D$1:D739, D$1:D739&lt;&gt;""""),COUNTA(FILTER(D$1:D739, D$1:D739&lt;&gt;""""))))-1), IF('To Order'!$A740=COLUMNS($A740:D"&amp;"759), D739&amp;RIGHT(INDIRECT(ADDRESS(ROW(D740)-1, 'From Order'!$A740)), 1), D739))"),"TMZM")</f>
        <v>TMZM</v>
      </c>
      <c r="E740" s="2" t="str">
        <f>IFERROR(__xludf.DUMMYFUNCTION("IF('From Order'!$A740=COLUMNS($A740:E759), LEFT(INDEX(FILTER(E$1:E739, E$1:E739&lt;&gt;""""),COUNTA(FILTER(E$1:E739, E$1:E739&lt;&gt;""""))), LEN(INDEX(FILTER(E$1:E739, E$1:E739&lt;&gt;""""),COUNTA(FILTER(E$1:E739, E$1:E739&lt;&gt;""""))))-1), IF('To Order'!$A740=COLUMNS($A740:E"&amp;"759), E739&amp;RIGHT(INDIRECT(ADDRESS(ROW(E740)-1, 'From Order'!$A740)), 1), E739))"),"CT")</f>
        <v>CT</v>
      </c>
      <c r="F740" s="2" t="str">
        <f>IFERROR(__xludf.DUMMYFUNCTION("IF('From Order'!$A740=COLUMNS($A740:F759), LEFT(INDEX(FILTER(F$1:F739, F$1:F739&lt;&gt;""""),COUNTA(FILTER(F$1:F739, F$1:F739&lt;&gt;""""))), LEN(INDEX(FILTER(F$1:F739, F$1:F739&lt;&gt;""""),COUNTA(FILTER(F$1:F739, F$1:F739&lt;&gt;""""))))-1), IF('To Order'!$A740=COLUMNS($A740:F"&amp;"759), F739&amp;RIGHT(INDIRECT(ADDRESS(ROW(F740)-1, 'From Order'!$A740)), 1), F739))"),"")</f>
        <v/>
      </c>
      <c r="G740" s="2" t="str">
        <f>IFERROR(__xludf.DUMMYFUNCTION("IF('From Order'!$A740=COLUMNS($A740:G759), LEFT(INDEX(FILTER(G$1:G739, G$1:G739&lt;&gt;""""),COUNTA(FILTER(G$1:G739, G$1:G739&lt;&gt;""""))), LEN(INDEX(FILTER(G$1:G739, G$1:G739&lt;&gt;""""),COUNTA(FILTER(G$1:G739, G$1:G739&lt;&gt;""""))))-1), IF('To Order'!$A740=COLUMNS($A740:G"&amp;"759), G739&amp;RIGHT(INDIRECT(ADDRESS(ROW(G740)-1, 'From Order'!$A740)), 1), G739))"),"DTRLRQPDSSGHWQPBCVDRWTDJLBSGDTLSFBBFM")</f>
        <v>DTRLRQPDSSGHWQPBCVDRWTDJLBSGDTLSFBBFM</v>
      </c>
      <c r="H740" s="2" t="str">
        <f>IFERROR(__xludf.DUMMYFUNCTION("IF('From Order'!$A740=COLUMNS($A740:H759), LEFT(INDEX(FILTER(H$1:H739, H$1:H739&lt;&gt;""""),COUNTA(FILTER(H$1:H739, H$1:H739&lt;&gt;""""))), LEN(INDEX(FILTER(H$1:H739, H$1:H739&lt;&gt;""""),COUNTA(FILTER(H$1:H739, H$1:H739&lt;&gt;""""))))-1), IF('To Order'!$A740=COLUMNS($A740:H"&amp;"759), H739&amp;RIGHT(INDIRECT(ADDRESS(ROW(H740)-1, 'From Order'!$A740)), 1), H739))"),"")</f>
        <v/>
      </c>
      <c r="I740" s="2" t="str">
        <f>IFERROR(__xludf.DUMMYFUNCTION("IF('From Order'!$A740=COLUMNS($A740:I759), LEFT(INDEX(FILTER(I$1:I739, I$1:I739&lt;&gt;""""),COUNTA(FILTER(I$1:I739, I$1:I739&lt;&gt;""""))), LEN(INDEX(FILTER(I$1:I739, I$1:I739&lt;&gt;""""),COUNTA(FILTER(I$1:I739, I$1:I739&lt;&gt;""""))))-1), IF('To Order'!$A740=COLUMNS($A740:I"&amp;"759), I739&amp;RIGHT(INDIRECT(ADDRESS(ROW(I740)-1, 'From Order'!$A740)), 1), I739))"),"VPVRZH")</f>
        <v>VPVRZH</v>
      </c>
    </row>
    <row r="741">
      <c r="A741" s="2" t="str">
        <f>IFERROR(__xludf.DUMMYFUNCTION("IF('From Order'!$A741=COLUMNS($A741:A760), LEFT(INDEX(FILTER(A$1:A740, A$1:A740&lt;&gt;""""),COUNTA(FILTER(A$1:A740, A$1:A740&lt;&gt;""""))), LEN(INDEX(FILTER(A$1:A740, A$1:A740&lt;&gt;""""),COUNTA(FILTER(A$1:A740, A$1:A740&lt;&gt;""""))))-1), IF('To Order'!$A741=COLUMNS($A741:A"&amp;"760), A740&amp;RIGHT(INDIRECT(ADDRESS(ROW(A741)-1, 'From Order'!$A741)), 1), A740))"),"")</f>
        <v/>
      </c>
      <c r="B741" s="2" t="str">
        <f>IFERROR(__xludf.DUMMYFUNCTION("IF('From Order'!$A741=COLUMNS($A741:B760), LEFT(INDEX(FILTER(B$1:B740, B$1:B740&lt;&gt;""""),COUNTA(FILTER(B$1:B740, B$1:B740&lt;&gt;""""))), LEN(INDEX(FILTER(B$1:B740, B$1:B740&lt;&gt;""""),COUNTA(FILTER(B$1:B740, B$1:B740&lt;&gt;""""))))-1), IF('To Order'!$A741=COLUMNS($A741:B"&amp;"760), B740&amp;RIGHT(INDIRECT(ADDRESS(ROW(B741)-1, 'From Order'!$A741)), 1), B740))"),"JZRD")</f>
        <v>JZRD</v>
      </c>
      <c r="C741" s="2" t="str">
        <f>IFERROR(__xludf.DUMMYFUNCTION("IF('From Order'!$A741=COLUMNS($A741:C760), LEFT(INDEX(FILTER(C$1:C740, C$1:C740&lt;&gt;""""),COUNTA(FILTER(C$1:C740, C$1:C740&lt;&gt;""""))), LEN(INDEX(FILTER(C$1:C740, C$1:C740&lt;&gt;""""),COUNTA(FILTER(C$1:C740, C$1:C740&lt;&gt;""""))))-1), IF('To Order'!$A741=COLUMNS($A741:C"&amp;"760), C740&amp;RIGHT(INDIRECT(ADDRESS(ROW(C741)-1, 'From Order'!$A741)), 1), C740))"),"TJC")</f>
        <v>TJC</v>
      </c>
      <c r="D741" s="2" t="str">
        <f>IFERROR(__xludf.DUMMYFUNCTION("IF('From Order'!$A741=COLUMNS($A741:D760), LEFT(INDEX(FILTER(D$1:D740, D$1:D740&lt;&gt;""""),COUNTA(FILTER(D$1:D740, D$1:D740&lt;&gt;""""))), LEN(INDEX(FILTER(D$1:D740, D$1:D740&lt;&gt;""""),COUNTA(FILTER(D$1:D740, D$1:D740&lt;&gt;""""))))-1), IF('To Order'!$A741=COLUMNS($A741:D"&amp;"760), D740&amp;RIGHT(INDIRECT(ADDRESS(ROW(D741)-1, 'From Order'!$A741)), 1), D740))"),"TMZM")</f>
        <v>TMZM</v>
      </c>
      <c r="E741" s="2" t="str">
        <f>IFERROR(__xludf.DUMMYFUNCTION("IF('From Order'!$A741=COLUMNS($A741:E760), LEFT(INDEX(FILTER(E$1:E740, E$1:E740&lt;&gt;""""),COUNTA(FILTER(E$1:E740, E$1:E740&lt;&gt;""""))), LEN(INDEX(FILTER(E$1:E740, E$1:E740&lt;&gt;""""),COUNTA(FILTER(E$1:E740, E$1:E740&lt;&gt;""""))))-1), IF('To Order'!$A741=COLUMNS($A741:E"&amp;"760), E740&amp;RIGHT(INDIRECT(ADDRESS(ROW(E741)-1, 'From Order'!$A741)), 1), E740))"),"CT")</f>
        <v>CT</v>
      </c>
      <c r="F741" s="2" t="str">
        <f>IFERROR(__xludf.DUMMYFUNCTION("IF('From Order'!$A741=COLUMNS($A741:F760), LEFT(INDEX(FILTER(F$1:F740, F$1:F740&lt;&gt;""""),COUNTA(FILTER(F$1:F740, F$1:F740&lt;&gt;""""))), LEN(INDEX(FILTER(F$1:F740, F$1:F740&lt;&gt;""""),COUNTA(FILTER(F$1:F740, F$1:F740&lt;&gt;""""))))-1), IF('To Order'!$A741=COLUMNS($A741:F"&amp;"760), F740&amp;RIGHT(INDIRECT(ADDRESS(ROW(F741)-1, 'From Order'!$A741)), 1), F740))"),"")</f>
        <v/>
      </c>
      <c r="G741" s="2" t="str">
        <f>IFERROR(__xludf.DUMMYFUNCTION("IF('From Order'!$A741=COLUMNS($A741:G760), LEFT(INDEX(FILTER(G$1:G740, G$1:G740&lt;&gt;""""),COUNTA(FILTER(G$1:G740, G$1:G740&lt;&gt;""""))), LEN(INDEX(FILTER(G$1:G740, G$1:G740&lt;&gt;""""),COUNTA(FILTER(G$1:G740, G$1:G740&lt;&gt;""""))))-1), IF('To Order'!$A741=COLUMNS($A741:G"&amp;"760), G740&amp;RIGHT(INDIRECT(ADDRESS(ROW(G741)-1, 'From Order'!$A741)), 1), G740))"),"DTRLRQPDSSGHWQPBCVDRWTDJLBSGDTLSFBBFMH")</f>
        <v>DTRLRQPDSSGHWQPBCVDRWTDJLBSGDTLSFBBFMH</v>
      </c>
      <c r="H741" s="2" t="str">
        <f>IFERROR(__xludf.DUMMYFUNCTION("IF('From Order'!$A741=COLUMNS($A741:H760), LEFT(INDEX(FILTER(H$1:H740, H$1:H740&lt;&gt;""""),COUNTA(FILTER(H$1:H740, H$1:H740&lt;&gt;""""))), LEN(INDEX(FILTER(H$1:H740, H$1:H740&lt;&gt;""""),COUNTA(FILTER(H$1:H740, H$1:H740&lt;&gt;""""))))-1), IF('To Order'!$A741=COLUMNS($A741:H"&amp;"760), H740&amp;RIGHT(INDIRECT(ADDRESS(ROW(H741)-1, 'From Order'!$A741)), 1), H740))"),"")</f>
        <v/>
      </c>
      <c r="I741" s="2" t="str">
        <f>IFERROR(__xludf.DUMMYFUNCTION("IF('From Order'!$A741=COLUMNS($A741:I760), LEFT(INDEX(FILTER(I$1:I740, I$1:I740&lt;&gt;""""),COUNTA(FILTER(I$1:I740, I$1:I740&lt;&gt;""""))), LEN(INDEX(FILTER(I$1:I740, I$1:I740&lt;&gt;""""),COUNTA(FILTER(I$1:I740, I$1:I740&lt;&gt;""""))))-1), IF('To Order'!$A741=COLUMNS($A741:I"&amp;"760), I740&amp;RIGHT(INDIRECT(ADDRESS(ROW(I741)-1, 'From Order'!$A741)), 1), I740))"),"VPVRZ")</f>
        <v>VPVRZ</v>
      </c>
    </row>
    <row r="742">
      <c r="A742" s="2" t="str">
        <f>IFERROR(__xludf.DUMMYFUNCTION("IF('From Order'!$A742=COLUMNS($A742:A761), LEFT(INDEX(FILTER(A$1:A741, A$1:A741&lt;&gt;""""),COUNTA(FILTER(A$1:A741, A$1:A741&lt;&gt;""""))), LEN(INDEX(FILTER(A$1:A741, A$1:A741&lt;&gt;""""),COUNTA(FILTER(A$1:A741, A$1:A741&lt;&gt;""""))))-1), IF('To Order'!$A742=COLUMNS($A742:A"&amp;"761), A741&amp;RIGHT(INDIRECT(ADDRESS(ROW(A742)-1, 'From Order'!$A742)), 1), A741))"),"")</f>
        <v/>
      </c>
      <c r="B742" s="2" t="str">
        <f>IFERROR(__xludf.DUMMYFUNCTION("IF('From Order'!$A742=COLUMNS($A742:B761), LEFT(INDEX(FILTER(B$1:B741, B$1:B741&lt;&gt;""""),COUNTA(FILTER(B$1:B741, B$1:B741&lt;&gt;""""))), LEN(INDEX(FILTER(B$1:B741, B$1:B741&lt;&gt;""""),COUNTA(FILTER(B$1:B741, B$1:B741&lt;&gt;""""))))-1), IF('To Order'!$A742=COLUMNS($A742:B"&amp;"761), B741&amp;RIGHT(INDIRECT(ADDRESS(ROW(B742)-1, 'From Order'!$A742)), 1), B741))"),"JZRD")</f>
        <v>JZRD</v>
      </c>
      <c r="C742" s="2" t="str">
        <f>IFERROR(__xludf.DUMMYFUNCTION("IF('From Order'!$A742=COLUMNS($A742:C761), LEFT(INDEX(FILTER(C$1:C741, C$1:C741&lt;&gt;""""),COUNTA(FILTER(C$1:C741, C$1:C741&lt;&gt;""""))), LEN(INDEX(FILTER(C$1:C741, C$1:C741&lt;&gt;""""),COUNTA(FILTER(C$1:C741, C$1:C741&lt;&gt;""""))))-1), IF('To Order'!$A742=COLUMNS($A742:C"&amp;"761), C741&amp;RIGHT(INDIRECT(ADDRESS(ROW(C742)-1, 'From Order'!$A742)), 1), C741))"),"TJC")</f>
        <v>TJC</v>
      </c>
      <c r="D742" s="2" t="str">
        <f>IFERROR(__xludf.DUMMYFUNCTION("IF('From Order'!$A742=COLUMNS($A742:D761), LEFT(INDEX(FILTER(D$1:D741, D$1:D741&lt;&gt;""""),COUNTA(FILTER(D$1:D741, D$1:D741&lt;&gt;""""))), LEN(INDEX(FILTER(D$1:D741, D$1:D741&lt;&gt;""""),COUNTA(FILTER(D$1:D741, D$1:D741&lt;&gt;""""))))-1), IF('To Order'!$A742=COLUMNS($A742:D"&amp;"761), D741&amp;RIGHT(INDIRECT(ADDRESS(ROW(D742)-1, 'From Order'!$A742)), 1), D741))"),"TMZM")</f>
        <v>TMZM</v>
      </c>
      <c r="E742" s="2" t="str">
        <f>IFERROR(__xludf.DUMMYFUNCTION("IF('From Order'!$A742=COLUMNS($A742:E761), LEFT(INDEX(FILTER(E$1:E741, E$1:E741&lt;&gt;""""),COUNTA(FILTER(E$1:E741, E$1:E741&lt;&gt;""""))), LEN(INDEX(FILTER(E$1:E741, E$1:E741&lt;&gt;""""),COUNTA(FILTER(E$1:E741, E$1:E741&lt;&gt;""""))))-1), IF('To Order'!$A742=COLUMNS($A742:E"&amp;"761), E741&amp;RIGHT(INDIRECT(ADDRESS(ROW(E742)-1, 'From Order'!$A742)), 1), E741))"),"CT")</f>
        <v>CT</v>
      </c>
      <c r="F742" s="2" t="str">
        <f>IFERROR(__xludf.DUMMYFUNCTION("IF('From Order'!$A742=COLUMNS($A742:F761), LEFT(INDEX(FILTER(F$1:F741, F$1:F741&lt;&gt;""""),COUNTA(FILTER(F$1:F741, F$1:F741&lt;&gt;""""))), LEN(INDEX(FILTER(F$1:F741, F$1:F741&lt;&gt;""""),COUNTA(FILTER(F$1:F741, F$1:F741&lt;&gt;""""))))-1), IF('To Order'!$A742=COLUMNS($A742:F"&amp;"761), F741&amp;RIGHT(INDIRECT(ADDRESS(ROW(F742)-1, 'From Order'!$A742)), 1), F741))"),"")</f>
        <v/>
      </c>
      <c r="G742" s="2" t="str">
        <f>IFERROR(__xludf.DUMMYFUNCTION("IF('From Order'!$A742=COLUMNS($A742:G761), LEFT(INDEX(FILTER(G$1:G741, G$1:G741&lt;&gt;""""),COUNTA(FILTER(G$1:G741, G$1:G741&lt;&gt;""""))), LEN(INDEX(FILTER(G$1:G741, G$1:G741&lt;&gt;""""),COUNTA(FILTER(G$1:G741, G$1:G741&lt;&gt;""""))))-1), IF('To Order'!$A742=COLUMNS($A742:G"&amp;"761), G741&amp;RIGHT(INDIRECT(ADDRESS(ROW(G742)-1, 'From Order'!$A742)), 1), G741))"),"DTRLRQPDSSGHWQPBCVDRWTDJLBSGDTLSFBBFMHZ")</f>
        <v>DTRLRQPDSSGHWQPBCVDRWTDJLBSGDTLSFBBFMHZ</v>
      </c>
      <c r="H742" s="2" t="str">
        <f>IFERROR(__xludf.DUMMYFUNCTION("IF('From Order'!$A742=COLUMNS($A742:H761), LEFT(INDEX(FILTER(H$1:H741, H$1:H741&lt;&gt;""""),COUNTA(FILTER(H$1:H741, H$1:H741&lt;&gt;""""))), LEN(INDEX(FILTER(H$1:H741, H$1:H741&lt;&gt;""""),COUNTA(FILTER(H$1:H741, H$1:H741&lt;&gt;""""))))-1), IF('To Order'!$A742=COLUMNS($A742:H"&amp;"761), H741&amp;RIGHT(INDIRECT(ADDRESS(ROW(H742)-1, 'From Order'!$A742)), 1), H741))"),"")</f>
        <v/>
      </c>
      <c r="I742" s="2" t="str">
        <f>IFERROR(__xludf.DUMMYFUNCTION("IF('From Order'!$A742=COLUMNS($A742:I761), LEFT(INDEX(FILTER(I$1:I741, I$1:I741&lt;&gt;""""),COUNTA(FILTER(I$1:I741, I$1:I741&lt;&gt;""""))), LEN(INDEX(FILTER(I$1:I741, I$1:I741&lt;&gt;""""),COUNTA(FILTER(I$1:I741, I$1:I741&lt;&gt;""""))))-1), IF('To Order'!$A742=COLUMNS($A742:I"&amp;"761), I741&amp;RIGHT(INDIRECT(ADDRESS(ROW(I742)-1, 'From Order'!$A742)), 1), I741))"),"VPVR")</f>
        <v>VPVR</v>
      </c>
    </row>
    <row r="743">
      <c r="A743" s="2" t="str">
        <f>IFERROR(__xludf.DUMMYFUNCTION("IF('From Order'!$A743=COLUMNS($A743:A762), LEFT(INDEX(FILTER(A$1:A742, A$1:A742&lt;&gt;""""),COUNTA(FILTER(A$1:A742, A$1:A742&lt;&gt;""""))), LEN(INDEX(FILTER(A$1:A742, A$1:A742&lt;&gt;""""),COUNTA(FILTER(A$1:A742, A$1:A742&lt;&gt;""""))))-1), IF('To Order'!$A743=COLUMNS($A743:A"&amp;"762), A742&amp;RIGHT(INDIRECT(ADDRESS(ROW(A743)-1, 'From Order'!$A743)), 1), A742))"),"")</f>
        <v/>
      </c>
      <c r="B743" s="2" t="str">
        <f>IFERROR(__xludf.DUMMYFUNCTION("IF('From Order'!$A743=COLUMNS($A743:B762), LEFT(INDEX(FILTER(B$1:B742, B$1:B742&lt;&gt;""""),COUNTA(FILTER(B$1:B742, B$1:B742&lt;&gt;""""))), LEN(INDEX(FILTER(B$1:B742, B$1:B742&lt;&gt;""""),COUNTA(FILTER(B$1:B742, B$1:B742&lt;&gt;""""))))-1), IF('To Order'!$A743=COLUMNS($A743:B"&amp;"762), B742&amp;RIGHT(INDIRECT(ADDRESS(ROW(B743)-1, 'From Order'!$A743)), 1), B742))"),"JZRD")</f>
        <v>JZRD</v>
      </c>
      <c r="C743" s="2" t="str">
        <f>IFERROR(__xludf.DUMMYFUNCTION("IF('From Order'!$A743=COLUMNS($A743:C762), LEFT(INDEX(FILTER(C$1:C742, C$1:C742&lt;&gt;""""),COUNTA(FILTER(C$1:C742, C$1:C742&lt;&gt;""""))), LEN(INDEX(FILTER(C$1:C742, C$1:C742&lt;&gt;""""),COUNTA(FILTER(C$1:C742, C$1:C742&lt;&gt;""""))))-1), IF('To Order'!$A743=COLUMNS($A743:C"&amp;"762), C742&amp;RIGHT(INDIRECT(ADDRESS(ROW(C743)-1, 'From Order'!$A743)), 1), C742))"),"TJC")</f>
        <v>TJC</v>
      </c>
      <c r="D743" s="2" t="str">
        <f>IFERROR(__xludf.DUMMYFUNCTION("IF('From Order'!$A743=COLUMNS($A743:D762), LEFT(INDEX(FILTER(D$1:D742, D$1:D742&lt;&gt;""""),COUNTA(FILTER(D$1:D742, D$1:D742&lt;&gt;""""))), LEN(INDEX(FILTER(D$1:D742, D$1:D742&lt;&gt;""""),COUNTA(FILTER(D$1:D742, D$1:D742&lt;&gt;""""))))-1), IF('To Order'!$A743=COLUMNS($A743:D"&amp;"762), D742&amp;RIGHT(INDIRECT(ADDRESS(ROW(D743)-1, 'From Order'!$A743)), 1), D742))"),"TMZM")</f>
        <v>TMZM</v>
      </c>
      <c r="E743" s="2" t="str">
        <f>IFERROR(__xludf.DUMMYFUNCTION("IF('From Order'!$A743=COLUMNS($A743:E762), LEFT(INDEX(FILTER(E$1:E742, E$1:E742&lt;&gt;""""),COUNTA(FILTER(E$1:E742, E$1:E742&lt;&gt;""""))), LEN(INDEX(FILTER(E$1:E742, E$1:E742&lt;&gt;""""),COUNTA(FILTER(E$1:E742, E$1:E742&lt;&gt;""""))))-1), IF('To Order'!$A743=COLUMNS($A743:E"&amp;"762), E742&amp;RIGHT(INDIRECT(ADDRESS(ROW(E743)-1, 'From Order'!$A743)), 1), E742))"),"CT")</f>
        <v>CT</v>
      </c>
      <c r="F743" s="2" t="str">
        <f>IFERROR(__xludf.DUMMYFUNCTION("IF('From Order'!$A743=COLUMNS($A743:F762), LEFT(INDEX(FILTER(F$1:F742, F$1:F742&lt;&gt;""""),COUNTA(FILTER(F$1:F742, F$1:F742&lt;&gt;""""))), LEN(INDEX(FILTER(F$1:F742, F$1:F742&lt;&gt;""""),COUNTA(FILTER(F$1:F742, F$1:F742&lt;&gt;""""))))-1), IF('To Order'!$A743=COLUMNS($A743:F"&amp;"762), F742&amp;RIGHT(INDIRECT(ADDRESS(ROW(F743)-1, 'From Order'!$A743)), 1), F742))"),"")</f>
        <v/>
      </c>
      <c r="G743" s="2" t="str">
        <f>IFERROR(__xludf.DUMMYFUNCTION("IF('From Order'!$A743=COLUMNS($A743:G762), LEFT(INDEX(FILTER(G$1:G742, G$1:G742&lt;&gt;""""),COUNTA(FILTER(G$1:G742, G$1:G742&lt;&gt;""""))), LEN(INDEX(FILTER(G$1:G742, G$1:G742&lt;&gt;""""),COUNTA(FILTER(G$1:G742, G$1:G742&lt;&gt;""""))))-1), IF('To Order'!$A743=COLUMNS($A743:G"&amp;"762), G742&amp;RIGHT(INDIRECT(ADDRESS(ROW(G743)-1, 'From Order'!$A743)), 1), G742))"),"DTRLRQPDSSGHWQPBCVDRWTDJLBSGDTLSFBBFMHZR")</f>
        <v>DTRLRQPDSSGHWQPBCVDRWTDJLBSGDTLSFBBFMHZR</v>
      </c>
      <c r="H743" s="2" t="str">
        <f>IFERROR(__xludf.DUMMYFUNCTION("IF('From Order'!$A743=COLUMNS($A743:H762), LEFT(INDEX(FILTER(H$1:H742, H$1:H742&lt;&gt;""""),COUNTA(FILTER(H$1:H742, H$1:H742&lt;&gt;""""))), LEN(INDEX(FILTER(H$1:H742, H$1:H742&lt;&gt;""""),COUNTA(FILTER(H$1:H742, H$1:H742&lt;&gt;""""))))-1), IF('To Order'!$A743=COLUMNS($A743:H"&amp;"762), H742&amp;RIGHT(INDIRECT(ADDRESS(ROW(H743)-1, 'From Order'!$A743)), 1), H742))"),"")</f>
        <v/>
      </c>
      <c r="I743" s="2" t="str">
        <f>IFERROR(__xludf.DUMMYFUNCTION("IF('From Order'!$A743=COLUMNS($A743:I762), LEFT(INDEX(FILTER(I$1:I742, I$1:I742&lt;&gt;""""),COUNTA(FILTER(I$1:I742, I$1:I742&lt;&gt;""""))), LEN(INDEX(FILTER(I$1:I742, I$1:I742&lt;&gt;""""),COUNTA(FILTER(I$1:I742, I$1:I742&lt;&gt;""""))))-1), IF('To Order'!$A743=COLUMNS($A743:I"&amp;"762), I742&amp;RIGHT(INDIRECT(ADDRESS(ROW(I743)-1, 'From Order'!$A743)), 1), I742))"),"VPV")</f>
        <v>VPV</v>
      </c>
    </row>
    <row r="744">
      <c r="A744" s="2" t="str">
        <f>IFERROR(__xludf.DUMMYFUNCTION("IF('From Order'!$A744=COLUMNS($A744:A763), LEFT(INDEX(FILTER(A$1:A743, A$1:A743&lt;&gt;""""),COUNTA(FILTER(A$1:A743, A$1:A743&lt;&gt;""""))), LEN(INDEX(FILTER(A$1:A743, A$1:A743&lt;&gt;""""),COUNTA(FILTER(A$1:A743, A$1:A743&lt;&gt;""""))))-1), IF('To Order'!$A744=COLUMNS($A744:A"&amp;"763), A743&amp;RIGHT(INDIRECT(ADDRESS(ROW(A744)-1, 'From Order'!$A744)), 1), A743))"),"")</f>
        <v/>
      </c>
      <c r="B744" s="2" t="str">
        <f>IFERROR(__xludf.DUMMYFUNCTION("IF('From Order'!$A744=COLUMNS($A744:B763), LEFT(INDEX(FILTER(B$1:B743, B$1:B743&lt;&gt;""""),COUNTA(FILTER(B$1:B743, B$1:B743&lt;&gt;""""))), LEN(INDEX(FILTER(B$1:B743, B$1:B743&lt;&gt;""""),COUNTA(FILTER(B$1:B743, B$1:B743&lt;&gt;""""))))-1), IF('To Order'!$A744=COLUMNS($A744:B"&amp;"763), B743&amp;RIGHT(INDIRECT(ADDRESS(ROW(B744)-1, 'From Order'!$A744)), 1), B743))"),"JZRD")</f>
        <v>JZRD</v>
      </c>
      <c r="C744" s="2" t="str">
        <f>IFERROR(__xludf.DUMMYFUNCTION("IF('From Order'!$A744=COLUMNS($A744:C763), LEFT(INDEX(FILTER(C$1:C743, C$1:C743&lt;&gt;""""),COUNTA(FILTER(C$1:C743, C$1:C743&lt;&gt;""""))), LEN(INDEX(FILTER(C$1:C743, C$1:C743&lt;&gt;""""),COUNTA(FILTER(C$1:C743, C$1:C743&lt;&gt;""""))))-1), IF('To Order'!$A744=COLUMNS($A744:C"&amp;"763), C743&amp;RIGHT(INDIRECT(ADDRESS(ROW(C744)-1, 'From Order'!$A744)), 1), C743))"),"TJC")</f>
        <v>TJC</v>
      </c>
      <c r="D744" s="2" t="str">
        <f>IFERROR(__xludf.DUMMYFUNCTION("IF('From Order'!$A744=COLUMNS($A744:D763), LEFT(INDEX(FILTER(D$1:D743, D$1:D743&lt;&gt;""""),COUNTA(FILTER(D$1:D743, D$1:D743&lt;&gt;""""))), LEN(INDEX(FILTER(D$1:D743, D$1:D743&lt;&gt;""""),COUNTA(FILTER(D$1:D743, D$1:D743&lt;&gt;""""))))-1), IF('To Order'!$A744=COLUMNS($A744:D"&amp;"763), D743&amp;RIGHT(INDIRECT(ADDRESS(ROW(D744)-1, 'From Order'!$A744)), 1), D743))"),"TMZM")</f>
        <v>TMZM</v>
      </c>
      <c r="E744" s="2" t="str">
        <f>IFERROR(__xludf.DUMMYFUNCTION("IF('From Order'!$A744=COLUMNS($A744:E763), LEFT(INDEX(FILTER(E$1:E743, E$1:E743&lt;&gt;""""),COUNTA(FILTER(E$1:E743, E$1:E743&lt;&gt;""""))), LEN(INDEX(FILTER(E$1:E743, E$1:E743&lt;&gt;""""),COUNTA(FILTER(E$1:E743, E$1:E743&lt;&gt;""""))))-1), IF('To Order'!$A744=COLUMNS($A744:E"&amp;"763), E743&amp;RIGHT(INDIRECT(ADDRESS(ROW(E744)-1, 'From Order'!$A744)), 1), E743))"),"CT")</f>
        <v>CT</v>
      </c>
      <c r="F744" s="2" t="str">
        <f>IFERROR(__xludf.DUMMYFUNCTION("IF('From Order'!$A744=COLUMNS($A744:F763), LEFT(INDEX(FILTER(F$1:F743, F$1:F743&lt;&gt;""""),COUNTA(FILTER(F$1:F743, F$1:F743&lt;&gt;""""))), LEN(INDEX(FILTER(F$1:F743, F$1:F743&lt;&gt;""""),COUNTA(FILTER(F$1:F743, F$1:F743&lt;&gt;""""))))-1), IF('To Order'!$A744=COLUMNS($A744:F"&amp;"763), F743&amp;RIGHT(INDIRECT(ADDRESS(ROW(F744)-1, 'From Order'!$A744)), 1), F743))"),"")</f>
        <v/>
      </c>
      <c r="G744" s="2" t="str">
        <f>IFERROR(__xludf.DUMMYFUNCTION("IF('From Order'!$A744=COLUMNS($A744:G763), LEFT(INDEX(FILTER(G$1:G743, G$1:G743&lt;&gt;""""),COUNTA(FILTER(G$1:G743, G$1:G743&lt;&gt;""""))), LEN(INDEX(FILTER(G$1:G743, G$1:G743&lt;&gt;""""),COUNTA(FILTER(G$1:G743, G$1:G743&lt;&gt;""""))))-1), IF('To Order'!$A744=COLUMNS($A744:G"&amp;"763), G743&amp;RIGHT(INDIRECT(ADDRESS(ROW(G744)-1, 'From Order'!$A744)), 1), G743))"),"DTRLRQPDSSGHWQPBCVDRWTDJLBSGDTLSFBBFMHZRV")</f>
        <v>DTRLRQPDSSGHWQPBCVDRWTDJLBSGDTLSFBBFMHZRV</v>
      </c>
      <c r="H744" s="2" t="str">
        <f>IFERROR(__xludf.DUMMYFUNCTION("IF('From Order'!$A744=COLUMNS($A744:H763), LEFT(INDEX(FILTER(H$1:H743, H$1:H743&lt;&gt;""""),COUNTA(FILTER(H$1:H743, H$1:H743&lt;&gt;""""))), LEN(INDEX(FILTER(H$1:H743, H$1:H743&lt;&gt;""""),COUNTA(FILTER(H$1:H743, H$1:H743&lt;&gt;""""))))-1), IF('To Order'!$A744=COLUMNS($A744:H"&amp;"763), H743&amp;RIGHT(INDIRECT(ADDRESS(ROW(H744)-1, 'From Order'!$A744)), 1), H743))"),"")</f>
        <v/>
      </c>
      <c r="I744" s="2" t="str">
        <f>IFERROR(__xludf.DUMMYFUNCTION("IF('From Order'!$A744=COLUMNS($A744:I763), LEFT(INDEX(FILTER(I$1:I743, I$1:I743&lt;&gt;""""),COUNTA(FILTER(I$1:I743, I$1:I743&lt;&gt;""""))), LEN(INDEX(FILTER(I$1:I743, I$1:I743&lt;&gt;""""),COUNTA(FILTER(I$1:I743, I$1:I743&lt;&gt;""""))))-1), IF('To Order'!$A744=COLUMNS($A744:I"&amp;"763), I743&amp;RIGHT(INDIRECT(ADDRESS(ROW(I744)-1, 'From Order'!$A744)), 1), I743))"),"VP")</f>
        <v>VP</v>
      </c>
    </row>
    <row r="745">
      <c r="A745" s="2" t="str">
        <f>IFERROR(__xludf.DUMMYFUNCTION("IF('From Order'!$A745=COLUMNS($A745:A764), LEFT(INDEX(FILTER(A$1:A744, A$1:A744&lt;&gt;""""),COUNTA(FILTER(A$1:A744, A$1:A744&lt;&gt;""""))), LEN(INDEX(FILTER(A$1:A744, A$1:A744&lt;&gt;""""),COUNTA(FILTER(A$1:A744, A$1:A744&lt;&gt;""""))))-1), IF('To Order'!$A745=COLUMNS($A745:A"&amp;"764), A744&amp;RIGHT(INDIRECT(ADDRESS(ROW(A745)-1, 'From Order'!$A745)), 1), A744))"),"")</f>
        <v/>
      </c>
      <c r="B745" s="2" t="str">
        <f>IFERROR(__xludf.DUMMYFUNCTION("IF('From Order'!$A745=COLUMNS($A745:B764), LEFT(INDEX(FILTER(B$1:B744, B$1:B744&lt;&gt;""""),COUNTA(FILTER(B$1:B744, B$1:B744&lt;&gt;""""))), LEN(INDEX(FILTER(B$1:B744, B$1:B744&lt;&gt;""""),COUNTA(FILTER(B$1:B744, B$1:B744&lt;&gt;""""))))-1), IF('To Order'!$A745=COLUMNS($A745:B"&amp;"764), B744&amp;RIGHT(INDIRECT(ADDRESS(ROW(B745)-1, 'From Order'!$A745)), 1), B744))"),"JZRDC")</f>
        <v>JZRDC</v>
      </c>
      <c r="C745" s="2" t="str">
        <f>IFERROR(__xludf.DUMMYFUNCTION("IF('From Order'!$A745=COLUMNS($A745:C764), LEFT(INDEX(FILTER(C$1:C744, C$1:C744&lt;&gt;""""),COUNTA(FILTER(C$1:C744, C$1:C744&lt;&gt;""""))), LEN(INDEX(FILTER(C$1:C744, C$1:C744&lt;&gt;""""),COUNTA(FILTER(C$1:C744, C$1:C744&lt;&gt;""""))))-1), IF('To Order'!$A745=COLUMNS($A745:C"&amp;"764), C744&amp;RIGHT(INDIRECT(ADDRESS(ROW(C745)-1, 'From Order'!$A745)), 1), C744))"),"TJ")</f>
        <v>TJ</v>
      </c>
      <c r="D745" s="2" t="str">
        <f>IFERROR(__xludf.DUMMYFUNCTION("IF('From Order'!$A745=COLUMNS($A745:D764), LEFT(INDEX(FILTER(D$1:D744, D$1:D744&lt;&gt;""""),COUNTA(FILTER(D$1:D744, D$1:D744&lt;&gt;""""))), LEN(INDEX(FILTER(D$1:D744, D$1:D744&lt;&gt;""""),COUNTA(FILTER(D$1:D744, D$1:D744&lt;&gt;""""))))-1), IF('To Order'!$A745=COLUMNS($A745:D"&amp;"764), D744&amp;RIGHT(INDIRECT(ADDRESS(ROW(D745)-1, 'From Order'!$A745)), 1), D744))"),"TMZM")</f>
        <v>TMZM</v>
      </c>
      <c r="E745" s="2" t="str">
        <f>IFERROR(__xludf.DUMMYFUNCTION("IF('From Order'!$A745=COLUMNS($A745:E764), LEFT(INDEX(FILTER(E$1:E744, E$1:E744&lt;&gt;""""),COUNTA(FILTER(E$1:E744, E$1:E744&lt;&gt;""""))), LEN(INDEX(FILTER(E$1:E744, E$1:E744&lt;&gt;""""),COUNTA(FILTER(E$1:E744, E$1:E744&lt;&gt;""""))))-1), IF('To Order'!$A745=COLUMNS($A745:E"&amp;"764), E744&amp;RIGHT(INDIRECT(ADDRESS(ROW(E745)-1, 'From Order'!$A745)), 1), E744))"),"CT")</f>
        <v>CT</v>
      </c>
      <c r="F745" s="2" t="str">
        <f>IFERROR(__xludf.DUMMYFUNCTION("IF('From Order'!$A745=COLUMNS($A745:F764), LEFT(INDEX(FILTER(F$1:F744, F$1:F744&lt;&gt;""""),COUNTA(FILTER(F$1:F744, F$1:F744&lt;&gt;""""))), LEN(INDEX(FILTER(F$1:F744, F$1:F744&lt;&gt;""""),COUNTA(FILTER(F$1:F744, F$1:F744&lt;&gt;""""))))-1), IF('To Order'!$A745=COLUMNS($A745:F"&amp;"764), F744&amp;RIGHT(INDIRECT(ADDRESS(ROW(F745)-1, 'From Order'!$A745)), 1), F744))"),"")</f>
        <v/>
      </c>
      <c r="G745" s="2" t="str">
        <f>IFERROR(__xludf.DUMMYFUNCTION("IF('From Order'!$A745=COLUMNS($A745:G764), LEFT(INDEX(FILTER(G$1:G744, G$1:G744&lt;&gt;""""),COUNTA(FILTER(G$1:G744, G$1:G744&lt;&gt;""""))), LEN(INDEX(FILTER(G$1:G744, G$1:G744&lt;&gt;""""),COUNTA(FILTER(G$1:G744, G$1:G744&lt;&gt;""""))))-1), IF('To Order'!$A745=COLUMNS($A745:G"&amp;"764), G744&amp;RIGHT(INDIRECT(ADDRESS(ROW(G745)-1, 'From Order'!$A745)), 1), G744))"),"DTRLRQPDSSGHWQPBCVDRWTDJLBSGDTLSFBBFMHZRV")</f>
        <v>DTRLRQPDSSGHWQPBCVDRWTDJLBSGDTLSFBBFMHZRV</v>
      </c>
      <c r="H745" s="2" t="str">
        <f>IFERROR(__xludf.DUMMYFUNCTION("IF('From Order'!$A745=COLUMNS($A745:H764), LEFT(INDEX(FILTER(H$1:H744, H$1:H744&lt;&gt;""""),COUNTA(FILTER(H$1:H744, H$1:H744&lt;&gt;""""))), LEN(INDEX(FILTER(H$1:H744, H$1:H744&lt;&gt;""""),COUNTA(FILTER(H$1:H744, H$1:H744&lt;&gt;""""))))-1), IF('To Order'!$A745=COLUMNS($A745:H"&amp;"764), H744&amp;RIGHT(INDIRECT(ADDRESS(ROW(H745)-1, 'From Order'!$A745)), 1), H744))"),"")</f>
        <v/>
      </c>
      <c r="I745" s="2" t="str">
        <f>IFERROR(__xludf.DUMMYFUNCTION("IF('From Order'!$A745=COLUMNS($A745:I764), LEFT(INDEX(FILTER(I$1:I744, I$1:I744&lt;&gt;""""),COUNTA(FILTER(I$1:I744, I$1:I744&lt;&gt;""""))), LEN(INDEX(FILTER(I$1:I744, I$1:I744&lt;&gt;""""),COUNTA(FILTER(I$1:I744, I$1:I744&lt;&gt;""""))))-1), IF('To Order'!$A745=COLUMNS($A745:I"&amp;"764), I744&amp;RIGHT(INDIRECT(ADDRESS(ROW(I745)-1, 'From Order'!$A745)), 1), I744))"),"VP")</f>
        <v>VP</v>
      </c>
    </row>
    <row r="746">
      <c r="A746" s="2" t="str">
        <f>IFERROR(__xludf.DUMMYFUNCTION("IF('From Order'!$A746=COLUMNS($A746:A765), LEFT(INDEX(FILTER(A$1:A745, A$1:A745&lt;&gt;""""),COUNTA(FILTER(A$1:A745, A$1:A745&lt;&gt;""""))), LEN(INDEX(FILTER(A$1:A745, A$1:A745&lt;&gt;""""),COUNTA(FILTER(A$1:A745, A$1:A745&lt;&gt;""""))))-1), IF('To Order'!$A746=COLUMNS($A746:A"&amp;"765), A745&amp;RIGHT(INDIRECT(ADDRESS(ROW(A746)-1, 'From Order'!$A746)), 1), A745))"),"")</f>
        <v/>
      </c>
      <c r="B746" s="2" t="str">
        <f>IFERROR(__xludf.DUMMYFUNCTION("IF('From Order'!$A746=COLUMNS($A746:B765), LEFT(INDEX(FILTER(B$1:B745, B$1:B745&lt;&gt;""""),COUNTA(FILTER(B$1:B745, B$1:B745&lt;&gt;""""))), LEN(INDEX(FILTER(B$1:B745, B$1:B745&lt;&gt;""""),COUNTA(FILTER(B$1:B745, B$1:B745&lt;&gt;""""))))-1), IF('To Order'!$A746=COLUMNS($A746:B"&amp;"765), B745&amp;RIGHT(INDIRECT(ADDRESS(ROW(B746)-1, 'From Order'!$A746)), 1), B745))"),"JZRDCJ")</f>
        <v>JZRDCJ</v>
      </c>
      <c r="C746" s="2" t="str">
        <f>IFERROR(__xludf.DUMMYFUNCTION("IF('From Order'!$A746=COLUMNS($A746:C765), LEFT(INDEX(FILTER(C$1:C745, C$1:C745&lt;&gt;""""),COUNTA(FILTER(C$1:C745, C$1:C745&lt;&gt;""""))), LEN(INDEX(FILTER(C$1:C745, C$1:C745&lt;&gt;""""),COUNTA(FILTER(C$1:C745, C$1:C745&lt;&gt;""""))))-1), IF('To Order'!$A746=COLUMNS($A746:C"&amp;"765), C745&amp;RIGHT(INDIRECT(ADDRESS(ROW(C746)-1, 'From Order'!$A746)), 1), C745))"),"T")</f>
        <v>T</v>
      </c>
      <c r="D746" s="2" t="str">
        <f>IFERROR(__xludf.DUMMYFUNCTION("IF('From Order'!$A746=COLUMNS($A746:D765), LEFT(INDEX(FILTER(D$1:D745, D$1:D745&lt;&gt;""""),COUNTA(FILTER(D$1:D745, D$1:D745&lt;&gt;""""))), LEN(INDEX(FILTER(D$1:D745, D$1:D745&lt;&gt;""""),COUNTA(FILTER(D$1:D745, D$1:D745&lt;&gt;""""))))-1), IF('To Order'!$A746=COLUMNS($A746:D"&amp;"765), D745&amp;RIGHT(INDIRECT(ADDRESS(ROW(D746)-1, 'From Order'!$A746)), 1), D745))"),"TMZM")</f>
        <v>TMZM</v>
      </c>
      <c r="E746" s="2" t="str">
        <f>IFERROR(__xludf.DUMMYFUNCTION("IF('From Order'!$A746=COLUMNS($A746:E765), LEFT(INDEX(FILTER(E$1:E745, E$1:E745&lt;&gt;""""),COUNTA(FILTER(E$1:E745, E$1:E745&lt;&gt;""""))), LEN(INDEX(FILTER(E$1:E745, E$1:E745&lt;&gt;""""),COUNTA(FILTER(E$1:E745, E$1:E745&lt;&gt;""""))))-1), IF('To Order'!$A746=COLUMNS($A746:E"&amp;"765), E745&amp;RIGHT(INDIRECT(ADDRESS(ROW(E746)-1, 'From Order'!$A746)), 1), E745))"),"CT")</f>
        <v>CT</v>
      </c>
      <c r="F746" s="2" t="str">
        <f>IFERROR(__xludf.DUMMYFUNCTION("IF('From Order'!$A746=COLUMNS($A746:F765), LEFT(INDEX(FILTER(F$1:F745, F$1:F745&lt;&gt;""""),COUNTA(FILTER(F$1:F745, F$1:F745&lt;&gt;""""))), LEN(INDEX(FILTER(F$1:F745, F$1:F745&lt;&gt;""""),COUNTA(FILTER(F$1:F745, F$1:F745&lt;&gt;""""))))-1), IF('To Order'!$A746=COLUMNS($A746:F"&amp;"765), F745&amp;RIGHT(INDIRECT(ADDRESS(ROW(F746)-1, 'From Order'!$A746)), 1), F745))"),"")</f>
        <v/>
      </c>
      <c r="G746" s="2" t="str">
        <f>IFERROR(__xludf.DUMMYFUNCTION("IF('From Order'!$A746=COLUMNS($A746:G765), LEFT(INDEX(FILTER(G$1:G745, G$1:G745&lt;&gt;""""),COUNTA(FILTER(G$1:G745, G$1:G745&lt;&gt;""""))), LEN(INDEX(FILTER(G$1:G745, G$1:G745&lt;&gt;""""),COUNTA(FILTER(G$1:G745, G$1:G745&lt;&gt;""""))))-1), IF('To Order'!$A746=COLUMNS($A746:G"&amp;"765), G745&amp;RIGHT(INDIRECT(ADDRESS(ROW(G746)-1, 'From Order'!$A746)), 1), G745))"),"DTRLRQPDSSGHWQPBCVDRWTDJLBSGDTLSFBBFMHZRV")</f>
        <v>DTRLRQPDSSGHWQPBCVDRWTDJLBSGDTLSFBBFMHZRV</v>
      </c>
      <c r="H746" s="2" t="str">
        <f>IFERROR(__xludf.DUMMYFUNCTION("IF('From Order'!$A746=COLUMNS($A746:H765), LEFT(INDEX(FILTER(H$1:H745, H$1:H745&lt;&gt;""""),COUNTA(FILTER(H$1:H745, H$1:H745&lt;&gt;""""))), LEN(INDEX(FILTER(H$1:H745, H$1:H745&lt;&gt;""""),COUNTA(FILTER(H$1:H745, H$1:H745&lt;&gt;""""))))-1), IF('To Order'!$A746=COLUMNS($A746:H"&amp;"765), H745&amp;RIGHT(INDIRECT(ADDRESS(ROW(H746)-1, 'From Order'!$A746)), 1), H745))"),"")</f>
        <v/>
      </c>
      <c r="I746" s="2" t="str">
        <f>IFERROR(__xludf.DUMMYFUNCTION("IF('From Order'!$A746=COLUMNS($A746:I765), LEFT(INDEX(FILTER(I$1:I745, I$1:I745&lt;&gt;""""),COUNTA(FILTER(I$1:I745, I$1:I745&lt;&gt;""""))), LEN(INDEX(FILTER(I$1:I745, I$1:I745&lt;&gt;""""),COUNTA(FILTER(I$1:I745, I$1:I745&lt;&gt;""""))))-1), IF('To Order'!$A746=COLUMNS($A746:I"&amp;"765), I745&amp;RIGHT(INDIRECT(ADDRESS(ROW(I746)-1, 'From Order'!$A746)), 1), I745))"),"VP")</f>
        <v>VP</v>
      </c>
    </row>
    <row r="747">
      <c r="A747" s="2" t="str">
        <f>IFERROR(__xludf.DUMMYFUNCTION("IF('From Order'!$A747=COLUMNS($A747:A766), LEFT(INDEX(FILTER(A$1:A746, A$1:A746&lt;&gt;""""),COUNTA(FILTER(A$1:A746, A$1:A746&lt;&gt;""""))), LEN(INDEX(FILTER(A$1:A746, A$1:A746&lt;&gt;""""),COUNTA(FILTER(A$1:A746, A$1:A746&lt;&gt;""""))))-1), IF('To Order'!$A747=COLUMNS($A747:A"&amp;"766), A746&amp;RIGHT(INDIRECT(ADDRESS(ROW(A747)-1, 'From Order'!$A747)), 1), A746))"),"")</f>
        <v/>
      </c>
      <c r="B747" s="2" t="str">
        <f>IFERROR(__xludf.DUMMYFUNCTION("IF('From Order'!$A747=COLUMNS($A747:B766), LEFT(INDEX(FILTER(B$1:B746, B$1:B746&lt;&gt;""""),COUNTA(FILTER(B$1:B746, B$1:B746&lt;&gt;""""))), LEN(INDEX(FILTER(B$1:B746, B$1:B746&lt;&gt;""""),COUNTA(FILTER(B$1:B746, B$1:B746&lt;&gt;""""))))-1), IF('To Order'!$A747=COLUMNS($A747:B"&amp;"766), B746&amp;RIGHT(INDIRECT(ADDRESS(ROW(B747)-1, 'From Order'!$A747)), 1), B746))"),"JZRDCJT")</f>
        <v>JZRDCJT</v>
      </c>
      <c r="C747" s="2" t="str">
        <f>IFERROR(__xludf.DUMMYFUNCTION("IF('From Order'!$A747=COLUMNS($A747:C766), LEFT(INDEX(FILTER(C$1:C746, C$1:C746&lt;&gt;""""),COUNTA(FILTER(C$1:C746, C$1:C746&lt;&gt;""""))), LEN(INDEX(FILTER(C$1:C746, C$1:C746&lt;&gt;""""),COUNTA(FILTER(C$1:C746, C$1:C746&lt;&gt;""""))))-1), IF('To Order'!$A747=COLUMNS($A747:C"&amp;"766), C746&amp;RIGHT(INDIRECT(ADDRESS(ROW(C747)-1, 'From Order'!$A747)), 1), C746))"),"T")</f>
        <v>T</v>
      </c>
      <c r="D747" s="2" t="str">
        <f>IFERROR(__xludf.DUMMYFUNCTION("IF('From Order'!$A747=COLUMNS($A747:D766), LEFT(INDEX(FILTER(D$1:D746, D$1:D746&lt;&gt;""""),COUNTA(FILTER(D$1:D746, D$1:D746&lt;&gt;""""))), LEN(INDEX(FILTER(D$1:D746, D$1:D746&lt;&gt;""""),COUNTA(FILTER(D$1:D746, D$1:D746&lt;&gt;""""))))-1), IF('To Order'!$A747=COLUMNS($A747:D"&amp;"766), D746&amp;RIGHT(INDIRECT(ADDRESS(ROW(D747)-1, 'From Order'!$A747)), 1), D746))"),"TMZM")</f>
        <v>TMZM</v>
      </c>
      <c r="E747" s="2" t="str">
        <f>IFERROR(__xludf.DUMMYFUNCTION("IF('From Order'!$A747=COLUMNS($A747:E766), LEFT(INDEX(FILTER(E$1:E746, E$1:E746&lt;&gt;""""),COUNTA(FILTER(E$1:E746, E$1:E746&lt;&gt;""""))), LEN(INDEX(FILTER(E$1:E746, E$1:E746&lt;&gt;""""),COUNTA(FILTER(E$1:E746, E$1:E746&lt;&gt;""""))))-1), IF('To Order'!$A747=COLUMNS($A747:E"&amp;"766), E746&amp;RIGHT(INDIRECT(ADDRESS(ROW(E747)-1, 'From Order'!$A747)), 1), E746))"),"C")</f>
        <v>C</v>
      </c>
      <c r="F747" s="2" t="str">
        <f>IFERROR(__xludf.DUMMYFUNCTION("IF('From Order'!$A747=COLUMNS($A747:F766), LEFT(INDEX(FILTER(F$1:F746, F$1:F746&lt;&gt;""""),COUNTA(FILTER(F$1:F746, F$1:F746&lt;&gt;""""))), LEN(INDEX(FILTER(F$1:F746, F$1:F746&lt;&gt;""""),COUNTA(FILTER(F$1:F746, F$1:F746&lt;&gt;""""))))-1), IF('To Order'!$A747=COLUMNS($A747:F"&amp;"766), F746&amp;RIGHT(INDIRECT(ADDRESS(ROW(F747)-1, 'From Order'!$A747)), 1), F746))"),"")</f>
        <v/>
      </c>
      <c r="G747" s="2" t="str">
        <f>IFERROR(__xludf.DUMMYFUNCTION("IF('From Order'!$A747=COLUMNS($A747:G766), LEFT(INDEX(FILTER(G$1:G746, G$1:G746&lt;&gt;""""),COUNTA(FILTER(G$1:G746, G$1:G746&lt;&gt;""""))), LEN(INDEX(FILTER(G$1:G746, G$1:G746&lt;&gt;""""),COUNTA(FILTER(G$1:G746, G$1:G746&lt;&gt;""""))))-1), IF('To Order'!$A747=COLUMNS($A747:G"&amp;"766), G746&amp;RIGHT(INDIRECT(ADDRESS(ROW(G747)-1, 'From Order'!$A747)), 1), G746))"),"DTRLRQPDSSGHWQPBCVDRWTDJLBSGDTLSFBBFMHZRV")</f>
        <v>DTRLRQPDSSGHWQPBCVDRWTDJLBSGDTLSFBBFMHZRV</v>
      </c>
      <c r="H747" s="2" t="str">
        <f>IFERROR(__xludf.DUMMYFUNCTION("IF('From Order'!$A747=COLUMNS($A747:H766), LEFT(INDEX(FILTER(H$1:H746, H$1:H746&lt;&gt;""""),COUNTA(FILTER(H$1:H746, H$1:H746&lt;&gt;""""))), LEN(INDEX(FILTER(H$1:H746, H$1:H746&lt;&gt;""""),COUNTA(FILTER(H$1:H746, H$1:H746&lt;&gt;""""))))-1), IF('To Order'!$A747=COLUMNS($A747:H"&amp;"766), H746&amp;RIGHT(INDIRECT(ADDRESS(ROW(H747)-1, 'From Order'!$A747)), 1), H746))"),"")</f>
        <v/>
      </c>
      <c r="I747" s="2" t="str">
        <f>IFERROR(__xludf.DUMMYFUNCTION("IF('From Order'!$A747=COLUMNS($A747:I766), LEFT(INDEX(FILTER(I$1:I746, I$1:I746&lt;&gt;""""),COUNTA(FILTER(I$1:I746, I$1:I746&lt;&gt;""""))), LEN(INDEX(FILTER(I$1:I746, I$1:I746&lt;&gt;""""),COUNTA(FILTER(I$1:I746, I$1:I746&lt;&gt;""""))))-1), IF('To Order'!$A747=COLUMNS($A747:I"&amp;"766), I746&amp;RIGHT(INDIRECT(ADDRESS(ROW(I747)-1, 'From Order'!$A747)), 1), I746))"),"VP")</f>
        <v>VP</v>
      </c>
    </row>
    <row r="748">
      <c r="A748" s="2" t="str">
        <f>IFERROR(__xludf.DUMMYFUNCTION("IF('From Order'!$A748=COLUMNS($A748:A767), LEFT(INDEX(FILTER(A$1:A747, A$1:A747&lt;&gt;""""),COUNTA(FILTER(A$1:A747, A$1:A747&lt;&gt;""""))), LEN(INDEX(FILTER(A$1:A747, A$1:A747&lt;&gt;""""),COUNTA(FILTER(A$1:A747, A$1:A747&lt;&gt;""""))))-1), IF('To Order'!$A748=COLUMNS($A748:A"&amp;"767), A747&amp;RIGHT(INDIRECT(ADDRESS(ROW(A748)-1, 'From Order'!$A748)), 1), A747))"),"")</f>
        <v/>
      </c>
      <c r="B748" s="2" t="str">
        <f>IFERROR(__xludf.DUMMYFUNCTION("IF('From Order'!$A748=COLUMNS($A748:B767), LEFT(INDEX(FILTER(B$1:B747, B$1:B747&lt;&gt;""""),COUNTA(FILTER(B$1:B747, B$1:B747&lt;&gt;""""))), LEN(INDEX(FILTER(B$1:B747, B$1:B747&lt;&gt;""""),COUNTA(FILTER(B$1:B747, B$1:B747&lt;&gt;""""))))-1), IF('To Order'!$A748=COLUMNS($A748:B"&amp;"767), B747&amp;RIGHT(INDIRECT(ADDRESS(ROW(B748)-1, 'From Order'!$A748)), 1), B747))"),"JZRDCJT")</f>
        <v>JZRDCJT</v>
      </c>
      <c r="C748" s="2" t="str">
        <f>IFERROR(__xludf.DUMMYFUNCTION("IF('From Order'!$A748=COLUMNS($A748:C767), LEFT(INDEX(FILTER(C$1:C747, C$1:C747&lt;&gt;""""),COUNTA(FILTER(C$1:C747, C$1:C747&lt;&gt;""""))), LEN(INDEX(FILTER(C$1:C747, C$1:C747&lt;&gt;""""),COUNTA(FILTER(C$1:C747, C$1:C747&lt;&gt;""""))))-1), IF('To Order'!$A748=COLUMNS($A748:C"&amp;"767), C747&amp;RIGHT(INDIRECT(ADDRESS(ROW(C748)-1, 'From Order'!$A748)), 1), C747))"),"T")</f>
        <v>T</v>
      </c>
      <c r="D748" s="2" t="str">
        <f>IFERROR(__xludf.DUMMYFUNCTION("IF('From Order'!$A748=COLUMNS($A748:D767), LEFT(INDEX(FILTER(D$1:D747, D$1:D747&lt;&gt;""""),COUNTA(FILTER(D$1:D747, D$1:D747&lt;&gt;""""))), LEN(INDEX(FILTER(D$1:D747, D$1:D747&lt;&gt;""""),COUNTA(FILTER(D$1:D747, D$1:D747&lt;&gt;""""))))-1), IF('To Order'!$A748=COLUMNS($A748:D"&amp;"767), D747&amp;RIGHT(INDIRECT(ADDRESS(ROW(D748)-1, 'From Order'!$A748)), 1), D747))"),"TMZM")</f>
        <v>TMZM</v>
      </c>
      <c r="E748" s="2" t="str">
        <f>IFERROR(__xludf.DUMMYFUNCTION("IF('From Order'!$A748=COLUMNS($A748:E767), LEFT(INDEX(FILTER(E$1:E747, E$1:E747&lt;&gt;""""),COUNTA(FILTER(E$1:E747, E$1:E747&lt;&gt;""""))), LEN(INDEX(FILTER(E$1:E747, E$1:E747&lt;&gt;""""),COUNTA(FILTER(E$1:E747, E$1:E747&lt;&gt;""""))))-1), IF('To Order'!$A748=COLUMNS($A748:E"&amp;"767), E747&amp;RIGHT(INDIRECT(ADDRESS(ROW(E748)-1, 'From Order'!$A748)), 1), E747))"),"CV")</f>
        <v>CV</v>
      </c>
      <c r="F748" s="2" t="str">
        <f>IFERROR(__xludf.DUMMYFUNCTION("IF('From Order'!$A748=COLUMNS($A748:F767), LEFT(INDEX(FILTER(F$1:F747, F$1:F747&lt;&gt;""""),COUNTA(FILTER(F$1:F747, F$1:F747&lt;&gt;""""))), LEN(INDEX(FILTER(F$1:F747, F$1:F747&lt;&gt;""""),COUNTA(FILTER(F$1:F747, F$1:F747&lt;&gt;""""))))-1), IF('To Order'!$A748=COLUMNS($A748:F"&amp;"767), F747&amp;RIGHT(INDIRECT(ADDRESS(ROW(F748)-1, 'From Order'!$A748)), 1), F747))"),"")</f>
        <v/>
      </c>
      <c r="G748" s="2" t="str">
        <f>IFERROR(__xludf.DUMMYFUNCTION("IF('From Order'!$A748=COLUMNS($A748:G767), LEFT(INDEX(FILTER(G$1:G747, G$1:G747&lt;&gt;""""),COUNTA(FILTER(G$1:G747, G$1:G747&lt;&gt;""""))), LEN(INDEX(FILTER(G$1:G747, G$1:G747&lt;&gt;""""),COUNTA(FILTER(G$1:G747, G$1:G747&lt;&gt;""""))))-1), IF('To Order'!$A748=COLUMNS($A748:G"&amp;"767), G747&amp;RIGHT(INDIRECT(ADDRESS(ROW(G748)-1, 'From Order'!$A748)), 1), G747))"),"DTRLRQPDSSGHWQPBCVDRWTDJLBSGDTLSFBBFMHZR")</f>
        <v>DTRLRQPDSSGHWQPBCVDRWTDJLBSGDTLSFBBFMHZR</v>
      </c>
      <c r="H748" s="2" t="str">
        <f>IFERROR(__xludf.DUMMYFUNCTION("IF('From Order'!$A748=COLUMNS($A748:H767), LEFT(INDEX(FILTER(H$1:H747, H$1:H747&lt;&gt;""""),COUNTA(FILTER(H$1:H747, H$1:H747&lt;&gt;""""))), LEN(INDEX(FILTER(H$1:H747, H$1:H747&lt;&gt;""""),COUNTA(FILTER(H$1:H747, H$1:H747&lt;&gt;""""))))-1), IF('To Order'!$A748=COLUMNS($A748:H"&amp;"767), H747&amp;RIGHT(INDIRECT(ADDRESS(ROW(H748)-1, 'From Order'!$A748)), 1), H747))"),"")</f>
        <v/>
      </c>
      <c r="I748" s="2" t="str">
        <f>IFERROR(__xludf.DUMMYFUNCTION("IF('From Order'!$A748=COLUMNS($A748:I767), LEFT(INDEX(FILTER(I$1:I747, I$1:I747&lt;&gt;""""),COUNTA(FILTER(I$1:I747, I$1:I747&lt;&gt;""""))), LEN(INDEX(FILTER(I$1:I747, I$1:I747&lt;&gt;""""),COUNTA(FILTER(I$1:I747, I$1:I747&lt;&gt;""""))))-1), IF('To Order'!$A748=COLUMNS($A748:I"&amp;"767), I747&amp;RIGHT(INDIRECT(ADDRESS(ROW(I748)-1, 'From Order'!$A748)), 1), I747))"),"VP")</f>
        <v>VP</v>
      </c>
    </row>
    <row r="749">
      <c r="A749" s="2" t="str">
        <f>IFERROR(__xludf.DUMMYFUNCTION("IF('From Order'!$A749=COLUMNS($A749:A768), LEFT(INDEX(FILTER(A$1:A748, A$1:A748&lt;&gt;""""),COUNTA(FILTER(A$1:A748, A$1:A748&lt;&gt;""""))), LEN(INDEX(FILTER(A$1:A748, A$1:A748&lt;&gt;""""),COUNTA(FILTER(A$1:A748, A$1:A748&lt;&gt;""""))))-1), IF('To Order'!$A749=COLUMNS($A749:A"&amp;"768), A748&amp;RIGHT(INDIRECT(ADDRESS(ROW(A749)-1, 'From Order'!$A749)), 1), A748))"),"")</f>
        <v/>
      </c>
      <c r="B749" s="2" t="str">
        <f>IFERROR(__xludf.DUMMYFUNCTION("IF('From Order'!$A749=COLUMNS($A749:B768), LEFT(INDEX(FILTER(B$1:B748, B$1:B748&lt;&gt;""""),COUNTA(FILTER(B$1:B748, B$1:B748&lt;&gt;""""))), LEN(INDEX(FILTER(B$1:B748, B$1:B748&lt;&gt;""""),COUNTA(FILTER(B$1:B748, B$1:B748&lt;&gt;""""))))-1), IF('To Order'!$A749=COLUMNS($A749:B"&amp;"768), B748&amp;RIGHT(INDIRECT(ADDRESS(ROW(B749)-1, 'From Order'!$A749)), 1), B748))"),"JZRDCJT")</f>
        <v>JZRDCJT</v>
      </c>
      <c r="C749" s="2" t="str">
        <f>IFERROR(__xludf.DUMMYFUNCTION("IF('From Order'!$A749=COLUMNS($A749:C768), LEFT(INDEX(FILTER(C$1:C748, C$1:C748&lt;&gt;""""),COUNTA(FILTER(C$1:C748, C$1:C748&lt;&gt;""""))), LEN(INDEX(FILTER(C$1:C748, C$1:C748&lt;&gt;""""),COUNTA(FILTER(C$1:C748, C$1:C748&lt;&gt;""""))))-1), IF('To Order'!$A749=COLUMNS($A749:C"&amp;"768), C748&amp;RIGHT(INDIRECT(ADDRESS(ROW(C749)-1, 'From Order'!$A749)), 1), C748))"),"T")</f>
        <v>T</v>
      </c>
      <c r="D749" s="2" t="str">
        <f>IFERROR(__xludf.DUMMYFUNCTION("IF('From Order'!$A749=COLUMNS($A749:D768), LEFT(INDEX(FILTER(D$1:D748, D$1:D748&lt;&gt;""""),COUNTA(FILTER(D$1:D748, D$1:D748&lt;&gt;""""))), LEN(INDEX(FILTER(D$1:D748, D$1:D748&lt;&gt;""""),COUNTA(FILTER(D$1:D748, D$1:D748&lt;&gt;""""))))-1), IF('To Order'!$A749=COLUMNS($A749:D"&amp;"768), D748&amp;RIGHT(INDIRECT(ADDRESS(ROW(D749)-1, 'From Order'!$A749)), 1), D748))"),"TMZM")</f>
        <v>TMZM</v>
      </c>
      <c r="E749" s="2" t="str">
        <f>IFERROR(__xludf.DUMMYFUNCTION("IF('From Order'!$A749=COLUMNS($A749:E768), LEFT(INDEX(FILTER(E$1:E748, E$1:E748&lt;&gt;""""),COUNTA(FILTER(E$1:E748, E$1:E748&lt;&gt;""""))), LEN(INDEX(FILTER(E$1:E748, E$1:E748&lt;&gt;""""),COUNTA(FILTER(E$1:E748, E$1:E748&lt;&gt;""""))))-1), IF('To Order'!$A749=COLUMNS($A749:E"&amp;"768), E748&amp;RIGHT(INDIRECT(ADDRESS(ROW(E749)-1, 'From Order'!$A749)), 1), E748))"),"CVR")</f>
        <v>CVR</v>
      </c>
      <c r="F749" s="2" t="str">
        <f>IFERROR(__xludf.DUMMYFUNCTION("IF('From Order'!$A749=COLUMNS($A749:F768), LEFT(INDEX(FILTER(F$1:F748, F$1:F748&lt;&gt;""""),COUNTA(FILTER(F$1:F748, F$1:F748&lt;&gt;""""))), LEN(INDEX(FILTER(F$1:F748, F$1:F748&lt;&gt;""""),COUNTA(FILTER(F$1:F748, F$1:F748&lt;&gt;""""))))-1), IF('To Order'!$A749=COLUMNS($A749:F"&amp;"768), F748&amp;RIGHT(INDIRECT(ADDRESS(ROW(F749)-1, 'From Order'!$A749)), 1), F748))"),"")</f>
        <v/>
      </c>
      <c r="G749" s="2" t="str">
        <f>IFERROR(__xludf.DUMMYFUNCTION("IF('From Order'!$A749=COLUMNS($A749:G768), LEFT(INDEX(FILTER(G$1:G748, G$1:G748&lt;&gt;""""),COUNTA(FILTER(G$1:G748, G$1:G748&lt;&gt;""""))), LEN(INDEX(FILTER(G$1:G748, G$1:G748&lt;&gt;""""),COUNTA(FILTER(G$1:G748, G$1:G748&lt;&gt;""""))))-1), IF('To Order'!$A749=COLUMNS($A749:G"&amp;"768), G748&amp;RIGHT(INDIRECT(ADDRESS(ROW(G749)-1, 'From Order'!$A749)), 1), G748))"),"DTRLRQPDSSGHWQPBCVDRWTDJLBSGDTLSFBBFMHZ")</f>
        <v>DTRLRQPDSSGHWQPBCVDRWTDJLBSGDTLSFBBFMHZ</v>
      </c>
      <c r="H749" s="2" t="str">
        <f>IFERROR(__xludf.DUMMYFUNCTION("IF('From Order'!$A749=COLUMNS($A749:H768), LEFT(INDEX(FILTER(H$1:H748, H$1:H748&lt;&gt;""""),COUNTA(FILTER(H$1:H748, H$1:H748&lt;&gt;""""))), LEN(INDEX(FILTER(H$1:H748, H$1:H748&lt;&gt;""""),COUNTA(FILTER(H$1:H748, H$1:H748&lt;&gt;""""))))-1), IF('To Order'!$A749=COLUMNS($A749:H"&amp;"768), H748&amp;RIGHT(INDIRECT(ADDRESS(ROW(H749)-1, 'From Order'!$A749)), 1), H748))"),"")</f>
        <v/>
      </c>
      <c r="I749" s="2" t="str">
        <f>IFERROR(__xludf.DUMMYFUNCTION("IF('From Order'!$A749=COLUMNS($A749:I768), LEFT(INDEX(FILTER(I$1:I748, I$1:I748&lt;&gt;""""),COUNTA(FILTER(I$1:I748, I$1:I748&lt;&gt;""""))), LEN(INDEX(FILTER(I$1:I748, I$1:I748&lt;&gt;""""),COUNTA(FILTER(I$1:I748, I$1:I748&lt;&gt;""""))))-1), IF('To Order'!$A749=COLUMNS($A749:I"&amp;"768), I748&amp;RIGHT(INDIRECT(ADDRESS(ROW(I749)-1, 'From Order'!$A749)), 1), I748))"),"VP")</f>
        <v>VP</v>
      </c>
    </row>
    <row r="750">
      <c r="A750" s="2" t="str">
        <f>IFERROR(__xludf.DUMMYFUNCTION("IF('From Order'!$A750=COLUMNS($A750:A769), LEFT(INDEX(FILTER(A$1:A749, A$1:A749&lt;&gt;""""),COUNTA(FILTER(A$1:A749, A$1:A749&lt;&gt;""""))), LEN(INDEX(FILTER(A$1:A749, A$1:A749&lt;&gt;""""),COUNTA(FILTER(A$1:A749, A$1:A749&lt;&gt;""""))))-1), IF('To Order'!$A750=COLUMNS($A750:A"&amp;"769), A749&amp;RIGHT(INDIRECT(ADDRESS(ROW(A750)-1, 'From Order'!$A750)), 1), A749))"),"")</f>
        <v/>
      </c>
      <c r="B750" s="2" t="str">
        <f>IFERROR(__xludf.DUMMYFUNCTION("IF('From Order'!$A750=COLUMNS($A750:B769), LEFT(INDEX(FILTER(B$1:B749, B$1:B749&lt;&gt;""""),COUNTA(FILTER(B$1:B749, B$1:B749&lt;&gt;""""))), LEN(INDEX(FILTER(B$1:B749, B$1:B749&lt;&gt;""""),COUNTA(FILTER(B$1:B749, B$1:B749&lt;&gt;""""))))-1), IF('To Order'!$A750=COLUMNS($A750:B"&amp;"769), B749&amp;RIGHT(INDIRECT(ADDRESS(ROW(B750)-1, 'From Order'!$A750)), 1), B749))"),"JZRDCJT")</f>
        <v>JZRDCJT</v>
      </c>
      <c r="C750" s="2" t="str">
        <f>IFERROR(__xludf.DUMMYFUNCTION("IF('From Order'!$A750=COLUMNS($A750:C769), LEFT(INDEX(FILTER(C$1:C749, C$1:C749&lt;&gt;""""),COUNTA(FILTER(C$1:C749, C$1:C749&lt;&gt;""""))), LEN(INDEX(FILTER(C$1:C749, C$1:C749&lt;&gt;""""),COUNTA(FILTER(C$1:C749, C$1:C749&lt;&gt;""""))))-1), IF('To Order'!$A750=COLUMNS($A750:C"&amp;"769), C749&amp;RIGHT(INDIRECT(ADDRESS(ROW(C750)-1, 'From Order'!$A750)), 1), C749))"),"T")</f>
        <v>T</v>
      </c>
      <c r="D750" s="2" t="str">
        <f>IFERROR(__xludf.DUMMYFUNCTION("IF('From Order'!$A750=COLUMNS($A750:D769), LEFT(INDEX(FILTER(D$1:D749, D$1:D749&lt;&gt;""""),COUNTA(FILTER(D$1:D749, D$1:D749&lt;&gt;""""))), LEN(INDEX(FILTER(D$1:D749, D$1:D749&lt;&gt;""""),COUNTA(FILTER(D$1:D749, D$1:D749&lt;&gt;""""))))-1), IF('To Order'!$A750=COLUMNS($A750:D"&amp;"769), D749&amp;RIGHT(INDIRECT(ADDRESS(ROW(D750)-1, 'From Order'!$A750)), 1), D749))"),"TMZM")</f>
        <v>TMZM</v>
      </c>
      <c r="E750" s="2" t="str">
        <f>IFERROR(__xludf.DUMMYFUNCTION("IF('From Order'!$A750=COLUMNS($A750:E769), LEFT(INDEX(FILTER(E$1:E749, E$1:E749&lt;&gt;""""),COUNTA(FILTER(E$1:E749, E$1:E749&lt;&gt;""""))), LEN(INDEX(FILTER(E$1:E749, E$1:E749&lt;&gt;""""),COUNTA(FILTER(E$1:E749, E$1:E749&lt;&gt;""""))))-1), IF('To Order'!$A750=COLUMNS($A750:E"&amp;"769), E749&amp;RIGHT(INDIRECT(ADDRESS(ROW(E750)-1, 'From Order'!$A750)), 1), E749))"),"CVRZ")</f>
        <v>CVRZ</v>
      </c>
      <c r="F750" s="2" t="str">
        <f>IFERROR(__xludf.DUMMYFUNCTION("IF('From Order'!$A750=COLUMNS($A750:F769), LEFT(INDEX(FILTER(F$1:F749, F$1:F749&lt;&gt;""""),COUNTA(FILTER(F$1:F749, F$1:F749&lt;&gt;""""))), LEN(INDEX(FILTER(F$1:F749, F$1:F749&lt;&gt;""""),COUNTA(FILTER(F$1:F749, F$1:F749&lt;&gt;""""))))-1), IF('To Order'!$A750=COLUMNS($A750:F"&amp;"769), F749&amp;RIGHT(INDIRECT(ADDRESS(ROW(F750)-1, 'From Order'!$A750)), 1), F749))"),"")</f>
        <v/>
      </c>
      <c r="G750" s="2" t="str">
        <f>IFERROR(__xludf.DUMMYFUNCTION("IF('From Order'!$A750=COLUMNS($A750:G769), LEFT(INDEX(FILTER(G$1:G749, G$1:G749&lt;&gt;""""),COUNTA(FILTER(G$1:G749, G$1:G749&lt;&gt;""""))), LEN(INDEX(FILTER(G$1:G749, G$1:G749&lt;&gt;""""),COUNTA(FILTER(G$1:G749, G$1:G749&lt;&gt;""""))))-1), IF('To Order'!$A750=COLUMNS($A750:G"&amp;"769), G749&amp;RIGHT(INDIRECT(ADDRESS(ROW(G750)-1, 'From Order'!$A750)), 1), G749))"),"DTRLRQPDSSGHWQPBCVDRWTDJLBSGDTLSFBBFMH")</f>
        <v>DTRLRQPDSSGHWQPBCVDRWTDJLBSGDTLSFBBFMH</v>
      </c>
      <c r="H750" s="2" t="str">
        <f>IFERROR(__xludf.DUMMYFUNCTION("IF('From Order'!$A750=COLUMNS($A750:H769), LEFT(INDEX(FILTER(H$1:H749, H$1:H749&lt;&gt;""""),COUNTA(FILTER(H$1:H749, H$1:H749&lt;&gt;""""))), LEN(INDEX(FILTER(H$1:H749, H$1:H749&lt;&gt;""""),COUNTA(FILTER(H$1:H749, H$1:H749&lt;&gt;""""))))-1), IF('To Order'!$A750=COLUMNS($A750:H"&amp;"769), H749&amp;RIGHT(INDIRECT(ADDRESS(ROW(H750)-1, 'From Order'!$A750)), 1), H749))"),"")</f>
        <v/>
      </c>
      <c r="I750" s="2" t="str">
        <f>IFERROR(__xludf.DUMMYFUNCTION("IF('From Order'!$A750=COLUMNS($A750:I769), LEFT(INDEX(FILTER(I$1:I749, I$1:I749&lt;&gt;""""),COUNTA(FILTER(I$1:I749, I$1:I749&lt;&gt;""""))), LEN(INDEX(FILTER(I$1:I749, I$1:I749&lt;&gt;""""),COUNTA(FILTER(I$1:I749, I$1:I749&lt;&gt;""""))))-1), IF('To Order'!$A750=COLUMNS($A750:I"&amp;"769), I749&amp;RIGHT(INDIRECT(ADDRESS(ROW(I750)-1, 'From Order'!$A750)), 1), I749))"),"VP")</f>
        <v>VP</v>
      </c>
    </row>
    <row r="751">
      <c r="A751" s="2" t="str">
        <f>IFERROR(__xludf.DUMMYFUNCTION("IF('From Order'!$A751=COLUMNS($A751:A770), LEFT(INDEX(FILTER(A$1:A750, A$1:A750&lt;&gt;""""),COUNTA(FILTER(A$1:A750, A$1:A750&lt;&gt;""""))), LEN(INDEX(FILTER(A$1:A750, A$1:A750&lt;&gt;""""),COUNTA(FILTER(A$1:A750, A$1:A750&lt;&gt;""""))))-1), IF('To Order'!$A751=COLUMNS($A751:A"&amp;"770), A750&amp;RIGHT(INDIRECT(ADDRESS(ROW(A751)-1, 'From Order'!$A751)), 1), A750))"),"")</f>
        <v/>
      </c>
      <c r="B751" s="2" t="str">
        <f>IFERROR(__xludf.DUMMYFUNCTION("IF('From Order'!$A751=COLUMNS($A751:B770), LEFT(INDEX(FILTER(B$1:B750, B$1:B750&lt;&gt;""""),COUNTA(FILTER(B$1:B750, B$1:B750&lt;&gt;""""))), LEN(INDEX(FILTER(B$1:B750, B$1:B750&lt;&gt;""""),COUNTA(FILTER(B$1:B750, B$1:B750&lt;&gt;""""))))-1), IF('To Order'!$A751=COLUMNS($A751:B"&amp;"770), B750&amp;RIGHT(INDIRECT(ADDRESS(ROW(B751)-1, 'From Order'!$A751)), 1), B750))"),"JZRDCJT")</f>
        <v>JZRDCJT</v>
      </c>
      <c r="C751" s="2" t="str">
        <f>IFERROR(__xludf.DUMMYFUNCTION("IF('From Order'!$A751=COLUMNS($A751:C770), LEFT(INDEX(FILTER(C$1:C750, C$1:C750&lt;&gt;""""),COUNTA(FILTER(C$1:C750, C$1:C750&lt;&gt;""""))), LEN(INDEX(FILTER(C$1:C750, C$1:C750&lt;&gt;""""),COUNTA(FILTER(C$1:C750, C$1:C750&lt;&gt;""""))))-1), IF('To Order'!$A751=COLUMNS($A751:C"&amp;"770), C750&amp;RIGHT(INDIRECT(ADDRESS(ROW(C751)-1, 'From Order'!$A751)), 1), C750))"),"T")</f>
        <v>T</v>
      </c>
      <c r="D751" s="2" t="str">
        <f>IFERROR(__xludf.DUMMYFUNCTION("IF('From Order'!$A751=COLUMNS($A751:D770), LEFT(INDEX(FILTER(D$1:D750, D$1:D750&lt;&gt;""""),COUNTA(FILTER(D$1:D750, D$1:D750&lt;&gt;""""))), LEN(INDEX(FILTER(D$1:D750, D$1:D750&lt;&gt;""""),COUNTA(FILTER(D$1:D750, D$1:D750&lt;&gt;""""))))-1), IF('To Order'!$A751=COLUMNS($A751:D"&amp;"770), D750&amp;RIGHT(INDIRECT(ADDRESS(ROW(D751)-1, 'From Order'!$A751)), 1), D750))"),"TMZM")</f>
        <v>TMZM</v>
      </c>
      <c r="E751" s="2" t="str">
        <f>IFERROR(__xludf.DUMMYFUNCTION("IF('From Order'!$A751=COLUMNS($A751:E770), LEFT(INDEX(FILTER(E$1:E750, E$1:E750&lt;&gt;""""),COUNTA(FILTER(E$1:E750, E$1:E750&lt;&gt;""""))), LEN(INDEX(FILTER(E$1:E750, E$1:E750&lt;&gt;""""),COUNTA(FILTER(E$1:E750, E$1:E750&lt;&gt;""""))))-1), IF('To Order'!$A751=COLUMNS($A751:E"&amp;"770), E750&amp;RIGHT(INDIRECT(ADDRESS(ROW(E751)-1, 'From Order'!$A751)), 1), E750))"),"CVRZH")</f>
        <v>CVRZH</v>
      </c>
      <c r="F751" s="2" t="str">
        <f>IFERROR(__xludf.DUMMYFUNCTION("IF('From Order'!$A751=COLUMNS($A751:F770), LEFT(INDEX(FILTER(F$1:F750, F$1:F750&lt;&gt;""""),COUNTA(FILTER(F$1:F750, F$1:F750&lt;&gt;""""))), LEN(INDEX(FILTER(F$1:F750, F$1:F750&lt;&gt;""""),COUNTA(FILTER(F$1:F750, F$1:F750&lt;&gt;""""))))-1), IF('To Order'!$A751=COLUMNS($A751:F"&amp;"770), F750&amp;RIGHT(INDIRECT(ADDRESS(ROW(F751)-1, 'From Order'!$A751)), 1), F750))"),"")</f>
        <v/>
      </c>
      <c r="G751" s="2" t="str">
        <f>IFERROR(__xludf.DUMMYFUNCTION("IF('From Order'!$A751=COLUMNS($A751:G770), LEFT(INDEX(FILTER(G$1:G750, G$1:G750&lt;&gt;""""),COUNTA(FILTER(G$1:G750, G$1:G750&lt;&gt;""""))), LEN(INDEX(FILTER(G$1:G750, G$1:G750&lt;&gt;""""),COUNTA(FILTER(G$1:G750, G$1:G750&lt;&gt;""""))))-1), IF('To Order'!$A751=COLUMNS($A751:G"&amp;"770), G750&amp;RIGHT(INDIRECT(ADDRESS(ROW(G751)-1, 'From Order'!$A751)), 1), G750))"),"DTRLRQPDSSGHWQPBCVDRWTDJLBSGDTLSFBBFM")</f>
        <v>DTRLRQPDSSGHWQPBCVDRWTDJLBSGDTLSFBBFM</v>
      </c>
      <c r="H751" s="2" t="str">
        <f>IFERROR(__xludf.DUMMYFUNCTION("IF('From Order'!$A751=COLUMNS($A751:H770), LEFT(INDEX(FILTER(H$1:H750, H$1:H750&lt;&gt;""""),COUNTA(FILTER(H$1:H750, H$1:H750&lt;&gt;""""))), LEN(INDEX(FILTER(H$1:H750, H$1:H750&lt;&gt;""""),COUNTA(FILTER(H$1:H750, H$1:H750&lt;&gt;""""))))-1), IF('To Order'!$A751=COLUMNS($A751:H"&amp;"770), H750&amp;RIGHT(INDIRECT(ADDRESS(ROW(H751)-1, 'From Order'!$A751)), 1), H750))"),"")</f>
        <v/>
      </c>
      <c r="I751" s="2" t="str">
        <f>IFERROR(__xludf.DUMMYFUNCTION("IF('From Order'!$A751=COLUMNS($A751:I770), LEFT(INDEX(FILTER(I$1:I750, I$1:I750&lt;&gt;""""),COUNTA(FILTER(I$1:I750, I$1:I750&lt;&gt;""""))), LEN(INDEX(FILTER(I$1:I750, I$1:I750&lt;&gt;""""),COUNTA(FILTER(I$1:I750, I$1:I750&lt;&gt;""""))))-1), IF('To Order'!$A751=COLUMNS($A751:I"&amp;"770), I750&amp;RIGHT(INDIRECT(ADDRESS(ROW(I751)-1, 'From Order'!$A751)), 1), I750))"),"VP")</f>
        <v>VP</v>
      </c>
    </row>
    <row r="752">
      <c r="A752" s="2" t="str">
        <f>IFERROR(__xludf.DUMMYFUNCTION("IF('From Order'!$A752=COLUMNS($A752:A771), LEFT(INDEX(FILTER(A$1:A751, A$1:A751&lt;&gt;""""),COUNTA(FILTER(A$1:A751, A$1:A751&lt;&gt;""""))), LEN(INDEX(FILTER(A$1:A751, A$1:A751&lt;&gt;""""),COUNTA(FILTER(A$1:A751, A$1:A751&lt;&gt;""""))))-1), IF('To Order'!$A752=COLUMNS($A752:A"&amp;"771), A751&amp;RIGHT(INDIRECT(ADDRESS(ROW(A752)-1, 'From Order'!$A752)), 1), A751))"),"")</f>
        <v/>
      </c>
      <c r="B752" s="2" t="str">
        <f>IFERROR(__xludf.DUMMYFUNCTION("IF('From Order'!$A752=COLUMNS($A752:B771), LEFT(INDEX(FILTER(B$1:B751, B$1:B751&lt;&gt;""""),COUNTA(FILTER(B$1:B751, B$1:B751&lt;&gt;""""))), LEN(INDEX(FILTER(B$1:B751, B$1:B751&lt;&gt;""""),COUNTA(FILTER(B$1:B751, B$1:B751&lt;&gt;""""))))-1), IF('To Order'!$A752=COLUMNS($A752:B"&amp;"771), B751&amp;RIGHT(INDIRECT(ADDRESS(ROW(B752)-1, 'From Order'!$A752)), 1), B751))"),"JZRDCJT")</f>
        <v>JZRDCJT</v>
      </c>
      <c r="C752" s="2" t="str">
        <f>IFERROR(__xludf.DUMMYFUNCTION("IF('From Order'!$A752=COLUMNS($A752:C771), LEFT(INDEX(FILTER(C$1:C751, C$1:C751&lt;&gt;""""),COUNTA(FILTER(C$1:C751, C$1:C751&lt;&gt;""""))), LEN(INDEX(FILTER(C$1:C751, C$1:C751&lt;&gt;""""),COUNTA(FILTER(C$1:C751, C$1:C751&lt;&gt;""""))))-1), IF('To Order'!$A752=COLUMNS($A752:C"&amp;"771), C751&amp;RIGHT(INDIRECT(ADDRESS(ROW(C752)-1, 'From Order'!$A752)), 1), C751))"),"T")</f>
        <v>T</v>
      </c>
      <c r="D752" s="2" t="str">
        <f>IFERROR(__xludf.DUMMYFUNCTION("IF('From Order'!$A752=COLUMNS($A752:D771), LEFT(INDEX(FILTER(D$1:D751, D$1:D751&lt;&gt;""""),COUNTA(FILTER(D$1:D751, D$1:D751&lt;&gt;""""))), LEN(INDEX(FILTER(D$1:D751, D$1:D751&lt;&gt;""""),COUNTA(FILTER(D$1:D751, D$1:D751&lt;&gt;""""))))-1), IF('To Order'!$A752=COLUMNS($A752:D"&amp;"771), D751&amp;RIGHT(INDIRECT(ADDRESS(ROW(D752)-1, 'From Order'!$A752)), 1), D751))"),"TMZM")</f>
        <v>TMZM</v>
      </c>
      <c r="E752" s="2" t="str">
        <f>IFERROR(__xludf.DUMMYFUNCTION("IF('From Order'!$A752=COLUMNS($A752:E771), LEFT(INDEX(FILTER(E$1:E751, E$1:E751&lt;&gt;""""),COUNTA(FILTER(E$1:E751, E$1:E751&lt;&gt;""""))), LEN(INDEX(FILTER(E$1:E751, E$1:E751&lt;&gt;""""),COUNTA(FILTER(E$1:E751, E$1:E751&lt;&gt;""""))))-1), IF('To Order'!$A752=COLUMNS($A752:E"&amp;"771), E751&amp;RIGHT(INDIRECT(ADDRESS(ROW(E752)-1, 'From Order'!$A752)), 1), E751))"),"CVRZHM")</f>
        <v>CVRZHM</v>
      </c>
      <c r="F752" s="2" t="str">
        <f>IFERROR(__xludf.DUMMYFUNCTION("IF('From Order'!$A752=COLUMNS($A752:F771), LEFT(INDEX(FILTER(F$1:F751, F$1:F751&lt;&gt;""""),COUNTA(FILTER(F$1:F751, F$1:F751&lt;&gt;""""))), LEN(INDEX(FILTER(F$1:F751, F$1:F751&lt;&gt;""""),COUNTA(FILTER(F$1:F751, F$1:F751&lt;&gt;""""))))-1), IF('To Order'!$A752=COLUMNS($A752:F"&amp;"771), F751&amp;RIGHT(INDIRECT(ADDRESS(ROW(F752)-1, 'From Order'!$A752)), 1), F751))"),"")</f>
        <v/>
      </c>
      <c r="G752" s="2" t="str">
        <f>IFERROR(__xludf.DUMMYFUNCTION("IF('From Order'!$A752=COLUMNS($A752:G771), LEFT(INDEX(FILTER(G$1:G751, G$1:G751&lt;&gt;""""),COUNTA(FILTER(G$1:G751, G$1:G751&lt;&gt;""""))), LEN(INDEX(FILTER(G$1:G751, G$1:G751&lt;&gt;""""),COUNTA(FILTER(G$1:G751, G$1:G751&lt;&gt;""""))))-1), IF('To Order'!$A752=COLUMNS($A752:G"&amp;"771), G751&amp;RIGHT(INDIRECT(ADDRESS(ROW(G752)-1, 'From Order'!$A752)), 1), G751))"),"DTRLRQPDSSGHWQPBCVDRWTDJLBSGDTLSFBBF")</f>
        <v>DTRLRQPDSSGHWQPBCVDRWTDJLBSGDTLSFBBF</v>
      </c>
      <c r="H752" s="2" t="str">
        <f>IFERROR(__xludf.DUMMYFUNCTION("IF('From Order'!$A752=COLUMNS($A752:H771), LEFT(INDEX(FILTER(H$1:H751, H$1:H751&lt;&gt;""""),COUNTA(FILTER(H$1:H751, H$1:H751&lt;&gt;""""))), LEN(INDEX(FILTER(H$1:H751, H$1:H751&lt;&gt;""""),COUNTA(FILTER(H$1:H751, H$1:H751&lt;&gt;""""))))-1), IF('To Order'!$A752=COLUMNS($A752:H"&amp;"771), H751&amp;RIGHT(INDIRECT(ADDRESS(ROW(H752)-1, 'From Order'!$A752)), 1), H751))"),"")</f>
        <v/>
      </c>
      <c r="I752" s="2" t="str">
        <f>IFERROR(__xludf.DUMMYFUNCTION("IF('From Order'!$A752=COLUMNS($A752:I771), LEFT(INDEX(FILTER(I$1:I751, I$1:I751&lt;&gt;""""),COUNTA(FILTER(I$1:I751, I$1:I751&lt;&gt;""""))), LEN(INDEX(FILTER(I$1:I751, I$1:I751&lt;&gt;""""),COUNTA(FILTER(I$1:I751, I$1:I751&lt;&gt;""""))))-1), IF('To Order'!$A752=COLUMNS($A752:I"&amp;"771), I751&amp;RIGHT(INDIRECT(ADDRESS(ROW(I752)-1, 'From Order'!$A752)), 1), I751))"),"VP")</f>
        <v>VP</v>
      </c>
    </row>
    <row r="753">
      <c r="A753" s="2" t="str">
        <f>IFERROR(__xludf.DUMMYFUNCTION("IF('From Order'!$A753=COLUMNS($A753:A772), LEFT(INDEX(FILTER(A$1:A752, A$1:A752&lt;&gt;""""),COUNTA(FILTER(A$1:A752, A$1:A752&lt;&gt;""""))), LEN(INDEX(FILTER(A$1:A752, A$1:A752&lt;&gt;""""),COUNTA(FILTER(A$1:A752, A$1:A752&lt;&gt;""""))))-1), IF('To Order'!$A753=COLUMNS($A753:A"&amp;"772), A752&amp;RIGHT(INDIRECT(ADDRESS(ROW(A753)-1, 'From Order'!$A753)), 1), A752))"),"")</f>
        <v/>
      </c>
      <c r="B753" s="2" t="str">
        <f>IFERROR(__xludf.DUMMYFUNCTION("IF('From Order'!$A753=COLUMNS($A753:B772), LEFT(INDEX(FILTER(B$1:B752, B$1:B752&lt;&gt;""""),COUNTA(FILTER(B$1:B752, B$1:B752&lt;&gt;""""))), LEN(INDEX(FILTER(B$1:B752, B$1:B752&lt;&gt;""""),COUNTA(FILTER(B$1:B752, B$1:B752&lt;&gt;""""))))-1), IF('To Order'!$A753=COLUMNS($A753:B"&amp;"772), B752&amp;RIGHT(INDIRECT(ADDRESS(ROW(B753)-1, 'From Order'!$A753)), 1), B752))"),"JZRDCJT")</f>
        <v>JZRDCJT</v>
      </c>
      <c r="C753" s="2" t="str">
        <f>IFERROR(__xludf.DUMMYFUNCTION("IF('From Order'!$A753=COLUMNS($A753:C772), LEFT(INDEX(FILTER(C$1:C752, C$1:C752&lt;&gt;""""),COUNTA(FILTER(C$1:C752, C$1:C752&lt;&gt;""""))), LEN(INDEX(FILTER(C$1:C752, C$1:C752&lt;&gt;""""),COUNTA(FILTER(C$1:C752, C$1:C752&lt;&gt;""""))))-1), IF('To Order'!$A753=COLUMNS($A753:C"&amp;"772), C752&amp;RIGHT(INDIRECT(ADDRESS(ROW(C753)-1, 'From Order'!$A753)), 1), C752))"),"T")</f>
        <v>T</v>
      </c>
      <c r="D753" s="2" t="str">
        <f>IFERROR(__xludf.DUMMYFUNCTION("IF('From Order'!$A753=COLUMNS($A753:D772), LEFT(INDEX(FILTER(D$1:D752, D$1:D752&lt;&gt;""""),COUNTA(FILTER(D$1:D752, D$1:D752&lt;&gt;""""))), LEN(INDEX(FILTER(D$1:D752, D$1:D752&lt;&gt;""""),COUNTA(FILTER(D$1:D752, D$1:D752&lt;&gt;""""))))-1), IF('To Order'!$A753=COLUMNS($A753:D"&amp;"772), D752&amp;RIGHT(INDIRECT(ADDRESS(ROW(D753)-1, 'From Order'!$A753)), 1), D752))"),"TMZM")</f>
        <v>TMZM</v>
      </c>
      <c r="E753" s="2" t="str">
        <f>IFERROR(__xludf.DUMMYFUNCTION("IF('From Order'!$A753=COLUMNS($A753:E772), LEFT(INDEX(FILTER(E$1:E752, E$1:E752&lt;&gt;""""),COUNTA(FILTER(E$1:E752, E$1:E752&lt;&gt;""""))), LEN(INDEX(FILTER(E$1:E752, E$1:E752&lt;&gt;""""),COUNTA(FILTER(E$1:E752, E$1:E752&lt;&gt;""""))))-1), IF('To Order'!$A753=COLUMNS($A753:E"&amp;"772), E752&amp;RIGHT(INDIRECT(ADDRESS(ROW(E753)-1, 'From Order'!$A753)), 1), E752))"),"CVRZHMF")</f>
        <v>CVRZHMF</v>
      </c>
      <c r="F753" s="2" t="str">
        <f>IFERROR(__xludf.DUMMYFUNCTION("IF('From Order'!$A753=COLUMNS($A753:F772), LEFT(INDEX(FILTER(F$1:F752, F$1:F752&lt;&gt;""""),COUNTA(FILTER(F$1:F752, F$1:F752&lt;&gt;""""))), LEN(INDEX(FILTER(F$1:F752, F$1:F752&lt;&gt;""""),COUNTA(FILTER(F$1:F752, F$1:F752&lt;&gt;""""))))-1), IF('To Order'!$A753=COLUMNS($A753:F"&amp;"772), F752&amp;RIGHT(INDIRECT(ADDRESS(ROW(F753)-1, 'From Order'!$A753)), 1), F752))"),"")</f>
        <v/>
      </c>
      <c r="G753" s="2" t="str">
        <f>IFERROR(__xludf.DUMMYFUNCTION("IF('From Order'!$A753=COLUMNS($A753:G772), LEFT(INDEX(FILTER(G$1:G752, G$1:G752&lt;&gt;""""),COUNTA(FILTER(G$1:G752, G$1:G752&lt;&gt;""""))), LEN(INDEX(FILTER(G$1:G752, G$1:G752&lt;&gt;""""),COUNTA(FILTER(G$1:G752, G$1:G752&lt;&gt;""""))))-1), IF('To Order'!$A753=COLUMNS($A753:G"&amp;"772), G752&amp;RIGHT(INDIRECT(ADDRESS(ROW(G753)-1, 'From Order'!$A753)), 1), G752))"),"DTRLRQPDSSGHWQPBCVDRWTDJLBSGDTLSFBB")</f>
        <v>DTRLRQPDSSGHWQPBCVDRWTDJLBSGDTLSFBB</v>
      </c>
      <c r="H753" s="2" t="str">
        <f>IFERROR(__xludf.DUMMYFUNCTION("IF('From Order'!$A753=COLUMNS($A753:H772), LEFT(INDEX(FILTER(H$1:H752, H$1:H752&lt;&gt;""""),COUNTA(FILTER(H$1:H752, H$1:H752&lt;&gt;""""))), LEN(INDEX(FILTER(H$1:H752, H$1:H752&lt;&gt;""""),COUNTA(FILTER(H$1:H752, H$1:H752&lt;&gt;""""))))-1), IF('To Order'!$A753=COLUMNS($A753:H"&amp;"772), H752&amp;RIGHT(INDIRECT(ADDRESS(ROW(H753)-1, 'From Order'!$A753)), 1), H752))"),"")</f>
        <v/>
      </c>
      <c r="I753" s="2" t="str">
        <f>IFERROR(__xludf.DUMMYFUNCTION("IF('From Order'!$A753=COLUMNS($A753:I772), LEFT(INDEX(FILTER(I$1:I752, I$1:I752&lt;&gt;""""),COUNTA(FILTER(I$1:I752, I$1:I752&lt;&gt;""""))), LEN(INDEX(FILTER(I$1:I752, I$1:I752&lt;&gt;""""),COUNTA(FILTER(I$1:I752, I$1:I752&lt;&gt;""""))))-1), IF('To Order'!$A753=COLUMNS($A753:I"&amp;"772), I752&amp;RIGHT(INDIRECT(ADDRESS(ROW(I753)-1, 'From Order'!$A753)), 1), I752))"),"VP")</f>
        <v>VP</v>
      </c>
    </row>
    <row r="754">
      <c r="A754" s="2" t="str">
        <f>IFERROR(__xludf.DUMMYFUNCTION("IF('From Order'!$A754=COLUMNS($A754:A773), LEFT(INDEX(FILTER(A$1:A753, A$1:A753&lt;&gt;""""),COUNTA(FILTER(A$1:A753, A$1:A753&lt;&gt;""""))), LEN(INDEX(FILTER(A$1:A753, A$1:A753&lt;&gt;""""),COUNTA(FILTER(A$1:A753, A$1:A753&lt;&gt;""""))))-1), IF('To Order'!$A754=COLUMNS($A754:A"&amp;"773), A753&amp;RIGHT(INDIRECT(ADDRESS(ROW(A754)-1, 'From Order'!$A754)), 1), A753))"),"")</f>
        <v/>
      </c>
      <c r="B754" s="2" t="str">
        <f>IFERROR(__xludf.DUMMYFUNCTION("IF('From Order'!$A754=COLUMNS($A754:B773), LEFT(INDEX(FILTER(B$1:B753, B$1:B753&lt;&gt;""""),COUNTA(FILTER(B$1:B753, B$1:B753&lt;&gt;""""))), LEN(INDEX(FILTER(B$1:B753, B$1:B753&lt;&gt;""""),COUNTA(FILTER(B$1:B753, B$1:B753&lt;&gt;""""))))-1), IF('To Order'!$A754=COLUMNS($A754:B"&amp;"773), B753&amp;RIGHT(INDIRECT(ADDRESS(ROW(B754)-1, 'From Order'!$A754)), 1), B753))"),"JZRDCJT")</f>
        <v>JZRDCJT</v>
      </c>
      <c r="C754" s="2" t="str">
        <f>IFERROR(__xludf.DUMMYFUNCTION("IF('From Order'!$A754=COLUMNS($A754:C773), LEFT(INDEX(FILTER(C$1:C753, C$1:C753&lt;&gt;""""),COUNTA(FILTER(C$1:C753, C$1:C753&lt;&gt;""""))), LEN(INDEX(FILTER(C$1:C753, C$1:C753&lt;&gt;""""),COUNTA(FILTER(C$1:C753, C$1:C753&lt;&gt;""""))))-1), IF('To Order'!$A754=COLUMNS($A754:C"&amp;"773), C753&amp;RIGHT(INDIRECT(ADDRESS(ROW(C754)-1, 'From Order'!$A754)), 1), C753))"),"T")</f>
        <v>T</v>
      </c>
      <c r="D754" s="2" t="str">
        <f>IFERROR(__xludf.DUMMYFUNCTION("IF('From Order'!$A754=COLUMNS($A754:D773), LEFT(INDEX(FILTER(D$1:D753, D$1:D753&lt;&gt;""""),COUNTA(FILTER(D$1:D753, D$1:D753&lt;&gt;""""))), LEN(INDEX(FILTER(D$1:D753, D$1:D753&lt;&gt;""""),COUNTA(FILTER(D$1:D753, D$1:D753&lt;&gt;""""))))-1), IF('To Order'!$A754=COLUMNS($A754:D"&amp;"773), D753&amp;RIGHT(INDIRECT(ADDRESS(ROW(D754)-1, 'From Order'!$A754)), 1), D753))"),"TMZM")</f>
        <v>TMZM</v>
      </c>
      <c r="E754" s="2" t="str">
        <f>IFERROR(__xludf.DUMMYFUNCTION("IF('From Order'!$A754=COLUMNS($A754:E773), LEFT(INDEX(FILTER(E$1:E753, E$1:E753&lt;&gt;""""),COUNTA(FILTER(E$1:E753, E$1:E753&lt;&gt;""""))), LEN(INDEX(FILTER(E$1:E753, E$1:E753&lt;&gt;""""),COUNTA(FILTER(E$1:E753, E$1:E753&lt;&gt;""""))))-1), IF('To Order'!$A754=COLUMNS($A754:E"&amp;"773), E753&amp;RIGHT(INDIRECT(ADDRESS(ROW(E754)-1, 'From Order'!$A754)), 1), E753))"),"CVRZHMFB")</f>
        <v>CVRZHMFB</v>
      </c>
      <c r="F754" s="2" t="str">
        <f>IFERROR(__xludf.DUMMYFUNCTION("IF('From Order'!$A754=COLUMNS($A754:F773), LEFT(INDEX(FILTER(F$1:F753, F$1:F753&lt;&gt;""""),COUNTA(FILTER(F$1:F753, F$1:F753&lt;&gt;""""))), LEN(INDEX(FILTER(F$1:F753, F$1:F753&lt;&gt;""""),COUNTA(FILTER(F$1:F753, F$1:F753&lt;&gt;""""))))-1), IF('To Order'!$A754=COLUMNS($A754:F"&amp;"773), F753&amp;RIGHT(INDIRECT(ADDRESS(ROW(F754)-1, 'From Order'!$A754)), 1), F753))"),"")</f>
        <v/>
      </c>
      <c r="G754" s="2" t="str">
        <f>IFERROR(__xludf.DUMMYFUNCTION("IF('From Order'!$A754=COLUMNS($A754:G773), LEFT(INDEX(FILTER(G$1:G753, G$1:G753&lt;&gt;""""),COUNTA(FILTER(G$1:G753, G$1:G753&lt;&gt;""""))), LEN(INDEX(FILTER(G$1:G753, G$1:G753&lt;&gt;""""),COUNTA(FILTER(G$1:G753, G$1:G753&lt;&gt;""""))))-1), IF('To Order'!$A754=COLUMNS($A754:G"&amp;"773), G753&amp;RIGHT(INDIRECT(ADDRESS(ROW(G754)-1, 'From Order'!$A754)), 1), G753))"),"DTRLRQPDSSGHWQPBCVDRWTDJLBSGDTLSFB")</f>
        <v>DTRLRQPDSSGHWQPBCVDRWTDJLBSGDTLSFB</v>
      </c>
      <c r="H754" s="2" t="str">
        <f>IFERROR(__xludf.DUMMYFUNCTION("IF('From Order'!$A754=COLUMNS($A754:H773), LEFT(INDEX(FILTER(H$1:H753, H$1:H753&lt;&gt;""""),COUNTA(FILTER(H$1:H753, H$1:H753&lt;&gt;""""))), LEN(INDEX(FILTER(H$1:H753, H$1:H753&lt;&gt;""""),COUNTA(FILTER(H$1:H753, H$1:H753&lt;&gt;""""))))-1), IF('To Order'!$A754=COLUMNS($A754:H"&amp;"773), H753&amp;RIGHT(INDIRECT(ADDRESS(ROW(H754)-1, 'From Order'!$A754)), 1), H753))"),"")</f>
        <v/>
      </c>
      <c r="I754" s="2" t="str">
        <f>IFERROR(__xludf.DUMMYFUNCTION("IF('From Order'!$A754=COLUMNS($A754:I773), LEFT(INDEX(FILTER(I$1:I753, I$1:I753&lt;&gt;""""),COUNTA(FILTER(I$1:I753, I$1:I753&lt;&gt;""""))), LEN(INDEX(FILTER(I$1:I753, I$1:I753&lt;&gt;""""),COUNTA(FILTER(I$1:I753, I$1:I753&lt;&gt;""""))))-1), IF('To Order'!$A754=COLUMNS($A754:I"&amp;"773), I753&amp;RIGHT(INDIRECT(ADDRESS(ROW(I754)-1, 'From Order'!$A754)), 1), I753))"),"VP")</f>
        <v>VP</v>
      </c>
    </row>
    <row r="755">
      <c r="A755" s="2" t="str">
        <f>IFERROR(__xludf.DUMMYFUNCTION("IF('From Order'!$A755=COLUMNS($A755:A774), LEFT(INDEX(FILTER(A$1:A754, A$1:A754&lt;&gt;""""),COUNTA(FILTER(A$1:A754, A$1:A754&lt;&gt;""""))), LEN(INDEX(FILTER(A$1:A754, A$1:A754&lt;&gt;""""),COUNTA(FILTER(A$1:A754, A$1:A754&lt;&gt;""""))))-1), IF('To Order'!$A755=COLUMNS($A755:A"&amp;"774), A754&amp;RIGHT(INDIRECT(ADDRESS(ROW(A755)-1, 'From Order'!$A755)), 1), A754))"),"")</f>
        <v/>
      </c>
      <c r="B755" s="2" t="str">
        <f>IFERROR(__xludf.DUMMYFUNCTION("IF('From Order'!$A755=COLUMNS($A755:B774), LEFT(INDEX(FILTER(B$1:B754, B$1:B754&lt;&gt;""""),COUNTA(FILTER(B$1:B754, B$1:B754&lt;&gt;""""))), LEN(INDEX(FILTER(B$1:B754, B$1:B754&lt;&gt;""""),COUNTA(FILTER(B$1:B754, B$1:B754&lt;&gt;""""))))-1), IF('To Order'!$A755=COLUMNS($A755:B"&amp;"774), B754&amp;RIGHT(INDIRECT(ADDRESS(ROW(B755)-1, 'From Order'!$A755)), 1), B754))"),"JZRDCJT")</f>
        <v>JZRDCJT</v>
      </c>
      <c r="C755" s="2" t="str">
        <f>IFERROR(__xludf.DUMMYFUNCTION("IF('From Order'!$A755=COLUMNS($A755:C774), LEFT(INDEX(FILTER(C$1:C754, C$1:C754&lt;&gt;""""),COUNTA(FILTER(C$1:C754, C$1:C754&lt;&gt;""""))), LEN(INDEX(FILTER(C$1:C754, C$1:C754&lt;&gt;""""),COUNTA(FILTER(C$1:C754, C$1:C754&lt;&gt;""""))))-1), IF('To Order'!$A755=COLUMNS($A755:C"&amp;"774), C754&amp;RIGHT(INDIRECT(ADDRESS(ROW(C755)-1, 'From Order'!$A755)), 1), C754))"),"T")</f>
        <v>T</v>
      </c>
      <c r="D755" s="2" t="str">
        <f>IFERROR(__xludf.DUMMYFUNCTION("IF('From Order'!$A755=COLUMNS($A755:D774), LEFT(INDEX(FILTER(D$1:D754, D$1:D754&lt;&gt;""""),COUNTA(FILTER(D$1:D754, D$1:D754&lt;&gt;""""))), LEN(INDEX(FILTER(D$1:D754, D$1:D754&lt;&gt;""""),COUNTA(FILTER(D$1:D754, D$1:D754&lt;&gt;""""))))-1), IF('To Order'!$A755=COLUMNS($A755:D"&amp;"774), D754&amp;RIGHT(INDIRECT(ADDRESS(ROW(D755)-1, 'From Order'!$A755)), 1), D754))"),"TMZM")</f>
        <v>TMZM</v>
      </c>
      <c r="E755" s="2" t="str">
        <f>IFERROR(__xludf.DUMMYFUNCTION("IF('From Order'!$A755=COLUMNS($A755:E774), LEFT(INDEX(FILTER(E$1:E754, E$1:E754&lt;&gt;""""),COUNTA(FILTER(E$1:E754, E$1:E754&lt;&gt;""""))), LEN(INDEX(FILTER(E$1:E754, E$1:E754&lt;&gt;""""),COUNTA(FILTER(E$1:E754, E$1:E754&lt;&gt;""""))))-1), IF('To Order'!$A755=COLUMNS($A755:E"&amp;"774), E754&amp;RIGHT(INDIRECT(ADDRESS(ROW(E755)-1, 'From Order'!$A755)), 1), E754))"),"CVRZHMFBB")</f>
        <v>CVRZHMFBB</v>
      </c>
      <c r="F755" s="2" t="str">
        <f>IFERROR(__xludf.DUMMYFUNCTION("IF('From Order'!$A755=COLUMNS($A755:F774), LEFT(INDEX(FILTER(F$1:F754, F$1:F754&lt;&gt;""""),COUNTA(FILTER(F$1:F754, F$1:F754&lt;&gt;""""))), LEN(INDEX(FILTER(F$1:F754, F$1:F754&lt;&gt;""""),COUNTA(FILTER(F$1:F754, F$1:F754&lt;&gt;""""))))-1), IF('To Order'!$A755=COLUMNS($A755:F"&amp;"774), F754&amp;RIGHT(INDIRECT(ADDRESS(ROW(F755)-1, 'From Order'!$A755)), 1), F754))"),"")</f>
        <v/>
      </c>
      <c r="G755" s="2" t="str">
        <f>IFERROR(__xludf.DUMMYFUNCTION("IF('From Order'!$A755=COLUMNS($A755:G774), LEFT(INDEX(FILTER(G$1:G754, G$1:G754&lt;&gt;""""),COUNTA(FILTER(G$1:G754, G$1:G754&lt;&gt;""""))), LEN(INDEX(FILTER(G$1:G754, G$1:G754&lt;&gt;""""),COUNTA(FILTER(G$1:G754, G$1:G754&lt;&gt;""""))))-1), IF('To Order'!$A755=COLUMNS($A755:G"&amp;"774), G754&amp;RIGHT(INDIRECT(ADDRESS(ROW(G755)-1, 'From Order'!$A755)), 1), G754))"),"DTRLRQPDSSGHWQPBCVDRWTDJLBSGDTLSF")</f>
        <v>DTRLRQPDSSGHWQPBCVDRWTDJLBSGDTLSF</v>
      </c>
      <c r="H755" s="2" t="str">
        <f>IFERROR(__xludf.DUMMYFUNCTION("IF('From Order'!$A755=COLUMNS($A755:H774), LEFT(INDEX(FILTER(H$1:H754, H$1:H754&lt;&gt;""""),COUNTA(FILTER(H$1:H754, H$1:H754&lt;&gt;""""))), LEN(INDEX(FILTER(H$1:H754, H$1:H754&lt;&gt;""""),COUNTA(FILTER(H$1:H754, H$1:H754&lt;&gt;""""))))-1), IF('To Order'!$A755=COLUMNS($A755:H"&amp;"774), H754&amp;RIGHT(INDIRECT(ADDRESS(ROW(H755)-1, 'From Order'!$A755)), 1), H754))"),"")</f>
        <v/>
      </c>
      <c r="I755" s="2" t="str">
        <f>IFERROR(__xludf.DUMMYFUNCTION("IF('From Order'!$A755=COLUMNS($A755:I774), LEFT(INDEX(FILTER(I$1:I754, I$1:I754&lt;&gt;""""),COUNTA(FILTER(I$1:I754, I$1:I754&lt;&gt;""""))), LEN(INDEX(FILTER(I$1:I754, I$1:I754&lt;&gt;""""),COUNTA(FILTER(I$1:I754, I$1:I754&lt;&gt;""""))))-1), IF('To Order'!$A755=COLUMNS($A755:I"&amp;"774), I754&amp;RIGHT(INDIRECT(ADDRESS(ROW(I755)-1, 'From Order'!$A755)), 1), I754))"),"VP")</f>
        <v>VP</v>
      </c>
    </row>
    <row r="756">
      <c r="A756" s="2" t="str">
        <f>IFERROR(__xludf.DUMMYFUNCTION("IF('From Order'!$A756=COLUMNS($A756:A775), LEFT(INDEX(FILTER(A$1:A755, A$1:A755&lt;&gt;""""),COUNTA(FILTER(A$1:A755, A$1:A755&lt;&gt;""""))), LEN(INDEX(FILTER(A$1:A755, A$1:A755&lt;&gt;""""),COUNTA(FILTER(A$1:A755, A$1:A755&lt;&gt;""""))))-1), IF('To Order'!$A756=COLUMNS($A756:A"&amp;"775), A755&amp;RIGHT(INDIRECT(ADDRESS(ROW(A756)-1, 'From Order'!$A756)), 1), A755))"),"")</f>
        <v/>
      </c>
      <c r="B756" s="2" t="str">
        <f>IFERROR(__xludf.DUMMYFUNCTION("IF('From Order'!$A756=COLUMNS($A756:B775), LEFT(INDEX(FILTER(B$1:B755, B$1:B755&lt;&gt;""""),COUNTA(FILTER(B$1:B755, B$1:B755&lt;&gt;""""))), LEN(INDEX(FILTER(B$1:B755, B$1:B755&lt;&gt;""""),COUNTA(FILTER(B$1:B755, B$1:B755&lt;&gt;""""))))-1), IF('To Order'!$A756=COLUMNS($A756:B"&amp;"775), B755&amp;RIGHT(INDIRECT(ADDRESS(ROW(B756)-1, 'From Order'!$A756)), 1), B755))"),"JZRDCJT")</f>
        <v>JZRDCJT</v>
      </c>
      <c r="C756" s="2" t="str">
        <f>IFERROR(__xludf.DUMMYFUNCTION("IF('From Order'!$A756=COLUMNS($A756:C775), LEFT(INDEX(FILTER(C$1:C755, C$1:C755&lt;&gt;""""),COUNTA(FILTER(C$1:C755, C$1:C755&lt;&gt;""""))), LEN(INDEX(FILTER(C$1:C755, C$1:C755&lt;&gt;""""),COUNTA(FILTER(C$1:C755, C$1:C755&lt;&gt;""""))))-1), IF('To Order'!$A756=COLUMNS($A756:C"&amp;"775), C755&amp;RIGHT(INDIRECT(ADDRESS(ROW(C756)-1, 'From Order'!$A756)), 1), C755))"),"T")</f>
        <v>T</v>
      </c>
      <c r="D756" s="2" t="str">
        <f>IFERROR(__xludf.DUMMYFUNCTION("IF('From Order'!$A756=COLUMNS($A756:D775), LEFT(INDEX(FILTER(D$1:D755, D$1:D755&lt;&gt;""""),COUNTA(FILTER(D$1:D755, D$1:D755&lt;&gt;""""))), LEN(INDEX(FILTER(D$1:D755, D$1:D755&lt;&gt;""""),COUNTA(FILTER(D$1:D755, D$1:D755&lt;&gt;""""))))-1), IF('To Order'!$A756=COLUMNS($A756:D"&amp;"775), D755&amp;RIGHT(INDIRECT(ADDRESS(ROW(D756)-1, 'From Order'!$A756)), 1), D755))"),"TMZM")</f>
        <v>TMZM</v>
      </c>
      <c r="E756" s="2" t="str">
        <f>IFERROR(__xludf.DUMMYFUNCTION("IF('From Order'!$A756=COLUMNS($A756:E775), LEFT(INDEX(FILTER(E$1:E755, E$1:E755&lt;&gt;""""),COUNTA(FILTER(E$1:E755, E$1:E755&lt;&gt;""""))), LEN(INDEX(FILTER(E$1:E755, E$1:E755&lt;&gt;""""),COUNTA(FILTER(E$1:E755, E$1:E755&lt;&gt;""""))))-1), IF('To Order'!$A756=COLUMNS($A756:E"&amp;"775), E755&amp;RIGHT(INDIRECT(ADDRESS(ROW(E756)-1, 'From Order'!$A756)), 1), E755))"),"CVRZHMFBBF")</f>
        <v>CVRZHMFBBF</v>
      </c>
      <c r="F756" s="2" t="str">
        <f>IFERROR(__xludf.DUMMYFUNCTION("IF('From Order'!$A756=COLUMNS($A756:F775), LEFT(INDEX(FILTER(F$1:F755, F$1:F755&lt;&gt;""""),COUNTA(FILTER(F$1:F755, F$1:F755&lt;&gt;""""))), LEN(INDEX(FILTER(F$1:F755, F$1:F755&lt;&gt;""""),COUNTA(FILTER(F$1:F755, F$1:F755&lt;&gt;""""))))-1), IF('To Order'!$A756=COLUMNS($A756:F"&amp;"775), F755&amp;RIGHT(INDIRECT(ADDRESS(ROW(F756)-1, 'From Order'!$A756)), 1), F755))"),"")</f>
        <v/>
      </c>
      <c r="G756" s="2" t="str">
        <f>IFERROR(__xludf.DUMMYFUNCTION("IF('From Order'!$A756=COLUMNS($A756:G775), LEFT(INDEX(FILTER(G$1:G755, G$1:G755&lt;&gt;""""),COUNTA(FILTER(G$1:G755, G$1:G755&lt;&gt;""""))), LEN(INDEX(FILTER(G$1:G755, G$1:G755&lt;&gt;""""),COUNTA(FILTER(G$1:G755, G$1:G755&lt;&gt;""""))))-1), IF('To Order'!$A756=COLUMNS($A756:G"&amp;"775), G755&amp;RIGHT(INDIRECT(ADDRESS(ROW(G756)-1, 'From Order'!$A756)), 1), G755))"),"DTRLRQPDSSGHWQPBCVDRWTDJLBSGDTLS")</f>
        <v>DTRLRQPDSSGHWQPBCVDRWTDJLBSGDTLS</v>
      </c>
      <c r="H756" s="2" t="str">
        <f>IFERROR(__xludf.DUMMYFUNCTION("IF('From Order'!$A756=COLUMNS($A756:H775), LEFT(INDEX(FILTER(H$1:H755, H$1:H755&lt;&gt;""""),COUNTA(FILTER(H$1:H755, H$1:H755&lt;&gt;""""))), LEN(INDEX(FILTER(H$1:H755, H$1:H755&lt;&gt;""""),COUNTA(FILTER(H$1:H755, H$1:H755&lt;&gt;""""))))-1), IF('To Order'!$A756=COLUMNS($A756:H"&amp;"775), H755&amp;RIGHT(INDIRECT(ADDRESS(ROW(H756)-1, 'From Order'!$A756)), 1), H755))"),"")</f>
        <v/>
      </c>
      <c r="I756" s="2" t="str">
        <f>IFERROR(__xludf.DUMMYFUNCTION("IF('From Order'!$A756=COLUMNS($A756:I775), LEFT(INDEX(FILTER(I$1:I755, I$1:I755&lt;&gt;""""),COUNTA(FILTER(I$1:I755, I$1:I755&lt;&gt;""""))), LEN(INDEX(FILTER(I$1:I755, I$1:I755&lt;&gt;""""),COUNTA(FILTER(I$1:I755, I$1:I755&lt;&gt;""""))))-1), IF('To Order'!$A756=COLUMNS($A756:I"&amp;"775), I755&amp;RIGHT(INDIRECT(ADDRESS(ROW(I756)-1, 'From Order'!$A756)), 1), I755))"),"VP")</f>
        <v>VP</v>
      </c>
    </row>
    <row r="757">
      <c r="A757" s="2" t="str">
        <f>IFERROR(__xludf.DUMMYFUNCTION("IF('From Order'!$A757=COLUMNS($A757:A776), LEFT(INDEX(FILTER(A$1:A756, A$1:A756&lt;&gt;""""),COUNTA(FILTER(A$1:A756, A$1:A756&lt;&gt;""""))), LEN(INDEX(FILTER(A$1:A756, A$1:A756&lt;&gt;""""),COUNTA(FILTER(A$1:A756, A$1:A756&lt;&gt;""""))))-1), IF('To Order'!$A757=COLUMNS($A757:A"&amp;"776), A756&amp;RIGHT(INDIRECT(ADDRESS(ROW(A757)-1, 'From Order'!$A757)), 1), A756))"),"")</f>
        <v/>
      </c>
      <c r="B757" s="2" t="str">
        <f>IFERROR(__xludf.DUMMYFUNCTION("IF('From Order'!$A757=COLUMNS($A757:B776), LEFT(INDEX(FILTER(B$1:B756, B$1:B756&lt;&gt;""""),COUNTA(FILTER(B$1:B756, B$1:B756&lt;&gt;""""))), LEN(INDEX(FILTER(B$1:B756, B$1:B756&lt;&gt;""""),COUNTA(FILTER(B$1:B756, B$1:B756&lt;&gt;""""))))-1), IF('To Order'!$A757=COLUMNS($A757:B"&amp;"776), B756&amp;RIGHT(INDIRECT(ADDRESS(ROW(B757)-1, 'From Order'!$A757)), 1), B756))"),"JZRDCJT")</f>
        <v>JZRDCJT</v>
      </c>
      <c r="C757" s="2" t="str">
        <f>IFERROR(__xludf.DUMMYFUNCTION("IF('From Order'!$A757=COLUMNS($A757:C776), LEFT(INDEX(FILTER(C$1:C756, C$1:C756&lt;&gt;""""),COUNTA(FILTER(C$1:C756, C$1:C756&lt;&gt;""""))), LEN(INDEX(FILTER(C$1:C756, C$1:C756&lt;&gt;""""),COUNTA(FILTER(C$1:C756, C$1:C756&lt;&gt;""""))))-1), IF('To Order'!$A757=COLUMNS($A757:C"&amp;"776), C756&amp;RIGHT(INDIRECT(ADDRESS(ROW(C757)-1, 'From Order'!$A757)), 1), C756))"),"T")</f>
        <v>T</v>
      </c>
      <c r="D757" s="2" t="str">
        <f>IFERROR(__xludf.DUMMYFUNCTION("IF('From Order'!$A757=COLUMNS($A757:D776), LEFT(INDEX(FILTER(D$1:D756, D$1:D756&lt;&gt;""""),COUNTA(FILTER(D$1:D756, D$1:D756&lt;&gt;""""))), LEN(INDEX(FILTER(D$1:D756, D$1:D756&lt;&gt;""""),COUNTA(FILTER(D$1:D756, D$1:D756&lt;&gt;""""))))-1), IF('To Order'!$A757=COLUMNS($A757:D"&amp;"776), D756&amp;RIGHT(INDIRECT(ADDRESS(ROW(D757)-1, 'From Order'!$A757)), 1), D756))"),"TMZM")</f>
        <v>TMZM</v>
      </c>
      <c r="E757" s="2" t="str">
        <f>IFERROR(__xludf.DUMMYFUNCTION("IF('From Order'!$A757=COLUMNS($A757:E776), LEFT(INDEX(FILTER(E$1:E756, E$1:E756&lt;&gt;""""),COUNTA(FILTER(E$1:E756, E$1:E756&lt;&gt;""""))), LEN(INDEX(FILTER(E$1:E756, E$1:E756&lt;&gt;""""),COUNTA(FILTER(E$1:E756, E$1:E756&lt;&gt;""""))))-1), IF('To Order'!$A757=COLUMNS($A757:E"&amp;"776), E756&amp;RIGHT(INDIRECT(ADDRESS(ROW(E757)-1, 'From Order'!$A757)), 1), E756))"),"CVRZHMFBBFS")</f>
        <v>CVRZHMFBBFS</v>
      </c>
      <c r="F757" s="2" t="str">
        <f>IFERROR(__xludf.DUMMYFUNCTION("IF('From Order'!$A757=COLUMNS($A757:F776), LEFT(INDEX(FILTER(F$1:F756, F$1:F756&lt;&gt;""""),COUNTA(FILTER(F$1:F756, F$1:F756&lt;&gt;""""))), LEN(INDEX(FILTER(F$1:F756, F$1:F756&lt;&gt;""""),COUNTA(FILTER(F$1:F756, F$1:F756&lt;&gt;""""))))-1), IF('To Order'!$A757=COLUMNS($A757:F"&amp;"776), F756&amp;RIGHT(INDIRECT(ADDRESS(ROW(F757)-1, 'From Order'!$A757)), 1), F756))"),"")</f>
        <v/>
      </c>
      <c r="G757" s="2" t="str">
        <f>IFERROR(__xludf.DUMMYFUNCTION("IF('From Order'!$A757=COLUMNS($A757:G776), LEFT(INDEX(FILTER(G$1:G756, G$1:G756&lt;&gt;""""),COUNTA(FILTER(G$1:G756, G$1:G756&lt;&gt;""""))), LEN(INDEX(FILTER(G$1:G756, G$1:G756&lt;&gt;""""),COUNTA(FILTER(G$1:G756, G$1:G756&lt;&gt;""""))))-1), IF('To Order'!$A757=COLUMNS($A757:G"&amp;"776), G756&amp;RIGHT(INDIRECT(ADDRESS(ROW(G757)-1, 'From Order'!$A757)), 1), G756))"),"DTRLRQPDSSGHWQPBCVDRWTDJLBSGDTL")</f>
        <v>DTRLRQPDSSGHWQPBCVDRWTDJLBSGDTL</v>
      </c>
      <c r="H757" s="2" t="str">
        <f>IFERROR(__xludf.DUMMYFUNCTION("IF('From Order'!$A757=COLUMNS($A757:H776), LEFT(INDEX(FILTER(H$1:H756, H$1:H756&lt;&gt;""""),COUNTA(FILTER(H$1:H756, H$1:H756&lt;&gt;""""))), LEN(INDEX(FILTER(H$1:H756, H$1:H756&lt;&gt;""""),COUNTA(FILTER(H$1:H756, H$1:H756&lt;&gt;""""))))-1), IF('To Order'!$A757=COLUMNS($A757:H"&amp;"776), H756&amp;RIGHT(INDIRECT(ADDRESS(ROW(H757)-1, 'From Order'!$A757)), 1), H756))"),"")</f>
        <v/>
      </c>
      <c r="I757" s="2" t="str">
        <f>IFERROR(__xludf.DUMMYFUNCTION("IF('From Order'!$A757=COLUMNS($A757:I776), LEFT(INDEX(FILTER(I$1:I756, I$1:I756&lt;&gt;""""),COUNTA(FILTER(I$1:I756, I$1:I756&lt;&gt;""""))), LEN(INDEX(FILTER(I$1:I756, I$1:I756&lt;&gt;""""),COUNTA(FILTER(I$1:I756, I$1:I756&lt;&gt;""""))))-1), IF('To Order'!$A757=COLUMNS($A757:I"&amp;"776), I756&amp;RIGHT(INDIRECT(ADDRESS(ROW(I757)-1, 'From Order'!$A757)), 1), I756))"),"VP")</f>
        <v>VP</v>
      </c>
    </row>
    <row r="758">
      <c r="A758" s="2" t="str">
        <f>IFERROR(__xludf.DUMMYFUNCTION("IF('From Order'!$A758=COLUMNS($A758:A777), LEFT(INDEX(FILTER(A$1:A757, A$1:A757&lt;&gt;""""),COUNTA(FILTER(A$1:A757, A$1:A757&lt;&gt;""""))), LEN(INDEX(FILTER(A$1:A757, A$1:A757&lt;&gt;""""),COUNTA(FILTER(A$1:A757, A$1:A757&lt;&gt;""""))))-1), IF('To Order'!$A758=COLUMNS($A758:A"&amp;"777), A757&amp;RIGHT(INDIRECT(ADDRESS(ROW(A758)-1, 'From Order'!$A758)), 1), A757))"),"")</f>
        <v/>
      </c>
      <c r="B758" s="2" t="str">
        <f>IFERROR(__xludf.DUMMYFUNCTION("IF('From Order'!$A758=COLUMNS($A758:B777), LEFT(INDEX(FILTER(B$1:B757, B$1:B757&lt;&gt;""""),COUNTA(FILTER(B$1:B757, B$1:B757&lt;&gt;""""))), LEN(INDEX(FILTER(B$1:B757, B$1:B757&lt;&gt;""""),COUNTA(FILTER(B$1:B757, B$1:B757&lt;&gt;""""))))-1), IF('To Order'!$A758=COLUMNS($A758:B"&amp;"777), B757&amp;RIGHT(INDIRECT(ADDRESS(ROW(B758)-1, 'From Order'!$A758)), 1), B757))"),"JZRDCJT")</f>
        <v>JZRDCJT</v>
      </c>
      <c r="C758" s="2" t="str">
        <f>IFERROR(__xludf.DUMMYFUNCTION("IF('From Order'!$A758=COLUMNS($A758:C777), LEFT(INDEX(FILTER(C$1:C757, C$1:C757&lt;&gt;""""),COUNTA(FILTER(C$1:C757, C$1:C757&lt;&gt;""""))), LEN(INDEX(FILTER(C$1:C757, C$1:C757&lt;&gt;""""),COUNTA(FILTER(C$1:C757, C$1:C757&lt;&gt;""""))))-1), IF('To Order'!$A758=COLUMNS($A758:C"&amp;"777), C757&amp;RIGHT(INDIRECT(ADDRESS(ROW(C758)-1, 'From Order'!$A758)), 1), C757))"),"T")</f>
        <v>T</v>
      </c>
      <c r="D758" s="2" t="str">
        <f>IFERROR(__xludf.DUMMYFUNCTION("IF('From Order'!$A758=COLUMNS($A758:D777), LEFT(INDEX(FILTER(D$1:D757, D$1:D757&lt;&gt;""""),COUNTA(FILTER(D$1:D757, D$1:D757&lt;&gt;""""))), LEN(INDEX(FILTER(D$1:D757, D$1:D757&lt;&gt;""""),COUNTA(FILTER(D$1:D757, D$1:D757&lt;&gt;""""))))-1), IF('To Order'!$A758=COLUMNS($A758:D"&amp;"777), D757&amp;RIGHT(INDIRECT(ADDRESS(ROW(D758)-1, 'From Order'!$A758)), 1), D757))"),"TMZM")</f>
        <v>TMZM</v>
      </c>
      <c r="E758" s="2" t="str">
        <f>IFERROR(__xludf.DUMMYFUNCTION("IF('From Order'!$A758=COLUMNS($A758:E777), LEFT(INDEX(FILTER(E$1:E757, E$1:E757&lt;&gt;""""),COUNTA(FILTER(E$1:E757, E$1:E757&lt;&gt;""""))), LEN(INDEX(FILTER(E$1:E757, E$1:E757&lt;&gt;""""),COUNTA(FILTER(E$1:E757, E$1:E757&lt;&gt;""""))))-1), IF('To Order'!$A758=COLUMNS($A758:E"&amp;"777), E757&amp;RIGHT(INDIRECT(ADDRESS(ROW(E758)-1, 'From Order'!$A758)), 1), E757))"),"CVRZHMFBBFSL")</f>
        <v>CVRZHMFBBFSL</v>
      </c>
      <c r="F758" s="2" t="str">
        <f>IFERROR(__xludf.DUMMYFUNCTION("IF('From Order'!$A758=COLUMNS($A758:F777), LEFT(INDEX(FILTER(F$1:F757, F$1:F757&lt;&gt;""""),COUNTA(FILTER(F$1:F757, F$1:F757&lt;&gt;""""))), LEN(INDEX(FILTER(F$1:F757, F$1:F757&lt;&gt;""""),COUNTA(FILTER(F$1:F757, F$1:F757&lt;&gt;""""))))-1), IF('To Order'!$A758=COLUMNS($A758:F"&amp;"777), F757&amp;RIGHT(INDIRECT(ADDRESS(ROW(F758)-1, 'From Order'!$A758)), 1), F757))"),"")</f>
        <v/>
      </c>
      <c r="G758" s="2" t="str">
        <f>IFERROR(__xludf.DUMMYFUNCTION("IF('From Order'!$A758=COLUMNS($A758:G777), LEFT(INDEX(FILTER(G$1:G757, G$1:G757&lt;&gt;""""),COUNTA(FILTER(G$1:G757, G$1:G757&lt;&gt;""""))), LEN(INDEX(FILTER(G$1:G757, G$1:G757&lt;&gt;""""),COUNTA(FILTER(G$1:G757, G$1:G757&lt;&gt;""""))))-1), IF('To Order'!$A758=COLUMNS($A758:G"&amp;"777), G757&amp;RIGHT(INDIRECT(ADDRESS(ROW(G758)-1, 'From Order'!$A758)), 1), G757))"),"DTRLRQPDSSGHWQPBCVDRWTDJLBSGDT")</f>
        <v>DTRLRQPDSSGHWQPBCVDRWTDJLBSGDT</v>
      </c>
      <c r="H758" s="2" t="str">
        <f>IFERROR(__xludf.DUMMYFUNCTION("IF('From Order'!$A758=COLUMNS($A758:H777), LEFT(INDEX(FILTER(H$1:H757, H$1:H757&lt;&gt;""""),COUNTA(FILTER(H$1:H757, H$1:H757&lt;&gt;""""))), LEN(INDEX(FILTER(H$1:H757, H$1:H757&lt;&gt;""""),COUNTA(FILTER(H$1:H757, H$1:H757&lt;&gt;""""))))-1), IF('To Order'!$A758=COLUMNS($A758:H"&amp;"777), H757&amp;RIGHT(INDIRECT(ADDRESS(ROW(H758)-1, 'From Order'!$A758)), 1), H757))"),"")</f>
        <v/>
      </c>
      <c r="I758" s="2" t="str">
        <f>IFERROR(__xludf.DUMMYFUNCTION("IF('From Order'!$A758=COLUMNS($A758:I777), LEFT(INDEX(FILTER(I$1:I757, I$1:I757&lt;&gt;""""),COUNTA(FILTER(I$1:I757, I$1:I757&lt;&gt;""""))), LEN(INDEX(FILTER(I$1:I757, I$1:I757&lt;&gt;""""),COUNTA(FILTER(I$1:I757, I$1:I757&lt;&gt;""""))))-1), IF('To Order'!$A758=COLUMNS($A758:I"&amp;"777), I757&amp;RIGHT(INDIRECT(ADDRESS(ROW(I758)-1, 'From Order'!$A758)), 1), I757))"),"VP")</f>
        <v>VP</v>
      </c>
    </row>
    <row r="759">
      <c r="A759" s="2" t="str">
        <f>IFERROR(__xludf.DUMMYFUNCTION("IF('From Order'!$A759=COLUMNS($A759:A778), LEFT(INDEX(FILTER(A$1:A758, A$1:A758&lt;&gt;""""),COUNTA(FILTER(A$1:A758, A$1:A758&lt;&gt;""""))), LEN(INDEX(FILTER(A$1:A758, A$1:A758&lt;&gt;""""),COUNTA(FILTER(A$1:A758, A$1:A758&lt;&gt;""""))))-1), IF('To Order'!$A759=COLUMNS($A759:A"&amp;"778), A758&amp;RIGHT(INDIRECT(ADDRESS(ROW(A759)-1, 'From Order'!$A759)), 1), A758))"),"")</f>
        <v/>
      </c>
      <c r="B759" s="2" t="str">
        <f>IFERROR(__xludf.DUMMYFUNCTION("IF('From Order'!$A759=COLUMNS($A759:B778), LEFT(INDEX(FILTER(B$1:B758, B$1:B758&lt;&gt;""""),COUNTA(FILTER(B$1:B758, B$1:B758&lt;&gt;""""))), LEN(INDEX(FILTER(B$1:B758, B$1:B758&lt;&gt;""""),COUNTA(FILTER(B$1:B758, B$1:B758&lt;&gt;""""))))-1), IF('To Order'!$A759=COLUMNS($A759:B"&amp;"778), B758&amp;RIGHT(INDIRECT(ADDRESS(ROW(B759)-1, 'From Order'!$A759)), 1), B758))"),"JZRDCJT")</f>
        <v>JZRDCJT</v>
      </c>
      <c r="C759" s="2" t="str">
        <f>IFERROR(__xludf.DUMMYFUNCTION("IF('From Order'!$A759=COLUMNS($A759:C778), LEFT(INDEX(FILTER(C$1:C758, C$1:C758&lt;&gt;""""),COUNTA(FILTER(C$1:C758, C$1:C758&lt;&gt;""""))), LEN(INDEX(FILTER(C$1:C758, C$1:C758&lt;&gt;""""),COUNTA(FILTER(C$1:C758, C$1:C758&lt;&gt;""""))))-1), IF('To Order'!$A759=COLUMNS($A759:C"&amp;"778), C758&amp;RIGHT(INDIRECT(ADDRESS(ROW(C759)-1, 'From Order'!$A759)), 1), C758))"),"T")</f>
        <v>T</v>
      </c>
      <c r="D759" s="2" t="str">
        <f>IFERROR(__xludf.DUMMYFUNCTION("IF('From Order'!$A759=COLUMNS($A759:D778), LEFT(INDEX(FILTER(D$1:D758, D$1:D758&lt;&gt;""""),COUNTA(FILTER(D$1:D758, D$1:D758&lt;&gt;""""))), LEN(INDEX(FILTER(D$1:D758, D$1:D758&lt;&gt;""""),COUNTA(FILTER(D$1:D758, D$1:D758&lt;&gt;""""))))-1), IF('To Order'!$A759=COLUMNS($A759:D"&amp;"778), D758&amp;RIGHT(INDIRECT(ADDRESS(ROW(D759)-1, 'From Order'!$A759)), 1), D758))"),"TMZM")</f>
        <v>TMZM</v>
      </c>
      <c r="E759" s="2" t="str">
        <f>IFERROR(__xludf.DUMMYFUNCTION("IF('From Order'!$A759=COLUMNS($A759:E778), LEFT(INDEX(FILTER(E$1:E758, E$1:E758&lt;&gt;""""),COUNTA(FILTER(E$1:E758, E$1:E758&lt;&gt;""""))), LEN(INDEX(FILTER(E$1:E758, E$1:E758&lt;&gt;""""),COUNTA(FILTER(E$1:E758, E$1:E758&lt;&gt;""""))))-1), IF('To Order'!$A759=COLUMNS($A759:E"&amp;"778), E758&amp;RIGHT(INDIRECT(ADDRESS(ROW(E759)-1, 'From Order'!$A759)), 1), E758))"),"CVRZHMFBBFSLT")</f>
        <v>CVRZHMFBBFSLT</v>
      </c>
      <c r="F759" s="2" t="str">
        <f>IFERROR(__xludf.DUMMYFUNCTION("IF('From Order'!$A759=COLUMNS($A759:F778), LEFT(INDEX(FILTER(F$1:F758, F$1:F758&lt;&gt;""""),COUNTA(FILTER(F$1:F758, F$1:F758&lt;&gt;""""))), LEN(INDEX(FILTER(F$1:F758, F$1:F758&lt;&gt;""""),COUNTA(FILTER(F$1:F758, F$1:F758&lt;&gt;""""))))-1), IF('To Order'!$A759=COLUMNS($A759:F"&amp;"778), F758&amp;RIGHT(INDIRECT(ADDRESS(ROW(F759)-1, 'From Order'!$A759)), 1), F758))"),"")</f>
        <v/>
      </c>
      <c r="G759" s="2" t="str">
        <f>IFERROR(__xludf.DUMMYFUNCTION("IF('From Order'!$A759=COLUMNS($A759:G778), LEFT(INDEX(FILTER(G$1:G758, G$1:G758&lt;&gt;""""),COUNTA(FILTER(G$1:G758, G$1:G758&lt;&gt;""""))), LEN(INDEX(FILTER(G$1:G758, G$1:G758&lt;&gt;""""),COUNTA(FILTER(G$1:G758, G$1:G758&lt;&gt;""""))))-1), IF('To Order'!$A759=COLUMNS($A759:G"&amp;"778), G758&amp;RIGHT(INDIRECT(ADDRESS(ROW(G759)-1, 'From Order'!$A759)), 1), G758))"),"DTRLRQPDSSGHWQPBCVDRWTDJLBSGD")</f>
        <v>DTRLRQPDSSGHWQPBCVDRWTDJLBSGD</v>
      </c>
      <c r="H759" s="2" t="str">
        <f>IFERROR(__xludf.DUMMYFUNCTION("IF('From Order'!$A759=COLUMNS($A759:H778), LEFT(INDEX(FILTER(H$1:H758, H$1:H758&lt;&gt;""""),COUNTA(FILTER(H$1:H758, H$1:H758&lt;&gt;""""))), LEN(INDEX(FILTER(H$1:H758, H$1:H758&lt;&gt;""""),COUNTA(FILTER(H$1:H758, H$1:H758&lt;&gt;""""))))-1), IF('To Order'!$A759=COLUMNS($A759:H"&amp;"778), H758&amp;RIGHT(INDIRECT(ADDRESS(ROW(H759)-1, 'From Order'!$A759)), 1), H758))"),"")</f>
        <v/>
      </c>
      <c r="I759" s="2" t="str">
        <f>IFERROR(__xludf.DUMMYFUNCTION("IF('From Order'!$A759=COLUMNS($A759:I778), LEFT(INDEX(FILTER(I$1:I758, I$1:I758&lt;&gt;""""),COUNTA(FILTER(I$1:I758, I$1:I758&lt;&gt;""""))), LEN(INDEX(FILTER(I$1:I758, I$1:I758&lt;&gt;""""),COUNTA(FILTER(I$1:I758, I$1:I758&lt;&gt;""""))))-1), IF('To Order'!$A759=COLUMNS($A759:I"&amp;"778), I758&amp;RIGHT(INDIRECT(ADDRESS(ROW(I759)-1, 'From Order'!$A759)), 1), I758))"),"VP")</f>
        <v>VP</v>
      </c>
    </row>
    <row r="760">
      <c r="A760" s="2" t="str">
        <f>IFERROR(__xludf.DUMMYFUNCTION("IF('From Order'!$A760=COLUMNS($A760:A779), LEFT(INDEX(FILTER(A$1:A759, A$1:A759&lt;&gt;""""),COUNTA(FILTER(A$1:A759, A$1:A759&lt;&gt;""""))), LEN(INDEX(FILTER(A$1:A759, A$1:A759&lt;&gt;""""),COUNTA(FILTER(A$1:A759, A$1:A759&lt;&gt;""""))))-1), IF('To Order'!$A760=COLUMNS($A760:A"&amp;"779), A759&amp;RIGHT(INDIRECT(ADDRESS(ROW(A760)-1, 'From Order'!$A760)), 1), A759))"),"")</f>
        <v/>
      </c>
      <c r="B760" s="2" t="str">
        <f>IFERROR(__xludf.DUMMYFUNCTION("IF('From Order'!$A760=COLUMNS($A760:B779), LEFT(INDEX(FILTER(B$1:B759, B$1:B759&lt;&gt;""""),COUNTA(FILTER(B$1:B759, B$1:B759&lt;&gt;""""))), LEN(INDEX(FILTER(B$1:B759, B$1:B759&lt;&gt;""""),COUNTA(FILTER(B$1:B759, B$1:B759&lt;&gt;""""))))-1), IF('To Order'!$A760=COLUMNS($A760:B"&amp;"779), B759&amp;RIGHT(INDIRECT(ADDRESS(ROW(B760)-1, 'From Order'!$A760)), 1), B759))"),"JZRDCJT")</f>
        <v>JZRDCJT</v>
      </c>
      <c r="C760" s="2" t="str">
        <f>IFERROR(__xludf.DUMMYFUNCTION("IF('From Order'!$A760=COLUMNS($A760:C779), LEFT(INDEX(FILTER(C$1:C759, C$1:C759&lt;&gt;""""),COUNTA(FILTER(C$1:C759, C$1:C759&lt;&gt;""""))), LEN(INDEX(FILTER(C$1:C759, C$1:C759&lt;&gt;""""),COUNTA(FILTER(C$1:C759, C$1:C759&lt;&gt;""""))))-1), IF('To Order'!$A760=COLUMNS($A760:C"&amp;"779), C759&amp;RIGHT(INDIRECT(ADDRESS(ROW(C760)-1, 'From Order'!$A760)), 1), C759))"),"T")</f>
        <v>T</v>
      </c>
      <c r="D760" s="2" t="str">
        <f>IFERROR(__xludf.DUMMYFUNCTION("IF('From Order'!$A760=COLUMNS($A760:D779), LEFT(INDEX(FILTER(D$1:D759, D$1:D759&lt;&gt;""""),COUNTA(FILTER(D$1:D759, D$1:D759&lt;&gt;""""))), LEN(INDEX(FILTER(D$1:D759, D$1:D759&lt;&gt;""""),COUNTA(FILTER(D$1:D759, D$1:D759&lt;&gt;""""))))-1), IF('To Order'!$A760=COLUMNS($A760:D"&amp;"779), D759&amp;RIGHT(INDIRECT(ADDRESS(ROW(D760)-1, 'From Order'!$A760)), 1), D759))"),"TMZM")</f>
        <v>TMZM</v>
      </c>
      <c r="E760" s="2" t="str">
        <f>IFERROR(__xludf.DUMMYFUNCTION("IF('From Order'!$A760=COLUMNS($A760:E779), LEFT(INDEX(FILTER(E$1:E759, E$1:E759&lt;&gt;""""),COUNTA(FILTER(E$1:E759, E$1:E759&lt;&gt;""""))), LEN(INDEX(FILTER(E$1:E759, E$1:E759&lt;&gt;""""),COUNTA(FILTER(E$1:E759, E$1:E759&lt;&gt;""""))))-1), IF('To Order'!$A760=COLUMNS($A760:E"&amp;"779), E759&amp;RIGHT(INDIRECT(ADDRESS(ROW(E760)-1, 'From Order'!$A760)), 1), E759))"),"CVRZHMFBBFSLTD")</f>
        <v>CVRZHMFBBFSLTD</v>
      </c>
      <c r="F760" s="2" t="str">
        <f>IFERROR(__xludf.DUMMYFUNCTION("IF('From Order'!$A760=COLUMNS($A760:F779), LEFT(INDEX(FILTER(F$1:F759, F$1:F759&lt;&gt;""""),COUNTA(FILTER(F$1:F759, F$1:F759&lt;&gt;""""))), LEN(INDEX(FILTER(F$1:F759, F$1:F759&lt;&gt;""""),COUNTA(FILTER(F$1:F759, F$1:F759&lt;&gt;""""))))-1), IF('To Order'!$A760=COLUMNS($A760:F"&amp;"779), F759&amp;RIGHT(INDIRECT(ADDRESS(ROW(F760)-1, 'From Order'!$A760)), 1), F759))"),"")</f>
        <v/>
      </c>
      <c r="G760" s="2" t="str">
        <f>IFERROR(__xludf.DUMMYFUNCTION("IF('From Order'!$A760=COLUMNS($A760:G779), LEFT(INDEX(FILTER(G$1:G759, G$1:G759&lt;&gt;""""),COUNTA(FILTER(G$1:G759, G$1:G759&lt;&gt;""""))), LEN(INDEX(FILTER(G$1:G759, G$1:G759&lt;&gt;""""),COUNTA(FILTER(G$1:G759, G$1:G759&lt;&gt;""""))))-1), IF('To Order'!$A760=COLUMNS($A760:G"&amp;"779), G759&amp;RIGHT(INDIRECT(ADDRESS(ROW(G760)-1, 'From Order'!$A760)), 1), G759))"),"DTRLRQPDSSGHWQPBCVDRWTDJLBSG")</f>
        <v>DTRLRQPDSSGHWQPBCVDRWTDJLBSG</v>
      </c>
      <c r="H760" s="2" t="str">
        <f>IFERROR(__xludf.DUMMYFUNCTION("IF('From Order'!$A760=COLUMNS($A760:H779), LEFT(INDEX(FILTER(H$1:H759, H$1:H759&lt;&gt;""""),COUNTA(FILTER(H$1:H759, H$1:H759&lt;&gt;""""))), LEN(INDEX(FILTER(H$1:H759, H$1:H759&lt;&gt;""""),COUNTA(FILTER(H$1:H759, H$1:H759&lt;&gt;""""))))-1), IF('To Order'!$A760=COLUMNS($A760:H"&amp;"779), H759&amp;RIGHT(INDIRECT(ADDRESS(ROW(H760)-1, 'From Order'!$A760)), 1), H759))"),"")</f>
        <v/>
      </c>
      <c r="I760" s="2" t="str">
        <f>IFERROR(__xludf.DUMMYFUNCTION("IF('From Order'!$A760=COLUMNS($A760:I779), LEFT(INDEX(FILTER(I$1:I759, I$1:I759&lt;&gt;""""),COUNTA(FILTER(I$1:I759, I$1:I759&lt;&gt;""""))), LEN(INDEX(FILTER(I$1:I759, I$1:I759&lt;&gt;""""),COUNTA(FILTER(I$1:I759, I$1:I759&lt;&gt;""""))))-1), IF('To Order'!$A760=COLUMNS($A760:I"&amp;"779), I759&amp;RIGHT(INDIRECT(ADDRESS(ROW(I760)-1, 'From Order'!$A760)), 1), I759))"),"VP")</f>
        <v>VP</v>
      </c>
    </row>
    <row r="761">
      <c r="A761" s="2" t="str">
        <f>IFERROR(__xludf.DUMMYFUNCTION("IF('From Order'!$A761=COLUMNS($A761:A780), LEFT(INDEX(FILTER(A$1:A760, A$1:A760&lt;&gt;""""),COUNTA(FILTER(A$1:A760, A$1:A760&lt;&gt;""""))), LEN(INDEX(FILTER(A$1:A760, A$1:A760&lt;&gt;""""),COUNTA(FILTER(A$1:A760, A$1:A760&lt;&gt;""""))))-1), IF('To Order'!$A761=COLUMNS($A761:A"&amp;"780), A760&amp;RIGHT(INDIRECT(ADDRESS(ROW(A761)-1, 'From Order'!$A761)), 1), A760))"),"")</f>
        <v/>
      </c>
      <c r="B761" s="2" t="str">
        <f>IFERROR(__xludf.DUMMYFUNCTION("IF('From Order'!$A761=COLUMNS($A761:B780), LEFT(INDEX(FILTER(B$1:B760, B$1:B760&lt;&gt;""""),COUNTA(FILTER(B$1:B760, B$1:B760&lt;&gt;""""))), LEN(INDEX(FILTER(B$1:B760, B$1:B760&lt;&gt;""""),COUNTA(FILTER(B$1:B760, B$1:B760&lt;&gt;""""))))-1), IF('To Order'!$A761=COLUMNS($A761:B"&amp;"780), B760&amp;RIGHT(INDIRECT(ADDRESS(ROW(B761)-1, 'From Order'!$A761)), 1), B760))"),"JZRDCJT")</f>
        <v>JZRDCJT</v>
      </c>
      <c r="C761" s="2" t="str">
        <f>IFERROR(__xludf.DUMMYFUNCTION("IF('From Order'!$A761=COLUMNS($A761:C780), LEFT(INDEX(FILTER(C$1:C760, C$1:C760&lt;&gt;""""),COUNTA(FILTER(C$1:C760, C$1:C760&lt;&gt;""""))), LEN(INDEX(FILTER(C$1:C760, C$1:C760&lt;&gt;""""),COUNTA(FILTER(C$1:C760, C$1:C760&lt;&gt;""""))))-1), IF('To Order'!$A761=COLUMNS($A761:C"&amp;"780), C760&amp;RIGHT(INDIRECT(ADDRESS(ROW(C761)-1, 'From Order'!$A761)), 1), C760))"),"T")</f>
        <v>T</v>
      </c>
      <c r="D761" s="2" t="str">
        <f>IFERROR(__xludf.DUMMYFUNCTION("IF('From Order'!$A761=COLUMNS($A761:D780), LEFT(INDEX(FILTER(D$1:D760, D$1:D760&lt;&gt;""""),COUNTA(FILTER(D$1:D760, D$1:D760&lt;&gt;""""))), LEN(INDEX(FILTER(D$1:D760, D$1:D760&lt;&gt;""""),COUNTA(FILTER(D$1:D760, D$1:D760&lt;&gt;""""))))-1), IF('To Order'!$A761=COLUMNS($A761:D"&amp;"780), D760&amp;RIGHT(INDIRECT(ADDRESS(ROW(D761)-1, 'From Order'!$A761)), 1), D760))"),"TMZM")</f>
        <v>TMZM</v>
      </c>
      <c r="E761" s="2" t="str">
        <f>IFERROR(__xludf.DUMMYFUNCTION("IF('From Order'!$A761=COLUMNS($A761:E780), LEFT(INDEX(FILTER(E$1:E760, E$1:E760&lt;&gt;""""),COUNTA(FILTER(E$1:E760, E$1:E760&lt;&gt;""""))), LEN(INDEX(FILTER(E$1:E760, E$1:E760&lt;&gt;""""),COUNTA(FILTER(E$1:E760, E$1:E760&lt;&gt;""""))))-1), IF('To Order'!$A761=COLUMNS($A761:E"&amp;"780), E760&amp;RIGHT(INDIRECT(ADDRESS(ROW(E761)-1, 'From Order'!$A761)), 1), E760))"),"CVRZHMFBBFSLTDG")</f>
        <v>CVRZHMFBBFSLTDG</v>
      </c>
      <c r="F761" s="2" t="str">
        <f>IFERROR(__xludf.DUMMYFUNCTION("IF('From Order'!$A761=COLUMNS($A761:F780), LEFT(INDEX(FILTER(F$1:F760, F$1:F760&lt;&gt;""""),COUNTA(FILTER(F$1:F760, F$1:F760&lt;&gt;""""))), LEN(INDEX(FILTER(F$1:F760, F$1:F760&lt;&gt;""""),COUNTA(FILTER(F$1:F760, F$1:F760&lt;&gt;""""))))-1), IF('To Order'!$A761=COLUMNS($A761:F"&amp;"780), F760&amp;RIGHT(INDIRECT(ADDRESS(ROW(F761)-1, 'From Order'!$A761)), 1), F760))"),"")</f>
        <v/>
      </c>
      <c r="G761" s="2" t="str">
        <f>IFERROR(__xludf.DUMMYFUNCTION("IF('From Order'!$A761=COLUMNS($A761:G780), LEFT(INDEX(FILTER(G$1:G760, G$1:G760&lt;&gt;""""),COUNTA(FILTER(G$1:G760, G$1:G760&lt;&gt;""""))), LEN(INDEX(FILTER(G$1:G760, G$1:G760&lt;&gt;""""),COUNTA(FILTER(G$1:G760, G$1:G760&lt;&gt;""""))))-1), IF('To Order'!$A761=COLUMNS($A761:G"&amp;"780), G760&amp;RIGHT(INDIRECT(ADDRESS(ROW(G761)-1, 'From Order'!$A761)), 1), G760))"),"DTRLRQPDSSGHWQPBCVDRWTDJLBS")</f>
        <v>DTRLRQPDSSGHWQPBCVDRWTDJLBS</v>
      </c>
      <c r="H761" s="2" t="str">
        <f>IFERROR(__xludf.DUMMYFUNCTION("IF('From Order'!$A761=COLUMNS($A761:H780), LEFT(INDEX(FILTER(H$1:H760, H$1:H760&lt;&gt;""""),COUNTA(FILTER(H$1:H760, H$1:H760&lt;&gt;""""))), LEN(INDEX(FILTER(H$1:H760, H$1:H760&lt;&gt;""""),COUNTA(FILTER(H$1:H760, H$1:H760&lt;&gt;""""))))-1), IF('To Order'!$A761=COLUMNS($A761:H"&amp;"780), H760&amp;RIGHT(INDIRECT(ADDRESS(ROW(H761)-1, 'From Order'!$A761)), 1), H760))"),"")</f>
        <v/>
      </c>
      <c r="I761" s="2" t="str">
        <f>IFERROR(__xludf.DUMMYFUNCTION("IF('From Order'!$A761=COLUMNS($A761:I780), LEFT(INDEX(FILTER(I$1:I760, I$1:I760&lt;&gt;""""),COUNTA(FILTER(I$1:I760, I$1:I760&lt;&gt;""""))), LEN(INDEX(FILTER(I$1:I760, I$1:I760&lt;&gt;""""),COUNTA(FILTER(I$1:I760, I$1:I760&lt;&gt;""""))))-1), IF('To Order'!$A761=COLUMNS($A761:I"&amp;"780), I760&amp;RIGHT(INDIRECT(ADDRESS(ROW(I761)-1, 'From Order'!$A761)), 1), I760))"),"VP")</f>
        <v>VP</v>
      </c>
    </row>
    <row r="762">
      <c r="A762" s="2" t="str">
        <f>IFERROR(__xludf.DUMMYFUNCTION("IF('From Order'!$A762=COLUMNS($A762:A781), LEFT(INDEX(FILTER(A$1:A761, A$1:A761&lt;&gt;""""),COUNTA(FILTER(A$1:A761, A$1:A761&lt;&gt;""""))), LEN(INDEX(FILTER(A$1:A761, A$1:A761&lt;&gt;""""),COUNTA(FILTER(A$1:A761, A$1:A761&lt;&gt;""""))))-1), IF('To Order'!$A762=COLUMNS($A762:A"&amp;"781), A761&amp;RIGHT(INDIRECT(ADDRESS(ROW(A762)-1, 'From Order'!$A762)), 1), A761))"),"")</f>
        <v/>
      </c>
      <c r="B762" s="2" t="str">
        <f>IFERROR(__xludf.DUMMYFUNCTION("IF('From Order'!$A762=COLUMNS($A762:B781), LEFT(INDEX(FILTER(B$1:B761, B$1:B761&lt;&gt;""""),COUNTA(FILTER(B$1:B761, B$1:B761&lt;&gt;""""))), LEN(INDEX(FILTER(B$1:B761, B$1:B761&lt;&gt;""""),COUNTA(FILTER(B$1:B761, B$1:B761&lt;&gt;""""))))-1), IF('To Order'!$A762=COLUMNS($A762:B"&amp;"781), B761&amp;RIGHT(INDIRECT(ADDRESS(ROW(B762)-1, 'From Order'!$A762)), 1), B761))"),"JZRDCJT")</f>
        <v>JZRDCJT</v>
      </c>
      <c r="C762" s="2" t="str">
        <f>IFERROR(__xludf.DUMMYFUNCTION("IF('From Order'!$A762=COLUMNS($A762:C781), LEFT(INDEX(FILTER(C$1:C761, C$1:C761&lt;&gt;""""),COUNTA(FILTER(C$1:C761, C$1:C761&lt;&gt;""""))), LEN(INDEX(FILTER(C$1:C761, C$1:C761&lt;&gt;""""),COUNTA(FILTER(C$1:C761, C$1:C761&lt;&gt;""""))))-1), IF('To Order'!$A762=COLUMNS($A762:C"&amp;"781), C761&amp;RIGHT(INDIRECT(ADDRESS(ROW(C762)-1, 'From Order'!$A762)), 1), C761))"),"T")</f>
        <v>T</v>
      </c>
      <c r="D762" s="2" t="str">
        <f>IFERROR(__xludf.DUMMYFUNCTION("IF('From Order'!$A762=COLUMNS($A762:D781), LEFT(INDEX(FILTER(D$1:D761, D$1:D761&lt;&gt;""""),COUNTA(FILTER(D$1:D761, D$1:D761&lt;&gt;""""))), LEN(INDEX(FILTER(D$1:D761, D$1:D761&lt;&gt;""""),COUNTA(FILTER(D$1:D761, D$1:D761&lt;&gt;""""))))-1), IF('To Order'!$A762=COLUMNS($A762:D"&amp;"781), D761&amp;RIGHT(INDIRECT(ADDRESS(ROW(D762)-1, 'From Order'!$A762)), 1), D761))"),"TMZM")</f>
        <v>TMZM</v>
      </c>
      <c r="E762" s="2" t="str">
        <f>IFERROR(__xludf.DUMMYFUNCTION("IF('From Order'!$A762=COLUMNS($A762:E781), LEFT(INDEX(FILTER(E$1:E761, E$1:E761&lt;&gt;""""),COUNTA(FILTER(E$1:E761, E$1:E761&lt;&gt;""""))), LEN(INDEX(FILTER(E$1:E761, E$1:E761&lt;&gt;""""),COUNTA(FILTER(E$1:E761, E$1:E761&lt;&gt;""""))))-1), IF('To Order'!$A762=COLUMNS($A762:E"&amp;"781), E761&amp;RIGHT(INDIRECT(ADDRESS(ROW(E762)-1, 'From Order'!$A762)), 1), E761))"),"CVRZHMFBBFSLTDGS")</f>
        <v>CVRZHMFBBFSLTDGS</v>
      </c>
      <c r="F762" s="2" t="str">
        <f>IFERROR(__xludf.DUMMYFUNCTION("IF('From Order'!$A762=COLUMNS($A762:F781), LEFT(INDEX(FILTER(F$1:F761, F$1:F761&lt;&gt;""""),COUNTA(FILTER(F$1:F761, F$1:F761&lt;&gt;""""))), LEN(INDEX(FILTER(F$1:F761, F$1:F761&lt;&gt;""""),COUNTA(FILTER(F$1:F761, F$1:F761&lt;&gt;""""))))-1), IF('To Order'!$A762=COLUMNS($A762:F"&amp;"781), F761&amp;RIGHT(INDIRECT(ADDRESS(ROW(F762)-1, 'From Order'!$A762)), 1), F761))"),"")</f>
        <v/>
      </c>
      <c r="G762" s="2" t="str">
        <f>IFERROR(__xludf.DUMMYFUNCTION("IF('From Order'!$A762=COLUMNS($A762:G781), LEFT(INDEX(FILTER(G$1:G761, G$1:G761&lt;&gt;""""),COUNTA(FILTER(G$1:G761, G$1:G761&lt;&gt;""""))), LEN(INDEX(FILTER(G$1:G761, G$1:G761&lt;&gt;""""),COUNTA(FILTER(G$1:G761, G$1:G761&lt;&gt;""""))))-1), IF('To Order'!$A762=COLUMNS($A762:G"&amp;"781), G761&amp;RIGHT(INDIRECT(ADDRESS(ROW(G762)-1, 'From Order'!$A762)), 1), G761))"),"DTRLRQPDSSGHWQPBCVDRWTDJLB")</f>
        <v>DTRLRQPDSSGHWQPBCVDRWTDJLB</v>
      </c>
      <c r="H762" s="2" t="str">
        <f>IFERROR(__xludf.DUMMYFUNCTION("IF('From Order'!$A762=COLUMNS($A762:H781), LEFT(INDEX(FILTER(H$1:H761, H$1:H761&lt;&gt;""""),COUNTA(FILTER(H$1:H761, H$1:H761&lt;&gt;""""))), LEN(INDEX(FILTER(H$1:H761, H$1:H761&lt;&gt;""""),COUNTA(FILTER(H$1:H761, H$1:H761&lt;&gt;""""))))-1), IF('To Order'!$A762=COLUMNS($A762:H"&amp;"781), H761&amp;RIGHT(INDIRECT(ADDRESS(ROW(H762)-1, 'From Order'!$A762)), 1), H761))"),"")</f>
        <v/>
      </c>
      <c r="I762" s="2" t="str">
        <f>IFERROR(__xludf.DUMMYFUNCTION("IF('From Order'!$A762=COLUMNS($A762:I781), LEFT(INDEX(FILTER(I$1:I761, I$1:I761&lt;&gt;""""),COUNTA(FILTER(I$1:I761, I$1:I761&lt;&gt;""""))), LEN(INDEX(FILTER(I$1:I761, I$1:I761&lt;&gt;""""),COUNTA(FILTER(I$1:I761, I$1:I761&lt;&gt;""""))))-1), IF('To Order'!$A762=COLUMNS($A762:I"&amp;"781), I761&amp;RIGHT(INDIRECT(ADDRESS(ROW(I762)-1, 'From Order'!$A762)), 1), I761))"),"VP")</f>
        <v>VP</v>
      </c>
    </row>
    <row r="763">
      <c r="A763" s="2" t="str">
        <f>IFERROR(__xludf.DUMMYFUNCTION("IF('From Order'!$A763=COLUMNS($A763:A782), LEFT(INDEX(FILTER(A$1:A762, A$1:A762&lt;&gt;""""),COUNTA(FILTER(A$1:A762, A$1:A762&lt;&gt;""""))), LEN(INDEX(FILTER(A$1:A762, A$1:A762&lt;&gt;""""),COUNTA(FILTER(A$1:A762, A$1:A762&lt;&gt;""""))))-1), IF('To Order'!$A763=COLUMNS($A763:A"&amp;"782), A762&amp;RIGHT(INDIRECT(ADDRESS(ROW(A763)-1, 'From Order'!$A763)), 1), A762))"),"")</f>
        <v/>
      </c>
      <c r="B763" s="2" t="str">
        <f>IFERROR(__xludf.DUMMYFUNCTION("IF('From Order'!$A763=COLUMNS($A763:B782), LEFT(INDEX(FILTER(B$1:B762, B$1:B762&lt;&gt;""""),COUNTA(FILTER(B$1:B762, B$1:B762&lt;&gt;""""))), LEN(INDEX(FILTER(B$1:B762, B$1:B762&lt;&gt;""""),COUNTA(FILTER(B$1:B762, B$1:B762&lt;&gt;""""))))-1), IF('To Order'!$A763=COLUMNS($A763:B"&amp;"782), B762&amp;RIGHT(INDIRECT(ADDRESS(ROW(B763)-1, 'From Order'!$A763)), 1), B762))"),"JZRDCJT")</f>
        <v>JZRDCJT</v>
      </c>
      <c r="C763" s="2" t="str">
        <f>IFERROR(__xludf.DUMMYFUNCTION("IF('From Order'!$A763=COLUMNS($A763:C782), LEFT(INDEX(FILTER(C$1:C762, C$1:C762&lt;&gt;""""),COUNTA(FILTER(C$1:C762, C$1:C762&lt;&gt;""""))), LEN(INDEX(FILTER(C$1:C762, C$1:C762&lt;&gt;""""),COUNTA(FILTER(C$1:C762, C$1:C762&lt;&gt;""""))))-1), IF('To Order'!$A763=COLUMNS($A763:C"&amp;"782), C762&amp;RIGHT(INDIRECT(ADDRESS(ROW(C763)-1, 'From Order'!$A763)), 1), C762))"),"T")</f>
        <v>T</v>
      </c>
      <c r="D763" s="2" t="str">
        <f>IFERROR(__xludf.DUMMYFUNCTION("IF('From Order'!$A763=COLUMNS($A763:D782), LEFT(INDEX(FILTER(D$1:D762, D$1:D762&lt;&gt;""""),COUNTA(FILTER(D$1:D762, D$1:D762&lt;&gt;""""))), LEN(INDEX(FILTER(D$1:D762, D$1:D762&lt;&gt;""""),COUNTA(FILTER(D$1:D762, D$1:D762&lt;&gt;""""))))-1), IF('To Order'!$A763=COLUMNS($A763:D"&amp;"782), D762&amp;RIGHT(INDIRECT(ADDRESS(ROW(D763)-1, 'From Order'!$A763)), 1), D762))"),"TMZM")</f>
        <v>TMZM</v>
      </c>
      <c r="E763" s="2" t="str">
        <f>IFERROR(__xludf.DUMMYFUNCTION("IF('From Order'!$A763=COLUMNS($A763:E782), LEFT(INDEX(FILTER(E$1:E762, E$1:E762&lt;&gt;""""),COUNTA(FILTER(E$1:E762, E$1:E762&lt;&gt;""""))), LEN(INDEX(FILTER(E$1:E762, E$1:E762&lt;&gt;""""),COUNTA(FILTER(E$1:E762, E$1:E762&lt;&gt;""""))))-1), IF('To Order'!$A763=COLUMNS($A763:E"&amp;"782), E762&amp;RIGHT(INDIRECT(ADDRESS(ROW(E763)-1, 'From Order'!$A763)), 1), E762))"),"CVRZHMFBBFSLTDGSB")</f>
        <v>CVRZHMFBBFSLTDGSB</v>
      </c>
      <c r="F763" s="2" t="str">
        <f>IFERROR(__xludf.DUMMYFUNCTION("IF('From Order'!$A763=COLUMNS($A763:F782), LEFT(INDEX(FILTER(F$1:F762, F$1:F762&lt;&gt;""""),COUNTA(FILTER(F$1:F762, F$1:F762&lt;&gt;""""))), LEN(INDEX(FILTER(F$1:F762, F$1:F762&lt;&gt;""""),COUNTA(FILTER(F$1:F762, F$1:F762&lt;&gt;""""))))-1), IF('To Order'!$A763=COLUMNS($A763:F"&amp;"782), F762&amp;RIGHT(INDIRECT(ADDRESS(ROW(F763)-1, 'From Order'!$A763)), 1), F762))"),"")</f>
        <v/>
      </c>
      <c r="G763" s="2" t="str">
        <f>IFERROR(__xludf.DUMMYFUNCTION("IF('From Order'!$A763=COLUMNS($A763:G782), LEFT(INDEX(FILTER(G$1:G762, G$1:G762&lt;&gt;""""),COUNTA(FILTER(G$1:G762, G$1:G762&lt;&gt;""""))), LEN(INDEX(FILTER(G$1:G762, G$1:G762&lt;&gt;""""),COUNTA(FILTER(G$1:G762, G$1:G762&lt;&gt;""""))))-1), IF('To Order'!$A763=COLUMNS($A763:G"&amp;"782), G762&amp;RIGHT(INDIRECT(ADDRESS(ROW(G763)-1, 'From Order'!$A763)), 1), G762))"),"DTRLRQPDSSGHWQPBCVDRWTDJL")</f>
        <v>DTRLRQPDSSGHWQPBCVDRWTDJL</v>
      </c>
      <c r="H763" s="2" t="str">
        <f>IFERROR(__xludf.DUMMYFUNCTION("IF('From Order'!$A763=COLUMNS($A763:H782), LEFT(INDEX(FILTER(H$1:H762, H$1:H762&lt;&gt;""""),COUNTA(FILTER(H$1:H762, H$1:H762&lt;&gt;""""))), LEN(INDEX(FILTER(H$1:H762, H$1:H762&lt;&gt;""""),COUNTA(FILTER(H$1:H762, H$1:H762&lt;&gt;""""))))-1), IF('To Order'!$A763=COLUMNS($A763:H"&amp;"782), H762&amp;RIGHT(INDIRECT(ADDRESS(ROW(H763)-1, 'From Order'!$A763)), 1), H762))"),"")</f>
        <v/>
      </c>
      <c r="I763" s="2" t="str">
        <f>IFERROR(__xludf.DUMMYFUNCTION("IF('From Order'!$A763=COLUMNS($A763:I782), LEFT(INDEX(FILTER(I$1:I762, I$1:I762&lt;&gt;""""),COUNTA(FILTER(I$1:I762, I$1:I762&lt;&gt;""""))), LEN(INDEX(FILTER(I$1:I762, I$1:I762&lt;&gt;""""),COUNTA(FILTER(I$1:I762, I$1:I762&lt;&gt;""""))))-1), IF('To Order'!$A763=COLUMNS($A763:I"&amp;"782), I762&amp;RIGHT(INDIRECT(ADDRESS(ROW(I763)-1, 'From Order'!$A763)), 1), I762))"),"VP")</f>
        <v>VP</v>
      </c>
    </row>
    <row r="764">
      <c r="A764" s="2" t="str">
        <f>IFERROR(__xludf.DUMMYFUNCTION("IF('From Order'!$A764=COLUMNS($A764:A783), LEFT(INDEX(FILTER(A$1:A763, A$1:A763&lt;&gt;""""),COUNTA(FILTER(A$1:A763, A$1:A763&lt;&gt;""""))), LEN(INDEX(FILTER(A$1:A763, A$1:A763&lt;&gt;""""),COUNTA(FILTER(A$1:A763, A$1:A763&lt;&gt;""""))))-1), IF('To Order'!$A764=COLUMNS($A764:A"&amp;"783), A763&amp;RIGHT(INDIRECT(ADDRESS(ROW(A764)-1, 'From Order'!$A764)), 1), A763))"),"")</f>
        <v/>
      </c>
      <c r="B764" s="2" t="str">
        <f>IFERROR(__xludf.DUMMYFUNCTION("IF('From Order'!$A764=COLUMNS($A764:B783), LEFT(INDEX(FILTER(B$1:B763, B$1:B763&lt;&gt;""""),COUNTA(FILTER(B$1:B763, B$1:B763&lt;&gt;""""))), LEN(INDEX(FILTER(B$1:B763, B$1:B763&lt;&gt;""""),COUNTA(FILTER(B$1:B763, B$1:B763&lt;&gt;""""))))-1), IF('To Order'!$A764=COLUMNS($A764:B"&amp;"783), B763&amp;RIGHT(INDIRECT(ADDRESS(ROW(B764)-1, 'From Order'!$A764)), 1), B763))"),"JZRDCJT")</f>
        <v>JZRDCJT</v>
      </c>
      <c r="C764" s="2" t="str">
        <f>IFERROR(__xludf.DUMMYFUNCTION("IF('From Order'!$A764=COLUMNS($A764:C783), LEFT(INDEX(FILTER(C$1:C763, C$1:C763&lt;&gt;""""),COUNTA(FILTER(C$1:C763, C$1:C763&lt;&gt;""""))), LEN(INDEX(FILTER(C$1:C763, C$1:C763&lt;&gt;""""),COUNTA(FILTER(C$1:C763, C$1:C763&lt;&gt;""""))))-1), IF('To Order'!$A764=COLUMNS($A764:C"&amp;"783), C763&amp;RIGHT(INDIRECT(ADDRESS(ROW(C764)-1, 'From Order'!$A764)), 1), C763))"),"T")</f>
        <v>T</v>
      </c>
      <c r="D764" s="2" t="str">
        <f>IFERROR(__xludf.DUMMYFUNCTION("IF('From Order'!$A764=COLUMNS($A764:D783), LEFT(INDEX(FILTER(D$1:D763, D$1:D763&lt;&gt;""""),COUNTA(FILTER(D$1:D763, D$1:D763&lt;&gt;""""))), LEN(INDEX(FILTER(D$1:D763, D$1:D763&lt;&gt;""""),COUNTA(FILTER(D$1:D763, D$1:D763&lt;&gt;""""))))-1), IF('To Order'!$A764=COLUMNS($A764:D"&amp;"783), D763&amp;RIGHT(INDIRECT(ADDRESS(ROW(D764)-1, 'From Order'!$A764)), 1), D763))"),"TMZM")</f>
        <v>TMZM</v>
      </c>
      <c r="E764" s="2" t="str">
        <f>IFERROR(__xludf.DUMMYFUNCTION("IF('From Order'!$A764=COLUMNS($A764:E783), LEFT(INDEX(FILTER(E$1:E763, E$1:E763&lt;&gt;""""),COUNTA(FILTER(E$1:E763, E$1:E763&lt;&gt;""""))), LEN(INDEX(FILTER(E$1:E763, E$1:E763&lt;&gt;""""),COUNTA(FILTER(E$1:E763, E$1:E763&lt;&gt;""""))))-1), IF('To Order'!$A764=COLUMNS($A764:E"&amp;"783), E763&amp;RIGHT(INDIRECT(ADDRESS(ROW(E764)-1, 'From Order'!$A764)), 1), E763))"),"CVRZHMFBBFSLTDGSBL")</f>
        <v>CVRZHMFBBFSLTDGSBL</v>
      </c>
      <c r="F764" s="2" t="str">
        <f>IFERROR(__xludf.DUMMYFUNCTION("IF('From Order'!$A764=COLUMNS($A764:F783), LEFT(INDEX(FILTER(F$1:F763, F$1:F763&lt;&gt;""""),COUNTA(FILTER(F$1:F763, F$1:F763&lt;&gt;""""))), LEN(INDEX(FILTER(F$1:F763, F$1:F763&lt;&gt;""""),COUNTA(FILTER(F$1:F763, F$1:F763&lt;&gt;""""))))-1), IF('To Order'!$A764=COLUMNS($A764:F"&amp;"783), F763&amp;RIGHT(INDIRECT(ADDRESS(ROW(F764)-1, 'From Order'!$A764)), 1), F763))"),"")</f>
        <v/>
      </c>
      <c r="G764" s="2" t="str">
        <f>IFERROR(__xludf.DUMMYFUNCTION("IF('From Order'!$A764=COLUMNS($A764:G783), LEFT(INDEX(FILTER(G$1:G763, G$1:G763&lt;&gt;""""),COUNTA(FILTER(G$1:G763, G$1:G763&lt;&gt;""""))), LEN(INDEX(FILTER(G$1:G763, G$1:G763&lt;&gt;""""),COUNTA(FILTER(G$1:G763, G$1:G763&lt;&gt;""""))))-1), IF('To Order'!$A764=COLUMNS($A764:G"&amp;"783), G763&amp;RIGHT(INDIRECT(ADDRESS(ROW(G764)-1, 'From Order'!$A764)), 1), G763))"),"DTRLRQPDSSGHWQPBCVDRWTDJ")</f>
        <v>DTRLRQPDSSGHWQPBCVDRWTDJ</v>
      </c>
      <c r="H764" s="2" t="str">
        <f>IFERROR(__xludf.DUMMYFUNCTION("IF('From Order'!$A764=COLUMNS($A764:H783), LEFT(INDEX(FILTER(H$1:H763, H$1:H763&lt;&gt;""""),COUNTA(FILTER(H$1:H763, H$1:H763&lt;&gt;""""))), LEN(INDEX(FILTER(H$1:H763, H$1:H763&lt;&gt;""""),COUNTA(FILTER(H$1:H763, H$1:H763&lt;&gt;""""))))-1), IF('To Order'!$A764=COLUMNS($A764:H"&amp;"783), H763&amp;RIGHT(INDIRECT(ADDRESS(ROW(H764)-1, 'From Order'!$A764)), 1), H763))"),"")</f>
        <v/>
      </c>
      <c r="I764" s="2" t="str">
        <f>IFERROR(__xludf.DUMMYFUNCTION("IF('From Order'!$A764=COLUMNS($A764:I783), LEFT(INDEX(FILTER(I$1:I763, I$1:I763&lt;&gt;""""),COUNTA(FILTER(I$1:I763, I$1:I763&lt;&gt;""""))), LEN(INDEX(FILTER(I$1:I763, I$1:I763&lt;&gt;""""),COUNTA(FILTER(I$1:I763, I$1:I763&lt;&gt;""""))))-1), IF('To Order'!$A764=COLUMNS($A764:I"&amp;"783), I763&amp;RIGHT(INDIRECT(ADDRESS(ROW(I764)-1, 'From Order'!$A764)), 1), I763))"),"VP")</f>
        <v>VP</v>
      </c>
    </row>
    <row r="765">
      <c r="A765" s="2" t="str">
        <f>IFERROR(__xludf.DUMMYFUNCTION("IF('From Order'!$A765=COLUMNS($A765:A784), LEFT(INDEX(FILTER(A$1:A764, A$1:A764&lt;&gt;""""),COUNTA(FILTER(A$1:A764, A$1:A764&lt;&gt;""""))), LEN(INDEX(FILTER(A$1:A764, A$1:A764&lt;&gt;""""),COUNTA(FILTER(A$1:A764, A$1:A764&lt;&gt;""""))))-1), IF('To Order'!$A765=COLUMNS($A765:A"&amp;"784), A764&amp;RIGHT(INDIRECT(ADDRESS(ROW(A765)-1, 'From Order'!$A765)), 1), A764))"),"")</f>
        <v/>
      </c>
      <c r="B765" s="2" t="str">
        <f>IFERROR(__xludf.DUMMYFUNCTION("IF('From Order'!$A765=COLUMNS($A765:B784), LEFT(INDEX(FILTER(B$1:B764, B$1:B764&lt;&gt;""""),COUNTA(FILTER(B$1:B764, B$1:B764&lt;&gt;""""))), LEN(INDEX(FILTER(B$1:B764, B$1:B764&lt;&gt;""""),COUNTA(FILTER(B$1:B764, B$1:B764&lt;&gt;""""))))-1), IF('To Order'!$A765=COLUMNS($A765:B"&amp;"784), B764&amp;RIGHT(INDIRECT(ADDRESS(ROW(B765)-1, 'From Order'!$A765)), 1), B764))"),"JZRDCJT")</f>
        <v>JZRDCJT</v>
      </c>
      <c r="C765" s="2" t="str">
        <f>IFERROR(__xludf.DUMMYFUNCTION("IF('From Order'!$A765=COLUMNS($A765:C784), LEFT(INDEX(FILTER(C$1:C764, C$1:C764&lt;&gt;""""),COUNTA(FILTER(C$1:C764, C$1:C764&lt;&gt;""""))), LEN(INDEX(FILTER(C$1:C764, C$1:C764&lt;&gt;""""),COUNTA(FILTER(C$1:C764, C$1:C764&lt;&gt;""""))))-1), IF('To Order'!$A765=COLUMNS($A765:C"&amp;"784), C764&amp;RIGHT(INDIRECT(ADDRESS(ROW(C765)-1, 'From Order'!$A765)), 1), C764))"),"T")</f>
        <v>T</v>
      </c>
      <c r="D765" s="2" t="str">
        <f>IFERROR(__xludf.DUMMYFUNCTION("IF('From Order'!$A765=COLUMNS($A765:D784), LEFT(INDEX(FILTER(D$1:D764, D$1:D764&lt;&gt;""""),COUNTA(FILTER(D$1:D764, D$1:D764&lt;&gt;""""))), LEN(INDEX(FILTER(D$1:D764, D$1:D764&lt;&gt;""""),COUNTA(FILTER(D$1:D764, D$1:D764&lt;&gt;""""))))-1), IF('To Order'!$A765=COLUMNS($A765:D"&amp;"784), D764&amp;RIGHT(INDIRECT(ADDRESS(ROW(D765)-1, 'From Order'!$A765)), 1), D764))"),"TMZM")</f>
        <v>TMZM</v>
      </c>
      <c r="E765" s="2" t="str">
        <f>IFERROR(__xludf.DUMMYFUNCTION("IF('From Order'!$A765=COLUMNS($A765:E784), LEFT(INDEX(FILTER(E$1:E764, E$1:E764&lt;&gt;""""),COUNTA(FILTER(E$1:E764, E$1:E764&lt;&gt;""""))), LEN(INDEX(FILTER(E$1:E764, E$1:E764&lt;&gt;""""),COUNTA(FILTER(E$1:E764, E$1:E764&lt;&gt;""""))))-1), IF('To Order'!$A765=COLUMNS($A765:E"&amp;"784), E764&amp;RIGHT(INDIRECT(ADDRESS(ROW(E765)-1, 'From Order'!$A765)), 1), E764))"),"CVRZHMFBBFSLTDGSBLJ")</f>
        <v>CVRZHMFBBFSLTDGSBLJ</v>
      </c>
      <c r="F765" s="2" t="str">
        <f>IFERROR(__xludf.DUMMYFUNCTION("IF('From Order'!$A765=COLUMNS($A765:F784), LEFT(INDEX(FILTER(F$1:F764, F$1:F764&lt;&gt;""""),COUNTA(FILTER(F$1:F764, F$1:F764&lt;&gt;""""))), LEN(INDEX(FILTER(F$1:F764, F$1:F764&lt;&gt;""""),COUNTA(FILTER(F$1:F764, F$1:F764&lt;&gt;""""))))-1), IF('To Order'!$A765=COLUMNS($A765:F"&amp;"784), F764&amp;RIGHT(INDIRECT(ADDRESS(ROW(F765)-1, 'From Order'!$A765)), 1), F764))"),"")</f>
        <v/>
      </c>
      <c r="G765" s="2" t="str">
        <f>IFERROR(__xludf.DUMMYFUNCTION("IF('From Order'!$A765=COLUMNS($A765:G784), LEFT(INDEX(FILTER(G$1:G764, G$1:G764&lt;&gt;""""),COUNTA(FILTER(G$1:G764, G$1:G764&lt;&gt;""""))), LEN(INDEX(FILTER(G$1:G764, G$1:G764&lt;&gt;""""),COUNTA(FILTER(G$1:G764, G$1:G764&lt;&gt;""""))))-1), IF('To Order'!$A765=COLUMNS($A765:G"&amp;"784), G764&amp;RIGHT(INDIRECT(ADDRESS(ROW(G765)-1, 'From Order'!$A765)), 1), G764))"),"DTRLRQPDSSGHWQPBCVDRWTD")</f>
        <v>DTRLRQPDSSGHWQPBCVDRWTD</v>
      </c>
      <c r="H765" s="2" t="str">
        <f>IFERROR(__xludf.DUMMYFUNCTION("IF('From Order'!$A765=COLUMNS($A765:H784), LEFT(INDEX(FILTER(H$1:H764, H$1:H764&lt;&gt;""""),COUNTA(FILTER(H$1:H764, H$1:H764&lt;&gt;""""))), LEN(INDEX(FILTER(H$1:H764, H$1:H764&lt;&gt;""""),COUNTA(FILTER(H$1:H764, H$1:H764&lt;&gt;""""))))-1), IF('To Order'!$A765=COLUMNS($A765:H"&amp;"784), H764&amp;RIGHT(INDIRECT(ADDRESS(ROW(H765)-1, 'From Order'!$A765)), 1), H764))"),"")</f>
        <v/>
      </c>
      <c r="I765" s="2" t="str">
        <f>IFERROR(__xludf.DUMMYFUNCTION("IF('From Order'!$A765=COLUMNS($A765:I784), LEFT(INDEX(FILTER(I$1:I764, I$1:I764&lt;&gt;""""),COUNTA(FILTER(I$1:I764, I$1:I764&lt;&gt;""""))), LEN(INDEX(FILTER(I$1:I764, I$1:I764&lt;&gt;""""),COUNTA(FILTER(I$1:I764, I$1:I764&lt;&gt;""""))))-1), IF('To Order'!$A765=COLUMNS($A765:I"&amp;"784), I764&amp;RIGHT(INDIRECT(ADDRESS(ROW(I765)-1, 'From Order'!$A765)), 1), I764))"),"VP")</f>
        <v>VP</v>
      </c>
    </row>
    <row r="766">
      <c r="A766" s="2" t="str">
        <f>IFERROR(__xludf.DUMMYFUNCTION("IF('From Order'!$A766=COLUMNS($A766:A785), LEFT(INDEX(FILTER(A$1:A765, A$1:A765&lt;&gt;""""),COUNTA(FILTER(A$1:A765, A$1:A765&lt;&gt;""""))), LEN(INDEX(FILTER(A$1:A765, A$1:A765&lt;&gt;""""),COUNTA(FILTER(A$1:A765, A$1:A765&lt;&gt;""""))))-1), IF('To Order'!$A766=COLUMNS($A766:A"&amp;"785), A765&amp;RIGHT(INDIRECT(ADDRESS(ROW(A766)-1, 'From Order'!$A766)), 1), A765))"),"")</f>
        <v/>
      </c>
      <c r="B766" s="2" t="str">
        <f>IFERROR(__xludf.DUMMYFUNCTION("IF('From Order'!$A766=COLUMNS($A766:B785), LEFT(INDEX(FILTER(B$1:B765, B$1:B765&lt;&gt;""""),COUNTA(FILTER(B$1:B765, B$1:B765&lt;&gt;""""))), LEN(INDEX(FILTER(B$1:B765, B$1:B765&lt;&gt;""""),COUNTA(FILTER(B$1:B765, B$1:B765&lt;&gt;""""))))-1), IF('To Order'!$A766=COLUMNS($A766:B"&amp;"785), B765&amp;RIGHT(INDIRECT(ADDRESS(ROW(B766)-1, 'From Order'!$A766)), 1), B765))"),"JZRDCJTT")</f>
        <v>JZRDCJTT</v>
      </c>
      <c r="C766" s="2" t="str">
        <f>IFERROR(__xludf.DUMMYFUNCTION("IF('From Order'!$A766=COLUMNS($A766:C785), LEFT(INDEX(FILTER(C$1:C765, C$1:C765&lt;&gt;""""),COUNTA(FILTER(C$1:C765, C$1:C765&lt;&gt;""""))), LEN(INDEX(FILTER(C$1:C765, C$1:C765&lt;&gt;""""),COUNTA(FILTER(C$1:C765, C$1:C765&lt;&gt;""""))))-1), IF('To Order'!$A766=COLUMNS($A766:C"&amp;"785), C765&amp;RIGHT(INDIRECT(ADDRESS(ROW(C766)-1, 'From Order'!$A766)), 1), C765))"),"")</f>
        <v/>
      </c>
      <c r="D766" s="2" t="str">
        <f>IFERROR(__xludf.DUMMYFUNCTION("IF('From Order'!$A766=COLUMNS($A766:D785), LEFT(INDEX(FILTER(D$1:D765, D$1:D765&lt;&gt;""""),COUNTA(FILTER(D$1:D765, D$1:D765&lt;&gt;""""))), LEN(INDEX(FILTER(D$1:D765, D$1:D765&lt;&gt;""""),COUNTA(FILTER(D$1:D765, D$1:D765&lt;&gt;""""))))-1), IF('To Order'!$A766=COLUMNS($A766:D"&amp;"785), D765&amp;RIGHT(INDIRECT(ADDRESS(ROW(D766)-1, 'From Order'!$A766)), 1), D765))"),"TMZM")</f>
        <v>TMZM</v>
      </c>
      <c r="E766" s="2" t="str">
        <f>IFERROR(__xludf.DUMMYFUNCTION("IF('From Order'!$A766=COLUMNS($A766:E785), LEFT(INDEX(FILTER(E$1:E765, E$1:E765&lt;&gt;""""),COUNTA(FILTER(E$1:E765, E$1:E765&lt;&gt;""""))), LEN(INDEX(FILTER(E$1:E765, E$1:E765&lt;&gt;""""),COUNTA(FILTER(E$1:E765, E$1:E765&lt;&gt;""""))))-1), IF('To Order'!$A766=COLUMNS($A766:E"&amp;"785), E765&amp;RIGHT(INDIRECT(ADDRESS(ROW(E766)-1, 'From Order'!$A766)), 1), E765))"),"CVRZHMFBBFSLTDGSBLJ")</f>
        <v>CVRZHMFBBFSLTDGSBLJ</v>
      </c>
      <c r="F766" s="2" t="str">
        <f>IFERROR(__xludf.DUMMYFUNCTION("IF('From Order'!$A766=COLUMNS($A766:F785), LEFT(INDEX(FILTER(F$1:F765, F$1:F765&lt;&gt;""""),COUNTA(FILTER(F$1:F765, F$1:F765&lt;&gt;""""))), LEN(INDEX(FILTER(F$1:F765, F$1:F765&lt;&gt;""""),COUNTA(FILTER(F$1:F765, F$1:F765&lt;&gt;""""))))-1), IF('To Order'!$A766=COLUMNS($A766:F"&amp;"785), F765&amp;RIGHT(INDIRECT(ADDRESS(ROW(F766)-1, 'From Order'!$A766)), 1), F765))"),"")</f>
        <v/>
      </c>
      <c r="G766" s="2" t="str">
        <f>IFERROR(__xludf.DUMMYFUNCTION("IF('From Order'!$A766=COLUMNS($A766:G785), LEFT(INDEX(FILTER(G$1:G765, G$1:G765&lt;&gt;""""),COUNTA(FILTER(G$1:G765, G$1:G765&lt;&gt;""""))), LEN(INDEX(FILTER(G$1:G765, G$1:G765&lt;&gt;""""),COUNTA(FILTER(G$1:G765, G$1:G765&lt;&gt;""""))))-1), IF('To Order'!$A766=COLUMNS($A766:G"&amp;"785), G765&amp;RIGHT(INDIRECT(ADDRESS(ROW(G766)-1, 'From Order'!$A766)), 1), G765))"),"DTRLRQPDSSGHWQPBCVDRWTD")</f>
        <v>DTRLRQPDSSGHWQPBCVDRWTD</v>
      </c>
      <c r="H766" s="2" t="str">
        <f>IFERROR(__xludf.DUMMYFUNCTION("IF('From Order'!$A766=COLUMNS($A766:H785), LEFT(INDEX(FILTER(H$1:H765, H$1:H765&lt;&gt;""""),COUNTA(FILTER(H$1:H765, H$1:H765&lt;&gt;""""))), LEN(INDEX(FILTER(H$1:H765, H$1:H765&lt;&gt;""""),COUNTA(FILTER(H$1:H765, H$1:H765&lt;&gt;""""))))-1), IF('To Order'!$A766=COLUMNS($A766:H"&amp;"785), H765&amp;RIGHT(INDIRECT(ADDRESS(ROW(H766)-1, 'From Order'!$A766)), 1), H765))"),"")</f>
        <v/>
      </c>
      <c r="I766" s="2" t="str">
        <f>IFERROR(__xludf.DUMMYFUNCTION("IF('From Order'!$A766=COLUMNS($A766:I785), LEFT(INDEX(FILTER(I$1:I765, I$1:I765&lt;&gt;""""),COUNTA(FILTER(I$1:I765, I$1:I765&lt;&gt;""""))), LEN(INDEX(FILTER(I$1:I765, I$1:I765&lt;&gt;""""),COUNTA(FILTER(I$1:I765, I$1:I765&lt;&gt;""""))))-1), IF('To Order'!$A766=COLUMNS($A766:I"&amp;"785), I765&amp;RIGHT(INDIRECT(ADDRESS(ROW(I766)-1, 'From Order'!$A766)), 1), I765))"),"VP")</f>
        <v>VP</v>
      </c>
    </row>
    <row r="767">
      <c r="A767" s="2" t="str">
        <f>IFERROR(__xludf.DUMMYFUNCTION("IF('From Order'!$A767=COLUMNS($A767:A786), LEFT(INDEX(FILTER(A$1:A766, A$1:A766&lt;&gt;""""),COUNTA(FILTER(A$1:A766, A$1:A766&lt;&gt;""""))), LEN(INDEX(FILTER(A$1:A766, A$1:A766&lt;&gt;""""),COUNTA(FILTER(A$1:A766, A$1:A766&lt;&gt;""""))))-1), IF('To Order'!$A767=COLUMNS($A767:A"&amp;"786), A766&amp;RIGHT(INDIRECT(ADDRESS(ROW(A767)-1, 'From Order'!$A767)), 1), A766))"),"")</f>
        <v/>
      </c>
      <c r="B767" s="2" t="str">
        <f>IFERROR(__xludf.DUMMYFUNCTION("IF('From Order'!$A767=COLUMNS($A767:B786), LEFT(INDEX(FILTER(B$1:B766, B$1:B766&lt;&gt;""""),COUNTA(FILTER(B$1:B766, B$1:B766&lt;&gt;""""))), LEN(INDEX(FILTER(B$1:B766, B$1:B766&lt;&gt;""""),COUNTA(FILTER(B$1:B766, B$1:B766&lt;&gt;""""))))-1), IF('To Order'!$A767=COLUMNS($A767:B"&amp;"786), B766&amp;RIGHT(INDIRECT(ADDRESS(ROW(B767)-1, 'From Order'!$A767)), 1), B766))"),"JZRDCJTT")</f>
        <v>JZRDCJTT</v>
      </c>
      <c r="C767" s="2" t="str">
        <f>IFERROR(__xludf.DUMMYFUNCTION("IF('From Order'!$A767=COLUMNS($A767:C786), LEFT(INDEX(FILTER(C$1:C766, C$1:C766&lt;&gt;""""),COUNTA(FILTER(C$1:C766, C$1:C766&lt;&gt;""""))), LEN(INDEX(FILTER(C$1:C766, C$1:C766&lt;&gt;""""),COUNTA(FILTER(C$1:C766, C$1:C766&lt;&gt;""""))))-1), IF('To Order'!$A767=COLUMNS($A767:C"&amp;"786), C766&amp;RIGHT(INDIRECT(ADDRESS(ROW(C767)-1, 'From Order'!$A767)), 1), C766))"),"")</f>
        <v/>
      </c>
      <c r="D767" s="2" t="str">
        <f>IFERROR(__xludf.DUMMYFUNCTION("IF('From Order'!$A767=COLUMNS($A767:D786), LEFT(INDEX(FILTER(D$1:D766, D$1:D766&lt;&gt;""""),COUNTA(FILTER(D$1:D766, D$1:D766&lt;&gt;""""))), LEN(INDEX(FILTER(D$1:D766, D$1:D766&lt;&gt;""""),COUNTA(FILTER(D$1:D766, D$1:D766&lt;&gt;""""))))-1), IF('To Order'!$A767=COLUMNS($A767:D"&amp;"786), D766&amp;RIGHT(INDIRECT(ADDRESS(ROW(D767)-1, 'From Order'!$A767)), 1), D766))"),"TMZM")</f>
        <v>TMZM</v>
      </c>
      <c r="E767" s="2" t="str">
        <f>IFERROR(__xludf.DUMMYFUNCTION("IF('From Order'!$A767=COLUMNS($A767:E786), LEFT(INDEX(FILTER(E$1:E766, E$1:E766&lt;&gt;""""),COUNTA(FILTER(E$1:E766, E$1:E766&lt;&gt;""""))), LEN(INDEX(FILTER(E$1:E766, E$1:E766&lt;&gt;""""),COUNTA(FILTER(E$1:E766, E$1:E766&lt;&gt;""""))))-1), IF('To Order'!$A767=COLUMNS($A767:E"&amp;"786), E766&amp;RIGHT(INDIRECT(ADDRESS(ROW(E767)-1, 'From Order'!$A767)), 1), E766))"),"CVRZHMFBBFSLTDGSBL")</f>
        <v>CVRZHMFBBFSLTDGSBL</v>
      </c>
      <c r="F767" s="2" t="str">
        <f>IFERROR(__xludf.DUMMYFUNCTION("IF('From Order'!$A767=COLUMNS($A767:F786), LEFT(INDEX(FILTER(F$1:F766, F$1:F766&lt;&gt;""""),COUNTA(FILTER(F$1:F766, F$1:F766&lt;&gt;""""))), LEN(INDEX(FILTER(F$1:F766, F$1:F766&lt;&gt;""""),COUNTA(FILTER(F$1:F766, F$1:F766&lt;&gt;""""))))-1), IF('To Order'!$A767=COLUMNS($A767:F"&amp;"786), F766&amp;RIGHT(INDIRECT(ADDRESS(ROW(F767)-1, 'From Order'!$A767)), 1), F766))"),"J")</f>
        <v>J</v>
      </c>
      <c r="G767" s="2" t="str">
        <f>IFERROR(__xludf.DUMMYFUNCTION("IF('From Order'!$A767=COLUMNS($A767:G786), LEFT(INDEX(FILTER(G$1:G766, G$1:G766&lt;&gt;""""),COUNTA(FILTER(G$1:G766, G$1:G766&lt;&gt;""""))), LEN(INDEX(FILTER(G$1:G766, G$1:G766&lt;&gt;""""),COUNTA(FILTER(G$1:G766, G$1:G766&lt;&gt;""""))))-1), IF('To Order'!$A767=COLUMNS($A767:G"&amp;"786), G766&amp;RIGHT(INDIRECT(ADDRESS(ROW(G767)-1, 'From Order'!$A767)), 1), G766))"),"DTRLRQPDSSGHWQPBCVDRWTD")</f>
        <v>DTRLRQPDSSGHWQPBCVDRWTD</v>
      </c>
      <c r="H767" s="2" t="str">
        <f>IFERROR(__xludf.DUMMYFUNCTION("IF('From Order'!$A767=COLUMNS($A767:H786), LEFT(INDEX(FILTER(H$1:H766, H$1:H766&lt;&gt;""""),COUNTA(FILTER(H$1:H766, H$1:H766&lt;&gt;""""))), LEN(INDEX(FILTER(H$1:H766, H$1:H766&lt;&gt;""""),COUNTA(FILTER(H$1:H766, H$1:H766&lt;&gt;""""))))-1), IF('To Order'!$A767=COLUMNS($A767:H"&amp;"786), H766&amp;RIGHT(INDIRECT(ADDRESS(ROW(H767)-1, 'From Order'!$A767)), 1), H766))"),"")</f>
        <v/>
      </c>
      <c r="I767" s="2" t="str">
        <f>IFERROR(__xludf.DUMMYFUNCTION("IF('From Order'!$A767=COLUMNS($A767:I786), LEFT(INDEX(FILTER(I$1:I766, I$1:I766&lt;&gt;""""),COUNTA(FILTER(I$1:I766, I$1:I766&lt;&gt;""""))), LEN(INDEX(FILTER(I$1:I766, I$1:I766&lt;&gt;""""),COUNTA(FILTER(I$1:I766, I$1:I766&lt;&gt;""""))))-1), IF('To Order'!$A767=COLUMNS($A767:I"&amp;"786), I766&amp;RIGHT(INDIRECT(ADDRESS(ROW(I767)-1, 'From Order'!$A767)), 1), I766))"),"VP")</f>
        <v>VP</v>
      </c>
    </row>
    <row r="768">
      <c r="A768" s="2" t="str">
        <f>IFERROR(__xludf.DUMMYFUNCTION("IF('From Order'!$A768=COLUMNS($A768:A787), LEFT(INDEX(FILTER(A$1:A767, A$1:A767&lt;&gt;""""),COUNTA(FILTER(A$1:A767, A$1:A767&lt;&gt;""""))), LEN(INDEX(FILTER(A$1:A767, A$1:A767&lt;&gt;""""),COUNTA(FILTER(A$1:A767, A$1:A767&lt;&gt;""""))))-1), IF('To Order'!$A768=COLUMNS($A768:A"&amp;"787), A767&amp;RIGHT(INDIRECT(ADDRESS(ROW(A768)-1, 'From Order'!$A768)), 1), A767))"),"")</f>
        <v/>
      </c>
      <c r="B768" s="2" t="str">
        <f>IFERROR(__xludf.DUMMYFUNCTION("IF('From Order'!$A768=COLUMNS($A768:B787), LEFT(INDEX(FILTER(B$1:B767, B$1:B767&lt;&gt;""""),COUNTA(FILTER(B$1:B767, B$1:B767&lt;&gt;""""))), LEN(INDEX(FILTER(B$1:B767, B$1:B767&lt;&gt;""""),COUNTA(FILTER(B$1:B767, B$1:B767&lt;&gt;""""))))-1), IF('To Order'!$A768=COLUMNS($A768:B"&amp;"787), B767&amp;RIGHT(INDIRECT(ADDRESS(ROW(B768)-1, 'From Order'!$A768)), 1), B767))"),"JZRDCJTT")</f>
        <v>JZRDCJTT</v>
      </c>
      <c r="C768" s="2" t="str">
        <f>IFERROR(__xludf.DUMMYFUNCTION("IF('From Order'!$A768=COLUMNS($A768:C787), LEFT(INDEX(FILTER(C$1:C767, C$1:C767&lt;&gt;""""),COUNTA(FILTER(C$1:C767, C$1:C767&lt;&gt;""""))), LEN(INDEX(FILTER(C$1:C767, C$1:C767&lt;&gt;""""),COUNTA(FILTER(C$1:C767, C$1:C767&lt;&gt;""""))))-1), IF('To Order'!$A768=COLUMNS($A768:C"&amp;"787), C767&amp;RIGHT(INDIRECT(ADDRESS(ROW(C768)-1, 'From Order'!$A768)), 1), C767))"),"L")</f>
        <v>L</v>
      </c>
      <c r="D768" s="2" t="str">
        <f>IFERROR(__xludf.DUMMYFUNCTION("IF('From Order'!$A768=COLUMNS($A768:D787), LEFT(INDEX(FILTER(D$1:D767, D$1:D767&lt;&gt;""""),COUNTA(FILTER(D$1:D767, D$1:D767&lt;&gt;""""))), LEN(INDEX(FILTER(D$1:D767, D$1:D767&lt;&gt;""""),COUNTA(FILTER(D$1:D767, D$1:D767&lt;&gt;""""))))-1), IF('To Order'!$A768=COLUMNS($A768:D"&amp;"787), D767&amp;RIGHT(INDIRECT(ADDRESS(ROW(D768)-1, 'From Order'!$A768)), 1), D767))"),"TMZM")</f>
        <v>TMZM</v>
      </c>
      <c r="E768" s="2" t="str">
        <f>IFERROR(__xludf.DUMMYFUNCTION("IF('From Order'!$A768=COLUMNS($A768:E787), LEFT(INDEX(FILTER(E$1:E767, E$1:E767&lt;&gt;""""),COUNTA(FILTER(E$1:E767, E$1:E767&lt;&gt;""""))), LEN(INDEX(FILTER(E$1:E767, E$1:E767&lt;&gt;""""),COUNTA(FILTER(E$1:E767, E$1:E767&lt;&gt;""""))))-1), IF('To Order'!$A768=COLUMNS($A768:E"&amp;"787), E767&amp;RIGHT(INDIRECT(ADDRESS(ROW(E768)-1, 'From Order'!$A768)), 1), E767))"),"CVRZHMFBBFSLTDGSB")</f>
        <v>CVRZHMFBBFSLTDGSB</v>
      </c>
      <c r="F768" s="2" t="str">
        <f>IFERROR(__xludf.DUMMYFUNCTION("IF('From Order'!$A768=COLUMNS($A768:F787), LEFT(INDEX(FILTER(F$1:F767, F$1:F767&lt;&gt;""""),COUNTA(FILTER(F$1:F767, F$1:F767&lt;&gt;""""))), LEN(INDEX(FILTER(F$1:F767, F$1:F767&lt;&gt;""""),COUNTA(FILTER(F$1:F767, F$1:F767&lt;&gt;""""))))-1), IF('To Order'!$A768=COLUMNS($A768:F"&amp;"787), F767&amp;RIGHT(INDIRECT(ADDRESS(ROW(F768)-1, 'From Order'!$A768)), 1), F767))"),"J")</f>
        <v>J</v>
      </c>
      <c r="G768" s="2" t="str">
        <f>IFERROR(__xludf.DUMMYFUNCTION("IF('From Order'!$A768=COLUMNS($A768:G787), LEFT(INDEX(FILTER(G$1:G767, G$1:G767&lt;&gt;""""),COUNTA(FILTER(G$1:G767, G$1:G767&lt;&gt;""""))), LEN(INDEX(FILTER(G$1:G767, G$1:G767&lt;&gt;""""),COUNTA(FILTER(G$1:G767, G$1:G767&lt;&gt;""""))))-1), IF('To Order'!$A768=COLUMNS($A768:G"&amp;"787), G767&amp;RIGHT(INDIRECT(ADDRESS(ROW(G768)-1, 'From Order'!$A768)), 1), G767))"),"DTRLRQPDSSGHWQPBCVDRWTD")</f>
        <v>DTRLRQPDSSGHWQPBCVDRWTD</v>
      </c>
      <c r="H768" s="2" t="str">
        <f>IFERROR(__xludf.DUMMYFUNCTION("IF('From Order'!$A768=COLUMNS($A768:H787), LEFT(INDEX(FILTER(H$1:H767, H$1:H767&lt;&gt;""""),COUNTA(FILTER(H$1:H767, H$1:H767&lt;&gt;""""))), LEN(INDEX(FILTER(H$1:H767, H$1:H767&lt;&gt;""""),COUNTA(FILTER(H$1:H767, H$1:H767&lt;&gt;""""))))-1), IF('To Order'!$A768=COLUMNS($A768:H"&amp;"787), H767&amp;RIGHT(INDIRECT(ADDRESS(ROW(H768)-1, 'From Order'!$A768)), 1), H767))"),"")</f>
        <v/>
      </c>
      <c r="I768" s="2" t="str">
        <f>IFERROR(__xludf.DUMMYFUNCTION("IF('From Order'!$A768=COLUMNS($A768:I787), LEFT(INDEX(FILTER(I$1:I767, I$1:I767&lt;&gt;""""),COUNTA(FILTER(I$1:I767, I$1:I767&lt;&gt;""""))), LEN(INDEX(FILTER(I$1:I767, I$1:I767&lt;&gt;""""),COUNTA(FILTER(I$1:I767, I$1:I767&lt;&gt;""""))))-1), IF('To Order'!$A768=COLUMNS($A768:I"&amp;"787), I767&amp;RIGHT(INDIRECT(ADDRESS(ROW(I768)-1, 'From Order'!$A768)), 1), I767))"),"VP")</f>
        <v>VP</v>
      </c>
    </row>
    <row r="769">
      <c r="A769" s="2" t="str">
        <f>IFERROR(__xludf.DUMMYFUNCTION("IF('From Order'!$A769=COLUMNS($A769:A788), LEFT(INDEX(FILTER(A$1:A768, A$1:A768&lt;&gt;""""),COUNTA(FILTER(A$1:A768, A$1:A768&lt;&gt;""""))), LEN(INDEX(FILTER(A$1:A768, A$1:A768&lt;&gt;""""),COUNTA(FILTER(A$1:A768, A$1:A768&lt;&gt;""""))))-1), IF('To Order'!$A769=COLUMNS($A769:A"&amp;"788), A768&amp;RIGHT(INDIRECT(ADDRESS(ROW(A769)-1, 'From Order'!$A769)), 1), A768))"),"")</f>
        <v/>
      </c>
      <c r="B769" s="2" t="str">
        <f>IFERROR(__xludf.DUMMYFUNCTION("IF('From Order'!$A769=COLUMNS($A769:B788), LEFT(INDEX(FILTER(B$1:B768, B$1:B768&lt;&gt;""""),COUNTA(FILTER(B$1:B768, B$1:B768&lt;&gt;""""))), LEN(INDEX(FILTER(B$1:B768, B$1:B768&lt;&gt;""""),COUNTA(FILTER(B$1:B768, B$1:B768&lt;&gt;""""))))-1), IF('To Order'!$A769=COLUMNS($A769:B"&amp;"788), B768&amp;RIGHT(INDIRECT(ADDRESS(ROW(B769)-1, 'From Order'!$A769)), 1), B768))"),"JZRDCJTT")</f>
        <v>JZRDCJTT</v>
      </c>
      <c r="C769" s="2" t="str">
        <f>IFERROR(__xludf.DUMMYFUNCTION("IF('From Order'!$A769=COLUMNS($A769:C788), LEFT(INDEX(FILTER(C$1:C768, C$1:C768&lt;&gt;""""),COUNTA(FILTER(C$1:C768, C$1:C768&lt;&gt;""""))), LEN(INDEX(FILTER(C$1:C768, C$1:C768&lt;&gt;""""),COUNTA(FILTER(C$1:C768, C$1:C768&lt;&gt;""""))))-1), IF('To Order'!$A769=COLUMNS($A769:C"&amp;"788), C768&amp;RIGHT(INDIRECT(ADDRESS(ROW(C769)-1, 'From Order'!$A769)), 1), C768))"),"LB")</f>
        <v>LB</v>
      </c>
      <c r="D769" s="2" t="str">
        <f>IFERROR(__xludf.DUMMYFUNCTION("IF('From Order'!$A769=COLUMNS($A769:D788), LEFT(INDEX(FILTER(D$1:D768, D$1:D768&lt;&gt;""""),COUNTA(FILTER(D$1:D768, D$1:D768&lt;&gt;""""))), LEN(INDEX(FILTER(D$1:D768, D$1:D768&lt;&gt;""""),COUNTA(FILTER(D$1:D768, D$1:D768&lt;&gt;""""))))-1), IF('To Order'!$A769=COLUMNS($A769:D"&amp;"788), D768&amp;RIGHT(INDIRECT(ADDRESS(ROW(D769)-1, 'From Order'!$A769)), 1), D768))"),"TMZM")</f>
        <v>TMZM</v>
      </c>
      <c r="E769" s="2" t="str">
        <f>IFERROR(__xludf.DUMMYFUNCTION("IF('From Order'!$A769=COLUMNS($A769:E788), LEFT(INDEX(FILTER(E$1:E768, E$1:E768&lt;&gt;""""),COUNTA(FILTER(E$1:E768, E$1:E768&lt;&gt;""""))), LEN(INDEX(FILTER(E$1:E768, E$1:E768&lt;&gt;""""),COUNTA(FILTER(E$1:E768, E$1:E768&lt;&gt;""""))))-1), IF('To Order'!$A769=COLUMNS($A769:E"&amp;"788), E768&amp;RIGHT(INDIRECT(ADDRESS(ROW(E769)-1, 'From Order'!$A769)), 1), E768))"),"CVRZHMFBBFSLTDGS")</f>
        <v>CVRZHMFBBFSLTDGS</v>
      </c>
      <c r="F769" s="2" t="str">
        <f>IFERROR(__xludf.DUMMYFUNCTION("IF('From Order'!$A769=COLUMNS($A769:F788), LEFT(INDEX(FILTER(F$1:F768, F$1:F768&lt;&gt;""""),COUNTA(FILTER(F$1:F768, F$1:F768&lt;&gt;""""))), LEN(INDEX(FILTER(F$1:F768, F$1:F768&lt;&gt;""""),COUNTA(FILTER(F$1:F768, F$1:F768&lt;&gt;""""))))-1), IF('To Order'!$A769=COLUMNS($A769:F"&amp;"788), F768&amp;RIGHT(INDIRECT(ADDRESS(ROW(F769)-1, 'From Order'!$A769)), 1), F768))"),"J")</f>
        <v>J</v>
      </c>
      <c r="G769" s="2" t="str">
        <f>IFERROR(__xludf.DUMMYFUNCTION("IF('From Order'!$A769=COLUMNS($A769:G788), LEFT(INDEX(FILTER(G$1:G768, G$1:G768&lt;&gt;""""),COUNTA(FILTER(G$1:G768, G$1:G768&lt;&gt;""""))), LEN(INDEX(FILTER(G$1:G768, G$1:G768&lt;&gt;""""),COUNTA(FILTER(G$1:G768, G$1:G768&lt;&gt;""""))))-1), IF('To Order'!$A769=COLUMNS($A769:G"&amp;"788), G768&amp;RIGHT(INDIRECT(ADDRESS(ROW(G769)-1, 'From Order'!$A769)), 1), G768))"),"DTRLRQPDSSGHWQPBCVDRWTD")</f>
        <v>DTRLRQPDSSGHWQPBCVDRWTD</v>
      </c>
      <c r="H769" s="2" t="str">
        <f>IFERROR(__xludf.DUMMYFUNCTION("IF('From Order'!$A769=COLUMNS($A769:H788), LEFT(INDEX(FILTER(H$1:H768, H$1:H768&lt;&gt;""""),COUNTA(FILTER(H$1:H768, H$1:H768&lt;&gt;""""))), LEN(INDEX(FILTER(H$1:H768, H$1:H768&lt;&gt;""""),COUNTA(FILTER(H$1:H768, H$1:H768&lt;&gt;""""))))-1), IF('To Order'!$A769=COLUMNS($A769:H"&amp;"788), H768&amp;RIGHT(INDIRECT(ADDRESS(ROW(H769)-1, 'From Order'!$A769)), 1), H768))"),"")</f>
        <v/>
      </c>
      <c r="I769" s="2" t="str">
        <f>IFERROR(__xludf.DUMMYFUNCTION("IF('From Order'!$A769=COLUMNS($A769:I788), LEFT(INDEX(FILTER(I$1:I768, I$1:I768&lt;&gt;""""),COUNTA(FILTER(I$1:I768, I$1:I768&lt;&gt;""""))), LEN(INDEX(FILTER(I$1:I768, I$1:I768&lt;&gt;""""),COUNTA(FILTER(I$1:I768, I$1:I768&lt;&gt;""""))))-1), IF('To Order'!$A769=COLUMNS($A769:I"&amp;"788), I768&amp;RIGHT(INDIRECT(ADDRESS(ROW(I769)-1, 'From Order'!$A769)), 1), I768))"),"VP")</f>
        <v>VP</v>
      </c>
    </row>
    <row r="770">
      <c r="A770" s="2" t="str">
        <f>IFERROR(__xludf.DUMMYFUNCTION("IF('From Order'!$A770=COLUMNS($A770:A789), LEFT(INDEX(FILTER(A$1:A769, A$1:A769&lt;&gt;""""),COUNTA(FILTER(A$1:A769, A$1:A769&lt;&gt;""""))), LEN(INDEX(FILTER(A$1:A769, A$1:A769&lt;&gt;""""),COUNTA(FILTER(A$1:A769, A$1:A769&lt;&gt;""""))))-1), IF('To Order'!$A770=COLUMNS($A770:A"&amp;"789), A769&amp;RIGHT(INDIRECT(ADDRESS(ROW(A770)-1, 'From Order'!$A770)), 1), A769))"),"")</f>
        <v/>
      </c>
      <c r="B770" s="2" t="str">
        <f>IFERROR(__xludf.DUMMYFUNCTION("IF('From Order'!$A770=COLUMNS($A770:B789), LEFT(INDEX(FILTER(B$1:B769, B$1:B769&lt;&gt;""""),COUNTA(FILTER(B$1:B769, B$1:B769&lt;&gt;""""))), LEN(INDEX(FILTER(B$1:B769, B$1:B769&lt;&gt;""""),COUNTA(FILTER(B$1:B769, B$1:B769&lt;&gt;""""))))-1), IF('To Order'!$A770=COLUMNS($A770:B"&amp;"789), B769&amp;RIGHT(INDIRECT(ADDRESS(ROW(B770)-1, 'From Order'!$A770)), 1), B769))"),"JZRDCJTT")</f>
        <v>JZRDCJTT</v>
      </c>
      <c r="C770" s="2" t="str">
        <f>IFERROR(__xludf.DUMMYFUNCTION("IF('From Order'!$A770=COLUMNS($A770:C789), LEFT(INDEX(FILTER(C$1:C769, C$1:C769&lt;&gt;""""),COUNTA(FILTER(C$1:C769, C$1:C769&lt;&gt;""""))), LEN(INDEX(FILTER(C$1:C769, C$1:C769&lt;&gt;""""),COUNTA(FILTER(C$1:C769, C$1:C769&lt;&gt;""""))))-1), IF('To Order'!$A770=COLUMNS($A770:C"&amp;"789), C769&amp;RIGHT(INDIRECT(ADDRESS(ROW(C770)-1, 'From Order'!$A770)), 1), C769))"),"LBS")</f>
        <v>LBS</v>
      </c>
      <c r="D770" s="2" t="str">
        <f>IFERROR(__xludf.DUMMYFUNCTION("IF('From Order'!$A770=COLUMNS($A770:D789), LEFT(INDEX(FILTER(D$1:D769, D$1:D769&lt;&gt;""""),COUNTA(FILTER(D$1:D769, D$1:D769&lt;&gt;""""))), LEN(INDEX(FILTER(D$1:D769, D$1:D769&lt;&gt;""""),COUNTA(FILTER(D$1:D769, D$1:D769&lt;&gt;""""))))-1), IF('To Order'!$A770=COLUMNS($A770:D"&amp;"789), D769&amp;RIGHT(INDIRECT(ADDRESS(ROW(D770)-1, 'From Order'!$A770)), 1), D769))"),"TMZM")</f>
        <v>TMZM</v>
      </c>
      <c r="E770" s="2" t="str">
        <f>IFERROR(__xludf.DUMMYFUNCTION("IF('From Order'!$A770=COLUMNS($A770:E789), LEFT(INDEX(FILTER(E$1:E769, E$1:E769&lt;&gt;""""),COUNTA(FILTER(E$1:E769, E$1:E769&lt;&gt;""""))), LEN(INDEX(FILTER(E$1:E769, E$1:E769&lt;&gt;""""),COUNTA(FILTER(E$1:E769, E$1:E769&lt;&gt;""""))))-1), IF('To Order'!$A770=COLUMNS($A770:E"&amp;"789), E769&amp;RIGHT(INDIRECT(ADDRESS(ROW(E770)-1, 'From Order'!$A770)), 1), E769))"),"CVRZHMFBBFSLTDG")</f>
        <v>CVRZHMFBBFSLTDG</v>
      </c>
      <c r="F770" s="2" t="str">
        <f>IFERROR(__xludf.DUMMYFUNCTION("IF('From Order'!$A770=COLUMNS($A770:F789), LEFT(INDEX(FILTER(F$1:F769, F$1:F769&lt;&gt;""""),COUNTA(FILTER(F$1:F769, F$1:F769&lt;&gt;""""))), LEN(INDEX(FILTER(F$1:F769, F$1:F769&lt;&gt;""""),COUNTA(FILTER(F$1:F769, F$1:F769&lt;&gt;""""))))-1), IF('To Order'!$A770=COLUMNS($A770:F"&amp;"789), F769&amp;RIGHT(INDIRECT(ADDRESS(ROW(F770)-1, 'From Order'!$A770)), 1), F769))"),"J")</f>
        <v>J</v>
      </c>
      <c r="G770" s="2" t="str">
        <f>IFERROR(__xludf.DUMMYFUNCTION("IF('From Order'!$A770=COLUMNS($A770:G789), LEFT(INDEX(FILTER(G$1:G769, G$1:G769&lt;&gt;""""),COUNTA(FILTER(G$1:G769, G$1:G769&lt;&gt;""""))), LEN(INDEX(FILTER(G$1:G769, G$1:G769&lt;&gt;""""),COUNTA(FILTER(G$1:G769, G$1:G769&lt;&gt;""""))))-1), IF('To Order'!$A770=COLUMNS($A770:G"&amp;"789), G769&amp;RIGHT(INDIRECT(ADDRESS(ROW(G770)-1, 'From Order'!$A770)), 1), G769))"),"DTRLRQPDSSGHWQPBCVDRWTD")</f>
        <v>DTRLRQPDSSGHWQPBCVDRWTD</v>
      </c>
      <c r="H770" s="2" t="str">
        <f>IFERROR(__xludf.DUMMYFUNCTION("IF('From Order'!$A770=COLUMNS($A770:H789), LEFT(INDEX(FILTER(H$1:H769, H$1:H769&lt;&gt;""""),COUNTA(FILTER(H$1:H769, H$1:H769&lt;&gt;""""))), LEN(INDEX(FILTER(H$1:H769, H$1:H769&lt;&gt;""""),COUNTA(FILTER(H$1:H769, H$1:H769&lt;&gt;""""))))-1), IF('To Order'!$A770=COLUMNS($A770:H"&amp;"789), H769&amp;RIGHT(INDIRECT(ADDRESS(ROW(H770)-1, 'From Order'!$A770)), 1), H769))"),"")</f>
        <v/>
      </c>
      <c r="I770" s="2" t="str">
        <f>IFERROR(__xludf.DUMMYFUNCTION("IF('From Order'!$A770=COLUMNS($A770:I789), LEFT(INDEX(FILTER(I$1:I769, I$1:I769&lt;&gt;""""),COUNTA(FILTER(I$1:I769, I$1:I769&lt;&gt;""""))), LEN(INDEX(FILTER(I$1:I769, I$1:I769&lt;&gt;""""),COUNTA(FILTER(I$1:I769, I$1:I769&lt;&gt;""""))))-1), IF('To Order'!$A770=COLUMNS($A770:I"&amp;"789), I769&amp;RIGHT(INDIRECT(ADDRESS(ROW(I770)-1, 'From Order'!$A770)), 1), I769))"),"VP")</f>
        <v>VP</v>
      </c>
    </row>
    <row r="771">
      <c r="A771" s="2" t="str">
        <f>IFERROR(__xludf.DUMMYFUNCTION("IF('From Order'!$A771=COLUMNS($A771:A790), LEFT(INDEX(FILTER(A$1:A770, A$1:A770&lt;&gt;""""),COUNTA(FILTER(A$1:A770, A$1:A770&lt;&gt;""""))), LEN(INDEX(FILTER(A$1:A770, A$1:A770&lt;&gt;""""),COUNTA(FILTER(A$1:A770, A$1:A770&lt;&gt;""""))))-1), IF('To Order'!$A771=COLUMNS($A771:A"&amp;"790), A770&amp;RIGHT(INDIRECT(ADDRESS(ROW(A771)-1, 'From Order'!$A771)), 1), A770))"),"")</f>
        <v/>
      </c>
      <c r="B771" s="2" t="str">
        <f>IFERROR(__xludf.DUMMYFUNCTION("IF('From Order'!$A771=COLUMNS($A771:B790), LEFT(INDEX(FILTER(B$1:B770, B$1:B770&lt;&gt;""""),COUNTA(FILTER(B$1:B770, B$1:B770&lt;&gt;""""))), LEN(INDEX(FILTER(B$1:B770, B$1:B770&lt;&gt;""""),COUNTA(FILTER(B$1:B770, B$1:B770&lt;&gt;""""))))-1), IF('To Order'!$A771=COLUMNS($A771:B"&amp;"790), B770&amp;RIGHT(INDIRECT(ADDRESS(ROW(B771)-1, 'From Order'!$A771)), 1), B770))"),"JZRDCJTT")</f>
        <v>JZRDCJTT</v>
      </c>
      <c r="C771" s="2" t="str">
        <f>IFERROR(__xludf.DUMMYFUNCTION("IF('From Order'!$A771=COLUMNS($A771:C790), LEFT(INDEX(FILTER(C$1:C770, C$1:C770&lt;&gt;""""),COUNTA(FILTER(C$1:C770, C$1:C770&lt;&gt;""""))), LEN(INDEX(FILTER(C$1:C770, C$1:C770&lt;&gt;""""),COUNTA(FILTER(C$1:C770, C$1:C770&lt;&gt;""""))))-1), IF('To Order'!$A771=COLUMNS($A771:C"&amp;"790), C770&amp;RIGHT(INDIRECT(ADDRESS(ROW(C771)-1, 'From Order'!$A771)), 1), C770))"),"LBSG")</f>
        <v>LBSG</v>
      </c>
      <c r="D771" s="2" t="str">
        <f>IFERROR(__xludf.DUMMYFUNCTION("IF('From Order'!$A771=COLUMNS($A771:D790), LEFT(INDEX(FILTER(D$1:D770, D$1:D770&lt;&gt;""""),COUNTA(FILTER(D$1:D770, D$1:D770&lt;&gt;""""))), LEN(INDEX(FILTER(D$1:D770, D$1:D770&lt;&gt;""""),COUNTA(FILTER(D$1:D770, D$1:D770&lt;&gt;""""))))-1), IF('To Order'!$A771=COLUMNS($A771:D"&amp;"790), D770&amp;RIGHT(INDIRECT(ADDRESS(ROW(D771)-1, 'From Order'!$A771)), 1), D770))"),"TMZM")</f>
        <v>TMZM</v>
      </c>
      <c r="E771" s="2" t="str">
        <f>IFERROR(__xludf.DUMMYFUNCTION("IF('From Order'!$A771=COLUMNS($A771:E790), LEFT(INDEX(FILTER(E$1:E770, E$1:E770&lt;&gt;""""),COUNTA(FILTER(E$1:E770, E$1:E770&lt;&gt;""""))), LEN(INDEX(FILTER(E$1:E770, E$1:E770&lt;&gt;""""),COUNTA(FILTER(E$1:E770, E$1:E770&lt;&gt;""""))))-1), IF('To Order'!$A771=COLUMNS($A771:E"&amp;"790), E770&amp;RIGHT(INDIRECT(ADDRESS(ROW(E771)-1, 'From Order'!$A771)), 1), E770))"),"CVRZHMFBBFSLTD")</f>
        <v>CVRZHMFBBFSLTD</v>
      </c>
      <c r="F771" s="2" t="str">
        <f>IFERROR(__xludf.DUMMYFUNCTION("IF('From Order'!$A771=COLUMNS($A771:F790), LEFT(INDEX(FILTER(F$1:F770, F$1:F770&lt;&gt;""""),COUNTA(FILTER(F$1:F770, F$1:F770&lt;&gt;""""))), LEN(INDEX(FILTER(F$1:F770, F$1:F770&lt;&gt;""""),COUNTA(FILTER(F$1:F770, F$1:F770&lt;&gt;""""))))-1), IF('To Order'!$A771=COLUMNS($A771:F"&amp;"790), F770&amp;RIGHT(INDIRECT(ADDRESS(ROW(F771)-1, 'From Order'!$A771)), 1), F770))"),"J")</f>
        <v>J</v>
      </c>
      <c r="G771" s="2" t="str">
        <f>IFERROR(__xludf.DUMMYFUNCTION("IF('From Order'!$A771=COLUMNS($A771:G790), LEFT(INDEX(FILTER(G$1:G770, G$1:G770&lt;&gt;""""),COUNTA(FILTER(G$1:G770, G$1:G770&lt;&gt;""""))), LEN(INDEX(FILTER(G$1:G770, G$1:G770&lt;&gt;""""),COUNTA(FILTER(G$1:G770, G$1:G770&lt;&gt;""""))))-1), IF('To Order'!$A771=COLUMNS($A771:G"&amp;"790), G770&amp;RIGHT(INDIRECT(ADDRESS(ROW(G771)-1, 'From Order'!$A771)), 1), G770))"),"DTRLRQPDSSGHWQPBCVDRWTD")</f>
        <v>DTRLRQPDSSGHWQPBCVDRWTD</v>
      </c>
      <c r="H771" s="2" t="str">
        <f>IFERROR(__xludf.DUMMYFUNCTION("IF('From Order'!$A771=COLUMNS($A771:H790), LEFT(INDEX(FILTER(H$1:H770, H$1:H770&lt;&gt;""""),COUNTA(FILTER(H$1:H770, H$1:H770&lt;&gt;""""))), LEN(INDEX(FILTER(H$1:H770, H$1:H770&lt;&gt;""""),COUNTA(FILTER(H$1:H770, H$1:H770&lt;&gt;""""))))-1), IF('To Order'!$A771=COLUMNS($A771:H"&amp;"790), H770&amp;RIGHT(INDIRECT(ADDRESS(ROW(H771)-1, 'From Order'!$A771)), 1), H770))"),"")</f>
        <v/>
      </c>
      <c r="I771" s="2" t="str">
        <f>IFERROR(__xludf.DUMMYFUNCTION("IF('From Order'!$A771=COLUMNS($A771:I790), LEFT(INDEX(FILTER(I$1:I770, I$1:I770&lt;&gt;""""),COUNTA(FILTER(I$1:I770, I$1:I770&lt;&gt;""""))), LEN(INDEX(FILTER(I$1:I770, I$1:I770&lt;&gt;""""),COUNTA(FILTER(I$1:I770, I$1:I770&lt;&gt;""""))))-1), IF('To Order'!$A771=COLUMNS($A771:I"&amp;"790), I770&amp;RIGHT(INDIRECT(ADDRESS(ROW(I771)-1, 'From Order'!$A771)), 1), I770))"),"VP")</f>
        <v>VP</v>
      </c>
    </row>
    <row r="772">
      <c r="A772" s="2" t="str">
        <f>IFERROR(__xludf.DUMMYFUNCTION("IF('From Order'!$A772=COLUMNS($A772:A791), LEFT(INDEX(FILTER(A$1:A771, A$1:A771&lt;&gt;""""),COUNTA(FILTER(A$1:A771, A$1:A771&lt;&gt;""""))), LEN(INDEX(FILTER(A$1:A771, A$1:A771&lt;&gt;""""),COUNTA(FILTER(A$1:A771, A$1:A771&lt;&gt;""""))))-1), IF('To Order'!$A772=COLUMNS($A772:A"&amp;"791), A771&amp;RIGHT(INDIRECT(ADDRESS(ROW(A772)-1, 'From Order'!$A772)), 1), A771))"),"")</f>
        <v/>
      </c>
      <c r="B772" s="2" t="str">
        <f>IFERROR(__xludf.DUMMYFUNCTION("IF('From Order'!$A772=COLUMNS($A772:B791), LEFT(INDEX(FILTER(B$1:B771, B$1:B771&lt;&gt;""""),COUNTA(FILTER(B$1:B771, B$1:B771&lt;&gt;""""))), LEN(INDEX(FILTER(B$1:B771, B$1:B771&lt;&gt;""""),COUNTA(FILTER(B$1:B771, B$1:B771&lt;&gt;""""))))-1), IF('To Order'!$A772=COLUMNS($A772:B"&amp;"791), B771&amp;RIGHT(INDIRECT(ADDRESS(ROW(B772)-1, 'From Order'!$A772)), 1), B771))"),"JZRDCJTT")</f>
        <v>JZRDCJTT</v>
      </c>
      <c r="C772" s="2" t="str">
        <f>IFERROR(__xludf.DUMMYFUNCTION("IF('From Order'!$A772=COLUMNS($A772:C791), LEFT(INDEX(FILTER(C$1:C771, C$1:C771&lt;&gt;""""),COUNTA(FILTER(C$1:C771, C$1:C771&lt;&gt;""""))), LEN(INDEX(FILTER(C$1:C771, C$1:C771&lt;&gt;""""),COUNTA(FILTER(C$1:C771, C$1:C771&lt;&gt;""""))))-1), IF('To Order'!$A772=COLUMNS($A772:C"&amp;"791), C771&amp;RIGHT(INDIRECT(ADDRESS(ROW(C772)-1, 'From Order'!$A772)), 1), C771))"),"LBSGD")</f>
        <v>LBSGD</v>
      </c>
      <c r="D772" s="2" t="str">
        <f>IFERROR(__xludf.DUMMYFUNCTION("IF('From Order'!$A772=COLUMNS($A772:D791), LEFT(INDEX(FILTER(D$1:D771, D$1:D771&lt;&gt;""""),COUNTA(FILTER(D$1:D771, D$1:D771&lt;&gt;""""))), LEN(INDEX(FILTER(D$1:D771, D$1:D771&lt;&gt;""""),COUNTA(FILTER(D$1:D771, D$1:D771&lt;&gt;""""))))-1), IF('To Order'!$A772=COLUMNS($A772:D"&amp;"791), D771&amp;RIGHT(INDIRECT(ADDRESS(ROW(D772)-1, 'From Order'!$A772)), 1), D771))"),"TMZM")</f>
        <v>TMZM</v>
      </c>
      <c r="E772" s="2" t="str">
        <f>IFERROR(__xludf.DUMMYFUNCTION("IF('From Order'!$A772=COLUMNS($A772:E791), LEFT(INDEX(FILTER(E$1:E771, E$1:E771&lt;&gt;""""),COUNTA(FILTER(E$1:E771, E$1:E771&lt;&gt;""""))), LEN(INDEX(FILTER(E$1:E771, E$1:E771&lt;&gt;""""),COUNTA(FILTER(E$1:E771, E$1:E771&lt;&gt;""""))))-1), IF('To Order'!$A772=COLUMNS($A772:E"&amp;"791), E771&amp;RIGHT(INDIRECT(ADDRESS(ROW(E772)-1, 'From Order'!$A772)), 1), E771))"),"CVRZHMFBBFSLT")</f>
        <v>CVRZHMFBBFSLT</v>
      </c>
      <c r="F772" s="2" t="str">
        <f>IFERROR(__xludf.DUMMYFUNCTION("IF('From Order'!$A772=COLUMNS($A772:F791), LEFT(INDEX(FILTER(F$1:F771, F$1:F771&lt;&gt;""""),COUNTA(FILTER(F$1:F771, F$1:F771&lt;&gt;""""))), LEN(INDEX(FILTER(F$1:F771, F$1:F771&lt;&gt;""""),COUNTA(FILTER(F$1:F771, F$1:F771&lt;&gt;""""))))-1), IF('To Order'!$A772=COLUMNS($A772:F"&amp;"791), F771&amp;RIGHT(INDIRECT(ADDRESS(ROW(F772)-1, 'From Order'!$A772)), 1), F771))"),"J")</f>
        <v>J</v>
      </c>
      <c r="G772" s="2" t="str">
        <f>IFERROR(__xludf.DUMMYFUNCTION("IF('From Order'!$A772=COLUMNS($A772:G791), LEFT(INDEX(FILTER(G$1:G771, G$1:G771&lt;&gt;""""),COUNTA(FILTER(G$1:G771, G$1:G771&lt;&gt;""""))), LEN(INDEX(FILTER(G$1:G771, G$1:G771&lt;&gt;""""),COUNTA(FILTER(G$1:G771, G$1:G771&lt;&gt;""""))))-1), IF('To Order'!$A772=COLUMNS($A772:G"&amp;"791), G771&amp;RIGHT(INDIRECT(ADDRESS(ROW(G772)-1, 'From Order'!$A772)), 1), G771))"),"DTRLRQPDSSGHWQPBCVDRWTD")</f>
        <v>DTRLRQPDSSGHWQPBCVDRWTD</v>
      </c>
      <c r="H772" s="2" t="str">
        <f>IFERROR(__xludf.DUMMYFUNCTION("IF('From Order'!$A772=COLUMNS($A772:H791), LEFT(INDEX(FILTER(H$1:H771, H$1:H771&lt;&gt;""""),COUNTA(FILTER(H$1:H771, H$1:H771&lt;&gt;""""))), LEN(INDEX(FILTER(H$1:H771, H$1:H771&lt;&gt;""""),COUNTA(FILTER(H$1:H771, H$1:H771&lt;&gt;""""))))-1), IF('To Order'!$A772=COLUMNS($A772:H"&amp;"791), H771&amp;RIGHT(INDIRECT(ADDRESS(ROW(H772)-1, 'From Order'!$A772)), 1), H771))"),"")</f>
        <v/>
      </c>
      <c r="I772" s="2" t="str">
        <f>IFERROR(__xludf.DUMMYFUNCTION("IF('From Order'!$A772=COLUMNS($A772:I791), LEFT(INDEX(FILTER(I$1:I771, I$1:I771&lt;&gt;""""),COUNTA(FILTER(I$1:I771, I$1:I771&lt;&gt;""""))), LEN(INDEX(FILTER(I$1:I771, I$1:I771&lt;&gt;""""),COUNTA(FILTER(I$1:I771, I$1:I771&lt;&gt;""""))))-1), IF('To Order'!$A772=COLUMNS($A772:I"&amp;"791), I771&amp;RIGHT(INDIRECT(ADDRESS(ROW(I772)-1, 'From Order'!$A772)), 1), I771))"),"VP")</f>
        <v>VP</v>
      </c>
    </row>
    <row r="773">
      <c r="A773" s="2" t="str">
        <f>IFERROR(__xludf.DUMMYFUNCTION("IF('From Order'!$A773=COLUMNS($A773:A792), LEFT(INDEX(FILTER(A$1:A772, A$1:A772&lt;&gt;""""),COUNTA(FILTER(A$1:A772, A$1:A772&lt;&gt;""""))), LEN(INDEX(FILTER(A$1:A772, A$1:A772&lt;&gt;""""),COUNTA(FILTER(A$1:A772, A$1:A772&lt;&gt;""""))))-1), IF('To Order'!$A773=COLUMNS($A773:A"&amp;"792), A772&amp;RIGHT(INDIRECT(ADDRESS(ROW(A773)-1, 'From Order'!$A773)), 1), A772))"),"")</f>
        <v/>
      </c>
      <c r="B773" s="2" t="str">
        <f>IFERROR(__xludf.DUMMYFUNCTION("IF('From Order'!$A773=COLUMNS($A773:B792), LEFT(INDEX(FILTER(B$1:B772, B$1:B772&lt;&gt;""""),COUNTA(FILTER(B$1:B772, B$1:B772&lt;&gt;""""))), LEN(INDEX(FILTER(B$1:B772, B$1:B772&lt;&gt;""""),COUNTA(FILTER(B$1:B772, B$1:B772&lt;&gt;""""))))-1), IF('To Order'!$A773=COLUMNS($A773:B"&amp;"792), B772&amp;RIGHT(INDIRECT(ADDRESS(ROW(B773)-1, 'From Order'!$A773)), 1), B772))"),"JZRDCJTT")</f>
        <v>JZRDCJTT</v>
      </c>
      <c r="C773" s="2" t="str">
        <f>IFERROR(__xludf.DUMMYFUNCTION("IF('From Order'!$A773=COLUMNS($A773:C792), LEFT(INDEX(FILTER(C$1:C772, C$1:C772&lt;&gt;""""),COUNTA(FILTER(C$1:C772, C$1:C772&lt;&gt;""""))), LEN(INDEX(FILTER(C$1:C772, C$1:C772&lt;&gt;""""),COUNTA(FILTER(C$1:C772, C$1:C772&lt;&gt;""""))))-1), IF('To Order'!$A773=COLUMNS($A773:C"&amp;"792), C772&amp;RIGHT(INDIRECT(ADDRESS(ROW(C773)-1, 'From Order'!$A773)), 1), C772))"),"LBSGDT")</f>
        <v>LBSGDT</v>
      </c>
      <c r="D773" s="2" t="str">
        <f>IFERROR(__xludf.DUMMYFUNCTION("IF('From Order'!$A773=COLUMNS($A773:D792), LEFT(INDEX(FILTER(D$1:D772, D$1:D772&lt;&gt;""""),COUNTA(FILTER(D$1:D772, D$1:D772&lt;&gt;""""))), LEN(INDEX(FILTER(D$1:D772, D$1:D772&lt;&gt;""""),COUNTA(FILTER(D$1:D772, D$1:D772&lt;&gt;""""))))-1), IF('To Order'!$A773=COLUMNS($A773:D"&amp;"792), D772&amp;RIGHT(INDIRECT(ADDRESS(ROW(D773)-1, 'From Order'!$A773)), 1), D772))"),"TMZM")</f>
        <v>TMZM</v>
      </c>
      <c r="E773" s="2" t="str">
        <f>IFERROR(__xludf.DUMMYFUNCTION("IF('From Order'!$A773=COLUMNS($A773:E792), LEFT(INDEX(FILTER(E$1:E772, E$1:E772&lt;&gt;""""),COUNTA(FILTER(E$1:E772, E$1:E772&lt;&gt;""""))), LEN(INDEX(FILTER(E$1:E772, E$1:E772&lt;&gt;""""),COUNTA(FILTER(E$1:E772, E$1:E772&lt;&gt;""""))))-1), IF('To Order'!$A773=COLUMNS($A773:E"&amp;"792), E772&amp;RIGHT(INDIRECT(ADDRESS(ROW(E773)-1, 'From Order'!$A773)), 1), E772))"),"CVRZHMFBBFSL")</f>
        <v>CVRZHMFBBFSL</v>
      </c>
      <c r="F773" s="2" t="str">
        <f>IFERROR(__xludf.DUMMYFUNCTION("IF('From Order'!$A773=COLUMNS($A773:F792), LEFT(INDEX(FILTER(F$1:F772, F$1:F772&lt;&gt;""""),COUNTA(FILTER(F$1:F772, F$1:F772&lt;&gt;""""))), LEN(INDEX(FILTER(F$1:F772, F$1:F772&lt;&gt;""""),COUNTA(FILTER(F$1:F772, F$1:F772&lt;&gt;""""))))-1), IF('To Order'!$A773=COLUMNS($A773:F"&amp;"792), F772&amp;RIGHT(INDIRECT(ADDRESS(ROW(F773)-1, 'From Order'!$A773)), 1), F772))"),"J")</f>
        <v>J</v>
      </c>
      <c r="G773" s="2" t="str">
        <f>IFERROR(__xludf.DUMMYFUNCTION("IF('From Order'!$A773=COLUMNS($A773:G792), LEFT(INDEX(FILTER(G$1:G772, G$1:G772&lt;&gt;""""),COUNTA(FILTER(G$1:G772, G$1:G772&lt;&gt;""""))), LEN(INDEX(FILTER(G$1:G772, G$1:G772&lt;&gt;""""),COUNTA(FILTER(G$1:G772, G$1:G772&lt;&gt;""""))))-1), IF('To Order'!$A773=COLUMNS($A773:G"&amp;"792), G772&amp;RIGHT(INDIRECT(ADDRESS(ROW(G773)-1, 'From Order'!$A773)), 1), G772))"),"DTRLRQPDSSGHWQPBCVDRWTD")</f>
        <v>DTRLRQPDSSGHWQPBCVDRWTD</v>
      </c>
      <c r="H773" s="2" t="str">
        <f>IFERROR(__xludf.DUMMYFUNCTION("IF('From Order'!$A773=COLUMNS($A773:H792), LEFT(INDEX(FILTER(H$1:H772, H$1:H772&lt;&gt;""""),COUNTA(FILTER(H$1:H772, H$1:H772&lt;&gt;""""))), LEN(INDEX(FILTER(H$1:H772, H$1:H772&lt;&gt;""""),COUNTA(FILTER(H$1:H772, H$1:H772&lt;&gt;""""))))-1), IF('To Order'!$A773=COLUMNS($A773:H"&amp;"792), H772&amp;RIGHT(INDIRECT(ADDRESS(ROW(H773)-1, 'From Order'!$A773)), 1), H772))"),"")</f>
        <v/>
      </c>
      <c r="I773" s="2" t="str">
        <f>IFERROR(__xludf.DUMMYFUNCTION("IF('From Order'!$A773=COLUMNS($A773:I792), LEFT(INDEX(FILTER(I$1:I772, I$1:I772&lt;&gt;""""),COUNTA(FILTER(I$1:I772, I$1:I772&lt;&gt;""""))), LEN(INDEX(FILTER(I$1:I772, I$1:I772&lt;&gt;""""),COUNTA(FILTER(I$1:I772, I$1:I772&lt;&gt;""""))))-1), IF('To Order'!$A773=COLUMNS($A773:I"&amp;"792), I772&amp;RIGHT(INDIRECT(ADDRESS(ROW(I773)-1, 'From Order'!$A773)), 1), I772))"),"VP")</f>
        <v>VP</v>
      </c>
    </row>
    <row r="774">
      <c r="A774" s="2" t="str">
        <f>IFERROR(__xludf.DUMMYFUNCTION("IF('From Order'!$A774=COLUMNS($A774:A793), LEFT(INDEX(FILTER(A$1:A773, A$1:A773&lt;&gt;""""),COUNTA(FILTER(A$1:A773, A$1:A773&lt;&gt;""""))), LEN(INDEX(FILTER(A$1:A773, A$1:A773&lt;&gt;""""),COUNTA(FILTER(A$1:A773, A$1:A773&lt;&gt;""""))))-1), IF('To Order'!$A774=COLUMNS($A774:A"&amp;"793), A773&amp;RIGHT(INDIRECT(ADDRESS(ROW(A774)-1, 'From Order'!$A774)), 1), A773))"),"")</f>
        <v/>
      </c>
      <c r="B774" s="2" t="str">
        <f>IFERROR(__xludf.DUMMYFUNCTION("IF('From Order'!$A774=COLUMNS($A774:B793), LEFT(INDEX(FILTER(B$1:B773, B$1:B773&lt;&gt;""""),COUNTA(FILTER(B$1:B773, B$1:B773&lt;&gt;""""))), LEN(INDEX(FILTER(B$1:B773, B$1:B773&lt;&gt;""""),COUNTA(FILTER(B$1:B773, B$1:B773&lt;&gt;""""))))-1), IF('To Order'!$A774=COLUMNS($A774:B"&amp;"793), B773&amp;RIGHT(INDIRECT(ADDRESS(ROW(B774)-1, 'From Order'!$A774)), 1), B773))"),"JZRDCJTT")</f>
        <v>JZRDCJTT</v>
      </c>
      <c r="C774" s="2" t="str">
        <f>IFERROR(__xludf.DUMMYFUNCTION("IF('From Order'!$A774=COLUMNS($A774:C793), LEFT(INDEX(FILTER(C$1:C773, C$1:C773&lt;&gt;""""),COUNTA(FILTER(C$1:C773, C$1:C773&lt;&gt;""""))), LEN(INDEX(FILTER(C$1:C773, C$1:C773&lt;&gt;""""),COUNTA(FILTER(C$1:C773, C$1:C773&lt;&gt;""""))))-1), IF('To Order'!$A774=COLUMNS($A774:C"&amp;"793), C773&amp;RIGHT(INDIRECT(ADDRESS(ROW(C774)-1, 'From Order'!$A774)), 1), C773))"),"LBSGDTL")</f>
        <v>LBSGDTL</v>
      </c>
      <c r="D774" s="2" t="str">
        <f>IFERROR(__xludf.DUMMYFUNCTION("IF('From Order'!$A774=COLUMNS($A774:D793), LEFT(INDEX(FILTER(D$1:D773, D$1:D773&lt;&gt;""""),COUNTA(FILTER(D$1:D773, D$1:D773&lt;&gt;""""))), LEN(INDEX(FILTER(D$1:D773, D$1:D773&lt;&gt;""""),COUNTA(FILTER(D$1:D773, D$1:D773&lt;&gt;""""))))-1), IF('To Order'!$A774=COLUMNS($A774:D"&amp;"793), D773&amp;RIGHT(INDIRECT(ADDRESS(ROW(D774)-1, 'From Order'!$A774)), 1), D773))"),"TMZM")</f>
        <v>TMZM</v>
      </c>
      <c r="E774" s="2" t="str">
        <f>IFERROR(__xludf.DUMMYFUNCTION("IF('From Order'!$A774=COLUMNS($A774:E793), LEFT(INDEX(FILTER(E$1:E773, E$1:E773&lt;&gt;""""),COUNTA(FILTER(E$1:E773, E$1:E773&lt;&gt;""""))), LEN(INDEX(FILTER(E$1:E773, E$1:E773&lt;&gt;""""),COUNTA(FILTER(E$1:E773, E$1:E773&lt;&gt;""""))))-1), IF('To Order'!$A774=COLUMNS($A774:E"&amp;"793), E773&amp;RIGHT(INDIRECT(ADDRESS(ROW(E774)-1, 'From Order'!$A774)), 1), E773))"),"CVRZHMFBBFS")</f>
        <v>CVRZHMFBBFS</v>
      </c>
      <c r="F774" s="2" t="str">
        <f>IFERROR(__xludf.DUMMYFUNCTION("IF('From Order'!$A774=COLUMNS($A774:F793), LEFT(INDEX(FILTER(F$1:F773, F$1:F773&lt;&gt;""""),COUNTA(FILTER(F$1:F773, F$1:F773&lt;&gt;""""))), LEN(INDEX(FILTER(F$1:F773, F$1:F773&lt;&gt;""""),COUNTA(FILTER(F$1:F773, F$1:F773&lt;&gt;""""))))-1), IF('To Order'!$A774=COLUMNS($A774:F"&amp;"793), F773&amp;RIGHT(INDIRECT(ADDRESS(ROW(F774)-1, 'From Order'!$A774)), 1), F773))"),"J")</f>
        <v>J</v>
      </c>
      <c r="G774" s="2" t="str">
        <f>IFERROR(__xludf.DUMMYFUNCTION("IF('From Order'!$A774=COLUMNS($A774:G793), LEFT(INDEX(FILTER(G$1:G773, G$1:G773&lt;&gt;""""),COUNTA(FILTER(G$1:G773, G$1:G773&lt;&gt;""""))), LEN(INDEX(FILTER(G$1:G773, G$1:G773&lt;&gt;""""),COUNTA(FILTER(G$1:G773, G$1:G773&lt;&gt;""""))))-1), IF('To Order'!$A774=COLUMNS($A774:G"&amp;"793), G773&amp;RIGHT(INDIRECT(ADDRESS(ROW(G774)-1, 'From Order'!$A774)), 1), G773))"),"DTRLRQPDSSGHWQPBCVDRWTD")</f>
        <v>DTRLRQPDSSGHWQPBCVDRWTD</v>
      </c>
      <c r="H774" s="2" t="str">
        <f>IFERROR(__xludf.DUMMYFUNCTION("IF('From Order'!$A774=COLUMNS($A774:H793), LEFT(INDEX(FILTER(H$1:H773, H$1:H773&lt;&gt;""""),COUNTA(FILTER(H$1:H773, H$1:H773&lt;&gt;""""))), LEN(INDEX(FILTER(H$1:H773, H$1:H773&lt;&gt;""""),COUNTA(FILTER(H$1:H773, H$1:H773&lt;&gt;""""))))-1), IF('To Order'!$A774=COLUMNS($A774:H"&amp;"793), H773&amp;RIGHT(INDIRECT(ADDRESS(ROW(H774)-1, 'From Order'!$A774)), 1), H773))"),"")</f>
        <v/>
      </c>
      <c r="I774" s="2" t="str">
        <f>IFERROR(__xludf.DUMMYFUNCTION("IF('From Order'!$A774=COLUMNS($A774:I793), LEFT(INDEX(FILTER(I$1:I773, I$1:I773&lt;&gt;""""),COUNTA(FILTER(I$1:I773, I$1:I773&lt;&gt;""""))), LEN(INDEX(FILTER(I$1:I773, I$1:I773&lt;&gt;""""),COUNTA(FILTER(I$1:I773, I$1:I773&lt;&gt;""""))))-1), IF('To Order'!$A774=COLUMNS($A774:I"&amp;"793), I773&amp;RIGHT(INDIRECT(ADDRESS(ROW(I774)-1, 'From Order'!$A774)), 1), I773))"),"VP")</f>
        <v>VP</v>
      </c>
    </row>
    <row r="775">
      <c r="A775" s="2" t="str">
        <f>IFERROR(__xludf.DUMMYFUNCTION("IF('From Order'!$A775=COLUMNS($A775:A794), LEFT(INDEX(FILTER(A$1:A774, A$1:A774&lt;&gt;""""),COUNTA(FILTER(A$1:A774, A$1:A774&lt;&gt;""""))), LEN(INDEX(FILTER(A$1:A774, A$1:A774&lt;&gt;""""),COUNTA(FILTER(A$1:A774, A$1:A774&lt;&gt;""""))))-1), IF('To Order'!$A775=COLUMNS($A775:A"&amp;"794), A774&amp;RIGHT(INDIRECT(ADDRESS(ROW(A775)-1, 'From Order'!$A775)), 1), A774))"),"")</f>
        <v/>
      </c>
      <c r="B775" s="2" t="str">
        <f>IFERROR(__xludf.DUMMYFUNCTION("IF('From Order'!$A775=COLUMNS($A775:B794), LEFT(INDEX(FILTER(B$1:B774, B$1:B774&lt;&gt;""""),COUNTA(FILTER(B$1:B774, B$1:B774&lt;&gt;""""))), LEN(INDEX(FILTER(B$1:B774, B$1:B774&lt;&gt;""""),COUNTA(FILTER(B$1:B774, B$1:B774&lt;&gt;""""))))-1), IF('To Order'!$A775=COLUMNS($A775:B"&amp;"794), B774&amp;RIGHT(INDIRECT(ADDRESS(ROW(B775)-1, 'From Order'!$A775)), 1), B774))"),"JZRDCJTT")</f>
        <v>JZRDCJTT</v>
      </c>
      <c r="C775" s="2" t="str">
        <f>IFERROR(__xludf.DUMMYFUNCTION("IF('From Order'!$A775=COLUMNS($A775:C794), LEFT(INDEX(FILTER(C$1:C774, C$1:C774&lt;&gt;""""),COUNTA(FILTER(C$1:C774, C$1:C774&lt;&gt;""""))), LEN(INDEX(FILTER(C$1:C774, C$1:C774&lt;&gt;""""),COUNTA(FILTER(C$1:C774, C$1:C774&lt;&gt;""""))))-1), IF('To Order'!$A775=COLUMNS($A775:C"&amp;"794), C774&amp;RIGHT(INDIRECT(ADDRESS(ROW(C775)-1, 'From Order'!$A775)), 1), C774))"),"LBSGDTLS")</f>
        <v>LBSGDTLS</v>
      </c>
      <c r="D775" s="2" t="str">
        <f>IFERROR(__xludf.DUMMYFUNCTION("IF('From Order'!$A775=COLUMNS($A775:D794), LEFT(INDEX(FILTER(D$1:D774, D$1:D774&lt;&gt;""""),COUNTA(FILTER(D$1:D774, D$1:D774&lt;&gt;""""))), LEN(INDEX(FILTER(D$1:D774, D$1:D774&lt;&gt;""""),COUNTA(FILTER(D$1:D774, D$1:D774&lt;&gt;""""))))-1), IF('To Order'!$A775=COLUMNS($A775:D"&amp;"794), D774&amp;RIGHT(INDIRECT(ADDRESS(ROW(D775)-1, 'From Order'!$A775)), 1), D774))"),"TMZM")</f>
        <v>TMZM</v>
      </c>
      <c r="E775" s="2" t="str">
        <f>IFERROR(__xludf.DUMMYFUNCTION("IF('From Order'!$A775=COLUMNS($A775:E794), LEFT(INDEX(FILTER(E$1:E774, E$1:E774&lt;&gt;""""),COUNTA(FILTER(E$1:E774, E$1:E774&lt;&gt;""""))), LEN(INDEX(FILTER(E$1:E774, E$1:E774&lt;&gt;""""),COUNTA(FILTER(E$1:E774, E$1:E774&lt;&gt;""""))))-1), IF('To Order'!$A775=COLUMNS($A775:E"&amp;"794), E774&amp;RIGHT(INDIRECT(ADDRESS(ROW(E775)-1, 'From Order'!$A775)), 1), E774))"),"CVRZHMFBBF")</f>
        <v>CVRZHMFBBF</v>
      </c>
      <c r="F775" s="2" t="str">
        <f>IFERROR(__xludf.DUMMYFUNCTION("IF('From Order'!$A775=COLUMNS($A775:F794), LEFT(INDEX(FILTER(F$1:F774, F$1:F774&lt;&gt;""""),COUNTA(FILTER(F$1:F774, F$1:F774&lt;&gt;""""))), LEN(INDEX(FILTER(F$1:F774, F$1:F774&lt;&gt;""""),COUNTA(FILTER(F$1:F774, F$1:F774&lt;&gt;""""))))-1), IF('To Order'!$A775=COLUMNS($A775:F"&amp;"794), F774&amp;RIGHT(INDIRECT(ADDRESS(ROW(F775)-1, 'From Order'!$A775)), 1), F774))"),"J")</f>
        <v>J</v>
      </c>
      <c r="G775" s="2" t="str">
        <f>IFERROR(__xludf.DUMMYFUNCTION("IF('From Order'!$A775=COLUMNS($A775:G794), LEFT(INDEX(FILTER(G$1:G774, G$1:G774&lt;&gt;""""),COUNTA(FILTER(G$1:G774, G$1:G774&lt;&gt;""""))), LEN(INDEX(FILTER(G$1:G774, G$1:G774&lt;&gt;""""),COUNTA(FILTER(G$1:G774, G$1:G774&lt;&gt;""""))))-1), IF('To Order'!$A775=COLUMNS($A775:G"&amp;"794), G774&amp;RIGHT(INDIRECT(ADDRESS(ROW(G775)-1, 'From Order'!$A775)), 1), G774))"),"DTRLRQPDSSGHWQPBCVDRWTD")</f>
        <v>DTRLRQPDSSGHWQPBCVDRWTD</v>
      </c>
      <c r="H775" s="2" t="str">
        <f>IFERROR(__xludf.DUMMYFUNCTION("IF('From Order'!$A775=COLUMNS($A775:H794), LEFT(INDEX(FILTER(H$1:H774, H$1:H774&lt;&gt;""""),COUNTA(FILTER(H$1:H774, H$1:H774&lt;&gt;""""))), LEN(INDEX(FILTER(H$1:H774, H$1:H774&lt;&gt;""""),COUNTA(FILTER(H$1:H774, H$1:H774&lt;&gt;""""))))-1), IF('To Order'!$A775=COLUMNS($A775:H"&amp;"794), H774&amp;RIGHT(INDIRECT(ADDRESS(ROW(H775)-1, 'From Order'!$A775)), 1), H774))"),"")</f>
        <v/>
      </c>
      <c r="I775" s="2" t="str">
        <f>IFERROR(__xludf.DUMMYFUNCTION("IF('From Order'!$A775=COLUMNS($A775:I794), LEFT(INDEX(FILTER(I$1:I774, I$1:I774&lt;&gt;""""),COUNTA(FILTER(I$1:I774, I$1:I774&lt;&gt;""""))), LEN(INDEX(FILTER(I$1:I774, I$1:I774&lt;&gt;""""),COUNTA(FILTER(I$1:I774, I$1:I774&lt;&gt;""""))))-1), IF('To Order'!$A775=COLUMNS($A775:I"&amp;"794), I774&amp;RIGHT(INDIRECT(ADDRESS(ROW(I775)-1, 'From Order'!$A775)), 1), I774))"),"VP")</f>
        <v>VP</v>
      </c>
    </row>
    <row r="776">
      <c r="A776" s="2" t="str">
        <f>IFERROR(__xludf.DUMMYFUNCTION("IF('From Order'!$A776=COLUMNS($A776:A795), LEFT(INDEX(FILTER(A$1:A775, A$1:A775&lt;&gt;""""),COUNTA(FILTER(A$1:A775, A$1:A775&lt;&gt;""""))), LEN(INDEX(FILTER(A$1:A775, A$1:A775&lt;&gt;""""),COUNTA(FILTER(A$1:A775, A$1:A775&lt;&gt;""""))))-1), IF('To Order'!$A776=COLUMNS($A776:A"&amp;"795), A775&amp;RIGHT(INDIRECT(ADDRESS(ROW(A776)-1, 'From Order'!$A776)), 1), A775))"),"")</f>
        <v/>
      </c>
      <c r="B776" s="2" t="str">
        <f>IFERROR(__xludf.DUMMYFUNCTION("IF('From Order'!$A776=COLUMNS($A776:B795), LEFT(INDEX(FILTER(B$1:B775, B$1:B775&lt;&gt;""""),COUNTA(FILTER(B$1:B775, B$1:B775&lt;&gt;""""))), LEN(INDEX(FILTER(B$1:B775, B$1:B775&lt;&gt;""""),COUNTA(FILTER(B$1:B775, B$1:B775&lt;&gt;""""))))-1), IF('To Order'!$A776=COLUMNS($A776:B"&amp;"795), B775&amp;RIGHT(INDIRECT(ADDRESS(ROW(B776)-1, 'From Order'!$A776)), 1), B775))"),"JZRDCJTT")</f>
        <v>JZRDCJTT</v>
      </c>
      <c r="C776" s="2" t="str">
        <f>IFERROR(__xludf.DUMMYFUNCTION("IF('From Order'!$A776=COLUMNS($A776:C795), LEFT(INDEX(FILTER(C$1:C775, C$1:C775&lt;&gt;""""),COUNTA(FILTER(C$1:C775, C$1:C775&lt;&gt;""""))), LEN(INDEX(FILTER(C$1:C775, C$1:C775&lt;&gt;""""),COUNTA(FILTER(C$1:C775, C$1:C775&lt;&gt;""""))))-1), IF('To Order'!$A776=COLUMNS($A776:C"&amp;"795), C775&amp;RIGHT(INDIRECT(ADDRESS(ROW(C776)-1, 'From Order'!$A776)), 1), C775))"),"LBSGDTLSF")</f>
        <v>LBSGDTLSF</v>
      </c>
      <c r="D776" s="2" t="str">
        <f>IFERROR(__xludf.DUMMYFUNCTION("IF('From Order'!$A776=COLUMNS($A776:D795), LEFT(INDEX(FILTER(D$1:D775, D$1:D775&lt;&gt;""""),COUNTA(FILTER(D$1:D775, D$1:D775&lt;&gt;""""))), LEN(INDEX(FILTER(D$1:D775, D$1:D775&lt;&gt;""""),COUNTA(FILTER(D$1:D775, D$1:D775&lt;&gt;""""))))-1), IF('To Order'!$A776=COLUMNS($A776:D"&amp;"795), D775&amp;RIGHT(INDIRECT(ADDRESS(ROW(D776)-1, 'From Order'!$A776)), 1), D775))"),"TMZM")</f>
        <v>TMZM</v>
      </c>
      <c r="E776" s="2" t="str">
        <f>IFERROR(__xludf.DUMMYFUNCTION("IF('From Order'!$A776=COLUMNS($A776:E795), LEFT(INDEX(FILTER(E$1:E775, E$1:E775&lt;&gt;""""),COUNTA(FILTER(E$1:E775, E$1:E775&lt;&gt;""""))), LEN(INDEX(FILTER(E$1:E775, E$1:E775&lt;&gt;""""),COUNTA(FILTER(E$1:E775, E$1:E775&lt;&gt;""""))))-1), IF('To Order'!$A776=COLUMNS($A776:E"&amp;"795), E775&amp;RIGHT(INDIRECT(ADDRESS(ROW(E776)-1, 'From Order'!$A776)), 1), E775))"),"CVRZHMFBB")</f>
        <v>CVRZHMFBB</v>
      </c>
      <c r="F776" s="2" t="str">
        <f>IFERROR(__xludf.DUMMYFUNCTION("IF('From Order'!$A776=COLUMNS($A776:F795), LEFT(INDEX(FILTER(F$1:F775, F$1:F775&lt;&gt;""""),COUNTA(FILTER(F$1:F775, F$1:F775&lt;&gt;""""))), LEN(INDEX(FILTER(F$1:F775, F$1:F775&lt;&gt;""""),COUNTA(FILTER(F$1:F775, F$1:F775&lt;&gt;""""))))-1), IF('To Order'!$A776=COLUMNS($A776:F"&amp;"795), F775&amp;RIGHT(INDIRECT(ADDRESS(ROW(F776)-1, 'From Order'!$A776)), 1), F775))"),"J")</f>
        <v>J</v>
      </c>
      <c r="G776" s="2" t="str">
        <f>IFERROR(__xludf.DUMMYFUNCTION("IF('From Order'!$A776=COLUMNS($A776:G795), LEFT(INDEX(FILTER(G$1:G775, G$1:G775&lt;&gt;""""),COUNTA(FILTER(G$1:G775, G$1:G775&lt;&gt;""""))), LEN(INDEX(FILTER(G$1:G775, G$1:G775&lt;&gt;""""),COUNTA(FILTER(G$1:G775, G$1:G775&lt;&gt;""""))))-1), IF('To Order'!$A776=COLUMNS($A776:G"&amp;"795), G775&amp;RIGHT(INDIRECT(ADDRESS(ROW(G776)-1, 'From Order'!$A776)), 1), G775))"),"DTRLRQPDSSGHWQPBCVDRWTD")</f>
        <v>DTRLRQPDSSGHWQPBCVDRWTD</v>
      </c>
      <c r="H776" s="2" t="str">
        <f>IFERROR(__xludf.DUMMYFUNCTION("IF('From Order'!$A776=COLUMNS($A776:H795), LEFT(INDEX(FILTER(H$1:H775, H$1:H775&lt;&gt;""""),COUNTA(FILTER(H$1:H775, H$1:H775&lt;&gt;""""))), LEN(INDEX(FILTER(H$1:H775, H$1:H775&lt;&gt;""""),COUNTA(FILTER(H$1:H775, H$1:H775&lt;&gt;""""))))-1), IF('To Order'!$A776=COLUMNS($A776:H"&amp;"795), H775&amp;RIGHT(INDIRECT(ADDRESS(ROW(H776)-1, 'From Order'!$A776)), 1), H775))"),"")</f>
        <v/>
      </c>
      <c r="I776" s="2" t="str">
        <f>IFERROR(__xludf.DUMMYFUNCTION("IF('From Order'!$A776=COLUMNS($A776:I795), LEFT(INDEX(FILTER(I$1:I775, I$1:I775&lt;&gt;""""),COUNTA(FILTER(I$1:I775, I$1:I775&lt;&gt;""""))), LEN(INDEX(FILTER(I$1:I775, I$1:I775&lt;&gt;""""),COUNTA(FILTER(I$1:I775, I$1:I775&lt;&gt;""""))))-1), IF('To Order'!$A776=COLUMNS($A776:I"&amp;"795), I775&amp;RIGHT(INDIRECT(ADDRESS(ROW(I776)-1, 'From Order'!$A776)), 1), I775))"),"VP")</f>
        <v>VP</v>
      </c>
    </row>
    <row r="777">
      <c r="A777" s="2" t="str">
        <f>IFERROR(__xludf.DUMMYFUNCTION("IF('From Order'!$A777=COLUMNS($A777:A796), LEFT(INDEX(FILTER(A$1:A776, A$1:A776&lt;&gt;""""),COUNTA(FILTER(A$1:A776, A$1:A776&lt;&gt;""""))), LEN(INDEX(FILTER(A$1:A776, A$1:A776&lt;&gt;""""),COUNTA(FILTER(A$1:A776, A$1:A776&lt;&gt;""""))))-1), IF('To Order'!$A777=COLUMNS($A777:A"&amp;"796), A776&amp;RIGHT(INDIRECT(ADDRESS(ROW(A777)-1, 'From Order'!$A777)), 1), A776))"),"")</f>
        <v/>
      </c>
      <c r="B777" s="2" t="str">
        <f>IFERROR(__xludf.DUMMYFUNCTION("IF('From Order'!$A777=COLUMNS($A777:B796), LEFT(INDEX(FILTER(B$1:B776, B$1:B776&lt;&gt;""""),COUNTA(FILTER(B$1:B776, B$1:B776&lt;&gt;""""))), LEN(INDEX(FILTER(B$1:B776, B$1:B776&lt;&gt;""""),COUNTA(FILTER(B$1:B776, B$1:B776&lt;&gt;""""))))-1), IF('To Order'!$A777=COLUMNS($A777:B"&amp;"796), B776&amp;RIGHT(INDIRECT(ADDRESS(ROW(B777)-1, 'From Order'!$A777)), 1), B776))"),"JZRDCJTT")</f>
        <v>JZRDCJTT</v>
      </c>
      <c r="C777" s="2" t="str">
        <f>IFERROR(__xludf.DUMMYFUNCTION("IF('From Order'!$A777=COLUMNS($A777:C796), LEFT(INDEX(FILTER(C$1:C776, C$1:C776&lt;&gt;""""),COUNTA(FILTER(C$1:C776, C$1:C776&lt;&gt;""""))), LEN(INDEX(FILTER(C$1:C776, C$1:C776&lt;&gt;""""),COUNTA(FILTER(C$1:C776, C$1:C776&lt;&gt;""""))))-1), IF('To Order'!$A777=COLUMNS($A777:C"&amp;"796), C776&amp;RIGHT(INDIRECT(ADDRESS(ROW(C777)-1, 'From Order'!$A777)), 1), C776))"),"LBSGDTLSFB")</f>
        <v>LBSGDTLSFB</v>
      </c>
      <c r="D777" s="2" t="str">
        <f>IFERROR(__xludf.DUMMYFUNCTION("IF('From Order'!$A777=COLUMNS($A777:D796), LEFT(INDEX(FILTER(D$1:D776, D$1:D776&lt;&gt;""""),COUNTA(FILTER(D$1:D776, D$1:D776&lt;&gt;""""))), LEN(INDEX(FILTER(D$1:D776, D$1:D776&lt;&gt;""""),COUNTA(FILTER(D$1:D776, D$1:D776&lt;&gt;""""))))-1), IF('To Order'!$A777=COLUMNS($A777:D"&amp;"796), D776&amp;RIGHT(INDIRECT(ADDRESS(ROW(D777)-1, 'From Order'!$A777)), 1), D776))"),"TMZM")</f>
        <v>TMZM</v>
      </c>
      <c r="E777" s="2" t="str">
        <f>IFERROR(__xludf.DUMMYFUNCTION("IF('From Order'!$A777=COLUMNS($A777:E796), LEFT(INDEX(FILTER(E$1:E776, E$1:E776&lt;&gt;""""),COUNTA(FILTER(E$1:E776, E$1:E776&lt;&gt;""""))), LEN(INDEX(FILTER(E$1:E776, E$1:E776&lt;&gt;""""),COUNTA(FILTER(E$1:E776, E$1:E776&lt;&gt;""""))))-1), IF('To Order'!$A777=COLUMNS($A777:E"&amp;"796), E776&amp;RIGHT(INDIRECT(ADDRESS(ROW(E777)-1, 'From Order'!$A777)), 1), E776))"),"CVRZHMFB")</f>
        <v>CVRZHMFB</v>
      </c>
      <c r="F777" s="2" t="str">
        <f>IFERROR(__xludf.DUMMYFUNCTION("IF('From Order'!$A777=COLUMNS($A777:F796), LEFT(INDEX(FILTER(F$1:F776, F$1:F776&lt;&gt;""""),COUNTA(FILTER(F$1:F776, F$1:F776&lt;&gt;""""))), LEN(INDEX(FILTER(F$1:F776, F$1:F776&lt;&gt;""""),COUNTA(FILTER(F$1:F776, F$1:F776&lt;&gt;""""))))-1), IF('To Order'!$A777=COLUMNS($A777:F"&amp;"796), F776&amp;RIGHT(INDIRECT(ADDRESS(ROW(F777)-1, 'From Order'!$A777)), 1), F776))"),"J")</f>
        <v>J</v>
      </c>
      <c r="G777" s="2" t="str">
        <f>IFERROR(__xludf.DUMMYFUNCTION("IF('From Order'!$A777=COLUMNS($A777:G796), LEFT(INDEX(FILTER(G$1:G776, G$1:G776&lt;&gt;""""),COUNTA(FILTER(G$1:G776, G$1:G776&lt;&gt;""""))), LEN(INDEX(FILTER(G$1:G776, G$1:G776&lt;&gt;""""),COUNTA(FILTER(G$1:G776, G$1:G776&lt;&gt;""""))))-1), IF('To Order'!$A777=COLUMNS($A777:G"&amp;"796), G776&amp;RIGHT(INDIRECT(ADDRESS(ROW(G777)-1, 'From Order'!$A777)), 1), G776))"),"DTRLRQPDSSGHWQPBCVDRWTD")</f>
        <v>DTRLRQPDSSGHWQPBCVDRWTD</v>
      </c>
      <c r="H777" s="2" t="str">
        <f>IFERROR(__xludf.DUMMYFUNCTION("IF('From Order'!$A777=COLUMNS($A777:H796), LEFT(INDEX(FILTER(H$1:H776, H$1:H776&lt;&gt;""""),COUNTA(FILTER(H$1:H776, H$1:H776&lt;&gt;""""))), LEN(INDEX(FILTER(H$1:H776, H$1:H776&lt;&gt;""""),COUNTA(FILTER(H$1:H776, H$1:H776&lt;&gt;""""))))-1), IF('To Order'!$A777=COLUMNS($A777:H"&amp;"796), H776&amp;RIGHT(INDIRECT(ADDRESS(ROW(H777)-1, 'From Order'!$A777)), 1), H776))"),"")</f>
        <v/>
      </c>
      <c r="I777" s="2" t="str">
        <f>IFERROR(__xludf.DUMMYFUNCTION("IF('From Order'!$A777=COLUMNS($A777:I796), LEFT(INDEX(FILTER(I$1:I776, I$1:I776&lt;&gt;""""),COUNTA(FILTER(I$1:I776, I$1:I776&lt;&gt;""""))), LEN(INDEX(FILTER(I$1:I776, I$1:I776&lt;&gt;""""),COUNTA(FILTER(I$1:I776, I$1:I776&lt;&gt;""""))))-1), IF('To Order'!$A777=COLUMNS($A777:I"&amp;"796), I776&amp;RIGHT(INDIRECT(ADDRESS(ROW(I777)-1, 'From Order'!$A777)), 1), I776))"),"VP")</f>
        <v>VP</v>
      </c>
    </row>
    <row r="778">
      <c r="A778" s="2" t="str">
        <f>IFERROR(__xludf.DUMMYFUNCTION("IF('From Order'!$A778=COLUMNS($A778:A797), LEFT(INDEX(FILTER(A$1:A777, A$1:A777&lt;&gt;""""),COUNTA(FILTER(A$1:A777, A$1:A777&lt;&gt;""""))), LEN(INDEX(FILTER(A$1:A777, A$1:A777&lt;&gt;""""),COUNTA(FILTER(A$1:A777, A$1:A777&lt;&gt;""""))))-1), IF('To Order'!$A778=COLUMNS($A778:A"&amp;"797), A777&amp;RIGHT(INDIRECT(ADDRESS(ROW(A778)-1, 'From Order'!$A778)), 1), A777))"),"")</f>
        <v/>
      </c>
      <c r="B778" s="2" t="str">
        <f>IFERROR(__xludf.DUMMYFUNCTION("IF('From Order'!$A778=COLUMNS($A778:B797), LEFT(INDEX(FILTER(B$1:B777, B$1:B777&lt;&gt;""""),COUNTA(FILTER(B$1:B777, B$1:B777&lt;&gt;""""))), LEN(INDEX(FILTER(B$1:B777, B$1:B777&lt;&gt;""""),COUNTA(FILTER(B$1:B777, B$1:B777&lt;&gt;""""))))-1), IF('To Order'!$A778=COLUMNS($A778:B"&amp;"797), B777&amp;RIGHT(INDIRECT(ADDRESS(ROW(B778)-1, 'From Order'!$A778)), 1), B777))"),"JZRDCJTT")</f>
        <v>JZRDCJTT</v>
      </c>
      <c r="C778" s="2" t="str">
        <f>IFERROR(__xludf.DUMMYFUNCTION("IF('From Order'!$A778=COLUMNS($A778:C797), LEFT(INDEX(FILTER(C$1:C777, C$1:C777&lt;&gt;""""),COUNTA(FILTER(C$1:C777, C$1:C777&lt;&gt;""""))), LEN(INDEX(FILTER(C$1:C777, C$1:C777&lt;&gt;""""),COUNTA(FILTER(C$1:C777, C$1:C777&lt;&gt;""""))))-1), IF('To Order'!$A778=COLUMNS($A778:C"&amp;"797), C777&amp;RIGHT(INDIRECT(ADDRESS(ROW(C778)-1, 'From Order'!$A778)), 1), C777))"),"LBSGDTLSFBB")</f>
        <v>LBSGDTLSFBB</v>
      </c>
      <c r="D778" s="2" t="str">
        <f>IFERROR(__xludf.DUMMYFUNCTION("IF('From Order'!$A778=COLUMNS($A778:D797), LEFT(INDEX(FILTER(D$1:D777, D$1:D777&lt;&gt;""""),COUNTA(FILTER(D$1:D777, D$1:D777&lt;&gt;""""))), LEN(INDEX(FILTER(D$1:D777, D$1:D777&lt;&gt;""""),COUNTA(FILTER(D$1:D777, D$1:D777&lt;&gt;""""))))-1), IF('To Order'!$A778=COLUMNS($A778:D"&amp;"797), D777&amp;RIGHT(INDIRECT(ADDRESS(ROW(D778)-1, 'From Order'!$A778)), 1), D777))"),"TMZM")</f>
        <v>TMZM</v>
      </c>
      <c r="E778" s="2" t="str">
        <f>IFERROR(__xludf.DUMMYFUNCTION("IF('From Order'!$A778=COLUMNS($A778:E797), LEFT(INDEX(FILTER(E$1:E777, E$1:E777&lt;&gt;""""),COUNTA(FILTER(E$1:E777, E$1:E777&lt;&gt;""""))), LEN(INDEX(FILTER(E$1:E777, E$1:E777&lt;&gt;""""),COUNTA(FILTER(E$1:E777, E$1:E777&lt;&gt;""""))))-1), IF('To Order'!$A778=COLUMNS($A778:E"&amp;"797), E777&amp;RIGHT(INDIRECT(ADDRESS(ROW(E778)-1, 'From Order'!$A778)), 1), E777))"),"CVRZHMF")</f>
        <v>CVRZHMF</v>
      </c>
      <c r="F778" s="2" t="str">
        <f>IFERROR(__xludf.DUMMYFUNCTION("IF('From Order'!$A778=COLUMNS($A778:F797), LEFT(INDEX(FILTER(F$1:F777, F$1:F777&lt;&gt;""""),COUNTA(FILTER(F$1:F777, F$1:F777&lt;&gt;""""))), LEN(INDEX(FILTER(F$1:F777, F$1:F777&lt;&gt;""""),COUNTA(FILTER(F$1:F777, F$1:F777&lt;&gt;""""))))-1), IF('To Order'!$A778=COLUMNS($A778:F"&amp;"797), F777&amp;RIGHT(INDIRECT(ADDRESS(ROW(F778)-1, 'From Order'!$A778)), 1), F777))"),"J")</f>
        <v>J</v>
      </c>
      <c r="G778" s="2" t="str">
        <f>IFERROR(__xludf.DUMMYFUNCTION("IF('From Order'!$A778=COLUMNS($A778:G797), LEFT(INDEX(FILTER(G$1:G777, G$1:G777&lt;&gt;""""),COUNTA(FILTER(G$1:G777, G$1:G777&lt;&gt;""""))), LEN(INDEX(FILTER(G$1:G777, G$1:G777&lt;&gt;""""),COUNTA(FILTER(G$1:G777, G$1:G777&lt;&gt;""""))))-1), IF('To Order'!$A778=COLUMNS($A778:G"&amp;"797), G777&amp;RIGHT(INDIRECT(ADDRESS(ROW(G778)-1, 'From Order'!$A778)), 1), G777))"),"DTRLRQPDSSGHWQPBCVDRWTD")</f>
        <v>DTRLRQPDSSGHWQPBCVDRWTD</v>
      </c>
      <c r="H778" s="2" t="str">
        <f>IFERROR(__xludf.DUMMYFUNCTION("IF('From Order'!$A778=COLUMNS($A778:H797), LEFT(INDEX(FILTER(H$1:H777, H$1:H777&lt;&gt;""""),COUNTA(FILTER(H$1:H777, H$1:H777&lt;&gt;""""))), LEN(INDEX(FILTER(H$1:H777, H$1:H777&lt;&gt;""""),COUNTA(FILTER(H$1:H777, H$1:H777&lt;&gt;""""))))-1), IF('To Order'!$A778=COLUMNS($A778:H"&amp;"797), H777&amp;RIGHT(INDIRECT(ADDRESS(ROW(H778)-1, 'From Order'!$A778)), 1), H777))"),"")</f>
        <v/>
      </c>
      <c r="I778" s="2" t="str">
        <f>IFERROR(__xludf.DUMMYFUNCTION("IF('From Order'!$A778=COLUMNS($A778:I797), LEFT(INDEX(FILTER(I$1:I777, I$1:I777&lt;&gt;""""),COUNTA(FILTER(I$1:I777, I$1:I777&lt;&gt;""""))), LEN(INDEX(FILTER(I$1:I777, I$1:I777&lt;&gt;""""),COUNTA(FILTER(I$1:I777, I$1:I777&lt;&gt;""""))))-1), IF('To Order'!$A778=COLUMNS($A778:I"&amp;"797), I777&amp;RIGHT(INDIRECT(ADDRESS(ROW(I778)-1, 'From Order'!$A778)), 1), I777))"),"VP")</f>
        <v>VP</v>
      </c>
    </row>
    <row r="779">
      <c r="A779" s="2" t="str">
        <f>IFERROR(__xludf.DUMMYFUNCTION("IF('From Order'!$A779=COLUMNS($A779:A798), LEFT(INDEX(FILTER(A$1:A778, A$1:A778&lt;&gt;""""),COUNTA(FILTER(A$1:A778, A$1:A778&lt;&gt;""""))), LEN(INDEX(FILTER(A$1:A778, A$1:A778&lt;&gt;""""),COUNTA(FILTER(A$1:A778, A$1:A778&lt;&gt;""""))))-1), IF('To Order'!$A779=COLUMNS($A779:A"&amp;"798), A778&amp;RIGHT(INDIRECT(ADDRESS(ROW(A779)-1, 'From Order'!$A779)), 1), A778))"),"")</f>
        <v/>
      </c>
      <c r="B779" s="2" t="str">
        <f>IFERROR(__xludf.DUMMYFUNCTION("IF('From Order'!$A779=COLUMNS($A779:B798), LEFT(INDEX(FILTER(B$1:B778, B$1:B778&lt;&gt;""""),COUNTA(FILTER(B$1:B778, B$1:B778&lt;&gt;""""))), LEN(INDEX(FILTER(B$1:B778, B$1:B778&lt;&gt;""""),COUNTA(FILTER(B$1:B778, B$1:B778&lt;&gt;""""))))-1), IF('To Order'!$A779=COLUMNS($A779:B"&amp;"798), B778&amp;RIGHT(INDIRECT(ADDRESS(ROW(B779)-1, 'From Order'!$A779)), 1), B778))"),"JZRDCJTT")</f>
        <v>JZRDCJTT</v>
      </c>
      <c r="C779" s="2" t="str">
        <f>IFERROR(__xludf.DUMMYFUNCTION("IF('From Order'!$A779=COLUMNS($A779:C798), LEFT(INDEX(FILTER(C$1:C778, C$1:C778&lt;&gt;""""),COUNTA(FILTER(C$1:C778, C$1:C778&lt;&gt;""""))), LEN(INDEX(FILTER(C$1:C778, C$1:C778&lt;&gt;""""),COUNTA(FILTER(C$1:C778, C$1:C778&lt;&gt;""""))))-1), IF('To Order'!$A779=COLUMNS($A779:C"&amp;"798), C778&amp;RIGHT(INDIRECT(ADDRESS(ROW(C779)-1, 'From Order'!$A779)), 1), C778))"),"LBSGDTLSFBBF")</f>
        <v>LBSGDTLSFBBF</v>
      </c>
      <c r="D779" s="2" t="str">
        <f>IFERROR(__xludf.DUMMYFUNCTION("IF('From Order'!$A779=COLUMNS($A779:D798), LEFT(INDEX(FILTER(D$1:D778, D$1:D778&lt;&gt;""""),COUNTA(FILTER(D$1:D778, D$1:D778&lt;&gt;""""))), LEN(INDEX(FILTER(D$1:D778, D$1:D778&lt;&gt;""""),COUNTA(FILTER(D$1:D778, D$1:D778&lt;&gt;""""))))-1), IF('To Order'!$A779=COLUMNS($A779:D"&amp;"798), D778&amp;RIGHT(INDIRECT(ADDRESS(ROW(D779)-1, 'From Order'!$A779)), 1), D778))"),"TMZM")</f>
        <v>TMZM</v>
      </c>
      <c r="E779" s="2" t="str">
        <f>IFERROR(__xludf.DUMMYFUNCTION("IF('From Order'!$A779=COLUMNS($A779:E798), LEFT(INDEX(FILTER(E$1:E778, E$1:E778&lt;&gt;""""),COUNTA(FILTER(E$1:E778, E$1:E778&lt;&gt;""""))), LEN(INDEX(FILTER(E$1:E778, E$1:E778&lt;&gt;""""),COUNTA(FILTER(E$1:E778, E$1:E778&lt;&gt;""""))))-1), IF('To Order'!$A779=COLUMNS($A779:E"&amp;"798), E778&amp;RIGHT(INDIRECT(ADDRESS(ROW(E779)-1, 'From Order'!$A779)), 1), E778))"),"CVRZHM")</f>
        <v>CVRZHM</v>
      </c>
      <c r="F779" s="2" t="str">
        <f>IFERROR(__xludf.DUMMYFUNCTION("IF('From Order'!$A779=COLUMNS($A779:F798), LEFT(INDEX(FILTER(F$1:F778, F$1:F778&lt;&gt;""""),COUNTA(FILTER(F$1:F778, F$1:F778&lt;&gt;""""))), LEN(INDEX(FILTER(F$1:F778, F$1:F778&lt;&gt;""""),COUNTA(FILTER(F$1:F778, F$1:F778&lt;&gt;""""))))-1), IF('To Order'!$A779=COLUMNS($A779:F"&amp;"798), F778&amp;RIGHT(INDIRECT(ADDRESS(ROW(F779)-1, 'From Order'!$A779)), 1), F778))"),"J")</f>
        <v>J</v>
      </c>
      <c r="G779" s="2" t="str">
        <f>IFERROR(__xludf.DUMMYFUNCTION("IF('From Order'!$A779=COLUMNS($A779:G798), LEFT(INDEX(FILTER(G$1:G778, G$1:G778&lt;&gt;""""),COUNTA(FILTER(G$1:G778, G$1:G778&lt;&gt;""""))), LEN(INDEX(FILTER(G$1:G778, G$1:G778&lt;&gt;""""),COUNTA(FILTER(G$1:G778, G$1:G778&lt;&gt;""""))))-1), IF('To Order'!$A779=COLUMNS($A779:G"&amp;"798), G778&amp;RIGHT(INDIRECT(ADDRESS(ROW(G779)-1, 'From Order'!$A779)), 1), G778))"),"DTRLRQPDSSGHWQPBCVDRWTD")</f>
        <v>DTRLRQPDSSGHWQPBCVDRWTD</v>
      </c>
      <c r="H779" s="2" t="str">
        <f>IFERROR(__xludf.DUMMYFUNCTION("IF('From Order'!$A779=COLUMNS($A779:H798), LEFT(INDEX(FILTER(H$1:H778, H$1:H778&lt;&gt;""""),COUNTA(FILTER(H$1:H778, H$1:H778&lt;&gt;""""))), LEN(INDEX(FILTER(H$1:H778, H$1:H778&lt;&gt;""""),COUNTA(FILTER(H$1:H778, H$1:H778&lt;&gt;""""))))-1), IF('To Order'!$A779=COLUMNS($A779:H"&amp;"798), H778&amp;RIGHT(INDIRECT(ADDRESS(ROW(H779)-1, 'From Order'!$A779)), 1), H778))"),"")</f>
        <v/>
      </c>
      <c r="I779" s="2" t="str">
        <f>IFERROR(__xludf.DUMMYFUNCTION("IF('From Order'!$A779=COLUMNS($A779:I798), LEFT(INDEX(FILTER(I$1:I778, I$1:I778&lt;&gt;""""),COUNTA(FILTER(I$1:I778, I$1:I778&lt;&gt;""""))), LEN(INDEX(FILTER(I$1:I778, I$1:I778&lt;&gt;""""),COUNTA(FILTER(I$1:I778, I$1:I778&lt;&gt;""""))))-1), IF('To Order'!$A779=COLUMNS($A779:I"&amp;"798), I778&amp;RIGHT(INDIRECT(ADDRESS(ROW(I779)-1, 'From Order'!$A779)), 1), I778))"),"VP")</f>
        <v>VP</v>
      </c>
    </row>
    <row r="780">
      <c r="A780" s="2" t="str">
        <f>IFERROR(__xludf.DUMMYFUNCTION("IF('From Order'!$A780=COLUMNS($A780:A799), LEFT(INDEX(FILTER(A$1:A779, A$1:A779&lt;&gt;""""),COUNTA(FILTER(A$1:A779, A$1:A779&lt;&gt;""""))), LEN(INDEX(FILTER(A$1:A779, A$1:A779&lt;&gt;""""),COUNTA(FILTER(A$1:A779, A$1:A779&lt;&gt;""""))))-1), IF('To Order'!$A780=COLUMNS($A780:A"&amp;"799), A779&amp;RIGHT(INDIRECT(ADDRESS(ROW(A780)-1, 'From Order'!$A780)), 1), A779))"),"")</f>
        <v/>
      </c>
      <c r="B780" s="2" t="str">
        <f>IFERROR(__xludf.DUMMYFUNCTION("IF('From Order'!$A780=COLUMNS($A780:B799), LEFT(INDEX(FILTER(B$1:B779, B$1:B779&lt;&gt;""""),COUNTA(FILTER(B$1:B779, B$1:B779&lt;&gt;""""))), LEN(INDEX(FILTER(B$1:B779, B$1:B779&lt;&gt;""""),COUNTA(FILTER(B$1:B779, B$1:B779&lt;&gt;""""))))-1), IF('To Order'!$A780=COLUMNS($A780:B"&amp;"799), B779&amp;RIGHT(INDIRECT(ADDRESS(ROW(B780)-1, 'From Order'!$A780)), 1), B779))"),"JZRDCJTT")</f>
        <v>JZRDCJTT</v>
      </c>
      <c r="C780" s="2" t="str">
        <f>IFERROR(__xludf.DUMMYFUNCTION("IF('From Order'!$A780=COLUMNS($A780:C799), LEFT(INDEX(FILTER(C$1:C779, C$1:C779&lt;&gt;""""),COUNTA(FILTER(C$1:C779, C$1:C779&lt;&gt;""""))), LEN(INDEX(FILTER(C$1:C779, C$1:C779&lt;&gt;""""),COUNTA(FILTER(C$1:C779, C$1:C779&lt;&gt;""""))))-1), IF('To Order'!$A780=COLUMNS($A780:C"&amp;"799), C779&amp;RIGHT(INDIRECT(ADDRESS(ROW(C780)-1, 'From Order'!$A780)), 1), C779))"),"LBSGDTLSFBBFM")</f>
        <v>LBSGDTLSFBBFM</v>
      </c>
      <c r="D780" s="2" t="str">
        <f>IFERROR(__xludf.DUMMYFUNCTION("IF('From Order'!$A780=COLUMNS($A780:D799), LEFT(INDEX(FILTER(D$1:D779, D$1:D779&lt;&gt;""""),COUNTA(FILTER(D$1:D779, D$1:D779&lt;&gt;""""))), LEN(INDEX(FILTER(D$1:D779, D$1:D779&lt;&gt;""""),COUNTA(FILTER(D$1:D779, D$1:D779&lt;&gt;""""))))-1), IF('To Order'!$A780=COLUMNS($A780:D"&amp;"799), D779&amp;RIGHT(INDIRECT(ADDRESS(ROW(D780)-1, 'From Order'!$A780)), 1), D779))"),"TMZM")</f>
        <v>TMZM</v>
      </c>
      <c r="E780" s="2" t="str">
        <f>IFERROR(__xludf.DUMMYFUNCTION("IF('From Order'!$A780=COLUMNS($A780:E799), LEFT(INDEX(FILTER(E$1:E779, E$1:E779&lt;&gt;""""),COUNTA(FILTER(E$1:E779, E$1:E779&lt;&gt;""""))), LEN(INDEX(FILTER(E$1:E779, E$1:E779&lt;&gt;""""),COUNTA(FILTER(E$1:E779, E$1:E779&lt;&gt;""""))))-1), IF('To Order'!$A780=COLUMNS($A780:E"&amp;"799), E779&amp;RIGHT(INDIRECT(ADDRESS(ROW(E780)-1, 'From Order'!$A780)), 1), E779))"),"CVRZH")</f>
        <v>CVRZH</v>
      </c>
      <c r="F780" s="2" t="str">
        <f>IFERROR(__xludf.DUMMYFUNCTION("IF('From Order'!$A780=COLUMNS($A780:F799), LEFT(INDEX(FILTER(F$1:F779, F$1:F779&lt;&gt;""""),COUNTA(FILTER(F$1:F779, F$1:F779&lt;&gt;""""))), LEN(INDEX(FILTER(F$1:F779, F$1:F779&lt;&gt;""""),COUNTA(FILTER(F$1:F779, F$1:F779&lt;&gt;""""))))-1), IF('To Order'!$A780=COLUMNS($A780:F"&amp;"799), F779&amp;RIGHT(INDIRECT(ADDRESS(ROW(F780)-1, 'From Order'!$A780)), 1), F779))"),"J")</f>
        <v>J</v>
      </c>
      <c r="G780" s="2" t="str">
        <f>IFERROR(__xludf.DUMMYFUNCTION("IF('From Order'!$A780=COLUMNS($A780:G799), LEFT(INDEX(FILTER(G$1:G779, G$1:G779&lt;&gt;""""),COUNTA(FILTER(G$1:G779, G$1:G779&lt;&gt;""""))), LEN(INDEX(FILTER(G$1:G779, G$1:G779&lt;&gt;""""),COUNTA(FILTER(G$1:G779, G$1:G779&lt;&gt;""""))))-1), IF('To Order'!$A780=COLUMNS($A780:G"&amp;"799), G779&amp;RIGHT(INDIRECT(ADDRESS(ROW(G780)-1, 'From Order'!$A780)), 1), G779))"),"DTRLRQPDSSGHWQPBCVDRWTD")</f>
        <v>DTRLRQPDSSGHWQPBCVDRWTD</v>
      </c>
      <c r="H780" s="2" t="str">
        <f>IFERROR(__xludf.DUMMYFUNCTION("IF('From Order'!$A780=COLUMNS($A780:H799), LEFT(INDEX(FILTER(H$1:H779, H$1:H779&lt;&gt;""""),COUNTA(FILTER(H$1:H779, H$1:H779&lt;&gt;""""))), LEN(INDEX(FILTER(H$1:H779, H$1:H779&lt;&gt;""""),COUNTA(FILTER(H$1:H779, H$1:H779&lt;&gt;""""))))-1), IF('To Order'!$A780=COLUMNS($A780:H"&amp;"799), H779&amp;RIGHT(INDIRECT(ADDRESS(ROW(H780)-1, 'From Order'!$A780)), 1), H779))"),"")</f>
        <v/>
      </c>
      <c r="I780" s="2" t="str">
        <f>IFERROR(__xludf.DUMMYFUNCTION("IF('From Order'!$A780=COLUMNS($A780:I799), LEFT(INDEX(FILTER(I$1:I779, I$1:I779&lt;&gt;""""),COUNTA(FILTER(I$1:I779, I$1:I779&lt;&gt;""""))), LEN(INDEX(FILTER(I$1:I779, I$1:I779&lt;&gt;""""),COUNTA(FILTER(I$1:I779, I$1:I779&lt;&gt;""""))))-1), IF('To Order'!$A780=COLUMNS($A780:I"&amp;"799), I779&amp;RIGHT(INDIRECT(ADDRESS(ROW(I780)-1, 'From Order'!$A780)), 1), I779))"),"VP")</f>
        <v>VP</v>
      </c>
    </row>
    <row r="781">
      <c r="A781" s="2" t="str">
        <f>IFERROR(__xludf.DUMMYFUNCTION("IF('From Order'!$A781=COLUMNS($A781:A800), LEFT(INDEX(FILTER(A$1:A780, A$1:A780&lt;&gt;""""),COUNTA(FILTER(A$1:A780, A$1:A780&lt;&gt;""""))), LEN(INDEX(FILTER(A$1:A780, A$1:A780&lt;&gt;""""),COUNTA(FILTER(A$1:A780, A$1:A780&lt;&gt;""""))))-1), IF('To Order'!$A781=COLUMNS($A781:A"&amp;"800), A780&amp;RIGHT(INDIRECT(ADDRESS(ROW(A781)-1, 'From Order'!$A781)), 1), A780))"),"")</f>
        <v/>
      </c>
      <c r="B781" s="2" t="str">
        <f>IFERROR(__xludf.DUMMYFUNCTION("IF('From Order'!$A781=COLUMNS($A781:B800), LEFT(INDEX(FILTER(B$1:B780, B$1:B780&lt;&gt;""""),COUNTA(FILTER(B$1:B780, B$1:B780&lt;&gt;""""))), LEN(INDEX(FILTER(B$1:B780, B$1:B780&lt;&gt;""""),COUNTA(FILTER(B$1:B780, B$1:B780&lt;&gt;""""))))-1), IF('To Order'!$A781=COLUMNS($A781:B"&amp;"800), B780&amp;RIGHT(INDIRECT(ADDRESS(ROW(B781)-1, 'From Order'!$A781)), 1), B780))"),"JZRDCJTT")</f>
        <v>JZRDCJTT</v>
      </c>
      <c r="C781" s="2" t="str">
        <f>IFERROR(__xludf.DUMMYFUNCTION("IF('From Order'!$A781=COLUMNS($A781:C800), LEFT(INDEX(FILTER(C$1:C780, C$1:C780&lt;&gt;""""),COUNTA(FILTER(C$1:C780, C$1:C780&lt;&gt;""""))), LEN(INDEX(FILTER(C$1:C780, C$1:C780&lt;&gt;""""),COUNTA(FILTER(C$1:C780, C$1:C780&lt;&gt;""""))))-1), IF('To Order'!$A781=COLUMNS($A781:C"&amp;"800), C780&amp;RIGHT(INDIRECT(ADDRESS(ROW(C781)-1, 'From Order'!$A781)), 1), C780))"),"LBSGDTLSFBBFMH")</f>
        <v>LBSGDTLSFBBFMH</v>
      </c>
      <c r="D781" s="2" t="str">
        <f>IFERROR(__xludf.DUMMYFUNCTION("IF('From Order'!$A781=COLUMNS($A781:D800), LEFT(INDEX(FILTER(D$1:D780, D$1:D780&lt;&gt;""""),COUNTA(FILTER(D$1:D780, D$1:D780&lt;&gt;""""))), LEN(INDEX(FILTER(D$1:D780, D$1:D780&lt;&gt;""""),COUNTA(FILTER(D$1:D780, D$1:D780&lt;&gt;""""))))-1), IF('To Order'!$A781=COLUMNS($A781:D"&amp;"800), D780&amp;RIGHT(INDIRECT(ADDRESS(ROW(D781)-1, 'From Order'!$A781)), 1), D780))"),"TMZM")</f>
        <v>TMZM</v>
      </c>
      <c r="E781" s="2" t="str">
        <f>IFERROR(__xludf.DUMMYFUNCTION("IF('From Order'!$A781=COLUMNS($A781:E800), LEFT(INDEX(FILTER(E$1:E780, E$1:E780&lt;&gt;""""),COUNTA(FILTER(E$1:E780, E$1:E780&lt;&gt;""""))), LEN(INDEX(FILTER(E$1:E780, E$1:E780&lt;&gt;""""),COUNTA(FILTER(E$1:E780, E$1:E780&lt;&gt;""""))))-1), IF('To Order'!$A781=COLUMNS($A781:E"&amp;"800), E780&amp;RIGHT(INDIRECT(ADDRESS(ROW(E781)-1, 'From Order'!$A781)), 1), E780))"),"CVRZ")</f>
        <v>CVRZ</v>
      </c>
      <c r="F781" s="2" t="str">
        <f>IFERROR(__xludf.DUMMYFUNCTION("IF('From Order'!$A781=COLUMNS($A781:F800), LEFT(INDEX(FILTER(F$1:F780, F$1:F780&lt;&gt;""""),COUNTA(FILTER(F$1:F780, F$1:F780&lt;&gt;""""))), LEN(INDEX(FILTER(F$1:F780, F$1:F780&lt;&gt;""""),COUNTA(FILTER(F$1:F780, F$1:F780&lt;&gt;""""))))-1), IF('To Order'!$A781=COLUMNS($A781:F"&amp;"800), F780&amp;RIGHT(INDIRECT(ADDRESS(ROW(F781)-1, 'From Order'!$A781)), 1), F780))"),"J")</f>
        <v>J</v>
      </c>
      <c r="G781" s="2" t="str">
        <f>IFERROR(__xludf.DUMMYFUNCTION("IF('From Order'!$A781=COLUMNS($A781:G800), LEFT(INDEX(FILTER(G$1:G780, G$1:G780&lt;&gt;""""),COUNTA(FILTER(G$1:G780, G$1:G780&lt;&gt;""""))), LEN(INDEX(FILTER(G$1:G780, G$1:G780&lt;&gt;""""),COUNTA(FILTER(G$1:G780, G$1:G780&lt;&gt;""""))))-1), IF('To Order'!$A781=COLUMNS($A781:G"&amp;"800), G780&amp;RIGHT(INDIRECT(ADDRESS(ROW(G781)-1, 'From Order'!$A781)), 1), G780))"),"DTRLRQPDSSGHWQPBCVDRWTD")</f>
        <v>DTRLRQPDSSGHWQPBCVDRWTD</v>
      </c>
      <c r="H781" s="2" t="str">
        <f>IFERROR(__xludf.DUMMYFUNCTION("IF('From Order'!$A781=COLUMNS($A781:H800), LEFT(INDEX(FILTER(H$1:H780, H$1:H780&lt;&gt;""""),COUNTA(FILTER(H$1:H780, H$1:H780&lt;&gt;""""))), LEN(INDEX(FILTER(H$1:H780, H$1:H780&lt;&gt;""""),COUNTA(FILTER(H$1:H780, H$1:H780&lt;&gt;""""))))-1), IF('To Order'!$A781=COLUMNS($A781:H"&amp;"800), H780&amp;RIGHT(INDIRECT(ADDRESS(ROW(H781)-1, 'From Order'!$A781)), 1), H780))"),"")</f>
        <v/>
      </c>
      <c r="I781" s="2" t="str">
        <f>IFERROR(__xludf.DUMMYFUNCTION("IF('From Order'!$A781=COLUMNS($A781:I800), LEFT(INDEX(FILTER(I$1:I780, I$1:I780&lt;&gt;""""),COUNTA(FILTER(I$1:I780, I$1:I780&lt;&gt;""""))), LEN(INDEX(FILTER(I$1:I780, I$1:I780&lt;&gt;""""),COUNTA(FILTER(I$1:I780, I$1:I780&lt;&gt;""""))))-1), IF('To Order'!$A781=COLUMNS($A781:I"&amp;"800), I780&amp;RIGHT(INDIRECT(ADDRESS(ROW(I781)-1, 'From Order'!$A781)), 1), I780))"),"VP")</f>
        <v>VP</v>
      </c>
    </row>
    <row r="782">
      <c r="A782" s="2" t="str">
        <f>IFERROR(__xludf.DUMMYFUNCTION("IF('From Order'!$A782=COLUMNS($A782:A801), LEFT(INDEX(FILTER(A$1:A781, A$1:A781&lt;&gt;""""),COUNTA(FILTER(A$1:A781, A$1:A781&lt;&gt;""""))), LEN(INDEX(FILTER(A$1:A781, A$1:A781&lt;&gt;""""),COUNTA(FILTER(A$1:A781, A$1:A781&lt;&gt;""""))))-1), IF('To Order'!$A782=COLUMNS($A782:A"&amp;"801), A781&amp;RIGHT(INDIRECT(ADDRESS(ROW(A782)-1, 'From Order'!$A782)), 1), A781))"),"")</f>
        <v/>
      </c>
      <c r="B782" s="2" t="str">
        <f>IFERROR(__xludf.DUMMYFUNCTION("IF('From Order'!$A782=COLUMNS($A782:B801), LEFT(INDEX(FILTER(B$1:B781, B$1:B781&lt;&gt;""""),COUNTA(FILTER(B$1:B781, B$1:B781&lt;&gt;""""))), LEN(INDEX(FILTER(B$1:B781, B$1:B781&lt;&gt;""""),COUNTA(FILTER(B$1:B781, B$1:B781&lt;&gt;""""))))-1), IF('To Order'!$A782=COLUMNS($A782:B"&amp;"801), B781&amp;RIGHT(INDIRECT(ADDRESS(ROW(B782)-1, 'From Order'!$A782)), 1), B781))"),"JZRDCJTT")</f>
        <v>JZRDCJTT</v>
      </c>
      <c r="C782" s="2" t="str">
        <f>IFERROR(__xludf.DUMMYFUNCTION("IF('From Order'!$A782=COLUMNS($A782:C801), LEFT(INDEX(FILTER(C$1:C781, C$1:C781&lt;&gt;""""),COUNTA(FILTER(C$1:C781, C$1:C781&lt;&gt;""""))), LEN(INDEX(FILTER(C$1:C781, C$1:C781&lt;&gt;""""),COUNTA(FILTER(C$1:C781, C$1:C781&lt;&gt;""""))))-1), IF('To Order'!$A782=COLUMNS($A782:C"&amp;"801), C781&amp;RIGHT(INDIRECT(ADDRESS(ROW(C782)-1, 'From Order'!$A782)), 1), C781))"),"LBSGDTLSFBBFMHZ")</f>
        <v>LBSGDTLSFBBFMHZ</v>
      </c>
      <c r="D782" s="2" t="str">
        <f>IFERROR(__xludf.DUMMYFUNCTION("IF('From Order'!$A782=COLUMNS($A782:D801), LEFT(INDEX(FILTER(D$1:D781, D$1:D781&lt;&gt;""""),COUNTA(FILTER(D$1:D781, D$1:D781&lt;&gt;""""))), LEN(INDEX(FILTER(D$1:D781, D$1:D781&lt;&gt;""""),COUNTA(FILTER(D$1:D781, D$1:D781&lt;&gt;""""))))-1), IF('To Order'!$A782=COLUMNS($A782:D"&amp;"801), D781&amp;RIGHT(INDIRECT(ADDRESS(ROW(D782)-1, 'From Order'!$A782)), 1), D781))"),"TMZM")</f>
        <v>TMZM</v>
      </c>
      <c r="E782" s="2" t="str">
        <f>IFERROR(__xludf.DUMMYFUNCTION("IF('From Order'!$A782=COLUMNS($A782:E801), LEFT(INDEX(FILTER(E$1:E781, E$1:E781&lt;&gt;""""),COUNTA(FILTER(E$1:E781, E$1:E781&lt;&gt;""""))), LEN(INDEX(FILTER(E$1:E781, E$1:E781&lt;&gt;""""),COUNTA(FILTER(E$1:E781, E$1:E781&lt;&gt;""""))))-1), IF('To Order'!$A782=COLUMNS($A782:E"&amp;"801), E781&amp;RIGHT(INDIRECT(ADDRESS(ROW(E782)-1, 'From Order'!$A782)), 1), E781))"),"CVR")</f>
        <v>CVR</v>
      </c>
      <c r="F782" s="2" t="str">
        <f>IFERROR(__xludf.DUMMYFUNCTION("IF('From Order'!$A782=COLUMNS($A782:F801), LEFT(INDEX(FILTER(F$1:F781, F$1:F781&lt;&gt;""""),COUNTA(FILTER(F$1:F781, F$1:F781&lt;&gt;""""))), LEN(INDEX(FILTER(F$1:F781, F$1:F781&lt;&gt;""""),COUNTA(FILTER(F$1:F781, F$1:F781&lt;&gt;""""))))-1), IF('To Order'!$A782=COLUMNS($A782:F"&amp;"801), F781&amp;RIGHT(INDIRECT(ADDRESS(ROW(F782)-1, 'From Order'!$A782)), 1), F781))"),"J")</f>
        <v>J</v>
      </c>
      <c r="G782" s="2" t="str">
        <f>IFERROR(__xludf.DUMMYFUNCTION("IF('From Order'!$A782=COLUMNS($A782:G801), LEFT(INDEX(FILTER(G$1:G781, G$1:G781&lt;&gt;""""),COUNTA(FILTER(G$1:G781, G$1:G781&lt;&gt;""""))), LEN(INDEX(FILTER(G$1:G781, G$1:G781&lt;&gt;""""),COUNTA(FILTER(G$1:G781, G$1:G781&lt;&gt;""""))))-1), IF('To Order'!$A782=COLUMNS($A782:G"&amp;"801), G781&amp;RIGHT(INDIRECT(ADDRESS(ROW(G782)-1, 'From Order'!$A782)), 1), G781))"),"DTRLRQPDSSGHWQPBCVDRWTD")</f>
        <v>DTRLRQPDSSGHWQPBCVDRWTD</v>
      </c>
      <c r="H782" s="2" t="str">
        <f>IFERROR(__xludf.DUMMYFUNCTION("IF('From Order'!$A782=COLUMNS($A782:H801), LEFT(INDEX(FILTER(H$1:H781, H$1:H781&lt;&gt;""""),COUNTA(FILTER(H$1:H781, H$1:H781&lt;&gt;""""))), LEN(INDEX(FILTER(H$1:H781, H$1:H781&lt;&gt;""""),COUNTA(FILTER(H$1:H781, H$1:H781&lt;&gt;""""))))-1), IF('To Order'!$A782=COLUMNS($A782:H"&amp;"801), H781&amp;RIGHT(INDIRECT(ADDRESS(ROW(H782)-1, 'From Order'!$A782)), 1), H781))"),"")</f>
        <v/>
      </c>
      <c r="I782" s="2" t="str">
        <f>IFERROR(__xludf.DUMMYFUNCTION("IF('From Order'!$A782=COLUMNS($A782:I801), LEFT(INDEX(FILTER(I$1:I781, I$1:I781&lt;&gt;""""),COUNTA(FILTER(I$1:I781, I$1:I781&lt;&gt;""""))), LEN(INDEX(FILTER(I$1:I781, I$1:I781&lt;&gt;""""),COUNTA(FILTER(I$1:I781, I$1:I781&lt;&gt;""""))))-1), IF('To Order'!$A782=COLUMNS($A782:I"&amp;"801), I781&amp;RIGHT(INDIRECT(ADDRESS(ROW(I782)-1, 'From Order'!$A782)), 1), I781))"),"VP")</f>
        <v>VP</v>
      </c>
    </row>
    <row r="783">
      <c r="A783" s="2" t="str">
        <f>IFERROR(__xludf.DUMMYFUNCTION("IF('From Order'!$A783=COLUMNS($A783:A802), LEFT(INDEX(FILTER(A$1:A782, A$1:A782&lt;&gt;""""),COUNTA(FILTER(A$1:A782, A$1:A782&lt;&gt;""""))), LEN(INDEX(FILTER(A$1:A782, A$1:A782&lt;&gt;""""),COUNTA(FILTER(A$1:A782, A$1:A782&lt;&gt;""""))))-1), IF('To Order'!$A783=COLUMNS($A783:A"&amp;"802), A782&amp;RIGHT(INDIRECT(ADDRESS(ROW(A783)-1, 'From Order'!$A783)), 1), A782))"),"")</f>
        <v/>
      </c>
      <c r="B783" s="2" t="str">
        <f>IFERROR(__xludf.DUMMYFUNCTION("IF('From Order'!$A783=COLUMNS($A783:B802), LEFT(INDEX(FILTER(B$1:B782, B$1:B782&lt;&gt;""""),COUNTA(FILTER(B$1:B782, B$1:B782&lt;&gt;""""))), LEN(INDEX(FILTER(B$1:B782, B$1:B782&lt;&gt;""""),COUNTA(FILTER(B$1:B782, B$1:B782&lt;&gt;""""))))-1), IF('To Order'!$A783=COLUMNS($A783:B"&amp;"802), B782&amp;RIGHT(INDIRECT(ADDRESS(ROW(B783)-1, 'From Order'!$A783)), 1), B782))"),"JZRDCJTT")</f>
        <v>JZRDCJTT</v>
      </c>
      <c r="C783" s="2" t="str">
        <f>IFERROR(__xludf.DUMMYFUNCTION("IF('From Order'!$A783=COLUMNS($A783:C802), LEFT(INDEX(FILTER(C$1:C782, C$1:C782&lt;&gt;""""),COUNTA(FILTER(C$1:C782, C$1:C782&lt;&gt;""""))), LEN(INDEX(FILTER(C$1:C782, C$1:C782&lt;&gt;""""),COUNTA(FILTER(C$1:C782, C$1:C782&lt;&gt;""""))))-1), IF('To Order'!$A783=COLUMNS($A783:C"&amp;"802), C782&amp;RIGHT(INDIRECT(ADDRESS(ROW(C783)-1, 'From Order'!$A783)), 1), C782))"),"LBSGDTLSFBBFMHZR")</f>
        <v>LBSGDTLSFBBFMHZR</v>
      </c>
      <c r="D783" s="2" t="str">
        <f>IFERROR(__xludf.DUMMYFUNCTION("IF('From Order'!$A783=COLUMNS($A783:D802), LEFT(INDEX(FILTER(D$1:D782, D$1:D782&lt;&gt;""""),COUNTA(FILTER(D$1:D782, D$1:D782&lt;&gt;""""))), LEN(INDEX(FILTER(D$1:D782, D$1:D782&lt;&gt;""""),COUNTA(FILTER(D$1:D782, D$1:D782&lt;&gt;""""))))-1), IF('To Order'!$A783=COLUMNS($A783:D"&amp;"802), D782&amp;RIGHT(INDIRECT(ADDRESS(ROW(D783)-1, 'From Order'!$A783)), 1), D782))"),"TMZM")</f>
        <v>TMZM</v>
      </c>
      <c r="E783" s="2" t="str">
        <f>IFERROR(__xludf.DUMMYFUNCTION("IF('From Order'!$A783=COLUMNS($A783:E802), LEFT(INDEX(FILTER(E$1:E782, E$1:E782&lt;&gt;""""),COUNTA(FILTER(E$1:E782, E$1:E782&lt;&gt;""""))), LEN(INDEX(FILTER(E$1:E782, E$1:E782&lt;&gt;""""),COUNTA(FILTER(E$1:E782, E$1:E782&lt;&gt;""""))))-1), IF('To Order'!$A783=COLUMNS($A783:E"&amp;"802), E782&amp;RIGHT(INDIRECT(ADDRESS(ROW(E783)-1, 'From Order'!$A783)), 1), E782))"),"CV")</f>
        <v>CV</v>
      </c>
      <c r="F783" s="2" t="str">
        <f>IFERROR(__xludf.DUMMYFUNCTION("IF('From Order'!$A783=COLUMNS($A783:F802), LEFT(INDEX(FILTER(F$1:F782, F$1:F782&lt;&gt;""""),COUNTA(FILTER(F$1:F782, F$1:F782&lt;&gt;""""))), LEN(INDEX(FILTER(F$1:F782, F$1:F782&lt;&gt;""""),COUNTA(FILTER(F$1:F782, F$1:F782&lt;&gt;""""))))-1), IF('To Order'!$A783=COLUMNS($A783:F"&amp;"802), F782&amp;RIGHT(INDIRECT(ADDRESS(ROW(F783)-1, 'From Order'!$A783)), 1), F782))"),"J")</f>
        <v>J</v>
      </c>
      <c r="G783" s="2" t="str">
        <f>IFERROR(__xludf.DUMMYFUNCTION("IF('From Order'!$A783=COLUMNS($A783:G802), LEFT(INDEX(FILTER(G$1:G782, G$1:G782&lt;&gt;""""),COUNTA(FILTER(G$1:G782, G$1:G782&lt;&gt;""""))), LEN(INDEX(FILTER(G$1:G782, G$1:G782&lt;&gt;""""),COUNTA(FILTER(G$1:G782, G$1:G782&lt;&gt;""""))))-1), IF('To Order'!$A783=COLUMNS($A783:G"&amp;"802), G782&amp;RIGHT(INDIRECT(ADDRESS(ROW(G783)-1, 'From Order'!$A783)), 1), G782))"),"DTRLRQPDSSGHWQPBCVDRWTD")</f>
        <v>DTRLRQPDSSGHWQPBCVDRWTD</v>
      </c>
      <c r="H783" s="2" t="str">
        <f>IFERROR(__xludf.DUMMYFUNCTION("IF('From Order'!$A783=COLUMNS($A783:H802), LEFT(INDEX(FILTER(H$1:H782, H$1:H782&lt;&gt;""""),COUNTA(FILTER(H$1:H782, H$1:H782&lt;&gt;""""))), LEN(INDEX(FILTER(H$1:H782, H$1:H782&lt;&gt;""""),COUNTA(FILTER(H$1:H782, H$1:H782&lt;&gt;""""))))-1), IF('To Order'!$A783=COLUMNS($A783:H"&amp;"802), H782&amp;RIGHT(INDIRECT(ADDRESS(ROW(H783)-1, 'From Order'!$A783)), 1), H782))"),"")</f>
        <v/>
      </c>
      <c r="I783" s="2" t="str">
        <f>IFERROR(__xludf.DUMMYFUNCTION("IF('From Order'!$A783=COLUMNS($A783:I802), LEFT(INDEX(FILTER(I$1:I782, I$1:I782&lt;&gt;""""),COUNTA(FILTER(I$1:I782, I$1:I782&lt;&gt;""""))), LEN(INDEX(FILTER(I$1:I782, I$1:I782&lt;&gt;""""),COUNTA(FILTER(I$1:I782, I$1:I782&lt;&gt;""""))))-1), IF('To Order'!$A783=COLUMNS($A783:I"&amp;"802), I782&amp;RIGHT(INDIRECT(ADDRESS(ROW(I783)-1, 'From Order'!$A783)), 1), I782))"),"VP")</f>
        <v>VP</v>
      </c>
    </row>
    <row r="784">
      <c r="A784" s="2" t="str">
        <f>IFERROR(__xludf.DUMMYFUNCTION("IF('From Order'!$A784=COLUMNS($A784:A803), LEFT(INDEX(FILTER(A$1:A783, A$1:A783&lt;&gt;""""),COUNTA(FILTER(A$1:A783, A$1:A783&lt;&gt;""""))), LEN(INDEX(FILTER(A$1:A783, A$1:A783&lt;&gt;""""),COUNTA(FILTER(A$1:A783, A$1:A783&lt;&gt;""""))))-1), IF('To Order'!$A784=COLUMNS($A784:A"&amp;"803), A783&amp;RIGHT(INDIRECT(ADDRESS(ROW(A784)-1, 'From Order'!$A784)), 1), A783))"),"")</f>
        <v/>
      </c>
      <c r="B784" s="2" t="str">
        <f>IFERROR(__xludf.DUMMYFUNCTION("IF('From Order'!$A784=COLUMNS($A784:B803), LEFT(INDEX(FILTER(B$1:B783, B$1:B783&lt;&gt;""""),COUNTA(FILTER(B$1:B783, B$1:B783&lt;&gt;""""))), LEN(INDEX(FILTER(B$1:B783, B$1:B783&lt;&gt;""""),COUNTA(FILTER(B$1:B783, B$1:B783&lt;&gt;""""))))-1), IF('To Order'!$A784=COLUMNS($A784:B"&amp;"803), B783&amp;RIGHT(INDIRECT(ADDRESS(ROW(B784)-1, 'From Order'!$A784)), 1), B783))"),"JZRDCJTT")</f>
        <v>JZRDCJTT</v>
      </c>
      <c r="C784" s="2" t="str">
        <f>IFERROR(__xludf.DUMMYFUNCTION("IF('From Order'!$A784=COLUMNS($A784:C803), LEFT(INDEX(FILTER(C$1:C783, C$1:C783&lt;&gt;""""),COUNTA(FILTER(C$1:C783, C$1:C783&lt;&gt;""""))), LEN(INDEX(FILTER(C$1:C783, C$1:C783&lt;&gt;""""),COUNTA(FILTER(C$1:C783, C$1:C783&lt;&gt;""""))))-1), IF('To Order'!$A784=COLUMNS($A784:C"&amp;"803), C783&amp;RIGHT(INDIRECT(ADDRESS(ROW(C784)-1, 'From Order'!$A784)), 1), C783))"),"LBSGDTLSFBBFMHZRV")</f>
        <v>LBSGDTLSFBBFMHZRV</v>
      </c>
      <c r="D784" s="2" t="str">
        <f>IFERROR(__xludf.DUMMYFUNCTION("IF('From Order'!$A784=COLUMNS($A784:D803), LEFT(INDEX(FILTER(D$1:D783, D$1:D783&lt;&gt;""""),COUNTA(FILTER(D$1:D783, D$1:D783&lt;&gt;""""))), LEN(INDEX(FILTER(D$1:D783, D$1:D783&lt;&gt;""""),COUNTA(FILTER(D$1:D783, D$1:D783&lt;&gt;""""))))-1), IF('To Order'!$A784=COLUMNS($A784:D"&amp;"803), D783&amp;RIGHT(INDIRECT(ADDRESS(ROW(D784)-1, 'From Order'!$A784)), 1), D783))"),"TMZM")</f>
        <v>TMZM</v>
      </c>
      <c r="E784" s="2" t="str">
        <f>IFERROR(__xludf.DUMMYFUNCTION("IF('From Order'!$A784=COLUMNS($A784:E803), LEFT(INDEX(FILTER(E$1:E783, E$1:E783&lt;&gt;""""),COUNTA(FILTER(E$1:E783, E$1:E783&lt;&gt;""""))), LEN(INDEX(FILTER(E$1:E783, E$1:E783&lt;&gt;""""),COUNTA(FILTER(E$1:E783, E$1:E783&lt;&gt;""""))))-1), IF('To Order'!$A784=COLUMNS($A784:E"&amp;"803), E783&amp;RIGHT(INDIRECT(ADDRESS(ROW(E784)-1, 'From Order'!$A784)), 1), E783))"),"C")</f>
        <v>C</v>
      </c>
      <c r="F784" s="2" t="str">
        <f>IFERROR(__xludf.DUMMYFUNCTION("IF('From Order'!$A784=COLUMNS($A784:F803), LEFT(INDEX(FILTER(F$1:F783, F$1:F783&lt;&gt;""""),COUNTA(FILTER(F$1:F783, F$1:F783&lt;&gt;""""))), LEN(INDEX(FILTER(F$1:F783, F$1:F783&lt;&gt;""""),COUNTA(FILTER(F$1:F783, F$1:F783&lt;&gt;""""))))-1), IF('To Order'!$A784=COLUMNS($A784:F"&amp;"803), F783&amp;RIGHT(INDIRECT(ADDRESS(ROW(F784)-1, 'From Order'!$A784)), 1), F783))"),"J")</f>
        <v>J</v>
      </c>
      <c r="G784" s="2" t="str">
        <f>IFERROR(__xludf.DUMMYFUNCTION("IF('From Order'!$A784=COLUMNS($A784:G803), LEFT(INDEX(FILTER(G$1:G783, G$1:G783&lt;&gt;""""),COUNTA(FILTER(G$1:G783, G$1:G783&lt;&gt;""""))), LEN(INDEX(FILTER(G$1:G783, G$1:G783&lt;&gt;""""),COUNTA(FILTER(G$1:G783, G$1:G783&lt;&gt;""""))))-1), IF('To Order'!$A784=COLUMNS($A784:G"&amp;"803), G783&amp;RIGHT(INDIRECT(ADDRESS(ROW(G784)-1, 'From Order'!$A784)), 1), G783))"),"DTRLRQPDSSGHWQPBCVDRWTD")</f>
        <v>DTRLRQPDSSGHWQPBCVDRWTD</v>
      </c>
      <c r="H784" s="2" t="str">
        <f>IFERROR(__xludf.DUMMYFUNCTION("IF('From Order'!$A784=COLUMNS($A784:H803), LEFT(INDEX(FILTER(H$1:H783, H$1:H783&lt;&gt;""""),COUNTA(FILTER(H$1:H783, H$1:H783&lt;&gt;""""))), LEN(INDEX(FILTER(H$1:H783, H$1:H783&lt;&gt;""""),COUNTA(FILTER(H$1:H783, H$1:H783&lt;&gt;""""))))-1), IF('To Order'!$A784=COLUMNS($A784:H"&amp;"803), H783&amp;RIGHT(INDIRECT(ADDRESS(ROW(H784)-1, 'From Order'!$A784)), 1), H783))"),"")</f>
        <v/>
      </c>
      <c r="I784" s="2" t="str">
        <f>IFERROR(__xludf.DUMMYFUNCTION("IF('From Order'!$A784=COLUMNS($A784:I803), LEFT(INDEX(FILTER(I$1:I783, I$1:I783&lt;&gt;""""),COUNTA(FILTER(I$1:I783, I$1:I783&lt;&gt;""""))), LEN(INDEX(FILTER(I$1:I783, I$1:I783&lt;&gt;""""),COUNTA(FILTER(I$1:I783, I$1:I783&lt;&gt;""""))))-1), IF('To Order'!$A784=COLUMNS($A784:I"&amp;"803), I783&amp;RIGHT(INDIRECT(ADDRESS(ROW(I784)-1, 'From Order'!$A784)), 1), I783))"),"VP")</f>
        <v>VP</v>
      </c>
    </row>
    <row r="785">
      <c r="A785" s="2" t="str">
        <f>IFERROR(__xludf.DUMMYFUNCTION("IF('From Order'!$A785=COLUMNS($A785:A804), LEFT(INDEX(FILTER(A$1:A784, A$1:A784&lt;&gt;""""),COUNTA(FILTER(A$1:A784, A$1:A784&lt;&gt;""""))), LEN(INDEX(FILTER(A$1:A784, A$1:A784&lt;&gt;""""),COUNTA(FILTER(A$1:A784, A$1:A784&lt;&gt;""""))))-1), IF('To Order'!$A785=COLUMNS($A785:A"&amp;"804), A784&amp;RIGHT(INDIRECT(ADDRESS(ROW(A785)-1, 'From Order'!$A785)), 1), A784))"),"")</f>
        <v/>
      </c>
      <c r="B785" s="2" t="str">
        <f>IFERROR(__xludf.DUMMYFUNCTION("IF('From Order'!$A785=COLUMNS($A785:B804), LEFT(INDEX(FILTER(B$1:B784, B$1:B784&lt;&gt;""""),COUNTA(FILTER(B$1:B784, B$1:B784&lt;&gt;""""))), LEN(INDEX(FILTER(B$1:B784, B$1:B784&lt;&gt;""""),COUNTA(FILTER(B$1:B784, B$1:B784&lt;&gt;""""))))-1), IF('To Order'!$A785=COLUMNS($A785:B"&amp;"804), B784&amp;RIGHT(INDIRECT(ADDRESS(ROW(B785)-1, 'From Order'!$A785)), 1), B784))"),"JZRDCJTT")</f>
        <v>JZRDCJTT</v>
      </c>
      <c r="C785" s="2" t="str">
        <f>IFERROR(__xludf.DUMMYFUNCTION("IF('From Order'!$A785=COLUMNS($A785:C804), LEFT(INDEX(FILTER(C$1:C784, C$1:C784&lt;&gt;""""),COUNTA(FILTER(C$1:C784, C$1:C784&lt;&gt;""""))), LEN(INDEX(FILTER(C$1:C784, C$1:C784&lt;&gt;""""),COUNTA(FILTER(C$1:C784, C$1:C784&lt;&gt;""""))))-1), IF('To Order'!$A785=COLUMNS($A785:C"&amp;"804), C784&amp;RIGHT(INDIRECT(ADDRESS(ROW(C785)-1, 'From Order'!$A785)), 1), C784))"),"LBSGDTLSFBBFMHZRVC")</f>
        <v>LBSGDTLSFBBFMHZRVC</v>
      </c>
      <c r="D785" s="2" t="str">
        <f>IFERROR(__xludf.DUMMYFUNCTION("IF('From Order'!$A785=COLUMNS($A785:D804), LEFT(INDEX(FILTER(D$1:D784, D$1:D784&lt;&gt;""""),COUNTA(FILTER(D$1:D784, D$1:D784&lt;&gt;""""))), LEN(INDEX(FILTER(D$1:D784, D$1:D784&lt;&gt;""""),COUNTA(FILTER(D$1:D784, D$1:D784&lt;&gt;""""))))-1), IF('To Order'!$A785=COLUMNS($A785:D"&amp;"804), D784&amp;RIGHT(INDIRECT(ADDRESS(ROW(D785)-1, 'From Order'!$A785)), 1), D784))"),"TMZM")</f>
        <v>TMZM</v>
      </c>
      <c r="E785" s="2" t="str">
        <f>IFERROR(__xludf.DUMMYFUNCTION("IF('From Order'!$A785=COLUMNS($A785:E804), LEFT(INDEX(FILTER(E$1:E784, E$1:E784&lt;&gt;""""),COUNTA(FILTER(E$1:E784, E$1:E784&lt;&gt;""""))), LEN(INDEX(FILTER(E$1:E784, E$1:E784&lt;&gt;""""),COUNTA(FILTER(E$1:E784, E$1:E784&lt;&gt;""""))))-1), IF('To Order'!$A785=COLUMNS($A785:E"&amp;"804), E784&amp;RIGHT(INDIRECT(ADDRESS(ROW(E785)-1, 'From Order'!$A785)), 1), E784))"),"")</f>
        <v/>
      </c>
      <c r="F785" s="2" t="str">
        <f>IFERROR(__xludf.DUMMYFUNCTION("IF('From Order'!$A785=COLUMNS($A785:F804), LEFT(INDEX(FILTER(F$1:F784, F$1:F784&lt;&gt;""""),COUNTA(FILTER(F$1:F784, F$1:F784&lt;&gt;""""))), LEN(INDEX(FILTER(F$1:F784, F$1:F784&lt;&gt;""""),COUNTA(FILTER(F$1:F784, F$1:F784&lt;&gt;""""))))-1), IF('To Order'!$A785=COLUMNS($A785:F"&amp;"804), F784&amp;RIGHT(INDIRECT(ADDRESS(ROW(F785)-1, 'From Order'!$A785)), 1), F784))"),"J")</f>
        <v>J</v>
      </c>
      <c r="G785" s="2" t="str">
        <f>IFERROR(__xludf.DUMMYFUNCTION("IF('From Order'!$A785=COLUMNS($A785:G804), LEFT(INDEX(FILTER(G$1:G784, G$1:G784&lt;&gt;""""),COUNTA(FILTER(G$1:G784, G$1:G784&lt;&gt;""""))), LEN(INDEX(FILTER(G$1:G784, G$1:G784&lt;&gt;""""),COUNTA(FILTER(G$1:G784, G$1:G784&lt;&gt;""""))))-1), IF('To Order'!$A785=COLUMNS($A785:G"&amp;"804), G784&amp;RIGHT(INDIRECT(ADDRESS(ROW(G785)-1, 'From Order'!$A785)), 1), G784))"),"DTRLRQPDSSGHWQPBCVDRWTD")</f>
        <v>DTRLRQPDSSGHWQPBCVDRWTD</v>
      </c>
      <c r="H785" s="2" t="str">
        <f>IFERROR(__xludf.DUMMYFUNCTION("IF('From Order'!$A785=COLUMNS($A785:H804), LEFT(INDEX(FILTER(H$1:H784, H$1:H784&lt;&gt;""""),COUNTA(FILTER(H$1:H784, H$1:H784&lt;&gt;""""))), LEN(INDEX(FILTER(H$1:H784, H$1:H784&lt;&gt;""""),COUNTA(FILTER(H$1:H784, H$1:H784&lt;&gt;""""))))-1), IF('To Order'!$A785=COLUMNS($A785:H"&amp;"804), H784&amp;RIGHT(INDIRECT(ADDRESS(ROW(H785)-1, 'From Order'!$A785)), 1), H784))"),"")</f>
        <v/>
      </c>
      <c r="I785" s="2" t="str">
        <f>IFERROR(__xludf.DUMMYFUNCTION("IF('From Order'!$A785=COLUMNS($A785:I804), LEFT(INDEX(FILTER(I$1:I784, I$1:I784&lt;&gt;""""),COUNTA(FILTER(I$1:I784, I$1:I784&lt;&gt;""""))), LEN(INDEX(FILTER(I$1:I784, I$1:I784&lt;&gt;""""),COUNTA(FILTER(I$1:I784, I$1:I784&lt;&gt;""""))))-1), IF('To Order'!$A785=COLUMNS($A785:I"&amp;"804), I784&amp;RIGHT(INDIRECT(ADDRESS(ROW(I785)-1, 'From Order'!$A785)), 1), I784))"),"VP")</f>
        <v>VP</v>
      </c>
    </row>
    <row r="786">
      <c r="A786" s="2" t="str">
        <f>IFERROR(__xludf.DUMMYFUNCTION("IF('From Order'!$A786=COLUMNS($A786:A805), LEFT(INDEX(FILTER(A$1:A785, A$1:A785&lt;&gt;""""),COUNTA(FILTER(A$1:A785, A$1:A785&lt;&gt;""""))), LEN(INDEX(FILTER(A$1:A785, A$1:A785&lt;&gt;""""),COUNTA(FILTER(A$1:A785, A$1:A785&lt;&gt;""""))))-1), IF('To Order'!$A786=COLUMNS($A786:A"&amp;"805), A785&amp;RIGHT(INDIRECT(ADDRESS(ROW(A786)-1, 'From Order'!$A786)), 1), A785))"),"")</f>
        <v/>
      </c>
      <c r="B786" s="2" t="str">
        <f>IFERROR(__xludf.DUMMYFUNCTION("IF('From Order'!$A786=COLUMNS($A786:B805), LEFT(INDEX(FILTER(B$1:B785, B$1:B785&lt;&gt;""""),COUNTA(FILTER(B$1:B785, B$1:B785&lt;&gt;""""))), LEN(INDEX(FILTER(B$1:B785, B$1:B785&lt;&gt;""""),COUNTA(FILTER(B$1:B785, B$1:B785&lt;&gt;""""))))-1), IF('To Order'!$A786=COLUMNS($A786:B"&amp;"805), B785&amp;RIGHT(INDIRECT(ADDRESS(ROW(B786)-1, 'From Order'!$A786)), 1), B785))"),"JZRDCJTT")</f>
        <v>JZRDCJTT</v>
      </c>
      <c r="C786" s="2" t="str">
        <f>IFERROR(__xludf.DUMMYFUNCTION("IF('From Order'!$A786=COLUMNS($A786:C805), LEFT(INDEX(FILTER(C$1:C785, C$1:C785&lt;&gt;""""),COUNTA(FILTER(C$1:C785, C$1:C785&lt;&gt;""""))), LEN(INDEX(FILTER(C$1:C785, C$1:C785&lt;&gt;""""),COUNTA(FILTER(C$1:C785, C$1:C785&lt;&gt;""""))))-1), IF('To Order'!$A786=COLUMNS($A786:C"&amp;"805), C785&amp;RIGHT(INDIRECT(ADDRESS(ROW(C786)-1, 'From Order'!$A786)), 1), C785))"),"LBSGDTLSFBBFMHZRVCJ")</f>
        <v>LBSGDTLSFBBFMHZRVCJ</v>
      </c>
      <c r="D786" s="2" t="str">
        <f>IFERROR(__xludf.DUMMYFUNCTION("IF('From Order'!$A786=COLUMNS($A786:D805), LEFT(INDEX(FILTER(D$1:D785, D$1:D785&lt;&gt;""""),COUNTA(FILTER(D$1:D785, D$1:D785&lt;&gt;""""))), LEN(INDEX(FILTER(D$1:D785, D$1:D785&lt;&gt;""""),COUNTA(FILTER(D$1:D785, D$1:D785&lt;&gt;""""))))-1), IF('To Order'!$A786=COLUMNS($A786:D"&amp;"805), D785&amp;RIGHT(INDIRECT(ADDRESS(ROW(D786)-1, 'From Order'!$A786)), 1), D785))"),"TMZM")</f>
        <v>TMZM</v>
      </c>
      <c r="E786" s="2" t="str">
        <f>IFERROR(__xludf.DUMMYFUNCTION("IF('From Order'!$A786=COLUMNS($A786:E805), LEFT(INDEX(FILTER(E$1:E785, E$1:E785&lt;&gt;""""),COUNTA(FILTER(E$1:E785, E$1:E785&lt;&gt;""""))), LEN(INDEX(FILTER(E$1:E785, E$1:E785&lt;&gt;""""),COUNTA(FILTER(E$1:E785, E$1:E785&lt;&gt;""""))))-1), IF('To Order'!$A786=COLUMNS($A786:E"&amp;"805), E785&amp;RIGHT(INDIRECT(ADDRESS(ROW(E786)-1, 'From Order'!$A786)), 1), E785))"),"")</f>
        <v/>
      </c>
      <c r="F786" s="2" t="str">
        <f>IFERROR(__xludf.DUMMYFUNCTION("IF('From Order'!$A786=COLUMNS($A786:F805), LEFT(INDEX(FILTER(F$1:F785, F$1:F785&lt;&gt;""""),COUNTA(FILTER(F$1:F785, F$1:F785&lt;&gt;""""))), LEN(INDEX(FILTER(F$1:F785, F$1:F785&lt;&gt;""""),COUNTA(FILTER(F$1:F785, F$1:F785&lt;&gt;""""))))-1), IF('To Order'!$A786=COLUMNS($A786:F"&amp;"805), F785&amp;RIGHT(INDIRECT(ADDRESS(ROW(F786)-1, 'From Order'!$A786)), 1), F785))"),"")</f>
        <v/>
      </c>
      <c r="G786" s="2" t="str">
        <f>IFERROR(__xludf.DUMMYFUNCTION("IF('From Order'!$A786=COLUMNS($A786:G805), LEFT(INDEX(FILTER(G$1:G785, G$1:G785&lt;&gt;""""),COUNTA(FILTER(G$1:G785, G$1:G785&lt;&gt;""""))), LEN(INDEX(FILTER(G$1:G785, G$1:G785&lt;&gt;""""),COUNTA(FILTER(G$1:G785, G$1:G785&lt;&gt;""""))))-1), IF('To Order'!$A786=COLUMNS($A786:G"&amp;"805), G785&amp;RIGHT(INDIRECT(ADDRESS(ROW(G786)-1, 'From Order'!$A786)), 1), G785))"),"DTRLRQPDSSGHWQPBCVDRWTD")</f>
        <v>DTRLRQPDSSGHWQPBCVDRWTD</v>
      </c>
      <c r="H786" s="2" t="str">
        <f>IFERROR(__xludf.DUMMYFUNCTION("IF('From Order'!$A786=COLUMNS($A786:H805), LEFT(INDEX(FILTER(H$1:H785, H$1:H785&lt;&gt;""""),COUNTA(FILTER(H$1:H785, H$1:H785&lt;&gt;""""))), LEN(INDEX(FILTER(H$1:H785, H$1:H785&lt;&gt;""""),COUNTA(FILTER(H$1:H785, H$1:H785&lt;&gt;""""))))-1), IF('To Order'!$A786=COLUMNS($A786:H"&amp;"805), H785&amp;RIGHT(INDIRECT(ADDRESS(ROW(H786)-1, 'From Order'!$A786)), 1), H785))"),"")</f>
        <v/>
      </c>
      <c r="I786" s="2" t="str">
        <f>IFERROR(__xludf.DUMMYFUNCTION("IF('From Order'!$A786=COLUMNS($A786:I805), LEFT(INDEX(FILTER(I$1:I785, I$1:I785&lt;&gt;""""),COUNTA(FILTER(I$1:I785, I$1:I785&lt;&gt;""""))), LEN(INDEX(FILTER(I$1:I785, I$1:I785&lt;&gt;""""),COUNTA(FILTER(I$1:I785, I$1:I785&lt;&gt;""""))))-1), IF('To Order'!$A786=COLUMNS($A786:I"&amp;"805), I785&amp;RIGHT(INDIRECT(ADDRESS(ROW(I786)-1, 'From Order'!$A786)), 1), I785))"),"VP")</f>
        <v>VP</v>
      </c>
    </row>
    <row r="787">
      <c r="A787" s="2" t="str">
        <f>IFERROR(__xludf.DUMMYFUNCTION("IF('From Order'!$A787=COLUMNS($A787:A806), LEFT(INDEX(FILTER(A$1:A786, A$1:A786&lt;&gt;""""),COUNTA(FILTER(A$1:A786, A$1:A786&lt;&gt;""""))), LEN(INDEX(FILTER(A$1:A786, A$1:A786&lt;&gt;""""),COUNTA(FILTER(A$1:A786, A$1:A786&lt;&gt;""""))))-1), IF('To Order'!$A787=COLUMNS($A787:A"&amp;"806), A786&amp;RIGHT(INDIRECT(ADDRESS(ROW(A787)-1, 'From Order'!$A787)), 1), A786))"),"")</f>
        <v/>
      </c>
      <c r="B787" s="2" t="str">
        <f>IFERROR(__xludf.DUMMYFUNCTION("IF('From Order'!$A787=COLUMNS($A787:B806), LEFT(INDEX(FILTER(B$1:B786, B$1:B786&lt;&gt;""""),COUNTA(FILTER(B$1:B786, B$1:B786&lt;&gt;""""))), LEN(INDEX(FILTER(B$1:B786, B$1:B786&lt;&gt;""""),COUNTA(FILTER(B$1:B786, B$1:B786&lt;&gt;""""))))-1), IF('To Order'!$A787=COLUMNS($A787:B"&amp;"806), B786&amp;RIGHT(INDIRECT(ADDRESS(ROW(B787)-1, 'From Order'!$A787)), 1), B786))"),"JZRDCJTT")</f>
        <v>JZRDCJTT</v>
      </c>
      <c r="C787" s="2" t="str">
        <f>IFERROR(__xludf.DUMMYFUNCTION("IF('From Order'!$A787=COLUMNS($A787:C806), LEFT(INDEX(FILTER(C$1:C786, C$1:C786&lt;&gt;""""),COUNTA(FILTER(C$1:C786, C$1:C786&lt;&gt;""""))), LEN(INDEX(FILTER(C$1:C786, C$1:C786&lt;&gt;""""),COUNTA(FILTER(C$1:C786, C$1:C786&lt;&gt;""""))))-1), IF('To Order'!$A787=COLUMNS($A787:C"&amp;"806), C786&amp;RIGHT(INDIRECT(ADDRESS(ROW(C787)-1, 'From Order'!$A787)), 1), C786))"),"LBSGDTLSFBBFMHZRVCJ")</f>
        <v>LBSGDTLSFBBFMHZRVCJ</v>
      </c>
      <c r="D787" s="2" t="str">
        <f>IFERROR(__xludf.DUMMYFUNCTION("IF('From Order'!$A787=COLUMNS($A787:D806), LEFT(INDEX(FILTER(D$1:D786, D$1:D786&lt;&gt;""""),COUNTA(FILTER(D$1:D786, D$1:D786&lt;&gt;""""))), LEN(INDEX(FILTER(D$1:D786, D$1:D786&lt;&gt;""""),COUNTA(FILTER(D$1:D786, D$1:D786&lt;&gt;""""))))-1), IF('To Order'!$A787=COLUMNS($A787:D"&amp;"806), D786&amp;RIGHT(INDIRECT(ADDRESS(ROW(D787)-1, 'From Order'!$A787)), 1), D786))"),"TMZM")</f>
        <v>TMZM</v>
      </c>
      <c r="E787" s="2" t="str">
        <f>IFERROR(__xludf.DUMMYFUNCTION("IF('From Order'!$A787=COLUMNS($A787:E806), LEFT(INDEX(FILTER(E$1:E786, E$1:E786&lt;&gt;""""),COUNTA(FILTER(E$1:E786, E$1:E786&lt;&gt;""""))), LEN(INDEX(FILTER(E$1:E786, E$1:E786&lt;&gt;""""),COUNTA(FILTER(E$1:E786, E$1:E786&lt;&gt;""""))))-1), IF('To Order'!$A787=COLUMNS($A787:E"&amp;"806), E786&amp;RIGHT(INDIRECT(ADDRESS(ROW(E787)-1, 'From Order'!$A787)), 1), E786))"),"P")</f>
        <v>P</v>
      </c>
      <c r="F787" s="2" t="str">
        <f>IFERROR(__xludf.DUMMYFUNCTION("IF('From Order'!$A787=COLUMNS($A787:F806), LEFT(INDEX(FILTER(F$1:F786, F$1:F786&lt;&gt;""""),COUNTA(FILTER(F$1:F786, F$1:F786&lt;&gt;""""))), LEN(INDEX(FILTER(F$1:F786, F$1:F786&lt;&gt;""""),COUNTA(FILTER(F$1:F786, F$1:F786&lt;&gt;""""))))-1), IF('To Order'!$A787=COLUMNS($A787:F"&amp;"806), F786&amp;RIGHT(INDIRECT(ADDRESS(ROW(F787)-1, 'From Order'!$A787)), 1), F786))"),"")</f>
        <v/>
      </c>
      <c r="G787" s="2" t="str">
        <f>IFERROR(__xludf.DUMMYFUNCTION("IF('From Order'!$A787=COLUMNS($A787:G806), LEFT(INDEX(FILTER(G$1:G786, G$1:G786&lt;&gt;""""),COUNTA(FILTER(G$1:G786, G$1:G786&lt;&gt;""""))), LEN(INDEX(FILTER(G$1:G786, G$1:G786&lt;&gt;""""),COUNTA(FILTER(G$1:G786, G$1:G786&lt;&gt;""""))))-1), IF('To Order'!$A787=COLUMNS($A787:G"&amp;"806), G786&amp;RIGHT(INDIRECT(ADDRESS(ROW(G787)-1, 'From Order'!$A787)), 1), G786))"),"DTRLRQPDSSGHWQPBCVDRWTD")</f>
        <v>DTRLRQPDSSGHWQPBCVDRWTD</v>
      </c>
      <c r="H787" s="2" t="str">
        <f>IFERROR(__xludf.DUMMYFUNCTION("IF('From Order'!$A787=COLUMNS($A787:H806), LEFT(INDEX(FILTER(H$1:H786, H$1:H786&lt;&gt;""""),COUNTA(FILTER(H$1:H786, H$1:H786&lt;&gt;""""))), LEN(INDEX(FILTER(H$1:H786, H$1:H786&lt;&gt;""""),COUNTA(FILTER(H$1:H786, H$1:H786&lt;&gt;""""))))-1), IF('To Order'!$A787=COLUMNS($A787:H"&amp;"806), H786&amp;RIGHT(INDIRECT(ADDRESS(ROW(H787)-1, 'From Order'!$A787)), 1), H786))"),"")</f>
        <v/>
      </c>
      <c r="I787" s="2" t="str">
        <f>IFERROR(__xludf.DUMMYFUNCTION("IF('From Order'!$A787=COLUMNS($A787:I806), LEFT(INDEX(FILTER(I$1:I786, I$1:I786&lt;&gt;""""),COUNTA(FILTER(I$1:I786, I$1:I786&lt;&gt;""""))), LEN(INDEX(FILTER(I$1:I786, I$1:I786&lt;&gt;""""),COUNTA(FILTER(I$1:I786, I$1:I786&lt;&gt;""""))))-1), IF('To Order'!$A787=COLUMNS($A787:I"&amp;"806), I786&amp;RIGHT(INDIRECT(ADDRESS(ROW(I787)-1, 'From Order'!$A787)), 1), I786))"),"V")</f>
        <v>V</v>
      </c>
    </row>
    <row r="788">
      <c r="A788" s="2" t="str">
        <f>IFERROR(__xludf.DUMMYFUNCTION("IF('From Order'!$A788=COLUMNS($A788:A807), LEFT(INDEX(FILTER(A$1:A787, A$1:A787&lt;&gt;""""),COUNTA(FILTER(A$1:A787, A$1:A787&lt;&gt;""""))), LEN(INDEX(FILTER(A$1:A787, A$1:A787&lt;&gt;""""),COUNTA(FILTER(A$1:A787, A$1:A787&lt;&gt;""""))))-1), IF('To Order'!$A788=COLUMNS($A788:A"&amp;"807), A787&amp;RIGHT(INDIRECT(ADDRESS(ROW(A788)-1, 'From Order'!$A788)), 1), A787))"),"")</f>
        <v/>
      </c>
      <c r="B788" s="2" t="str">
        <f>IFERROR(__xludf.DUMMYFUNCTION("IF('From Order'!$A788=COLUMNS($A788:B807), LEFT(INDEX(FILTER(B$1:B787, B$1:B787&lt;&gt;""""),COUNTA(FILTER(B$1:B787, B$1:B787&lt;&gt;""""))), LEN(INDEX(FILTER(B$1:B787, B$1:B787&lt;&gt;""""),COUNTA(FILTER(B$1:B787, B$1:B787&lt;&gt;""""))))-1), IF('To Order'!$A788=COLUMNS($A788:B"&amp;"807), B787&amp;RIGHT(INDIRECT(ADDRESS(ROW(B788)-1, 'From Order'!$A788)), 1), B787))"),"JZRDCJTT")</f>
        <v>JZRDCJTT</v>
      </c>
      <c r="C788" s="2" t="str">
        <f>IFERROR(__xludf.DUMMYFUNCTION("IF('From Order'!$A788=COLUMNS($A788:C807), LEFT(INDEX(FILTER(C$1:C787, C$1:C787&lt;&gt;""""),COUNTA(FILTER(C$1:C787, C$1:C787&lt;&gt;""""))), LEN(INDEX(FILTER(C$1:C787, C$1:C787&lt;&gt;""""),COUNTA(FILTER(C$1:C787, C$1:C787&lt;&gt;""""))))-1), IF('To Order'!$A788=COLUMNS($A788:C"&amp;"807), C787&amp;RIGHT(INDIRECT(ADDRESS(ROW(C788)-1, 'From Order'!$A788)), 1), C787))"),"LBSGDTLSFBBFMHZRVCJ")</f>
        <v>LBSGDTLSFBBFMHZRVCJ</v>
      </c>
      <c r="D788" s="2" t="str">
        <f>IFERROR(__xludf.DUMMYFUNCTION("IF('From Order'!$A788=COLUMNS($A788:D807), LEFT(INDEX(FILTER(D$1:D787, D$1:D787&lt;&gt;""""),COUNTA(FILTER(D$1:D787, D$1:D787&lt;&gt;""""))), LEN(INDEX(FILTER(D$1:D787, D$1:D787&lt;&gt;""""),COUNTA(FILTER(D$1:D787, D$1:D787&lt;&gt;""""))))-1), IF('To Order'!$A788=COLUMNS($A788:D"&amp;"807), D787&amp;RIGHT(INDIRECT(ADDRESS(ROW(D788)-1, 'From Order'!$A788)), 1), D787))"),"TMZM")</f>
        <v>TMZM</v>
      </c>
      <c r="E788" s="2" t="str">
        <f>IFERROR(__xludf.DUMMYFUNCTION("IF('From Order'!$A788=COLUMNS($A788:E807), LEFT(INDEX(FILTER(E$1:E787, E$1:E787&lt;&gt;""""),COUNTA(FILTER(E$1:E787, E$1:E787&lt;&gt;""""))), LEN(INDEX(FILTER(E$1:E787, E$1:E787&lt;&gt;""""),COUNTA(FILTER(E$1:E787, E$1:E787&lt;&gt;""""))))-1), IF('To Order'!$A788=COLUMNS($A788:E"&amp;"807), E787&amp;RIGHT(INDIRECT(ADDRESS(ROW(E788)-1, 'From Order'!$A788)), 1), E787))"),"PV")</f>
        <v>PV</v>
      </c>
      <c r="F788" s="2" t="str">
        <f>IFERROR(__xludf.DUMMYFUNCTION("IF('From Order'!$A788=COLUMNS($A788:F807), LEFT(INDEX(FILTER(F$1:F787, F$1:F787&lt;&gt;""""),COUNTA(FILTER(F$1:F787, F$1:F787&lt;&gt;""""))), LEN(INDEX(FILTER(F$1:F787, F$1:F787&lt;&gt;""""),COUNTA(FILTER(F$1:F787, F$1:F787&lt;&gt;""""))))-1), IF('To Order'!$A788=COLUMNS($A788:F"&amp;"807), F787&amp;RIGHT(INDIRECT(ADDRESS(ROW(F788)-1, 'From Order'!$A788)), 1), F787))"),"")</f>
        <v/>
      </c>
      <c r="G788" s="2" t="str">
        <f>IFERROR(__xludf.DUMMYFUNCTION("IF('From Order'!$A788=COLUMNS($A788:G807), LEFT(INDEX(FILTER(G$1:G787, G$1:G787&lt;&gt;""""),COUNTA(FILTER(G$1:G787, G$1:G787&lt;&gt;""""))), LEN(INDEX(FILTER(G$1:G787, G$1:G787&lt;&gt;""""),COUNTA(FILTER(G$1:G787, G$1:G787&lt;&gt;""""))))-1), IF('To Order'!$A788=COLUMNS($A788:G"&amp;"807), G787&amp;RIGHT(INDIRECT(ADDRESS(ROW(G788)-1, 'From Order'!$A788)), 1), G787))"),"DTRLRQPDSSGHWQPBCVDRWTD")</f>
        <v>DTRLRQPDSSGHWQPBCVDRWTD</v>
      </c>
      <c r="H788" s="2" t="str">
        <f>IFERROR(__xludf.DUMMYFUNCTION("IF('From Order'!$A788=COLUMNS($A788:H807), LEFT(INDEX(FILTER(H$1:H787, H$1:H787&lt;&gt;""""),COUNTA(FILTER(H$1:H787, H$1:H787&lt;&gt;""""))), LEN(INDEX(FILTER(H$1:H787, H$1:H787&lt;&gt;""""),COUNTA(FILTER(H$1:H787, H$1:H787&lt;&gt;""""))))-1), IF('To Order'!$A788=COLUMNS($A788:H"&amp;"807), H787&amp;RIGHT(INDIRECT(ADDRESS(ROW(H788)-1, 'From Order'!$A788)), 1), H787))"),"")</f>
        <v/>
      </c>
      <c r="I788" s="2" t="str">
        <f>IFERROR(__xludf.DUMMYFUNCTION("IF('From Order'!$A788=COLUMNS($A788:I807), LEFT(INDEX(FILTER(I$1:I787, I$1:I787&lt;&gt;""""),COUNTA(FILTER(I$1:I787, I$1:I787&lt;&gt;""""))), LEN(INDEX(FILTER(I$1:I787, I$1:I787&lt;&gt;""""),COUNTA(FILTER(I$1:I787, I$1:I787&lt;&gt;""""))))-1), IF('To Order'!$A788=COLUMNS($A788:I"&amp;"807), I787&amp;RIGHT(INDIRECT(ADDRESS(ROW(I788)-1, 'From Order'!$A788)), 1), I787))"),"")</f>
        <v/>
      </c>
    </row>
    <row r="789">
      <c r="A789" s="2" t="str">
        <f>IFERROR(__xludf.DUMMYFUNCTION("IF('From Order'!$A789=COLUMNS($A789:A808), LEFT(INDEX(FILTER(A$1:A788, A$1:A788&lt;&gt;""""),COUNTA(FILTER(A$1:A788, A$1:A788&lt;&gt;""""))), LEN(INDEX(FILTER(A$1:A788, A$1:A788&lt;&gt;""""),COUNTA(FILTER(A$1:A788, A$1:A788&lt;&gt;""""))))-1), IF('To Order'!$A789=COLUMNS($A789:A"&amp;"808), A788&amp;RIGHT(INDIRECT(ADDRESS(ROW(A789)-1, 'From Order'!$A789)), 1), A788))"),"")</f>
        <v/>
      </c>
      <c r="B789" s="2" t="str">
        <f>IFERROR(__xludf.DUMMYFUNCTION("IF('From Order'!$A789=COLUMNS($A789:B808), LEFT(INDEX(FILTER(B$1:B788, B$1:B788&lt;&gt;""""),COUNTA(FILTER(B$1:B788, B$1:B788&lt;&gt;""""))), LEN(INDEX(FILTER(B$1:B788, B$1:B788&lt;&gt;""""),COUNTA(FILTER(B$1:B788, B$1:B788&lt;&gt;""""))))-1), IF('To Order'!$A789=COLUMNS($A789:B"&amp;"808), B788&amp;RIGHT(INDIRECT(ADDRESS(ROW(B789)-1, 'From Order'!$A789)), 1), B788))"),"JZRDCJTT")</f>
        <v>JZRDCJTT</v>
      </c>
      <c r="C789" s="2" t="str">
        <f>IFERROR(__xludf.DUMMYFUNCTION("IF('From Order'!$A789=COLUMNS($A789:C808), LEFT(INDEX(FILTER(C$1:C788, C$1:C788&lt;&gt;""""),COUNTA(FILTER(C$1:C788, C$1:C788&lt;&gt;""""))), LEN(INDEX(FILTER(C$1:C788, C$1:C788&lt;&gt;""""),COUNTA(FILTER(C$1:C788, C$1:C788&lt;&gt;""""))))-1), IF('To Order'!$A789=COLUMNS($A789:C"&amp;"808), C788&amp;RIGHT(INDIRECT(ADDRESS(ROW(C789)-1, 'From Order'!$A789)), 1), C788))"),"LBSGDTLSFBBFMHZRVC")</f>
        <v>LBSGDTLSFBBFMHZRVC</v>
      </c>
      <c r="D789" s="2" t="str">
        <f>IFERROR(__xludf.DUMMYFUNCTION("IF('From Order'!$A789=COLUMNS($A789:D808), LEFT(INDEX(FILTER(D$1:D788, D$1:D788&lt;&gt;""""),COUNTA(FILTER(D$1:D788, D$1:D788&lt;&gt;""""))), LEN(INDEX(FILTER(D$1:D788, D$1:D788&lt;&gt;""""),COUNTA(FILTER(D$1:D788, D$1:D788&lt;&gt;""""))))-1), IF('To Order'!$A789=COLUMNS($A789:D"&amp;"808), D788&amp;RIGHT(INDIRECT(ADDRESS(ROW(D789)-1, 'From Order'!$A789)), 1), D788))"),"TMZM")</f>
        <v>TMZM</v>
      </c>
      <c r="E789" s="2" t="str">
        <f>IFERROR(__xludf.DUMMYFUNCTION("IF('From Order'!$A789=COLUMNS($A789:E808), LEFT(INDEX(FILTER(E$1:E788, E$1:E788&lt;&gt;""""),COUNTA(FILTER(E$1:E788, E$1:E788&lt;&gt;""""))), LEN(INDEX(FILTER(E$1:E788, E$1:E788&lt;&gt;""""),COUNTA(FILTER(E$1:E788, E$1:E788&lt;&gt;""""))))-1), IF('To Order'!$A789=COLUMNS($A789:E"&amp;"808), E788&amp;RIGHT(INDIRECT(ADDRESS(ROW(E789)-1, 'From Order'!$A789)), 1), E788))"),"PVJ")</f>
        <v>PVJ</v>
      </c>
      <c r="F789" s="2" t="str">
        <f>IFERROR(__xludf.DUMMYFUNCTION("IF('From Order'!$A789=COLUMNS($A789:F808), LEFT(INDEX(FILTER(F$1:F788, F$1:F788&lt;&gt;""""),COUNTA(FILTER(F$1:F788, F$1:F788&lt;&gt;""""))), LEN(INDEX(FILTER(F$1:F788, F$1:F788&lt;&gt;""""),COUNTA(FILTER(F$1:F788, F$1:F788&lt;&gt;""""))))-1), IF('To Order'!$A789=COLUMNS($A789:F"&amp;"808), F788&amp;RIGHT(INDIRECT(ADDRESS(ROW(F789)-1, 'From Order'!$A789)), 1), F788))"),"")</f>
        <v/>
      </c>
      <c r="G789" s="2" t="str">
        <f>IFERROR(__xludf.DUMMYFUNCTION("IF('From Order'!$A789=COLUMNS($A789:G808), LEFT(INDEX(FILTER(G$1:G788, G$1:G788&lt;&gt;""""),COUNTA(FILTER(G$1:G788, G$1:G788&lt;&gt;""""))), LEN(INDEX(FILTER(G$1:G788, G$1:G788&lt;&gt;""""),COUNTA(FILTER(G$1:G788, G$1:G788&lt;&gt;""""))))-1), IF('To Order'!$A789=COLUMNS($A789:G"&amp;"808), G788&amp;RIGHT(INDIRECT(ADDRESS(ROW(G789)-1, 'From Order'!$A789)), 1), G788))"),"DTRLRQPDSSGHWQPBCVDRWTD")</f>
        <v>DTRLRQPDSSGHWQPBCVDRWTD</v>
      </c>
      <c r="H789" s="2" t="str">
        <f>IFERROR(__xludf.DUMMYFUNCTION("IF('From Order'!$A789=COLUMNS($A789:H808), LEFT(INDEX(FILTER(H$1:H788, H$1:H788&lt;&gt;""""),COUNTA(FILTER(H$1:H788, H$1:H788&lt;&gt;""""))), LEN(INDEX(FILTER(H$1:H788, H$1:H788&lt;&gt;""""),COUNTA(FILTER(H$1:H788, H$1:H788&lt;&gt;""""))))-1), IF('To Order'!$A789=COLUMNS($A789:H"&amp;"808), H788&amp;RIGHT(INDIRECT(ADDRESS(ROW(H789)-1, 'From Order'!$A789)), 1), H788))"),"")</f>
        <v/>
      </c>
      <c r="I789" s="2" t="str">
        <f>IFERROR(__xludf.DUMMYFUNCTION("IF('From Order'!$A789=COLUMNS($A789:I808), LEFT(INDEX(FILTER(I$1:I788, I$1:I788&lt;&gt;""""),COUNTA(FILTER(I$1:I788, I$1:I788&lt;&gt;""""))), LEN(INDEX(FILTER(I$1:I788, I$1:I788&lt;&gt;""""),COUNTA(FILTER(I$1:I788, I$1:I788&lt;&gt;""""))))-1), IF('To Order'!$A789=COLUMNS($A789:I"&amp;"808), I788&amp;RIGHT(INDIRECT(ADDRESS(ROW(I789)-1, 'From Order'!$A789)), 1), I788))"),"")</f>
        <v/>
      </c>
    </row>
    <row r="790">
      <c r="A790" s="2" t="str">
        <f>IFERROR(__xludf.DUMMYFUNCTION("IF('From Order'!$A790=COLUMNS($A790:A809), LEFT(INDEX(FILTER(A$1:A789, A$1:A789&lt;&gt;""""),COUNTA(FILTER(A$1:A789, A$1:A789&lt;&gt;""""))), LEN(INDEX(FILTER(A$1:A789, A$1:A789&lt;&gt;""""),COUNTA(FILTER(A$1:A789, A$1:A789&lt;&gt;""""))))-1), IF('To Order'!$A790=COLUMNS($A790:A"&amp;"809), A789&amp;RIGHT(INDIRECT(ADDRESS(ROW(A790)-1, 'From Order'!$A790)), 1), A789))"),"")</f>
        <v/>
      </c>
      <c r="B790" s="2" t="str">
        <f>IFERROR(__xludf.DUMMYFUNCTION("IF('From Order'!$A790=COLUMNS($A790:B809), LEFT(INDEX(FILTER(B$1:B789, B$1:B789&lt;&gt;""""),COUNTA(FILTER(B$1:B789, B$1:B789&lt;&gt;""""))), LEN(INDEX(FILTER(B$1:B789, B$1:B789&lt;&gt;""""),COUNTA(FILTER(B$1:B789, B$1:B789&lt;&gt;""""))))-1), IF('To Order'!$A790=COLUMNS($A790:B"&amp;"809), B789&amp;RIGHT(INDIRECT(ADDRESS(ROW(B790)-1, 'From Order'!$A790)), 1), B789))"),"JZRDCJTT")</f>
        <v>JZRDCJTT</v>
      </c>
      <c r="C790" s="2" t="str">
        <f>IFERROR(__xludf.DUMMYFUNCTION("IF('From Order'!$A790=COLUMNS($A790:C809), LEFT(INDEX(FILTER(C$1:C789, C$1:C789&lt;&gt;""""),COUNTA(FILTER(C$1:C789, C$1:C789&lt;&gt;""""))), LEN(INDEX(FILTER(C$1:C789, C$1:C789&lt;&gt;""""),COUNTA(FILTER(C$1:C789, C$1:C789&lt;&gt;""""))))-1), IF('To Order'!$A790=COLUMNS($A790:C"&amp;"809), C789&amp;RIGHT(INDIRECT(ADDRESS(ROW(C790)-1, 'From Order'!$A790)), 1), C789))"),"LBSGDTLSFBBFMHZRV")</f>
        <v>LBSGDTLSFBBFMHZRV</v>
      </c>
      <c r="D790" s="2" t="str">
        <f>IFERROR(__xludf.DUMMYFUNCTION("IF('From Order'!$A790=COLUMNS($A790:D809), LEFT(INDEX(FILTER(D$1:D789, D$1:D789&lt;&gt;""""),COUNTA(FILTER(D$1:D789, D$1:D789&lt;&gt;""""))), LEN(INDEX(FILTER(D$1:D789, D$1:D789&lt;&gt;""""),COUNTA(FILTER(D$1:D789, D$1:D789&lt;&gt;""""))))-1), IF('To Order'!$A790=COLUMNS($A790:D"&amp;"809), D789&amp;RIGHT(INDIRECT(ADDRESS(ROW(D790)-1, 'From Order'!$A790)), 1), D789))"),"TMZM")</f>
        <v>TMZM</v>
      </c>
      <c r="E790" s="2" t="str">
        <f>IFERROR(__xludf.DUMMYFUNCTION("IF('From Order'!$A790=COLUMNS($A790:E809), LEFT(INDEX(FILTER(E$1:E789, E$1:E789&lt;&gt;""""),COUNTA(FILTER(E$1:E789, E$1:E789&lt;&gt;""""))), LEN(INDEX(FILTER(E$1:E789, E$1:E789&lt;&gt;""""),COUNTA(FILTER(E$1:E789, E$1:E789&lt;&gt;""""))))-1), IF('To Order'!$A790=COLUMNS($A790:E"&amp;"809), E789&amp;RIGHT(INDIRECT(ADDRESS(ROW(E790)-1, 'From Order'!$A790)), 1), E789))"),"PVJC")</f>
        <v>PVJC</v>
      </c>
      <c r="F790" s="2" t="str">
        <f>IFERROR(__xludf.DUMMYFUNCTION("IF('From Order'!$A790=COLUMNS($A790:F809), LEFT(INDEX(FILTER(F$1:F789, F$1:F789&lt;&gt;""""),COUNTA(FILTER(F$1:F789, F$1:F789&lt;&gt;""""))), LEN(INDEX(FILTER(F$1:F789, F$1:F789&lt;&gt;""""),COUNTA(FILTER(F$1:F789, F$1:F789&lt;&gt;""""))))-1), IF('To Order'!$A790=COLUMNS($A790:F"&amp;"809), F789&amp;RIGHT(INDIRECT(ADDRESS(ROW(F790)-1, 'From Order'!$A790)), 1), F789))"),"")</f>
        <v/>
      </c>
      <c r="G790" s="2" t="str">
        <f>IFERROR(__xludf.DUMMYFUNCTION("IF('From Order'!$A790=COLUMNS($A790:G809), LEFT(INDEX(FILTER(G$1:G789, G$1:G789&lt;&gt;""""),COUNTA(FILTER(G$1:G789, G$1:G789&lt;&gt;""""))), LEN(INDEX(FILTER(G$1:G789, G$1:G789&lt;&gt;""""),COUNTA(FILTER(G$1:G789, G$1:G789&lt;&gt;""""))))-1), IF('To Order'!$A790=COLUMNS($A790:G"&amp;"809), G789&amp;RIGHT(INDIRECT(ADDRESS(ROW(G790)-1, 'From Order'!$A790)), 1), G789))"),"DTRLRQPDSSGHWQPBCVDRWTD")</f>
        <v>DTRLRQPDSSGHWQPBCVDRWTD</v>
      </c>
      <c r="H790" s="2" t="str">
        <f>IFERROR(__xludf.DUMMYFUNCTION("IF('From Order'!$A790=COLUMNS($A790:H809), LEFT(INDEX(FILTER(H$1:H789, H$1:H789&lt;&gt;""""),COUNTA(FILTER(H$1:H789, H$1:H789&lt;&gt;""""))), LEN(INDEX(FILTER(H$1:H789, H$1:H789&lt;&gt;""""),COUNTA(FILTER(H$1:H789, H$1:H789&lt;&gt;""""))))-1), IF('To Order'!$A790=COLUMNS($A790:H"&amp;"809), H789&amp;RIGHT(INDIRECT(ADDRESS(ROW(H790)-1, 'From Order'!$A790)), 1), H789))"),"")</f>
        <v/>
      </c>
      <c r="I790" s="2" t="str">
        <f>IFERROR(__xludf.DUMMYFUNCTION("IF('From Order'!$A790=COLUMNS($A790:I809), LEFT(INDEX(FILTER(I$1:I789, I$1:I789&lt;&gt;""""),COUNTA(FILTER(I$1:I789, I$1:I789&lt;&gt;""""))), LEN(INDEX(FILTER(I$1:I789, I$1:I789&lt;&gt;""""),COUNTA(FILTER(I$1:I789, I$1:I789&lt;&gt;""""))))-1), IF('To Order'!$A790=COLUMNS($A790:I"&amp;"809), I789&amp;RIGHT(INDIRECT(ADDRESS(ROW(I790)-1, 'From Order'!$A790)), 1), I789))"),"")</f>
        <v/>
      </c>
    </row>
    <row r="791">
      <c r="A791" s="2" t="str">
        <f>IFERROR(__xludf.DUMMYFUNCTION("IF('From Order'!$A791=COLUMNS($A791:A810), LEFT(INDEX(FILTER(A$1:A790, A$1:A790&lt;&gt;""""),COUNTA(FILTER(A$1:A790, A$1:A790&lt;&gt;""""))), LEN(INDEX(FILTER(A$1:A790, A$1:A790&lt;&gt;""""),COUNTA(FILTER(A$1:A790, A$1:A790&lt;&gt;""""))))-1), IF('To Order'!$A791=COLUMNS($A791:A"&amp;"810), A790&amp;RIGHT(INDIRECT(ADDRESS(ROW(A791)-1, 'From Order'!$A791)), 1), A790))"),"")</f>
        <v/>
      </c>
      <c r="B791" s="2" t="str">
        <f>IFERROR(__xludf.DUMMYFUNCTION("IF('From Order'!$A791=COLUMNS($A791:B810), LEFT(INDEX(FILTER(B$1:B790, B$1:B790&lt;&gt;""""),COUNTA(FILTER(B$1:B790, B$1:B790&lt;&gt;""""))), LEN(INDEX(FILTER(B$1:B790, B$1:B790&lt;&gt;""""),COUNTA(FILTER(B$1:B790, B$1:B790&lt;&gt;""""))))-1), IF('To Order'!$A791=COLUMNS($A791:B"&amp;"810), B790&amp;RIGHT(INDIRECT(ADDRESS(ROW(B791)-1, 'From Order'!$A791)), 1), B790))"),"JZRDCJTT")</f>
        <v>JZRDCJTT</v>
      </c>
      <c r="C791" s="2" t="str">
        <f>IFERROR(__xludf.DUMMYFUNCTION("IF('From Order'!$A791=COLUMNS($A791:C810), LEFT(INDEX(FILTER(C$1:C790, C$1:C790&lt;&gt;""""),COUNTA(FILTER(C$1:C790, C$1:C790&lt;&gt;""""))), LEN(INDEX(FILTER(C$1:C790, C$1:C790&lt;&gt;""""),COUNTA(FILTER(C$1:C790, C$1:C790&lt;&gt;""""))))-1), IF('To Order'!$A791=COLUMNS($A791:C"&amp;"810), C790&amp;RIGHT(INDIRECT(ADDRESS(ROW(C791)-1, 'From Order'!$A791)), 1), C790))"),"LBSGDTLSFBBFMHZR")</f>
        <v>LBSGDTLSFBBFMHZR</v>
      </c>
      <c r="D791" s="2" t="str">
        <f>IFERROR(__xludf.DUMMYFUNCTION("IF('From Order'!$A791=COLUMNS($A791:D810), LEFT(INDEX(FILTER(D$1:D790, D$1:D790&lt;&gt;""""),COUNTA(FILTER(D$1:D790, D$1:D790&lt;&gt;""""))), LEN(INDEX(FILTER(D$1:D790, D$1:D790&lt;&gt;""""),COUNTA(FILTER(D$1:D790, D$1:D790&lt;&gt;""""))))-1), IF('To Order'!$A791=COLUMNS($A791:D"&amp;"810), D790&amp;RIGHT(INDIRECT(ADDRESS(ROW(D791)-1, 'From Order'!$A791)), 1), D790))"),"TMZM")</f>
        <v>TMZM</v>
      </c>
      <c r="E791" s="2" t="str">
        <f>IFERROR(__xludf.DUMMYFUNCTION("IF('From Order'!$A791=COLUMNS($A791:E810), LEFT(INDEX(FILTER(E$1:E790, E$1:E790&lt;&gt;""""),COUNTA(FILTER(E$1:E790, E$1:E790&lt;&gt;""""))), LEN(INDEX(FILTER(E$1:E790, E$1:E790&lt;&gt;""""),COUNTA(FILTER(E$1:E790, E$1:E790&lt;&gt;""""))))-1), IF('To Order'!$A791=COLUMNS($A791:E"&amp;"810), E790&amp;RIGHT(INDIRECT(ADDRESS(ROW(E791)-1, 'From Order'!$A791)), 1), E790))"),"PVJCV")</f>
        <v>PVJCV</v>
      </c>
      <c r="F791" s="2" t="str">
        <f>IFERROR(__xludf.DUMMYFUNCTION("IF('From Order'!$A791=COLUMNS($A791:F810), LEFT(INDEX(FILTER(F$1:F790, F$1:F790&lt;&gt;""""),COUNTA(FILTER(F$1:F790, F$1:F790&lt;&gt;""""))), LEN(INDEX(FILTER(F$1:F790, F$1:F790&lt;&gt;""""),COUNTA(FILTER(F$1:F790, F$1:F790&lt;&gt;""""))))-1), IF('To Order'!$A791=COLUMNS($A791:F"&amp;"810), F790&amp;RIGHT(INDIRECT(ADDRESS(ROW(F791)-1, 'From Order'!$A791)), 1), F790))"),"")</f>
        <v/>
      </c>
      <c r="G791" s="2" t="str">
        <f>IFERROR(__xludf.DUMMYFUNCTION("IF('From Order'!$A791=COLUMNS($A791:G810), LEFT(INDEX(FILTER(G$1:G790, G$1:G790&lt;&gt;""""),COUNTA(FILTER(G$1:G790, G$1:G790&lt;&gt;""""))), LEN(INDEX(FILTER(G$1:G790, G$1:G790&lt;&gt;""""),COUNTA(FILTER(G$1:G790, G$1:G790&lt;&gt;""""))))-1), IF('To Order'!$A791=COLUMNS($A791:G"&amp;"810), G790&amp;RIGHT(INDIRECT(ADDRESS(ROW(G791)-1, 'From Order'!$A791)), 1), G790))"),"DTRLRQPDSSGHWQPBCVDRWTD")</f>
        <v>DTRLRQPDSSGHWQPBCVDRWTD</v>
      </c>
      <c r="H791" s="2" t="str">
        <f>IFERROR(__xludf.DUMMYFUNCTION("IF('From Order'!$A791=COLUMNS($A791:H810), LEFT(INDEX(FILTER(H$1:H790, H$1:H790&lt;&gt;""""),COUNTA(FILTER(H$1:H790, H$1:H790&lt;&gt;""""))), LEN(INDEX(FILTER(H$1:H790, H$1:H790&lt;&gt;""""),COUNTA(FILTER(H$1:H790, H$1:H790&lt;&gt;""""))))-1), IF('To Order'!$A791=COLUMNS($A791:H"&amp;"810), H790&amp;RIGHT(INDIRECT(ADDRESS(ROW(H791)-1, 'From Order'!$A791)), 1), H790))"),"")</f>
        <v/>
      </c>
      <c r="I791" s="2" t="str">
        <f>IFERROR(__xludf.DUMMYFUNCTION("IF('From Order'!$A791=COLUMNS($A791:I810), LEFT(INDEX(FILTER(I$1:I790, I$1:I790&lt;&gt;""""),COUNTA(FILTER(I$1:I790, I$1:I790&lt;&gt;""""))), LEN(INDEX(FILTER(I$1:I790, I$1:I790&lt;&gt;""""),COUNTA(FILTER(I$1:I790, I$1:I790&lt;&gt;""""))))-1), IF('To Order'!$A791=COLUMNS($A791:I"&amp;"810), I790&amp;RIGHT(INDIRECT(ADDRESS(ROW(I791)-1, 'From Order'!$A791)), 1), I790))"),"")</f>
        <v/>
      </c>
    </row>
    <row r="792">
      <c r="A792" s="2" t="str">
        <f>IFERROR(__xludf.DUMMYFUNCTION("IF('From Order'!$A792=COLUMNS($A792:A811), LEFT(INDEX(FILTER(A$1:A791, A$1:A791&lt;&gt;""""),COUNTA(FILTER(A$1:A791, A$1:A791&lt;&gt;""""))), LEN(INDEX(FILTER(A$1:A791, A$1:A791&lt;&gt;""""),COUNTA(FILTER(A$1:A791, A$1:A791&lt;&gt;""""))))-1), IF('To Order'!$A792=COLUMNS($A792:A"&amp;"811), A791&amp;RIGHT(INDIRECT(ADDRESS(ROW(A792)-1, 'From Order'!$A792)), 1), A791))"),"")</f>
        <v/>
      </c>
      <c r="B792" s="2" t="str">
        <f>IFERROR(__xludf.DUMMYFUNCTION("IF('From Order'!$A792=COLUMNS($A792:B811), LEFT(INDEX(FILTER(B$1:B791, B$1:B791&lt;&gt;""""),COUNTA(FILTER(B$1:B791, B$1:B791&lt;&gt;""""))), LEN(INDEX(FILTER(B$1:B791, B$1:B791&lt;&gt;""""),COUNTA(FILTER(B$1:B791, B$1:B791&lt;&gt;""""))))-1), IF('To Order'!$A792=COLUMNS($A792:B"&amp;"811), B791&amp;RIGHT(INDIRECT(ADDRESS(ROW(B792)-1, 'From Order'!$A792)), 1), B791))"),"JZRDCJTT")</f>
        <v>JZRDCJTT</v>
      </c>
      <c r="C792" s="2" t="str">
        <f>IFERROR(__xludf.DUMMYFUNCTION("IF('From Order'!$A792=COLUMNS($A792:C811), LEFT(INDEX(FILTER(C$1:C791, C$1:C791&lt;&gt;""""),COUNTA(FILTER(C$1:C791, C$1:C791&lt;&gt;""""))), LEN(INDEX(FILTER(C$1:C791, C$1:C791&lt;&gt;""""),COUNTA(FILTER(C$1:C791, C$1:C791&lt;&gt;""""))))-1), IF('To Order'!$A792=COLUMNS($A792:C"&amp;"811), C791&amp;RIGHT(INDIRECT(ADDRESS(ROW(C792)-1, 'From Order'!$A792)), 1), C791))"),"LBSGDTLSFBBFMHZ")</f>
        <v>LBSGDTLSFBBFMHZ</v>
      </c>
      <c r="D792" s="2" t="str">
        <f>IFERROR(__xludf.DUMMYFUNCTION("IF('From Order'!$A792=COLUMNS($A792:D811), LEFT(INDEX(FILTER(D$1:D791, D$1:D791&lt;&gt;""""),COUNTA(FILTER(D$1:D791, D$1:D791&lt;&gt;""""))), LEN(INDEX(FILTER(D$1:D791, D$1:D791&lt;&gt;""""),COUNTA(FILTER(D$1:D791, D$1:D791&lt;&gt;""""))))-1), IF('To Order'!$A792=COLUMNS($A792:D"&amp;"811), D791&amp;RIGHT(INDIRECT(ADDRESS(ROW(D792)-1, 'From Order'!$A792)), 1), D791))"),"TMZM")</f>
        <v>TMZM</v>
      </c>
      <c r="E792" s="2" t="str">
        <f>IFERROR(__xludf.DUMMYFUNCTION("IF('From Order'!$A792=COLUMNS($A792:E811), LEFT(INDEX(FILTER(E$1:E791, E$1:E791&lt;&gt;""""),COUNTA(FILTER(E$1:E791, E$1:E791&lt;&gt;""""))), LEN(INDEX(FILTER(E$1:E791, E$1:E791&lt;&gt;""""),COUNTA(FILTER(E$1:E791, E$1:E791&lt;&gt;""""))))-1), IF('To Order'!$A792=COLUMNS($A792:E"&amp;"811), E791&amp;RIGHT(INDIRECT(ADDRESS(ROW(E792)-1, 'From Order'!$A792)), 1), E791))"),"PVJCVR")</f>
        <v>PVJCVR</v>
      </c>
      <c r="F792" s="2" t="str">
        <f>IFERROR(__xludf.DUMMYFUNCTION("IF('From Order'!$A792=COLUMNS($A792:F811), LEFT(INDEX(FILTER(F$1:F791, F$1:F791&lt;&gt;""""),COUNTA(FILTER(F$1:F791, F$1:F791&lt;&gt;""""))), LEN(INDEX(FILTER(F$1:F791, F$1:F791&lt;&gt;""""),COUNTA(FILTER(F$1:F791, F$1:F791&lt;&gt;""""))))-1), IF('To Order'!$A792=COLUMNS($A792:F"&amp;"811), F791&amp;RIGHT(INDIRECT(ADDRESS(ROW(F792)-1, 'From Order'!$A792)), 1), F791))"),"")</f>
        <v/>
      </c>
      <c r="G792" s="2" t="str">
        <f>IFERROR(__xludf.DUMMYFUNCTION("IF('From Order'!$A792=COLUMNS($A792:G811), LEFT(INDEX(FILTER(G$1:G791, G$1:G791&lt;&gt;""""),COUNTA(FILTER(G$1:G791, G$1:G791&lt;&gt;""""))), LEN(INDEX(FILTER(G$1:G791, G$1:G791&lt;&gt;""""),COUNTA(FILTER(G$1:G791, G$1:G791&lt;&gt;""""))))-1), IF('To Order'!$A792=COLUMNS($A792:G"&amp;"811), G791&amp;RIGHT(INDIRECT(ADDRESS(ROW(G792)-1, 'From Order'!$A792)), 1), G791))"),"DTRLRQPDSSGHWQPBCVDRWTD")</f>
        <v>DTRLRQPDSSGHWQPBCVDRWTD</v>
      </c>
      <c r="H792" s="2" t="str">
        <f>IFERROR(__xludf.DUMMYFUNCTION("IF('From Order'!$A792=COLUMNS($A792:H811), LEFT(INDEX(FILTER(H$1:H791, H$1:H791&lt;&gt;""""),COUNTA(FILTER(H$1:H791, H$1:H791&lt;&gt;""""))), LEN(INDEX(FILTER(H$1:H791, H$1:H791&lt;&gt;""""),COUNTA(FILTER(H$1:H791, H$1:H791&lt;&gt;""""))))-1), IF('To Order'!$A792=COLUMNS($A792:H"&amp;"811), H791&amp;RIGHT(INDIRECT(ADDRESS(ROW(H792)-1, 'From Order'!$A792)), 1), H791))"),"")</f>
        <v/>
      </c>
      <c r="I792" s="2" t="str">
        <f>IFERROR(__xludf.DUMMYFUNCTION("IF('From Order'!$A792=COLUMNS($A792:I811), LEFT(INDEX(FILTER(I$1:I791, I$1:I791&lt;&gt;""""),COUNTA(FILTER(I$1:I791, I$1:I791&lt;&gt;""""))), LEN(INDEX(FILTER(I$1:I791, I$1:I791&lt;&gt;""""),COUNTA(FILTER(I$1:I791, I$1:I791&lt;&gt;""""))))-1), IF('To Order'!$A792=COLUMNS($A792:I"&amp;"811), I791&amp;RIGHT(INDIRECT(ADDRESS(ROW(I792)-1, 'From Order'!$A792)), 1), I791))"),"")</f>
        <v/>
      </c>
    </row>
    <row r="793">
      <c r="A793" s="2" t="str">
        <f>IFERROR(__xludf.DUMMYFUNCTION("IF('From Order'!$A793=COLUMNS($A793:A812), LEFT(INDEX(FILTER(A$1:A792, A$1:A792&lt;&gt;""""),COUNTA(FILTER(A$1:A792, A$1:A792&lt;&gt;""""))), LEN(INDEX(FILTER(A$1:A792, A$1:A792&lt;&gt;""""),COUNTA(FILTER(A$1:A792, A$1:A792&lt;&gt;""""))))-1), IF('To Order'!$A793=COLUMNS($A793:A"&amp;"812), A792&amp;RIGHT(INDIRECT(ADDRESS(ROW(A793)-1, 'From Order'!$A793)), 1), A792))"),"")</f>
        <v/>
      </c>
      <c r="B793" s="2" t="str">
        <f>IFERROR(__xludf.DUMMYFUNCTION("IF('From Order'!$A793=COLUMNS($A793:B812), LEFT(INDEX(FILTER(B$1:B792, B$1:B792&lt;&gt;""""),COUNTA(FILTER(B$1:B792, B$1:B792&lt;&gt;""""))), LEN(INDEX(FILTER(B$1:B792, B$1:B792&lt;&gt;""""),COUNTA(FILTER(B$1:B792, B$1:B792&lt;&gt;""""))))-1), IF('To Order'!$A793=COLUMNS($A793:B"&amp;"812), B792&amp;RIGHT(INDIRECT(ADDRESS(ROW(B793)-1, 'From Order'!$A793)), 1), B792))"),"JZRDCJTT")</f>
        <v>JZRDCJTT</v>
      </c>
      <c r="C793" s="2" t="str">
        <f>IFERROR(__xludf.DUMMYFUNCTION("IF('From Order'!$A793=COLUMNS($A793:C812), LEFT(INDEX(FILTER(C$1:C792, C$1:C792&lt;&gt;""""),COUNTA(FILTER(C$1:C792, C$1:C792&lt;&gt;""""))), LEN(INDEX(FILTER(C$1:C792, C$1:C792&lt;&gt;""""),COUNTA(FILTER(C$1:C792, C$1:C792&lt;&gt;""""))))-1), IF('To Order'!$A793=COLUMNS($A793:C"&amp;"812), C792&amp;RIGHT(INDIRECT(ADDRESS(ROW(C793)-1, 'From Order'!$A793)), 1), C792))"),"LBSGDTLSFBBFMH")</f>
        <v>LBSGDTLSFBBFMH</v>
      </c>
      <c r="D793" s="2" t="str">
        <f>IFERROR(__xludf.DUMMYFUNCTION("IF('From Order'!$A793=COLUMNS($A793:D812), LEFT(INDEX(FILTER(D$1:D792, D$1:D792&lt;&gt;""""),COUNTA(FILTER(D$1:D792, D$1:D792&lt;&gt;""""))), LEN(INDEX(FILTER(D$1:D792, D$1:D792&lt;&gt;""""),COUNTA(FILTER(D$1:D792, D$1:D792&lt;&gt;""""))))-1), IF('To Order'!$A793=COLUMNS($A793:D"&amp;"812), D792&amp;RIGHT(INDIRECT(ADDRESS(ROW(D793)-1, 'From Order'!$A793)), 1), D792))"),"TMZM")</f>
        <v>TMZM</v>
      </c>
      <c r="E793" s="2" t="str">
        <f>IFERROR(__xludf.DUMMYFUNCTION("IF('From Order'!$A793=COLUMNS($A793:E812), LEFT(INDEX(FILTER(E$1:E792, E$1:E792&lt;&gt;""""),COUNTA(FILTER(E$1:E792, E$1:E792&lt;&gt;""""))), LEN(INDEX(FILTER(E$1:E792, E$1:E792&lt;&gt;""""),COUNTA(FILTER(E$1:E792, E$1:E792&lt;&gt;""""))))-1), IF('To Order'!$A793=COLUMNS($A793:E"&amp;"812), E792&amp;RIGHT(INDIRECT(ADDRESS(ROW(E793)-1, 'From Order'!$A793)), 1), E792))"),"PVJCVRZ")</f>
        <v>PVJCVRZ</v>
      </c>
      <c r="F793" s="2" t="str">
        <f>IFERROR(__xludf.DUMMYFUNCTION("IF('From Order'!$A793=COLUMNS($A793:F812), LEFT(INDEX(FILTER(F$1:F792, F$1:F792&lt;&gt;""""),COUNTA(FILTER(F$1:F792, F$1:F792&lt;&gt;""""))), LEN(INDEX(FILTER(F$1:F792, F$1:F792&lt;&gt;""""),COUNTA(FILTER(F$1:F792, F$1:F792&lt;&gt;""""))))-1), IF('To Order'!$A793=COLUMNS($A793:F"&amp;"812), F792&amp;RIGHT(INDIRECT(ADDRESS(ROW(F793)-1, 'From Order'!$A793)), 1), F792))"),"")</f>
        <v/>
      </c>
      <c r="G793" s="2" t="str">
        <f>IFERROR(__xludf.DUMMYFUNCTION("IF('From Order'!$A793=COLUMNS($A793:G812), LEFT(INDEX(FILTER(G$1:G792, G$1:G792&lt;&gt;""""),COUNTA(FILTER(G$1:G792, G$1:G792&lt;&gt;""""))), LEN(INDEX(FILTER(G$1:G792, G$1:G792&lt;&gt;""""),COUNTA(FILTER(G$1:G792, G$1:G792&lt;&gt;""""))))-1), IF('To Order'!$A793=COLUMNS($A793:G"&amp;"812), G792&amp;RIGHT(INDIRECT(ADDRESS(ROW(G793)-1, 'From Order'!$A793)), 1), G792))"),"DTRLRQPDSSGHWQPBCVDRWTD")</f>
        <v>DTRLRQPDSSGHWQPBCVDRWTD</v>
      </c>
      <c r="H793" s="2" t="str">
        <f>IFERROR(__xludf.DUMMYFUNCTION("IF('From Order'!$A793=COLUMNS($A793:H812), LEFT(INDEX(FILTER(H$1:H792, H$1:H792&lt;&gt;""""),COUNTA(FILTER(H$1:H792, H$1:H792&lt;&gt;""""))), LEN(INDEX(FILTER(H$1:H792, H$1:H792&lt;&gt;""""),COUNTA(FILTER(H$1:H792, H$1:H792&lt;&gt;""""))))-1), IF('To Order'!$A793=COLUMNS($A793:H"&amp;"812), H792&amp;RIGHT(INDIRECT(ADDRESS(ROW(H793)-1, 'From Order'!$A793)), 1), H792))"),"")</f>
        <v/>
      </c>
      <c r="I793" s="2" t="str">
        <f>IFERROR(__xludf.DUMMYFUNCTION("IF('From Order'!$A793=COLUMNS($A793:I812), LEFT(INDEX(FILTER(I$1:I792, I$1:I792&lt;&gt;""""),COUNTA(FILTER(I$1:I792, I$1:I792&lt;&gt;""""))), LEN(INDEX(FILTER(I$1:I792, I$1:I792&lt;&gt;""""),COUNTA(FILTER(I$1:I792, I$1:I792&lt;&gt;""""))))-1), IF('To Order'!$A793=COLUMNS($A793:I"&amp;"812), I792&amp;RIGHT(INDIRECT(ADDRESS(ROW(I793)-1, 'From Order'!$A793)), 1), I792))"),"")</f>
        <v/>
      </c>
    </row>
    <row r="794">
      <c r="A794" s="2" t="str">
        <f>IFERROR(__xludf.DUMMYFUNCTION("IF('From Order'!$A794=COLUMNS($A794:A813), LEFT(INDEX(FILTER(A$1:A793, A$1:A793&lt;&gt;""""),COUNTA(FILTER(A$1:A793, A$1:A793&lt;&gt;""""))), LEN(INDEX(FILTER(A$1:A793, A$1:A793&lt;&gt;""""),COUNTA(FILTER(A$1:A793, A$1:A793&lt;&gt;""""))))-1), IF('To Order'!$A794=COLUMNS($A794:A"&amp;"813), A793&amp;RIGHT(INDIRECT(ADDRESS(ROW(A794)-1, 'From Order'!$A794)), 1), A793))"),"")</f>
        <v/>
      </c>
      <c r="B794" s="2" t="str">
        <f>IFERROR(__xludf.DUMMYFUNCTION("IF('From Order'!$A794=COLUMNS($A794:B813), LEFT(INDEX(FILTER(B$1:B793, B$1:B793&lt;&gt;""""),COUNTA(FILTER(B$1:B793, B$1:B793&lt;&gt;""""))), LEN(INDEX(FILTER(B$1:B793, B$1:B793&lt;&gt;""""),COUNTA(FILTER(B$1:B793, B$1:B793&lt;&gt;""""))))-1), IF('To Order'!$A794=COLUMNS($A794:B"&amp;"813), B793&amp;RIGHT(INDIRECT(ADDRESS(ROW(B794)-1, 'From Order'!$A794)), 1), B793))"),"JZRDCJTT")</f>
        <v>JZRDCJTT</v>
      </c>
      <c r="C794" s="2" t="str">
        <f>IFERROR(__xludf.DUMMYFUNCTION("IF('From Order'!$A794=COLUMNS($A794:C813), LEFT(INDEX(FILTER(C$1:C793, C$1:C793&lt;&gt;""""),COUNTA(FILTER(C$1:C793, C$1:C793&lt;&gt;""""))), LEN(INDEX(FILTER(C$1:C793, C$1:C793&lt;&gt;""""),COUNTA(FILTER(C$1:C793, C$1:C793&lt;&gt;""""))))-1), IF('To Order'!$A794=COLUMNS($A794:C"&amp;"813), C793&amp;RIGHT(INDIRECT(ADDRESS(ROW(C794)-1, 'From Order'!$A794)), 1), C793))"),"LBSGDTLSFBBFM")</f>
        <v>LBSGDTLSFBBFM</v>
      </c>
      <c r="D794" s="2" t="str">
        <f>IFERROR(__xludf.DUMMYFUNCTION("IF('From Order'!$A794=COLUMNS($A794:D813), LEFT(INDEX(FILTER(D$1:D793, D$1:D793&lt;&gt;""""),COUNTA(FILTER(D$1:D793, D$1:D793&lt;&gt;""""))), LEN(INDEX(FILTER(D$1:D793, D$1:D793&lt;&gt;""""),COUNTA(FILTER(D$1:D793, D$1:D793&lt;&gt;""""))))-1), IF('To Order'!$A794=COLUMNS($A794:D"&amp;"813), D793&amp;RIGHT(INDIRECT(ADDRESS(ROW(D794)-1, 'From Order'!$A794)), 1), D793))"),"TMZM")</f>
        <v>TMZM</v>
      </c>
      <c r="E794" s="2" t="str">
        <f>IFERROR(__xludf.DUMMYFUNCTION("IF('From Order'!$A794=COLUMNS($A794:E813), LEFT(INDEX(FILTER(E$1:E793, E$1:E793&lt;&gt;""""),COUNTA(FILTER(E$1:E793, E$1:E793&lt;&gt;""""))), LEN(INDEX(FILTER(E$1:E793, E$1:E793&lt;&gt;""""),COUNTA(FILTER(E$1:E793, E$1:E793&lt;&gt;""""))))-1), IF('To Order'!$A794=COLUMNS($A794:E"&amp;"813), E793&amp;RIGHT(INDIRECT(ADDRESS(ROW(E794)-1, 'From Order'!$A794)), 1), E793))"),"PVJCVRZH")</f>
        <v>PVJCVRZH</v>
      </c>
      <c r="F794" s="2" t="str">
        <f>IFERROR(__xludf.DUMMYFUNCTION("IF('From Order'!$A794=COLUMNS($A794:F813), LEFT(INDEX(FILTER(F$1:F793, F$1:F793&lt;&gt;""""),COUNTA(FILTER(F$1:F793, F$1:F793&lt;&gt;""""))), LEN(INDEX(FILTER(F$1:F793, F$1:F793&lt;&gt;""""),COUNTA(FILTER(F$1:F793, F$1:F793&lt;&gt;""""))))-1), IF('To Order'!$A794=COLUMNS($A794:F"&amp;"813), F793&amp;RIGHT(INDIRECT(ADDRESS(ROW(F794)-1, 'From Order'!$A794)), 1), F793))"),"")</f>
        <v/>
      </c>
      <c r="G794" s="2" t="str">
        <f>IFERROR(__xludf.DUMMYFUNCTION("IF('From Order'!$A794=COLUMNS($A794:G813), LEFT(INDEX(FILTER(G$1:G793, G$1:G793&lt;&gt;""""),COUNTA(FILTER(G$1:G793, G$1:G793&lt;&gt;""""))), LEN(INDEX(FILTER(G$1:G793, G$1:G793&lt;&gt;""""),COUNTA(FILTER(G$1:G793, G$1:G793&lt;&gt;""""))))-1), IF('To Order'!$A794=COLUMNS($A794:G"&amp;"813), G793&amp;RIGHT(INDIRECT(ADDRESS(ROW(G794)-1, 'From Order'!$A794)), 1), G793))"),"DTRLRQPDSSGHWQPBCVDRWTD")</f>
        <v>DTRLRQPDSSGHWQPBCVDRWTD</v>
      </c>
      <c r="H794" s="2" t="str">
        <f>IFERROR(__xludf.DUMMYFUNCTION("IF('From Order'!$A794=COLUMNS($A794:H813), LEFT(INDEX(FILTER(H$1:H793, H$1:H793&lt;&gt;""""),COUNTA(FILTER(H$1:H793, H$1:H793&lt;&gt;""""))), LEN(INDEX(FILTER(H$1:H793, H$1:H793&lt;&gt;""""),COUNTA(FILTER(H$1:H793, H$1:H793&lt;&gt;""""))))-1), IF('To Order'!$A794=COLUMNS($A794:H"&amp;"813), H793&amp;RIGHT(INDIRECT(ADDRESS(ROW(H794)-1, 'From Order'!$A794)), 1), H793))"),"")</f>
        <v/>
      </c>
      <c r="I794" s="2" t="str">
        <f>IFERROR(__xludf.DUMMYFUNCTION("IF('From Order'!$A794=COLUMNS($A794:I813), LEFT(INDEX(FILTER(I$1:I793, I$1:I793&lt;&gt;""""),COUNTA(FILTER(I$1:I793, I$1:I793&lt;&gt;""""))), LEN(INDEX(FILTER(I$1:I793, I$1:I793&lt;&gt;""""),COUNTA(FILTER(I$1:I793, I$1:I793&lt;&gt;""""))))-1), IF('To Order'!$A794=COLUMNS($A794:I"&amp;"813), I793&amp;RIGHT(INDIRECT(ADDRESS(ROW(I794)-1, 'From Order'!$A794)), 1), I793))"),"")</f>
        <v/>
      </c>
    </row>
    <row r="795">
      <c r="A795" s="2" t="str">
        <f>IFERROR(__xludf.DUMMYFUNCTION("IF('From Order'!$A795=COLUMNS($A795:A814), LEFT(INDEX(FILTER(A$1:A794, A$1:A794&lt;&gt;""""),COUNTA(FILTER(A$1:A794, A$1:A794&lt;&gt;""""))), LEN(INDEX(FILTER(A$1:A794, A$1:A794&lt;&gt;""""),COUNTA(FILTER(A$1:A794, A$1:A794&lt;&gt;""""))))-1), IF('To Order'!$A795=COLUMNS($A795:A"&amp;"814), A794&amp;RIGHT(INDIRECT(ADDRESS(ROW(A795)-1, 'From Order'!$A795)), 1), A794))"),"")</f>
        <v/>
      </c>
      <c r="B795" s="2" t="str">
        <f>IFERROR(__xludf.DUMMYFUNCTION("IF('From Order'!$A795=COLUMNS($A795:B814), LEFT(INDEX(FILTER(B$1:B794, B$1:B794&lt;&gt;""""),COUNTA(FILTER(B$1:B794, B$1:B794&lt;&gt;""""))), LEN(INDEX(FILTER(B$1:B794, B$1:B794&lt;&gt;""""),COUNTA(FILTER(B$1:B794, B$1:B794&lt;&gt;""""))))-1), IF('To Order'!$A795=COLUMNS($A795:B"&amp;"814), B794&amp;RIGHT(INDIRECT(ADDRESS(ROW(B795)-1, 'From Order'!$A795)), 1), B794))"),"JZRDCJTT")</f>
        <v>JZRDCJTT</v>
      </c>
      <c r="C795" s="2" t="str">
        <f>IFERROR(__xludf.DUMMYFUNCTION("IF('From Order'!$A795=COLUMNS($A795:C814), LEFT(INDEX(FILTER(C$1:C794, C$1:C794&lt;&gt;""""),COUNTA(FILTER(C$1:C794, C$1:C794&lt;&gt;""""))), LEN(INDEX(FILTER(C$1:C794, C$1:C794&lt;&gt;""""),COUNTA(FILTER(C$1:C794, C$1:C794&lt;&gt;""""))))-1), IF('To Order'!$A795=COLUMNS($A795:C"&amp;"814), C794&amp;RIGHT(INDIRECT(ADDRESS(ROW(C795)-1, 'From Order'!$A795)), 1), C794))"),"LBSGDTLSFBBF")</f>
        <v>LBSGDTLSFBBF</v>
      </c>
      <c r="D795" s="2" t="str">
        <f>IFERROR(__xludf.DUMMYFUNCTION("IF('From Order'!$A795=COLUMNS($A795:D814), LEFT(INDEX(FILTER(D$1:D794, D$1:D794&lt;&gt;""""),COUNTA(FILTER(D$1:D794, D$1:D794&lt;&gt;""""))), LEN(INDEX(FILTER(D$1:D794, D$1:D794&lt;&gt;""""),COUNTA(FILTER(D$1:D794, D$1:D794&lt;&gt;""""))))-1), IF('To Order'!$A795=COLUMNS($A795:D"&amp;"814), D794&amp;RIGHT(INDIRECT(ADDRESS(ROW(D795)-1, 'From Order'!$A795)), 1), D794))"),"TMZM")</f>
        <v>TMZM</v>
      </c>
      <c r="E795" s="2" t="str">
        <f>IFERROR(__xludf.DUMMYFUNCTION("IF('From Order'!$A795=COLUMNS($A795:E814), LEFT(INDEX(FILTER(E$1:E794, E$1:E794&lt;&gt;""""),COUNTA(FILTER(E$1:E794, E$1:E794&lt;&gt;""""))), LEN(INDEX(FILTER(E$1:E794, E$1:E794&lt;&gt;""""),COUNTA(FILTER(E$1:E794, E$1:E794&lt;&gt;""""))))-1), IF('To Order'!$A795=COLUMNS($A795:E"&amp;"814), E794&amp;RIGHT(INDIRECT(ADDRESS(ROW(E795)-1, 'From Order'!$A795)), 1), E794))"),"PVJCVRZHM")</f>
        <v>PVJCVRZHM</v>
      </c>
      <c r="F795" s="2" t="str">
        <f>IFERROR(__xludf.DUMMYFUNCTION("IF('From Order'!$A795=COLUMNS($A795:F814), LEFT(INDEX(FILTER(F$1:F794, F$1:F794&lt;&gt;""""),COUNTA(FILTER(F$1:F794, F$1:F794&lt;&gt;""""))), LEN(INDEX(FILTER(F$1:F794, F$1:F794&lt;&gt;""""),COUNTA(FILTER(F$1:F794, F$1:F794&lt;&gt;""""))))-1), IF('To Order'!$A795=COLUMNS($A795:F"&amp;"814), F794&amp;RIGHT(INDIRECT(ADDRESS(ROW(F795)-1, 'From Order'!$A795)), 1), F794))"),"")</f>
        <v/>
      </c>
      <c r="G795" s="2" t="str">
        <f>IFERROR(__xludf.DUMMYFUNCTION("IF('From Order'!$A795=COLUMNS($A795:G814), LEFT(INDEX(FILTER(G$1:G794, G$1:G794&lt;&gt;""""),COUNTA(FILTER(G$1:G794, G$1:G794&lt;&gt;""""))), LEN(INDEX(FILTER(G$1:G794, G$1:G794&lt;&gt;""""),COUNTA(FILTER(G$1:G794, G$1:G794&lt;&gt;""""))))-1), IF('To Order'!$A795=COLUMNS($A795:G"&amp;"814), G794&amp;RIGHT(INDIRECT(ADDRESS(ROW(G795)-1, 'From Order'!$A795)), 1), G794))"),"DTRLRQPDSSGHWQPBCVDRWTD")</f>
        <v>DTRLRQPDSSGHWQPBCVDRWTD</v>
      </c>
      <c r="H795" s="2" t="str">
        <f>IFERROR(__xludf.DUMMYFUNCTION("IF('From Order'!$A795=COLUMNS($A795:H814), LEFT(INDEX(FILTER(H$1:H794, H$1:H794&lt;&gt;""""),COUNTA(FILTER(H$1:H794, H$1:H794&lt;&gt;""""))), LEN(INDEX(FILTER(H$1:H794, H$1:H794&lt;&gt;""""),COUNTA(FILTER(H$1:H794, H$1:H794&lt;&gt;""""))))-1), IF('To Order'!$A795=COLUMNS($A795:H"&amp;"814), H794&amp;RIGHT(INDIRECT(ADDRESS(ROW(H795)-1, 'From Order'!$A795)), 1), H794))"),"")</f>
        <v/>
      </c>
      <c r="I795" s="2" t="str">
        <f>IFERROR(__xludf.DUMMYFUNCTION("IF('From Order'!$A795=COLUMNS($A795:I814), LEFT(INDEX(FILTER(I$1:I794, I$1:I794&lt;&gt;""""),COUNTA(FILTER(I$1:I794, I$1:I794&lt;&gt;""""))), LEN(INDEX(FILTER(I$1:I794, I$1:I794&lt;&gt;""""),COUNTA(FILTER(I$1:I794, I$1:I794&lt;&gt;""""))))-1), IF('To Order'!$A795=COLUMNS($A795:I"&amp;"814), I794&amp;RIGHT(INDIRECT(ADDRESS(ROW(I795)-1, 'From Order'!$A795)), 1), I794))"),"")</f>
        <v/>
      </c>
    </row>
    <row r="796">
      <c r="A796" s="2" t="str">
        <f>IFERROR(__xludf.DUMMYFUNCTION("IF('From Order'!$A796=COLUMNS($A796:A815), LEFT(INDEX(FILTER(A$1:A795, A$1:A795&lt;&gt;""""),COUNTA(FILTER(A$1:A795, A$1:A795&lt;&gt;""""))), LEN(INDEX(FILTER(A$1:A795, A$1:A795&lt;&gt;""""),COUNTA(FILTER(A$1:A795, A$1:A795&lt;&gt;""""))))-1), IF('To Order'!$A796=COLUMNS($A796:A"&amp;"815), A795&amp;RIGHT(INDIRECT(ADDRESS(ROW(A796)-1, 'From Order'!$A796)), 1), A795))"),"")</f>
        <v/>
      </c>
      <c r="B796" s="2" t="str">
        <f>IFERROR(__xludf.DUMMYFUNCTION("IF('From Order'!$A796=COLUMNS($A796:B815), LEFT(INDEX(FILTER(B$1:B795, B$1:B795&lt;&gt;""""),COUNTA(FILTER(B$1:B795, B$1:B795&lt;&gt;""""))), LEN(INDEX(FILTER(B$1:B795, B$1:B795&lt;&gt;""""),COUNTA(FILTER(B$1:B795, B$1:B795&lt;&gt;""""))))-1), IF('To Order'!$A796=COLUMNS($A796:B"&amp;"815), B795&amp;RIGHT(INDIRECT(ADDRESS(ROW(B796)-1, 'From Order'!$A796)), 1), B795))"),"JZRDCJTT")</f>
        <v>JZRDCJTT</v>
      </c>
      <c r="C796" s="2" t="str">
        <f>IFERROR(__xludf.DUMMYFUNCTION("IF('From Order'!$A796=COLUMNS($A796:C815), LEFT(INDEX(FILTER(C$1:C795, C$1:C795&lt;&gt;""""),COUNTA(FILTER(C$1:C795, C$1:C795&lt;&gt;""""))), LEN(INDEX(FILTER(C$1:C795, C$1:C795&lt;&gt;""""),COUNTA(FILTER(C$1:C795, C$1:C795&lt;&gt;""""))))-1), IF('To Order'!$A796=COLUMNS($A796:C"&amp;"815), C795&amp;RIGHT(INDIRECT(ADDRESS(ROW(C796)-1, 'From Order'!$A796)), 1), C795))"),"LBSGDTLSFBB")</f>
        <v>LBSGDTLSFBB</v>
      </c>
      <c r="D796" s="2" t="str">
        <f>IFERROR(__xludf.DUMMYFUNCTION("IF('From Order'!$A796=COLUMNS($A796:D815), LEFT(INDEX(FILTER(D$1:D795, D$1:D795&lt;&gt;""""),COUNTA(FILTER(D$1:D795, D$1:D795&lt;&gt;""""))), LEN(INDEX(FILTER(D$1:D795, D$1:D795&lt;&gt;""""),COUNTA(FILTER(D$1:D795, D$1:D795&lt;&gt;""""))))-1), IF('To Order'!$A796=COLUMNS($A796:D"&amp;"815), D795&amp;RIGHT(INDIRECT(ADDRESS(ROW(D796)-1, 'From Order'!$A796)), 1), D795))"),"TMZM")</f>
        <v>TMZM</v>
      </c>
      <c r="E796" s="2" t="str">
        <f>IFERROR(__xludf.DUMMYFUNCTION("IF('From Order'!$A796=COLUMNS($A796:E815), LEFT(INDEX(FILTER(E$1:E795, E$1:E795&lt;&gt;""""),COUNTA(FILTER(E$1:E795, E$1:E795&lt;&gt;""""))), LEN(INDEX(FILTER(E$1:E795, E$1:E795&lt;&gt;""""),COUNTA(FILTER(E$1:E795, E$1:E795&lt;&gt;""""))))-1), IF('To Order'!$A796=COLUMNS($A796:E"&amp;"815), E795&amp;RIGHT(INDIRECT(ADDRESS(ROW(E796)-1, 'From Order'!$A796)), 1), E795))"),"PVJCVRZHMF")</f>
        <v>PVJCVRZHMF</v>
      </c>
      <c r="F796" s="2" t="str">
        <f>IFERROR(__xludf.DUMMYFUNCTION("IF('From Order'!$A796=COLUMNS($A796:F815), LEFT(INDEX(FILTER(F$1:F795, F$1:F795&lt;&gt;""""),COUNTA(FILTER(F$1:F795, F$1:F795&lt;&gt;""""))), LEN(INDEX(FILTER(F$1:F795, F$1:F795&lt;&gt;""""),COUNTA(FILTER(F$1:F795, F$1:F795&lt;&gt;""""))))-1), IF('To Order'!$A796=COLUMNS($A796:F"&amp;"815), F795&amp;RIGHT(INDIRECT(ADDRESS(ROW(F796)-1, 'From Order'!$A796)), 1), F795))"),"")</f>
        <v/>
      </c>
      <c r="G796" s="2" t="str">
        <f>IFERROR(__xludf.DUMMYFUNCTION("IF('From Order'!$A796=COLUMNS($A796:G815), LEFT(INDEX(FILTER(G$1:G795, G$1:G795&lt;&gt;""""),COUNTA(FILTER(G$1:G795, G$1:G795&lt;&gt;""""))), LEN(INDEX(FILTER(G$1:G795, G$1:G795&lt;&gt;""""),COUNTA(FILTER(G$1:G795, G$1:G795&lt;&gt;""""))))-1), IF('To Order'!$A796=COLUMNS($A796:G"&amp;"815), G795&amp;RIGHT(INDIRECT(ADDRESS(ROW(G796)-1, 'From Order'!$A796)), 1), G795))"),"DTRLRQPDSSGHWQPBCVDRWTD")</f>
        <v>DTRLRQPDSSGHWQPBCVDRWTD</v>
      </c>
      <c r="H796" s="2" t="str">
        <f>IFERROR(__xludf.DUMMYFUNCTION("IF('From Order'!$A796=COLUMNS($A796:H815), LEFT(INDEX(FILTER(H$1:H795, H$1:H795&lt;&gt;""""),COUNTA(FILTER(H$1:H795, H$1:H795&lt;&gt;""""))), LEN(INDEX(FILTER(H$1:H795, H$1:H795&lt;&gt;""""),COUNTA(FILTER(H$1:H795, H$1:H795&lt;&gt;""""))))-1), IF('To Order'!$A796=COLUMNS($A796:H"&amp;"815), H795&amp;RIGHT(INDIRECT(ADDRESS(ROW(H796)-1, 'From Order'!$A796)), 1), H795))"),"")</f>
        <v/>
      </c>
      <c r="I796" s="2" t="str">
        <f>IFERROR(__xludf.DUMMYFUNCTION("IF('From Order'!$A796=COLUMNS($A796:I815), LEFT(INDEX(FILTER(I$1:I795, I$1:I795&lt;&gt;""""),COUNTA(FILTER(I$1:I795, I$1:I795&lt;&gt;""""))), LEN(INDEX(FILTER(I$1:I795, I$1:I795&lt;&gt;""""),COUNTA(FILTER(I$1:I795, I$1:I795&lt;&gt;""""))))-1), IF('To Order'!$A796=COLUMNS($A796:I"&amp;"815), I795&amp;RIGHT(INDIRECT(ADDRESS(ROW(I796)-1, 'From Order'!$A796)), 1), I795))"),"")</f>
        <v/>
      </c>
    </row>
    <row r="797">
      <c r="A797" s="2" t="str">
        <f>IFERROR(__xludf.DUMMYFUNCTION("IF('From Order'!$A797=COLUMNS($A797:A816), LEFT(INDEX(FILTER(A$1:A796, A$1:A796&lt;&gt;""""),COUNTA(FILTER(A$1:A796, A$1:A796&lt;&gt;""""))), LEN(INDEX(FILTER(A$1:A796, A$1:A796&lt;&gt;""""),COUNTA(FILTER(A$1:A796, A$1:A796&lt;&gt;""""))))-1), IF('To Order'!$A797=COLUMNS($A797:A"&amp;"816), A796&amp;RIGHT(INDIRECT(ADDRESS(ROW(A797)-1, 'From Order'!$A797)), 1), A796))"),"")</f>
        <v/>
      </c>
      <c r="B797" s="2" t="str">
        <f>IFERROR(__xludf.DUMMYFUNCTION("IF('From Order'!$A797=COLUMNS($A797:B816), LEFT(INDEX(FILTER(B$1:B796, B$1:B796&lt;&gt;""""),COUNTA(FILTER(B$1:B796, B$1:B796&lt;&gt;""""))), LEN(INDEX(FILTER(B$1:B796, B$1:B796&lt;&gt;""""),COUNTA(FILTER(B$1:B796, B$1:B796&lt;&gt;""""))))-1), IF('To Order'!$A797=COLUMNS($A797:B"&amp;"816), B796&amp;RIGHT(INDIRECT(ADDRESS(ROW(B797)-1, 'From Order'!$A797)), 1), B796))"),"JZRDCJTT")</f>
        <v>JZRDCJTT</v>
      </c>
      <c r="C797" s="2" t="str">
        <f>IFERROR(__xludf.DUMMYFUNCTION("IF('From Order'!$A797=COLUMNS($A797:C816), LEFT(INDEX(FILTER(C$1:C796, C$1:C796&lt;&gt;""""),COUNTA(FILTER(C$1:C796, C$1:C796&lt;&gt;""""))), LEN(INDEX(FILTER(C$1:C796, C$1:C796&lt;&gt;""""),COUNTA(FILTER(C$1:C796, C$1:C796&lt;&gt;""""))))-1), IF('To Order'!$A797=COLUMNS($A797:C"&amp;"816), C796&amp;RIGHT(INDIRECT(ADDRESS(ROW(C797)-1, 'From Order'!$A797)), 1), C796))"),"LBSGDTLSFB")</f>
        <v>LBSGDTLSFB</v>
      </c>
      <c r="D797" s="2" t="str">
        <f>IFERROR(__xludf.DUMMYFUNCTION("IF('From Order'!$A797=COLUMNS($A797:D816), LEFT(INDEX(FILTER(D$1:D796, D$1:D796&lt;&gt;""""),COUNTA(FILTER(D$1:D796, D$1:D796&lt;&gt;""""))), LEN(INDEX(FILTER(D$1:D796, D$1:D796&lt;&gt;""""),COUNTA(FILTER(D$1:D796, D$1:D796&lt;&gt;""""))))-1), IF('To Order'!$A797=COLUMNS($A797:D"&amp;"816), D796&amp;RIGHT(INDIRECT(ADDRESS(ROW(D797)-1, 'From Order'!$A797)), 1), D796))"),"TMZM")</f>
        <v>TMZM</v>
      </c>
      <c r="E797" s="2" t="str">
        <f>IFERROR(__xludf.DUMMYFUNCTION("IF('From Order'!$A797=COLUMNS($A797:E816), LEFT(INDEX(FILTER(E$1:E796, E$1:E796&lt;&gt;""""),COUNTA(FILTER(E$1:E796, E$1:E796&lt;&gt;""""))), LEN(INDEX(FILTER(E$1:E796, E$1:E796&lt;&gt;""""),COUNTA(FILTER(E$1:E796, E$1:E796&lt;&gt;""""))))-1), IF('To Order'!$A797=COLUMNS($A797:E"&amp;"816), E796&amp;RIGHT(INDIRECT(ADDRESS(ROW(E797)-1, 'From Order'!$A797)), 1), E796))"),"PVJCVRZHMFB")</f>
        <v>PVJCVRZHMFB</v>
      </c>
      <c r="F797" s="2" t="str">
        <f>IFERROR(__xludf.DUMMYFUNCTION("IF('From Order'!$A797=COLUMNS($A797:F816), LEFT(INDEX(FILTER(F$1:F796, F$1:F796&lt;&gt;""""),COUNTA(FILTER(F$1:F796, F$1:F796&lt;&gt;""""))), LEN(INDEX(FILTER(F$1:F796, F$1:F796&lt;&gt;""""),COUNTA(FILTER(F$1:F796, F$1:F796&lt;&gt;""""))))-1), IF('To Order'!$A797=COLUMNS($A797:F"&amp;"816), F796&amp;RIGHT(INDIRECT(ADDRESS(ROW(F797)-1, 'From Order'!$A797)), 1), F796))"),"")</f>
        <v/>
      </c>
      <c r="G797" s="2" t="str">
        <f>IFERROR(__xludf.DUMMYFUNCTION("IF('From Order'!$A797=COLUMNS($A797:G816), LEFT(INDEX(FILTER(G$1:G796, G$1:G796&lt;&gt;""""),COUNTA(FILTER(G$1:G796, G$1:G796&lt;&gt;""""))), LEN(INDEX(FILTER(G$1:G796, G$1:G796&lt;&gt;""""),COUNTA(FILTER(G$1:G796, G$1:G796&lt;&gt;""""))))-1), IF('To Order'!$A797=COLUMNS($A797:G"&amp;"816), G796&amp;RIGHT(INDIRECT(ADDRESS(ROW(G797)-1, 'From Order'!$A797)), 1), G796))"),"DTRLRQPDSSGHWQPBCVDRWTD")</f>
        <v>DTRLRQPDSSGHWQPBCVDRWTD</v>
      </c>
      <c r="H797" s="2" t="str">
        <f>IFERROR(__xludf.DUMMYFUNCTION("IF('From Order'!$A797=COLUMNS($A797:H816), LEFT(INDEX(FILTER(H$1:H796, H$1:H796&lt;&gt;""""),COUNTA(FILTER(H$1:H796, H$1:H796&lt;&gt;""""))), LEN(INDEX(FILTER(H$1:H796, H$1:H796&lt;&gt;""""),COUNTA(FILTER(H$1:H796, H$1:H796&lt;&gt;""""))))-1), IF('To Order'!$A797=COLUMNS($A797:H"&amp;"816), H796&amp;RIGHT(INDIRECT(ADDRESS(ROW(H797)-1, 'From Order'!$A797)), 1), H796))"),"")</f>
        <v/>
      </c>
      <c r="I797" s="2" t="str">
        <f>IFERROR(__xludf.DUMMYFUNCTION("IF('From Order'!$A797=COLUMNS($A797:I816), LEFT(INDEX(FILTER(I$1:I796, I$1:I796&lt;&gt;""""),COUNTA(FILTER(I$1:I796, I$1:I796&lt;&gt;""""))), LEN(INDEX(FILTER(I$1:I796, I$1:I796&lt;&gt;""""),COUNTA(FILTER(I$1:I796, I$1:I796&lt;&gt;""""))))-1), IF('To Order'!$A797=COLUMNS($A797:I"&amp;"816), I796&amp;RIGHT(INDIRECT(ADDRESS(ROW(I797)-1, 'From Order'!$A797)), 1), I796))"),"")</f>
        <v/>
      </c>
    </row>
    <row r="798">
      <c r="A798" s="2" t="str">
        <f>IFERROR(__xludf.DUMMYFUNCTION("IF('From Order'!$A798=COLUMNS($A798:A817), LEFT(INDEX(FILTER(A$1:A797, A$1:A797&lt;&gt;""""),COUNTA(FILTER(A$1:A797, A$1:A797&lt;&gt;""""))), LEN(INDEX(FILTER(A$1:A797, A$1:A797&lt;&gt;""""),COUNTA(FILTER(A$1:A797, A$1:A797&lt;&gt;""""))))-1), IF('To Order'!$A798=COLUMNS($A798:A"&amp;"817), A797&amp;RIGHT(INDIRECT(ADDRESS(ROW(A798)-1, 'From Order'!$A798)), 1), A797))"),"")</f>
        <v/>
      </c>
      <c r="B798" s="2" t="str">
        <f>IFERROR(__xludf.DUMMYFUNCTION("IF('From Order'!$A798=COLUMNS($A798:B817), LEFT(INDEX(FILTER(B$1:B797, B$1:B797&lt;&gt;""""),COUNTA(FILTER(B$1:B797, B$1:B797&lt;&gt;""""))), LEN(INDEX(FILTER(B$1:B797, B$1:B797&lt;&gt;""""),COUNTA(FILTER(B$1:B797, B$1:B797&lt;&gt;""""))))-1), IF('To Order'!$A798=COLUMNS($A798:B"&amp;"817), B797&amp;RIGHT(INDIRECT(ADDRESS(ROW(B798)-1, 'From Order'!$A798)), 1), B797))"),"JZRDCJTT")</f>
        <v>JZRDCJTT</v>
      </c>
      <c r="C798" s="2" t="str">
        <f>IFERROR(__xludf.DUMMYFUNCTION("IF('From Order'!$A798=COLUMNS($A798:C817), LEFT(INDEX(FILTER(C$1:C797, C$1:C797&lt;&gt;""""),COUNTA(FILTER(C$1:C797, C$1:C797&lt;&gt;""""))), LEN(INDEX(FILTER(C$1:C797, C$1:C797&lt;&gt;""""),COUNTA(FILTER(C$1:C797, C$1:C797&lt;&gt;""""))))-1), IF('To Order'!$A798=COLUMNS($A798:C"&amp;"817), C797&amp;RIGHT(INDIRECT(ADDRESS(ROW(C798)-1, 'From Order'!$A798)), 1), C797))"),"LBSGDTLSF")</f>
        <v>LBSGDTLSF</v>
      </c>
      <c r="D798" s="2" t="str">
        <f>IFERROR(__xludf.DUMMYFUNCTION("IF('From Order'!$A798=COLUMNS($A798:D817), LEFT(INDEX(FILTER(D$1:D797, D$1:D797&lt;&gt;""""),COUNTA(FILTER(D$1:D797, D$1:D797&lt;&gt;""""))), LEN(INDEX(FILTER(D$1:D797, D$1:D797&lt;&gt;""""),COUNTA(FILTER(D$1:D797, D$1:D797&lt;&gt;""""))))-1), IF('To Order'!$A798=COLUMNS($A798:D"&amp;"817), D797&amp;RIGHT(INDIRECT(ADDRESS(ROW(D798)-1, 'From Order'!$A798)), 1), D797))"),"TMZM")</f>
        <v>TMZM</v>
      </c>
      <c r="E798" s="2" t="str">
        <f>IFERROR(__xludf.DUMMYFUNCTION("IF('From Order'!$A798=COLUMNS($A798:E817), LEFT(INDEX(FILTER(E$1:E797, E$1:E797&lt;&gt;""""),COUNTA(FILTER(E$1:E797, E$1:E797&lt;&gt;""""))), LEN(INDEX(FILTER(E$1:E797, E$1:E797&lt;&gt;""""),COUNTA(FILTER(E$1:E797, E$1:E797&lt;&gt;""""))))-1), IF('To Order'!$A798=COLUMNS($A798:E"&amp;"817), E797&amp;RIGHT(INDIRECT(ADDRESS(ROW(E798)-1, 'From Order'!$A798)), 1), E797))"),"PVJCVRZHMFBB")</f>
        <v>PVJCVRZHMFBB</v>
      </c>
      <c r="F798" s="2" t="str">
        <f>IFERROR(__xludf.DUMMYFUNCTION("IF('From Order'!$A798=COLUMNS($A798:F817), LEFT(INDEX(FILTER(F$1:F797, F$1:F797&lt;&gt;""""),COUNTA(FILTER(F$1:F797, F$1:F797&lt;&gt;""""))), LEN(INDEX(FILTER(F$1:F797, F$1:F797&lt;&gt;""""),COUNTA(FILTER(F$1:F797, F$1:F797&lt;&gt;""""))))-1), IF('To Order'!$A798=COLUMNS($A798:F"&amp;"817), F797&amp;RIGHT(INDIRECT(ADDRESS(ROW(F798)-1, 'From Order'!$A798)), 1), F797))"),"")</f>
        <v/>
      </c>
      <c r="G798" s="2" t="str">
        <f>IFERROR(__xludf.DUMMYFUNCTION("IF('From Order'!$A798=COLUMNS($A798:G817), LEFT(INDEX(FILTER(G$1:G797, G$1:G797&lt;&gt;""""),COUNTA(FILTER(G$1:G797, G$1:G797&lt;&gt;""""))), LEN(INDEX(FILTER(G$1:G797, G$1:G797&lt;&gt;""""),COUNTA(FILTER(G$1:G797, G$1:G797&lt;&gt;""""))))-1), IF('To Order'!$A798=COLUMNS($A798:G"&amp;"817), G797&amp;RIGHT(INDIRECT(ADDRESS(ROW(G798)-1, 'From Order'!$A798)), 1), G797))"),"DTRLRQPDSSGHWQPBCVDRWTD")</f>
        <v>DTRLRQPDSSGHWQPBCVDRWTD</v>
      </c>
      <c r="H798" s="2" t="str">
        <f>IFERROR(__xludf.DUMMYFUNCTION("IF('From Order'!$A798=COLUMNS($A798:H817), LEFT(INDEX(FILTER(H$1:H797, H$1:H797&lt;&gt;""""),COUNTA(FILTER(H$1:H797, H$1:H797&lt;&gt;""""))), LEN(INDEX(FILTER(H$1:H797, H$1:H797&lt;&gt;""""),COUNTA(FILTER(H$1:H797, H$1:H797&lt;&gt;""""))))-1), IF('To Order'!$A798=COLUMNS($A798:H"&amp;"817), H797&amp;RIGHT(INDIRECT(ADDRESS(ROW(H798)-1, 'From Order'!$A798)), 1), H797))"),"")</f>
        <v/>
      </c>
      <c r="I798" s="2" t="str">
        <f>IFERROR(__xludf.DUMMYFUNCTION("IF('From Order'!$A798=COLUMNS($A798:I817), LEFT(INDEX(FILTER(I$1:I797, I$1:I797&lt;&gt;""""),COUNTA(FILTER(I$1:I797, I$1:I797&lt;&gt;""""))), LEN(INDEX(FILTER(I$1:I797, I$1:I797&lt;&gt;""""),COUNTA(FILTER(I$1:I797, I$1:I797&lt;&gt;""""))))-1), IF('To Order'!$A798=COLUMNS($A798:I"&amp;"817), I797&amp;RIGHT(INDIRECT(ADDRESS(ROW(I798)-1, 'From Order'!$A798)), 1), I797))"),"")</f>
        <v/>
      </c>
    </row>
    <row r="799">
      <c r="A799" s="2" t="str">
        <f>IFERROR(__xludf.DUMMYFUNCTION("IF('From Order'!$A799=COLUMNS($A799:A818), LEFT(INDEX(FILTER(A$1:A798, A$1:A798&lt;&gt;""""),COUNTA(FILTER(A$1:A798, A$1:A798&lt;&gt;""""))), LEN(INDEX(FILTER(A$1:A798, A$1:A798&lt;&gt;""""),COUNTA(FILTER(A$1:A798, A$1:A798&lt;&gt;""""))))-1), IF('To Order'!$A799=COLUMNS($A799:A"&amp;"818), A798&amp;RIGHT(INDIRECT(ADDRESS(ROW(A799)-1, 'From Order'!$A799)), 1), A798))"),"")</f>
        <v/>
      </c>
      <c r="B799" s="2" t="str">
        <f>IFERROR(__xludf.DUMMYFUNCTION("IF('From Order'!$A799=COLUMNS($A799:B818), LEFT(INDEX(FILTER(B$1:B798, B$1:B798&lt;&gt;""""),COUNTA(FILTER(B$1:B798, B$1:B798&lt;&gt;""""))), LEN(INDEX(FILTER(B$1:B798, B$1:B798&lt;&gt;""""),COUNTA(FILTER(B$1:B798, B$1:B798&lt;&gt;""""))))-1), IF('To Order'!$A799=COLUMNS($A799:B"&amp;"818), B798&amp;RIGHT(INDIRECT(ADDRESS(ROW(B799)-1, 'From Order'!$A799)), 1), B798))"),"JZRDCJTT")</f>
        <v>JZRDCJTT</v>
      </c>
      <c r="C799" s="2" t="str">
        <f>IFERROR(__xludf.DUMMYFUNCTION("IF('From Order'!$A799=COLUMNS($A799:C818), LEFT(INDEX(FILTER(C$1:C798, C$1:C798&lt;&gt;""""),COUNTA(FILTER(C$1:C798, C$1:C798&lt;&gt;""""))), LEN(INDEX(FILTER(C$1:C798, C$1:C798&lt;&gt;""""),COUNTA(FILTER(C$1:C798, C$1:C798&lt;&gt;""""))))-1), IF('To Order'!$A799=COLUMNS($A799:C"&amp;"818), C798&amp;RIGHT(INDIRECT(ADDRESS(ROW(C799)-1, 'From Order'!$A799)), 1), C798))"),"LBSGDTLS")</f>
        <v>LBSGDTLS</v>
      </c>
      <c r="D799" s="2" t="str">
        <f>IFERROR(__xludf.DUMMYFUNCTION("IF('From Order'!$A799=COLUMNS($A799:D818), LEFT(INDEX(FILTER(D$1:D798, D$1:D798&lt;&gt;""""),COUNTA(FILTER(D$1:D798, D$1:D798&lt;&gt;""""))), LEN(INDEX(FILTER(D$1:D798, D$1:D798&lt;&gt;""""),COUNTA(FILTER(D$1:D798, D$1:D798&lt;&gt;""""))))-1), IF('To Order'!$A799=COLUMNS($A799:D"&amp;"818), D798&amp;RIGHT(INDIRECT(ADDRESS(ROW(D799)-1, 'From Order'!$A799)), 1), D798))"),"TMZM")</f>
        <v>TMZM</v>
      </c>
      <c r="E799" s="2" t="str">
        <f>IFERROR(__xludf.DUMMYFUNCTION("IF('From Order'!$A799=COLUMNS($A799:E818), LEFT(INDEX(FILTER(E$1:E798, E$1:E798&lt;&gt;""""),COUNTA(FILTER(E$1:E798, E$1:E798&lt;&gt;""""))), LEN(INDEX(FILTER(E$1:E798, E$1:E798&lt;&gt;""""),COUNTA(FILTER(E$1:E798, E$1:E798&lt;&gt;""""))))-1), IF('To Order'!$A799=COLUMNS($A799:E"&amp;"818), E798&amp;RIGHT(INDIRECT(ADDRESS(ROW(E799)-1, 'From Order'!$A799)), 1), E798))"),"PVJCVRZHMFBB")</f>
        <v>PVJCVRZHMFBB</v>
      </c>
      <c r="F799" s="2" t="str">
        <f>IFERROR(__xludf.DUMMYFUNCTION("IF('From Order'!$A799=COLUMNS($A799:F818), LEFT(INDEX(FILTER(F$1:F798, F$1:F798&lt;&gt;""""),COUNTA(FILTER(F$1:F798, F$1:F798&lt;&gt;""""))), LEN(INDEX(FILTER(F$1:F798, F$1:F798&lt;&gt;""""),COUNTA(FILTER(F$1:F798, F$1:F798&lt;&gt;""""))))-1), IF('To Order'!$A799=COLUMNS($A799:F"&amp;"818), F798&amp;RIGHT(INDIRECT(ADDRESS(ROW(F799)-1, 'From Order'!$A799)), 1), F798))"),"F")</f>
        <v>F</v>
      </c>
      <c r="G799" s="2" t="str">
        <f>IFERROR(__xludf.DUMMYFUNCTION("IF('From Order'!$A799=COLUMNS($A799:G818), LEFT(INDEX(FILTER(G$1:G798, G$1:G798&lt;&gt;""""),COUNTA(FILTER(G$1:G798, G$1:G798&lt;&gt;""""))), LEN(INDEX(FILTER(G$1:G798, G$1:G798&lt;&gt;""""),COUNTA(FILTER(G$1:G798, G$1:G798&lt;&gt;""""))))-1), IF('To Order'!$A799=COLUMNS($A799:G"&amp;"818), G798&amp;RIGHT(INDIRECT(ADDRESS(ROW(G799)-1, 'From Order'!$A799)), 1), G798))"),"DTRLRQPDSSGHWQPBCVDRWTD")</f>
        <v>DTRLRQPDSSGHWQPBCVDRWTD</v>
      </c>
      <c r="H799" s="2" t="str">
        <f>IFERROR(__xludf.DUMMYFUNCTION("IF('From Order'!$A799=COLUMNS($A799:H818), LEFT(INDEX(FILTER(H$1:H798, H$1:H798&lt;&gt;""""),COUNTA(FILTER(H$1:H798, H$1:H798&lt;&gt;""""))), LEN(INDEX(FILTER(H$1:H798, H$1:H798&lt;&gt;""""),COUNTA(FILTER(H$1:H798, H$1:H798&lt;&gt;""""))))-1), IF('To Order'!$A799=COLUMNS($A799:H"&amp;"818), H798&amp;RIGHT(INDIRECT(ADDRESS(ROW(H799)-1, 'From Order'!$A799)), 1), H798))"),"")</f>
        <v/>
      </c>
      <c r="I799" s="2" t="str">
        <f>IFERROR(__xludf.DUMMYFUNCTION("IF('From Order'!$A799=COLUMNS($A799:I818), LEFT(INDEX(FILTER(I$1:I798, I$1:I798&lt;&gt;""""),COUNTA(FILTER(I$1:I798, I$1:I798&lt;&gt;""""))), LEN(INDEX(FILTER(I$1:I798, I$1:I798&lt;&gt;""""),COUNTA(FILTER(I$1:I798, I$1:I798&lt;&gt;""""))))-1), IF('To Order'!$A799=COLUMNS($A799:I"&amp;"818), I798&amp;RIGHT(INDIRECT(ADDRESS(ROW(I799)-1, 'From Order'!$A799)), 1), I798))"),"")</f>
        <v/>
      </c>
    </row>
    <row r="800">
      <c r="A800" s="2" t="str">
        <f>IFERROR(__xludf.DUMMYFUNCTION("IF('From Order'!$A800=COLUMNS($A800:A819), LEFT(INDEX(FILTER(A$1:A799, A$1:A799&lt;&gt;""""),COUNTA(FILTER(A$1:A799, A$1:A799&lt;&gt;""""))), LEN(INDEX(FILTER(A$1:A799, A$1:A799&lt;&gt;""""),COUNTA(FILTER(A$1:A799, A$1:A799&lt;&gt;""""))))-1), IF('To Order'!$A800=COLUMNS($A800:A"&amp;"819), A799&amp;RIGHT(INDIRECT(ADDRESS(ROW(A800)-1, 'From Order'!$A800)), 1), A799))"),"")</f>
        <v/>
      </c>
      <c r="B800" s="2" t="str">
        <f>IFERROR(__xludf.DUMMYFUNCTION("IF('From Order'!$A800=COLUMNS($A800:B819), LEFT(INDEX(FILTER(B$1:B799, B$1:B799&lt;&gt;""""),COUNTA(FILTER(B$1:B799, B$1:B799&lt;&gt;""""))), LEN(INDEX(FILTER(B$1:B799, B$1:B799&lt;&gt;""""),COUNTA(FILTER(B$1:B799, B$1:B799&lt;&gt;""""))))-1), IF('To Order'!$A800=COLUMNS($A800:B"&amp;"819), B799&amp;RIGHT(INDIRECT(ADDRESS(ROW(B800)-1, 'From Order'!$A800)), 1), B799))"),"JZRDCJTT")</f>
        <v>JZRDCJTT</v>
      </c>
      <c r="C800" s="2" t="str">
        <f>IFERROR(__xludf.DUMMYFUNCTION("IF('From Order'!$A800=COLUMNS($A800:C819), LEFT(INDEX(FILTER(C$1:C799, C$1:C799&lt;&gt;""""),COUNTA(FILTER(C$1:C799, C$1:C799&lt;&gt;""""))), LEN(INDEX(FILTER(C$1:C799, C$1:C799&lt;&gt;""""),COUNTA(FILTER(C$1:C799, C$1:C799&lt;&gt;""""))))-1), IF('To Order'!$A800=COLUMNS($A800:C"&amp;"819), C799&amp;RIGHT(INDIRECT(ADDRESS(ROW(C800)-1, 'From Order'!$A800)), 1), C799))"),"LBSGDTL")</f>
        <v>LBSGDTL</v>
      </c>
      <c r="D800" s="2" t="str">
        <f>IFERROR(__xludf.DUMMYFUNCTION("IF('From Order'!$A800=COLUMNS($A800:D819), LEFT(INDEX(FILTER(D$1:D799, D$1:D799&lt;&gt;""""),COUNTA(FILTER(D$1:D799, D$1:D799&lt;&gt;""""))), LEN(INDEX(FILTER(D$1:D799, D$1:D799&lt;&gt;""""),COUNTA(FILTER(D$1:D799, D$1:D799&lt;&gt;""""))))-1), IF('To Order'!$A800=COLUMNS($A800:D"&amp;"819), D799&amp;RIGHT(INDIRECT(ADDRESS(ROW(D800)-1, 'From Order'!$A800)), 1), D799))"),"TMZM")</f>
        <v>TMZM</v>
      </c>
      <c r="E800" s="2" t="str">
        <f>IFERROR(__xludf.DUMMYFUNCTION("IF('From Order'!$A800=COLUMNS($A800:E819), LEFT(INDEX(FILTER(E$1:E799, E$1:E799&lt;&gt;""""),COUNTA(FILTER(E$1:E799, E$1:E799&lt;&gt;""""))), LEN(INDEX(FILTER(E$1:E799, E$1:E799&lt;&gt;""""),COUNTA(FILTER(E$1:E799, E$1:E799&lt;&gt;""""))))-1), IF('To Order'!$A800=COLUMNS($A800:E"&amp;"819), E799&amp;RIGHT(INDIRECT(ADDRESS(ROW(E800)-1, 'From Order'!$A800)), 1), E799))"),"PVJCVRZHMFBB")</f>
        <v>PVJCVRZHMFBB</v>
      </c>
      <c r="F800" s="2" t="str">
        <f>IFERROR(__xludf.DUMMYFUNCTION("IF('From Order'!$A800=COLUMNS($A800:F819), LEFT(INDEX(FILTER(F$1:F799, F$1:F799&lt;&gt;""""),COUNTA(FILTER(F$1:F799, F$1:F799&lt;&gt;""""))), LEN(INDEX(FILTER(F$1:F799, F$1:F799&lt;&gt;""""),COUNTA(FILTER(F$1:F799, F$1:F799&lt;&gt;""""))))-1), IF('To Order'!$A800=COLUMNS($A800:F"&amp;"819), F799&amp;RIGHT(INDIRECT(ADDRESS(ROW(F800)-1, 'From Order'!$A800)), 1), F799))"),"FS")</f>
        <v>FS</v>
      </c>
      <c r="G800" s="2" t="str">
        <f>IFERROR(__xludf.DUMMYFUNCTION("IF('From Order'!$A800=COLUMNS($A800:G819), LEFT(INDEX(FILTER(G$1:G799, G$1:G799&lt;&gt;""""),COUNTA(FILTER(G$1:G799, G$1:G799&lt;&gt;""""))), LEN(INDEX(FILTER(G$1:G799, G$1:G799&lt;&gt;""""),COUNTA(FILTER(G$1:G799, G$1:G799&lt;&gt;""""))))-1), IF('To Order'!$A800=COLUMNS($A800:G"&amp;"819), G799&amp;RIGHT(INDIRECT(ADDRESS(ROW(G800)-1, 'From Order'!$A800)), 1), G799))"),"DTRLRQPDSSGHWQPBCVDRWTD")</f>
        <v>DTRLRQPDSSGHWQPBCVDRWTD</v>
      </c>
      <c r="H800" s="2" t="str">
        <f>IFERROR(__xludf.DUMMYFUNCTION("IF('From Order'!$A800=COLUMNS($A800:H819), LEFT(INDEX(FILTER(H$1:H799, H$1:H799&lt;&gt;""""),COUNTA(FILTER(H$1:H799, H$1:H799&lt;&gt;""""))), LEN(INDEX(FILTER(H$1:H799, H$1:H799&lt;&gt;""""),COUNTA(FILTER(H$1:H799, H$1:H799&lt;&gt;""""))))-1), IF('To Order'!$A800=COLUMNS($A800:H"&amp;"819), H799&amp;RIGHT(INDIRECT(ADDRESS(ROW(H800)-1, 'From Order'!$A800)), 1), H799))"),"")</f>
        <v/>
      </c>
      <c r="I800" s="2" t="str">
        <f>IFERROR(__xludf.DUMMYFUNCTION("IF('From Order'!$A800=COLUMNS($A800:I819), LEFT(INDEX(FILTER(I$1:I799, I$1:I799&lt;&gt;""""),COUNTA(FILTER(I$1:I799, I$1:I799&lt;&gt;""""))), LEN(INDEX(FILTER(I$1:I799, I$1:I799&lt;&gt;""""),COUNTA(FILTER(I$1:I799, I$1:I799&lt;&gt;""""))))-1), IF('To Order'!$A800=COLUMNS($A800:I"&amp;"819), I799&amp;RIGHT(INDIRECT(ADDRESS(ROW(I800)-1, 'From Order'!$A800)), 1), I799))"),"")</f>
        <v/>
      </c>
    </row>
    <row r="801">
      <c r="A801" s="2" t="str">
        <f>IFERROR(__xludf.DUMMYFUNCTION("IF('From Order'!$A801=COLUMNS($A801:A820), LEFT(INDEX(FILTER(A$1:A800, A$1:A800&lt;&gt;""""),COUNTA(FILTER(A$1:A800, A$1:A800&lt;&gt;""""))), LEN(INDEX(FILTER(A$1:A800, A$1:A800&lt;&gt;""""),COUNTA(FILTER(A$1:A800, A$1:A800&lt;&gt;""""))))-1), IF('To Order'!$A801=COLUMNS($A801:A"&amp;"820), A800&amp;RIGHT(INDIRECT(ADDRESS(ROW(A801)-1, 'From Order'!$A801)), 1), A800))"),"")</f>
        <v/>
      </c>
      <c r="B801" s="2" t="str">
        <f>IFERROR(__xludf.DUMMYFUNCTION("IF('From Order'!$A801=COLUMNS($A801:B820), LEFT(INDEX(FILTER(B$1:B800, B$1:B800&lt;&gt;""""),COUNTA(FILTER(B$1:B800, B$1:B800&lt;&gt;""""))), LEN(INDEX(FILTER(B$1:B800, B$1:B800&lt;&gt;""""),COUNTA(FILTER(B$1:B800, B$1:B800&lt;&gt;""""))))-1), IF('To Order'!$A801=COLUMNS($A801:B"&amp;"820), B800&amp;RIGHT(INDIRECT(ADDRESS(ROW(B801)-1, 'From Order'!$A801)), 1), B800))"),"JZRDCJTT")</f>
        <v>JZRDCJTT</v>
      </c>
      <c r="C801" s="2" t="str">
        <f>IFERROR(__xludf.DUMMYFUNCTION("IF('From Order'!$A801=COLUMNS($A801:C820), LEFT(INDEX(FILTER(C$1:C800, C$1:C800&lt;&gt;""""),COUNTA(FILTER(C$1:C800, C$1:C800&lt;&gt;""""))), LEN(INDEX(FILTER(C$1:C800, C$1:C800&lt;&gt;""""),COUNTA(FILTER(C$1:C800, C$1:C800&lt;&gt;""""))))-1), IF('To Order'!$A801=COLUMNS($A801:C"&amp;"820), C800&amp;RIGHT(INDIRECT(ADDRESS(ROW(C801)-1, 'From Order'!$A801)), 1), C800))"),"LBSGDT")</f>
        <v>LBSGDT</v>
      </c>
      <c r="D801" s="2" t="str">
        <f>IFERROR(__xludf.DUMMYFUNCTION("IF('From Order'!$A801=COLUMNS($A801:D820), LEFT(INDEX(FILTER(D$1:D800, D$1:D800&lt;&gt;""""),COUNTA(FILTER(D$1:D800, D$1:D800&lt;&gt;""""))), LEN(INDEX(FILTER(D$1:D800, D$1:D800&lt;&gt;""""),COUNTA(FILTER(D$1:D800, D$1:D800&lt;&gt;""""))))-1), IF('To Order'!$A801=COLUMNS($A801:D"&amp;"820), D800&amp;RIGHT(INDIRECT(ADDRESS(ROW(D801)-1, 'From Order'!$A801)), 1), D800))"),"TMZM")</f>
        <v>TMZM</v>
      </c>
      <c r="E801" s="2" t="str">
        <f>IFERROR(__xludf.DUMMYFUNCTION("IF('From Order'!$A801=COLUMNS($A801:E820), LEFT(INDEX(FILTER(E$1:E800, E$1:E800&lt;&gt;""""),COUNTA(FILTER(E$1:E800, E$1:E800&lt;&gt;""""))), LEN(INDEX(FILTER(E$1:E800, E$1:E800&lt;&gt;""""),COUNTA(FILTER(E$1:E800, E$1:E800&lt;&gt;""""))))-1), IF('To Order'!$A801=COLUMNS($A801:E"&amp;"820), E800&amp;RIGHT(INDIRECT(ADDRESS(ROW(E801)-1, 'From Order'!$A801)), 1), E800))"),"PVJCVRZHMFBB")</f>
        <v>PVJCVRZHMFBB</v>
      </c>
      <c r="F801" s="2" t="str">
        <f>IFERROR(__xludf.DUMMYFUNCTION("IF('From Order'!$A801=COLUMNS($A801:F820), LEFT(INDEX(FILTER(F$1:F800, F$1:F800&lt;&gt;""""),COUNTA(FILTER(F$1:F800, F$1:F800&lt;&gt;""""))), LEN(INDEX(FILTER(F$1:F800, F$1:F800&lt;&gt;""""),COUNTA(FILTER(F$1:F800, F$1:F800&lt;&gt;""""))))-1), IF('To Order'!$A801=COLUMNS($A801:F"&amp;"820), F800&amp;RIGHT(INDIRECT(ADDRESS(ROW(F801)-1, 'From Order'!$A801)), 1), F800))"),"FSL")</f>
        <v>FSL</v>
      </c>
      <c r="G801" s="2" t="str">
        <f>IFERROR(__xludf.DUMMYFUNCTION("IF('From Order'!$A801=COLUMNS($A801:G820), LEFT(INDEX(FILTER(G$1:G800, G$1:G800&lt;&gt;""""),COUNTA(FILTER(G$1:G800, G$1:G800&lt;&gt;""""))), LEN(INDEX(FILTER(G$1:G800, G$1:G800&lt;&gt;""""),COUNTA(FILTER(G$1:G800, G$1:G800&lt;&gt;""""))))-1), IF('To Order'!$A801=COLUMNS($A801:G"&amp;"820), G800&amp;RIGHT(INDIRECT(ADDRESS(ROW(G801)-1, 'From Order'!$A801)), 1), G800))"),"DTRLRQPDSSGHWQPBCVDRWTD")</f>
        <v>DTRLRQPDSSGHWQPBCVDRWTD</v>
      </c>
      <c r="H801" s="2" t="str">
        <f>IFERROR(__xludf.DUMMYFUNCTION("IF('From Order'!$A801=COLUMNS($A801:H820), LEFT(INDEX(FILTER(H$1:H800, H$1:H800&lt;&gt;""""),COUNTA(FILTER(H$1:H800, H$1:H800&lt;&gt;""""))), LEN(INDEX(FILTER(H$1:H800, H$1:H800&lt;&gt;""""),COUNTA(FILTER(H$1:H800, H$1:H800&lt;&gt;""""))))-1), IF('To Order'!$A801=COLUMNS($A801:H"&amp;"820), H800&amp;RIGHT(INDIRECT(ADDRESS(ROW(H801)-1, 'From Order'!$A801)), 1), H800))"),"")</f>
        <v/>
      </c>
      <c r="I801" s="2" t="str">
        <f>IFERROR(__xludf.DUMMYFUNCTION("IF('From Order'!$A801=COLUMNS($A801:I820), LEFT(INDEX(FILTER(I$1:I800, I$1:I800&lt;&gt;""""),COUNTA(FILTER(I$1:I800, I$1:I800&lt;&gt;""""))), LEN(INDEX(FILTER(I$1:I800, I$1:I800&lt;&gt;""""),COUNTA(FILTER(I$1:I800, I$1:I800&lt;&gt;""""))))-1), IF('To Order'!$A801=COLUMNS($A801:I"&amp;"820), I800&amp;RIGHT(INDIRECT(ADDRESS(ROW(I801)-1, 'From Order'!$A801)), 1), I800))"),"")</f>
        <v/>
      </c>
    </row>
    <row r="802">
      <c r="A802" s="2" t="str">
        <f>IFERROR(__xludf.DUMMYFUNCTION("IF('From Order'!$A802=COLUMNS($A802:A821), LEFT(INDEX(FILTER(A$1:A801, A$1:A801&lt;&gt;""""),COUNTA(FILTER(A$1:A801, A$1:A801&lt;&gt;""""))), LEN(INDEX(FILTER(A$1:A801, A$1:A801&lt;&gt;""""),COUNTA(FILTER(A$1:A801, A$1:A801&lt;&gt;""""))))-1), IF('To Order'!$A802=COLUMNS($A802:A"&amp;"821), A801&amp;RIGHT(INDIRECT(ADDRESS(ROW(A802)-1, 'From Order'!$A802)), 1), A801))"),"")</f>
        <v/>
      </c>
      <c r="B802" s="2" t="str">
        <f>IFERROR(__xludf.DUMMYFUNCTION("IF('From Order'!$A802=COLUMNS($A802:B821), LEFT(INDEX(FILTER(B$1:B801, B$1:B801&lt;&gt;""""),COUNTA(FILTER(B$1:B801, B$1:B801&lt;&gt;""""))), LEN(INDEX(FILTER(B$1:B801, B$1:B801&lt;&gt;""""),COUNTA(FILTER(B$1:B801, B$1:B801&lt;&gt;""""))))-1), IF('To Order'!$A802=COLUMNS($A802:B"&amp;"821), B801&amp;RIGHT(INDIRECT(ADDRESS(ROW(B802)-1, 'From Order'!$A802)), 1), B801))"),"JZRDCJTT")</f>
        <v>JZRDCJTT</v>
      </c>
      <c r="C802" s="2" t="str">
        <f>IFERROR(__xludf.DUMMYFUNCTION("IF('From Order'!$A802=COLUMNS($A802:C821), LEFT(INDEX(FILTER(C$1:C801, C$1:C801&lt;&gt;""""),COUNTA(FILTER(C$1:C801, C$1:C801&lt;&gt;""""))), LEN(INDEX(FILTER(C$1:C801, C$1:C801&lt;&gt;""""),COUNTA(FILTER(C$1:C801, C$1:C801&lt;&gt;""""))))-1), IF('To Order'!$A802=COLUMNS($A802:C"&amp;"821), C801&amp;RIGHT(INDIRECT(ADDRESS(ROW(C802)-1, 'From Order'!$A802)), 1), C801))"),"LBSGD")</f>
        <v>LBSGD</v>
      </c>
      <c r="D802" s="2" t="str">
        <f>IFERROR(__xludf.DUMMYFUNCTION("IF('From Order'!$A802=COLUMNS($A802:D821), LEFT(INDEX(FILTER(D$1:D801, D$1:D801&lt;&gt;""""),COUNTA(FILTER(D$1:D801, D$1:D801&lt;&gt;""""))), LEN(INDEX(FILTER(D$1:D801, D$1:D801&lt;&gt;""""),COUNTA(FILTER(D$1:D801, D$1:D801&lt;&gt;""""))))-1), IF('To Order'!$A802=COLUMNS($A802:D"&amp;"821), D801&amp;RIGHT(INDIRECT(ADDRESS(ROW(D802)-1, 'From Order'!$A802)), 1), D801))"),"TMZM")</f>
        <v>TMZM</v>
      </c>
      <c r="E802" s="2" t="str">
        <f>IFERROR(__xludf.DUMMYFUNCTION("IF('From Order'!$A802=COLUMNS($A802:E821), LEFT(INDEX(FILTER(E$1:E801, E$1:E801&lt;&gt;""""),COUNTA(FILTER(E$1:E801, E$1:E801&lt;&gt;""""))), LEN(INDEX(FILTER(E$1:E801, E$1:E801&lt;&gt;""""),COUNTA(FILTER(E$1:E801, E$1:E801&lt;&gt;""""))))-1), IF('To Order'!$A802=COLUMNS($A802:E"&amp;"821), E801&amp;RIGHT(INDIRECT(ADDRESS(ROW(E802)-1, 'From Order'!$A802)), 1), E801))"),"PVJCVRZHMFBB")</f>
        <v>PVJCVRZHMFBB</v>
      </c>
      <c r="F802" s="2" t="str">
        <f>IFERROR(__xludf.DUMMYFUNCTION("IF('From Order'!$A802=COLUMNS($A802:F821), LEFT(INDEX(FILTER(F$1:F801, F$1:F801&lt;&gt;""""),COUNTA(FILTER(F$1:F801, F$1:F801&lt;&gt;""""))), LEN(INDEX(FILTER(F$1:F801, F$1:F801&lt;&gt;""""),COUNTA(FILTER(F$1:F801, F$1:F801&lt;&gt;""""))))-1), IF('To Order'!$A802=COLUMNS($A802:F"&amp;"821), F801&amp;RIGHT(INDIRECT(ADDRESS(ROW(F802)-1, 'From Order'!$A802)), 1), F801))"),"FSLT")</f>
        <v>FSLT</v>
      </c>
      <c r="G802" s="2" t="str">
        <f>IFERROR(__xludf.DUMMYFUNCTION("IF('From Order'!$A802=COLUMNS($A802:G821), LEFT(INDEX(FILTER(G$1:G801, G$1:G801&lt;&gt;""""),COUNTA(FILTER(G$1:G801, G$1:G801&lt;&gt;""""))), LEN(INDEX(FILTER(G$1:G801, G$1:G801&lt;&gt;""""),COUNTA(FILTER(G$1:G801, G$1:G801&lt;&gt;""""))))-1), IF('To Order'!$A802=COLUMNS($A802:G"&amp;"821), G801&amp;RIGHT(INDIRECT(ADDRESS(ROW(G802)-1, 'From Order'!$A802)), 1), G801))"),"DTRLRQPDSSGHWQPBCVDRWTD")</f>
        <v>DTRLRQPDSSGHWQPBCVDRWTD</v>
      </c>
      <c r="H802" s="2" t="str">
        <f>IFERROR(__xludf.DUMMYFUNCTION("IF('From Order'!$A802=COLUMNS($A802:H821), LEFT(INDEX(FILTER(H$1:H801, H$1:H801&lt;&gt;""""),COUNTA(FILTER(H$1:H801, H$1:H801&lt;&gt;""""))), LEN(INDEX(FILTER(H$1:H801, H$1:H801&lt;&gt;""""),COUNTA(FILTER(H$1:H801, H$1:H801&lt;&gt;""""))))-1), IF('To Order'!$A802=COLUMNS($A802:H"&amp;"821), H801&amp;RIGHT(INDIRECT(ADDRESS(ROW(H802)-1, 'From Order'!$A802)), 1), H801))"),"")</f>
        <v/>
      </c>
      <c r="I802" s="2" t="str">
        <f>IFERROR(__xludf.DUMMYFUNCTION("IF('From Order'!$A802=COLUMNS($A802:I821), LEFT(INDEX(FILTER(I$1:I801, I$1:I801&lt;&gt;""""),COUNTA(FILTER(I$1:I801, I$1:I801&lt;&gt;""""))), LEN(INDEX(FILTER(I$1:I801, I$1:I801&lt;&gt;""""),COUNTA(FILTER(I$1:I801, I$1:I801&lt;&gt;""""))))-1), IF('To Order'!$A802=COLUMNS($A802:I"&amp;"821), I801&amp;RIGHT(INDIRECT(ADDRESS(ROW(I802)-1, 'From Order'!$A802)), 1), I801))"),"")</f>
        <v/>
      </c>
    </row>
    <row r="803">
      <c r="A803" s="2" t="str">
        <f>IFERROR(__xludf.DUMMYFUNCTION("IF('From Order'!$A803=COLUMNS($A803:A822), LEFT(INDEX(FILTER(A$1:A802, A$1:A802&lt;&gt;""""),COUNTA(FILTER(A$1:A802, A$1:A802&lt;&gt;""""))), LEN(INDEX(FILTER(A$1:A802, A$1:A802&lt;&gt;""""),COUNTA(FILTER(A$1:A802, A$1:A802&lt;&gt;""""))))-1), IF('To Order'!$A803=COLUMNS($A803:A"&amp;"822), A802&amp;RIGHT(INDIRECT(ADDRESS(ROW(A803)-1, 'From Order'!$A803)), 1), A802))"),"D")</f>
        <v>D</v>
      </c>
      <c r="B803" s="2" t="str">
        <f>IFERROR(__xludf.DUMMYFUNCTION("IF('From Order'!$A803=COLUMNS($A803:B822), LEFT(INDEX(FILTER(B$1:B802, B$1:B802&lt;&gt;""""),COUNTA(FILTER(B$1:B802, B$1:B802&lt;&gt;""""))), LEN(INDEX(FILTER(B$1:B802, B$1:B802&lt;&gt;""""),COUNTA(FILTER(B$1:B802, B$1:B802&lt;&gt;""""))))-1), IF('To Order'!$A803=COLUMNS($A803:B"&amp;"822), B802&amp;RIGHT(INDIRECT(ADDRESS(ROW(B803)-1, 'From Order'!$A803)), 1), B802))"),"JZRDCJTT")</f>
        <v>JZRDCJTT</v>
      </c>
      <c r="C803" s="2" t="str">
        <f>IFERROR(__xludf.DUMMYFUNCTION("IF('From Order'!$A803=COLUMNS($A803:C822), LEFT(INDEX(FILTER(C$1:C802, C$1:C802&lt;&gt;""""),COUNTA(FILTER(C$1:C802, C$1:C802&lt;&gt;""""))), LEN(INDEX(FILTER(C$1:C802, C$1:C802&lt;&gt;""""),COUNTA(FILTER(C$1:C802, C$1:C802&lt;&gt;""""))))-1), IF('To Order'!$A803=COLUMNS($A803:C"&amp;"822), C802&amp;RIGHT(INDIRECT(ADDRESS(ROW(C803)-1, 'From Order'!$A803)), 1), C802))"),"LBSGD")</f>
        <v>LBSGD</v>
      </c>
      <c r="D803" s="2" t="str">
        <f>IFERROR(__xludf.DUMMYFUNCTION("IF('From Order'!$A803=COLUMNS($A803:D822), LEFT(INDEX(FILTER(D$1:D802, D$1:D802&lt;&gt;""""),COUNTA(FILTER(D$1:D802, D$1:D802&lt;&gt;""""))), LEN(INDEX(FILTER(D$1:D802, D$1:D802&lt;&gt;""""),COUNTA(FILTER(D$1:D802, D$1:D802&lt;&gt;""""))))-1), IF('To Order'!$A803=COLUMNS($A803:D"&amp;"822), D802&amp;RIGHT(INDIRECT(ADDRESS(ROW(D803)-1, 'From Order'!$A803)), 1), D802))"),"TMZM")</f>
        <v>TMZM</v>
      </c>
      <c r="E803" s="2" t="str">
        <f>IFERROR(__xludf.DUMMYFUNCTION("IF('From Order'!$A803=COLUMNS($A803:E822), LEFT(INDEX(FILTER(E$1:E802, E$1:E802&lt;&gt;""""),COUNTA(FILTER(E$1:E802, E$1:E802&lt;&gt;""""))), LEN(INDEX(FILTER(E$1:E802, E$1:E802&lt;&gt;""""),COUNTA(FILTER(E$1:E802, E$1:E802&lt;&gt;""""))))-1), IF('To Order'!$A803=COLUMNS($A803:E"&amp;"822), E802&amp;RIGHT(INDIRECT(ADDRESS(ROW(E803)-1, 'From Order'!$A803)), 1), E802))"),"PVJCVRZHMFBB")</f>
        <v>PVJCVRZHMFBB</v>
      </c>
      <c r="F803" s="2" t="str">
        <f>IFERROR(__xludf.DUMMYFUNCTION("IF('From Order'!$A803=COLUMNS($A803:F822), LEFT(INDEX(FILTER(F$1:F802, F$1:F802&lt;&gt;""""),COUNTA(FILTER(F$1:F802, F$1:F802&lt;&gt;""""))), LEN(INDEX(FILTER(F$1:F802, F$1:F802&lt;&gt;""""),COUNTA(FILTER(F$1:F802, F$1:F802&lt;&gt;""""))))-1), IF('To Order'!$A803=COLUMNS($A803:F"&amp;"822), F802&amp;RIGHT(INDIRECT(ADDRESS(ROW(F803)-1, 'From Order'!$A803)), 1), F802))"),"FSLT")</f>
        <v>FSLT</v>
      </c>
      <c r="G803" s="2" t="str">
        <f>IFERROR(__xludf.DUMMYFUNCTION("IF('From Order'!$A803=COLUMNS($A803:G822), LEFT(INDEX(FILTER(G$1:G802, G$1:G802&lt;&gt;""""),COUNTA(FILTER(G$1:G802, G$1:G802&lt;&gt;""""))), LEN(INDEX(FILTER(G$1:G802, G$1:G802&lt;&gt;""""),COUNTA(FILTER(G$1:G802, G$1:G802&lt;&gt;""""))))-1), IF('To Order'!$A803=COLUMNS($A803:G"&amp;"822), G802&amp;RIGHT(INDIRECT(ADDRESS(ROW(G803)-1, 'From Order'!$A803)), 1), G802))"),"DTRLRQPDSSGHWQPBCVDRWT")</f>
        <v>DTRLRQPDSSGHWQPBCVDRWT</v>
      </c>
      <c r="H803" s="2" t="str">
        <f>IFERROR(__xludf.DUMMYFUNCTION("IF('From Order'!$A803=COLUMNS($A803:H822), LEFT(INDEX(FILTER(H$1:H802, H$1:H802&lt;&gt;""""),COUNTA(FILTER(H$1:H802, H$1:H802&lt;&gt;""""))), LEN(INDEX(FILTER(H$1:H802, H$1:H802&lt;&gt;""""),COUNTA(FILTER(H$1:H802, H$1:H802&lt;&gt;""""))))-1), IF('To Order'!$A803=COLUMNS($A803:H"&amp;"822), H802&amp;RIGHT(INDIRECT(ADDRESS(ROW(H803)-1, 'From Order'!$A803)), 1), H802))"),"")</f>
        <v/>
      </c>
      <c r="I803" s="2" t="str">
        <f>IFERROR(__xludf.DUMMYFUNCTION("IF('From Order'!$A803=COLUMNS($A803:I822), LEFT(INDEX(FILTER(I$1:I802, I$1:I802&lt;&gt;""""),COUNTA(FILTER(I$1:I802, I$1:I802&lt;&gt;""""))), LEN(INDEX(FILTER(I$1:I802, I$1:I802&lt;&gt;""""),COUNTA(FILTER(I$1:I802, I$1:I802&lt;&gt;""""))))-1), IF('To Order'!$A803=COLUMNS($A803:I"&amp;"822), I802&amp;RIGHT(INDIRECT(ADDRESS(ROW(I803)-1, 'From Order'!$A803)), 1), I802))"),"")</f>
        <v/>
      </c>
    </row>
    <row r="804">
      <c r="A804" s="2" t="str">
        <f>IFERROR(__xludf.DUMMYFUNCTION("IF('From Order'!$A804=COLUMNS($A804:A823), LEFT(INDEX(FILTER(A$1:A803, A$1:A803&lt;&gt;""""),COUNTA(FILTER(A$1:A803, A$1:A803&lt;&gt;""""))), LEN(INDEX(FILTER(A$1:A803, A$1:A803&lt;&gt;""""),COUNTA(FILTER(A$1:A803, A$1:A803&lt;&gt;""""))))-1), IF('To Order'!$A804=COLUMNS($A804:A"&amp;"823), A803&amp;RIGHT(INDIRECT(ADDRESS(ROW(A804)-1, 'From Order'!$A804)), 1), A803))"),"DB")</f>
        <v>DB</v>
      </c>
      <c r="B804" s="2" t="str">
        <f>IFERROR(__xludf.DUMMYFUNCTION("IF('From Order'!$A804=COLUMNS($A804:B823), LEFT(INDEX(FILTER(B$1:B803, B$1:B803&lt;&gt;""""),COUNTA(FILTER(B$1:B803, B$1:B803&lt;&gt;""""))), LEN(INDEX(FILTER(B$1:B803, B$1:B803&lt;&gt;""""),COUNTA(FILTER(B$1:B803, B$1:B803&lt;&gt;""""))))-1), IF('To Order'!$A804=COLUMNS($A804:B"&amp;"823), B803&amp;RIGHT(INDIRECT(ADDRESS(ROW(B804)-1, 'From Order'!$A804)), 1), B803))"),"JZRDCJTT")</f>
        <v>JZRDCJTT</v>
      </c>
      <c r="C804" s="2" t="str">
        <f>IFERROR(__xludf.DUMMYFUNCTION("IF('From Order'!$A804=COLUMNS($A804:C823), LEFT(INDEX(FILTER(C$1:C803, C$1:C803&lt;&gt;""""),COUNTA(FILTER(C$1:C803, C$1:C803&lt;&gt;""""))), LEN(INDEX(FILTER(C$1:C803, C$1:C803&lt;&gt;""""),COUNTA(FILTER(C$1:C803, C$1:C803&lt;&gt;""""))))-1), IF('To Order'!$A804=COLUMNS($A804:C"&amp;"823), C803&amp;RIGHT(INDIRECT(ADDRESS(ROW(C804)-1, 'From Order'!$A804)), 1), C803))"),"LBSGD")</f>
        <v>LBSGD</v>
      </c>
      <c r="D804" s="2" t="str">
        <f>IFERROR(__xludf.DUMMYFUNCTION("IF('From Order'!$A804=COLUMNS($A804:D823), LEFT(INDEX(FILTER(D$1:D803, D$1:D803&lt;&gt;""""),COUNTA(FILTER(D$1:D803, D$1:D803&lt;&gt;""""))), LEN(INDEX(FILTER(D$1:D803, D$1:D803&lt;&gt;""""),COUNTA(FILTER(D$1:D803, D$1:D803&lt;&gt;""""))))-1), IF('To Order'!$A804=COLUMNS($A804:D"&amp;"823), D803&amp;RIGHT(INDIRECT(ADDRESS(ROW(D804)-1, 'From Order'!$A804)), 1), D803))"),"TMZM")</f>
        <v>TMZM</v>
      </c>
      <c r="E804" s="2" t="str">
        <f>IFERROR(__xludf.DUMMYFUNCTION("IF('From Order'!$A804=COLUMNS($A804:E823), LEFT(INDEX(FILTER(E$1:E803, E$1:E803&lt;&gt;""""),COUNTA(FILTER(E$1:E803, E$1:E803&lt;&gt;""""))), LEN(INDEX(FILTER(E$1:E803, E$1:E803&lt;&gt;""""),COUNTA(FILTER(E$1:E803, E$1:E803&lt;&gt;""""))))-1), IF('To Order'!$A804=COLUMNS($A804:E"&amp;"823), E803&amp;RIGHT(INDIRECT(ADDRESS(ROW(E804)-1, 'From Order'!$A804)), 1), E803))"),"PVJCVRZHMFB")</f>
        <v>PVJCVRZHMFB</v>
      </c>
      <c r="F804" s="2" t="str">
        <f>IFERROR(__xludf.DUMMYFUNCTION("IF('From Order'!$A804=COLUMNS($A804:F823), LEFT(INDEX(FILTER(F$1:F803, F$1:F803&lt;&gt;""""),COUNTA(FILTER(F$1:F803, F$1:F803&lt;&gt;""""))), LEN(INDEX(FILTER(F$1:F803, F$1:F803&lt;&gt;""""),COUNTA(FILTER(F$1:F803, F$1:F803&lt;&gt;""""))))-1), IF('To Order'!$A804=COLUMNS($A804:F"&amp;"823), F803&amp;RIGHT(INDIRECT(ADDRESS(ROW(F804)-1, 'From Order'!$A804)), 1), F803))"),"FSLT")</f>
        <v>FSLT</v>
      </c>
      <c r="G804" s="2" t="str">
        <f>IFERROR(__xludf.DUMMYFUNCTION("IF('From Order'!$A804=COLUMNS($A804:G823), LEFT(INDEX(FILTER(G$1:G803, G$1:G803&lt;&gt;""""),COUNTA(FILTER(G$1:G803, G$1:G803&lt;&gt;""""))), LEN(INDEX(FILTER(G$1:G803, G$1:G803&lt;&gt;""""),COUNTA(FILTER(G$1:G803, G$1:G803&lt;&gt;""""))))-1), IF('To Order'!$A804=COLUMNS($A804:G"&amp;"823), G803&amp;RIGHT(INDIRECT(ADDRESS(ROW(G804)-1, 'From Order'!$A804)), 1), G803))"),"DTRLRQPDSSGHWQPBCVDRWT")</f>
        <v>DTRLRQPDSSGHWQPBCVDRWT</v>
      </c>
      <c r="H804" s="2" t="str">
        <f>IFERROR(__xludf.DUMMYFUNCTION("IF('From Order'!$A804=COLUMNS($A804:H823), LEFT(INDEX(FILTER(H$1:H803, H$1:H803&lt;&gt;""""),COUNTA(FILTER(H$1:H803, H$1:H803&lt;&gt;""""))), LEN(INDEX(FILTER(H$1:H803, H$1:H803&lt;&gt;""""),COUNTA(FILTER(H$1:H803, H$1:H803&lt;&gt;""""))))-1), IF('To Order'!$A804=COLUMNS($A804:H"&amp;"823), H803&amp;RIGHT(INDIRECT(ADDRESS(ROW(H804)-1, 'From Order'!$A804)), 1), H803))"),"")</f>
        <v/>
      </c>
      <c r="I804" s="2" t="str">
        <f>IFERROR(__xludf.DUMMYFUNCTION("IF('From Order'!$A804=COLUMNS($A804:I823), LEFT(INDEX(FILTER(I$1:I803, I$1:I803&lt;&gt;""""),COUNTA(FILTER(I$1:I803, I$1:I803&lt;&gt;""""))), LEN(INDEX(FILTER(I$1:I803, I$1:I803&lt;&gt;""""),COUNTA(FILTER(I$1:I803, I$1:I803&lt;&gt;""""))))-1), IF('To Order'!$A804=COLUMNS($A804:I"&amp;"823), I803&amp;RIGHT(INDIRECT(ADDRESS(ROW(I804)-1, 'From Order'!$A804)), 1), I803))"),"")</f>
        <v/>
      </c>
    </row>
    <row r="805">
      <c r="A805" s="2" t="str">
        <f>IFERROR(__xludf.DUMMYFUNCTION("IF('From Order'!$A805=COLUMNS($A805:A824), LEFT(INDEX(FILTER(A$1:A804, A$1:A804&lt;&gt;""""),COUNTA(FILTER(A$1:A804, A$1:A804&lt;&gt;""""))), LEN(INDEX(FILTER(A$1:A804, A$1:A804&lt;&gt;""""),COUNTA(FILTER(A$1:A804, A$1:A804&lt;&gt;""""))))-1), IF('To Order'!$A805=COLUMNS($A805:A"&amp;"824), A804&amp;RIGHT(INDIRECT(ADDRESS(ROW(A805)-1, 'From Order'!$A805)), 1), A804))"),"DB")</f>
        <v>DB</v>
      </c>
      <c r="B805" s="2" t="str">
        <f>IFERROR(__xludf.DUMMYFUNCTION("IF('From Order'!$A805=COLUMNS($A805:B824), LEFT(INDEX(FILTER(B$1:B804, B$1:B804&lt;&gt;""""),COUNTA(FILTER(B$1:B804, B$1:B804&lt;&gt;""""))), LEN(INDEX(FILTER(B$1:B804, B$1:B804&lt;&gt;""""),COUNTA(FILTER(B$1:B804, B$1:B804&lt;&gt;""""))))-1), IF('To Order'!$A805=COLUMNS($A805:B"&amp;"824), B804&amp;RIGHT(INDIRECT(ADDRESS(ROW(B805)-1, 'From Order'!$A805)), 1), B804))"),"JZRDCJTT")</f>
        <v>JZRDCJTT</v>
      </c>
      <c r="C805" s="2" t="str">
        <f>IFERROR(__xludf.DUMMYFUNCTION("IF('From Order'!$A805=COLUMNS($A805:C824), LEFT(INDEX(FILTER(C$1:C804, C$1:C804&lt;&gt;""""),COUNTA(FILTER(C$1:C804, C$1:C804&lt;&gt;""""))), LEN(INDEX(FILTER(C$1:C804, C$1:C804&lt;&gt;""""),COUNTA(FILTER(C$1:C804, C$1:C804&lt;&gt;""""))))-1), IF('To Order'!$A805=COLUMNS($A805:C"&amp;"824), C804&amp;RIGHT(INDIRECT(ADDRESS(ROW(C805)-1, 'From Order'!$A805)), 1), C804))"),"LBSGD")</f>
        <v>LBSGD</v>
      </c>
      <c r="D805" s="2" t="str">
        <f>IFERROR(__xludf.DUMMYFUNCTION("IF('From Order'!$A805=COLUMNS($A805:D824), LEFT(INDEX(FILTER(D$1:D804, D$1:D804&lt;&gt;""""),COUNTA(FILTER(D$1:D804, D$1:D804&lt;&gt;""""))), LEN(INDEX(FILTER(D$1:D804, D$1:D804&lt;&gt;""""),COUNTA(FILTER(D$1:D804, D$1:D804&lt;&gt;""""))))-1), IF('To Order'!$A805=COLUMNS($A805:D"&amp;"824), D804&amp;RIGHT(INDIRECT(ADDRESS(ROW(D805)-1, 'From Order'!$A805)), 1), D804))"),"TMZM")</f>
        <v>TMZM</v>
      </c>
      <c r="E805" s="2" t="str">
        <f>IFERROR(__xludf.DUMMYFUNCTION("IF('From Order'!$A805=COLUMNS($A805:E824), LEFT(INDEX(FILTER(E$1:E804, E$1:E804&lt;&gt;""""),COUNTA(FILTER(E$1:E804, E$1:E804&lt;&gt;""""))), LEN(INDEX(FILTER(E$1:E804, E$1:E804&lt;&gt;""""),COUNTA(FILTER(E$1:E804, E$1:E804&lt;&gt;""""))))-1), IF('To Order'!$A805=COLUMNS($A805:E"&amp;"824), E804&amp;RIGHT(INDIRECT(ADDRESS(ROW(E805)-1, 'From Order'!$A805)), 1), E804))"),"PVJCVRZHMFB")</f>
        <v>PVJCVRZHMFB</v>
      </c>
      <c r="F805" s="2" t="str">
        <f>IFERROR(__xludf.DUMMYFUNCTION("IF('From Order'!$A805=COLUMNS($A805:F824), LEFT(INDEX(FILTER(F$1:F804, F$1:F804&lt;&gt;""""),COUNTA(FILTER(F$1:F804, F$1:F804&lt;&gt;""""))), LEN(INDEX(FILTER(F$1:F804, F$1:F804&lt;&gt;""""),COUNTA(FILTER(F$1:F804, F$1:F804&lt;&gt;""""))))-1), IF('To Order'!$A805=COLUMNS($A805:F"&amp;"824), F804&amp;RIGHT(INDIRECT(ADDRESS(ROW(F805)-1, 'From Order'!$A805)), 1), F804))"),"FSLTT")</f>
        <v>FSLTT</v>
      </c>
      <c r="G805" s="2" t="str">
        <f>IFERROR(__xludf.DUMMYFUNCTION("IF('From Order'!$A805=COLUMNS($A805:G824), LEFT(INDEX(FILTER(G$1:G804, G$1:G804&lt;&gt;""""),COUNTA(FILTER(G$1:G804, G$1:G804&lt;&gt;""""))), LEN(INDEX(FILTER(G$1:G804, G$1:G804&lt;&gt;""""),COUNTA(FILTER(G$1:G804, G$1:G804&lt;&gt;""""))))-1), IF('To Order'!$A805=COLUMNS($A805:G"&amp;"824), G804&amp;RIGHT(INDIRECT(ADDRESS(ROW(G805)-1, 'From Order'!$A805)), 1), G804))"),"DTRLRQPDSSGHWQPBCVDRW")</f>
        <v>DTRLRQPDSSGHWQPBCVDRW</v>
      </c>
      <c r="H805" s="2" t="str">
        <f>IFERROR(__xludf.DUMMYFUNCTION("IF('From Order'!$A805=COLUMNS($A805:H824), LEFT(INDEX(FILTER(H$1:H804, H$1:H804&lt;&gt;""""),COUNTA(FILTER(H$1:H804, H$1:H804&lt;&gt;""""))), LEN(INDEX(FILTER(H$1:H804, H$1:H804&lt;&gt;""""),COUNTA(FILTER(H$1:H804, H$1:H804&lt;&gt;""""))))-1), IF('To Order'!$A805=COLUMNS($A805:H"&amp;"824), H804&amp;RIGHT(INDIRECT(ADDRESS(ROW(H805)-1, 'From Order'!$A805)), 1), H804))"),"")</f>
        <v/>
      </c>
      <c r="I805" s="2" t="str">
        <f>IFERROR(__xludf.DUMMYFUNCTION("IF('From Order'!$A805=COLUMNS($A805:I824), LEFT(INDEX(FILTER(I$1:I804, I$1:I804&lt;&gt;""""),COUNTA(FILTER(I$1:I804, I$1:I804&lt;&gt;""""))), LEN(INDEX(FILTER(I$1:I804, I$1:I804&lt;&gt;""""),COUNTA(FILTER(I$1:I804, I$1:I804&lt;&gt;""""))))-1), IF('To Order'!$A805=COLUMNS($A805:I"&amp;"824), I804&amp;RIGHT(INDIRECT(ADDRESS(ROW(I805)-1, 'From Order'!$A805)), 1), I804))"),"")</f>
        <v/>
      </c>
    </row>
    <row r="806">
      <c r="A806" s="2" t="str">
        <f>IFERROR(__xludf.DUMMYFUNCTION("IF('From Order'!$A806=COLUMNS($A806:A825), LEFT(INDEX(FILTER(A$1:A805, A$1:A805&lt;&gt;""""),COUNTA(FILTER(A$1:A805, A$1:A805&lt;&gt;""""))), LEN(INDEX(FILTER(A$1:A805, A$1:A805&lt;&gt;""""),COUNTA(FILTER(A$1:A805, A$1:A805&lt;&gt;""""))))-1), IF('To Order'!$A806=COLUMNS($A806:A"&amp;"825), A805&amp;RIGHT(INDIRECT(ADDRESS(ROW(A806)-1, 'From Order'!$A806)), 1), A805))"),"DB")</f>
        <v>DB</v>
      </c>
      <c r="B806" s="2" t="str">
        <f>IFERROR(__xludf.DUMMYFUNCTION("IF('From Order'!$A806=COLUMNS($A806:B825), LEFT(INDEX(FILTER(B$1:B805, B$1:B805&lt;&gt;""""),COUNTA(FILTER(B$1:B805, B$1:B805&lt;&gt;""""))), LEN(INDEX(FILTER(B$1:B805, B$1:B805&lt;&gt;""""),COUNTA(FILTER(B$1:B805, B$1:B805&lt;&gt;""""))))-1), IF('To Order'!$A806=COLUMNS($A806:B"&amp;"825), B805&amp;RIGHT(INDIRECT(ADDRESS(ROW(B806)-1, 'From Order'!$A806)), 1), B805))"),"JZRDCJTT")</f>
        <v>JZRDCJTT</v>
      </c>
      <c r="C806" s="2" t="str">
        <f>IFERROR(__xludf.DUMMYFUNCTION("IF('From Order'!$A806=COLUMNS($A806:C825), LEFT(INDEX(FILTER(C$1:C805, C$1:C805&lt;&gt;""""),COUNTA(FILTER(C$1:C805, C$1:C805&lt;&gt;""""))), LEN(INDEX(FILTER(C$1:C805, C$1:C805&lt;&gt;""""),COUNTA(FILTER(C$1:C805, C$1:C805&lt;&gt;""""))))-1), IF('To Order'!$A806=COLUMNS($A806:C"&amp;"825), C805&amp;RIGHT(INDIRECT(ADDRESS(ROW(C806)-1, 'From Order'!$A806)), 1), C805))"),"LBSGD")</f>
        <v>LBSGD</v>
      </c>
      <c r="D806" s="2" t="str">
        <f>IFERROR(__xludf.DUMMYFUNCTION("IF('From Order'!$A806=COLUMNS($A806:D825), LEFT(INDEX(FILTER(D$1:D805, D$1:D805&lt;&gt;""""),COUNTA(FILTER(D$1:D805, D$1:D805&lt;&gt;""""))), LEN(INDEX(FILTER(D$1:D805, D$1:D805&lt;&gt;""""),COUNTA(FILTER(D$1:D805, D$1:D805&lt;&gt;""""))))-1), IF('To Order'!$A806=COLUMNS($A806:D"&amp;"825), D805&amp;RIGHT(INDIRECT(ADDRESS(ROW(D806)-1, 'From Order'!$A806)), 1), D805))"),"TMZM")</f>
        <v>TMZM</v>
      </c>
      <c r="E806" s="2" t="str">
        <f>IFERROR(__xludf.DUMMYFUNCTION("IF('From Order'!$A806=COLUMNS($A806:E825), LEFT(INDEX(FILTER(E$1:E805, E$1:E805&lt;&gt;""""),COUNTA(FILTER(E$1:E805, E$1:E805&lt;&gt;""""))), LEN(INDEX(FILTER(E$1:E805, E$1:E805&lt;&gt;""""),COUNTA(FILTER(E$1:E805, E$1:E805&lt;&gt;""""))))-1), IF('To Order'!$A806=COLUMNS($A806:E"&amp;"825), E805&amp;RIGHT(INDIRECT(ADDRESS(ROW(E806)-1, 'From Order'!$A806)), 1), E805))"),"PVJCVRZHMFB")</f>
        <v>PVJCVRZHMFB</v>
      </c>
      <c r="F806" s="2" t="str">
        <f>IFERROR(__xludf.DUMMYFUNCTION("IF('From Order'!$A806=COLUMNS($A806:F825), LEFT(INDEX(FILTER(F$1:F805, F$1:F805&lt;&gt;""""),COUNTA(FILTER(F$1:F805, F$1:F805&lt;&gt;""""))), LEN(INDEX(FILTER(F$1:F805, F$1:F805&lt;&gt;""""),COUNTA(FILTER(F$1:F805, F$1:F805&lt;&gt;""""))))-1), IF('To Order'!$A806=COLUMNS($A806:F"&amp;"825), F805&amp;RIGHT(INDIRECT(ADDRESS(ROW(F806)-1, 'From Order'!$A806)), 1), F805))"),"FSLTTW")</f>
        <v>FSLTTW</v>
      </c>
      <c r="G806" s="2" t="str">
        <f>IFERROR(__xludf.DUMMYFUNCTION("IF('From Order'!$A806=COLUMNS($A806:G825), LEFT(INDEX(FILTER(G$1:G805, G$1:G805&lt;&gt;""""),COUNTA(FILTER(G$1:G805, G$1:G805&lt;&gt;""""))), LEN(INDEX(FILTER(G$1:G805, G$1:G805&lt;&gt;""""),COUNTA(FILTER(G$1:G805, G$1:G805&lt;&gt;""""))))-1), IF('To Order'!$A806=COLUMNS($A806:G"&amp;"825), G805&amp;RIGHT(INDIRECT(ADDRESS(ROW(G806)-1, 'From Order'!$A806)), 1), G805))"),"DTRLRQPDSSGHWQPBCVDR")</f>
        <v>DTRLRQPDSSGHWQPBCVDR</v>
      </c>
      <c r="H806" s="2" t="str">
        <f>IFERROR(__xludf.DUMMYFUNCTION("IF('From Order'!$A806=COLUMNS($A806:H825), LEFT(INDEX(FILTER(H$1:H805, H$1:H805&lt;&gt;""""),COUNTA(FILTER(H$1:H805, H$1:H805&lt;&gt;""""))), LEN(INDEX(FILTER(H$1:H805, H$1:H805&lt;&gt;""""),COUNTA(FILTER(H$1:H805, H$1:H805&lt;&gt;""""))))-1), IF('To Order'!$A806=COLUMNS($A806:H"&amp;"825), H805&amp;RIGHT(INDIRECT(ADDRESS(ROW(H806)-1, 'From Order'!$A806)), 1), H805))"),"")</f>
        <v/>
      </c>
      <c r="I806" s="2" t="str">
        <f>IFERROR(__xludf.DUMMYFUNCTION("IF('From Order'!$A806=COLUMNS($A806:I825), LEFT(INDEX(FILTER(I$1:I805, I$1:I805&lt;&gt;""""),COUNTA(FILTER(I$1:I805, I$1:I805&lt;&gt;""""))), LEN(INDEX(FILTER(I$1:I805, I$1:I805&lt;&gt;""""),COUNTA(FILTER(I$1:I805, I$1:I805&lt;&gt;""""))))-1), IF('To Order'!$A806=COLUMNS($A806:I"&amp;"825), I805&amp;RIGHT(INDIRECT(ADDRESS(ROW(I806)-1, 'From Order'!$A806)), 1), I805))"),"")</f>
        <v/>
      </c>
    </row>
    <row r="807">
      <c r="A807" s="2" t="str">
        <f>IFERROR(__xludf.DUMMYFUNCTION("IF('From Order'!$A807=COLUMNS($A807:A826), LEFT(INDEX(FILTER(A$1:A806, A$1:A806&lt;&gt;""""),COUNTA(FILTER(A$1:A806, A$1:A806&lt;&gt;""""))), LEN(INDEX(FILTER(A$1:A806, A$1:A806&lt;&gt;""""),COUNTA(FILTER(A$1:A806, A$1:A806&lt;&gt;""""))))-1), IF('To Order'!$A807=COLUMNS($A807:A"&amp;"826), A806&amp;RIGHT(INDIRECT(ADDRESS(ROW(A807)-1, 'From Order'!$A807)), 1), A806))"),"DB")</f>
        <v>DB</v>
      </c>
      <c r="B807" s="2" t="str">
        <f>IFERROR(__xludf.DUMMYFUNCTION("IF('From Order'!$A807=COLUMNS($A807:B826), LEFT(INDEX(FILTER(B$1:B806, B$1:B806&lt;&gt;""""),COUNTA(FILTER(B$1:B806, B$1:B806&lt;&gt;""""))), LEN(INDEX(FILTER(B$1:B806, B$1:B806&lt;&gt;""""),COUNTA(FILTER(B$1:B806, B$1:B806&lt;&gt;""""))))-1), IF('To Order'!$A807=COLUMNS($A807:B"&amp;"826), B806&amp;RIGHT(INDIRECT(ADDRESS(ROW(B807)-1, 'From Order'!$A807)), 1), B806))"),"JZRDCJTT")</f>
        <v>JZRDCJTT</v>
      </c>
      <c r="C807" s="2" t="str">
        <f>IFERROR(__xludf.DUMMYFUNCTION("IF('From Order'!$A807=COLUMNS($A807:C826), LEFT(INDEX(FILTER(C$1:C806, C$1:C806&lt;&gt;""""),COUNTA(FILTER(C$1:C806, C$1:C806&lt;&gt;""""))), LEN(INDEX(FILTER(C$1:C806, C$1:C806&lt;&gt;""""),COUNTA(FILTER(C$1:C806, C$1:C806&lt;&gt;""""))))-1), IF('To Order'!$A807=COLUMNS($A807:C"&amp;"826), C806&amp;RIGHT(INDIRECT(ADDRESS(ROW(C807)-1, 'From Order'!$A807)), 1), C806))"),"LBSGD")</f>
        <v>LBSGD</v>
      </c>
      <c r="D807" s="2" t="str">
        <f>IFERROR(__xludf.DUMMYFUNCTION("IF('From Order'!$A807=COLUMNS($A807:D826), LEFT(INDEX(FILTER(D$1:D806, D$1:D806&lt;&gt;""""),COUNTA(FILTER(D$1:D806, D$1:D806&lt;&gt;""""))), LEN(INDEX(FILTER(D$1:D806, D$1:D806&lt;&gt;""""),COUNTA(FILTER(D$1:D806, D$1:D806&lt;&gt;""""))))-1), IF('To Order'!$A807=COLUMNS($A807:D"&amp;"826), D806&amp;RIGHT(INDIRECT(ADDRESS(ROW(D807)-1, 'From Order'!$A807)), 1), D806))"),"TMZM")</f>
        <v>TMZM</v>
      </c>
      <c r="E807" s="2" t="str">
        <f>IFERROR(__xludf.DUMMYFUNCTION("IF('From Order'!$A807=COLUMNS($A807:E826), LEFT(INDEX(FILTER(E$1:E806, E$1:E806&lt;&gt;""""),COUNTA(FILTER(E$1:E806, E$1:E806&lt;&gt;""""))), LEN(INDEX(FILTER(E$1:E806, E$1:E806&lt;&gt;""""),COUNTA(FILTER(E$1:E806, E$1:E806&lt;&gt;""""))))-1), IF('To Order'!$A807=COLUMNS($A807:E"&amp;"826), E806&amp;RIGHT(INDIRECT(ADDRESS(ROW(E807)-1, 'From Order'!$A807)), 1), E806))"),"PVJCVRZHMFB")</f>
        <v>PVJCVRZHMFB</v>
      </c>
      <c r="F807" s="2" t="str">
        <f>IFERROR(__xludf.DUMMYFUNCTION("IF('From Order'!$A807=COLUMNS($A807:F826), LEFT(INDEX(FILTER(F$1:F806, F$1:F806&lt;&gt;""""),COUNTA(FILTER(F$1:F806, F$1:F806&lt;&gt;""""))), LEN(INDEX(FILTER(F$1:F806, F$1:F806&lt;&gt;""""),COUNTA(FILTER(F$1:F806, F$1:F806&lt;&gt;""""))))-1), IF('To Order'!$A807=COLUMNS($A807:F"&amp;"826), F806&amp;RIGHT(INDIRECT(ADDRESS(ROW(F807)-1, 'From Order'!$A807)), 1), F806))"),"FSLTTWR")</f>
        <v>FSLTTWR</v>
      </c>
      <c r="G807" s="2" t="str">
        <f>IFERROR(__xludf.DUMMYFUNCTION("IF('From Order'!$A807=COLUMNS($A807:G826), LEFT(INDEX(FILTER(G$1:G806, G$1:G806&lt;&gt;""""),COUNTA(FILTER(G$1:G806, G$1:G806&lt;&gt;""""))), LEN(INDEX(FILTER(G$1:G806, G$1:G806&lt;&gt;""""),COUNTA(FILTER(G$1:G806, G$1:G806&lt;&gt;""""))))-1), IF('To Order'!$A807=COLUMNS($A807:G"&amp;"826), G806&amp;RIGHT(INDIRECT(ADDRESS(ROW(G807)-1, 'From Order'!$A807)), 1), G806))"),"DTRLRQPDSSGHWQPBCVD")</f>
        <v>DTRLRQPDSSGHWQPBCVD</v>
      </c>
      <c r="H807" s="2" t="str">
        <f>IFERROR(__xludf.DUMMYFUNCTION("IF('From Order'!$A807=COLUMNS($A807:H826), LEFT(INDEX(FILTER(H$1:H806, H$1:H806&lt;&gt;""""),COUNTA(FILTER(H$1:H806, H$1:H806&lt;&gt;""""))), LEN(INDEX(FILTER(H$1:H806, H$1:H806&lt;&gt;""""),COUNTA(FILTER(H$1:H806, H$1:H806&lt;&gt;""""))))-1), IF('To Order'!$A807=COLUMNS($A807:H"&amp;"826), H806&amp;RIGHT(INDIRECT(ADDRESS(ROW(H807)-1, 'From Order'!$A807)), 1), H806))"),"")</f>
        <v/>
      </c>
      <c r="I807" s="2" t="str">
        <f>IFERROR(__xludf.DUMMYFUNCTION("IF('From Order'!$A807=COLUMNS($A807:I826), LEFT(INDEX(FILTER(I$1:I806, I$1:I806&lt;&gt;""""),COUNTA(FILTER(I$1:I806, I$1:I806&lt;&gt;""""))), LEN(INDEX(FILTER(I$1:I806, I$1:I806&lt;&gt;""""),COUNTA(FILTER(I$1:I806, I$1:I806&lt;&gt;""""))))-1), IF('To Order'!$A807=COLUMNS($A807:I"&amp;"826), I806&amp;RIGHT(INDIRECT(ADDRESS(ROW(I807)-1, 'From Order'!$A807)), 1), I806))"),"")</f>
        <v/>
      </c>
    </row>
    <row r="808">
      <c r="A808" s="2" t="str">
        <f>IFERROR(__xludf.DUMMYFUNCTION("IF('From Order'!$A808=COLUMNS($A808:A827), LEFT(INDEX(FILTER(A$1:A807, A$1:A807&lt;&gt;""""),COUNTA(FILTER(A$1:A807, A$1:A807&lt;&gt;""""))), LEN(INDEX(FILTER(A$1:A807, A$1:A807&lt;&gt;""""),COUNTA(FILTER(A$1:A807, A$1:A807&lt;&gt;""""))))-1), IF('To Order'!$A808=COLUMNS($A808:A"&amp;"827), A807&amp;RIGHT(INDIRECT(ADDRESS(ROW(A808)-1, 'From Order'!$A808)), 1), A807))"),"DB")</f>
        <v>DB</v>
      </c>
      <c r="B808" s="2" t="str">
        <f>IFERROR(__xludf.DUMMYFUNCTION("IF('From Order'!$A808=COLUMNS($A808:B827), LEFT(INDEX(FILTER(B$1:B807, B$1:B807&lt;&gt;""""),COUNTA(FILTER(B$1:B807, B$1:B807&lt;&gt;""""))), LEN(INDEX(FILTER(B$1:B807, B$1:B807&lt;&gt;""""),COUNTA(FILTER(B$1:B807, B$1:B807&lt;&gt;""""))))-1), IF('To Order'!$A808=COLUMNS($A808:B"&amp;"827), B807&amp;RIGHT(INDIRECT(ADDRESS(ROW(B808)-1, 'From Order'!$A808)), 1), B807))"),"JZRDCJTT")</f>
        <v>JZRDCJTT</v>
      </c>
      <c r="C808" s="2" t="str">
        <f>IFERROR(__xludf.DUMMYFUNCTION("IF('From Order'!$A808=COLUMNS($A808:C827), LEFT(INDEX(FILTER(C$1:C807, C$1:C807&lt;&gt;""""),COUNTA(FILTER(C$1:C807, C$1:C807&lt;&gt;""""))), LEN(INDEX(FILTER(C$1:C807, C$1:C807&lt;&gt;""""),COUNTA(FILTER(C$1:C807, C$1:C807&lt;&gt;""""))))-1), IF('To Order'!$A808=COLUMNS($A808:C"&amp;"827), C807&amp;RIGHT(INDIRECT(ADDRESS(ROW(C808)-1, 'From Order'!$A808)), 1), C807))"),"LBSGD")</f>
        <v>LBSGD</v>
      </c>
      <c r="D808" s="2" t="str">
        <f>IFERROR(__xludf.DUMMYFUNCTION("IF('From Order'!$A808=COLUMNS($A808:D827), LEFT(INDEX(FILTER(D$1:D807, D$1:D807&lt;&gt;""""),COUNTA(FILTER(D$1:D807, D$1:D807&lt;&gt;""""))), LEN(INDEX(FILTER(D$1:D807, D$1:D807&lt;&gt;""""),COUNTA(FILTER(D$1:D807, D$1:D807&lt;&gt;""""))))-1), IF('To Order'!$A808=COLUMNS($A808:D"&amp;"827), D807&amp;RIGHT(INDIRECT(ADDRESS(ROW(D808)-1, 'From Order'!$A808)), 1), D807))"),"TMZM")</f>
        <v>TMZM</v>
      </c>
      <c r="E808" s="2" t="str">
        <f>IFERROR(__xludf.DUMMYFUNCTION("IF('From Order'!$A808=COLUMNS($A808:E827), LEFT(INDEX(FILTER(E$1:E807, E$1:E807&lt;&gt;""""),COUNTA(FILTER(E$1:E807, E$1:E807&lt;&gt;""""))), LEN(INDEX(FILTER(E$1:E807, E$1:E807&lt;&gt;""""),COUNTA(FILTER(E$1:E807, E$1:E807&lt;&gt;""""))))-1), IF('To Order'!$A808=COLUMNS($A808:E"&amp;"827), E807&amp;RIGHT(INDIRECT(ADDRESS(ROW(E808)-1, 'From Order'!$A808)), 1), E807))"),"PVJCVRZHMFB")</f>
        <v>PVJCVRZHMFB</v>
      </c>
      <c r="F808" s="2" t="str">
        <f>IFERROR(__xludf.DUMMYFUNCTION("IF('From Order'!$A808=COLUMNS($A808:F827), LEFT(INDEX(FILTER(F$1:F807, F$1:F807&lt;&gt;""""),COUNTA(FILTER(F$1:F807, F$1:F807&lt;&gt;""""))), LEN(INDEX(FILTER(F$1:F807, F$1:F807&lt;&gt;""""),COUNTA(FILTER(F$1:F807, F$1:F807&lt;&gt;""""))))-1), IF('To Order'!$A808=COLUMNS($A808:F"&amp;"827), F807&amp;RIGHT(INDIRECT(ADDRESS(ROW(F808)-1, 'From Order'!$A808)), 1), F807))"),"FSLTTWRD")</f>
        <v>FSLTTWRD</v>
      </c>
      <c r="G808" s="2" t="str">
        <f>IFERROR(__xludf.DUMMYFUNCTION("IF('From Order'!$A808=COLUMNS($A808:G827), LEFT(INDEX(FILTER(G$1:G807, G$1:G807&lt;&gt;""""),COUNTA(FILTER(G$1:G807, G$1:G807&lt;&gt;""""))), LEN(INDEX(FILTER(G$1:G807, G$1:G807&lt;&gt;""""),COUNTA(FILTER(G$1:G807, G$1:G807&lt;&gt;""""))))-1), IF('To Order'!$A808=COLUMNS($A808:G"&amp;"827), G807&amp;RIGHT(INDIRECT(ADDRESS(ROW(G808)-1, 'From Order'!$A808)), 1), G807))"),"DTRLRQPDSSGHWQPBCV")</f>
        <v>DTRLRQPDSSGHWQPBCV</v>
      </c>
      <c r="H808" s="2" t="str">
        <f>IFERROR(__xludf.DUMMYFUNCTION("IF('From Order'!$A808=COLUMNS($A808:H827), LEFT(INDEX(FILTER(H$1:H807, H$1:H807&lt;&gt;""""),COUNTA(FILTER(H$1:H807, H$1:H807&lt;&gt;""""))), LEN(INDEX(FILTER(H$1:H807, H$1:H807&lt;&gt;""""),COUNTA(FILTER(H$1:H807, H$1:H807&lt;&gt;""""))))-1), IF('To Order'!$A808=COLUMNS($A808:H"&amp;"827), H807&amp;RIGHT(INDIRECT(ADDRESS(ROW(H808)-1, 'From Order'!$A808)), 1), H807))"),"")</f>
        <v/>
      </c>
      <c r="I808" s="2" t="str">
        <f>IFERROR(__xludf.DUMMYFUNCTION("IF('From Order'!$A808=COLUMNS($A808:I827), LEFT(INDEX(FILTER(I$1:I807, I$1:I807&lt;&gt;""""),COUNTA(FILTER(I$1:I807, I$1:I807&lt;&gt;""""))), LEN(INDEX(FILTER(I$1:I807, I$1:I807&lt;&gt;""""),COUNTA(FILTER(I$1:I807, I$1:I807&lt;&gt;""""))))-1), IF('To Order'!$A808=COLUMNS($A808:I"&amp;"827), I807&amp;RIGHT(INDIRECT(ADDRESS(ROW(I808)-1, 'From Order'!$A808)), 1), I807))"),"")</f>
        <v/>
      </c>
    </row>
    <row r="809">
      <c r="A809" s="2" t="str">
        <f>IFERROR(__xludf.DUMMYFUNCTION("IF('From Order'!$A809=COLUMNS($A809:A828), LEFT(INDEX(FILTER(A$1:A808, A$1:A808&lt;&gt;""""),COUNTA(FILTER(A$1:A808, A$1:A808&lt;&gt;""""))), LEN(INDEX(FILTER(A$1:A808, A$1:A808&lt;&gt;""""),COUNTA(FILTER(A$1:A808, A$1:A808&lt;&gt;""""))))-1), IF('To Order'!$A809=COLUMNS($A809:A"&amp;"828), A808&amp;RIGHT(INDIRECT(ADDRESS(ROW(A809)-1, 'From Order'!$A809)), 1), A808))"),"DB")</f>
        <v>DB</v>
      </c>
      <c r="B809" s="2" t="str">
        <f>IFERROR(__xludf.DUMMYFUNCTION("IF('From Order'!$A809=COLUMNS($A809:B828), LEFT(INDEX(FILTER(B$1:B808, B$1:B808&lt;&gt;""""),COUNTA(FILTER(B$1:B808, B$1:B808&lt;&gt;""""))), LEN(INDEX(FILTER(B$1:B808, B$1:B808&lt;&gt;""""),COUNTA(FILTER(B$1:B808, B$1:B808&lt;&gt;""""))))-1), IF('To Order'!$A809=COLUMNS($A809:B"&amp;"828), B808&amp;RIGHT(INDIRECT(ADDRESS(ROW(B809)-1, 'From Order'!$A809)), 1), B808))"),"JZRDCJTT")</f>
        <v>JZRDCJTT</v>
      </c>
      <c r="C809" s="2" t="str">
        <f>IFERROR(__xludf.DUMMYFUNCTION("IF('From Order'!$A809=COLUMNS($A809:C828), LEFT(INDEX(FILTER(C$1:C808, C$1:C808&lt;&gt;""""),COUNTA(FILTER(C$1:C808, C$1:C808&lt;&gt;""""))), LEN(INDEX(FILTER(C$1:C808, C$1:C808&lt;&gt;""""),COUNTA(FILTER(C$1:C808, C$1:C808&lt;&gt;""""))))-1), IF('To Order'!$A809=COLUMNS($A809:C"&amp;"828), C808&amp;RIGHT(INDIRECT(ADDRESS(ROW(C809)-1, 'From Order'!$A809)), 1), C808))"),"LBSGD")</f>
        <v>LBSGD</v>
      </c>
      <c r="D809" s="2" t="str">
        <f>IFERROR(__xludf.DUMMYFUNCTION("IF('From Order'!$A809=COLUMNS($A809:D828), LEFT(INDEX(FILTER(D$1:D808, D$1:D808&lt;&gt;""""),COUNTA(FILTER(D$1:D808, D$1:D808&lt;&gt;""""))), LEN(INDEX(FILTER(D$1:D808, D$1:D808&lt;&gt;""""),COUNTA(FILTER(D$1:D808, D$1:D808&lt;&gt;""""))))-1), IF('To Order'!$A809=COLUMNS($A809:D"&amp;"828), D808&amp;RIGHT(INDIRECT(ADDRESS(ROW(D809)-1, 'From Order'!$A809)), 1), D808))"),"TMZM")</f>
        <v>TMZM</v>
      </c>
      <c r="E809" s="2" t="str">
        <f>IFERROR(__xludf.DUMMYFUNCTION("IF('From Order'!$A809=COLUMNS($A809:E828), LEFT(INDEX(FILTER(E$1:E808, E$1:E808&lt;&gt;""""),COUNTA(FILTER(E$1:E808, E$1:E808&lt;&gt;""""))), LEN(INDEX(FILTER(E$1:E808, E$1:E808&lt;&gt;""""),COUNTA(FILTER(E$1:E808, E$1:E808&lt;&gt;""""))))-1), IF('To Order'!$A809=COLUMNS($A809:E"&amp;"828), E808&amp;RIGHT(INDIRECT(ADDRESS(ROW(E809)-1, 'From Order'!$A809)), 1), E808))"),"PVJCVRZHMFB")</f>
        <v>PVJCVRZHMFB</v>
      </c>
      <c r="F809" s="2" t="str">
        <f>IFERROR(__xludf.DUMMYFUNCTION("IF('From Order'!$A809=COLUMNS($A809:F828), LEFT(INDEX(FILTER(F$1:F808, F$1:F808&lt;&gt;""""),COUNTA(FILTER(F$1:F808, F$1:F808&lt;&gt;""""))), LEN(INDEX(FILTER(F$1:F808, F$1:F808&lt;&gt;""""),COUNTA(FILTER(F$1:F808, F$1:F808&lt;&gt;""""))))-1), IF('To Order'!$A809=COLUMNS($A809:F"&amp;"828), F808&amp;RIGHT(INDIRECT(ADDRESS(ROW(F809)-1, 'From Order'!$A809)), 1), F808))"),"FSLTTWRDV")</f>
        <v>FSLTTWRDV</v>
      </c>
      <c r="G809" s="2" t="str">
        <f>IFERROR(__xludf.DUMMYFUNCTION("IF('From Order'!$A809=COLUMNS($A809:G828), LEFT(INDEX(FILTER(G$1:G808, G$1:G808&lt;&gt;""""),COUNTA(FILTER(G$1:G808, G$1:G808&lt;&gt;""""))), LEN(INDEX(FILTER(G$1:G808, G$1:G808&lt;&gt;""""),COUNTA(FILTER(G$1:G808, G$1:G808&lt;&gt;""""))))-1), IF('To Order'!$A809=COLUMNS($A809:G"&amp;"828), G808&amp;RIGHT(INDIRECT(ADDRESS(ROW(G809)-1, 'From Order'!$A809)), 1), G808))"),"DTRLRQPDSSGHWQPBC")</f>
        <v>DTRLRQPDSSGHWQPBC</v>
      </c>
      <c r="H809" s="2" t="str">
        <f>IFERROR(__xludf.DUMMYFUNCTION("IF('From Order'!$A809=COLUMNS($A809:H828), LEFT(INDEX(FILTER(H$1:H808, H$1:H808&lt;&gt;""""),COUNTA(FILTER(H$1:H808, H$1:H808&lt;&gt;""""))), LEN(INDEX(FILTER(H$1:H808, H$1:H808&lt;&gt;""""),COUNTA(FILTER(H$1:H808, H$1:H808&lt;&gt;""""))))-1), IF('To Order'!$A809=COLUMNS($A809:H"&amp;"828), H808&amp;RIGHT(INDIRECT(ADDRESS(ROW(H809)-1, 'From Order'!$A809)), 1), H808))"),"")</f>
        <v/>
      </c>
      <c r="I809" s="2" t="str">
        <f>IFERROR(__xludf.DUMMYFUNCTION("IF('From Order'!$A809=COLUMNS($A809:I828), LEFT(INDEX(FILTER(I$1:I808, I$1:I808&lt;&gt;""""),COUNTA(FILTER(I$1:I808, I$1:I808&lt;&gt;""""))), LEN(INDEX(FILTER(I$1:I808, I$1:I808&lt;&gt;""""),COUNTA(FILTER(I$1:I808, I$1:I808&lt;&gt;""""))))-1), IF('To Order'!$A809=COLUMNS($A809:I"&amp;"828), I808&amp;RIGHT(INDIRECT(ADDRESS(ROW(I809)-1, 'From Order'!$A809)), 1), I808))"),"")</f>
        <v/>
      </c>
    </row>
    <row r="810">
      <c r="A810" s="2" t="str">
        <f>IFERROR(__xludf.DUMMYFUNCTION("IF('From Order'!$A810=COLUMNS($A810:A829), LEFT(INDEX(FILTER(A$1:A809, A$1:A809&lt;&gt;""""),COUNTA(FILTER(A$1:A809, A$1:A809&lt;&gt;""""))), LEN(INDEX(FILTER(A$1:A809, A$1:A809&lt;&gt;""""),COUNTA(FILTER(A$1:A809, A$1:A809&lt;&gt;""""))))-1), IF('To Order'!$A810=COLUMNS($A810:A"&amp;"829), A809&amp;RIGHT(INDIRECT(ADDRESS(ROW(A810)-1, 'From Order'!$A810)), 1), A809))"),"DB")</f>
        <v>DB</v>
      </c>
      <c r="B810" s="2" t="str">
        <f>IFERROR(__xludf.DUMMYFUNCTION("IF('From Order'!$A810=COLUMNS($A810:B829), LEFT(INDEX(FILTER(B$1:B809, B$1:B809&lt;&gt;""""),COUNTA(FILTER(B$1:B809, B$1:B809&lt;&gt;""""))), LEN(INDEX(FILTER(B$1:B809, B$1:B809&lt;&gt;""""),COUNTA(FILTER(B$1:B809, B$1:B809&lt;&gt;""""))))-1), IF('To Order'!$A810=COLUMNS($A810:B"&amp;"829), B809&amp;RIGHT(INDIRECT(ADDRESS(ROW(B810)-1, 'From Order'!$A810)), 1), B809))"),"JZRDCJTT")</f>
        <v>JZRDCJTT</v>
      </c>
      <c r="C810" s="2" t="str">
        <f>IFERROR(__xludf.DUMMYFUNCTION("IF('From Order'!$A810=COLUMNS($A810:C829), LEFT(INDEX(FILTER(C$1:C809, C$1:C809&lt;&gt;""""),COUNTA(FILTER(C$1:C809, C$1:C809&lt;&gt;""""))), LEN(INDEX(FILTER(C$1:C809, C$1:C809&lt;&gt;""""),COUNTA(FILTER(C$1:C809, C$1:C809&lt;&gt;""""))))-1), IF('To Order'!$A810=COLUMNS($A810:C"&amp;"829), C809&amp;RIGHT(INDIRECT(ADDRESS(ROW(C810)-1, 'From Order'!$A810)), 1), C809))"),"LBSGD")</f>
        <v>LBSGD</v>
      </c>
      <c r="D810" s="2" t="str">
        <f>IFERROR(__xludf.DUMMYFUNCTION("IF('From Order'!$A810=COLUMNS($A810:D829), LEFT(INDEX(FILTER(D$1:D809, D$1:D809&lt;&gt;""""),COUNTA(FILTER(D$1:D809, D$1:D809&lt;&gt;""""))), LEN(INDEX(FILTER(D$1:D809, D$1:D809&lt;&gt;""""),COUNTA(FILTER(D$1:D809, D$1:D809&lt;&gt;""""))))-1), IF('To Order'!$A810=COLUMNS($A810:D"&amp;"829), D809&amp;RIGHT(INDIRECT(ADDRESS(ROW(D810)-1, 'From Order'!$A810)), 1), D809))"),"TMZM")</f>
        <v>TMZM</v>
      </c>
      <c r="E810" s="2" t="str">
        <f>IFERROR(__xludf.DUMMYFUNCTION("IF('From Order'!$A810=COLUMNS($A810:E829), LEFT(INDEX(FILTER(E$1:E809, E$1:E809&lt;&gt;""""),COUNTA(FILTER(E$1:E809, E$1:E809&lt;&gt;""""))), LEN(INDEX(FILTER(E$1:E809, E$1:E809&lt;&gt;""""),COUNTA(FILTER(E$1:E809, E$1:E809&lt;&gt;""""))))-1), IF('To Order'!$A810=COLUMNS($A810:E"&amp;"829), E809&amp;RIGHT(INDIRECT(ADDRESS(ROW(E810)-1, 'From Order'!$A810)), 1), E809))"),"PVJCVRZHMFB")</f>
        <v>PVJCVRZHMFB</v>
      </c>
      <c r="F810" s="2" t="str">
        <f>IFERROR(__xludf.DUMMYFUNCTION("IF('From Order'!$A810=COLUMNS($A810:F829), LEFT(INDEX(FILTER(F$1:F809, F$1:F809&lt;&gt;""""),COUNTA(FILTER(F$1:F809, F$1:F809&lt;&gt;""""))), LEN(INDEX(FILTER(F$1:F809, F$1:F809&lt;&gt;""""),COUNTA(FILTER(F$1:F809, F$1:F809&lt;&gt;""""))))-1), IF('To Order'!$A810=COLUMNS($A810:F"&amp;"829), F809&amp;RIGHT(INDIRECT(ADDRESS(ROW(F810)-1, 'From Order'!$A810)), 1), F809))"),"FSLTTWRDVC")</f>
        <v>FSLTTWRDVC</v>
      </c>
      <c r="G810" s="2" t="str">
        <f>IFERROR(__xludf.DUMMYFUNCTION("IF('From Order'!$A810=COLUMNS($A810:G829), LEFT(INDEX(FILTER(G$1:G809, G$1:G809&lt;&gt;""""),COUNTA(FILTER(G$1:G809, G$1:G809&lt;&gt;""""))), LEN(INDEX(FILTER(G$1:G809, G$1:G809&lt;&gt;""""),COUNTA(FILTER(G$1:G809, G$1:G809&lt;&gt;""""))))-1), IF('To Order'!$A810=COLUMNS($A810:G"&amp;"829), G809&amp;RIGHT(INDIRECT(ADDRESS(ROW(G810)-1, 'From Order'!$A810)), 1), G809))"),"DTRLRQPDSSGHWQPB")</f>
        <v>DTRLRQPDSSGHWQPB</v>
      </c>
      <c r="H810" s="2" t="str">
        <f>IFERROR(__xludf.DUMMYFUNCTION("IF('From Order'!$A810=COLUMNS($A810:H829), LEFT(INDEX(FILTER(H$1:H809, H$1:H809&lt;&gt;""""),COUNTA(FILTER(H$1:H809, H$1:H809&lt;&gt;""""))), LEN(INDEX(FILTER(H$1:H809, H$1:H809&lt;&gt;""""),COUNTA(FILTER(H$1:H809, H$1:H809&lt;&gt;""""))))-1), IF('To Order'!$A810=COLUMNS($A810:H"&amp;"829), H809&amp;RIGHT(INDIRECT(ADDRESS(ROW(H810)-1, 'From Order'!$A810)), 1), H809))"),"")</f>
        <v/>
      </c>
      <c r="I810" s="2" t="str">
        <f>IFERROR(__xludf.DUMMYFUNCTION("IF('From Order'!$A810=COLUMNS($A810:I829), LEFT(INDEX(FILTER(I$1:I809, I$1:I809&lt;&gt;""""),COUNTA(FILTER(I$1:I809, I$1:I809&lt;&gt;""""))), LEN(INDEX(FILTER(I$1:I809, I$1:I809&lt;&gt;""""),COUNTA(FILTER(I$1:I809, I$1:I809&lt;&gt;""""))))-1), IF('To Order'!$A810=COLUMNS($A810:I"&amp;"829), I809&amp;RIGHT(INDIRECT(ADDRESS(ROW(I810)-1, 'From Order'!$A810)), 1), I809))"),"")</f>
        <v/>
      </c>
    </row>
    <row r="811">
      <c r="A811" s="2" t="str">
        <f>IFERROR(__xludf.DUMMYFUNCTION("IF('From Order'!$A811=COLUMNS($A811:A830), LEFT(INDEX(FILTER(A$1:A810, A$1:A810&lt;&gt;""""),COUNTA(FILTER(A$1:A810, A$1:A810&lt;&gt;""""))), LEN(INDEX(FILTER(A$1:A810, A$1:A810&lt;&gt;""""),COUNTA(FILTER(A$1:A810, A$1:A810&lt;&gt;""""))))-1), IF('To Order'!$A811=COLUMNS($A811:A"&amp;"830), A810&amp;RIGHT(INDIRECT(ADDRESS(ROW(A811)-1, 'From Order'!$A811)), 1), A810))"),"DB")</f>
        <v>DB</v>
      </c>
      <c r="B811" s="2" t="str">
        <f>IFERROR(__xludf.DUMMYFUNCTION("IF('From Order'!$A811=COLUMNS($A811:B830), LEFT(INDEX(FILTER(B$1:B810, B$1:B810&lt;&gt;""""),COUNTA(FILTER(B$1:B810, B$1:B810&lt;&gt;""""))), LEN(INDEX(FILTER(B$1:B810, B$1:B810&lt;&gt;""""),COUNTA(FILTER(B$1:B810, B$1:B810&lt;&gt;""""))))-1), IF('To Order'!$A811=COLUMNS($A811:B"&amp;"830), B810&amp;RIGHT(INDIRECT(ADDRESS(ROW(B811)-1, 'From Order'!$A811)), 1), B810))"),"JZRDCJTTC")</f>
        <v>JZRDCJTTC</v>
      </c>
      <c r="C811" s="2" t="str">
        <f>IFERROR(__xludf.DUMMYFUNCTION("IF('From Order'!$A811=COLUMNS($A811:C830), LEFT(INDEX(FILTER(C$1:C810, C$1:C810&lt;&gt;""""),COUNTA(FILTER(C$1:C810, C$1:C810&lt;&gt;""""))), LEN(INDEX(FILTER(C$1:C810, C$1:C810&lt;&gt;""""),COUNTA(FILTER(C$1:C810, C$1:C810&lt;&gt;""""))))-1), IF('To Order'!$A811=COLUMNS($A811:C"&amp;"830), C810&amp;RIGHT(INDIRECT(ADDRESS(ROW(C811)-1, 'From Order'!$A811)), 1), C810))"),"LBSGD")</f>
        <v>LBSGD</v>
      </c>
      <c r="D811" s="2" t="str">
        <f>IFERROR(__xludf.DUMMYFUNCTION("IF('From Order'!$A811=COLUMNS($A811:D830), LEFT(INDEX(FILTER(D$1:D810, D$1:D810&lt;&gt;""""),COUNTA(FILTER(D$1:D810, D$1:D810&lt;&gt;""""))), LEN(INDEX(FILTER(D$1:D810, D$1:D810&lt;&gt;""""),COUNTA(FILTER(D$1:D810, D$1:D810&lt;&gt;""""))))-1), IF('To Order'!$A811=COLUMNS($A811:D"&amp;"830), D810&amp;RIGHT(INDIRECT(ADDRESS(ROW(D811)-1, 'From Order'!$A811)), 1), D810))"),"TMZM")</f>
        <v>TMZM</v>
      </c>
      <c r="E811" s="2" t="str">
        <f>IFERROR(__xludf.DUMMYFUNCTION("IF('From Order'!$A811=COLUMNS($A811:E830), LEFT(INDEX(FILTER(E$1:E810, E$1:E810&lt;&gt;""""),COUNTA(FILTER(E$1:E810, E$1:E810&lt;&gt;""""))), LEN(INDEX(FILTER(E$1:E810, E$1:E810&lt;&gt;""""),COUNTA(FILTER(E$1:E810, E$1:E810&lt;&gt;""""))))-1), IF('To Order'!$A811=COLUMNS($A811:E"&amp;"830), E810&amp;RIGHT(INDIRECT(ADDRESS(ROW(E811)-1, 'From Order'!$A811)), 1), E810))"),"PVJCVRZHMFB")</f>
        <v>PVJCVRZHMFB</v>
      </c>
      <c r="F811" s="2" t="str">
        <f>IFERROR(__xludf.DUMMYFUNCTION("IF('From Order'!$A811=COLUMNS($A811:F830), LEFT(INDEX(FILTER(F$1:F810, F$1:F810&lt;&gt;""""),COUNTA(FILTER(F$1:F810, F$1:F810&lt;&gt;""""))), LEN(INDEX(FILTER(F$1:F810, F$1:F810&lt;&gt;""""),COUNTA(FILTER(F$1:F810, F$1:F810&lt;&gt;""""))))-1), IF('To Order'!$A811=COLUMNS($A811:F"&amp;"830), F810&amp;RIGHT(INDIRECT(ADDRESS(ROW(F811)-1, 'From Order'!$A811)), 1), F810))"),"FSLTTWRDV")</f>
        <v>FSLTTWRDV</v>
      </c>
      <c r="G811" s="2" t="str">
        <f>IFERROR(__xludf.DUMMYFUNCTION("IF('From Order'!$A811=COLUMNS($A811:G830), LEFT(INDEX(FILTER(G$1:G810, G$1:G810&lt;&gt;""""),COUNTA(FILTER(G$1:G810, G$1:G810&lt;&gt;""""))), LEN(INDEX(FILTER(G$1:G810, G$1:G810&lt;&gt;""""),COUNTA(FILTER(G$1:G810, G$1:G810&lt;&gt;""""))))-1), IF('To Order'!$A811=COLUMNS($A811:G"&amp;"830), G810&amp;RIGHT(INDIRECT(ADDRESS(ROW(G811)-1, 'From Order'!$A811)), 1), G810))"),"DTRLRQPDSSGHWQPB")</f>
        <v>DTRLRQPDSSGHWQPB</v>
      </c>
      <c r="H811" s="2" t="str">
        <f>IFERROR(__xludf.DUMMYFUNCTION("IF('From Order'!$A811=COLUMNS($A811:H830), LEFT(INDEX(FILTER(H$1:H810, H$1:H810&lt;&gt;""""),COUNTA(FILTER(H$1:H810, H$1:H810&lt;&gt;""""))), LEN(INDEX(FILTER(H$1:H810, H$1:H810&lt;&gt;""""),COUNTA(FILTER(H$1:H810, H$1:H810&lt;&gt;""""))))-1), IF('To Order'!$A811=COLUMNS($A811:H"&amp;"830), H810&amp;RIGHT(INDIRECT(ADDRESS(ROW(H811)-1, 'From Order'!$A811)), 1), H810))"),"")</f>
        <v/>
      </c>
      <c r="I811" s="2" t="str">
        <f>IFERROR(__xludf.DUMMYFUNCTION("IF('From Order'!$A811=COLUMNS($A811:I830), LEFT(INDEX(FILTER(I$1:I810, I$1:I810&lt;&gt;""""),COUNTA(FILTER(I$1:I810, I$1:I810&lt;&gt;""""))), LEN(INDEX(FILTER(I$1:I810, I$1:I810&lt;&gt;""""),COUNTA(FILTER(I$1:I810, I$1:I810&lt;&gt;""""))))-1), IF('To Order'!$A811=COLUMNS($A811:I"&amp;"830), I810&amp;RIGHT(INDIRECT(ADDRESS(ROW(I811)-1, 'From Order'!$A811)), 1), I810))"),"")</f>
        <v/>
      </c>
    </row>
    <row r="812">
      <c r="A812" s="2" t="str">
        <f>IFERROR(__xludf.DUMMYFUNCTION("IF('From Order'!$A812=COLUMNS($A812:A831), LEFT(INDEX(FILTER(A$1:A811, A$1:A811&lt;&gt;""""),COUNTA(FILTER(A$1:A811, A$1:A811&lt;&gt;""""))), LEN(INDEX(FILTER(A$1:A811, A$1:A811&lt;&gt;""""),COUNTA(FILTER(A$1:A811, A$1:A811&lt;&gt;""""))))-1), IF('To Order'!$A812=COLUMNS($A812:A"&amp;"831), A811&amp;RIGHT(INDIRECT(ADDRESS(ROW(A812)-1, 'From Order'!$A812)), 1), A811))"),"DB")</f>
        <v>DB</v>
      </c>
      <c r="B812" s="2" t="str">
        <f>IFERROR(__xludf.DUMMYFUNCTION("IF('From Order'!$A812=COLUMNS($A812:B831), LEFT(INDEX(FILTER(B$1:B811, B$1:B811&lt;&gt;""""),COUNTA(FILTER(B$1:B811, B$1:B811&lt;&gt;""""))), LEN(INDEX(FILTER(B$1:B811, B$1:B811&lt;&gt;""""),COUNTA(FILTER(B$1:B811, B$1:B811&lt;&gt;""""))))-1), IF('To Order'!$A812=COLUMNS($A812:B"&amp;"831), B811&amp;RIGHT(INDIRECT(ADDRESS(ROW(B812)-1, 'From Order'!$A812)), 1), B811))"),"JZRDCJTTC")</f>
        <v>JZRDCJTTC</v>
      </c>
      <c r="C812" s="2" t="str">
        <f>IFERROR(__xludf.DUMMYFUNCTION("IF('From Order'!$A812=COLUMNS($A812:C831), LEFT(INDEX(FILTER(C$1:C811, C$1:C811&lt;&gt;""""),COUNTA(FILTER(C$1:C811, C$1:C811&lt;&gt;""""))), LEN(INDEX(FILTER(C$1:C811, C$1:C811&lt;&gt;""""),COUNTA(FILTER(C$1:C811, C$1:C811&lt;&gt;""""))))-1), IF('To Order'!$A812=COLUMNS($A812:C"&amp;"831), C811&amp;RIGHT(INDIRECT(ADDRESS(ROW(C812)-1, 'From Order'!$A812)), 1), C811))"),"LBSGD")</f>
        <v>LBSGD</v>
      </c>
      <c r="D812" s="2" t="str">
        <f>IFERROR(__xludf.DUMMYFUNCTION("IF('From Order'!$A812=COLUMNS($A812:D831), LEFT(INDEX(FILTER(D$1:D811, D$1:D811&lt;&gt;""""),COUNTA(FILTER(D$1:D811, D$1:D811&lt;&gt;""""))), LEN(INDEX(FILTER(D$1:D811, D$1:D811&lt;&gt;""""),COUNTA(FILTER(D$1:D811, D$1:D811&lt;&gt;""""))))-1), IF('To Order'!$A812=COLUMNS($A812:D"&amp;"831), D811&amp;RIGHT(INDIRECT(ADDRESS(ROW(D812)-1, 'From Order'!$A812)), 1), D811))"),"TMZ")</f>
        <v>TMZ</v>
      </c>
      <c r="E812" s="2" t="str">
        <f>IFERROR(__xludf.DUMMYFUNCTION("IF('From Order'!$A812=COLUMNS($A812:E831), LEFT(INDEX(FILTER(E$1:E811, E$1:E811&lt;&gt;""""),COUNTA(FILTER(E$1:E811, E$1:E811&lt;&gt;""""))), LEN(INDEX(FILTER(E$1:E811, E$1:E811&lt;&gt;""""),COUNTA(FILTER(E$1:E811, E$1:E811&lt;&gt;""""))))-1), IF('To Order'!$A812=COLUMNS($A812:E"&amp;"831), E811&amp;RIGHT(INDIRECT(ADDRESS(ROW(E812)-1, 'From Order'!$A812)), 1), E811))"),"PVJCVRZHMFB")</f>
        <v>PVJCVRZHMFB</v>
      </c>
      <c r="F812" s="2" t="str">
        <f>IFERROR(__xludf.DUMMYFUNCTION("IF('From Order'!$A812=COLUMNS($A812:F831), LEFT(INDEX(FILTER(F$1:F811, F$1:F811&lt;&gt;""""),COUNTA(FILTER(F$1:F811, F$1:F811&lt;&gt;""""))), LEN(INDEX(FILTER(F$1:F811, F$1:F811&lt;&gt;""""),COUNTA(FILTER(F$1:F811, F$1:F811&lt;&gt;""""))))-1), IF('To Order'!$A812=COLUMNS($A812:F"&amp;"831), F811&amp;RIGHT(INDIRECT(ADDRESS(ROW(F812)-1, 'From Order'!$A812)), 1), F811))"),"FSLTTWRDV")</f>
        <v>FSLTTWRDV</v>
      </c>
      <c r="G812" s="2" t="str">
        <f>IFERROR(__xludf.DUMMYFUNCTION("IF('From Order'!$A812=COLUMNS($A812:G831), LEFT(INDEX(FILTER(G$1:G811, G$1:G811&lt;&gt;""""),COUNTA(FILTER(G$1:G811, G$1:G811&lt;&gt;""""))), LEN(INDEX(FILTER(G$1:G811, G$1:G811&lt;&gt;""""),COUNTA(FILTER(G$1:G811, G$1:G811&lt;&gt;""""))))-1), IF('To Order'!$A812=COLUMNS($A812:G"&amp;"831), G811&amp;RIGHT(INDIRECT(ADDRESS(ROW(G812)-1, 'From Order'!$A812)), 1), G811))"),"DTRLRQPDSSGHWQPB")</f>
        <v>DTRLRQPDSSGHWQPB</v>
      </c>
      <c r="H812" s="2" t="str">
        <f>IFERROR(__xludf.DUMMYFUNCTION("IF('From Order'!$A812=COLUMNS($A812:H831), LEFT(INDEX(FILTER(H$1:H811, H$1:H811&lt;&gt;""""),COUNTA(FILTER(H$1:H811, H$1:H811&lt;&gt;""""))), LEN(INDEX(FILTER(H$1:H811, H$1:H811&lt;&gt;""""),COUNTA(FILTER(H$1:H811, H$1:H811&lt;&gt;""""))))-1), IF('To Order'!$A812=COLUMNS($A812:H"&amp;"831), H811&amp;RIGHT(INDIRECT(ADDRESS(ROW(H812)-1, 'From Order'!$A812)), 1), H811))"),"M")</f>
        <v>M</v>
      </c>
      <c r="I812" s="2" t="str">
        <f>IFERROR(__xludf.DUMMYFUNCTION("IF('From Order'!$A812=COLUMNS($A812:I831), LEFT(INDEX(FILTER(I$1:I811, I$1:I811&lt;&gt;""""),COUNTA(FILTER(I$1:I811, I$1:I811&lt;&gt;""""))), LEN(INDEX(FILTER(I$1:I811, I$1:I811&lt;&gt;""""),COUNTA(FILTER(I$1:I811, I$1:I811&lt;&gt;""""))))-1), IF('To Order'!$A812=COLUMNS($A812:I"&amp;"831), I811&amp;RIGHT(INDIRECT(ADDRESS(ROW(I812)-1, 'From Order'!$A812)), 1), I811))"),"")</f>
        <v/>
      </c>
    </row>
    <row r="813">
      <c r="A813" s="2" t="str">
        <f>IFERROR(__xludf.DUMMYFUNCTION("IF('From Order'!$A813=COLUMNS($A813:A832), LEFT(INDEX(FILTER(A$1:A812, A$1:A812&lt;&gt;""""),COUNTA(FILTER(A$1:A812, A$1:A812&lt;&gt;""""))), LEN(INDEX(FILTER(A$1:A812, A$1:A812&lt;&gt;""""),COUNTA(FILTER(A$1:A812, A$1:A812&lt;&gt;""""))))-1), IF('To Order'!$A813=COLUMNS($A813:A"&amp;"832), A812&amp;RIGHT(INDIRECT(ADDRESS(ROW(A813)-1, 'From Order'!$A813)), 1), A812))"),"DB")</f>
        <v>DB</v>
      </c>
      <c r="B813" s="2" t="str">
        <f>IFERROR(__xludf.DUMMYFUNCTION("IF('From Order'!$A813=COLUMNS($A813:B832), LEFT(INDEX(FILTER(B$1:B812, B$1:B812&lt;&gt;""""),COUNTA(FILTER(B$1:B812, B$1:B812&lt;&gt;""""))), LEN(INDEX(FILTER(B$1:B812, B$1:B812&lt;&gt;""""),COUNTA(FILTER(B$1:B812, B$1:B812&lt;&gt;""""))))-1), IF('To Order'!$A813=COLUMNS($A813:B"&amp;"832), B812&amp;RIGHT(INDIRECT(ADDRESS(ROW(B813)-1, 'From Order'!$A813)), 1), B812))"),"JZRDCJTTC")</f>
        <v>JZRDCJTTC</v>
      </c>
      <c r="C813" s="2" t="str">
        <f>IFERROR(__xludf.DUMMYFUNCTION("IF('From Order'!$A813=COLUMNS($A813:C832), LEFT(INDEX(FILTER(C$1:C812, C$1:C812&lt;&gt;""""),COUNTA(FILTER(C$1:C812, C$1:C812&lt;&gt;""""))), LEN(INDEX(FILTER(C$1:C812, C$1:C812&lt;&gt;""""),COUNTA(FILTER(C$1:C812, C$1:C812&lt;&gt;""""))))-1), IF('To Order'!$A813=COLUMNS($A813:C"&amp;"832), C812&amp;RIGHT(INDIRECT(ADDRESS(ROW(C813)-1, 'From Order'!$A813)), 1), C812))"),"LBSGD")</f>
        <v>LBSGD</v>
      </c>
      <c r="D813" s="2" t="str">
        <f>IFERROR(__xludf.DUMMYFUNCTION("IF('From Order'!$A813=COLUMNS($A813:D832), LEFT(INDEX(FILTER(D$1:D812, D$1:D812&lt;&gt;""""),COUNTA(FILTER(D$1:D812, D$1:D812&lt;&gt;""""))), LEN(INDEX(FILTER(D$1:D812, D$1:D812&lt;&gt;""""),COUNTA(FILTER(D$1:D812, D$1:D812&lt;&gt;""""))))-1), IF('To Order'!$A813=COLUMNS($A813:D"&amp;"832), D812&amp;RIGHT(INDIRECT(ADDRESS(ROW(D813)-1, 'From Order'!$A813)), 1), D812))"),"TM")</f>
        <v>TM</v>
      </c>
      <c r="E813" s="2" t="str">
        <f>IFERROR(__xludf.DUMMYFUNCTION("IF('From Order'!$A813=COLUMNS($A813:E832), LEFT(INDEX(FILTER(E$1:E812, E$1:E812&lt;&gt;""""),COUNTA(FILTER(E$1:E812, E$1:E812&lt;&gt;""""))), LEN(INDEX(FILTER(E$1:E812, E$1:E812&lt;&gt;""""),COUNTA(FILTER(E$1:E812, E$1:E812&lt;&gt;""""))))-1), IF('To Order'!$A813=COLUMNS($A813:E"&amp;"832), E812&amp;RIGHT(INDIRECT(ADDRESS(ROW(E813)-1, 'From Order'!$A813)), 1), E812))"),"PVJCVRZHMFB")</f>
        <v>PVJCVRZHMFB</v>
      </c>
      <c r="F813" s="2" t="str">
        <f>IFERROR(__xludf.DUMMYFUNCTION("IF('From Order'!$A813=COLUMNS($A813:F832), LEFT(INDEX(FILTER(F$1:F812, F$1:F812&lt;&gt;""""),COUNTA(FILTER(F$1:F812, F$1:F812&lt;&gt;""""))), LEN(INDEX(FILTER(F$1:F812, F$1:F812&lt;&gt;""""),COUNTA(FILTER(F$1:F812, F$1:F812&lt;&gt;""""))))-1), IF('To Order'!$A813=COLUMNS($A813:F"&amp;"832), F812&amp;RIGHT(INDIRECT(ADDRESS(ROW(F813)-1, 'From Order'!$A813)), 1), F812))"),"FSLTTWRDV")</f>
        <v>FSLTTWRDV</v>
      </c>
      <c r="G813" s="2" t="str">
        <f>IFERROR(__xludf.DUMMYFUNCTION("IF('From Order'!$A813=COLUMNS($A813:G832), LEFT(INDEX(FILTER(G$1:G812, G$1:G812&lt;&gt;""""),COUNTA(FILTER(G$1:G812, G$1:G812&lt;&gt;""""))), LEN(INDEX(FILTER(G$1:G812, G$1:G812&lt;&gt;""""),COUNTA(FILTER(G$1:G812, G$1:G812&lt;&gt;""""))))-1), IF('To Order'!$A813=COLUMNS($A813:G"&amp;"832), G812&amp;RIGHT(INDIRECT(ADDRESS(ROW(G813)-1, 'From Order'!$A813)), 1), G812))"),"DTRLRQPDSSGHWQPB")</f>
        <v>DTRLRQPDSSGHWQPB</v>
      </c>
      <c r="H813" s="2" t="str">
        <f>IFERROR(__xludf.DUMMYFUNCTION("IF('From Order'!$A813=COLUMNS($A813:H832), LEFT(INDEX(FILTER(H$1:H812, H$1:H812&lt;&gt;""""),COUNTA(FILTER(H$1:H812, H$1:H812&lt;&gt;""""))), LEN(INDEX(FILTER(H$1:H812, H$1:H812&lt;&gt;""""),COUNTA(FILTER(H$1:H812, H$1:H812&lt;&gt;""""))))-1), IF('To Order'!$A813=COLUMNS($A813:H"&amp;"832), H812&amp;RIGHT(INDIRECT(ADDRESS(ROW(H813)-1, 'From Order'!$A813)), 1), H812))"),"MZ")</f>
        <v>MZ</v>
      </c>
      <c r="I813" s="2" t="str">
        <f>IFERROR(__xludf.DUMMYFUNCTION("IF('From Order'!$A813=COLUMNS($A813:I832), LEFT(INDEX(FILTER(I$1:I812, I$1:I812&lt;&gt;""""),COUNTA(FILTER(I$1:I812, I$1:I812&lt;&gt;""""))), LEN(INDEX(FILTER(I$1:I812, I$1:I812&lt;&gt;""""),COUNTA(FILTER(I$1:I812, I$1:I812&lt;&gt;""""))))-1), IF('To Order'!$A813=COLUMNS($A813:I"&amp;"832), I812&amp;RIGHT(INDIRECT(ADDRESS(ROW(I813)-1, 'From Order'!$A813)), 1), I812))"),"")</f>
        <v/>
      </c>
    </row>
    <row r="814">
      <c r="A814" s="2" t="str">
        <f>IFERROR(__xludf.DUMMYFUNCTION("IF('From Order'!$A814=COLUMNS($A814:A833), LEFT(INDEX(FILTER(A$1:A813, A$1:A813&lt;&gt;""""),COUNTA(FILTER(A$1:A813, A$1:A813&lt;&gt;""""))), LEN(INDEX(FILTER(A$1:A813, A$1:A813&lt;&gt;""""),COUNTA(FILTER(A$1:A813, A$1:A813&lt;&gt;""""))))-1), IF('To Order'!$A814=COLUMNS($A814:A"&amp;"833), A813&amp;RIGHT(INDIRECT(ADDRESS(ROW(A814)-1, 'From Order'!$A814)), 1), A813))"),"DB")</f>
        <v>DB</v>
      </c>
      <c r="B814" s="2" t="str">
        <f>IFERROR(__xludf.DUMMYFUNCTION("IF('From Order'!$A814=COLUMNS($A814:B833), LEFT(INDEX(FILTER(B$1:B813, B$1:B813&lt;&gt;""""),COUNTA(FILTER(B$1:B813, B$1:B813&lt;&gt;""""))), LEN(INDEX(FILTER(B$1:B813, B$1:B813&lt;&gt;""""),COUNTA(FILTER(B$1:B813, B$1:B813&lt;&gt;""""))))-1), IF('To Order'!$A814=COLUMNS($A814:B"&amp;"833), B813&amp;RIGHT(INDIRECT(ADDRESS(ROW(B814)-1, 'From Order'!$A814)), 1), B813))"),"JZRDCJTTC")</f>
        <v>JZRDCJTTC</v>
      </c>
      <c r="C814" s="2" t="str">
        <f>IFERROR(__xludf.DUMMYFUNCTION("IF('From Order'!$A814=COLUMNS($A814:C833), LEFT(INDEX(FILTER(C$1:C813, C$1:C813&lt;&gt;""""),COUNTA(FILTER(C$1:C813, C$1:C813&lt;&gt;""""))), LEN(INDEX(FILTER(C$1:C813, C$1:C813&lt;&gt;""""),COUNTA(FILTER(C$1:C813, C$1:C813&lt;&gt;""""))))-1), IF('To Order'!$A814=COLUMNS($A814:C"&amp;"833), C813&amp;RIGHT(INDIRECT(ADDRESS(ROW(C814)-1, 'From Order'!$A814)), 1), C813))"),"LBSGD")</f>
        <v>LBSGD</v>
      </c>
      <c r="D814" s="2" t="str">
        <f>IFERROR(__xludf.DUMMYFUNCTION("IF('From Order'!$A814=COLUMNS($A814:D833), LEFT(INDEX(FILTER(D$1:D813, D$1:D813&lt;&gt;""""),COUNTA(FILTER(D$1:D813, D$1:D813&lt;&gt;""""))), LEN(INDEX(FILTER(D$1:D813, D$1:D813&lt;&gt;""""),COUNTA(FILTER(D$1:D813, D$1:D813&lt;&gt;""""))))-1), IF('To Order'!$A814=COLUMNS($A814:D"&amp;"833), D813&amp;RIGHT(INDIRECT(ADDRESS(ROW(D814)-1, 'From Order'!$A814)), 1), D813))"),"T")</f>
        <v>T</v>
      </c>
      <c r="E814" s="2" t="str">
        <f>IFERROR(__xludf.DUMMYFUNCTION("IF('From Order'!$A814=COLUMNS($A814:E833), LEFT(INDEX(FILTER(E$1:E813, E$1:E813&lt;&gt;""""),COUNTA(FILTER(E$1:E813, E$1:E813&lt;&gt;""""))), LEN(INDEX(FILTER(E$1:E813, E$1:E813&lt;&gt;""""),COUNTA(FILTER(E$1:E813, E$1:E813&lt;&gt;""""))))-1), IF('To Order'!$A814=COLUMNS($A814:E"&amp;"833), E813&amp;RIGHT(INDIRECT(ADDRESS(ROW(E814)-1, 'From Order'!$A814)), 1), E813))"),"PVJCVRZHMFB")</f>
        <v>PVJCVRZHMFB</v>
      </c>
      <c r="F814" s="2" t="str">
        <f>IFERROR(__xludf.DUMMYFUNCTION("IF('From Order'!$A814=COLUMNS($A814:F833), LEFT(INDEX(FILTER(F$1:F813, F$1:F813&lt;&gt;""""),COUNTA(FILTER(F$1:F813, F$1:F813&lt;&gt;""""))), LEN(INDEX(FILTER(F$1:F813, F$1:F813&lt;&gt;""""),COUNTA(FILTER(F$1:F813, F$1:F813&lt;&gt;""""))))-1), IF('To Order'!$A814=COLUMNS($A814:F"&amp;"833), F813&amp;RIGHT(INDIRECT(ADDRESS(ROW(F814)-1, 'From Order'!$A814)), 1), F813))"),"FSLTTWRDV")</f>
        <v>FSLTTWRDV</v>
      </c>
      <c r="G814" s="2" t="str">
        <f>IFERROR(__xludf.DUMMYFUNCTION("IF('From Order'!$A814=COLUMNS($A814:G833), LEFT(INDEX(FILTER(G$1:G813, G$1:G813&lt;&gt;""""),COUNTA(FILTER(G$1:G813, G$1:G813&lt;&gt;""""))), LEN(INDEX(FILTER(G$1:G813, G$1:G813&lt;&gt;""""),COUNTA(FILTER(G$1:G813, G$1:G813&lt;&gt;""""))))-1), IF('To Order'!$A814=COLUMNS($A814:G"&amp;"833), G813&amp;RIGHT(INDIRECT(ADDRESS(ROW(G814)-1, 'From Order'!$A814)), 1), G813))"),"DTRLRQPDSSGHWQPB")</f>
        <v>DTRLRQPDSSGHWQPB</v>
      </c>
      <c r="H814" s="2" t="str">
        <f>IFERROR(__xludf.DUMMYFUNCTION("IF('From Order'!$A814=COLUMNS($A814:H833), LEFT(INDEX(FILTER(H$1:H813, H$1:H813&lt;&gt;""""),COUNTA(FILTER(H$1:H813, H$1:H813&lt;&gt;""""))), LEN(INDEX(FILTER(H$1:H813, H$1:H813&lt;&gt;""""),COUNTA(FILTER(H$1:H813, H$1:H813&lt;&gt;""""))))-1), IF('To Order'!$A814=COLUMNS($A814:H"&amp;"833), H813&amp;RIGHT(INDIRECT(ADDRESS(ROW(H814)-1, 'From Order'!$A814)), 1), H813))"),"MZM")</f>
        <v>MZM</v>
      </c>
      <c r="I814" s="2" t="str">
        <f>IFERROR(__xludf.DUMMYFUNCTION("IF('From Order'!$A814=COLUMNS($A814:I833), LEFT(INDEX(FILTER(I$1:I813, I$1:I813&lt;&gt;""""),COUNTA(FILTER(I$1:I813, I$1:I813&lt;&gt;""""))), LEN(INDEX(FILTER(I$1:I813, I$1:I813&lt;&gt;""""),COUNTA(FILTER(I$1:I813, I$1:I813&lt;&gt;""""))))-1), IF('To Order'!$A814=COLUMNS($A814:I"&amp;"833), I813&amp;RIGHT(INDIRECT(ADDRESS(ROW(I814)-1, 'From Order'!$A814)), 1), I813))"),"")</f>
        <v/>
      </c>
    </row>
    <row r="815">
      <c r="A815" s="2" t="str">
        <f>IFERROR(__xludf.DUMMYFUNCTION("IF('From Order'!$A815=COLUMNS($A815:A834), LEFT(INDEX(FILTER(A$1:A814, A$1:A814&lt;&gt;""""),COUNTA(FILTER(A$1:A814, A$1:A814&lt;&gt;""""))), LEN(INDEX(FILTER(A$1:A814, A$1:A814&lt;&gt;""""),COUNTA(FILTER(A$1:A814, A$1:A814&lt;&gt;""""))))-1), IF('To Order'!$A815=COLUMNS($A815:A"&amp;"834), A814&amp;RIGHT(INDIRECT(ADDRESS(ROW(A815)-1, 'From Order'!$A815)), 1), A814))"),"DB")</f>
        <v>DB</v>
      </c>
      <c r="B815" s="2" t="str">
        <f>IFERROR(__xludf.DUMMYFUNCTION("IF('From Order'!$A815=COLUMNS($A815:B834), LEFT(INDEX(FILTER(B$1:B814, B$1:B814&lt;&gt;""""),COUNTA(FILTER(B$1:B814, B$1:B814&lt;&gt;""""))), LEN(INDEX(FILTER(B$1:B814, B$1:B814&lt;&gt;""""),COUNTA(FILTER(B$1:B814, B$1:B814&lt;&gt;""""))))-1), IF('To Order'!$A815=COLUMNS($A815:B"&amp;"834), B814&amp;RIGHT(INDIRECT(ADDRESS(ROW(B815)-1, 'From Order'!$A815)), 1), B814))"),"JZRDCJTTC")</f>
        <v>JZRDCJTTC</v>
      </c>
      <c r="C815" s="2" t="str">
        <f>IFERROR(__xludf.DUMMYFUNCTION("IF('From Order'!$A815=COLUMNS($A815:C834), LEFT(INDEX(FILTER(C$1:C814, C$1:C814&lt;&gt;""""),COUNTA(FILTER(C$1:C814, C$1:C814&lt;&gt;""""))), LEN(INDEX(FILTER(C$1:C814, C$1:C814&lt;&gt;""""),COUNTA(FILTER(C$1:C814, C$1:C814&lt;&gt;""""))))-1), IF('To Order'!$A815=COLUMNS($A815:C"&amp;"834), C814&amp;RIGHT(INDIRECT(ADDRESS(ROW(C815)-1, 'From Order'!$A815)), 1), C814))"),"LBSGD")</f>
        <v>LBSGD</v>
      </c>
      <c r="D815" s="2" t="str">
        <f>IFERROR(__xludf.DUMMYFUNCTION("IF('From Order'!$A815=COLUMNS($A815:D834), LEFT(INDEX(FILTER(D$1:D814, D$1:D814&lt;&gt;""""),COUNTA(FILTER(D$1:D814, D$1:D814&lt;&gt;""""))), LEN(INDEX(FILTER(D$1:D814, D$1:D814&lt;&gt;""""),COUNTA(FILTER(D$1:D814, D$1:D814&lt;&gt;""""))))-1), IF('To Order'!$A815=COLUMNS($A815:D"&amp;"834), D814&amp;RIGHT(INDIRECT(ADDRESS(ROW(D815)-1, 'From Order'!$A815)), 1), D814))"),"")</f>
        <v/>
      </c>
      <c r="E815" s="2" t="str">
        <f>IFERROR(__xludf.DUMMYFUNCTION("IF('From Order'!$A815=COLUMNS($A815:E834), LEFT(INDEX(FILTER(E$1:E814, E$1:E814&lt;&gt;""""),COUNTA(FILTER(E$1:E814, E$1:E814&lt;&gt;""""))), LEN(INDEX(FILTER(E$1:E814, E$1:E814&lt;&gt;""""),COUNTA(FILTER(E$1:E814, E$1:E814&lt;&gt;""""))))-1), IF('To Order'!$A815=COLUMNS($A815:E"&amp;"834), E814&amp;RIGHT(INDIRECT(ADDRESS(ROW(E815)-1, 'From Order'!$A815)), 1), E814))"),"PVJCVRZHMFB")</f>
        <v>PVJCVRZHMFB</v>
      </c>
      <c r="F815" s="2" t="str">
        <f>IFERROR(__xludf.DUMMYFUNCTION("IF('From Order'!$A815=COLUMNS($A815:F834), LEFT(INDEX(FILTER(F$1:F814, F$1:F814&lt;&gt;""""),COUNTA(FILTER(F$1:F814, F$1:F814&lt;&gt;""""))), LEN(INDEX(FILTER(F$1:F814, F$1:F814&lt;&gt;""""),COUNTA(FILTER(F$1:F814, F$1:F814&lt;&gt;""""))))-1), IF('To Order'!$A815=COLUMNS($A815:F"&amp;"834), F814&amp;RIGHT(INDIRECT(ADDRESS(ROW(F815)-1, 'From Order'!$A815)), 1), F814))"),"FSLTTWRDV")</f>
        <v>FSLTTWRDV</v>
      </c>
      <c r="G815" s="2" t="str">
        <f>IFERROR(__xludf.DUMMYFUNCTION("IF('From Order'!$A815=COLUMNS($A815:G834), LEFT(INDEX(FILTER(G$1:G814, G$1:G814&lt;&gt;""""),COUNTA(FILTER(G$1:G814, G$1:G814&lt;&gt;""""))), LEN(INDEX(FILTER(G$1:G814, G$1:G814&lt;&gt;""""),COUNTA(FILTER(G$1:G814, G$1:G814&lt;&gt;""""))))-1), IF('To Order'!$A815=COLUMNS($A815:G"&amp;"834), G814&amp;RIGHT(INDIRECT(ADDRESS(ROW(G815)-1, 'From Order'!$A815)), 1), G814))"),"DTRLRQPDSSGHWQPB")</f>
        <v>DTRLRQPDSSGHWQPB</v>
      </c>
      <c r="H815" s="2" t="str">
        <f>IFERROR(__xludf.DUMMYFUNCTION("IF('From Order'!$A815=COLUMNS($A815:H834), LEFT(INDEX(FILTER(H$1:H814, H$1:H814&lt;&gt;""""),COUNTA(FILTER(H$1:H814, H$1:H814&lt;&gt;""""))), LEN(INDEX(FILTER(H$1:H814, H$1:H814&lt;&gt;""""),COUNTA(FILTER(H$1:H814, H$1:H814&lt;&gt;""""))))-1), IF('To Order'!$A815=COLUMNS($A815:H"&amp;"834), H814&amp;RIGHT(INDIRECT(ADDRESS(ROW(H815)-1, 'From Order'!$A815)), 1), H814))"),"MZMT")</f>
        <v>MZMT</v>
      </c>
      <c r="I815" s="2" t="str">
        <f>IFERROR(__xludf.DUMMYFUNCTION("IF('From Order'!$A815=COLUMNS($A815:I834), LEFT(INDEX(FILTER(I$1:I814, I$1:I814&lt;&gt;""""),COUNTA(FILTER(I$1:I814, I$1:I814&lt;&gt;""""))), LEN(INDEX(FILTER(I$1:I814, I$1:I814&lt;&gt;""""),COUNTA(FILTER(I$1:I814, I$1:I814&lt;&gt;""""))))-1), IF('To Order'!$A815=COLUMNS($A815:I"&amp;"834), I814&amp;RIGHT(INDIRECT(ADDRESS(ROW(I815)-1, 'From Order'!$A815)), 1), I814))"),"")</f>
        <v/>
      </c>
    </row>
    <row r="816">
      <c r="A816" s="2" t="str">
        <f>IFERROR(__xludf.DUMMYFUNCTION("IF('From Order'!$A816=COLUMNS($A816:A835), LEFT(INDEX(FILTER(A$1:A815, A$1:A815&lt;&gt;""""),COUNTA(FILTER(A$1:A815, A$1:A815&lt;&gt;""""))), LEN(INDEX(FILTER(A$1:A815, A$1:A815&lt;&gt;""""),COUNTA(FILTER(A$1:A815, A$1:A815&lt;&gt;""""))))-1), IF('To Order'!$A816=COLUMNS($A816:A"&amp;"835), A815&amp;RIGHT(INDIRECT(ADDRESS(ROW(A816)-1, 'From Order'!$A816)), 1), A815))"),"DB")</f>
        <v>DB</v>
      </c>
      <c r="B816" s="2" t="str">
        <f>IFERROR(__xludf.DUMMYFUNCTION("IF('From Order'!$A816=COLUMNS($A816:B835), LEFT(INDEX(FILTER(B$1:B815, B$1:B815&lt;&gt;""""),COUNTA(FILTER(B$1:B815, B$1:B815&lt;&gt;""""))), LEN(INDEX(FILTER(B$1:B815, B$1:B815&lt;&gt;""""),COUNTA(FILTER(B$1:B815, B$1:B815&lt;&gt;""""))))-1), IF('To Order'!$A816=COLUMNS($A816:B"&amp;"835), B815&amp;RIGHT(INDIRECT(ADDRESS(ROW(B816)-1, 'From Order'!$A816)), 1), B815))"),"JZRDCJTTC")</f>
        <v>JZRDCJTTC</v>
      </c>
      <c r="C816" s="2" t="str">
        <f>IFERROR(__xludf.DUMMYFUNCTION("IF('From Order'!$A816=COLUMNS($A816:C835), LEFT(INDEX(FILTER(C$1:C815, C$1:C815&lt;&gt;""""),COUNTA(FILTER(C$1:C815, C$1:C815&lt;&gt;""""))), LEN(INDEX(FILTER(C$1:C815, C$1:C815&lt;&gt;""""),COUNTA(FILTER(C$1:C815, C$1:C815&lt;&gt;""""))))-1), IF('To Order'!$A816=COLUMNS($A816:C"&amp;"835), C815&amp;RIGHT(INDIRECT(ADDRESS(ROW(C816)-1, 'From Order'!$A816)), 1), C815))"),"LBSGD")</f>
        <v>LBSGD</v>
      </c>
      <c r="D816" s="2" t="str">
        <f>IFERROR(__xludf.DUMMYFUNCTION("IF('From Order'!$A816=COLUMNS($A816:D835), LEFT(INDEX(FILTER(D$1:D815, D$1:D815&lt;&gt;""""),COUNTA(FILTER(D$1:D815, D$1:D815&lt;&gt;""""))), LEN(INDEX(FILTER(D$1:D815, D$1:D815&lt;&gt;""""),COUNTA(FILTER(D$1:D815, D$1:D815&lt;&gt;""""))))-1), IF('To Order'!$A816=COLUMNS($A816:D"&amp;"835), D815&amp;RIGHT(INDIRECT(ADDRESS(ROW(D816)-1, 'From Order'!$A816)), 1), D815))"),"B")</f>
        <v>B</v>
      </c>
      <c r="E816" s="2" t="str">
        <f>IFERROR(__xludf.DUMMYFUNCTION("IF('From Order'!$A816=COLUMNS($A816:E835), LEFT(INDEX(FILTER(E$1:E815, E$1:E815&lt;&gt;""""),COUNTA(FILTER(E$1:E815, E$1:E815&lt;&gt;""""))), LEN(INDEX(FILTER(E$1:E815, E$1:E815&lt;&gt;""""),COUNTA(FILTER(E$1:E815, E$1:E815&lt;&gt;""""))))-1), IF('To Order'!$A816=COLUMNS($A816:E"&amp;"835), E815&amp;RIGHT(INDIRECT(ADDRESS(ROW(E816)-1, 'From Order'!$A816)), 1), E815))"),"PVJCVRZHMF")</f>
        <v>PVJCVRZHMF</v>
      </c>
      <c r="F816" s="2" t="str">
        <f>IFERROR(__xludf.DUMMYFUNCTION("IF('From Order'!$A816=COLUMNS($A816:F835), LEFT(INDEX(FILTER(F$1:F815, F$1:F815&lt;&gt;""""),COUNTA(FILTER(F$1:F815, F$1:F815&lt;&gt;""""))), LEN(INDEX(FILTER(F$1:F815, F$1:F815&lt;&gt;""""),COUNTA(FILTER(F$1:F815, F$1:F815&lt;&gt;""""))))-1), IF('To Order'!$A816=COLUMNS($A816:F"&amp;"835), F815&amp;RIGHT(INDIRECT(ADDRESS(ROW(F816)-1, 'From Order'!$A816)), 1), F815))"),"FSLTTWRDV")</f>
        <v>FSLTTWRDV</v>
      </c>
      <c r="G816" s="2" t="str">
        <f>IFERROR(__xludf.DUMMYFUNCTION("IF('From Order'!$A816=COLUMNS($A816:G835), LEFT(INDEX(FILTER(G$1:G815, G$1:G815&lt;&gt;""""),COUNTA(FILTER(G$1:G815, G$1:G815&lt;&gt;""""))), LEN(INDEX(FILTER(G$1:G815, G$1:G815&lt;&gt;""""),COUNTA(FILTER(G$1:G815, G$1:G815&lt;&gt;""""))))-1), IF('To Order'!$A816=COLUMNS($A816:G"&amp;"835), G815&amp;RIGHT(INDIRECT(ADDRESS(ROW(G816)-1, 'From Order'!$A816)), 1), G815))"),"DTRLRQPDSSGHWQPB")</f>
        <v>DTRLRQPDSSGHWQPB</v>
      </c>
      <c r="H816" s="2" t="str">
        <f>IFERROR(__xludf.DUMMYFUNCTION("IF('From Order'!$A816=COLUMNS($A816:H835), LEFT(INDEX(FILTER(H$1:H815, H$1:H815&lt;&gt;""""),COUNTA(FILTER(H$1:H815, H$1:H815&lt;&gt;""""))), LEN(INDEX(FILTER(H$1:H815, H$1:H815&lt;&gt;""""),COUNTA(FILTER(H$1:H815, H$1:H815&lt;&gt;""""))))-1), IF('To Order'!$A816=COLUMNS($A816:H"&amp;"835), H815&amp;RIGHT(INDIRECT(ADDRESS(ROW(H816)-1, 'From Order'!$A816)), 1), H815))"),"MZMT")</f>
        <v>MZMT</v>
      </c>
      <c r="I816" s="2" t="str">
        <f>IFERROR(__xludf.DUMMYFUNCTION("IF('From Order'!$A816=COLUMNS($A816:I835), LEFT(INDEX(FILTER(I$1:I815, I$1:I815&lt;&gt;""""),COUNTA(FILTER(I$1:I815, I$1:I815&lt;&gt;""""))), LEN(INDEX(FILTER(I$1:I815, I$1:I815&lt;&gt;""""),COUNTA(FILTER(I$1:I815, I$1:I815&lt;&gt;""""))))-1), IF('To Order'!$A816=COLUMNS($A816:I"&amp;"835), I815&amp;RIGHT(INDIRECT(ADDRESS(ROW(I816)-1, 'From Order'!$A816)), 1), I815))"),"")</f>
        <v/>
      </c>
    </row>
    <row r="817">
      <c r="A817" s="2" t="str">
        <f>IFERROR(__xludf.DUMMYFUNCTION("IF('From Order'!$A817=COLUMNS($A817:A836), LEFT(INDEX(FILTER(A$1:A816, A$1:A816&lt;&gt;""""),COUNTA(FILTER(A$1:A816, A$1:A816&lt;&gt;""""))), LEN(INDEX(FILTER(A$1:A816, A$1:A816&lt;&gt;""""),COUNTA(FILTER(A$1:A816, A$1:A816&lt;&gt;""""))))-1), IF('To Order'!$A817=COLUMNS($A817:A"&amp;"836), A816&amp;RIGHT(INDIRECT(ADDRESS(ROW(A817)-1, 'From Order'!$A817)), 1), A816))"),"DB")</f>
        <v>DB</v>
      </c>
      <c r="B817" s="2" t="str">
        <f>IFERROR(__xludf.DUMMYFUNCTION("IF('From Order'!$A817=COLUMNS($A817:B836), LEFT(INDEX(FILTER(B$1:B816, B$1:B816&lt;&gt;""""),COUNTA(FILTER(B$1:B816, B$1:B816&lt;&gt;""""))), LEN(INDEX(FILTER(B$1:B816, B$1:B816&lt;&gt;""""),COUNTA(FILTER(B$1:B816, B$1:B816&lt;&gt;""""))))-1), IF('To Order'!$A817=COLUMNS($A817:B"&amp;"836), B816&amp;RIGHT(INDIRECT(ADDRESS(ROW(B817)-1, 'From Order'!$A817)), 1), B816))"),"JZRDCJTTC")</f>
        <v>JZRDCJTTC</v>
      </c>
      <c r="C817" s="2" t="str">
        <f>IFERROR(__xludf.DUMMYFUNCTION("IF('From Order'!$A817=COLUMNS($A817:C836), LEFT(INDEX(FILTER(C$1:C816, C$1:C816&lt;&gt;""""),COUNTA(FILTER(C$1:C816, C$1:C816&lt;&gt;""""))), LEN(INDEX(FILTER(C$1:C816, C$1:C816&lt;&gt;""""),COUNTA(FILTER(C$1:C816, C$1:C816&lt;&gt;""""))))-1), IF('To Order'!$A817=COLUMNS($A817:C"&amp;"836), C816&amp;RIGHT(INDIRECT(ADDRESS(ROW(C817)-1, 'From Order'!$A817)), 1), C816))"),"LBSGD")</f>
        <v>LBSGD</v>
      </c>
      <c r="D817" s="2" t="str">
        <f>IFERROR(__xludf.DUMMYFUNCTION("IF('From Order'!$A817=COLUMNS($A817:D836), LEFT(INDEX(FILTER(D$1:D816, D$1:D816&lt;&gt;""""),COUNTA(FILTER(D$1:D816, D$1:D816&lt;&gt;""""))), LEN(INDEX(FILTER(D$1:D816, D$1:D816&lt;&gt;""""),COUNTA(FILTER(D$1:D816, D$1:D816&lt;&gt;""""))))-1), IF('To Order'!$A817=COLUMNS($A817:D"&amp;"836), D816&amp;RIGHT(INDIRECT(ADDRESS(ROW(D817)-1, 'From Order'!$A817)), 1), D816))"),"BF")</f>
        <v>BF</v>
      </c>
      <c r="E817" s="2" t="str">
        <f>IFERROR(__xludf.DUMMYFUNCTION("IF('From Order'!$A817=COLUMNS($A817:E836), LEFT(INDEX(FILTER(E$1:E816, E$1:E816&lt;&gt;""""),COUNTA(FILTER(E$1:E816, E$1:E816&lt;&gt;""""))), LEN(INDEX(FILTER(E$1:E816, E$1:E816&lt;&gt;""""),COUNTA(FILTER(E$1:E816, E$1:E816&lt;&gt;""""))))-1), IF('To Order'!$A817=COLUMNS($A817:E"&amp;"836), E816&amp;RIGHT(INDIRECT(ADDRESS(ROW(E817)-1, 'From Order'!$A817)), 1), E816))"),"PVJCVRZHM")</f>
        <v>PVJCVRZHM</v>
      </c>
      <c r="F817" s="2" t="str">
        <f>IFERROR(__xludf.DUMMYFUNCTION("IF('From Order'!$A817=COLUMNS($A817:F836), LEFT(INDEX(FILTER(F$1:F816, F$1:F816&lt;&gt;""""),COUNTA(FILTER(F$1:F816, F$1:F816&lt;&gt;""""))), LEN(INDEX(FILTER(F$1:F816, F$1:F816&lt;&gt;""""),COUNTA(FILTER(F$1:F816, F$1:F816&lt;&gt;""""))))-1), IF('To Order'!$A817=COLUMNS($A817:F"&amp;"836), F816&amp;RIGHT(INDIRECT(ADDRESS(ROW(F817)-1, 'From Order'!$A817)), 1), F816))"),"FSLTTWRDV")</f>
        <v>FSLTTWRDV</v>
      </c>
      <c r="G817" s="2" t="str">
        <f>IFERROR(__xludf.DUMMYFUNCTION("IF('From Order'!$A817=COLUMNS($A817:G836), LEFT(INDEX(FILTER(G$1:G816, G$1:G816&lt;&gt;""""),COUNTA(FILTER(G$1:G816, G$1:G816&lt;&gt;""""))), LEN(INDEX(FILTER(G$1:G816, G$1:G816&lt;&gt;""""),COUNTA(FILTER(G$1:G816, G$1:G816&lt;&gt;""""))))-1), IF('To Order'!$A817=COLUMNS($A817:G"&amp;"836), G816&amp;RIGHT(INDIRECT(ADDRESS(ROW(G817)-1, 'From Order'!$A817)), 1), G816))"),"DTRLRQPDSSGHWQPB")</f>
        <v>DTRLRQPDSSGHWQPB</v>
      </c>
      <c r="H817" s="2" t="str">
        <f>IFERROR(__xludf.DUMMYFUNCTION("IF('From Order'!$A817=COLUMNS($A817:H836), LEFT(INDEX(FILTER(H$1:H816, H$1:H816&lt;&gt;""""),COUNTA(FILTER(H$1:H816, H$1:H816&lt;&gt;""""))), LEN(INDEX(FILTER(H$1:H816, H$1:H816&lt;&gt;""""),COUNTA(FILTER(H$1:H816, H$1:H816&lt;&gt;""""))))-1), IF('To Order'!$A817=COLUMNS($A817:H"&amp;"836), H816&amp;RIGHT(INDIRECT(ADDRESS(ROW(H817)-1, 'From Order'!$A817)), 1), H816))"),"MZMT")</f>
        <v>MZMT</v>
      </c>
      <c r="I817" s="2" t="str">
        <f>IFERROR(__xludf.DUMMYFUNCTION("IF('From Order'!$A817=COLUMNS($A817:I836), LEFT(INDEX(FILTER(I$1:I816, I$1:I816&lt;&gt;""""),COUNTA(FILTER(I$1:I816, I$1:I816&lt;&gt;""""))), LEN(INDEX(FILTER(I$1:I816, I$1:I816&lt;&gt;""""),COUNTA(FILTER(I$1:I816, I$1:I816&lt;&gt;""""))))-1), IF('To Order'!$A817=COLUMNS($A817:I"&amp;"836), I816&amp;RIGHT(INDIRECT(ADDRESS(ROW(I817)-1, 'From Order'!$A817)), 1), I816))"),"")</f>
        <v/>
      </c>
    </row>
    <row r="818">
      <c r="A818" s="2" t="str">
        <f>IFERROR(__xludf.DUMMYFUNCTION("IF('From Order'!$A818=COLUMNS($A818:A837), LEFT(INDEX(FILTER(A$1:A817, A$1:A817&lt;&gt;""""),COUNTA(FILTER(A$1:A817, A$1:A817&lt;&gt;""""))), LEN(INDEX(FILTER(A$1:A817, A$1:A817&lt;&gt;""""),COUNTA(FILTER(A$1:A817, A$1:A817&lt;&gt;""""))))-1), IF('To Order'!$A818=COLUMNS($A818:A"&amp;"837), A817&amp;RIGHT(INDIRECT(ADDRESS(ROW(A818)-1, 'From Order'!$A818)), 1), A817))"),"DB")</f>
        <v>DB</v>
      </c>
      <c r="B818" s="2" t="str">
        <f>IFERROR(__xludf.DUMMYFUNCTION("IF('From Order'!$A818=COLUMNS($A818:B837), LEFT(INDEX(FILTER(B$1:B817, B$1:B817&lt;&gt;""""),COUNTA(FILTER(B$1:B817, B$1:B817&lt;&gt;""""))), LEN(INDEX(FILTER(B$1:B817, B$1:B817&lt;&gt;""""),COUNTA(FILTER(B$1:B817, B$1:B817&lt;&gt;""""))))-1), IF('To Order'!$A818=COLUMNS($A818:B"&amp;"837), B817&amp;RIGHT(INDIRECT(ADDRESS(ROW(B818)-1, 'From Order'!$A818)), 1), B817))"),"JZRDCJTTC")</f>
        <v>JZRDCJTTC</v>
      </c>
      <c r="C818" s="2" t="str">
        <f>IFERROR(__xludf.DUMMYFUNCTION("IF('From Order'!$A818=COLUMNS($A818:C837), LEFT(INDEX(FILTER(C$1:C817, C$1:C817&lt;&gt;""""),COUNTA(FILTER(C$1:C817, C$1:C817&lt;&gt;""""))), LEN(INDEX(FILTER(C$1:C817, C$1:C817&lt;&gt;""""),COUNTA(FILTER(C$1:C817, C$1:C817&lt;&gt;""""))))-1), IF('To Order'!$A818=COLUMNS($A818:C"&amp;"837), C817&amp;RIGHT(INDIRECT(ADDRESS(ROW(C818)-1, 'From Order'!$A818)), 1), C817))"),"LBSGD")</f>
        <v>LBSGD</v>
      </c>
      <c r="D818" s="2" t="str">
        <f>IFERROR(__xludf.DUMMYFUNCTION("IF('From Order'!$A818=COLUMNS($A818:D837), LEFT(INDEX(FILTER(D$1:D817, D$1:D817&lt;&gt;""""),COUNTA(FILTER(D$1:D817, D$1:D817&lt;&gt;""""))), LEN(INDEX(FILTER(D$1:D817, D$1:D817&lt;&gt;""""),COUNTA(FILTER(D$1:D817, D$1:D817&lt;&gt;""""))))-1), IF('To Order'!$A818=COLUMNS($A818:D"&amp;"837), D817&amp;RIGHT(INDIRECT(ADDRESS(ROW(D818)-1, 'From Order'!$A818)), 1), D817))"),"BFM")</f>
        <v>BFM</v>
      </c>
      <c r="E818" s="2" t="str">
        <f>IFERROR(__xludf.DUMMYFUNCTION("IF('From Order'!$A818=COLUMNS($A818:E837), LEFT(INDEX(FILTER(E$1:E817, E$1:E817&lt;&gt;""""),COUNTA(FILTER(E$1:E817, E$1:E817&lt;&gt;""""))), LEN(INDEX(FILTER(E$1:E817, E$1:E817&lt;&gt;""""),COUNTA(FILTER(E$1:E817, E$1:E817&lt;&gt;""""))))-1), IF('To Order'!$A818=COLUMNS($A818:E"&amp;"837), E817&amp;RIGHT(INDIRECT(ADDRESS(ROW(E818)-1, 'From Order'!$A818)), 1), E817))"),"PVJCVRZH")</f>
        <v>PVJCVRZH</v>
      </c>
      <c r="F818" s="2" t="str">
        <f>IFERROR(__xludf.DUMMYFUNCTION("IF('From Order'!$A818=COLUMNS($A818:F837), LEFT(INDEX(FILTER(F$1:F817, F$1:F817&lt;&gt;""""),COUNTA(FILTER(F$1:F817, F$1:F817&lt;&gt;""""))), LEN(INDEX(FILTER(F$1:F817, F$1:F817&lt;&gt;""""),COUNTA(FILTER(F$1:F817, F$1:F817&lt;&gt;""""))))-1), IF('To Order'!$A818=COLUMNS($A818:F"&amp;"837), F817&amp;RIGHT(INDIRECT(ADDRESS(ROW(F818)-1, 'From Order'!$A818)), 1), F817))"),"FSLTTWRDV")</f>
        <v>FSLTTWRDV</v>
      </c>
      <c r="G818" s="2" t="str">
        <f>IFERROR(__xludf.DUMMYFUNCTION("IF('From Order'!$A818=COLUMNS($A818:G837), LEFT(INDEX(FILTER(G$1:G817, G$1:G817&lt;&gt;""""),COUNTA(FILTER(G$1:G817, G$1:G817&lt;&gt;""""))), LEN(INDEX(FILTER(G$1:G817, G$1:G817&lt;&gt;""""),COUNTA(FILTER(G$1:G817, G$1:G817&lt;&gt;""""))))-1), IF('To Order'!$A818=COLUMNS($A818:G"&amp;"837), G817&amp;RIGHT(INDIRECT(ADDRESS(ROW(G818)-1, 'From Order'!$A818)), 1), G817))"),"DTRLRQPDSSGHWQPB")</f>
        <v>DTRLRQPDSSGHWQPB</v>
      </c>
      <c r="H818" s="2" t="str">
        <f>IFERROR(__xludf.DUMMYFUNCTION("IF('From Order'!$A818=COLUMNS($A818:H837), LEFT(INDEX(FILTER(H$1:H817, H$1:H817&lt;&gt;""""),COUNTA(FILTER(H$1:H817, H$1:H817&lt;&gt;""""))), LEN(INDEX(FILTER(H$1:H817, H$1:H817&lt;&gt;""""),COUNTA(FILTER(H$1:H817, H$1:H817&lt;&gt;""""))))-1), IF('To Order'!$A818=COLUMNS($A818:H"&amp;"837), H817&amp;RIGHT(INDIRECT(ADDRESS(ROW(H818)-1, 'From Order'!$A818)), 1), H817))"),"MZMT")</f>
        <v>MZMT</v>
      </c>
      <c r="I818" s="2" t="str">
        <f>IFERROR(__xludf.DUMMYFUNCTION("IF('From Order'!$A818=COLUMNS($A818:I837), LEFT(INDEX(FILTER(I$1:I817, I$1:I817&lt;&gt;""""),COUNTA(FILTER(I$1:I817, I$1:I817&lt;&gt;""""))), LEN(INDEX(FILTER(I$1:I817, I$1:I817&lt;&gt;""""),COUNTA(FILTER(I$1:I817, I$1:I817&lt;&gt;""""))))-1), IF('To Order'!$A818=COLUMNS($A818:I"&amp;"837), I817&amp;RIGHT(INDIRECT(ADDRESS(ROW(I818)-1, 'From Order'!$A818)), 1), I817))"),"")</f>
        <v/>
      </c>
    </row>
    <row r="819">
      <c r="A819" s="2" t="str">
        <f>IFERROR(__xludf.DUMMYFUNCTION("IF('From Order'!$A819=COLUMNS($A819:A838), LEFT(INDEX(FILTER(A$1:A818, A$1:A818&lt;&gt;""""),COUNTA(FILTER(A$1:A818, A$1:A818&lt;&gt;""""))), LEN(INDEX(FILTER(A$1:A818, A$1:A818&lt;&gt;""""),COUNTA(FILTER(A$1:A818, A$1:A818&lt;&gt;""""))))-1), IF('To Order'!$A819=COLUMNS($A819:A"&amp;"838), A818&amp;RIGHT(INDIRECT(ADDRESS(ROW(A819)-1, 'From Order'!$A819)), 1), A818))"),"DB")</f>
        <v>DB</v>
      </c>
      <c r="B819" s="2" t="str">
        <f>IFERROR(__xludf.DUMMYFUNCTION("IF('From Order'!$A819=COLUMNS($A819:B838), LEFT(INDEX(FILTER(B$1:B818, B$1:B818&lt;&gt;""""),COUNTA(FILTER(B$1:B818, B$1:B818&lt;&gt;""""))), LEN(INDEX(FILTER(B$1:B818, B$1:B818&lt;&gt;""""),COUNTA(FILTER(B$1:B818, B$1:B818&lt;&gt;""""))))-1), IF('To Order'!$A819=COLUMNS($A819:B"&amp;"838), B818&amp;RIGHT(INDIRECT(ADDRESS(ROW(B819)-1, 'From Order'!$A819)), 1), B818))"),"JZRDCJTTC")</f>
        <v>JZRDCJTTC</v>
      </c>
      <c r="C819" s="2" t="str">
        <f>IFERROR(__xludf.DUMMYFUNCTION("IF('From Order'!$A819=COLUMNS($A819:C838), LEFT(INDEX(FILTER(C$1:C818, C$1:C818&lt;&gt;""""),COUNTA(FILTER(C$1:C818, C$1:C818&lt;&gt;""""))), LEN(INDEX(FILTER(C$1:C818, C$1:C818&lt;&gt;""""),COUNTA(FILTER(C$1:C818, C$1:C818&lt;&gt;""""))))-1), IF('To Order'!$A819=COLUMNS($A819:C"&amp;"838), C818&amp;RIGHT(INDIRECT(ADDRESS(ROW(C819)-1, 'From Order'!$A819)), 1), C818))"),"LBSGD")</f>
        <v>LBSGD</v>
      </c>
      <c r="D819" s="2" t="str">
        <f>IFERROR(__xludf.DUMMYFUNCTION("IF('From Order'!$A819=COLUMNS($A819:D838), LEFT(INDEX(FILTER(D$1:D818, D$1:D818&lt;&gt;""""),COUNTA(FILTER(D$1:D818, D$1:D818&lt;&gt;""""))), LEN(INDEX(FILTER(D$1:D818, D$1:D818&lt;&gt;""""),COUNTA(FILTER(D$1:D818, D$1:D818&lt;&gt;""""))))-1), IF('To Order'!$A819=COLUMNS($A819:D"&amp;"838), D818&amp;RIGHT(INDIRECT(ADDRESS(ROW(D819)-1, 'From Order'!$A819)), 1), D818))"),"BFMH")</f>
        <v>BFMH</v>
      </c>
      <c r="E819" s="2" t="str">
        <f>IFERROR(__xludf.DUMMYFUNCTION("IF('From Order'!$A819=COLUMNS($A819:E838), LEFT(INDEX(FILTER(E$1:E818, E$1:E818&lt;&gt;""""),COUNTA(FILTER(E$1:E818, E$1:E818&lt;&gt;""""))), LEN(INDEX(FILTER(E$1:E818, E$1:E818&lt;&gt;""""),COUNTA(FILTER(E$1:E818, E$1:E818&lt;&gt;""""))))-1), IF('To Order'!$A819=COLUMNS($A819:E"&amp;"838), E818&amp;RIGHT(INDIRECT(ADDRESS(ROW(E819)-1, 'From Order'!$A819)), 1), E818))"),"PVJCVRZ")</f>
        <v>PVJCVRZ</v>
      </c>
      <c r="F819" s="2" t="str">
        <f>IFERROR(__xludf.DUMMYFUNCTION("IF('From Order'!$A819=COLUMNS($A819:F838), LEFT(INDEX(FILTER(F$1:F818, F$1:F818&lt;&gt;""""),COUNTA(FILTER(F$1:F818, F$1:F818&lt;&gt;""""))), LEN(INDEX(FILTER(F$1:F818, F$1:F818&lt;&gt;""""),COUNTA(FILTER(F$1:F818, F$1:F818&lt;&gt;""""))))-1), IF('To Order'!$A819=COLUMNS($A819:F"&amp;"838), F818&amp;RIGHT(INDIRECT(ADDRESS(ROW(F819)-1, 'From Order'!$A819)), 1), F818))"),"FSLTTWRDV")</f>
        <v>FSLTTWRDV</v>
      </c>
      <c r="G819" s="2" t="str">
        <f>IFERROR(__xludf.DUMMYFUNCTION("IF('From Order'!$A819=COLUMNS($A819:G838), LEFT(INDEX(FILTER(G$1:G818, G$1:G818&lt;&gt;""""),COUNTA(FILTER(G$1:G818, G$1:G818&lt;&gt;""""))), LEN(INDEX(FILTER(G$1:G818, G$1:G818&lt;&gt;""""),COUNTA(FILTER(G$1:G818, G$1:G818&lt;&gt;""""))))-1), IF('To Order'!$A819=COLUMNS($A819:G"&amp;"838), G818&amp;RIGHT(INDIRECT(ADDRESS(ROW(G819)-1, 'From Order'!$A819)), 1), G818))"),"DTRLRQPDSSGHWQPB")</f>
        <v>DTRLRQPDSSGHWQPB</v>
      </c>
      <c r="H819" s="2" t="str">
        <f>IFERROR(__xludf.DUMMYFUNCTION("IF('From Order'!$A819=COLUMNS($A819:H838), LEFT(INDEX(FILTER(H$1:H818, H$1:H818&lt;&gt;""""),COUNTA(FILTER(H$1:H818, H$1:H818&lt;&gt;""""))), LEN(INDEX(FILTER(H$1:H818, H$1:H818&lt;&gt;""""),COUNTA(FILTER(H$1:H818, H$1:H818&lt;&gt;""""))))-1), IF('To Order'!$A819=COLUMNS($A819:H"&amp;"838), H818&amp;RIGHT(INDIRECT(ADDRESS(ROW(H819)-1, 'From Order'!$A819)), 1), H818))"),"MZMT")</f>
        <v>MZMT</v>
      </c>
      <c r="I819" s="2" t="str">
        <f>IFERROR(__xludf.DUMMYFUNCTION("IF('From Order'!$A819=COLUMNS($A819:I838), LEFT(INDEX(FILTER(I$1:I818, I$1:I818&lt;&gt;""""),COUNTA(FILTER(I$1:I818, I$1:I818&lt;&gt;""""))), LEN(INDEX(FILTER(I$1:I818, I$1:I818&lt;&gt;""""),COUNTA(FILTER(I$1:I818, I$1:I818&lt;&gt;""""))))-1), IF('To Order'!$A819=COLUMNS($A819:I"&amp;"838), I818&amp;RIGHT(INDIRECT(ADDRESS(ROW(I819)-1, 'From Order'!$A819)), 1), I818))"),"")</f>
        <v/>
      </c>
    </row>
    <row r="820">
      <c r="A820" s="2" t="str">
        <f>IFERROR(__xludf.DUMMYFUNCTION("IF('From Order'!$A820=COLUMNS($A820:A839), LEFT(INDEX(FILTER(A$1:A819, A$1:A819&lt;&gt;""""),COUNTA(FILTER(A$1:A819, A$1:A819&lt;&gt;""""))), LEN(INDEX(FILTER(A$1:A819, A$1:A819&lt;&gt;""""),COUNTA(FILTER(A$1:A819, A$1:A819&lt;&gt;""""))))-1), IF('To Order'!$A820=COLUMNS($A820:A"&amp;"839), A819&amp;RIGHT(INDIRECT(ADDRESS(ROW(A820)-1, 'From Order'!$A820)), 1), A819))"),"DB")</f>
        <v>DB</v>
      </c>
      <c r="B820" s="2" t="str">
        <f>IFERROR(__xludf.DUMMYFUNCTION("IF('From Order'!$A820=COLUMNS($A820:B839), LEFT(INDEX(FILTER(B$1:B819, B$1:B819&lt;&gt;""""),COUNTA(FILTER(B$1:B819, B$1:B819&lt;&gt;""""))), LEN(INDEX(FILTER(B$1:B819, B$1:B819&lt;&gt;""""),COUNTA(FILTER(B$1:B819, B$1:B819&lt;&gt;""""))))-1), IF('To Order'!$A820=COLUMNS($A820:B"&amp;"839), B819&amp;RIGHT(INDIRECT(ADDRESS(ROW(B820)-1, 'From Order'!$A820)), 1), B819))"),"JZRDCJTTC")</f>
        <v>JZRDCJTTC</v>
      </c>
      <c r="C820" s="2" t="str">
        <f>IFERROR(__xludf.DUMMYFUNCTION("IF('From Order'!$A820=COLUMNS($A820:C839), LEFT(INDEX(FILTER(C$1:C819, C$1:C819&lt;&gt;""""),COUNTA(FILTER(C$1:C819, C$1:C819&lt;&gt;""""))), LEN(INDEX(FILTER(C$1:C819, C$1:C819&lt;&gt;""""),COUNTA(FILTER(C$1:C819, C$1:C819&lt;&gt;""""))))-1), IF('To Order'!$A820=COLUMNS($A820:C"&amp;"839), C819&amp;RIGHT(INDIRECT(ADDRESS(ROW(C820)-1, 'From Order'!$A820)), 1), C819))"),"LBSGD")</f>
        <v>LBSGD</v>
      </c>
      <c r="D820" s="2" t="str">
        <f>IFERROR(__xludf.DUMMYFUNCTION("IF('From Order'!$A820=COLUMNS($A820:D839), LEFT(INDEX(FILTER(D$1:D819, D$1:D819&lt;&gt;""""),COUNTA(FILTER(D$1:D819, D$1:D819&lt;&gt;""""))), LEN(INDEX(FILTER(D$1:D819, D$1:D819&lt;&gt;""""),COUNTA(FILTER(D$1:D819, D$1:D819&lt;&gt;""""))))-1), IF('To Order'!$A820=COLUMNS($A820:D"&amp;"839), D819&amp;RIGHT(INDIRECT(ADDRESS(ROW(D820)-1, 'From Order'!$A820)), 1), D819))"),"BFMHZ")</f>
        <v>BFMHZ</v>
      </c>
      <c r="E820" s="2" t="str">
        <f>IFERROR(__xludf.DUMMYFUNCTION("IF('From Order'!$A820=COLUMNS($A820:E839), LEFT(INDEX(FILTER(E$1:E819, E$1:E819&lt;&gt;""""),COUNTA(FILTER(E$1:E819, E$1:E819&lt;&gt;""""))), LEN(INDEX(FILTER(E$1:E819, E$1:E819&lt;&gt;""""),COUNTA(FILTER(E$1:E819, E$1:E819&lt;&gt;""""))))-1), IF('To Order'!$A820=COLUMNS($A820:E"&amp;"839), E819&amp;RIGHT(INDIRECT(ADDRESS(ROW(E820)-1, 'From Order'!$A820)), 1), E819))"),"PVJCVR")</f>
        <v>PVJCVR</v>
      </c>
      <c r="F820" s="2" t="str">
        <f>IFERROR(__xludf.DUMMYFUNCTION("IF('From Order'!$A820=COLUMNS($A820:F839), LEFT(INDEX(FILTER(F$1:F819, F$1:F819&lt;&gt;""""),COUNTA(FILTER(F$1:F819, F$1:F819&lt;&gt;""""))), LEN(INDEX(FILTER(F$1:F819, F$1:F819&lt;&gt;""""),COUNTA(FILTER(F$1:F819, F$1:F819&lt;&gt;""""))))-1), IF('To Order'!$A820=COLUMNS($A820:F"&amp;"839), F819&amp;RIGHT(INDIRECT(ADDRESS(ROW(F820)-1, 'From Order'!$A820)), 1), F819))"),"FSLTTWRDV")</f>
        <v>FSLTTWRDV</v>
      </c>
      <c r="G820" s="2" t="str">
        <f>IFERROR(__xludf.DUMMYFUNCTION("IF('From Order'!$A820=COLUMNS($A820:G839), LEFT(INDEX(FILTER(G$1:G819, G$1:G819&lt;&gt;""""),COUNTA(FILTER(G$1:G819, G$1:G819&lt;&gt;""""))), LEN(INDEX(FILTER(G$1:G819, G$1:G819&lt;&gt;""""),COUNTA(FILTER(G$1:G819, G$1:G819&lt;&gt;""""))))-1), IF('To Order'!$A820=COLUMNS($A820:G"&amp;"839), G819&amp;RIGHT(INDIRECT(ADDRESS(ROW(G820)-1, 'From Order'!$A820)), 1), G819))"),"DTRLRQPDSSGHWQPB")</f>
        <v>DTRLRQPDSSGHWQPB</v>
      </c>
      <c r="H820" s="2" t="str">
        <f>IFERROR(__xludf.DUMMYFUNCTION("IF('From Order'!$A820=COLUMNS($A820:H839), LEFT(INDEX(FILTER(H$1:H819, H$1:H819&lt;&gt;""""),COUNTA(FILTER(H$1:H819, H$1:H819&lt;&gt;""""))), LEN(INDEX(FILTER(H$1:H819, H$1:H819&lt;&gt;""""),COUNTA(FILTER(H$1:H819, H$1:H819&lt;&gt;""""))))-1), IF('To Order'!$A820=COLUMNS($A820:H"&amp;"839), H819&amp;RIGHT(INDIRECT(ADDRESS(ROW(H820)-1, 'From Order'!$A820)), 1), H819))"),"MZMT")</f>
        <v>MZMT</v>
      </c>
      <c r="I820" s="2" t="str">
        <f>IFERROR(__xludf.DUMMYFUNCTION("IF('From Order'!$A820=COLUMNS($A820:I839), LEFT(INDEX(FILTER(I$1:I819, I$1:I819&lt;&gt;""""),COUNTA(FILTER(I$1:I819, I$1:I819&lt;&gt;""""))), LEN(INDEX(FILTER(I$1:I819, I$1:I819&lt;&gt;""""),COUNTA(FILTER(I$1:I819, I$1:I819&lt;&gt;""""))))-1), IF('To Order'!$A820=COLUMNS($A820:I"&amp;"839), I819&amp;RIGHT(INDIRECT(ADDRESS(ROW(I820)-1, 'From Order'!$A820)), 1), I819))"),"")</f>
        <v/>
      </c>
    </row>
    <row r="821">
      <c r="A821" s="2" t="str">
        <f>IFERROR(__xludf.DUMMYFUNCTION("IF('From Order'!$A821=COLUMNS($A821:A840), LEFT(INDEX(FILTER(A$1:A820, A$1:A820&lt;&gt;""""),COUNTA(FILTER(A$1:A820, A$1:A820&lt;&gt;""""))), LEN(INDEX(FILTER(A$1:A820, A$1:A820&lt;&gt;""""),COUNTA(FILTER(A$1:A820, A$1:A820&lt;&gt;""""))))-1), IF('To Order'!$A821=COLUMNS($A821:A"&amp;"840), A820&amp;RIGHT(INDIRECT(ADDRESS(ROW(A821)-1, 'From Order'!$A821)), 1), A820))"),"DB")</f>
        <v>DB</v>
      </c>
      <c r="B821" s="2" t="str">
        <f>IFERROR(__xludf.DUMMYFUNCTION("IF('From Order'!$A821=COLUMNS($A821:B840), LEFT(INDEX(FILTER(B$1:B820, B$1:B820&lt;&gt;""""),COUNTA(FILTER(B$1:B820, B$1:B820&lt;&gt;""""))), LEN(INDEX(FILTER(B$1:B820, B$1:B820&lt;&gt;""""),COUNTA(FILTER(B$1:B820, B$1:B820&lt;&gt;""""))))-1), IF('To Order'!$A821=COLUMNS($A821:B"&amp;"840), B820&amp;RIGHT(INDIRECT(ADDRESS(ROW(B821)-1, 'From Order'!$A821)), 1), B820))"),"JZRDCJTTC")</f>
        <v>JZRDCJTTC</v>
      </c>
      <c r="C821" s="2" t="str">
        <f>IFERROR(__xludf.DUMMYFUNCTION("IF('From Order'!$A821=COLUMNS($A821:C840), LEFT(INDEX(FILTER(C$1:C820, C$1:C820&lt;&gt;""""),COUNTA(FILTER(C$1:C820, C$1:C820&lt;&gt;""""))), LEN(INDEX(FILTER(C$1:C820, C$1:C820&lt;&gt;""""),COUNTA(FILTER(C$1:C820, C$1:C820&lt;&gt;""""))))-1), IF('To Order'!$A821=COLUMNS($A821:C"&amp;"840), C820&amp;RIGHT(INDIRECT(ADDRESS(ROW(C821)-1, 'From Order'!$A821)), 1), C820))"),"LBSG")</f>
        <v>LBSG</v>
      </c>
      <c r="D821" s="2" t="str">
        <f>IFERROR(__xludf.DUMMYFUNCTION("IF('From Order'!$A821=COLUMNS($A821:D840), LEFT(INDEX(FILTER(D$1:D820, D$1:D820&lt;&gt;""""),COUNTA(FILTER(D$1:D820, D$1:D820&lt;&gt;""""))), LEN(INDEX(FILTER(D$1:D820, D$1:D820&lt;&gt;""""),COUNTA(FILTER(D$1:D820, D$1:D820&lt;&gt;""""))))-1), IF('To Order'!$A821=COLUMNS($A821:D"&amp;"840), D820&amp;RIGHT(INDIRECT(ADDRESS(ROW(D821)-1, 'From Order'!$A821)), 1), D820))"),"BFMHZ")</f>
        <v>BFMHZ</v>
      </c>
      <c r="E821" s="2" t="str">
        <f>IFERROR(__xludf.DUMMYFUNCTION("IF('From Order'!$A821=COLUMNS($A821:E840), LEFT(INDEX(FILTER(E$1:E820, E$1:E820&lt;&gt;""""),COUNTA(FILTER(E$1:E820, E$1:E820&lt;&gt;""""))), LEN(INDEX(FILTER(E$1:E820, E$1:E820&lt;&gt;""""),COUNTA(FILTER(E$1:E820, E$1:E820&lt;&gt;""""))))-1), IF('To Order'!$A821=COLUMNS($A821:E"&amp;"840), E820&amp;RIGHT(INDIRECT(ADDRESS(ROW(E821)-1, 'From Order'!$A821)), 1), E820))"),"PVJCVR")</f>
        <v>PVJCVR</v>
      </c>
      <c r="F821" s="2" t="str">
        <f>IFERROR(__xludf.DUMMYFUNCTION("IF('From Order'!$A821=COLUMNS($A821:F840), LEFT(INDEX(FILTER(F$1:F820, F$1:F820&lt;&gt;""""),COUNTA(FILTER(F$1:F820, F$1:F820&lt;&gt;""""))), LEN(INDEX(FILTER(F$1:F820, F$1:F820&lt;&gt;""""),COUNTA(FILTER(F$1:F820, F$1:F820&lt;&gt;""""))))-1), IF('To Order'!$A821=COLUMNS($A821:F"&amp;"840), F820&amp;RIGHT(INDIRECT(ADDRESS(ROW(F821)-1, 'From Order'!$A821)), 1), F820))"),"FSLTTWRDV")</f>
        <v>FSLTTWRDV</v>
      </c>
      <c r="G821" s="2" t="str">
        <f>IFERROR(__xludf.DUMMYFUNCTION("IF('From Order'!$A821=COLUMNS($A821:G840), LEFT(INDEX(FILTER(G$1:G820, G$1:G820&lt;&gt;""""),COUNTA(FILTER(G$1:G820, G$1:G820&lt;&gt;""""))), LEN(INDEX(FILTER(G$1:G820, G$1:G820&lt;&gt;""""),COUNTA(FILTER(G$1:G820, G$1:G820&lt;&gt;""""))))-1), IF('To Order'!$A821=COLUMNS($A821:G"&amp;"840), G820&amp;RIGHT(INDIRECT(ADDRESS(ROW(G821)-1, 'From Order'!$A821)), 1), G820))"),"DTRLRQPDSSGHWQPB")</f>
        <v>DTRLRQPDSSGHWQPB</v>
      </c>
      <c r="H821" s="2" t="str">
        <f>IFERROR(__xludf.DUMMYFUNCTION("IF('From Order'!$A821=COLUMNS($A821:H840), LEFT(INDEX(FILTER(H$1:H820, H$1:H820&lt;&gt;""""),COUNTA(FILTER(H$1:H820, H$1:H820&lt;&gt;""""))), LEN(INDEX(FILTER(H$1:H820, H$1:H820&lt;&gt;""""),COUNTA(FILTER(H$1:H820, H$1:H820&lt;&gt;""""))))-1), IF('To Order'!$A821=COLUMNS($A821:H"&amp;"840), H820&amp;RIGHT(INDIRECT(ADDRESS(ROW(H821)-1, 'From Order'!$A821)), 1), H820))"),"MZMTD")</f>
        <v>MZMTD</v>
      </c>
      <c r="I821" s="2" t="str">
        <f>IFERROR(__xludf.DUMMYFUNCTION("IF('From Order'!$A821=COLUMNS($A821:I840), LEFT(INDEX(FILTER(I$1:I820, I$1:I820&lt;&gt;""""),COUNTA(FILTER(I$1:I820, I$1:I820&lt;&gt;""""))), LEN(INDEX(FILTER(I$1:I820, I$1:I820&lt;&gt;""""),COUNTA(FILTER(I$1:I820, I$1:I820&lt;&gt;""""))))-1), IF('To Order'!$A821=COLUMNS($A821:I"&amp;"840), I820&amp;RIGHT(INDIRECT(ADDRESS(ROW(I821)-1, 'From Order'!$A821)), 1), I820))"),"")</f>
        <v/>
      </c>
    </row>
    <row r="822">
      <c r="A822" s="2" t="str">
        <f>IFERROR(__xludf.DUMMYFUNCTION("IF('From Order'!$A822=COLUMNS($A822:A841), LEFT(INDEX(FILTER(A$1:A821, A$1:A821&lt;&gt;""""),COUNTA(FILTER(A$1:A821, A$1:A821&lt;&gt;""""))), LEN(INDEX(FILTER(A$1:A821, A$1:A821&lt;&gt;""""),COUNTA(FILTER(A$1:A821, A$1:A821&lt;&gt;""""))))-1), IF('To Order'!$A822=COLUMNS($A822:A"&amp;"841), A821&amp;RIGHT(INDIRECT(ADDRESS(ROW(A822)-1, 'From Order'!$A822)), 1), A821))"),"D")</f>
        <v>D</v>
      </c>
      <c r="B822" s="2" t="str">
        <f>IFERROR(__xludf.DUMMYFUNCTION("IF('From Order'!$A822=COLUMNS($A822:B841), LEFT(INDEX(FILTER(B$1:B821, B$1:B821&lt;&gt;""""),COUNTA(FILTER(B$1:B821, B$1:B821&lt;&gt;""""))), LEN(INDEX(FILTER(B$1:B821, B$1:B821&lt;&gt;""""),COUNTA(FILTER(B$1:B821, B$1:B821&lt;&gt;""""))))-1), IF('To Order'!$A822=COLUMNS($A822:B"&amp;"841), B821&amp;RIGHT(INDIRECT(ADDRESS(ROW(B822)-1, 'From Order'!$A822)), 1), B821))"),"JZRDCJTTC")</f>
        <v>JZRDCJTTC</v>
      </c>
      <c r="C822" s="2" t="str">
        <f>IFERROR(__xludf.DUMMYFUNCTION("IF('From Order'!$A822=COLUMNS($A822:C841), LEFT(INDEX(FILTER(C$1:C821, C$1:C821&lt;&gt;""""),COUNTA(FILTER(C$1:C821, C$1:C821&lt;&gt;""""))), LEN(INDEX(FILTER(C$1:C821, C$1:C821&lt;&gt;""""),COUNTA(FILTER(C$1:C821, C$1:C821&lt;&gt;""""))))-1), IF('To Order'!$A822=COLUMNS($A822:C"&amp;"841), C821&amp;RIGHT(INDIRECT(ADDRESS(ROW(C822)-1, 'From Order'!$A822)), 1), C821))"),"LBSG")</f>
        <v>LBSG</v>
      </c>
      <c r="D822" s="2" t="str">
        <f>IFERROR(__xludf.DUMMYFUNCTION("IF('From Order'!$A822=COLUMNS($A822:D841), LEFT(INDEX(FILTER(D$1:D821, D$1:D821&lt;&gt;""""),COUNTA(FILTER(D$1:D821, D$1:D821&lt;&gt;""""))), LEN(INDEX(FILTER(D$1:D821, D$1:D821&lt;&gt;""""),COUNTA(FILTER(D$1:D821, D$1:D821&lt;&gt;""""))))-1), IF('To Order'!$A822=COLUMNS($A822:D"&amp;"841), D821&amp;RIGHT(INDIRECT(ADDRESS(ROW(D822)-1, 'From Order'!$A822)), 1), D821))"),"BFMHZ")</f>
        <v>BFMHZ</v>
      </c>
      <c r="E822" s="2" t="str">
        <f>IFERROR(__xludf.DUMMYFUNCTION("IF('From Order'!$A822=COLUMNS($A822:E841), LEFT(INDEX(FILTER(E$1:E821, E$1:E821&lt;&gt;""""),COUNTA(FILTER(E$1:E821, E$1:E821&lt;&gt;""""))), LEN(INDEX(FILTER(E$1:E821, E$1:E821&lt;&gt;""""),COUNTA(FILTER(E$1:E821, E$1:E821&lt;&gt;""""))))-1), IF('To Order'!$A822=COLUMNS($A822:E"&amp;"841), E821&amp;RIGHT(INDIRECT(ADDRESS(ROW(E822)-1, 'From Order'!$A822)), 1), E821))"),"PVJCVR")</f>
        <v>PVJCVR</v>
      </c>
      <c r="F822" s="2" t="str">
        <f>IFERROR(__xludf.DUMMYFUNCTION("IF('From Order'!$A822=COLUMNS($A822:F841), LEFT(INDEX(FILTER(F$1:F821, F$1:F821&lt;&gt;""""),COUNTA(FILTER(F$1:F821, F$1:F821&lt;&gt;""""))), LEN(INDEX(FILTER(F$1:F821, F$1:F821&lt;&gt;""""),COUNTA(FILTER(F$1:F821, F$1:F821&lt;&gt;""""))))-1), IF('To Order'!$A822=COLUMNS($A822:F"&amp;"841), F821&amp;RIGHT(INDIRECT(ADDRESS(ROW(F822)-1, 'From Order'!$A822)), 1), F821))"),"FSLTTWRDV")</f>
        <v>FSLTTWRDV</v>
      </c>
      <c r="G822" s="2" t="str">
        <f>IFERROR(__xludf.DUMMYFUNCTION("IF('From Order'!$A822=COLUMNS($A822:G841), LEFT(INDEX(FILTER(G$1:G821, G$1:G821&lt;&gt;""""),COUNTA(FILTER(G$1:G821, G$1:G821&lt;&gt;""""))), LEN(INDEX(FILTER(G$1:G821, G$1:G821&lt;&gt;""""),COUNTA(FILTER(G$1:G821, G$1:G821&lt;&gt;""""))))-1), IF('To Order'!$A822=COLUMNS($A822:G"&amp;"841), G821&amp;RIGHT(INDIRECT(ADDRESS(ROW(G822)-1, 'From Order'!$A822)), 1), G821))"),"DTRLRQPDSSGHWQPB")</f>
        <v>DTRLRQPDSSGHWQPB</v>
      </c>
      <c r="H822" s="2" t="str">
        <f>IFERROR(__xludf.DUMMYFUNCTION("IF('From Order'!$A822=COLUMNS($A822:H841), LEFT(INDEX(FILTER(H$1:H821, H$1:H821&lt;&gt;""""),COUNTA(FILTER(H$1:H821, H$1:H821&lt;&gt;""""))), LEN(INDEX(FILTER(H$1:H821, H$1:H821&lt;&gt;""""),COUNTA(FILTER(H$1:H821, H$1:H821&lt;&gt;""""))))-1), IF('To Order'!$A822=COLUMNS($A822:H"&amp;"841), H821&amp;RIGHT(INDIRECT(ADDRESS(ROW(H822)-1, 'From Order'!$A822)), 1), H821))"),"MZMTDB")</f>
        <v>MZMTDB</v>
      </c>
      <c r="I822" s="2" t="str">
        <f>IFERROR(__xludf.DUMMYFUNCTION("IF('From Order'!$A822=COLUMNS($A822:I841), LEFT(INDEX(FILTER(I$1:I821, I$1:I821&lt;&gt;""""),COUNTA(FILTER(I$1:I821, I$1:I821&lt;&gt;""""))), LEN(INDEX(FILTER(I$1:I821, I$1:I821&lt;&gt;""""),COUNTA(FILTER(I$1:I821, I$1:I821&lt;&gt;""""))))-1), IF('To Order'!$A822=COLUMNS($A822:I"&amp;"841), I821&amp;RIGHT(INDIRECT(ADDRESS(ROW(I822)-1, 'From Order'!$A822)), 1), I821))"),"")</f>
        <v/>
      </c>
    </row>
    <row r="823">
      <c r="A823" s="2" t="str">
        <f>IFERROR(__xludf.DUMMYFUNCTION("IF('From Order'!$A823=COLUMNS($A823:A842), LEFT(INDEX(FILTER(A$1:A822, A$1:A822&lt;&gt;""""),COUNTA(FILTER(A$1:A822, A$1:A822&lt;&gt;""""))), LEN(INDEX(FILTER(A$1:A822, A$1:A822&lt;&gt;""""),COUNTA(FILTER(A$1:A822, A$1:A822&lt;&gt;""""))))-1), IF('To Order'!$A823=COLUMNS($A823:A"&amp;"842), A822&amp;RIGHT(INDIRECT(ADDRESS(ROW(A823)-1, 'From Order'!$A823)), 1), A822))"),"")</f>
        <v/>
      </c>
      <c r="B823" s="2" t="str">
        <f>IFERROR(__xludf.DUMMYFUNCTION("IF('From Order'!$A823=COLUMNS($A823:B842), LEFT(INDEX(FILTER(B$1:B822, B$1:B822&lt;&gt;""""),COUNTA(FILTER(B$1:B822, B$1:B822&lt;&gt;""""))), LEN(INDEX(FILTER(B$1:B822, B$1:B822&lt;&gt;""""),COUNTA(FILTER(B$1:B822, B$1:B822&lt;&gt;""""))))-1), IF('To Order'!$A823=COLUMNS($A823:B"&amp;"842), B822&amp;RIGHT(INDIRECT(ADDRESS(ROW(B823)-1, 'From Order'!$A823)), 1), B822))"),"JZRDCJTTC")</f>
        <v>JZRDCJTTC</v>
      </c>
      <c r="C823" s="2" t="str">
        <f>IFERROR(__xludf.DUMMYFUNCTION("IF('From Order'!$A823=COLUMNS($A823:C842), LEFT(INDEX(FILTER(C$1:C822, C$1:C822&lt;&gt;""""),COUNTA(FILTER(C$1:C822, C$1:C822&lt;&gt;""""))), LEN(INDEX(FILTER(C$1:C822, C$1:C822&lt;&gt;""""),COUNTA(FILTER(C$1:C822, C$1:C822&lt;&gt;""""))))-1), IF('To Order'!$A823=COLUMNS($A823:C"&amp;"842), C822&amp;RIGHT(INDIRECT(ADDRESS(ROW(C823)-1, 'From Order'!$A823)), 1), C822))"),"LBSG")</f>
        <v>LBSG</v>
      </c>
      <c r="D823" s="2" t="str">
        <f>IFERROR(__xludf.DUMMYFUNCTION("IF('From Order'!$A823=COLUMNS($A823:D842), LEFT(INDEX(FILTER(D$1:D822, D$1:D822&lt;&gt;""""),COUNTA(FILTER(D$1:D822, D$1:D822&lt;&gt;""""))), LEN(INDEX(FILTER(D$1:D822, D$1:D822&lt;&gt;""""),COUNTA(FILTER(D$1:D822, D$1:D822&lt;&gt;""""))))-1), IF('To Order'!$A823=COLUMNS($A823:D"&amp;"842), D822&amp;RIGHT(INDIRECT(ADDRESS(ROW(D823)-1, 'From Order'!$A823)), 1), D822))"),"BFMHZ")</f>
        <v>BFMHZ</v>
      </c>
      <c r="E823" s="2" t="str">
        <f>IFERROR(__xludf.DUMMYFUNCTION("IF('From Order'!$A823=COLUMNS($A823:E842), LEFT(INDEX(FILTER(E$1:E822, E$1:E822&lt;&gt;""""),COUNTA(FILTER(E$1:E822, E$1:E822&lt;&gt;""""))), LEN(INDEX(FILTER(E$1:E822, E$1:E822&lt;&gt;""""),COUNTA(FILTER(E$1:E822, E$1:E822&lt;&gt;""""))))-1), IF('To Order'!$A823=COLUMNS($A823:E"&amp;"842), E822&amp;RIGHT(INDIRECT(ADDRESS(ROW(E823)-1, 'From Order'!$A823)), 1), E822))"),"PVJCVR")</f>
        <v>PVJCVR</v>
      </c>
      <c r="F823" s="2" t="str">
        <f>IFERROR(__xludf.DUMMYFUNCTION("IF('From Order'!$A823=COLUMNS($A823:F842), LEFT(INDEX(FILTER(F$1:F822, F$1:F822&lt;&gt;""""),COUNTA(FILTER(F$1:F822, F$1:F822&lt;&gt;""""))), LEN(INDEX(FILTER(F$1:F822, F$1:F822&lt;&gt;""""),COUNTA(FILTER(F$1:F822, F$1:F822&lt;&gt;""""))))-1), IF('To Order'!$A823=COLUMNS($A823:F"&amp;"842), F822&amp;RIGHT(INDIRECT(ADDRESS(ROW(F823)-1, 'From Order'!$A823)), 1), F822))"),"FSLTTWRDV")</f>
        <v>FSLTTWRDV</v>
      </c>
      <c r="G823" s="2" t="str">
        <f>IFERROR(__xludf.DUMMYFUNCTION("IF('From Order'!$A823=COLUMNS($A823:G842), LEFT(INDEX(FILTER(G$1:G822, G$1:G822&lt;&gt;""""),COUNTA(FILTER(G$1:G822, G$1:G822&lt;&gt;""""))), LEN(INDEX(FILTER(G$1:G822, G$1:G822&lt;&gt;""""),COUNTA(FILTER(G$1:G822, G$1:G822&lt;&gt;""""))))-1), IF('To Order'!$A823=COLUMNS($A823:G"&amp;"842), G822&amp;RIGHT(INDIRECT(ADDRESS(ROW(G823)-1, 'From Order'!$A823)), 1), G822))"),"DTRLRQPDSSGHWQPB")</f>
        <v>DTRLRQPDSSGHWQPB</v>
      </c>
      <c r="H823" s="2" t="str">
        <f>IFERROR(__xludf.DUMMYFUNCTION("IF('From Order'!$A823=COLUMNS($A823:H842), LEFT(INDEX(FILTER(H$1:H822, H$1:H822&lt;&gt;""""),COUNTA(FILTER(H$1:H822, H$1:H822&lt;&gt;""""))), LEN(INDEX(FILTER(H$1:H822, H$1:H822&lt;&gt;""""),COUNTA(FILTER(H$1:H822, H$1:H822&lt;&gt;""""))))-1), IF('To Order'!$A823=COLUMNS($A823:H"&amp;"842), H822&amp;RIGHT(INDIRECT(ADDRESS(ROW(H823)-1, 'From Order'!$A823)), 1), H822))"),"MZMTDBD")</f>
        <v>MZMTDBD</v>
      </c>
      <c r="I823" s="2" t="str">
        <f>IFERROR(__xludf.DUMMYFUNCTION("IF('From Order'!$A823=COLUMNS($A823:I842), LEFT(INDEX(FILTER(I$1:I822, I$1:I822&lt;&gt;""""),COUNTA(FILTER(I$1:I822, I$1:I822&lt;&gt;""""))), LEN(INDEX(FILTER(I$1:I822, I$1:I822&lt;&gt;""""),COUNTA(FILTER(I$1:I822, I$1:I822&lt;&gt;""""))))-1), IF('To Order'!$A823=COLUMNS($A823:I"&amp;"842), I822&amp;RIGHT(INDIRECT(ADDRESS(ROW(I823)-1, 'From Order'!$A823)), 1), I822))"),"")</f>
        <v/>
      </c>
    </row>
    <row r="824">
      <c r="A824" s="2" t="str">
        <f>IFERROR(__xludf.DUMMYFUNCTION("IF('From Order'!$A824=COLUMNS($A824:A843), LEFT(INDEX(FILTER(A$1:A823, A$1:A823&lt;&gt;""""),COUNTA(FILTER(A$1:A823, A$1:A823&lt;&gt;""""))), LEN(INDEX(FILTER(A$1:A823, A$1:A823&lt;&gt;""""),COUNTA(FILTER(A$1:A823, A$1:A823&lt;&gt;""""))))-1), IF('To Order'!$A824=COLUMNS($A824:A"&amp;"843), A823&amp;RIGHT(INDIRECT(ADDRESS(ROW(A824)-1, 'From Order'!$A824)), 1), A823))"),"")</f>
        <v/>
      </c>
      <c r="B824" s="2" t="str">
        <f>IFERROR(__xludf.DUMMYFUNCTION("IF('From Order'!$A824=COLUMNS($A824:B843), LEFT(INDEX(FILTER(B$1:B823, B$1:B823&lt;&gt;""""),COUNTA(FILTER(B$1:B823, B$1:B823&lt;&gt;""""))), LEN(INDEX(FILTER(B$1:B823, B$1:B823&lt;&gt;""""),COUNTA(FILTER(B$1:B823, B$1:B823&lt;&gt;""""))))-1), IF('To Order'!$A824=COLUMNS($A824:B"&amp;"843), B823&amp;RIGHT(INDIRECT(ADDRESS(ROW(B824)-1, 'From Order'!$A824)), 1), B823))"),"JZRDCJTT")</f>
        <v>JZRDCJTT</v>
      </c>
      <c r="C824" s="2" t="str">
        <f>IFERROR(__xludf.DUMMYFUNCTION("IF('From Order'!$A824=COLUMNS($A824:C843), LEFT(INDEX(FILTER(C$1:C823, C$1:C823&lt;&gt;""""),COUNTA(FILTER(C$1:C823, C$1:C823&lt;&gt;""""))), LEN(INDEX(FILTER(C$1:C823, C$1:C823&lt;&gt;""""),COUNTA(FILTER(C$1:C823, C$1:C823&lt;&gt;""""))))-1), IF('To Order'!$A824=COLUMNS($A824:C"&amp;"843), C823&amp;RIGHT(INDIRECT(ADDRESS(ROW(C824)-1, 'From Order'!$A824)), 1), C823))"),"LBSG")</f>
        <v>LBSG</v>
      </c>
      <c r="D824" s="2" t="str">
        <f>IFERROR(__xludf.DUMMYFUNCTION("IF('From Order'!$A824=COLUMNS($A824:D843), LEFT(INDEX(FILTER(D$1:D823, D$1:D823&lt;&gt;""""),COUNTA(FILTER(D$1:D823, D$1:D823&lt;&gt;""""))), LEN(INDEX(FILTER(D$1:D823, D$1:D823&lt;&gt;""""),COUNTA(FILTER(D$1:D823, D$1:D823&lt;&gt;""""))))-1), IF('To Order'!$A824=COLUMNS($A824:D"&amp;"843), D823&amp;RIGHT(INDIRECT(ADDRESS(ROW(D824)-1, 'From Order'!$A824)), 1), D823))"),"BFMHZ")</f>
        <v>BFMHZ</v>
      </c>
      <c r="E824" s="2" t="str">
        <f>IFERROR(__xludf.DUMMYFUNCTION("IF('From Order'!$A824=COLUMNS($A824:E843), LEFT(INDEX(FILTER(E$1:E823, E$1:E823&lt;&gt;""""),COUNTA(FILTER(E$1:E823, E$1:E823&lt;&gt;""""))), LEN(INDEX(FILTER(E$1:E823, E$1:E823&lt;&gt;""""),COUNTA(FILTER(E$1:E823, E$1:E823&lt;&gt;""""))))-1), IF('To Order'!$A824=COLUMNS($A824:E"&amp;"843), E823&amp;RIGHT(INDIRECT(ADDRESS(ROW(E824)-1, 'From Order'!$A824)), 1), E823))"),"PVJCVRC")</f>
        <v>PVJCVRC</v>
      </c>
      <c r="F824" s="2" t="str">
        <f>IFERROR(__xludf.DUMMYFUNCTION("IF('From Order'!$A824=COLUMNS($A824:F843), LEFT(INDEX(FILTER(F$1:F823, F$1:F823&lt;&gt;""""),COUNTA(FILTER(F$1:F823, F$1:F823&lt;&gt;""""))), LEN(INDEX(FILTER(F$1:F823, F$1:F823&lt;&gt;""""),COUNTA(FILTER(F$1:F823, F$1:F823&lt;&gt;""""))))-1), IF('To Order'!$A824=COLUMNS($A824:F"&amp;"843), F823&amp;RIGHT(INDIRECT(ADDRESS(ROW(F824)-1, 'From Order'!$A824)), 1), F823))"),"FSLTTWRDV")</f>
        <v>FSLTTWRDV</v>
      </c>
      <c r="G824" s="2" t="str">
        <f>IFERROR(__xludf.DUMMYFUNCTION("IF('From Order'!$A824=COLUMNS($A824:G843), LEFT(INDEX(FILTER(G$1:G823, G$1:G823&lt;&gt;""""),COUNTA(FILTER(G$1:G823, G$1:G823&lt;&gt;""""))), LEN(INDEX(FILTER(G$1:G823, G$1:G823&lt;&gt;""""),COUNTA(FILTER(G$1:G823, G$1:G823&lt;&gt;""""))))-1), IF('To Order'!$A824=COLUMNS($A824:G"&amp;"843), G823&amp;RIGHT(INDIRECT(ADDRESS(ROW(G824)-1, 'From Order'!$A824)), 1), G823))"),"DTRLRQPDSSGHWQPB")</f>
        <v>DTRLRQPDSSGHWQPB</v>
      </c>
      <c r="H824" s="2" t="str">
        <f>IFERROR(__xludf.DUMMYFUNCTION("IF('From Order'!$A824=COLUMNS($A824:H843), LEFT(INDEX(FILTER(H$1:H823, H$1:H823&lt;&gt;""""),COUNTA(FILTER(H$1:H823, H$1:H823&lt;&gt;""""))), LEN(INDEX(FILTER(H$1:H823, H$1:H823&lt;&gt;""""),COUNTA(FILTER(H$1:H823, H$1:H823&lt;&gt;""""))))-1), IF('To Order'!$A824=COLUMNS($A824:H"&amp;"843), H823&amp;RIGHT(INDIRECT(ADDRESS(ROW(H824)-1, 'From Order'!$A824)), 1), H823))"),"MZMTDBD")</f>
        <v>MZMTDBD</v>
      </c>
      <c r="I824" s="2" t="str">
        <f>IFERROR(__xludf.DUMMYFUNCTION("IF('From Order'!$A824=COLUMNS($A824:I843), LEFT(INDEX(FILTER(I$1:I823, I$1:I823&lt;&gt;""""),COUNTA(FILTER(I$1:I823, I$1:I823&lt;&gt;""""))), LEN(INDEX(FILTER(I$1:I823, I$1:I823&lt;&gt;""""),COUNTA(FILTER(I$1:I823, I$1:I823&lt;&gt;""""))))-1), IF('To Order'!$A824=COLUMNS($A824:I"&amp;"843), I823&amp;RIGHT(INDIRECT(ADDRESS(ROW(I824)-1, 'From Order'!$A824)), 1), I823))"),"")</f>
        <v/>
      </c>
    </row>
    <row r="825">
      <c r="A825" s="2" t="str">
        <f>IFERROR(__xludf.DUMMYFUNCTION("IF('From Order'!$A825=COLUMNS($A825:A844), LEFT(INDEX(FILTER(A$1:A824, A$1:A824&lt;&gt;""""),COUNTA(FILTER(A$1:A824, A$1:A824&lt;&gt;""""))), LEN(INDEX(FILTER(A$1:A824, A$1:A824&lt;&gt;""""),COUNTA(FILTER(A$1:A824, A$1:A824&lt;&gt;""""))))-1), IF('To Order'!$A825=COLUMNS($A825:A"&amp;"844), A824&amp;RIGHT(INDIRECT(ADDRESS(ROW(A825)-1, 'From Order'!$A825)), 1), A824))"),"")</f>
        <v/>
      </c>
      <c r="B825" s="2" t="str">
        <f>IFERROR(__xludf.DUMMYFUNCTION("IF('From Order'!$A825=COLUMNS($A825:B844), LEFT(INDEX(FILTER(B$1:B824, B$1:B824&lt;&gt;""""),COUNTA(FILTER(B$1:B824, B$1:B824&lt;&gt;""""))), LEN(INDEX(FILTER(B$1:B824, B$1:B824&lt;&gt;""""),COUNTA(FILTER(B$1:B824, B$1:B824&lt;&gt;""""))))-1), IF('To Order'!$A825=COLUMNS($A825:B"&amp;"844), B824&amp;RIGHT(INDIRECT(ADDRESS(ROW(B825)-1, 'From Order'!$A825)), 1), B824))"),"JZRDCJT")</f>
        <v>JZRDCJT</v>
      </c>
      <c r="C825" s="2" t="str">
        <f>IFERROR(__xludf.DUMMYFUNCTION("IF('From Order'!$A825=COLUMNS($A825:C844), LEFT(INDEX(FILTER(C$1:C824, C$1:C824&lt;&gt;""""),COUNTA(FILTER(C$1:C824, C$1:C824&lt;&gt;""""))), LEN(INDEX(FILTER(C$1:C824, C$1:C824&lt;&gt;""""),COUNTA(FILTER(C$1:C824, C$1:C824&lt;&gt;""""))))-1), IF('To Order'!$A825=COLUMNS($A825:C"&amp;"844), C824&amp;RIGHT(INDIRECT(ADDRESS(ROW(C825)-1, 'From Order'!$A825)), 1), C824))"),"LBSG")</f>
        <v>LBSG</v>
      </c>
      <c r="D825" s="2" t="str">
        <f>IFERROR(__xludf.DUMMYFUNCTION("IF('From Order'!$A825=COLUMNS($A825:D844), LEFT(INDEX(FILTER(D$1:D824, D$1:D824&lt;&gt;""""),COUNTA(FILTER(D$1:D824, D$1:D824&lt;&gt;""""))), LEN(INDEX(FILTER(D$1:D824, D$1:D824&lt;&gt;""""),COUNTA(FILTER(D$1:D824, D$1:D824&lt;&gt;""""))))-1), IF('To Order'!$A825=COLUMNS($A825:D"&amp;"844), D824&amp;RIGHT(INDIRECT(ADDRESS(ROW(D825)-1, 'From Order'!$A825)), 1), D824))"),"BFMHZ")</f>
        <v>BFMHZ</v>
      </c>
      <c r="E825" s="2" t="str">
        <f>IFERROR(__xludf.DUMMYFUNCTION("IF('From Order'!$A825=COLUMNS($A825:E844), LEFT(INDEX(FILTER(E$1:E824, E$1:E824&lt;&gt;""""),COUNTA(FILTER(E$1:E824, E$1:E824&lt;&gt;""""))), LEN(INDEX(FILTER(E$1:E824, E$1:E824&lt;&gt;""""),COUNTA(FILTER(E$1:E824, E$1:E824&lt;&gt;""""))))-1), IF('To Order'!$A825=COLUMNS($A825:E"&amp;"844), E824&amp;RIGHT(INDIRECT(ADDRESS(ROW(E825)-1, 'From Order'!$A825)), 1), E824))"),"PVJCVRCT")</f>
        <v>PVJCVRCT</v>
      </c>
      <c r="F825" s="2" t="str">
        <f>IFERROR(__xludf.DUMMYFUNCTION("IF('From Order'!$A825=COLUMNS($A825:F844), LEFT(INDEX(FILTER(F$1:F824, F$1:F824&lt;&gt;""""),COUNTA(FILTER(F$1:F824, F$1:F824&lt;&gt;""""))), LEN(INDEX(FILTER(F$1:F824, F$1:F824&lt;&gt;""""),COUNTA(FILTER(F$1:F824, F$1:F824&lt;&gt;""""))))-1), IF('To Order'!$A825=COLUMNS($A825:F"&amp;"844), F824&amp;RIGHT(INDIRECT(ADDRESS(ROW(F825)-1, 'From Order'!$A825)), 1), F824))"),"FSLTTWRDV")</f>
        <v>FSLTTWRDV</v>
      </c>
      <c r="G825" s="2" t="str">
        <f>IFERROR(__xludf.DUMMYFUNCTION("IF('From Order'!$A825=COLUMNS($A825:G844), LEFT(INDEX(FILTER(G$1:G824, G$1:G824&lt;&gt;""""),COUNTA(FILTER(G$1:G824, G$1:G824&lt;&gt;""""))), LEN(INDEX(FILTER(G$1:G824, G$1:G824&lt;&gt;""""),COUNTA(FILTER(G$1:G824, G$1:G824&lt;&gt;""""))))-1), IF('To Order'!$A825=COLUMNS($A825:G"&amp;"844), G824&amp;RIGHT(INDIRECT(ADDRESS(ROW(G825)-1, 'From Order'!$A825)), 1), G824))"),"DTRLRQPDSSGHWQPB")</f>
        <v>DTRLRQPDSSGHWQPB</v>
      </c>
      <c r="H825" s="2" t="str">
        <f>IFERROR(__xludf.DUMMYFUNCTION("IF('From Order'!$A825=COLUMNS($A825:H844), LEFT(INDEX(FILTER(H$1:H824, H$1:H824&lt;&gt;""""),COUNTA(FILTER(H$1:H824, H$1:H824&lt;&gt;""""))), LEN(INDEX(FILTER(H$1:H824, H$1:H824&lt;&gt;""""),COUNTA(FILTER(H$1:H824, H$1:H824&lt;&gt;""""))))-1), IF('To Order'!$A825=COLUMNS($A825:H"&amp;"844), H824&amp;RIGHT(INDIRECT(ADDRESS(ROW(H825)-1, 'From Order'!$A825)), 1), H824))"),"MZMTDBD")</f>
        <v>MZMTDBD</v>
      </c>
      <c r="I825" s="2" t="str">
        <f>IFERROR(__xludf.DUMMYFUNCTION("IF('From Order'!$A825=COLUMNS($A825:I844), LEFT(INDEX(FILTER(I$1:I824, I$1:I824&lt;&gt;""""),COUNTA(FILTER(I$1:I824, I$1:I824&lt;&gt;""""))), LEN(INDEX(FILTER(I$1:I824, I$1:I824&lt;&gt;""""),COUNTA(FILTER(I$1:I824, I$1:I824&lt;&gt;""""))))-1), IF('To Order'!$A825=COLUMNS($A825:I"&amp;"844), I824&amp;RIGHT(INDIRECT(ADDRESS(ROW(I825)-1, 'From Order'!$A825)), 1), I824))"),"")</f>
        <v/>
      </c>
    </row>
    <row r="826">
      <c r="A826" s="2" t="str">
        <f>IFERROR(__xludf.DUMMYFUNCTION("IF('From Order'!$A826=COLUMNS($A826:A845), LEFT(INDEX(FILTER(A$1:A825, A$1:A825&lt;&gt;""""),COUNTA(FILTER(A$1:A825, A$1:A825&lt;&gt;""""))), LEN(INDEX(FILTER(A$1:A825, A$1:A825&lt;&gt;""""),COUNTA(FILTER(A$1:A825, A$1:A825&lt;&gt;""""))))-1), IF('To Order'!$A826=COLUMNS($A826:A"&amp;"845), A825&amp;RIGHT(INDIRECT(ADDRESS(ROW(A826)-1, 'From Order'!$A826)), 1), A825))"),"")</f>
        <v/>
      </c>
      <c r="B826" s="2" t="str">
        <f>IFERROR(__xludf.DUMMYFUNCTION("IF('From Order'!$A826=COLUMNS($A826:B845), LEFT(INDEX(FILTER(B$1:B825, B$1:B825&lt;&gt;""""),COUNTA(FILTER(B$1:B825, B$1:B825&lt;&gt;""""))), LEN(INDEX(FILTER(B$1:B825, B$1:B825&lt;&gt;""""),COUNTA(FILTER(B$1:B825, B$1:B825&lt;&gt;""""))))-1), IF('To Order'!$A826=COLUMNS($A826:B"&amp;"845), B825&amp;RIGHT(INDIRECT(ADDRESS(ROW(B826)-1, 'From Order'!$A826)), 1), B825))"),"JZRDCJT")</f>
        <v>JZRDCJT</v>
      </c>
      <c r="C826" s="2" t="str">
        <f>IFERROR(__xludf.DUMMYFUNCTION("IF('From Order'!$A826=COLUMNS($A826:C845), LEFT(INDEX(FILTER(C$1:C825, C$1:C825&lt;&gt;""""),COUNTA(FILTER(C$1:C825, C$1:C825&lt;&gt;""""))), LEN(INDEX(FILTER(C$1:C825, C$1:C825&lt;&gt;""""),COUNTA(FILTER(C$1:C825, C$1:C825&lt;&gt;""""))))-1), IF('To Order'!$A826=COLUMNS($A826:C"&amp;"845), C825&amp;RIGHT(INDIRECT(ADDRESS(ROW(C826)-1, 'From Order'!$A826)), 1), C825))"),"LBS")</f>
        <v>LBS</v>
      </c>
      <c r="D826" s="2" t="str">
        <f>IFERROR(__xludf.DUMMYFUNCTION("IF('From Order'!$A826=COLUMNS($A826:D845), LEFT(INDEX(FILTER(D$1:D825, D$1:D825&lt;&gt;""""),COUNTA(FILTER(D$1:D825, D$1:D825&lt;&gt;""""))), LEN(INDEX(FILTER(D$1:D825, D$1:D825&lt;&gt;""""),COUNTA(FILTER(D$1:D825, D$1:D825&lt;&gt;""""))))-1), IF('To Order'!$A826=COLUMNS($A826:D"&amp;"845), D825&amp;RIGHT(INDIRECT(ADDRESS(ROW(D826)-1, 'From Order'!$A826)), 1), D825))"),"BFMHZ")</f>
        <v>BFMHZ</v>
      </c>
      <c r="E826" s="2" t="str">
        <f>IFERROR(__xludf.DUMMYFUNCTION("IF('From Order'!$A826=COLUMNS($A826:E845), LEFT(INDEX(FILTER(E$1:E825, E$1:E825&lt;&gt;""""),COUNTA(FILTER(E$1:E825, E$1:E825&lt;&gt;""""))), LEN(INDEX(FILTER(E$1:E825, E$1:E825&lt;&gt;""""),COUNTA(FILTER(E$1:E825, E$1:E825&lt;&gt;""""))))-1), IF('To Order'!$A826=COLUMNS($A826:E"&amp;"845), E825&amp;RIGHT(INDIRECT(ADDRESS(ROW(E826)-1, 'From Order'!$A826)), 1), E825))"),"PVJCVRCT")</f>
        <v>PVJCVRCT</v>
      </c>
      <c r="F826" s="2" t="str">
        <f>IFERROR(__xludf.DUMMYFUNCTION("IF('From Order'!$A826=COLUMNS($A826:F845), LEFT(INDEX(FILTER(F$1:F825, F$1:F825&lt;&gt;""""),COUNTA(FILTER(F$1:F825, F$1:F825&lt;&gt;""""))), LEN(INDEX(FILTER(F$1:F825, F$1:F825&lt;&gt;""""),COUNTA(FILTER(F$1:F825, F$1:F825&lt;&gt;""""))))-1), IF('To Order'!$A826=COLUMNS($A826:F"&amp;"845), F825&amp;RIGHT(INDIRECT(ADDRESS(ROW(F826)-1, 'From Order'!$A826)), 1), F825))"),"FSLTTWRDV")</f>
        <v>FSLTTWRDV</v>
      </c>
      <c r="G826" s="2" t="str">
        <f>IFERROR(__xludf.DUMMYFUNCTION("IF('From Order'!$A826=COLUMNS($A826:G845), LEFT(INDEX(FILTER(G$1:G825, G$1:G825&lt;&gt;""""),COUNTA(FILTER(G$1:G825, G$1:G825&lt;&gt;""""))), LEN(INDEX(FILTER(G$1:G825, G$1:G825&lt;&gt;""""),COUNTA(FILTER(G$1:G825, G$1:G825&lt;&gt;""""))))-1), IF('To Order'!$A826=COLUMNS($A826:G"&amp;"845), G825&amp;RIGHT(INDIRECT(ADDRESS(ROW(G826)-1, 'From Order'!$A826)), 1), G825))"),"DTRLRQPDSSGHWQPB")</f>
        <v>DTRLRQPDSSGHWQPB</v>
      </c>
      <c r="H826" s="2" t="str">
        <f>IFERROR(__xludf.DUMMYFUNCTION("IF('From Order'!$A826=COLUMNS($A826:H845), LEFT(INDEX(FILTER(H$1:H825, H$1:H825&lt;&gt;""""),COUNTA(FILTER(H$1:H825, H$1:H825&lt;&gt;""""))), LEN(INDEX(FILTER(H$1:H825, H$1:H825&lt;&gt;""""),COUNTA(FILTER(H$1:H825, H$1:H825&lt;&gt;""""))))-1), IF('To Order'!$A826=COLUMNS($A826:H"&amp;"845), H825&amp;RIGHT(INDIRECT(ADDRESS(ROW(H826)-1, 'From Order'!$A826)), 1), H825))"),"MZMTDBDG")</f>
        <v>MZMTDBDG</v>
      </c>
      <c r="I826" s="2" t="str">
        <f>IFERROR(__xludf.DUMMYFUNCTION("IF('From Order'!$A826=COLUMNS($A826:I845), LEFT(INDEX(FILTER(I$1:I825, I$1:I825&lt;&gt;""""),COUNTA(FILTER(I$1:I825, I$1:I825&lt;&gt;""""))), LEN(INDEX(FILTER(I$1:I825, I$1:I825&lt;&gt;""""),COUNTA(FILTER(I$1:I825, I$1:I825&lt;&gt;""""))))-1), IF('To Order'!$A826=COLUMNS($A826:I"&amp;"845), I825&amp;RIGHT(INDIRECT(ADDRESS(ROW(I826)-1, 'From Order'!$A826)), 1), I825))"),"")</f>
        <v/>
      </c>
    </row>
    <row r="827">
      <c r="A827" s="2" t="str">
        <f>IFERROR(__xludf.DUMMYFUNCTION("IF('From Order'!$A827=COLUMNS($A827:A846), LEFT(INDEX(FILTER(A$1:A826, A$1:A826&lt;&gt;""""),COUNTA(FILTER(A$1:A826, A$1:A826&lt;&gt;""""))), LEN(INDEX(FILTER(A$1:A826, A$1:A826&lt;&gt;""""),COUNTA(FILTER(A$1:A826, A$1:A826&lt;&gt;""""))))-1), IF('To Order'!$A827=COLUMNS($A827:A"&amp;"846), A826&amp;RIGHT(INDIRECT(ADDRESS(ROW(A827)-1, 'From Order'!$A827)), 1), A826))"),"")</f>
        <v/>
      </c>
      <c r="B827" s="2" t="str">
        <f>IFERROR(__xludf.DUMMYFUNCTION("IF('From Order'!$A827=COLUMNS($A827:B846), LEFT(INDEX(FILTER(B$1:B826, B$1:B826&lt;&gt;""""),COUNTA(FILTER(B$1:B826, B$1:B826&lt;&gt;""""))), LEN(INDEX(FILTER(B$1:B826, B$1:B826&lt;&gt;""""),COUNTA(FILTER(B$1:B826, B$1:B826&lt;&gt;""""))))-1), IF('To Order'!$A827=COLUMNS($A827:B"&amp;"846), B826&amp;RIGHT(INDIRECT(ADDRESS(ROW(B827)-1, 'From Order'!$A827)), 1), B826))"),"JZRDCJT")</f>
        <v>JZRDCJT</v>
      </c>
      <c r="C827" s="2" t="str">
        <f>IFERROR(__xludf.DUMMYFUNCTION("IF('From Order'!$A827=COLUMNS($A827:C846), LEFT(INDEX(FILTER(C$1:C826, C$1:C826&lt;&gt;""""),COUNTA(FILTER(C$1:C826, C$1:C826&lt;&gt;""""))), LEN(INDEX(FILTER(C$1:C826, C$1:C826&lt;&gt;""""),COUNTA(FILTER(C$1:C826, C$1:C826&lt;&gt;""""))))-1), IF('To Order'!$A827=COLUMNS($A827:C"&amp;"846), C826&amp;RIGHT(INDIRECT(ADDRESS(ROW(C827)-1, 'From Order'!$A827)), 1), C826))"),"LB")</f>
        <v>LB</v>
      </c>
      <c r="D827" s="2" t="str">
        <f>IFERROR(__xludf.DUMMYFUNCTION("IF('From Order'!$A827=COLUMNS($A827:D846), LEFT(INDEX(FILTER(D$1:D826, D$1:D826&lt;&gt;""""),COUNTA(FILTER(D$1:D826, D$1:D826&lt;&gt;""""))), LEN(INDEX(FILTER(D$1:D826, D$1:D826&lt;&gt;""""),COUNTA(FILTER(D$1:D826, D$1:D826&lt;&gt;""""))))-1), IF('To Order'!$A827=COLUMNS($A827:D"&amp;"846), D826&amp;RIGHT(INDIRECT(ADDRESS(ROW(D827)-1, 'From Order'!$A827)), 1), D826))"),"BFMHZ")</f>
        <v>BFMHZ</v>
      </c>
      <c r="E827" s="2" t="str">
        <f>IFERROR(__xludf.DUMMYFUNCTION("IF('From Order'!$A827=COLUMNS($A827:E846), LEFT(INDEX(FILTER(E$1:E826, E$1:E826&lt;&gt;""""),COUNTA(FILTER(E$1:E826, E$1:E826&lt;&gt;""""))), LEN(INDEX(FILTER(E$1:E826, E$1:E826&lt;&gt;""""),COUNTA(FILTER(E$1:E826, E$1:E826&lt;&gt;""""))))-1), IF('To Order'!$A827=COLUMNS($A827:E"&amp;"846), E826&amp;RIGHT(INDIRECT(ADDRESS(ROW(E827)-1, 'From Order'!$A827)), 1), E826))"),"PVJCVRCT")</f>
        <v>PVJCVRCT</v>
      </c>
      <c r="F827" s="2" t="str">
        <f>IFERROR(__xludf.DUMMYFUNCTION("IF('From Order'!$A827=COLUMNS($A827:F846), LEFT(INDEX(FILTER(F$1:F826, F$1:F826&lt;&gt;""""),COUNTA(FILTER(F$1:F826, F$1:F826&lt;&gt;""""))), LEN(INDEX(FILTER(F$1:F826, F$1:F826&lt;&gt;""""),COUNTA(FILTER(F$1:F826, F$1:F826&lt;&gt;""""))))-1), IF('To Order'!$A827=COLUMNS($A827:F"&amp;"846), F826&amp;RIGHT(INDIRECT(ADDRESS(ROW(F827)-1, 'From Order'!$A827)), 1), F826))"),"FSLTTWRDV")</f>
        <v>FSLTTWRDV</v>
      </c>
      <c r="G827" s="2" t="str">
        <f>IFERROR(__xludf.DUMMYFUNCTION("IF('From Order'!$A827=COLUMNS($A827:G846), LEFT(INDEX(FILTER(G$1:G826, G$1:G826&lt;&gt;""""),COUNTA(FILTER(G$1:G826, G$1:G826&lt;&gt;""""))), LEN(INDEX(FILTER(G$1:G826, G$1:G826&lt;&gt;""""),COUNTA(FILTER(G$1:G826, G$1:G826&lt;&gt;""""))))-1), IF('To Order'!$A827=COLUMNS($A827:G"&amp;"846), G826&amp;RIGHT(INDIRECT(ADDRESS(ROW(G827)-1, 'From Order'!$A827)), 1), G826))"),"DTRLRQPDSSGHWQPB")</f>
        <v>DTRLRQPDSSGHWQPB</v>
      </c>
      <c r="H827" s="2" t="str">
        <f>IFERROR(__xludf.DUMMYFUNCTION("IF('From Order'!$A827=COLUMNS($A827:H846), LEFT(INDEX(FILTER(H$1:H826, H$1:H826&lt;&gt;""""),COUNTA(FILTER(H$1:H826, H$1:H826&lt;&gt;""""))), LEN(INDEX(FILTER(H$1:H826, H$1:H826&lt;&gt;""""),COUNTA(FILTER(H$1:H826, H$1:H826&lt;&gt;""""))))-1), IF('To Order'!$A827=COLUMNS($A827:H"&amp;"846), H826&amp;RIGHT(INDIRECT(ADDRESS(ROW(H827)-1, 'From Order'!$A827)), 1), H826))"),"MZMTDBDGS")</f>
        <v>MZMTDBDGS</v>
      </c>
      <c r="I827" s="2" t="str">
        <f>IFERROR(__xludf.DUMMYFUNCTION("IF('From Order'!$A827=COLUMNS($A827:I846), LEFT(INDEX(FILTER(I$1:I826, I$1:I826&lt;&gt;""""),COUNTA(FILTER(I$1:I826, I$1:I826&lt;&gt;""""))), LEN(INDEX(FILTER(I$1:I826, I$1:I826&lt;&gt;""""),COUNTA(FILTER(I$1:I826, I$1:I826&lt;&gt;""""))))-1), IF('To Order'!$A827=COLUMNS($A827:I"&amp;"846), I826&amp;RIGHT(INDIRECT(ADDRESS(ROW(I827)-1, 'From Order'!$A827)), 1), I826))"),"")</f>
        <v/>
      </c>
    </row>
    <row r="828">
      <c r="A828" s="2" t="str">
        <f>IFERROR(__xludf.DUMMYFUNCTION("IF('From Order'!$A828=COLUMNS($A828:A847), LEFT(INDEX(FILTER(A$1:A827, A$1:A827&lt;&gt;""""),COUNTA(FILTER(A$1:A827, A$1:A827&lt;&gt;""""))), LEN(INDEX(FILTER(A$1:A827, A$1:A827&lt;&gt;""""),COUNTA(FILTER(A$1:A827, A$1:A827&lt;&gt;""""))))-1), IF('To Order'!$A828=COLUMNS($A828:A"&amp;"847), A827&amp;RIGHT(INDIRECT(ADDRESS(ROW(A828)-1, 'From Order'!$A828)), 1), A827))"),"")</f>
        <v/>
      </c>
      <c r="B828" s="2" t="str">
        <f>IFERROR(__xludf.DUMMYFUNCTION("IF('From Order'!$A828=COLUMNS($A828:B847), LEFT(INDEX(FILTER(B$1:B827, B$1:B827&lt;&gt;""""),COUNTA(FILTER(B$1:B827, B$1:B827&lt;&gt;""""))), LEN(INDEX(FILTER(B$1:B827, B$1:B827&lt;&gt;""""),COUNTA(FILTER(B$1:B827, B$1:B827&lt;&gt;""""))))-1), IF('To Order'!$A828=COLUMNS($A828:B"&amp;"847), B827&amp;RIGHT(INDIRECT(ADDRESS(ROW(B828)-1, 'From Order'!$A828)), 1), B827))"),"JZRDCJT")</f>
        <v>JZRDCJT</v>
      </c>
      <c r="C828" s="2" t="str">
        <f>IFERROR(__xludf.DUMMYFUNCTION("IF('From Order'!$A828=COLUMNS($A828:C847), LEFT(INDEX(FILTER(C$1:C827, C$1:C827&lt;&gt;""""),COUNTA(FILTER(C$1:C827, C$1:C827&lt;&gt;""""))), LEN(INDEX(FILTER(C$1:C827, C$1:C827&lt;&gt;""""),COUNTA(FILTER(C$1:C827, C$1:C827&lt;&gt;""""))))-1), IF('To Order'!$A828=COLUMNS($A828:C"&amp;"847), C827&amp;RIGHT(INDIRECT(ADDRESS(ROW(C828)-1, 'From Order'!$A828)), 1), C827))"),"L")</f>
        <v>L</v>
      </c>
      <c r="D828" s="2" t="str">
        <f>IFERROR(__xludf.DUMMYFUNCTION("IF('From Order'!$A828=COLUMNS($A828:D847), LEFT(INDEX(FILTER(D$1:D827, D$1:D827&lt;&gt;""""),COUNTA(FILTER(D$1:D827, D$1:D827&lt;&gt;""""))), LEN(INDEX(FILTER(D$1:D827, D$1:D827&lt;&gt;""""),COUNTA(FILTER(D$1:D827, D$1:D827&lt;&gt;""""))))-1), IF('To Order'!$A828=COLUMNS($A828:D"&amp;"847), D827&amp;RIGHT(INDIRECT(ADDRESS(ROW(D828)-1, 'From Order'!$A828)), 1), D827))"),"BFMHZ")</f>
        <v>BFMHZ</v>
      </c>
      <c r="E828" s="2" t="str">
        <f>IFERROR(__xludf.DUMMYFUNCTION("IF('From Order'!$A828=COLUMNS($A828:E847), LEFT(INDEX(FILTER(E$1:E827, E$1:E827&lt;&gt;""""),COUNTA(FILTER(E$1:E827, E$1:E827&lt;&gt;""""))), LEN(INDEX(FILTER(E$1:E827, E$1:E827&lt;&gt;""""),COUNTA(FILTER(E$1:E827, E$1:E827&lt;&gt;""""))))-1), IF('To Order'!$A828=COLUMNS($A828:E"&amp;"847), E827&amp;RIGHT(INDIRECT(ADDRESS(ROW(E828)-1, 'From Order'!$A828)), 1), E827))"),"PVJCVRCT")</f>
        <v>PVJCVRCT</v>
      </c>
      <c r="F828" s="2" t="str">
        <f>IFERROR(__xludf.DUMMYFUNCTION("IF('From Order'!$A828=COLUMNS($A828:F847), LEFT(INDEX(FILTER(F$1:F827, F$1:F827&lt;&gt;""""),COUNTA(FILTER(F$1:F827, F$1:F827&lt;&gt;""""))), LEN(INDEX(FILTER(F$1:F827, F$1:F827&lt;&gt;""""),COUNTA(FILTER(F$1:F827, F$1:F827&lt;&gt;""""))))-1), IF('To Order'!$A828=COLUMNS($A828:F"&amp;"847), F827&amp;RIGHT(INDIRECT(ADDRESS(ROW(F828)-1, 'From Order'!$A828)), 1), F827))"),"FSLTTWRDV")</f>
        <v>FSLTTWRDV</v>
      </c>
      <c r="G828" s="2" t="str">
        <f>IFERROR(__xludf.DUMMYFUNCTION("IF('From Order'!$A828=COLUMNS($A828:G847), LEFT(INDEX(FILTER(G$1:G827, G$1:G827&lt;&gt;""""),COUNTA(FILTER(G$1:G827, G$1:G827&lt;&gt;""""))), LEN(INDEX(FILTER(G$1:G827, G$1:G827&lt;&gt;""""),COUNTA(FILTER(G$1:G827, G$1:G827&lt;&gt;""""))))-1), IF('To Order'!$A828=COLUMNS($A828:G"&amp;"847), G827&amp;RIGHT(INDIRECT(ADDRESS(ROW(G828)-1, 'From Order'!$A828)), 1), G827))"),"DTRLRQPDSSGHWQPB")</f>
        <v>DTRLRQPDSSGHWQPB</v>
      </c>
      <c r="H828" s="2" t="str">
        <f>IFERROR(__xludf.DUMMYFUNCTION("IF('From Order'!$A828=COLUMNS($A828:H847), LEFT(INDEX(FILTER(H$1:H827, H$1:H827&lt;&gt;""""),COUNTA(FILTER(H$1:H827, H$1:H827&lt;&gt;""""))), LEN(INDEX(FILTER(H$1:H827, H$1:H827&lt;&gt;""""),COUNTA(FILTER(H$1:H827, H$1:H827&lt;&gt;""""))))-1), IF('To Order'!$A828=COLUMNS($A828:H"&amp;"847), H827&amp;RIGHT(INDIRECT(ADDRESS(ROW(H828)-1, 'From Order'!$A828)), 1), H827))"),"MZMTDBDGSB")</f>
        <v>MZMTDBDGSB</v>
      </c>
      <c r="I828" s="2" t="str">
        <f>IFERROR(__xludf.DUMMYFUNCTION("IF('From Order'!$A828=COLUMNS($A828:I847), LEFT(INDEX(FILTER(I$1:I827, I$1:I827&lt;&gt;""""),COUNTA(FILTER(I$1:I827, I$1:I827&lt;&gt;""""))), LEN(INDEX(FILTER(I$1:I827, I$1:I827&lt;&gt;""""),COUNTA(FILTER(I$1:I827, I$1:I827&lt;&gt;""""))))-1), IF('To Order'!$A828=COLUMNS($A828:I"&amp;"847), I827&amp;RIGHT(INDIRECT(ADDRESS(ROW(I828)-1, 'From Order'!$A828)), 1), I827))"),"")</f>
        <v/>
      </c>
    </row>
    <row r="829">
      <c r="A829" s="2" t="str">
        <f>IFERROR(__xludf.DUMMYFUNCTION("IF('From Order'!$A829=COLUMNS($A829:A848), LEFT(INDEX(FILTER(A$1:A828, A$1:A828&lt;&gt;""""),COUNTA(FILTER(A$1:A828, A$1:A828&lt;&gt;""""))), LEN(INDEX(FILTER(A$1:A828, A$1:A828&lt;&gt;""""),COUNTA(FILTER(A$1:A828, A$1:A828&lt;&gt;""""))))-1), IF('To Order'!$A829=COLUMNS($A829:A"&amp;"848), A828&amp;RIGHT(INDIRECT(ADDRESS(ROW(A829)-1, 'From Order'!$A829)), 1), A828))"),"")</f>
        <v/>
      </c>
      <c r="B829" s="2" t="str">
        <f>IFERROR(__xludf.DUMMYFUNCTION("IF('From Order'!$A829=COLUMNS($A829:B848), LEFT(INDEX(FILTER(B$1:B828, B$1:B828&lt;&gt;""""),COUNTA(FILTER(B$1:B828, B$1:B828&lt;&gt;""""))), LEN(INDEX(FILTER(B$1:B828, B$1:B828&lt;&gt;""""),COUNTA(FILTER(B$1:B828, B$1:B828&lt;&gt;""""))))-1), IF('To Order'!$A829=COLUMNS($A829:B"&amp;"848), B828&amp;RIGHT(INDIRECT(ADDRESS(ROW(B829)-1, 'From Order'!$A829)), 1), B828))"),"JZRDCJTB")</f>
        <v>JZRDCJTB</v>
      </c>
      <c r="C829" s="2" t="str">
        <f>IFERROR(__xludf.DUMMYFUNCTION("IF('From Order'!$A829=COLUMNS($A829:C848), LEFT(INDEX(FILTER(C$1:C828, C$1:C828&lt;&gt;""""),COUNTA(FILTER(C$1:C828, C$1:C828&lt;&gt;""""))), LEN(INDEX(FILTER(C$1:C828, C$1:C828&lt;&gt;""""),COUNTA(FILTER(C$1:C828, C$1:C828&lt;&gt;""""))))-1), IF('To Order'!$A829=COLUMNS($A829:C"&amp;"848), C828&amp;RIGHT(INDIRECT(ADDRESS(ROW(C829)-1, 'From Order'!$A829)), 1), C828))"),"L")</f>
        <v>L</v>
      </c>
      <c r="D829" s="2" t="str">
        <f>IFERROR(__xludf.DUMMYFUNCTION("IF('From Order'!$A829=COLUMNS($A829:D848), LEFT(INDEX(FILTER(D$1:D828, D$1:D828&lt;&gt;""""),COUNTA(FILTER(D$1:D828, D$1:D828&lt;&gt;""""))), LEN(INDEX(FILTER(D$1:D828, D$1:D828&lt;&gt;""""),COUNTA(FILTER(D$1:D828, D$1:D828&lt;&gt;""""))))-1), IF('To Order'!$A829=COLUMNS($A829:D"&amp;"848), D828&amp;RIGHT(INDIRECT(ADDRESS(ROW(D829)-1, 'From Order'!$A829)), 1), D828))"),"BFMHZ")</f>
        <v>BFMHZ</v>
      </c>
      <c r="E829" s="2" t="str">
        <f>IFERROR(__xludf.DUMMYFUNCTION("IF('From Order'!$A829=COLUMNS($A829:E848), LEFT(INDEX(FILTER(E$1:E828, E$1:E828&lt;&gt;""""),COUNTA(FILTER(E$1:E828, E$1:E828&lt;&gt;""""))), LEN(INDEX(FILTER(E$1:E828, E$1:E828&lt;&gt;""""),COUNTA(FILTER(E$1:E828, E$1:E828&lt;&gt;""""))))-1), IF('To Order'!$A829=COLUMNS($A829:E"&amp;"848), E828&amp;RIGHT(INDIRECT(ADDRESS(ROW(E829)-1, 'From Order'!$A829)), 1), E828))"),"PVJCVRCT")</f>
        <v>PVJCVRCT</v>
      </c>
      <c r="F829" s="2" t="str">
        <f>IFERROR(__xludf.DUMMYFUNCTION("IF('From Order'!$A829=COLUMNS($A829:F848), LEFT(INDEX(FILTER(F$1:F828, F$1:F828&lt;&gt;""""),COUNTA(FILTER(F$1:F828, F$1:F828&lt;&gt;""""))), LEN(INDEX(FILTER(F$1:F828, F$1:F828&lt;&gt;""""),COUNTA(FILTER(F$1:F828, F$1:F828&lt;&gt;""""))))-1), IF('To Order'!$A829=COLUMNS($A829:F"&amp;"848), F828&amp;RIGHT(INDIRECT(ADDRESS(ROW(F829)-1, 'From Order'!$A829)), 1), F828))"),"FSLTTWRDV")</f>
        <v>FSLTTWRDV</v>
      </c>
      <c r="G829" s="2" t="str">
        <f>IFERROR(__xludf.DUMMYFUNCTION("IF('From Order'!$A829=COLUMNS($A829:G848), LEFT(INDEX(FILTER(G$1:G828, G$1:G828&lt;&gt;""""),COUNTA(FILTER(G$1:G828, G$1:G828&lt;&gt;""""))), LEN(INDEX(FILTER(G$1:G828, G$1:G828&lt;&gt;""""),COUNTA(FILTER(G$1:G828, G$1:G828&lt;&gt;""""))))-1), IF('To Order'!$A829=COLUMNS($A829:G"&amp;"848), G828&amp;RIGHT(INDIRECT(ADDRESS(ROW(G829)-1, 'From Order'!$A829)), 1), G828))"),"DTRLRQPDSSGHWQPB")</f>
        <v>DTRLRQPDSSGHWQPB</v>
      </c>
      <c r="H829" s="2" t="str">
        <f>IFERROR(__xludf.DUMMYFUNCTION("IF('From Order'!$A829=COLUMNS($A829:H848), LEFT(INDEX(FILTER(H$1:H828, H$1:H828&lt;&gt;""""),COUNTA(FILTER(H$1:H828, H$1:H828&lt;&gt;""""))), LEN(INDEX(FILTER(H$1:H828, H$1:H828&lt;&gt;""""),COUNTA(FILTER(H$1:H828, H$1:H828&lt;&gt;""""))))-1), IF('To Order'!$A829=COLUMNS($A829:H"&amp;"848), H828&amp;RIGHT(INDIRECT(ADDRESS(ROW(H829)-1, 'From Order'!$A829)), 1), H828))"),"MZMTDBDGS")</f>
        <v>MZMTDBDGS</v>
      </c>
      <c r="I829" s="2" t="str">
        <f>IFERROR(__xludf.DUMMYFUNCTION("IF('From Order'!$A829=COLUMNS($A829:I848), LEFT(INDEX(FILTER(I$1:I828, I$1:I828&lt;&gt;""""),COUNTA(FILTER(I$1:I828, I$1:I828&lt;&gt;""""))), LEN(INDEX(FILTER(I$1:I828, I$1:I828&lt;&gt;""""),COUNTA(FILTER(I$1:I828, I$1:I828&lt;&gt;""""))))-1), IF('To Order'!$A829=COLUMNS($A829:I"&amp;"848), I828&amp;RIGHT(INDIRECT(ADDRESS(ROW(I829)-1, 'From Order'!$A829)), 1), I828))"),"")</f>
        <v/>
      </c>
    </row>
    <row r="830">
      <c r="A830" s="2" t="str">
        <f>IFERROR(__xludf.DUMMYFUNCTION("IF('From Order'!$A830=COLUMNS($A830:A849), LEFT(INDEX(FILTER(A$1:A829, A$1:A829&lt;&gt;""""),COUNTA(FILTER(A$1:A829, A$1:A829&lt;&gt;""""))), LEN(INDEX(FILTER(A$1:A829, A$1:A829&lt;&gt;""""),COUNTA(FILTER(A$1:A829, A$1:A829&lt;&gt;""""))))-1), IF('To Order'!$A830=COLUMNS($A830:A"&amp;"849), A829&amp;RIGHT(INDIRECT(ADDRESS(ROW(A830)-1, 'From Order'!$A830)), 1), A829))"),"")</f>
        <v/>
      </c>
      <c r="B830" s="2" t="str">
        <f>IFERROR(__xludf.DUMMYFUNCTION("IF('From Order'!$A830=COLUMNS($A830:B849), LEFT(INDEX(FILTER(B$1:B829, B$1:B829&lt;&gt;""""),COUNTA(FILTER(B$1:B829, B$1:B829&lt;&gt;""""))), LEN(INDEX(FILTER(B$1:B829, B$1:B829&lt;&gt;""""),COUNTA(FILTER(B$1:B829, B$1:B829&lt;&gt;""""))))-1), IF('To Order'!$A830=COLUMNS($A830:B"&amp;"849), B829&amp;RIGHT(INDIRECT(ADDRESS(ROW(B830)-1, 'From Order'!$A830)), 1), B829))"),"JZRDCJTBS")</f>
        <v>JZRDCJTBS</v>
      </c>
      <c r="C830" s="2" t="str">
        <f>IFERROR(__xludf.DUMMYFUNCTION("IF('From Order'!$A830=COLUMNS($A830:C849), LEFT(INDEX(FILTER(C$1:C829, C$1:C829&lt;&gt;""""),COUNTA(FILTER(C$1:C829, C$1:C829&lt;&gt;""""))), LEN(INDEX(FILTER(C$1:C829, C$1:C829&lt;&gt;""""),COUNTA(FILTER(C$1:C829, C$1:C829&lt;&gt;""""))))-1), IF('To Order'!$A830=COLUMNS($A830:C"&amp;"849), C829&amp;RIGHT(INDIRECT(ADDRESS(ROW(C830)-1, 'From Order'!$A830)), 1), C829))"),"L")</f>
        <v>L</v>
      </c>
      <c r="D830" s="2" t="str">
        <f>IFERROR(__xludf.DUMMYFUNCTION("IF('From Order'!$A830=COLUMNS($A830:D849), LEFT(INDEX(FILTER(D$1:D829, D$1:D829&lt;&gt;""""),COUNTA(FILTER(D$1:D829, D$1:D829&lt;&gt;""""))), LEN(INDEX(FILTER(D$1:D829, D$1:D829&lt;&gt;""""),COUNTA(FILTER(D$1:D829, D$1:D829&lt;&gt;""""))))-1), IF('To Order'!$A830=COLUMNS($A830:D"&amp;"849), D829&amp;RIGHT(INDIRECT(ADDRESS(ROW(D830)-1, 'From Order'!$A830)), 1), D829))"),"BFMHZ")</f>
        <v>BFMHZ</v>
      </c>
      <c r="E830" s="2" t="str">
        <f>IFERROR(__xludf.DUMMYFUNCTION("IF('From Order'!$A830=COLUMNS($A830:E849), LEFT(INDEX(FILTER(E$1:E829, E$1:E829&lt;&gt;""""),COUNTA(FILTER(E$1:E829, E$1:E829&lt;&gt;""""))), LEN(INDEX(FILTER(E$1:E829, E$1:E829&lt;&gt;""""),COUNTA(FILTER(E$1:E829, E$1:E829&lt;&gt;""""))))-1), IF('To Order'!$A830=COLUMNS($A830:E"&amp;"849), E829&amp;RIGHT(INDIRECT(ADDRESS(ROW(E830)-1, 'From Order'!$A830)), 1), E829))"),"PVJCVRCT")</f>
        <v>PVJCVRCT</v>
      </c>
      <c r="F830" s="2" t="str">
        <f>IFERROR(__xludf.DUMMYFUNCTION("IF('From Order'!$A830=COLUMNS($A830:F849), LEFT(INDEX(FILTER(F$1:F829, F$1:F829&lt;&gt;""""),COUNTA(FILTER(F$1:F829, F$1:F829&lt;&gt;""""))), LEN(INDEX(FILTER(F$1:F829, F$1:F829&lt;&gt;""""),COUNTA(FILTER(F$1:F829, F$1:F829&lt;&gt;""""))))-1), IF('To Order'!$A830=COLUMNS($A830:F"&amp;"849), F829&amp;RIGHT(INDIRECT(ADDRESS(ROW(F830)-1, 'From Order'!$A830)), 1), F829))"),"FSLTTWRDV")</f>
        <v>FSLTTWRDV</v>
      </c>
      <c r="G830" s="2" t="str">
        <f>IFERROR(__xludf.DUMMYFUNCTION("IF('From Order'!$A830=COLUMNS($A830:G849), LEFT(INDEX(FILTER(G$1:G829, G$1:G829&lt;&gt;""""),COUNTA(FILTER(G$1:G829, G$1:G829&lt;&gt;""""))), LEN(INDEX(FILTER(G$1:G829, G$1:G829&lt;&gt;""""),COUNTA(FILTER(G$1:G829, G$1:G829&lt;&gt;""""))))-1), IF('To Order'!$A830=COLUMNS($A830:G"&amp;"849), G829&amp;RIGHT(INDIRECT(ADDRESS(ROW(G830)-1, 'From Order'!$A830)), 1), G829))"),"DTRLRQPDSSGHWQPB")</f>
        <v>DTRLRQPDSSGHWQPB</v>
      </c>
      <c r="H830" s="2" t="str">
        <f>IFERROR(__xludf.DUMMYFUNCTION("IF('From Order'!$A830=COLUMNS($A830:H849), LEFT(INDEX(FILTER(H$1:H829, H$1:H829&lt;&gt;""""),COUNTA(FILTER(H$1:H829, H$1:H829&lt;&gt;""""))), LEN(INDEX(FILTER(H$1:H829, H$1:H829&lt;&gt;""""),COUNTA(FILTER(H$1:H829, H$1:H829&lt;&gt;""""))))-1), IF('To Order'!$A830=COLUMNS($A830:H"&amp;"849), H829&amp;RIGHT(INDIRECT(ADDRESS(ROW(H830)-1, 'From Order'!$A830)), 1), H829))"),"MZMTDBDG")</f>
        <v>MZMTDBDG</v>
      </c>
      <c r="I830" s="2" t="str">
        <f>IFERROR(__xludf.DUMMYFUNCTION("IF('From Order'!$A830=COLUMNS($A830:I849), LEFT(INDEX(FILTER(I$1:I829, I$1:I829&lt;&gt;""""),COUNTA(FILTER(I$1:I829, I$1:I829&lt;&gt;""""))), LEN(INDEX(FILTER(I$1:I829, I$1:I829&lt;&gt;""""),COUNTA(FILTER(I$1:I829, I$1:I829&lt;&gt;""""))))-1), IF('To Order'!$A830=COLUMNS($A830:I"&amp;"849), I829&amp;RIGHT(INDIRECT(ADDRESS(ROW(I830)-1, 'From Order'!$A830)), 1), I829))"),"")</f>
        <v/>
      </c>
    </row>
    <row r="831">
      <c r="A831" s="2" t="str">
        <f>IFERROR(__xludf.DUMMYFUNCTION("IF('From Order'!$A831=COLUMNS($A831:A850), LEFT(INDEX(FILTER(A$1:A830, A$1:A830&lt;&gt;""""),COUNTA(FILTER(A$1:A830, A$1:A830&lt;&gt;""""))), LEN(INDEX(FILTER(A$1:A830, A$1:A830&lt;&gt;""""),COUNTA(FILTER(A$1:A830, A$1:A830&lt;&gt;""""))))-1), IF('To Order'!$A831=COLUMNS($A831:A"&amp;"850), A830&amp;RIGHT(INDIRECT(ADDRESS(ROW(A831)-1, 'From Order'!$A831)), 1), A830))"),"")</f>
        <v/>
      </c>
      <c r="B831" s="2" t="str">
        <f>IFERROR(__xludf.DUMMYFUNCTION("IF('From Order'!$A831=COLUMNS($A831:B850), LEFT(INDEX(FILTER(B$1:B830, B$1:B830&lt;&gt;""""),COUNTA(FILTER(B$1:B830, B$1:B830&lt;&gt;""""))), LEN(INDEX(FILTER(B$1:B830, B$1:B830&lt;&gt;""""),COUNTA(FILTER(B$1:B830, B$1:B830&lt;&gt;""""))))-1), IF('To Order'!$A831=COLUMNS($A831:B"&amp;"850), B830&amp;RIGHT(INDIRECT(ADDRESS(ROW(B831)-1, 'From Order'!$A831)), 1), B830))"),"JZRDCJTBSG")</f>
        <v>JZRDCJTBSG</v>
      </c>
      <c r="C831" s="2" t="str">
        <f>IFERROR(__xludf.DUMMYFUNCTION("IF('From Order'!$A831=COLUMNS($A831:C850), LEFT(INDEX(FILTER(C$1:C830, C$1:C830&lt;&gt;""""),COUNTA(FILTER(C$1:C830, C$1:C830&lt;&gt;""""))), LEN(INDEX(FILTER(C$1:C830, C$1:C830&lt;&gt;""""),COUNTA(FILTER(C$1:C830, C$1:C830&lt;&gt;""""))))-1), IF('To Order'!$A831=COLUMNS($A831:C"&amp;"850), C830&amp;RIGHT(INDIRECT(ADDRESS(ROW(C831)-1, 'From Order'!$A831)), 1), C830))"),"L")</f>
        <v>L</v>
      </c>
      <c r="D831" s="2" t="str">
        <f>IFERROR(__xludf.DUMMYFUNCTION("IF('From Order'!$A831=COLUMNS($A831:D850), LEFT(INDEX(FILTER(D$1:D830, D$1:D830&lt;&gt;""""),COUNTA(FILTER(D$1:D830, D$1:D830&lt;&gt;""""))), LEN(INDEX(FILTER(D$1:D830, D$1:D830&lt;&gt;""""),COUNTA(FILTER(D$1:D830, D$1:D830&lt;&gt;""""))))-1), IF('To Order'!$A831=COLUMNS($A831:D"&amp;"850), D830&amp;RIGHT(INDIRECT(ADDRESS(ROW(D831)-1, 'From Order'!$A831)), 1), D830))"),"BFMHZ")</f>
        <v>BFMHZ</v>
      </c>
      <c r="E831" s="2" t="str">
        <f>IFERROR(__xludf.DUMMYFUNCTION("IF('From Order'!$A831=COLUMNS($A831:E850), LEFT(INDEX(FILTER(E$1:E830, E$1:E830&lt;&gt;""""),COUNTA(FILTER(E$1:E830, E$1:E830&lt;&gt;""""))), LEN(INDEX(FILTER(E$1:E830, E$1:E830&lt;&gt;""""),COUNTA(FILTER(E$1:E830, E$1:E830&lt;&gt;""""))))-1), IF('To Order'!$A831=COLUMNS($A831:E"&amp;"850), E830&amp;RIGHT(INDIRECT(ADDRESS(ROW(E831)-1, 'From Order'!$A831)), 1), E830))"),"PVJCVRCT")</f>
        <v>PVJCVRCT</v>
      </c>
      <c r="F831" s="2" t="str">
        <f>IFERROR(__xludf.DUMMYFUNCTION("IF('From Order'!$A831=COLUMNS($A831:F850), LEFT(INDEX(FILTER(F$1:F830, F$1:F830&lt;&gt;""""),COUNTA(FILTER(F$1:F830, F$1:F830&lt;&gt;""""))), LEN(INDEX(FILTER(F$1:F830, F$1:F830&lt;&gt;""""),COUNTA(FILTER(F$1:F830, F$1:F830&lt;&gt;""""))))-1), IF('To Order'!$A831=COLUMNS($A831:F"&amp;"850), F830&amp;RIGHT(INDIRECT(ADDRESS(ROW(F831)-1, 'From Order'!$A831)), 1), F830))"),"FSLTTWRDV")</f>
        <v>FSLTTWRDV</v>
      </c>
      <c r="G831" s="2" t="str">
        <f>IFERROR(__xludf.DUMMYFUNCTION("IF('From Order'!$A831=COLUMNS($A831:G850), LEFT(INDEX(FILTER(G$1:G830, G$1:G830&lt;&gt;""""),COUNTA(FILTER(G$1:G830, G$1:G830&lt;&gt;""""))), LEN(INDEX(FILTER(G$1:G830, G$1:G830&lt;&gt;""""),COUNTA(FILTER(G$1:G830, G$1:G830&lt;&gt;""""))))-1), IF('To Order'!$A831=COLUMNS($A831:G"&amp;"850), G830&amp;RIGHT(INDIRECT(ADDRESS(ROW(G831)-1, 'From Order'!$A831)), 1), G830))"),"DTRLRQPDSSGHWQPB")</f>
        <v>DTRLRQPDSSGHWQPB</v>
      </c>
      <c r="H831" s="2" t="str">
        <f>IFERROR(__xludf.DUMMYFUNCTION("IF('From Order'!$A831=COLUMNS($A831:H850), LEFT(INDEX(FILTER(H$1:H830, H$1:H830&lt;&gt;""""),COUNTA(FILTER(H$1:H830, H$1:H830&lt;&gt;""""))), LEN(INDEX(FILTER(H$1:H830, H$1:H830&lt;&gt;""""),COUNTA(FILTER(H$1:H830, H$1:H830&lt;&gt;""""))))-1), IF('To Order'!$A831=COLUMNS($A831:H"&amp;"850), H830&amp;RIGHT(INDIRECT(ADDRESS(ROW(H831)-1, 'From Order'!$A831)), 1), H830))"),"MZMTDBD")</f>
        <v>MZMTDBD</v>
      </c>
      <c r="I831" s="2" t="str">
        <f>IFERROR(__xludf.DUMMYFUNCTION("IF('From Order'!$A831=COLUMNS($A831:I850), LEFT(INDEX(FILTER(I$1:I830, I$1:I830&lt;&gt;""""),COUNTA(FILTER(I$1:I830, I$1:I830&lt;&gt;""""))), LEN(INDEX(FILTER(I$1:I830, I$1:I830&lt;&gt;""""),COUNTA(FILTER(I$1:I830, I$1:I830&lt;&gt;""""))))-1), IF('To Order'!$A831=COLUMNS($A831:I"&amp;"850), I830&amp;RIGHT(INDIRECT(ADDRESS(ROW(I831)-1, 'From Order'!$A831)), 1), I830))"),"")</f>
        <v/>
      </c>
    </row>
    <row r="832">
      <c r="A832" s="2" t="str">
        <f>IFERROR(__xludf.DUMMYFUNCTION("IF('From Order'!$A832=COLUMNS($A832:A851), LEFT(INDEX(FILTER(A$1:A831, A$1:A831&lt;&gt;""""),COUNTA(FILTER(A$1:A831, A$1:A831&lt;&gt;""""))), LEN(INDEX(FILTER(A$1:A831, A$1:A831&lt;&gt;""""),COUNTA(FILTER(A$1:A831, A$1:A831&lt;&gt;""""))))-1), IF('To Order'!$A832=COLUMNS($A832:A"&amp;"851), A831&amp;RIGHT(INDIRECT(ADDRESS(ROW(A832)-1, 'From Order'!$A832)), 1), A831))"),"")</f>
        <v/>
      </c>
      <c r="B832" s="2" t="str">
        <f>IFERROR(__xludf.DUMMYFUNCTION("IF('From Order'!$A832=COLUMNS($A832:B851), LEFT(INDEX(FILTER(B$1:B831, B$1:B831&lt;&gt;""""),COUNTA(FILTER(B$1:B831, B$1:B831&lt;&gt;""""))), LEN(INDEX(FILTER(B$1:B831, B$1:B831&lt;&gt;""""),COUNTA(FILTER(B$1:B831, B$1:B831&lt;&gt;""""))))-1), IF('To Order'!$A832=COLUMNS($A832:B"&amp;"851), B831&amp;RIGHT(INDIRECT(ADDRESS(ROW(B832)-1, 'From Order'!$A832)), 1), B831))"),"JZRDCJTBSGD")</f>
        <v>JZRDCJTBSGD</v>
      </c>
      <c r="C832" s="2" t="str">
        <f>IFERROR(__xludf.DUMMYFUNCTION("IF('From Order'!$A832=COLUMNS($A832:C851), LEFT(INDEX(FILTER(C$1:C831, C$1:C831&lt;&gt;""""),COUNTA(FILTER(C$1:C831, C$1:C831&lt;&gt;""""))), LEN(INDEX(FILTER(C$1:C831, C$1:C831&lt;&gt;""""),COUNTA(FILTER(C$1:C831, C$1:C831&lt;&gt;""""))))-1), IF('To Order'!$A832=COLUMNS($A832:C"&amp;"851), C831&amp;RIGHT(INDIRECT(ADDRESS(ROW(C832)-1, 'From Order'!$A832)), 1), C831))"),"L")</f>
        <v>L</v>
      </c>
      <c r="D832" s="2" t="str">
        <f>IFERROR(__xludf.DUMMYFUNCTION("IF('From Order'!$A832=COLUMNS($A832:D851), LEFT(INDEX(FILTER(D$1:D831, D$1:D831&lt;&gt;""""),COUNTA(FILTER(D$1:D831, D$1:D831&lt;&gt;""""))), LEN(INDEX(FILTER(D$1:D831, D$1:D831&lt;&gt;""""),COUNTA(FILTER(D$1:D831, D$1:D831&lt;&gt;""""))))-1), IF('To Order'!$A832=COLUMNS($A832:D"&amp;"851), D831&amp;RIGHT(INDIRECT(ADDRESS(ROW(D832)-1, 'From Order'!$A832)), 1), D831))"),"BFMHZ")</f>
        <v>BFMHZ</v>
      </c>
      <c r="E832" s="2" t="str">
        <f>IFERROR(__xludf.DUMMYFUNCTION("IF('From Order'!$A832=COLUMNS($A832:E851), LEFT(INDEX(FILTER(E$1:E831, E$1:E831&lt;&gt;""""),COUNTA(FILTER(E$1:E831, E$1:E831&lt;&gt;""""))), LEN(INDEX(FILTER(E$1:E831, E$1:E831&lt;&gt;""""),COUNTA(FILTER(E$1:E831, E$1:E831&lt;&gt;""""))))-1), IF('To Order'!$A832=COLUMNS($A832:E"&amp;"851), E831&amp;RIGHT(INDIRECT(ADDRESS(ROW(E832)-1, 'From Order'!$A832)), 1), E831))"),"PVJCVRCT")</f>
        <v>PVJCVRCT</v>
      </c>
      <c r="F832" s="2" t="str">
        <f>IFERROR(__xludf.DUMMYFUNCTION("IF('From Order'!$A832=COLUMNS($A832:F851), LEFT(INDEX(FILTER(F$1:F831, F$1:F831&lt;&gt;""""),COUNTA(FILTER(F$1:F831, F$1:F831&lt;&gt;""""))), LEN(INDEX(FILTER(F$1:F831, F$1:F831&lt;&gt;""""),COUNTA(FILTER(F$1:F831, F$1:F831&lt;&gt;""""))))-1), IF('To Order'!$A832=COLUMNS($A832:F"&amp;"851), F831&amp;RIGHT(INDIRECT(ADDRESS(ROW(F832)-1, 'From Order'!$A832)), 1), F831))"),"FSLTTWRDV")</f>
        <v>FSLTTWRDV</v>
      </c>
      <c r="G832" s="2" t="str">
        <f>IFERROR(__xludf.DUMMYFUNCTION("IF('From Order'!$A832=COLUMNS($A832:G851), LEFT(INDEX(FILTER(G$1:G831, G$1:G831&lt;&gt;""""),COUNTA(FILTER(G$1:G831, G$1:G831&lt;&gt;""""))), LEN(INDEX(FILTER(G$1:G831, G$1:G831&lt;&gt;""""),COUNTA(FILTER(G$1:G831, G$1:G831&lt;&gt;""""))))-1), IF('To Order'!$A832=COLUMNS($A832:G"&amp;"851), G831&amp;RIGHT(INDIRECT(ADDRESS(ROW(G832)-1, 'From Order'!$A832)), 1), G831))"),"DTRLRQPDSSGHWQPB")</f>
        <v>DTRLRQPDSSGHWQPB</v>
      </c>
      <c r="H832" s="2" t="str">
        <f>IFERROR(__xludf.DUMMYFUNCTION("IF('From Order'!$A832=COLUMNS($A832:H851), LEFT(INDEX(FILTER(H$1:H831, H$1:H831&lt;&gt;""""),COUNTA(FILTER(H$1:H831, H$1:H831&lt;&gt;""""))), LEN(INDEX(FILTER(H$1:H831, H$1:H831&lt;&gt;""""),COUNTA(FILTER(H$1:H831, H$1:H831&lt;&gt;""""))))-1), IF('To Order'!$A832=COLUMNS($A832:H"&amp;"851), H831&amp;RIGHT(INDIRECT(ADDRESS(ROW(H832)-1, 'From Order'!$A832)), 1), H831))"),"MZMTDB")</f>
        <v>MZMTDB</v>
      </c>
      <c r="I832" s="2" t="str">
        <f>IFERROR(__xludf.DUMMYFUNCTION("IF('From Order'!$A832=COLUMNS($A832:I851), LEFT(INDEX(FILTER(I$1:I831, I$1:I831&lt;&gt;""""),COUNTA(FILTER(I$1:I831, I$1:I831&lt;&gt;""""))), LEN(INDEX(FILTER(I$1:I831, I$1:I831&lt;&gt;""""),COUNTA(FILTER(I$1:I831, I$1:I831&lt;&gt;""""))))-1), IF('To Order'!$A832=COLUMNS($A832:I"&amp;"851), I831&amp;RIGHT(INDIRECT(ADDRESS(ROW(I832)-1, 'From Order'!$A832)), 1), I831))"),"")</f>
        <v/>
      </c>
    </row>
    <row r="833">
      <c r="A833" s="2" t="str">
        <f>IFERROR(__xludf.DUMMYFUNCTION("IF('From Order'!$A833=COLUMNS($A833:A852), LEFT(INDEX(FILTER(A$1:A832, A$1:A832&lt;&gt;""""),COUNTA(FILTER(A$1:A832, A$1:A832&lt;&gt;""""))), LEN(INDEX(FILTER(A$1:A832, A$1:A832&lt;&gt;""""),COUNTA(FILTER(A$1:A832, A$1:A832&lt;&gt;""""))))-1), IF('To Order'!$A833=COLUMNS($A833:A"&amp;"852), A832&amp;RIGHT(INDIRECT(ADDRESS(ROW(A833)-1, 'From Order'!$A833)), 1), A832))"),"")</f>
        <v/>
      </c>
      <c r="B833" s="2" t="str">
        <f>IFERROR(__xludf.DUMMYFUNCTION("IF('From Order'!$A833=COLUMNS($A833:B852), LEFT(INDEX(FILTER(B$1:B832, B$1:B832&lt;&gt;""""),COUNTA(FILTER(B$1:B832, B$1:B832&lt;&gt;""""))), LEN(INDEX(FILTER(B$1:B832, B$1:B832&lt;&gt;""""),COUNTA(FILTER(B$1:B832, B$1:B832&lt;&gt;""""))))-1), IF('To Order'!$A833=COLUMNS($A833:B"&amp;"852), B832&amp;RIGHT(INDIRECT(ADDRESS(ROW(B833)-1, 'From Order'!$A833)), 1), B832))"),"JZRDCJTBSGDB")</f>
        <v>JZRDCJTBSGDB</v>
      </c>
      <c r="C833" s="2" t="str">
        <f>IFERROR(__xludf.DUMMYFUNCTION("IF('From Order'!$A833=COLUMNS($A833:C852), LEFT(INDEX(FILTER(C$1:C832, C$1:C832&lt;&gt;""""),COUNTA(FILTER(C$1:C832, C$1:C832&lt;&gt;""""))), LEN(INDEX(FILTER(C$1:C832, C$1:C832&lt;&gt;""""),COUNTA(FILTER(C$1:C832, C$1:C832&lt;&gt;""""))))-1), IF('To Order'!$A833=COLUMNS($A833:C"&amp;"852), C832&amp;RIGHT(INDIRECT(ADDRESS(ROW(C833)-1, 'From Order'!$A833)), 1), C832))"),"L")</f>
        <v>L</v>
      </c>
      <c r="D833" s="2" t="str">
        <f>IFERROR(__xludf.DUMMYFUNCTION("IF('From Order'!$A833=COLUMNS($A833:D852), LEFT(INDEX(FILTER(D$1:D832, D$1:D832&lt;&gt;""""),COUNTA(FILTER(D$1:D832, D$1:D832&lt;&gt;""""))), LEN(INDEX(FILTER(D$1:D832, D$1:D832&lt;&gt;""""),COUNTA(FILTER(D$1:D832, D$1:D832&lt;&gt;""""))))-1), IF('To Order'!$A833=COLUMNS($A833:D"&amp;"852), D832&amp;RIGHT(INDIRECT(ADDRESS(ROW(D833)-1, 'From Order'!$A833)), 1), D832))"),"BFMHZ")</f>
        <v>BFMHZ</v>
      </c>
      <c r="E833" s="2" t="str">
        <f>IFERROR(__xludf.DUMMYFUNCTION("IF('From Order'!$A833=COLUMNS($A833:E852), LEFT(INDEX(FILTER(E$1:E832, E$1:E832&lt;&gt;""""),COUNTA(FILTER(E$1:E832, E$1:E832&lt;&gt;""""))), LEN(INDEX(FILTER(E$1:E832, E$1:E832&lt;&gt;""""),COUNTA(FILTER(E$1:E832, E$1:E832&lt;&gt;""""))))-1), IF('To Order'!$A833=COLUMNS($A833:E"&amp;"852), E832&amp;RIGHT(INDIRECT(ADDRESS(ROW(E833)-1, 'From Order'!$A833)), 1), E832))"),"PVJCVRCT")</f>
        <v>PVJCVRCT</v>
      </c>
      <c r="F833" s="2" t="str">
        <f>IFERROR(__xludf.DUMMYFUNCTION("IF('From Order'!$A833=COLUMNS($A833:F852), LEFT(INDEX(FILTER(F$1:F832, F$1:F832&lt;&gt;""""),COUNTA(FILTER(F$1:F832, F$1:F832&lt;&gt;""""))), LEN(INDEX(FILTER(F$1:F832, F$1:F832&lt;&gt;""""),COUNTA(FILTER(F$1:F832, F$1:F832&lt;&gt;""""))))-1), IF('To Order'!$A833=COLUMNS($A833:F"&amp;"852), F832&amp;RIGHT(INDIRECT(ADDRESS(ROW(F833)-1, 'From Order'!$A833)), 1), F832))"),"FSLTTWRDV")</f>
        <v>FSLTTWRDV</v>
      </c>
      <c r="G833" s="2" t="str">
        <f>IFERROR(__xludf.DUMMYFUNCTION("IF('From Order'!$A833=COLUMNS($A833:G852), LEFT(INDEX(FILTER(G$1:G832, G$1:G832&lt;&gt;""""),COUNTA(FILTER(G$1:G832, G$1:G832&lt;&gt;""""))), LEN(INDEX(FILTER(G$1:G832, G$1:G832&lt;&gt;""""),COUNTA(FILTER(G$1:G832, G$1:G832&lt;&gt;""""))))-1), IF('To Order'!$A833=COLUMNS($A833:G"&amp;"852), G832&amp;RIGHT(INDIRECT(ADDRESS(ROW(G833)-1, 'From Order'!$A833)), 1), G832))"),"DTRLRQPDSSGHWQPB")</f>
        <v>DTRLRQPDSSGHWQPB</v>
      </c>
      <c r="H833" s="2" t="str">
        <f>IFERROR(__xludf.DUMMYFUNCTION("IF('From Order'!$A833=COLUMNS($A833:H852), LEFT(INDEX(FILTER(H$1:H832, H$1:H832&lt;&gt;""""),COUNTA(FILTER(H$1:H832, H$1:H832&lt;&gt;""""))), LEN(INDEX(FILTER(H$1:H832, H$1:H832&lt;&gt;""""),COUNTA(FILTER(H$1:H832, H$1:H832&lt;&gt;""""))))-1), IF('To Order'!$A833=COLUMNS($A833:H"&amp;"852), H832&amp;RIGHT(INDIRECT(ADDRESS(ROW(H833)-1, 'From Order'!$A833)), 1), H832))"),"MZMTD")</f>
        <v>MZMTD</v>
      </c>
      <c r="I833" s="2" t="str">
        <f>IFERROR(__xludf.DUMMYFUNCTION("IF('From Order'!$A833=COLUMNS($A833:I852), LEFT(INDEX(FILTER(I$1:I832, I$1:I832&lt;&gt;""""),COUNTA(FILTER(I$1:I832, I$1:I832&lt;&gt;""""))), LEN(INDEX(FILTER(I$1:I832, I$1:I832&lt;&gt;""""),COUNTA(FILTER(I$1:I832, I$1:I832&lt;&gt;""""))))-1), IF('To Order'!$A833=COLUMNS($A833:I"&amp;"852), I832&amp;RIGHT(INDIRECT(ADDRESS(ROW(I833)-1, 'From Order'!$A833)), 1), I832))"),"")</f>
        <v/>
      </c>
    </row>
    <row r="834">
      <c r="A834" s="2" t="str">
        <f>IFERROR(__xludf.DUMMYFUNCTION("IF('From Order'!$A834=COLUMNS($A834:A853), LEFT(INDEX(FILTER(A$1:A833, A$1:A833&lt;&gt;""""),COUNTA(FILTER(A$1:A833, A$1:A833&lt;&gt;""""))), LEN(INDEX(FILTER(A$1:A833, A$1:A833&lt;&gt;""""),COUNTA(FILTER(A$1:A833, A$1:A833&lt;&gt;""""))))-1), IF('To Order'!$A834=COLUMNS($A834:A"&amp;"853), A833&amp;RIGHT(INDIRECT(ADDRESS(ROW(A834)-1, 'From Order'!$A834)), 1), A833))"),"")</f>
        <v/>
      </c>
      <c r="B834" s="2" t="str">
        <f>IFERROR(__xludf.DUMMYFUNCTION("IF('From Order'!$A834=COLUMNS($A834:B853), LEFT(INDEX(FILTER(B$1:B833, B$1:B833&lt;&gt;""""),COUNTA(FILTER(B$1:B833, B$1:B833&lt;&gt;""""))), LEN(INDEX(FILTER(B$1:B833, B$1:B833&lt;&gt;""""),COUNTA(FILTER(B$1:B833, B$1:B833&lt;&gt;""""))))-1), IF('To Order'!$A834=COLUMNS($A834:B"&amp;"853), B833&amp;RIGHT(INDIRECT(ADDRESS(ROW(B834)-1, 'From Order'!$A834)), 1), B833))"),"JZRDCJTBSGDBD")</f>
        <v>JZRDCJTBSGDBD</v>
      </c>
      <c r="C834" s="2" t="str">
        <f>IFERROR(__xludf.DUMMYFUNCTION("IF('From Order'!$A834=COLUMNS($A834:C853), LEFT(INDEX(FILTER(C$1:C833, C$1:C833&lt;&gt;""""),COUNTA(FILTER(C$1:C833, C$1:C833&lt;&gt;""""))), LEN(INDEX(FILTER(C$1:C833, C$1:C833&lt;&gt;""""),COUNTA(FILTER(C$1:C833, C$1:C833&lt;&gt;""""))))-1), IF('To Order'!$A834=COLUMNS($A834:C"&amp;"853), C833&amp;RIGHT(INDIRECT(ADDRESS(ROW(C834)-1, 'From Order'!$A834)), 1), C833))"),"L")</f>
        <v>L</v>
      </c>
      <c r="D834" s="2" t="str">
        <f>IFERROR(__xludf.DUMMYFUNCTION("IF('From Order'!$A834=COLUMNS($A834:D853), LEFT(INDEX(FILTER(D$1:D833, D$1:D833&lt;&gt;""""),COUNTA(FILTER(D$1:D833, D$1:D833&lt;&gt;""""))), LEN(INDEX(FILTER(D$1:D833, D$1:D833&lt;&gt;""""),COUNTA(FILTER(D$1:D833, D$1:D833&lt;&gt;""""))))-1), IF('To Order'!$A834=COLUMNS($A834:D"&amp;"853), D833&amp;RIGHT(INDIRECT(ADDRESS(ROW(D834)-1, 'From Order'!$A834)), 1), D833))"),"BFMHZ")</f>
        <v>BFMHZ</v>
      </c>
      <c r="E834" s="2" t="str">
        <f>IFERROR(__xludf.DUMMYFUNCTION("IF('From Order'!$A834=COLUMNS($A834:E853), LEFT(INDEX(FILTER(E$1:E833, E$1:E833&lt;&gt;""""),COUNTA(FILTER(E$1:E833, E$1:E833&lt;&gt;""""))), LEN(INDEX(FILTER(E$1:E833, E$1:E833&lt;&gt;""""),COUNTA(FILTER(E$1:E833, E$1:E833&lt;&gt;""""))))-1), IF('To Order'!$A834=COLUMNS($A834:E"&amp;"853), E833&amp;RIGHT(INDIRECT(ADDRESS(ROW(E834)-1, 'From Order'!$A834)), 1), E833))"),"PVJCVRCT")</f>
        <v>PVJCVRCT</v>
      </c>
      <c r="F834" s="2" t="str">
        <f>IFERROR(__xludf.DUMMYFUNCTION("IF('From Order'!$A834=COLUMNS($A834:F853), LEFT(INDEX(FILTER(F$1:F833, F$1:F833&lt;&gt;""""),COUNTA(FILTER(F$1:F833, F$1:F833&lt;&gt;""""))), LEN(INDEX(FILTER(F$1:F833, F$1:F833&lt;&gt;""""),COUNTA(FILTER(F$1:F833, F$1:F833&lt;&gt;""""))))-1), IF('To Order'!$A834=COLUMNS($A834:F"&amp;"853), F833&amp;RIGHT(INDIRECT(ADDRESS(ROW(F834)-1, 'From Order'!$A834)), 1), F833))"),"FSLTTWRDV")</f>
        <v>FSLTTWRDV</v>
      </c>
      <c r="G834" s="2" t="str">
        <f>IFERROR(__xludf.DUMMYFUNCTION("IF('From Order'!$A834=COLUMNS($A834:G853), LEFT(INDEX(FILTER(G$1:G833, G$1:G833&lt;&gt;""""),COUNTA(FILTER(G$1:G833, G$1:G833&lt;&gt;""""))), LEN(INDEX(FILTER(G$1:G833, G$1:G833&lt;&gt;""""),COUNTA(FILTER(G$1:G833, G$1:G833&lt;&gt;""""))))-1), IF('To Order'!$A834=COLUMNS($A834:G"&amp;"853), G833&amp;RIGHT(INDIRECT(ADDRESS(ROW(G834)-1, 'From Order'!$A834)), 1), G833))"),"DTRLRQPDSSGHWQPB")</f>
        <v>DTRLRQPDSSGHWQPB</v>
      </c>
      <c r="H834" s="2" t="str">
        <f>IFERROR(__xludf.DUMMYFUNCTION("IF('From Order'!$A834=COLUMNS($A834:H853), LEFT(INDEX(FILTER(H$1:H833, H$1:H833&lt;&gt;""""),COUNTA(FILTER(H$1:H833, H$1:H833&lt;&gt;""""))), LEN(INDEX(FILTER(H$1:H833, H$1:H833&lt;&gt;""""),COUNTA(FILTER(H$1:H833, H$1:H833&lt;&gt;""""))))-1), IF('To Order'!$A834=COLUMNS($A834:H"&amp;"853), H833&amp;RIGHT(INDIRECT(ADDRESS(ROW(H834)-1, 'From Order'!$A834)), 1), H833))"),"MZMT")</f>
        <v>MZMT</v>
      </c>
      <c r="I834" s="2" t="str">
        <f>IFERROR(__xludf.DUMMYFUNCTION("IF('From Order'!$A834=COLUMNS($A834:I853), LEFT(INDEX(FILTER(I$1:I833, I$1:I833&lt;&gt;""""),COUNTA(FILTER(I$1:I833, I$1:I833&lt;&gt;""""))), LEN(INDEX(FILTER(I$1:I833, I$1:I833&lt;&gt;""""),COUNTA(FILTER(I$1:I833, I$1:I833&lt;&gt;""""))))-1), IF('To Order'!$A834=COLUMNS($A834:I"&amp;"853), I833&amp;RIGHT(INDIRECT(ADDRESS(ROW(I834)-1, 'From Order'!$A834)), 1), I833))"),"")</f>
        <v/>
      </c>
    </row>
    <row r="835">
      <c r="A835" s="2" t="str">
        <f>IFERROR(__xludf.DUMMYFUNCTION("IF('From Order'!$A835=COLUMNS($A835:A854), LEFT(INDEX(FILTER(A$1:A834, A$1:A834&lt;&gt;""""),COUNTA(FILTER(A$1:A834, A$1:A834&lt;&gt;""""))), LEN(INDEX(FILTER(A$1:A834, A$1:A834&lt;&gt;""""),COUNTA(FILTER(A$1:A834, A$1:A834&lt;&gt;""""))))-1), IF('To Order'!$A835=COLUMNS($A835:A"&amp;"854), A834&amp;RIGHT(INDIRECT(ADDRESS(ROW(A835)-1, 'From Order'!$A835)), 1), A834))"),"")</f>
        <v/>
      </c>
      <c r="B835" s="2" t="str">
        <f>IFERROR(__xludf.DUMMYFUNCTION("IF('From Order'!$A835=COLUMNS($A835:B854), LEFT(INDEX(FILTER(B$1:B834, B$1:B834&lt;&gt;""""),COUNTA(FILTER(B$1:B834, B$1:B834&lt;&gt;""""))), LEN(INDEX(FILTER(B$1:B834, B$1:B834&lt;&gt;""""),COUNTA(FILTER(B$1:B834, B$1:B834&lt;&gt;""""))))-1), IF('To Order'!$A835=COLUMNS($A835:B"&amp;"854), B834&amp;RIGHT(INDIRECT(ADDRESS(ROW(B835)-1, 'From Order'!$A835)), 1), B834))"),"JZRDCJTBSGDBD")</f>
        <v>JZRDCJTBSGDBD</v>
      </c>
      <c r="C835" s="2" t="str">
        <f>IFERROR(__xludf.DUMMYFUNCTION("IF('From Order'!$A835=COLUMNS($A835:C854), LEFT(INDEX(FILTER(C$1:C834, C$1:C834&lt;&gt;""""),COUNTA(FILTER(C$1:C834, C$1:C834&lt;&gt;""""))), LEN(INDEX(FILTER(C$1:C834, C$1:C834&lt;&gt;""""),COUNTA(FILTER(C$1:C834, C$1:C834&lt;&gt;""""))))-1), IF('To Order'!$A835=COLUMNS($A835:C"&amp;"854), C834&amp;RIGHT(INDIRECT(ADDRESS(ROW(C835)-1, 'From Order'!$A835)), 1), C834))"),"")</f>
        <v/>
      </c>
      <c r="D835" s="2" t="str">
        <f>IFERROR(__xludf.DUMMYFUNCTION("IF('From Order'!$A835=COLUMNS($A835:D854), LEFT(INDEX(FILTER(D$1:D834, D$1:D834&lt;&gt;""""),COUNTA(FILTER(D$1:D834, D$1:D834&lt;&gt;""""))), LEN(INDEX(FILTER(D$1:D834, D$1:D834&lt;&gt;""""),COUNTA(FILTER(D$1:D834, D$1:D834&lt;&gt;""""))))-1), IF('To Order'!$A835=COLUMNS($A835:D"&amp;"854), D834&amp;RIGHT(INDIRECT(ADDRESS(ROW(D835)-1, 'From Order'!$A835)), 1), D834))"),"BFMHZ")</f>
        <v>BFMHZ</v>
      </c>
      <c r="E835" s="2" t="str">
        <f>IFERROR(__xludf.DUMMYFUNCTION("IF('From Order'!$A835=COLUMNS($A835:E854), LEFT(INDEX(FILTER(E$1:E834, E$1:E834&lt;&gt;""""),COUNTA(FILTER(E$1:E834, E$1:E834&lt;&gt;""""))), LEN(INDEX(FILTER(E$1:E834, E$1:E834&lt;&gt;""""),COUNTA(FILTER(E$1:E834, E$1:E834&lt;&gt;""""))))-1), IF('To Order'!$A835=COLUMNS($A835:E"&amp;"854), E834&amp;RIGHT(INDIRECT(ADDRESS(ROW(E835)-1, 'From Order'!$A835)), 1), E834))"),"PVJCVRCT")</f>
        <v>PVJCVRCT</v>
      </c>
      <c r="F835" s="2" t="str">
        <f>IFERROR(__xludf.DUMMYFUNCTION("IF('From Order'!$A835=COLUMNS($A835:F854), LEFT(INDEX(FILTER(F$1:F834, F$1:F834&lt;&gt;""""),COUNTA(FILTER(F$1:F834, F$1:F834&lt;&gt;""""))), LEN(INDEX(FILTER(F$1:F834, F$1:F834&lt;&gt;""""),COUNTA(FILTER(F$1:F834, F$1:F834&lt;&gt;""""))))-1), IF('To Order'!$A835=COLUMNS($A835:F"&amp;"854), F834&amp;RIGHT(INDIRECT(ADDRESS(ROW(F835)-1, 'From Order'!$A835)), 1), F834))"),"FSLTTWRDV")</f>
        <v>FSLTTWRDV</v>
      </c>
      <c r="G835" s="2" t="str">
        <f>IFERROR(__xludf.DUMMYFUNCTION("IF('From Order'!$A835=COLUMNS($A835:G854), LEFT(INDEX(FILTER(G$1:G834, G$1:G834&lt;&gt;""""),COUNTA(FILTER(G$1:G834, G$1:G834&lt;&gt;""""))), LEN(INDEX(FILTER(G$1:G834, G$1:G834&lt;&gt;""""),COUNTA(FILTER(G$1:G834, G$1:G834&lt;&gt;""""))))-1), IF('To Order'!$A835=COLUMNS($A835:G"&amp;"854), G834&amp;RIGHT(INDIRECT(ADDRESS(ROW(G835)-1, 'From Order'!$A835)), 1), G834))"),"DTRLRQPDSSGHWQPB")</f>
        <v>DTRLRQPDSSGHWQPB</v>
      </c>
      <c r="H835" s="2" t="str">
        <f>IFERROR(__xludf.DUMMYFUNCTION("IF('From Order'!$A835=COLUMNS($A835:H854), LEFT(INDEX(FILTER(H$1:H834, H$1:H834&lt;&gt;""""),COUNTA(FILTER(H$1:H834, H$1:H834&lt;&gt;""""))), LEN(INDEX(FILTER(H$1:H834, H$1:H834&lt;&gt;""""),COUNTA(FILTER(H$1:H834, H$1:H834&lt;&gt;""""))))-1), IF('To Order'!$A835=COLUMNS($A835:H"&amp;"854), H834&amp;RIGHT(INDIRECT(ADDRESS(ROW(H835)-1, 'From Order'!$A835)), 1), H834))"),"MZMT")</f>
        <v>MZMT</v>
      </c>
      <c r="I835" s="2" t="str">
        <f>IFERROR(__xludf.DUMMYFUNCTION("IF('From Order'!$A835=COLUMNS($A835:I854), LEFT(INDEX(FILTER(I$1:I834, I$1:I834&lt;&gt;""""),COUNTA(FILTER(I$1:I834, I$1:I834&lt;&gt;""""))), LEN(INDEX(FILTER(I$1:I834, I$1:I834&lt;&gt;""""),COUNTA(FILTER(I$1:I834, I$1:I834&lt;&gt;""""))))-1), IF('To Order'!$A835=COLUMNS($A835:I"&amp;"854), I834&amp;RIGHT(INDIRECT(ADDRESS(ROW(I835)-1, 'From Order'!$A835)), 1), I834))"),"L")</f>
        <v>L</v>
      </c>
    </row>
    <row r="836">
      <c r="A836" s="2" t="str">
        <f>IFERROR(__xludf.DUMMYFUNCTION("IF('From Order'!$A836=COLUMNS($A836:A855), LEFT(INDEX(FILTER(A$1:A835, A$1:A835&lt;&gt;""""),COUNTA(FILTER(A$1:A835, A$1:A835&lt;&gt;""""))), LEN(INDEX(FILTER(A$1:A835, A$1:A835&lt;&gt;""""),COUNTA(FILTER(A$1:A835, A$1:A835&lt;&gt;""""))))-1), IF('To Order'!$A836=COLUMNS($A836:A"&amp;"855), A835&amp;RIGHT(INDIRECT(ADDRESS(ROW(A836)-1, 'From Order'!$A836)), 1), A835))"),"")</f>
        <v/>
      </c>
      <c r="B836" s="2" t="str">
        <f>IFERROR(__xludf.DUMMYFUNCTION("IF('From Order'!$A836=COLUMNS($A836:B855), LEFT(INDEX(FILTER(B$1:B835, B$1:B835&lt;&gt;""""),COUNTA(FILTER(B$1:B835, B$1:B835&lt;&gt;""""))), LEN(INDEX(FILTER(B$1:B835, B$1:B835&lt;&gt;""""),COUNTA(FILTER(B$1:B835, B$1:B835&lt;&gt;""""))))-1), IF('To Order'!$A836=COLUMNS($A836:B"&amp;"855), B835&amp;RIGHT(INDIRECT(ADDRESS(ROW(B836)-1, 'From Order'!$A836)), 1), B835))"),"JZRDCJTBSGDBD")</f>
        <v>JZRDCJTBSGDBD</v>
      </c>
      <c r="C836" s="2" t="str">
        <f>IFERROR(__xludf.DUMMYFUNCTION("IF('From Order'!$A836=COLUMNS($A836:C855), LEFT(INDEX(FILTER(C$1:C835, C$1:C835&lt;&gt;""""),COUNTA(FILTER(C$1:C835, C$1:C835&lt;&gt;""""))), LEN(INDEX(FILTER(C$1:C835, C$1:C835&lt;&gt;""""),COUNTA(FILTER(C$1:C835, C$1:C835&lt;&gt;""""))))-1), IF('To Order'!$A836=COLUMNS($A836:C"&amp;"855), C835&amp;RIGHT(INDIRECT(ADDRESS(ROW(C836)-1, 'From Order'!$A836)), 1), C835))"),"V")</f>
        <v>V</v>
      </c>
      <c r="D836" s="2" t="str">
        <f>IFERROR(__xludf.DUMMYFUNCTION("IF('From Order'!$A836=COLUMNS($A836:D855), LEFT(INDEX(FILTER(D$1:D835, D$1:D835&lt;&gt;""""),COUNTA(FILTER(D$1:D835, D$1:D835&lt;&gt;""""))), LEN(INDEX(FILTER(D$1:D835, D$1:D835&lt;&gt;""""),COUNTA(FILTER(D$1:D835, D$1:D835&lt;&gt;""""))))-1), IF('To Order'!$A836=COLUMNS($A836:D"&amp;"855), D835&amp;RIGHT(INDIRECT(ADDRESS(ROW(D836)-1, 'From Order'!$A836)), 1), D835))"),"BFMHZ")</f>
        <v>BFMHZ</v>
      </c>
      <c r="E836" s="2" t="str">
        <f>IFERROR(__xludf.DUMMYFUNCTION("IF('From Order'!$A836=COLUMNS($A836:E855), LEFT(INDEX(FILTER(E$1:E835, E$1:E835&lt;&gt;""""),COUNTA(FILTER(E$1:E835, E$1:E835&lt;&gt;""""))), LEN(INDEX(FILTER(E$1:E835, E$1:E835&lt;&gt;""""),COUNTA(FILTER(E$1:E835, E$1:E835&lt;&gt;""""))))-1), IF('To Order'!$A836=COLUMNS($A836:E"&amp;"855), E835&amp;RIGHT(INDIRECT(ADDRESS(ROW(E836)-1, 'From Order'!$A836)), 1), E835))"),"PVJCVRCT")</f>
        <v>PVJCVRCT</v>
      </c>
      <c r="F836" s="2" t="str">
        <f>IFERROR(__xludf.DUMMYFUNCTION("IF('From Order'!$A836=COLUMNS($A836:F855), LEFT(INDEX(FILTER(F$1:F835, F$1:F835&lt;&gt;""""),COUNTA(FILTER(F$1:F835, F$1:F835&lt;&gt;""""))), LEN(INDEX(FILTER(F$1:F835, F$1:F835&lt;&gt;""""),COUNTA(FILTER(F$1:F835, F$1:F835&lt;&gt;""""))))-1), IF('To Order'!$A836=COLUMNS($A836:F"&amp;"855), F835&amp;RIGHT(INDIRECT(ADDRESS(ROW(F836)-1, 'From Order'!$A836)), 1), F835))"),"FSLTTWRD")</f>
        <v>FSLTTWRD</v>
      </c>
      <c r="G836" s="2" t="str">
        <f>IFERROR(__xludf.DUMMYFUNCTION("IF('From Order'!$A836=COLUMNS($A836:G855), LEFT(INDEX(FILTER(G$1:G835, G$1:G835&lt;&gt;""""),COUNTA(FILTER(G$1:G835, G$1:G835&lt;&gt;""""))), LEN(INDEX(FILTER(G$1:G835, G$1:G835&lt;&gt;""""),COUNTA(FILTER(G$1:G835, G$1:G835&lt;&gt;""""))))-1), IF('To Order'!$A836=COLUMNS($A836:G"&amp;"855), G835&amp;RIGHT(INDIRECT(ADDRESS(ROW(G836)-1, 'From Order'!$A836)), 1), G835))"),"DTRLRQPDSSGHWQPB")</f>
        <v>DTRLRQPDSSGHWQPB</v>
      </c>
      <c r="H836" s="2" t="str">
        <f>IFERROR(__xludf.DUMMYFUNCTION("IF('From Order'!$A836=COLUMNS($A836:H855), LEFT(INDEX(FILTER(H$1:H835, H$1:H835&lt;&gt;""""),COUNTA(FILTER(H$1:H835, H$1:H835&lt;&gt;""""))), LEN(INDEX(FILTER(H$1:H835, H$1:H835&lt;&gt;""""),COUNTA(FILTER(H$1:H835, H$1:H835&lt;&gt;""""))))-1), IF('To Order'!$A836=COLUMNS($A836:H"&amp;"855), H835&amp;RIGHT(INDIRECT(ADDRESS(ROW(H836)-1, 'From Order'!$A836)), 1), H835))"),"MZMT")</f>
        <v>MZMT</v>
      </c>
      <c r="I836" s="2" t="str">
        <f>IFERROR(__xludf.DUMMYFUNCTION("IF('From Order'!$A836=COLUMNS($A836:I855), LEFT(INDEX(FILTER(I$1:I835, I$1:I835&lt;&gt;""""),COUNTA(FILTER(I$1:I835, I$1:I835&lt;&gt;""""))), LEN(INDEX(FILTER(I$1:I835, I$1:I835&lt;&gt;""""),COUNTA(FILTER(I$1:I835, I$1:I835&lt;&gt;""""))))-1), IF('To Order'!$A836=COLUMNS($A836:I"&amp;"855), I835&amp;RIGHT(INDIRECT(ADDRESS(ROW(I836)-1, 'From Order'!$A836)), 1), I835))"),"L")</f>
        <v>L</v>
      </c>
    </row>
    <row r="837">
      <c r="A837" s="2" t="str">
        <f>IFERROR(__xludf.DUMMYFUNCTION("IF('From Order'!$A837=COLUMNS($A837:A856), LEFT(INDEX(FILTER(A$1:A836, A$1:A836&lt;&gt;""""),COUNTA(FILTER(A$1:A836, A$1:A836&lt;&gt;""""))), LEN(INDEX(FILTER(A$1:A836, A$1:A836&lt;&gt;""""),COUNTA(FILTER(A$1:A836, A$1:A836&lt;&gt;""""))))-1), IF('To Order'!$A837=COLUMNS($A837:A"&amp;"856), A836&amp;RIGHT(INDIRECT(ADDRESS(ROW(A837)-1, 'From Order'!$A837)), 1), A836))"),"")</f>
        <v/>
      </c>
      <c r="B837" s="2" t="str">
        <f>IFERROR(__xludf.DUMMYFUNCTION("IF('From Order'!$A837=COLUMNS($A837:B856), LEFT(INDEX(FILTER(B$1:B836, B$1:B836&lt;&gt;""""),COUNTA(FILTER(B$1:B836, B$1:B836&lt;&gt;""""))), LEN(INDEX(FILTER(B$1:B836, B$1:B836&lt;&gt;""""),COUNTA(FILTER(B$1:B836, B$1:B836&lt;&gt;""""))))-1), IF('To Order'!$A837=COLUMNS($A837:B"&amp;"856), B836&amp;RIGHT(INDIRECT(ADDRESS(ROW(B837)-1, 'From Order'!$A837)), 1), B836))"),"JZRDCJTBSGDB")</f>
        <v>JZRDCJTBSGDB</v>
      </c>
      <c r="C837" s="2" t="str">
        <f>IFERROR(__xludf.DUMMYFUNCTION("IF('From Order'!$A837=COLUMNS($A837:C856), LEFT(INDEX(FILTER(C$1:C836, C$1:C836&lt;&gt;""""),COUNTA(FILTER(C$1:C836, C$1:C836&lt;&gt;""""))), LEN(INDEX(FILTER(C$1:C836, C$1:C836&lt;&gt;""""),COUNTA(FILTER(C$1:C836, C$1:C836&lt;&gt;""""))))-1), IF('To Order'!$A837=COLUMNS($A837:C"&amp;"856), C836&amp;RIGHT(INDIRECT(ADDRESS(ROW(C837)-1, 'From Order'!$A837)), 1), C836))"),"V")</f>
        <v>V</v>
      </c>
      <c r="D837" s="2" t="str">
        <f>IFERROR(__xludf.DUMMYFUNCTION("IF('From Order'!$A837=COLUMNS($A837:D856), LEFT(INDEX(FILTER(D$1:D836, D$1:D836&lt;&gt;""""),COUNTA(FILTER(D$1:D836, D$1:D836&lt;&gt;""""))), LEN(INDEX(FILTER(D$1:D836, D$1:D836&lt;&gt;""""),COUNTA(FILTER(D$1:D836, D$1:D836&lt;&gt;""""))))-1), IF('To Order'!$A837=COLUMNS($A837:D"&amp;"856), D836&amp;RIGHT(INDIRECT(ADDRESS(ROW(D837)-1, 'From Order'!$A837)), 1), D836))"),"BFMHZ")</f>
        <v>BFMHZ</v>
      </c>
      <c r="E837" s="2" t="str">
        <f>IFERROR(__xludf.DUMMYFUNCTION("IF('From Order'!$A837=COLUMNS($A837:E856), LEFT(INDEX(FILTER(E$1:E836, E$1:E836&lt;&gt;""""),COUNTA(FILTER(E$1:E836, E$1:E836&lt;&gt;""""))), LEN(INDEX(FILTER(E$1:E836, E$1:E836&lt;&gt;""""),COUNTA(FILTER(E$1:E836, E$1:E836&lt;&gt;""""))))-1), IF('To Order'!$A837=COLUMNS($A837:E"&amp;"856), E836&amp;RIGHT(INDIRECT(ADDRESS(ROW(E837)-1, 'From Order'!$A837)), 1), E836))"),"PVJCVRCT")</f>
        <v>PVJCVRCT</v>
      </c>
      <c r="F837" s="2" t="str">
        <f>IFERROR(__xludf.DUMMYFUNCTION("IF('From Order'!$A837=COLUMNS($A837:F856), LEFT(INDEX(FILTER(F$1:F836, F$1:F836&lt;&gt;""""),COUNTA(FILTER(F$1:F836, F$1:F836&lt;&gt;""""))), LEN(INDEX(FILTER(F$1:F836, F$1:F836&lt;&gt;""""),COUNTA(FILTER(F$1:F836, F$1:F836&lt;&gt;""""))))-1), IF('To Order'!$A837=COLUMNS($A837:F"&amp;"856), F836&amp;RIGHT(INDIRECT(ADDRESS(ROW(F837)-1, 'From Order'!$A837)), 1), F836))"),"FSLTTWRD")</f>
        <v>FSLTTWRD</v>
      </c>
      <c r="G837" s="2" t="str">
        <f>IFERROR(__xludf.DUMMYFUNCTION("IF('From Order'!$A837=COLUMNS($A837:G856), LEFT(INDEX(FILTER(G$1:G836, G$1:G836&lt;&gt;""""),COUNTA(FILTER(G$1:G836, G$1:G836&lt;&gt;""""))), LEN(INDEX(FILTER(G$1:G836, G$1:G836&lt;&gt;""""),COUNTA(FILTER(G$1:G836, G$1:G836&lt;&gt;""""))))-1), IF('To Order'!$A837=COLUMNS($A837:G"&amp;"856), G836&amp;RIGHT(INDIRECT(ADDRESS(ROW(G837)-1, 'From Order'!$A837)), 1), G836))"),"DTRLRQPDSSGHWQPB")</f>
        <v>DTRLRQPDSSGHWQPB</v>
      </c>
      <c r="H837" s="2" t="str">
        <f>IFERROR(__xludf.DUMMYFUNCTION("IF('From Order'!$A837=COLUMNS($A837:H856), LEFT(INDEX(FILTER(H$1:H836, H$1:H836&lt;&gt;""""),COUNTA(FILTER(H$1:H836, H$1:H836&lt;&gt;""""))), LEN(INDEX(FILTER(H$1:H836, H$1:H836&lt;&gt;""""),COUNTA(FILTER(H$1:H836, H$1:H836&lt;&gt;""""))))-1), IF('To Order'!$A837=COLUMNS($A837:H"&amp;"856), H836&amp;RIGHT(INDIRECT(ADDRESS(ROW(H837)-1, 'From Order'!$A837)), 1), H836))"),"MZMTD")</f>
        <v>MZMTD</v>
      </c>
      <c r="I837" s="2" t="str">
        <f>IFERROR(__xludf.DUMMYFUNCTION("IF('From Order'!$A837=COLUMNS($A837:I856), LEFT(INDEX(FILTER(I$1:I836, I$1:I836&lt;&gt;""""),COUNTA(FILTER(I$1:I836, I$1:I836&lt;&gt;""""))), LEN(INDEX(FILTER(I$1:I836, I$1:I836&lt;&gt;""""),COUNTA(FILTER(I$1:I836, I$1:I836&lt;&gt;""""))))-1), IF('To Order'!$A837=COLUMNS($A837:I"&amp;"856), I836&amp;RIGHT(INDIRECT(ADDRESS(ROW(I837)-1, 'From Order'!$A837)), 1), I836))"),"L")</f>
        <v>L</v>
      </c>
    </row>
    <row r="838">
      <c r="A838" s="2" t="str">
        <f>IFERROR(__xludf.DUMMYFUNCTION("IF('From Order'!$A838=COLUMNS($A838:A857), LEFT(INDEX(FILTER(A$1:A837, A$1:A837&lt;&gt;""""),COUNTA(FILTER(A$1:A837, A$1:A837&lt;&gt;""""))), LEN(INDEX(FILTER(A$1:A837, A$1:A837&lt;&gt;""""),COUNTA(FILTER(A$1:A837, A$1:A837&lt;&gt;""""))))-1), IF('To Order'!$A838=COLUMNS($A838:A"&amp;"857), A837&amp;RIGHT(INDIRECT(ADDRESS(ROW(A838)-1, 'From Order'!$A838)), 1), A837))"),"")</f>
        <v/>
      </c>
      <c r="B838" s="2" t="str">
        <f>IFERROR(__xludf.DUMMYFUNCTION("IF('From Order'!$A838=COLUMNS($A838:B857), LEFT(INDEX(FILTER(B$1:B837, B$1:B837&lt;&gt;""""),COUNTA(FILTER(B$1:B837, B$1:B837&lt;&gt;""""))), LEN(INDEX(FILTER(B$1:B837, B$1:B837&lt;&gt;""""),COUNTA(FILTER(B$1:B837, B$1:B837&lt;&gt;""""))))-1), IF('To Order'!$A838=COLUMNS($A838:B"&amp;"857), B837&amp;RIGHT(INDIRECT(ADDRESS(ROW(B838)-1, 'From Order'!$A838)), 1), B837))"),"JZRDCJTBSGD")</f>
        <v>JZRDCJTBSGD</v>
      </c>
      <c r="C838" s="2" t="str">
        <f>IFERROR(__xludf.DUMMYFUNCTION("IF('From Order'!$A838=COLUMNS($A838:C857), LEFT(INDEX(FILTER(C$1:C837, C$1:C837&lt;&gt;""""),COUNTA(FILTER(C$1:C837, C$1:C837&lt;&gt;""""))), LEN(INDEX(FILTER(C$1:C837, C$1:C837&lt;&gt;""""),COUNTA(FILTER(C$1:C837, C$1:C837&lt;&gt;""""))))-1), IF('To Order'!$A838=COLUMNS($A838:C"&amp;"857), C837&amp;RIGHT(INDIRECT(ADDRESS(ROW(C838)-1, 'From Order'!$A838)), 1), C837))"),"V")</f>
        <v>V</v>
      </c>
      <c r="D838" s="2" t="str">
        <f>IFERROR(__xludf.DUMMYFUNCTION("IF('From Order'!$A838=COLUMNS($A838:D857), LEFT(INDEX(FILTER(D$1:D837, D$1:D837&lt;&gt;""""),COUNTA(FILTER(D$1:D837, D$1:D837&lt;&gt;""""))), LEN(INDEX(FILTER(D$1:D837, D$1:D837&lt;&gt;""""),COUNTA(FILTER(D$1:D837, D$1:D837&lt;&gt;""""))))-1), IF('To Order'!$A838=COLUMNS($A838:D"&amp;"857), D837&amp;RIGHT(INDIRECT(ADDRESS(ROW(D838)-1, 'From Order'!$A838)), 1), D837))"),"BFMHZ")</f>
        <v>BFMHZ</v>
      </c>
      <c r="E838" s="2" t="str">
        <f>IFERROR(__xludf.DUMMYFUNCTION("IF('From Order'!$A838=COLUMNS($A838:E857), LEFT(INDEX(FILTER(E$1:E837, E$1:E837&lt;&gt;""""),COUNTA(FILTER(E$1:E837, E$1:E837&lt;&gt;""""))), LEN(INDEX(FILTER(E$1:E837, E$1:E837&lt;&gt;""""),COUNTA(FILTER(E$1:E837, E$1:E837&lt;&gt;""""))))-1), IF('To Order'!$A838=COLUMNS($A838:E"&amp;"857), E837&amp;RIGHT(INDIRECT(ADDRESS(ROW(E838)-1, 'From Order'!$A838)), 1), E837))"),"PVJCVRCT")</f>
        <v>PVJCVRCT</v>
      </c>
      <c r="F838" s="2" t="str">
        <f>IFERROR(__xludf.DUMMYFUNCTION("IF('From Order'!$A838=COLUMNS($A838:F857), LEFT(INDEX(FILTER(F$1:F837, F$1:F837&lt;&gt;""""),COUNTA(FILTER(F$1:F837, F$1:F837&lt;&gt;""""))), LEN(INDEX(FILTER(F$1:F837, F$1:F837&lt;&gt;""""),COUNTA(FILTER(F$1:F837, F$1:F837&lt;&gt;""""))))-1), IF('To Order'!$A838=COLUMNS($A838:F"&amp;"857), F837&amp;RIGHT(INDIRECT(ADDRESS(ROW(F838)-1, 'From Order'!$A838)), 1), F837))"),"FSLTTWRD")</f>
        <v>FSLTTWRD</v>
      </c>
      <c r="G838" s="2" t="str">
        <f>IFERROR(__xludf.DUMMYFUNCTION("IF('From Order'!$A838=COLUMNS($A838:G857), LEFT(INDEX(FILTER(G$1:G837, G$1:G837&lt;&gt;""""),COUNTA(FILTER(G$1:G837, G$1:G837&lt;&gt;""""))), LEN(INDEX(FILTER(G$1:G837, G$1:G837&lt;&gt;""""),COUNTA(FILTER(G$1:G837, G$1:G837&lt;&gt;""""))))-1), IF('To Order'!$A838=COLUMNS($A838:G"&amp;"857), G837&amp;RIGHT(INDIRECT(ADDRESS(ROW(G838)-1, 'From Order'!$A838)), 1), G837))"),"DTRLRQPDSSGHWQPB")</f>
        <v>DTRLRQPDSSGHWQPB</v>
      </c>
      <c r="H838" s="2" t="str">
        <f>IFERROR(__xludf.DUMMYFUNCTION("IF('From Order'!$A838=COLUMNS($A838:H857), LEFT(INDEX(FILTER(H$1:H837, H$1:H837&lt;&gt;""""),COUNTA(FILTER(H$1:H837, H$1:H837&lt;&gt;""""))), LEN(INDEX(FILTER(H$1:H837, H$1:H837&lt;&gt;""""),COUNTA(FILTER(H$1:H837, H$1:H837&lt;&gt;""""))))-1), IF('To Order'!$A838=COLUMNS($A838:H"&amp;"857), H837&amp;RIGHT(INDIRECT(ADDRESS(ROW(H838)-1, 'From Order'!$A838)), 1), H837))"),"MZMTDB")</f>
        <v>MZMTDB</v>
      </c>
      <c r="I838" s="2" t="str">
        <f>IFERROR(__xludf.DUMMYFUNCTION("IF('From Order'!$A838=COLUMNS($A838:I857), LEFT(INDEX(FILTER(I$1:I837, I$1:I837&lt;&gt;""""),COUNTA(FILTER(I$1:I837, I$1:I837&lt;&gt;""""))), LEN(INDEX(FILTER(I$1:I837, I$1:I837&lt;&gt;""""),COUNTA(FILTER(I$1:I837, I$1:I837&lt;&gt;""""))))-1), IF('To Order'!$A838=COLUMNS($A838:I"&amp;"857), I837&amp;RIGHT(INDIRECT(ADDRESS(ROW(I838)-1, 'From Order'!$A838)), 1), I837))"),"L")</f>
        <v>L</v>
      </c>
    </row>
    <row r="839">
      <c r="A839" s="2" t="str">
        <f>IFERROR(__xludf.DUMMYFUNCTION("IF('From Order'!$A839=COLUMNS($A839:A858), LEFT(INDEX(FILTER(A$1:A838, A$1:A838&lt;&gt;""""),COUNTA(FILTER(A$1:A838, A$1:A838&lt;&gt;""""))), LEN(INDEX(FILTER(A$1:A838, A$1:A838&lt;&gt;""""),COUNTA(FILTER(A$1:A838, A$1:A838&lt;&gt;""""))))-1), IF('To Order'!$A839=COLUMNS($A839:A"&amp;"858), A838&amp;RIGHT(INDIRECT(ADDRESS(ROW(A839)-1, 'From Order'!$A839)), 1), A838))"),"")</f>
        <v/>
      </c>
      <c r="B839" s="2" t="str">
        <f>IFERROR(__xludf.DUMMYFUNCTION("IF('From Order'!$A839=COLUMNS($A839:B858), LEFT(INDEX(FILTER(B$1:B838, B$1:B838&lt;&gt;""""),COUNTA(FILTER(B$1:B838, B$1:B838&lt;&gt;""""))), LEN(INDEX(FILTER(B$1:B838, B$1:B838&lt;&gt;""""),COUNTA(FILTER(B$1:B838, B$1:B838&lt;&gt;""""))))-1), IF('To Order'!$A839=COLUMNS($A839:B"&amp;"858), B838&amp;RIGHT(INDIRECT(ADDRESS(ROW(B839)-1, 'From Order'!$A839)), 1), B838))"),"JZRDCJTBSG")</f>
        <v>JZRDCJTBSG</v>
      </c>
      <c r="C839" s="2" t="str">
        <f>IFERROR(__xludf.DUMMYFUNCTION("IF('From Order'!$A839=COLUMNS($A839:C858), LEFT(INDEX(FILTER(C$1:C838, C$1:C838&lt;&gt;""""),COUNTA(FILTER(C$1:C838, C$1:C838&lt;&gt;""""))), LEN(INDEX(FILTER(C$1:C838, C$1:C838&lt;&gt;""""),COUNTA(FILTER(C$1:C838, C$1:C838&lt;&gt;""""))))-1), IF('To Order'!$A839=COLUMNS($A839:C"&amp;"858), C838&amp;RIGHT(INDIRECT(ADDRESS(ROW(C839)-1, 'From Order'!$A839)), 1), C838))"),"V")</f>
        <v>V</v>
      </c>
      <c r="D839" s="2" t="str">
        <f>IFERROR(__xludf.DUMMYFUNCTION("IF('From Order'!$A839=COLUMNS($A839:D858), LEFT(INDEX(FILTER(D$1:D838, D$1:D838&lt;&gt;""""),COUNTA(FILTER(D$1:D838, D$1:D838&lt;&gt;""""))), LEN(INDEX(FILTER(D$1:D838, D$1:D838&lt;&gt;""""),COUNTA(FILTER(D$1:D838, D$1:D838&lt;&gt;""""))))-1), IF('To Order'!$A839=COLUMNS($A839:D"&amp;"858), D838&amp;RIGHT(INDIRECT(ADDRESS(ROW(D839)-1, 'From Order'!$A839)), 1), D838))"),"BFMHZ")</f>
        <v>BFMHZ</v>
      </c>
      <c r="E839" s="2" t="str">
        <f>IFERROR(__xludf.DUMMYFUNCTION("IF('From Order'!$A839=COLUMNS($A839:E858), LEFT(INDEX(FILTER(E$1:E838, E$1:E838&lt;&gt;""""),COUNTA(FILTER(E$1:E838, E$1:E838&lt;&gt;""""))), LEN(INDEX(FILTER(E$1:E838, E$1:E838&lt;&gt;""""),COUNTA(FILTER(E$1:E838, E$1:E838&lt;&gt;""""))))-1), IF('To Order'!$A839=COLUMNS($A839:E"&amp;"858), E838&amp;RIGHT(INDIRECT(ADDRESS(ROW(E839)-1, 'From Order'!$A839)), 1), E838))"),"PVJCVRCT")</f>
        <v>PVJCVRCT</v>
      </c>
      <c r="F839" s="2" t="str">
        <f>IFERROR(__xludf.DUMMYFUNCTION("IF('From Order'!$A839=COLUMNS($A839:F858), LEFT(INDEX(FILTER(F$1:F838, F$1:F838&lt;&gt;""""),COUNTA(FILTER(F$1:F838, F$1:F838&lt;&gt;""""))), LEN(INDEX(FILTER(F$1:F838, F$1:F838&lt;&gt;""""),COUNTA(FILTER(F$1:F838, F$1:F838&lt;&gt;""""))))-1), IF('To Order'!$A839=COLUMNS($A839:F"&amp;"858), F838&amp;RIGHT(INDIRECT(ADDRESS(ROW(F839)-1, 'From Order'!$A839)), 1), F838))"),"FSLTTWRD")</f>
        <v>FSLTTWRD</v>
      </c>
      <c r="G839" s="2" t="str">
        <f>IFERROR(__xludf.DUMMYFUNCTION("IF('From Order'!$A839=COLUMNS($A839:G858), LEFT(INDEX(FILTER(G$1:G838, G$1:G838&lt;&gt;""""),COUNTA(FILTER(G$1:G838, G$1:G838&lt;&gt;""""))), LEN(INDEX(FILTER(G$1:G838, G$1:G838&lt;&gt;""""),COUNTA(FILTER(G$1:G838, G$1:G838&lt;&gt;""""))))-1), IF('To Order'!$A839=COLUMNS($A839:G"&amp;"858), G838&amp;RIGHT(INDIRECT(ADDRESS(ROW(G839)-1, 'From Order'!$A839)), 1), G838))"),"DTRLRQPDSSGHWQPB")</f>
        <v>DTRLRQPDSSGHWQPB</v>
      </c>
      <c r="H839" s="2" t="str">
        <f>IFERROR(__xludf.DUMMYFUNCTION("IF('From Order'!$A839=COLUMNS($A839:H858), LEFT(INDEX(FILTER(H$1:H838, H$1:H838&lt;&gt;""""),COUNTA(FILTER(H$1:H838, H$1:H838&lt;&gt;""""))), LEN(INDEX(FILTER(H$1:H838, H$1:H838&lt;&gt;""""),COUNTA(FILTER(H$1:H838, H$1:H838&lt;&gt;""""))))-1), IF('To Order'!$A839=COLUMNS($A839:H"&amp;"858), H838&amp;RIGHT(INDIRECT(ADDRESS(ROW(H839)-1, 'From Order'!$A839)), 1), H838))"),"MZMTDBD")</f>
        <v>MZMTDBD</v>
      </c>
      <c r="I839" s="2" t="str">
        <f>IFERROR(__xludf.DUMMYFUNCTION("IF('From Order'!$A839=COLUMNS($A839:I858), LEFT(INDEX(FILTER(I$1:I838, I$1:I838&lt;&gt;""""),COUNTA(FILTER(I$1:I838, I$1:I838&lt;&gt;""""))), LEN(INDEX(FILTER(I$1:I838, I$1:I838&lt;&gt;""""),COUNTA(FILTER(I$1:I838, I$1:I838&lt;&gt;""""))))-1), IF('To Order'!$A839=COLUMNS($A839:I"&amp;"858), I838&amp;RIGHT(INDIRECT(ADDRESS(ROW(I839)-1, 'From Order'!$A839)), 1), I838))"),"L")</f>
        <v>L</v>
      </c>
    </row>
    <row r="840">
      <c r="A840" s="2" t="str">
        <f>IFERROR(__xludf.DUMMYFUNCTION("IF('From Order'!$A840=COLUMNS($A840:A859), LEFT(INDEX(FILTER(A$1:A839, A$1:A839&lt;&gt;""""),COUNTA(FILTER(A$1:A839, A$1:A839&lt;&gt;""""))), LEN(INDEX(FILTER(A$1:A839, A$1:A839&lt;&gt;""""),COUNTA(FILTER(A$1:A839, A$1:A839&lt;&gt;""""))))-1), IF('To Order'!$A840=COLUMNS($A840:A"&amp;"859), A839&amp;RIGHT(INDIRECT(ADDRESS(ROW(A840)-1, 'From Order'!$A840)), 1), A839))"),"")</f>
        <v/>
      </c>
      <c r="B840" s="2" t="str">
        <f>IFERROR(__xludf.DUMMYFUNCTION("IF('From Order'!$A840=COLUMNS($A840:B859), LEFT(INDEX(FILTER(B$1:B839, B$1:B839&lt;&gt;""""),COUNTA(FILTER(B$1:B839, B$1:B839&lt;&gt;""""))), LEN(INDEX(FILTER(B$1:B839, B$1:B839&lt;&gt;""""),COUNTA(FILTER(B$1:B839, B$1:B839&lt;&gt;""""))))-1), IF('To Order'!$A840=COLUMNS($A840:B"&amp;"859), B839&amp;RIGHT(INDIRECT(ADDRESS(ROW(B840)-1, 'From Order'!$A840)), 1), B839))"),"JZRDCJTBS")</f>
        <v>JZRDCJTBS</v>
      </c>
      <c r="C840" s="2" t="str">
        <f>IFERROR(__xludf.DUMMYFUNCTION("IF('From Order'!$A840=COLUMNS($A840:C859), LEFT(INDEX(FILTER(C$1:C839, C$1:C839&lt;&gt;""""),COUNTA(FILTER(C$1:C839, C$1:C839&lt;&gt;""""))), LEN(INDEX(FILTER(C$1:C839, C$1:C839&lt;&gt;""""),COUNTA(FILTER(C$1:C839, C$1:C839&lt;&gt;""""))))-1), IF('To Order'!$A840=COLUMNS($A840:C"&amp;"859), C839&amp;RIGHT(INDIRECT(ADDRESS(ROW(C840)-1, 'From Order'!$A840)), 1), C839))"),"V")</f>
        <v>V</v>
      </c>
      <c r="D840" s="2" t="str">
        <f>IFERROR(__xludf.DUMMYFUNCTION("IF('From Order'!$A840=COLUMNS($A840:D859), LEFT(INDEX(FILTER(D$1:D839, D$1:D839&lt;&gt;""""),COUNTA(FILTER(D$1:D839, D$1:D839&lt;&gt;""""))), LEN(INDEX(FILTER(D$1:D839, D$1:D839&lt;&gt;""""),COUNTA(FILTER(D$1:D839, D$1:D839&lt;&gt;""""))))-1), IF('To Order'!$A840=COLUMNS($A840:D"&amp;"859), D839&amp;RIGHT(INDIRECT(ADDRESS(ROW(D840)-1, 'From Order'!$A840)), 1), D839))"),"BFMHZ")</f>
        <v>BFMHZ</v>
      </c>
      <c r="E840" s="2" t="str">
        <f>IFERROR(__xludf.DUMMYFUNCTION("IF('From Order'!$A840=COLUMNS($A840:E859), LEFT(INDEX(FILTER(E$1:E839, E$1:E839&lt;&gt;""""),COUNTA(FILTER(E$1:E839, E$1:E839&lt;&gt;""""))), LEN(INDEX(FILTER(E$1:E839, E$1:E839&lt;&gt;""""),COUNTA(FILTER(E$1:E839, E$1:E839&lt;&gt;""""))))-1), IF('To Order'!$A840=COLUMNS($A840:E"&amp;"859), E839&amp;RIGHT(INDIRECT(ADDRESS(ROW(E840)-1, 'From Order'!$A840)), 1), E839))"),"PVJCVRCT")</f>
        <v>PVJCVRCT</v>
      </c>
      <c r="F840" s="2" t="str">
        <f>IFERROR(__xludf.DUMMYFUNCTION("IF('From Order'!$A840=COLUMNS($A840:F859), LEFT(INDEX(FILTER(F$1:F839, F$1:F839&lt;&gt;""""),COUNTA(FILTER(F$1:F839, F$1:F839&lt;&gt;""""))), LEN(INDEX(FILTER(F$1:F839, F$1:F839&lt;&gt;""""),COUNTA(FILTER(F$1:F839, F$1:F839&lt;&gt;""""))))-1), IF('To Order'!$A840=COLUMNS($A840:F"&amp;"859), F839&amp;RIGHT(INDIRECT(ADDRESS(ROW(F840)-1, 'From Order'!$A840)), 1), F839))"),"FSLTTWRD")</f>
        <v>FSLTTWRD</v>
      </c>
      <c r="G840" s="2" t="str">
        <f>IFERROR(__xludf.DUMMYFUNCTION("IF('From Order'!$A840=COLUMNS($A840:G859), LEFT(INDEX(FILTER(G$1:G839, G$1:G839&lt;&gt;""""),COUNTA(FILTER(G$1:G839, G$1:G839&lt;&gt;""""))), LEN(INDEX(FILTER(G$1:G839, G$1:G839&lt;&gt;""""),COUNTA(FILTER(G$1:G839, G$1:G839&lt;&gt;""""))))-1), IF('To Order'!$A840=COLUMNS($A840:G"&amp;"859), G839&amp;RIGHT(INDIRECT(ADDRESS(ROW(G840)-1, 'From Order'!$A840)), 1), G839))"),"DTRLRQPDSSGHWQPB")</f>
        <v>DTRLRQPDSSGHWQPB</v>
      </c>
      <c r="H840" s="2" t="str">
        <f>IFERROR(__xludf.DUMMYFUNCTION("IF('From Order'!$A840=COLUMNS($A840:H859), LEFT(INDEX(FILTER(H$1:H839, H$1:H839&lt;&gt;""""),COUNTA(FILTER(H$1:H839, H$1:H839&lt;&gt;""""))), LEN(INDEX(FILTER(H$1:H839, H$1:H839&lt;&gt;""""),COUNTA(FILTER(H$1:H839, H$1:H839&lt;&gt;""""))))-1), IF('To Order'!$A840=COLUMNS($A840:H"&amp;"859), H839&amp;RIGHT(INDIRECT(ADDRESS(ROW(H840)-1, 'From Order'!$A840)), 1), H839))"),"MZMTDBDG")</f>
        <v>MZMTDBDG</v>
      </c>
      <c r="I840" s="2" t="str">
        <f>IFERROR(__xludf.DUMMYFUNCTION("IF('From Order'!$A840=COLUMNS($A840:I859), LEFT(INDEX(FILTER(I$1:I839, I$1:I839&lt;&gt;""""),COUNTA(FILTER(I$1:I839, I$1:I839&lt;&gt;""""))), LEN(INDEX(FILTER(I$1:I839, I$1:I839&lt;&gt;""""),COUNTA(FILTER(I$1:I839, I$1:I839&lt;&gt;""""))))-1), IF('To Order'!$A840=COLUMNS($A840:I"&amp;"859), I839&amp;RIGHT(INDIRECT(ADDRESS(ROW(I840)-1, 'From Order'!$A840)), 1), I839))"),"L")</f>
        <v>L</v>
      </c>
    </row>
    <row r="841">
      <c r="A841" s="2" t="str">
        <f>IFERROR(__xludf.DUMMYFUNCTION("IF('From Order'!$A841=COLUMNS($A841:A860), LEFT(INDEX(FILTER(A$1:A840, A$1:A840&lt;&gt;""""),COUNTA(FILTER(A$1:A840, A$1:A840&lt;&gt;""""))), LEN(INDEX(FILTER(A$1:A840, A$1:A840&lt;&gt;""""),COUNTA(FILTER(A$1:A840, A$1:A840&lt;&gt;""""))))-1), IF('To Order'!$A841=COLUMNS($A841:A"&amp;"860), A840&amp;RIGHT(INDIRECT(ADDRESS(ROW(A841)-1, 'From Order'!$A841)), 1), A840))"),"")</f>
        <v/>
      </c>
      <c r="B841" s="2" t="str">
        <f>IFERROR(__xludf.DUMMYFUNCTION("IF('From Order'!$A841=COLUMNS($A841:B860), LEFT(INDEX(FILTER(B$1:B840, B$1:B840&lt;&gt;""""),COUNTA(FILTER(B$1:B840, B$1:B840&lt;&gt;""""))), LEN(INDEX(FILTER(B$1:B840, B$1:B840&lt;&gt;""""),COUNTA(FILTER(B$1:B840, B$1:B840&lt;&gt;""""))))-1), IF('To Order'!$A841=COLUMNS($A841:B"&amp;"860), B840&amp;RIGHT(INDIRECT(ADDRESS(ROW(B841)-1, 'From Order'!$A841)), 1), B840))"),"JZRDCJTB")</f>
        <v>JZRDCJTB</v>
      </c>
      <c r="C841" s="2" t="str">
        <f>IFERROR(__xludf.DUMMYFUNCTION("IF('From Order'!$A841=COLUMNS($A841:C860), LEFT(INDEX(FILTER(C$1:C840, C$1:C840&lt;&gt;""""),COUNTA(FILTER(C$1:C840, C$1:C840&lt;&gt;""""))), LEN(INDEX(FILTER(C$1:C840, C$1:C840&lt;&gt;""""),COUNTA(FILTER(C$1:C840, C$1:C840&lt;&gt;""""))))-1), IF('To Order'!$A841=COLUMNS($A841:C"&amp;"860), C840&amp;RIGHT(INDIRECT(ADDRESS(ROW(C841)-1, 'From Order'!$A841)), 1), C840))"),"V")</f>
        <v>V</v>
      </c>
      <c r="D841" s="2" t="str">
        <f>IFERROR(__xludf.DUMMYFUNCTION("IF('From Order'!$A841=COLUMNS($A841:D860), LEFT(INDEX(FILTER(D$1:D840, D$1:D840&lt;&gt;""""),COUNTA(FILTER(D$1:D840, D$1:D840&lt;&gt;""""))), LEN(INDEX(FILTER(D$1:D840, D$1:D840&lt;&gt;""""),COUNTA(FILTER(D$1:D840, D$1:D840&lt;&gt;""""))))-1), IF('To Order'!$A841=COLUMNS($A841:D"&amp;"860), D840&amp;RIGHT(INDIRECT(ADDRESS(ROW(D841)-1, 'From Order'!$A841)), 1), D840))"),"BFMHZ")</f>
        <v>BFMHZ</v>
      </c>
      <c r="E841" s="2" t="str">
        <f>IFERROR(__xludf.DUMMYFUNCTION("IF('From Order'!$A841=COLUMNS($A841:E860), LEFT(INDEX(FILTER(E$1:E840, E$1:E840&lt;&gt;""""),COUNTA(FILTER(E$1:E840, E$1:E840&lt;&gt;""""))), LEN(INDEX(FILTER(E$1:E840, E$1:E840&lt;&gt;""""),COUNTA(FILTER(E$1:E840, E$1:E840&lt;&gt;""""))))-1), IF('To Order'!$A841=COLUMNS($A841:E"&amp;"860), E840&amp;RIGHT(INDIRECT(ADDRESS(ROW(E841)-1, 'From Order'!$A841)), 1), E840))"),"PVJCVRCT")</f>
        <v>PVJCVRCT</v>
      </c>
      <c r="F841" s="2" t="str">
        <f>IFERROR(__xludf.DUMMYFUNCTION("IF('From Order'!$A841=COLUMNS($A841:F860), LEFT(INDEX(FILTER(F$1:F840, F$1:F840&lt;&gt;""""),COUNTA(FILTER(F$1:F840, F$1:F840&lt;&gt;""""))), LEN(INDEX(FILTER(F$1:F840, F$1:F840&lt;&gt;""""),COUNTA(FILTER(F$1:F840, F$1:F840&lt;&gt;""""))))-1), IF('To Order'!$A841=COLUMNS($A841:F"&amp;"860), F840&amp;RIGHT(INDIRECT(ADDRESS(ROW(F841)-1, 'From Order'!$A841)), 1), F840))"),"FSLTTWRD")</f>
        <v>FSLTTWRD</v>
      </c>
      <c r="G841" s="2" t="str">
        <f>IFERROR(__xludf.DUMMYFUNCTION("IF('From Order'!$A841=COLUMNS($A841:G860), LEFT(INDEX(FILTER(G$1:G840, G$1:G840&lt;&gt;""""),COUNTA(FILTER(G$1:G840, G$1:G840&lt;&gt;""""))), LEN(INDEX(FILTER(G$1:G840, G$1:G840&lt;&gt;""""),COUNTA(FILTER(G$1:G840, G$1:G840&lt;&gt;""""))))-1), IF('To Order'!$A841=COLUMNS($A841:G"&amp;"860), G840&amp;RIGHT(INDIRECT(ADDRESS(ROW(G841)-1, 'From Order'!$A841)), 1), G840))"),"DTRLRQPDSSGHWQPB")</f>
        <v>DTRLRQPDSSGHWQPB</v>
      </c>
      <c r="H841" s="2" t="str">
        <f>IFERROR(__xludf.DUMMYFUNCTION("IF('From Order'!$A841=COLUMNS($A841:H860), LEFT(INDEX(FILTER(H$1:H840, H$1:H840&lt;&gt;""""),COUNTA(FILTER(H$1:H840, H$1:H840&lt;&gt;""""))), LEN(INDEX(FILTER(H$1:H840, H$1:H840&lt;&gt;""""),COUNTA(FILTER(H$1:H840, H$1:H840&lt;&gt;""""))))-1), IF('To Order'!$A841=COLUMNS($A841:H"&amp;"860), H840&amp;RIGHT(INDIRECT(ADDRESS(ROW(H841)-1, 'From Order'!$A841)), 1), H840))"),"MZMTDBDGS")</f>
        <v>MZMTDBDGS</v>
      </c>
      <c r="I841" s="2" t="str">
        <f>IFERROR(__xludf.DUMMYFUNCTION("IF('From Order'!$A841=COLUMNS($A841:I860), LEFT(INDEX(FILTER(I$1:I840, I$1:I840&lt;&gt;""""),COUNTA(FILTER(I$1:I840, I$1:I840&lt;&gt;""""))), LEN(INDEX(FILTER(I$1:I840, I$1:I840&lt;&gt;""""),COUNTA(FILTER(I$1:I840, I$1:I840&lt;&gt;""""))))-1), IF('To Order'!$A841=COLUMNS($A841:I"&amp;"860), I840&amp;RIGHT(INDIRECT(ADDRESS(ROW(I841)-1, 'From Order'!$A841)), 1), I840))"),"L")</f>
        <v>L</v>
      </c>
    </row>
    <row r="842">
      <c r="A842" s="2" t="str">
        <f>IFERROR(__xludf.DUMMYFUNCTION("IF('From Order'!$A842=COLUMNS($A842:A861), LEFT(INDEX(FILTER(A$1:A841, A$1:A841&lt;&gt;""""),COUNTA(FILTER(A$1:A841, A$1:A841&lt;&gt;""""))), LEN(INDEX(FILTER(A$1:A841, A$1:A841&lt;&gt;""""),COUNTA(FILTER(A$1:A841, A$1:A841&lt;&gt;""""))))-1), IF('To Order'!$A842=COLUMNS($A842:A"&amp;"861), A841&amp;RIGHT(INDIRECT(ADDRESS(ROW(A842)-1, 'From Order'!$A842)), 1), A841))"),"")</f>
        <v/>
      </c>
      <c r="B842" s="2" t="str">
        <f>IFERROR(__xludf.DUMMYFUNCTION("IF('From Order'!$A842=COLUMNS($A842:B861), LEFT(INDEX(FILTER(B$1:B841, B$1:B841&lt;&gt;""""),COUNTA(FILTER(B$1:B841, B$1:B841&lt;&gt;""""))), LEN(INDEX(FILTER(B$1:B841, B$1:B841&lt;&gt;""""),COUNTA(FILTER(B$1:B841, B$1:B841&lt;&gt;""""))))-1), IF('To Order'!$A842=COLUMNS($A842:B"&amp;"861), B841&amp;RIGHT(INDIRECT(ADDRESS(ROW(B842)-1, 'From Order'!$A842)), 1), B841))"),"JZRDCJT")</f>
        <v>JZRDCJT</v>
      </c>
      <c r="C842" s="2" t="str">
        <f>IFERROR(__xludf.DUMMYFUNCTION("IF('From Order'!$A842=COLUMNS($A842:C861), LEFT(INDEX(FILTER(C$1:C841, C$1:C841&lt;&gt;""""),COUNTA(FILTER(C$1:C841, C$1:C841&lt;&gt;""""))), LEN(INDEX(FILTER(C$1:C841, C$1:C841&lt;&gt;""""),COUNTA(FILTER(C$1:C841, C$1:C841&lt;&gt;""""))))-1), IF('To Order'!$A842=COLUMNS($A842:C"&amp;"861), C841&amp;RIGHT(INDIRECT(ADDRESS(ROW(C842)-1, 'From Order'!$A842)), 1), C841))"),"V")</f>
        <v>V</v>
      </c>
      <c r="D842" s="2" t="str">
        <f>IFERROR(__xludf.DUMMYFUNCTION("IF('From Order'!$A842=COLUMNS($A842:D861), LEFT(INDEX(FILTER(D$1:D841, D$1:D841&lt;&gt;""""),COUNTA(FILTER(D$1:D841, D$1:D841&lt;&gt;""""))), LEN(INDEX(FILTER(D$1:D841, D$1:D841&lt;&gt;""""),COUNTA(FILTER(D$1:D841, D$1:D841&lt;&gt;""""))))-1), IF('To Order'!$A842=COLUMNS($A842:D"&amp;"861), D841&amp;RIGHT(INDIRECT(ADDRESS(ROW(D842)-1, 'From Order'!$A842)), 1), D841))"),"BFMHZ")</f>
        <v>BFMHZ</v>
      </c>
      <c r="E842" s="2" t="str">
        <f>IFERROR(__xludf.DUMMYFUNCTION("IF('From Order'!$A842=COLUMNS($A842:E861), LEFT(INDEX(FILTER(E$1:E841, E$1:E841&lt;&gt;""""),COUNTA(FILTER(E$1:E841, E$1:E841&lt;&gt;""""))), LEN(INDEX(FILTER(E$1:E841, E$1:E841&lt;&gt;""""),COUNTA(FILTER(E$1:E841, E$1:E841&lt;&gt;""""))))-1), IF('To Order'!$A842=COLUMNS($A842:E"&amp;"861), E841&amp;RIGHT(INDIRECT(ADDRESS(ROW(E842)-1, 'From Order'!$A842)), 1), E841))"),"PVJCVRCT")</f>
        <v>PVJCVRCT</v>
      </c>
      <c r="F842" s="2" t="str">
        <f>IFERROR(__xludf.DUMMYFUNCTION("IF('From Order'!$A842=COLUMNS($A842:F861), LEFT(INDEX(FILTER(F$1:F841, F$1:F841&lt;&gt;""""),COUNTA(FILTER(F$1:F841, F$1:F841&lt;&gt;""""))), LEN(INDEX(FILTER(F$1:F841, F$1:F841&lt;&gt;""""),COUNTA(FILTER(F$1:F841, F$1:F841&lt;&gt;""""))))-1), IF('To Order'!$A842=COLUMNS($A842:F"&amp;"861), F841&amp;RIGHT(INDIRECT(ADDRESS(ROW(F842)-1, 'From Order'!$A842)), 1), F841))"),"FSLTTWRD")</f>
        <v>FSLTTWRD</v>
      </c>
      <c r="G842" s="2" t="str">
        <f>IFERROR(__xludf.DUMMYFUNCTION("IF('From Order'!$A842=COLUMNS($A842:G861), LEFT(INDEX(FILTER(G$1:G841, G$1:G841&lt;&gt;""""),COUNTA(FILTER(G$1:G841, G$1:G841&lt;&gt;""""))), LEN(INDEX(FILTER(G$1:G841, G$1:G841&lt;&gt;""""),COUNTA(FILTER(G$1:G841, G$1:G841&lt;&gt;""""))))-1), IF('To Order'!$A842=COLUMNS($A842:G"&amp;"861), G841&amp;RIGHT(INDIRECT(ADDRESS(ROW(G842)-1, 'From Order'!$A842)), 1), G841))"),"DTRLRQPDSSGHWQPB")</f>
        <v>DTRLRQPDSSGHWQPB</v>
      </c>
      <c r="H842" s="2" t="str">
        <f>IFERROR(__xludf.DUMMYFUNCTION("IF('From Order'!$A842=COLUMNS($A842:H861), LEFT(INDEX(FILTER(H$1:H841, H$1:H841&lt;&gt;""""),COUNTA(FILTER(H$1:H841, H$1:H841&lt;&gt;""""))), LEN(INDEX(FILTER(H$1:H841, H$1:H841&lt;&gt;""""),COUNTA(FILTER(H$1:H841, H$1:H841&lt;&gt;""""))))-1), IF('To Order'!$A842=COLUMNS($A842:H"&amp;"861), H841&amp;RIGHT(INDIRECT(ADDRESS(ROW(H842)-1, 'From Order'!$A842)), 1), H841))"),"MZMTDBDGSB")</f>
        <v>MZMTDBDGSB</v>
      </c>
      <c r="I842" s="2" t="str">
        <f>IFERROR(__xludf.DUMMYFUNCTION("IF('From Order'!$A842=COLUMNS($A842:I861), LEFT(INDEX(FILTER(I$1:I841, I$1:I841&lt;&gt;""""),COUNTA(FILTER(I$1:I841, I$1:I841&lt;&gt;""""))), LEN(INDEX(FILTER(I$1:I841, I$1:I841&lt;&gt;""""),COUNTA(FILTER(I$1:I841, I$1:I841&lt;&gt;""""))))-1), IF('To Order'!$A842=COLUMNS($A842:I"&amp;"861), I841&amp;RIGHT(INDIRECT(ADDRESS(ROW(I842)-1, 'From Order'!$A842)), 1), I841))"),"L")</f>
        <v>L</v>
      </c>
    </row>
    <row r="843">
      <c r="A843" s="2" t="str">
        <f>IFERROR(__xludf.DUMMYFUNCTION("IF('From Order'!$A843=COLUMNS($A843:A862), LEFT(INDEX(FILTER(A$1:A842, A$1:A842&lt;&gt;""""),COUNTA(FILTER(A$1:A842, A$1:A842&lt;&gt;""""))), LEN(INDEX(FILTER(A$1:A842, A$1:A842&lt;&gt;""""),COUNTA(FILTER(A$1:A842, A$1:A842&lt;&gt;""""))))-1), IF('To Order'!$A843=COLUMNS($A843:A"&amp;"862), A842&amp;RIGHT(INDIRECT(ADDRESS(ROW(A843)-1, 'From Order'!$A843)), 1), A842))"),"")</f>
        <v/>
      </c>
      <c r="B843" s="2" t="str">
        <f>IFERROR(__xludf.DUMMYFUNCTION("IF('From Order'!$A843=COLUMNS($A843:B862), LEFT(INDEX(FILTER(B$1:B842, B$1:B842&lt;&gt;""""),COUNTA(FILTER(B$1:B842, B$1:B842&lt;&gt;""""))), LEN(INDEX(FILTER(B$1:B842, B$1:B842&lt;&gt;""""),COUNTA(FILTER(B$1:B842, B$1:B842&lt;&gt;""""))))-1), IF('To Order'!$A843=COLUMNS($A843:B"&amp;"862), B842&amp;RIGHT(INDIRECT(ADDRESS(ROW(B843)-1, 'From Order'!$A843)), 1), B842))"),"JZRDCJT")</f>
        <v>JZRDCJT</v>
      </c>
      <c r="C843" s="2" t="str">
        <f>IFERROR(__xludf.DUMMYFUNCTION("IF('From Order'!$A843=COLUMNS($A843:C862), LEFT(INDEX(FILTER(C$1:C842, C$1:C842&lt;&gt;""""),COUNTA(FILTER(C$1:C842, C$1:C842&lt;&gt;""""))), LEN(INDEX(FILTER(C$1:C842, C$1:C842&lt;&gt;""""),COUNTA(FILTER(C$1:C842, C$1:C842&lt;&gt;""""))))-1), IF('To Order'!$A843=COLUMNS($A843:C"&amp;"862), C842&amp;RIGHT(INDIRECT(ADDRESS(ROW(C843)-1, 'From Order'!$A843)), 1), C842))"),"V")</f>
        <v>V</v>
      </c>
      <c r="D843" s="2" t="str">
        <f>IFERROR(__xludf.DUMMYFUNCTION("IF('From Order'!$A843=COLUMNS($A843:D862), LEFT(INDEX(FILTER(D$1:D842, D$1:D842&lt;&gt;""""),COUNTA(FILTER(D$1:D842, D$1:D842&lt;&gt;""""))), LEN(INDEX(FILTER(D$1:D842, D$1:D842&lt;&gt;""""),COUNTA(FILTER(D$1:D842, D$1:D842&lt;&gt;""""))))-1), IF('To Order'!$A843=COLUMNS($A843:D"&amp;"862), D842&amp;RIGHT(INDIRECT(ADDRESS(ROW(D843)-1, 'From Order'!$A843)), 1), D842))"),"BFMHZB")</f>
        <v>BFMHZB</v>
      </c>
      <c r="E843" s="2" t="str">
        <f>IFERROR(__xludf.DUMMYFUNCTION("IF('From Order'!$A843=COLUMNS($A843:E862), LEFT(INDEX(FILTER(E$1:E842, E$1:E842&lt;&gt;""""),COUNTA(FILTER(E$1:E842, E$1:E842&lt;&gt;""""))), LEN(INDEX(FILTER(E$1:E842, E$1:E842&lt;&gt;""""),COUNTA(FILTER(E$1:E842, E$1:E842&lt;&gt;""""))))-1), IF('To Order'!$A843=COLUMNS($A843:E"&amp;"862), E842&amp;RIGHT(INDIRECT(ADDRESS(ROW(E843)-1, 'From Order'!$A843)), 1), E842))"),"PVJCVRCT")</f>
        <v>PVJCVRCT</v>
      </c>
      <c r="F843" s="2" t="str">
        <f>IFERROR(__xludf.DUMMYFUNCTION("IF('From Order'!$A843=COLUMNS($A843:F862), LEFT(INDEX(FILTER(F$1:F842, F$1:F842&lt;&gt;""""),COUNTA(FILTER(F$1:F842, F$1:F842&lt;&gt;""""))), LEN(INDEX(FILTER(F$1:F842, F$1:F842&lt;&gt;""""),COUNTA(FILTER(F$1:F842, F$1:F842&lt;&gt;""""))))-1), IF('To Order'!$A843=COLUMNS($A843:F"&amp;"862), F842&amp;RIGHT(INDIRECT(ADDRESS(ROW(F843)-1, 'From Order'!$A843)), 1), F842))"),"FSLTTWRD")</f>
        <v>FSLTTWRD</v>
      </c>
      <c r="G843" s="2" t="str">
        <f>IFERROR(__xludf.DUMMYFUNCTION("IF('From Order'!$A843=COLUMNS($A843:G862), LEFT(INDEX(FILTER(G$1:G842, G$1:G842&lt;&gt;""""),COUNTA(FILTER(G$1:G842, G$1:G842&lt;&gt;""""))), LEN(INDEX(FILTER(G$1:G842, G$1:G842&lt;&gt;""""),COUNTA(FILTER(G$1:G842, G$1:G842&lt;&gt;""""))))-1), IF('To Order'!$A843=COLUMNS($A843:G"&amp;"862), G842&amp;RIGHT(INDIRECT(ADDRESS(ROW(G843)-1, 'From Order'!$A843)), 1), G842))"),"DTRLRQPDSSGHWQPB")</f>
        <v>DTRLRQPDSSGHWQPB</v>
      </c>
      <c r="H843" s="2" t="str">
        <f>IFERROR(__xludf.DUMMYFUNCTION("IF('From Order'!$A843=COLUMNS($A843:H862), LEFT(INDEX(FILTER(H$1:H842, H$1:H842&lt;&gt;""""),COUNTA(FILTER(H$1:H842, H$1:H842&lt;&gt;""""))), LEN(INDEX(FILTER(H$1:H842, H$1:H842&lt;&gt;""""),COUNTA(FILTER(H$1:H842, H$1:H842&lt;&gt;""""))))-1), IF('To Order'!$A843=COLUMNS($A843:H"&amp;"862), H842&amp;RIGHT(INDIRECT(ADDRESS(ROW(H843)-1, 'From Order'!$A843)), 1), H842))"),"MZMTDBDGS")</f>
        <v>MZMTDBDGS</v>
      </c>
      <c r="I843" s="2" t="str">
        <f>IFERROR(__xludf.DUMMYFUNCTION("IF('From Order'!$A843=COLUMNS($A843:I862), LEFT(INDEX(FILTER(I$1:I842, I$1:I842&lt;&gt;""""),COUNTA(FILTER(I$1:I842, I$1:I842&lt;&gt;""""))), LEN(INDEX(FILTER(I$1:I842, I$1:I842&lt;&gt;""""),COUNTA(FILTER(I$1:I842, I$1:I842&lt;&gt;""""))))-1), IF('To Order'!$A843=COLUMNS($A843:I"&amp;"862), I842&amp;RIGHT(INDIRECT(ADDRESS(ROW(I843)-1, 'From Order'!$A843)), 1), I842))"),"L")</f>
        <v>L</v>
      </c>
    </row>
    <row r="844">
      <c r="A844" s="2" t="str">
        <f>IFERROR(__xludf.DUMMYFUNCTION("IF('From Order'!$A844=COLUMNS($A844:A863), LEFT(INDEX(FILTER(A$1:A843, A$1:A843&lt;&gt;""""),COUNTA(FILTER(A$1:A843, A$1:A843&lt;&gt;""""))), LEN(INDEX(FILTER(A$1:A843, A$1:A843&lt;&gt;""""),COUNTA(FILTER(A$1:A843, A$1:A843&lt;&gt;""""))))-1), IF('To Order'!$A844=COLUMNS($A844:A"&amp;"863), A843&amp;RIGHT(INDIRECT(ADDRESS(ROW(A844)-1, 'From Order'!$A844)), 1), A843))"),"")</f>
        <v/>
      </c>
      <c r="B844" s="2" t="str">
        <f>IFERROR(__xludf.DUMMYFUNCTION("IF('From Order'!$A844=COLUMNS($A844:B863), LEFT(INDEX(FILTER(B$1:B843, B$1:B843&lt;&gt;""""),COUNTA(FILTER(B$1:B843, B$1:B843&lt;&gt;""""))), LEN(INDEX(FILTER(B$1:B843, B$1:B843&lt;&gt;""""),COUNTA(FILTER(B$1:B843, B$1:B843&lt;&gt;""""))))-1), IF('To Order'!$A844=COLUMNS($A844:B"&amp;"863), B843&amp;RIGHT(INDIRECT(ADDRESS(ROW(B844)-1, 'From Order'!$A844)), 1), B843))"),"JZRDCJT")</f>
        <v>JZRDCJT</v>
      </c>
      <c r="C844" s="2" t="str">
        <f>IFERROR(__xludf.DUMMYFUNCTION("IF('From Order'!$A844=COLUMNS($A844:C863), LEFT(INDEX(FILTER(C$1:C843, C$1:C843&lt;&gt;""""),COUNTA(FILTER(C$1:C843, C$1:C843&lt;&gt;""""))), LEN(INDEX(FILTER(C$1:C843, C$1:C843&lt;&gt;""""),COUNTA(FILTER(C$1:C843, C$1:C843&lt;&gt;""""))))-1), IF('To Order'!$A844=COLUMNS($A844:C"&amp;"863), C843&amp;RIGHT(INDIRECT(ADDRESS(ROW(C844)-1, 'From Order'!$A844)), 1), C843))"),"V")</f>
        <v>V</v>
      </c>
      <c r="D844" s="2" t="str">
        <f>IFERROR(__xludf.DUMMYFUNCTION("IF('From Order'!$A844=COLUMNS($A844:D863), LEFT(INDEX(FILTER(D$1:D843, D$1:D843&lt;&gt;""""),COUNTA(FILTER(D$1:D843, D$1:D843&lt;&gt;""""))), LEN(INDEX(FILTER(D$1:D843, D$1:D843&lt;&gt;""""),COUNTA(FILTER(D$1:D843, D$1:D843&lt;&gt;""""))))-1), IF('To Order'!$A844=COLUMNS($A844:D"&amp;"863), D843&amp;RIGHT(INDIRECT(ADDRESS(ROW(D844)-1, 'From Order'!$A844)), 1), D843))"),"BFMHZBS")</f>
        <v>BFMHZBS</v>
      </c>
      <c r="E844" s="2" t="str">
        <f>IFERROR(__xludf.DUMMYFUNCTION("IF('From Order'!$A844=COLUMNS($A844:E863), LEFT(INDEX(FILTER(E$1:E843, E$1:E843&lt;&gt;""""),COUNTA(FILTER(E$1:E843, E$1:E843&lt;&gt;""""))), LEN(INDEX(FILTER(E$1:E843, E$1:E843&lt;&gt;""""),COUNTA(FILTER(E$1:E843, E$1:E843&lt;&gt;""""))))-1), IF('To Order'!$A844=COLUMNS($A844:E"&amp;"863), E843&amp;RIGHT(INDIRECT(ADDRESS(ROW(E844)-1, 'From Order'!$A844)), 1), E843))"),"PVJCVRCT")</f>
        <v>PVJCVRCT</v>
      </c>
      <c r="F844" s="2" t="str">
        <f>IFERROR(__xludf.DUMMYFUNCTION("IF('From Order'!$A844=COLUMNS($A844:F863), LEFT(INDEX(FILTER(F$1:F843, F$1:F843&lt;&gt;""""),COUNTA(FILTER(F$1:F843, F$1:F843&lt;&gt;""""))), LEN(INDEX(FILTER(F$1:F843, F$1:F843&lt;&gt;""""),COUNTA(FILTER(F$1:F843, F$1:F843&lt;&gt;""""))))-1), IF('To Order'!$A844=COLUMNS($A844:F"&amp;"863), F843&amp;RIGHT(INDIRECT(ADDRESS(ROW(F844)-1, 'From Order'!$A844)), 1), F843))"),"FSLTTWRD")</f>
        <v>FSLTTWRD</v>
      </c>
      <c r="G844" s="2" t="str">
        <f>IFERROR(__xludf.DUMMYFUNCTION("IF('From Order'!$A844=COLUMNS($A844:G863), LEFT(INDEX(FILTER(G$1:G843, G$1:G843&lt;&gt;""""),COUNTA(FILTER(G$1:G843, G$1:G843&lt;&gt;""""))), LEN(INDEX(FILTER(G$1:G843, G$1:G843&lt;&gt;""""),COUNTA(FILTER(G$1:G843, G$1:G843&lt;&gt;""""))))-1), IF('To Order'!$A844=COLUMNS($A844:G"&amp;"863), G843&amp;RIGHT(INDIRECT(ADDRESS(ROW(G844)-1, 'From Order'!$A844)), 1), G843))"),"DTRLRQPDSSGHWQPB")</f>
        <v>DTRLRQPDSSGHWQPB</v>
      </c>
      <c r="H844" s="2" t="str">
        <f>IFERROR(__xludf.DUMMYFUNCTION("IF('From Order'!$A844=COLUMNS($A844:H863), LEFT(INDEX(FILTER(H$1:H843, H$1:H843&lt;&gt;""""),COUNTA(FILTER(H$1:H843, H$1:H843&lt;&gt;""""))), LEN(INDEX(FILTER(H$1:H843, H$1:H843&lt;&gt;""""),COUNTA(FILTER(H$1:H843, H$1:H843&lt;&gt;""""))))-1), IF('To Order'!$A844=COLUMNS($A844:H"&amp;"863), H843&amp;RIGHT(INDIRECT(ADDRESS(ROW(H844)-1, 'From Order'!$A844)), 1), H843))"),"MZMTDBDG")</f>
        <v>MZMTDBDG</v>
      </c>
      <c r="I844" s="2" t="str">
        <f>IFERROR(__xludf.DUMMYFUNCTION("IF('From Order'!$A844=COLUMNS($A844:I863), LEFT(INDEX(FILTER(I$1:I843, I$1:I843&lt;&gt;""""),COUNTA(FILTER(I$1:I843, I$1:I843&lt;&gt;""""))), LEN(INDEX(FILTER(I$1:I843, I$1:I843&lt;&gt;""""),COUNTA(FILTER(I$1:I843, I$1:I843&lt;&gt;""""))))-1), IF('To Order'!$A844=COLUMNS($A844:I"&amp;"863), I843&amp;RIGHT(INDIRECT(ADDRESS(ROW(I844)-1, 'From Order'!$A844)), 1), I843))"),"L")</f>
        <v>L</v>
      </c>
    </row>
    <row r="845">
      <c r="A845" s="2" t="str">
        <f>IFERROR(__xludf.DUMMYFUNCTION("IF('From Order'!$A845=COLUMNS($A845:A864), LEFT(INDEX(FILTER(A$1:A844, A$1:A844&lt;&gt;""""),COUNTA(FILTER(A$1:A844, A$1:A844&lt;&gt;""""))), LEN(INDEX(FILTER(A$1:A844, A$1:A844&lt;&gt;""""),COUNTA(FILTER(A$1:A844, A$1:A844&lt;&gt;""""))))-1), IF('To Order'!$A845=COLUMNS($A845:A"&amp;"864), A844&amp;RIGHT(INDIRECT(ADDRESS(ROW(A845)-1, 'From Order'!$A845)), 1), A844))"),"")</f>
        <v/>
      </c>
      <c r="B845" s="2" t="str">
        <f>IFERROR(__xludf.DUMMYFUNCTION("IF('From Order'!$A845=COLUMNS($A845:B864), LEFT(INDEX(FILTER(B$1:B844, B$1:B844&lt;&gt;""""),COUNTA(FILTER(B$1:B844, B$1:B844&lt;&gt;""""))), LEN(INDEX(FILTER(B$1:B844, B$1:B844&lt;&gt;""""),COUNTA(FILTER(B$1:B844, B$1:B844&lt;&gt;""""))))-1), IF('To Order'!$A845=COLUMNS($A845:B"&amp;"864), B844&amp;RIGHT(INDIRECT(ADDRESS(ROW(B845)-1, 'From Order'!$A845)), 1), B844))"),"JZRDCJT")</f>
        <v>JZRDCJT</v>
      </c>
      <c r="C845" s="2" t="str">
        <f>IFERROR(__xludf.DUMMYFUNCTION("IF('From Order'!$A845=COLUMNS($A845:C864), LEFT(INDEX(FILTER(C$1:C844, C$1:C844&lt;&gt;""""),COUNTA(FILTER(C$1:C844, C$1:C844&lt;&gt;""""))), LEN(INDEX(FILTER(C$1:C844, C$1:C844&lt;&gt;""""),COUNTA(FILTER(C$1:C844, C$1:C844&lt;&gt;""""))))-1), IF('To Order'!$A845=COLUMNS($A845:C"&amp;"864), C844&amp;RIGHT(INDIRECT(ADDRESS(ROW(C845)-1, 'From Order'!$A845)), 1), C844))"),"V")</f>
        <v>V</v>
      </c>
      <c r="D845" s="2" t="str">
        <f>IFERROR(__xludf.DUMMYFUNCTION("IF('From Order'!$A845=COLUMNS($A845:D864), LEFT(INDEX(FILTER(D$1:D844, D$1:D844&lt;&gt;""""),COUNTA(FILTER(D$1:D844, D$1:D844&lt;&gt;""""))), LEN(INDEX(FILTER(D$1:D844, D$1:D844&lt;&gt;""""),COUNTA(FILTER(D$1:D844, D$1:D844&lt;&gt;""""))))-1), IF('To Order'!$A845=COLUMNS($A845:D"&amp;"864), D844&amp;RIGHT(INDIRECT(ADDRESS(ROW(D845)-1, 'From Order'!$A845)), 1), D844))"),"BFMHZBSG")</f>
        <v>BFMHZBSG</v>
      </c>
      <c r="E845" s="2" t="str">
        <f>IFERROR(__xludf.DUMMYFUNCTION("IF('From Order'!$A845=COLUMNS($A845:E864), LEFT(INDEX(FILTER(E$1:E844, E$1:E844&lt;&gt;""""),COUNTA(FILTER(E$1:E844, E$1:E844&lt;&gt;""""))), LEN(INDEX(FILTER(E$1:E844, E$1:E844&lt;&gt;""""),COUNTA(FILTER(E$1:E844, E$1:E844&lt;&gt;""""))))-1), IF('To Order'!$A845=COLUMNS($A845:E"&amp;"864), E844&amp;RIGHT(INDIRECT(ADDRESS(ROW(E845)-1, 'From Order'!$A845)), 1), E844))"),"PVJCVRCT")</f>
        <v>PVJCVRCT</v>
      </c>
      <c r="F845" s="2" t="str">
        <f>IFERROR(__xludf.DUMMYFUNCTION("IF('From Order'!$A845=COLUMNS($A845:F864), LEFT(INDEX(FILTER(F$1:F844, F$1:F844&lt;&gt;""""),COUNTA(FILTER(F$1:F844, F$1:F844&lt;&gt;""""))), LEN(INDEX(FILTER(F$1:F844, F$1:F844&lt;&gt;""""),COUNTA(FILTER(F$1:F844, F$1:F844&lt;&gt;""""))))-1), IF('To Order'!$A845=COLUMNS($A845:F"&amp;"864), F844&amp;RIGHT(INDIRECT(ADDRESS(ROW(F845)-1, 'From Order'!$A845)), 1), F844))"),"FSLTTWRD")</f>
        <v>FSLTTWRD</v>
      </c>
      <c r="G845" s="2" t="str">
        <f>IFERROR(__xludf.DUMMYFUNCTION("IF('From Order'!$A845=COLUMNS($A845:G864), LEFT(INDEX(FILTER(G$1:G844, G$1:G844&lt;&gt;""""),COUNTA(FILTER(G$1:G844, G$1:G844&lt;&gt;""""))), LEN(INDEX(FILTER(G$1:G844, G$1:G844&lt;&gt;""""),COUNTA(FILTER(G$1:G844, G$1:G844&lt;&gt;""""))))-1), IF('To Order'!$A845=COLUMNS($A845:G"&amp;"864), G844&amp;RIGHT(INDIRECT(ADDRESS(ROW(G845)-1, 'From Order'!$A845)), 1), G844))"),"DTRLRQPDSSGHWQPB")</f>
        <v>DTRLRQPDSSGHWQPB</v>
      </c>
      <c r="H845" s="2" t="str">
        <f>IFERROR(__xludf.DUMMYFUNCTION("IF('From Order'!$A845=COLUMNS($A845:H864), LEFT(INDEX(FILTER(H$1:H844, H$1:H844&lt;&gt;""""),COUNTA(FILTER(H$1:H844, H$1:H844&lt;&gt;""""))), LEN(INDEX(FILTER(H$1:H844, H$1:H844&lt;&gt;""""),COUNTA(FILTER(H$1:H844, H$1:H844&lt;&gt;""""))))-1), IF('To Order'!$A845=COLUMNS($A845:H"&amp;"864), H844&amp;RIGHT(INDIRECT(ADDRESS(ROW(H845)-1, 'From Order'!$A845)), 1), H844))"),"MZMTDBD")</f>
        <v>MZMTDBD</v>
      </c>
      <c r="I845" s="2" t="str">
        <f>IFERROR(__xludf.DUMMYFUNCTION("IF('From Order'!$A845=COLUMNS($A845:I864), LEFT(INDEX(FILTER(I$1:I844, I$1:I844&lt;&gt;""""),COUNTA(FILTER(I$1:I844, I$1:I844&lt;&gt;""""))), LEN(INDEX(FILTER(I$1:I844, I$1:I844&lt;&gt;""""),COUNTA(FILTER(I$1:I844, I$1:I844&lt;&gt;""""))))-1), IF('To Order'!$A845=COLUMNS($A845:I"&amp;"864), I844&amp;RIGHT(INDIRECT(ADDRESS(ROW(I845)-1, 'From Order'!$A845)), 1), I844))"),"L")</f>
        <v>L</v>
      </c>
    </row>
    <row r="846">
      <c r="A846" s="2" t="str">
        <f>IFERROR(__xludf.DUMMYFUNCTION("IF('From Order'!$A846=COLUMNS($A846:A865), LEFT(INDEX(FILTER(A$1:A845, A$1:A845&lt;&gt;""""),COUNTA(FILTER(A$1:A845, A$1:A845&lt;&gt;""""))), LEN(INDEX(FILTER(A$1:A845, A$1:A845&lt;&gt;""""),COUNTA(FILTER(A$1:A845, A$1:A845&lt;&gt;""""))))-1), IF('To Order'!$A846=COLUMNS($A846:A"&amp;"865), A845&amp;RIGHT(INDIRECT(ADDRESS(ROW(A846)-1, 'From Order'!$A846)), 1), A845))"),"")</f>
        <v/>
      </c>
      <c r="B846" s="2" t="str">
        <f>IFERROR(__xludf.DUMMYFUNCTION("IF('From Order'!$A846=COLUMNS($A846:B865), LEFT(INDEX(FILTER(B$1:B845, B$1:B845&lt;&gt;""""),COUNTA(FILTER(B$1:B845, B$1:B845&lt;&gt;""""))), LEN(INDEX(FILTER(B$1:B845, B$1:B845&lt;&gt;""""),COUNTA(FILTER(B$1:B845, B$1:B845&lt;&gt;""""))))-1), IF('To Order'!$A846=COLUMNS($A846:B"&amp;"865), B845&amp;RIGHT(INDIRECT(ADDRESS(ROW(B846)-1, 'From Order'!$A846)), 1), B845))"),"JZRDCJT")</f>
        <v>JZRDCJT</v>
      </c>
      <c r="C846" s="2" t="str">
        <f>IFERROR(__xludf.DUMMYFUNCTION("IF('From Order'!$A846=COLUMNS($A846:C865), LEFT(INDEX(FILTER(C$1:C845, C$1:C845&lt;&gt;""""),COUNTA(FILTER(C$1:C845, C$1:C845&lt;&gt;""""))), LEN(INDEX(FILTER(C$1:C845, C$1:C845&lt;&gt;""""),COUNTA(FILTER(C$1:C845, C$1:C845&lt;&gt;""""))))-1), IF('To Order'!$A846=COLUMNS($A846:C"&amp;"865), C845&amp;RIGHT(INDIRECT(ADDRESS(ROW(C846)-1, 'From Order'!$A846)), 1), C845))"),"V")</f>
        <v>V</v>
      </c>
      <c r="D846" s="2" t="str">
        <f>IFERROR(__xludf.DUMMYFUNCTION("IF('From Order'!$A846=COLUMNS($A846:D865), LEFT(INDEX(FILTER(D$1:D845, D$1:D845&lt;&gt;""""),COUNTA(FILTER(D$1:D845, D$1:D845&lt;&gt;""""))), LEN(INDEX(FILTER(D$1:D845, D$1:D845&lt;&gt;""""),COUNTA(FILTER(D$1:D845, D$1:D845&lt;&gt;""""))))-1), IF('To Order'!$A846=COLUMNS($A846:D"&amp;"865), D845&amp;RIGHT(INDIRECT(ADDRESS(ROW(D846)-1, 'From Order'!$A846)), 1), D845))"),"BFMHZBSGD")</f>
        <v>BFMHZBSGD</v>
      </c>
      <c r="E846" s="2" t="str">
        <f>IFERROR(__xludf.DUMMYFUNCTION("IF('From Order'!$A846=COLUMNS($A846:E865), LEFT(INDEX(FILTER(E$1:E845, E$1:E845&lt;&gt;""""),COUNTA(FILTER(E$1:E845, E$1:E845&lt;&gt;""""))), LEN(INDEX(FILTER(E$1:E845, E$1:E845&lt;&gt;""""),COUNTA(FILTER(E$1:E845, E$1:E845&lt;&gt;""""))))-1), IF('To Order'!$A846=COLUMNS($A846:E"&amp;"865), E845&amp;RIGHT(INDIRECT(ADDRESS(ROW(E846)-1, 'From Order'!$A846)), 1), E845))"),"PVJCVRCT")</f>
        <v>PVJCVRCT</v>
      </c>
      <c r="F846" s="2" t="str">
        <f>IFERROR(__xludf.DUMMYFUNCTION("IF('From Order'!$A846=COLUMNS($A846:F865), LEFT(INDEX(FILTER(F$1:F845, F$1:F845&lt;&gt;""""),COUNTA(FILTER(F$1:F845, F$1:F845&lt;&gt;""""))), LEN(INDEX(FILTER(F$1:F845, F$1:F845&lt;&gt;""""),COUNTA(FILTER(F$1:F845, F$1:F845&lt;&gt;""""))))-1), IF('To Order'!$A846=COLUMNS($A846:F"&amp;"865), F845&amp;RIGHT(INDIRECT(ADDRESS(ROW(F846)-1, 'From Order'!$A846)), 1), F845))"),"FSLTTWRD")</f>
        <v>FSLTTWRD</v>
      </c>
      <c r="G846" s="2" t="str">
        <f>IFERROR(__xludf.DUMMYFUNCTION("IF('From Order'!$A846=COLUMNS($A846:G865), LEFT(INDEX(FILTER(G$1:G845, G$1:G845&lt;&gt;""""),COUNTA(FILTER(G$1:G845, G$1:G845&lt;&gt;""""))), LEN(INDEX(FILTER(G$1:G845, G$1:G845&lt;&gt;""""),COUNTA(FILTER(G$1:G845, G$1:G845&lt;&gt;""""))))-1), IF('To Order'!$A846=COLUMNS($A846:G"&amp;"865), G845&amp;RIGHT(INDIRECT(ADDRESS(ROW(G846)-1, 'From Order'!$A846)), 1), G845))"),"DTRLRQPDSSGHWQPB")</f>
        <v>DTRLRQPDSSGHWQPB</v>
      </c>
      <c r="H846" s="2" t="str">
        <f>IFERROR(__xludf.DUMMYFUNCTION("IF('From Order'!$A846=COLUMNS($A846:H865), LEFT(INDEX(FILTER(H$1:H845, H$1:H845&lt;&gt;""""),COUNTA(FILTER(H$1:H845, H$1:H845&lt;&gt;""""))), LEN(INDEX(FILTER(H$1:H845, H$1:H845&lt;&gt;""""),COUNTA(FILTER(H$1:H845, H$1:H845&lt;&gt;""""))))-1), IF('To Order'!$A846=COLUMNS($A846:H"&amp;"865), H845&amp;RIGHT(INDIRECT(ADDRESS(ROW(H846)-1, 'From Order'!$A846)), 1), H845))"),"MZMTDB")</f>
        <v>MZMTDB</v>
      </c>
      <c r="I846" s="2" t="str">
        <f>IFERROR(__xludf.DUMMYFUNCTION("IF('From Order'!$A846=COLUMNS($A846:I865), LEFT(INDEX(FILTER(I$1:I845, I$1:I845&lt;&gt;""""),COUNTA(FILTER(I$1:I845, I$1:I845&lt;&gt;""""))), LEN(INDEX(FILTER(I$1:I845, I$1:I845&lt;&gt;""""),COUNTA(FILTER(I$1:I845, I$1:I845&lt;&gt;""""))))-1), IF('To Order'!$A846=COLUMNS($A846:I"&amp;"865), I845&amp;RIGHT(INDIRECT(ADDRESS(ROW(I846)-1, 'From Order'!$A846)), 1), I845))"),"L")</f>
        <v>L</v>
      </c>
    </row>
    <row r="847">
      <c r="A847" s="2" t="str">
        <f>IFERROR(__xludf.DUMMYFUNCTION("IF('From Order'!$A847=COLUMNS($A847:A866), LEFT(INDEX(FILTER(A$1:A846, A$1:A846&lt;&gt;""""),COUNTA(FILTER(A$1:A846, A$1:A846&lt;&gt;""""))), LEN(INDEX(FILTER(A$1:A846, A$1:A846&lt;&gt;""""),COUNTA(FILTER(A$1:A846, A$1:A846&lt;&gt;""""))))-1), IF('To Order'!$A847=COLUMNS($A847:A"&amp;"866), A846&amp;RIGHT(INDIRECT(ADDRESS(ROW(A847)-1, 'From Order'!$A847)), 1), A846))"),"")</f>
        <v/>
      </c>
      <c r="B847" s="2" t="str">
        <f>IFERROR(__xludf.DUMMYFUNCTION("IF('From Order'!$A847=COLUMNS($A847:B866), LEFT(INDEX(FILTER(B$1:B846, B$1:B846&lt;&gt;""""),COUNTA(FILTER(B$1:B846, B$1:B846&lt;&gt;""""))), LEN(INDEX(FILTER(B$1:B846, B$1:B846&lt;&gt;""""),COUNTA(FILTER(B$1:B846, B$1:B846&lt;&gt;""""))))-1), IF('To Order'!$A847=COLUMNS($A847:B"&amp;"866), B846&amp;RIGHT(INDIRECT(ADDRESS(ROW(B847)-1, 'From Order'!$A847)), 1), B846))"),"JZRDCJT")</f>
        <v>JZRDCJT</v>
      </c>
      <c r="C847" s="2" t="str">
        <f>IFERROR(__xludf.DUMMYFUNCTION("IF('From Order'!$A847=COLUMNS($A847:C866), LEFT(INDEX(FILTER(C$1:C846, C$1:C846&lt;&gt;""""),COUNTA(FILTER(C$1:C846, C$1:C846&lt;&gt;""""))), LEN(INDEX(FILTER(C$1:C846, C$1:C846&lt;&gt;""""),COUNTA(FILTER(C$1:C846, C$1:C846&lt;&gt;""""))))-1), IF('To Order'!$A847=COLUMNS($A847:C"&amp;"866), C846&amp;RIGHT(INDIRECT(ADDRESS(ROW(C847)-1, 'From Order'!$A847)), 1), C846))"),"V")</f>
        <v>V</v>
      </c>
      <c r="D847" s="2" t="str">
        <f>IFERROR(__xludf.DUMMYFUNCTION("IF('From Order'!$A847=COLUMNS($A847:D866), LEFT(INDEX(FILTER(D$1:D846, D$1:D846&lt;&gt;""""),COUNTA(FILTER(D$1:D846, D$1:D846&lt;&gt;""""))), LEN(INDEX(FILTER(D$1:D846, D$1:D846&lt;&gt;""""),COUNTA(FILTER(D$1:D846, D$1:D846&lt;&gt;""""))))-1), IF('To Order'!$A847=COLUMNS($A847:D"&amp;"866), D846&amp;RIGHT(INDIRECT(ADDRESS(ROW(D847)-1, 'From Order'!$A847)), 1), D846))"),"BFMHZBSGDB")</f>
        <v>BFMHZBSGDB</v>
      </c>
      <c r="E847" s="2" t="str">
        <f>IFERROR(__xludf.DUMMYFUNCTION("IF('From Order'!$A847=COLUMNS($A847:E866), LEFT(INDEX(FILTER(E$1:E846, E$1:E846&lt;&gt;""""),COUNTA(FILTER(E$1:E846, E$1:E846&lt;&gt;""""))), LEN(INDEX(FILTER(E$1:E846, E$1:E846&lt;&gt;""""),COUNTA(FILTER(E$1:E846, E$1:E846&lt;&gt;""""))))-1), IF('To Order'!$A847=COLUMNS($A847:E"&amp;"866), E846&amp;RIGHT(INDIRECT(ADDRESS(ROW(E847)-1, 'From Order'!$A847)), 1), E846))"),"PVJCVRCT")</f>
        <v>PVJCVRCT</v>
      </c>
      <c r="F847" s="2" t="str">
        <f>IFERROR(__xludf.DUMMYFUNCTION("IF('From Order'!$A847=COLUMNS($A847:F866), LEFT(INDEX(FILTER(F$1:F846, F$1:F846&lt;&gt;""""),COUNTA(FILTER(F$1:F846, F$1:F846&lt;&gt;""""))), LEN(INDEX(FILTER(F$1:F846, F$1:F846&lt;&gt;""""),COUNTA(FILTER(F$1:F846, F$1:F846&lt;&gt;""""))))-1), IF('To Order'!$A847=COLUMNS($A847:F"&amp;"866), F846&amp;RIGHT(INDIRECT(ADDRESS(ROW(F847)-1, 'From Order'!$A847)), 1), F846))"),"FSLTTWRD")</f>
        <v>FSLTTWRD</v>
      </c>
      <c r="G847" s="2" t="str">
        <f>IFERROR(__xludf.DUMMYFUNCTION("IF('From Order'!$A847=COLUMNS($A847:G866), LEFT(INDEX(FILTER(G$1:G846, G$1:G846&lt;&gt;""""),COUNTA(FILTER(G$1:G846, G$1:G846&lt;&gt;""""))), LEN(INDEX(FILTER(G$1:G846, G$1:G846&lt;&gt;""""),COUNTA(FILTER(G$1:G846, G$1:G846&lt;&gt;""""))))-1), IF('To Order'!$A847=COLUMNS($A847:G"&amp;"866), G846&amp;RIGHT(INDIRECT(ADDRESS(ROW(G847)-1, 'From Order'!$A847)), 1), G846))"),"DTRLRQPDSSGHWQPB")</f>
        <v>DTRLRQPDSSGHWQPB</v>
      </c>
      <c r="H847" s="2" t="str">
        <f>IFERROR(__xludf.DUMMYFUNCTION("IF('From Order'!$A847=COLUMNS($A847:H866), LEFT(INDEX(FILTER(H$1:H846, H$1:H846&lt;&gt;""""),COUNTA(FILTER(H$1:H846, H$1:H846&lt;&gt;""""))), LEN(INDEX(FILTER(H$1:H846, H$1:H846&lt;&gt;""""),COUNTA(FILTER(H$1:H846, H$1:H846&lt;&gt;""""))))-1), IF('To Order'!$A847=COLUMNS($A847:H"&amp;"866), H846&amp;RIGHT(INDIRECT(ADDRESS(ROW(H847)-1, 'From Order'!$A847)), 1), H846))"),"MZMTD")</f>
        <v>MZMTD</v>
      </c>
      <c r="I847" s="2" t="str">
        <f>IFERROR(__xludf.DUMMYFUNCTION("IF('From Order'!$A847=COLUMNS($A847:I866), LEFT(INDEX(FILTER(I$1:I846, I$1:I846&lt;&gt;""""),COUNTA(FILTER(I$1:I846, I$1:I846&lt;&gt;""""))), LEN(INDEX(FILTER(I$1:I846, I$1:I846&lt;&gt;""""),COUNTA(FILTER(I$1:I846, I$1:I846&lt;&gt;""""))))-1), IF('To Order'!$A847=COLUMNS($A847:I"&amp;"866), I846&amp;RIGHT(INDIRECT(ADDRESS(ROW(I847)-1, 'From Order'!$A847)), 1), I846))"),"L")</f>
        <v>L</v>
      </c>
    </row>
    <row r="848">
      <c r="A848" s="2" t="str">
        <f>IFERROR(__xludf.DUMMYFUNCTION("IF('From Order'!$A848=COLUMNS($A848:A867), LEFT(INDEX(FILTER(A$1:A847, A$1:A847&lt;&gt;""""),COUNTA(FILTER(A$1:A847, A$1:A847&lt;&gt;""""))), LEN(INDEX(FILTER(A$1:A847, A$1:A847&lt;&gt;""""),COUNTA(FILTER(A$1:A847, A$1:A847&lt;&gt;""""))))-1), IF('To Order'!$A848=COLUMNS($A848:A"&amp;"867), A847&amp;RIGHT(INDIRECT(ADDRESS(ROW(A848)-1, 'From Order'!$A848)), 1), A847))"),"")</f>
        <v/>
      </c>
      <c r="B848" s="2" t="str">
        <f>IFERROR(__xludf.DUMMYFUNCTION("IF('From Order'!$A848=COLUMNS($A848:B867), LEFT(INDEX(FILTER(B$1:B847, B$1:B847&lt;&gt;""""),COUNTA(FILTER(B$1:B847, B$1:B847&lt;&gt;""""))), LEN(INDEX(FILTER(B$1:B847, B$1:B847&lt;&gt;""""),COUNTA(FILTER(B$1:B847, B$1:B847&lt;&gt;""""))))-1), IF('To Order'!$A848=COLUMNS($A848:B"&amp;"867), B847&amp;RIGHT(INDIRECT(ADDRESS(ROW(B848)-1, 'From Order'!$A848)), 1), B847))"),"JZRDCJT")</f>
        <v>JZRDCJT</v>
      </c>
      <c r="C848" s="2" t="str">
        <f>IFERROR(__xludf.DUMMYFUNCTION("IF('From Order'!$A848=COLUMNS($A848:C867), LEFT(INDEX(FILTER(C$1:C847, C$1:C847&lt;&gt;""""),COUNTA(FILTER(C$1:C847, C$1:C847&lt;&gt;""""))), LEN(INDEX(FILTER(C$1:C847, C$1:C847&lt;&gt;""""),COUNTA(FILTER(C$1:C847, C$1:C847&lt;&gt;""""))))-1), IF('To Order'!$A848=COLUMNS($A848:C"&amp;"867), C847&amp;RIGHT(INDIRECT(ADDRESS(ROW(C848)-1, 'From Order'!$A848)), 1), C847))"),"V")</f>
        <v>V</v>
      </c>
      <c r="D848" s="2" t="str">
        <f>IFERROR(__xludf.DUMMYFUNCTION("IF('From Order'!$A848=COLUMNS($A848:D867), LEFT(INDEX(FILTER(D$1:D847, D$1:D847&lt;&gt;""""),COUNTA(FILTER(D$1:D847, D$1:D847&lt;&gt;""""))), LEN(INDEX(FILTER(D$1:D847, D$1:D847&lt;&gt;""""),COUNTA(FILTER(D$1:D847, D$1:D847&lt;&gt;""""))))-1), IF('To Order'!$A848=COLUMNS($A848:D"&amp;"867), D847&amp;RIGHT(INDIRECT(ADDRESS(ROW(D848)-1, 'From Order'!$A848)), 1), D847))"),"BFMHZBSGDBD")</f>
        <v>BFMHZBSGDBD</v>
      </c>
      <c r="E848" s="2" t="str">
        <f>IFERROR(__xludf.DUMMYFUNCTION("IF('From Order'!$A848=COLUMNS($A848:E867), LEFT(INDEX(FILTER(E$1:E847, E$1:E847&lt;&gt;""""),COUNTA(FILTER(E$1:E847, E$1:E847&lt;&gt;""""))), LEN(INDEX(FILTER(E$1:E847, E$1:E847&lt;&gt;""""),COUNTA(FILTER(E$1:E847, E$1:E847&lt;&gt;""""))))-1), IF('To Order'!$A848=COLUMNS($A848:E"&amp;"867), E847&amp;RIGHT(INDIRECT(ADDRESS(ROW(E848)-1, 'From Order'!$A848)), 1), E847))"),"PVJCVRCT")</f>
        <v>PVJCVRCT</v>
      </c>
      <c r="F848" s="2" t="str">
        <f>IFERROR(__xludf.DUMMYFUNCTION("IF('From Order'!$A848=COLUMNS($A848:F867), LEFT(INDEX(FILTER(F$1:F847, F$1:F847&lt;&gt;""""),COUNTA(FILTER(F$1:F847, F$1:F847&lt;&gt;""""))), LEN(INDEX(FILTER(F$1:F847, F$1:F847&lt;&gt;""""),COUNTA(FILTER(F$1:F847, F$1:F847&lt;&gt;""""))))-1), IF('To Order'!$A848=COLUMNS($A848:F"&amp;"867), F847&amp;RIGHT(INDIRECT(ADDRESS(ROW(F848)-1, 'From Order'!$A848)), 1), F847))"),"FSLTTWRD")</f>
        <v>FSLTTWRD</v>
      </c>
      <c r="G848" s="2" t="str">
        <f>IFERROR(__xludf.DUMMYFUNCTION("IF('From Order'!$A848=COLUMNS($A848:G867), LEFT(INDEX(FILTER(G$1:G847, G$1:G847&lt;&gt;""""),COUNTA(FILTER(G$1:G847, G$1:G847&lt;&gt;""""))), LEN(INDEX(FILTER(G$1:G847, G$1:G847&lt;&gt;""""),COUNTA(FILTER(G$1:G847, G$1:G847&lt;&gt;""""))))-1), IF('To Order'!$A848=COLUMNS($A848:G"&amp;"867), G847&amp;RIGHT(INDIRECT(ADDRESS(ROW(G848)-1, 'From Order'!$A848)), 1), G847))"),"DTRLRQPDSSGHWQPB")</f>
        <v>DTRLRQPDSSGHWQPB</v>
      </c>
      <c r="H848" s="2" t="str">
        <f>IFERROR(__xludf.DUMMYFUNCTION("IF('From Order'!$A848=COLUMNS($A848:H867), LEFT(INDEX(FILTER(H$1:H847, H$1:H847&lt;&gt;""""),COUNTA(FILTER(H$1:H847, H$1:H847&lt;&gt;""""))), LEN(INDEX(FILTER(H$1:H847, H$1:H847&lt;&gt;""""),COUNTA(FILTER(H$1:H847, H$1:H847&lt;&gt;""""))))-1), IF('To Order'!$A848=COLUMNS($A848:H"&amp;"867), H847&amp;RIGHT(INDIRECT(ADDRESS(ROW(H848)-1, 'From Order'!$A848)), 1), H847))"),"MZMT")</f>
        <v>MZMT</v>
      </c>
      <c r="I848" s="2" t="str">
        <f>IFERROR(__xludf.DUMMYFUNCTION("IF('From Order'!$A848=COLUMNS($A848:I867), LEFT(INDEX(FILTER(I$1:I847, I$1:I847&lt;&gt;""""),COUNTA(FILTER(I$1:I847, I$1:I847&lt;&gt;""""))), LEN(INDEX(FILTER(I$1:I847, I$1:I847&lt;&gt;""""),COUNTA(FILTER(I$1:I847, I$1:I847&lt;&gt;""""))))-1), IF('To Order'!$A848=COLUMNS($A848:I"&amp;"867), I847&amp;RIGHT(INDIRECT(ADDRESS(ROW(I848)-1, 'From Order'!$A848)), 1), I847))"),"L")</f>
        <v>L</v>
      </c>
    </row>
    <row r="849">
      <c r="A849" s="2" t="str">
        <f>IFERROR(__xludf.DUMMYFUNCTION("IF('From Order'!$A849=COLUMNS($A849:A868), LEFT(INDEX(FILTER(A$1:A848, A$1:A848&lt;&gt;""""),COUNTA(FILTER(A$1:A848, A$1:A848&lt;&gt;""""))), LEN(INDEX(FILTER(A$1:A848, A$1:A848&lt;&gt;""""),COUNTA(FILTER(A$1:A848, A$1:A848&lt;&gt;""""))))-1), IF('To Order'!$A849=COLUMNS($A849:A"&amp;"868), A848&amp;RIGHT(INDIRECT(ADDRESS(ROW(A849)-1, 'From Order'!$A849)), 1), A848))"),"")</f>
        <v/>
      </c>
      <c r="B849" s="2" t="str">
        <f>IFERROR(__xludf.DUMMYFUNCTION("IF('From Order'!$A849=COLUMNS($A849:B868), LEFT(INDEX(FILTER(B$1:B848, B$1:B848&lt;&gt;""""),COUNTA(FILTER(B$1:B848, B$1:B848&lt;&gt;""""))), LEN(INDEX(FILTER(B$1:B848, B$1:B848&lt;&gt;""""),COUNTA(FILTER(B$1:B848, B$1:B848&lt;&gt;""""))))-1), IF('To Order'!$A849=COLUMNS($A849:B"&amp;"868), B848&amp;RIGHT(INDIRECT(ADDRESS(ROW(B849)-1, 'From Order'!$A849)), 1), B848))"),"JZRDCJT")</f>
        <v>JZRDCJT</v>
      </c>
      <c r="C849" s="2" t="str">
        <f>IFERROR(__xludf.DUMMYFUNCTION("IF('From Order'!$A849=COLUMNS($A849:C868), LEFT(INDEX(FILTER(C$1:C848, C$1:C848&lt;&gt;""""),COUNTA(FILTER(C$1:C848, C$1:C848&lt;&gt;""""))), LEN(INDEX(FILTER(C$1:C848, C$1:C848&lt;&gt;""""),COUNTA(FILTER(C$1:C848, C$1:C848&lt;&gt;""""))))-1), IF('To Order'!$A849=COLUMNS($A849:C"&amp;"868), C848&amp;RIGHT(INDIRECT(ADDRESS(ROW(C849)-1, 'From Order'!$A849)), 1), C848))"),"V")</f>
        <v>V</v>
      </c>
      <c r="D849" s="2" t="str">
        <f>IFERROR(__xludf.DUMMYFUNCTION("IF('From Order'!$A849=COLUMNS($A849:D868), LEFT(INDEX(FILTER(D$1:D848, D$1:D848&lt;&gt;""""),COUNTA(FILTER(D$1:D848, D$1:D848&lt;&gt;""""))), LEN(INDEX(FILTER(D$1:D848, D$1:D848&lt;&gt;""""),COUNTA(FILTER(D$1:D848, D$1:D848&lt;&gt;""""))))-1), IF('To Order'!$A849=COLUMNS($A849:D"&amp;"868), D848&amp;RIGHT(INDIRECT(ADDRESS(ROW(D849)-1, 'From Order'!$A849)), 1), D848))"),"BFMHZBSGDBDT")</f>
        <v>BFMHZBSGDBDT</v>
      </c>
      <c r="E849" s="2" t="str">
        <f>IFERROR(__xludf.DUMMYFUNCTION("IF('From Order'!$A849=COLUMNS($A849:E868), LEFT(INDEX(FILTER(E$1:E848, E$1:E848&lt;&gt;""""),COUNTA(FILTER(E$1:E848, E$1:E848&lt;&gt;""""))), LEN(INDEX(FILTER(E$1:E848, E$1:E848&lt;&gt;""""),COUNTA(FILTER(E$1:E848, E$1:E848&lt;&gt;""""))))-1), IF('To Order'!$A849=COLUMNS($A849:E"&amp;"868), E848&amp;RIGHT(INDIRECT(ADDRESS(ROW(E849)-1, 'From Order'!$A849)), 1), E848))"),"PVJCVRCT")</f>
        <v>PVJCVRCT</v>
      </c>
      <c r="F849" s="2" t="str">
        <f>IFERROR(__xludf.DUMMYFUNCTION("IF('From Order'!$A849=COLUMNS($A849:F868), LEFT(INDEX(FILTER(F$1:F848, F$1:F848&lt;&gt;""""),COUNTA(FILTER(F$1:F848, F$1:F848&lt;&gt;""""))), LEN(INDEX(FILTER(F$1:F848, F$1:F848&lt;&gt;""""),COUNTA(FILTER(F$1:F848, F$1:F848&lt;&gt;""""))))-1), IF('To Order'!$A849=COLUMNS($A849:F"&amp;"868), F848&amp;RIGHT(INDIRECT(ADDRESS(ROW(F849)-1, 'From Order'!$A849)), 1), F848))"),"FSLTTWRD")</f>
        <v>FSLTTWRD</v>
      </c>
      <c r="G849" s="2" t="str">
        <f>IFERROR(__xludf.DUMMYFUNCTION("IF('From Order'!$A849=COLUMNS($A849:G868), LEFT(INDEX(FILTER(G$1:G848, G$1:G848&lt;&gt;""""),COUNTA(FILTER(G$1:G848, G$1:G848&lt;&gt;""""))), LEN(INDEX(FILTER(G$1:G848, G$1:G848&lt;&gt;""""),COUNTA(FILTER(G$1:G848, G$1:G848&lt;&gt;""""))))-1), IF('To Order'!$A849=COLUMNS($A849:G"&amp;"868), G848&amp;RIGHT(INDIRECT(ADDRESS(ROW(G849)-1, 'From Order'!$A849)), 1), G848))"),"DTRLRQPDSSGHWQPB")</f>
        <v>DTRLRQPDSSGHWQPB</v>
      </c>
      <c r="H849" s="2" t="str">
        <f>IFERROR(__xludf.DUMMYFUNCTION("IF('From Order'!$A849=COLUMNS($A849:H868), LEFT(INDEX(FILTER(H$1:H848, H$1:H848&lt;&gt;""""),COUNTA(FILTER(H$1:H848, H$1:H848&lt;&gt;""""))), LEN(INDEX(FILTER(H$1:H848, H$1:H848&lt;&gt;""""),COUNTA(FILTER(H$1:H848, H$1:H848&lt;&gt;""""))))-1), IF('To Order'!$A849=COLUMNS($A849:H"&amp;"868), H848&amp;RIGHT(INDIRECT(ADDRESS(ROW(H849)-1, 'From Order'!$A849)), 1), H848))"),"MZM")</f>
        <v>MZM</v>
      </c>
      <c r="I849" s="2" t="str">
        <f>IFERROR(__xludf.DUMMYFUNCTION("IF('From Order'!$A849=COLUMNS($A849:I868), LEFT(INDEX(FILTER(I$1:I848, I$1:I848&lt;&gt;""""),COUNTA(FILTER(I$1:I848, I$1:I848&lt;&gt;""""))), LEN(INDEX(FILTER(I$1:I848, I$1:I848&lt;&gt;""""),COUNTA(FILTER(I$1:I848, I$1:I848&lt;&gt;""""))))-1), IF('To Order'!$A849=COLUMNS($A849:I"&amp;"868), I848&amp;RIGHT(INDIRECT(ADDRESS(ROW(I849)-1, 'From Order'!$A849)), 1), I848))"),"L")</f>
        <v>L</v>
      </c>
    </row>
    <row r="850">
      <c r="A850" s="2" t="str">
        <f>IFERROR(__xludf.DUMMYFUNCTION("IF('From Order'!$A850=COLUMNS($A850:A869), LEFT(INDEX(FILTER(A$1:A849, A$1:A849&lt;&gt;""""),COUNTA(FILTER(A$1:A849, A$1:A849&lt;&gt;""""))), LEN(INDEX(FILTER(A$1:A849, A$1:A849&lt;&gt;""""),COUNTA(FILTER(A$1:A849, A$1:A849&lt;&gt;""""))))-1), IF('To Order'!$A850=COLUMNS($A850:A"&amp;"869), A849&amp;RIGHT(INDIRECT(ADDRESS(ROW(A850)-1, 'From Order'!$A850)), 1), A849))"),"")</f>
        <v/>
      </c>
      <c r="B850" s="2" t="str">
        <f>IFERROR(__xludf.DUMMYFUNCTION("IF('From Order'!$A850=COLUMNS($A850:B869), LEFT(INDEX(FILTER(B$1:B849, B$1:B849&lt;&gt;""""),COUNTA(FILTER(B$1:B849, B$1:B849&lt;&gt;""""))), LEN(INDEX(FILTER(B$1:B849, B$1:B849&lt;&gt;""""),COUNTA(FILTER(B$1:B849, B$1:B849&lt;&gt;""""))))-1), IF('To Order'!$A850=COLUMNS($A850:B"&amp;"869), B849&amp;RIGHT(INDIRECT(ADDRESS(ROW(B850)-1, 'From Order'!$A850)), 1), B849))"),"JZRDCJTT")</f>
        <v>JZRDCJTT</v>
      </c>
      <c r="C850" s="2" t="str">
        <f>IFERROR(__xludf.DUMMYFUNCTION("IF('From Order'!$A850=COLUMNS($A850:C869), LEFT(INDEX(FILTER(C$1:C849, C$1:C849&lt;&gt;""""),COUNTA(FILTER(C$1:C849, C$1:C849&lt;&gt;""""))), LEN(INDEX(FILTER(C$1:C849, C$1:C849&lt;&gt;""""),COUNTA(FILTER(C$1:C849, C$1:C849&lt;&gt;""""))))-1), IF('To Order'!$A850=COLUMNS($A850:C"&amp;"869), C849&amp;RIGHT(INDIRECT(ADDRESS(ROW(C850)-1, 'From Order'!$A850)), 1), C849))"),"V")</f>
        <v>V</v>
      </c>
      <c r="D850" s="2" t="str">
        <f>IFERROR(__xludf.DUMMYFUNCTION("IF('From Order'!$A850=COLUMNS($A850:D869), LEFT(INDEX(FILTER(D$1:D849, D$1:D849&lt;&gt;""""),COUNTA(FILTER(D$1:D849, D$1:D849&lt;&gt;""""))), LEN(INDEX(FILTER(D$1:D849, D$1:D849&lt;&gt;""""),COUNTA(FILTER(D$1:D849, D$1:D849&lt;&gt;""""))))-1), IF('To Order'!$A850=COLUMNS($A850:D"&amp;"869), D849&amp;RIGHT(INDIRECT(ADDRESS(ROW(D850)-1, 'From Order'!$A850)), 1), D849))"),"BFMHZBSGDBDT")</f>
        <v>BFMHZBSGDBDT</v>
      </c>
      <c r="E850" s="2" t="str">
        <f>IFERROR(__xludf.DUMMYFUNCTION("IF('From Order'!$A850=COLUMNS($A850:E869), LEFT(INDEX(FILTER(E$1:E849, E$1:E849&lt;&gt;""""),COUNTA(FILTER(E$1:E849, E$1:E849&lt;&gt;""""))), LEN(INDEX(FILTER(E$1:E849, E$1:E849&lt;&gt;""""),COUNTA(FILTER(E$1:E849, E$1:E849&lt;&gt;""""))))-1), IF('To Order'!$A850=COLUMNS($A850:E"&amp;"869), E849&amp;RIGHT(INDIRECT(ADDRESS(ROW(E850)-1, 'From Order'!$A850)), 1), E849))"),"PVJCVRC")</f>
        <v>PVJCVRC</v>
      </c>
      <c r="F850" s="2" t="str">
        <f>IFERROR(__xludf.DUMMYFUNCTION("IF('From Order'!$A850=COLUMNS($A850:F869), LEFT(INDEX(FILTER(F$1:F849, F$1:F849&lt;&gt;""""),COUNTA(FILTER(F$1:F849, F$1:F849&lt;&gt;""""))), LEN(INDEX(FILTER(F$1:F849, F$1:F849&lt;&gt;""""),COUNTA(FILTER(F$1:F849, F$1:F849&lt;&gt;""""))))-1), IF('To Order'!$A850=COLUMNS($A850:F"&amp;"869), F849&amp;RIGHT(INDIRECT(ADDRESS(ROW(F850)-1, 'From Order'!$A850)), 1), F849))"),"FSLTTWRD")</f>
        <v>FSLTTWRD</v>
      </c>
      <c r="G850" s="2" t="str">
        <f>IFERROR(__xludf.DUMMYFUNCTION("IF('From Order'!$A850=COLUMNS($A850:G869), LEFT(INDEX(FILTER(G$1:G849, G$1:G849&lt;&gt;""""),COUNTA(FILTER(G$1:G849, G$1:G849&lt;&gt;""""))), LEN(INDEX(FILTER(G$1:G849, G$1:G849&lt;&gt;""""),COUNTA(FILTER(G$1:G849, G$1:G849&lt;&gt;""""))))-1), IF('To Order'!$A850=COLUMNS($A850:G"&amp;"869), G849&amp;RIGHT(INDIRECT(ADDRESS(ROW(G850)-1, 'From Order'!$A850)), 1), G849))"),"DTRLRQPDSSGHWQPB")</f>
        <v>DTRLRQPDSSGHWQPB</v>
      </c>
      <c r="H850" s="2" t="str">
        <f>IFERROR(__xludf.DUMMYFUNCTION("IF('From Order'!$A850=COLUMNS($A850:H869), LEFT(INDEX(FILTER(H$1:H849, H$1:H849&lt;&gt;""""),COUNTA(FILTER(H$1:H849, H$1:H849&lt;&gt;""""))), LEN(INDEX(FILTER(H$1:H849, H$1:H849&lt;&gt;""""),COUNTA(FILTER(H$1:H849, H$1:H849&lt;&gt;""""))))-1), IF('To Order'!$A850=COLUMNS($A850:H"&amp;"869), H849&amp;RIGHT(INDIRECT(ADDRESS(ROW(H850)-1, 'From Order'!$A850)), 1), H849))"),"MZM")</f>
        <v>MZM</v>
      </c>
      <c r="I850" s="2" t="str">
        <f>IFERROR(__xludf.DUMMYFUNCTION("IF('From Order'!$A850=COLUMNS($A850:I869), LEFT(INDEX(FILTER(I$1:I849, I$1:I849&lt;&gt;""""),COUNTA(FILTER(I$1:I849, I$1:I849&lt;&gt;""""))), LEN(INDEX(FILTER(I$1:I849, I$1:I849&lt;&gt;""""),COUNTA(FILTER(I$1:I849, I$1:I849&lt;&gt;""""))))-1), IF('To Order'!$A850=COLUMNS($A850:I"&amp;"869), I849&amp;RIGHT(INDIRECT(ADDRESS(ROW(I850)-1, 'From Order'!$A850)), 1), I849))"),"L")</f>
        <v>L</v>
      </c>
    </row>
    <row r="851">
      <c r="A851" s="2" t="str">
        <f>IFERROR(__xludf.DUMMYFUNCTION("IF('From Order'!$A851=COLUMNS($A851:A870), LEFT(INDEX(FILTER(A$1:A850, A$1:A850&lt;&gt;""""),COUNTA(FILTER(A$1:A850, A$1:A850&lt;&gt;""""))), LEN(INDEX(FILTER(A$1:A850, A$1:A850&lt;&gt;""""),COUNTA(FILTER(A$1:A850, A$1:A850&lt;&gt;""""))))-1), IF('To Order'!$A851=COLUMNS($A851:A"&amp;"870), A850&amp;RIGHT(INDIRECT(ADDRESS(ROW(A851)-1, 'From Order'!$A851)), 1), A850))"),"")</f>
        <v/>
      </c>
      <c r="B851" s="2" t="str">
        <f>IFERROR(__xludf.DUMMYFUNCTION("IF('From Order'!$A851=COLUMNS($A851:B870), LEFT(INDEX(FILTER(B$1:B850, B$1:B850&lt;&gt;""""),COUNTA(FILTER(B$1:B850, B$1:B850&lt;&gt;""""))), LEN(INDEX(FILTER(B$1:B850, B$1:B850&lt;&gt;""""),COUNTA(FILTER(B$1:B850, B$1:B850&lt;&gt;""""))))-1), IF('To Order'!$A851=COLUMNS($A851:B"&amp;"870), B850&amp;RIGHT(INDIRECT(ADDRESS(ROW(B851)-1, 'From Order'!$A851)), 1), B850))"),"JZRDCJTTC")</f>
        <v>JZRDCJTTC</v>
      </c>
      <c r="C851" s="2" t="str">
        <f>IFERROR(__xludf.DUMMYFUNCTION("IF('From Order'!$A851=COLUMNS($A851:C870), LEFT(INDEX(FILTER(C$1:C850, C$1:C850&lt;&gt;""""),COUNTA(FILTER(C$1:C850, C$1:C850&lt;&gt;""""))), LEN(INDEX(FILTER(C$1:C850, C$1:C850&lt;&gt;""""),COUNTA(FILTER(C$1:C850, C$1:C850&lt;&gt;""""))))-1), IF('To Order'!$A851=COLUMNS($A851:C"&amp;"870), C850&amp;RIGHT(INDIRECT(ADDRESS(ROW(C851)-1, 'From Order'!$A851)), 1), C850))"),"V")</f>
        <v>V</v>
      </c>
      <c r="D851" s="2" t="str">
        <f>IFERROR(__xludf.DUMMYFUNCTION("IF('From Order'!$A851=COLUMNS($A851:D870), LEFT(INDEX(FILTER(D$1:D850, D$1:D850&lt;&gt;""""),COUNTA(FILTER(D$1:D850, D$1:D850&lt;&gt;""""))), LEN(INDEX(FILTER(D$1:D850, D$1:D850&lt;&gt;""""),COUNTA(FILTER(D$1:D850, D$1:D850&lt;&gt;""""))))-1), IF('To Order'!$A851=COLUMNS($A851:D"&amp;"870), D850&amp;RIGHT(INDIRECT(ADDRESS(ROW(D851)-1, 'From Order'!$A851)), 1), D850))"),"BFMHZBSGDBDT")</f>
        <v>BFMHZBSGDBDT</v>
      </c>
      <c r="E851" s="2" t="str">
        <f>IFERROR(__xludf.DUMMYFUNCTION("IF('From Order'!$A851=COLUMNS($A851:E870), LEFT(INDEX(FILTER(E$1:E850, E$1:E850&lt;&gt;""""),COUNTA(FILTER(E$1:E850, E$1:E850&lt;&gt;""""))), LEN(INDEX(FILTER(E$1:E850, E$1:E850&lt;&gt;""""),COUNTA(FILTER(E$1:E850, E$1:E850&lt;&gt;""""))))-1), IF('To Order'!$A851=COLUMNS($A851:E"&amp;"870), E850&amp;RIGHT(INDIRECT(ADDRESS(ROW(E851)-1, 'From Order'!$A851)), 1), E850))"),"PVJCVR")</f>
        <v>PVJCVR</v>
      </c>
      <c r="F851" s="2" t="str">
        <f>IFERROR(__xludf.DUMMYFUNCTION("IF('From Order'!$A851=COLUMNS($A851:F870), LEFT(INDEX(FILTER(F$1:F850, F$1:F850&lt;&gt;""""),COUNTA(FILTER(F$1:F850, F$1:F850&lt;&gt;""""))), LEN(INDEX(FILTER(F$1:F850, F$1:F850&lt;&gt;""""),COUNTA(FILTER(F$1:F850, F$1:F850&lt;&gt;""""))))-1), IF('To Order'!$A851=COLUMNS($A851:F"&amp;"870), F850&amp;RIGHT(INDIRECT(ADDRESS(ROW(F851)-1, 'From Order'!$A851)), 1), F850))"),"FSLTTWRD")</f>
        <v>FSLTTWRD</v>
      </c>
      <c r="G851" s="2" t="str">
        <f>IFERROR(__xludf.DUMMYFUNCTION("IF('From Order'!$A851=COLUMNS($A851:G870), LEFT(INDEX(FILTER(G$1:G850, G$1:G850&lt;&gt;""""),COUNTA(FILTER(G$1:G850, G$1:G850&lt;&gt;""""))), LEN(INDEX(FILTER(G$1:G850, G$1:G850&lt;&gt;""""),COUNTA(FILTER(G$1:G850, G$1:G850&lt;&gt;""""))))-1), IF('To Order'!$A851=COLUMNS($A851:G"&amp;"870), G850&amp;RIGHT(INDIRECT(ADDRESS(ROW(G851)-1, 'From Order'!$A851)), 1), G850))"),"DTRLRQPDSSGHWQPB")</f>
        <v>DTRLRQPDSSGHWQPB</v>
      </c>
      <c r="H851" s="2" t="str">
        <f>IFERROR(__xludf.DUMMYFUNCTION("IF('From Order'!$A851=COLUMNS($A851:H870), LEFT(INDEX(FILTER(H$1:H850, H$1:H850&lt;&gt;""""),COUNTA(FILTER(H$1:H850, H$1:H850&lt;&gt;""""))), LEN(INDEX(FILTER(H$1:H850, H$1:H850&lt;&gt;""""),COUNTA(FILTER(H$1:H850, H$1:H850&lt;&gt;""""))))-1), IF('To Order'!$A851=COLUMNS($A851:H"&amp;"870), H850&amp;RIGHT(INDIRECT(ADDRESS(ROW(H851)-1, 'From Order'!$A851)), 1), H850))"),"MZM")</f>
        <v>MZM</v>
      </c>
      <c r="I851" s="2" t="str">
        <f>IFERROR(__xludf.DUMMYFUNCTION("IF('From Order'!$A851=COLUMNS($A851:I870), LEFT(INDEX(FILTER(I$1:I850, I$1:I850&lt;&gt;""""),COUNTA(FILTER(I$1:I850, I$1:I850&lt;&gt;""""))), LEN(INDEX(FILTER(I$1:I850, I$1:I850&lt;&gt;""""),COUNTA(FILTER(I$1:I850, I$1:I850&lt;&gt;""""))))-1), IF('To Order'!$A851=COLUMNS($A851:I"&amp;"870), I850&amp;RIGHT(INDIRECT(ADDRESS(ROW(I851)-1, 'From Order'!$A851)), 1), I850))"),"L")</f>
        <v>L</v>
      </c>
    </row>
    <row r="852">
      <c r="A852" s="2" t="str">
        <f>IFERROR(__xludf.DUMMYFUNCTION("IF('From Order'!$A852=COLUMNS($A852:A871), LEFT(INDEX(FILTER(A$1:A851, A$1:A851&lt;&gt;""""),COUNTA(FILTER(A$1:A851, A$1:A851&lt;&gt;""""))), LEN(INDEX(FILTER(A$1:A851, A$1:A851&lt;&gt;""""),COUNTA(FILTER(A$1:A851, A$1:A851&lt;&gt;""""))))-1), IF('To Order'!$A852=COLUMNS($A852:A"&amp;"871), A851&amp;RIGHT(INDIRECT(ADDRESS(ROW(A852)-1, 'From Order'!$A852)), 1), A851))"),"")</f>
        <v/>
      </c>
      <c r="B852" s="2" t="str">
        <f>IFERROR(__xludf.DUMMYFUNCTION("IF('From Order'!$A852=COLUMNS($A852:B871), LEFT(INDEX(FILTER(B$1:B851, B$1:B851&lt;&gt;""""),COUNTA(FILTER(B$1:B851, B$1:B851&lt;&gt;""""))), LEN(INDEX(FILTER(B$1:B851, B$1:B851&lt;&gt;""""),COUNTA(FILTER(B$1:B851, B$1:B851&lt;&gt;""""))))-1), IF('To Order'!$A852=COLUMNS($A852:B"&amp;"871), B851&amp;RIGHT(INDIRECT(ADDRESS(ROW(B852)-1, 'From Order'!$A852)), 1), B851))"),"JZRDCJTTCR")</f>
        <v>JZRDCJTTCR</v>
      </c>
      <c r="C852" s="2" t="str">
        <f>IFERROR(__xludf.DUMMYFUNCTION("IF('From Order'!$A852=COLUMNS($A852:C871), LEFT(INDEX(FILTER(C$1:C851, C$1:C851&lt;&gt;""""),COUNTA(FILTER(C$1:C851, C$1:C851&lt;&gt;""""))), LEN(INDEX(FILTER(C$1:C851, C$1:C851&lt;&gt;""""),COUNTA(FILTER(C$1:C851, C$1:C851&lt;&gt;""""))))-1), IF('To Order'!$A852=COLUMNS($A852:C"&amp;"871), C851&amp;RIGHT(INDIRECT(ADDRESS(ROW(C852)-1, 'From Order'!$A852)), 1), C851))"),"V")</f>
        <v>V</v>
      </c>
      <c r="D852" s="2" t="str">
        <f>IFERROR(__xludf.DUMMYFUNCTION("IF('From Order'!$A852=COLUMNS($A852:D871), LEFT(INDEX(FILTER(D$1:D851, D$1:D851&lt;&gt;""""),COUNTA(FILTER(D$1:D851, D$1:D851&lt;&gt;""""))), LEN(INDEX(FILTER(D$1:D851, D$1:D851&lt;&gt;""""),COUNTA(FILTER(D$1:D851, D$1:D851&lt;&gt;""""))))-1), IF('To Order'!$A852=COLUMNS($A852:D"&amp;"871), D851&amp;RIGHT(INDIRECT(ADDRESS(ROW(D852)-1, 'From Order'!$A852)), 1), D851))"),"BFMHZBSGDBDT")</f>
        <v>BFMHZBSGDBDT</v>
      </c>
      <c r="E852" s="2" t="str">
        <f>IFERROR(__xludf.DUMMYFUNCTION("IF('From Order'!$A852=COLUMNS($A852:E871), LEFT(INDEX(FILTER(E$1:E851, E$1:E851&lt;&gt;""""),COUNTA(FILTER(E$1:E851, E$1:E851&lt;&gt;""""))), LEN(INDEX(FILTER(E$1:E851, E$1:E851&lt;&gt;""""),COUNTA(FILTER(E$1:E851, E$1:E851&lt;&gt;""""))))-1), IF('To Order'!$A852=COLUMNS($A852:E"&amp;"871), E851&amp;RIGHT(INDIRECT(ADDRESS(ROW(E852)-1, 'From Order'!$A852)), 1), E851))"),"PVJCV")</f>
        <v>PVJCV</v>
      </c>
      <c r="F852" s="2" t="str">
        <f>IFERROR(__xludf.DUMMYFUNCTION("IF('From Order'!$A852=COLUMNS($A852:F871), LEFT(INDEX(FILTER(F$1:F851, F$1:F851&lt;&gt;""""),COUNTA(FILTER(F$1:F851, F$1:F851&lt;&gt;""""))), LEN(INDEX(FILTER(F$1:F851, F$1:F851&lt;&gt;""""),COUNTA(FILTER(F$1:F851, F$1:F851&lt;&gt;""""))))-1), IF('To Order'!$A852=COLUMNS($A852:F"&amp;"871), F851&amp;RIGHT(INDIRECT(ADDRESS(ROW(F852)-1, 'From Order'!$A852)), 1), F851))"),"FSLTTWRD")</f>
        <v>FSLTTWRD</v>
      </c>
      <c r="G852" s="2" t="str">
        <f>IFERROR(__xludf.DUMMYFUNCTION("IF('From Order'!$A852=COLUMNS($A852:G871), LEFT(INDEX(FILTER(G$1:G851, G$1:G851&lt;&gt;""""),COUNTA(FILTER(G$1:G851, G$1:G851&lt;&gt;""""))), LEN(INDEX(FILTER(G$1:G851, G$1:G851&lt;&gt;""""),COUNTA(FILTER(G$1:G851, G$1:G851&lt;&gt;""""))))-1), IF('To Order'!$A852=COLUMNS($A852:G"&amp;"871), G851&amp;RIGHT(INDIRECT(ADDRESS(ROW(G852)-1, 'From Order'!$A852)), 1), G851))"),"DTRLRQPDSSGHWQPB")</f>
        <v>DTRLRQPDSSGHWQPB</v>
      </c>
      <c r="H852" s="2" t="str">
        <f>IFERROR(__xludf.DUMMYFUNCTION("IF('From Order'!$A852=COLUMNS($A852:H871), LEFT(INDEX(FILTER(H$1:H851, H$1:H851&lt;&gt;""""),COUNTA(FILTER(H$1:H851, H$1:H851&lt;&gt;""""))), LEN(INDEX(FILTER(H$1:H851, H$1:H851&lt;&gt;""""),COUNTA(FILTER(H$1:H851, H$1:H851&lt;&gt;""""))))-1), IF('To Order'!$A852=COLUMNS($A852:H"&amp;"871), H851&amp;RIGHT(INDIRECT(ADDRESS(ROW(H852)-1, 'From Order'!$A852)), 1), H851))"),"MZM")</f>
        <v>MZM</v>
      </c>
      <c r="I852" s="2" t="str">
        <f>IFERROR(__xludf.DUMMYFUNCTION("IF('From Order'!$A852=COLUMNS($A852:I871), LEFT(INDEX(FILTER(I$1:I851, I$1:I851&lt;&gt;""""),COUNTA(FILTER(I$1:I851, I$1:I851&lt;&gt;""""))), LEN(INDEX(FILTER(I$1:I851, I$1:I851&lt;&gt;""""),COUNTA(FILTER(I$1:I851, I$1:I851&lt;&gt;""""))))-1), IF('To Order'!$A852=COLUMNS($A852:I"&amp;"871), I851&amp;RIGHT(INDIRECT(ADDRESS(ROW(I852)-1, 'From Order'!$A852)), 1), I851))"),"L")</f>
        <v>L</v>
      </c>
    </row>
    <row r="853">
      <c r="A853" s="2" t="str">
        <f>IFERROR(__xludf.DUMMYFUNCTION("IF('From Order'!$A853=COLUMNS($A853:A872), LEFT(INDEX(FILTER(A$1:A852, A$1:A852&lt;&gt;""""),COUNTA(FILTER(A$1:A852, A$1:A852&lt;&gt;""""))), LEN(INDEX(FILTER(A$1:A852, A$1:A852&lt;&gt;""""),COUNTA(FILTER(A$1:A852, A$1:A852&lt;&gt;""""))))-1), IF('To Order'!$A853=COLUMNS($A853:A"&amp;"872), A852&amp;RIGHT(INDIRECT(ADDRESS(ROW(A853)-1, 'From Order'!$A853)), 1), A852))"),"")</f>
        <v/>
      </c>
      <c r="B853" s="2" t="str">
        <f>IFERROR(__xludf.DUMMYFUNCTION("IF('From Order'!$A853=COLUMNS($A853:B872), LEFT(INDEX(FILTER(B$1:B852, B$1:B852&lt;&gt;""""),COUNTA(FILTER(B$1:B852, B$1:B852&lt;&gt;""""))), LEN(INDEX(FILTER(B$1:B852, B$1:B852&lt;&gt;""""),COUNTA(FILTER(B$1:B852, B$1:B852&lt;&gt;""""))))-1), IF('To Order'!$A853=COLUMNS($A853:B"&amp;"872), B852&amp;RIGHT(INDIRECT(ADDRESS(ROW(B853)-1, 'From Order'!$A853)), 1), B852))"),"JZRDCJTTCRV")</f>
        <v>JZRDCJTTCRV</v>
      </c>
      <c r="C853" s="2" t="str">
        <f>IFERROR(__xludf.DUMMYFUNCTION("IF('From Order'!$A853=COLUMNS($A853:C872), LEFT(INDEX(FILTER(C$1:C852, C$1:C852&lt;&gt;""""),COUNTA(FILTER(C$1:C852, C$1:C852&lt;&gt;""""))), LEN(INDEX(FILTER(C$1:C852, C$1:C852&lt;&gt;""""),COUNTA(FILTER(C$1:C852, C$1:C852&lt;&gt;""""))))-1), IF('To Order'!$A853=COLUMNS($A853:C"&amp;"872), C852&amp;RIGHT(INDIRECT(ADDRESS(ROW(C853)-1, 'From Order'!$A853)), 1), C852))"),"V")</f>
        <v>V</v>
      </c>
      <c r="D853" s="2" t="str">
        <f>IFERROR(__xludf.DUMMYFUNCTION("IF('From Order'!$A853=COLUMNS($A853:D872), LEFT(INDEX(FILTER(D$1:D852, D$1:D852&lt;&gt;""""),COUNTA(FILTER(D$1:D852, D$1:D852&lt;&gt;""""))), LEN(INDEX(FILTER(D$1:D852, D$1:D852&lt;&gt;""""),COUNTA(FILTER(D$1:D852, D$1:D852&lt;&gt;""""))))-1), IF('To Order'!$A853=COLUMNS($A853:D"&amp;"872), D852&amp;RIGHT(INDIRECT(ADDRESS(ROW(D853)-1, 'From Order'!$A853)), 1), D852))"),"BFMHZBSGDBDT")</f>
        <v>BFMHZBSGDBDT</v>
      </c>
      <c r="E853" s="2" t="str">
        <f>IFERROR(__xludf.DUMMYFUNCTION("IF('From Order'!$A853=COLUMNS($A853:E872), LEFT(INDEX(FILTER(E$1:E852, E$1:E852&lt;&gt;""""),COUNTA(FILTER(E$1:E852, E$1:E852&lt;&gt;""""))), LEN(INDEX(FILTER(E$1:E852, E$1:E852&lt;&gt;""""),COUNTA(FILTER(E$1:E852, E$1:E852&lt;&gt;""""))))-1), IF('To Order'!$A853=COLUMNS($A853:E"&amp;"872), E852&amp;RIGHT(INDIRECT(ADDRESS(ROW(E853)-1, 'From Order'!$A853)), 1), E852))"),"PVJC")</f>
        <v>PVJC</v>
      </c>
      <c r="F853" s="2" t="str">
        <f>IFERROR(__xludf.DUMMYFUNCTION("IF('From Order'!$A853=COLUMNS($A853:F872), LEFT(INDEX(FILTER(F$1:F852, F$1:F852&lt;&gt;""""),COUNTA(FILTER(F$1:F852, F$1:F852&lt;&gt;""""))), LEN(INDEX(FILTER(F$1:F852, F$1:F852&lt;&gt;""""),COUNTA(FILTER(F$1:F852, F$1:F852&lt;&gt;""""))))-1), IF('To Order'!$A853=COLUMNS($A853:F"&amp;"872), F852&amp;RIGHT(INDIRECT(ADDRESS(ROW(F853)-1, 'From Order'!$A853)), 1), F852))"),"FSLTTWRD")</f>
        <v>FSLTTWRD</v>
      </c>
      <c r="G853" s="2" t="str">
        <f>IFERROR(__xludf.DUMMYFUNCTION("IF('From Order'!$A853=COLUMNS($A853:G872), LEFT(INDEX(FILTER(G$1:G852, G$1:G852&lt;&gt;""""),COUNTA(FILTER(G$1:G852, G$1:G852&lt;&gt;""""))), LEN(INDEX(FILTER(G$1:G852, G$1:G852&lt;&gt;""""),COUNTA(FILTER(G$1:G852, G$1:G852&lt;&gt;""""))))-1), IF('To Order'!$A853=COLUMNS($A853:G"&amp;"872), G852&amp;RIGHT(INDIRECT(ADDRESS(ROW(G853)-1, 'From Order'!$A853)), 1), G852))"),"DTRLRQPDSSGHWQPB")</f>
        <v>DTRLRQPDSSGHWQPB</v>
      </c>
      <c r="H853" s="2" t="str">
        <f>IFERROR(__xludf.DUMMYFUNCTION("IF('From Order'!$A853=COLUMNS($A853:H872), LEFT(INDEX(FILTER(H$1:H852, H$1:H852&lt;&gt;""""),COUNTA(FILTER(H$1:H852, H$1:H852&lt;&gt;""""))), LEN(INDEX(FILTER(H$1:H852, H$1:H852&lt;&gt;""""),COUNTA(FILTER(H$1:H852, H$1:H852&lt;&gt;""""))))-1), IF('To Order'!$A853=COLUMNS($A853:H"&amp;"872), H852&amp;RIGHT(INDIRECT(ADDRESS(ROW(H853)-1, 'From Order'!$A853)), 1), H852))"),"MZM")</f>
        <v>MZM</v>
      </c>
      <c r="I853" s="2" t="str">
        <f>IFERROR(__xludf.DUMMYFUNCTION("IF('From Order'!$A853=COLUMNS($A853:I872), LEFT(INDEX(FILTER(I$1:I852, I$1:I852&lt;&gt;""""),COUNTA(FILTER(I$1:I852, I$1:I852&lt;&gt;""""))), LEN(INDEX(FILTER(I$1:I852, I$1:I852&lt;&gt;""""),COUNTA(FILTER(I$1:I852, I$1:I852&lt;&gt;""""))))-1), IF('To Order'!$A853=COLUMNS($A853:I"&amp;"872), I852&amp;RIGHT(INDIRECT(ADDRESS(ROW(I853)-1, 'From Order'!$A853)), 1), I852))"),"L")</f>
        <v>L</v>
      </c>
    </row>
    <row r="854">
      <c r="A854" s="2" t="str">
        <f>IFERROR(__xludf.DUMMYFUNCTION("IF('From Order'!$A854=COLUMNS($A854:A873), LEFT(INDEX(FILTER(A$1:A853, A$1:A853&lt;&gt;""""),COUNTA(FILTER(A$1:A853, A$1:A853&lt;&gt;""""))), LEN(INDEX(FILTER(A$1:A853, A$1:A853&lt;&gt;""""),COUNTA(FILTER(A$1:A853, A$1:A853&lt;&gt;""""))))-1), IF('To Order'!$A854=COLUMNS($A854:A"&amp;"873), A853&amp;RIGHT(INDIRECT(ADDRESS(ROW(A854)-1, 'From Order'!$A854)), 1), A853))"),"")</f>
        <v/>
      </c>
      <c r="B854" s="2" t="str">
        <f>IFERROR(__xludf.DUMMYFUNCTION("IF('From Order'!$A854=COLUMNS($A854:B873), LEFT(INDEX(FILTER(B$1:B853, B$1:B853&lt;&gt;""""),COUNTA(FILTER(B$1:B853, B$1:B853&lt;&gt;""""))), LEN(INDEX(FILTER(B$1:B853, B$1:B853&lt;&gt;""""),COUNTA(FILTER(B$1:B853, B$1:B853&lt;&gt;""""))))-1), IF('To Order'!$A854=COLUMNS($A854:B"&amp;"873), B853&amp;RIGHT(INDIRECT(ADDRESS(ROW(B854)-1, 'From Order'!$A854)), 1), B853))"),"JZRDCJTTCRVC")</f>
        <v>JZRDCJTTCRVC</v>
      </c>
      <c r="C854" s="2" t="str">
        <f>IFERROR(__xludf.DUMMYFUNCTION("IF('From Order'!$A854=COLUMNS($A854:C873), LEFT(INDEX(FILTER(C$1:C853, C$1:C853&lt;&gt;""""),COUNTA(FILTER(C$1:C853, C$1:C853&lt;&gt;""""))), LEN(INDEX(FILTER(C$1:C853, C$1:C853&lt;&gt;""""),COUNTA(FILTER(C$1:C853, C$1:C853&lt;&gt;""""))))-1), IF('To Order'!$A854=COLUMNS($A854:C"&amp;"873), C853&amp;RIGHT(INDIRECT(ADDRESS(ROW(C854)-1, 'From Order'!$A854)), 1), C853))"),"V")</f>
        <v>V</v>
      </c>
      <c r="D854" s="2" t="str">
        <f>IFERROR(__xludf.DUMMYFUNCTION("IF('From Order'!$A854=COLUMNS($A854:D873), LEFT(INDEX(FILTER(D$1:D853, D$1:D853&lt;&gt;""""),COUNTA(FILTER(D$1:D853, D$1:D853&lt;&gt;""""))), LEN(INDEX(FILTER(D$1:D853, D$1:D853&lt;&gt;""""),COUNTA(FILTER(D$1:D853, D$1:D853&lt;&gt;""""))))-1), IF('To Order'!$A854=COLUMNS($A854:D"&amp;"873), D853&amp;RIGHT(INDIRECT(ADDRESS(ROW(D854)-1, 'From Order'!$A854)), 1), D853))"),"BFMHZBSGDBDT")</f>
        <v>BFMHZBSGDBDT</v>
      </c>
      <c r="E854" s="2" t="str">
        <f>IFERROR(__xludf.DUMMYFUNCTION("IF('From Order'!$A854=COLUMNS($A854:E873), LEFT(INDEX(FILTER(E$1:E853, E$1:E853&lt;&gt;""""),COUNTA(FILTER(E$1:E853, E$1:E853&lt;&gt;""""))), LEN(INDEX(FILTER(E$1:E853, E$1:E853&lt;&gt;""""),COUNTA(FILTER(E$1:E853, E$1:E853&lt;&gt;""""))))-1), IF('To Order'!$A854=COLUMNS($A854:E"&amp;"873), E853&amp;RIGHT(INDIRECT(ADDRESS(ROW(E854)-1, 'From Order'!$A854)), 1), E853))"),"PVJ")</f>
        <v>PVJ</v>
      </c>
      <c r="F854" s="2" t="str">
        <f>IFERROR(__xludf.DUMMYFUNCTION("IF('From Order'!$A854=COLUMNS($A854:F873), LEFT(INDEX(FILTER(F$1:F853, F$1:F853&lt;&gt;""""),COUNTA(FILTER(F$1:F853, F$1:F853&lt;&gt;""""))), LEN(INDEX(FILTER(F$1:F853, F$1:F853&lt;&gt;""""),COUNTA(FILTER(F$1:F853, F$1:F853&lt;&gt;""""))))-1), IF('To Order'!$A854=COLUMNS($A854:F"&amp;"873), F853&amp;RIGHT(INDIRECT(ADDRESS(ROW(F854)-1, 'From Order'!$A854)), 1), F853))"),"FSLTTWRD")</f>
        <v>FSLTTWRD</v>
      </c>
      <c r="G854" s="2" t="str">
        <f>IFERROR(__xludf.DUMMYFUNCTION("IF('From Order'!$A854=COLUMNS($A854:G873), LEFT(INDEX(FILTER(G$1:G853, G$1:G853&lt;&gt;""""),COUNTA(FILTER(G$1:G853, G$1:G853&lt;&gt;""""))), LEN(INDEX(FILTER(G$1:G853, G$1:G853&lt;&gt;""""),COUNTA(FILTER(G$1:G853, G$1:G853&lt;&gt;""""))))-1), IF('To Order'!$A854=COLUMNS($A854:G"&amp;"873), G853&amp;RIGHT(INDIRECT(ADDRESS(ROW(G854)-1, 'From Order'!$A854)), 1), G853))"),"DTRLRQPDSSGHWQPB")</f>
        <v>DTRLRQPDSSGHWQPB</v>
      </c>
      <c r="H854" s="2" t="str">
        <f>IFERROR(__xludf.DUMMYFUNCTION("IF('From Order'!$A854=COLUMNS($A854:H873), LEFT(INDEX(FILTER(H$1:H853, H$1:H853&lt;&gt;""""),COUNTA(FILTER(H$1:H853, H$1:H853&lt;&gt;""""))), LEN(INDEX(FILTER(H$1:H853, H$1:H853&lt;&gt;""""),COUNTA(FILTER(H$1:H853, H$1:H853&lt;&gt;""""))))-1), IF('To Order'!$A854=COLUMNS($A854:H"&amp;"873), H853&amp;RIGHT(INDIRECT(ADDRESS(ROW(H854)-1, 'From Order'!$A854)), 1), H853))"),"MZM")</f>
        <v>MZM</v>
      </c>
      <c r="I854" s="2" t="str">
        <f>IFERROR(__xludf.DUMMYFUNCTION("IF('From Order'!$A854=COLUMNS($A854:I873), LEFT(INDEX(FILTER(I$1:I853, I$1:I853&lt;&gt;""""),COUNTA(FILTER(I$1:I853, I$1:I853&lt;&gt;""""))), LEN(INDEX(FILTER(I$1:I853, I$1:I853&lt;&gt;""""),COUNTA(FILTER(I$1:I853, I$1:I853&lt;&gt;""""))))-1), IF('To Order'!$A854=COLUMNS($A854:I"&amp;"873), I853&amp;RIGHT(INDIRECT(ADDRESS(ROW(I854)-1, 'From Order'!$A854)), 1), I853))"),"L")</f>
        <v>L</v>
      </c>
    </row>
    <row r="855">
      <c r="A855" s="2" t="str">
        <f>IFERROR(__xludf.DUMMYFUNCTION("IF('From Order'!$A855=COLUMNS($A855:A874), LEFT(INDEX(FILTER(A$1:A854, A$1:A854&lt;&gt;""""),COUNTA(FILTER(A$1:A854, A$1:A854&lt;&gt;""""))), LEN(INDEX(FILTER(A$1:A854, A$1:A854&lt;&gt;""""),COUNTA(FILTER(A$1:A854, A$1:A854&lt;&gt;""""))))-1), IF('To Order'!$A855=COLUMNS($A855:A"&amp;"874), A854&amp;RIGHT(INDIRECT(ADDRESS(ROW(A855)-1, 'From Order'!$A855)), 1), A854))"),"")</f>
        <v/>
      </c>
      <c r="B855" s="2" t="str">
        <f>IFERROR(__xludf.DUMMYFUNCTION("IF('From Order'!$A855=COLUMNS($A855:B874), LEFT(INDEX(FILTER(B$1:B854, B$1:B854&lt;&gt;""""),COUNTA(FILTER(B$1:B854, B$1:B854&lt;&gt;""""))), LEN(INDEX(FILTER(B$1:B854, B$1:B854&lt;&gt;""""),COUNTA(FILTER(B$1:B854, B$1:B854&lt;&gt;""""))))-1), IF('To Order'!$A855=COLUMNS($A855:B"&amp;"874), B854&amp;RIGHT(INDIRECT(ADDRESS(ROW(B855)-1, 'From Order'!$A855)), 1), B854))"),"JZRDCJTTCRVCJ")</f>
        <v>JZRDCJTTCRVCJ</v>
      </c>
      <c r="C855" s="2" t="str">
        <f>IFERROR(__xludf.DUMMYFUNCTION("IF('From Order'!$A855=COLUMNS($A855:C874), LEFT(INDEX(FILTER(C$1:C854, C$1:C854&lt;&gt;""""),COUNTA(FILTER(C$1:C854, C$1:C854&lt;&gt;""""))), LEN(INDEX(FILTER(C$1:C854, C$1:C854&lt;&gt;""""),COUNTA(FILTER(C$1:C854, C$1:C854&lt;&gt;""""))))-1), IF('To Order'!$A855=COLUMNS($A855:C"&amp;"874), C854&amp;RIGHT(INDIRECT(ADDRESS(ROW(C855)-1, 'From Order'!$A855)), 1), C854))"),"V")</f>
        <v>V</v>
      </c>
      <c r="D855" s="2" t="str">
        <f>IFERROR(__xludf.DUMMYFUNCTION("IF('From Order'!$A855=COLUMNS($A855:D874), LEFT(INDEX(FILTER(D$1:D854, D$1:D854&lt;&gt;""""),COUNTA(FILTER(D$1:D854, D$1:D854&lt;&gt;""""))), LEN(INDEX(FILTER(D$1:D854, D$1:D854&lt;&gt;""""),COUNTA(FILTER(D$1:D854, D$1:D854&lt;&gt;""""))))-1), IF('To Order'!$A855=COLUMNS($A855:D"&amp;"874), D854&amp;RIGHT(INDIRECT(ADDRESS(ROW(D855)-1, 'From Order'!$A855)), 1), D854))"),"BFMHZBSGDBDT")</f>
        <v>BFMHZBSGDBDT</v>
      </c>
      <c r="E855" s="2" t="str">
        <f>IFERROR(__xludf.DUMMYFUNCTION("IF('From Order'!$A855=COLUMNS($A855:E874), LEFT(INDEX(FILTER(E$1:E854, E$1:E854&lt;&gt;""""),COUNTA(FILTER(E$1:E854, E$1:E854&lt;&gt;""""))), LEN(INDEX(FILTER(E$1:E854, E$1:E854&lt;&gt;""""),COUNTA(FILTER(E$1:E854, E$1:E854&lt;&gt;""""))))-1), IF('To Order'!$A855=COLUMNS($A855:E"&amp;"874), E854&amp;RIGHT(INDIRECT(ADDRESS(ROW(E855)-1, 'From Order'!$A855)), 1), E854))"),"PV")</f>
        <v>PV</v>
      </c>
      <c r="F855" s="2" t="str">
        <f>IFERROR(__xludf.DUMMYFUNCTION("IF('From Order'!$A855=COLUMNS($A855:F874), LEFT(INDEX(FILTER(F$1:F854, F$1:F854&lt;&gt;""""),COUNTA(FILTER(F$1:F854, F$1:F854&lt;&gt;""""))), LEN(INDEX(FILTER(F$1:F854, F$1:F854&lt;&gt;""""),COUNTA(FILTER(F$1:F854, F$1:F854&lt;&gt;""""))))-1), IF('To Order'!$A855=COLUMNS($A855:F"&amp;"874), F854&amp;RIGHT(INDIRECT(ADDRESS(ROW(F855)-1, 'From Order'!$A855)), 1), F854))"),"FSLTTWRD")</f>
        <v>FSLTTWRD</v>
      </c>
      <c r="G855" s="2" t="str">
        <f>IFERROR(__xludf.DUMMYFUNCTION("IF('From Order'!$A855=COLUMNS($A855:G874), LEFT(INDEX(FILTER(G$1:G854, G$1:G854&lt;&gt;""""),COUNTA(FILTER(G$1:G854, G$1:G854&lt;&gt;""""))), LEN(INDEX(FILTER(G$1:G854, G$1:G854&lt;&gt;""""),COUNTA(FILTER(G$1:G854, G$1:G854&lt;&gt;""""))))-1), IF('To Order'!$A855=COLUMNS($A855:G"&amp;"874), G854&amp;RIGHT(INDIRECT(ADDRESS(ROW(G855)-1, 'From Order'!$A855)), 1), G854))"),"DTRLRQPDSSGHWQPB")</f>
        <v>DTRLRQPDSSGHWQPB</v>
      </c>
      <c r="H855" s="2" t="str">
        <f>IFERROR(__xludf.DUMMYFUNCTION("IF('From Order'!$A855=COLUMNS($A855:H874), LEFT(INDEX(FILTER(H$1:H854, H$1:H854&lt;&gt;""""),COUNTA(FILTER(H$1:H854, H$1:H854&lt;&gt;""""))), LEN(INDEX(FILTER(H$1:H854, H$1:H854&lt;&gt;""""),COUNTA(FILTER(H$1:H854, H$1:H854&lt;&gt;""""))))-1), IF('To Order'!$A855=COLUMNS($A855:H"&amp;"874), H854&amp;RIGHT(INDIRECT(ADDRESS(ROW(H855)-1, 'From Order'!$A855)), 1), H854))"),"MZM")</f>
        <v>MZM</v>
      </c>
      <c r="I855" s="2" t="str">
        <f>IFERROR(__xludf.DUMMYFUNCTION("IF('From Order'!$A855=COLUMNS($A855:I874), LEFT(INDEX(FILTER(I$1:I854, I$1:I854&lt;&gt;""""),COUNTA(FILTER(I$1:I854, I$1:I854&lt;&gt;""""))), LEN(INDEX(FILTER(I$1:I854, I$1:I854&lt;&gt;""""),COUNTA(FILTER(I$1:I854, I$1:I854&lt;&gt;""""))))-1), IF('To Order'!$A855=COLUMNS($A855:I"&amp;"874), I854&amp;RIGHT(INDIRECT(ADDRESS(ROW(I855)-1, 'From Order'!$A855)), 1), I854))"),"L")</f>
        <v>L</v>
      </c>
    </row>
    <row r="856">
      <c r="A856" s="2" t="str">
        <f>IFERROR(__xludf.DUMMYFUNCTION("IF('From Order'!$A856=COLUMNS($A856:A875), LEFT(INDEX(FILTER(A$1:A855, A$1:A855&lt;&gt;""""),COUNTA(FILTER(A$1:A855, A$1:A855&lt;&gt;""""))), LEN(INDEX(FILTER(A$1:A855, A$1:A855&lt;&gt;""""),COUNTA(FILTER(A$1:A855, A$1:A855&lt;&gt;""""))))-1), IF('To Order'!$A856=COLUMNS($A856:A"&amp;"875), A855&amp;RIGHT(INDIRECT(ADDRESS(ROW(A856)-1, 'From Order'!$A856)), 1), A855))"),"")</f>
        <v/>
      </c>
      <c r="B856" s="2" t="str">
        <f>IFERROR(__xludf.DUMMYFUNCTION("IF('From Order'!$A856=COLUMNS($A856:B875), LEFT(INDEX(FILTER(B$1:B855, B$1:B855&lt;&gt;""""),COUNTA(FILTER(B$1:B855, B$1:B855&lt;&gt;""""))), LEN(INDEX(FILTER(B$1:B855, B$1:B855&lt;&gt;""""),COUNTA(FILTER(B$1:B855, B$1:B855&lt;&gt;""""))))-1), IF('To Order'!$A856=COLUMNS($A856:B"&amp;"875), B855&amp;RIGHT(INDIRECT(ADDRESS(ROW(B856)-1, 'From Order'!$A856)), 1), B855))"),"JZRDCJTTCRVCJV")</f>
        <v>JZRDCJTTCRVCJV</v>
      </c>
      <c r="C856" s="2" t="str">
        <f>IFERROR(__xludf.DUMMYFUNCTION("IF('From Order'!$A856=COLUMNS($A856:C875), LEFT(INDEX(FILTER(C$1:C855, C$1:C855&lt;&gt;""""),COUNTA(FILTER(C$1:C855, C$1:C855&lt;&gt;""""))), LEN(INDEX(FILTER(C$1:C855, C$1:C855&lt;&gt;""""),COUNTA(FILTER(C$1:C855, C$1:C855&lt;&gt;""""))))-1), IF('To Order'!$A856=COLUMNS($A856:C"&amp;"875), C855&amp;RIGHT(INDIRECT(ADDRESS(ROW(C856)-1, 'From Order'!$A856)), 1), C855))"),"V")</f>
        <v>V</v>
      </c>
      <c r="D856" s="2" t="str">
        <f>IFERROR(__xludf.DUMMYFUNCTION("IF('From Order'!$A856=COLUMNS($A856:D875), LEFT(INDEX(FILTER(D$1:D855, D$1:D855&lt;&gt;""""),COUNTA(FILTER(D$1:D855, D$1:D855&lt;&gt;""""))), LEN(INDEX(FILTER(D$1:D855, D$1:D855&lt;&gt;""""),COUNTA(FILTER(D$1:D855, D$1:D855&lt;&gt;""""))))-1), IF('To Order'!$A856=COLUMNS($A856:D"&amp;"875), D855&amp;RIGHT(INDIRECT(ADDRESS(ROW(D856)-1, 'From Order'!$A856)), 1), D855))"),"BFMHZBSGDBDT")</f>
        <v>BFMHZBSGDBDT</v>
      </c>
      <c r="E856" s="2" t="str">
        <f>IFERROR(__xludf.DUMMYFUNCTION("IF('From Order'!$A856=COLUMNS($A856:E875), LEFT(INDEX(FILTER(E$1:E855, E$1:E855&lt;&gt;""""),COUNTA(FILTER(E$1:E855, E$1:E855&lt;&gt;""""))), LEN(INDEX(FILTER(E$1:E855, E$1:E855&lt;&gt;""""),COUNTA(FILTER(E$1:E855, E$1:E855&lt;&gt;""""))))-1), IF('To Order'!$A856=COLUMNS($A856:E"&amp;"875), E855&amp;RIGHT(INDIRECT(ADDRESS(ROW(E856)-1, 'From Order'!$A856)), 1), E855))"),"P")</f>
        <v>P</v>
      </c>
      <c r="F856" s="2" t="str">
        <f>IFERROR(__xludf.DUMMYFUNCTION("IF('From Order'!$A856=COLUMNS($A856:F875), LEFT(INDEX(FILTER(F$1:F855, F$1:F855&lt;&gt;""""),COUNTA(FILTER(F$1:F855, F$1:F855&lt;&gt;""""))), LEN(INDEX(FILTER(F$1:F855, F$1:F855&lt;&gt;""""),COUNTA(FILTER(F$1:F855, F$1:F855&lt;&gt;""""))))-1), IF('To Order'!$A856=COLUMNS($A856:F"&amp;"875), F855&amp;RIGHT(INDIRECT(ADDRESS(ROW(F856)-1, 'From Order'!$A856)), 1), F855))"),"FSLTTWRD")</f>
        <v>FSLTTWRD</v>
      </c>
      <c r="G856" s="2" t="str">
        <f>IFERROR(__xludf.DUMMYFUNCTION("IF('From Order'!$A856=COLUMNS($A856:G875), LEFT(INDEX(FILTER(G$1:G855, G$1:G855&lt;&gt;""""),COUNTA(FILTER(G$1:G855, G$1:G855&lt;&gt;""""))), LEN(INDEX(FILTER(G$1:G855, G$1:G855&lt;&gt;""""),COUNTA(FILTER(G$1:G855, G$1:G855&lt;&gt;""""))))-1), IF('To Order'!$A856=COLUMNS($A856:G"&amp;"875), G855&amp;RIGHT(INDIRECT(ADDRESS(ROW(G856)-1, 'From Order'!$A856)), 1), G855))"),"DTRLRQPDSSGHWQPB")</f>
        <v>DTRLRQPDSSGHWQPB</v>
      </c>
      <c r="H856" s="2" t="str">
        <f>IFERROR(__xludf.DUMMYFUNCTION("IF('From Order'!$A856=COLUMNS($A856:H875), LEFT(INDEX(FILTER(H$1:H855, H$1:H855&lt;&gt;""""),COUNTA(FILTER(H$1:H855, H$1:H855&lt;&gt;""""))), LEN(INDEX(FILTER(H$1:H855, H$1:H855&lt;&gt;""""),COUNTA(FILTER(H$1:H855, H$1:H855&lt;&gt;""""))))-1), IF('To Order'!$A856=COLUMNS($A856:H"&amp;"875), H855&amp;RIGHT(INDIRECT(ADDRESS(ROW(H856)-1, 'From Order'!$A856)), 1), H855))"),"MZM")</f>
        <v>MZM</v>
      </c>
      <c r="I856" s="2" t="str">
        <f>IFERROR(__xludf.DUMMYFUNCTION("IF('From Order'!$A856=COLUMNS($A856:I875), LEFT(INDEX(FILTER(I$1:I855, I$1:I855&lt;&gt;""""),COUNTA(FILTER(I$1:I855, I$1:I855&lt;&gt;""""))), LEN(INDEX(FILTER(I$1:I855, I$1:I855&lt;&gt;""""),COUNTA(FILTER(I$1:I855, I$1:I855&lt;&gt;""""))))-1), IF('To Order'!$A856=COLUMNS($A856:I"&amp;"875), I855&amp;RIGHT(INDIRECT(ADDRESS(ROW(I856)-1, 'From Order'!$A856)), 1), I855))"),"L")</f>
        <v>L</v>
      </c>
    </row>
    <row r="857">
      <c r="A857" s="2" t="str">
        <f>IFERROR(__xludf.DUMMYFUNCTION("IF('From Order'!$A857=COLUMNS($A857:A876), LEFT(INDEX(FILTER(A$1:A856, A$1:A856&lt;&gt;""""),COUNTA(FILTER(A$1:A856, A$1:A856&lt;&gt;""""))), LEN(INDEX(FILTER(A$1:A856, A$1:A856&lt;&gt;""""),COUNTA(FILTER(A$1:A856, A$1:A856&lt;&gt;""""))))-1), IF('To Order'!$A857=COLUMNS($A857:A"&amp;"876), A856&amp;RIGHT(INDIRECT(ADDRESS(ROW(A857)-1, 'From Order'!$A857)), 1), A856))"),"")</f>
        <v/>
      </c>
      <c r="B857" s="2" t="str">
        <f>IFERROR(__xludf.DUMMYFUNCTION("IF('From Order'!$A857=COLUMNS($A857:B876), LEFT(INDEX(FILTER(B$1:B856, B$1:B856&lt;&gt;""""),COUNTA(FILTER(B$1:B856, B$1:B856&lt;&gt;""""))), LEN(INDEX(FILTER(B$1:B856, B$1:B856&lt;&gt;""""),COUNTA(FILTER(B$1:B856, B$1:B856&lt;&gt;""""))))-1), IF('To Order'!$A857=COLUMNS($A857:B"&amp;"876), B856&amp;RIGHT(INDIRECT(ADDRESS(ROW(B857)-1, 'From Order'!$A857)), 1), B856))"),"JZRDCJTTCRVCJVP")</f>
        <v>JZRDCJTTCRVCJVP</v>
      </c>
      <c r="C857" s="2" t="str">
        <f>IFERROR(__xludf.DUMMYFUNCTION("IF('From Order'!$A857=COLUMNS($A857:C876), LEFT(INDEX(FILTER(C$1:C856, C$1:C856&lt;&gt;""""),COUNTA(FILTER(C$1:C856, C$1:C856&lt;&gt;""""))), LEN(INDEX(FILTER(C$1:C856, C$1:C856&lt;&gt;""""),COUNTA(FILTER(C$1:C856, C$1:C856&lt;&gt;""""))))-1), IF('To Order'!$A857=COLUMNS($A857:C"&amp;"876), C856&amp;RIGHT(INDIRECT(ADDRESS(ROW(C857)-1, 'From Order'!$A857)), 1), C856))"),"V")</f>
        <v>V</v>
      </c>
      <c r="D857" s="2" t="str">
        <f>IFERROR(__xludf.DUMMYFUNCTION("IF('From Order'!$A857=COLUMNS($A857:D876), LEFT(INDEX(FILTER(D$1:D856, D$1:D856&lt;&gt;""""),COUNTA(FILTER(D$1:D856, D$1:D856&lt;&gt;""""))), LEN(INDEX(FILTER(D$1:D856, D$1:D856&lt;&gt;""""),COUNTA(FILTER(D$1:D856, D$1:D856&lt;&gt;""""))))-1), IF('To Order'!$A857=COLUMNS($A857:D"&amp;"876), D856&amp;RIGHT(INDIRECT(ADDRESS(ROW(D857)-1, 'From Order'!$A857)), 1), D856))"),"BFMHZBSGDBDT")</f>
        <v>BFMHZBSGDBDT</v>
      </c>
      <c r="E857" s="2" t="str">
        <f>IFERROR(__xludf.DUMMYFUNCTION("IF('From Order'!$A857=COLUMNS($A857:E876), LEFT(INDEX(FILTER(E$1:E856, E$1:E856&lt;&gt;""""),COUNTA(FILTER(E$1:E856, E$1:E856&lt;&gt;""""))), LEN(INDEX(FILTER(E$1:E856, E$1:E856&lt;&gt;""""),COUNTA(FILTER(E$1:E856, E$1:E856&lt;&gt;""""))))-1), IF('To Order'!$A857=COLUMNS($A857:E"&amp;"876), E856&amp;RIGHT(INDIRECT(ADDRESS(ROW(E857)-1, 'From Order'!$A857)), 1), E856))"),"")</f>
        <v/>
      </c>
      <c r="F857" s="2" t="str">
        <f>IFERROR(__xludf.DUMMYFUNCTION("IF('From Order'!$A857=COLUMNS($A857:F876), LEFT(INDEX(FILTER(F$1:F856, F$1:F856&lt;&gt;""""),COUNTA(FILTER(F$1:F856, F$1:F856&lt;&gt;""""))), LEN(INDEX(FILTER(F$1:F856, F$1:F856&lt;&gt;""""),COUNTA(FILTER(F$1:F856, F$1:F856&lt;&gt;""""))))-1), IF('To Order'!$A857=COLUMNS($A857:F"&amp;"876), F856&amp;RIGHT(INDIRECT(ADDRESS(ROW(F857)-1, 'From Order'!$A857)), 1), F856))"),"FSLTTWRD")</f>
        <v>FSLTTWRD</v>
      </c>
      <c r="G857" s="2" t="str">
        <f>IFERROR(__xludf.DUMMYFUNCTION("IF('From Order'!$A857=COLUMNS($A857:G876), LEFT(INDEX(FILTER(G$1:G856, G$1:G856&lt;&gt;""""),COUNTA(FILTER(G$1:G856, G$1:G856&lt;&gt;""""))), LEN(INDEX(FILTER(G$1:G856, G$1:G856&lt;&gt;""""),COUNTA(FILTER(G$1:G856, G$1:G856&lt;&gt;""""))))-1), IF('To Order'!$A857=COLUMNS($A857:G"&amp;"876), G856&amp;RIGHT(INDIRECT(ADDRESS(ROW(G857)-1, 'From Order'!$A857)), 1), G856))"),"DTRLRQPDSSGHWQPB")</f>
        <v>DTRLRQPDSSGHWQPB</v>
      </c>
      <c r="H857" s="2" t="str">
        <f>IFERROR(__xludf.DUMMYFUNCTION("IF('From Order'!$A857=COLUMNS($A857:H876), LEFT(INDEX(FILTER(H$1:H856, H$1:H856&lt;&gt;""""),COUNTA(FILTER(H$1:H856, H$1:H856&lt;&gt;""""))), LEN(INDEX(FILTER(H$1:H856, H$1:H856&lt;&gt;""""),COUNTA(FILTER(H$1:H856, H$1:H856&lt;&gt;""""))))-1), IF('To Order'!$A857=COLUMNS($A857:H"&amp;"876), H856&amp;RIGHT(INDIRECT(ADDRESS(ROW(H857)-1, 'From Order'!$A857)), 1), H856))"),"MZM")</f>
        <v>MZM</v>
      </c>
      <c r="I857" s="2" t="str">
        <f>IFERROR(__xludf.DUMMYFUNCTION("IF('From Order'!$A857=COLUMNS($A857:I876), LEFT(INDEX(FILTER(I$1:I856, I$1:I856&lt;&gt;""""),COUNTA(FILTER(I$1:I856, I$1:I856&lt;&gt;""""))), LEN(INDEX(FILTER(I$1:I856, I$1:I856&lt;&gt;""""),COUNTA(FILTER(I$1:I856, I$1:I856&lt;&gt;""""))))-1), IF('To Order'!$A857=COLUMNS($A857:I"&amp;"876), I856&amp;RIGHT(INDIRECT(ADDRESS(ROW(I857)-1, 'From Order'!$A857)), 1), I856))"),"L")</f>
        <v>L</v>
      </c>
    </row>
    <row r="858">
      <c r="A858" s="2" t="str">
        <f>IFERROR(__xludf.DUMMYFUNCTION("IF('From Order'!$A858=COLUMNS($A858:A877), LEFT(INDEX(FILTER(A$1:A857, A$1:A857&lt;&gt;""""),COUNTA(FILTER(A$1:A857, A$1:A857&lt;&gt;""""))), LEN(INDEX(FILTER(A$1:A857, A$1:A857&lt;&gt;""""),COUNTA(FILTER(A$1:A857, A$1:A857&lt;&gt;""""))))-1), IF('To Order'!$A858=COLUMNS($A858:A"&amp;"877), A857&amp;RIGHT(INDIRECT(ADDRESS(ROW(A858)-1, 'From Order'!$A858)), 1), A857))"),"")</f>
        <v/>
      </c>
      <c r="B858" s="2" t="str">
        <f>IFERROR(__xludf.DUMMYFUNCTION("IF('From Order'!$A858=COLUMNS($A858:B877), LEFT(INDEX(FILTER(B$1:B857, B$1:B857&lt;&gt;""""),COUNTA(FILTER(B$1:B857, B$1:B857&lt;&gt;""""))), LEN(INDEX(FILTER(B$1:B857, B$1:B857&lt;&gt;""""),COUNTA(FILTER(B$1:B857, B$1:B857&lt;&gt;""""))))-1), IF('To Order'!$A858=COLUMNS($A858:B"&amp;"877), B857&amp;RIGHT(INDIRECT(ADDRESS(ROW(B858)-1, 'From Order'!$A858)), 1), B857))"),"JZRDCJTTCRVCJVP")</f>
        <v>JZRDCJTTCRVCJVP</v>
      </c>
      <c r="C858" s="2" t="str">
        <f>IFERROR(__xludf.DUMMYFUNCTION("IF('From Order'!$A858=COLUMNS($A858:C877), LEFT(INDEX(FILTER(C$1:C857, C$1:C857&lt;&gt;""""),COUNTA(FILTER(C$1:C857, C$1:C857&lt;&gt;""""))), LEN(INDEX(FILTER(C$1:C857, C$1:C857&lt;&gt;""""),COUNTA(FILTER(C$1:C857, C$1:C857&lt;&gt;""""))))-1), IF('To Order'!$A858=COLUMNS($A858:C"&amp;"877), C857&amp;RIGHT(INDIRECT(ADDRESS(ROW(C858)-1, 'From Order'!$A858)), 1), C857))"),"V")</f>
        <v>V</v>
      </c>
      <c r="D858" s="2" t="str">
        <f>IFERROR(__xludf.DUMMYFUNCTION("IF('From Order'!$A858=COLUMNS($A858:D877), LEFT(INDEX(FILTER(D$1:D857, D$1:D857&lt;&gt;""""),COUNTA(FILTER(D$1:D857, D$1:D857&lt;&gt;""""))), LEN(INDEX(FILTER(D$1:D857, D$1:D857&lt;&gt;""""),COUNTA(FILTER(D$1:D857, D$1:D857&lt;&gt;""""))))-1), IF('To Order'!$A858=COLUMNS($A858:D"&amp;"877), D857&amp;RIGHT(INDIRECT(ADDRESS(ROW(D858)-1, 'From Order'!$A858)), 1), D857))"),"BFMHZBSGDBD")</f>
        <v>BFMHZBSGDBD</v>
      </c>
      <c r="E858" s="2" t="str">
        <f>IFERROR(__xludf.DUMMYFUNCTION("IF('From Order'!$A858=COLUMNS($A858:E877), LEFT(INDEX(FILTER(E$1:E857, E$1:E857&lt;&gt;""""),COUNTA(FILTER(E$1:E857, E$1:E857&lt;&gt;""""))), LEN(INDEX(FILTER(E$1:E857, E$1:E857&lt;&gt;""""),COUNTA(FILTER(E$1:E857, E$1:E857&lt;&gt;""""))))-1), IF('To Order'!$A858=COLUMNS($A858:E"&amp;"877), E857&amp;RIGHT(INDIRECT(ADDRESS(ROW(E858)-1, 'From Order'!$A858)), 1), E857))"),"")</f>
        <v/>
      </c>
      <c r="F858" s="2" t="str">
        <f>IFERROR(__xludf.DUMMYFUNCTION("IF('From Order'!$A858=COLUMNS($A858:F877), LEFT(INDEX(FILTER(F$1:F857, F$1:F857&lt;&gt;""""),COUNTA(FILTER(F$1:F857, F$1:F857&lt;&gt;""""))), LEN(INDEX(FILTER(F$1:F857, F$1:F857&lt;&gt;""""),COUNTA(FILTER(F$1:F857, F$1:F857&lt;&gt;""""))))-1), IF('To Order'!$A858=COLUMNS($A858:F"&amp;"877), F857&amp;RIGHT(INDIRECT(ADDRESS(ROW(F858)-1, 'From Order'!$A858)), 1), F857))"),"FSLTTWRDT")</f>
        <v>FSLTTWRDT</v>
      </c>
      <c r="G858" s="2" t="str">
        <f>IFERROR(__xludf.DUMMYFUNCTION("IF('From Order'!$A858=COLUMNS($A858:G877), LEFT(INDEX(FILTER(G$1:G857, G$1:G857&lt;&gt;""""),COUNTA(FILTER(G$1:G857, G$1:G857&lt;&gt;""""))), LEN(INDEX(FILTER(G$1:G857, G$1:G857&lt;&gt;""""),COUNTA(FILTER(G$1:G857, G$1:G857&lt;&gt;""""))))-1), IF('To Order'!$A858=COLUMNS($A858:G"&amp;"877), G857&amp;RIGHT(INDIRECT(ADDRESS(ROW(G858)-1, 'From Order'!$A858)), 1), G857))"),"DTRLRQPDSSGHWQPB")</f>
        <v>DTRLRQPDSSGHWQPB</v>
      </c>
      <c r="H858" s="2" t="str">
        <f>IFERROR(__xludf.DUMMYFUNCTION("IF('From Order'!$A858=COLUMNS($A858:H877), LEFT(INDEX(FILTER(H$1:H857, H$1:H857&lt;&gt;""""),COUNTA(FILTER(H$1:H857, H$1:H857&lt;&gt;""""))), LEN(INDEX(FILTER(H$1:H857, H$1:H857&lt;&gt;""""),COUNTA(FILTER(H$1:H857, H$1:H857&lt;&gt;""""))))-1), IF('To Order'!$A858=COLUMNS($A858:H"&amp;"877), H857&amp;RIGHT(INDIRECT(ADDRESS(ROW(H858)-1, 'From Order'!$A858)), 1), H857))"),"MZM")</f>
        <v>MZM</v>
      </c>
      <c r="I858" s="2" t="str">
        <f>IFERROR(__xludf.DUMMYFUNCTION("IF('From Order'!$A858=COLUMNS($A858:I877), LEFT(INDEX(FILTER(I$1:I857, I$1:I857&lt;&gt;""""),COUNTA(FILTER(I$1:I857, I$1:I857&lt;&gt;""""))), LEN(INDEX(FILTER(I$1:I857, I$1:I857&lt;&gt;""""),COUNTA(FILTER(I$1:I857, I$1:I857&lt;&gt;""""))))-1), IF('To Order'!$A858=COLUMNS($A858:I"&amp;"877), I857&amp;RIGHT(INDIRECT(ADDRESS(ROW(I858)-1, 'From Order'!$A858)), 1), I857))"),"L")</f>
        <v>L</v>
      </c>
    </row>
    <row r="859">
      <c r="A859" s="2" t="str">
        <f>IFERROR(__xludf.DUMMYFUNCTION("IF('From Order'!$A859=COLUMNS($A859:A878), LEFT(INDEX(FILTER(A$1:A858, A$1:A858&lt;&gt;""""),COUNTA(FILTER(A$1:A858, A$1:A858&lt;&gt;""""))), LEN(INDEX(FILTER(A$1:A858, A$1:A858&lt;&gt;""""),COUNTA(FILTER(A$1:A858, A$1:A858&lt;&gt;""""))))-1), IF('To Order'!$A859=COLUMNS($A859:A"&amp;"878), A858&amp;RIGHT(INDIRECT(ADDRESS(ROW(A859)-1, 'From Order'!$A859)), 1), A858))"),"")</f>
        <v/>
      </c>
      <c r="B859" s="2" t="str">
        <f>IFERROR(__xludf.DUMMYFUNCTION("IF('From Order'!$A859=COLUMNS($A859:B878), LEFT(INDEX(FILTER(B$1:B858, B$1:B858&lt;&gt;""""),COUNTA(FILTER(B$1:B858, B$1:B858&lt;&gt;""""))), LEN(INDEX(FILTER(B$1:B858, B$1:B858&lt;&gt;""""),COUNTA(FILTER(B$1:B858, B$1:B858&lt;&gt;""""))))-1), IF('To Order'!$A859=COLUMNS($A859:B"&amp;"878), B858&amp;RIGHT(INDIRECT(ADDRESS(ROW(B859)-1, 'From Order'!$A859)), 1), B858))"),"JZRDCJTTCRVCJVP")</f>
        <v>JZRDCJTTCRVCJVP</v>
      </c>
      <c r="C859" s="2" t="str">
        <f>IFERROR(__xludf.DUMMYFUNCTION("IF('From Order'!$A859=COLUMNS($A859:C878), LEFT(INDEX(FILTER(C$1:C858, C$1:C858&lt;&gt;""""),COUNTA(FILTER(C$1:C858, C$1:C858&lt;&gt;""""))), LEN(INDEX(FILTER(C$1:C858, C$1:C858&lt;&gt;""""),COUNTA(FILTER(C$1:C858, C$1:C858&lt;&gt;""""))))-1), IF('To Order'!$A859=COLUMNS($A859:C"&amp;"878), C858&amp;RIGHT(INDIRECT(ADDRESS(ROW(C859)-1, 'From Order'!$A859)), 1), C858))"),"V")</f>
        <v>V</v>
      </c>
      <c r="D859" s="2" t="str">
        <f>IFERROR(__xludf.DUMMYFUNCTION("IF('From Order'!$A859=COLUMNS($A859:D878), LEFT(INDEX(FILTER(D$1:D858, D$1:D858&lt;&gt;""""),COUNTA(FILTER(D$1:D858, D$1:D858&lt;&gt;""""))), LEN(INDEX(FILTER(D$1:D858, D$1:D858&lt;&gt;""""),COUNTA(FILTER(D$1:D858, D$1:D858&lt;&gt;""""))))-1), IF('To Order'!$A859=COLUMNS($A859:D"&amp;"878), D858&amp;RIGHT(INDIRECT(ADDRESS(ROW(D859)-1, 'From Order'!$A859)), 1), D858))"),"BFMHZBSGDB")</f>
        <v>BFMHZBSGDB</v>
      </c>
      <c r="E859" s="2" t="str">
        <f>IFERROR(__xludf.DUMMYFUNCTION("IF('From Order'!$A859=COLUMNS($A859:E878), LEFT(INDEX(FILTER(E$1:E858, E$1:E858&lt;&gt;""""),COUNTA(FILTER(E$1:E858, E$1:E858&lt;&gt;""""))), LEN(INDEX(FILTER(E$1:E858, E$1:E858&lt;&gt;""""),COUNTA(FILTER(E$1:E858, E$1:E858&lt;&gt;""""))))-1), IF('To Order'!$A859=COLUMNS($A859:E"&amp;"878), E858&amp;RIGHT(INDIRECT(ADDRESS(ROW(E859)-1, 'From Order'!$A859)), 1), E858))"),"")</f>
        <v/>
      </c>
      <c r="F859" s="2" t="str">
        <f>IFERROR(__xludf.DUMMYFUNCTION("IF('From Order'!$A859=COLUMNS($A859:F878), LEFT(INDEX(FILTER(F$1:F858, F$1:F858&lt;&gt;""""),COUNTA(FILTER(F$1:F858, F$1:F858&lt;&gt;""""))), LEN(INDEX(FILTER(F$1:F858, F$1:F858&lt;&gt;""""),COUNTA(FILTER(F$1:F858, F$1:F858&lt;&gt;""""))))-1), IF('To Order'!$A859=COLUMNS($A859:F"&amp;"878), F858&amp;RIGHT(INDIRECT(ADDRESS(ROW(F859)-1, 'From Order'!$A859)), 1), F858))"),"FSLTTWRDTD")</f>
        <v>FSLTTWRDTD</v>
      </c>
      <c r="G859" s="2" t="str">
        <f>IFERROR(__xludf.DUMMYFUNCTION("IF('From Order'!$A859=COLUMNS($A859:G878), LEFT(INDEX(FILTER(G$1:G858, G$1:G858&lt;&gt;""""),COUNTA(FILTER(G$1:G858, G$1:G858&lt;&gt;""""))), LEN(INDEX(FILTER(G$1:G858, G$1:G858&lt;&gt;""""),COUNTA(FILTER(G$1:G858, G$1:G858&lt;&gt;""""))))-1), IF('To Order'!$A859=COLUMNS($A859:G"&amp;"878), G858&amp;RIGHT(INDIRECT(ADDRESS(ROW(G859)-1, 'From Order'!$A859)), 1), G858))"),"DTRLRQPDSSGHWQPB")</f>
        <v>DTRLRQPDSSGHWQPB</v>
      </c>
      <c r="H859" s="2" t="str">
        <f>IFERROR(__xludf.DUMMYFUNCTION("IF('From Order'!$A859=COLUMNS($A859:H878), LEFT(INDEX(FILTER(H$1:H858, H$1:H858&lt;&gt;""""),COUNTA(FILTER(H$1:H858, H$1:H858&lt;&gt;""""))), LEN(INDEX(FILTER(H$1:H858, H$1:H858&lt;&gt;""""),COUNTA(FILTER(H$1:H858, H$1:H858&lt;&gt;""""))))-1), IF('To Order'!$A859=COLUMNS($A859:H"&amp;"878), H858&amp;RIGHT(INDIRECT(ADDRESS(ROW(H859)-1, 'From Order'!$A859)), 1), H858))"),"MZM")</f>
        <v>MZM</v>
      </c>
      <c r="I859" s="2" t="str">
        <f>IFERROR(__xludf.DUMMYFUNCTION("IF('From Order'!$A859=COLUMNS($A859:I878), LEFT(INDEX(FILTER(I$1:I858, I$1:I858&lt;&gt;""""),COUNTA(FILTER(I$1:I858, I$1:I858&lt;&gt;""""))), LEN(INDEX(FILTER(I$1:I858, I$1:I858&lt;&gt;""""),COUNTA(FILTER(I$1:I858, I$1:I858&lt;&gt;""""))))-1), IF('To Order'!$A859=COLUMNS($A859:I"&amp;"878), I858&amp;RIGHT(INDIRECT(ADDRESS(ROW(I859)-1, 'From Order'!$A859)), 1), I858))"),"L")</f>
        <v>L</v>
      </c>
    </row>
    <row r="860">
      <c r="A860" s="2" t="str">
        <f>IFERROR(__xludf.DUMMYFUNCTION("IF('From Order'!$A860=COLUMNS($A860:A879), LEFT(INDEX(FILTER(A$1:A859, A$1:A859&lt;&gt;""""),COUNTA(FILTER(A$1:A859, A$1:A859&lt;&gt;""""))), LEN(INDEX(FILTER(A$1:A859, A$1:A859&lt;&gt;""""),COUNTA(FILTER(A$1:A859, A$1:A859&lt;&gt;""""))))-1), IF('To Order'!$A860=COLUMNS($A860:A"&amp;"879), A859&amp;RIGHT(INDIRECT(ADDRESS(ROW(A860)-1, 'From Order'!$A860)), 1), A859))"),"")</f>
        <v/>
      </c>
      <c r="B860" s="2" t="str">
        <f>IFERROR(__xludf.DUMMYFUNCTION("IF('From Order'!$A860=COLUMNS($A860:B879), LEFT(INDEX(FILTER(B$1:B859, B$1:B859&lt;&gt;""""),COUNTA(FILTER(B$1:B859, B$1:B859&lt;&gt;""""))), LEN(INDEX(FILTER(B$1:B859, B$1:B859&lt;&gt;""""),COUNTA(FILTER(B$1:B859, B$1:B859&lt;&gt;""""))))-1), IF('To Order'!$A860=COLUMNS($A860:B"&amp;"879), B859&amp;RIGHT(INDIRECT(ADDRESS(ROW(B860)-1, 'From Order'!$A860)), 1), B859))"),"JZRDCJTTCRVCJVP")</f>
        <v>JZRDCJTTCRVCJVP</v>
      </c>
      <c r="C860" s="2" t="str">
        <f>IFERROR(__xludf.DUMMYFUNCTION("IF('From Order'!$A860=COLUMNS($A860:C879), LEFT(INDEX(FILTER(C$1:C859, C$1:C859&lt;&gt;""""),COUNTA(FILTER(C$1:C859, C$1:C859&lt;&gt;""""))), LEN(INDEX(FILTER(C$1:C859, C$1:C859&lt;&gt;""""),COUNTA(FILTER(C$1:C859, C$1:C859&lt;&gt;""""))))-1), IF('To Order'!$A860=COLUMNS($A860:C"&amp;"879), C859&amp;RIGHT(INDIRECT(ADDRESS(ROW(C860)-1, 'From Order'!$A860)), 1), C859))"),"V")</f>
        <v>V</v>
      </c>
      <c r="D860" s="2" t="str">
        <f>IFERROR(__xludf.DUMMYFUNCTION("IF('From Order'!$A860=COLUMNS($A860:D879), LEFT(INDEX(FILTER(D$1:D859, D$1:D859&lt;&gt;""""),COUNTA(FILTER(D$1:D859, D$1:D859&lt;&gt;""""))), LEN(INDEX(FILTER(D$1:D859, D$1:D859&lt;&gt;""""),COUNTA(FILTER(D$1:D859, D$1:D859&lt;&gt;""""))))-1), IF('To Order'!$A860=COLUMNS($A860:D"&amp;"879), D859&amp;RIGHT(INDIRECT(ADDRESS(ROW(D860)-1, 'From Order'!$A860)), 1), D859))"),"BFMHZBSGD")</f>
        <v>BFMHZBSGD</v>
      </c>
      <c r="E860" s="2" t="str">
        <f>IFERROR(__xludf.DUMMYFUNCTION("IF('From Order'!$A860=COLUMNS($A860:E879), LEFT(INDEX(FILTER(E$1:E859, E$1:E859&lt;&gt;""""),COUNTA(FILTER(E$1:E859, E$1:E859&lt;&gt;""""))), LEN(INDEX(FILTER(E$1:E859, E$1:E859&lt;&gt;""""),COUNTA(FILTER(E$1:E859, E$1:E859&lt;&gt;""""))))-1), IF('To Order'!$A860=COLUMNS($A860:E"&amp;"879), E859&amp;RIGHT(INDIRECT(ADDRESS(ROW(E860)-1, 'From Order'!$A860)), 1), E859))"),"")</f>
        <v/>
      </c>
      <c r="F860" s="2" t="str">
        <f>IFERROR(__xludf.DUMMYFUNCTION("IF('From Order'!$A860=COLUMNS($A860:F879), LEFT(INDEX(FILTER(F$1:F859, F$1:F859&lt;&gt;""""),COUNTA(FILTER(F$1:F859, F$1:F859&lt;&gt;""""))), LEN(INDEX(FILTER(F$1:F859, F$1:F859&lt;&gt;""""),COUNTA(FILTER(F$1:F859, F$1:F859&lt;&gt;""""))))-1), IF('To Order'!$A860=COLUMNS($A860:F"&amp;"879), F859&amp;RIGHT(INDIRECT(ADDRESS(ROW(F860)-1, 'From Order'!$A860)), 1), F859))"),"FSLTTWRDTDB")</f>
        <v>FSLTTWRDTDB</v>
      </c>
      <c r="G860" s="2" t="str">
        <f>IFERROR(__xludf.DUMMYFUNCTION("IF('From Order'!$A860=COLUMNS($A860:G879), LEFT(INDEX(FILTER(G$1:G859, G$1:G859&lt;&gt;""""),COUNTA(FILTER(G$1:G859, G$1:G859&lt;&gt;""""))), LEN(INDEX(FILTER(G$1:G859, G$1:G859&lt;&gt;""""),COUNTA(FILTER(G$1:G859, G$1:G859&lt;&gt;""""))))-1), IF('To Order'!$A860=COLUMNS($A860:G"&amp;"879), G859&amp;RIGHT(INDIRECT(ADDRESS(ROW(G860)-1, 'From Order'!$A860)), 1), G859))"),"DTRLRQPDSSGHWQPB")</f>
        <v>DTRLRQPDSSGHWQPB</v>
      </c>
      <c r="H860" s="2" t="str">
        <f>IFERROR(__xludf.DUMMYFUNCTION("IF('From Order'!$A860=COLUMNS($A860:H879), LEFT(INDEX(FILTER(H$1:H859, H$1:H859&lt;&gt;""""),COUNTA(FILTER(H$1:H859, H$1:H859&lt;&gt;""""))), LEN(INDEX(FILTER(H$1:H859, H$1:H859&lt;&gt;""""),COUNTA(FILTER(H$1:H859, H$1:H859&lt;&gt;""""))))-1), IF('To Order'!$A860=COLUMNS($A860:H"&amp;"879), H859&amp;RIGHT(INDIRECT(ADDRESS(ROW(H860)-1, 'From Order'!$A860)), 1), H859))"),"MZM")</f>
        <v>MZM</v>
      </c>
      <c r="I860" s="2" t="str">
        <f>IFERROR(__xludf.DUMMYFUNCTION("IF('From Order'!$A860=COLUMNS($A860:I879), LEFT(INDEX(FILTER(I$1:I859, I$1:I859&lt;&gt;""""),COUNTA(FILTER(I$1:I859, I$1:I859&lt;&gt;""""))), LEN(INDEX(FILTER(I$1:I859, I$1:I859&lt;&gt;""""),COUNTA(FILTER(I$1:I859, I$1:I859&lt;&gt;""""))))-1), IF('To Order'!$A860=COLUMNS($A860:I"&amp;"879), I859&amp;RIGHT(INDIRECT(ADDRESS(ROW(I860)-1, 'From Order'!$A860)), 1), I859))"),"L")</f>
        <v>L</v>
      </c>
    </row>
    <row r="861">
      <c r="A861" s="2" t="str">
        <f>IFERROR(__xludf.DUMMYFUNCTION("IF('From Order'!$A861=COLUMNS($A861:A880), LEFT(INDEX(FILTER(A$1:A860, A$1:A860&lt;&gt;""""),COUNTA(FILTER(A$1:A860, A$1:A860&lt;&gt;""""))), LEN(INDEX(FILTER(A$1:A860, A$1:A860&lt;&gt;""""),COUNTA(FILTER(A$1:A860, A$1:A860&lt;&gt;""""))))-1), IF('To Order'!$A861=COLUMNS($A861:A"&amp;"880), A860&amp;RIGHT(INDIRECT(ADDRESS(ROW(A861)-1, 'From Order'!$A861)), 1), A860))"),"")</f>
        <v/>
      </c>
      <c r="B861" s="2" t="str">
        <f>IFERROR(__xludf.DUMMYFUNCTION("IF('From Order'!$A861=COLUMNS($A861:B880), LEFT(INDEX(FILTER(B$1:B860, B$1:B860&lt;&gt;""""),COUNTA(FILTER(B$1:B860, B$1:B860&lt;&gt;""""))), LEN(INDEX(FILTER(B$1:B860, B$1:B860&lt;&gt;""""),COUNTA(FILTER(B$1:B860, B$1:B860&lt;&gt;""""))))-1), IF('To Order'!$A861=COLUMNS($A861:B"&amp;"880), B860&amp;RIGHT(INDIRECT(ADDRESS(ROW(B861)-1, 'From Order'!$A861)), 1), B860))"),"JZRDCJTTCRVCJVP")</f>
        <v>JZRDCJTTCRVCJVP</v>
      </c>
      <c r="C861" s="2" t="str">
        <f>IFERROR(__xludf.DUMMYFUNCTION("IF('From Order'!$A861=COLUMNS($A861:C880), LEFT(INDEX(FILTER(C$1:C860, C$1:C860&lt;&gt;""""),COUNTA(FILTER(C$1:C860, C$1:C860&lt;&gt;""""))), LEN(INDEX(FILTER(C$1:C860, C$1:C860&lt;&gt;""""),COUNTA(FILTER(C$1:C860, C$1:C860&lt;&gt;""""))))-1), IF('To Order'!$A861=COLUMNS($A861:C"&amp;"880), C860&amp;RIGHT(INDIRECT(ADDRESS(ROW(C861)-1, 'From Order'!$A861)), 1), C860))"),"V")</f>
        <v>V</v>
      </c>
      <c r="D861" s="2" t="str">
        <f>IFERROR(__xludf.DUMMYFUNCTION("IF('From Order'!$A861=COLUMNS($A861:D880), LEFT(INDEX(FILTER(D$1:D860, D$1:D860&lt;&gt;""""),COUNTA(FILTER(D$1:D860, D$1:D860&lt;&gt;""""))), LEN(INDEX(FILTER(D$1:D860, D$1:D860&lt;&gt;""""),COUNTA(FILTER(D$1:D860, D$1:D860&lt;&gt;""""))))-1), IF('To Order'!$A861=COLUMNS($A861:D"&amp;"880), D860&amp;RIGHT(INDIRECT(ADDRESS(ROW(D861)-1, 'From Order'!$A861)), 1), D860))"),"BFMHZBSG")</f>
        <v>BFMHZBSG</v>
      </c>
      <c r="E861" s="2" t="str">
        <f>IFERROR(__xludf.DUMMYFUNCTION("IF('From Order'!$A861=COLUMNS($A861:E880), LEFT(INDEX(FILTER(E$1:E860, E$1:E860&lt;&gt;""""),COUNTA(FILTER(E$1:E860, E$1:E860&lt;&gt;""""))), LEN(INDEX(FILTER(E$1:E860, E$1:E860&lt;&gt;""""),COUNTA(FILTER(E$1:E860, E$1:E860&lt;&gt;""""))))-1), IF('To Order'!$A861=COLUMNS($A861:E"&amp;"880), E860&amp;RIGHT(INDIRECT(ADDRESS(ROW(E861)-1, 'From Order'!$A861)), 1), E860))"),"")</f>
        <v/>
      </c>
      <c r="F861" s="2" t="str">
        <f>IFERROR(__xludf.DUMMYFUNCTION("IF('From Order'!$A861=COLUMNS($A861:F880), LEFT(INDEX(FILTER(F$1:F860, F$1:F860&lt;&gt;""""),COUNTA(FILTER(F$1:F860, F$1:F860&lt;&gt;""""))), LEN(INDEX(FILTER(F$1:F860, F$1:F860&lt;&gt;""""),COUNTA(FILTER(F$1:F860, F$1:F860&lt;&gt;""""))))-1), IF('To Order'!$A861=COLUMNS($A861:F"&amp;"880), F860&amp;RIGHT(INDIRECT(ADDRESS(ROW(F861)-1, 'From Order'!$A861)), 1), F860))"),"FSLTTWRDTDBD")</f>
        <v>FSLTTWRDTDBD</v>
      </c>
      <c r="G861" s="2" t="str">
        <f>IFERROR(__xludf.DUMMYFUNCTION("IF('From Order'!$A861=COLUMNS($A861:G880), LEFT(INDEX(FILTER(G$1:G860, G$1:G860&lt;&gt;""""),COUNTA(FILTER(G$1:G860, G$1:G860&lt;&gt;""""))), LEN(INDEX(FILTER(G$1:G860, G$1:G860&lt;&gt;""""),COUNTA(FILTER(G$1:G860, G$1:G860&lt;&gt;""""))))-1), IF('To Order'!$A861=COLUMNS($A861:G"&amp;"880), G860&amp;RIGHT(INDIRECT(ADDRESS(ROW(G861)-1, 'From Order'!$A861)), 1), G860))"),"DTRLRQPDSSGHWQPB")</f>
        <v>DTRLRQPDSSGHWQPB</v>
      </c>
      <c r="H861" s="2" t="str">
        <f>IFERROR(__xludf.DUMMYFUNCTION("IF('From Order'!$A861=COLUMNS($A861:H880), LEFT(INDEX(FILTER(H$1:H860, H$1:H860&lt;&gt;""""),COUNTA(FILTER(H$1:H860, H$1:H860&lt;&gt;""""))), LEN(INDEX(FILTER(H$1:H860, H$1:H860&lt;&gt;""""),COUNTA(FILTER(H$1:H860, H$1:H860&lt;&gt;""""))))-1), IF('To Order'!$A861=COLUMNS($A861:H"&amp;"880), H860&amp;RIGHT(INDIRECT(ADDRESS(ROW(H861)-1, 'From Order'!$A861)), 1), H860))"),"MZM")</f>
        <v>MZM</v>
      </c>
      <c r="I861" s="2" t="str">
        <f>IFERROR(__xludf.DUMMYFUNCTION("IF('From Order'!$A861=COLUMNS($A861:I880), LEFT(INDEX(FILTER(I$1:I860, I$1:I860&lt;&gt;""""),COUNTA(FILTER(I$1:I860, I$1:I860&lt;&gt;""""))), LEN(INDEX(FILTER(I$1:I860, I$1:I860&lt;&gt;""""),COUNTA(FILTER(I$1:I860, I$1:I860&lt;&gt;""""))))-1), IF('To Order'!$A861=COLUMNS($A861:I"&amp;"880), I860&amp;RIGHT(INDIRECT(ADDRESS(ROW(I861)-1, 'From Order'!$A861)), 1), I860))"),"L")</f>
        <v>L</v>
      </c>
    </row>
    <row r="862">
      <c r="A862" s="2" t="str">
        <f>IFERROR(__xludf.DUMMYFUNCTION("IF('From Order'!$A862=COLUMNS($A862:A881), LEFT(INDEX(FILTER(A$1:A861, A$1:A861&lt;&gt;""""),COUNTA(FILTER(A$1:A861, A$1:A861&lt;&gt;""""))), LEN(INDEX(FILTER(A$1:A861, A$1:A861&lt;&gt;""""),COUNTA(FILTER(A$1:A861, A$1:A861&lt;&gt;""""))))-1), IF('To Order'!$A862=COLUMNS($A862:A"&amp;"881), A861&amp;RIGHT(INDIRECT(ADDRESS(ROW(A862)-1, 'From Order'!$A862)), 1), A861))"),"")</f>
        <v/>
      </c>
      <c r="B862" s="2" t="str">
        <f>IFERROR(__xludf.DUMMYFUNCTION("IF('From Order'!$A862=COLUMNS($A862:B881), LEFT(INDEX(FILTER(B$1:B861, B$1:B861&lt;&gt;""""),COUNTA(FILTER(B$1:B861, B$1:B861&lt;&gt;""""))), LEN(INDEX(FILTER(B$1:B861, B$1:B861&lt;&gt;""""),COUNTA(FILTER(B$1:B861, B$1:B861&lt;&gt;""""))))-1), IF('To Order'!$A862=COLUMNS($A862:B"&amp;"881), B861&amp;RIGHT(INDIRECT(ADDRESS(ROW(B862)-1, 'From Order'!$A862)), 1), B861))"),"JZRDCJTTCRVCJVP")</f>
        <v>JZRDCJTTCRVCJVP</v>
      </c>
      <c r="C862" s="2" t="str">
        <f>IFERROR(__xludf.DUMMYFUNCTION("IF('From Order'!$A862=COLUMNS($A862:C881), LEFT(INDEX(FILTER(C$1:C861, C$1:C861&lt;&gt;""""),COUNTA(FILTER(C$1:C861, C$1:C861&lt;&gt;""""))), LEN(INDEX(FILTER(C$1:C861, C$1:C861&lt;&gt;""""),COUNTA(FILTER(C$1:C861, C$1:C861&lt;&gt;""""))))-1), IF('To Order'!$A862=COLUMNS($A862:C"&amp;"881), C861&amp;RIGHT(INDIRECT(ADDRESS(ROW(C862)-1, 'From Order'!$A862)), 1), C861))"),"V")</f>
        <v>V</v>
      </c>
      <c r="D862" s="2" t="str">
        <f>IFERROR(__xludf.DUMMYFUNCTION("IF('From Order'!$A862=COLUMNS($A862:D881), LEFT(INDEX(FILTER(D$1:D861, D$1:D861&lt;&gt;""""),COUNTA(FILTER(D$1:D861, D$1:D861&lt;&gt;""""))), LEN(INDEX(FILTER(D$1:D861, D$1:D861&lt;&gt;""""),COUNTA(FILTER(D$1:D861, D$1:D861&lt;&gt;""""))))-1), IF('To Order'!$A862=COLUMNS($A862:D"&amp;"881), D861&amp;RIGHT(INDIRECT(ADDRESS(ROW(D862)-1, 'From Order'!$A862)), 1), D861))"),"BFMHZBS")</f>
        <v>BFMHZBS</v>
      </c>
      <c r="E862" s="2" t="str">
        <f>IFERROR(__xludf.DUMMYFUNCTION("IF('From Order'!$A862=COLUMNS($A862:E881), LEFT(INDEX(FILTER(E$1:E861, E$1:E861&lt;&gt;""""),COUNTA(FILTER(E$1:E861, E$1:E861&lt;&gt;""""))), LEN(INDEX(FILTER(E$1:E861, E$1:E861&lt;&gt;""""),COUNTA(FILTER(E$1:E861, E$1:E861&lt;&gt;""""))))-1), IF('To Order'!$A862=COLUMNS($A862:E"&amp;"881), E861&amp;RIGHT(INDIRECT(ADDRESS(ROW(E862)-1, 'From Order'!$A862)), 1), E861))"),"")</f>
        <v/>
      </c>
      <c r="F862" s="2" t="str">
        <f>IFERROR(__xludf.DUMMYFUNCTION("IF('From Order'!$A862=COLUMNS($A862:F881), LEFT(INDEX(FILTER(F$1:F861, F$1:F861&lt;&gt;""""),COUNTA(FILTER(F$1:F861, F$1:F861&lt;&gt;""""))), LEN(INDEX(FILTER(F$1:F861, F$1:F861&lt;&gt;""""),COUNTA(FILTER(F$1:F861, F$1:F861&lt;&gt;""""))))-1), IF('To Order'!$A862=COLUMNS($A862:F"&amp;"881), F861&amp;RIGHT(INDIRECT(ADDRESS(ROW(F862)-1, 'From Order'!$A862)), 1), F861))"),"FSLTTWRDTDBDG")</f>
        <v>FSLTTWRDTDBDG</v>
      </c>
      <c r="G862" s="2" t="str">
        <f>IFERROR(__xludf.DUMMYFUNCTION("IF('From Order'!$A862=COLUMNS($A862:G881), LEFT(INDEX(FILTER(G$1:G861, G$1:G861&lt;&gt;""""),COUNTA(FILTER(G$1:G861, G$1:G861&lt;&gt;""""))), LEN(INDEX(FILTER(G$1:G861, G$1:G861&lt;&gt;""""),COUNTA(FILTER(G$1:G861, G$1:G861&lt;&gt;""""))))-1), IF('To Order'!$A862=COLUMNS($A862:G"&amp;"881), G861&amp;RIGHT(INDIRECT(ADDRESS(ROW(G862)-1, 'From Order'!$A862)), 1), G861))"),"DTRLRQPDSSGHWQPB")</f>
        <v>DTRLRQPDSSGHWQPB</v>
      </c>
      <c r="H862" s="2" t="str">
        <f>IFERROR(__xludf.DUMMYFUNCTION("IF('From Order'!$A862=COLUMNS($A862:H881), LEFT(INDEX(FILTER(H$1:H861, H$1:H861&lt;&gt;""""),COUNTA(FILTER(H$1:H861, H$1:H861&lt;&gt;""""))), LEN(INDEX(FILTER(H$1:H861, H$1:H861&lt;&gt;""""),COUNTA(FILTER(H$1:H861, H$1:H861&lt;&gt;""""))))-1), IF('To Order'!$A862=COLUMNS($A862:H"&amp;"881), H861&amp;RIGHT(INDIRECT(ADDRESS(ROW(H862)-1, 'From Order'!$A862)), 1), H861))"),"MZM")</f>
        <v>MZM</v>
      </c>
      <c r="I862" s="2" t="str">
        <f>IFERROR(__xludf.DUMMYFUNCTION("IF('From Order'!$A862=COLUMNS($A862:I881), LEFT(INDEX(FILTER(I$1:I861, I$1:I861&lt;&gt;""""),COUNTA(FILTER(I$1:I861, I$1:I861&lt;&gt;""""))), LEN(INDEX(FILTER(I$1:I861, I$1:I861&lt;&gt;""""),COUNTA(FILTER(I$1:I861, I$1:I861&lt;&gt;""""))))-1), IF('To Order'!$A862=COLUMNS($A862:I"&amp;"881), I861&amp;RIGHT(INDIRECT(ADDRESS(ROW(I862)-1, 'From Order'!$A862)), 1), I861))"),"L")</f>
        <v>L</v>
      </c>
    </row>
    <row r="863">
      <c r="A863" s="2" t="str">
        <f>IFERROR(__xludf.DUMMYFUNCTION("IF('From Order'!$A863=COLUMNS($A863:A882), LEFT(INDEX(FILTER(A$1:A862, A$1:A862&lt;&gt;""""),COUNTA(FILTER(A$1:A862, A$1:A862&lt;&gt;""""))), LEN(INDEX(FILTER(A$1:A862, A$1:A862&lt;&gt;""""),COUNTA(FILTER(A$1:A862, A$1:A862&lt;&gt;""""))))-1), IF('To Order'!$A863=COLUMNS($A863:A"&amp;"882), A862&amp;RIGHT(INDIRECT(ADDRESS(ROW(A863)-1, 'From Order'!$A863)), 1), A862))"),"")</f>
        <v/>
      </c>
      <c r="B863" s="2" t="str">
        <f>IFERROR(__xludf.DUMMYFUNCTION("IF('From Order'!$A863=COLUMNS($A863:B882), LEFT(INDEX(FILTER(B$1:B862, B$1:B862&lt;&gt;""""),COUNTA(FILTER(B$1:B862, B$1:B862&lt;&gt;""""))), LEN(INDEX(FILTER(B$1:B862, B$1:B862&lt;&gt;""""),COUNTA(FILTER(B$1:B862, B$1:B862&lt;&gt;""""))))-1), IF('To Order'!$A863=COLUMNS($A863:B"&amp;"882), B862&amp;RIGHT(INDIRECT(ADDRESS(ROW(B863)-1, 'From Order'!$A863)), 1), B862))"),"JZRDCJTTCRVCJVP")</f>
        <v>JZRDCJTTCRVCJVP</v>
      </c>
      <c r="C863" s="2" t="str">
        <f>IFERROR(__xludf.DUMMYFUNCTION("IF('From Order'!$A863=COLUMNS($A863:C882), LEFT(INDEX(FILTER(C$1:C862, C$1:C862&lt;&gt;""""),COUNTA(FILTER(C$1:C862, C$1:C862&lt;&gt;""""))), LEN(INDEX(FILTER(C$1:C862, C$1:C862&lt;&gt;""""),COUNTA(FILTER(C$1:C862, C$1:C862&lt;&gt;""""))))-1), IF('To Order'!$A863=COLUMNS($A863:C"&amp;"882), C862&amp;RIGHT(INDIRECT(ADDRESS(ROW(C863)-1, 'From Order'!$A863)), 1), C862))"),"VM")</f>
        <v>VM</v>
      </c>
      <c r="D863" s="2" t="str">
        <f>IFERROR(__xludf.DUMMYFUNCTION("IF('From Order'!$A863=COLUMNS($A863:D882), LEFT(INDEX(FILTER(D$1:D862, D$1:D862&lt;&gt;""""),COUNTA(FILTER(D$1:D862, D$1:D862&lt;&gt;""""))), LEN(INDEX(FILTER(D$1:D862, D$1:D862&lt;&gt;""""),COUNTA(FILTER(D$1:D862, D$1:D862&lt;&gt;""""))))-1), IF('To Order'!$A863=COLUMNS($A863:D"&amp;"882), D862&amp;RIGHT(INDIRECT(ADDRESS(ROW(D863)-1, 'From Order'!$A863)), 1), D862))"),"BFMHZBS")</f>
        <v>BFMHZBS</v>
      </c>
      <c r="E863" s="2" t="str">
        <f>IFERROR(__xludf.DUMMYFUNCTION("IF('From Order'!$A863=COLUMNS($A863:E882), LEFT(INDEX(FILTER(E$1:E862, E$1:E862&lt;&gt;""""),COUNTA(FILTER(E$1:E862, E$1:E862&lt;&gt;""""))), LEN(INDEX(FILTER(E$1:E862, E$1:E862&lt;&gt;""""),COUNTA(FILTER(E$1:E862, E$1:E862&lt;&gt;""""))))-1), IF('To Order'!$A863=COLUMNS($A863:E"&amp;"882), E862&amp;RIGHT(INDIRECT(ADDRESS(ROW(E863)-1, 'From Order'!$A863)), 1), E862))"),"")</f>
        <v/>
      </c>
      <c r="F863" s="2" t="str">
        <f>IFERROR(__xludf.DUMMYFUNCTION("IF('From Order'!$A863=COLUMNS($A863:F882), LEFT(INDEX(FILTER(F$1:F862, F$1:F862&lt;&gt;""""),COUNTA(FILTER(F$1:F862, F$1:F862&lt;&gt;""""))), LEN(INDEX(FILTER(F$1:F862, F$1:F862&lt;&gt;""""),COUNTA(FILTER(F$1:F862, F$1:F862&lt;&gt;""""))))-1), IF('To Order'!$A863=COLUMNS($A863:F"&amp;"882), F862&amp;RIGHT(INDIRECT(ADDRESS(ROW(F863)-1, 'From Order'!$A863)), 1), F862))"),"FSLTTWRDTDBDG")</f>
        <v>FSLTTWRDTDBDG</v>
      </c>
      <c r="G863" s="2" t="str">
        <f>IFERROR(__xludf.DUMMYFUNCTION("IF('From Order'!$A863=COLUMNS($A863:G882), LEFT(INDEX(FILTER(G$1:G862, G$1:G862&lt;&gt;""""),COUNTA(FILTER(G$1:G862, G$1:G862&lt;&gt;""""))), LEN(INDEX(FILTER(G$1:G862, G$1:G862&lt;&gt;""""),COUNTA(FILTER(G$1:G862, G$1:G862&lt;&gt;""""))))-1), IF('To Order'!$A863=COLUMNS($A863:G"&amp;"882), G862&amp;RIGHT(INDIRECT(ADDRESS(ROW(G863)-1, 'From Order'!$A863)), 1), G862))"),"DTRLRQPDSSGHWQPB")</f>
        <v>DTRLRQPDSSGHWQPB</v>
      </c>
      <c r="H863" s="2" t="str">
        <f>IFERROR(__xludf.DUMMYFUNCTION("IF('From Order'!$A863=COLUMNS($A863:H882), LEFT(INDEX(FILTER(H$1:H862, H$1:H862&lt;&gt;""""),COUNTA(FILTER(H$1:H862, H$1:H862&lt;&gt;""""))), LEN(INDEX(FILTER(H$1:H862, H$1:H862&lt;&gt;""""),COUNTA(FILTER(H$1:H862, H$1:H862&lt;&gt;""""))))-1), IF('To Order'!$A863=COLUMNS($A863:H"&amp;"882), H862&amp;RIGHT(INDIRECT(ADDRESS(ROW(H863)-1, 'From Order'!$A863)), 1), H862))"),"MZ")</f>
        <v>MZ</v>
      </c>
      <c r="I863" s="2" t="str">
        <f>IFERROR(__xludf.DUMMYFUNCTION("IF('From Order'!$A863=COLUMNS($A863:I882), LEFT(INDEX(FILTER(I$1:I862, I$1:I862&lt;&gt;""""),COUNTA(FILTER(I$1:I862, I$1:I862&lt;&gt;""""))), LEN(INDEX(FILTER(I$1:I862, I$1:I862&lt;&gt;""""),COUNTA(FILTER(I$1:I862, I$1:I862&lt;&gt;""""))))-1), IF('To Order'!$A863=COLUMNS($A863:I"&amp;"882), I862&amp;RIGHT(INDIRECT(ADDRESS(ROW(I863)-1, 'From Order'!$A863)), 1), I862))"),"L")</f>
        <v>L</v>
      </c>
    </row>
    <row r="864">
      <c r="A864" s="2" t="str">
        <f>IFERROR(__xludf.DUMMYFUNCTION("IF('From Order'!$A864=COLUMNS($A864:A883), LEFT(INDEX(FILTER(A$1:A863, A$1:A863&lt;&gt;""""),COUNTA(FILTER(A$1:A863, A$1:A863&lt;&gt;""""))), LEN(INDEX(FILTER(A$1:A863, A$1:A863&lt;&gt;""""),COUNTA(FILTER(A$1:A863, A$1:A863&lt;&gt;""""))))-1), IF('To Order'!$A864=COLUMNS($A864:A"&amp;"883), A863&amp;RIGHT(INDIRECT(ADDRESS(ROW(A864)-1, 'From Order'!$A864)), 1), A863))"),"")</f>
        <v/>
      </c>
      <c r="B864" s="2" t="str">
        <f>IFERROR(__xludf.DUMMYFUNCTION("IF('From Order'!$A864=COLUMNS($A864:B883), LEFT(INDEX(FILTER(B$1:B863, B$1:B863&lt;&gt;""""),COUNTA(FILTER(B$1:B863, B$1:B863&lt;&gt;""""))), LEN(INDEX(FILTER(B$1:B863, B$1:B863&lt;&gt;""""),COUNTA(FILTER(B$1:B863, B$1:B863&lt;&gt;""""))))-1), IF('To Order'!$A864=COLUMNS($A864:B"&amp;"883), B863&amp;RIGHT(INDIRECT(ADDRESS(ROW(B864)-1, 'From Order'!$A864)), 1), B863))"),"JZRDCJTTCRVCJVP")</f>
        <v>JZRDCJTTCRVCJVP</v>
      </c>
      <c r="C864" s="2" t="str">
        <f>IFERROR(__xludf.DUMMYFUNCTION("IF('From Order'!$A864=COLUMNS($A864:C883), LEFT(INDEX(FILTER(C$1:C863, C$1:C863&lt;&gt;""""),COUNTA(FILTER(C$1:C863, C$1:C863&lt;&gt;""""))), LEN(INDEX(FILTER(C$1:C863, C$1:C863&lt;&gt;""""),COUNTA(FILTER(C$1:C863, C$1:C863&lt;&gt;""""))))-1), IF('To Order'!$A864=COLUMNS($A864:C"&amp;"883), C863&amp;RIGHT(INDIRECT(ADDRESS(ROW(C864)-1, 'From Order'!$A864)), 1), C863))"),"VMZ")</f>
        <v>VMZ</v>
      </c>
      <c r="D864" s="2" t="str">
        <f>IFERROR(__xludf.DUMMYFUNCTION("IF('From Order'!$A864=COLUMNS($A864:D883), LEFT(INDEX(FILTER(D$1:D863, D$1:D863&lt;&gt;""""),COUNTA(FILTER(D$1:D863, D$1:D863&lt;&gt;""""))), LEN(INDEX(FILTER(D$1:D863, D$1:D863&lt;&gt;""""),COUNTA(FILTER(D$1:D863, D$1:D863&lt;&gt;""""))))-1), IF('To Order'!$A864=COLUMNS($A864:D"&amp;"883), D863&amp;RIGHT(INDIRECT(ADDRESS(ROW(D864)-1, 'From Order'!$A864)), 1), D863))"),"BFMHZBS")</f>
        <v>BFMHZBS</v>
      </c>
      <c r="E864" s="2" t="str">
        <f>IFERROR(__xludf.DUMMYFUNCTION("IF('From Order'!$A864=COLUMNS($A864:E883), LEFT(INDEX(FILTER(E$1:E863, E$1:E863&lt;&gt;""""),COUNTA(FILTER(E$1:E863, E$1:E863&lt;&gt;""""))), LEN(INDEX(FILTER(E$1:E863, E$1:E863&lt;&gt;""""),COUNTA(FILTER(E$1:E863, E$1:E863&lt;&gt;""""))))-1), IF('To Order'!$A864=COLUMNS($A864:E"&amp;"883), E863&amp;RIGHT(INDIRECT(ADDRESS(ROW(E864)-1, 'From Order'!$A864)), 1), E863))"),"")</f>
        <v/>
      </c>
      <c r="F864" s="2" t="str">
        <f>IFERROR(__xludf.DUMMYFUNCTION("IF('From Order'!$A864=COLUMNS($A864:F883), LEFT(INDEX(FILTER(F$1:F863, F$1:F863&lt;&gt;""""),COUNTA(FILTER(F$1:F863, F$1:F863&lt;&gt;""""))), LEN(INDEX(FILTER(F$1:F863, F$1:F863&lt;&gt;""""),COUNTA(FILTER(F$1:F863, F$1:F863&lt;&gt;""""))))-1), IF('To Order'!$A864=COLUMNS($A864:F"&amp;"883), F863&amp;RIGHT(INDIRECT(ADDRESS(ROW(F864)-1, 'From Order'!$A864)), 1), F863))"),"FSLTTWRDTDBDG")</f>
        <v>FSLTTWRDTDBDG</v>
      </c>
      <c r="G864" s="2" t="str">
        <f>IFERROR(__xludf.DUMMYFUNCTION("IF('From Order'!$A864=COLUMNS($A864:G883), LEFT(INDEX(FILTER(G$1:G863, G$1:G863&lt;&gt;""""),COUNTA(FILTER(G$1:G863, G$1:G863&lt;&gt;""""))), LEN(INDEX(FILTER(G$1:G863, G$1:G863&lt;&gt;""""),COUNTA(FILTER(G$1:G863, G$1:G863&lt;&gt;""""))))-1), IF('To Order'!$A864=COLUMNS($A864:G"&amp;"883), G863&amp;RIGHT(INDIRECT(ADDRESS(ROW(G864)-1, 'From Order'!$A864)), 1), G863))"),"DTRLRQPDSSGHWQPB")</f>
        <v>DTRLRQPDSSGHWQPB</v>
      </c>
      <c r="H864" s="2" t="str">
        <f>IFERROR(__xludf.DUMMYFUNCTION("IF('From Order'!$A864=COLUMNS($A864:H883), LEFT(INDEX(FILTER(H$1:H863, H$1:H863&lt;&gt;""""),COUNTA(FILTER(H$1:H863, H$1:H863&lt;&gt;""""))), LEN(INDEX(FILTER(H$1:H863, H$1:H863&lt;&gt;""""),COUNTA(FILTER(H$1:H863, H$1:H863&lt;&gt;""""))))-1), IF('To Order'!$A864=COLUMNS($A864:H"&amp;"883), H863&amp;RIGHT(INDIRECT(ADDRESS(ROW(H864)-1, 'From Order'!$A864)), 1), H863))"),"M")</f>
        <v>M</v>
      </c>
      <c r="I864" s="2" t="str">
        <f>IFERROR(__xludf.DUMMYFUNCTION("IF('From Order'!$A864=COLUMNS($A864:I883), LEFT(INDEX(FILTER(I$1:I863, I$1:I863&lt;&gt;""""),COUNTA(FILTER(I$1:I863, I$1:I863&lt;&gt;""""))), LEN(INDEX(FILTER(I$1:I863, I$1:I863&lt;&gt;""""),COUNTA(FILTER(I$1:I863, I$1:I863&lt;&gt;""""))))-1), IF('To Order'!$A864=COLUMNS($A864:I"&amp;"883), I863&amp;RIGHT(INDIRECT(ADDRESS(ROW(I864)-1, 'From Order'!$A864)), 1), I863))"),"L")</f>
        <v>L</v>
      </c>
    </row>
    <row r="865">
      <c r="A865" s="2" t="str">
        <f>IFERROR(__xludf.DUMMYFUNCTION("IF('From Order'!$A865=COLUMNS($A865:A884), LEFT(INDEX(FILTER(A$1:A864, A$1:A864&lt;&gt;""""),COUNTA(FILTER(A$1:A864, A$1:A864&lt;&gt;""""))), LEN(INDEX(FILTER(A$1:A864, A$1:A864&lt;&gt;""""),COUNTA(FILTER(A$1:A864, A$1:A864&lt;&gt;""""))))-1), IF('To Order'!$A865=COLUMNS($A865:A"&amp;"884), A864&amp;RIGHT(INDIRECT(ADDRESS(ROW(A865)-1, 'From Order'!$A865)), 1), A864))"),"")</f>
        <v/>
      </c>
      <c r="B865" s="2" t="str">
        <f>IFERROR(__xludf.DUMMYFUNCTION("IF('From Order'!$A865=COLUMNS($A865:B884), LEFT(INDEX(FILTER(B$1:B864, B$1:B864&lt;&gt;""""),COUNTA(FILTER(B$1:B864, B$1:B864&lt;&gt;""""))), LEN(INDEX(FILTER(B$1:B864, B$1:B864&lt;&gt;""""),COUNTA(FILTER(B$1:B864, B$1:B864&lt;&gt;""""))))-1), IF('To Order'!$A865=COLUMNS($A865:B"&amp;"884), B864&amp;RIGHT(INDIRECT(ADDRESS(ROW(B865)-1, 'From Order'!$A865)), 1), B864))"),"JZRDCJTTCRVCJVP")</f>
        <v>JZRDCJTTCRVCJVP</v>
      </c>
      <c r="C865" s="2" t="str">
        <f>IFERROR(__xludf.DUMMYFUNCTION("IF('From Order'!$A865=COLUMNS($A865:C884), LEFT(INDEX(FILTER(C$1:C864, C$1:C864&lt;&gt;""""),COUNTA(FILTER(C$1:C864, C$1:C864&lt;&gt;""""))), LEN(INDEX(FILTER(C$1:C864, C$1:C864&lt;&gt;""""),COUNTA(FILTER(C$1:C864, C$1:C864&lt;&gt;""""))))-1), IF('To Order'!$A865=COLUMNS($A865:C"&amp;"884), C864&amp;RIGHT(INDIRECT(ADDRESS(ROW(C865)-1, 'From Order'!$A865)), 1), C864))"),"VM")</f>
        <v>VM</v>
      </c>
      <c r="D865" s="2" t="str">
        <f>IFERROR(__xludf.DUMMYFUNCTION("IF('From Order'!$A865=COLUMNS($A865:D884), LEFT(INDEX(FILTER(D$1:D864, D$1:D864&lt;&gt;""""),COUNTA(FILTER(D$1:D864, D$1:D864&lt;&gt;""""))), LEN(INDEX(FILTER(D$1:D864, D$1:D864&lt;&gt;""""),COUNTA(FILTER(D$1:D864, D$1:D864&lt;&gt;""""))))-1), IF('To Order'!$A865=COLUMNS($A865:D"&amp;"884), D864&amp;RIGHT(INDIRECT(ADDRESS(ROW(D865)-1, 'From Order'!$A865)), 1), D864))"),"BFMHZBS")</f>
        <v>BFMHZBS</v>
      </c>
      <c r="E865" s="2" t="str">
        <f>IFERROR(__xludf.DUMMYFUNCTION("IF('From Order'!$A865=COLUMNS($A865:E884), LEFT(INDEX(FILTER(E$1:E864, E$1:E864&lt;&gt;""""),COUNTA(FILTER(E$1:E864, E$1:E864&lt;&gt;""""))), LEN(INDEX(FILTER(E$1:E864, E$1:E864&lt;&gt;""""),COUNTA(FILTER(E$1:E864, E$1:E864&lt;&gt;""""))))-1), IF('To Order'!$A865=COLUMNS($A865:E"&amp;"884), E864&amp;RIGHT(INDIRECT(ADDRESS(ROW(E865)-1, 'From Order'!$A865)), 1), E864))"),"")</f>
        <v/>
      </c>
      <c r="F865" s="2" t="str">
        <f>IFERROR(__xludf.DUMMYFUNCTION("IF('From Order'!$A865=COLUMNS($A865:F884), LEFT(INDEX(FILTER(F$1:F864, F$1:F864&lt;&gt;""""),COUNTA(FILTER(F$1:F864, F$1:F864&lt;&gt;""""))), LEN(INDEX(FILTER(F$1:F864, F$1:F864&lt;&gt;""""),COUNTA(FILTER(F$1:F864, F$1:F864&lt;&gt;""""))))-1), IF('To Order'!$A865=COLUMNS($A865:F"&amp;"884), F864&amp;RIGHT(INDIRECT(ADDRESS(ROW(F865)-1, 'From Order'!$A865)), 1), F864))"),"FSLTTWRDTDBDG")</f>
        <v>FSLTTWRDTDBDG</v>
      </c>
      <c r="G865" s="2" t="str">
        <f>IFERROR(__xludf.DUMMYFUNCTION("IF('From Order'!$A865=COLUMNS($A865:G884), LEFT(INDEX(FILTER(G$1:G864, G$1:G864&lt;&gt;""""),COUNTA(FILTER(G$1:G864, G$1:G864&lt;&gt;""""))), LEN(INDEX(FILTER(G$1:G864, G$1:G864&lt;&gt;""""),COUNTA(FILTER(G$1:G864, G$1:G864&lt;&gt;""""))))-1), IF('To Order'!$A865=COLUMNS($A865:G"&amp;"884), G864&amp;RIGHT(INDIRECT(ADDRESS(ROW(G865)-1, 'From Order'!$A865)), 1), G864))"),"DTRLRQPDSSGHWQPB")</f>
        <v>DTRLRQPDSSGHWQPB</v>
      </c>
      <c r="H865" s="2" t="str">
        <f>IFERROR(__xludf.DUMMYFUNCTION("IF('From Order'!$A865=COLUMNS($A865:H884), LEFT(INDEX(FILTER(H$1:H864, H$1:H864&lt;&gt;""""),COUNTA(FILTER(H$1:H864, H$1:H864&lt;&gt;""""))), LEN(INDEX(FILTER(H$1:H864, H$1:H864&lt;&gt;""""),COUNTA(FILTER(H$1:H864, H$1:H864&lt;&gt;""""))))-1), IF('To Order'!$A865=COLUMNS($A865:H"&amp;"884), H864&amp;RIGHT(INDIRECT(ADDRESS(ROW(H865)-1, 'From Order'!$A865)), 1), H864))"),"M")</f>
        <v>M</v>
      </c>
      <c r="I865" s="2" t="str">
        <f>IFERROR(__xludf.DUMMYFUNCTION("IF('From Order'!$A865=COLUMNS($A865:I884), LEFT(INDEX(FILTER(I$1:I864, I$1:I864&lt;&gt;""""),COUNTA(FILTER(I$1:I864, I$1:I864&lt;&gt;""""))), LEN(INDEX(FILTER(I$1:I864, I$1:I864&lt;&gt;""""),COUNTA(FILTER(I$1:I864, I$1:I864&lt;&gt;""""))))-1), IF('To Order'!$A865=COLUMNS($A865:I"&amp;"884), I864&amp;RIGHT(INDIRECT(ADDRESS(ROW(I865)-1, 'From Order'!$A865)), 1), I864))"),"LZ")</f>
        <v>LZ</v>
      </c>
    </row>
    <row r="866">
      <c r="A866" s="2" t="str">
        <f>IFERROR(__xludf.DUMMYFUNCTION("IF('From Order'!$A866=COLUMNS($A866:A885), LEFT(INDEX(FILTER(A$1:A865, A$1:A865&lt;&gt;""""),COUNTA(FILTER(A$1:A865, A$1:A865&lt;&gt;""""))), LEN(INDEX(FILTER(A$1:A865, A$1:A865&lt;&gt;""""),COUNTA(FILTER(A$1:A865, A$1:A865&lt;&gt;""""))))-1), IF('To Order'!$A866=COLUMNS($A866:A"&amp;"885), A865&amp;RIGHT(INDIRECT(ADDRESS(ROW(A866)-1, 'From Order'!$A866)), 1), A865))"),"")</f>
        <v/>
      </c>
      <c r="B866" s="2" t="str">
        <f>IFERROR(__xludf.DUMMYFUNCTION("IF('From Order'!$A866=COLUMNS($A866:B885), LEFT(INDEX(FILTER(B$1:B865, B$1:B865&lt;&gt;""""),COUNTA(FILTER(B$1:B865, B$1:B865&lt;&gt;""""))), LEN(INDEX(FILTER(B$1:B865, B$1:B865&lt;&gt;""""),COUNTA(FILTER(B$1:B865, B$1:B865&lt;&gt;""""))))-1), IF('To Order'!$A866=COLUMNS($A866:B"&amp;"885), B865&amp;RIGHT(INDIRECT(ADDRESS(ROW(B866)-1, 'From Order'!$A866)), 1), B865))"),"JZRDCJTTCRVCJVP")</f>
        <v>JZRDCJTTCRVCJVP</v>
      </c>
      <c r="C866" s="2" t="str">
        <f>IFERROR(__xludf.DUMMYFUNCTION("IF('From Order'!$A866=COLUMNS($A866:C885), LEFT(INDEX(FILTER(C$1:C865, C$1:C865&lt;&gt;""""),COUNTA(FILTER(C$1:C865, C$1:C865&lt;&gt;""""))), LEN(INDEX(FILTER(C$1:C865, C$1:C865&lt;&gt;""""),COUNTA(FILTER(C$1:C865, C$1:C865&lt;&gt;""""))))-1), IF('To Order'!$A866=COLUMNS($A866:C"&amp;"885), C865&amp;RIGHT(INDIRECT(ADDRESS(ROW(C866)-1, 'From Order'!$A866)), 1), C865))"),"V")</f>
        <v>V</v>
      </c>
      <c r="D866" s="2" t="str">
        <f>IFERROR(__xludf.DUMMYFUNCTION("IF('From Order'!$A866=COLUMNS($A866:D885), LEFT(INDEX(FILTER(D$1:D865, D$1:D865&lt;&gt;""""),COUNTA(FILTER(D$1:D865, D$1:D865&lt;&gt;""""))), LEN(INDEX(FILTER(D$1:D865, D$1:D865&lt;&gt;""""),COUNTA(FILTER(D$1:D865, D$1:D865&lt;&gt;""""))))-1), IF('To Order'!$A866=COLUMNS($A866:D"&amp;"885), D865&amp;RIGHT(INDIRECT(ADDRESS(ROW(D866)-1, 'From Order'!$A866)), 1), D865))"),"BFMHZBS")</f>
        <v>BFMHZBS</v>
      </c>
      <c r="E866" s="2" t="str">
        <f>IFERROR(__xludf.DUMMYFUNCTION("IF('From Order'!$A866=COLUMNS($A866:E885), LEFT(INDEX(FILTER(E$1:E865, E$1:E865&lt;&gt;""""),COUNTA(FILTER(E$1:E865, E$1:E865&lt;&gt;""""))), LEN(INDEX(FILTER(E$1:E865, E$1:E865&lt;&gt;""""),COUNTA(FILTER(E$1:E865, E$1:E865&lt;&gt;""""))))-1), IF('To Order'!$A866=COLUMNS($A866:E"&amp;"885), E865&amp;RIGHT(INDIRECT(ADDRESS(ROW(E866)-1, 'From Order'!$A866)), 1), E865))"),"")</f>
        <v/>
      </c>
      <c r="F866" s="2" t="str">
        <f>IFERROR(__xludf.DUMMYFUNCTION("IF('From Order'!$A866=COLUMNS($A866:F885), LEFT(INDEX(FILTER(F$1:F865, F$1:F865&lt;&gt;""""),COUNTA(FILTER(F$1:F865, F$1:F865&lt;&gt;""""))), LEN(INDEX(FILTER(F$1:F865, F$1:F865&lt;&gt;""""),COUNTA(FILTER(F$1:F865, F$1:F865&lt;&gt;""""))))-1), IF('To Order'!$A866=COLUMNS($A866:F"&amp;"885), F865&amp;RIGHT(INDIRECT(ADDRESS(ROW(F866)-1, 'From Order'!$A866)), 1), F865))"),"FSLTTWRDTDBDG")</f>
        <v>FSLTTWRDTDBDG</v>
      </c>
      <c r="G866" s="2" t="str">
        <f>IFERROR(__xludf.DUMMYFUNCTION("IF('From Order'!$A866=COLUMNS($A866:G885), LEFT(INDEX(FILTER(G$1:G865, G$1:G865&lt;&gt;""""),COUNTA(FILTER(G$1:G865, G$1:G865&lt;&gt;""""))), LEN(INDEX(FILTER(G$1:G865, G$1:G865&lt;&gt;""""),COUNTA(FILTER(G$1:G865, G$1:G865&lt;&gt;""""))))-1), IF('To Order'!$A866=COLUMNS($A866:G"&amp;"885), G865&amp;RIGHT(INDIRECT(ADDRESS(ROW(G866)-1, 'From Order'!$A866)), 1), G865))"),"DTRLRQPDSSGHWQPB")</f>
        <v>DTRLRQPDSSGHWQPB</v>
      </c>
      <c r="H866" s="2" t="str">
        <f>IFERROR(__xludf.DUMMYFUNCTION("IF('From Order'!$A866=COLUMNS($A866:H885), LEFT(INDEX(FILTER(H$1:H865, H$1:H865&lt;&gt;""""),COUNTA(FILTER(H$1:H865, H$1:H865&lt;&gt;""""))), LEN(INDEX(FILTER(H$1:H865, H$1:H865&lt;&gt;""""),COUNTA(FILTER(H$1:H865, H$1:H865&lt;&gt;""""))))-1), IF('To Order'!$A866=COLUMNS($A866:H"&amp;"885), H865&amp;RIGHT(INDIRECT(ADDRESS(ROW(H866)-1, 'From Order'!$A866)), 1), H865))"),"M")</f>
        <v>M</v>
      </c>
      <c r="I866" s="2" t="str">
        <f>IFERROR(__xludf.DUMMYFUNCTION("IF('From Order'!$A866=COLUMNS($A866:I885), LEFT(INDEX(FILTER(I$1:I865, I$1:I865&lt;&gt;""""),COUNTA(FILTER(I$1:I865, I$1:I865&lt;&gt;""""))), LEN(INDEX(FILTER(I$1:I865, I$1:I865&lt;&gt;""""),COUNTA(FILTER(I$1:I865, I$1:I865&lt;&gt;""""))))-1), IF('To Order'!$A866=COLUMNS($A866:I"&amp;"885), I865&amp;RIGHT(INDIRECT(ADDRESS(ROW(I866)-1, 'From Order'!$A866)), 1), I865))"),"LZM")</f>
        <v>LZM</v>
      </c>
    </row>
    <row r="867">
      <c r="A867" s="2" t="str">
        <f>IFERROR(__xludf.DUMMYFUNCTION("IF('From Order'!$A867=COLUMNS($A867:A886), LEFT(INDEX(FILTER(A$1:A866, A$1:A866&lt;&gt;""""),COUNTA(FILTER(A$1:A866, A$1:A866&lt;&gt;""""))), LEN(INDEX(FILTER(A$1:A866, A$1:A866&lt;&gt;""""),COUNTA(FILTER(A$1:A866, A$1:A866&lt;&gt;""""))))-1), IF('To Order'!$A867=COLUMNS($A867:A"&amp;"886), A866&amp;RIGHT(INDIRECT(ADDRESS(ROW(A867)-1, 'From Order'!$A867)), 1), A866))"),"")</f>
        <v/>
      </c>
      <c r="B867" s="2" t="str">
        <f>IFERROR(__xludf.DUMMYFUNCTION("IF('From Order'!$A867=COLUMNS($A867:B886), LEFT(INDEX(FILTER(B$1:B866, B$1:B866&lt;&gt;""""),COUNTA(FILTER(B$1:B866, B$1:B866&lt;&gt;""""))), LEN(INDEX(FILTER(B$1:B866, B$1:B866&lt;&gt;""""),COUNTA(FILTER(B$1:B866, B$1:B866&lt;&gt;""""))))-1), IF('To Order'!$A867=COLUMNS($A867:B"&amp;"886), B866&amp;RIGHT(INDIRECT(ADDRESS(ROW(B867)-1, 'From Order'!$A867)), 1), B866))"),"JZRDCJTTCRVCJVP")</f>
        <v>JZRDCJTTCRVCJVP</v>
      </c>
      <c r="C867" s="2" t="str">
        <f>IFERROR(__xludf.DUMMYFUNCTION("IF('From Order'!$A867=COLUMNS($A867:C886), LEFT(INDEX(FILTER(C$1:C866, C$1:C866&lt;&gt;""""),COUNTA(FILTER(C$1:C866, C$1:C866&lt;&gt;""""))), LEN(INDEX(FILTER(C$1:C866, C$1:C866&lt;&gt;""""),COUNTA(FILTER(C$1:C866, C$1:C866&lt;&gt;""""))))-1), IF('To Order'!$A867=COLUMNS($A867:C"&amp;"886), C866&amp;RIGHT(INDIRECT(ADDRESS(ROW(C867)-1, 'From Order'!$A867)), 1), C866))"),"")</f>
        <v/>
      </c>
      <c r="D867" s="2" t="str">
        <f>IFERROR(__xludf.DUMMYFUNCTION("IF('From Order'!$A867=COLUMNS($A867:D886), LEFT(INDEX(FILTER(D$1:D866, D$1:D866&lt;&gt;""""),COUNTA(FILTER(D$1:D866, D$1:D866&lt;&gt;""""))), LEN(INDEX(FILTER(D$1:D866, D$1:D866&lt;&gt;""""),COUNTA(FILTER(D$1:D866, D$1:D866&lt;&gt;""""))))-1), IF('To Order'!$A867=COLUMNS($A867:D"&amp;"886), D866&amp;RIGHT(INDIRECT(ADDRESS(ROW(D867)-1, 'From Order'!$A867)), 1), D866))"),"BFMHZBS")</f>
        <v>BFMHZBS</v>
      </c>
      <c r="E867" s="2" t="str">
        <f>IFERROR(__xludf.DUMMYFUNCTION("IF('From Order'!$A867=COLUMNS($A867:E886), LEFT(INDEX(FILTER(E$1:E866, E$1:E866&lt;&gt;""""),COUNTA(FILTER(E$1:E866, E$1:E866&lt;&gt;""""))), LEN(INDEX(FILTER(E$1:E866, E$1:E866&lt;&gt;""""),COUNTA(FILTER(E$1:E866, E$1:E866&lt;&gt;""""))))-1), IF('To Order'!$A867=COLUMNS($A867:E"&amp;"886), E866&amp;RIGHT(INDIRECT(ADDRESS(ROW(E867)-1, 'From Order'!$A867)), 1), E866))"),"")</f>
        <v/>
      </c>
      <c r="F867" s="2" t="str">
        <f>IFERROR(__xludf.DUMMYFUNCTION("IF('From Order'!$A867=COLUMNS($A867:F886), LEFT(INDEX(FILTER(F$1:F866, F$1:F866&lt;&gt;""""),COUNTA(FILTER(F$1:F866, F$1:F866&lt;&gt;""""))), LEN(INDEX(FILTER(F$1:F866, F$1:F866&lt;&gt;""""),COUNTA(FILTER(F$1:F866, F$1:F866&lt;&gt;""""))))-1), IF('To Order'!$A867=COLUMNS($A867:F"&amp;"886), F866&amp;RIGHT(INDIRECT(ADDRESS(ROW(F867)-1, 'From Order'!$A867)), 1), F866))"),"FSLTTWRDTDBDG")</f>
        <v>FSLTTWRDTDBDG</v>
      </c>
      <c r="G867" s="2" t="str">
        <f>IFERROR(__xludf.DUMMYFUNCTION("IF('From Order'!$A867=COLUMNS($A867:G886), LEFT(INDEX(FILTER(G$1:G866, G$1:G866&lt;&gt;""""),COUNTA(FILTER(G$1:G866, G$1:G866&lt;&gt;""""))), LEN(INDEX(FILTER(G$1:G866, G$1:G866&lt;&gt;""""),COUNTA(FILTER(G$1:G866, G$1:G866&lt;&gt;""""))))-1), IF('To Order'!$A867=COLUMNS($A867:G"&amp;"886), G866&amp;RIGHT(INDIRECT(ADDRESS(ROW(G867)-1, 'From Order'!$A867)), 1), G866))"),"DTRLRQPDSSGHWQPB")</f>
        <v>DTRLRQPDSSGHWQPB</v>
      </c>
      <c r="H867" s="2" t="str">
        <f>IFERROR(__xludf.DUMMYFUNCTION("IF('From Order'!$A867=COLUMNS($A867:H886), LEFT(INDEX(FILTER(H$1:H866, H$1:H866&lt;&gt;""""),COUNTA(FILTER(H$1:H866, H$1:H866&lt;&gt;""""))), LEN(INDEX(FILTER(H$1:H866, H$1:H866&lt;&gt;""""),COUNTA(FILTER(H$1:H866, H$1:H866&lt;&gt;""""))))-1), IF('To Order'!$A867=COLUMNS($A867:H"&amp;"886), H866&amp;RIGHT(INDIRECT(ADDRESS(ROW(H867)-1, 'From Order'!$A867)), 1), H866))"),"M")</f>
        <v>M</v>
      </c>
      <c r="I867" s="2" t="str">
        <f>IFERROR(__xludf.DUMMYFUNCTION("IF('From Order'!$A867=COLUMNS($A867:I886), LEFT(INDEX(FILTER(I$1:I866, I$1:I866&lt;&gt;""""),COUNTA(FILTER(I$1:I866, I$1:I866&lt;&gt;""""))), LEN(INDEX(FILTER(I$1:I866, I$1:I866&lt;&gt;""""),COUNTA(FILTER(I$1:I866, I$1:I866&lt;&gt;""""))))-1), IF('To Order'!$A867=COLUMNS($A867:I"&amp;"886), I866&amp;RIGHT(INDIRECT(ADDRESS(ROW(I867)-1, 'From Order'!$A867)), 1), I866))"),"LZMV")</f>
        <v>LZMV</v>
      </c>
    </row>
    <row r="868">
      <c r="A868" s="2" t="str">
        <f>IFERROR(__xludf.DUMMYFUNCTION("IF('From Order'!$A868=COLUMNS($A868:A887), LEFT(INDEX(FILTER(A$1:A867, A$1:A867&lt;&gt;""""),COUNTA(FILTER(A$1:A867, A$1:A867&lt;&gt;""""))), LEN(INDEX(FILTER(A$1:A867, A$1:A867&lt;&gt;""""),COUNTA(FILTER(A$1:A867, A$1:A867&lt;&gt;""""))))-1), IF('To Order'!$A868=COLUMNS($A868:A"&amp;"887), A867&amp;RIGHT(INDIRECT(ADDRESS(ROW(A868)-1, 'From Order'!$A868)), 1), A867))"),"B")</f>
        <v>B</v>
      </c>
      <c r="B868" s="2" t="str">
        <f>IFERROR(__xludf.DUMMYFUNCTION("IF('From Order'!$A868=COLUMNS($A868:B887), LEFT(INDEX(FILTER(B$1:B867, B$1:B867&lt;&gt;""""),COUNTA(FILTER(B$1:B867, B$1:B867&lt;&gt;""""))), LEN(INDEX(FILTER(B$1:B867, B$1:B867&lt;&gt;""""),COUNTA(FILTER(B$1:B867, B$1:B867&lt;&gt;""""))))-1), IF('To Order'!$A868=COLUMNS($A868:B"&amp;"887), B867&amp;RIGHT(INDIRECT(ADDRESS(ROW(B868)-1, 'From Order'!$A868)), 1), B867))"),"JZRDCJTTCRVCJVP")</f>
        <v>JZRDCJTTCRVCJVP</v>
      </c>
      <c r="C868" s="2" t="str">
        <f>IFERROR(__xludf.DUMMYFUNCTION("IF('From Order'!$A868=COLUMNS($A868:C887), LEFT(INDEX(FILTER(C$1:C867, C$1:C867&lt;&gt;""""),COUNTA(FILTER(C$1:C867, C$1:C867&lt;&gt;""""))), LEN(INDEX(FILTER(C$1:C867, C$1:C867&lt;&gt;""""),COUNTA(FILTER(C$1:C867, C$1:C867&lt;&gt;""""))))-1), IF('To Order'!$A868=COLUMNS($A868:C"&amp;"887), C867&amp;RIGHT(INDIRECT(ADDRESS(ROW(C868)-1, 'From Order'!$A868)), 1), C867))"),"")</f>
        <v/>
      </c>
      <c r="D868" s="2" t="str">
        <f>IFERROR(__xludf.DUMMYFUNCTION("IF('From Order'!$A868=COLUMNS($A868:D887), LEFT(INDEX(FILTER(D$1:D867, D$1:D867&lt;&gt;""""),COUNTA(FILTER(D$1:D867, D$1:D867&lt;&gt;""""))), LEN(INDEX(FILTER(D$1:D867, D$1:D867&lt;&gt;""""),COUNTA(FILTER(D$1:D867, D$1:D867&lt;&gt;""""))))-1), IF('To Order'!$A868=COLUMNS($A868:D"&amp;"887), D867&amp;RIGHT(INDIRECT(ADDRESS(ROW(D868)-1, 'From Order'!$A868)), 1), D867))"),"BFMHZBS")</f>
        <v>BFMHZBS</v>
      </c>
      <c r="E868" s="2" t="str">
        <f>IFERROR(__xludf.DUMMYFUNCTION("IF('From Order'!$A868=COLUMNS($A868:E887), LEFT(INDEX(FILTER(E$1:E867, E$1:E867&lt;&gt;""""),COUNTA(FILTER(E$1:E867, E$1:E867&lt;&gt;""""))), LEN(INDEX(FILTER(E$1:E867, E$1:E867&lt;&gt;""""),COUNTA(FILTER(E$1:E867, E$1:E867&lt;&gt;""""))))-1), IF('To Order'!$A868=COLUMNS($A868:E"&amp;"887), E867&amp;RIGHT(INDIRECT(ADDRESS(ROW(E868)-1, 'From Order'!$A868)), 1), E867))"),"")</f>
        <v/>
      </c>
      <c r="F868" s="2" t="str">
        <f>IFERROR(__xludf.DUMMYFUNCTION("IF('From Order'!$A868=COLUMNS($A868:F887), LEFT(INDEX(FILTER(F$1:F867, F$1:F867&lt;&gt;""""),COUNTA(FILTER(F$1:F867, F$1:F867&lt;&gt;""""))), LEN(INDEX(FILTER(F$1:F867, F$1:F867&lt;&gt;""""),COUNTA(FILTER(F$1:F867, F$1:F867&lt;&gt;""""))))-1), IF('To Order'!$A868=COLUMNS($A868:F"&amp;"887), F867&amp;RIGHT(INDIRECT(ADDRESS(ROW(F868)-1, 'From Order'!$A868)), 1), F867))"),"FSLTTWRDTDBDG")</f>
        <v>FSLTTWRDTDBDG</v>
      </c>
      <c r="G868" s="2" t="str">
        <f>IFERROR(__xludf.DUMMYFUNCTION("IF('From Order'!$A868=COLUMNS($A868:G887), LEFT(INDEX(FILTER(G$1:G867, G$1:G867&lt;&gt;""""),COUNTA(FILTER(G$1:G867, G$1:G867&lt;&gt;""""))), LEN(INDEX(FILTER(G$1:G867, G$1:G867&lt;&gt;""""),COUNTA(FILTER(G$1:G867, G$1:G867&lt;&gt;""""))))-1), IF('To Order'!$A868=COLUMNS($A868:G"&amp;"887), G867&amp;RIGHT(INDIRECT(ADDRESS(ROW(G868)-1, 'From Order'!$A868)), 1), G867))"),"DTRLRQPDSSGHWQP")</f>
        <v>DTRLRQPDSSGHWQP</v>
      </c>
      <c r="H868" s="2" t="str">
        <f>IFERROR(__xludf.DUMMYFUNCTION("IF('From Order'!$A868=COLUMNS($A868:H887), LEFT(INDEX(FILTER(H$1:H867, H$1:H867&lt;&gt;""""),COUNTA(FILTER(H$1:H867, H$1:H867&lt;&gt;""""))), LEN(INDEX(FILTER(H$1:H867, H$1:H867&lt;&gt;""""),COUNTA(FILTER(H$1:H867, H$1:H867&lt;&gt;""""))))-1), IF('To Order'!$A868=COLUMNS($A868:H"&amp;"887), H867&amp;RIGHT(INDIRECT(ADDRESS(ROW(H868)-1, 'From Order'!$A868)), 1), H867))"),"M")</f>
        <v>M</v>
      </c>
      <c r="I868" s="2" t="str">
        <f>IFERROR(__xludf.DUMMYFUNCTION("IF('From Order'!$A868=COLUMNS($A868:I887), LEFT(INDEX(FILTER(I$1:I867, I$1:I867&lt;&gt;""""),COUNTA(FILTER(I$1:I867, I$1:I867&lt;&gt;""""))), LEN(INDEX(FILTER(I$1:I867, I$1:I867&lt;&gt;""""),COUNTA(FILTER(I$1:I867, I$1:I867&lt;&gt;""""))))-1), IF('To Order'!$A868=COLUMNS($A868:I"&amp;"887), I867&amp;RIGHT(INDIRECT(ADDRESS(ROW(I868)-1, 'From Order'!$A868)), 1), I867))"),"LZMV")</f>
        <v>LZMV</v>
      </c>
    </row>
    <row r="869">
      <c r="A869" s="2" t="str">
        <f>IFERROR(__xludf.DUMMYFUNCTION("IF('From Order'!$A869=COLUMNS($A869:A888), LEFT(INDEX(FILTER(A$1:A868, A$1:A868&lt;&gt;""""),COUNTA(FILTER(A$1:A868, A$1:A868&lt;&gt;""""))), LEN(INDEX(FILTER(A$1:A868, A$1:A868&lt;&gt;""""),COUNTA(FILTER(A$1:A868, A$1:A868&lt;&gt;""""))))-1), IF('To Order'!$A869=COLUMNS($A869:A"&amp;"888), A868&amp;RIGHT(INDIRECT(ADDRESS(ROW(A869)-1, 'From Order'!$A869)), 1), A868))"),"BP")</f>
        <v>BP</v>
      </c>
      <c r="B869" s="2" t="str">
        <f>IFERROR(__xludf.DUMMYFUNCTION("IF('From Order'!$A869=COLUMNS($A869:B888), LEFT(INDEX(FILTER(B$1:B868, B$1:B868&lt;&gt;""""),COUNTA(FILTER(B$1:B868, B$1:B868&lt;&gt;""""))), LEN(INDEX(FILTER(B$1:B868, B$1:B868&lt;&gt;""""),COUNTA(FILTER(B$1:B868, B$1:B868&lt;&gt;""""))))-1), IF('To Order'!$A869=COLUMNS($A869:B"&amp;"888), B868&amp;RIGHT(INDIRECT(ADDRESS(ROW(B869)-1, 'From Order'!$A869)), 1), B868))"),"JZRDCJTTCRVCJVP")</f>
        <v>JZRDCJTTCRVCJVP</v>
      </c>
      <c r="C869" s="2" t="str">
        <f>IFERROR(__xludf.DUMMYFUNCTION("IF('From Order'!$A869=COLUMNS($A869:C888), LEFT(INDEX(FILTER(C$1:C868, C$1:C868&lt;&gt;""""),COUNTA(FILTER(C$1:C868, C$1:C868&lt;&gt;""""))), LEN(INDEX(FILTER(C$1:C868, C$1:C868&lt;&gt;""""),COUNTA(FILTER(C$1:C868, C$1:C868&lt;&gt;""""))))-1), IF('To Order'!$A869=COLUMNS($A869:C"&amp;"888), C868&amp;RIGHT(INDIRECT(ADDRESS(ROW(C869)-1, 'From Order'!$A869)), 1), C868))"),"")</f>
        <v/>
      </c>
      <c r="D869" s="2" t="str">
        <f>IFERROR(__xludf.DUMMYFUNCTION("IF('From Order'!$A869=COLUMNS($A869:D888), LEFT(INDEX(FILTER(D$1:D868, D$1:D868&lt;&gt;""""),COUNTA(FILTER(D$1:D868, D$1:D868&lt;&gt;""""))), LEN(INDEX(FILTER(D$1:D868, D$1:D868&lt;&gt;""""),COUNTA(FILTER(D$1:D868, D$1:D868&lt;&gt;""""))))-1), IF('To Order'!$A869=COLUMNS($A869:D"&amp;"888), D868&amp;RIGHT(INDIRECT(ADDRESS(ROW(D869)-1, 'From Order'!$A869)), 1), D868))"),"BFMHZBS")</f>
        <v>BFMHZBS</v>
      </c>
      <c r="E869" s="2" t="str">
        <f>IFERROR(__xludf.DUMMYFUNCTION("IF('From Order'!$A869=COLUMNS($A869:E888), LEFT(INDEX(FILTER(E$1:E868, E$1:E868&lt;&gt;""""),COUNTA(FILTER(E$1:E868, E$1:E868&lt;&gt;""""))), LEN(INDEX(FILTER(E$1:E868, E$1:E868&lt;&gt;""""),COUNTA(FILTER(E$1:E868, E$1:E868&lt;&gt;""""))))-1), IF('To Order'!$A869=COLUMNS($A869:E"&amp;"888), E868&amp;RIGHT(INDIRECT(ADDRESS(ROW(E869)-1, 'From Order'!$A869)), 1), E868))"),"")</f>
        <v/>
      </c>
      <c r="F869" s="2" t="str">
        <f>IFERROR(__xludf.DUMMYFUNCTION("IF('From Order'!$A869=COLUMNS($A869:F888), LEFT(INDEX(FILTER(F$1:F868, F$1:F868&lt;&gt;""""),COUNTA(FILTER(F$1:F868, F$1:F868&lt;&gt;""""))), LEN(INDEX(FILTER(F$1:F868, F$1:F868&lt;&gt;""""),COUNTA(FILTER(F$1:F868, F$1:F868&lt;&gt;""""))))-1), IF('To Order'!$A869=COLUMNS($A869:F"&amp;"888), F868&amp;RIGHT(INDIRECT(ADDRESS(ROW(F869)-1, 'From Order'!$A869)), 1), F868))"),"FSLTTWRDTDBDG")</f>
        <v>FSLTTWRDTDBDG</v>
      </c>
      <c r="G869" s="2" t="str">
        <f>IFERROR(__xludf.DUMMYFUNCTION("IF('From Order'!$A869=COLUMNS($A869:G888), LEFT(INDEX(FILTER(G$1:G868, G$1:G868&lt;&gt;""""),COUNTA(FILTER(G$1:G868, G$1:G868&lt;&gt;""""))), LEN(INDEX(FILTER(G$1:G868, G$1:G868&lt;&gt;""""),COUNTA(FILTER(G$1:G868, G$1:G868&lt;&gt;""""))))-1), IF('To Order'!$A869=COLUMNS($A869:G"&amp;"888), G868&amp;RIGHT(INDIRECT(ADDRESS(ROW(G869)-1, 'From Order'!$A869)), 1), G868))"),"DTRLRQPDSSGHWQ")</f>
        <v>DTRLRQPDSSGHWQ</v>
      </c>
      <c r="H869" s="2" t="str">
        <f>IFERROR(__xludf.DUMMYFUNCTION("IF('From Order'!$A869=COLUMNS($A869:H888), LEFT(INDEX(FILTER(H$1:H868, H$1:H868&lt;&gt;""""),COUNTA(FILTER(H$1:H868, H$1:H868&lt;&gt;""""))), LEN(INDEX(FILTER(H$1:H868, H$1:H868&lt;&gt;""""),COUNTA(FILTER(H$1:H868, H$1:H868&lt;&gt;""""))))-1), IF('To Order'!$A869=COLUMNS($A869:H"&amp;"888), H868&amp;RIGHT(INDIRECT(ADDRESS(ROW(H869)-1, 'From Order'!$A869)), 1), H868))"),"M")</f>
        <v>M</v>
      </c>
      <c r="I869" s="2" t="str">
        <f>IFERROR(__xludf.DUMMYFUNCTION("IF('From Order'!$A869=COLUMNS($A869:I888), LEFT(INDEX(FILTER(I$1:I868, I$1:I868&lt;&gt;""""),COUNTA(FILTER(I$1:I868, I$1:I868&lt;&gt;""""))), LEN(INDEX(FILTER(I$1:I868, I$1:I868&lt;&gt;""""),COUNTA(FILTER(I$1:I868, I$1:I868&lt;&gt;""""))))-1), IF('To Order'!$A869=COLUMNS($A869:I"&amp;"888), I868&amp;RIGHT(INDIRECT(ADDRESS(ROW(I869)-1, 'From Order'!$A869)), 1), I868))"),"LZMV")</f>
        <v>LZMV</v>
      </c>
    </row>
    <row r="870">
      <c r="A870" s="2" t="str">
        <f>IFERROR(__xludf.DUMMYFUNCTION("IF('From Order'!$A870=COLUMNS($A870:A889), LEFT(INDEX(FILTER(A$1:A869, A$1:A869&lt;&gt;""""),COUNTA(FILTER(A$1:A869, A$1:A869&lt;&gt;""""))), LEN(INDEX(FILTER(A$1:A869, A$1:A869&lt;&gt;""""),COUNTA(FILTER(A$1:A869, A$1:A869&lt;&gt;""""))))-1), IF('To Order'!$A870=COLUMNS($A870:A"&amp;"889), A869&amp;RIGHT(INDIRECT(ADDRESS(ROW(A870)-1, 'From Order'!$A870)), 1), A869))"),"B")</f>
        <v>B</v>
      </c>
      <c r="B870" s="2" t="str">
        <f>IFERROR(__xludf.DUMMYFUNCTION("IF('From Order'!$A870=COLUMNS($A870:B889), LEFT(INDEX(FILTER(B$1:B869, B$1:B869&lt;&gt;""""),COUNTA(FILTER(B$1:B869, B$1:B869&lt;&gt;""""))), LEN(INDEX(FILTER(B$1:B869, B$1:B869&lt;&gt;""""),COUNTA(FILTER(B$1:B869, B$1:B869&lt;&gt;""""))))-1), IF('To Order'!$A870=COLUMNS($A870:B"&amp;"889), B869&amp;RIGHT(INDIRECT(ADDRESS(ROW(B870)-1, 'From Order'!$A870)), 1), B869))"),"JZRDCJTTCRVCJVPP")</f>
        <v>JZRDCJTTCRVCJVPP</v>
      </c>
      <c r="C870" s="2" t="str">
        <f>IFERROR(__xludf.DUMMYFUNCTION("IF('From Order'!$A870=COLUMNS($A870:C889), LEFT(INDEX(FILTER(C$1:C869, C$1:C869&lt;&gt;""""),COUNTA(FILTER(C$1:C869, C$1:C869&lt;&gt;""""))), LEN(INDEX(FILTER(C$1:C869, C$1:C869&lt;&gt;""""),COUNTA(FILTER(C$1:C869, C$1:C869&lt;&gt;""""))))-1), IF('To Order'!$A870=COLUMNS($A870:C"&amp;"889), C869&amp;RIGHT(INDIRECT(ADDRESS(ROW(C870)-1, 'From Order'!$A870)), 1), C869))"),"")</f>
        <v/>
      </c>
      <c r="D870" s="2" t="str">
        <f>IFERROR(__xludf.DUMMYFUNCTION("IF('From Order'!$A870=COLUMNS($A870:D889), LEFT(INDEX(FILTER(D$1:D869, D$1:D869&lt;&gt;""""),COUNTA(FILTER(D$1:D869, D$1:D869&lt;&gt;""""))), LEN(INDEX(FILTER(D$1:D869, D$1:D869&lt;&gt;""""),COUNTA(FILTER(D$1:D869, D$1:D869&lt;&gt;""""))))-1), IF('To Order'!$A870=COLUMNS($A870:D"&amp;"889), D869&amp;RIGHT(INDIRECT(ADDRESS(ROW(D870)-1, 'From Order'!$A870)), 1), D869))"),"BFMHZBS")</f>
        <v>BFMHZBS</v>
      </c>
      <c r="E870" s="2" t="str">
        <f>IFERROR(__xludf.DUMMYFUNCTION("IF('From Order'!$A870=COLUMNS($A870:E889), LEFT(INDEX(FILTER(E$1:E869, E$1:E869&lt;&gt;""""),COUNTA(FILTER(E$1:E869, E$1:E869&lt;&gt;""""))), LEN(INDEX(FILTER(E$1:E869, E$1:E869&lt;&gt;""""),COUNTA(FILTER(E$1:E869, E$1:E869&lt;&gt;""""))))-1), IF('To Order'!$A870=COLUMNS($A870:E"&amp;"889), E869&amp;RIGHT(INDIRECT(ADDRESS(ROW(E870)-1, 'From Order'!$A870)), 1), E869))"),"")</f>
        <v/>
      </c>
      <c r="F870" s="2" t="str">
        <f>IFERROR(__xludf.DUMMYFUNCTION("IF('From Order'!$A870=COLUMNS($A870:F889), LEFT(INDEX(FILTER(F$1:F869, F$1:F869&lt;&gt;""""),COUNTA(FILTER(F$1:F869, F$1:F869&lt;&gt;""""))), LEN(INDEX(FILTER(F$1:F869, F$1:F869&lt;&gt;""""),COUNTA(FILTER(F$1:F869, F$1:F869&lt;&gt;""""))))-1), IF('To Order'!$A870=COLUMNS($A870:F"&amp;"889), F869&amp;RIGHT(INDIRECT(ADDRESS(ROW(F870)-1, 'From Order'!$A870)), 1), F869))"),"FSLTTWRDTDBDG")</f>
        <v>FSLTTWRDTDBDG</v>
      </c>
      <c r="G870" s="2" t="str">
        <f>IFERROR(__xludf.DUMMYFUNCTION("IF('From Order'!$A870=COLUMNS($A870:G889), LEFT(INDEX(FILTER(G$1:G869, G$1:G869&lt;&gt;""""),COUNTA(FILTER(G$1:G869, G$1:G869&lt;&gt;""""))), LEN(INDEX(FILTER(G$1:G869, G$1:G869&lt;&gt;""""),COUNTA(FILTER(G$1:G869, G$1:G869&lt;&gt;""""))))-1), IF('To Order'!$A870=COLUMNS($A870:G"&amp;"889), G869&amp;RIGHT(INDIRECT(ADDRESS(ROW(G870)-1, 'From Order'!$A870)), 1), G869))"),"DTRLRQPDSSGHWQ")</f>
        <v>DTRLRQPDSSGHWQ</v>
      </c>
      <c r="H870" s="2" t="str">
        <f>IFERROR(__xludf.DUMMYFUNCTION("IF('From Order'!$A870=COLUMNS($A870:H889), LEFT(INDEX(FILTER(H$1:H869, H$1:H869&lt;&gt;""""),COUNTA(FILTER(H$1:H869, H$1:H869&lt;&gt;""""))), LEN(INDEX(FILTER(H$1:H869, H$1:H869&lt;&gt;""""),COUNTA(FILTER(H$1:H869, H$1:H869&lt;&gt;""""))))-1), IF('To Order'!$A870=COLUMNS($A870:H"&amp;"889), H869&amp;RIGHT(INDIRECT(ADDRESS(ROW(H870)-1, 'From Order'!$A870)), 1), H869))"),"M")</f>
        <v>M</v>
      </c>
      <c r="I870" s="2" t="str">
        <f>IFERROR(__xludf.DUMMYFUNCTION("IF('From Order'!$A870=COLUMNS($A870:I889), LEFT(INDEX(FILTER(I$1:I869, I$1:I869&lt;&gt;""""),COUNTA(FILTER(I$1:I869, I$1:I869&lt;&gt;""""))), LEN(INDEX(FILTER(I$1:I869, I$1:I869&lt;&gt;""""),COUNTA(FILTER(I$1:I869, I$1:I869&lt;&gt;""""))))-1), IF('To Order'!$A870=COLUMNS($A870:I"&amp;"889), I869&amp;RIGHT(INDIRECT(ADDRESS(ROW(I870)-1, 'From Order'!$A870)), 1), I869))"),"LZMV")</f>
        <v>LZMV</v>
      </c>
    </row>
    <row r="871">
      <c r="A871" s="2" t="str">
        <f>IFERROR(__xludf.DUMMYFUNCTION("IF('From Order'!$A871=COLUMNS($A871:A890), LEFT(INDEX(FILTER(A$1:A870, A$1:A870&lt;&gt;""""),COUNTA(FILTER(A$1:A870, A$1:A870&lt;&gt;""""))), LEN(INDEX(FILTER(A$1:A870, A$1:A870&lt;&gt;""""),COUNTA(FILTER(A$1:A870, A$1:A870&lt;&gt;""""))))-1), IF('To Order'!$A871=COLUMNS($A871:A"&amp;"890), A870&amp;RIGHT(INDIRECT(ADDRESS(ROW(A871)-1, 'From Order'!$A871)), 1), A870))"),"")</f>
        <v/>
      </c>
      <c r="B871" s="2" t="str">
        <f>IFERROR(__xludf.DUMMYFUNCTION("IF('From Order'!$A871=COLUMNS($A871:B890), LEFT(INDEX(FILTER(B$1:B870, B$1:B870&lt;&gt;""""),COUNTA(FILTER(B$1:B870, B$1:B870&lt;&gt;""""))), LEN(INDEX(FILTER(B$1:B870, B$1:B870&lt;&gt;""""),COUNTA(FILTER(B$1:B870, B$1:B870&lt;&gt;""""))))-1), IF('To Order'!$A871=COLUMNS($A871:B"&amp;"890), B870&amp;RIGHT(INDIRECT(ADDRESS(ROW(B871)-1, 'From Order'!$A871)), 1), B870))"),"JZRDCJTTCRVCJVPPB")</f>
        <v>JZRDCJTTCRVCJVPPB</v>
      </c>
      <c r="C871" s="2" t="str">
        <f>IFERROR(__xludf.DUMMYFUNCTION("IF('From Order'!$A871=COLUMNS($A871:C890), LEFT(INDEX(FILTER(C$1:C870, C$1:C870&lt;&gt;""""),COUNTA(FILTER(C$1:C870, C$1:C870&lt;&gt;""""))), LEN(INDEX(FILTER(C$1:C870, C$1:C870&lt;&gt;""""),COUNTA(FILTER(C$1:C870, C$1:C870&lt;&gt;""""))))-1), IF('To Order'!$A871=COLUMNS($A871:C"&amp;"890), C870&amp;RIGHT(INDIRECT(ADDRESS(ROW(C871)-1, 'From Order'!$A871)), 1), C870))"),"")</f>
        <v/>
      </c>
      <c r="D871" s="2" t="str">
        <f>IFERROR(__xludf.DUMMYFUNCTION("IF('From Order'!$A871=COLUMNS($A871:D890), LEFT(INDEX(FILTER(D$1:D870, D$1:D870&lt;&gt;""""),COUNTA(FILTER(D$1:D870, D$1:D870&lt;&gt;""""))), LEN(INDEX(FILTER(D$1:D870, D$1:D870&lt;&gt;""""),COUNTA(FILTER(D$1:D870, D$1:D870&lt;&gt;""""))))-1), IF('To Order'!$A871=COLUMNS($A871:D"&amp;"890), D870&amp;RIGHT(INDIRECT(ADDRESS(ROW(D871)-1, 'From Order'!$A871)), 1), D870))"),"BFMHZBS")</f>
        <v>BFMHZBS</v>
      </c>
      <c r="E871" s="2" t="str">
        <f>IFERROR(__xludf.DUMMYFUNCTION("IF('From Order'!$A871=COLUMNS($A871:E890), LEFT(INDEX(FILTER(E$1:E870, E$1:E870&lt;&gt;""""),COUNTA(FILTER(E$1:E870, E$1:E870&lt;&gt;""""))), LEN(INDEX(FILTER(E$1:E870, E$1:E870&lt;&gt;""""),COUNTA(FILTER(E$1:E870, E$1:E870&lt;&gt;""""))))-1), IF('To Order'!$A871=COLUMNS($A871:E"&amp;"890), E870&amp;RIGHT(INDIRECT(ADDRESS(ROW(E871)-1, 'From Order'!$A871)), 1), E870))"),"")</f>
        <v/>
      </c>
      <c r="F871" s="2" t="str">
        <f>IFERROR(__xludf.DUMMYFUNCTION("IF('From Order'!$A871=COLUMNS($A871:F890), LEFT(INDEX(FILTER(F$1:F870, F$1:F870&lt;&gt;""""),COUNTA(FILTER(F$1:F870, F$1:F870&lt;&gt;""""))), LEN(INDEX(FILTER(F$1:F870, F$1:F870&lt;&gt;""""),COUNTA(FILTER(F$1:F870, F$1:F870&lt;&gt;""""))))-1), IF('To Order'!$A871=COLUMNS($A871:F"&amp;"890), F870&amp;RIGHT(INDIRECT(ADDRESS(ROW(F871)-1, 'From Order'!$A871)), 1), F870))"),"FSLTTWRDTDBDG")</f>
        <v>FSLTTWRDTDBDG</v>
      </c>
      <c r="G871" s="2" t="str">
        <f>IFERROR(__xludf.DUMMYFUNCTION("IF('From Order'!$A871=COLUMNS($A871:G890), LEFT(INDEX(FILTER(G$1:G870, G$1:G870&lt;&gt;""""),COUNTA(FILTER(G$1:G870, G$1:G870&lt;&gt;""""))), LEN(INDEX(FILTER(G$1:G870, G$1:G870&lt;&gt;""""),COUNTA(FILTER(G$1:G870, G$1:G870&lt;&gt;""""))))-1), IF('To Order'!$A871=COLUMNS($A871:G"&amp;"890), G870&amp;RIGHT(INDIRECT(ADDRESS(ROW(G871)-1, 'From Order'!$A871)), 1), G870))"),"DTRLRQPDSSGHWQ")</f>
        <v>DTRLRQPDSSGHWQ</v>
      </c>
      <c r="H871" s="2" t="str">
        <f>IFERROR(__xludf.DUMMYFUNCTION("IF('From Order'!$A871=COLUMNS($A871:H890), LEFT(INDEX(FILTER(H$1:H870, H$1:H870&lt;&gt;""""),COUNTA(FILTER(H$1:H870, H$1:H870&lt;&gt;""""))), LEN(INDEX(FILTER(H$1:H870, H$1:H870&lt;&gt;""""),COUNTA(FILTER(H$1:H870, H$1:H870&lt;&gt;""""))))-1), IF('To Order'!$A871=COLUMNS($A871:H"&amp;"890), H870&amp;RIGHT(INDIRECT(ADDRESS(ROW(H871)-1, 'From Order'!$A871)), 1), H870))"),"M")</f>
        <v>M</v>
      </c>
      <c r="I871" s="2" t="str">
        <f>IFERROR(__xludf.DUMMYFUNCTION("IF('From Order'!$A871=COLUMNS($A871:I890), LEFT(INDEX(FILTER(I$1:I870, I$1:I870&lt;&gt;""""),COUNTA(FILTER(I$1:I870, I$1:I870&lt;&gt;""""))), LEN(INDEX(FILTER(I$1:I870, I$1:I870&lt;&gt;""""),COUNTA(FILTER(I$1:I870, I$1:I870&lt;&gt;""""))))-1), IF('To Order'!$A871=COLUMNS($A871:I"&amp;"890), I870&amp;RIGHT(INDIRECT(ADDRESS(ROW(I871)-1, 'From Order'!$A871)), 1), I870))"),"LZMV")</f>
        <v>LZMV</v>
      </c>
    </row>
    <row r="872">
      <c r="A872" s="2" t="str">
        <f>IFERROR(__xludf.DUMMYFUNCTION("IF('From Order'!$A872=COLUMNS($A872:A891), LEFT(INDEX(FILTER(A$1:A871, A$1:A871&lt;&gt;""""),COUNTA(FILTER(A$1:A871, A$1:A871&lt;&gt;""""))), LEN(INDEX(FILTER(A$1:A871, A$1:A871&lt;&gt;""""),COUNTA(FILTER(A$1:A871, A$1:A871&lt;&gt;""""))))-1), IF('To Order'!$A872=COLUMNS($A872:A"&amp;"891), A871&amp;RIGHT(INDIRECT(ADDRESS(ROW(A872)-1, 'From Order'!$A872)), 1), A871))"),"")</f>
        <v/>
      </c>
      <c r="B872" s="2" t="str">
        <f>IFERROR(__xludf.DUMMYFUNCTION("IF('From Order'!$A872=COLUMNS($A872:B891), LEFT(INDEX(FILTER(B$1:B871, B$1:B871&lt;&gt;""""),COUNTA(FILTER(B$1:B871, B$1:B871&lt;&gt;""""))), LEN(INDEX(FILTER(B$1:B871, B$1:B871&lt;&gt;""""),COUNTA(FILTER(B$1:B871, B$1:B871&lt;&gt;""""))))-1), IF('To Order'!$A872=COLUMNS($A872:B"&amp;"891), B871&amp;RIGHT(INDIRECT(ADDRESS(ROW(B872)-1, 'From Order'!$A872)), 1), B871))"),"JZRDCJTTCRVCJVPP")</f>
        <v>JZRDCJTTCRVCJVPP</v>
      </c>
      <c r="C872" s="2" t="str">
        <f>IFERROR(__xludf.DUMMYFUNCTION("IF('From Order'!$A872=COLUMNS($A872:C891), LEFT(INDEX(FILTER(C$1:C871, C$1:C871&lt;&gt;""""),COUNTA(FILTER(C$1:C871, C$1:C871&lt;&gt;""""))), LEN(INDEX(FILTER(C$1:C871, C$1:C871&lt;&gt;""""),COUNTA(FILTER(C$1:C871, C$1:C871&lt;&gt;""""))))-1), IF('To Order'!$A872=COLUMNS($A872:C"&amp;"891), C871&amp;RIGHT(INDIRECT(ADDRESS(ROW(C872)-1, 'From Order'!$A872)), 1), C871))"),"")</f>
        <v/>
      </c>
      <c r="D872" s="2" t="str">
        <f>IFERROR(__xludf.DUMMYFUNCTION("IF('From Order'!$A872=COLUMNS($A872:D891), LEFT(INDEX(FILTER(D$1:D871, D$1:D871&lt;&gt;""""),COUNTA(FILTER(D$1:D871, D$1:D871&lt;&gt;""""))), LEN(INDEX(FILTER(D$1:D871, D$1:D871&lt;&gt;""""),COUNTA(FILTER(D$1:D871, D$1:D871&lt;&gt;""""))))-1), IF('To Order'!$A872=COLUMNS($A872:D"&amp;"891), D871&amp;RIGHT(INDIRECT(ADDRESS(ROW(D872)-1, 'From Order'!$A872)), 1), D871))"),"BFMHZBSB")</f>
        <v>BFMHZBSB</v>
      </c>
      <c r="E872" s="2" t="str">
        <f>IFERROR(__xludf.DUMMYFUNCTION("IF('From Order'!$A872=COLUMNS($A872:E891), LEFT(INDEX(FILTER(E$1:E871, E$1:E871&lt;&gt;""""),COUNTA(FILTER(E$1:E871, E$1:E871&lt;&gt;""""))), LEN(INDEX(FILTER(E$1:E871, E$1:E871&lt;&gt;""""),COUNTA(FILTER(E$1:E871, E$1:E871&lt;&gt;""""))))-1), IF('To Order'!$A872=COLUMNS($A872:E"&amp;"891), E871&amp;RIGHT(INDIRECT(ADDRESS(ROW(E872)-1, 'From Order'!$A872)), 1), E871))"),"")</f>
        <v/>
      </c>
      <c r="F872" s="2" t="str">
        <f>IFERROR(__xludf.DUMMYFUNCTION("IF('From Order'!$A872=COLUMNS($A872:F891), LEFT(INDEX(FILTER(F$1:F871, F$1:F871&lt;&gt;""""),COUNTA(FILTER(F$1:F871, F$1:F871&lt;&gt;""""))), LEN(INDEX(FILTER(F$1:F871, F$1:F871&lt;&gt;""""),COUNTA(FILTER(F$1:F871, F$1:F871&lt;&gt;""""))))-1), IF('To Order'!$A872=COLUMNS($A872:F"&amp;"891), F871&amp;RIGHT(INDIRECT(ADDRESS(ROW(F872)-1, 'From Order'!$A872)), 1), F871))"),"FSLTTWRDTDBDG")</f>
        <v>FSLTTWRDTDBDG</v>
      </c>
      <c r="G872" s="2" t="str">
        <f>IFERROR(__xludf.DUMMYFUNCTION("IF('From Order'!$A872=COLUMNS($A872:G891), LEFT(INDEX(FILTER(G$1:G871, G$1:G871&lt;&gt;""""),COUNTA(FILTER(G$1:G871, G$1:G871&lt;&gt;""""))), LEN(INDEX(FILTER(G$1:G871, G$1:G871&lt;&gt;""""),COUNTA(FILTER(G$1:G871, G$1:G871&lt;&gt;""""))))-1), IF('To Order'!$A872=COLUMNS($A872:G"&amp;"891), G871&amp;RIGHT(INDIRECT(ADDRESS(ROW(G872)-1, 'From Order'!$A872)), 1), G871))"),"DTRLRQPDSSGHWQ")</f>
        <v>DTRLRQPDSSGHWQ</v>
      </c>
      <c r="H872" s="2" t="str">
        <f>IFERROR(__xludf.DUMMYFUNCTION("IF('From Order'!$A872=COLUMNS($A872:H891), LEFT(INDEX(FILTER(H$1:H871, H$1:H871&lt;&gt;""""),COUNTA(FILTER(H$1:H871, H$1:H871&lt;&gt;""""))), LEN(INDEX(FILTER(H$1:H871, H$1:H871&lt;&gt;""""),COUNTA(FILTER(H$1:H871, H$1:H871&lt;&gt;""""))))-1), IF('To Order'!$A872=COLUMNS($A872:H"&amp;"891), H871&amp;RIGHT(INDIRECT(ADDRESS(ROW(H872)-1, 'From Order'!$A872)), 1), H871))"),"M")</f>
        <v>M</v>
      </c>
      <c r="I872" s="2" t="str">
        <f>IFERROR(__xludf.DUMMYFUNCTION("IF('From Order'!$A872=COLUMNS($A872:I891), LEFT(INDEX(FILTER(I$1:I871, I$1:I871&lt;&gt;""""),COUNTA(FILTER(I$1:I871, I$1:I871&lt;&gt;""""))), LEN(INDEX(FILTER(I$1:I871, I$1:I871&lt;&gt;""""),COUNTA(FILTER(I$1:I871, I$1:I871&lt;&gt;""""))))-1), IF('To Order'!$A872=COLUMNS($A872:I"&amp;"891), I871&amp;RIGHT(INDIRECT(ADDRESS(ROW(I872)-1, 'From Order'!$A872)), 1), I871))"),"LZMV")</f>
        <v>LZMV</v>
      </c>
    </row>
    <row r="873">
      <c r="A873" s="2" t="str">
        <f>IFERROR(__xludf.DUMMYFUNCTION("IF('From Order'!$A873=COLUMNS($A873:A892), LEFT(INDEX(FILTER(A$1:A872, A$1:A872&lt;&gt;""""),COUNTA(FILTER(A$1:A872, A$1:A872&lt;&gt;""""))), LEN(INDEX(FILTER(A$1:A872, A$1:A872&lt;&gt;""""),COUNTA(FILTER(A$1:A872, A$1:A872&lt;&gt;""""))))-1), IF('To Order'!$A873=COLUMNS($A873:A"&amp;"892), A872&amp;RIGHT(INDIRECT(ADDRESS(ROW(A873)-1, 'From Order'!$A873)), 1), A872))"),"")</f>
        <v/>
      </c>
      <c r="B873" s="2" t="str">
        <f>IFERROR(__xludf.DUMMYFUNCTION("IF('From Order'!$A873=COLUMNS($A873:B892), LEFT(INDEX(FILTER(B$1:B872, B$1:B872&lt;&gt;""""),COUNTA(FILTER(B$1:B872, B$1:B872&lt;&gt;""""))), LEN(INDEX(FILTER(B$1:B872, B$1:B872&lt;&gt;""""),COUNTA(FILTER(B$1:B872, B$1:B872&lt;&gt;""""))))-1), IF('To Order'!$A873=COLUMNS($A873:B"&amp;"892), B872&amp;RIGHT(INDIRECT(ADDRESS(ROW(B873)-1, 'From Order'!$A873)), 1), B872))"),"JZRDCJTTCRVCJVP")</f>
        <v>JZRDCJTTCRVCJVP</v>
      </c>
      <c r="C873" s="2" t="str">
        <f>IFERROR(__xludf.DUMMYFUNCTION("IF('From Order'!$A873=COLUMNS($A873:C892), LEFT(INDEX(FILTER(C$1:C872, C$1:C872&lt;&gt;""""),COUNTA(FILTER(C$1:C872, C$1:C872&lt;&gt;""""))), LEN(INDEX(FILTER(C$1:C872, C$1:C872&lt;&gt;""""),COUNTA(FILTER(C$1:C872, C$1:C872&lt;&gt;""""))))-1), IF('To Order'!$A873=COLUMNS($A873:C"&amp;"892), C872&amp;RIGHT(INDIRECT(ADDRESS(ROW(C873)-1, 'From Order'!$A873)), 1), C872))"),"")</f>
        <v/>
      </c>
      <c r="D873" s="2" t="str">
        <f>IFERROR(__xludf.DUMMYFUNCTION("IF('From Order'!$A873=COLUMNS($A873:D892), LEFT(INDEX(FILTER(D$1:D872, D$1:D872&lt;&gt;""""),COUNTA(FILTER(D$1:D872, D$1:D872&lt;&gt;""""))), LEN(INDEX(FILTER(D$1:D872, D$1:D872&lt;&gt;""""),COUNTA(FILTER(D$1:D872, D$1:D872&lt;&gt;""""))))-1), IF('To Order'!$A873=COLUMNS($A873:D"&amp;"892), D872&amp;RIGHT(INDIRECT(ADDRESS(ROW(D873)-1, 'From Order'!$A873)), 1), D872))"),"BFMHZBSBP")</f>
        <v>BFMHZBSBP</v>
      </c>
      <c r="E873" s="2" t="str">
        <f>IFERROR(__xludf.DUMMYFUNCTION("IF('From Order'!$A873=COLUMNS($A873:E892), LEFT(INDEX(FILTER(E$1:E872, E$1:E872&lt;&gt;""""),COUNTA(FILTER(E$1:E872, E$1:E872&lt;&gt;""""))), LEN(INDEX(FILTER(E$1:E872, E$1:E872&lt;&gt;""""),COUNTA(FILTER(E$1:E872, E$1:E872&lt;&gt;""""))))-1), IF('To Order'!$A873=COLUMNS($A873:E"&amp;"892), E872&amp;RIGHT(INDIRECT(ADDRESS(ROW(E873)-1, 'From Order'!$A873)), 1), E872))"),"")</f>
        <v/>
      </c>
      <c r="F873" s="2" t="str">
        <f>IFERROR(__xludf.DUMMYFUNCTION("IF('From Order'!$A873=COLUMNS($A873:F892), LEFT(INDEX(FILTER(F$1:F872, F$1:F872&lt;&gt;""""),COUNTA(FILTER(F$1:F872, F$1:F872&lt;&gt;""""))), LEN(INDEX(FILTER(F$1:F872, F$1:F872&lt;&gt;""""),COUNTA(FILTER(F$1:F872, F$1:F872&lt;&gt;""""))))-1), IF('To Order'!$A873=COLUMNS($A873:F"&amp;"892), F872&amp;RIGHT(INDIRECT(ADDRESS(ROW(F873)-1, 'From Order'!$A873)), 1), F872))"),"FSLTTWRDTDBDG")</f>
        <v>FSLTTWRDTDBDG</v>
      </c>
      <c r="G873" s="2" t="str">
        <f>IFERROR(__xludf.DUMMYFUNCTION("IF('From Order'!$A873=COLUMNS($A873:G892), LEFT(INDEX(FILTER(G$1:G872, G$1:G872&lt;&gt;""""),COUNTA(FILTER(G$1:G872, G$1:G872&lt;&gt;""""))), LEN(INDEX(FILTER(G$1:G872, G$1:G872&lt;&gt;""""),COUNTA(FILTER(G$1:G872, G$1:G872&lt;&gt;""""))))-1), IF('To Order'!$A873=COLUMNS($A873:G"&amp;"892), G872&amp;RIGHT(INDIRECT(ADDRESS(ROW(G873)-1, 'From Order'!$A873)), 1), G872))"),"DTRLRQPDSSGHWQ")</f>
        <v>DTRLRQPDSSGHWQ</v>
      </c>
      <c r="H873" s="2" t="str">
        <f>IFERROR(__xludf.DUMMYFUNCTION("IF('From Order'!$A873=COLUMNS($A873:H892), LEFT(INDEX(FILTER(H$1:H872, H$1:H872&lt;&gt;""""),COUNTA(FILTER(H$1:H872, H$1:H872&lt;&gt;""""))), LEN(INDEX(FILTER(H$1:H872, H$1:H872&lt;&gt;""""),COUNTA(FILTER(H$1:H872, H$1:H872&lt;&gt;""""))))-1), IF('To Order'!$A873=COLUMNS($A873:H"&amp;"892), H872&amp;RIGHT(INDIRECT(ADDRESS(ROW(H873)-1, 'From Order'!$A873)), 1), H872))"),"M")</f>
        <v>M</v>
      </c>
      <c r="I873" s="2" t="str">
        <f>IFERROR(__xludf.DUMMYFUNCTION("IF('From Order'!$A873=COLUMNS($A873:I892), LEFT(INDEX(FILTER(I$1:I872, I$1:I872&lt;&gt;""""),COUNTA(FILTER(I$1:I872, I$1:I872&lt;&gt;""""))), LEN(INDEX(FILTER(I$1:I872, I$1:I872&lt;&gt;""""),COUNTA(FILTER(I$1:I872, I$1:I872&lt;&gt;""""))))-1), IF('To Order'!$A873=COLUMNS($A873:I"&amp;"892), I872&amp;RIGHT(INDIRECT(ADDRESS(ROW(I873)-1, 'From Order'!$A873)), 1), I872))"),"LZMV")</f>
        <v>LZMV</v>
      </c>
    </row>
    <row r="874">
      <c r="A874" s="2" t="str">
        <f>IFERROR(__xludf.DUMMYFUNCTION("IF('From Order'!$A874=COLUMNS($A874:A893), LEFT(INDEX(FILTER(A$1:A873, A$1:A873&lt;&gt;""""),COUNTA(FILTER(A$1:A873, A$1:A873&lt;&gt;""""))), LEN(INDEX(FILTER(A$1:A873, A$1:A873&lt;&gt;""""),COUNTA(FILTER(A$1:A873, A$1:A873&lt;&gt;""""))))-1), IF('To Order'!$A874=COLUMNS($A874:A"&amp;"893), A873&amp;RIGHT(INDIRECT(ADDRESS(ROW(A874)-1, 'From Order'!$A874)), 1), A873))"),"")</f>
        <v/>
      </c>
      <c r="B874" s="2" t="str">
        <f>IFERROR(__xludf.DUMMYFUNCTION("IF('From Order'!$A874=COLUMNS($A874:B893), LEFT(INDEX(FILTER(B$1:B873, B$1:B873&lt;&gt;""""),COUNTA(FILTER(B$1:B873, B$1:B873&lt;&gt;""""))), LEN(INDEX(FILTER(B$1:B873, B$1:B873&lt;&gt;""""),COUNTA(FILTER(B$1:B873, B$1:B873&lt;&gt;""""))))-1), IF('To Order'!$A874=COLUMNS($A874:B"&amp;"893), B873&amp;RIGHT(INDIRECT(ADDRESS(ROW(B874)-1, 'From Order'!$A874)), 1), B873))"),"JZRDCJTTCRVCJV")</f>
        <v>JZRDCJTTCRVCJV</v>
      </c>
      <c r="C874" s="2" t="str">
        <f>IFERROR(__xludf.DUMMYFUNCTION("IF('From Order'!$A874=COLUMNS($A874:C893), LEFT(INDEX(FILTER(C$1:C873, C$1:C873&lt;&gt;""""),COUNTA(FILTER(C$1:C873, C$1:C873&lt;&gt;""""))), LEN(INDEX(FILTER(C$1:C873, C$1:C873&lt;&gt;""""),COUNTA(FILTER(C$1:C873, C$1:C873&lt;&gt;""""))))-1), IF('To Order'!$A874=COLUMNS($A874:C"&amp;"893), C873&amp;RIGHT(INDIRECT(ADDRESS(ROW(C874)-1, 'From Order'!$A874)), 1), C873))"),"")</f>
        <v/>
      </c>
      <c r="D874" s="2" t="str">
        <f>IFERROR(__xludf.DUMMYFUNCTION("IF('From Order'!$A874=COLUMNS($A874:D893), LEFT(INDEX(FILTER(D$1:D873, D$1:D873&lt;&gt;""""),COUNTA(FILTER(D$1:D873, D$1:D873&lt;&gt;""""))), LEN(INDEX(FILTER(D$1:D873, D$1:D873&lt;&gt;""""),COUNTA(FILTER(D$1:D873, D$1:D873&lt;&gt;""""))))-1), IF('To Order'!$A874=COLUMNS($A874:D"&amp;"893), D873&amp;RIGHT(INDIRECT(ADDRESS(ROW(D874)-1, 'From Order'!$A874)), 1), D873))"),"BFMHZBSBPP")</f>
        <v>BFMHZBSBPP</v>
      </c>
      <c r="E874" s="2" t="str">
        <f>IFERROR(__xludf.DUMMYFUNCTION("IF('From Order'!$A874=COLUMNS($A874:E893), LEFT(INDEX(FILTER(E$1:E873, E$1:E873&lt;&gt;""""),COUNTA(FILTER(E$1:E873, E$1:E873&lt;&gt;""""))), LEN(INDEX(FILTER(E$1:E873, E$1:E873&lt;&gt;""""),COUNTA(FILTER(E$1:E873, E$1:E873&lt;&gt;""""))))-1), IF('To Order'!$A874=COLUMNS($A874:E"&amp;"893), E873&amp;RIGHT(INDIRECT(ADDRESS(ROW(E874)-1, 'From Order'!$A874)), 1), E873))"),"")</f>
        <v/>
      </c>
      <c r="F874" s="2" t="str">
        <f>IFERROR(__xludf.DUMMYFUNCTION("IF('From Order'!$A874=COLUMNS($A874:F893), LEFT(INDEX(FILTER(F$1:F873, F$1:F873&lt;&gt;""""),COUNTA(FILTER(F$1:F873, F$1:F873&lt;&gt;""""))), LEN(INDEX(FILTER(F$1:F873, F$1:F873&lt;&gt;""""),COUNTA(FILTER(F$1:F873, F$1:F873&lt;&gt;""""))))-1), IF('To Order'!$A874=COLUMNS($A874:F"&amp;"893), F873&amp;RIGHT(INDIRECT(ADDRESS(ROW(F874)-1, 'From Order'!$A874)), 1), F873))"),"FSLTTWRDTDBDG")</f>
        <v>FSLTTWRDTDBDG</v>
      </c>
      <c r="G874" s="2" t="str">
        <f>IFERROR(__xludf.DUMMYFUNCTION("IF('From Order'!$A874=COLUMNS($A874:G893), LEFT(INDEX(FILTER(G$1:G873, G$1:G873&lt;&gt;""""),COUNTA(FILTER(G$1:G873, G$1:G873&lt;&gt;""""))), LEN(INDEX(FILTER(G$1:G873, G$1:G873&lt;&gt;""""),COUNTA(FILTER(G$1:G873, G$1:G873&lt;&gt;""""))))-1), IF('To Order'!$A874=COLUMNS($A874:G"&amp;"893), G873&amp;RIGHT(INDIRECT(ADDRESS(ROW(G874)-1, 'From Order'!$A874)), 1), G873))"),"DTRLRQPDSSGHWQ")</f>
        <v>DTRLRQPDSSGHWQ</v>
      </c>
      <c r="H874" s="2" t="str">
        <f>IFERROR(__xludf.DUMMYFUNCTION("IF('From Order'!$A874=COLUMNS($A874:H893), LEFT(INDEX(FILTER(H$1:H873, H$1:H873&lt;&gt;""""),COUNTA(FILTER(H$1:H873, H$1:H873&lt;&gt;""""))), LEN(INDEX(FILTER(H$1:H873, H$1:H873&lt;&gt;""""),COUNTA(FILTER(H$1:H873, H$1:H873&lt;&gt;""""))))-1), IF('To Order'!$A874=COLUMNS($A874:H"&amp;"893), H873&amp;RIGHT(INDIRECT(ADDRESS(ROW(H874)-1, 'From Order'!$A874)), 1), H873))"),"M")</f>
        <v>M</v>
      </c>
      <c r="I874" s="2" t="str">
        <f>IFERROR(__xludf.DUMMYFUNCTION("IF('From Order'!$A874=COLUMNS($A874:I893), LEFT(INDEX(FILTER(I$1:I873, I$1:I873&lt;&gt;""""),COUNTA(FILTER(I$1:I873, I$1:I873&lt;&gt;""""))), LEN(INDEX(FILTER(I$1:I873, I$1:I873&lt;&gt;""""),COUNTA(FILTER(I$1:I873, I$1:I873&lt;&gt;""""))))-1), IF('To Order'!$A874=COLUMNS($A874:I"&amp;"893), I873&amp;RIGHT(INDIRECT(ADDRESS(ROW(I874)-1, 'From Order'!$A874)), 1), I873))"),"LZMV")</f>
        <v>LZMV</v>
      </c>
    </row>
    <row r="875">
      <c r="A875" s="2" t="str">
        <f>IFERROR(__xludf.DUMMYFUNCTION("IF('From Order'!$A875=COLUMNS($A875:A894), LEFT(INDEX(FILTER(A$1:A874, A$1:A874&lt;&gt;""""),COUNTA(FILTER(A$1:A874, A$1:A874&lt;&gt;""""))), LEN(INDEX(FILTER(A$1:A874, A$1:A874&lt;&gt;""""),COUNTA(FILTER(A$1:A874, A$1:A874&lt;&gt;""""))))-1), IF('To Order'!$A875=COLUMNS($A875:A"&amp;"894), A874&amp;RIGHT(INDIRECT(ADDRESS(ROW(A875)-1, 'From Order'!$A875)), 1), A874))"),"")</f>
        <v/>
      </c>
      <c r="B875" s="2" t="str">
        <f>IFERROR(__xludf.DUMMYFUNCTION("IF('From Order'!$A875=COLUMNS($A875:B894), LEFT(INDEX(FILTER(B$1:B874, B$1:B874&lt;&gt;""""),COUNTA(FILTER(B$1:B874, B$1:B874&lt;&gt;""""))), LEN(INDEX(FILTER(B$1:B874, B$1:B874&lt;&gt;""""),COUNTA(FILTER(B$1:B874, B$1:B874&lt;&gt;""""))))-1), IF('To Order'!$A875=COLUMNS($A875:B"&amp;"894), B874&amp;RIGHT(INDIRECT(ADDRESS(ROW(B875)-1, 'From Order'!$A875)), 1), B874))"),"JZRDCJTTCRVCJ")</f>
        <v>JZRDCJTTCRVCJ</v>
      </c>
      <c r="C875" s="2" t="str">
        <f>IFERROR(__xludf.DUMMYFUNCTION("IF('From Order'!$A875=COLUMNS($A875:C894), LEFT(INDEX(FILTER(C$1:C874, C$1:C874&lt;&gt;""""),COUNTA(FILTER(C$1:C874, C$1:C874&lt;&gt;""""))), LEN(INDEX(FILTER(C$1:C874, C$1:C874&lt;&gt;""""),COUNTA(FILTER(C$1:C874, C$1:C874&lt;&gt;""""))))-1), IF('To Order'!$A875=COLUMNS($A875:C"&amp;"894), C874&amp;RIGHT(INDIRECT(ADDRESS(ROW(C875)-1, 'From Order'!$A875)), 1), C874))"),"")</f>
        <v/>
      </c>
      <c r="D875" s="2" t="str">
        <f>IFERROR(__xludf.DUMMYFUNCTION("IF('From Order'!$A875=COLUMNS($A875:D894), LEFT(INDEX(FILTER(D$1:D874, D$1:D874&lt;&gt;""""),COUNTA(FILTER(D$1:D874, D$1:D874&lt;&gt;""""))), LEN(INDEX(FILTER(D$1:D874, D$1:D874&lt;&gt;""""),COUNTA(FILTER(D$1:D874, D$1:D874&lt;&gt;""""))))-1), IF('To Order'!$A875=COLUMNS($A875:D"&amp;"894), D874&amp;RIGHT(INDIRECT(ADDRESS(ROW(D875)-1, 'From Order'!$A875)), 1), D874))"),"BFMHZBSBPPV")</f>
        <v>BFMHZBSBPPV</v>
      </c>
      <c r="E875" s="2" t="str">
        <f>IFERROR(__xludf.DUMMYFUNCTION("IF('From Order'!$A875=COLUMNS($A875:E894), LEFT(INDEX(FILTER(E$1:E874, E$1:E874&lt;&gt;""""),COUNTA(FILTER(E$1:E874, E$1:E874&lt;&gt;""""))), LEN(INDEX(FILTER(E$1:E874, E$1:E874&lt;&gt;""""),COUNTA(FILTER(E$1:E874, E$1:E874&lt;&gt;""""))))-1), IF('To Order'!$A875=COLUMNS($A875:E"&amp;"894), E874&amp;RIGHT(INDIRECT(ADDRESS(ROW(E875)-1, 'From Order'!$A875)), 1), E874))"),"")</f>
        <v/>
      </c>
      <c r="F875" s="2" t="str">
        <f>IFERROR(__xludf.DUMMYFUNCTION("IF('From Order'!$A875=COLUMNS($A875:F894), LEFT(INDEX(FILTER(F$1:F874, F$1:F874&lt;&gt;""""),COUNTA(FILTER(F$1:F874, F$1:F874&lt;&gt;""""))), LEN(INDEX(FILTER(F$1:F874, F$1:F874&lt;&gt;""""),COUNTA(FILTER(F$1:F874, F$1:F874&lt;&gt;""""))))-1), IF('To Order'!$A875=COLUMNS($A875:F"&amp;"894), F874&amp;RIGHT(INDIRECT(ADDRESS(ROW(F875)-1, 'From Order'!$A875)), 1), F874))"),"FSLTTWRDTDBDG")</f>
        <v>FSLTTWRDTDBDG</v>
      </c>
      <c r="G875" s="2" t="str">
        <f>IFERROR(__xludf.DUMMYFUNCTION("IF('From Order'!$A875=COLUMNS($A875:G894), LEFT(INDEX(FILTER(G$1:G874, G$1:G874&lt;&gt;""""),COUNTA(FILTER(G$1:G874, G$1:G874&lt;&gt;""""))), LEN(INDEX(FILTER(G$1:G874, G$1:G874&lt;&gt;""""),COUNTA(FILTER(G$1:G874, G$1:G874&lt;&gt;""""))))-1), IF('To Order'!$A875=COLUMNS($A875:G"&amp;"894), G874&amp;RIGHT(INDIRECT(ADDRESS(ROW(G875)-1, 'From Order'!$A875)), 1), G874))"),"DTRLRQPDSSGHWQ")</f>
        <v>DTRLRQPDSSGHWQ</v>
      </c>
      <c r="H875" s="2" t="str">
        <f>IFERROR(__xludf.DUMMYFUNCTION("IF('From Order'!$A875=COLUMNS($A875:H894), LEFT(INDEX(FILTER(H$1:H874, H$1:H874&lt;&gt;""""),COUNTA(FILTER(H$1:H874, H$1:H874&lt;&gt;""""))), LEN(INDEX(FILTER(H$1:H874, H$1:H874&lt;&gt;""""),COUNTA(FILTER(H$1:H874, H$1:H874&lt;&gt;""""))))-1), IF('To Order'!$A875=COLUMNS($A875:H"&amp;"894), H874&amp;RIGHT(INDIRECT(ADDRESS(ROW(H875)-1, 'From Order'!$A875)), 1), H874))"),"M")</f>
        <v>M</v>
      </c>
      <c r="I875" s="2" t="str">
        <f>IFERROR(__xludf.DUMMYFUNCTION("IF('From Order'!$A875=COLUMNS($A875:I894), LEFT(INDEX(FILTER(I$1:I874, I$1:I874&lt;&gt;""""),COUNTA(FILTER(I$1:I874, I$1:I874&lt;&gt;""""))), LEN(INDEX(FILTER(I$1:I874, I$1:I874&lt;&gt;""""),COUNTA(FILTER(I$1:I874, I$1:I874&lt;&gt;""""))))-1), IF('To Order'!$A875=COLUMNS($A875:I"&amp;"894), I874&amp;RIGHT(INDIRECT(ADDRESS(ROW(I875)-1, 'From Order'!$A875)), 1), I874))"),"LZMV")</f>
        <v>LZMV</v>
      </c>
    </row>
    <row r="876">
      <c r="A876" s="2" t="str">
        <f>IFERROR(__xludf.DUMMYFUNCTION("IF('From Order'!$A876=COLUMNS($A876:A895), LEFT(INDEX(FILTER(A$1:A875, A$1:A875&lt;&gt;""""),COUNTA(FILTER(A$1:A875, A$1:A875&lt;&gt;""""))), LEN(INDEX(FILTER(A$1:A875, A$1:A875&lt;&gt;""""),COUNTA(FILTER(A$1:A875, A$1:A875&lt;&gt;""""))))-1), IF('To Order'!$A876=COLUMNS($A876:A"&amp;"895), A875&amp;RIGHT(INDIRECT(ADDRESS(ROW(A876)-1, 'From Order'!$A876)), 1), A875))"),"")</f>
        <v/>
      </c>
      <c r="B876" s="2" t="str">
        <f>IFERROR(__xludf.DUMMYFUNCTION("IF('From Order'!$A876=COLUMNS($A876:B895), LEFT(INDEX(FILTER(B$1:B875, B$1:B875&lt;&gt;""""),COUNTA(FILTER(B$1:B875, B$1:B875&lt;&gt;""""))), LEN(INDEX(FILTER(B$1:B875, B$1:B875&lt;&gt;""""),COUNTA(FILTER(B$1:B875, B$1:B875&lt;&gt;""""))))-1), IF('To Order'!$A876=COLUMNS($A876:B"&amp;"895), B875&amp;RIGHT(INDIRECT(ADDRESS(ROW(B876)-1, 'From Order'!$A876)), 1), B875))"),"JZRDCJTTCRVC")</f>
        <v>JZRDCJTTCRVC</v>
      </c>
      <c r="C876" s="2" t="str">
        <f>IFERROR(__xludf.DUMMYFUNCTION("IF('From Order'!$A876=COLUMNS($A876:C895), LEFT(INDEX(FILTER(C$1:C875, C$1:C875&lt;&gt;""""),COUNTA(FILTER(C$1:C875, C$1:C875&lt;&gt;""""))), LEN(INDEX(FILTER(C$1:C875, C$1:C875&lt;&gt;""""),COUNTA(FILTER(C$1:C875, C$1:C875&lt;&gt;""""))))-1), IF('To Order'!$A876=COLUMNS($A876:C"&amp;"895), C875&amp;RIGHT(INDIRECT(ADDRESS(ROW(C876)-1, 'From Order'!$A876)), 1), C875))"),"")</f>
        <v/>
      </c>
      <c r="D876" s="2" t="str">
        <f>IFERROR(__xludf.DUMMYFUNCTION("IF('From Order'!$A876=COLUMNS($A876:D895), LEFT(INDEX(FILTER(D$1:D875, D$1:D875&lt;&gt;""""),COUNTA(FILTER(D$1:D875, D$1:D875&lt;&gt;""""))), LEN(INDEX(FILTER(D$1:D875, D$1:D875&lt;&gt;""""),COUNTA(FILTER(D$1:D875, D$1:D875&lt;&gt;""""))))-1), IF('To Order'!$A876=COLUMNS($A876:D"&amp;"895), D875&amp;RIGHT(INDIRECT(ADDRESS(ROW(D876)-1, 'From Order'!$A876)), 1), D875))"),"BFMHZBSBPPVJ")</f>
        <v>BFMHZBSBPPVJ</v>
      </c>
      <c r="E876" s="2" t="str">
        <f>IFERROR(__xludf.DUMMYFUNCTION("IF('From Order'!$A876=COLUMNS($A876:E895), LEFT(INDEX(FILTER(E$1:E875, E$1:E875&lt;&gt;""""),COUNTA(FILTER(E$1:E875, E$1:E875&lt;&gt;""""))), LEN(INDEX(FILTER(E$1:E875, E$1:E875&lt;&gt;""""),COUNTA(FILTER(E$1:E875, E$1:E875&lt;&gt;""""))))-1), IF('To Order'!$A876=COLUMNS($A876:E"&amp;"895), E875&amp;RIGHT(INDIRECT(ADDRESS(ROW(E876)-1, 'From Order'!$A876)), 1), E875))"),"")</f>
        <v/>
      </c>
      <c r="F876" s="2" t="str">
        <f>IFERROR(__xludf.DUMMYFUNCTION("IF('From Order'!$A876=COLUMNS($A876:F895), LEFT(INDEX(FILTER(F$1:F875, F$1:F875&lt;&gt;""""),COUNTA(FILTER(F$1:F875, F$1:F875&lt;&gt;""""))), LEN(INDEX(FILTER(F$1:F875, F$1:F875&lt;&gt;""""),COUNTA(FILTER(F$1:F875, F$1:F875&lt;&gt;""""))))-1), IF('To Order'!$A876=COLUMNS($A876:F"&amp;"895), F875&amp;RIGHT(INDIRECT(ADDRESS(ROW(F876)-1, 'From Order'!$A876)), 1), F875))"),"FSLTTWRDTDBDG")</f>
        <v>FSLTTWRDTDBDG</v>
      </c>
      <c r="G876" s="2" t="str">
        <f>IFERROR(__xludf.DUMMYFUNCTION("IF('From Order'!$A876=COLUMNS($A876:G895), LEFT(INDEX(FILTER(G$1:G875, G$1:G875&lt;&gt;""""),COUNTA(FILTER(G$1:G875, G$1:G875&lt;&gt;""""))), LEN(INDEX(FILTER(G$1:G875, G$1:G875&lt;&gt;""""),COUNTA(FILTER(G$1:G875, G$1:G875&lt;&gt;""""))))-1), IF('To Order'!$A876=COLUMNS($A876:G"&amp;"895), G875&amp;RIGHT(INDIRECT(ADDRESS(ROW(G876)-1, 'From Order'!$A876)), 1), G875))"),"DTRLRQPDSSGHWQ")</f>
        <v>DTRLRQPDSSGHWQ</v>
      </c>
      <c r="H876" s="2" t="str">
        <f>IFERROR(__xludf.DUMMYFUNCTION("IF('From Order'!$A876=COLUMNS($A876:H895), LEFT(INDEX(FILTER(H$1:H875, H$1:H875&lt;&gt;""""),COUNTA(FILTER(H$1:H875, H$1:H875&lt;&gt;""""))), LEN(INDEX(FILTER(H$1:H875, H$1:H875&lt;&gt;""""),COUNTA(FILTER(H$1:H875, H$1:H875&lt;&gt;""""))))-1), IF('To Order'!$A876=COLUMNS($A876:H"&amp;"895), H875&amp;RIGHT(INDIRECT(ADDRESS(ROW(H876)-1, 'From Order'!$A876)), 1), H875))"),"M")</f>
        <v>M</v>
      </c>
      <c r="I876" s="2" t="str">
        <f>IFERROR(__xludf.DUMMYFUNCTION("IF('From Order'!$A876=COLUMNS($A876:I895), LEFT(INDEX(FILTER(I$1:I875, I$1:I875&lt;&gt;""""),COUNTA(FILTER(I$1:I875, I$1:I875&lt;&gt;""""))), LEN(INDEX(FILTER(I$1:I875, I$1:I875&lt;&gt;""""),COUNTA(FILTER(I$1:I875, I$1:I875&lt;&gt;""""))))-1), IF('To Order'!$A876=COLUMNS($A876:I"&amp;"895), I875&amp;RIGHT(INDIRECT(ADDRESS(ROW(I876)-1, 'From Order'!$A876)), 1), I875))"),"LZMV")</f>
        <v>LZMV</v>
      </c>
    </row>
    <row r="877">
      <c r="A877" s="2" t="str">
        <f>IFERROR(__xludf.DUMMYFUNCTION("IF('From Order'!$A877=COLUMNS($A877:A896), LEFT(INDEX(FILTER(A$1:A876, A$1:A876&lt;&gt;""""),COUNTA(FILTER(A$1:A876, A$1:A876&lt;&gt;""""))), LEN(INDEX(FILTER(A$1:A876, A$1:A876&lt;&gt;""""),COUNTA(FILTER(A$1:A876, A$1:A876&lt;&gt;""""))))-1), IF('To Order'!$A877=COLUMNS($A877:A"&amp;"896), A876&amp;RIGHT(INDIRECT(ADDRESS(ROW(A877)-1, 'From Order'!$A877)), 1), A876))"),"")</f>
        <v/>
      </c>
      <c r="B877" s="2" t="str">
        <f>IFERROR(__xludf.DUMMYFUNCTION("IF('From Order'!$A877=COLUMNS($A877:B896), LEFT(INDEX(FILTER(B$1:B876, B$1:B876&lt;&gt;""""),COUNTA(FILTER(B$1:B876, B$1:B876&lt;&gt;""""))), LEN(INDEX(FILTER(B$1:B876, B$1:B876&lt;&gt;""""),COUNTA(FILTER(B$1:B876, B$1:B876&lt;&gt;""""))))-1), IF('To Order'!$A877=COLUMNS($A877:B"&amp;"896), B876&amp;RIGHT(INDIRECT(ADDRESS(ROW(B877)-1, 'From Order'!$A877)), 1), B876))"),"JZRDCJTTCRV")</f>
        <v>JZRDCJTTCRV</v>
      </c>
      <c r="C877" s="2" t="str">
        <f>IFERROR(__xludf.DUMMYFUNCTION("IF('From Order'!$A877=COLUMNS($A877:C896), LEFT(INDEX(FILTER(C$1:C876, C$1:C876&lt;&gt;""""),COUNTA(FILTER(C$1:C876, C$1:C876&lt;&gt;""""))), LEN(INDEX(FILTER(C$1:C876, C$1:C876&lt;&gt;""""),COUNTA(FILTER(C$1:C876, C$1:C876&lt;&gt;""""))))-1), IF('To Order'!$A877=COLUMNS($A877:C"&amp;"896), C876&amp;RIGHT(INDIRECT(ADDRESS(ROW(C877)-1, 'From Order'!$A877)), 1), C876))"),"")</f>
        <v/>
      </c>
      <c r="D877" s="2" t="str">
        <f>IFERROR(__xludf.DUMMYFUNCTION("IF('From Order'!$A877=COLUMNS($A877:D896), LEFT(INDEX(FILTER(D$1:D876, D$1:D876&lt;&gt;""""),COUNTA(FILTER(D$1:D876, D$1:D876&lt;&gt;""""))), LEN(INDEX(FILTER(D$1:D876, D$1:D876&lt;&gt;""""),COUNTA(FILTER(D$1:D876, D$1:D876&lt;&gt;""""))))-1), IF('To Order'!$A877=COLUMNS($A877:D"&amp;"896), D876&amp;RIGHT(INDIRECT(ADDRESS(ROW(D877)-1, 'From Order'!$A877)), 1), D876))"),"BFMHZBSBPPVJC")</f>
        <v>BFMHZBSBPPVJC</v>
      </c>
      <c r="E877" s="2" t="str">
        <f>IFERROR(__xludf.DUMMYFUNCTION("IF('From Order'!$A877=COLUMNS($A877:E896), LEFT(INDEX(FILTER(E$1:E876, E$1:E876&lt;&gt;""""),COUNTA(FILTER(E$1:E876, E$1:E876&lt;&gt;""""))), LEN(INDEX(FILTER(E$1:E876, E$1:E876&lt;&gt;""""),COUNTA(FILTER(E$1:E876, E$1:E876&lt;&gt;""""))))-1), IF('To Order'!$A877=COLUMNS($A877:E"&amp;"896), E876&amp;RIGHT(INDIRECT(ADDRESS(ROW(E877)-1, 'From Order'!$A877)), 1), E876))"),"")</f>
        <v/>
      </c>
      <c r="F877" s="2" t="str">
        <f>IFERROR(__xludf.DUMMYFUNCTION("IF('From Order'!$A877=COLUMNS($A877:F896), LEFT(INDEX(FILTER(F$1:F876, F$1:F876&lt;&gt;""""),COUNTA(FILTER(F$1:F876, F$1:F876&lt;&gt;""""))), LEN(INDEX(FILTER(F$1:F876, F$1:F876&lt;&gt;""""),COUNTA(FILTER(F$1:F876, F$1:F876&lt;&gt;""""))))-1), IF('To Order'!$A877=COLUMNS($A877:F"&amp;"896), F876&amp;RIGHT(INDIRECT(ADDRESS(ROW(F877)-1, 'From Order'!$A877)), 1), F876))"),"FSLTTWRDTDBDG")</f>
        <v>FSLTTWRDTDBDG</v>
      </c>
      <c r="G877" s="2" t="str">
        <f>IFERROR(__xludf.DUMMYFUNCTION("IF('From Order'!$A877=COLUMNS($A877:G896), LEFT(INDEX(FILTER(G$1:G876, G$1:G876&lt;&gt;""""),COUNTA(FILTER(G$1:G876, G$1:G876&lt;&gt;""""))), LEN(INDEX(FILTER(G$1:G876, G$1:G876&lt;&gt;""""),COUNTA(FILTER(G$1:G876, G$1:G876&lt;&gt;""""))))-1), IF('To Order'!$A877=COLUMNS($A877:G"&amp;"896), G876&amp;RIGHT(INDIRECT(ADDRESS(ROW(G877)-1, 'From Order'!$A877)), 1), G876))"),"DTRLRQPDSSGHWQ")</f>
        <v>DTRLRQPDSSGHWQ</v>
      </c>
      <c r="H877" s="2" t="str">
        <f>IFERROR(__xludf.DUMMYFUNCTION("IF('From Order'!$A877=COLUMNS($A877:H896), LEFT(INDEX(FILTER(H$1:H876, H$1:H876&lt;&gt;""""),COUNTA(FILTER(H$1:H876, H$1:H876&lt;&gt;""""))), LEN(INDEX(FILTER(H$1:H876, H$1:H876&lt;&gt;""""),COUNTA(FILTER(H$1:H876, H$1:H876&lt;&gt;""""))))-1), IF('To Order'!$A877=COLUMNS($A877:H"&amp;"896), H876&amp;RIGHT(INDIRECT(ADDRESS(ROW(H877)-1, 'From Order'!$A877)), 1), H876))"),"M")</f>
        <v>M</v>
      </c>
      <c r="I877" s="2" t="str">
        <f>IFERROR(__xludf.DUMMYFUNCTION("IF('From Order'!$A877=COLUMNS($A877:I896), LEFT(INDEX(FILTER(I$1:I876, I$1:I876&lt;&gt;""""),COUNTA(FILTER(I$1:I876, I$1:I876&lt;&gt;""""))), LEN(INDEX(FILTER(I$1:I876, I$1:I876&lt;&gt;""""),COUNTA(FILTER(I$1:I876, I$1:I876&lt;&gt;""""))))-1), IF('To Order'!$A877=COLUMNS($A877:I"&amp;"896), I876&amp;RIGHT(INDIRECT(ADDRESS(ROW(I877)-1, 'From Order'!$A877)), 1), I876))"),"LZMV")</f>
        <v>LZMV</v>
      </c>
    </row>
    <row r="878">
      <c r="A878" s="2" t="str">
        <f>IFERROR(__xludf.DUMMYFUNCTION("IF('From Order'!$A878=COLUMNS($A878:A897), LEFT(INDEX(FILTER(A$1:A877, A$1:A877&lt;&gt;""""),COUNTA(FILTER(A$1:A877, A$1:A877&lt;&gt;""""))), LEN(INDEX(FILTER(A$1:A877, A$1:A877&lt;&gt;""""),COUNTA(FILTER(A$1:A877, A$1:A877&lt;&gt;""""))))-1), IF('To Order'!$A878=COLUMNS($A878:A"&amp;"897), A877&amp;RIGHT(INDIRECT(ADDRESS(ROW(A878)-1, 'From Order'!$A878)), 1), A877))"),"")</f>
        <v/>
      </c>
      <c r="B878" s="2" t="str">
        <f>IFERROR(__xludf.DUMMYFUNCTION("IF('From Order'!$A878=COLUMNS($A878:B897), LEFT(INDEX(FILTER(B$1:B877, B$1:B877&lt;&gt;""""),COUNTA(FILTER(B$1:B877, B$1:B877&lt;&gt;""""))), LEN(INDEX(FILTER(B$1:B877, B$1:B877&lt;&gt;""""),COUNTA(FILTER(B$1:B877, B$1:B877&lt;&gt;""""))))-1), IF('To Order'!$A878=COLUMNS($A878:B"&amp;"897), B877&amp;RIGHT(INDIRECT(ADDRESS(ROW(B878)-1, 'From Order'!$A878)), 1), B877))"),"JZRDCJTTCR")</f>
        <v>JZRDCJTTCR</v>
      </c>
      <c r="C878" s="2" t="str">
        <f>IFERROR(__xludf.DUMMYFUNCTION("IF('From Order'!$A878=COLUMNS($A878:C897), LEFT(INDEX(FILTER(C$1:C877, C$1:C877&lt;&gt;""""),COUNTA(FILTER(C$1:C877, C$1:C877&lt;&gt;""""))), LEN(INDEX(FILTER(C$1:C877, C$1:C877&lt;&gt;""""),COUNTA(FILTER(C$1:C877, C$1:C877&lt;&gt;""""))))-1), IF('To Order'!$A878=COLUMNS($A878:C"&amp;"897), C877&amp;RIGHT(INDIRECT(ADDRESS(ROW(C878)-1, 'From Order'!$A878)), 1), C877))"),"")</f>
        <v/>
      </c>
      <c r="D878" s="2" t="str">
        <f>IFERROR(__xludf.DUMMYFUNCTION("IF('From Order'!$A878=COLUMNS($A878:D897), LEFT(INDEX(FILTER(D$1:D877, D$1:D877&lt;&gt;""""),COUNTA(FILTER(D$1:D877, D$1:D877&lt;&gt;""""))), LEN(INDEX(FILTER(D$1:D877, D$1:D877&lt;&gt;""""),COUNTA(FILTER(D$1:D877, D$1:D877&lt;&gt;""""))))-1), IF('To Order'!$A878=COLUMNS($A878:D"&amp;"897), D877&amp;RIGHT(INDIRECT(ADDRESS(ROW(D878)-1, 'From Order'!$A878)), 1), D877))"),"BFMHZBSBPPVJCV")</f>
        <v>BFMHZBSBPPVJCV</v>
      </c>
      <c r="E878" s="2" t="str">
        <f>IFERROR(__xludf.DUMMYFUNCTION("IF('From Order'!$A878=COLUMNS($A878:E897), LEFT(INDEX(FILTER(E$1:E877, E$1:E877&lt;&gt;""""),COUNTA(FILTER(E$1:E877, E$1:E877&lt;&gt;""""))), LEN(INDEX(FILTER(E$1:E877, E$1:E877&lt;&gt;""""),COUNTA(FILTER(E$1:E877, E$1:E877&lt;&gt;""""))))-1), IF('To Order'!$A878=COLUMNS($A878:E"&amp;"897), E877&amp;RIGHT(INDIRECT(ADDRESS(ROW(E878)-1, 'From Order'!$A878)), 1), E877))"),"")</f>
        <v/>
      </c>
      <c r="F878" s="2" t="str">
        <f>IFERROR(__xludf.DUMMYFUNCTION("IF('From Order'!$A878=COLUMNS($A878:F897), LEFT(INDEX(FILTER(F$1:F877, F$1:F877&lt;&gt;""""),COUNTA(FILTER(F$1:F877, F$1:F877&lt;&gt;""""))), LEN(INDEX(FILTER(F$1:F877, F$1:F877&lt;&gt;""""),COUNTA(FILTER(F$1:F877, F$1:F877&lt;&gt;""""))))-1), IF('To Order'!$A878=COLUMNS($A878:F"&amp;"897), F877&amp;RIGHT(INDIRECT(ADDRESS(ROW(F878)-1, 'From Order'!$A878)), 1), F877))"),"FSLTTWRDTDBDG")</f>
        <v>FSLTTWRDTDBDG</v>
      </c>
      <c r="G878" s="2" t="str">
        <f>IFERROR(__xludf.DUMMYFUNCTION("IF('From Order'!$A878=COLUMNS($A878:G897), LEFT(INDEX(FILTER(G$1:G877, G$1:G877&lt;&gt;""""),COUNTA(FILTER(G$1:G877, G$1:G877&lt;&gt;""""))), LEN(INDEX(FILTER(G$1:G877, G$1:G877&lt;&gt;""""),COUNTA(FILTER(G$1:G877, G$1:G877&lt;&gt;""""))))-1), IF('To Order'!$A878=COLUMNS($A878:G"&amp;"897), G877&amp;RIGHT(INDIRECT(ADDRESS(ROW(G878)-1, 'From Order'!$A878)), 1), G877))"),"DTRLRQPDSSGHWQ")</f>
        <v>DTRLRQPDSSGHWQ</v>
      </c>
      <c r="H878" s="2" t="str">
        <f>IFERROR(__xludf.DUMMYFUNCTION("IF('From Order'!$A878=COLUMNS($A878:H897), LEFT(INDEX(FILTER(H$1:H877, H$1:H877&lt;&gt;""""),COUNTA(FILTER(H$1:H877, H$1:H877&lt;&gt;""""))), LEN(INDEX(FILTER(H$1:H877, H$1:H877&lt;&gt;""""),COUNTA(FILTER(H$1:H877, H$1:H877&lt;&gt;""""))))-1), IF('To Order'!$A878=COLUMNS($A878:H"&amp;"897), H877&amp;RIGHT(INDIRECT(ADDRESS(ROW(H878)-1, 'From Order'!$A878)), 1), H877))"),"M")</f>
        <v>M</v>
      </c>
      <c r="I878" s="2" t="str">
        <f>IFERROR(__xludf.DUMMYFUNCTION("IF('From Order'!$A878=COLUMNS($A878:I897), LEFT(INDEX(FILTER(I$1:I877, I$1:I877&lt;&gt;""""),COUNTA(FILTER(I$1:I877, I$1:I877&lt;&gt;""""))), LEN(INDEX(FILTER(I$1:I877, I$1:I877&lt;&gt;""""),COUNTA(FILTER(I$1:I877, I$1:I877&lt;&gt;""""))))-1), IF('To Order'!$A878=COLUMNS($A878:I"&amp;"897), I877&amp;RIGHT(INDIRECT(ADDRESS(ROW(I878)-1, 'From Order'!$A878)), 1), I877))"),"LZMV")</f>
        <v>LZMV</v>
      </c>
    </row>
    <row r="879">
      <c r="A879" s="2" t="str">
        <f>IFERROR(__xludf.DUMMYFUNCTION("IF('From Order'!$A879=COLUMNS($A879:A898), LEFT(INDEX(FILTER(A$1:A878, A$1:A878&lt;&gt;""""),COUNTA(FILTER(A$1:A878, A$1:A878&lt;&gt;""""))), LEN(INDEX(FILTER(A$1:A878, A$1:A878&lt;&gt;""""),COUNTA(FILTER(A$1:A878, A$1:A878&lt;&gt;""""))))-1), IF('To Order'!$A879=COLUMNS($A879:A"&amp;"898), A878&amp;RIGHT(INDIRECT(ADDRESS(ROW(A879)-1, 'From Order'!$A879)), 1), A878))"),"")</f>
        <v/>
      </c>
      <c r="B879" s="2" t="str">
        <f>IFERROR(__xludf.DUMMYFUNCTION("IF('From Order'!$A879=COLUMNS($A879:B898), LEFT(INDEX(FILTER(B$1:B878, B$1:B878&lt;&gt;""""),COUNTA(FILTER(B$1:B878, B$1:B878&lt;&gt;""""))), LEN(INDEX(FILTER(B$1:B878, B$1:B878&lt;&gt;""""),COUNTA(FILTER(B$1:B878, B$1:B878&lt;&gt;""""))))-1), IF('To Order'!$A879=COLUMNS($A879:B"&amp;"898), B878&amp;RIGHT(INDIRECT(ADDRESS(ROW(B879)-1, 'From Order'!$A879)), 1), B878))"),"JZRDCJTTC")</f>
        <v>JZRDCJTTC</v>
      </c>
      <c r="C879" s="2" t="str">
        <f>IFERROR(__xludf.DUMMYFUNCTION("IF('From Order'!$A879=COLUMNS($A879:C898), LEFT(INDEX(FILTER(C$1:C878, C$1:C878&lt;&gt;""""),COUNTA(FILTER(C$1:C878, C$1:C878&lt;&gt;""""))), LEN(INDEX(FILTER(C$1:C878, C$1:C878&lt;&gt;""""),COUNTA(FILTER(C$1:C878, C$1:C878&lt;&gt;""""))))-1), IF('To Order'!$A879=COLUMNS($A879:C"&amp;"898), C878&amp;RIGHT(INDIRECT(ADDRESS(ROW(C879)-1, 'From Order'!$A879)), 1), C878))"),"")</f>
        <v/>
      </c>
      <c r="D879" s="2" t="str">
        <f>IFERROR(__xludf.DUMMYFUNCTION("IF('From Order'!$A879=COLUMNS($A879:D898), LEFT(INDEX(FILTER(D$1:D878, D$1:D878&lt;&gt;""""),COUNTA(FILTER(D$1:D878, D$1:D878&lt;&gt;""""))), LEN(INDEX(FILTER(D$1:D878, D$1:D878&lt;&gt;""""),COUNTA(FILTER(D$1:D878, D$1:D878&lt;&gt;""""))))-1), IF('To Order'!$A879=COLUMNS($A879:D"&amp;"898), D878&amp;RIGHT(INDIRECT(ADDRESS(ROW(D879)-1, 'From Order'!$A879)), 1), D878))"),"BFMHZBSBPPVJCVR")</f>
        <v>BFMHZBSBPPVJCVR</v>
      </c>
      <c r="E879" s="2" t="str">
        <f>IFERROR(__xludf.DUMMYFUNCTION("IF('From Order'!$A879=COLUMNS($A879:E898), LEFT(INDEX(FILTER(E$1:E878, E$1:E878&lt;&gt;""""),COUNTA(FILTER(E$1:E878, E$1:E878&lt;&gt;""""))), LEN(INDEX(FILTER(E$1:E878, E$1:E878&lt;&gt;""""),COUNTA(FILTER(E$1:E878, E$1:E878&lt;&gt;""""))))-1), IF('To Order'!$A879=COLUMNS($A879:E"&amp;"898), E878&amp;RIGHT(INDIRECT(ADDRESS(ROW(E879)-1, 'From Order'!$A879)), 1), E878))"),"")</f>
        <v/>
      </c>
      <c r="F879" s="2" t="str">
        <f>IFERROR(__xludf.DUMMYFUNCTION("IF('From Order'!$A879=COLUMNS($A879:F898), LEFT(INDEX(FILTER(F$1:F878, F$1:F878&lt;&gt;""""),COUNTA(FILTER(F$1:F878, F$1:F878&lt;&gt;""""))), LEN(INDEX(FILTER(F$1:F878, F$1:F878&lt;&gt;""""),COUNTA(FILTER(F$1:F878, F$1:F878&lt;&gt;""""))))-1), IF('To Order'!$A879=COLUMNS($A879:F"&amp;"898), F878&amp;RIGHT(INDIRECT(ADDRESS(ROW(F879)-1, 'From Order'!$A879)), 1), F878))"),"FSLTTWRDTDBDG")</f>
        <v>FSLTTWRDTDBDG</v>
      </c>
      <c r="G879" s="2" t="str">
        <f>IFERROR(__xludf.DUMMYFUNCTION("IF('From Order'!$A879=COLUMNS($A879:G898), LEFT(INDEX(FILTER(G$1:G878, G$1:G878&lt;&gt;""""),COUNTA(FILTER(G$1:G878, G$1:G878&lt;&gt;""""))), LEN(INDEX(FILTER(G$1:G878, G$1:G878&lt;&gt;""""),COUNTA(FILTER(G$1:G878, G$1:G878&lt;&gt;""""))))-1), IF('To Order'!$A879=COLUMNS($A879:G"&amp;"898), G878&amp;RIGHT(INDIRECT(ADDRESS(ROW(G879)-1, 'From Order'!$A879)), 1), G878))"),"DTRLRQPDSSGHWQ")</f>
        <v>DTRLRQPDSSGHWQ</v>
      </c>
      <c r="H879" s="2" t="str">
        <f>IFERROR(__xludf.DUMMYFUNCTION("IF('From Order'!$A879=COLUMNS($A879:H898), LEFT(INDEX(FILTER(H$1:H878, H$1:H878&lt;&gt;""""),COUNTA(FILTER(H$1:H878, H$1:H878&lt;&gt;""""))), LEN(INDEX(FILTER(H$1:H878, H$1:H878&lt;&gt;""""),COUNTA(FILTER(H$1:H878, H$1:H878&lt;&gt;""""))))-1), IF('To Order'!$A879=COLUMNS($A879:H"&amp;"898), H878&amp;RIGHT(INDIRECT(ADDRESS(ROW(H879)-1, 'From Order'!$A879)), 1), H878))"),"M")</f>
        <v>M</v>
      </c>
      <c r="I879" s="2" t="str">
        <f>IFERROR(__xludf.DUMMYFUNCTION("IF('From Order'!$A879=COLUMNS($A879:I898), LEFT(INDEX(FILTER(I$1:I878, I$1:I878&lt;&gt;""""),COUNTA(FILTER(I$1:I878, I$1:I878&lt;&gt;""""))), LEN(INDEX(FILTER(I$1:I878, I$1:I878&lt;&gt;""""),COUNTA(FILTER(I$1:I878, I$1:I878&lt;&gt;""""))))-1), IF('To Order'!$A879=COLUMNS($A879:I"&amp;"898), I878&amp;RIGHT(INDIRECT(ADDRESS(ROW(I879)-1, 'From Order'!$A879)), 1), I878))"),"LZMV")</f>
        <v>LZMV</v>
      </c>
    </row>
    <row r="880">
      <c r="A880" s="2" t="str">
        <f>IFERROR(__xludf.DUMMYFUNCTION("IF('From Order'!$A880=COLUMNS($A880:A899), LEFT(INDEX(FILTER(A$1:A879, A$1:A879&lt;&gt;""""),COUNTA(FILTER(A$1:A879, A$1:A879&lt;&gt;""""))), LEN(INDEX(FILTER(A$1:A879, A$1:A879&lt;&gt;""""),COUNTA(FILTER(A$1:A879, A$1:A879&lt;&gt;""""))))-1), IF('To Order'!$A880=COLUMNS($A880:A"&amp;"899), A879&amp;RIGHT(INDIRECT(ADDRESS(ROW(A880)-1, 'From Order'!$A880)), 1), A879))"),"")</f>
        <v/>
      </c>
      <c r="B880" s="2" t="str">
        <f>IFERROR(__xludf.DUMMYFUNCTION("IF('From Order'!$A880=COLUMNS($A880:B899), LEFT(INDEX(FILTER(B$1:B879, B$1:B879&lt;&gt;""""),COUNTA(FILTER(B$1:B879, B$1:B879&lt;&gt;""""))), LEN(INDEX(FILTER(B$1:B879, B$1:B879&lt;&gt;""""),COUNTA(FILTER(B$1:B879, B$1:B879&lt;&gt;""""))))-1), IF('To Order'!$A880=COLUMNS($A880:B"&amp;"899), B879&amp;RIGHT(INDIRECT(ADDRESS(ROW(B880)-1, 'From Order'!$A880)), 1), B879))"),"JZRDCJTT")</f>
        <v>JZRDCJTT</v>
      </c>
      <c r="C880" s="2" t="str">
        <f>IFERROR(__xludf.DUMMYFUNCTION("IF('From Order'!$A880=COLUMNS($A880:C899), LEFT(INDEX(FILTER(C$1:C879, C$1:C879&lt;&gt;""""),COUNTA(FILTER(C$1:C879, C$1:C879&lt;&gt;""""))), LEN(INDEX(FILTER(C$1:C879, C$1:C879&lt;&gt;""""),COUNTA(FILTER(C$1:C879, C$1:C879&lt;&gt;""""))))-1), IF('To Order'!$A880=COLUMNS($A880:C"&amp;"899), C879&amp;RIGHT(INDIRECT(ADDRESS(ROW(C880)-1, 'From Order'!$A880)), 1), C879))"),"")</f>
        <v/>
      </c>
      <c r="D880" s="2" t="str">
        <f>IFERROR(__xludf.DUMMYFUNCTION("IF('From Order'!$A880=COLUMNS($A880:D899), LEFT(INDEX(FILTER(D$1:D879, D$1:D879&lt;&gt;""""),COUNTA(FILTER(D$1:D879, D$1:D879&lt;&gt;""""))), LEN(INDEX(FILTER(D$1:D879, D$1:D879&lt;&gt;""""),COUNTA(FILTER(D$1:D879, D$1:D879&lt;&gt;""""))))-1), IF('To Order'!$A880=COLUMNS($A880:D"&amp;"899), D879&amp;RIGHT(INDIRECT(ADDRESS(ROW(D880)-1, 'From Order'!$A880)), 1), D879))"),"BFMHZBSBPPVJCVRC")</f>
        <v>BFMHZBSBPPVJCVRC</v>
      </c>
      <c r="E880" s="2" t="str">
        <f>IFERROR(__xludf.DUMMYFUNCTION("IF('From Order'!$A880=COLUMNS($A880:E899), LEFT(INDEX(FILTER(E$1:E879, E$1:E879&lt;&gt;""""),COUNTA(FILTER(E$1:E879, E$1:E879&lt;&gt;""""))), LEN(INDEX(FILTER(E$1:E879, E$1:E879&lt;&gt;""""),COUNTA(FILTER(E$1:E879, E$1:E879&lt;&gt;""""))))-1), IF('To Order'!$A880=COLUMNS($A880:E"&amp;"899), E879&amp;RIGHT(INDIRECT(ADDRESS(ROW(E880)-1, 'From Order'!$A880)), 1), E879))"),"")</f>
        <v/>
      </c>
      <c r="F880" s="2" t="str">
        <f>IFERROR(__xludf.DUMMYFUNCTION("IF('From Order'!$A880=COLUMNS($A880:F899), LEFT(INDEX(FILTER(F$1:F879, F$1:F879&lt;&gt;""""),COUNTA(FILTER(F$1:F879, F$1:F879&lt;&gt;""""))), LEN(INDEX(FILTER(F$1:F879, F$1:F879&lt;&gt;""""),COUNTA(FILTER(F$1:F879, F$1:F879&lt;&gt;""""))))-1), IF('To Order'!$A880=COLUMNS($A880:F"&amp;"899), F879&amp;RIGHT(INDIRECT(ADDRESS(ROW(F880)-1, 'From Order'!$A880)), 1), F879))"),"FSLTTWRDTDBDG")</f>
        <v>FSLTTWRDTDBDG</v>
      </c>
      <c r="G880" s="2" t="str">
        <f>IFERROR(__xludf.DUMMYFUNCTION("IF('From Order'!$A880=COLUMNS($A880:G899), LEFT(INDEX(FILTER(G$1:G879, G$1:G879&lt;&gt;""""),COUNTA(FILTER(G$1:G879, G$1:G879&lt;&gt;""""))), LEN(INDEX(FILTER(G$1:G879, G$1:G879&lt;&gt;""""),COUNTA(FILTER(G$1:G879, G$1:G879&lt;&gt;""""))))-1), IF('To Order'!$A880=COLUMNS($A880:G"&amp;"899), G879&amp;RIGHT(INDIRECT(ADDRESS(ROW(G880)-1, 'From Order'!$A880)), 1), G879))"),"DTRLRQPDSSGHWQ")</f>
        <v>DTRLRQPDSSGHWQ</v>
      </c>
      <c r="H880" s="2" t="str">
        <f>IFERROR(__xludf.DUMMYFUNCTION("IF('From Order'!$A880=COLUMNS($A880:H899), LEFT(INDEX(FILTER(H$1:H879, H$1:H879&lt;&gt;""""),COUNTA(FILTER(H$1:H879, H$1:H879&lt;&gt;""""))), LEN(INDEX(FILTER(H$1:H879, H$1:H879&lt;&gt;""""),COUNTA(FILTER(H$1:H879, H$1:H879&lt;&gt;""""))))-1), IF('To Order'!$A880=COLUMNS($A880:H"&amp;"899), H879&amp;RIGHT(INDIRECT(ADDRESS(ROW(H880)-1, 'From Order'!$A880)), 1), H879))"),"M")</f>
        <v>M</v>
      </c>
      <c r="I880" s="2" t="str">
        <f>IFERROR(__xludf.DUMMYFUNCTION("IF('From Order'!$A880=COLUMNS($A880:I899), LEFT(INDEX(FILTER(I$1:I879, I$1:I879&lt;&gt;""""),COUNTA(FILTER(I$1:I879, I$1:I879&lt;&gt;""""))), LEN(INDEX(FILTER(I$1:I879, I$1:I879&lt;&gt;""""),COUNTA(FILTER(I$1:I879, I$1:I879&lt;&gt;""""))))-1), IF('To Order'!$A880=COLUMNS($A880:I"&amp;"899), I879&amp;RIGHT(INDIRECT(ADDRESS(ROW(I880)-1, 'From Order'!$A880)), 1), I879))"),"LZMV")</f>
        <v>LZMV</v>
      </c>
    </row>
    <row r="881">
      <c r="A881" s="2" t="str">
        <f>IFERROR(__xludf.DUMMYFUNCTION("IF('From Order'!$A881=COLUMNS($A881:A900), LEFT(INDEX(FILTER(A$1:A880, A$1:A880&lt;&gt;""""),COUNTA(FILTER(A$1:A880, A$1:A880&lt;&gt;""""))), LEN(INDEX(FILTER(A$1:A880, A$1:A880&lt;&gt;""""),COUNTA(FILTER(A$1:A880, A$1:A880&lt;&gt;""""))))-1), IF('To Order'!$A881=COLUMNS($A881:A"&amp;"900), A880&amp;RIGHT(INDIRECT(ADDRESS(ROW(A881)-1, 'From Order'!$A881)), 1), A880))"),"")</f>
        <v/>
      </c>
      <c r="B881" s="2" t="str">
        <f>IFERROR(__xludf.DUMMYFUNCTION("IF('From Order'!$A881=COLUMNS($A881:B900), LEFT(INDEX(FILTER(B$1:B880, B$1:B880&lt;&gt;""""),COUNTA(FILTER(B$1:B880, B$1:B880&lt;&gt;""""))), LEN(INDEX(FILTER(B$1:B880, B$1:B880&lt;&gt;""""),COUNTA(FILTER(B$1:B880, B$1:B880&lt;&gt;""""))))-1), IF('To Order'!$A881=COLUMNS($A881:B"&amp;"900), B880&amp;RIGHT(INDIRECT(ADDRESS(ROW(B881)-1, 'From Order'!$A881)), 1), B880))"),"JZRDCJT")</f>
        <v>JZRDCJT</v>
      </c>
      <c r="C881" s="2" t="str">
        <f>IFERROR(__xludf.DUMMYFUNCTION("IF('From Order'!$A881=COLUMNS($A881:C900), LEFT(INDEX(FILTER(C$1:C880, C$1:C880&lt;&gt;""""),COUNTA(FILTER(C$1:C880, C$1:C880&lt;&gt;""""))), LEN(INDEX(FILTER(C$1:C880, C$1:C880&lt;&gt;""""),COUNTA(FILTER(C$1:C880, C$1:C880&lt;&gt;""""))))-1), IF('To Order'!$A881=COLUMNS($A881:C"&amp;"900), C880&amp;RIGHT(INDIRECT(ADDRESS(ROW(C881)-1, 'From Order'!$A881)), 1), C880))"),"")</f>
        <v/>
      </c>
      <c r="D881" s="2" t="str">
        <f>IFERROR(__xludf.DUMMYFUNCTION("IF('From Order'!$A881=COLUMNS($A881:D900), LEFT(INDEX(FILTER(D$1:D880, D$1:D880&lt;&gt;""""),COUNTA(FILTER(D$1:D880, D$1:D880&lt;&gt;""""))), LEN(INDEX(FILTER(D$1:D880, D$1:D880&lt;&gt;""""),COUNTA(FILTER(D$1:D880, D$1:D880&lt;&gt;""""))))-1), IF('To Order'!$A881=COLUMNS($A881:D"&amp;"900), D880&amp;RIGHT(INDIRECT(ADDRESS(ROW(D881)-1, 'From Order'!$A881)), 1), D880))"),"BFMHZBSBPPVJCVRCT")</f>
        <v>BFMHZBSBPPVJCVRCT</v>
      </c>
      <c r="E881" s="2" t="str">
        <f>IFERROR(__xludf.DUMMYFUNCTION("IF('From Order'!$A881=COLUMNS($A881:E900), LEFT(INDEX(FILTER(E$1:E880, E$1:E880&lt;&gt;""""),COUNTA(FILTER(E$1:E880, E$1:E880&lt;&gt;""""))), LEN(INDEX(FILTER(E$1:E880, E$1:E880&lt;&gt;""""),COUNTA(FILTER(E$1:E880, E$1:E880&lt;&gt;""""))))-1), IF('To Order'!$A881=COLUMNS($A881:E"&amp;"900), E880&amp;RIGHT(INDIRECT(ADDRESS(ROW(E881)-1, 'From Order'!$A881)), 1), E880))"),"")</f>
        <v/>
      </c>
      <c r="F881" s="2" t="str">
        <f>IFERROR(__xludf.DUMMYFUNCTION("IF('From Order'!$A881=COLUMNS($A881:F900), LEFT(INDEX(FILTER(F$1:F880, F$1:F880&lt;&gt;""""),COUNTA(FILTER(F$1:F880, F$1:F880&lt;&gt;""""))), LEN(INDEX(FILTER(F$1:F880, F$1:F880&lt;&gt;""""),COUNTA(FILTER(F$1:F880, F$1:F880&lt;&gt;""""))))-1), IF('To Order'!$A881=COLUMNS($A881:F"&amp;"900), F880&amp;RIGHT(INDIRECT(ADDRESS(ROW(F881)-1, 'From Order'!$A881)), 1), F880))"),"FSLTTWRDTDBDG")</f>
        <v>FSLTTWRDTDBDG</v>
      </c>
      <c r="G881" s="2" t="str">
        <f>IFERROR(__xludf.DUMMYFUNCTION("IF('From Order'!$A881=COLUMNS($A881:G900), LEFT(INDEX(FILTER(G$1:G880, G$1:G880&lt;&gt;""""),COUNTA(FILTER(G$1:G880, G$1:G880&lt;&gt;""""))), LEN(INDEX(FILTER(G$1:G880, G$1:G880&lt;&gt;""""),COUNTA(FILTER(G$1:G880, G$1:G880&lt;&gt;""""))))-1), IF('To Order'!$A881=COLUMNS($A881:G"&amp;"900), G880&amp;RIGHT(INDIRECT(ADDRESS(ROW(G881)-1, 'From Order'!$A881)), 1), G880))"),"DTRLRQPDSSGHWQ")</f>
        <v>DTRLRQPDSSGHWQ</v>
      </c>
      <c r="H881" s="2" t="str">
        <f>IFERROR(__xludf.DUMMYFUNCTION("IF('From Order'!$A881=COLUMNS($A881:H900), LEFT(INDEX(FILTER(H$1:H880, H$1:H880&lt;&gt;""""),COUNTA(FILTER(H$1:H880, H$1:H880&lt;&gt;""""))), LEN(INDEX(FILTER(H$1:H880, H$1:H880&lt;&gt;""""),COUNTA(FILTER(H$1:H880, H$1:H880&lt;&gt;""""))))-1), IF('To Order'!$A881=COLUMNS($A881:H"&amp;"900), H880&amp;RIGHT(INDIRECT(ADDRESS(ROW(H881)-1, 'From Order'!$A881)), 1), H880))"),"M")</f>
        <v>M</v>
      </c>
      <c r="I881" s="2" t="str">
        <f>IFERROR(__xludf.DUMMYFUNCTION("IF('From Order'!$A881=COLUMNS($A881:I900), LEFT(INDEX(FILTER(I$1:I880, I$1:I880&lt;&gt;""""),COUNTA(FILTER(I$1:I880, I$1:I880&lt;&gt;""""))), LEN(INDEX(FILTER(I$1:I880, I$1:I880&lt;&gt;""""),COUNTA(FILTER(I$1:I880, I$1:I880&lt;&gt;""""))))-1), IF('To Order'!$A881=COLUMNS($A881:I"&amp;"900), I880&amp;RIGHT(INDIRECT(ADDRESS(ROW(I881)-1, 'From Order'!$A881)), 1), I880))"),"LZMV")</f>
        <v>LZMV</v>
      </c>
    </row>
    <row r="882">
      <c r="A882" s="2" t="str">
        <f>IFERROR(__xludf.DUMMYFUNCTION("IF('From Order'!$A882=COLUMNS($A882:A901), LEFT(INDEX(FILTER(A$1:A881, A$1:A881&lt;&gt;""""),COUNTA(FILTER(A$1:A881, A$1:A881&lt;&gt;""""))), LEN(INDEX(FILTER(A$1:A881, A$1:A881&lt;&gt;""""),COUNTA(FILTER(A$1:A881, A$1:A881&lt;&gt;""""))))-1), IF('To Order'!$A882=COLUMNS($A882:A"&amp;"901), A881&amp;RIGHT(INDIRECT(ADDRESS(ROW(A882)-1, 'From Order'!$A882)), 1), A881))"),"")</f>
        <v/>
      </c>
      <c r="B882" s="2" t="str">
        <f>IFERROR(__xludf.DUMMYFUNCTION("IF('From Order'!$A882=COLUMNS($A882:B901), LEFT(INDEX(FILTER(B$1:B881, B$1:B881&lt;&gt;""""),COUNTA(FILTER(B$1:B881, B$1:B881&lt;&gt;""""))), LEN(INDEX(FILTER(B$1:B881, B$1:B881&lt;&gt;""""),COUNTA(FILTER(B$1:B881, B$1:B881&lt;&gt;""""))))-1), IF('To Order'!$A882=COLUMNS($A882:B"&amp;"901), B881&amp;RIGHT(INDIRECT(ADDRESS(ROW(B882)-1, 'From Order'!$A882)), 1), B881))"),"JZRDCJ")</f>
        <v>JZRDCJ</v>
      </c>
      <c r="C882" s="2" t="str">
        <f>IFERROR(__xludf.DUMMYFUNCTION("IF('From Order'!$A882=COLUMNS($A882:C901), LEFT(INDEX(FILTER(C$1:C881, C$1:C881&lt;&gt;""""),COUNTA(FILTER(C$1:C881, C$1:C881&lt;&gt;""""))), LEN(INDEX(FILTER(C$1:C881, C$1:C881&lt;&gt;""""),COUNTA(FILTER(C$1:C881, C$1:C881&lt;&gt;""""))))-1), IF('To Order'!$A882=COLUMNS($A882:C"&amp;"901), C881&amp;RIGHT(INDIRECT(ADDRESS(ROW(C882)-1, 'From Order'!$A882)), 1), C881))"),"")</f>
        <v/>
      </c>
      <c r="D882" s="2" t="str">
        <f>IFERROR(__xludf.DUMMYFUNCTION("IF('From Order'!$A882=COLUMNS($A882:D901), LEFT(INDEX(FILTER(D$1:D881, D$1:D881&lt;&gt;""""),COUNTA(FILTER(D$1:D881, D$1:D881&lt;&gt;""""))), LEN(INDEX(FILTER(D$1:D881, D$1:D881&lt;&gt;""""),COUNTA(FILTER(D$1:D881, D$1:D881&lt;&gt;""""))))-1), IF('To Order'!$A882=COLUMNS($A882:D"&amp;"901), D881&amp;RIGHT(INDIRECT(ADDRESS(ROW(D882)-1, 'From Order'!$A882)), 1), D881))"),"BFMHZBSBPPVJCVRCTT")</f>
        <v>BFMHZBSBPPVJCVRCTT</v>
      </c>
      <c r="E882" s="2" t="str">
        <f>IFERROR(__xludf.DUMMYFUNCTION("IF('From Order'!$A882=COLUMNS($A882:E901), LEFT(INDEX(FILTER(E$1:E881, E$1:E881&lt;&gt;""""),COUNTA(FILTER(E$1:E881, E$1:E881&lt;&gt;""""))), LEN(INDEX(FILTER(E$1:E881, E$1:E881&lt;&gt;""""),COUNTA(FILTER(E$1:E881, E$1:E881&lt;&gt;""""))))-1), IF('To Order'!$A882=COLUMNS($A882:E"&amp;"901), E881&amp;RIGHT(INDIRECT(ADDRESS(ROW(E882)-1, 'From Order'!$A882)), 1), E881))"),"")</f>
        <v/>
      </c>
      <c r="F882" s="2" t="str">
        <f>IFERROR(__xludf.DUMMYFUNCTION("IF('From Order'!$A882=COLUMNS($A882:F901), LEFT(INDEX(FILTER(F$1:F881, F$1:F881&lt;&gt;""""),COUNTA(FILTER(F$1:F881, F$1:F881&lt;&gt;""""))), LEN(INDEX(FILTER(F$1:F881, F$1:F881&lt;&gt;""""),COUNTA(FILTER(F$1:F881, F$1:F881&lt;&gt;""""))))-1), IF('To Order'!$A882=COLUMNS($A882:F"&amp;"901), F881&amp;RIGHT(INDIRECT(ADDRESS(ROW(F882)-1, 'From Order'!$A882)), 1), F881))"),"FSLTTWRDTDBDG")</f>
        <v>FSLTTWRDTDBDG</v>
      </c>
      <c r="G882" s="2" t="str">
        <f>IFERROR(__xludf.DUMMYFUNCTION("IF('From Order'!$A882=COLUMNS($A882:G901), LEFT(INDEX(FILTER(G$1:G881, G$1:G881&lt;&gt;""""),COUNTA(FILTER(G$1:G881, G$1:G881&lt;&gt;""""))), LEN(INDEX(FILTER(G$1:G881, G$1:G881&lt;&gt;""""),COUNTA(FILTER(G$1:G881, G$1:G881&lt;&gt;""""))))-1), IF('To Order'!$A882=COLUMNS($A882:G"&amp;"901), G881&amp;RIGHT(INDIRECT(ADDRESS(ROW(G882)-1, 'From Order'!$A882)), 1), G881))"),"DTRLRQPDSSGHWQ")</f>
        <v>DTRLRQPDSSGHWQ</v>
      </c>
      <c r="H882" s="2" t="str">
        <f>IFERROR(__xludf.DUMMYFUNCTION("IF('From Order'!$A882=COLUMNS($A882:H901), LEFT(INDEX(FILTER(H$1:H881, H$1:H881&lt;&gt;""""),COUNTA(FILTER(H$1:H881, H$1:H881&lt;&gt;""""))), LEN(INDEX(FILTER(H$1:H881, H$1:H881&lt;&gt;""""),COUNTA(FILTER(H$1:H881, H$1:H881&lt;&gt;""""))))-1), IF('To Order'!$A882=COLUMNS($A882:H"&amp;"901), H881&amp;RIGHT(INDIRECT(ADDRESS(ROW(H882)-1, 'From Order'!$A882)), 1), H881))"),"M")</f>
        <v>M</v>
      </c>
      <c r="I882" s="2" t="str">
        <f>IFERROR(__xludf.DUMMYFUNCTION("IF('From Order'!$A882=COLUMNS($A882:I901), LEFT(INDEX(FILTER(I$1:I881, I$1:I881&lt;&gt;""""),COUNTA(FILTER(I$1:I881, I$1:I881&lt;&gt;""""))), LEN(INDEX(FILTER(I$1:I881, I$1:I881&lt;&gt;""""),COUNTA(FILTER(I$1:I881, I$1:I881&lt;&gt;""""))))-1), IF('To Order'!$A882=COLUMNS($A882:I"&amp;"901), I881&amp;RIGHT(INDIRECT(ADDRESS(ROW(I882)-1, 'From Order'!$A882)), 1), I881))"),"LZMV")</f>
        <v>LZMV</v>
      </c>
    </row>
    <row r="883">
      <c r="A883" s="2" t="str">
        <f>IFERROR(__xludf.DUMMYFUNCTION("IF('From Order'!$A883=COLUMNS($A883:A902), LEFT(INDEX(FILTER(A$1:A882, A$1:A882&lt;&gt;""""),COUNTA(FILTER(A$1:A882, A$1:A882&lt;&gt;""""))), LEN(INDEX(FILTER(A$1:A882, A$1:A882&lt;&gt;""""),COUNTA(FILTER(A$1:A882, A$1:A882&lt;&gt;""""))))-1), IF('To Order'!$A883=COLUMNS($A883:A"&amp;"902), A882&amp;RIGHT(INDIRECT(ADDRESS(ROW(A883)-1, 'From Order'!$A883)), 1), A882))"),"")</f>
        <v/>
      </c>
      <c r="B883" s="2" t="str">
        <f>IFERROR(__xludf.DUMMYFUNCTION("IF('From Order'!$A883=COLUMNS($A883:B902), LEFT(INDEX(FILTER(B$1:B882, B$1:B882&lt;&gt;""""),COUNTA(FILTER(B$1:B882, B$1:B882&lt;&gt;""""))), LEN(INDEX(FILTER(B$1:B882, B$1:B882&lt;&gt;""""),COUNTA(FILTER(B$1:B882, B$1:B882&lt;&gt;""""))))-1), IF('To Order'!$A883=COLUMNS($A883:B"&amp;"902), B882&amp;RIGHT(INDIRECT(ADDRESS(ROW(B883)-1, 'From Order'!$A883)), 1), B882))"),"JZRDC")</f>
        <v>JZRDC</v>
      </c>
      <c r="C883" s="2" t="str">
        <f>IFERROR(__xludf.DUMMYFUNCTION("IF('From Order'!$A883=COLUMNS($A883:C902), LEFT(INDEX(FILTER(C$1:C882, C$1:C882&lt;&gt;""""),COUNTA(FILTER(C$1:C882, C$1:C882&lt;&gt;""""))), LEN(INDEX(FILTER(C$1:C882, C$1:C882&lt;&gt;""""),COUNTA(FILTER(C$1:C882, C$1:C882&lt;&gt;""""))))-1), IF('To Order'!$A883=COLUMNS($A883:C"&amp;"902), C882&amp;RIGHT(INDIRECT(ADDRESS(ROW(C883)-1, 'From Order'!$A883)), 1), C882))"),"")</f>
        <v/>
      </c>
      <c r="D883" s="2" t="str">
        <f>IFERROR(__xludf.DUMMYFUNCTION("IF('From Order'!$A883=COLUMNS($A883:D902), LEFT(INDEX(FILTER(D$1:D882, D$1:D882&lt;&gt;""""),COUNTA(FILTER(D$1:D882, D$1:D882&lt;&gt;""""))), LEN(INDEX(FILTER(D$1:D882, D$1:D882&lt;&gt;""""),COUNTA(FILTER(D$1:D882, D$1:D882&lt;&gt;""""))))-1), IF('To Order'!$A883=COLUMNS($A883:D"&amp;"902), D882&amp;RIGHT(INDIRECT(ADDRESS(ROW(D883)-1, 'From Order'!$A883)), 1), D882))"),"BFMHZBSBPPVJCVRCTTJ")</f>
        <v>BFMHZBSBPPVJCVRCTTJ</v>
      </c>
      <c r="E883" s="2" t="str">
        <f>IFERROR(__xludf.DUMMYFUNCTION("IF('From Order'!$A883=COLUMNS($A883:E902), LEFT(INDEX(FILTER(E$1:E882, E$1:E882&lt;&gt;""""),COUNTA(FILTER(E$1:E882, E$1:E882&lt;&gt;""""))), LEN(INDEX(FILTER(E$1:E882, E$1:E882&lt;&gt;""""),COUNTA(FILTER(E$1:E882, E$1:E882&lt;&gt;""""))))-1), IF('To Order'!$A883=COLUMNS($A883:E"&amp;"902), E882&amp;RIGHT(INDIRECT(ADDRESS(ROW(E883)-1, 'From Order'!$A883)), 1), E882))"),"")</f>
        <v/>
      </c>
      <c r="F883" s="2" t="str">
        <f>IFERROR(__xludf.DUMMYFUNCTION("IF('From Order'!$A883=COLUMNS($A883:F902), LEFT(INDEX(FILTER(F$1:F882, F$1:F882&lt;&gt;""""),COUNTA(FILTER(F$1:F882, F$1:F882&lt;&gt;""""))), LEN(INDEX(FILTER(F$1:F882, F$1:F882&lt;&gt;""""),COUNTA(FILTER(F$1:F882, F$1:F882&lt;&gt;""""))))-1), IF('To Order'!$A883=COLUMNS($A883:F"&amp;"902), F882&amp;RIGHT(INDIRECT(ADDRESS(ROW(F883)-1, 'From Order'!$A883)), 1), F882))"),"FSLTTWRDTDBDG")</f>
        <v>FSLTTWRDTDBDG</v>
      </c>
      <c r="G883" s="2" t="str">
        <f>IFERROR(__xludf.DUMMYFUNCTION("IF('From Order'!$A883=COLUMNS($A883:G902), LEFT(INDEX(FILTER(G$1:G882, G$1:G882&lt;&gt;""""),COUNTA(FILTER(G$1:G882, G$1:G882&lt;&gt;""""))), LEN(INDEX(FILTER(G$1:G882, G$1:G882&lt;&gt;""""),COUNTA(FILTER(G$1:G882, G$1:G882&lt;&gt;""""))))-1), IF('To Order'!$A883=COLUMNS($A883:G"&amp;"902), G882&amp;RIGHT(INDIRECT(ADDRESS(ROW(G883)-1, 'From Order'!$A883)), 1), G882))"),"DTRLRQPDSSGHWQ")</f>
        <v>DTRLRQPDSSGHWQ</v>
      </c>
      <c r="H883" s="2" t="str">
        <f>IFERROR(__xludf.DUMMYFUNCTION("IF('From Order'!$A883=COLUMNS($A883:H902), LEFT(INDEX(FILTER(H$1:H882, H$1:H882&lt;&gt;""""),COUNTA(FILTER(H$1:H882, H$1:H882&lt;&gt;""""))), LEN(INDEX(FILTER(H$1:H882, H$1:H882&lt;&gt;""""),COUNTA(FILTER(H$1:H882, H$1:H882&lt;&gt;""""))))-1), IF('To Order'!$A883=COLUMNS($A883:H"&amp;"902), H882&amp;RIGHT(INDIRECT(ADDRESS(ROW(H883)-1, 'From Order'!$A883)), 1), H882))"),"M")</f>
        <v>M</v>
      </c>
      <c r="I883" s="2" t="str">
        <f>IFERROR(__xludf.DUMMYFUNCTION("IF('From Order'!$A883=COLUMNS($A883:I902), LEFT(INDEX(FILTER(I$1:I882, I$1:I882&lt;&gt;""""),COUNTA(FILTER(I$1:I882, I$1:I882&lt;&gt;""""))), LEN(INDEX(FILTER(I$1:I882, I$1:I882&lt;&gt;""""),COUNTA(FILTER(I$1:I882, I$1:I882&lt;&gt;""""))))-1), IF('To Order'!$A883=COLUMNS($A883:I"&amp;"902), I882&amp;RIGHT(INDIRECT(ADDRESS(ROW(I883)-1, 'From Order'!$A883)), 1), I882))"),"LZMV")</f>
        <v>LZMV</v>
      </c>
    </row>
    <row r="884">
      <c r="A884" s="2" t="str">
        <f>IFERROR(__xludf.DUMMYFUNCTION("IF('From Order'!$A884=COLUMNS($A884:A903), LEFT(INDEX(FILTER(A$1:A883, A$1:A883&lt;&gt;""""),COUNTA(FILTER(A$1:A883, A$1:A883&lt;&gt;""""))), LEN(INDEX(FILTER(A$1:A883, A$1:A883&lt;&gt;""""),COUNTA(FILTER(A$1:A883, A$1:A883&lt;&gt;""""))))-1), IF('To Order'!$A884=COLUMNS($A884:A"&amp;"903), A883&amp;RIGHT(INDIRECT(ADDRESS(ROW(A884)-1, 'From Order'!$A884)), 1), A883))"),"")</f>
        <v/>
      </c>
      <c r="B884" s="2" t="str">
        <f>IFERROR(__xludf.DUMMYFUNCTION("IF('From Order'!$A884=COLUMNS($A884:B903), LEFT(INDEX(FILTER(B$1:B883, B$1:B883&lt;&gt;""""),COUNTA(FILTER(B$1:B883, B$1:B883&lt;&gt;""""))), LEN(INDEX(FILTER(B$1:B883, B$1:B883&lt;&gt;""""),COUNTA(FILTER(B$1:B883, B$1:B883&lt;&gt;""""))))-1), IF('To Order'!$A884=COLUMNS($A884:B"&amp;"903), B883&amp;RIGHT(INDIRECT(ADDRESS(ROW(B884)-1, 'From Order'!$A884)), 1), B883))"),"JZRDC")</f>
        <v>JZRDC</v>
      </c>
      <c r="C884" s="2" t="str">
        <f>IFERROR(__xludf.DUMMYFUNCTION("IF('From Order'!$A884=COLUMNS($A884:C903), LEFT(INDEX(FILTER(C$1:C883, C$1:C883&lt;&gt;""""),COUNTA(FILTER(C$1:C883, C$1:C883&lt;&gt;""""))), LEN(INDEX(FILTER(C$1:C883, C$1:C883&lt;&gt;""""),COUNTA(FILTER(C$1:C883, C$1:C883&lt;&gt;""""))))-1), IF('To Order'!$A884=COLUMNS($A884:C"&amp;"903), C883&amp;RIGHT(INDIRECT(ADDRESS(ROW(C884)-1, 'From Order'!$A884)), 1), C883))"),"")</f>
        <v/>
      </c>
      <c r="D884" s="2" t="str">
        <f>IFERROR(__xludf.DUMMYFUNCTION("IF('From Order'!$A884=COLUMNS($A884:D903), LEFT(INDEX(FILTER(D$1:D883, D$1:D883&lt;&gt;""""),COUNTA(FILTER(D$1:D883, D$1:D883&lt;&gt;""""))), LEN(INDEX(FILTER(D$1:D883, D$1:D883&lt;&gt;""""),COUNTA(FILTER(D$1:D883, D$1:D883&lt;&gt;""""))))-1), IF('To Order'!$A884=COLUMNS($A884:D"&amp;"903), D883&amp;RIGHT(INDIRECT(ADDRESS(ROW(D884)-1, 'From Order'!$A884)), 1), D883))"),"BFMHZBSBPPVJCVRCTTJ")</f>
        <v>BFMHZBSBPPVJCVRCTTJ</v>
      </c>
      <c r="E884" s="2" t="str">
        <f>IFERROR(__xludf.DUMMYFUNCTION("IF('From Order'!$A884=COLUMNS($A884:E903), LEFT(INDEX(FILTER(E$1:E883, E$1:E883&lt;&gt;""""),COUNTA(FILTER(E$1:E883, E$1:E883&lt;&gt;""""))), LEN(INDEX(FILTER(E$1:E883, E$1:E883&lt;&gt;""""),COUNTA(FILTER(E$1:E883, E$1:E883&lt;&gt;""""))))-1), IF('To Order'!$A884=COLUMNS($A884:E"&amp;"903), E883&amp;RIGHT(INDIRECT(ADDRESS(ROW(E884)-1, 'From Order'!$A884)), 1), E883))"),"")</f>
        <v/>
      </c>
      <c r="F884" s="2" t="str">
        <f>IFERROR(__xludf.DUMMYFUNCTION("IF('From Order'!$A884=COLUMNS($A884:F903), LEFT(INDEX(FILTER(F$1:F883, F$1:F883&lt;&gt;""""),COUNTA(FILTER(F$1:F883, F$1:F883&lt;&gt;""""))), LEN(INDEX(FILTER(F$1:F883, F$1:F883&lt;&gt;""""),COUNTA(FILTER(F$1:F883, F$1:F883&lt;&gt;""""))))-1), IF('To Order'!$A884=COLUMNS($A884:F"&amp;"903), F883&amp;RIGHT(INDIRECT(ADDRESS(ROW(F884)-1, 'From Order'!$A884)), 1), F883))"),"FSLTTWRDTDBDG")</f>
        <v>FSLTTWRDTDBDG</v>
      </c>
      <c r="G884" s="2" t="str">
        <f>IFERROR(__xludf.DUMMYFUNCTION("IF('From Order'!$A884=COLUMNS($A884:G903), LEFT(INDEX(FILTER(G$1:G883, G$1:G883&lt;&gt;""""),COUNTA(FILTER(G$1:G883, G$1:G883&lt;&gt;""""))), LEN(INDEX(FILTER(G$1:G883, G$1:G883&lt;&gt;""""),COUNTA(FILTER(G$1:G883, G$1:G883&lt;&gt;""""))))-1), IF('To Order'!$A884=COLUMNS($A884:G"&amp;"903), G883&amp;RIGHT(INDIRECT(ADDRESS(ROW(G884)-1, 'From Order'!$A884)), 1), G883))"),"DTRLRQPDSSGHWQV")</f>
        <v>DTRLRQPDSSGHWQV</v>
      </c>
      <c r="H884" s="2" t="str">
        <f>IFERROR(__xludf.DUMMYFUNCTION("IF('From Order'!$A884=COLUMNS($A884:H903), LEFT(INDEX(FILTER(H$1:H883, H$1:H883&lt;&gt;""""),COUNTA(FILTER(H$1:H883, H$1:H883&lt;&gt;""""))), LEN(INDEX(FILTER(H$1:H883, H$1:H883&lt;&gt;""""),COUNTA(FILTER(H$1:H883, H$1:H883&lt;&gt;""""))))-1), IF('To Order'!$A884=COLUMNS($A884:H"&amp;"903), H883&amp;RIGHT(INDIRECT(ADDRESS(ROW(H884)-1, 'From Order'!$A884)), 1), H883))"),"M")</f>
        <v>M</v>
      </c>
      <c r="I884" s="2" t="str">
        <f>IFERROR(__xludf.DUMMYFUNCTION("IF('From Order'!$A884=COLUMNS($A884:I903), LEFT(INDEX(FILTER(I$1:I883, I$1:I883&lt;&gt;""""),COUNTA(FILTER(I$1:I883, I$1:I883&lt;&gt;""""))), LEN(INDEX(FILTER(I$1:I883, I$1:I883&lt;&gt;""""),COUNTA(FILTER(I$1:I883, I$1:I883&lt;&gt;""""))))-1), IF('To Order'!$A884=COLUMNS($A884:I"&amp;"903), I883&amp;RIGHT(INDIRECT(ADDRESS(ROW(I884)-1, 'From Order'!$A884)), 1), I883))"),"LZM")</f>
        <v>LZM</v>
      </c>
    </row>
    <row r="885">
      <c r="A885" s="2" t="str">
        <f>IFERROR(__xludf.DUMMYFUNCTION("IF('From Order'!$A885=COLUMNS($A885:A904), LEFT(INDEX(FILTER(A$1:A884, A$1:A884&lt;&gt;""""),COUNTA(FILTER(A$1:A884, A$1:A884&lt;&gt;""""))), LEN(INDEX(FILTER(A$1:A884, A$1:A884&lt;&gt;""""),COUNTA(FILTER(A$1:A884, A$1:A884&lt;&gt;""""))))-1), IF('To Order'!$A885=COLUMNS($A885:A"&amp;"904), A884&amp;RIGHT(INDIRECT(ADDRESS(ROW(A885)-1, 'From Order'!$A885)), 1), A884))"),"")</f>
        <v/>
      </c>
      <c r="B885" s="2" t="str">
        <f>IFERROR(__xludf.DUMMYFUNCTION("IF('From Order'!$A885=COLUMNS($A885:B904), LEFT(INDEX(FILTER(B$1:B884, B$1:B884&lt;&gt;""""),COUNTA(FILTER(B$1:B884, B$1:B884&lt;&gt;""""))), LEN(INDEX(FILTER(B$1:B884, B$1:B884&lt;&gt;""""),COUNTA(FILTER(B$1:B884, B$1:B884&lt;&gt;""""))))-1), IF('To Order'!$A885=COLUMNS($A885:B"&amp;"904), B884&amp;RIGHT(INDIRECT(ADDRESS(ROW(B885)-1, 'From Order'!$A885)), 1), B884))"),"JZRDCG")</f>
        <v>JZRDCG</v>
      </c>
      <c r="C885" s="2" t="str">
        <f>IFERROR(__xludf.DUMMYFUNCTION("IF('From Order'!$A885=COLUMNS($A885:C904), LEFT(INDEX(FILTER(C$1:C884, C$1:C884&lt;&gt;""""),COUNTA(FILTER(C$1:C884, C$1:C884&lt;&gt;""""))), LEN(INDEX(FILTER(C$1:C884, C$1:C884&lt;&gt;""""),COUNTA(FILTER(C$1:C884, C$1:C884&lt;&gt;""""))))-1), IF('To Order'!$A885=COLUMNS($A885:C"&amp;"904), C884&amp;RIGHT(INDIRECT(ADDRESS(ROW(C885)-1, 'From Order'!$A885)), 1), C884))"),"")</f>
        <v/>
      </c>
      <c r="D885" s="2" t="str">
        <f>IFERROR(__xludf.DUMMYFUNCTION("IF('From Order'!$A885=COLUMNS($A885:D904), LEFT(INDEX(FILTER(D$1:D884, D$1:D884&lt;&gt;""""),COUNTA(FILTER(D$1:D884, D$1:D884&lt;&gt;""""))), LEN(INDEX(FILTER(D$1:D884, D$1:D884&lt;&gt;""""),COUNTA(FILTER(D$1:D884, D$1:D884&lt;&gt;""""))))-1), IF('To Order'!$A885=COLUMNS($A885:D"&amp;"904), D884&amp;RIGHT(INDIRECT(ADDRESS(ROW(D885)-1, 'From Order'!$A885)), 1), D884))"),"BFMHZBSBPPVJCVRCTTJ")</f>
        <v>BFMHZBSBPPVJCVRCTTJ</v>
      </c>
      <c r="E885" s="2" t="str">
        <f>IFERROR(__xludf.DUMMYFUNCTION("IF('From Order'!$A885=COLUMNS($A885:E904), LEFT(INDEX(FILTER(E$1:E884, E$1:E884&lt;&gt;""""),COUNTA(FILTER(E$1:E884, E$1:E884&lt;&gt;""""))), LEN(INDEX(FILTER(E$1:E884, E$1:E884&lt;&gt;""""),COUNTA(FILTER(E$1:E884, E$1:E884&lt;&gt;""""))))-1), IF('To Order'!$A885=COLUMNS($A885:E"&amp;"904), E884&amp;RIGHT(INDIRECT(ADDRESS(ROW(E885)-1, 'From Order'!$A885)), 1), E884))"),"")</f>
        <v/>
      </c>
      <c r="F885" s="2" t="str">
        <f>IFERROR(__xludf.DUMMYFUNCTION("IF('From Order'!$A885=COLUMNS($A885:F904), LEFT(INDEX(FILTER(F$1:F884, F$1:F884&lt;&gt;""""),COUNTA(FILTER(F$1:F884, F$1:F884&lt;&gt;""""))), LEN(INDEX(FILTER(F$1:F884, F$1:F884&lt;&gt;""""),COUNTA(FILTER(F$1:F884, F$1:F884&lt;&gt;""""))))-1), IF('To Order'!$A885=COLUMNS($A885:F"&amp;"904), F884&amp;RIGHT(INDIRECT(ADDRESS(ROW(F885)-1, 'From Order'!$A885)), 1), F884))"),"FSLTTWRDTDBD")</f>
        <v>FSLTTWRDTDBD</v>
      </c>
      <c r="G885" s="2" t="str">
        <f>IFERROR(__xludf.DUMMYFUNCTION("IF('From Order'!$A885=COLUMNS($A885:G904), LEFT(INDEX(FILTER(G$1:G884, G$1:G884&lt;&gt;""""),COUNTA(FILTER(G$1:G884, G$1:G884&lt;&gt;""""))), LEN(INDEX(FILTER(G$1:G884, G$1:G884&lt;&gt;""""),COUNTA(FILTER(G$1:G884, G$1:G884&lt;&gt;""""))))-1), IF('To Order'!$A885=COLUMNS($A885:G"&amp;"904), G884&amp;RIGHT(INDIRECT(ADDRESS(ROW(G885)-1, 'From Order'!$A885)), 1), G884))"),"DTRLRQPDSSGHWQV")</f>
        <v>DTRLRQPDSSGHWQV</v>
      </c>
      <c r="H885" s="2" t="str">
        <f>IFERROR(__xludf.DUMMYFUNCTION("IF('From Order'!$A885=COLUMNS($A885:H904), LEFT(INDEX(FILTER(H$1:H884, H$1:H884&lt;&gt;""""),COUNTA(FILTER(H$1:H884, H$1:H884&lt;&gt;""""))), LEN(INDEX(FILTER(H$1:H884, H$1:H884&lt;&gt;""""),COUNTA(FILTER(H$1:H884, H$1:H884&lt;&gt;""""))))-1), IF('To Order'!$A885=COLUMNS($A885:H"&amp;"904), H884&amp;RIGHT(INDIRECT(ADDRESS(ROW(H885)-1, 'From Order'!$A885)), 1), H884))"),"M")</f>
        <v>M</v>
      </c>
      <c r="I885" s="2" t="str">
        <f>IFERROR(__xludf.DUMMYFUNCTION("IF('From Order'!$A885=COLUMNS($A885:I904), LEFT(INDEX(FILTER(I$1:I884, I$1:I884&lt;&gt;""""),COUNTA(FILTER(I$1:I884, I$1:I884&lt;&gt;""""))), LEN(INDEX(FILTER(I$1:I884, I$1:I884&lt;&gt;""""),COUNTA(FILTER(I$1:I884, I$1:I884&lt;&gt;""""))))-1), IF('To Order'!$A885=COLUMNS($A885:I"&amp;"904), I884&amp;RIGHT(INDIRECT(ADDRESS(ROW(I885)-1, 'From Order'!$A885)), 1), I884))"),"LZM")</f>
        <v>LZM</v>
      </c>
    </row>
    <row r="886">
      <c r="A886" s="2" t="str">
        <f>IFERROR(__xludf.DUMMYFUNCTION("IF('From Order'!$A886=COLUMNS($A886:A905), LEFT(INDEX(FILTER(A$1:A885, A$1:A885&lt;&gt;""""),COUNTA(FILTER(A$1:A885, A$1:A885&lt;&gt;""""))), LEN(INDEX(FILTER(A$1:A885, A$1:A885&lt;&gt;""""),COUNTA(FILTER(A$1:A885, A$1:A885&lt;&gt;""""))))-1), IF('To Order'!$A886=COLUMNS($A886:A"&amp;"905), A885&amp;RIGHT(INDIRECT(ADDRESS(ROW(A886)-1, 'From Order'!$A886)), 1), A885))"),"")</f>
        <v/>
      </c>
      <c r="B886" s="2" t="str">
        <f>IFERROR(__xludf.DUMMYFUNCTION("IF('From Order'!$A886=COLUMNS($A886:B905), LEFT(INDEX(FILTER(B$1:B885, B$1:B885&lt;&gt;""""),COUNTA(FILTER(B$1:B885, B$1:B885&lt;&gt;""""))), LEN(INDEX(FILTER(B$1:B885, B$1:B885&lt;&gt;""""),COUNTA(FILTER(B$1:B885, B$1:B885&lt;&gt;""""))))-1), IF('To Order'!$A886=COLUMNS($A886:B"&amp;"905), B885&amp;RIGHT(INDIRECT(ADDRESS(ROW(B886)-1, 'From Order'!$A886)), 1), B885))"),"JZRDCG")</f>
        <v>JZRDCG</v>
      </c>
      <c r="C886" s="2" t="str">
        <f>IFERROR(__xludf.DUMMYFUNCTION("IF('From Order'!$A886=COLUMNS($A886:C905), LEFT(INDEX(FILTER(C$1:C885, C$1:C885&lt;&gt;""""),COUNTA(FILTER(C$1:C885, C$1:C885&lt;&gt;""""))), LEN(INDEX(FILTER(C$1:C885, C$1:C885&lt;&gt;""""),COUNTA(FILTER(C$1:C885, C$1:C885&lt;&gt;""""))))-1), IF('To Order'!$A886=COLUMNS($A886:C"&amp;"905), C885&amp;RIGHT(INDIRECT(ADDRESS(ROW(C886)-1, 'From Order'!$A886)), 1), C885))"),"")</f>
        <v/>
      </c>
      <c r="D886" s="2" t="str">
        <f>IFERROR(__xludf.DUMMYFUNCTION("IF('From Order'!$A886=COLUMNS($A886:D905), LEFT(INDEX(FILTER(D$1:D885, D$1:D885&lt;&gt;""""),COUNTA(FILTER(D$1:D885, D$1:D885&lt;&gt;""""))), LEN(INDEX(FILTER(D$1:D885, D$1:D885&lt;&gt;""""),COUNTA(FILTER(D$1:D885, D$1:D885&lt;&gt;""""))))-1), IF('To Order'!$A886=COLUMNS($A886:D"&amp;"905), D885&amp;RIGHT(INDIRECT(ADDRESS(ROW(D886)-1, 'From Order'!$A886)), 1), D885))"),"BFMHZBSBPPVJCVRCTTJ")</f>
        <v>BFMHZBSBPPVJCVRCTTJ</v>
      </c>
      <c r="E886" s="2" t="str">
        <f>IFERROR(__xludf.DUMMYFUNCTION("IF('From Order'!$A886=COLUMNS($A886:E905), LEFT(INDEX(FILTER(E$1:E885, E$1:E885&lt;&gt;""""),COUNTA(FILTER(E$1:E885, E$1:E885&lt;&gt;""""))), LEN(INDEX(FILTER(E$1:E885, E$1:E885&lt;&gt;""""),COUNTA(FILTER(E$1:E885, E$1:E885&lt;&gt;""""))))-1), IF('To Order'!$A886=COLUMNS($A886:E"&amp;"905), E885&amp;RIGHT(INDIRECT(ADDRESS(ROW(E886)-1, 'From Order'!$A886)), 1), E885))"),"")</f>
        <v/>
      </c>
      <c r="F886" s="2" t="str">
        <f>IFERROR(__xludf.DUMMYFUNCTION("IF('From Order'!$A886=COLUMNS($A886:F905), LEFT(INDEX(FILTER(F$1:F885, F$1:F885&lt;&gt;""""),COUNTA(FILTER(F$1:F885, F$1:F885&lt;&gt;""""))), LEN(INDEX(FILTER(F$1:F885, F$1:F885&lt;&gt;""""),COUNTA(FILTER(F$1:F885, F$1:F885&lt;&gt;""""))))-1), IF('To Order'!$A886=COLUMNS($A886:F"&amp;"905), F885&amp;RIGHT(INDIRECT(ADDRESS(ROW(F886)-1, 'From Order'!$A886)), 1), F885))"),"FSLTTWRDTDBD")</f>
        <v>FSLTTWRDTDBD</v>
      </c>
      <c r="G886" s="2" t="str">
        <f>IFERROR(__xludf.DUMMYFUNCTION("IF('From Order'!$A886=COLUMNS($A886:G905), LEFT(INDEX(FILTER(G$1:G885, G$1:G885&lt;&gt;""""),COUNTA(FILTER(G$1:G885, G$1:G885&lt;&gt;""""))), LEN(INDEX(FILTER(G$1:G885, G$1:G885&lt;&gt;""""),COUNTA(FILTER(G$1:G885, G$1:G885&lt;&gt;""""))))-1), IF('To Order'!$A886=COLUMNS($A886:G"&amp;"905), G885&amp;RIGHT(INDIRECT(ADDRESS(ROW(G886)-1, 'From Order'!$A886)), 1), G885))"),"DTRLRQPDSSGHWQ")</f>
        <v>DTRLRQPDSSGHWQ</v>
      </c>
      <c r="H886" s="2" t="str">
        <f>IFERROR(__xludf.DUMMYFUNCTION("IF('From Order'!$A886=COLUMNS($A886:H905), LEFT(INDEX(FILTER(H$1:H885, H$1:H885&lt;&gt;""""),COUNTA(FILTER(H$1:H885, H$1:H885&lt;&gt;""""))), LEN(INDEX(FILTER(H$1:H885, H$1:H885&lt;&gt;""""),COUNTA(FILTER(H$1:H885, H$1:H885&lt;&gt;""""))))-1), IF('To Order'!$A886=COLUMNS($A886:H"&amp;"905), H885&amp;RIGHT(INDIRECT(ADDRESS(ROW(H886)-1, 'From Order'!$A886)), 1), H885))"),"M")</f>
        <v>M</v>
      </c>
      <c r="I886" s="2" t="str">
        <f>IFERROR(__xludf.DUMMYFUNCTION("IF('From Order'!$A886=COLUMNS($A886:I905), LEFT(INDEX(FILTER(I$1:I885, I$1:I885&lt;&gt;""""),COUNTA(FILTER(I$1:I885, I$1:I885&lt;&gt;""""))), LEN(INDEX(FILTER(I$1:I885, I$1:I885&lt;&gt;""""),COUNTA(FILTER(I$1:I885, I$1:I885&lt;&gt;""""))))-1), IF('To Order'!$A886=COLUMNS($A886:I"&amp;"905), I885&amp;RIGHT(INDIRECT(ADDRESS(ROW(I886)-1, 'From Order'!$A886)), 1), I885))"),"LZMV")</f>
        <v>LZMV</v>
      </c>
    </row>
    <row r="887">
      <c r="A887" s="2" t="str">
        <f>IFERROR(__xludf.DUMMYFUNCTION("IF('From Order'!$A887=COLUMNS($A887:A906), LEFT(INDEX(FILTER(A$1:A886, A$1:A886&lt;&gt;""""),COUNTA(FILTER(A$1:A886, A$1:A886&lt;&gt;""""))), LEN(INDEX(FILTER(A$1:A886, A$1:A886&lt;&gt;""""),COUNTA(FILTER(A$1:A886, A$1:A886&lt;&gt;""""))))-1), IF('To Order'!$A887=COLUMNS($A887:A"&amp;"906), A886&amp;RIGHT(INDIRECT(ADDRESS(ROW(A887)-1, 'From Order'!$A887)), 1), A886))"),"")</f>
        <v/>
      </c>
      <c r="B887" s="2" t="str">
        <f>IFERROR(__xludf.DUMMYFUNCTION("IF('From Order'!$A887=COLUMNS($A887:B906), LEFT(INDEX(FILTER(B$1:B886, B$1:B886&lt;&gt;""""),COUNTA(FILTER(B$1:B886, B$1:B886&lt;&gt;""""))), LEN(INDEX(FILTER(B$1:B886, B$1:B886&lt;&gt;""""),COUNTA(FILTER(B$1:B886, B$1:B886&lt;&gt;""""))))-1), IF('To Order'!$A887=COLUMNS($A887:B"&amp;"906), B886&amp;RIGHT(INDIRECT(ADDRESS(ROW(B887)-1, 'From Order'!$A887)), 1), B886))"),"JZRDCG")</f>
        <v>JZRDCG</v>
      </c>
      <c r="C887" s="2" t="str">
        <f>IFERROR(__xludf.DUMMYFUNCTION("IF('From Order'!$A887=COLUMNS($A887:C906), LEFT(INDEX(FILTER(C$1:C886, C$1:C886&lt;&gt;""""),COUNTA(FILTER(C$1:C886, C$1:C886&lt;&gt;""""))), LEN(INDEX(FILTER(C$1:C886, C$1:C886&lt;&gt;""""),COUNTA(FILTER(C$1:C886, C$1:C886&lt;&gt;""""))))-1), IF('To Order'!$A887=COLUMNS($A887:C"&amp;"906), C886&amp;RIGHT(INDIRECT(ADDRESS(ROW(C887)-1, 'From Order'!$A887)), 1), C886))"),"")</f>
        <v/>
      </c>
      <c r="D887" s="2" t="str">
        <f>IFERROR(__xludf.DUMMYFUNCTION("IF('From Order'!$A887=COLUMNS($A887:D906), LEFT(INDEX(FILTER(D$1:D886, D$1:D886&lt;&gt;""""),COUNTA(FILTER(D$1:D886, D$1:D886&lt;&gt;""""))), LEN(INDEX(FILTER(D$1:D886, D$1:D886&lt;&gt;""""),COUNTA(FILTER(D$1:D886, D$1:D886&lt;&gt;""""))))-1), IF('To Order'!$A887=COLUMNS($A887:D"&amp;"906), D886&amp;RIGHT(INDIRECT(ADDRESS(ROW(D887)-1, 'From Order'!$A887)), 1), D886))"),"BFMHZBSBPPVJCVRCTTJ")</f>
        <v>BFMHZBSBPPVJCVRCTTJ</v>
      </c>
      <c r="E887" s="2" t="str">
        <f>IFERROR(__xludf.DUMMYFUNCTION("IF('From Order'!$A887=COLUMNS($A887:E906), LEFT(INDEX(FILTER(E$1:E886, E$1:E886&lt;&gt;""""),COUNTA(FILTER(E$1:E886, E$1:E886&lt;&gt;""""))), LEN(INDEX(FILTER(E$1:E886, E$1:E886&lt;&gt;""""),COUNTA(FILTER(E$1:E886, E$1:E886&lt;&gt;""""))))-1), IF('To Order'!$A887=COLUMNS($A887:E"&amp;"906), E886&amp;RIGHT(INDIRECT(ADDRESS(ROW(E887)-1, 'From Order'!$A887)), 1), E886))"),"")</f>
        <v/>
      </c>
      <c r="F887" s="2" t="str">
        <f>IFERROR(__xludf.DUMMYFUNCTION("IF('From Order'!$A887=COLUMNS($A887:F906), LEFT(INDEX(FILTER(F$1:F886, F$1:F886&lt;&gt;""""),COUNTA(FILTER(F$1:F886, F$1:F886&lt;&gt;""""))), LEN(INDEX(FILTER(F$1:F886, F$1:F886&lt;&gt;""""),COUNTA(FILTER(F$1:F886, F$1:F886&lt;&gt;""""))))-1), IF('To Order'!$A887=COLUMNS($A887:F"&amp;"906), F886&amp;RIGHT(INDIRECT(ADDRESS(ROW(F887)-1, 'From Order'!$A887)), 1), F886))"),"FSLTTWRDTDBD")</f>
        <v>FSLTTWRDTDBD</v>
      </c>
      <c r="G887" s="2" t="str">
        <f>IFERROR(__xludf.DUMMYFUNCTION("IF('From Order'!$A887=COLUMNS($A887:G906), LEFT(INDEX(FILTER(G$1:G886, G$1:G886&lt;&gt;""""),COUNTA(FILTER(G$1:G886, G$1:G886&lt;&gt;""""))), LEN(INDEX(FILTER(G$1:G886, G$1:G886&lt;&gt;""""),COUNTA(FILTER(G$1:G886, G$1:G886&lt;&gt;""""))))-1), IF('To Order'!$A887=COLUMNS($A887:G"&amp;"906), G886&amp;RIGHT(INDIRECT(ADDRESS(ROW(G887)-1, 'From Order'!$A887)), 1), G886))"),"DTRLRQPDSSGHW")</f>
        <v>DTRLRQPDSSGHW</v>
      </c>
      <c r="H887" s="2" t="str">
        <f>IFERROR(__xludf.DUMMYFUNCTION("IF('From Order'!$A887=COLUMNS($A887:H906), LEFT(INDEX(FILTER(H$1:H886, H$1:H886&lt;&gt;""""),COUNTA(FILTER(H$1:H886, H$1:H886&lt;&gt;""""))), LEN(INDEX(FILTER(H$1:H886, H$1:H886&lt;&gt;""""),COUNTA(FILTER(H$1:H886, H$1:H886&lt;&gt;""""))))-1), IF('To Order'!$A887=COLUMNS($A887:H"&amp;"906), H886&amp;RIGHT(INDIRECT(ADDRESS(ROW(H887)-1, 'From Order'!$A887)), 1), H886))"),"M")</f>
        <v>M</v>
      </c>
      <c r="I887" s="2" t="str">
        <f>IFERROR(__xludf.DUMMYFUNCTION("IF('From Order'!$A887=COLUMNS($A887:I906), LEFT(INDEX(FILTER(I$1:I886, I$1:I886&lt;&gt;""""),COUNTA(FILTER(I$1:I886, I$1:I886&lt;&gt;""""))), LEN(INDEX(FILTER(I$1:I886, I$1:I886&lt;&gt;""""),COUNTA(FILTER(I$1:I886, I$1:I886&lt;&gt;""""))))-1), IF('To Order'!$A887=COLUMNS($A887:I"&amp;"906), I886&amp;RIGHT(INDIRECT(ADDRESS(ROW(I887)-1, 'From Order'!$A887)), 1), I886))"),"LZMVQ")</f>
        <v>LZMVQ</v>
      </c>
    </row>
    <row r="888">
      <c r="A888" s="2" t="str">
        <f>IFERROR(__xludf.DUMMYFUNCTION("IF('From Order'!$A888=COLUMNS($A888:A907), LEFT(INDEX(FILTER(A$1:A887, A$1:A887&lt;&gt;""""),COUNTA(FILTER(A$1:A887, A$1:A887&lt;&gt;""""))), LEN(INDEX(FILTER(A$1:A887, A$1:A887&lt;&gt;""""),COUNTA(FILTER(A$1:A887, A$1:A887&lt;&gt;""""))))-1), IF('To Order'!$A888=COLUMNS($A888:A"&amp;"907), A887&amp;RIGHT(INDIRECT(ADDRESS(ROW(A888)-1, 'From Order'!$A888)), 1), A887))"),"")</f>
        <v/>
      </c>
      <c r="B888" s="2" t="str">
        <f>IFERROR(__xludf.DUMMYFUNCTION("IF('From Order'!$A888=COLUMNS($A888:B907), LEFT(INDEX(FILTER(B$1:B887, B$1:B887&lt;&gt;""""),COUNTA(FILTER(B$1:B887, B$1:B887&lt;&gt;""""))), LEN(INDEX(FILTER(B$1:B887, B$1:B887&lt;&gt;""""),COUNTA(FILTER(B$1:B887, B$1:B887&lt;&gt;""""))))-1), IF('To Order'!$A888=COLUMNS($A888:B"&amp;"907), B887&amp;RIGHT(INDIRECT(ADDRESS(ROW(B888)-1, 'From Order'!$A888)), 1), B887))"),"JZRDCG")</f>
        <v>JZRDCG</v>
      </c>
      <c r="C888" s="2" t="str">
        <f>IFERROR(__xludf.DUMMYFUNCTION("IF('From Order'!$A888=COLUMNS($A888:C907), LEFT(INDEX(FILTER(C$1:C887, C$1:C887&lt;&gt;""""),COUNTA(FILTER(C$1:C887, C$1:C887&lt;&gt;""""))), LEN(INDEX(FILTER(C$1:C887, C$1:C887&lt;&gt;""""),COUNTA(FILTER(C$1:C887, C$1:C887&lt;&gt;""""))))-1), IF('To Order'!$A888=COLUMNS($A888:C"&amp;"907), C887&amp;RIGHT(INDIRECT(ADDRESS(ROW(C888)-1, 'From Order'!$A888)), 1), C887))"),"")</f>
        <v/>
      </c>
      <c r="D888" s="2" t="str">
        <f>IFERROR(__xludf.DUMMYFUNCTION("IF('From Order'!$A888=COLUMNS($A888:D907), LEFT(INDEX(FILTER(D$1:D887, D$1:D887&lt;&gt;""""),COUNTA(FILTER(D$1:D887, D$1:D887&lt;&gt;""""))), LEN(INDEX(FILTER(D$1:D887, D$1:D887&lt;&gt;""""),COUNTA(FILTER(D$1:D887, D$1:D887&lt;&gt;""""))))-1), IF('To Order'!$A888=COLUMNS($A888:D"&amp;"907), D887&amp;RIGHT(INDIRECT(ADDRESS(ROW(D888)-1, 'From Order'!$A888)), 1), D887))"),"BFMHZBSBPPVJCVRCTTJ")</f>
        <v>BFMHZBSBPPVJCVRCTTJ</v>
      </c>
      <c r="E888" s="2" t="str">
        <f>IFERROR(__xludf.DUMMYFUNCTION("IF('From Order'!$A888=COLUMNS($A888:E907), LEFT(INDEX(FILTER(E$1:E887, E$1:E887&lt;&gt;""""),COUNTA(FILTER(E$1:E887, E$1:E887&lt;&gt;""""))), LEN(INDEX(FILTER(E$1:E887, E$1:E887&lt;&gt;""""),COUNTA(FILTER(E$1:E887, E$1:E887&lt;&gt;""""))))-1), IF('To Order'!$A888=COLUMNS($A888:E"&amp;"907), E887&amp;RIGHT(INDIRECT(ADDRESS(ROW(E888)-1, 'From Order'!$A888)), 1), E887))"),"")</f>
        <v/>
      </c>
      <c r="F888" s="2" t="str">
        <f>IFERROR(__xludf.DUMMYFUNCTION("IF('From Order'!$A888=COLUMNS($A888:F907), LEFT(INDEX(FILTER(F$1:F887, F$1:F887&lt;&gt;""""),COUNTA(FILTER(F$1:F887, F$1:F887&lt;&gt;""""))), LEN(INDEX(FILTER(F$1:F887, F$1:F887&lt;&gt;""""),COUNTA(FILTER(F$1:F887, F$1:F887&lt;&gt;""""))))-1), IF('To Order'!$A888=COLUMNS($A888:F"&amp;"907), F887&amp;RIGHT(INDIRECT(ADDRESS(ROW(F888)-1, 'From Order'!$A888)), 1), F887))"),"FSLTTWRDTDBD")</f>
        <v>FSLTTWRDTDBD</v>
      </c>
      <c r="G888" s="2" t="str">
        <f>IFERROR(__xludf.DUMMYFUNCTION("IF('From Order'!$A888=COLUMNS($A888:G907), LEFT(INDEX(FILTER(G$1:G887, G$1:G887&lt;&gt;""""),COUNTA(FILTER(G$1:G887, G$1:G887&lt;&gt;""""))), LEN(INDEX(FILTER(G$1:G887, G$1:G887&lt;&gt;""""),COUNTA(FILTER(G$1:G887, G$1:G887&lt;&gt;""""))))-1), IF('To Order'!$A888=COLUMNS($A888:G"&amp;"907), G887&amp;RIGHT(INDIRECT(ADDRESS(ROW(G888)-1, 'From Order'!$A888)), 1), G887))"),"DTRLRQPDSSGH")</f>
        <v>DTRLRQPDSSGH</v>
      </c>
      <c r="H888" s="2" t="str">
        <f>IFERROR(__xludf.DUMMYFUNCTION("IF('From Order'!$A888=COLUMNS($A888:H907), LEFT(INDEX(FILTER(H$1:H887, H$1:H887&lt;&gt;""""),COUNTA(FILTER(H$1:H887, H$1:H887&lt;&gt;""""))), LEN(INDEX(FILTER(H$1:H887, H$1:H887&lt;&gt;""""),COUNTA(FILTER(H$1:H887, H$1:H887&lt;&gt;""""))))-1), IF('To Order'!$A888=COLUMNS($A888:H"&amp;"907), H887&amp;RIGHT(INDIRECT(ADDRESS(ROW(H888)-1, 'From Order'!$A888)), 1), H887))"),"M")</f>
        <v>M</v>
      </c>
      <c r="I888" s="2" t="str">
        <f>IFERROR(__xludf.DUMMYFUNCTION("IF('From Order'!$A888=COLUMNS($A888:I907), LEFT(INDEX(FILTER(I$1:I887, I$1:I887&lt;&gt;""""),COUNTA(FILTER(I$1:I887, I$1:I887&lt;&gt;""""))), LEN(INDEX(FILTER(I$1:I887, I$1:I887&lt;&gt;""""),COUNTA(FILTER(I$1:I887, I$1:I887&lt;&gt;""""))))-1), IF('To Order'!$A888=COLUMNS($A888:I"&amp;"907), I887&amp;RIGHT(INDIRECT(ADDRESS(ROW(I888)-1, 'From Order'!$A888)), 1), I887))"),"LZMVQW")</f>
        <v>LZMVQW</v>
      </c>
    </row>
    <row r="889">
      <c r="A889" s="2" t="str">
        <f>IFERROR(__xludf.DUMMYFUNCTION("IF('From Order'!$A889=COLUMNS($A889:A908), LEFT(INDEX(FILTER(A$1:A888, A$1:A888&lt;&gt;""""),COUNTA(FILTER(A$1:A888, A$1:A888&lt;&gt;""""))), LEN(INDEX(FILTER(A$1:A888, A$1:A888&lt;&gt;""""),COUNTA(FILTER(A$1:A888, A$1:A888&lt;&gt;""""))))-1), IF('To Order'!$A889=COLUMNS($A889:A"&amp;"908), A888&amp;RIGHT(INDIRECT(ADDRESS(ROW(A889)-1, 'From Order'!$A889)), 1), A888))"),"")</f>
        <v/>
      </c>
      <c r="B889" s="2" t="str">
        <f>IFERROR(__xludf.DUMMYFUNCTION("IF('From Order'!$A889=COLUMNS($A889:B908), LEFT(INDEX(FILTER(B$1:B888, B$1:B888&lt;&gt;""""),COUNTA(FILTER(B$1:B888, B$1:B888&lt;&gt;""""))), LEN(INDEX(FILTER(B$1:B888, B$1:B888&lt;&gt;""""),COUNTA(FILTER(B$1:B888, B$1:B888&lt;&gt;""""))))-1), IF('To Order'!$A889=COLUMNS($A889:B"&amp;"908), B888&amp;RIGHT(INDIRECT(ADDRESS(ROW(B889)-1, 'From Order'!$A889)), 1), B888))"),"JZRDCG")</f>
        <v>JZRDCG</v>
      </c>
      <c r="C889" s="2" t="str">
        <f>IFERROR(__xludf.DUMMYFUNCTION("IF('From Order'!$A889=COLUMNS($A889:C908), LEFT(INDEX(FILTER(C$1:C888, C$1:C888&lt;&gt;""""),COUNTA(FILTER(C$1:C888, C$1:C888&lt;&gt;""""))), LEN(INDEX(FILTER(C$1:C888, C$1:C888&lt;&gt;""""),COUNTA(FILTER(C$1:C888, C$1:C888&lt;&gt;""""))))-1), IF('To Order'!$A889=COLUMNS($A889:C"&amp;"908), C888&amp;RIGHT(INDIRECT(ADDRESS(ROW(C889)-1, 'From Order'!$A889)), 1), C888))"),"")</f>
        <v/>
      </c>
      <c r="D889" s="2" t="str">
        <f>IFERROR(__xludf.DUMMYFUNCTION("IF('From Order'!$A889=COLUMNS($A889:D908), LEFT(INDEX(FILTER(D$1:D888, D$1:D888&lt;&gt;""""),COUNTA(FILTER(D$1:D888, D$1:D888&lt;&gt;""""))), LEN(INDEX(FILTER(D$1:D888, D$1:D888&lt;&gt;""""),COUNTA(FILTER(D$1:D888, D$1:D888&lt;&gt;""""))))-1), IF('To Order'!$A889=COLUMNS($A889:D"&amp;"908), D888&amp;RIGHT(INDIRECT(ADDRESS(ROW(D889)-1, 'From Order'!$A889)), 1), D888))"),"BFMHZBSBPPVJCVRCTTJ")</f>
        <v>BFMHZBSBPPVJCVRCTTJ</v>
      </c>
      <c r="E889" s="2" t="str">
        <f>IFERROR(__xludf.DUMMYFUNCTION("IF('From Order'!$A889=COLUMNS($A889:E908), LEFT(INDEX(FILTER(E$1:E888, E$1:E888&lt;&gt;""""),COUNTA(FILTER(E$1:E888, E$1:E888&lt;&gt;""""))), LEN(INDEX(FILTER(E$1:E888, E$1:E888&lt;&gt;""""),COUNTA(FILTER(E$1:E888, E$1:E888&lt;&gt;""""))))-1), IF('To Order'!$A889=COLUMNS($A889:E"&amp;"908), E888&amp;RIGHT(INDIRECT(ADDRESS(ROW(E889)-1, 'From Order'!$A889)), 1), E888))"),"")</f>
        <v/>
      </c>
      <c r="F889" s="2" t="str">
        <f>IFERROR(__xludf.DUMMYFUNCTION("IF('From Order'!$A889=COLUMNS($A889:F908), LEFT(INDEX(FILTER(F$1:F888, F$1:F888&lt;&gt;""""),COUNTA(FILTER(F$1:F888, F$1:F888&lt;&gt;""""))), LEN(INDEX(FILTER(F$1:F888, F$1:F888&lt;&gt;""""),COUNTA(FILTER(F$1:F888, F$1:F888&lt;&gt;""""))))-1), IF('To Order'!$A889=COLUMNS($A889:F"&amp;"908), F888&amp;RIGHT(INDIRECT(ADDRESS(ROW(F889)-1, 'From Order'!$A889)), 1), F888))"),"FSLTTWRDTDBD")</f>
        <v>FSLTTWRDTDBD</v>
      </c>
      <c r="G889" s="2" t="str">
        <f>IFERROR(__xludf.DUMMYFUNCTION("IF('From Order'!$A889=COLUMNS($A889:G908), LEFT(INDEX(FILTER(G$1:G888, G$1:G888&lt;&gt;""""),COUNTA(FILTER(G$1:G888, G$1:G888&lt;&gt;""""))), LEN(INDEX(FILTER(G$1:G888, G$1:G888&lt;&gt;""""),COUNTA(FILTER(G$1:G888, G$1:G888&lt;&gt;""""))))-1), IF('To Order'!$A889=COLUMNS($A889:G"&amp;"908), G888&amp;RIGHT(INDIRECT(ADDRESS(ROW(G889)-1, 'From Order'!$A889)), 1), G888))"),"DTRLRQPDSSG")</f>
        <v>DTRLRQPDSSG</v>
      </c>
      <c r="H889" s="2" t="str">
        <f>IFERROR(__xludf.DUMMYFUNCTION("IF('From Order'!$A889=COLUMNS($A889:H908), LEFT(INDEX(FILTER(H$1:H888, H$1:H888&lt;&gt;""""),COUNTA(FILTER(H$1:H888, H$1:H888&lt;&gt;""""))), LEN(INDEX(FILTER(H$1:H888, H$1:H888&lt;&gt;""""),COUNTA(FILTER(H$1:H888, H$1:H888&lt;&gt;""""))))-1), IF('To Order'!$A889=COLUMNS($A889:H"&amp;"908), H888&amp;RIGHT(INDIRECT(ADDRESS(ROW(H889)-1, 'From Order'!$A889)), 1), H888))"),"M")</f>
        <v>M</v>
      </c>
      <c r="I889" s="2" t="str">
        <f>IFERROR(__xludf.DUMMYFUNCTION("IF('From Order'!$A889=COLUMNS($A889:I908), LEFT(INDEX(FILTER(I$1:I888, I$1:I888&lt;&gt;""""),COUNTA(FILTER(I$1:I888, I$1:I888&lt;&gt;""""))), LEN(INDEX(FILTER(I$1:I888, I$1:I888&lt;&gt;""""),COUNTA(FILTER(I$1:I888, I$1:I888&lt;&gt;""""))))-1), IF('To Order'!$A889=COLUMNS($A889:I"&amp;"908), I888&amp;RIGHT(INDIRECT(ADDRESS(ROW(I889)-1, 'From Order'!$A889)), 1), I888))"),"LZMVQWH")</f>
        <v>LZMVQWH</v>
      </c>
    </row>
    <row r="890">
      <c r="A890" s="2" t="str">
        <f>IFERROR(__xludf.DUMMYFUNCTION("IF('From Order'!$A890=COLUMNS($A890:A909), LEFT(INDEX(FILTER(A$1:A889, A$1:A889&lt;&gt;""""),COUNTA(FILTER(A$1:A889, A$1:A889&lt;&gt;""""))), LEN(INDEX(FILTER(A$1:A889, A$1:A889&lt;&gt;""""),COUNTA(FILTER(A$1:A889, A$1:A889&lt;&gt;""""))))-1), IF('To Order'!$A890=COLUMNS($A890:A"&amp;"909), A889&amp;RIGHT(INDIRECT(ADDRESS(ROW(A890)-1, 'From Order'!$A890)), 1), A889))"),"")</f>
        <v/>
      </c>
      <c r="B890" s="2" t="str">
        <f>IFERROR(__xludf.DUMMYFUNCTION("IF('From Order'!$A890=COLUMNS($A890:B909), LEFT(INDEX(FILTER(B$1:B889, B$1:B889&lt;&gt;""""),COUNTA(FILTER(B$1:B889, B$1:B889&lt;&gt;""""))), LEN(INDEX(FILTER(B$1:B889, B$1:B889&lt;&gt;""""),COUNTA(FILTER(B$1:B889, B$1:B889&lt;&gt;""""))))-1), IF('To Order'!$A890=COLUMNS($A890:B"&amp;"909), B889&amp;RIGHT(INDIRECT(ADDRESS(ROW(B890)-1, 'From Order'!$A890)), 1), B889))"),"JZRDCG")</f>
        <v>JZRDCG</v>
      </c>
      <c r="C890" s="2" t="str">
        <f>IFERROR(__xludf.DUMMYFUNCTION("IF('From Order'!$A890=COLUMNS($A890:C909), LEFT(INDEX(FILTER(C$1:C889, C$1:C889&lt;&gt;""""),COUNTA(FILTER(C$1:C889, C$1:C889&lt;&gt;""""))), LEN(INDEX(FILTER(C$1:C889, C$1:C889&lt;&gt;""""),COUNTA(FILTER(C$1:C889, C$1:C889&lt;&gt;""""))))-1), IF('To Order'!$A890=COLUMNS($A890:C"&amp;"909), C889&amp;RIGHT(INDIRECT(ADDRESS(ROW(C890)-1, 'From Order'!$A890)), 1), C889))"),"")</f>
        <v/>
      </c>
      <c r="D890" s="2" t="str">
        <f>IFERROR(__xludf.DUMMYFUNCTION("IF('From Order'!$A890=COLUMNS($A890:D909), LEFT(INDEX(FILTER(D$1:D889, D$1:D889&lt;&gt;""""),COUNTA(FILTER(D$1:D889, D$1:D889&lt;&gt;""""))), LEN(INDEX(FILTER(D$1:D889, D$1:D889&lt;&gt;""""),COUNTA(FILTER(D$1:D889, D$1:D889&lt;&gt;""""))))-1), IF('To Order'!$A890=COLUMNS($A890:D"&amp;"909), D889&amp;RIGHT(INDIRECT(ADDRESS(ROW(D890)-1, 'From Order'!$A890)), 1), D889))"),"BFMHZBSBPPVJCVRCTTJ")</f>
        <v>BFMHZBSBPPVJCVRCTTJ</v>
      </c>
      <c r="E890" s="2" t="str">
        <f>IFERROR(__xludf.DUMMYFUNCTION("IF('From Order'!$A890=COLUMNS($A890:E909), LEFT(INDEX(FILTER(E$1:E889, E$1:E889&lt;&gt;""""),COUNTA(FILTER(E$1:E889, E$1:E889&lt;&gt;""""))), LEN(INDEX(FILTER(E$1:E889, E$1:E889&lt;&gt;""""),COUNTA(FILTER(E$1:E889, E$1:E889&lt;&gt;""""))))-1), IF('To Order'!$A890=COLUMNS($A890:E"&amp;"909), E889&amp;RIGHT(INDIRECT(ADDRESS(ROW(E890)-1, 'From Order'!$A890)), 1), E889))"),"")</f>
        <v/>
      </c>
      <c r="F890" s="2" t="str">
        <f>IFERROR(__xludf.DUMMYFUNCTION("IF('From Order'!$A890=COLUMNS($A890:F909), LEFT(INDEX(FILTER(F$1:F889, F$1:F889&lt;&gt;""""),COUNTA(FILTER(F$1:F889, F$1:F889&lt;&gt;""""))), LEN(INDEX(FILTER(F$1:F889, F$1:F889&lt;&gt;""""),COUNTA(FILTER(F$1:F889, F$1:F889&lt;&gt;""""))))-1), IF('To Order'!$A890=COLUMNS($A890:F"&amp;"909), F889&amp;RIGHT(INDIRECT(ADDRESS(ROW(F890)-1, 'From Order'!$A890)), 1), F889))"),"FSLTTWRDTDBD")</f>
        <v>FSLTTWRDTDBD</v>
      </c>
      <c r="G890" s="2" t="str">
        <f>IFERROR(__xludf.DUMMYFUNCTION("IF('From Order'!$A890=COLUMNS($A890:G909), LEFT(INDEX(FILTER(G$1:G889, G$1:G889&lt;&gt;""""),COUNTA(FILTER(G$1:G889, G$1:G889&lt;&gt;""""))), LEN(INDEX(FILTER(G$1:G889, G$1:G889&lt;&gt;""""),COUNTA(FILTER(G$1:G889, G$1:G889&lt;&gt;""""))))-1), IF('To Order'!$A890=COLUMNS($A890:G"&amp;"909), G889&amp;RIGHT(INDIRECT(ADDRESS(ROW(G890)-1, 'From Order'!$A890)), 1), G889))"),"DTRLRQPDSS")</f>
        <v>DTRLRQPDSS</v>
      </c>
      <c r="H890" s="2" t="str">
        <f>IFERROR(__xludf.DUMMYFUNCTION("IF('From Order'!$A890=COLUMNS($A890:H909), LEFT(INDEX(FILTER(H$1:H889, H$1:H889&lt;&gt;""""),COUNTA(FILTER(H$1:H889, H$1:H889&lt;&gt;""""))), LEN(INDEX(FILTER(H$1:H889, H$1:H889&lt;&gt;""""),COUNTA(FILTER(H$1:H889, H$1:H889&lt;&gt;""""))))-1), IF('To Order'!$A890=COLUMNS($A890:H"&amp;"909), H889&amp;RIGHT(INDIRECT(ADDRESS(ROW(H890)-1, 'From Order'!$A890)), 1), H889))"),"M")</f>
        <v>M</v>
      </c>
      <c r="I890" s="2" t="str">
        <f>IFERROR(__xludf.DUMMYFUNCTION("IF('From Order'!$A890=COLUMNS($A890:I909), LEFT(INDEX(FILTER(I$1:I889, I$1:I889&lt;&gt;""""),COUNTA(FILTER(I$1:I889, I$1:I889&lt;&gt;""""))), LEN(INDEX(FILTER(I$1:I889, I$1:I889&lt;&gt;""""),COUNTA(FILTER(I$1:I889, I$1:I889&lt;&gt;""""))))-1), IF('To Order'!$A890=COLUMNS($A890:I"&amp;"909), I889&amp;RIGHT(INDIRECT(ADDRESS(ROW(I890)-1, 'From Order'!$A890)), 1), I889))"),"LZMVQWHG")</f>
        <v>LZMVQWHG</v>
      </c>
    </row>
    <row r="891">
      <c r="A891" s="2" t="str">
        <f>IFERROR(__xludf.DUMMYFUNCTION("IF('From Order'!$A891=COLUMNS($A891:A910), LEFT(INDEX(FILTER(A$1:A890, A$1:A890&lt;&gt;""""),COUNTA(FILTER(A$1:A890, A$1:A890&lt;&gt;""""))), LEN(INDEX(FILTER(A$1:A890, A$1:A890&lt;&gt;""""),COUNTA(FILTER(A$1:A890, A$1:A890&lt;&gt;""""))))-1), IF('To Order'!$A891=COLUMNS($A891:A"&amp;"910), A890&amp;RIGHT(INDIRECT(ADDRESS(ROW(A891)-1, 'From Order'!$A891)), 1), A890))"),"")</f>
        <v/>
      </c>
      <c r="B891" s="2" t="str">
        <f>IFERROR(__xludf.DUMMYFUNCTION("IF('From Order'!$A891=COLUMNS($A891:B910), LEFT(INDEX(FILTER(B$1:B890, B$1:B890&lt;&gt;""""),COUNTA(FILTER(B$1:B890, B$1:B890&lt;&gt;""""))), LEN(INDEX(FILTER(B$1:B890, B$1:B890&lt;&gt;""""),COUNTA(FILTER(B$1:B890, B$1:B890&lt;&gt;""""))))-1), IF('To Order'!$A891=COLUMNS($A891:B"&amp;"910), B890&amp;RIGHT(INDIRECT(ADDRESS(ROW(B891)-1, 'From Order'!$A891)), 1), B890))"),"JZRDCG")</f>
        <v>JZRDCG</v>
      </c>
      <c r="C891" s="2" t="str">
        <f>IFERROR(__xludf.DUMMYFUNCTION("IF('From Order'!$A891=COLUMNS($A891:C910), LEFT(INDEX(FILTER(C$1:C890, C$1:C890&lt;&gt;""""),COUNTA(FILTER(C$1:C890, C$1:C890&lt;&gt;""""))), LEN(INDEX(FILTER(C$1:C890, C$1:C890&lt;&gt;""""),COUNTA(FILTER(C$1:C890, C$1:C890&lt;&gt;""""))))-1), IF('To Order'!$A891=COLUMNS($A891:C"&amp;"910), C890&amp;RIGHT(INDIRECT(ADDRESS(ROW(C891)-1, 'From Order'!$A891)), 1), C890))"),"")</f>
        <v/>
      </c>
      <c r="D891" s="2" t="str">
        <f>IFERROR(__xludf.DUMMYFUNCTION("IF('From Order'!$A891=COLUMNS($A891:D910), LEFT(INDEX(FILTER(D$1:D890, D$1:D890&lt;&gt;""""),COUNTA(FILTER(D$1:D890, D$1:D890&lt;&gt;""""))), LEN(INDEX(FILTER(D$1:D890, D$1:D890&lt;&gt;""""),COUNTA(FILTER(D$1:D890, D$1:D890&lt;&gt;""""))))-1), IF('To Order'!$A891=COLUMNS($A891:D"&amp;"910), D890&amp;RIGHT(INDIRECT(ADDRESS(ROW(D891)-1, 'From Order'!$A891)), 1), D890))"),"BFMHZBSBPPVJCVRCTTJ")</f>
        <v>BFMHZBSBPPVJCVRCTTJ</v>
      </c>
      <c r="E891" s="2" t="str">
        <f>IFERROR(__xludf.DUMMYFUNCTION("IF('From Order'!$A891=COLUMNS($A891:E910), LEFT(INDEX(FILTER(E$1:E890, E$1:E890&lt;&gt;""""),COUNTA(FILTER(E$1:E890, E$1:E890&lt;&gt;""""))), LEN(INDEX(FILTER(E$1:E890, E$1:E890&lt;&gt;""""),COUNTA(FILTER(E$1:E890, E$1:E890&lt;&gt;""""))))-1), IF('To Order'!$A891=COLUMNS($A891:E"&amp;"910), E890&amp;RIGHT(INDIRECT(ADDRESS(ROW(E891)-1, 'From Order'!$A891)), 1), E890))"),"")</f>
        <v/>
      </c>
      <c r="F891" s="2" t="str">
        <f>IFERROR(__xludf.DUMMYFUNCTION("IF('From Order'!$A891=COLUMNS($A891:F910), LEFT(INDEX(FILTER(F$1:F890, F$1:F890&lt;&gt;""""),COUNTA(FILTER(F$1:F890, F$1:F890&lt;&gt;""""))), LEN(INDEX(FILTER(F$1:F890, F$1:F890&lt;&gt;""""),COUNTA(FILTER(F$1:F890, F$1:F890&lt;&gt;""""))))-1), IF('To Order'!$A891=COLUMNS($A891:F"&amp;"910), F890&amp;RIGHT(INDIRECT(ADDRESS(ROW(F891)-1, 'From Order'!$A891)), 1), F890))"),"FSLTTWRDTDBD")</f>
        <v>FSLTTWRDTDBD</v>
      </c>
      <c r="G891" s="2" t="str">
        <f>IFERROR(__xludf.DUMMYFUNCTION("IF('From Order'!$A891=COLUMNS($A891:G910), LEFT(INDEX(FILTER(G$1:G890, G$1:G890&lt;&gt;""""),COUNTA(FILTER(G$1:G890, G$1:G890&lt;&gt;""""))), LEN(INDEX(FILTER(G$1:G890, G$1:G890&lt;&gt;""""),COUNTA(FILTER(G$1:G890, G$1:G890&lt;&gt;""""))))-1), IF('To Order'!$A891=COLUMNS($A891:G"&amp;"910), G890&amp;RIGHT(INDIRECT(ADDRESS(ROW(G891)-1, 'From Order'!$A891)), 1), G890))"),"DTRLRQPDS")</f>
        <v>DTRLRQPDS</v>
      </c>
      <c r="H891" s="2" t="str">
        <f>IFERROR(__xludf.DUMMYFUNCTION("IF('From Order'!$A891=COLUMNS($A891:H910), LEFT(INDEX(FILTER(H$1:H890, H$1:H890&lt;&gt;""""),COUNTA(FILTER(H$1:H890, H$1:H890&lt;&gt;""""))), LEN(INDEX(FILTER(H$1:H890, H$1:H890&lt;&gt;""""),COUNTA(FILTER(H$1:H890, H$1:H890&lt;&gt;""""))))-1), IF('To Order'!$A891=COLUMNS($A891:H"&amp;"910), H890&amp;RIGHT(INDIRECT(ADDRESS(ROW(H891)-1, 'From Order'!$A891)), 1), H890))"),"M")</f>
        <v>M</v>
      </c>
      <c r="I891" s="2" t="str">
        <f>IFERROR(__xludf.DUMMYFUNCTION("IF('From Order'!$A891=COLUMNS($A891:I910), LEFT(INDEX(FILTER(I$1:I890, I$1:I890&lt;&gt;""""),COUNTA(FILTER(I$1:I890, I$1:I890&lt;&gt;""""))), LEN(INDEX(FILTER(I$1:I890, I$1:I890&lt;&gt;""""),COUNTA(FILTER(I$1:I890, I$1:I890&lt;&gt;""""))))-1), IF('To Order'!$A891=COLUMNS($A891:I"&amp;"910), I890&amp;RIGHT(INDIRECT(ADDRESS(ROW(I891)-1, 'From Order'!$A891)), 1), I890))"),"LZMVQWHGS")</f>
        <v>LZMVQWHGS</v>
      </c>
    </row>
    <row r="892">
      <c r="A892" s="2" t="str">
        <f>IFERROR(__xludf.DUMMYFUNCTION("IF('From Order'!$A892=COLUMNS($A892:A911), LEFT(INDEX(FILTER(A$1:A891, A$1:A891&lt;&gt;""""),COUNTA(FILTER(A$1:A891, A$1:A891&lt;&gt;""""))), LEN(INDEX(FILTER(A$1:A891, A$1:A891&lt;&gt;""""),COUNTA(FILTER(A$1:A891, A$1:A891&lt;&gt;""""))))-1), IF('To Order'!$A892=COLUMNS($A892:A"&amp;"911), A891&amp;RIGHT(INDIRECT(ADDRESS(ROW(A892)-1, 'From Order'!$A892)), 1), A891))"),"")</f>
        <v/>
      </c>
      <c r="B892" s="2" t="str">
        <f>IFERROR(__xludf.DUMMYFUNCTION("IF('From Order'!$A892=COLUMNS($A892:B911), LEFT(INDEX(FILTER(B$1:B891, B$1:B891&lt;&gt;""""),COUNTA(FILTER(B$1:B891, B$1:B891&lt;&gt;""""))), LEN(INDEX(FILTER(B$1:B891, B$1:B891&lt;&gt;""""),COUNTA(FILTER(B$1:B891, B$1:B891&lt;&gt;""""))))-1), IF('To Order'!$A892=COLUMNS($A892:B"&amp;"911), B891&amp;RIGHT(INDIRECT(ADDRESS(ROW(B892)-1, 'From Order'!$A892)), 1), B891))"),"JZRDCG")</f>
        <v>JZRDCG</v>
      </c>
      <c r="C892" s="2" t="str">
        <f>IFERROR(__xludf.DUMMYFUNCTION("IF('From Order'!$A892=COLUMNS($A892:C911), LEFT(INDEX(FILTER(C$1:C891, C$1:C891&lt;&gt;""""),COUNTA(FILTER(C$1:C891, C$1:C891&lt;&gt;""""))), LEN(INDEX(FILTER(C$1:C891, C$1:C891&lt;&gt;""""),COUNTA(FILTER(C$1:C891, C$1:C891&lt;&gt;""""))))-1), IF('To Order'!$A892=COLUMNS($A892:C"&amp;"911), C891&amp;RIGHT(INDIRECT(ADDRESS(ROW(C892)-1, 'From Order'!$A892)), 1), C891))"),"")</f>
        <v/>
      </c>
      <c r="D892" s="2" t="str">
        <f>IFERROR(__xludf.DUMMYFUNCTION("IF('From Order'!$A892=COLUMNS($A892:D911), LEFT(INDEX(FILTER(D$1:D891, D$1:D891&lt;&gt;""""),COUNTA(FILTER(D$1:D891, D$1:D891&lt;&gt;""""))), LEN(INDEX(FILTER(D$1:D891, D$1:D891&lt;&gt;""""),COUNTA(FILTER(D$1:D891, D$1:D891&lt;&gt;""""))))-1), IF('To Order'!$A892=COLUMNS($A892:D"&amp;"911), D891&amp;RIGHT(INDIRECT(ADDRESS(ROW(D892)-1, 'From Order'!$A892)), 1), D891))"),"BFMHZBSBPPVJCVRCTTJ")</f>
        <v>BFMHZBSBPPVJCVRCTTJ</v>
      </c>
      <c r="E892" s="2" t="str">
        <f>IFERROR(__xludf.DUMMYFUNCTION("IF('From Order'!$A892=COLUMNS($A892:E911), LEFT(INDEX(FILTER(E$1:E891, E$1:E891&lt;&gt;""""),COUNTA(FILTER(E$1:E891, E$1:E891&lt;&gt;""""))), LEN(INDEX(FILTER(E$1:E891, E$1:E891&lt;&gt;""""),COUNTA(FILTER(E$1:E891, E$1:E891&lt;&gt;""""))))-1), IF('To Order'!$A892=COLUMNS($A892:E"&amp;"911), E891&amp;RIGHT(INDIRECT(ADDRESS(ROW(E892)-1, 'From Order'!$A892)), 1), E891))"),"")</f>
        <v/>
      </c>
      <c r="F892" s="2" t="str">
        <f>IFERROR(__xludf.DUMMYFUNCTION("IF('From Order'!$A892=COLUMNS($A892:F911), LEFT(INDEX(FILTER(F$1:F891, F$1:F891&lt;&gt;""""),COUNTA(FILTER(F$1:F891, F$1:F891&lt;&gt;""""))), LEN(INDEX(FILTER(F$1:F891, F$1:F891&lt;&gt;""""),COUNTA(FILTER(F$1:F891, F$1:F891&lt;&gt;""""))))-1), IF('To Order'!$A892=COLUMNS($A892:F"&amp;"911), F891&amp;RIGHT(INDIRECT(ADDRESS(ROW(F892)-1, 'From Order'!$A892)), 1), F891))"),"FSLTTWRDTDBD")</f>
        <v>FSLTTWRDTDBD</v>
      </c>
      <c r="G892" s="2" t="str">
        <f>IFERROR(__xludf.DUMMYFUNCTION("IF('From Order'!$A892=COLUMNS($A892:G911), LEFT(INDEX(FILTER(G$1:G891, G$1:G891&lt;&gt;""""),COUNTA(FILTER(G$1:G891, G$1:G891&lt;&gt;""""))), LEN(INDEX(FILTER(G$1:G891, G$1:G891&lt;&gt;""""),COUNTA(FILTER(G$1:G891, G$1:G891&lt;&gt;""""))))-1), IF('To Order'!$A892=COLUMNS($A892:G"&amp;"911), G891&amp;RIGHT(INDIRECT(ADDRESS(ROW(G892)-1, 'From Order'!$A892)), 1), G891))"),"DTRLRQPD")</f>
        <v>DTRLRQPD</v>
      </c>
      <c r="H892" s="2" t="str">
        <f>IFERROR(__xludf.DUMMYFUNCTION("IF('From Order'!$A892=COLUMNS($A892:H911), LEFT(INDEX(FILTER(H$1:H891, H$1:H891&lt;&gt;""""),COUNTA(FILTER(H$1:H891, H$1:H891&lt;&gt;""""))), LEN(INDEX(FILTER(H$1:H891, H$1:H891&lt;&gt;""""),COUNTA(FILTER(H$1:H891, H$1:H891&lt;&gt;""""))))-1), IF('To Order'!$A892=COLUMNS($A892:H"&amp;"911), H891&amp;RIGHT(INDIRECT(ADDRESS(ROW(H892)-1, 'From Order'!$A892)), 1), H891))"),"M")</f>
        <v>M</v>
      </c>
      <c r="I892" s="2" t="str">
        <f>IFERROR(__xludf.DUMMYFUNCTION("IF('From Order'!$A892=COLUMNS($A892:I911), LEFT(INDEX(FILTER(I$1:I891, I$1:I891&lt;&gt;""""),COUNTA(FILTER(I$1:I891, I$1:I891&lt;&gt;""""))), LEN(INDEX(FILTER(I$1:I891, I$1:I891&lt;&gt;""""),COUNTA(FILTER(I$1:I891, I$1:I891&lt;&gt;""""))))-1), IF('To Order'!$A892=COLUMNS($A892:I"&amp;"911), I891&amp;RIGHT(INDIRECT(ADDRESS(ROW(I892)-1, 'From Order'!$A892)), 1), I891))"),"LZMVQWHGSS")</f>
        <v>LZMVQWHGSS</v>
      </c>
    </row>
    <row r="893">
      <c r="A893" s="2" t="str">
        <f>IFERROR(__xludf.DUMMYFUNCTION("IF('From Order'!$A893=COLUMNS($A893:A912), LEFT(INDEX(FILTER(A$1:A892, A$1:A892&lt;&gt;""""),COUNTA(FILTER(A$1:A892, A$1:A892&lt;&gt;""""))), LEN(INDEX(FILTER(A$1:A892, A$1:A892&lt;&gt;""""),COUNTA(FILTER(A$1:A892, A$1:A892&lt;&gt;""""))))-1), IF('To Order'!$A893=COLUMNS($A893:A"&amp;"912), A892&amp;RIGHT(INDIRECT(ADDRESS(ROW(A893)-1, 'From Order'!$A893)), 1), A892))"),"")</f>
        <v/>
      </c>
      <c r="B893" s="2" t="str">
        <f>IFERROR(__xludf.DUMMYFUNCTION("IF('From Order'!$A893=COLUMNS($A893:B912), LEFT(INDEX(FILTER(B$1:B892, B$1:B892&lt;&gt;""""),COUNTA(FILTER(B$1:B892, B$1:B892&lt;&gt;""""))), LEN(INDEX(FILTER(B$1:B892, B$1:B892&lt;&gt;""""),COUNTA(FILTER(B$1:B892, B$1:B892&lt;&gt;""""))))-1), IF('To Order'!$A893=COLUMNS($A893:B"&amp;"912), B892&amp;RIGHT(INDIRECT(ADDRESS(ROW(B893)-1, 'From Order'!$A893)), 1), B892))"),"JZRDCG")</f>
        <v>JZRDCG</v>
      </c>
      <c r="C893" s="2" t="str">
        <f>IFERROR(__xludf.DUMMYFUNCTION("IF('From Order'!$A893=COLUMNS($A893:C912), LEFT(INDEX(FILTER(C$1:C892, C$1:C892&lt;&gt;""""),COUNTA(FILTER(C$1:C892, C$1:C892&lt;&gt;""""))), LEN(INDEX(FILTER(C$1:C892, C$1:C892&lt;&gt;""""),COUNTA(FILTER(C$1:C892, C$1:C892&lt;&gt;""""))))-1), IF('To Order'!$A893=COLUMNS($A893:C"&amp;"912), C892&amp;RIGHT(INDIRECT(ADDRESS(ROW(C893)-1, 'From Order'!$A893)), 1), C892))"),"")</f>
        <v/>
      </c>
      <c r="D893" s="2" t="str">
        <f>IFERROR(__xludf.DUMMYFUNCTION("IF('From Order'!$A893=COLUMNS($A893:D912), LEFT(INDEX(FILTER(D$1:D892, D$1:D892&lt;&gt;""""),COUNTA(FILTER(D$1:D892, D$1:D892&lt;&gt;""""))), LEN(INDEX(FILTER(D$1:D892, D$1:D892&lt;&gt;""""),COUNTA(FILTER(D$1:D892, D$1:D892&lt;&gt;""""))))-1), IF('To Order'!$A893=COLUMNS($A893:D"&amp;"912), D892&amp;RIGHT(INDIRECT(ADDRESS(ROW(D893)-1, 'From Order'!$A893)), 1), D892))"),"BFMHZBSBPPVJCVRCTTJ")</f>
        <v>BFMHZBSBPPVJCVRCTTJ</v>
      </c>
      <c r="E893" s="2" t="str">
        <f>IFERROR(__xludf.DUMMYFUNCTION("IF('From Order'!$A893=COLUMNS($A893:E912), LEFT(INDEX(FILTER(E$1:E892, E$1:E892&lt;&gt;""""),COUNTA(FILTER(E$1:E892, E$1:E892&lt;&gt;""""))), LEN(INDEX(FILTER(E$1:E892, E$1:E892&lt;&gt;""""),COUNTA(FILTER(E$1:E892, E$1:E892&lt;&gt;""""))))-1), IF('To Order'!$A893=COLUMNS($A893:E"&amp;"912), E892&amp;RIGHT(INDIRECT(ADDRESS(ROW(E893)-1, 'From Order'!$A893)), 1), E892))"),"")</f>
        <v/>
      </c>
      <c r="F893" s="2" t="str">
        <f>IFERROR(__xludf.DUMMYFUNCTION("IF('From Order'!$A893=COLUMNS($A893:F912), LEFT(INDEX(FILTER(F$1:F892, F$1:F892&lt;&gt;""""),COUNTA(FILTER(F$1:F892, F$1:F892&lt;&gt;""""))), LEN(INDEX(FILTER(F$1:F892, F$1:F892&lt;&gt;""""),COUNTA(FILTER(F$1:F892, F$1:F892&lt;&gt;""""))))-1), IF('To Order'!$A893=COLUMNS($A893:F"&amp;"912), F892&amp;RIGHT(INDIRECT(ADDRESS(ROW(F893)-1, 'From Order'!$A893)), 1), F892))"),"FSLTTWRDTDBD")</f>
        <v>FSLTTWRDTDBD</v>
      </c>
      <c r="G893" s="2" t="str">
        <f>IFERROR(__xludf.DUMMYFUNCTION("IF('From Order'!$A893=COLUMNS($A893:G912), LEFT(INDEX(FILTER(G$1:G892, G$1:G892&lt;&gt;""""),COUNTA(FILTER(G$1:G892, G$1:G892&lt;&gt;""""))), LEN(INDEX(FILTER(G$1:G892, G$1:G892&lt;&gt;""""),COUNTA(FILTER(G$1:G892, G$1:G892&lt;&gt;""""))))-1), IF('To Order'!$A893=COLUMNS($A893:G"&amp;"912), G892&amp;RIGHT(INDIRECT(ADDRESS(ROW(G893)-1, 'From Order'!$A893)), 1), G892))"),"DTRLRQP")</f>
        <v>DTRLRQP</v>
      </c>
      <c r="H893" s="2" t="str">
        <f>IFERROR(__xludf.DUMMYFUNCTION("IF('From Order'!$A893=COLUMNS($A893:H912), LEFT(INDEX(FILTER(H$1:H892, H$1:H892&lt;&gt;""""),COUNTA(FILTER(H$1:H892, H$1:H892&lt;&gt;""""))), LEN(INDEX(FILTER(H$1:H892, H$1:H892&lt;&gt;""""),COUNTA(FILTER(H$1:H892, H$1:H892&lt;&gt;""""))))-1), IF('To Order'!$A893=COLUMNS($A893:H"&amp;"912), H892&amp;RIGHT(INDIRECT(ADDRESS(ROW(H893)-1, 'From Order'!$A893)), 1), H892))"),"M")</f>
        <v>M</v>
      </c>
      <c r="I893" s="2" t="str">
        <f>IFERROR(__xludf.DUMMYFUNCTION("IF('From Order'!$A893=COLUMNS($A893:I912), LEFT(INDEX(FILTER(I$1:I892, I$1:I892&lt;&gt;""""),COUNTA(FILTER(I$1:I892, I$1:I892&lt;&gt;""""))), LEN(INDEX(FILTER(I$1:I892, I$1:I892&lt;&gt;""""),COUNTA(FILTER(I$1:I892, I$1:I892&lt;&gt;""""))))-1), IF('To Order'!$A893=COLUMNS($A893:I"&amp;"912), I892&amp;RIGHT(INDIRECT(ADDRESS(ROW(I893)-1, 'From Order'!$A893)), 1), I892))"),"LZMVQWHGSSD")</f>
        <v>LZMVQWHGSSD</v>
      </c>
    </row>
    <row r="894">
      <c r="A894" s="2" t="str">
        <f>IFERROR(__xludf.DUMMYFUNCTION("IF('From Order'!$A894=COLUMNS($A894:A913), LEFT(INDEX(FILTER(A$1:A893, A$1:A893&lt;&gt;""""),COUNTA(FILTER(A$1:A893, A$1:A893&lt;&gt;""""))), LEN(INDEX(FILTER(A$1:A893, A$1:A893&lt;&gt;""""),COUNTA(FILTER(A$1:A893, A$1:A893&lt;&gt;""""))))-1), IF('To Order'!$A894=COLUMNS($A894:A"&amp;"913), A893&amp;RIGHT(INDIRECT(ADDRESS(ROW(A894)-1, 'From Order'!$A894)), 1), A893))"),"")</f>
        <v/>
      </c>
      <c r="B894" s="2" t="str">
        <f>IFERROR(__xludf.DUMMYFUNCTION("IF('From Order'!$A894=COLUMNS($A894:B913), LEFT(INDEX(FILTER(B$1:B893, B$1:B893&lt;&gt;""""),COUNTA(FILTER(B$1:B893, B$1:B893&lt;&gt;""""))), LEN(INDEX(FILTER(B$1:B893, B$1:B893&lt;&gt;""""),COUNTA(FILTER(B$1:B893, B$1:B893&lt;&gt;""""))))-1), IF('To Order'!$A894=COLUMNS($A894:B"&amp;"913), B893&amp;RIGHT(INDIRECT(ADDRESS(ROW(B894)-1, 'From Order'!$A894)), 1), B893))"),"JZRDCG")</f>
        <v>JZRDCG</v>
      </c>
      <c r="C894" s="2" t="str">
        <f>IFERROR(__xludf.DUMMYFUNCTION("IF('From Order'!$A894=COLUMNS($A894:C913), LEFT(INDEX(FILTER(C$1:C893, C$1:C893&lt;&gt;""""),COUNTA(FILTER(C$1:C893, C$1:C893&lt;&gt;""""))), LEN(INDEX(FILTER(C$1:C893, C$1:C893&lt;&gt;""""),COUNTA(FILTER(C$1:C893, C$1:C893&lt;&gt;""""))))-1), IF('To Order'!$A894=COLUMNS($A894:C"&amp;"913), C893&amp;RIGHT(INDIRECT(ADDRESS(ROW(C894)-1, 'From Order'!$A894)), 1), C893))"),"")</f>
        <v/>
      </c>
      <c r="D894" s="2" t="str">
        <f>IFERROR(__xludf.DUMMYFUNCTION("IF('From Order'!$A894=COLUMNS($A894:D913), LEFT(INDEX(FILTER(D$1:D893, D$1:D893&lt;&gt;""""),COUNTA(FILTER(D$1:D893, D$1:D893&lt;&gt;""""))), LEN(INDEX(FILTER(D$1:D893, D$1:D893&lt;&gt;""""),COUNTA(FILTER(D$1:D893, D$1:D893&lt;&gt;""""))))-1), IF('To Order'!$A894=COLUMNS($A894:D"&amp;"913), D893&amp;RIGHT(INDIRECT(ADDRESS(ROW(D894)-1, 'From Order'!$A894)), 1), D893))"),"BFMHZBSBPPVJCVRCTTJ")</f>
        <v>BFMHZBSBPPVJCVRCTTJ</v>
      </c>
      <c r="E894" s="2" t="str">
        <f>IFERROR(__xludf.DUMMYFUNCTION("IF('From Order'!$A894=COLUMNS($A894:E913), LEFT(INDEX(FILTER(E$1:E893, E$1:E893&lt;&gt;""""),COUNTA(FILTER(E$1:E893, E$1:E893&lt;&gt;""""))), LEN(INDEX(FILTER(E$1:E893, E$1:E893&lt;&gt;""""),COUNTA(FILTER(E$1:E893, E$1:E893&lt;&gt;""""))))-1), IF('To Order'!$A894=COLUMNS($A894:E"&amp;"913), E893&amp;RIGHT(INDIRECT(ADDRESS(ROW(E894)-1, 'From Order'!$A894)), 1), E893))"),"")</f>
        <v/>
      </c>
      <c r="F894" s="2" t="str">
        <f>IFERROR(__xludf.DUMMYFUNCTION("IF('From Order'!$A894=COLUMNS($A894:F913), LEFT(INDEX(FILTER(F$1:F893, F$1:F893&lt;&gt;""""),COUNTA(FILTER(F$1:F893, F$1:F893&lt;&gt;""""))), LEN(INDEX(FILTER(F$1:F893, F$1:F893&lt;&gt;""""),COUNTA(FILTER(F$1:F893, F$1:F893&lt;&gt;""""))))-1), IF('To Order'!$A894=COLUMNS($A894:F"&amp;"913), F893&amp;RIGHT(INDIRECT(ADDRESS(ROW(F894)-1, 'From Order'!$A894)), 1), F893))"),"FSLTTWRDTDBD")</f>
        <v>FSLTTWRDTDBD</v>
      </c>
      <c r="G894" s="2" t="str">
        <f>IFERROR(__xludf.DUMMYFUNCTION("IF('From Order'!$A894=COLUMNS($A894:G913), LEFT(INDEX(FILTER(G$1:G893, G$1:G893&lt;&gt;""""),COUNTA(FILTER(G$1:G893, G$1:G893&lt;&gt;""""))), LEN(INDEX(FILTER(G$1:G893, G$1:G893&lt;&gt;""""),COUNTA(FILTER(G$1:G893, G$1:G893&lt;&gt;""""))))-1), IF('To Order'!$A894=COLUMNS($A894:G"&amp;"913), G893&amp;RIGHT(INDIRECT(ADDRESS(ROW(G894)-1, 'From Order'!$A894)), 1), G893))"),"DTRLRQ")</f>
        <v>DTRLRQ</v>
      </c>
      <c r="H894" s="2" t="str">
        <f>IFERROR(__xludf.DUMMYFUNCTION("IF('From Order'!$A894=COLUMNS($A894:H913), LEFT(INDEX(FILTER(H$1:H893, H$1:H893&lt;&gt;""""),COUNTA(FILTER(H$1:H893, H$1:H893&lt;&gt;""""))), LEN(INDEX(FILTER(H$1:H893, H$1:H893&lt;&gt;""""),COUNTA(FILTER(H$1:H893, H$1:H893&lt;&gt;""""))))-1), IF('To Order'!$A894=COLUMNS($A894:H"&amp;"913), H893&amp;RIGHT(INDIRECT(ADDRESS(ROW(H894)-1, 'From Order'!$A894)), 1), H893))"),"M")</f>
        <v>M</v>
      </c>
      <c r="I894" s="2" t="str">
        <f>IFERROR(__xludf.DUMMYFUNCTION("IF('From Order'!$A894=COLUMNS($A894:I913), LEFT(INDEX(FILTER(I$1:I893, I$1:I893&lt;&gt;""""),COUNTA(FILTER(I$1:I893, I$1:I893&lt;&gt;""""))), LEN(INDEX(FILTER(I$1:I893, I$1:I893&lt;&gt;""""),COUNTA(FILTER(I$1:I893, I$1:I893&lt;&gt;""""))))-1), IF('To Order'!$A894=COLUMNS($A894:I"&amp;"913), I893&amp;RIGHT(INDIRECT(ADDRESS(ROW(I894)-1, 'From Order'!$A894)), 1), I893))"),"LZMVQWHGSSDP")</f>
        <v>LZMVQWHGSSDP</v>
      </c>
    </row>
    <row r="895">
      <c r="A895" s="2" t="str">
        <f>IFERROR(__xludf.DUMMYFUNCTION("IF('From Order'!$A895=COLUMNS($A895:A914), LEFT(INDEX(FILTER(A$1:A894, A$1:A894&lt;&gt;""""),COUNTA(FILTER(A$1:A894, A$1:A894&lt;&gt;""""))), LEN(INDEX(FILTER(A$1:A894, A$1:A894&lt;&gt;""""),COUNTA(FILTER(A$1:A894, A$1:A894&lt;&gt;""""))))-1), IF('To Order'!$A895=COLUMNS($A895:A"&amp;"914), A894&amp;RIGHT(INDIRECT(ADDRESS(ROW(A895)-1, 'From Order'!$A895)), 1), A894))"),"")</f>
        <v/>
      </c>
      <c r="B895" s="2" t="str">
        <f>IFERROR(__xludf.DUMMYFUNCTION("IF('From Order'!$A895=COLUMNS($A895:B914), LEFT(INDEX(FILTER(B$1:B894, B$1:B894&lt;&gt;""""),COUNTA(FILTER(B$1:B894, B$1:B894&lt;&gt;""""))), LEN(INDEX(FILTER(B$1:B894, B$1:B894&lt;&gt;""""),COUNTA(FILTER(B$1:B894, B$1:B894&lt;&gt;""""))))-1), IF('To Order'!$A895=COLUMNS($A895:B"&amp;"914), B894&amp;RIGHT(INDIRECT(ADDRESS(ROW(B895)-1, 'From Order'!$A895)), 1), B894))"),"JZRDCGM")</f>
        <v>JZRDCGM</v>
      </c>
      <c r="C895" s="2" t="str">
        <f>IFERROR(__xludf.DUMMYFUNCTION("IF('From Order'!$A895=COLUMNS($A895:C914), LEFT(INDEX(FILTER(C$1:C894, C$1:C894&lt;&gt;""""),COUNTA(FILTER(C$1:C894, C$1:C894&lt;&gt;""""))), LEN(INDEX(FILTER(C$1:C894, C$1:C894&lt;&gt;""""),COUNTA(FILTER(C$1:C894, C$1:C894&lt;&gt;""""))))-1), IF('To Order'!$A895=COLUMNS($A895:C"&amp;"914), C894&amp;RIGHT(INDIRECT(ADDRESS(ROW(C895)-1, 'From Order'!$A895)), 1), C894))"),"")</f>
        <v/>
      </c>
      <c r="D895" s="2" t="str">
        <f>IFERROR(__xludf.DUMMYFUNCTION("IF('From Order'!$A895=COLUMNS($A895:D914), LEFT(INDEX(FILTER(D$1:D894, D$1:D894&lt;&gt;""""),COUNTA(FILTER(D$1:D894, D$1:D894&lt;&gt;""""))), LEN(INDEX(FILTER(D$1:D894, D$1:D894&lt;&gt;""""),COUNTA(FILTER(D$1:D894, D$1:D894&lt;&gt;""""))))-1), IF('To Order'!$A895=COLUMNS($A895:D"&amp;"914), D894&amp;RIGHT(INDIRECT(ADDRESS(ROW(D895)-1, 'From Order'!$A895)), 1), D894))"),"BFMHZBSBPPVJCVRCTTJ")</f>
        <v>BFMHZBSBPPVJCVRCTTJ</v>
      </c>
      <c r="E895" s="2" t="str">
        <f>IFERROR(__xludf.DUMMYFUNCTION("IF('From Order'!$A895=COLUMNS($A895:E914), LEFT(INDEX(FILTER(E$1:E894, E$1:E894&lt;&gt;""""),COUNTA(FILTER(E$1:E894, E$1:E894&lt;&gt;""""))), LEN(INDEX(FILTER(E$1:E894, E$1:E894&lt;&gt;""""),COUNTA(FILTER(E$1:E894, E$1:E894&lt;&gt;""""))))-1), IF('To Order'!$A895=COLUMNS($A895:E"&amp;"914), E894&amp;RIGHT(INDIRECT(ADDRESS(ROW(E895)-1, 'From Order'!$A895)), 1), E894))"),"")</f>
        <v/>
      </c>
      <c r="F895" s="2" t="str">
        <f>IFERROR(__xludf.DUMMYFUNCTION("IF('From Order'!$A895=COLUMNS($A895:F914), LEFT(INDEX(FILTER(F$1:F894, F$1:F894&lt;&gt;""""),COUNTA(FILTER(F$1:F894, F$1:F894&lt;&gt;""""))), LEN(INDEX(FILTER(F$1:F894, F$1:F894&lt;&gt;""""),COUNTA(FILTER(F$1:F894, F$1:F894&lt;&gt;""""))))-1), IF('To Order'!$A895=COLUMNS($A895:F"&amp;"914), F894&amp;RIGHT(INDIRECT(ADDRESS(ROW(F895)-1, 'From Order'!$A895)), 1), F894))"),"FSLTTWRDTDBD")</f>
        <v>FSLTTWRDTDBD</v>
      </c>
      <c r="G895" s="2" t="str">
        <f>IFERROR(__xludf.DUMMYFUNCTION("IF('From Order'!$A895=COLUMNS($A895:G914), LEFT(INDEX(FILTER(G$1:G894, G$1:G894&lt;&gt;""""),COUNTA(FILTER(G$1:G894, G$1:G894&lt;&gt;""""))), LEN(INDEX(FILTER(G$1:G894, G$1:G894&lt;&gt;""""),COUNTA(FILTER(G$1:G894, G$1:G894&lt;&gt;""""))))-1), IF('To Order'!$A895=COLUMNS($A895:G"&amp;"914), G894&amp;RIGHT(INDIRECT(ADDRESS(ROW(G895)-1, 'From Order'!$A895)), 1), G894))"),"DTRLRQ")</f>
        <v>DTRLRQ</v>
      </c>
      <c r="H895" s="2" t="str">
        <f>IFERROR(__xludf.DUMMYFUNCTION("IF('From Order'!$A895=COLUMNS($A895:H914), LEFT(INDEX(FILTER(H$1:H894, H$1:H894&lt;&gt;""""),COUNTA(FILTER(H$1:H894, H$1:H894&lt;&gt;""""))), LEN(INDEX(FILTER(H$1:H894, H$1:H894&lt;&gt;""""),COUNTA(FILTER(H$1:H894, H$1:H894&lt;&gt;""""))))-1), IF('To Order'!$A895=COLUMNS($A895:H"&amp;"914), H894&amp;RIGHT(INDIRECT(ADDRESS(ROW(H895)-1, 'From Order'!$A895)), 1), H894))"),"")</f>
        <v/>
      </c>
      <c r="I895" s="2" t="str">
        <f>IFERROR(__xludf.DUMMYFUNCTION("IF('From Order'!$A895=COLUMNS($A895:I914), LEFT(INDEX(FILTER(I$1:I894, I$1:I894&lt;&gt;""""),COUNTA(FILTER(I$1:I894, I$1:I894&lt;&gt;""""))), LEN(INDEX(FILTER(I$1:I894, I$1:I894&lt;&gt;""""),COUNTA(FILTER(I$1:I894, I$1:I894&lt;&gt;""""))))-1), IF('To Order'!$A895=COLUMNS($A895:I"&amp;"914), I894&amp;RIGHT(INDIRECT(ADDRESS(ROW(I895)-1, 'From Order'!$A895)), 1), I894))"),"LZMVQWHGSSDP")</f>
        <v>LZMVQWHGSSDP</v>
      </c>
    </row>
    <row r="896">
      <c r="A896" s="2" t="str">
        <f>IFERROR(__xludf.DUMMYFUNCTION("IF('From Order'!$A896=COLUMNS($A896:A915), LEFT(INDEX(FILTER(A$1:A895, A$1:A895&lt;&gt;""""),COUNTA(FILTER(A$1:A895, A$1:A895&lt;&gt;""""))), LEN(INDEX(FILTER(A$1:A895, A$1:A895&lt;&gt;""""),COUNTA(FILTER(A$1:A895, A$1:A895&lt;&gt;""""))))-1), IF('To Order'!$A896=COLUMNS($A896:A"&amp;"915), A895&amp;RIGHT(INDIRECT(ADDRESS(ROW(A896)-1, 'From Order'!$A896)), 1), A895))"),"")</f>
        <v/>
      </c>
      <c r="B896" s="2" t="str">
        <f>IFERROR(__xludf.DUMMYFUNCTION("IF('From Order'!$A896=COLUMNS($A896:B915), LEFT(INDEX(FILTER(B$1:B895, B$1:B895&lt;&gt;""""),COUNTA(FILTER(B$1:B895, B$1:B895&lt;&gt;""""))), LEN(INDEX(FILTER(B$1:B895, B$1:B895&lt;&gt;""""),COUNTA(FILTER(B$1:B895, B$1:B895&lt;&gt;""""))))-1), IF('To Order'!$A896=COLUMNS($A896:B"&amp;"915), B895&amp;RIGHT(INDIRECT(ADDRESS(ROW(B896)-1, 'From Order'!$A896)), 1), B895))"),"JZRDCGM")</f>
        <v>JZRDCGM</v>
      </c>
      <c r="C896" s="2" t="str">
        <f>IFERROR(__xludf.DUMMYFUNCTION("IF('From Order'!$A896=COLUMNS($A896:C915), LEFT(INDEX(FILTER(C$1:C895, C$1:C895&lt;&gt;""""),COUNTA(FILTER(C$1:C895, C$1:C895&lt;&gt;""""))), LEN(INDEX(FILTER(C$1:C895, C$1:C895&lt;&gt;""""),COUNTA(FILTER(C$1:C895, C$1:C895&lt;&gt;""""))))-1), IF('To Order'!$A896=COLUMNS($A896:C"&amp;"915), C895&amp;RIGHT(INDIRECT(ADDRESS(ROW(C896)-1, 'From Order'!$A896)), 1), C895))"),"")</f>
        <v/>
      </c>
      <c r="D896" s="2" t="str">
        <f>IFERROR(__xludf.DUMMYFUNCTION("IF('From Order'!$A896=COLUMNS($A896:D915), LEFT(INDEX(FILTER(D$1:D895, D$1:D895&lt;&gt;""""),COUNTA(FILTER(D$1:D895, D$1:D895&lt;&gt;""""))), LEN(INDEX(FILTER(D$1:D895, D$1:D895&lt;&gt;""""),COUNTA(FILTER(D$1:D895, D$1:D895&lt;&gt;""""))))-1), IF('To Order'!$A896=COLUMNS($A896:D"&amp;"915), D895&amp;RIGHT(INDIRECT(ADDRESS(ROW(D896)-1, 'From Order'!$A896)), 1), D895))"),"BFMHZBSBPPVJCVRCTTJ")</f>
        <v>BFMHZBSBPPVJCVRCTTJ</v>
      </c>
      <c r="E896" s="2" t="str">
        <f>IFERROR(__xludf.DUMMYFUNCTION("IF('From Order'!$A896=COLUMNS($A896:E915), LEFT(INDEX(FILTER(E$1:E895, E$1:E895&lt;&gt;""""),COUNTA(FILTER(E$1:E895, E$1:E895&lt;&gt;""""))), LEN(INDEX(FILTER(E$1:E895, E$1:E895&lt;&gt;""""),COUNTA(FILTER(E$1:E895, E$1:E895&lt;&gt;""""))))-1), IF('To Order'!$A896=COLUMNS($A896:E"&amp;"915), E895&amp;RIGHT(INDIRECT(ADDRESS(ROW(E896)-1, 'From Order'!$A896)), 1), E895))"),"")</f>
        <v/>
      </c>
      <c r="F896" s="2" t="str">
        <f>IFERROR(__xludf.DUMMYFUNCTION("IF('From Order'!$A896=COLUMNS($A896:F915), LEFT(INDEX(FILTER(F$1:F895, F$1:F895&lt;&gt;""""),COUNTA(FILTER(F$1:F895, F$1:F895&lt;&gt;""""))), LEN(INDEX(FILTER(F$1:F895, F$1:F895&lt;&gt;""""),COUNTA(FILTER(F$1:F895, F$1:F895&lt;&gt;""""))))-1), IF('To Order'!$A896=COLUMNS($A896:F"&amp;"915), F895&amp;RIGHT(INDIRECT(ADDRESS(ROW(F896)-1, 'From Order'!$A896)), 1), F895))"),"FSLTTWRDTDBD")</f>
        <v>FSLTTWRDTDBD</v>
      </c>
      <c r="G896" s="2" t="str">
        <f>IFERROR(__xludf.DUMMYFUNCTION("IF('From Order'!$A896=COLUMNS($A896:G915), LEFT(INDEX(FILTER(G$1:G895, G$1:G895&lt;&gt;""""),COUNTA(FILTER(G$1:G895, G$1:G895&lt;&gt;""""))), LEN(INDEX(FILTER(G$1:G895, G$1:G895&lt;&gt;""""),COUNTA(FILTER(G$1:G895, G$1:G895&lt;&gt;""""))))-1), IF('To Order'!$A896=COLUMNS($A896:G"&amp;"915), G895&amp;RIGHT(INDIRECT(ADDRESS(ROW(G896)-1, 'From Order'!$A896)), 1), G895))"),"DTRLRQ")</f>
        <v>DTRLRQ</v>
      </c>
      <c r="H896" s="2" t="str">
        <f>IFERROR(__xludf.DUMMYFUNCTION("IF('From Order'!$A896=COLUMNS($A896:H915), LEFT(INDEX(FILTER(H$1:H895, H$1:H895&lt;&gt;""""),COUNTA(FILTER(H$1:H895, H$1:H895&lt;&gt;""""))), LEN(INDEX(FILTER(H$1:H895, H$1:H895&lt;&gt;""""),COUNTA(FILTER(H$1:H895, H$1:H895&lt;&gt;""""))))-1), IF('To Order'!$A896=COLUMNS($A896:H"&amp;"915), H895&amp;RIGHT(INDIRECT(ADDRESS(ROW(H896)-1, 'From Order'!$A896)), 1), H895))"),"P")</f>
        <v>P</v>
      </c>
      <c r="I896" s="2" t="str">
        <f>IFERROR(__xludf.DUMMYFUNCTION("IF('From Order'!$A896=COLUMNS($A896:I915), LEFT(INDEX(FILTER(I$1:I895, I$1:I895&lt;&gt;""""),COUNTA(FILTER(I$1:I895, I$1:I895&lt;&gt;""""))), LEN(INDEX(FILTER(I$1:I895, I$1:I895&lt;&gt;""""),COUNTA(FILTER(I$1:I895, I$1:I895&lt;&gt;""""))))-1), IF('To Order'!$A896=COLUMNS($A896:I"&amp;"915), I895&amp;RIGHT(INDIRECT(ADDRESS(ROW(I896)-1, 'From Order'!$A896)), 1), I895))"),"LZMVQWHGSSD")</f>
        <v>LZMVQWHGSSD</v>
      </c>
    </row>
    <row r="897">
      <c r="A897" s="2" t="str">
        <f>IFERROR(__xludf.DUMMYFUNCTION("IF('From Order'!$A897=COLUMNS($A897:A916), LEFT(INDEX(FILTER(A$1:A896, A$1:A896&lt;&gt;""""),COUNTA(FILTER(A$1:A896, A$1:A896&lt;&gt;""""))), LEN(INDEX(FILTER(A$1:A896, A$1:A896&lt;&gt;""""),COUNTA(FILTER(A$1:A896, A$1:A896&lt;&gt;""""))))-1), IF('To Order'!$A897=COLUMNS($A897:A"&amp;"916), A896&amp;RIGHT(INDIRECT(ADDRESS(ROW(A897)-1, 'From Order'!$A897)), 1), A896))"),"")</f>
        <v/>
      </c>
      <c r="B897" s="2" t="str">
        <f>IFERROR(__xludf.DUMMYFUNCTION("IF('From Order'!$A897=COLUMNS($A897:B916), LEFT(INDEX(FILTER(B$1:B896, B$1:B896&lt;&gt;""""),COUNTA(FILTER(B$1:B896, B$1:B896&lt;&gt;""""))), LEN(INDEX(FILTER(B$1:B896, B$1:B896&lt;&gt;""""),COUNTA(FILTER(B$1:B896, B$1:B896&lt;&gt;""""))))-1), IF('To Order'!$A897=COLUMNS($A897:B"&amp;"916), B896&amp;RIGHT(INDIRECT(ADDRESS(ROW(B897)-1, 'From Order'!$A897)), 1), B896))"),"JZRDCGM")</f>
        <v>JZRDCGM</v>
      </c>
      <c r="C897" s="2" t="str">
        <f>IFERROR(__xludf.DUMMYFUNCTION("IF('From Order'!$A897=COLUMNS($A897:C916), LEFT(INDEX(FILTER(C$1:C896, C$1:C896&lt;&gt;""""),COUNTA(FILTER(C$1:C896, C$1:C896&lt;&gt;""""))), LEN(INDEX(FILTER(C$1:C896, C$1:C896&lt;&gt;""""),COUNTA(FILTER(C$1:C896, C$1:C896&lt;&gt;""""))))-1), IF('To Order'!$A897=COLUMNS($A897:C"&amp;"916), C896&amp;RIGHT(INDIRECT(ADDRESS(ROW(C897)-1, 'From Order'!$A897)), 1), C896))"),"")</f>
        <v/>
      </c>
      <c r="D897" s="2" t="str">
        <f>IFERROR(__xludf.DUMMYFUNCTION("IF('From Order'!$A897=COLUMNS($A897:D916), LEFT(INDEX(FILTER(D$1:D896, D$1:D896&lt;&gt;""""),COUNTA(FILTER(D$1:D896, D$1:D896&lt;&gt;""""))), LEN(INDEX(FILTER(D$1:D896, D$1:D896&lt;&gt;""""),COUNTA(FILTER(D$1:D896, D$1:D896&lt;&gt;""""))))-1), IF('To Order'!$A897=COLUMNS($A897:D"&amp;"916), D896&amp;RIGHT(INDIRECT(ADDRESS(ROW(D897)-1, 'From Order'!$A897)), 1), D896))"),"BFMHZBSBPPVJCVRCTTJ")</f>
        <v>BFMHZBSBPPVJCVRCTTJ</v>
      </c>
      <c r="E897" s="2" t="str">
        <f>IFERROR(__xludf.DUMMYFUNCTION("IF('From Order'!$A897=COLUMNS($A897:E916), LEFT(INDEX(FILTER(E$1:E896, E$1:E896&lt;&gt;""""),COUNTA(FILTER(E$1:E896, E$1:E896&lt;&gt;""""))), LEN(INDEX(FILTER(E$1:E896, E$1:E896&lt;&gt;""""),COUNTA(FILTER(E$1:E896, E$1:E896&lt;&gt;""""))))-1), IF('To Order'!$A897=COLUMNS($A897:E"&amp;"916), E896&amp;RIGHT(INDIRECT(ADDRESS(ROW(E897)-1, 'From Order'!$A897)), 1), E896))"),"")</f>
        <v/>
      </c>
      <c r="F897" s="2" t="str">
        <f>IFERROR(__xludf.DUMMYFUNCTION("IF('From Order'!$A897=COLUMNS($A897:F916), LEFT(INDEX(FILTER(F$1:F896, F$1:F896&lt;&gt;""""),COUNTA(FILTER(F$1:F896, F$1:F896&lt;&gt;""""))), LEN(INDEX(FILTER(F$1:F896, F$1:F896&lt;&gt;""""),COUNTA(FILTER(F$1:F896, F$1:F896&lt;&gt;""""))))-1), IF('To Order'!$A897=COLUMNS($A897:F"&amp;"916), F896&amp;RIGHT(INDIRECT(ADDRESS(ROW(F897)-1, 'From Order'!$A897)), 1), F896))"),"FSLTTWRDTDBD")</f>
        <v>FSLTTWRDTDBD</v>
      </c>
      <c r="G897" s="2" t="str">
        <f>IFERROR(__xludf.DUMMYFUNCTION("IF('From Order'!$A897=COLUMNS($A897:G916), LEFT(INDEX(FILTER(G$1:G896, G$1:G896&lt;&gt;""""),COUNTA(FILTER(G$1:G896, G$1:G896&lt;&gt;""""))), LEN(INDEX(FILTER(G$1:G896, G$1:G896&lt;&gt;""""),COUNTA(FILTER(G$1:G896, G$1:G896&lt;&gt;""""))))-1), IF('To Order'!$A897=COLUMNS($A897:G"&amp;"916), G896&amp;RIGHT(INDIRECT(ADDRESS(ROW(G897)-1, 'From Order'!$A897)), 1), G896))"),"DTRLRQ")</f>
        <v>DTRLRQ</v>
      </c>
      <c r="H897" s="2" t="str">
        <f>IFERROR(__xludf.DUMMYFUNCTION("IF('From Order'!$A897=COLUMNS($A897:H916), LEFT(INDEX(FILTER(H$1:H896, H$1:H896&lt;&gt;""""),COUNTA(FILTER(H$1:H896, H$1:H896&lt;&gt;""""))), LEN(INDEX(FILTER(H$1:H896, H$1:H896&lt;&gt;""""),COUNTA(FILTER(H$1:H896, H$1:H896&lt;&gt;""""))))-1), IF('To Order'!$A897=COLUMNS($A897:H"&amp;"916), H896&amp;RIGHT(INDIRECT(ADDRESS(ROW(H897)-1, 'From Order'!$A897)), 1), H896))"),"PD")</f>
        <v>PD</v>
      </c>
      <c r="I897" s="2" t="str">
        <f>IFERROR(__xludf.DUMMYFUNCTION("IF('From Order'!$A897=COLUMNS($A897:I916), LEFT(INDEX(FILTER(I$1:I896, I$1:I896&lt;&gt;""""),COUNTA(FILTER(I$1:I896, I$1:I896&lt;&gt;""""))), LEN(INDEX(FILTER(I$1:I896, I$1:I896&lt;&gt;""""),COUNTA(FILTER(I$1:I896, I$1:I896&lt;&gt;""""))))-1), IF('To Order'!$A897=COLUMNS($A897:I"&amp;"916), I896&amp;RIGHT(INDIRECT(ADDRESS(ROW(I897)-1, 'From Order'!$A897)), 1), I896))"),"LZMVQWHGSS")</f>
        <v>LZMVQWHGSS</v>
      </c>
    </row>
    <row r="898">
      <c r="A898" s="2" t="str">
        <f>IFERROR(__xludf.DUMMYFUNCTION("IF('From Order'!$A898=COLUMNS($A898:A917), LEFT(INDEX(FILTER(A$1:A897, A$1:A897&lt;&gt;""""),COUNTA(FILTER(A$1:A897, A$1:A897&lt;&gt;""""))), LEN(INDEX(FILTER(A$1:A897, A$1:A897&lt;&gt;""""),COUNTA(FILTER(A$1:A897, A$1:A897&lt;&gt;""""))))-1), IF('To Order'!$A898=COLUMNS($A898:A"&amp;"917), A897&amp;RIGHT(INDIRECT(ADDRESS(ROW(A898)-1, 'From Order'!$A898)), 1), A897))"),"")</f>
        <v/>
      </c>
      <c r="B898" s="2" t="str">
        <f>IFERROR(__xludf.DUMMYFUNCTION("IF('From Order'!$A898=COLUMNS($A898:B917), LEFT(INDEX(FILTER(B$1:B897, B$1:B897&lt;&gt;""""),COUNTA(FILTER(B$1:B897, B$1:B897&lt;&gt;""""))), LEN(INDEX(FILTER(B$1:B897, B$1:B897&lt;&gt;""""),COUNTA(FILTER(B$1:B897, B$1:B897&lt;&gt;""""))))-1), IF('To Order'!$A898=COLUMNS($A898:B"&amp;"917), B897&amp;RIGHT(INDIRECT(ADDRESS(ROW(B898)-1, 'From Order'!$A898)), 1), B897))"),"JZRDCGM")</f>
        <v>JZRDCGM</v>
      </c>
      <c r="C898" s="2" t="str">
        <f>IFERROR(__xludf.DUMMYFUNCTION("IF('From Order'!$A898=COLUMNS($A898:C917), LEFT(INDEX(FILTER(C$1:C897, C$1:C897&lt;&gt;""""),COUNTA(FILTER(C$1:C897, C$1:C897&lt;&gt;""""))), LEN(INDEX(FILTER(C$1:C897, C$1:C897&lt;&gt;""""),COUNTA(FILTER(C$1:C897, C$1:C897&lt;&gt;""""))))-1), IF('To Order'!$A898=COLUMNS($A898:C"&amp;"917), C897&amp;RIGHT(INDIRECT(ADDRESS(ROW(C898)-1, 'From Order'!$A898)), 1), C897))"),"")</f>
        <v/>
      </c>
      <c r="D898" s="2" t="str">
        <f>IFERROR(__xludf.DUMMYFUNCTION("IF('From Order'!$A898=COLUMNS($A898:D917), LEFT(INDEX(FILTER(D$1:D897, D$1:D897&lt;&gt;""""),COUNTA(FILTER(D$1:D897, D$1:D897&lt;&gt;""""))), LEN(INDEX(FILTER(D$1:D897, D$1:D897&lt;&gt;""""),COUNTA(FILTER(D$1:D897, D$1:D897&lt;&gt;""""))))-1), IF('To Order'!$A898=COLUMNS($A898:D"&amp;"917), D897&amp;RIGHT(INDIRECT(ADDRESS(ROW(D898)-1, 'From Order'!$A898)), 1), D897))"),"BFMHZBSBPPVJCVRCTTJ")</f>
        <v>BFMHZBSBPPVJCVRCTTJ</v>
      </c>
      <c r="E898" s="2" t="str">
        <f>IFERROR(__xludf.DUMMYFUNCTION("IF('From Order'!$A898=COLUMNS($A898:E917), LEFT(INDEX(FILTER(E$1:E897, E$1:E897&lt;&gt;""""),COUNTA(FILTER(E$1:E897, E$1:E897&lt;&gt;""""))), LEN(INDEX(FILTER(E$1:E897, E$1:E897&lt;&gt;""""),COUNTA(FILTER(E$1:E897, E$1:E897&lt;&gt;""""))))-1), IF('To Order'!$A898=COLUMNS($A898:E"&amp;"917), E897&amp;RIGHT(INDIRECT(ADDRESS(ROW(E898)-1, 'From Order'!$A898)), 1), E897))"),"")</f>
        <v/>
      </c>
      <c r="F898" s="2" t="str">
        <f>IFERROR(__xludf.DUMMYFUNCTION("IF('From Order'!$A898=COLUMNS($A898:F917), LEFT(INDEX(FILTER(F$1:F897, F$1:F897&lt;&gt;""""),COUNTA(FILTER(F$1:F897, F$1:F897&lt;&gt;""""))), LEN(INDEX(FILTER(F$1:F897, F$1:F897&lt;&gt;""""),COUNTA(FILTER(F$1:F897, F$1:F897&lt;&gt;""""))))-1), IF('To Order'!$A898=COLUMNS($A898:F"&amp;"917), F897&amp;RIGHT(INDIRECT(ADDRESS(ROW(F898)-1, 'From Order'!$A898)), 1), F897))"),"FSLTTWRDTDBD")</f>
        <v>FSLTTWRDTDBD</v>
      </c>
      <c r="G898" s="2" t="str">
        <f>IFERROR(__xludf.DUMMYFUNCTION("IF('From Order'!$A898=COLUMNS($A898:G917), LEFT(INDEX(FILTER(G$1:G897, G$1:G897&lt;&gt;""""),COUNTA(FILTER(G$1:G897, G$1:G897&lt;&gt;""""))), LEN(INDEX(FILTER(G$1:G897, G$1:G897&lt;&gt;""""),COUNTA(FILTER(G$1:G897, G$1:G897&lt;&gt;""""))))-1), IF('To Order'!$A898=COLUMNS($A898:G"&amp;"917), G897&amp;RIGHT(INDIRECT(ADDRESS(ROW(G898)-1, 'From Order'!$A898)), 1), G897))"),"DTRLRQ")</f>
        <v>DTRLRQ</v>
      </c>
      <c r="H898" s="2" t="str">
        <f>IFERROR(__xludf.DUMMYFUNCTION("IF('From Order'!$A898=COLUMNS($A898:H917), LEFT(INDEX(FILTER(H$1:H897, H$1:H897&lt;&gt;""""),COUNTA(FILTER(H$1:H897, H$1:H897&lt;&gt;""""))), LEN(INDEX(FILTER(H$1:H897, H$1:H897&lt;&gt;""""),COUNTA(FILTER(H$1:H897, H$1:H897&lt;&gt;""""))))-1), IF('To Order'!$A898=COLUMNS($A898:H"&amp;"917), H897&amp;RIGHT(INDIRECT(ADDRESS(ROW(H898)-1, 'From Order'!$A898)), 1), H897))"),"PDS")</f>
        <v>PDS</v>
      </c>
      <c r="I898" s="2" t="str">
        <f>IFERROR(__xludf.DUMMYFUNCTION("IF('From Order'!$A898=COLUMNS($A898:I917), LEFT(INDEX(FILTER(I$1:I897, I$1:I897&lt;&gt;""""),COUNTA(FILTER(I$1:I897, I$1:I897&lt;&gt;""""))), LEN(INDEX(FILTER(I$1:I897, I$1:I897&lt;&gt;""""),COUNTA(FILTER(I$1:I897, I$1:I897&lt;&gt;""""))))-1), IF('To Order'!$A898=COLUMNS($A898:I"&amp;"917), I897&amp;RIGHT(INDIRECT(ADDRESS(ROW(I898)-1, 'From Order'!$A898)), 1), I897))"),"LZMVQWHGS")</f>
        <v>LZMVQWHGS</v>
      </c>
    </row>
    <row r="899">
      <c r="A899" s="2" t="str">
        <f>IFERROR(__xludf.DUMMYFUNCTION("IF('From Order'!$A899=COLUMNS($A899:A918), LEFT(INDEX(FILTER(A$1:A898, A$1:A898&lt;&gt;""""),COUNTA(FILTER(A$1:A898, A$1:A898&lt;&gt;""""))), LEN(INDEX(FILTER(A$1:A898, A$1:A898&lt;&gt;""""),COUNTA(FILTER(A$1:A898, A$1:A898&lt;&gt;""""))))-1), IF('To Order'!$A899=COLUMNS($A899:A"&amp;"918), A898&amp;RIGHT(INDIRECT(ADDRESS(ROW(A899)-1, 'From Order'!$A899)), 1), A898))"),"")</f>
        <v/>
      </c>
      <c r="B899" s="2" t="str">
        <f>IFERROR(__xludf.DUMMYFUNCTION("IF('From Order'!$A899=COLUMNS($A899:B918), LEFT(INDEX(FILTER(B$1:B898, B$1:B898&lt;&gt;""""),COUNTA(FILTER(B$1:B898, B$1:B898&lt;&gt;""""))), LEN(INDEX(FILTER(B$1:B898, B$1:B898&lt;&gt;""""),COUNTA(FILTER(B$1:B898, B$1:B898&lt;&gt;""""))))-1), IF('To Order'!$A899=COLUMNS($A899:B"&amp;"918), B898&amp;RIGHT(INDIRECT(ADDRESS(ROW(B899)-1, 'From Order'!$A899)), 1), B898))"),"JZRDCGM")</f>
        <v>JZRDCGM</v>
      </c>
      <c r="C899" s="2" t="str">
        <f>IFERROR(__xludf.DUMMYFUNCTION("IF('From Order'!$A899=COLUMNS($A899:C918), LEFT(INDEX(FILTER(C$1:C898, C$1:C898&lt;&gt;""""),COUNTA(FILTER(C$1:C898, C$1:C898&lt;&gt;""""))), LEN(INDEX(FILTER(C$1:C898, C$1:C898&lt;&gt;""""),COUNTA(FILTER(C$1:C898, C$1:C898&lt;&gt;""""))))-1), IF('To Order'!$A899=COLUMNS($A899:C"&amp;"918), C898&amp;RIGHT(INDIRECT(ADDRESS(ROW(C899)-1, 'From Order'!$A899)), 1), C898))"),"")</f>
        <v/>
      </c>
      <c r="D899" s="2" t="str">
        <f>IFERROR(__xludf.DUMMYFUNCTION("IF('From Order'!$A899=COLUMNS($A899:D918), LEFT(INDEX(FILTER(D$1:D898, D$1:D898&lt;&gt;""""),COUNTA(FILTER(D$1:D898, D$1:D898&lt;&gt;""""))), LEN(INDEX(FILTER(D$1:D898, D$1:D898&lt;&gt;""""),COUNTA(FILTER(D$1:D898, D$1:D898&lt;&gt;""""))))-1), IF('To Order'!$A899=COLUMNS($A899:D"&amp;"918), D898&amp;RIGHT(INDIRECT(ADDRESS(ROW(D899)-1, 'From Order'!$A899)), 1), D898))"),"BFMHZBSBPPVJCVRCTTJ")</f>
        <v>BFMHZBSBPPVJCVRCTTJ</v>
      </c>
      <c r="E899" s="2" t="str">
        <f>IFERROR(__xludf.DUMMYFUNCTION("IF('From Order'!$A899=COLUMNS($A899:E918), LEFT(INDEX(FILTER(E$1:E898, E$1:E898&lt;&gt;""""),COUNTA(FILTER(E$1:E898, E$1:E898&lt;&gt;""""))), LEN(INDEX(FILTER(E$1:E898, E$1:E898&lt;&gt;""""),COUNTA(FILTER(E$1:E898, E$1:E898&lt;&gt;""""))))-1), IF('To Order'!$A899=COLUMNS($A899:E"&amp;"918), E898&amp;RIGHT(INDIRECT(ADDRESS(ROW(E899)-1, 'From Order'!$A899)), 1), E898))"),"")</f>
        <v/>
      </c>
      <c r="F899" s="2" t="str">
        <f>IFERROR(__xludf.DUMMYFUNCTION("IF('From Order'!$A899=COLUMNS($A899:F918), LEFT(INDEX(FILTER(F$1:F898, F$1:F898&lt;&gt;""""),COUNTA(FILTER(F$1:F898, F$1:F898&lt;&gt;""""))), LEN(INDEX(FILTER(F$1:F898, F$1:F898&lt;&gt;""""),COUNTA(FILTER(F$1:F898, F$1:F898&lt;&gt;""""))))-1), IF('To Order'!$A899=COLUMNS($A899:F"&amp;"918), F898&amp;RIGHT(INDIRECT(ADDRESS(ROW(F899)-1, 'From Order'!$A899)), 1), F898))"),"FSLTTWRDTDBD")</f>
        <v>FSLTTWRDTDBD</v>
      </c>
      <c r="G899" s="2" t="str">
        <f>IFERROR(__xludf.DUMMYFUNCTION("IF('From Order'!$A899=COLUMNS($A899:G918), LEFT(INDEX(FILTER(G$1:G898, G$1:G898&lt;&gt;""""),COUNTA(FILTER(G$1:G898, G$1:G898&lt;&gt;""""))), LEN(INDEX(FILTER(G$1:G898, G$1:G898&lt;&gt;""""),COUNTA(FILTER(G$1:G898, G$1:G898&lt;&gt;""""))))-1), IF('To Order'!$A899=COLUMNS($A899:G"&amp;"918), G898&amp;RIGHT(INDIRECT(ADDRESS(ROW(G899)-1, 'From Order'!$A899)), 1), G898))"),"DTRLRQ")</f>
        <v>DTRLRQ</v>
      </c>
      <c r="H899" s="2" t="str">
        <f>IFERROR(__xludf.DUMMYFUNCTION("IF('From Order'!$A899=COLUMNS($A899:H918), LEFT(INDEX(FILTER(H$1:H898, H$1:H898&lt;&gt;""""),COUNTA(FILTER(H$1:H898, H$1:H898&lt;&gt;""""))), LEN(INDEX(FILTER(H$1:H898, H$1:H898&lt;&gt;""""),COUNTA(FILTER(H$1:H898, H$1:H898&lt;&gt;""""))))-1), IF('To Order'!$A899=COLUMNS($A899:H"&amp;"918), H898&amp;RIGHT(INDIRECT(ADDRESS(ROW(H899)-1, 'From Order'!$A899)), 1), H898))"),"PDSS")</f>
        <v>PDSS</v>
      </c>
      <c r="I899" s="2" t="str">
        <f>IFERROR(__xludf.DUMMYFUNCTION("IF('From Order'!$A899=COLUMNS($A899:I918), LEFT(INDEX(FILTER(I$1:I898, I$1:I898&lt;&gt;""""),COUNTA(FILTER(I$1:I898, I$1:I898&lt;&gt;""""))), LEN(INDEX(FILTER(I$1:I898, I$1:I898&lt;&gt;""""),COUNTA(FILTER(I$1:I898, I$1:I898&lt;&gt;""""))))-1), IF('To Order'!$A899=COLUMNS($A899:I"&amp;"918), I898&amp;RIGHT(INDIRECT(ADDRESS(ROW(I899)-1, 'From Order'!$A899)), 1), I898))"),"LZMVQWHG")</f>
        <v>LZMVQWHG</v>
      </c>
    </row>
    <row r="900">
      <c r="A900" s="2" t="str">
        <f>IFERROR(__xludf.DUMMYFUNCTION("IF('From Order'!$A900=COLUMNS($A900:A919), LEFT(INDEX(FILTER(A$1:A899, A$1:A899&lt;&gt;""""),COUNTA(FILTER(A$1:A899, A$1:A899&lt;&gt;""""))), LEN(INDEX(FILTER(A$1:A899, A$1:A899&lt;&gt;""""),COUNTA(FILTER(A$1:A899, A$1:A899&lt;&gt;""""))))-1), IF('To Order'!$A900=COLUMNS($A900:A"&amp;"919), A899&amp;RIGHT(INDIRECT(ADDRESS(ROW(A900)-1, 'From Order'!$A900)), 1), A899))"),"")</f>
        <v/>
      </c>
      <c r="B900" s="2" t="str">
        <f>IFERROR(__xludf.DUMMYFUNCTION("IF('From Order'!$A900=COLUMNS($A900:B919), LEFT(INDEX(FILTER(B$1:B899, B$1:B899&lt;&gt;""""),COUNTA(FILTER(B$1:B899, B$1:B899&lt;&gt;""""))), LEN(INDEX(FILTER(B$1:B899, B$1:B899&lt;&gt;""""),COUNTA(FILTER(B$1:B899, B$1:B899&lt;&gt;""""))))-1), IF('To Order'!$A900=COLUMNS($A900:B"&amp;"919), B899&amp;RIGHT(INDIRECT(ADDRESS(ROW(B900)-1, 'From Order'!$A900)), 1), B899))"),"JZRDCGM")</f>
        <v>JZRDCGM</v>
      </c>
      <c r="C900" s="2" t="str">
        <f>IFERROR(__xludf.DUMMYFUNCTION("IF('From Order'!$A900=COLUMNS($A900:C919), LEFT(INDEX(FILTER(C$1:C899, C$1:C899&lt;&gt;""""),COUNTA(FILTER(C$1:C899, C$1:C899&lt;&gt;""""))), LEN(INDEX(FILTER(C$1:C899, C$1:C899&lt;&gt;""""),COUNTA(FILTER(C$1:C899, C$1:C899&lt;&gt;""""))))-1), IF('To Order'!$A900=COLUMNS($A900:C"&amp;"919), C899&amp;RIGHT(INDIRECT(ADDRESS(ROW(C900)-1, 'From Order'!$A900)), 1), C899))"),"")</f>
        <v/>
      </c>
      <c r="D900" s="2" t="str">
        <f>IFERROR(__xludf.DUMMYFUNCTION("IF('From Order'!$A900=COLUMNS($A900:D919), LEFT(INDEX(FILTER(D$1:D899, D$1:D899&lt;&gt;""""),COUNTA(FILTER(D$1:D899, D$1:D899&lt;&gt;""""))), LEN(INDEX(FILTER(D$1:D899, D$1:D899&lt;&gt;""""),COUNTA(FILTER(D$1:D899, D$1:D899&lt;&gt;""""))))-1), IF('To Order'!$A900=COLUMNS($A900:D"&amp;"919), D899&amp;RIGHT(INDIRECT(ADDRESS(ROW(D900)-1, 'From Order'!$A900)), 1), D899))"),"BFMHZBSBPPVJCVRCTTJ")</f>
        <v>BFMHZBSBPPVJCVRCTTJ</v>
      </c>
      <c r="E900" s="2" t="str">
        <f>IFERROR(__xludf.DUMMYFUNCTION("IF('From Order'!$A900=COLUMNS($A900:E919), LEFT(INDEX(FILTER(E$1:E899, E$1:E899&lt;&gt;""""),COUNTA(FILTER(E$1:E899, E$1:E899&lt;&gt;""""))), LEN(INDEX(FILTER(E$1:E899, E$1:E899&lt;&gt;""""),COUNTA(FILTER(E$1:E899, E$1:E899&lt;&gt;""""))))-1), IF('To Order'!$A900=COLUMNS($A900:E"&amp;"919), E899&amp;RIGHT(INDIRECT(ADDRESS(ROW(E900)-1, 'From Order'!$A900)), 1), E899))"),"")</f>
        <v/>
      </c>
      <c r="F900" s="2" t="str">
        <f>IFERROR(__xludf.DUMMYFUNCTION("IF('From Order'!$A900=COLUMNS($A900:F919), LEFT(INDEX(FILTER(F$1:F899, F$1:F899&lt;&gt;""""),COUNTA(FILTER(F$1:F899, F$1:F899&lt;&gt;""""))), LEN(INDEX(FILTER(F$1:F899, F$1:F899&lt;&gt;""""),COUNTA(FILTER(F$1:F899, F$1:F899&lt;&gt;""""))))-1), IF('To Order'!$A900=COLUMNS($A900:F"&amp;"919), F899&amp;RIGHT(INDIRECT(ADDRESS(ROW(F900)-1, 'From Order'!$A900)), 1), F899))"),"FSLTTWRDTDBD")</f>
        <v>FSLTTWRDTDBD</v>
      </c>
      <c r="G900" s="2" t="str">
        <f>IFERROR(__xludf.DUMMYFUNCTION("IF('From Order'!$A900=COLUMNS($A900:G919), LEFT(INDEX(FILTER(G$1:G899, G$1:G899&lt;&gt;""""),COUNTA(FILTER(G$1:G899, G$1:G899&lt;&gt;""""))), LEN(INDEX(FILTER(G$1:G899, G$1:G899&lt;&gt;""""),COUNTA(FILTER(G$1:G899, G$1:G899&lt;&gt;""""))))-1), IF('To Order'!$A900=COLUMNS($A900:G"&amp;"919), G899&amp;RIGHT(INDIRECT(ADDRESS(ROW(G900)-1, 'From Order'!$A900)), 1), G899))"),"DTRLRQ")</f>
        <v>DTRLRQ</v>
      </c>
      <c r="H900" s="2" t="str">
        <f>IFERROR(__xludf.DUMMYFUNCTION("IF('From Order'!$A900=COLUMNS($A900:H919), LEFT(INDEX(FILTER(H$1:H899, H$1:H899&lt;&gt;""""),COUNTA(FILTER(H$1:H899, H$1:H899&lt;&gt;""""))), LEN(INDEX(FILTER(H$1:H899, H$1:H899&lt;&gt;""""),COUNTA(FILTER(H$1:H899, H$1:H899&lt;&gt;""""))))-1), IF('To Order'!$A900=COLUMNS($A900:H"&amp;"919), H899&amp;RIGHT(INDIRECT(ADDRESS(ROW(H900)-1, 'From Order'!$A900)), 1), H899))"),"PDSSG")</f>
        <v>PDSSG</v>
      </c>
      <c r="I900" s="2" t="str">
        <f>IFERROR(__xludf.DUMMYFUNCTION("IF('From Order'!$A900=COLUMNS($A900:I919), LEFT(INDEX(FILTER(I$1:I899, I$1:I899&lt;&gt;""""),COUNTA(FILTER(I$1:I899, I$1:I899&lt;&gt;""""))), LEN(INDEX(FILTER(I$1:I899, I$1:I899&lt;&gt;""""),COUNTA(FILTER(I$1:I899, I$1:I899&lt;&gt;""""))))-1), IF('To Order'!$A900=COLUMNS($A900:I"&amp;"919), I899&amp;RIGHT(INDIRECT(ADDRESS(ROW(I900)-1, 'From Order'!$A900)), 1), I899))"),"LZMVQWH")</f>
        <v>LZMVQWH</v>
      </c>
    </row>
    <row r="901">
      <c r="A901" s="2" t="str">
        <f>IFERROR(__xludf.DUMMYFUNCTION("IF('From Order'!$A901=COLUMNS($A901:A920), LEFT(INDEX(FILTER(A$1:A900, A$1:A900&lt;&gt;""""),COUNTA(FILTER(A$1:A900, A$1:A900&lt;&gt;""""))), LEN(INDEX(FILTER(A$1:A900, A$1:A900&lt;&gt;""""),COUNTA(FILTER(A$1:A900, A$1:A900&lt;&gt;""""))))-1), IF('To Order'!$A901=COLUMNS($A901:A"&amp;"920), A900&amp;RIGHT(INDIRECT(ADDRESS(ROW(A901)-1, 'From Order'!$A901)), 1), A900))"),"")</f>
        <v/>
      </c>
      <c r="B901" s="2" t="str">
        <f>IFERROR(__xludf.DUMMYFUNCTION("IF('From Order'!$A901=COLUMNS($A901:B920), LEFT(INDEX(FILTER(B$1:B900, B$1:B900&lt;&gt;""""),COUNTA(FILTER(B$1:B900, B$1:B900&lt;&gt;""""))), LEN(INDEX(FILTER(B$1:B900, B$1:B900&lt;&gt;""""),COUNTA(FILTER(B$1:B900, B$1:B900&lt;&gt;""""))))-1), IF('To Order'!$A901=COLUMNS($A901:B"&amp;"920), B900&amp;RIGHT(INDIRECT(ADDRESS(ROW(B901)-1, 'From Order'!$A901)), 1), B900))"),"JZRDCGM")</f>
        <v>JZRDCGM</v>
      </c>
      <c r="C901" s="2" t="str">
        <f>IFERROR(__xludf.DUMMYFUNCTION("IF('From Order'!$A901=COLUMNS($A901:C920), LEFT(INDEX(FILTER(C$1:C900, C$1:C900&lt;&gt;""""),COUNTA(FILTER(C$1:C900, C$1:C900&lt;&gt;""""))), LEN(INDEX(FILTER(C$1:C900, C$1:C900&lt;&gt;""""),COUNTA(FILTER(C$1:C900, C$1:C900&lt;&gt;""""))))-1), IF('To Order'!$A901=COLUMNS($A901:C"&amp;"920), C900&amp;RIGHT(INDIRECT(ADDRESS(ROW(C901)-1, 'From Order'!$A901)), 1), C900))"),"")</f>
        <v/>
      </c>
      <c r="D901" s="2" t="str">
        <f>IFERROR(__xludf.DUMMYFUNCTION("IF('From Order'!$A901=COLUMNS($A901:D920), LEFT(INDEX(FILTER(D$1:D900, D$1:D900&lt;&gt;""""),COUNTA(FILTER(D$1:D900, D$1:D900&lt;&gt;""""))), LEN(INDEX(FILTER(D$1:D900, D$1:D900&lt;&gt;""""),COUNTA(FILTER(D$1:D900, D$1:D900&lt;&gt;""""))))-1), IF('To Order'!$A901=COLUMNS($A901:D"&amp;"920), D900&amp;RIGHT(INDIRECT(ADDRESS(ROW(D901)-1, 'From Order'!$A901)), 1), D900))"),"BFMHZBSBPPVJCVRCTTJ")</f>
        <v>BFMHZBSBPPVJCVRCTTJ</v>
      </c>
      <c r="E901" s="2" t="str">
        <f>IFERROR(__xludf.DUMMYFUNCTION("IF('From Order'!$A901=COLUMNS($A901:E920), LEFT(INDEX(FILTER(E$1:E900, E$1:E900&lt;&gt;""""),COUNTA(FILTER(E$1:E900, E$1:E900&lt;&gt;""""))), LEN(INDEX(FILTER(E$1:E900, E$1:E900&lt;&gt;""""),COUNTA(FILTER(E$1:E900, E$1:E900&lt;&gt;""""))))-1), IF('To Order'!$A901=COLUMNS($A901:E"&amp;"920), E900&amp;RIGHT(INDIRECT(ADDRESS(ROW(E901)-1, 'From Order'!$A901)), 1), E900))"),"")</f>
        <v/>
      </c>
      <c r="F901" s="2" t="str">
        <f>IFERROR(__xludf.DUMMYFUNCTION("IF('From Order'!$A901=COLUMNS($A901:F920), LEFT(INDEX(FILTER(F$1:F900, F$1:F900&lt;&gt;""""),COUNTA(FILTER(F$1:F900, F$1:F900&lt;&gt;""""))), LEN(INDEX(FILTER(F$1:F900, F$1:F900&lt;&gt;""""),COUNTA(FILTER(F$1:F900, F$1:F900&lt;&gt;""""))))-1), IF('To Order'!$A901=COLUMNS($A901:F"&amp;"920), F900&amp;RIGHT(INDIRECT(ADDRESS(ROW(F901)-1, 'From Order'!$A901)), 1), F900))"),"FSLTTWRDTDBD")</f>
        <v>FSLTTWRDTDBD</v>
      </c>
      <c r="G901" s="2" t="str">
        <f>IFERROR(__xludf.DUMMYFUNCTION("IF('From Order'!$A901=COLUMNS($A901:G920), LEFT(INDEX(FILTER(G$1:G900, G$1:G900&lt;&gt;""""),COUNTA(FILTER(G$1:G900, G$1:G900&lt;&gt;""""))), LEN(INDEX(FILTER(G$1:G900, G$1:G900&lt;&gt;""""),COUNTA(FILTER(G$1:G900, G$1:G900&lt;&gt;""""))))-1), IF('To Order'!$A901=COLUMNS($A901:G"&amp;"920), G900&amp;RIGHT(INDIRECT(ADDRESS(ROW(G901)-1, 'From Order'!$A901)), 1), G900))"),"DTRLRQ")</f>
        <v>DTRLRQ</v>
      </c>
      <c r="H901" s="2" t="str">
        <f>IFERROR(__xludf.DUMMYFUNCTION("IF('From Order'!$A901=COLUMNS($A901:H920), LEFT(INDEX(FILTER(H$1:H900, H$1:H900&lt;&gt;""""),COUNTA(FILTER(H$1:H900, H$1:H900&lt;&gt;""""))), LEN(INDEX(FILTER(H$1:H900, H$1:H900&lt;&gt;""""),COUNTA(FILTER(H$1:H900, H$1:H900&lt;&gt;""""))))-1), IF('To Order'!$A901=COLUMNS($A901:H"&amp;"920), H900&amp;RIGHT(INDIRECT(ADDRESS(ROW(H901)-1, 'From Order'!$A901)), 1), H900))"),"PDSSGH")</f>
        <v>PDSSGH</v>
      </c>
      <c r="I901" s="2" t="str">
        <f>IFERROR(__xludf.DUMMYFUNCTION("IF('From Order'!$A901=COLUMNS($A901:I920), LEFT(INDEX(FILTER(I$1:I900, I$1:I900&lt;&gt;""""),COUNTA(FILTER(I$1:I900, I$1:I900&lt;&gt;""""))), LEN(INDEX(FILTER(I$1:I900, I$1:I900&lt;&gt;""""),COUNTA(FILTER(I$1:I900, I$1:I900&lt;&gt;""""))))-1), IF('To Order'!$A901=COLUMNS($A901:I"&amp;"920), I900&amp;RIGHT(INDIRECT(ADDRESS(ROW(I901)-1, 'From Order'!$A901)), 1), I900))"),"LZMVQW")</f>
        <v>LZMVQW</v>
      </c>
    </row>
    <row r="902">
      <c r="A902" s="2" t="str">
        <f>IFERROR(__xludf.DUMMYFUNCTION("IF('From Order'!$A902=COLUMNS($A902:A921), LEFT(INDEX(FILTER(A$1:A901, A$1:A901&lt;&gt;""""),COUNTA(FILTER(A$1:A901, A$1:A901&lt;&gt;""""))), LEN(INDEX(FILTER(A$1:A901, A$1:A901&lt;&gt;""""),COUNTA(FILTER(A$1:A901, A$1:A901&lt;&gt;""""))))-1), IF('To Order'!$A902=COLUMNS($A902:A"&amp;"921), A901&amp;RIGHT(INDIRECT(ADDRESS(ROW(A902)-1, 'From Order'!$A902)), 1), A901))"),"")</f>
        <v/>
      </c>
      <c r="B902" s="2" t="str">
        <f>IFERROR(__xludf.DUMMYFUNCTION("IF('From Order'!$A902=COLUMNS($A902:B921), LEFT(INDEX(FILTER(B$1:B901, B$1:B901&lt;&gt;""""),COUNTA(FILTER(B$1:B901, B$1:B901&lt;&gt;""""))), LEN(INDEX(FILTER(B$1:B901, B$1:B901&lt;&gt;""""),COUNTA(FILTER(B$1:B901, B$1:B901&lt;&gt;""""))))-1), IF('To Order'!$A902=COLUMNS($A902:B"&amp;"921), B901&amp;RIGHT(INDIRECT(ADDRESS(ROW(B902)-1, 'From Order'!$A902)), 1), B901))"),"JZRDCGM")</f>
        <v>JZRDCGM</v>
      </c>
      <c r="C902" s="2" t="str">
        <f>IFERROR(__xludf.DUMMYFUNCTION("IF('From Order'!$A902=COLUMNS($A902:C921), LEFT(INDEX(FILTER(C$1:C901, C$1:C901&lt;&gt;""""),COUNTA(FILTER(C$1:C901, C$1:C901&lt;&gt;""""))), LEN(INDEX(FILTER(C$1:C901, C$1:C901&lt;&gt;""""),COUNTA(FILTER(C$1:C901, C$1:C901&lt;&gt;""""))))-1), IF('To Order'!$A902=COLUMNS($A902:C"&amp;"921), C901&amp;RIGHT(INDIRECT(ADDRESS(ROW(C902)-1, 'From Order'!$A902)), 1), C901))"),"")</f>
        <v/>
      </c>
      <c r="D902" s="2" t="str">
        <f>IFERROR(__xludf.DUMMYFUNCTION("IF('From Order'!$A902=COLUMNS($A902:D921), LEFT(INDEX(FILTER(D$1:D901, D$1:D901&lt;&gt;""""),COUNTA(FILTER(D$1:D901, D$1:D901&lt;&gt;""""))), LEN(INDEX(FILTER(D$1:D901, D$1:D901&lt;&gt;""""),COUNTA(FILTER(D$1:D901, D$1:D901&lt;&gt;""""))))-1), IF('To Order'!$A902=COLUMNS($A902:D"&amp;"921), D901&amp;RIGHT(INDIRECT(ADDRESS(ROW(D902)-1, 'From Order'!$A902)), 1), D901))"),"BFMHZBSBPPVJCVRCTTJ")</f>
        <v>BFMHZBSBPPVJCVRCTTJ</v>
      </c>
      <c r="E902" s="2" t="str">
        <f>IFERROR(__xludf.DUMMYFUNCTION("IF('From Order'!$A902=COLUMNS($A902:E921), LEFT(INDEX(FILTER(E$1:E901, E$1:E901&lt;&gt;""""),COUNTA(FILTER(E$1:E901, E$1:E901&lt;&gt;""""))), LEN(INDEX(FILTER(E$1:E901, E$1:E901&lt;&gt;""""),COUNTA(FILTER(E$1:E901, E$1:E901&lt;&gt;""""))))-1), IF('To Order'!$A902=COLUMNS($A902:E"&amp;"921), E901&amp;RIGHT(INDIRECT(ADDRESS(ROW(E902)-1, 'From Order'!$A902)), 1), E901))"),"")</f>
        <v/>
      </c>
      <c r="F902" s="2" t="str">
        <f>IFERROR(__xludf.DUMMYFUNCTION("IF('From Order'!$A902=COLUMNS($A902:F921), LEFT(INDEX(FILTER(F$1:F901, F$1:F901&lt;&gt;""""),COUNTA(FILTER(F$1:F901, F$1:F901&lt;&gt;""""))), LEN(INDEX(FILTER(F$1:F901, F$1:F901&lt;&gt;""""),COUNTA(FILTER(F$1:F901, F$1:F901&lt;&gt;""""))))-1), IF('To Order'!$A902=COLUMNS($A902:F"&amp;"921), F901&amp;RIGHT(INDIRECT(ADDRESS(ROW(F902)-1, 'From Order'!$A902)), 1), F901))"),"FSLTTWRDTDBD")</f>
        <v>FSLTTWRDTDBD</v>
      </c>
      <c r="G902" s="2" t="str">
        <f>IFERROR(__xludf.DUMMYFUNCTION("IF('From Order'!$A902=COLUMNS($A902:G921), LEFT(INDEX(FILTER(G$1:G901, G$1:G901&lt;&gt;""""),COUNTA(FILTER(G$1:G901, G$1:G901&lt;&gt;""""))), LEN(INDEX(FILTER(G$1:G901, G$1:G901&lt;&gt;""""),COUNTA(FILTER(G$1:G901, G$1:G901&lt;&gt;""""))))-1), IF('To Order'!$A902=COLUMNS($A902:G"&amp;"921), G901&amp;RIGHT(INDIRECT(ADDRESS(ROW(G902)-1, 'From Order'!$A902)), 1), G901))"),"DTRLRQ")</f>
        <v>DTRLRQ</v>
      </c>
      <c r="H902" s="2" t="str">
        <f>IFERROR(__xludf.DUMMYFUNCTION("IF('From Order'!$A902=COLUMNS($A902:H921), LEFT(INDEX(FILTER(H$1:H901, H$1:H901&lt;&gt;""""),COUNTA(FILTER(H$1:H901, H$1:H901&lt;&gt;""""))), LEN(INDEX(FILTER(H$1:H901, H$1:H901&lt;&gt;""""),COUNTA(FILTER(H$1:H901, H$1:H901&lt;&gt;""""))))-1), IF('To Order'!$A902=COLUMNS($A902:H"&amp;"921), H901&amp;RIGHT(INDIRECT(ADDRESS(ROW(H902)-1, 'From Order'!$A902)), 1), H901))"),"PDSSGHW")</f>
        <v>PDSSGHW</v>
      </c>
      <c r="I902" s="2" t="str">
        <f>IFERROR(__xludf.DUMMYFUNCTION("IF('From Order'!$A902=COLUMNS($A902:I921), LEFT(INDEX(FILTER(I$1:I901, I$1:I901&lt;&gt;""""),COUNTA(FILTER(I$1:I901, I$1:I901&lt;&gt;""""))), LEN(INDEX(FILTER(I$1:I901, I$1:I901&lt;&gt;""""),COUNTA(FILTER(I$1:I901, I$1:I901&lt;&gt;""""))))-1), IF('To Order'!$A902=COLUMNS($A902:I"&amp;"921), I901&amp;RIGHT(INDIRECT(ADDRESS(ROW(I902)-1, 'From Order'!$A902)), 1), I901))"),"LZMVQ")</f>
        <v>LZMVQ</v>
      </c>
    </row>
    <row r="903">
      <c r="A903" s="2" t="str">
        <f>IFERROR(__xludf.DUMMYFUNCTION("IF('From Order'!$A903=COLUMNS($A903:A922), LEFT(INDEX(FILTER(A$1:A902, A$1:A902&lt;&gt;""""),COUNTA(FILTER(A$1:A902, A$1:A902&lt;&gt;""""))), LEN(INDEX(FILTER(A$1:A902, A$1:A902&lt;&gt;""""),COUNTA(FILTER(A$1:A902, A$1:A902&lt;&gt;""""))))-1), IF('To Order'!$A903=COLUMNS($A903:A"&amp;"922), A902&amp;RIGHT(INDIRECT(ADDRESS(ROW(A903)-1, 'From Order'!$A903)), 1), A902))"),"")</f>
        <v/>
      </c>
      <c r="B903" s="2" t="str">
        <f>IFERROR(__xludf.DUMMYFUNCTION("IF('From Order'!$A903=COLUMNS($A903:B922), LEFT(INDEX(FILTER(B$1:B902, B$1:B902&lt;&gt;""""),COUNTA(FILTER(B$1:B902, B$1:B902&lt;&gt;""""))), LEN(INDEX(FILTER(B$1:B902, B$1:B902&lt;&gt;""""),COUNTA(FILTER(B$1:B902, B$1:B902&lt;&gt;""""))))-1), IF('To Order'!$A903=COLUMNS($A903:B"&amp;"922), B902&amp;RIGHT(INDIRECT(ADDRESS(ROW(B903)-1, 'From Order'!$A903)), 1), B902))"),"JZRDCGM")</f>
        <v>JZRDCGM</v>
      </c>
      <c r="C903" s="2" t="str">
        <f>IFERROR(__xludf.DUMMYFUNCTION("IF('From Order'!$A903=COLUMNS($A903:C922), LEFT(INDEX(FILTER(C$1:C902, C$1:C902&lt;&gt;""""),COUNTA(FILTER(C$1:C902, C$1:C902&lt;&gt;""""))), LEN(INDEX(FILTER(C$1:C902, C$1:C902&lt;&gt;""""),COUNTA(FILTER(C$1:C902, C$1:C902&lt;&gt;""""))))-1), IF('To Order'!$A903=COLUMNS($A903:C"&amp;"922), C902&amp;RIGHT(INDIRECT(ADDRESS(ROW(C903)-1, 'From Order'!$A903)), 1), C902))"),"")</f>
        <v/>
      </c>
      <c r="D903" s="2" t="str">
        <f>IFERROR(__xludf.DUMMYFUNCTION("IF('From Order'!$A903=COLUMNS($A903:D922), LEFT(INDEX(FILTER(D$1:D902, D$1:D902&lt;&gt;""""),COUNTA(FILTER(D$1:D902, D$1:D902&lt;&gt;""""))), LEN(INDEX(FILTER(D$1:D902, D$1:D902&lt;&gt;""""),COUNTA(FILTER(D$1:D902, D$1:D902&lt;&gt;""""))))-1), IF('To Order'!$A903=COLUMNS($A903:D"&amp;"922), D902&amp;RIGHT(INDIRECT(ADDRESS(ROW(D903)-1, 'From Order'!$A903)), 1), D902))"),"BFMHZBSBPPVJCVRCTTJ")</f>
        <v>BFMHZBSBPPVJCVRCTTJ</v>
      </c>
      <c r="E903" s="2" t="str">
        <f>IFERROR(__xludf.DUMMYFUNCTION("IF('From Order'!$A903=COLUMNS($A903:E922), LEFT(INDEX(FILTER(E$1:E902, E$1:E902&lt;&gt;""""),COUNTA(FILTER(E$1:E902, E$1:E902&lt;&gt;""""))), LEN(INDEX(FILTER(E$1:E902, E$1:E902&lt;&gt;""""),COUNTA(FILTER(E$1:E902, E$1:E902&lt;&gt;""""))))-1), IF('To Order'!$A903=COLUMNS($A903:E"&amp;"922), E902&amp;RIGHT(INDIRECT(ADDRESS(ROW(E903)-1, 'From Order'!$A903)), 1), E902))"),"")</f>
        <v/>
      </c>
      <c r="F903" s="2" t="str">
        <f>IFERROR(__xludf.DUMMYFUNCTION("IF('From Order'!$A903=COLUMNS($A903:F922), LEFT(INDEX(FILTER(F$1:F902, F$1:F902&lt;&gt;""""),COUNTA(FILTER(F$1:F902, F$1:F902&lt;&gt;""""))), LEN(INDEX(FILTER(F$1:F902, F$1:F902&lt;&gt;""""),COUNTA(FILTER(F$1:F902, F$1:F902&lt;&gt;""""))))-1), IF('To Order'!$A903=COLUMNS($A903:F"&amp;"922), F902&amp;RIGHT(INDIRECT(ADDRESS(ROW(F903)-1, 'From Order'!$A903)), 1), F902))"),"FSLTTWRDTDBD")</f>
        <v>FSLTTWRDTDBD</v>
      </c>
      <c r="G903" s="2" t="str">
        <f>IFERROR(__xludf.DUMMYFUNCTION("IF('From Order'!$A903=COLUMNS($A903:G922), LEFT(INDEX(FILTER(G$1:G902, G$1:G902&lt;&gt;""""),COUNTA(FILTER(G$1:G902, G$1:G902&lt;&gt;""""))), LEN(INDEX(FILTER(G$1:G902, G$1:G902&lt;&gt;""""),COUNTA(FILTER(G$1:G902, G$1:G902&lt;&gt;""""))))-1), IF('To Order'!$A903=COLUMNS($A903:G"&amp;"922), G902&amp;RIGHT(INDIRECT(ADDRESS(ROW(G903)-1, 'From Order'!$A903)), 1), G902))"),"DTRLRQ")</f>
        <v>DTRLRQ</v>
      </c>
      <c r="H903" s="2" t="str">
        <f>IFERROR(__xludf.DUMMYFUNCTION("IF('From Order'!$A903=COLUMNS($A903:H922), LEFT(INDEX(FILTER(H$1:H902, H$1:H902&lt;&gt;""""),COUNTA(FILTER(H$1:H902, H$1:H902&lt;&gt;""""))), LEN(INDEX(FILTER(H$1:H902, H$1:H902&lt;&gt;""""),COUNTA(FILTER(H$1:H902, H$1:H902&lt;&gt;""""))))-1), IF('To Order'!$A903=COLUMNS($A903:H"&amp;"922), H902&amp;RIGHT(INDIRECT(ADDRESS(ROW(H903)-1, 'From Order'!$A903)), 1), H902))"),"PDSSGHWQ")</f>
        <v>PDSSGHWQ</v>
      </c>
      <c r="I903" s="2" t="str">
        <f>IFERROR(__xludf.DUMMYFUNCTION("IF('From Order'!$A903=COLUMNS($A903:I922), LEFT(INDEX(FILTER(I$1:I902, I$1:I902&lt;&gt;""""),COUNTA(FILTER(I$1:I902, I$1:I902&lt;&gt;""""))), LEN(INDEX(FILTER(I$1:I902, I$1:I902&lt;&gt;""""),COUNTA(FILTER(I$1:I902, I$1:I902&lt;&gt;""""))))-1), IF('To Order'!$A903=COLUMNS($A903:I"&amp;"922), I902&amp;RIGHT(INDIRECT(ADDRESS(ROW(I903)-1, 'From Order'!$A903)), 1), I902))"),"LZMV")</f>
        <v>LZMV</v>
      </c>
    </row>
    <row r="904">
      <c r="A904" s="2" t="str">
        <f>IFERROR(__xludf.DUMMYFUNCTION("IF('From Order'!$A904=COLUMNS($A904:A923), LEFT(INDEX(FILTER(A$1:A903, A$1:A903&lt;&gt;""""),COUNTA(FILTER(A$1:A903, A$1:A903&lt;&gt;""""))), LEN(INDEX(FILTER(A$1:A903, A$1:A903&lt;&gt;""""),COUNTA(FILTER(A$1:A903, A$1:A903&lt;&gt;""""))))-1), IF('To Order'!$A904=COLUMNS($A904:A"&amp;"923), A903&amp;RIGHT(INDIRECT(ADDRESS(ROW(A904)-1, 'From Order'!$A904)), 1), A903))"),"")</f>
        <v/>
      </c>
      <c r="B904" s="2" t="str">
        <f>IFERROR(__xludf.DUMMYFUNCTION("IF('From Order'!$A904=COLUMNS($A904:B923), LEFT(INDEX(FILTER(B$1:B903, B$1:B903&lt;&gt;""""),COUNTA(FILTER(B$1:B903, B$1:B903&lt;&gt;""""))), LEN(INDEX(FILTER(B$1:B903, B$1:B903&lt;&gt;""""),COUNTA(FILTER(B$1:B903, B$1:B903&lt;&gt;""""))))-1), IF('To Order'!$A904=COLUMNS($A904:B"&amp;"923), B903&amp;RIGHT(INDIRECT(ADDRESS(ROW(B904)-1, 'From Order'!$A904)), 1), B903))"),"JZRDCGM")</f>
        <v>JZRDCGM</v>
      </c>
      <c r="C904" s="2" t="str">
        <f>IFERROR(__xludf.DUMMYFUNCTION("IF('From Order'!$A904=COLUMNS($A904:C923), LEFT(INDEX(FILTER(C$1:C903, C$1:C903&lt;&gt;""""),COUNTA(FILTER(C$1:C903, C$1:C903&lt;&gt;""""))), LEN(INDEX(FILTER(C$1:C903, C$1:C903&lt;&gt;""""),COUNTA(FILTER(C$1:C903, C$1:C903&lt;&gt;""""))))-1), IF('To Order'!$A904=COLUMNS($A904:C"&amp;"923), C903&amp;RIGHT(INDIRECT(ADDRESS(ROW(C904)-1, 'From Order'!$A904)), 1), C903))"),"")</f>
        <v/>
      </c>
      <c r="D904" s="2" t="str">
        <f>IFERROR(__xludf.DUMMYFUNCTION("IF('From Order'!$A904=COLUMNS($A904:D923), LEFT(INDEX(FILTER(D$1:D903, D$1:D903&lt;&gt;""""),COUNTA(FILTER(D$1:D903, D$1:D903&lt;&gt;""""))), LEN(INDEX(FILTER(D$1:D903, D$1:D903&lt;&gt;""""),COUNTA(FILTER(D$1:D903, D$1:D903&lt;&gt;""""))))-1), IF('To Order'!$A904=COLUMNS($A904:D"&amp;"923), D903&amp;RIGHT(INDIRECT(ADDRESS(ROW(D904)-1, 'From Order'!$A904)), 1), D903))"),"BFMHZBSBPPVJCVRCTTJ")</f>
        <v>BFMHZBSBPPVJCVRCTTJ</v>
      </c>
      <c r="E904" s="2" t="str">
        <f>IFERROR(__xludf.DUMMYFUNCTION("IF('From Order'!$A904=COLUMNS($A904:E923), LEFT(INDEX(FILTER(E$1:E903, E$1:E903&lt;&gt;""""),COUNTA(FILTER(E$1:E903, E$1:E903&lt;&gt;""""))), LEN(INDEX(FILTER(E$1:E903, E$1:E903&lt;&gt;""""),COUNTA(FILTER(E$1:E903, E$1:E903&lt;&gt;""""))))-1), IF('To Order'!$A904=COLUMNS($A904:E"&amp;"923), E903&amp;RIGHT(INDIRECT(ADDRESS(ROW(E904)-1, 'From Order'!$A904)), 1), E903))"),"")</f>
        <v/>
      </c>
      <c r="F904" s="2" t="str">
        <f>IFERROR(__xludf.DUMMYFUNCTION("IF('From Order'!$A904=COLUMNS($A904:F923), LEFT(INDEX(FILTER(F$1:F903, F$1:F903&lt;&gt;""""),COUNTA(FILTER(F$1:F903, F$1:F903&lt;&gt;""""))), LEN(INDEX(FILTER(F$1:F903, F$1:F903&lt;&gt;""""),COUNTA(FILTER(F$1:F903, F$1:F903&lt;&gt;""""))))-1), IF('To Order'!$A904=COLUMNS($A904:F"&amp;"923), F903&amp;RIGHT(INDIRECT(ADDRESS(ROW(F904)-1, 'From Order'!$A904)), 1), F903))"),"FSLTTWRDTDBD")</f>
        <v>FSLTTWRDTDBD</v>
      </c>
      <c r="G904" s="2" t="str">
        <f>IFERROR(__xludf.DUMMYFUNCTION("IF('From Order'!$A904=COLUMNS($A904:G923), LEFT(INDEX(FILTER(G$1:G903, G$1:G903&lt;&gt;""""),COUNTA(FILTER(G$1:G903, G$1:G903&lt;&gt;""""))), LEN(INDEX(FILTER(G$1:G903, G$1:G903&lt;&gt;""""),COUNTA(FILTER(G$1:G903, G$1:G903&lt;&gt;""""))))-1), IF('To Order'!$A904=COLUMNS($A904:G"&amp;"923), G903&amp;RIGHT(INDIRECT(ADDRESS(ROW(G904)-1, 'From Order'!$A904)), 1), G903))"),"DTRLRQ")</f>
        <v>DTRLRQ</v>
      </c>
      <c r="H904" s="2" t="str">
        <f>IFERROR(__xludf.DUMMYFUNCTION("IF('From Order'!$A904=COLUMNS($A904:H923), LEFT(INDEX(FILTER(H$1:H903, H$1:H903&lt;&gt;""""),COUNTA(FILTER(H$1:H903, H$1:H903&lt;&gt;""""))), LEN(INDEX(FILTER(H$1:H903, H$1:H903&lt;&gt;""""),COUNTA(FILTER(H$1:H903, H$1:H903&lt;&gt;""""))))-1), IF('To Order'!$A904=COLUMNS($A904:H"&amp;"923), H903&amp;RIGHT(INDIRECT(ADDRESS(ROW(H904)-1, 'From Order'!$A904)), 1), H903))"),"PDSSGHWQV")</f>
        <v>PDSSGHWQV</v>
      </c>
      <c r="I904" s="2" t="str">
        <f>IFERROR(__xludf.DUMMYFUNCTION("IF('From Order'!$A904=COLUMNS($A904:I923), LEFT(INDEX(FILTER(I$1:I903, I$1:I903&lt;&gt;""""),COUNTA(FILTER(I$1:I903, I$1:I903&lt;&gt;""""))), LEN(INDEX(FILTER(I$1:I903, I$1:I903&lt;&gt;""""),COUNTA(FILTER(I$1:I903, I$1:I903&lt;&gt;""""))))-1), IF('To Order'!$A904=COLUMNS($A904:I"&amp;"923), I903&amp;RIGHT(INDIRECT(ADDRESS(ROW(I904)-1, 'From Order'!$A904)), 1), I903))"),"LZM")</f>
        <v>LZM</v>
      </c>
    </row>
    <row r="905">
      <c r="A905" s="2" t="str">
        <f>IFERROR(__xludf.DUMMYFUNCTION("IF('From Order'!$A905=COLUMNS($A905:A924), LEFT(INDEX(FILTER(A$1:A904, A$1:A904&lt;&gt;""""),COUNTA(FILTER(A$1:A904, A$1:A904&lt;&gt;""""))), LEN(INDEX(FILTER(A$1:A904, A$1:A904&lt;&gt;""""),COUNTA(FILTER(A$1:A904, A$1:A904&lt;&gt;""""))))-1), IF('To Order'!$A905=COLUMNS($A905:A"&amp;"924), A904&amp;RIGHT(INDIRECT(ADDRESS(ROW(A905)-1, 'From Order'!$A905)), 1), A904))"),"")</f>
        <v/>
      </c>
      <c r="B905" s="2" t="str">
        <f>IFERROR(__xludf.DUMMYFUNCTION("IF('From Order'!$A905=COLUMNS($A905:B924), LEFT(INDEX(FILTER(B$1:B904, B$1:B904&lt;&gt;""""),COUNTA(FILTER(B$1:B904, B$1:B904&lt;&gt;""""))), LEN(INDEX(FILTER(B$1:B904, B$1:B904&lt;&gt;""""),COUNTA(FILTER(B$1:B904, B$1:B904&lt;&gt;""""))))-1), IF('To Order'!$A905=COLUMNS($A905:B"&amp;"924), B904&amp;RIGHT(INDIRECT(ADDRESS(ROW(B905)-1, 'From Order'!$A905)), 1), B904))"),"JZRDCGM")</f>
        <v>JZRDCGM</v>
      </c>
      <c r="C905" s="2" t="str">
        <f>IFERROR(__xludf.DUMMYFUNCTION("IF('From Order'!$A905=COLUMNS($A905:C924), LEFT(INDEX(FILTER(C$1:C904, C$1:C904&lt;&gt;""""),COUNTA(FILTER(C$1:C904, C$1:C904&lt;&gt;""""))), LEN(INDEX(FILTER(C$1:C904, C$1:C904&lt;&gt;""""),COUNTA(FILTER(C$1:C904, C$1:C904&lt;&gt;""""))))-1), IF('To Order'!$A905=COLUMNS($A905:C"&amp;"924), C904&amp;RIGHT(INDIRECT(ADDRESS(ROW(C905)-1, 'From Order'!$A905)), 1), C904))"),"")</f>
        <v/>
      </c>
      <c r="D905" s="2" t="str">
        <f>IFERROR(__xludf.DUMMYFUNCTION("IF('From Order'!$A905=COLUMNS($A905:D924), LEFT(INDEX(FILTER(D$1:D904, D$1:D904&lt;&gt;""""),COUNTA(FILTER(D$1:D904, D$1:D904&lt;&gt;""""))), LEN(INDEX(FILTER(D$1:D904, D$1:D904&lt;&gt;""""),COUNTA(FILTER(D$1:D904, D$1:D904&lt;&gt;""""))))-1), IF('To Order'!$A905=COLUMNS($A905:D"&amp;"924), D904&amp;RIGHT(INDIRECT(ADDRESS(ROW(D905)-1, 'From Order'!$A905)), 1), D904))"),"BFMHZBSBPPVJCVRCTTJ")</f>
        <v>BFMHZBSBPPVJCVRCTTJ</v>
      </c>
      <c r="E905" s="2" t="str">
        <f>IFERROR(__xludf.DUMMYFUNCTION("IF('From Order'!$A905=COLUMNS($A905:E924), LEFT(INDEX(FILTER(E$1:E904, E$1:E904&lt;&gt;""""),COUNTA(FILTER(E$1:E904, E$1:E904&lt;&gt;""""))), LEN(INDEX(FILTER(E$1:E904, E$1:E904&lt;&gt;""""),COUNTA(FILTER(E$1:E904, E$1:E904&lt;&gt;""""))))-1), IF('To Order'!$A905=COLUMNS($A905:E"&amp;"924), E904&amp;RIGHT(INDIRECT(ADDRESS(ROW(E905)-1, 'From Order'!$A905)), 1), E904))"),"")</f>
        <v/>
      </c>
      <c r="F905" s="2" t="str">
        <f>IFERROR(__xludf.DUMMYFUNCTION("IF('From Order'!$A905=COLUMNS($A905:F924), LEFT(INDEX(FILTER(F$1:F904, F$1:F904&lt;&gt;""""),COUNTA(FILTER(F$1:F904, F$1:F904&lt;&gt;""""))), LEN(INDEX(FILTER(F$1:F904, F$1:F904&lt;&gt;""""),COUNTA(FILTER(F$1:F904, F$1:F904&lt;&gt;""""))))-1), IF('To Order'!$A905=COLUMNS($A905:F"&amp;"924), F904&amp;RIGHT(INDIRECT(ADDRESS(ROW(F905)-1, 'From Order'!$A905)), 1), F904))"),"FSLTTWRDTDBD")</f>
        <v>FSLTTWRDTDBD</v>
      </c>
      <c r="G905" s="2" t="str">
        <f>IFERROR(__xludf.DUMMYFUNCTION("IF('From Order'!$A905=COLUMNS($A905:G924), LEFT(INDEX(FILTER(G$1:G904, G$1:G904&lt;&gt;""""),COUNTA(FILTER(G$1:G904, G$1:G904&lt;&gt;""""))), LEN(INDEX(FILTER(G$1:G904, G$1:G904&lt;&gt;""""),COUNTA(FILTER(G$1:G904, G$1:G904&lt;&gt;""""))))-1), IF('To Order'!$A905=COLUMNS($A905:G"&amp;"924), G904&amp;RIGHT(INDIRECT(ADDRESS(ROW(G905)-1, 'From Order'!$A905)), 1), G904))"),"DTRLR")</f>
        <v>DTRLR</v>
      </c>
      <c r="H905" s="2" t="str">
        <f>IFERROR(__xludf.DUMMYFUNCTION("IF('From Order'!$A905=COLUMNS($A905:H924), LEFT(INDEX(FILTER(H$1:H904, H$1:H904&lt;&gt;""""),COUNTA(FILTER(H$1:H904, H$1:H904&lt;&gt;""""))), LEN(INDEX(FILTER(H$1:H904, H$1:H904&lt;&gt;""""),COUNTA(FILTER(H$1:H904, H$1:H904&lt;&gt;""""))))-1), IF('To Order'!$A905=COLUMNS($A905:H"&amp;"924), H904&amp;RIGHT(INDIRECT(ADDRESS(ROW(H905)-1, 'From Order'!$A905)), 1), H904))"),"PDSSGHWQVQ")</f>
        <v>PDSSGHWQVQ</v>
      </c>
      <c r="I905" s="2" t="str">
        <f>IFERROR(__xludf.DUMMYFUNCTION("IF('From Order'!$A905=COLUMNS($A905:I924), LEFT(INDEX(FILTER(I$1:I904, I$1:I904&lt;&gt;""""),COUNTA(FILTER(I$1:I904, I$1:I904&lt;&gt;""""))), LEN(INDEX(FILTER(I$1:I904, I$1:I904&lt;&gt;""""),COUNTA(FILTER(I$1:I904, I$1:I904&lt;&gt;""""))))-1), IF('To Order'!$A905=COLUMNS($A905:I"&amp;"924), I904&amp;RIGHT(INDIRECT(ADDRESS(ROW(I905)-1, 'From Order'!$A905)), 1), I904))"),"LZM")</f>
        <v>LZM</v>
      </c>
    </row>
    <row r="906">
      <c r="A906" s="2" t="str">
        <f>IFERROR(__xludf.DUMMYFUNCTION("IF('From Order'!$A906=COLUMNS($A906:A925), LEFT(INDEX(FILTER(A$1:A905, A$1:A905&lt;&gt;""""),COUNTA(FILTER(A$1:A905, A$1:A905&lt;&gt;""""))), LEN(INDEX(FILTER(A$1:A905, A$1:A905&lt;&gt;""""),COUNTA(FILTER(A$1:A905, A$1:A905&lt;&gt;""""))))-1), IF('To Order'!$A906=COLUMNS($A906:A"&amp;"925), A905&amp;RIGHT(INDIRECT(ADDRESS(ROW(A906)-1, 'From Order'!$A906)), 1), A905))"),"")</f>
        <v/>
      </c>
      <c r="B906" s="2" t="str">
        <f>IFERROR(__xludf.DUMMYFUNCTION("IF('From Order'!$A906=COLUMNS($A906:B925), LEFT(INDEX(FILTER(B$1:B905, B$1:B905&lt;&gt;""""),COUNTA(FILTER(B$1:B905, B$1:B905&lt;&gt;""""))), LEN(INDEX(FILTER(B$1:B905, B$1:B905&lt;&gt;""""),COUNTA(FILTER(B$1:B905, B$1:B905&lt;&gt;""""))))-1), IF('To Order'!$A906=COLUMNS($A906:B"&amp;"925), B905&amp;RIGHT(INDIRECT(ADDRESS(ROW(B906)-1, 'From Order'!$A906)), 1), B905))"),"JZRDCGM")</f>
        <v>JZRDCGM</v>
      </c>
      <c r="C906" s="2" t="str">
        <f>IFERROR(__xludf.DUMMYFUNCTION("IF('From Order'!$A906=COLUMNS($A906:C925), LEFT(INDEX(FILTER(C$1:C905, C$1:C905&lt;&gt;""""),COUNTA(FILTER(C$1:C905, C$1:C905&lt;&gt;""""))), LEN(INDEX(FILTER(C$1:C905, C$1:C905&lt;&gt;""""),COUNTA(FILTER(C$1:C905, C$1:C905&lt;&gt;""""))))-1), IF('To Order'!$A906=COLUMNS($A906:C"&amp;"925), C905&amp;RIGHT(INDIRECT(ADDRESS(ROW(C906)-1, 'From Order'!$A906)), 1), C905))"),"")</f>
        <v/>
      </c>
      <c r="D906" s="2" t="str">
        <f>IFERROR(__xludf.DUMMYFUNCTION("IF('From Order'!$A906=COLUMNS($A906:D925), LEFT(INDEX(FILTER(D$1:D905, D$1:D905&lt;&gt;""""),COUNTA(FILTER(D$1:D905, D$1:D905&lt;&gt;""""))), LEN(INDEX(FILTER(D$1:D905, D$1:D905&lt;&gt;""""),COUNTA(FILTER(D$1:D905, D$1:D905&lt;&gt;""""))))-1), IF('To Order'!$A906=COLUMNS($A906:D"&amp;"925), D905&amp;RIGHT(INDIRECT(ADDRESS(ROW(D906)-1, 'From Order'!$A906)), 1), D905))"),"BFMHZBSBPPVJCVRCTTJ")</f>
        <v>BFMHZBSBPPVJCVRCTTJ</v>
      </c>
      <c r="E906" s="2" t="str">
        <f>IFERROR(__xludf.DUMMYFUNCTION("IF('From Order'!$A906=COLUMNS($A906:E925), LEFT(INDEX(FILTER(E$1:E905, E$1:E905&lt;&gt;""""),COUNTA(FILTER(E$1:E905, E$1:E905&lt;&gt;""""))), LEN(INDEX(FILTER(E$1:E905, E$1:E905&lt;&gt;""""),COUNTA(FILTER(E$1:E905, E$1:E905&lt;&gt;""""))))-1), IF('To Order'!$A906=COLUMNS($A906:E"&amp;"925), E905&amp;RIGHT(INDIRECT(ADDRESS(ROW(E906)-1, 'From Order'!$A906)), 1), E905))"),"")</f>
        <v/>
      </c>
      <c r="F906" s="2" t="str">
        <f>IFERROR(__xludf.DUMMYFUNCTION("IF('From Order'!$A906=COLUMNS($A906:F925), LEFT(INDEX(FILTER(F$1:F905, F$1:F905&lt;&gt;""""),COUNTA(FILTER(F$1:F905, F$1:F905&lt;&gt;""""))), LEN(INDEX(FILTER(F$1:F905, F$1:F905&lt;&gt;""""),COUNTA(FILTER(F$1:F905, F$1:F905&lt;&gt;""""))))-1), IF('To Order'!$A906=COLUMNS($A906:F"&amp;"925), F905&amp;RIGHT(INDIRECT(ADDRESS(ROW(F906)-1, 'From Order'!$A906)), 1), F905))"),"FSLTTWRDTDBD")</f>
        <v>FSLTTWRDTDBD</v>
      </c>
      <c r="G906" s="2" t="str">
        <f>IFERROR(__xludf.DUMMYFUNCTION("IF('From Order'!$A906=COLUMNS($A906:G925), LEFT(INDEX(FILTER(G$1:G905, G$1:G905&lt;&gt;""""),COUNTA(FILTER(G$1:G905, G$1:G905&lt;&gt;""""))), LEN(INDEX(FILTER(G$1:G905, G$1:G905&lt;&gt;""""),COUNTA(FILTER(G$1:G905, G$1:G905&lt;&gt;""""))))-1), IF('To Order'!$A906=COLUMNS($A906:G"&amp;"925), G905&amp;RIGHT(INDIRECT(ADDRESS(ROW(G906)-1, 'From Order'!$A906)), 1), G905))"),"DTRL")</f>
        <v>DTRL</v>
      </c>
      <c r="H906" s="2" t="str">
        <f>IFERROR(__xludf.DUMMYFUNCTION("IF('From Order'!$A906=COLUMNS($A906:H925), LEFT(INDEX(FILTER(H$1:H905, H$1:H905&lt;&gt;""""),COUNTA(FILTER(H$1:H905, H$1:H905&lt;&gt;""""))), LEN(INDEX(FILTER(H$1:H905, H$1:H905&lt;&gt;""""),COUNTA(FILTER(H$1:H905, H$1:H905&lt;&gt;""""))))-1), IF('To Order'!$A906=COLUMNS($A906:H"&amp;"925), H905&amp;RIGHT(INDIRECT(ADDRESS(ROW(H906)-1, 'From Order'!$A906)), 1), H905))"),"PDSSGHWQVQR")</f>
        <v>PDSSGHWQVQR</v>
      </c>
      <c r="I906" s="2" t="str">
        <f>IFERROR(__xludf.DUMMYFUNCTION("IF('From Order'!$A906=COLUMNS($A906:I925), LEFT(INDEX(FILTER(I$1:I905, I$1:I905&lt;&gt;""""),COUNTA(FILTER(I$1:I905, I$1:I905&lt;&gt;""""))), LEN(INDEX(FILTER(I$1:I905, I$1:I905&lt;&gt;""""),COUNTA(FILTER(I$1:I905, I$1:I905&lt;&gt;""""))))-1), IF('To Order'!$A906=COLUMNS($A906:I"&amp;"925), I905&amp;RIGHT(INDIRECT(ADDRESS(ROW(I906)-1, 'From Order'!$A906)), 1), I905))"),"LZM")</f>
        <v>LZM</v>
      </c>
    </row>
    <row r="907">
      <c r="A907" s="2" t="str">
        <f>IFERROR(__xludf.DUMMYFUNCTION("IF('From Order'!$A907=COLUMNS($A907:A926), LEFT(INDEX(FILTER(A$1:A906, A$1:A906&lt;&gt;""""),COUNTA(FILTER(A$1:A906, A$1:A906&lt;&gt;""""))), LEN(INDEX(FILTER(A$1:A906, A$1:A906&lt;&gt;""""),COUNTA(FILTER(A$1:A906, A$1:A906&lt;&gt;""""))))-1), IF('To Order'!$A907=COLUMNS($A907:A"&amp;"926), A906&amp;RIGHT(INDIRECT(ADDRESS(ROW(A907)-1, 'From Order'!$A907)), 1), A906))"),"")</f>
        <v/>
      </c>
      <c r="B907" s="2" t="str">
        <f>IFERROR(__xludf.DUMMYFUNCTION("IF('From Order'!$A907=COLUMNS($A907:B926), LEFT(INDEX(FILTER(B$1:B906, B$1:B906&lt;&gt;""""),COUNTA(FILTER(B$1:B906, B$1:B906&lt;&gt;""""))), LEN(INDEX(FILTER(B$1:B906, B$1:B906&lt;&gt;""""),COUNTA(FILTER(B$1:B906, B$1:B906&lt;&gt;""""))))-1), IF('To Order'!$A907=COLUMNS($A907:B"&amp;"926), B906&amp;RIGHT(INDIRECT(ADDRESS(ROW(B907)-1, 'From Order'!$A907)), 1), B906))"),"JZRDCGM")</f>
        <v>JZRDCGM</v>
      </c>
      <c r="C907" s="2" t="str">
        <f>IFERROR(__xludf.DUMMYFUNCTION("IF('From Order'!$A907=COLUMNS($A907:C926), LEFT(INDEX(FILTER(C$1:C906, C$1:C906&lt;&gt;""""),COUNTA(FILTER(C$1:C906, C$1:C906&lt;&gt;""""))), LEN(INDEX(FILTER(C$1:C906, C$1:C906&lt;&gt;""""),COUNTA(FILTER(C$1:C906, C$1:C906&lt;&gt;""""))))-1), IF('To Order'!$A907=COLUMNS($A907:C"&amp;"926), C906&amp;RIGHT(INDIRECT(ADDRESS(ROW(C907)-1, 'From Order'!$A907)), 1), C906))"),"")</f>
        <v/>
      </c>
      <c r="D907" s="2" t="str">
        <f>IFERROR(__xludf.DUMMYFUNCTION("IF('From Order'!$A907=COLUMNS($A907:D926), LEFT(INDEX(FILTER(D$1:D906, D$1:D906&lt;&gt;""""),COUNTA(FILTER(D$1:D906, D$1:D906&lt;&gt;""""))), LEN(INDEX(FILTER(D$1:D906, D$1:D906&lt;&gt;""""),COUNTA(FILTER(D$1:D906, D$1:D906&lt;&gt;""""))))-1), IF('To Order'!$A907=COLUMNS($A907:D"&amp;"926), D906&amp;RIGHT(INDIRECT(ADDRESS(ROW(D907)-1, 'From Order'!$A907)), 1), D906))"),"BFMHZBSBPPVJCVRCTTJ")</f>
        <v>BFMHZBSBPPVJCVRCTTJ</v>
      </c>
      <c r="E907" s="2" t="str">
        <f>IFERROR(__xludf.DUMMYFUNCTION("IF('From Order'!$A907=COLUMNS($A907:E926), LEFT(INDEX(FILTER(E$1:E906, E$1:E906&lt;&gt;""""),COUNTA(FILTER(E$1:E906, E$1:E906&lt;&gt;""""))), LEN(INDEX(FILTER(E$1:E906, E$1:E906&lt;&gt;""""),COUNTA(FILTER(E$1:E906, E$1:E906&lt;&gt;""""))))-1), IF('To Order'!$A907=COLUMNS($A907:E"&amp;"926), E906&amp;RIGHT(INDIRECT(ADDRESS(ROW(E907)-1, 'From Order'!$A907)), 1), E906))"),"")</f>
        <v/>
      </c>
      <c r="F907" s="2" t="str">
        <f>IFERROR(__xludf.DUMMYFUNCTION("IF('From Order'!$A907=COLUMNS($A907:F926), LEFT(INDEX(FILTER(F$1:F906, F$1:F906&lt;&gt;""""),COUNTA(FILTER(F$1:F906, F$1:F906&lt;&gt;""""))), LEN(INDEX(FILTER(F$1:F906, F$1:F906&lt;&gt;""""),COUNTA(FILTER(F$1:F906, F$1:F906&lt;&gt;""""))))-1), IF('To Order'!$A907=COLUMNS($A907:F"&amp;"926), F906&amp;RIGHT(INDIRECT(ADDRESS(ROW(F907)-1, 'From Order'!$A907)), 1), F906))"),"FSLTTWRDTDBD")</f>
        <v>FSLTTWRDTDBD</v>
      </c>
      <c r="G907" s="2" t="str">
        <f>IFERROR(__xludf.DUMMYFUNCTION("IF('From Order'!$A907=COLUMNS($A907:G926), LEFT(INDEX(FILTER(G$1:G906, G$1:G906&lt;&gt;""""),COUNTA(FILTER(G$1:G906, G$1:G906&lt;&gt;""""))), LEN(INDEX(FILTER(G$1:G906, G$1:G906&lt;&gt;""""),COUNTA(FILTER(G$1:G906, G$1:G906&lt;&gt;""""))))-1), IF('To Order'!$A907=COLUMNS($A907:G"&amp;"926), G906&amp;RIGHT(INDIRECT(ADDRESS(ROW(G907)-1, 'From Order'!$A907)), 1), G906))"),"DTR")</f>
        <v>DTR</v>
      </c>
      <c r="H907" s="2" t="str">
        <f>IFERROR(__xludf.DUMMYFUNCTION("IF('From Order'!$A907=COLUMNS($A907:H926), LEFT(INDEX(FILTER(H$1:H906, H$1:H906&lt;&gt;""""),COUNTA(FILTER(H$1:H906, H$1:H906&lt;&gt;""""))), LEN(INDEX(FILTER(H$1:H906, H$1:H906&lt;&gt;""""),COUNTA(FILTER(H$1:H906, H$1:H906&lt;&gt;""""))))-1), IF('To Order'!$A907=COLUMNS($A907:H"&amp;"926), H906&amp;RIGHT(INDIRECT(ADDRESS(ROW(H907)-1, 'From Order'!$A907)), 1), H906))"),"PDSSGHWQVQRL")</f>
        <v>PDSSGHWQVQRL</v>
      </c>
      <c r="I907" s="2" t="str">
        <f>IFERROR(__xludf.DUMMYFUNCTION("IF('From Order'!$A907=COLUMNS($A907:I926), LEFT(INDEX(FILTER(I$1:I906, I$1:I906&lt;&gt;""""),COUNTA(FILTER(I$1:I906, I$1:I906&lt;&gt;""""))), LEN(INDEX(FILTER(I$1:I906, I$1:I906&lt;&gt;""""),COUNTA(FILTER(I$1:I906, I$1:I906&lt;&gt;""""))))-1), IF('To Order'!$A907=COLUMNS($A907:I"&amp;"926), I906&amp;RIGHT(INDIRECT(ADDRESS(ROW(I907)-1, 'From Order'!$A907)), 1), I906))"),"LZM")</f>
        <v>LZM</v>
      </c>
    </row>
    <row r="908">
      <c r="A908" s="2" t="str">
        <f>IFERROR(__xludf.DUMMYFUNCTION("IF('From Order'!$A908=COLUMNS($A908:A927), LEFT(INDEX(FILTER(A$1:A907, A$1:A907&lt;&gt;""""),COUNTA(FILTER(A$1:A907, A$1:A907&lt;&gt;""""))), LEN(INDEX(FILTER(A$1:A907, A$1:A907&lt;&gt;""""),COUNTA(FILTER(A$1:A907, A$1:A907&lt;&gt;""""))))-1), IF('To Order'!$A908=COLUMNS($A908:A"&amp;"927), A907&amp;RIGHT(INDIRECT(ADDRESS(ROW(A908)-1, 'From Order'!$A908)), 1), A907))"),"")</f>
        <v/>
      </c>
      <c r="B908" s="2" t="str">
        <f>IFERROR(__xludf.DUMMYFUNCTION("IF('From Order'!$A908=COLUMNS($A908:B927), LEFT(INDEX(FILTER(B$1:B907, B$1:B907&lt;&gt;""""),COUNTA(FILTER(B$1:B907, B$1:B907&lt;&gt;""""))), LEN(INDEX(FILTER(B$1:B907, B$1:B907&lt;&gt;""""),COUNTA(FILTER(B$1:B907, B$1:B907&lt;&gt;""""))))-1), IF('To Order'!$A908=COLUMNS($A908:B"&amp;"927), B907&amp;RIGHT(INDIRECT(ADDRESS(ROW(B908)-1, 'From Order'!$A908)), 1), B907))"),"JZRDCGM")</f>
        <v>JZRDCGM</v>
      </c>
      <c r="C908" s="2" t="str">
        <f>IFERROR(__xludf.DUMMYFUNCTION("IF('From Order'!$A908=COLUMNS($A908:C927), LEFT(INDEX(FILTER(C$1:C907, C$1:C907&lt;&gt;""""),COUNTA(FILTER(C$1:C907, C$1:C907&lt;&gt;""""))), LEN(INDEX(FILTER(C$1:C907, C$1:C907&lt;&gt;""""),COUNTA(FILTER(C$1:C907, C$1:C907&lt;&gt;""""))))-1), IF('To Order'!$A908=COLUMNS($A908:C"&amp;"927), C907&amp;RIGHT(INDIRECT(ADDRESS(ROW(C908)-1, 'From Order'!$A908)), 1), C907))"),"")</f>
        <v/>
      </c>
      <c r="D908" s="2" t="str">
        <f>IFERROR(__xludf.DUMMYFUNCTION("IF('From Order'!$A908=COLUMNS($A908:D927), LEFT(INDEX(FILTER(D$1:D907, D$1:D907&lt;&gt;""""),COUNTA(FILTER(D$1:D907, D$1:D907&lt;&gt;""""))), LEN(INDEX(FILTER(D$1:D907, D$1:D907&lt;&gt;""""),COUNTA(FILTER(D$1:D907, D$1:D907&lt;&gt;""""))))-1), IF('To Order'!$A908=COLUMNS($A908:D"&amp;"927), D907&amp;RIGHT(INDIRECT(ADDRESS(ROW(D908)-1, 'From Order'!$A908)), 1), D907))"),"BFMHZBSBPPVJCVRCTTJ")</f>
        <v>BFMHZBSBPPVJCVRCTTJ</v>
      </c>
      <c r="E908" s="2" t="str">
        <f>IFERROR(__xludf.DUMMYFUNCTION("IF('From Order'!$A908=COLUMNS($A908:E927), LEFT(INDEX(FILTER(E$1:E907, E$1:E907&lt;&gt;""""),COUNTA(FILTER(E$1:E907, E$1:E907&lt;&gt;""""))), LEN(INDEX(FILTER(E$1:E907, E$1:E907&lt;&gt;""""),COUNTA(FILTER(E$1:E907, E$1:E907&lt;&gt;""""))))-1), IF('To Order'!$A908=COLUMNS($A908:E"&amp;"927), E907&amp;RIGHT(INDIRECT(ADDRESS(ROW(E908)-1, 'From Order'!$A908)), 1), E907))"),"")</f>
        <v/>
      </c>
      <c r="F908" s="2" t="str">
        <f>IFERROR(__xludf.DUMMYFUNCTION("IF('From Order'!$A908=COLUMNS($A908:F927), LEFT(INDEX(FILTER(F$1:F907, F$1:F907&lt;&gt;""""),COUNTA(FILTER(F$1:F907, F$1:F907&lt;&gt;""""))), LEN(INDEX(FILTER(F$1:F907, F$1:F907&lt;&gt;""""),COUNTA(FILTER(F$1:F907, F$1:F907&lt;&gt;""""))))-1), IF('To Order'!$A908=COLUMNS($A908:F"&amp;"927), F907&amp;RIGHT(INDIRECT(ADDRESS(ROW(F908)-1, 'From Order'!$A908)), 1), F907))"),"FSLTTWRDTDBD")</f>
        <v>FSLTTWRDTDBD</v>
      </c>
      <c r="G908" s="2" t="str">
        <f>IFERROR(__xludf.DUMMYFUNCTION("IF('From Order'!$A908=COLUMNS($A908:G927), LEFT(INDEX(FILTER(G$1:G907, G$1:G907&lt;&gt;""""),COUNTA(FILTER(G$1:G907, G$1:G907&lt;&gt;""""))), LEN(INDEX(FILTER(G$1:G907, G$1:G907&lt;&gt;""""),COUNTA(FILTER(G$1:G907, G$1:G907&lt;&gt;""""))))-1), IF('To Order'!$A908=COLUMNS($A908:G"&amp;"927), G907&amp;RIGHT(INDIRECT(ADDRESS(ROW(G908)-1, 'From Order'!$A908)), 1), G907))"),"DT")</f>
        <v>DT</v>
      </c>
      <c r="H908" s="2" t="str">
        <f>IFERROR(__xludf.DUMMYFUNCTION("IF('From Order'!$A908=COLUMNS($A908:H927), LEFT(INDEX(FILTER(H$1:H907, H$1:H907&lt;&gt;""""),COUNTA(FILTER(H$1:H907, H$1:H907&lt;&gt;""""))), LEN(INDEX(FILTER(H$1:H907, H$1:H907&lt;&gt;""""),COUNTA(FILTER(H$1:H907, H$1:H907&lt;&gt;""""))))-1), IF('To Order'!$A908=COLUMNS($A908:H"&amp;"927), H907&amp;RIGHT(INDIRECT(ADDRESS(ROW(H908)-1, 'From Order'!$A908)), 1), H907))"),"PDSSGHWQVQRLR")</f>
        <v>PDSSGHWQVQRLR</v>
      </c>
      <c r="I908" s="2" t="str">
        <f>IFERROR(__xludf.DUMMYFUNCTION("IF('From Order'!$A908=COLUMNS($A908:I927), LEFT(INDEX(FILTER(I$1:I907, I$1:I907&lt;&gt;""""),COUNTA(FILTER(I$1:I907, I$1:I907&lt;&gt;""""))), LEN(INDEX(FILTER(I$1:I907, I$1:I907&lt;&gt;""""),COUNTA(FILTER(I$1:I907, I$1:I907&lt;&gt;""""))))-1), IF('To Order'!$A908=COLUMNS($A908:I"&amp;"927), I907&amp;RIGHT(INDIRECT(ADDRESS(ROW(I908)-1, 'From Order'!$A908)), 1), I907))"),"LZM")</f>
        <v>LZM</v>
      </c>
    </row>
    <row r="909">
      <c r="A909" s="2" t="str">
        <f>IFERROR(__xludf.DUMMYFUNCTION("IF('From Order'!$A909=COLUMNS($A909:A928), LEFT(INDEX(FILTER(A$1:A908, A$1:A908&lt;&gt;""""),COUNTA(FILTER(A$1:A908, A$1:A908&lt;&gt;""""))), LEN(INDEX(FILTER(A$1:A908, A$1:A908&lt;&gt;""""),COUNTA(FILTER(A$1:A908, A$1:A908&lt;&gt;""""))))-1), IF('To Order'!$A909=COLUMNS($A909:A"&amp;"928), A908&amp;RIGHT(INDIRECT(ADDRESS(ROW(A909)-1, 'From Order'!$A909)), 1), A908))"),"")</f>
        <v/>
      </c>
      <c r="B909" s="2" t="str">
        <f>IFERROR(__xludf.DUMMYFUNCTION("IF('From Order'!$A909=COLUMNS($A909:B928), LEFT(INDEX(FILTER(B$1:B908, B$1:B908&lt;&gt;""""),COUNTA(FILTER(B$1:B908, B$1:B908&lt;&gt;""""))), LEN(INDEX(FILTER(B$1:B908, B$1:B908&lt;&gt;""""),COUNTA(FILTER(B$1:B908, B$1:B908&lt;&gt;""""))))-1), IF('To Order'!$A909=COLUMNS($A909:B"&amp;"928), B908&amp;RIGHT(INDIRECT(ADDRESS(ROW(B909)-1, 'From Order'!$A909)), 1), B908))"),"JZRDCGM")</f>
        <v>JZRDCGM</v>
      </c>
      <c r="C909" s="2" t="str">
        <f>IFERROR(__xludf.DUMMYFUNCTION("IF('From Order'!$A909=COLUMNS($A909:C928), LEFT(INDEX(FILTER(C$1:C908, C$1:C908&lt;&gt;""""),COUNTA(FILTER(C$1:C908, C$1:C908&lt;&gt;""""))), LEN(INDEX(FILTER(C$1:C908, C$1:C908&lt;&gt;""""),COUNTA(FILTER(C$1:C908, C$1:C908&lt;&gt;""""))))-1), IF('To Order'!$A909=COLUMNS($A909:C"&amp;"928), C908&amp;RIGHT(INDIRECT(ADDRESS(ROW(C909)-1, 'From Order'!$A909)), 1), C908))"),"")</f>
        <v/>
      </c>
      <c r="D909" s="2" t="str">
        <f>IFERROR(__xludf.DUMMYFUNCTION("IF('From Order'!$A909=COLUMNS($A909:D928), LEFT(INDEX(FILTER(D$1:D908, D$1:D908&lt;&gt;""""),COUNTA(FILTER(D$1:D908, D$1:D908&lt;&gt;""""))), LEN(INDEX(FILTER(D$1:D908, D$1:D908&lt;&gt;""""),COUNTA(FILTER(D$1:D908, D$1:D908&lt;&gt;""""))))-1), IF('To Order'!$A909=COLUMNS($A909:D"&amp;"928), D908&amp;RIGHT(INDIRECT(ADDRESS(ROW(D909)-1, 'From Order'!$A909)), 1), D908))"),"BFMHZBSBPPVJCVRCTTJ")</f>
        <v>BFMHZBSBPPVJCVRCTTJ</v>
      </c>
      <c r="E909" s="2" t="str">
        <f>IFERROR(__xludf.DUMMYFUNCTION("IF('From Order'!$A909=COLUMNS($A909:E928), LEFT(INDEX(FILTER(E$1:E908, E$1:E908&lt;&gt;""""),COUNTA(FILTER(E$1:E908, E$1:E908&lt;&gt;""""))), LEN(INDEX(FILTER(E$1:E908, E$1:E908&lt;&gt;""""),COUNTA(FILTER(E$1:E908, E$1:E908&lt;&gt;""""))))-1), IF('To Order'!$A909=COLUMNS($A909:E"&amp;"928), E908&amp;RIGHT(INDIRECT(ADDRESS(ROW(E909)-1, 'From Order'!$A909)), 1), E908))"),"")</f>
        <v/>
      </c>
      <c r="F909" s="2" t="str">
        <f>IFERROR(__xludf.DUMMYFUNCTION("IF('From Order'!$A909=COLUMNS($A909:F928), LEFT(INDEX(FILTER(F$1:F908, F$1:F908&lt;&gt;""""),COUNTA(FILTER(F$1:F908, F$1:F908&lt;&gt;""""))), LEN(INDEX(FILTER(F$1:F908, F$1:F908&lt;&gt;""""),COUNTA(FILTER(F$1:F908, F$1:F908&lt;&gt;""""))))-1), IF('To Order'!$A909=COLUMNS($A909:F"&amp;"928), F908&amp;RIGHT(INDIRECT(ADDRESS(ROW(F909)-1, 'From Order'!$A909)), 1), F908))"),"FSLTTWRDTDBD")</f>
        <v>FSLTTWRDTDBD</v>
      </c>
      <c r="G909" s="2" t="str">
        <f>IFERROR(__xludf.DUMMYFUNCTION("IF('From Order'!$A909=COLUMNS($A909:G928), LEFT(INDEX(FILTER(G$1:G908, G$1:G908&lt;&gt;""""),COUNTA(FILTER(G$1:G908, G$1:G908&lt;&gt;""""))), LEN(INDEX(FILTER(G$1:G908, G$1:G908&lt;&gt;""""),COUNTA(FILTER(G$1:G908, G$1:G908&lt;&gt;""""))))-1), IF('To Order'!$A909=COLUMNS($A909:G"&amp;"928), G908&amp;RIGHT(INDIRECT(ADDRESS(ROW(G909)-1, 'From Order'!$A909)), 1), G908))"),"D")</f>
        <v>D</v>
      </c>
      <c r="H909" s="2" t="str">
        <f>IFERROR(__xludf.DUMMYFUNCTION("IF('From Order'!$A909=COLUMNS($A909:H928), LEFT(INDEX(FILTER(H$1:H908, H$1:H908&lt;&gt;""""),COUNTA(FILTER(H$1:H908, H$1:H908&lt;&gt;""""))), LEN(INDEX(FILTER(H$1:H908, H$1:H908&lt;&gt;""""),COUNTA(FILTER(H$1:H908, H$1:H908&lt;&gt;""""))))-1), IF('To Order'!$A909=COLUMNS($A909:H"&amp;"928), H908&amp;RIGHT(INDIRECT(ADDRESS(ROW(H909)-1, 'From Order'!$A909)), 1), H908))"),"PDSSGHWQVQRLRT")</f>
        <v>PDSSGHWQVQRLRT</v>
      </c>
      <c r="I909" s="2" t="str">
        <f>IFERROR(__xludf.DUMMYFUNCTION("IF('From Order'!$A909=COLUMNS($A909:I928), LEFT(INDEX(FILTER(I$1:I908, I$1:I908&lt;&gt;""""),COUNTA(FILTER(I$1:I908, I$1:I908&lt;&gt;""""))), LEN(INDEX(FILTER(I$1:I908, I$1:I908&lt;&gt;""""),COUNTA(FILTER(I$1:I908, I$1:I908&lt;&gt;""""))))-1), IF('To Order'!$A909=COLUMNS($A909:I"&amp;"928), I908&amp;RIGHT(INDIRECT(ADDRESS(ROW(I909)-1, 'From Order'!$A909)), 1), I908))"),"LZM")</f>
        <v>LZM</v>
      </c>
    </row>
    <row r="910">
      <c r="A910" s="2" t="str">
        <f>IFERROR(__xludf.DUMMYFUNCTION("IF('From Order'!$A910=COLUMNS($A910:A929), LEFT(INDEX(FILTER(A$1:A909, A$1:A909&lt;&gt;""""),COUNTA(FILTER(A$1:A909, A$1:A909&lt;&gt;""""))), LEN(INDEX(FILTER(A$1:A909, A$1:A909&lt;&gt;""""),COUNTA(FILTER(A$1:A909, A$1:A909&lt;&gt;""""))))-1), IF('To Order'!$A910=COLUMNS($A910:A"&amp;"929), A909&amp;RIGHT(INDIRECT(ADDRESS(ROW(A910)-1, 'From Order'!$A910)), 1), A909))"),"")</f>
        <v/>
      </c>
      <c r="B910" s="2" t="str">
        <f>IFERROR(__xludf.DUMMYFUNCTION("IF('From Order'!$A910=COLUMNS($A910:B929), LEFT(INDEX(FILTER(B$1:B909, B$1:B909&lt;&gt;""""),COUNTA(FILTER(B$1:B909, B$1:B909&lt;&gt;""""))), LEN(INDEX(FILTER(B$1:B909, B$1:B909&lt;&gt;""""),COUNTA(FILTER(B$1:B909, B$1:B909&lt;&gt;""""))))-1), IF('To Order'!$A910=COLUMNS($A910:B"&amp;"929), B909&amp;RIGHT(INDIRECT(ADDRESS(ROW(B910)-1, 'From Order'!$A910)), 1), B909))"),"JZRDCGM")</f>
        <v>JZRDCGM</v>
      </c>
      <c r="C910" s="2" t="str">
        <f>IFERROR(__xludf.DUMMYFUNCTION("IF('From Order'!$A910=COLUMNS($A910:C929), LEFT(INDEX(FILTER(C$1:C909, C$1:C909&lt;&gt;""""),COUNTA(FILTER(C$1:C909, C$1:C909&lt;&gt;""""))), LEN(INDEX(FILTER(C$1:C909, C$1:C909&lt;&gt;""""),COUNTA(FILTER(C$1:C909, C$1:C909&lt;&gt;""""))))-1), IF('To Order'!$A910=COLUMNS($A910:C"&amp;"929), C909&amp;RIGHT(INDIRECT(ADDRESS(ROW(C910)-1, 'From Order'!$A910)), 1), C909))"),"")</f>
        <v/>
      </c>
      <c r="D910" s="2" t="str">
        <f>IFERROR(__xludf.DUMMYFUNCTION("IF('From Order'!$A910=COLUMNS($A910:D929), LEFT(INDEX(FILTER(D$1:D909, D$1:D909&lt;&gt;""""),COUNTA(FILTER(D$1:D909, D$1:D909&lt;&gt;""""))), LEN(INDEX(FILTER(D$1:D909, D$1:D909&lt;&gt;""""),COUNTA(FILTER(D$1:D909, D$1:D909&lt;&gt;""""))))-1), IF('To Order'!$A910=COLUMNS($A910:D"&amp;"929), D909&amp;RIGHT(INDIRECT(ADDRESS(ROW(D910)-1, 'From Order'!$A910)), 1), D909))"),"BFMHZBSBPPVJCVRCTTJ")</f>
        <v>BFMHZBSBPPVJCVRCTTJ</v>
      </c>
      <c r="E910" s="2" t="str">
        <f>IFERROR(__xludf.DUMMYFUNCTION("IF('From Order'!$A910=COLUMNS($A910:E929), LEFT(INDEX(FILTER(E$1:E909, E$1:E909&lt;&gt;""""),COUNTA(FILTER(E$1:E909, E$1:E909&lt;&gt;""""))), LEN(INDEX(FILTER(E$1:E909, E$1:E909&lt;&gt;""""),COUNTA(FILTER(E$1:E909, E$1:E909&lt;&gt;""""))))-1), IF('To Order'!$A910=COLUMNS($A910:E"&amp;"929), E909&amp;RIGHT(INDIRECT(ADDRESS(ROW(E910)-1, 'From Order'!$A910)), 1), E909))"),"")</f>
        <v/>
      </c>
      <c r="F910" s="2" t="str">
        <f>IFERROR(__xludf.DUMMYFUNCTION("IF('From Order'!$A910=COLUMNS($A910:F929), LEFT(INDEX(FILTER(F$1:F909, F$1:F909&lt;&gt;""""),COUNTA(FILTER(F$1:F909, F$1:F909&lt;&gt;""""))), LEN(INDEX(FILTER(F$1:F909, F$1:F909&lt;&gt;""""),COUNTA(FILTER(F$1:F909, F$1:F909&lt;&gt;""""))))-1), IF('To Order'!$A910=COLUMNS($A910:F"&amp;"929), F909&amp;RIGHT(INDIRECT(ADDRESS(ROW(F910)-1, 'From Order'!$A910)), 1), F909))"),"FSLTTWRDTDBD")</f>
        <v>FSLTTWRDTDBD</v>
      </c>
      <c r="G910" s="2" t="str">
        <f>IFERROR(__xludf.DUMMYFUNCTION("IF('From Order'!$A910=COLUMNS($A910:G929), LEFT(INDEX(FILTER(G$1:G909, G$1:G909&lt;&gt;""""),COUNTA(FILTER(G$1:G909, G$1:G909&lt;&gt;""""))), LEN(INDEX(FILTER(G$1:G909, G$1:G909&lt;&gt;""""),COUNTA(FILTER(G$1:G909, G$1:G909&lt;&gt;""""))))-1), IF('To Order'!$A910=COLUMNS($A910:G"&amp;"929), G909&amp;RIGHT(INDIRECT(ADDRESS(ROW(G910)-1, 'From Order'!$A910)), 1), G909))"),"")</f>
        <v/>
      </c>
      <c r="H910" s="2" t="str">
        <f>IFERROR(__xludf.DUMMYFUNCTION("IF('From Order'!$A910=COLUMNS($A910:H929), LEFT(INDEX(FILTER(H$1:H909, H$1:H909&lt;&gt;""""),COUNTA(FILTER(H$1:H909, H$1:H909&lt;&gt;""""))), LEN(INDEX(FILTER(H$1:H909, H$1:H909&lt;&gt;""""),COUNTA(FILTER(H$1:H909, H$1:H909&lt;&gt;""""))))-1), IF('To Order'!$A910=COLUMNS($A910:H"&amp;"929), H909&amp;RIGHT(INDIRECT(ADDRESS(ROW(H910)-1, 'From Order'!$A910)), 1), H909))"),"PDSSGHWQVQRLRTD")</f>
        <v>PDSSGHWQVQRLRTD</v>
      </c>
      <c r="I910" s="2" t="str">
        <f>IFERROR(__xludf.DUMMYFUNCTION("IF('From Order'!$A910=COLUMNS($A910:I929), LEFT(INDEX(FILTER(I$1:I909, I$1:I909&lt;&gt;""""),COUNTA(FILTER(I$1:I909, I$1:I909&lt;&gt;""""))), LEN(INDEX(FILTER(I$1:I909, I$1:I909&lt;&gt;""""),COUNTA(FILTER(I$1:I909, I$1:I909&lt;&gt;""""))))-1), IF('To Order'!$A910=COLUMNS($A910:I"&amp;"929), I909&amp;RIGHT(INDIRECT(ADDRESS(ROW(I910)-1, 'From Order'!$A910)), 1), I909))"),"LZM")</f>
        <v>LZM</v>
      </c>
    </row>
    <row r="911">
      <c r="A911" s="2" t="str">
        <f>IFERROR(__xludf.DUMMYFUNCTION("IF('From Order'!$A911=COLUMNS($A911:A930), LEFT(INDEX(FILTER(A$1:A910, A$1:A910&lt;&gt;""""),COUNTA(FILTER(A$1:A910, A$1:A910&lt;&gt;""""))), LEN(INDEX(FILTER(A$1:A910, A$1:A910&lt;&gt;""""),COUNTA(FILTER(A$1:A910, A$1:A910&lt;&gt;""""))))-1), IF('To Order'!$A911=COLUMNS($A911:A"&amp;"930), A910&amp;RIGHT(INDIRECT(ADDRESS(ROW(A911)-1, 'From Order'!$A911)), 1), A910))"),"J")</f>
        <v>J</v>
      </c>
      <c r="B911" s="2" t="str">
        <f>IFERROR(__xludf.DUMMYFUNCTION("IF('From Order'!$A911=COLUMNS($A911:B930), LEFT(INDEX(FILTER(B$1:B910, B$1:B910&lt;&gt;""""),COUNTA(FILTER(B$1:B910, B$1:B910&lt;&gt;""""))), LEN(INDEX(FILTER(B$1:B910, B$1:B910&lt;&gt;""""),COUNTA(FILTER(B$1:B910, B$1:B910&lt;&gt;""""))))-1), IF('To Order'!$A911=COLUMNS($A911:B"&amp;"930), B910&amp;RIGHT(INDIRECT(ADDRESS(ROW(B911)-1, 'From Order'!$A911)), 1), B910))"),"JZRDCGM")</f>
        <v>JZRDCGM</v>
      </c>
      <c r="C911" s="2" t="str">
        <f>IFERROR(__xludf.DUMMYFUNCTION("IF('From Order'!$A911=COLUMNS($A911:C930), LEFT(INDEX(FILTER(C$1:C910, C$1:C910&lt;&gt;""""),COUNTA(FILTER(C$1:C910, C$1:C910&lt;&gt;""""))), LEN(INDEX(FILTER(C$1:C910, C$1:C910&lt;&gt;""""),COUNTA(FILTER(C$1:C910, C$1:C910&lt;&gt;""""))))-1), IF('To Order'!$A911=COLUMNS($A911:C"&amp;"930), C910&amp;RIGHT(INDIRECT(ADDRESS(ROW(C911)-1, 'From Order'!$A911)), 1), C910))"),"")</f>
        <v/>
      </c>
      <c r="D911" s="2" t="str">
        <f>IFERROR(__xludf.DUMMYFUNCTION("IF('From Order'!$A911=COLUMNS($A911:D930), LEFT(INDEX(FILTER(D$1:D910, D$1:D910&lt;&gt;""""),COUNTA(FILTER(D$1:D910, D$1:D910&lt;&gt;""""))), LEN(INDEX(FILTER(D$1:D910, D$1:D910&lt;&gt;""""),COUNTA(FILTER(D$1:D910, D$1:D910&lt;&gt;""""))))-1), IF('To Order'!$A911=COLUMNS($A911:D"&amp;"930), D910&amp;RIGHT(INDIRECT(ADDRESS(ROW(D911)-1, 'From Order'!$A911)), 1), D910))"),"BFMHZBSBPPVJCVRCTT")</f>
        <v>BFMHZBSBPPVJCVRCTT</v>
      </c>
      <c r="E911" s="2" t="str">
        <f>IFERROR(__xludf.DUMMYFUNCTION("IF('From Order'!$A911=COLUMNS($A911:E930), LEFT(INDEX(FILTER(E$1:E910, E$1:E910&lt;&gt;""""),COUNTA(FILTER(E$1:E910, E$1:E910&lt;&gt;""""))), LEN(INDEX(FILTER(E$1:E910, E$1:E910&lt;&gt;""""),COUNTA(FILTER(E$1:E910, E$1:E910&lt;&gt;""""))))-1), IF('To Order'!$A911=COLUMNS($A911:E"&amp;"930), E910&amp;RIGHT(INDIRECT(ADDRESS(ROW(E911)-1, 'From Order'!$A911)), 1), E910))"),"")</f>
        <v/>
      </c>
      <c r="F911" s="2" t="str">
        <f>IFERROR(__xludf.DUMMYFUNCTION("IF('From Order'!$A911=COLUMNS($A911:F930), LEFT(INDEX(FILTER(F$1:F910, F$1:F910&lt;&gt;""""),COUNTA(FILTER(F$1:F910, F$1:F910&lt;&gt;""""))), LEN(INDEX(FILTER(F$1:F910, F$1:F910&lt;&gt;""""),COUNTA(FILTER(F$1:F910, F$1:F910&lt;&gt;""""))))-1), IF('To Order'!$A911=COLUMNS($A911:F"&amp;"930), F910&amp;RIGHT(INDIRECT(ADDRESS(ROW(F911)-1, 'From Order'!$A911)), 1), F910))"),"FSLTTWRDTDBD")</f>
        <v>FSLTTWRDTDBD</v>
      </c>
      <c r="G911" s="2" t="str">
        <f>IFERROR(__xludf.DUMMYFUNCTION("IF('From Order'!$A911=COLUMNS($A911:G930), LEFT(INDEX(FILTER(G$1:G910, G$1:G910&lt;&gt;""""),COUNTA(FILTER(G$1:G910, G$1:G910&lt;&gt;""""))), LEN(INDEX(FILTER(G$1:G910, G$1:G910&lt;&gt;""""),COUNTA(FILTER(G$1:G910, G$1:G910&lt;&gt;""""))))-1), IF('To Order'!$A911=COLUMNS($A911:G"&amp;"930), G910&amp;RIGHT(INDIRECT(ADDRESS(ROW(G911)-1, 'From Order'!$A911)), 1), G910))"),"")</f>
        <v/>
      </c>
      <c r="H911" s="2" t="str">
        <f>IFERROR(__xludf.DUMMYFUNCTION("IF('From Order'!$A911=COLUMNS($A911:H930), LEFT(INDEX(FILTER(H$1:H910, H$1:H910&lt;&gt;""""),COUNTA(FILTER(H$1:H910, H$1:H910&lt;&gt;""""))), LEN(INDEX(FILTER(H$1:H910, H$1:H910&lt;&gt;""""),COUNTA(FILTER(H$1:H910, H$1:H910&lt;&gt;""""))))-1), IF('To Order'!$A911=COLUMNS($A911:H"&amp;"930), H910&amp;RIGHT(INDIRECT(ADDRESS(ROW(H911)-1, 'From Order'!$A911)), 1), H910))"),"PDSSGHWQVQRLRTD")</f>
        <v>PDSSGHWQVQRLRTD</v>
      </c>
      <c r="I911" s="2" t="str">
        <f>IFERROR(__xludf.DUMMYFUNCTION("IF('From Order'!$A911=COLUMNS($A911:I930), LEFT(INDEX(FILTER(I$1:I910, I$1:I910&lt;&gt;""""),COUNTA(FILTER(I$1:I910, I$1:I910&lt;&gt;""""))), LEN(INDEX(FILTER(I$1:I910, I$1:I910&lt;&gt;""""),COUNTA(FILTER(I$1:I910, I$1:I910&lt;&gt;""""))))-1), IF('To Order'!$A911=COLUMNS($A911:I"&amp;"930), I910&amp;RIGHT(INDIRECT(ADDRESS(ROW(I911)-1, 'From Order'!$A911)), 1), I910))"),"LZM")</f>
        <v>LZM</v>
      </c>
    </row>
    <row r="912">
      <c r="A912" s="2" t="str">
        <f>IFERROR(__xludf.DUMMYFUNCTION("IF('From Order'!$A912=COLUMNS($A912:A931), LEFT(INDEX(FILTER(A$1:A911, A$1:A911&lt;&gt;""""),COUNTA(FILTER(A$1:A911, A$1:A911&lt;&gt;""""))), LEN(INDEX(FILTER(A$1:A911, A$1:A911&lt;&gt;""""),COUNTA(FILTER(A$1:A911, A$1:A911&lt;&gt;""""))))-1), IF('To Order'!$A912=COLUMNS($A912:A"&amp;"931), A911&amp;RIGHT(INDIRECT(ADDRESS(ROW(A912)-1, 'From Order'!$A912)), 1), A911))"),"JT")</f>
        <v>JT</v>
      </c>
      <c r="B912" s="2" t="str">
        <f>IFERROR(__xludf.DUMMYFUNCTION("IF('From Order'!$A912=COLUMNS($A912:B931), LEFT(INDEX(FILTER(B$1:B911, B$1:B911&lt;&gt;""""),COUNTA(FILTER(B$1:B911, B$1:B911&lt;&gt;""""))), LEN(INDEX(FILTER(B$1:B911, B$1:B911&lt;&gt;""""),COUNTA(FILTER(B$1:B911, B$1:B911&lt;&gt;""""))))-1), IF('To Order'!$A912=COLUMNS($A912:B"&amp;"931), B911&amp;RIGHT(INDIRECT(ADDRESS(ROW(B912)-1, 'From Order'!$A912)), 1), B911))"),"JZRDCGM")</f>
        <v>JZRDCGM</v>
      </c>
      <c r="C912" s="2" t="str">
        <f>IFERROR(__xludf.DUMMYFUNCTION("IF('From Order'!$A912=COLUMNS($A912:C931), LEFT(INDEX(FILTER(C$1:C911, C$1:C911&lt;&gt;""""),COUNTA(FILTER(C$1:C911, C$1:C911&lt;&gt;""""))), LEN(INDEX(FILTER(C$1:C911, C$1:C911&lt;&gt;""""),COUNTA(FILTER(C$1:C911, C$1:C911&lt;&gt;""""))))-1), IF('To Order'!$A912=COLUMNS($A912:C"&amp;"931), C911&amp;RIGHT(INDIRECT(ADDRESS(ROW(C912)-1, 'From Order'!$A912)), 1), C911))"),"")</f>
        <v/>
      </c>
      <c r="D912" s="2" t="str">
        <f>IFERROR(__xludf.DUMMYFUNCTION("IF('From Order'!$A912=COLUMNS($A912:D931), LEFT(INDEX(FILTER(D$1:D911, D$1:D911&lt;&gt;""""),COUNTA(FILTER(D$1:D911, D$1:D911&lt;&gt;""""))), LEN(INDEX(FILTER(D$1:D911, D$1:D911&lt;&gt;""""),COUNTA(FILTER(D$1:D911, D$1:D911&lt;&gt;""""))))-1), IF('To Order'!$A912=COLUMNS($A912:D"&amp;"931), D911&amp;RIGHT(INDIRECT(ADDRESS(ROW(D912)-1, 'From Order'!$A912)), 1), D911))"),"BFMHZBSBPPVJCVRCT")</f>
        <v>BFMHZBSBPPVJCVRCT</v>
      </c>
      <c r="E912" s="2" t="str">
        <f>IFERROR(__xludf.DUMMYFUNCTION("IF('From Order'!$A912=COLUMNS($A912:E931), LEFT(INDEX(FILTER(E$1:E911, E$1:E911&lt;&gt;""""),COUNTA(FILTER(E$1:E911, E$1:E911&lt;&gt;""""))), LEN(INDEX(FILTER(E$1:E911, E$1:E911&lt;&gt;""""),COUNTA(FILTER(E$1:E911, E$1:E911&lt;&gt;""""))))-1), IF('To Order'!$A912=COLUMNS($A912:E"&amp;"931), E911&amp;RIGHT(INDIRECT(ADDRESS(ROW(E912)-1, 'From Order'!$A912)), 1), E911))"),"")</f>
        <v/>
      </c>
      <c r="F912" s="2" t="str">
        <f>IFERROR(__xludf.DUMMYFUNCTION("IF('From Order'!$A912=COLUMNS($A912:F931), LEFT(INDEX(FILTER(F$1:F911, F$1:F911&lt;&gt;""""),COUNTA(FILTER(F$1:F911, F$1:F911&lt;&gt;""""))), LEN(INDEX(FILTER(F$1:F911, F$1:F911&lt;&gt;""""),COUNTA(FILTER(F$1:F911, F$1:F911&lt;&gt;""""))))-1), IF('To Order'!$A912=COLUMNS($A912:F"&amp;"931), F911&amp;RIGHT(INDIRECT(ADDRESS(ROW(F912)-1, 'From Order'!$A912)), 1), F911))"),"FSLTTWRDTDBD")</f>
        <v>FSLTTWRDTDBD</v>
      </c>
      <c r="G912" s="2" t="str">
        <f>IFERROR(__xludf.DUMMYFUNCTION("IF('From Order'!$A912=COLUMNS($A912:G931), LEFT(INDEX(FILTER(G$1:G911, G$1:G911&lt;&gt;""""),COUNTA(FILTER(G$1:G911, G$1:G911&lt;&gt;""""))), LEN(INDEX(FILTER(G$1:G911, G$1:G911&lt;&gt;""""),COUNTA(FILTER(G$1:G911, G$1:G911&lt;&gt;""""))))-1), IF('To Order'!$A912=COLUMNS($A912:G"&amp;"931), G911&amp;RIGHT(INDIRECT(ADDRESS(ROW(G912)-1, 'From Order'!$A912)), 1), G911))"),"")</f>
        <v/>
      </c>
      <c r="H912" s="2" t="str">
        <f>IFERROR(__xludf.DUMMYFUNCTION("IF('From Order'!$A912=COLUMNS($A912:H931), LEFT(INDEX(FILTER(H$1:H911, H$1:H911&lt;&gt;""""),COUNTA(FILTER(H$1:H911, H$1:H911&lt;&gt;""""))), LEN(INDEX(FILTER(H$1:H911, H$1:H911&lt;&gt;""""),COUNTA(FILTER(H$1:H911, H$1:H911&lt;&gt;""""))))-1), IF('To Order'!$A912=COLUMNS($A912:H"&amp;"931), H911&amp;RIGHT(INDIRECT(ADDRESS(ROW(H912)-1, 'From Order'!$A912)), 1), H911))"),"PDSSGHWQVQRLRTD")</f>
        <v>PDSSGHWQVQRLRTD</v>
      </c>
      <c r="I912" s="2" t="str">
        <f>IFERROR(__xludf.DUMMYFUNCTION("IF('From Order'!$A912=COLUMNS($A912:I931), LEFT(INDEX(FILTER(I$1:I911, I$1:I911&lt;&gt;""""),COUNTA(FILTER(I$1:I911, I$1:I911&lt;&gt;""""))), LEN(INDEX(FILTER(I$1:I911, I$1:I911&lt;&gt;""""),COUNTA(FILTER(I$1:I911, I$1:I911&lt;&gt;""""))))-1), IF('To Order'!$A912=COLUMNS($A912:I"&amp;"931), I911&amp;RIGHT(INDIRECT(ADDRESS(ROW(I912)-1, 'From Order'!$A912)), 1), I911))"),"LZM")</f>
        <v>LZM</v>
      </c>
    </row>
    <row r="913">
      <c r="A913" s="2" t="str">
        <f>IFERROR(__xludf.DUMMYFUNCTION("IF('From Order'!$A913=COLUMNS($A913:A932), LEFT(INDEX(FILTER(A$1:A912, A$1:A912&lt;&gt;""""),COUNTA(FILTER(A$1:A912, A$1:A912&lt;&gt;""""))), LEN(INDEX(FILTER(A$1:A912, A$1:A912&lt;&gt;""""),COUNTA(FILTER(A$1:A912, A$1:A912&lt;&gt;""""))))-1), IF('To Order'!$A913=COLUMNS($A913:A"&amp;"932), A912&amp;RIGHT(INDIRECT(ADDRESS(ROW(A913)-1, 'From Order'!$A913)), 1), A912))"),"JTT")</f>
        <v>JTT</v>
      </c>
      <c r="B913" s="2" t="str">
        <f>IFERROR(__xludf.DUMMYFUNCTION("IF('From Order'!$A913=COLUMNS($A913:B932), LEFT(INDEX(FILTER(B$1:B912, B$1:B912&lt;&gt;""""),COUNTA(FILTER(B$1:B912, B$1:B912&lt;&gt;""""))), LEN(INDEX(FILTER(B$1:B912, B$1:B912&lt;&gt;""""),COUNTA(FILTER(B$1:B912, B$1:B912&lt;&gt;""""))))-1), IF('To Order'!$A913=COLUMNS($A913:B"&amp;"932), B912&amp;RIGHT(INDIRECT(ADDRESS(ROW(B913)-1, 'From Order'!$A913)), 1), B912))"),"JZRDCGM")</f>
        <v>JZRDCGM</v>
      </c>
      <c r="C913" s="2" t="str">
        <f>IFERROR(__xludf.DUMMYFUNCTION("IF('From Order'!$A913=COLUMNS($A913:C932), LEFT(INDEX(FILTER(C$1:C912, C$1:C912&lt;&gt;""""),COUNTA(FILTER(C$1:C912, C$1:C912&lt;&gt;""""))), LEN(INDEX(FILTER(C$1:C912, C$1:C912&lt;&gt;""""),COUNTA(FILTER(C$1:C912, C$1:C912&lt;&gt;""""))))-1), IF('To Order'!$A913=COLUMNS($A913:C"&amp;"932), C912&amp;RIGHT(INDIRECT(ADDRESS(ROW(C913)-1, 'From Order'!$A913)), 1), C912))"),"")</f>
        <v/>
      </c>
      <c r="D913" s="2" t="str">
        <f>IFERROR(__xludf.DUMMYFUNCTION("IF('From Order'!$A913=COLUMNS($A913:D932), LEFT(INDEX(FILTER(D$1:D912, D$1:D912&lt;&gt;""""),COUNTA(FILTER(D$1:D912, D$1:D912&lt;&gt;""""))), LEN(INDEX(FILTER(D$1:D912, D$1:D912&lt;&gt;""""),COUNTA(FILTER(D$1:D912, D$1:D912&lt;&gt;""""))))-1), IF('To Order'!$A913=COLUMNS($A913:D"&amp;"932), D912&amp;RIGHT(INDIRECT(ADDRESS(ROW(D913)-1, 'From Order'!$A913)), 1), D912))"),"BFMHZBSBPPVJCVRC")</f>
        <v>BFMHZBSBPPVJCVRC</v>
      </c>
      <c r="E913" s="2" t="str">
        <f>IFERROR(__xludf.DUMMYFUNCTION("IF('From Order'!$A913=COLUMNS($A913:E932), LEFT(INDEX(FILTER(E$1:E912, E$1:E912&lt;&gt;""""),COUNTA(FILTER(E$1:E912, E$1:E912&lt;&gt;""""))), LEN(INDEX(FILTER(E$1:E912, E$1:E912&lt;&gt;""""),COUNTA(FILTER(E$1:E912, E$1:E912&lt;&gt;""""))))-1), IF('To Order'!$A913=COLUMNS($A913:E"&amp;"932), E912&amp;RIGHT(INDIRECT(ADDRESS(ROW(E913)-1, 'From Order'!$A913)), 1), E912))"),"")</f>
        <v/>
      </c>
      <c r="F913" s="2" t="str">
        <f>IFERROR(__xludf.DUMMYFUNCTION("IF('From Order'!$A913=COLUMNS($A913:F932), LEFT(INDEX(FILTER(F$1:F912, F$1:F912&lt;&gt;""""),COUNTA(FILTER(F$1:F912, F$1:F912&lt;&gt;""""))), LEN(INDEX(FILTER(F$1:F912, F$1:F912&lt;&gt;""""),COUNTA(FILTER(F$1:F912, F$1:F912&lt;&gt;""""))))-1), IF('To Order'!$A913=COLUMNS($A913:F"&amp;"932), F912&amp;RIGHT(INDIRECT(ADDRESS(ROW(F913)-1, 'From Order'!$A913)), 1), F912))"),"FSLTTWRDTDBD")</f>
        <v>FSLTTWRDTDBD</v>
      </c>
      <c r="G913" s="2" t="str">
        <f>IFERROR(__xludf.DUMMYFUNCTION("IF('From Order'!$A913=COLUMNS($A913:G932), LEFT(INDEX(FILTER(G$1:G912, G$1:G912&lt;&gt;""""),COUNTA(FILTER(G$1:G912, G$1:G912&lt;&gt;""""))), LEN(INDEX(FILTER(G$1:G912, G$1:G912&lt;&gt;""""),COUNTA(FILTER(G$1:G912, G$1:G912&lt;&gt;""""))))-1), IF('To Order'!$A913=COLUMNS($A913:G"&amp;"932), G912&amp;RIGHT(INDIRECT(ADDRESS(ROW(G913)-1, 'From Order'!$A913)), 1), G912))"),"")</f>
        <v/>
      </c>
      <c r="H913" s="2" t="str">
        <f>IFERROR(__xludf.DUMMYFUNCTION("IF('From Order'!$A913=COLUMNS($A913:H932), LEFT(INDEX(FILTER(H$1:H912, H$1:H912&lt;&gt;""""),COUNTA(FILTER(H$1:H912, H$1:H912&lt;&gt;""""))), LEN(INDEX(FILTER(H$1:H912, H$1:H912&lt;&gt;""""),COUNTA(FILTER(H$1:H912, H$1:H912&lt;&gt;""""))))-1), IF('To Order'!$A913=COLUMNS($A913:H"&amp;"932), H912&amp;RIGHT(INDIRECT(ADDRESS(ROW(H913)-1, 'From Order'!$A913)), 1), H912))"),"PDSSGHWQVQRLRTD")</f>
        <v>PDSSGHWQVQRLRTD</v>
      </c>
      <c r="I913" s="2" t="str">
        <f>IFERROR(__xludf.DUMMYFUNCTION("IF('From Order'!$A913=COLUMNS($A913:I932), LEFT(INDEX(FILTER(I$1:I912, I$1:I912&lt;&gt;""""),COUNTA(FILTER(I$1:I912, I$1:I912&lt;&gt;""""))), LEN(INDEX(FILTER(I$1:I912, I$1:I912&lt;&gt;""""),COUNTA(FILTER(I$1:I912, I$1:I912&lt;&gt;""""))))-1), IF('To Order'!$A913=COLUMNS($A913:I"&amp;"932), I912&amp;RIGHT(INDIRECT(ADDRESS(ROW(I913)-1, 'From Order'!$A913)), 1), I912))"),"LZM")</f>
        <v>LZM</v>
      </c>
    </row>
    <row r="914">
      <c r="A914" s="2" t="str">
        <f>IFERROR(__xludf.DUMMYFUNCTION("IF('From Order'!$A914=COLUMNS($A914:A933), LEFT(INDEX(FILTER(A$1:A913, A$1:A913&lt;&gt;""""),COUNTA(FILTER(A$1:A913, A$1:A913&lt;&gt;""""))), LEN(INDEX(FILTER(A$1:A913, A$1:A913&lt;&gt;""""),COUNTA(FILTER(A$1:A913, A$1:A913&lt;&gt;""""))))-1), IF('To Order'!$A914=COLUMNS($A914:A"&amp;"933), A913&amp;RIGHT(INDIRECT(ADDRESS(ROW(A914)-1, 'From Order'!$A914)), 1), A913))"),"JTTC")</f>
        <v>JTTC</v>
      </c>
      <c r="B914" s="2" t="str">
        <f>IFERROR(__xludf.DUMMYFUNCTION("IF('From Order'!$A914=COLUMNS($A914:B933), LEFT(INDEX(FILTER(B$1:B913, B$1:B913&lt;&gt;""""),COUNTA(FILTER(B$1:B913, B$1:B913&lt;&gt;""""))), LEN(INDEX(FILTER(B$1:B913, B$1:B913&lt;&gt;""""),COUNTA(FILTER(B$1:B913, B$1:B913&lt;&gt;""""))))-1), IF('To Order'!$A914=COLUMNS($A914:B"&amp;"933), B913&amp;RIGHT(INDIRECT(ADDRESS(ROW(B914)-1, 'From Order'!$A914)), 1), B913))"),"JZRDCGM")</f>
        <v>JZRDCGM</v>
      </c>
      <c r="C914" s="2" t="str">
        <f>IFERROR(__xludf.DUMMYFUNCTION("IF('From Order'!$A914=COLUMNS($A914:C933), LEFT(INDEX(FILTER(C$1:C913, C$1:C913&lt;&gt;""""),COUNTA(FILTER(C$1:C913, C$1:C913&lt;&gt;""""))), LEN(INDEX(FILTER(C$1:C913, C$1:C913&lt;&gt;""""),COUNTA(FILTER(C$1:C913, C$1:C913&lt;&gt;""""))))-1), IF('To Order'!$A914=COLUMNS($A914:C"&amp;"933), C913&amp;RIGHT(INDIRECT(ADDRESS(ROW(C914)-1, 'From Order'!$A914)), 1), C913))"),"")</f>
        <v/>
      </c>
      <c r="D914" s="2" t="str">
        <f>IFERROR(__xludf.DUMMYFUNCTION("IF('From Order'!$A914=COLUMNS($A914:D933), LEFT(INDEX(FILTER(D$1:D913, D$1:D913&lt;&gt;""""),COUNTA(FILTER(D$1:D913, D$1:D913&lt;&gt;""""))), LEN(INDEX(FILTER(D$1:D913, D$1:D913&lt;&gt;""""),COUNTA(FILTER(D$1:D913, D$1:D913&lt;&gt;""""))))-1), IF('To Order'!$A914=COLUMNS($A914:D"&amp;"933), D913&amp;RIGHT(INDIRECT(ADDRESS(ROW(D914)-1, 'From Order'!$A914)), 1), D913))"),"BFMHZBSBPPVJCVR")</f>
        <v>BFMHZBSBPPVJCVR</v>
      </c>
      <c r="E914" s="2" t="str">
        <f>IFERROR(__xludf.DUMMYFUNCTION("IF('From Order'!$A914=COLUMNS($A914:E933), LEFT(INDEX(FILTER(E$1:E913, E$1:E913&lt;&gt;""""),COUNTA(FILTER(E$1:E913, E$1:E913&lt;&gt;""""))), LEN(INDEX(FILTER(E$1:E913, E$1:E913&lt;&gt;""""),COUNTA(FILTER(E$1:E913, E$1:E913&lt;&gt;""""))))-1), IF('To Order'!$A914=COLUMNS($A914:E"&amp;"933), E913&amp;RIGHT(INDIRECT(ADDRESS(ROW(E914)-1, 'From Order'!$A914)), 1), E913))"),"")</f>
        <v/>
      </c>
      <c r="F914" s="2" t="str">
        <f>IFERROR(__xludf.DUMMYFUNCTION("IF('From Order'!$A914=COLUMNS($A914:F933), LEFT(INDEX(FILTER(F$1:F913, F$1:F913&lt;&gt;""""),COUNTA(FILTER(F$1:F913, F$1:F913&lt;&gt;""""))), LEN(INDEX(FILTER(F$1:F913, F$1:F913&lt;&gt;""""),COUNTA(FILTER(F$1:F913, F$1:F913&lt;&gt;""""))))-1), IF('To Order'!$A914=COLUMNS($A914:F"&amp;"933), F913&amp;RIGHT(INDIRECT(ADDRESS(ROW(F914)-1, 'From Order'!$A914)), 1), F913))"),"FSLTTWRDTDBD")</f>
        <v>FSLTTWRDTDBD</v>
      </c>
      <c r="G914" s="2" t="str">
        <f>IFERROR(__xludf.DUMMYFUNCTION("IF('From Order'!$A914=COLUMNS($A914:G933), LEFT(INDEX(FILTER(G$1:G913, G$1:G913&lt;&gt;""""),COUNTA(FILTER(G$1:G913, G$1:G913&lt;&gt;""""))), LEN(INDEX(FILTER(G$1:G913, G$1:G913&lt;&gt;""""),COUNTA(FILTER(G$1:G913, G$1:G913&lt;&gt;""""))))-1), IF('To Order'!$A914=COLUMNS($A914:G"&amp;"933), G913&amp;RIGHT(INDIRECT(ADDRESS(ROW(G914)-1, 'From Order'!$A914)), 1), G913))"),"")</f>
        <v/>
      </c>
      <c r="H914" s="2" t="str">
        <f>IFERROR(__xludf.DUMMYFUNCTION("IF('From Order'!$A914=COLUMNS($A914:H933), LEFT(INDEX(FILTER(H$1:H913, H$1:H913&lt;&gt;""""),COUNTA(FILTER(H$1:H913, H$1:H913&lt;&gt;""""))), LEN(INDEX(FILTER(H$1:H913, H$1:H913&lt;&gt;""""),COUNTA(FILTER(H$1:H913, H$1:H913&lt;&gt;""""))))-1), IF('To Order'!$A914=COLUMNS($A914:H"&amp;"933), H913&amp;RIGHT(INDIRECT(ADDRESS(ROW(H914)-1, 'From Order'!$A914)), 1), H913))"),"PDSSGHWQVQRLRTD")</f>
        <v>PDSSGHWQVQRLRTD</v>
      </c>
      <c r="I914" s="2" t="str">
        <f>IFERROR(__xludf.DUMMYFUNCTION("IF('From Order'!$A914=COLUMNS($A914:I933), LEFT(INDEX(FILTER(I$1:I913, I$1:I913&lt;&gt;""""),COUNTA(FILTER(I$1:I913, I$1:I913&lt;&gt;""""))), LEN(INDEX(FILTER(I$1:I913, I$1:I913&lt;&gt;""""),COUNTA(FILTER(I$1:I913, I$1:I913&lt;&gt;""""))))-1), IF('To Order'!$A914=COLUMNS($A914:I"&amp;"933), I913&amp;RIGHT(INDIRECT(ADDRESS(ROW(I914)-1, 'From Order'!$A914)), 1), I913))"),"LZM")</f>
        <v>LZM</v>
      </c>
    </row>
    <row r="915">
      <c r="A915" s="2" t="str">
        <f>IFERROR(__xludf.DUMMYFUNCTION("IF('From Order'!$A915=COLUMNS($A915:A934), LEFT(INDEX(FILTER(A$1:A914, A$1:A914&lt;&gt;""""),COUNTA(FILTER(A$1:A914, A$1:A914&lt;&gt;""""))), LEN(INDEX(FILTER(A$1:A914, A$1:A914&lt;&gt;""""),COUNTA(FILTER(A$1:A914, A$1:A914&lt;&gt;""""))))-1), IF('To Order'!$A915=COLUMNS($A915:A"&amp;"934), A914&amp;RIGHT(INDIRECT(ADDRESS(ROW(A915)-1, 'From Order'!$A915)), 1), A914))"),"JTTC")</f>
        <v>JTTC</v>
      </c>
      <c r="B915" s="2" t="str">
        <f>IFERROR(__xludf.DUMMYFUNCTION("IF('From Order'!$A915=COLUMNS($A915:B934), LEFT(INDEX(FILTER(B$1:B914, B$1:B914&lt;&gt;""""),COUNTA(FILTER(B$1:B914, B$1:B914&lt;&gt;""""))), LEN(INDEX(FILTER(B$1:B914, B$1:B914&lt;&gt;""""),COUNTA(FILTER(B$1:B914, B$1:B914&lt;&gt;""""))))-1), IF('To Order'!$A915=COLUMNS($A915:B"&amp;"934), B914&amp;RIGHT(INDIRECT(ADDRESS(ROW(B915)-1, 'From Order'!$A915)), 1), B914))"),"JZRDCG")</f>
        <v>JZRDCG</v>
      </c>
      <c r="C915" s="2" t="str">
        <f>IFERROR(__xludf.DUMMYFUNCTION("IF('From Order'!$A915=COLUMNS($A915:C934), LEFT(INDEX(FILTER(C$1:C914, C$1:C914&lt;&gt;""""),COUNTA(FILTER(C$1:C914, C$1:C914&lt;&gt;""""))), LEN(INDEX(FILTER(C$1:C914, C$1:C914&lt;&gt;""""),COUNTA(FILTER(C$1:C914, C$1:C914&lt;&gt;""""))))-1), IF('To Order'!$A915=COLUMNS($A915:C"&amp;"934), C914&amp;RIGHT(INDIRECT(ADDRESS(ROW(C915)-1, 'From Order'!$A915)), 1), C914))"),"")</f>
        <v/>
      </c>
      <c r="D915" s="2" t="str">
        <f>IFERROR(__xludf.DUMMYFUNCTION("IF('From Order'!$A915=COLUMNS($A915:D934), LEFT(INDEX(FILTER(D$1:D914, D$1:D914&lt;&gt;""""),COUNTA(FILTER(D$1:D914, D$1:D914&lt;&gt;""""))), LEN(INDEX(FILTER(D$1:D914, D$1:D914&lt;&gt;""""),COUNTA(FILTER(D$1:D914, D$1:D914&lt;&gt;""""))))-1), IF('To Order'!$A915=COLUMNS($A915:D"&amp;"934), D914&amp;RIGHT(INDIRECT(ADDRESS(ROW(D915)-1, 'From Order'!$A915)), 1), D914))"),"BFMHZBSBPPVJCVR")</f>
        <v>BFMHZBSBPPVJCVR</v>
      </c>
      <c r="E915" s="2" t="str">
        <f>IFERROR(__xludf.DUMMYFUNCTION("IF('From Order'!$A915=COLUMNS($A915:E934), LEFT(INDEX(FILTER(E$1:E914, E$1:E914&lt;&gt;""""),COUNTA(FILTER(E$1:E914, E$1:E914&lt;&gt;""""))), LEN(INDEX(FILTER(E$1:E914, E$1:E914&lt;&gt;""""),COUNTA(FILTER(E$1:E914, E$1:E914&lt;&gt;""""))))-1), IF('To Order'!$A915=COLUMNS($A915:E"&amp;"934), E914&amp;RIGHT(INDIRECT(ADDRESS(ROW(E915)-1, 'From Order'!$A915)), 1), E914))"),"M")</f>
        <v>M</v>
      </c>
      <c r="F915" s="2" t="str">
        <f>IFERROR(__xludf.DUMMYFUNCTION("IF('From Order'!$A915=COLUMNS($A915:F934), LEFT(INDEX(FILTER(F$1:F914, F$1:F914&lt;&gt;""""),COUNTA(FILTER(F$1:F914, F$1:F914&lt;&gt;""""))), LEN(INDEX(FILTER(F$1:F914, F$1:F914&lt;&gt;""""),COUNTA(FILTER(F$1:F914, F$1:F914&lt;&gt;""""))))-1), IF('To Order'!$A915=COLUMNS($A915:F"&amp;"934), F914&amp;RIGHT(INDIRECT(ADDRESS(ROW(F915)-1, 'From Order'!$A915)), 1), F914))"),"FSLTTWRDTDBD")</f>
        <v>FSLTTWRDTDBD</v>
      </c>
      <c r="G915" s="2" t="str">
        <f>IFERROR(__xludf.DUMMYFUNCTION("IF('From Order'!$A915=COLUMNS($A915:G934), LEFT(INDEX(FILTER(G$1:G914, G$1:G914&lt;&gt;""""),COUNTA(FILTER(G$1:G914, G$1:G914&lt;&gt;""""))), LEN(INDEX(FILTER(G$1:G914, G$1:G914&lt;&gt;""""),COUNTA(FILTER(G$1:G914, G$1:G914&lt;&gt;""""))))-1), IF('To Order'!$A915=COLUMNS($A915:G"&amp;"934), G914&amp;RIGHT(INDIRECT(ADDRESS(ROW(G915)-1, 'From Order'!$A915)), 1), G914))"),"")</f>
        <v/>
      </c>
      <c r="H915" s="2" t="str">
        <f>IFERROR(__xludf.DUMMYFUNCTION("IF('From Order'!$A915=COLUMNS($A915:H934), LEFT(INDEX(FILTER(H$1:H914, H$1:H914&lt;&gt;""""),COUNTA(FILTER(H$1:H914, H$1:H914&lt;&gt;""""))), LEN(INDEX(FILTER(H$1:H914, H$1:H914&lt;&gt;""""),COUNTA(FILTER(H$1:H914, H$1:H914&lt;&gt;""""))))-1), IF('To Order'!$A915=COLUMNS($A915:H"&amp;"934), H914&amp;RIGHT(INDIRECT(ADDRESS(ROW(H915)-1, 'From Order'!$A915)), 1), H914))"),"PDSSGHWQVQRLRTD")</f>
        <v>PDSSGHWQVQRLRTD</v>
      </c>
      <c r="I915" s="2" t="str">
        <f>IFERROR(__xludf.DUMMYFUNCTION("IF('From Order'!$A915=COLUMNS($A915:I934), LEFT(INDEX(FILTER(I$1:I914, I$1:I914&lt;&gt;""""),COUNTA(FILTER(I$1:I914, I$1:I914&lt;&gt;""""))), LEN(INDEX(FILTER(I$1:I914, I$1:I914&lt;&gt;""""),COUNTA(FILTER(I$1:I914, I$1:I914&lt;&gt;""""))))-1), IF('To Order'!$A915=COLUMNS($A915:I"&amp;"934), I914&amp;RIGHT(INDIRECT(ADDRESS(ROW(I915)-1, 'From Order'!$A915)), 1), I914))"),"LZM")</f>
        <v>LZM</v>
      </c>
    </row>
    <row r="916">
      <c r="A916" s="2" t="str">
        <f>IFERROR(__xludf.DUMMYFUNCTION("IF('From Order'!$A916=COLUMNS($A916:A935), LEFT(INDEX(FILTER(A$1:A915, A$1:A915&lt;&gt;""""),COUNTA(FILTER(A$1:A915, A$1:A915&lt;&gt;""""))), LEN(INDEX(FILTER(A$1:A915, A$1:A915&lt;&gt;""""),COUNTA(FILTER(A$1:A915, A$1:A915&lt;&gt;""""))))-1), IF('To Order'!$A916=COLUMNS($A916:A"&amp;"935), A915&amp;RIGHT(INDIRECT(ADDRESS(ROW(A916)-1, 'From Order'!$A916)), 1), A915))"),"JTTC")</f>
        <v>JTTC</v>
      </c>
      <c r="B916" s="2" t="str">
        <f>IFERROR(__xludf.DUMMYFUNCTION("IF('From Order'!$A916=COLUMNS($A916:B935), LEFT(INDEX(FILTER(B$1:B915, B$1:B915&lt;&gt;""""),COUNTA(FILTER(B$1:B915, B$1:B915&lt;&gt;""""))), LEN(INDEX(FILTER(B$1:B915, B$1:B915&lt;&gt;""""),COUNTA(FILTER(B$1:B915, B$1:B915&lt;&gt;""""))))-1), IF('To Order'!$A916=COLUMNS($A916:B"&amp;"935), B915&amp;RIGHT(INDIRECT(ADDRESS(ROW(B916)-1, 'From Order'!$A916)), 1), B915))"),"JZRDC")</f>
        <v>JZRDC</v>
      </c>
      <c r="C916" s="2" t="str">
        <f>IFERROR(__xludf.DUMMYFUNCTION("IF('From Order'!$A916=COLUMNS($A916:C935), LEFT(INDEX(FILTER(C$1:C915, C$1:C915&lt;&gt;""""),COUNTA(FILTER(C$1:C915, C$1:C915&lt;&gt;""""))), LEN(INDEX(FILTER(C$1:C915, C$1:C915&lt;&gt;""""),COUNTA(FILTER(C$1:C915, C$1:C915&lt;&gt;""""))))-1), IF('To Order'!$A916=COLUMNS($A916:C"&amp;"935), C915&amp;RIGHT(INDIRECT(ADDRESS(ROW(C916)-1, 'From Order'!$A916)), 1), C915))"),"")</f>
        <v/>
      </c>
      <c r="D916" s="2" t="str">
        <f>IFERROR(__xludf.DUMMYFUNCTION("IF('From Order'!$A916=COLUMNS($A916:D935), LEFT(INDEX(FILTER(D$1:D915, D$1:D915&lt;&gt;""""),COUNTA(FILTER(D$1:D915, D$1:D915&lt;&gt;""""))), LEN(INDEX(FILTER(D$1:D915, D$1:D915&lt;&gt;""""),COUNTA(FILTER(D$1:D915, D$1:D915&lt;&gt;""""))))-1), IF('To Order'!$A916=COLUMNS($A916:D"&amp;"935), D915&amp;RIGHT(INDIRECT(ADDRESS(ROW(D916)-1, 'From Order'!$A916)), 1), D915))"),"BFMHZBSBPPVJCVR")</f>
        <v>BFMHZBSBPPVJCVR</v>
      </c>
      <c r="E916" s="2" t="str">
        <f>IFERROR(__xludf.DUMMYFUNCTION("IF('From Order'!$A916=COLUMNS($A916:E935), LEFT(INDEX(FILTER(E$1:E915, E$1:E915&lt;&gt;""""),COUNTA(FILTER(E$1:E915, E$1:E915&lt;&gt;""""))), LEN(INDEX(FILTER(E$1:E915, E$1:E915&lt;&gt;""""),COUNTA(FILTER(E$1:E915, E$1:E915&lt;&gt;""""))))-1), IF('To Order'!$A916=COLUMNS($A916:E"&amp;"935), E915&amp;RIGHT(INDIRECT(ADDRESS(ROW(E916)-1, 'From Order'!$A916)), 1), E915))"),"MG")</f>
        <v>MG</v>
      </c>
      <c r="F916" s="2" t="str">
        <f>IFERROR(__xludf.DUMMYFUNCTION("IF('From Order'!$A916=COLUMNS($A916:F935), LEFT(INDEX(FILTER(F$1:F915, F$1:F915&lt;&gt;""""),COUNTA(FILTER(F$1:F915, F$1:F915&lt;&gt;""""))), LEN(INDEX(FILTER(F$1:F915, F$1:F915&lt;&gt;""""),COUNTA(FILTER(F$1:F915, F$1:F915&lt;&gt;""""))))-1), IF('To Order'!$A916=COLUMNS($A916:F"&amp;"935), F915&amp;RIGHT(INDIRECT(ADDRESS(ROW(F916)-1, 'From Order'!$A916)), 1), F915))"),"FSLTTWRDTDBD")</f>
        <v>FSLTTWRDTDBD</v>
      </c>
      <c r="G916" s="2" t="str">
        <f>IFERROR(__xludf.DUMMYFUNCTION("IF('From Order'!$A916=COLUMNS($A916:G935), LEFT(INDEX(FILTER(G$1:G915, G$1:G915&lt;&gt;""""),COUNTA(FILTER(G$1:G915, G$1:G915&lt;&gt;""""))), LEN(INDEX(FILTER(G$1:G915, G$1:G915&lt;&gt;""""),COUNTA(FILTER(G$1:G915, G$1:G915&lt;&gt;""""))))-1), IF('To Order'!$A916=COLUMNS($A916:G"&amp;"935), G915&amp;RIGHT(INDIRECT(ADDRESS(ROW(G916)-1, 'From Order'!$A916)), 1), G915))"),"")</f>
        <v/>
      </c>
      <c r="H916" s="2" t="str">
        <f>IFERROR(__xludf.DUMMYFUNCTION("IF('From Order'!$A916=COLUMNS($A916:H935), LEFT(INDEX(FILTER(H$1:H915, H$1:H915&lt;&gt;""""),COUNTA(FILTER(H$1:H915, H$1:H915&lt;&gt;""""))), LEN(INDEX(FILTER(H$1:H915, H$1:H915&lt;&gt;""""),COUNTA(FILTER(H$1:H915, H$1:H915&lt;&gt;""""))))-1), IF('To Order'!$A916=COLUMNS($A916:H"&amp;"935), H915&amp;RIGHT(INDIRECT(ADDRESS(ROW(H916)-1, 'From Order'!$A916)), 1), H915))"),"PDSSGHWQVQRLRTD")</f>
        <v>PDSSGHWQVQRLRTD</v>
      </c>
      <c r="I916" s="2" t="str">
        <f>IFERROR(__xludf.DUMMYFUNCTION("IF('From Order'!$A916=COLUMNS($A916:I935), LEFT(INDEX(FILTER(I$1:I915, I$1:I915&lt;&gt;""""),COUNTA(FILTER(I$1:I915, I$1:I915&lt;&gt;""""))), LEN(INDEX(FILTER(I$1:I915, I$1:I915&lt;&gt;""""),COUNTA(FILTER(I$1:I915, I$1:I915&lt;&gt;""""))))-1), IF('To Order'!$A916=COLUMNS($A916:I"&amp;"935), I915&amp;RIGHT(INDIRECT(ADDRESS(ROW(I916)-1, 'From Order'!$A916)), 1), I915))"),"LZM")</f>
        <v>LZM</v>
      </c>
    </row>
    <row r="917">
      <c r="A917" s="2" t="str">
        <f>IFERROR(__xludf.DUMMYFUNCTION("IF('From Order'!$A917=COLUMNS($A917:A936), LEFT(INDEX(FILTER(A$1:A916, A$1:A916&lt;&gt;""""),COUNTA(FILTER(A$1:A916, A$1:A916&lt;&gt;""""))), LEN(INDEX(FILTER(A$1:A916, A$1:A916&lt;&gt;""""),COUNTA(FILTER(A$1:A916, A$1:A916&lt;&gt;""""))))-1), IF('To Order'!$A917=COLUMNS($A917:A"&amp;"936), A916&amp;RIGHT(INDIRECT(ADDRESS(ROW(A917)-1, 'From Order'!$A917)), 1), A916))"),"JTTC")</f>
        <v>JTTC</v>
      </c>
      <c r="B917" s="2" t="str">
        <f>IFERROR(__xludf.DUMMYFUNCTION("IF('From Order'!$A917=COLUMNS($A917:B936), LEFT(INDEX(FILTER(B$1:B916, B$1:B916&lt;&gt;""""),COUNTA(FILTER(B$1:B916, B$1:B916&lt;&gt;""""))), LEN(INDEX(FILTER(B$1:B916, B$1:B916&lt;&gt;""""),COUNTA(FILTER(B$1:B916, B$1:B916&lt;&gt;""""))))-1), IF('To Order'!$A917=COLUMNS($A917:B"&amp;"936), B916&amp;RIGHT(INDIRECT(ADDRESS(ROW(B917)-1, 'From Order'!$A917)), 1), B916))"),"JZRD")</f>
        <v>JZRD</v>
      </c>
      <c r="C917" s="2" t="str">
        <f>IFERROR(__xludf.DUMMYFUNCTION("IF('From Order'!$A917=COLUMNS($A917:C936), LEFT(INDEX(FILTER(C$1:C916, C$1:C916&lt;&gt;""""),COUNTA(FILTER(C$1:C916, C$1:C916&lt;&gt;""""))), LEN(INDEX(FILTER(C$1:C916, C$1:C916&lt;&gt;""""),COUNTA(FILTER(C$1:C916, C$1:C916&lt;&gt;""""))))-1), IF('To Order'!$A917=COLUMNS($A917:C"&amp;"936), C916&amp;RIGHT(INDIRECT(ADDRESS(ROW(C917)-1, 'From Order'!$A917)), 1), C916))"),"")</f>
        <v/>
      </c>
      <c r="D917" s="2" t="str">
        <f>IFERROR(__xludf.DUMMYFUNCTION("IF('From Order'!$A917=COLUMNS($A917:D936), LEFT(INDEX(FILTER(D$1:D916, D$1:D916&lt;&gt;""""),COUNTA(FILTER(D$1:D916, D$1:D916&lt;&gt;""""))), LEN(INDEX(FILTER(D$1:D916, D$1:D916&lt;&gt;""""),COUNTA(FILTER(D$1:D916, D$1:D916&lt;&gt;""""))))-1), IF('To Order'!$A917=COLUMNS($A917:D"&amp;"936), D916&amp;RIGHT(INDIRECT(ADDRESS(ROW(D917)-1, 'From Order'!$A917)), 1), D916))"),"BFMHZBSBPPVJCVR")</f>
        <v>BFMHZBSBPPVJCVR</v>
      </c>
      <c r="E917" s="2" t="str">
        <f>IFERROR(__xludf.DUMMYFUNCTION("IF('From Order'!$A917=COLUMNS($A917:E936), LEFT(INDEX(FILTER(E$1:E916, E$1:E916&lt;&gt;""""),COUNTA(FILTER(E$1:E916, E$1:E916&lt;&gt;""""))), LEN(INDEX(FILTER(E$1:E916, E$1:E916&lt;&gt;""""),COUNTA(FILTER(E$1:E916, E$1:E916&lt;&gt;""""))))-1), IF('To Order'!$A917=COLUMNS($A917:E"&amp;"936), E916&amp;RIGHT(INDIRECT(ADDRESS(ROW(E917)-1, 'From Order'!$A917)), 1), E916))"),"MGC")</f>
        <v>MGC</v>
      </c>
      <c r="F917" s="2" t="str">
        <f>IFERROR(__xludf.DUMMYFUNCTION("IF('From Order'!$A917=COLUMNS($A917:F936), LEFT(INDEX(FILTER(F$1:F916, F$1:F916&lt;&gt;""""),COUNTA(FILTER(F$1:F916, F$1:F916&lt;&gt;""""))), LEN(INDEX(FILTER(F$1:F916, F$1:F916&lt;&gt;""""),COUNTA(FILTER(F$1:F916, F$1:F916&lt;&gt;""""))))-1), IF('To Order'!$A917=COLUMNS($A917:F"&amp;"936), F916&amp;RIGHT(INDIRECT(ADDRESS(ROW(F917)-1, 'From Order'!$A917)), 1), F916))"),"FSLTTWRDTDBD")</f>
        <v>FSLTTWRDTDBD</v>
      </c>
      <c r="G917" s="2" t="str">
        <f>IFERROR(__xludf.DUMMYFUNCTION("IF('From Order'!$A917=COLUMNS($A917:G936), LEFT(INDEX(FILTER(G$1:G916, G$1:G916&lt;&gt;""""),COUNTA(FILTER(G$1:G916, G$1:G916&lt;&gt;""""))), LEN(INDEX(FILTER(G$1:G916, G$1:G916&lt;&gt;""""),COUNTA(FILTER(G$1:G916, G$1:G916&lt;&gt;""""))))-1), IF('To Order'!$A917=COLUMNS($A917:G"&amp;"936), G916&amp;RIGHT(INDIRECT(ADDRESS(ROW(G917)-1, 'From Order'!$A917)), 1), G916))"),"")</f>
        <v/>
      </c>
      <c r="H917" s="2" t="str">
        <f>IFERROR(__xludf.DUMMYFUNCTION("IF('From Order'!$A917=COLUMNS($A917:H936), LEFT(INDEX(FILTER(H$1:H916, H$1:H916&lt;&gt;""""),COUNTA(FILTER(H$1:H916, H$1:H916&lt;&gt;""""))), LEN(INDEX(FILTER(H$1:H916, H$1:H916&lt;&gt;""""),COUNTA(FILTER(H$1:H916, H$1:H916&lt;&gt;""""))))-1), IF('To Order'!$A917=COLUMNS($A917:H"&amp;"936), H916&amp;RIGHT(INDIRECT(ADDRESS(ROW(H917)-1, 'From Order'!$A917)), 1), H916))"),"PDSSGHWQVQRLRTD")</f>
        <v>PDSSGHWQVQRLRTD</v>
      </c>
      <c r="I917" s="2" t="str">
        <f>IFERROR(__xludf.DUMMYFUNCTION("IF('From Order'!$A917=COLUMNS($A917:I936), LEFT(INDEX(FILTER(I$1:I916, I$1:I916&lt;&gt;""""),COUNTA(FILTER(I$1:I916, I$1:I916&lt;&gt;""""))), LEN(INDEX(FILTER(I$1:I916, I$1:I916&lt;&gt;""""),COUNTA(FILTER(I$1:I916, I$1:I916&lt;&gt;""""))))-1), IF('To Order'!$A917=COLUMNS($A917:I"&amp;"936), I916&amp;RIGHT(INDIRECT(ADDRESS(ROW(I917)-1, 'From Order'!$A917)), 1), I916))"),"LZM")</f>
        <v>LZM</v>
      </c>
    </row>
    <row r="918">
      <c r="A918" s="2" t="str">
        <f>IFERROR(__xludf.DUMMYFUNCTION("IF('From Order'!$A918=COLUMNS($A918:A937), LEFT(INDEX(FILTER(A$1:A917, A$1:A917&lt;&gt;""""),COUNTA(FILTER(A$1:A917, A$1:A917&lt;&gt;""""))), LEN(INDEX(FILTER(A$1:A917, A$1:A917&lt;&gt;""""),COUNTA(FILTER(A$1:A917, A$1:A917&lt;&gt;""""))))-1), IF('To Order'!$A918=COLUMNS($A918:A"&amp;"937), A917&amp;RIGHT(INDIRECT(ADDRESS(ROW(A918)-1, 'From Order'!$A918)), 1), A917))"),"JTTC")</f>
        <v>JTTC</v>
      </c>
      <c r="B918" s="2" t="str">
        <f>IFERROR(__xludf.DUMMYFUNCTION("IF('From Order'!$A918=COLUMNS($A918:B937), LEFT(INDEX(FILTER(B$1:B917, B$1:B917&lt;&gt;""""),COUNTA(FILTER(B$1:B917, B$1:B917&lt;&gt;""""))), LEN(INDEX(FILTER(B$1:B917, B$1:B917&lt;&gt;""""),COUNTA(FILTER(B$1:B917, B$1:B917&lt;&gt;""""))))-1), IF('To Order'!$A918=COLUMNS($A918:B"&amp;"937), B917&amp;RIGHT(INDIRECT(ADDRESS(ROW(B918)-1, 'From Order'!$A918)), 1), B917))"),"JZR")</f>
        <v>JZR</v>
      </c>
      <c r="C918" s="2" t="str">
        <f>IFERROR(__xludf.DUMMYFUNCTION("IF('From Order'!$A918=COLUMNS($A918:C937), LEFT(INDEX(FILTER(C$1:C917, C$1:C917&lt;&gt;""""),COUNTA(FILTER(C$1:C917, C$1:C917&lt;&gt;""""))), LEN(INDEX(FILTER(C$1:C917, C$1:C917&lt;&gt;""""),COUNTA(FILTER(C$1:C917, C$1:C917&lt;&gt;""""))))-1), IF('To Order'!$A918=COLUMNS($A918:C"&amp;"937), C917&amp;RIGHT(INDIRECT(ADDRESS(ROW(C918)-1, 'From Order'!$A918)), 1), C917))"),"")</f>
        <v/>
      </c>
      <c r="D918" s="2" t="str">
        <f>IFERROR(__xludf.DUMMYFUNCTION("IF('From Order'!$A918=COLUMNS($A918:D937), LEFT(INDEX(FILTER(D$1:D917, D$1:D917&lt;&gt;""""),COUNTA(FILTER(D$1:D917, D$1:D917&lt;&gt;""""))), LEN(INDEX(FILTER(D$1:D917, D$1:D917&lt;&gt;""""),COUNTA(FILTER(D$1:D917, D$1:D917&lt;&gt;""""))))-1), IF('To Order'!$A918=COLUMNS($A918:D"&amp;"937), D917&amp;RIGHT(INDIRECT(ADDRESS(ROW(D918)-1, 'From Order'!$A918)), 1), D917))"),"BFMHZBSBPPVJCVR")</f>
        <v>BFMHZBSBPPVJCVR</v>
      </c>
      <c r="E918" s="2" t="str">
        <f>IFERROR(__xludf.DUMMYFUNCTION("IF('From Order'!$A918=COLUMNS($A918:E937), LEFT(INDEX(FILTER(E$1:E917, E$1:E917&lt;&gt;""""),COUNTA(FILTER(E$1:E917, E$1:E917&lt;&gt;""""))), LEN(INDEX(FILTER(E$1:E917, E$1:E917&lt;&gt;""""),COUNTA(FILTER(E$1:E917, E$1:E917&lt;&gt;""""))))-1), IF('To Order'!$A918=COLUMNS($A918:E"&amp;"937), E917&amp;RIGHT(INDIRECT(ADDRESS(ROW(E918)-1, 'From Order'!$A918)), 1), E917))"),"MGCD")</f>
        <v>MGCD</v>
      </c>
      <c r="F918" s="2" t="str">
        <f>IFERROR(__xludf.DUMMYFUNCTION("IF('From Order'!$A918=COLUMNS($A918:F937), LEFT(INDEX(FILTER(F$1:F917, F$1:F917&lt;&gt;""""),COUNTA(FILTER(F$1:F917, F$1:F917&lt;&gt;""""))), LEN(INDEX(FILTER(F$1:F917, F$1:F917&lt;&gt;""""),COUNTA(FILTER(F$1:F917, F$1:F917&lt;&gt;""""))))-1), IF('To Order'!$A918=COLUMNS($A918:F"&amp;"937), F917&amp;RIGHT(INDIRECT(ADDRESS(ROW(F918)-1, 'From Order'!$A918)), 1), F917))"),"FSLTTWRDTDBD")</f>
        <v>FSLTTWRDTDBD</v>
      </c>
      <c r="G918" s="2" t="str">
        <f>IFERROR(__xludf.DUMMYFUNCTION("IF('From Order'!$A918=COLUMNS($A918:G937), LEFT(INDEX(FILTER(G$1:G917, G$1:G917&lt;&gt;""""),COUNTA(FILTER(G$1:G917, G$1:G917&lt;&gt;""""))), LEN(INDEX(FILTER(G$1:G917, G$1:G917&lt;&gt;""""),COUNTA(FILTER(G$1:G917, G$1:G917&lt;&gt;""""))))-1), IF('To Order'!$A918=COLUMNS($A918:G"&amp;"937), G917&amp;RIGHT(INDIRECT(ADDRESS(ROW(G918)-1, 'From Order'!$A918)), 1), G917))"),"")</f>
        <v/>
      </c>
      <c r="H918" s="2" t="str">
        <f>IFERROR(__xludf.DUMMYFUNCTION("IF('From Order'!$A918=COLUMNS($A918:H937), LEFT(INDEX(FILTER(H$1:H917, H$1:H917&lt;&gt;""""),COUNTA(FILTER(H$1:H917, H$1:H917&lt;&gt;""""))), LEN(INDEX(FILTER(H$1:H917, H$1:H917&lt;&gt;""""),COUNTA(FILTER(H$1:H917, H$1:H917&lt;&gt;""""))))-1), IF('To Order'!$A918=COLUMNS($A918:H"&amp;"937), H917&amp;RIGHT(INDIRECT(ADDRESS(ROW(H918)-1, 'From Order'!$A918)), 1), H917))"),"PDSSGHWQVQRLRTD")</f>
        <v>PDSSGHWQVQRLRTD</v>
      </c>
      <c r="I918" s="2" t="str">
        <f>IFERROR(__xludf.DUMMYFUNCTION("IF('From Order'!$A918=COLUMNS($A918:I937), LEFT(INDEX(FILTER(I$1:I917, I$1:I917&lt;&gt;""""),COUNTA(FILTER(I$1:I917, I$1:I917&lt;&gt;""""))), LEN(INDEX(FILTER(I$1:I917, I$1:I917&lt;&gt;""""),COUNTA(FILTER(I$1:I917, I$1:I917&lt;&gt;""""))))-1), IF('To Order'!$A918=COLUMNS($A918:I"&amp;"937), I917&amp;RIGHT(INDIRECT(ADDRESS(ROW(I918)-1, 'From Order'!$A918)), 1), I917))"),"LZM")</f>
        <v>LZM</v>
      </c>
    </row>
    <row r="919">
      <c r="A919" s="2" t="str">
        <f>IFERROR(__xludf.DUMMYFUNCTION("IF('From Order'!$A919=COLUMNS($A919:A938), LEFT(INDEX(FILTER(A$1:A918, A$1:A918&lt;&gt;""""),COUNTA(FILTER(A$1:A918, A$1:A918&lt;&gt;""""))), LEN(INDEX(FILTER(A$1:A918, A$1:A918&lt;&gt;""""),COUNTA(FILTER(A$1:A918, A$1:A918&lt;&gt;""""))))-1), IF('To Order'!$A919=COLUMNS($A919:A"&amp;"938), A918&amp;RIGHT(INDIRECT(ADDRESS(ROW(A919)-1, 'From Order'!$A919)), 1), A918))"),"JTTC")</f>
        <v>JTTC</v>
      </c>
      <c r="B919" s="2" t="str">
        <f>IFERROR(__xludf.DUMMYFUNCTION("IF('From Order'!$A919=COLUMNS($A919:B938), LEFT(INDEX(FILTER(B$1:B918, B$1:B918&lt;&gt;""""),COUNTA(FILTER(B$1:B918, B$1:B918&lt;&gt;""""))), LEN(INDEX(FILTER(B$1:B918, B$1:B918&lt;&gt;""""),COUNTA(FILTER(B$1:B918, B$1:B918&lt;&gt;""""))))-1), IF('To Order'!$A919=COLUMNS($A919:B"&amp;"938), B918&amp;RIGHT(INDIRECT(ADDRESS(ROW(B919)-1, 'From Order'!$A919)), 1), B918))"),"JZ")</f>
        <v>JZ</v>
      </c>
      <c r="C919" s="2" t="str">
        <f>IFERROR(__xludf.DUMMYFUNCTION("IF('From Order'!$A919=COLUMNS($A919:C938), LEFT(INDEX(FILTER(C$1:C918, C$1:C918&lt;&gt;""""),COUNTA(FILTER(C$1:C918, C$1:C918&lt;&gt;""""))), LEN(INDEX(FILTER(C$1:C918, C$1:C918&lt;&gt;""""),COUNTA(FILTER(C$1:C918, C$1:C918&lt;&gt;""""))))-1), IF('To Order'!$A919=COLUMNS($A919:C"&amp;"938), C918&amp;RIGHT(INDIRECT(ADDRESS(ROW(C919)-1, 'From Order'!$A919)), 1), C918))"),"")</f>
        <v/>
      </c>
      <c r="D919" s="2" t="str">
        <f>IFERROR(__xludf.DUMMYFUNCTION("IF('From Order'!$A919=COLUMNS($A919:D938), LEFT(INDEX(FILTER(D$1:D918, D$1:D918&lt;&gt;""""),COUNTA(FILTER(D$1:D918, D$1:D918&lt;&gt;""""))), LEN(INDEX(FILTER(D$1:D918, D$1:D918&lt;&gt;""""),COUNTA(FILTER(D$1:D918, D$1:D918&lt;&gt;""""))))-1), IF('To Order'!$A919=COLUMNS($A919:D"&amp;"938), D918&amp;RIGHT(INDIRECT(ADDRESS(ROW(D919)-1, 'From Order'!$A919)), 1), D918))"),"BFMHZBSBPPVJCVR")</f>
        <v>BFMHZBSBPPVJCVR</v>
      </c>
      <c r="E919" s="2" t="str">
        <f>IFERROR(__xludf.DUMMYFUNCTION("IF('From Order'!$A919=COLUMNS($A919:E938), LEFT(INDEX(FILTER(E$1:E918, E$1:E918&lt;&gt;""""),COUNTA(FILTER(E$1:E918, E$1:E918&lt;&gt;""""))), LEN(INDEX(FILTER(E$1:E918, E$1:E918&lt;&gt;""""),COUNTA(FILTER(E$1:E918, E$1:E918&lt;&gt;""""))))-1), IF('To Order'!$A919=COLUMNS($A919:E"&amp;"938), E918&amp;RIGHT(INDIRECT(ADDRESS(ROW(E919)-1, 'From Order'!$A919)), 1), E918))"),"MGCDR")</f>
        <v>MGCDR</v>
      </c>
      <c r="F919" s="2" t="str">
        <f>IFERROR(__xludf.DUMMYFUNCTION("IF('From Order'!$A919=COLUMNS($A919:F938), LEFT(INDEX(FILTER(F$1:F918, F$1:F918&lt;&gt;""""),COUNTA(FILTER(F$1:F918, F$1:F918&lt;&gt;""""))), LEN(INDEX(FILTER(F$1:F918, F$1:F918&lt;&gt;""""),COUNTA(FILTER(F$1:F918, F$1:F918&lt;&gt;""""))))-1), IF('To Order'!$A919=COLUMNS($A919:F"&amp;"938), F918&amp;RIGHT(INDIRECT(ADDRESS(ROW(F919)-1, 'From Order'!$A919)), 1), F918))"),"FSLTTWRDTDBD")</f>
        <v>FSLTTWRDTDBD</v>
      </c>
      <c r="G919" s="2" t="str">
        <f>IFERROR(__xludf.DUMMYFUNCTION("IF('From Order'!$A919=COLUMNS($A919:G938), LEFT(INDEX(FILTER(G$1:G918, G$1:G918&lt;&gt;""""),COUNTA(FILTER(G$1:G918, G$1:G918&lt;&gt;""""))), LEN(INDEX(FILTER(G$1:G918, G$1:G918&lt;&gt;""""),COUNTA(FILTER(G$1:G918, G$1:G918&lt;&gt;""""))))-1), IF('To Order'!$A919=COLUMNS($A919:G"&amp;"938), G918&amp;RIGHT(INDIRECT(ADDRESS(ROW(G919)-1, 'From Order'!$A919)), 1), G918))"),"")</f>
        <v/>
      </c>
      <c r="H919" s="2" t="str">
        <f>IFERROR(__xludf.DUMMYFUNCTION("IF('From Order'!$A919=COLUMNS($A919:H938), LEFT(INDEX(FILTER(H$1:H918, H$1:H918&lt;&gt;""""),COUNTA(FILTER(H$1:H918, H$1:H918&lt;&gt;""""))), LEN(INDEX(FILTER(H$1:H918, H$1:H918&lt;&gt;""""),COUNTA(FILTER(H$1:H918, H$1:H918&lt;&gt;""""))))-1), IF('To Order'!$A919=COLUMNS($A919:H"&amp;"938), H918&amp;RIGHT(INDIRECT(ADDRESS(ROW(H919)-1, 'From Order'!$A919)), 1), H918))"),"PDSSGHWQVQRLRTD")</f>
        <v>PDSSGHWQVQRLRTD</v>
      </c>
      <c r="I919" s="2" t="str">
        <f>IFERROR(__xludf.DUMMYFUNCTION("IF('From Order'!$A919=COLUMNS($A919:I938), LEFT(INDEX(FILTER(I$1:I918, I$1:I918&lt;&gt;""""),COUNTA(FILTER(I$1:I918, I$1:I918&lt;&gt;""""))), LEN(INDEX(FILTER(I$1:I918, I$1:I918&lt;&gt;""""),COUNTA(FILTER(I$1:I918, I$1:I918&lt;&gt;""""))))-1), IF('To Order'!$A919=COLUMNS($A919:I"&amp;"938), I918&amp;RIGHT(INDIRECT(ADDRESS(ROW(I919)-1, 'From Order'!$A919)), 1), I918))"),"LZM")</f>
        <v>LZM</v>
      </c>
    </row>
    <row r="920">
      <c r="A920" s="2" t="str">
        <f>IFERROR(__xludf.DUMMYFUNCTION("IF('From Order'!$A920=COLUMNS($A920:A939), LEFT(INDEX(FILTER(A$1:A919, A$1:A919&lt;&gt;""""),COUNTA(FILTER(A$1:A919, A$1:A919&lt;&gt;""""))), LEN(INDEX(FILTER(A$1:A919, A$1:A919&lt;&gt;""""),COUNTA(FILTER(A$1:A919, A$1:A919&lt;&gt;""""))))-1), IF('To Order'!$A920=COLUMNS($A920:A"&amp;"939), A919&amp;RIGHT(INDIRECT(ADDRESS(ROW(A920)-1, 'From Order'!$A920)), 1), A919))"),"JTTC")</f>
        <v>JTTC</v>
      </c>
      <c r="B920" s="2" t="str">
        <f>IFERROR(__xludf.DUMMYFUNCTION("IF('From Order'!$A920=COLUMNS($A920:B939), LEFT(INDEX(FILTER(B$1:B919, B$1:B919&lt;&gt;""""),COUNTA(FILTER(B$1:B919, B$1:B919&lt;&gt;""""))), LEN(INDEX(FILTER(B$1:B919, B$1:B919&lt;&gt;""""),COUNTA(FILTER(B$1:B919, B$1:B919&lt;&gt;""""))))-1), IF('To Order'!$A920=COLUMNS($A920:B"&amp;"939), B919&amp;RIGHT(INDIRECT(ADDRESS(ROW(B920)-1, 'From Order'!$A920)), 1), B919))"),"J")</f>
        <v>J</v>
      </c>
      <c r="C920" s="2" t="str">
        <f>IFERROR(__xludf.DUMMYFUNCTION("IF('From Order'!$A920=COLUMNS($A920:C939), LEFT(INDEX(FILTER(C$1:C919, C$1:C919&lt;&gt;""""),COUNTA(FILTER(C$1:C919, C$1:C919&lt;&gt;""""))), LEN(INDEX(FILTER(C$1:C919, C$1:C919&lt;&gt;""""),COUNTA(FILTER(C$1:C919, C$1:C919&lt;&gt;""""))))-1), IF('To Order'!$A920=COLUMNS($A920:C"&amp;"939), C919&amp;RIGHT(INDIRECT(ADDRESS(ROW(C920)-1, 'From Order'!$A920)), 1), C919))"),"")</f>
        <v/>
      </c>
      <c r="D920" s="2" t="str">
        <f>IFERROR(__xludf.DUMMYFUNCTION("IF('From Order'!$A920=COLUMNS($A920:D939), LEFT(INDEX(FILTER(D$1:D919, D$1:D919&lt;&gt;""""),COUNTA(FILTER(D$1:D919, D$1:D919&lt;&gt;""""))), LEN(INDEX(FILTER(D$1:D919, D$1:D919&lt;&gt;""""),COUNTA(FILTER(D$1:D919, D$1:D919&lt;&gt;""""))))-1), IF('To Order'!$A920=COLUMNS($A920:D"&amp;"939), D919&amp;RIGHT(INDIRECT(ADDRESS(ROW(D920)-1, 'From Order'!$A920)), 1), D919))"),"BFMHZBSBPPVJCVR")</f>
        <v>BFMHZBSBPPVJCVR</v>
      </c>
      <c r="E920" s="2" t="str">
        <f>IFERROR(__xludf.DUMMYFUNCTION("IF('From Order'!$A920=COLUMNS($A920:E939), LEFT(INDEX(FILTER(E$1:E919, E$1:E919&lt;&gt;""""),COUNTA(FILTER(E$1:E919, E$1:E919&lt;&gt;""""))), LEN(INDEX(FILTER(E$1:E919, E$1:E919&lt;&gt;""""),COUNTA(FILTER(E$1:E919, E$1:E919&lt;&gt;""""))))-1), IF('To Order'!$A920=COLUMNS($A920:E"&amp;"939), E919&amp;RIGHT(INDIRECT(ADDRESS(ROW(E920)-1, 'From Order'!$A920)), 1), E919))"),"MGCDRZ")</f>
        <v>MGCDRZ</v>
      </c>
      <c r="F920" s="2" t="str">
        <f>IFERROR(__xludf.DUMMYFUNCTION("IF('From Order'!$A920=COLUMNS($A920:F939), LEFT(INDEX(FILTER(F$1:F919, F$1:F919&lt;&gt;""""),COUNTA(FILTER(F$1:F919, F$1:F919&lt;&gt;""""))), LEN(INDEX(FILTER(F$1:F919, F$1:F919&lt;&gt;""""),COUNTA(FILTER(F$1:F919, F$1:F919&lt;&gt;""""))))-1), IF('To Order'!$A920=COLUMNS($A920:F"&amp;"939), F919&amp;RIGHT(INDIRECT(ADDRESS(ROW(F920)-1, 'From Order'!$A920)), 1), F919))"),"FSLTTWRDTDBD")</f>
        <v>FSLTTWRDTDBD</v>
      </c>
      <c r="G920" s="2" t="str">
        <f>IFERROR(__xludf.DUMMYFUNCTION("IF('From Order'!$A920=COLUMNS($A920:G939), LEFT(INDEX(FILTER(G$1:G919, G$1:G919&lt;&gt;""""),COUNTA(FILTER(G$1:G919, G$1:G919&lt;&gt;""""))), LEN(INDEX(FILTER(G$1:G919, G$1:G919&lt;&gt;""""),COUNTA(FILTER(G$1:G919, G$1:G919&lt;&gt;""""))))-1), IF('To Order'!$A920=COLUMNS($A920:G"&amp;"939), G919&amp;RIGHT(INDIRECT(ADDRESS(ROW(G920)-1, 'From Order'!$A920)), 1), G919))"),"")</f>
        <v/>
      </c>
      <c r="H920" s="2" t="str">
        <f>IFERROR(__xludf.DUMMYFUNCTION("IF('From Order'!$A920=COLUMNS($A920:H939), LEFT(INDEX(FILTER(H$1:H919, H$1:H919&lt;&gt;""""),COUNTA(FILTER(H$1:H919, H$1:H919&lt;&gt;""""))), LEN(INDEX(FILTER(H$1:H919, H$1:H919&lt;&gt;""""),COUNTA(FILTER(H$1:H919, H$1:H919&lt;&gt;""""))))-1), IF('To Order'!$A920=COLUMNS($A920:H"&amp;"939), H919&amp;RIGHT(INDIRECT(ADDRESS(ROW(H920)-1, 'From Order'!$A920)), 1), H919))"),"PDSSGHWQVQRLRTD")</f>
        <v>PDSSGHWQVQRLRTD</v>
      </c>
      <c r="I920" s="2" t="str">
        <f>IFERROR(__xludf.DUMMYFUNCTION("IF('From Order'!$A920=COLUMNS($A920:I939), LEFT(INDEX(FILTER(I$1:I919, I$1:I919&lt;&gt;""""),COUNTA(FILTER(I$1:I919, I$1:I919&lt;&gt;""""))), LEN(INDEX(FILTER(I$1:I919, I$1:I919&lt;&gt;""""),COUNTA(FILTER(I$1:I919, I$1:I919&lt;&gt;""""))))-1), IF('To Order'!$A920=COLUMNS($A920:I"&amp;"939), I919&amp;RIGHT(INDIRECT(ADDRESS(ROW(I920)-1, 'From Order'!$A920)), 1), I919))"),"LZM")</f>
        <v>LZM</v>
      </c>
    </row>
    <row r="921">
      <c r="A921" s="2" t="str">
        <f>IFERROR(__xludf.DUMMYFUNCTION("IF('From Order'!$A921=COLUMNS($A921:A940), LEFT(INDEX(FILTER(A$1:A920, A$1:A920&lt;&gt;""""),COUNTA(FILTER(A$1:A920, A$1:A920&lt;&gt;""""))), LEN(INDEX(FILTER(A$1:A920, A$1:A920&lt;&gt;""""),COUNTA(FILTER(A$1:A920, A$1:A920&lt;&gt;""""))))-1), IF('To Order'!$A921=COLUMNS($A921:A"&amp;"940), A920&amp;RIGHT(INDIRECT(ADDRESS(ROW(A921)-1, 'From Order'!$A921)), 1), A920))"),"JTTC")</f>
        <v>JTTC</v>
      </c>
      <c r="B921" s="2" t="str">
        <f>IFERROR(__xludf.DUMMYFUNCTION("IF('From Order'!$A921=COLUMNS($A921:B940), LEFT(INDEX(FILTER(B$1:B920, B$1:B920&lt;&gt;""""),COUNTA(FILTER(B$1:B920, B$1:B920&lt;&gt;""""))), LEN(INDEX(FILTER(B$1:B920, B$1:B920&lt;&gt;""""),COUNTA(FILTER(B$1:B920, B$1:B920&lt;&gt;""""))))-1), IF('To Order'!$A921=COLUMNS($A921:B"&amp;"940), B920&amp;RIGHT(INDIRECT(ADDRESS(ROW(B921)-1, 'From Order'!$A921)), 1), B920))"),"J")</f>
        <v>J</v>
      </c>
      <c r="C921" s="2" t="str">
        <f>IFERROR(__xludf.DUMMYFUNCTION("IF('From Order'!$A921=COLUMNS($A921:C940), LEFT(INDEX(FILTER(C$1:C920, C$1:C920&lt;&gt;""""),COUNTA(FILTER(C$1:C920, C$1:C920&lt;&gt;""""))), LEN(INDEX(FILTER(C$1:C920, C$1:C920&lt;&gt;""""),COUNTA(FILTER(C$1:C920, C$1:C920&lt;&gt;""""))))-1), IF('To Order'!$A921=COLUMNS($A921:C"&amp;"940), C920&amp;RIGHT(INDIRECT(ADDRESS(ROW(C921)-1, 'From Order'!$A921)), 1), C920))"),"")</f>
        <v/>
      </c>
      <c r="D921" s="2" t="str">
        <f>IFERROR(__xludf.DUMMYFUNCTION("IF('From Order'!$A921=COLUMNS($A921:D940), LEFT(INDEX(FILTER(D$1:D920, D$1:D920&lt;&gt;""""),COUNTA(FILTER(D$1:D920, D$1:D920&lt;&gt;""""))), LEN(INDEX(FILTER(D$1:D920, D$1:D920&lt;&gt;""""),COUNTA(FILTER(D$1:D920, D$1:D920&lt;&gt;""""))))-1), IF('To Order'!$A921=COLUMNS($A921:D"&amp;"940), D920&amp;RIGHT(INDIRECT(ADDRESS(ROW(D921)-1, 'From Order'!$A921)), 1), D920))"),"BFMHZBSBPPVJCV")</f>
        <v>BFMHZBSBPPVJCV</v>
      </c>
      <c r="E921" s="2" t="str">
        <f>IFERROR(__xludf.DUMMYFUNCTION("IF('From Order'!$A921=COLUMNS($A921:E940), LEFT(INDEX(FILTER(E$1:E920, E$1:E920&lt;&gt;""""),COUNTA(FILTER(E$1:E920, E$1:E920&lt;&gt;""""))), LEN(INDEX(FILTER(E$1:E920, E$1:E920&lt;&gt;""""),COUNTA(FILTER(E$1:E920, E$1:E920&lt;&gt;""""))))-1), IF('To Order'!$A921=COLUMNS($A921:E"&amp;"940), E920&amp;RIGHT(INDIRECT(ADDRESS(ROW(E921)-1, 'From Order'!$A921)), 1), E920))"),"MGCDRZ")</f>
        <v>MGCDRZ</v>
      </c>
      <c r="F921" s="2" t="str">
        <f>IFERROR(__xludf.DUMMYFUNCTION("IF('From Order'!$A921=COLUMNS($A921:F940), LEFT(INDEX(FILTER(F$1:F920, F$1:F920&lt;&gt;""""),COUNTA(FILTER(F$1:F920, F$1:F920&lt;&gt;""""))), LEN(INDEX(FILTER(F$1:F920, F$1:F920&lt;&gt;""""),COUNTA(FILTER(F$1:F920, F$1:F920&lt;&gt;""""))))-1), IF('To Order'!$A921=COLUMNS($A921:F"&amp;"940), F920&amp;RIGHT(INDIRECT(ADDRESS(ROW(F921)-1, 'From Order'!$A921)), 1), F920))"),"FSLTTWRDTDBD")</f>
        <v>FSLTTWRDTDBD</v>
      </c>
      <c r="G921" s="2" t="str">
        <f>IFERROR(__xludf.DUMMYFUNCTION("IF('From Order'!$A921=COLUMNS($A921:G940), LEFT(INDEX(FILTER(G$1:G920, G$1:G920&lt;&gt;""""),COUNTA(FILTER(G$1:G920, G$1:G920&lt;&gt;""""))), LEN(INDEX(FILTER(G$1:G920, G$1:G920&lt;&gt;""""),COUNTA(FILTER(G$1:G920, G$1:G920&lt;&gt;""""))))-1), IF('To Order'!$A921=COLUMNS($A921:G"&amp;"940), G920&amp;RIGHT(INDIRECT(ADDRESS(ROW(G921)-1, 'From Order'!$A921)), 1), G920))"),"")</f>
        <v/>
      </c>
      <c r="H921" s="2" t="str">
        <f>IFERROR(__xludf.DUMMYFUNCTION("IF('From Order'!$A921=COLUMNS($A921:H940), LEFT(INDEX(FILTER(H$1:H920, H$1:H920&lt;&gt;""""),COUNTA(FILTER(H$1:H920, H$1:H920&lt;&gt;""""))), LEN(INDEX(FILTER(H$1:H920, H$1:H920&lt;&gt;""""),COUNTA(FILTER(H$1:H920, H$1:H920&lt;&gt;""""))))-1), IF('To Order'!$A921=COLUMNS($A921:H"&amp;"940), H920&amp;RIGHT(INDIRECT(ADDRESS(ROW(H921)-1, 'From Order'!$A921)), 1), H920))"),"PDSSGHWQVQRLRTD")</f>
        <v>PDSSGHWQVQRLRTD</v>
      </c>
      <c r="I921" s="2" t="str">
        <f>IFERROR(__xludf.DUMMYFUNCTION("IF('From Order'!$A921=COLUMNS($A921:I940), LEFT(INDEX(FILTER(I$1:I920, I$1:I920&lt;&gt;""""),COUNTA(FILTER(I$1:I920, I$1:I920&lt;&gt;""""))), LEN(INDEX(FILTER(I$1:I920, I$1:I920&lt;&gt;""""),COUNTA(FILTER(I$1:I920, I$1:I920&lt;&gt;""""))))-1), IF('To Order'!$A921=COLUMNS($A921:I"&amp;"940), I920&amp;RIGHT(INDIRECT(ADDRESS(ROW(I921)-1, 'From Order'!$A921)), 1), I920))"),"LZMR")</f>
        <v>LZMR</v>
      </c>
    </row>
    <row r="922">
      <c r="A922" s="2" t="str">
        <f>IFERROR(__xludf.DUMMYFUNCTION("IF('From Order'!$A922=COLUMNS($A922:A941), LEFT(INDEX(FILTER(A$1:A921, A$1:A921&lt;&gt;""""),COUNTA(FILTER(A$1:A921, A$1:A921&lt;&gt;""""))), LEN(INDEX(FILTER(A$1:A921, A$1:A921&lt;&gt;""""),COUNTA(FILTER(A$1:A921, A$1:A921&lt;&gt;""""))))-1), IF('To Order'!$A922=COLUMNS($A922:A"&amp;"941), A921&amp;RIGHT(INDIRECT(ADDRESS(ROW(A922)-1, 'From Order'!$A922)), 1), A921))"),"JTT")</f>
        <v>JTT</v>
      </c>
      <c r="B922" s="2" t="str">
        <f>IFERROR(__xludf.DUMMYFUNCTION("IF('From Order'!$A922=COLUMNS($A922:B941), LEFT(INDEX(FILTER(B$1:B921, B$1:B921&lt;&gt;""""),COUNTA(FILTER(B$1:B921, B$1:B921&lt;&gt;""""))), LEN(INDEX(FILTER(B$1:B921, B$1:B921&lt;&gt;""""),COUNTA(FILTER(B$1:B921, B$1:B921&lt;&gt;""""))))-1), IF('To Order'!$A922=COLUMNS($A922:B"&amp;"941), B921&amp;RIGHT(INDIRECT(ADDRESS(ROW(B922)-1, 'From Order'!$A922)), 1), B921))"),"J")</f>
        <v>J</v>
      </c>
      <c r="C922" s="2" t="str">
        <f>IFERROR(__xludf.DUMMYFUNCTION("IF('From Order'!$A922=COLUMNS($A922:C941), LEFT(INDEX(FILTER(C$1:C921, C$1:C921&lt;&gt;""""),COUNTA(FILTER(C$1:C921, C$1:C921&lt;&gt;""""))), LEN(INDEX(FILTER(C$1:C921, C$1:C921&lt;&gt;""""),COUNTA(FILTER(C$1:C921, C$1:C921&lt;&gt;""""))))-1), IF('To Order'!$A922=COLUMNS($A922:C"&amp;"941), C921&amp;RIGHT(INDIRECT(ADDRESS(ROW(C922)-1, 'From Order'!$A922)), 1), C921))"),"")</f>
        <v/>
      </c>
      <c r="D922" s="2" t="str">
        <f>IFERROR(__xludf.DUMMYFUNCTION("IF('From Order'!$A922=COLUMNS($A922:D941), LEFT(INDEX(FILTER(D$1:D921, D$1:D921&lt;&gt;""""),COUNTA(FILTER(D$1:D921, D$1:D921&lt;&gt;""""))), LEN(INDEX(FILTER(D$1:D921, D$1:D921&lt;&gt;""""),COUNTA(FILTER(D$1:D921, D$1:D921&lt;&gt;""""))))-1), IF('To Order'!$A922=COLUMNS($A922:D"&amp;"941), D921&amp;RIGHT(INDIRECT(ADDRESS(ROW(D922)-1, 'From Order'!$A922)), 1), D921))"),"BFMHZBSBPPVJCV")</f>
        <v>BFMHZBSBPPVJCV</v>
      </c>
      <c r="E922" s="2" t="str">
        <f>IFERROR(__xludf.DUMMYFUNCTION("IF('From Order'!$A922=COLUMNS($A922:E941), LEFT(INDEX(FILTER(E$1:E921, E$1:E921&lt;&gt;""""),COUNTA(FILTER(E$1:E921, E$1:E921&lt;&gt;""""))), LEN(INDEX(FILTER(E$1:E921, E$1:E921&lt;&gt;""""),COUNTA(FILTER(E$1:E921, E$1:E921&lt;&gt;""""))))-1), IF('To Order'!$A922=COLUMNS($A922:E"&amp;"941), E921&amp;RIGHT(INDIRECT(ADDRESS(ROW(E922)-1, 'From Order'!$A922)), 1), E921))"),"MGCDRZ")</f>
        <v>MGCDRZ</v>
      </c>
      <c r="F922" s="2" t="str">
        <f>IFERROR(__xludf.DUMMYFUNCTION("IF('From Order'!$A922=COLUMNS($A922:F941), LEFT(INDEX(FILTER(F$1:F921, F$1:F921&lt;&gt;""""),COUNTA(FILTER(F$1:F921, F$1:F921&lt;&gt;""""))), LEN(INDEX(FILTER(F$1:F921, F$1:F921&lt;&gt;""""),COUNTA(FILTER(F$1:F921, F$1:F921&lt;&gt;""""))))-1), IF('To Order'!$A922=COLUMNS($A922:F"&amp;"941), F921&amp;RIGHT(INDIRECT(ADDRESS(ROW(F922)-1, 'From Order'!$A922)), 1), F921))"),"FSLTTWRDTDBD")</f>
        <v>FSLTTWRDTDBD</v>
      </c>
      <c r="G922" s="2" t="str">
        <f>IFERROR(__xludf.DUMMYFUNCTION("IF('From Order'!$A922=COLUMNS($A922:G941), LEFT(INDEX(FILTER(G$1:G921, G$1:G921&lt;&gt;""""),COUNTA(FILTER(G$1:G921, G$1:G921&lt;&gt;""""))), LEN(INDEX(FILTER(G$1:G921, G$1:G921&lt;&gt;""""),COUNTA(FILTER(G$1:G921, G$1:G921&lt;&gt;""""))))-1), IF('To Order'!$A922=COLUMNS($A922:G"&amp;"941), G921&amp;RIGHT(INDIRECT(ADDRESS(ROW(G922)-1, 'From Order'!$A922)), 1), G921))"),"")</f>
        <v/>
      </c>
      <c r="H922" s="2" t="str">
        <f>IFERROR(__xludf.DUMMYFUNCTION("IF('From Order'!$A922=COLUMNS($A922:H941), LEFT(INDEX(FILTER(H$1:H921, H$1:H921&lt;&gt;""""),COUNTA(FILTER(H$1:H921, H$1:H921&lt;&gt;""""))), LEN(INDEX(FILTER(H$1:H921, H$1:H921&lt;&gt;""""),COUNTA(FILTER(H$1:H921, H$1:H921&lt;&gt;""""))))-1), IF('To Order'!$A922=COLUMNS($A922:H"&amp;"941), H921&amp;RIGHT(INDIRECT(ADDRESS(ROW(H922)-1, 'From Order'!$A922)), 1), H921))"),"PDSSGHWQVQRLRTD")</f>
        <v>PDSSGHWQVQRLRTD</v>
      </c>
      <c r="I922" s="2" t="str">
        <f>IFERROR(__xludf.DUMMYFUNCTION("IF('From Order'!$A922=COLUMNS($A922:I941), LEFT(INDEX(FILTER(I$1:I921, I$1:I921&lt;&gt;""""),COUNTA(FILTER(I$1:I921, I$1:I921&lt;&gt;""""))), LEN(INDEX(FILTER(I$1:I921, I$1:I921&lt;&gt;""""),COUNTA(FILTER(I$1:I921, I$1:I921&lt;&gt;""""))))-1), IF('To Order'!$A922=COLUMNS($A922:I"&amp;"941), I921&amp;RIGHT(INDIRECT(ADDRESS(ROW(I922)-1, 'From Order'!$A922)), 1), I921))"),"LZMRC")</f>
        <v>LZMRC</v>
      </c>
    </row>
    <row r="923">
      <c r="A923" s="2" t="str">
        <f>IFERROR(__xludf.DUMMYFUNCTION("IF('From Order'!$A923=COLUMNS($A923:A942), LEFT(INDEX(FILTER(A$1:A922, A$1:A922&lt;&gt;""""),COUNTA(FILTER(A$1:A922, A$1:A922&lt;&gt;""""))), LEN(INDEX(FILTER(A$1:A922, A$1:A922&lt;&gt;""""),COUNTA(FILTER(A$1:A922, A$1:A922&lt;&gt;""""))))-1), IF('To Order'!$A923=COLUMNS($A923:A"&amp;"942), A922&amp;RIGHT(INDIRECT(ADDRESS(ROW(A923)-1, 'From Order'!$A923)), 1), A922))"),"JT")</f>
        <v>JT</v>
      </c>
      <c r="B923" s="2" t="str">
        <f>IFERROR(__xludf.DUMMYFUNCTION("IF('From Order'!$A923=COLUMNS($A923:B942), LEFT(INDEX(FILTER(B$1:B922, B$1:B922&lt;&gt;""""),COUNTA(FILTER(B$1:B922, B$1:B922&lt;&gt;""""))), LEN(INDEX(FILTER(B$1:B922, B$1:B922&lt;&gt;""""),COUNTA(FILTER(B$1:B922, B$1:B922&lt;&gt;""""))))-1), IF('To Order'!$A923=COLUMNS($A923:B"&amp;"942), B922&amp;RIGHT(INDIRECT(ADDRESS(ROW(B923)-1, 'From Order'!$A923)), 1), B922))"),"J")</f>
        <v>J</v>
      </c>
      <c r="C923" s="2" t="str">
        <f>IFERROR(__xludf.DUMMYFUNCTION("IF('From Order'!$A923=COLUMNS($A923:C942), LEFT(INDEX(FILTER(C$1:C922, C$1:C922&lt;&gt;""""),COUNTA(FILTER(C$1:C922, C$1:C922&lt;&gt;""""))), LEN(INDEX(FILTER(C$1:C922, C$1:C922&lt;&gt;""""),COUNTA(FILTER(C$1:C922, C$1:C922&lt;&gt;""""))))-1), IF('To Order'!$A923=COLUMNS($A923:C"&amp;"942), C922&amp;RIGHT(INDIRECT(ADDRESS(ROW(C923)-1, 'From Order'!$A923)), 1), C922))"),"")</f>
        <v/>
      </c>
      <c r="D923" s="2" t="str">
        <f>IFERROR(__xludf.DUMMYFUNCTION("IF('From Order'!$A923=COLUMNS($A923:D942), LEFT(INDEX(FILTER(D$1:D922, D$1:D922&lt;&gt;""""),COUNTA(FILTER(D$1:D922, D$1:D922&lt;&gt;""""))), LEN(INDEX(FILTER(D$1:D922, D$1:D922&lt;&gt;""""),COUNTA(FILTER(D$1:D922, D$1:D922&lt;&gt;""""))))-1), IF('To Order'!$A923=COLUMNS($A923:D"&amp;"942), D922&amp;RIGHT(INDIRECT(ADDRESS(ROW(D923)-1, 'From Order'!$A923)), 1), D922))"),"BFMHZBSBPPVJCV")</f>
        <v>BFMHZBSBPPVJCV</v>
      </c>
      <c r="E923" s="2" t="str">
        <f>IFERROR(__xludf.DUMMYFUNCTION("IF('From Order'!$A923=COLUMNS($A923:E942), LEFT(INDEX(FILTER(E$1:E922, E$1:E922&lt;&gt;""""),COUNTA(FILTER(E$1:E922, E$1:E922&lt;&gt;""""))), LEN(INDEX(FILTER(E$1:E922, E$1:E922&lt;&gt;""""),COUNTA(FILTER(E$1:E922, E$1:E922&lt;&gt;""""))))-1), IF('To Order'!$A923=COLUMNS($A923:E"&amp;"942), E922&amp;RIGHT(INDIRECT(ADDRESS(ROW(E923)-1, 'From Order'!$A923)), 1), E922))"),"MGCDRZ")</f>
        <v>MGCDRZ</v>
      </c>
      <c r="F923" s="2" t="str">
        <f>IFERROR(__xludf.DUMMYFUNCTION("IF('From Order'!$A923=COLUMNS($A923:F942), LEFT(INDEX(FILTER(F$1:F922, F$1:F922&lt;&gt;""""),COUNTA(FILTER(F$1:F922, F$1:F922&lt;&gt;""""))), LEN(INDEX(FILTER(F$1:F922, F$1:F922&lt;&gt;""""),COUNTA(FILTER(F$1:F922, F$1:F922&lt;&gt;""""))))-1), IF('To Order'!$A923=COLUMNS($A923:F"&amp;"942), F922&amp;RIGHT(INDIRECT(ADDRESS(ROW(F923)-1, 'From Order'!$A923)), 1), F922))"),"FSLTTWRDTDBD")</f>
        <v>FSLTTWRDTDBD</v>
      </c>
      <c r="G923" s="2" t="str">
        <f>IFERROR(__xludf.DUMMYFUNCTION("IF('From Order'!$A923=COLUMNS($A923:G942), LEFT(INDEX(FILTER(G$1:G922, G$1:G922&lt;&gt;""""),COUNTA(FILTER(G$1:G922, G$1:G922&lt;&gt;""""))), LEN(INDEX(FILTER(G$1:G922, G$1:G922&lt;&gt;""""),COUNTA(FILTER(G$1:G922, G$1:G922&lt;&gt;""""))))-1), IF('To Order'!$A923=COLUMNS($A923:G"&amp;"942), G922&amp;RIGHT(INDIRECT(ADDRESS(ROW(G923)-1, 'From Order'!$A923)), 1), G922))"),"")</f>
        <v/>
      </c>
      <c r="H923" s="2" t="str">
        <f>IFERROR(__xludf.DUMMYFUNCTION("IF('From Order'!$A923=COLUMNS($A923:H942), LEFT(INDEX(FILTER(H$1:H922, H$1:H922&lt;&gt;""""),COUNTA(FILTER(H$1:H922, H$1:H922&lt;&gt;""""))), LEN(INDEX(FILTER(H$1:H922, H$1:H922&lt;&gt;""""),COUNTA(FILTER(H$1:H922, H$1:H922&lt;&gt;""""))))-1), IF('To Order'!$A923=COLUMNS($A923:H"&amp;"942), H922&amp;RIGHT(INDIRECT(ADDRESS(ROW(H923)-1, 'From Order'!$A923)), 1), H922))"),"PDSSGHWQVQRLRTD")</f>
        <v>PDSSGHWQVQRLRTD</v>
      </c>
      <c r="I923" s="2" t="str">
        <f>IFERROR(__xludf.DUMMYFUNCTION("IF('From Order'!$A923=COLUMNS($A923:I942), LEFT(INDEX(FILTER(I$1:I922, I$1:I922&lt;&gt;""""),COUNTA(FILTER(I$1:I922, I$1:I922&lt;&gt;""""))), LEN(INDEX(FILTER(I$1:I922, I$1:I922&lt;&gt;""""),COUNTA(FILTER(I$1:I922, I$1:I922&lt;&gt;""""))))-1), IF('To Order'!$A923=COLUMNS($A923:I"&amp;"942), I922&amp;RIGHT(INDIRECT(ADDRESS(ROW(I923)-1, 'From Order'!$A923)), 1), I922))"),"LZMRCT")</f>
        <v>LZMRCT</v>
      </c>
    </row>
    <row r="924">
      <c r="A924" s="2" t="str">
        <f>IFERROR(__xludf.DUMMYFUNCTION("IF('From Order'!$A924=COLUMNS($A924:A943), LEFT(INDEX(FILTER(A$1:A923, A$1:A923&lt;&gt;""""),COUNTA(FILTER(A$1:A923, A$1:A923&lt;&gt;""""))), LEN(INDEX(FILTER(A$1:A923, A$1:A923&lt;&gt;""""),COUNTA(FILTER(A$1:A923, A$1:A923&lt;&gt;""""))))-1), IF('To Order'!$A924=COLUMNS($A924:A"&amp;"943), A923&amp;RIGHT(INDIRECT(ADDRESS(ROW(A924)-1, 'From Order'!$A924)), 1), A923))"),"J")</f>
        <v>J</v>
      </c>
      <c r="B924" s="2" t="str">
        <f>IFERROR(__xludf.DUMMYFUNCTION("IF('From Order'!$A924=COLUMNS($A924:B943), LEFT(INDEX(FILTER(B$1:B923, B$1:B923&lt;&gt;""""),COUNTA(FILTER(B$1:B923, B$1:B923&lt;&gt;""""))), LEN(INDEX(FILTER(B$1:B923, B$1:B923&lt;&gt;""""),COUNTA(FILTER(B$1:B923, B$1:B923&lt;&gt;""""))))-1), IF('To Order'!$A924=COLUMNS($A924:B"&amp;"943), B923&amp;RIGHT(INDIRECT(ADDRESS(ROW(B924)-1, 'From Order'!$A924)), 1), B923))"),"J")</f>
        <v>J</v>
      </c>
      <c r="C924" s="2" t="str">
        <f>IFERROR(__xludf.DUMMYFUNCTION("IF('From Order'!$A924=COLUMNS($A924:C943), LEFT(INDEX(FILTER(C$1:C923, C$1:C923&lt;&gt;""""),COUNTA(FILTER(C$1:C923, C$1:C923&lt;&gt;""""))), LEN(INDEX(FILTER(C$1:C923, C$1:C923&lt;&gt;""""),COUNTA(FILTER(C$1:C923, C$1:C923&lt;&gt;""""))))-1), IF('To Order'!$A924=COLUMNS($A924:C"&amp;"943), C923&amp;RIGHT(INDIRECT(ADDRESS(ROW(C924)-1, 'From Order'!$A924)), 1), C923))"),"")</f>
        <v/>
      </c>
      <c r="D924" s="2" t="str">
        <f>IFERROR(__xludf.DUMMYFUNCTION("IF('From Order'!$A924=COLUMNS($A924:D943), LEFT(INDEX(FILTER(D$1:D923, D$1:D923&lt;&gt;""""),COUNTA(FILTER(D$1:D923, D$1:D923&lt;&gt;""""))), LEN(INDEX(FILTER(D$1:D923, D$1:D923&lt;&gt;""""),COUNTA(FILTER(D$1:D923, D$1:D923&lt;&gt;""""))))-1), IF('To Order'!$A924=COLUMNS($A924:D"&amp;"943), D923&amp;RIGHT(INDIRECT(ADDRESS(ROW(D924)-1, 'From Order'!$A924)), 1), D923))"),"BFMHZBSBPPVJCV")</f>
        <v>BFMHZBSBPPVJCV</v>
      </c>
      <c r="E924" s="2" t="str">
        <f>IFERROR(__xludf.DUMMYFUNCTION("IF('From Order'!$A924=COLUMNS($A924:E943), LEFT(INDEX(FILTER(E$1:E923, E$1:E923&lt;&gt;""""),COUNTA(FILTER(E$1:E923, E$1:E923&lt;&gt;""""))), LEN(INDEX(FILTER(E$1:E923, E$1:E923&lt;&gt;""""),COUNTA(FILTER(E$1:E923, E$1:E923&lt;&gt;""""))))-1), IF('To Order'!$A924=COLUMNS($A924:E"&amp;"943), E923&amp;RIGHT(INDIRECT(ADDRESS(ROW(E924)-1, 'From Order'!$A924)), 1), E923))"),"MGCDRZ")</f>
        <v>MGCDRZ</v>
      </c>
      <c r="F924" s="2" t="str">
        <f>IFERROR(__xludf.DUMMYFUNCTION("IF('From Order'!$A924=COLUMNS($A924:F943), LEFT(INDEX(FILTER(F$1:F923, F$1:F923&lt;&gt;""""),COUNTA(FILTER(F$1:F923, F$1:F923&lt;&gt;""""))), LEN(INDEX(FILTER(F$1:F923, F$1:F923&lt;&gt;""""),COUNTA(FILTER(F$1:F923, F$1:F923&lt;&gt;""""))))-1), IF('To Order'!$A924=COLUMNS($A924:F"&amp;"943), F923&amp;RIGHT(INDIRECT(ADDRESS(ROW(F924)-1, 'From Order'!$A924)), 1), F923))"),"FSLTTWRDTDBD")</f>
        <v>FSLTTWRDTDBD</v>
      </c>
      <c r="G924" s="2" t="str">
        <f>IFERROR(__xludf.DUMMYFUNCTION("IF('From Order'!$A924=COLUMNS($A924:G943), LEFT(INDEX(FILTER(G$1:G923, G$1:G923&lt;&gt;""""),COUNTA(FILTER(G$1:G923, G$1:G923&lt;&gt;""""))), LEN(INDEX(FILTER(G$1:G923, G$1:G923&lt;&gt;""""),COUNTA(FILTER(G$1:G923, G$1:G923&lt;&gt;""""))))-1), IF('To Order'!$A924=COLUMNS($A924:G"&amp;"943), G923&amp;RIGHT(INDIRECT(ADDRESS(ROW(G924)-1, 'From Order'!$A924)), 1), G923))"),"")</f>
        <v/>
      </c>
      <c r="H924" s="2" t="str">
        <f>IFERROR(__xludf.DUMMYFUNCTION("IF('From Order'!$A924=COLUMNS($A924:H943), LEFT(INDEX(FILTER(H$1:H923, H$1:H923&lt;&gt;""""),COUNTA(FILTER(H$1:H923, H$1:H923&lt;&gt;""""))), LEN(INDEX(FILTER(H$1:H923, H$1:H923&lt;&gt;""""),COUNTA(FILTER(H$1:H923, H$1:H923&lt;&gt;""""))))-1), IF('To Order'!$A924=COLUMNS($A924:H"&amp;"943), H923&amp;RIGHT(INDIRECT(ADDRESS(ROW(H924)-1, 'From Order'!$A924)), 1), H923))"),"PDSSGHWQVQRLRTD")</f>
        <v>PDSSGHWQVQRLRTD</v>
      </c>
      <c r="I924" s="2" t="str">
        <f>IFERROR(__xludf.DUMMYFUNCTION("IF('From Order'!$A924=COLUMNS($A924:I943), LEFT(INDEX(FILTER(I$1:I923, I$1:I923&lt;&gt;""""),COUNTA(FILTER(I$1:I923, I$1:I923&lt;&gt;""""))), LEN(INDEX(FILTER(I$1:I923, I$1:I923&lt;&gt;""""),COUNTA(FILTER(I$1:I923, I$1:I923&lt;&gt;""""))))-1), IF('To Order'!$A924=COLUMNS($A924:I"&amp;"943), I923&amp;RIGHT(INDIRECT(ADDRESS(ROW(I924)-1, 'From Order'!$A924)), 1), I923))"),"LZMRCTT")</f>
        <v>LZMRCTT</v>
      </c>
    </row>
    <row r="925">
      <c r="A925" s="2" t="str">
        <f>IFERROR(__xludf.DUMMYFUNCTION("IF('From Order'!$A925=COLUMNS($A925:A944), LEFT(INDEX(FILTER(A$1:A924, A$1:A924&lt;&gt;""""),COUNTA(FILTER(A$1:A924, A$1:A924&lt;&gt;""""))), LEN(INDEX(FILTER(A$1:A924, A$1:A924&lt;&gt;""""),COUNTA(FILTER(A$1:A924, A$1:A924&lt;&gt;""""))))-1), IF('To Order'!$A925=COLUMNS($A925:A"&amp;"944), A924&amp;RIGHT(INDIRECT(ADDRESS(ROW(A925)-1, 'From Order'!$A925)), 1), A924))"),"J")</f>
        <v>J</v>
      </c>
      <c r="B925" s="2" t="str">
        <f>IFERROR(__xludf.DUMMYFUNCTION("IF('From Order'!$A925=COLUMNS($A925:B944), LEFT(INDEX(FILTER(B$1:B924, B$1:B924&lt;&gt;""""),COUNTA(FILTER(B$1:B924, B$1:B924&lt;&gt;""""))), LEN(INDEX(FILTER(B$1:B924, B$1:B924&lt;&gt;""""),COUNTA(FILTER(B$1:B924, B$1:B924&lt;&gt;""""))))-1), IF('To Order'!$A925=COLUMNS($A925:B"&amp;"944), B924&amp;RIGHT(INDIRECT(ADDRESS(ROW(B925)-1, 'From Order'!$A925)), 1), B924))"),"J")</f>
        <v>J</v>
      </c>
      <c r="C925" s="2" t="str">
        <f>IFERROR(__xludf.DUMMYFUNCTION("IF('From Order'!$A925=COLUMNS($A925:C944), LEFT(INDEX(FILTER(C$1:C924, C$1:C924&lt;&gt;""""),COUNTA(FILTER(C$1:C924, C$1:C924&lt;&gt;""""))), LEN(INDEX(FILTER(C$1:C924, C$1:C924&lt;&gt;""""),COUNTA(FILTER(C$1:C924, C$1:C924&lt;&gt;""""))))-1), IF('To Order'!$A925=COLUMNS($A925:C"&amp;"944), C924&amp;RIGHT(INDIRECT(ADDRESS(ROW(C925)-1, 'From Order'!$A925)), 1), C924))"),"")</f>
        <v/>
      </c>
      <c r="D925" s="2" t="str">
        <f>IFERROR(__xludf.DUMMYFUNCTION("IF('From Order'!$A925=COLUMNS($A925:D944), LEFT(INDEX(FILTER(D$1:D924, D$1:D924&lt;&gt;""""),COUNTA(FILTER(D$1:D924, D$1:D924&lt;&gt;""""))), LEN(INDEX(FILTER(D$1:D924, D$1:D924&lt;&gt;""""),COUNTA(FILTER(D$1:D924, D$1:D924&lt;&gt;""""))))-1), IF('To Order'!$A925=COLUMNS($A925:D"&amp;"944), D924&amp;RIGHT(INDIRECT(ADDRESS(ROW(D925)-1, 'From Order'!$A925)), 1), D924))"),"BFMHZBSBPPVJC")</f>
        <v>BFMHZBSBPPVJC</v>
      </c>
      <c r="E925" s="2" t="str">
        <f>IFERROR(__xludf.DUMMYFUNCTION("IF('From Order'!$A925=COLUMNS($A925:E944), LEFT(INDEX(FILTER(E$1:E924, E$1:E924&lt;&gt;""""),COUNTA(FILTER(E$1:E924, E$1:E924&lt;&gt;""""))), LEN(INDEX(FILTER(E$1:E924, E$1:E924&lt;&gt;""""),COUNTA(FILTER(E$1:E924, E$1:E924&lt;&gt;""""))))-1), IF('To Order'!$A925=COLUMNS($A925:E"&amp;"944), E924&amp;RIGHT(INDIRECT(ADDRESS(ROW(E925)-1, 'From Order'!$A925)), 1), E924))"),"MGCDRZV")</f>
        <v>MGCDRZV</v>
      </c>
      <c r="F925" s="2" t="str">
        <f>IFERROR(__xludf.DUMMYFUNCTION("IF('From Order'!$A925=COLUMNS($A925:F944), LEFT(INDEX(FILTER(F$1:F924, F$1:F924&lt;&gt;""""),COUNTA(FILTER(F$1:F924, F$1:F924&lt;&gt;""""))), LEN(INDEX(FILTER(F$1:F924, F$1:F924&lt;&gt;""""),COUNTA(FILTER(F$1:F924, F$1:F924&lt;&gt;""""))))-1), IF('To Order'!$A925=COLUMNS($A925:F"&amp;"944), F924&amp;RIGHT(INDIRECT(ADDRESS(ROW(F925)-1, 'From Order'!$A925)), 1), F924))"),"FSLTTWRDTDBD")</f>
        <v>FSLTTWRDTDBD</v>
      </c>
      <c r="G925" s="2" t="str">
        <f>IFERROR(__xludf.DUMMYFUNCTION("IF('From Order'!$A925=COLUMNS($A925:G944), LEFT(INDEX(FILTER(G$1:G924, G$1:G924&lt;&gt;""""),COUNTA(FILTER(G$1:G924, G$1:G924&lt;&gt;""""))), LEN(INDEX(FILTER(G$1:G924, G$1:G924&lt;&gt;""""),COUNTA(FILTER(G$1:G924, G$1:G924&lt;&gt;""""))))-1), IF('To Order'!$A925=COLUMNS($A925:G"&amp;"944), G924&amp;RIGHT(INDIRECT(ADDRESS(ROW(G925)-1, 'From Order'!$A925)), 1), G924))"),"")</f>
        <v/>
      </c>
      <c r="H925" s="2" t="str">
        <f>IFERROR(__xludf.DUMMYFUNCTION("IF('From Order'!$A925=COLUMNS($A925:H944), LEFT(INDEX(FILTER(H$1:H924, H$1:H924&lt;&gt;""""),COUNTA(FILTER(H$1:H924, H$1:H924&lt;&gt;""""))), LEN(INDEX(FILTER(H$1:H924, H$1:H924&lt;&gt;""""),COUNTA(FILTER(H$1:H924, H$1:H924&lt;&gt;""""))))-1), IF('To Order'!$A925=COLUMNS($A925:H"&amp;"944), H924&amp;RIGHT(INDIRECT(ADDRESS(ROW(H925)-1, 'From Order'!$A925)), 1), H924))"),"PDSSGHWQVQRLRTD")</f>
        <v>PDSSGHWQVQRLRTD</v>
      </c>
      <c r="I925" s="2" t="str">
        <f>IFERROR(__xludf.DUMMYFUNCTION("IF('From Order'!$A925=COLUMNS($A925:I944), LEFT(INDEX(FILTER(I$1:I924, I$1:I924&lt;&gt;""""),COUNTA(FILTER(I$1:I924, I$1:I924&lt;&gt;""""))), LEN(INDEX(FILTER(I$1:I924, I$1:I924&lt;&gt;""""),COUNTA(FILTER(I$1:I924, I$1:I924&lt;&gt;""""))))-1), IF('To Order'!$A925=COLUMNS($A925:I"&amp;"944), I924&amp;RIGHT(INDIRECT(ADDRESS(ROW(I925)-1, 'From Order'!$A925)), 1), I924))"),"LZMRCTT")</f>
        <v>LZMRCTT</v>
      </c>
    </row>
    <row r="926">
      <c r="A926" s="2" t="str">
        <f>IFERROR(__xludf.DUMMYFUNCTION("IF('From Order'!$A926=COLUMNS($A926:A945), LEFT(INDEX(FILTER(A$1:A925, A$1:A925&lt;&gt;""""),COUNTA(FILTER(A$1:A925, A$1:A925&lt;&gt;""""))), LEN(INDEX(FILTER(A$1:A925, A$1:A925&lt;&gt;""""),COUNTA(FILTER(A$1:A925, A$1:A925&lt;&gt;""""))))-1), IF('To Order'!$A926=COLUMNS($A926:A"&amp;"945), A925&amp;RIGHT(INDIRECT(ADDRESS(ROW(A926)-1, 'From Order'!$A926)), 1), A925))"),"J")</f>
        <v>J</v>
      </c>
      <c r="B926" s="2" t="str">
        <f>IFERROR(__xludf.DUMMYFUNCTION("IF('From Order'!$A926=COLUMNS($A926:B945), LEFT(INDEX(FILTER(B$1:B925, B$1:B925&lt;&gt;""""),COUNTA(FILTER(B$1:B925, B$1:B925&lt;&gt;""""))), LEN(INDEX(FILTER(B$1:B925, B$1:B925&lt;&gt;""""),COUNTA(FILTER(B$1:B925, B$1:B925&lt;&gt;""""))))-1), IF('To Order'!$A926=COLUMNS($A926:B"&amp;"945), B925&amp;RIGHT(INDIRECT(ADDRESS(ROW(B926)-1, 'From Order'!$A926)), 1), B925))"),"J")</f>
        <v>J</v>
      </c>
      <c r="C926" s="2" t="str">
        <f>IFERROR(__xludf.DUMMYFUNCTION("IF('From Order'!$A926=COLUMNS($A926:C945), LEFT(INDEX(FILTER(C$1:C925, C$1:C925&lt;&gt;""""),COUNTA(FILTER(C$1:C925, C$1:C925&lt;&gt;""""))), LEN(INDEX(FILTER(C$1:C925, C$1:C925&lt;&gt;""""),COUNTA(FILTER(C$1:C925, C$1:C925&lt;&gt;""""))))-1), IF('To Order'!$A926=COLUMNS($A926:C"&amp;"945), C925&amp;RIGHT(INDIRECT(ADDRESS(ROW(C926)-1, 'From Order'!$A926)), 1), C925))"),"")</f>
        <v/>
      </c>
      <c r="D926" s="2" t="str">
        <f>IFERROR(__xludf.DUMMYFUNCTION("IF('From Order'!$A926=COLUMNS($A926:D945), LEFT(INDEX(FILTER(D$1:D925, D$1:D925&lt;&gt;""""),COUNTA(FILTER(D$1:D925, D$1:D925&lt;&gt;""""))), LEN(INDEX(FILTER(D$1:D925, D$1:D925&lt;&gt;""""),COUNTA(FILTER(D$1:D925, D$1:D925&lt;&gt;""""))))-1), IF('To Order'!$A926=COLUMNS($A926:D"&amp;"945), D925&amp;RIGHT(INDIRECT(ADDRESS(ROW(D926)-1, 'From Order'!$A926)), 1), D925))"),"BFMHZBSBPPVJ")</f>
        <v>BFMHZBSBPPVJ</v>
      </c>
      <c r="E926" s="2" t="str">
        <f>IFERROR(__xludf.DUMMYFUNCTION("IF('From Order'!$A926=COLUMNS($A926:E945), LEFT(INDEX(FILTER(E$1:E925, E$1:E925&lt;&gt;""""),COUNTA(FILTER(E$1:E925, E$1:E925&lt;&gt;""""))), LEN(INDEX(FILTER(E$1:E925, E$1:E925&lt;&gt;""""),COUNTA(FILTER(E$1:E925, E$1:E925&lt;&gt;""""))))-1), IF('To Order'!$A926=COLUMNS($A926:E"&amp;"945), E925&amp;RIGHT(INDIRECT(ADDRESS(ROW(E926)-1, 'From Order'!$A926)), 1), E925))"),"MGCDRZVC")</f>
        <v>MGCDRZVC</v>
      </c>
      <c r="F926" s="2" t="str">
        <f>IFERROR(__xludf.DUMMYFUNCTION("IF('From Order'!$A926=COLUMNS($A926:F945), LEFT(INDEX(FILTER(F$1:F925, F$1:F925&lt;&gt;""""),COUNTA(FILTER(F$1:F925, F$1:F925&lt;&gt;""""))), LEN(INDEX(FILTER(F$1:F925, F$1:F925&lt;&gt;""""),COUNTA(FILTER(F$1:F925, F$1:F925&lt;&gt;""""))))-1), IF('To Order'!$A926=COLUMNS($A926:F"&amp;"945), F925&amp;RIGHT(INDIRECT(ADDRESS(ROW(F926)-1, 'From Order'!$A926)), 1), F925))"),"FSLTTWRDTDBD")</f>
        <v>FSLTTWRDTDBD</v>
      </c>
      <c r="G926" s="2" t="str">
        <f>IFERROR(__xludf.DUMMYFUNCTION("IF('From Order'!$A926=COLUMNS($A926:G945), LEFT(INDEX(FILTER(G$1:G925, G$1:G925&lt;&gt;""""),COUNTA(FILTER(G$1:G925, G$1:G925&lt;&gt;""""))), LEN(INDEX(FILTER(G$1:G925, G$1:G925&lt;&gt;""""),COUNTA(FILTER(G$1:G925, G$1:G925&lt;&gt;""""))))-1), IF('To Order'!$A926=COLUMNS($A926:G"&amp;"945), G925&amp;RIGHT(INDIRECT(ADDRESS(ROW(G926)-1, 'From Order'!$A926)), 1), G925))"),"")</f>
        <v/>
      </c>
      <c r="H926" s="2" t="str">
        <f>IFERROR(__xludf.DUMMYFUNCTION("IF('From Order'!$A926=COLUMNS($A926:H945), LEFT(INDEX(FILTER(H$1:H925, H$1:H925&lt;&gt;""""),COUNTA(FILTER(H$1:H925, H$1:H925&lt;&gt;""""))), LEN(INDEX(FILTER(H$1:H925, H$1:H925&lt;&gt;""""),COUNTA(FILTER(H$1:H925, H$1:H925&lt;&gt;""""))))-1), IF('To Order'!$A926=COLUMNS($A926:H"&amp;"945), H925&amp;RIGHT(INDIRECT(ADDRESS(ROW(H926)-1, 'From Order'!$A926)), 1), H925))"),"PDSSGHWQVQRLRTD")</f>
        <v>PDSSGHWQVQRLRTD</v>
      </c>
      <c r="I926" s="2" t="str">
        <f>IFERROR(__xludf.DUMMYFUNCTION("IF('From Order'!$A926=COLUMNS($A926:I945), LEFT(INDEX(FILTER(I$1:I925, I$1:I925&lt;&gt;""""),COUNTA(FILTER(I$1:I925, I$1:I925&lt;&gt;""""))), LEN(INDEX(FILTER(I$1:I925, I$1:I925&lt;&gt;""""),COUNTA(FILTER(I$1:I925, I$1:I925&lt;&gt;""""))))-1), IF('To Order'!$A926=COLUMNS($A926:I"&amp;"945), I925&amp;RIGHT(INDIRECT(ADDRESS(ROW(I926)-1, 'From Order'!$A926)), 1), I925))"),"LZMRCTT")</f>
        <v>LZMRCTT</v>
      </c>
    </row>
    <row r="927">
      <c r="A927" s="2" t="str">
        <f>IFERROR(__xludf.DUMMYFUNCTION("IF('From Order'!$A927=COLUMNS($A927:A946), LEFT(INDEX(FILTER(A$1:A926, A$1:A926&lt;&gt;""""),COUNTA(FILTER(A$1:A926, A$1:A926&lt;&gt;""""))), LEN(INDEX(FILTER(A$1:A926, A$1:A926&lt;&gt;""""),COUNTA(FILTER(A$1:A926, A$1:A926&lt;&gt;""""))))-1), IF('To Order'!$A927=COLUMNS($A927:A"&amp;"946), A926&amp;RIGHT(INDIRECT(ADDRESS(ROW(A927)-1, 'From Order'!$A927)), 1), A926))"),"J")</f>
        <v>J</v>
      </c>
      <c r="B927" s="2" t="str">
        <f>IFERROR(__xludf.DUMMYFUNCTION("IF('From Order'!$A927=COLUMNS($A927:B946), LEFT(INDEX(FILTER(B$1:B926, B$1:B926&lt;&gt;""""),COUNTA(FILTER(B$1:B926, B$1:B926&lt;&gt;""""))), LEN(INDEX(FILTER(B$1:B926, B$1:B926&lt;&gt;""""),COUNTA(FILTER(B$1:B926, B$1:B926&lt;&gt;""""))))-1), IF('To Order'!$A927=COLUMNS($A927:B"&amp;"946), B926&amp;RIGHT(INDIRECT(ADDRESS(ROW(B927)-1, 'From Order'!$A927)), 1), B926))"),"J")</f>
        <v>J</v>
      </c>
      <c r="C927" s="2" t="str">
        <f>IFERROR(__xludf.DUMMYFUNCTION("IF('From Order'!$A927=COLUMNS($A927:C946), LEFT(INDEX(FILTER(C$1:C926, C$1:C926&lt;&gt;""""),COUNTA(FILTER(C$1:C926, C$1:C926&lt;&gt;""""))), LEN(INDEX(FILTER(C$1:C926, C$1:C926&lt;&gt;""""),COUNTA(FILTER(C$1:C926, C$1:C926&lt;&gt;""""))))-1), IF('To Order'!$A927=COLUMNS($A927:C"&amp;"946), C926&amp;RIGHT(INDIRECT(ADDRESS(ROW(C927)-1, 'From Order'!$A927)), 1), C926))"),"")</f>
        <v/>
      </c>
      <c r="D927" s="2" t="str">
        <f>IFERROR(__xludf.DUMMYFUNCTION("IF('From Order'!$A927=COLUMNS($A927:D946), LEFT(INDEX(FILTER(D$1:D926, D$1:D926&lt;&gt;""""),COUNTA(FILTER(D$1:D926, D$1:D926&lt;&gt;""""))), LEN(INDEX(FILTER(D$1:D926, D$1:D926&lt;&gt;""""),COUNTA(FILTER(D$1:D926, D$1:D926&lt;&gt;""""))))-1), IF('To Order'!$A927=COLUMNS($A927:D"&amp;"946), D926&amp;RIGHT(INDIRECT(ADDRESS(ROW(D927)-1, 'From Order'!$A927)), 1), D926))"),"BFMHZBSBPPV")</f>
        <v>BFMHZBSBPPV</v>
      </c>
      <c r="E927" s="2" t="str">
        <f>IFERROR(__xludf.DUMMYFUNCTION("IF('From Order'!$A927=COLUMNS($A927:E946), LEFT(INDEX(FILTER(E$1:E926, E$1:E926&lt;&gt;""""),COUNTA(FILTER(E$1:E926, E$1:E926&lt;&gt;""""))), LEN(INDEX(FILTER(E$1:E926, E$1:E926&lt;&gt;""""),COUNTA(FILTER(E$1:E926, E$1:E926&lt;&gt;""""))))-1), IF('To Order'!$A927=COLUMNS($A927:E"&amp;"946), E926&amp;RIGHT(INDIRECT(ADDRESS(ROW(E927)-1, 'From Order'!$A927)), 1), E926))"),"MGCDRZVCJ")</f>
        <v>MGCDRZVCJ</v>
      </c>
      <c r="F927" s="2" t="str">
        <f>IFERROR(__xludf.DUMMYFUNCTION("IF('From Order'!$A927=COLUMNS($A927:F946), LEFT(INDEX(FILTER(F$1:F926, F$1:F926&lt;&gt;""""),COUNTA(FILTER(F$1:F926, F$1:F926&lt;&gt;""""))), LEN(INDEX(FILTER(F$1:F926, F$1:F926&lt;&gt;""""),COUNTA(FILTER(F$1:F926, F$1:F926&lt;&gt;""""))))-1), IF('To Order'!$A927=COLUMNS($A927:F"&amp;"946), F926&amp;RIGHT(INDIRECT(ADDRESS(ROW(F927)-1, 'From Order'!$A927)), 1), F926))"),"FSLTTWRDTDBD")</f>
        <v>FSLTTWRDTDBD</v>
      </c>
      <c r="G927" s="2" t="str">
        <f>IFERROR(__xludf.DUMMYFUNCTION("IF('From Order'!$A927=COLUMNS($A927:G946), LEFT(INDEX(FILTER(G$1:G926, G$1:G926&lt;&gt;""""),COUNTA(FILTER(G$1:G926, G$1:G926&lt;&gt;""""))), LEN(INDEX(FILTER(G$1:G926, G$1:G926&lt;&gt;""""),COUNTA(FILTER(G$1:G926, G$1:G926&lt;&gt;""""))))-1), IF('To Order'!$A927=COLUMNS($A927:G"&amp;"946), G926&amp;RIGHT(INDIRECT(ADDRESS(ROW(G927)-1, 'From Order'!$A927)), 1), G926))"),"")</f>
        <v/>
      </c>
      <c r="H927" s="2" t="str">
        <f>IFERROR(__xludf.DUMMYFUNCTION("IF('From Order'!$A927=COLUMNS($A927:H946), LEFT(INDEX(FILTER(H$1:H926, H$1:H926&lt;&gt;""""),COUNTA(FILTER(H$1:H926, H$1:H926&lt;&gt;""""))), LEN(INDEX(FILTER(H$1:H926, H$1:H926&lt;&gt;""""),COUNTA(FILTER(H$1:H926, H$1:H926&lt;&gt;""""))))-1), IF('To Order'!$A927=COLUMNS($A927:H"&amp;"946), H926&amp;RIGHT(INDIRECT(ADDRESS(ROW(H927)-1, 'From Order'!$A927)), 1), H926))"),"PDSSGHWQVQRLRTD")</f>
        <v>PDSSGHWQVQRLRTD</v>
      </c>
      <c r="I927" s="2" t="str">
        <f>IFERROR(__xludf.DUMMYFUNCTION("IF('From Order'!$A927=COLUMNS($A927:I946), LEFT(INDEX(FILTER(I$1:I926, I$1:I926&lt;&gt;""""),COUNTA(FILTER(I$1:I926, I$1:I926&lt;&gt;""""))), LEN(INDEX(FILTER(I$1:I926, I$1:I926&lt;&gt;""""),COUNTA(FILTER(I$1:I926, I$1:I926&lt;&gt;""""))))-1), IF('To Order'!$A927=COLUMNS($A927:I"&amp;"946), I926&amp;RIGHT(INDIRECT(ADDRESS(ROW(I927)-1, 'From Order'!$A927)), 1), I926))"),"LZMRCTT")</f>
        <v>LZMRCTT</v>
      </c>
    </row>
    <row r="928">
      <c r="A928" s="2" t="str">
        <f>IFERROR(__xludf.DUMMYFUNCTION("IF('From Order'!$A928=COLUMNS($A928:A947), LEFT(INDEX(FILTER(A$1:A927, A$1:A927&lt;&gt;""""),COUNTA(FILTER(A$1:A927, A$1:A927&lt;&gt;""""))), LEN(INDEX(FILTER(A$1:A927, A$1:A927&lt;&gt;""""),COUNTA(FILTER(A$1:A927, A$1:A927&lt;&gt;""""))))-1), IF('To Order'!$A928=COLUMNS($A928:A"&amp;"947), A927&amp;RIGHT(INDIRECT(ADDRESS(ROW(A928)-1, 'From Order'!$A928)), 1), A927))"),"J")</f>
        <v>J</v>
      </c>
      <c r="B928" s="2" t="str">
        <f>IFERROR(__xludf.DUMMYFUNCTION("IF('From Order'!$A928=COLUMNS($A928:B947), LEFT(INDEX(FILTER(B$1:B927, B$1:B927&lt;&gt;""""),COUNTA(FILTER(B$1:B927, B$1:B927&lt;&gt;""""))), LEN(INDEX(FILTER(B$1:B927, B$1:B927&lt;&gt;""""),COUNTA(FILTER(B$1:B927, B$1:B927&lt;&gt;""""))))-1), IF('To Order'!$A928=COLUMNS($A928:B"&amp;"947), B927&amp;RIGHT(INDIRECT(ADDRESS(ROW(B928)-1, 'From Order'!$A928)), 1), B927))"),"J")</f>
        <v>J</v>
      </c>
      <c r="C928" s="2" t="str">
        <f>IFERROR(__xludf.DUMMYFUNCTION("IF('From Order'!$A928=COLUMNS($A928:C947), LEFT(INDEX(FILTER(C$1:C927, C$1:C927&lt;&gt;""""),COUNTA(FILTER(C$1:C927, C$1:C927&lt;&gt;""""))), LEN(INDEX(FILTER(C$1:C927, C$1:C927&lt;&gt;""""),COUNTA(FILTER(C$1:C927, C$1:C927&lt;&gt;""""))))-1), IF('To Order'!$A928=COLUMNS($A928:C"&amp;"947), C927&amp;RIGHT(INDIRECT(ADDRESS(ROW(C928)-1, 'From Order'!$A928)), 1), C927))"),"")</f>
        <v/>
      </c>
      <c r="D928" s="2" t="str">
        <f>IFERROR(__xludf.DUMMYFUNCTION("IF('From Order'!$A928=COLUMNS($A928:D947), LEFT(INDEX(FILTER(D$1:D927, D$1:D927&lt;&gt;""""),COUNTA(FILTER(D$1:D927, D$1:D927&lt;&gt;""""))), LEN(INDEX(FILTER(D$1:D927, D$1:D927&lt;&gt;""""),COUNTA(FILTER(D$1:D927, D$1:D927&lt;&gt;""""))))-1), IF('To Order'!$A928=COLUMNS($A928:D"&amp;"947), D927&amp;RIGHT(INDIRECT(ADDRESS(ROW(D928)-1, 'From Order'!$A928)), 1), D927))"),"BFMHZBSBPP")</f>
        <v>BFMHZBSBPP</v>
      </c>
      <c r="E928" s="2" t="str">
        <f>IFERROR(__xludf.DUMMYFUNCTION("IF('From Order'!$A928=COLUMNS($A928:E947), LEFT(INDEX(FILTER(E$1:E927, E$1:E927&lt;&gt;""""),COUNTA(FILTER(E$1:E927, E$1:E927&lt;&gt;""""))), LEN(INDEX(FILTER(E$1:E927, E$1:E927&lt;&gt;""""),COUNTA(FILTER(E$1:E927, E$1:E927&lt;&gt;""""))))-1), IF('To Order'!$A928=COLUMNS($A928:E"&amp;"947), E927&amp;RIGHT(INDIRECT(ADDRESS(ROW(E928)-1, 'From Order'!$A928)), 1), E927))"),"MGCDRZVCJV")</f>
        <v>MGCDRZVCJV</v>
      </c>
      <c r="F928" s="2" t="str">
        <f>IFERROR(__xludf.DUMMYFUNCTION("IF('From Order'!$A928=COLUMNS($A928:F947), LEFT(INDEX(FILTER(F$1:F927, F$1:F927&lt;&gt;""""),COUNTA(FILTER(F$1:F927, F$1:F927&lt;&gt;""""))), LEN(INDEX(FILTER(F$1:F927, F$1:F927&lt;&gt;""""),COUNTA(FILTER(F$1:F927, F$1:F927&lt;&gt;""""))))-1), IF('To Order'!$A928=COLUMNS($A928:F"&amp;"947), F927&amp;RIGHT(INDIRECT(ADDRESS(ROW(F928)-1, 'From Order'!$A928)), 1), F927))"),"FSLTTWRDTDBD")</f>
        <v>FSLTTWRDTDBD</v>
      </c>
      <c r="G928" s="2" t="str">
        <f>IFERROR(__xludf.DUMMYFUNCTION("IF('From Order'!$A928=COLUMNS($A928:G947), LEFT(INDEX(FILTER(G$1:G927, G$1:G927&lt;&gt;""""),COUNTA(FILTER(G$1:G927, G$1:G927&lt;&gt;""""))), LEN(INDEX(FILTER(G$1:G927, G$1:G927&lt;&gt;""""),COUNTA(FILTER(G$1:G927, G$1:G927&lt;&gt;""""))))-1), IF('To Order'!$A928=COLUMNS($A928:G"&amp;"947), G927&amp;RIGHT(INDIRECT(ADDRESS(ROW(G928)-1, 'From Order'!$A928)), 1), G927))"),"")</f>
        <v/>
      </c>
      <c r="H928" s="2" t="str">
        <f>IFERROR(__xludf.DUMMYFUNCTION("IF('From Order'!$A928=COLUMNS($A928:H947), LEFT(INDEX(FILTER(H$1:H927, H$1:H927&lt;&gt;""""),COUNTA(FILTER(H$1:H927, H$1:H927&lt;&gt;""""))), LEN(INDEX(FILTER(H$1:H927, H$1:H927&lt;&gt;""""),COUNTA(FILTER(H$1:H927, H$1:H927&lt;&gt;""""))))-1), IF('To Order'!$A928=COLUMNS($A928:H"&amp;"947), H927&amp;RIGHT(INDIRECT(ADDRESS(ROW(H928)-1, 'From Order'!$A928)), 1), H927))"),"PDSSGHWQVQRLRTD")</f>
        <v>PDSSGHWQVQRLRTD</v>
      </c>
      <c r="I928" s="2" t="str">
        <f>IFERROR(__xludf.DUMMYFUNCTION("IF('From Order'!$A928=COLUMNS($A928:I947), LEFT(INDEX(FILTER(I$1:I927, I$1:I927&lt;&gt;""""),COUNTA(FILTER(I$1:I927, I$1:I927&lt;&gt;""""))), LEN(INDEX(FILTER(I$1:I927, I$1:I927&lt;&gt;""""),COUNTA(FILTER(I$1:I927, I$1:I927&lt;&gt;""""))))-1), IF('To Order'!$A928=COLUMNS($A928:I"&amp;"947), I927&amp;RIGHT(INDIRECT(ADDRESS(ROW(I928)-1, 'From Order'!$A928)), 1), I927))"),"LZMRCTT")</f>
        <v>LZMRCTT</v>
      </c>
    </row>
    <row r="929">
      <c r="A929" s="2" t="str">
        <f>IFERROR(__xludf.DUMMYFUNCTION("IF('From Order'!$A929=COLUMNS($A929:A948), LEFT(INDEX(FILTER(A$1:A928, A$1:A928&lt;&gt;""""),COUNTA(FILTER(A$1:A928, A$1:A928&lt;&gt;""""))), LEN(INDEX(FILTER(A$1:A928, A$1:A928&lt;&gt;""""),COUNTA(FILTER(A$1:A928, A$1:A928&lt;&gt;""""))))-1), IF('To Order'!$A929=COLUMNS($A929:A"&amp;"948), A928&amp;RIGHT(INDIRECT(ADDRESS(ROW(A929)-1, 'From Order'!$A929)), 1), A928))"),"J")</f>
        <v>J</v>
      </c>
      <c r="B929" s="2" t="str">
        <f>IFERROR(__xludf.DUMMYFUNCTION("IF('From Order'!$A929=COLUMNS($A929:B948), LEFT(INDEX(FILTER(B$1:B928, B$1:B928&lt;&gt;""""),COUNTA(FILTER(B$1:B928, B$1:B928&lt;&gt;""""))), LEN(INDEX(FILTER(B$1:B928, B$1:B928&lt;&gt;""""),COUNTA(FILTER(B$1:B928, B$1:B928&lt;&gt;""""))))-1), IF('To Order'!$A929=COLUMNS($A929:B"&amp;"948), B928&amp;RIGHT(INDIRECT(ADDRESS(ROW(B929)-1, 'From Order'!$A929)), 1), B928))"),"J")</f>
        <v>J</v>
      </c>
      <c r="C929" s="2" t="str">
        <f>IFERROR(__xludf.DUMMYFUNCTION("IF('From Order'!$A929=COLUMNS($A929:C948), LEFT(INDEX(FILTER(C$1:C928, C$1:C928&lt;&gt;""""),COUNTA(FILTER(C$1:C928, C$1:C928&lt;&gt;""""))), LEN(INDEX(FILTER(C$1:C928, C$1:C928&lt;&gt;""""),COUNTA(FILTER(C$1:C928, C$1:C928&lt;&gt;""""))))-1), IF('To Order'!$A929=COLUMNS($A929:C"&amp;"948), C928&amp;RIGHT(INDIRECT(ADDRESS(ROW(C929)-1, 'From Order'!$A929)), 1), C928))"),"")</f>
        <v/>
      </c>
      <c r="D929" s="2" t="str">
        <f>IFERROR(__xludf.DUMMYFUNCTION("IF('From Order'!$A929=COLUMNS($A929:D948), LEFT(INDEX(FILTER(D$1:D928, D$1:D928&lt;&gt;""""),COUNTA(FILTER(D$1:D928, D$1:D928&lt;&gt;""""))), LEN(INDEX(FILTER(D$1:D928, D$1:D928&lt;&gt;""""),COUNTA(FILTER(D$1:D928, D$1:D928&lt;&gt;""""))))-1), IF('To Order'!$A929=COLUMNS($A929:D"&amp;"948), D928&amp;RIGHT(INDIRECT(ADDRESS(ROW(D929)-1, 'From Order'!$A929)), 1), D928))"),"BFMHZBSBP")</f>
        <v>BFMHZBSBP</v>
      </c>
      <c r="E929" s="2" t="str">
        <f>IFERROR(__xludf.DUMMYFUNCTION("IF('From Order'!$A929=COLUMNS($A929:E948), LEFT(INDEX(FILTER(E$1:E928, E$1:E928&lt;&gt;""""),COUNTA(FILTER(E$1:E928, E$1:E928&lt;&gt;""""))), LEN(INDEX(FILTER(E$1:E928, E$1:E928&lt;&gt;""""),COUNTA(FILTER(E$1:E928, E$1:E928&lt;&gt;""""))))-1), IF('To Order'!$A929=COLUMNS($A929:E"&amp;"948), E928&amp;RIGHT(INDIRECT(ADDRESS(ROW(E929)-1, 'From Order'!$A929)), 1), E928))"),"MGCDRZVCJVP")</f>
        <v>MGCDRZVCJVP</v>
      </c>
      <c r="F929" s="2" t="str">
        <f>IFERROR(__xludf.DUMMYFUNCTION("IF('From Order'!$A929=COLUMNS($A929:F948), LEFT(INDEX(FILTER(F$1:F928, F$1:F928&lt;&gt;""""),COUNTA(FILTER(F$1:F928, F$1:F928&lt;&gt;""""))), LEN(INDEX(FILTER(F$1:F928, F$1:F928&lt;&gt;""""),COUNTA(FILTER(F$1:F928, F$1:F928&lt;&gt;""""))))-1), IF('To Order'!$A929=COLUMNS($A929:F"&amp;"948), F928&amp;RIGHT(INDIRECT(ADDRESS(ROW(F929)-1, 'From Order'!$A929)), 1), F928))"),"FSLTTWRDTDBD")</f>
        <v>FSLTTWRDTDBD</v>
      </c>
      <c r="G929" s="2" t="str">
        <f>IFERROR(__xludf.DUMMYFUNCTION("IF('From Order'!$A929=COLUMNS($A929:G948), LEFT(INDEX(FILTER(G$1:G928, G$1:G928&lt;&gt;""""),COUNTA(FILTER(G$1:G928, G$1:G928&lt;&gt;""""))), LEN(INDEX(FILTER(G$1:G928, G$1:G928&lt;&gt;""""),COUNTA(FILTER(G$1:G928, G$1:G928&lt;&gt;""""))))-1), IF('To Order'!$A929=COLUMNS($A929:G"&amp;"948), G928&amp;RIGHT(INDIRECT(ADDRESS(ROW(G929)-1, 'From Order'!$A929)), 1), G928))"),"")</f>
        <v/>
      </c>
      <c r="H929" s="2" t="str">
        <f>IFERROR(__xludf.DUMMYFUNCTION("IF('From Order'!$A929=COLUMNS($A929:H948), LEFT(INDEX(FILTER(H$1:H928, H$1:H928&lt;&gt;""""),COUNTA(FILTER(H$1:H928, H$1:H928&lt;&gt;""""))), LEN(INDEX(FILTER(H$1:H928, H$1:H928&lt;&gt;""""),COUNTA(FILTER(H$1:H928, H$1:H928&lt;&gt;""""))))-1), IF('To Order'!$A929=COLUMNS($A929:H"&amp;"948), H928&amp;RIGHT(INDIRECT(ADDRESS(ROW(H929)-1, 'From Order'!$A929)), 1), H928))"),"PDSSGHWQVQRLRTD")</f>
        <v>PDSSGHWQVQRLRTD</v>
      </c>
      <c r="I929" s="2" t="str">
        <f>IFERROR(__xludf.DUMMYFUNCTION("IF('From Order'!$A929=COLUMNS($A929:I948), LEFT(INDEX(FILTER(I$1:I928, I$1:I928&lt;&gt;""""),COUNTA(FILTER(I$1:I928, I$1:I928&lt;&gt;""""))), LEN(INDEX(FILTER(I$1:I928, I$1:I928&lt;&gt;""""),COUNTA(FILTER(I$1:I928, I$1:I928&lt;&gt;""""))))-1), IF('To Order'!$A929=COLUMNS($A929:I"&amp;"948), I928&amp;RIGHT(INDIRECT(ADDRESS(ROW(I929)-1, 'From Order'!$A929)), 1), I928))"),"LZMRCTT")</f>
        <v>LZMRCTT</v>
      </c>
    </row>
    <row r="930">
      <c r="A930" s="2" t="str">
        <f>IFERROR(__xludf.DUMMYFUNCTION("IF('From Order'!$A930=COLUMNS($A930:A949), LEFT(INDEX(FILTER(A$1:A929, A$1:A929&lt;&gt;""""),COUNTA(FILTER(A$1:A929, A$1:A929&lt;&gt;""""))), LEN(INDEX(FILTER(A$1:A929, A$1:A929&lt;&gt;""""),COUNTA(FILTER(A$1:A929, A$1:A929&lt;&gt;""""))))-1), IF('To Order'!$A930=COLUMNS($A930:A"&amp;"949), A929&amp;RIGHT(INDIRECT(ADDRESS(ROW(A930)-1, 'From Order'!$A930)), 1), A929))"),"J")</f>
        <v>J</v>
      </c>
      <c r="B930" s="2" t="str">
        <f>IFERROR(__xludf.DUMMYFUNCTION("IF('From Order'!$A930=COLUMNS($A930:B949), LEFT(INDEX(FILTER(B$1:B929, B$1:B929&lt;&gt;""""),COUNTA(FILTER(B$1:B929, B$1:B929&lt;&gt;""""))), LEN(INDEX(FILTER(B$1:B929, B$1:B929&lt;&gt;""""),COUNTA(FILTER(B$1:B929, B$1:B929&lt;&gt;""""))))-1), IF('To Order'!$A930=COLUMNS($A930:B"&amp;"949), B929&amp;RIGHT(INDIRECT(ADDRESS(ROW(B930)-1, 'From Order'!$A930)), 1), B929))"),"J")</f>
        <v>J</v>
      </c>
      <c r="C930" s="2" t="str">
        <f>IFERROR(__xludf.DUMMYFUNCTION("IF('From Order'!$A930=COLUMNS($A930:C949), LEFT(INDEX(FILTER(C$1:C929, C$1:C929&lt;&gt;""""),COUNTA(FILTER(C$1:C929, C$1:C929&lt;&gt;""""))), LEN(INDEX(FILTER(C$1:C929, C$1:C929&lt;&gt;""""),COUNTA(FILTER(C$1:C929, C$1:C929&lt;&gt;""""))))-1), IF('To Order'!$A930=COLUMNS($A930:C"&amp;"949), C929&amp;RIGHT(INDIRECT(ADDRESS(ROW(C930)-1, 'From Order'!$A930)), 1), C929))"),"")</f>
        <v/>
      </c>
      <c r="D930" s="2" t="str">
        <f>IFERROR(__xludf.DUMMYFUNCTION("IF('From Order'!$A930=COLUMNS($A930:D949), LEFT(INDEX(FILTER(D$1:D929, D$1:D929&lt;&gt;""""),COUNTA(FILTER(D$1:D929, D$1:D929&lt;&gt;""""))), LEN(INDEX(FILTER(D$1:D929, D$1:D929&lt;&gt;""""),COUNTA(FILTER(D$1:D929, D$1:D929&lt;&gt;""""))))-1), IF('To Order'!$A930=COLUMNS($A930:D"&amp;"949), D929&amp;RIGHT(INDIRECT(ADDRESS(ROW(D930)-1, 'From Order'!$A930)), 1), D929))"),"BFMHZBSB")</f>
        <v>BFMHZBSB</v>
      </c>
      <c r="E930" s="2" t="str">
        <f>IFERROR(__xludf.DUMMYFUNCTION("IF('From Order'!$A930=COLUMNS($A930:E949), LEFT(INDEX(FILTER(E$1:E929, E$1:E929&lt;&gt;""""),COUNTA(FILTER(E$1:E929, E$1:E929&lt;&gt;""""))), LEN(INDEX(FILTER(E$1:E929, E$1:E929&lt;&gt;""""),COUNTA(FILTER(E$1:E929, E$1:E929&lt;&gt;""""))))-1), IF('To Order'!$A930=COLUMNS($A930:E"&amp;"949), E929&amp;RIGHT(INDIRECT(ADDRESS(ROW(E930)-1, 'From Order'!$A930)), 1), E929))"),"MGCDRZVCJVPP")</f>
        <v>MGCDRZVCJVPP</v>
      </c>
      <c r="F930" s="2" t="str">
        <f>IFERROR(__xludf.DUMMYFUNCTION("IF('From Order'!$A930=COLUMNS($A930:F949), LEFT(INDEX(FILTER(F$1:F929, F$1:F929&lt;&gt;""""),COUNTA(FILTER(F$1:F929, F$1:F929&lt;&gt;""""))), LEN(INDEX(FILTER(F$1:F929, F$1:F929&lt;&gt;""""),COUNTA(FILTER(F$1:F929, F$1:F929&lt;&gt;""""))))-1), IF('To Order'!$A930=COLUMNS($A930:F"&amp;"949), F929&amp;RIGHT(INDIRECT(ADDRESS(ROW(F930)-1, 'From Order'!$A930)), 1), F929))"),"FSLTTWRDTDBD")</f>
        <v>FSLTTWRDTDBD</v>
      </c>
      <c r="G930" s="2" t="str">
        <f>IFERROR(__xludf.DUMMYFUNCTION("IF('From Order'!$A930=COLUMNS($A930:G949), LEFT(INDEX(FILTER(G$1:G929, G$1:G929&lt;&gt;""""),COUNTA(FILTER(G$1:G929, G$1:G929&lt;&gt;""""))), LEN(INDEX(FILTER(G$1:G929, G$1:G929&lt;&gt;""""),COUNTA(FILTER(G$1:G929, G$1:G929&lt;&gt;""""))))-1), IF('To Order'!$A930=COLUMNS($A930:G"&amp;"949), G929&amp;RIGHT(INDIRECT(ADDRESS(ROW(G930)-1, 'From Order'!$A930)), 1), G929))"),"")</f>
        <v/>
      </c>
      <c r="H930" s="2" t="str">
        <f>IFERROR(__xludf.DUMMYFUNCTION("IF('From Order'!$A930=COLUMNS($A930:H949), LEFT(INDEX(FILTER(H$1:H929, H$1:H929&lt;&gt;""""),COUNTA(FILTER(H$1:H929, H$1:H929&lt;&gt;""""))), LEN(INDEX(FILTER(H$1:H929, H$1:H929&lt;&gt;""""),COUNTA(FILTER(H$1:H929, H$1:H929&lt;&gt;""""))))-1), IF('To Order'!$A930=COLUMNS($A930:H"&amp;"949), H929&amp;RIGHT(INDIRECT(ADDRESS(ROW(H930)-1, 'From Order'!$A930)), 1), H929))"),"PDSSGHWQVQRLRTD")</f>
        <v>PDSSGHWQVQRLRTD</v>
      </c>
      <c r="I930" s="2" t="str">
        <f>IFERROR(__xludf.DUMMYFUNCTION("IF('From Order'!$A930=COLUMNS($A930:I949), LEFT(INDEX(FILTER(I$1:I929, I$1:I929&lt;&gt;""""),COUNTA(FILTER(I$1:I929, I$1:I929&lt;&gt;""""))), LEN(INDEX(FILTER(I$1:I929, I$1:I929&lt;&gt;""""),COUNTA(FILTER(I$1:I929, I$1:I929&lt;&gt;""""))))-1), IF('To Order'!$A930=COLUMNS($A930:I"&amp;"949), I929&amp;RIGHT(INDIRECT(ADDRESS(ROW(I930)-1, 'From Order'!$A930)), 1), I929))"),"LZMRCTT")</f>
        <v>LZMRCTT</v>
      </c>
    </row>
    <row r="931">
      <c r="A931" s="2" t="str">
        <f>IFERROR(__xludf.DUMMYFUNCTION("IF('From Order'!$A931=COLUMNS($A931:A950), LEFT(INDEX(FILTER(A$1:A930, A$1:A930&lt;&gt;""""),COUNTA(FILTER(A$1:A930, A$1:A930&lt;&gt;""""))), LEN(INDEX(FILTER(A$1:A930, A$1:A930&lt;&gt;""""),COUNTA(FILTER(A$1:A930, A$1:A930&lt;&gt;""""))))-1), IF('To Order'!$A931=COLUMNS($A931:A"&amp;"950), A930&amp;RIGHT(INDIRECT(ADDRESS(ROW(A931)-1, 'From Order'!$A931)), 1), A930))"),"J")</f>
        <v>J</v>
      </c>
      <c r="B931" s="2" t="str">
        <f>IFERROR(__xludf.DUMMYFUNCTION("IF('From Order'!$A931=COLUMNS($A931:B950), LEFT(INDEX(FILTER(B$1:B930, B$1:B930&lt;&gt;""""),COUNTA(FILTER(B$1:B930, B$1:B930&lt;&gt;""""))), LEN(INDEX(FILTER(B$1:B930, B$1:B930&lt;&gt;""""),COUNTA(FILTER(B$1:B930, B$1:B930&lt;&gt;""""))))-1), IF('To Order'!$A931=COLUMNS($A931:B"&amp;"950), B930&amp;RIGHT(INDIRECT(ADDRESS(ROW(B931)-1, 'From Order'!$A931)), 1), B930))"),"J")</f>
        <v>J</v>
      </c>
      <c r="C931" s="2" t="str">
        <f>IFERROR(__xludf.DUMMYFUNCTION("IF('From Order'!$A931=COLUMNS($A931:C950), LEFT(INDEX(FILTER(C$1:C930, C$1:C930&lt;&gt;""""),COUNTA(FILTER(C$1:C930, C$1:C930&lt;&gt;""""))), LEN(INDEX(FILTER(C$1:C930, C$1:C930&lt;&gt;""""),COUNTA(FILTER(C$1:C930, C$1:C930&lt;&gt;""""))))-1), IF('To Order'!$A931=COLUMNS($A931:C"&amp;"950), C930&amp;RIGHT(INDIRECT(ADDRESS(ROW(C931)-1, 'From Order'!$A931)), 1), C930))"),"")</f>
        <v/>
      </c>
      <c r="D931" s="2" t="str">
        <f>IFERROR(__xludf.DUMMYFUNCTION("IF('From Order'!$A931=COLUMNS($A931:D950), LEFT(INDEX(FILTER(D$1:D930, D$1:D930&lt;&gt;""""),COUNTA(FILTER(D$1:D930, D$1:D930&lt;&gt;""""))), LEN(INDEX(FILTER(D$1:D930, D$1:D930&lt;&gt;""""),COUNTA(FILTER(D$1:D930, D$1:D930&lt;&gt;""""))))-1), IF('To Order'!$A931=COLUMNS($A931:D"&amp;"950), D930&amp;RIGHT(INDIRECT(ADDRESS(ROW(D931)-1, 'From Order'!$A931)), 1), D930))"),"BFMHZBSB")</f>
        <v>BFMHZBSB</v>
      </c>
      <c r="E931" s="2" t="str">
        <f>IFERROR(__xludf.DUMMYFUNCTION("IF('From Order'!$A931=COLUMNS($A931:E950), LEFT(INDEX(FILTER(E$1:E930, E$1:E930&lt;&gt;""""),COUNTA(FILTER(E$1:E930, E$1:E930&lt;&gt;""""))), LEN(INDEX(FILTER(E$1:E930, E$1:E930&lt;&gt;""""),COUNTA(FILTER(E$1:E930, E$1:E930&lt;&gt;""""))))-1), IF('To Order'!$A931=COLUMNS($A931:E"&amp;"950), E930&amp;RIGHT(INDIRECT(ADDRESS(ROW(E931)-1, 'From Order'!$A931)), 1), E930))"),"MGCDRZVCJVPP")</f>
        <v>MGCDRZVCJVPP</v>
      </c>
      <c r="F931" s="2" t="str">
        <f>IFERROR(__xludf.DUMMYFUNCTION("IF('From Order'!$A931=COLUMNS($A931:F950), LEFT(INDEX(FILTER(F$1:F930, F$1:F930&lt;&gt;""""),COUNTA(FILTER(F$1:F930, F$1:F930&lt;&gt;""""))), LEN(INDEX(FILTER(F$1:F930, F$1:F930&lt;&gt;""""),COUNTA(FILTER(F$1:F930, F$1:F930&lt;&gt;""""))))-1), IF('To Order'!$A931=COLUMNS($A931:F"&amp;"950), F930&amp;RIGHT(INDIRECT(ADDRESS(ROW(F931)-1, 'From Order'!$A931)), 1), F930))"),"FSLTTWRDTDBD")</f>
        <v>FSLTTWRDTDBD</v>
      </c>
      <c r="G931" s="2" t="str">
        <f>IFERROR(__xludf.DUMMYFUNCTION("IF('From Order'!$A931=COLUMNS($A931:G950), LEFT(INDEX(FILTER(G$1:G930, G$1:G930&lt;&gt;""""),COUNTA(FILTER(G$1:G930, G$1:G930&lt;&gt;""""))), LEN(INDEX(FILTER(G$1:G930, G$1:G930&lt;&gt;""""),COUNTA(FILTER(G$1:G930, G$1:G930&lt;&gt;""""))))-1), IF('To Order'!$A931=COLUMNS($A931:G"&amp;"950), G930&amp;RIGHT(INDIRECT(ADDRESS(ROW(G931)-1, 'From Order'!$A931)), 1), G930))"),"")</f>
        <v/>
      </c>
      <c r="H931" s="2" t="str">
        <f>IFERROR(__xludf.DUMMYFUNCTION("IF('From Order'!$A931=COLUMNS($A931:H950), LEFT(INDEX(FILTER(H$1:H930, H$1:H930&lt;&gt;""""),COUNTA(FILTER(H$1:H930, H$1:H930&lt;&gt;""""))), LEN(INDEX(FILTER(H$1:H930, H$1:H930&lt;&gt;""""),COUNTA(FILTER(H$1:H930, H$1:H930&lt;&gt;""""))))-1), IF('To Order'!$A931=COLUMNS($A931:H"&amp;"950), H930&amp;RIGHT(INDIRECT(ADDRESS(ROW(H931)-1, 'From Order'!$A931)), 1), H930))"),"PDSSGHWQVQRLRT")</f>
        <v>PDSSGHWQVQRLRT</v>
      </c>
      <c r="I931" s="2" t="str">
        <f>IFERROR(__xludf.DUMMYFUNCTION("IF('From Order'!$A931=COLUMNS($A931:I950), LEFT(INDEX(FILTER(I$1:I930, I$1:I930&lt;&gt;""""),COUNTA(FILTER(I$1:I930, I$1:I930&lt;&gt;""""))), LEN(INDEX(FILTER(I$1:I930, I$1:I930&lt;&gt;""""),COUNTA(FILTER(I$1:I930, I$1:I930&lt;&gt;""""))))-1), IF('To Order'!$A931=COLUMNS($A931:I"&amp;"950), I930&amp;RIGHT(INDIRECT(ADDRESS(ROW(I931)-1, 'From Order'!$A931)), 1), I930))"),"LZMRCTTD")</f>
        <v>LZMRCTTD</v>
      </c>
    </row>
    <row r="932">
      <c r="A932" s="2" t="str">
        <f>IFERROR(__xludf.DUMMYFUNCTION("IF('From Order'!$A932=COLUMNS($A932:A951), LEFT(INDEX(FILTER(A$1:A931, A$1:A931&lt;&gt;""""),COUNTA(FILTER(A$1:A931, A$1:A931&lt;&gt;""""))), LEN(INDEX(FILTER(A$1:A931, A$1:A931&lt;&gt;""""),COUNTA(FILTER(A$1:A931, A$1:A931&lt;&gt;""""))))-1), IF('To Order'!$A932=COLUMNS($A932:A"&amp;"951), A931&amp;RIGHT(INDIRECT(ADDRESS(ROW(A932)-1, 'From Order'!$A932)), 1), A931))"),"J")</f>
        <v>J</v>
      </c>
      <c r="B932" s="2" t="str">
        <f>IFERROR(__xludf.DUMMYFUNCTION("IF('From Order'!$A932=COLUMNS($A932:B951), LEFT(INDEX(FILTER(B$1:B931, B$1:B931&lt;&gt;""""),COUNTA(FILTER(B$1:B931, B$1:B931&lt;&gt;""""))), LEN(INDEX(FILTER(B$1:B931, B$1:B931&lt;&gt;""""),COUNTA(FILTER(B$1:B931, B$1:B931&lt;&gt;""""))))-1), IF('To Order'!$A932=COLUMNS($A932:B"&amp;"951), B931&amp;RIGHT(INDIRECT(ADDRESS(ROW(B932)-1, 'From Order'!$A932)), 1), B931))"),"J")</f>
        <v>J</v>
      </c>
      <c r="C932" s="2" t="str">
        <f>IFERROR(__xludf.DUMMYFUNCTION("IF('From Order'!$A932=COLUMNS($A932:C951), LEFT(INDEX(FILTER(C$1:C931, C$1:C931&lt;&gt;""""),COUNTA(FILTER(C$1:C931, C$1:C931&lt;&gt;""""))), LEN(INDEX(FILTER(C$1:C931, C$1:C931&lt;&gt;""""),COUNTA(FILTER(C$1:C931, C$1:C931&lt;&gt;""""))))-1), IF('To Order'!$A932=COLUMNS($A932:C"&amp;"951), C931&amp;RIGHT(INDIRECT(ADDRESS(ROW(C932)-1, 'From Order'!$A932)), 1), C931))"),"")</f>
        <v/>
      </c>
      <c r="D932" s="2" t="str">
        <f>IFERROR(__xludf.DUMMYFUNCTION("IF('From Order'!$A932=COLUMNS($A932:D951), LEFT(INDEX(FILTER(D$1:D931, D$1:D931&lt;&gt;""""),COUNTA(FILTER(D$1:D931, D$1:D931&lt;&gt;""""))), LEN(INDEX(FILTER(D$1:D931, D$1:D931&lt;&gt;""""),COUNTA(FILTER(D$1:D931, D$1:D931&lt;&gt;""""))))-1), IF('To Order'!$A932=COLUMNS($A932:D"&amp;"951), D931&amp;RIGHT(INDIRECT(ADDRESS(ROW(D932)-1, 'From Order'!$A932)), 1), D931))"),"BFMHZBSB")</f>
        <v>BFMHZBSB</v>
      </c>
      <c r="E932" s="2" t="str">
        <f>IFERROR(__xludf.DUMMYFUNCTION("IF('From Order'!$A932=COLUMNS($A932:E951), LEFT(INDEX(FILTER(E$1:E931, E$1:E931&lt;&gt;""""),COUNTA(FILTER(E$1:E931, E$1:E931&lt;&gt;""""))), LEN(INDEX(FILTER(E$1:E931, E$1:E931&lt;&gt;""""),COUNTA(FILTER(E$1:E931, E$1:E931&lt;&gt;""""))))-1), IF('To Order'!$A932=COLUMNS($A932:E"&amp;"951), E931&amp;RIGHT(INDIRECT(ADDRESS(ROW(E932)-1, 'From Order'!$A932)), 1), E931))"),"MGCDRZVCJVPP")</f>
        <v>MGCDRZVCJVPP</v>
      </c>
      <c r="F932" s="2" t="str">
        <f>IFERROR(__xludf.DUMMYFUNCTION("IF('From Order'!$A932=COLUMNS($A932:F951), LEFT(INDEX(FILTER(F$1:F931, F$1:F931&lt;&gt;""""),COUNTA(FILTER(F$1:F931, F$1:F931&lt;&gt;""""))), LEN(INDEX(FILTER(F$1:F931, F$1:F931&lt;&gt;""""),COUNTA(FILTER(F$1:F931, F$1:F931&lt;&gt;""""))))-1), IF('To Order'!$A932=COLUMNS($A932:F"&amp;"951), F931&amp;RIGHT(INDIRECT(ADDRESS(ROW(F932)-1, 'From Order'!$A932)), 1), F931))"),"FSLTTWRDTDBD")</f>
        <v>FSLTTWRDTDBD</v>
      </c>
      <c r="G932" s="2" t="str">
        <f>IFERROR(__xludf.DUMMYFUNCTION("IF('From Order'!$A932=COLUMNS($A932:G951), LEFT(INDEX(FILTER(G$1:G931, G$1:G931&lt;&gt;""""),COUNTA(FILTER(G$1:G931, G$1:G931&lt;&gt;""""))), LEN(INDEX(FILTER(G$1:G931, G$1:G931&lt;&gt;""""),COUNTA(FILTER(G$1:G931, G$1:G931&lt;&gt;""""))))-1), IF('To Order'!$A932=COLUMNS($A932:G"&amp;"951), G931&amp;RIGHT(INDIRECT(ADDRESS(ROW(G932)-1, 'From Order'!$A932)), 1), G931))"),"")</f>
        <v/>
      </c>
      <c r="H932" s="2" t="str">
        <f>IFERROR(__xludf.DUMMYFUNCTION("IF('From Order'!$A932=COLUMNS($A932:H951), LEFT(INDEX(FILTER(H$1:H931, H$1:H931&lt;&gt;""""),COUNTA(FILTER(H$1:H931, H$1:H931&lt;&gt;""""))), LEN(INDEX(FILTER(H$1:H931, H$1:H931&lt;&gt;""""),COUNTA(FILTER(H$1:H931, H$1:H931&lt;&gt;""""))))-1), IF('To Order'!$A932=COLUMNS($A932:H"&amp;"951), H931&amp;RIGHT(INDIRECT(ADDRESS(ROW(H932)-1, 'From Order'!$A932)), 1), H931))"),"PDSSGHWQVQRLR")</f>
        <v>PDSSGHWQVQRLR</v>
      </c>
      <c r="I932" s="2" t="str">
        <f>IFERROR(__xludf.DUMMYFUNCTION("IF('From Order'!$A932=COLUMNS($A932:I951), LEFT(INDEX(FILTER(I$1:I931, I$1:I931&lt;&gt;""""),COUNTA(FILTER(I$1:I931, I$1:I931&lt;&gt;""""))), LEN(INDEX(FILTER(I$1:I931, I$1:I931&lt;&gt;""""),COUNTA(FILTER(I$1:I931, I$1:I931&lt;&gt;""""))))-1), IF('To Order'!$A932=COLUMNS($A932:I"&amp;"951), I931&amp;RIGHT(INDIRECT(ADDRESS(ROW(I932)-1, 'From Order'!$A932)), 1), I931))"),"LZMRCTTDT")</f>
        <v>LZMRCTTDT</v>
      </c>
    </row>
    <row r="933">
      <c r="A933" s="2" t="str">
        <f>IFERROR(__xludf.DUMMYFUNCTION("IF('From Order'!$A933=COLUMNS($A933:A952), LEFT(INDEX(FILTER(A$1:A932, A$1:A932&lt;&gt;""""),COUNTA(FILTER(A$1:A932, A$1:A932&lt;&gt;""""))), LEN(INDEX(FILTER(A$1:A932, A$1:A932&lt;&gt;""""),COUNTA(FILTER(A$1:A932, A$1:A932&lt;&gt;""""))))-1), IF('To Order'!$A933=COLUMNS($A933:A"&amp;"952), A932&amp;RIGHT(INDIRECT(ADDRESS(ROW(A933)-1, 'From Order'!$A933)), 1), A932))"),"J")</f>
        <v>J</v>
      </c>
      <c r="B933" s="2" t="str">
        <f>IFERROR(__xludf.DUMMYFUNCTION("IF('From Order'!$A933=COLUMNS($A933:B952), LEFT(INDEX(FILTER(B$1:B932, B$1:B932&lt;&gt;""""),COUNTA(FILTER(B$1:B932, B$1:B932&lt;&gt;""""))), LEN(INDEX(FILTER(B$1:B932, B$1:B932&lt;&gt;""""),COUNTA(FILTER(B$1:B932, B$1:B932&lt;&gt;""""))))-1), IF('To Order'!$A933=COLUMNS($A933:B"&amp;"952), B932&amp;RIGHT(INDIRECT(ADDRESS(ROW(B933)-1, 'From Order'!$A933)), 1), B932))"),"J")</f>
        <v>J</v>
      </c>
      <c r="C933" s="2" t="str">
        <f>IFERROR(__xludf.DUMMYFUNCTION("IF('From Order'!$A933=COLUMNS($A933:C952), LEFT(INDEX(FILTER(C$1:C932, C$1:C932&lt;&gt;""""),COUNTA(FILTER(C$1:C932, C$1:C932&lt;&gt;""""))), LEN(INDEX(FILTER(C$1:C932, C$1:C932&lt;&gt;""""),COUNTA(FILTER(C$1:C932, C$1:C932&lt;&gt;""""))))-1), IF('To Order'!$A933=COLUMNS($A933:C"&amp;"952), C932&amp;RIGHT(INDIRECT(ADDRESS(ROW(C933)-1, 'From Order'!$A933)), 1), C932))"),"")</f>
        <v/>
      </c>
      <c r="D933" s="2" t="str">
        <f>IFERROR(__xludf.DUMMYFUNCTION("IF('From Order'!$A933=COLUMNS($A933:D952), LEFT(INDEX(FILTER(D$1:D932, D$1:D932&lt;&gt;""""),COUNTA(FILTER(D$1:D932, D$1:D932&lt;&gt;""""))), LEN(INDEX(FILTER(D$1:D932, D$1:D932&lt;&gt;""""),COUNTA(FILTER(D$1:D932, D$1:D932&lt;&gt;""""))))-1), IF('To Order'!$A933=COLUMNS($A933:D"&amp;"952), D932&amp;RIGHT(INDIRECT(ADDRESS(ROW(D933)-1, 'From Order'!$A933)), 1), D932))"),"BFMHZBSB")</f>
        <v>BFMHZBSB</v>
      </c>
      <c r="E933" s="2" t="str">
        <f>IFERROR(__xludf.DUMMYFUNCTION("IF('From Order'!$A933=COLUMNS($A933:E952), LEFT(INDEX(FILTER(E$1:E932, E$1:E932&lt;&gt;""""),COUNTA(FILTER(E$1:E932, E$1:E932&lt;&gt;""""))), LEN(INDEX(FILTER(E$1:E932, E$1:E932&lt;&gt;""""),COUNTA(FILTER(E$1:E932, E$1:E932&lt;&gt;""""))))-1), IF('To Order'!$A933=COLUMNS($A933:E"&amp;"952), E932&amp;RIGHT(INDIRECT(ADDRESS(ROW(E933)-1, 'From Order'!$A933)), 1), E932))"),"MGCDRZVCJVPP")</f>
        <v>MGCDRZVCJVPP</v>
      </c>
      <c r="F933" s="2" t="str">
        <f>IFERROR(__xludf.DUMMYFUNCTION("IF('From Order'!$A933=COLUMNS($A933:F952), LEFT(INDEX(FILTER(F$1:F932, F$1:F932&lt;&gt;""""),COUNTA(FILTER(F$1:F932, F$1:F932&lt;&gt;""""))), LEN(INDEX(FILTER(F$1:F932, F$1:F932&lt;&gt;""""),COUNTA(FILTER(F$1:F932, F$1:F932&lt;&gt;""""))))-1), IF('To Order'!$A933=COLUMNS($A933:F"&amp;"952), F932&amp;RIGHT(INDIRECT(ADDRESS(ROW(F933)-1, 'From Order'!$A933)), 1), F932))"),"FSLTTWRDTDBD")</f>
        <v>FSLTTWRDTDBD</v>
      </c>
      <c r="G933" s="2" t="str">
        <f>IFERROR(__xludf.DUMMYFUNCTION("IF('From Order'!$A933=COLUMNS($A933:G952), LEFT(INDEX(FILTER(G$1:G932, G$1:G932&lt;&gt;""""),COUNTA(FILTER(G$1:G932, G$1:G932&lt;&gt;""""))), LEN(INDEX(FILTER(G$1:G932, G$1:G932&lt;&gt;""""),COUNTA(FILTER(G$1:G932, G$1:G932&lt;&gt;""""))))-1), IF('To Order'!$A933=COLUMNS($A933:G"&amp;"952), G932&amp;RIGHT(INDIRECT(ADDRESS(ROW(G933)-1, 'From Order'!$A933)), 1), G932))"),"")</f>
        <v/>
      </c>
      <c r="H933" s="2" t="str">
        <f>IFERROR(__xludf.DUMMYFUNCTION("IF('From Order'!$A933=COLUMNS($A933:H952), LEFT(INDEX(FILTER(H$1:H932, H$1:H932&lt;&gt;""""),COUNTA(FILTER(H$1:H932, H$1:H932&lt;&gt;""""))), LEN(INDEX(FILTER(H$1:H932, H$1:H932&lt;&gt;""""),COUNTA(FILTER(H$1:H932, H$1:H932&lt;&gt;""""))))-1), IF('To Order'!$A933=COLUMNS($A933:H"&amp;"952), H932&amp;RIGHT(INDIRECT(ADDRESS(ROW(H933)-1, 'From Order'!$A933)), 1), H932))"),"PDSSGHWQVQRL")</f>
        <v>PDSSGHWQVQRL</v>
      </c>
      <c r="I933" s="2" t="str">
        <f>IFERROR(__xludf.DUMMYFUNCTION("IF('From Order'!$A933=COLUMNS($A933:I952), LEFT(INDEX(FILTER(I$1:I932, I$1:I932&lt;&gt;""""),COUNTA(FILTER(I$1:I932, I$1:I932&lt;&gt;""""))), LEN(INDEX(FILTER(I$1:I932, I$1:I932&lt;&gt;""""),COUNTA(FILTER(I$1:I932, I$1:I932&lt;&gt;""""))))-1), IF('To Order'!$A933=COLUMNS($A933:I"&amp;"952), I932&amp;RIGHT(INDIRECT(ADDRESS(ROW(I933)-1, 'From Order'!$A933)), 1), I932))"),"LZMRCTTDTR")</f>
        <v>LZMRCTTDTR</v>
      </c>
    </row>
    <row r="934">
      <c r="A934" s="2" t="str">
        <f>IFERROR(__xludf.DUMMYFUNCTION("IF('From Order'!$A934=COLUMNS($A934:A953), LEFT(INDEX(FILTER(A$1:A933, A$1:A933&lt;&gt;""""),COUNTA(FILTER(A$1:A933, A$1:A933&lt;&gt;""""))), LEN(INDEX(FILTER(A$1:A933, A$1:A933&lt;&gt;""""),COUNTA(FILTER(A$1:A933, A$1:A933&lt;&gt;""""))))-1), IF('To Order'!$A934=COLUMNS($A934:A"&amp;"953), A933&amp;RIGHT(INDIRECT(ADDRESS(ROW(A934)-1, 'From Order'!$A934)), 1), A933))"),"J")</f>
        <v>J</v>
      </c>
      <c r="B934" s="2" t="str">
        <f>IFERROR(__xludf.DUMMYFUNCTION("IF('From Order'!$A934=COLUMNS($A934:B953), LEFT(INDEX(FILTER(B$1:B933, B$1:B933&lt;&gt;""""),COUNTA(FILTER(B$1:B933, B$1:B933&lt;&gt;""""))), LEN(INDEX(FILTER(B$1:B933, B$1:B933&lt;&gt;""""),COUNTA(FILTER(B$1:B933, B$1:B933&lt;&gt;""""))))-1), IF('To Order'!$A934=COLUMNS($A934:B"&amp;"953), B933&amp;RIGHT(INDIRECT(ADDRESS(ROW(B934)-1, 'From Order'!$A934)), 1), B933))"),"J")</f>
        <v>J</v>
      </c>
      <c r="C934" s="2" t="str">
        <f>IFERROR(__xludf.DUMMYFUNCTION("IF('From Order'!$A934=COLUMNS($A934:C953), LEFT(INDEX(FILTER(C$1:C933, C$1:C933&lt;&gt;""""),COUNTA(FILTER(C$1:C933, C$1:C933&lt;&gt;""""))), LEN(INDEX(FILTER(C$1:C933, C$1:C933&lt;&gt;""""),COUNTA(FILTER(C$1:C933, C$1:C933&lt;&gt;""""))))-1), IF('To Order'!$A934=COLUMNS($A934:C"&amp;"953), C933&amp;RIGHT(INDIRECT(ADDRESS(ROW(C934)-1, 'From Order'!$A934)), 1), C933))"),"")</f>
        <v/>
      </c>
      <c r="D934" s="2" t="str">
        <f>IFERROR(__xludf.DUMMYFUNCTION("IF('From Order'!$A934=COLUMNS($A934:D953), LEFT(INDEX(FILTER(D$1:D933, D$1:D933&lt;&gt;""""),COUNTA(FILTER(D$1:D933, D$1:D933&lt;&gt;""""))), LEN(INDEX(FILTER(D$1:D933, D$1:D933&lt;&gt;""""),COUNTA(FILTER(D$1:D933, D$1:D933&lt;&gt;""""))))-1), IF('To Order'!$A934=COLUMNS($A934:D"&amp;"953), D933&amp;RIGHT(INDIRECT(ADDRESS(ROW(D934)-1, 'From Order'!$A934)), 1), D933))"),"BFMHZBSB")</f>
        <v>BFMHZBSB</v>
      </c>
      <c r="E934" s="2" t="str">
        <f>IFERROR(__xludf.DUMMYFUNCTION("IF('From Order'!$A934=COLUMNS($A934:E953), LEFT(INDEX(FILTER(E$1:E933, E$1:E933&lt;&gt;""""),COUNTA(FILTER(E$1:E933, E$1:E933&lt;&gt;""""))), LEN(INDEX(FILTER(E$1:E933, E$1:E933&lt;&gt;""""),COUNTA(FILTER(E$1:E933, E$1:E933&lt;&gt;""""))))-1), IF('To Order'!$A934=COLUMNS($A934:E"&amp;"953), E933&amp;RIGHT(INDIRECT(ADDRESS(ROW(E934)-1, 'From Order'!$A934)), 1), E933))"),"MGCDRZVCJVPP")</f>
        <v>MGCDRZVCJVPP</v>
      </c>
      <c r="F934" s="2" t="str">
        <f>IFERROR(__xludf.DUMMYFUNCTION("IF('From Order'!$A934=COLUMNS($A934:F953), LEFT(INDEX(FILTER(F$1:F933, F$1:F933&lt;&gt;""""),COUNTA(FILTER(F$1:F933, F$1:F933&lt;&gt;""""))), LEN(INDEX(FILTER(F$1:F933, F$1:F933&lt;&gt;""""),COUNTA(FILTER(F$1:F933, F$1:F933&lt;&gt;""""))))-1), IF('To Order'!$A934=COLUMNS($A934:F"&amp;"953), F933&amp;RIGHT(INDIRECT(ADDRESS(ROW(F934)-1, 'From Order'!$A934)), 1), F933))"),"FSLTTWRDTDBD")</f>
        <v>FSLTTWRDTDBD</v>
      </c>
      <c r="G934" s="2" t="str">
        <f>IFERROR(__xludf.DUMMYFUNCTION("IF('From Order'!$A934=COLUMNS($A934:G953), LEFT(INDEX(FILTER(G$1:G933, G$1:G933&lt;&gt;""""),COUNTA(FILTER(G$1:G933, G$1:G933&lt;&gt;""""))), LEN(INDEX(FILTER(G$1:G933, G$1:G933&lt;&gt;""""),COUNTA(FILTER(G$1:G933, G$1:G933&lt;&gt;""""))))-1), IF('To Order'!$A934=COLUMNS($A934:G"&amp;"953), G933&amp;RIGHT(INDIRECT(ADDRESS(ROW(G934)-1, 'From Order'!$A934)), 1), G933))"),"")</f>
        <v/>
      </c>
      <c r="H934" s="2" t="str">
        <f>IFERROR(__xludf.DUMMYFUNCTION("IF('From Order'!$A934=COLUMNS($A934:H953), LEFT(INDEX(FILTER(H$1:H933, H$1:H933&lt;&gt;""""),COUNTA(FILTER(H$1:H933, H$1:H933&lt;&gt;""""))), LEN(INDEX(FILTER(H$1:H933, H$1:H933&lt;&gt;""""),COUNTA(FILTER(H$1:H933, H$1:H933&lt;&gt;""""))))-1), IF('To Order'!$A934=COLUMNS($A934:H"&amp;"953), H933&amp;RIGHT(INDIRECT(ADDRESS(ROW(H934)-1, 'From Order'!$A934)), 1), H933))"),"PDSSGHWQVQR")</f>
        <v>PDSSGHWQVQR</v>
      </c>
      <c r="I934" s="2" t="str">
        <f>IFERROR(__xludf.DUMMYFUNCTION("IF('From Order'!$A934=COLUMNS($A934:I953), LEFT(INDEX(FILTER(I$1:I933, I$1:I933&lt;&gt;""""),COUNTA(FILTER(I$1:I933, I$1:I933&lt;&gt;""""))), LEN(INDEX(FILTER(I$1:I933, I$1:I933&lt;&gt;""""),COUNTA(FILTER(I$1:I933, I$1:I933&lt;&gt;""""))))-1), IF('To Order'!$A934=COLUMNS($A934:I"&amp;"953), I933&amp;RIGHT(INDIRECT(ADDRESS(ROW(I934)-1, 'From Order'!$A934)), 1), I933))"),"LZMRCTTDTRL")</f>
        <v>LZMRCTTDTRL</v>
      </c>
    </row>
    <row r="935">
      <c r="A935" s="2" t="str">
        <f>IFERROR(__xludf.DUMMYFUNCTION("IF('From Order'!$A935=COLUMNS($A935:A954), LEFT(INDEX(FILTER(A$1:A934, A$1:A934&lt;&gt;""""),COUNTA(FILTER(A$1:A934, A$1:A934&lt;&gt;""""))), LEN(INDEX(FILTER(A$1:A934, A$1:A934&lt;&gt;""""),COUNTA(FILTER(A$1:A934, A$1:A934&lt;&gt;""""))))-1), IF('To Order'!$A935=COLUMNS($A935:A"&amp;"954), A934&amp;RIGHT(INDIRECT(ADDRESS(ROW(A935)-1, 'From Order'!$A935)), 1), A934))"),"J")</f>
        <v>J</v>
      </c>
      <c r="B935" s="2" t="str">
        <f>IFERROR(__xludf.DUMMYFUNCTION("IF('From Order'!$A935=COLUMNS($A935:B954), LEFT(INDEX(FILTER(B$1:B934, B$1:B934&lt;&gt;""""),COUNTA(FILTER(B$1:B934, B$1:B934&lt;&gt;""""))), LEN(INDEX(FILTER(B$1:B934, B$1:B934&lt;&gt;""""),COUNTA(FILTER(B$1:B934, B$1:B934&lt;&gt;""""))))-1), IF('To Order'!$A935=COLUMNS($A935:B"&amp;"954), B934&amp;RIGHT(INDIRECT(ADDRESS(ROW(B935)-1, 'From Order'!$A935)), 1), B934))"),"J")</f>
        <v>J</v>
      </c>
      <c r="C935" s="2" t="str">
        <f>IFERROR(__xludf.DUMMYFUNCTION("IF('From Order'!$A935=COLUMNS($A935:C954), LEFT(INDEX(FILTER(C$1:C934, C$1:C934&lt;&gt;""""),COUNTA(FILTER(C$1:C934, C$1:C934&lt;&gt;""""))), LEN(INDEX(FILTER(C$1:C934, C$1:C934&lt;&gt;""""),COUNTA(FILTER(C$1:C934, C$1:C934&lt;&gt;""""))))-1), IF('To Order'!$A935=COLUMNS($A935:C"&amp;"954), C934&amp;RIGHT(INDIRECT(ADDRESS(ROW(C935)-1, 'From Order'!$A935)), 1), C934))"),"")</f>
        <v/>
      </c>
      <c r="D935" s="2" t="str">
        <f>IFERROR(__xludf.DUMMYFUNCTION("IF('From Order'!$A935=COLUMNS($A935:D954), LEFT(INDEX(FILTER(D$1:D934, D$1:D934&lt;&gt;""""),COUNTA(FILTER(D$1:D934, D$1:D934&lt;&gt;""""))), LEN(INDEX(FILTER(D$1:D934, D$1:D934&lt;&gt;""""),COUNTA(FILTER(D$1:D934, D$1:D934&lt;&gt;""""))))-1), IF('To Order'!$A935=COLUMNS($A935:D"&amp;"954), D934&amp;RIGHT(INDIRECT(ADDRESS(ROW(D935)-1, 'From Order'!$A935)), 1), D934))"),"BFMHZBSB")</f>
        <v>BFMHZBSB</v>
      </c>
      <c r="E935" s="2" t="str">
        <f>IFERROR(__xludf.DUMMYFUNCTION("IF('From Order'!$A935=COLUMNS($A935:E954), LEFT(INDEX(FILTER(E$1:E934, E$1:E934&lt;&gt;""""),COUNTA(FILTER(E$1:E934, E$1:E934&lt;&gt;""""))), LEN(INDEX(FILTER(E$1:E934, E$1:E934&lt;&gt;""""),COUNTA(FILTER(E$1:E934, E$1:E934&lt;&gt;""""))))-1), IF('To Order'!$A935=COLUMNS($A935:E"&amp;"954), E934&amp;RIGHT(INDIRECT(ADDRESS(ROW(E935)-1, 'From Order'!$A935)), 1), E934))"),"MGCDRZVCJVPP")</f>
        <v>MGCDRZVCJVPP</v>
      </c>
      <c r="F935" s="2" t="str">
        <f>IFERROR(__xludf.DUMMYFUNCTION("IF('From Order'!$A935=COLUMNS($A935:F954), LEFT(INDEX(FILTER(F$1:F934, F$1:F934&lt;&gt;""""),COUNTA(FILTER(F$1:F934, F$1:F934&lt;&gt;""""))), LEN(INDEX(FILTER(F$1:F934, F$1:F934&lt;&gt;""""),COUNTA(FILTER(F$1:F934, F$1:F934&lt;&gt;""""))))-1), IF('To Order'!$A935=COLUMNS($A935:F"&amp;"954), F934&amp;RIGHT(INDIRECT(ADDRESS(ROW(F935)-1, 'From Order'!$A935)), 1), F934))"),"FSLTTWRDTDBD")</f>
        <v>FSLTTWRDTDBD</v>
      </c>
      <c r="G935" s="2" t="str">
        <f>IFERROR(__xludf.DUMMYFUNCTION("IF('From Order'!$A935=COLUMNS($A935:G954), LEFT(INDEX(FILTER(G$1:G934, G$1:G934&lt;&gt;""""),COUNTA(FILTER(G$1:G934, G$1:G934&lt;&gt;""""))), LEN(INDEX(FILTER(G$1:G934, G$1:G934&lt;&gt;""""),COUNTA(FILTER(G$1:G934, G$1:G934&lt;&gt;""""))))-1), IF('To Order'!$A935=COLUMNS($A935:G"&amp;"954), G934&amp;RIGHT(INDIRECT(ADDRESS(ROW(G935)-1, 'From Order'!$A935)), 1), G934))"),"")</f>
        <v/>
      </c>
      <c r="H935" s="2" t="str">
        <f>IFERROR(__xludf.DUMMYFUNCTION("IF('From Order'!$A935=COLUMNS($A935:H954), LEFT(INDEX(FILTER(H$1:H934, H$1:H934&lt;&gt;""""),COUNTA(FILTER(H$1:H934, H$1:H934&lt;&gt;""""))), LEN(INDEX(FILTER(H$1:H934, H$1:H934&lt;&gt;""""),COUNTA(FILTER(H$1:H934, H$1:H934&lt;&gt;""""))))-1), IF('To Order'!$A935=COLUMNS($A935:H"&amp;"954), H934&amp;RIGHT(INDIRECT(ADDRESS(ROW(H935)-1, 'From Order'!$A935)), 1), H934))"),"PDSSGHWQVQ")</f>
        <v>PDSSGHWQVQ</v>
      </c>
      <c r="I935" s="2" t="str">
        <f>IFERROR(__xludf.DUMMYFUNCTION("IF('From Order'!$A935=COLUMNS($A935:I954), LEFT(INDEX(FILTER(I$1:I934, I$1:I934&lt;&gt;""""),COUNTA(FILTER(I$1:I934, I$1:I934&lt;&gt;""""))), LEN(INDEX(FILTER(I$1:I934, I$1:I934&lt;&gt;""""),COUNTA(FILTER(I$1:I934, I$1:I934&lt;&gt;""""))))-1), IF('To Order'!$A935=COLUMNS($A935:I"&amp;"954), I934&amp;RIGHT(INDIRECT(ADDRESS(ROW(I935)-1, 'From Order'!$A935)), 1), I934))"),"LZMRCTTDTRLR")</f>
        <v>LZMRCTTDTRLR</v>
      </c>
    </row>
    <row r="936">
      <c r="A936" s="2" t="str">
        <f>IFERROR(__xludf.DUMMYFUNCTION("IF('From Order'!$A936=COLUMNS($A936:A955), LEFT(INDEX(FILTER(A$1:A935, A$1:A935&lt;&gt;""""),COUNTA(FILTER(A$1:A935, A$1:A935&lt;&gt;""""))), LEN(INDEX(FILTER(A$1:A935, A$1:A935&lt;&gt;""""),COUNTA(FILTER(A$1:A935, A$1:A935&lt;&gt;""""))))-1), IF('To Order'!$A936=COLUMNS($A936:A"&amp;"955), A935&amp;RIGHT(INDIRECT(ADDRESS(ROW(A936)-1, 'From Order'!$A936)), 1), A935))"),"J")</f>
        <v>J</v>
      </c>
      <c r="B936" s="2" t="str">
        <f>IFERROR(__xludf.DUMMYFUNCTION("IF('From Order'!$A936=COLUMNS($A936:B955), LEFT(INDEX(FILTER(B$1:B935, B$1:B935&lt;&gt;""""),COUNTA(FILTER(B$1:B935, B$1:B935&lt;&gt;""""))), LEN(INDEX(FILTER(B$1:B935, B$1:B935&lt;&gt;""""),COUNTA(FILTER(B$1:B935, B$1:B935&lt;&gt;""""))))-1), IF('To Order'!$A936=COLUMNS($A936:B"&amp;"955), B935&amp;RIGHT(INDIRECT(ADDRESS(ROW(B936)-1, 'From Order'!$A936)), 1), B935))"),"J")</f>
        <v>J</v>
      </c>
      <c r="C936" s="2" t="str">
        <f>IFERROR(__xludf.DUMMYFUNCTION("IF('From Order'!$A936=COLUMNS($A936:C955), LEFT(INDEX(FILTER(C$1:C935, C$1:C935&lt;&gt;""""),COUNTA(FILTER(C$1:C935, C$1:C935&lt;&gt;""""))), LEN(INDEX(FILTER(C$1:C935, C$1:C935&lt;&gt;""""),COUNTA(FILTER(C$1:C935, C$1:C935&lt;&gt;""""))))-1), IF('To Order'!$A936=COLUMNS($A936:C"&amp;"955), C935&amp;RIGHT(INDIRECT(ADDRESS(ROW(C936)-1, 'From Order'!$A936)), 1), C935))"),"")</f>
        <v/>
      </c>
      <c r="D936" s="2" t="str">
        <f>IFERROR(__xludf.DUMMYFUNCTION("IF('From Order'!$A936=COLUMNS($A936:D955), LEFT(INDEX(FILTER(D$1:D935, D$1:D935&lt;&gt;""""),COUNTA(FILTER(D$1:D935, D$1:D935&lt;&gt;""""))), LEN(INDEX(FILTER(D$1:D935, D$1:D935&lt;&gt;""""),COUNTA(FILTER(D$1:D935, D$1:D935&lt;&gt;""""))))-1), IF('To Order'!$A936=COLUMNS($A936:D"&amp;"955), D935&amp;RIGHT(INDIRECT(ADDRESS(ROW(D936)-1, 'From Order'!$A936)), 1), D935))"),"BFMHZBS")</f>
        <v>BFMHZBS</v>
      </c>
      <c r="E936" s="2" t="str">
        <f>IFERROR(__xludf.DUMMYFUNCTION("IF('From Order'!$A936=COLUMNS($A936:E955), LEFT(INDEX(FILTER(E$1:E935, E$1:E935&lt;&gt;""""),COUNTA(FILTER(E$1:E935, E$1:E935&lt;&gt;""""))), LEN(INDEX(FILTER(E$1:E935, E$1:E935&lt;&gt;""""),COUNTA(FILTER(E$1:E935, E$1:E935&lt;&gt;""""))))-1), IF('To Order'!$A936=COLUMNS($A936:E"&amp;"955), E935&amp;RIGHT(INDIRECT(ADDRESS(ROW(E936)-1, 'From Order'!$A936)), 1), E935))"),"MGCDRZVCJVPP")</f>
        <v>MGCDRZVCJVPP</v>
      </c>
      <c r="F936" s="2" t="str">
        <f>IFERROR(__xludf.DUMMYFUNCTION("IF('From Order'!$A936=COLUMNS($A936:F955), LEFT(INDEX(FILTER(F$1:F935, F$1:F935&lt;&gt;""""),COUNTA(FILTER(F$1:F935, F$1:F935&lt;&gt;""""))), LEN(INDEX(FILTER(F$1:F935, F$1:F935&lt;&gt;""""),COUNTA(FILTER(F$1:F935, F$1:F935&lt;&gt;""""))))-1), IF('To Order'!$A936=COLUMNS($A936:F"&amp;"955), F935&amp;RIGHT(INDIRECT(ADDRESS(ROW(F936)-1, 'From Order'!$A936)), 1), F935))"),"FSLTTWRDTDBDB")</f>
        <v>FSLTTWRDTDBDB</v>
      </c>
      <c r="G936" s="2" t="str">
        <f>IFERROR(__xludf.DUMMYFUNCTION("IF('From Order'!$A936=COLUMNS($A936:G955), LEFT(INDEX(FILTER(G$1:G935, G$1:G935&lt;&gt;""""),COUNTA(FILTER(G$1:G935, G$1:G935&lt;&gt;""""))), LEN(INDEX(FILTER(G$1:G935, G$1:G935&lt;&gt;""""),COUNTA(FILTER(G$1:G935, G$1:G935&lt;&gt;""""))))-1), IF('To Order'!$A936=COLUMNS($A936:G"&amp;"955), G935&amp;RIGHT(INDIRECT(ADDRESS(ROW(G936)-1, 'From Order'!$A936)), 1), G935))"),"")</f>
        <v/>
      </c>
      <c r="H936" s="2" t="str">
        <f>IFERROR(__xludf.DUMMYFUNCTION("IF('From Order'!$A936=COLUMNS($A936:H955), LEFT(INDEX(FILTER(H$1:H935, H$1:H935&lt;&gt;""""),COUNTA(FILTER(H$1:H935, H$1:H935&lt;&gt;""""))), LEN(INDEX(FILTER(H$1:H935, H$1:H935&lt;&gt;""""),COUNTA(FILTER(H$1:H935, H$1:H935&lt;&gt;""""))))-1), IF('To Order'!$A936=COLUMNS($A936:H"&amp;"955), H935&amp;RIGHT(INDIRECT(ADDRESS(ROW(H936)-1, 'From Order'!$A936)), 1), H935))"),"PDSSGHWQVQ")</f>
        <v>PDSSGHWQVQ</v>
      </c>
      <c r="I936" s="2" t="str">
        <f>IFERROR(__xludf.DUMMYFUNCTION("IF('From Order'!$A936=COLUMNS($A936:I955), LEFT(INDEX(FILTER(I$1:I935, I$1:I935&lt;&gt;""""),COUNTA(FILTER(I$1:I935, I$1:I935&lt;&gt;""""))), LEN(INDEX(FILTER(I$1:I935, I$1:I935&lt;&gt;""""),COUNTA(FILTER(I$1:I935, I$1:I935&lt;&gt;""""))))-1), IF('To Order'!$A936=COLUMNS($A936:I"&amp;"955), I935&amp;RIGHT(INDIRECT(ADDRESS(ROW(I936)-1, 'From Order'!$A936)), 1), I935))"),"LZMRCTTDTRLR")</f>
        <v>LZMRCTTDTRLR</v>
      </c>
    </row>
    <row r="937">
      <c r="A937" s="2" t="str">
        <f>IFERROR(__xludf.DUMMYFUNCTION("IF('From Order'!$A937=COLUMNS($A937:A956), LEFT(INDEX(FILTER(A$1:A936, A$1:A936&lt;&gt;""""),COUNTA(FILTER(A$1:A936, A$1:A936&lt;&gt;""""))), LEN(INDEX(FILTER(A$1:A936, A$1:A936&lt;&gt;""""),COUNTA(FILTER(A$1:A936, A$1:A936&lt;&gt;""""))))-1), IF('To Order'!$A937=COLUMNS($A937:A"&amp;"956), A936&amp;RIGHT(INDIRECT(ADDRESS(ROW(A937)-1, 'From Order'!$A937)), 1), A936))"),"J")</f>
        <v>J</v>
      </c>
      <c r="B937" s="2" t="str">
        <f>IFERROR(__xludf.DUMMYFUNCTION("IF('From Order'!$A937=COLUMNS($A937:B956), LEFT(INDEX(FILTER(B$1:B936, B$1:B936&lt;&gt;""""),COUNTA(FILTER(B$1:B936, B$1:B936&lt;&gt;""""))), LEN(INDEX(FILTER(B$1:B936, B$1:B936&lt;&gt;""""),COUNTA(FILTER(B$1:B936, B$1:B936&lt;&gt;""""))))-1), IF('To Order'!$A937=COLUMNS($A937:B"&amp;"956), B936&amp;RIGHT(INDIRECT(ADDRESS(ROW(B937)-1, 'From Order'!$A937)), 1), B936))"),"J")</f>
        <v>J</v>
      </c>
      <c r="C937" s="2" t="str">
        <f>IFERROR(__xludf.DUMMYFUNCTION("IF('From Order'!$A937=COLUMNS($A937:C956), LEFT(INDEX(FILTER(C$1:C936, C$1:C936&lt;&gt;""""),COUNTA(FILTER(C$1:C936, C$1:C936&lt;&gt;""""))), LEN(INDEX(FILTER(C$1:C936, C$1:C936&lt;&gt;""""),COUNTA(FILTER(C$1:C936, C$1:C936&lt;&gt;""""))))-1), IF('To Order'!$A937=COLUMNS($A937:C"&amp;"956), C936&amp;RIGHT(INDIRECT(ADDRESS(ROW(C937)-1, 'From Order'!$A937)), 1), C936))"),"")</f>
        <v/>
      </c>
      <c r="D937" s="2" t="str">
        <f>IFERROR(__xludf.DUMMYFUNCTION("IF('From Order'!$A937=COLUMNS($A937:D956), LEFT(INDEX(FILTER(D$1:D936, D$1:D936&lt;&gt;""""),COUNTA(FILTER(D$1:D936, D$1:D936&lt;&gt;""""))), LEN(INDEX(FILTER(D$1:D936, D$1:D936&lt;&gt;""""),COUNTA(FILTER(D$1:D936, D$1:D936&lt;&gt;""""))))-1), IF('To Order'!$A937=COLUMNS($A937:D"&amp;"956), D936&amp;RIGHT(INDIRECT(ADDRESS(ROW(D937)-1, 'From Order'!$A937)), 1), D936))"),"BFMHZB")</f>
        <v>BFMHZB</v>
      </c>
      <c r="E937" s="2" t="str">
        <f>IFERROR(__xludf.DUMMYFUNCTION("IF('From Order'!$A937=COLUMNS($A937:E956), LEFT(INDEX(FILTER(E$1:E936, E$1:E936&lt;&gt;""""),COUNTA(FILTER(E$1:E936, E$1:E936&lt;&gt;""""))), LEN(INDEX(FILTER(E$1:E936, E$1:E936&lt;&gt;""""),COUNTA(FILTER(E$1:E936, E$1:E936&lt;&gt;""""))))-1), IF('To Order'!$A937=COLUMNS($A937:E"&amp;"956), E936&amp;RIGHT(INDIRECT(ADDRESS(ROW(E937)-1, 'From Order'!$A937)), 1), E936))"),"MGCDRZVCJVPP")</f>
        <v>MGCDRZVCJVPP</v>
      </c>
      <c r="F937" s="2" t="str">
        <f>IFERROR(__xludf.DUMMYFUNCTION("IF('From Order'!$A937=COLUMNS($A937:F956), LEFT(INDEX(FILTER(F$1:F936, F$1:F936&lt;&gt;""""),COUNTA(FILTER(F$1:F936, F$1:F936&lt;&gt;""""))), LEN(INDEX(FILTER(F$1:F936, F$1:F936&lt;&gt;""""),COUNTA(FILTER(F$1:F936, F$1:F936&lt;&gt;""""))))-1), IF('To Order'!$A937=COLUMNS($A937:F"&amp;"956), F936&amp;RIGHT(INDIRECT(ADDRESS(ROW(F937)-1, 'From Order'!$A937)), 1), F936))"),"FSLTTWRDTDBDBS")</f>
        <v>FSLTTWRDTDBDBS</v>
      </c>
      <c r="G937" s="2" t="str">
        <f>IFERROR(__xludf.DUMMYFUNCTION("IF('From Order'!$A937=COLUMNS($A937:G956), LEFT(INDEX(FILTER(G$1:G936, G$1:G936&lt;&gt;""""),COUNTA(FILTER(G$1:G936, G$1:G936&lt;&gt;""""))), LEN(INDEX(FILTER(G$1:G936, G$1:G936&lt;&gt;""""),COUNTA(FILTER(G$1:G936, G$1:G936&lt;&gt;""""))))-1), IF('To Order'!$A937=COLUMNS($A937:G"&amp;"956), G936&amp;RIGHT(INDIRECT(ADDRESS(ROW(G937)-1, 'From Order'!$A937)), 1), G936))"),"")</f>
        <v/>
      </c>
      <c r="H937" s="2" t="str">
        <f>IFERROR(__xludf.DUMMYFUNCTION("IF('From Order'!$A937=COLUMNS($A937:H956), LEFT(INDEX(FILTER(H$1:H936, H$1:H936&lt;&gt;""""),COUNTA(FILTER(H$1:H936, H$1:H936&lt;&gt;""""))), LEN(INDEX(FILTER(H$1:H936, H$1:H936&lt;&gt;""""),COUNTA(FILTER(H$1:H936, H$1:H936&lt;&gt;""""))))-1), IF('To Order'!$A937=COLUMNS($A937:H"&amp;"956), H936&amp;RIGHT(INDIRECT(ADDRESS(ROW(H937)-1, 'From Order'!$A937)), 1), H936))"),"PDSSGHWQVQ")</f>
        <v>PDSSGHWQVQ</v>
      </c>
      <c r="I937" s="2" t="str">
        <f>IFERROR(__xludf.DUMMYFUNCTION("IF('From Order'!$A937=COLUMNS($A937:I956), LEFT(INDEX(FILTER(I$1:I936, I$1:I936&lt;&gt;""""),COUNTA(FILTER(I$1:I936, I$1:I936&lt;&gt;""""))), LEN(INDEX(FILTER(I$1:I936, I$1:I936&lt;&gt;""""),COUNTA(FILTER(I$1:I936, I$1:I936&lt;&gt;""""))))-1), IF('To Order'!$A937=COLUMNS($A937:I"&amp;"956), I936&amp;RIGHT(INDIRECT(ADDRESS(ROW(I937)-1, 'From Order'!$A937)), 1), I936))"),"LZMRCTTDTRLR")</f>
        <v>LZMRCTTDTRLR</v>
      </c>
    </row>
    <row r="938">
      <c r="A938" s="2" t="str">
        <f>IFERROR(__xludf.DUMMYFUNCTION("IF('From Order'!$A938=COLUMNS($A938:A957), LEFT(INDEX(FILTER(A$1:A937, A$1:A937&lt;&gt;""""),COUNTA(FILTER(A$1:A937, A$1:A937&lt;&gt;""""))), LEN(INDEX(FILTER(A$1:A937, A$1:A937&lt;&gt;""""),COUNTA(FILTER(A$1:A937, A$1:A937&lt;&gt;""""))))-1), IF('To Order'!$A938=COLUMNS($A938:A"&amp;"957), A937&amp;RIGHT(INDIRECT(ADDRESS(ROW(A938)-1, 'From Order'!$A938)), 1), A937))"),"J")</f>
        <v>J</v>
      </c>
      <c r="B938" s="2" t="str">
        <f>IFERROR(__xludf.DUMMYFUNCTION("IF('From Order'!$A938=COLUMNS($A938:B957), LEFT(INDEX(FILTER(B$1:B937, B$1:B937&lt;&gt;""""),COUNTA(FILTER(B$1:B937, B$1:B937&lt;&gt;""""))), LEN(INDEX(FILTER(B$1:B937, B$1:B937&lt;&gt;""""),COUNTA(FILTER(B$1:B937, B$1:B937&lt;&gt;""""))))-1), IF('To Order'!$A938=COLUMNS($A938:B"&amp;"957), B937&amp;RIGHT(INDIRECT(ADDRESS(ROW(B938)-1, 'From Order'!$A938)), 1), B937))"),"J")</f>
        <v>J</v>
      </c>
      <c r="C938" s="2" t="str">
        <f>IFERROR(__xludf.DUMMYFUNCTION("IF('From Order'!$A938=COLUMNS($A938:C957), LEFT(INDEX(FILTER(C$1:C937, C$1:C937&lt;&gt;""""),COUNTA(FILTER(C$1:C937, C$1:C937&lt;&gt;""""))), LEN(INDEX(FILTER(C$1:C937, C$1:C937&lt;&gt;""""),COUNTA(FILTER(C$1:C937, C$1:C937&lt;&gt;""""))))-1), IF('To Order'!$A938=COLUMNS($A938:C"&amp;"957), C937&amp;RIGHT(INDIRECT(ADDRESS(ROW(C938)-1, 'From Order'!$A938)), 1), C937))"),"")</f>
        <v/>
      </c>
      <c r="D938" s="2" t="str">
        <f>IFERROR(__xludf.DUMMYFUNCTION("IF('From Order'!$A938=COLUMNS($A938:D957), LEFT(INDEX(FILTER(D$1:D937, D$1:D937&lt;&gt;""""),COUNTA(FILTER(D$1:D937, D$1:D937&lt;&gt;""""))), LEN(INDEX(FILTER(D$1:D937, D$1:D937&lt;&gt;""""),COUNTA(FILTER(D$1:D937, D$1:D937&lt;&gt;""""))))-1), IF('To Order'!$A938=COLUMNS($A938:D"&amp;"957), D937&amp;RIGHT(INDIRECT(ADDRESS(ROW(D938)-1, 'From Order'!$A938)), 1), D937))"),"BFMHZ")</f>
        <v>BFMHZ</v>
      </c>
      <c r="E938" s="2" t="str">
        <f>IFERROR(__xludf.DUMMYFUNCTION("IF('From Order'!$A938=COLUMNS($A938:E957), LEFT(INDEX(FILTER(E$1:E937, E$1:E937&lt;&gt;""""),COUNTA(FILTER(E$1:E937, E$1:E937&lt;&gt;""""))), LEN(INDEX(FILTER(E$1:E937, E$1:E937&lt;&gt;""""),COUNTA(FILTER(E$1:E937, E$1:E937&lt;&gt;""""))))-1), IF('To Order'!$A938=COLUMNS($A938:E"&amp;"957), E937&amp;RIGHT(INDIRECT(ADDRESS(ROW(E938)-1, 'From Order'!$A938)), 1), E937))"),"MGCDRZVCJVPP")</f>
        <v>MGCDRZVCJVPP</v>
      </c>
      <c r="F938" s="2" t="str">
        <f>IFERROR(__xludf.DUMMYFUNCTION("IF('From Order'!$A938=COLUMNS($A938:F957), LEFT(INDEX(FILTER(F$1:F937, F$1:F937&lt;&gt;""""),COUNTA(FILTER(F$1:F937, F$1:F937&lt;&gt;""""))), LEN(INDEX(FILTER(F$1:F937, F$1:F937&lt;&gt;""""),COUNTA(FILTER(F$1:F937, F$1:F937&lt;&gt;""""))))-1), IF('To Order'!$A938=COLUMNS($A938:F"&amp;"957), F937&amp;RIGHT(INDIRECT(ADDRESS(ROW(F938)-1, 'From Order'!$A938)), 1), F937))"),"FSLTTWRDTDBDBSB")</f>
        <v>FSLTTWRDTDBDBSB</v>
      </c>
      <c r="G938" s="2" t="str">
        <f>IFERROR(__xludf.DUMMYFUNCTION("IF('From Order'!$A938=COLUMNS($A938:G957), LEFT(INDEX(FILTER(G$1:G937, G$1:G937&lt;&gt;""""),COUNTA(FILTER(G$1:G937, G$1:G937&lt;&gt;""""))), LEN(INDEX(FILTER(G$1:G937, G$1:G937&lt;&gt;""""),COUNTA(FILTER(G$1:G937, G$1:G937&lt;&gt;""""))))-1), IF('To Order'!$A938=COLUMNS($A938:G"&amp;"957), G937&amp;RIGHT(INDIRECT(ADDRESS(ROW(G938)-1, 'From Order'!$A938)), 1), G937))"),"")</f>
        <v/>
      </c>
      <c r="H938" s="2" t="str">
        <f>IFERROR(__xludf.DUMMYFUNCTION("IF('From Order'!$A938=COLUMNS($A938:H957), LEFT(INDEX(FILTER(H$1:H937, H$1:H937&lt;&gt;""""),COUNTA(FILTER(H$1:H937, H$1:H937&lt;&gt;""""))), LEN(INDEX(FILTER(H$1:H937, H$1:H937&lt;&gt;""""),COUNTA(FILTER(H$1:H937, H$1:H937&lt;&gt;""""))))-1), IF('To Order'!$A938=COLUMNS($A938:H"&amp;"957), H937&amp;RIGHT(INDIRECT(ADDRESS(ROW(H938)-1, 'From Order'!$A938)), 1), H937))"),"PDSSGHWQVQ")</f>
        <v>PDSSGHWQVQ</v>
      </c>
      <c r="I938" s="2" t="str">
        <f>IFERROR(__xludf.DUMMYFUNCTION("IF('From Order'!$A938=COLUMNS($A938:I957), LEFT(INDEX(FILTER(I$1:I937, I$1:I937&lt;&gt;""""),COUNTA(FILTER(I$1:I937, I$1:I937&lt;&gt;""""))), LEN(INDEX(FILTER(I$1:I937, I$1:I937&lt;&gt;""""),COUNTA(FILTER(I$1:I937, I$1:I937&lt;&gt;""""))))-1), IF('To Order'!$A938=COLUMNS($A938:I"&amp;"957), I937&amp;RIGHT(INDIRECT(ADDRESS(ROW(I938)-1, 'From Order'!$A938)), 1), I937))"),"LZMRCTTDTRLR")</f>
        <v>LZMRCTTDTRLR</v>
      </c>
    </row>
    <row r="939">
      <c r="A939" s="2" t="str">
        <f>IFERROR(__xludf.DUMMYFUNCTION("IF('From Order'!$A939=COLUMNS($A939:A958), LEFT(INDEX(FILTER(A$1:A938, A$1:A938&lt;&gt;""""),COUNTA(FILTER(A$1:A938, A$1:A938&lt;&gt;""""))), LEN(INDEX(FILTER(A$1:A938, A$1:A938&lt;&gt;""""),COUNTA(FILTER(A$1:A938, A$1:A938&lt;&gt;""""))))-1), IF('To Order'!$A939=COLUMNS($A939:A"&amp;"958), A938&amp;RIGHT(INDIRECT(ADDRESS(ROW(A939)-1, 'From Order'!$A939)), 1), A938))"),"J")</f>
        <v>J</v>
      </c>
      <c r="B939" s="2" t="str">
        <f>IFERROR(__xludf.DUMMYFUNCTION("IF('From Order'!$A939=COLUMNS($A939:B958), LEFT(INDEX(FILTER(B$1:B938, B$1:B938&lt;&gt;""""),COUNTA(FILTER(B$1:B938, B$1:B938&lt;&gt;""""))), LEN(INDEX(FILTER(B$1:B938, B$1:B938&lt;&gt;""""),COUNTA(FILTER(B$1:B938, B$1:B938&lt;&gt;""""))))-1), IF('To Order'!$A939=COLUMNS($A939:B"&amp;"958), B938&amp;RIGHT(INDIRECT(ADDRESS(ROW(B939)-1, 'From Order'!$A939)), 1), B938))"),"J")</f>
        <v>J</v>
      </c>
      <c r="C939" s="2" t="str">
        <f>IFERROR(__xludf.DUMMYFUNCTION("IF('From Order'!$A939=COLUMNS($A939:C958), LEFT(INDEX(FILTER(C$1:C938, C$1:C938&lt;&gt;""""),COUNTA(FILTER(C$1:C938, C$1:C938&lt;&gt;""""))), LEN(INDEX(FILTER(C$1:C938, C$1:C938&lt;&gt;""""),COUNTA(FILTER(C$1:C938, C$1:C938&lt;&gt;""""))))-1), IF('To Order'!$A939=COLUMNS($A939:C"&amp;"958), C938&amp;RIGHT(INDIRECT(ADDRESS(ROW(C939)-1, 'From Order'!$A939)), 1), C938))"),"")</f>
        <v/>
      </c>
      <c r="D939" s="2" t="str">
        <f>IFERROR(__xludf.DUMMYFUNCTION("IF('From Order'!$A939=COLUMNS($A939:D958), LEFT(INDEX(FILTER(D$1:D938, D$1:D938&lt;&gt;""""),COUNTA(FILTER(D$1:D938, D$1:D938&lt;&gt;""""))), LEN(INDEX(FILTER(D$1:D938, D$1:D938&lt;&gt;""""),COUNTA(FILTER(D$1:D938, D$1:D938&lt;&gt;""""))))-1), IF('To Order'!$A939=COLUMNS($A939:D"&amp;"958), D938&amp;RIGHT(INDIRECT(ADDRESS(ROW(D939)-1, 'From Order'!$A939)), 1), D938))"),"BFMH")</f>
        <v>BFMH</v>
      </c>
      <c r="E939" s="2" t="str">
        <f>IFERROR(__xludf.DUMMYFUNCTION("IF('From Order'!$A939=COLUMNS($A939:E958), LEFT(INDEX(FILTER(E$1:E938, E$1:E938&lt;&gt;""""),COUNTA(FILTER(E$1:E938, E$1:E938&lt;&gt;""""))), LEN(INDEX(FILTER(E$1:E938, E$1:E938&lt;&gt;""""),COUNTA(FILTER(E$1:E938, E$1:E938&lt;&gt;""""))))-1), IF('To Order'!$A939=COLUMNS($A939:E"&amp;"958), E938&amp;RIGHT(INDIRECT(ADDRESS(ROW(E939)-1, 'From Order'!$A939)), 1), E938))"),"MGCDRZVCJVPP")</f>
        <v>MGCDRZVCJVPP</v>
      </c>
      <c r="F939" s="2" t="str">
        <f>IFERROR(__xludf.DUMMYFUNCTION("IF('From Order'!$A939=COLUMNS($A939:F958), LEFT(INDEX(FILTER(F$1:F938, F$1:F938&lt;&gt;""""),COUNTA(FILTER(F$1:F938, F$1:F938&lt;&gt;""""))), LEN(INDEX(FILTER(F$1:F938, F$1:F938&lt;&gt;""""),COUNTA(FILTER(F$1:F938, F$1:F938&lt;&gt;""""))))-1), IF('To Order'!$A939=COLUMNS($A939:F"&amp;"958), F938&amp;RIGHT(INDIRECT(ADDRESS(ROW(F939)-1, 'From Order'!$A939)), 1), F938))"),"FSLTTWRDTDBDBSBZ")</f>
        <v>FSLTTWRDTDBDBSBZ</v>
      </c>
      <c r="G939" s="2" t="str">
        <f>IFERROR(__xludf.DUMMYFUNCTION("IF('From Order'!$A939=COLUMNS($A939:G958), LEFT(INDEX(FILTER(G$1:G938, G$1:G938&lt;&gt;""""),COUNTA(FILTER(G$1:G938, G$1:G938&lt;&gt;""""))), LEN(INDEX(FILTER(G$1:G938, G$1:G938&lt;&gt;""""),COUNTA(FILTER(G$1:G938, G$1:G938&lt;&gt;""""))))-1), IF('To Order'!$A939=COLUMNS($A939:G"&amp;"958), G938&amp;RIGHT(INDIRECT(ADDRESS(ROW(G939)-1, 'From Order'!$A939)), 1), G938))"),"")</f>
        <v/>
      </c>
      <c r="H939" s="2" t="str">
        <f>IFERROR(__xludf.DUMMYFUNCTION("IF('From Order'!$A939=COLUMNS($A939:H958), LEFT(INDEX(FILTER(H$1:H938, H$1:H938&lt;&gt;""""),COUNTA(FILTER(H$1:H938, H$1:H938&lt;&gt;""""))), LEN(INDEX(FILTER(H$1:H938, H$1:H938&lt;&gt;""""),COUNTA(FILTER(H$1:H938, H$1:H938&lt;&gt;""""))))-1), IF('To Order'!$A939=COLUMNS($A939:H"&amp;"958), H938&amp;RIGHT(INDIRECT(ADDRESS(ROW(H939)-1, 'From Order'!$A939)), 1), H938))"),"PDSSGHWQVQ")</f>
        <v>PDSSGHWQVQ</v>
      </c>
      <c r="I939" s="2" t="str">
        <f>IFERROR(__xludf.DUMMYFUNCTION("IF('From Order'!$A939=COLUMNS($A939:I958), LEFT(INDEX(FILTER(I$1:I938, I$1:I938&lt;&gt;""""),COUNTA(FILTER(I$1:I938, I$1:I938&lt;&gt;""""))), LEN(INDEX(FILTER(I$1:I938, I$1:I938&lt;&gt;""""),COUNTA(FILTER(I$1:I938, I$1:I938&lt;&gt;""""))))-1), IF('To Order'!$A939=COLUMNS($A939:I"&amp;"958), I938&amp;RIGHT(INDIRECT(ADDRESS(ROW(I939)-1, 'From Order'!$A939)), 1), I938))"),"LZMRCTTDTRLR")</f>
        <v>LZMRCTTDTRLR</v>
      </c>
    </row>
    <row r="940">
      <c r="A940" s="2" t="str">
        <f>IFERROR(__xludf.DUMMYFUNCTION("IF('From Order'!$A940=COLUMNS($A940:A959), LEFT(INDEX(FILTER(A$1:A939, A$1:A939&lt;&gt;""""),COUNTA(FILTER(A$1:A939, A$1:A939&lt;&gt;""""))), LEN(INDEX(FILTER(A$1:A939, A$1:A939&lt;&gt;""""),COUNTA(FILTER(A$1:A939, A$1:A939&lt;&gt;""""))))-1), IF('To Order'!$A940=COLUMNS($A940:A"&amp;"959), A939&amp;RIGHT(INDIRECT(ADDRESS(ROW(A940)-1, 'From Order'!$A940)), 1), A939))"),"J")</f>
        <v>J</v>
      </c>
      <c r="B940" s="2" t="str">
        <f>IFERROR(__xludf.DUMMYFUNCTION("IF('From Order'!$A940=COLUMNS($A940:B959), LEFT(INDEX(FILTER(B$1:B939, B$1:B939&lt;&gt;""""),COUNTA(FILTER(B$1:B939, B$1:B939&lt;&gt;""""))), LEN(INDEX(FILTER(B$1:B939, B$1:B939&lt;&gt;""""),COUNTA(FILTER(B$1:B939, B$1:B939&lt;&gt;""""))))-1), IF('To Order'!$A940=COLUMNS($A940:B"&amp;"959), B939&amp;RIGHT(INDIRECT(ADDRESS(ROW(B940)-1, 'From Order'!$A940)), 1), B939))"),"J")</f>
        <v>J</v>
      </c>
      <c r="C940" s="2" t="str">
        <f>IFERROR(__xludf.DUMMYFUNCTION("IF('From Order'!$A940=COLUMNS($A940:C959), LEFT(INDEX(FILTER(C$1:C939, C$1:C939&lt;&gt;""""),COUNTA(FILTER(C$1:C939, C$1:C939&lt;&gt;""""))), LEN(INDEX(FILTER(C$1:C939, C$1:C939&lt;&gt;""""),COUNTA(FILTER(C$1:C939, C$1:C939&lt;&gt;""""))))-1), IF('To Order'!$A940=COLUMNS($A940:C"&amp;"959), C939&amp;RIGHT(INDIRECT(ADDRESS(ROW(C940)-1, 'From Order'!$A940)), 1), C939))"),"")</f>
        <v/>
      </c>
      <c r="D940" s="2" t="str">
        <f>IFERROR(__xludf.DUMMYFUNCTION("IF('From Order'!$A940=COLUMNS($A940:D959), LEFT(INDEX(FILTER(D$1:D939, D$1:D939&lt;&gt;""""),COUNTA(FILTER(D$1:D939, D$1:D939&lt;&gt;""""))), LEN(INDEX(FILTER(D$1:D939, D$1:D939&lt;&gt;""""),COUNTA(FILTER(D$1:D939, D$1:D939&lt;&gt;""""))))-1), IF('To Order'!$A940=COLUMNS($A940:D"&amp;"959), D939&amp;RIGHT(INDIRECT(ADDRESS(ROW(D940)-1, 'From Order'!$A940)), 1), D939))"),"BFM")</f>
        <v>BFM</v>
      </c>
      <c r="E940" s="2" t="str">
        <f>IFERROR(__xludf.DUMMYFUNCTION("IF('From Order'!$A940=COLUMNS($A940:E959), LEFT(INDEX(FILTER(E$1:E939, E$1:E939&lt;&gt;""""),COUNTA(FILTER(E$1:E939, E$1:E939&lt;&gt;""""))), LEN(INDEX(FILTER(E$1:E939, E$1:E939&lt;&gt;""""),COUNTA(FILTER(E$1:E939, E$1:E939&lt;&gt;""""))))-1), IF('To Order'!$A940=COLUMNS($A940:E"&amp;"959), E939&amp;RIGHT(INDIRECT(ADDRESS(ROW(E940)-1, 'From Order'!$A940)), 1), E939))"),"MGCDRZVCJVPP")</f>
        <v>MGCDRZVCJVPP</v>
      </c>
      <c r="F940" s="2" t="str">
        <f>IFERROR(__xludf.DUMMYFUNCTION("IF('From Order'!$A940=COLUMNS($A940:F959), LEFT(INDEX(FILTER(F$1:F939, F$1:F939&lt;&gt;""""),COUNTA(FILTER(F$1:F939, F$1:F939&lt;&gt;""""))), LEN(INDEX(FILTER(F$1:F939, F$1:F939&lt;&gt;""""),COUNTA(FILTER(F$1:F939, F$1:F939&lt;&gt;""""))))-1), IF('To Order'!$A940=COLUMNS($A940:F"&amp;"959), F939&amp;RIGHT(INDIRECT(ADDRESS(ROW(F940)-1, 'From Order'!$A940)), 1), F939))"),"FSLTTWRDTDBDBSBZH")</f>
        <v>FSLTTWRDTDBDBSBZH</v>
      </c>
      <c r="G940" s="2" t="str">
        <f>IFERROR(__xludf.DUMMYFUNCTION("IF('From Order'!$A940=COLUMNS($A940:G959), LEFT(INDEX(FILTER(G$1:G939, G$1:G939&lt;&gt;""""),COUNTA(FILTER(G$1:G939, G$1:G939&lt;&gt;""""))), LEN(INDEX(FILTER(G$1:G939, G$1:G939&lt;&gt;""""),COUNTA(FILTER(G$1:G939, G$1:G939&lt;&gt;""""))))-1), IF('To Order'!$A940=COLUMNS($A940:G"&amp;"959), G939&amp;RIGHT(INDIRECT(ADDRESS(ROW(G940)-1, 'From Order'!$A940)), 1), G939))"),"")</f>
        <v/>
      </c>
      <c r="H940" s="2" t="str">
        <f>IFERROR(__xludf.DUMMYFUNCTION("IF('From Order'!$A940=COLUMNS($A940:H959), LEFT(INDEX(FILTER(H$1:H939, H$1:H939&lt;&gt;""""),COUNTA(FILTER(H$1:H939, H$1:H939&lt;&gt;""""))), LEN(INDEX(FILTER(H$1:H939, H$1:H939&lt;&gt;""""),COUNTA(FILTER(H$1:H939, H$1:H939&lt;&gt;""""))))-1), IF('To Order'!$A940=COLUMNS($A940:H"&amp;"959), H939&amp;RIGHT(INDIRECT(ADDRESS(ROW(H940)-1, 'From Order'!$A940)), 1), H939))"),"PDSSGHWQVQ")</f>
        <v>PDSSGHWQVQ</v>
      </c>
      <c r="I940" s="2" t="str">
        <f>IFERROR(__xludf.DUMMYFUNCTION("IF('From Order'!$A940=COLUMNS($A940:I959), LEFT(INDEX(FILTER(I$1:I939, I$1:I939&lt;&gt;""""),COUNTA(FILTER(I$1:I939, I$1:I939&lt;&gt;""""))), LEN(INDEX(FILTER(I$1:I939, I$1:I939&lt;&gt;""""),COUNTA(FILTER(I$1:I939, I$1:I939&lt;&gt;""""))))-1), IF('To Order'!$A940=COLUMNS($A940:I"&amp;"959), I939&amp;RIGHT(INDIRECT(ADDRESS(ROW(I940)-1, 'From Order'!$A940)), 1), I939))"),"LZMRCTTDTRLR")</f>
        <v>LZMRCTTDTRLR</v>
      </c>
    </row>
    <row r="941">
      <c r="A941" s="2" t="str">
        <f>IFERROR(__xludf.DUMMYFUNCTION("IF('From Order'!$A941=COLUMNS($A941:A960), LEFT(INDEX(FILTER(A$1:A940, A$1:A940&lt;&gt;""""),COUNTA(FILTER(A$1:A940, A$1:A940&lt;&gt;""""))), LEN(INDEX(FILTER(A$1:A940, A$1:A940&lt;&gt;""""),COUNTA(FILTER(A$1:A940, A$1:A940&lt;&gt;""""))))-1), IF('To Order'!$A941=COLUMNS($A941:A"&amp;"960), A940&amp;RIGHT(INDIRECT(ADDRESS(ROW(A941)-1, 'From Order'!$A941)), 1), A940))"),"J")</f>
        <v>J</v>
      </c>
      <c r="B941" s="2" t="str">
        <f>IFERROR(__xludf.DUMMYFUNCTION("IF('From Order'!$A941=COLUMNS($A941:B960), LEFT(INDEX(FILTER(B$1:B940, B$1:B940&lt;&gt;""""),COUNTA(FILTER(B$1:B940, B$1:B940&lt;&gt;""""))), LEN(INDEX(FILTER(B$1:B940, B$1:B940&lt;&gt;""""),COUNTA(FILTER(B$1:B940, B$1:B940&lt;&gt;""""))))-1), IF('To Order'!$A941=COLUMNS($A941:B"&amp;"960), B940&amp;RIGHT(INDIRECT(ADDRESS(ROW(B941)-1, 'From Order'!$A941)), 1), B940))"),"J")</f>
        <v>J</v>
      </c>
      <c r="C941" s="2" t="str">
        <f>IFERROR(__xludf.DUMMYFUNCTION("IF('From Order'!$A941=COLUMNS($A941:C960), LEFT(INDEX(FILTER(C$1:C940, C$1:C940&lt;&gt;""""),COUNTA(FILTER(C$1:C940, C$1:C940&lt;&gt;""""))), LEN(INDEX(FILTER(C$1:C940, C$1:C940&lt;&gt;""""),COUNTA(FILTER(C$1:C940, C$1:C940&lt;&gt;""""))))-1), IF('To Order'!$A941=COLUMNS($A941:C"&amp;"960), C940&amp;RIGHT(INDIRECT(ADDRESS(ROW(C941)-1, 'From Order'!$A941)), 1), C940))"),"")</f>
        <v/>
      </c>
      <c r="D941" s="2" t="str">
        <f>IFERROR(__xludf.DUMMYFUNCTION("IF('From Order'!$A941=COLUMNS($A941:D960), LEFT(INDEX(FILTER(D$1:D940, D$1:D940&lt;&gt;""""),COUNTA(FILTER(D$1:D940, D$1:D940&lt;&gt;""""))), LEN(INDEX(FILTER(D$1:D940, D$1:D940&lt;&gt;""""),COUNTA(FILTER(D$1:D940, D$1:D940&lt;&gt;""""))))-1), IF('To Order'!$A941=COLUMNS($A941:D"&amp;"960), D940&amp;RIGHT(INDIRECT(ADDRESS(ROW(D941)-1, 'From Order'!$A941)), 1), D940))"),"BF")</f>
        <v>BF</v>
      </c>
      <c r="E941" s="2" t="str">
        <f>IFERROR(__xludf.DUMMYFUNCTION("IF('From Order'!$A941=COLUMNS($A941:E960), LEFT(INDEX(FILTER(E$1:E940, E$1:E940&lt;&gt;""""),COUNTA(FILTER(E$1:E940, E$1:E940&lt;&gt;""""))), LEN(INDEX(FILTER(E$1:E940, E$1:E940&lt;&gt;""""),COUNTA(FILTER(E$1:E940, E$1:E940&lt;&gt;""""))))-1), IF('To Order'!$A941=COLUMNS($A941:E"&amp;"960), E940&amp;RIGHT(INDIRECT(ADDRESS(ROW(E941)-1, 'From Order'!$A941)), 1), E940))"),"MGCDRZVCJVPP")</f>
        <v>MGCDRZVCJVPP</v>
      </c>
      <c r="F941" s="2" t="str">
        <f>IFERROR(__xludf.DUMMYFUNCTION("IF('From Order'!$A941=COLUMNS($A941:F960), LEFT(INDEX(FILTER(F$1:F940, F$1:F940&lt;&gt;""""),COUNTA(FILTER(F$1:F940, F$1:F940&lt;&gt;""""))), LEN(INDEX(FILTER(F$1:F940, F$1:F940&lt;&gt;""""),COUNTA(FILTER(F$1:F940, F$1:F940&lt;&gt;""""))))-1), IF('To Order'!$A941=COLUMNS($A941:F"&amp;"960), F940&amp;RIGHT(INDIRECT(ADDRESS(ROW(F941)-1, 'From Order'!$A941)), 1), F940))"),"FSLTTWRDTDBDBSBZHM")</f>
        <v>FSLTTWRDTDBDBSBZHM</v>
      </c>
      <c r="G941" s="2" t="str">
        <f>IFERROR(__xludf.DUMMYFUNCTION("IF('From Order'!$A941=COLUMNS($A941:G960), LEFT(INDEX(FILTER(G$1:G940, G$1:G940&lt;&gt;""""),COUNTA(FILTER(G$1:G940, G$1:G940&lt;&gt;""""))), LEN(INDEX(FILTER(G$1:G940, G$1:G940&lt;&gt;""""),COUNTA(FILTER(G$1:G940, G$1:G940&lt;&gt;""""))))-1), IF('To Order'!$A941=COLUMNS($A941:G"&amp;"960), G940&amp;RIGHT(INDIRECT(ADDRESS(ROW(G941)-1, 'From Order'!$A941)), 1), G940))"),"")</f>
        <v/>
      </c>
      <c r="H941" s="2" t="str">
        <f>IFERROR(__xludf.DUMMYFUNCTION("IF('From Order'!$A941=COLUMNS($A941:H960), LEFT(INDEX(FILTER(H$1:H940, H$1:H940&lt;&gt;""""),COUNTA(FILTER(H$1:H940, H$1:H940&lt;&gt;""""))), LEN(INDEX(FILTER(H$1:H940, H$1:H940&lt;&gt;""""),COUNTA(FILTER(H$1:H940, H$1:H940&lt;&gt;""""))))-1), IF('To Order'!$A941=COLUMNS($A941:H"&amp;"960), H940&amp;RIGHT(INDIRECT(ADDRESS(ROW(H941)-1, 'From Order'!$A941)), 1), H940))"),"PDSSGHWQVQ")</f>
        <v>PDSSGHWQVQ</v>
      </c>
      <c r="I941" s="2" t="str">
        <f>IFERROR(__xludf.DUMMYFUNCTION("IF('From Order'!$A941=COLUMNS($A941:I960), LEFT(INDEX(FILTER(I$1:I940, I$1:I940&lt;&gt;""""),COUNTA(FILTER(I$1:I940, I$1:I940&lt;&gt;""""))), LEN(INDEX(FILTER(I$1:I940, I$1:I940&lt;&gt;""""),COUNTA(FILTER(I$1:I940, I$1:I940&lt;&gt;""""))))-1), IF('To Order'!$A941=COLUMNS($A941:I"&amp;"960), I940&amp;RIGHT(INDIRECT(ADDRESS(ROW(I941)-1, 'From Order'!$A941)), 1), I940))"),"LZMRCTTDTRLR")</f>
        <v>LZMRCTTDTRLR</v>
      </c>
    </row>
    <row r="942">
      <c r="A942" s="2" t="str">
        <f>IFERROR(__xludf.DUMMYFUNCTION("IF('From Order'!$A942=COLUMNS($A942:A961), LEFT(INDEX(FILTER(A$1:A941, A$1:A941&lt;&gt;""""),COUNTA(FILTER(A$1:A941, A$1:A941&lt;&gt;""""))), LEN(INDEX(FILTER(A$1:A941, A$1:A941&lt;&gt;""""),COUNTA(FILTER(A$1:A941, A$1:A941&lt;&gt;""""))))-1), IF('To Order'!$A942=COLUMNS($A942:A"&amp;"961), A941&amp;RIGHT(INDIRECT(ADDRESS(ROW(A942)-1, 'From Order'!$A942)), 1), A941))"),"J")</f>
        <v>J</v>
      </c>
      <c r="B942" s="2" t="str">
        <f>IFERROR(__xludf.DUMMYFUNCTION("IF('From Order'!$A942=COLUMNS($A942:B961), LEFT(INDEX(FILTER(B$1:B941, B$1:B941&lt;&gt;""""),COUNTA(FILTER(B$1:B941, B$1:B941&lt;&gt;""""))), LEN(INDEX(FILTER(B$1:B941, B$1:B941&lt;&gt;""""),COUNTA(FILTER(B$1:B941, B$1:B941&lt;&gt;""""))))-1), IF('To Order'!$A942=COLUMNS($A942:B"&amp;"961), B941&amp;RIGHT(INDIRECT(ADDRESS(ROW(B942)-1, 'From Order'!$A942)), 1), B941))"),"J")</f>
        <v>J</v>
      </c>
      <c r="C942" s="2" t="str">
        <f>IFERROR(__xludf.DUMMYFUNCTION("IF('From Order'!$A942=COLUMNS($A942:C961), LEFT(INDEX(FILTER(C$1:C941, C$1:C941&lt;&gt;""""),COUNTA(FILTER(C$1:C941, C$1:C941&lt;&gt;""""))), LEN(INDEX(FILTER(C$1:C941, C$1:C941&lt;&gt;""""),COUNTA(FILTER(C$1:C941, C$1:C941&lt;&gt;""""))))-1), IF('To Order'!$A942=COLUMNS($A942:C"&amp;"961), C941&amp;RIGHT(INDIRECT(ADDRESS(ROW(C942)-1, 'From Order'!$A942)), 1), C941))"),"")</f>
        <v/>
      </c>
      <c r="D942" s="2" t="str">
        <f>IFERROR(__xludf.DUMMYFUNCTION("IF('From Order'!$A942=COLUMNS($A942:D961), LEFT(INDEX(FILTER(D$1:D941, D$1:D941&lt;&gt;""""),COUNTA(FILTER(D$1:D941, D$1:D941&lt;&gt;""""))), LEN(INDEX(FILTER(D$1:D941, D$1:D941&lt;&gt;""""),COUNTA(FILTER(D$1:D941, D$1:D941&lt;&gt;""""))))-1), IF('To Order'!$A942=COLUMNS($A942:D"&amp;"961), D941&amp;RIGHT(INDIRECT(ADDRESS(ROW(D942)-1, 'From Order'!$A942)), 1), D941))"),"B")</f>
        <v>B</v>
      </c>
      <c r="E942" s="2" t="str">
        <f>IFERROR(__xludf.DUMMYFUNCTION("IF('From Order'!$A942=COLUMNS($A942:E961), LEFT(INDEX(FILTER(E$1:E941, E$1:E941&lt;&gt;""""),COUNTA(FILTER(E$1:E941, E$1:E941&lt;&gt;""""))), LEN(INDEX(FILTER(E$1:E941, E$1:E941&lt;&gt;""""),COUNTA(FILTER(E$1:E941, E$1:E941&lt;&gt;""""))))-1), IF('To Order'!$A942=COLUMNS($A942:E"&amp;"961), E941&amp;RIGHT(INDIRECT(ADDRESS(ROW(E942)-1, 'From Order'!$A942)), 1), E941))"),"MGCDRZVCJVPP")</f>
        <v>MGCDRZVCJVPP</v>
      </c>
      <c r="F942" s="2" t="str">
        <f>IFERROR(__xludf.DUMMYFUNCTION("IF('From Order'!$A942=COLUMNS($A942:F961), LEFT(INDEX(FILTER(F$1:F941, F$1:F941&lt;&gt;""""),COUNTA(FILTER(F$1:F941, F$1:F941&lt;&gt;""""))), LEN(INDEX(FILTER(F$1:F941, F$1:F941&lt;&gt;""""),COUNTA(FILTER(F$1:F941, F$1:F941&lt;&gt;""""))))-1), IF('To Order'!$A942=COLUMNS($A942:F"&amp;"961), F941&amp;RIGHT(INDIRECT(ADDRESS(ROW(F942)-1, 'From Order'!$A942)), 1), F941))"),"FSLTTWRDTDBDBSBZHMF")</f>
        <v>FSLTTWRDTDBDBSBZHMF</v>
      </c>
      <c r="G942" s="2" t="str">
        <f>IFERROR(__xludf.DUMMYFUNCTION("IF('From Order'!$A942=COLUMNS($A942:G961), LEFT(INDEX(FILTER(G$1:G941, G$1:G941&lt;&gt;""""),COUNTA(FILTER(G$1:G941, G$1:G941&lt;&gt;""""))), LEN(INDEX(FILTER(G$1:G941, G$1:G941&lt;&gt;""""),COUNTA(FILTER(G$1:G941, G$1:G941&lt;&gt;""""))))-1), IF('To Order'!$A942=COLUMNS($A942:G"&amp;"961), G941&amp;RIGHT(INDIRECT(ADDRESS(ROW(G942)-1, 'From Order'!$A942)), 1), G941))"),"")</f>
        <v/>
      </c>
      <c r="H942" s="2" t="str">
        <f>IFERROR(__xludf.DUMMYFUNCTION("IF('From Order'!$A942=COLUMNS($A942:H961), LEFT(INDEX(FILTER(H$1:H941, H$1:H941&lt;&gt;""""),COUNTA(FILTER(H$1:H941, H$1:H941&lt;&gt;""""))), LEN(INDEX(FILTER(H$1:H941, H$1:H941&lt;&gt;""""),COUNTA(FILTER(H$1:H941, H$1:H941&lt;&gt;""""))))-1), IF('To Order'!$A942=COLUMNS($A942:H"&amp;"961), H941&amp;RIGHT(INDIRECT(ADDRESS(ROW(H942)-1, 'From Order'!$A942)), 1), H941))"),"PDSSGHWQVQ")</f>
        <v>PDSSGHWQVQ</v>
      </c>
      <c r="I942" s="2" t="str">
        <f>IFERROR(__xludf.DUMMYFUNCTION("IF('From Order'!$A942=COLUMNS($A942:I961), LEFT(INDEX(FILTER(I$1:I941, I$1:I941&lt;&gt;""""),COUNTA(FILTER(I$1:I941, I$1:I941&lt;&gt;""""))), LEN(INDEX(FILTER(I$1:I941, I$1:I941&lt;&gt;""""),COUNTA(FILTER(I$1:I941, I$1:I941&lt;&gt;""""))))-1), IF('To Order'!$A942=COLUMNS($A942:I"&amp;"961), I941&amp;RIGHT(INDIRECT(ADDRESS(ROW(I942)-1, 'From Order'!$A942)), 1), I941))"),"LZMRCTTDTRLR")</f>
        <v>LZMRCTTDTRLR</v>
      </c>
    </row>
    <row r="943">
      <c r="A943" s="2" t="str">
        <f>IFERROR(__xludf.DUMMYFUNCTION("IF('From Order'!$A943=COLUMNS($A943:A962), LEFT(INDEX(FILTER(A$1:A942, A$1:A942&lt;&gt;""""),COUNTA(FILTER(A$1:A942, A$1:A942&lt;&gt;""""))), LEN(INDEX(FILTER(A$1:A942, A$1:A942&lt;&gt;""""),COUNTA(FILTER(A$1:A942, A$1:A942&lt;&gt;""""))))-1), IF('To Order'!$A943=COLUMNS($A943:A"&amp;"962), A942&amp;RIGHT(INDIRECT(ADDRESS(ROW(A943)-1, 'From Order'!$A943)), 1), A942))"),"J")</f>
        <v>J</v>
      </c>
      <c r="B943" s="2" t="str">
        <f>IFERROR(__xludf.DUMMYFUNCTION("IF('From Order'!$A943=COLUMNS($A943:B962), LEFT(INDEX(FILTER(B$1:B942, B$1:B942&lt;&gt;""""),COUNTA(FILTER(B$1:B942, B$1:B942&lt;&gt;""""))), LEN(INDEX(FILTER(B$1:B942, B$1:B942&lt;&gt;""""),COUNTA(FILTER(B$1:B942, B$1:B942&lt;&gt;""""))))-1), IF('To Order'!$A943=COLUMNS($A943:B"&amp;"962), B942&amp;RIGHT(INDIRECT(ADDRESS(ROW(B943)-1, 'From Order'!$A943)), 1), B942))"),"J")</f>
        <v>J</v>
      </c>
      <c r="C943" s="2" t="str">
        <f>IFERROR(__xludf.DUMMYFUNCTION("IF('From Order'!$A943=COLUMNS($A943:C962), LEFT(INDEX(FILTER(C$1:C942, C$1:C942&lt;&gt;""""),COUNTA(FILTER(C$1:C942, C$1:C942&lt;&gt;""""))), LEN(INDEX(FILTER(C$1:C942, C$1:C942&lt;&gt;""""),COUNTA(FILTER(C$1:C942, C$1:C942&lt;&gt;""""))))-1), IF('To Order'!$A943=COLUMNS($A943:C"&amp;"962), C942&amp;RIGHT(INDIRECT(ADDRESS(ROW(C943)-1, 'From Order'!$A943)), 1), C942))"),"")</f>
        <v/>
      </c>
      <c r="D943" s="2" t="str">
        <f>IFERROR(__xludf.DUMMYFUNCTION("IF('From Order'!$A943=COLUMNS($A943:D962), LEFT(INDEX(FILTER(D$1:D942, D$1:D942&lt;&gt;""""),COUNTA(FILTER(D$1:D942, D$1:D942&lt;&gt;""""))), LEN(INDEX(FILTER(D$1:D942, D$1:D942&lt;&gt;""""),COUNTA(FILTER(D$1:D942, D$1:D942&lt;&gt;""""))))-1), IF('To Order'!$A943=COLUMNS($A943:D"&amp;"962), D942&amp;RIGHT(INDIRECT(ADDRESS(ROW(D943)-1, 'From Order'!$A943)), 1), D942))"),"")</f>
        <v/>
      </c>
      <c r="E943" s="2" t="str">
        <f>IFERROR(__xludf.DUMMYFUNCTION("IF('From Order'!$A943=COLUMNS($A943:E962), LEFT(INDEX(FILTER(E$1:E942, E$1:E942&lt;&gt;""""),COUNTA(FILTER(E$1:E942, E$1:E942&lt;&gt;""""))), LEN(INDEX(FILTER(E$1:E942, E$1:E942&lt;&gt;""""),COUNTA(FILTER(E$1:E942, E$1:E942&lt;&gt;""""))))-1), IF('To Order'!$A943=COLUMNS($A943:E"&amp;"962), E942&amp;RIGHT(INDIRECT(ADDRESS(ROW(E943)-1, 'From Order'!$A943)), 1), E942))"),"MGCDRZVCJVPP")</f>
        <v>MGCDRZVCJVPP</v>
      </c>
      <c r="F943" s="2" t="str">
        <f>IFERROR(__xludf.DUMMYFUNCTION("IF('From Order'!$A943=COLUMNS($A943:F962), LEFT(INDEX(FILTER(F$1:F942, F$1:F942&lt;&gt;""""),COUNTA(FILTER(F$1:F942, F$1:F942&lt;&gt;""""))), LEN(INDEX(FILTER(F$1:F942, F$1:F942&lt;&gt;""""),COUNTA(FILTER(F$1:F942, F$1:F942&lt;&gt;""""))))-1), IF('To Order'!$A943=COLUMNS($A943:F"&amp;"962), F942&amp;RIGHT(INDIRECT(ADDRESS(ROW(F943)-1, 'From Order'!$A943)), 1), F942))"),"FSLTTWRDTDBDBSBZHMFB")</f>
        <v>FSLTTWRDTDBDBSBZHMFB</v>
      </c>
      <c r="G943" s="2" t="str">
        <f>IFERROR(__xludf.DUMMYFUNCTION("IF('From Order'!$A943=COLUMNS($A943:G962), LEFT(INDEX(FILTER(G$1:G942, G$1:G942&lt;&gt;""""),COUNTA(FILTER(G$1:G942, G$1:G942&lt;&gt;""""))), LEN(INDEX(FILTER(G$1:G942, G$1:G942&lt;&gt;""""),COUNTA(FILTER(G$1:G942, G$1:G942&lt;&gt;""""))))-1), IF('To Order'!$A943=COLUMNS($A943:G"&amp;"962), G942&amp;RIGHT(INDIRECT(ADDRESS(ROW(G943)-1, 'From Order'!$A943)), 1), G942))"),"")</f>
        <v/>
      </c>
      <c r="H943" s="2" t="str">
        <f>IFERROR(__xludf.DUMMYFUNCTION("IF('From Order'!$A943=COLUMNS($A943:H962), LEFT(INDEX(FILTER(H$1:H942, H$1:H942&lt;&gt;""""),COUNTA(FILTER(H$1:H942, H$1:H942&lt;&gt;""""))), LEN(INDEX(FILTER(H$1:H942, H$1:H942&lt;&gt;""""),COUNTA(FILTER(H$1:H942, H$1:H942&lt;&gt;""""))))-1), IF('To Order'!$A943=COLUMNS($A943:H"&amp;"962), H942&amp;RIGHT(INDIRECT(ADDRESS(ROW(H943)-1, 'From Order'!$A943)), 1), H942))"),"PDSSGHWQVQ")</f>
        <v>PDSSGHWQVQ</v>
      </c>
      <c r="I943" s="2" t="str">
        <f>IFERROR(__xludf.DUMMYFUNCTION("IF('From Order'!$A943=COLUMNS($A943:I962), LEFT(INDEX(FILTER(I$1:I942, I$1:I942&lt;&gt;""""),COUNTA(FILTER(I$1:I942, I$1:I942&lt;&gt;""""))), LEN(INDEX(FILTER(I$1:I942, I$1:I942&lt;&gt;""""),COUNTA(FILTER(I$1:I942, I$1:I942&lt;&gt;""""))))-1), IF('To Order'!$A943=COLUMNS($A943:I"&amp;"962), I942&amp;RIGHT(INDIRECT(ADDRESS(ROW(I943)-1, 'From Order'!$A943)), 1), I942))"),"LZMRCTTDTRLR")</f>
        <v>LZMRCTTDTRLR</v>
      </c>
    </row>
    <row r="944">
      <c r="A944" s="2" t="str">
        <f>IFERROR(__xludf.DUMMYFUNCTION("IF('From Order'!$A944=COLUMNS($A944:A963), LEFT(INDEX(FILTER(A$1:A943, A$1:A943&lt;&gt;""""),COUNTA(FILTER(A$1:A943, A$1:A943&lt;&gt;""""))), LEN(INDEX(FILTER(A$1:A943, A$1:A943&lt;&gt;""""),COUNTA(FILTER(A$1:A943, A$1:A943&lt;&gt;""""))))-1), IF('To Order'!$A944=COLUMNS($A944:A"&amp;"963), A943&amp;RIGHT(INDIRECT(ADDRESS(ROW(A944)-1, 'From Order'!$A944)), 1), A943))"),"J")</f>
        <v>J</v>
      </c>
      <c r="B944" s="2" t="str">
        <f>IFERROR(__xludf.DUMMYFUNCTION("IF('From Order'!$A944=COLUMNS($A944:B963), LEFT(INDEX(FILTER(B$1:B943, B$1:B943&lt;&gt;""""),COUNTA(FILTER(B$1:B943, B$1:B943&lt;&gt;""""))), LEN(INDEX(FILTER(B$1:B943, B$1:B943&lt;&gt;""""),COUNTA(FILTER(B$1:B943, B$1:B943&lt;&gt;""""))))-1), IF('To Order'!$A944=COLUMNS($A944:B"&amp;"963), B943&amp;RIGHT(INDIRECT(ADDRESS(ROW(B944)-1, 'From Order'!$A944)), 1), B943))"),"J")</f>
        <v>J</v>
      </c>
      <c r="C944" s="2" t="str">
        <f>IFERROR(__xludf.DUMMYFUNCTION("IF('From Order'!$A944=COLUMNS($A944:C963), LEFT(INDEX(FILTER(C$1:C943, C$1:C943&lt;&gt;""""),COUNTA(FILTER(C$1:C943, C$1:C943&lt;&gt;""""))), LEN(INDEX(FILTER(C$1:C943, C$1:C943&lt;&gt;""""),COUNTA(FILTER(C$1:C943, C$1:C943&lt;&gt;""""))))-1), IF('To Order'!$A944=COLUMNS($A944:C"&amp;"963), C943&amp;RIGHT(INDIRECT(ADDRESS(ROW(C944)-1, 'From Order'!$A944)), 1), C943))"),"")</f>
        <v/>
      </c>
      <c r="D944" s="2" t="str">
        <f>IFERROR(__xludf.DUMMYFUNCTION("IF('From Order'!$A944=COLUMNS($A944:D963), LEFT(INDEX(FILTER(D$1:D943, D$1:D943&lt;&gt;""""),COUNTA(FILTER(D$1:D943, D$1:D943&lt;&gt;""""))), LEN(INDEX(FILTER(D$1:D943, D$1:D943&lt;&gt;""""),COUNTA(FILTER(D$1:D943, D$1:D943&lt;&gt;""""))))-1), IF('To Order'!$A944=COLUMNS($A944:D"&amp;"963), D943&amp;RIGHT(INDIRECT(ADDRESS(ROW(D944)-1, 'From Order'!$A944)), 1), D943))"),"")</f>
        <v/>
      </c>
      <c r="E944" s="2" t="str">
        <f>IFERROR(__xludf.DUMMYFUNCTION("IF('From Order'!$A944=COLUMNS($A944:E963), LEFT(INDEX(FILTER(E$1:E943, E$1:E943&lt;&gt;""""),COUNTA(FILTER(E$1:E943, E$1:E943&lt;&gt;""""))), LEN(INDEX(FILTER(E$1:E943, E$1:E943&lt;&gt;""""),COUNTA(FILTER(E$1:E943, E$1:E943&lt;&gt;""""))))-1), IF('To Order'!$A944=COLUMNS($A944:E"&amp;"963), E943&amp;RIGHT(INDIRECT(ADDRESS(ROW(E944)-1, 'From Order'!$A944)), 1), E943))"),"MGCDRZVCJVPP")</f>
        <v>MGCDRZVCJVPP</v>
      </c>
      <c r="F944" s="2" t="str">
        <f>IFERROR(__xludf.DUMMYFUNCTION("IF('From Order'!$A944=COLUMNS($A944:F963), LEFT(INDEX(FILTER(F$1:F943, F$1:F943&lt;&gt;""""),COUNTA(FILTER(F$1:F943, F$1:F943&lt;&gt;""""))), LEN(INDEX(FILTER(F$1:F943, F$1:F943&lt;&gt;""""),COUNTA(FILTER(F$1:F943, F$1:F943&lt;&gt;""""))))-1), IF('To Order'!$A944=COLUMNS($A944:F"&amp;"963), F943&amp;RIGHT(INDIRECT(ADDRESS(ROW(F944)-1, 'From Order'!$A944)), 1), F943))"),"FSLTTWRDTDBDBSBZHMFB")</f>
        <v>FSLTTWRDTDBDBSBZHMFB</v>
      </c>
      <c r="G944" s="2" t="str">
        <f>IFERROR(__xludf.DUMMYFUNCTION("IF('From Order'!$A944=COLUMNS($A944:G963), LEFT(INDEX(FILTER(G$1:G943, G$1:G943&lt;&gt;""""),COUNTA(FILTER(G$1:G943, G$1:G943&lt;&gt;""""))), LEN(INDEX(FILTER(G$1:G943, G$1:G943&lt;&gt;""""),COUNTA(FILTER(G$1:G943, G$1:G943&lt;&gt;""""))))-1), IF('To Order'!$A944=COLUMNS($A944:G"&amp;"963), G943&amp;RIGHT(INDIRECT(ADDRESS(ROW(G944)-1, 'From Order'!$A944)), 1), G943))"),"")</f>
        <v/>
      </c>
      <c r="H944" s="2" t="str">
        <f>IFERROR(__xludf.DUMMYFUNCTION("IF('From Order'!$A944=COLUMNS($A944:H963), LEFT(INDEX(FILTER(H$1:H943, H$1:H943&lt;&gt;""""),COUNTA(FILTER(H$1:H943, H$1:H943&lt;&gt;""""))), LEN(INDEX(FILTER(H$1:H943, H$1:H943&lt;&gt;""""),COUNTA(FILTER(H$1:H943, H$1:H943&lt;&gt;""""))))-1), IF('To Order'!$A944=COLUMNS($A944:H"&amp;"963), H943&amp;RIGHT(INDIRECT(ADDRESS(ROW(H944)-1, 'From Order'!$A944)), 1), H943))"),"PDSSGHWQVQR")</f>
        <v>PDSSGHWQVQR</v>
      </c>
      <c r="I944" s="2" t="str">
        <f>IFERROR(__xludf.DUMMYFUNCTION("IF('From Order'!$A944=COLUMNS($A944:I963), LEFT(INDEX(FILTER(I$1:I943, I$1:I943&lt;&gt;""""),COUNTA(FILTER(I$1:I943, I$1:I943&lt;&gt;""""))), LEN(INDEX(FILTER(I$1:I943, I$1:I943&lt;&gt;""""),COUNTA(FILTER(I$1:I943, I$1:I943&lt;&gt;""""))))-1), IF('To Order'!$A944=COLUMNS($A944:I"&amp;"963), I943&amp;RIGHT(INDIRECT(ADDRESS(ROW(I944)-1, 'From Order'!$A944)), 1), I943))"),"LZMRCTTDTRL")</f>
        <v>LZMRCTTDTRL</v>
      </c>
    </row>
    <row r="945">
      <c r="A945" s="2" t="str">
        <f>IFERROR(__xludf.DUMMYFUNCTION("IF('From Order'!$A945=COLUMNS($A945:A964), LEFT(INDEX(FILTER(A$1:A944, A$1:A944&lt;&gt;""""),COUNTA(FILTER(A$1:A944, A$1:A944&lt;&gt;""""))), LEN(INDEX(FILTER(A$1:A944, A$1:A944&lt;&gt;""""),COUNTA(FILTER(A$1:A944, A$1:A944&lt;&gt;""""))))-1), IF('To Order'!$A945=COLUMNS($A945:A"&amp;"964), A944&amp;RIGHT(INDIRECT(ADDRESS(ROW(A945)-1, 'From Order'!$A945)), 1), A944))"),"J")</f>
        <v>J</v>
      </c>
      <c r="B945" s="2" t="str">
        <f>IFERROR(__xludf.DUMMYFUNCTION("IF('From Order'!$A945=COLUMNS($A945:B964), LEFT(INDEX(FILTER(B$1:B944, B$1:B944&lt;&gt;""""),COUNTA(FILTER(B$1:B944, B$1:B944&lt;&gt;""""))), LEN(INDEX(FILTER(B$1:B944, B$1:B944&lt;&gt;""""),COUNTA(FILTER(B$1:B944, B$1:B944&lt;&gt;""""))))-1), IF('To Order'!$A945=COLUMNS($A945:B"&amp;"964), B944&amp;RIGHT(INDIRECT(ADDRESS(ROW(B945)-1, 'From Order'!$A945)), 1), B944))"),"J")</f>
        <v>J</v>
      </c>
      <c r="C945" s="2" t="str">
        <f>IFERROR(__xludf.DUMMYFUNCTION("IF('From Order'!$A945=COLUMNS($A945:C964), LEFT(INDEX(FILTER(C$1:C944, C$1:C944&lt;&gt;""""),COUNTA(FILTER(C$1:C944, C$1:C944&lt;&gt;""""))), LEN(INDEX(FILTER(C$1:C944, C$1:C944&lt;&gt;""""),COUNTA(FILTER(C$1:C944, C$1:C944&lt;&gt;""""))))-1), IF('To Order'!$A945=COLUMNS($A945:C"&amp;"964), C944&amp;RIGHT(INDIRECT(ADDRESS(ROW(C945)-1, 'From Order'!$A945)), 1), C944))"),"")</f>
        <v/>
      </c>
      <c r="D945" s="2" t="str">
        <f>IFERROR(__xludf.DUMMYFUNCTION("IF('From Order'!$A945=COLUMNS($A945:D964), LEFT(INDEX(FILTER(D$1:D944, D$1:D944&lt;&gt;""""),COUNTA(FILTER(D$1:D944, D$1:D944&lt;&gt;""""))), LEN(INDEX(FILTER(D$1:D944, D$1:D944&lt;&gt;""""),COUNTA(FILTER(D$1:D944, D$1:D944&lt;&gt;""""))))-1), IF('To Order'!$A945=COLUMNS($A945:D"&amp;"964), D944&amp;RIGHT(INDIRECT(ADDRESS(ROW(D945)-1, 'From Order'!$A945)), 1), D944))"),"")</f>
        <v/>
      </c>
      <c r="E945" s="2" t="str">
        <f>IFERROR(__xludf.DUMMYFUNCTION("IF('From Order'!$A945=COLUMNS($A945:E964), LEFT(INDEX(FILTER(E$1:E944, E$1:E944&lt;&gt;""""),COUNTA(FILTER(E$1:E944, E$1:E944&lt;&gt;""""))), LEN(INDEX(FILTER(E$1:E944, E$1:E944&lt;&gt;""""),COUNTA(FILTER(E$1:E944, E$1:E944&lt;&gt;""""))))-1), IF('To Order'!$A945=COLUMNS($A945:E"&amp;"964), E944&amp;RIGHT(INDIRECT(ADDRESS(ROW(E945)-1, 'From Order'!$A945)), 1), E944))"),"MGCDRZVCJVPP")</f>
        <v>MGCDRZVCJVPP</v>
      </c>
      <c r="F945" s="2" t="str">
        <f>IFERROR(__xludf.DUMMYFUNCTION("IF('From Order'!$A945=COLUMNS($A945:F964), LEFT(INDEX(FILTER(F$1:F944, F$1:F944&lt;&gt;""""),COUNTA(FILTER(F$1:F944, F$1:F944&lt;&gt;""""))), LEN(INDEX(FILTER(F$1:F944, F$1:F944&lt;&gt;""""),COUNTA(FILTER(F$1:F944, F$1:F944&lt;&gt;""""))))-1), IF('To Order'!$A945=COLUMNS($A945:F"&amp;"964), F944&amp;RIGHT(INDIRECT(ADDRESS(ROW(F945)-1, 'From Order'!$A945)), 1), F944))"),"FSLTTWRDTDBDBSBZHMFB")</f>
        <v>FSLTTWRDTDBDBSBZHMFB</v>
      </c>
      <c r="G945" s="2" t="str">
        <f>IFERROR(__xludf.DUMMYFUNCTION("IF('From Order'!$A945=COLUMNS($A945:G964), LEFT(INDEX(FILTER(G$1:G944, G$1:G944&lt;&gt;""""),COUNTA(FILTER(G$1:G944, G$1:G944&lt;&gt;""""))), LEN(INDEX(FILTER(G$1:G944, G$1:G944&lt;&gt;""""),COUNTA(FILTER(G$1:G944, G$1:G944&lt;&gt;""""))))-1), IF('To Order'!$A945=COLUMNS($A945:G"&amp;"964), G944&amp;RIGHT(INDIRECT(ADDRESS(ROW(G945)-1, 'From Order'!$A945)), 1), G944))"),"")</f>
        <v/>
      </c>
      <c r="H945" s="2" t="str">
        <f>IFERROR(__xludf.DUMMYFUNCTION("IF('From Order'!$A945=COLUMNS($A945:H964), LEFT(INDEX(FILTER(H$1:H944, H$1:H944&lt;&gt;""""),COUNTA(FILTER(H$1:H944, H$1:H944&lt;&gt;""""))), LEN(INDEX(FILTER(H$1:H944, H$1:H944&lt;&gt;""""),COUNTA(FILTER(H$1:H944, H$1:H944&lt;&gt;""""))))-1), IF('To Order'!$A945=COLUMNS($A945:H"&amp;"964), H944&amp;RIGHT(INDIRECT(ADDRESS(ROW(H945)-1, 'From Order'!$A945)), 1), H944))"),"PDSSGHWQVQRL")</f>
        <v>PDSSGHWQVQRL</v>
      </c>
      <c r="I945" s="2" t="str">
        <f>IFERROR(__xludf.DUMMYFUNCTION("IF('From Order'!$A945=COLUMNS($A945:I964), LEFT(INDEX(FILTER(I$1:I944, I$1:I944&lt;&gt;""""),COUNTA(FILTER(I$1:I944, I$1:I944&lt;&gt;""""))), LEN(INDEX(FILTER(I$1:I944, I$1:I944&lt;&gt;""""),COUNTA(FILTER(I$1:I944, I$1:I944&lt;&gt;""""))))-1), IF('To Order'!$A945=COLUMNS($A945:I"&amp;"964), I944&amp;RIGHT(INDIRECT(ADDRESS(ROW(I945)-1, 'From Order'!$A945)), 1), I944))"),"LZMRCTTDTR")</f>
        <v>LZMRCTTDTR</v>
      </c>
    </row>
    <row r="946">
      <c r="A946" s="2" t="str">
        <f>IFERROR(__xludf.DUMMYFUNCTION("IF('From Order'!$A946=COLUMNS($A946:A965), LEFT(INDEX(FILTER(A$1:A945, A$1:A945&lt;&gt;""""),COUNTA(FILTER(A$1:A945, A$1:A945&lt;&gt;""""))), LEN(INDEX(FILTER(A$1:A945, A$1:A945&lt;&gt;""""),COUNTA(FILTER(A$1:A945, A$1:A945&lt;&gt;""""))))-1), IF('To Order'!$A946=COLUMNS($A946:A"&amp;"965), A945&amp;RIGHT(INDIRECT(ADDRESS(ROW(A946)-1, 'From Order'!$A946)), 1), A945))"),"J")</f>
        <v>J</v>
      </c>
      <c r="B946" s="2" t="str">
        <f>IFERROR(__xludf.DUMMYFUNCTION("IF('From Order'!$A946=COLUMNS($A946:B965), LEFT(INDEX(FILTER(B$1:B945, B$1:B945&lt;&gt;""""),COUNTA(FILTER(B$1:B945, B$1:B945&lt;&gt;""""))), LEN(INDEX(FILTER(B$1:B945, B$1:B945&lt;&gt;""""),COUNTA(FILTER(B$1:B945, B$1:B945&lt;&gt;""""))))-1), IF('To Order'!$A946=COLUMNS($A946:B"&amp;"965), B945&amp;RIGHT(INDIRECT(ADDRESS(ROW(B946)-1, 'From Order'!$A946)), 1), B945))"),"J")</f>
        <v>J</v>
      </c>
      <c r="C946" s="2" t="str">
        <f>IFERROR(__xludf.DUMMYFUNCTION("IF('From Order'!$A946=COLUMNS($A946:C965), LEFT(INDEX(FILTER(C$1:C945, C$1:C945&lt;&gt;""""),COUNTA(FILTER(C$1:C945, C$1:C945&lt;&gt;""""))), LEN(INDEX(FILTER(C$1:C945, C$1:C945&lt;&gt;""""),COUNTA(FILTER(C$1:C945, C$1:C945&lt;&gt;""""))))-1), IF('To Order'!$A946=COLUMNS($A946:C"&amp;"965), C945&amp;RIGHT(INDIRECT(ADDRESS(ROW(C946)-1, 'From Order'!$A946)), 1), C945))"),"")</f>
        <v/>
      </c>
      <c r="D946" s="2" t="str">
        <f>IFERROR(__xludf.DUMMYFUNCTION("IF('From Order'!$A946=COLUMNS($A946:D965), LEFT(INDEX(FILTER(D$1:D945, D$1:D945&lt;&gt;""""),COUNTA(FILTER(D$1:D945, D$1:D945&lt;&gt;""""))), LEN(INDEX(FILTER(D$1:D945, D$1:D945&lt;&gt;""""),COUNTA(FILTER(D$1:D945, D$1:D945&lt;&gt;""""))))-1), IF('To Order'!$A946=COLUMNS($A946:D"&amp;"965), D945&amp;RIGHT(INDIRECT(ADDRESS(ROW(D946)-1, 'From Order'!$A946)), 1), D945))"),"")</f>
        <v/>
      </c>
      <c r="E946" s="2" t="str">
        <f>IFERROR(__xludf.DUMMYFUNCTION("IF('From Order'!$A946=COLUMNS($A946:E965), LEFT(INDEX(FILTER(E$1:E945, E$1:E945&lt;&gt;""""),COUNTA(FILTER(E$1:E945, E$1:E945&lt;&gt;""""))), LEN(INDEX(FILTER(E$1:E945, E$1:E945&lt;&gt;""""),COUNTA(FILTER(E$1:E945, E$1:E945&lt;&gt;""""))))-1), IF('To Order'!$A946=COLUMNS($A946:E"&amp;"965), E945&amp;RIGHT(INDIRECT(ADDRESS(ROW(E946)-1, 'From Order'!$A946)), 1), E945))"),"MGCDRZVCJVPP")</f>
        <v>MGCDRZVCJVPP</v>
      </c>
      <c r="F946" s="2" t="str">
        <f>IFERROR(__xludf.DUMMYFUNCTION("IF('From Order'!$A946=COLUMNS($A946:F965), LEFT(INDEX(FILTER(F$1:F945, F$1:F945&lt;&gt;""""),COUNTA(FILTER(F$1:F945, F$1:F945&lt;&gt;""""))), LEN(INDEX(FILTER(F$1:F945, F$1:F945&lt;&gt;""""),COUNTA(FILTER(F$1:F945, F$1:F945&lt;&gt;""""))))-1), IF('To Order'!$A946=COLUMNS($A946:F"&amp;"965), F945&amp;RIGHT(INDIRECT(ADDRESS(ROW(F946)-1, 'From Order'!$A946)), 1), F945))"),"FSLTTWRDTDBDBSBZHMFB")</f>
        <v>FSLTTWRDTDBDBSBZHMFB</v>
      </c>
      <c r="G946" s="2" t="str">
        <f>IFERROR(__xludf.DUMMYFUNCTION("IF('From Order'!$A946=COLUMNS($A946:G965), LEFT(INDEX(FILTER(G$1:G945, G$1:G945&lt;&gt;""""),COUNTA(FILTER(G$1:G945, G$1:G945&lt;&gt;""""))), LEN(INDEX(FILTER(G$1:G945, G$1:G945&lt;&gt;""""),COUNTA(FILTER(G$1:G945, G$1:G945&lt;&gt;""""))))-1), IF('To Order'!$A946=COLUMNS($A946:G"&amp;"965), G945&amp;RIGHT(INDIRECT(ADDRESS(ROW(G946)-1, 'From Order'!$A946)), 1), G945))"),"")</f>
        <v/>
      </c>
      <c r="H946" s="2" t="str">
        <f>IFERROR(__xludf.DUMMYFUNCTION("IF('From Order'!$A946=COLUMNS($A946:H965), LEFT(INDEX(FILTER(H$1:H945, H$1:H945&lt;&gt;""""),COUNTA(FILTER(H$1:H945, H$1:H945&lt;&gt;""""))), LEN(INDEX(FILTER(H$1:H945, H$1:H945&lt;&gt;""""),COUNTA(FILTER(H$1:H945, H$1:H945&lt;&gt;""""))))-1), IF('To Order'!$A946=COLUMNS($A946:H"&amp;"965), H945&amp;RIGHT(INDIRECT(ADDRESS(ROW(H946)-1, 'From Order'!$A946)), 1), H945))"),"PDSSGHWQVQRLR")</f>
        <v>PDSSGHWQVQRLR</v>
      </c>
      <c r="I946" s="2" t="str">
        <f>IFERROR(__xludf.DUMMYFUNCTION("IF('From Order'!$A946=COLUMNS($A946:I965), LEFT(INDEX(FILTER(I$1:I945, I$1:I945&lt;&gt;""""),COUNTA(FILTER(I$1:I945, I$1:I945&lt;&gt;""""))), LEN(INDEX(FILTER(I$1:I945, I$1:I945&lt;&gt;""""),COUNTA(FILTER(I$1:I945, I$1:I945&lt;&gt;""""))))-1), IF('To Order'!$A946=COLUMNS($A946:I"&amp;"965), I945&amp;RIGHT(INDIRECT(ADDRESS(ROW(I946)-1, 'From Order'!$A946)), 1), I945))"),"LZMRCTTDT")</f>
        <v>LZMRCTTDT</v>
      </c>
    </row>
    <row r="947">
      <c r="A947" s="2" t="str">
        <f>IFERROR(__xludf.DUMMYFUNCTION("IF('From Order'!$A947=COLUMNS($A947:A966), LEFT(INDEX(FILTER(A$1:A946, A$1:A946&lt;&gt;""""),COUNTA(FILTER(A$1:A946, A$1:A946&lt;&gt;""""))), LEN(INDEX(FILTER(A$1:A946, A$1:A946&lt;&gt;""""),COUNTA(FILTER(A$1:A946, A$1:A946&lt;&gt;""""))))-1), IF('To Order'!$A947=COLUMNS($A947:A"&amp;"966), A946&amp;RIGHT(INDIRECT(ADDRESS(ROW(A947)-1, 'From Order'!$A947)), 1), A946))"),"J")</f>
        <v>J</v>
      </c>
      <c r="B947" s="2" t="str">
        <f>IFERROR(__xludf.DUMMYFUNCTION("IF('From Order'!$A947=COLUMNS($A947:B966), LEFT(INDEX(FILTER(B$1:B946, B$1:B946&lt;&gt;""""),COUNTA(FILTER(B$1:B946, B$1:B946&lt;&gt;""""))), LEN(INDEX(FILTER(B$1:B946, B$1:B946&lt;&gt;""""),COUNTA(FILTER(B$1:B946, B$1:B946&lt;&gt;""""))))-1), IF('To Order'!$A947=COLUMNS($A947:B"&amp;"966), B946&amp;RIGHT(INDIRECT(ADDRESS(ROW(B947)-1, 'From Order'!$A947)), 1), B946))"),"J")</f>
        <v>J</v>
      </c>
      <c r="C947" s="2" t="str">
        <f>IFERROR(__xludf.DUMMYFUNCTION("IF('From Order'!$A947=COLUMNS($A947:C966), LEFT(INDEX(FILTER(C$1:C946, C$1:C946&lt;&gt;""""),COUNTA(FILTER(C$1:C946, C$1:C946&lt;&gt;""""))), LEN(INDEX(FILTER(C$1:C946, C$1:C946&lt;&gt;""""),COUNTA(FILTER(C$1:C946, C$1:C946&lt;&gt;""""))))-1), IF('To Order'!$A947=COLUMNS($A947:C"&amp;"966), C946&amp;RIGHT(INDIRECT(ADDRESS(ROW(C947)-1, 'From Order'!$A947)), 1), C946))"),"T")</f>
        <v>T</v>
      </c>
      <c r="D947" s="2" t="str">
        <f>IFERROR(__xludf.DUMMYFUNCTION("IF('From Order'!$A947=COLUMNS($A947:D966), LEFT(INDEX(FILTER(D$1:D946, D$1:D946&lt;&gt;""""),COUNTA(FILTER(D$1:D946, D$1:D946&lt;&gt;""""))), LEN(INDEX(FILTER(D$1:D946, D$1:D946&lt;&gt;""""),COUNTA(FILTER(D$1:D946, D$1:D946&lt;&gt;""""))))-1), IF('To Order'!$A947=COLUMNS($A947:D"&amp;"966), D946&amp;RIGHT(INDIRECT(ADDRESS(ROW(D947)-1, 'From Order'!$A947)), 1), D946))"),"")</f>
        <v/>
      </c>
      <c r="E947" s="2" t="str">
        <f>IFERROR(__xludf.DUMMYFUNCTION("IF('From Order'!$A947=COLUMNS($A947:E966), LEFT(INDEX(FILTER(E$1:E946, E$1:E946&lt;&gt;""""),COUNTA(FILTER(E$1:E946, E$1:E946&lt;&gt;""""))), LEN(INDEX(FILTER(E$1:E946, E$1:E946&lt;&gt;""""),COUNTA(FILTER(E$1:E946, E$1:E946&lt;&gt;""""))))-1), IF('To Order'!$A947=COLUMNS($A947:E"&amp;"966), E946&amp;RIGHT(INDIRECT(ADDRESS(ROW(E947)-1, 'From Order'!$A947)), 1), E946))"),"MGCDRZVCJVPP")</f>
        <v>MGCDRZVCJVPP</v>
      </c>
      <c r="F947" s="2" t="str">
        <f>IFERROR(__xludf.DUMMYFUNCTION("IF('From Order'!$A947=COLUMNS($A947:F966), LEFT(INDEX(FILTER(F$1:F946, F$1:F946&lt;&gt;""""),COUNTA(FILTER(F$1:F946, F$1:F946&lt;&gt;""""))), LEN(INDEX(FILTER(F$1:F946, F$1:F946&lt;&gt;""""),COUNTA(FILTER(F$1:F946, F$1:F946&lt;&gt;""""))))-1), IF('To Order'!$A947=COLUMNS($A947:F"&amp;"966), F946&amp;RIGHT(INDIRECT(ADDRESS(ROW(F947)-1, 'From Order'!$A947)), 1), F946))"),"FSLTTWRDTDBDBSBZHMFB")</f>
        <v>FSLTTWRDTDBDBSBZHMFB</v>
      </c>
      <c r="G947" s="2" t="str">
        <f>IFERROR(__xludf.DUMMYFUNCTION("IF('From Order'!$A947=COLUMNS($A947:G966), LEFT(INDEX(FILTER(G$1:G946, G$1:G946&lt;&gt;""""),COUNTA(FILTER(G$1:G946, G$1:G946&lt;&gt;""""))), LEN(INDEX(FILTER(G$1:G946, G$1:G946&lt;&gt;""""),COUNTA(FILTER(G$1:G946, G$1:G946&lt;&gt;""""))))-1), IF('To Order'!$A947=COLUMNS($A947:G"&amp;"966), G946&amp;RIGHT(INDIRECT(ADDRESS(ROW(G947)-1, 'From Order'!$A947)), 1), G946))"),"")</f>
        <v/>
      </c>
      <c r="H947" s="2" t="str">
        <f>IFERROR(__xludf.DUMMYFUNCTION("IF('From Order'!$A947=COLUMNS($A947:H966), LEFT(INDEX(FILTER(H$1:H946, H$1:H946&lt;&gt;""""),COUNTA(FILTER(H$1:H946, H$1:H946&lt;&gt;""""))), LEN(INDEX(FILTER(H$1:H946, H$1:H946&lt;&gt;""""),COUNTA(FILTER(H$1:H946, H$1:H946&lt;&gt;""""))))-1), IF('To Order'!$A947=COLUMNS($A947:H"&amp;"966), H946&amp;RIGHT(INDIRECT(ADDRESS(ROW(H947)-1, 'From Order'!$A947)), 1), H946))"),"PDSSGHWQVQRLR")</f>
        <v>PDSSGHWQVQRLR</v>
      </c>
      <c r="I947" s="2" t="str">
        <f>IFERROR(__xludf.DUMMYFUNCTION("IF('From Order'!$A947=COLUMNS($A947:I966), LEFT(INDEX(FILTER(I$1:I946, I$1:I946&lt;&gt;""""),COUNTA(FILTER(I$1:I946, I$1:I946&lt;&gt;""""))), LEN(INDEX(FILTER(I$1:I946, I$1:I946&lt;&gt;""""),COUNTA(FILTER(I$1:I946, I$1:I946&lt;&gt;""""))))-1), IF('To Order'!$A947=COLUMNS($A947:I"&amp;"966), I946&amp;RIGHT(INDIRECT(ADDRESS(ROW(I947)-1, 'From Order'!$A947)), 1), I946))"),"LZMRCTTD")</f>
        <v>LZMRCTTD</v>
      </c>
    </row>
    <row r="948">
      <c r="A948" s="2" t="str">
        <f>IFERROR(__xludf.DUMMYFUNCTION("IF('From Order'!$A948=COLUMNS($A948:A967), LEFT(INDEX(FILTER(A$1:A947, A$1:A947&lt;&gt;""""),COUNTA(FILTER(A$1:A947, A$1:A947&lt;&gt;""""))), LEN(INDEX(FILTER(A$1:A947, A$1:A947&lt;&gt;""""),COUNTA(FILTER(A$1:A947, A$1:A947&lt;&gt;""""))))-1), IF('To Order'!$A948=COLUMNS($A948:A"&amp;"967), A947&amp;RIGHT(INDIRECT(ADDRESS(ROW(A948)-1, 'From Order'!$A948)), 1), A947))"),"J")</f>
        <v>J</v>
      </c>
      <c r="B948" s="2" t="str">
        <f>IFERROR(__xludf.DUMMYFUNCTION("IF('From Order'!$A948=COLUMNS($A948:B967), LEFT(INDEX(FILTER(B$1:B947, B$1:B947&lt;&gt;""""),COUNTA(FILTER(B$1:B947, B$1:B947&lt;&gt;""""))), LEN(INDEX(FILTER(B$1:B947, B$1:B947&lt;&gt;""""),COUNTA(FILTER(B$1:B947, B$1:B947&lt;&gt;""""))))-1), IF('To Order'!$A948=COLUMNS($A948:B"&amp;"967), B947&amp;RIGHT(INDIRECT(ADDRESS(ROW(B948)-1, 'From Order'!$A948)), 1), B947))"),"J")</f>
        <v>J</v>
      </c>
      <c r="C948" s="2" t="str">
        <f>IFERROR(__xludf.DUMMYFUNCTION("IF('From Order'!$A948=COLUMNS($A948:C967), LEFT(INDEX(FILTER(C$1:C947, C$1:C947&lt;&gt;""""),COUNTA(FILTER(C$1:C947, C$1:C947&lt;&gt;""""))), LEN(INDEX(FILTER(C$1:C947, C$1:C947&lt;&gt;""""),COUNTA(FILTER(C$1:C947, C$1:C947&lt;&gt;""""))))-1), IF('To Order'!$A948=COLUMNS($A948:C"&amp;"967), C947&amp;RIGHT(INDIRECT(ADDRESS(ROW(C948)-1, 'From Order'!$A948)), 1), C947))"),"TR")</f>
        <v>TR</v>
      </c>
      <c r="D948" s="2" t="str">
        <f>IFERROR(__xludf.DUMMYFUNCTION("IF('From Order'!$A948=COLUMNS($A948:D967), LEFT(INDEX(FILTER(D$1:D947, D$1:D947&lt;&gt;""""),COUNTA(FILTER(D$1:D947, D$1:D947&lt;&gt;""""))), LEN(INDEX(FILTER(D$1:D947, D$1:D947&lt;&gt;""""),COUNTA(FILTER(D$1:D947, D$1:D947&lt;&gt;""""))))-1), IF('To Order'!$A948=COLUMNS($A948:D"&amp;"967), D947&amp;RIGHT(INDIRECT(ADDRESS(ROW(D948)-1, 'From Order'!$A948)), 1), D947))"),"")</f>
        <v/>
      </c>
      <c r="E948" s="2" t="str">
        <f>IFERROR(__xludf.DUMMYFUNCTION("IF('From Order'!$A948=COLUMNS($A948:E967), LEFT(INDEX(FILTER(E$1:E947, E$1:E947&lt;&gt;""""),COUNTA(FILTER(E$1:E947, E$1:E947&lt;&gt;""""))), LEN(INDEX(FILTER(E$1:E947, E$1:E947&lt;&gt;""""),COUNTA(FILTER(E$1:E947, E$1:E947&lt;&gt;""""))))-1), IF('To Order'!$A948=COLUMNS($A948:E"&amp;"967), E947&amp;RIGHT(INDIRECT(ADDRESS(ROW(E948)-1, 'From Order'!$A948)), 1), E947))"),"MGCDRZVCJVPP")</f>
        <v>MGCDRZVCJVPP</v>
      </c>
      <c r="F948" s="2" t="str">
        <f>IFERROR(__xludf.DUMMYFUNCTION("IF('From Order'!$A948=COLUMNS($A948:F967), LEFT(INDEX(FILTER(F$1:F947, F$1:F947&lt;&gt;""""),COUNTA(FILTER(F$1:F947, F$1:F947&lt;&gt;""""))), LEN(INDEX(FILTER(F$1:F947, F$1:F947&lt;&gt;""""),COUNTA(FILTER(F$1:F947, F$1:F947&lt;&gt;""""))))-1), IF('To Order'!$A948=COLUMNS($A948:F"&amp;"967), F947&amp;RIGHT(INDIRECT(ADDRESS(ROW(F948)-1, 'From Order'!$A948)), 1), F947))"),"FSLTTWRDTDBDBSBZHMFB")</f>
        <v>FSLTTWRDTDBDBSBZHMFB</v>
      </c>
      <c r="G948" s="2" t="str">
        <f>IFERROR(__xludf.DUMMYFUNCTION("IF('From Order'!$A948=COLUMNS($A948:G967), LEFT(INDEX(FILTER(G$1:G947, G$1:G947&lt;&gt;""""),COUNTA(FILTER(G$1:G947, G$1:G947&lt;&gt;""""))), LEN(INDEX(FILTER(G$1:G947, G$1:G947&lt;&gt;""""),COUNTA(FILTER(G$1:G947, G$1:G947&lt;&gt;""""))))-1), IF('To Order'!$A948=COLUMNS($A948:G"&amp;"967), G947&amp;RIGHT(INDIRECT(ADDRESS(ROW(G948)-1, 'From Order'!$A948)), 1), G947))"),"")</f>
        <v/>
      </c>
      <c r="H948" s="2" t="str">
        <f>IFERROR(__xludf.DUMMYFUNCTION("IF('From Order'!$A948=COLUMNS($A948:H967), LEFT(INDEX(FILTER(H$1:H947, H$1:H947&lt;&gt;""""),COUNTA(FILTER(H$1:H947, H$1:H947&lt;&gt;""""))), LEN(INDEX(FILTER(H$1:H947, H$1:H947&lt;&gt;""""),COUNTA(FILTER(H$1:H947, H$1:H947&lt;&gt;""""))))-1), IF('To Order'!$A948=COLUMNS($A948:H"&amp;"967), H947&amp;RIGHT(INDIRECT(ADDRESS(ROW(H948)-1, 'From Order'!$A948)), 1), H947))"),"PDSSGHWQVQRL")</f>
        <v>PDSSGHWQVQRL</v>
      </c>
      <c r="I948" s="2" t="str">
        <f>IFERROR(__xludf.DUMMYFUNCTION("IF('From Order'!$A948=COLUMNS($A948:I967), LEFT(INDEX(FILTER(I$1:I947, I$1:I947&lt;&gt;""""),COUNTA(FILTER(I$1:I947, I$1:I947&lt;&gt;""""))), LEN(INDEX(FILTER(I$1:I947, I$1:I947&lt;&gt;""""),COUNTA(FILTER(I$1:I947, I$1:I947&lt;&gt;""""))))-1), IF('To Order'!$A948=COLUMNS($A948:I"&amp;"967), I947&amp;RIGHT(INDIRECT(ADDRESS(ROW(I948)-1, 'From Order'!$A948)), 1), I947))"),"LZMRCTTD")</f>
        <v>LZMRCTTD</v>
      </c>
    </row>
    <row r="949">
      <c r="A949" s="2" t="str">
        <f>IFERROR(__xludf.DUMMYFUNCTION("IF('From Order'!$A949=COLUMNS($A949:A968), LEFT(INDEX(FILTER(A$1:A948, A$1:A948&lt;&gt;""""),COUNTA(FILTER(A$1:A948, A$1:A948&lt;&gt;""""))), LEN(INDEX(FILTER(A$1:A948, A$1:A948&lt;&gt;""""),COUNTA(FILTER(A$1:A948, A$1:A948&lt;&gt;""""))))-1), IF('To Order'!$A949=COLUMNS($A949:A"&amp;"968), A948&amp;RIGHT(INDIRECT(ADDRESS(ROW(A949)-1, 'From Order'!$A949)), 1), A948))"),"J")</f>
        <v>J</v>
      </c>
      <c r="B949" s="2" t="str">
        <f>IFERROR(__xludf.DUMMYFUNCTION("IF('From Order'!$A949=COLUMNS($A949:B968), LEFT(INDEX(FILTER(B$1:B948, B$1:B948&lt;&gt;""""),COUNTA(FILTER(B$1:B948, B$1:B948&lt;&gt;""""))), LEN(INDEX(FILTER(B$1:B948, B$1:B948&lt;&gt;""""),COUNTA(FILTER(B$1:B948, B$1:B948&lt;&gt;""""))))-1), IF('To Order'!$A949=COLUMNS($A949:B"&amp;"968), B948&amp;RIGHT(INDIRECT(ADDRESS(ROW(B949)-1, 'From Order'!$A949)), 1), B948))"),"J")</f>
        <v>J</v>
      </c>
      <c r="C949" s="2" t="str">
        <f>IFERROR(__xludf.DUMMYFUNCTION("IF('From Order'!$A949=COLUMNS($A949:C968), LEFT(INDEX(FILTER(C$1:C948, C$1:C948&lt;&gt;""""),COUNTA(FILTER(C$1:C948, C$1:C948&lt;&gt;""""))), LEN(INDEX(FILTER(C$1:C948, C$1:C948&lt;&gt;""""),COUNTA(FILTER(C$1:C948, C$1:C948&lt;&gt;""""))))-1), IF('To Order'!$A949=COLUMNS($A949:C"&amp;"968), C948&amp;RIGHT(INDIRECT(ADDRESS(ROW(C949)-1, 'From Order'!$A949)), 1), C948))"),"TRL")</f>
        <v>TRL</v>
      </c>
      <c r="D949" s="2" t="str">
        <f>IFERROR(__xludf.DUMMYFUNCTION("IF('From Order'!$A949=COLUMNS($A949:D968), LEFT(INDEX(FILTER(D$1:D948, D$1:D948&lt;&gt;""""),COUNTA(FILTER(D$1:D948, D$1:D948&lt;&gt;""""))), LEN(INDEX(FILTER(D$1:D948, D$1:D948&lt;&gt;""""),COUNTA(FILTER(D$1:D948, D$1:D948&lt;&gt;""""))))-1), IF('To Order'!$A949=COLUMNS($A949:D"&amp;"968), D948&amp;RIGHT(INDIRECT(ADDRESS(ROW(D949)-1, 'From Order'!$A949)), 1), D948))"),"")</f>
        <v/>
      </c>
      <c r="E949" s="2" t="str">
        <f>IFERROR(__xludf.DUMMYFUNCTION("IF('From Order'!$A949=COLUMNS($A949:E968), LEFT(INDEX(FILTER(E$1:E948, E$1:E948&lt;&gt;""""),COUNTA(FILTER(E$1:E948, E$1:E948&lt;&gt;""""))), LEN(INDEX(FILTER(E$1:E948, E$1:E948&lt;&gt;""""),COUNTA(FILTER(E$1:E948, E$1:E948&lt;&gt;""""))))-1), IF('To Order'!$A949=COLUMNS($A949:E"&amp;"968), E948&amp;RIGHT(INDIRECT(ADDRESS(ROW(E949)-1, 'From Order'!$A949)), 1), E948))"),"MGCDRZVCJVPP")</f>
        <v>MGCDRZVCJVPP</v>
      </c>
      <c r="F949" s="2" t="str">
        <f>IFERROR(__xludf.DUMMYFUNCTION("IF('From Order'!$A949=COLUMNS($A949:F968), LEFT(INDEX(FILTER(F$1:F948, F$1:F948&lt;&gt;""""),COUNTA(FILTER(F$1:F948, F$1:F948&lt;&gt;""""))), LEN(INDEX(FILTER(F$1:F948, F$1:F948&lt;&gt;""""),COUNTA(FILTER(F$1:F948, F$1:F948&lt;&gt;""""))))-1), IF('To Order'!$A949=COLUMNS($A949:F"&amp;"968), F948&amp;RIGHT(INDIRECT(ADDRESS(ROW(F949)-1, 'From Order'!$A949)), 1), F948))"),"FSLTTWRDTDBDBSBZHMFB")</f>
        <v>FSLTTWRDTDBDBSBZHMFB</v>
      </c>
      <c r="G949" s="2" t="str">
        <f>IFERROR(__xludf.DUMMYFUNCTION("IF('From Order'!$A949=COLUMNS($A949:G968), LEFT(INDEX(FILTER(G$1:G948, G$1:G948&lt;&gt;""""),COUNTA(FILTER(G$1:G948, G$1:G948&lt;&gt;""""))), LEN(INDEX(FILTER(G$1:G948, G$1:G948&lt;&gt;""""),COUNTA(FILTER(G$1:G948, G$1:G948&lt;&gt;""""))))-1), IF('To Order'!$A949=COLUMNS($A949:G"&amp;"968), G948&amp;RIGHT(INDIRECT(ADDRESS(ROW(G949)-1, 'From Order'!$A949)), 1), G948))"),"")</f>
        <v/>
      </c>
      <c r="H949" s="2" t="str">
        <f>IFERROR(__xludf.DUMMYFUNCTION("IF('From Order'!$A949=COLUMNS($A949:H968), LEFT(INDEX(FILTER(H$1:H948, H$1:H948&lt;&gt;""""),COUNTA(FILTER(H$1:H948, H$1:H948&lt;&gt;""""))), LEN(INDEX(FILTER(H$1:H948, H$1:H948&lt;&gt;""""),COUNTA(FILTER(H$1:H948, H$1:H948&lt;&gt;""""))))-1), IF('To Order'!$A949=COLUMNS($A949:H"&amp;"968), H948&amp;RIGHT(INDIRECT(ADDRESS(ROW(H949)-1, 'From Order'!$A949)), 1), H948))"),"PDSSGHWQVQR")</f>
        <v>PDSSGHWQVQR</v>
      </c>
      <c r="I949" s="2" t="str">
        <f>IFERROR(__xludf.DUMMYFUNCTION("IF('From Order'!$A949=COLUMNS($A949:I968), LEFT(INDEX(FILTER(I$1:I948, I$1:I948&lt;&gt;""""),COUNTA(FILTER(I$1:I948, I$1:I948&lt;&gt;""""))), LEN(INDEX(FILTER(I$1:I948, I$1:I948&lt;&gt;""""),COUNTA(FILTER(I$1:I948, I$1:I948&lt;&gt;""""))))-1), IF('To Order'!$A949=COLUMNS($A949:I"&amp;"968), I948&amp;RIGHT(INDIRECT(ADDRESS(ROW(I949)-1, 'From Order'!$A949)), 1), I948))"),"LZMRCTTD")</f>
        <v>LZMRCTTD</v>
      </c>
    </row>
    <row r="950">
      <c r="A950" s="2" t="str">
        <f>IFERROR(__xludf.DUMMYFUNCTION("IF('From Order'!$A950=COLUMNS($A950:A969), LEFT(INDEX(FILTER(A$1:A949, A$1:A949&lt;&gt;""""),COUNTA(FILTER(A$1:A949, A$1:A949&lt;&gt;""""))), LEN(INDEX(FILTER(A$1:A949, A$1:A949&lt;&gt;""""),COUNTA(FILTER(A$1:A949, A$1:A949&lt;&gt;""""))))-1), IF('To Order'!$A950=COLUMNS($A950:A"&amp;"969), A949&amp;RIGHT(INDIRECT(ADDRESS(ROW(A950)-1, 'From Order'!$A950)), 1), A949))"),"J")</f>
        <v>J</v>
      </c>
      <c r="B950" s="2" t="str">
        <f>IFERROR(__xludf.DUMMYFUNCTION("IF('From Order'!$A950=COLUMNS($A950:B969), LEFT(INDEX(FILTER(B$1:B949, B$1:B949&lt;&gt;""""),COUNTA(FILTER(B$1:B949, B$1:B949&lt;&gt;""""))), LEN(INDEX(FILTER(B$1:B949, B$1:B949&lt;&gt;""""),COUNTA(FILTER(B$1:B949, B$1:B949&lt;&gt;""""))))-1), IF('To Order'!$A950=COLUMNS($A950:B"&amp;"969), B949&amp;RIGHT(INDIRECT(ADDRESS(ROW(B950)-1, 'From Order'!$A950)), 1), B949))"),"J")</f>
        <v>J</v>
      </c>
      <c r="C950" s="2" t="str">
        <f>IFERROR(__xludf.DUMMYFUNCTION("IF('From Order'!$A950=COLUMNS($A950:C969), LEFT(INDEX(FILTER(C$1:C949, C$1:C949&lt;&gt;""""),COUNTA(FILTER(C$1:C949, C$1:C949&lt;&gt;""""))), LEN(INDEX(FILTER(C$1:C949, C$1:C949&lt;&gt;""""),COUNTA(FILTER(C$1:C949, C$1:C949&lt;&gt;""""))))-1), IF('To Order'!$A950=COLUMNS($A950:C"&amp;"969), C949&amp;RIGHT(INDIRECT(ADDRESS(ROW(C950)-1, 'From Order'!$A950)), 1), C949))"),"TRLR")</f>
        <v>TRLR</v>
      </c>
      <c r="D950" s="2" t="str">
        <f>IFERROR(__xludf.DUMMYFUNCTION("IF('From Order'!$A950=COLUMNS($A950:D969), LEFT(INDEX(FILTER(D$1:D949, D$1:D949&lt;&gt;""""),COUNTA(FILTER(D$1:D949, D$1:D949&lt;&gt;""""))), LEN(INDEX(FILTER(D$1:D949, D$1:D949&lt;&gt;""""),COUNTA(FILTER(D$1:D949, D$1:D949&lt;&gt;""""))))-1), IF('To Order'!$A950=COLUMNS($A950:D"&amp;"969), D949&amp;RIGHT(INDIRECT(ADDRESS(ROW(D950)-1, 'From Order'!$A950)), 1), D949))"),"")</f>
        <v/>
      </c>
      <c r="E950" s="2" t="str">
        <f>IFERROR(__xludf.DUMMYFUNCTION("IF('From Order'!$A950=COLUMNS($A950:E969), LEFT(INDEX(FILTER(E$1:E949, E$1:E949&lt;&gt;""""),COUNTA(FILTER(E$1:E949, E$1:E949&lt;&gt;""""))), LEN(INDEX(FILTER(E$1:E949, E$1:E949&lt;&gt;""""),COUNTA(FILTER(E$1:E949, E$1:E949&lt;&gt;""""))))-1), IF('To Order'!$A950=COLUMNS($A950:E"&amp;"969), E949&amp;RIGHT(INDIRECT(ADDRESS(ROW(E950)-1, 'From Order'!$A950)), 1), E949))"),"MGCDRZVCJVPP")</f>
        <v>MGCDRZVCJVPP</v>
      </c>
      <c r="F950" s="2" t="str">
        <f>IFERROR(__xludf.DUMMYFUNCTION("IF('From Order'!$A950=COLUMNS($A950:F969), LEFT(INDEX(FILTER(F$1:F949, F$1:F949&lt;&gt;""""),COUNTA(FILTER(F$1:F949, F$1:F949&lt;&gt;""""))), LEN(INDEX(FILTER(F$1:F949, F$1:F949&lt;&gt;""""),COUNTA(FILTER(F$1:F949, F$1:F949&lt;&gt;""""))))-1), IF('To Order'!$A950=COLUMNS($A950:F"&amp;"969), F949&amp;RIGHT(INDIRECT(ADDRESS(ROW(F950)-1, 'From Order'!$A950)), 1), F949))"),"FSLTTWRDTDBDBSBZHMFB")</f>
        <v>FSLTTWRDTDBDBSBZHMFB</v>
      </c>
      <c r="G950" s="2" t="str">
        <f>IFERROR(__xludf.DUMMYFUNCTION("IF('From Order'!$A950=COLUMNS($A950:G969), LEFT(INDEX(FILTER(G$1:G949, G$1:G949&lt;&gt;""""),COUNTA(FILTER(G$1:G949, G$1:G949&lt;&gt;""""))), LEN(INDEX(FILTER(G$1:G949, G$1:G949&lt;&gt;""""),COUNTA(FILTER(G$1:G949, G$1:G949&lt;&gt;""""))))-1), IF('To Order'!$A950=COLUMNS($A950:G"&amp;"969), G949&amp;RIGHT(INDIRECT(ADDRESS(ROW(G950)-1, 'From Order'!$A950)), 1), G949))"),"")</f>
        <v/>
      </c>
      <c r="H950" s="2" t="str">
        <f>IFERROR(__xludf.DUMMYFUNCTION("IF('From Order'!$A950=COLUMNS($A950:H969), LEFT(INDEX(FILTER(H$1:H949, H$1:H949&lt;&gt;""""),COUNTA(FILTER(H$1:H949, H$1:H949&lt;&gt;""""))), LEN(INDEX(FILTER(H$1:H949, H$1:H949&lt;&gt;""""),COUNTA(FILTER(H$1:H949, H$1:H949&lt;&gt;""""))))-1), IF('To Order'!$A950=COLUMNS($A950:H"&amp;"969), H949&amp;RIGHT(INDIRECT(ADDRESS(ROW(H950)-1, 'From Order'!$A950)), 1), H949))"),"PDSSGHWQVQ")</f>
        <v>PDSSGHWQVQ</v>
      </c>
      <c r="I950" s="2" t="str">
        <f>IFERROR(__xludf.DUMMYFUNCTION("IF('From Order'!$A950=COLUMNS($A950:I969), LEFT(INDEX(FILTER(I$1:I949, I$1:I949&lt;&gt;""""),COUNTA(FILTER(I$1:I949, I$1:I949&lt;&gt;""""))), LEN(INDEX(FILTER(I$1:I949, I$1:I949&lt;&gt;""""),COUNTA(FILTER(I$1:I949, I$1:I949&lt;&gt;""""))))-1), IF('To Order'!$A950=COLUMNS($A950:I"&amp;"969), I949&amp;RIGHT(INDIRECT(ADDRESS(ROW(I950)-1, 'From Order'!$A950)), 1), I949))"),"LZMRCTTD")</f>
        <v>LZMRCTTD</v>
      </c>
    </row>
    <row r="951">
      <c r="A951" s="2" t="str">
        <f>IFERROR(__xludf.DUMMYFUNCTION("IF('From Order'!$A951=COLUMNS($A951:A970), LEFT(INDEX(FILTER(A$1:A950, A$1:A950&lt;&gt;""""),COUNTA(FILTER(A$1:A950, A$1:A950&lt;&gt;""""))), LEN(INDEX(FILTER(A$1:A950, A$1:A950&lt;&gt;""""),COUNTA(FILTER(A$1:A950, A$1:A950&lt;&gt;""""))))-1), IF('To Order'!$A951=COLUMNS($A951:A"&amp;"970), A950&amp;RIGHT(INDIRECT(ADDRESS(ROW(A951)-1, 'From Order'!$A951)), 1), A950))"),"J")</f>
        <v>J</v>
      </c>
      <c r="B951" s="2" t="str">
        <f>IFERROR(__xludf.DUMMYFUNCTION("IF('From Order'!$A951=COLUMNS($A951:B970), LEFT(INDEX(FILTER(B$1:B950, B$1:B950&lt;&gt;""""),COUNTA(FILTER(B$1:B950, B$1:B950&lt;&gt;""""))), LEN(INDEX(FILTER(B$1:B950, B$1:B950&lt;&gt;""""),COUNTA(FILTER(B$1:B950, B$1:B950&lt;&gt;""""))))-1), IF('To Order'!$A951=COLUMNS($A951:B"&amp;"970), B950&amp;RIGHT(INDIRECT(ADDRESS(ROW(B951)-1, 'From Order'!$A951)), 1), B950))"),"JD")</f>
        <v>JD</v>
      </c>
      <c r="C951" s="2" t="str">
        <f>IFERROR(__xludf.DUMMYFUNCTION("IF('From Order'!$A951=COLUMNS($A951:C970), LEFT(INDEX(FILTER(C$1:C950, C$1:C950&lt;&gt;""""),COUNTA(FILTER(C$1:C950, C$1:C950&lt;&gt;""""))), LEN(INDEX(FILTER(C$1:C950, C$1:C950&lt;&gt;""""),COUNTA(FILTER(C$1:C950, C$1:C950&lt;&gt;""""))))-1), IF('To Order'!$A951=COLUMNS($A951:C"&amp;"970), C950&amp;RIGHT(INDIRECT(ADDRESS(ROW(C951)-1, 'From Order'!$A951)), 1), C950))"),"TRLR")</f>
        <v>TRLR</v>
      </c>
      <c r="D951" s="2" t="str">
        <f>IFERROR(__xludf.DUMMYFUNCTION("IF('From Order'!$A951=COLUMNS($A951:D970), LEFT(INDEX(FILTER(D$1:D950, D$1:D950&lt;&gt;""""),COUNTA(FILTER(D$1:D950, D$1:D950&lt;&gt;""""))), LEN(INDEX(FILTER(D$1:D950, D$1:D950&lt;&gt;""""),COUNTA(FILTER(D$1:D950, D$1:D950&lt;&gt;""""))))-1), IF('To Order'!$A951=COLUMNS($A951:D"&amp;"970), D950&amp;RIGHT(INDIRECT(ADDRESS(ROW(D951)-1, 'From Order'!$A951)), 1), D950))"),"")</f>
        <v/>
      </c>
      <c r="E951" s="2" t="str">
        <f>IFERROR(__xludf.DUMMYFUNCTION("IF('From Order'!$A951=COLUMNS($A951:E970), LEFT(INDEX(FILTER(E$1:E950, E$1:E950&lt;&gt;""""),COUNTA(FILTER(E$1:E950, E$1:E950&lt;&gt;""""))), LEN(INDEX(FILTER(E$1:E950, E$1:E950&lt;&gt;""""),COUNTA(FILTER(E$1:E950, E$1:E950&lt;&gt;""""))))-1), IF('To Order'!$A951=COLUMNS($A951:E"&amp;"970), E950&amp;RIGHT(INDIRECT(ADDRESS(ROW(E951)-1, 'From Order'!$A951)), 1), E950))"),"MGCDRZVCJVPP")</f>
        <v>MGCDRZVCJVPP</v>
      </c>
      <c r="F951" s="2" t="str">
        <f>IFERROR(__xludf.DUMMYFUNCTION("IF('From Order'!$A951=COLUMNS($A951:F970), LEFT(INDEX(FILTER(F$1:F950, F$1:F950&lt;&gt;""""),COUNTA(FILTER(F$1:F950, F$1:F950&lt;&gt;""""))), LEN(INDEX(FILTER(F$1:F950, F$1:F950&lt;&gt;""""),COUNTA(FILTER(F$1:F950, F$1:F950&lt;&gt;""""))))-1), IF('To Order'!$A951=COLUMNS($A951:F"&amp;"970), F950&amp;RIGHT(INDIRECT(ADDRESS(ROW(F951)-1, 'From Order'!$A951)), 1), F950))"),"FSLTTWRDTDBDBSBZHMFB")</f>
        <v>FSLTTWRDTDBDBSBZHMFB</v>
      </c>
      <c r="G951" s="2" t="str">
        <f>IFERROR(__xludf.DUMMYFUNCTION("IF('From Order'!$A951=COLUMNS($A951:G970), LEFT(INDEX(FILTER(G$1:G950, G$1:G950&lt;&gt;""""),COUNTA(FILTER(G$1:G950, G$1:G950&lt;&gt;""""))), LEN(INDEX(FILTER(G$1:G950, G$1:G950&lt;&gt;""""),COUNTA(FILTER(G$1:G950, G$1:G950&lt;&gt;""""))))-1), IF('To Order'!$A951=COLUMNS($A951:G"&amp;"970), G950&amp;RIGHT(INDIRECT(ADDRESS(ROW(G951)-1, 'From Order'!$A951)), 1), G950))"),"")</f>
        <v/>
      </c>
      <c r="H951" s="2" t="str">
        <f>IFERROR(__xludf.DUMMYFUNCTION("IF('From Order'!$A951=COLUMNS($A951:H970), LEFT(INDEX(FILTER(H$1:H950, H$1:H950&lt;&gt;""""),COUNTA(FILTER(H$1:H950, H$1:H950&lt;&gt;""""))), LEN(INDEX(FILTER(H$1:H950, H$1:H950&lt;&gt;""""),COUNTA(FILTER(H$1:H950, H$1:H950&lt;&gt;""""))))-1), IF('To Order'!$A951=COLUMNS($A951:H"&amp;"970), H950&amp;RIGHT(INDIRECT(ADDRESS(ROW(H951)-1, 'From Order'!$A951)), 1), H950))"),"PDSSGHWQVQ")</f>
        <v>PDSSGHWQVQ</v>
      </c>
      <c r="I951" s="2" t="str">
        <f>IFERROR(__xludf.DUMMYFUNCTION("IF('From Order'!$A951=COLUMNS($A951:I970), LEFT(INDEX(FILTER(I$1:I950, I$1:I950&lt;&gt;""""),COUNTA(FILTER(I$1:I950, I$1:I950&lt;&gt;""""))), LEN(INDEX(FILTER(I$1:I950, I$1:I950&lt;&gt;""""),COUNTA(FILTER(I$1:I950, I$1:I950&lt;&gt;""""))))-1), IF('To Order'!$A951=COLUMNS($A951:I"&amp;"970), I950&amp;RIGHT(INDIRECT(ADDRESS(ROW(I951)-1, 'From Order'!$A951)), 1), I950))"),"LZMRCTT")</f>
        <v>LZMRCTT</v>
      </c>
    </row>
    <row r="952">
      <c r="A952" s="2" t="str">
        <f>IFERROR(__xludf.DUMMYFUNCTION("IF('From Order'!$A952=COLUMNS($A952:A971), LEFT(INDEX(FILTER(A$1:A951, A$1:A951&lt;&gt;""""),COUNTA(FILTER(A$1:A951, A$1:A951&lt;&gt;""""))), LEN(INDEX(FILTER(A$1:A951, A$1:A951&lt;&gt;""""),COUNTA(FILTER(A$1:A951, A$1:A951&lt;&gt;""""))))-1), IF('To Order'!$A952=COLUMNS($A952:A"&amp;"971), A951&amp;RIGHT(INDIRECT(ADDRESS(ROW(A952)-1, 'From Order'!$A952)), 1), A951))"),"J")</f>
        <v>J</v>
      </c>
      <c r="B952" s="2" t="str">
        <f>IFERROR(__xludf.DUMMYFUNCTION("IF('From Order'!$A952=COLUMNS($A952:B971), LEFT(INDEX(FILTER(B$1:B951, B$1:B951&lt;&gt;""""),COUNTA(FILTER(B$1:B951, B$1:B951&lt;&gt;""""))), LEN(INDEX(FILTER(B$1:B951, B$1:B951&lt;&gt;""""),COUNTA(FILTER(B$1:B951, B$1:B951&lt;&gt;""""))))-1), IF('To Order'!$A952=COLUMNS($A952:B"&amp;"971), B951&amp;RIGHT(INDIRECT(ADDRESS(ROW(B952)-1, 'From Order'!$A952)), 1), B951))"),"JDT")</f>
        <v>JDT</v>
      </c>
      <c r="C952" s="2" t="str">
        <f>IFERROR(__xludf.DUMMYFUNCTION("IF('From Order'!$A952=COLUMNS($A952:C971), LEFT(INDEX(FILTER(C$1:C951, C$1:C951&lt;&gt;""""),COUNTA(FILTER(C$1:C951, C$1:C951&lt;&gt;""""))), LEN(INDEX(FILTER(C$1:C951, C$1:C951&lt;&gt;""""),COUNTA(FILTER(C$1:C951, C$1:C951&lt;&gt;""""))))-1), IF('To Order'!$A952=COLUMNS($A952:C"&amp;"971), C951&amp;RIGHT(INDIRECT(ADDRESS(ROW(C952)-1, 'From Order'!$A952)), 1), C951))"),"TRLR")</f>
        <v>TRLR</v>
      </c>
      <c r="D952" s="2" t="str">
        <f>IFERROR(__xludf.DUMMYFUNCTION("IF('From Order'!$A952=COLUMNS($A952:D971), LEFT(INDEX(FILTER(D$1:D951, D$1:D951&lt;&gt;""""),COUNTA(FILTER(D$1:D951, D$1:D951&lt;&gt;""""))), LEN(INDEX(FILTER(D$1:D951, D$1:D951&lt;&gt;""""),COUNTA(FILTER(D$1:D951, D$1:D951&lt;&gt;""""))))-1), IF('To Order'!$A952=COLUMNS($A952:D"&amp;"971), D951&amp;RIGHT(INDIRECT(ADDRESS(ROW(D952)-1, 'From Order'!$A952)), 1), D951))"),"")</f>
        <v/>
      </c>
      <c r="E952" s="2" t="str">
        <f>IFERROR(__xludf.DUMMYFUNCTION("IF('From Order'!$A952=COLUMNS($A952:E971), LEFT(INDEX(FILTER(E$1:E951, E$1:E951&lt;&gt;""""),COUNTA(FILTER(E$1:E951, E$1:E951&lt;&gt;""""))), LEN(INDEX(FILTER(E$1:E951, E$1:E951&lt;&gt;""""),COUNTA(FILTER(E$1:E951, E$1:E951&lt;&gt;""""))))-1), IF('To Order'!$A952=COLUMNS($A952:E"&amp;"971), E951&amp;RIGHT(INDIRECT(ADDRESS(ROW(E952)-1, 'From Order'!$A952)), 1), E951))"),"MGCDRZVCJVPP")</f>
        <v>MGCDRZVCJVPP</v>
      </c>
      <c r="F952" s="2" t="str">
        <f>IFERROR(__xludf.DUMMYFUNCTION("IF('From Order'!$A952=COLUMNS($A952:F971), LEFT(INDEX(FILTER(F$1:F951, F$1:F951&lt;&gt;""""),COUNTA(FILTER(F$1:F951, F$1:F951&lt;&gt;""""))), LEN(INDEX(FILTER(F$1:F951, F$1:F951&lt;&gt;""""),COUNTA(FILTER(F$1:F951, F$1:F951&lt;&gt;""""))))-1), IF('To Order'!$A952=COLUMNS($A952:F"&amp;"971), F951&amp;RIGHT(INDIRECT(ADDRESS(ROW(F952)-1, 'From Order'!$A952)), 1), F951))"),"FSLTTWRDTDBDBSBZHMFB")</f>
        <v>FSLTTWRDTDBDBSBZHMFB</v>
      </c>
      <c r="G952" s="2" t="str">
        <f>IFERROR(__xludf.DUMMYFUNCTION("IF('From Order'!$A952=COLUMNS($A952:G971), LEFT(INDEX(FILTER(G$1:G951, G$1:G951&lt;&gt;""""),COUNTA(FILTER(G$1:G951, G$1:G951&lt;&gt;""""))), LEN(INDEX(FILTER(G$1:G951, G$1:G951&lt;&gt;""""),COUNTA(FILTER(G$1:G951, G$1:G951&lt;&gt;""""))))-1), IF('To Order'!$A952=COLUMNS($A952:G"&amp;"971), G951&amp;RIGHT(INDIRECT(ADDRESS(ROW(G952)-1, 'From Order'!$A952)), 1), G951))"),"")</f>
        <v/>
      </c>
      <c r="H952" s="2" t="str">
        <f>IFERROR(__xludf.DUMMYFUNCTION("IF('From Order'!$A952=COLUMNS($A952:H971), LEFT(INDEX(FILTER(H$1:H951, H$1:H951&lt;&gt;""""),COUNTA(FILTER(H$1:H951, H$1:H951&lt;&gt;""""))), LEN(INDEX(FILTER(H$1:H951, H$1:H951&lt;&gt;""""),COUNTA(FILTER(H$1:H951, H$1:H951&lt;&gt;""""))))-1), IF('To Order'!$A952=COLUMNS($A952:H"&amp;"971), H951&amp;RIGHT(INDIRECT(ADDRESS(ROW(H952)-1, 'From Order'!$A952)), 1), H951))"),"PDSSGHWQVQ")</f>
        <v>PDSSGHWQVQ</v>
      </c>
      <c r="I952" s="2" t="str">
        <f>IFERROR(__xludf.DUMMYFUNCTION("IF('From Order'!$A952=COLUMNS($A952:I971), LEFT(INDEX(FILTER(I$1:I951, I$1:I951&lt;&gt;""""),COUNTA(FILTER(I$1:I951, I$1:I951&lt;&gt;""""))), LEN(INDEX(FILTER(I$1:I951, I$1:I951&lt;&gt;""""),COUNTA(FILTER(I$1:I951, I$1:I951&lt;&gt;""""))))-1), IF('To Order'!$A952=COLUMNS($A952:I"&amp;"971), I951&amp;RIGHT(INDIRECT(ADDRESS(ROW(I952)-1, 'From Order'!$A952)), 1), I951))"),"LZMRCT")</f>
        <v>LZMRCT</v>
      </c>
    </row>
    <row r="953">
      <c r="A953" s="2" t="str">
        <f>IFERROR(__xludf.DUMMYFUNCTION("IF('From Order'!$A953=COLUMNS($A953:A972), LEFT(INDEX(FILTER(A$1:A952, A$1:A952&lt;&gt;""""),COUNTA(FILTER(A$1:A952, A$1:A952&lt;&gt;""""))), LEN(INDEX(FILTER(A$1:A952, A$1:A952&lt;&gt;""""),COUNTA(FILTER(A$1:A952, A$1:A952&lt;&gt;""""))))-1), IF('To Order'!$A953=COLUMNS($A953:A"&amp;"972), A952&amp;RIGHT(INDIRECT(ADDRESS(ROW(A953)-1, 'From Order'!$A953)), 1), A952))"),"J")</f>
        <v>J</v>
      </c>
      <c r="B953" s="2" t="str">
        <f>IFERROR(__xludf.DUMMYFUNCTION("IF('From Order'!$A953=COLUMNS($A953:B972), LEFT(INDEX(FILTER(B$1:B952, B$1:B952&lt;&gt;""""),COUNTA(FILTER(B$1:B952, B$1:B952&lt;&gt;""""))), LEN(INDEX(FILTER(B$1:B952, B$1:B952&lt;&gt;""""),COUNTA(FILTER(B$1:B952, B$1:B952&lt;&gt;""""))))-1), IF('To Order'!$A953=COLUMNS($A953:B"&amp;"972), B952&amp;RIGHT(INDIRECT(ADDRESS(ROW(B953)-1, 'From Order'!$A953)), 1), B952))"),"JDTT")</f>
        <v>JDTT</v>
      </c>
      <c r="C953" s="2" t="str">
        <f>IFERROR(__xludf.DUMMYFUNCTION("IF('From Order'!$A953=COLUMNS($A953:C972), LEFT(INDEX(FILTER(C$1:C952, C$1:C952&lt;&gt;""""),COUNTA(FILTER(C$1:C952, C$1:C952&lt;&gt;""""))), LEN(INDEX(FILTER(C$1:C952, C$1:C952&lt;&gt;""""),COUNTA(FILTER(C$1:C952, C$1:C952&lt;&gt;""""))))-1), IF('To Order'!$A953=COLUMNS($A953:C"&amp;"972), C952&amp;RIGHT(INDIRECT(ADDRESS(ROW(C953)-1, 'From Order'!$A953)), 1), C952))"),"TRLR")</f>
        <v>TRLR</v>
      </c>
      <c r="D953" s="2" t="str">
        <f>IFERROR(__xludf.DUMMYFUNCTION("IF('From Order'!$A953=COLUMNS($A953:D972), LEFT(INDEX(FILTER(D$1:D952, D$1:D952&lt;&gt;""""),COUNTA(FILTER(D$1:D952, D$1:D952&lt;&gt;""""))), LEN(INDEX(FILTER(D$1:D952, D$1:D952&lt;&gt;""""),COUNTA(FILTER(D$1:D952, D$1:D952&lt;&gt;""""))))-1), IF('To Order'!$A953=COLUMNS($A953:D"&amp;"972), D952&amp;RIGHT(INDIRECT(ADDRESS(ROW(D953)-1, 'From Order'!$A953)), 1), D952))"),"")</f>
        <v/>
      </c>
      <c r="E953" s="2" t="str">
        <f>IFERROR(__xludf.DUMMYFUNCTION("IF('From Order'!$A953=COLUMNS($A953:E972), LEFT(INDEX(FILTER(E$1:E952, E$1:E952&lt;&gt;""""),COUNTA(FILTER(E$1:E952, E$1:E952&lt;&gt;""""))), LEN(INDEX(FILTER(E$1:E952, E$1:E952&lt;&gt;""""),COUNTA(FILTER(E$1:E952, E$1:E952&lt;&gt;""""))))-1), IF('To Order'!$A953=COLUMNS($A953:E"&amp;"972), E952&amp;RIGHT(INDIRECT(ADDRESS(ROW(E953)-1, 'From Order'!$A953)), 1), E952))"),"MGCDRZVCJVPP")</f>
        <v>MGCDRZVCJVPP</v>
      </c>
      <c r="F953" s="2" t="str">
        <f>IFERROR(__xludf.DUMMYFUNCTION("IF('From Order'!$A953=COLUMNS($A953:F972), LEFT(INDEX(FILTER(F$1:F952, F$1:F952&lt;&gt;""""),COUNTA(FILTER(F$1:F952, F$1:F952&lt;&gt;""""))), LEN(INDEX(FILTER(F$1:F952, F$1:F952&lt;&gt;""""),COUNTA(FILTER(F$1:F952, F$1:F952&lt;&gt;""""))))-1), IF('To Order'!$A953=COLUMNS($A953:F"&amp;"972), F952&amp;RIGHT(INDIRECT(ADDRESS(ROW(F953)-1, 'From Order'!$A953)), 1), F952))"),"FSLTTWRDTDBDBSBZHMFB")</f>
        <v>FSLTTWRDTDBDBSBZHMFB</v>
      </c>
      <c r="G953" s="2" t="str">
        <f>IFERROR(__xludf.DUMMYFUNCTION("IF('From Order'!$A953=COLUMNS($A953:G972), LEFT(INDEX(FILTER(G$1:G952, G$1:G952&lt;&gt;""""),COUNTA(FILTER(G$1:G952, G$1:G952&lt;&gt;""""))), LEN(INDEX(FILTER(G$1:G952, G$1:G952&lt;&gt;""""),COUNTA(FILTER(G$1:G952, G$1:G952&lt;&gt;""""))))-1), IF('To Order'!$A953=COLUMNS($A953:G"&amp;"972), G952&amp;RIGHT(INDIRECT(ADDRESS(ROW(G953)-1, 'From Order'!$A953)), 1), G952))"),"")</f>
        <v/>
      </c>
      <c r="H953" s="2" t="str">
        <f>IFERROR(__xludf.DUMMYFUNCTION("IF('From Order'!$A953=COLUMNS($A953:H972), LEFT(INDEX(FILTER(H$1:H952, H$1:H952&lt;&gt;""""),COUNTA(FILTER(H$1:H952, H$1:H952&lt;&gt;""""))), LEN(INDEX(FILTER(H$1:H952, H$1:H952&lt;&gt;""""),COUNTA(FILTER(H$1:H952, H$1:H952&lt;&gt;""""))))-1), IF('To Order'!$A953=COLUMNS($A953:H"&amp;"972), H952&amp;RIGHT(INDIRECT(ADDRESS(ROW(H953)-1, 'From Order'!$A953)), 1), H952))"),"PDSSGHWQVQ")</f>
        <v>PDSSGHWQVQ</v>
      </c>
      <c r="I953" s="2" t="str">
        <f>IFERROR(__xludf.DUMMYFUNCTION("IF('From Order'!$A953=COLUMNS($A953:I972), LEFT(INDEX(FILTER(I$1:I952, I$1:I952&lt;&gt;""""),COUNTA(FILTER(I$1:I952, I$1:I952&lt;&gt;""""))), LEN(INDEX(FILTER(I$1:I952, I$1:I952&lt;&gt;""""),COUNTA(FILTER(I$1:I952, I$1:I952&lt;&gt;""""))))-1), IF('To Order'!$A953=COLUMNS($A953:I"&amp;"972), I952&amp;RIGHT(INDIRECT(ADDRESS(ROW(I953)-1, 'From Order'!$A953)), 1), I952))"),"LZMRC")</f>
        <v>LZMRC</v>
      </c>
    </row>
    <row r="954">
      <c r="A954" s="2" t="str">
        <f>IFERROR(__xludf.DUMMYFUNCTION("IF('From Order'!$A954=COLUMNS($A954:A973), LEFT(INDEX(FILTER(A$1:A953, A$1:A953&lt;&gt;""""),COUNTA(FILTER(A$1:A953, A$1:A953&lt;&gt;""""))), LEN(INDEX(FILTER(A$1:A953, A$1:A953&lt;&gt;""""),COUNTA(FILTER(A$1:A953, A$1:A953&lt;&gt;""""))))-1), IF('To Order'!$A954=COLUMNS($A954:A"&amp;"973), A953&amp;RIGHT(INDIRECT(ADDRESS(ROW(A954)-1, 'From Order'!$A954)), 1), A953))"),"J")</f>
        <v>J</v>
      </c>
      <c r="B954" s="2" t="str">
        <f>IFERROR(__xludf.DUMMYFUNCTION("IF('From Order'!$A954=COLUMNS($A954:B973), LEFT(INDEX(FILTER(B$1:B953, B$1:B953&lt;&gt;""""),COUNTA(FILTER(B$1:B953, B$1:B953&lt;&gt;""""))), LEN(INDEX(FILTER(B$1:B953, B$1:B953&lt;&gt;""""),COUNTA(FILTER(B$1:B953, B$1:B953&lt;&gt;""""))))-1), IF('To Order'!$A954=COLUMNS($A954:B"&amp;"973), B953&amp;RIGHT(INDIRECT(ADDRESS(ROW(B954)-1, 'From Order'!$A954)), 1), B953))"),"JDTTC")</f>
        <v>JDTTC</v>
      </c>
      <c r="C954" s="2" t="str">
        <f>IFERROR(__xludf.DUMMYFUNCTION("IF('From Order'!$A954=COLUMNS($A954:C973), LEFT(INDEX(FILTER(C$1:C953, C$1:C953&lt;&gt;""""),COUNTA(FILTER(C$1:C953, C$1:C953&lt;&gt;""""))), LEN(INDEX(FILTER(C$1:C953, C$1:C953&lt;&gt;""""),COUNTA(FILTER(C$1:C953, C$1:C953&lt;&gt;""""))))-1), IF('To Order'!$A954=COLUMNS($A954:C"&amp;"973), C953&amp;RIGHT(INDIRECT(ADDRESS(ROW(C954)-1, 'From Order'!$A954)), 1), C953))"),"TRLR")</f>
        <v>TRLR</v>
      </c>
      <c r="D954" s="2" t="str">
        <f>IFERROR(__xludf.DUMMYFUNCTION("IF('From Order'!$A954=COLUMNS($A954:D973), LEFT(INDEX(FILTER(D$1:D953, D$1:D953&lt;&gt;""""),COUNTA(FILTER(D$1:D953, D$1:D953&lt;&gt;""""))), LEN(INDEX(FILTER(D$1:D953, D$1:D953&lt;&gt;""""),COUNTA(FILTER(D$1:D953, D$1:D953&lt;&gt;""""))))-1), IF('To Order'!$A954=COLUMNS($A954:D"&amp;"973), D953&amp;RIGHT(INDIRECT(ADDRESS(ROW(D954)-1, 'From Order'!$A954)), 1), D953))"),"")</f>
        <v/>
      </c>
      <c r="E954" s="2" t="str">
        <f>IFERROR(__xludf.DUMMYFUNCTION("IF('From Order'!$A954=COLUMNS($A954:E973), LEFT(INDEX(FILTER(E$1:E953, E$1:E953&lt;&gt;""""),COUNTA(FILTER(E$1:E953, E$1:E953&lt;&gt;""""))), LEN(INDEX(FILTER(E$1:E953, E$1:E953&lt;&gt;""""),COUNTA(FILTER(E$1:E953, E$1:E953&lt;&gt;""""))))-1), IF('To Order'!$A954=COLUMNS($A954:E"&amp;"973), E953&amp;RIGHT(INDIRECT(ADDRESS(ROW(E954)-1, 'From Order'!$A954)), 1), E953))"),"MGCDRZVCJVPP")</f>
        <v>MGCDRZVCJVPP</v>
      </c>
      <c r="F954" s="2" t="str">
        <f>IFERROR(__xludf.DUMMYFUNCTION("IF('From Order'!$A954=COLUMNS($A954:F973), LEFT(INDEX(FILTER(F$1:F953, F$1:F953&lt;&gt;""""),COUNTA(FILTER(F$1:F953, F$1:F953&lt;&gt;""""))), LEN(INDEX(FILTER(F$1:F953, F$1:F953&lt;&gt;""""),COUNTA(FILTER(F$1:F953, F$1:F953&lt;&gt;""""))))-1), IF('To Order'!$A954=COLUMNS($A954:F"&amp;"973), F953&amp;RIGHT(INDIRECT(ADDRESS(ROW(F954)-1, 'From Order'!$A954)), 1), F953))"),"FSLTTWRDTDBDBSBZHMFB")</f>
        <v>FSLTTWRDTDBDBSBZHMFB</v>
      </c>
      <c r="G954" s="2" t="str">
        <f>IFERROR(__xludf.DUMMYFUNCTION("IF('From Order'!$A954=COLUMNS($A954:G973), LEFT(INDEX(FILTER(G$1:G953, G$1:G953&lt;&gt;""""),COUNTA(FILTER(G$1:G953, G$1:G953&lt;&gt;""""))), LEN(INDEX(FILTER(G$1:G953, G$1:G953&lt;&gt;""""),COUNTA(FILTER(G$1:G953, G$1:G953&lt;&gt;""""))))-1), IF('To Order'!$A954=COLUMNS($A954:G"&amp;"973), G953&amp;RIGHT(INDIRECT(ADDRESS(ROW(G954)-1, 'From Order'!$A954)), 1), G953))"),"")</f>
        <v/>
      </c>
      <c r="H954" s="2" t="str">
        <f>IFERROR(__xludf.DUMMYFUNCTION("IF('From Order'!$A954=COLUMNS($A954:H973), LEFT(INDEX(FILTER(H$1:H953, H$1:H953&lt;&gt;""""),COUNTA(FILTER(H$1:H953, H$1:H953&lt;&gt;""""))), LEN(INDEX(FILTER(H$1:H953, H$1:H953&lt;&gt;""""),COUNTA(FILTER(H$1:H953, H$1:H953&lt;&gt;""""))))-1), IF('To Order'!$A954=COLUMNS($A954:H"&amp;"973), H953&amp;RIGHT(INDIRECT(ADDRESS(ROW(H954)-1, 'From Order'!$A954)), 1), H953))"),"PDSSGHWQVQ")</f>
        <v>PDSSGHWQVQ</v>
      </c>
      <c r="I954" s="2" t="str">
        <f>IFERROR(__xludf.DUMMYFUNCTION("IF('From Order'!$A954=COLUMNS($A954:I973), LEFT(INDEX(FILTER(I$1:I953, I$1:I953&lt;&gt;""""),COUNTA(FILTER(I$1:I953, I$1:I953&lt;&gt;""""))), LEN(INDEX(FILTER(I$1:I953, I$1:I953&lt;&gt;""""),COUNTA(FILTER(I$1:I953, I$1:I953&lt;&gt;""""))))-1), IF('To Order'!$A954=COLUMNS($A954:I"&amp;"973), I953&amp;RIGHT(INDIRECT(ADDRESS(ROW(I954)-1, 'From Order'!$A954)), 1), I953))"),"LZMR")</f>
        <v>LZMR</v>
      </c>
    </row>
    <row r="955">
      <c r="A955" s="2" t="str">
        <f>IFERROR(__xludf.DUMMYFUNCTION("IF('From Order'!$A955=COLUMNS($A955:A974), LEFT(INDEX(FILTER(A$1:A954, A$1:A954&lt;&gt;""""),COUNTA(FILTER(A$1:A954, A$1:A954&lt;&gt;""""))), LEN(INDEX(FILTER(A$1:A954, A$1:A954&lt;&gt;""""),COUNTA(FILTER(A$1:A954, A$1:A954&lt;&gt;""""))))-1), IF('To Order'!$A955=COLUMNS($A955:A"&amp;"974), A954&amp;RIGHT(INDIRECT(ADDRESS(ROW(A955)-1, 'From Order'!$A955)), 1), A954))"),"J")</f>
        <v>J</v>
      </c>
      <c r="B955" s="2" t="str">
        <f>IFERROR(__xludf.DUMMYFUNCTION("IF('From Order'!$A955=COLUMNS($A955:B974), LEFT(INDEX(FILTER(B$1:B954, B$1:B954&lt;&gt;""""),COUNTA(FILTER(B$1:B954, B$1:B954&lt;&gt;""""))), LEN(INDEX(FILTER(B$1:B954, B$1:B954&lt;&gt;""""),COUNTA(FILTER(B$1:B954, B$1:B954&lt;&gt;""""))))-1), IF('To Order'!$A955=COLUMNS($A955:B"&amp;"974), B954&amp;RIGHT(INDIRECT(ADDRESS(ROW(B955)-1, 'From Order'!$A955)), 1), B954))"),"JDTTCR")</f>
        <v>JDTTCR</v>
      </c>
      <c r="C955" s="2" t="str">
        <f>IFERROR(__xludf.DUMMYFUNCTION("IF('From Order'!$A955=COLUMNS($A955:C974), LEFT(INDEX(FILTER(C$1:C954, C$1:C954&lt;&gt;""""),COUNTA(FILTER(C$1:C954, C$1:C954&lt;&gt;""""))), LEN(INDEX(FILTER(C$1:C954, C$1:C954&lt;&gt;""""),COUNTA(FILTER(C$1:C954, C$1:C954&lt;&gt;""""))))-1), IF('To Order'!$A955=COLUMNS($A955:C"&amp;"974), C954&amp;RIGHT(INDIRECT(ADDRESS(ROW(C955)-1, 'From Order'!$A955)), 1), C954))"),"TRLR")</f>
        <v>TRLR</v>
      </c>
      <c r="D955" s="2" t="str">
        <f>IFERROR(__xludf.DUMMYFUNCTION("IF('From Order'!$A955=COLUMNS($A955:D974), LEFT(INDEX(FILTER(D$1:D954, D$1:D954&lt;&gt;""""),COUNTA(FILTER(D$1:D954, D$1:D954&lt;&gt;""""))), LEN(INDEX(FILTER(D$1:D954, D$1:D954&lt;&gt;""""),COUNTA(FILTER(D$1:D954, D$1:D954&lt;&gt;""""))))-1), IF('To Order'!$A955=COLUMNS($A955:D"&amp;"974), D954&amp;RIGHT(INDIRECT(ADDRESS(ROW(D955)-1, 'From Order'!$A955)), 1), D954))"),"")</f>
        <v/>
      </c>
      <c r="E955" s="2" t="str">
        <f>IFERROR(__xludf.DUMMYFUNCTION("IF('From Order'!$A955=COLUMNS($A955:E974), LEFT(INDEX(FILTER(E$1:E954, E$1:E954&lt;&gt;""""),COUNTA(FILTER(E$1:E954, E$1:E954&lt;&gt;""""))), LEN(INDEX(FILTER(E$1:E954, E$1:E954&lt;&gt;""""),COUNTA(FILTER(E$1:E954, E$1:E954&lt;&gt;""""))))-1), IF('To Order'!$A955=COLUMNS($A955:E"&amp;"974), E954&amp;RIGHT(INDIRECT(ADDRESS(ROW(E955)-1, 'From Order'!$A955)), 1), E954))"),"MGCDRZVCJVPP")</f>
        <v>MGCDRZVCJVPP</v>
      </c>
      <c r="F955" s="2" t="str">
        <f>IFERROR(__xludf.DUMMYFUNCTION("IF('From Order'!$A955=COLUMNS($A955:F974), LEFT(INDEX(FILTER(F$1:F954, F$1:F954&lt;&gt;""""),COUNTA(FILTER(F$1:F954, F$1:F954&lt;&gt;""""))), LEN(INDEX(FILTER(F$1:F954, F$1:F954&lt;&gt;""""),COUNTA(FILTER(F$1:F954, F$1:F954&lt;&gt;""""))))-1), IF('To Order'!$A955=COLUMNS($A955:F"&amp;"974), F954&amp;RIGHT(INDIRECT(ADDRESS(ROW(F955)-1, 'From Order'!$A955)), 1), F954))"),"FSLTTWRDTDBDBSBZHMFB")</f>
        <v>FSLTTWRDTDBDBSBZHMFB</v>
      </c>
      <c r="G955" s="2" t="str">
        <f>IFERROR(__xludf.DUMMYFUNCTION("IF('From Order'!$A955=COLUMNS($A955:G974), LEFT(INDEX(FILTER(G$1:G954, G$1:G954&lt;&gt;""""),COUNTA(FILTER(G$1:G954, G$1:G954&lt;&gt;""""))), LEN(INDEX(FILTER(G$1:G954, G$1:G954&lt;&gt;""""),COUNTA(FILTER(G$1:G954, G$1:G954&lt;&gt;""""))))-1), IF('To Order'!$A955=COLUMNS($A955:G"&amp;"974), G954&amp;RIGHT(INDIRECT(ADDRESS(ROW(G955)-1, 'From Order'!$A955)), 1), G954))"),"")</f>
        <v/>
      </c>
      <c r="H955" s="2" t="str">
        <f>IFERROR(__xludf.DUMMYFUNCTION("IF('From Order'!$A955=COLUMNS($A955:H974), LEFT(INDEX(FILTER(H$1:H954, H$1:H954&lt;&gt;""""),COUNTA(FILTER(H$1:H954, H$1:H954&lt;&gt;""""))), LEN(INDEX(FILTER(H$1:H954, H$1:H954&lt;&gt;""""),COUNTA(FILTER(H$1:H954, H$1:H954&lt;&gt;""""))))-1), IF('To Order'!$A955=COLUMNS($A955:H"&amp;"974), H954&amp;RIGHT(INDIRECT(ADDRESS(ROW(H955)-1, 'From Order'!$A955)), 1), H954))"),"PDSSGHWQVQ")</f>
        <v>PDSSGHWQVQ</v>
      </c>
      <c r="I955" s="2" t="str">
        <f>IFERROR(__xludf.DUMMYFUNCTION("IF('From Order'!$A955=COLUMNS($A955:I974), LEFT(INDEX(FILTER(I$1:I954, I$1:I954&lt;&gt;""""),COUNTA(FILTER(I$1:I954, I$1:I954&lt;&gt;""""))), LEN(INDEX(FILTER(I$1:I954, I$1:I954&lt;&gt;""""),COUNTA(FILTER(I$1:I954, I$1:I954&lt;&gt;""""))))-1), IF('To Order'!$A955=COLUMNS($A955:I"&amp;"974), I954&amp;RIGHT(INDIRECT(ADDRESS(ROW(I955)-1, 'From Order'!$A955)), 1), I954))"),"LZM")</f>
        <v>LZM</v>
      </c>
    </row>
    <row r="956">
      <c r="A956" s="2" t="str">
        <f>IFERROR(__xludf.DUMMYFUNCTION("IF('From Order'!$A956=COLUMNS($A956:A975), LEFT(INDEX(FILTER(A$1:A955, A$1:A955&lt;&gt;""""),COUNTA(FILTER(A$1:A955, A$1:A955&lt;&gt;""""))), LEN(INDEX(FILTER(A$1:A955, A$1:A955&lt;&gt;""""),COUNTA(FILTER(A$1:A955, A$1:A955&lt;&gt;""""))))-1), IF('To Order'!$A956=COLUMNS($A956:A"&amp;"975), A955&amp;RIGHT(INDIRECT(ADDRESS(ROW(A956)-1, 'From Order'!$A956)), 1), A955))"),"J")</f>
        <v>J</v>
      </c>
      <c r="B956" s="2" t="str">
        <f>IFERROR(__xludf.DUMMYFUNCTION("IF('From Order'!$A956=COLUMNS($A956:B975), LEFT(INDEX(FILTER(B$1:B955, B$1:B955&lt;&gt;""""),COUNTA(FILTER(B$1:B955, B$1:B955&lt;&gt;""""))), LEN(INDEX(FILTER(B$1:B955, B$1:B955&lt;&gt;""""),COUNTA(FILTER(B$1:B955, B$1:B955&lt;&gt;""""))))-1), IF('To Order'!$A956=COLUMNS($A956:B"&amp;"975), B955&amp;RIGHT(INDIRECT(ADDRESS(ROW(B956)-1, 'From Order'!$A956)), 1), B955))"),"JDTTC")</f>
        <v>JDTTC</v>
      </c>
      <c r="C956" s="2" t="str">
        <f>IFERROR(__xludf.DUMMYFUNCTION("IF('From Order'!$A956=COLUMNS($A956:C975), LEFT(INDEX(FILTER(C$1:C955, C$1:C955&lt;&gt;""""),COUNTA(FILTER(C$1:C955, C$1:C955&lt;&gt;""""))), LEN(INDEX(FILTER(C$1:C955, C$1:C955&lt;&gt;""""),COUNTA(FILTER(C$1:C955, C$1:C955&lt;&gt;""""))))-1), IF('To Order'!$A956=COLUMNS($A956:C"&amp;"975), C955&amp;RIGHT(INDIRECT(ADDRESS(ROW(C956)-1, 'From Order'!$A956)), 1), C955))"),"TRLR")</f>
        <v>TRLR</v>
      </c>
      <c r="D956" s="2" t="str">
        <f>IFERROR(__xludf.DUMMYFUNCTION("IF('From Order'!$A956=COLUMNS($A956:D975), LEFT(INDEX(FILTER(D$1:D955, D$1:D955&lt;&gt;""""),COUNTA(FILTER(D$1:D955, D$1:D955&lt;&gt;""""))), LEN(INDEX(FILTER(D$1:D955, D$1:D955&lt;&gt;""""),COUNTA(FILTER(D$1:D955, D$1:D955&lt;&gt;""""))))-1), IF('To Order'!$A956=COLUMNS($A956:D"&amp;"975), D955&amp;RIGHT(INDIRECT(ADDRESS(ROW(D956)-1, 'From Order'!$A956)), 1), D955))"),"")</f>
        <v/>
      </c>
      <c r="E956" s="2" t="str">
        <f>IFERROR(__xludf.DUMMYFUNCTION("IF('From Order'!$A956=COLUMNS($A956:E975), LEFT(INDEX(FILTER(E$1:E955, E$1:E955&lt;&gt;""""),COUNTA(FILTER(E$1:E955, E$1:E955&lt;&gt;""""))), LEN(INDEX(FILTER(E$1:E955, E$1:E955&lt;&gt;""""),COUNTA(FILTER(E$1:E955, E$1:E955&lt;&gt;""""))))-1), IF('To Order'!$A956=COLUMNS($A956:E"&amp;"975), E955&amp;RIGHT(INDIRECT(ADDRESS(ROW(E956)-1, 'From Order'!$A956)), 1), E955))"),"MGCDRZVCJVPP")</f>
        <v>MGCDRZVCJVPP</v>
      </c>
      <c r="F956" s="2" t="str">
        <f>IFERROR(__xludf.DUMMYFUNCTION("IF('From Order'!$A956=COLUMNS($A956:F975), LEFT(INDEX(FILTER(F$1:F955, F$1:F955&lt;&gt;""""),COUNTA(FILTER(F$1:F955, F$1:F955&lt;&gt;""""))), LEN(INDEX(FILTER(F$1:F955, F$1:F955&lt;&gt;""""),COUNTA(FILTER(F$1:F955, F$1:F955&lt;&gt;""""))))-1), IF('To Order'!$A956=COLUMNS($A956:F"&amp;"975), F955&amp;RIGHT(INDIRECT(ADDRESS(ROW(F956)-1, 'From Order'!$A956)), 1), F955))"),"FSLTTWRDTDBDBSBZHMFBR")</f>
        <v>FSLTTWRDTDBDBSBZHMFBR</v>
      </c>
      <c r="G956" s="2" t="str">
        <f>IFERROR(__xludf.DUMMYFUNCTION("IF('From Order'!$A956=COLUMNS($A956:G975), LEFT(INDEX(FILTER(G$1:G955, G$1:G955&lt;&gt;""""),COUNTA(FILTER(G$1:G955, G$1:G955&lt;&gt;""""))), LEN(INDEX(FILTER(G$1:G955, G$1:G955&lt;&gt;""""),COUNTA(FILTER(G$1:G955, G$1:G955&lt;&gt;""""))))-1), IF('To Order'!$A956=COLUMNS($A956:G"&amp;"975), G955&amp;RIGHT(INDIRECT(ADDRESS(ROW(G956)-1, 'From Order'!$A956)), 1), G955))"),"")</f>
        <v/>
      </c>
      <c r="H956" s="2" t="str">
        <f>IFERROR(__xludf.DUMMYFUNCTION("IF('From Order'!$A956=COLUMNS($A956:H975), LEFT(INDEX(FILTER(H$1:H955, H$1:H955&lt;&gt;""""),COUNTA(FILTER(H$1:H955, H$1:H955&lt;&gt;""""))), LEN(INDEX(FILTER(H$1:H955, H$1:H955&lt;&gt;""""),COUNTA(FILTER(H$1:H955, H$1:H955&lt;&gt;""""))))-1), IF('To Order'!$A956=COLUMNS($A956:H"&amp;"975), H955&amp;RIGHT(INDIRECT(ADDRESS(ROW(H956)-1, 'From Order'!$A956)), 1), H955))"),"PDSSGHWQVQ")</f>
        <v>PDSSGHWQVQ</v>
      </c>
      <c r="I956" s="2" t="str">
        <f>IFERROR(__xludf.DUMMYFUNCTION("IF('From Order'!$A956=COLUMNS($A956:I975), LEFT(INDEX(FILTER(I$1:I955, I$1:I955&lt;&gt;""""),COUNTA(FILTER(I$1:I955, I$1:I955&lt;&gt;""""))), LEN(INDEX(FILTER(I$1:I955, I$1:I955&lt;&gt;""""),COUNTA(FILTER(I$1:I955, I$1:I955&lt;&gt;""""))))-1), IF('To Order'!$A956=COLUMNS($A956:I"&amp;"975), I955&amp;RIGHT(INDIRECT(ADDRESS(ROW(I956)-1, 'From Order'!$A956)), 1), I955))"),"LZM")</f>
        <v>LZM</v>
      </c>
    </row>
    <row r="957">
      <c r="A957" s="2" t="str">
        <f>IFERROR(__xludf.DUMMYFUNCTION("IF('From Order'!$A957=COLUMNS($A957:A976), LEFT(INDEX(FILTER(A$1:A956, A$1:A956&lt;&gt;""""),COUNTA(FILTER(A$1:A956, A$1:A956&lt;&gt;""""))), LEN(INDEX(FILTER(A$1:A956, A$1:A956&lt;&gt;""""),COUNTA(FILTER(A$1:A956, A$1:A956&lt;&gt;""""))))-1), IF('To Order'!$A957=COLUMNS($A957:A"&amp;"976), A956&amp;RIGHT(INDIRECT(ADDRESS(ROW(A957)-1, 'From Order'!$A957)), 1), A956))"),"J")</f>
        <v>J</v>
      </c>
      <c r="B957" s="2" t="str">
        <f>IFERROR(__xludf.DUMMYFUNCTION("IF('From Order'!$A957=COLUMNS($A957:B976), LEFT(INDEX(FILTER(B$1:B956, B$1:B956&lt;&gt;""""),COUNTA(FILTER(B$1:B956, B$1:B956&lt;&gt;""""))), LEN(INDEX(FILTER(B$1:B956, B$1:B956&lt;&gt;""""),COUNTA(FILTER(B$1:B956, B$1:B956&lt;&gt;""""))))-1), IF('To Order'!$A957=COLUMNS($A957:B"&amp;"976), B956&amp;RIGHT(INDIRECT(ADDRESS(ROW(B957)-1, 'From Order'!$A957)), 1), B956))"),"JDTT")</f>
        <v>JDTT</v>
      </c>
      <c r="C957" s="2" t="str">
        <f>IFERROR(__xludf.DUMMYFUNCTION("IF('From Order'!$A957=COLUMNS($A957:C976), LEFT(INDEX(FILTER(C$1:C956, C$1:C956&lt;&gt;""""),COUNTA(FILTER(C$1:C956, C$1:C956&lt;&gt;""""))), LEN(INDEX(FILTER(C$1:C956, C$1:C956&lt;&gt;""""),COUNTA(FILTER(C$1:C956, C$1:C956&lt;&gt;""""))))-1), IF('To Order'!$A957=COLUMNS($A957:C"&amp;"976), C956&amp;RIGHT(INDIRECT(ADDRESS(ROW(C957)-1, 'From Order'!$A957)), 1), C956))"),"TRLR")</f>
        <v>TRLR</v>
      </c>
      <c r="D957" s="2" t="str">
        <f>IFERROR(__xludf.DUMMYFUNCTION("IF('From Order'!$A957=COLUMNS($A957:D976), LEFT(INDEX(FILTER(D$1:D956, D$1:D956&lt;&gt;""""),COUNTA(FILTER(D$1:D956, D$1:D956&lt;&gt;""""))), LEN(INDEX(FILTER(D$1:D956, D$1:D956&lt;&gt;""""),COUNTA(FILTER(D$1:D956, D$1:D956&lt;&gt;""""))))-1), IF('To Order'!$A957=COLUMNS($A957:D"&amp;"976), D956&amp;RIGHT(INDIRECT(ADDRESS(ROW(D957)-1, 'From Order'!$A957)), 1), D956))"),"")</f>
        <v/>
      </c>
      <c r="E957" s="2" t="str">
        <f>IFERROR(__xludf.DUMMYFUNCTION("IF('From Order'!$A957=COLUMNS($A957:E976), LEFT(INDEX(FILTER(E$1:E956, E$1:E956&lt;&gt;""""),COUNTA(FILTER(E$1:E956, E$1:E956&lt;&gt;""""))), LEN(INDEX(FILTER(E$1:E956, E$1:E956&lt;&gt;""""),COUNTA(FILTER(E$1:E956, E$1:E956&lt;&gt;""""))))-1), IF('To Order'!$A957=COLUMNS($A957:E"&amp;"976), E956&amp;RIGHT(INDIRECT(ADDRESS(ROW(E957)-1, 'From Order'!$A957)), 1), E956))"),"MGCDRZVCJVPP")</f>
        <v>MGCDRZVCJVPP</v>
      </c>
      <c r="F957" s="2" t="str">
        <f>IFERROR(__xludf.DUMMYFUNCTION("IF('From Order'!$A957=COLUMNS($A957:F976), LEFT(INDEX(FILTER(F$1:F956, F$1:F956&lt;&gt;""""),COUNTA(FILTER(F$1:F956, F$1:F956&lt;&gt;""""))), LEN(INDEX(FILTER(F$1:F956, F$1:F956&lt;&gt;""""),COUNTA(FILTER(F$1:F956, F$1:F956&lt;&gt;""""))))-1), IF('To Order'!$A957=COLUMNS($A957:F"&amp;"976), F956&amp;RIGHT(INDIRECT(ADDRESS(ROW(F957)-1, 'From Order'!$A957)), 1), F956))"),"FSLTTWRDTDBDBSBZHMFBRC")</f>
        <v>FSLTTWRDTDBDBSBZHMFBRC</v>
      </c>
      <c r="G957" s="2" t="str">
        <f>IFERROR(__xludf.DUMMYFUNCTION("IF('From Order'!$A957=COLUMNS($A957:G976), LEFT(INDEX(FILTER(G$1:G956, G$1:G956&lt;&gt;""""),COUNTA(FILTER(G$1:G956, G$1:G956&lt;&gt;""""))), LEN(INDEX(FILTER(G$1:G956, G$1:G956&lt;&gt;""""),COUNTA(FILTER(G$1:G956, G$1:G956&lt;&gt;""""))))-1), IF('To Order'!$A957=COLUMNS($A957:G"&amp;"976), G956&amp;RIGHT(INDIRECT(ADDRESS(ROW(G957)-1, 'From Order'!$A957)), 1), G956))"),"")</f>
        <v/>
      </c>
      <c r="H957" s="2" t="str">
        <f>IFERROR(__xludf.DUMMYFUNCTION("IF('From Order'!$A957=COLUMNS($A957:H976), LEFT(INDEX(FILTER(H$1:H956, H$1:H956&lt;&gt;""""),COUNTA(FILTER(H$1:H956, H$1:H956&lt;&gt;""""))), LEN(INDEX(FILTER(H$1:H956, H$1:H956&lt;&gt;""""),COUNTA(FILTER(H$1:H956, H$1:H956&lt;&gt;""""))))-1), IF('To Order'!$A957=COLUMNS($A957:H"&amp;"976), H956&amp;RIGHT(INDIRECT(ADDRESS(ROW(H957)-1, 'From Order'!$A957)), 1), H956))"),"PDSSGHWQVQ")</f>
        <v>PDSSGHWQVQ</v>
      </c>
      <c r="I957" s="2" t="str">
        <f>IFERROR(__xludf.DUMMYFUNCTION("IF('From Order'!$A957=COLUMNS($A957:I976), LEFT(INDEX(FILTER(I$1:I956, I$1:I956&lt;&gt;""""),COUNTA(FILTER(I$1:I956, I$1:I956&lt;&gt;""""))), LEN(INDEX(FILTER(I$1:I956, I$1:I956&lt;&gt;""""),COUNTA(FILTER(I$1:I956, I$1:I956&lt;&gt;""""))))-1), IF('To Order'!$A957=COLUMNS($A957:I"&amp;"976), I956&amp;RIGHT(INDIRECT(ADDRESS(ROW(I957)-1, 'From Order'!$A957)), 1), I956))"),"LZM")</f>
        <v>LZM</v>
      </c>
    </row>
    <row r="958">
      <c r="A958" s="2" t="str">
        <f>IFERROR(__xludf.DUMMYFUNCTION("IF('From Order'!$A958=COLUMNS($A958:A977), LEFT(INDEX(FILTER(A$1:A957, A$1:A957&lt;&gt;""""),COUNTA(FILTER(A$1:A957, A$1:A957&lt;&gt;""""))), LEN(INDEX(FILTER(A$1:A957, A$1:A957&lt;&gt;""""),COUNTA(FILTER(A$1:A957, A$1:A957&lt;&gt;""""))))-1), IF('To Order'!$A958=COLUMNS($A958:A"&amp;"977), A957&amp;RIGHT(INDIRECT(ADDRESS(ROW(A958)-1, 'From Order'!$A958)), 1), A957))"),"J")</f>
        <v>J</v>
      </c>
      <c r="B958" s="2" t="str">
        <f>IFERROR(__xludf.DUMMYFUNCTION("IF('From Order'!$A958=COLUMNS($A958:B977), LEFT(INDEX(FILTER(B$1:B957, B$1:B957&lt;&gt;""""),COUNTA(FILTER(B$1:B957, B$1:B957&lt;&gt;""""))), LEN(INDEX(FILTER(B$1:B957, B$1:B957&lt;&gt;""""),COUNTA(FILTER(B$1:B957, B$1:B957&lt;&gt;""""))))-1), IF('To Order'!$A958=COLUMNS($A958:B"&amp;"977), B957&amp;RIGHT(INDIRECT(ADDRESS(ROW(B958)-1, 'From Order'!$A958)), 1), B957))"),"JDT")</f>
        <v>JDT</v>
      </c>
      <c r="C958" s="2" t="str">
        <f>IFERROR(__xludf.DUMMYFUNCTION("IF('From Order'!$A958=COLUMNS($A958:C977), LEFT(INDEX(FILTER(C$1:C957, C$1:C957&lt;&gt;""""),COUNTA(FILTER(C$1:C957, C$1:C957&lt;&gt;""""))), LEN(INDEX(FILTER(C$1:C957, C$1:C957&lt;&gt;""""),COUNTA(FILTER(C$1:C957, C$1:C957&lt;&gt;""""))))-1), IF('To Order'!$A958=COLUMNS($A958:C"&amp;"977), C957&amp;RIGHT(INDIRECT(ADDRESS(ROW(C958)-1, 'From Order'!$A958)), 1), C957))"),"TRLR")</f>
        <v>TRLR</v>
      </c>
      <c r="D958" s="2" t="str">
        <f>IFERROR(__xludf.DUMMYFUNCTION("IF('From Order'!$A958=COLUMNS($A958:D977), LEFT(INDEX(FILTER(D$1:D957, D$1:D957&lt;&gt;""""),COUNTA(FILTER(D$1:D957, D$1:D957&lt;&gt;""""))), LEN(INDEX(FILTER(D$1:D957, D$1:D957&lt;&gt;""""),COUNTA(FILTER(D$1:D957, D$1:D957&lt;&gt;""""))))-1), IF('To Order'!$A958=COLUMNS($A958:D"&amp;"977), D957&amp;RIGHT(INDIRECT(ADDRESS(ROW(D958)-1, 'From Order'!$A958)), 1), D957))"),"")</f>
        <v/>
      </c>
      <c r="E958" s="2" t="str">
        <f>IFERROR(__xludf.DUMMYFUNCTION("IF('From Order'!$A958=COLUMNS($A958:E977), LEFT(INDEX(FILTER(E$1:E957, E$1:E957&lt;&gt;""""),COUNTA(FILTER(E$1:E957, E$1:E957&lt;&gt;""""))), LEN(INDEX(FILTER(E$1:E957, E$1:E957&lt;&gt;""""),COUNTA(FILTER(E$1:E957, E$1:E957&lt;&gt;""""))))-1), IF('To Order'!$A958=COLUMNS($A958:E"&amp;"977), E957&amp;RIGHT(INDIRECT(ADDRESS(ROW(E958)-1, 'From Order'!$A958)), 1), E957))"),"MGCDRZVCJVPP")</f>
        <v>MGCDRZVCJVPP</v>
      </c>
      <c r="F958" s="2" t="str">
        <f>IFERROR(__xludf.DUMMYFUNCTION("IF('From Order'!$A958=COLUMNS($A958:F977), LEFT(INDEX(FILTER(F$1:F957, F$1:F957&lt;&gt;""""),COUNTA(FILTER(F$1:F957, F$1:F957&lt;&gt;""""))), LEN(INDEX(FILTER(F$1:F957, F$1:F957&lt;&gt;""""),COUNTA(FILTER(F$1:F957, F$1:F957&lt;&gt;""""))))-1), IF('To Order'!$A958=COLUMNS($A958:F"&amp;"977), F957&amp;RIGHT(INDIRECT(ADDRESS(ROW(F958)-1, 'From Order'!$A958)), 1), F957))"),"FSLTTWRDTDBDBSBZHMFBRCT")</f>
        <v>FSLTTWRDTDBDBSBZHMFBRCT</v>
      </c>
      <c r="G958" s="2" t="str">
        <f>IFERROR(__xludf.DUMMYFUNCTION("IF('From Order'!$A958=COLUMNS($A958:G977), LEFT(INDEX(FILTER(G$1:G957, G$1:G957&lt;&gt;""""),COUNTA(FILTER(G$1:G957, G$1:G957&lt;&gt;""""))), LEN(INDEX(FILTER(G$1:G957, G$1:G957&lt;&gt;""""),COUNTA(FILTER(G$1:G957, G$1:G957&lt;&gt;""""))))-1), IF('To Order'!$A958=COLUMNS($A958:G"&amp;"977), G957&amp;RIGHT(INDIRECT(ADDRESS(ROW(G958)-1, 'From Order'!$A958)), 1), G957))"),"")</f>
        <v/>
      </c>
      <c r="H958" s="2" t="str">
        <f>IFERROR(__xludf.DUMMYFUNCTION("IF('From Order'!$A958=COLUMNS($A958:H977), LEFT(INDEX(FILTER(H$1:H957, H$1:H957&lt;&gt;""""),COUNTA(FILTER(H$1:H957, H$1:H957&lt;&gt;""""))), LEN(INDEX(FILTER(H$1:H957, H$1:H957&lt;&gt;""""),COUNTA(FILTER(H$1:H957, H$1:H957&lt;&gt;""""))))-1), IF('To Order'!$A958=COLUMNS($A958:H"&amp;"977), H957&amp;RIGHT(INDIRECT(ADDRESS(ROW(H958)-1, 'From Order'!$A958)), 1), H957))"),"PDSSGHWQVQ")</f>
        <v>PDSSGHWQVQ</v>
      </c>
      <c r="I958" s="2" t="str">
        <f>IFERROR(__xludf.DUMMYFUNCTION("IF('From Order'!$A958=COLUMNS($A958:I977), LEFT(INDEX(FILTER(I$1:I957, I$1:I957&lt;&gt;""""),COUNTA(FILTER(I$1:I957, I$1:I957&lt;&gt;""""))), LEN(INDEX(FILTER(I$1:I957, I$1:I957&lt;&gt;""""),COUNTA(FILTER(I$1:I957, I$1:I957&lt;&gt;""""))))-1), IF('To Order'!$A958=COLUMNS($A958:I"&amp;"977), I957&amp;RIGHT(INDIRECT(ADDRESS(ROW(I958)-1, 'From Order'!$A958)), 1), I957))"),"LZM")</f>
        <v>LZM</v>
      </c>
    </row>
    <row r="959">
      <c r="A959" s="2" t="str">
        <f>IFERROR(__xludf.DUMMYFUNCTION("IF('From Order'!$A959=COLUMNS($A959:A978), LEFT(INDEX(FILTER(A$1:A958, A$1:A958&lt;&gt;""""),COUNTA(FILTER(A$1:A958, A$1:A958&lt;&gt;""""))), LEN(INDEX(FILTER(A$1:A958, A$1:A958&lt;&gt;""""),COUNTA(FILTER(A$1:A958, A$1:A958&lt;&gt;""""))))-1), IF('To Order'!$A959=COLUMNS($A959:A"&amp;"978), A958&amp;RIGHT(INDIRECT(ADDRESS(ROW(A959)-1, 'From Order'!$A959)), 1), A958))"),"J")</f>
        <v>J</v>
      </c>
      <c r="B959" s="2" t="str">
        <f>IFERROR(__xludf.DUMMYFUNCTION("IF('From Order'!$A959=COLUMNS($A959:B978), LEFT(INDEX(FILTER(B$1:B958, B$1:B958&lt;&gt;""""),COUNTA(FILTER(B$1:B958, B$1:B958&lt;&gt;""""))), LEN(INDEX(FILTER(B$1:B958, B$1:B958&lt;&gt;""""),COUNTA(FILTER(B$1:B958, B$1:B958&lt;&gt;""""))))-1), IF('To Order'!$A959=COLUMNS($A959:B"&amp;"978), B958&amp;RIGHT(INDIRECT(ADDRESS(ROW(B959)-1, 'From Order'!$A959)), 1), B958))"),"JDT")</f>
        <v>JDT</v>
      </c>
      <c r="C959" s="2" t="str">
        <f>IFERROR(__xludf.DUMMYFUNCTION("IF('From Order'!$A959=COLUMNS($A959:C978), LEFT(INDEX(FILTER(C$1:C958, C$1:C958&lt;&gt;""""),COUNTA(FILTER(C$1:C958, C$1:C958&lt;&gt;""""))), LEN(INDEX(FILTER(C$1:C958, C$1:C958&lt;&gt;""""),COUNTA(FILTER(C$1:C958, C$1:C958&lt;&gt;""""))))-1), IF('To Order'!$A959=COLUMNS($A959:C"&amp;"978), C958&amp;RIGHT(INDIRECT(ADDRESS(ROW(C959)-1, 'From Order'!$A959)), 1), C958))"),"TRLR")</f>
        <v>TRLR</v>
      </c>
      <c r="D959" s="2" t="str">
        <f>IFERROR(__xludf.DUMMYFUNCTION("IF('From Order'!$A959=COLUMNS($A959:D978), LEFT(INDEX(FILTER(D$1:D958, D$1:D958&lt;&gt;""""),COUNTA(FILTER(D$1:D958, D$1:D958&lt;&gt;""""))), LEN(INDEX(FILTER(D$1:D958, D$1:D958&lt;&gt;""""),COUNTA(FILTER(D$1:D958, D$1:D958&lt;&gt;""""))))-1), IF('To Order'!$A959=COLUMNS($A959:D"&amp;"978), D958&amp;RIGHT(INDIRECT(ADDRESS(ROW(D959)-1, 'From Order'!$A959)), 1), D958))"),"")</f>
        <v/>
      </c>
      <c r="E959" s="2" t="str">
        <f>IFERROR(__xludf.DUMMYFUNCTION("IF('From Order'!$A959=COLUMNS($A959:E978), LEFT(INDEX(FILTER(E$1:E958, E$1:E958&lt;&gt;""""),COUNTA(FILTER(E$1:E958, E$1:E958&lt;&gt;""""))), LEN(INDEX(FILTER(E$1:E958, E$1:E958&lt;&gt;""""),COUNTA(FILTER(E$1:E958, E$1:E958&lt;&gt;""""))))-1), IF('To Order'!$A959=COLUMNS($A959:E"&amp;"978), E958&amp;RIGHT(INDIRECT(ADDRESS(ROW(E959)-1, 'From Order'!$A959)), 1), E958))"),"MGCDRZVCJVPP")</f>
        <v>MGCDRZVCJVPP</v>
      </c>
      <c r="F959" s="2" t="str">
        <f>IFERROR(__xludf.DUMMYFUNCTION("IF('From Order'!$A959=COLUMNS($A959:F978), LEFT(INDEX(FILTER(F$1:F958, F$1:F958&lt;&gt;""""),COUNTA(FILTER(F$1:F958, F$1:F958&lt;&gt;""""))), LEN(INDEX(FILTER(F$1:F958, F$1:F958&lt;&gt;""""),COUNTA(FILTER(F$1:F958, F$1:F958&lt;&gt;""""))))-1), IF('To Order'!$A959=COLUMNS($A959:F"&amp;"978), F958&amp;RIGHT(INDIRECT(ADDRESS(ROW(F959)-1, 'From Order'!$A959)), 1), F958))"),"FSLTTWRDTDBDBSBZHMFBRC")</f>
        <v>FSLTTWRDTDBDBSBZHMFBRC</v>
      </c>
      <c r="G959" s="2" t="str">
        <f>IFERROR(__xludf.DUMMYFUNCTION("IF('From Order'!$A959=COLUMNS($A959:G978), LEFT(INDEX(FILTER(G$1:G958, G$1:G958&lt;&gt;""""),COUNTA(FILTER(G$1:G958, G$1:G958&lt;&gt;""""))), LEN(INDEX(FILTER(G$1:G958, G$1:G958&lt;&gt;""""),COUNTA(FILTER(G$1:G958, G$1:G958&lt;&gt;""""))))-1), IF('To Order'!$A959=COLUMNS($A959:G"&amp;"978), G958&amp;RIGHT(INDIRECT(ADDRESS(ROW(G959)-1, 'From Order'!$A959)), 1), G958))"),"")</f>
        <v/>
      </c>
      <c r="H959" s="2" t="str">
        <f>IFERROR(__xludf.DUMMYFUNCTION("IF('From Order'!$A959=COLUMNS($A959:H978), LEFT(INDEX(FILTER(H$1:H958, H$1:H958&lt;&gt;""""),COUNTA(FILTER(H$1:H958, H$1:H958&lt;&gt;""""))), LEN(INDEX(FILTER(H$1:H958, H$1:H958&lt;&gt;""""),COUNTA(FILTER(H$1:H958, H$1:H958&lt;&gt;""""))))-1), IF('To Order'!$A959=COLUMNS($A959:H"&amp;"978), H958&amp;RIGHT(INDIRECT(ADDRESS(ROW(H959)-1, 'From Order'!$A959)), 1), H958))"),"PDSSGHWQVQ")</f>
        <v>PDSSGHWQVQ</v>
      </c>
      <c r="I959" s="2" t="str">
        <f>IFERROR(__xludf.DUMMYFUNCTION("IF('From Order'!$A959=COLUMNS($A959:I978), LEFT(INDEX(FILTER(I$1:I958, I$1:I958&lt;&gt;""""),COUNTA(FILTER(I$1:I958, I$1:I958&lt;&gt;""""))), LEN(INDEX(FILTER(I$1:I958, I$1:I958&lt;&gt;""""),COUNTA(FILTER(I$1:I958, I$1:I958&lt;&gt;""""))))-1), IF('To Order'!$A959=COLUMNS($A959:I"&amp;"978), I958&amp;RIGHT(INDIRECT(ADDRESS(ROW(I959)-1, 'From Order'!$A959)), 1), I958))"),"LZMT")</f>
        <v>LZMT</v>
      </c>
    </row>
    <row r="960">
      <c r="A960" s="2" t="str">
        <f>IFERROR(__xludf.DUMMYFUNCTION("IF('From Order'!$A960=COLUMNS($A960:A979), LEFT(INDEX(FILTER(A$1:A959, A$1:A959&lt;&gt;""""),COUNTA(FILTER(A$1:A959, A$1:A959&lt;&gt;""""))), LEN(INDEX(FILTER(A$1:A959, A$1:A959&lt;&gt;""""),COUNTA(FILTER(A$1:A959, A$1:A959&lt;&gt;""""))))-1), IF('To Order'!$A960=COLUMNS($A960:A"&amp;"979), A959&amp;RIGHT(INDIRECT(ADDRESS(ROW(A960)-1, 'From Order'!$A960)), 1), A959))"),"J")</f>
        <v>J</v>
      </c>
      <c r="B960" s="2" t="str">
        <f>IFERROR(__xludf.DUMMYFUNCTION("IF('From Order'!$A960=COLUMNS($A960:B979), LEFT(INDEX(FILTER(B$1:B959, B$1:B959&lt;&gt;""""),COUNTA(FILTER(B$1:B959, B$1:B959&lt;&gt;""""))), LEN(INDEX(FILTER(B$1:B959, B$1:B959&lt;&gt;""""),COUNTA(FILTER(B$1:B959, B$1:B959&lt;&gt;""""))))-1), IF('To Order'!$A960=COLUMNS($A960:B"&amp;"979), B959&amp;RIGHT(INDIRECT(ADDRESS(ROW(B960)-1, 'From Order'!$A960)), 1), B959))"),"JDT")</f>
        <v>JDT</v>
      </c>
      <c r="C960" s="2" t="str">
        <f>IFERROR(__xludf.DUMMYFUNCTION("IF('From Order'!$A960=COLUMNS($A960:C979), LEFT(INDEX(FILTER(C$1:C959, C$1:C959&lt;&gt;""""),COUNTA(FILTER(C$1:C959, C$1:C959&lt;&gt;""""))), LEN(INDEX(FILTER(C$1:C959, C$1:C959&lt;&gt;""""),COUNTA(FILTER(C$1:C959, C$1:C959&lt;&gt;""""))))-1), IF('To Order'!$A960=COLUMNS($A960:C"&amp;"979), C959&amp;RIGHT(INDIRECT(ADDRESS(ROW(C960)-1, 'From Order'!$A960)), 1), C959))"),"TRLR")</f>
        <v>TRLR</v>
      </c>
      <c r="D960" s="2" t="str">
        <f>IFERROR(__xludf.DUMMYFUNCTION("IF('From Order'!$A960=COLUMNS($A960:D979), LEFT(INDEX(FILTER(D$1:D959, D$1:D959&lt;&gt;""""),COUNTA(FILTER(D$1:D959, D$1:D959&lt;&gt;""""))), LEN(INDEX(FILTER(D$1:D959, D$1:D959&lt;&gt;""""),COUNTA(FILTER(D$1:D959, D$1:D959&lt;&gt;""""))))-1), IF('To Order'!$A960=COLUMNS($A960:D"&amp;"979), D959&amp;RIGHT(INDIRECT(ADDRESS(ROW(D960)-1, 'From Order'!$A960)), 1), D959))"),"")</f>
        <v/>
      </c>
      <c r="E960" s="2" t="str">
        <f>IFERROR(__xludf.DUMMYFUNCTION("IF('From Order'!$A960=COLUMNS($A960:E979), LEFT(INDEX(FILTER(E$1:E959, E$1:E959&lt;&gt;""""),COUNTA(FILTER(E$1:E959, E$1:E959&lt;&gt;""""))), LEN(INDEX(FILTER(E$1:E959, E$1:E959&lt;&gt;""""),COUNTA(FILTER(E$1:E959, E$1:E959&lt;&gt;""""))))-1), IF('To Order'!$A960=COLUMNS($A960:E"&amp;"979), E959&amp;RIGHT(INDIRECT(ADDRESS(ROW(E960)-1, 'From Order'!$A960)), 1), E959))"),"MGCDRZVCJVPP")</f>
        <v>MGCDRZVCJVPP</v>
      </c>
      <c r="F960" s="2" t="str">
        <f>IFERROR(__xludf.DUMMYFUNCTION("IF('From Order'!$A960=COLUMNS($A960:F979), LEFT(INDEX(FILTER(F$1:F959, F$1:F959&lt;&gt;""""),COUNTA(FILTER(F$1:F959, F$1:F959&lt;&gt;""""))), LEN(INDEX(FILTER(F$1:F959, F$1:F959&lt;&gt;""""),COUNTA(FILTER(F$1:F959, F$1:F959&lt;&gt;""""))))-1), IF('To Order'!$A960=COLUMNS($A960:F"&amp;"979), F959&amp;RIGHT(INDIRECT(ADDRESS(ROW(F960)-1, 'From Order'!$A960)), 1), F959))"),"FSLTTWRDTDBDBSBZHMFBR")</f>
        <v>FSLTTWRDTDBDBSBZHMFBR</v>
      </c>
      <c r="G960" s="2" t="str">
        <f>IFERROR(__xludf.DUMMYFUNCTION("IF('From Order'!$A960=COLUMNS($A960:G979), LEFT(INDEX(FILTER(G$1:G959, G$1:G959&lt;&gt;""""),COUNTA(FILTER(G$1:G959, G$1:G959&lt;&gt;""""))), LEN(INDEX(FILTER(G$1:G959, G$1:G959&lt;&gt;""""),COUNTA(FILTER(G$1:G959, G$1:G959&lt;&gt;""""))))-1), IF('To Order'!$A960=COLUMNS($A960:G"&amp;"979), G959&amp;RIGHT(INDIRECT(ADDRESS(ROW(G960)-1, 'From Order'!$A960)), 1), G959))"),"")</f>
        <v/>
      </c>
      <c r="H960" s="2" t="str">
        <f>IFERROR(__xludf.DUMMYFUNCTION("IF('From Order'!$A960=COLUMNS($A960:H979), LEFT(INDEX(FILTER(H$1:H959, H$1:H959&lt;&gt;""""),COUNTA(FILTER(H$1:H959, H$1:H959&lt;&gt;""""))), LEN(INDEX(FILTER(H$1:H959, H$1:H959&lt;&gt;""""),COUNTA(FILTER(H$1:H959, H$1:H959&lt;&gt;""""))))-1), IF('To Order'!$A960=COLUMNS($A960:H"&amp;"979), H959&amp;RIGHT(INDIRECT(ADDRESS(ROW(H960)-1, 'From Order'!$A960)), 1), H959))"),"PDSSGHWQVQ")</f>
        <v>PDSSGHWQVQ</v>
      </c>
      <c r="I960" s="2" t="str">
        <f>IFERROR(__xludf.DUMMYFUNCTION("IF('From Order'!$A960=COLUMNS($A960:I979), LEFT(INDEX(FILTER(I$1:I959, I$1:I959&lt;&gt;""""),COUNTA(FILTER(I$1:I959, I$1:I959&lt;&gt;""""))), LEN(INDEX(FILTER(I$1:I959, I$1:I959&lt;&gt;""""),COUNTA(FILTER(I$1:I959, I$1:I959&lt;&gt;""""))))-1), IF('To Order'!$A960=COLUMNS($A960:I"&amp;"979), I959&amp;RIGHT(INDIRECT(ADDRESS(ROW(I960)-1, 'From Order'!$A960)), 1), I959))"),"LZMTC")</f>
        <v>LZMTC</v>
      </c>
    </row>
    <row r="961">
      <c r="A961" s="2" t="str">
        <f>IFERROR(__xludf.DUMMYFUNCTION("IF('From Order'!$A961=COLUMNS($A961:A980), LEFT(INDEX(FILTER(A$1:A960, A$1:A960&lt;&gt;""""),COUNTA(FILTER(A$1:A960, A$1:A960&lt;&gt;""""))), LEN(INDEX(FILTER(A$1:A960, A$1:A960&lt;&gt;""""),COUNTA(FILTER(A$1:A960, A$1:A960&lt;&gt;""""))))-1), IF('To Order'!$A961=COLUMNS($A961:A"&amp;"980), A960&amp;RIGHT(INDIRECT(ADDRESS(ROW(A961)-1, 'From Order'!$A961)), 1), A960))"),"J")</f>
        <v>J</v>
      </c>
      <c r="B961" s="2" t="str">
        <f>IFERROR(__xludf.DUMMYFUNCTION("IF('From Order'!$A961=COLUMNS($A961:B980), LEFT(INDEX(FILTER(B$1:B960, B$1:B960&lt;&gt;""""),COUNTA(FILTER(B$1:B960, B$1:B960&lt;&gt;""""))), LEN(INDEX(FILTER(B$1:B960, B$1:B960&lt;&gt;""""),COUNTA(FILTER(B$1:B960, B$1:B960&lt;&gt;""""))))-1), IF('To Order'!$A961=COLUMNS($A961:B"&amp;"980), B960&amp;RIGHT(INDIRECT(ADDRESS(ROW(B961)-1, 'From Order'!$A961)), 1), B960))"),"JDT")</f>
        <v>JDT</v>
      </c>
      <c r="C961" s="2" t="str">
        <f>IFERROR(__xludf.DUMMYFUNCTION("IF('From Order'!$A961=COLUMNS($A961:C980), LEFT(INDEX(FILTER(C$1:C960, C$1:C960&lt;&gt;""""),COUNTA(FILTER(C$1:C960, C$1:C960&lt;&gt;""""))), LEN(INDEX(FILTER(C$1:C960, C$1:C960&lt;&gt;""""),COUNTA(FILTER(C$1:C960, C$1:C960&lt;&gt;""""))))-1), IF('To Order'!$A961=COLUMNS($A961:C"&amp;"980), C960&amp;RIGHT(INDIRECT(ADDRESS(ROW(C961)-1, 'From Order'!$A961)), 1), C960))"),"TRLR")</f>
        <v>TRLR</v>
      </c>
      <c r="D961" s="2" t="str">
        <f>IFERROR(__xludf.DUMMYFUNCTION("IF('From Order'!$A961=COLUMNS($A961:D980), LEFT(INDEX(FILTER(D$1:D960, D$1:D960&lt;&gt;""""),COUNTA(FILTER(D$1:D960, D$1:D960&lt;&gt;""""))), LEN(INDEX(FILTER(D$1:D960, D$1:D960&lt;&gt;""""),COUNTA(FILTER(D$1:D960, D$1:D960&lt;&gt;""""))))-1), IF('To Order'!$A961=COLUMNS($A961:D"&amp;"980), D960&amp;RIGHT(INDIRECT(ADDRESS(ROW(D961)-1, 'From Order'!$A961)), 1), D960))"),"")</f>
        <v/>
      </c>
      <c r="E961" s="2" t="str">
        <f>IFERROR(__xludf.DUMMYFUNCTION("IF('From Order'!$A961=COLUMNS($A961:E980), LEFT(INDEX(FILTER(E$1:E960, E$1:E960&lt;&gt;""""),COUNTA(FILTER(E$1:E960, E$1:E960&lt;&gt;""""))), LEN(INDEX(FILTER(E$1:E960, E$1:E960&lt;&gt;""""),COUNTA(FILTER(E$1:E960, E$1:E960&lt;&gt;""""))))-1), IF('To Order'!$A961=COLUMNS($A961:E"&amp;"980), E960&amp;RIGHT(INDIRECT(ADDRESS(ROW(E961)-1, 'From Order'!$A961)), 1), E960))"),"MGCDRZVCJVPP")</f>
        <v>MGCDRZVCJVPP</v>
      </c>
      <c r="F961" s="2" t="str">
        <f>IFERROR(__xludf.DUMMYFUNCTION("IF('From Order'!$A961=COLUMNS($A961:F980), LEFT(INDEX(FILTER(F$1:F960, F$1:F960&lt;&gt;""""),COUNTA(FILTER(F$1:F960, F$1:F960&lt;&gt;""""))), LEN(INDEX(FILTER(F$1:F960, F$1:F960&lt;&gt;""""),COUNTA(FILTER(F$1:F960, F$1:F960&lt;&gt;""""))))-1), IF('To Order'!$A961=COLUMNS($A961:F"&amp;"980), F960&amp;RIGHT(INDIRECT(ADDRESS(ROW(F961)-1, 'From Order'!$A961)), 1), F960))"),"FSLTTWRDTDBDBSBZHMFB")</f>
        <v>FSLTTWRDTDBDBSBZHMFB</v>
      </c>
      <c r="G961" s="2" t="str">
        <f>IFERROR(__xludf.DUMMYFUNCTION("IF('From Order'!$A961=COLUMNS($A961:G980), LEFT(INDEX(FILTER(G$1:G960, G$1:G960&lt;&gt;""""),COUNTA(FILTER(G$1:G960, G$1:G960&lt;&gt;""""))), LEN(INDEX(FILTER(G$1:G960, G$1:G960&lt;&gt;""""),COUNTA(FILTER(G$1:G960, G$1:G960&lt;&gt;""""))))-1), IF('To Order'!$A961=COLUMNS($A961:G"&amp;"980), G960&amp;RIGHT(INDIRECT(ADDRESS(ROW(G961)-1, 'From Order'!$A961)), 1), G960))"),"")</f>
        <v/>
      </c>
      <c r="H961" s="2" t="str">
        <f>IFERROR(__xludf.DUMMYFUNCTION("IF('From Order'!$A961=COLUMNS($A961:H980), LEFT(INDEX(FILTER(H$1:H960, H$1:H960&lt;&gt;""""),COUNTA(FILTER(H$1:H960, H$1:H960&lt;&gt;""""))), LEN(INDEX(FILTER(H$1:H960, H$1:H960&lt;&gt;""""),COUNTA(FILTER(H$1:H960, H$1:H960&lt;&gt;""""))))-1), IF('To Order'!$A961=COLUMNS($A961:H"&amp;"980), H960&amp;RIGHT(INDIRECT(ADDRESS(ROW(H961)-1, 'From Order'!$A961)), 1), H960))"),"PDSSGHWQVQ")</f>
        <v>PDSSGHWQVQ</v>
      </c>
      <c r="I961" s="2" t="str">
        <f>IFERROR(__xludf.DUMMYFUNCTION("IF('From Order'!$A961=COLUMNS($A961:I980), LEFT(INDEX(FILTER(I$1:I960, I$1:I960&lt;&gt;""""),COUNTA(FILTER(I$1:I960, I$1:I960&lt;&gt;""""))), LEN(INDEX(FILTER(I$1:I960, I$1:I960&lt;&gt;""""),COUNTA(FILTER(I$1:I960, I$1:I960&lt;&gt;""""))))-1), IF('To Order'!$A961=COLUMNS($A961:I"&amp;"980), I960&amp;RIGHT(INDIRECT(ADDRESS(ROW(I961)-1, 'From Order'!$A961)), 1), I960))"),"LZMTCR")</f>
        <v>LZMTCR</v>
      </c>
    </row>
    <row r="962">
      <c r="A962" s="2" t="str">
        <f>IFERROR(__xludf.DUMMYFUNCTION("IF('From Order'!$A962=COLUMNS($A962:A981), LEFT(INDEX(FILTER(A$1:A961, A$1:A961&lt;&gt;""""),COUNTA(FILTER(A$1:A961, A$1:A961&lt;&gt;""""))), LEN(INDEX(FILTER(A$1:A961, A$1:A961&lt;&gt;""""),COUNTA(FILTER(A$1:A961, A$1:A961&lt;&gt;""""))))-1), IF('To Order'!$A962=COLUMNS($A962:A"&amp;"981), A961&amp;RIGHT(INDIRECT(ADDRESS(ROW(A962)-1, 'From Order'!$A962)), 1), A961))"),"J")</f>
        <v>J</v>
      </c>
      <c r="B962" s="2" t="str">
        <f>IFERROR(__xludf.DUMMYFUNCTION("IF('From Order'!$A962=COLUMNS($A962:B981), LEFT(INDEX(FILTER(B$1:B961, B$1:B961&lt;&gt;""""),COUNTA(FILTER(B$1:B961, B$1:B961&lt;&gt;""""))), LEN(INDEX(FILTER(B$1:B961, B$1:B961&lt;&gt;""""),COUNTA(FILTER(B$1:B961, B$1:B961&lt;&gt;""""))))-1), IF('To Order'!$A962=COLUMNS($A962:B"&amp;"981), B961&amp;RIGHT(INDIRECT(ADDRESS(ROW(B962)-1, 'From Order'!$A962)), 1), B961))"),"JDTB")</f>
        <v>JDTB</v>
      </c>
      <c r="C962" s="2" t="str">
        <f>IFERROR(__xludf.DUMMYFUNCTION("IF('From Order'!$A962=COLUMNS($A962:C981), LEFT(INDEX(FILTER(C$1:C961, C$1:C961&lt;&gt;""""),COUNTA(FILTER(C$1:C961, C$1:C961&lt;&gt;""""))), LEN(INDEX(FILTER(C$1:C961, C$1:C961&lt;&gt;""""),COUNTA(FILTER(C$1:C961, C$1:C961&lt;&gt;""""))))-1), IF('To Order'!$A962=COLUMNS($A962:C"&amp;"981), C961&amp;RIGHT(INDIRECT(ADDRESS(ROW(C962)-1, 'From Order'!$A962)), 1), C961))"),"TRLR")</f>
        <v>TRLR</v>
      </c>
      <c r="D962" s="2" t="str">
        <f>IFERROR(__xludf.DUMMYFUNCTION("IF('From Order'!$A962=COLUMNS($A962:D981), LEFT(INDEX(FILTER(D$1:D961, D$1:D961&lt;&gt;""""),COUNTA(FILTER(D$1:D961, D$1:D961&lt;&gt;""""))), LEN(INDEX(FILTER(D$1:D961, D$1:D961&lt;&gt;""""),COUNTA(FILTER(D$1:D961, D$1:D961&lt;&gt;""""))))-1), IF('To Order'!$A962=COLUMNS($A962:D"&amp;"981), D961&amp;RIGHT(INDIRECT(ADDRESS(ROW(D962)-1, 'From Order'!$A962)), 1), D961))"),"")</f>
        <v/>
      </c>
      <c r="E962" s="2" t="str">
        <f>IFERROR(__xludf.DUMMYFUNCTION("IF('From Order'!$A962=COLUMNS($A962:E981), LEFT(INDEX(FILTER(E$1:E961, E$1:E961&lt;&gt;""""),COUNTA(FILTER(E$1:E961, E$1:E961&lt;&gt;""""))), LEN(INDEX(FILTER(E$1:E961, E$1:E961&lt;&gt;""""),COUNTA(FILTER(E$1:E961, E$1:E961&lt;&gt;""""))))-1), IF('To Order'!$A962=COLUMNS($A962:E"&amp;"981), E961&amp;RIGHT(INDIRECT(ADDRESS(ROW(E962)-1, 'From Order'!$A962)), 1), E961))"),"MGCDRZVCJVPP")</f>
        <v>MGCDRZVCJVPP</v>
      </c>
      <c r="F962" s="2" t="str">
        <f>IFERROR(__xludf.DUMMYFUNCTION("IF('From Order'!$A962=COLUMNS($A962:F981), LEFT(INDEX(FILTER(F$1:F961, F$1:F961&lt;&gt;""""),COUNTA(FILTER(F$1:F961, F$1:F961&lt;&gt;""""))), LEN(INDEX(FILTER(F$1:F961, F$1:F961&lt;&gt;""""),COUNTA(FILTER(F$1:F961, F$1:F961&lt;&gt;""""))))-1), IF('To Order'!$A962=COLUMNS($A962:F"&amp;"981), F961&amp;RIGHT(INDIRECT(ADDRESS(ROW(F962)-1, 'From Order'!$A962)), 1), F961))"),"FSLTTWRDTDBDBSBZHMF")</f>
        <v>FSLTTWRDTDBDBSBZHMF</v>
      </c>
      <c r="G962" s="2" t="str">
        <f>IFERROR(__xludf.DUMMYFUNCTION("IF('From Order'!$A962=COLUMNS($A962:G981), LEFT(INDEX(FILTER(G$1:G961, G$1:G961&lt;&gt;""""),COUNTA(FILTER(G$1:G961, G$1:G961&lt;&gt;""""))), LEN(INDEX(FILTER(G$1:G961, G$1:G961&lt;&gt;""""),COUNTA(FILTER(G$1:G961, G$1:G961&lt;&gt;""""))))-1), IF('To Order'!$A962=COLUMNS($A962:G"&amp;"981), G961&amp;RIGHT(INDIRECT(ADDRESS(ROW(G962)-1, 'From Order'!$A962)), 1), G961))"),"")</f>
        <v/>
      </c>
      <c r="H962" s="2" t="str">
        <f>IFERROR(__xludf.DUMMYFUNCTION("IF('From Order'!$A962=COLUMNS($A962:H981), LEFT(INDEX(FILTER(H$1:H961, H$1:H961&lt;&gt;""""),COUNTA(FILTER(H$1:H961, H$1:H961&lt;&gt;""""))), LEN(INDEX(FILTER(H$1:H961, H$1:H961&lt;&gt;""""),COUNTA(FILTER(H$1:H961, H$1:H961&lt;&gt;""""))))-1), IF('To Order'!$A962=COLUMNS($A962:H"&amp;"981), H961&amp;RIGHT(INDIRECT(ADDRESS(ROW(H962)-1, 'From Order'!$A962)), 1), H961))"),"PDSSGHWQVQ")</f>
        <v>PDSSGHWQVQ</v>
      </c>
      <c r="I962" s="2" t="str">
        <f>IFERROR(__xludf.DUMMYFUNCTION("IF('From Order'!$A962=COLUMNS($A962:I981), LEFT(INDEX(FILTER(I$1:I961, I$1:I961&lt;&gt;""""),COUNTA(FILTER(I$1:I961, I$1:I961&lt;&gt;""""))), LEN(INDEX(FILTER(I$1:I961, I$1:I961&lt;&gt;""""),COUNTA(FILTER(I$1:I961, I$1:I961&lt;&gt;""""))))-1), IF('To Order'!$A962=COLUMNS($A962:I"&amp;"981), I961&amp;RIGHT(INDIRECT(ADDRESS(ROW(I962)-1, 'From Order'!$A962)), 1), I961))"),"LZMTCR")</f>
        <v>LZMTCR</v>
      </c>
    </row>
    <row r="963">
      <c r="A963" s="2" t="str">
        <f>IFERROR(__xludf.DUMMYFUNCTION("IF('From Order'!$A963=COLUMNS($A963:A982), LEFT(INDEX(FILTER(A$1:A962, A$1:A962&lt;&gt;""""),COUNTA(FILTER(A$1:A962, A$1:A962&lt;&gt;""""))), LEN(INDEX(FILTER(A$1:A962, A$1:A962&lt;&gt;""""),COUNTA(FILTER(A$1:A962, A$1:A962&lt;&gt;""""))))-1), IF('To Order'!$A963=COLUMNS($A963:A"&amp;"982), A962&amp;RIGHT(INDIRECT(ADDRESS(ROW(A963)-1, 'From Order'!$A963)), 1), A962))"),"J")</f>
        <v>J</v>
      </c>
      <c r="B963" s="2" t="str">
        <f>IFERROR(__xludf.DUMMYFUNCTION("IF('From Order'!$A963=COLUMNS($A963:B982), LEFT(INDEX(FILTER(B$1:B962, B$1:B962&lt;&gt;""""),COUNTA(FILTER(B$1:B962, B$1:B962&lt;&gt;""""))), LEN(INDEX(FILTER(B$1:B962, B$1:B962&lt;&gt;""""),COUNTA(FILTER(B$1:B962, B$1:B962&lt;&gt;""""))))-1), IF('To Order'!$A963=COLUMNS($A963:B"&amp;"982), B962&amp;RIGHT(INDIRECT(ADDRESS(ROW(B963)-1, 'From Order'!$A963)), 1), B962))"),"JDTBF")</f>
        <v>JDTBF</v>
      </c>
      <c r="C963" s="2" t="str">
        <f>IFERROR(__xludf.DUMMYFUNCTION("IF('From Order'!$A963=COLUMNS($A963:C982), LEFT(INDEX(FILTER(C$1:C962, C$1:C962&lt;&gt;""""),COUNTA(FILTER(C$1:C962, C$1:C962&lt;&gt;""""))), LEN(INDEX(FILTER(C$1:C962, C$1:C962&lt;&gt;""""),COUNTA(FILTER(C$1:C962, C$1:C962&lt;&gt;""""))))-1), IF('To Order'!$A963=COLUMNS($A963:C"&amp;"982), C962&amp;RIGHT(INDIRECT(ADDRESS(ROW(C963)-1, 'From Order'!$A963)), 1), C962))"),"TRLR")</f>
        <v>TRLR</v>
      </c>
      <c r="D963" s="2" t="str">
        <f>IFERROR(__xludf.DUMMYFUNCTION("IF('From Order'!$A963=COLUMNS($A963:D982), LEFT(INDEX(FILTER(D$1:D962, D$1:D962&lt;&gt;""""),COUNTA(FILTER(D$1:D962, D$1:D962&lt;&gt;""""))), LEN(INDEX(FILTER(D$1:D962, D$1:D962&lt;&gt;""""),COUNTA(FILTER(D$1:D962, D$1:D962&lt;&gt;""""))))-1), IF('To Order'!$A963=COLUMNS($A963:D"&amp;"982), D962&amp;RIGHT(INDIRECT(ADDRESS(ROW(D963)-1, 'From Order'!$A963)), 1), D962))"),"")</f>
        <v/>
      </c>
      <c r="E963" s="2" t="str">
        <f>IFERROR(__xludf.DUMMYFUNCTION("IF('From Order'!$A963=COLUMNS($A963:E982), LEFT(INDEX(FILTER(E$1:E962, E$1:E962&lt;&gt;""""),COUNTA(FILTER(E$1:E962, E$1:E962&lt;&gt;""""))), LEN(INDEX(FILTER(E$1:E962, E$1:E962&lt;&gt;""""),COUNTA(FILTER(E$1:E962, E$1:E962&lt;&gt;""""))))-1), IF('To Order'!$A963=COLUMNS($A963:E"&amp;"982), E962&amp;RIGHT(INDIRECT(ADDRESS(ROW(E963)-1, 'From Order'!$A963)), 1), E962))"),"MGCDRZVCJVPP")</f>
        <v>MGCDRZVCJVPP</v>
      </c>
      <c r="F963" s="2" t="str">
        <f>IFERROR(__xludf.DUMMYFUNCTION("IF('From Order'!$A963=COLUMNS($A963:F982), LEFT(INDEX(FILTER(F$1:F962, F$1:F962&lt;&gt;""""),COUNTA(FILTER(F$1:F962, F$1:F962&lt;&gt;""""))), LEN(INDEX(FILTER(F$1:F962, F$1:F962&lt;&gt;""""),COUNTA(FILTER(F$1:F962, F$1:F962&lt;&gt;""""))))-1), IF('To Order'!$A963=COLUMNS($A963:F"&amp;"982), F962&amp;RIGHT(INDIRECT(ADDRESS(ROW(F963)-1, 'From Order'!$A963)), 1), F962))"),"FSLTTWRDTDBDBSBZHM")</f>
        <v>FSLTTWRDTDBDBSBZHM</v>
      </c>
      <c r="G963" s="2" t="str">
        <f>IFERROR(__xludf.DUMMYFUNCTION("IF('From Order'!$A963=COLUMNS($A963:G982), LEFT(INDEX(FILTER(G$1:G962, G$1:G962&lt;&gt;""""),COUNTA(FILTER(G$1:G962, G$1:G962&lt;&gt;""""))), LEN(INDEX(FILTER(G$1:G962, G$1:G962&lt;&gt;""""),COUNTA(FILTER(G$1:G962, G$1:G962&lt;&gt;""""))))-1), IF('To Order'!$A963=COLUMNS($A963:G"&amp;"982), G962&amp;RIGHT(INDIRECT(ADDRESS(ROW(G963)-1, 'From Order'!$A963)), 1), G962))"),"")</f>
        <v/>
      </c>
      <c r="H963" s="2" t="str">
        <f>IFERROR(__xludf.DUMMYFUNCTION("IF('From Order'!$A963=COLUMNS($A963:H982), LEFT(INDEX(FILTER(H$1:H962, H$1:H962&lt;&gt;""""),COUNTA(FILTER(H$1:H962, H$1:H962&lt;&gt;""""))), LEN(INDEX(FILTER(H$1:H962, H$1:H962&lt;&gt;""""),COUNTA(FILTER(H$1:H962, H$1:H962&lt;&gt;""""))))-1), IF('To Order'!$A963=COLUMNS($A963:H"&amp;"982), H962&amp;RIGHT(INDIRECT(ADDRESS(ROW(H963)-1, 'From Order'!$A963)), 1), H962))"),"PDSSGHWQVQ")</f>
        <v>PDSSGHWQVQ</v>
      </c>
      <c r="I963" s="2" t="str">
        <f>IFERROR(__xludf.DUMMYFUNCTION("IF('From Order'!$A963=COLUMNS($A963:I982), LEFT(INDEX(FILTER(I$1:I962, I$1:I962&lt;&gt;""""),COUNTA(FILTER(I$1:I962, I$1:I962&lt;&gt;""""))), LEN(INDEX(FILTER(I$1:I962, I$1:I962&lt;&gt;""""),COUNTA(FILTER(I$1:I962, I$1:I962&lt;&gt;""""))))-1), IF('To Order'!$A963=COLUMNS($A963:I"&amp;"982), I962&amp;RIGHT(INDIRECT(ADDRESS(ROW(I963)-1, 'From Order'!$A963)), 1), I962))"),"LZMTCR")</f>
        <v>LZMTCR</v>
      </c>
    </row>
    <row r="964">
      <c r="A964" s="2" t="str">
        <f>IFERROR(__xludf.DUMMYFUNCTION("IF('From Order'!$A964=COLUMNS($A964:A983), LEFT(INDEX(FILTER(A$1:A963, A$1:A963&lt;&gt;""""),COUNTA(FILTER(A$1:A963, A$1:A963&lt;&gt;""""))), LEN(INDEX(FILTER(A$1:A963, A$1:A963&lt;&gt;""""),COUNTA(FILTER(A$1:A963, A$1:A963&lt;&gt;""""))))-1), IF('To Order'!$A964=COLUMNS($A964:A"&amp;"983), A963&amp;RIGHT(INDIRECT(ADDRESS(ROW(A964)-1, 'From Order'!$A964)), 1), A963))"),"J")</f>
        <v>J</v>
      </c>
      <c r="B964" s="2" t="str">
        <f>IFERROR(__xludf.DUMMYFUNCTION("IF('From Order'!$A964=COLUMNS($A964:B983), LEFT(INDEX(FILTER(B$1:B963, B$1:B963&lt;&gt;""""),COUNTA(FILTER(B$1:B963, B$1:B963&lt;&gt;""""))), LEN(INDEX(FILTER(B$1:B963, B$1:B963&lt;&gt;""""),COUNTA(FILTER(B$1:B963, B$1:B963&lt;&gt;""""))))-1), IF('To Order'!$A964=COLUMNS($A964:B"&amp;"983), B963&amp;RIGHT(INDIRECT(ADDRESS(ROW(B964)-1, 'From Order'!$A964)), 1), B963))"),"JDTBFM")</f>
        <v>JDTBFM</v>
      </c>
      <c r="C964" s="2" t="str">
        <f>IFERROR(__xludf.DUMMYFUNCTION("IF('From Order'!$A964=COLUMNS($A964:C983), LEFT(INDEX(FILTER(C$1:C963, C$1:C963&lt;&gt;""""),COUNTA(FILTER(C$1:C963, C$1:C963&lt;&gt;""""))), LEN(INDEX(FILTER(C$1:C963, C$1:C963&lt;&gt;""""),COUNTA(FILTER(C$1:C963, C$1:C963&lt;&gt;""""))))-1), IF('To Order'!$A964=COLUMNS($A964:C"&amp;"983), C963&amp;RIGHT(INDIRECT(ADDRESS(ROW(C964)-1, 'From Order'!$A964)), 1), C963))"),"TRLR")</f>
        <v>TRLR</v>
      </c>
      <c r="D964" s="2" t="str">
        <f>IFERROR(__xludf.DUMMYFUNCTION("IF('From Order'!$A964=COLUMNS($A964:D983), LEFT(INDEX(FILTER(D$1:D963, D$1:D963&lt;&gt;""""),COUNTA(FILTER(D$1:D963, D$1:D963&lt;&gt;""""))), LEN(INDEX(FILTER(D$1:D963, D$1:D963&lt;&gt;""""),COUNTA(FILTER(D$1:D963, D$1:D963&lt;&gt;""""))))-1), IF('To Order'!$A964=COLUMNS($A964:D"&amp;"983), D963&amp;RIGHT(INDIRECT(ADDRESS(ROW(D964)-1, 'From Order'!$A964)), 1), D963))"),"")</f>
        <v/>
      </c>
      <c r="E964" s="2" t="str">
        <f>IFERROR(__xludf.DUMMYFUNCTION("IF('From Order'!$A964=COLUMNS($A964:E983), LEFT(INDEX(FILTER(E$1:E963, E$1:E963&lt;&gt;""""),COUNTA(FILTER(E$1:E963, E$1:E963&lt;&gt;""""))), LEN(INDEX(FILTER(E$1:E963, E$1:E963&lt;&gt;""""),COUNTA(FILTER(E$1:E963, E$1:E963&lt;&gt;""""))))-1), IF('To Order'!$A964=COLUMNS($A964:E"&amp;"983), E963&amp;RIGHT(INDIRECT(ADDRESS(ROW(E964)-1, 'From Order'!$A964)), 1), E963))"),"MGCDRZVCJVPP")</f>
        <v>MGCDRZVCJVPP</v>
      </c>
      <c r="F964" s="2" t="str">
        <f>IFERROR(__xludf.DUMMYFUNCTION("IF('From Order'!$A964=COLUMNS($A964:F983), LEFT(INDEX(FILTER(F$1:F963, F$1:F963&lt;&gt;""""),COUNTA(FILTER(F$1:F963, F$1:F963&lt;&gt;""""))), LEN(INDEX(FILTER(F$1:F963, F$1:F963&lt;&gt;""""),COUNTA(FILTER(F$1:F963, F$1:F963&lt;&gt;""""))))-1), IF('To Order'!$A964=COLUMNS($A964:F"&amp;"983), F963&amp;RIGHT(INDIRECT(ADDRESS(ROW(F964)-1, 'From Order'!$A964)), 1), F963))"),"FSLTTWRDTDBDBSBZH")</f>
        <v>FSLTTWRDTDBDBSBZH</v>
      </c>
      <c r="G964" s="2" t="str">
        <f>IFERROR(__xludf.DUMMYFUNCTION("IF('From Order'!$A964=COLUMNS($A964:G983), LEFT(INDEX(FILTER(G$1:G963, G$1:G963&lt;&gt;""""),COUNTA(FILTER(G$1:G963, G$1:G963&lt;&gt;""""))), LEN(INDEX(FILTER(G$1:G963, G$1:G963&lt;&gt;""""),COUNTA(FILTER(G$1:G963, G$1:G963&lt;&gt;""""))))-1), IF('To Order'!$A964=COLUMNS($A964:G"&amp;"983), G963&amp;RIGHT(INDIRECT(ADDRESS(ROW(G964)-1, 'From Order'!$A964)), 1), G963))"),"")</f>
        <v/>
      </c>
      <c r="H964" s="2" t="str">
        <f>IFERROR(__xludf.DUMMYFUNCTION("IF('From Order'!$A964=COLUMNS($A964:H983), LEFT(INDEX(FILTER(H$1:H963, H$1:H963&lt;&gt;""""),COUNTA(FILTER(H$1:H963, H$1:H963&lt;&gt;""""))), LEN(INDEX(FILTER(H$1:H963, H$1:H963&lt;&gt;""""),COUNTA(FILTER(H$1:H963, H$1:H963&lt;&gt;""""))))-1), IF('To Order'!$A964=COLUMNS($A964:H"&amp;"983), H963&amp;RIGHT(INDIRECT(ADDRESS(ROW(H964)-1, 'From Order'!$A964)), 1), H963))"),"PDSSGHWQVQ")</f>
        <v>PDSSGHWQVQ</v>
      </c>
      <c r="I964" s="2" t="str">
        <f>IFERROR(__xludf.DUMMYFUNCTION("IF('From Order'!$A964=COLUMNS($A964:I983), LEFT(INDEX(FILTER(I$1:I963, I$1:I963&lt;&gt;""""),COUNTA(FILTER(I$1:I963, I$1:I963&lt;&gt;""""))), LEN(INDEX(FILTER(I$1:I963, I$1:I963&lt;&gt;""""),COUNTA(FILTER(I$1:I963, I$1:I963&lt;&gt;""""))))-1), IF('To Order'!$A964=COLUMNS($A964:I"&amp;"983), I963&amp;RIGHT(INDIRECT(ADDRESS(ROW(I964)-1, 'From Order'!$A964)), 1), I963))"),"LZMTCR")</f>
        <v>LZMTCR</v>
      </c>
    </row>
    <row r="965">
      <c r="A965" s="2" t="str">
        <f>IFERROR(__xludf.DUMMYFUNCTION("IF('From Order'!$A965=COLUMNS($A965:A984), LEFT(INDEX(FILTER(A$1:A964, A$1:A964&lt;&gt;""""),COUNTA(FILTER(A$1:A964, A$1:A964&lt;&gt;""""))), LEN(INDEX(FILTER(A$1:A964, A$1:A964&lt;&gt;""""),COUNTA(FILTER(A$1:A964, A$1:A964&lt;&gt;""""))))-1), IF('To Order'!$A965=COLUMNS($A965:A"&amp;"984), A964&amp;RIGHT(INDIRECT(ADDRESS(ROW(A965)-1, 'From Order'!$A965)), 1), A964))"),"J")</f>
        <v>J</v>
      </c>
      <c r="B965" s="2" t="str">
        <f>IFERROR(__xludf.DUMMYFUNCTION("IF('From Order'!$A965=COLUMNS($A965:B984), LEFT(INDEX(FILTER(B$1:B964, B$1:B964&lt;&gt;""""),COUNTA(FILTER(B$1:B964, B$1:B964&lt;&gt;""""))), LEN(INDEX(FILTER(B$1:B964, B$1:B964&lt;&gt;""""),COUNTA(FILTER(B$1:B964, B$1:B964&lt;&gt;""""))))-1), IF('To Order'!$A965=COLUMNS($A965:B"&amp;"984), B964&amp;RIGHT(INDIRECT(ADDRESS(ROW(B965)-1, 'From Order'!$A965)), 1), B964))"),"JDTBF")</f>
        <v>JDTBF</v>
      </c>
      <c r="C965" s="2" t="str">
        <f>IFERROR(__xludf.DUMMYFUNCTION("IF('From Order'!$A965=COLUMNS($A965:C984), LEFT(INDEX(FILTER(C$1:C964, C$1:C964&lt;&gt;""""),COUNTA(FILTER(C$1:C964, C$1:C964&lt;&gt;""""))), LEN(INDEX(FILTER(C$1:C964, C$1:C964&lt;&gt;""""),COUNTA(FILTER(C$1:C964, C$1:C964&lt;&gt;""""))))-1), IF('To Order'!$A965=COLUMNS($A965:C"&amp;"984), C964&amp;RIGHT(INDIRECT(ADDRESS(ROW(C965)-1, 'From Order'!$A965)), 1), C964))"),"TRLR")</f>
        <v>TRLR</v>
      </c>
      <c r="D965" s="2" t="str">
        <f>IFERROR(__xludf.DUMMYFUNCTION("IF('From Order'!$A965=COLUMNS($A965:D984), LEFT(INDEX(FILTER(D$1:D964, D$1:D964&lt;&gt;""""),COUNTA(FILTER(D$1:D964, D$1:D964&lt;&gt;""""))), LEN(INDEX(FILTER(D$1:D964, D$1:D964&lt;&gt;""""),COUNTA(FILTER(D$1:D964, D$1:D964&lt;&gt;""""))))-1), IF('To Order'!$A965=COLUMNS($A965:D"&amp;"984), D964&amp;RIGHT(INDIRECT(ADDRESS(ROW(D965)-1, 'From Order'!$A965)), 1), D964))"),"")</f>
        <v/>
      </c>
      <c r="E965" s="2" t="str">
        <f>IFERROR(__xludf.DUMMYFUNCTION("IF('From Order'!$A965=COLUMNS($A965:E984), LEFT(INDEX(FILTER(E$1:E964, E$1:E964&lt;&gt;""""),COUNTA(FILTER(E$1:E964, E$1:E964&lt;&gt;""""))), LEN(INDEX(FILTER(E$1:E964, E$1:E964&lt;&gt;""""),COUNTA(FILTER(E$1:E964, E$1:E964&lt;&gt;""""))))-1), IF('To Order'!$A965=COLUMNS($A965:E"&amp;"984), E964&amp;RIGHT(INDIRECT(ADDRESS(ROW(E965)-1, 'From Order'!$A965)), 1), E964))"),"MGCDRZVCJVPP")</f>
        <v>MGCDRZVCJVPP</v>
      </c>
      <c r="F965" s="2" t="str">
        <f>IFERROR(__xludf.DUMMYFUNCTION("IF('From Order'!$A965=COLUMNS($A965:F984), LEFT(INDEX(FILTER(F$1:F964, F$1:F964&lt;&gt;""""),COUNTA(FILTER(F$1:F964, F$1:F964&lt;&gt;""""))), LEN(INDEX(FILTER(F$1:F964, F$1:F964&lt;&gt;""""),COUNTA(FILTER(F$1:F964, F$1:F964&lt;&gt;""""))))-1), IF('To Order'!$A965=COLUMNS($A965:F"&amp;"984), F964&amp;RIGHT(INDIRECT(ADDRESS(ROW(F965)-1, 'From Order'!$A965)), 1), F964))"),"FSLTTWRDTDBDBSBZHM")</f>
        <v>FSLTTWRDTDBDBSBZHM</v>
      </c>
      <c r="G965" s="2" t="str">
        <f>IFERROR(__xludf.DUMMYFUNCTION("IF('From Order'!$A965=COLUMNS($A965:G984), LEFT(INDEX(FILTER(G$1:G964, G$1:G964&lt;&gt;""""),COUNTA(FILTER(G$1:G964, G$1:G964&lt;&gt;""""))), LEN(INDEX(FILTER(G$1:G964, G$1:G964&lt;&gt;""""),COUNTA(FILTER(G$1:G964, G$1:G964&lt;&gt;""""))))-1), IF('To Order'!$A965=COLUMNS($A965:G"&amp;"984), G964&amp;RIGHT(INDIRECT(ADDRESS(ROW(G965)-1, 'From Order'!$A965)), 1), G964))"),"")</f>
        <v/>
      </c>
      <c r="H965" s="2" t="str">
        <f>IFERROR(__xludf.DUMMYFUNCTION("IF('From Order'!$A965=COLUMNS($A965:H984), LEFT(INDEX(FILTER(H$1:H964, H$1:H964&lt;&gt;""""),COUNTA(FILTER(H$1:H964, H$1:H964&lt;&gt;""""))), LEN(INDEX(FILTER(H$1:H964, H$1:H964&lt;&gt;""""),COUNTA(FILTER(H$1:H964, H$1:H964&lt;&gt;""""))))-1), IF('To Order'!$A965=COLUMNS($A965:H"&amp;"984), H964&amp;RIGHT(INDIRECT(ADDRESS(ROW(H965)-1, 'From Order'!$A965)), 1), H964))"),"PDSSGHWQVQ")</f>
        <v>PDSSGHWQVQ</v>
      </c>
      <c r="I965" s="2" t="str">
        <f>IFERROR(__xludf.DUMMYFUNCTION("IF('From Order'!$A965=COLUMNS($A965:I984), LEFT(INDEX(FILTER(I$1:I964, I$1:I964&lt;&gt;""""),COUNTA(FILTER(I$1:I964, I$1:I964&lt;&gt;""""))), LEN(INDEX(FILTER(I$1:I964, I$1:I964&lt;&gt;""""),COUNTA(FILTER(I$1:I964, I$1:I964&lt;&gt;""""))))-1), IF('To Order'!$A965=COLUMNS($A965:I"&amp;"984), I964&amp;RIGHT(INDIRECT(ADDRESS(ROW(I965)-1, 'From Order'!$A965)), 1), I964))"),"LZMTCR")</f>
        <v>LZMTCR</v>
      </c>
    </row>
    <row r="966">
      <c r="A966" s="2" t="str">
        <f>IFERROR(__xludf.DUMMYFUNCTION("IF('From Order'!$A966=COLUMNS($A966:A985), LEFT(INDEX(FILTER(A$1:A965, A$1:A965&lt;&gt;""""),COUNTA(FILTER(A$1:A965, A$1:A965&lt;&gt;""""))), LEN(INDEX(FILTER(A$1:A965, A$1:A965&lt;&gt;""""),COUNTA(FILTER(A$1:A965, A$1:A965&lt;&gt;""""))))-1), IF('To Order'!$A966=COLUMNS($A966:A"&amp;"985), A965&amp;RIGHT(INDIRECT(ADDRESS(ROW(A966)-1, 'From Order'!$A966)), 1), A965))"),"J")</f>
        <v>J</v>
      </c>
      <c r="B966" s="2" t="str">
        <f>IFERROR(__xludf.DUMMYFUNCTION("IF('From Order'!$A966=COLUMNS($A966:B985), LEFT(INDEX(FILTER(B$1:B965, B$1:B965&lt;&gt;""""),COUNTA(FILTER(B$1:B965, B$1:B965&lt;&gt;""""))), LEN(INDEX(FILTER(B$1:B965, B$1:B965&lt;&gt;""""),COUNTA(FILTER(B$1:B965, B$1:B965&lt;&gt;""""))))-1), IF('To Order'!$A966=COLUMNS($A966:B"&amp;"985), B965&amp;RIGHT(INDIRECT(ADDRESS(ROW(B966)-1, 'From Order'!$A966)), 1), B965))"),"JDTB")</f>
        <v>JDTB</v>
      </c>
      <c r="C966" s="2" t="str">
        <f>IFERROR(__xludf.DUMMYFUNCTION("IF('From Order'!$A966=COLUMNS($A966:C985), LEFT(INDEX(FILTER(C$1:C965, C$1:C965&lt;&gt;""""),COUNTA(FILTER(C$1:C965, C$1:C965&lt;&gt;""""))), LEN(INDEX(FILTER(C$1:C965, C$1:C965&lt;&gt;""""),COUNTA(FILTER(C$1:C965, C$1:C965&lt;&gt;""""))))-1), IF('To Order'!$A966=COLUMNS($A966:C"&amp;"985), C965&amp;RIGHT(INDIRECT(ADDRESS(ROW(C966)-1, 'From Order'!$A966)), 1), C965))"),"TRLR")</f>
        <v>TRLR</v>
      </c>
      <c r="D966" s="2" t="str">
        <f>IFERROR(__xludf.DUMMYFUNCTION("IF('From Order'!$A966=COLUMNS($A966:D985), LEFT(INDEX(FILTER(D$1:D965, D$1:D965&lt;&gt;""""),COUNTA(FILTER(D$1:D965, D$1:D965&lt;&gt;""""))), LEN(INDEX(FILTER(D$1:D965, D$1:D965&lt;&gt;""""),COUNTA(FILTER(D$1:D965, D$1:D965&lt;&gt;""""))))-1), IF('To Order'!$A966=COLUMNS($A966:D"&amp;"985), D965&amp;RIGHT(INDIRECT(ADDRESS(ROW(D966)-1, 'From Order'!$A966)), 1), D965))"),"")</f>
        <v/>
      </c>
      <c r="E966" s="2" t="str">
        <f>IFERROR(__xludf.DUMMYFUNCTION("IF('From Order'!$A966=COLUMNS($A966:E985), LEFT(INDEX(FILTER(E$1:E965, E$1:E965&lt;&gt;""""),COUNTA(FILTER(E$1:E965, E$1:E965&lt;&gt;""""))), LEN(INDEX(FILTER(E$1:E965, E$1:E965&lt;&gt;""""),COUNTA(FILTER(E$1:E965, E$1:E965&lt;&gt;""""))))-1), IF('To Order'!$A966=COLUMNS($A966:E"&amp;"985), E965&amp;RIGHT(INDIRECT(ADDRESS(ROW(E966)-1, 'From Order'!$A966)), 1), E965))"),"MGCDRZVCJVPP")</f>
        <v>MGCDRZVCJVPP</v>
      </c>
      <c r="F966" s="2" t="str">
        <f>IFERROR(__xludf.DUMMYFUNCTION("IF('From Order'!$A966=COLUMNS($A966:F985), LEFT(INDEX(FILTER(F$1:F965, F$1:F965&lt;&gt;""""),COUNTA(FILTER(F$1:F965, F$1:F965&lt;&gt;""""))), LEN(INDEX(FILTER(F$1:F965, F$1:F965&lt;&gt;""""),COUNTA(FILTER(F$1:F965, F$1:F965&lt;&gt;""""))))-1), IF('To Order'!$A966=COLUMNS($A966:F"&amp;"985), F965&amp;RIGHT(INDIRECT(ADDRESS(ROW(F966)-1, 'From Order'!$A966)), 1), F965))"),"FSLTTWRDTDBDBSBZHMF")</f>
        <v>FSLTTWRDTDBDBSBZHMF</v>
      </c>
      <c r="G966" s="2" t="str">
        <f>IFERROR(__xludf.DUMMYFUNCTION("IF('From Order'!$A966=COLUMNS($A966:G985), LEFT(INDEX(FILTER(G$1:G965, G$1:G965&lt;&gt;""""),COUNTA(FILTER(G$1:G965, G$1:G965&lt;&gt;""""))), LEN(INDEX(FILTER(G$1:G965, G$1:G965&lt;&gt;""""),COUNTA(FILTER(G$1:G965, G$1:G965&lt;&gt;""""))))-1), IF('To Order'!$A966=COLUMNS($A966:G"&amp;"985), G965&amp;RIGHT(INDIRECT(ADDRESS(ROW(G966)-1, 'From Order'!$A966)), 1), G965))"),"")</f>
        <v/>
      </c>
      <c r="H966" s="2" t="str">
        <f>IFERROR(__xludf.DUMMYFUNCTION("IF('From Order'!$A966=COLUMNS($A966:H985), LEFT(INDEX(FILTER(H$1:H965, H$1:H965&lt;&gt;""""),COUNTA(FILTER(H$1:H965, H$1:H965&lt;&gt;""""))), LEN(INDEX(FILTER(H$1:H965, H$1:H965&lt;&gt;""""),COUNTA(FILTER(H$1:H965, H$1:H965&lt;&gt;""""))))-1), IF('To Order'!$A966=COLUMNS($A966:H"&amp;"985), H965&amp;RIGHT(INDIRECT(ADDRESS(ROW(H966)-1, 'From Order'!$A966)), 1), H965))"),"PDSSGHWQVQ")</f>
        <v>PDSSGHWQVQ</v>
      </c>
      <c r="I966" s="2" t="str">
        <f>IFERROR(__xludf.DUMMYFUNCTION("IF('From Order'!$A966=COLUMNS($A966:I985), LEFT(INDEX(FILTER(I$1:I965, I$1:I965&lt;&gt;""""),COUNTA(FILTER(I$1:I965, I$1:I965&lt;&gt;""""))), LEN(INDEX(FILTER(I$1:I965, I$1:I965&lt;&gt;""""),COUNTA(FILTER(I$1:I965, I$1:I965&lt;&gt;""""))))-1), IF('To Order'!$A966=COLUMNS($A966:I"&amp;"985), I965&amp;RIGHT(INDIRECT(ADDRESS(ROW(I966)-1, 'From Order'!$A966)), 1), I965))"),"LZMTCR")</f>
        <v>LZMTCR</v>
      </c>
    </row>
    <row r="967">
      <c r="A967" s="2" t="str">
        <f>IFERROR(__xludf.DUMMYFUNCTION("IF('From Order'!$A967=COLUMNS($A967:A986), LEFT(INDEX(FILTER(A$1:A966, A$1:A966&lt;&gt;""""),COUNTA(FILTER(A$1:A966, A$1:A966&lt;&gt;""""))), LEN(INDEX(FILTER(A$1:A966, A$1:A966&lt;&gt;""""),COUNTA(FILTER(A$1:A966, A$1:A966&lt;&gt;""""))))-1), IF('To Order'!$A967=COLUMNS($A967:A"&amp;"986), A966&amp;RIGHT(INDIRECT(ADDRESS(ROW(A967)-1, 'From Order'!$A967)), 1), A966))"),"J")</f>
        <v>J</v>
      </c>
      <c r="B967" s="2" t="str">
        <f>IFERROR(__xludf.DUMMYFUNCTION("IF('From Order'!$A967=COLUMNS($A967:B986), LEFT(INDEX(FILTER(B$1:B966, B$1:B966&lt;&gt;""""),COUNTA(FILTER(B$1:B966, B$1:B966&lt;&gt;""""))), LEN(INDEX(FILTER(B$1:B966, B$1:B966&lt;&gt;""""),COUNTA(FILTER(B$1:B966, B$1:B966&lt;&gt;""""))))-1), IF('To Order'!$A967=COLUMNS($A967:B"&amp;"986), B966&amp;RIGHT(INDIRECT(ADDRESS(ROW(B967)-1, 'From Order'!$A967)), 1), B966))"),"JDT")</f>
        <v>JDT</v>
      </c>
      <c r="C967" s="2" t="str">
        <f>IFERROR(__xludf.DUMMYFUNCTION("IF('From Order'!$A967=COLUMNS($A967:C986), LEFT(INDEX(FILTER(C$1:C966, C$1:C966&lt;&gt;""""),COUNTA(FILTER(C$1:C966, C$1:C966&lt;&gt;""""))), LEN(INDEX(FILTER(C$1:C966, C$1:C966&lt;&gt;""""),COUNTA(FILTER(C$1:C966, C$1:C966&lt;&gt;""""))))-1), IF('To Order'!$A967=COLUMNS($A967:C"&amp;"986), C966&amp;RIGHT(INDIRECT(ADDRESS(ROW(C967)-1, 'From Order'!$A967)), 1), C966))"),"TRLR")</f>
        <v>TRLR</v>
      </c>
      <c r="D967" s="2" t="str">
        <f>IFERROR(__xludf.DUMMYFUNCTION("IF('From Order'!$A967=COLUMNS($A967:D986), LEFT(INDEX(FILTER(D$1:D966, D$1:D966&lt;&gt;""""),COUNTA(FILTER(D$1:D966, D$1:D966&lt;&gt;""""))), LEN(INDEX(FILTER(D$1:D966, D$1:D966&lt;&gt;""""),COUNTA(FILTER(D$1:D966, D$1:D966&lt;&gt;""""))))-1), IF('To Order'!$A967=COLUMNS($A967:D"&amp;"986), D966&amp;RIGHT(INDIRECT(ADDRESS(ROW(D967)-1, 'From Order'!$A967)), 1), D966))"),"")</f>
        <v/>
      </c>
      <c r="E967" s="2" t="str">
        <f>IFERROR(__xludf.DUMMYFUNCTION("IF('From Order'!$A967=COLUMNS($A967:E986), LEFT(INDEX(FILTER(E$1:E966, E$1:E966&lt;&gt;""""),COUNTA(FILTER(E$1:E966, E$1:E966&lt;&gt;""""))), LEN(INDEX(FILTER(E$1:E966, E$1:E966&lt;&gt;""""),COUNTA(FILTER(E$1:E966, E$1:E966&lt;&gt;""""))))-1), IF('To Order'!$A967=COLUMNS($A967:E"&amp;"986), E966&amp;RIGHT(INDIRECT(ADDRESS(ROW(E967)-1, 'From Order'!$A967)), 1), E966))"),"MGCDRZVCJVPP")</f>
        <v>MGCDRZVCJVPP</v>
      </c>
      <c r="F967" s="2" t="str">
        <f>IFERROR(__xludf.DUMMYFUNCTION("IF('From Order'!$A967=COLUMNS($A967:F986), LEFT(INDEX(FILTER(F$1:F966, F$1:F966&lt;&gt;""""),COUNTA(FILTER(F$1:F966, F$1:F966&lt;&gt;""""))), LEN(INDEX(FILTER(F$1:F966, F$1:F966&lt;&gt;""""),COUNTA(FILTER(F$1:F966, F$1:F966&lt;&gt;""""))))-1), IF('To Order'!$A967=COLUMNS($A967:F"&amp;"986), F966&amp;RIGHT(INDIRECT(ADDRESS(ROW(F967)-1, 'From Order'!$A967)), 1), F966))"),"FSLTTWRDTDBDBSBZHMFB")</f>
        <v>FSLTTWRDTDBDBSBZHMFB</v>
      </c>
      <c r="G967" s="2" t="str">
        <f>IFERROR(__xludf.DUMMYFUNCTION("IF('From Order'!$A967=COLUMNS($A967:G986), LEFT(INDEX(FILTER(G$1:G966, G$1:G966&lt;&gt;""""),COUNTA(FILTER(G$1:G966, G$1:G966&lt;&gt;""""))), LEN(INDEX(FILTER(G$1:G966, G$1:G966&lt;&gt;""""),COUNTA(FILTER(G$1:G966, G$1:G966&lt;&gt;""""))))-1), IF('To Order'!$A967=COLUMNS($A967:G"&amp;"986), G966&amp;RIGHT(INDIRECT(ADDRESS(ROW(G967)-1, 'From Order'!$A967)), 1), G966))"),"")</f>
        <v/>
      </c>
      <c r="H967" s="2" t="str">
        <f>IFERROR(__xludf.DUMMYFUNCTION("IF('From Order'!$A967=COLUMNS($A967:H986), LEFT(INDEX(FILTER(H$1:H966, H$1:H966&lt;&gt;""""),COUNTA(FILTER(H$1:H966, H$1:H966&lt;&gt;""""))), LEN(INDEX(FILTER(H$1:H966, H$1:H966&lt;&gt;""""),COUNTA(FILTER(H$1:H966, H$1:H966&lt;&gt;""""))))-1), IF('To Order'!$A967=COLUMNS($A967:H"&amp;"986), H966&amp;RIGHT(INDIRECT(ADDRESS(ROW(H967)-1, 'From Order'!$A967)), 1), H966))"),"PDSSGHWQVQ")</f>
        <v>PDSSGHWQVQ</v>
      </c>
      <c r="I967" s="2" t="str">
        <f>IFERROR(__xludf.DUMMYFUNCTION("IF('From Order'!$A967=COLUMNS($A967:I986), LEFT(INDEX(FILTER(I$1:I966, I$1:I966&lt;&gt;""""),COUNTA(FILTER(I$1:I966, I$1:I966&lt;&gt;""""))), LEN(INDEX(FILTER(I$1:I966, I$1:I966&lt;&gt;""""),COUNTA(FILTER(I$1:I966, I$1:I966&lt;&gt;""""))))-1), IF('To Order'!$A967=COLUMNS($A967:I"&amp;"986), I966&amp;RIGHT(INDIRECT(ADDRESS(ROW(I967)-1, 'From Order'!$A967)), 1), I966))"),"LZMTCR")</f>
        <v>LZMTCR</v>
      </c>
    </row>
    <row r="968">
      <c r="A968" s="2" t="str">
        <f>IFERROR(__xludf.DUMMYFUNCTION("IF('From Order'!$A968=COLUMNS($A968:A987), LEFT(INDEX(FILTER(A$1:A967, A$1:A967&lt;&gt;""""),COUNTA(FILTER(A$1:A967, A$1:A967&lt;&gt;""""))), LEN(INDEX(FILTER(A$1:A967, A$1:A967&lt;&gt;""""),COUNTA(FILTER(A$1:A967, A$1:A967&lt;&gt;""""))))-1), IF('To Order'!$A968=COLUMNS($A968:A"&amp;"987), A967&amp;RIGHT(INDIRECT(ADDRESS(ROW(A968)-1, 'From Order'!$A968)), 1), A967))"),"J")</f>
        <v>J</v>
      </c>
      <c r="B968" s="2" t="str">
        <f>IFERROR(__xludf.DUMMYFUNCTION("IF('From Order'!$A968=COLUMNS($A968:B987), LEFT(INDEX(FILTER(B$1:B967, B$1:B967&lt;&gt;""""),COUNTA(FILTER(B$1:B967, B$1:B967&lt;&gt;""""))), LEN(INDEX(FILTER(B$1:B967, B$1:B967&lt;&gt;""""),COUNTA(FILTER(B$1:B967, B$1:B967&lt;&gt;""""))))-1), IF('To Order'!$A968=COLUMNS($A968:B"&amp;"987), B967&amp;RIGHT(INDIRECT(ADDRESS(ROW(B968)-1, 'From Order'!$A968)), 1), B967))"),"JD")</f>
        <v>JD</v>
      </c>
      <c r="C968" s="2" t="str">
        <f>IFERROR(__xludf.DUMMYFUNCTION("IF('From Order'!$A968=COLUMNS($A968:C987), LEFT(INDEX(FILTER(C$1:C967, C$1:C967&lt;&gt;""""),COUNTA(FILTER(C$1:C967, C$1:C967&lt;&gt;""""))), LEN(INDEX(FILTER(C$1:C967, C$1:C967&lt;&gt;""""),COUNTA(FILTER(C$1:C967, C$1:C967&lt;&gt;""""))))-1), IF('To Order'!$A968=COLUMNS($A968:C"&amp;"987), C967&amp;RIGHT(INDIRECT(ADDRESS(ROW(C968)-1, 'From Order'!$A968)), 1), C967))"),"TRLR")</f>
        <v>TRLR</v>
      </c>
      <c r="D968" s="2" t="str">
        <f>IFERROR(__xludf.DUMMYFUNCTION("IF('From Order'!$A968=COLUMNS($A968:D987), LEFT(INDEX(FILTER(D$1:D967, D$1:D967&lt;&gt;""""),COUNTA(FILTER(D$1:D967, D$1:D967&lt;&gt;""""))), LEN(INDEX(FILTER(D$1:D967, D$1:D967&lt;&gt;""""),COUNTA(FILTER(D$1:D967, D$1:D967&lt;&gt;""""))))-1), IF('To Order'!$A968=COLUMNS($A968:D"&amp;"987), D967&amp;RIGHT(INDIRECT(ADDRESS(ROW(D968)-1, 'From Order'!$A968)), 1), D967))"),"")</f>
        <v/>
      </c>
      <c r="E968" s="2" t="str">
        <f>IFERROR(__xludf.DUMMYFUNCTION("IF('From Order'!$A968=COLUMNS($A968:E987), LEFT(INDEX(FILTER(E$1:E967, E$1:E967&lt;&gt;""""),COUNTA(FILTER(E$1:E967, E$1:E967&lt;&gt;""""))), LEN(INDEX(FILTER(E$1:E967, E$1:E967&lt;&gt;""""),COUNTA(FILTER(E$1:E967, E$1:E967&lt;&gt;""""))))-1), IF('To Order'!$A968=COLUMNS($A968:E"&amp;"987), E967&amp;RIGHT(INDIRECT(ADDRESS(ROW(E968)-1, 'From Order'!$A968)), 1), E967))"),"MGCDRZVCJVPP")</f>
        <v>MGCDRZVCJVPP</v>
      </c>
      <c r="F968" s="2" t="str">
        <f>IFERROR(__xludf.DUMMYFUNCTION("IF('From Order'!$A968=COLUMNS($A968:F987), LEFT(INDEX(FILTER(F$1:F967, F$1:F967&lt;&gt;""""),COUNTA(FILTER(F$1:F967, F$1:F967&lt;&gt;""""))), LEN(INDEX(FILTER(F$1:F967, F$1:F967&lt;&gt;""""),COUNTA(FILTER(F$1:F967, F$1:F967&lt;&gt;""""))))-1), IF('To Order'!$A968=COLUMNS($A968:F"&amp;"987), F967&amp;RIGHT(INDIRECT(ADDRESS(ROW(F968)-1, 'From Order'!$A968)), 1), F967))"),"FSLTTWRDTDBDBSBZHMFBT")</f>
        <v>FSLTTWRDTDBDBSBZHMFBT</v>
      </c>
      <c r="G968" s="2" t="str">
        <f>IFERROR(__xludf.DUMMYFUNCTION("IF('From Order'!$A968=COLUMNS($A968:G987), LEFT(INDEX(FILTER(G$1:G967, G$1:G967&lt;&gt;""""),COUNTA(FILTER(G$1:G967, G$1:G967&lt;&gt;""""))), LEN(INDEX(FILTER(G$1:G967, G$1:G967&lt;&gt;""""),COUNTA(FILTER(G$1:G967, G$1:G967&lt;&gt;""""))))-1), IF('To Order'!$A968=COLUMNS($A968:G"&amp;"987), G967&amp;RIGHT(INDIRECT(ADDRESS(ROW(G968)-1, 'From Order'!$A968)), 1), G967))"),"")</f>
        <v/>
      </c>
      <c r="H968" s="2" t="str">
        <f>IFERROR(__xludf.DUMMYFUNCTION("IF('From Order'!$A968=COLUMNS($A968:H987), LEFT(INDEX(FILTER(H$1:H967, H$1:H967&lt;&gt;""""),COUNTA(FILTER(H$1:H967, H$1:H967&lt;&gt;""""))), LEN(INDEX(FILTER(H$1:H967, H$1:H967&lt;&gt;""""),COUNTA(FILTER(H$1:H967, H$1:H967&lt;&gt;""""))))-1), IF('To Order'!$A968=COLUMNS($A968:H"&amp;"987), H967&amp;RIGHT(INDIRECT(ADDRESS(ROW(H968)-1, 'From Order'!$A968)), 1), H967))"),"PDSSGHWQVQ")</f>
        <v>PDSSGHWQVQ</v>
      </c>
      <c r="I968" s="2" t="str">
        <f>IFERROR(__xludf.DUMMYFUNCTION("IF('From Order'!$A968=COLUMNS($A968:I987), LEFT(INDEX(FILTER(I$1:I967, I$1:I967&lt;&gt;""""),COUNTA(FILTER(I$1:I967, I$1:I967&lt;&gt;""""))), LEN(INDEX(FILTER(I$1:I967, I$1:I967&lt;&gt;""""),COUNTA(FILTER(I$1:I967, I$1:I967&lt;&gt;""""))))-1), IF('To Order'!$A968=COLUMNS($A968:I"&amp;"987), I967&amp;RIGHT(INDIRECT(ADDRESS(ROW(I968)-1, 'From Order'!$A968)), 1), I967))"),"LZMTCR")</f>
        <v>LZMTCR</v>
      </c>
    </row>
    <row r="969">
      <c r="A969" s="2" t="str">
        <f>IFERROR(__xludf.DUMMYFUNCTION("IF('From Order'!$A969=COLUMNS($A969:A988), LEFT(INDEX(FILTER(A$1:A968, A$1:A968&lt;&gt;""""),COUNTA(FILTER(A$1:A968, A$1:A968&lt;&gt;""""))), LEN(INDEX(FILTER(A$1:A968, A$1:A968&lt;&gt;""""),COUNTA(FILTER(A$1:A968, A$1:A968&lt;&gt;""""))))-1), IF('To Order'!$A969=COLUMNS($A969:A"&amp;"988), A968&amp;RIGHT(INDIRECT(ADDRESS(ROW(A969)-1, 'From Order'!$A969)), 1), A968))"),"J")</f>
        <v>J</v>
      </c>
      <c r="B969" s="2" t="str">
        <f>IFERROR(__xludf.DUMMYFUNCTION("IF('From Order'!$A969=COLUMNS($A969:B988), LEFT(INDEX(FILTER(B$1:B968, B$1:B968&lt;&gt;""""),COUNTA(FILTER(B$1:B968, B$1:B968&lt;&gt;""""))), LEN(INDEX(FILTER(B$1:B968, B$1:B968&lt;&gt;""""),COUNTA(FILTER(B$1:B968, B$1:B968&lt;&gt;""""))))-1), IF('To Order'!$A969=COLUMNS($A969:B"&amp;"988), B968&amp;RIGHT(INDIRECT(ADDRESS(ROW(B969)-1, 'From Order'!$A969)), 1), B968))"),"JD")</f>
        <v>JD</v>
      </c>
      <c r="C969" s="2" t="str">
        <f>IFERROR(__xludf.DUMMYFUNCTION("IF('From Order'!$A969=COLUMNS($A969:C988), LEFT(INDEX(FILTER(C$1:C968, C$1:C968&lt;&gt;""""),COUNTA(FILTER(C$1:C968, C$1:C968&lt;&gt;""""))), LEN(INDEX(FILTER(C$1:C968, C$1:C968&lt;&gt;""""),COUNTA(FILTER(C$1:C968, C$1:C968&lt;&gt;""""))))-1), IF('To Order'!$A969=COLUMNS($A969:C"&amp;"988), C968&amp;RIGHT(INDIRECT(ADDRESS(ROW(C969)-1, 'From Order'!$A969)), 1), C968))"),"TRLR")</f>
        <v>TRLR</v>
      </c>
      <c r="D969" s="2" t="str">
        <f>IFERROR(__xludf.DUMMYFUNCTION("IF('From Order'!$A969=COLUMNS($A969:D988), LEFT(INDEX(FILTER(D$1:D968, D$1:D968&lt;&gt;""""),COUNTA(FILTER(D$1:D968, D$1:D968&lt;&gt;""""))), LEN(INDEX(FILTER(D$1:D968, D$1:D968&lt;&gt;""""),COUNTA(FILTER(D$1:D968, D$1:D968&lt;&gt;""""))))-1), IF('To Order'!$A969=COLUMNS($A969:D"&amp;"988), D968&amp;RIGHT(INDIRECT(ADDRESS(ROW(D969)-1, 'From Order'!$A969)), 1), D968))"),"")</f>
        <v/>
      </c>
      <c r="E969" s="2" t="str">
        <f>IFERROR(__xludf.DUMMYFUNCTION("IF('From Order'!$A969=COLUMNS($A969:E988), LEFT(INDEX(FILTER(E$1:E968, E$1:E968&lt;&gt;""""),COUNTA(FILTER(E$1:E968, E$1:E968&lt;&gt;""""))), LEN(INDEX(FILTER(E$1:E968, E$1:E968&lt;&gt;""""),COUNTA(FILTER(E$1:E968, E$1:E968&lt;&gt;""""))))-1), IF('To Order'!$A969=COLUMNS($A969:E"&amp;"988), E968&amp;RIGHT(INDIRECT(ADDRESS(ROW(E969)-1, 'From Order'!$A969)), 1), E968))"),"MGCDRZVCJVPP")</f>
        <v>MGCDRZVCJVPP</v>
      </c>
      <c r="F969" s="2" t="str">
        <f>IFERROR(__xludf.DUMMYFUNCTION("IF('From Order'!$A969=COLUMNS($A969:F988), LEFT(INDEX(FILTER(F$1:F968, F$1:F968&lt;&gt;""""),COUNTA(FILTER(F$1:F968, F$1:F968&lt;&gt;""""))), LEN(INDEX(FILTER(F$1:F968, F$1:F968&lt;&gt;""""),COUNTA(FILTER(F$1:F968, F$1:F968&lt;&gt;""""))))-1), IF('To Order'!$A969=COLUMNS($A969:F"&amp;"988), F968&amp;RIGHT(INDIRECT(ADDRESS(ROW(F969)-1, 'From Order'!$A969)), 1), F968))"),"FSLTTWRDTDBDBSBZHMFBT")</f>
        <v>FSLTTWRDTDBDBSBZHMFBT</v>
      </c>
      <c r="G969" s="2" t="str">
        <f>IFERROR(__xludf.DUMMYFUNCTION("IF('From Order'!$A969=COLUMNS($A969:G988), LEFT(INDEX(FILTER(G$1:G968, G$1:G968&lt;&gt;""""),COUNTA(FILTER(G$1:G968, G$1:G968&lt;&gt;""""))), LEN(INDEX(FILTER(G$1:G968, G$1:G968&lt;&gt;""""),COUNTA(FILTER(G$1:G968, G$1:G968&lt;&gt;""""))))-1), IF('To Order'!$A969=COLUMNS($A969:G"&amp;"988), G968&amp;RIGHT(INDIRECT(ADDRESS(ROW(G969)-1, 'From Order'!$A969)), 1), G968))"),"R")</f>
        <v>R</v>
      </c>
      <c r="H969" s="2" t="str">
        <f>IFERROR(__xludf.DUMMYFUNCTION("IF('From Order'!$A969=COLUMNS($A969:H988), LEFT(INDEX(FILTER(H$1:H968, H$1:H968&lt;&gt;""""),COUNTA(FILTER(H$1:H968, H$1:H968&lt;&gt;""""))), LEN(INDEX(FILTER(H$1:H968, H$1:H968&lt;&gt;""""),COUNTA(FILTER(H$1:H968, H$1:H968&lt;&gt;""""))))-1), IF('To Order'!$A969=COLUMNS($A969:H"&amp;"988), H968&amp;RIGHT(INDIRECT(ADDRESS(ROW(H969)-1, 'From Order'!$A969)), 1), H968))"),"PDSSGHWQVQ")</f>
        <v>PDSSGHWQVQ</v>
      </c>
      <c r="I969" s="2" t="str">
        <f>IFERROR(__xludf.DUMMYFUNCTION("IF('From Order'!$A969=COLUMNS($A969:I988), LEFT(INDEX(FILTER(I$1:I968, I$1:I968&lt;&gt;""""),COUNTA(FILTER(I$1:I968, I$1:I968&lt;&gt;""""))), LEN(INDEX(FILTER(I$1:I968, I$1:I968&lt;&gt;""""),COUNTA(FILTER(I$1:I968, I$1:I968&lt;&gt;""""))))-1), IF('To Order'!$A969=COLUMNS($A969:I"&amp;"988), I968&amp;RIGHT(INDIRECT(ADDRESS(ROW(I969)-1, 'From Order'!$A969)), 1), I968))"),"LZMTC")</f>
        <v>LZMTC</v>
      </c>
    </row>
    <row r="970">
      <c r="A970" s="2" t="str">
        <f>IFERROR(__xludf.DUMMYFUNCTION("IF('From Order'!$A970=COLUMNS($A970:A989), LEFT(INDEX(FILTER(A$1:A969, A$1:A969&lt;&gt;""""),COUNTA(FILTER(A$1:A969, A$1:A969&lt;&gt;""""))), LEN(INDEX(FILTER(A$1:A969, A$1:A969&lt;&gt;""""),COUNTA(FILTER(A$1:A969, A$1:A969&lt;&gt;""""))))-1), IF('To Order'!$A970=COLUMNS($A970:A"&amp;"989), A969&amp;RIGHT(INDIRECT(ADDRESS(ROW(A970)-1, 'From Order'!$A970)), 1), A969))"),"J")</f>
        <v>J</v>
      </c>
      <c r="B970" s="2" t="str">
        <f>IFERROR(__xludf.DUMMYFUNCTION("IF('From Order'!$A970=COLUMNS($A970:B989), LEFT(INDEX(FILTER(B$1:B969, B$1:B969&lt;&gt;""""),COUNTA(FILTER(B$1:B969, B$1:B969&lt;&gt;""""))), LEN(INDEX(FILTER(B$1:B969, B$1:B969&lt;&gt;""""),COUNTA(FILTER(B$1:B969, B$1:B969&lt;&gt;""""))))-1), IF('To Order'!$A970=COLUMNS($A970:B"&amp;"989), B969&amp;RIGHT(INDIRECT(ADDRESS(ROW(B970)-1, 'From Order'!$A970)), 1), B969))"),"JD")</f>
        <v>JD</v>
      </c>
      <c r="C970" s="2" t="str">
        <f>IFERROR(__xludf.DUMMYFUNCTION("IF('From Order'!$A970=COLUMNS($A970:C989), LEFT(INDEX(FILTER(C$1:C969, C$1:C969&lt;&gt;""""),COUNTA(FILTER(C$1:C969, C$1:C969&lt;&gt;""""))), LEN(INDEX(FILTER(C$1:C969, C$1:C969&lt;&gt;""""),COUNTA(FILTER(C$1:C969, C$1:C969&lt;&gt;""""))))-1), IF('To Order'!$A970=COLUMNS($A970:C"&amp;"989), C969&amp;RIGHT(INDIRECT(ADDRESS(ROW(C970)-1, 'From Order'!$A970)), 1), C969))"),"TRLR")</f>
        <v>TRLR</v>
      </c>
      <c r="D970" s="2" t="str">
        <f>IFERROR(__xludf.DUMMYFUNCTION("IF('From Order'!$A970=COLUMNS($A970:D989), LEFT(INDEX(FILTER(D$1:D969, D$1:D969&lt;&gt;""""),COUNTA(FILTER(D$1:D969, D$1:D969&lt;&gt;""""))), LEN(INDEX(FILTER(D$1:D969, D$1:D969&lt;&gt;""""),COUNTA(FILTER(D$1:D969, D$1:D969&lt;&gt;""""))))-1), IF('To Order'!$A970=COLUMNS($A970:D"&amp;"989), D969&amp;RIGHT(INDIRECT(ADDRESS(ROW(D970)-1, 'From Order'!$A970)), 1), D969))"),"")</f>
        <v/>
      </c>
      <c r="E970" s="2" t="str">
        <f>IFERROR(__xludf.DUMMYFUNCTION("IF('From Order'!$A970=COLUMNS($A970:E989), LEFT(INDEX(FILTER(E$1:E969, E$1:E969&lt;&gt;""""),COUNTA(FILTER(E$1:E969, E$1:E969&lt;&gt;""""))), LEN(INDEX(FILTER(E$1:E969, E$1:E969&lt;&gt;""""),COUNTA(FILTER(E$1:E969, E$1:E969&lt;&gt;""""))))-1), IF('To Order'!$A970=COLUMNS($A970:E"&amp;"989), E969&amp;RIGHT(INDIRECT(ADDRESS(ROW(E970)-1, 'From Order'!$A970)), 1), E969))"),"MGCDRZVCJVPP")</f>
        <v>MGCDRZVCJVPP</v>
      </c>
      <c r="F970" s="2" t="str">
        <f>IFERROR(__xludf.DUMMYFUNCTION("IF('From Order'!$A970=COLUMNS($A970:F989), LEFT(INDEX(FILTER(F$1:F969, F$1:F969&lt;&gt;""""),COUNTA(FILTER(F$1:F969, F$1:F969&lt;&gt;""""))), LEN(INDEX(FILTER(F$1:F969, F$1:F969&lt;&gt;""""),COUNTA(FILTER(F$1:F969, F$1:F969&lt;&gt;""""))))-1), IF('To Order'!$A970=COLUMNS($A970:F"&amp;"989), F969&amp;RIGHT(INDIRECT(ADDRESS(ROW(F970)-1, 'From Order'!$A970)), 1), F969))"),"FSLTTWRDTDBDBSBZHMFBT")</f>
        <v>FSLTTWRDTDBDBSBZHMFBT</v>
      </c>
      <c r="G970" s="2" t="str">
        <f>IFERROR(__xludf.DUMMYFUNCTION("IF('From Order'!$A970=COLUMNS($A970:G989), LEFT(INDEX(FILTER(G$1:G969, G$1:G969&lt;&gt;""""),COUNTA(FILTER(G$1:G969, G$1:G969&lt;&gt;""""))), LEN(INDEX(FILTER(G$1:G969, G$1:G969&lt;&gt;""""),COUNTA(FILTER(G$1:G969, G$1:G969&lt;&gt;""""))))-1), IF('To Order'!$A970=COLUMNS($A970:G"&amp;"989), G969&amp;RIGHT(INDIRECT(ADDRESS(ROW(G970)-1, 'From Order'!$A970)), 1), G969))"),"RC")</f>
        <v>RC</v>
      </c>
      <c r="H970" s="2" t="str">
        <f>IFERROR(__xludf.DUMMYFUNCTION("IF('From Order'!$A970=COLUMNS($A970:H989), LEFT(INDEX(FILTER(H$1:H969, H$1:H969&lt;&gt;""""),COUNTA(FILTER(H$1:H969, H$1:H969&lt;&gt;""""))), LEN(INDEX(FILTER(H$1:H969, H$1:H969&lt;&gt;""""),COUNTA(FILTER(H$1:H969, H$1:H969&lt;&gt;""""))))-1), IF('To Order'!$A970=COLUMNS($A970:H"&amp;"989), H969&amp;RIGHT(INDIRECT(ADDRESS(ROW(H970)-1, 'From Order'!$A970)), 1), H969))"),"PDSSGHWQVQ")</f>
        <v>PDSSGHWQVQ</v>
      </c>
      <c r="I970" s="2" t="str">
        <f>IFERROR(__xludf.DUMMYFUNCTION("IF('From Order'!$A970=COLUMNS($A970:I989), LEFT(INDEX(FILTER(I$1:I969, I$1:I969&lt;&gt;""""),COUNTA(FILTER(I$1:I969, I$1:I969&lt;&gt;""""))), LEN(INDEX(FILTER(I$1:I969, I$1:I969&lt;&gt;""""),COUNTA(FILTER(I$1:I969, I$1:I969&lt;&gt;""""))))-1), IF('To Order'!$A970=COLUMNS($A970:I"&amp;"989), I969&amp;RIGHT(INDIRECT(ADDRESS(ROW(I970)-1, 'From Order'!$A970)), 1), I969))"),"LZMT")</f>
        <v>LZMT</v>
      </c>
    </row>
    <row r="971">
      <c r="A971" s="2" t="str">
        <f>IFERROR(__xludf.DUMMYFUNCTION("IF('From Order'!$A971=COLUMNS($A971:A990), LEFT(INDEX(FILTER(A$1:A970, A$1:A970&lt;&gt;""""),COUNTA(FILTER(A$1:A970, A$1:A970&lt;&gt;""""))), LEN(INDEX(FILTER(A$1:A970, A$1:A970&lt;&gt;""""),COUNTA(FILTER(A$1:A970, A$1:A970&lt;&gt;""""))))-1), IF('To Order'!$A971=COLUMNS($A971:A"&amp;"990), A970&amp;RIGHT(INDIRECT(ADDRESS(ROW(A971)-1, 'From Order'!$A971)), 1), A970))"),"J")</f>
        <v>J</v>
      </c>
      <c r="B971" s="2" t="str">
        <f>IFERROR(__xludf.DUMMYFUNCTION("IF('From Order'!$A971=COLUMNS($A971:B990), LEFT(INDEX(FILTER(B$1:B970, B$1:B970&lt;&gt;""""),COUNTA(FILTER(B$1:B970, B$1:B970&lt;&gt;""""))), LEN(INDEX(FILTER(B$1:B970, B$1:B970&lt;&gt;""""),COUNTA(FILTER(B$1:B970, B$1:B970&lt;&gt;""""))))-1), IF('To Order'!$A971=COLUMNS($A971:B"&amp;"990), B970&amp;RIGHT(INDIRECT(ADDRESS(ROW(B971)-1, 'From Order'!$A971)), 1), B970))"),"JD")</f>
        <v>JD</v>
      </c>
      <c r="C971" s="2" t="str">
        <f>IFERROR(__xludf.DUMMYFUNCTION("IF('From Order'!$A971=COLUMNS($A971:C990), LEFT(INDEX(FILTER(C$1:C970, C$1:C970&lt;&gt;""""),COUNTA(FILTER(C$1:C970, C$1:C970&lt;&gt;""""))), LEN(INDEX(FILTER(C$1:C970, C$1:C970&lt;&gt;""""),COUNTA(FILTER(C$1:C970, C$1:C970&lt;&gt;""""))))-1), IF('To Order'!$A971=COLUMNS($A971:C"&amp;"990), C970&amp;RIGHT(INDIRECT(ADDRESS(ROW(C971)-1, 'From Order'!$A971)), 1), C970))"),"TRLR")</f>
        <v>TRLR</v>
      </c>
      <c r="D971" s="2" t="str">
        <f>IFERROR(__xludf.DUMMYFUNCTION("IF('From Order'!$A971=COLUMNS($A971:D990), LEFT(INDEX(FILTER(D$1:D970, D$1:D970&lt;&gt;""""),COUNTA(FILTER(D$1:D970, D$1:D970&lt;&gt;""""))), LEN(INDEX(FILTER(D$1:D970, D$1:D970&lt;&gt;""""),COUNTA(FILTER(D$1:D970, D$1:D970&lt;&gt;""""))))-1), IF('To Order'!$A971=COLUMNS($A971:D"&amp;"990), D970&amp;RIGHT(INDIRECT(ADDRESS(ROW(D971)-1, 'From Order'!$A971)), 1), D970))"),"")</f>
        <v/>
      </c>
      <c r="E971" s="2" t="str">
        <f>IFERROR(__xludf.DUMMYFUNCTION("IF('From Order'!$A971=COLUMNS($A971:E990), LEFT(INDEX(FILTER(E$1:E970, E$1:E970&lt;&gt;""""),COUNTA(FILTER(E$1:E970, E$1:E970&lt;&gt;""""))), LEN(INDEX(FILTER(E$1:E970, E$1:E970&lt;&gt;""""),COUNTA(FILTER(E$1:E970, E$1:E970&lt;&gt;""""))))-1), IF('To Order'!$A971=COLUMNS($A971:E"&amp;"990), E970&amp;RIGHT(INDIRECT(ADDRESS(ROW(E971)-1, 'From Order'!$A971)), 1), E970))"),"MGCDRZVCJVPP")</f>
        <v>MGCDRZVCJVPP</v>
      </c>
      <c r="F971" s="2" t="str">
        <f>IFERROR(__xludf.DUMMYFUNCTION("IF('From Order'!$A971=COLUMNS($A971:F990), LEFT(INDEX(FILTER(F$1:F970, F$1:F970&lt;&gt;""""),COUNTA(FILTER(F$1:F970, F$1:F970&lt;&gt;""""))), LEN(INDEX(FILTER(F$1:F970, F$1:F970&lt;&gt;""""),COUNTA(FILTER(F$1:F970, F$1:F970&lt;&gt;""""))))-1), IF('To Order'!$A971=COLUMNS($A971:F"&amp;"990), F970&amp;RIGHT(INDIRECT(ADDRESS(ROW(F971)-1, 'From Order'!$A971)), 1), F970))"),"FSLTTWRDTDBDBSBZHMFBT")</f>
        <v>FSLTTWRDTDBDBSBZHMFBT</v>
      </c>
      <c r="G971" s="2" t="str">
        <f>IFERROR(__xludf.DUMMYFUNCTION("IF('From Order'!$A971=COLUMNS($A971:G990), LEFT(INDEX(FILTER(G$1:G970, G$1:G970&lt;&gt;""""),COUNTA(FILTER(G$1:G970, G$1:G970&lt;&gt;""""))), LEN(INDEX(FILTER(G$1:G970, G$1:G970&lt;&gt;""""),COUNTA(FILTER(G$1:G970, G$1:G970&lt;&gt;""""))))-1), IF('To Order'!$A971=COLUMNS($A971:G"&amp;"990), G970&amp;RIGHT(INDIRECT(ADDRESS(ROW(G971)-1, 'From Order'!$A971)), 1), G970))"),"RCT")</f>
        <v>RCT</v>
      </c>
      <c r="H971" s="2" t="str">
        <f>IFERROR(__xludf.DUMMYFUNCTION("IF('From Order'!$A971=COLUMNS($A971:H990), LEFT(INDEX(FILTER(H$1:H970, H$1:H970&lt;&gt;""""),COUNTA(FILTER(H$1:H970, H$1:H970&lt;&gt;""""))), LEN(INDEX(FILTER(H$1:H970, H$1:H970&lt;&gt;""""),COUNTA(FILTER(H$1:H970, H$1:H970&lt;&gt;""""))))-1), IF('To Order'!$A971=COLUMNS($A971:H"&amp;"990), H970&amp;RIGHT(INDIRECT(ADDRESS(ROW(H971)-1, 'From Order'!$A971)), 1), H970))"),"PDSSGHWQVQ")</f>
        <v>PDSSGHWQVQ</v>
      </c>
      <c r="I971" s="2" t="str">
        <f>IFERROR(__xludf.DUMMYFUNCTION("IF('From Order'!$A971=COLUMNS($A971:I990), LEFT(INDEX(FILTER(I$1:I970, I$1:I970&lt;&gt;""""),COUNTA(FILTER(I$1:I970, I$1:I970&lt;&gt;""""))), LEN(INDEX(FILTER(I$1:I970, I$1:I970&lt;&gt;""""),COUNTA(FILTER(I$1:I970, I$1:I970&lt;&gt;""""))))-1), IF('To Order'!$A971=COLUMNS($A971:I"&amp;"990), I970&amp;RIGHT(INDIRECT(ADDRESS(ROW(I971)-1, 'From Order'!$A971)), 1), I970))"),"LZM")</f>
        <v>LZM</v>
      </c>
    </row>
    <row r="972">
      <c r="A972" s="2" t="str">
        <f>IFERROR(__xludf.DUMMYFUNCTION("IF('From Order'!$A972=COLUMNS($A972:A991), LEFT(INDEX(FILTER(A$1:A971, A$1:A971&lt;&gt;""""),COUNTA(FILTER(A$1:A971, A$1:A971&lt;&gt;""""))), LEN(INDEX(FILTER(A$1:A971, A$1:A971&lt;&gt;""""),COUNTA(FILTER(A$1:A971, A$1:A971&lt;&gt;""""))))-1), IF('To Order'!$A972=COLUMNS($A972:A"&amp;"991), A971&amp;RIGHT(INDIRECT(ADDRESS(ROW(A972)-1, 'From Order'!$A972)), 1), A971))"),"J")</f>
        <v>J</v>
      </c>
      <c r="B972" s="2" t="str">
        <f>IFERROR(__xludf.DUMMYFUNCTION("IF('From Order'!$A972=COLUMNS($A972:B991), LEFT(INDEX(FILTER(B$1:B971, B$1:B971&lt;&gt;""""),COUNTA(FILTER(B$1:B971, B$1:B971&lt;&gt;""""))), LEN(INDEX(FILTER(B$1:B971, B$1:B971&lt;&gt;""""),COUNTA(FILTER(B$1:B971, B$1:B971&lt;&gt;""""))))-1), IF('To Order'!$A972=COLUMNS($A972:B"&amp;"991), B971&amp;RIGHT(INDIRECT(ADDRESS(ROW(B972)-1, 'From Order'!$A972)), 1), B971))"),"JD")</f>
        <v>JD</v>
      </c>
      <c r="C972" s="2" t="str">
        <f>IFERROR(__xludf.DUMMYFUNCTION("IF('From Order'!$A972=COLUMNS($A972:C991), LEFT(INDEX(FILTER(C$1:C971, C$1:C971&lt;&gt;""""),COUNTA(FILTER(C$1:C971, C$1:C971&lt;&gt;""""))), LEN(INDEX(FILTER(C$1:C971, C$1:C971&lt;&gt;""""),COUNTA(FILTER(C$1:C971, C$1:C971&lt;&gt;""""))))-1), IF('To Order'!$A972=COLUMNS($A972:C"&amp;"991), C971&amp;RIGHT(INDIRECT(ADDRESS(ROW(C972)-1, 'From Order'!$A972)), 1), C971))"),"TRLR")</f>
        <v>TRLR</v>
      </c>
      <c r="D972" s="2" t="str">
        <f>IFERROR(__xludf.DUMMYFUNCTION("IF('From Order'!$A972=COLUMNS($A972:D991), LEFT(INDEX(FILTER(D$1:D971, D$1:D971&lt;&gt;""""),COUNTA(FILTER(D$1:D971, D$1:D971&lt;&gt;""""))), LEN(INDEX(FILTER(D$1:D971, D$1:D971&lt;&gt;""""),COUNTA(FILTER(D$1:D971, D$1:D971&lt;&gt;""""))))-1), IF('To Order'!$A972=COLUMNS($A972:D"&amp;"991), D971&amp;RIGHT(INDIRECT(ADDRESS(ROW(D972)-1, 'From Order'!$A972)), 1), D971))"),"")</f>
        <v/>
      </c>
      <c r="E972" s="2" t="str">
        <f>IFERROR(__xludf.DUMMYFUNCTION("IF('From Order'!$A972=COLUMNS($A972:E991), LEFT(INDEX(FILTER(E$1:E971, E$1:E971&lt;&gt;""""),COUNTA(FILTER(E$1:E971, E$1:E971&lt;&gt;""""))), LEN(INDEX(FILTER(E$1:E971, E$1:E971&lt;&gt;""""),COUNTA(FILTER(E$1:E971, E$1:E971&lt;&gt;""""))))-1), IF('To Order'!$A972=COLUMNS($A972:E"&amp;"991), E971&amp;RIGHT(INDIRECT(ADDRESS(ROW(E972)-1, 'From Order'!$A972)), 1), E971))"),"MGCDRZVCJVPP")</f>
        <v>MGCDRZVCJVPP</v>
      </c>
      <c r="F972" s="2" t="str">
        <f>IFERROR(__xludf.DUMMYFUNCTION("IF('From Order'!$A972=COLUMNS($A972:F991), LEFT(INDEX(FILTER(F$1:F971, F$1:F971&lt;&gt;""""),COUNTA(FILTER(F$1:F971, F$1:F971&lt;&gt;""""))), LEN(INDEX(FILTER(F$1:F971, F$1:F971&lt;&gt;""""),COUNTA(FILTER(F$1:F971, F$1:F971&lt;&gt;""""))))-1), IF('To Order'!$A972=COLUMNS($A972:F"&amp;"991), F971&amp;RIGHT(INDIRECT(ADDRESS(ROW(F972)-1, 'From Order'!$A972)), 1), F971))"),"FSLTTWRDTDBDBSBZHMFBT")</f>
        <v>FSLTTWRDTDBDBSBZHMFBT</v>
      </c>
      <c r="G972" s="2" t="str">
        <f>IFERROR(__xludf.DUMMYFUNCTION("IF('From Order'!$A972=COLUMNS($A972:G991), LEFT(INDEX(FILTER(G$1:G971, G$1:G971&lt;&gt;""""),COUNTA(FILTER(G$1:G971, G$1:G971&lt;&gt;""""))), LEN(INDEX(FILTER(G$1:G971, G$1:G971&lt;&gt;""""),COUNTA(FILTER(G$1:G971, G$1:G971&lt;&gt;""""))))-1), IF('To Order'!$A972=COLUMNS($A972:G"&amp;"991), G971&amp;RIGHT(INDIRECT(ADDRESS(ROW(G972)-1, 'From Order'!$A972)), 1), G971))"),"RCTM")</f>
        <v>RCTM</v>
      </c>
      <c r="H972" s="2" t="str">
        <f>IFERROR(__xludf.DUMMYFUNCTION("IF('From Order'!$A972=COLUMNS($A972:H991), LEFT(INDEX(FILTER(H$1:H971, H$1:H971&lt;&gt;""""),COUNTA(FILTER(H$1:H971, H$1:H971&lt;&gt;""""))), LEN(INDEX(FILTER(H$1:H971, H$1:H971&lt;&gt;""""),COUNTA(FILTER(H$1:H971, H$1:H971&lt;&gt;""""))))-1), IF('To Order'!$A972=COLUMNS($A972:H"&amp;"991), H971&amp;RIGHT(INDIRECT(ADDRESS(ROW(H972)-1, 'From Order'!$A972)), 1), H971))"),"PDSSGHWQVQ")</f>
        <v>PDSSGHWQVQ</v>
      </c>
      <c r="I972" s="2" t="str">
        <f>IFERROR(__xludf.DUMMYFUNCTION("IF('From Order'!$A972=COLUMNS($A972:I991), LEFT(INDEX(FILTER(I$1:I971, I$1:I971&lt;&gt;""""),COUNTA(FILTER(I$1:I971, I$1:I971&lt;&gt;""""))), LEN(INDEX(FILTER(I$1:I971, I$1:I971&lt;&gt;""""),COUNTA(FILTER(I$1:I971, I$1:I971&lt;&gt;""""))))-1), IF('To Order'!$A972=COLUMNS($A972:I"&amp;"991), I971&amp;RIGHT(INDIRECT(ADDRESS(ROW(I972)-1, 'From Order'!$A972)), 1), I971))"),"LZ")</f>
        <v>LZ</v>
      </c>
    </row>
    <row r="973">
      <c r="A973" s="2" t="str">
        <f>IFERROR(__xludf.DUMMYFUNCTION("IF('From Order'!$A973=COLUMNS($A973:A992), LEFT(INDEX(FILTER(A$1:A972, A$1:A972&lt;&gt;""""),COUNTA(FILTER(A$1:A972, A$1:A972&lt;&gt;""""))), LEN(INDEX(FILTER(A$1:A972, A$1:A972&lt;&gt;""""),COUNTA(FILTER(A$1:A972, A$1:A972&lt;&gt;""""))))-1), IF('To Order'!$A973=COLUMNS($A973:A"&amp;"992), A972&amp;RIGHT(INDIRECT(ADDRESS(ROW(A973)-1, 'From Order'!$A973)), 1), A972))"),"J")</f>
        <v>J</v>
      </c>
      <c r="B973" s="2" t="str">
        <f>IFERROR(__xludf.DUMMYFUNCTION("IF('From Order'!$A973=COLUMNS($A973:B992), LEFT(INDEX(FILTER(B$1:B972, B$1:B972&lt;&gt;""""),COUNTA(FILTER(B$1:B972, B$1:B972&lt;&gt;""""))), LEN(INDEX(FILTER(B$1:B972, B$1:B972&lt;&gt;""""),COUNTA(FILTER(B$1:B972, B$1:B972&lt;&gt;""""))))-1), IF('To Order'!$A973=COLUMNS($A973:B"&amp;"992), B972&amp;RIGHT(INDIRECT(ADDRESS(ROW(B973)-1, 'From Order'!$A973)), 1), B972))"),"JD")</f>
        <v>JD</v>
      </c>
      <c r="C973" s="2" t="str">
        <f>IFERROR(__xludf.DUMMYFUNCTION("IF('From Order'!$A973=COLUMNS($A973:C992), LEFT(INDEX(FILTER(C$1:C972, C$1:C972&lt;&gt;""""),COUNTA(FILTER(C$1:C972, C$1:C972&lt;&gt;""""))), LEN(INDEX(FILTER(C$1:C972, C$1:C972&lt;&gt;""""),COUNTA(FILTER(C$1:C972, C$1:C972&lt;&gt;""""))))-1), IF('To Order'!$A973=COLUMNS($A973:C"&amp;"992), C972&amp;RIGHT(INDIRECT(ADDRESS(ROW(C973)-1, 'From Order'!$A973)), 1), C972))"),"TRLR")</f>
        <v>TRLR</v>
      </c>
      <c r="D973" s="2" t="str">
        <f>IFERROR(__xludf.DUMMYFUNCTION("IF('From Order'!$A973=COLUMNS($A973:D992), LEFT(INDEX(FILTER(D$1:D972, D$1:D972&lt;&gt;""""),COUNTA(FILTER(D$1:D972, D$1:D972&lt;&gt;""""))), LEN(INDEX(FILTER(D$1:D972, D$1:D972&lt;&gt;""""),COUNTA(FILTER(D$1:D972, D$1:D972&lt;&gt;""""))))-1), IF('To Order'!$A973=COLUMNS($A973:D"&amp;"992), D972&amp;RIGHT(INDIRECT(ADDRESS(ROW(D973)-1, 'From Order'!$A973)), 1), D972))"),"")</f>
        <v/>
      </c>
      <c r="E973" s="2" t="str">
        <f>IFERROR(__xludf.DUMMYFUNCTION("IF('From Order'!$A973=COLUMNS($A973:E992), LEFT(INDEX(FILTER(E$1:E972, E$1:E972&lt;&gt;""""),COUNTA(FILTER(E$1:E972, E$1:E972&lt;&gt;""""))), LEN(INDEX(FILTER(E$1:E972, E$1:E972&lt;&gt;""""),COUNTA(FILTER(E$1:E972, E$1:E972&lt;&gt;""""))))-1), IF('To Order'!$A973=COLUMNS($A973:E"&amp;"992), E972&amp;RIGHT(INDIRECT(ADDRESS(ROW(E973)-1, 'From Order'!$A973)), 1), E972))"),"MGCDRZVCJVPP")</f>
        <v>MGCDRZVCJVPP</v>
      </c>
      <c r="F973" s="2" t="str">
        <f>IFERROR(__xludf.DUMMYFUNCTION("IF('From Order'!$A973=COLUMNS($A973:F992), LEFT(INDEX(FILTER(F$1:F972, F$1:F972&lt;&gt;""""),COUNTA(FILTER(F$1:F972, F$1:F972&lt;&gt;""""))), LEN(INDEX(FILTER(F$1:F972, F$1:F972&lt;&gt;""""),COUNTA(FILTER(F$1:F972, F$1:F972&lt;&gt;""""))))-1), IF('To Order'!$A973=COLUMNS($A973:F"&amp;"992), F972&amp;RIGHT(INDIRECT(ADDRESS(ROW(F973)-1, 'From Order'!$A973)), 1), F972))"),"FSLTTWRDTDBDBSBZHMFBT")</f>
        <v>FSLTTWRDTDBDBSBZHMFBT</v>
      </c>
      <c r="G973" s="2" t="str">
        <f>IFERROR(__xludf.DUMMYFUNCTION("IF('From Order'!$A973=COLUMNS($A973:G992), LEFT(INDEX(FILTER(G$1:G972, G$1:G972&lt;&gt;""""),COUNTA(FILTER(G$1:G972, G$1:G972&lt;&gt;""""))), LEN(INDEX(FILTER(G$1:G972, G$1:G972&lt;&gt;""""),COUNTA(FILTER(G$1:G972, G$1:G972&lt;&gt;""""))))-1), IF('To Order'!$A973=COLUMNS($A973:G"&amp;"992), G972&amp;RIGHT(INDIRECT(ADDRESS(ROW(G973)-1, 'From Order'!$A973)), 1), G972))"),"RCTMZ")</f>
        <v>RCTMZ</v>
      </c>
      <c r="H973" s="2" t="str">
        <f>IFERROR(__xludf.DUMMYFUNCTION("IF('From Order'!$A973=COLUMNS($A973:H992), LEFT(INDEX(FILTER(H$1:H972, H$1:H972&lt;&gt;""""),COUNTA(FILTER(H$1:H972, H$1:H972&lt;&gt;""""))), LEN(INDEX(FILTER(H$1:H972, H$1:H972&lt;&gt;""""),COUNTA(FILTER(H$1:H972, H$1:H972&lt;&gt;""""))))-1), IF('To Order'!$A973=COLUMNS($A973:H"&amp;"992), H972&amp;RIGHT(INDIRECT(ADDRESS(ROW(H973)-1, 'From Order'!$A973)), 1), H972))"),"PDSSGHWQVQ")</f>
        <v>PDSSGHWQVQ</v>
      </c>
      <c r="I973" s="2" t="str">
        <f>IFERROR(__xludf.DUMMYFUNCTION("IF('From Order'!$A973=COLUMNS($A973:I992), LEFT(INDEX(FILTER(I$1:I972, I$1:I972&lt;&gt;""""),COUNTA(FILTER(I$1:I972, I$1:I972&lt;&gt;""""))), LEN(INDEX(FILTER(I$1:I972, I$1:I972&lt;&gt;""""),COUNTA(FILTER(I$1:I972, I$1:I972&lt;&gt;""""))))-1), IF('To Order'!$A973=COLUMNS($A973:I"&amp;"992), I972&amp;RIGHT(INDIRECT(ADDRESS(ROW(I973)-1, 'From Order'!$A973)), 1), I972))"),"L")</f>
        <v>L</v>
      </c>
    </row>
    <row r="974">
      <c r="A974" s="2" t="str">
        <f>IFERROR(__xludf.DUMMYFUNCTION("IF('From Order'!$A974=COLUMNS($A974:A993), LEFT(INDEX(FILTER(A$1:A973, A$1:A973&lt;&gt;""""),COUNTA(FILTER(A$1:A973, A$1:A973&lt;&gt;""""))), LEN(INDEX(FILTER(A$1:A973, A$1:A973&lt;&gt;""""),COUNTA(FILTER(A$1:A973, A$1:A973&lt;&gt;""""))))-1), IF('To Order'!$A974=COLUMNS($A974:A"&amp;"993), A973&amp;RIGHT(INDIRECT(ADDRESS(ROW(A974)-1, 'From Order'!$A974)), 1), A973))"),"J")</f>
        <v>J</v>
      </c>
      <c r="B974" s="2" t="str">
        <f>IFERROR(__xludf.DUMMYFUNCTION("IF('From Order'!$A974=COLUMNS($A974:B993), LEFT(INDEX(FILTER(B$1:B973, B$1:B973&lt;&gt;""""),COUNTA(FILTER(B$1:B973, B$1:B973&lt;&gt;""""))), LEN(INDEX(FILTER(B$1:B973, B$1:B973&lt;&gt;""""),COUNTA(FILTER(B$1:B973, B$1:B973&lt;&gt;""""))))-1), IF('To Order'!$A974=COLUMNS($A974:B"&amp;"993), B973&amp;RIGHT(INDIRECT(ADDRESS(ROW(B974)-1, 'From Order'!$A974)), 1), B973))"),"JD")</f>
        <v>JD</v>
      </c>
      <c r="C974" s="2" t="str">
        <f>IFERROR(__xludf.DUMMYFUNCTION("IF('From Order'!$A974=COLUMNS($A974:C993), LEFT(INDEX(FILTER(C$1:C973, C$1:C973&lt;&gt;""""),COUNTA(FILTER(C$1:C973, C$1:C973&lt;&gt;""""))), LEN(INDEX(FILTER(C$1:C973, C$1:C973&lt;&gt;""""),COUNTA(FILTER(C$1:C973, C$1:C973&lt;&gt;""""))))-1), IF('To Order'!$A974=COLUMNS($A974:C"&amp;"993), C973&amp;RIGHT(INDIRECT(ADDRESS(ROW(C974)-1, 'From Order'!$A974)), 1), C973))"),"TRLR")</f>
        <v>TRLR</v>
      </c>
      <c r="D974" s="2" t="str">
        <f>IFERROR(__xludf.DUMMYFUNCTION("IF('From Order'!$A974=COLUMNS($A974:D993), LEFT(INDEX(FILTER(D$1:D973, D$1:D973&lt;&gt;""""),COUNTA(FILTER(D$1:D973, D$1:D973&lt;&gt;""""))), LEN(INDEX(FILTER(D$1:D973, D$1:D973&lt;&gt;""""),COUNTA(FILTER(D$1:D973, D$1:D973&lt;&gt;""""))))-1), IF('To Order'!$A974=COLUMNS($A974:D"&amp;"993), D973&amp;RIGHT(INDIRECT(ADDRESS(ROW(D974)-1, 'From Order'!$A974)), 1), D973))"),"")</f>
        <v/>
      </c>
      <c r="E974" s="2" t="str">
        <f>IFERROR(__xludf.DUMMYFUNCTION("IF('From Order'!$A974=COLUMNS($A974:E993), LEFT(INDEX(FILTER(E$1:E973, E$1:E973&lt;&gt;""""),COUNTA(FILTER(E$1:E973, E$1:E973&lt;&gt;""""))), LEN(INDEX(FILTER(E$1:E973, E$1:E973&lt;&gt;""""),COUNTA(FILTER(E$1:E973, E$1:E973&lt;&gt;""""))))-1), IF('To Order'!$A974=COLUMNS($A974:E"&amp;"993), E973&amp;RIGHT(INDIRECT(ADDRESS(ROW(E974)-1, 'From Order'!$A974)), 1), E973))"),"MGCDRZVCJVPP")</f>
        <v>MGCDRZVCJVPP</v>
      </c>
      <c r="F974" s="2" t="str">
        <f>IFERROR(__xludf.DUMMYFUNCTION("IF('From Order'!$A974=COLUMNS($A974:F993), LEFT(INDEX(FILTER(F$1:F973, F$1:F973&lt;&gt;""""),COUNTA(FILTER(F$1:F973, F$1:F973&lt;&gt;""""))), LEN(INDEX(FILTER(F$1:F973, F$1:F973&lt;&gt;""""),COUNTA(FILTER(F$1:F973, F$1:F973&lt;&gt;""""))))-1), IF('To Order'!$A974=COLUMNS($A974:F"&amp;"993), F973&amp;RIGHT(INDIRECT(ADDRESS(ROW(F974)-1, 'From Order'!$A974)), 1), F973))"),"FSLTTWRDTDBDBSBZHMFBT")</f>
        <v>FSLTTWRDTDBDBSBZHMFBT</v>
      </c>
      <c r="G974" s="2" t="str">
        <f>IFERROR(__xludf.DUMMYFUNCTION("IF('From Order'!$A974=COLUMNS($A974:G993), LEFT(INDEX(FILTER(G$1:G973, G$1:G973&lt;&gt;""""),COUNTA(FILTER(G$1:G973, G$1:G973&lt;&gt;""""))), LEN(INDEX(FILTER(G$1:G973, G$1:G973&lt;&gt;""""),COUNTA(FILTER(G$1:G973, G$1:G973&lt;&gt;""""))))-1), IF('To Order'!$A974=COLUMNS($A974:G"&amp;"993), G973&amp;RIGHT(INDIRECT(ADDRESS(ROW(G974)-1, 'From Order'!$A974)), 1), G973))"),"RCTMZL")</f>
        <v>RCTMZL</v>
      </c>
      <c r="H974" s="2" t="str">
        <f>IFERROR(__xludf.DUMMYFUNCTION("IF('From Order'!$A974=COLUMNS($A974:H993), LEFT(INDEX(FILTER(H$1:H973, H$1:H973&lt;&gt;""""),COUNTA(FILTER(H$1:H973, H$1:H973&lt;&gt;""""))), LEN(INDEX(FILTER(H$1:H973, H$1:H973&lt;&gt;""""),COUNTA(FILTER(H$1:H973, H$1:H973&lt;&gt;""""))))-1), IF('To Order'!$A974=COLUMNS($A974:H"&amp;"993), H973&amp;RIGHT(INDIRECT(ADDRESS(ROW(H974)-1, 'From Order'!$A974)), 1), H973))"),"PDSSGHWQVQ")</f>
        <v>PDSSGHWQVQ</v>
      </c>
      <c r="I974" s="2" t="str">
        <f>IFERROR(__xludf.DUMMYFUNCTION("IF('From Order'!$A974=COLUMNS($A974:I993), LEFT(INDEX(FILTER(I$1:I973, I$1:I973&lt;&gt;""""),COUNTA(FILTER(I$1:I973, I$1:I973&lt;&gt;""""))), LEN(INDEX(FILTER(I$1:I973, I$1:I973&lt;&gt;""""),COUNTA(FILTER(I$1:I973, I$1:I973&lt;&gt;""""))))-1), IF('To Order'!$A974=COLUMNS($A974:I"&amp;"993), I973&amp;RIGHT(INDIRECT(ADDRESS(ROW(I974)-1, 'From Order'!$A974)), 1), I973))"),"")</f>
        <v/>
      </c>
    </row>
    <row r="975">
      <c r="A975" s="2" t="str">
        <f>IFERROR(__xludf.DUMMYFUNCTION("IF('From Order'!$A975=COLUMNS($A975:A994), LEFT(INDEX(FILTER(A$1:A974, A$1:A974&lt;&gt;""""),COUNTA(FILTER(A$1:A974, A$1:A974&lt;&gt;""""))), LEN(INDEX(FILTER(A$1:A974, A$1:A974&lt;&gt;""""),COUNTA(FILTER(A$1:A974, A$1:A974&lt;&gt;""""))))-1), IF('To Order'!$A975=COLUMNS($A975:A"&amp;"994), A974&amp;RIGHT(INDIRECT(ADDRESS(ROW(A975)-1, 'From Order'!$A975)), 1), A974))"),"")</f>
        <v/>
      </c>
      <c r="B975" s="2" t="str">
        <f>IFERROR(__xludf.DUMMYFUNCTION("IF('From Order'!$A975=COLUMNS($A975:B994), LEFT(INDEX(FILTER(B$1:B974, B$1:B974&lt;&gt;""""),COUNTA(FILTER(B$1:B974, B$1:B974&lt;&gt;""""))), LEN(INDEX(FILTER(B$1:B974, B$1:B974&lt;&gt;""""),COUNTA(FILTER(B$1:B974, B$1:B974&lt;&gt;""""))))-1), IF('To Order'!$A975=COLUMNS($A975:B"&amp;"994), B974&amp;RIGHT(INDIRECT(ADDRESS(ROW(B975)-1, 'From Order'!$A975)), 1), B974))"),"JD")</f>
        <v>JD</v>
      </c>
      <c r="C975" s="2" t="str">
        <f>IFERROR(__xludf.DUMMYFUNCTION("IF('From Order'!$A975=COLUMNS($A975:C994), LEFT(INDEX(FILTER(C$1:C974, C$1:C974&lt;&gt;""""),COUNTA(FILTER(C$1:C974, C$1:C974&lt;&gt;""""))), LEN(INDEX(FILTER(C$1:C974, C$1:C974&lt;&gt;""""),COUNTA(FILTER(C$1:C974, C$1:C974&lt;&gt;""""))))-1), IF('To Order'!$A975=COLUMNS($A975:C"&amp;"994), C974&amp;RIGHT(INDIRECT(ADDRESS(ROW(C975)-1, 'From Order'!$A975)), 1), C974))"),"TRLR")</f>
        <v>TRLR</v>
      </c>
      <c r="D975" s="2" t="str">
        <f>IFERROR(__xludf.DUMMYFUNCTION("IF('From Order'!$A975=COLUMNS($A975:D994), LEFT(INDEX(FILTER(D$1:D974, D$1:D974&lt;&gt;""""),COUNTA(FILTER(D$1:D974, D$1:D974&lt;&gt;""""))), LEN(INDEX(FILTER(D$1:D974, D$1:D974&lt;&gt;""""),COUNTA(FILTER(D$1:D974, D$1:D974&lt;&gt;""""))))-1), IF('To Order'!$A975=COLUMNS($A975:D"&amp;"994), D974&amp;RIGHT(INDIRECT(ADDRESS(ROW(D975)-1, 'From Order'!$A975)), 1), D974))"),"")</f>
        <v/>
      </c>
      <c r="E975" s="2" t="str">
        <f>IFERROR(__xludf.DUMMYFUNCTION("IF('From Order'!$A975=COLUMNS($A975:E994), LEFT(INDEX(FILTER(E$1:E974, E$1:E974&lt;&gt;""""),COUNTA(FILTER(E$1:E974, E$1:E974&lt;&gt;""""))), LEN(INDEX(FILTER(E$1:E974, E$1:E974&lt;&gt;""""),COUNTA(FILTER(E$1:E974, E$1:E974&lt;&gt;""""))))-1), IF('To Order'!$A975=COLUMNS($A975:E"&amp;"994), E974&amp;RIGHT(INDIRECT(ADDRESS(ROW(E975)-1, 'From Order'!$A975)), 1), E974))"),"MGCDRZVCJVPP")</f>
        <v>MGCDRZVCJVPP</v>
      </c>
      <c r="F975" s="2" t="str">
        <f>IFERROR(__xludf.DUMMYFUNCTION("IF('From Order'!$A975=COLUMNS($A975:F994), LEFT(INDEX(FILTER(F$1:F974, F$1:F974&lt;&gt;""""),COUNTA(FILTER(F$1:F974, F$1:F974&lt;&gt;""""))), LEN(INDEX(FILTER(F$1:F974, F$1:F974&lt;&gt;""""),COUNTA(FILTER(F$1:F974, F$1:F974&lt;&gt;""""))))-1), IF('To Order'!$A975=COLUMNS($A975:F"&amp;"994), F974&amp;RIGHT(INDIRECT(ADDRESS(ROW(F975)-1, 'From Order'!$A975)), 1), F974))"),"FSLTTWRDTDBDBSBZHMFBT")</f>
        <v>FSLTTWRDTDBDBSBZHMFBT</v>
      </c>
      <c r="G975" s="2" t="str">
        <f>IFERROR(__xludf.DUMMYFUNCTION("IF('From Order'!$A975=COLUMNS($A975:G994), LEFT(INDEX(FILTER(G$1:G974, G$1:G974&lt;&gt;""""),COUNTA(FILTER(G$1:G974, G$1:G974&lt;&gt;""""))), LEN(INDEX(FILTER(G$1:G974, G$1:G974&lt;&gt;""""),COUNTA(FILTER(G$1:G974, G$1:G974&lt;&gt;""""))))-1), IF('To Order'!$A975=COLUMNS($A975:G"&amp;"994), G974&amp;RIGHT(INDIRECT(ADDRESS(ROW(G975)-1, 'From Order'!$A975)), 1), G974))"),"RCTMZL")</f>
        <v>RCTMZL</v>
      </c>
      <c r="H975" s="2" t="str">
        <f>IFERROR(__xludf.DUMMYFUNCTION("IF('From Order'!$A975=COLUMNS($A975:H994), LEFT(INDEX(FILTER(H$1:H974, H$1:H974&lt;&gt;""""),COUNTA(FILTER(H$1:H974, H$1:H974&lt;&gt;""""))), LEN(INDEX(FILTER(H$1:H974, H$1:H974&lt;&gt;""""),COUNTA(FILTER(H$1:H974, H$1:H974&lt;&gt;""""))))-1), IF('To Order'!$A975=COLUMNS($A975:H"&amp;"994), H974&amp;RIGHT(INDIRECT(ADDRESS(ROW(H975)-1, 'From Order'!$A975)), 1), H974))"),"PDSSGHWQVQJ")</f>
        <v>PDSSGHWQVQJ</v>
      </c>
      <c r="I975" s="2" t="str">
        <f>IFERROR(__xludf.DUMMYFUNCTION("IF('From Order'!$A975=COLUMNS($A975:I994), LEFT(INDEX(FILTER(I$1:I974, I$1:I974&lt;&gt;""""),COUNTA(FILTER(I$1:I974, I$1:I974&lt;&gt;""""))), LEN(INDEX(FILTER(I$1:I974, I$1:I974&lt;&gt;""""),COUNTA(FILTER(I$1:I974, I$1:I974&lt;&gt;""""))))-1), IF('To Order'!$A975=COLUMNS($A975:I"&amp;"994), I974&amp;RIGHT(INDIRECT(ADDRESS(ROW(I975)-1, 'From Order'!$A975)), 1), I974))"),"")</f>
        <v/>
      </c>
    </row>
    <row r="976">
      <c r="A976" s="2" t="str">
        <f>IFERROR(__xludf.DUMMYFUNCTION("IF('From Order'!$A976=COLUMNS($A976:A995), LEFT(INDEX(FILTER(A$1:A975, A$1:A975&lt;&gt;""""),COUNTA(FILTER(A$1:A975, A$1:A975&lt;&gt;""""))), LEN(INDEX(FILTER(A$1:A975, A$1:A975&lt;&gt;""""),COUNTA(FILTER(A$1:A975, A$1:A975&lt;&gt;""""))))-1), IF('To Order'!$A976=COLUMNS($A976:A"&amp;"995), A975&amp;RIGHT(INDIRECT(ADDRESS(ROW(A976)-1, 'From Order'!$A976)), 1), A975))"),"")</f>
        <v/>
      </c>
      <c r="B976" s="2" t="str">
        <f>IFERROR(__xludf.DUMMYFUNCTION("IF('From Order'!$A976=COLUMNS($A976:B995), LEFT(INDEX(FILTER(B$1:B975, B$1:B975&lt;&gt;""""),COUNTA(FILTER(B$1:B975, B$1:B975&lt;&gt;""""))), LEN(INDEX(FILTER(B$1:B975, B$1:B975&lt;&gt;""""),COUNTA(FILTER(B$1:B975, B$1:B975&lt;&gt;""""))))-1), IF('To Order'!$A976=COLUMNS($A976:B"&amp;"995), B975&amp;RIGHT(INDIRECT(ADDRESS(ROW(B976)-1, 'From Order'!$A976)), 1), B975))"),"JD")</f>
        <v>JD</v>
      </c>
      <c r="C976" s="2" t="str">
        <f>IFERROR(__xludf.DUMMYFUNCTION("IF('From Order'!$A976=COLUMNS($A976:C995), LEFT(INDEX(FILTER(C$1:C975, C$1:C975&lt;&gt;""""),COUNTA(FILTER(C$1:C975, C$1:C975&lt;&gt;""""))), LEN(INDEX(FILTER(C$1:C975, C$1:C975&lt;&gt;""""),COUNTA(FILTER(C$1:C975, C$1:C975&lt;&gt;""""))))-1), IF('To Order'!$A976=COLUMNS($A976:C"&amp;"995), C975&amp;RIGHT(INDIRECT(ADDRESS(ROW(C976)-1, 'From Order'!$A976)), 1), C975))"),"TRLR")</f>
        <v>TRLR</v>
      </c>
      <c r="D976" s="2" t="str">
        <f>IFERROR(__xludf.DUMMYFUNCTION("IF('From Order'!$A976=COLUMNS($A976:D995), LEFT(INDEX(FILTER(D$1:D975, D$1:D975&lt;&gt;""""),COUNTA(FILTER(D$1:D975, D$1:D975&lt;&gt;""""))), LEN(INDEX(FILTER(D$1:D975, D$1:D975&lt;&gt;""""),COUNTA(FILTER(D$1:D975, D$1:D975&lt;&gt;""""))))-1), IF('To Order'!$A976=COLUMNS($A976:D"&amp;"995), D975&amp;RIGHT(INDIRECT(ADDRESS(ROW(D976)-1, 'From Order'!$A976)), 1), D975))"),"")</f>
        <v/>
      </c>
      <c r="E976" s="2" t="str">
        <f>IFERROR(__xludf.DUMMYFUNCTION("IF('From Order'!$A976=COLUMNS($A976:E995), LEFT(INDEX(FILTER(E$1:E975, E$1:E975&lt;&gt;""""),COUNTA(FILTER(E$1:E975, E$1:E975&lt;&gt;""""))), LEN(INDEX(FILTER(E$1:E975, E$1:E975&lt;&gt;""""),COUNTA(FILTER(E$1:E975, E$1:E975&lt;&gt;""""))))-1), IF('To Order'!$A976=COLUMNS($A976:E"&amp;"995), E975&amp;RIGHT(INDIRECT(ADDRESS(ROW(E976)-1, 'From Order'!$A976)), 1), E975))"),"MGCDRZVCJVPPJ")</f>
        <v>MGCDRZVCJVPPJ</v>
      </c>
      <c r="F976" s="2" t="str">
        <f>IFERROR(__xludf.DUMMYFUNCTION("IF('From Order'!$A976=COLUMNS($A976:F995), LEFT(INDEX(FILTER(F$1:F975, F$1:F975&lt;&gt;""""),COUNTA(FILTER(F$1:F975, F$1:F975&lt;&gt;""""))), LEN(INDEX(FILTER(F$1:F975, F$1:F975&lt;&gt;""""),COUNTA(FILTER(F$1:F975, F$1:F975&lt;&gt;""""))))-1), IF('To Order'!$A976=COLUMNS($A976:F"&amp;"995), F975&amp;RIGHT(INDIRECT(ADDRESS(ROW(F976)-1, 'From Order'!$A976)), 1), F975))"),"FSLTTWRDTDBDBSBZHMFBT")</f>
        <v>FSLTTWRDTDBDBSBZHMFBT</v>
      </c>
      <c r="G976" s="2" t="str">
        <f>IFERROR(__xludf.DUMMYFUNCTION("IF('From Order'!$A976=COLUMNS($A976:G995), LEFT(INDEX(FILTER(G$1:G975, G$1:G975&lt;&gt;""""),COUNTA(FILTER(G$1:G975, G$1:G975&lt;&gt;""""))), LEN(INDEX(FILTER(G$1:G975, G$1:G975&lt;&gt;""""),COUNTA(FILTER(G$1:G975, G$1:G975&lt;&gt;""""))))-1), IF('To Order'!$A976=COLUMNS($A976:G"&amp;"995), G975&amp;RIGHT(INDIRECT(ADDRESS(ROW(G976)-1, 'From Order'!$A976)), 1), G975))"),"RCTMZL")</f>
        <v>RCTMZL</v>
      </c>
      <c r="H976" s="2" t="str">
        <f>IFERROR(__xludf.DUMMYFUNCTION("IF('From Order'!$A976=COLUMNS($A976:H995), LEFT(INDEX(FILTER(H$1:H975, H$1:H975&lt;&gt;""""),COUNTA(FILTER(H$1:H975, H$1:H975&lt;&gt;""""))), LEN(INDEX(FILTER(H$1:H975, H$1:H975&lt;&gt;""""),COUNTA(FILTER(H$1:H975, H$1:H975&lt;&gt;""""))))-1), IF('To Order'!$A976=COLUMNS($A976:H"&amp;"995), H975&amp;RIGHT(INDIRECT(ADDRESS(ROW(H976)-1, 'From Order'!$A976)), 1), H975))"),"PDSSGHWQVQ")</f>
        <v>PDSSGHWQVQ</v>
      </c>
      <c r="I976" s="2" t="str">
        <f>IFERROR(__xludf.DUMMYFUNCTION("IF('From Order'!$A976=COLUMNS($A976:I995), LEFT(INDEX(FILTER(I$1:I975, I$1:I975&lt;&gt;""""),COUNTA(FILTER(I$1:I975, I$1:I975&lt;&gt;""""))), LEN(INDEX(FILTER(I$1:I975, I$1:I975&lt;&gt;""""),COUNTA(FILTER(I$1:I975, I$1:I975&lt;&gt;""""))))-1), IF('To Order'!$A976=COLUMNS($A976:I"&amp;"995), I975&amp;RIGHT(INDIRECT(ADDRESS(ROW(I976)-1, 'From Order'!$A976)), 1), I975))"),"")</f>
        <v/>
      </c>
    </row>
    <row r="977">
      <c r="A977" s="2" t="str">
        <f>IFERROR(__xludf.DUMMYFUNCTION("IF('From Order'!$A977=COLUMNS($A977:A996), LEFT(INDEX(FILTER(A$1:A976, A$1:A976&lt;&gt;""""),COUNTA(FILTER(A$1:A976, A$1:A976&lt;&gt;""""))), LEN(INDEX(FILTER(A$1:A976, A$1:A976&lt;&gt;""""),COUNTA(FILTER(A$1:A976, A$1:A976&lt;&gt;""""))))-1), IF('To Order'!$A977=COLUMNS($A977:A"&amp;"996), A976&amp;RIGHT(INDIRECT(ADDRESS(ROW(A977)-1, 'From Order'!$A977)), 1), A976))"),"")</f>
        <v/>
      </c>
      <c r="B977" s="2" t="str">
        <f>IFERROR(__xludf.DUMMYFUNCTION("IF('From Order'!$A977=COLUMNS($A977:B996), LEFT(INDEX(FILTER(B$1:B976, B$1:B976&lt;&gt;""""),COUNTA(FILTER(B$1:B976, B$1:B976&lt;&gt;""""))), LEN(INDEX(FILTER(B$1:B976, B$1:B976&lt;&gt;""""),COUNTA(FILTER(B$1:B976, B$1:B976&lt;&gt;""""))))-1), IF('To Order'!$A977=COLUMNS($A977:B"&amp;"996), B976&amp;RIGHT(INDIRECT(ADDRESS(ROW(B977)-1, 'From Order'!$A977)), 1), B976))"),"JD")</f>
        <v>JD</v>
      </c>
      <c r="C977" s="2" t="str">
        <f>IFERROR(__xludf.DUMMYFUNCTION("IF('From Order'!$A977=COLUMNS($A977:C996), LEFT(INDEX(FILTER(C$1:C976, C$1:C976&lt;&gt;""""),COUNTA(FILTER(C$1:C976, C$1:C976&lt;&gt;""""))), LEN(INDEX(FILTER(C$1:C976, C$1:C976&lt;&gt;""""),COUNTA(FILTER(C$1:C976, C$1:C976&lt;&gt;""""))))-1), IF('To Order'!$A977=COLUMNS($A977:C"&amp;"996), C976&amp;RIGHT(INDIRECT(ADDRESS(ROW(C977)-1, 'From Order'!$A977)), 1), C976))"),"TRLR")</f>
        <v>TRLR</v>
      </c>
      <c r="D977" s="2" t="str">
        <f>IFERROR(__xludf.DUMMYFUNCTION("IF('From Order'!$A977=COLUMNS($A977:D996), LEFT(INDEX(FILTER(D$1:D976, D$1:D976&lt;&gt;""""),COUNTA(FILTER(D$1:D976, D$1:D976&lt;&gt;""""))), LEN(INDEX(FILTER(D$1:D976, D$1:D976&lt;&gt;""""),COUNTA(FILTER(D$1:D976, D$1:D976&lt;&gt;""""))))-1), IF('To Order'!$A977=COLUMNS($A977:D"&amp;"996), D976&amp;RIGHT(INDIRECT(ADDRESS(ROW(D977)-1, 'From Order'!$A977)), 1), D976))"),"")</f>
        <v/>
      </c>
      <c r="E977" s="2" t="str">
        <f>IFERROR(__xludf.DUMMYFUNCTION("IF('From Order'!$A977=COLUMNS($A977:E996), LEFT(INDEX(FILTER(E$1:E976, E$1:E976&lt;&gt;""""),COUNTA(FILTER(E$1:E976, E$1:E976&lt;&gt;""""))), LEN(INDEX(FILTER(E$1:E976, E$1:E976&lt;&gt;""""),COUNTA(FILTER(E$1:E976, E$1:E976&lt;&gt;""""))))-1), IF('To Order'!$A977=COLUMNS($A977:E"&amp;"996), E976&amp;RIGHT(INDIRECT(ADDRESS(ROW(E977)-1, 'From Order'!$A977)), 1), E976))"),"MGCDRZVCJVPPJQ")</f>
        <v>MGCDRZVCJVPPJQ</v>
      </c>
      <c r="F977" s="2" t="str">
        <f>IFERROR(__xludf.DUMMYFUNCTION("IF('From Order'!$A977=COLUMNS($A977:F996), LEFT(INDEX(FILTER(F$1:F976, F$1:F976&lt;&gt;""""),COUNTA(FILTER(F$1:F976, F$1:F976&lt;&gt;""""))), LEN(INDEX(FILTER(F$1:F976, F$1:F976&lt;&gt;""""),COUNTA(FILTER(F$1:F976, F$1:F976&lt;&gt;""""))))-1), IF('To Order'!$A977=COLUMNS($A977:F"&amp;"996), F976&amp;RIGHT(INDIRECT(ADDRESS(ROW(F977)-1, 'From Order'!$A977)), 1), F976))"),"FSLTTWRDTDBDBSBZHMFBT")</f>
        <v>FSLTTWRDTDBDBSBZHMFBT</v>
      </c>
      <c r="G977" s="2" t="str">
        <f>IFERROR(__xludf.DUMMYFUNCTION("IF('From Order'!$A977=COLUMNS($A977:G996), LEFT(INDEX(FILTER(G$1:G976, G$1:G976&lt;&gt;""""),COUNTA(FILTER(G$1:G976, G$1:G976&lt;&gt;""""))), LEN(INDEX(FILTER(G$1:G976, G$1:G976&lt;&gt;""""),COUNTA(FILTER(G$1:G976, G$1:G976&lt;&gt;""""))))-1), IF('To Order'!$A977=COLUMNS($A977:G"&amp;"996), G976&amp;RIGHT(INDIRECT(ADDRESS(ROW(G977)-1, 'From Order'!$A977)), 1), G976))"),"RCTMZL")</f>
        <v>RCTMZL</v>
      </c>
      <c r="H977" s="2" t="str">
        <f>IFERROR(__xludf.DUMMYFUNCTION("IF('From Order'!$A977=COLUMNS($A977:H996), LEFT(INDEX(FILTER(H$1:H976, H$1:H976&lt;&gt;""""),COUNTA(FILTER(H$1:H976, H$1:H976&lt;&gt;""""))), LEN(INDEX(FILTER(H$1:H976, H$1:H976&lt;&gt;""""),COUNTA(FILTER(H$1:H976, H$1:H976&lt;&gt;""""))))-1), IF('To Order'!$A977=COLUMNS($A977:H"&amp;"996), H976&amp;RIGHT(INDIRECT(ADDRESS(ROW(H977)-1, 'From Order'!$A977)), 1), H976))"),"PDSSGHWQV")</f>
        <v>PDSSGHWQV</v>
      </c>
      <c r="I977" s="2" t="str">
        <f>IFERROR(__xludf.DUMMYFUNCTION("IF('From Order'!$A977=COLUMNS($A977:I996), LEFT(INDEX(FILTER(I$1:I976, I$1:I976&lt;&gt;""""),COUNTA(FILTER(I$1:I976, I$1:I976&lt;&gt;""""))), LEN(INDEX(FILTER(I$1:I976, I$1:I976&lt;&gt;""""),COUNTA(FILTER(I$1:I976, I$1:I976&lt;&gt;""""))))-1), IF('To Order'!$A977=COLUMNS($A977:I"&amp;"996), I976&amp;RIGHT(INDIRECT(ADDRESS(ROW(I977)-1, 'From Order'!$A977)), 1), I976))"),"")</f>
        <v/>
      </c>
    </row>
    <row r="978">
      <c r="A978" s="2" t="str">
        <f>IFERROR(__xludf.DUMMYFUNCTION("IF('From Order'!$A978=COLUMNS($A978:A997), LEFT(INDEX(FILTER(A$1:A977, A$1:A977&lt;&gt;""""),COUNTA(FILTER(A$1:A977, A$1:A977&lt;&gt;""""))), LEN(INDEX(FILTER(A$1:A977, A$1:A977&lt;&gt;""""),COUNTA(FILTER(A$1:A977, A$1:A977&lt;&gt;""""))))-1), IF('To Order'!$A978=COLUMNS($A978:A"&amp;"997), A977&amp;RIGHT(INDIRECT(ADDRESS(ROW(A978)-1, 'From Order'!$A978)), 1), A977))"),"")</f>
        <v/>
      </c>
      <c r="B978" s="2" t="str">
        <f>IFERROR(__xludf.DUMMYFUNCTION("IF('From Order'!$A978=COLUMNS($A978:B997), LEFT(INDEX(FILTER(B$1:B977, B$1:B977&lt;&gt;""""),COUNTA(FILTER(B$1:B977, B$1:B977&lt;&gt;""""))), LEN(INDEX(FILTER(B$1:B977, B$1:B977&lt;&gt;""""),COUNTA(FILTER(B$1:B977, B$1:B977&lt;&gt;""""))))-1), IF('To Order'!$A978=COLUMNS($A978:B"&amp;"997), B977&amp;RIGHT(INDIRECT(ADDRESS(ROW(B978)-1, 'From Order'!$A978)), 1), B977))"),"JD")</f>
        <v>JD</v>
      </c>
      <c r="C978" s="2" t="str">
        <f>IFERROR(__xludf.DUMMYFUNCTION("IF('From Order'!$A978=COLUMNS($A978:C997), LEFT(INDEX(FILTER(C$1:C977, C$1:C977&lt;&gt;""""),COUNTA(FILTER(C$1:C977, C$1:C977&lt;&gt;""""))), LEN(INDEX(FILTER(C$1:C977, C$1:C977&lt;&gt;""""),COUNTA(FILTER(C$1:C977, C$1:C977&lt;&gt;""""))))-1), IF('To Order'!$A978=COLUMNS($A978:C"&amp;"997), C977&amp;RIGHT(INDIRECT(ADDRESS(ROW(C978)-1, 'From Order'!$A978)), 1), C977))"),"TRLR")</f>
        <v>TRLR</v>
      </c>
      <c r="D978" s="2" t="str">
        <f>IFERROR(__xludf.DUMMYFUNCTION("IF('From Order'!$A978=COLUMNS($A978:D997), LEFT(INDEX(FILTER(D$1:D977, D$1:D977&lt;&gt;""""),COUNTA(FILTER(D$1:D977, D$1:D977&lt;&gt;""""))), LEN(INDEX(FILTER(D$1:D977, D$1:D977&lt;&gt;""""),COUNTA(FILTER(D$1:D977, D$1:D977&lt;&gt;""""))))-1), IF('To Order'!$A978=COLUMNS($A978:D"&amp;"997), D977&amp;RIGHT(INDIRECT(ADDRESS(ROW(D978)-1, 'From Order'!$A978)), 1), D977))"),"")</f>
        <v/>
      </c>
      <c r="E978" s="2" t="str">
        <f>IFERROR(__xludf.DUMMYFUNCTION("IF('From Order'!$A978=COLUMNS($A978:E997), LEFT(INDEX(FILTER(E$1:E977, E$1:E977&lt;&gt;""""),COUNTA(FILTER(E$1:E977, E$1:E977&lt;&gt;""""))), LEN(INDEX(FILTER(E$1:E977, E$1:E977&lt;&gt;""""),COUNTA(FILTER(E$1:E977, E$1:E977&lt;&gt;""""))))-1), IF('To Order'!$A978=COLUMNS($A978:E"&amp;"997), E977&amp;RIGHT(INDIRECT(ADDRESS(ROW(E978)-1, 'From Order'!$A978)), 1), E977))"),"MGCDRZVCJVPPJQV")</f>
        <v>MGCDRZVCJVPPJQV</v>
      </c>
      <c r="F978" s="2" t="str">
        <f>IFERROR(__xludf.DUMMYFUNCTION("IF('From Order'!$A978=COLUMNS($A978:F997), LEFT(INDEX(FILTER(F$1:F977, F$1:F977&lt;&gt;""""),COUNTA(FILTER(F$1:F977, F$1:F977&lt;&gt;""""))), LEN(INDEX(FILTER(F$1:F977, F$1:F977&lt;&gt;""""),COUNTA(FILTER(F$1:F977, F$1:F977&lt;&gt;""""))))-1), IF('To Order'!$A978=COLUMNS($A978:F"&amp;"997), F977&amp;RIGHT(INDIRECT(ADDRESS(ROW(F978)-1, 'From Order'!$A978)), 1), F977))"),"FSLTTWRDTDBDBSBZHMFBT")</f>
        <v>FSLTTWRDTDBDBSBZHMFBT</v>
      </c>
      <c r="G978" s="2" t="str">
        <f>IFERROR(__xludf.DUMMYFUNCTION("IF('From Order'!$A978=COLUMNS($A978:G997), LEFT(INDEX(FILTER(G$1:G977, G$1:G977&lt;&gt;""""),COUNTA(FILTER(G$1:G977, G$1:G977&lt;&gt;""""))), LEN(INDEX(FILTER(G$1:G977, G$1:G977&lt;&gt;""""),COUNTA(FILTER(G$1:G977, G$1:G977&lt;&gt;""""))))-1), IF('To Order'!$A978=COLUMNS($A978:G"&amp;"997), G977&amp;RIGHT(INDIRECT(ADDRESS(ROW(G978)-1, 'From Order'!$A978)), 1), G977))"),"RCTMZL")</f>
        <v>RCTMZL</v>
      </c>
      <c r="H978" s="2" t="str">
        <f>IFERROR(__xludf.DUMMYFUNCTION("IF('From Order'!$A978=COLUMNS($A978:H997), LEFT(INDEX(FILTER(H$1:H977, H$1:H977&lt;&gt;""""),COUNTA(FILTER(H$1:H977, H$1:H977&lt;&gt;""""))), LEN(INDEX(FILTER(H$1:H977, H$1:H977&lt;&gt;""""),COUNTA(FILTER(H$1:H977, H$1:H977&lt;&gt;""""))))-1), IF('To Order'!$A978=COLUMNS($A978:H"&amp;"997), H977&amp;RIGHT(INDIRECT(ADDRESS(ROW(H978)-1, 'From Order'!$A978)), 1), H977))"),"PDSSGHWQ")</f>
        <v>PDSSGHWQ</v>
      </c>
      <c r="I978" s="2" t="str">
        <f>IFERROR(__xludf.DUMMYFUNCTION("IF('From Order'!$A978=COLUMNS($A978:I997), LEFT(INDEX(FILTER(I$1:I977, I$1:I977&lt;&gt;""""),COUNTA(FILTER(I$1:I977, I$1:I977&lt;&gt;""""))), LEN(INDEX(FILTER(I$1:I977, I$1:I977&lt;&gt;""""),COUNTA(FILTER(I$1:I977, I$1:I977&lt;&gt;""""))))-1), IF('To Order'!$A978=COLUMNS($A978:I"&amp;"997), I977&amp;RIGHT(INDIRECT(ADDRESS(ROW(I978)-1, 'From Order'!$A978)), 1), I977))"),"")</f>
        <v/>
      </c>
    </row>
    <row r="979">
      <c r="A979" s="2" t="str">
        <f>IFERROR(__xludf.DUMMYFUNCTION("IF('From Order'!$A979=COLUMNS($A979:A998), LEFT(INDEX(FILTER(A$1:A978, A$1:A978&lt;&gt;""""),COUNTA(FILTER(A$1:A978, A$1:A978&lt;&gt;""""))), LEN(INDEX(FILTER(A$1:A978, A$1:A978&lt;&gt;""""),COUNTA(FILTER(A$1:A978, A$1:A978&lt;&gt;""""))))-1), IF('To Order'!$A979=COLUMNS($A979:A"&amp;"998), A978&amp;RIGHT(INDIRECT(ADDRESS(ROW(A979)-1, 'From Order'!$A979)), 1), A978))"),"")</f>
        <v/>
      </c>
      <c r="B979" s="2" t="str">
        <f>IFERROR(__xludf.DUMMYFUNCTION("IF('From Order'!$A979=COLUMNS($A979:B998), LEFT(INDEX(FILTER(B$1:B978, B$1:B978&lt;&gt;""""),COUNTA(FILTER(B$1:B978, B$1:B978&lt;&gt;""""))), LEN(INDEX(FILTER(B$1:B978, B$1:B978&lt;&gt;""""),COUNTA(FILTER(B$1:B978, B$1:B978&lt;&gt;""""))))-1), IF('To Order'!$A979=COLUMNS($A979:B"&amp;"998), B978&amp;RIGHT(INDIRECT(ADDRESS(ROW(B979)-1, 'From Order'!$A979)), 1), B978))"),"JD")</f>
        <v>JD</v>
      </c>
      <c r="C979" s="2" t="str">
        <f>IFERROR(__xludf.DUMMYFUNCTION("IF('From Order'!$A979=COLUMNS($A979:C998), LEFT(INDEX(FILTER(C$1:C978, C$1:C978&lt;&gt;""""),COUNTA(FILTER(C$1:C978, C$1:C978&lt;&gt;""""))), LEN(INDEX(FILTER(C$1:C978, C$1:C978&lt;&gt;""""),COUNTA(FILTER(C$1:C978, C$1:C978&lt;&gt;""""))))-1), IF('To Order'!$A979=COLUMNS($A979:C"&amp;"998), C978&amp;RIGHT(INDIRECT(ADDRESS(ROW(C979)-1, 'From Order'!$A979)), 1), C978))"),"TRLR")</f>
        <v>TRLR</v>
      </c>
      <c r="D979" s="2" t="str">
        <f>IFERROR(__xludf.DUMMYFUNCTION("IF('From Order'!$A979=COLUMNS($A979:D998), LEFT(INDEX(FILTER(D$1:D978, D$1:D978&lt;&gt;""""),COUNTA(FILTER(D$1:D978, D$1:D978&lt;&gt;""""))), LEN(INDEX(FILTER(D$1:D978, D$1:D978&lt;&gt;""""),COUNTA(FILTER(D$1:D978, D$1:D978&lt;&gt;""""))))-1), IF('To Order'!$A979=COLUMNS($A979:D"&amp;"998), D978&amp;RIGHT(INDIRECT(ADDRESS(ROW(D979)-1, 'From Order'!$A979)), 1), D978))"),"")</f>
        <v/>
      </c>
      <c r="E979" s="2" t="str">
        <f>IFERROR(__xludf.DUMMYFUNCTION("IF('From Order'!$A979=COLUMNS($A979:E998), LEFT(INDEX(FILTER(E$1:E978, E$1:E978&lt;&gt;""""),COUNTA(FILTER(E$1:E978, E$1:E978&lt;&gt;""""))), LEN(INDEX(FILTER(E$1:E978, E$1:E978&lt;&gt;""""),COUNTA(FILTER(E$1:E978, E$1:E978&lt;&gt;""""))))-1), IF('To Order'!$A979=COLUMNS($A979:E"&amp;"998), E978&amp;RIGHT(INDIRECT(ADDRESS(ROW(E979)-1, 'From Order'!$A979)), 1), E978))"),"MGCDRZVCJVPPJQVQ")</f>
        <v>MGCDRZVCJVPPJQVQ</v>
      </c>
      <c r="F979" s="2" t="str">
        <f>IFERROR(__xludf.DUMMYFUNCTION("IF('From Order'!$A979=COLUMNS($A979:F998), LEFT(INDEX(FILTER(F$1:F978, F$1:F978&lt;&gt;""""),COUNTA(FILTER(F$1:F978, F$1:F978&lt;&gt;""""))), LEN(INDEX(FILTER(F$1:F978, F$1:F978&lt;&gt;""""),COUNTA(FILTER(F$1:F978, F$1:F978&lt;&gt;""""))))-1), IF('To Order'!$A979=COLUMNS($A979:F"&amp;"998), F978&amp;RIGHT(INDIRECT(ADDRESS(ROW(F979)-1, 'From Order'!$A979)), 1), F978))"),"FSLTTWRDTDBDBSBZHMFBT")</f>
        <v>FSLTTWRDTDBDBSBZHMFBT</v>
      </c>
      <c r="G979" s="2" t="str">
        <f>IFERROR(__xludf.DUMMYFUNCTION("IF('From Order'!$A979=COLUMNS($A979:G998), LEFT(INDEX(FILTER(G$1:G978, G$1:G978&lt;&gt;""""),COUNTA(FILTER(G$1:G978, G$1:G978&lt;&gt;""""))), LEN(INDEX(FILTER(G$1:G978, G$1:G978&lt;&gt;""""),COUNTA(FILTER(G$1:G978, G$1:G978&lt;&gt;""""))))-1), IF('To Order'!$A979=COLUMNS($A979:G"&amp;"998), G978&amp;RIGHT(INDIRECT(ADDRESS(ROW(G979)-1, 'From Order'!$A979)), 1), G978))"),"RCTMZL")</f>
        <v>RCTMZL</v>
      </c>
      <c r="H979" s="2" t="str">
        <f>IFERROR(__xludf.DUMMYFUNCTION("IF('From Order'!$A979=COLUMNS($A979:H998), LEFT(INDEX(FILTER(H$1:H978, H$1:H978&lt;&gt;""""),COUNTA(FILTER(H$1:H978, H$1:H978&lt;&gt;""""))), LEN(INDEX(FILTER(H$1:H978, H$1:H978&lt;&gt;""""),COUNTA(FILTER(H$1:H978, H$1:H978&lt;&gt;""""))))-1), IF('To Order'!$A979=COLUMNS($A979:H"&amp;"998), H978&amp;RIGHT(INDIRECT(ADDRESS(ROW(H979)-1, 'From Order'!$A979)), 1), H978))"),"PDSSGHW")</f>
        <v>PDSSGHW</v>
      </c>
      <c r="I979" s="2" t="str">
        <f>IFERROR(__xludf.DUMMYFUNCTION("IF('From Order'!$A979=COLUMNS($A979:I998), LEFT(INDEX(FILTER(I$1:I978, I$1:I978&lt;&gt;""""),COUNTA(FILTER(I$1:I978, I$1:I978&lt;&gt;""""))), LEN(INDEX(FILTER(I$1:I978, I$1:I978&lt;&gt;""""),COUNTA(FILTER(I$1:I978, I$1:I978&lt;&gt;""""))))-1), IF('To Order'!$A979=COLUMNS($A979:I"&amp;"998), I978&amp;RIGHT(INDIRECT(ADDRESS(ROW(I979)-1, 'From Order'!$A979)), 1), I978))"),"")</f>
        <v/>
      </c>
    </row>
    <row r="980">
      <c r="A980" s="2" t="str">
        <f>IFERROR(__xludf.DUMMYFUNCTION("IF('From Order'!$A980=COLUMNS($A980:A999), LEFT(INDEX(FILTER(A$1:A979, A$1:A979&lt;&gt;""""),COUNTA(FILTER(A$1:A979, A$1:A979&lt;&gt;""""))), LEN(INDEX(FILTER(A$1:A979, A$1:A979&lt;&gt;""""),COUNTA(FILTER(A$1:A979, A$1:A979&lt;&gt;""""))))-1), IF('To Order'!$A980=COLUMNS($A980:A"&amp;"999), A979&amp;RIGHT(INDIRECT(ADDRESS(ROW(A980)-1, 'From Order'!$A980)), 1), A979))"),"")</f>
        <v/>
      </c>
      <c r="B980" s="2" t="str">
        <f>IFERROR(__xludf.DUMMYFUNCTION("IF('From Order'!$A980=COLUMNS($A980:B999), LEFT(INDEX(FILTER(B$1:B979, B$1:B979&lt;&gt;""""),COUNTA(FILTER(B$1:B979, B$1:B979&lt;&gt;""""))), LEN(INDEX(FILTER(B$1:B979, B$1:B979&lt;&gt;""""),COUNTA(FILTER(B$1:B979, B$1:B979&lt;&gt;""""))))-1), IF('To Order'!$A980=COLUMNS($A980:B"&amp;"999), B979&amp;RIGHT(INDIRECT(ADDRESS(ROW(B980)-1, 'From Order'!$A980)), 1), B979))"),"JD")</f>
        <v>JD</v>
      </c>
      <c r="C980" s="2" t="str">
        <f>IFERROR(__xludf.DUMMYFUNCTION("IF('From Order'!$A980=COLUMNS($A980:C999), LEFT(INDEX(FILTER(C$1:C979, C$1:C979&lt;&gt;""""),COUNTA(FILTER(C$1:C979, C$1:C979&lt;&gt;""""))), LEN(INDEX(FILTER(C$1:C979, C$1:C979&lt;&gt;""""),COUNTA(FILTER(C$1:C979, C$1:C979&lt;&gt;""""))))-1), IF('To Order'!$A980=COLUMNS($A980:C"&amp;"999), C979&amp;RIGHT(INDIRECT(ADDRESS(ROW(C980)-1, 'From Order'!$A980)), 1), C979))"),"TRLR")</f>
        <v>TRLR</v>
      </c>
      <c r="D980" s="2" t="str">
        <f>IFERROR(__xludf.DUMMYFUNCTION("IF('From Order'!$A980=COLUMNS($A980:D999), LEFT(INDEX(FILTER(D$1:D979, D$1:D979&lt;&gt;""""),COUNTA(FILTER(D$1:D979, D$1:D979&lt;&gt;""""))), LEN(INDEX(FILTER(D$1:D979, D$1:D979&lt;&gt;""""),COUNTA(FILTER(D$1:D979, D$1:D979&lt;&gt;""""))))-1), IF('To Order'!$A980=COLUMNS($A980:D"&amp;"999), D979&amp;RIGHT(INDIRECT(ADDRESS(ROW(D980)-1, 'From Order'!$A980)), 1), D979))"),"")</f>
        <v/>
      </c>
      <c r="E980" s="2" t="str">
        <f>IFERROR(__xludf.DUMMYFUNCTION("IF('From Order'!$A980=COLUMNS($A980:E999), LEFT(INDEX(FILTER(E$1:E979, E$1:E979&lt;&gt;""""),COUNTA(FILTER(E$1:E979, E$1:E979&lt;&gt;""""))), LEN(INDEX(FILTER(E$1:E979, E$1:E979&lt;&gt;""""),COUNTA(FILTER(E$1:E979, E$1:E979&lt;&gt;""""))))-1), IF('To Order'!$A980=COLUMNS($A980:E"&amp;"999), E979&amp;RIGHT(INDIRECT(ADDRESS(ROW(E980)-1, 'From Order'!$A980)), 1), E979))"),"MGCDRZVCJVPPJQVQW")</f>
        <v>MGCDRZVCJVPPJQVQW</v>
      </c>
      <c r="F980" s="2" t="str">
        <f>IFERROR(__xludf.DUMMYFUNCTION("IF('From Order'!$A980=COLUMNS($A980:F999), LEFT(INDEX(FILTER(F$1:F979, F$1:F979&lt;&gt;""""),COUNTA(FILTER(F$1:F979, F$1:F979&lt;&gt;""""))), LEN(INDEX(FILTER(F$1:F979, F$1:F979&lt;&gt;""""),COUNTA(FILTER(F$1:F979, F$1:F979&lt;&gt;""""))))-1), IF('To Order'!$A980=COLUMNS($A980:F"&amp;"999), F979&amp;RIGHT(INDIRECT(ADDRESS(ROW(F980)-1, 'From Order'!$A980)), 1), F979))"),"FSLTTWRDTDBDBSBZHMFBT")</f>
        <v>FSLTTWRDTDBDBSBZHMFBT</v>
      </c>
      <c r="G980" s="2" t="str">
        <f>IFERROR(__xludf.DUMMYFUNCTION("IF('From Order'!$A980=COLUMNS($A980:G999), LEFT(INDEX(FILTER(G$1:G979, G$1:G979&lt;&gt;""""),COUNTA(FILTER(G$1:G979, G$1:G979&lt;&gt;""""))), LEN(INDEX(FILTER(G$1:G979, G$1:G979&lt;&gt;""""),COUNTA(FILTER(G$1:G979, G$1:G979&lt;&gt;""""))))-1), IF('To Order'!$A980=COLUMNS($A980:G"&amp;"999), G979&amp;RIGHT(INDIRECT(ADDRESS(ROW(G980)-1, 'From Order'!$A980)), 1), G979))"),"RCTMZL")</f>
        <v>RCTMZL</v>
      </c>
      <c r="H980" s="2" t="str">
        <f>IFERROR(__xludf.DUMMYFUNCTION("IF('From Order'!$A980=COLUMNS($A980:H999), LEFT(INDEX(FILTER(H$1:H979, H$1:H979&lt;&gt;""""),COUNTA(FILTER(H$1:H979, H$1:H979&lt;&gt;""""))), LEN(INDEX(FILTER(H$1:H979, H$1:H979&lt;&gt;""""),COUNTA(FILTER(H$1:H979, H$1:H979&lt;&gt;""""))))-1), IF('To Order'!$A980=COLUMNS($A980:H"&amp;"999), H979&amp;RIGHT(INDIRECT(ADDRESS(ROW(H980)-1, 'From Order'!$A980)), 1), H979))"),"PDSSGH")</f>
        <v>PDSSGH</v>
      </c>
      <c r="I980" s="2" t="str">
        <f>IFERROR(__xludf.DUMMYFUNCTION("IF('From Order'!$A980=COLUMNS($A980:I999), LEFT(INDEX(FILTER(I$1:I979, I$1:I979&lt;&gt;""""),COUNTA(FILTER(I$1:I979, I$1:I979&lt;&gt;""""))), LEN(INDEX(FILTER(I$1:I979, I$1:I979&lt;&gt;""""),COUNTA(FILTER(I$1:I979, I$1:I979&lt;&gt;""""))))-1), IF('To Order'!$A980=COLUMNS($A980:I"&amp;"999), I979&amp;RIGHT(INDIRECT(ADDRESS(ROW(I980)-1, 'From Order'!$A980)), 1), I979))"),"")</f>
        <v/>
      </c>
    </row>
    <row r="981">
      <c r="A981" s="2" t="str">
        <f>IFERROR(__xludf.DUMMYFUNCTION("IF('From Order'!$A981=COLUMNS($A981:A1000), LEFT(INDEX(FILTER(A$1:A980, A$1:A980&lt;&gt;""""),COUNTA(FILTER(A$1:A980, A$1:A980&lt;&gt;""""))), LEN(INDEX(FILTER(A$1:A980, A$1:A980&lt;&gt;""""),COUNTA(FILTER(A$1:A980, A$1:A980&lt;&gt;""""))))-1), IF('To Order'!$A981=COLUMNS($A981:"&amp;"A1000), A980&amp;RIGHT(INDIRECT(ADDRESS(ROW(A981)-1, 'From Order'!$A981)), 1), A980))"),"")</f>
        <v/>
      </c>
      <c r="B981" s="2" t="str">
        <f>IFERROR(__xludf.DUMMYFUNCTION("IF('From Order'!$A981=COLUMNS($A981:B1000), LEFT(INDEX(FILTER(B$1:B980, B$1:B980&lt;&gt;""""),COUNTA(FILTER(B$1:B980, B$1:B980&lt;&gt;""""))), LEN(INDEX(FILTER(B$1:B980, B$1:B980&lt;&gt;""""),COUNTA(FILTER(B$1:B980, B$1:B980&lt;&gt;""""))))-1), IF('To Order'!$A981=COLUMNS($A981:"&amp;"B1000), B980&amp;RIGHT(INDIRECT(ADDRESS(ROW(B981)-1, 'From Order'!$A981)), 1), B980))"),"JD")</f>
        <v>JD</v>
      </c>
      <c r="C981" s="2" t="str">
        <f>IFERROR(__xludf.DUMMYFUNCTION("IF('From Order'!$A981=COLUMNS($A981:C1000), LEFT(INDEX(FILTER(C$1:C980, C$1:C980&lt;&gt;""""),COUNTA(FILTER(C$1:C980, C$1:C980&lt;&gt;""""))), LEN(INDEX(FILTER(C$1:C980, C$1:C980&lt;&gt;""""),COUNTA(FILTER(C$1:C980, C$1:C980&lt;&gt;""""))))-1), IF('To Order'!$A981=COLUMNS($A981:"&amp;"C1000), C980&amp;RIGHT(INDIRECT(ADDRESS(ROW(C981)-1, 'From Order'!$A981)), 1), C980))"),"TRLR")</f>
        <v>TRLR</v>
      </c>
      <c r="D981" s="2" t="str">
        <f>IFERROR(__xludf.DUMMYFUNCTION("IF('From Order'!$A981=COLUMNS($A981:D1000), LEFT(INDEX(FILTER(D$1:D980, D$1:D980&lt;&gt;""""),COUNTA(FILTER(D$1:D980, D$1:D980&lt;&gt;""""))), LEN(INDEX(FILTER(D$1:D980, D$1:D980&lt;&gt;""""),COUNTA(FILTER(D$1:D980, D$1:D980&lt;&gt;""""))))-1), IF('To Order'!$A981=COLUMNS($A981:"&amp;"D1000), D980&amp;RIGHT(INDIRECT(ADDRESS(ROW(D981)-1, 'From Order'!$A981)), 1), D980))"),"")</f>
        <v/>
      </c>
      <c r="E981" s="2" t="str">
        <f>IFERROR(__xludf.DUMMYFUNCTION("IF('From Order'!$A981=COLUMNS($A981:E1000), LEFT(INDEX(FILTER(E$1:E980, E$1:E980&lt;&gt;""""),COUNTA(FILTER(E$1:E980, E$1:E980&lt;&gt;""""))), LEN(INDEX(FILTER(E$1:E980, E$1:E980&lt;&gt;""""),COUNTA(FILTER(E$1:E980, E$1:E980&lt;&gt;""""))))-1), IF('To Order'!$A981=COLUMNS($A981:"&amp;"E1000), E980&amp;RIGHT(INDIRECT(ADDRESS(ROW(E981)-1, 'From Order'!$A981)), 1), E980))"),"MGCDRZVCJVPPJQVQWH")</f>
        <v>MGCDRZVCJVPPJQVQWH</v>
      </c>
      <c r="F981" s="2" t="str">
        <f>IFERROR(__xludf.DUMMYFUNCTION("IF('From Order'!$A981=COLUMNS($A981:F1000), LEFT(INDEX(FILTER(F$1:F980, F$1:F980&lt;&gt;""""),COUNTA(FILTER(F$1:F980, F$1:F980&lt;&gt;""""))), LEN(INDEX(FILTER(F$1:F980, F$1:F980&lt;&gt;""""),COUNTA(FILTER(F$1:F980, F$1:F980&lt;&gt;""""))))-1), IF('To Order'!$A981=COLUMNS($A981:"&amp;"F1000), F980&amp;RIGHT(INDIRECT(ADDRESS(ROW(F981)-1, 'From Order'!$A981)), 1), F980))"),"FSLTTWRDTDBDBSBZHMFBT")</f>
        <v>FSLTTWRDTDBDBSBZHMFBT</v>
      </c>
      <c r="G981" s="2" t="str">
        <f>IFERROR(__xludf.DUMMYFUNCTION("IF('From Order'!$A981=COLUMNS($A981:G1000), LEFT(INDEX(FILTER(G$1:G980, G$1:G980&lt;&gt;""""),COUNTA(FILTER(G$1:G980, G$1:G980&lt;&gt;""""))), LEN(INDEX(FILTER(G$1:G980, G$1:G980&lt;&gt;""""),COUNTA(FILTER(G$1:G980, G$1:G980&lt;&gt;""""))))-1), IF('To Order'!$A981=COLUMNS($A981:"&amp;"G1000), G980&amp;RIGHT(INDIRECT(ADDRESS(ROW(G981)-1, 'From Order'!$A981)), 1), G980))"),"RCTMZL")</f>
        <v>RCTMZL</v>
      </c>
      <c r="H981" s="2" t="str">
        <f>IFERROR(__xludf.DUMMYFUNCTION("IF('From Order'!$A981=COLUMNS($A981:H1000), LEFT(INDEX(FILTER(H$1:H980, H$1:H980&lt;&gt;""""),COUNTA(FILTER(H$1:H980, H$1:H980&lt;&gt;""""))), LEN(INDEX(FILTER(H$1:H980, H$1:H980&lt;&gt;""""),COUNTA(FILTER(H$1:H980, H$1:H980&lt;&gt;""""))))-1), IF('To Order'!$A981=COLUMNS($A981:"&amp;"H1000), H980&amp;RIGHT(INDIRECT(ADDRESS(ROW(H981)-1, 'From Order'!$A981)), 1), H980))"),"PDSSG")</f>
        <v>PDSSG</v>
      </c>
      <c r="I981" s="2" t="str">
        <f>IFERROR(__xludf.DUMMYFUNCTION("IF('From Order'!$A981=COLUMNS($A981:I1000), LEFT(INDEX(FILTER(I$1:I980, I$1:I980&lt;&gt;""""),COUNTA(FILTER(I$1:I980, I$1:I980&lt;&gt;""""))), LEN(INDEX(FILTER(I$1:I980, I$1:I980&lt;&gt;""""),COUNTA(FILTER(I$1:I980, I$1:I980&lt;&gt;""""))))-1), IF('To Order'!$A981=COLUMNS($A981:"&amp;"I1000), I980&amp;RIGHT(INDIRECT(ADDRESS(ROW(I981)-1, 'From Order'!$A981)), 1), I980))"),"")</f>
        <v/>
      </c>
    </row>
    <row r="982">
      <c r="A982" s="2" t="str">
        <f>IFERROR(__xludf.DUMMYFUNCTION("IF('From Order'!$A982=COLUMNS($A982:A1001), LEFT(INDEX(FILTER(A$1:A981, A$1:A981&lt;&gt;""""),COUNTA(FILTER(A$1:A981, A$1:A981&lt;&gt;""""))), LEN(INDEX(FILTER(A$1:A981, A$1:A981&lt;&gt;""""),COUNTA(FILTER(A$1:A981, A$1:A981&lt;&gt;""""))))-1), IF('To Order'!$A982=COLUMNS($A982:"&amp;"A1001), A981&amp;RIGHT(INDIRECT(ADDRESS(ROW(A982)-1, 'From Order'!$A982)), 1), A981))"),"")</f>
        <v/>
      </c>
      <c r="B982" s="2" t="str">
        <f>IFERROR(__xludf.DUMMYFUNCTION("IF('From Order'!$A982=COLUMNS($A982:B1001), LEFT(INDEX(FILTER(B$1:B981, B$1:B981&lt;&gt;""""),COUNTA(FILTER(B$1:B981, B$1:B981&lt;&gt;""""))), LEN(INDEX(FILTER(B$1:B981, B$1:B981&lt;&gt;""""),COUNTA(FILTER(B$1:B981, B$1:B981&lt;&gt;""""))))-1), IF('To Order'!$A982=COLUMNS($A982:"&amp;"B1001), B981&amp;RIGHT(INDIRECT(ADDRESS(ROW(B982)-1, 'From Order'!$A982)), 1), B981))"),"JD")</f>
        <v>JD</v>
      </c>
      <c r="C982" s="2" t="str">
        <f>IFERROR(__xludf.DUMMYFUNCTION("IF('From Order'!$A982=COLUMNS($A982:C1001), LEFT(INDEX(FILTER(C$1:C981, C$1:C981&lt;&gt;""""),COUNTA(FILTER(C$1:C981, C$1:C981&lt;&gt;""""))), LEN(INDEX(FILTER(C$1:C981, C$1:C981&lt;&gt;""""),COUNTA(FILTER(C$1:C981, C$1:C981&lt;&gt;""""))))-1), IF('To Order'!$A982=COLUMNS($A982:"&amp;"C1001), C981&amp;RIGHT(INDIRECT(ADDRESS(ROW(C982)-1, 'From Order'!$A982)), 1), C981))"),"TRLR")</f>
        <v>TRLR</v>
      </c>
      <c r="D982" s="2" t="str">
        <f>IFERROR(__xludf.DUMMYFUNCTION("IF('From Order'!$A982=COLUMNS($A982:D1001), LEFT(INDEX(FILTER(D$1:D981, D$1:D981&lt;&gt;""""),COUNTA(FILTER(D$1:D981, D$1:D981&lt;&gt;""""))), LEN(INDEX(FILTER(D$1:D981, D$1:D981&lt;&gt;""""),COUNTA(FILTER(D$1:D981, D$1:D981&lt;&gt;""""))))-1), IF('To Order'!$A982=COLUMNS($A982:"&amp;"D1001), D981&amp;RIGHT(INDIRECT(ADDRESS(ROW(D982)-1, 'From Order'!$A982)), 1), D981))"),"")</f>
        <v/>
      </c>
      <c r="E982" s="2" t="str">
        <f>IFERROR(__xludf.DUMMYFUNCTION("IF('From Order'!$A982=COLUMNS($A982:E1001), LEFT(INDEX(FILTER(E$1:E981, E$1:E981&lt;&gt;""""),COUNTA(FILTER(E$1:E981, E$1:E981&lt;&gt;""""))), LEN(INDEX(FILTER(E$1:E981, E$1:E981&lt;&gt;""""),COUNTA(FILTER(E$1:E981, E$1:E981&lt;&gt;""""))))-1), IF('To Order'!$A982=COLUMNS($A982:"&amp;"E1001), E981&amp;RIGHT(INDIRECT(ADDRESS(ROW(E982)-1, 'From Order'!$A982)), 1), E981))"),"MGCDRZVCJVPPJQVQWHG")</f>
        <v>MGCDRZVCJVPPJQVQWHG</v>
      </c>
      <c r="F982" s="2" t="str">
        <f>IFERROR(__xludf.DUMMYFUNCTION("IF('From Order'!$A982=COLUMNS($A982:F1001), LEFT(INDEX(FILTER(F$1:F981, F$1:F981&lt;&gt;""""),COUNTA(FILTER(F$1:F981, F$1:F981&lt;&gt;""""))), LEN(INDEX(FILTER(F$1:F981, F$1:F981&lt;&gt;""""),COUNTA(FILTER(F$1:F981, F$1:F981&lt;&gt;""""))))-1), IF('To Order'!$A982=COLUMNS($A982:"&amp;"F1001), F981&amp;RIGHT(INDIRECT(ADDRESS(ROW(F982)-1, 'From Order'!$A982)), 1), F981))"),"FSLTTWRDTDBDBSBZHMFBT")</f>
        <v>FSLTTWRDTDBDBSBZHMFBT</v>
      </c>
      <c r="G982" s="2" t="str">
        <f>IFERROR(__xludf.DUMMYFUNCTION("IF('From Order'!$A982=COLUMNS($A982:G1001), LEFT(INDEX(FILTER(G$1:G981, G$1:G981&lt;&gt;""""),COUNTA(FILTER(G$1:G981, G$1:G981&lt;&gt;""""))), LEN(INDEX(FILTER(G$1:G981, G$1:G981&lt;&gt;""""),COUNTA(FILTER(G$1:G981, G$1:G981&lt;&gt;""""))))-1), IF('To Order'!$A982=COLUMNS($A982:"&amp;"G1001), G981&amp;RIGHT(INDIRECT(ADDRESS(ROW(G982)-1, 'From Order'!$A982)), 1), G981))"),"RCTMZL")</f>
        <v>RCTMZL</v>
      </c>
      <c r="H982" s="2" t="str">
        <f>IFERROR(__xludf.DUMMYFUNCTION("IF('From Order'!$A982=COLUMNS($A982:H1001), LEFT(INDEX(FILTER(H$1:H981, H$1:H981&lt;&gt;""""),COUNTA(FILTER(H$1:H981, H$1:H981&lt;&gt;""""))), LEN(INDEX(FILTER(H$1:H981, H$1:H981&lt;&gt;""""),COUNTA(FILTER(H$1:H981, H$1:H981&lt;&gt;""""))))-1), IF('To Order'!$A982=COLUMNS($A982:"&amp;"H1001), H981&amp;RIGHT(INDIRECT(ADDRESS(ROW(H982)-1, 'From Order'!$A982)), 1), H981))"),"PDSS")</f>
        <v>PDSS</v>
      </c>
      <c r="I982" s="2" t="str">
        <f>IFERROR(__xludf.DUMMYFUNCTION("IF('From Order'!$A982=COLUMNS($A982:I1001), LEFT(INDEX(FILTER(I$1:I981, I$1:I981&lt;&gt;""""),COUNTA(FILTER(I$1:I981, I$1:I981&lt;&gt;""""))), LEN(INDEX(FILTER(I$1:I981, I$1:I981&lt;&gt;""""),COUNTA(FILTER(I$1:I981, I$1:I981&lt;&gt;""""))))-1), IF('To Order'!$A982=COLUMNS($A982:"&amp;"I1001), I981&amp;RIGHT(INDIRECT(ADDRESS(ROW(I982)-1, 'From Order'!$A982)), 1), I981))"),"")</f>
        <v/>
      </c>
    </row>
    <row r="983">
      <c r="A983" s="2" t="str">
        <f>IFERROR(__xludf.DUMMYFUNCTION("IF('From Order'!$A983=COLUMNS($A983:A1002), LEFT(INDEX(FILTER(A$1:A982, A$1:A982&lt;&gt;""""),COUNTA(FILTER(A$1:A982, A$1:A982&lt;&gt;""""))), LEN(INDEX(FILTER(A$1:A982, A$1:A982&lt;&gt;""""),COUNTA(FILTER(A$1:A982, A$1:A982&lt;&gt;""""))))-1), IF('To Order'!$A983=COLUMNS($A983:"&amp;"A1002), A982&amp;RIGHT(INDIRECT(ADDRESS(ROW(A983)-1, 'From Order'!$A983)), 1), A982))"),"")</f>
        <v/>
      </c>
      <c r="B983" s="2" t="str">
        <f>IFERROR(__xludf.DUMMYFUNCTION("IF('From Order'!$A983=COLUMNS($A983:B1002), LEFT(INDEX(FILTER(B$1:B982, B$1:B982&lt;&gt;""""),COUNTA(FILTER(B$1:B982, B$1:B982&lt;&gt;""""))), LEN(INDEX(FILTER(B$1:B982, B$1:B982&lt;&gt;""""),COUNTA(FILTER(B$1:B982, B$1:B982&lt;&gt;""""))))-1), IF('To Order'!$A983=COLUMNS($A983:"&amp;"B1002), B982&amp;RIGHT(INDIRECT(ADDRESS(ROW(B983)-1, 'From Order'!$A983)), 1), B982))"),"JD")</f>
        <v>JD</v>
      </c>
      <c r="C983" s="2" t="str">
        <f>IFERROR(__xludf.DUMMYFUNCTION("IF('From Order'!$A983=COLUMNS($A983:C1002), LEFT(INDEX(FILTER(C$1:C982, C$1:C982&lt;&gt;""""),COUNTA(FILTER(C$1:C982, C$1:C982&lt;&gt;""""))), LEN(INDEX(FILTER(C$1:C982, C$1:C982&lt;&gt;""""),COUNTA(FILTER(C$1:C982, C$1:C982&lt;&gt;""""))))-1), IF('To Order'!$A983=COLUMNS($A983:"&amp;"C1002), C982&amp;RIGHT(INDIRECT(ADDRESS(ROW(C983)-1, 'From Order'!$A983)), 1), C982))"),"TRLR")</f>
        <v>TRLR</v>
      </c>
      <c r="D983" s="2" t="str">
        <f>IFERROR(__xludf.DUMMYFUNCTION("IF('From Order'!$A983=COLUMNS($A983:D1002), LEFT(INDEX(FILTER(D$1:D982, D$1:D982&lt;&gt;""""),COUNTA(FILTER(D$1:D982, D$1:D982&lt;&gt;""""))), LEN(INDEX(FILTER(D$1:D982, D$1:D982&lt;&gt;""""),COUNTA(FILTER(D$1:D982, D$1:D982&lt;&gt;""""))))-1), IF('To Order'!$A983=COLUMNS($A983:"&amp;"D1002), D982&amp;RIGHT(INDIRECT(ADDRESS(ROW(D983)-1, 'From Order'!$A983)), 1), D982))"),"")</f>
        <v/>
      </c>
      <c r="E983" s="2" t="str">
        <f>IFERROR(__xludf.DUMMYFUNCTION("IF('From Order'!$A983=COLUMNS($A983:E1002), LEFT(INDEX(FILTER(E$1:E982, E$1:E982&lt;&gt;""""),COUNTA(FILTER(E$1:E982, E$1:E982&lt;&gt;""""))), LEN(INDEX(FILTER(E$1:E982, E$1:E982&lt;&gt;""""),COUNTA(FILTER(E$1:E982, E$1:E982&lt;&gt;""""))))-1), IF('To Order'!$A983=COLUMNS($A983:"&amp;"E1002), E982&amp;RIGHT(INDIRECT(ADDRESS(ROW(E983)-1, 'From Order'!$A983)), 1), E982))"),"MGCDRZVCJVPPJQVQWHGS")</f>
        <v>MGCDRZVCJVPPJQVQWHGS</v>
      </c>
      <c r="F983" s="2" t="str">
        <f>IFERROR(__xludf.DUMMYFUNCTION("IF('From Order'!$A983=COLUMNS($A983:F1002), LEFT(INDEX(FILTER(F$1:F982, F$1:F982&lt;&gt;""""),COUNTA(FILTER(F$1:F982, F$1:F982&lt;&gt;""""))), LEN(INDEX(FILTER(F$1:F982, F$1:F982&lt;&gt;""""),COUNTA(FILTER(F$1:F982, F$1:F982&lt;&gt;""""))))-1), IF('To Order'!$A983=COLUMNS($A983:"&amp;"F1002), F982&amp;RIGHT(INDIRECT(ADDRESS(ROW(F983)-1, 'From Order'!$A983)), 1), F982))"),"FSLTTWRDTDBDBSBZHMFBT")</f>
        <v>FSLTTWRDTDBDBSBZHMFBT</v>
      </c>
      <c r="G983" s="2" t="str">
        <f>IFERROR(__xludf.DUMMYFUNCTION("IF('From Order'!$A983=COLUMNS($A983:G1002), LEFT(INDEX(FILTER(G$1:G982, G$1:G982&lt;&gt;""""),COUNTA(FILTER(G$1:G982, G$1:G982&lt;&gt;""""))), LEN(INDEX(FILTER(G$1:G982, G$1:G982&lt;&gt;""""),COUNTA(FILTER(G$1:G982, G$1:G982&lt;&gt;""""))))-1), IF('To Order'!$A983=COLUMNS($A983:"&amp;"G1002), G982&amp;RIGHT(INDIRECT(ADDRESS(ROW(G983)-1, 'From Order'!$A983)), 1), G982))"),"RCTMZL")</f>
        <v>RCTMZL</v>
      </c>
      <c r="H983" s="2" t="str">
        <f>IFERROR(__xludf.DUMMYFUNCTION("IF('From Order'!$A983=COLUMNS($A983:H1002), LEFT(INDEX(FILTER(H$1:H982, H$1:H982&lt;&gt;""""),COUNTA(FILTER(H$1:H982, H$1:H982&lt;&gt;""""))), LEN(INDEX(FILTER(H$1:H982, H$1:H982&lt;&gt;""""),COUNTA(FILTER(H$1:H982, H$1:H982&lt;&gt;""""))))-1), IF('To Order'!$A983=COLUMNS($A983:"&amp;"H1002), H982&amp;RIGHT(INDIRECT(ADDRESS(ROW(H983)-1, 'From Order'!$A983)), 1), H982))"),"PDS")</f>
        <v>PDS</v>
      </c>
      <c r="I983" s="2" t="str">
        <f>IFERROR(__xludf.DUMMYFUNCTION("IF('From Order'!$A983=COLUMNS($A983:I1002), LEFT(INDEX(FILTER(I$1:I982, I$1:I982&lt;&gt;""""),COUNTA(FILTER(I$1:I982, I$1:I982&lt;&gt;""""))), LEN(INDEX(FILTER(I$1:I982, I$1:I982&lt;&gt;""""),COUNTA(FILTER(I$1:I982, I$1:I982&lt;&gt;""""))))-1), IF('To Order'!$A983=COLUMNS($A983:"&amp;"I1002), I982&amp;RIGHT(INDIRECT(ADDRESS(ROW(I983)-1, 'From Order'!$A983)), 1), I982))"),"")</f>
        <v/>
      </c>
    </row>
    <row r="984">
      <c r="A984" s="2" t="str">
        <f>IFERROR(__xludf.DUMMYFUNCTION("IF('From Order'!$A984=COLUMNS($A984:A1003), LEFT(INDEX(FILTER(A$1:A983, A$1:A983&lt;&gt;""""),COUNTA(FILTER(A$1:A983, A$1:A983&lt;&gt;""""))), LEN(INDEX(FILTER(A$1:A983, A$1:A983&lt;&gt;""""),COUNTA(FILTER(A$1:A983, A$1:A983&lt;&gt;""""))))-1), IF('To Order'!$A984=COLUMNS($A984:"&amp;"A1003), A983&amp;RIGHT(INDIRECT(ADDRESS(ROW(A984)-1, 'From Order'!$A984)), 1), A983))"),"")</f>
        <v/>
      </c>
      <c r="B984" s="2" t="str">
        <f>IFERROR(__xludf.DUMMYFUNCTION("IF('From Order'!$A984=COLUMNS($A984:B1003), LEFT(INDEX(FILTER(B$1:B983, B$1:B983&lt;&gt;""""),COUNTA(FILTER(B$1:B983, B$1:B983&lt;&gt;""""))), LEN(INDEX(FILTER(B$1:B983, B$1:B983&lt;&gt;""""),COUNTA(FILTER(B$1:B983, B$1:B983&lt;&gt;""""))))-1), IF('To Order'!$A984=COLUMNS($A984:"&amp;"B1003), B983&amp;RIGHT(INDIRECT(ADDRESS(ROW(B984)-1, 'From Order'!$A984)), 1), B983))"),"JD")</f>
        <v>JD</v>
      </c>
      <c r="C984" s="2" t="str">
        <f>IFERROR(__xludf.DUMMYFUNCTION("IF('From Order'!$A984=COLUMNS($A984:C1003), LEFT(INDEX(FILTER(C$1:C983, C$1:C983&lt;&gt;""""),COUNTA(FILTER(C$1:C983, C$1:C983&lt;&gt;""""))), LEN(INDEX(FILTER(C$1:C983, C$1:C983&lt;&gt;""""),COUNTA(FILTER(C$1:C983, C$1:C983&lt;&gt;""""))))-1), IF('To Order'!$A984=COLUMNS($A984:"&amp;"C1003), C983&amp;RIGHT(INDIRECT(ADDRESS(ROW(C984)-1, 'From Order'!$A984)), 1), C983))"),"TRLRS")</f>
        <v>TRLRS</v>
      </c>
      <c r="D984" s="2" t="str">
        <f>IFERROR(__xludf.DUMMYFUNCTION("IF('From Order'!$A984=COLUMNS($A984:D1003), LEFT(INDEX(FILTER(D$1:D983, D$1:D983&lt;&gt;""""),COUNTA(FILTER(D$1:D983, D$1:D983&lt;&gt;""""))), LEN(INDEX(FILTER(D$1:D983, D$1:D983&lt;&gt;""""),COUNTA(FILTER(D$1:D983, D$1:D983&lt;&gt;""""))))-1), IF('To Order'!$A984=COLUMNS($A984:"&amp;"D1003), D983&amp;RIGHT(INDIRECT(ADDRESS(ROW(D984)-1, 'From Order'!$A984)), 1), D983))"),"")</f>
        <v/>
      </c>
      <c r="E984" s="2" t="str">
        <f>IFERROR(__xludf.DUMMYFUNCTION("IF('From Order'!$A984=COLUMNS($A984:E1003), LEFT(INDEX(FILTER(E$1:E983, E$1:E983&lt;&gt;""""),COUNTA(FILTER(E$1:E983, E$1:E983&lt;&gt;""""))), LEN(INDEX(FILTER(E$1:E983, E$1:E983&lt;&gt;""""),COUNTA(FILTER(E$1:E983, E$1:E983&lt;&gt;""""))))-1), IF('To Order'!$A984=COLUMNS($A984:"&amp;"E1003), E983&amp;RIGHT(INDIRECT(ADDRESS(ROW(E984)-1, 'From Order'!$A984)), 1), E983))"),"MGCDRZVCJVPPJQVQWHG")</f>
        <v>MGCDRZVCJVPPJQVQWHG</v>
      </c>
      <c r="F984" s="2" t="str">
        <f>IFERROR(__xludf.DUMMYFUNCTION("IF('From Order'!$A984=COLUMNS($A984:F1003), LEFT(INDEX(FILTER(F$1:F983, F$1:F983&lt;&gt;""""),COUNTA(FILTER(F$1:F983, F$1:F983&lt;&gt;""""))), LEN(INDEX(FILTER(F$1:F983, F$1:F983&lt;&gt;""""),COUNTA(FILTER(F$1:F983, F$1:F983&lt;&gt;""""))))-1), IF('To Order'!$A984=COLUMNS($A984:"&amp;"F1003), F983&amp;RIGHT(INDIRECT(ADDRESS(ROW(F984)-1, 'From Order'!$A984)), 1), F983))"),"FSLTTWRDTDBDBSBZHMFBT")</f>
        <v>FSLTTWRDTDBDBSBZHMFBT</v>
      </c>
      <c r="G984" s="2" t="str">
        <f>IFERROR(__xludf.DUMMYFUNCTION("IF('From Order'!$A984=COLUMNS($A984:G1003), LEFT(INDEX(FILTER(G$1:G983, G$1:G983&lt;&gt;""""),COUNTA(FILTER(G$1:G983, G$1:G983&lt;&gt;""""))), LEN(INDEX(FILTER(G$1:G983, G$1:G983&lt;&gt;""""),COUNTA(FILTER(G$1:G983, G$1:G983&lt;&gt;""""))))-1), IF('To Order'!$A984=COLUMNS($A984:"&amp;"G1003), G983&amp;RIGHT(INDIRECT(ADDRESS(ROW(G984)-1, 'From Order'!$A984)), 1), G983))"),"RCTMZL")</f>
        <v>RCTMZL</v>
      </c>
      <c r="H984" s="2" t="str">
        <f>IFERROR(__xludf.DUMMYFUNCTION("IF('From Order'!$A984=COLUMNS($A984:H1003), LEFT(INDEX(FILTER(H$1:H983, H$1:H983&lt;&gt;""""),COUNTA(FILTER(H$1:H983, H$1:H983&lt;&gt;""""))), LEN(INDEX(FILTER(H$1:H983, H$1:H983&lt;&gt;""""),COUNTA(FILTER(H$1:H983, H$1:H983&lt;&gt;""""))))-1), IF('To Order'!$A984=COLUMNS($A984:"&amp;"H1003), H983&amp;RIGHT(INDIRECT(ADDRESS(ROW(H984)-1, 'From Order'!$A984)), 1), H983))"),"PDS")</f>
        <v>PDS</v>
      </c>
      <c r="I984" s="2" t="str">
        <f>IFERROR(__xludf.DUMMYFUNCTION("IF('From Order'!$A984=COLUMNS($A984:I1003), LEFT(INDEX(FILTER(I$1:I983, I$1:I983&lt;&gt;""""),COUNTA(FILTER(I$1:I983, I$1:I983&lt;&gt;""""))), LEN(INDEX(FILTER(I$1:I983, I$1:I983&lt;&gt;""""),COUNTA(FILTER(I$1:I983, I$1:I983&lt;&gt;""""))))-1), IF('To Order'!$A984=COLUMNS($A984:"&amp;"I1003), I983&amp;RIGHT(INDIRECT(ADDRESS(ROW(I984)-1, 'From Order'!$A984)), 1), I983))"),"")</f>
        <v/>
      </c>
    </row>
    <row r="985">
      <c r="A985" s="2" t="str">
        <f>IFERROR(__xludf.DUMMYFUNCTION("IF('From Order'!$A985=COLUMNS($A985:A1004), LEFT(INDEX(FILTER(A$1:A984, A$1:A984&lt;&gt;""""),COUNTA(FILTER(A$1:A984, A$1:A984&lt;&gt;""""))), LEN(INDEX(FILTER(A$1:A984, A$1:A984&lt;&gt;""""),COUNTA(FILTER(A$1:A984, A$1:A984&lt;&gt;""""))))-1), IF('To Order'!$A985=COLUMNS($A985:"&amp;"A1004), A984&amp;RIGHT(INDIRECT(ADDRESS(ROW(A985)-1, 'From Order'!$A985)), 1), A984))"),"")</f>
        <v/>
      </c>
      <c r="B985" s="2" t="str">
        <f>IFERROR(__xludf.DUMMYFUNCTION("IF('From Order'!$A985=COLUMNS($A985:B1004), LEFT(INDEX(FILTER(B$1:B984, B$1:B984&lt;&gt;""""),COUNTA(FILTER(B$1:B984, B$1:B984&lt;&gt;""""))), LEN(INDEX(FILTER(B$1:B984, B$1:B984&lt;&gt;""""),COUNTA(FILTER(B$1:B984, B$1:B984&lt;&gt;""""))))-1), IF('To Order'!$A985=COLUMNS($A985:"&amp;"B1004), B984&amp;RIGHT(INDIRECT(ADDRESS(ROW(B985)-1, 'From Order'!$A985)), 1), B984))"),"JD")</f>
        <v>JD</v>
      </c>
      <c r="C985" s="2" t="str">
        <f>IFERROR(__xludf.DUMMYFUNCTION("IF('From Order'!$A985=COLUMNS($A985:C1004), LEFT(INDEX(FILTER(C$1:C984, C$1:C984&lt;&gt;""""),COUNTA(FILTER(C$1:C984, C$1:C984&lt;&gt;""""))), LEN(INDEX(FILTER(C$1:C984, C$1:C984&lt;&gt;""""),COUNTA(FILTER(C$1:C984, C$1:C984&lt;&gt;""""))))-1), IF('To Order'!$A985=COLUMNS($A985:"&amp;"C1004), C984&amp;RIGHT(INDIRECT(ADDRESS(ROW(C985)-1, 'From Order'!$A985)), 1), C984))"),"TRLRSG")</f>
        <v>TRLRSG</v>
      </c>
      <c r="D985" s="2" t="str">
        <f>IFERROR(__xludf.DUMMYFUNCTION("IF('From Order'!$A985=COLUMNS($A985:D1004), LEFT(INDEX(FILTER(D$1:D984, D$1:D984&lt;&gt;""""),COUNTA(FILTER(D$1:D984, D$1:D984&lt;&gt;""""))), LEN(INDEX(FILTER(D$1:D984, D$1:D984&lt;&gt;""""),COUNTA(FILTER(D$1:D984, D$1:D984&lt;&gt;""""))))-1), IF('To Order'!$A985=COLUMNS($A985:"&amp;"D1004), D984&amp;RIGHT(INDIRECT(ADDRESS(ROW(D985)-1, 'From Order'!$A985)), 1), D984))"),"")</f>
        <v/>
      </c>
      <c r="E985" s="2" t="str">
        <f>IFERROR(__xludf.DUMMYFUNCTION("IF('From Order'!$A985=COLUMNS($A985:E1004), LEFT(INDEX(FILTER(E$1:E984, E$1:E984&lt;&gt;""""),COUNTA(FILTER(E$1:E984, E$1:E984&lt;&gt;""""))), LEN(INDEX(FILTER(E$1:E984, E$1:E984&lt;&gt;""""),COUNTA(FILTER(E$1:E984, E$1:E984&lt;&gt;""""))))-1), IF('To Order'!$A985=COLUMNS($A985:"&amp;"E1004), E984&amp;RIGHT(INDIRECT(ADDRESS(ROW(E985)-1, 'From Order'!$A985)), 1), E984))"),"MGCDRZVCJVPPJQVQWH")</f>
        <v>MGCDRZVCJVPPJQVQWH</v>
      </c>
      <c r="F985" s="2" t="str">
        <f>IFERROR(__xludf.DUMMYFUNCTION("IF('From Order'!$A985=COLUMNS($A985:F1004), LEFT(INDEX(FILTER(F$1:F984, F$1:F984&lt;&gt;""""),COUNTA(FILTER(F$1:F984, F$1:F984&lt;&gt;""""))), LEN(INDEX(FILTER(F$1:F984, F$1:F984&lt;&gt;""""),COUNTA(FILTER(F$1:F984, F$1:F984&lt;&gt;""""))))-1), IF('To Order'!$A985=COLUMNS($A985:"&amp;"F1004), F984&amp;RIGHT(INDIRECT(ADDRESS(ROW(F985)-1, 'From Order'!$A985)), 1), F984))"),"FSLTTWRDTDBDBSBZHMFBT")</f>
        <v>FSLTTWRDTDBDBSBZHMFBT</v>
      </c>
      <c r="G985" s="2" t="str">
        <f>IFERROR(__xludf.DUMMYFUNCTION("IF('From Order'!$A985=COLUMNS($A985:G1004), LEFT(INDEX(FILTER(G$1:G984, G$1:G984&lt;&gt;""""),COUNTA(FILTER(G$1:G984, G$1:G984&lt;&gt;""""))), LEN(INDEX(FILTER(G$1:G984, G$1:G984&lt;&gt;""""),COUNTA(FILTER(G$1:G984, G$1:G984&lt;&gt;""""))))-1), IF('To Order'!$A985=COLUMNS($A985:"&amp;"G1004), G984&amp;RIGHT(INDIRECT(ADDRESS(ROW(G985)-1, 'From Order'!$A985)), 1), G984))"),"RCTMZL")</f>
        <v>RCTMZL</v>
      </c>
      <c r="H985" s="2" t="str">
        <f>IFERROR(__xludf.DUMMYFUNCTION("IF('From Order'!$A985=COLUMNS($A985:H1004), LEFT(INDEX(FILTER(H$1:H984, H$1:H984&lt;&gt;""""),COUNTA(FILTER(H$1:H984, H$1:H984&lt;&gt;""""))), LEN(INDEX(FILTER(H$1:H984, H$1:H984&lt;&gt;""""),COUNTA(FILTER(H$1:H984, H$1:H984&lt;&gt;""""))))-1), IF('To Order'!$A985=COLUMNS($A985:"&amp;"H1004), H984&amp;RIGHT(INDIRECT(ADDRESS(ROW(H985)-1, 'From Order'!$A985)), 1), H984))"),"PDS")</f>
        <v>PDS</v>
      </c>
      <c r="I985" s="2" t="str">
        <f>IFERROR(__xludf.DUMMYFUNCTION("IF('From Order'!$A985=COLUMNS($A985:I1004), LEFT(INDEX(FILTER(I$1:I984, I$1:I984&lt;&gt;""""),COUNTA(FILTER(I$1:I984, I$1:I984&lt;&gt;""""))), LEN(INDEX(FILTER(I$1:I984, I$1:I984&lt;&gt;""""),COUNTA(FILTER(I$1:I984, I$1:I984&lt;&gt;""""))))-1), IF('To Order'!$A985=COLUMNS($A985:"&amp;"I1004), I984&amp;RIGHT(INDIRECT(ADDRESS(ROW(I985)-1, 'From Order'!$A985)), 1), I984))"),"")</f>
        <v/>
      </c>
    </row>
    <row r="986">
      <c r="A986" s="2" t="str">
        <f>IFERROR(__xludf.DUMMYFUNCTION("IF('From Order'!$A986=COLUMNS($A986:A1005), LEFT(INDEX(FILTER(A$1:A985, A$1:A985&lt;&gt;""""),COUNTA(FILTER(A$1:A985, A$1:A985&lt;&gt;""""))), LEN(INDEX(FILTER(A$1:A985, A$1:A985&lt;&gt;""""),COUNTA(FILTER(A$1:A985, A$1:A985&lt;&gt;""""))))-1), IF('To Order'!$A986=COLUMNS($A986:"&amp;"A1005), A985&amp;RIGHT(INDIRECT(ADDRESS(ROW(A986)-1, 'From Order'!$A986)), 1), A985))"),"")</f>
        <v/>
      </c>
      <c r="B986" s="2" t="str">
        <f>IFERROR(__xludf.DUMMYFUNCTION("IF('From Order'!$A986=COLUMNS($A986:B1005), LEFT(INDEX(FILTER(B$1:B985, B$1:B985&lt;&gt;""""),COUNTA(FILTER(B$1:B985, B$1:B985&lt;&gt;""""))), LEN(INDEX(FILTER(B$1:B985, B$1:B985&lt;&gt;""""),COUNTA(FILTER(B$1:B985, B$1:B985&lt;&gt;""""))))-1), IF('To Order'!$A986=COLUMNS($A986:"&amp;"B1005), B985&amp;RIGHT(INDIRECT(ADDRESS(ROW(B986)-1, 'From Order'!$A986)), 1), B985))"),"JD")</f>
        <v>JD</v>
      </c>
      <c r="C986" s="2" t="str">
        <f>IFERROR(__xludf.DUMMYFUNCTION("IF('From Order'!$A986=COLUMNS($A986:C1005), LEFT(INDEX(FILTER(C$1:C985, C$1:C985&lt;&gt;""""),COUNTA(FILTER(C$1:C985, C$1:C985&lt;&gt;""""))), LEN(INDEX(FILTER(C$1:C985, C$1:C985&lt;&gt;""""),COUNTA(FILTER(C$1:C985, C$1:C985&lt;&gt;""""))))-1), IF('To Order'!$A986=COLUMNS($A986:"&amp;"C1005), C985&amp;RIGHT(INDIRECT(ADDRESS(ROW(C986)-1, 'From Order'!$A986)), 1), C985))"),"TRLRSGH")</f>
        <v>TRLRSGH</v>
      </c>
      <c r="D986" s="2" t="str">
        <f>IFERROR(__xludf.DUMMYFUNCTION("IF('From Order'!$A986=COLUMNS($A986:D1005), LEFT(INDEX(FILTER(D$1:D985, D$1:D985&lt;&gt;""""),COUNTA(FILTER(D$1:D985, D$1:D985&lt;&gt;""""))), LEN(INDEX(FILTER(D$1:D985, D$1:D985&lt;&gt;""""),COUNTA(FILTER(D$1:D985, D$1:D985&lt;&gt;""""))))-1), IF('To Order'!$A986=COLUMNS($A986:"&amp;"D1005), D985&amp;RIGHT(INDIRECT(ADDRESS(ROW(D986)-1, 'From Order'!$A986)), 1), D985))"),"")</f>
        <v/>
      </c>
      <c r="E986" s="2" t="str">
        <f>IFERROR(__xludf.DUMMYFUNCTION("IF('From Order'!$A986=COLUMNS($A986:E1005), LEFT(INDEX(FILTER(E$1:E985, E$1:E985&lt;&gt;""""),COUNTA(FILTER(E$1:E985, E$1:E985&lt;&gt;""""))), LEN(INDEX(FILTER(E$1:E985, E$1:E985&lt;&gt;""""),COUNTA(FILTER(E$1:E985, E$1:E985&lt;&gt;""""))))-1), IF('To Order'!$A986=COLUMNS($A986:"&amp;"E1005), E985&amp;RIGHT(INDIRECT(ADDRESS(ROW(E986)-1, 'From Order'!$A986)), 1), E985))"),"MGCDRZVCJVPPJQVQW")</f>
        <v>MGCDRZVCJVPPJQVQW</v>
      </c>
      <c r="F986" s="2" t="str">
        <f>IFERROR(__xludf.DUMMYFUNCTION("IF('From Order'!$A986=COLUMNS($A986:F1005), LEFT(INDEX(FILTER(F$1:F985, F$1:F985&lt;&gt;""""),COUNTA(FILTER(F$1:F985, F$1:F985&lt;&gt;""""))), LEN(INDEX(FILTER(F$1:F985, F$1:F985&lt;&gt;""""),COUNTA(FILTER(F$1:F985, F$1:F985&lt;&gt;""""))))-1), IF('To Order'!$A986=COLUMNS($A986:"&amp;"F1005), F985&amp;RIGHT(INDIRECT(ADDRESS(ROW(F986)-1, 'From Order'!$A986)), 1), F985))"),"FSLTTWRDTDBDBSBZHMFBT")</f>
        <v>FSLTTWRDTDBDBSBZHMFBT</v>
      </c>
      <c r="G986" s="2" t="str">
        <f>IFERROR(__xludf.DUMMYFUNCTION("IF('From Order'!$A986=COLUMNS($A986:G1005), LEFT(INDEX(FILTER(G$1:G985, G$1:G985&lt;&gt;""""),COUNTA(FILTER(G$1:G985, G$1:G985&lt;&gt;""""))), LEN(INDEX(FILTER(G$1:G985, G$1:G985&lt;&gt;""""),COUNTA(FILTER(G$1:G985, G$1:G985&lt;&gt;""""))))-1), IF('To Order'!$A986=COLUMNS($A986:"&amp;"G1005), G985&amp;RIGHT(INDIRECT(ADDRESS(ROW(G986)-1, 'From Order'!$A986)), 1), G985))"),"RCTMZL")</f>
        <v>RCTMZL</v>
      </c>
      <c r="H986" s="2" t="str">
        <f>IFERROR(__xludf.DUMMYFUNCTION("IF('From Order'!$A986=COLUMNS($A986:H1005), LEFT(INDEX(FILTER(H$1:H985, H$1:H985&lt;&gt;""""),COUNTA(FILTER(H$1:H985, H$1:H985&lt;&gt;""""))), LEN(INDEX(FILTER(H$1:H985, H$1:H985&lt;&gt;""""),COUNTA(FILTER(H$1:H985, H$1:H985&lt;&gt;""""))))-1), IF('To Order'!$A986=COLUMNS($A986:"&amp;"H1005), H985&amp;RIGHT(INDIRECT(ADDRESS(ROW(H986)-1, 'From Order'!$A986)), 1), H985))"),"PDS")</f>
        <v>PDS</v>
      </c>
      <c r="I986" s="2" t="str">
        <f>IFERROR(__xludf.DUMMYFUNCTION("IF('From Order'!$A986=COLUMNS($A986:I1005), LEFT(INDEX(FILTER(I$1:I985, I$1:I985&lt;&gt;""""),COUNTA(FILTER(I$1:I985, I$1:I985&lt;&gt;""""))), LEN(INDEX(FILTER(I$1:I985, I$1:I985&lt;&gt;""""),COUNTA(FILTER(I$1:I985, I$1:I985&lt;&gt;""""))))-1), IF('To Order'!$A986=COLUMNS($A986:"&amp;"I1005), I985&amp;RIGHT(INDIRECT(ADDRESS(ROW(I986)-1, 'From Order'!$A986)), 1), I985))"),"")</f>
        <v/>
      </c>
    </row>
    <row r="987">
      <c r="A987" s="2" t="str">
        <f>IFERROR(__xludf.DUMMYFUNCTION("IF('From Order'!$A987=COLUMNS($A987:A1006), LEFT(INDEX(FILTER(A$1:A986, A$1:A986&lt;&gt;""""),COUNTA(FILTER(A$1:A986, A$1:A986&lt;&gt;""""))), LEN(INDEX(FILTER(A$1:A986, A$1:A986&lt;&gt;""""),COUNTA(FILTER(A$1:A986, A$1:A986&lt;&gt;""""))))-1), IF('To Order'!$A987=COLUMNS($A987:"&amp;"A1006), A986&amp;RIGHT(INDIRECT(ADDRESS(ROW(A987)-1, 'From Order'!$A987)), 1), A986))"),"")</f>
        <v/>
      </c>
      <c r="B987" s="2" t="str">
        <f>IFERROR(__xludf.DUMMYFUNCTION("IF('From Order'!$A987=COLUMNS($A987:B1006), LEFT(INDEX(FILTER(B$1:B986, B$1:B986&lt;&gt;""""),COUNTA(FILTER(B$1:B986, B$1:B986&lt;&gt;""""))), LEN(INDEX(FILTER(B$1:B986, B$1:B986&lt;&gt;""""),COUNTA(FILTER(B$1:B986, B$1:B986&lt;&gt;""""))))-1), IF('To Order'!$A987=COLUMNS($A987:"&amp;"B1006), B986&amp;RIGHT(INDIRECT(ADDRESS(ROW(B987)-1, 'From Order'!$A987)), 1), B986))"),"JD")</f>
        <v>JD</v>
      </c>
      <c r="C987" s="2" t="str">
        <f>IFERROR(__xludf.DUMMYFUNCTION("IF('From Order'!$A987=COLUMNS($A987:C1006), LEFT(INDEX(FILTER(C$1:C986, C$1:C986&lt;&gt;""""),COUNTA(FILTER(C$1:C986, C$1:C986&lt;&gt;""""))), LEN(INDEX(FILTER(C$1:C986, C$1:C986&lt;&gt;""""),COUNTA(FILTER(C$1:C986, C$1:C986&lt;&gt;""""))))-1), IF('To Order'!$A987=COLUMNS($A987:"&amp;"C1006), C986&amp;RIGHT(INDIRECT(ADDRESS(ROW(C987)-1, 'From Order'!$A987)), 1), C986))"),"TRLRSGHW")</f>
        <v>TRLRSGHW</v>
      </c>
      <c r="D987" s="2" t="str">
        <f>IFERROR(__xludf.DUMMYFUNCTION("IF('From Order'!$A987=COLUMNS($A987:D1006), LEFT(INDEX(FILTER(D$1:D986, D$1:D986&lt;&gt;""""),COUNTA(FILTER(D$1:D986, D$1:D986&lt;&gt;""""))), LEN(INDEX(FILTER(D$1:D986, D$1:D986&lt;&gt;""""),COUNTA(FILTER(D$1:D986, D$1:D986&lt;&gt;""""))))-1), IF('To Order'!$A987=COLUMNS($A987:"&amp;"D1006), D986&amp;RIGHT(INDIRECT(ADDRESS(ROW(D987)-1, 'From Order'!$A987)), 1), D986))"),"")</f>
        <v/>
      </c>
      <c r="E987" s="2" t="str">
        <f>IFERROR(__xludf.DUMMYFUNCTION("IF('From Order'!$A987=COLUMNS($A987:E1006), LEFT(INDEX(FILTER(E$1:E986, E$1:E986&lt;&gt;""""),COUNTA(FILTER(E$1:E986, E$1:E986&lt;&gt;""""))), LEN(INDEX(FILTER(E$1:E986, E$1:E986&lt;&gt;""""),COUNTA(FILTER(E$1:E986, E$1:E986&lt;&gt;""""))))-1), IF('To Order'!$A987=COLUMNS($A987:"&amp;"E1006), E986&amp;RIGHT(INDIRECT(ADDRESS(ROW(E987)-1, 'From Order'!$A987)), 1), E986))"),"MGCDRZVCJVPPJQVQ")</f>
        <v>MGCDRZVCJVPPJQVQ</v>
      </c>
      <c r="F987" s="2" t="str">
        <f>IFERROR(__xludf.DUMMYFUNCTION("IF('From Order'!$A987=COLUMNS($A987:F1006), LEFT(INDEX(FILTER(F$1:F986, F$1:F986&lt;&gt;""""),COUNTA(FILTER(F$1:F986, F$1:F986&lt;&gt;""""))), LEN(INDEX(FILTER(F$1:F986, F$1:F986&lt;&gt;""""),COUNTA(FILTER(F$1:F986, F$1:F986&lt;&gt;""""))))-1), IF('To Order'!$A987=COLUMNS($A987:"&amp;"F1006), F986&amp;RIGHT(INDIRECT(ADDRESS(ROW(F987)-1, 'From Order'!$A987)), 1), F986))"),"FSLTTWRDTDBDBSBZHMFBT")</f>
        <v>FSLTTWRDTDBDBSBZHMFBT</v>
      </c>
      <c r="G987" s="2" t="str">
        <f>IFERROR(__xludf.DUMMYFUNCTION("IF('From Order'!$A987=COLUMNS($A987:G1006), LEFT(INDEX(FILTER(G$1:G986, G$1:G986&lt;&gt;""""),COUNTA(FILTER(G$1:G986, G$1:G986&lt;&gt;""""))), LEN(INDEX(FILTER(G$1:G986, G$1:G986&lt;&gt;""""),COUNTA(FILTER(G$1:G986, G$1:G986&lt;&gt;""""))))-1), IF('To Order'!$A987=COLUMNS($A987:"&amp;"G1006), G986&amp;RIGHT(INDIRECT(ADDRESS(ROW(G987)-1, 'From Order'!$A987)), 1), G986))"),"RCTMZL")</f>
        <v>RCTMZL</v>
      </c>
      <c r="H987" s="2" t="str">
        <f>IFERROR(__xludf.DUMMYFUNCTION("IF('From Order'!$A987=COLUMNS($A987:H1006), LEFT(INDEX(FILTER(H$1:H986, H$1:H986&lt;&gt;""""),COUNTA(FILTER(H$1:H986, H$1:H986&lt;&gt;""""))), LEN(INDEX(FILTER(H$1:H986, H$1:H986&lt;&gt;""""),COUNTA(FILTER(H$1:H986, H$1:H986&lt;&gt;""""))))-1), IF('To Order'!$A987=COLUMNS($A987:"&amp;"H1006), H986&amp;RIGHT(INDIRECT(ADDRESS(ROW(H987)-1, 'From Order'!$A987)), 1), H986))"),"PDS")</f>
        <v>PDS</v>
      </c>
      <c r="I987" s="2" t="str">
        <f>IFERROR(__xludf.DUMMYFUNCTION("IF('From Order'!$A987=COLUMNS($A987:I1006), LEFT(INDEX(FILTER(I$1:I986, I$1:I986&lt;&gt;""""),COUNTA(FILTER(I$1:I986, I$1:I986&lt;&gt;""""))), LEN(INDEX(FILTER(I$1:I986, I$1:I986&lt;&gt;""""),COUNTA(FILTER(I$1:I986, I$1:I986&lt;&gt;""""))))-1), IF('To Order'!$A987=COLUMNS($A987:"&amp;"I1006), I986&amp;RIGHT(INDIRECT(ADDRESS(ROW(I987)-1, 'From Order'!$A987)), 1), I986))"),"")</f>
        <v/>
      </c>
    </row>
    <row r="988">
      <c r="A988" s="2" t="str">
        <f>IFERROR(__xludf.DUMMYFUNCTION("IF('From Order'!$A988=COLUMNS($A988:A1007), LEFT(INDEX(FILTER(A$1:A987, A$1:A987&lt;&gt;""""),COUNTA(FILTER(A$1:A987, A$1:A987&lt;&gt;""""))), LEN(INDEX(FILTER(A$1:A987, A$1:A987&lt;&gt;""""),COUNTA(FILTER(A$1:A987, A$1:A987&lt;&gt;""""))))-1), IF('To Order'!$A988=COLUMNS($A988:"&amp;"A1007), A987&amp;RIGHT(INDIRECT(ADDRESS(ROW(A988)-1, 'From Order'!$A988)), 1), A987))"),"")</f>
        <v/>
      </c>
      <c r="B988" s="2" t="str">
        <f>IFERROR(__xludf.DUMMYFUNCTION("IF('From Order'!$A988=COLUMNS($A988:B1007), LEFT(INDEX(FILTER(B$1:B987, B$1:B987&lt;&gt;""""),COUNTA(FILTER(B$1:B987, B$1:B987&lt;&gt;""""))), LEN(INDEX(FILTER(B$1:B987, B$1:B987&lt;&gt;""""),COUNTA(FILTER(B$1:B987, B$1:B987&lt;&gt;""""))))-1), IF('To Order'!$A988=COLUMNS($A988:"&amp;"B1007), B987&amp;RIGHT(INDIRECT(ADDRESS(ROW(B988)-1, 'From Order'!$A988)), 1), B987))"),"JD")</f>
        <v>JD</v>
      </c>
      <c r="C988" s="2" t="str">
        <f>IFERROR(__xludf.DUMMYFUNCTION("IF('From Order'!$A988=COLUMNS($A988:C1007), LEFT(INDEX(FILTER(C$1:C987, C$1:C987&lt;&gt;""""),COUNTA(FILTER(C$1:C987, C$1:C987&lt;&gt;""""))), LEN(INDEX(FILTER(C$1:C987, C$1:C987&lt;&gt;""""),COUNTA(FILTER(C$1:C987, C$1:C987&lt;&gt;""""))))-1), IF('To Order'!$A988=COLUMNS($A988:"&amp;"C1007), C987&amp;RIGHT(INDIRECT(ADDRESS(ROW(C988)-1, 'From Order'!$A988)), 1), C987))"),"TRLRSGHWQ")</f>
        <v>TRLRSGHWQ</v>
      </c>
      <c r="D988" s="2" t="str">
        <f>IFERROR(__xludf.DUMMYFUNCTION("IF('From Order'!$A988=COLUMNS($A988:D1007), LEFT(INDEX(FILTER(D$1:D987, D$1:D987&lt;&gt;""""),COUNTA(FILTER(D$1:D987, D$1:D987&lt;&gt;""""))), LEN(INDEX(FILTER(D$1:D987, D$1:D987&lt;&gt;""""),COUNTA(FILTER(D$1:D987, D$1:D987&lt;&gt;""""))))-1), IF('To Order'!$A988=COLUMNS($A988:"&amp;"D1007), D987&amp;RIGHT(INDIRECT(ADDRESS(ROW(D988)-1, 'From Order'!$A988)), 1), D987))"),"")</f>
        <v/>
      </c>
      <c r="E988" s="2" t="str">
        <f>IFERROR(__xludf.DUMMYFUNCTION("IF('From Order'!$A988=COLUMNS($A988:E1007), LEFT(INDEX(FILTER(E$1:E987, E$1:E987&lt;&gt;""""),COUNTA(FILTER(E$1:E987, E$1:E987&lt;&gt;""""))), LEN(INDEX(FILTER(E$1:E987, E$1:E987&lt;&gt;""""),COUNTA(FILTER(E$1:E987, E$1:E987&lt;&gt;""""))))-1), IF('To Order'!$A988=COLUMNS($A988:"&amp;"E1007), E987&amp;RIGHT(INDIRECT(ADDRESS(ROW(E988)-1, 'From Order'!$A988)), 1), E987))"),"MGCDRZVCJVPPJQV")</f>
        <v>MGCDRZVCJVPPJQV</v>
      </c>
      <c r="F988" s="2" t="str">
        <f>IFERROR(__xludf.DUMMYFUNCTION("IF('From Order'!$A988=COLUMNS($A988:F1007), LEFT(INDEX(FILTER(F$1:F987, F$1:F987&lt;&gt;""""),COUNTA(FILTER(F$1:F987, F$1:F987&lt;&gt;""""))), LEN(INDEX(FILTER(F$1:F987, F$1:F987&lt;&gt;""""),COUNTA(FILTER(F$1:F987, F$1:F987&lt;&gt;""""))))-1), IF('To Order'!$A988=COLUMNS($A988:"&amp;"F1007), F987&amp;RIGHT(INDIRECT(ADDRESS(ROW(F988)-1, 'From Order'!$A988)), 1), F987))"),"FSLTTWRDTDBDBSBZHMFBT")</f>
        <v>FSLTTWRDTDBDBSBZHMFBT</v>
      </c>
      <c r="G988" s="2" t="str">
        <f>IFERROR(__xludf.DUMMYFUNCTION("IF('From Order'!$A988=COLUMNS($A988:G1007), LEFT(INDEX(FILTER(G$1:G987, G$1:G987&lt;&gt;""""),COUNTA(FILTER(G$1:G987, G$1:G987&lt;&gt;""""))), LEN(INDEX(FILTER(G$1:G987, G$1:G987&lt;&gt;""""),COUNTA(FILTER(G$1:G987, G$1:G987&lt;&gt;""""))))-1), IF('To Order'!$A988=COLUMNS($A988:"&amp;"G1007), G987&amp;RIGHT(INDIRECT(ADDRESS(ROW(G988)-1, 'From Order'!$A988)), 1), G987))"),"RCTMZL")</f>
        <v>RCTMZL</v>
      </c>
      <c r="H988" s="2" t="str">
        <f>IFERROR(__xludf.DUMMYFUNCTION("IF('From Order'!$A988=COLUMNS($A988:H1007), LEFT(INDEX(FILTER(H$1:H987, H$1:H987&lt;&gt;""""),COUNTA(FILTER(H$1:H987, H$1:H987&lt;&gt;""""))), LEN(INDEX(FILTER(H$1:H987, H$1:H987&lt;&gt;""""),COUNTA(FILTER(H$1:H987, H$1:H987&lt;&gt;""""))))-1), IF('To Order'!$A988=COLUMNS($A988:"&amp;"H1007), H987&amp;RIGHT(INDIRECT(ADDRESS(ROW(H988)-1, 'From Order'!$A988)), 1), H987))"),"PDS")</f>
        <v>PDS</v>
      </c>
      <c r="I988" s="2" t="str">
        <f>IFERROR(__xludf.DUMMYFUNCTION("IF('From Order'!$A988=COLUMNS($A988:I1007), LEFT(INDEX(FILTER(I$1:I987, I$1:I987&lt;&gt;""""),COUNTA(FILTER(I$1:I987, I$1:I987&lt;&gt;""""))), LEN(INDEX(FILTER(I$1:I987, I$1:I987&lt;&gt;""""),COUNTA(FILTER(I$1:I987, I$1:I987&lt;&gt;""""))))-1), IF('To Order'!$A988=COLUMNS($A988:"&amp;"I1007), I987&amp;RIGHT(INDIRECT(ADDRESS(ROW(I988)-1, 'From Order'!$A988)), 1), I987))"),"")</f>
        <v/>
      </c>
    </row>
    <row r="989">
      <c r="A989" s="2" t="str">
        <f>IFERROR(__xludf.DUMMYFUNCTION("IF('From Order'!$A989=COLUMNS($A989:A1008), LEFT(INDEX(FILTER(A$1:A988, A$1:A988&lt;&gt;""""),COUNTA(FILTER(A$1:A988, A$1:A988&lt;&gt;""""))), LEN(INDEX(FILTER(A$1:A988, A$1:A988&lt;&gt;""""),COUNTA(FILTER(A$1:A988, A$1:A988&lt;&gt;""""))))-1), IF('To Order'!$A989=COLUMNS($A989:"&amp;"A1008), A988&amp;RIGHT(INDIRECT(ADDRESS(ROW(A989)-1, 'From Order'!$A989)), 1), A988))"),"")</f>
        <v/>
      </c>
      <c r="B989" s="2" t="str">
        <f>IFERROR(__xludf.DUMMYFUNCTION("IF('From Order'!$A989=COLUMNS($A989:B1008), LEFT(INDEX(FILTER(B$1:B988, B$1:B988&lt;&gt;""""),COUNTA(FILTER(B$1:B988, B$1:B988&lt;&gt;""""))), LEN(INDEX(FILTER(B$1:B988, B$1:B988&lt;&gt;""""),COUNTA(FILTER(B$1:B988, B$1:B988&lt;&gt;""""))))-1), IF('To Order'!$A989=COLUMNS($A989:"&amp;"B1008), B988&amp;RIGHT(INDIRECT(ADDRESS(ROW(B989)-1, 'From Order'!$A989)), 1), B988))"),"JD")</f>
        <v>JD</v>
      </c>
      <c r="C989" s="2" t="str">
        <f>IFERROR(__xludf.DUMMYFUNCTION("IF('From Order'!$A989=COLUMNS($A989:C1008), LEFT(INDEX(FILTER(C$1:C988, C$1:C988&lt;&gt;""""),COUNTA(FILTER(C$1:C988, C$1:C988&lt;&gt;""""))), LEN(INDEX(FILTER(C$1:C988, C$1:C988&lt;&gt;""""),COUNTA(FILTER(C$1:C988, C$1:C988&lt;&gt;""""))))-1), IF('To Order'!$A989=COLUMNS($A989:"&amp;"C1008), C988&amp;RIGHT(INDIRECT(ADDRESS(ROW(C989)-1, 'From Order'!$A989)), 1), C988))"),"TRLRSGHWQV")</f>
        <v>TRLRSGHWQV</v>
      </c>
      <c r="D989" s="2" t="str">
        <f>IFERROR(__xludf.DUMMYFUNCTION("IF('From Order'!$A989=COLUMNS($A989:D1008), LEFT(INDEX(FILTER(D$1:D988, D$1:D988&lt;&gt;""""),COUNTA(FILTER(D$1:D988, D$1:D988&lt;&gt;""""))), LEN(INDEX(FILTER(D$1:D988, D$1:D988&lt;&gt;""""),COUNTA(FILTER(D$1:D988, D$1:D988&lt;&gt;""""))))-1), IF('To Order'!$A989=COLUMNS($A989:"&amp;"D1008), D988&amp;RIGHT(INDIRECT(ADDRESS(ROW(D989)-1, 'From Order'!$A989)), 1), D988))"),"")</f>
        <v/>
      </c>
      <c r="E989" s="2" t="str">
        <f>IFERROR(__xludf.DUMMYFUNCTION("IF('From Order'!$A989=COLUMNS($A989:E1008), LEFT(INDEX(FILTER(E$1:E988, E$1:E988&lt;&gt;""""),COUNTA(FILTER(E$1:E988, E$1:E988&lt;&gt;""""))), LEN(INDEX(FILTER(E$1:E988, E$1:E988&lt;&gt;""""),COUNTA(FILTER(E$1:E988, E$1:E988&lt;&gt;""""))))-1), IF('To Order'!$A989=COLUMNS($A989:"&amp;"E1008), E988&amp;RIGHT(INDIRECT(ADDRESS(ROW(E989)-1, 'From Order'!$A989)), 1), E988))"),"MGCDRZVCJVPPJQ")</f>
        <v>MGCDRZVCJVPPJQ</v>
      </c>
      <c r="F989" s="2" t="str">
        <f>IFERROR(__xludf.DUMMYFUNCTION("IF('From Order'!$A989=COLUMNS($A989:F1008), LEFT(INDEX(FILTER(F$1:F988, F$1:F988&lt;&gt;""""),COUNTA(FILTER(F$1:F988, F$1:F988&lt;&gt;""""))), LEN(INDEX(FILTER(F$1:F988, F$1:F988&lt;&gt;""""),COUNTA(FILTER(F$1:F988, F$1:F988&lt;&gt;""""))))-1), IF('To Order'!$A989=COLUMNS($A989:"&amp;"F1008), F988&amp;RIGHT(INDIRECT(ADDRESS(ROW(F989)-1, 'From Order'!$A989)), 1), F988))"),"FSLTTWRDTDBDBSBZHMFBT")</f>
        <v>FSLTTWRDTDBDBSBZHMFBT</v>
      </c>
      <c r="G989" s="2" t="str">
        <f>IFERROR(__xludf.DUMMYFUNCTION("IF('From Order'!$A989=COLUMNS($A989:G1008), LEFT(INDEX(FILTER(G$1:G988, G$1:G988&lt;&gt;""""),COUNTA(FILTER(G$1:G988, G$1:G988&lt;&gt;""""))), LEN(INDEX(FILTER(G$1:G988, G$1:G988&lt;&gt;""""),COUNTA(FILTER(G$1:G988, G$1:G988&lt;&gt;""""))))-1), IF('To Order'!$A989=COLUMNS($A989:"&amp;"G1008), G988&amp;RIGHT(INDIRECT(ADDRESS(ROW(G989)-1, 'From Order'!$A989)), 1), G988))"),"RCTMZL")</f>
        <v>RCTMZL</v>
      </c>
      <c r="H989" s="2" t="str">
        <f>IFERROR(__xludf.DUMMYFUNCTION("IF('From Order'!$A989=COLUMNS($A989:H1008), LEFT(INDEX(FILTER(H$1:H988, H$1:H988&lt;&gt;""""),COUNTA(FILTER(H$1:H988, H$1:H988&lt;&gt;""""))), LEN(INDEX(FILTER(H$1:H988, H$1:H988&lt;&gt;""""),COUNTA(FILTER(H$1:H988, H$1:H988&lt;&gt;""""))))-1), IF('To Order'!$A989=COLUMNS($A989:"&amp;"H1008), H988&amp;RIGHT(INDIRECT(ADDRESS(ROW(H989)-1, 'From Order'!$A989)), 1), H988))"),"PDS")</f>
        <v>PDS</v>
      </c>
      <c r="I989" s="2" t="str">
        <f>IFERROR(__xludf.DUMMYFUNCTION("IF('From Order'!$A989=COLUMNS($A989:I1008), LEFT(INDEX(FILTER(I$1:I988, I$1:I988&lt;&gt;""""),COUNTA(FILTER(I$1:I988, I$1:I988&lt;&gt;""""))), LEN(INDEX(FILTER(I$1:I988, I$1:I988&lt;&gt;""""),COUNTA(FILTER(I$1:I988, I$1:I988&lt;&gt;""""))))-1), IF('To Order'!$A989=COLUMNS($A989:"&amp;"I1008), I988&amp;RIGHT(INDIRECT(ADDRESS(ROW(I989)-1, 'From Order'!$A989)), 1), I988))"),"")</f>
        <v/>
      </c>
    </row>
    <row r="990">
      <c r="A990" s="2" t="str">
        <f>IFERROR(__xludf.DUMMYFUNCTION("IF('From Order'!$A990=COLUMNS($A990:A1009), LEFT(INDEX(FILTER(A$1:A989, A$1:A989&lt;&gt;""""),COUNTA(FILTER(A$1:A989, A$1:A989&lt;&gt;""""))), LEN(INDEX(FILTER(A$1:A989, A$1:A989&lt;&gt;""""),COUNTA(FILTER(A$1:A989, A$1:A989&lt;&gt;""""))))-1), IF('To Order'!$A990=COLUMNS($A990:"&amp;"A1009), A989&amp;RIGHT(INDIRECT(ADDRESS(ROW(A990)-1, 'From Order'!$A990)), 1), A989))"),"")</f>
        <v/>
      </c>
      <c r="B990" s="2" t="str">
        <f>IFERROR(__xludf.DUMMYFUNCTION("IF('From Order'!$A990=COLUMNS($A990:B1009), LEFT(INDEX(FILTER(B$1:B989, B$1:B989&lt;&gt;""""),COUNTA(FILTER(B$1:B989, B$1:B989&lt;&gt;""""))), LEN(INDEX(FILTER(B$1:B989, B$1:B989&lt;&gt;""""),COUNTA(FILTER(B$1:B989, B$1:B989&lt;&gt;""""))))-1), IF('To Order'!$A990=COLUMNS($A990:"&amp;"B1009), B989&amp;RIGHT(INDIRECT(ADDRESS(ROW(B990)-1, 'From Order'!$A990)), 1), B989))"),"JD")</f>
        <v>JD</v>
      </c>
      <c r="C990" s="2" t="str">
        <f>IFERROR(__xludf.DUMMYFUNCTION("IF('From Order'!$A990=COLUMNS($A990:C1009), LEFT(INDEX(FILTER(C$1:C989, C$1:C989&lt;&gt;""""),COUNTA(FILTER(C$1:C989, C$1:C989&lt;&gt;""""))), LEN(INDEX(FILTER(C$1:C989, C$1:C989&lt;&gt;""""),COUNTA(FILTER(C$1:C989, C$1:C989&lt;&gt;""""))))-1), IF('To Order'!$A990=COLUMNS($A990:"&amp;"C1009), C989&amp;RIGHT(INDIRECT(ADDRESS(ROW(C990)-1, 'From Order'!$A990)), 1), C989))"),"TRLRSGHWQVQ")</f>
        <v>TRLRSGHWQVQ</v>
      </c>
      <c r="D990" s="2" t="str">
        <f>IFERROR(__xludf.DUMMYFUNCTION("IF('From Order'!$A990=COLUMNS($A990:D1009), LEFT(INDEX(FILTER(D$1:D989, D$1:D989&lt;&gt;""""),COUNTA(FILTER(D$1:D989, D$1:D989&lt;&gt;""""))), LEN(INDEX(FILTER(D$1:D989, D$1:D989&lt;&gt;""""),COUNTA(FILTER(D$1:D989, D$1:D989&lt;&gt;""""))))-1), IF('To Order'!$A990=COLUMNS($A990:"&amp;"D1009), D989&amp;RIGHT(INDIRECT(ADDRESS(ROW(D990)-1, 'From Order'!$A990)), 1), D989))"),"")</f>
        <v/>
      </c>
      <c r="E990" s="2" t="str">
        <f>IFERROR(__xludf.DUMMYFUNCTION("IF('From Order'!$A990=COLUMNS($A990:E1009), LEFT(INDEX(FILTER(E$1:E989, E$1:E989&lt;&gt;""""),COUNTA(FILTER(E$1:E989, E$1:E989&lt;&gt;""""))), LEN(INDEX(FILTER(E$1:E989, E$1:E989&lt;&gt;""""),COUNTA(FILTER(E$1:E989, E$1:E989&lt;&gt;""""))))-1), IF('To Order'!$A990=COLUMNS($A990:"&amp;"E1009), E989&amp;RIGHT(INDIRECT(ADDRESS(ROW(E990)-1, 'From Order'!$A990)), 1), E989))"),"MGCDRZVCJVPPJ")</f>
        <v>MGCDRZVCJVPPJ</v>
      </c>
      <c r="F990" s="2" t="str">
        <f>IFERROR(__xludf.DUMMYFUNCTION("IF('From Order'!$A990=COLUMNS($A990:F1009), LEFT(INDEX(FILTER(F$1:F989, F$1:F989&lt;&gt;""""),COUNTA(FILTER(F$1:F989, F$1:F989&lt;&gt;""""))), LEN(INDEX(FILTER(F$1:F989, F$1:F989&lt;&gt;""""),COUNTA(FILTER(F$1:F989, F$1:F989&lt;&gt;""""))))-1), IF('To Order'!$A990=COLUMNS($A990:"&amp;"F1009), F989&amp;RIGHT(INDIRECT(ADDRESS(ROW(F990)-1, 'From Order'!$A990)), 1), F989))"),"FSLTTWRDTDBDBSBZHMFBT")</f>
        <v>FSLTTWRDTDBDBSBZHMFBT</v>
      </c>
      <c r="G990" s="2" t="str">
        <f>IFERROR(__xludf.DUMMYFUNCTION("IF('From Order'!$A990=COLUMNS($A990:G1009), LEFT(INDEX(FILTER(G$1:G989, G$1:G989&lt;&gt;""""),COUNTA(FILTER(G$1:G989, G$1:G989&lt;&gt;""""))), LEN(INDEX(FILTER(G$1:G989, G$1:G989&lt;&gt;""""),COUNTA(FILTER(G$1:G989, G$1:G989&lt;&gt;""""))))-1), IF('To Order'!$A990=COLUMNS($A990:"&amp;"G1009), G989&amp;RIGHT(INDIRECT(ADDRESS(ROW(G990)-1, 'From Order'!$A990)), 1), G989))"),"RCTMZL")</f>
        <v>RCTMZL</v>
      </c>
      <c r="H990" s="2" t="str">
        <f>IFERROR(__xludf.DUMMYFUNCTION("IF('From Order'!$A990=COLUMNS($A990:H1009), LEFT(INDEX(FILTER(H$1:H989, H$1:H989&lt;&gt;""""),COUNTA(FILTER(H$1:H989, H$1:H989&lt;&gt;""""))), LEN(INDEX(FILTER(H$1:H989, H$1:H989&lt;&gt;""""),COUNTA(FILTER(H$1:H989, H$1:H989&lt;&gt;""""))))-1), IF('To Order'!$A990=COLUMNS($A990:"&amp;"H1009), H989&amp;RIGHT(INDIRECT(ADDRESS(ROW(H990)-1, 'From Order'!$A990)), 1), H989))"),"PDS")</f>
        <v>PDS</v>
      </c>
      <c r="I990" s="2" t="str">
        <f>IFERROR(__xludf.DUMMYFUNCTION("IF('From Order'!$A990=COLUMNS($A990:I1009), LEFT(INDEX(FILTER(I$1:I989, I$1:I989&lt;&gt;""""),COUNTA(FILTER(I$1:I989, I$1:I989&lt;&gt;""""))), LEN(INDEX(FILTER(I$1:I989, I$1:I989&lt;&gt;""""),COUNTA(FILTER(I$1:I989, I$1:I989&lt;&gt;""""))))-1), IF('To Order'!$A990=COLUMNS($A990:"&amp;"I1009), I989&amp;RIGHT(INDIRECT(ADDRESS(ROW(I990)-1, 'From Order'!$A990)), 1), I989))"),"")</f>
        <v/>
      </c>
    </row>
    <row r="991">
      <c r="A991" s="2" t="str">
        <f>IFERROR(__xludf.DUMMYFUNCTION("IF('From Order'!$A991=COLUMNS($A991:A1010), LEFT(INDEX(FILTER(A$1:A990, A$1:A990&lt;&gt;""""),COUNTA(FILTER(A$1:A990, A$1:A990&lt;&gt;""""))), LEN(INDEX(FILTER(A$1:A990, A$1:A990&lt;&gt;""""),COUNTA(FILTER(A$1:A990, A$1:A990&lt;&gt;""""))))-1), IF('To Order'!$A991=COLUMNS($A991:"&amp;"A1010), A990&amp;RIGHT(INDIRECT(ADDRESS(ROW(A991)-1, 'From Order'!$A991)), 1), A990))"),"")</f>
        <v/>
      </c>
      <c r="B991" s="2" t="str">
        <f>IFERROR(__xludf.DUMMYFUNCTION("IF('From Order'!$A991=COLUMNS($A991:B1010), LEFT(INDEX(FILTER(B$1:B990, B$1:B990&lt;&gt;""""),COUNTA(FILTER(B$1:B990, B$1:B990&lt;&gt;""""))), LEN(INDEX(FILTER(B$1:B990, B$1:B990&lt;&gt;""""),COUNTA(FILTER(B$1:B990, B$1:B990&lt;&gt;""""))))-1), IF('To Order'!$A991=COLUMNS($A991:"&amp;"B1010), B990&amp;RIGHT(INDIRECT(ADDRESS(ROW(B991)-1, 'From Order'!$A991)), 1), B990))"),"JD")</f>
        <v>JD</v>
      </c>
      <c r="C991" s="2" t="str">
        <f>IFERROR(__xludf.DUMMYFUNCTION("IF('From Order'!$A991=COLUMNS($A991:C1010), LEFT(INDEX(FILTER(C$1:C990, C$1:C990&lt;&gt;""""),COUNTA(FILTER(C$1:C990, C$1:C990&lt;&gt;""""))), LEN(INDEX(FILTER(C$1:C990, C$1:C990&lt;&gt;""""),COUNTA(FILTER(C$1:C990, C$1:C990&lt;&gt;""""))))-1), IF('To Order'!$A991=COLUMNS($A991:"&amp;"C1010), C990&amp;RIGHT(INDIRECT(ADDRESS(ROW(C991)-1, 'From Order'!$A991)), 1), C990))"),"TRLRSGHWQVQJ")</f>
        <v>TRLRSGHWQVQJ</v>
      </c>
      <c r="D991" s="2" t="str">
        <f>IFERROR(__xludf.DUMMYFUNCTION("IF('From Order'!$A991=COLUMNS($A991:D1010), LEFT(INDEX(FILTER(D$1:D990, D$1:D990&lt;&gt;""""),COUNTA(FILTER(D$1:D990, D$1:D990&lt;&gt;""""))), LEN(INDEX(FILTER(D$1:D990, D$1:D990&lt;&gt;""""),COUNTA(FILTER(D$1:D990, D$1:D990&lt;&gt;""""))))-1), IF('To Order'!$A991=COLUMNS($A991:"&amp;"D1010), D990&amp;RIGHT(INDIRECT(ADDRESS(ROW(D991)-1, 'From Order'!$A991)), 1), D990))"),"")</f>
        <v/>
      </c>
      <c r="E991" s="2" t="str">
        <f>IFERROR(__xludf.DUMMYFUNCTION("IF('From Order'!$A991=COLUMNS($A991:E1010), LEFT(INDEX(FILTER(E$1:E990, E$1:E990&lt;&gt;""""),COUNTA(FILTER(E$1:E990, E$1:E990&lt;&gt;""""))), LEN(INDEX(FILTER(E$1:E990, E$1:E990&lt;&gt;""""),COUNTA(FILTER(E$1:E990, E$1:E990&lt;&gt;""""))))-1), IF('To Order'!$A991=COLUMNS($A991:"&amp;"E1010), E990&amp;RIGHT(INDIRECT(ADDRESS(ROW(E991)-1, 'From Order'!$A991)), 1), E990))"),"MGCDRZVCJVPP")</f>
        <v>MGCDRZVCJVPP</v>
      </c>
      <c r="F991" s="2" t="str">
        <f>IFERROR(__xludf.DUMMYFUNCTION("IF('From Order'!$A991=COLUMNS($A991:F1010), LEFT(INDEX(FILTER(F$1:F990, F$1:F990&lt;&gt;""""),COUNTA(FILTER(F$1:F990, F$1:F990&lt;&gt;""""))), LEN(INDEX(FILTER(F$1:F990, F$1:F990&lt;&gt;""""),COUNTA(FILTER(F$1:F990, F$1:F990&lt;&gt;""""))))-1), IF('To Order'!$A991=COLUMNS($A991:"&amp;"F1010), F990&amp;RIGHT(INDIRECT(ADDRESS(ROW(F991)-1, 'From Order'!$A991)), 1), F990))"),"FSLTTWRDTDBDBSBZHMFBT")</f>
        <v>FSLTTWRDTDBDBSBZHMFBT</v>
      </c>
      <c r="G991" s="2" t="str">
        <f>IFERROR(__xludf.DUMMYFUNCTION("IF('From Order'!$A991=COLUMNS($A991:G1010), LEFT(INDEX(FILTER(G$1:G990, G$1:G990&lt;&gt;""""),COUNTA(FILTER(G$1:G990, G$1:G990&lt;&gt;""""))), LEN(INDEX(FILTER(G$1:G990, G$1:G990&lt;&gt;""""),COUNTA(FILTER(G$1:G990, G$1:G990&lt;&gt;""""))))-1), IF('To Order'!$A991=COLUMNS($A991:"&amp;"G1010), G990&amp;RIGHT(INDIRECT(ADDRESS(ROW(G991)-1, 'From Order'!$A991)), 1), G990))"),"RCTMZL")</f>
        <v>RCTMZL</v>
      </c>
      <c r="H991" s="2" t="str">
        <f>IFERROR(__xludf.DUMMYFUNCTION("IF('From Order'!$A991=COLUMNS($A991:H1010), LEFT(INDEX(FILTER(H$1:H990, H$1:H990&lt;&gt;""""),COUNTA(FILTER(H$1:H990, H$1:H990&lt;&gt;""""))), LEN(INDEX(FILTER(H$1:H990, H$1:H990&lt;&gt;""""),COUNTA(FILTER(H$1:H990, H$1:H990&lt;&gt;""""))))-1), IF('To Order'!$A991=COLUMNS($A991:"&amp;"H1010), H990&amp;RIGHT(INDIRECT(ADDRESS(ROW(H991)-1, 'From Order'!$A991)), 1), H990))"),"PDS")</f>
        <v>PDS</v>
      </c>
      <c r="I991" s="2" t="str">
        <f>IFERROR(__xludf.DUMMYFUNCTION("IF('From Order'!$A991=COLUMNS($A991:I1010), LEFT(INDEX(FILTER(I$1:I990, I$1:I990&lt;&gt;""""),COUNTA(FILTER(I$1:I990, I$1:I990&lt;&gt;""""))), LEN(INDEX(FILTER(I$1:I990, I$1:I990&lt;&gt;""""),COUNTA(FILTER(I$1:I990, I$1:I990&lt;&gt;""""))))-1), IF('To Order'!$A991=COLUMNS($A991:"&amp;"I1010), I990&amp;RIGHT(INDIRECT(ADDRESS(ROW(I991)-1, 'From Order'!$A991)), 1), I990))"),"")</f>
        <v/>
      </c>
    </row>
    <row r="992">
      <c r="A992" s="2" t="str">
        <f>IFERROR(__xludf.DUMMYFUNCTION("IF('From Order'!$A992=COLUMNS($A992:A1011), LEFT(INDEX(FILTER(A$1:A991, A$1:A991&lt;&gt;""""),COUNTA(FILTER(A$1:A991, A$1:A991&lt;&gt;""""))), LEN(INDEX(FILTER(A$1:A991, A$1:A991&lt;&gt;""""),COUNTA(FILTER(A$1:A991, A$1:A991&lt;&gt;""""))))-1), IF('To Order'!$A992=COLUMNS($A992:"&amp;"A1011), A991&amp;RIGHT(INDIRECT(ADDRESS(ROW(A992)-1, 'From Order'!$A992)), 1), A991))"),"")</f>
        <v/>
      </c>
      <c r="B992" s="2" t="str">
        <f>IFERROR(__xludf.DUMMYFUNCTION("IF('From Order'!$A992=COLUMNS($A992:B1011), LEFT(INDEX(FILTER(B$1:B991, B$1:B991&lt;&gt;""""),COUNTA(FILTER(B$1:B991, B$1:B991&lt;&gt;""""))), LEN(INDEX(FILTER(B$1:B991, B$1:B991&lt;&gt;""""),COUNTA(FILTER(B$1:B991, B$1:B991&lt;&gt;""""))))-1), IF('To Order'!$A992=COLUMNS($A992:"&amp;"B1011), B991&amp;RIGHT(INDIRECT(ADDRESS(ROW(B992)-1, 'From Order'!$A992)), 1), B991))"),"JD")</f>
        <v>JD</v>
      </c>
      <c r="C992" s="2" t="str">
        <f>IFERROR(__xludf.DUMMYFUNCTION("IF('From Order'!$A992=COLUMNS($A992:C1011), LEFT(INDEX(FILTER(C$1:C991, C$1:C991&lt;&gt;""""),COUNTA(FILTER(C$1:C991, C$1:C991&lt;&gt;""""))), LEN(INDEX(FILTER(C$1:C991, C$1:C991&lt;&gt;""""),COUNTA(FILTER(C$1:C991, C$1:C991&lt;&gt;""""))))-1), IF('To Order'!$A992=COLUMNS($A992:"&amp;"C1011), C991&amp;RIGHT(INDIRECT(ADDRESS(ROW(C992)-1, 'From Order'!$A992)), 1), C991))"),"TRLRSGHWQVQJP")</f>
        <v>TRLRSGHWQVQJP</v>
      </c>
      <c r="D992" s="2" t="str">
        <f>IFERROR(__xludf.DUMMYFUNCTION("IF('From Order'!$A992=COLUMNS($A992:D1011), LEFT(INDEX(FILTER(D$1:D991, D$1:D991&lt;&gt;""""),COUNTA(FILTER(D$1:D991, D$1:D991&lt;&gt;""""))), LEN(INDEX(FILTER(D$1:D991, D$1:D991&lt;&gt;""""),COUNTA(FILTER(D$1:D991, D$1:D991&lt;&gt;""""))))-1), IF('To Order'!$A992=COLUMNS($A992:"&amp;"D1011), D991&amp;RIGHT(INDIRECT(ADDRESS(ROW(D992)-1, 'From Order'!$A992)), 1), D991))"),"")</f>
        <v/>
      </c>
      <c r="E992" s="2" t="str">
        <f>IFERROR(__xludf.DUMMYFUNCTION("IF('From Order'!$A992=COLUMNS($A992:E1011), LEFT(INDEX(FILTER(E$1:E991, E$1:E991&lt;&gt;""""),COUNTA(FILTER(E$1:E991, E$1:E991&lt;&gt;""""))), LEN(INDEX(FILTER(E$1:E991, E$1:E991&lt;&gt;""""),COUNTA(FILTER(E$1:E991, E$1:E991&lt;&gt;""""))))-1), IF('To Order'!$A992=COLUMNS($A992:"&amp;"E1011), E991&amp;RIGHT(INDIRECT(ADDRESS(ROW(E992)-1, 'From Order'!$A992)), 1), E991))"),"MGCDRZVCJVP")</f>
        <v>MGCDRZVCJVP</v>
      </c>
      <c r="F992" s="2" t="str">
        <f>IFERROR(__xludf.DUMMYFUNCTION("IF('From Order'!$A992=COLUMNS($A992:F1011), LEFT(INDEX(FILTER(F$1:F991, F$1:F991&lt;&gt;""""),COUNTA(FILTER(F$1:F991, F$1:F991&lt;&gt;""""))), LEN(INDEX(FILTER(F$1:F991, F$1:F991&lt;&gt;""""),COUNTA(FILTER(F$1:F991, F$1:F991&lt;&gt;""""))))-1), IF('To Order'!$A992=COLUMNS($A992:"&amp;"F1011), F991&amp;RIGHT(INDIRECT(ADDRESS(ROW(F992)-1, 'From Order'!$A992)), 1), F991))"),"FSLTTWRDTDBDBSBZHMFBT")</f>
        <v>FSLTTWRDTDBDBSBZHMFBT</v>
      </c>
      <c r="G992" s="2" t="str">
        <f>IFERROR(__xludf.DUMMYFUNCTION("IF('From Order'!$A992=COLUMNS($A992:G1011), LEFT(INDEX(FILTER(G$1:G991, G$1:G991&lt;&gt;""""),COUNTA(FILTER(G$1:G991, G$1:G991&lt;&gt;""""))), LEN(INDEX(FILTER(G$1:G991, G$1:G991&lt;&gt;""""),COUNTA(FILTER(G$1:G991, G$1:G991&lt;&gt;""""))))-1), IF('To Order'!$A992=COLUMNS($A992:"&amp;"G1011), G991&amp;RIGHT(INDIRECT(ADDRESS(ROW(G992)-1, 'From Order'!$A992)), 1), G991))"),"RCTMZL")</f>
        <v>RCTMZL</v>
      </c>
      <c r="H992" s="2" t="str">
        <f>IFERROR(__xludf.DUMMYFUNCTION("IF('From Order'!$A992=COLUMNS($A992:H1011), LEFT(INDEX(FILTER(H$1:H991, H$1:H991&lt;&gt;""""),COUNTA(FILTER(H$1:H991, H$1:H991&lt;&gt;""""))), LEN(INDEX(FILTER(H$1:H991, H$1:H991&lt;&gt;""""),COUNTA(FILTER(H$1:H991, H$1:H991&lt;&gt;""""))))-1), IF('To Order'!$A992=COLUMNS($A992:"&amp;"H1011), H991&amp;RIGHT(INDIRECT(ADDRESS(ROW(H992)-1, 'From Order'!$A992)), 1), H991))"),"PDS")</f>
        <v>PDS</v>
      </c>
      <c r="I992" s="2" t="str">
        <f>IFERROR(__xludf.DUMMYFUNCTION("IF('From Order'!$A992=COLUMNS($A992:I1011), LEFT(INDEX(FILTER(I$1:I991, I$1:I991&lt;&gt;""""),COUNTA(FILTER(I$1:I991, I$1:I991&lt;&gt;""""))), LEN(INDEX(FILTER(I$1:I991, I$1:I991&lt;&gt;""""),COUNTA(FILTER(I$1:I991, I$1:I991&lt;&gt;""""))))-1), IF('To Order'!$A992=COLUMNS($A992:"&amp;"I1011), I991&amp;RIGHT(INDIRECT(ADDRESS(ROW(I992)-1, 'From Order'!$A992)), 1), I991))"),"")</f>
        <v/>
      </c>
    </row>
    <row r="993">
      <c r="A993" s="2" t="str">
        <f>IFERROR(__xludf.DUMMYFUNCTION("IF('From Order'!$A993=COLUMNS($A993:A1012), LEFT(INDEX(FILTER(A$1:A992, A$1:A992&lt;&gt;""""),COUNTA(FILTER(A$1:A992, A$1:A992&lt;&gt;""""))), LEN(INDEX(FILTER(A$1:A992, A$1:A992&lt;&gt;""""),COUNTA(FILTER(A$1:A992, A$1:A992&lt;&gt;""""))))-1), IF('To Order'!$A993=COLUMNS($A993:"&amp;"A1012), A992&amp;RIGHT(INDIRECT(ADDRESS(ROW(A993)-1, 'From Order'!$A993)), 1), A992))"),"")</f>
        <v/>
      </c>
      <c r="B993" s="2" t="str">
        <f>IFERROR(__xludf.DUMMYFUNCTION("IF('From Order'!$A993=COLUMNS($A993:B1012), LEFT(INDEX(FILTER(B$1:B992, B$1:B992&lt;&gt;""""),COUNTA(FILTER(B$1:B992, B$1:B992&lt;&gt;""""))), LEN(INDEX(FILTER(B$1:B992, B$1:B992&lt;&gt;""""),COUNTA(FILTER(B$1:B992, B$1:B992&lt;&gt;""""))))-1), IF('To Order'!$A993=COLUMNS($A993:"&amp;"B1012), B992&amp;RIGHT(INDIRECT(ADDRESS(ROW(B993)-1, 'From Order'!$A993)), 1), B992))"),"JD")</f>
        <v>JD</v>
      </c>
      <c r="C993" s="2" t="str">
        <f>IFERROR(__xludf.DUMMYFUNCTION("IF('From Order'!$A993=COLUMNS($A993:C1012), LEFT(INDEX(FILTER(C$1:C992, C$1:C992&lt;&gt;""""),COUNTA(FILTER(C$1:C992, C$1:C992&lt;&gt;""""))), LEN(INDEX(FILTER(C$1:C992, C$1:C992&lt;&gt;""""),COUNTA(FILTER(C$1:C992, C$1:C992&lt;&gt;""""))))-1), IF('To Order'!$A993=COLUMNS($A993:"&amp;"C1012), C992&amp;RIGHT(INDIRECT(ADDRESS(ROW(C993)-1, 'From Order'!$A993)), 1), C992))"),"TRLRSGHWQVQJPP")</f>
        <v>TRLRSGHWQVQJPP</v>
      </c>
      <c r="D993" s="2" t="str">
        <f>IFERROR(__xludf.DUMMYFUNCTION("IF('From Order'!$A993=COLUMNS($A993:D1012), LEFT(INDEX(FILTER(D$1:D992, D$1:D992&lt;&gt;""""),COUNTA(FILTER(D$1:D992, D$1:D992&lt;&gt;""""))), LEN(INDEX(FILTER(D$1:D992, D$1:D992&lt;&gt;""""),COUNTA(FILTER(D$1:D992, D$1:D992&lt;&gt;""""))))-1), IF('To Order'!$A993=COLUMNS($A993:"&amp;"D1012), D992&amp;RIGHT(INDIRECT(ADDRESS(ROW(D993)-1, 'From Order'!$A993)), 1), D992))"),"")</f>
        <v/>
      </c>
      <c r="E993" s="2" t="str">
        <f>IFERROR(__xludf.DUMMYFUNCTION("IF('From Order'!$A993=COLUMNS($A993:E1012), LEFT(INDEX(FILTER(E$1:E992, E$1:E992&lt;&gt;""""),COUNTA(FILTER(E$1:E992, E$1:E992&lt;&gt;""""))), LEN(INDEX(FILTER(E$1:E992, E$1:E992&lt;&gt;""""),COUNTA(FILTER(E$1:E992, E$1:E992&lt;&gt;""""))))-1), IF('To Order'!$A993=COLUMNS($A993:"&amp;"E1012), E992&amp;RIGHT(INDIRECT(ADDRESS(ROW(E993)-1, 'From Order'!$A993)), 1), E992))"),"MGCDRZVCJV")</f>
        <v>MGCDRZVCJV</v>
      </c>
      <c r="F993" s="2" t="str">
        <f>IFERROR(__xludf.DUMMYFUNCTION("IF('From Order'!$A993=COLUMNS($A993:F1012), LEFT(INDEX(FILTER(F$1:F992, F$1:F992&lt;&gt;""""),COUNTA(FILTER(F$1:F992, F$1:F992&lt;&gt;""""))), LEN(INDEX(FILTER(F$1:F992, F$1:F992&lt;&gt;""""),COUNTA(FILTER(F$1:F992, F$1:F992&lt;&gt;""""))))-1), IF('To Order'!$A993=COLUMNS($A993:"&amp;"F1012), F992&amp;RIGHT(INDIRECT(ADDRESS(ROW(F993)-1, 'From Order'!$A993)), 1), F992))"),"FSLTTWRDTDBDBSBZHMFBT")</f>
        <v>FSLTTWRDTDBDBSBZHMFBT</v>
      </c>
      <c r="G993" s="2" t="str">
        <f>IFERROR(__xludf.DUMMYFUNCTION("IF('From Order'!$A993=COLUMNS($A993:G1012), LEFT(INDEX(FILTER(G$1:G992, G$1:G992&lt;&gt;""""),COUNTA(FILTER(G$1:G992, G$1:G992&lt;&gt;""""))), LEN(INDEX(FILTER(G$1:G992, G$1:G992&lt;&gt;""""),COUNTA(FILTER(G$1:G992, G$1:G992&lt;&gt;""""))))-1), IF('To Order'!$A993=COLUMNS($A993:"&amp;"G1012), G992&amp;RIGHT(INDIRECT(ADDRESS(ROW(G993)-1, 'From Order'!$A993)), 1), G992))"),"RCTMZL")</f>
        <v>RCTMZL</v>
      </c>
      <c r="H993" s="2" t="str">
        <f>IFERROR(__xludf.DUMMYFUNCTION("IF('From Order'!$A993=COLUMNS($A993:H1012), LEFT(INDEX(FILTER(H$1:H992, H$1:H992&lt;&gt;""""),COUNTA(FILTER(H$1:H992, H$1:H992&lt;&gt;""""))), LEN(INDEX(FILTER(H$1:H992, H$1:H992&lt;&gt;""""),COUNTA(FILTER(H$1:H992, H$1:H992&lt;&gt;""""))))-1), IF('To Order'!$A993=COLUMNS($A993:"&amp;"H1012), H992&amp;RIGHT(INDIRECT(ADDRESS(ROW(H993)-1, 'From Order'!$A993)), 1), H992))"),"PDS")</f>
        <v>PDS</v>
      </c>
      <c r="I993" s="2" t="str">
        <f>IFERROR(__xludf.DUMMYFUNCTION("IF('From Order'!$A993=COLUMNS($A993:I1012), LEFT(INDEX(FILTER(I$1:I992, I$1:I992&lt;&gt;""""),COUNTA(FILTER(I$1:I992, I$1:I992&lt;&gt;""""))), LEN(INDEX(FILTER(I$1:I992, I$1:I992&lt;&gt;""""),COUNTA(FILTER(I$1:I992, I$1:I992&lt;&gt;""""))))-1), IF('To Order'!$A993=COLUMNS($A993:"&amp;"I1012), I992&amp;RIGHT(INDIRECT(ADDRESS(ROW(I993)-1, 'From Order'!$A993)), 1), I992))"),"")</f>
        <v/>
      </c>
    </row>
    <row r="994">
      <c r="A994" s="2" t="str">
        <f>IFERROR(__xludf.DUMMYFUNCTION("IF('From Order'!$A994=COLUMNS($A994:A1013), LEFT(INDEX(FILTER(A$1:A993, A$1:A993&lt;&gt;""""),COUNTA(FILTER(A$1:A993, A$1:A993&lt;&gt;""""))), LEN(INDEX(FILTER(A$1:A993, A$1:A993&lt;&gt;""""),COUNTA(FILTER(A$1:A993, A$1:A993&lt;&gt;""""))))-1), IF('To Order'!$A994=COLUMNS($A994:"&amp;"A1013), A993&amp;RIGHT(INDIRECT(ADDRESS(ROW(A994)-1, 'From Order'!$A994)), 1), A993))"),"")</f>
        <v/>
      </c>
      <c r="B994" s="2" t="str">
        <f>IFERROR(__xludf.DUMMYFUNCTION("IF('From Order'!$A994=COLUMNS($A994:B1013), LEFT(INDEX(FILTER(B$1:B993, B$1:B993&lt;&gt;""""),COUNTA(FILTER(B$1:B993, B$1:B993&lt;&gt;""""))), LEN(INDEX(FILTER(B$1:B993, B$1:B993&lt;&gt;""""),COUNTA(FILTER(B$1:B993, B$1:B993&lt;&gt;""""))))-1), IF('To Order'!$A994=COLUMNS($A994:"&amp;"B1013), B993&amp;RIGHT(INDIRECT(ADDRESS(ROW(B994)-1, 'From Order'!$A994)), 1), B993))"),"JD")</f>
        <v>JD</v>
      </c>
      <c r="C994" s="2" t="str">
        <f>IFERROR(__xludf.DUMMYFUNCTION("IF('From Order'!$A994=COLUMNS($A994:C1013), LEFT(INDEX(FILTER(C$1:C993, C$1:C993&lt;&gt;""""),COUNTA(FILTER(C$1:C993, C$1:C993&lt;&gt;""""))), LEN(INDEX(FILTER(C$1:C993, C$1:C993&lt;&gt;""""),COUNTA(FILTER(C$1:C993, C$1:C993&lt;&gt;""""))))-1), IF('To Order'!$A994=COLUMNS($A994:"&amp;"C1013), C993&amp;RIGHT(INDIRECT(ADDRESS(ROW(C994)-1, 'From Order'!$A994)), 1), C993))"),"TRLRSGHWQVQJPPV")</f>
        <v>TRLRSGHWQVQJPPV</v>
      </c>
      <c r="D994" s="2" t="str">
        <f>IFERROR(__xludf.DUMMYFUNCTION("IF('From Order'!$A994=COLUMNS($A994:D1013), LEFT(INDEX(FILTER(D$1:D993, D$1:D993&lt;&gt;""""),COUNTA(FILTER(D$1:D993, D$1:D993&lt;&gt;""""))), LEN(INDEX(FILTER(D$1:D993, D$1:D993&lt;&gt;""""),COUNTA(FILTER(D$1:D993, D$1:D993&lt;&gt;""""))))-1), IF('To Order'!$A994=COLUMNS($A994:"&amp;"D1013), D993&amp;RIGHT(INDIRECT(ADDRESS(ROW(D994)-1, 'From Order'!$A994)), 1), D993))"),"")</f>
        <v/>
      </c>
      <c r="E994" s="2" t="str">
        <f>IFERROR(__xludf.DUMMYFUNCTION("IF('From Order'!$A994=COLUMNS($A994:E1013), LEFT(INDEX(FILTER(E$1:E993, E$1:E993&lt;&gt;""""),COUNTA(FILTER(E$1:E993, E$1:E993&lt;&gt;""""))), LEN(INDEX(FILTER(E$1:E993, E$1:E993&lt;&gt;""""),COUNTA(FILTER(E$1:E993, E$1:E993&lt;&gt;""""))))-1), IF('To Order'!$A994=COLUMNS($A994:"&amp;"E1013), E993&amp;RIGHT(INDIRECT(ADDRESS(ROW(E994)-1, 'From Order'!$A994)), 1), E993))"),"MGCDRZVCJ")</f>
        <v>MGCDRZVCJ</v>
      </c>
      <c r="F994" s="2" t="str">
        <f>IFERROR(__xludf.DUMMYFUNCTION("IF('From Order'!$A994=COLUMNS($A994:F1013), LEFT(INDEX(FILTER(F$1:F993, F$1:F993&lt;&gt;""""),COUNTA(FILTER(F$1:F993, F$1:F993&lt;&gt;""""))), LEN(INDEX(FILTER(F$1:F993, F$1:F993&lt;&gt;""""),COUNTA(FILTER(F$1:F993, F$1:F993&lt;&gt;""""))))-1), IF('To Order'!$A994=COLUMNS($A994:"&amp;"F1013), F993&amp;RIGHT(INDIRECT(ADDRESS(ROW(F994)-1, 'From Order'!$A994)), 1), F993))"),"FSLTTWRDTDBDBSBZHMFBT")</f>
        <v>FSLTTWRDTDBDBSBZHMFBT</v>
      </c>
      <c r="G994" s="2" t="str">
        <f>IFERROR(__xludf.DUMMYFUNCTION("IF('From Order'!$A994=COLUMNS($A994:G1013), LEFT(INDEX(FILTER(G$1:G993, G$1:G993&lt;&gt;""""),COUNTA(FILTER(G$1:G993, G$1:G993&lt;&gt;""""))), LEN(INDEX(FILTER(G$1:G993, G$1:G993&lt;&gt;""""),COUNTA(FILTER(G$1:G993, G$1:G993&lt;&gt;""""))))-1), IF('To Order'!$A994=COLUMNS($A994:"&amp;"G1013), G993&amp;RIGHT(INDIRECT(ADDRESS(ROW(G994)-1, 'From Order'!$A994)), 1), G993))"),"RCTMZL")</f>
        <v>RCTMZL</v>
      </c>
      <c r="H994" s="2" t="str">
        <f>IFERROR(__xludf.DUMMYFUNCTION("IF('From Order'!$A994=COLUMNS($A994:H1013), LEFT(INDEX(FILTER(H$1:H993, H$1:H993&lt;&gt;""""),COUNTA(FILTER(H$1:H993, H$1:H993&lt;&gt;""""))), LEN(INDEX(FILTER(H$1:H993, H$1:H993&lt;&gt;""""),COUNTA(FILTER(H$1:H993, H$1:H993&lt;&gt;""""))))-1), IF('To Order'!$A994=COLUMNS($A994:"&amp;"H1013), H993&amp;RIGHT(INDIRECT(ADDRESS(ROW(H994)-1, 'From Order'!$A994)), 1), H993))"),"PDS")</f>
        <v>PDS</v>
      </c>
      <c r="I994" s="2" t="str">
        <f>IFERROR(__xludf.DUMMYFUNCTION("IF('From Order'!$A994=COLUMNS($A994:I1013), LEFT(INDEX(FILTER(I$1:I993, I$1:I993&lt;&gt;""""),COUNTA(FILTER(I$1:I993, I$1:I993&lt;&gt;""""))), LEN(INDEX(FILTER(I$1:I993, I$1:I993&lt;&gt;""""),COUNTA(FILTER(I$1:I993, I$1:I993&lt;&gt;""""))))-1), IF('To Order'!$A994=COLUMNS($A994:"&amp;"I1013), I993&amp;RIGHT(INDIRECT(ADDRESS(ROW(I994)-1, 'From Order'!$A994)), 1), I993))"),"")</f>
        <v/>
      </c>
    </row>
    <row r="995">
      <c r="A995" s="2" t="str">
        <f>IFERROR(__xludf.DUMMYFUNCTION("IF('From Order'!$A995=COLUMNS($A995:A1014), LEFT(INDEX(FILTER(A$1:A994, A$1:A994&lt;&gt;""""),COUNTA(FILTER(A$1:A994, A$1:A994&lt;&gt;""""))), LEN(INDEX(FILTER(A$1:A994, A$1:A994&lt;&gt;""""),COUNTA(FILTER(A$1:A994, A$1:A994&lt;&gt;""""))))-1), IF('To Order'!$A995=COLUMNS($A995:"&amp;"A1014), A994&amp;RIGHT(INDIRECT(ADDRESS(ROW(A995)-1, 'From Order'!$A995)), 1), A994))"),"")</f>
        <v/>
      </c>
      <c r="B995" s="2" t="str">
        <f>IFERROR(__xludf.DUMMYFUNCTION("IF('From Order'!$A995=COLUMNS($A995:B1014), LEFT(INDEX(FILTER(B$1:B994, B$1:B994&lt;&gt;""""),COUNTA(FILTER(B$1:B994, B$1:B994&lt;&gt;""""))), LEN(INDEX(FILTER(B$1:B994, B$1:B994&lt;&gt;""""),COUNTA(FILTER(B$1:B994, B$1:B994&lt;&gt;""""))))-1), IF('To Order'!$A995=COLUMNS($A995:"&amp;"B1014), B994&amp;RIGHT(INDIRECT(ADDRESS(ROW(B995)-1, 'From Order'!$A995)), 1), B994))"),"JD")</f>
        <v>JD</v>
      </c>
      <c r="C995" s="2" t="str">
        <f>IFERROR(__xludf.DUMMYFUNCTION("IF('From Order'!$A995=COLUMNS($A995:C1014), LEFT(INDEX(FILTER(C$1:C994, C$1:C994&lt;&gt;""""),COUNTA(FILTER(C$1:C994, C$1:C994&lt;&gt;""""))), LEN(INDEX(FILTER(C$1:C994, C$1:C994&lt;&gt;""""),COUNTA(FILTER(C$1:C994, C$1:C994&lt;&gt;""""))))-1), IF('To Order'!$A995=COLUMNS($A995:"&amp;"C1014), C994&amp;RIGHT(INDIRECT(ADDRESS(ROW(C995)-1, 'From Order'!$A995)), 1), C994))"),"TRLRSGHWQVQJPPVJ")</f>
        <v>TRLRSGHWQVQJPPVJ</v>
      </c>
      <c r="D995" s="2" t="str">
        <f>IFERROR(__xludf.DUMMYFUNCTION("IF('From Order'!$A995=COLUMNS($A995:D1014), LEFT(INDEX(FILTER(D$1:D994, D$1:D994&lt;&gt;""""),COUNTA(FILTER(D$1:D994, D$1:D994&lt;&gt;""""))), LEN(INDEX(FILTER(D$1:D994, D$1:D994&lt;&gt;""""),COUNTA(FILTER(D$1:D994, D$1:D994&lt;&gt;""""))))-1), IF('To Order'!$A995=COLUMNS($A995:"&amp;"D1014), D994&amp;RIGHT(INDIRECT(ADDRESS(ROW(D995)-1, 'From Order'!$A995)), 1), D994))"),"")</f>
        <v/>
      </c>
      <c r="E995" s="2" t="str">
        <f>IFERROR(__xludf.DUMMYFUNCTION("IF('From Order'!$A995=COLUMNS($A995:E1014), LEFT(INDEX(FILTER(E$1:E994, E$1:E994&lt;&gt;""""),COUNTA(FILTER(E$1:E994, E$1:E994&lt;&gt;""""))), LEN(INDEX(FILTER(E$1:E994, E$1:E994&lt;&gt;""""),COUNTA(FILTER(E$1:E994, E$1:E994&lt;&gt;""""))))-1), IF('To Order'!$A995=COLUMNS($A995:"&amp;"E1014), E994&amp;RIGHT(INDIRECT(ADDRESS(ROW(E995)-1, 'From Order'!$A995)), 1), E994))"),"MGCDRZVC")</f>
        <v>MGCDRZVC</v>
      </c>
      <c r="F995" s="2" t="str">
        <f>IFERROR(__xludf.DUMMYFUNCTION("IF('From Order'!$A995=COLUMNS($A995:F1014), LEFT(INDEX(FILTER(F$1:F994, F$1:F994&lt;&gt;""""),COUNTA(FILTER(F$1:F994, F$1:F994&lt;&gt;""""))), LEN(INDEX(FILTER(F$1:F994, F$1:F994&lt;&gt;""""),COUNTA(FILTER(F$1:F994, F$1:F994&lt;&gt;""""))))-1), IF('To Order'!$A995=COLUMNS($A995:"&amp;"F1014), F994&amp;RIGHT(INDIRECT(ADDRESS(ROW(F995)-1, 'From Order'!$A995)), 1), F994))"),"FSLTTWRDTDBDBSBZHMFBT")</f>
        <v>FSLTTWRDTDBDBSBZHMFBT</v>
      </c>
      <c r="G995" s="2" t="str">
        <f>IFERROR(__xludf.DUMMYFUNCTION("IF('From Order'!$A995=COLUMNS($A995:G1014), LEFT(INDEX(FILTER(G$1:G994, G$1:G994&lt;&gt;""""),COUNTA(FILTER(G$1:G994, G$1:G994&lt;&gt;""""))), LEN(INDEX(FILTER(G$1:G994, G$1:G994&lt;&gt;""""),COUNTA(FILTER(G$1:G994, G$1:G994&lt;&gt;""""))))-1), IF('To Order'!$A995=COLUMNS($A995:"&amp;"G1014), G994&amp;RIGHT(INDIRECT(ADDRESS(ROW(G995)-1, 'From Order'!$A995)), 1), G994))"),"RCTMZL")</f>
        <v>RCTMZL</v>
      </c>
      <c r="H995" s="2" t="str">
        <f>IFERROR(__xludf.DUMMYFUNCTION("IF('From Order'!$A995=COLUMNS($A995:H1014), LEFT(INDEX(FILTER(H$1:H994, H$1:H994&lt;&gt;""""),COUNTA(FILTER(H$1:H994, H$1:H994&lt;&gt;""""))), LEN(INDEX(FILTER(H$1:H994, H$1:H994&lt;&gt;""""),COUNTA(FILTER(H$1:H994, H$1:H994&lt;&gt;""""))))-1), IF('To Order'!$A995=COLUMNS($A995:"&amp;"H1014), H994&amp;RIGHT(INDIRECT(ADDRESS(ROW(H995)-1, 'From Order'!$A995)), 1), H994))"),"PDS")</f>
        <v>PDS</v>
      </c>
      <c r="I995" s="2" t="str">
        <f>IFERROR(__xludf.DUMMYFUNCTION("IF('From Order'!$A995=COLUMNS($A995:I1014), LEFT(INDEX(FILTER(I$1:I994, I$1:I994&lt;&gt;""""),COUNTA(FILTER(I$1:I994, I$1:I994&lt;&gt;""""))), LEN(INDEX(FILTER(I$1:I994, I$1:I994&lt;&gt;""""),COUNTA(FILTER(I$1:I994, I$1:I994&lt;&gt;""""))))-1), IF('To Order'!$A995=COLUMNS($A995:"&amp;"I1014), I994&amp;RIGHT(INDIRECT(ADDRESS(ROW(I995)-1, 'From Order'!$A995)), 1), I994))"),"")</f>
        <v/>
      </c>
    </row>
    <row r="996">
      <c r="A996" s="2" t="str">
        <f>IFERROR(__xludf.DUMMYFUNCTION("IF('From Order'!$A996=COLUMNS($A996:A1015), LEFT(INDEX(FILTER(A$1:A995, A$1:A995&lt;&gt;""""),COUNTA(FILTER(A$1:A995, A$1:A995&lt;&gt;""""))), LEN(INDEX(FILTER(A$1:A995, A$1:A995&lt;&gt;""""),COUNTA(FILTER(A$1:A995, A$1:A995&lt;&gt;""""))))-1), IF('To Order'!$A996=COLUMNS($A996:"&amp;"A1015), A995&amp;RIGHT(INDIRECT(ADDRESS(ROW(A996)-1, 'From Order'!$A996)), 1), A995))"),"")</f>
        <v/>
      </c>
      <c r="B996" s="2" t="str">
        <f>IFERROR(__xludf.DUMMYFUNCTION("IF('From Order'!$A996=COLUMNS($A996:B1015), LEFT(INDEX(FILTER(B$1:B995, B$1:B995&lt;&gt;""""),COUNTA(FILTER(B$1:B995, B$1:B995&lt;&gt;""""))), LEN(INDEX(FILTER(B$1:B995, B$1:B995&lt;&gt;""""),COUNTA(FILTER(B$1:B995, B$1:B995&lt;&gt;""""))))-1), IF('To Order'!$A996=COLUMNS($A996:"&amp;"B1015), B995&amp;RIGHT(INDIRECT(ADDRESS(ROW(B996)-1, 'From Order'!$A996)), 1), B995))"),"JD")</f>
        <v>JD</v>
      </c>
      <c r="C996" s="2" t="str">
        <f>IFERROR(__xludf.DUMMYFUNCTION("IF('From Order'!$A996=COLUMNS($A996:C1015), LEFT(INDEX(FILTER(C$1:C995, C$1:C995&lt;&gt;""""),COUNTA(FILTER(C$1:C995, C$1:C995&lt;&gt;""""))), LEN(INDEX(FILTER(C$1:C995, C$1:C995&lt;&gt;""""),COUNTA(FILTER(C$1:C995, C$1:C995&lt;&gt;""""))))-1), IF('To Order'!$A996=COLUMNS($A996:"&amp;"C1015), C995&amp;RIGHT(INDIRECT(ADDRESS(ROW(C996)-1, 'From Order'!$A996)), 1), C995))"),"TRLRSGHWQVQJPPVJC")</f>
        <v>TRLRSGHWQVQJPPVJC</v>
      </c>
      <c r="D996" s="2" t="str">
        <f>IFERROR(__xludf.DUMMYFUNCTION("IF('From Order'!$A996=COLUMNS($A996:D1015), LEFT(INDEX(FILTER(D$1:D995, D$1:D995&lt;&gt;""""),COUNTA(FILTER(D$1:D995, D$1:D995&lt;&gt;""""))), LEN(INDEX(FILTER(D$1:D995, D$1:D995&lt;&gt;""""),COUNTA(FILTER(D$1:D995, D$1:D995&lt;&gt;""""))))-1), IF('To Order'!$A996=COLUMNS($A996:"&amp;"D1015), D995&amp;RIGHT(INDIRECT(ADDRESS(ROW(D996)-1, 'From Order'!$A996)), 1), D995))"),"")</f>
        <v/>
      </c>
      <c r="E996" s="2" t="str">
        <f>IFERROR(__xludf.DUMMYFUNCTION("IF('From Order'!$A996=COLUMNS($A996:E1015), LEFT(INDEX(FILTER(E$1:E995, E$1:E995&lt;&gt;""""),COUNTA(FILTER(E$1:E995, E$1:E995&lt;&gt;""""))), LEN(INDEX(FILTER(E$1:E995, E$1:E995&lt;&gt;""""),COUNTA(FILTER(E$1:E995, E$1:E995&lt;&gt;""""))))-1), IF('To Order'!$A996=COLUMNS($A996:"&amp;"E1015), E995&amp;RIGHT(INDIRECT(ADDRESS(ROW(E996)-1, 'From Order'!$A996)), 1), E995))"),"MGCDRZV")</f>
        <v>MGCDRZV</v>
      </c>
      <c r="F996" s="2" t="str">
        <f>IFERROR(__xludf.DUMMYFUNCTION("IF('From Order'!$A996=COLUMNS($A996:F1015), LEFT(INDEX(FILTER(F$1:F995, F$1:F995&lt;&gt;""""),COUNTA(FILTER(F$1:F995, F$1:F995&lt;&gt;""""))), LEN(INDEX(FILTER(F$1:F995, F$1:F995&lt;&gt;""""),COUNTA(FILTER(F$1:F995, F$1:F995&lt;&gt;""""))))-1), IF('To Order'!$A996=COLUMNS($A996:"&amp;"F1015), F995&amp;RIGHT(INDIRECT(ADDRESS(ROW(F996)-1, 'From Order'!$A996)), 1), F995))"),"FSLTTWRDTDBDBSBZHMFBT")</f>
        <v>FSLTTWRDTDBDBSBZHMFBT</v>
      </c>
      <c r="G996" s="2" t="str">
        <f>IFERROR(__xludf.DUMMYFUNCTION("IF('From Order'!$A996=COLUMNS($A996:G1015), LEFT(INDEX(FILTER(G$1:G995, G$1:G995&lt;&gt;""""),COUNTA(FILTER(G$1:G995, G$1:G995&lt;&gt;""""))), LEN(INDEX(FILTER(G$1:G995, G$1:G995&lt;&gt;""""),COUNTA(FILTER(G$1:G995, G$1:G995&lt;&gt;""""))))-1), IF('To Order'!$A996=COLUMNS($A996:"&amp;"G1015), G995&amp;RIGHT(INDIRECT(ADDRESS(ROW(G996)-1, 'From Order'!$A996)), 1), G995))"),"RCTMZL")</f>
        <v>RCTMZL</v>
      </c>
      <c r="H996" s="2" t="str">
        <f>IFERROR(__xludf.DUMMYFUNCTION("IF('From Order'!$A996=COLUMNS($A996:H1015), LEFT(INDEX(FILTER(H$1:H995, H$1:H995&lt;&gt;""""),COUNTA(FILTER(H$1:H995, H$1:H995&lt;&gt;""""))), LEN(INDEX(FILTER(H$1:H995, H$1:H995&lt;&gt;""""),COUNTA(FILTER(H$1:H995, H$1:H995&lt;&gt;""""))))-1), IF('To Order'!$A996=COLUMNS($A996:"&amp;"H1015), H995&amp;RIGHT(INDIRECT(ADDRESS(ROW(H996)-1, 'From Order'!$A996)), 1), H995))"),"PDS")</f>
        <v>PDS</v>
      </c>
      <c r="I996" s="2" t="str">
        <f>IFERROR(__xludf.DUMMYFUNCTION("IF('From Order'!$A996=COLUMNS($A996:I1015), LEFT(INDEX(FILTER(I$1:I995, I$1:I995&lt;&gt;""""),COUNTA(FILTER(I$1:I995, I$1:I995&lt;&gt;""""))), LEN(INDEX(FILTER(I$1:I995, I$1:I995&lt;&gt;""""),COUNTA(FILTER(I$1:I995, I$1:I995&lt;&gt;""""))))-1), IF('To Order'!$A996=COLUMNS($A996:"&amp;"I1015), I995&amp;RIGHT(INDIRECT(ADDRESS(ROW(I996)-1, 'From Order'!$A996)), 1), I995))"),"")</f>
        <v/>
      </c>
    </row>
    <row r="997">
      <c r="A997" s="2" t="str">
        <f>IFERROR(__xludf.DUMMYFUNCTION("IF('From Order'!$A997=COLUMNS($A997:A1016), LEFT(INDEX(FILTER(A$1:A996, A$1:A996&lt;&gt;""""),COUNTA(FILTER(A$1:A996, A$1:A996&lt;&gt;""""))), LEN(INDEX(FILTER(A$1:A996, A$1:A996&lt;&gt;""""),COUNTA(FILTER(A$1:A996, A$1:A996&lt;&gt;""""))))-1), IF('To Order'!$A997=COLUMNS($A997:"&amp;"A1016), A996&amp;RIGHT(INDIRECT(ADDRESS(ROW(A997)-1, 'From Order'!$A997)), 1), A996))"),"")</f>
        <v/>
      </c>
      <c r="B997" s="2" t="str">
        <f>IFERROR(__xludf.DUMMYFUNCTION("IF('From Order'!$A997=COLUMNS($A997:B1016), LEFT(INDEX(FILTER(B$1:B996, B$1:B996&lt;&gt;""""),COUNTA(FILTER(B$1:B996, B$1:B996&lt;&gt;""""))), LEN(INDEX(FILTER(B$1:B996, B$1:B996&lt;&gt;""""),COUNTA(FILTER(B$1:B996, B$1:B996&lt;&gt;""""))))-1), IF('To Order'!$A997=COLUMNS($A997:"&amp;"B1016), B996&amp;RIGHT(INDIRECT(ADDRESS(ROW(B997)-1, 'From Order'!$A997)), 1), B996))"),"JD")</f>
        <v>JD</v>
      </c>
      <c r="C997" s="2" t="str">
        <f>IFERROR(__xludf.DUMMYFUNCTION("IF('From Order'!$A997=COLUMNS($A997:C1016), LEFT(INDEX(FILTER(C$1:C996, C$1:C996&lt;&gt;""""),COUNTA(FILTER(C$1:C996, C$1:C996&lt;&gt;""""))), LEN(INDEX(FILTER(C$1:C996, C$1:C996&lt;&gt;""""),COUNTA(FILTER(C$1:C996, C$1:C996&lt;&gt;""""))))-1), IF('To Order'!$A997=COLUMNS($A997:"&amp;"C1016), C996&amp;RIGHT(INDIRECT(ADDRESS(ROW(C997)-1, 'From Order'!$A997)), 1), C996))"),"TRLRSGHWQVQJPPVJCV")</f>
        <v>TRLRSGHWQVQJPPVJCV</v>
      </c>
      <c r="D997" s="2" t="str">
        <f>IFERROR(__xludf.DUMMYFUNCTION("IF('From Order'!$A997=COLUMNS($A997:D1016), LEFT(INDEX(FILTER(D$1:D996, D$1:D996&lt;&gt;""""),COUNTA(FILTER(D$1:D996, D$1:D996&lt;&gt;""""))), LEN(INDEX(FILTER(D$1:D996, D$1:D996&lt;&gt;""""),COUNTA(FILTER(D$1:D996, D$1:D996&lt;&gt;""""))))-1), IF('To Order'!$A997=COLUMNS($A997:"&amp;"D1016), D996&amp;RIGHT(INDIRECT(ADDRESS(ROW(D997)-1, 'From Order'!$A997)), 1), D996))"),"")</f>
        <v/>
      </c>
      <c r="E997" s="2" t="str">
        <f>IFERROR(__xludf.DUMMYFUNCTION("IF('From Order'!$A997=COLUMNS($A997:E1016), LEFT(INDEX(FILTER(E$1:E996, E$1:E996&lt;&gt;""""),COUNTA(FILTER(E$1:E996, E$1:E996&lt;&gt;""""))), LEN(INDEX(FILTER(E$1:E996, E$1:E996&lt;&gt;""""),COUNTA(FILTER(E$1:E996, E$1:E996&lt;&gt;""""))))-1), IF('To Order'!$A997=COLUMNS($A997:"&amp;"E1016), E996&amp;RIGHT(INDIRECT(ADDRESS(ROW(E997)-1, 'From Order'!$A997)), 1), E996))"),"MGCDRZ")</f>
        <v>MGCDRZ</v>
      </c>
      <c r="F997" s="2" t="str">
        <f>IFERROR(__xludf.DUMMYFUNCTION("IF('From Order'!$A997=COLUMNS($A997:F1016), LEFT(INDEX(FILTER(F$1:F996, F$1:F996&lt;&gt;""""),COUNTA(FILTER(F$1:F996, F$1:F996&lt;&gt;""""))), LEN(INDEX(FILTER(F$1:F996, F$1:F996&lt;&gt;""""),COUNTA(FILTER(F$1:F996, F$1:F996&lt;&gt;""""))))-1), IF('To Order'!$A997=COLUMNS($A997:"&amp;"F1016), F996&amp;RIGHT(INDIRECT(ADDRESS(ROW(F997)-1, 'From Order'!$A997)), 1), F996))"),"FSLTTWRDTDBDBSBZHMFBT")</f>
        <v>FSLTTWRDTDBDBSBZHMFBT</v>
      </c>
      <c r="G997" s="2" t="str">
        <f>IFERROR(__xludf.DUMMYFUNCTION("IF('From Order'!$A997=COLUMNS($A997:G1016), LEFT(INDEX(FILTER(G$1:G996, G$1:G996&lt;&gt;""""),COUNTA(FILTER(G$1:G996, G$1:G996&lt;&gt;""""))), LEN(INDEX(FILTER(G$1:G996, G$1:G996&lt;&gt;""""),COUNTA(FILTER(G$1:G996, G$1:G996&lt;&gt;""""))))-1), IF('To Order'!$A997=COLUMNS($A997:"&amp;"G1016), G996&amp;RIGHT(INDIRECT(ADDRESS(ROW(G997)-1, 'From Order'!$A997)), 1), G996))"),"RCTMZL")</f>
        <v>RCTMZL</v>
      </c>
      <c r="H997" s="2" t="str">
        <f>IFERROR(__xludf.DUMMYFUNCTION("IF('From Order'!$A997=COLUMNS($A997:H1016), LEFT(INDEX(FILTER(H$1:H996, H$1:H996&lt;&gt;""""),COUNTA(FILTER(H$1:H996, H$1:H996&lt;&gt;""""))), LEN(INDEX(FILTER(H$1:H996, H$1:H996&lt;&gt;""""),COUNTA(FILTER(H$1:H996, H$1:H996&lt;&gt;""""))))-1), IF('To Order'!$A997=COLUMNS($A997:"&amp;"H1016), H996&amp;RIGHT(INDIRECT(ADDRESS(ROW(H997)-1, 'From Order'!$A997)), 1), H996))"),"PDS")</f>
        <v>PDS</v>
      </c>
      <c r="I997" s="2" t="str">
        <f>IFERROR(__xludf.DUMMYFUNCTION("IF('From Order'!$A997=COLUMNS($A997:I1016), LEFT(INDEX(FILTER(I$1:I996, I$1:I996&lt;&gt;""""),COUNTA(FILTER(I$1:I996, I$1:I996&lt;&gt;""""))), LEN(INDEX(FILTER(I$1:I996, I$1:I996&lt;&gt;""""),COUNTA(FILTER(I$1:I996, I$1:I996&lt;&gt;""""))))-1), IF('To Order'!$A997=COLUMNS($A997:"&amp;"I1016), I996&amp;RIGHT(INDIRECT(ADDRESS(ROW(I997)-1, 'From Order'!$A997)), 1), I996))"),"")</f>
        <v/>
      </c>
    </row>
    <row r="998">
      <c r="A998" s="2" t="str">
        <f>IFERROR(__xludf.DUMMYFUNCTION("IF('From Order'!$A998=COLUMNS($A998:A1017), LEFT(INDEX(FILTER(A$1:A997, A$1:A997&lt;&gt;""""),COUNTA(FILTER(A$1:A997, A$1:A997&lt;&gt;""""))), LEN(INDEX(FILTER(A$1:A997, A$1:A997&lt;&gt;""""),COUNTA(FILTER(A$1:A997, A$1:A997&lt;&gt;""""))))-1), IF('To Order'!$A998=COLUMNS($A998:"&amp;"A1017), A997&amp;RIGHT(INDIRECT(ADDRESS(ROW(A998)-1, 'From Order'!$A998)), 1), A997))"),"")</f>
        <v/>
      </c>
      <c r="B998" s="2" t="str">
        <f>IFERROR(__xludf.DUMMYFUNCTION("IF('From Order'!$A998=COLUMNS($A998:B1017), LEFT(INDEX(FILTER(B$1:B997, B$1:B997&lt;&gt;""""),COUNTA(FILTER(B$1:B997, B$1:B997&lt;&gt;""""))), LEN(INDEX(FILTER(B$1:B997, B$1:B997&lt;&gt;""""),COUNTA(FILTER(B$1:B997, B$1:B997&lt;&gt;""""))))-1), IF('To Order'!$A998=COLUMNS($A998:"&amp;"B1017), B997&amp;RIGHT(INDIRECT(ADDRESS(ROW(B998)-1, 'From Order'!$A998)), 1), B997))"),"JD")</f>
        <v>JD</v>
      </c>
      <c r="C998" s="2" t="str">
        <f>IFERROR(__xludf.DUMMYFUNCTION("IF('From Order'!$A998=COLUMNS($A998:C1017), LEFT(INDEX(FILTER(C$1:C997, C$1:C997&lt;&gt;""""),COUNTA(FILTER(C$1:C997, C$1:C997&lt;&gt;""""))), LEN(INDEX(FILTER(C$1:C997, C$1:C997&lt;&gt;""""),COUNTA(FILTER(C$1:C997, C$1:C997&lt;&gt;""""))))-1), IF('To Order'!$A998=COLUMNS($A998:"&amp;"C1017), C997&amp;RIGHT(INDIRECT(ADDRESS(ROW(C998)-1, 'From Order'!$A998)), 1), C997))"),"TRLRSGHWQVQJPPVJCVZ")</f>
        <v>TRLRSGHWQVQJPPVJCVZ</v>
      </c>
      <c r="D998" s="2" t="str">
        <f>IFERROR(__xludf.DUMMYFUNCTION("IF('From Order'!$A998=COLUMNS($A998:D1017), LEFT(INDEX(FILTER(D$1:D997, D$1:D997&lt;&gt;""""),COUNTA(FILTER(D$1:D997, D$1:D997&lt;&gt;""""))), LEN(INDEX(FILTER(D$1:D997, D$1:D997&lt;&gt;""""),COUNTA(FILTER(D$1:D997, D$1:D997&lt;&gt;""""))))-1), IF('To Order'!$A998=COLUMNS($A998:"&amp;"D1017), D997&amp;RIGHT(INDIRECT(ADDRESS(ROW(D998)-1, 'From Order'!$A998)), 1), D997))"),"")</f>
        <v/>
      </c>
      <c r="E998" s="2" t="str">
        <f>IFERROR(__xludf.DUMMYFUNCTION("IF('From Order'!$A998=COLUMNS($A998:E1017), LEFT(INDEX(FILTER(E$1:E997, E$1:E997&lt;&gt;""""),COUNTA(FILTER(E$1:E997, E$1:E997&lt;&gt;""""))), LEN(INDEX(FILTER(E$1:E997, E$1:E997&lt;&gt;""""),COUNTA(FILTER(E$1:E997, E$1:E997&lt;&gt;""""))))-1), IF('To Order'!$A998=COLUMNS($A998:"&amp;"E1017), E997&amp;RIGHT(INDIRECT(ADDRESS(ROW(E998)-1, 'From Order'!$A998)), 1), E997))"),"MGCDR")</f>
        <v>MGCDR</v>
      </c>
      <c r="F998" s="2" t="str">
        <f>IFERROR(__xludf.DUMMYFUNCTION("IF('From Order'!$A998=COLUMNS($A998:F1017), LEFT(INDEX(FILTER(F$1:F997, F$1:F997&lt;&gt;""""),COUNTA(FILTER(F$1:F997, F$1:F997&lt;&gt;""""))), LEN(INDEX(FILTER(F$1:F997, F$1:F997&lt;&gt;""""),COUNTA(FILTER(F$1:F997, F$1:F997&lt;&gt;""""))))-1), IF('To Order'!$A998=COLUMNS($A998:"&amp;"F1017), F997&amp;RIGHT(INDIRECT(ADDRESS(ROW(F998)-1, 'From Order'!$A998)), 1), F997))"),"FSLTTWRDTDBDBSBZHMFBT")</f>
        <v>FSLTTWRDTDBDBSBZHMFBT</v>
      </c>
      <c r="G998" s="2" t="str">
        <f>IFERROR(__xludf.DUMMYFUNCTION("IF('From Order'!$A998=COLUMNS($A998:G1017), LEFT(INDEX(FILTER(G$1:G997, G$1:G997&lt;&gt;""""),COUNTA(FILTER(G$1:G997, G$1:G997&lt;&gt;""""))), LEN(INDEX(FILTER(G$1:G997, G$1:G997&lt;&gt;""""),COUNTA(FILTER(G$1:G997, G$1:G997&lt;&gt;""""))))-1), IF('To Order'!$A998=COLUMNS($A998:"&amp;"G1017), G997&amp;RIGHT(INDIRECT(ADDRESS(ROW(G998)-1, 'From Order'!$A998)), 1), G997))"),"RCTMZL")</f>
        <v>RCTMZL</v>
      </c>
      <c r="H998" s="2" t="str">
        <f>IFERROR(__xludf.DUMMYFUNCTION("IF('From Order'!$A998=COLUMNS($A998:H1017), LEFT(INDEX(FILTER(H$1:H997, H$1:H997&lt;&gt;""""),COUNTA(FILTER(H$1:H997, H$1:H997&lt;&gt;""""))), LEN(INDEX(FILTER(H$1:H997, H$1:H997&lt;&gt;""""),COUNTA(FILTER(H$1:H997, H$1:H997&lt;&gt;""""))))-1), IF('To Order'!$A998=COLUMNS($A998:"&amp;"H1017), H997&amp;RIGHT(INDIRECT(ADDRESS(ROW(H998)-1, 'From Order'!$A998)), 1), H997))"),"PDS")</f>
        <v>PDS</v>
      </c>
      <c r="I998" s="2" t="str">
        <f>IFERROR(__xludf.DUMMYFUNCTION("IF('From Order'!$A998=COLUMNS($A998:I1017), LEFT(INDEX(FILTER(I$1:I997, I$1:I997&lt;&gt;""""),COUNTA(FILTER(I$1:I997, I$1:I997&lt;&gt;""""))), LEN(INDEX(FILTER(I$1:I997, I$1:I997&lt;&gt;""""),COUNTA(FILTER(I$1:I997, I$1:I997&lt;&gt;""""))))-1), IF('To Order'!$A998=COLUMNS($A998:"&amp;"I1017), I997&amp;RIGHT(INDIRECT(ADDRESS(ROW(I998)-1, 'From Order'!$A998)), 1), I997))"),"")</f>
        <v/>
      </c>
    </row>
    <row r="999">
      <c r="A999" s="2" t="str">
        <f>IFERROR(__xludf.DUMMYFUNCTION("IF('From Order'!$A999=COLUMNS($A999:A1018), LEFT(INDEX(FILTER(A$1:A998, A$1:A998&lt;&gt;""""),COUNTA(FILTER(A$1:A998, A$1:A998&lt;&gt;""""))), LEN(INDEX(FILTER(A$1:A998, A$1:A998&lt;&gt;""""),COUNTA(FILTER(A$1:A998, A$1:A998&lt;&gt;""""))))-1), IF('To Order'!$A999=COLUMNS($A999:"&amp;"A1018), A998&amp;RIGHT(INDIRECT(ADDRESS(ROW(A999)-1, 'From Order'!$A999)), 1), A998))"),"")</f>
        <v/>
      </c>
      <c r="B999" s="2" t="str">
        <f>IFERROR(__xludf.DUMMYFUNCTION("IF('From Order'!$A999=COLUMNS($A999:B1018), LEFT(INDEX(FILTER(B$1:B998, B$1:B998&lt;&gt;""""),COUNTA(FILTER(B$1:B998, B$1:B998&lt;&gt;""""))), LEN(INDEX(FILTER(B$1:B998, B$1:B998&lt;&gt;""""),COUNTA(FILTER(B$1:B998, B$1:B998&lt;&gt;""""))))-1), IF('To Order'!$A999=COLUMNS($A999:"&amp;"B1018), B998&amp;RIGHT(INDIRECT(ADDRESS(ROW(B999)-1, 'From Order'!$A999)), 1), B998))"),"JD")</f>
        <v>JD</v>
      </c>
      <c r="C999" s="2" t="str">
        <f>IFERROR(__xludf.DUMMYFUNCTION("IF('From Order'!$A999=COLUMNS($A999:C1018), LEFT(INDEX(FILTER(C$1:C998, C$1:C998&lt;&gt;""""),COUNTA(FILTER(C$1:C998, C$1:C998&lt;&gt;""""))), LEN(INDEX(FILTER(C$1:C998, C$1:C998&lt;&gt;""""),COUNTA(FILTER(C$1:C998, C$1:C998&lt;&gt;""""))))-1), IF('To Order'!$A999=COLUMNS($A999:"&amp;"C1018), C998&amp;RIGHT(INDIRECT(ADDRESS(ROW(C999)-1, 'From Order'!$A999)), 1), C998))"),"TRLRSGHWQVQJPPVJCVZR")</f>
        <v>TRLRSGHWQVQJPPVJCVZR</v>
      </c>
      <c r="D999" s="2" t="str">
        <f>IFERROR(__xludf.DUMMYFUNCTION("IF('From Order'!$A999=COLUMNS($A999:D1018), LEFT(INDEX(FILTER(D$1:D998, D$1:D998&lt;&gt;""""),COUNTA(FILTER(D$1:D998, D$1:D998&lt;&gt;""""))), LEN(INDEX(FILTER(D$1:D998, D$1:D998&lt;&gt;""""),COUNTA(FILTER(D$1:D998, D$1:D998&lt;&gt;""""))))-1), IF('To Order'!$A999=COLUMNS($A999:"&amp;"D1018), D998&amp;RIGHT(INDIRECT(ADDRESS(ROW(D999)-1, 'From Order'!$A999)), 1), D998))"),"")</f>
        <v/>
      </c>
      <c r="E999" s="2" t="str">
        <f>IFERROR(__xludf.DUMMYFUNCTION("IF('From Order'!$A999=COLUMNS($A999:E1018), LEFT(INDEX(FILTER(E$1:E998, E$1:E998&lt;&gt;""""),COUNTA(FILTER(E$1:E998, E$1:E998&lt;&gt;""""))), LEN(INDEX(FILTER(E$1:E998, E$1:E998&lt;&gt;""""),COUNTA(FILTER(E$1:E998, E$1:E998&lt;&gt;""""))))-1), IF('To Order'!$A999=COLUMNS($A999:"&amp;"E1018), E998&amp;RIGHT(INDIRECT(ADDRESS(ROW(E999)-1, 'From Order'!$A999)), 1), E998))"),"MGCD")</f>
        <v>MGCD</v>
      </c>
      <c r="F999" s="2" t="str">
        <f>IFERROR(__xludf.DUMMYFUNCTION("IF('From Order'!$A999=COLUMNS($A999:F1018), LEFT(INDEX(FILTER(F$1:F998, F$1:F998&lt;&gt;""""),COUNTA(FILTER(F$1:F998, F$1:F998&lt;&gt;""""))), LEN(INDEX(FILTER(F$1:F998, F$1:F998&lt;&gt;""""),COUNTA(FILTER(F$1:F998, F$1:F998&lt;&gt;""""))))-1), IF('To Order'!$A999=COLUMNS($A999:"&amp;"F1018), F998&amp;RIGHT(INDIRECT(ADDRESS(ROW(F999)-1, 'From Order'!$A999)), 1), F998))"),"FSLTTWRDTDBDBSBZHMFBT")</f>
        <v>FSLTTWRDTDBDBSBZHMFBT</v>
      </c>
      <c r="G999" s="2" t="str">
        <f>IFERROR(__xludf.DUMMYFUNCTION("IF('From Order'!$A999=COLUMNS($A999:G1018), LEFT(INDEX(FILTER(G$1:G998, G$1:G998&lt;&gt;""""),COUNTA(FILTER(G$1:G998, G$1:G998&lt;&gt;""""))), LEN(INDEX(FILTER(G$1:G998, G$1:G998&lt;&gt;""""),COUNTA(FILTER(G$1:G998, G$1:G998&lt;&gt;""""))))-1), IF('To Order'!$A999=COLUMNS($A999:"&amp;"G1018), G998&amp;RIGHT(INDIRECT(ADDRESS(ROW(G999)-1, 'From Order'!$A999)), 1), G998))"),"RCTMZL")</f>
        <v>RCTMZL</v>
      </c>
      <c r="H999" s="2" t="str">
        <f>IFERROR(__xludf.DUMMYFUNCTION("IF('From Order'!$A999=COLUMNS($A999:H1018), LEFT(INDEX(FILTER(H$1:H998, H$1:H998&lt;&gt;""""),COUNTA(FILTER(H$1:H998, H$1:H998&lt;&gt;""""))), LEN(INDEX(FILTER(H$1:H998, H$1:H998&lt;&gt;""""),COUNTA(FILTER(H$1:H998, H$1:H998&lt;&gt;""""))))-1), IF('To Order'!$A999=COLUMNS($A999:"&amp;"H1018), H998&amp;RIGHT(INDIRECT(ADDRESS(ROW(H999)-1, 'From Order'!$A999)), 1), H998))"),"PDS")</f>
        <v>PDS</v>
      </c>
      <c r="I999" s="2" t="str">
        <f>IFERROR(__xludf.DUMMYFUNCTION("IF('From Order'!$A999=COLUMNS($A999:I1018), LEFT(INDEX(FILTER(I$1:I998, I$1:I998&lt;&gt;""""),COUNTA(FILTER(I$1:I998, I$1:I998&lt;&gt;""""))), LEN(INDEX(FILTER(I$1:I998, I$1:I998&lt;&gt;""""),COUNTA(FILTER(I$1:I998, I$1:I998&lt;&gt;""""))))-1), IF('To Order'!$A999=COLUMNS($A999:"&amp;"I1018), I998&amp;RIGHT(INDIRECT(ADDRESS(ROW(I999)-1, 'From Order'!$A999)), 1), I998))"),"")</f>
        <v/>
      </c>
    </row>
    <row r="1000">
      <c r="A1000" s="2" t="str">
        <f>IFERROR(__xludf.DUMMYFUNCTION("IF('From Order'!$A1000=COLUMNS($A1000:A1019), LEFT(INDEX(FILTER(A$1:A999, A$1:A999&lt;&gt;""""),COUNTA(FILTER(A$1:A999, A$1:A999&lt;&gt;""""))), LEN(INDEX(FILTER(A$1:A999, A$1:A999&lt;&gt;""""),COUNTA(FILTER(A$1:A999, A$1:A999&lt;&gt;""""))))-1), IF('To Order'!$A1000=COLUMNS($A1"&amp;"000:A1019), A999&amp;RIGHT(INDIRECT(ADDRESS(ROW(A1000)-1, 'From Order'!$A1000)), 1), A999))"),"")</f>
        <v/>
      </c>
      <c r="B1000" s="2" t="str">
        <f>IFERROR(__xludf.DUMMYFUNCTION("IF('From Order'!$A1000=COLUMNS($A1000:B1019), LEFT(INDEX(FILTER(B$1:B999, B$1:B999&lt;&gt;""""),COUNTA(FILTER(B$1:B999, B$1:B999&lt;&gt;""""))), LEN(INDEX(FILTER(B$1:B999, B$1:B999&lt;&gt;""""),COUNTA(FILTER(B$1:B999, B$1:B999&lt;&gt;""""))))-1), IF('To Order'!$A1000=COLUMNS($A1"&amp;"000:B1019), B999&amp;RIGHT(INDIRECT(ADDRESS(ROW(B1000)-1, 'From Order'!$A1000)), 1), B999))"),"JD")</f>
        <v>JD</v>
      </c>
      <c r="C1000" s="2" t="str">
        <f>IFERROR(__xludf.DUMMYFUNCTION("IF('From Order'!$A1000=COLUMNS($A1000:C1019), LEFT(INDEX(FILTER(C$1:C999, C$1:C999&lt;&gt;""""),COUNTA(FILTER(C$1:C999, C$1:C999&lt;&gt;""""))), LEN(INDEX(FILTER(C$1:C999, C$1:C999&lt;&gt;""""),COUNTA(FILTER(C$1:C999, C$1:C999&lt;&gt;""""))))-1), IF('To Order'!$A1000=COLUMNS($A1"&amp;"000:C1019), C999&amp;RIGHT(INDIRECT(ADDRESS(ROW(C1000)-1, 'From Order'!$A1000)), 1), C999))"),"TRLRSGHWQVQJPPVJCVZRD")</f>
        <v>TRLRSGHWQVQJPPVJCVZRD</v>
      </c>
      <c r="D1000" s="2" t="str">
        <f>IFERROR(__xludf.DUMMYFUNCTION("IF('From Order'!$A1000=COLUMNS($A1000:D1019), LEFT(INDEX(FILTER(D$1:D999, D$1:D999&lt;&gt;""""),COUNTA(FILTER(D$1:D999, D$1:D999&lt;&gt;""""))), LEN(INDEX(FILTER(D$1:D999, D$1:D999&lt;&gt;""""),COUNTA(FILTER(D$1:D999, D$1:D999&lt;&gt;""""))))-1), IF('To Order'!$A1000=COLUMNS($A1"&amp;"000:D1019), D999&amp;RIGHT(INDIRECT(ADDRESS(ROW(D1000)-1, 'From Order'!$A1000)), 1), D999))"),"")</f>
        <v/>
      </c>
      <c r="E1000" s="2" t="str">
        <f>IFERROR(__xludf.DUMMYFUNCTION("IF('From Order'!$A1000=COLUMNS($A1000:E1019), LEFT(INDEX(FILTER(E$1:E999, E$1:E999&lt;&gt;""""),COUNTA(FILTER(E$1:E999, E$1:E999&lt;&gt;""""))), LEN(INDEX(FILTER(E$1:E999, E$1:E999&lt;&gt;""""),COUNTA(FILTER(E$1:E999, E$1:E999&lt;&gt;""""))))-1), IF('To Order'!$A1000=COLUMNS($A1"&amp;"000:E1019), E999&amp;RIGHT(INDIRECT(ADDRESS(ROW(E1000)-1, 'From Order'!$A1000)), 1), E999))"),"MGC")</f>
        <v>MGC</v>
      </c>
      <c r="F1000" s="2" t="str">
        <f>IFERROR(__xludf.DUMMYFUNCTION("IF('From Order'!$A1000=COLUMNS($A1000:F1019), LEFT(INDEX(FILTER(F$1:F999, F$1:F999&lt;&gt;""""),COUNTA(FILTER(F$1:F999, F$1:F999&lt;&gt;""""))), LEN(INDEX(FILTER(F$1:F999, F$1:F999&lt;&gt;""""),COUNTA(FILTER(F$1:F999, F$1:F999&lt;&gt;""""))))-1), IF('To Order'!$A1000=COLUMNS($A1"&amp;"000:F1019), F999&amp;RIGHT(INDIRECT(ADDRESS(ROW(F1000)-1, 'From Order'!$A1000)), 1), F999))"),"FSLTTWRDTDBDBSBZHMFBT")</f>
        <v>FSLTTWRDTDBDBSBZHMFBT</v>
      </c>
      <c r="G1000" s="2" t="str">
        <f>IFERROR(__xludf.DUMMYFUNCTION("IF('From Order'!$A1000=COLUMNS($A1000:G1019), LEFT(INDEX(FILTER(G$1:G999, G$1:G999&lt;&gt;""""),COUNTA(FILTER(G$1:G999, G$1:G999&lt;&gt;""""))), LEN(INDEX(FILTER(G$1:G999, G$1:G999&lt;&gt;""""),COUNTA(FILTER(G$1:G999, G$1:G999&lt;&gt;""""))))-1), IF('To Order'!$A1000=COLUMNS($A1"&amp;"000:G1019), G999&amp;RIGHT(INDIRECT(ADDRESS(ROW(G1000)-1, 'From Order'!$A1000)), 1), G999))"),"RCTMZL")</f>
        <v>RCTMZL</v>
      </c>
      <c r="H1000" s="2" t="str">
        <f>IFERROR(__xludf.DUMMYFUNCTION("IF('From Order'!$A1000=COLUMNS($A1000:H1019), LEFT(INDEX(FILTER(H$1:H999, H$1:H999&lt;&gt;""""),COUNTA(FILTER(H$1:H999, H$1:H999&lt;&gt;""""))), LEN(INDEX(FILTER(H$1:H999, H$1:H999&lt;&gt;""""),COUNTA(FILTER(H$1:H999, H$1:H999&lt;&gt;""""))))-1), IF('To Order'!$A1000=COLUMNS($A1"&amp;"000:H1019), H999&amp;RIGHT(INDIRECT(ADDRESS(ROW(H1000)-1, 'From Order'!$A1000)), 1), H999))"),"PDS")</f>
        <v>PDS</v>
      </c>
      <c r="I1000" s="2" t="str">
        <f>IFERROR(__xludf.DUMMYFUNCTION("IF('From Order'!$A1000=COLUMNS($A1000:I1019), LEFT(INDEX(FILTER(I$1:I999, I$1:I999&lt;&gt;""""),COUNTA(FILTER(I$1:I999, I$1:I999&lt;&gt;""""))), LEN(INDEX(FILTER(I$1:I999, I$1:I999&lt;&gt;""""),COUNTA(FILTER(I$1:I999, I$1:I999&lt;&gt;""""))))-1), IF('To Order'!$A1000=COLUMNS($A1"&amp;"000:I1019), I999&amp;RIGHT(INDIRECT(ADDRESS(ROW(I1000)-1, 'From Order'!$A1000)), 1), I999))"),"")</f>
        <v/>
      </c>
    </row>
    <row r="1001">
      <c r="A1001" s="2" t="str">
        <f>IFERROR(__xludf.DUMMYFUNCTION("IF('From Order'!$A1001=COLUMNS($A1001:A1020), LEFT(INDEX(FILTER(A$1:A1000, A$1:A1000&lt;&gt;""""),COUNTA(FILTER(A$1:A1000, A$1:A1000&lt;&gt;""""))), LEN(INDEX(FILTER(A$1:A1000, A$1:A1000&lt;&gt;""""),COUNTA(FILTER(A$1:A1000, A$1:A1000&lt;&gt;""""))))-1), IF('To Order'!$A1001=COL"&amp;"UMNS($A1001:A1020), A1000&amp;RIGHT(INDIRECT(ADDRESS(ROW(A1001)-1, 'From Order'!$A1001)), 1), A1000))"),"")</f>
        <v/>
      </c>
      <c r="B1001" s="2" t="str">
        <f>IFERROR(__xludf.DUMMYFUNCTION("IF('From Order'!$A1001=COLUMNS($A1001:B1020), LEFT(INDEX(FILTER(B$1:B1000, B$1:B1000&lt;&gt;""""),COUNTA(FILTER(B$1:B1000, B$1:B1000&lt;&gt;""""))), LEN(INDEX(FILTER(B$1:B1000, B$1:B1000&lt;&gt;""""),COUNTA(FILTER(B$1:B1000, B$1:B1000&lt;&gt;""""))))-1), IF('To Order'!$A1001=COL"&amp;"UMNS($A1001:B1020), B1000&amp;RIGHT(INDIRECT(ADDRESS(ROW(B1001)-1, 'From Order'!$A1001)), 1), B1000))"),"JD")</f>
        <v>JD</v>
      </c>
      <c r="C1001" s="2" t="str">
        <f>IFERROR(__xludf.DUMMYFUNCTION("IF('From Order'!$A1001=COLUMNS($A1001:C1020), LEFT(INDEX(FILTER(C$1:C1000, C$1:C1000&lt;&gt;""""),COUNTA(FILTER(C$1:C1000, C$1:C1000&lt;&gt;""""))), LEN(INDEX(FILTER(C$1:C1000, C$1:C1000&lt;&gt;""""),COUNTA(FILTER(C$1:C1000, C$1:C1000&lt;&gt;""""))))-1), IF('To Order'!$A1001=COL"&amp;"UMNS($A1001:C1020), C1000&amp;RIGHT(INDIRECT(ADDRESS(ROW(C1001)-1, 'From Order'!$A1001)), 1), C1000))"),"TRLRSGHWQVQJPPVJCVZRDC")</f>
        <v>TRLRSGHWQVQJPPVJCVZRDC</v>
      </c>
      <c r="D1001" s="2" t="str">
        <f>IFERROR(__xludf.DUMMYFUNCTION("IF('From Order'!$A1001=COLUMNS($A1001:D1020), LEFT(INDEX(FILTER(D$1:D1000, D$1:D1000&lt;&gt;""""),COUNTA(FILTER(D$1:D1000, D$1:D1000&lt;&gt;""""))), LEN(INDEX(FILTER(D$1:D1000, D$1:D1000&lt;&gt;""""),COUNTA(FILTER(D$1:D1000, D$1:D1000&lt;&gt;""""))))-1), IF('To Order'!$A1001=COL"&amp;"UMNS($A1001:D1020), D1000&amp;RIGHT(INDIRECT(ADDRESS(ROW(D1001)-1, 'From Order'!$A1001)), 1), D1000))"),"")</f>
        <v/>
      </c>
      <c r="E1001" s="2" t="str">
        <f>IFERROR(__xludf.DUMMYFUNCTION("IF('From Order'!$A1001=COLUMNS($A1001:E1020), LEFT(INDEX(FILTER(E$1:E1000, E$1:E1000&lt;&gt;""""),COUNTA(FILTER(E$1:E1000, E$1:E1000&lt;&gt;""""))), LEN(INDEX(FILTER(E$1:E1000, E$1:E1000&lt;&gt;""""),COUNTA(FILTER(E$1:E1000, E$1:E1000&lt;&gt;""""))))-1), IF('To Order'!$A1001=COL"&amp;"UMNS($A1001:E1020), E1000&amp;RIGHT(INDIRECT(ADDRESS(ROW(E1001)-1, 'From Order'!$A1001)), 1), E1000))"),"MG")</f>
        <v>MG</v>
      </c>
      <c r="F1001" s="2" t="str">
        <f>IFERROR(__xludf.DUMMYFUNCTION("IF('From Order'!$A1001=COLUMNS($A1001:F1020), LEFT(INDEX(FILTER(F$1:F1000, F$1:F1000&lt;&gt;""""),COUNTA(FILTER(F$1:F1000, F$1:F1000&lt;&gt;""""))), LEN(INDEX(FILTER(F$1:F1000, F$1:F1000&lt;&gt;""""),COUNTA(FILTER(F$1:F1000, F$1:F1000&lt;&gt;""""))))-1), IF('To Order'!$A1001=COL"&amp;"UMNS($A1001:F1020), F1000&amp;RIGHT(INDIRECT(ADDRESS(ROW(F1001)-1, 'From Order'!$A1001)), 1), F1000))"),"FSLTTWRDTDBDBSBZHMFBT")</f>
        <v>FSLTTWRDTDBDBSBZHMFBT</v>
      </c>
      <c r="G1001" s="2" t="str">
        <f>IFERROR(__xludf.DUMMYFUNCTION("IF('From Order'!$A1001=COLUMNS($A1001:G1020), LEFT(INDEX(FILTER(G$1:G1000, G$1:G1000&lt;&gt;""""),COUNTA(FILTER(G$1:G1000, G$1:G1000&lt;&gt;""""))), LEN(INDEX(FILTER(G$1:G1000, G$1:G1000&lt;&gt;""""),COUNTA(FILTER(G$1:G1000, G$1:G1000&lt;&gt;""""))))-1), IF('To Order'!$A1001=COL"&amp;"UMNS($A1001:G1020), G1000&amp;RIGHT(INDIRECT(ADDRESS(ROW(G1001)-1, 'From Order'!$A1001)), 1), G1000))"),"RCTMZL")</f>
        <v>RCTMZL</v>
      </c>
      <c r="H1001" s="2" t="str">
        <f>IFERROR(__xludf.DUMMYFUNCTION("IF('From Order'!$A1001=COLUMNS($A1001:H1020), LEFT(INDEX(FILTER(H$1:H1000, H$1:H1000&lt;&gt;""""),COUNTA(FILTER(H$1:H1000, H$1:H1000&lt;&gt;""""))), LEN(INDEX(FILTER(H$1:H1000, H$1:H1000&lt;&gt;""""),COUNTA(FILTER(H$1:H1000, H$1:H1000&lt;&gt;""""))))-1), IF('To Order'!$A1001=COL"&amp;"UMNS($A1001:H1020), H1000&amp;RIGHT(INDIRECT(ADDRESS(ROW(H1001)-1, 'From Order'!$A1001)), 1), H1000))"),"PDS")</f>
        <v>PDS</v>
      </c>
      <c r="I1001" s="2" t="str">
        <f>IFERROR(__xludf.DUMMYFUNCTION("IF('From Order'!$A1001=COLUMNS($A1001:I1020), LEFT(INDEX(FILTER(I$1:I1000, I$1:I1000&lt;&gt;""""),COUNTA(FILTER(I$1:I1000, I$1:I1000&lt;&gt;""""))), LEN(INDEX(FILTER(I$1:I1000, I$1:I1000&lt;&gt;""""),COUNTA(FILTER(I$1:I1000, I$1:I1000&lt;&gt;""""))))-1), IF('To Order'!$A1001=COL"&amp;"UMNS($A1001:I1020), I1000&amp;RIGHT(INDIRECT(ADDRESS(ROW(I1001)-1, 'From Order'!$A1001)), 1), I1000))"),"")</f>
        <v/>
      </c>
    </row>
    <row r="1002">
      <c r="A1002" s="2" t="str">
        <f>IFERROR(__xludf.DUMMYFUNCTION("IF('From Order'!$A1002=COLUMNS($A1002:A1021), LEFT(INDEX(FILTER(A$1:A1001, A$1:A1001&lt;&gt;""""),COUNTA(FILTER(A$1:A1001, A$1:A1001&lt;&gt;""""))), LEN(INDEX(FILTER(A$1:A1001, A$1:A1001&lt;&gt;""""),COUNTA(FILTER(A$1:A1001, A$1:A1001&lt;&gt;""""))))-1), IF('To Order'!$A1002=COL"&amp;"UMNS($A1002:A1021), A1001&amp;RIGHT(INDIRECT(ADDRESS(ROW(A1002)-1, 'From Order'!$A1002)), 1), A1001))"),"")</f>
        <v/>
      </c>
      <c r="B1002" s="2" t="str">
        <f>IFERROR(__xludf.DUMMYFUNCTION("IF('From Order'!$A1002=COLUMNS($A1002:B1021), LEFT(INDEX(FILTER(B$1:B1001, B$1:B1001&lt;&gt;""""),COUNTA(FILTER(B$1:B1001, B$1:B1001&lt;&gt;""""))), LEN(INDEX(FILTER(B$1:B1001, B$1:B1001&lt;&gt;""""),COUNTA(FILTER(B$1:B1001, B$1:B1001&lt;&gt;""""))))-1), IF('To Order'!$A1002=COL"&amp;"UMNS($A1002:B1021), B1001&amp;RIGHT(INDIRECT(ADDRESS(ROW(B1002)-1, 'From Order'!$A1002)), 1), B1001))"),"JD")</f>
        <v>JD</v>
      </c>
      <c r="C1002" s="2" t="str">
        <f>IFERROR(__xludf.DUMMYFUNCTION("IF('From Order'!$A1002=COLUMNS($A1002:C1021), LEFT(INDEX(FILTER(C$1:C1001, C$1:C1001&lt;&gt;""""),COUNTA(FILTER(C$1:C1001, C$1:C1001&lt;&gt;""""))), LEN(INDEX(FILTER(C$1:C1001, C$1:C1001&lt;&gt;""""),COUNTA(FILTER(C$1:C1001, C$1:C1001&lt;&gt;""""))))-1), IF('To Order'!$A1002=COL"&amp;"UMNS($A1002:C1021), C1001&amp;RIGHT(INDIRECT(ADDRESS(ROW(C1002)-1, 'From Order'!$A1002)), 1), C1001))"),"TRLRSGHWQVQJPPVJCVZRDCG")</f>
        <v>TRLRSGHWQVQJPPVJCVZRDCG</v>
      </c>
      <c r="D1002" s="2" t="str">
        <f>IFERROR(__xludf.DUMMYFUNCTION("IF('From Order'!$A1002=COLUMNS($A1002:D1021), LEFT(INDEX(FILTER(D$1:D1001, D$1:D1001&lt;&gt;""""),COUNTA(FILTER(D$1:D1001, D$1:D1001&lt;&gt;""""))), LEN(INDEX(FILTER(D$1:D1001, D$1:D1001&lt;&gt;""""),COUNTA(FILTER(D$1:D1001, D$1:D1001&lt;&gt;""""))))-1), IF('To Order'!$A1002=COL"&amp;"UMNS($A1002:D1021), D1001&amp;RIGHT(INDIRECT(ADDRESS(ROW(D1002)-1, 'From Order'!$A1002)), 1), D1001))"),"")</f>
        <v/>
      </c>
      <c r="E1002" s="2" t="str">
        <f>IFERROR(__xludf.DUMMYFUNCTION("IF('From Order'!$A1002=COLUMNS($A1002:E1021), LEFT(INDEX(FILTER(E$1:E1001, E$1:E1001&lt;&gt;""""),COUNTA(FILTER(E$1:E1001, E$1:E1001&lt;&gt;""""))), LEN(INDEX(FILTER(E$1:E1001, E$1:E1001&lt;&gt;""""),COUNTA(FILTER(E$1:E1001, E$1:E1001&lt;&gt;""""))))-1), IF('To Order'!$A1002=COL"&amp;"UMNS($A1002:E1021), E1001&amp;RIGHT(INDIRECT(ADDRESS(ROW(E1002)-1, 'From Order'!$A1002)), 1), E1001))"),"M")</f>
        <v>M</v>
      </c>
      <c r="F1002" s="2" t="str">
        <f>IFERROR(__xludf.DUMMYFUNCTION("IF('From Order'!$A1002=COLUMNS($A1002:F1021), LEFT(INDEX(FILTER(F$1:F1001, F$1:F1001&lt;&gt;""""),COUNTA(FILTER(F$1:F1001, F$1:F1001&lt;&gt;""""))), LEN(INDEX(FILTER(F$1:F1001, F$1:F1001&lt;&gt;""""),COUNTA(FILTER(F$1:F1001, F$1:F1001&lt;&gt;""""))))-1), IF('To Order'!$A1002=COL"&amp;"UMNS($A1002:F1021), F1001&amp;RIGHT(INDIRECT(ADDRESS(ROW(F1002)-1, 'From Order'!$A1002)), 1), F1001))"),"FSLTTWRDTDBDBSBZHMFBT")</f>
        <v>FSLTTWRDTDBDBSBZHMFBT</v>
      </c>
      <c r="G1002" s="2" t="str">
        <f>IFERROR(__xludf.DUMMYFUNCTION("IF('From Order'!$A1002=COLUMNS($A1002:G1021), LEFT(INDEX(FILTER(G$1:G1001, G$1:G1001&lt;&gt;""""),COUNTA(FILTER(G$1:G1001, G$1:G1001&lt;&gt;""""))), LEN(INDEX(FILTER(G$1:G1001, G$1:G1001&lt;&gt;""""),COUNTA(FILTER(G$1:G1001, G$1:G1001&lt;&gt;""""))))-1), IF('To Order'!$A1002=COL"&amp;"UMNS($A1002:G1021), G1001&amp;RIGHT(INDIRECT(ADDRESS(ROW(G1002)-1, 'From Order'!$A1002)), 1), G1001))"),"RCTMZL")</f>
        <v>RCTMZL</v>
      </c>
      <c r="H1002" s="2" t="str">
        <f>IFERROR(__xludf.DUMMYFUNCTION("IF('From Order'!$A1002=COLUMNS($A1002:H1021), LEFT(INDEX(FILTER(H$1:H1001, H$1:H1001&lt;&gt;""""),COUNTA(FILTER(H$1:H1001, H$1:H1001&lt;&gt;""""))), LEN(INDEX(FILTER(H$1:H1001, H$1:H1001&lt;&gt;""""),COUNTA(FILTER(H$1:H1001, H$1:H1001&lt;&gt;""""))))-1), IF('To Order'!$A1002=COL"&amp;"UMNS($A1002:H1021), H1001&amp;RIGHT(INDIRECT(ADDRESS(ROW(H1002)-1, 'From Order'!$A1002)), 1), H1001))"),"PDS")</f>
        <v>PDS</v>
      </c>
      <c r="I1002" s="2" t="str">
        <f>IFERROR(__xludf.DUMMYFUNCTION("IF('From Order'!$A1002=COLUMNS($A1002:I1021), LEFT(INDEX(FILTER(I$1:I1001, I$1:I1001&lt;&gt;""""),COUNTA(FILTER(I$1:I1001, I$1:I1001&lt;&gt;""""))), LEN(INDEX(FILTER(I$1:I1001, I$1:I1001&lt;&gt;""""),COUNTA(FILTER(I$1:I1001, I$1:I1001&lt;&gt;""""))))-1), IF('To Order'!$A1002=COL"&amp;"UMNS($A1002:I1021), I1001&amp;RIGHT(INDIRECT(ADDRESS(ROW(I1002)-1, 'From Order'!$A1002)), 1), I1001))"),"")</f>
        <v/>
      </c>
    </row>
    <row r="1003">
      <c r="A1003" s="2" t="str">
        <f>IFERROR(__xludf.DUMMYFUNCTION("IF('From Order'!$A1003=COLUMNS($A1003:A1022), LEFT(INDEX(FILTER(A$1:A1002, A$1:A1002&lt;&gt;""""),COUNTA(FILTER(A$1:A1002, A$1:A1002&lt;&gt;""""))), LEN(INDEX(FILTER(A$1:A1002, A$1:A1002&lt;&gt;""""),COUNTA(FILTER(A$1:A1002, A$1:A1002&lt;&gt;""""))))-1), IF('To Order'!$A1003=COL"&amp;"UMNS($A1003:A1022), A1002&amp;RIGHT(INDIRECT(ADDRESS(ROW(A1003)-1, 'From Order'!$A1003)), 1), A1002))"),"")</f>
        <v/>
      </c>
      <c r="B1003" s="2" t="str">
        <f>IFERROR(__xludf.DUMMYFUNCTION("IF('From Order'!$A1003=COLUMNS($A1003:B1022), LEFT(INDEX(FILTER(B$1:B1002, B$1:B1002&lt;&gt;""""),COUNTA(FILTER(B$1:B1002, B$1:B1002&lt;&gt;""""))), LEN(INDEX(FILTER(B$1:B1002, B$1:B1002&lt;&gt;""""),COUNTA(FILTER(B$1:B1002, B$1:B1002&lt;&gt;""""))))-1), IF('To Order'!$A1003=COL"&amp;"UMNS($A1003:B1022), B1002&amp;RIGHT(INDIRECT(ADDRESS(ROW(B1003)-1, 'From Order'!$A1003)), 1), B1002))"),"JD")</f>
        <v>JD</v>
      </c>
      <c r="C1003" s="2" t="str">
        <f>IFERROR(__xludf.DUMMYFUNCTION("IF('From Order'!$A1003=COLUMNS($A1003:C1022), LEFT(INDEX(FILTER(C$1:C1002, C$1:C1002&lt;&gt;""""),COUNTA(FILTER(C$1:C1002, C$1:C1002&lt;&gt;""""))), LEN(INDEX(FILTER(C$1:C1002, C$1:C1002&lt;&gt;""""),COUNTA(FILTER(C$1:C1002, C$1:C1002&lt;&gt;""""))))-1), IF('To Order'!$A1003=COL"&amp;"UMNS($A1003:C1022), C1002&amp;RIGHT(INDIRECT(ADDRESS(ROW(C1003)-1, 'From Order'!$A1003)), 1), C1002))"),"TRLRSGHWQVQJPPVJCVZRDCGM")</f>
        <v>TRLRSGHWQVQJPPVJCVZRDCGM</v>
      </c>
      <c r="D1003" s="2" t="str">
        <f>IFERROR(__xludf.DUMMYFUNCTION("IF('From Order'!$A1003=COLUMNS($A1003:D1022), LEFT(INDEX(FILTER(D$1:D1002, D$1:D1002&lt;&gt;""""),COUNTA(FILTER(D$1:D1002, D$1:D1002&lt;&gt;""""))), LEN(INDEX(FILTER(D$1:D1002, D$1:D1002&lt;&gt;""""),COUNTA(FILTER(D$1:D1002, D$1:D1002&lt;&gt;""""))))-1), IF('To Order'!$A1003=COL"&amp;"UMNS($A1003:D1022), D1002&amp;RIGHT(INDIRECT(ADDRESS(ROW(D1003)-1, 'From Order'!$A1003)), 1), D1002))"),"")</f>
        <v/>
      </c>
      <c r="E1003" s="2" t="str">
        <f>IFERROR(__xludf.DUMMYFUNCTION("IF('From Order'!$A1003=COLUMNS($A1003:E1022), LEFT(INDEX(FILTER(E$1:E1002, E$1:E1002&lt;&gt;""""),COUNTA(FILTER(E$1:E1002, E$1:E1002&lt;&gt;""""))), LEN(INDEX(FILTER(E$1:E1002, E$1:E1002&lt;&gt;""""),COUNTA(FILTER(E$1:E1002, E$1:E1002&lt;&gt;""""))))-1), IF('To Order'!$A1003=COL"&amp;"UMNS($A1003:E1022), E1002&amp;RIGHT(INDIRECT(ADDRESS(ROW(E1003)-1, 'From Order'!$A1003)), 1), E1002))"),"")</f>
        <v/>
      </c>
      <c r="F1003" s="2" t="str">
        <f>IFERROR(__xludf.DUMMYFUNCTION("IF('From Order'!$A1003=COLUMNS($A1003:F1022), LEFT(INDEX(FILTER(F$1:F1002, F$1:F1002&lt;&gt;""""),COUNTA(FILTER(F$1:F1002, F$1:F1002&lt;&gt;""""))), LEN(INDEX(FILTER(F$1:F1002, F$1:F1002&lt;&gt;""""),COUNTA(FILTER(F$1:F1002, F$1:F1002&lt;&gt;""""))))-1), IF('To Order'!$A1003=COL"&amp;"UMNS($A1003:F1022), F1002&amp;RIGHT(INDIRECT(ADDRESS(ROW(F1003)-1, 'From Order'!$A1003)), 1), F1002))"),"FSLTTWRDTDBDBSBZHMFBT")</f>
        <v>FSLTTWRDTDBDBSBZHMFBT</v>
      </c>
      <c r="G1003" s="2" t="str">
        <f>IFERROR(__xludf.DUMMYFUNCTION("IF('From Order'!$A1003=COLUMNS($A1003:G1022), LEFT(INDEX(FILTER(G$1:G1002, G$1:G1002&lt;&gt;""""),COUNTA(FILTER(G$1:G1002, G$1:G1002&lt;&gt;""""))), LEN(INDEX(FILTER(G$1:G1002, G$1:G1002&lt;&gt;""""),COUNTA(FILTER(G$1:G1002, G$1:G1002&lt;&gt;""""))))-1), IF('To Order'!$A1003=COL"&amp;"UMNS($A1003:G1022), G1002&amp;RIGHT(INDIRECT(ADDRESS(ROW(G1003)-1, 'From Order'!$A1003)), 1), G1002))"),"RCTMZL")</f>
        <v>RCTMZL</v>
      </c>
      <c r="H1003" s="2" t="str">
        <f>IFERROR(__xludf.DUMMYFUNCTION("IF('From Order'!$A1003=COLUMNS($A1003:H1022), LEFT(INDEX(FILTER(H$1:H1002, H$1:H1002&lt;&gt;""""),COUNTA(FILTER(H$1:H1002, H$1:H1002&lt;&gt;""""))), LEN(INDEX(FILTER(H$1:H1002, H$1:H1002&lt;&gt;""""),COUNTA(FILTER(H$1:H1002, H$1:H1002&lt;&gt;""""))))-1), IF('To Order'!$A1003=COL"&amp;"UMNS($A1003:H1022), H1002&amp;RIGHT(INDIRECT(ADDRESS(ROW(H1003)-1, 'From Order'!$A1003)), 1), H1002))"),"PDS")</f>
        <v>PDS</v>
      </c>
      <c r="I1003" s="2" t="str">
        <f>IFERROR(__xludf.DUMMYFUNCTION("IF('From Order'!$A1003=COLUMNS($A1003:I1022), LEFT(INDEX(FILTER(I$1:I1002, I$1:I1002&lt;&gt;""""),COUNTA(FILTER(I$1:I1002, I$1:I1002&lt;&gt;""""))), LEN(INDEX(FILTER(I$1:I1002, I$1:I1002&lt;&gt;""""),COUNTA(FILTER(I$1:I1002, I$1:I1002&lt;&gt;""""))))-1), IF('To Order'!$A1003=COL"&amp;"UMNS($A1003:I1022), I1002&amp;RIGHT(INDIRECT(ADDRESS(ROW(I1003)-1, 'From Order'!$A1003)), 1), I1002))"),"")</f>
        <v/>
      </c>
    </row>
    <row r="1004">
      <c r="A1004" s="2" t="str">
        <f>IFERROR(__xludf.DUMMYFUNCTION("IF('From Order'!$A1004=COLUMNS($A1004:A1023), LEFT(INDEX(FILTER(A$1:A1003, A$1:A1003&lt;&gt;""""),COUNTA(FILTER(A$1:A1003, A$1:A1003&lt;&gt;""""))), LEN(INDEX(FILTER(A$1:A1003, A$1:A1003&lt;&gt;""""),COUNTA(FILTER(A$1:A1003, A$1:A1003&lt;&gt;""""))))-1), IF('To Order'!$A1004=COL"&amp;"UMNS($A1004:A1023), A1003&amp;RIGHT(INDIRECT(ADDRESS(ROW(A1004)-1, 'From Order'!$A1004)), 1), A1003))"),"")</f>
        <v/>
      </c>
      <c r="B1004" s="2" t="str">
        <f>IFERROR(__xludf.DUMMYFUNCTION("IF('From Order'!$A1004=COLUMNS($A1004:B1023), LEFT(INDEX(FILTER(B$1:B1003, B$1:B1003&lt;&gt;""""),COUNTA(FILTER(B$1:B1003, B$1:B1003&lt;&gt;""""))), LEN(INDEX(FILTER(B$1:B1003, B$1:B1003&lt;&gt;""""),COUNTA(FILTER(B$1:B1003, B$1:B1003&lt;&gt;""""))))-1), IF('To Order'!$A1004=COL"&amp;"UMNS($A1004:B1023), B1003&amp;RIGHT(INDIRECT(ADDRESS(ROW(B1004)-1, 'From Order'!$A1004)), 1), B1003))"),"J")</f>
        <v>J</v>
      </c>
      <c r="C1004" s="2" t="str">
        <f>IFERROR(__xludf.DUMMYFUNCTION("IF('From Order'!$A1004=COLUMNS($A1004:C1023), LEFT(INDEX(FILTER(C$1:C1003, C$1:C1003&lt;&gt;""""),COUNTA(FILTER(C$1:C1003, C$1:C1003&lt;&gt;""""))), LEN(INDEX(FILTER(C$1:C1003, C$1:C1003&lt;&gt;""""),COUNTA(FILTER(C$1:C1003, C$1:C1003&lt;&gt;""""))))-1), IF('To Order'!$A1004=COL"&amp;"UMNS($A1004:C1023), C1003&amp;RIGHT(INDIRECT(ADDRESS(ROW(C1004)-1, 'From Order'!$A1004)), 1), C1003))"),"TRLRSGHWQVQJPPVJCVZRDCGM")</f>
        <v>TRLRSGHWQVQJPPVJCVZRDCGM</v>
      </c>
      <c r="D1004" s="2" t="str">
        <f>IFERROR(__xludf.DUMMYFUNCTION("IF('From Order'!$A1004=COLUMNS($A1004:D1023), LEFT(INDEX(FILTER(D$1:D1003, D$1:D1003&lt;&gt;""""),COUNTA(FILTER(D$1:D1003, D$1:D1003&lt;&gt;""""))), LEN(INDEX(FILTER(D$1:D1003, D$1:D1003&lt;&gt;""""),COUNTA(FILTER(D$1:D1003, D$1:D1003&lt;&gt;""""))))-1), IF('To Order'!$A1004=COL"&amp;"UMNS($A1004:D1023), D1003&amp;RIGHT(INDIRECT(ADDRESS(ROW(D1004)-1, 'From Order'!$A1004)), 1), D1003))"),"")</f>
        <v/>
      </c>
      <c r="E1004" s="2" t="str">
        <f>IFERROR(__xludf.DUMMYFUNCTION("IF('From Order'!$A1004=COLUMNS($A1004:E1023), LEFT(INDEX(FILTER(E$1:E1003, E$1:E1003&lt;&gt;""""),COUNTA(FILTER(E$1:E1003, E$1:E1003&lt;&gt;""""))), LEN(INDEX(FILTER(E$1:E1003, E$1:E1003&lt;&gt;""""),COUNTA(FILTER(E$1:E1003, E$1:E1003&lt;&gt;""""))))-1), IF('To Order'!$A1004=COL"&amp;"UMNS($A1004:E1023), E1003&amp;RIGHT(INDIRECT(ADDRESS(ROW(E1004)-1, 'From Order'!$A1004)), 1), E1003))"),"")</f>
        <v/>
      </c>
      <c r="F1004" s="2" t="str">
        <f>IFERROR(__xludf.DUMMYFUNCTION("IF('From Order'!$A1004=COLUMNS($A1004:F1023), LEFT(INDEX(FILTER(F$1:F1003, F$1:F1003&lt;&gt;""""),COUNTA(FILTER(F$1:F1003, F$1:F1003&lt;&gt;""""))), LEN(INDEX(FILTER(F$1:F1003, F$1:F1003&lt;&gt;""""),COUNTA(FILTER(F$1:F1003, F$1:F1003&lt;&gt;""""))))-1), IF('To Order'!$A1004=COL"&amp;"UMNS($A1004:F1023), F1003&amp;RIGHT(INDIRECT(ADDRESS(ROW(F1004)-1, 'From Order'!$A1004)), 1), F1003))"),"FSLTTWRDTDBDBSBZHMFBT")</f>
        <v>FSLTTWRDTDBDBSBZHMFBT</v>
      </c>
      <c r="G1004" s="2" t="str">
        <f>IFERROR(__xludf.DUMMYFUNCTION("IF('From Order'!$A1004=COLUMNS($A1004:G1023), LEFT(INDEX(FILTER(G$1:G1003, G$1:G1003&lt;&gt;""""),COUNTA(FILTER(G$1:G1003, G$1:G1003&lt;&gt;""""))), LEN(INDEX(FILTER(G$1:G1003, G$1:G1003&lt;&gt;""""),COUNTA(FILTER(G$1:G1003, G$1:G1003&lt;&gt;""""))))-1), IF('To Order'!$A1004=COL"&amp;"UMNS($A1004:G1023), G1003&amp;RIGHT(INDIRECT(ADDRESS(ROW(G1004)-1, 'From Order'!$A1004)), 1), G1003))"),"RCTMZL")</f>
        <v>RCTMZL</v>
      </c>
      <c r="H1004" s="2" t="str">
        <f>IFERROR(__xludf.DUMMYFUNCTION("IF('From Order'!$A1004=COLUMNS($A1004:H1023), LEFT(INDEX(FILTER(H$1:H1003, H$1:H1003&lt;&gt;""""),COUNTA(FILTER(H$1:H1003, H$1:H1003&lt;&gt;""""))), LEN(INDEX(FILTER(H$1:H1003, H$1:H1003&lt;&gt;""""),COUNTA(FILTER(H$1:H1003, H$1:H1003&lt;&gt;""""))))-1), IF('To Order'!$A1004=COL"&amp;"UMNS($A1004:H1023), H1003&amp;RIGHT(INDIRECT(ADDRESS(ROW(H1004)-1, 'From Order'!$A1004)), 1), H1003))"),"PDSD")</f>
        <v>PDSD</v>
      </c>
      <c r="I1004" s="2" t="str">
        <f>IFERROR(__xludf.DUMMYFUNCTION("IF('From Order'!$A1004=COLUMNS($A1004:I1023), LEFT(INDEX(FILTER(I$1:I1003, I$1:I1003&lt;&gt;""""),COUNTA(FILTER(I$1:I1003, I$1:I1003&lt;&gt;""""))), LEN(INDEX(FILTER(I$1:I1003, I$1:I1003&lt;&gt;""""),COUNTA(FILTER(I$1:I1003, I$1:I1003&lt;&gt;""""))))-1), IF('To Order'!$A1004=COL"&amp;"UMNS($A1004:I1023), I1003&amp;RIGHT(INDIRECT(ADDRESS(ROW(I1004)-1, 'From Order'!$A1004)), 1), I1003))"),"")</f>
        <v/>
      </c>
    </row>
    <row r="1005">
      <c r="A1005" s="2" t="str">
        <f>IFERROR(__xludf.DUMMYFUNCTION("IF('From Order'!$A1005=COLUMNS($A1005:A1024), LEFT(INDEX(FILTER(A$1:A1004, A$1:A1004&lt;&gt;""""),COUNTA(FILTER(A$1:A1004, A$1:A1004&lt;&gt;""""))), LEN(INDEX(FILTER(A$1:A1004, A$1:A1004&lt;&gt;""""),COUNTA(FILTER(A$1:A1004, A$1:A1004&lt;&gt;""""))))-1), IF('To Order'!$A1005=COL"&amp;"UMNS($A1005:A1024), A1004&amp;RIGHT(INDIRECT(ADDRESS(ROW(A1005)-1, 'From Order'!$A1005)), 1), A1004))"),"")</f>
        <v/>
      </c>
      <c r="B1005" s="2" t="str">
        <f>IFERROR(__xludf.DUMMYFUNCTION("IF('From Order'!$A1005=COLUMNS($A1005:B1024), LEFT(INDEX(FILTER(B$1:B1004, B$1:B1004&lt;&gt;""""),COUNTA(FILTER(B$1:B1004, B$1:B1004&lt;&gt;""""))), LEN(INDEX(FILTER(B$1:B1004, B$1:B1004&lt;&gt;""""),COUNTA(FILTER(B$1:B1004, B$1:B1004&lt;&gt;""""))))-1), IF('To Order'!$A1005=COL"&amp;"UMNS($A1005:B1024), B1004&amp;RIGHT(INDIRECT(ADDRESS(ROW(B1005)-1, 'From Order'!$A1005)), 1), B1004))"),"")</f>
        <v/>
      </c>
      <c r="C1005" s="2" t="str">
        <f>IFERROR(__xludf.DUMMYFUNCTION("IF('From Order'!$A1005=COLUMNS($A1005:C1024), LEFT(INDEX(FILTER(C$1:C1004, C$1:C1004&lt;&gt;""""),COUNTA(FILTER(C$1:C1004, C$1:C1004&lt;&gt;""""))), LEN(INDEX(FILTER(C$1:C1004, C$1:C1004&lt;&gt;""""),COUNTA(FILTER(C$1:C1004, C$1:C1004&lt;&gt;""""))))-1), IF('To Order'!$A1005=COL"&amp;"UMNS($A1005:C1024), C1004&amp;RIGHT(INDIRECT(ADDRESS(ROW(C1005)-1, 'From Order'!$A1005)), 1), C1004))"),"TRLRSGHWQVQJPPVJCVZRDCGM")</f>
        <v>TRLRSGHWQVQJPPVJCVZRDCGM</v>
      </c>
      <c r="D1005" s="2" t="str">
        <f>IFERROR(__xludf.DUMMYFUNCTION("IF('From Order'!$A1005=COLUMNS($A1005:D1024), LEFT(INDEX(FILTER(D$1:D1004, D$1:D1004&lt;&gt;""""),COUNTA(FILTER(D$1:D1004, D$1:D1004&lt;&gt;""""))), LEN(INDEX(FILTER(D$1:D1004, D$1:D1004&lt;&gt;""""),COUNTA(FILTER(D$1:D1004, D$1:D1004&lt;&gt;""""))))-1), IF('To Order'!$A1005=COL"&amp;"UMNS($A1005:D1024), D1004&amp;RIGHT(INDIRECT(ADDRESS(ROW(D1005)-1, 'From Order'!$A1005)), 1), D1004))"),"")</f>
        <v/>
      </c>
      <c r="E1005" s="2" t="str">
        <f>IFERROR(__xludf.DUMMYFUNCTION("IF('From Order'!$A1005=COLUMNS($A1005:E1024), LEFT(INDEX(FILTER(E$1:E1004, E$1:E1004&lt;&gt;""""),COUNTA(FILTER(E$1:E1004, E$1:E1004&lt;&gt;""""))), LEN(INDEX(FILTER(E$1:E1004, E$1:E1004&lt;&gt;""""),COUNTA(FILTER(E$1:E1004, E$1:E1004&lt;&gt;""""))))-1), IF('To Order'!$A1005=COL"&amp;"UMNS($A1005:E1024), E1004&amp;RIGHT(INDIRECT(ADDRESS(ROW(E1005)-1, 'From Order'!$A1005)), 1), E1004))"),"")</f>
        <v/>
      </c>
      <c r="F1005" s="2" t="str">
        <f>IFERROR(__xludf.DUMMYFUNCTION("IF('From Order'!$A1005=COLUMNS($A1005:F1024), LEFT(INDEX(FILTER(F$1:F1004, F$1:F1004&lt;&gt;""""),COUNTA(FILTER(F$1:F1004, F$1:F1004&lt;&gt;""""))), LEN(INDEX(FILTER(F$1:F1004, F$1:F1004&lt;&gt;""""),COUNTA(FILTER(F$1:F1004, F$1:F1004&lt;&gt;""""))))-1), IF('To Order'!$A1005=COL"&amp;"UMNS($A1005:F1024), F1004&amp;RIGHT(INDIRECT(ADDRESS(ROW(F1005)-1, 'From Order'!$A1005)), 1), F1004))"),"FSLTTWRDTDBDBSBZHMFBT")</f>
        <v>FSLTTWRDTDBDBSBZHMFBT</v>
      </c>
      <c r="G1005" s="2" t="str">
        <f>IFERROR(__xludf.DUMMYFUNCTION("IF('From Order'!$A1005=COLUMNS($A1005:G1024), LEFT(INDEX(FILTER(G$1:G1004, G$1:G1004&lt;&gt;""""),COUNTA(FILTER(G$1:G1004, G$1:G1004&lt;&gt;""""))), LEN(INDEX(FILTER(G$1:G1004, G$1:G1004&lt;&gt;""""),COUNTA(FILTER(G$1:G1004, G$1:G1004&lt;&gt;""""))))-1), IF('To Order'!$A1005=COL"&amp;"UMNS($A1005:G1024), G1004&amp;RIGHT(INDIRECT(ADDRESS(ROW(G1005)-1, 'From Order'!$A1005)), 1), G1004))"),"RCTMZL")</f>
        <v>RCTMZL</v>
      </c>
      <c r="H1005" s="2" t="str">
        <f>IFERROR(__xludf.DUMMYFUNCTION("IF('From Order'!$A1005=COLUMNS($A1005:H1024), LEFT(INDEX(FILTER(H$1:H1004, H$1:H1004&lt;&gt;""""),COUNTA(FILTER(H$1:H1004, H$1:H1004&lt;&gt;""""))), LEN(INDEX(FILTER(H$1:H1004, H$1:H1004&lt;&gt;""""),COUNTA(FILTER(H$1:H1004, H$1:H1004&lt;&gt;""""))))-1), IF('To Order'!$A1005=COL"&amp;"UMNS($A1005:H1024), H1004&amp;RIGHT(INDIRECT(ADDRESS(ROW(H1005)-1, 'From Order'!$A1005)), 1), H1004))"),"PDSDJ")</f>
        <v>PDSDJ</v>
      </c>
      <c r="I1005" s="2" t="str">
        <f>IFERROR(__xludf.DUMMYFUNCTION("IF('From Order'!$A1005=COLUMNS($A1005:I1024), LEFT(INDEX(FILTER(I$1:I1004, I$1:I1004&lt;&gt;""""),COUNTA(FILTER(I$1:I1004, I$1:I1004&lt;&gt;""""))), LEN(INDEX(FILTER(I$1:I1004, I$1:I1004&lt;&gt;""""),COUNTA(FILTER(I$1:I1004, I$1:I1004&lt;&gt;""""))))-1), IF('To Order'!$A1005=COL"&amp;"UMNS($A1005:I1024), I1004&amp;RIGHT(INDIRECT(ADDRESS(ROW(I1005)-1, 'From Order'!$A1005)), 1), I1004))"),"")</f>
        <v/>
      </c>
    </row>
    <row r="1006">
      <c r="A1006" s="2" t="str">
        <f>IFERROR(__xludf.DUMMYFUNCTION("IF('From Order'!$A1006=COLUMNS($A1006:A1025), LEFT(INDEX(FILTER(A$1:A1005, A$1:A1005&lt;&gt;""""),COUNTA(FILTER(A$1:A1005, A$1:A1005&lt;&gt;""""))), LEN(INDEX(FILTER(A$1:A1005, A$1:A1005&lt;&gt;""""),COUNTA(FILTER(A$1:A1005, A$1:A1005&lt;&gt;""""))))-1), IF('To Order'!$A1006=COL"&amp;"UMNS($A1006:A1025), A1005&amp;RIGHT(INDIRECT(ADDRESS(ROW(A1006)-1, 'From Order'!$A1006)), 1), A1005))"),"L")</f>
        <v>L</v>
      </c>
      <c r="B1006" s="2" t="str">
        <f>IFERROR(__xludf.DUMMYFUNCTION("IF('From Order'!$A1006=COLUMNS($A1006:B1025), LEFT(INDEX(FILTER(B$1:B1005, B$1:B1005&lt;&gt;""""),COUNTA(FILTER(B$1:B1005, B$1:B1005&lt;&gt;""""))), LEN(INDEX(FILTER(B$1:B1005, B$1:B1005&lt;&gt;""""),COUNTA(FILTER(B$1:B1005, B$1:B1005&lt;&gt;""""))))-1), IF('To Order'!$A1006=COL"&amp;"UMNS($A1006:B1025), B1005&amp;RIGHT(INDIRECT(ADDRESS(ROW(B1006)-1, 'From Order'!$A1006)), 1), B1005))"),"")</f>
        <v/>
      </c>
      <c r="C1006" s="2" t="str">
        <f>IFERROR(__xludf.DUMMYFUNCTION("IF('From Order'!$A1006=COLUMNS($A1006:C1025), LEFT(INDEX(FILTER(C$1:C1005, C$1:C1005&lt;&gt;""""),COUNTA(FILTER(C$1:C1005, C$1:C1005&lt;&gt;""""))), LEN(INDEX(FILTER(C$1:C1005, C$1:C1005&lt;&gt;""""),COUNTA(FILTER(C$1:C1005, C$1:C1005&lt;&gt;""""))))-1), IF('To Order'!$A1006=COL"&amp;"UMNS($A1006:C1025), C1005&amp;RIGHT(INDIRECT(ADDRESS(ROW(C1006)-1, 'From Order'!$A1006)), 1), C1005))"),"TRLRSGHWQVQJPPVJCVZRDCGM")</f>
        <v>TRLRSGHWQVQJPPVJCVZRDCGM</v>
      </c>
      <c r="D1006" s="2" t="str">
        <f>IFERROR(__xludf.DUMMYFUNCTION("IF('From Order'!$A1006=COLUMNS($A1006:D1025), LEFT(INDEX(FILTER(D$1:D1005, D$1:D1005&lt;&gt;""""),COUNTA(FILTER(D$1:D1005, D$1:D1005&lt;&gt;""""))), LEN(INDEX(FILTER(D$1:D1005, D$1:D1005&lt;&gt;""""),COUNTA(FILTER(D$1:D1005, D$1:D1005&lt;&gt;""""))))-1), IF('To Order'!$A1006=COL"&amp;"UMNS($A1006:D1025), D1005&amp;RIGHT(INDIRECT(ADDRESS(ROW(D1006)-1, 'From Order'!$A1006)), 1), D1005))"),"")</f>
        <v/>
      </c>
      <c r="E1006" s="2" t="str">
        <f>IFERROR(__xludf.DUMMYFUNCTION("IF('From Order'!$A1006=COLUMNS($A1006:E1025), LEFT(INDEX(FILTER(E$1:E1005, E$1:E1005&lt;&gt;""""),COUNTA(FILTER(E$1:E1005, E$1:E1005&lt;&gt;""""))), LEN(INDEX(FILTER(E$1:E1005, E$1:E1005&lt;&gt;""""),COUNTA(FILTER(E$1:E1005, E$1:E1005&lt;&gt;""""))))-1), IF('To Order'!$A1006=COL"&amp;"UMNS($A1006:E1025), E1005&amp;RIGHT(INDIRECT(ADDRESS(ROW(E1006)-1, 'From Order'!$A1006)), 1), E1005))"),"")</f>
        <v/>
      </c>
      <c r="F1006" s="2" t="str">
        <f>IFERROR(__xludf.DUMMYFUNCTION("IF('From Order'!$A1006=COLUMNS($A1006:F1025), LEFT(INDEX(FILTER(F$1:F1005, F$1:F1005&lt;&gt;""""),COUNTA(FILTER(F$1:F1005, F$1:F1005&lt;&gt;""""))), LEN(INDEX(FILTER(F$1:F1005, F$1:F1005&lt;&gt;""""),COUNTA(FILTER(F$1:F1005, F$1:F1005&lt;&gt;""""))))-1), IF('To Order'!$A1006=COL"&amp;"UMNS($A1006:F1025), F1005&amp;RIGHT(INDIRECT(ADDRESS(ROW(F1006)-1, 'From Order'!$A1006)), 1), F1005))"),"FSLTTWRDTDBDBSBZHMFBT")</f>
        <v>FSLTTWRDTDBDBSBZHMFBT</v>
      </c>
      <c r="G1006" s="2" t="str">
        <f>IFERROR(__xludf.DUMMYFUNCTION("IF('From Order'!$A1006=COLUMNS($A1006:G1025), LEFT(INDEX(FILTER(G$1:G1005, G$1:G1005&lt;&gt;""""),COUNTA(FILTER(G$1:G1005, G$1:G1005&lt;&gt;""""))), LEN(INDEX(FILTER(G$1:G1005, G$1:G1005&lt;&gt;""""),COUNTA(FILTER(G$1:G1005, G$1:G1005&lt;&gt;""""))))-1), IF('To Order'!$A1006=COL"&amp;"UMNS($A1006:G1025), G1005&amp;RIGHT(INDIRECT(ADDRESS(ROW(G1006)-1, 'From Order'!$A1006)), 1), G1005))"),"RCTMZ")</f>
        <v>RCTMZ</v>
      </c>
      <c r="H1006" s="2" t="str">
        <f>IFERROR(__xludf.DUMMYFUNCTION("IF('From Order'!$A1006=COLUMNS($A1006:H1025), LEFT(INDEX(FILTER(H$1:H1005, H$1:H1005&lt;&gt;""""),COUNTA(FILTER(H$1:H1005, H$1:H1005&lt;&gt;""""))), LEN(INDEX(FILTER(H$1:H1005, H$1:H1005&lt;&gt;""""),COUNTA(FILTER(H$1:H1005, H$1:H1005&lt;&gt;""""))))-1), IF('To Order'!$A1006=COL"&amp;"UMNS($A1006:H1025), H1005&amp;RIGHT(INDIRECT(ADDRESS(ROW(H1006)-1, 'From Order'!$A1006)), 1), H1005))"),"PDSDJ")</f>
        <v>PDSDJ</v>
      </c>
      <c r="I1006" s="2" t="str">
        <f>IFERROR(__xludf.DUMMYFUNCTION("IF('From Order'!$A1006=COLUMNS($A1006:I1025), LEFT(INDEX(FILTER(I$1:I1005, I$1:I1005&lt;&gt;""""),COUNTA(FILTER(I$1:I1005, I$1:I1005&lt;&gt;""""))), LEN(INDEX(FILTER(I$1:I1005, I$1:I1005&lt;&gt;""""),COUNTA(FILTER(I$1:I1005, I$1:I1005&lt;&gt;""""))))-1), IF('To Order'!$A1006=COL"&amp;"UMNS($A1006:I1025), I1005&amp;RIGHT(INDIRECT(ADDRESS(ROW(I1006)-1, 'From Order'!$A1006)), 1), I1005))"),"")</f>
        <v/>
      </c>
    </row>
    <row r="1007">
      <c r="A1007" s="2" t="str">
        <f>IFERROR(__xludf.DUMMYFUNCTION("IF('From Order'!$A1007=COLUMNS($A1007:A1026), LEFT(INDEX(FILTER(A$1:A1006, A$1:A1006&lt;&gt;""""),COUNTA(FILTER(A$1:A1006, A$1:A1006&lt;&gt;""""))), LEN(INDEX(FILTER(A$1:A1006, A$1:A1006&lt;&gt;""""),COUNTA(FILTER(A$1:A1006, A$1:A1006&lt;&gt;""""))))-1), IF('To Order'!$A1007=COL"&amp;"UMNS($A1007:A1026), A1006&amp;RIGHT(INDIRECT(ADDRESS(ROW(A1007)-1, 'From Order'!$A1007)), 1), A1006))"),"LZ")</f>
        <v>LZ</v>
      </c>
      <c r="B1007" s="2" t="str">
        <f>IFERROR(__xludf.DUMMYFUNCTION("IF('From Order'!$A1007=COLUMNS($A1007:B1026), LEFT(INDEX(FILTER(B$1:B1006, B$1:B1006&lt;&gt;""""),COUNTA(FILTER(B$1:B1006, B$1:B1006&lt;&gt;""""))), LEN(INDEX(FILTER(B$1:B1006, B$1:B1006&lt;&gt;""""),COUNTA(FILTER(B$1:B1006, B$1:B1006&lt;&gt;""""))))-1), IF('To Order'!$A1007=COL"&amp;"UMNS($A1007:B1026), B1006&amp;RIGHT(INDIRECT(ADDRESS(ROW(B1007)-1, 'From Order'!$A1007)), 1), B1006))"),"")</f>
        <v/>
      </c>
      <c r="C1007" s="2" t="str">
        <f>IFERROR(__xludf.DUMMYFUNCTION("IF('From Order'!$A1007=COLUMNS($A1007:C1026), LEFT(INDEX(FILTER(C$1:C1006, C$1:C1006&lt;&gt;""""),COUNTA(FILTER(C$1:C1006, C$1:C1006&lt;&gt;""""))), LEN(INDEX(FILTER(C$1:C1006, C$1:C1006&lt;&gt;""""),COUNTA(FILTER(C$1:C1006, C$1:C1006&lt;&gt;""""))))-1), IF('To Order'!$A1007=COL"&amp;"UMNS($A1007:C1026), C1006&amp;RIGHT(INDIRECT(ADDRESS(ROW(C1007)-1, 'From Order'!$A1007)), 1), C1006))"),"TRLRSGHWQVQJPPVJCVZRDCGM")</f>
        <v>TRLRSGHWQVQJPPVJCVZRDCGM</v>
      </c>
      <c r="D1007" s="2" t="str">
        <f>IFERROR(__xludf.DUMMYFUNCTION("IF('From Order'!$A1007=COLUMNS($A1007:D1026), LEFT(INDEX(FILTER(D$1:D1006, D$1:D1006&lt;&gt;""""),COUNTA(FILTER(D$1:D1006, D$1:D1006&lt;&gt;""""))), LEN(INDEX(FILTER(D$1:D1006, D$1:D1006&lt;&gt;""""),COUNTA(FILTER(D$1:D1006, D$1:D1006&lt;&gt;""""))))-1), IF('To Order'!$A1007=COL"&amp;"UMNS($A1007:D1026), D1006&amp;RIGHT(INDIRECT(ADDRESS(ROW(D1007)-1, 'From Order'!$A1007)), 1), D1006))"),"")</f>
        <v/>
      </c>
      <c r="E1007" s="2" t="str">
        <f>IFERROR(__xludf.DUMMYFUNCTION("IF('From Order'!$A1007=COLUMNS($A1007:E1026), LEFT(INDEX(FILTER(E$1:E1006, E$1:E1006&lt;&gt;""""),COUNTA(FILTER(E$1:E1006, E$1:E1006&lt;&gt;""""))), LEN(INDEX(FILTER(E$1:E1006, E$1:E1006&lt;&gt;""""),COUNTA(FILTER(E$1:E1006, E$1:E1006&lt;&gt;""""))))-1), IF('To Order'!$A1007=COL"&amp;"UMNS($A1007:E1026), E1006&amp;RIGHT(INDIRECT(ADDRESS(ROW(E1007)-1, 'From Order'!$A1007)), 1), E1006))"),"")</f>
        <v/>
      </c>
      <c r="F1007" s="2" t="str">
        <f>IFERROR(__xludf.DUMMYFUNCTION("IF('From Order'!$A1007=COLUMNS($A1007:F1026), LEFT(INDEX(FILTER(F$1:F1006, F$1:F1006&lt;&gt;""""),COUNTA(FILTER(F$1:F1006, F$1:F1006&lt;&gt;""""))), LEN(INDEX(FILTER(F$1:F1006, F$1:F1006&lt;&gt;""""),COUNTA(FILTER(F$1:F1006, F$1:F1006&lt;&gt;""""))))-1), IF('To Order'!$A1007=COL"&amp;"UMNS($A1007:F1026), F1006&amp;RIGHT(INDIRECT(ADDRESS(ROW(F1007)-1, 'From Order'!$A1007)), 1), F1006))"),"FSLTTWRDTDBDBSBZHMFBT")</f>
        <v>FSLTTWRDTDBDBSBZHMFBT</v>
      </c>
      <c r="G1007" s="2" t="str">
        <f>IFERROR(__xludf.DUMMYFUNCTION("IF('From Order'!$A1007=COLUMNS($A1007:G1026), LEFT(INDEX(FILTER(G$1:G1006, G$1:G1006&lt;&gt;""""),COUNTA(FILTER(G$1:G1006, G$1:G1006&lt;&gt;""""))), LEN(INDEX(FILTER(G$1:G1006, G$1:G1006&lt;&gt;""""),COUNTA(FILTER(G$1:G1006, G$1:G1006&lt;&gt;""""))))-1), IF('To Order'!$A1007=COL"&amp;"UMNS($A1007:G1026), G1006&amp;RIGHT(INDIRECT(ADDRESS(ROW(G1007)-1, 'From Order'!$A1007)), 1), G1006))"),"RCTM")</f>
        <v>RCTM</v>
      </c>
      <c r="H1007" s="2" t="str">
        <f>IFERROR(__xludf.DUMMYFUNCTION("IF('From Order'!$A1007=COLUMNS($A1007:H1026), LEFT(INDEX(FILTER(H$1:H1006, H$1:H1006&lt;&gt;""""),COUNTA(FILTER(H$1:H1006, H$1:H1006&lt;&gt;""""))), LEN(INDEX(FILTER(H$1:H1006, H$1:H1006&lt;&gt;""""),COUNTA(FILTER(H$1:H1006, H$1:H1006&lt;&gt;""""))))-1), IF('To Order'!$A1007=COL"&amp;"UMNS($A1007:H1026), H1006&amp;RIGHT(INDIRECT(ADDRESS(ROW(H1007)-1, 'From Order'!$A1007)), 1), H1006))"),"PDSDJ")</f>
        <v>PDSDJ</v>
      </c>
      <c r="I1007" s="2" t="str">
        <f>IFERROR(__xludf.DUMMYFUNCTION("IF('From Order'!$A1007=COLUMNS($A1007:I1026), LEFT(INDEX(FILTER(I$1:I1006, I$1:I1006&lt;&gt;""""),COUNTA(FILTER(I$1:I1006, I$1:I1006&lt;&gt;""""))), LEN(INDEX(FILTER(I$1:I1006, I$1:I1006&lt;&gt;""""),COUNTA(FILTER(I$1:I1006, I$1:I1006&lt;&gt;""""))))-1), IF('To Order'!$A1007=COL"&amp;"UMNS($A1007:I1026), I1006&amp;RIGHT(INDIRECT(ADDRESS(ROW(I1007)-1, 'From Order'!$A1007)), 1), I1006))"),"")</f>
        <v/>
      </c>
    </row>
    <row r="1008">
      <c r="A1008" s="2" t="str">
        <f>IFERROR(__xludf.DUMMYFUNCTION("IF('From Order'!$A1008=COLUMNS($A1008:A1027), LEFT(INDEX(FILTER(A$1:A1007, A$1:A1007&lt;&gt;""""),COUNTA(FILTER(A$1:A1007, A$1:A1007&lt;&gt;""""))), LEN(INDEX(FILTER(A$1:A1007, A$1:A1007&lt;&gt;""""),COUNTA(FILTER(A$1:A1007, A$1:A1007&lt;&gt;""""))))-1), IF('To Order'!$A1008=COL"&amp;"UMNS($A1008:A1027), A1007&amp;RIGHT(INDIRECT(ADDRESS(ROW(A1008)-1, 'From Order'!$A1008)), 1), A1007))"),"LZM")</f>
        <v>LZM</v>
      </c>
      <c r="B1008" s="2" t="str">
        <f>IFERROR(__xludf.DUMMYFUNCTION("IF('From Order'!$A1008=COLUMNS($A1008:B1027), LEFT(INDEX(FILTER(B$1:B1007, B$1:B1007&lt;&gt;""""),COUNTA(FILTER(B$1:B1007, B$1:B1007&lt;&gt;""""))), LEN(INDEX(FILTER(B$1:B1007, B$1:B1007&lt;&gt;""""),COUNTA(FILTER(B$1:B1007, B$1:B1007&lt;&gt;""""))))-1), IF('To Order'!$A1008=COL"&amp;"UMNS($A1008:B1027), B1007&amp;RIGHT(INDIRECT(ADDRESS(ROW(B1008)-1, 'From Order'!$A1008)), 1), B1007))"),"")</f>
        <v/>
      </c>
      <c r="C1008" s="2" t="str">
        <f>IFERROR(__xludf.DUMMYFUNCTION("IF('From Order'!$A1008=COLUMNS($A1008:C1027), LEFT(INDEX(FILTER(C$1:C1007, C$1:C1007&lt;&gt;""""),COUNTA(FILTER(C$1:C1007, C$1:C1007&lt;&gt;""""))), LEN(INDEX(FILTER(C$1:C1007, C$1:C1007&lt;&gt;""""),COUNTA(FILTER(C$1:C1007, C$1:C1007&lt;&gt;""""))))-1), IF('To Order'!$A1008=COL"&amp;"UMNS($A1008:C1027), C1007&amp;RIGHT(INDIRECT(ADDRESS(ROW(C1008)-1, 'From Order'!$A1008)), 1), C1007))"),"TRLRSGHWQVQJPPVJCVZRDCGM")</f>
        <v>TRLRSGHWQVQJPPVJCVZRDCGM</v>
      </c>
      <c r="D1008" s="2" t="str">
        <f>IFERROR(__xludf.DUMMYFUNCTION("IF('From Order'!$A1008=COLUMNS($A1008:D1027), LEFT(INDEX(FILTER(D$1:D1007, D$1:D1007&lt;&gt;""""),COUNTA(FILTER(D$1:D1007, D$1:D1007&lt;&gt;""""))), LEN(INDEX(FILTER(D$1:D1007, D$1:D1007&lt;&gt;""""),COUNTA(FILTER(D$1:D1007, D$1:D1007&lt;&gt;""""))))-1), IF('To Order'!$A1008=COL"&amp;"UMNS($A1008:D1027), D1007&amp;RIGHT(INDIRECT(ADDRESS(ROW(D1008)-1, 'From Order'!$A1008)), 1), D1007))"),"")</f>
        <v/>
      </c>
      <c r="E1008" s="2" t="str">
        <f>IFERROR(__xludf.DUMMYFUNCTION("IF('From Order'!$A1008=COLUMNS($A1008:E1027), LEFT(INDEX(FILTER(E$1:E1007, E$1:E1007&lt;&gt;""""),COUNTA(FILTER(E$1:E1007, E$1:E1007&lt;&gt;""""))), LEN(INDEX(FILTER(E$1:E1007, E$1:E1007&lt;&gt;""""),COUNTA(FILTER(E$1:E1007, E$1:E1007&lt;&gt;""""))))-1), IF('To Order'!$A1008=COL"&amp;"UMNS($A1008:E1027), E1007&amp;RIGHT(INDIRECT(ADDRESS(ROW(E1008)-1, 'From Order'!$A1008)), 1), E1007))"),"")</f>
        <v/>
      </c>
      <c r="F1008" s="2" t="str">
        <f>IFERROR(__xludf.DUMMYFUNCTION("IF('From Order'!$A1008=COLUMNS($A1008:F1027), LEFT(INDEX(FILTER(F$1:F1007, F$1:F1007&lt;&gt;""""),COUNTA(FILTER(F$1:F1007, F$1:F1007&lt;&gt;""""))), LEN(INDEX(FILTER(F$1:F1007, F$1:F1007&lt;&gt;""""),COUNTA(FILTER(F$1:F1007, F$1:F1007&lt;&gt;""""))))-1), IF('To Order'!$A1008=COL"&amp;"UMNS($A1008:F1027), F1007&amp;RIGHT(INDIRECT(ADDRESS(ROW(F1008)-1, 'From Order'!$A1008)), 1), F1007))"),"FSLTTWRDTDBDBSBZHMFBT")</f>
        <v>FSLTTWRDTDBDBSBZHMFBT</v>
      </c>
      <c r="G1008" s="2" t="str">
        <f>IFERROR(__xludf.DUMMYFUNCTION("IF('From Order'!$A1008=COLUMNS($A1008:G1027), LEFT(INDEX(FILTER(G$1:G1007, G$1:G1007&lt;&gt;""""),COUNTA(FILTER(G$1:G1007, G$1:G1007&lt;&gt;""""))), LEN(INDEX(FILTER(G$1:G1007, G$1:G1007&lt;&gt;""""),COUNTA(FILTER(G$1:G1007, G$1:G1007&lt;&gt;""""))))-1), IF('To Order'!$A1008=COL"&amp;"UMNS($A1008:G1027), G1007&amp;RIGHT(INDIRECT(ADDRESS(ROW(G1008)-1, 'From Order'!$A1008)), 1), G1007))"),"RCT")</f>
        <v>RCT</v>
      </c>
      <c r="H1008" s="2" t="str">
        <f>IFERROR(__xludf.DUMMYFUNCTION("IF('From Order'!$A1008=COLUMNS($A1008:H1027), LEFT(INDEX(FILTER(H$1:H1007, H$1:H1007&lt;&gt;""""),COUNTA(FILTER(H$1:H1007, H$1:H1007&lt;&gt;""""))), LEN(INDEX(FILTER(H$1:H1007, H$1:H1007&lt;&gt;""""),COUNTA(FILTER(H$1:H1007, H$1:H1007&lt;&gt;""""))))-1), IF('To Order'!$A1008=COL"&amp;"UMNS($A1008:H1027), H1007&amp;RIGHT(INDIRECT(ADDRESS(ROW(H1008)-1, 'From Order'!$A1008)), 1), H1007))"),"PDSDJ")</f>
        <v>PDSDJ</v>
      </c>
      <c r="I1008" s="2" t="str">
        <f>IFERROR(__xludf.DUMMYFUNCTION("IF('From Order'!$A1008=COLUMNS($A1008:I1027), LEFT(INDEX(FILTER(I$1:I1007, I$1:I1007&lt;&gt;""""),COUNTA(FILTER(I$1:I1007, I$1:I1007&lt;&gt;""""))), LEN(INDEX(FILTER(I$1:I1007, I$1:I1007&lt;&gt;""""),COUNTA(FILTER(I$1:I1007, I$1:I1007&lt;&gt;""""))))-1), IF('To Order'!$A1008=COL"&amp;"UMNS($A1008:I1027), I1007&amp;RIGHT(INDIRECT(ADDRESS(ROW(I1008)-1, 'From Order'!$A1008)), 1), I1007))"),"")</f>
        <v/>
      </c>
    </row>
    <row r="1009">
      <c r="A1009" s="2" t="str">
        <f>IFERROR(__xludf.DUMMYFUNCTION("IF('From Order'!$A1009=COLUMNS($A1009:A1028), LEFT(INDEX(FILTER(A$1:A1008, A$1:A1008&lt;&gt;""""),COUNTA(FILTER(A$1:A1008, A$1:A1008&lt;&gt;""""))), LEN(INDEX(FILTER(A$1:A1008, A$1:A1008&lt;&gt;""""),COUNTA(FILTER(A$1:A1008, A$1:A1008&lt;&gt;""""))))-1), IF('To Order'!$A1009=COL"&amp;"UMNS($A1009:A1028), A1008&amp;RIGHT(INDIRECT(ADDRESS(ROW(A1009)-1, 'From Order'!$A1009)), 1), A1008))"),"LZMT")</f>
        <v>LZMT</v>
      </c>
      <c r="B1009" s="2" t="str">
        <f>IFERROR(__xludf.DUMMYFUNCTION("IF('From Order'!$A1009=COLUMNS($A1009:B1028), LEFT(INDEX(FILTER(B$1:B1008, B$1:B1008&lt;&gt;""""),COUNTA(FILTER(B$1:B1008, B$1:B1008&lt;&gt;""""))), LEN(INDEX(FILTER(B$1:B1008, B$1:B1008&lt;&gt;""""),COUNTA(FILTER(B$1:B1008, B$1:B1008&lt;&gt;""""))))-1), IF('To Order'!$A1009=COL"&amp;"UMNS($A1009:B1028), B1008&amp;RIGHT(INDIRECT(ADDRESS(ROW(B1009)-1, 'From Order'!$A1009)), 1), B1008))"),"")</f>
        <v/>
      </c>
      <c r="C1009" s="2" t="str">
        <f>IFERROR(__xludf.DUMMYFUNCTION("IF('From Order'!$A1009=COLUMNS($A1009:C1028), LEFT(INDEX(FILTER(C$1:C1008, C$1:C1008&lt;&gt;""""),COUNTA(FILTER(C$1:C1008, C$1:C1008&lt;&gt;""""))), LEN(INDEX(FILTER(C$1:C1008, C$1:C1008&lt;&gt;""""),COUNTA(FILTER(C$1:C1008, C$1:C1008&lt;&gt;""""))))-1), IF('To Order'!$A1009=COL"&amp;"UMNS($A1009:C1028), C1008&amp;RIGHT(INDIRECT(ADDRESS(ROW(C1009)-1, 'From Order'!$A1009)), 1), C1008))"),"TRLRSGHWQVQJPPVJCVZRDCGM")</f>
        <v>TRLRSGHWQVQJPPVJCVZRDCGM</v>
      </c>
      <c r="D1009" s="2" t="str">
        <f>IFERROR(__xludf.DUMMYFUNCTION("IF('From Order'!$A1009=COLUMNS($A1009:D1028), LEFT(INDEX(FILTER(D$1:D1008, D$1:D1008&lt;&gt;""""),COUNTA(FILTER(D$1:D1008, D$1:D1008&lt;&gt;""""))), LEN(INDEX(FILTER(D$1:D1008, D$1:D1008&lt;&gt;""""),COUNTA(FILTER(D$1:D1008, D$1:D1008&lt;&gt;""""))))-1), IF('To Order'!$A1009=COL"&amp;"UMNS($A1009:D1028), D1008&amp;RIGHT(INDIRECT(ADDRESS(ROW(D1009)-1, 'From Order'!$A1009)), 1), D1008))"),"")</f>
        <v/>
      </c>
      <c r="E1009" s="2" t="str">
        <f>IFERROR(__xludf.DUMMYFUNCTION("IF('From Order'!$A1009=COLUMNS($A1009:E1028), LEFT(INDEX(FILTER(E$1:E1008, E$1:E1008&lt;&gt;""""),COUNTA(FILTER(E$1:E1008, E$1:E1008&lt;&gt;""""))), LEN(INDEX(FILTER(E$1:E1008, E$1:E1008&lt;&gt;""""),COUNTA(FILTER(E$1:E1008, E$1:E1008&lt;&gt;""""))))-1), IF('To Order'!$A1009=COL"&amp;"UMNS($A1009:E1028), E1008&amp;RIGHT(INDIRECT(ADDRESS(ROW(E1009)-1, 'From Order'!$A1009)), 1), E1008))"),"")</f>
        <v/>
      </c>
      <c r="F1009" s="2" t="str">
        <f>IFERROR(__xludf.DUMMYFUNCTION("IF('From Order'!$A1009=COLUMNS($A1009:F1028), LEFT(INDEX(FILTER(F$1:F1008, F$1:F1008&lt;&gt;""""),COUNTA(FILTER(F$1:F1008, F$1:F1008&lt;&gt;""""))), LEN(INDEX(FILTER(F$1:F1008, F$1:F1008&lt;&gt;""""),COUNTA(FILTER(F$1:F1008, F$1:F1008&lt;&gt;""""))))-1), IF('To Order'!$A1009=COL"&amp;"UMNS($A1009:F1028), F1008&amp;RIGHT(INDIRECT(ADDRESS(ROW(F1009)-1, 'From Order'!$A1009)), 1), F1008))"),"FSLTTWRDTDBDBSBZHMFBT")</f>
        <v>FSLTTWRDTDBDBSBZHMFBT</v>
      </c>
      <c r="G1009" s="2" t="str">
        <f>IFERROR(__xludf.DUMMYFUNCTION("IF('From Order'!$A1009=COLUMNS($A1009:G1028), LEFT(INDEX(FILTER(G$1:G1008, G$1:G1008&lt;&gt;""""),COUNTA(FILTER(G$1:G1008, G$1:G1008&lt;&gt;""""))), LEN(INDEX(FILTER(G$1:G1008, G$1:G1008&lt;&gt;""""),COUNTA(FILTER(G$1:G1008, G$1:G1008&lt;&gt;""""))))-1), IF('To Order'!$A1009=COL"&amp;"UMNS($A1009:G1028), G1008&amp;RIGHT(INDIRECT(ADDRESS(ROW(G1009)-1, 'From Order'!$A1009)), 1), G1008))"),"RC")</f>
        <v>RC</v>
      </c>
      <c r="H1009" s="2" t="str">
        <f>IFERROR(__xludf.DUMMYFUNCTION("IF('From Order'!$A1009=COLUMNS($A1009:H1028), LEFT(INDEX(FILTER(H$1:H1008, H$1:H1008&lt;&gt;""""),COUNTA(FILTER(H$1:H1008, H$1:H1008&lt;&gt;""""))), LEN(INDEX(FILTER(H$1:H1008, H$1:H1008&lt;&gt;""""),COUNTA(FILTER(H$1:H1008, H$1:H1008&lt;&gt;""""))))-1), IF('To Order'!$A1009=COL"&amp;"UMNS($A1009:H1028), H1008&amp;RIGHT(INDIRECT(ADDRESS(ROW(H1009)-1, 'From Order'!$A1009)), 1), H1008))"),"PDSDJ")</f>
        <v>PDSDJ</v>
      </c>
      <c r="I1009" s="2" t="str">
        <f>IFERROR(__xludf.DUMMYFUNCTION("IF('From Order'!$A1009=COLUMNS($A1009:I1028), LEFT(INDEX(FILTER(I$1:I1008, I$1:I1008&lt;&gt;""""),COUNTA(FILTER(I$1:I1008, I$1:I1008&lt;&gt;""""))), LEN(INDEX(FILTER(I$1:I1008, I$1:I1008&lt;&gt;""""),COUNTA(FILTER(I$1:I1008, I$1:I1008&lt;&gt;""""))))-1), IF('To Order'!$A1009=COL"&amp;"UMNS($A1009:I1028), I1008&amp;RIGHT(INDIRECT(ADDRESS(ROW(I1009)-1, 'From Order'!$A1009)), 1), I1008))"),"")</f>
        <v/>
      </c>
    </row>
    <row r="1010">
      <c r="A1010" s="2" t="str">
        <f>IFERROR(__xludf.DUMMYFUNCTION("IF('From Order'!$A1010=COLUMNS($A1010:A1029), LEFT(INDEX(FILTER(A$1:A1009, A$1:A1009&lt;&gt;""""),COUNTA(FILTER(A$1:A1009, A$1:A1009&lt;&gt;""""))), LEN(INDEX(FILTER(A$1:A1009, A$1:A1009&lt;&gt;""""),COUNTA(FILTER(A$1:A1009, A$1:A1009&lt;&gt;""""))))-1), IF('To Order'!$A1010=COL"&amp;"UMNS($A1010:A1029), A1009&amp;RIGHT(INDIRECT(ADDRESS(ROW(A1010)-1, 'From Order'!$A1010)), 1), A1009))"),"LZMTC")</f>
        <v>LZMTC</v>
      </c>
      <c r="B1010" s="2" t="str">
        <f>IFERROR(__xludf.DUMMYFUNCTION("IF('From Order'!$A1010=COLUMNS($A1010:B1029), LEFT(INDEX(FILTER(B$1:B1009, B$1:B1009&lt;&gt;""""),COUNTA(FILTER(B$1:B1009, B$1:B1009&lt;&gt;""""))), LEN(INDEX(FILTER(B$1:B1009, B$1:B1009&lt;&gt;""""),COUNTA(FILTER(B$1:B1009, B$1:B1009&lt;&gt;""""))))-1), IF('To Order'!$A1010=COL"&amp;"UMNS($A1010:B1029), B1009&amp;RIGHT(INDIRECT(ADDRESS(ROW(B1010)-1, 'From Order'!$A1010)), 1), B1009))"),"")</f>
        <v/>
      </c>
      <c r="C1010" s="2" t="str">
        <f>IFERROR(__xludf.DUMMYFUNCTION("IF('From Order'!$A1010=COLUMNS($A1010:C1029), LEFT(INDEX(FILTER(C$1:C1009, C$1:C1009&lt;&gt;""""),COUNTA(FILTER(C$1:C1009, C$1:C1009&lt;&gt;""""))), LEN(INDEX(FILTER(C$1:C1009, C$1:C1009&lt;&gt;""""),COUNTA(FILTER(C$1:C1009, C$1:C1009&lt;&gt;""""))))-1), IF('To Order'!$A1010=COL"&amp;"UMNS($A1010:C1029), C1009&amp;RIGHT(INDIRECT(ADDRESS(ROW(C1010)-1, 'From Order'!$A1010)), 1), C1009))"),"TRLRSGHWQVQJPPVJCVZRDCGM")</f>
        <v>TRLRSGHWQVQJPPVJCVZRDCGM</v>
      </c>
      <c r="D1010" s="2" t="str">
        <f>IFERROR(__xludf.DUMMYFUNCTION("IF('From Order'!$A1010=COLUMNS($A1010:D1029), LEFT(INDEX(FILTER(D$1:D1009, D$1:D1009&lt;&gt;""""),COUNTA(FILTER(D$1:D1009, D$1:D1009&lt;&gt;""""))), LEN(INDEX(FILTER(D$1:D1009, D$1:D1009&lt;&gt;""""),COUNTA(FILTER(D$1:D1009, D$1:D1009&lt;&gt;""""))))-1), IF('To Order'!$A1010=COL"&amp;"UMNS($A1010:D1029), D1009&amp;RIGHT(INDIRECT(ADDRESS(ROW(D1010)-1, 'From Order'!$A1010)), 1), D1009))"),"")</f>
        <v/>
      </c>
      <c r="E1010" s="2" t="str">
        <f>IFERROR(__xludf.DUMMYFUNCTION("IF('From Order'!$A1010=COLUMNS($A1010:E1029), LEFT(INDEX(FILTER(E$1:E1009, E$1:E1009&lt;&gt;""""),COUNTA(FILTER(E$1:E1009, E$1:E1009&lt;&gt;""""))), LEN(INDEX(FILTER(E$1:E1009, E$1:E1009&lt;&gt;""""),COUNTA(FILTER(E$1:E1009, E$1:E1009&lt;&gt;""""))))-1), IF('To Order'!$A1010=COL"&amp;"UMNS($A1010:E1029), E1009&amp;RIGHT(INDIRECT(ADDRESS(ROW(E1010)-1, 'From Order'!$A1010)), 1), E1009))"),"")</f>
        <v/>
      </c>
      <c r="F1010" s="2" t="str">
        <f>IFERROR(__xludf.DUMMYFUNCTION("IF('From Order'!$A1010=COLUMNS($A1010:F1029), LEFT(INDEX(FILTER(F$1:F1009, F$1:F1009&lt;&gt;""""),COUNTA(FILTER(F$1:F1009, F$1:F1009&lt;&gt;""""))), LEN(INDEX(FILTER(F$1:F1009, F$1:F1009&lt;&gt;""""),COUNTA(FILTER(F$1:F1009, F$1:F1009&lt;&gt;""""))))-1), IF('To Order'!$A1010=COL"&amp;"UMNS($A1010:F1029), F1009&amp;RIGHT(INDIRECT(ADDRESS(ROW(F1010)-1, 'From Order'!$A1010)), 1), F1009))"),"FSLTTWRDTDBDBSBZHMFBT")</f>
        <v>FSLTTWRDTDBDBSBZHMFBT</v>
      </c>
      <c r="G1010" s="2" t="str">
        <f>IFERROR(__xludf.DUMMYFUNCTION("IF('From Order'!$A1010=COLUMNS($A1010:G1029), LEFT(INDEX(FILTER(G$1:G1009, G$1:G1009&lt;&gt;""""),COUNTA(FILTER(G$1:G1009, G$1:G1009&lt;&gt;""""))), LEN(INDEX(FILTER(G$1:G1009, G$1:G1009&lt;&gt;""""),COUNTA(FILTER(G$1:G1009, G$1:G1009&lt;&gt;""""))))-1), IF('To Order'!$A1010=COL"&amp;"UMNS($A1010:G1029), G1009&amp;RIGHT(INDIRECT(ADDRESS(ROW(G1010)-1, 'From Order'!$A1010)), 1), G1009))"),"R")</f>
        <v>R</v>
      </c>
      <c r="H1010" s="2" t="str">
        <f>IFERROR(__xludf.DUMMYFUNCTION("IF('From Order'!$A1010=COLUMNS($A1010:H1029), LEFT(INDEX(FILTER(H$1:H1009, H$1:H1009&lt;&gt;""""),COUNTA(FILTER(H$1:H1009, H$1:H1009&lt;&gt;""""))), LEN(INDEX(FILTER(H$1:H1009, H$1:H1009&lt;&gt;""""),COUNTA(FILTER(H$1:H1009, H$1:H1009&lt;&gt;""""))))-1), IF('To Order'!$A1010=COL"&amp;"UMNS($A1010:H1029), H1009&amp;RIGHT(INDIRECT(ADDRESS(ROW(H1010)-1, 'From Order'!$A1010)), 1), H1009))"),"PDSDJ")</f>
        <v>PDSDJ</v>
      </c>
      <c r="I1010" s="2" t="str">
        <f>IFERROR(__xludf.DUMMYFUNCTION("IF('From Order'!$A1010=COLUMNS($A1010:I1029), LEFT(INDEX(FILTER(I$1:I1009, I$1:I1009&lt;&gt;""""),COUNTA(FILTER(I$1:I1009, I$1:I1009&lt;&gt;""""))), LEN(INDEX(FILTER(I$1:I1009, I$1:I1009&lt;&gt;""""),COUNTA(FILTER(I$1:I1009, I$1:I1009&lt;&gt;""""))))-1), IF('To Order'!$A1010=COL"&amp;"UMNS($A1010:I1029), I1009&amp;RIGHT(INDIRECT(ADDRESS(ROW(I1010)-1, 'From Order'!$A1010)), 1), I1009))"),"")</f>
        <v/>
      </c>
    </row>
    <row r="1011">
      <c r="A1011" s="2" t="str">
        <f>IFERROR(__xludf.DUMMYFUNCTION("IF('From Order'!$A1011=COLUMNS($A1011:A1030), LEFT(INDEX(FILTER(A$1:A1010, A$1:A1010&lt;&gt;""""),COUNTA(FILTER(A$1:A1010, A$1:A1010&lt;&gt;""""))), LEN(INDEX(FILTER(A$1:A1010, A$1:A1010&lt;&gt;""""),COUNTA(FILTER(A$1:A1010, A$1:A1010&lt;&gt;""""))))-1), IF('To Order'!$A1011=COL"&amp;"UMNS($A1011:A1030), A1010&amp;RIGHT(INDIRECT(ADDRESS(ROW(A1011)-1, 'From Order'!$A1011)), 1), A1010))"),"LZMTCR")</f>
        <v>LZMTCR</v>
      </c>
      <c r="B1011" s="2" t="str">
        <f>IFERROR(__xludf.DUMMYFUNCTION("IF('From Order'!$A1011=COLUMNS($A1011:B1030), LEFT(INDEX(FILTER(B$1:B1010, B$1:B1010&lt;&gt;""""),COUNTA(FILTER(B$1:B1010, B$1:B1010&lt;&gt;""""))), LEN(INDEX(FILTER(B$1:B1010, B$1:B1010&lt;&gt;""""),COUNTA(FILTER(B$1:B1010, B$1:B1010&lt;&gt;""""))))-1), IF('To Order'!$A1011=COL"&amp;"UMNS($A1011:B1030), B1010&amp;RIGHT(INDIRECT(ADDRESS(ROW(B1011)-1, 'From Order'!$A1011)), 1), B1010))"),"")</f>
        <v/>
      </c>
      <c r="C1011" s="2" t="str">
        <f>IFERROR(__xludf.DUMMYFUNCTION("IF('From Order'!$A1011=COLUMNS($A1011:C1030), LEFT(INDEX(FILTER(C$1:C1010, C$1:C1010&lt;&gt;""""),COUNTA(FILTER(C$1:C1010, C$1:C1010&lt;&gt;""""))), LEN(INDEX(FILTER(C$1:C1010, C$1:C1010&lt;&gt;""""),COUNTA(FILTER(C$1:C1010, C$1:C1010&lt;&gt;""""))))-1), IF('To Order'!$A1011=COL"&amp;"UMNS($A1011:C1030), C1010&amp;RIGHT(INDIRECT(ADDRESS(ROW(C1011)-1, 'From Order'!$A1011)), 1), C1010))"),"TRLRSGHWQVQJPPVJCVZRDCGM")</f>
        <v>TRLRSGHWQVQJPPVJCVZRDCGM</v>
      </c>
      <c r="D1011" s="2" t="str">
        <f>IFERROR(__xludf.DUMMYFUNCTION("IF('From Order'!$A1011=COLUMNS($A1011:D1030), LEFT(INDEX(FILTER(D$1:D1010, D$1:D1010&lt;&gt;""""),COUNTA(FILTER(D$1:D1010, D$1:D1010&lt;&gt;""""))), LEN(INDEX(FILTER(D$1:D1010, D$1:D1010&lt;&gt;""""),COUNTA(FILTER(D$1:D1010, D$1:D1010&lt;&gt;""""))))-1), IF('To Order'!$A1011=COL"&amp;"UMNS($A1011:D1030), D1010&amp;RIGHT(INDIRECT(ADDRESS(ROW(D1011)-1, 'From Order'!$A1011)), 1), D1010))"),"")</f>
        <v/>
      </c>
      <c r="E1011" s="2" t="str">
        <f>IFERROR(__xludf.DUMMYFUNCTION("IF('From Order'!$A1011=COLUMNS($A1011:E1030), LEFT(INDEX(FILTER(E$1:E1010, E$1:E1010&lt;&gt;""""),COUNTA(FILTER(E$1:E1010, E$1:E1010&lt;&gt;""""))), LEN(INDEX(FILTER(E$1:E1010, E$1:E1010&lt;&gt;""""),COUNTA(FILTER(E$1:E1010, E$1:E1010&lt;&gt;""""))))-1), IF('To Order'!$A1011=COL"&amp;"UMNS($A1011:E1030), E1010&amp;RIGHT(INDIRECT(ADDRESS(ROW(E1011)-1, 'From Order'!$A1011)), 1), E1010))"),"")</f>
        <v/>
      </c>
      <c r="F1011" s="2" t="str">
        <f>IFERROR(__xludf.DUMMYFUNCTION("IF('From Order'!$A1011=COLUMNS($A1011:F1030), LEFT(INDEX(FILTER(F$1:F1010, F$1:F1010&lt;&gt;""""),COUNTA(FILTER(F$1:F1010, F$1:F1010&lt;&gt;""""))), LEN(INDEX(FILTER(F$1:F1010, F$1:F1010&lt;&gt;""""),COUNTA(FILTER(F$1:F1010, F$1:F1010&lt;&gt;""""))))-1), IF('To Order'!$A1011=COL"&amp;"UMNS($A1011:F1030), F1010&amp;RIGHT(INDIRECT(ADDRESS(ROW(F1011)-1, 'From Order'!$A1011)), 1), F1010))"),"FSLTTWRDTDBDBSBZHMFBT")</f>
        <v>FSLTTWRDTDBDBSBZHMFBT</v>
      </c>
      <c r="G1011" s="2" t="str">
        <f>IFERROR(__xludf.DUMMYFUNCTION("IF('From Order'!$A1011=COLUMNS($A1011:G1030), LEFT(INDEX(FILTER(G$1:G1010, G$1:G1010&lt;&gt;""""),COUNTA(FILTER(G$1:G1010, G$1:G1010&lt;&gt;""""))), LEN(INDEX(FILTER(G$1:G1010, G$1:G1010&lt;&gt;""""),COUNTA(FILTER(G$1:G1010, G$1:G1010&lt;&gt;""""))))-1), IF('To Order'!$A1011=COL"&amp;"UMNS($A1011:G1030), G1010&amp;RIGHT(INDIRECT(ADDRESS(ROW(G1011)-1, 'From Order'!$A1011)), 1), G1010))"),"")</f>
        <v/>
      </c>
      <c r="H1011" s="2" t="str">
        <f>IFERROR(__xludf.DUMMYFUNCTION("IF('From Order'!$A1011=COLUMNS($A1011:H1030), LEFT(INDEX(FILTER(H$1:H1010, H$1:H1010&lt;&gt;""""),COUNTA(FILTER(H$1:H1010, H$1:H1010&lt;&gt;""""))), LEN(INDEX(FILTER(H$1:H1010, H$1:H1010&lt;&gt;""""),COUNTA(FILTER(H$1:H1010, H$1:H1010&lt;&gt;""""))))-1), IF('To Order'!$A1011=COL"&amp;"UMNS($A1011:H1030), H1010&amp;RIGHT(INDIRECT(ADDRESS(ROW(H1011)-1, 'From Order'!$A1011)), 1), H1010))"),"PDSDJ")</f>
        <v>PDSDJ</v>
      </c>
      <c r="I1011" s="2" t="str">
        <f>IFERROR(__xludf.DUMMYFUNCTION("IF('From Order'!$A1011=COLUMNS($A1011:I1030), LEFT(INDEX(FILTER(I$1:I1010, I$1:I1010&lt;&gt;""""),COUNTA(FILTER(I$1:I1010, I$1:I1010&lt;&gt;""""))), LEN(INDEX(FILTER(I$1:I1010, I$1:I1010&lt;&gt;""""),COUNTA(FILTER(I$1:I1010, I$1:I1010&lt;&gt;""""))))-1), IF('To Order'!$A1011=COL"&amp;"UMNS($A1011:I1030), I1010&amp;RIGHT(INDIRECT(ADDRESS(ROW(I1011)-1, 'From Order'!$A1011)), 1), I1010))"),"")</f>
        <v/>
      </c>
    </row>
    <row r="1012">
      <c r="A1012" s="2" t="str">
        <f>IFERROR(__xludf.DUMMYFUNCTION("IF('From Order'!$A1012=COLUMNS($A1012:A1031), LEFT(INDEX(FILTER(A$1:A1011, A$1:A1011&lt;&gt;""""),COUNTA(FILTER(A$1:A1011, A$1:A1011&lt;&gt;""""))), LEN(INDEX(FILTER(A$1:A1011, A$1:A1011&lt;&gt;""""),COUNTA(FILTER(A$1:A1011, A$1:A1011&lt;&gt;""""))))-1), IF('To Order'!$A1012=COL"&amp;"UMNS($A1012:A1031), A1011&amp;RIGHT(INDIRECT(ADDRESS(ROW(A1012)-1, 'From Order'!$A1012)), 1), A1011))"),"LZMTCR")</f>
        <v>LZMTCR</v>
      </c>
      <c r="B1012" s="2" t="str">
        <f>IFERROR(__xludf.DUMMYFUNCTION("IF('From Order'!$A1012=COLUMNS($A1012:B1031), LEFT(INDEX(FILTER(B$1:B1011, B$1:B1011&lt;&gt;""""),COUNTA(FILTER(B$1:B1011, B$1:B1011&lt;&gt;""""))), LEN(INDEX(FILTER(B$1:B1011, B$1:B1011&lt;&gt;""""),COUNTA(FILTER(B$1:B1011, B$1:B1011&lt;&gt;""""))))-1), IF('To Order'!$A1012=COL"&amp;"UMNS($A1012:B1031), B1011&amp;RIGHT(INDIRECT(ADDRESS(ROW(B1012)-1, 'From Order'!$A1012)), 1), B1011))"),"")</f>
        <v/>
      </c>
      <c r="C1012" s="2" t="str">
        <f>IFERROR(__xludf.DUMMYFUNCTION("IF('From Order'!$A1012=COLUMNS($A1012:C1031), LEFT(INDEX(FILTER(C$1:C1011, C$1:C1011&lt;&gt;""""),COUNTA(FILTER(C$1:C1011, C$1:C1011&lt;&gt;""""))), LEN(INDEX(FILTER(C$1:C1011, C$1:C1011&lt;&gt;""""),COUNTA(FILTER(C$1:C1011, C$1:C1011&lt;&gt;""""))))-1), IF('To Order'!$A1012=COL"&amp;"UMNS($A1012:C1031), C1011&amp;RIGHT(INDIRECT(ADDRESS(ROW(C1012)-1, 'From Order'!$A1012)), 1), C1011))"),"TRLRSGHWQVQJPPVJCVZRDCGMT")</f>
        <v>TRLRSGHWQVQJPPVJCVZRDCGMT</v>
      </c>
      <c r="D1012" s="2" t="str">
        <f>IFERROR(__xludf.DUMMYFUNCTION("IF('From Order'!$A1012=COLUMNS($A1012:D1031), LEFT(INDEX(FILTER(D$1:D1011, D$1:D1011&lt;&gt;""""),COUNTA(FILTER(D$1:D1011, D$1:D1011&lt;&gt;""""))), LEN(INDEX(FILTER(D$1:D1011, D$1:D1011&lt;&gt;""""),COUNTA(FILTER(D$1:D1011, D$1:D1011&lt;&gt;""""))))-1), IF('To Order'!$A1012=COL"&amp;"UMNS($A1012:D1031), D1011&amp;RIGHT(INDIRECT(ADDRESS(ROW(D1012)-1, 'From Order'!$A1012)), 1), D1011))"),"")</f>
        <v/>
      </c>
      <c r="E1012" s="2" t="str">
        <f>IFERROR(__xludf.DUMMYFUNCTION("IF('From Order'!$A1012=COLUMNS($A1012:E1031), LEFT(INDEX(FILTER(E$1:E1011, E$1:E1011&lt;&gt;""""),COUNTA(FILTER(E$1:E1011, E$1:E1011&lt;&gt;""""))), LEN(INDEX(FILTER(E$1:E1011, E$1:E1011&lt;&gt;""""),COUNTA(FILTER(E$1:E1011, E$1:E1011&lt;&gt;""""))))-1), IF('To Order'!$A1012=COL"&amp;"UMNS($A1012:E1031), E1011&amp;RIGHT(INDIRECT(ADDRESS(ROW(E1012)-1, 'From Order'!$A1012)), 1), E1011))"),"")</f>
        <v/>
      </c>
      <c r="F1012" s="2" t="str">
        <f>IFERROR(__xludf.DUMMYFUNCTION("IF('From Order'!$A1012=COLUMNS($A1012:F1031), LEFT(INDEX(FILTER(F$1:F1011, F$1:F1011&lt;&gt;""""),COUNTA(FILTER(F$1:F1011, F$1:F1011&lt;&gt;""""))), LEN(INDEX(FILTER(F$1:F1011, F$1:F1011&lt;&gt;""""),COUNTA(FILTER(F$1:F1011, F$1:F1011&lt;&gt;""""))))-1), IF('To Order'!$A1012=COL"&amp;"UMNS($A1012:F1031), F1011&amp;RIGHT(INDIRECT(ADDRESS(ROW(F1012)-1, 'From Order'!$A1012)), 1), F1011))"),"FSLTTWRDTDBDBSBZHMFB")</f>
        <v>FSLTTWRDTDBDBSBZHMFB</v>
      </c>
      <c r="G1012" s="2" t="str">
        <f>IFERROR(__xludf.DUMMYFUNCTION("IF('From Order'!$A1012=COLUMNS($A1012:G1031), LEFT(INDEX(FILTER(G$1:G1011, G$1:G1011&lt;&gt;""""),COUNTA(FILTER(G$1:G1011, G$1:G1011&lt;&gt;""""))), LEN(INDEX(FILTER(G$1:G1011, G$1:G1011&lt;&gt;""""),COUNTA(FILTER(G$1:G1011, G$1:G1011&lt;&gt;""""))))-1), IF('To Order'!$A1012=COL"&amp;"UMNS($A1012:G1031), G1011&amp;RIGHT(INDIRECT(ADDRESS(ROW(G1012)-1, 'From Order'!$A1012)), 1), G1011))"),"")</f>
        <v/>
      </c>
      <c r="H1012" s="2" t="str">
        <f>IFERROR(__xludf.DUMMYFUNCTION("IF('From Order'!$A1012=COLUMNS($A1012:H1031), LEFT(INDEX(FILTER(H$1:H1011, H$1:H1011&lt;&gt;""""),COUNTA(FILTER(H$1:H1011, H$1:H1011&lt;&gt;""""))), LEN(INDEX(FILTER(H$1:H1011, H$1:H1011&lt;&gt;""""),COUNTA(FILTER(H$1:H1011, H$1:H1011&lt;&gt;""""))))-1), IF('To Order'!$A1012=COL"&amp;"UMNS($A1012:H1031), H1011&amp;RIGHT(INDIRECT(ADDRESS(ROW(H1012)-1, 'From Order'!$A1012)), 1), H1011))"),"PDSDJ")</f>
        <v>PDSDJ</v>
      </c>
      <c r="I1012" s="2" t="str">
        <f>IFERROR(__xludf.DUMMYFUNCTION("IF('From Order'!$A1012=COLUMNS($A1012:I1031), LEFT(INDEX(FILTER(I$1:I1011, I$1:I1011&lt;&gt;""""),COUNTA(FILTER(I$1:I1011, I$1:I1011&lt;&gt;""""))), LEN(INDEX(FILTER(I$1:I1011, I$1:I1011&lt;&gt;""""),COUNTA(FILTER(I$1:I1011, I$1:I1011&lt;&gt;""""))))-1), IF('To Order'!$A1012=COL"&amp;"UMNS($A1012:I1031), I1011&amp;RIGHT(INDIRECT(ADDRESS(ROW(I1012)-1, 'From Order'!$A1012)), 1), I1011))"),"")</f>
        <v/>
      </c>
    </row>
    <row r="1013">
      <c r="A1013" s="2" t="str">
        <f>IFERROR(__xludf.DUMMYFUNCTION("IF('From Order'!$A1013=COLUMNS($A1013:A1032), LEFT(INDEX(FILTER(A$1:A1012, A$1:A1012&lt;&gt;""""),COUNTA(FILTER(A$1:A1012, A$1:A1012&lt;&gt;""""))), LEN(INDEX(FILTER(A$1:A1012, A$1:A1012&lt;&gt;""""),COUNTA(FILTER(A$1:A1012, A$1:A1012&lt;&gt;""""))))-1), IF('To Order'!$A1013=COL"&amp;"UMNS($A1013:A1032), A1012&amp;RIGHT(INDIRECT(ADDRESS(ROW(A1013)-1, 'From Order'!$A1013)), 1), A1012))"),"LZMTCR")</f>
        <v>LZMTCR</v>
      </c>
      <c r="B1013" s="2" t="str">
        <f>IFERROR(__xludf.DUMMYFUNCTION("IF('From Order'!$A1013=COLUMNS($A1013:B1032), LEFT(INDEX(FILTER(B$1:B1012, B$1:B1012&lt;&gt;""""),COUNTA(FILTER(B$1:B1012, B$1:B1012&lt;&gt;""""))), LEN(INDEX(FILTER(B$1:B1012, B$1:B1012&lt;&gt;""""),COUNTA(FILTER(B$1:B1012, B$1:B1012&lt;&gt;""""))))-1), IF('To Order'!$A1013=COL"&amp;"UMNS($A1013:B1032), B1012&amp;RIGHT(INDIRECT(ADDRESS(ROW(B1013)-1, 'From Order'!$A1013)), 1), B1012))"),"")</f>
        <v/>
      </c>
      <c r="C1013" s="2" t="str">
        <f>IFERROR(__xludf.DUMMYFUNCTION("IF('From Order'!$A1013=COLUMNS($A1013:C1032), LEFT(INDEX(FILTER(C$1:C1012, C$1:C1012&lt;&gt;""""),COUNTA(FILTER(C$1:C1012, C$1:C1012&lt;&gt;""""))), LEN(INDEX(FILTER(C$1:C1012, C$1:C1012&lt;&gt;""""),COUNTA(FILTER(C$1:C1012, C$1:C1012&lt;&gt;""""))))-1), IF('To Order'!$A1013=COL"&amp;"UMNS($A1013:C1032), C1012&amp;RIGHT(INDIRECT(ADDRESS(ROW(C1013)-1, 'From Order'!$A1013)), 1), C1012))"),"TRLRSGHWQVQJPPVJCVZRDCGMTB")</f>
        <v>TRLRSGHWQVQJPPVJCVZRDCGMTB</v>
      </c>
      <c r="D1013" s="2" t="str">
        <f>IFERROR(__xludf.DUMMYFUNCTION("IF('From Order'!$A1013=COLUMNS($A1013:D1032), LEFT(INDEX(FILTER(D$1:D1012, D$1:D1012&lt;&gt;""""),COUNTA(FILTER(D$1:D1012, D$1:D1012&lt;&gt;""""))), LEN(INDEX(FILTER(D$1:D1012, D$1:D1012&lt;&gt;""""),COUNTA(FILTER(D$1:D1012, D$1:D1012&lt;&gt;""""))))-1), IF('To Order'!$A1013=COL"&amp;"UMNS($A1013:D1032), D1012&amp;RIGHT(INDIRECT(ADDRESS(ROW(D1013)-1, 'From Order'!$A1013)), 1), D1012))"),"")</f>
        <v/>
      </c>
      <c r="E1013" s="2" t="str">
        <f>IFERROR(__xludf.DUMMYFUNCTION("IF('From Order'!$A1013=COLUMNS($A1013:E1032), LEFT(INDEX(FILTER(E$1:E1012, E$1:E1012&lt;&gt;""""),COUNTA(FILTER(E$1:E1012, E$1:E1012&lt;&gt;""""))), LEN(INDEX(FILTER(E$1:E1012, E$1:E1012&lt;&gt;""""),COUNTA(FILTER(E$1:E1012, E$1:E1012&lt;&gt;""""))))-1), IF('To Order'!$A1013=COL"&amp;"UMNS($A1013:E1032), E1012&amp;RIGHT(INDIRECT(ADDRESS(ROW(E1013)-1, 'From Order'!$A1013)), 1), E1012))"),"")</f>
        <v/>
      </c>
      <c r="F1013" s="2" t="str">
        <f>IFERROR(__xludf.DUMMYFUNCTION("IF('From Order'!$A1013=COLUMNS($A1013:F1032), LEFT(INDEX(FILTER(F$1:F1012, F$1:F1012&lt;&gt;""""),COUNTA(FILTER(F$1:F1012, F$1:F1012&lt;&gt;""""))), LEN(INDEX(FILTER(F$1:F1012, F$1:F1012&lt;&gt;""""),COUNTA(FILTER(F$1:F1012, F$1:F1012&lt;&gt;""""))))-1), IF('To Order'!$A1013=COL"&amp;"UMNS($A1013:F1032), F1012&amp;RIGHT(INDIRECT(ADDRESS(ROW(F1013)-1, 'From Order'!$A1013)), 1), F1012))"),"FSLTTWRDTDBDBSBZHMF")</f>
        <v>FSLTTWRDTDBDBSBZHMF</v>
      </c>
      <c r="G1013" s="2" t="str">
        <f>IFERROR(__xludf.DUMMYFUNCTION("IF('From Order'!$A1013=COLUMNS($A1013:G1032), LEFT(INDEX(FILTER(G$1:G1012, G$1:G1012&lt;&gt;""""),COUNTA(FILTER(G$1:G1012, G$1:G1012&lt;&gt;""""))), LEN(INDEX(FILTER(G$1:G1012, G$1:G1012&lt;&gt;""""),COUNTA(FILTER(G$1:G1012, G$1:G1012&lt;&gt;""""))))-1), IF('To Order'!$A1013=COL"&amp;"UMNS($A1013:G1032), G1012&amp;RIGHT(INDIRECT(ADDRESS(ROW(G1013)-1, 'From Order'!$A1013)), 1), G1012))"),"")</f>
        <v/>
      </c>
      <c r="H1013" s="2" t="str">
        <f>IFERROR(__xludf.DUMMYFUNCTION("IF('From Order'!$A1013=COLUMNS($A1013:H1032), LEFT(INDEX(FILTER(H$1:H1012, H$1:H1012&lt;&gt;""""),COUNTA(FILTER(H$1:H1012, H$1:H1012&lt;&gt;""""))), LEN(INDEX(FILTER(H$1:H1012, H$1:H1012&lt;&gt;""""),COUNTA(FILTER(H$1:H1012, H$1:H1012&lt;&gt;""""))))-1), IF('To Order'!$A1013=COL"&amp;"UMNS($A1013:H1032), H1012&amp;RIGHT(INDIRECT(ADDRESS(ROW(H1013)-1, 'From Order'!$A1013)), 1), H1012))"),"PDSDJ")</f>
        <v>PDSDJ</v>
      </c>
      <c r="I1013" s="2" t="str">
        <f>IFERROR(__xludf.DUMMYFUNCTION("IF('From Order'!$A1013=COLUMNS($A1013:I1032), LEFT(INDEX(FILTER(I$1:I1012, I$1:I1012&lt;&gt;""""),COUNTA(FILTER(I$1:I1012, I$1:I1012&lt;&gt;""""))), LEN(INDEX(FILTER(I$1:I1012, I$1:I1012&lt;&gt;""""),COUNTA(FILTER(I$1:I1012, I$1:I1012&lt;&gt;""""))))-1), IF('To Order'!$A1013=COL"&amp;"UMNS($A1013:I1032), I1012&amp;RIGHT(INDIRECT(ADDRESS(ROW(I1013)-1, 'From Order'!$A1013)), 1), I1012))"),"")</f>
        <v/>
      </c>
    </row>
    <row r="1014">
      <c r="A1014" s="2" t="str">
        <f>IFERROR(__xludf.DUMMYFUNCTION("IF('From Order'!$A1014=COLUMNS($A1014:A1033), LEFT(INDEX(FILTER(A$1:A1013, A$1:A1013&lt;&gt;""""),COUNTA(FILTER(A$1:A1013, A$1:A1013&lt;&gt;""""))), LEN(INDEX(FILTER(A$1:A1013, A$1:A1013&lt;&gt;""""),COUNTA(FILTER(A$1:A1013, A$1:A1013&lt;&gt;""""))))-1), IF('To Order'!$A1014=COL"&amp;"UMNS($A1014:A1033), A1013&amp;RIGHT(INDIRECT(ADDRESS(ROW(A1014)-1, 'From Order'!$A1014)), 1), A1013))"),"LZMTCR")</f>
        <v>LZMTCR</v>
      </c>
      <c r="B1014" s="2" t="str">
        <f>IFERROR(__xludf.DUMMYFUNCTION("IF('From Order'!$A1014=COLUMNS($A1014:B1033), LEFT(INDEX(FILTER(B$1:B1013, B$1:B1013&lt;&gt;""""),COUNTA(FILTER(B$1:B1013, B$1:B1013&lt;&gt;""""))), LEN(INDEX(FILTER(B$1:B1013, B$1:B1013&lt;&gt;""""),COUNTA(FILTER(B$1:B1013, B$1:B1013&lt;&gt;""""))))-1), IF('To Order'!$A1014=COL"&amp;"UMNS($A1014:B1033), B1013&amp;RIGHT(INDIRECT(ADDRESS(ROW(B1014)-1, 'From Order'!$A1014)), 1), B1013))"),"")</f>
        <v/>
      </c>
      <c r="C1014" s="2" t="str">
        <f>IFERROR(__xludf.DUMMYFUNCTION("IF('From Order'!$A1014=COLUMNS($A1014:C1033), LEFT(INDEX(FILTER(C$1:C1013, C$1:C1013&lt;&gt;""""),COUNTA(FILTER(C$1:C1013, C$1:C1013&lt;&gt;""""))), LEN(INDEX(FILTER(C$1:C1013, C$1:C1013&lt;&gt;""""),COUNTA(FILTER(C$1:C1013, C$1:C1013&lt;&gt;""""))))-1), IF('To Order'!$A1014=COL"&amp;"UMNS($A1014:C1033), C1013&amp;RIGHT(INDIRECT(ADDRESS(ROW(C1014)-1, 'From Order'!$A1014)), 1), C1013))"),"TRLRSGHWQVQJPPVJCVZRDCGMTBF")</f>
        <v>TRLRSGHWQVQJPPVJCVZRDCGMTBF</v>
      </c>
      <c r="D1014" s="2" t="str">
        <f>IFERROR(__xludf.DUMMYFUNCTION("IF('From Order'!$A1014=COLUMNS($A1014:D1033), LEFT(INDEX(FILTER(D$1:D1013, D$1:D1013&lt;&gt;""""),COUNTA(FILTER(D$1:D1013, D$1:D1013&lt;&gt;""""))), LEN(INDEX(FILTER(D$1:D1013, D$1:D1013&lt;&gt;""""),COUNTA(FILTER(D$1:D1013, D$1:D1013&lt;&gt;""""))))-1), IF('To Order'!$A1014=COL"&amp;"UMNS($A1014:D1033), D1013&amp;RIGHT(INDIRECT(ADDRESS(ROW(D1014)-1, 'From Order'!$A1014)), 1), D1013))"),"")</f>
        <v/>
      </c>
      <c r="E1014" s="2" t="str">
        <f>IFERROR(__xludf.DUMMYFUNCTION("IF('From Order'!$A1014=COLUMNS($A1014:E1033), LEFT(INDEX(FILTER(E$1:E1013, E$1:E1013&lt;&gt;""""),COUNTA(FILTER(E$1:E1013, E$1:E1013&lt;&gt;""""))), LEN(INDEX(FILTER(E$1:E1013, E$1:E1013&lt;&gt;""""),COUNTA(FILTER(E$1:E1013, E$1:E1013&lt;&gt;""""))))-1), IF('To Order'!$A1014=COL"&amp;"UMNS($A1014:E1033), E1013&amp;RIGHT(INDIRECT(ADDRESS(ROW(E1014)-1, 'From Order'!$A1014)), 1), E1013))"),"")</f>
        <v/>
      </c>
      <c r="F1014" s="2" t="str">
        <f>IFERROR(__xludf.DUMMYFUNCTION("IF('From Order'!$A1014=COLUMNS($A1014:F1033), LEFT(INDEX(FILTER(F$1:F1013, F$1:F1013&lt;&gt;""""),COUNTA(FILTER(F$1:F1013, F$1:F1013&lt;&gt;""""))), LEN(INDEX(FILTER(F$1:F1013, F$1:F1013&lt;&gt;""""),COUNTA(FILTER(F$1:F1013, F$1:F1013&lt;&gt;""""))))-1), IF('To Order'!$A1014=COL"&amp;"UMNS($A1014:F1033), F1013&amp;RIGHT(INDIRECT(ADDRESS(ROW(F1014)-1, 'From Order'!$A1014)), 1), F1013))"),"FSLTTWRDTDBDBSBZHM")</f>
        <v>FSLTTWRDTDBDBSBZHM</v>
      </c>
      <c r="G1014" s="2" t="str">
        <f>IFERROR(__xludf.DUMMYFUNCTION("IF('From Order'!$A1014=COLUMNS($A1014:G1033), LEFT(INDEX(FILTER(G$1:G1013, G$1:G1013&lt;&gt;""""),COUNTA(FILTER(G$1:G1013, G$1:G1013&lt;&gt;""""))), LEN(INDEX(FILTER(G$1:G1013, G$1:G1013&lt;&gt;""""),COUNTA(FILTER(G$1:G1013, G$1:G1013&lt;&gt;""""))))-1), IF('To Order'!$A1014=COL"&amp;"UMNS($A1014:G1033), G1013&amp;RIGHT(INDIRECT(ADDRESS(ROW(G1014)-1, 'From Order'!$A1014)), 1), G1013))"),"")</f>
        <v/>
      </c>
      <c r="H1014" s="2" t="str">
        <f>IFERROR(__xludf.DUMMYFUNCTION("IF('From Order'!$A1014=COLUMNS($A1014:H1033), LEFT(INDEX(FILTER(H$1:H1013, H$1:H1013&lt;&gt;""""),COUNTA(FILTER(H$1:H1013, H$1:H1013&lt;&gt;""""))), LEN(INDEX(FILTER(H$1:H1013, H$1:H1013&lt;&gt;""""),COUNTA(FILTER(H$1:H1013, H$1:H1013&lt;&gt;""""))))-1), IF('To Order'!$A1014=COL"&amp;"UMNS($A1014:H1033), H1013&amp;RIGHT(INDIRECT(ADDRESS(ROW(H1014)-1, 'From Order'!$A1014)), 1), H1013))"),"PDSDJ")</f>
        <v>PDSDJ</v>
      </c>
      <c r="I1014" s="2" t="str">
        <f>IFERROR(__xludf.DUMMYFUNCTION("IF('From Order'!$A1014=COLUMNS($A1014:I1033), LEFT(INDEX(FILTER(I$1:I1013, I$1:I1013&lt;&gt;""""),COUNTA(FILTER(I$1:I1013, I$1:I1013&lt;&gt;""""))), LEN(INDEX(FILTER(I$1:I1013, I$1:I1013&lt;&gt;""""),COUNTA(FILTER(I$1:I1013, I$1:I1013&lt;&gt;""""))))-1), IF('To Order'!$A1014=COL"&amp;"UMNS($A1014:I1033), I1013&amp;RIGHT(INDIRECT(ADDRESS(ROW(I1014)-1, 'From Order'!$A1014)), 1), I1013))"),"")</f>
        <v/>
      </c>
    </row>
    <row r="1015">
      <c r="A1015" s="2" t="str">
        <f>IFERROR(__xludf.DUMMYFUNCTION("IF('From Order'!$A1015=COLUMNS($A1015:A1034), LEFT(INDEX(FILTER(A$1:A1014, A$1:A1014&lt;&gt;""""),COUNTA(FILTER(A$1:A1014, A$1:A1014&lt;&gt;""""))), LEN(INDEX(FILTER(A$1:A1014, A$1:A1014&lt;&gt;""""),COUNTA(FILTER(A$1:A1014, A$1:A1014&lt;&gt;""""))))-1), IF('To Order'!$A1015=COL"&amp;"UMNS($A1015:A1034), A1014&amp;RIGHT(INDIRECT(ADDRESS(ROW(A1015)-1, 'From Order'!$A1015)), 1), A1014))"),"LZMTCR")</f>
        <v>LZMTCR</v>
      </c>
      <c r="B1015" s="2" t="str">
        <f>IFERROR(__xludf.DUMMYFUNCTION("IF('From Order'!$A1015=COLUMNS($A1015:B1034), LEFT(INDEX(FILTER(B$1:B1014, B$1:B1014&lt;&gt;""""),COUNTA(FILTER(B$1:B1014, B$1:B1014&lt;&gt;""""))), LEN(INDEX(FILTER(B$1:B1014, B$1:B1014&lt;&gt;""""),COUNTA(FILTER(B$1:B1014, B$1:B1014&lt;&gt;""""))))-1), IF('To Order'!$A1015=COL"&amp;"UMNS($A1015:B1034), B1014&amp;RIGHT(INDIRECT(ADDRESS(ROW(B1015)-1, 'From Order'!$A1015)), 1), B1014))"),"")</f>
        <v/>
      </c>
      <c r="C1015" s="2" t="str">
        <f>IFERROR(__xludf.DUMMYFUNCTION("IF('From Order'!$A1015=COLUMNS($A1015:C1034), LEFT(INDEX(FILTER(C$1:C1014, C$1:C1014&lt;&gt;""""),COUNTA(FILTER(C$1:C1014, C$1:C1014&lt;&gt;""""))), LEN(INDEX(FILTER(C$1:C1014, C$1:C1014&lt;&gt;""""),COUNTA(FILTER(C$1:C1014, C$1:C1014&lt;&gt;""""))))-1), IF('To Order'!$A1015=COL"&amp;"UMNS($A1015:C1034), C1014&amp;RIGHT(INDIRECT(ADDRESS(ROW(C1015)-1, 'From Order'!$A1015)), 1), C1014))"),"TRLRSGHWQVQJPPVJCVZRDCGMTBFM")</f>
        <v>TRLRSGHWQVQJPPVJCVZRDCGMTBFM</v>
      </c>
      <c r="D1015" s="2" t="str">
        <f>IFERROR(__xludf.DUMMYFUNCTION("IF('From Order'!$A1015=COLUMNS($A1015:D1034), LEFT(INDEX(FILTER(D$1:D1014, D$1:D1014&lt;&gt;""""),COUNTA(FILTER(D$1:D1014, D$1:D1014&lt;&gt;""""))), LEN(INDEX(FILTER(D$1:D1014, D$1:D1014&lt;&gt;""""),COUNTA(FILTER(D$1:D1014, D$1:D1014&lt;&gt;""""))))-1), IF('To Order'!$A1015=COL"&amp;"UMNS($A1015:D1034), D1014&amp;RIGHT(INDIRECT(ADDRESS(ROW(D1015)-1, 'From Order'!$A1015)), 1), D1014))"),"")</f>
        <v/>
      </c>
      <c r="E1015" s="2" t="str">
        <f>IFERROR(__xludf.DUMMYFUNCTION("IF('From Order'!$A1015=COLUMNS($A1015:E1034), LEFT(INDEX(FILTER(E$1:E1014, E$1:E1014&lt;&gt;""""),COUNTA(FILTER(E$1:E1014, E$1:E1014&lt;&gt;""""))), LEN(INDEX(FILTER(E$1:E1014, E$1:E1014&lt;&gt;""""),COUNTA(FILTER(E$1:E1014, E$1:E1014&lt;&gt;""""))))-1), IF('To Order'!$A1015=COL"&amp;"UMNS($A1015:E1034), E1014&amp;RIGHT(INDIRECT(ADDRESS(ROW(E1015)-1, 'From Order'!$A1015)), 1), E1014))"),"")</f>
        <v/>
      </c>
      <c r="F1015" s="2" t="str">
        <f>IFERROR(__xludf.DUMMYFUNCTION("IF('From Order'!$A1015=COLUMNS($A1015:F1034), LEFT(INDEX(FILTER(F$1:F1014, F$1:F1014&lt;&gt;""""),COUNTA(FILTER(F$1:F1014, F$1:F1014&lt;&gt;""""))), LEN(INDEX(FILTER(F$1:F1014, F$1:F1014&lt;&gt;""""),COUNTA(FILTER(F$1:F1014, F$1:F1014&lt;&gt;""""))))-1), IF('To Order'!$A1015=COL"&amp;"UMNS($A1015:F1034), F1014&amp;RIGHT(INDIRECT(ADDRESS(ROW(F1015)-1, 'From Order'!$A1015)), 1), F1014))"),"FSLTTWRDTDBDBSBZH")</f>
        <v>FSLTTWRDTDBDBSBZH</v>
      </c>
      <c r="G1015" s="2" t="str">
        <f>IFERROR(__xludf.DUMMYFUNCTION("IF('From Order'!$A1015=COLUMNS($A1015:G1034), LEFT(INDEX(FILTER(G$1:G1014, G$1:G1014&lt;&gt;""""),COUNTA(FILTER(G$1:G1014, G$1:G1014&lt;&gt;""""))), LEN(INDEX(FILTER(G$1:G1014, G$1:G1014&lt;&gt;""""),COUNTA(FILTER(G$1:G1014, G$1:G1014&lt;&gt;""""))))-1), IF('To Order'!$A1015=COL"&amp;"UMNS($A1015:G1034), G1014&amp;RIGHT(INDIRECT(ADDRESS(ROW(G1015)-1, 'From Order'!$A1015)), 1), G1014))"),"")</f>
        <v/>
      </c>
      <c r="H1015" s="2" t="str">
        <f>IFERROR(__xludf.DUMMYFUNCTION("IF('From Order'!$A1015=COLUMNS($A1015:H1034), LEFT(INDEX(FILTER(H$1:H1014, H$1:H1014&lt;&gt;""""),COUNTA(FILTER(H$1:H1014, H$1:H1014&lt;&gt;""""))), LEN(INDEX(FILTER(H$1:H1014, H$1:H1014&lt;&gt;""""),COUNTA(FILTER(H$1:H1014, H$1:H1014&lt;&gt;""""))))-1), IF('To Order'!$A1015=COL"&amp;"UMNS($A1015:H1034), H1014&amp;RIGHT(INDIRECT(ADDRESS(ROW(H1015)-1, 'From Order'!$A1015)), 1), H1014))"),"PDSDJ")</f>
        <v>PDSDJ</v>
      </c>
      <c r="I1015" s="2" t="str">
        <f>IFERROR(__xludf.DUMMYFUNCTION("IF('From Order'!$A1015=COLUMNS($A1015:I1034), LEFT(INDEX(FILTER(I$1:I1014, I$1:I1014&lt;&gt;""""),COUNTA(FILTER(I$1:I1014, I$1:I1014&lt;&gt;""""))), LEN(INDEX(FILTER(I$1:I1014, I$1:I1014&lt;&gt;""""),COUNTA(FILTER(I$1:I1014, I$1:I1014&lt;&gt;""""))))-1), IF('To Order'!$A1015=COL"&amp;"UMNS($A1015:I1034), I1014&amp;RIGHT(INDIRECT(ADDRESS(ROW(I1015)-1, 'From Order'!$A1015)), 1), I1014))"),"")</f>
        <v/>
      </c>
    </row>
    <row r="1016">
      <c r="A1016" s="2" t="str">
        <f>IFERROR(__xludf.DUMMYFUNCTION("IF('From Order'!$A1016=COLUMNS($A1016:A1035), LEFT(INDEX(FILTER(A$1:A1015, A$1:A1015&lt;&gt;""""),COUNTA(FILTER(A$1:A1015, A$1:A1015&lt;&gt;""""))), LEN(INDEX(FILTER(A$1:A1015, A$1:A1015&lt;&gt;""""),COUNTA(FILTER(A$1:A1015, A$1:A1015&lt;&gt;""""))))-1), IF('To Order'!$A1016=COL"&amp;"UMNS($A1016:A1035), A1015&amp;RIGHT(INDIRECT(ADDRESS(ROW(A1016)-1, 'From Order'!$A1016)), 1), A1015))"),"LZMTCR")</f>
        <v>LZMTCR</v>
      </c>
      <c r="B1016" s="2" t="str">
        <f>IFERROR(__xludf.DUMMYFUNCTION("IF('From Order'!$A1016=COLUMNS($A1016:B1035), LEFT(INDEX(FILTER(B$1:B1015, B$1:B1015&lt;&gt;""""),COUNTA(FILTER(B$1:B1015, B$1:B1015&lt;&gt;""""))), LEN(INDEX(FILTER(B$1:B1015, B$1:B1015&lt;&gt;""""),COUNTA(FILTER(B$1:B1015, B$1:B1015&lt;&gt;""""))))-1), IF('To Order'!$A1016=COL"&amp;"UMNS($A1016:B1035), B1015&amp;RIGHT(INDIRECT(ADDRESS(ROW(B1016)-1, 'From Order'!$A1016)), 1), B1015))"),"")</f>
        <v/>
      </c>
      <c r="C1016" s="2" t="str">
        <f>IFERROR(__xludf.DUMMYFUNCTION("IF('From Order'!$A1016=COLUMNS($A1016:C1035), LEFT(INDEX(FILTER(C$1:C1015, C$1:C1015&lt;&gt;""""),COUNTA(FILTER(C$1:C1015, C$1:C1015&lt;&gt;""""))), LEN(INDEX(FILTER(C$1:C1015, C$1:C1015&lt;&gt;""""),COUNTA(FILTER(C$1:C1015, C$1:C1015&lt;&gt;""""))))-1), IF('To Order'!$A1016=COL"&amp;"UMNS($A1016:C1035), C1015&amp;RIGHT(INDIRECT(ADDRESS(ROW(C1016)-1, 'From Order'!$A1016)), 1), C1015))"),"TRLRSGHWQVQJPPVJCVZRDCGMTBFMH")</f>
        <v>TRLRSGHWQVQJPPVJCVZRDCGMTBFMH</v>
      </c>
      <c r="D1016" s="2" t="str">
        <f>IFERROR(__xludf.DUMMYFUNCTION("IF('From Order'!$A1016=COLUMNS($A1016:D1035), LEFT(INDEX(FILTER(D$1:D1015, D$1:D1015&lt;&gt;""""),COUNTA(FILTER(D$1:D1015, D$1:D1015&lt;&gt;""""))), LEN(INDEX(FILTER(D$1:D1015, D$1:D1015&lt;&gt;""""),COUNTA(FILTER(D$1:D1015, D$1:D1015&lt;&gt;""""))))-1), IF('To Order'!$A1016=COL"&amp;"UMNS($A1016:D1035), D1015&amp;RIGHT(INDIRECT(ADDRESS(ROW(D1016)-1, 'From Order'!$A1016)), 1), D1015))"),"")</f>
        <v/>
      </c>
      <c r="E1016" s="2" t="str">
        <f>IFERROR(__xludf.DUMMYFUNCTION("IF('From Order'!$A1016=COLUMNS($A1016:E1035), LEFT(INDEX(FILTER(E$1:E1015, E$1:E1015&lt;&gt;""""),COUNTA(FILTER(E$1:E1015, E$1:E1015&lt;&gt;""""))), LEN(INDEX(FILTER(E$1:E1015, E$1:E1015&lt;&gt;""""),COUNTA(FILTER(E$1:E1015, E$1:E1015&lt;&gt;""""))))-1), IF('To Order'!$A1016=COL"&amp;"UMNS($A1016:E1035), E1015&amp;RIGHT(INDIRECT(ADDRESS(ROW(E1016)-1, 'From Order'!$A1016)), 1), E1015))"),"")</f>
        <v/>
      </c>
      <c r="F1016" s="2" t="str">
        <f>IFERROR(__xludf.DUMMYFUNCTION("IF('From Order'!$A1016=COLUMNS($A1016:F1035), LEFT(INDEX(FILTER(F$1:F1015, F$1:F1015&lt;&gt;""""),COUNTA(FILTER(F$1:F1015, F$1:F1015&lt;&gt;""""))), LEN(INDEX(FILTER(F$1:F1015, F$1:F1015&lt;&gt;""""),COUNTA(FILTER(F$1:F1015, F$1:F1015&lt;&gt;""""))))-1), IF('To Order'!$A1016=COL"&amp;"UMNS($A1016:F1035), F1015&amp;RIGHT(INDIRECT(ADDRESS(ROW(F1016)-1, 'From Order'!$A1016)), 1), F1015))"),"FSLTTWRDTDBDBSBZ")</f>
        <v>FSLTTWRDTDBDBSBZ</v>
      </c>
      <c r="G1016" s="2" t="str">
        <f>IFERROR(__xludf.DUMMYFUNCTION("IF('From Order'!$A1016=COLUMNS($A1016:G1035), LEFT(INDEX(FILTER(G$1:G1015, G$1:G1015&lt;&gt;""""),COUNTA(FILTER(G$1:G1015, G$1:G1015&lt;&gt;""""))), LEN(INDEX(FILTER(G$1:G1015, G$1:G1015&lt;&gt;""""),COUNTA(FILTER(G$1:G1015, G$1:G1015&lt;&gt;""""))))-1), IF('To Order'!$A1016=COL"&amp;"UMNS($A1016:G1035), G1015&amp;RIGHT(INDIRECT(ADDRESS(ROW(G1016)-1, 'From Order'!$A1016)), 1), G1015))"),"")</f>
        <v/>
      </c>
      <c r="H1016" s="2" t="str">
        <f>IFERROR(__xludf.DUMMYFUNCTION("IF('From Order'!$A1016=COLUMNS($A1016:H1035), LEFT(INDEX(FILTER(H$1:H1015, H$1:H1015&lt;&gt;""""),COUNTA(FILTER(H$1:H1015, H$1:H1015&lt;&gt;""""))), LEN(INDEX(FILTER(H$1:H1015, H$1:H1015&lt;&gt;""""),COUNTA(FILTER(H$1:H1015, H$1:H1015&lt;&gt;""""))))-1), IF('To Order'!$A1016=COL"&amp;"UMNS($A1016:H1035), H1015&amp;RIGHT(INDIRECT(ADDRESS(ROW(H1016)-1, 'From Order'!$A1016)), 1), H1015))"),"PDSDJ")</f>
        <v>PDSDJ</v>
      </c>
      <c r="I1016" s="2" t="str">
        <f>IFERROR(__xludf.DUMMYFUNCTION("IF('From Order'!$A1016=COLUMNS($A1016:I1035), LEFT(INDEX(FILTER(I$1:I1015, I$1:I1015&lt;&gt;""""),COUNTA(FILTER(I$1:I1015, I$1:I1015&lt;&gt;""""))), LEN(INDEX(FILTER(I$1:I1015, I$1:I1015&lt;&gt;""""),COUNTA(FILTER(I$1:I1015, I$1:I1015&lt;&gt;""""))))-1), IF('To Order'!$A1016=COL"&amp;"UMNS($A1016:I1035), I1015&amp;RIGHT(INDIRECT(ADDRESS(ROW(I1016)-1, 'From Order'!$A1016)), 1), I1015))"),"")</f>
        <v/>
      </c>
    </row>
    <row r="1017">
      <c r="A1017" s="2" t="str">
        <f>IFERROR(__xludf.DUMMYFUNCTION("IF('From Order'!$A1017=COLUMNS($A1017:A1036), LEFT(INDEX(FILTER(A$1:A1016, A$1:A1016&lt;&gt;""""),COUNTA(FILTER(A$1:A1016, A$1:A1016&lt;&gt;""""))), LEN(INDEX(FILTER(A$1:A1016, A$1:A1016&lt;&gt;""""),COUNTA(FILTER(A$1:A1016, A$1:A1016&lt;&gt;""""))))-1), IF('To Order'!$A1017=COL"&amp;"UMNS($A1017:A1036), A1016&amp;RIGHT(INDIRECT(ADDRESS(ROW(A1017)-1, 'From Order'!$A1017)), 1), A1016))"),"LZMTCR")</f>
        <v>LZMTCR</v>
      </c>
      <c r="B1017" s="2" t="str">
        <f>IFERROR(__xludf.DUMMYFUNCTION("IF('From Order'!$A1017=COLUMNS($A1017:B1036), LEFT(INDEX(FILTER(B$1:B1016, B$1:B1016&lt;&gt;""""),COUNTA(FILTER(B$1:B1016, B$1:B1016&lt;&gt;""""))), LEN(INDEX(FILTER(B$1:B1016, B$1:B1016&lt;&gt;""""),COUNTA(FILTER(B$1:B1016, B$1:B1016&lt;&gt;""""))))-1), IF('To Order'!$A1017=COL"&amp;"UMNS($A1017:B1036), B1016&amp;RIGHT(INDIRECT(ADDRESS(ROW(B1017)-1, 'From Order'!$A1017)), 1), B1016))"),"")</f>
        <v/>
      </c>
      <c r="C1017" s="2" t="str">
        <f>IFERROR(__xludf.DUMMYFUNCTION("IF('From Order'!$A1017=COLUMNS($A1017:C1036), LEFT(INDEX(FILTER(C$1:C1016, C$1:C1016&lt;&gt;""""),COUNTA(FILTER(C$1:C1016, C$1:C1016&lt;&gt;""""))), LEN(INDEX(FILTER(C$1:C1016, C$1:C1016&lt;&gt;""""),COUNTA(FILTER(C$1:C1016, C$1:C1016&lt;&gt;""""))))-1), IF('To Order'!$A1017=COL"&amp;"UMNS($A1017:C1036), C1016&amp;RIGHT(INDIRECT(ADDRESS(ROW(C1017)-1, 'From Order'!$A1017)), 1), C1016))"),"TRLRSGHWQVQJPPVJCVZRDCGMTBFMHZ")</f>
        <v>TRLRSGHWQVQJPPVJCVZRDCGMTBFMHZ</v>
      </c>
      <c r="D1017" s="2" t="str">
        <f>IFERROR(__xludf.DUMMYFUNCTION("IF('From Order'!$A1017=COLUMNS($A1017:D1036), LEFT(INDEX(FILTER(D$1:D1016, D$1:D1016&lt;&gt;""""),COUNTA(FILTER(D$1:D1016, D$1:D1016&lt;&gt;""""))), LEN(INDEX(FILTER(D$1:D1016, D$1:D1016&lt;&gt;""""),COUNTA(FILTER(D$1:D1016, D$1:D1016&lt;&gt;""""))))-1), IF('To Order'!$A1017=COL"&amp;"UMNS($A1017:D1036), D1016&amp;RIGHT(INDIRECT(ADDRESS(ROW(D1017)-1, 'From Order'!$A1017)), 1), D1016))"),"")</f>
        <v/>
      </c>
      <c r="E1017" s="2" t="str">
        <f>IFERROR(__xludf.DUMMYFUNCTION("IF('From Order'!$A1017=COLUMNS($A1017:E1036), LEFT(INDEX(FILTER(E$1:E1016, E$1:E1016&lt;&gt;""""),COUNTA(FILTER(E$1:E1016, E$1:E1016&lt;&gt;""""))), LEN(INDEX(FILTER(E$1:E1016, E$1:E1016&lt;&gt;""""),COUNTA(FILTER(E$1:E1016, E$1:E1016&lt;&gt;""""))))-1), IF('To Order'!$A1017=COL"&amp;"UMNS($A1017:E1036), E1016&amp;RIGHT(INDIRECT(ADDRESS(ROW(E1017)-1, 'From Order'!$A1017)), 1), E1016))"),"")</f>
        <v/>
      </c>
      <c r="F1017" s="2" t="str">
        <f>IFERROR(__xludf.DUMMYFUNCTION("IF('From Order'!$A1017=COLUMNS($A1017:F1036), LEFT(INDEX(FILTER(F$1:F1016, F$1:F1016&lt;&gt;""""),COUNTA(FILTER(F$1:F1016, F$1:F1016&lt;&gt;""""))), LEN(INDEX(FILTER(F$1:F1016, F$1:F1016&lt;&gt;""""),COUNTA(FILTER(F$1:F1016, F$1:F1016&lt;&gt;""""))))-1), IF('To Order'!$A1017=COL"&amp;"UMNS($A1017:F1036), F1016&amp;RIGHT(INDIRECT(ADDRESS(ROW(F1017)-1, 'From Order'!$A1017)), 1), F1016))"),"FSLTTWRDTDBDBSB")</f>
        <v>FSLTTWRDTDBDBSB</v>
      </c>
      <c r="G1017" s="2" t="str">
        <f>IFERROR(__xludf.DUMMYFUNCTION("IF('From Order'!$A1017=COLUMNS($A1017:G1036), LEFT(INDEX(FILTER(G$1:G1016, G$1:G1016&lt;&gt;""""),COUNTA(FILTER(G$1:G1016, G$1:G1016&lt;&gt;""""))), LEN(INDEX(FILTER(G$1:G1016, G$1:G1016&lt;&gt;""""),COUNTA(FILTER(G$1:G1016, G$1:G1016&lt;&gt;""""))))-1), IF('To Order'!$A1017=COL"&amp;"UMNS($A1017:G1036), G1016&amp;RIGHT(INDIRECT(ADDRESS(ROW(G1017)-1, 'From Order'!$A1017)), 1), G1016))"),"")</f>
        <v/>
      </c>
      <c r="H1017" s="2" t="str">
        <f>IFERROR(__xludf.DUMMYFUNCTION("IF('From Order'!$A1017=COLUMNS($A1017:H1036), LEFT(INDEX(FILTER(H$1:H1016, H$1:H1016&lt;&gt;""""),COUNTA(FILTER(H$1:H1016, H$1:H1016&lt;&gt;""""))), LEN(INDEX(FILTER(H$1:H1016, H$1:H1016&lt;&gt;""""),COUNTA(FILTER(H$1:H1016, H$1:H1016&lt;&gt;""""))))-1), IF('To Order'!$A1017=COL"&amp;"UMNS($A1017:H1036), H1016&amp;RIGHT(INDIRECT(ADDRESS(ROW(H1017)-1, 'From Order'!$A1017)), 1), H1016))"),"PDSDJ")</f>
        <v>PDSDJ</v>
      </c>
      <c r="I1017" s="2" t="str">
        <f>IFERROR(__xludf.DUMMYFUNCTION("IF('From Order'!$A1017=COLUMNS($A1017:I1036), LEFT(INDEX(FILTER(I$1:I1016, I$1:I1016&lt;&gt;""""),COUNTA(FILTER(I$1:I1016, I$1:I1016&lt;&gt;""""))), LEN(INDEX(FILTER(I$1:I1016, I$1:I1016&lt;&gt;""""),COUNTA(FILTER(I$1:I1016, I$1:I1016&lt;&gt;""""))))-1), IF('To Order'!$A1017=COL"&amp;"UMNS($A1017:I1036), I1016&amp;RIGHT(INDIRECT(ADDRESS(ROW(I1017)-1, 'From Order'!$A1017)), 1), I1016))"),"")</f>
        <v/>
      </c>
    </row>
    <row r="1018">
      <c r="A1018" s="2" t="str">
        <f>IFERROR(__xludf.DUMMYFUNCTION("IF('From Order'!$A1018=COLUMNS($A1018:A1037), LEFT(INDEX(FILTER(A$1:A1017, A$1:A1017&lt;&gt;""""),COUNTA(FILTER(A$1:A1017, A$1:A1017&lt;&gt;""""))), LEN(INDEX(FILTER(A$1:A1017, A$1:A1017&lt;&gt;""""),COUNTA(FILTER(A$1:A1017, A$1:A1017&lt;&gt;""""))))-1), IF('To Order'!$A1018=COL"&amp;"UMNS($A1018:A1037), A1017&amp;RIGHT(INDIRECT(ADDRESS(ROW(A1018)-1, 'From Order'!$A1018)), 1), A1017))"),"LZMTCR")</f>
        <v>LZMTCR</v>
      </c>
      <c r="B1018" s="2" t="str">
        <f>IFERROR(__xludf.DUMMYFUNCTION("IF('From Order'!$A1018=COLUMNS($A1018:B1037), LEFT(INDEX(FILTER(B$1:B1017, B$1:B1017&lt;&gt;""""),COUNTA(FILTER(B$1:B1017, B$1:B1017&lt;&gt;""""))), LEN(INDEX(FILTER(B$1:B1017, B$1:B1017&lt;&gt;""""),COUNTA(FILTER(B$1:B1017, B$1:B1017&lt;&gt;""""))))-1), IF('To Order'!$A1018=COL"&amp;"UMNS($A1018:B1037), B1017&amp;RIGHT(INDIRECT(ADDRESS(ROW(B1018)-1, 'From Order'!$A1018)), 1), B1017))"),"")</f>
        <v/>
      </c>
      <c r="C1018" s="2" t="str">
        <f>IFERROR(__xludf.DUMMYFUNCTION("IF('From Order'!$A1018=COLUMNS($A1018:C1037), LEFT(INDEX(FILTER(C$1:C1017, C$1:C1017&lt;&gt;""""),COUNTA(FILTER(C$1:C1017, C$1:C1017&lt;&gt;""""))), LEN(INDEX(FILTER(C$1:C1017, C$1:C1017&lt;&gt;""""),COUNTA(FILTER(C$1:C1017, C$1:C1017&lt;&gt;""""))))-1), IF('To Order'!$A1018=COL"&amp;"UMNS($A1018:C1037), C1017&amp;RIGHT(INDIRECT(ADDRESS(ROW(C1018)-1, 'From Order'!$A1018)), 1), C1017))"),"TRLRSGHWQVQJPPVJCVZRDCGMTBFMHZB")</f>
        <v>TRLRSGHWQVQJPPVJCVZRDCGMTBFMHZB</v>
      </c>
      <c r="D1018" s="2" t="str">
        <f>IFERROR(__xludf.DUMMYFUNCTION("IF('From Order'!$A1018=COLUMNS($A1018:D1037), LEFT(INDEX(FILTER(D$1:D1017, D$1:D1017&lt;&gt;""""),COUNTA(FILTER(D$1:D1017, D$1:D1017&lt;&gt;""""))), LEN(INDEX(FILTER(D$1:D1017, D$1:D1017&lt;&gt;""""),COUNTA(FILTER(D$1:D1017, D$1:D1017&lt;&gt;""""))))-1), IF('To Order'!$A1018=COL"&amp;"UMNS($A1018:D1037), D1017&amp;RIGHT(INDIRECT(ADDRESS(ROW(D1018)-1, 'From Order'!$A1018)), 1), D1017))"),"")</f>
        <v/>
      </c>
      <c r="E1018" s="2" t="str">
        <f>IFERROR(__xludf.DUMMYFUNCTION("IF('From Order'!$A1018=COLUMNS($A1018:E1037), LEFT(INDEX(FILTER(E$1:E1017, E$1:E1017&lt;&gt;""""),COUNTA(FILTER(E$1:E1017, E$1:E1017&lt;&gt;""""))), LEN(INDEX(FILTER(E$1:E1017, E$1:E1017&lt;&gt;""""),COUNTA(FILTER(E$1:E1017, E$1:E1017&lt;&gt;""""))))-1), IF('To Order'!$A1018=COL"&amp;"UMNS($A1018:E1037), E1017&amp;RIGHT(INDIRECT(ADDRESS(ROW(E1018)-1, 'From Order'!$A1018)), 1), E1017))"),"")</f>
        <v/>
      </c>
      <c r="F1018" s="2" t="str">
        <f>IFERROR(__xludf.DUMMYFUNCTION("IF('From Order'!$A1018=COLUMNS($A1018:F1037), LEFT(INDEX(FILTER(F$1:F1017, F$1:F1017&lt;&gt;""""),COUNTA(FILTER(F$1:F1017, F$1:F1017&lt;&gt;""""))), LEN(INDEX(FILTER(F$1:F1017, F$1:F1017&lt;&gt;""""),COUNTA(FILTER(F$1:F1017, F$1:F1017&lt;&gt;""""))))-1), IF('To Order'!$A1018=COL"&amp;"UMNS($A1018:F1037), F1017&amp;RIGHT(INDIRECT(ADDRESS(ROW(F1018)-1, 'From Order'!$A1018)), 1), F1017))"),"FSLTTWRDTDBDBS")</f>
        <v>FSLTTWRDTDBDBS</v>
      </c>
      <c r="G1018" s="2" t="str">
        <f>IFERROR(__xludf.DUMMYFUNCTION("IF('From Order'!$A1018=COLUMNS($A1018:G1037), LEFT(INDEX(FILTER(G$1:G1017, G$1:G1017&lt;&gt;""""),COUNTA(FILTER(G$1:G1017, G$1:G1017&lt;&gt;""""))), LEN(INDEX(FILTER(G$1:G1017, G$1:G1017&lt;&gt;""""),COUNTA(FILTER(G$1:G1017, G$1:G1017&lt;&gt;""""))))-1), IF('To Order'!$A1018=COL"&amp;"UMNS($A1018:G1037), G1017&amp;RIGHT(INDIRECT(ADDRESS(ROW(G1018)-1, 'From Order'!$A1018)), 1), G1017))"),"")</f>
        <v/>
      </c>
      <c r="H1018" s="2" t="str">
        <f>IFERROR(__xludf.DUMMYFUNCTION("IF('From Order'!$A1018=COLUMNS($A1018:H1037), LEFT(INDEX(FILTER(H$1:H1017, H$1:H1017&lt;&gt;""""),COUNTA(FILTER(H$1:H1017, H$1:H1017&lt;&gt;""""))), LEN(INDEX(FILTER(H$1:H1017, H$1:H1017&lt;&gt;""""),COUNTA(FILTER(H$1:H1017, H$1:H1017&lt;&gt;""""))))-1), IF('To Order'!$A1018=COL"&amp;"UMNS($A1018:H1037), H1017&amp;RIGHT(INDIRECT(ADDRESS(ROW(H1018)-1, 'From Order'!$A1018)), 1), H1017))"),"PDSDJ")</f>
        <v>PDSDJ</v>
      </c>
      <c r="I1018" s="2" t="str">
        <f>IFERROR(__xludf.DUMMYFUNCTION("IF('From Order'!$A1018=COLUMNS($A1018:I1037), LEFT(INDEX(FILTER(I$1:I1017, I$1:I1017&lt;&gt;""""),COUNTA(FILTER(I$1:I1017, I$1:I1017&lt;&gt;""""))), LEN(INDEX(FILTER(I$1:I1017, I$1:I1017&lt;&gt;""""),COUNTA(FILTER(I$1:I1017, I$1:I1017&lt;&gt;""""))))-1), IF('To Order'!$A1018=COL"&amp;"UMNS($A1018:I1037), I1017&amp;RIGHT(INDIRECT(ADDRESS(ROW(I1018)-1, 'From Order'!$A1018)), 1), I1017))"),"")</f>
        <v/>
      </c>
    </row>
    <row r="1019">
      <c r="A1019" s="2" t="str">
        <f>IFERROR(__xludf.DUMMYFUNCTION("IF('From Order'!$A1019=COLUMNS($A1019:A1038), LEFT(INDEX(FILTER(A$1:A1018, A$1:A1018&lt;&gt;""""),COUNTA(FILTER(A$1:A1018, A$1:A1018&lt;&gt;""""))), LEN(INDEX(FILTER(A$1:A1018, A$1:A1018&lt;&gt;""""),COUNTA(FILTER(A$1:A1018, A$1:A1018&lt;&gt;""""))))-1), IF('To Order'!$A1019=COL"&amp;"UMNS($A1019:A1038), A1018&amp;RIGHT(INDIRECT(ADDRESS(ROW(A1019)-1, 'From Order'!$A1019)), 1), A1018))"),"LZMTCR")</f>
        <v>LZMTCR</v>
      </c>
      <c r="B1019" s="2" t="str">
        <f>IFERROR(__xludf.DUMMYFUNCTION("IF('From Order'!$A1019=COLUMNS($A1019:B1038), LEFT(INDEX(FILTER(B$1:B1018, B$1:B1018&lt;&gt;""""),COUNTA(FILTER(B$1:B1018, B$1:B1018&lt;&gt;""""))), LEN(INDEX(FILTER(B$1:B1018, B$1:B1018&lt;&gt;""""),COUNTA(FILTER(B$1:B1018, B$1:B1018&lt;&gt;""""))))-1), IF('To Order'!$A1019=COL"&amp;"UMNS($A1019:B1038), B1018&amp;RIGHT(INDIRECT(ADDRESS(ROW(B1019)-1, 'From Order'!$A1019)), 1), B1018))"),"")</f>
        <v/>
      </c>
      <c r="C1019" s="2" t="str">
        <f>IFERROR(__xludf.DUMMYFUNCTION("IF('From Order'!$A1019=COLUMNS($A1019:C1038), LEFT(INDEX(FILTER(C$1:C1018, C$1:C1018&lt;&gt;""""),COUNTA(FILTER(C$1:C1018, C$1:C1018&lt;&gt;""""))), LEN(INDEX(FILTER(C$1:C1018, C$1:C1018&lt;&gt;""""),COUNTA(FILTER(C$1:C1018, C$1:C1018&lt;&gt;""""))))-1), IF('To Order'!$A1019=COL"&amp;"UMNS($A1019:C1038), C1018&amp;RIGHT(INDIRECT(ADDRESS(ROW(C1019)-1, 'From Order'!$A1019)), 1), C1018))"),"TRLRSGHWQVQJPPVJCVZRDCGMTBFMHZBS")</f>
        <v>TRLRSGHWQVQJPPVJCVZRDCGMTBFMHZBS</v>
      </c>
      <c r="D1019" s="2" t="str">
        <f>IFERROR(__xludf.DUMMYFUNCTION("IF('From Order'!$A1019=COLUMNS($A1019:D1038), LEFT(INDEX(FILTER(D$1:D1018, D$1:D1018&lt;&gt;""""),COUNTA(FILTER(D$1:D1018, D$1:D1018&lt;&gt;""""))), LEN(INDEX(FILTER(D$1:D1018, D$1:D1018&lt;&gt;""""),COUNTA(FILTER(D$1:D1018, D$1:D1018&lt;&gt;""""))))-1), IF('To Order'!$A1019=COL"&amp;"UMNS($A1019:D1038), D1018&amp;RIGHT(INDIRECT(ADDRESS(ROW(D1019)-1, 'From Order'!$A1019)), 1), D1018))"),"")</f>
        <v/>
      </c>
      <c r="E1019" s="2" t="str">
        <f>IFERROR(__xludf.DUMMYFUNCTION("IF('From Order'!$A1019=COLUMNS($A1019:E1038), LEFT(INDEX(FILTER(E$1:E1018, E$1:E1018&lt;&gt;""""),COUNTA(FILTER(E$1:E1018, E$1:E1018&lt;&gt;""""))), LEN(INDEX(FILTER(E$1:E1018, E$1:E1018&lt;&gt;""""),COUNTA(FILTER(E$1:E1018, E$1:E1018&lt;&gt;""""))))-1), IF('To Order'!$A1019=COL"&amp;"UMNS($A1019:E1038), E1018&amp;RIGHT(INDIRECT(ADDRESS(ROW(E1019)-1, 'From Order'!$A1019)), 1), E1018))"),"")</f>
        <v/>
      </c>
      <c r="F1019" s="2" t="str">
        <f>IFERROR(__xludf.DUMMYFUNCTION("IF('From Order'!$A1019=COLUMNS($A1019:F1038), LEFT(INDEX(FILTER(F$1:F1018, F$1:F1018&lt;&gt;""""),COUNTA(FILTER(F$1:F1018, F$1:F1018&lt;&gt;""""))), LEN(INDEX(FILTER(F$1:F1018, F$1:F1018&lt;&gt;""""),COUNTA(FILTER(F$1:F1018, F$1:F1018&lt;&gt;""""))))-1), IF('To Order'!$A1019=COL"&amp;"UMNS($A1019:F1038), F1018&amp;RIGHT(INDIRECT(ADDRESS(ROW(F1019)-1, 'From Order'!$A1019)), 1), F1018))"),"FSLTTWRDTDBDB")</f>
        <v>FSLTTWRDTDBDB</v>
      </c>
      <c r="G1019" s="2" t="str">
        <f>IFERROR(__xludf.DUMMYFUNCTION("IF('From Order'!$A1019=COLUMNS($A1019:G1038), LEFT(INDEX(FILTER(G$1:G1018, G$1:G1018&lt;&gt;""""),COUNTA(FILTER(G$1:G1018, G$1:G1018&lt;&gt;""""))), LEN(INDEX(FILTER(G$1:G1018, G$1:G1018&lt;&gt;""""),COUNTA(FILTER(G$1:G1018, G$1:G1018&lt;&gt;""""))))-1), IF('To Order'!$A1019=COL"&amp;"UMNS($A1019:G1038), G1018&amp;RIGHT(INDIRECT(ADDRESS(ROW(G1019)-1, 'From Order'!$A1019)), 1), G1018))"),"")</f>
        <v/>
      </c>
      <c r="H1019" s="2" t="str">
        <f>IFERROR(__xludf.DUMMYFUNCTION("IF('From Order'!$A1019=COLUMNS($A1019:H1038), LEFT(INDEX(FILTER(H$1:H1018, H$1:H1018&lt;&gt;""""),COUNTA(FILTER(H$1:H1018, H$1:H1018&lt;&gt;""""))), LEN(INDEX(FILTER(H$1:H1018, H$1:H1018&lt;&gt;""""),COUNTA(FILTER(H$1:H1018, H$1:H1018&lt;&gt;""""))))-1), IF('To Order'!$A1019=COL"&amp;"UMNS($A1019:H1038), H1018&amp;RIGHT(INDIRECT(ADDRESS(ROW(H1019)-1, 'From Order'!$A1019)), 1), H1018))"),"PDSDJ")</f>
        <v>PDSDJ</v>
      </c>
      <c r="I1019" s="2" t="str">
        <f>IFERROR(__xludf.DUMMYFUNCTION("IF('From Order'!$A1019=COLUMNS($A1019:I1038), LEFT(INDEX(FILTER(I$1:I1018, I$1:I1018&lt;&gt;""""),COUNTA(FILTER(I$1:I1018, I$1:I1018&lt;&gt;""""))), LEN(INDEX(FILTER(I$1:I1018, I$1:I1018&lt;&gt;""""),COUNTA(FILTER(I$1:I1018, I$1:I1018&lt;&gt;""""))))-1), IF('To Order'!$A1019=COL"&amp;"UMNS($A1019:I1038), I1018&amp;RIGHT(INDIRECT(ADDRESS(ROW(I1019)-1, 'From Order'!$A1019)), 1), I1018))"),"")</f>
        <v/>
      </c>
    </row>
    <row r="1020">
      <c r="A1020" s="2" t="str">
        <f>IFERROR(__xludf.DUMMYFUNCTION("IF('From Order'!$A1020=COLUMNS($A1020:A1039), LEFT(INDEX(FILTER(A$1:A1019, A$1:A1019&lt;&gt;""""),COUNTA(FILTER(A$1:A1019, A$1:A1019&lt;&gt;""""))), LEN(INDEX(FILTER(A$1:A1019, A$1:A1019&lt;&gt;""""),COUNTA(FILTER(A$1:A1019, A$1:A1019&lt;&gt;""""))))-1), IF('To Order'!$A1020=COL"&amp;"UMNS($A1020:A1039), A1019&amp;RIGHT(INDIRECT(ADDRESS(ROW(A1020)-1, 'From Order'!$A1020)), 1), A1019))"),"LZMTCR")</f>
        <v>LZMTCR</v>
      </c>
      <c r="B1020" s="2" t="str">
        <f>IFERROR(__xludf.DUMMYFUNCTION("IF('From Order'!$A1020=COLUMNS($A1020:B1039), LEFT(INDEX(FILTER(B$1:B1019, B$1:B1019&lt;&gt;""""),COUNTA(FILTER(B$1:B1019, B$1:B1019&lt;&gt;""""))), LEN(INDEX(FILTER(B$1:B1019, B$1:B1019&lt;&gt;""""),COUNTA(FILTER(B$1:B1019, B$1:B1019&lt;&gt;""""))))-1), IF('To Order'!$A1020=COL"&amp;"UMNS($A1020:B1039), B1019&amp;RIGHT(INDIRECT(ADDRESS(ROW(B1020)-1, 'From Order'!$A1020)), 1), B1019))"),"")</f>
        <v/>
      </c>
      <c r="C1020" s="2" t="str">
        <f>IFERROR(__xludf.DUMMYFUNCTION("IF('From Order'!$A1020=COLUMNS($A1020:C1039), LEFT(INDEX(FILTER(C$1:C1019, C$1:C1019&lt;&gt;""""),COUNTA(FILTER(C$1:C1019, C$1:C1019&lt;&gt;""""))), LEN(INDEX(FILTER(C$1:C1019, C$1:C1019&lt;&gt;""""),COUNTA(FILTER(C$1:C1019, C$1:C1019&lt;&gt;""""))))-1), IF('To Order'!$A1020=COL"&amp;"UMNS($A1020:C1039), C1019&amp;RIGHT(INDIRECT(ADDRESS(ROW(C1020)-1, 'From Order'!$A1020)), 1), C1019))"),"TRLRSGHWQVQJPPVJCVZRDCGMTBFMHZBSB")</f>
        <v>TRLRSGHWQVQJPPVJCVZRDCGMTBFMHZBSB</v>
      </c>
      <c r="D1020" s="2" t="str">
        <f>IFERROR(__xludf.DUMMYFUNCTION("IF('From Order'!$A1020=COLUMNS($A1020:D1039), LEFT(INDEX(FILTER(D$1:D1019, D$1:D1019&lt;&gt;""""),COUNTA(FILTER(D$1:D1019, D$1:D1019&lt;&gt;""""))), LEN(INDEX(FILTER(D$1:D1019, D$1:D1019&lt;&gt;""""),COUNTA(FILTER(D$1:D1019, D$1:D1019&lt;&gt;""""))))-1), IF('To Order'!$A1020=COL"&amp;"UMNS($A1020:D1039), D1019&amp;RIGHT(INDIRECT(ADDRESS(ROW(D1020)-1, 'From Order'!$A1020)), 1), D1019))"),"")</f>
        <v/>
      </c>
      <c r="E1020" s="2" t="str">
        <f>IFERROR(__xludf.DUMMYFUNCTION("IF('From Order'!$A1020=COLUMNS($A1020:E1039), LEFT(INDEX(FILTER(E$1:E1019, E$1:E1019&lt;&gt;""""),COUNTA(FILTER(E$1:E1019, E$1:E1019&lt;&gt;""""))), LEN(INDEX(FILTER(E$1:E1019, E$1:E1019&lt;&gt;""""),COUNTA(FILTER(E$1:E1019, E$1:E1019&lt;&gt;""""))))-1), IF('To Order'!$A1020=COL"&amp;"UMNS($A1020:E1039), E1019&amp;RIGHT(INDIRECT(ADDRESS(ROW(E1020)-1, 'From Order'!$A1020)), 1), E1019))"),"")</f>
        <v/>
      </c>
      <c r="F1020" s="2" t="str">
        <f>IFERROR(__xludf.DUMMYFUNCTION("IF('From Order'!$A1020=COLUMNS($A1020:F1039), LEFT(INDEX(FILTER(F$1:F1019, F$1:F1019&lt;&gt;""""),COUNTA(FILTER(F$1:F1019, F$1:F1019&lt;&gt;""""))), LEN(INDEX(FILTER(F$1:F1019, F$1:F1019&lt;&gt;""""),COUNTA(FILTER(F$1:F1019, F$1:F1019&lt;&gt;""""))))-1), IF('To Order'!$A1020=COL"&amp;"UMNS($A1020:F1039), F1019&amp;RIGHT(INDIRECT(ADDRESS(ROW(F1020)-1, 'From Order'!$A1020)), 1), F1019))"),"FSLTTWRDTDBD")</f>
        <v>FSLTTWRDTDBD</v>
      </c>
      <c r="G1020" s="2" t="str">
        <f>IFERROR(__xludf.DUMMYFUNCTION("IF('From Order'!$A1020=COLUMNS($A1020:G1039), LEFT(INDEX(FILTER(G$1:G1019, G$1:G1019&lt;&gt;""""),COUNTA(FILTER(G$1:G1019, G$1:G1019&lt;&gt;""""))), LEN(INDEX(FILTER(G$1:G1019, G$1:G1019&lt;&gt;""""),COUNTA(FILTER(G$1:G1019, G$1:G1019&lt;&gt;""""))))-1), IF('To Order'!$A1020=COL"&amp;"UMNS($A1020:G1039), G1019&amp;RIGHT(INDIRECT(ADDRESS(ROW(G1020)-1, 'From Order'!$A1020)), 1), G1019))"),"")</f>
        <v/>
      </c>
      <c r="H1020" s="2" t="str">
        <f>IFERROR(__xludf.DUMMYFUNCTION("IF('From Order'!$A1020=COLUMNS($A1020:H1039), LEFT(INDEX(FILTER(H$1:H1019, H$1:H1019&lt;&gt;""""),COUNTA(FILTER(H$1:H1019, H$1:H1019&lt;&gt;""""))), LEN(INDEX(FILTER(H$1:H1019, H$1:H1019&lt;&gt;""""),COUNTA(FILTER(H$1:H1019, H$1:H1019&lt;&gt;""""))))-1), IF('To Order'!$A1020=COL"&amp;"UMNS($A1020:H1039), H1019&amp;RIGHT(INDIRECT(ADDRESS(ROW(H1020)-1, 'From Order'!$A1020)), 1), H1019))"),"PDSDJ")</f>
        <v>PDSDJ</v>
      </c>
      <c r="I1020" s="2" t="str">
        <f>IFERROR(__xludf.DUMMYFUNCTION("IF('From Order'!$A1020=COLUMNS($A1020:I1039), LEFT(INDEX(FILTER(I$1:I1019, I$1:I1019&lt;&gt;""""),COUNTA(FILTER(I$1:I1019, I$1:I1019&lt;&gt;""""))), LEN(INDEX(FILTER(I$1:I1019, I$1:I1019&lt;&gt;""""),COUNTA(FILTER(I$1:I1019, I$1:I1019&lt;&gt;""""))))-1), IF('To Order'!$A1020=COL"&amp;"UMNS($A1020:I1039), I1019&amp;RIGHT(INDIRECT(ADDRESS(ROW(I1020)-1, 'From Order'!$A1020)), 1), I1019))"),"")</f>
        <v/>
      </c>
    </row>
    <row r="1021">
      <c r="A1021" s="2" t="str">
        <f>IFERROR(__xludf.DUMMYFUNCTION("IF('From Order'!$A1021=COLUMNS($A1021:A1040), LEFT(INDEX(FILTER(A$1:A1020, A$1:A1020&lt;&gt;""""),COUNTA(FILTER(A$1:A1020, A$1:A1020&lt;&gt;""""))), LEN(INDEX(FILTER(A$1:A1020, A$1:A1020&lt;&gt;""""),COUNTA(FILTER(A$1:A1020, A$1:A1020&lt;&gt;""""))))-1), IF('To Order'!$A1021=COL"&amp;"UMNS($A1021:A1040), A1020&amp;RIGHT(INDIRECT(ADDRESS(ROW(A1021)-1, 'From Order'!$A1021)), 1), A1020))"),"LZMTCR")</f>
        <v>LZMTCR</v>
      </c>
      <c r="B1021" s="2" t="str">
        <f>IFERROR(__xludf.DUMMYFUNCTION("IF('From Order'!$A1021=COLUMNS($A1021:B1040), LEFT(INDEX(FILTER(B$1:B1020, B$1:B1020&lt;&gt;""""),COUNTA(FILTER(B$1:B1020, B$1:B1020&lt;&gt;""""))), LEN(INDEX(FILTER(B$1:B1020, B$1:B1020&lt;&gt;""""),COUNTA(FILTER(B$1:B1020, B$1:B1020&lt;&gt;""""))))-1), IF('To Order'!$A1021=COL"&amp;"UMNS($A1021:B1040), B1020&amp;RIGHT(INDIRECT(ADDRESS(ROW(B1021)-1, 'From Order'!$A1021)), 1), B1020))"),"")</f>
        <v/>
      </c>
      <c r="C1021" s="2" t="str">
        <f>IFERROR(__xludf.DUMMYFUNCTION("IF('From Order'!$A1021=COLUMNS($A1021:C1040), LEFT(INDEX(FILTER(C$1:C1020, C$1:C1020&lt;&gt;""""),COUNTA(FILTER(C$1:C1020, C$1:C1020&lt;&gt;""""))), LEN(INDEX(FILTER(C$1:C1020, C$1:C1020&lt;&gt;""""),COUNTA(FILTER(C$1:C1020, C$1:C1020&lt;&gt;""""))))-1), IF('To Order'!$A1021=COL"&amp;"UMNS($A1021:C1040), C1020&amp;RIGHT(INDIRECT(ADDRESS(ROW(C1021)-1, 'From Order'!$A1021)), 1), C1020))"),"TRLRSGHWQVQJPPVJCVZRDCGMTBFMHZBSBD")</f>
        <v>TRLRSGHWQVQJPPVJCVZRDCGMTBFMHZBSBD</v>
      </c>
      <c r="D1021" s="2" t="str">
        <f>IFERROR(__xludf.DUMMYFUNCTION("IF('From Order'!$A1021=COLUMNS($A1021:D1040), LEFT(INDEX(FILTER(D$1:D1020, D$1:D1020&lt;&gt;""""),COUNTA(FILTER(D$1:D1020, D$1:D1020&lt;&gt;""""))), LEN(INDEX(FILTER(D$1:D1020, D$1:D1020&lt;&gt;""""),COUNTA(FILTER(D$1:D1020, D$1:D1020&lt;&gt;""""))))-1), IF('To Order'!$A1021=COL"&amp;"UMNS($A1021:D1040), D1020&amp;RIGHT(INDIRECT(ADDRESS(ROW(D1021)-1, 'From Order'!$A1021)), 1), D1020))"),"")</f>
        <v/>
      </c>
      <c r="E1021" s="2" t="str">
        <f>IFERROR(__xludf.DUMMYFUNCTION("IF('From Order'!$A1021=COLUMNS($A1021:E1040), LEFT(INDEX(FILTER(E$1:E1020, E$1:E1020&lt;&gt;""""),COUNTA(FILTER(E$1:E1020, E$1:E1020&lt;&gt;""""))), LEN(INDEX(FILTER(E$1:E1020, E$1:E1020&lt;&gt;""""),COUNTA(FILTER(E$1:E1020, E$1:E1020&lt;&gt;""""))))-1), IF('To Order'!$A1021=COL"&amp;"UMNS($A1021:E1040), E1020&amp;RIGHT(INDIRECT(ADDRESS(ROW(E1021)-1, 'From Order'!$A1021)), 1), E1020))"),"")</f>
        <v/>
      </c>
      <c r="F1021" s="2" t="str">
        <f>IFERROR(__xludf.DUMMYFUNCTION("IF('From Order'!$A1021=COLUMNS($A1021:F1040), LEFT(INDEX(FILTER(F$1:F1020, F$1:F1020&lt;&gt;""""),COUNTA(FILTER(F$1:F1020, F$1:F1020&lt;&gt;""""))), LEN(INDEX(FILTER(F$1:F1020, F$1:F1020&lt;&gt;""""),COUNTA(FILTER(F$1:F1020, F$1:F1020&lt;&gt;""""))))-1), IF('To Order'!$A1021=COL"&amp;"UMNS($A1021:F1040), F1020&amp;RIGHT(INDIRECT(ADDRESS(ROW(F1021)-1, 'From Order'!$A1021)), 1), F1020))"),"FSLTTWRDTDB")</f>
        <v>FSLTTWRDTDB</v>
      </c>
      <c r="G1021" s="2" t="str">
        <f>IFERROR(__xludf.DUMMYFUNCTION("IF('From Order'!$A1021=COLUMNS($A1021:G1040), LEFT(INDEX(FILTER(G$1:G1020, G$1:G1020&lt;&gt;""""),COUNTA(FILTER(G$1:G1020, G$1:G1020&lt;&gt;""""))), LEN(INDEX(FILTER(G$1:G1020, G$1:G1020&lt;&gt;""""),COUNTA(FILTER(G$1:G1020, G$1:G1020&lt;&gt;""""))))-1), IF('To Order'!$A1021=COL"&amp;"UMNS($A1021:G1040), G1020&amp;RIGHT(INDIRECT(ADDRESS(ROW(G1021)-1, 'From Order'!$A1021)), 1), G1020))"),"")</f>
        <v/>
      </c>
      <c r="H1021" s="2" t="str">
        <f>IFERROR(__xludf.DUMMYFUNCTION("IF('From Order'!$A1021=COLUMNS($A1021:H1040), LEFT(INDEX(FILTER(H$1:H1020, H$1:H1020&lt;&gt;""""),COUNTA(FILTER(H$1:H1020, H$1:H1020&lt;&gt;""""))), LEN(INDEX(FILTER(H$1:H1020, H$1:H1020&lt;&gt;""""),COUNTA(FILTER(H$1:H1020, H$1:H1020&lt;&gt;""""))))-1), IF('To Order'!$A1021=COL"&amp;"UMNS($A1021:H1040), H1020&amp;RIGHT(INDIRECT(ADDRESS(ROW(H1021)-1, 'From Order'!$A1021)), 1), H1020))"),"PDSDJ")</f>
        <v>PDSDJ</v>
      </c>
      <c r="I1021" s="2" t="str">
        <f>IFERROR(__xludf.DUMMYFUNCTION("IF('From Order'!$A1021=COLUMNS($A1021:I1040), LEFT(INDEX(FILTER(I$1:I1020, I$1:I1020&lt;&gt;""""),COUNTA(FILTER(I$1:I1020, I$1:I1020&lt;&gt;""""))), LEN(INDEX(FILTER(I$1:I1020, I$1:I1020&lt;&gt;""""),COUNTA(FILTER(I$1:I1020, I$1:I1020&lt;&gt;""""))))-1), IF('To Order'!$A1021=COL"&amp;"UMNS($A1021:I1040), I1020&amp;RIGHT(INDIRECT(ADDRESS(ROW(I1021)-1, 'From Order'!$A1021)), 1), I1020))"),"")</f>
        <v/>
      </c>
    </row>
    <row r="1022">
      <c r="A1022" s="2" t="str">
        <f>IFERROR(__xludf.DUMMYFUNCTION("IF('From Order'!$A1022=COLUMNS($A1022:A1041), LEFT(INDEX(FILTER(A$1:A1021, A$1:A1021&lt;&gt;""""),COUNTA(FILTER(A$1:A1021, A$1:A1021&lt;&gt;""""))), LEN(INDEX(FILTER(A$1:A1021, A$1:A1021&lt;&gt;""""),COUNTA(FILTER(A$1:A1021, A$1:A1021&lt;&gt;""""))))-1), IF('To Order'!$A1022=COL"&amp;"UMNS($A1022:A1041), A1021&amp;RIGHT(INDIRECT(ADDRESS(ROW(A1022)-1, 'From Order'!$A1022)), 1), A1021))"),"LZMTCR")</f>
        <v>LZMTCR</v>
      </c>
      <c r="B1022" s="2" t="str">
        <f>IFERROR(__xludf.DUMMYFUNCTION("IF('From Order'!$A1022=COLUMNS($A1022:B1041), LEFT(INDEX(FILTER(B$1:B1021, B$1:B1021&lt;&gt;""""),COUNTA(FILTER(B$1:B1021, B$1:B1021&lt;&gt;""""))), LEN(INDEX(FILTER(B$1:B1021, B$1:B1021&lt;&gt;""""),COUNTA(FILTER(B$1:B1021, B$1:B1021&lt;&gt;""""))))-1), IF('To Order'!$A1022=COL"&amp;"UMNS($A1022:B1041), B1021&amp;RIGHT(INDIRECT(ADDRESS(ROW(B1022)-1, 'From Order'!$A1022)), 1), B1021))"),"")</f>
        <v/>
      </c>
      <c r="C1022" s="2" t="str">
        <f>IFERROR(__xludf.DUMMYFUNCTION("IF('From Order'!$A1022=COLUMNS($A1022:C1041), LEFT(INDEX(FILTER(C$1:C1021, C$1:C1021&lt;&gt;""""),COUNTA(FILTER(C$1:C1021, C$1:C1021&lt;&gt;""""))), LEN(INDEX(FILTER(C$1:C1021, C$1:C1021&lt;&gt;""""),COUNTA(FILTER(C$1:C1021, C$1:C1021&lt;&gt;""""))))-1), IF('To Order'!$A1022=COL"&amp;"UMNS($A1022:C1041), C1021&amp;RIGHT(INDIRECT(ADDRESS(ROW(C1022)-1, 'From Order'!$A1022)), 1), C1021))"),"TRLRSGHWQVQJPPVJCVZRDCGMTBFMHZBSBD")</f>
        <v>TRLRSGHWQVQJPPVJCVZRDCGMTBFMHZBSBD</v>
      </c>
      <c r="D1022" s="2" t="str">
        <f>IFERROR(__xludf.DUMMYFUNCTION("IF('From Order'!$A1022=COLUMNS($A1022:D1041), LEFT(INDEX(FILTER(D$1:D1021, D$1:D1021&lt;&gt;""""),COUNTA(FILTER(D$1:D1021, D$1:D1021&lt;&gt;""""))), LEN(INDEX(FILTER(D$1:D1021, D$1:D1021&lt;&gt;""""),COUNTA(FILTER(D$1:D1021, D$1:D1021&lt;&gt;""""))))-1), IF('To Order'!$A1022=COL"&amp;"UMNS($A1022:D1041), D1021&amp;RIGHT(INDIRECT(ADDRESS(ROW(D1022)-1, 'From Order'!$A1022)), 1), D1021))"),"")</f>
        <v/>
      </c>
      <c r="E1022" s="2" t="str">
        <f>IFERROR(__xludf.DUMMYFUNCTION("IF('From Order'!$A1022=COLUMNS($A1022:E1041), LEFT(INDEX(FILTER(E$1:E1021, E$1:E1021&lt;&gt;""""),COUNTA(FILTER(E$1:E1021, E$1:E1021&lt;&gt;""""))), LEN(INDEX(FILTER(E$1:E1021, E$1:E1021&lt;&gt;""""),COUNTA(FILTER(E$1:E1021, E$1:E1021&lt;&gt;""""))))-1), IF('To Order'!$A1022=COL"&amp;"UMNS($A1022:E1041), E1021&amp;RIGHT(INDIRECT(ADDRESS(ROW(E1022)-1, 'From Order'!$A1022)), 1), E1021))"),"")</f>
        <v/>
      </c>
      <c r="F1022" s="2" t="str">
        <f>IFERROR(__xludf.DUMMYFUNCTION("IF('From Order'!$A1022=COLUMNS($A1022:F1041), LEFT(INDEX(FILTER(F$1:F1021, F$1:F1021&lt;&gt;""""),COUNTA(FILTER(F$1:F1021, F$1:F1021&lt;&gt;""""))), LEN(INDEX(FILTER(F$1:F1021, F$1:F1021&lt;&gt;""""),COUNTA(FILTER(F$1:F1021, F$1:F1021&lt;&gt;""""))))-1), IF('To Order'!$A1022=COL"&amp;"UMNS($A1022:F1041), F1021&amp;RIGHT(INDIRECT(ADDRESS(ROW(F1022)-1, 'From Order'!$A1022)), 1), F1021))"),"FSLTTWRDTD")</f>
        <v>FSLTTWRDTD</v>
      </c>
      <c r="G1022" s="2" t="str">
        <f>IFERROR(__xludf.DUMMYFUNCTION("IF('From Order'!$A1022=COLUMNS($A1022:G1041), LEFT(INDEX(FILTER(G$1:G1021, G$1:G1021&lt;&gt;""""),COUNTA(FILTER(G$1:G1021, G$1:G1021&lt;&gt;""""))), LEN(INDEX(FILTER(G$1:G1021, G$1:G1021&lt;&gt;""""),COUNTA(FILTER(G$1:G1021, G$1:G1021&lt;&gt;""""))))-1), IF('To Order'!$A1022=COL"&amp;"UMNS($A1022:G1041), G1021&amp;RIGHT(INDIRECT(ADDRESS(ROW(G1022)-1, 'From Order'!$A1022)), 1), G1021))"),"B")</f>
        <v>B</v>
      </c>
      <c r="H1022" s="2" t="str">
        <f>IFERROR(__xludf.DUMMYFUNCTION("IF('From Order'!$A1022=COLUMNS($A1022:H1041), LEFT(INDEX(FILTER(H$1:H1021, H$1:H1021&lt;&gt;""""),COUNTA(FILTER(H$1:H1021, H$1:H1021&lt;&gt;""""))), LEN(INDEX(FILTER(H$1:H1021, H$1:H1021&lt;&gt;""""),COUNTA(FILTER(H$1:H1021, H$1:H1021&lt;&gt;""""))))-1), IF('To Order'!$A1022=COL"&amp;"UMNS($A1022:H1041), H1021&amp;RIGHT(INDIRECT(ADDRESS(ROW(H1022)-1, 'From Order'!$A1022)), 1), H1021))"),"PDSDJ")</f>
        <v>PDSDJ</v>
      </c>
      <c r="I1022" s="2" t="str">
        <f>IFERROR(__xludf.DUMMYFUNCTION("IF('From Order'!$A1022=COLUMNS($A1022:I1041), LEFT(INDEX(FILTER(I$1:I1021, I$1:I1021&lt;&gt;""""),COUNTA(FILTER(I$1:I1021, I$1:I1021&lt;&gt;""""))), LEN(INDEX(FILTER(I$1:I1021, I$1:I1021&lt;&gt;""""),COUNTA(FILTER(I$1:I1021, I$1:I1021&lt;&gt;""""))))-1), IF('To Order'!$A1022=COL"&amp;"UMNS($A1022:I1041), I1021&amp;RIGHT(INDIRECT(ADDRESS(ROW(I1022)-1, 'From Order'!$A1022)), 1), I1021))"),"")</f>
        <v/>
      </c>
    </row>
    <row r="1023">
      <c r="A1023" s="2" t="str">
        <f>IFERROR(__xludf.DUMMYFUNCTION("IF('From Order'!$A1023=COLUMNS($A1023:A1042), LEFT(INDEX(FILTER(A$1:A1022, A$1:A1022&lt;&gt;""""),COUNTA(FILTER(A$1:A1022, A$1:A1022&lt;&gt;""""))), LEN(INDEX(FILTER(A$1:A1022, A$1:A1022&lt;&gt;""""),COUNTA(FILTER(A$1:A1022, A$1:A1022&lt;&gt;""""))))-1), IF('To Order'!$A1023=COL"&amp;"UMNS($A1023:A1042), A1022&amp;RIGHT(INDIRECT(ADDRESS(ROW(A1023)-1, 'From Order'!$A1023)), 1), A1022))"),"LZMTCR")</f>
        <v>LZMTCR</v>
      </c>
      <c r="B1023" s="2" t="str">
        <f>IFERROR(__xludf.DUMMYFUNCTION("IF('From Order'!$A1023=COLUMNS($A1023:B1042), LEFT(INDEX(FILTER(B$1:B1022, B$1:B1022&lt;&gt;""""),COUNTA(FILTER(B$1:B1022, B$1:B1022&lt;&gt;""""))), LEN(INDEX(FILTER(B$1:B1022, B$1:B1022&lt;&gt;""""),COUNTA(FILTER(B$1:B1022, B$1:B1022&lt;&gt;""""))))-1), IF('To Order'!$A1023=COL"&amp;"UMNS($A1023:B1042), B1022&amp;RIGHT(INDIRECT(ADDRESS(ROW(B1023)-1, 'From Order'!$A1023)), 1), B1022))"),"")</f>
        <v/>
      </c>
      <c r="C1023" s="2" t="str">
        <f>IFERROR(__xludf.DUMMYFUNCTION("IF('From Order'!$A1023=COLUMNS($A1023:C1042), LEFT(INDEX(FILTER(C$1:C1022, C$1:C1022&lt;&gt;""""),COUNTA(FILTER(C$1:C1022, C$1:C1022&lt;&gt;""""))), LEN(INDEX(FILTER(C$1:C1022, C$1:C1022&lt;&gt;""""),COUNTA(FILTER(C$1:C1022, C$1:C1022&lt;&gt;""""))))-1), IF('To Order'!$A1023=COL"&amp;"UMNS($A1023:C1042), C1022&amp;RIGHT(INDIRECT(ADDRESS(ROW(C1023)-1, 'From Order'!$A1023)), 1), C1022))"),"TRLRSGHWQVQJPPVJCVZRDCGMTBFMHZBSBD")</f>
        <v>TRLRSGHWQVQJPPVJCVZRDCGMTBFMHZBSBD</v>
      </c>
      <c r="D1023" s="2" t="str">
        <f>IFERROR(__xludf.DUMMYFUNCTION("IF('From Order'!$A1023=COLUMNS($A1023:D1042), LEFT(INDEX(FILTER(D$1:D1022, D$1:D1022&lt;&gt;""""),COUNTA(FILTER(D$1:D1022, D$1:D1022&lt;&gt;""""))), LEN(INDEX(FILTER(D$1:D1022, D$1:D1022&lt;&gt;""""),COUNTA(FILTER(D$1:D1022, D$1:D1022&lt;&gt;""""))))-1), IF('To Order'!$A1023=COL"&amp;"UMNS($A1023:D1042), D1022&amp;RIGHT(INDIRECT(ADDRESS(ROW(D1023)-1, 'From Order'!$A1023)), 1), D1022))"),"")</f>
        <v/>
      </c>
      <c r="E1023" s="2" t="str">
        <f>IFERROR(__xludf.DUMMYFUNCTION("IF('From Order'!$A1023=COLUMNS($A1023:E1042), LEFT(INDEX(FILTER(E$1:E1022, E$1:E1022&lt;&gt;""""),COUNTA(FILTER(E$1:E1022, E$1:E1022&lt;&gt;""""))), LEN(INDEX(FILTER(E$1:E1022, E$1:E1022&lt;&gt;""""),COUNTA(FILTER(E$1:E1022, E$1:E1022&lt;&gt;""""))))-1), IF('To Order'!$A1023=COL"&amp;"UMNS($A1023:E1042), E1022&amp;RIGHT(INDIRECT(ADDRESS(ROW(E1023)-1, 'From Order'!$A1023)), 1), E1022))"),"")</f>
        <v/>
      </c>
      <c r="F1023" s="2" t="str">
        <f>IFERROR(__xludf.DUMMYFUNCTION("IF('From Order'!$A1023=COLUMNS($A1023:F1042), LEFT(INDEX(FILTER(F$1:F1022, F$1:F1022&lt;&gt;""""),COUNTA(FILTER(F$1:F1022, F$1:F1022&lt;&gt;""""))), LEN(INDEX(FILTER(F$1:F1022, F$1:F1022&lt;&gt;""""),COUNTA(FILTER(F$1:F1022, F$1:F1022&lt;&gt;""""))))-1), IF('To Order'!$A1023=COL"&amp;"UMNS($A1023:F1042), F1022&amp;RIGHT(INDIRECT(ADDRESS(ROW(F1023)-1, 'From Order'!$A1023)), 1), F1022))"),"FSLTTWRDT")</f>
        <v>FSLTTWRDT</v>
      </c>
      <c r="G1023" s="2" t="str">
        <f>IFERROR(__xludf.DUMMYFUNCTION("IF('From Order'!$A1023=COLUMNS($A1023:G1042), LEFT(INDEX(FILTER(G$1:G1022, G$1:G1022&lt;&gt;""""),COUNTA(FILTER(G$1:G1022, G$1:G1022&lt;&gt;""""))), LEN(INDEX(FILTER(G$1:G1022, G$1:G1022&lt;&gt;""""),COUNTA(FILTER(G$1:G1022, G$1:G1022&lt;&gt;""""))))-1), IF('To Order'!$A1023=COL"&amp;"UMNS($A1023:G1042), G1022&amp;RIGHT(INDIRECT(ADDRESS(ROW(G1023)-1, 'From Order'!$A1023)), 1), G1022))"),"BD")</f>
        <v>BD</v>
      </c>
      <c r="H1023" s="2" t="str">
        <f>IFERROR(__xludf.DUMMYFUNCTION("IF('From Order'!$A1023=COLUMNS($A1023:H1042), LEFT(INDEX(FILTER(H$1:H1022, H$1:H1022&lt;&gt;""""),COUNTA(FILTER(H$1:H1022, H$1:H1022&lt;&gt;""""))), LEN(INDEX(FILTER(H$1:H1022, H$1:H1022&lt;&gt;""""),COUNTA(FILTER(H$1:H1022, H$1:H1022&lt;&gt;""""))))-1), IF('To Order'!$A1023=COL"&amp;"UMNS($A1023:H1042), H1022&amp;RIGHT(INDIRECT(ADDRESS(ROW(H1023)-1, 'From Order'!$A1023)), 1), H1022))"),"PDSDJ")</f>
        <v>PDSDJ</v>
      </c>
      <c r="I1023" s="2" t="str">
        <f>IFERROR(__xludf.DUMMYFUNCTION("IF('From Order'!$A1023=COLUMNS($A1023:I1042), LEFT(INDEX(FILTER(I$1:I1022, I$1:I1022&lt;&gt;""""),COUNTA(FILTER(I$1:I1022, I$1:I1022&lt;&gt;""""))), LEN(INDEX(FILTER(I$1:I1022, I$1:I1022&lt;&gt;""""),COUNTA(FILTER(I$1:I1022, I$1:I1022&lt;&gt;""""))))-1), IF('To Order'!$A1023=COL"&amp;"UMNS($A1023:I1042), I1022&amp;RIGHT(INDIRECT(ADDRESS(ROW(I1023)-1, 'From Order'!$A1023)), 1), I1022))"),"")</f>
        <v/>
      </c>
    </row>
    <row r="1024">
      <c r="A1024" s="2" t="str">
        <f>IFERROR(__xludf.DUMMYFUNCTION("IF('From Order'!$A1024=COLUMNS($A1024:A1043), LEFT(INDEX(FILTER(A$1:A1023, A$1:A1023&lt;&gt;""""),COUNTA(FILTER(A$1:A1023, A$1:A1023&lt;&gt;""""))), LEN(INDEX(FILTER(A$1:A1023, A$1:A1023&lt;&gt;""""),COUNTA(FILTER(A$1:A1023, A$1:A1023&lt;&gt;""""))))-1), IF('To Order'!$A1024=COL"&amp;"UMNS($A1024:A1043), A1023&amp;RIGHT(INDIRECT(ADDRESS(ROW(A1024)-1, 'From Order'!$A1024)), 1), A1023))"),"LZMTCR")</f>
        <v>LZMTCR</v>
      </c>
      <c r="B1024" s="2" t="str">
        <f>IFERROR(__xludf.DUMMYFUNCTION("IF('From Order'!$A1024=COLUMNS($A1024:B1043), LEFT(INDEX(FILTER(B$1:B1023, B$1:B1023&lt;&gt;""""),COUNTA(FILTER(B$1:B1023, B$1:B1023&lt;&gt;""""))), LEN(INDEX(FILTER(B$1:B1023, B$1:B1023&lt;&gt;""""),COUNTA(FILTER(B$1:B1023, B$1:B1023&lt;&gt;""""))))-1), IF('To Order'!$A1024=COL"&amp;"UMNS($A1024:B1043), B1023&amp;RIGHT(INDIRECT(ADDRESS(ROW(B1024)-1, 'From Order'!$A1024)), 1), B1023))"),"")</f>
        <v/>
      </c>
      <c r="C1024" s="2" t="str">
        <f>IFERROR(__xludf.DUMMYFUNCTION("IF('From Order'!$A1024=COLUMNS($A1024:C1043), LEFT(INDEX(FILTER(C$1:C1023, C$1:C1023&lt;&gt;""""),COUNTA(FILTER(C$1:C1023, C$1:C1023&lt;&gt;""""))), LEN(INDEX(FILTER(C$1:C1023, C$1:C1023&lt;&gt;""""),COUNTA(FILTER(C$1:C1023, C$1:C1023&lt;&gt;""""))))-1), IF('To Order'!$A1024=COL"&amp;"UMNS($A1024:C1043), C1023&amp;RIGHT(INDIRECT(ADDRESS(ROW(C1024)-1, 'From Order'!$A1024)), 1), C1023))"),"TRLRSGHWQVQJPPVJCVZRDCGMTBFMHZBSBD")</f>
        <v>TRLRSGHWQVQJPPVJCVZRDCGMTBFMHZBSBD</v>
      </c>
      <c r="D1024" s="2" t="str">
        <f>IFERROR(__xludf.DUMMYFUNCTION("IF('From Order'!$A1024=COLUMNS($A1024:D1043), LEFT(INDEX(FILTER(D$1:D1023, D$1:D1023&lt;&gt;""""),COUNTA(FILTER(D$1:D1023, D$1:D1023&lt;&gt;""""))), LEN(INDEX(FILTER(D$1:D1023, D$1:D1023&lt;&gt;""""),COUNTA(FILTER(D$1:D1023, D$1:D1023&lt;&gt;""""))))-1), IF('To Order'!$A1024=COL"&amp;"UMNS($A1024:D1043), D1023&amp;RIGHT(INDIRECT(ADDRESS(ROW(D1024)-1, 'From Order'!$A1024)), 1), D1023))"),"")</f>
        <v/>
      </c>
      <c r="E1024" s="2" t="str">
        <f>IFERROR(__xludf.DUMMYFUNCTION("IF('From Order'!$A1024=COLUMNS($A1024:E1043), LEFT(INDEX(FILTER(E$1:E1023, E$1:E1023&lt;&gt;""""),COUNTA(FILTER(E$1:E1023, E$1:E1023&lt;&gt;""""))), LEN(INDEX(FILTER(E$1:E1023, E$1:E1023&lt;&gt;""""),COUNTA(FILTER(E$1:E1023, E$1:E1023&lt;&gt;""""))))-1), IF('To Order'!$A1024=COL"&amp;"UMNS($A1024:E1043), E1023&amp;RIGHT(INDIRECT(ADDRESS(ROW(E1024)-1, 'From Order'!$A1024)), 1), E1023))"),"")</f>
        <v/>
      </c>
      <c r="F1024" s="2" t="str">
        <f>IFERROR(__xludf.DUMMYFUNCTION("IF('From Order'!$A1024=COLUMNS($A1024:F1043), LEFT(INDEX(FILTER(F$1:F1023, F$1:F1023&lt;&gt;""""),COUNTA(FILTER(F$1:F1023, F$1:F1023&lt;&gt;""""))), LEN(INDEX(FILTER(F$1:F1023, F$1:F1023&lt;&gt;""""),COUNTA(FILTER(F$1:F1023, F$1:F1023&lt;&gt;""""))))-1), IF('To Order'!$A1024=COL"&amp;"UMNS($A1024:F1043), F1023&amp;RIGHT(INDIRECT(ADDRESS(ROW(F1024)-1, 'From Order'!$A1024)), 1), F1023))"),"FSLTTWRD")</f>
        <v>FSLTTWRD</v>
      </c>
      <c r="G1024" s="2" t="str">
        <f>IFERROR(__xludf.DUMMYFUNCTION("IF('From Order'!$A1024=COLUMNS($A1024:G1043), LEFT(INDEX(FILTER(G$1:G1023, G$1:G1023&lt;&gt;""""),COUNTA(FILTER(G$1:G1023, G$1:G1023&lt;&gt;""""))), LEN(INDEX(FILTER(G$1:G1023, G$1:G1023&lt;&gt;""""),COUNTA(FILTER(G$1:G1023, G$1:G1023&lt;&gt;""""))))-1), IF('To Order'!$A1024=COL"&amp;"UMNS($A1024:G1043), G1023&amp;RIGHT(INDIRECT(ADDRESS(ROW(G1024)-1, 'From Order'!$A1024)), 1), G1023))"),"BDT")</f>
        <v>BDT</v>
      </c>
      <c r="H1024" s="2" t="str">
        <f>IFERROR(__xludf.DUMMYFUNCTION("IF('From Order'!$A1024=COLUMNS($A1024:H1043), LEFT(INDEX(FILTER(H$1:H1023, H$1:H1023&lt;&gt;""""),COUNTA(FILTER(H$1:H1023, H$1:H1023&lt;&gt;""""))), LEN(INDEX(FILTER(H$1:H1023, H$1:H1023&lt;&gt;""""),COUNTA(FILTER(H$1:H1023, H$1:H1023&lt;&gt;""""))))-1), IF('To Order'!$A1024=COL"&amp;"UMNS($A1024:H1043), H1023&amp;RIGHT(INDIRECT(ADDRESS(ROW(H1024)-1, 'From Order'!$A1024)), 1), H1023))"),"PDSDJ")</f>
        <v>PDSDJ</v>
      </c>
      <c r="I1024" s="2" t="str">
        <f>IFERROR(__xludf.DUMMYFUNCTION("IF('From Order'!$A1024=COLUMNS($A1024:I1043), LEFT(INDEX(FILTER(I$1:I1023, I$1:I1023&lt;&gt;""""),COUNTA(FILTER(I$1:I1023, I$1:I1023&lt;&gt;""""))), LEN(INDEX(FILTER(I$1:I1023, I$1:I1023&lt;&gt;""""),COUNTA(FILTER(I$1:I1023, I$1:I1023&lt;&gt;""""))))-1), IF('To Order'!$A1024=COL"&amp;"UMNS($A1024:I1043), I1023&amp;RIGHT(INDIRECT(ADDRESS(ROW(I1024)-1, 'From Order'!$A1024)), 1), I1023))"),"")</f>
        <v/>
      </c>
    </row>
    <row r="1025">
      <c r="A1025" s="2" t="str">
        <f>IFERROR(__xludf.DUMMYFUNCTION("IF('From Order'!$A1025=COLUMNS($A1025:A1044), LEFT(INDEX(FILTER(A$1:A1024, A$1:A1024&lt;&gt;""""),COUNTA(FILTER(A$1:A1024, A$1:A1024&lt;&gt;""""))), LEN(INDEX(FILTER(A$1:A1024, A$1:A1024&lt;&gt;""""),COUNTA(FILTER(A$1:A1024, A$1:A1024&lt;&gt;""""))))-1), IF('To Order'!$A1025=COL"&amp;"UMNS($A1025:A1044), A1024&amp;RIGHT(INDIRECT(ADDRESS(ROW(A1025)-1, 'From Order'!$A1025)), 1), A1024))"),"LZMTCR")</f>
        <v>LZMTCR</v>
      </c>
      <c r="B1025" s="2" t="str">
        <f>IFERROR(__xludf.DUMMYFUNCTION("IF('From Order'!$A1025=COLUMNS($A1025:B1044), LEFT(INDEX(FILTER(B$1:B1024, B$1:B1024&lt;&gt;""""),COUNTA(FILTER(B$1:B1024, B$1:B1024&lt;&gt;""""))), LEN(INDEX(FILTER(B$1:B1024, B$1:B1024&lt;&gt;""""),COUNTA(FILTER(B$1:B1024, B$1:B1024&lt;&gt;""""))))-1), IF('To Order'!$A1025=COL"&amp;"UMNS($A1025:B1044), B1024&amp;RIGHT(INDIRECT(ADDRESS(ROW(B1025)-1, 'From Order'!$A1025)), 1), B1024))"),"")</f>
        <v/>
      </c>
      <c r="C1025" s="2" t="str">
        <f>IFERROR(__xludf.DUMMYFUNCTION("IF('From Order'!$A1025=COLUMNS($A1025:C1044), LEFT(INDEX(FILTER(C$1:C1024, C$1:C1024&lt;&gt;""""),COUNTA(FILTER(C$1:C1024, C$1:C1024&lt;&gt;""""))), LEN(INDEX(FILTER(C$1:C1024, C$1:C1024&lt;&gt;""""),COUNTA(FILTER(C$1:C1024, C$1:C1024&lt;&gt;""""))))-1), IF('To Order'!$A1025=COL"&amp;"UMNS($A1025:C1044), C1024&amp;RIGHT(INDIRECT(ADDRESS(ROW(C1025)-1, 'From Order'!$A1025)), 1), C1024))"),"TRLRSGHWQVQJPPVJCVZRDCGMTBFMHZBSBD")</f>
        <v>TRLRSGHWQVQJPPVJCVZRDCGMTBFMHZBSBD</v>
      </c>
      <c r="D1025" s="2" t="str">
        <f>IFERROR(__xludf.DUMMYFUNCTION("IF('From Order'!$A1025=COLUMNS($A1025:D1044), LEFT(INDEX(FILTER(D$1:D1024, D$1:D1024&lt;&gt;""""),COUNTA(FILTER(D$1:D1024, D$1:D1024&lt;&gt;""""))), LEN(INDEX(FILTER(D$1:D1024, D$1:D1024&lt;&gt;""""),COUNTA(FILTER(D$1:D1024, D$1:D1024&lt;&gt;""""))))-1), IF('To Order'!$A1025=COL"&amp;"UMNS($A1025:D1044), D1024&amp;RIGHT(INDIRECT(ADDRESS(ROW(D1025)-1, 'From Order'!$A1025)), 1), D1024))"),"")</f>
        <v/>
      </c>
      <c r="E1025" s="2" t="str">
        <f>IFERROR(__xludf.DUMMYFUNCTION("IF('From Order'!$A1025=COLUMNS($A1025:E1044), LEFT(INDEX(FILTER(E$1:E1024, E$1:E1024&lt;&gt;""""),COUNTA(FILTER(E$1:E1024, E$1:E1024&lt;&gt;""""))), LEN(INDEX(FILTER(E$1:E1024, E$1:E1024&lt;&gt;""""),COUNTA(FILTER(E$1:E1024, E$1:E1024&lt;&gt;""""))))-1), IF('To Order'!$A1025=COL"&amp;"UMNS($A1025:E1044), E1024&amp;RIGHT(INDIRECT(ADDRESS(ROW(E1025)-1, 'From Order'!$A1025)), 1), E1024))"),"")</f>
        <v/>
      </c>
      <c r="F1025" s="2" t="str">
        <f>IFERROR(__xludf.DUMMYFUNCTION("IF('From Order'!$A1025=COLUMNS($A1025:F1044), LEFT(INDEX(FILTER(F$1:F1024, F$1:F1024&lt;&gt;""""),COUNTA(FILTER(F$1:F1024, F$1:F1024&lt;&gt;""""))), LEN(INDEX(FILTER(F$1:F1024, F$1:F1024&lt;&gt;""""),COUNTA(FILTER(F$1:F1024, F$1:F1024&lt;&gt;""""))))-1), IF('To Order'!$A1025=COL"&amp;"UMNS($A1025:F1044), F1024&amp;RIGHT(INDIRECT(ADDRESS(ROW(F1025)-1, 'From Order'!$A1025)), 1), F1024))"),"FSLTTWR")</f>
        <v>FSLTTWR</v>
      </c>
      <c r="G1025" s="2" t="str">
        <f>IFERROR(__xludf.DUMMYFUNCTION("IF('From Order'!$A1025=COLUMNS($A1025:G1044), LEFT(INDEX(FILTER(G$1:G1024, G$1:G1024&lt;&gt;""""),COUNTA(FILTER(G$1:G1024, G$1:G1024&lt;&gt;""""))), LEN(INDEX(FILTER(G$1:G1024, G$1:G1024&lt;&gt;""""),COUNTA(FILTER(G$1:G1024, G$1:G1024&lt;&gt;""""))))-1), IF('To Order'!$A1025=COL"&amp;"UMNS($A1025:G1044), G1024&amp;RIGHT(INDIRECT(ADDRESS(ROW(G1025)-1, 'From Order'!$A1025)), 1), G1024))"),"BDTD")</f>
        <v>BDTD</v>
      </c>
      <c r="H1025" s="2" t="str">
        <f>IFERROR(__xludf.DUMMYFUNCTION("IF('From Order'!$A1025=COLUMNS($A1025:H1044), LEFT(INDEX(FILTER(H$1:H1024, H$1:H1024&lt;&gt;""""),COUNTA(FILTER(H$1:H1024, H$1:H1024&lt;&gt;""""))), LEN(INDEX(FILTER(H$1:H1024, H$1:H1024&lt;&gt;""""),COUNTA(FILTER(H$1:H1024, H$1:H1024&lt;&gt;""""))))-1), IF('To Order'!$A1025=COL"&amp;"UMNS($A1025:H1044), H1024&amp;RIGHT(INDIRECT(ADDRESS(ROW(H1025)-1, 'From Order'!$A1025)), 1), H1024))"),"PDSDJ")</f>
        <v>PDSDJ</v>
      </c>
      <c r="I1025" s="2" t="str">
        <f>IFERROR(__xludf.DUMMYFUNCTION("IF('From Order'!$A1025=COLUMNS($A1025:I1044), LEFT(INDEX(FILTER(I$1:I1024, I$1:I1024&lt;&gt;""""),COUNTA(FILTER(I$1:I1024, I$1:I1024&lt;&gt;""""))), LEN(INDEX(FILTER(I$1:I1024, I$1:I1024&lt;&gt;""""),COUNTA(FILTER(I$1:I1024, I$1:I1024&lt;&gt;""""))))-1), IF('To Order'!$A1025=COL"&amp;"UMNS($A1025:I1044), I1024&amp;RIGHT(INDIRECT(ADDRESS(ROW(I1025)-1, 'From Order'!$A1025)), 1), I1024))"),"")</f>
        <v/>
      </c>
    </row>
    <row r="1026">
      <c r="A1026" s="2" t="str">
        <f>IFERROR(__xludf.DUMMYFUNCTION("IF('From Order'!$A1026=COLUMNS($A1026:A1045), LEFT(INDEX(FILTER(A$1:A1025, A$1:A1025&lt;&gt;""""),COUNTA(FILTER(A$1:A1025, A$1:A1025&lt;&gt;""""))), LEN(INDEX(FILTER(A$1:A1025, A$1:A1025&lt;&gt;""""),COUNTA(FILTER(A$1:A1025, A$1:A1025&lt;&gt;""""))))-1), IF('To Order'!$A1026=COL"&amp;"UMNS($A1026:A1045), A1025&amp;RIGHT(INDIRECT(ADDRESS(ROW(A1026)-1, 'From Order'!$A1026)), 1), A1025))"),"LZMTC")</f>
        <v>LZMTC</v>
      </c>
      <c r="B1026" s="2" t="str">
        <f>IFERROR(__xludf.DUMMYFUNCTION("IF('From Order'!$A1026=COLUMNS($A1026:B1045), LEFT(INDEX(FILTER(B$1:B1025, B$1:B1025&lt;&gt;""""),COUNTA(FILTER(B$1:B1025, B$1:B1025&lt;&gt;""""))), LEN(INDEX(FILTER(B$1:B1025, B$1:B1025&lt;&gt;""""),COUNTA(FILTER(B$1:B1025, B$1:B1025&lt;&gt;""""))))-1), IF('To Order'!$A1026=COL"&amp;"UMNS($A1026:B1045), B1025&amp;RIGHT(INDIRECT(ADDRESS(ROW(B1026)-1, 'From Order'!$A1026)), 1), B1025))"),"")</f>
        <v/>
      </c>
      <c r="C1026" s="2" t="str">
        <f>IFERROR(__xludf.DUMMYFUNCTION("IF('From Order'!$A1026=COLUMNS($A1026:C1045), LEFT(INDEX(FILTER(C$1:C1025, C$1:C1025&lt;&gt;""""),COUNTA(FILTER(C$1:C1025, C$1:C1025&lt;&gt;""""))), LEN(INDEX(FILTER(C$1:C1025, C$1:C1025&lt;&gt;""""),COUNTA(FILTER(C$1:C1025, C$1:C1025&lt;&gt;""""))))-1), IF('To Order'!$A1026=COL"&amp;"UMNS($A1026:C1045), C1025&amp;RIGHT(INDIRECT(ADDRESS(ROW(C1026)-1, 'From Order'!$A1026)), 1), C1025))"),"TRLRSGHWQVQJPPVJCVZRDCGMTBFMHZBSBD")</f>
        <v>TRLRSGHWQVQJPPVJCVZRDCGMTBFMHZBSBD</v>
      </c>
      <c r="D1026" s="2" t="str">
        <f>IFERROR(__xludf.DUMMYFUNCTION("IF('From Order'!$A1026=COLUMNS($A1026:D1045), LEFT(INDEX(FILTER(D$1:D1025, D$1:D1025&lt;&gt;""""),COUNTA(FILTER(D$1:D1025, D$1:D1025&lt;&gt;""""))), LEN(INDEX(FILTER(D$1:D1025, D$1:D1025&lt;&gt;""""),COUNTA(FILTER(D$1:D1025, D$1:D1025&lt;&gt;""""))))-1), IF('To Order'!$A1026=COL"&amp;"UMNS($A1026:D1045), D1025&amp;RIGHT(INDIRECT(ADDRESS(ROW(D1026)-1, 'From Order'!$A1026)), 1), D1025))"),"")</f>
        <v/>
      </c>
      <c r="E1026" s="2" t="str">
        <f>IFERROR(__xludf.DUMMYFUNCTION("IF('From Order'!$A1026=COLUMNS($A1026:E1045), LEFT(INDEX(FILTER(E$1:E1025, E$1:E1025&lt;&gt;""""),COUNTA(FILTER(E$1:E1025, E$1:E1025&lt;&gt;""""))), LEN(INDEX(FILTER(E$1:E1025, E$1:E1025&lt;&gt;""""),COUNTA(FILTER(E$1:E1025, E$1:E1025&lt;&gt;""""))))-1), IF('To Order'!$A1026=COL"&amp;"UMNS($A1026:E1045), E1025&amp;RIGHT(INDIRECT(ADDRESS(ROW(E1026)-1, 'From Order'!$A1026)), 1), E1025))"),"")</f>
        <v/>
      </c>
      <c r="F1026" s="2" t="str">
        <f>IFERROR(__xludf.DUMMYFUNCTION("IF('From Order'!$A1026=COLUMNS($A1026:F1045), LEFT(INDEX(FILTER(F$1:F1025, F$1:F1025&lt;&gt;""""),COUNTA(FILTER(F$1:F1025, F$1:F1025&lt;&gt;""""))), LEN(INDEX(FILTER(F$1:F1025, F$1:F1025&lt;&gt;""""),COUNTA(FILTER(F$1:F1025, F$1:F1025&lt;&gt;""""))))-1), IF('To Order'!$A1026=COL"&amp;"UMNS($A1026:F1045), F1025&amp;RIGHT(INDIRECT(ADDRESS(ROW(F1026)-1, 'From Order'!$A1026)), 1), F1025))"),"FSLTTWR")</f>
        <v>FSLTTWR</v>
      </c>
      <c r="G1026" s="2" t="str">
        <f>IFERROR(__xludf.DUMMYFUNCTION("IF('From Order'!$A1026=COLUMNS($A1026:G1045), LEFT(INDEX(FILTER(G$1:G1025, G$1:G1025&lt;&gt;""""),COUNTA(FILTER(G$1:G1025, G$1:G1025&lt;&gt;""""))), LEN(INDEX(FILTER(G$1:G1025, G$1:G1025&lt;&gt;""""),COUNTA(FILTER(G$1:G1025, G$1:G1025&lt;&gt;""""))))-1), IF('To Order'!$A1026=COL"&amp;"UMNS($A1026:G1045), G1025&amp;RIGHT(INDIRECT(ADDRESS(ROW(G1026)-1, 'From Order'!$A1026)), 1), G1025))"),"BDTD")</f>
        <v>BDTD</v>
      </c>
      <c r="H1026" s="2" t="str">
        <f>IFERROR(__xludf.DUMMYFUNCTION("IF('From Order'!$A1026=COLUMNS($A1026:H1045), LEFT(INDEX(FILTER(H$1:H1025, H$1:H1025&lt;&gt;""""),COUNTA(FILTER(H$1:H1025, H$1:H1025&lt;&gt;""""))), LEN(INDEX(FILTER(H$1:H1025, H$1:H1025&lt;&gt;""""),COUNTA(FILTER(H$1:H1025, H$1:H1025&lt;&gt;""""))))-1), IF('To Order'!$A1026=COL"&amp;"UMNS($A1026:H1045), H1025&amp;RIGHT(INDIRECT(ADDRESS(ROW(H1026)-1, 'From Order'!$A1026)), 1), H1025))"),"PDSDJ")</f>
        <v>PDSDJ</v>
      </c>
      <c r="I1026" s="2" t="str">
        <f>IFERROR(__xludf.DUMMYFUNCTION("IF('From Order'!$A1026=COLUMNS($A1026:I1045), LEFT(INDEX(FILTER(I$1:I1025, I$1:I1025&lt;&gt;""""),COUNTA(FILTER(I$1:I1025, I$1:I1025&lt;&gt;""""))), LEN(INDEX(FILTER(I$1:I1025, I$1:I1025&lt;&gt;""""),COUNTA(FILTER(I$1:I1025, I$1:I1025&lt;&gt;""""))))-1), IF('To Order'!$A1026=COL"&amp;"UMNS($A1026:I1045), I1025&amp;RIGHT(INDIRECT(ADDRESS(ROW(I1026)-1, 'From Order'!$A1026)), 1), I1025))"),"R")</f>
        <v>R</v>
      </c>
    </row>
    <row r="1027">
      <c r="A1027" s="2" t="str">
        <f>IFERROR(__xludf.DUMMYFUNCTION("IF('From Order'!$A1027=COLUMNS($A1027:A1046), LEFT(INDEX(FILTER(A$1:A1026, A$1:A1026&lt;&gt;""""),COUNTA(FILTER(A$1:A1026, A$1:A1026&lt;&gt;""""))), LEN(INDEX(FILTER(A$1:A1026, A$1:A1026&lt;&gt;""""),COUNTA(FILTER(A$1:A1026, A$1:A1026&lt;&gt;""""))))-1), IF('To Order'!$A1027=COL"&amp;"UMNS($A1027:A1046), A1026&amp;RIGHT(INDIRECT(ADDRESS(ROW(A1027)-1, 'From Order'!$A1027)), 1), A1026))"),"LZMT")</f>
        <v>LZMT</v>
      </c>
      <c r="B1027" s="2" t="str">
        <f>IFERROR(__xludf.DUMMYFUNCTION("IF('From Order'!$A1027=COLUMNS($A1027:B1046), LEFT(INDEX(FILTER(B$1:B1026, B$1:B1026&lt;&gt;""""),COUNTA(FILTER(B$1:B1026, B$1:B1026&lt;&gt;""""))), LEN(INDEX(FILTER(B$1:B1026, B$1:B1026&lt;&gt;""""),COUNTA(FILTER(B$1:B1026, B$1:B1026&lt;&gt;""""))))-1), IF('To Order'!$A1027=COL"&amp;"UMNS($A1027:B1046), B1026&amp;RIGHT(INDIRECT(ADDRESS(ROW(B1027)-1, 'From Order'!$A1027)), 1), B1026))"),"")</f>
        <v/>
      </c>
      <c r="C1027" s="2" t="str">
        <f>IFERROR(__xludf.DUMMYFUNCTION("IF('From Order'!$A1027=COLUMNS($A1027:C1046), LEFT(INDEX(FILTER(C$1:C1026, C$1:C1026&lt;&gt;""""),COUNTA(FILTER(C$1:C1026, C$1:C1026&lt;&gt;""""))), LEN(INDEX(FILTER(C$1:C1026, C$1:C1026&lt;&gt;""""),COUNTA(FILTER(C$1:C1026, C$1:C1026&lt;&gt;""""))))-1), IF('To Order'!$A1027=COL"&amp;"UMNS($A1027:C1046), C1026&amp;RIGHT(INDIRECT(ADDRESS(ROW(C1027)-1, 'From Order'!$A1027)), 1), C1026))"),"TRLRSGHWQVQJPPVJCVZRDCGMTBFMHZBSBD")</f>
        <v>TRLRSGHWQVQJPPVJCVZRDCGMTBFMHZBSBD</v>
      </c>
      <c r="D1027" s="2" t="str">
        <f>IFERROR(__xludf.DUMMYFUNCTION("IF('From Order'!$A1027=COLUMNS($A1027:D1046), LEFT(INDEX(FILTER(D$1:D1026, D$1:D1026&lt;&gt;""""),COUNTA(FILTER(D$1:D1026, D$1:D1026&lt;&gt;""""))), LEN(INDEX(FILTER(D$1:D1026, D$1:D1026&lt;&gt;""""),COUNTA(FILTER(D$1:D1026, D$1:D1026&lt;&gt;""""))))-1), IF('To Order'!$A1027=COL"&amp;"UMNS($A1027:D1046), D1026&amp;RIGHT(INDIRECT(ADDRESS(ROW(D1027)-1, 'From Order'!$A1027)), 1), D1026))"),"")</f>
        <v/>
      </c>
      <c r="E1027" s="2" t="str">
        <f>IFERROR(__xludf.DUMMYFUNCTION("IF('From Order'!$A1027=COLUMNS($A1027:E1046), LEFT(INDEX(FILTER(E$1:E1026, E$1:E1026&lt;&gt;""""),COUNTA(FILTER(E$1:E1026, E$1:E1026&lt;&gt;""""))), LEN(INDEX(FILTER(E$1:E1026, E$1:E1026&lt;&gt;""""),COUNTA(FILTER(E$1:E1026, E$1:E1026&lt;&gt;""""))))-1), IF('To Order'!$A1027=COL"&amp;"UMNS($A1027:E1046), E1026&amp;RIGHT(INDIRECT(ADDRESS(ROW(E1027)-1, 'From Order'!$A1027)), 1), E1026))"),"")</f>
        <v/>
      </c>
      <c r="F1027" s="2" t="str">
        <f>IFERROR(__xludf.DUMMYFUNCTION("IF('From Order'!$A1027=COLUMNS($A1027:F1046), LEFT(INDEX(FILTER(F$1:F1026, F$1:F1026&lt;&gt;""""),COUNTA(FILTER(F$1:F1026, F$1:F1026&lt;&gt;""""))), LEN(INDEX(FILTER(F$1:F1026, F$1:F1026&lt;&gt;""""),COUNTA(FILTER(F$1:F1026, F$1:F1026&lt;&gt;""""))))-1), IF('To Order'!$A1027=COL"&amp;"UMNS($A1027:F1046), F1026&amp;RIGHT(INDIRECT(ADDRESS(ROW(F1027)-1, 'From Order'!$A1027)), 1), F1026))"),"FSLTTWR")</f>
        <v>FSLTTWR</v>
      </c>
      <c r="G1027" s="2" t="str">
        <f>IFERROR(__xludf.DUMMYFUNCTION("IF('From Order'!$A1027=COLUMNS($A1027:G1046), LEFT(INDEX(FILTER(G$1:G1026, G$1:G1026&lt;&gt;""""),COUNTA(FILTER(G$1:G1026, G$1:G1026&lt;&gt;""""))), LEN(INDEX(FILTER(G$1:G1026, G$1:G1026&lt;&gt;""""),COUNTA(FILTER(G$1:G1026, G$1:G1026&lt;&gt;""""))))-1), IF('To Order'!$A1027=COL"&amp;"UMNS($A1027:G1046), G1026&amp;RIGHT(INDIRECT(ADDRESS(ROW(G1027)-1, 'From Order'!$A1027)), 1), G1026))"),"BDTD")</f>
        <v>BDTD</v>
      </c>
      <c r="H1027" s="2" t="str">
        <f>IFERROR(__xludf.DUMMYFUNCTION("IF('From Order'!$A1027=COLUMNS($A1027:H1046), LEFT(INDEX(FILTER(H$1:H1026, H$1:H1026&lt;&gt;""""),COUNTA(FILTER(H$1:H1026, H$1:H1026&lt;&gt;""""))), LEN(INDEX(FILTER(H$1:H1026, H$1:H1026&lt;&gt;""""),COUNTA(FILTER(H$1:H1026, H$1:H1026&lt;&gt;""""))))-1), IF('To Order'!$A1027=COL"&amp;"UMNS($A1027:H1046), H1026&amp;RIGHT(INDIRECT(ADDRESS(ROW(H1027)-1, 'From Order'!$A1027)), 1), H1026))"),"PDSDJ")</f>
        <v>PDSDJ</v>
      </c>
      <c r="I1027" s="2" t="str">
        <f>IFERROR(__xludf.DUMMYFUNCTION("IF('From Order'!$A1027=COLUMNS($A1027:I1046), LEFT(INDEX(FILTER(I$1:I1026, I$1:I1026&lt;&gt;""""),COUNTA(FILTER(I$1:I1026, I$1:I1026&lt;&gt;""""))), LEN(INDEX(FILTER(I$1:I1026, I$1:I1026&lt;&gt;""""),COUNTA(FILTER(I$1:I1026, I$1:I1026&lt;&gt;""""))))-1), IF('To Order'!$A1027=COL"&amp;"UMNS($A1027:I1046), I1026&amp;RIGHT(INDIRECT(ADDRESS(ROW(I1027)-1, 'From Order'!$A1027)), 1), I1026))"),"RC")</f>
        <v>RC</v>
      </c>
    </row>
    <row r="1028">
      <c r="A1028" s="2" t="str">
        <f>IFERROR(__xludf.DUMMYFUNCTION("IF('From Order'!$A1028=COLUMNS($A1028:A1047), LEFT(INDEX(FILTER(A$1:A1027, A$1:A1027&lt;&gt;""""),COUNTA(FILTER(A$1:A1027, A$1:A1027&lt;&gt;""""))), LEN(INDEX(FILTER(A$1:A1027, A$1:A1027&lt;&gt;""""),COUNTA(FILTER(A$1:A1027, A$1:A1027&lt;&gt;""""))))-1), IF('To Order'!$A1028=COL"&amp;"UMNS($A1028:A1047), A1027&amp;RIGHT(INDIRECT(ADDRESS(ROW(A1028)-1, 'From Order'!$A1028)), 1), A1027))"),"LZM")</f>
        <v>LZM</v>
      </c>
      <c r="B1028" s="2" t="str">
        <f>IFERROR(__xludf.DUMMYFUNCTION("IF('From Order'!$A1028=COLUMNS($A1028:B1047), LEFT(INDEX(FILTER(B$1:B1027, B$1:B1027&lt;&gt;""""),COUNTA(FILTER(B$1:B1027, B$1:B1027&lt;&gt;""""))), LEN(INDEX(FILTER(B$1:B1027, B$1:B1027&lt;&gt;""""),COUNTA(FILTER(B$1:B1027, B$1:B1027&lt;&gt;""""))))-1), IF('To Order'!$A1028=COL"&amp;"UMNS($A1028:B1047), B1027&amp;RIGHT(INDIRECT(ADDRESS(ROW(B1028)-1, 'From Order'!$A1028)), 1), B1027))"),"")</f>
        <v/>
      </c>
      <c r="C1028" s="2" t="str">
        <f>IFERROR(__xludf.DUMMYFUNCTION("IF('From Order'!$A1028=COLUMNS($A1028:C1047), LEFT(INDEX(FILTER(C$1:C1027, C$1:C1027&lt;&gt;""""),COUNTA(FILTER(C$1:C1027, C$1:C1027&lt;&gt;""""))), LEN(INDEX(FILTER(C$1:C1027, C$1:C1027&lt;&gt;""""),COUNTA(FILTER(C$1:C1027, C$1:C1027&lt;&gt;""""))))-1), IF('To Order'!$A1028=COL"&amp;"UMNS($A1028:C1047), C1027&amp;RIGHT(INDIRECT(ADDRESS(ROW(C1028)-1, 'From Order'!$A1028)), 1), C1027))"),"TRLRSGHWQVQJPPVJCVZRDCGMTBFMHZBSBD")</f>
        <v>TRLRSGHWQVQJPPVJCVZRDCGMTBFMHZBSBD</v>
      </c>
      <c r="D1028" s="2" t="str">
        <f>IFERROR(__xludf.DUMMYFUNCTION("IF('From Order'!$A1028=COLUMNS($A1028:D1047), LEFT(INDEX(FILTER(D$1:D1027, D$1:D1027&lt;&gt;""""),COUNTA(FILTER(D$1:D1027, D$1:D1027&lt;&gt;""""))), LEN(INDEX(FILTER(D$1:D1027, D$1:D1027&lt;&gt;""""),COUNTA(FILTER(D$1:D1027, D$1:D1027&lt;&gt;""""))))-1), IF('To Order'!$A1028=COL"&amp;"UMNS($A1028:D1047), D1027&amp;RIGHT(INDIRECT(ADDRESS(ROW(D1028)-1, 'From Order'!$A1028)), 1), D1027))"),"")</f>
        <v/>
      </c>
      <c r="E1028" s="2" t="str">
        <f>IFERROR(__xludf.DUMMYFUNCTION("IF('From Order'!$A1028=COLUMNS($A1028:E1047), LEFT(INDEX(FILTER(E$1:E1027, E$1:E1027&lt;&gt;""""),COUNTA(FILTER(E$1:E1027, E$1:E1027&lt;&gt;""""))), LEN(INDEX(FILTER(E$1:E1027, E$1:E1027&lt;&gt;""""),COUNTA(FILTER(E$1:E1027, E$1:E1027&lt;&gt;""""))))-1), IF('To Order'!$A1028=COL"&amp;"UMNS($A1028:E1047), E1027&amp;RIGHT(INDIRECT(ADDRESS(ROW(E1028)-1, 'From Order'!$A1028)), 1), E1027))"),"")</f>
        <v/>
      </c>
      <c r="F1028" s="2" t="str">
        <f>IFERROR(__xludf.DUMMYFUNCTION("IF('From Order'!$A1028=COLUMNS($A1028:F1047), LEFT(INDEX(FILTER(F$1:F1027, F$1:F1027&lt;&gt;""""),COUNTA(FILTER(F$1:F1027, F$1:F1027&lt;&gt;""""))), LEN(INDEX(FILTER(F$1:F1027, F$1:F1027&lt;&gt;""""),COUNTA(FILTER(F$1:F1027, F$1:F1027&lt;&gt;""""))))-1), IF('To Order'!$A1028=COL"&amp;"UMNS($A1028:F1047), F1027&amp;RIGHT(INDIRECT(ADDRESS(ROW(F1028)-1, 'From Order'!$A1028)), 1), F1027))"),"FSLTTWR")</f>
        <v>FSLTTWR</v>
      </c>
      <c r="G1028" s="2" t="str">
        <f>IFERROR(__xludf.DUMMYFUNCTION("IF('From Order'!$A1028=COLUMNS($A1028:G1047), LEFT(INDEX(FILTER(G$1:G1027, G$1:G1027&lt;&gt;""""),COUNTA(FILTER(G$1:G1027, G$1:G1027&lt;&gt;""""))), LEN(INDEX(FILTER(G$1:G1027, G$1:G1027&lt;&gt;""""),COUNTA(FILTER(G$1:G1027, G$1:G1027&lt;&gt;""""))))-1), IF('To Order'!$A1028=COL"&amp;"UMNS($A1028:G1047), G1027&amp;RIGHT(INDIRECT(ADDRESS(ROW(G1028)-1, 'From Order'!$A1028)), 1), G1027))"),"BDTD")</f>
        <v>BDTD</v>
      </c>
      <c r="H1028" s="2" t="str">
        <f>IFERROR(__xludf.DUMMYFUNCTION("IF('From Order'!$A1028=COLUMNS($A1028:H1047), LEFT(INDEX(FILTER(H$1:H1027, H$1:H1027&lt;&gt;""""),COUNTA(FILTER(H$1:H1027, H$1:H1027&lt;&gt;""""))), LEN(INDEX(FILTER(H$1:H1027, H$1:H1027&lt;&gt;""""),COUNTA(FILTER(H$1:H1027, H$1:H1027&lt;&gt;""""))))-1), IF('To Order'!$A1028=COL"&amp;"UMNS($A1028:H1047), H1027&amp;RIGHT(INDIRECT(ADDRESS(ROW(H1028)-1, 'From Order'!$A1028)), 1), H1027))"),"PDSDJ")</f>
        <v>PDSDJ</v>
      </c>
      <c r="I1028" s="2" t="str">
        <f>IFERROR(__xludf.DUMMYFUNCTION("IF('From Order'!$A1028=COLUMNS($A1028:I1047), LEFT(INDEX(FILTER(I$1:I1027, I$1:I1027&lt;&gt;""""),COUNTA(FILTER(I$1:I1027, I$1:I1027&lt;&gt;""""))), LEN(INDEX(FILTER(I$1:I1027, I$1:I1027&lt;&gt;""""),COUNTA(FILTER(I$1:I1027, I$1:I1027&lt;&gt;""""))))-1), IF('To Order'!$A1028=COL"&amp;"UMNS($A1028:I1047), I1027&amp;RIGHT(INDIRECT(ADDRESS(ROW(I1028)-1, 'From Order'!$A1028)), 1), I1027))"),"RCT")</f>
        <v>RCT</v>
      </c>
    </row>
    <row r="1029">
      <c r="A1029" s="2" t="str">
        <f>IFERROR(__xludf.DUMMYFUNCTION("IF('From Order'!$A1029=COLUMNS($A1029:A1048), LEFT(INDEX(FILTER(A$1:A1028, A$1:A1028&lt;&gt;""""),COUNTA(FILTER(A$1:A1028, A$1:A1028&lt;&gt;""""))), LEN(INDEX(FILTER(A$1:A1028, A$1:A1028&lt;&gt;""""),COUNTA(FILTER(A$1:A1028, A$1:A1028&lt;&gt;""""))))-1), IF('To Order'!$A1029=COL"&amp;"UMNS($A1029:A1048), A1028&amp;RIGHT(INDIRECT(ADDRESS(ROW(A1029)-1, 'From Order'!$A1029)), 1), A1028))"),"LZ")</f>
        <v>LZ</v>
      </c>
      <c r="B1029" s="2" t="str">
        <f>IFERROR(__xludf.DUMMYFUNCTION("IF('From Order'!$A1029=COLUMNS($A1029:B1048), LEFT(INDEX(FILTER(B$1:B1028, B$1:B1028&lt;&gt;""""),COUNTA(FILTER(B$1:B1028, B$1:B1028&lt;&gt;""""))), LEN(INDEX(FILTER(B$1:B1028, B$1:B1028&lt;&gt;""""),COUNTA(FILTER(B$1:B1028, B$1:B1028&lt;&gt;""""))))-1), IF('To Order'!$A1029=COL"&amp;"UMNS($A1029:B1048), B1028&amp;RIGHT(INDIRECT(ADDRESS(ROW(B1029)-1, 'From Order'!$A1029)), 1), B1028))"),"")</f>
        <v/>
      </c>
      <c r="C1029" s="2" t="str">
        <f>IFERROR(__xludf.DUMMYFUNCTION("IF('From Order'!$A1029=COLUMNS($A1029:C1048), LEFT(INDEX(FILTER(C$1:C1028, C$1:C1028&lt;&gt;""""),COUNTA(FILTER(C$1:C1028, C$1:C1028&lt;&gt;""""))), LEN(INDEX(FILTER(C$1:C1028, C$1:C1028&lt;&gt;""""),COUNTA(FILTER(C$1:C1028, C$1:C1028&lt;&gt;""""))))-1), IF('To Order'!$A1029=COL"&amp;"UMNS($A1029:C1048), C1028&amp;RIGHT(INDIRECT(ADDRESS(ROW(C1029)-1, 'From Order'!$A1029)), 1), C1028))"),"TRLRSGHWQVQJPPVJCVZRDCGMTBFMHZBSBD")</f>
        <v>TRLRSGHWQVQJPPVJCVZRDCGMTBFMHZBSBD</v>
      </c>
      <c r="D1029" s="2" t="str">
        <f>IFERROR(__xludf.DUMMYFUNCTION("IF('From Order'!$A1029=COLUMNS($A1029:D1048), LEFT(INDEX(FILTER(D$1:D1028, D$1:D1028&lt;&gt;""""),COUNTA(FILTER(D$1:D1028, D$1:D1028&lt;&gt;""""))), LEN(INDEX(FILTER(D$1:D1028, D$1:D1028&lt;&gt;""""),COUNTA(FILTER(D$1:D1028, D$1:D1028&lt;&gt;""""))))-1), IF('To Order'!$A1029=COL"&amp;"UMNS($A1029:D1048), D1028&amp;RIGHT(INDIRECT(ADDRESS(ROW(D1029)-1, 'From Order'!$A1029)), 1), D1028))"),"")</f>
        <v/>
      </c>
      <c r="E1029" s="2" t="str">
        <f>IFERROR(__xludf.DUMMYFUNCTION("IF('From Order'!$A1029=COLUMNS($A1029:E1048), LEFT(INDEX(FILTER(E$1:E1028, E$1:E1028&lt;&gt;""""),COUNTA(FILTER(E$1:E1028, E$1:E1028&lt;&gt;""""))), LEN(INDEX(FILTER(E$1:E1028, E$1:E1028&lt;&gt;""""),COUNTA(FILTER(E$1:E1028, E$1:E1028&lt;&gt;""""))))-1), IF('To Order'!$A1029=COL"&amp;"UMNS($A1029:E1048), E1028&amp;RIGHT(INDIRECT(ADDRESS(ROW(E1029)-1, 'From Order'!$A1029)), 1), E1028))"),"")</f>
        <v/>
      </c>
      <c r="F1029" s="2" t="str">
        <f>IFERROR(__xludf.DUMMYFUNCTION("IF('From Order'!$A1029=COLUMNS($A1029:F1048), LEFT(INDEX(FILTER(F$1:F1028, F$1:F1028&lt;&gt;""""),COUNTA(FILTER(F$1:F1028, F$1:F1028&lt;&gt;""""))), LEN(INDEX(FILTER(F$1:F1028, F$1:F1028&lt;&gt;""""),COUNTA(FILTER(F$1:F1028, F$1:F1028&lt;&gt;""""))))-1), IF('To Order'!$A1029=COL"&amp;"UMNS($A1029:F1048), F1028&amp;RIGHT(INDIRECT(ADDRESS(ROW(F1029)-1, 'From Order'!$A1029)), 1), F1028))"),"FSLTTWR")</f>
        <v>FSLTTWR</v>
      </c>
      <c r="G1029" s="2" t="str">
        <f>IFERROR(__xludf.DUMMYFUNCTION("IF('From Order'!$A1029=COLUMNS($A1029:G1048), LEFT(INDEX(FILTER(G$1:G1028, G$1:G1028&lt;&gt;""""),COUNTA(FILTER(G$1:G1028, G$1:G1028&lt;&gt;""""))), LEN(INDEX(FILTER(G$1:G1028, G$1:G1028&lt;&gt;""""),COUNTA(FILTER(G$1:G1028, G$1:G1028&lt;&gt;""""))))-1), IF('To Order'!$A1029=COL"&amp;"UMNS($A1029:G1048), G1028&amp;RIGHT(INDIRECT(ADDRESS(ROW(G1029)-1, 'From Order'!$A1029)), 1), G1028))"),"BDTD")</f>
        <v>BDTD</v>
      </c>
      <c r="H1029" s="2" t="str">
        <f>IFERROR(__xludf.DUMMYFUNCTION("IF('From Order'!$A1029=COLUMNS($A1029:H1048), LEFT(INDEX(FILTER(H$1:H1028, H$1:H1028&lt;&gt;""""),COUNTA(FILTER(H$1:H1028, H$1:H1028&lt;&gt;""""))), LEN(INDEX(FILTER(H$1:H1028, H$1:H1028&lt;&gt;""""),COUNTA(FILTER(H$1:H1028, H$1:H1028&lt;&gt;""""))))-1), IF('To Order'!$A1029=COL"&amp;"UMNS($A1029:H1048), H1028&amp;RIGHT(INDIRECT(ADDRESS(ROW(H1029)-1, 'From Order'!$A1029)), 1), H1028))"),"PDSDJ")</f>
        <v>PDSDJ</v>
      </c>
      <c r="I1029" s="2" t="str">
        <f>IFERROR(__xludf.DUMMYFUNCTION("IF('From Order'!$A1029=COLUMNS($A1029:I1048), LEFT(INDEX(FILTER(I$1:I1028, I$1:I1028&lt;&gt;""""),COUNTA(FILTER(I$1:I1028, I$1:I1028&lt;&gt;""""))), LEN(INDEX(FILTER(I$1:I1028, I$1:I1028&lt;&gt;""""),COUNTA(FILTER(I$1:I1028, I$1:I1028&lt;&gt;""""))))-1), IF('To Order'!$A1029=COL"&amp;"UMNS($A1029:I1048), I1028&amp;RIGHT(INDIRECT(ADDRESS(ROW(I1029)-1, 'From Order'!$A1029)), 1), I1028))"),"RCTM")</f>
        <v>RCTM</v>
      </c>
    </row>
    <row r="1030">
      <c r="A1030" s="2" t="str">
        <f>IFERROR(__xludf.DUMMYFUNCTION("IF('From Order'!$A1030=COLUMNS($A1030:A1049), LEFT(INDEX(FILTER(A$1:A1029, A$1:A1029&lt;&gt;""""),COUNTA(FILTER(A$1:A1029, A$1:A1029&lt;&gt;""""))), LEN(INDEX(FILTER(A$1:A1029, A$1:A1029&lt;&gt;""""),COUNTA(FILTER(A$1:A1029, A$1:A1029&lt;&gt;""""))))-1), IF('To Order'!$A1030=COL"&amp;"UMNS($A1030:A1049), A1029&amp;RIGHT(INDIRECT(ADDRESS(ROW(A1030)-1, 'From Order'!$A1030)), 1), A1029))"),"L")</f>
        <v>L</v>
      </c>
      <c r="B1030" s="2" t="str">
        <f>IFERROR(__xludf.DUMMYFUNCTION("IF('From Order'!$A1030=COLUMNS($A1030:B1049), LEFT(INDEX(FILTER(B$1:B1029, B$1:B1029&lt;&gt;""""),COUNTA(FILTER(B$1:B1029, B$1:B1029&lt;&gt;""""))), LEN(INDEX(FILTER(B$1:B1029, B$1:B1029&lt;&gt;""""),COUNTA(FILTER(B$1:B1029, B$1:B1029&lt;&gt;""""))))-1), IF('To Order'!$A1030=COL"&amp;"UMNS($A1030:B1049), B1029&amp;RIGHT(INDIRECT(ADDRESS(ROW(B1030)-1, 'From Order'!$A1030)), 1), B1029))"),"Z")</f>
        <v>Z</v>
      </c>
      <c r="C1030" s="2" t="str">
        <f>IFERROR(__xludf.DUMMYFUNCTION("IF('From Order'!$A1030=COLUMNS($A1030:C1049), LEFT(INDEX(FILTER(C$1:C1029, C$1:C1029&lt;&gt;""""),COUNTA(FILTER(C$1:C1029, C$1:C1029&lt;&gt;""""))), LEN(INDEX(FILTER(C$1:C1029, C$1:C1029&lt;&gt;""""),COUNTA(FILTER(C$1:C1029, C$1:C1029&lt;&gt;""""))))-1), IF('To Order'!$A1030=COL"&amp;"UMNS($A1030:C1049), C1029&amp;RIGHT(INDIRECT(ADDRESS(ROW(C1030)-1, 'From Order'!$A1030)), 1), C1029))"),"TRLRSGHWQVQJPPVJCVZRDCGMTBFMHZBSBD")</f>
        <v>TRLRSGHWQVQJPPVJCVZRDCGMTBFMHZBSBD</v>
      </c>
      <c r="D1030" s="2" t="str">
        <f>IFERROR(__xludf.DUMMYFUNCTION("IF('From Order'!$A1030=COLUMNS($A1030:D1049), LEFT(INDEX(FILTER(D$1:D1029, D$1:D1029&lt;&gt;""""),COUNTA(FILTER(D$1:D1029, D$1:D1029&lt;&gt;""""))), LEN(INDEX(FILTER(D$1:D1029, D$1:D1029&lt;&gt;""""),COUNTA(FILTER(D$1:D1029, D$1:D1029&lt;&gt;""""))))-1), IF('To Order'!$A1030=COL"&amp;"UMNS($A1030:D1049), D1029&amp;RIGHT(INDIRECT(ADDRESS(ROW(D1030)-1, 'From Order'!$A1030)), 1), D1029))"),"")</f>
        <v/>
      </c>
      <c r="E1030" s="2" t="str">
        <f>IFERROR(__xludf.DUMMYFUNCTION("IF('From Order'!$A1030=COLUMNS($A1030:E1049), LEFT(INDEX(FILTER(E$1:E1029, E$1:E1029&lt;&gt;""""),COUNTA(FILTER(E$1:E1029, E$1:E1029&lt;&gt;""""))), LEN(INDEX(FILTER(E$1:E1029, E$1:E1029&lt;&gt;""""),COUNTA(FILTER(E$1:E1029, E$1:E1029&lt;&gt;""""))))-1), IF('To Order'!$A1030=COL"&amp;"UMNS($A1030:E1049), E1029&amp;RIGHT(INDIRECT(ADDRESS(ROW(E1030)-1, 'From Order'!$A1030)), 1), E1029))"),"")</f>
        <v/>
      </c>
      <c r="F1030" s="2" t="str">
        <f>IFERROR(__xludf.DUMMYFUNCTION("IF('From Order'!$A1030=COLUMNS($A1030:F1049), LEFT(INDEX(FILTER(F$1:F1029, F$1:F1029&lt;&gt;""""),COUNTA(FILTER(F$1:F1029, F$1:F1029&lt;&gt;""""))), LEN(INDEX(FILTER(F$1:F1029, F$1:F1029&lt;&gt;""""),COUNTA(FILTER(F$1:F1029, F$1:F1029&lt;&gt;""""))))-1), IF('To Order'!$A1030=COL"&amp;"UMNS($A1030:F1049), F1029&amp;RIGHT(INDIRECT(ADDRESS(ROW(F1030)-1, 'From Order'!$A1030)), 1), F1029))"),"FSLTTWR")</f>
        <v>FSLTTWR</v>
      </c>
      <c r="G1030" s="2" t="str">
        <f>IFERROR(__xludf.DUMMYFUNCTION("IF('From Order'!$A1030=COLUMNS($A1030:G1049), LEFT(INDEX(FILTER(G$1:G1029, G$1:G1029&lt;&gt;""""),COUNTA(FILTER(G$1:G1029, G$1:G1029&lt;&gt;""""))), LEN(INDEX(FILTER(G$1:G1029, G$1:G1029&lt;&gt;""""),COUNTA(FILTER(G$1:G1029, G$1:G1029&lt;&gt;""""))))-1), IF('To Order'!$A1030=COL"&amp;"UMNS($A1030:G1049), G1029&amp;RIGHT(INDIRECT(ADDRESS(ROW(G1030)-1, 'From Order'!$A1030)), 1), G1029))"),"BDTD")</f>
        <v>BDTD</v>
      </c>
      <c r="H1030" s="2" t="str">
        <f>IFERROR(__xludf.DUMMYFUNCTION("IF('From Order'!$A1030=COLUMNS($A1030:H1049), LEFT(INDEX(FILTER(H$1:H1029, H$1:H1029&lt;&gt;""""),COUNTA(FILTER(H$1:H1029, H$1:H1029&lt;&gt;""""))), LEN(INDEX(FILTER(H$1:H1029, H$1:H1029&lt;&gt;""""),COUNTA(FILTER(H$1:H1029, H$1:H1029&lt;&gt;""""))))-1), IF('To Order'!$A1030=COL"&amp;"UMNS($A1030:H1049), H1029&amp;RIGHT(INDIRECT(ADDRESS(ROW(H1030)-1, 'From Order'!$A1030)), 1), H1029))"),"PDSDJ")</f>
        <v>PDSDJ</v>
      </c>
      <c r="I1030" s="2" t="str">
        <f>IFERROR(__xludf.DUMMYFUNCTION("IF('From Order'!$A1030=COLUMNS($A1030:I1049), LEFT(INDEX(FILTER(I$1:I1029, I$1:I1029&lt;&gt;""""),COUNTA(FILTER(I$1:I1029, I$1:I1029&lt;&gt;""""))), LEN(INDEX(FILTER(I$1:I1029, I$1:I1029&lt;&gt;""""),COUNTA(FILTER(I$1:I1029, I$1:I1029&lt;&gt;""""))))-1), IF('To Order'!$A1030=COL"&amp;"UMNS($A1030:I1049), I1029&amp;RIGHT(INDIRECT(ADDRESS(ROW(I1030)-1, 'From Order'!$A1030)), 1), I1029))"),"RCTM")</f>
        <v>RCTM</v>
      </c>
    </row>
    <row r="1031">
      <c r="A1031" s="2" t="str">
        <f>IFERROR(__xludf.DUMMYFUNCTION("IF('From Order'!$A1031=COLUMNS($A1031:A1050), LEFT(INDEX(FILTER(A$1:A1030, A$1:A1030&lt;&gt;""""),COUNTA(FILTER(A$1:A1030, A$1:A1030&lt;&gt;""""))), LEN(INDEX(FILTER(A$1:A1030, A$1:A1030&lt;&gt;""""),COUNTA(FILTER(A$1:A1030, A$1:A1030&lt;&gt;""""))))-1), IF('To Order'!$A1031=COL"&amp;"UMNS($A1031:A1050), A1030&amp;RIGHT(INDIRECT(ADDRESS(ROW(A1031)-1, 'From Order'!$A1031)), 1), A1030))"),"")</f>
        <v/>
      </c>
      <c r="B1031" s="2" t="str">
        <f>IFERROR(__xludf.DUMMYFUNCTION("IF('From Order'!$A1031=COLUMNS($A1031:B1050), LEFT(INDEX(FILTER(B$1:B1030, B$1:B1030&lt;&gt;""""),COUNTA(FILTER(B$1:B1030, B$1:B1030&lt;&gt;""""))), LEN(INDEX(FILTER(B$1:B1030, B$1:B1030&lt;&gt;""""),COUNTA(FILTER(B$1:B1030, B$1:B1030&lt;&gt;""""))))-1), IF('To Order'!$A1031=COL"&amp;"UMNS($A1031:B1050), B1030&amp;RIGHT(INDIRECT(ADDRESS(ROW(B1031)-1, 'From Order'!$A1031)), 1), B1030))"),"ZL")</f>
        <v>ZL</v>
      </c>
      <c r="C1031" s="2" t="str">
        <f>IFERROR(__xludf.DUMMYFUNCTION("IF('From Order'!$A1031=COLUMNS($A1031:C1050), LEFT(INDEX(FILTER(C$1:C1030, C$1:C1030&lt;&gt;""""),COUNTA(FILTER(C$1:C1030, C$1:C1030&lt;&gt;""""))), LEN(INDEX(FILTER(C$1:C1030, C$1:C1030&lt;&gt;""""),COUNTA(FILTER(C$1:C1030, C$1:C1030&lt;&gt;""""))))-1), IF('To Order'!$A1031=COL"&amp;"UMNS($A1031:C1050), C1030&amp;RIGHT(INDIRECT(ADDRESS(ROW(C1031)-1, 'From Order'!$A1031)), 1), C1030))"),"TRLRSGHWQVQJPPVJCVZRDCGMTBFMHZBSBD")</f>
        <v>TRLRSGHWQVQJPPVJCVZRDCGMTBFMHZBSBD</v>
      </c>
      <c r="D1031" s="2" t="str">
        <f>IFERROR(__xludf.DUMMYFUNCTION("IF('From Order'!$A1031=COLUMNS($A1031:D1050), LEFT(INDEX(FILTER(D$1:D1030, D$1:D1030&lt;&gt;""""),COUNTA(FILTER(D$1:D1030, D$1:D1030&lt;&gt;""""))), LEN(INDEX(FILTER(D$1:D1030, D$1:D1030&lt;&gt;""""),COUNTA(FILTER(D$1:D1030, D$1:D1030&lt;&gt;""""))))-1), IF('To Order'!$A1031=COL"&amp;"UMNS($A1031:D1050), D1030&amp;RIGHT(INDIRECT(ADDRESS(ROW(D1031)-1, 'From Order'!$A1031)), 1), D1030))"),"")</f>
        <v/>
      </c>
      <c r="E1031" s="2" t="str">
        <f>IFERROR(__xludf.DUMMYFUNCTION("IF('From Order'!$A1031=COLUMNS($A1031:E1050), LEFT(INDEX(FILTER(E$1:E1030, E$1:E1030&lt;&gt;""""),COUNTA(FILTER(E$1:E1030, E$1:E1030&lt;&gt;""""))), LEN(INDEX(FILTER(E$1:E1030, E$1:E1030&lt;&gt;""""),COUNTA(FILTER(E$1:E1030, E$1:E1030&lt;&gt;""""))))-1), IF('To Order'!$A1031=COL"&amp;"UMNS($A1031:E1050), E1030&amp;RIGHT(INDIRECT(ADDRESS(ROW(E1031)-1, 'From Order'!$A1031)), 1), E1030))"),"")</f>
        <v/>
      </c>
      <c r="F1031" s="2" t="str">
        <f>IFERROR(__xludf.DUMMYFUNCTION("IF('From Order'!$A1031=COLUMNS($A1031:F1050), LEFT(INDEX(FILTER(F$1:F1030, F$1:F1030&lt;&gt;""""),COUNTA(FILTER(F$1:F1030, F$1:F1030&lt;&gt;""""))), LEN(INDEX(FILTER(F$1:F1030, F$1:F1030&lt;&gt;""""),COUNTA(FILTER(F$1:F1030, F$1:F1030&lt;&gt;""""))))-1), IF('To Order'!$A1031=COL"&amp;"UMNS($A1031:F1050), F1030&amp;RIGHT(INDIRECT(ADDRESS(ROW(F1031)-1, 'From Order'!$A1031)), 1), F1030))"),"FSLTTWR")</f>
        <v>FSLTTWR</v>
      </c>
      <c r="G1031" s="2" t="str">
        <f>IFERROR(__xludf.DUMMYFUNCTION("IF('From Order'!$A1031=COLUMNS($A1031:G1050), LEFT(INDEX(FILTER(G$1:G1030, G$1:G1030&lt;&gt;""""),COUNTA(FILTER(G$1:G1030, G$1:G1030&lt;&gt;""""))), LEN(INDEX(FILTER(G$1:G1030, G$1:G1030&lt;&gt;""""),COUNTA(FILTER(G$1:G1030, G$1:G1030&lt;&gt;""""))))-1), IF('To Order'!$A1031=COL"&amp;"UMNS($A1031:G1050), G1030&amp;RIGHT(INDIRECT(ADDRESS(ROW(G1031)-1, 'From Order'!$A1031)), 1), G1030))"),"BDTD")</f>
        <v>BDTD</v>
      </c>
      <c r="H1031" s="2" t="str">
        <f>IFERROR(__xludf.DUMMYFUNCTION("IF('From Order'!$A1031=COLUMNS($A1031:H1050), LEFT(INDEX(FILTER(H$1:H1030, H$1:H1030&lt;&gt;""""),COUNTA(FILTER(H$1:H1030, H$1:H1030&lt;&gt;""""))), LEN(INDEX(FILTER(H$1:H1030, H$1:H1030&lt;&gt;""""),COUNTA(FILTER(H$1:H1030, H$1:H1030&lt;&gt;""""))))-1), IF('To Order'!$A1031=COL"&amp;"UMNS($A1031:H1050), H1030&amp;RIGHT(INDIRECT(ADDRESS(ROW(H1031)-1, 'From Order'!$A1031)), 1), H1030))"),"PDSDJ")</f>
        <v>PDSDJ</v>
      </c>
      <c r="I1031" s="2" t="str">
        <f>IFERROR(__xludf.DUMMYFUNCTION("IF('From Order'!$A1031=COLUMNS($A1031:I1050), LEFT(INDEX(FILTER(I$1:I1030, I$1:I1030&lt;&gt;""""),COUNTA(FILTER(I$1:I1030, I$1:I1030&lt;&gt;""""))), LEN(INDEX(FILTER(I$1:I1030, I$1:I1030&lt;&gt;""""),COUNTA(FILTER(I$1:I1030, I$1:I1030&lt;&gt;""""))))-1), IF('To Order'!$A1031=COL"&amp;"UMNS($A1031:I1050), I1030&amp;RIGHT(INDIRECT(ADDRESS(ROW(I1031)-1, 'From Order'!$A1031)), 1), I1030))"),"RCTM")</f>
        <v>RCTM</v>
      </c>
    </row>
    <row r="1032">
      <c r="A1032" s="2" t="str">
        <f>IFERROR(__xludf.DUMMYFUNCTION("IF('From Order'!$A1032=COLUMNS($A1032:A1051), LEFT(INDEX(FILTER(A$1:A1031, A$1:A1031&lt;&gt;""""),COUNTA(FILTER(A$1:A1031, A$1:A1031&lt;&gt;""""))), LEN(INDEX(FILTER(A$1:A1031, A$1:A1031&lt;&gt;""""),COUNTA(FILTER(A$1:A1031, A$1:A1031&lt;&gt;""""))))-1), IF('To Order'!$A1032=COL"&amp;"UMNS($A1032:A1051), A1031&amp;RIGHT(INDIRECT(ADDRESS(ROW(A1032)-1, 'From Order'!$A1032)), 1), A1031))"),"")</f>
        <v/>
      </c>
      <c r="B1032" s="2" t="str">
        <f>IFERROR(__xludf.DUMMYFUNCTION("IF('From Order'!$A1032=COLUMNS($A1032:B1051), LEFT(INDEX(FILTER(B$1:B1031, B$1:B1031&lt;&gt;""""),COUNTA(FILTER(B$1:B1031, B$1:B1031&lt;&gt;""""))), LEN(INDEX(FILTER(B$1:B1031, B$1:B1031&lt;&gt;""""),COUNTA(FILTER(B$1:B1031, B$1:B1031&lt;&gt;""""))))-1), IF('To Order'!$A1032=COL"&amp;"UMNS($A1032:B1051), B1031&amp;RIGHT(INDIRECT(ADDRESS(ROW(B1032)-1, 'From Order'!$A1032)), 1), B1031))"),"ZL")</f>
        <v>ZL</v>
      </c>
      <c r="C1032" s="2" t="str">
        <f>IFERROR(__xludf.DUMMYFUNCTION("IF('From Order'!$A1032=COLUMNS($A1032:C1051), LEFT(INDEX(FILTER(C$1:C1031, C$1:C1031&lt;&gt;""""),COUNTA(FILTER(C$1:C1031, C$1:C1031&lt;&gt;""""))), LEN(INDEX(FILTER(C$1:C1031, C$1:C1031&lt;&gt;""""),COUNTA(FILTER(C$1:C1031, C$1:C1031&lt;&gt;""""))))-1), IF('To Order'!$A1032=COL"&amp;"UMNS($A1032:C1051), C1031&amp;RIGHT(INDIRECT(ADDRESS(ROW(C1032)-1, 'From Order'!$A1032)), 1), C1031))"),"TRLRSGHWQVQJPPVJCVZRDCGMTBFMHZBSBD")</f>
        <v>TRLRSGHWQVQJPPVJCVZRDCGMTBFMHZBSBD</v>
      </c>
      <c r="D1032" s="2" t="str">
        <f>IFERROR(__xludf.DUMMYFUNCTION("IF('From Order'!$A1032=COLUMNS($A1032:D1051), LEFT(INDEX(FILTER(D$1:D1031, D$1:D1031&lt;&gt;""""),COUNTA(FILTER(D$1:D1031, D$1:D1031&lt;&gt;""""))), LEN(INDEX(FILTER(D$1:D1031, D$1:D1031&lt;&gt;""""),COUNTA(FILTER(D$1:D1031, D$1:D1031&lt;&gt;""""))))-1), IF('To Order'!$A1032=COL"&amp;"UMNS($A1032:D1051), D1031&amp;RIGHT(INDIRECT(ADDRESS(ROW(D1032)-1, 'From Order'!$A1032)), 1), D1031))"),"")</f>
        <v/>
      </c>
      <c r="E1032" s="2" t="str">
        <f>IFERROR(__xludf.DUMMYFUNCTION("IF('From Order'!$A1032=COLUMNS($A1032:E1051), LEFT(INDEX(FILTER(E$1:E1031, E$1:E1031&lt;&gt;""""),COUNTA(FILTER(E$1:E1031, E$1:E1031&lt;&gt;""""))), LEN(INDEX(FILTER(E$1:E1031, E$1:E1031&lt;&gt;""""),COUNTA(FILTER(E$1:E1031, E$1:E1031&lt;&gt;""""))))-1), IF('To Order'!$A1032=COL"&amp;"UMNS($A1032:E1051), E1031&amp;RIGHT(INDIRECT(ADDRESS(ROW(E1032)-1, 'From Order'!$A1032)), 1), E1031))"),"")</f>
        <v/>
      </c>
      <c r="F1032" s="2" t="str">
        <f>IFERROR(__xludf.DUMMYFUNCTION("IF('From Order'!$A1032=COLUMNS($A1032:F1051), LEFT(INDEX(FILTER(F$1:F1031, F$1:F1031&lt;&gt;""""),COUNTA(FILTER(F$1:F1031, F$1:F1031&lt;&gt;""""))), LEN(INDEX(FILTER(F$1:F1031, F$1:F1031&lt;&gt;""""),COUNTA(FILTER(F$1:F1031, F$1:F1031&lt;&gt;""""))))-1), IF('To Order'!$A1032=COL"&amp;"UMNS($A1032:F1051), F1031&amp;RIGHT(INDIRECT(ADDRESS(ROW(F1032)-1, 'From Order'!$A1032)), 1), F1031))"),"FSLTTW")</f>
        <v>FSLTTW</v>
      </c>
      <c r="G1032" s="2" t="str">
        <f>IFERROR(__xludf.DUMMYFUNCTION("IF('From Order'!$A1032=COLUMNS($A1032:G1051), LEFT(INDEX(FILTER(G$1:G1031, G$1:G1031&lt;&gt;""""),COUNTA(FILTER(G$1:G1031, G$1:G1031&lt;&gt;""""))), LEN(INDEX(FILTER(G$1:G1031, G$1:G1031&lt;&gt;""""),COUNTA(FILTER(G$1:G1031, G$1:G1031&lt;&gt;""""))))-1), IF('To Order'!$A1032=COL"&amp;"UMNS($A1032:G1051), G1031&amp;RIGHT(INDIRECT(ADDRESS(ROW(G1032)-1, 'From Order'!$A1032)), 1), G1031))"),"BDTD")</f>
        <v>BDTD</v>
      </c>
      <c r="H1032" s="2" t="str">
        <f>IFERROR(__xludf.DUMMYFUNCTION("IF('From Order'!$A1032=COLUMNS($A1032:H1051), LEFT(INDEX(FILTER(H$1:H1031, H$1:H1031&lt;&gt;""""),COUNTA(FILTER(H$1:H1031, H$1:H1031&lt;&gt;""""))), LEN(INDEX(FILTER(H$1:H1031, H$1:H1031&lt;&gt;""""),COUNTA(FILTER(H$1:H1031, H$1:H1031&lt;&gt;""""))))-1), IF('To Order'!$A1032=COL"&amp;"UMNS($A1032:H1051), H1031&amp;RIGHT(INDIRECT(ADDRESS(ROW(H1032)-1, 'From Order'!$A1032)), 1), H1031))"),"PDSDJ")</f>
        <v>PDSDJ</v>
      </c>
      <c r="I1032" s="2" t="str">
        <f>IFERROR(__xludf.DUMMYFUNCTION("IF('From Order'!$A1032=COLUMNS($A1032:I1051), LEFT(INDEX(FILTER(I$1:I1031, I$1:I1031&lt;&gt;""""),COUNTA(FILTER(I$1:I1031, I$1:I1031&lt;&gt;""""))), LEN(INDEX(FILTER(I$1:I1031, I$1:I1031&lt;&gt;""""),COUNTA(FILTER(I$1:I1031, I$1:I1031&lt;&gt;""""))))-1), IF('To Order'!$A1032=COL"&amp;"UMNS($A1032:I1051), I1031&amp;RIGHT(INDIRECT(ADDRESS(ROW(I1032)-1, 'From Order'!$A1032)), 1), I1031))"),"RCTMR")</f>
        <v>RCTMR</v>
      </c>
    </row>
    <row r="1033">
      <c r="A1033" s="2" t="str">
        <f>IFERROR(__xludf.DUMMYFUNCTION("IF('From Order'!$A1033=COLUMNS($A1033:A1052), LEFT(INDEX(FILTER(A$1:A1032, A$1:A1032&lt;&gt;""""),COUNTA(FILTER(A$1:A1032, A$1:A1032&lt;&gt;""""))), LEN(INDEX(FILTER(A$1:A1032, A$1:A1032&lt;&gt;""""),COUNTA(FILTER(A$1:A1032, A$1:A1032&lt;&gt;""""))))-1), IF('To Order'!$A1033=COL"&amp;"UMNS($A1033:A1052), A1032&amp;RIGHT(INDIRECT(ADDRESS(ROW(A1033)-1, 'From Order'!$A1033)), 1), A1032))"),"")</f>
        <v/>
      </c>
      <c r="B1033" s="2" t="str">
        <f>IFERROR(__xludf.DUMMYFUNCTION("IF('From Order'!$A1033=COLUMNS($A1033:B1052), LEFT(INDEX(FILTER(B$1:B1032, B$1:B1032&lt;&gt;""""),COUNTA(FILTER(B$1:B1032, B$1:B1032&lt;&gt;""""))), LEN(INDEX(FILTER(B$1:B1032, B$1:B1032&lt;&gt;""""),COUNTA(FILTER(B$1:B1032, B$1:B1032&lt;&gt;""""))))-1), IF('To Order'!$A1033=COL"&amp;"UMNS($A1033:B1052), B1032&amp;RIGHT(INDIRECT(ADDRESS(ROW(B1033)-1, 'From Order'!$A1033)), 1), B1032))"),"ZL")</f>
        <v>ZL</v>
      </c>
      <c r="C1033" s="2" t="str">
        <f>IFERROR(__xludf.DUMMYFUNCTION("IF('From Order'!$A1033=COLUMNS($A1033:C1052), LEFT(INDEX(FILTER(C$1:C1032, C$1:C1032&lt;&gt;""""),COUNTA(FILTER(C$1:C1032, C$1:C1032&lt;&gt;""""))), LEN(INDEX(FILTER(C$1:C1032, C$1:C1032&lt;&gt;""""),COUNTA(FILTER(C$1:C1032, C$1:C1032&lt;&gt;""""))))-1), IF('To Order'!$A1033=COL"&amp;"UMNS($A1033:C1052), C1032&amp;RIGHT(INDIRECT(ADDRESS(ROW(C1033)-1, 'From Order'!$A1033)), 1), C1032))"),"TRLRSGHWQVQJPPVJCVZRDCGMTBFMHZBSBD")</f>
        <v>TRLRSGHWQVQJPPVJCVZRDCGMTBFMHZBSBD</v>
      </c>
      <c r="D1033" s="2" t="str">
        <f>IFERROR(__xludf.DUMMYFUNCTION("IF('From Order'!$A1033=COLUMNS($A1033:D1052), LEFT(INDEX(FILTER(D$1:D1032, D$1:D1032&lt;&gt;""""),COUNTA(FILTER(D$1:D1032, D$1:D1032&lt;&gt;""""))), LEN(INDEX(FILTER(D$1:D1032, D$1:D1032&lt;&gt;""""),COUNTA(FILTER(D$1:D1032, D$1:D1032&lt;&gt;""""))))-1), IF('To Order'!$A1033=COL"&amp;"UMNS($A1033:D1052), D1032&amp;RIGHT(INDIRECT(ADDRESS(ROW(D1033)-1, 'From Order'!$A1033)), 1), D1032))"),"")</f>
        <v/>
      </c>
      <c r="E1033" s="2" t="str">
        <f>IFERROR(__xludf.DUMMYFUNCTION("IF('From Order'!$A1033=COLUMNS($A1033:E1052), LEFT(INDEX(FILTER(E$1:E1032, E$1:E1032&lt;&gt;""""),COUNTA(FILTER(E$1:E1032, E$1:E1032&lt;&gt;""""))), LEN(INDEX(FILTER(E$1:E1032, E$1:E1032&lt;&gt;""""),COUNTA(FILTER(E$1:E1032, E$1:E1032&lt;&gt;""""))))-1), IF('To Order'!$A1033=COL"&amp;"UMNS($A1033:E1052), E1032&amp;RIGHT(INDIRECT(ADDRESS(ROW(E1033)-1, 'From Order'!$A1033)), 1), E1032))"),"")</f>
        <v/>
      </c>
      <c r="F1033" s="2" t="str">
        <f>IFERROR(__xludf.DUMMYFUNCTION("IF('From Order'!$A1033=COLUMNS($A1033:F1052), LEFT(INDEX(FILTER(F$1:F1032, F$1:F1032&lt;&gt;""""),COUNTA(FILTER(F$1:F1032, F$1:F1032&lt;&gt;""""))), LEN(INDEX(FILTER(F$1:F1032, F$1:F1032&lt;&gt;""""),COUNTA(FILTER(F$1:F1032, F$1:F1032&lt;&gt;""""))))-1), IF('To Order'!$A1033=COL"&amp;"UMNS($A1033:F1052), F1032&amp;RIGHT(INDIRECT(ADDRESS(ROW(F1033)-1, 'From Order'!$A1033)), 1), F1032))"),"FSLTT")</f>
        <v>FSLTT</v>
      </c>
      <c r="G1033" s="2" t="str">
        <f>IFERROR(__xludf.DUMMYFUNCTION("IF('From Order'!$A1033=COLUMNS($A1033:G1052), LEFT(INDEX(FILTER(G$1:G1032, G$1:G1032&lt;&gt;""""),COUNTA(FILTER(G$1:G1032, G$1:G1032&lt;&gt;""""))), LEN(INDEX(FILTER(G$1:G1032, G$1:G1032&lt;&gt;""""),COUNTA(FILTER(G$1:G1032, G$1:G1032&lt;&gt;""""))))-1), IF('To Order'!$A1033=COL"&amp;"UMNS($A1033:G1052), G1032&amp;RIGHT(INDIRECT(ADDRESS(ROW(G1033)-1, 'From Order'!$A1033)), 1), G1032))"),"BDTD")</f>
        <v>BDTD</v>
      </c>
      <c r="H1033" s="2" t="str">
        <f>IFERROR(__xludf.DUMMYFUNCTION("IF('From Order'!$A1033=COLUMNS($A1033:H1052), LEFT(INDEX(FILTER(H$1:H1032, H$1:H1032&lt;&gt;""""),COUNTA(FILTER(H$1:H1032, H$1:H1032&lt;&gt;""""))), LEN(INDEX(FILTER(H$1:H1032, H$1:H1032&lt;&gt;""""),COUNTA(FILTER(H$1:H1032, H$1:H1032&lt;&gt;""""))))-1), IF('To Order'!$A1033=COL"&amp;"UMNS($A1033:H1052), H1032&amp;RIGHT(INDIRECT(ADDRESS(ROW(H1033)-1, 'From Order'!$A1033)), 1), H1032))"),"PDSDJ")</f>
        <v>PDSDJ</v>
      </c>
      <c r="I1033" s="2" t="str">
        <f>IFERROR(__xludf.DUMMYFUNCTION("IF('From Order'!$A1033=COLUMNS($A1033:I1052), LEFT(INDEX(FILTER(I$1:I1032, I$1:I1032&lt;&gt;""""),COUNTA(FILTER(I$1:I1032, I$1:I1032&lt;&gt;""""))), LEN(INDEX(FILTER(I$1:I1032, I$1:I1032&lt;&gt;""""),COUNTA(FILTER(I$1:I1032, I$1:I1032&lt;&gt;""""))))-1), IF('To Order'!$A1033=COL"&amp;"UMNS($A1033:I1052), I1032&amp;RIGHT(INDIRECT(ADDRESS(ROW(I1033)-1, 'From Order'!$A1033)), 1), I1032))"),"RCTMRW")</f>
        <v>RCTMRW</v>
      </c>
    </row>
    <row r="1034">
      <c r="A1034" s="2" t="str">
        <f>IFERROR(__xludf.DUMMYFUNCTION("IF('From Order'!$A1034=COLUMNS($A1034:A1053), LEFT(INDEX(FILTER(A$1:A1033, A$1:A1033&lt;&gt;""""),COUNTA(FILTER(A$1:A1033, A$1:A1033&lt;&gt;""""))), LEN(INDEX(FILTER(A$1:A1033, A$1:A1033&lt;&gt;""""),COUNTA(FILTER(A$1:A1033, A$1:A1033&lt;&gt;""""))))-1), IF('To Order'!$A1034=COL"&amp;"UMNS($A1034:A1053), A1033&amp;RIGHT(INDIRECT(ADDRESS(ROW(A1034)-1, 'From Order'!$A1034)), 1), A1033))"),"")</f>
        <v/>
      </c>
      <c r="B1034" s="2" t="str">
        <f>IFERROR(__xludf.DUMMYFUNCTION("IF('From Order'!$A1034=COLUMNS($A1034:B1053), LEFT(INDEX(FILTER(B$1:B1033, B$1:B1033&lt;&gt;""""),COUNTA(FILTER(B$1:B1033, B$1:B1033&lt;&gt;""""))), LEN(INDEX(FILTER(B$1:B1033, B$1:B1033&lt;&gt;""""),COUNTA(FILTER(B$1:B1033, B$1:B1033&lt;&gt;""""))))-1), IF('To Order'!$A1034=COL"&amp;"UMNS($A1034:B1053), B1033&amp;RIGHT(INDIRECT(ADDRESS(ROW(B1034)-1, 'From Order'!$A1034)), 1), B1033))"),"ZL")</f>
        <v>ZL</v>
      </c>
      <c r="C1034" s="2" t="str">
        <f>IFERROR(__xludf.DUMMYFUNCTION("IF('From Order'!$A1034=COLUMNS($A1034:C1053), LEFT(INDEX(FILTER(C$1:C1033, C$1:C1033&lt;&gt;""""),COUNTA(FILTER(C$1:C1033, C$1:C1033&lt;&gt;""""))), LEN(INDEX(FILTER(C$1:C1033, C$1:C1033&lt;&gt;""""),COUNTA(FILTER(C$1:C1033, C$1:C1033&lt;&gt;""""))))-1), IF('To Order'!$A1034=COL"&amp;"UMNS($A1034:C1053), C1033&amp;RIGHT(INDIRECT(ADDRESS(ROW(C1034)-1, 'From Order'!$A1034)), 1), C1033))"),"TRLRSGHWQVQJPPVJCVZRDCGMTBFMHZBSBD")</f>
        <v>TRLRSGHWQVQJPPVJCVZRDCGMTBFMHZBSBD</v>
      </c>
      <c r="D1034" s="2" t="str">
        <f>IFERROR(__xludf.DUMMYFUNCTION("IF('From Order'!$A1034=COLUMNS($A1034:D1053), LEFT(INDEX(FILTER(D$1:D1033, D$1:D1033&lt;&gt;""""),COUNTA(FILTER(D$1:D1033, D$1:D1033&lt;&gt;""""))), LEN(INDEX(FILTER(D$1:D1033, D$1:D1033&lt;&gt;""""),COUNTA(FILTER(D$1:D1033, D$1:D1033&lt;&gt;""""))))-1), IF('To Order'!$A1034=COL"&amp;"UMNS($A1034:D1053), D1033&amp;RIGHT(INDIRECT(ADDRESS(ROW(D1034)-1, 'From Order'!$A1034)), 1), D1033))"),"")</f>
        <v/>
      </c>
      <c r="E1034" s="2" t="str">
        <f>IFERROR(__xludf.DUMMYFUNCTION("IF('From Order'!$A1034=COLUMNS($A1034:E1053), LEFT(INDEX(FILTER(E$1:E1033, E$1:E1033&lt;&gt;""""),COUNTA(FILTER(E$1:E1033, E$1:E1033&lt;&gt;""""))), LEN(INDEX(FILTER(E$1:E1033, E$1:E1033&lt;&gt;""""),COUNTA(FILTER(E$1:E1033, E$1:E1033&lt;&gt;""""))))-1), IF('To Order'!$A1034=COL"&amp;"UMNS($A1034:E1053), E1033&amp;RIGHT(INDIRECT(ADDRESS(ROW(E1034)-1, 'From Order'!$A1034)), 1), E1033))"),"")</f>
        <v/>
      </c>
      <c r="F1034" s="2" t="str">
        <f>IFERROR(__xludf.DUMMYFUNCTION("IF('From Order'!$A1034=COLUMNS($A1034:F1053), LEFT(INDEX(FILTER(F$1:F1033, F$1:F1033&lt;&gt;""""),COUNTA(FILTER(F$1:F1033, F$1:F1033&lt;&gt;""""))), LEN(INDEX(FILTER(F$1:F1033, F$1:F1033&lt;&gt;""""),COUNTA(FILTER(F$1:F1033, F$1:F1033&lt;&gt;""""))))-1), IF('To Order'!$A1034=COL"&amp;"UMNS($A1034:F1053), F1033&amp;RIGHT(INDIRECT(ADDRESS(ROW(F1034)-1, 'From Order'!$A1034)), 1), F1033))"),"FSLT")</f>
        <v>FSLT</v>
      </c>
      <c r="G1034" s="2" t="str">
        <f>IFERROR(__xludf.DUMMYFUNCTION("IF('From Order'!$A1034=COLUMNS($A1034:G1053), LEFT(INDEX(FILTER(G$1:G1033, G$1:G1033&lt;&gt;""""),COUNTA(FILTER(G$1:G1033, G$1:G1033&lt;&gt;""""))), LEN(INDEX(FILTER(G$1:G1033, G$1:G1033&lt;&gt;""""),COUNTA(FILTER(G$1:G1033, G$1:G1033&lt;&gt;""""))))-1), IF('To Order'!$A1034=COL"&amp;"UMNS($A1034:G1053), G1033&amp;RIGHT(INDIRECT(ADDRESS(ROW(G1034)-1, 'From Order'!$A1034)), 1), G1033))"),"BDTD")</f>
        <v>BDTD</v>
      </c>
      <c r="H1034" s="2" t="str">
        <f>IFERROR(__xludf.DUMMYFUNCTION("IF('From Order'!$A1034=COLUMNS($A1034:H1053), LEFT(INDEX(FILTER(H$1:H1033, H$1:H1033&lt;&gt;""""),COUNTA(FILTER(H$1:H1033, H$1:H1033&lt;&gt;""""))), LEN(INDEX(FILTER(H$1:H1033, H$1:H1033&lt;&gt;""""),COUNTA(FILTER(H$1:H1033, H$1:H1033&lt;&gt;""""))))-1), IF('To Order'!$A1034=COL"&amp;"UMNS($A1034:H1053), H1033&amp;RIGHT(INDIRECT(ADDRESS(ROW(H1034)-1, 'From Order'!$A1034)), 1), H1033))"),"PDSDJ")</f>
        <v>PDSDJ</v>
      </c>
      <c r="I1034" s="2" t="str">
        <f>IFERROR(__xludf.DUMMYFUNCTION("IF('From Order'!$A1034=COLUMNS($A1034:I1053), LEFT(INDEX(FILTER(I$1:I1033, I$1:I1033&lt;&gt;""""),COUNTA(FILTER(I$1:I1033, I$1:I1033&lt;&gt;""""))), LEN(INDEX(FILTER(I$1:I1033, I$1:I1033&lt;&gt;""""),COUNTA(FILTER(I$1:I1033, I$1:I1033&lt;&gt;""""))))-1), IF('To Order'!$A1034=COL"&amp;"UMNS($A1034:I1053), I1033&amp;RIGHT(INDIRECT(ADDRESS(ROW(I1034)-1, 'From Order'!$A1034)), 1), I1033))"),"RCTMRWT")</f>
        <v>RCTMRWT</v>
      </c>
    </row>
    <row r="1035">
      <c r="A1035" s="2" t="str">
        <f>IFERROR(__xludf.DUMMYFUNCTION("IF('From Order'!$A1035=COLUMNS($A1035:A1054), LEFT(INDEX(FILTER(A$1:A1034, A$1:A1034&lt;&gt;""""),COUNTA(FILTER(A$1:A1034, A$1:A1034&lt;&gt;""""))), LEN(INDEX(FILTER(A$1:A1034, A$1:A1034&lt;&gt;""""),COUNTA(FILTER(A$1:A1034, A$1:A1034&lt;&gt;""""))))-1), IF('To Order'!$A1035=COL"&amp;"UMNS($A1035:A1054), A1034&amp;RIGHT(INDIRECT(ADDRESS(ROW(A1035)-1, 'From Order'!$A1035)), 1), A1034))"),"")</f>
        <v/>
      </c>
      <c r="B1035" s="2" t="str">
        <f>IFERROR(__xludf.DUMMYFUNCTION("IF('From Order'!$A1035=COLUMNS($A1035:B1054), LEFT(INDEX(FILTER(B$1:B1034, B$1:B1034&lt;&gt;""""),COUNTA(FILTER(B$1:B1034, B$1:B1034&lt;&gt;""""))), LEN(INDEX(FILTER(B$1:B1034, B$1:B1034&lt;&gt;""""),COUNTA(FILTER(B$1:B1034, B$1:B1034&lt;&gt;""""))))-1), IF('To Order'!$A1035=COL"&amp;"UMNS($A1035:B1054), B1034&amp;RIGHT(INDIRECT(ADDRESS(ROW(B1035)-1, 'From Order'!$A1035)), 1), B1034))"),"ZL")</f>
        <v>ZL</v>
      </c>
      <c r="C1035" s="2" t="str">
        <f>IFERROR(__xludf.DUMMYFUNCTION("IF('From Order'!$A1035=COLUMNS($A1035:C1054), LEFT(INDEX(FILTER(C$1:C1034, C$1:C1034&lt;&gt;""""),COUNTA(FILTER(C$1:C1034, C$1:C1034&lt;&gt;""""))), LEN(INDEX(FILTER(C$1:C1034, C$1:C1034&lt;&gt;""""),COUNTA(FILTER(C$1:C1034, C$1:C1034&lt;&gt;""""))))-1), IF('To Order'!$A1035=COL"&amp;"UMNS($A1035:C1054), C1034&amp;RIGHT(INDIRECT(ADDRESS(ROW(C1035)-1, 'From Order'!$A1035)), 1), C1034))"),"TRLRSGHWQVQJPPVJCVZRDCGMTBFMHZBSBDJ")</f>
        <v>TRLRSGHWQVQJPPVJCVZRDCGMTBFMHZBSBDJ</v>
      </c>
      <c r="D1035" s="2" t="str">
        <f>IFERROR(__xludf.DUMMYFUNCTION("IF('From Order'!$A1035=COLUMNS($A1035:D1054), LEFT(INDEX(FILTER(D$1:D1034, D$1:D1034&lt;&gt;""""),COUNTA(FILTER(D$1:D1034, D$1:D1034&lt;&gt;""""))), LEN(INDEX(FILTER(D$1:D1034, D$1:D1034&lt;&gt;""""),COUNTA(FILTER(D$1:D1034, D$1:D1034&lt;&gt;""""))))-1), IF('To Order'!$A1035=COL"&amp;"UMNS($A1035:D1054), D1034&amp;RIGHT(INDIRECT(ADDRESS(ROW(D1035)-1, 'From Order'!$A1035)), 1), D1034))"),"")</f>
        <v/>
      </c>
      <c r="E1035" s="2" t="str">
        <f>IFERROR(__xludf.DUMMYFUNCTION("IF('From Order'!$A1035=COLUMNS($A1035:E1054), LEFT(INDEX(FILTER(E$1:E1034, E$1:E1034&lt;&gt;""""),COUNTA(FILTER(E$1:E1034, E$1:E1034&lt;&gt;""""))), LEN(INDEX(FILTER(E$1:E1034, E$1:E1034&lt;&gt;""""),COUNTA(FILTER(E$1:E1034, E$1:E1034&lt;&gt;""""))))-1), IF('To Order'!$A1035=COL"&amp;"UMNS($A1035:E1054), E1034&amp;RIGHT(INDIRECT(ADDRESS(ROW(E1035)-1, 'From Order'!$A1035)), 1), E1034))"),"")</f>
        <v/>
      </c>
      <c r="F1035" s="2" t="str">
        <f>IFERROR(__xludf.DUMMYFUNCTION("IF('From Order'!$A1035=COLUMNS($A1035:F1054), LEFT(INDEX(FILTER(F$1:F1034, F$1:F1034&lt;&gt;""""),COUNTA(FILTER(F$1:F1034, F$1:F1034&lt;&gt;""""))), LEN(INDEX(FILTER(F$1:F1034, F$1:F1034&lt;&gt;""""),COUNTA(FILTER(F$1:F1034, F$1:F1034&lt;&gt;""""))))-1), IF('To Order'!$A1035=COL"&amp;"UMNS($A1035:F1054), F1034&amp;RIGHT(INDIRECT(ADDRESS(ROW(F1035)-1, 'From Order'!$A1035)), 1), F1034))"),"FSLT")</f>
        <v>FSLT</v>
      </c>
      <c r="G1035" s="2" t="str">
        <f>IFERROR(__xludf.DUMMYFUNCTION("IF('From Order'!$A1035=COLUMNS($A1035:G1054), LEFT(INDEX(FILTER(G$1:G1034, G$1:G1034&lt;&gt;""""),COUNTA(FILTER(G$1:G1034, G$1:G1034&lt;&gt;""""))), LEN(INDEX(FILTER(G$1:G1034, G$1:G1034&lt;&gt;""""),COUNTA(FILTER(G$1:G1034, G$1:G1034&lt;&gt;""""))))-1), IF('To Order'!$A1035=COL"&amp;"UMNS($A1035:G1054), G1034&amp;RIGHT(INDIRECT(ADDRESS(ROW(G1035)-1, 'From Order'!$A1035)), 1), G1034))"),"BDTD")</f>
        <v>BDTD</v>
      </c>
      <c r="H1035" s="2" t="str">
        <f>IFERROR(__xludf.DUMMYFUNCTION("IF('From Order'!$A1035=COLUMNS($A1035:H1054), LEFT(INDEX(FILTER(H$1:H1034, H$1:H1034&lt;&gt;""""),COUNTA(FILTER(H$1:H1034, H$1:H1034&lt;&gt;""""))), LEN(INDEX(FILTER(H$1:H1034, H$1:H1034&lt;&gt;""""),COUNTA(FILTER(H$1:H1034, H$1:H1034&lt;&gt;""""))))-1), IF('To Order'!$A1035=COL"&amp;"UMNS($A1035:H1054), H1034&amp;RIGHT(INDIRECT(ADDRESS(ROW(H1035)-1, 'From Order'!$A1035)), 1), H1034))"),"PDSD")</f>
        <v>PDSD</v>
      </c>
      <c r="I1035" s="2" t="str">
        <f>IFERROR(__xludf.DUMMYFUNCTION("IF('From Order'!$A1035=COLUMNS($A1035:I1054), LEFT(INDEX(FILTER(I$1:I1034, I$1:I1034&lt;&gt;""""),COUNTA(FILTER(I$1:I1034, I$1:I1034&lt;&gt;""""))), LEN(INDEX(FILTER(I$1:I1034, I$1:I1034&lt;&gt;""""),COUNTA(FILTER(I$1:I1034, I$1:I1034&lt;&gt;""""))))-1), IF('To Order'!$A1035=COL"&amp;"UMNS($A1035:I1054), I1034&amp;RIGHT(INDIRECT(ADDRESS(ROW(I1035)-1, 'From Order'!$A1035)), 1), I1034))"),"RCTMRWT")</f>
        <v>RCTMRWT</v>
      </c>
    </row>
    <row r="1036">
      <c r="A1036" s="2" t="str">
        <f>IFERROR(__xludf.DUMMYFUNCTION("IF('From Order'!$A1036=COLUMNS($A1036:A1055), LEFT(INDEX(FILTER(A$1:A1035, A$1:A1035&lt;&gt;""""),COUNTA(FILTER(A$1:A1035, A$1:A1035&lt;&gt;""""))), LEN(INDEX(FILTER(A$1:A1035, A$1:A1035&lt;&gt;""""),COUNTA(FILTER(A$1:A1035, A$1:A1035&lt;&gt;""""))))-1), IF('To Order'!$A1036=COL"&amp;"UMNS($A1036:A1055), A1035&amp;RIGHT(INDIRECT(ADDRESS(ROW(A1036)-1, 'From Order'!$A1036)), 1), A1035))"),"")</f>
        <v/>
      </c>
      <c r="B1036" s="2" t="str">
        <f>IFERROR(__xludf.DUMMYFUNCTION("IF('From Order'!$A1036=COLUMNS($A1036:B1055), LEFT(INDEX(FILTER(B$1:B1035, B$1:B1035&lt;&gt;""""),COUNTA(FILTER(B$1:B1035, B$1:B1035&lt;&gt;""""))), LEN(INDEX(FILTER(B$1:B1035, B$1:B1035&lt;&gt;""""),COUNTA(FILTER(B$1:B1035, B$1:B1035&lt;&gt;""""))))-1), IF('To Order'!$A1036=COL"&amp;"UMNS($A1036:B1055), B1035&amp;RIGHT(INDIRECT(ADDRESS(ROW(B1036)-1, 'From Order'!$A1036)), 1), B1035))"),"ZL")</f>
        <v>ZL</v>
      </c>
      <c r="C1036" s="2" t="str">
        <f>IFERROR(__xludf.DUMMYFUNCTION("IF('From Order'!$A1036=COLUMNS($A1036:C1055), LEFT(INDEX(FILTER(C$1:C1035, C$1:C1035&lt;&gt;""""),COUNTA(FILTER(C$1:C1035, C$1:C1035&lt;&gt;""""))), LEN(INDEX(FILTER(C$1:C1035, C$1:C1035&lt;&gt;""""),COUNTA(FILTER(C$1:C1035, C$1:C1035&lt;&gt;""""))))-1), IF('To Order'!$A1036=COL"&amp;"UMNS($A1036:C1055), C1035&amp;RIGHT(INDIRECT(ADDRESS(ROW(C1036)-1, 'From Order'!$A1036)), 1), C1035))"),"TRLRSGHWQVQJPPVJCVZRDCGMTBFMHZBSBDJD")</f>
        <v>TRLRSGHWQVQJPPVJCVZRDCGMTBFMHZBSBDJD</v>
      </c>
      <c r="D1036" s="2" t="str">
        <f>IFERROR(__xludf.DUMMYFUNCTION("IF('From Order'!$A1036=COLUMNS($A1036:D1055), LEFT(INDEX(FILTER(D$1:D1035, D$1:D1035&lt;&gt;""""),COUNTA(FILTER(D$1:D1035, D$1:D1035&lt;&gt;""""))), LEN(INDEX(FILTER(D$1:D1035, D$1:D1035&lt;&gt;""""),COUNTA(FILTER(D$1:D1035, D$1:D1035&lt;&gt;""""))))-1), IF('To Order'!$A1036=COL"&amp;"UMNS($A1036:D1055), D1035&amp;RIGHT(INDIRECT(ADDRESS(ROW(D1036)-1, 'From Order'!$A1036)), 1), D1035))"),"")</f>
        <v/>
      </c>
      <c r="E1036" s="2" t="str">
        <f>IFERROR(__xludf.DUMMYFUNCTION("IF('From Order'!$A1036=COLUMNS($A1036:E1055), LEFT(INDEX(FILTER(E$1:E1035, E$1:E1035&lt;&gt;""""),COUNTA(FILTER(E$1:E1035, E$1:E1035&lt;&gt;""""))), LEN(INDEX(FILTER(E$1:E1035, E$1:E1035&lt;&gt;""""),COUNTA(FILTER(E$1:E1035, E$1:E1035&lt;&gt;""""))))-1), IF('To Order'!$A1036=COL"&amp;"UMNS($A1036:E1055), E1035&amp;RIGHT(INDIRECT(ADDRESS(ROW(E1036)-1, 'From Order'!$A1036)), 1), E1035))"),"")</f>
        <v/>
      </c>
      <c r="F1036" s="2" t="str">
        <f>IFERROR(__xludf.DUMMYFUNCTION("IF('From Order'!$A1036=COLUMNS($A1036:F1055), LEFT(INDEX(FILTER(F$1:F1035, F$1:F1035&lt;&gt;""""),COUNTA(FILTER(F$1:F1035, F$1:F1035&lt;&gt;""""))), LEN(INDEX(FILTER(F$1:F1035, F$1:F1035&lt;&gt;""""),COUNTA(FILTER(F$1:F1035, F$1:F1035&lt;&gt;""""))))-1), IF('To Order'!$A1036=COL"&amp;"UMNS($A1036:F1055), F1035&amp;RIGHT(INDIRECT(ADDRESS(ROW(F1036)-1, 'From Order'!$A1036)), 1), F1035))"),"FSLT")</f>
        <v>FSLT</v>
      </c>
      <c r="G1036" s="2" t="str">
        <f>IFERROR(__xludf.DUMMYFUNCTION("IF('From Order'!$A1036=COLUMNS($A1036:G1055), LEFT(INDEX(FILTER(G$1:G1035, G$1:G1035&lt;&gt;""""),COUNTA(FILTER(G$1:G1035, G$1:G1035&lt;&gt;""""))), LEN(INDEX(FILTER(G$1:G1035, G$1:G1035&lt;&gt;""""),COUNTA(FILTER(G$1:G1035, G$1:G1035&lt;&gt;""""))))-1), IF('To Order'!$A1036=COL"&amp;"UMNS($A1036:G1055), G1035&amp;RIGHT(INDIRECT(ADDRESS(ROW(G1036)-1, 'From Order'!$A1036)), 1), G1035))"),"BDTD")</f>
        <v>BDTD</v>
      </c>
      <c r="H1036" s="2" t="str">
        <f>IFERROR(__xludf.DUMMYFUNCTION("IF('From Order'!$A1036=COLUMNS($A1036:H1055), LEFT(INDEX(FILTER(H$1:H1035, H$1:H1035&lt;&gt;""""),COUNTA(FILTER(H$1:H1035, H$1:H1035&lt;&gt;""""))), LEN(INDEX(FILTER(H$1:H1035, H$1:H1035&lt;&gt;""""),COUNTA(FILTER(H$1:H1035, H$1:H1035&lt;&gt;""""))))-1), IF('To Order'!$A1036=COL"&amp;"UMNS($A1036:H1055), H1035&amp;RIGHT(INDIRECT(ADDRESS(ROW(H1036)-1, 'From Order'!$A1036)), 1), H1035))"),"PDS")</f>
        <v>PDS</v>
      </c>
      <c r="I1036" s="2" t="str">
        <f>IFERROR(__xludf.DUMMYFUNCTION("IF('From Order'!$A1036=COLUMNS($A1036:I1055), LEFT(INDEX(FILTER(I$1:I1035, I$1:I1035&lt;&gt;""""),COUNTA(FILTER(I$1:I1035, I$1:I1035&lt;&gt;""""))), LEN(INDEX(FILTER(I$1:I1035, I$1:I1035&lt;&gt;""""),COUNTA(FILTER(I$1:I1035, I$1:I1035&lt;&gt;""""))))-1), IF('To Order'!$A1036=COL"&amp;"UMNS($A1036:I1055), I1035&amp;RIGHT(INDIRECT(ADDRESS(ROW(I1036)-1, 'From Order'!$A1036)), 1), I1035))"),"RCTMRWT")</f>
        <v>RCTMRWT</v>
      </c>
    </row>
    <row r="1037">
      <c r="A1037" s="2" t="str">
        <f>IFERROR(__xludf.DUMMYFUNCTION("IF('From Order'!$A1037=COLUMNS($A1037:A1056), LEFT(INDEX(FILTER(A$1:A1036, A$1:A1036&lt;&gt;""""),COUNTA(FILTER(A$1:A1036, A$1:A1036&lt;&gt;""""))), LEN(INDEX(FILTER(A$1:A1036, A$1:A1036&lt;&gt;""""),COUNTA(FILTER(A$1:A1036, A$1:A1036&lt;&gt;""""))))-1), IF('To Order'!$A1037=COL"&amp;"UMNS($A1037:A1056), A1036&amp;RIGHT(INDIRECT(ADDRESS(ROW(A1037)-1, 'From Order'!$A1037)), 1), A1036))"),"")</f>
        <v/>
      </c>
      <c r="B1037" s="2" t="str">
        <f>IFERROR(__xludf.DUMMYFUNCTION("IF('From Order'!$A1037=COLUMNS($A1037:B1056), LEFT(INDEX(FILTER(B$1:B1036, B$1:B1036&lt;&gt;""""),COUNTA(FILTER(B$1:B1036, B$1:B1036&lt;&gt;""""))), LEN(INDEX(FILTER(B$1:B1036, B$1:B1036&lt;&gt;""""),COUNTA(FILTER(B$1:B1036, B$1:B1036&lt;&gt;""""))))-1), IF('To Order'!$A1037=COL"&amp;"UMNS($A1037:B1056), B1036&amp;RIGHT(INDIRECT(ADDRESS(ROW(B1037)-1, 'From Order'!$A1037)), 1), B1036))"),"ZL")</f>
        <v>ZL</v>
      </c>
      <c r="C1037" s="2" t="str">
        <f>IFERROR(__xludf.DUMMYFUNCTION("IF('From Order'!$A1037=COLUMNS($A1037:C1056), LEFT(INDEX(FILTER(C$1:C1036, C$1:C1036&lt;&gt;""""),COUNTA(FILTER(C$1:C1036, C$1:C1036&lt;&gt;""""))), LEN(INDEX(FILTER(C$1:C1036, C$1:C1036&lt;&gt;""""),COUNTA(FILTER(C$1:C1036, C$1:C1036&lt;&gt;""""))))-1), IF('To Order'!$A1037=COL"&amp;"UMNS($A1037:C1056), C1036&amp;RIGHT(INDIRECT(ADDRESS(ROW(C1037)-1, 'From Order'!$A1037)), 1), C1036))"),"TRLRSGHWQVQJPPVJCVZRDCGMTBFMHZBSBDJDS")</f>
        <v>TRLRSGHWQVQJPPVJCVZRDCGMTBFMHZBSBDJDS</v>
      </c>
      <c r="D1037" s="2" t="str">
        <f>IFERROR(__xludf.DUMMYFUNCTION("IF('From Order'!$A1037=COLUMNS($A1037:D1056), LEFT(INDEX(FILTER(D$1:D1036, D$1:D1036&lt;&gt;""""),COUNTA(FILTER(D$1:D1036, D$1:D1036&lt;&gt;""""))), LEN(INDEX(FILTER(D$1:D1036, D$1:D1036&lt;&gt;""""),COUNTA(FILTER(D$1:D1036, D$1:D1036&lt;&gt;""""))))-1), IF('To Order'!$A1037=COL"&amp;"UMNS($A1037:D1056), D1036&amp;RIGHT(INDIRECT(ADDRESS(ROW(D1037)-1, 'From Order'!$A1037)), 1), D1036))"),"")</f>
        <v/>
      </c>
      <c r="E1037" s="2" t="str">
        <f>IFERROR(__xludf.DUMMYFUNCTION("IF('From Order'!$A1037=COLUMNS($A1037:E1056), LEFT(INDEX(FILTER(E$1:E1036, E$1:E1036&lt;&gt;""""),COUNTA(FILTER(E$1:E1036, E$1:E1036&lt;&gt;""""))), LEN(INDEX(FILTER(E$1:E1036, E$1:E1036&lt;&gt;""""),COUNTA(FILTER(E$1:E1036, E$1:E1036&lt;&gt;""""))))-1), IF('To Order'!$A1037=COL"&amp;"UMNS($A1037:E1056), E1036&amp;RIGHT(INDIRECT(ADDRESS(ROW(E1037)-1, 'From Order'!$A1037)), 1), E1036))"),"")</f>
        <v/>
      </c>
      <c r="F1037" s="2" t="str">
        <f>IFERROR(__xludf.DUMMYFUNCTION("IF('From Order'!$A1037=COLUMNS($A1037:F1056), LEFT(INDEX(FILTER(F$1:F1036, F$1:F1036&lt;&gt;""""),COUNTA(FILTER(F$1:F1036, F$1:F1036&lt;&gt;""""))), LEN(INDEX(FILTER(F$1:F1036, F$1:F1036&lt;&gt;""""),COUNTA(FILTER(F$1:F1036, F$1:F1036&lt;&gt;""""))))-1), IF('To Order'!$A1037=COL"&amp;"UMNS($A1037:F1056), F1036&amp;RIGHT(INDIRECT(ADDRESS(ROW(F1037)-1, 'From Order'!$A1037)), 1), F1036))"),"FSLT")</f>
        <v>FSLT</v>
      </c>
      <c r="G1037" s="2" t="str">
        <f>IFERROR(__xludf.DUMMYFUNCTION("IF('From Order'!$A1037=COLUMNS($A1037:G1056), LEFT(INDEX(FILTER(G$1:G1036, G$1:G1036&lt;&gt;""""),COUNTA(FILTER(G$1:G1036, G$1:G1036&lt;&gt;""""))), LEN(INDEX(FILTER(G$1:G1036, G$1:G1036&lt;&gt;""""),COUNTA(FILTER(G$1:G1036, G$1:G1036&lt;&gt;""""))))-1), IF('To Order'!$A1037=COL"&amp;"UMNS($A1037:G1056), G1036&amp;RIGHT(INDIRECT(ADDRESS(ROW(G1037)-1, 'From Order'!$A1037)), 1), G1036))"),"BDTD")</f>
        <v>BDTD</v>
      </c>
      <c r="H1037" s="2" t="str">
        <f>IFERROR(__xludf.DUMMYFUNCTION("IF('From Order'!$A1037=COLUMNS($A1037:H1056), LEFT(INDEX(FILTER(H$1:H1036, H$1:H1036&lt;&gt;""""),COUNTA(FILTER(H$1:H1036, H$1:H1036&lt;&gt;""""))), LEN(INDEX(FILTER(H$1:H1036, H$1:H1036&lt;&gt;""""),COUNTA(FILTER(H$1:H1036, H$1:H1036&lt;&gt;""""))))-1), IF('To Order'!$A1037=COL"&amp;"UMNS($A1037:H1056), H1036&amp;RIGHT(INDIRECT(ADDRESS(ROW(H1037)-1, 'From Order'!$A1037)), 1), H1036))"),"PD")</f>
        <v>PD</v>
      </c>
      <c r="I1037" s="2" t="str">
        <f>IFERROR(__xludf.DUMMYFUNCTION("IF('From Order'!$A1037=COLUMNS($A1037:I1056), LEFT(INDEX(FILTER(I$1:I1036, I$1:I1036&lt;&gt;""""),COUNTA(FILTER(I$1:I1036, I$1:I1036&lt;&gt;""""))), LEN(INDEX(FILTER(I$1:I1036, I$1:I1036&lt;&gt;""""),COUNTA(FILTER(I$1:I1036, I$1:I1036&lt;&gt;""""))))-1), IF('To Order'!$A1037=COL"&amp;"UMNS($A1037:I1056), I1036&amp;RIGHT(INDIRECT(ADDRESS(ROW(I1037)-1, 'From Order'!$A1037)), 1), I1036))"),"RCTMRWT")</f>
        <v>RCTMRWT</v>
      </c>
    </row>
    <row r="1038">
      <c r="A1038" s="2" t="str">
        <f>IFERROR(__xludf.DUMMYFUNCTION("IF('From Order'!$A1038=COLUMNS($A1038:A1057), LEFT(INDEX(FILTER(A$1:A1037, A$1:A1037&lt;&gt;""""),COUNTA(FILTER(A$1:A1037, A$1:A1037&lt;&gt;""""))), LEN(INDEX(FILTER(A$1:A1037, A$1:A1037&lt;&gt;""""),COUNTA(FILTER(A$1:A1037, A$1:A1037&lt;&gt;""""))))-1), IF('To Order'!$A1038=COL"&amp;"UMNS($A1038:A1057), A1037&amp;RIGHT(INDIRECT(ADDRESS(ROW(A1038)-1, 'From Order'!$A1038)), 1), A1037))"),"")</f>
        <v/>
      </c>
      <c r="B1038" s="2" t="str">
        <f>IFERROR(__xludf.DUMMYFUNCTION("IF('From Order'!$A1038=COLUMNS($A1038:B1057), LEFT(INDEX(FILTER(B$1:B1037, B$1:B1037&lt;&gt;""""),COUNTA(FILTER(B$1:B1037, B$1:B1037&lt;&gt;""""))), LEN(INDEX(FILTER(B$1:B1037, B$1:B1037&lt;&gt;""""),COUNTA(FILTER(B$1:B1037, B$1:B1037&lt;&gt;""""))))-1), IF('To Order'!$A1038=COL"&amp;"UMNS($A1038:B1057), B1037&amp;RIGHT(INDIRECT(ADDRESS(ROW(B1038)-1, 'From Order'!$A1038)), 1), B1037))"),"ZL")</f>
        <v>ZL</v>
      </c>
      <c r="C1038" s="2" t="str">
        <f>IFERROR(__xludf.DUMMYFUNCTION("IF('From Order'!$A1038=COLUMNS($A1038:C1057), LEFT(INDEX(FILTER(C$1:C1037, C$1:C1037&lt;&gt;""""),COUNTA(FILTER(C$1:C1037, C$1:C1037&lt;&gt;""""))), LEN(INDEX(FILTER(C$1:C1037, C$1:C1037&lt;&gt;""""),COUNTA(FILTER(C$1:C1037, C$1:C1037&lt;&gt;""""))))-1), IF('To Order'!$A1038=COL"&amp;"UMNS($A1038:C1057), C1037&amp;RIGHT(INDIRECT(ADDRESS(ROW(C1038)-1, 'From Order'!$A1038)), 1), C1037))"),"TRLRSGHWQVQJPPVJCVZRDCGMTBFMHZBSBDJDSD")</f>
        <v>TRLRSGHWQVQJPPVJCVZRDCGMTBFMHZBSBDJDSD</v>
      </c>
      <c r="D1038" s="2" t="str">
        <f>IFERROR(__xludf.DUMMYFUNCTION("IF('From Order'!$A1038=COLUMNS($A1038:D1057), LEFT(INDEX(FILTER(D$1:D1037, D$1:D1037&lt;&gt;""""),COUNTA(FILTER(D$1:D1037, D$1:D1037&lt;&gt;""""))), LEN(INDEX(FILTER(D$1:D1037, D$1:D1037&lt;&gt;""""),COUNTA(FILTER(D$1:D1037, D$1:D1037&lt;&gt;""""))))-1), IF('To Order'!$A1038=COL"&amp;"UMNS($A1038:D1057), D1037&amp;RIGHT(INDIRECT(ADDRESS(ROW(D1038)-1, 'From Order'!$A1038)), 1), D1037))"),"")</f>
        <v/>
      </c>
      <c r="E1038" s="2" t="str">
        <f>IFERROR(__xludf.DUMMYFUNCTION("IF('From Order'!$A1038=COLUMNS($A1038:E1057), LEFT(INDEX(FILTER(E$1:E1037, E$1:E1037&lt;&gt;""""),COUNTA(FILTER(E$1:E1037, E$1:E1037&lt;&gt;""""))), LEN(INDEX(FILTER(E$1:E1037, E$1:E1037&lt;&gt;""""),COUNTA(FILTER(E$1:E1037, E$1:E1037&lt;&gt;""""))))-1), IF('To Order'!$A1038=COL"&amp;"UMNS($A1038:E1057), E1037&amp;RIGHT(INDIRECT(ADDRESS(ROW(E1038)-1, 'From Order'!$A1038)), 1), E1037))"),"")</f>
        <v/>
      </c>
      <c r="F1038" s="2" t="str">
        <f>IFERROR(__xludf.DUMMYFUNCTION("IF('From Order'!$A1038=COLUMNS($A1038:F1057), LEFT(INDEX(FILTER(F$1:F1037, F$1:F1037&lt;&gt;""""),COUNTA(FILTER(F$1:F1037, F$1:F1037&lt;&gt;""""))), LEN(INDEX(FILTER(F$1:F1037, F$1:F1037&lt;&gt;""""),COUNTA(FILTER(F$1:F1037, F$1:F1037&lt;&gt;""""))))-1), IF('To Order'!$A1038=COL"&amp;"UMNS($A1038:F1057), F1037&amp;RIGHT(INDIRECT(ADDRESS(ROW(F1038)-1, 'From Order'!$A1038)), 1), F1037))"),"FSLT")</f>
        <v>FSLT</v>
      </c>
      <c r="G1038" s="2" t="str">
        <f>IFERROR(__xludf.DUMMYFUNCTION("IF('From Order'!$A1038=COLUMNS($A1038:G1057), LEFT(INDEX(FILTER(G$1:G1037, G$1:G1037&lt;&gt;""""),COUNTA(FILTER(G$1:G1037, G$1:G1037&lt;&gt;""""))), LEN(INDEX(FILTER(G$1:G1037, G$1:G1037&lt;&gt;""""),COUNTA(FILTER(G$1:G1037, G$1:G1037&lt;&gt;""""))))-1), IF('To Order'!$A1038=COL"&amp;"UMNS($A1038:G1057), G1037&amp;RIGHT(INDIRECT(ADDRESS(ROW(G1038)-1, 'From Order'!$A1038)), 1), G1037))"),"BDTD")</f>
        <v>BDTD</v>
      </c>
      <c r="H1038" s="2" t="str">
        <f>IFERROR(__xludf.DUMMYFUNCTION("IF('From Order'!$A1038=COLUMNS($A1038:H1057), LEFT(INDEX(FILTER(H$1:H1037, H$1:H1037&lt;&gt;""""),COUNTA(FILTER(H$1:H1037, H$1:H1037&lt;&gt;""""))), LEN(INDEX(FILTER(H$1:H1037, H$1:H1037&lt;&gt;""""),COUNTA(FILTER(H$1:H1037, H$1:H1037&lt;&gt;""""))))-1), IF('To Order'!$A1038=COL"&amp;"UMNS($A1038:H1057), H1037&amp;RIGHT(INDIRECT(ADDRESS(ROW(H1038)-1, 'From Order'!$A1038)), 1), H1037))"),"P")</f>
        <v>P</v>
      </c>
      <c r="I1038" s="2" t="str">
        <f>IFERROR(__xludf.DUMMYFUNCTION("IF('From Order'!$A1038=COLUMNS($A1038:I1057), LEFT(INDEX(FILTER(I$1:I1037, I$1:I1037&lt;&gt;""""),COUNTA(FILTER(I$1:I1037, I$1:I1037&lt;&gt;""""))), LEN(INDEX(FILTER(I$1:I1037, I$1:I1037&lt;&gt;""""),COUNTA(FILTER(I$1:I1037, I$1:I1037&lt;&gt;""""))))-1), IF('To Order'!$A1038=COL"&amp;"UMNS($A1038:I1057), I1037&amp;RIGHT(INDIRECT(ADDRESS(ROW(I1038)-1, 'From Order'!$A1038)), 1), I1037))"),"RCTMRWT")</f>
        <v>RCTMRWT</v>
      </c>
    </row>
    <row r="1039">
      <c r="A1039" s="2" t="str">
        <f>IFERROR(__xludf.DUMMYFUNCTION("IF('From Order'!$A1039=COLUMNS($A1039:A1058), LEFT(INDEX(FILTER(A$1:A1038, A$1:A1038&lt;&gt;""""),COUNTA(FILTER(A$1:A1038, A$1:A1038&lt;&gt;""""))), LEN(INDEX(FILTER(A$1:A1038, A$1:A1038&lt;&gt;""""),COUNTA(FILTER(A$1:A1038, A$1:A1038&lt;&gt;""""))))-1), IF('To Order'!$A1039=COL"&amp;"UMNS($A1039:A1058), A1038&amp;RIGHT(INDIRECT(ADDRESS(ROW(A1039)-1, 'From Order'!$A1039)), 1), A1038))"),"")</f>
        <v/>
      </c>
      <c r="B1039" s="2" t="str">
        <f>IFERROR(__xludf.DUMMYFUNCTION("IF('From Order'!$A1039=COLUMNS($A1039:B1058), LEFT(INDEX(FILTER(B$1:B1038, B$1:B1038&lt;&gt;""""),COUNTA(FILTER(B$1:B1038, B$1:B1038&lt;&gt;""""))), LEN(INDEX(FILTER(B$1:B1038, B$1:B1038&lt;&gt;""""),COUNTA(FILTER(B$1:B1038, B$1:B1038&lt;&gt;""""))))-1), IF('To Order'!$A1039=COL"&amp;"UMNS($A1039:B1058), B1038&amp;RIGHT(INDIRECT(ADDRESS(ROW(B1039)-1, 'From Order'!$A1039)), 1), B1038))"),"ZL")</f>
        <v>ZL</v>
      </c>
      <c r="C1039" s="2" t="str">
        <f>IFERROR(__xludf.DUMMYFUNCTION("IF('From Order'!$A1039=COLUMNS($A1039:C1058), LEFT(INDEX(FILTER(C$1:C1038, C$1:C1038&lt;&gt;""""),COUNTA(FILTER(C$1:C1038, C$1:C1038&lt;&gt;""""))), LEN(INDEX(FILTER(C$1:C1038, C$1:C1038&lt;&gt;""""),COUNTA(FILTER(C$1:C1038, C$1:C1038&lt;&gt;""""))))-1), IF('To Order'!$A1039=COL"&amp;"UMNS($A1039:C1058), C1038&amp;RIGHT(INDIRECT(ADDRESS(ROW(C1039)-1, 'From Order'!$A1039)), 1), C1038))"),"TRLRSGHWQVQJPPVJCVZRDCGMTBFMHZBSBDJDSDP")</f>
        <v>TRLRSGHWQVQJPPVJCVZRDCGMTBFMHZBSBDJDSDP</v>
      </c>
      <c r="D1039" s="2" t="str">
        <f>IFERROR(__xludf.DUMMYFUNCTION("IF('From Order'!$A1039=COLUMNS($A1039:D1058), LEFT(INDEX(FILTER(D$1:D1038, D$1:D1038&lt;&gt;""""),COUNTA(FILTER(D$1:D1038, D$1:D1038&lt;&gt;""""))), LEN(INDEX(FILTER(D$1:D1038, D$1:D1038&lt;&gt;""""),COUNTA(FILTER(D$1:D1038, D$1:D1038&lt;&gt;""""))))-1), IF('To Order'!$A1039=COL"&amp;"UMNS($A1039:D1058), D1038&amp;RIGHT(INDIRECT(ADDRESS(ROW(D1039)-1, 'From Order'!$A1039)), 1), D1038))"),"")</f>
        <v/>
      </c>
      <c r="E1039" s="2" t="str">
        <f>IFERROR(__xludf.DUMMYFUNCTION("IF('From Order'!$A1039=COLUMNS($A1039:E1058), LEFT(INDEX(FILTER(E$1:E1038, E$1:E1038&lt;&gt;""""),COUNTA(FILTER(E$1:E1038, E$1:E1038&lt;&gt;""""))), LEN(INDEX(FILTER(E$1:E1038, E$1:E1038&lt;&gt;""""),COUNTA(FILTER(E$1:E1038, E$1:E1038&lt;&gt;""""))))-1), IF('To Order'!$A1039=COL"&amp;"UMNS($A1039:E1058), E1038&amp;RIGHT(INDIRECT(ADDRESS(ROW(E1039)-1, 'From Order'!$A1039)), 1), E1038))"),"")</f>
        <v/>
      </c>
      <c r="F1039" s="2" t="str">
        <f>IFERROR(__xludf.DUMMYFUNCTION("IF('From Order'!$A1039=COLUMNS($A1039:F1058), LEFT(INDEX(FILTER(F$1:F1038, F$1:F1038&lt;&gt;""""),COUNTA(FILTER(F$1:F1038, F$1:F1038&lt;&gt;""""))), LEN(INDEX(FILTER(F$1:F1038, F$1:F1038&lt;&gt;""""),COUNTA(FILTER(F$1:F1038, F$1:F1038&lt;&gt;""""))))-1), IF('To Order'!$A1039=COL"&amp;"UMNS($A1039:F1058), F1038&amp;RIGHT(INDIRECT(ADDRESS(ROW(F1039)-1, 'From Order'!$A1039)), 1), F1038))"),"FSLT")</f>
        <v>FSLT</v>
      </c>
      <c r="G1039" s="2" t="str">
        <f>IFERROR(__xludf.DUMMYFUNCTION("IF('From Order'!$A1039=COLUMNS($A1039:G1058), LEFT(INDEX(FILTER(G$1:G1038, G$1:G1038&lt;&gt;""""),COUNTA(FILTER(G$1:G1038, G$1:G1038&lt;&gt;""""))), LEN(INDEX(FILTER(G$1:G1038, G$1:G1038&lt;&gt;""""),COUNTA(FILTER(G$1:G1038, G$1:G1038&lt;&gt;""""))))-1), IF('To Order'!$A1039=COL"&amp;"UMNS($A1039:G1058), G1038&amp;RIGHT(INDIRECT(ADDRESS(ROW(G1039)-1, 'From Order'!$A1039)), 1), G1038))"),"BDTD")</f>
        <v>BDTD</v>
      </c>
      <c r="H1039" s="2" t="str">
        <f>IFERROR(__xludf.DUMMYFUNCTION("IF('From Order'!$A1039=COLUMNS($A1039:H1058), LEFT(INDEX(FILTER(H$1:H1038, H$1:H1038&lt;&gt;""""),COUNTA(FILTER(H$1:H1038, H$1:H1038&lt;&gt;""""))), LEN(INDEX(FILTER(H$1:H1038, H$1:H1038&lt;&gt;""""),COUNTA(FILTER(H$1:H1038, H$1:H1038&lt;&gt;""""))))-1), IF('To Order'!$A1039=COL"&amp;"UMNS($A1039:H1058), H1038&amp;RIGHT(INDIRECT(ADDRESS(ROW(H1039)-1, 'From Order'!$A1039)), 1), H1038))"),"")</f>
        <v/>
      </c>
      <c r="I1039" s="2" t="str">
        <f>IFERROR(__xludf.DUMMYFUNCTION("IF('From Order'!$A1039=COLUMNS($A1039:I1058), LEFT(INDEX(FILTER(I$1:I1038, I$1:I1038&lt;&gt;""""),COUNTA(FILTER(I$1:I1038, I$1:I1038&lt;&gt;""""))), LEN(INDEX(FILTER(I$1:I1038, I$1:I1038&lt;&gt;""""),COUNTA(FILTER(I$1:I1038, I$1:I1038&lt;&gt;""""))))-1), IF('To Order'!$A1039=COL"&amp;"UMNS($A1039:I1058), I1038&amp;RIGHT(INDIRECT(ADDRESS(ROW(I1039)-1, 'From Order'!$A1039)), 1), I1038))"),"RCTMRWT")</f>
        <v>RCTMRWT</v>
      </c>
    </row>
    <row r="1040">
      <c r="A1040" s="2" t="str">
        <f>IFERROR(__xludf.DUMMYFUNCTION("IF('From Order'!$A1040=COLUMNS($A1040:A1059), LEFT(INDEX(FILTER(A$1:A1039, A$1:A1039&lt;&gt;""""),COUNTA(FILTER(A$1:A1039, A$1:A1039&lt;&gt;""""))), LEN(INDEX(FILTER(A$1:A1039, A$1:A1039&lt;&gt;""""),COUNTA(FILTER(A$1:A1039, A$1:A1039&lt;&gt;""""))))-1), IF('To Order'!$A1040=COL"&amp;"UMNS($A1040:A1059), A1039&amp;RIGHT(INDIRECT(ADDRESS(ROW(A1040)-1, 'From Order'!$A1040)), 1), A1039))"),"")</f>
        <v/>
      </c>
      <c r="B1040" s="2" t="str">
        <f>IFERROR(__xludf.DUMMYFUNCTION("IF('From Order'!$A1040=COLUMNS($A1040:B1059), LEFT(INDEX(FILTER(B$1:B1039, B$1:B1039&lt;&gt;""""),COUNTA(FILTER(B$1:B1039, B$1:B1039&lt;&gt;""""))), LEN(INDEX(FILTER(B$1:B1039, B$1:B1039&lt;&gt;""""),COUNTA(FILTER(B$1:B1039, B$1:B1039&lt;&gt;""""))))-1), IF('To Order'!$A1040=COL"&amp;"UMNS($A1040:B1059), B1039&amp;RIGHT(INDIRECT(ADDRESS(ROW(B1040)-1, 'From Order'!$A1040)), 1), B1039))"),"ZL")</f>
        <v>ZL</v>
      </c>
      <c r="C1040" s="2" t="str">
        <f>IFERROR(__xludf.DUMMYFUNCTION("IF('From Order'!$A1040=COLUMNS($A1040:C1059), LEFT(INDEX(FILTER(C$1:C1039, C$1:C1039&lt;&gt;""""),COUNTA(FILTER(C$1:C1039, C$1:C1039&lt;&gt;""""))), LEN(INDEX(FILTER(C$1:C1039, C$1:C1039&lt;&gt;""""),COUNTA(FILTER(C$1:C1039, C$1:C1039&lt;&gt;""""))))-1), IF('To Order'!$A1040=COL"&amp;"UMNS($A1040:C1059), C1039&amp;RIGHT(INDIRECT(ADDRESS(ROW(C1040)-1, 'From Order'!$A1040)), 1), C1039))"),"TRLRSGHWQVQJPPVJCVZRDCGMTBFMHZBSBDJDSDP")</f>
        <v>TRLRSGHWQVQJPPVJCVZRDCGMTBFMHZBSBDJDSDP</v>
      </c>
      <c r="D1040" s="2" t="str">
        <f>IFERROR(__xludf.DUMMYFUNCTION("IF('From Order'!$A1040=COLUMNS($A1040:D1059), LEFT(INDEX(FILTER(D$1:D1039, D$1:D1039&lt;&gt;""""),COUNTA(FILTER(D$1:D1039, D$1:D1039&lt;&gt;""""))), LEN(INDEX(FILTER(D$1:D1039, D$1:D1039&lt;&gt;""""),COUNTA(FILTER(D$1:D1039, D$1:D1039&lt;&gt;""""))))-1), IF('To Order'!$A1040=COL"&amp;"UMNS($A1040:D1059), D1039&amp;RIGHT(INDIRECT(ADDRESS(ROW(D1040)-1, 'From Order'!$A1040)), 1), D1039))"),"")</f>
        <v/>
      </c>
      <c r="E1040" s="2" t="str">
        <f>IFERROR(__xludf.DUMMYFUNCTION("IF('From Order'!$A1040=COLUMNS($A1040:E1059), LEFT(INDEX(FILTER(E$1:E1039, E$1:E1039&lt;&gt;""""),COUNTA(FILTER(E$1:E1039, E$1:E1039&lt;&gt;""""))), LEN(INDEX(FILTER(E$1:E1039, E$1:E1039&lt;&gt;""""),COUNTA(FILTER(E$1:E1039, E$1:E1039&lt;&gt;""""))))-1), IF('To Order'!$A1040=COL"&amp;"UMNS($A1040:E1059), E1039&amp;RIGHT(INDIRECT(ADDRESS(ROW(E1040)-1, 'From Order'!$A1040)), 1), E1039))"),"")</f>
        <v/>
      </c>
      <c r="F1040" s="2" t="str">
        <f>IFERROR(__xludf.DUMMYFUNCTION("IF('From Order'!$A1040=COLUMNS($A1040:F1059), LEFT(INDEX(FILTER(F$1:F1039, F$1:F1039&lt;&gt;""""),COUNTA(FILTER(F$1:F1039, F$1:F1039&lt;&gt;""""))), LEN(INDEX(FILTER(F$1:F1039, F$1:F1039&lt;&gt;""""),COUNTA(FILTER(F$1:F1039, F$1:F1039&lt;&gt;""""))))-1), IF('To Order'!$A1040=COL"&amp;"UMNS($A1040:F1059), F1039&amp;RIGHT(INDIRECT(ADDRESS(ROW(F1040)-1, 'From Order'!$A1040)), 1), F1039))"),"FSLT")</f>
        <v>FSLT</v>
      </c>
      <c r="G1040" s="2" t="str">
        <f>IFERROR(__xludf.DUMMYFUNCTION("IF('From Order'!$A1040=COLUMNS($A1040:G1059), LEFT(INDEX(FILTER(G$1:G1039, G$1:G1039&lt;&gt;""""),COUNTA(FILTER(G$1:G1039, G$1:G1039&lt;&gt;""""))), LEN(INDEX(FILTER(G$1:G1039, G$1:G1039&lt;&gt;""""),COUNTA(FILTER(G$1:G1039, G$1:G1039&lt;&gt;""""))))-1), IF('To Order'!$A1040=COL"&amp;"UMNS($A1040:G1059), G1039&amp;RIGHT(INDIRECT(ADDRESS(ROW(G1040)-1, 'From Order'!$A1040)), 1), G1039))"),"BDT")</f>
        <v>BDT</v>
      </c>
      <c r="H1040" s="2" t="str">
        <f>IFERROR(__xludf.DUMMYFUNCTION("IF('From Order'!$A1040=COLUMNS($A1040:H1059), LEFT(INDEX(FILTER(H$1:H1039, H$1:H1039&lt;&gt;""""),COUNTA(FILTER(H$1:H1039, H$1:H1039&lt;&gt;""""))), LEN(INDEX(FILTER(H$1:H1039, H$1:H1039&lt;&gt;""""),COUNTA(FILTER(H$1:H1039, H$1:H1039&lt;&gt;""""))))-1), IF('To Order'!$A1040=COL"&amp;"UMNS($A1040:H1059), H1039&amp;RIGHT(INDIRECT(ADDRESS(ROW(H1040)-1, 'From Order'!$A1040)), 1), H1039))"),"")</f>
        <v/>
      </c>
      <c r="I1040" s="2" t="str">
        <f>IFERROR(__xludf.DUMMYFUNCTION("IF('From Order'!$A1040=COLUMNS($A1040:I1059), LEFT(INDEX(FILTER(I$1:I1039, I$1:I1039&lt;&gt;""""),COUNTA(FILTER(I$1:I1039, I$1:I1039&lt;&gt;""""))), LEN(INDEX(FILTER(I$1:I1039, I$1:I1039&lt;&gt;""""),COUNTA(FILTER(I$1:I1039, I$1:I1039&lt;&gt;""""))))-1), IF('To Order'!$A1040=COL"&amp;"UMNS($A1040:I1059), I1039&amp;RIGHT(INDIRECT(ADDRESS(ROW(I1040)-1, 'From Order'!$A1040)), 1), I1039))"),"RCTMRWTD")</f>
        <v>RCTMRWTD</v>
      </c>
    </row>
    <row r="1041">
      <c r="A1041" s="2" t="str">
        <f>IFERROR(__xludf.DUMMYFUNCTION("IF('From Order'!$A1041=COLUMNS($A1041:A1060), LEFT(INDEX(FILTER(A$1:A1040, A$1:A1040&lt;&gt;""""),COUNTA(FILTER(A$1:A1040, A$1:A1040&lt;&gt;""""))), LEN(INDEX(FILTER(A$1:A1040, A$1:A1040&lt;&gt;""""),COUNTA(FILTER(A$1:A1040, A$1:A1040&lt;&gt;""""))))-1), IF('To Order'!$A1041=COL"&amp;"UMNS($A1041:A1060), A1040&amp;RIGHT(INDIRECT(ADDRESS(ROW(A1041)-1, 'From Order'!$A1041)), 1), A1040))"),"")</f>
        <v/>
      </c>
      <c r="B1041" s="2" t="str">
        <f>IFERROR(__xludf.DUMMYFUNCTION("IF('From Order'!$A1041=COLUMNS($A1041:B1060), LEFT(INDEX(FILTER(B$1:B1040, B$1:B1040&lt;&gt;""""),COUNTA(FILTER(B$1:B1040, B$1:B1040&lt;&gt;""""))), LEN(INDEX(FILTER(B$1:B1040, B$1:B1040&lt;&gt;""""),COUNTA(FILTER(B$1:B1040, B$1:B1040&lt;&gt;""""))))-1), IF('To Order'!$A1041=COL"&amp;"UMNS($A1041:B1060), B1040&amp;RIGHT(INDIRECT(ADDRESS(ROW(B1041)-1, 'From Order'!$A1041)), 1), B1040))"),"ZL")</f>
        <v>ZL</v>
      </c>
      <c r="C1041" s="2" t="str">
        <f>IFERROR(__xludf.DUMMYFUNCTION("IF('From Order'!$A1041=COLUMNS($A1041:C1060), LEFT(INDEX(FILTER(C$1:C1040, C$1:C1040&lt;&gt;""""),COUNTA(FILTER(C$1:C1040, C$1:C1040&lt;&gt;""""))), LEN(INDEX(FILTER(C$1:C1040, C$1:C1040&lt;&gt;""""),COUNTA(FILTER(C$1:C1040, C$1:C1040&lt;&gt;""""))))-1), IF('To Order'!$A1041=COL"&amp;"UMNS($A1041:C1060), C1040&amp;RIGHT(INDIRECT(ADDRESS(ROW(C1041)-1, 'From Order'!$A1041)), 1), C1040))"),"TRLRSGHWQVQJPPVJCVZRDCGMTBFMHZBSBDJDSDP")</f>
        <v>TRLRSGHWQVQJPPVJCVZRDCGMTBFMHZBSBDJDSDP</v>
      </c>
      <c r="D1041" s="2" t="str">
        <f>IFERROR(__xludf.DUMMYFUNCTION("IF('From Order'!$A1041=COLUMNS($A1041:D1060), LEFT(INDEX(FILTER(D$1:D1040, D$1:D1040&lt;&gt;""""),COUNTA(FILTER(D$1:D1040, D$1:D1040&lt;&gt;""""))), LEN(INDEX(FILTER(D$1:D1040, D$1:D1040&lt;&gt;""""),COUNTA(FILTER(D$1:D1040, D$1:D1040&lt;&gt;""""))))-1), IF('To Order'!$A1041=COL"&amp;"UMNS($A1041:D1060), D1040&amp;RIGHT(INDIRECT(ADDRESS(ROW(D1041)-1, 'From Order'!$A1041)), 1), D1040))"),"")</f>
        <v/>
      </c>
      <c r="E1041" s="2" t="str">
        <f>IFERROR(__xludf.DUMMYFUNCTION("IF('From Order'!$A1041=COLUMNS($A1041:E1060), LEFT(INDEX(FILTER(E$1:E1040, E$1:E1040&lt;&gt;""""),COUNTA(FILTER(E$1:E1040, E$1:E1040&lt;&gt;""""))), LEN(INDEX(FILTER(E$1:E1040, E$1:E1040&lt;&gt;""""),COUNTA(FILTER(E$1:E1040, E$1:E1040&lt;&gt;""""))))-1), IF('To Order'!$A1041=COL"&amp;"UMNS($A1041:E1060), E1040&amp;RIGHT(INDIRECT(ADDRESS(ROW(E1041)-1, 'From Order'!$A1041)), 1), E1040))"),"")</f>
        <v/>
      </c>
      <c r="F1041" s="2" t="str">
        <f>IFERROR(__xludf.DUMMYFUNCTION("IF('From Order'!$A1041=COLUMNS($A1041:F1060), LEFT(INDEX(FILTER(F$1:F1040, F$1:F1040&lt;&gt;""""),COUNTA(FILTER(F$1:F1040, F$1:F1040&lt;&gt;""""))), LEN(INDEX(FILTER(F$1:F1040, F$1:F1040&lt;&gt;""""),COUNTA(FILTER(F$1:F1040, F$1:F1040&lt;&gt;""""))))-1), IF('To Order'!$A1041=COL"&amp;"UMNS($A1041:F1060), F1040&amp;RIGHT(INDIRECT(ADDRESS(ROW(F1041)-1, 'From Order'!$A1041)), 1), F1040))"),"FSLT")</f>
        <v>FSLT</v>
      </c>
      <c r="G1041" s="2" t="str">
        <f>IFERROR(__xludf.DUMMYFUNCTION("IF('From Order'!$A1041=COLUMNS($A1041:G1060), LEFT(INDEX(FILTER(G$1:G1040, G$1:G1040&lt;&gt;""""),COUNTA(FILTER(G$1:G1040, G$1:G1040&lt;&gt;""""))), LEN(INDEX(FILTER(G$1:G1040, G$1:G1040&lt;&gt;""""),COUNTA(FILTER(G$1:G1040, G$1:G1040&lt;&gt;""""))))-1), IF('To Order'!$A1041=COL"&amp;"UMNS($A1041:G1060), G1040&amp;RIGHT(INDIRECT(ADDRESS(ROW(G1041)-1, 'From Order'!$A1041)), 1), G1040))"),"BD")</f>
        <v>BD</v>
      </c>
      <c r="H1041" s="2" t="str">
        <f>IFERROR(__xludf.DUMMYFUNCTION("IF('From Order'!$A1041=COLUMNS($A1041:H1060), LEFT(INDEX(FILTER(H$1:H1040, H$1:H1040&lt;&gt;""""),COUNTA(FILTER(H$1:H1040, H$1:H1040&lt;&gt;""""))), LEN(INDEX(FILTER(H$1:H1040, H$1:H1040&lt;&gt;""""),COUNTA(FILTER(H$1:H1040, H$1:H1040&lt;&gt;""""))))-1), IF('To Order'!$A1041=COL"&amp;"UMNS($A1041:H1060), H1040&amp;RIGHT(INDIRECT(ADDRESS(ROW(H1041)-1, 'From Order'!$A1041)), 1), H1040))"),"")</f>
        <v/>
      </c>
      <c r="I1041" s="2" t="str">
        <f>IFERROR(__xludf.DUMMYFUNCTION("IF('From Order'!$A1041=COLUMNS($A1041:I1060), LEFT(INDEX(FILTER(I$1:I1040, I$1:I1040&lt;&gt;""""),COUNTA(FILTER(I$1:I1040, I$1:I1040&lt;&gt;""""))), LEN(INDEX(FILTER(I$1:I1040, I$1:I1040&lt;&gt;""""),COUNTA(FILTER(I$1:I1040, I$1:I1040&lt;&gt;""""))))-1), IF('To Order'!$A1041=COL"&amp;"UMNS($A1041:I1060), I1040&amp;RIGHT(INDIRECT(ADDRESS(ROW(I1041)-1, 'From Order'!$A1041)), 1), I1040))"),"RCTMRWTDT")</f>
        <v>RCTMRWTDT</v>
      </c>
    </row>
    <row r="1042">
      <c r="A1042" s="2" t="str">
        <f>IFERROR(__xludf.DUMMYFUNCTION("IF('From Order'!$A1042=COLUMNS($A1042:A1061), LEFT(INDEX(FILTER(A$1:A1041, A$1:A1041&lt;&gt;""""),COUNTA(FILTER(A$1:A1041, A$1:A1041&lt;&gt;""""))), LEN(INDEX(FILTER(A$1:A1041, A$1:A1041&lt;&gt;""""),COUNTA(FILTER(A$1:A1041, A$1:A1041&lt;&gt;""""))))-1), IF('To Order'!$A1042=COL"&amp;"UMNS($A1042:A1061), A1041&amp;RIGHT(INDIRECT(ADDRESS(ROW(A1042)-1, 'From Order'!$A1042)), 1), A1041))"),"")</f>
        <v/>
      </c>
      <c r="B1042" s="2" t="str">
        <f>IFERROR(__xludf.DUMMYFUNCTION("IF('From Order'!$A1042=COLUMNS($A1042:B1061), LEFT(INDEX(FILTER(B$1:B1041, B$1:B1041&lt;&gt;""""),COUNTA(FILTER(B$1:B1041, B$1:B1041&lt;&gt;""""))), LEN(INDEX(FILTER(B$1:B1041, B$1:B1041&lt;&gt;""""),COUNTA(FILTER(B$1:B1041, B$1:B1041&lt;&gt;""""))))-1), IF('To Order'!$A1042=COL"&amp;"UMNS($A1042:B1061), B1041&amp;RIGHT(INDIRECT(ADDRESS(ROW(B1042)-1, 'From Order'!$A1042)), 1), B1041))"),"ZL")</f>
        <v>ZL</v>
      </c>
      <c r="C1042" s="2" t="str">
        <f>IFERROR(__xludf.DUMMYFUNCTION("IF('From Order'!$A1042=COLUMNS($A1042:C1061), LEFT(INDEX(FILTER(C$1:C1041, C$1:C1041&lt;&gt;""""),COUNTA(FILTER(C$1:C1041, C$1:C1041&lt;&gt;""""))), LEN(INDEX(FILTER(C$1:C1041, C$1:C1041&lt;&gt;""""),COUNTA(FILTER(C$1:C1041, C$1:C1041&lt;&gt;""""))))-1), IF('To Order'!$A1042=COL"&amp;"UMNS($A1042:C1061), C1041&amp;RIGHT(INDIRECT(ADDRESS(ROW(C1042)-1, 'From Order'!$A1042)), 1), C1041))"),"TRLRSGHWQVQJPPVJCVZRDCGMTBFMHZBSBDJDSDP")</f>
        <v>TRLRSGHWQVQJPPVJCVZRDCGMTBFMHZBSBDJDSDP</v>
      </c>
      <c r="D1042" s="2" t="str">
        <f>IFERROR(__xludf.DUMMYFUNCTION("IF('From Order'!$A1042=COLUMNS($A1042:D1061), LEFT(INDEX(FILTER(D$1:D1041, D$1:D1041&lt;&gt;""""),COUNTA(FILTER(D$1:D1041, D$1:D1041&lt;&gt;""""))), LEN(INDEX(FILTER(D$1:D1041, D$1:D1041&lt;&gt;""""),COUNTA(FILTER(D$1:D1041, D$1:D1041&lt;&gt;""""))))-1), IF('To Order'!$A1042=COL"&amp;"UMNS($A1042:D1061), D1041&amp;RIGHT(INDIRECT(ADDRESS(ROW(D1042)-1, 'From Order'!$A1042)), 1), D1041))"),"")</f>
        <v/>
      </c>
      <c r="E1042" s="2" t="str">
        <f>IFERROR(__xludf.DUMMYFUNCTION("IF('From Order'!$A1042=COLUMNS($A1042:E1061), LEFT(INDEX(FILTER(E$1:E1041, E$1:E1041&lt;&gt;""""),COUNTA(FILTER(E$1:E1041, E$1:E1041&lt;&gt;""""))), LEN(INDEX(FILTER(E$1:E1041, E$1:E1041&lt;&gt;""""),COUNTA(FILTER(E$1:E1041, E$1:E1041&lt;&gt;""""))))-1), IF('To Order'!$A1042=COL"&amp;"UMNS($A1042:E1061), E1041&amp;RIGHT(INDIRECT(ADDRESS(ROW(E1042)-1, 'From Order'!$A1042)), 1), E1041))"),"")</f>
        <v/>
      </c>
      <c r="F1042" s="2" t="str">
        <f>IFERROR(__xludf.DUMMYFUNCTION("IF('From Order'!$A1042=COLUMNS($A1042:F1061), LEFT(INDEX(FILTER(F$1:F1041, F$1:F1041&lt;&gt;""""),COUNTA(FILTER(F$1:F1041, F$1:F1041&lt;&gt;""""))), LEN(INDEX(FILTER(F$1:F1041, F$1:F1041&lt;&gt;""""),COUNTA(FILTER(F$1:F1041, F$1:F1041&lt;&gt;""""))))-1), IF('To Order'!$A1042=COL"&amp;"UMNS($A1042:F1061), F1041&amp;RIGHT(INDIRECT(ADDRESS(ROW(F1042)-1, 'From Order'!$A1042)), 1), F1041))"),"FSLT")</f>
        <v>FSLT</v>
      </c>
      <c r="G1042" s="2" t="str">
        <f>IFERROR(__xludf.DUMMYFUNCTION("IF('From Order'!$A1042=COLUMNS($A1042:G1061), LEFT(INDEX(FILTER(G$1:G1041, G$1:G1041&lt;&gt;""""),COUNTA(FILTER(G$1:G1041, G$1:G1041&lt;&gt;""""))), LEN(INDEX(FILTER(G$1:G1041, G$1:G1041&lt;&gt;""""),COUNTA(FILTER(G$1:G1041, G$1:G1041&lt;&gt;""""))))-1), IF('To Order'!$A1042=COL"&amp;"UMNS($A1042:G1061), G1041&amp;RIGHT(INDIRECT(ADDRESS(ROW(G1042)-1, 'From Order'!$A1042)), 1), G1041))"),"B")</f>
        <v>B</v>
      </c>
      <c r="H1042" s="2" t="str">
        <f>IFERROR(__xludf.DUMMYFUNCTION("IF('From Order'!$A1042=COLUMNS($A1042:H1061), LEFT(INDEX(FILTER(H$1:H1041, H$1:H1041&lt;&gt;""""),COUNTA(FILTER(H$1:H1041, H$1:H1041&lt;&gt;""""))), LEN(INDEX(FILTER(H$1:H1041, H$1:H1041&lt;&gt;""""),COUNTA(FILTER(H$1:H1041, H$1:H1041&lt;&gt;""""))))-1), IF('To Order'!$A1042=COL"&amp;"UMNS($A1042:H1061), H1041&amp;RIGHT(INDIRECT(ADDRESS(ROW(H1042)-1, 'From Order'!$A1042)), 1), H1041))"),"")</f>
        <v/>
      </c>
      <c r="I1042" s="2" t="str">
        <f>IFERROR(__xludf.DUMMYFUNCTION("IF('From Order'!$A1042=COLUMNS($A1042:I1061), LEFT(INDEX(FILTER(I$1:I1041, I$1:I1041&lt;&gt;""""),COUNTA(FILTER(I$1:I1041, I$1:I1041&lt;&gt;""""))), LEN(INDEX(FILTER(I$1:I1041, I$1:I1041&lt;&gt;""""),COUNTA(FILTER(I$1:I1041, I$1:I1041&lt;&gt;""""))))-1), IF('To Order'!$A1042=COL"&amp;"UMNS($A1042:I1061), I1041&amp;RIGHT(INDIRECT(ADDRESS(ROW(I1042)-1, 'From Order'!$A1042)), 1), I1041))"),"RCTMRWTDTD")</f>
        <v>RCTMRWTDTD</v>
      </c>
    </row>
    <row r="1043">
      <c r="A1043" s="2" t="str">
        <f>IFERROR(__xludf.DUMMYFUNCTION("IF('From Order'!$A1043=COLUMNS($A1043:A1062), LEFT(INDEX(FILTER(A$1:A1042, A$1:A1042&lt;&gt;""""),COUNTA(FILTER(A$1:A1042, A$1:A1042&lt;&gt;""""))), LEN(INDEX(FILTER(A$1:A1042, A$1:A1042&lt;&gt;""""),COUNTA(FILTER(A$1:A1042, A$1:A1042&lt;&gt;""""))))-1), IF('To Order'!$A1043=COL"&amp;"UMNS($A1043:A1062), A1042&amp;RIGHT(INDIRECT(ADDRESS(ROW(A1043)-1, 'From Order'!$A1043)), 1), A1042))"),"")</f>
        <v/>
      </c>
      <c r="B1043" s="2" t="str">
        <f>IFERROR(__xludf.DUMMYFUNCTION("IF('From Order'!$A1043=COLUMNS($A1043:B1062), LEFT(INDEX(FILTER(B$1:B1042, B$1:B1042&lt;&gt;""""),COUNTA(FILTER(B$1:B1042, B$1:B1042&lt;&gt;""""))), LEN(INDEX(FILTER(B$1:B1042, B$1:B1042&lt;&gt;""""),COUNTA(FILTER(B$1:B1042, B$1:B1042&lt;&gt;""""))))-1), IF('To Order'!$A1043=COL"&amp;"UMNS($A1043:B1062), B1042&amp;RIGHT(INDIRECT(ADDRESS(ROW(B1043)-1, 'From Order'!$A1043)), 1), B1042))"),"ZLP")</f>
        <v>ZLP</v>
      </c>
      <c r="C1043" s="2" t="str">
        <f>IFERROR(__xludf.DUMMYFUNCTION("IF('From Order'!$A1043=COLUMNS($A1043:C1062), LEFT(INDEX(FILTER(C$1:C1042, C$1:C1042&lt;&gt;""""),COUNTA(FILTER(C$1:C1042, C$1:C1042&lt;&gt;""""))), LEN(INDEX(FILTER(C$1:C1042, C$1:C1042&lt;&gt;""""),COUNTA(FILTER(C$1:C1042, C$1:C1042&lt;&gt;""""))))-1), IF('To Order'!$A1043=COL"&amp;"UMNS($A1043:C1062), C1042&amp;RIGHT(INDIRECT(ADDRESS(ROW(C1043)-1, 'From Order'!$A1043)), 1), C1042))"),"TRLRSGHWQVQJPPVJCVZRDCGMTBFMHZBSBDJDSD")</f>
        <v>TRLRSGHWQVQJPPVJCVZRDCGMTBFMHZBSBDJDSD</v>
      </c>
      <c r="D1043" s="2" t="str">
        <f>IFERROR(__xludf.DUMMYFUNCTION("IF('From Order'!$A1043=COLUMNS($A1043:D1062), LEFT(INDEX(FILTER(D$1:D1042, D$1:D1042&lt;&gt;""""),COUNTA(FILTER(D$1:D1042, D$1:D1042&lt;&gt;""""))), LEN(INDEX(FILTER(D$1:D1042, D$1:D1042&lt;&gt;""""),COUNTA(FILTER(D$1:D1042, D$1:D1042&lt;&gt;""""))))-1), IF('To Order'!$A1043=COL"&amp;"UMNS($A1043:D1062), D1042&amp;RIGHT(INDIRECT(ADDRESS(ROW(D1043)-1, 'From Order'!$A1043)), 1), D1042))"),"")</f>
        <v/>
      </c>
      <c r="E1043" s="2" t="str">
        <f>IFERROR(__xludf.DUMMYFUNCTION("IF('From Order'!$A1043=COLUMNS($A1043:E1062), LEFT(INDEX(FILTER(E$1:E1042, E$1:E1042&lt;&gt;""""),COUNTA(FILTER(E$1:E1042, E$1:E1042&lt;&gt;""""))), LEN(INDEX(FILTER(E$1:E1042, E$1:E1042&lt;&gt;""""),COUNTA(FILTER(E$1:E1042, E$1:E1042&lt;&gt;""""))))-1), IF('To Order'!$A1043=COL"&amp;"UMNS($A1043:E1062), E1042&amp;RIGHT(INDIRECT(ADDRESS(ROW(E1043)-1, 'From Order'!$A1043)), 1), E1042))"),"")</f>
        <v/>
      </c>
      <c r="F1043" s="2" t="str">
        <f>IFERROR(__xludf.DUMMYFUNCTION("IF('From Order'!$A1043=COLUMNS($A1043:F1062), LEFT(INDEX(FILTER(F$1:F1042, F$1:F1042&lt;&gt;""""),COUNTA(FILTER(F$1:F1042, F$1:F1042&lt;&gt;""""))), LEN(INDEX(FILTER(F$1:F1042, F$1:F1042&lt;&gt;""""),COUNTA(FILTER(F$1:F1042, F$1:F1042&lt;&gt;""""))))-1), IF('To Order'!$A1043=COL"&amp;"UMNS($A1043:F1062), F1042&amp;RIGHT(INDIRECT(ADDRESS(ROW(F1043)-1, 'From Order'!$A1043)), 1), F1042))"),"FSLT")</f>
        <v>FSLT</v>
      </c>
      <c r="G1043" s="2" t="str">
        <f>IFERROR(__xludf.DUMMYFUNCTION("IF('From Order'!$A1043=COLUMNS($A1043:G1062), LEFT(INDEX(FILTER(G$1:G1042, G$1:G1042&lt;&gt;""""),COUNTA(FILTER(G$1:G1042, G$1:G1042&lt;&gt;""""))), LEN(INDEX(FILTER(G$1:G1042, G$1:G1042&lt;&gt;""""),COUNTA(FILTER(G$1:G1042, G$1:G1042&lt;&gt;""""))))-1), IF('To Order'!$A1043=COL"&amp;"UMNS($A1043:G1062), G1042&amp;RIGHT(INDIRECT(ADDRESS(ROW(G1043)-1, 'From Order'!$A1043)), 1), G1042))"),"B")</f>
        <v>B</v>
      </c>
      <c r="H1043" s="2" t="str">
        <f>IFERROR(__xludf.DUMMYFUNCTION("IF('From Order'!$A1043=COLUMNS($A1043:H1062), LEFT(INDEX(FILTER(H$1:H1042, H$1:H1042&lt;&gt;""""),COUNTA(FILTER(H$1:H1042, H$1:H1042&lt;&gt;""""))), LEN(INDEX(FILTER(H$1:H1042, H$1:H1042&lt;&gt;""""),COUNTA(FILTER(H$1:H1042, H$1:H1042&lt;&gt;""""))))-1), IF('To Order'!$A1043=COL"&amp;"UMNS($A1043:H1062), H1042&amp;RIGHT(INDIRECT(ADDRESS(ROW(H1043)-1, 'From Order'!$A1043)), 1), H1042))"),"")</f>
        <v/>
      </c>
      <c r="I1043" s="2" t="str">
        <f>IFERROR(__xludf.DUMMYFUNCTION("IF('From Order'!$A1043=COLUMNS($A1043:I1062), LEFT(INDEX(FILTER(I$1:I1042, I$1:I1042&lt;&gt;""""),COUNTA(FILTER(I$1:I1042, I$1:I1042&lt;&gt;""""))), LEN(INDEX(FILTER(I$1:I1042, I$1:I1042&lt;&gt;""""),COUNTA(FILTER(I$1:I1042, I$1:I1042&lt;&gt;""""))))-1), IF('To Order'!$A1043=COL"&amp;"UMNS($A1043:I1062), I1042&amp;RIGHT(INDIRECT(ADDRESS(ROW(I1043)-1, 'From Order'!$A1043)), 1), I1042))"),"RCTMRWTDTD")</f>
        <v>RCTMRWTDTD</v>
      </c>
    </row>
    <row r="1044">
      <c r="A1044" s="2" t="str">
        <f>IFERROR(__xludf.DUMMYFUNCTION("IF('From Order'!$A1044=COLUMNS($A1044:A1063), LEFT(INDEX(FILTER(A$1:A1043, A$1:A1043&lt;&gt;""""),COUNTA(FILTER(A$1:A1043, A$1:A1043&lt;&gt;""""))), LEN(INDEX(FILTER(A$1:A1043, A$1:A1043&lt;&gt;""""),COUNTA(FILTER(A$1:A1043, A$1:A1043&lt;&gt;""""))))-1), IF('To Order'!$A1044=COL"&amp;"UMNS($A1044:A1063), A1043&amp;RIGHT(INDIRECT(ADDRESS(ROW(A1044)-1, 'From Order'!$A1044)), 1), A1043))"),"")</f>
        <v/>
      </c>
      <c r="B1044" s="2" t="str">
        <f>IFERROR(__xludf.DUMMYFUNCTION("IF('From Order'!$A1044=COLUMNS($A1044:B1063), LEFT(INDEX(FILTER(B$1:B1043, B$1:B1043&lt;&gt;""""),COUNTA(FILTER(B$1:B1043, B$1:B1043&lt;&gt;""""))), LEN(INDEX(FILTER(B$1:B1043, B$1:B1043&lt;&gt;""""),COUNTA(FILTER(B$1:B1043, B$1:B1043&lt;&gt;""""))))-1), IF('To Order'!$A1044=COL"&amp;"UMNS($A1044:B1063), B1043&amp;RIGHT(INDIRECT(ADDRESS(ROW(B1044)-1, 'From Order'!$A1044)), 1), B1043))"),"ZLPD")</f>
        <v>ZLPD</v>
      </c>
      <c r="C1044" s="2" t="str">
        <f>IFERROR(__xludf.DUMMYFUNCTION("IF('From Order'!$A1044=COLUMNS($A1044:C1063), LEFT(INDEX(FILTER(C$1:C1043, C$1:C1043&lt;&gt;""""),COUNTA(FILTER(C$1:C1043, C$1:C1043&lt;&gt;""""))), LEN(INDEX(FILTER(C$1:C1043, C$1:C1043&lt;&gt;""""),COUNTA(FILTER(C$1:C1043, C$1:C1043&lt;&gt;""""))))-1), IF('To Order'!$A1044=COL"&amp;"UMNS($A1044:C1063), C1043&amp;RIGHT(INDIRECT(ADDRESS(ROW(C1044)-1, 'From Order'!$A1044)), 1), C1043))"),"TRLRSGHWQVQJPPVJCVZRDCGMTBFMHZBSBDJDS")</f>
        <v>TRLRSGHWQVQJPPVJCVZRDCGMTBFMHZBSBDJDS</v>
      </c>
      <c r="D1044" s="2" t="str">
        <f>IFERROR(__xludf.DUMMYFUNCTION("IF('From Order'!$A1044=COLUMNS($A1044:D1063), LEFT(INDEX(FILTER(D$1:D1043, D$1:D1043&lt;&gt;""""),COUNTA(FILTER(D$1:D1043, D$1:D1043&lt;&gt;""""))), LEN(INDEX(FILTER(D$1:D1043, D$1:D1043&lt;&gt;""""),COUNTA(FILTER(D$1:D1043, D$1:D1043&lt;&gt;""""))))-1), IF('To Order'!$A1044=COL"&amp;"UMNS($A1044:D1063), D1043&amp;RIGHT(INDIRECT(ADDRESS(ROW(D1044)-1, 'From Order'!$A1044)), 1), D1043))"),"")</f>
        <v/>
      </c>
      <c r="E1044" s="2" t="str">
        <f>IFERROR(__xludf.DUMMYFUNCTION("IF('From Order'!$A1044=COLUMNS($A1044:E1063), LEFT(INDEX(FILTER(E$1:E1043, E$1:E1043&lt;&gt;""""),COUNTA(FILTER(E$1:E1043, E$1:E1043&lt;&gt;""""))), LEN(INDEX(FILTER(E$1:E1043, E$1:E1043&lt;&gt;""""),COUNTA(FILTER(E$1:E1043, E$1:E1043&lt;&gt;""""))))-1), IF('To Order'!$A1044=COL"&amp;"UMNS($A1044:E1063), E1043&amp;RIGHT(INDIRECT(ADDRESS(ROW(E1044)-1, 'From Order'!$A1044)), 1), E1043))"),"")</f>
        <v/>
      </c>
      <c r="F1044" s="2" t="str">
        <f>IFERROR(__xludf.DUMMYFUNCTION("IF('From Order'!$A1044=COLUMNS($A1044:F1063), LEFT(INDEX(FILTER(F$1:F1043, F$1:F1043&lt;&gt;""""),COUNTA(FILTER(F$1:F1043, F$1:F1043&lt;&gt;""""))), LEN(INDEX(FILTER(F$1:F1043, F$1:F1043&lt;&gt;""""),COUNTA(FILTER(F$1:F1043, F$1:F1043&lt;&gt;""""))))-1), IF('To Order'!$A1044=COL"&amp;"UMNS($A1044:F1063), F1043&amp;RIGHT(INDIRECT(ADDRESS(ROW(F1044)-1, 'From Order'!$A1044)), 1), F1043))"),"FSLT")</f>
        <v>FSLT</v>
      </c>
      <c r="G1044" s="2" t="str">
        <f>IFERROR(__xludf.DUMMYFUNCTION("IF('From Order'!$A1044=COLUMNS($A1044:G1063), LEFT(INDEX(FILTER(G$1:G1043, G$1:G1043&lt;&gt;""""),COUNTA(FILTER(G$1:G1043, G$1:G1043&lt;&gt;""""))), LEN(INDEX(FILTER(G$1:G1043, G$1:G1043&lt;&gt;""""),COUNTA(FILTER(G$1:G1043, G$1:G1043&lt;&gt;""""))))-1), IF('To Order'!$A1044=COL"&amp;"UMNS($A1044:G1063), G1043&amp;RIGHT(INDIRECT(ADDRESS(ROW(G1044)-1, 'From Order'!$A1044)), 1), G1043))"),"B")</f>
        <v>B</v>
      </c>
      <c r="H1044" s="2" t="str">
        <f>IFERROR(__xludf.DUMMYFUNCTION("IF('From Order'!$A1044=COLUMNS($A1044:H1063), LEFT(INDEX(FILTER(H$1:H1043, H$1:H1043&lt;&gt;""""),COUNTA(FILTER(H$1:H1043, H$1:H1043&lt;&gt;""""))), LEN(INDEX(FILTER(H$1:H1043, H$1:H1043&lt;&gt;""""),COUNTA(FILTER(H$1:H1043, H$1:H1043&lt;&gt;""""))))-1), IF('To Order'!$A1044=COL"&amp;"UMNS($A1044:H1063), H1043&amp;RIGHT(INDIRECT(ADDRESS(ROW(H1044)-1, 'From Order'!$A1044)), 1), H1043))"),"")</f>
        <v/>
      </c>
      <c r="I1044" s="2" t="str">
        <f>IFERROR(__xludf.DUMMYFUNCTION("IF('From Order'!$A1044=COLUMNS($A1044:I1063), LEFT(INDEX(FILTER(I$1:I1043, I$1:I1043&lt;&gt;""""),COUNTA(FILTER(I$1:I1043, I$1:I1043&lt;&gt;""""))), LEN(INDEX(FILTER(I$1:I1043, I$1:I1043&lt;&gt;""""),COUNTA(FILTER(I$1:I1043, I$1:I1043&lt;&gt;""""))))-1), IF('To Order'!$A1044=COL"&amp;"UMNS($A1044:I1063), I1043&amp;RIGHT(INDIRECT(ADDRESS(ROW(I1044)-1, 'From Order'!$A1044)), 1), I1043))"),"RCTMRWTDTD")</f>
        <v>RCTMRWTDTD</v>
      </c>
    </row>
    <row r="1045">
      <c r="A1045" s="2" t="str">
        <f>IFERROR(__xludf.DUMMYFUNCTION("IF('From Order'!$A1045=COLUMNS($A1045:A1064), LEFT(INDEX(FILTER(A$1:A1044, A$1:A1044&lt;&gt;""""),COUNTA(FILTER(A$1:A1044, A$1:A1044&lt;&gt;""""))), LEN(INDEX(FILTER(A$1:A1044, A$1:A1044&lt;&gt;""""),COUNTA(FILTER(A$1:A1044, A$1:A1044&lt;&gt;""""))))-1), IF('To Order'!$A1045=COL"&amp;"UMNS($A1045:A1064), A1044&amp;RIGHT(INDIRECT(ADDRESS(ROW(A1045)-1, 'From Order'!$A1045)), 1), A1044))"),"")</f>
        <v/>
      </c>
      <c r="B1045" s="2" t="str">
        <f>IFERROR(__xludf.DUMMYFUNCTION("IF('From Order'!$A1045=COLUMNS($A1045:B1064), LEFT(INDEX(FILTER(B$1:B1044, B$1:B1044&lt;&gt;""""),COUNTA(FILTER(B$1:B1044, B$1:B1044&lt;&gt;""""))), LEN(INDEX(FILTER(B$1:B1044, B$1:B1044&lt;&gt;""""),COUNTA(FILTER(B$1:B1044, B$1:B1044&lt;&gt;""""))))-1), IF('To Order'!$A1045=COL"&amp;"UMNS($A1045:B1064), B1044&amp;RIGHT(INDIRECT(ADDRESS(ROW(B1045)-1, 'From Order'!$A1045)), 1), B1044))"),"ZLPDS")</f>
        <v>ZLPDS</v>
      </c>
      <c r="C1045" s="2" t="str">
        <f>IFERROR(__xludf.DUMMYFUNCTION("IF('From Order'!$A1045=COLUMNS($A1045:C1064), LEFT(INDEX(FILTER(C$1:C1044, C$1:C1044&lt;&gt;""""),COUNTA(FILTER(C$1:C1044, C$1:C1044&lt;&gt;""""))), LEN(INDEX(FILTER(C$1:C1044, C$1:C1044&lt;&gt;""""),COUNTA(FILTER(C$1:C1044, C$1:C1044&lt;&gt;""""))))-1), IF('To Order'!$A1045=COL"&amp;"UMNS($A1045:C1064), C1044&amp;RIGHT(INDIRECT(ADDRESS(ROW(C1045)-1, 'From Order'!$A1045)), 1), C1044))"),"TRLRSGHWQVQJPPVJCVZRDCGMTBFMHZBSBDJD")</f>
        <v>TRLRSGHWQVQJPPVJCVZRDCGMTBFMHZBSBDJD</v>
      </c>
      <c r="D1045" s="2" t="str">
        <f>IFERROR(__xludf.DUMMYFUNCTION("IF('From Order'!$A1045=COLUMNS($A1045:D1064), LEFT(INDEX(FILTER(D$1:D1044, D$1:D1044&lt;&gt;""""),COUNTA(FILTER(D$1:D1044, D$1:D1044&lt;&gt;""""))), LEN(INDEX(FILTER(D$1:D1044, D$1:D1044&lt;&gt;""""),COUNTA(FILTER(D$1:D1044, D$1:D1044&lt;&gt;""""))))-1), IF('To Order'!$A1045=COL"&amp;"UMNS($A1045:D1064), D1044&amp;RIGHT(INDIRECT(ADDRESS(ROW(D1045)-1, 'From Order'!$A1045)), 1), D1044))"),"")</f>
        <v/>
      </c>
      <c r="E1045" s="2" t="str">
        <f>IFERROR(__xludf.DUMMYFUNCTION("IF('From Order'!$A1045=COLUMNS($A1045:E1064), LEFT(INDEX(FILTER(E$1:E1044, E$1:E1044&lt;&gt;""""),COUNTA(FILTER(E$1:E1044, E$1:E1044&lt;&gt;""""))), LEN(INDEX(FILTER(E$1:E1044, E$1:E1044&lt;&gt;""""),COUNTA(FILTER(E$1:E1044, E$1:E1044&lt;&gt;""""))))-1), IF('To Order'!$A1045=COL"&amp;"UMNS($A1045:E1064), E1044&amp;RIGHT(INDIRECT(ADDRESS(ROW(E1045)-1, 'From Order'!$A1045)), 1), E1044))"),"")</f>
        <v/>
      </c>
      <c r="F1045" s="2" t="str">
        <f>IFERROR(__xludf.DUMMYFUNCTION("IF('From Order'!$A1045=COLUMNS($A1045:F1064), LEFT(INDEX(FILTER(F$1:F1044, F$1:F1044&lt;&gt;""""),COUNTA(FILTER(F$1:F1044, F$1:F1044&lt;&gt;""""))), LEN(INDEX(FILTER(F$1:F1044, F$1:F1044&lt;&gt;""""),COUNTA(FILTER(F$1:F1044, F$1:F1044&lt;&gt;""""))))-1), IF('To Order'!$A1045=COL"&amp;"UMNS($A1045:F1064), F1044&amp;RIGHT(INDIRECT(ADDRESS(ROW(F1045)-1, 'From Order'!$A1045)), 1), F1044))"),"FSLT")</f>
        <v>FSLT</v>
      </c>
      <c r="G1045" s="2" t="str">
        <f>IFERROR(__xludf.DUMMYFUNCTION("IF('From Order'!$A1045=COLUMNS($A1045:G1064), LEFT(INDEX(FILTER(G$1:G1044, G$1:G1044&lt;&gt;""""),COUNTA(FILTER(G$1:G1044, G$1:G1044&lt;&gt;""""))), LEN(INDEX(FILTER(G$1:G1044, G$1:G1044&lt;&gt;""""),COUNTA(FILTER(G$1:G1044, G$1:G1044&lt;&gt;""""))))-1), IF('To Order'!$A1045=COL"&amp;"UMNS($A1045:G1064), G1044&amp;RIGHT(INDIRECT(ADDRESS(ROW(G1045)-1, 'From Order'!$A1045)), 1), G1044))"),"B")</f>
        <v>B</v>
      </c>
      <c r="H1045" s="2" t="str">
        <f>IFERROR(__xludf.DUMMYFUNCTION("IF('From Order'!$A1045=COLUMNS($A1045:H1064), LEFT(INDEX(FILTER(H$1:H1044, H$1:H1044&lt;&gt;""""),COUNTA(FILTER(H$1:H1044, H$1:H1044&lt;&gt;""""))), LEN(INDEX(FILTER(H$1:H1044, H$1:H1044&lt;&gt;""""),COUNTA(FILTER(H$1:H1044, H$1:H1044&lt;&gt;""""))))-1), IF('To Order'!$A1045=COL"&amp;"UMNS($A1045:H1064), H1044&amp;RIGHT(INDIRECT(ADDRESS(ROW(H1045)-1, 'From Order'!$A1045)), 1), H1044))"),"")</f>
        <v/>
      </c>
      <c r="I1045" s="2" t="str">
        <f>IFERROR(__xludf.DUMMYFUNCTION("IF('From Order'!$A1045=COLUMNS($A1045:I1064), LEFT(INDEX(FILTER(I$1:I1044, I$1:I1044&lt;&gt;""""),COUNTA(FILTER(I$1:I1044, I$1:I1044&lt;&gt;""""))), LEN(INDEX(FILTER(I$1:I1044, I$1:I1044&lt;&gt;""""),COUNTA(FILTER(I$1:I1044, I$1:I1044&lt;&gt;""""))))-1), IF('To Order'!$A1045=COL"&amp;"UMNS($A1045:I1064), I1044&amp;RIGHT(INDIRECT(ADDRESS(ROW(I1045)-1, 'From Order'!$A1045)), 1), I1044))"),"RCTMRWTDTD")</f>
        <v>RCTMRWTDTD</v>
      </c>
    </row>
    <row r="1046">
      <c r="A1046" s="2" t="str">
        <f>IFERROR(__xludf.DUMMYFUNCTION("IF('From Order'!$A1046=COLUMNS($A1046:A1065), LEFT(INDEX(FILTER(A$1:A1045, A$1:A1045&lt;&gt;""""),COUNTA(FILTER(A$1:A1045, A$1:A1045&lt;&gt;""""))), LEN(INDEX(FILTER(A$1:A1045, A$1:A1045&lt;&gt;""""),COUNTA(FILTER(A$1:A1045, A$1:A1045&lt;&gt;""""))))-1), IF('To Order'!$A1046=COL"&amp;"UMNS($A1046:A1065), A1045&amp;RIGHT(INDIRECT(ADDRESS(ROW(A1046)-1, 'From Order'!$A1046)), 1), A1045))"),"")</f>
        <v/>
      </c>
      <c r="B1046" s="2" t="str">
        <f>IFERROR(__xludf.DUMMYFUNCTION("IF('From Order'!$A1046=COLUMNS($A1046:B1065), LEFT(INDEX(FILTER(B$1:B1045, B$1:B1045&lt;&gt;""""),COUNTA(FILTER(B$1:B1045, B$1:B1045&lt;&gt;""""))), LEN(INDEX(FILTER(B$1:B1045, B$1:B1045&lt;&gt;""""),COUNTA(FILTER(B$1:B1045, B$1:B1045&lt;&gt;""""))))-1), IF('To Order'!$A1046=COL"&amp;"UMNS($A1046:B1065), B1045&amp;RIGHT(INDIRECT(ADDRESS(ROW(B1046)-1, 'From Order'!$A1046)), 1), B1045))"),"ZLPDSD")</f>
        <v>ZLPDSD</v>
      </c>
      <c r="C1046" s="2" t="str">
        <f>IFERROR(__xludf.DUMMYFUNCTION("IF('From Order'!$A1046=COLUMNS($A1046:C1065), LEFT(INDEX(FILTER(C$1:C1045, C$1:C1045&lt;&gt;""""),COUNTA(FILTER(C$1:C1045, C$1:C1045&lt;&gt;""""))), LEN(INDEX(FILTER(C$1:C1045, C$1:C1045&lt;&gt;""""),COUNTA(FILTER(C$1:C1045, C$1:C1045&lt;&gt;""""))))-1), IF('To Order'!$A1046=COL"&amp;"UMNS($A1046:C1065), C1045&amp;RIGHT(INDIRECT(ADDRESS(ROW(C1046)-1, 'From Order'!$A1046)), 1), C1045))"),"TRLRSGHWQVQJPPVJCVZRDCGMTBFMHZBSBDJ")</f>
        <v>TRLRSGHWQVQJPPVJCVZRDCGMTBFMHZBSBDJ</v>
      </c>
      <c r="D1046" s="2" t="str">
        <f>IFERROR(__xludf.DUMMYFUNCTION("IF('From Order'!$A1046=COLUMNS($A1046:D1065), LEFT(INDEX(FILTER(D$1:D1045, D$1:D1045&lt;&gt;""""),COUNTA(FILTER(D$1:D1045, D$1:D1045&lt;&gt;""""))), LEN(INDEX(FILTER(D$1:D1045, D$1:D1045&lt;&gt;""""),COUNTA(FILTER(D$1:D1045, D$1:D1045&lt;&gt;""""))))-1), IF('To Order'!$A1046=COL"&amp;"UMNS($A1046:D1065), D1045&amp;RIGHT(INDIRECT(ADDRESS(ROW(D1046)-1, 'From Order'!$A1046)), 1), D1045))"),"")</f>
        <v/>
      </c>
      <c r="E1046" s="2" t="str">
        <f>IFERROR(__xludf.DUMMYFUNCTION("IF('From Order'!$A1046=COLUMNS($A1046:E1065), LEFT(INDEX(FILTER(E$1:E1045, E$1:E1045&lt;&gt;""""),COUNTA(FILTER(E$1:E1045, E$1:E1045&lt;&gt;""""))), LEN(INDEX(FILTER(E$1:E1045, E$1:E1045&lt;&gt;""""),COUNTA(FILTER(E$1:E1045, E$1:E1045&lt;&gt;""""))))-1), IF('To Order'!$A1046=COL"&amp;"UMNS($A1046:E1065), E1045&amp;RIGHT(INDIRECT(ADDRESS(ROW(E1046)-1, 'From Order'!$A1046)), 1), E1045))"),"")</f>
        <v/>
      </c>
      <c r="F1046" s="2" t="str">
        <f>IFERROR(__xludf.DUMMYFUNCTION("IF('From Order'!$A1046=COLUMNS($A1046:F1065), LEFT(INDEX(FILTER(F$1:F1045, F$1:F1045&lt;&gt;""""),COUNTA(FILTER(F$1:F1045, F$1:F1045&lt;&gt;""""))), LEN(INDEX(FILTER(F$1:F1045, F$1:F1045&lt;&gt;""""),COUNTA(FILTER(F$1:F1045, F$1:F1045&lt;&gt;""""))))-1), IF('To Order'!$A1046=COL"&amp;"UMNS($A1046:F1065), F1045&amp;RIGHT(INDIRECT(ADDRESS(ROW(F1046)-1, 'From Order'!$A1046)), 1), F1045))"),"FSLT")</f>
        <v>FSLT</v>
      </c>
      <c r="G1046" s="2" t="str">
        <f>IFERROR(__xludf.DUMMYFUNCTION("IF('From Order'!$A1046=COLUMNS($A1046:G1065), LEFT(INDEX(FILTER(G$1:G1045, G$1:G1045&lt;&gt;""""),COUNTA(FILTER(G$1:G1045, G$1:G1045&lt;&gt;""""))), LEN(INDEX(FILTER(G$1:G1045, G$1:G1045&lt;&gt;""""),COUNTA(FILTER(G$1:G1045, G$1:G1045&lt;&gt;""""))))-1), IF('To Order'!$A1046=COL"&amp;"UMNS($A1046:G1065), G1045&amp;RIGHT(INDIRECT(ADDRESS(ROW(G1046)-1, 'From Order'!$A1046)), 1), G1045))"),"B")</f>
        <v>B</v>
      </c>
      <c r="H1046" s="2" t="str">
        <f>IFERROR(__xludf.DUMMYFUNCTION("IF('From Order'!$A1046=COLUMNS($A1046:H1065), LEFT(INDEX(FILTER(H$1:H1045, H$1:H1045&lt;&gt;""""),COUNTA(FILTER(H$1:H1045, H$1:H1045&lt;&gt;""""))), LEN(INDEX(FILTER(H$1:H1045, H$1:H1045&lt;&gt;""""),COUNTA(FILTER(H$1:H1045, H$1:H1045&lt;&gt;""""))))-1), IF('To Order'!$A1046=COL"&amp;"UMNS($A1046:H1065), H1045&amp;RIGHT(INDIRECT(ADDRESS(ROW(H1046)-1, 'From Order'!$A1046)), 1), H1045))"),"")</f>
        <v/>
      </c>
      <c r="I1046" s="2" t="str">
        <f>IFERROR(__xludf.DUMMYFUNCTION("IF('From Order'!$A1046=COLUMNS($A1046:I1065), LEFT(INDEX(FILTER(I$1:I1045, I$1:I1045&lt;&gt;""""),COUNTA(FILTER(I$1:I1045, I$1:I1045&lt;&gt;""""))), LEN(INDEX(FILTER(I$1:I1045, I$1:I1045&lt;&gt;""""),COUNTA(FILTER(I$1:I1045, I$1:I1045&lt;&gt;""""))))-1), IF('To Order'!$A1046=COL"&amp;"UMNS($A1046:I1065), I1045&amp;RIGHT(INDIRECT(ADDRESS(ROW(I1046)-1, 'From Order'!$A1046)), 1), I1045))"),"RCTMRWTDTD")</f>
        <v>RCTMRWTDTD</v>
      </c>
    </row>
    <row r="1047">
      <c r="A1047" s="2" t="str">
        <f>IFERROR(__xludf.DUMMYFUNCTION("IF('From Order'!$A1047=COLUMNS($A1047:A1066), LEFT(INDEX(FILTER(A$1:A1046, A$1:A1046&lt;&gt;""""),COUNTA(FILTER(A$1:A1046, A$1:A1046&lt;&gt;""""))), LEN(INDEX(FILTER(A$1:A1046, A$1:A1046&lt;&gt;""""),COUNTA(FILTER(A$1:A1046, A$1:A1046&lt;&gt;""""))))-1), IF('To Order'!$A1047=COL"&amp;"UMNS($A1047:A1066), A1046&amp;RIGHT(INDIRECT(ADDRESS(ROW(A1047)-1, 'From Order'!$A1047)), 1), A1046))"),"")</f>
        <v/>
      </c>
      <c r="B1047" s="2" t="str">
        <f>IFERROR(__xludf.DUMMYFUNCTION("IF('From Order'!$A1047=COLUMNS($A1047:B1066), LEFT(INDEX(FILTER(B$1:B1046, B$1:B1046&lt;&gt;""""),COUNTA(FILTER(B$1:B1046, B$1:B1046&lt;&gt;""""))), LEN(INDEX(FILTER(B$1:B1046, B$1:B1046&lt;&gt;""""),COUNTA(FILTER(B$1:B1046, B$1:B1046&lt;&gt;""""))))-1), IF('To Order'!$A1047=COL"&amp;"UMNS($A1047:B1066), B1046&amp;RIGHT(INDIRECT(ADDRESS(ROW(B1047)-1, 'From Order'!$A1047)), 1), B1046))"),"ZLPDSDJ")</f>
        <v>ZLPDSDJ</v>
      </c>
      <c r="C1047" s="2" t="str">
        <f>IFERROR(__xludf.DUMMYFUNCTION("IF('From Order'!$A1047=COLUMNS($A1047:C1066), LEFT(INDEX(FILTER(C$1:C1046, C$1:C1046&lt;&gt;""""),COUNTA(FILTER(C$1:C1046, C$1:C1046&lt;&gt;""""))), LEN(INDEX(FILTER(C$1:C1046, C$1:C1046&lt;&gt;""""),COUNTA(FILTER(C$1:C1046, C$1:C1046&lt;&gt;""""))))-1), IF('To Order'!$A1047=COL"&amp;"UMNS($A1047:C1066), C1046&amp;RIGHT(INDIRECT(ADDRESS(ROW(C1047)-1, 'From Order'!$A1047)), 1), C1046))"),"TRLRSGHWQVQJPPVJCVZRDCGMTBFMHZBSBD")</f>
        <v>TRLRSGHWQVQJPPVJCVZRDCGMTBFMHZBSBD</v>
      </c>
      <c r="D1047" s="2" t="str">
        <f>IFERROR(__xludf.DUMMYFUNCTION("IF('From Order'!$A1047=COLUMNS($A1047:D1066), LEFT(INDEX(FILTER(D$1:D1046, D$1:D1046&lt;&gt;""""),COUNTA(FILTER(D$1:D1046, D$1:D1046&lt;&gt;""""))), LEN(INDEX(FILTER(D$1:D1046, D$1:D1046&lt;&gt;""""),COUNTA(FILTER(D$1:D1046, D$1:D1046&lt;&gt;""""))))-1), IF('To Order'!$A1047=COL"&amp;"UMNS($A1047:D1066), D1046&amp;RIGHT(INDIRECT(ADDRESS(ROW(D1047)-1, 'From Order'!$A1047)), 1), D1046))"),"")</f>
        <v/>
      </c>
      <c r="E1047" s="2" t="str">
        <f>IFERROR(__xludf.DUMMYFUNCTION("IF('From Order'!$A1047=COLUMNS($A1047:E1066), LEFT(INDEX(FILTER(E$1:E1046, E$1:E1046&lt;&gt;""""),COUNTA(FILTER(E$1:E1046, E$1:E1046&lt;&gt;""""))), LEN(INDEX(FILTER(E$1:E1046, E$1:E1046&lt;&gt;""""),COUNTA(FILTER(E$1:E1046, E$1:E1046&lt;&gt;""""))))-1), IF('To Order'!$A1047=COL"&amp;"UMNS($A1047:E1066), E1046&amp;RIGHT(INDIRECT(ADDRESS(ROW(E1047)-1, 'From Order'!$A1047)), 1), E1046))"),"")</f>
        <v/>
      </c>
      <c r="F1047" s="2" t="str">
        <f>IFERROR(__xludf.DUMMYFUNCTION("IF('From Order'!$A1047=COLUMNS($A1047:F1066), LEFT(INDEX(FILTER(F$1:F1046, F$1:F1046&lt;&gt;""""),COUNTA(FILTER(F$1:F1046, F$1:F1046&lt;&gt;""""))), LEN(INDEX(FILTER(F$1:F1046, F$1:F1046&lt;&gt;""""),COUNTA(FILTER(F$1:F1046, F$1:F1046&lt;&gt;""""))))-1), IF('To Order'!$A1047=COL"&amp;"UMNS($A1047:F1066), F1046&amp;RIGHT(INDIRECT(ADDRESS(ROW(F1047)-1, 'From Order'!$A1047)), 1), F1046))"),"FSLT")</f>
        <v>FSLT</v>
      </c>
      <c r="G1047" s="2" t="str">
        <f>IFERROR(__xludf.DUMMYFUNCTION("IF('From Order'!$A1047=COLUMNS($A1047:G1066), LEFT(INDEX(FILTER(G$1:G1046, G$1:G1046&lt;&gt;""""),COUNTA(FILTER(G$1:G1046, G$1:G1046&lt;&gt;""""))), LEN(INDEX(FILTER(G$1:G1046, G$1:G1046&lt;&gt;""""),COUNTA(FILTER(G$1:G1046, G$1:G1046&lt;&gt;""""))))-1), IF('To Order'!$A1047=COL"&amp;"UMNS($A1047:G1066), G1046&amp;RIGHT(INDIRECT(ADDRESS(ROW(G1047)-1, 'From Order'!$A1047)), 1), G1046))"),"B")</f>
        <v>B</v>
      </c>
      <c r="H1047" s="2" t="str">
        <f>IFERROR(__xludf.DUMMYFUNCTION("IF('From Order'!$A1047=COLUMNS($A1047:H1066), LEFT(INDEX(FILTER(H$1:H1046, H$1:H1046&lt;&gt;""""),COUNTA(FILTER(H$1:H1046, H$1:H1046&lt;&gt;""""))), LEN(INDEX(FILTER(H$1:H1046, H$1:H1046&lt;&gt;""""),COUNTA(FILTER(H$1:H1046, H$1:H1046&lt;&gt;""""))))-1), IF('To Order'!$A1047=COL"&amp;"UMNS($A1047:H1066), H1046&amp;RIGHT(INDIRECT(ADDRESS(ROW(H1047)-1, 'From Order'!$A1047)), 1), H1046))"),"")</f>
        <v/>
      </c>
      <c r="I1047" s="2" t="str">
        <f>IFERROR(__xludf.DUMMYFUNCTION("IF('From Order'!$A1047=COLUMNS($A1047:I1066), LEFT(INDEX(FILTER(I$1:I1046, I$1:I1046&lt;&gt;""""),COUNTA(FILTER(I$1:I1046, I$1:I1046&lt;&gt;""""))), LEN(INDEX(FILTER(I$1:I1046, I$1:I1046&lt;&gt;""""),COUNTA(FILTER(I$1:I1046, I$1:I1046&lt;&gt;""""))))-1), IF('To Order'!$A1047=COL"&amp;"UMNS($A1047:I1066), I1046&amp;RIGHT(INDIRECT(ADDRESS(ROW(I1047)-1, 'From Order'!$A1047)), 1), I1046))"),"RCTMRWTDTD")</f>
        <v>RCTMRWTDTD</v>
      </c>
    </row>
    <row r="1048">
      <c r="A1048" s="2" t="str">
        <f>IFERROR(__xludf.DUMMYFUNCTION("IF('From Order'!$A1048=COLUMNS($A1048:A1067), LEFT(INDEX(FILTER(A$1:A1047, A$1:A1047&lt;&gt;""""),COUNTA(FILTER(A$1:A1047, A$1:A1047&lt;&gt;""""))), LEN(INDEX(FILTER(A$1:A1047, A$1:A1047&lt;&gt;""""),COUNTA(FILTER(A$1:A1047, A$1:A1047&lt;&gt;""""))))-1), IF('To Order'!$A1048=COL"&amp;"UMNS($A1048:A1067), A1047&amp;RIGHT(INDIRECT(ADDRESS(ROW(A1048)-1, 'From Order'!$A1048)), 1), A1047))"),"")</f>
        <v/>
      </c>
      <c r="B1048" s="2" t="str">
        <f>IFERROR(__xludf.DUMMYFUNCTION("IF('From Order'!$A1048=COLUMNS($A1048:B1067), LEFT(INDEX(FILTER(B$1:B1047, B$1:B1047&lt;&gt;""""),COUNTA(FILTER(B$1:B1047, B$1:B1047&lt;&gt;""""))), LEN(INDEX(FILTER(B$1:B1047, B$1:B1047&lt;&gt;""""),COUNTA(FILTER(B$1:B1047, B$1:B1047&lt;&gt;""""))))-1), IF('To Order'!$A1048=COL"&amp;"UMNS($A1048:B1067), B1047&amp;RIGHT(INDIRECT(ADDRESS(ROW(B1048)-1, 'From Order'!$A1048)), 1), B1047))"),"ZLPDSDJD")</f>
        <v>ZLPDSDJD</v>
      </c>
      <c r="C1048" s="2" t="str">
        <f>IFERROR(__xludf.DUMMYFUNCTION("IF('From Order'!$A1048=COLUMNS($A1048:C1067), LEFT(INDEX(FILTER(C$1:C1047, C$1:C1047&lt;&gt;""""),COUNTA(FILTER(C$1:C1047, C$1:C1047&lt;&gt;""""))), LEN(INDEX(FILTER(C$1:C1047, C$1:C1047&lt;&gt;""""),COUNTA(FILTER(C$1:C1047, C$1:C1047&lt;&gt;""""))))-1), IF('To Order'!$A1048=COL"&amp;"UMNS($A1048:C1067), C1047&amp;RIGHT(INDIRECT(ADDRESS(ROW(C1048)-1, 'From Order'!$A1048)), 1), C1047))"),"TRLRSGHWQVQJPPVJCVZRDCGMTBFMHZBSB")</f>
        <v>TRLRSGHWQVQJPPVJCVZRDCGMTBFMHZBSB</v>
      </c>
      <c r="D1048" s="2" t="str">
        <f>IFERROR(__xludf.DUMMYFUNCTION("IF('From Order'!$A1048=COLUMNS($A1048:D1067), LEFT(INDEX(FILTER(D$1:D1047, D$1:D1047&lt;&gt;""""),COUNTA(FILTER(D$1:D1047, D$1:D1047&lt;&gt;""""))), LEN(INDEX(FILTER(D$1:D1047, D$1:D1047&lt;&gt;""""),COUNTA(FILTER(D$1:D1047, D$1:D1047&lt;&gt;""""))))-1), IF('To Order'!$A1048=COL"&amp;"UMNS($A1048:D1067), D1047&amp;RIGHT(INDIRECT(ADDRESS(ROW(D1048)-1, 'From Order'!$A1048)), 1), D1047))"),"")</f>
        <v/>
      </c>
      <c r="E1048" s="2" t="str">
        <f>IFERROR(__xludf.DUMMYFUNCTION("IF('From Order'!$A1048=COLUMNS($A1048:E1067), LEFT(INDEX(FILTER(E$1:E1047, E$1:E1047&lt;&gt;""""),COUNTA(FILTER(E$1:E1047, E$1:E1047&lt;&gt;""""))), LEN(INDEX(FILTER(E$1:E1047, E$1:E1047&lt;&gt;""""),COUNTA(FILTER(E$1:E1047, E$1:E1047&lt;&gt;""""))))-1), IF('To Order'!$A1048=COL"&amp;"UMNS($A1048:E1067), E1047&amp;RIGHT(INDIRECT(ADDRESS(ROW(E1048)-1, 'From Order'!$A1048)), 1), E1047))"),"")</f>
        <v/>
      </c>
      <c r="F1048" s="2" t="str">
        <f>IFERROR(__xludf.DUMMYFUNCTION("IF('From Order'!$A1048=COLUMNS($A1048:F1067), LEFT(INDEX(FILTER(F$1:F1047, F$1:F1047&lt;&gt;""""),COUNTA(FILTER(F$1:F1047, F$1:F1047&lt;&gt;""""))), LEN(INDEX(FILTER(F$1:F1047, F$1:F1047&lt;&gt;""""),COUNTA(FILTER(F$1:F1047, F$1:F1047&lt;&gt;""""))))-1), IF('To Order'!$A1048=COL"&amp;"UMNS($A1048:F1067), F1047&amp;RIGHT(INDIRECT(ADDRESS(ROW(F1048)-1, 'From Order'!$A1048)), 1), F1047))"),"FSLT")</f>
        <v>FSLT</v>
      </c>
      <c r="G1048" s="2" t="str">
        <f>IFERROR(__xludf.DUMMYFUNCTION("IF('From Order'!$A1048=COLUMNS($A1048:G1067), LEFT(INDEX(FILTER(G$1:G1047, G$1:G1047&lt;&gt;""""),COUNTA(FILTER(G$1:G1047, G$1:G1047&lt;&gt;""""))), LEN(INDEX(FILTER(G$1:G1047, G$1:G1047&lt;&gt;""""),COUNTA(FILTER(G$1:G1047, G$1:G1047&lt;&gt;""""))))-1), IF('To Order'!$A1048=COL"&amp;"UMNS($A1048:G1067), G1047&amp;RIGHT(INDIRECT(ADDRESS(ROW(G1048)-1, 'From Order'!$A1048)), 1), G1047))"),"B")</f>
        <v>B</v>
      </c>
      <c r="H1048" s="2" t="str">
        <f>IFERROR(__xludf.DUMMYFUNCTION("IF('From Order'!$A1048=COLUMNS($A1048:H1067), LEFT(INDEX(FILTER(H$1:H1047, H$1:H1047&lt;&gt;""""),COUNTA(FILTER(H$1:H1047, H$1:H1047&lt;&gt;""""))), LEN(INDEX(FILTER(H$1:H1047, H$1:H1047&lt;&gt;""""),COUNTA(FILTER(H$1:H1047, H$1:H1047&lt;&gt;""""))))-1), IF('To Order'!$A1048=COL"&amp;"UMNS($A1048:H1067), H1047&amp;RIGHT(INDIRECT(ADDRESS(ROW(H1048)-1, 'From Order'!$A1048)), 1), H1047))"),"")</f>
        <v/>
      </c>
      <c r="I1048" s="2" t="str">
        <f>IFERROR(__xludf.DUMMYFUNCTION("IF('From Order'!$A1048=COLUMNS($A1048:I1067), LEFT(INDEX(FILTER(I$1:I1047, I$1:I1047&lt;&gt;""""),COUNTA(FILTER(I$1:I1047, I$1:I1047&lt;&gt;""""))), LEN(INDEX(FILTER(I$1:I1047, I$1:I1047&lt;&gt;""""),COUNTA(FILTER(I$1:I1047, I$1:I1047&lt;&gt;""""))))-1), IF('To Order'!$A1048=COL"&amp;"UMNS($A1048:I1067), I1047&amp;RIGHT(INDIRECT(ADDRESS(ROW(I1048)-1, 'From Order'!$A1048)), 1), I1047))"),"RCTMRWTDTD")</f>
        <v>RCTMRWTDTD</v>
      </c>
    </row>
    <row r="1049">
      <c r="A1049" s="2" t="str">
        <f>IFERROR(__xludf.DUMMYFUNCTION("IF('From Order'!$A1049=COLUMNS($A1049:A1068), LEFT(INDEX(FILTER(A$1:A1048, A$1:A1048&lt;&gt;""""),COUNTA(FILTER(A$1:A1048, A$1:A1048&lt;&gt;""""))), LEN(INDEX(FILTER(A$1:A1048, A$1:A1048&lt;&gt;""""),COUNTA(FILTER(A$1:A1048, A$1:A1048&lt;&gt;""""))))-1), IF('To Order'!$A1049=COL"&amp;"UMNS($A1049:A1068), A1048&amp;RIGHT(INDIRECT(ADDRESS(ROW(A1049)-1, 'From Order'!$A1049)), 1), A1048))"),"")</f>
        <v/>
      </c>
      <c r="B1049" s="2" t="str">
        <f>IFERROR(__xludf.DUMMYFUNCTION("IF('From Order'!$A1049=COLUMNS($A1049:B1068), LEFT(INDEX(FILTER(B$1:B1048, B$1:B1048&lt;&gt;""""),COUNTA(FILTER(B$1:B1048, B$1:B1048&lt;&gt;""""))), LEN(INDEX(FILTER(B$1:B1048, B$1:B1048&lt;&gt;""""),COUNTA(FILTER(B$1:B1048, B$1:B1048&lt;&gt;""""))))-1), IF('To Order'!$A1049=COL"&amp;"UMNS($A1049:B1068), B1048&amp;RIGHT(INDIRECT(ADDRESS(ROW(B1049)-1, 'From Order'!$A1049)), 1), B1048))"),"ZLPDSDJDB")</f>
        <v>ZLPDSDJDB</v>
      </c>
      <c r="C1049" s="2" t="str">
        <f>IFERROR(__xludf.DUMMYFUNCTION("IF('From Order'!$A1049=COLUMNS($A1049:C1068), LEFT(INDEX(FILTER(C$1:C1048, C$1:C1048&lt;&gt;""""),COUNTA(FILTER(C$1:C1048, C$1:C1048&lt;&gt;""""))), LEN(INDEX(FILTER(C$1:C1048, C$1:C1048&lt;&gt;""""),COUNTA(FILTER(C$1:C1048, C$1:C1048&lt;&gt;""""))))-1), IF('To Order'!$A1049=COL"&amp;"UMNS($A1049:C1068), C1048&amp;RIGHT(INDIRECT(ADDRESS(ROW(C1049)-1, 'From Order'!$A1049)), 1), C1048))"),"TRLRSGHWQVQJPPVJCVZRDCGMTBFMHZBS")</f>
        <v>TRLRSGHWQVQJPPVJCVZRDCGMTBFMHZBS</v>
      </c>
      <c r="D1049" s="2" t="str">
        <f>IFERROR(__xludf.DUMMYFUNCTION("IF('From Order'!$A1049=COLUMNS($A1049:D1068), LEFT(INDEX(FILTER(D$1:D1048, D$1:D1048&lt;&gt;""""),COUNTA(FILTER(D$1:D1048, D$1:D1048&lt;&gt;""""))), LEN(INDEX(FILTER(D$1:D1048, D$1:D1048&lt;&gt;""""),COUNTA(FILTER(D$1:D1048, D$1:D1048&lt;&gt;""""))))-1), IF('To Order'!$A1049=COL"&amp;"UMNS($A1049:D1068), D1048&amp;RIGHT(INDIRECT(ADDRESS(ROW(D1049)-1, 'From Order'!$A1049)), 1), D1048))"),"")</f>
        <v/>
      </c>
      <c r="E1049" s="2" t="str">
        <f>IFERROR(__xludf.DUMMYFUNCTION("IF('From Order'!$A1049=COLUMNS($A1049:E1068), LEFT(INDEX(FILTER(E$1:E1048, E$1:E1048&lt;&gt;""""),COUNTA(FILTER(E$1:E1048, E$1:E1048&lt;&gt;""""))), LEN(INDEX(FILTER(E$1:E1048, E$1:E1048&lt;&gt;""""),COUNTA(FILTER(E$1:E1048, E$1:E1048&lt;&gt;""""))))-1), IF('To Order'!$A1049=COL"&amp;"UMNS($A1049:E1068), E1048&amp;RIGHT(INDIRECT(ADDRESS(ROW(E1049)-1, 'From Order'!$A1049)), 1), E1048))"),"")</f>
        <v/>
      </c>
      <c r="F1049" s="2" t="str">
        <f>IFERROR(__xludf.DUMMYFUNCTION("IF('From Order'!$A1049=COLUMNS($A1049:F1068), LEFT(INDEX(FILTER(F$1:F1048, F$1:F1048&lt;&gt;""""),COUNTA(FILTER(F$1:F1048, F$1:F1048&lt;&gt;""""))), LEN(INDEX(FILTER(F$1:F1048, F$1:F1048&lt;&gt;""""),COUNTA(FILTER(F$1:F1048, F$1:F1048&lt;&gt;""""))))-1), IF('To Order'!$A1049=COL"&amp;"UMNS($A1049:F1068), F1048&amp;RIGHT(INDIRECT(ADDRESS(ROW(F1049)-1, 'From Order'!$A1049)), 1), F1048))"),"FSLT")</f>
        <v>FSLT</v>
      </c>
      <c r="G1049" s="2" t="str">
        <f>IFERROR(__xludf.DUMMYFUNCTION("IF('From Order'!$A1049=COLUMNS($A1049:G1068), LEFT(INDEX(FILTER(G$1:G1048, G$1:G1048&lt;&gt;""""),COUNTA(FILTER(G$1:G1048, G$1:G1048&lt;&gt;""""))), LEN(INDEX(FILTER(G$1:G1048, G$1:G1048&lt;&gt;""""),COUNTA(FILTER(G$1:G1048, G$1:G1048&lt;&gt;""""))))-1), IF('To Order'!$A1049=COL"&amp;"UMNS($A1049:G1068), G1048&amp;RIGHT(INDIRECT(ADDRESS(ROW(G1049)-1, 'From Order'!$A1049)), 1), G1048))"),"B")</f>
        <v>B</v>
      </c>
      <c r="H1049" s="2" t="str">
        <f>IFERROR(__xludf.DUMMYFUNCTION("IF('From Order'!$A1049=COLUMNS($A1049:H1068), LEFT(INDEX(FILTER(H$1:H1048, H$1:H1048&lt;&gt;""""),COUNTA(FILTER(H$1:H1048, H$1:H1048&lt;&gt;""""))), LEN(INDEX(FILTER(H$1:H1048, H$1:H1048&lt;&gt;""""),COUNTA(FILTER(H$1:H1048, H$1:H1048&lt;&gt;""""))))-1), IF('To Order'!$A1049=COL"&amp;"UMNS($A1049:H1068), H1048&amp;RIGHT(INDIRECT(ADDRESS(ROW(H1049)-1, 'From Order'!$A1049)), 1), H1048))"),"")</f>
        <v/>
      </c>
      <c r="I1049" s="2" t="str">
        <f>IFERROR(__xludf.DUMMYFUNCTION("IF('From Order'!$A1049=COLUMNS($A1049:I1068), LEFT(INDEX(FILTER(I$1:I1048, I$1:I1048&lt;&gt;""""),COUNTA(FILTER(I$1:I1048, I$1:I1048&lt;&gt;""""))), LEN(INDEX(FILTER(I$1:I1048, I$1:I1048&lt;&gt;""""),COUNTA(FILTER(I$1:I1048, I$1:I1048&lt;&gt;""""))))-1), IF('To Order'!$A1049=COL"&amp;"UMNS($A1049:I1068), I1048&amp;RIGHT(INDIRECT(ADDRESS(ROW(I1049)-1, 'From Order'!$A1049)), 1), I1048))"),"RCTMRWTDTD")</f>
        <v>RCTMRWTDTD</v>
      </c>
    </row>
    <row r="1050">
      <c r="A1050" s="2" t="str">
        <f>IFERROR(__xludf.DUMMYFUNCTION("IF('From Order'!$A1050=COLUMNS($A1050:A1069), LEFT(INDEX(FILTER(A$1:A1049, A$1:A1049&lt;&gt;""""),COUNTA(FILTER(A$1:A1049, A$1:A1049&lt;&gt;""""))), LEN(INDEX(FILTER(A$1:A1049, A$1:A1049&lt;&gt;""""),COUNTA(FILTER(A$1:A1049, A$1:A1049&lt;&gt;""""))))-1), IF('To Order'!$A1050=COL"&amp;"UMNS($A1050:A1069), A1049&amp;RIGHT(INDIRECT(ADDRESS(ROW(A1050)-1, 'From Order'!$A1050)), 1), A1049))"),"")</f>
        <v/>
      </c>
      <c r="B1050" s="2" t="str">
        <f>IFERROR(__xludf.DUMMYFUNCTION("IF('From Order'!$A1050=COLUMNS($A1050:B1069), LEFT(INDEX(FILTER(B$1:B1049, B$1:B1049&lt;&gt;""""),COUNTA(FILTER(B$1:B1049, B$1:B1049&lt;&gt;""""))), LEN(INDEX(FILTER(B$1:B1049, B$1:B1049&lt;&gt;""""),COUNTA(FILTER(B$1:B1049, B$1:B1049&lt;&gt;""""))))-1), IF('To Order'!$A1050=COL"&amp;"UMNS($A1050:B1069), B1049&amp;RIGHT(INDIRECT(ADDRESS(ROW(B1050)-1, 'From Order'!$A1050)), 1), B1049))"),"ZLPDSDJDBS")</f>
        <v>ZLPDSDJDBS</v>
      </c>
      <c r="C1050" s="2" t="str">
        <f>IFERROR(__xludf.DUMMYFUNCTION("IF('From Order'!$A1050=COLUMNS($A1050:C1069), LEFT(INDEX(FILTER(C$1:C1049, C$1:C1049&lt;&gt;""""),COUNTA(FILTER(C$1:C1049, C$1:C1049&lt;&gt;""""))), LEN(INDEX(FILTER(C$1:C1049, C$1:C1049&lt;&gt;""""),COUNTA(FILTER(C$1:C1049, C$1:C1049&lt;&gt;""""))))-1), IF('To Order'!$A1050=COL"&amp;"UMNS($A1050:C1069), C1049&amp;RIGHT(INDIRECT(ADDRESS(ROW(C1050)-1, 'From Order'!$A1050)), 1), C1049))"),"TRLRSGHWQVQJPPVJCVZRDCGMTBFMHZB")</f>
        <v>TRLRSGHWQVQJPPVJCVZRDCGMTBFMHZB</v>
      </c>
      <c r="D1050" s="2" t="str">
        <f>IFERROR(__xludf.DUMMYFUNCTION("IF('From Order'!$A1050=COLUMNS($A1050:D1069), LEFT(INDEX(FILTER(D$1:D1049, D$1:D1049&lt;&gt;""""),COUNTA(FILTER(D$1:D1049, D$1:D1049&lt;&gt;""""))), LEN(INDEX(FILTER(D$1:D1049, D$1:D1049&lt;&gt;""""),COUNTA(FILTER(D$1:D1049, D$1:D1049&lt;&gt;""""))))-1), IF('To Order'!$A1050=COL"&amp;"UMNS($A1050:D1069), D1049&amp;RIGHT(INDIRECT(ADDRESS(ROW(D1050)-1, 'From Order'!$A1050)), 1), D1049))"),"")</f>
        <v/>
      </c>
      <c r="E1050" s="2" t="str">
        <f>IFERROR(__xludf.DUMMYFUNCTION("IF('From Order'!$A1050=COLUMNS($A1050:E1069), LEFT(INDEX(FILTER(E$1:E1049, E$1:E1049&lt;&gt;""""),COUNTA(FILTER(E$1:E1049, E$1:E1049&lt;&gt;""""))), LEN(INDEX(FILTER(E$1:E1049, E$1:E1049&lt;&gt;""""),COUNTA(FILTER(E$1:E1049, E$1:E1049&lt;&gt;""""))))-1), IF('To Order'!$A1050=COL"&amp;"UMNS($A1050:E1069), E1049&amp;RIGHT(INDIRECT(ADDRESS(ROW(E1050)-1, 'From Order'!$A1050)), 1), E1049))"),"")</f>
        <v/>
      </c>
      <c r="F1050" s="2" t="str">
        <f>IFERROR(__xludf.DUMMYFUNCTION("IF('From Order'!$A1050=COLUMNS($A1050:F1069), LEFT(INDEX(FILTER(F$1:F1049, F$1:F1049&lt;&gt;""""),COUNTA(FILTER(F$1:F1049, F$1:F1049&lt;&gt;""""))), LEN(INDEX(FILTER(F$1:F1049, F$1:F1049&lt;&gt;""""),COUNTA(FILTER(F$1:F1049, F$1:F1049&lt;&gt;""""))))-1), IF('To Order'!$A1050=COL"&amp;"UMNS($A1050:F1069), F1049&amp;RIGHT(INDIRECT(ADDRESS(ROW(F1050)-1, 'From Order'!$A1050)), 1), F1049))"),"FSLT")</f>
        <v>FSLT</v>
      </c>
      <c r="G1050" s="2" t="str">
        <f>IFERROR(__xludf.DUMMYFUNCTION("IF('From Order'!$A1050=COLUMNS($A1050:G1069), LEFT(INDEX(FILTER(G$1:G1049, G$1:G1049&lt;&gt;""""),COUNTA(FILTER(G$1:G1049, G$1:G1049&lt;&gt;""""))), LEN(INDEX(FILTER(G$1:G1049, G$1:G1049&lt;&gt;""""),COUNTA(FILTER(G$1:G1049, G$1:G1049&lt;&gt;""""))))-1), IF('To Order'!$A1050=COL"&amp;"UMNS($A1050:G1069), G1049&amp;RIGHT(INDIRECT(ADDRESS(ROW(G1050)-1, 'From Order'!$A1050)), 1), G1049))"),"B")</f>
        <v>B</v>
      </c>
      <c r="H1050" s="2" t="str">
        <f>IFERROR(__xludf.DUMMYFUNCTION("IF('From Order'!$A1050=COLUMNS($A1050:H1069), LEFT(INDEX(FILTER(H$1:H1049, H$1:H1049&lt;&gt;""""),COUNTA(FILTER(H$1:H1049, H$1:H1049&lt;&gt;""""))), LEN(INDEX(FILTER(H$1:H1049, H$1:H1049&lt;&gt;""""),COUNTA(FILTER(H$1:H1049, H$1:H1049&lt;&gt;""""))))-1), IF('To Order'!$A1050=COL"&amp;"UMNS($A1050:H1069), H1049&amp;RIGHT(INDIRECT(ADDRESS(ROW(H1050)-1, 'From Order'!$A1050)), 1), H1049))"),"")</f>
        <v/>
      </c>
      <c r="I1050" s="2" t="str">
        <f>IFERROR(__xludf.DUMMYFUNCTION("IF('From Order'!$A1050=COLUMNS($A1050:I1069), LEFT(INDEX(FILTER(I$1:I1049, I$1:I1049&lt;&gt;""""),COUNTA(FILTER(I$1:I1049, I$1:I1049&lt;&gt;""""))), LEN(INDEX(FILTER(I$1:I1049, I$1:I1049&lt;&gt;""""),COUNTA(FILTER(I$1:I1049, I$1:I1049&lt;&gt;""""))))-1), IF('To Order'!$A1050=COL"&amp;"UMNS($A1050:I1069), I1049&amp;RIGHT(INDIRECT(ADDRESS(ROW(I1050)-1, 'From Order'!$A1050)), 1), I1049))"),"RCTMRWTDTD")</f>
        <v>RCTMRWTDTD</v>
      </c>
    </row>
    <row r="1051">
      <c r="A1051" s="2" t="str">
        <f>IFERROR(__xludf.DUMMYFUNCTION("IF('From Order'!$A1051=COLUMNS($A1051:A1070), LEFT(INDEX(FILTER(A$1:A1050, A$1:A1050&lt;&gt;""""),COUNTA(FILTER(A$1:A1050, A$1:A1050&lt;&gt;""""))), LEN(INDEX(FILTER(A$1:A1050, A$1:A1050&lt;&gt;""""),COUNTA(FILTER(A$1:A1050, A$1:A1050&lt;&gt;""""))))-1), IF('To Order'!$A1051=COL"&amp;"UMNS($A1051:A1070), A1050&amp;RIGHT(INDIRECT(ADDRESS(ROW(A1051)-1, 'From Order'!$A1051)), 1), A1050))"),"")</f>
        <v/>
      </c>
      <c r="B1051" s="2" t="str">
        <f>IFERROR(__xludf.DUMMYFUNCTION("IF('From Order'!$A1051=COLUMNS($A1051:B1070), LEFT(INDEX(FILTER(B$1:B1050, B$1:B1050&lt;&gt;""""),COUNTA(FILTER(B$1:B1050, B$1:B1050&lt;&gt;""""))), LEN(INDEX(FILTER(B$1:B1050, B$1:B1050&lt;&gt;""""),COUNTA(FILTER(B$1:B1050, B$1:B1050&lt;&gt;""""))))-1), IF('To Order'!$A1051=COL"&amp;"UMNS($A1051:B1070), B1050&amp;RIGHT(INDIRECT(ADDRESS(ROW(B1051)-1, 'From Order'!$A1051)), 1), B1050))"),"ZLPDSDJDBSB")</f>
        <v>ZLPDSDJDBSB</v>
      </c>
      <c r="C1051" s="2" t="str">
        <f>IFERROR(__xludf.DUMMYFUNCTION("IF('From Order'!$A1051=COLUMNS($A1051:C1070), LEFT(INDEX(FILTER(C$1:C1050, C$1:C1050&lt;&gt;""""),COUNTA(FILTER(C$1:C1050, C$1:C1050&lt;&gt;""""))), LEN(INDEX(FILTER(C$1:C1050, C$1:C1050&lt;&gt;""""),COUNTA(FILTER(C$1:C1050, C$1:C1050&lt;&gt;""""))))-1), IF('To Order'!$A1051=COL"&amp;"UMNS($A1051:C1070), C1050&amp;RIGHT(INDIRECT(ADDRESS(ROW(C1051)-1, 'From Order'!$A1051)), 1), C1050))"),"TRLRSGHWQVQJPPVJCVZRDCGMTBFMHZ")</f>
        <v>TRLRSGHWQVQJPPVJCVZRDCGMTBFMHZ</v>
      </c>
      <c r="D1051" s="2" t="str">
        <f>IFERROR(__xludf.DUMMYFUNCTION("IF('From Order'!$A1051=COLUMNS($A1051:D1070), LEFT(INDEX(FILTER(D$1:D1050, D$1:D1050&lt;&gt;""""),COUNTA(FILTER(D$1:D1050, D$1:D1050&lt;&gt;""""))), LEN(INDEX(FILTER(D$1:D1050, D$1:D1050&lt;&gt;""""),COUNTA(FILTER(D$1:D1050, D$1:D1050&lt;&gt;""""))))-1), IF('To Order'!$A1051=COL"&amp;"UMNS($A1051:D1070), D1050&amp;RIGHT(INDIRECT(ADDRESS(ROW(D1051)-1, 'From Order'!$A1051)), 1), D1050))"),"")</f>
        <v/>
      </c>
      <c r="E1051" s="2" t="str">
        <f>IFERROR(__xludf.DUMMYFUNCTION("IF('From Order'!$A1051=COLUMNS($A1051:E1070), LEFT(INDEX(FILTER(E$1:E1050, E$1:E1050&lt;&gt;""""),COUNTA(FILTER(E$1:E1050, E$1:E1050&lt;&gt;""""))), LEN(INDEX(FILTER(E$1:E1050, E$1:E1050&lt;&gt;""""),COUNTA(FILTER(E$1:E1050, E$1:E1050&lt;&gt;""""))))-1), IF('To Order'!$A1051=COL"&amp;"UMNS($A1051:E1070), E1050&amp;RIGHT(INDIRECT(ADDRESS(ROW(E1051)-1, 'From Order'!$A1051)), 1), E1050))"),"")</f>
        <v/>
      </c>
      <c r="F1051" s="2" t="str">
        <f>IFERROR(__xludf.DUMMYFUNCTION("IF('From Order'!$A1051=COLUMNS($A1051:F1070), LEFT(INDEX(FILTER(F$1:F1050, F$1:F1050&lt;&gt;""""),COUNTA(FILTER(F$1:F1050, F$1:F1050&lt;&gt;""""))), LEN(INDEX(FILTER(F$1:F1050, F$1:F1050&lt;&gt;""""),COUNTA(FILTER(F$1:F1050, F$1:F1050&lt;&gt;""""))))-1), IF('To Order'!$A1051=COL"&amp;"UMNS($A1051:F1070), F1050&amp;RIGHT(INDIRECT(ADDRESS(ROW(F1051)-1, 'From Order'!$A1051)), 1), F1050))"),"FSLT")</f>
        <v>FSLT</v>
      </c>
      <c r="G1051" s="2" t="str">
        <f>IFERROR(__xludf.DUMMYFUNCTION("IF('From Order'!$A1051=COLUMNS($A1051:G1070), LEFT(INDEX(FILTER(G$1:G1050, G$1:G1050&lt;&gt;""""),COUNTA(FILTER(G$1:G1050, G$1:G1050&lt;&gt;""""))), LEN(INDEX(FILTER(G$1:G1050, G$1:G1050&lt;&gt;""""),COUNTA(FILTER(G$1:G1050, G$1:G1050&lt;&gt;""""))))-1), IF('To Order'!$A1051=COL"&amp;"UMNS($A1051:G1070), G1050&amp;RIGHT(INDIRECT(ADDRESS(ROW(G1051)-1, 'From Order'!$A1051)), 1), G1050))"),"B")</f>
        <v>B</v>
      </c>
      <c r="H1051" s="2" t="str">
        <f>IFERROR(__xludf.DUMMYFUNCTION("IF('From Order'!$A1051=COLUMNS($A1051:H1070), LEFT(INDEX(FILTER(H$1:H1050, H$1:H1050&lt;&gt;""""),COUNTA(FILTER(H$1:H1050, H$1:H1050&lt;&gt;""""))), LEN(INDEX(FILTER(H$1:H1050, H$1:H1050&lt;&gt;""""),COUNTA(FILTER(H$1:H1050, H$1:H1050&lt;&gt;""""))))-1), IF('To Order'!$A1051=COL"&amp;"UMNS($A1051:H1070), H1050&amp;RIGHT(INDIRECT(ADDRESS(ROW(H1051)-1, 'From Order'!$A1051)), 1), H1050))"),"")</f>
        <v/>
      </c>
      <c r="I1051" s="2" t="str">
        <f>IFERROR(__xludf.DUMMYFUNCTION("IF('From Order'!$A1051=COLUMNS($A1051:I1070), LEFT(INDEX(FILTER(I$1:I1050, I$1:I1050&lt;&gt;""""),COUNTA(FILTER(I$1:I1050, I$1:I1050&lt;&gt;""""))), LEN(INDEX(FILTER(I$1:I1050, I$1:I1050&lt;&gt;""""),COUNTA(FILTER(I$1:I1050, I$1:I1050&lt;&gt;""""))))-1), IF('To Order'!$A1051=COL"&amp;"UMNS($A1051:I1070), I1050&amp;RIGHT(INDIRECT(ADDRESS(ROW(I1051)-1, 'From Order'!$A1051)), 1), I1050))"),"RCTMRWTDTD")</f>
        <v>RCTMRWTDTD</v>
      </c>
    </row>
    <row r="1052">
      <c r="A1052" s="2" t="str">
        <f>IFERROR(__xludf.DUMMYFUNCTION("IF('From Order'!$A1052=COLUMNS($A1052:A1071), LEFT(INDEX(FILTER(A$1:A1051, A$1:A1051&lt;&gt;""""),COUNTA(FILTER(A$1:A1051, A$1:A1051&lt;&gt;""""))), LEN(INDEX(FILTER(A$1:A1051, A$1:A1051&lt;&gt;""""),COUNTA(FILTER(A$1:A1051, A$1:A1051&lt;&gt;""""))))-1), IF('To Order'!$A1052=COL"&amp;"UMNS($A1052:A1071), A1051&amp;RIGHT(INDIRECT(ADDRESS(ROW(A1052)-1, 'From Order'!$A1052)), 1), A1051))"),"")</f>
        <v/>
      </c>
      <c r="B1052" s="2" t="str">
        <f>IFERROR(__xludf.DUMMYFUNCTION("IF('From Order'!$A1052=COLUMNS($A1052:B1071), LEFT(INDEX(FILTER(B$1:B1051, B$1:B1051&lt;&gt;""""),COUNTA(FILTER(B$1:B1051, B$1:B1051&lt;&gt;""""))), LEN(INDEX(FILTER(B$1:B1051, B$1:B1051&lt;&gt;""""),COUNTA(FILTER(B$1:B1051, B$1:B1051&lt;&gt;""""))))-1), IF('To Order'!$A1052=COL"&amp;"UMNS($A1052:B1071), B1051&amp;RIGHT(INDIRECT(ADDRESS(ROW(B1052)-1, 'From Order'!$A1052)), 1), B1051))"),"ZLPDSDJDBSBZ")</f>
        <v>ZLPDSDJDBSBZ</v>
      </c>
      <c r="C1052" s="2" t="str">
        <f>IFERROR(__xludf.DUMMYFUNCTION("IF('From Order'!$A1052=COLUMNS($A1052:C1071), LEFT(INDEX(FILTER(C$1:C1051, C$1:C1051&lt;&gt;""""),COUNTA(FILTER(C$1:C1051, C$1:C1051&lt;&gt;""""))), LEN(INDEX(FILTER(C$1:C1051, C$1:C1051&lt;&gt;""""),COUNTA(FILTER(C$1:C1051, C$1:C1051&lt;&gt;""""))))-1), IF('To Order'!$A1052=COL"&amp;"UMNS($A1052:C1071), C1051&amp;RIGHT(INDIRECT(ADDRESS(ROW(C1052)-1, 'From Order'!$A1052)), 1), C1051))"),"TRLRSGHWQVQJPPVJCVZRDCGMTBFMH")</f>
        <v>TRLRSGHWQVQJPPVJCVZRDCGMTBFMH</v>
      </c>
      <c r="D1052" s="2" t="str">
        <f>IFERROR(__xludf.DUMMYFUNCTION("IF('From Order'!$A1052=COLUMNS($A1052:D1071), LEFT(INDEX(FILTER(D$1:D1051, D$1:D1051&lt;&gt;""""),COUNTA(FILTER(D$1:D1051, D$1:D1051&lt;&gt;""""))), LEN(INDEX(FILTER(D$1:D1051, D$1:D1051&lt;&gt;""""),COUNTA(FILTER(D$1:D1051, D$1:D1051&lt;&gt;""""))))-1), IF('To Order'!$A1052=COL"&amp;"UMNS($A1052:D1071), D1051&amp;RIGHT(INDIRECT(ADDRESS(ROW(D1052)-1, 'From Order'!$A1052)), 1), D1051))"),"")</f>
        <v/>
      </c>
      <c r="E1052" s="2" t="str">
        <f>IFERROR(__xludf.DUMMYFUNCTION("IF('From Order'!$A1052=COLUMNS($A1052:E1071), LEFT(INDEX(FILTER(E$1:E1051, E$1:E1051&lt;&gt;""""),COUNTA(FILTER(E$1:E1051, E$1:E1051&lt;&gt;""""))), LEN(INDEX(FILTER(E$1:E1051, E$1:E1051&lt;&gt;""""),COUNTA(FILTER(E$1:E1051, E$1:E1051&lt;&gt;""""))))-1), IF('To Order'!$A1052=COL"&amp;"UMNS($A1052:E1071), E1051&amp;RIGHT(INDIRECT(ADDRESS(ROW(E1052)-1, 'From Order'!$A1052)), 1), E1051))"),"")</f>
        <v/>
      </c>
      <c r="F1052" s="2" t="str">
        <f>IFERROR(__xludf.DUMMYFUNCTION("IF('From Order'!$A1052=COLUMNS($A1052:F1071), LEFT(INDEX(FILTER(F$1:F1051, F$1:F1051&lt;&gt;""""),COUNTA(FILTER(F$1:F1051, F$1:F1051&lt;&gt;""""))), LEN(INDEX(FILTER(F$1:F1051, F$1:F1051&lt;&gt;""""),COUNTA(FILTER(F$1:F1051, F$1:F1051&lt;&gt;""""))))-1), IF('To Order'!$A1052=COL"&amp;"UMNS($A1052:F1071), F1051&amp;RIGHT(INDIRECT(ADDRESS(ROW(F1052)-1, 'From Order'!$A1052)), 1), F1051))"),"FSLT")</f>
        <v>FSLT</v>
      </c>
      <c r="G1052" s="2" t="str">
        <f>IFERROR(__xludf.DUMMYFUNCTION("IF('From Order'!$A1052=COLUMNS($A1052:G1071), LEFT(INDEX(FILTER(G$1:G1051, G$1:G1051&lt;&gt;""""),COUNTA(FILTER(G$1:G1051, G$1:G1051&lt;&gt;""""))), LEN(INDEX(FILTER(G$1:G1051, G$1:G1051&lt;&gt;""""),COUNTA(FILTER(G$1:G1051, G$1:G1051&lt;&gt;""""))))-1), IF('To Order'!$A1052=COL"&amp;"UMNS($A1052:G1071), G1051&amp;RIGHT(INDIRECT(ADDRESS(ROW(G1052)-1, 'From Order'!$A1052)), 1), G1051))"),"B")</f>
        <v>B</v>
      </c>
      <c r="H1052" s="2" t="str">
        <f>IFERROR(__xludf.DUMMYFUNCTION("IF('From Order'!$A1052=COLUMNS($A1052:H1071), LEFT(INDEX(FILTER(H$1:H1051, H$1:H1051&lt;&gt;""""),COUNTA(FILTER(H$1:H1051, H$1:H1051&lt;&gt;""""))), LEN(INDEX(FILTER(H$1:H1051, H$1:H1051&lt;&gt;""""),COUNTA(FILTER(H$1:H1051, H$1:H1051&lt;&gt;""""))))-1), IF('To Order'!$A1052=COL"&amp;"UMNS($A1052:H1071), H1051&amp;RIGHT(INDIRECT(ADDRESS(ROW(H1052)-1, 'From Order'!$A1052)), 1), H1051))"),"")</f>
        <v/>
      </c>
      <c r="I1052" s="2" t="str">
        <f>IFERROR(__xludf.DUMMYFUNCTION("IF('From Order'!$A1052=COLUMNS($A1052:I1071), LEFT(INDEX(FILTER(I$1:I1051, I$1:I1051&lt;&gt;""""),COUNTA(FILTER(I$1:I1051, I$1:I1051&lt;&gt;""""))), LEN(INDEX(FILTER(I$1:I1051, I$1:I1051&lt;&gt;""""),COUNTA(FILTER(I$1:I1051, I$1:I1051&lt;&gt;""""))))-1), IF('To Order'!$A1052=COL"&amp;"UMNS($A1052:I1071), I1051&amp;RIGHT(INDIRECT(ADDRESS(ROW(I1052)-1, 'From Order'!$A1052)), 1), I1051))"),"RCTMRWTDTD")</f>
        <v>RCTMRWTDTD</v>
      </c>
    </row>
    <row r="1053">
      <c r="A1053" s="2" t="str">
        <f>IFERROR(__xludf.DUMMYFUNCTION("IF('From Order'!$A1053=COLUMNS($A1053:A1072), LEFT(INDEX(FILTER(A$1:A1052, A$1:A1052&lt;&gt;""""),COUNTA(FILTER(A$1:A1052, A$1:A1052&lt;&gt;""""))), LEN(INDEX(FILTER(A$1:A1052, A$1:A1052&lt;&gt;""""),COUNTA(FILTER(A$1:A1052, A$1:A1052&lt;&gt;""""))))-1), IF('To Order'!$A1053=COL"&amp;"UMNS($A1053:A1072), A1052&amp;RIGHT(INDIRECT(ADDRESS(ROW(A1053)-1, 'From Order'!$A1053)), 1), A1052))"),"")</f>
        <v/>
      </c>
      <c r="B1053" s="2" t="str">
        <f>IFERROR(__xludf.DUMMYFUNCTION("IF('From Order'!$A1053=COLUMNS($A1053:B1072), LEFT(INDEX(FILTER(B$1:B1052, B$1:B1052&lt;&gt;""""),COUNTA(FILTER(B$1:B1052, B$1:B1052&lt;&gt;""""))), LEN(INDEX(FILTER(B$1:B1052, B$1:B1052&lt;&gt;""""),COUNTA(FILTER(B$1:B1052, B$1:B1052&lt;&gt;""""))))-1), IF('To Order'!$A1053=COL"&amp;"UMNS($A1053:B1072), B1052&amp;RIGHT(INDIRECT(ADDRESS(ROW(B1053)-1, 'From Order'!$A1053)), 1), B1052))"),"ZLPDSDJDBSBZH")</f>
        <v>ZLPDSDJDBSBZH</v>
      </c>
      <c r="C1053" s="2" t="str">
        <f>IFERROR(__xludf.DUMMYFUNCTION("IF('From Order'!$A1053=COLUMNS($A1053:C1072), LEFT(INDEX(FILTER(C$1:C1052, C$1:C1052&lt;&gt;""""),COUNTA(FILTER(C$1:C1052, C$1:C1052&lt;&gt;""""))), LEN(INDEX(FILTER(C$1:C1052, C$1:C1052&lt;&gt;""""),COUNTA(FILTER(C$1:C1052, C$1:C1052&lt;&gt;""""))))-1), IF('To Order'!$A1053=COL"&amp;"UMNS($A1053:C1072), C1052&amp;RIGHT(INDIRECT(ADDRESS(ROW(C1053)-1, 'From Order'!$A1053)), 1), C1052))"),"TRLRSGHWQVQJPPVJCVZRDCGMTBFM")</f>
        <v>TRLRSGHWQVQJPPVJCVZRDCGMTBFM</v>
      </c>
      <c r="D1053" s="2" t="str">
        <f>IFERROR(__xludf.DUMMYFUNCTION("IF('From Order'!$A1053=COLUMNS($A1053:D1072), LEFT(INDEX(FILTER(D$1:D1052, D$1:D1052&lt;&gt;""""),COUNTA(FILTER(D$1:D1052, D$1:D1052&lt;&gt;""""))), LEN(INDEX(FILTER(D$1:D1052, D$1:D1052&lt;&gt;""""),COUNTA(FILTER(D$1:D1052, D$1:D1052&lt;&gt;""""))))-1), IF('To Order'!$A1053=COL"&amp;"UMNS($A1053:D1072), D1052&amp;RIGHT(INDIRECT(ADDRESS(ROW(D1053)-1, 'From Order'!$A1053)), 1), D1052))"),"")</f>
        <v/>
      </c>
      <c r="E1053" s="2" t="str">
        <f>IFERROR(__xludf.DUMMYFUNCTION("IF('From Order'!$A1053=COLUMNS($A1053:E1072), LEFT(INDEX(FILTER(E$1:E1052, E$1:E1052&lt;&gt;""""),COUNTA(FILTER(E$1:E1052, E$1:E1052&lt;&gt;""""))), LEN(INDEX(FILTER(E$1:E1052, E$1:E1052&lt;&gt;""""),COUNTA(FILTER(E$1:E1052, E$1:E1052&lt;&gt;""""))))-1), IF('To Order'!$A1053=COL"&amp;"UMNS($A1053:E1072), E1052&amp;RIGHT(INDIRECT(ADDRESS(ROW(E1053)-1, 'From Order'!$A1053)), 1), E1052))"),"")</f>
        <v/>
      </c>
      <c r="F1053" s="2" t="str">
        <f>IFERROR(__xludf.DUMMYFUNCTION("IF('From Order'!$A1053=COLUMNS($A1053:F1072), LEFT(INDEX(FILTER(F$1:F1052, F$1:F1052&lt;&gt;""""),COUNTA(FILTER(F$1:F1052, F$1:F1052&lt;&gt;""""))), LEN(INDEX(FILTER(F$1:F1052, F$1:F1052&lt;&gt;""""),COUNTA(FILTER(F$1:F1052, F$1:F1052&lt;&gt;""""))))-1), IF('To Order'!$A1053=COL"&amp;"UMNS($A1053:F1072), F1052&amp;RIGHT(INDIRECT(ADDRESS(ROW(F1053)-1, 'From Order'!$A1053)), 1), F1052))"),"FSLT")</f>
        <v>FSLT</v>
      </c>
      <c r="G1053" s="2" t="str">
        <f>IFERROR(__xludf.DUMMYFUNCTION("IF('From Order'!$A1053=COLUMNS($A1053:G1072), LEFT(INDEX(FILTER(G$1:G1052, G$1:G1052&lt;&gt;""""),COUNTA(FILTER(G$1:G1052, G$1:G1052&lt;&gt;""""))), LEN(INDEX(FILTER(G$1:G1052, G$1:G1052&lt;&gt;""""),COUNTA(FILTER(G$1:G1052, G$1:G1052&lt;&gt;""""))))-1), IF('To Order'!$A1053=COL"&amp;"UMNS($A1053:G1072), G1052&amp;RIGHT(INDIRECT(ADDRESS(ROW(G1053)-1, 'From Order'!$A1053)), 1), G1052))"),"B")</f>
        <v>B</v>
      </c>
      <c r="H1053" s="2" t="str">
        <f>IFERROR(__xludf.DUMMYFUNCTION("IF('From Order'!$A1053=COLUMNS($A1053:H1072), LEFT(INDEX(FILTER(H$1:H1052, H$1:H1052&lt;&gt;""""),COUNTA(FILTER(H$1:H1052, H$1:H1052&lt;&gt;""""))), LEN(INDEX(FILTER(H$1:H1052, H$1:H1052&lt;&gt;""""),COUNTA(FILTER(H$1:H1052, H$1:H1052&lt;&gt;""""))))-1), IF('To Order'!$A1053=COL"&amp;"UMNS($A1053:H1072), H1052&amp;RIGHT(INDIRECT(ADDRESS(ROW(H1053)-1, 'From Order'!$A1053)), 1), H1052))"),"")</f>
        <v/>
      </c>
      <c r="I1053" s="2" t="str">
        <f>IFERROR(__xludf.DUMMYFUNCTION("IF('From Order'!$A1053=COLUMNS($A1053:I1072), LEFT(INDEX(FILTER(I$1:I1052, I$1:I1052&lt;&gt;""""),COUNTA(FILTER(I$1:I1052, I$1:I1052&lt;&gt;""""))), LEN(INDEX(FILTER(I$1:I1052, I$1:I1052&lt;&gt;""""),COUNTA(FILTER(I$1:I1052, I$1:I1052&lt;&gt;""""))))-1), IF('To Order'!$A1053=COL"&amp;"UMNS($A1053:I1072), I1052&amp;RIGHT(INDIRECT(ADDRESS(ROW(I1053)-1, 'From Order'!$A1053)), 1), I1052))"),"RCTMRWTDTD")</f>
        <v>RCTMRWTDTD</v>
      </c>
    </row>
    <row r="1054">
      <c r="A1054" s="2" t="str">
        <f>IFERROR(__xludf.DUMMYFUNCTION("IF('From Order'!$A1054=COLUMNS($A1054:A1073), LEFT(INDEX(FILTER(A$1:A1053, A$1:A1053&lt;&gt;""""),COUNTA(FILTER(A$1:A1053, A$1:A1053&lt;&gt;""""))), LEN(INDEX(FILTER(A$1:A1053, A$1:A1053&lt;&gt;""""),COUNTA(FILTER(A$1:A1053, A$1:A1053&lt;&gt;""""))))-1), IF('To Order'!$A1054=COL"&amp;"UMNS($A1054:A1073), A1053&amp;RIGHT(INDIRECT(ADDRESS(ROW(A1054)-1, 'From Order'!$A1054)), 1), A1053))"),"")</f>
        <v/>
      </c>
      <c r="B1054" s="2" t="str">
        <f>IFERROR(__xludf.DUMMYFUNCTION("IF('From Order'!$A1054=COLUMNS($A1054:B1073), LEFT(INDEX(FILTER(B$1:B1053, B$1:B1053&lt;&gt;""""),COUNTA(FILTER(B$1:B1053, B$1:B1053&lt;&gt;""""))), LEN(INDEX(FILTER(B$1:B1053, B$1:B1053&lt;&gt;""""),COUNTA(FILTER(B$1:B1053, B$1:B1053&lt;&gt;""""))))-1), IF('To Order'!$A1054=COL"&amp;"UMNS($A1054:B1073), B1053&amp;RIGHT(INDIRECT(ADDRESS(ROW(B1054)-1, 'From Order'!$A1054)), 1), B1053))"),"ZLPDSDJDBSBZHM")</f>
        <v>ZLPDSDJDBSBZHM</v>
      </c>
      <c r="C1054" s="2" t="str">
        <f>IFERROR(__xludf.DUMMYFUNCTION("IF('From Order'!$A1054=COLUMNS($A1054:C1073), LEFT(INDEX(FILTER(C$1:C1053, C$1:C1053&lt;&gt;""""),COUNTA(FILTER(C$1:C1053, C$1:C1053&lt;&gt;""""))), LEN(INDEX(FILTER(C$1:C1053, C$1:C1053&lt;&gt;""""),COUNTA(FILTER(C$1:C1053, C$1:C1053&lt;&gt;""""))))-1), IF('To Order'!$A1054=COL"&amp;"UMNS($A1054:C1073), C1053&amp;RIGHT(INDIRECT(ADDRESS(ROW(C1054)-1, 'From Order'!$A1054)), 1), C1053))"),"TRLRSGHWQVQJPPVJCVZRDCGMTBF")</f>
        <v>TRLRSGHWQVQJPPVJCVZRDCGMTBF</v>
      </c>
      <c r="D1054" s="2" t="str">
        <f>IFERROR(__xludf.DUMMYFUNCTION("IF('From Order'!$A1054=COLUMNS($A1054:D1073), LEFT(INDEX(FILTER(D$1:D1053, D$1:D1053&lt;&gt;""""),COUNTA(FILTER(D$1:D1053, D$1:D1053&lt;&gt;""""))), LEN(INDEX(FILTER(D$1:D1053, D$1:D1053&lt;&gt;""""),COUNTA(FILTER(D$1:D1053, D$1:D1053&lt;&gt;""""))))-1), IF('To Order'!$A1054=COL"&amp;"UMNS($A1054:D1073), D1053&amp;RIGHT(INDIRECT(ADDRESS(ROW(D1054)-1, 'From Order'!$A1054)), 1), D1053))"),"")</f>
        <v/>
      </c>
      <c r="E1054" s="2" t="str">
        <f>IFERROR(__xludf.DUMMYFUNCTION("IF('From Order'!$A1054=COLUMNS($A1054:E1073), LEFT(INDEX(FILTER(E$1:E1053, E$1:E1053&lt;&gt;""""),COUNTA(FILTER(E$1:E1053, E$1:E1053&lt;&gt;""""))), LEN(INDEX(FILTER(E$1:E1053, E$1:E1053&lt;&gt;""""),COUNTA(FILTER(E$1:E1053, E$1:E1053&lt;&gt;""""))))-1), IF('To Order'!$A1054=COL"&amp;"UMNS($A1054:E1073), E1053&amp;RIGHT(INDIRECT(ADDRESS(ROW(E1054)-1, 'From Order'!$A1054)), 1), E1053))"),"")</f>
        <v/>
      </c>
      <c r="F1054" s="2" t="str">
        <f>IFERROR(__xludf.DUMMYFUNCTION("IF('From Order'!$A1054=COLUMNS($A1054:F1073), LEFT(INDEX(FILTER(F$1:F1053, F$1:F1053&lt;&gt;""""),COUNTA(FILTER(F$1:F1053, F$1:F1053&lt;&gt;""""))), LEN(INDEX(FILTER(F$1:F1053, F$1:F1053&lt;&gt;""""),COUNTA(FILTER(F$1:F1053, F$1:F1053&lt;&gt;""""))))-1), IF('To Order'!$A1054=COL"&amp;"UMNS($A1054:F1073), F1053&amp;RIGHT(INDIRECT(ADDRESS(ROW(F1054)-1, 'From Order'!$A1054)), 1), F1053))"),"FSLT")</f>
        <v>FSLT</v>
      </c>
      <c r="G1054" s="2" t="str">
        <f>IFERROR(__xludf.DUMMYFUNCTION("IF('From Order'!$A1054=COLUMNS($A1054:G1073), LEFT(INDEX(FILTER(G$1:G1053, G$1:G1053&lt;&gt;""""),COUNTA(FILTER(G$1:G1053, G$1:G1053&lt;&gt;""""))), LEN(INDEX(FILTER(G$1:G1053, G$1:G1053&lt;&gt;""""),COUNTA(FILTER(G$1:G1053, G$1:G1053&lt;&gt;""""))))-1), IF('To Order'!$A1054=COL"&amp;"UMNS($A1054:G1073), G1053&amp;RIGHT(INDIRECT(ADDRESS(ROW(G1054)-1, 'From Order'!$A1054)), 1), G1053))"),"B")</f>
        <v>B</v>
      </c>
      <c r="H1054" s="2" t="str">
        <f>IFERROR(__xludf.DUMMYFUNCTION("IF('From Order'!$A1054=COLUMNS($A1054:H1073), LEFT(INDEX(FILTER(H$1:H1053, H$1:H1053&lt;&gt;""""),COUNTA(FILTER(H$1:H1053, H$1:H1053&lt;&gt;""""))), LEN(INDEX(FILTER(H$1:H1053, H$1:H1053&lt;&gt;""""),COUNTA(FILTER(H$1:H1053, H$1:H1053&lt;&gt;""""))))-1), IF('To Order'!$A1054=COL"&amp;"UMNS($A1054:H1073), H1053&amp;RIGHT(INDIRECT(ADDRESS(ROW(H1054)-1, 'From Order'!$A1054)), 1), H1053))"),"")</f>
        <v/>
      </c>
      <c r="I1054" s="2" t="str">
        <f>IFERROR(__xludf.DUMMYFUNCTION("IF('From Order'!$A1054=COLUMNS($A1054:I1073), LEFT(INDEX(FILTER(I$1:I1053, I$1:I1053&lt;&gt;""""),COUNTA(FILTER(I$1:I1053, I$1:I1053&lt;&gt;""""))), LEN(INDEX(FILTER(I$1:I1053, I$1:I1053&lt;&gt;""""),COUNTA(FILTER(I$1:I1053, I$1:I1053&lt;&gt;""""))))-1), IF('To Order'!$A1054=COL"&amp;"UMNS($A1054:I1073), I1053&amp;RIGHT(INDIRECT(ADDRESS(ROW(I1054)-1, 'From Order'!$A1054)), 1), I1053))"),"RCTMRWTDTD")</f>
        <v>RCTMRWTDTD</v>
      </c>
    </row>
    <row r="1055">
      <c r="A1055" s="2" t="str">
        <f>IFERROR(__xludf.DUMMYFUNCTION("IF('From Order'!$A1055=COLUMNS($A1055:A1074), LEFT(INDEX(FILTER(A$1:A1054, A$1:A1054&lt;&gt;""""),COUNTA(FILTER(A$1:A1054, A$1:A1054&lt;&gt;""""))), LEN(INDEX(FILTER(A$1:A1054, A$1:A1054&lt;&gt;""""),COUNTA(FILTER(A$1:A1054, A$1:A1054&lt;&gt;""""))))-1), IF('To Order'!$A1055=COL"&amp;"UMNS($A1055:A1074), A1054&amp;RIGHT(INDIRECT(ADDRESS(ROW(A1055)-1, 'From Order'!$A1055)), 1), A1054))"),"")</f>
        <v/>
      </c>
      <c r="B1055" s="2" t="str">
        <f>IFERROR(__xludf.DUMMYFUNCTION("IF('From Order'!$A1055=COLUMNS($A1055:B1074), LEFT(INDEX(FILTER(B$1:B1054, B$1:B1054&lt;&gt;""""),COUNTA(FILTER(B$1:B1054, B$1:B1054&lt;&gt;""""))), LEN(INDEX(FILTER(B$1:B1054, B$1:B1054&lt;&gt;""""),COUNTA(FILTER(B$1:B1054, B$1:B1054&lt;&gt;""""))))-1), IF('To Order'!$A1055=COL"&amp;"UMNS($A1055:B1074), B1054&amp;RIGHT(INDIRECT(ADDRESS(ROW(B1055)-1, 'From Order'!$A1055)), 1), B1054))"),"ZLPDSDJDBSBZHMF")</f>
        <v>ZLPDSDJDBSBZHMF</v>
      </c>
      <c r="C1055" s="2" t="str">
        <f>IFERROR(__xludf.DUMMYFUNCTION("IF('From Order'!$A1055=COLUMNS($A1055:C1074), LEFT(INDEX(FILTER(C$1:C1054, C$1:C1054&lt;&gt;""""),COUNTA(FILTER(C$1:C1054, C$1:C1054&lt;&gt;""""))), LEN(INDEX(FILTER(C$1:C1054, C$1:C1054&lt;&gt;""""),COUNTA(FILTER(C$1:C1054, C$1:C1054&lt;&gt;""""))))-1), IF('To Order'!$A1055=COL"&amp;"UMNS($A1055:C1074), C1054&amp;RIGHT(INDIRECT(ADDRESS(ROW(C1055)-1, 'From Order'!$A1055)), 1), C1054))"),"TRLRSGHWQVQJPPVJCVZRDCGMTB")</f>
        <v>TRLRSGHWQVQJPPVJCVZRDCGMTB</v>
      </c>
      <c r="D1055" s="2" t="str">
        <f>IFERROR(__xludf.DUMMYFUNCTION("IF('From Order'!$A1055=COLUMNS($A1055:D1074), LEFT(INDEX(FILTER(D$1:D1054, D$1:D1054&lt;&gt;""""),COUNTA(FILTER(D$1:D1054, D$1:D1054&lt;&gt;""""))), LEN(INDEX(FILTER(D$1:D1054, D$1:D1054&lt;&gt;""""),COUNTA(FILTER(D$1:D1054, D$1:D1054&lt;&gt;""""))))-1), IF('To Order'!$A1055=COL"&amp;"UMNS($A1055:D1074), D1054&amp;RIGHT(INDIRECT(ADDRESS(ROW(D1055)-1, 'From Order'!$A1055)), 1), D1054))"),"")</f>
        <v/>
      </c>
      <c r="E1055" s="2" t="str">
        <f>IFERROR(__xludf.DUMMYFUNCTION("IF('From Order'!$A1055=COLUMNS($A1055:E1074), LEFT(INDEX(FILTER(E$1:E1054, E$1:E1054&lt;&gt;""""),COUNTA(FILTER(E$1:E1054, E$1:E1054&lt;&gt;""""))), LEN(INDEX(FILTER(E$1:E1054, E$1:E1054&lt;&gt;""""),COUNTA(FILTER(E$1:E1054, E$1:E1054&lt;&gt;""""))))-1), IF('To Order'!$A1055=COL"&amp;"UMNS($A1055:E1074), E1054&amp;RIGHT(INDIRECT(ADDRESS(ROW(E1055)-1, 'From Order'!$A1055)), 1), E1054))"),"")</f>
        <v/>
      </c>
      <c r="F1055" s="2" t="str">
        <f>IFERROR(__xludf.DUMMYFUNCTION("IF('From Order'!$A1055=COLUMNS($A1055:F1074), LEFT(INDEX(FILTER(F$1:F1054, F$1:F1054&lt;&gt;""""),COUNTA(FILTER(F$1:F1054, F$1:F1054&lt;&gt;""""))), LEN(INDEX(FILTER(F$1:F1054, F$1:F1054&lt;&gt;""""),COUNTA(FILTER(F$1:F1054, F$1:F1054&lt;&gt;""""))))-1), IF('To Order'!$A1055=COL"&amp;"UMNS($A1055:F1074), F1054&amp;RIGHT(INDIRECT(ADDRESS(ROW(F1055)-1, 'From Order'!$A1055)), 1), F1054))"),"FSLT")</f>
        <v>FSLT</v>
      </c>
      <c r="G1055" s="2" t="str">
        <f>IFERROR(__xludf.DUMMYFUNCTION("IF('From Order'!$A1055=COLUMNS($A1055:G1074), LEFT(INDEX(FILTER(G$1:G1054, G$1:G1054&lt;&gt;""""),COUNTA(FILTER(G$1:G1054, G$1:G1054&lt;&gt;""""))), LEN(INDEX(FILTER(G$1:G1054, G$1:G1054&lt;&gt;""""),COUNTA(FILTER(G$1:G1054, G$1:G1054&lt;&gt;""""))))-1), IF('To Order'!$A1055=COL"&amp;"UMNS($A1055:G1074), G1054&amp;RIGHT(INDIRECT(ADDRESS(ROW(G1055)-1, 'From Order'!$A1055)), 1), G1054))"),"B")</f>
        <v>B</v>
      </c>
      <c r="H1055" s="2" t="str">
        <f>IFERROR(__xludf.DUMMYFUNCTION("IF('From Order'!$A1055=COLUMNS($A1055:H1074), LEFT(INDEX(FILTER(H$1:H1054, H$1:H1054&lt;&gt;""""),COUNTA(FILTER(H$1:H1054, H$1:H1054&lt;&gt;""""))), LEN(INDEX(FILTER(H$1:H1054, H$1:H1054&lt;&gt;""""),COUNTA(FILTER(H$1:H1054, H$1:H1054&lt;&gt;""""))))-1), IF('To Order'!$A1055=COL"&amp;"UMNS($A1055:H1074), H1054&amp;RIGHT(INDIRECT(ADDRESS(ROW(H1055)-1, 'From Order'!$A1055)), 1), H1054))"),"")</f>
        <v/>
      </c>
      <c r="I1055" s="2" t="str">
        <f>IFERROR(__xludf.DUMMYFUNCTION("IF('From Order'!$A1055=COLUMNS($A1055:I1074), LEFT(INDEX(FILTER(I$1:I1054, I$1:I1054&lt;&gt;""""),COUNTA(FILTER(I$1:I1054, I$1:I1054&lt;&gt;""""))), LEN(INDEX(FILTER(I$1:I1054, I$1:I1054&lt;&gt;""""),COUNTA(FILTER(I$1:I1054, I$1:I1054&lt;&gt;""""))))-1), IF('To Order'!$A1055=COL"&amp;"UMNS($A1055:I1074), I1054&amp;RIGHT(INDIRECT(ADDRESS(ROW(I1055)-1, 'From Order'!$A1055)), 1), I1054))"),"RCTMRWTDTD")</f>
        <v>RCTMRWTDTD</v>
      </c>
    </row>
    <row r="1056">
      <c r="A1056" s="2" t="str">
        <f>IFERROR(__xludf.DUMMYFUNCTION("IF('From Order'!$A1056=COLUMNS($A1056:A1075), LEFT(INDEX(FILTER(A$1:A1055, A$1:A1055&lt;&gt;""""),COUNTA(FILTER(A$1:A1055, A$1:A1055&lt;&gt;""""))), LEN(INDEX(FILTER(A$1:A1055, A$1:A1055&lt;&gt;""""),COUNTA(FILTER(A$1:A1055, A$1:A1055&lt;&gt;""""))))-1), IF('To Order'!$A1056=COL"&amp;"UMNS($A1056:A1075), A1055&amp;RIGHT(INDIRECT(ADDRESS(ROW(A1056)-1, 'From Order'!$A1056)), 1), A1055))"),"")</f>
        <v/>
      </c>
      <c r="B1056" s="2" t="str">
        <f>IFERROR(__xludf.DUMMYFUNCTION("IF('From Order'!$A1056=COLUMNS($A1056:B1075), LEFT(INDEX(FILTER(B$1:B1055, B$1:B1055&lt;&gt;""""),COUNTA(FILTER(B$1:B1055, B$1:B1055&lt;&gt;""""))), LEN(INDEX(FILTER(B$1:B1055, B$1:B1055&lt;&gt;""""),COUNTA(FILTER(B$1:B1055, B$1:B1055&lt;&gt;""""))))-1), IF('To Order'!$A1056=COL"&amp;"UMNS($A1056:B1075), B1055&amp;RIGHT(INDIRECT(ADDRESS(ROW(B1056)-1, 'From Order'!$A1056)), 1), B1055))"),"ZLPDSDJDBSBZHMFB")</f>
        <v>ZLPDSDJDBSBZHMFB</v>
      </c>
      <c r="C1056" s="2" t="str">
        <f>IFERROR(__xludf.DUMMYFUNCTION("IF('From Order'!$A1056=COLUMNS($A1056:C1075), LEFT(INDEX(FILTER(C$1:C1055, C$1:C1055&lt;&gt;""""),COUNTA(FILTER(C$1:C1055, C$1:C1055&lt;&gt;""""))), LEN(INDEX(FILTER(C$1:C1055, C$1:C1055&lt;&gt;""""),COUNTA(FILTER(C$1:C1055, C$1:C1055&lt;&gt;""""))))-1), IF('To Order'!$A1056=COL"&amp;"UMNS($A1056:C1075), C1055&amp;RIGHT(INDIRECT(ADDRESS(ROW(C1056)-1, 'From Order'!$A1056)), 1), C1055))"),"TRLRSGHWQVQJPPVJCVZRDCGMT")</f>
        <v>TRLRSGHWQVQJPPVJCVZRDCGMT</v>
      </c>
      <c r="D1056" s="2" t="str">
        <f>IFERROR(__xludf.DUMMYFUNCTION("IF('From Order'!$A1056=COLUMNS($A1056:D1075), LEFT(INDEX(FILTER(D$1:D1055, D$1:D1055&lt;&gt;""""),COUNTA(FILTER(D$1:D1055, D$1:D1055&lt;&gt;""""))), LEN(INDEX(FILTER(D$1:D1055, D$1:D1055&lt;&gt;""""),COUNTA(FILTER(D$1:D1055, D$1:D1055&lt;&gt;""""))))-1), IF('To Order'!$A1056=COL"&amp;"UMNS($A1056:D1075), D1055&amp;RIGHT(INDIRECT(ADDRESS(ROW(D1056)-1, 'From Order'!$A1056)), 1), D1055))"),"")</f>
        <v/>
      </c>
      <c r="E1056" s="2" t="str">
        <f>IFERROR(__xludf.DUMMYFUNCTION("IF('From Order'!$A1056=COLUMNS($A1056:E1075), LEFT(INDEX(FILTER(E$1:E1055, E$1:E1055&lt;&gt;""""),COUNTA(FILTER(E$1:E1055, E$1:E1055&lt;&gt;""""))), LEN(INDEX(FILTER(E$1:E1055, E$1:E1055&lt;&gt;""""),COUNTA(FILTER(E$1:E1055, E$1:E1055&lt;&gt;""""))))-1), IF('To Order'!$A1056=COL"&amp;"UMNS($A1056:E1075), E1055&amp;RIGHT(INDIRECT(ADDRESS(ROW(E1056)-1, 'From Order'!$A1056)), 1), E1055))"),"")</f>
        <v/>
      </c>
      <c r="F1056" s="2" t="str">
        <f>IFERROR(__xludf.DUMMYFUNCTION("IF('From Order'!$A1056=COLUMNS($A1056:F1075), LEFT(INDEX(FILTER(F$1:F1055, F$1:F1055&lt;&gt;""""),COUNTA(FILTER(F$1:F1055, F$1:F1055&lt;&gt;""""))), LEN(INDEX(FILTER(F$1:F1055, F$1:F1055&lt;&gt;""""),COUNTA(FILTER(F$1:F1055, F$1:F1055&lt;&gt;""""))))-1), IF('To Order'!$A1056=COL"&amp;"UMNS($A1056:F1075), F1055&amp;RIGHT(INDIRECT(ADDRESS(ROW(F1056)-1, 'From Order'!$A1056)), 1), F1055))"),"FSLT")</f>
        <v>FSLT</v>
      </c>
      <c r="G1056" s="2" t="str">
        <f>IFERROR(__xludf.DUMMYFUNCTION("IF('From Order'!$A1056=COLUMNS($A1056:G1075), LEFT(INDEX(FILTER(G$1:G1055, G$1:G1055&lt;&gt;""""),COUNTA(FILTER(G$1:G1055, G$1:G1055&lt;&gt;""""))), LEN(INDEX(FILTER(G$1:G1055, G$1:G1055&lt;&gt;""""),COUNTA(FILTER(G$1:G1055, G$1:G1055&lt;&gt;""""))))-1), IF('To Order'!$A1056=COL"&amp;"UMNS($A1056:G1075), G1055&amp;RIGHT(INDIRECT(ADDRESS(ROW(G1056)-1, 'From Order'!$A1056)), 1), G1055))"),"B")</f>
        <v>B</v>
      </c>
      <c r="H1056" s="2" t="str">
        <f>IFERROR(__xludf.DUMMYFUNCTION("IF('From Order'!$A1056=COLUMNS($A1056:H1075), LEFT(INDEX(FILTER(H$1:H1055, H$1:H1055&lt;&gt;""""),COUNTA(FILTER(H$1:H1055, H$1:H1055&lt;&gt;""""))), LEN(INDEX(FILTER(H$1:H1055, H$1:H1055&lt;&gt;""""),COUNTA(FILTER(H$1:H1055, H$1:H1055&lt;&gt;""""))))-1), IF('To Order'!$A1056=COL"&amp;"UMNS($A1056:H1075), H1055&amp;RIGHT(INDIRECT(ADDRESS(ROW(H1056)-1, 'From Order'!$A1056)), 1), H1055))"),"")</f>
        <v/>
      </c>
      <c r="I1056" s="2" t="str">
        <f>IFERROR(__xludf.DUMMYFUNCTION("IF('From Order'!$A1056=COLUMNS($A1056:I1075), LEFT(INDEX(FILTER(I$1:I1055, I$1:I1055&lt;&gt;""""),COUNTA(FILTER(I$1:I1055, I$1:I1055&lt;&gt;""""))), LEN(INDEX(FILTER(I$1:I1055, I$1:I1055&lt;&gt;""""),COUNTA(FILTER(I$1:I1055, I$1:I1055&lt;&gt;""""))))-1), IF('To Order'!$A1056=COL"&amp;"UMNS($A1056:I1075), I1055&amp;RIGHT(INDIRECT(ADDRESS(ROW(I1056)-1, 'From Order'!$A1056)), 1), I1055))"),"RCTMRWTDTD")</f>
        <v>RCTMRWTDTD</v>
      </c>
    </row>
    <row r="1057">
      <c r="A1057" s="2" t="str">
        <f>IFERROR(__xludf.DUMMYFUNCTION("IF('From Order'!$A1057=COLUMNS($A1057:A1076), LEFT(INDEX(FILTER(A$1:A1056, A$1:A1056&lt;&gt;""""),COUNTA(FILTER(A$1:A1056, A$1:A1056&lt;&gt;""""))), LEN(INDEX(FILTER(A$1:A1056, A$1:A1056&lt;&gt;""""),COUNTA(FILTER(A$1:A1056, A$1:A1056&lt;&gt;""""))))-1), IF('To Order'!$A1057=COL"&amp;"UMNS($A1057:A1076), A1056&amp;RIGHT(INDIRECT(ADDRESS(ROW(A1057)-1, 'From Order'!$A1057)), 1), A1056))"),"")</f>
        <v/>
      </c>
      <c r="B1057" s="2" t="str">
        <f>IFERROR(__xludf.DUMMYFUNCTION("IF('From Order'!$A1057=COLUMNS($A1057:B1076), LEFT(INDEX(FILTER(B$1:B1056, B$1:B1056&lt;&gt;""""),COUNTA(FILTER(B$1:B1056, B$1:B1056&lt;&gt;""""))), LEN(INDEX(FILTER(B$1:B1056, B$1:B1056&lt;&gt;""""),COUNTA(FILTER(B$1:B1056, B$1:B1056&lt;&gt;""""))))-1), IF('To Order'!$A1057=COL"&amp;"UMNS($A1057:B1076), B1056&amp;RIGHT(INDIRECT(ADDRESS(ROW(B1057)-1, 'From Order'!$A1057)), 1), B1056))"),"ZLPDSDJDBSBZHMFBT")</f>
        <v>ZLPDSDJDBSBZHMFBT</v>
      </c>
      <c r="C1057" s="2" t="str">
        <f>IFERROR(__xludf.DUMMYFUNCTION("IF('From Order'!$A1057=COLUMNS($A1057:C1076), LEFT(INDEX(FILTER(C$1:C1056, C$1:C1056&lt;&gt;""""),COUNTA(FILTER(C$1:C1056, C$1:C1056&lt;&gt;""""))), LEN(INDEX(FILTER(C$1:C1056, C$1:C1056&lt;&gt;""""),COUNTA(FILTER(C$1:C1056, C$1:C1056&lt;&gt;""""))))-1), IF('To Order'!$A1057=COL"&amp;"UMNS($A1057:C1076), C1056&amp;RIGHT(INDIRECT(ADDRESS(ROW(C1057)-1, 'From Order'!$A1057)), 1), C1056))"),"TRLRSGHWQVQJPPVJCVZRDCGM")</f>
        <v>TRLRSGHWQVQJPPVJCVZRDCGM</v>
      </c>
      <c r="D1057" s="2" t="str">
        <f>IFERROR(__xludf.DUMMYFUNCTION("IF('From Order'!$A1057=COLUMNS($A1057:D1076), LEFT(INDEX(FILTER(D$1:D1056, D$1:D1056&lt;&gt;""""),COUNTA(FILTER(D$1:D1056, D$1:D1056&lt;&gt;""""))), LEN(INDEX(FILTER(D$1:D1056, D$1:D1056&lt;&gt;""""),COUNTA(FILTER(D$1:D1056, D$1:D1056&lt;&gt;""""))))-1), IF('To Order'!$A1057=COL"&amp;"UMNS($A1057:D1076), D1056&amp;RIGHT(INDIRECT(ADDRESS(ROW(D1057)-1, 'From Order'!$A1057)), 1), D1056))"),"")</f>
        <v/>
      </c>
      <c r="E1057" s="2" t="str">
        <f>IFERROR(__xludf.DUMMYFUNCTION("IF('From Order'!$A1057=COLUMNS($A1057:E1076), LEFT(INDEX(FILTER(E$1:E1056, E$1:E1056&lt;&gt;""""),COUNTA(FILTER(E$1:E1056, E$1:E1056&lt;&gt;""""))), LEN(INDEX(FILTER(E$1:E1056, E$1:E1056&lt;&gt;""""),COUNTA(FILTER(E$1:E1056, E$1:E1056&lt;&gt;""""))))-1), IF('To Order'!$A1057=COL"&amp;"UMNS($A1057:E1076), E1056&amp;RIGHT(INDIRECT(ADDRESS(ROW(E1057)-1, 'From Order'!$A1057)), 1), E1056))"),"")</f>
        <v/>
      </c>
      <c r="F1057" s="2" t="str">
        <f>IFERROR(__xludf.DUMMYFUNCTION("IF('From Order'!$A1057=COLUMNS($A1057:F1076), LEFT(INDEX(FILTER(F$1:F1056, F$1:F1056&lt;&gt;""""),COUNTA(FILTER(F$1:F1056, F$1:F1056&lt;&gt;""""))), LEN(INDEX(FILTER(F$1:F1056, F$1:F1056&lt;&gt;""""),COUNTA(FILTER(F$1:F1056, F$1:F1056&lt;&gt;""""))))-1), IF('To Order'!$A1057=COL"&amp;"UMNS($A1057:F1076), F1056&amp;RIGHT(INDIRECT(ADDRESS(ROW(F1057)-1, 'From Order'!$A1057)), 1), F1056))"),"FSLT")</f>
        <v>FSLT</v>
      </c>
      <c r="G1057" s="2" t="str">
        <f>IFERROR(__xludf.DUMMYFUNCTION("IF('From Order'!$A1057=COLUMNS($A1057:G1076), LEFT(INDEX(FILTER(G$1:G1056, G$1:G1056&lt;&gt;""""),COUNTA(FILTER(G$1:G1056, G$1:G1056&lt;&gt;""""))), LEN(INDEX(FILTER(G$1:G1056, G$1:G1056&lt;&gt;""""),COUNTA(FILTER(G$1:G1056, G$1:G1056&lt;&gt;""""))))-1), IF('To Order'!$A1057=COL"&amp;"UMNS($A1057:G1076), G1056&amp;RIGHT(INDIRECT(ADDRESS(ROW(G1057)-1, 'From Order'!$A1057)), 1), G1056))"),"B")</f>
        <v>B</v>
      </c>
      <c r="H1057" s="2" t="str">
        <f>IFERROR(__xludf.DUMMYFUNCTION("IF('From Order'!$A1057=COLUMNS($A1057:H1076), LEFT(INDEX(FILTER(H$1:H1056, H$1:H1056&lt;&gt;""""),COUNTA(FILTER(H$1:H1056, H$1:H1056&lt;&gt;""""))), LEN(INDEX(FILTER(H$1:H1056, H$1:H1056&lt;&gt;""""),COUNTA(FILTER(H$1:H1056, H$1:H1056&lt;&gt;""""))))-1), IF('To Order'!$A1057=COL"&amp;"UMNS($A1057:H1076), H1056&amp;RIGHT(INDIRECT(ADDRESS(ROW(H1057)-1, 'From Order'!$A1057)), 1), H1056))"),"")</f>
        <v/>
      </c>
      <c r="I1057" s="2" t="str">
        <f>IFERROR(__xludf.DUMMYFUNCTION("IF('From Order'!$A1057=COLUMNS($A1057:I1076), LEFT(INDEX(FILTER(I$1:I1056, I$1:I1056&lt;&gt;""""),COUNTA(FILTER(I$1:I1056, I$1:I1056&lt;&gt;""""))), LEN(INDEX(FILTER(I$1:I1056, I$1:I1056&lt;&gt;""""),COUNTA(FILTER(I$1:I1056, I$1:I1056&lt;&gt;""""))))-1), IF('To Order'!$A1057=COL"&amp;"UMNS($A1057:I1076), I1056&amp;RIGHT(INDIRECT(ADDRESS(ROW(I1057)-1, 'From Order'!$A1057)), 1), I1056))"),"RCTMRWTDTD")</f>
        <v>RCTMRWTDTD</v>
      </c>
    </row>
    <row r="1058">
      <c r="A1058" s="2" t="str">
        <f>IFERROR(__xludf.DUMMYFUNCTION("IF('From Order'!$A1058=COLUMNS($A1058:A1077), LEFT(INDEX(FILTER(A$1:A1057, A$1:A1057&lt;&gt;""""),COUNTA(FILTER(A$1:A1057, A$1:A1057&lt;&gt;""""))), LEN(INDEX(FILTER(A$1:A1057, A$1:A1057&lt;&gt;""""),COUNTA(FILTER(A$1:A1057, A$1:A1057&lt;&gt;""""))))-1), IF('To Order'!$A1058=COL"&amp;"UMNS($A1058:A1077), A1057&amp;RIGHT(INDIRECT(ADDRESS(ROW(A1058)-1, 'From Order'!$A1058)), 1), A1057))"),"")</f>
        <v/>
      </c>
      <c r="B1058" s="2" t="str">
        <f>IFERROR(__xludf.DUMMYFUNCTION("IF('From Order'!$A1058=COLUMNS($A1058:B1077), LEFT(INDEX(FILTER(B$1:B1057, B$1:B1057&lt;&gt;""""),COUNTA(FILTER(B$1:B1057, B$1:B1057&lt;&gt;""""))), LEN(INDEX(FILTER(B$1:B1057, B$1:B1057&lt;&gt;""""),COUNTA(FILTER(B$1:B1057, B$1:B1057&lt;&gt;""""))))-1), IF('To Order'!$A1058=COL"&amp;"UMNS($A1058:B1077), B1057&amp;RIGHT(INDIRECT(ADDRESS(ROW(B1058)-1, 'From Order'!$A1058)), 1), B1057))"),"ZLPDSDJDBSBZHMFBTM")</f>
        <v>ZLPDSDJDBSBZHMFBTM</v>
      </c>
      <c r="C1058" s="2" t="str">
        <f>IFERROR(__xludf.DUMMYFUNCTION("IF('From Order'!$A1058=COLUMNS($A1058:C1077), LEFT(INDEX(FILTER(C$1:C1057, C$1:C1057&lt;&gt;""""),COUNTA(FILTER(C$1:C1057, C$1:C1057&lt;&gt;""""))), LEN(INDEX(FILTER(C$1:C1057, C$1:C1057&lt;&gt;""""),COUNTA(FILTER(C$1:C1057, C$1:C1057&lt;&gt;""""))))-1), IF('To Order'!$A1058=COL"&amp;"UMNS($A1058:C1077), C1057&amp;RIGHT(INDIRECT(ADDRESS(ROW(C1058)-1, 'From Order'!$A1058)), 1), C1057))"),"TRLRSGHWQVQJPPVJCVZRDCG")</f>
        <v>TRLRSGHWQVQJPPVJCVZRDCG</v>
      </c>
      <c r="D1058" s="2" t="str">
        <f>IFERROR(__xludf.DUMMYFUNCTION("IF('From Order'!$A1058=COLUMNS($A1058:D1077), LEFT(INDEX(FILTER(D$1:D1057, D$1:D1057&lt;&gt;""""),COUNTA(FILTER(D$1:D1057, D$1:D1057&lt;&gt;""""))), LEN(INDEX(FILTER(D$1:D1057, D$1:D1057&lt;&gt;""""),COUNTA(FILTER(D$1:D1057, D$1:D1057&lt;&gt;""""))))-1), IF('To Order'!$A1058=COL"&amp;"UMNS($A1058:D1077), D1057&amp;RIGHT(INDIRECT(ADDRESS(ROW(D1058)-1, 'From Order'!$A1058)), 1), D1057))"),"")</f>
        <v/>
      </c>
      <c r="E1058" s="2" t="str">
        <f>IFERROR(__xludf.DUMMYFUNCTION("IF('From Order'!$A1058=COLUMNS($A1058:E1077), LEFT(INDEX(FILTER(E$1:E1057, E$1:E1057&lt;&gt;""""),COUNTA(FILTER(E$1:E1057, E$1:E1057&lt;&gt;""""))), LEN(INDEX(FILTER(E$1:E1057, E$1:E1057&lt;&gt;""""),COUNTA(FILTER(E$1:E1057, E$1:E1057&lt;&gt;""""))))-1), IF('To Order'!$A1058=COL"&amp;"UMNS($A1058:E1077), E1057&amp;RIGHT(INDIRECT(ADDRESS(ROW(E1058)-1, 'From Order'!$A1058)), 1), E1057))"),"")</f>
        <v/>
      </c>
      <c r="F1058" s="2" t="str">
        <f>IFERROR(__xludf.DUMMYFUNCTION("IF('From Order'!$A1058=COLUMNS($A1058:F1077), LEFT(INDEX(FILTER(F$1:F1057, F$1:F1057&lt;&gt;""""),COUNTA(FILTER(F$1:F1057, F$1:F1057&lt;&gt;""""))), LEN(INDEX(FILTER(F$1:F1057, F$1:F1057&lt;&gt;""""),COUNTA(FILTER(F$1:F1057, F$1:F1057&lt;&gt;""""))))-1), IF('To Order'!$A1058=COL"&amp;"UMNS($A1058:F1077), F1057&amp;RIGHT(INDIRECT(ADDRESS(ROW(F1058)-1, 'From Order'!$A1058)), 1), F1057))"),"FSLT")</f>
        <v>FSLT</v>
      </c>
      <c r="G1058" s="2" t="str">
        <f>IFERROR(__xludf.DUMMYFUNCTION("IF('From Order'!$A1058=COLUMNS($A1058:G1077), LEFT(INDEX(FILTER(G$1:G1057, G$1:G1057&lt;&gt;""""),COUNTA(FILTER(G$1:G1057, G$1:G1057&lt;&gt;""""))), LEN(INDEX(FILTER(G$1:G1057, G$1:G1057&lt;&gt;""""),COUNTA(FILTER(G$1:G1057, G$1:G1057&lt;&gt;""""))))-1), IF('To Order'!$A1058=COL"&amp;"UMNS($A1058:G1077), G1057&amp;RIGHT(INDIRECT(ADDRESS(ROW(G1058)-1, 'From Order'!$A1058)), 1), G1057))"),"B")</f>
        <v>B</v>
      </c>
      <c r="H1058" s="2" t="str">
        <f>IFERROR(__xludf.DUMMYFUNCTION("IF('From Order'!$A1058=COLUMNS($A1058:H1077), LEFT(INDEX(FILTER(H$1:H1057, H$1:H1057&lt;&gt;""""),COUNTA(FILTER(H$1:H1057, H$1:H1057&lt;&gt;""""))), LEN(INDEX(FILTER(H$1:H1057, H$1:H1057&lt;&gt;""""),COUNTA(FILTER(H$1:H1057, H$1:H1057&lt;&gt;""""))))-1), IF('To Order'!$A1058=COL"&amp;"UMNS($A1058:H1077), H1057&amp;RIGHT(INDIRECT(ADDRESS(ROW(H1058)-1, 'From Order'!$A1058)), 1), H1057))"),"")</f>
        <v/>
      </c>
      <c r="I1058" s="2" t="str">
        <f>IFERROR(__xludf.DUMMYFUNCTION("IF('From Order'!$A1058=COLUMNS($A1058:I1077), LEFT(INDEX(FILTER(I$1:I1057, I$1:I1057&lt;&gt;""""),COUNTA(FILTER(I$1:I1057, I$1:I1057&lt;&gt;""""))), LEN(INDEX(FILTER(I$1:I1057, I$1:I1057&lt;&gt;""""),COUNTA(FILTER(I$1:I1057, I$1:I1057&lt;&gt;""""))))-1), IF('To Order'!$A1058=COL"&amp;"UMNS($A1058:I1077), I1057&amp;RIGHT(INDIRECT(ADDRESS(ROW(I1058)-1, 'From Order'!$A1058)), 1), I1057))"),"RCTMRWTDTD")</f>
        <v>RCTMRWTDTD</v>
      </c>
    </row>
    <row r="1059">
      <c r="A1059" s="2" t="str">
        <f>IFERROR(__xludf.DUMMYFUNCTION("IF('From Order'!$A1059=COLUMNS($A1059:A1078), LEFT(INDEX(FILTER(A$1:A1058, A$1:A1058&lt;&gt;""""),COUNTA(FILTER(A$1:A1058, A$1:A1058&lt;&gt;""""))), LEN(INDEX(FILTER(A$1:A1058, A$1:A1058&lt;&gt;""""),COUNTA(FILTER(A$1:A1058, A$1:A1058&lt;&gt;""""))))-1), IF('To Order'!$A1059=COL"&amp;"UMNS($A1059:A1078), A1058&amp;RIGHT(INDIRECT(ADDRESS(ROW(A1059)-1, 'From Order'!$A1059)), 1), A1058))"),"")</f>
        <v/>
      </c>
      <c r="B1059" s="2" t="str">
        <f>IFERROR(__xludf.DUMMYFUNCTION("IF('From Order'!$A1059=COLUMNS($A1059:B1078), LEFT(INDEX(FILTER(B$1:B1058, B$1:B1058&lt;&gt;""""),COUNTA(FILTER(B$1:B1058, B$1:B1058&lt;&gt;""""))), LEN(INDEX(FILTER(B$1:B1058, B$1:B1058&lt;&gt;""""),COUNTA(FILTER(B$1:B1058, B$1:B1058&lt;&gt;""""))))-1), IF('To Order'!$A1059=COL"&amp;"UMNS($A1059:B1078), B1058&amp;RIGHT(INDIRECT(ADDRESS(ROW(B1059)-1, 'From Order'!$A1059)), 1), B1058))"),"ZLPDSDJDBSBZHMFBTMG")</f>
        <v>ZLPDSDJDBSBZHMFBTMG</v>
      </c>
      <c r="C1059" s="2" t="str">
        <f>IFERROR(__xludf.DUMMYFUNCTION("IF('From Order'!$A1059=COLUMNS($A1059:C1078), LEFT(INDEX(FILTER(C$1:C1058, C$1:C1058&lt;&gt;""""),COUNTA(FILTER(C$1:C1058, C$1:C1058&lt;&gt;""""))), LEN(INDEX(FILTER(C$1:C1058, C$1:C1058&lt;&gt;""""),COUNTA(FILTER(C$1:C1058, C$1:C1058&lt;&gt;""""))))-1), IF('To Order'!$A1059=COL"&amp;"UMNS($A1059:C1078), C1058&amp;RIGHT(INDIRECT(ADDRESS(ROW(C1059)-1, 'From Order'!$A1059)), 1), C1058))"),"TRLRSGHWQVQJPPVJCVZRDC")</f>
        <v>TRLRSGHWQVQJPPVJCVZRDC</v>
      </c>
      <c r="D1059" s="2" t="str">
        <f>IFERROR(__xludf.DUMMYFUNCTION("IF('From Order'!$A1059=COLUMNS($A1059:D1078), LEFT(INDEX(FILTER(D$1:D1058, D$1:D1058&lt;&gt;""""),COUNTA(FILTER(D$1:D1058, D$1:D1058&lt;&gt;""""))), LEN(INDEX(FILTER(D$1:D1058, D$1:D1058&lt;&gt;""""),COUNTA(FILTER(D$1:D1058, D$1:D1058&lt;&gt;""""))))-1), IF('To Order'!$A1059=COL"&amp;"UMNS($A1059:D1078), D1058&amp;RIGHT(INDIRECT(ADDRESS(ROW(D1059)-1, 'From Order'!$A1059)), 1), D1058))"),"")</f>
        <v/>
      </c>
      <c r="E1059" s="2" t="str">
        <f>IFERROR(__xludf.DUMMYFUNCTION("IF('From Order'!$A1059=COLUMNS($A1059:E1078), LEFT(INDEX(FILTER(E$1:E1058, E$1:E1058&lt;&gt;""""),COUNTA(FILTER(E$1:E1058, E$1:E1058&lt;&gt;""""))), LEN(INDEX(FILTER(E$1:E1058, E$1:E1058&lt;&gt;""""),COUNTA(FILTER(E$1:E1058, E$1:E1058&lt;&gt;""""))))-1), IF('To Order'!$A1059=COL"&amp;"UMNS($A1059:E1078), E1058&amp;RIGHT(INDIRECT(ADDRESS(ROW(E1059)-1, 'From Order'!$A1059)), 1), E1058))"),"")</f>
        <v/>
      </c>
      <c r="F1059" s="2" t="str">
        <f>IFERROR(__xludf.DUMMYFUNCTION("IF('From Order'!$A1059=COLUMNS($A1059:F1078), LEFT(INDEX(FILTER(F$1:F1058, F$1:F1058&lt;&gt;""""),COUNTA(FILTER(F$1:F1058, F$1:F1058&lt;&gt;""""))), LEN(INDEX(FILTER(F$1:F1058, F$1:F1058&lt;&gt;""""),COUNTA(FILTER(F$1:F1058, F$1:F1058&lt;&gt;""""))))-1), IF('To Order'!$A1059=COL"&amp;"UMNS($A1059:F1078), F1058&amp;RIGHT(INDIRECT(ADDRESS(ROW(F1059)-1, 'From Order'!$A1059)), 1), F1058))"),"FSLT")</f>
        <v>FSLT</v>
      </c>
      <c r="G1059" s="2" t="str">
        <f>IFERROR(__xludf.DUMMYFUNCTION("IF('From Order'!$A1059=COLUMNS($A1059:G1078), LEFT(INDEX(FILTER(G$1:G1058, G$1:G1058&lt;&gt;""""),COUNTA(FILTER(G$1:G1058, G$1:G1058&lt;&gt;""""))), LEN(INDEX(FILTER(G$1:G1058, G$1:G1058&lt;&gt;""""),COUNTA(FILTER(G$1:G1058, G$1:G1058&lt;&gt;""""))))-1), IF('To Order'!$A1059=COL"&amp;"UMNS($A1059:G1078), G1058&amp;RIGHT(INDIRECT(ADDRESS(ROW(G1059)-1, 'From Order'!$A1059)), 1), G1058))"),"B")</f>
        <v>B</v>
      </c>
      <c r="H1059" s="2" t="str">
        <f>IFERROR(__xludf.DUMMYFUNCTION("IF('From Order'!$A1059=COLUMNS($A1059:H1078), LEFT(INDEX(FILTER(H$1:H1058, H$1:H1058&lt;&gt;""""),COUNTA(FILTER(H$1:H1058, H$1:H1058&lt;&gt;""""))), LEN(INDEX(FILTER(H$1:H1058, H$1:H1058&lt;&gt;""""),COUNTA(FILTER(H$1:H1058, H$1:H1058&lt;&gt;""""))))-1), IF('To Order'!$A1059=COL"&amp;"UMNS($A1059:H1078), H1058&amp;RIGHT(INDIRECT(ADDRESS(ROW(H1059)-1, 'From Order'!$A1059)), 1), H1058))"),"")</f>
        <v/>
      </c>
      <c r="I1059" s="2" t="str">
        <f>IFERROR(__xludf.DUMMYFUNCTION("IF('From Order'!$A1059=COLUMNS($A1059:I1078), LEFT(INDEX(FILTER(I$1:I1058, I$1:I1058&lt;&gt;""""),COUNTA(FILTER(I$1:I1058, I$1:I1058&lt;&gt;""""))), LEN(INDEX(FILTER(I$1:I1058, I$1:I1058&lt;&gt;""""),COUNTA(FILTER(I$1:I1058, I$1:I1058&lt;&gt;""""))))-1), IF('To Order'!$A1059=COL"&amp;"UMNS($A1059:I1078), I1058&amp;RIGHT(INDIRECT(ADDRESS(ROW(I1059)-1, 'From Order'!$A1059)), 1), I1058))"),"RCTMRWTDTD")</f>
        <v>RCTMRWTDTD</v>
      </c>
    </row>
    <row r="1060">
      <c r="A1060" s="2" t="str">
        <f>IFERROR(__xludf.DUMMYFUNCTION("IF('From Order'!$A1060=COLUMNS($A1060:A1079), LEFT(INDEX(FILTER(A$1:A1059, A$1:A1059&lt;&gt;""""),COUNTA(FILTER(A$1:A1059, A$1:A1059&lt;&gt;""""))), LEN(INDEX(FILTER(A$1:A1059, A$1:A1059&lt;&gt;""""),COUNTA(FILTER(A$1:A1059, A$1:A1059&lt;&gt;""""))))-1), IF('To Order'!$A1060=COL"&amp;"UMNS($A1060:A1079), A1059&amp;RIGHT(INDIRECT(ADDRESS(ROW(A1060)-1, 'From Order'!$A1060)), 1), A1059))"),"")</f>
        <v/>
      </c>
      <c r="B1060" s="2" t="str">
        <f>IFERROR(__xludf.DUMMYFUNCTION("IF('From Order'!$A1060=COLUMNS($A1060:B1079), LEFT(INDEX(FILTER(B$1:B1059, B$1:B1059&lt;&gt;""""),COUNTA(FILTER(B$1:B1059, B$1:B1059&lt;&gt;""""))), LEN(INDEX(FILTER(B$1:B1059, B$1:B1059&lt;&gt;""""),COUNTA(FILTER(B$1:B1059, B$1:B1059&lt;&gt;""""))))-1), IF('To Order'!$A1060=COL"&amp;"UMNS($A1060:B1079), B1059&amp;RIGHT(INDIRECT(ADDRESS(ROW(B1060)-1, 'From Order'!$A1060)), 1), B1059))"),"ZLPDSDJDBSBZHMFBTMGT")</f>
        <v>ZLPDSDJDBSBZHMFBTMGT</v>
      </c>
      <c r="C1060" s="2" t="str">
        <f>IFERROR(__xludf.DUMMYFUNCTION("IF('From Order'!$A1060=COLUMNS($A1060:C1079), LEFT(INDEX(FILTER(C$1:C1059, C$1:C1059&lt;&gt;""""),COUNTA(FILTER(C$1:C1059, C$1:C1059&lt;&gt;""""))), LEN(INDEX(FILTER(C$1:C1059, C$1:C1059&lt;&gt;""""),COUNTA(FILTER(C$1:C1059, C$1:C1059&lt;&gt;""""))))-1), IF('To Order'!$A1060=COL"&amp;"UMNS($A1060:C1079), C1059&amp;RIGHT(INDIRECT(ADDRESS(ROW(C1060)-1, 'From Order'!$A1060)), 1), C1059))"),"TRLRSGHWQVQJPPVJCVZRDC")</f>
        <v>TRLRSGHWQVQJPPVJCVZRDC</v>
      </c>
      <c r="D1060" s="2" t="str">
        <f>IFERROR(__xludf.DUMMYFUNCTION("IF('From Order'!$A1060=COLUMNS($A1060:D1079), LEFT(INDEX(FILTER(D$1:D1059, D$1:D1059&lt;&gt;""""),COUNTA(FILTER(D$1:D1059, D$1:D1059&lt;&gt;""""))), LEN(INDEX(FILTER(D$1:D1059, D$1:D1059&lt;&gt;""""),COUNTA(FILTER(D$1:D1059, D$1:D1059&lt;&gt;""""))))-1), IF('To Order'!$A1060=COL"&amp;"UMNS($A1060:D1079), D1059&amp;RIGHT(INDIRECT(ADDRESS(ROW(D1060)-1, 'From Order'!$A1060)), 1), D1059))"),"")</f>
        <v/>
      </c>
      <c r="E1060" s="2" t="str">
        <f>IFERROR(__xludf.DUMMYFUNCTION("IF('From Order'!$A1060=COLUMNS($A1060:E1079), LEFT(INDEX(FILTER(E$1:E1059, E$1:E1059&lt;&gt;""""),COUNTA(FILTER(E$1:E1059, E$1:E1059&lt;&gt;""""))), LEN(INDEX(FILTER(E$1:E1059, E$1:E1059&lt;&gt;""""),COUNTA(FILTER(E$1:E1059, E$1:E1059&lt;&gt;""""))))-1), IF('To Order'!$A1060=COL"&amp;"UMNS($A1060:E1079), E1059&amp;RIGHT(INDIRECT(ADDRESS(ROW(E1060)-1, 'From Order'!$A1060)), 1), E1059))"),"")</f>
        <v/>
      </c>
      <c r="F1060" s="2" t="str">
        <f>IFERROR(__xludf.DUMMYFUNCTION("IF('From Order'!$A1060=COLUMNS($A1060:F1079), LEFT(INDEX(FILTER(F$1:F1059, F$1:F1059&lt;&gt;""""),COUNTA(FILTER(F$1:F1059, F$1:F1059&lt;&gt;""""))), LEN(INDEX(FILTER(F$1:F1059, F$1:F1059&lt;&gt;""""),COUNTA(FILTER(F$1:F1059, F$1:F1059&lt;&gt;""""))))-1), IF('To Order'!$A1060=COL"&amp;"UMNS($A1060:F1079), F1059&amp;RIGHT(INDIRECT(ADDRESS(ROW(F1060)-1, 'From Order'!$A1060)), 1), F1059))"),"FSL")</f>
        <v>FSL</v>
      </c>
      <c r="G1060" s="2" t="str">
        <f>IFERROR(__xludf.DUMMYFUNCTION("IF('From Order'!$A1060=COLUMNS($A1060:G1079), LEFT(INDEX(FILTER(G$1:G1059, G$1:G1059&lt;&gt;""""),COUNTA(FILTER(G$1:G1059, G$1:G1059&lt;&gt;""""))), LEN(INDEX(FILTER(G$1:G1059, G$1:G1059&lt;&gt;""""),COUNTA(FILTER(G$1:G1059, G$1:G1059&lt;&gt;""""))))-1), IF('To Order'!$A1060=COL"&amp;"UMNS($A1060:G1079), G1059&amp;RIGHT(INDIRECT(ADDRESS(ROW(G1060)-1, 'From Order'!$A1060)), 1), G1059))"),"B")</f>
        <v>B</v>
      </c>
      <c r="H1060" s="2" t="str">
        <f>IFERROR(__xludf.DUMMYFUNCTION("IF('From Order'!$A1060=COLUMNS($A1060:H1079), LEFT(INDEX(FILTER(H$1:H1059, H$1:H1059&lt;&gt;""""),COUNTA(FILTER(H$1:H1059, H$1:H1059&lt;&gt;""""))), LEN(INDEX(FILTER(H$1:H1059, H$1:H1059&lt;&gt;""""),COUNTA(FILTER(H$1:H1059, H$1:H1059&lt;&gt;""""))))-1), IF('To Order'!$A1060=COL"&amp;"UMNS($A1060:H1079), H1059&amp;RIGHT(INDIRECT(ADDRESS(ROW(H1060)-1, 'From Order'!$A1060)), 1), H1059))"),"")</f>
        <v/>
      </c>
      <c r="I1060" s="2" t="str">
        <f>IFERROR(__xludf.DUMMYFUNCTION("IF('From Order'!$A1060=COLUMNS($A1060:I1079), LEFT(INDEX(FILTER(I$1:I1059, I$1:I1059&lt;&gt;""""),COUNTA(FILTER(I$1:I1059, I$1:I1059&lt;&gt;""""))), LEN(INDEX(FILTER(I$1:I1059, I$1:I1059&lt;&gt;""""),COUNTA(FILTER(I$1:I1059, I$1:I1059&lt;&gt;""""))))-1), IF('To Order'!$A1060=COL"&amp;"UMNS($A1060:I1079), I1059&amp;RIGHT(INDIRECT(ADDRESS(ROW(I1060)-1, 'From Order'!$A1060)), 1), I1059))"),"RCTMRWTDTD")</f>
        <v>RCTMRWTDTD</v>
      </c>
    </row>
    <row r="1061">
      <c r="A1061" s="2" t="str">
        <f>IFERROR(__xludf.DUMMYFUNCTION("IF('From Order'!$A1061=COLUMNS($A1061:A1080), LEFT(INDEX(FILTER(A$1:A1060, A$1:A1060&lt;&gt;""""),COUNTA(FILTER(A$1:A1060, A$1:A1060&lt;&gt;""""))), LEN(INDEX(FILTER(A$1:A1060, A$1:A1060&lt;&gt;""""),COUNTA(FILTER(A$1:A1060, A$1:A1060&lt;&gt;""""))))-1), IF('To Order'!$A1061=COL"&amp;"UMNS($A1061:A1080), A1060&amp;RIGHT(INDIRECT(ADDRESS(ROW(A1061)-1, 'From Order'!$A1061)), 1), A1060))"),"")</f>
        <v/>
      </c>
      <c r="B1061" s="2" t="str">
        <f>IFERROR(__xludf.DUMMYFUNCTION("IF('From Order'!$A1061=COLUMNS($A1061:B1080), LEFT(INDEX(FILTER(B$1:B1060, B$1:B1060&lt;&gt;""""),COUNTA(FILTER(B$1:B1060, B$1:B1060&lt;&gt;""""))), LEN(INDEX(FILTER(B$1:B1060, B$1:B1060&lt;&gt;""""),COUNTA(FILTER(B$1:B1060, B$1:B1060&lt;&gt;""""))))-1), IF('To Order'!$A1061=COL"&amp;"UMNS($A1061:B1080), B1060&amp;RIGHT(INDIRECT(ADDRESS(ROW(B1061)-1, 'From Order'!$A1061)), 1), B1060))"),"ZLPDSDJDBSBZHMFBTMGT")</f>
        <v>ZLPDSDJDBSBZHMFBTMGT</v>
      </c>
      <c r="C1061" s="2" t="str">
        <f>IFERROR(__xludf.DUMMYFUNCTION("IF('From Order'!$A1061=COLUMNS($A1061:C1080), LEFT(INDEX(FILTER(C$1:C1060, C$1:C1060&lt;&gt;""""),COUNTA(FILTER(C$1:C1060, C$1:C1060&lt;&gt;""""))), LEN(INDEX(FILTER(C$1:C1060, C$1:C1060&lt;&gt;""""),COUNTA(FILTER(C$1:C1060, C$1:C1060&lt;&gt;""""))))-1), IF('To Order'!$A1061=COL"&amp;"UMNS($A1061:C1080), C1060&amp;RIGHT(INDIRECT(ADDRESS(ROW(C1061)-1, 'From Order'!$A1061)), 1), C1060))"),"TRLRSGHWQVQJPPVJCVZRDC")</f>
        <v>TRLRSGHWQVQJPPVJCVZRDC</v>
      </c>
      <c r="D1061" s="2" t="str">
        <f>IFERROR(__xludf.DUMMYFUNCTION("IF('From Order'!$A1061=COLUMNS($A1061:D1080), LEFT(INDEX(FILTER(D$1:D1060, D$1:D1060&lt;&gt;""""),COUNTA(FILTER(D$1:D1060, D$1:D1060&lt;&gt;""""))), LEN(INDEX(FILTER(D$1:D1060, D$1:D1060&lt;&gt;""""),COUNTA(FILTER(D$1:D1060, D$1:D1060&lt;&gt;""""))))-1), IF('To Order'!$A1061=COL"&amp;"UMNS($A1061:D1080), D1060&amp;RIGHT(INDIRECT(ADDRESS(ROW(D1061)-1, 'From Order'!$A1061)), 1), D1060))"),"")</f>
        <v/>
      </c>
      <c r="E1061" s="2" t="str">
        <f>IFERROR(__xludf.DUMMYFUNCTION("IF('From Order'!$A1061=COLUMNS($A1061:E1080), LEFT(INDEX(FILTER(E$1:E1060, E$1:E1060&lt;&gt;""""),COUNTA(FILTER(E$1:E1060, E$1:E1060&lt;&gt;""""))), LEN(INDEX(FILTER(E$1:E1060, E$1:E1060&lt;&gt;""""),COUNTA(FILTER(E$1:E1060, E$1:E1060&lt;&gt;""""))))-1), IF('To Order'!$A1061=COL"&amp;"UMNS($A1061:E1080), E1060&amp;RIGHT(INDIRECT(ADDRESS(ROW(E1061)-1, 'From Order'!$A1061)), 1), E1060))"),"")</f>
        <v/>
      </c>
      <c r="F1061" s="2" t="str">
        <f>IFERROR(__xludf.DUMMYFUNCTION("IF('From Order'!$A1061=COLUMNS($A1061:F1080), LEFT(INDEX(FILTER(F$1:F1060, F$1:F1060&lt;&gt;""""),COUNTA(FILTER(F$1:F1060, F$1:F1060&lt;&gt;""""))), LEN(INDEX(FILTER(F$1:F1060, F$1:F1060&lt;&gt;""""),COUNTA(FILTER(F$1:F1060, F$1:F1060&lt;&gt;""""))))-1), IF('To Order'!$A1061=COL"&amp;"UMNS($A1061:F1080), F1060&amp;RIGHT(INDIRECT(ADDRESS(ROW(F1061)-1, 'From Order'!$A1061)), 1), F1060))"),"FS")</f>
        <v>FS</v>
      </c>
      <c r="G1061" s="2" t="str">
        <f>IFERROR(__xludf.DUMMYFUNCTION("IF('From Order'!$A1061=COLUMNS($A1061:G1080), LEFT(INDEX(FILTER(G$1:G1060, G$1:G1060&lt;&gt;""""),COUNTA(FILTER(G$1:G1060, G$1:G1060&lt;&gt;""""))), LEN(INDEX(FILTER(G$1:G1060, G$1:G1060&lt;&gt;""""),COUNTA(FILTER(G$1:G1060, G$1:G1060&lt;&gt;""""))))-1), IF('To Order'!$A1061=COL"&amp;"UMNS($A1061:G1080), G1060&amp;RIGHT(INDIRECT(ADDRESS(ROW(G1061)-1, 'From Order'!$A1061)), 1), G1060))"),"B")</f>
        <v>B</v>
      </c>
      <c r="H1061" s="2" t="str">
        <f>IFERROR(__xludf.DUMMYFUNCTION("IF('From Order'!$A1061=COLUMNS($A1061:H1080), LEFT(INDEX(FILTER(H$1:H1060, H$1:H1060&lt;&gt;""""),COUNTA(FILTER(H$1:H1060, H$1:H1060&lt;&gt;""""))), LEN(INDEX(FILTER(H$1:H1060, H$1:H1060&lt;&gt;""""),COUNTA(FILTER(H$1:H1060, H$1:H1060&lt;&gt;""""))))-1), IF('To Order'!$A1061=COL"&amp;"UMNS($A1061:H1080), H1060&amp;RIGHT(INDIRECT(ADDRESS(ROW(H1061)-1, 'From Order'!$A1061)), 1), H1060))"),"")</f>
        <v/>
      </c>
      <c r="I1061" s="2" t="str">
        <f>IFERROR(__xludf.DUMMYFUNCTION("IF('From Order'!$A1061=COLUMNS($A1061:I1080), LEFT(INDEX(FILTER(I$1:I1060, I$1:I1060&lt;&gt;""""),COUNTA(FILTER(I$1:I1060, I$1:I1060&lt;&gt;""""))), LEN(INDEX(FILTER(I$1:I1060, I$1:I1060&lt;&gt;""""),COUNTA(FILTER(I$1:I1060, I$1:I1060&lt;&gt;""""))))-1), IF('To Order'!$A1061=COL"&amp;"UMNS($A1061:I1080), I1060&amp;RIGHT(INDIRECT(ADDRESS(ROW(I1061)-1, 'From Order'!$A1061)), 1), I1060))"),"RCTMRWTDTDL")</f>
        <v>RCTMRWTDTDL</v>
      </c>
    </row>
    <row r="1062">
      <c r="A1062" s="2" t="str">
        <f>IFERROR(__xludf.DUMMYFUNCTION("IF('From Order'!$A1062=COLUMNS($A1062:A1081), LEFT(INDEX(FILTER(A$1:A1061, A$1:A1061&lt;&gt;""""),COUNTA(FILTER(A$1:A1061, A$1:A1061&lt;&gt;""""))), LEN(INDEX(FILTER(A$1:A1061, A$1:A1061&lt;&gt;""""),COUNTA(FILTER(A$1:A1061, A$1:A1061&lt;&gt;""""))))-1), IF('To Order'!$A1062=COL"&amp;"UMNS($A1062:A1081), A1061&amp;RIGHT(INDIRECT(ADDRESS(ROW(A1062)-1, 'From Order'!$A1062)), 1), A1061))"),"")</f>
        <v/>
      </c>
      <c r="B1062" s="2" t="str">
        <f>IFERROR(__xludf.DUMMYFUNCTION("IF('From Order'!$A1062=COLUMNS($A1062:B1081), LEFT(INDEX(FILTER(B$1:B1061, B$1:B1061&lt;&gt;""""),COUNTA(FILTER(B$1:B1061, B$1:B1061&lt;&gt;""""))), LEN(INDEX(FILTER(B$1:B1061, B$1:B1061&lt;&gt;""""),COUNTA(FILTER(B$1:B1061, B$1:B1061&lt;&gt;""""))))-1), IF('To Order'!$A1062=COL"&amp;"UMNS($A1062:B1081), B1061&amp;RIGHT(INDIRECT(ADDRESS(ROW(B1062)-1, 'From Order'!$A1062)), 1), B1061))"),"ZLPDSDJDBSBZHMFBTMGT")</f>
        <v>ZLPDSDJDBSBZHMFBTMGT</v>
      </c>
      <c r="C1062" s="2" t="str">
        <f>IFERROR(__xludf.DUMMYFUNCTION("IF('From Order'!$A1062=COLUMNS($A1062:C1081), LEFT(INDEX(FILTER(C$1:C1061, C$1:C1061&lt;&gt;""""),COUNTA(FILTER(C$1:C1061, C$1:C1061&lt;&gt;""""))), LEN(INDEX(FILTER(C$1:C1061, C$1:C1061&lt;&gt;""""),COUNTA(FILTER(C$1:C1061, C$1:C1061&lt;&gt;""""))))-1), IF('To Order'!$A1062=COL"&amp;"UMNS($A1062:C1081), C1061&amp;RIGHT(INDIRECT(ADDRESS(ROW(C1062)-1, 'From Order'!$A1062)), 1), C1061))"),"TRLRSGHWQVQJPPVJCVZRDC")</f>
        <v>TRLRSGHWQVQJPPVJCVZRDC</v>
      </c>
      <c r="D1062" s="2" t="str">
        <f>IFERROR(__xludf.DUMMYFUNCTION("IF('From Order'!$A1062=COLUMNS($A1062:D1081), LEFT(INDEX(FILTER(D$1:D1061, D$1:D1061&lt;&gt;""""),COUNTA(FILTER(D$1:D1061, D$1:D1061&lt;&gt;""""))), LEN(INDEX(FILTER(D$1:D1061, D$1:D1061&lt;&gt;""""),COUNTA(FILTER(D$1:D1061, D$1:D1061&lt;&gt;""""))))-1), IF('To Order'!$A1062=COL"&amp;"UMNS($A1062:D1081), D1061&amp;RIGHT(INDIRECT(ADDRESS(ROW(D1062)-1, 'From Order'!$A1062)), 1), D1061))"),"")</f>
        <v/>
      </c>
      <c r="E1062" s="2" t="str">
        <f>IFERROR(__xludf.DUMMYFUNCTION("IF('From Order'!$A1062=COLUMNS($A1062:E1081), LEFT(INDEX(FILTER(E$1:E1061, E$1:E1061&lt;&gt;""""),COUNTA(FILTER(E$1:E1061, E$1:E1061&lt;&gt;""""))), LEN(INDEX(FILTER(E$1:E1061, E$1:E1061&lt;&gt;""""),COUNTA(FILTER(E$1:E1061, E$1:E1061&lt;&gt;""""))))-1), IF('To Order'!$A1062=COL"&amp;"UMNS($A1062:E1081), E1061&amp;RIGHT(INDIRECT(ADDRESS(ROW(E1062)-1, 'From Order'!$A1062)), 1), E1061))"),"")</f>
        <v/>
      </c>
      <c r="F1062" s="2" t="str">
        <f>IFERROR(__xludf.DUMMYFUNCTION("IF('From Order'!$A1062=COLUMNS($A1062:F1081), LEFT(INDEX(FILTER(F$1:F1061, F$1:F1061&lt;&gt;""""),COUNTA(FILTER(F$1:F1061, F$1:F1061&lt;&gt;""""))), LEN(INDEX(FILTER(F$1:F1061, F$1:F1061&lt;&gt;""""),COUNTA(FILTER(F$1:F1061, F$1:F1061&lt;&gt;""""))))-1), IF('To Order'!$A1062=COL"&amp;"UMNS($A1062:F1081), F1061&amp;RIGHT(INDIRECT(ADDRESS(ROW(F1062)-1, 'From Order'!$A1062)), 1), F1061))"),"F")</f>
        <v>F</v>
      </c>
      <c r="G1062" s="2" t="str">
        <f>IFERROR(__xludf.DUMMYFUNCTION("IF('From Order'!$A1062=COLUMNS($A1062:G1081), LEFT(INDEX(FILTER(G$1:G1061, G$1:G1061&lt;&gt;""""),COUNTA(FILTER(G$1:G1061, G$1:G1061&lt;&gt;""""))), LEN(INDEX(FILTER(G$1:G1061, G$1:G1061&lt;&gt;""""),COUNTA(FILTER(G$1:G1061, G$1:G1061&lt;&gt;""""))))-1), IF('To Order'!$A1062=COL"&amp;"UMNS($A1062:G1081), G1061&amp;RIGHT(INDIRECT(ADDRESS(ROW(G1062)-1, 'From Order'!$A1062)), 1), G1061))"),"B")</f>
        <v>B</v>
      </c>
      <c r="H1062" s="2" t="str">
        <f>IFERROR(__xludf.DUMMYFUNCTION("IF('From Order'!$A1062=COLUMNS($A1062:H1081), LEFT(INDEX(FILTER(H$1:H1061, H$1:H1061&lt;&gt;""""),COUNTA(FILTER(H$1:H1061, H$1:H1061&lt;&gt;""""))), LEN(INDEX(FILTER(H$1:H1061, H$1:H1061&lt;&gt;""""),COUNTA(FILTER(H$1:H1061, H$1:H1061&lt;&gt;""""))))-1), IF('To Order'!$A1062=COL"&amp;"UMNS($A1062:H1081), H1061&amp;RIGHT(INDIRECT(ADDRESS(ROW(H1062)-1, 'From Order'!$A1062)), 1), H1061))"),"")</f>
        <v/>
      </c>
      <c r="I1062" s="2" t="str">
        <f>IFERROR(__xludf.DUMMYFUNCTION("IF('From Order'!$A1062=COLUMNS($A1062:I1081), LEFT(INDEX(FILTER(I$1:I1061, I$1:I1061&lt;&gt;""""),COUNTA(FILTER(I$1:I1061, I$1:I1061&lt;&gt;""""))), LEN(INDEX(FILTER(I$1:I1061, I$1:I1061&lt;&gt;""""),COUNTA(FILTER(I$1:I1061, I$1:I1061&lt;&gt;""""))))-1), IF('To Order'!$A1062=COL"&amp;"UMNS($A1062:I1081), I1061&amp;RIGHT(INDIRECT(ADDRESS(ROW(I1062)-1, 'From Order'!$A1062)), 1), I1061))"),"RCTMRWTDTDLS")</f>
        <v>RCTMRWTDTDLS</v>
      </c>
    </row>
    <row r="1063">
      <c r="A1063" s="2" t="str">
        <f>IFERROR(__xludf.DUMMYFUNCTION("IF('From Order'!$A1063=COLUMNS($A1063:A1082), LEFT(INDEX(FILTER(A$1:A1062, A$1:A1062&lt;&gt;""""),COUNTA(FILTER(A$1:A1062, A$1:A1062&lt;&gt;""""))), LEN(INDEX(FILTER(A$1:A1062, A$1:A1062&lt;&gt;""""),COUNTA(FILTER(A$1:A1062, A$1:A1062&lt;&gt;""""))))-1), IF('To Order'!$A1063=COL"&amp;"UMNS($A1063:A1082), A1062&amp;RIGHT(INDIRECT(ADDRESS(ROW(A1063)-1, 'From Order'!$A1063)), 1), A1062))"),"")</f>
        <v/>
      </c>
      <c r="B1063" s="2" t="str">
        <f>IFERROR(__xludf.DUMMYFUNCTION("IF('From Order'!$A1063=COLUMNS($A1063:B1082), LEFT(INDEX(FILTER(B$1:B1062, B$1:B1062&lt;&gt;""""),COUNTA(FILTER(B$1:B1062, B$1:B1062&lt;&gt;""""))), LEN(INDEX(FILTER(B$1:B1062, B$1:B1062&lt;&gt;""""),COUNTA(FILTER(B$1:B1062, B$1:B1062&lt;&gt;""""))))-1), IF('To Order'!$A1063=COL"&amp;"UMNS($A1063:B1082), B1062&amp;RIGHT(INDIRECT(ADDRESS(ROW(B1063)-1, 'From Order'!$A1063)), 1), B1062))"),"ZLPDSDJDBSBZHMFBTMGT")</f>
        <v>ZLPDSDJDBSBZHMFBTMGT</v>
      </c>
      <c r="C1063" s="2" t="str">
        <f>IFERROR(__xludf.DUMMYFUNCTION("IF('From Order'!$A1063=COLUMNS($A1063:C1082), LEFT(INDEX(FILTER(C$1:C1062, C$1:C1062&lt;&gt;""""),COUNTA(FILTER(C$1:C1062, C$1:C1062&lt;&gt;""""))), LEN(INDEX(FILTER(C$1:C1062, C$1:C1062&lt;&gt;""""),COUNTA(FILTER(C$1:C1062, C$1:C1062&lt;&gt;""""))))-1), IF('To Order'!$A1063=COL"&amp;"UMNS($A1063:C1082), C1062&amp;RIGHT(INDIRECT(ADDRESS(ROW(C1063)-1, 'From Order'!$A1063)), 1), C1062))"),"TRLRSGHWQVQJPPVJCVZRDC")</f>
        <v>TRLRSGHWQVQJPPVJCVZRDC</v>
      </c>
      <c r="D1063" s="2" t="str">
        <f>IFERROR(__xludf.DUMMYFUNCTION("IF('From Order'!$A1063=COLUMNS($A1063:D1082), LEFT(INDEX(FILTER(D$1:D1062, D$1:D1062&lt;&gt;""""),COUNTA(FILTER(D$1:D1062, D$1:D1062&lt;&gt;""""))), LEN(INDEX(FILTER(D$1:D1062, D$1:D1062&lt;&gt;""""),COUNTA(FILTER(D$1:D1062, D$1:D1062&lt;&gt;""""))))-1), IF('To Order'!$A1063=COL"&amp;"UMNS($A1063:D1082), D1062&amp;RIGHT(INDIRECT(ADDRESS(ROW(D1063)-1, 'From Order'!$A1063)), 1), D1062))"),"F")</f>
        <v>F</v>
      </c>
      <c r="E1063" s="2" t="str">
        <f>IFERROR(__xludf.DUMMYFUNCTION("IF('From Order'!$A1063=COLUMNS($A1063:E1082), LEFT(INDEX(FILTER(E$1:E1062, E$1:E1062&lt;&gt;""""),COUNTA(FILTER(E$1:E1062, E$1:E1062&lt;&gt;""""))), LEN(INDEX(FILTER(E$1:E1062, E$1:E1062&lt;&gt;""""),COUNTA(FILTER(E$1:E1062, E$1:E1062&lt;&gt;""""))))-1), IF('To Order'!$A1063=COL"&amp;"UMNS($A1063:E1082), E1062&amp;RIGHT(INDIRECT(ADDRESS(ROW(E1063)-1, 'From Order'!$A1063)), 1), E1062))"),"")</f>
        <v/>
      </c>
      <c r="F1063" s="2" t="str">
        <f>IFERROR(__xludf.DUMMYFUNCTION("IF('From Order'!$A1063=COLUMNS($A1063:F1082), LEFT(INDEX(FILTER(F$1:F1062, F$1:F1062&lt;&gt;""""),COUNTA(FILTER(F$1:F1062, F$1:F1062&lt;&gt;""""))), LEN(INDEX(FILTER(F$1:F1062, F$1:F1062&lt;&gt;""""),COUNTA(FILTER(F$1:F1062, F$1:F1062&lt;&gt;""""))))-1), IF('To Order'!$A1063=COL"&amp;"UMNS($A1063:F1082), F1062&amp;RIGHT(INDIRECT(ADDRESS(ROW(F1063)-1, 'From Order'!$A1063)), 1), F1062))"),"")</f>
        <v/>
      </c>
      <c r="G1063" s="2" t="str">
        <f>IFERROR(__xludf.DUMMYFUNCTION("IF('From Order'!$A1063=COLUMNS($A1063:G1082), LEFT(INDEX(FILTER(G$1:G1062, G$1:G1062&lt;&gt;""""),COUNTA(FILTER(G$1:G1062, G$1:G1062&lt;&gt;""""))), LEN(INDEX(FILTER(G$1:G1062, G$1:G1062&lt;&gt;""""),COUNTA(FILTER(G$1:G1062, G$1:G1062&lt;&gt;""""))))-1), IF('To Order'!$A1063=COL"&amp;"UMNS($A1063:G1082), G1062&amp;RIGHT(INDIRECT(ADDRESS(ROW(G1063)-1, 'From Order'!$A1063)), 1), G1062))"),"B")</f>
        <v>B</v>
      </c>
      <c r="H1063" s="2" t="str">
        <f>IFERROR(__xludf.DUMMYFUNCTION("IF('From Order'!$A1063=COLUMNS($A1063:H1082), LEFT(INDEX(FILTER(H$1:H1062, H$1:H1062&lt;&gt;""""),COUNTA(FILTER(H$1:H1062, H$1:H1062&lt;&gt;""""))), LEN(INDEX(FILTER(H$1:H1062, H$1:H1062&lt;&gt;""""),COUNTA(FILTER(H$1:H1062, H$1:H1062&lt;&gt;""""))))-1), IF('To Order'!$A1063=COL"&amp;"UMNS($A1063:H1082), H1062&amp;RIGHT(INDIRECT(ADDRESS(ROW(H1063)-1, 'From Order'!$A1063)), 1), H1062))"),"")</f>
        <v/>
      </c>
      <c r="I1063" s="2" t="str">
        <f>IFERROR(__xludf.DUMMYFUNCTION("IF('From Order'!$A1063=COLUMNS($A1063:I1082), LEFT(INDEX(FILTER(I$1:I1062, I$1:I1062&lt;&gt;""""),COUNTA(FILTER(I$1:I1062, I$1:I1062&lt;&gt;""""))), LEN(INDEX(FILTER(I$1:I1062, I$1:I1062&lt;&gt;""""),COUNTA(FILTER(I$1:I1062, I$1:I1062&lt;&gt;""""))))-1), IF('To Order'!$A1063=COL"&amp;"UMNS($A1063:I1082), I1062&amp;RIGHT(INDIRECT(ADDRESS(ROW(I1063)-1, 'From Order'!$A1063)), 1), I1062))"),"RCTMRWTDTDLS")</f>
        <v>RCTMRWTDTDLS</v>
      </c>
    </row>
    <row r="1064">
      <c r="A1064" s="2" t="str">
        <f>IFERROR(__xludf.DUMMYFUNCTION("IF('From Order'!$A1064=COLUMNS($A1064:A1083), LEFT(INDEX(FILTER(A$1:A1063, A$1:A1063&lt;&gt;""""),COUNTA(FILTER(A$1:A1063, A$1:A1063&lt;&gt;""""))), LEN(INDEX(FILTER(A$1:A1063, A$1:A1063&lt;&gt;""""),COUNTA(FILTER(A$1:A1063, A$1:A1063&lt;&gt;""""))))-1), IF('To Order'!$A1064=COL"&amp;"UMNS($A1064:A1083), A1063&amp;RIGHT(INDIRECT(ADDRESS(ROW(A1064)-1, 'From Order'!$A1064)), 1), A1063))"),"")</f>
        <v/>
      </c>
      <c r="B1064" s="2" t="str">
        <f>IFERROR(__xludf.DUMMYFUNCTION("IF('From Order'!$A1064=COLUMNS($A1064:B1083), LEFT(INDEX(FILTER(B$1:B1063, B$1:B1063&lt;&gt;""""),COUNTA(FILTER(B$1:B1063, B$1:B1063&lt;&gt;""""))), LEN(INDEX(FILTER(B$1:B1063, B$1:B1063&lt;&gt;""""),COUNTA(FILTER(B$1:B1063, B$1:B1063&lt;&gt;""""))))-1), IF('To Order'!$A1064=COL"&amp;"UMNS($A1064:B1083), B1063&amp;RIGHT(INDIRECT(ADDRESS(ROW(B1064)-1, 'From Order'!$A1064)), 1), B1063))"),"ZLPDSDJDBSBZHMFBTMGTS")</f>
        <v>ZLPDSDJDBSBZHMFBTMGTS</v>
      </c>
      <c r="C1064" s="2" t="str">
        <f>IFERROR(__xludf.DUMMYFUNCTION("IF('From Order'!$A1064=COLUMNS($A1064:C1083), LEFT(INDEX(FILTER(C$1:C1063, C$1:C1063&lt;&gt;""""),COUNTA(FILTER(C$1:C1063, C$1:C1063&lt;&gt;""""))), LEN(INDEX(FILTER(C$1:C1063, C$1:C1063&lt;&gt;""""),COUNTA(FILTER(C$1:C1063, C$1:C1063&lt;&gt;""""))))-1), IF('To Order'!$A1064=COL"&amp;"UMNS($A1064:C1083), C1063&amp;RIGHT(INDIRECT(ADDRESS(ROW(C1064)-1, 'From Order'!$A1064)), 1), C1063))"),"TRLRSGHWQVQJPPVJCVZRDC")</f>
        <v>TRLRSGHWQVQJPPVJCVZRDC</v>
      </c>
      <c r="D1064" s="2" t="str">
        <f>IFERROR(__xludf.DUMMYFUNCTION("IF('From Order'!$A1064=COLUMNS($A1064:D1083), LEFT(INDEX(FILTER(D$1:D1063, D$1:D1063&lt;&gt;""""),COUNTA(FILTER(D$1:D1063, D$1:D1063&lt;&gt;""""))), LEN(INDEX(FILTER(D$1:D1063, D$1:D1063&lt;&gt;""""),COUNTA(FILTER(D$1:D1063, D$1:D1063&lt;&gt;""""))))-1), IF('To Order'!$A1064=COL"&amp;"UMNS($A1064:D1083), D1063&amp;RIGHT(INDIRECT(ADDRESS(ROW(D1064)-1, 'From Order'!$A1064)), 1), D1063))"),"F")</f>
        <v>F</v>
      </c>
      <c r="E1064" s="2" t="str">
        <f>IFERROR(__xludf.DUMMYFUNCTION("IF('From Order'!$A1064=COLUMNS($A1064:E1083), LEFT(INDEX(FILTER(E$1:E1063, E$1:E1063&lt;&gt;""""),COUNTA(FILTER(E$1:E1063, E$1:E1063&lt;&gt;""""))), LEN(INDEX(FILTER(E$1:E1063, E$1:E1063&lt;&gt;""""),COUNTA(FILTER(E$1:E1063, E$1:E1063&lt;&gt;""""))))-1), IF('To Order'!$A1064=COL"&amp;"UMNS($A1064:E1083), E1063&amp;RIGHT(INDIRECT(ADDRESS(ROW(E1064)-1, 'From Order'!$A1064)), 1), E1063))"),"")</f>
        <v/>
      </c>
      <c r="F1064" s="2" t="str">
        <f>IFERROR(__xludf.DUMMYFUNCTION("IF('From Order'!$A1064=COLUMNS($A1064:F1083), LEFT(INDEX(FILTER(F$1:F1063, F$1:F1063&lt;&gt;""""),COUNTA(FILTER(F$1:F1063, F$1:F1063&lt;&gt;""""))), LEN(INDEX(FILTER(F$1:F1063, F$1:F1063&lt;&gt;""""),COUNTA(FILTER(F$1:F1063, F$1:F1063&lt;&gt;""""))))-1), IF('To Order'!$A1064=COL"&amp;"UMNS($A1064:F1083), F1063&amp;RIGHT(INDIRECT(ADDRESS(ROW(F1064)-1, 'From Order'!$A1064)), 1), F1063))"),"")</f>
        <v/>
      </c>
      <c r="G1064" s="2" t="str">
        <f>IFERROR(__xludf.DUMMYFUNCTION("IF('From Order'!$A1064=COLUMNS($A1064:G1083), LEFT(INDEX(FILTER(G$1:G1063, G$1:G1063&lt;&gt;""""),COUNTA(FILTER(G$1:G1063, G$1:G1063&lt;&gt;""""))), LEN(INDEX(FILTER(G$1:G1063, G$1:G1063&lt;&gt;""""),COUNTA(FILTER(G$1:G1063, G$1:G1063&lt;&gt;""""))))-1), IF('To Order'!$A1064=COL"&amp;"UMNS($A1064:G1083), G1063&amp;RIGHT(INDIRECT(ADDRESS(ROW(G1064)-1, 'From Order'!$A1064)), 1), G1063))"),"B")</f>
        <v>B</v>
      </c>
      <c r="H1064" s="2" t="str">
        <f>IFERROR(__xludf.DUMMYFUNCTION("IF('From Order'!$A1064=COLUMNS($A1064:H1083), LEFT(INDEX(FILTER(H$1:H1063, H$1:H1063&lt;&gt;""""),COUNTA(FILTER(H$1:H1063, H$1:H1063&lt;&gt;""""))), LEN(INDEX(FILTER(H$1:H1063, H$1:H1063&lt;&gt;""""),COUNTA(FILTER(H$1:H1063, H$1:H1063&lt;&gt;""""))))-1), IF('To Order'!$A1064=COL"&amp;"UMNS($A1064:H1083), H1063&amp;RIGHT(INDIRECT(ADDRESS(ROW(H1064)-1, 'From Order'!$A1064)), 1), H1063))"),"")</f>
        <v/>
      </c>
      <c r="I1064" s="2" t="str">
        <f>IFERROR(__xludf.DUMMYFUNCTION("IF('From Order'!$A1064=COLUMNS($A1064:I1083), LEFT(INDEX(FILTER(I$1:I1063, I$1:I1063&lt;&gt;""""),COUNTA(FILTER(I$1:I1063, I$1:I1063&lt;&gt;""""))), LEN(INDEX(FILTER(I$1:I1063, I$1:I1063&lt;&gt;""""),COUNTA(FILTER(I$1:I1063, I$1:I1063&lt;&gt;""""))))-1), IF('To Order'!$A1064=COL"&amp;"UMNS($A1064:I1083), I1063&amp;RIGHT(INDIRECT(ADDRESS(ROW(I1064)-1, 'From Order'!$A1064)), 1), I1063))"),"RCTMRWTDTDL")</f>
        <v>RCTMRWTDTDL</v>
      </c>
    </row>
    <row r="1065">
      <c r="A1065" s="2" t="str">
        <f>IFERROR(__xludf.DUMMYFUNCTION("IF('From Order'!$A1065=COLUMNS($A1065:A1084), LEFT(INDEX(FILTER(A$1:A1064, A$1:A1064&lt;&gt;""""),COUNTA(FILTER(A$1:A1064, A$1:A1064&lt;&gt;""""))), LEN(INDEX(FILTER(A$1:A1064, A$1:A1064&lt;&gt;""""),COUNTA(FILTER(A$1:A1064, A$1:A1064&lt;&gt;""""))))-1), IF('To Order'!$A1065=COL"&amp;"UMNS($A1065:A1084), A1064&amp;RIGHT(INDIRECT(ADDRESS(ROW(A1065)-1, 'From Order'!$A1065)), 1), A1064))"),"")</f>
        <v/>
      </c>
      <c r="B1065" s="2" t="str">
        <f>IFERROR(__xludf.DUMMYFUNCTION("IF('From Order'!$A1065=COLUMNS($A1065:B1084), LEFT(INDEX(FILTER(B$1:B1064, B$1:B1064&lt;&gt;""""),COUNTA(FILTER(B$1:B1064, B$1:B1064&lt;&gt;""""))), LEN(INDEX(FILTER(B$1:B1064, B$1:B1064&lt;&gt;""""),COUNTA(FILTER(B$1:B1064, B$1:B1064&lt;&gt;""""))))-1), IF('To Order'!$A1065=COL"&amp;"UMNS($A1065:B1084), B1064&amp;RIGHT(INDIRECT(ADDRESS(ROW(B1065)-1, 'From Order'!$A1065)), 1), B1064))"),"ZLPDSDJDBSBZHMFBTMGTSL")</f>
        <v>ZLPDSDJDBSBZHMFBTMGTSL</v>
      </c>
      <c r="C1065" s="2" t="str">
        <f>IFERROR(__xludf.DUMMYFUNCTION("IF('From Order'!$A1065=COLUMNS($A1065:C1084), LEFT(INDEX(FILTER(C$1:C1064, C$1:C1064&lt;&gt;""""),COUNTA(FILTER(C$1:C1064, C$1:C1064&lt;&gt;""""))), LEN(INDEX(FILTER(C$1:C1064, C$1:C1064&lt;&gt;""""),COUNTA(FILTER(C$1:C1064, C$1:C1064&lt;&gt;""""))))-1), IF('To Order'!$A1065=COL"&amp;"UMNS($A1065:C1084), C1064&amp;RIGHT(INDIRECT(ADDRESS(ROW(C1065)-1, 'From Order'!$A1065)), 1), C1064))"),"TRLRSGHWQVQJPPVJCVZRDC")</f>
        <v>TRLRSGHWQVQJPPVJCVZRDC</v>
      </c>
      <c r="D1065" s="2" t="str">
        <f>IFERROR(__xludf.DUMMYFUNCTION("IF('From Order'!$A1065=COLUMNS($A1065:D1084), LEFT(INDEX(FILTER(D$1:D1064, D$1:D1064&lt;&gt;""""),COUNTA(FILTER(D$1:D1064, D$1:D1064&lt;&gt;""""))), LEN(INDEX(FILTER(D$1:D1064, D$1:D1064&lt;&gt;""""),COUNTA(FILTER(D$1:D1064, D$1:D1064&lt;&gt;""""))))-1), IF('To Order'!$A1065=COL"&amp;"UMNS($A1065:D1084), D1064&amp;RIGHT(INDIRECT(ADDRESS(ROW(D1065)-1, 'From Order'!$A1065)), 1), D1064))"),"F")</f>
        <v>F</v>
      </c>
      <c r="E1065" s="2" t="str">
        <f>IFERROR(__xludf.DUMMYFUNCTION("IF('From Order'!$A1065=COLUMNS($A1065:E1084), LEFT(INDEX(FILTER(E$1:E1064, E$1:E1064&lt;&gt;""""),COUNTA(FILTER(E$1:E1064, E$1:E1064&lt;&gt;""""))), LEN(INDEX(FILTER(E$1:E1064, E$1:E1064&lt;&gt;""""),COUNTA(FILTER(E$1:E1064, E$1:E1064&lt;&gt;""""))))-1), IF('To Order'!$A1065=COL"&amp;"UMNS($A1065:E1084), E1064&amp;RIGHT(INDIRECT(ADDRESS(ROW(E1065)-1, 'From Order'!$A1065)), 1), E1064))"),"")</f>
        <v/>
      </c>
      <c r="F1065" s="2" t="str">
        <f>IFERROR(__xludf.DUMMYFUNCTION("IF('From Order'!$A1065=COLUMNS($A1065:F1084), LEFT(INDEX(FILTER(F$1:F1064, F$1:F1064&lt;&gt;""""),COUNTA(FILTER(F$1:F1064, F$1:F1064&lt;&gt;""""))), LEN(INDEX(FILTER(F$1:F1064, F$1:F1064&lt;&gt;""""),COUNTA(FILTER(F$1:F1064, F$1:F1064&lt;&gt;""""))))-1), IF('To Order'!$A1065=COL"&amp;"UMNS($A1065:F1084), F1064&amp;RIGHT(INDIRECT(ADDRESS(ROW(F1065)-1, 'From Order'!$A1065)), 1), F1064))"),"")</f>
        <v/>
      </c>
      <c r="G1065" s="2" t="str">
        <f>IFERROR(__xludf.DUMMYFUNCTION("IF('From Order'!$A1065=COLUMNS($A1065:G1084), LEFT(INDEX(FILTER(G$1:G1064, G$1:G1064&lt;&gt;""""),COUNTA(FILTER(G$1:G1064, G$1:G1064&lt;&gt;""""))), LEN(INDEX(FILTER(G$1:G1064, G$1:G1064&lt;&gt;""""),COUNTA(FILTER(G$1:G1064, G$1:G1064&lt;&gt;""""))))-1), IF('To Order'!$A1065=COL"&amp;"UMNS($A1065:G1084), G1064&amp;RIGHT(INDIRECT(ADDRESS(ROW(G1065)-1, 'From Order'!$A1065)), 1), G1064))"),"B")</f>
        <v>B</v>
      </c>
      <c r="H1065" s="2" t="str">
        <f>IFERROR(__xludf.DUMMYFUNCTION("IF('From Order'!$A1065=COLUMNS($A1065:H1084), LEFT(INDEX(FILTER(H$1:H1064, H$1:H1064&lt;&gt;""""),COUNTA(FILTER(H$1:H1064, H$1:H1064&lt;&gt;""""))), LEN(INDEX(FILTER(H$1:H1064, H$1:H1064&lt;&gt;""""),COUNTA(FILTER(H$1:H1064, H$1:H1064&lt;&gt;""""))))-1), IF('To Order'!$A1065=COL"&amp;"UMNS($A1065:H1084), H1064&amp;RIGHT(INDIRECT(ADDRESS(ROW(H1065)-1, 'From Order'!$A1065)), 1), H1064))"),"")</f>
        <v/>
      </c>
      <c r="I1065" s="2" t="str">
        <f>IFERROR(__xludf.DUMMYFUNCTION("IF('From Order'!$A1065=COLUMNS($A1065:I1084), LEFT(INDEX(FILTER(I$1:I1064, I$1:I1064&lt;&gt;""""),COUNTA(FILTER(I$1:I1064, I$1:I1064&lt;&gt;""""))), LEN(INDEX(FILTER(I$1:I1064, I$1:I1064&lt;&gt;""""),COUNTA(FILTER(I$1:I1064, I$1:I1064&lt;&gt;""""))))-1), IF('To Order'!$A1065=COL"&amp;"UMNS($A1065:I1084), I1064&amp;RIGHT(INDIRECT(ADDRESS(ROW(I1065)-1, 'From Order'!$A1065)), 1), I1064))"),"RCTMRWTDTD")</f>
        <v>RCTMRWTDTD</v>
      </c>
    </row>
    <row r="1066">
      <c r="A1066" s="2" t="str">
        <f>IFERROR(__xludf.DUMMYFUNCTION("IF('From Order'!$A1066=COLUMNS($A1066:A1085), LEFT(INDEX(FILTER(A$1:A1065, A$1:A1065&lt;&gt;""""),COUNTA(FILTER(A$1:A1065, A$1:A1065&lt;&gt;""""))), LEN(INDEX(FILTER(A$1:A1065, A$1:A1065&lt;&gt;""""),COUNTA(FILTER(A$1:A1065, A$1:A1065&lt;&gt;""""))))-1), IF('To Order'!$A1066=COL"&amp;"UMNS($A1066:A1085), A1065&amp;RIGHT(INDIRECT(ADDRESS(ROW(A1066)-1, 'From Order'!$A1066)), 1), A1065))"),"")</f>
        <v/>
      </c>
      <c r="B1066" s="2" t="str">
        <f>IFERROR(__xludf.DUMMYFUNCTION("IF('From Order'!$A1066=COLUMNS($A1066:B1085), LEFT(INDEX(FILTER(B$1:B1065, B$1:B1065&lt;&gt;""""),COUNTA(FILTER(B$1:B1065, B$1:B1065&lt;&gt;""""))), LEN(INDEX(FILTER(B$1:B1065, B$1:B1065&lt;&gt;""""),COUNTA(FILTER(B$1:B1065, B$1:B1065&lt;&gt;""""))))-1), IF('To Order'!$A1066=COL"&amp;"UMNS($A1066:B1085), B1065&amp;RIGHT(INDIRECT(ADDRESS(ROW(B1066)-1, 'From Order'!$A1066)), 1), B1065))"),"ZLPDSDJDBSBZHMFBTMGTSLD")</f>
        <v>ZLPDSDJDBSBZHMFBTMGTSLD</v>
      </c>
      <c r="C1066" s="2" t="str">
        <f>IFERROR(__xludf.DUMMYFUNCTION("IF('From Order'!$A1066=COLUMNS($A1066:C1085), LEFT(INDEX(FILTER(C$1:C1065, C$1:C1065&lt;&gt;""""),COUNTA(FILTER(C$1:C1065, C$1:C1065&lt;&gt;""""))), LEN(INDEX(FILTER(C$1:C1065, C$1:C1065&lt;&gt;""""),COUNTA(FILTER(C$1:C1065, C$1:C1065&lt;&gt;""""))))-1), IF('To Order'!$A1066=COL"&amp;"UMNS($A1066:C1085), C1065&amp;RIGHT(INDIRECT(ADDRESS(ROW(C1066)-1, 'From Order'!$A1066)), 1), C1065))"),"TRLRSGHWQVQJPPVJCVZRDC")</f>
        <v>TRLRSGHWQVQJPPVJCVZRDC</v>
      </c>
      <c r="D1066" s="2" t="str">
        <f>IFERROR(__xludf.DUMMYFUNCTION("IF('From Order'!$A1066=COLUMNS($A1066:D1085), LEFT(INDEX(FILTER(D$1:D1065, D$1:D1065&lt;&gt;""""),COUNTA(FILTER(D$1:D1065, D$1:D1065&lt;&gt;""""))), LEN(INDEX(FILTER(D$1:D1065, D$1:D1065&lt;&gt;""""),COUNTA(FILTER(D$1:D1065, D$1:D1065&lt;&gt;""""))))-1), IF('To Order'!$A1066=COL"&amp;"UMNS($A1066:D1085), D1065&amp;RIGHT(INDIRECT(ADDRESS(ROW(D1066)-1, 'From Order'!$A1066)), 1), D1065))"),"F")</f>
        <v>F</v>
      </c>
      <c r="E1066" s="2" t="str">
        <f>IFERROR(__xludf.DUMMYFUNCTION("IF('From Order'!$A1066=COLUMNS($A1066:E1085), LEFT(INDEX(FILTER(E$1:E1065, E$1:E1065&lt;&gt;""""),COUNTA(FILTER(E$1:E1065, E$1:E1065&lt;&gt;""""))), LEN(INDEX(FILTER(E$1:E1065, E$1:E1065&lt;&gt;""""),COUNTA(FILTER(E$1:E1065, E$1:E1065&lt;&gt;""""))))-1), IF('To Order'!$A1066=COL"&amp;"UMNS($A1066:E1085), E1065&amp;RIGHT(INDIRECT(ADDRESS(ROW(E1066)-1, 'From Order'!$A1066)), 1), E1065))"),"")</f>
        <v/>
      </c>
      <c r="F1066" s="2" t="str">
        <f>IFERROR(__xludf.DUMMYFUNCTION("IF('From Order'!$A1066=COLUMNS($A1066:F1085), LEFT(INDEX(FILTER(F$1:F1065, F$1:F1065&lt;&gt;""""),COUNTA(FILTER(F$1:F1065, F$1:F1065&lt;&gt;""""))), LEN(INDEX(FILTER(F$1:F1065, F$1:F1065&lt;&gt;""""),COUNTA(FILTER(F$1:F1065, F$1:F1065&lt;&gt;""""))))-1), IF('To Order'!$A1066=COL"&amp;"UMNS($A1066:F1085), F1065&amp;RIGHT(INDIRECT(ADDRESS(ROW(F1066)-1, 'From Order'!$A1066)), 1), F1065))"),"")</f>
        <v/>
      </c>
      <c r="G1066" s="2" t="str">
        <f>IFERROR(__xludf.DUMMYFUNCTION("IF('From Order'!$A1066=COLUMNS($A1066:G1085), LEFT(INDEX(FILTER(G$1:G1065, G$1:G1065&lt;&gt;""""),COUNTA(FILTER(G$1:G1065, G$1:G1065&lt;&gt;""""))), LEN(INDEX(FILTER(G$1:G1065, G$1:G1065&lt;&gt;""""),COUNTA(FILTER(G$1:G1065, G$1:G1065&lt;&gt;""""))))-1), IF('To Order'!$A1066=COL"&amp;"UMNS($A1066:G1085), G1065&amp;RIGHT(INDIRECT(ADDRESS(ROW(G1066)-1, 'From Order'!$A1066)), 1), G1065))"),"B")</f>
        <v>B</v>
      </c>
      <c r="H1066" s="2" t="str">
        <f>IFERROR(__xludf.DUMMYFUNCTION("IF('From Order'!$A1066=COLUMNS($A1066:H1085), LEFT(INDEX(FILTER(H$1:H1065, H$1:H1065&lt;&gt;""""),COUNTA(FILTER(H$1:H1065, H$1:H1065&lt;&gt;""""))), LEN(INDEX(FILTER(H$1:H1065, H$1:H1065&lt;&gt;""""),COUNTA(FILTER(H$1:H1065, H$1:H1065&lt;&gt;""""))))-1), IF('To Order'!$A1066=COL"&amp;"UMNS($A1066:H1085), H1065&amp;RIGHT(INDIRECT(ADDRESS(ROW(H1066)-1, 'From Order'!$A1066)), 1), H1065))"),"")</f>
        <v/>
      </c>
      <c r="I1066" s="2" t="str">
        <f>IFERROR(__xludf.DUMMYFUNCTION("IF('From Order'!$A1066=COLUMNS($A1066:I1085), LEFT(INDEX(FILTER(I$1:I1065, I$1:I1065&lt;&gt;""""),COUNTA(FILTER(I$1:I1065, I$1:I1065&lt;&gt;""""))), LEN(INDEX(FILTER(I$1:I1065, I$1:I1065&lt;&gt;""""),COUNTA(FILTER(I$1:I1065, I$1:I1065&lt;&gt;""""))))-1), IF('To Order'!$A1066=COL"&amp;"UMNS($A1066:I1085), I1065&amp;RIGHT(INDIRECT(ADDRESS(ROW(I1066)-1, 'From Order'!$A1066)), 1), I1065))"),"RCTMRWTDT")</f>
        <v>RCTMRWTDT</v>
      </c>
    </row>
    <row r="1067">
      <c r="A1067" s="2" t="str">
        <f>IFERROR(__xludf.DUMMYFUNCTION("IF('From Order'!$A1067=COLUMNS($A1067:A1086), LEFT(INDEX(FILTER(A$1:A1066, A$1:A1066&lt;&gt;""""),COUNTA(FILTER(A$1:A1066, A$1:A1066&lt;&gt;""""))), LEN(INDEX(FILTER(A$1:A1066, A$1:A1066&lt;&gt;""""),COUNTA(FILTER(A$1:A1066, A$1:A1066&lt;&gt;""""))))-1), IF('To Order'!$A1067=COL"&amp;"UMNS($A1067:A1086), A1066&amp;RIGHT(INDIRECT(ADDRESS(ROW(A1067)-1, 'From Order'!$A1067)), 1), A1066))"),"")</f>
        <v/>
      </c>
      <c r="B1067" s="2" t="str">
        <f>IFERROR(__xludf.DUMMYFUNCTION("IF('From Order'!$A1067=COLUMNS($A1067:B1086), LEFT(INDEX(FILTER(B$1:B1066, B$1:B1066&lt;&gt;""""),COUNTA(FILTER(B$1:B1066, B$1:B1066&lt;&gt;""""))), LEN(INDEX(FILTER(B$1:B1066, B$1:B1066&lt;&gt;""""),COUNTA(FILTER(B$1:B1066, B$1:B1066&lt;&gt;""""))))-1), IF('To Order'!$A1067=COL"&amp;"UMNS($A1067:B1086), B1066&amp;RIGHT(INDIRECT(ADDRESS(ROW(B1067)-1, 'From Order'!$A1067)), 1), B1066))"),"ZLPDSDJDBSBZHMFBTMGTSLDT")</f>
        <v>ZLPDSDJDBSBZHMFBTMGTSLDT</v>
      </c>
      <c r="C1067" s="2" t="str">
        <f>IFERROR(__xludf.DUMMYFUNCTION("IF('From Order'!$A1067=COLUMNS($A1067:C1086), LEFT(INDEX(FILTER(C$1:C1066, C$1:C1066&lt;&gt;""""),COUNTA(FILTER(C$1:C1066, C$1:C1066&lt;&gt;""""))), LEN(INDEX(FILTER(C$1:C1066, C$1:C1066&lt;&gt;""""),COUNTA(FILTER(C$1:C1066, C$1:C1066&lt;&gt;""""))))-1), IF('To Order'!$A1067=COL"&amp;"UMNS($A1067:C1086), C1066&amp;RIGHT(INDIRECT(ADDRESS(ROW(C1067)-1, 'From Order'!$A1067)), 1), C1066))"),"TRLRSGHWQVQJPPVJCVZRDC")</f>
        <v>TRLRSGHWQVQJPPVJCVZRDC</v>
      </c>
      <c r="D1067" s="2" t="str">
        <f>IFERROR(__xludf.DUMMYFUNCTION("IF('From Order'!$A1067=COLUMNS($A1067:D1086), LEFT(INDEX(FILTER(D$1:D1066, D$1:D1066&lt;&gt;""""),COUNTA(FILTER(D$1:D1066, D$1:D1066&lt;&gt;""""))), LEN(INDEX(FILTER(D$1:D1066, D$1:D1066&lt;&gt;""""),COUNTA(FILTER(D$1:D1066, D$1:D1066&lt;&gt;""""))))-1), IF('To Order'!$A1067=COL"&amp;"UMNS($A1067:D1086), D1066&amp;RIGHT(INDIRECT(ADDRESS(ROW(D1067)-1, 'From Order'!$A1067)), 1), D1066))"),"F")</f>
        <v>F</v>
      </c>
      <c r="E1067" s="2" t="str">
        <f>IFERROR(__xludf.DUMMYFUNCTION("IF('From Order'!$A1067=COLUMNS($A1067:E1086), LEFT(INDEX(FILTER(E$1:E1066, E$1:E1066&lt;&gt;""""),COUNTA(FILTER(E$1:E1066, E$1:E1066&lt;&gt;""""))), LEN(INDEX(FILTER(E$1:E1066, E$1:E1066&lt;&gt;""""),COUNTA(FILTER(E$1:E1066, E$1:E1066&lt;&gt;""""))))-1), IF('To Order'!$A1067=COL"&amp;"UMNS($A1067:E1086), E1066&amp;RIGHT(INDIRECT(ADDRESS(ROW(E1067)-1, 'From Order'!$A1067)), 1), E1066))"),"")</f>
        <v/>
      </c>
      <c r="F1067" s="2" t="str">
        <f>IFERROR(__xludf.DUMMYFUNCTION("IF('From Order'!$A1067=COLUMNS($A1067:F1086), LEFT(INDEX(FILTER(F$1:F1066, F$1:F1066&lt;&gt;""""),COUNTA(FILTER(F$1:F1066, F$1:F1066&lt;&gt;""""))), LEN(INDEX(FILTER(F$1:F1066, F$1:F1066&lt;&gt;""""),COUNTA(FILTER(F$1:F1066, F$1:F1066&lt;&gt;""""))))-1), IF('To Order'!$A1067=COL"&amp;"UMNS($A1067:F1086), F1066&amp;RIGHT(INDIRECT(ADDRESS(ROW(F1067)-1, 'From Order'!$A1067)), 1), F1066))"),"")</f>
        <v/>
      </c>
      <c r="G1067" s="2" t="str">
        <f>IFERROR(__xludf.DUMMYFUNCTION("IF('From Order'!$A1067=COLUMNS($A1067:G1086), LEFT(INDEX(FILTER(G$1:G1066, G$1:G1066&lt;&gt;""""),COUNTA(FILTER(G$1:G1066, G$1:G1066&lt;&gt;""""))), LEN(INDEX(FILTER(G$1:G1066, G$1:G1066&lt;&gt;""""),COUNTA(FILTER(G$1:G1066, G$1:G1066&lt;&gt;""""))))-1), IF('To Order'!$A1067=COL"&amp;"UMNS($A1067:G1086), G1066&amp;RIGHT(INDIRECT(ADDRESS(ROW(G1067)-1, 'From Order'!$A1067)), 1), G1066))"),"B")</f>
        <v>B</v>
      </c>
      <c r="H1067" s="2" t="str">
        <f>IFERROR(__xludf.DUMMYFUNCTION("IF('From Order'!$A1067=COLUMNS($A1067:H1086), LEFT(INDEX(FILTER(H$1:H1066, H$1:H1066&lt;&gt;""""),COUNTA(FILTER(H$1:H1066, H$1:H1066&lt;&gt;""""))), LEN(INDEX(FILTER(H$1:H1066, H$1:H1066&lt;&gt;""""),COUNTA(FILTER(H$1:H1066, H$1:H1066&lt;&gt;""""))))-1), IF('To Order'!$A1067=COL"&amp;"UMNS($A1067:H1086), H1066&amp;RIGHT(INDIRECT(ADDRESS(ROW(H1067)-1, 'From Order'!$A1067)), 1), H1066))"),"")</f>
        <v/>
      </c>
      <c r="I1067" s="2" t="str">
        <f>IFERROR(__xludf.DUMMYFUNCTION("IF('From Order'!$A1067=COLUMNS($A1067:I1086), LEFT(INDEX(FILTER(I$1:I1066, I$1:I1066&lt;&gt;""""),COUNTA(FILTER(I$1:I1066, I$1:I1066&lt;&gt;""""))), LEN(INDEX(FILTER(I$1:I1066, I$1:I1066&lt;&gt;""""),COUNTA(FILTER(I$1:I1066, I$1:I1066&lt;&gt;""""))))-1), IF('To Order'!$A1067=COL"&amp;"UMNS($A1067:I1086), I1066&amp;RIGHT(INDIRECT(ADDRESS(ROW(I1067)-1, 'From Order'!$A1067)), 1), I1066))"),"RCTMRWTD")</f>
        <v>RCTMRWTD</v>
      </c>
    </row>
    <row r="1068">
      <c r="A1068" s="2" t="str">
        <f>IFERROR(__xludf.DUMMYFUNCTION("IF('From Order'!$A1068=COLUMNS($A1068:A1087), LEFT(INDEX(FILTER(A$1:A1067, A$1:A1067&lt;&gt;""""),COUNTA(FILTER(A$1:A1067, A$1:A1067&lt;&gt;""""))), LEN(INDEX(FILTER(A$1:A1067, A$1:A1067&lt;&gt;""""),COUNTA(FILTER(A$1:A1067, A$1:A1067&lt;&gt;""""))))-1), IF('To Order'!$A1068=COL"&amp;"UMNS($A1068:A1087), A1067&amp;RIGHT(INDIRECT(ADDRESS(ROW(A1068)-1, 'From Order'!$A1068)), 1), A1067))"),"")</f>
        <v/>
      </c>
      <c r="B1068" s="2" t="str">
        <f>IFERROR(__xludf.DUMMYFUNCTION("IF('From Order'!$A1068=COLUMNS($A1068:B1087), LEFT(INDEX(FILTER(B$1:B1067, B$1:B1067&lt;&gt;""""),COUNTA(FILTER(B$1:B1067, B$1:B1067&lt;&gt;""""))), LEN(INDEX(FILTER(B$1:B1067, B$1:B1067&lt;&gt;""""),COUNTA(FILTER(B$1:B1067, B$1:B1067&lt;&gt;""""))))-1), IF('To Order'!$A1068=COL"&amp;"UMNS($A1068:B1087), B1067&amp;RIGHT(INDIRECT(ADDRESS(ROW(B1068)-1, 'From Order'!$A1068)), 1), B1067))"),"ZLPDSDJDBSBZHMFBTMGTSLDTD")</f>
        <v>ZLPDSDJDBSBZHMFBTMGTSLDTD</v>
      </c>
      <c r="C1068" s="2" t="str">
        <f>IFERROR(__xludf.DUMMYFUNCTION("IF('From Order'!$A1068=COLUMNS($A1068:C1087), LEFT(INDEX(FILTER(C$1:C1067, C$1:C1067&lt;&gt;""""),COUNTA(FILTER(C$1:C1067, C$1:C1067&lt;&gt;""""))), LEN(INDEX(FILTER(C$1:C1067, C$1:C1067&lt;&gt;""""),COUNTA(FILTER(C$1:C1067, C$1:C1067&lt;&gt;""""))))-1), IF('To Order'!$A1068=COL"&amp;"UMNS($A1068:C1087), C1067&amp;RIGHT(INDIRECT(ADDRESS(ROW(C1068)-1, 'From Order'!$A1068)), 1), C1067))"),"TRLRSGHWQVQJPPVJCVZRDC")</f>
        <v>TRLRSGHWQVQJPPVJCVZRDC</v>
      </c>
      <c r="D1068" s="2" t="str">
        <f>IFERROR(__xludf.DUMMYFUNCTION("IF('From Order'!$A1068=COLUMNS($A1068:D1087), LEFT(INDEX(FILTER(D$1:D1067, D$1:D1067&lt;&gt;""""),COUNTA(FILTER(D$1:D1067, D$1:D1067&lt;&gt;""""))), LEN(INDEX(FILTER(D$1:D1067, D$1:D1067&lt;&gt;""""),COUNTA(FILTER(D$1:D1067, D$1:D1067&lt;&gt;""""))))-1), IF('To Order'!$A1068=COL"&amp;"UMNS($A1068:D1087), D1067&amp;RIGHT(INDIRECT(ADDRESS(ROW(D1068)-1, 'From Order'!$A1068)), 1), D1067))"),"F")</f>
        <v>F</v>
      </c>
      <c r="E1068" s="2" t="str">
        <f>IFERROR(__xludf.DUMMYFUNCTION("IF('From Order'!$A1068=COLUMNS($A1068:E1087), LEFT(INDEX(FILTER(E$1:E1067, E$1:E1067&lt;&gt;""""),COUNTA(FILTER(E$1:E1067, E$1:E1067&lt;&gt;""""))), LEN(INDEX(FILTER(E$1:E1067, E$1:E1067&lt;&gt;""""),COUNTA(FILTER(E$1:E1067, E$1:E1067&lt;&gt;""""))))-1), IF('To Order'!$A1068=COL"&amp;"UMNS($A1068:E1087), E1067&amp;RIGHT(INDIRECT(ADDRESS(ROW(E1068)-1, 'From Order'!$A1068)), 1), E1067))"),"")</f>
        <v/>
      </c>
      <c r="F1068" s="2" t="str">
        <f>IFERROR(__xludf.DUMMYFUNCTION("IF('From Order'!$A1068=COLUMNS($A1068:F1087), LEFT(INDEX(FILTER(F$1:F1067, F$1:F1067&lt;&gt;""""),COUNTA(FILTER(F$1:F1067, F$1:F1067&lt;&gt;""""))), LEN(INDEX(FILTER(F$1:F1067, F$1:F1067&lt;&gt;""""),COUNTA(FILTER(F$1:F1067, F$1:F1067&lt;&gt;""""))))-1), IF('To Order'!$A1068=COL"&amp;"UMNS($A1068:F1087), F1067&amp;RIGHT(INDIRECT(ADDRESS(ROW(F1068)-1, 'From Order'!$A1068)), 1), F1067))"),"")</f>
        <v/>
      </c>
      <c r="G1068" s="2" t="str">
        <f>IFERROR(__xludf.DUMMYFUNCTION("IF('From Order'!$A1068=COLUMNS($A1068:G1087), LEFT(INDEX(FILTER(G$1:G1067, G$1:G1067&lt;&gt;""""),COUNTA(FILTER(G$1:G1067, G$1:G1067&lt;&gt;""""))), LEN(INDEX(FILTER(G$1:G1067, G$1:G1067&lt;&gt;""""),COUNTA(FILTER(G$1:G1067, G$1:G1067&lt;&gt;""""))))-1), IF('To Order'!$A1068=COL"&amp;"UMNS($A1068:G1087), G1067&amp;RIGHT(INDIRECT(ADDRESS(ROW(G1068)-1, 'From Order'!$A1068)), 1), G1067))"),"B")</f>
        <v>B</v>
      </c>
      <c r="H1068" s="2" t="str">
        <f>IFERROR(__xludf.DUMMYFUNCTION("IF('From Order'!$A1068=COLUMNS($A1068:H1087), LEFT(INDEX(FILTER(H$1:H1067, H$1:H1067&lt;&gt;""""),COUNTA(FILTER(H$1:H1067, H$1:H1067&lt;&gt;""""))), LEN(INDEX(FILTER(H$1:H1067, H$1:H1067&lt;&gt;""""),COUNTA(FILTER(H$1:H1067, H$1:H1067&lt;&gt;""""))))-1), IF('To Order'!$A1068=COL"&amp;"UMNS($A1068:H1087), H1067&amp;RIGHT(INDIRECT(ADDRESS(ROW(H1068)-1, 'From Order'!$A1068)), 1), H1067))"),"")</f>
        <v/>
      </c>
      <c r="I1068" s="2" t="str">
        <f>IFERROR(__xludf.DUMMYFUNCTION("IF('From Order'!$A1068=COLUMNS($A1068:I1087), LEFT(INDEX(FILTER(I$1:I1067, I$1:I1067&lt;&gt;""""),COUNTA(FILTER(I$1:I1067, I$1:I1067&lt;&gt;""""))), LEN(INDEX(FILTER(I$1:I1067, I$1:I1067&lt;&gt;""""),COUNTA(FILTER(I$1:I1067, I$1:I1067&lt;&gt;""""))))-1), IF('To Order'!$A1068=COL"&amp;"UMNS($A1068:I1087), I1067&amp;RIGHT(INDIRECT(ADDRESS(ROW(I1068)-1, 'From Order'!$A1068)), 1), I1067))"),"RCTMRWT")</f>
        <v>RCTMRWT</v>
      </c>
    </row>
    <row r="1069">
      <c r="A1069" s="2" t="str">
        <f>IFERROR(__xludf.DUMMYFUNCTION("IF('From Order'!$A1069=COLUMNS($A1069:A1088), LEFT(INDEX(FILTER(A$1:A1068, A$1:A1068&lt;&gt;""""),COUNTA(FILTER(A$1:A1068, A$1:A1068&lt;&gt;""""))), LEN(INDEX(FILTER(A$1:A1068, A$1:A1068&lt;&gt;""""),COUNTA(FILTER(A$1:A1068, A$1:A1068&lt;&gt;""""))))-1), IF('To Order'!$A1069=COL"&amp;"UMNS($A1069:A1088), A1068&amp;RIGHT(INDIRECT(ADDRESS(ROW(A1069)-1, 'From Order'!$A1069)), 1), A1068))"),"")</f>
        <v/>
      </c>
      <c r="B1069" s="2" t="str">
        <f>IFERROR(__xludf.DUMMYFUNCTION("IF('From Order'!$A1069=COLUMNS($A1069:B1088), LEFT(INDEX(FILTER(B$1:B1068, B$1:B1068&lt;&gt;""""),COUNTA(FILTER(B$1:B1068, B$1:B1068&lt;&gt;""""))), LEN(INDEX(FILTER(B$1:B1068, B$1:B1068&lt;&gt;""""),COUNTA(FILTER(B$1:B1068, B$1:B1068&lt;&gt;""""))))-1), IF('To Order'!$A1069=COL"&amp;"UMNS($A1069:B1088), B1068&amp;RIGHT(INDIRECT(ADDRESS(ROW(B1069)-1, 'From Order'!$A1069)), 1), B1068))"),"ZLPDSDJDBSBZHMFBTMGTSLDTDT")</f>
        <v>ZLPDSDJDBSBZHMFBTMGTSLDTDT</v>
      </c>
      <c r="C1069" s="2" t="str">
        <f>IFERROR(__xludf.DUMMYFUNCTION("IF('From Order'!$A1069=COLUMNS($A1069:C1088), LEFT(INDEX(FILTER(C$1:C1068, C$1:C1068&lt;&gt;""""),COUNTA(FILTER(C$1:C1068, C$1:C1068&lt;&gt;""""))), LEN(INDEX(FILTER(C$1:C1068, C$1:C1068&lt;&gt;""""),COUNTA(FILTER(C$1:C1068, C$1:C1068&lt;&gt;""""))))-1), IF('To Order'!$A1069=COL"&amp;"UMNS($A1069:C1088), C1068&amp;RIGHT(INDIRECT(ADDRESS(ROW(C1069)-1, 'From Order'!$A1069)), 1), C1068))"),"TRLRSGHWQVQJPPVJCVZRDC")</f>
        <v>TRLRSGHWQVQJPPVJCVZRDC</v>
      </c>
      <c r="D1069" s="2" t="str">
        <f>IFERROR(__xludf.DUMMYFUNCTION("IF('From Order'!$A1069=COLUMNS($A1069:D1088), LEFT(INDEX(FILTER(D$1:D1068, D$1:D1068&lt;&gt;""""),COUNTA(FILTER(D$1:D1068, D$1:D1068&lt;&gt;""""))), LEN(INDEX(FILTER(D$1:D1068, D$1:D1068&lt;&gt;""""),COUNTA(FILTER(D$1:D1068, D$1:D1068&lt;&gt;""""))))-1), IF('To Order'!$A1069=COL"&amp;"UMNS($A1069:D1088), D1068&amp;RIGHT(INDIRECT(ADDRESS(ROW(D1069)-1, 'From Order'!$A1069)), 1), D1068))"),"F")</f>
        <v>F</v>
      </c>
      <c r="E1069" s="2" t="str">
        <f>IFERROR(__xludf.DUMMYFUNCTION("IF('From Order'!$A1069=COLUMNS($A1069:E1088), LEFT(INDEX(FILTER(E$1:E1068, E$1:E1068&lt;&gt;""""),COUNTA(FILTER(E$1:E1068, E$1:E1068&lt;&gt;""""))), LEN(INDEX(FILTER(E$1:E1068, E$1:E1068&lt;&gt;""""),COUNTA(FILTER(E$1:E1068, E$1:E1068&lt;&gt;""""))))-1), IF('To Order'!$A1069=COL"&amp;"UMNS($A1069:E1088), E1068&amp;RIGHT(INDIRECT(ADDRESS(ROW(E1069)-1, 'From Order'!$A1069)), 1), E1068))"),"")</f>
        <v/>
      </c>
      <c r="F1069" s="2" t="str">
        <f>IFERROR(__xludf.DUMMYFUNCTION("IF('From Order'!$A1069=COLUMNS($A1069:F1088), LEFT(INDEX(FILTER(F$1:F1068, F$1:F1068&lt;&gt;""""),COUNTA(FILTER(F$1:F1068, F$1:F1068&lt;&gt;""""))), LEN(INDEX(FILTER(F$1:F1068, F$1:F1068&lt;&gt;""""),COUNTA(FILTER(F$1:F1068, F$1:F1068&lt;&gt;""""))))-1), IF('To Order'!$A1069=COL"&amp;"UMNS($A1069:F1088), F1068&amp;RIGHT(INDIRECT(ADDRESS(ROW(F1069)-1, 'From Order'!$A1069)), 1), F1068))"),"")</f>
        <v/>
      </c>
      <c r="G1069" s="2" t="str">
        <f>IFERROR(__xludf.DUMMYFUNCTION("IF('From Order'!$A1069=COLUMNS($A1069:G1088), LEFT(INDEX(FILTER(G$1:G1068, G$1:G1068&lt;&gt;""""),COUNTA(FILTER(G$1:G1068, G$1:G1068&lt;&gt;""""))), LEN(INDEX(FILTER(G$1:G1068, G$1:G1068&lt;&gt;""""),COUNTA(FILTER(G$1:G1068, G$1:G1068&lt;&gt;""""))))-1), IF('To Order'!$A1069=COL"&amp;"UMNS($A1069:G1088), G1068&amp;RIGHT(INDIRECT(ADDRESS(ROW(G1069)-1, 'From Order'!$A1069)), 1), G1068))"),"B")</f>
        <v>B</v>
      </c>
      <c r="H1069" s="2" t="str">
        <f>IFERROR(__xludf.DUMMYFUNCTION("IF('From Order'!$A1069=COLUMNS($A1069:H1088), LEFT(INDEX(FILTER(H$1:H1068, H$1:H1068&lt;&gt;""""),COUNTA(FILTER(H$1:H1068, H$1:H1068&lt;&gt;""""))), LEN(INDEX(FILTER(H$1:H1068, H$1:H1068&lt;&gt;""""),COUNTA(FILTER(H$1:H1068, H$1:H1068&lt;&gt;""""))))-1), IF('To Order'!$A1069=COL"&amp;"UMNS($A1069:H1088), H1068&amp;RIGHT(INDIRECT(ADDRESS(ROW(H1069)-1, 'From Order'!$A1069)), 1), H1068))"),"")</f>
        <v/>
      </c>
      <c r="I1069" s="2" t="str">
        <f>IFERROR(__xludf.DUMMYFUNCTION("IF('From Order'!$A1069=COLUMNS($A1069:I1088), LEFT(INDEX(FILTER(I$1:I1068, I$1:I1068&lt;&gt;""""),COUNTA(FILTER(I$1:I1068, I$1:I1068&lt;&gt;""""))), LEN(INDEX(FILTER(I$1:I1068, I$1:I1068&lt;&gt;""""),COUNTA(FILTER(I$1:I1068, I$1:I1068&lt;&gt;""""))))-1), IF('To Order'!$A1069=COL"&amp;"UMNS($A1069:I1088), I1068&amp;RIGHT(INDIRECT(ADDRESS(ROW(I1069)-1, 'From Order'!$A1069)), 1), I1068))"),"RCTMRW")</f>
        <v>RCTMRW</v>
      </c>
    </row>
    <row r="1070">
      <c r="A1070" s="2" t="str">
        <f>IFERROR(__xludf.DUMMYFUNCTION("IF('From Order'!$A1070=COLUMNS($A1070:A1089), LEFT(INDEX(FILTER(A$1:A1069, A$1:A1069&lt;&gt;""""),COUNTA(FILTER(A$1:A1069, A$1:A1069&lt;&gt;""""))), LEN(INDEX(FILTER(A$1:A1069, A$1:A1069&lt;&gt;""""),COUNTA(FILTER(A$1:A1069, A$1:A1069&lt;&gt;""""))))-1), IF('To Order'!$A1070=COL"&amp;"UMNS($A1070:A1089), A1069&amp;RIGHT(INDIRECT(ADDRESS(ROW(A1070)-1, 'From Order'!$A1070)), 1), A1069))"),"")</f>
        <v/>
      </c>
      <c r="B1070" s="2" t="str">
        <f>IFERROR(__xludf.DUMMYFUNCTION("IF('From Order'!$A1070=COLUMNS($A1070:B1089), LEFT(INDEX(FILTER(B$1:B1069, B$1:B1069&lt;&gt;""""),COUNTA(FILTER(B$1:B1069, B$1:B1069&lt;&gt;""""))), LEN(INDEX(FILTER(B$1:B1069, B$1:B1069&lt;&gt;""""),COUNTA(FILTER(B$1:B1069, B$1:B1069&lt;&gt;""""))))-1), IF('To Order'!$A1070=COL"&amp;"UMNS($A1070:B1089), B1069&amp;RIGHT(INDIRECT(ADDRESS(ROW(B1070)-1, 'From Order'!$A1070)), 1), B1069))"),"ZLPDSDJDBSBZHMFBTMGTSLDTDTW")</f>
        <v>ZLPDSDJDBSBZHMFBTMGTSLDTDTW</v>
      </c>
      <c r="C1070" s="2" t="str">
        <f>IFERROR(__xludf.DUMMYFUNCTION("IF('From Order'!$A1070=COLUMNS($A1070:C1089), LEFT(INDEX(FILTER(C$1:C1069, C$1:C1069&lt;&gt;""""),COUNTA(FILTER(C$1:C1069, C$1:C1069&lt;&gt;""""))), LEN(INDEX(FILTER(C$1:C1069, C$1:C1069&lt;&gt;""""),COUNTA(FILTER(C$1:C1069, C$1:C1069&lt;&gt;""""))))-1), IF('To Order'!$A1070=COL"&amp;"UMNS($A1070:C1089), C1069&amp;RIGHT(INDIRECT(ADDRESS(ROW(C1070)-1, 'From Order'!$A1070)), 1), C1069))"),"TRLRSGHWQVQJPPVJCVZRDC")</f>
        <v>TRLRSGHWQVQJPPVJCVZRDC</v>
      </c>
      <c r="D1070" s="2" t="str">
        <f>IFERROR(__xludf.DUMMYFUNCTION("IF('From Order'!$A1070=COLUMNS($A1070:D1089), LEFT(INDEX(FILTER(D$1:D1069, D$1:D1069&lt;&gt;""""),COUNTA(FILTER(D$1:D1069, D$1:D1069&lt;&gt;""""))), LEN(INDEX(FILTER(D$1:D1069, D$1:D1069&lt;&gt;""""),COUNTA(FILTER(D$1:D1069, D$1:D1069&lt;&gt;""""))))-1), IF('To Order'!$A1070=COL"&amp;"UMNS($A1070:D1089), D1069&amp;RIGHT(INDIRECT(ADDRESS(ROW(D1070)-1, 'From Order'!$A1070)), 1), D1069))"),"F")</f>
        <v>F</v>
      </c>
      <c r="E1070" s="2" t="str">
        <f>IFERROR(__xludf.DUMMYFUNCTION("IF('From Order'!$A1070=COLUMNS($A1070:E1089), LEFT(INDEX(FILTER(E$1:E1069, E$1:E1069&lt;&gt;""""),COUNTA(FILTER(E$1:E1069, E$1:E1069&lt;&gt;""""))), LEN(INDEX(FILTER(E$1:E1069, E$1:E1069&lt;&gt;""""),COUNTA(FILTER(E$1:E1069, E$1:E1069&lt;&gt;""""))))-1), IF('To Order'!$A1070=COL"&amp;"UMNS($A1070:E1089), E1069&amp;RIGHT(INDIRECT(ADDRESS(ROW(E1070)-1, 'From Order'!$A1070)), 1), E1069))"),"")</f>
        <v/>
      </c>
      <c r="F1070" s="2" t="str">
        <f>IFERROR(__xludf.DUMMYFUNCTION("IF('From Order'!$A1070=COLUMNS($A1070:F1089), LEFT(INDEX(FILTER(F$1:F1069, F$1:F1069&lt;&gt;""""),COUNTA(FILTER(F$1:F1069, F$1:F1069&lt;&gt;""""))), LEN(INDEX(FILTER(F$1:F1069, F$1:F1069&lt;&gt;""""),COUNTA(FILTER(F$1:F1069, F$1:F1069&lt;&gt;""""))))-1), IF('To Order'!$A1070=COL"&amp;"UMNS($A1070:F1089), F1069&amp;RIGHT(INDIRECT(ADDRESS(ROW(F1070)-1, 'From Order'!$A1070)), 1), F1069))"),"")</f>
        <v/>
      </c>
      <c r="G1070" s="2" t="str">
        <f>IFERROR(__xludf.DUMMYFUNCTION("IF('From Order'!$A1070=COLUMNS($A1070:G1089), LEFT(INDEX(FILTER(G$1:G1069, G$1:G1069&lt;&gt;""""),COUNTA(FILTER(G$1:G1069, G$1:G1069&lt;&gt;""""))), LEN(INDEX(FILTER(G$1:G1069, G$1:G1069&lt;&gt;""""),COUNTA(FILTER(G$1:G1069, G$1:G1069&lt;&gt;""""))))-1), IF('To Order'!$A1070=COL"&amp;"UMNS($A1070:G1089), G1069&amp;RIGHT(INDIRECT(ADDRESS(ROW(G1070)-1, 'From Order'!$A1070)), 1), G1069))"),"B")</f>
        <v>B</v>
      </c>
      <c r="H1070" s="2" t="str">
        <f>IFERROR(__xludf.DUMMYFUNCTION("IF('From Order'!$A1070=COLUMNS($A1070:H1089), LEFT(INDEX(FILTER(H$1:H1069, H$1:H1069&lt;&gt;""""),COUNTA(FILTER(H$1:H1069, H$1:H1069&lt;&gt;""""))), LEN(INDEX(FILTER(H$1:H1069, H$1:H1069&lt;&gt;""""),COUNTA(FILTER(H$1:H1069, H$1:H1069&lt;&gt;""""))))-1), IF('To Order'!$A1070=COL"&amp;"UMNS($A1070:H1089), H1069&amp;RIGHT(INDIRECT(ADDRESS(ROW(H1070)-1, 'From Order'!$A1070)), 1), H1069))"),"")</f>
        <v/>
      </c>
      <c r="I1070" s="2" t="str">
        <f>IFERROR(__xludf.DUMMYFUNCTION("IF('From Order'!$A1070=COLUMNS($A1070:I1089), LEFT(INDEX(FILTER(I$1:I1069, I$1:I1069&lt;&gt;""""),COUNTA(FILTER(I$1:I1069, I$1:I1069&lt;&gt;""""))), LEN(INDEX(FILTER(I$1:I1069, I$1:I1069&lt;&gt;""""),COUNTA(FILTER(I$1:I1069, I$1:I1069&lt;&gt;""""))))-1), IF('To Order'!$A1070=COL"&amp;"UMNS($A1070:I1089), I1069&amp;RIGHT(INDIRECT(ADDRESS(ROW(I1070)-1, 'From Order'!$A1070)), 1), I1069))"),"RCTMR")</f>
        <v>RCTMR</v>
      </c>
    </row>
    <row r="1071">
      <c r="A1071" s="2" t="str">
        <f>IFERROR(__xludf.DUMMYFUNCTION("IF('From Order'!$A1071=COLUMNS($A1071:A1090), LEFT(INDEX(FILTER(A$1:A1070, A$1:A1070&lt;&gt;""""),COUNTA(FILTER(A$1:A1070, A$1:A1070&lt;&gt;""""))), LEN(INDEX(FILTER(A$1:A1070, A$1:A1070&lt;&gt;""""),COUNTA(FILTER(A$1:A1070, A$1:A1070&lt;&gt;""""))))-1), IF('To Order'!$A1071=COL"&amp;"UMNS($A1071:A1090), A1070&amp;RIGHT(INDIRECT(ADDRESS(ROW(A1071)-1, 'From Order'!$A1071)), 1), A1070))"),"")</f>
        <v/>
      </c>
      <c r="B1071" s="2" t="str">
        <f>IFERROR(__xludf.DUMMYFUNCTION("IF('From Order'!$A1071=COLUMNS($A1071:B1090), LEFT(INDEX(FILTER(B$1:B1070, B$1:B1070&lt;&gt;""""),COUNTA(FILTER(B$1:B1070, B$1:B1070&lt;&gt;""""))), LEN(INDEX(FILTER(B$1:B1070, B$1:B1070&lt;&gt;""""),COUNTA(FILTER(B$1:B1070, B$1:B1070&lt;&gt;""""))))-1), IF('To Order'!$A1071=COL"&amp;"UMNS($A1071:B1090), B1070&amp;RIGHT(INDIRECT(ADDRESS(ROW(B1071)-1, 'From Order'!$A1071)), 1), B1070))"),"ZLPDSDJDBSBZHMFBTMGTSLDTDTWR")</f>
        <v>ZLPDSDJDBSBZHMFBTMGTSLDTDTWR</v>
      </c>
      <c r="C1071" s="2" t="str">
        <f>IFERROR(__xludf.DUMMYFUNCTION("IF('From Order'!$A1071=COLUMNS($A1071:C1090), LEFT(INDEX(FILTER(C$1:C1070, C$1:C1070&lt;&gt;""""),COUNTA(FILTER(C$1:C1070, C$1:C1070&lt;&gt;""""))), LEN(INDEX(FILTER(C$1:C1070, C$1:C1070&lt;&gt;""""),COUNTA(FILTER(C$1:C1070, C$1:C1070&lt;&gt;""""))))-1), IF('To Order'!$A1071=COL"&amp;"UMNS($A1071:C1090), C1070&amp;RIGHT(INDIRECT(ADDRESS(ROW(C1071)-1, 'From Order'!$A1071)), 1), C1070))"),"TRLRSGHWQVQJPPVJCVZRDC")</f>
        <v>TRLRSGHWQVQJPPVJCVZRDC</v>
      </c>
      <c r="D1071" s="2" t="str">
        <f>IFERROR(__xludf.DUMMYFUNCTION("IF('From Order'!$A1071=COLUMNS($A1071:D1090), LEFT(INDEX(FILTER(D$1:D1070, D$1:D1070&lt;&gt;""""),COUNTA(FILTER(D$1:D1070, D$1:D1070&lt;&gt;""""))), LEN(INDEX(FILTER(D$1:D1070, D$1:D1070&lt;&gt;""""),COUNTA(FILTER(D$1:D1070, D$1:D1070&lt;&gt;""""))))-1), IF('To Order'!$A1071=COL"&amp;"UMNS($A1071:D1090), D1070&amp;RIGHT(INDIRECT(ADDRESS(ROW(D1071)-1, 'From Order'!$A1071)), 1), D1070))"),"F")</f>
        <v>F</v>
      </c>
      <c r="E1071" s="2" t="str">
        <f>IFERROR(__xludf.DUMMYFUNCTION("IF('From Order'!$A1071=COLUMNS($A1071:E1090), LEFT(INDEX(FILTER(E$1:E1070, E$1:E1070&lt;&gt;""""),COUNTA(FILTER(E$1:E1070, E$1:E1070&lt;&gt;""""))), LEN(INDEX(FILTER(E$1:E1070, E$1:E1070&lt;&gt;""""),COUNTA(FILTER(E$1:E1070, E$1:E1070&lt;&gt;""""))))-1), IF('To Order'!$A1071=COL"&amp;"UMNS($A1071:E1090), E1070&amp;RIGHT(INDIRECT(ADDRESS(ROW(E1071)-1, 'From Order'!$A1071)), 1), E1070))"),"")</f>
        <v/>
      </c>
      <c r="F1071" s="2" t="str">
        <f>IFERROR(__xludf.DUMMYFUNCTION("IF('From Order'!$A1071=COLUMNS($A1071:F1090), LEFT(INDEX(FILTER(F$1:F1070, F$1:F1070&lt;&gt;""""),COUNTA(FILTER(F$1:F1070, F$1:F1070&lt;&gt;""""))), LEN(INDEX(FILTER(F$1:F1070, F$1:F1070&lt;&gt;""""),COUNTA(FILTER(F$1:F1070, F$1:F1070&lt;&gt;""""))))-1), IF('To Order'!$A1071=COL"&amp;"UMNS($A1071:F1090), F1070&amp;RIGHT(INDIRECT(ADDRESS(ROW(F1071)-1, 'From Order'!$A1071)), 1), F1070))"),"")</f>
        <v/>
      </c>
      <c r="G1071" s="2" t="str">
        <f>IFERROR(__xludf.DUMMYFUNCTION("IF('From Order'!$A1071=COLUMNS($A1071:G1090), LEFT(INDEX(FILTER(G$1:G1070, G$1:G1070&lt;&gt;""""),COUNTA(FILTER(G$1:G1070, G$1:G1070&lt;&gt;""""))), LEN(INDEX(FILTER(G$1:G1070, G$1:G1070&lt;&gt;""""),COUNTA(FILTER(G$1:G1070, G$1:G1070&lt;&gt;""""))))-1), IF('To Order'!$A1071=COL"&amp;"UMNS($A1071:G1090), G1070&amp;RIGHT(INDIRECT(ADDRESS(ROW(G1071)-1, 'From Order'!$A1071)), 1), G1070))"),"B")</f>
        <v>B</v>
      </c>
      <c r="H1071" s="2" t="str">
        <f>IFERROR(__xludf.DUMMYFUNCTION("IF('From Order'!$A1071=COLUMNS($A1071:H1090), LEFT(INDEX(FILTER(H$1:H1070, H$1:H1070&lt;&gt;""""),COUNTA(FILTER(H$1:H1070, H$1:H1070&lt;&gt;""""))), LEN(INDEX(FILTER(H$1:H1070, H$1:H1070&lt;&gt;""""),COUNTA(FILTER(H$1:H1070, H$1:H1070&lt;&gt;""""))))-1), IF('To Order'!$A1071=COL"&amp;"UMNS($A1071:H1090), H1070&amp;RIGHT(INDIRECT(ADDRESS(ROW(H1071)-1, 'From Order'!$A1071)), 1), H1070))"),"")</f>
        <v/>
      </c>
      <c r="I1071" s="2" t="str">
        <f>IFERROR(__xludf.DUMMYFUNCTION("IF('From Order'!$A1071=COLUMNS($A1071:I1090), LEFT(INDEX(FILTER(I$1:I1070, I$1:I1070&lt;&gt;""""),COUNTA(FILTER(I$1:I1070, I$1:I1070&lt;&gt;""""))), LEN(INDEX(FILTER(I$1:I1070, I$1:I1070&lt;&gt;""""),COUNTA(FILTER(I$1:I1070, I$1:I1070&lt;&gt;""""))))-1), IF('To Order'!$A1071=COL"&amp;"UMNS($A1071:I1090), I1070&amp;RIGHT(INDIRECT(ADDRESS(ROW(I1071)-1, 'From Order'!$A1071)), 1), I1070))"),"RCTM")</f>
        <v>RCTM</v>
      </c>
    </row>
    <row r="1072">
      <c r="A1072" s="2" t="str">
        <f>IFERROR(__xludf.DUMMYFUNCTION("IF('From Order'!$A1072=COLUMNS($A1072:A1091), LEFT(INDEX(FILTER(A$1:A1071, A$1:A1071&lt;&gt;""""),COUNTA(FILTER(A$1:A1071, A$1:A1071&lt;&gt;""""))), LEN(INDEX(FILTER(A$1:A1071, A$1:A1071&lt;&gt;""""),COUNTA(FILTER(A$1:A1071, A$1:A1071&lt;&gt;""""))))-1), IF('To Order'!$A1072=COL"&amp;"UMNS($A1072:A1091), A1071&amp;RIGHT(INDIRECT(ADDRESS(ROW(A1072)-1, 'From Order'!$A1072)), 1), A1071))"),"")</f>
        <v/>
      </c>
      <c r="B1072" s="2" t="str">
        <f>IFERROR(__xludf.DUMMYFUNCTION("IF('From Order'!$A1072=COLUMNS($A1072:B1091), LEFT(INDEX(FILTER(B$1:B1071, B$1:B1071&lt;&gt;""""),COUNTA(FILTER(B$1:B1071, B$1:B1071&lt;&gt;""""))), LEN(INDEX(FILTER(B$1:B1071, B$1:B1071&lt;&gt;""""),COUNTA(FILTER(B$1:B1071, B$1:B1071&lt;&gt;""""))))-1), IF('To Order'!$A1072=COL"&amp;"UMNS($A1072:B1091), B1071&amp;RIGHT(INDIRECT(ADDRESS(ROW(B1072)-1, 'From Order'!$A1072)), 1), B1071))"),"ZLPDSDJDBSBZHMFBTMGTSLDTDTWRM")</f>
        <v>ZLPDSDJDBSBZHMFBTMGTSLDTDTWRM</v>
      </c>
      <c r="C1072" s="2" t="str">
        <f>IFERROR(__xludf.DUMMYFUNCTION("IF('From Order'!$A1072=COLUMNS($A1072:C1091), LEFT(INDEX(FILTER(C$1:C1071, C$1:C1071&lt;&gt;""""),COUNTA(FILTER(C$1:C1071, C$1:C1071&lt;&gt;""""))), LEN(INDEX(FILTER(C$1:C1071, C$1:C1071&lt;&gt;""""),COUNTA(FILTER(C$1:C1071, C$1:C1071&lt;&gt;""""))))-1), IF('To Order'!$A1072=COL"&amp;"UMNS($A1072:C1091), C1071&amp;RIGHT(INDIRECT(ADDRESS(ROW(C1072)-1, 'From Order'!$A1072)), 1), C1071))"),"TRLRSGHWQVQJPPVJCVZRDC")</f>
        <v>TRLRSGHWQVQJPPVJCVZRDC</v>
      </c>
      <c r="D1072" s="2" t="str">
        <f>IFERROR(__xludf.DUMMYFUNCTION("IF('From Order'!$A1072=COLUMNS($A1072:D1091), LEFT(INDEX(FILTER(D$1:D1071, D$1:D1071&lt;&gt;""""),COUNTA(FILTER(D$1:D1071, D$1:D1071&lt;&gt;""""))), LEN(INDEX(FILTER(D$1:D1071, D$1:D1071&lt;&gt;""""),COUNTA(FILTER(D$1:D1071, D$1:D1071&lt;&gt;""""))))-1), IF('To Order'!$A1072=COL"&amp;"UMNS($A1072:D1091), D1071&amp;RIGHT(INDIRECT(ADDRESS(ROW(D1072)-1, 'From Order'!$A1072)), 1), D1071))"),"F")</f>
        <v>F</v>
      </c>
      <c r="E1072" s="2" t="str">
        <f>IFERROR(__xludf.DUMMYFUNCTION("IF('From Order'!$A1072=COLUMNS($A1072:E1091), LEFT(INDEX(FILTER(E$1:E1071, E$1:E1071&lt;&gt;""""),COUNTA(FILTER(E$1:E1071, E$1:E1071&lt;&gt;""""))), LEN(INDEX(FILTER(E$1:E1071, E$1:E1071&lt;&gt;""""),COUNTA(FILTER(E$1:E1071, E$1:E1071&lt;&gt;""""))))-1), IF('To Order'!$A1072=COL"&amp;"UMNS($A1072:E1091), E1071&amp;RIGHT(INDIRECT(ADDRESS(ROW(E1072)-1, 'From Order'!$A1072)), 1), E1071))"),"")</f>
        <v/>
      </c>
      <c r="F1072" s="2" t="str">
        <f>IFERROR(__xludf.DUMMYFUNCTION("IF('From Order'!$A1072=COLUMNS($A1072:F1091), LEFT(INDEX(FILTER(F$1:F1071, F$1:F1071&lt;&gt;""""),COUNTA(FILTER(F$1:F1071, F$1:F1071&lt;&gt;""""))), LEN(INDEX(FILTER(F$1:F1071, F$1:F1071&lt;&gt;""""),COUNTA(FILTER(F$1:F1071, F$1:F1071&lt;&gt;""""))))-1), IF('To Order'!$A1072=COL"&amp;"UMNS($A1072:F1091), F1071&amp;RIGHT(INDIRECT(ADDRESS(ROW(F1072)-1, 'From Order'!$A1072)), 1), F1071))"),"")</f>
        <v/>
      </c>
      <c r="G1072" s="2" t="str">
        <f>IFERROR(__xludf.DUMMYFUNCTION("IF('From Order'!$A1072=COLUMNS($A1072:G1091), LEFT(INDEX(FILTER(G$1:G1071, G$1:G1071&lt;&gt;""""),COUNTA(FILTER(G$1:G1071, G$1:G1071&lt;&gt;""""))), LEN(INDEX(FILTER(G$1:G1071, G$1:G1071&lt;&gt;""""),COUNTA(FILTER(G$1:G1071, G$1:G1071&lt;&gt;""""))))-1), IF('To Order'!$A1072=COL"&amp;"UMNS($A1072:G1091), G1071&amp;RIGHT(INDIRECT(ADDRESS(ROW(G1072)-1, 'From Order'!$A1072)), 1), G1071))"),"B")</f>
        <v>B</v>
      </c>
      <c r="H1072" s="2" t="str">
        <f>IFERROR(__xludf.DUMMYFUNCTION("IF('From Order'!$A1072=COLUMNS($A1072:H1091), LEFT(INDEX(FILTER(H$1:H1071, H$1:H1071&lt;&gt;""""),COUNTA(FILTER(H$1:H1071, H$1:H1071&lt;&gt;""""))), LEN(INDEX(FILTER(H$1:H1071, H$1:H1071&lt;&gt;""""),COUNTA(FILTER(H$1:H1071, H$1:H1071&lt;&gt;""""))))-1), IF('To Order'!$A1072=COL"&amp;"UMNS($A1072:H1091), H1071&amp;RIGHT(INDIRECT(ADDRESS(ROW(H1072)-1, 'From Order'!$A1072)), 1), H1071))"),"")</f>
        <v/>
      </c>
      <c r="I1072" s="2" t="str">
        <f>IFERROR(__xludf.DUMMYFUNCTION("IF('From Order'!$A1072=COLUMNS($A1072:I1091), LEFT(INDEX(FILTER(I$1:I1071, I$1:I1071&lt;&gt;""""),COUNTA(FILTER(I$1:I1071, I$1:I1071&lt;&gt;""""))), LEN(INDEX(FILTER(I$1:I1071, I$1:I1071&lt;&gt;""""),COUNTA(FILTER(I$1:I1071, I$1:I1071&lt;&gt;""""))))-1), IF('To Order'!$A1072=COL"&amp;"UMNS($A1072:I1091), I1071&amp;RIGHT(INDIRECT(ADDRESS(ROW(I1072)-1, 'From Order'!$A1072)), 1), I1071))"),"RCT")</f>
        <v>RCT</v>
      </c>
    </row>
    <row r="1073">
      <c r="A1073" s="2" t="str">
        <f>IFERROR(__xludf.DUMMYFUNCTION("IF('From Order'!$A1073=COLUMNS($A1073:A1092), LEFT(INDEX(FILTER(A$1:A1072, A$1:A1072&lt;&gt;""""),COUNTA(FILTER(A$1:A1072, A$1:A1072&lt;&gt;""""))), LEN(INDEX(FILTER(A$1:A1072, A$1:A1072&lt;&gt;""""),COUNTA(FILTER(A$1:A1072, A$1:A1072&lt;&gt;""""))))-1), IF('To Order'!$A1073=COL"&amp;"UMNS($A1073:A1092), A1072&amp;RIGHT(INDIRECT(ADDRESS(ROW(A1073)-1, 'From Order'!$A1073)), 1), A1072))"),"")</f>
        <v/>
      </c>
      <c r="B1073" s="2" t="str">
        <f>IFERROR(__xludf.DUMMYFUNCTION("IF('From Order'!$A1073=COLUMNS($A1073:B1092), LEFT(INDEX(FILTER(B$1:B1072, B$1:B1072&lt;&gt;""""),COUNTA(FILTER(B$1:B1072, B$1:B1072&lt;&gt;""""))), LEN(INDEX(FILTER(B$1:B1072, B$1:B1072&lt;&gt;""""),COUNTA(FILTER(B$1:B1072, B$1:B1072&lt;&gt;""""))))-1), IF('To Order'!$A1073=COL"&amp;"UMNS($A1073:B1092), B1072&amp;RIGHT(INDIRECT(ADDRESS(ROW(B1073)-1, 'From Order'!$A1073)), 1), B1072))"),"ZLPDSDJDBSBZHMFBTMGTSLDTDTWRMT")</f>
        <v>ZLPDSDJDBSBZHMFBTMGTSLDTDTWRMT</v>
      </c>
      <c r="C1073" s="2" t="str">
        <f>IFERROR(__xludf.DUMMYFUNCTION("IF('From Order'!$A1073=COLUMNS($A1073:C1092), LEFT(INDEX(FILTER(C$1:C1072, C$1:C1072&lt;&gt;""""),COUNTA(FILTER(C$1:C1072, C$1:C1072&lt;&gt;""""))), LEN(INDEX(FILTER(C$1:C1072, C$1:C1072&lt;&gt;""""),COUNTA(FILTER(C$1:C1072, C$1:C1072&lt;&gt;""""))))-1), IF('To Order'!$A1073=COL"&amp;"UMNS($A1073:C1092), C1072&amp;RIGHT(INDIRECT(ADDRESS(ROW(C1073)-1, 'From Order'!$A1073)), 1), C1072))"),"TRLRSGHWQVQJPPVJCVZRDC")</f>
        <v>TRLRSGHWQVQJPPVJCVZRDC</v>
      </c>
      <c r="D1073" s="2" t="str">
        <f>IFERROR(__xludf.DUMMYFUNCTION("IF('From Order'!$A1073=COLUMNS($A1073:D1092), LEFT(INDEX(FILTER(D$1:D1072, D$1:D1072&lt;&gt;""""),COUNTA(FILTER(D$1:D1072, D$1:D1072&lt;&gt;""""))), LEN(INDEX(FILTER(D$1:D1072, D$1:D1072&lt;&gt;""""),COUNTA(FILTER(D$1:D1072, D$1:D1072&lt;&gt;""""))))-1), IF('To Order'!$A1073=COL"&amp;"UMNS($A1073:D1092), D1072&amp;RIGHT(INDIRECT(ADDRESS(ROW(D1073)-1, 'From Order'!$A1073)), 1), D1072))"),"F")</f>
        <v>F</v>
      </c>
      <c r="E1073" s="2" t="str">
        <f>IFERROR(__xludf.DUMMYFUNCTION("IF('From Order'!$A1073=COLUMNS($A1073:E1092), LEFT(INDEX(FILTER(E$1:E1072, E$1:E1072&lt;&gt;""""),COUNTA(FILTER(E$1:E1072, E$1:E1072&lt;&gt;""""))), LEN(INDEX(FILTER(E$1:E1072, E$1:E1072&lt;&gt;""""),COUNTA(FILTER(E$1:E1072, E$1:E1072&lt;&gt;""""))))-1), IF('To Order'!$A1073=COL"&amp;"UMNS($A1073:E1092), E1072&amp;RIGHT(INDIRECT(ADDRESS(ROW(E1073)-1, 'From Order'!$A1073)), 1), E1072))"),"")</f>
        <v/>
      </c>
      <c r="F1073" s="2" t="str">
        <f>IFERROR(__xludf.DUMMYFUNCTION("IF('From Order'!$A1073=COLUMNS($A1073:F1092), LEFT(INDEX(FILTER(F$1:F1072, F$1:F1072&lt;&gt;""""),COUNTA(FILTER(F$1:F1072, F$1:F1072&lt;&gt;""""))), LEN(INDEX(FILTER(F$1:F1072, F$1:F1072&lt;&gt;""""),COUNTA(FILTER(F$1:F1072, F$1:F1072&lt;&gt;""""))))-1), IF('To Order'!$A1073=COL"&amp;"UMNS($A1073:F1092), F1072&amp;RIGHT(INDIRECT(ADDRESS(ROW(F1073)-1, 'From Order'!$A1073)), 1), F1072))"),"")</f>
        <v/>
      </c>
      <c r="G1073" s="2" t="str">
        <f>IFERROR(__xludf.DUMMYFUNCTION("IF('From Order'!$A1073=COLUMNS($A1073:G1092), LEFT(INDEX(FILTER(G$1:G1072, G$1:G1072&lt;&gt;""""),COUNTA(FILTER(G$1:G1072, G$1:G1072&lt;&gt;""""))), LEN(INDEX(FILTER(G$1:G1072, G$1:G1072&lt;&gt;""""),COUNTA(FILTER(G$1:G1072, G$1:G1072&lt;&gt;""""))))-1), IF('To Order'!$A1073=COL"&amp;"UMNS($A1073:G1092), G1072&amp;RIGHT(INDIRECT(ADDRESS(ROW(G1073)-1, 'From Order'!$A1073)), 1), G1072))"),"B")</f>
        <v>B</v>
      </c>
      <c r="H1073" s="2" t="str">
        <f>IFERROR(__xludf.DUMMYFUNCTION("IF('From Order'!$A1073=COLUMNS($A1073:H1092), LEFT(INDEX(FILTER(H$1:H1072, H$1:H1072&lt;&gt;""""),COUNTA(FILTER(H$1:H1072, H$1:H1072&lt;&gt;""""))), LEN(INDEX(FILTER(H$1:H1072, H$1:H1072&lt;&gt;""""),COUNTA(FILTER(H$1:H1072, H$1:H1072&lt;&gt;""""))))-1), IF('To Order'!$A1073=COL"&amp;"UMNS($A1073:H1092), H1072&amp;RIGHT(INDIRECT(ADDRESS(ROW(H1073)-1, 'From Order'!$A1073)), 1), H1072))"),"")</f>
        <v/>
      </c>
      <c r="I1073" s="2" t="str">
        <f>IFERROR(__xludf.DUMMYFUNCTION("IF('From Order'!$A1073=COLUMNS($A1073:I1092), LEFT(INDEX(FILTER(I$1:I1072, I$1:I1072&lt;&gt;""""),COUNTA(FILTER(I$1:I1072, I$1:I1072&lt;&gt;""""))), LEN(INDEX(FILTER(I$1:I1072, I$1:I1072&lt;&gt;""""),COUNTA(FILTER(I$1:I1072, I$1:I1072&lt;&gt;""""))))-1), IF('To Order'!$A1073=COL"&amp;"UMNS($A1073:I1092), I1072&amp;RIGHT(INDIRECT(ADDRESS(ROW(I1073)-1, 'From Order'!$A1073)), 1), I1072))"),"RC")</f>
        <v>RC</v>
      </c>
    </row>
    <row r="1074">
      <c r="A1074" s="2" t="str">
        <f>IFERROR(__xludf.DUMMYFUNCTION("IF('From Order'!$A1074=COLUMNS($A1074:A1093), LEFT(INDEX(FILTER(A$1:A1073, A$1:A1073&lt;&gt;""""),COUNTA(FILTER(A$1:A1073, A$1:A1073&lt;&gt;""""))), LEN(INDEX(FILTER(A$1:A1073, A$1:A1073&lt;&gt;""""),COUNTA(FILTER(A$1:A1073, A$1:A1073&lt;&gt;""""))))-1), IF('To Order'!$A1074=COL"&amp;"UMNS($A1074:A1093), A1073&amp;RIGHT(INDIRECT(ADDRESS(ROW(A1074)-1, 'From Order'!$A1074)), 1), A1073))"),"")</f>
        <v/>
      </c>
      <c r="B1074" s="2" t="str">
        <f>IFERROR(__xludf.DUMMYFUNCTION("IF('From Order'!$A1074=COLUMNS($A1074:B1093), LEFT(INDEX(FILTER(B$1:B1073, B$1:B1073&lt;&gt;""""),COUNTA(FILTER(B$1:B1073, B$1:B1073&lt;&gt;""""))), LEN(INDEX(FILTER(B$1:B1073, B$1:B1073&lt;&gt;""""),COUNTA(FILTER(B$1:B1073, B$1:B1073&lt;&gt;""""))))-1), IF('To Order'!$A1074=COL"&amp;"UMNS($A1074:B1093), B1073&amp;RIGHT(INDIRECT(ADDRESS(ROW(B1074)-1, 'From Order'!$A1074)), 1), B1073))"),"ZLPDSDJDBSBZHMFBTMGTSLDTDTWRMTC")</f>
        <v>ZLPDSDJDBSBZHMFBTMGTSLDTDTWRMTC</v>
      </c>
      <c r="C1074" s="2" t="str">
        <f>IFERROR(__xludf.DUMMYFUNCTION("IF('From Order'!$A1074=COLUMNS($A1074:C1093), LEFT(INDEX(FILTER(C$1:C1073, C$1:C1073&lt;&gt;""""),COUNTA(FILTER(C$1:C1073, C$1:C1073&lt;&gt;""""))), LEN(INDEX(FILTER(C$1:C1073, C$1:C1073&lt;&gt;""""),COUNTA(FILTER(C$1:C1073, C$1:C1073&lt;&gt;""""))))-1), IF('To Order'!$A1074=COL"&amp;"UMNS($A1074:C1093), C1073&amp;RIGHT(INDIRECT(ADDRESS(ROW(C1074)-1, 'From Order'!$A1074)), 1), C1073))"),"TRLRSGHWQVQJPPVJCVZRDC")</f>
        <v>TRLRSGHWQVQJPPVJCVZRDC</v>
      </c>
      <c r="D1074" s="2" t="str">
        <f>IFERROR(__xludf.DUMMYFUNCTION("IF('From Order'!$A1074=COLUMNS($A1074:D1093), LEFT(INDEX(FILTER(D$1:D1073, D$1:D1073&lt;&gt;""""),COUNTA(FILTER(D$1:D1073, D$1:D1073&lt;&gt;""""))), LEN(INDEX(FILTER(D$1:D1073, D$1:D1073&lt;&gt;""""),COUNTA(FILTER(D$1:D1073, D$1:D1073&lt;&gt;""""))))-1), IF('To Order'!$A1074=COL"&amp;"UMNS($A1074:D1093), D1073&amp;RIGHT(INDIRECT(ADDRESS(ROW(D1074)-1, 'From Order'!$A1074)), 1), D1073))"),"F")</f>
        <v>F</v>
      </c>
      <c r="E1074" s="2" t="str">
        <f>IFERROR(__xludf.DUMMYFUNCTION("IF('From Order'!$A1074=COLUMNS($A1074:E1093), LEFT(INDEX(FILTER(E$1:E1073, E$1:E1073&lt;&gt;""""),COUNTA(FILTER(E$1:E1073, E$1:E1073&lt;&gt;""""))), LEN(INDEX(FILTER(E$1:E1073, E$1:E1073&lt;&gt;""""),COUNTA(FILTER(E$1:E1073, E$1:E1073&lt;&gt;""""))))-1), IF('To Order'!$A1074=COL"&amp;"UMNS($A1074:E1093), E1073&amp;RIGHT(INDIRECT(ADDRESS(ROW(E1074)-1, 'From Order'!$A1074)), 1), E1073))"),"")</f>
        <v/>
      </c>
      <c r="F1074" s="2" t="str">
        <f>IFERROR(__xludf.DUMMYFUNCTION("IF('From Order'!$A1074=COLUMNS($A1074:F1093), LEFT(INDEX(FILTER(F$1:F1073, F$1:F1073&lt;&gt;""""),COUNTA(FILTER(F$1:F1073, F$1:F1073&lt;&gt;""""))), LEN(INDEX(FILTER(F$1:F1073, F$1:F1073&lt;&gt;""""),COUNTA(FILTER(F$1:F1073, F$1:F1073&lt;&gt;""""))))-1), IF('To Order'!$A1074=COL"&amp;"UMNS($A1074:F1093), F1073&amp;RIGHT(INDIRECT(ADDRESS(ROW(F1074)-1, 'From Order'!$A1074)), 1), F1073))"),"")</f>
        <v/>
      </c>
      <c r="G1074" s="2" t="str">
        <f>IFERROR(__xludf.DUMMYFUNCTION("IF('From Order'!$A1074=COLUMNS($A1074:G1093), LEFT(INDEX(FILTER(G$1:G1073, G$1:G1073&lt;&gt;""""),COUNTA(FILTER(G$1:G1073, G$1:G1073&lt;&gt;""""))), LEN(INDEX(FILTER(G$1:G1073, G$1:G1073&lt;&gt;""""),COUNTA(FILTER(G$1:G1073, G$1:G1073&lt;&gt;""""))))-1), IF('To Order'!$A1074=COL"&amp;"UMNS($A1074:G1093), G1073&amp;RIGHT(INDIRECT(ADDRESS(ROW(G1074)-1, 'From Order'!$A1074)), 1), G1073))"),"B")</f>
        <v>B</v>
      </c>
      <c r="H1074" s="2" t="str">
        <f>IFERROR(__xludf.DUMMYFUNCTION("IF('From Order'!$A1074=COLUMNS($A1074:H1093), LEFT(INDEX(FILTER(H$1:H1073, H$1:H1073&lt;&gt;""""),COUNTA(FILTER(H$1:H1073, H$1:H1073&lt;&gt;""""))), LEN(INDEX(FILTER(H$1:H1073, H$1:H1073&lt;&gt;""""),COUNTA(FILTER(H$1:H1073, H$1:H1073&lt;&gt;""""))))-1), IF('To Order'!$A1074=COL"&amp;"UMNS($A1074:H1093), H1073&amp;RIGHT(INDIRECT(ADDRESS(ROW(H1074)-1, 'From Order'!$A1074)), 1), H1073))"),"")</f>
        <v/>
      </c>
      <c r="I1074" s="2" t="str">
        <f>IFERROR(__xludf.DUMMYFUNCTION("IF('From Order'!$A1074=COLUMNS($A1074:I1093), LEFT(INDEX(FILTER(I$1:I1073, I$1:I1073&lt;&gt;""""),COUNTA(FILTER(I$1:I1073, I$1:I1073&lt;&gt;""""))), LEN(INDEX(FILTER(I$1:I1073, I$1:I1073&lt;&gt;""""),COUNTA(FILTER(I$1:I1073, I$1:I1073&lt;&gt;""""))))-1), IF('To Order'!$A1074=COL"&amp;"UMNS($A1074:I1093), I1073&amp;RIGHT(INDIRECT(ADDRESS(ROW(I1074)-1, 'From Order'!$A1074)), 1), I1073))"),"R")</f>
        <v>R</v>
      </c>
    </row>
    <row r="1075">
      <c r="A1075" s="2" t="str">
        <f>IFERROR(__xludf.DUMMYFUNCTION("IF('From Order'!$A1075=COLUMNS($A1075:A1094), LEFT(INDEX(FILTER(A$1:A1074, A$1:A1074&lt;&gt;""""),COUNTA(FILTER(A$1:A1074, A$1:A1074&lt;&gt;""""))), LEN(INDEX(FILTER(A$1:A1074, A$1:A1074&lt;&gt;""""),COUNTA(FILTER(A$1:A1074, A$1:A1074&lt;&gt;""""))))-1), IF('To Order'!$A1075=COL"&amp;"UMNS($A1075:A1094), A1074&amp;RIGHT(INDIRECT(ADDRESS(ROW(A1075)-1, 'From Order'!$A1075)), 1), A1074))"),"")</f>
        <v/>
      </c>
      <c r="B1075" s="2" t="str">
        <f>IFERROR(__xludf.DUMMYFUNCTION("IF('From Order'!$A1075=COLUMNS($A1075:B1094), LEFT(INDEX(FILTER(B$1:B1074, B$1:B1074&lt;&gt;""""),COUNTA(FILTER(B$1:B1074, B$1:B1074&lt;&gt;""""))), LEN(INDEX(FILTER(B$1:B1074, B$1:B1074&lt;&gt;""""),COUNTA(FILTER(B$1:B1074, B$1:B1074&lt;&gt;""""))))-1), IF('To Order'!$A1075=COL"&amp;"UMNS($A1075:B1094), B1074&amp;RIGHT(INDIRECT(ADDRESS(ROW(B1075)-1, 'From Order'!$A1075)), 1), B1074))"),"ZLPDSDJDBSBZHMFBTMGTSLDTDTWRMTCR")</f>
        <v>ZLPDSDJDBSBZHMFBTMGTSLDTDTWRMTCR</v>
      </c>
      <c r="C1075" s="2" t="str">
        <f>IFERROR(__xludf.DUMMYFUNCTION("IF('From Order'!$A1075=COLUMNS($A1075:C1094), LEFT(INDEX(FILTER(C$1:C1074, C$1:C1074&lt;&gt;""""),COUNTA(FILTER(C$1:C1074, C$1:C1074&lt;&gt;""""))), LEN(INDEX(FILTER(C$1:C1074, C$1:C1074&lt;&gt;""""),COUNTA(FILTER(C$1:C1074, C$1:C1074&lt;&gt;""""))))-1), IF('To Order'!$A1075=COL"&amp;"UMNS($A1075:C1094), C1074&amp;RIGHT(INDIRECT(ADDRESS(ROW(C1075)-1, 'From Order'!$A1075)), 1), C1074))"),"TRLRSGHWQVQJPPVJCVZRDC")</f>
        <v>TRLRSGHWQVQJPPVJCVZRDC</v>
      </c>
      <c r="D1075" s="2" t="str">
        <f>IFERROR(__xludf.DUMMYFUNCTION("IF('From Order'!$A1075=COLUMNS($A1075:D1094), LEFT(INDEX(FILTER(D$1:D1074, D$1:D1074&lt;&gt;""""),COUNTA(FILTER(D$1:D1074, D$1:D1074&lt;&gt;""""))), LEN(INDEX(FILTER(D$1:D1074, D$1:D1074&lt;&gt;""""),COUNTA(FILTER(D$1:D1074, D$1:D1074&lt;&gt;""""))))-1), IF('To Order'!$A1075=COL"&amp;"UMNS($A1075:D1094), D1074&amp;RIGHT(INDIRECT(ADDRESS(ROW(D1075)-1, 'From Order'!$A1075)), 1), D1074))"),"F")</f>
        <v>F</v>
      </c>
      <c r="E1075" s="2" t="str">
        <f>IFERROR(__xludf.DUMMYFUNCTION("IF('From Order'!$A1075=COLUMNS($A1075:E1094), LEFT(INDEX(FILTER(E$1:E1074, E$1:E1074&lt;&gt;""""),COUNTA(FILTER(E$1:E1074, E$1:E1074&lt;&gt;""""))), LEN(INDEX(FILTER(E$1:E1074, E$1:E1074&lt;&gt;""""),COUNTA(FILTER(E$1:E1074, E$1:E1074&lt;&gt;""""))))-1), IF('To Order'!$A1075=COL"&amp;"UMNS($A1075:E1094), E1074&amp;RIGHT(INDIRECT(ADDRESS(ROW(E1075)-1, 'From Order'!$A1075)), 1), E1074))"),"")</f>
        <v/>
      </c>
      <c r="F1075" s="2" t="str">
        <f>IFERROR(__xludf.DUMMYFUNCTION("IF('From Order'!$A1075=COLUMNS($A1075:F1094), LEFT(INDEX(FILTER(F$1:F1074, F$1:F1074&lt;&gt;""""),COUNTA(FILTER(F$1:F1074, F$1:F1074&lt;&gt;""""))), LEN(INDEX(FILTER(F$1:F1074, F$1:F1074&lt;&gt;""""),COUNTA(FILTER(F$1:F1074, F$1:F1074&lt;&gt;""""))))-1), IF('To Order'!$A1075=COL"&amp;"UMNS($A1075:F1094), F1074&amp;RIGHT(INDIRECT(ADDRESS(ROW(F1075)-1, 'From Order'!$A1075)), 1), F1074))"),"")</f>
        <v/>
      </c>
      <c r="G1075" s="2" t="str">
        <f>IFERROR(__xludf.DUMMYFUNCTION("IF('From Order'!$A1075=COLUMNS($A1075:G1094), LEFT(INDEX(FILTER(G$1:G1074, G$1:G1074&lt;&gt;""""),COUNTA(FILTER(G$1:G1074, G$1:G1074&lt;&gt;""""))), LEN(INDEX(FILTER(G$1:G1074, G$1:G1074&lt;&gt;""""),COUNTA(FILTER(G$1:G1074, G$1:G1074&lt;&gt;""""))))-1), IF('To Order'!$A1075=COL"&amp;"UMNS($A1075:G1094), G1074&amp;RIGHT(INDIRECT(ADDRESS(ROW(G1075)-1, 'From Order'!$A1075)), 1), G1074))"),"B")</f>
        <v>B</v>
      </c>
      <c r="H1075" s="2" t="str">
        <f>IFERROR(__xludf.DUMMYFUNCTION("IF('From Order'!$A1075=COLUMNS($A1075:H1094), LEFT(INDEX(FILTER(H$1:H1074, H$1:H1074&lt;&gt;""""),COUNTA(FILTER(H$1:H1074, H$1:H1074&lt;&gt;""""))), LEN(INDEX(FILTER(H$1:H1074, H$1:H1074&lt;&gt;""""),COUNTA(FILTER(H$1:H1074, H$1:H1074&lt;&gt;""""))))-1), IF('To Order'!$A1075=COL"&amp;"UMNS($A1075:H1094), H1074&amp;RIGHT(INDIRECT(ADDRESS(ROW(H1075)-1, 'From Order'!$A1075)), 1), H1074))"),"")</f>
        <v/>
      </c>
      <c r="I1075" s="2" t="str">
        <f>IFERROR(__xludf.DUMMYFUNCTION("IF('From Order'!$A1075=COLUMNS($A1075:I1094), LEFT(INDEX(FILTER(I$1:I1074, I$1:I1074&lt;&gt;""""),COUNTA(FILTER(I$1:I1074, I$1:I1074&lt;&gt;""""))), LEN(INDEX(FILTER(I$1:I1074, I$1:I1074&lt;&gt;""""),COUNTA(FILTER(I$1:I1074, I$1:I1074&lt;&gt;""""))))-1), IF('To Order'!$A1075=COL"&amp;"UMNS($A1075:I1094), I1074&amp;RIGHT(INDIRECT(ADDRESS(ROW(I1075)-1, 'From Order'!$A1075)), 1), I1074))"),"")</f>
        <v/>
      </c>
    </row>
    <row r="1076">
      <c r="A1076" s="2" t="str">
        <f>IFERROR(__xludf.DUMMYFUNCTION("IF('From Order'!$A1076=COLUMNS($A1076:A1095), LEFT(INDEX(FILTER(A$1:A1075, A$1:A1075&lt;&gt;""""),COUNTA(FILTER(A$1:A1075, A$1:A1075&lt;&gt;""""))), LEN(INDEX(FILTER(A$1:A1075, A$1:A1075&lt;&gt;""""),COUNTA(FILTER(A$1:A1075, A$1:A1075&lt;&gt;""""))))-1), IF('To Order'!$A1076=COL"&amp;"UMNS($A1076:A1095), A1075&amp;RIGHT(INDIRECT(ADDRESS(ROW(A1076)-1, 'From Order'!$A1076)), 1), A1075))"),"")</f>
        <v/>
      </c>
      <c r="B1076" s="2" t="str">
        <f>IFERROR(__xludf.DUMMYFUNCTION("IF('From Order'!$A1076=COLUMNS($A1076:B1095), LEFT(INDEX(FILTER(B$1:B1075, B$1:B1075&lt;&gt;""""),COUNTA(FILTER(B$1:B1075, B$1:B1075&lt;&gt;""""))), LEN(INDEX(FILTER(B$1:B1075, B$1:B1075&lt;&gt;""""),COUNTA(FILTER(B$1:B1075, B$1:B1075&lt;&gt;""""))))-1), IF('To Order'!$A1076=COL"&amp;"UMNS($A1076:B1095), B1075&amp;RIGHT(INDIRECT(ADDRESS(ROW(B1076)-1, 'From Order'!$A1076)), 1), B1075))"),"ZLPDSDJDBSBZHMFBTMGTSLDTDTWRMTCR")</f>
        <v>ZLPDSDJDBSBZHMFBTMGTSLDTDTWRMTCR</v>
      </c>
      <c r="C1076" s="2" t="str">
        <f>IFERROR(__xludf.DUMMYFUNCTION("IF('From Order'!$A1076=COLUMNS($A1076:C1095), LEFT(INDEX(FILTER(C$1:C1075, C$1:C1075&lt;&gt;""""),COUNTA(FILTER(C$1:C1075, C$1:C1075&lt;&gt;""""))), LEN(INDEX(FILTER(C$1:C1075, C$1:C1075&lt;&gt;""""),COUNTA(FILTER(C$1:C1075, C$1:C1075&lt;&gt;""""))))-1), IF('To Order'!$A1076=COL"&amp;"UMNS($A1076:C1095), C1075&amp;RIGHT(INDIRECT(ADDRESS(ROW(C1076)-1, 'From Order'!$A1076)), 1), C1075))"),"TRLRSGHWQVQJPPVJCVZRDC")</f>
        <v>TRLRSGHWQVQJPPVJCVZRDC</v>
      </c>
      <c r="D1076" s="2" t="str">
        <f>IFERROR(__xludf.DUMMYFUNCTION("IF('From Order'!$A1076=COLUMNS($A1076:D1095), LEFT(INDEX(FILTER(D$1:D1075, D$1:D1075&lt;&gt;""""),COUNTA(FILTER(D$1:D1075, D$1:D1075&lt;&gt;""""))), LEN(INDEX(FILTER(D$1:D1075, D$1:D1075&lt;&gt;""""),COUNTA(FILTER(D$1:D1075, D$1:D1075&lt;&gt;""""))))-1), IF('To Order'!$A1076=COL"&amp;"UMNS($A1076:D1095), D1075&amp;RIGHT(INDIRECT(ADDRESS(ROW(D1076)-1, 'From Order'!$A1076)), 1), D1075))"),"")</f>
        <v/>
      </c>
      <c r="E1076" s="2" t="str">
        <f>IFERROR(__xludf.DUMMYFUNCTION("IF('From Order'!$A1076=COLUMNS($A1076:E1095), LEFT(INDEX(FILTER(E$1:E1075, E$1:E1075&lt;&gt;""""),COUNTA(FILTER(E$1:E1075, E$1:E1075&lt;&gt;""""))), LEN(INDEX(FILTER(E$1:E1075, E$1:E1075&lt;&gt;""""),COUNTA(FILTER(E$1:E1075, E$1:E1075&lt;&gt;""""))))-1), IF('To Order'!$A1076=COL"&amp;"UMNS($A1076:E1095), E1075&amp;RIGHT(INDIRECT(ADDRESS(ROW(E1076)-1, 'From Order'!$A1076)), 1), E1075))"),"")</f>
        <v/>
      </c>
      <c r="F1076" s="2" t="str">
        <f>IFERROR(__xludf.DUMMYFUNCTION("IF('From Order'!$A1076=COLUMNS($A1076:F1095), LEFT(INDEX(FILTER(F$1:F1075, F$1:F1075&lt;&gt;""""),COUNTA(FILTER(F$1:F1075, F$1:F1075&lt;&gt;""""))), LEN(INDEX(FILTER(F$1:F1075, F$1:F1075&lt;&gt;""""),COUNTA(FILTER(F$1:F1075, F$1:F1075&lt;&gt;""""))))-1), IF('To Order'!$A1076=COL"&amp;"UMNS($A1076:F1095), F1075&amp;RIGHT(INDIRECT(ADDRESS(ROW(F1076)-1, 'From Order'!$A1076)), 1), F1075))"),"")</f>
        <v/>
      </c>
      <c r="G1076" s="2" t="str">
        <f>IFERROR(__xludf.DUMMYFUNCTION("IF('From Order'!$A1076=COLUMNS($A1076:G1095), LEFT(INDEX(FILTER(G$1:G1075, G$1:G1075&lt;&gt;""""),COUNTA(FILTER(G$1:G1075, G$1:G1075&lt;&gt;""""))), LEN(INDEX(FILTER(G$1:G1075, G$1:G1075&lt;&gt;""""),COUNTA(FILTER(G$1:G1075, G$1:G1075&lt;&gt;""""))))-1), IF('To Order'!$A1076=COL"&amp;"UMNS($A1076:G1095), G1075&amp;RIGHT(INDIRECT(ADDRESS(ROW(G1076)-1, 'From Order'!$A1076)), 1), G1075))"),"BF")</f>
        <v>BF</v>
      </c>
      <c r="H1076" s="2" t="str">
        <f>IFERROR(__xludf.DUMMYFUNCTION("IF('From Order'!$A1076=COLUMNS($A1076:H1095), LEFT(INDEX(FILTER(H$1:H1075, H$1:H1075&lt;&gt;""""),COUNTA(FILTER(H$1:H1075, H$1:H1075&lt;&gt;""""))), LEN(INDEX(FILTER(H$1:H1075, H$1:H1075&lt;&gt;""""),COUNTA(FILTER(H$1:H1075, H$1:H1075&lt;&gt;""""))))-1), IF('To Order'!$A1076=COL"&amp;"UMNS($A1076:H1095), H1075&amp;RIGHT(INDIRECT(ADDRESS(ROW(H1076)-1, 'From Order'!$A1076)), 1), H1075))"),"")</f>
        <v/>
      </c>
      <c r="I1076" s="2" t="str">
        <f>IFERROR(__xludf.DUMMYFUNCTION("IF('From Order'!$A1076=COLUMNS($A1076:I1095), LEFT(INDEX(FILTER(I$1:I1075, I$1:I1075&lt;&gt;""""),COUNTA(FILTER(I$1:I1075, I$1:I1075&lt;&gt;""""))), LEN(INDEX(FILTER(I$1:I1075, I$1:I1075&lt;&gt;""""),COUNTA(FILTER(I$1:I1075, I$1:I1075&lt;&gt;""""))))-1), IF('To Order'!$A1076=COL"&amp;"UMNS($A1076:I1095), I1075&amp;RIGHT(INDIRECT(ADDRESS(ROW(I1076)-1, 'From Order'!$A1076)), 1), I1075))"),"")</f>
        <v/>
      </c>
    </row>
    <row r="1077">
      <c r="A1077" s="2" t="str">
        <f>IFERROR(__xludf.DUMMYFUNCTION("IF('From Order'!$A1077=COLUMNS($A1077:A1096), LEFT(INDEX(FILTER(A$1:A1076, A$1:A1076&lt;&gt;""""),COUNTA(FILTER(A$1:A1076, A$1:A1076&lt;&gt;""""))), LEN(INDEX(FILTER(A$1:A1076, A$1:A1076&lt;&gt;""""),COUNTA(FILTER(A$1:A1076, A$1:A1076&lt;&gt;""""))))-1), IF('To Order'!$A1077=COL"&amp;"UMNS($A1077:A1096), A1076&amp;RIGHT(INDIRECT(ADDRESS(ROW(A1077)-1, 'From Order'!$A1077)), 1), A1076))"),"")</f>
        <v/>
      </c>
      <c r="B1077" s="2" t="str">
        <f>IFERROR(__xludf.DUMMYFUNCTION("IF('From Order'!$A1077=COLUMNS($A1077:B1096), LEFT(INDEX(FILTER(B$1:B1076, B$1:B1076&lt;&gt;""""),COUNTA(FILTER(B$1:B1076, B$1:B1076&lt;&gt;""""))), LEN(INDEX(FILTER(B$1:B1076, B$1:B1076&lt;&gt;""""),COUNTA(FILTER(B$1:B1076, B$1:B1076&lt;&gt;""""))))-1), IF('To Order'!$A1077=COL"&amp;"UMNS($A1077:B1096), B1076&amp;RIGHT(INDIRECT(ADDRESS(ROW(B1077)-1, 'From Order'!$A1077)), 1), B1076))"),"ZLPDSDJDBSBZHMFBTMGTSLDTDTWRMTCR")</f>
        <v>ZLPDSDJDBSBZHMFBTMGTSLDTDTWRMTCR</v>
      </c>
      <c r="C1077" s="2" t="str">
        <f>IFERROR(__xludf.DUMMYFUNCTION("IF('From Order'!$A1077=COLUMNS($A1077:C1096), LEFT(INDEX(FILTER(C$1:C1076, C$1:C1076&lt;&gt;""""),COUNTA(FILTER(C$1:C1076, C$1:C1076&lt;&gt;""""))), LEN(INDEX(FILTER(C$1:C1076, C$1:C1076&lt;&gt;""""),COUNTA(FILTER(C$1:C1076, C$1:C1076&lt;&gt;""""))))-1), IF('To Order'!$A1077=COL"&amp;"UMNS($A1077:C1096), C1076&amp;RIGHT(INDIRECT(ADDRESS(ROW(C1077)-1, 'From Order'!$A1077)), 1), C1076))"),"TRLRSGHWQVQJPPVJCVZRD")</f>
        <v>TRLRSGHWQVQJPPVJCVZRD</v>
      </c>
      <c r="D1077" s="2" t="str">
        <f>IFERROR(__xludf.DUMMYFUNCTION("IF('From Order'!$A1077=COLUMNS($A1077:D1096), LEFT(INDEX(FILTER(D$1:D1076, D$1:D1076&lt;&gt;""""),COUNTA(FILTER(D$1:D1076, D$1:D1076&lt;&gt;""""))), LEN(INDEX(FILTER(D$1:D1076, D$1:D1076&lt;&gt;""""),COUNTA(FILTER(D$1:D1076, D$1:D1076&lt;&gt;""""))))-1), IF('To Order'!$A1077=COL"&amp;"UMNS($A1077:D1096), D1076&amp;RIGHT(INDIRECT(ADDRESS(ROW(D1077)-1, 'From Order'!$A1077)), 1), D1076))"),"")</f>
        <v/>
      </c>
      <c r="E1077" s="2" t="str">
        <f>IFERROR(__xludf.DUMMYFUNCTION("IF('From Order'!$A1077=COLUMNS($A1077:E1096), LEFT(INDEX(FILTER(E$1:E1076, E$1:E1076&lt;&gt;""""),COUNTA(FILTER(E$1:E1076, E$1:E1076&lt;&gt;""""))), LEN(INDEX(FILTER(E$1:E1076, E$1:E1076&lt;&gt;""""),COUNTA(FILTER(E$1:E1076, E$1:E1076&lt;&gt;""""))))-1), IF('To Order'!$A1077=COL"&amp;"UMNS($A1077:E1096), E1076&amp;RIGHT(INDIRECT(ADDRESS(ROW(E1077)-1, 'From Order'!$A1077)), 1), E1076))"),"")</f>
        <v/>
      </c>
      <c r="F1077" s="2" t="str">
        <f>IFERROR(__xludf.DUMMYFUNCTION("IF('From Order'!$A1077=COLUMNS($A1077:F1096), LEFT(INDEX(FILTER(F$1:F1076, F$1:F1076&lt;&gt;""""),COUNTA(FILTER(F$1:F1076, F$1:F1076&lt;&gt;""""))), LEN(INDEX(FILTER(F$1:F1076, F$1:F1076&lt;&gt;""""),COUNTA(FILTER(F$1:F1076, F$1:F1076&lt;&gt;""""))))-1), IF('To Order'!$A1077=COL"&amp;"UMNS($A1077:F1096), F1076&amp;RIGHT(INDIRECT(ADDRESS(ROW(F1077)-1, 'From Order'!$A1077)), 1), F1076))"),"")</f>
        <v/>
      </c>
      <c r="G1077" s="2" t="str">
        <f>IFERROR(__xludf.DUMMYFUNCTION("IF('From Order'!$A1077=COLUMNS($A1077:G1096), LEFT(INDEX(FILTER(G$1:G1076, G$1:G1076&lt;&gt;""""),COUNTA(FILTER(G$1:G1076, G$1:G1076&lt;&gt;""""))), LEN(INDEX(FILTER(G$1:G1076, G$1:G1076&lt;&gt;""""),COUNTA(FILTER(G$1:G1076, G$1:G1076&lt;&gt;""""))))-1), IF('To Order'!$A1077=COL"&amp;"UMNS($A1077:G1096), G1076&amp;RIGHT(INDIRECT(ADDRESS(ROW(G1077)-1, 'From Order'!$A1077)), 1), G1076))"),"BF")</f>
        <v>BF</v>
      </c>
      <c r="H1077" s="2" t="str">
        <f>IFERROR(__xludf.DUMMYFUNCTION("IF('From Order'!$A1077=COLUMNS($A1077:H1096), LEFT(INDEX(FILTER(H$1:H1076, H$1:H1076&lt;&gt;""""),COUNTA(FILTER(H$1:H1076, H$1:H1076&lt;&gt;""""))), LEN(INDEX(FILTER(H$1:H1076, H$1:H1076&lt;&gt;""""),COUNTA(FILTER(H$1:H1076, H$1:H1076&lt;&gt;""""))))-1), IF('To Order'!$A1077=COL"&amp;"UMNS($A1077:H1096), H1076&amp;RIGHT(INDIRECT(ADDRESS(ROW(H1077)-1, 'From Order'!$A1077)), 1), H1076))"),"C")</f>
        <v>C</v>
      </c>
      <c r="I1077" s="2" t="str">
        <f>IFERROR(__xludf.DUMMYFUNCTION("IF('From Order'!$A1077=COLUMNS($A1077:I1096), LEFT(INDEX(FILTER(I$1:I1076, I$1:I1076&lt;&gt;""""),COUNTA(FILTER(I$1:I1076, I$1:I1076&lt;&gt;""""))), LEN(INDEX(FILTER(I$1:I1076, I$1:I1076&lt;&gt;""""),COUNTA(FILTER(I$1:I1076, I$1:I1076&lt;&gt;""""))))-1), IF('To Order'!$A1077=COL"&amp;"UMNS($A1077:I1096), I1076&amp;RIGHT(INDIRECT(ADDRESS(ROW(I1077)-1, 'From Order'!$A1077)), 1), I1076))"),"")</f>
        <v/>
      </c>
    </row>
    <row r="1078">
      <c r="A1078" s="2" t="str">
        <f>IFERROR(__xludf.DUMMYFUNCTION("IF('From Order'!$A1078=COLUMNS($A1078:A1097), LEFT(INDEX(FILTER(A$1:A1077, A$1:A1077&lt;&gt;""""),COUNTA(FILTER(A$1:A1077, A$1:A1077&lt;&gt;""""))), LEN(INDEX(FILTER(A$1:A1077, A$1:A1077&lt;&gt;""""),COUNTA(FILTER(A$1:A1077, A$1:A1077&lt;&gt;""""))))-1), IF('To Order'!$A1078=COL"&amp;"UMNS($A1078:A1097), A1077&amp;RIGHT(INDIRECT(ADDRESS(ROW(A1078)-1, 'From Order'!$A1078)), 1), A1077))"),"")</f>
        <v/>
      </c>
      <c r="B1078" s="2" t="str">
        <f>IFERROR(__xludf.DUMMYFUNCTION("IF('From Order'!$A1078=COLUMNS($A1078:B1097), LEFT(INDEX(FILTER(B$1:B1077, B$1:B1077&lt;&gt;""""),COUNTA(FILTER(B$1:B1077, B$1:B1077&lt;&gt;""""))), LEN(INDEX(FILTER(B$1:B1077, B$1:B1077&lt;&gt;""""),COUNTA(FILTER(B$1:B1077, B$1:B1077&lt;&gt;""""))))-1), IF('To Order'!$A1078=COL"&amp;"UMNS($A1078:B1097), B1077&amp;RIGHT(INDIRECT(ADDRESS(ROW(B1078)-1, 'From Order'!$A1078)), 1), B1077))"),"ZLPDSDJDBSBZHMFBTMGTSLDTDTWRMTCR")</f>
        <v>ZLPDSDJDBSBZHMFBTMGTSLDTDTWRMTCR</v>
      </c>
      <c r="C1078" s="2" t="str">
        <f>IFERROR(__xludf.DUMMYFUNCTION("IF('From Order'!$A1078=COLUMNS($A1078:C1097), LEFT(INDEX(FILTER(C$1:C1077, C$1:C1077&lt;&gt;""""),COUNTA(FILTER(C$1:C1077, C$1:C1077&lt;&gt;""""))), LEN(INDEX(FILTER(C$1:C1077, C$1:C1077&lt;&gt;""""),COUNTA(FILTER(C$1:C1077, C$1:C1077&lt;&gt;""""))))-1), IF('To Order'!$A1078=COL"&amp;"UMNS($A1078:C1097), C1077&amp;RIGHT(INDIRECT(ADDRESS(ROW(C1078)-1, 'From Order'!$A1078)), 1), C1077))"),"TRLRSGHWQVQJPPVJCVZR")</f>
        <v>TRLRSGHWQVQJPPVJCVZR</v>
      </c>
      <c r="D1078" s="2" t="str">
        <f>IFERROR(__xludf.DUMMYFUNCTION("IF('From Order'!$A1078=COLUMNS($A1078:D1097), LEFT(INDEX(FILTER(D$1:D1077, D$1:D1077&lt;&gt;""""),COUNTA(FILTER(D$1:D1077, D$1:D1077&lt;&gt;""""))), LEN(INDEX(FILTER(D$1:D1077, D$1:D1077&lt;&gt;""""),COUNTA(FILTER(D$1:D1077, D$1:D1077&lt;&gt;""""))))-1), IF('To Order'!$A1078=COL"&amp;"UMNS($A1078:D1097), D1077&amp;RIGHT(INDIRECT(ADDRESS(ROW(D1078)-1, 'From Order'!$A1078)), 1), D1077))"),"")</f>
        <v/>
      </c>
      <c r="E1078" s="2" t="str">
        <f>IFERROR(__xludf.DUMMYFUNCTION("IF('From Order'!$A1078=COLUMNS($A1078:E1097), LEFT(INDEX(FILTER(E$1:E1077, E$1:E1077&lt;&gt;""""),COUNTA(FILTER(E$1:E1077, E$1:E1077&lt;&gt;""""))), LEN(INDEX(FILTER(E$1:E1077, E$1:E1077&lt;&gt;""""),COUNTA(FILTER(E$1:E1077, E$1:E1077&lt;&gt;""""))))-1), IF('To Order'!$A1078=COL"&amp;"UMNS($A1078:E1097), E1077&amp;RIGHT(INDIRECT(ADDRESS(ROW(E1078)-1, 'From Order'!$A1078)), 1), E1077))"),"")</f>
        <v/>
      </c>
      <c r="F1078" s="2" t="str">
        <f>IFERROR(__xludf.DUMMYFUNCTION("IF('From Order'!$A1078=COLUMNS($A1078:F1097), LEFT(INDEX(FILTER(F$1:F1077, F$1:F1077&lt;&gt;""""),COUNTA(FILTER(F$1:F1077, F$1:F1077&lt;&gt;""""))), LEN(INDEX(FILTER(F$1:F1077, F$1:F1077&lt;&gt;""""),COUNTA(FILTER(F$1:F1077, F$1:F1077&lt;&gt;""""))))-1), IF('To Order'!$A1078=COL"&amp;"UMNS($A1078:F1097), F1077&amp;RIGHT(INDIRECT(ADDRESS(ROW(F1078)-1, 'From Order'!$A1078)), 1), F1077))"),"")</f>
        <v/>
      </c>
      <c r="G1078" s="2" t="str">
        <f>IFERROR(__xludf.DUMMYFUNCTION("IF('From Order'!$A1078=COLUMNS($A1078:G1097), LEFT(INDEX(FILTER(G$1:G1077, G$1:G1077&lt;&gt;""""),COUNTA(FILTER(G$1:G1077, G$1:G1077&lt;&gt;""""))), LEN(INDEX(FILTER(G$1:G1077, G$1:G1077&lt;&gt;""""),COUNTA(FILTER(G$1:G1077, G$1:G1077&lt;&gt;""""))))-1), IF('To Order'!$A1078=COL"&amp;"UMNS($A1078:G1097), G1077&amp;RIGHT(INDIRECT(ADDRESS(ROW(G1078)-1, 'From Order'!$A1078)), 1), G1077))"),"BF")</f>
        <v>BF</v>
      </c>
      <c r="H1078" s="2" t="str">
        <f>IFERROR(__xludf.DUMMYFUNCTION("IF('From Order'!$A1078=COLUMNS($A1078:H1097), LEFT(INDEX(FILTER(H$1:H1077, H$1:H1077&lt;&gt;""""),COUNTA(FILTER(H$1:H1077, H$1:H1077&lt;&gt;""""))), LEN(INDEX(FILTER(H$1:H1077, H$1:H1077&lt;&gt;""""),COUNTA(FILTER(H$1:H1077, H$1:H1077&lt;&gt;""""))))-1), IF('To Order'!$A1078=COL"&amp;"UMNS($A1078:H1097), H1077&amp;RIGHT(INDIRECT(ADDRESS(ROW(H1078)-1, 'From Order'!$A1078)), 1), H1077))"),"CD")</f>
        <v>CD</v>
      </c>
      <c r="I1078" s="2" t="str">
        <f>IFERROR(__xludf.DUMMYFUNCTION("IF('From Order'!$A1078=COLUMNS($A1078:I1097), LEFT(INDEX(FILTER(I$1:I1077, I$1:I1077&lt;&gt;""""),COUNTA(FILTER(I$1:I1077, I$1:I1077&lt;&gt;""""))), LEN(INDEX(FILTER(I$1:I1077, I$1:I1077&lt;&gt;""""),COUNTA(FILTER(I$1:I1077, I$1:I1077&lt;&gt;""""))))-1), IF('To Order'!$A1078=COL"&amp;"UMNS($A1078:I1097), I1077&amp;RIGHT(INDIRECT(ADDRESS(ROW(I1078)-1, 'From Order'!$A1078)), 1), I1077))"),"")</f>
        <v/>
      </c>
    </row>
    <row r="1079">
      <c r="A1079" s="2" t="str">
        <f>IFERROR(__xludf.DUMMYFUNCTION("IF('From Order'!$A1079=COLUMNS($A1079:A1098), LEFT(INDEX(FILTER(A$1:A1078, A$1:A1078&lt;&gt;""""),COUNTA(FILTER(A$1:A1078, A$1:A1078&lt;&gt;""""))), LEN(INDEX(FILTER(A$1:A1078, A$1:A1078&lt;&gt;""""),COUNTA(FILTER(A$1:A1078, A$1:A1078&lt;&gt;""""))))-1), IF('To Order'!$A1079=COL"&amp;"UMNS($A1079:A1098), A1078&amp;RIGHT(INDIRECT(ADDRESS(ROW(A1079)-1, 'From Order'!$A1079)), 1), A1078))"),"")</f>
        <v/>
      </c>
      <c r="B1079" s="2" t="str">
        <f>IFERROR(__xludf.DUMMYFUNCTION("IF('From Order'!$A1079=COLUMNS($A1079:B1098), LEFT(INDEX(FILTER(B$1:B1078, B$1:B1078&lt;&gt;""""),COUNTA(FILTER(B$1:B1078, B$1:B1078&lt;&gt;""""))), LEN(INDEX(FILTER(B$1:B1078, B$1:B1078&lt;&gt;""""),COUNTA(FILTER(B$1:B1078, B$1:B1078&lt;&gt;""""))))-1), IF('To Order'!$A1079=COL"&amp;"UMNS($A1079:B1098), B1078&amp;RIGHT(INDIRECT(ADDRESS(ROW(B1079)-1, 'From Order'!$A1079)), 1), B1078))"),"ZLPDSDJDBSBZHMFBTMGTSLDTDTWRMTCR")</f>
        <v>ZLPDSDJDBSBZHMFBTMGTSLDTDTWRMTCR</v>
      </c>
      <c r="C1079" s="2" t="str">
        <f>IFERROR(__xludf.DUMMYFUNCTION("IF('From Order'!$A1079=COLUMNS($A1079:C1098), LEFT(INDEX(FILTER(C$1:C1078, C$1:C1078&lt;&gt;""""),COUNTA(FILTER(C$1:C1078, C$1:C1078&lt;&gt;""""))), LEN(INDEX(FILTER(C$1:C1078, C$1:C1078&lt;&gt;""""),COUNTA(FILTER(C$1:C1078, C$1:C1078&lt;&gt;""""))))-1), IF('To Order'!$A1079=COL"&amp;"UMNS($A1079:C1098), C1078&amp;RIGHT(INDIRECT(ADDRESS(ROW(C1079)-1, 'From Order'!$A1079)), 1), C1078))"),"TRLRSGHWQVQJPPVJCVZ")</f>
        <v>TRLRSGHWQVQJPPVJCVZ</v>
      </c>
      <c r="D1079" s="2" t="str">
        <f>IFERROR(__xludf.DUMMYFUNCTION("IF('From Order'!$A1079=COLUMNS($A1079:D1098), LEFT(INDEX(FILTER(D$1:D1078, D$1:D1078&lt;&gt;""""),COUNTA(FILTER(D$1:D1078, D$1:D1078&lt;&gt;""""))), LEN(INDEX(FILTER(D$1:D1078, D$1:D1078&lt;&gt;""""),COUNTA(FILTER(D$1:D1078, D$1:D1078&lt;&gt;""""))))-1), IF('To Order'!$A1079=COL"&amp;"UMNS($A1079:D1098), D1078&amp;RIGHT(INDIRECT(ADDRESS(ROW(D1079)-1, 'From Order'!$A1079)), 1), D1078))"),"")</f>
        <v/>
      </c>
      <c r="E1079" s="2" t="str">
        <f>IFERROR(__xludf.DUMMYFUNCTION("IF('From Order'!$A1079=COLUMNS($A1079:E1098), LEFT(INDEX(FILTER(E$1:E1078, E$1:E1078&lt;&gt;""""),COUNTA(FILTER(E$1:E1078, E$1:E1078&lt;&gt;""""))), LEN(INDEX(FILTER(E$1:E1078, E$1:E1078&lt;&gt;""""),COUNTA(FILTER(E$1:E1078, E$1:E1078&lt;&gt;""""))))-1), IF('To Order'!$A1079=COL"&amp;"UMNS($A1079:E1098), E1078&amp;RIGHT(INDIRECT(ADDRESS(ROW(E1079)-1, 'From Order'!$A1079)), 1), E1078))"),"")</f>
        <v/>
      </c>
      <c r="F1079" s="2" t="str">
        <f>IFERROR(__xludf.DUMMYFUNCTION("IF('From Order'!$A1079=COLUMNS($A1079:F1098), LEFT(INDEX(FILTER(F$1:F1078, F$1:F1078&lt;&gt;""""),COUNTA(FILTER(F$1:F1078, F$1:F1078&lt;&gt;""""))), LEN(INDEX(FILTER(F$1:F1078, F$1:F1078&lt;&gt;""""),COUNTA(FILTER(F$1:F1078, F$1:F1078&lt;&gt;""""))))-1), IF('To Order'!$A1079=COL"&amp;"UMNS($A1079:F1098), F1078&amp;RIGHT(INDIRECT(ADDRESS(ROW(F1079)-1, 'From Order'!$A1079)), 1), F1078))"),"")</f>
        <v/>
      </c>
      <c r="G1079" s="2" t="str">
        <f>IFERROR(__xludf.DUMMYFUNCTION("IF('From Order'!$A1079=COLUMNS($A1079:G1098), LEFT(INDEX(FILTER(G$1:G1078, G$1:G1078&lt;&gt;""""),COUNTA(FILTER(G$1:G1078, G$1:G1078&lt;&gt;""""))), LEN(INDEX(FILTER(G$1:G1078, G$1:G1078&lt;&gt;""""),COUNTA(FILTER(G$1:G1078, G$1:G1078&lt;&gt;""""))))-1), IF('To Order'!$A1079=COL"&amp;"UMNS($A1079:G1098), G1078&amp;RIGHT(INDIRECT(ADDRESS(ROW(G1079)-1, 'From Order'!$A1079)), 1), G1078))"),"BF")</f>
        <v>BF</v>
      </c>
      <c r="H1079" s="2" t="str">
        <f>IFERROR(__xludf.DUMMYFUNCTION("IF('From Order'!$A1079=COLUMNS($A1079:H1098), LEFT(INDEX(FILTER(H$1:H1078, H$1:H1078&lt;&gt;""""),COUNTA(FILTER(H$1:H1078, H$1:H1078&lt;&gt;""""))), LEN(INDEX(FILTER(H$1:H1078, H$1:H1078&lt;&gt;""""),COUNTA(FILTER(H$1:H1078, H$1:H1078&lt;&gt;""""))))-1), IF('To Order'!$A1079=COL"&amp;"UMNS($A1079:H1098), H1078&amp;RIGHT(INDIRECT(ADDRESS(ROW(H1079)-1, 'From Order'!$A1079)), 1), H1078))"),"CDR")</f>
        <v>CDR</v>
      </c>
      <c r="I1079" s="2" t="str">
        <f>IFERROR(__xludf.DUMMYFUNCTION("IF('From Order'!$A1079=COLUMNS($A1079:I1098), LEFT(INDEX(FILTER(I$1:I1078, I$1:I1078&lt;&gt;""""),COUNTA(FILTER(I$1:I1078, I$1:I1078&lt;&gt;""""))), LEN(INDEX(FILTER(I$1:I1078, I$1:I1078&lt;&gt;""""),COUNTA(FILTER(I$1:I1078, I$1:I1078&lt;&gt;""""))))-1), IF('To Order'!$A1079=COL"&amp;"UMNS($A1079:I1098), I1078&amp;RIGHT(INDIRECT(ADDRESS(ROW(I1079)-1, 'From Order'!$A1079)), 1), I1078))"),"")</f>
        <v/>
      </c>
    </row>
    <row r="1080">
      <c r="A1080" s="2" t="str">
        <f>IFERROR(__xludf.DUMMYFUNCTION("IF('From Order'!$A1080=COLUMNS($A1080:A1099), LEFT(INDEX(FILTER(A$1:A1079, A$1:A1079&lt;&gt;""""),COUNTA(FILTER(A$1:A1079, A$1:A1079&lt;&gt;""""))), LEN(INDEX(FILTER(A$1:A1079, A$1:A1079&lt;&gt;""""),COUNTA(FILTER(A$1:A1079, A$1:A1079&lt;&gt;""""))))-1), IF('To Order'!$A1080=COL"&amp;"UMNS($A1080:A1099), A1079&amp;RIGHT(INDIRECT(ADDRESS(ROW(A1080)-1, 'From Order'!$A1080)), 1), A1079))"),"")</f>
        <v/>
      </c>
      <c r="B1080" s="2" t="str">
        <f>IFERROR(__xludf.DUMMYFUNCTION("IF('From Order'!$A1080=COLUMNS($A1080:B1099), LEFT(INDEX(FILTER(B$1:B1079, B$1:B1079&lt;&gt;""""),COUNTA(FILTER(B$1:B1079, B$1:B1079&lt;&gt;""""))), LEN(INDEX(FILTER(B$1:B1079, B$1:B1079&lt;&gt;""""),COUNTA(FILTER(B$1:B1079, B$1:B1079&lt;&gt;""""))))-1), IF('To Order'!$A1080=COL"&amp;"UMNS($A1080:B1099), B1079&amp;RIGHT(INDIRECT(ADDRESS(ROW(B1080)-1, 'From Order'!$A1080)), 1), B1079))"),"ZLPDSDJDBSBZHMFBTMGTSLDTDTWRMTCR")</f>
        <v>ZLPDSDJDBSBZHMFBTMGTSLDTDTWRMTCR</v>
      </c>
      <c r="C1080" s="2" t="str">
        <f>IFERROR(__xludf.DUMMYFUNCTION("IF('From Order'!$A1080=COLUMNS($A1080:C1099), LEFT(INDEX(FILTER(C$1:C1079, C$1:C1079&lt;&gt;""""),COUNTA(FILTER(C$1:C1079, C$1:C1079&lt;&gt;""""))), LEN(INDEX(FILTER(C$1:C1079, C$1:C1079&lt;&gt;""""),COUNTA(FILTER(C$1:C1079, C$1:C1079&lt;&gt;""""))))-1), IF('To Order'!$A1080=COL"&amp;"UMNS($A1080:C1099), C1079&amp;RIGHT(INDIRECT(ADDRESS(ROW(C1080)-1, 'From Order'!$A1080)), 1), C1079))"),"TRLRSGHWQVQJPPVJCV")</f>
        <v>TRLRSGHWQVQJPPVJCV</v>
      </c>
      <c r="D1080" s="2" t="str">
        <f>IFERROR(__xludf.DUMMYFUNCTION("IF('From Order'!$A1080=COLUMNS($A1080:D1099), LEFT(INDEX(FILTER(D$1:D1079, D$1:D1079&lt;&gt;""""),COUNTA(FILTER(D$1:D1079, D$1:D1079&lt;&gt;""""))), LEN(INDEX(FILTER(D$1:D1079, D$1:D1079&lt;&gt;""""),COUNTA(FILTER(D$1:D1079, D$1:D1079&lt;&gt;""""))))-1), IF('To Order'!$A1080=COL"&amp;"UMNS($A1080:D1099), D1079&amp;RIGHT(INDIRECT(ADDRESS(ROW(D1080)-1, 'From Order'!$A1080)), 1), D1079))"),"")</f>
        <v/>
      </c>
      <c r="E1080" s="2" t="str">
        <f>IFERROR(__xludf.DUMMYFUNCTION("IF('From Order'!$A1080=COLUMNS($A1080:E1099), LEFT(INDEX(FILTER(E$1:E1079, E$1:E1079&lt;&gt;""""),COUNTA(FILTER(E$1:E1079, E$1:E1079&lt;&gt;""""))), LEN(INDEX(FILTER(E$1:E1079, E$1:E1079&lt;&gt;""""),COUNTA(FILTER(E$1:E1079, E$1:E1079&lt;&gt;""""))))-1), IF('To Order'!$A1080=COL"&amp;"UMNS($A1080:E1099), E1079&amp;RIGHT(INDIRECT(ADDRESS(ROW(E1080)-1, 'From Order'!$A1080)), 1), E1079))"),"")</f>
        <v/>
      </c>
      <c r="F1080" s="2" t="str">
        <f>IFERROR(__xludf.DUMMYFUNCTION("IF('From Order'!$A1080=COLUMNS($A1080:F1099), LEFT(INDEX(FILTER(F$1:F1079, F$1:F1079&lt;&gt;""""),COUNTA(FILTER(F$1:F1079, F$1:F1079&lt;&gt;""""))), LEN(INDEX(FILTER(F$1:F1079, F$1:F1079&lt;&gt;""""),COUNTA(FILTER(F$1:F1079, F$1:F1079&lt;&gt;""""))))-1), IF('To Order'!$A1080=COL"&amp;"UMNS($A1080:F1099), F1079&amp;RIGHT(INDIRECT(ADDRESS(ROW(F1080)-1, 'From Order'!$A1080)), 1), F1079))"),"")</f>
        <v/>
      </c>
      <c r="G1080" s="2" t="str">
        <f>IFERROR(__xludf.DUMMYFUNCTION("IF('From Order'!$A1080=COLUMNS($A1080:G1099), LEFT(INDEX(FILTER(G$1:G1079, G$1:G1079&lt;&gt;""""),COUNTA(FILTER(G$1:G1079, G$1:G1079&lt;&gt;""""))), LEN(INDEX(FILTER(G$1:G1079, G$1:G1079&lt;&gt;""""),COUNTA(FILTER(G$1:G1079, G$1:G1079&lt;&gt;""""))))-1), IF('To Order'!$A1080=COL"&amp;"UMNS($A1080:G1099), G1079&amp;RIGHT(INDIRECT(ADDRESS(ROW(G1080)-1, 'From Order'!$A1080)), 1), G1079))"),"BF")</f>
        <v>BF</v>
      </c>
      <c r="H1080" s="2" t="str">
        <f>IFERROR(__xludf.DUMMYFUNCTION("IF('From Order'!$A1080=COLUMNS($A1080:H1099), LEFT(INDEX(FILTER(H$1:H1079, H$1:H1079&lt;&gt;""""),COUNTA(FILTER(H$1:H1079, H$1:H1079&lt;&gt;""""))), LEN(INDEX(FILTER(H$1:H1079, H$1:H1079&lt;&gt;""""),COUNTA(FILTER(H$1:H1079, H$1:H1079&lt;&gt;""""))))-1), IF('To Order'!$A1080=COL"&amp;"UMNS($A1080:H1099), H1079&amp;RIGHT(INDIRECT(ADDRESS(ROW(H1080)-1, 'From Order'!$A1080)), 1), H1079))"),"CDRZ")</f>
        <v>CDRZ</v>
      </c>
      <c r="I1080" s="2" t="str">
        <f>IFERROR(__xludf.DUMMYFUNCTION("IF('From Order'!$A1080=COLUMNS($A1080:I1099), LEFT(INDEX(FILTER(I$1:I1079, I$1:I1079&lt;&gt;""""),COUNTA(FILTER(I$1:I1079, I$1:I1079&lt;&gt;""""))), LEN(INDEX(FILTER(I$1:I1079, I$1:I1079&lt;&gt;""""),COUNTA(FILTER(I$1:I1079, I$1:I1079&lt;&gt;""""))))-1), IF('To Order'!$A1080=COL"&amp;"UMNS($A1080:I1099), I1079&amp;RIGHT(INDIRECT(ADDRESS(ROW(I1080)-1, 'From Order'!$A1080)), 1), I1079))"),"")</f>
        <v/>
      </c>
    </row>
    <row r="1081">
      <c r="A1081" s="2" t="str">
        <f>IFERROR(__xludf.DUMMYFUNCTION("IF('From Order'!$A1081=COLUMNS($A1081:A1100), LEFT(INDEX(FILTER(A$1:A1080, A$1:A1080&lt;&gt;""""),COUNTA(FILTER(A$1:A1080, A$1:A1080&lt;&gt;""""))), LEN(INDEX(FILTER(A$1:A1080, A$1:A1080&lt;&gt;""""),COUNTA(FILTER(A$1:A1080, A$1:A1080&lt;&gt;""""))))-1), IF('To Order'!$A1081=COL"&amp;"UMNS($A1081:A1100), A1080&amp;RIGHT(INDIRECT(ADDRESS(ROW(A1081)-1, 'From Order'!$A1081)), 1), A1080))"),"")</f>
        <v/>
      </c>
      <c r="B1081" s="2" t="str">
        <f>IFERROR(__xludf.DUMMYFUNCTION("IF('From Order'!$A1081=COLUMNS($A1081:B1100), LEFT(INDEX(FILTER(B$1:B1080, B$1:B1080&lt;&gt;""""),COUNTA(FILTER(B$1:B1080, B$1:B1080&lt;&gt;""""))), LEN(INDEX(FILTER(B$1:B1080, B$1:B1080&lt;&gt;""""),COUNTA(FILTER(B$1:B1080, B$1:B1080&lt;&gt;""""))))-1), IF('To Order'!$A1081=COL"&amp;"UMNS($A1081:B1100), B1080&amp;RIGHT(INDIRECT(ADDRESS(ROW(B1081)-1, 'From Order'!$A1081)), 1), B1080))"),"ZLPDSDJDBSBZHMFBTMGTSLDTDTWRMTCR")</f>
        <v>ZLPDSDJDBSBZHMFBTMGTSLDTDTWRMTCR</v>
      </c>
      <c r="C1081" s="2" t="str">
        <f>IFERROR(__xludf.DUMMYFUNCTION("IF('From Order'!$A1081=COLUMNS($A1081:C1100), LEFT(INDEX(FILTER(C$1:C1080, C$1:C1080&lt;&gt;""""),COUNTA(FILTER(C$1:C1080, C$1:C1080&lt;&gt;""""))), LEN(INDEX(FILTER(C$1:C1080, C$1:C1080&lt;&gt;""""),COUNTA(FILTER(C$1:C1080, C$1:C1080&lt;&gt;""""))))-1), IF('To Order'!$A1081=COL"&amp;"UMNS($A1081:C1100), C1080&amp;RIGHT(INDIRECT(ADDRESS(ROW(C1081)-1, 'From Order'!$A1081)), 1), C1080))"),"TRLRSGHWQVQJPPVJC")</f>
        <v>TRLRSGHWQVQJPPVJC</v>
      </c>
      <c r="D1081" s="2" t="str">
        <f>IFERROR(__xludf.DUMMYFUNCTION("IF('From Order'!$A1081=COLUMNS($A1081:D1100), LEFT(INDEX(FILTER(D$1:D1080, D$1:D1080&lt;&gt;""""),COUNTA(FILTER(D$1:D1080, D$1:D1080&lt;&gt;""""))), LEN(INDEX(FILTER(D$1:D1080, D$1:D1080&lt;&gt;""""),COUNTA(FILTER(D$1:D1080, D$1:D1080&lt;&gt;""""))))-1), IF('To Order'!$A1081=COL"&amp;"UMNS($A1081:D1100), D1080&amp;RIGHT(INDIRECT(ADDRESS(ROW(D1081)-1, 'From Order'!$A1081)), 1), D1080))"),"")</f>
        <v/>
      </c>
      <c r="E1081" s="2" t="str">
        <f>IFERROR(__xludf.DUMMYFUNCTION("IF('From Order'!$A1081=COLUMNS($A1081:E1100), LEFT(INDEX(FILTER(E$1:E1080, E$1:E1080&lt;&gt;""""),COUNTA(FILTER(E$1:E1080, E$1:E1080&lt;&gt;""""))), LEN(INDEX(FILTER(E$1:E1080, E$1:E1080&lt;&gt;""""),COUNTA(FILTER(E$1:E1080, E$1:E1080&lt;&gt;""""))))-1), IF('To Order'!$A1081=COL"&amp;"UMNS($A1081:E1100), E1080&amp;RIGHT(INDIRECT(ADDRESS(ROW(E1081)-1, 'From Order'!$A1081)), 1), E1080))"),"")</f>
        <v/>
      </c>
      <c r="F1081" s="2" t="str">
        <f>IFERROR(__xludf.DUMMYFUNCTION("IF('From Order'!$A1081=COLUMNS($A1081:F1100), LEFT(INDEX(FILTER(F$1:F1080, F$1:F1080&lt;&gt;""""),COUNTA(FILTER(F$1:F1080, F$1:F1080&lt;&gt;""""))), LEN(INDEX(FILTER(F$1:F1080, F$1:F1080&lt;&gt;""""),COUNTA(FILTER(F$1:F1080, F$1:F1080&lt;&gt;""""))))-1), IF('To Order'!$A1081=COL"&amp;"UMNS($A1081:F1100), F1080&amp;RIGHT(INDIRECT(ADDRESS(ROW(F1081)-1, 'From Order'!$A1081)), 1), F1080))"),"")</f>
        <v/>
      </c>
      <c r="G1081" s="2" t="str">
        <f>IFERROR(__xludf.DUMMYFUNCTION("IF('From Order'!$A1081=COLUMNS($A1081:G1100), LEFT(INDEX(FILTER(G$1:G1080, G$1:G1080&lt;&gt;""""),COUNTA(FILTER(G$1:G1080, G$1:G1080&lt;&gt;""""))), LEN(INDEX(FILTER(G$1:G1080, G$1:G1080&lt;&gt;""""),COUNTA(FILTER(G$1:G1080, G$1:G1080&lt;&gt;""""))))-1), IF('To Order'!$A1081=COL"&amp;"UMNS($A1081:G1100), G1080&amp;RIGHT(INDIRECT(ADDRESS(ROW(G1081)-1, 'From Order'!$A1081)), 1), G1080))"),"BF")</f>
        <v>BF</v>
      </c>
      <c r="H1081" s="2" t="str">
        <f>IFERROR(__xludf.DUMMYFUNCTION("IF('From Order'!$A1081=COLUMNS($A1081:H1100), LEFT(INDEX(FILTER(H$1:H1080, H$1:H1080&lt;&gt;""""),COUNTA(FILTER(H$1:H1080, H$1:H1080&lt;&gt;""""))), LEN(INDEX(FILTER(H$1:H1080, H$1:H1080&lt;&gt;""""),COUNTA(FILTER(H$1:H1080, H$1:H1080&lt;&gt;""""))))-1), IF('To Order'!$A1081=COL"&amp;"UMNS($A1081:H1100), H1080&amp;RIGHT(INDIRECT(ADDRESS(ROW(H1081)-1, 'From Order'!$A1081)), 1), H1080))"),"CDRZV")</f>
        <v>CDRZV</v>
      </c>
      <c r="I1081" s="2" t="str">
        <f>IFERROR(__xludf.DUMMYFUNCTION("IF('From Order'!$A1081=COLUMNS($A1081:I1100), LEFT(INDEX(FILTER(I$1:I1080, I$1:I1080&lt;&gt;""""),COUNTA(FILTER(I$1:I1080, I$1:I1080&lt;&gt;""""))), LEN(INDEX(FILTER(I$1:I1080, I$1:I1080&lt;&gt;""""),COUNTA(FILTER(I$1:I1080, I$1:I1080&lt;&gt;""""))))-1), IF('To Order'!$A1081=COL"&amp;"UMNS($A1081:I1100), I1080&amp;RIGHT(INDIRECT(ADDRESS(ROW(I1081)-1, 'From Order'!$A1081)), 1), I1080))"),"")</f>
        <v/>
      </c>
    </row>
    <row r="1082">
      <c r="A1082" s="2" t="str">
        <f>IFERROR(__xludf.DUMMYFUNCTION("IF('From Order'!$A1082=COLUMNS($A1082:A1101), LEFT(INDEX(FILTER(A$1:A1081, A$1:A1081&lt;&gt;""""),COUNTA(FILTER(A$1:A1081, A$1:A1081&lt;&gt;""""))), LEN(INDEX(FILTER(A$1:A1081, A$1:A1081&lt;&gt;""""),COUNTA(FILTER(A$1:A1081, A$1:A1081&lt;&gt;""""))))-1), IF('To Order'!$A1082=COL"&amp;"UMNS($A1082:A1101), A1081&amp;RIGHT(INDIRECT(ADDRESS(ROW(A1082)-1, 'From Order'!$A1082)), 1), A1081))"),"")</f>
        <v/>
      </c>
      <c r="B1082" s="2" t="str">
        <f>IFERROR(__xludf.DUMMYFUNCTION("IF('From Order'!$A1082=COLUMNS($A1082:B1101), LEFT(INDEX(FILTER(B$1:B1081, B$1:B1081&lt;&gt;""""),COUNTA(FILTER(B$1:B1081, B$1:B1081&lt;&gt;""""))), LEN(INDEX(FILTER(B$1:B1081, B$1:B1081&lt;&gt;""""),COUNTA(FILTER(B$1:B1081, B$1:B1081&lt;&gt;""""))))-1), IF('To Order'!$A1082=COL"&amp;"UMNS($A1082:B1101), B1081&amp;RIGHT(INDIRECT(ADDRESS(ROW(B1082)-1, 'From Order'!$A1082)), 1), B1081))"),"ZLPDSDJDBSBZHMFBTMGTSLDTDTWRMTCR")</f>
        <v>ZLPDSDJDBSBZHMFBTMGTSLDTDTWRMTCR</v>
      </c>
      <c r="C1082" s="2" t="str">
        <f>IFERROR(__xludf.DUMMYFUNCTION("IF('From Order'!$A1082=COLUMNS($A1082:C1101), LEFT(INDEX(FILTER(C$1:C1081, C$1:C1081&lt;&gt;""""),COUNTA(FILTER(C$1:C1081, C$1:C1081&lt;&gt;""""))), LEN(INDEX(FILTER(C$1:C1081, C$1:C1081&lt;&gt;""""),COUNTA(FILTER(C$1:C1081, C$1:C1081&lt;&gt;""""))))-1), IF('To Order'!$A1082=COL"&amp;"UMNS($A1082:C1101), C1081&amp;RIGHT(INDIRECT(ADDRESS(ROW(C1082)-1, 'From Order'!$A1082)), 1), C1081))"),"TRLRSGHWQVQJPPVJ")</f>
        <v>TRLRSGHWQVQJPPVJ</v>
      </c>
      <c r="D1082" s="2" t="str">
        <f>IFERROR(__xludf.DUMMYFUNCTION("IF('From Order'!$A1082=COLUMNS($A1082:D1101), LEFT(INDEX(FILTER(D$1:D1081, D$1:D1081&lt;&gt;""""),COUNTA(FILTER(D$1:D1081, D$1:D1081&lt;&gt;""""))), LEN(INDEX(FILTER(D$1:D1081, D$1:D1081&lt;&gt;""""),COUNTA(FILTER(D$1:D1081, D$1:D1081&lt;&gt;""""))))-1), IF('To Order'!$A1082=COL"&amp;"UMNS($A1082:D1101), D1081&amp;RIGHT(INDIRECT(ADDRESS(ROW(D1082)-1, 'From Order'!$A1082)), 1), D1081))"),"")</f>
        <v/>
      </c>
      <c r="E1082" s="2" t="str">
        <f>IFERROR(__xludf.DUMMYFUNCTION("IF('From Order'!$A1082=COLUMNS($A1082:E1101), LEFT(INDEX(FILTER(E$1:E1081, E$1:E1081&lt;&gt;""""),COUNTA(FILTER(E$1:E1081, E$1:E1081&lt;&gt;""""))), LEN(INDEX(FILTER(E$1:E1081, E$1:E1081&lt;&gt;""""),COUNTA(FILTER(E$1:E1081, E$1:E1081&lt;&gt;""""))))-1), IF('To Order'!$A1082=COL"&amp;"UMNS($A1082:E1101), E1081&amp;RIGHT(INDIRECT(ADDRESS(ROW(E1082)-1, 'From Order'!$A1082)), 1), E1081))"),"")</f>
        <v/>
      </c>
      <c r="F1082" s="2" t="str">
        <f>IFERROR(__xludf.DUMMYFUNCTION("IF('From Order'!$A1082=COLUMNS($A1082:F1101), LEFT(INDEX(FILTER(F$1:F1081, F$1:F1081&lt;&gt;""""),COUNTA(FILTER(F$1:F1081, F$1:F1081&lt;&gt;""""))), LEN(INDEX(FILTER(F$1:F1081, F$1:F1081&lt;&gt;""""),COUNTA(FILTER(F$1:F1081, F$1:F1081&lt;&gt;""""))))-1), IF('To Order'!$A1082=COL"&amp;"UMNS($A1082:F1101), F1081&amp;RIGHT(INDIRECT(ADDRESS(ROW(F1082)-1, 'From Order'!$A1082)), 1), F1081))"),"")</f>
        <v/>
      </c>
      <c r="G1082" s="2" t="str">
        <f>IFERROR(__xludf.DUMMYFUNCTION("IF('From Order'!$A1082=COLUMNS($A1082:G1101), LEFT(INDEX(FILTER(G$1:G1081, G$1:G1081&lt;&gt;""""),COUNTA(FILTER(G$1:G1081, G$1:G1081&lt;&gt;""""))), LEN(INDEX(FILTER(G$1:G1081, G$1:G1081&lt;&gt;""""),COUNTA(FILTER(G$1:G1081, G$1:G1081&lt;&gt;""""))))-1), IF('To Order'!$A1082=COL"&amp;"UMNS($A1082:G1101), G1081&amp;RIGHT(INDIRECT(ADDRESS(ROW(G1082)-1, 'From Order'!$A1082)), 1), G1081))"),"BF")</f>
        <v>BF</v>
      </c>
      <c r="H1082" s="2" t="str">
        <f>IFERROR(__xludf.DUMMYFUNCTION("IF('From Order'!$A1082=COLUMNS($A1082:H1101), LEFT(INDEX(FILTER(H$1:H1081, H$1:H1081&lt;&gt;""""),COUNTA(FILTER(H$1:H1081, H$1:H1081&lt;&gt;""""))), LEN(INDEX(FILTER(H$1:H1081, H$1:H1081&lt;&gt;""""),COUNTA(FILTER(H$1:H1081, H$1:H1081&lt;&gt;""""))))-1), IF('To Order'!$A1082=COL"&amp;"UMNS($A1082:H1101), H1081&amp;RIGHT(INDIRECT(ADDRESS(ROW(H1082)-1, 'From Order'!$A1082)), 1), H1081))"),"CDRZVC")</f>
        <v>CDRZVC</v>
      </c>
      <c r="I1082" s="2" t="str">
        <f>IFERROR(__xludf.DUMMYFUNCTION("IF('From Order'!$A1082=COLUMNS($A1082:I1101), LEFT(INDEX(FILTER(I$1:I1081, I$1:I1081&lt;&gt;""""),COUNTA(FILTER(I$1:I1081, I$1:I1081&lt;&gt;""""))), LEN(INDEX(FILTER(I$1:I1081, I$1:I1081&lt;&gt;""""),COUNTA(FILTER(I$1:I1081, I$1:I1081&lt;&gt;""""))))-1), IF('To Order'!$A1082=COL"&amp;"UMNS($A1082:I1101), I1081&amp;RIGHT(INDIRECT(ADDRESS(ROW(I1082)-1, 'From Order'!$A1082)), 1), I1081))"),"")</f>
        <v/>
      </c>
    </row>
    <row r="1083">
      <c r="A1083" s="2" t="str">
        <f>IFERROR(__xludf.DUMMYFUNCTION("IF('From Order'!$A1083=COLUMNS($A1083:A1102), LEFT(INDEX(FILTER(A$1:A1082, A$1:A1082&lt;&gt;""""),COUNTA(FILTER(A$1:A1082, A$1:A1082&lt;&gt;""""))), LEN(INDEX(FILTER(A$1:A1082, A$1:A1082&lt;&gt;""""),COUNTA(FILTER(A$1:A1082, A$1:A1082&lt;&gt;""""))))-1), IF('To Order'!$A1083=COL"&amp;"UMNS($A1083:A1102), A1082&amp;RIGHT(INDIRECT(ADDRESS(ROW(A1083)-1, 'From Order'!$A1083)), 1), A1082))"),"")</f>
        <v/>
      </c>
      <c r="B1083" s="2" t="str">
        <f>IFERROR(__xludf.DUMMYFUNCTION("IF('From Order'!$A1083=COLUMNS($A1083:B1102), LEFT(INDEX(FILTER(B$1:B1082, B$1:B1082&lt;&gt;""""),COUNTA(FILTER(B$1:B1082, B$1:B1082&lt;&gt;""""))), LEN(INDEX(FILTER(B$1:B1082, B$1:B1082&lt;&gt;""""),COUNTA(FILTER(B$1:B1082, B$1:B1082&lt;&gt;""""))))-1), IF('To Order'!$A1083=COL"&amp;"UMNS($A1083:B1102), B1082&amp;RIGHT(INDIRECT(ADDRESS(ROW(B1083)-1, 'From Order'!$A1083)), 1), B1082))"),"ZLPDSDJDBSBZHMFBTMGTSLDTDTWRMTCR")</f>
        <v>ZLPDSDJDBSBZHMFBTMGTSLDTDTWRMTCR</v>
      </c>
      <c r="C1083" s="2" t="str">
        <f>IFERROR(__xludf.DUMMYFUNCTION("IF('From Order'!$A1083=COLUMNS($A1083:C1102), LEFT(INDEX(FILTER(C$1:C1082, C$1:C1082&lt;&gt;""""),COUNTA(FILTER(C$1:C1082, C$1:C1082&lt;&gt;""""))), LEN(INDEX(FILTER(C$1:C1082, C$1:C1082&lt;&gt;""""),COUNTA(FILTER(C$1:C1082, C$1:C1082&lt;&gt;""""))))-1), IF('To Order'!$A1083=COL"&amp;"UMNS($A1083:C1102), C1082&amp;RIGHT(INDIRECT(ADDRESS(ROW(C1083)-1, 'From Order'!$A1083)), 1), C1082))"),"TRLRSGHWQVQJPPV")</f>
        <v>TRLRSGHWQVQJPPV</v>
      </c>
      <c r="D1083" s="2" t="str">
        <f>IFERROR(__xludf.DUMMYFUNCTION("IF('From Order'!$A1083=COLUMNS($A1083:D1102), LEFT(INDEX(FILTER(D$1:D1082, D$1:D1082&lt;&gt;""""),COUNTA(FILTER(D$1:D1082, D$1:D1082&lt;&gt;""""))), LEN(INDEX(FILTER(D$1:D1082, D$1:D1082&lt;&gt;""""),COUNTA(FILTER(D$1:D1082, D$1:D1082&lt;&gt;""""))))-1), IF('To Order'!$A1083=COL"&amp;"UMNS($A1083:D1102), D1082&amp;RIGHT(INDIRECT(ADDRESS(ROW(D1083)-1, 'From Order'!$A1083)), 1), D1082))"),"")</f>
        <v/>
      </c>
      <c r="E1083" s="2" t="str">
        <f>IFERROR(__xludf.DUMMYFUNCTION("IF('From Order'!$A1083=COLUMNS($A1083:E1102), LEFT(INDEX(FILTER(E$1:E1082, E$1:E1082&lt;&gt;""""),COUNTA(FILTER(E$1:E1082, E$1:E1082&lt;&gt;""""))), LEN(INDEX(FILTER(E$1:E1082, E$1:E1082&lt;&gt;""""),COUNTA(FILTER(E$1:E1082, E$1:E1082&lt;&gt;""""))))-1), IF('To Order'!$A1083=COL"&amp;"UMNS($A1083:E1102), E1082&amp;RIGHT(INDIRECT(ADDRESS(ROW(E1083)-1, 'From Order'!$A1083)), 1), E1082))"),"")</f>
        <v/>
      </c>
      <c r="F1083" s="2" t="str">
        <f>IFERROR(__xludf.DUMMYFUNCTION("IF('From Order'!$A1083=COLUMNS($A1083:F1102), LEFT(INDEX(FILTER(F$1:F1082, F$1:F1082&lt;&gt;""""),COUNTA(FILTER(F$1:F1082, F$1:F1082&lt;&gt;""""))), LEN(INDEX(FILTER(F$1:F1082, F$1:F1082&lt;&gt;""""),COUNTA(FILTER(F$1:F1082, F$1:F1082&lt;&gt;""""))))-1), IF('To Order'!$A1083=COL"&amp;"UMNS($A1083:F1102), F1082&amp;RIGHT(INDIRECT(ADDRESS(ROW(F1083)-1, 'From Order'!$A1083)), 1), F1082))"),"")</f>
        <v/>
      </c>
      <c r="G1083" s="2" t="str">
        <f>IFERROR(__xludf.DUMMYFUNCTION("IF('From Order'!$A1083=COLUMNS($A1083:G1102), LEFT(INDEX(FILTER(G$1:G1082, G$1:G1082&lt;&gt;""""),COUNTA(FILTER(G$1:G1082, G$1:G1082&lt;&gt;""""))), LEN(INDEX(FILTER(G$1:G1082, G$1:G1082&lt;&gt;""""),COUNTA(FILTER(G$1:G1082, G$1:G1082&lt;&gt;""""))))-1), IF('To Order'!$A1083=COL"&amp;"UMNS($A1083:G1102), G1082&amp;RIGHT(INDIRECT(ADDRESS(ROW(G1083)-1, 'From Order'!$A1083)), 1), G1082))"),"BF")</f>
        <v>BF</v>
      </c>
      <c r="H1083" s="2" t="str">
        <f>IFERROR(__xludf.DUMMYFUNCTION("IF('From Order'!$A1083=COLUMNS($A1083:H1102), LEFT(INDEX(FILTER(H$1:H1082, H$1:H1082&lt;&gt;""""),COUNTA(FILTER(H$1:H1082, H$1:H1082&lt;&gt;""""))), LEN(INDEX(FILTER(H$1:H1082, H$1:H1082&lt;&gt;""""),COUNTA(FILTER(H$1:H1082, H$1:H1082&lt;&gt;""""))))-1), IF('To Order'!$A1083=COL"&amp;"UMNS($A1083:H1102), H1082&amp;RIGHT(INDIRECT(ADDRESS(ROW(H1083)-1, 'From Order'!$A1083)), 1), H1082))"),"CDRZVCJ")</f>
        <v>CDRZVCJ</v>
      </c>
      <c r="I1083" s="2" t="str">
        <f>IFERROR(__xludf.DUMMYFUNCTION("IF('From Order'!$A1083=COLUMNS($A1083:I1102), LEFT(INDEX(FILTER(I$1:I1082, I$1:I1082&lt;&gt;""""),COUNTA(FILTER(I$1:I1082, I$1:I1082&lt;&gt;""""))), LEN(INDEX(FILTER(I$1:I1082, I$1:I1082&lt;&gt;""""),COUNTA(FILTER(I$1:I1082, I$1:I1082&lt;&gt;""""))))-1), IF('To Order'!$A1083=COL"&amp;"UMNS($A1083:I1102), I1082&amp;RIGHT(INDIRECT(ADDRESS(ROW(I1083)-1, 'From Order'!$A1083)), 1), I1082))"),"")</f>
        <v/>
      </c>
    </row>
    <row r="1084">
      <c r="A1084" s="2" t="str">
        <f>IFERROR(__xludf.DUMMYFUNCTION("IF('From Order'!$A1084=COLUMNS($A1084:A1103), LEFT(INDEX(FILTER(A$1:A1083, A$1:A1083&lt;&gt;""""),COUNTA(FILTER(A$1:A1083, A$1:A1083&lt;&gt;""""))), LEN(INDEX(FILTER(A$1:A1083, A$1:A1083&lt;&gt;""""),COUNTA(FILTER(A$1:A1083, A$1:A1083&lt;&gt;""""))))-1), IF('To Order'!$A1084=COL"&amp;"UMNS($A1084:A1103), A1083&amp;RIGHT(INDIRECT(ADDRESS(ROW(A1084)-1, 'From Order'!$A1084)), 1), A1083))"),"")</f>
        <v/>
      </c>
      <c r="B1084" s="2" t="str">
        <f>IFERROR(__xludf.DUMMYFUNCTION("IF('From Order'!$A1084=COLUMNS($A1084:B1103), LEFT(INDEX(FILTER(B$1:B1083, B$1:B1083&lt;&gt;""""),COUNTA(FILTER(B$1:B1083, B$1:B1083&lt;&gt;""""))), LEN(INDEX(FILTER(B$1:B1083, B$1:B1083&lt;&gt;""""),COUNTA(FILTER(B$1:B1083, B$1:B1083&lt;&gt;""""))))-1), IF('To Order'!$A1084=COL"&amp;"UMNS($A1084:B1103), B1083&amp;RIGHT(INDIRECT(ADDRESS(ROW(B1084)-1, 'From Order'!$A1084)), 1), B1083))"),"ZLPDSDJDBSBZHMFBTMGTSLDTDTWRMTCR")</f>
        <v>ZLPDSDJDBSBZHMFBTMGTSLDTDTWRMTCR</v>
      </c>
      <c r="C1084" s="2" t="str">
        <f>IFERROR(__xludf.DUMMYFUNCTION("IF('From Order'!$A1084=COLUMNS($A1084:C1103), LEFT(INDEX(FILTER(C$1:C1083, C$1:C1083&lt;&gt;""""),COUNTA(FILTER(C$1:C1083, C$1:C1083&lt;&gt;""""))), LEN(INDEX(FILTER(C$1:C1083, C$1:C1083&lt;&gt;""""),COUNTA(FILTER(C$1:C1083, C$1:C1083&lt;&gt;""""))))-1), IF('To Order'!$A1084=COL"&amp;"UMNS($A1084:C1103), C1083&amp;RIGHT(INDIRECT(ADDRESS(ROW(C1084)-1, 'From Order'!$A1084)), 1), C1083))"),"TRLRSGHWQVQJPP")</f>
        <v>TRLRSGHWQVQJPP</v>
      </c>
      <c r="D1084" s="2" t="str">
        <f>IFERROR(__xludf.DUMMYFUNCTION("IF('From Order'!$A1084=COLUMNS($A1084:D1103), LEFT(INDEX(FILTER(D$1:D1083, D$1:D1083&lt;&gt;""""),COUNTA(FILTER(D$1:D1083, D$1:D1083&lt;&gt;""""))), LEN(INDEX(FILTER(D$1:D1083, D$1:D1083&lt;&gt;""""),COUNTA(FILTER(D$1:D1083, D$1:D1083&lt;&gt;""""))))-1), IF('To Order'!$A1084=COL"&amp;"UMNS($A1084:D1103), D1083&amp;RIGHT(INDIRECT(ADDRESS(ROW(D1084)-1, 'From Order'!$A1084)), 1), D1083))"),"")</f>
        <v/>
      </c>
      <c r="E1084" s="2" t="str">
        <f>IFERROR(__xludf.DUMMYFUNCTION("IF('From Order'!$A1084=COLUMNS($A1084:E1103), LEFT(INDEX(FILTER(E$1:E1083, E$1:E1083&lt;&gt;""""),COUNTA(FILTER(E$1:E1083, E$1:E1083&lt;&gt;""""))), LEN(INDEX(FILTER(E$1:E1083, E$1:E1083&lt;&gt;""""),COUNTA(FILTER(E$1:E1083, E$1:E1083&lt;&gt;""""))))-1), IF('To Order'!$A1084=COL"&amp;"UMNS($A1084:E1103), E1083&amp;RIGHT(INDIRECT(ADDRESS(ROW(E1084)-1, 'From Order'!$A1084)), 1), E1083))"),"")</f>
        <v/>
      </c>
      <c r="F1084" s="2" t="str">
        <f>IFERROR(__xludf.DUMMYFUNCTION("IF('From Order'!$A1084=COLUMNS($A1084:F1103), LEFT(INDEX(FILTER(F$1:F1083, F$1:F1083&lt;&gt;""""),COUNTA(FILTER(F$1:F1083, F$1:F1083&lt;&gt;""""))), LEN(INDEX(FILTER(F$1:F1083, F$1:F1083&lt;&gt;""""),COUNTA(FILTER(F$1:F1083, F$1:F1083&lt;&gt;""""))))-1), IF('To Order'!$A1084=COL"&amp;"UMNS($A1084:F1103), F1083&amp;RIGHT(INDIRECT(ADDRESS(ROW(F1084)-1, 'From Order'!$A1084)), 1), F1083))"),"")</f>
        <v/>
      </c>
      <c r="G1084" s="2" t="str">
        <f>IFERROR(__xludf.DUMMYFUNCTION("IF('From Order'!$A1084=COLUMNS($A1084:G1103), LEFT(INDEX(FILTER(G$1:G1083, G$1:G1083&lt;&gt;""""),COUNTA(FILTER(G$1:G1083, G$1:G1083&lt;&gt;""""))), LEN(INDEX(FILTER(G$1:G1083, G$1:G1083&lt;&gt;""""),COUNTA(FILTER(G$1:G1083, G$1:G1083&lt;&gt;""""))))-1), IF('To Order'!$A1084=COL"&amp;"UMNS($A1084:G1103), G1083&amp;RIGHT(INDIRECT(ADDRESS(ROW(G1084)-1, 'From Order'!$A1084)), 1), G1083))"),"BF")</f>
        <v>BF</v>
      </c>
      <c r="H1084" s="2" t="str">
        <f>IFERROR(__xludf.DUMMYFUNCTION("IF('From Order'!$A1084=COLUMNS($A1084:H1103), LEFT(INDEX(FILTER(H$1:H1083, H$1:H1083&lt;&gt;""""),COUNTA(FILTER(H$1:H1083, H$1:H1083&lt;&gt;""""))), LEN(INDEX(FILTER(H$1:H1083, H$1:H1083&lt;&gt;""""),COUNTA(FILTER(H$1:H1083, H$1:H1083&lt;&gt;""""))))-1), IF('To Order'!$A1084=COL"&amp;"UMNS($A1084:H1103), H1083&amp;RIGHT(INDIRECT(ADDRESS(ROW(H1084)-1, 'From Order'!$A1084)), 1), H1083))"),"CDRZVCJV")</f>
        <v>CDRZVCJV</v>
      </c>
      <c r="I1084" s="2" t="str">
        <f>IFERROR(__xludf.DUMMYFUNCTION("IF('From Order'!$A1084=COLUMNS($A1084:I1103), LEFT(INDEX(FILTER(I$1:I1083, I$1:I1083&lt;&gt;""""),COUNTA(FILTER(I$1:I1083, I$1:I1083&lt;&gt;""""))), LEN(INDEX(FILTER(I$1:I1083, I$1:I1083&lt;&gt;""""),COUNTA(FILTER(I$1:I1083, I$1:I1083&lt;&gt;""""))))-1), IF('To Order'!$A1084=COL"&amp;"UMNS($A1084:I1103), I1083&amp;RIGHT(INDIRECT(ADDRESS(ROW(I1084)-1, 'From Order'!$A1084)), 1), I1083))"),"")</f>
        <v/>
      </c>
    </row>
    <row r="1085">
      <c r="A1085" s="2" t="str">
        <f>IFERROR(__xludf.DUMMYFUNCTION("IF('From Order'!$A1085=COLUMNS($A1085:A1104), LEFT(INDEX(FILTER(A$1:A1084, A$1:A1084&lt;&gt;""""),COUNTA(FILTER(A$1:A1084, A$1:A1084&lt;&gt;""""))), LEN(INDEX(FILTER(A$1:A1084, A$1:A1084&lt;&gt;""""),COUNTA(FILTER(A$1:A1084, A$1:A1084&lt;&gt;""""))))-1), IF('To Order'!$A1085=COL"&amp;"UMNS($A1085:A1104), A1084&amp;RIGHT(INDIRECT(ADDRESS(ROW(A1085)-1, 'From Order'!$A1085)), 1), A1084))"),"")</f>
        <v/>
      </c>
      <c r="B1085" s="2" t="str">
        <f>IFERROR(__xludf.DUMMYFUNCTION("IF('From Order'!$A1085=COLUMNS($A1085:B1104), LEFT(INDEX(FILTER(B$1:B1084, B$1:B1084&lt;&gt;""""),COUNTA(FILTER(B$1:B1084, B$1:B1084&lt;&gt;""""))), LEN(INDEX(FILTER(B$1:B1084, B$1:B1084&lt;&gt;""""),COUNTA(FILTER(B$1:B1084, B$1:B1084&lt;&gt;""""))))-1), IF('To Order'!$A1085=COL"&amp;"UMNS($A1085:B1104), B1084&amp;RIGHT(INDIRECT(ADDRESS(ROW(B1085)-1, 'From Order'!$A1085)), 1), B1084))"),"ZLPDSDJDBSBZHMFBTMGTSLDTDTWRMTCR")</f>
        <v>ZLPDSDJDBSBZHMFBTMGTSLDTDTWRMTCR</v>
      </c>
      <c r="C1085" s="2" t="str">
        <f>IFERROR(__xludf.DUMMYFUNCTION("IF('From Order'!$A1085=COLUMNS($A1085:C1104), LEFT(INDEX(FILTER(C$1:C1084, C$1:C1084&lt;&gt;""""),COUNTA(FILTER(C$1:C1084, C$1:C1084&lt;&gt;""""))), LEN(INDEX(FILTER(C$1:C1084, C$1:C1084&lt;&gt;""""),COUNTA(FILTER(C$1:C1084, C$1:C1084&lt;&gt;""""))))-1), IF('To Order'!$A1085=COL"&amp;"UMNS($A1085:C1104), C1084&amp;RIGHT(INDIRECT(ADDRESS(ROW(C1085)-1, 'From Order'!$A1085)), 1), C1084))"),"TRLRSGHWQVQJPP")</f>
        <v>TRLRSGHWQVQJPP</v>
      </c>
      <c r="D1085" s="2" t="str">
        <f>IFERROR(__xludf.DUMMYFUNCTION("IF('From Order'!$A1085=COLUMNS($A1085:D1104), LEFT(INDEX(FILTER(D$1:D1084, D$1:D1084&lt;&gt;""""),COUNTA(FILTER(D$1:D1084, D$1:D1084&lt;&gt;""""))), LEN(INDEX(FILTER(D$1:D1084, D$1:D1084&lt;&gt;""""),COUNTA(FILTER(D$1:D1084, D$1:D1084&lt;&gt;""""))))-1), IF('To Order'!$A1085=COL"&amp;"UMNS($A1085:D1104), D1084&amp;RIGHT(INDIRECT(ADDRESS(ROW(D1085)-1, 'From Order'!$A1085)), 1), D1084))"),"")</f>
        <v/>
      </c>
      <c r="E1085" s="2" t="str">
        <f>IFERROR(__xludf.DUMMYFUNCTION("IF('From Order'!$A1085=COLUMNS($A1085:E1104), LEFT(INDEX(FILTER(E$1:E1084, E$1:E1084&lt;&gt;""""),COUNTA(FILTER(E$1:E1084, E$1:E1084&lt;&gt;""""))), LEN(INDEX(FILTER(E$1:E1084, E$1:E1084&lt;&gt;""""),COUNTA(FILTER(E$1:E1084, E$1:E1084&lt;&gt;""""))))-1), IF('To Order'!$A1085=COL"&amp;"UMNS($A1085:E1104), E1084&amp;RIGHT(INDIRECT(ADDRESS(ROW(E1085)-1, 'From Order'!$A1085)), 1), E1084))"),"")</f>
        <v/>
      </c>
      <c r="F1085" s="2" t="str">
        <f>IFERROR(__xludf.DUMMYFUNCTION("IF('From Order'!$A1085=COLUMNS($A1085:F1104), LEFT(INDEX(FILTER(F$1:F1084, F$1:F1084&lt;&gt;""""),COUNTA(FILTER(F$1:F1084, F$1:F1084&lt;&gt;""""))), LEN(INDEX(FILTER(F$1:F1084, F$1:F1084&lt;&gt;""""),COUNTA(FILTER(F$1:F1084, F$1:F1084&lt;&gt;""""))))-1), IF('To Order'!$A1085=COL"&amp;"UMNS($A1085:F1104), F1084&amp;RIGHT(INDIRECT(ADDRESS(ROW(F1085)-1, 'From Order'!$A1085)), 1), F1084))"),"")</f>
        <v/>
      </c>
      <c r="G1085" s="2" t="str">
        <f>IFERROR(__xludf.DUMMYFUNCTION("IF('From Order'!$A1085=COLUMNS($A1085:G1104), LEFT(INDEX(FILTER(G$1:G1084, G$1:G1084&lt;&gt;""""),COUNTA(FILTER(G$1:G1084, G$1:G1084&lt;&gt;""""))), LEN(INDEX(FILTER(G$1:G1084, G$1:G1084&lt;&gt;""""),COUNTA(FILTER(G$1:G1084, G$1:G1084&lt;&gt;""""))))-1), IF('To Order'!$A1085=COL"&amp;"UMNS($A1085:G1104), G1084&amp;RIGHT(INDIRECT(ADDRESS(ROW(G1085)-1, 'From Order'!$A1085)), 1), G1084))"),"BF")</f>
        <v>BF</v>
      </c>
      <c r="H1085" s="2" t="str">
        <f>IFERROR(__xludf.DUMMYFUNCTION("IF('From Order'!$A1085=COLUMNS($A1085:H1104), LEFT(INDEX(FILTER(H$1:H1084, H$1:H1084&lt;&gt;""""),COUNTA(FILTER(H$1:H1084, H$1:H1084&lt;&gt;""""))), LEN(INDEX(FILTER(H$1:H1084, H$1:H1084&lt;&gt;""""),COUNTA(FILTER(H$1:H1084, H$1:H1084&lt;&gt;""""))))-1), IF('To Order'!$A1085=COL"&amp;"UMNS($A1085:H1104), H1084&amp;RIGHT(INDIRECT(ADDRESS(ROW(H1085)-1, 'From Order'!$A1085)), 1), H1084))"),"CDRZVCJ")</f>
        <v>CDRZVCJ</v>
      </c>
      <c r="I1085" s="2" t="str">
        <f>IFERROR(__xludf.DUMMYFUNCTION("IF('From Order'!$A1085=COLUMNS($A1085:I1104), LEFT(INDEX(FILTER(I$1:I1084, I$1:I1084&lt;&gt;""""),COUNTA(FILTER(I$1:I1084, I$1:I1084&lt;&gt;""""))), LEN(INDEX(FILTER(I$1:I1084, I$1:I1084&lt;&gt;""""),COUNTA(FILTER(I$1:I1084, I$1:I1084&lt;&gt;""""))))-1), IF('To Order'!$A1085=COL"&amp;"UMNS($A1085:I1104), I1084&amp;RIGHT(INDIRECT(ADDRESS(ROW(I1085)-1, 'From Order'!$A1085)), 1), I1084))"),"V")</f>
        <v>V</v>
      </c>
    </row>
    <row r="1086">
      <c r="A1086" s="2" t="str">
        <f>IFERROR(__xludf.DUMMYFUNCTION("IF('From Order'!$A1086=COLUMNS($A1086:A1105), LEFT(INDEX(FILTER(A$1:A1085, A$1:A1085&lt;&gt;""""),COUNTA(FILTER(A$1:A1085, A$1:A1085&lt;&gt;""""))), LEN(INDEX(FILTER(A$1:A1085, A$1:A1085&lt;&gt;""""),COUNTA(FILTER(A$1:A1085, A$1:A1085&lt;&gt;""""))))-1), IF('To Order'!$A1086=COL"&amp;"UMNS($A1086:A1105), A1085&amp;RIGHT(INDIRECT(ADDRESS(ROW(A1086)-1, 'From Order'!$A1086)), 1), A1085))"),"")</f>
        <v/>
      </c>
      <c r="B1086" s="2" t="str">
        <f>IFERROR(__xludf.DUMMYFUNCTION("IF('From Order'!$A1086=COLUMNS($A1086:B1105), LEFT(INDEX(FILTER(B$1:B1085, B$1:B1085&lt;&gt;""""),COUNTA(FILTER(B$1:B1085, B$1:B1085&lt;&gt;""""))), LEN(INDEX(FILTER(B$1:B1085, B$1:B1085&lt;&gt;""""),COUNTA(FILTER(B$1:B1085, B$1:B1085&lt;&gt;""""))))-1), IF('To Order'!$A1086=COL"&amp;"UMNS($A1086:B1105), B1085&amp;RIGHT(INDIRECT(ADDRESS(ROW(B1086)-1, 'From Order'!$A1086)), 1), B1085))"),"ZLPDSDJDBSBZHMFBTMGTSLDTDTWRMTCR")</f>
        <v>ZLPDSDJDBSBZHMFBTMGTSLDTDTWRMTCR</v>
      </c>
      <c r="C1086" s="2" t="str">
        <f>IFERROR(__xludf.DUMMYFUNCTION("IF('From Order'!$A1086=COLUMNS($A1086:C1105), LEFT(INDEX(FILTER(C$1:C1085, C$1:C1085&lt;&gt;""""),COUNTA(FILTER(C$1:C1085, C$1:C1085&lt;&gt;""""))), LEN(INDEX(FILTER(C$1:C1085, C$1:C1085&lt;&gt;""""),COUNTA(FILTER(C$1:C1085, C$1:C1085&lt;&gt;""""))))-1), IF('To Order'!$A1086=COL"&amp;"UMNS($A1086:C1105), C1085&amp;RIGHT(INDIRECT(ADDRESS(ROW(C1086)-1, 'From Order'!$A1086)), 1), C1085))"),"TRLRSGHWQVQJPP")</f>
        <v>TRLRSGHWQVQJPP</v>
      </c>
      <c r="D1086" s="2" t="str">
        <f>IFERROR(__xludf.DUMMYFUNCTION("IF('From Order'!$A1086=COLUMNS($A1086:D1105), LEFT(INDEX(FILTER(D$1:D1085, D$1:D1085&lt;&gt;""""),COUNTA(FILTER(D$1:D1085, D$1:D1085&lt;&gt;""""))), LEN(INDEX(FILTER(D$1:D1085, D$1:D1085&lt;&gt;""""),COUNTA(FILTER(D$1:D1085, D$1:D1085&lt;&gt;""""))))-1), IF('To Order'!$A1086=COL"&amp;"UMNS($A1086:D1105), D1085&amp;RIGHT(INDIRECT(ADDRESS(ROW(D1086)-1, 'From Order'!$A1086)), 1), D1085))"),"")</f>
        <v/>
      </c>
      <c r="E1086" s="2" t="str">
        <f>IFERROR(__xludf.DUMMYFUNCTION("IF('From Order'!$A1086=COLUMNS($A1086:E1105), LEFT(INDEX(FILTER(E$1:E1085, E$1:E1085&lt;&gt;""""),COUNTA(FILTER(E$1:E1085, E$1:E1085&lt;&gt;""""))), LEN(INDEX(FILTER(E$1:E1085, E$1:E1085&lt;&gt;""""),COUNTA(FILTER(E$1:E1085, E$1:E1085&lt;&gt;""""))))-1), IF('To Order'!$A1086=COL"&amp;"UMNS($A1086:E1105), E1085&amp;RIGHT(INDIRECT(ADDRESS(ROW(E1086)-1, 'From Order'!$A1086)), 1), E1085))"),"")</f>
        <v/>
      </c>
      <c r="F1086" s="2" t="str">
        <f>IFERROR(__xludf.DUMMYFUNCTION("IF('From Order'!$A1086=COLUMNS($A1086:F1105), LEFT(INDEX(FILTER(F$1:F1085, F$1:F1085&lt;&gt;""""),COUNTA(FILTER(F$1:F1085, F$1:F1085&lt;&gt;""""))), LEN(INDEX(FILTER(F$1:F1085, F$1:F1085&lt;&gt;""""),COUNTA(FILTER(F$1:F1085, F$1:F1085&lt;&gt;""""))))-1), IF('To Order'!$A1086=COL"&amp;"UMNS($A1086:F1105), F1085&amp;RIGHT(INDIRECT(ADDRESS(ROW(F1086)-1, 'From Order'!$A1086)), 1), F1085))"),"")</f>
        <v/>
      </c>
      <c r="G1086" s="2" t="str">
        <f>IFERROR(__xludf.DUMMYFUNCTION("IF('From Order'!$A1086=COLUMNS($A1086:G1105), LEFT(INDEX(FILTER(G$1:G1085, G$1:G1085&lt;&gt;""""),COUNTA(FILTER(G$1:G1085, G$1:G1085&lt;&gt;""""))), LEN(INDEX(FILTER(G$1:G1085, G$1:G1085&lt;&gt;""""),COUNTA(FILTER(G$1:G1085, G$1:G1085&lt;&gt;""""))))-1), IF('To Order'!$A1086=COL"&amp;"UMNS($A1086:G1105), G1085&amp;RIGHT(INDIRECT(ADDRESS(ROW(G1086)-1, 'From Order'!$A1086)), 1), G1085))"),"BF")</f>
        <v>BF</v>
      </c>
      <c r="H1086" s="2" t="str">
        <f>IFERROR(__xludf.DUMMYFUNCTION("IF('From Order'!$A1086=COLUMNS($A1086:H1105), LEFT(INDEX(FILTER(H$1:H1085, H$1:H1085&lt;&gt;""""),COUNTA(FILTER(H$1:H1085, H$1:H1085&lt;&gt;""""))), LEN(INDEX(FILTER(H$1:H1085, H$1:H1085&lt;&gt;""""),COUNTA(FILTER(H$1:H1085, H$1:H1085&lt;&gt;""""))))-1), IF('To Order'!$A1086=COL"&amp;"UMNS($A1086:H1105), H1085&amp;RIGHT(INDIRECT(ADDRESS(ROW(H1086)-1, 'From Order'!$A1086)), 1), H1085))"),"CDRZVC")</f>
        <v>CDRZVC</v>
      </c>
      <c r="I1086" s="2" t="str">
        <f>IFERROR(__xludf.DUMMYFUNCTION("IF('From Order'!$A1086=COLUMNS($A1086:I1105), LEFT(INDEX(FILTER(I$1:I1085, I$1:I1085&lt;&gt;""""),COUNTA(FILTER(I$1:I1085, I$1:I1085&lt;&gt;""""))), LEN(INDEX(FILTER(I$1:I1085, I$1:I1085&lt;&gt;""""),COUNTA(FILTER(I$1:I1085, I$1:I1085&lt;&gt;""""))))-1), IF('To Order'!$A1086=COL"&amp;"UMNS($A1086:I1105), I1085&amp;RIGHT(INDIRECT(ADDRESS(ROW(I1086)-1, 'From Order'!$A1086)), 1), I1085))"),"VJ")</f>
        <v>VJ</v>
      </c>
    </row>
    <row r="1087">
      <c r="A1087" s="2" t="str">
        <f>IFERROR(__xludf.DUMMYFUNCTION("IF('From Order'!$A1087=COLUMNS($A1087:A1106), LEFT(INDEX(FILTER(A$1:A1086, A$1:A1086&lt;&gt;""""),COUNTA(FILTER(A$1:A1086, A$1:A1086&lt;&gt;""""))), LEN(INDEX(FILTER(A$1:A1086, A$1:A1086&lt;&gt;""""),COUNTA(FILTER(A$1:A1086, A$1:A1086&lt;&gt;""""))))-1), IF('To Order'!$A1087=COL"&amp;"UMNS($A1087:A1106), A1086&amp;RIGHT(INDIRECT(ADDRESS(ROW(A1087)-1, 'From Order'!$A1087)), 1), A1086))"),"")</f>
        <v/>
      </c>
      <c r="B1087" s="2" t="str">
        <f>IFERROR(__xludf.DUMMYFUNCTION("IF('From Order'!$A1087=COLUMNS($A1087:B1106), LEFT(INDEX(FILTER(B$1:B1086, B$1:B1086&lt;&gt;""""),COUNTA(FILTER(B$1:B1086, B$1:B1086&lt;&gt;""""))), LEN(INDEX(FILTER(B$1:B1086, B$1:B1086&lt;&gt;""""),COUNTA(FILTER(B$1:B1086, B$1:B1086&lt;&gt;""""))))-1), IF('To Order'!$A1087=COL"&amp;"UMNS($A1087:B1106), B1086&amp;RIGHT(INDIRECT(ADDRESS(ROW(B1087)-1, 'From Order'!$A1087)), 1), B1086))"),"ZLPDSDJDBSBZHMFBTMGTSLDTDTWRMTCR")</f>
        <v>ZLPDSDJDBSBZHMFBTMGTSLDTDTWRMTCR</v>
      </c>
      <c r="C1087" s="2" t="str">
        <f>IFERROR(__xludf.DUMMYFUNCTION("IF('From Order'!$A1087=COLUMNS($A1087:C1106), LEFT(INDEX(FILTER(C$1:C1086, C$1:C1086&lt;&gt;""""),COUNTA(FILTER(C$1:C1086, C$1:C1086&lt;&gt;""""))), LEN(INDEX(FILTER(C$1:C1086, C$1:C1086&lt;&gt;""""),COUNTA(FILTER(C$1:C1086, C$1:C1086&lt;&gt;""""))))-1), IF('To Order'!$A1087=COL"&amp;"UMNS($A1087:C1106), C1086&amp;RIGHT(INDIRECT(ADDRESS(ROW(C1087)-1, 'From Order'!$A1087)), 1), C1086))"),"TRLRSGHWQVQJPP")</f>
        <v>TRLRSGHWQVQJPP</v>
      </c>
      <c r="D1087" s="2" t="str">
        <f>IFERROR(__xludf.DUMMYFUNCTION("IF('From Order'!$A1087=COLUMNS($A1087:D1106), LEFT(INDEX(FILTER(D$1:D1086, D$1:D1086&lt;&gt;""""),COUNTA(FILTER(D$1:D1086, D$1:D1086&lt;&gt;""""))), LEN(INDEX(FILTER(D$1:D1086, D$1:D1086&lt;&gt;""""),COUNTA(FILTER(D$1:D1086, D$1:D1086&lt;&gt;""""))))-1), IF('To Order'!$A1087=COL"&amp;"UMNS($A1087:D1106), D1086&amp;RIGHT(INDIRECT(ADDRESS(ROW(D1087)-1, 'From Order'!$A1087)), 1), D1086))"),"")</f>
        <v/>
      </c>
      <c r="E1087" s="2" t="str">
        <f>IFERROR(__xludf.DUMMYFUNCTION("IF('From Order'!$A1087=COLUMNS($A1087:E1106), LEFT(INDEX(FILTER(E$1:E1086, E$1:E1086&lt;&gt;""""),COUNTA(FILTER(E$1:E1086, E$1:E1086&lt;&gt;""""))), LEN(INDEX(FILTER(E$1:E1086, E$1:E1086&lt;&gt;""""),COUNTA(FILTER(E$1:E1086, E$1:E1086&lt;&gt;""""))))-1), IF('To Order'!$A1087=COL"&amp;"UMNS($A1087:E1106), E1086&amp;RIGHT(INDIRECT(ADDRESS(ROW(E1087)-1, 'From Order'!$A1087)), 1), E1086))"),"")</f>
        <v/>
      </c>
      <c r="F1087" s="2" t="str">
        <f>IFERROR(__xludf.DUMMYFUNCTION("IF('From Order'!$A1087=COLUMNS($A1087:F1106), LEFT(INDEX(FILTER(F$1:F1086, F$1:F1086&lt;&gt;""""),COUNTA(FILTER(F$1:F1086, F$1:F1086&lt;&gt;""""))), LEN(INDEX(FILTER(F$1:F1086, F$1:F1086&lt;&gt;""""),COUNTA(FILTER(F$1:F1086, F$1:F1086&lt;&gt;""""))))-1), IF('To Order'!$A1087=COL"&amp;"UMNS($A1087:F1106), F1086&amp;RIGHT(INDIRECT(ADDRESS(ROW(F1087)-1, 'From Order'!$A1087)), 1), F1086))"),"")</f>
        <v/>
      </c>
      <c r="G1087" s="2" t="str">
        <f>IFERROR(__xludf.DUMMYFUNCTION("IF('From Order'!$A1087=COLUMNS($A1087:G1106), LEFT(INDEX(FILTER(G$1:G1086, G$1:G1086&lt;&gt;""""),COUNTA(FILTER(G$1:G1086, G$1:G1086&lt;&gt;""""))), LEN(INDEX(FILTER(G$1:G1086, G$1:G1086&lt;&gt;""""),COUNTA(FILTER(G$1:G1086, G$1:G1086&lt;&gt;""""))))-1), IF('To Order'!$A1087=COL"&amp;"UMNS($A1087:G1106), G1086&amp;RIGHT(INDIRECT(ADDRESS(ROW(G1087)-1, 'From Order'!$A1087)), 1), G1086))"),"BF")</f>
        <v>BF</v>
      </c>
      <c r="H1087" s="2" t="str">
        <f>IFERROR(__xludf.DUMMYFUNCTION("IF('From Order'!$A1087=COLUMNS($A1087:H1106), LEFT(INDEX(FILTER(H$1:H1086, H$1:H1086&lt;&gt;""""),COUNTA(FILTER(H$1:H1086, H$1:H1086&lt;&gt;""""))), LEN(INDEX(FILTER(H$1:H1086, H$1:H1086&lt;&gt;""""),COUNTA(FILTER(H$1:H1086, H$1:H1086&lt;&gt;""""))))-1), IF('To Order'!$A1087=COL"&amp;"UMNS($A1087:H1106), H1086&amp;RIGHT(INDIRECT(ADDRESS(ROW(H1087)-1, 'From Order'!$A1087)), 1), H1086))"),"CDRZV")</f>
        <v>CDRZV</v>
      </c>
      <c r="I1087" s="2" t="str">
        <f>IFERROR(__xludf.DUMMYFUNCTION("IF('From Order'!$A1087=COLUMNS($A1087:I1106), LEFT(INDEX(FILTER(I$1:I1086, I$1:I1086&lt;&gt;""""),COUNTA(FILTER(I$1:I1086, I$1:I1086&lt;&gt;""""))), LEN(INDEX(FILTER(I$1:I1086, I$1:I1086&lt;&gt;""""),COUNTA(FILTER(I$1:I1086, I$1:I1086&lt;&gt;""""))))-1), IF('To Order'!$A1087=COL"&amp;"UMNS($A1087:I1106), I1086&amp;RIGHT(INDIRECT(ADDRESS(ROW(I1087)-1, 'From Order'!$A1087)), 1), I1086))"),"VJC")</f>
        <v>VJC</v>
      </c>
    </row>
    <row r="1088">
      <c r="A1088" s="2" t="str">
        <f>IFERROR(__xludf.DUMMYFUNCTION("IF('From Order'!$A1088=COLUMNS($A1088:A1107), LEFT(INDEX(FILTER(A$1:A1087, A$1:A1087&lt;&gt;""""),COUNTA(FILTER(A$1:A1087, A$1:A1087&lt;&gt;""""))), LEN(INDEX(FILTER(A$1:A1087, A$1:A1087&lt;&gt;""""),COUNTA(FILTER(A$1:A1087, A$1:A1087&lt;&gt;""""))))-1), IF('To Order'!$A1088=COL"&amp;"UMNS($A1088:A1107), A1087&amp;RIGHT(INDIRECT(ADDRESS(ROW(A1088)-1, 'From Order'!$A1088)), 1), A1087))"),"")</f>
        <v/>
      </c>
      <c r="B1088" s="2" t="str">
        <f>IFERROR(__xludf.DUMMYFUNCTION("IF('From Order'!$A1088=COLUMNS($A1088:B1107), LEFT(INDEX(FILTER(B$1:B1087, B$1:B1087&lt;&gt;""""),COUNTA(FILTER(B$1:B1087, B$1:B1087&lt;&gt;""""))), LEN(INDEX(FILTER(B$1:B1087, B$1:B1087&lt;&gt;""""),COUNTA(FILTER(B$1:B1087, B$1:B1087&lt;&gt;""""))))-1), IF('To Order'!$A1088=COL"&amp;"UMNS($A1088:B1107), B1087&amp;RIGHT(INDIRECT(ADDRESS(ROW(B1088)-1, 'From Order'!$A1088)), 1), B1087))"),"ZLPDSDJDBSBZHMFBTMGTSLDTDTWRMTCR")</f>
        <v>ZLPDSDJDBSBZHMFBTMGTSLDTDTWRMTCR</v>
      </c>
      <c r="C1088" s="2" t="str">
        <f>IFERROR(__xludf.DUMMYFUNCTION("IF('From Order'!$A1088=COLUMNS($A1088:C1107), LEFT(INDEX(FILTER(C$1:C1087, C$1:C1087&lt;&gt;""""),COUNTA(FILTER(C$1:C1087, C$1:C1087&lt;&gt;""""))), LEN(INDEX(FILTER(C$1:C1087, C$1:C1087&lt;&gt;""""),COUNTA(FILTER(C$1:C1087, C$1:C1087&lt;&gt;""""))))-1), IF('To Order'!$A1088=COL"&amp;"UMNS($A1088:C1107), C1087&amp;RIGHT(INDIRECT(ADDRESS(ROW(C1088)-1, 'From Order'!$A1088)), 1), C1087))"),"TRLRSGHWQVQJPP")</f>
        <v>TRLRSGHWQVQJPP</v>
      </c>
      <c r="D1088" s="2" t="str">
        <f>IFERROR(__xludf.DUMMYFUNCTION("IF('From Order'!$A1088=COLUMNS($A1088:D1107), LEFT(INDEX(FILTER(D$1:D1087, D$1:D1087&lt;&gt;""""),COUNTA(FILTER(D$1:D1087, D$1:D1087&lt;&gt;""""))), LEN(INDEX(FILTER(D$1:D1087, D$1:D1087&lt;&gt;""""),COUNTA(FILTER(D$1:D1087, D$1:D1087&lt;&gt;""""))))-1), IF('To Order'!$A1088=COL"&amp;"UMNS($A1088:D1107), D1087&amp;RIGHT(INDIRECT(ADDRESS(ROW(D1088)-1, 'From Order'!$A1088)), 1), D1087))"),"")</f>
        <v/>
      </c>
      <c r="E1088" s="2" t="str">
        <f>IFERROR(__xludf.DUMMYFUNCTION("IF('From Order'!$A1088=COLUMNS($A1088:E1107), LEFT(INDEX(FILTER(E$1:E1087, E$1:E1087&lt;&gt;""""),COUNTA(FILTER(E$1:E1087, E$1:E1087&lt;&gt;""""))), LEN(INDEX(FILTER(E$1:E1087, E$1:E1087&lt;&gt;""""),COUNTA(FILTER(E$1:E1087, E$1:E1087&lt;&gt;""""))))-1), IF('To Order'!$A1088=COL"&amp;"UMNS($A1088:E1107), E1087&amp;RIGHT(INDIRECT(ADDRESS(ROW(E1088)-1, 'From Order'!$A1088)), 1), E1087))"),"")</f>
        <v/>
      </c>
      <c r="F1088" s="2" t="str">
        <f>IFERROR(__xludf.DUMMYFUNCTION("IF('From Order'!$A1088=COLUMNS($A1088:F1107), LEFT(INDEX(FILTER(F$1:F1087, F$1:F1087&lt;&gt;""""),COUNTA(FILTER(F$1:F1087, F$1:F1087&lt;&gt;""""))), LEN(INDEX(FILTER(F$1:F1087, F$1:F1087&lt;&gt;""""),COUNTA(FILTER(F$1:F1087, F$1:F1087&lt;&gt;""""))))-1), IF('To Order'!$A1088=COL"&amp;"UMNS($A1088:F1107), F1087&amp;RIGHT(INDIRECT(ADDRESS(ROW(F1088)-1, 'From Order'!$A1088)), 1), F1087))"),"")</f>
        <v/>
      </c>
      <c r="G1088" s="2" t="str">
        <f>IFERROR(__xludf.DUMMYFUNCTION("IF('From Order'!$A1088=COLUMNS($A1088:G1107), LEFT(INDEX(FILTER(G$1:G1087, G$1:G1087&lt;&gt;""""),COUNTA(FILTER(G$1:G1087, G$1:G1087&lt;&gt;""""))), LEN(INDEX(FILTER(G$1:G1087, G$1:G1087&lt;&gt;""""),COUNTA(FILTER(G$1:G1087, G$1:G1087&lt;&gt;""""))))-1), IF('To Order'!$A1088=COL"&amp;"UMNS($A1088:G1107), G1087&amp;RIGHT(INDIRECT(ADDRESS(ROW(G1088)-1, 'From Order'!$A1088)), 1), G1087))"),"BF")</f>
        <v>BF</v>
      </c>
      <c r="H1088" s="2" t="str">
        <f>IFERROR(__xludf.DUMMYFUNCTION("IF('From Order'!$A1088=COLUMNS($A1088:H1107), LEFT(INDEX(FILTER(H$1:H1087, H$1:H1087&lt;&gt;""""),COUNTA(FILTER(H$1:H1087, H$1:H1087&lt;&gt;""""))), LEN(INDEX(FILTER(H$1:H1087, H$1:H1087&lt;&gt;""""),COUNTA(FILTER(H$1:H1087, H$1:H1087&lt;&gt;""""))))-1), IF('To Order'!$A1088=COL"&amp;"UMNS($A1088:H1107), H1087&amp;RIGHT(INDIRECT(ADDRESS(ROW(H1088)-1, 'From Order'!$A1088)), 1), H1087))"),"CDRZ")</f>
        <v>CDRZ</v>
      </c>
      <c r="I1088" s="2" t="str">
        <f>IFERROR(__xludf.DUMMYFUNCTION("IF('From Order'!$A1088=COLUMNS($A1088:I1107), LEFT(INDEX(FILTER(I$1:I1087, I$1:I1087&lt;&gt;""""),COUNTA(FILTER(I$1:I1087, I$1:I1087&lt;&gt;""""))), LEN(INDEX(FILTER(I$1:I1087, I$1:I1087&lt;&gt;""""),COUNTA(FILTER(I$1:I1087, I$1:I1087&lt;&gt;""""))))-1), IF('To Order'!$A1088=COL"&amp;"UMNS($A1088:I1107), I1087&amp;RIGHT(INDIRECT(ADDRESS(ROW(I1088)-1, 'From Order'!$A1088)), 1), I1087))"),"VJCV")</f>
        <v>VJCV</v>
      </c>
    </row>
    <row r="1089">
      <c r="A1089" s="2" t="str">
        <f>IFERROR(__xludf.DUMMYFUNCTION("IF('From Order'!$A1089=COLUMNS($A1089:A1108), LEFT(INDEX(FILTER(A$1:A1088, A$1:A1088&lt;&gt;""""),COUNTA(FILTER(A$1:A1088, A$1:A1088&lt;&gt;""""))), LEN(INDEX(FILTER(A$1:A1088, A$1:A1088&lt;&gt;""""),COUNTA(FILTER(A$1:A1088, A$1:A1088&lt;&gt;""""))))-1), IF('To Order'!$A1089=COL"&amp;"UMNS($A1089:A1108), A1088&amp;RIGHT(INDIRECT(ADDRESS(ROW(A1089)-1, 'From Order'!$A1089)), 1), A1088))"),"")</f>
        <v/>
      </c>
      <c r="B1089" s="2" t="str">
        <f>IFERROR(__xludf.DUMMYFUNCTION("IF('From Order'!$A1089=COLUMNS($A1089:B1108), LEFT(INDEX(FILTER(B$1:B1088, B$1:B1088&lt;&gt;""""),COUNTA(FILTER(B$1:B1088, B$1:B1088&lt;&gt;""""))), LEN(INDEX(FILTER(B$1:B1088, B$1:B1088&lt;&gt;""""),COUNTA(FILTER(B$1:B1088, B$1:B1088&lt;&gt;""""))))-1), IF('To Order'!$A1089=COL"&amp;"UMNS($A1089:B1108), B1088&amp;RIGHT(INDIRECT(ADDRESS(ROW(B1089)-1, 'From Order'!$A1089)), 1), B1088))"),"ZLPDSDJDBSBZHMFBTMGTSLDTDTWRMTCR")</f>
        <v>ZLPDSDJDBSBZHMFBTMGTSLDTDTWRMTCR</v>
      </c>
      <c r="C1089" s="2" t="str">
        <f>IFERROR(__xludf.DUMMYFUNCTION("IF('From Order'!$A1089=COLUMNS($A1089:C1108), LEFT(INDEX(FILTER(C$1:C1088, C$1:C1088&lt;&gt;""""),COUNTA(FILTER(C$1:C1088, C$1:C1088&lt;&gt;""""))), LEN(INDEX(FILTER(C$1:C1088, C$1:C1088&lt;&gt;""""),COUNTA(FILTER(C$1:C1088, C$1:C1088&lt;&gt;""""))))-1), IF('To Order'!$A1089=COL"&amp;"UMNS($A1089:C1108), C1088&amp;RIGHT(INDIRECT(ADDRESS(ROW(C1089)-1, 'From Order'!$A1089)), 1), C1088))"),"TRLRSGHWQVQJPP")</f>
        <v>TRLRSGHWQVQJPP</v>
      </c>
      <c r="D1089" s="2" t="str">
        <f>IFERROR(__xludf.DUMMYFUNCTION("IF('From Order'!$A1089=COLUMNS($A1089:D1108), LEFT(INDEX(FILTER(D$1:D1088, D$1:D1088&lt;&gt;""""),COUNTA(FILTER(D$1:D1088, D$1:D1088&lt;&gt;""""))), LEN(INDEX(FILTER(D$1:D1088, D$1:D1088&lt;&gt;""""),COUNTA(FILTER(D$1:D1088, D$1:D1088&lt;&gt;""""))))-1), IF('To Order'!$A1089=COL"&amp;"UMNS($A1089:D1108), D1088&amp;RIGHT(INDIRECT(ADDRESS(ROW(D1089)-1, 'From Order'!$A1089)), 1), D1088))"),"")</f>
        <v/>
      </c>
      <c r="E1089" s="2" t="str">
        <f>IFERROR(__xludf.DUMMYFUNCTION("IF('From Order'!$A1089=COLUMNS($A1089:E1108), LEFT(INDEX(FILTER(E$1:E1088, E$1:E1088&lt;&gt;""""),COUNTA(FILTER(E$1:E1088, E$1:E1088&lt;&gt;""""))), LEN(INDEX(FILTER(E$1:E1088, E$1:E1088&lt;&gt;""""),COUNTA(FILTER(E$1:E1088, E$1:E1088&lt;&gt;""""))))-1), IF('To Order'!$A1089=COL"&amp;"UMNS($A1089:E1108), E1088&amp;RIGHT(INDIRECT(ADDRESS(ROW(E1089)-1, 'From Order'!$A1089)), 1), E1088))"),"")</f>
        <v/>
      </c>
      <c r="F1089" s="2" t="str">
        <f>IFERROR(__xludf.DUMMYFUNCTION("IF('From Order'!$A1089=COLUMNS($A1089:F1108), LEFT(INDEX(FILTER(F$1:F1088, F$1:F1088&lt;&gt;""""),COUNTA(FILTER(F$1:F1088, F$1:F1088&lt;&gt;""""))), LEN(INDEX(FILTER(F$1:F1088, F$1:F1088&lt;&gt;""""),COUNTA(FILTER(F$1:F1088, F$1:F1088&lt;&gt;""""))))-1), IF('To Order'!$A1089=COL"&amp;"UMNS($A1089:F1108), F1088&amp;RIGHT(INDIRECT(ADDRESS(ROW(F1089)-1, 'From Order'!$A1089)), 1), F1088))"),"")</f>
        <v/>
      </c>
      <c r="G1089" s="2" t="str">
        <f>IFERROR(__xludf.DUMMYFUNCTION("IF('From Order'!$A1089=COLUMNS($A1089:G1108), LEFT(INDEX(FILTER(G$1:G1088, G$1:G1088&lt;&gt;""""),COUNTA(FILTER(G$1:G1088, G$1:G1088&lt;&gt;""""))), LEN(INDEX(FILTER(G$1:G1088, G$1:G1088&lt;&gt;""""),COUNTA(FILTER(G$1:G1088, G$1:G1088&lt;&gt;""""))))-1), IF('To Order'!$A1089=COL"&amp;"UMNS($A1089:G1108), G1088&amp;RIGHT(INDIRECT(ADDRESS(ROW(G1089)-1, 'From Order'!$A1089)), 1), G1088))"),"BF")</f>
        <v>BF</v>
      </c>
      <c r="H1089" s="2" t="str">
        <f>IFERROR(__xludf.DUMMYFUNCTION("IF('From Order'!$A1089=COLUMNS($A1089:H1108), LEFT(INDEX(FILTER(H$1:H1088, H$1:H1088&lt;&gt;""""),COUNTA(FILTER(H$1:H1088, H$1:H1088&lt;&gt;""""))), LEN(INDEX(FILTER(H$1:H1088, H$1:H1088&lt;&gt;""""),COUNTA(FILTER(H$1:H1088, H$1:H1088&lt;&gt;""""))))-1), IF('To Order'!$A1089=COL"&amp;"UMNS($A1089:H1108), H1088&amp;RIGHT(INDIRECT(ADDRESS(ROW(H1089)-1, 'From Order'!$A1089)), 1), H1088))"),"CDR")</f>
        <v>CDR</v>
      </c>
      <c r="I1089" s="2" t="str">
        <f>IFERROR(__xludf.DUMMYFUNCTION("IF('From Order'!$A1089=COLUMNS($A1089:I1108), LEFT(INDEX(FILTER(I$1:I1088, I$1:I1088&lt;&gt;""""),COUNTA(FILTER(I$1:I1088, I$1:I1088&lt;&gt;""""))), LEN(INDEX(FILTER(I$1:I1088, I$1:I1088&lt;&gt;""""),COUNTA(FILTER(I$1:I1088, I$1:I1088&lt;&gt;""""))))-1), IF('To Order'!$A1089=COL"&amp;"UMNS($A1089:I1108), I1088&amp;RIGHT(INDIRECT(ADDRESS(ROW(I1089)-1, 'From Order'!$A1089)), 1), I1088))"),"VJCVZ")</f>
        <v>VJCVZ</v>
      </c>
    </row>
    <row r="1090">
      <c r="A1090" s="2" t="str">
        <f>IFERROR(__xludf.DUMMYFUNCTION("IF('From Order'!$A1090=COLUMNS($A1090:A1109), LEFT(INDEX(FILTER(A$1:A1089, A$1:A1089&lt;&gt;""""),COUNTA(FILTER(A$1:A1089, A$1:A1089&lt;&gt;""""))), LEN(INDEX(FILTER(A$1:A1089, A$1:A1089&lt;&gt;""""),COUNTA(FILTER(A$1:A1089, A$1:A1089&lt;&gt;""""))))-1), IF('To Order'!$A1090=COL"&amp;"UMNS($A1090:A1109), A1089&amp;RIGHT(INDIRECT(ADDRESS(ROW(A1090)-1, 'From Order'!$A1090)), 1), A1089))"),"")</f>
        <v/>
      </c>
      <c r="B1090" s="2" t="str">
        <f>IFERROR(__xludf.DUMMYFUNCTION("IF('From Order'!$A1090=COLUMNS($A1090:B1109), LEFT(INDEX(FILTER(B$1:B1089, B$1:B1089&lt;&gt;""""),COUNTA(FILTER(B$1:B1089, B$1:B1089&lt;&gt;""""))), LEN(INDEX(FILTER(B$1:B1089, B$1:B1089&lt;&gt;""""),COUNTA(FILTER(B$1:B1089, B$1:B1089&lt;&gt;""""))))-1), IF('To Order'!$A1090=COL"&amp;"UMNS($A1090:B1109), B1089&amp;RIGHT(INDIRECT(ADDRESS(ROW(B1090)-1, 'From Order'!$A1090)), 1), B1089))"),"ZLPDSDJDBSBZHMFBTMGTSLDTDTWRMTCR")</f>
        <v>ZLPDSDJDBSBZHMFBTMGTSLDTDTWRMTCR</v>
      </c>
      <c r="C1090" s="2" t="str">
        <f>IFERROR(__xludf.DUMMYFUNCTION("IF('From Order'!$A1090=COLUMNS($A1090:C1109), LEFT(INDEX(FILTER(C$1:C1089, C$1:C1089&lt;&gt;""""),COUNTA(FILTER(C$1:C1089, C$1:C1089&lt;&gt;""""))), LEN(INDEX(FILTER(C$1:C1089, C$1:C1089&lt;&gt;""""),COUNTA(FILTER(C$1:C1089, C$1:C1089&lt;&gt;""""))))-1), IF('To Order'!$A1090=COL"&amp;"UMNS($A1090:C1109), C1089&amp;RIGHT(INDIRECT(ADDRESS(ROW(C1090)-1, 'From Order'!$A1090)), 1), C1089))"),"TRLRSGHWQVQJPP")</f>
        <v>TRLRSGHWQVQJPP</v>
      </c>
      <c r="D1090" s="2" t="str">
        <f>IFERROR(__xludf.DUMMYFUNCTION("IF('From Order'!$A1090=COLUMNS($A1090:D1109), LEFT(INDEX(FILTER(D$1:D1089, D$1:D1089&lt;&gt;""""),COUNTA(FILTER(D$1:D1089, D$1:D1089&lt;&gt;""""))), LEN(INDEX(FILTER(D$1:D1089, D$1:D1089&lt;&gt;""""),COUNTA(FILTER(D$1:D1089, D$1:D1089&lt;&gt;""""))))-1), IF('To Order'!$A1090=COL"&amp;"UMNS($A1090:D1109), D1089&amp;RIGHT(INDIRECT(ADDRESS(ROW(D1090)-1, 'From Order'!$A1090)), 1), D1089))"),"")</f>
        <v/>
      </c>
      <c r="E1090" s="2" t="str">
        <f>IFERROR(__xludf.DUMMYFUNCTION("IF('From Order'!$A1090=COLUMNS($A1090:E1109), LEFT(INDEX(FILTER(E$1:E1089, E$1:E1089&lt;&gt;""""),COUNTA(FILTER(E$1:E1089, E$1:E1089&lt;&gt;""""))), LEN(INDEX(FILTER(E$1:E1089, E$1:E1089&lt;&gt;""""),COUNTA(FILTER(E$1:E1089, E$1:E1089&lt;&gt;""""))))-1), IF('To Order'!$A1090=COL"&amp;"UMNS($A1090:E1109), E1089&amp;RIGHT(INDIRECT(ADDRESS(ROW(E1090)-1, 'From Order'!$A1090)), 1), E1089))"),"")</f>
        <v/>
      </c>
      <c r="F1090" s="2" t="str">
        <f>IFERROR(__xludf.DUMMYFUNCTION("IF('From Order'!$A1090=COLUMNS($A1090:F1109), LEFT(INDEX(FILTER(F$1:F1089, F$1:F1089&lt;&gt;""""),COUNTA(FILTER(F$1:F1089, F$1:F1089&lt;&gt;""""))), LEN(INDEX(FILTER(F$1:F1089, F$1:F1089&lt;&gt;""""),COUNTA(FILTER(F$1:F1089, F$1:F1089&lt;&gt;""""))))-1), IF('To Order'!$A1090=COL"&amp;"UMNS($A1090:F1109), F1089&amp;RIGHT(INDIRECT(ADDRESS(ROW(F1090)-1, 'From Order'!$A1090)), 1), F1089))"),"")</f>
        <v/>
      </c>
      <c r="G1090" s="2" t="str">
        <f>IFERROR(__xludf.DUMMYFUNCTION("IF('From Order'!$A1090=COLUMNS($A1090:G1109), LEFT(INDEX(FILTER(G$1:G1089, G$1:G1089&lt;&gt;""""),COUNTA(FILTER(G$1:G1089, G$1:G1089&lt;&gt;""""))), LEN(INDEX(FILTER(G$1:G1089, G$1:G1089&lt;&gt;""""),COUNTA(FILTER(G$1:G1089, G$1:G1089&lt;&gt;""""))))-1), IF('To Order'!$A1090=COL"&amp;"UMNS($A1090:G1109), G1089&amp;RIGHT(INDIRECT(ADDRESS(ROW(G1090)-1, 'From Order'!$A1090)), 1), G1089))"),"BF")</f>
        <v>BF</v>
      </c>
      <c r="H1090" s="2" t="str">
        <f>IFERROR(__xludf.DUMMYFUNCTION("IF('From Order'!$A1090=COLUMNS($A1090:H1109), LEFT(INDEX(FILTER(H$1:H1089, H$1:H1089&lt;&gt;""""),COUNTA(FILTER(H$1:H1089, H$1:H1089&lt;&gt;""""))), LEN(INDEX(FILTER(H$1:H1089, H$1:H1089&lt;&gt;""""),COUNTA(FILTER(H$1:H1089, H$1:H1089&lt;&gt;""""))))-1), IF('To Order'!$A1090=COL"&amp;"UMNS($A1090:H1109), H1089&amp;RIGHT(INDIRECT(ADDRESS(ROW(H1090)-1, 'From Order'!$A1090)), 1), H1089))"),"CD")</f>
        <v>CD</v>
      </c>
      <c r="I1090" s="2" t="str">
        <f>IFERROR(__xludf.DUMMYFUNCTION("IF('From Order'!$A1090=COLUMNS($A1090:I1109), LEFT(INDEX(FILTER(I$1:I1089, I$1:I1089&lt;&gt;""""),COUNTA(FILTER(I$1:I1089, I$1:I1089&lt;&gt;""""))), LEN(INDEX(FILTER(I$1:I1089, I$1:I1089&lt;&gt;""""),COUNTA(FILTER(I$1:I1089, I$1:I1089&lt;&gt;""""))))-1), IF('To Order'!$A1090=COL"&amp;"UMNS($A1090:I1109), I1089&amp;RIGHT(INDIRECT(ADDRESS(ROW(I1090)-1, 'From Order'!$A1090)), 1), I1089))"),"VJCVZR")</f>
        <v>VJCVZR</v>
      </c>
    </row>
    <row r="1091">
      <c r="A1091" s="2" t="str">
        <f>IFERROR(__xludf.DUMMYFUNCTION("IF('From Order'!$A1091=COLUMNS($A1091:A1110), LEFT(INDEX(FILTER(A$1:A1090, A$1:A1090&lt;&gt;""""),COUNTA(FILTER(A$1:A1090, A$1:A1090&lt;&gt;""""))), LEN(INDEX(FILTER(A$1:A1090, A$1:A1090&lt;&gt;""""),COUNTA(FILTER(A$1:A1090, A$1:A1090&lt;&gt;""""))))-1), IF('To Order'!$A1091=COL"&amp;"UMNS($A1091:A1110), A1090&amp;RIGHT(INDIRECT(ADDRESS(ROW(A1091)-1, 'From Order'!$A1091)), 1), A1090))"),"")</f>
        <v/>
      </c>
      <c r="B1091" s="2" t="str">
        <f>IFERROR(__xludf.DUMMYFUNCTION("IF('From Order'!$A1091=COLUMNS($A1091:B1110), LEFT(INDEX(FILTER(B$1:B1090, B$1:B1090&lt;&gt;""""),COUNTA(FILTER(B$1:B1090, B$1:B1090&lt;&gt;""""))), LEN(INDEX(FILTER(B$1:B1090, B$1:B1090&lt;&gt;""""),COUNTA(FILTER(B$1:B1090, B$1:B1090&lt;&gt;""""))))-1), IF('To Order'!$A1091=COL"&amp;"UMNS($A1091:B1110), B1090&amp;RIGHT(INDIRECT(ADDRESS(ROW(B1091)-1, 'From Order'!$A1091)), 1), B1090))"),"ZLPDSDJDBSBZHMFBTMGTSLDTDTWRMTCR")</f>
        <v>ZLPDSDJDBSBZHMFBTMGTSLDTDTWRMTCR</v>
      </c>
      <c r="C1091" s="2" t="str">
        <f>IFERROR(__xludf.DUMMYFUNCTION("IF('From Order'!$A1091=COLUMNS($A1091:C1110), LEFT(INDEX(FILTER(C$1:C1090, C$1:C1090&lt;&gt;""""),COUNTA(FILTER(C$1:C1090, C$1:C1090&lt;&gt;""""))), LEN(INDEX(FILTER(C$1:C1090, C$1:C1090&lt;&gt;""""),COUNTA(FILTER(C$1:C1090, C$1:C1090&lt;&gt;""""))))-1), IF('To Order'!$A1091=COL"&amp;"UMNS($A1091:C1110), C1090&amp;RIGHT(INDIRECT(ADDRESS(ROW(C1091)-1, 'From Order'!$A1091)), 1), C1090))"),"TRLRSGHWQVQJPP")</f>
        <v>TRLRSGHWQVQJPP</v>
      </c>
      <c r="D1091" s="2" t="str">
        <f>IFERROR(__xludf.DUMMYFUNCTION("IF('From Order'!$A1091=COLUMNS($A1091:D1110), LEFT(INDEX(FILTER(D$1:D1090, D$1:D1090&lt;&gt;""""),COUNTA(FILTER(D$1:D1090, D$1:D1090&lt;&gt;""""))), LEN(INDEX(FILTER(D$1:D1090, D$1:D1090&lt;&gt;""""),COUNTA(FILTER(D$1:D1090, D$1:D1090&lt;&gt;""""))))-1), IF('To Order'!$A1091=COL"&amp;"UMNS($A1091:D1110), D1090&amp;RIGHT(INDIRECT(ADDRESS(ROW(D1091)-1, 'From Order'!$A1091)), 1), D1090))"),"")</f>
        <v/>
      </c>
      <c r="E1091" s="2" t="str">
        <f>IFERROR(__xludf.DUMMYFUNCTION("IF('From Order'!$A1091=COLUMNS($A1091:E1110), LEFT(INDEX(FILTER(E$1:E1090, E$1:E1090&lt;&gt;""""),COUNTA(FILTER(E$1:E1090, E$1:E1090&lt;&gt;""""))), LEN(INDEX(FILTER(E$1:E1090, E$1:E1090&lt;&gt;""""),COUNTA(FILTER(E$1:E1090, E$1:E1090&lt;&gt;""""))))-1), IF('To Order'!$A1091=COL"&amp;"UMNS($A1091:E1110), E1090&amp;RIGHT(INDIRECT(ADDRESS(ROW(E1091)-1, 'From Order'!$A1091)), 1), E1090))"),"")</f>
        <v/>
      </c>
      <c r="F1091" s="2" t="str">
        <f>IFERROR(__xludf.DUMMYFUNCTION("IF('From Order'!$A1091=COLUMNS($A1091:F1110), LEFT(INDEX(FILTER(F$1:F1090, F$1:F1090&lt;&gt;""""),COUNTA(FILTER(F$1:F1090, F$1:F1090&lt;&gt;""""))), LEN(INDEX(FILTER(F$1:F1090, F$1:F1090&lt;&gt;""""),COUNTA(FILTER(F$1:F1090, F$1:F1090&lt;&gt;""""))))-1), IF('To Order'!$A1091=COL"&amp;"UMNS($A1091:F1110), F1090&amp;RIGHT(INDIRECT(ADDRESS(ROW(F1091)-1, 'From Order'!$A1091)), 1), F1090))"),"")</f>
        <v/>
      </c>
      <c r="G1091" s="2" t="str">
        <f>IFERROR(__xludf.DUMMYFUNCTION("IF('From Order'!$A1091=COLUMNS($A1091:G1110), LEFT(INDEX(FILTER(G$1:G1090, G$1:G1090&lt;&gt;""""),COUNTA(FILTER(G$1:G1090, G$1:G1090&lt;&gt;""""))), LEN(INDEX(FILTER(G$1:G1090, G$1:G1090&lt;&gt;""""),COUNTA(FILTER(G$1:G1090, G$1:G1090&lt;&gt;""""))))-1), IF('To Order'!$A1091=COL"&amp;"UMNS($A1091:G1110), G1090&amp;RIGHT(INDIRECT(ADDRESS(ROW(G1091)-1, 'From Order'!$A1091)), 1), G1090))"),"BF")</f>
        <v>BF</v>
      </c>
      <c r="H1091" s="2" t="str">
        <f>IFERROR(__xludf.DUMMYFUNCTION("IF('From Order'!$A1091=COLUMNS($A1091:H1110), LEFT(INDEX(FILTER(H$1:H1090, H$1:H1090&lt;&gt;""""),COUNTA(FILTER(H$1:H1090, H$1:H1090&lt;&gt;""""))), LEN(INDEX(FILTER(H$1:H1090, H$1:H1090&lt;&gt;""""),COUNTA(FILTER(H$1:H1090, H$1:H1090&lt;&gt;""""))))-1), IF('To Order'!$A1091=COL"&amp;"UMNS($A1091:H1110), H1090&amp;RIGHT(INDIRECT(ADDRESS(ROW(H1091)-1, 'From Order'!$A1091)), 1), H1090))"),"C")</f>
        <v>C</v>
      </c>
      <c r="I1091" s="2" t="str">
        <f>IFERROR(__xludf.DUMMYFUNCTION("IF('From Order'!$A1091=COLUMNS($A1091:I1110), LEFT(INDEX(FILTER(I$1:I1090, I$1:I1090&lt;&gt;""""),COUNTA(FILTER(I$1:I1090, I$1:I1090&lt;&gt;""""))), LEN(INDEX(FILTER(I$1:I1090, I$1:I1090&lt;&gt;""""),COUNTA(FILTER(I$1:I1090, I$1:I1090&lt;&gt;""""))))-1), IF('To Order'!$A1091=COL"&amp;"UMNS($A1091:I1110), I1090&amp;RIGHT(INDIRECT(ADDRESS(ROW(I1091)-1, 'From Order'!$A1091)), 1), I1090))"),"VJCVZRD")</f>
        <v>VJCVZRD</v>
      </c>
    </row>
    <row r="1092">
      <c r="A1092" s="2" t="str">
        <f>IFERROR(__xludf.DUMMYFUNCTION("IF('From Order'!$A1092=COLUMNS($A1092:A1111), LEFT(INDEX(FILTER(A$1:A1091, A$1:A1091&lt;&gt;""""),COUNTA(FILTER(A$1:A1091, A$1:A1091&lt;&gt;""""))), LEN(INDEX(FILTER(A$1:A1091, A$1:A1091&lt;&gt;""""),COUNTA(FILTER(A$1:A1091, A$1:A1091&lt;&gt;""""))))-1), IF('To Order'!$A1092=COL"&amp;"UMNS($A1092:A1111), A1091&amp;RIGHT(INDIRECT(ADDRESS(ROW(A1092)-1, 'From Order'!$A1092)), 1), A1091))"),"")</f>
        <v/>
      </c>
      <c r="B1092" s="2" t="str">
        <f>IFERROR(__xludf.DUMMYFUNCTION("IF('From Order'!$A1092=COLUMNS($A1092:B1111), LEFT(INDEX(FILTER(B$1:B1091, B$1:B1091&lt;&gt;""""),COUNTA(FILTER(B$1:B1091, B$1:B1091&lt;&gt;""""))), LEN(INDEX(FILTER(B$1:B1091, B$1:B1091&lt;&gt;""""),COUNTA(FILTER(B$1:B1091, B$1:B1091&lt;&gt;""""))))-1), IF('To Order'!$A1092=COL"&amp;"UMNS($A1092:B1111), B1091&amp;RIGHT(INDIRECT(ADDRESS(ROW(B1092)-1, 'From Order'!$A1092)), 1), B1091))"),"ZLPDSDJDBSBZHMFBTMGTSLDTDTWRMTCR")</f>
        <v>ZLPDSDJDBSBZHMFBTMGTSLDTDTWRMTCR</v>
      </c>
      <c r="C1092" s="2" t="str">
        <f>IFERROR(__xludf.DUMMYFUNCTION("IF('From Order'!$A1092=COLUMNS($A1092:C1111), LEFT(INDEX(FILTER(C$1:C1091, C$1:C1091&lt;&gt;""""),COUNTA(FILTER(C$1:C1091, C$1:C1091&lt;&gt;""""))), LEN(INDEX(FILTER(C$1:C1091, C$1:C1091&lt;&gt;""""),COUNTA(FILTER(C$1:C1091, C$1:C1091&lt;&gt;""""))))-1), IF('To Order'!$A1092=COL"&amp;"UMNS($A1092:C1111), C1091&amp;RIGHT(INDIRECT(ADDRESS(ROW(C1092)-1, 'From Order'!$A1092)), 1), C1091))"),"TRLRSGHWQVQJPP")</f>
        <v>TRLRSGHWQVQJPP</v>
      </c>
      <c r="D1092" s="2" t="str">
        <f>IFERROR(__xludf.DUMMYFUNCTION("IF('From Order'!$A1092=COLUMNS($A1092:D1111), LEFT(INDEX(FILTER(D$1:D1091, D$1:D1091&lt;&gt;""""),COUNTA(FILTER(D$1:D1091, D$1:D1091&lt;&gt;""""))), LEN(INDEX(FILTER(D$1:D1091, D$1:D1091&lt;&gt;""""),COUNTA(FILTER(D$1:D1091, D$1:D1091&lt;&gt;""""))))-1), IF('To Order'!$A1092=COL"&amp;"UMNS($A1092:D1111), D1091&amp;RIGHT(INDIRECT(ADDRESS(ROW(D1092)-1, 'From Order'!$A1092)), 1), D1091))"),"")</f>
        <v/>
      </c>
      <c r="E1092" s="2" t="str">
        <f>IFERROR(__xludf.DUMMYFUNCTION("IF('From Order'!$A1092=COLUMNS($A1092:E1111), LEFT(INDEX(FILTER(E$1:E1091, E$1:E1091&lt;&gt;""""),COUNTA(FILTER(E$1:E1091, E$1:E1091&lt;&gt;""""))), LEN(INDEX(FILTER(E$1:E1091, E$1:E1091&lt;&gt;""""),COUNTA(FILTER(E$1:E1091, E$1:E1091&lt;&gt;""""))))-1), IF('To Order'!$A1092=COL"&amp;"UMNS($A1092:E1111), E1091&amp;RIGHT(INDIRECT(ADDRESS(ROW(E1092)-1, 'From Order'!$A1092)), 1), E1091))"),"")</f>
        <v/>
      </c>
      <c r="F1092" s="2" t="str">
        <f>IFERROR(__xludf.DUMMYFUNCTION("IF('From Order'!$A1092=COLUMNS($A1092:F1111), LEFT(INDEX(FILTER(F$1:F1091, F$1:F1091&lt;&gt;""""),COUNTA(FILTER(F$1:F1091, F$1:F1091&lt;&gt;""""))), LEN(INDEX(FILTER(F$1:F1091, F$1:F1091&lt;&gt;""""),COUNTA(FILTER(F$1:F1091, F$1:F1091&lt;&gt;""""))))-1), IF('To Order'!$A1092=COL"&amp;"UMNS($A1092:F1111), F1091&amp;RIGHT(INDIRECT(ADDRESS(ROW(F1092)-1, 'From Order'!$A1092)), 1), F1091))"),"")</f>
        <v/>
      </c>
      <c r="G1092" s="2" t="str">
        <f>IFERROR(__xludf.DUMMYFUNCTION("IF('From Order'!$A1092=COLUMNS($A1092:G1111), LEFT(INDEX(FILTER(G$1:G1091, G$1:G1091&lt;&gt;""""),COUNTA(FILTER(G$1:G1091, G$1:G1091&lt;&gt;""""))), LEN(INDEX(FILTER(G$1:G1091, G$1:G1091&lt;&gt;""""),COUNTA(FILTER(G$1:G1091, G$1:G1091&lt;&gt;""""))))-1), IF('To Order'!$A1092=COL"&amp;"UMNS($A1092:G1111), G1091&amp;RIGHT(INDIRECT(ADDRESS(ROW(G1092)-1, 'From Order'!$A1092)), 1), G1091))"),"BF")</f>
        <v>BF</v>
      </c>
      <c r="H1092" s="2" t="str">
        <f>IFERROR(__xludf.DUMMYFUNCTION("IF('From Order'!$A1092=COLUMNS($A1092:H1111), LEFT(INDEX(FILTER(H$1:H1091, H$1:H1091&lt;&gt;""""),COUNTA(FILTER(H$1:H1091, H$1:H1091&lt;&gt;""""))), LEN(INDEX(FILTER(H$1:H1091, H$1:H1091&lt;&gt;""""),COUNTA(FILTER(H$1:H1091, H$1:H1091&lt;&gt;""""))))-1), IF('To Order'!$A1092=COL"&amp;"UMNS($A1092:H1111), H1091&amp;RIGHT(INDIRECT(ADDRESS(ROW(H1092)-1, 'From Order'!$A1092)), 1), H1091))"),"")</f>
        <v/>
      </c>
      <c r="I1092" s="2" t="str">
        <f>IFERROR(__xludf.DUMMYFUNCTION("IF('From Order'!$A1092=COLUMNS($A1092:I1111), LEFT(INDEX(FILTER(I$1:I1091, I$1:I1091&lt;&gt;""""),COUNTA(FILTER(I$1:I1091, I$1:I1091&lt;&gt;""""))), LEN(INDEX(FILTER(I$1:I1091, I$1:I1091&lt;&gt;""""),COUNTA(FILTER(I$1:I1091, I$1:I1091&lt;&gt;""""))))-1), IF('To Order'!$A1092=COL"&amp;"UMNS($A1092:I1111), I1091&amp;RIGHT(INDIRECT(ADDRESS(ROW(I1092)-1, 'From Order'!$A1092)), 1), I1091))"),"VJCVZRDC")</f>
        <v>VJCVZRDC</v>
      </c>
    </row>
    <row r="1093">
      <c r="A1093" s="2" t="str">
        <f>IFERROR(__xludf.DUMMYFUNCTION("IF('From Order'!$A1093=COLUMNS($A1093:A1112), LEFT(INDEX(FILTER(A$1:A1092, A$1:A1092&lt;&gt;""""),COUNTA(FILTER(A$1:A1092, A$1:A1092&lt;&gt;""""))), LEN(INDEX(FILTER(A$1:A1092, A$1:A1092&lt;&gt;""""),COUNTA(FILTER(A$1:A1092, A$1:A1092&lt;&gt;""""))))-1), IF('To Order'!$A1093=COL"&amp;"UMNS($A1093:A1112), A1092&amp;RIGHT(INDIRECT(ADDRESS(ROW(A1093)-1, 'From Order'!$A1093)), 1), A1092))"),"")</f>
        <v/>
      </c>
      <c r="B1093" s="2" t="str">
        <f>IFERROR(__xludf.DUMMYFUNCTION("IF('From Order'!$A1093=COLUMNS($A1093:B1112), LEFT(INDEX(FILTER(B$1:B1092, B$1:B1092&lt;&gt;""""),COUNTA(FILTER(B$1:B1092, B$1:B1092&lt;&gt;""""))), LEN(INDEX(FILTER(B$1:B1092, B$1:B1092&lt;&gt;""""),COUNTA(FILTER(B$1:B1092, B$1:B1092&lt;&gt;""""))))-1), IF('To Order'!$A1093=COL"&amp;"UMNS($A1093:B1112), B1092&amp;RIGHT(INDIRECT(ADDRESS(ROW(B1093)-1, 'From Order'!$A1093)), 1), B1092))"),"ZLPDSDJDBSBZHMFBTMGTSLDTDTWRMTCRC")</f>
        <v>ZLPDSDJDBSBZHMFBTMGTSLDTDTWRMTCRC</v>
      </c>
      <c r="C1093" s="2" t="str">
        <f>IFERROR(__xludf.DUMMYFUNCTION("IF('From Order'!$A1093=COLUMNS($A1093:C1112), LEFT(INDEX(FILTER(C$1:C1092, C$1:C1092&lt;&gt;""""),COUNTA(FILTER(C$1:C1092, C$1:C1092&lt;&gt;""""))), LEN(INDEX(FILTER(C$1:C1092, C$1:C1092&lt;&gt;""""),COUNTA(FILTER(C$1:C1092, C$1:C1092&lt;&gt;""""))))-1), IF('To Order'!$A1093=COL"&amp;"UMNS($A1093:C1112), C1092&amp;RIGHT(INDIRECT(ADDRESS(ROW(C1093)-1, 'From Order'!$A1093)), 1), C1092))"),"TRLRSGHWQVQJPP")</f>
        <v>TRLRSGHWQVQJPP</v>
      </c>
      <c r="D1093" s="2" t="str">
        <f>IFERROR(__xludf.DUMMYFUNCTION("IF('From Order'!$A1093=COLUMNS($A1093:D1112), LEFT(INDEX(FILTER(D$1:D1092, D$1:D1092&lt;&gt;""""),COUNTA(FILTER(D$1:D1092, D$1:D1092&lt;&gt;""""))), LEN(INDEX(FILTER(D$1:D1092, D$1:D1092&lt;&gt;""""),COUNTA(FILTER(D$1:D1092, D$1:D1092&lt;&gt;""""))))-1), IF('To Order'!$A1093=COL"&amp;"UMNS($A1093:D1112), D1092&amp;RIGHT(INDIRECT(ADDRESS(ROW(D1093)-1, 'From Order'!$A1093)), 1), D1092))"),"")</f>
        <v/>
      </c>
      <c r="E1093" s="2" t="str">
        <f>IFERROR(__xludf.DUMMYFUNCTION("IF('From Order'!$A1093=COLUMNS($A1093:E1112), LEFT(INDEX(FILTER(E$1:E1092, E$1:E1092&lt;&gt;""""),COUNTA(FILTER(E$1:E1092, E$1:E1092&lt;&gt;""""))), LEN(INDEX(FILTER(E$1:E1092, E$1:E1092&lt;&gt;""""),COUNTA(FILTER(E$1:E1092, E$1:E1092&lt;&gt;""""))))-1), IF('To Order'!$A1093=COL"&amp;"UMNS($A1093:E1112), E1092&amp;RIGHT(INDIRECT(ADDRESS(ROW(E1093)-1, 'From Order'!$A1093)), 1), E1092))"),"")</f>
        <v/>
      </c>
      <c r="F1093" s="2" t="str">
        <f>IFERROR(__xludf.DUMMYFUNCTION("IF('From Order'!$A1093=COLUMNS($A1093:F1112), LEFT(INDEX(FILTER(F$1:F1092, F$1:F1092&lt;&gt;""""),COUNTA(FILTER(F$1:F1092, F$1:F1092&lt;&gt;""""))), LEN(INDEX(FILTER(F$1:F1092, F$1:F1092&lt;&gt;""""),COUNTA(FILTER(F$1:F1092, F$1:F1092&lt;&gt;""""))))-1), IF('To Order'!$A1093=COL"&amp;"UMNS($A1093:F1112), F1092&amp;RIGHT(INDIRECT(ADDRESS(ROW(F1093)-1, 'From Order'!$A1093)), 1), F1092))"),"")</f>
        <v/>
      </c>
      <c r="G1093" s="2" t="str">
        <f>IFERROR(__xludf.DUMMYFUNCTION("IF('From Order'!$A1093=COLUMNS($A1093:G1112), LEFT(INDEX(FILTER(G$1:G1092, G$1:G1092&lt;&gt;""""),COUNTA(FILTER(G$1:G1092, G$1:G1092&lt;&gt;""""))), LEN(INDEX(FILTER(G$1:G1092, G$1:G1092&lt;&gt;""""),COUNTA(FILTER(G$1:G1092, G$1:G1092&lt;&gt;""""))))-1), IF('To Order'!$A1093=COL"&amp;"UMNS($A1093:G1112), G1092&amp;RIGHT(INDIRECT(ADDRESS(ROW(G1093)-1, 'From Order'!$A1093)), 1), G1092))"),"BF")</f>
        <v>BF</v>
      </c>
      <c r="H1093" s="2" t="str">
        <f>IFERROR(__xludf.DUMMYFUNCTION("IF('From Order'!$A1093=COLUMNS($A1093:H1112), LEFT(INDEX(FILTER(H$1:H1092, H$1:H1092&lt;&gt;""""),COUNTA(FILTER(H$1:H1092, H$1:H1092&lt;&gt;""""))), LEN(INDEX(FILTER(H$1:H1092, H$1:H1092&lt;&gt;""""),COUNTA(FILTER(H$1:H1092, H$1:H1092&lt;&gt;""""))))-1), IF('To Order'!$A1093=COL"&amp;"UMNS($A1093:H1112), H1092&amp;RIGHT(INDIRECT(ADDRESS(ROW(H1093)-1, 'From Order'!$A1093)), 1), H1092))"),"")</f>
        <v/>
      </c>
      <c r="I1093" s="2" t="str">
        <f>IFERROR(__xludf.DUMMYFUNCTION("IF('From Order'!$A1093=COLUMNS($A1093:I1112), LEFT(INDEX(FILTER(I$1:I1092, I$1:I1092&lt;&gt;""""),COUNTA(FILTER(I$1:I1092, I$1:I1092&lt;&gt;""""))), LEN(INDEX(FILTER(I$1:I1092, I$1:I1092&lt;&gt;""""),COUNTA(FILTER(I$1:I1092, I$1:I1092&lt;&gt;""""))))-1), IF('To Order'!$A1093=COL"&amp;"UMNS($A1093:I1112), I1092&amp;RIGHT(INDIRECT(ADDRESS(ROW(I1093)-1, 'From Order'!$A1093)), 1), I1092))"),"VJCVZRD")</f>
        <v>VJCVZRD</v>
      </c>
    </row>
    <row r="1094">
      <c r="A1094" s="2" t="str">
        <f>IFERROR(__xludf.DUMMYFUNCTION("IF('From Order'!$A1094=COLUMNS($A1094:A1113), LEFT(INDEX(FILTER(A$1:A1093, A$1:A1093&lt;&gt;""""),COUNTA(FILTER(A$1:A1093, A$1:A1093&lt;&gt;""""))), LEN(INDEX(FILTER(A$1:A1093, A$1:A1093&lt;&gt;""""),COUNTA(FILTER(A$1:A1093, A$1:A1093&lt;&gt;""""))))-1), IF('To Order'!$A1094=COL"&amp;"UMNS($A1094:A1113), A1093&amp;RIGHT(INDIRECT(ADDRESS(ROW(A1094)-1, 'From Order'!$A1094)), 1), A1093))"),"")</f>
        <v/>
      </c>
      <c r="B1094" s="2" t="str">
        <f>IFERROR(__xludf.DUMMYFUNCTION("IF('From Order'!$A1094=COLUMNS($A1094:B1113), LEFT(INDEX(FILTER(B$1:B1093, B$1:B1093&lt;&gt;""""),COUNTA(FILTER(B$1:B1093, B$1:B1093&lt;&gt;""""))), LEN(INDEX(FILTER(B$1:B1093, B$1:B1093&lt;&gt;""""),COUNTA(FILTER(B$1:B1093, B$1:B1093&lt;&gt;""""))))-1), IF('To Order'!$A1094=COL"&amp;"UMNS($A1094:B1113), B1093&amp;RIGHT(INDIRECT(ADDRESS(ROW(B1094)-1, 'From Order'!$A1094)), 1), B1093))"),"ZLPDSDJDBSBZHMFBTMGTSLDTDTWRMTCRCD")</f>
        <v>ZLPDSDJDBSBZHMFBTMGTSLDTDTWRMTCRCD</v>
      </c>
      <c r="C1094" s="2" t="str">
        <f>IFERROR(__xludf.DUMMYFUNCTION("IF('From Order'!$A1094=COLUMNS($A1094:C1113), LEFT(INDEX(FILTER(C$1:C1093, C$1:C1093&lt;&gt;""""),COUNTA(FILTER(C$1:C1093, C$1:C1093&lt;&gt;""""))), LEN(INDEX(FILTER(C$1:C1093, C$1:C1093&lt;&gt;""""),COUNTA(FILTER(C$1:C1093, C$1:C1093&lt;&gt;""""))))-1), IF('To Order'!$A1094=COL"&amp;"UMNS($A1094:C1113), C1093&amp;RIGHT(INDIRECT(ADDRESS(ROW(C1094)-1, 'From Order'!$A1094)), 1), C1093))"),"TRLRSGHWQVQJPP")</f>
        <v>TRLRSGHWQVQJPP</v>
      </c>
      <c r="D1094" s="2" t="str">
        <f>IFERROR(__xludf.DUMMYFUNCTION("IF('From Order'!$A1094=COLUMNS($A1094:D1113), LEFT(INDEX(FILTER(D$1:D1093, D$1:D1093&lt;&gt;""""),COUNTA(FILTER(D$1:D1093, D$1:D1093&lt;&gt;""""))), LEN(INDEX(FILTER(D$1:D1093, D$1:D1093&lt;&gt;""""),COUNTA(FILTER(D$1:D1093, D$1:D1093&lt;&gt;""""))))-1), IF('To Order'!$A1094=COL"&amp;"UMNS($A1094:D1113), D1093&amp;RIGHT(INDIRECT(ADDRESS(ROW(D1094)-1, 'From Order'!$A1094)), 1), D1093))"),"")</f>
        <v/>
      </c>
      <c r="E1094" s="2" t="str">
        <f>IFERROR(__xludf.DUMMYFUNCTION("IF('From Order'!$A1094=COLUMNS($A1094:E1113), LEFT(INDEX(FILTER(E$1:E1093, E$1:E1093&lt;&gt;""""),COUNTA(FILTER(E$1:E1093, E$1:E1093&lt;&gt;""""))), LEN(INDEX(FILTER(E$1:E1093, E$1:E1093&lt;&gt;""""),COUNTA(FILTER(E$1:E1093, E$1:E1093&lt;&gt;""""))))-1), IF('To Order'!$A1094=COL"&amp;"UMNS($A1094:E1113), E1093&amp;RIGHT(INDIRECT(ADDRESS(ROW(E1094)-1, 'From Order'!$A1094)), 1), E1093))"),"")</f>
        <v/>
      </c>
      <c r="F1094" s="2" t="str">
        <f>IFERROR(__xludf.DUMMYFUNCTION("IF('From Order'!$A1094=COLUMNS($A1094:F1113), LEFT(INDEX(FILTER(F$1:F1093, F$1:F1093&lt;&gt;""""),COUNTA(FILTER(F$1:F1093, F$1:F1093&lt;&gt;""""))), LEN(INDEX(FILTER(F$1:F1093, F$1:F1093&lt;&gt;""""),COUNTA(FILTER(F$1:F1093, F$1:F1093&lt;&gt;""""))))-1), IF('To Order'!$A1094=COL"&amp;"UMNS($A1094:F1113), F1093&amp;RIGHT(INDIRECT(ADDRESS(ROW(F1094)-1, 'From Order'!$A1094)), 1), F1093))"),"")</f>
        <v/>
      </c>
      <c r="G1094" s="2" t="str">
        <f>IFERROR(__xludf.DUMMYFUNCTION("IF('From Order'!$A1094=COLUMNS($A1094:G1113), LEFT(INDEX(FILTER(G$1:G1093, G$1:G1093&lt;&gt;""""),COUNTA(FILTER(G$1:G1093, G$1:G1093&lt;&gt;""""))), LEN(INDEX(FILTER(G$1:G1093, G$1:G1093&lt;&gt;""""),COUNTA(FILTER(G$1:G1093, G$1:G1093&lt;&gt;""""))))-1), IF('To Order'!$A1094=COL"&amp;"UMNS($A1094:G1113), G1093&amp;RIGHT(INDIRECT(ADDRESS(ROW(G1094)-1, 'From Order'!$A1094)), 1), G1093))"),"BF")</f>
        <v>BF</v>
      </c>
      <c r="H1094" s="2" t="str">
        <f>IFERROR(__xludf.DUMMYFUNCTION("IF('From Order'!$A1094=COLUMNS($A1094:H1113), LEFT(INDEX(FILTER(H$1:H1093, H$1:H1093&lt;&gt;""""),COUNTA(FILTER(H$1:H1093, H$1:H1093&lt;&gt;""""))), LEN(INDEX(FILTER(H$1:H1093, H$1:H1093&lt;&gt;""""),COUNTA(FILTER(H$1:H1093, H$1:H1093&lt;&gt;""""))))-1), IF('To Order'!$A1094=COL"&amp;"UMNS($A1094:H1113), H1093&amp;RIGHT(INDIRECT(ADDRESS(ROW(H1094)-1, 'From Order'!$A1094)), 1), H1093))"),"")</f>
        <v/>
      </c>
      <c r="I1094" s="2" t="str">
        <f>IFERROR(__xludf.DUMMYFUNCTION("IF('From Order'!$A1094=COLUMNS($A1094:I1113), LEFT(INDEX(FILTER(I$1:I1093, I$1:I1093&lt;&gt;""""),COUNTA(FILTER(I$1:I1093, I$1:I1093&lt;&gt;""""))), LEN(INDEX(FILTER(I$1:I1093, I$1:I1093&lt;&gt;""""),COUNTA(FILTER(I$1:I1093, I$1:I1093&lt;&gt;""""))))-1), IF('To Order'!$A1094=COL"&amp;"UMNS($A1094:I1113), I1093&amp;RIGHT(INDIRECT(ADDRESS(ROW(I1094)-1, 'From Order'!$A1094)), 1), I1093))"),"VJCVZR")</f>
        <v>VJCVZR</v>
      </c>
    </row>
    <row r="1095">
      <c r="A1095" s="2" t="str">
        <f>IFERROR(__xludf.DUMMYFUNCTION("IF('From Order'!$A1095=COLUMNS($A1095:A1114), LEFT(INDEX(FILTER(A$1:A1094, A$1:A1094&lt;&gt;""""),COUNTA(FILTER(A$1:A1094, A$1:A1094&lt;&gt;""""))), LEN(INDEX(FILTER(A$1:A1094, A$1:A1094&lt;&gt;""""),COUNTA(FILTER(A$1:A1094, A$1:A1094&lt;&gt;""""))))-1), IF('To Order'!$A1095=COL"&amp;"UMNS($A1095:A1114), A1094&amp;RIGHT(INDIRECT(ADDRESS(ROW(A1095)-1, 'From Order'!$A1095)), 1), A1094))"),"")</f>
        <v/>
      </c>
      <c r="B1095" s="2" t="str">
        <f>IFERROR(__xludf.DUMMYFUNCTION("IF('From Order'!$A1095=COLUMNS($A1095:B1114), LEFT(INDEX(FILTER(B$1:B1094, B$1:B1094&lt;&gt;""""),COUNTA(FILTER(B$1:B1094, B$1:B1094&lt;&gt;""""))), LEN(INDEX(FILTER(B$1:B1094, B$1:B1094&lt;&gt;""""),COUNTA(FILTER(B$1:B1094, B$1:B1094&lt;&gt;""""))))-1), IF('To Order'!$A1095=COL"&amp;"UMNS($A1095:B1114), B1094&amp;RIGHT(INDIRECT(ADDRESS(ROW(B1095)-1, 'From Order'!$A1095)), 1), B1094))"),"ZLPDSDJDBSBZHMFBTMGTSLDTDTWRMTCRCDR")</f>
        <v>ZLPDSDJDBSBZHMFBTMGTSLDTDTWRMTCRCDR</v>
      </c>
      <c r="C1095" s="2" t="str">
        <f>IFERROR(__xludf.DUMMYFUNCTION("IF('From Order'!$A1095=COLUMNS($A1095:C1114), LEFT(INDEX(FILTER(C$1:C1094, C$1:C1094&lt;&gt;""""),COUNTA(FILTER(C$1:C1094, C$1:C1094&lt;&gt;""""))), LEN(INDEX(FILTER(C$1:C1094, C$1:C1094&lt;&gt;""""),COUNTA(FILTER(C$1:C1094, C$1:C1094&lt;&gt;""""))))-1), IF('To Order'!$A1095=COL"&amp;"UMNS($A1095:C1114), C1094&amp;RIGHT(INDIRECT(ADDRESS(ROW(C1095)-1, 'From Order'!$A1095)), 1), C1094))"),"TRLRSGHWQVQJPP")</f>
        <v>TRLRSGHWQVQJPP</v>
      </c>
      <c r="D1095" s="2" t="str">
        <f>IFERROR(__xludf.DUMMYFUNCTION("IF('From Order'!$A1095=COLUMNS($A1095:D1114), LEFT(INDEX(FILTER(D$1:D1094, D$1:D1094&lt;&gt;""""),COUNTA(FILTER(D$1:D1094, D$1:D1094&lt;&gt;""""))), LEN(INDEX(FILTER(D$1:D1094, D$1:D1094&lt;&gt;""""),COUNTA(FILTER(D$1:D1094, D$1:D1094&lt;&gt;""""))))-1), IF('To Order'!$A1095=COL"&amp;"UMNS($A1095:D1114), D1094&amp;RIGHT(INDIRECT(ADDRESS(ROW(D1095)-1, 'From Order'!$A1095)), 1), D1094))"),"")</f>
        <v/>
      </c>
      <c r="E1095" s="2" t="str">
        <f>IFERROR(__xludf.DUMMYFUNCTION("IF('From Order'!$A1095=COLUMNS($A1095:E1114), LEFT(INDEX(FILTER(E$1:E1094, E$1:E1094&lt;&gt;""""),COUNTA(FILTER(E$1:E1094, E$1:E1094&lt;&gt;""""))), LEN(INDEX(FILTER(E$1:E1094, E$1:E1094&lt;&gt;""""),COUNTA(FILTER(E$1:E1094, E$1:E1094&lt;&gt;""""))))-1), IF('To Order'!$A1095=COL"&amp;"UMNS($A1095:E1114), E1094&amp;RIGHT(INDIRECT(ADDRESS(ROW(E1095)-1, 'From Order'!$A1095)), 1), E1094))"),"")</f>
        <v/>
      </c>
      <c r="F1095" s="2" t="str">
        <f>IFERROR(__xludf.DUMMYFUNCTION("IF('From Order'!$A1095=COLUMNS($A1095:F1114), LEFT(INDEX(FILTER(F$1:F1094, F$1:F1094&lt;&gt;""""),COUNTA(FILTER(F$1:F1094, F$1:F1094&lt;&gt;""""))), LEN(INDEX(FILTER(F$1:F1094, F$1:F1094&lt;&gt;""""),COUNTA(FILTER(F$1:F1094, F$1:F1094&lt;&gt;""""))))-1), IF('To Order'!$A1095=COL"&amp;"UMNS($A1095:F1114), F1094&amp;RIGHT(INDIRECT(ADDRESS(ROW(F1095)-1, 'From Order'!$A1095)), 1), F1094))"),"")</f>
        <v/>
      </c>
      <c r="G1095" s="2" t="str">
        <f>IFERROR(__xludf.DUMMYFUNCTION("IF('From Order'!$A1095=COLUMNS($A1095:G1114), LEFT(INDEX(FILTER(G$1:G1094, G$1:G1094&lt;&gt;""""),COUNTA(FILTER(G$1:G1094, G$1:G1094&lt;&gt;""""))), LEN(INDEX(FILTER(G$1:G1094, G$1:G1094&lt;&gt;""""),COUNTA(FILTER(G$1:G1094, G$1:G1094&lt;&gt;""""))))-1), IF('To Order'!$A1095=COL"&amp;"UMNS($A1095:G1114), G1094&amp;RIGHT(INDIRECT(ADDRESS(ROW(G1095)-1, 'From Order'!$A1095)), 1), G1094))"),"BF")</f>
        <v>BF</v>
      </c>
      <c r="H1095" s="2" t="str">
        <f>IFERROR(__xludf.DUMMYFUNCTION("IF('From Order'!$A1095=COLUMNS($A1095:H1114), LEFT(INDEX(FILTER(H$1:H1094, H$1:H1094&lt;&gt;""""),COUNTA(FILTER(H$1:H1094, H$1:H1094&lt;&gt;""""))), LEN(INDEX(FILTER(H$1:H1094, H$1:H1094&lt;&gt;""""),COUNTA(FILTER(H$1:H1094, H$1:H1094&lt;&gt;""""))))-1), IF('To Order'!$A1095=COL"&amp;"UMNS($A1095:H1114), H1094&amp;RIGHT(INDIRECT(ADDRESS(ROW(H1095)-1, 'From Order'!$A1095)), 1), H1094))"),"")</f>
        <v/>
      </c>
      <c r="I1095" s="2" t="str">
        <f>IFERROR(__xludf.DUMMYFUNCTION("IF('From Order'!$A1095=COLUMNS($A1095:I1114), LEFT(INDEX(FILTER(I$1:I1094, I$1:I1094&lt;&gt;""""),COUNTA(FILTER(I$1:I1094, I$1:I1094&lt;&gt;""""))), LEN(INDEX(FILTER(I$1:I1094, I$1:I1094&lt;&gt;""""),COUNTA(FILTER(I$1:I1094, I$1:I1094&lt;&gt;""""))))-1), IF('To Order'!$A1095=COL"&amp;"UMNS($A1095:I1114), I1094&amp;RIGHT(INDIRECT(ADDRESS(ROW(I1095)-1, 'From Order'!$A1095)), 1), I1094))"),"VJCVZ")</f>
        <v>VJCVZ</v>
      </c>
    </row>
    <row r="1096">
      <c r="A1096" s="2" t="str">
        <f>IFERROR(__xludf.DUMMYFUNCTION("IF('From Order'!$A1096=COLUMNS($A1096:A1115), LEFT(INDEX(FILTER(A$1:A1095, A$1:A1095&lt;&gt;""""),COUNTA(FILTER(A$1:A1095, A$1:A1095&lt;&gt;""""))), LEN(INDEX(FILTER(A$1:A1095, A$1:A1095&lt;&gt;""""),COUNTA(FILTER(A$1:A1095, A$1:A1095&lt;&gt;""""))))-1), IF('To Order'!$A1096=COL"&amp;"UMNS($A1096:A1115), A1095&amp;RIGHT(INDIRECT(ADDRESS(ROW(A1096)-1, 'From Order'!$A1096)), 1), A1095))"),"")</f>
        <v/>
      </c>
      <c r="B1096" s="2" t="str">
        <f>IFERROR(__xludf.DUMMYFUNCTION("IF('From Order'!$A1096=COLUMNS($A1096:B1115), LEFT(INDEX(FILTER(B$1:B1095, B$1:B1095&lt;&gt;""""),COUNTA(FILTER(B$1:B1095, B$1:B1095&lt;&gt;""""))), LEN(INDEX(FILTER(B$1:B1095, B$1:B1095&lt;&gt;""""),COUNTA(FILTER(B$1:B1095, B$1:B1095&lt;&gt;""""))))-1), IF('To Order'!$A1096=COL"&amp;"UMNS($A1096:B1115), B1095&amp;RIGHT(INDIRECT(ADDRESS(ROW(B1096)-1, 'From Order'!$A1096)), 1), B1095))"),"ZLPDSDJDBSBZHMFBTMGTSLDTDTWRMTCRCDRZ")</f>
        <v>ZLPDSDJDBSBZHMFBTMGTSLDTDTWRMTCRCDRZ</v>
      </c>
      <c r="C1096" s="2" t="str">
        <f>IFERROR(__xludf.DUMMYFUNCTION("IF('From Order'!$A1096=COLUMNS($A1096:C1115), LEFT(INDEX(FILTER(C$1:C1095, C$1:C1095&lt;&gt;""""),COUNTA(FILTER(C$1:C1095, C$1:C1095&lt;&gt;""""))), LEN(INDEX(FILTER(C$1:C1095, C$1:C1095&lt;&gt;""""),COUNTA(FILTER(C$1:C1095, C$1:C1095&lt;&gt;""""))))-1), IF('To Order'!$A1096=COL"&amp;"UMNS($A1096:C1115), C1095&amp;RIGHT(INDIRECT(ADDRESS(ROW(C1096)-1, 'From Order'!$A1096)), 1), C1095))"),"TRLRSGHWQVQJPP")</f>
        <v>TRLRSGHWQVQJPP</v>
      </c>
      <c r="D1096" s="2" t="str">
        <f>IFERROR(__xludf.DUMMYFUNCTION("IF('From Order'!$A1096=COLUMNS($A1096:D1115), LEFT(INDEX(FILTER(D$1:D1095, D$1:D1095&lt;&gt;""""),COUNTA(FILTER(D$1:D1095, D$1:D1095&lt;&gt;""""))), LEN(INDEX(FILTER(D$1:D1095, D$1:D1095&lt;&gt;""""),COUNTA(FILTER(D$1:D1095, D$1:D1095&lt;&gt;""""))))-1), IF('To Order'!$A1096=COL"&amp;"UMNS($A1096:D1115), D1095&amp;RIGHT(INDIRECT(ADDRESS(ROW(D1096)-1, 'From Order'!$A1096)), 1), D1095))"),"")</f>
        <v/>
      </c>
      <c r="E1096" s="2" t="str">
        <f>IFERROR(__xludf.DUMMYFUNCTION("IF('From Order'!$A1096=COLUMNS($A1096:E1115), LEFT(INDEX(FILTER(E$1:E1095, E$1:E1095&lt;&gt;""""),COUNTA(FILTER(E$1:E1095, E$1:E1095&lt;&gt;""""))), LEN(INDEX(FILTER(E$1:E1095, E$1:E1095&lt;&gt;""""),COUNTA(FILTER(E$1:E1095, E$1:E1095&lt;&gt;""""))))-1), IF('To Order'!$A1096=COL"&amp;"UMNS($A1096:E1115), E1095&amp;RIGHT(INDIRECT(ADDRESS(ROW(E1096)-1, 'From Order'!$A1096)), 1), E1095))"),"")</f>
        <v/>
      </c>
      <c r="F1096" s="2" t="str">
        <f>IFERROR(__xludf.DUMMYFUNCTION("IF('From Order'!$A1096=COLUMNS($A1096:F1115), LEFT(INDEX(FILTER(F$1:F1095, F$1:F1095&lt;&gt;""""),COUNTA(FILTER(F$1:F1095, F$1:F1095&lt;&gt;""""))), LEN(INDEX(FILTER(F$1:F1095, F$1:F1095&lt;&gt;""""),COUNTA(FILTER(F$1:F1095, F$1:F1095&lt;&gt;""""))))-1), IF('To Order'!$A1096=COL"&amp;"UMNS($A1096:F1115), F1095&amp;RIGHT(INDIRECT(ADDRESS(ROW(F1096)-1, 'From Order'!$A1096)), 1), F1095))"),"")</f>
        <v/>
      </c>
      <c r="G1096" s="2" t="str">
        <f>IFERROR(__xludf.DUMMYFUNCTION("IF('From Order'!$A1096=COLUMNS($A1096:G1115), LEFT(INDEX(FILTER(G$1:G1095, G$1:G1095&lt;&gt;""""),COUNTA(FILTER(G$1:G1095, G$1:G1095&lt;&gt;""""))), LEN(INDEX(FILTER(G$1:G1095, G$1:G1095&lt;&gt;""""),COUNTA(FILTER(G$1:G1095, G$1:G1095&lt;&gt;""""))))-1), IF('To Order'!$A1096=COL"&amp;"UMNS($A1096:G1115), G1095&amp;RIGHT(INDIRECT(ADDRESS(ROW(G1096)-1, 'From Order'!$A1096)), 1), G1095))"),"BF")</f>
        <v>BF</v>
      </c>
      <c r="H1096" s="2" t="str">
        <f>IFERROR(__xludf.DUMMYFUNCTION("IF('From Order'!$A1096=COLUMNS($A1096:H1115), LEFT(INDEX(FILTER(H$1:H1095, H$1:H1095&lt;&gt;""""),COUNTA(FILTER(H$1:H1095, H$1:H1095&lt;&gt;""""))), LEN(INDEX(FILTER(H$1:H1095, H$1:H1095&lt;&gt;""""),COUNTA(FILTER(H$1:H1095, H$1:H1095&lt;&gt;""""))))-1), IF('To Order'!$A1096=COL"&amp;"UMNS($A1096:H1115), H1095&amp;RIGHT(INDIRECT(ADDRESS(ROW(H1096)-1, 'From Order'!$A1096)), 1), H1095))"),"")</f>
        <v/>
      </c>
      <c r="I1096" s="2" t="str">
        <f>IFERROR(__xludf.DUMMYFUNCTION("IF('From Order'!$A1096=COLUMNS($A1096:I1115), LEFT(INDEX(FILTER(I$1:I1095, I$1:I1095&lt;&gt;""""),COUNTA(FILTER(I$1:I1095, I$1:I1095&lt;&gt;""""))), LEN(INDEX(FILTER(I$1:I1095, I$1:I1095&lt;&gt;""""),COUNTA(FILTER(I$1:I1095, I$1:I1095&lt;&gt;""""))))-1), IF('To Order'!$A1096=COL"&amp;"UMNS($A1096:I1115), I1095&amp;RIGHT(INDIRECT(ADDRESS(ROW(I1096)-1, 'From Order'!$A1096)), 1), I1095))"),"VJCV")</f>
        <v>VJCV</v>
      </c>
    </row>
    <row r="1097">
      <c r="A1097" s="2" t="str">
        <f>IFERROR(__xludf.DUMMYFUNCTION("IF('From Order'!$A1097=COLUMNS($A1097:A1116), LEFT(INDEX(FILTER(A$1:A1096, A$1:A1096&lt;&gt;""""),COUNTA(FILTER(A$1:A1096, A$1:A1096&lt;&gt;""""))), LEN(INDEX(FILTER(A$1:A1096, A$1:A1096&lt;&gt;""""),COUNTA(FILTER(A$1:A1096, A$1:A1096&lt;&gt;""""))))-1), IF('To Order'!$A1097=COL"&amp;"UMNS($A1097:A1116), A1096&amp;RIGHT(INDIRECT(ADDRESS(ROW(A1097)-1, 'From Order'!$A1097)), 1), A1096))"),"")</f>
        <v/>
      </c>
      <c r="B1097" s="2" t="str">
        <f>IFERROR(__xludf.DUMMYFUNCTION("IF('From Order'!$A1097=COLUMNS($A1097:B1116), LEFT(INDEX(FILTER(B$1:B1096, B$1:B1096&lt;&gt;""""),COUNTA(FILTER(B$1:B1096, B$1:B1096&lt;&gt;""""))), LEN(INDEX(FILTER(B$1:B1096, B$1:B1096&lt;&gt;""""),COUNTA(FILTER(B$1:B1096, B$1:B1096&lt;&gt;""""))))-1), IF('To Order'!$A1097=COL"&amp;"UMNS($A1097:B1116), B1096&amp;RIGHT(INDIRECT(ADDRESS(ROW(B1097)-1, 'From Order'!$A1097)), 1), B1096))"),"ZLPDSDJDBSBZHMFBTMGTSLDTDTWRMTCRCDRZV")</f>
        <v>ZLPDSDJDBSBZHMFBTMGTSLDTDTWRMTCRCDRZV</v>
      </c>
      <c r="C1097" s="2" t="str">
        <f>IFERROR(__xludf.DUMMYFUNCTION("IF('From Order'!$A1097=COLUMNS($A1097:C1116), LEFT(INDEX(FILTER(C$1:C1096, C$1:C1096&lt;&gt;""""),COUNTA(FILTER(C$1:C1096, C$1:C1096&lt;&gt;""""))), LEN(INDEX(FILTER(C$1:C1096, C$1:C1096&lt;&gt;""""),COUNTA(FILTER(C$1:C1096, C$1:C1096&lt;&gt;""""))))-1), IF('To Order'!$A1097=COL"&amp;"UMNS($A1097:C1116), C1096&amp;RIGHT(INDIRECT(ADDRESS(ROW(C1097)-1, 'From Order'!$A1097)), 1), C1096))"),"TRLRSGHWQVQJPP")</f>
        <v>TRLRSGHWQVQJPP</v>
      </c>
      <c r="D1097" s="2" t="str">
        <f>IFERROR(__xludf.DUMMYFUNCTION("IF('From Order'!$A1097=COLUMNS($A1097:D1116), LEFT(INDEX(FILTER(D$1:D1096, D$1:D1096&lt;&gt;""""),COUNTA(FILTER(D$1:D1096, D$1:D1096&lt;&gt;""""))), LEN(INDEX(FILTER(D$1:D1096, D$1:D1096&lt;&gt;""""),COUNTA(FILTER(D$1:D1096, D$1:D1096&lt;&gt;""""))))-1), IF('To Order'!$A1097=COL"&amp;"UMNS($A1097:D1116), D1096&amp;RIGHT(INDIRECT(ADDRESS(ROW(D1097)-1, 'From Order'!$A1097)), 1), D1096))"),"")</f>
        <v/>
      </c>
      <c r="E1097" s="2" t="str">
        <f>IFERROR(__xludf.DUMMYFUNCTION("IF('From Order'!$A1097=COLUMNS($A1097:E1116), LEFT(INDEX(FILTER(E$1:E1096, E$1:E1096&lt;&gt;""""),COUNTA(FILTER(E$1:E1096, E$1:E1096&lt;&gt;""""))), LEN(INDEX(FILTER(E$1:E1096, E$1:E1096&lt;&gt;""""),COUNTA(FILTER(E$1:E1096, E$1:E1096&lt;&gt;""""))))-1), IF('To Order'!$A1097=COL"&amp;"UMNS($A1097:E1116), E1096&amp;RIGHT(INDIRECT(ADDRESS(ROW(E1097)-1, 'From Order'!$A1097)), 1), E1096))"),"")</f>
        <v/>
      </c>
      <c r="F1097" s="2" t="str">
        <f>IFERROR(__xludf.DUMMYFUNCTION("IF('From Order'!$A1097=COLUMNS($A1097:F1116), LEFT(INDEX(FILTER(F$1:F1096, F$1:F1096&lt;&gt;""""),COUNTA(FILTER(F$1:F1096, F$1:F1096&lt;&gt;""""))), LEN(INDEX(FILTER(F$1:F1096, F$1:F1096&lt;&gt;""""),COUNTA(FILTER(F$1:F1096, F$1:F1096&lt;&gt;""""))))-1), IF('To Order'!$A1097=COL"&amp;"UMNS($A1097:F1116), F1096&amp;RIGHT(INDIRECT(ADDRESS(ROW(F1097)-1, 'From Order'!$A1097)), 1), F1096))"),"")</f>
        <v/>
      </c>
      <c r="G1097" s="2" t="str">
        <f>IFERROR(__xludf.DUMMYFUNCTION("IF('From Order'!$A1097=COLUMNS($A1097:G1116), LEFT(INDEX(FILTER(G$1:G1096, G$1:G1096&lt;&gt;""""),COUNTA(FILTER(G$1:G1096, G$1:G1096&lt;&gt;""""))), LEN(INDEX(FILTER(G$1:G1096, G$1:G1096&lt;&gt;""""),COUNTA(FILTER(G$1:G1096, G$1:G1096&lt;&gt;""""))))-1), IF('To Order'!$A1097=COL"&amp;"UMNS($A1097:G1116), G1096&amp;RIGHT(INDIRECT(ADDRESS(ROW(G1097)-1, 'From Order'!$A1097)), 1), G1096))"),"BF")</f>
        <v>BF</v>
      </c>
      <c r="H1097" s="2" t="str">
        <f>IFERROR(__xludf.DUMMYFUNCTION("IF('From Order'!$A1097=COLUMNS($A1097:H1116), LEFT(INDEX(FILTER(H$1:H1096, H$1:H1096&lt;&gt;""""),COUNTA(FILTER(H$1:H1096, H$1:H1096&lt;&gt;""""))), LEN(INDEX(FILTER(H$1:H1096, H$1:H1096&lt;&gt;""""),COUNTA(FILTER(H$1:H1096, H$1:H1096&lt;&gt;""""))))-1), IF('To Order'!$A1097=COL"&amp;"UMNS($A1097:H1116), H1096&amp;RIGHT(INDIRECT(ADDRESS(ROW(H1097)-1, 'From Order'!$A1097)), 1), H1096))"),"")</f>
        <v/>
      </c>
      <c r="I1097" s="2" t="str">
        <f>IFERROR(__xludf.DUMMYFUNCTION("IF('From Order'!$A1097=COLUMNS($A1097:I1116), LEFT(INDEX(FILTER(I$1:I1096, I$1:I1096&lt;&gt;""""),COUNTA(FILTER(I$1:I1096, I$1:I1096&lt;&gt;""""))), LEN(INDEX(FILTER(I$1:I1096, I$1:I1096&lt;&gt;""""),COUNTA(FILTER(I$1:I1096, I$1:I1096&lt;&gt;""""))))-1), IF('To Order'!$A1097=COL"&amp;"UMNS($A1097:I1116), I1096&amp;RIGHT(INDIRECT(ADDRESS(ROW(I1097)-1, 'From Order'!$A1097)), 1), I1096))"),"VJC")</f>
        <v>VJC</v>
      </c>
    </row>
    <row r="1098">
      <c r="A1098" s="2" t="str">
        <f>IFERROR(__xludf.DUMMYFUNCTION("IF('From Order'!$A1098=COLUMNS($A1098:A1117), LEFT(INDEX(FILTER(A$1:A1097, A$1:A1097&lt;&gt;""""),COUNTA(FILTER(A$1:A1097, A$1:A1097&lt;&gt;""""))), LEN(INDEX(FILTER(A$1:A1097, A$1:A1097&lt;&gt;""""),COUNTA(FILTER(A$1:A1097, A$1:A1097&lt;&gt;""""))))-1), IF('To Order'!$A1098=COL"&amp;"UMNS($A1098:A1117), A1097&amp;RIGHT(INDIRECT(ADDRESS(ROW(A1098)-1, 'From Order'!$A1098)), 1), A1097))"),"")</f>
        <v/>
      </c>
      <c r="B1098" s="2" t="str">
        <f>IFERROR(__xludf.DUMMYFUNCTION("IF('From Order'!$A1098=COLUMNS($A1098:B1117), LEFT(INDEX(FILTER(B$1:B1097, B$1:B1097&lt;&gt;""""),COUNTA(FILTER(B$1:B1097, B$1:B1097&lt;&gt;""""))), LEN(INDEX(FILTER(B$1:B1097, B$1:B1097&lt;&gt;""""),COUNTA(FILTER(B$1:B1097, B$1:B1097&lt;&gt;""""))))-1), IF('To Order'!$A1098=COL"&amp;"UMNS($A1098:B1117), B1097&amp;RIGHT(INDIRECT(ADDRESS(ROW(B1098)-1, 'From Order'!$A1098)), 1), B1097))"),"ZLPDSDJDBSBZHMFBTMGTSLDTDTWRMTCRCDRZVC")</f>
        <v>ZLPDSDJDBSBZHMFBTMGTSLDTDTWRMTCRCDRZVC</v>
      </c>
      <c r="C1098" s="2" t="str">
        <f>IFERROR(__xludf.DUMMYFUNCTION("IF('From Order'!$A1098=COLUMNS($A1098:C1117), LEFT(INDEX(FILTER(C$1:C1097, C$1:C1097&lt;&gt;""""),COUNTA(FILTER(C$1:C1097, C$1:C1097&lt;&gt;""""))), LEN(INDEX(FILTER(C$1:C1097, C$1:C1097&lt;&gt;""""),COUNTA(FILTER(C$1:C1097, C$1:C1097&lt;&gt;""""))))-1), IF('To Order'!$A1098=COL"&amp;"UMNS($A1098:C1117), C1097&amp;RIGHT(INDIRECT(ADDRESS(ROW(C1098)-1, 'From Order'!$A1098)), 1), C1097))"),"TRLRSGHWQVQJPP")</f>
        <v>TRLRSGHWQVQJPP</v>
      </c>
      <c r="D1098" s="2" t="str">
        <f>IFERROR(__xludf.DUMMYFUNCTION("IF('From Order'!$A1098=COLUMNS($A1098:D1117), LEFT(INDEX(FILTER(D$1:D1097, D$1:D1097&lt;&gt;""""),COUNTA(FILTER(D$1:D1097, D$1:D1097&lt;&gt;""""))), LEN(INDEX(FILTER(D$1:D1097, D$1:D1097&lt;&gt;""""),COUNTA(FILTER(D$1:D1097, D$1:D1097&lt;&gt;""""))))-1), IF('To Order'!$A1098=COL"&amp;"UMNS($A1098:D1117), D1097&amp;RIGHT(INDIRECT(ADDRESS(ROW(D1098)-1, 'From Order'!$A1098)), 1), D1097))"),"")</f>
        <v/>
      </c>
      <c r="E1098" s="2" t="str">
        <f>IFERROR(__xludf.DUMMYFUNCTION("IF('From Order'!$A1098=COLUMNS($A1098:E1117), LEFT(INDEX(FILTER(E$1:E1097, E$1:E1097&lt;&gt;""""),COUNTA(FILTER(E$1:E1097, E$1:E1097&lt;&gt;""""))), LEN(INDEX(FILTER(E$1:E1097, E$1:E1097&lt;&gt;""""),COUNTA(FILTER(E$1:E1097, E$1:E1097&lt;&gt;""""))))-1), IF('To Order'!$A1098=COL"&amp;"UMNS($A1098:E1117), E1097&amp;RIGHT(INDIRECT(ADDRESS(ROW(E1098)-1, 'From Order'!$A1098)), 1), E1097))"),"")</f>
        <v/>
      </c>
      <c r="F1098" s="2" t="str">
        <f>IFERROR(__xludf.DUMMYFUNCTION("IF('From Order'!$A1098=COLUMNS($A1098:F1117), LEFT(INDEX(FILTER(F$1:F1097, F$1:F1097&lt;&gt;""""),COUNTA(FILTER(F$1:F1097, F$1:F1097&lt;&gt;""""))), LEN(INDEX(FILTER(F$1:F1097, F$1:F1097&lt;&gt;""""),COUNTA(FILTER(F$1:F1097, F$1:F1097&lt;&gt;""""))))-1), IF('To Order'!$A1098=COL"&amp;"UMNS($A1098:F1117), F1097&amp;RIGHT(INDIRECT(ADDRESS(ROW(F1098)-1, 'From Order'!$A1098)), 1), F1097))"),"")</f>
        <v/>
      </c>
      <c r="G1098" s="2" t="str">
        <f>IFERROR(__xludf.DUMMYFUNCTION("IF('From Order'!$A1098=COLUMNS($A1098:G1117), LEFT(INDEX(FILTER(G$1:G1097, G$1:G1097&lt;&gt;""""),COUNTA(FILTER(G$1:G1097, G$1:G1097&lt;&gt;""""))), LEN(INDEX(FILTER(G$1:G1097, G$1:G1097&lt;&gt;""""),COUNTA(FILTER(G$1:G1097, G$1:G1097&lt;&gt;""""))))-1), IF('To Order'!$A1098=COL"&amp;"UMNS($A1098:G1117), G1097&amp;RIGHT(INDIRECT(ADDRESS(ROW(G1098)-1, 'From Order'!$A1098)), 1), G1097))"),"BF")</f>
        <v>BF</v>
      </c>
      <c r="H1098" s="2" t="str">
        <f>IFERROR(__xludf.DUMMYFUNCTION("IF('From Order'!$A1098=COLUMNS($A1098:H1117), LEFT(INDEX(FILTER(H$1:H1097, H$1:H1097&lt;&gt;""""),COUNTA(FILTER(H$1:H1097, H$1:H1097&lt;&gt;""""))), LEN(INDEX(FILTER(H$1:H1097, H$1:H1097&lt;&gt;""""),COUNTA(FILTER(H$1:H1097, H$1:H1097&lt;&gt;""""))))-1), IF('To Order'!$A1098=COL"&amp;"UMNS($A1098:H1117), H1097&amp;RIGHT(INDIRECT(ADDRESS(ROW(H1098)-1, 'From Order'!$A1098)), 1), H1097))"),"")</f>
        <v/>
      </c>
      <c r="I1098" s="2" t="str">
        <f>IFERROR(__xludf.DUMMYFUNCTION("IF('From Order'!$A1098=COLUMNS($A1098:I1117), LEFT(INDEX(FILTER(I$1:I1097, I$1:I1097&lt;&gt;""""),COUNTA(FILTER(I$1:I1097, I$1:I1097&lt;&gt;""""))), LEN(INDEX(FILTER(I$1:I1097, I$1:I1097&lt;&gt;""""),COUNTA(FILTER(I$1:I1097, I$1:I1097&lt;&gt;""""))))-1), IF('To Order'!$A1098=COL"&amp;"UMNS($A1098:I1117), I1097&amp;RIGHT(INDIRECT(ADDRESS(ROW(I1098)-1, 'From Order'!$A1098)), 1), I1097))"),"VJ")</f>
        <v>VJ</v>
      </c>
    </row>
    <row r="1099">
      <c r="A1099" s="2" t="str">
        <f>IFERROR(__xludf.DUMMYFUNCTION("IF('From Order'!$A1099=COLUMNS($A1099:A1118), LEFT(INDEX(FILTER(A$1:A1098, A$1:A1098&lt;&gt;""""),COUNTA(FILTER(A$1:A1098, A$1:A1098&lt;&gt;""""))), LEN(INDEX(FILTER(A$1:A1098, A$1:A1098&lt;&gt;""""),COUNTA(FILTER(A$1:A1098, A$1:A1098&lt;&gt;""""))))-1), IF('To Order'!$A1099=COL"&amp;"UMNS($A1099:A1118), A1098&amp;RIGHT(INDIRECT(ADDRESS(ROW(A1099)-1, 'From Order'!$A1099)), 1), A1098))"),"")</f>
        <v/>
      </c>
      <c r="B1099" s="2" t="str">
        <f>IFERROR(__xludf.DUMMYFUNCTION("IF('From Order'!$A1099=COLUMNS($A1099:B1118), LEFT(INDEX(FILTER(B$1:B1098, B$1:B1098&lt;&gt;""""),COUNTA(FILTER(B$1:B1098, B$1:B1098&lt;&gt;""""))), LEN(INDEX(FILTER(B$1:B1098, B$1:B1098&lt;&gt;""""),COUNTA(FILTER(B$1:B1098, B$1:B1098&lt;&gt;""""))))-1), IF('To Order'!$A1099=COL"&amp;"UMNS($A1099:B1118), B1098&amp;RIGHT(INDIRECT(ADDRESS(ROW(B1099)-1, 'From Order'!$A1099)), 1), B1098))"),"ZLPDSDJDBSBZHMFBTMGTSLDTDTWRMTCRCDRZVCJ")</f>
        <v>ZLPDSDJDBSBZHMFBTMGTSLDTDTWRMTCRCDRZVCJ</v>
      </c>
      <c r="C1099" s="2" t="str">
        <f>IFERROR(__xludf.DUMMYFUNCTION("IF('From Order'!$A1099=COLUMNS($A1099:C1118), LEFT(INDEX(FILTER(C$1:C1098, C$1:C1098&lt;&gt;""""),COUNTA(FILTER(C$1:C1098, C$1:C1098&lt;&gt;""""))), LEN(INDEX(FILTER(C$1:C1098, C$1:C1098&lt;&gt;""""),COUNTA(FILTER(C$1:C1098, C$1:C1098&lt;&gt;""""))))-1), IF('To Order'!$A1099=COL"&amp;"UMNS($A1099:C1118), C1098&amp;RIGHT(INDIRECT(ADDRESS(ROW(C1099)-1, 'From Order'!$A1099)), 1), C1098))"),"TRLRSGHWQVQJPP")</f>
        <v>TRLRSGHWQVQJPP</v>
      </c>
      <c r="D1099" s="2" t="str">
        <f>IFERROR(__xludf.DUMMYFUNCTION("IF('From Order'!$A1099=COLUMNS($A1099:D1118), LEFT(INDEX(FILTER(D$1:D1098, D$1:D1098&lt;&gt;""""),COUNTA(FILTER(D$1:D1098, D$1:D1098&lt;&gt;""""))), LEN(INDEX(FILTER(D$1:D1098, D$1:D1098&lt;&gt;""""),COUNTA(FILTER(D$1:D1098, D$1:D1098&lt;&gt;""""))))-1), IF('To Order'!$A1099=COL"&amp;"UMNS($A1099:D1118), D1098&amp;RIGHT(INDIRECT(ADDRESS(ROW(D1099)-1, 'From Order'!$A1099)), 1), D1098))"),"")</f>
        <v/>
      </c>
      <c r="E1099" s="2" t="str">
        <f>IFERROR(__xludf.DUMMYFUNCTION("IF('From Order'!$A1099=COLUMNS($A1099:E1118), LEFT(INDEX(FILTER(E$1:E1098, E$1:E1098&lt;&gt;""""),COUNTA(FILTER(E$1:E1098, E$1:E1098&lt;&gt;""""))), LEN(INDEX(FILTER(E$1:E1098, E$1:E1098&lt;&gt;""""),COUNTA(FILTER(E$1:E1098, E$1:E1098&lt;&gt;""""))))-1), IF('To Order'!$A1099=COL"&amp;"UMNS($A1099:E1118), E1098&amp;RIGHT(INDIRECT(ADDRESS(ROW(E1099)-1, 'From Order'!$A1099)), 1), E1098))"),"")</f>
        <v/>
      </c>
      <c r="F1099" s="2" t="str">
        <f>IFERROR(__xludf.DUMMYFUNCTION("IF('From Order'!$A1099=COLUMNS($A1099:F1118), LEFT(INDEX(FILTER(F$1:F1098, F$1:F1098&lt;&gt;""""),COUNTA(FILTER(F$1:F1098, F$1:F1098&lt;&gt;""""))), LEN(INDEX(FILTER(F$1:F1098, F$1:F1098&lt;&gt;""""),COUNTA(FILTER(F$1:F1098, F$1:F1098&lt;&gt;""""))))-1), IF('To Order'!$A1099=COL"&amp;"UMNS($A1099:F1118), F1098&amp;RIGHT(INDIRECT(ADDRESS(ROW(F1099)-1, 'From Order'!$A1099)), 1), F1098))"),"")</f>
        <v/>
      </c>
      <c r="G1099" s="2" t="str">
        <f>IFERROR(__xludf.DUMMYFUNCTION("IF('From Order'!$A1099=COLUMNS($A1099:G1118), LEFT(INDEX(FILTER(G$1:G1098, G$1:G1098&lt;&gt;""""),COUNTA(FILTER(G$1:G1098, G$1:G1098&lt;&gt;""""))), LEN(INDEX(FILTER(G$1:G1098, G$1:G1098&lt;&gt;""""),COUNTA(FILTER(G$1:G1098, G$1:G1098&lt;&gt;""""))))-1), IF('To Order'!$A1099=COL"&amp;"UMNS($A1099:G1118), G1098&amp;RIGHT(INDIRECT(ADDRESS(ROW(G1099)-1, 'From Order'!$A1099)), 1), G1098))"),"BF")</f>
        <v>BF</v>
      </c>
      <c r="H1099" s="2" t="str">
        <f>IFERROR(__xludf.DUMMYFUNCTION("IF('From Order'!$A1099=COLUMNS($A1099:H1118), LEFT(INDEX(FILTER(H$1:H1098, H$1:H1098&lt;&gt;""""),COUNTA(FILTER(H$1:H1098, H$1:H1098&lt;&gt;""""))), LEN(INDEX(FILTER(H$1:H1098, H$1:H1098&lt;&gt;""""),COUNTA(FILTER(H$1:H1098, H$1:H1098&lt;&gt;""""))))-1), IF('To Order'!$A1099=COL"&amp;"UMNS($A1099:H1118), H1098&amp;RIGHT(INDIRECT(ADDRESS(ROW(H1099)-1, 'From Order'!$A1099)), 1), H1098))"),"")</f>
        <v/>
      </c>
      <c r="I1099" s="2" t="str">
        <f>IFERROR(__xludf.DUMMYFUNCTION("IF('From Order'!$A1099=COLUMNS($A1099:I1118), LEFT(INDEX(FILTER(I$1:I1098, I$1:I1098&lt;&gt;""""),COUNTA(FILTER(I$1:I1098, I$1:I1098&lt;&gt;""""))), LEN(INDEX(FILTER(I$1:I1098, I$1:I1098&lt;&gt;""""),COUNTA(FILTER(I$1:I1098, I$1:I1098&lt;&gt;""""))))-1), IF('To Order'!$A1099=COL"&amp;"UMNS($A1099:I1118), I1098&amp;RIGHT(INDIRECT(ADDRESS(ROW(I1099)-1, 'From Order'!$A1099)), 1), I1098))"),"V")</f>
        <v>V</v>
      </c>
    </row>
    <row r="1100">
      <c r="A1100" s="2" t="str">
        <f>IFERROR(__xludf.DUMMYFUNCTION("IF('From Order'!$A1100=COLUMNS($A1100:A1119), LEFT(INDEX(FILTER(A$1:A1099, A$1:A1099&lt;&gt;""""),COUNTA(FILTER(A$1:A1099, A$1:A1099&lt;&gt;""""))), LEN(INDEX(FILTER(A$1:A1099, A$1:A1099&lt;&gt;""""),COUNTA(FILTER(A$1:A1099, A$1:A1099&lt;&gt;""""))))-1), IF('To Order'!$A1100=COL"&amp;"UMNS($A1100:A1119), A1099&amp;RIGHT(INDIRECT(ADDRESS(ROW(A1100)-1, 'From Order'!$A1100)), 1), A1099))"),"")</f>
        <v/>
      </c>
      <c r="B1100" s="2" t="str">
        <f>IFERROR(__xludf.DUMMYFUNCTION("IF('From Order'!$A1100=COLUMNS($A1100:B1119), LEFT(INDEX(FILTER(B$1:B1099, B$1:B1099&lt;&gt;""""),COUNTA(FILTER(B$1:B1099, B$1:B1099&lt;&gt;""""))), LEN(INDEX(FILTER(B$1:B1099, B$1:B1099&lt;&gt;""""),COUNTA(FILTER(B$1:B1099, B$1:B1099&lt;&gt;""""))))-1), IF('To Order'!$A1100=COL"&amp;"UMNS($A1100:B1119), B1099&amp;RIGHT(INDIRECT(ADDRESS(ROW(B1100)-1, 'From Order'!$A1100)), 1), B1099))"),"ZLPDSDJDBSBZHMFBTMGTSLDTDTWRMTCRCDRZVCJ")</f>
        <v>ZLPDSDJDBSBZHMFBTMGTSLDTDTWRMTCRCDRZVCJ</v>
      </c>
      <c r="C1100" s="2" t="str">
        <f>IFERROR(__xludf.DUMMYFUNCTION("IF('From Order'!$A1100=COLUMNS($A1100:C1119), LEFT(INDEX(FILTER(C$1:C1099, C$1:C1099&lt;&gt;""""),COUNTA(FILTER(C$1:C1099, C$1:C1099&lt;&gt;""""))), LEN(INDEX(FILTER(C$1:C1099, C$1:C1099&lt;&gt;""""),COUNTA(FILTER(C$1:C1099, C$1:C1099&lt;&gt;""""))))-1), IF('To Order'!$A1100=COL"&amp;"UMNS($A1100:C1119), C1099&amp;RIGHT(INDIRECT(ADDRESS(ROW(C1100)-1, 'From Order'!$A1100)), 1), C1099))"),"TRLRSGHWQVQJPP")</f>
        <v>TRLRSGHWQVQJPP</v>
      </c>
      <c r="D1100" s="2" t="str">
        <f>IFERROR(__xludf.DUMMYFUNCTION("IF('From Order'!$A1100=COLUMNS($A1100:D1119), LEFT(INDEX(FILTER(D$1:D1099, D$1:D1099&lt;&gt;""""),COUNTA(FILTER(D$1:D1099, D$1:D1099&lt;&gt;""""))), LEN(INDEX(FILTER(D$1:D1099, D$1:D1099&lt;&gt;""""),COUNTA(FILTER(D$1:D1099, D$1:D1099&lt;&gt;""""))))-1), IF('To Order'!$A1100=COL"&amp;"UMNS($A1100:D1119), D1099&amp;RIGHT(INDIRECT(ADDRESS(ROW(D1100)-1, 'From Order'!$A1100)), 1), D1099))"),"")</f>
        <v/>
      </c>
      <c r="E1100" s="2" t="str">
        <f>IFERROR(__xludf.DUMMYFUNCTION("IF('From Order'!$A1100=COLUMNS($A1100:E1119), LEFT(INDEX(FILTER(E$1:E1099, E$1:E1099&lt;&gt;""""),COUNTA(FILTER(E$1:E1099, E$1:E1099&lt;&gt;""""))), LEN(INDEX(FILTER(E$1:E1099, E$1:E1099&lt;&gt;""""),COUNTA(FILTER(E$1:E1099, E$1:E1099&lt;&gt;""""))))-1), IF('To Order'!$A1100=COL"&amp;"UMNS($A1100:E1119), E1099&amp;RIGHT(INDIRECT(ADDRESS(ROW(E1100)-1, 'From Order'!$A1100)), 1), E1099))"),"")</f>
        <v/>
      </c>
      <c r="F1100" s="2" t="str">
        <f>IFERROR(__xludf.DUMMYFUNCTION("IF('From Order'!$A1100=COLUMNS($A1100:F1119), LEFT(INDEX(FILTER(F$1:F1099, F$1:F1099&lt;&gt;""""),COUNTA(FILTER(F$1:F1099, F$1:F1099&lt;&gt;""""))), LEN(INDEX(FILTER(F$1:F1099, F$1:F1099&lt;&gt;""""),COUNTA(FILTER(F$1:F1099, F$1:F1099&lt;&gt;""""))))-1), IF('To Order'!$A1100=COL"&amp;"UMNS($A1100:F1119), F1099&amp;RIGHT(INDIRECT(ADDRESS(ROW(F1100)-1, 'From Order'!$A1100)), 1), F1099))"),"")</f>
        <v/>
      </c>
      <c r="G1100" s="2" t="str">
        <f>IFERROR(__xludf.DUMMYFUNCTION("IF('From Order'!$A1100=COLUMNS($A1100:G1119), LEFT(INDEX(FILTER(G$1:G1099, G$1:G1099&lt;&gt;""""),COUNTA(FILTER(G$1:G1099, G$1:G1099&lt;&gt;""""))), LEN(INDEX(FILTER(G$1:G1099, G$1:G1099&lt;&gt;""""),COUNTA(FILTER(G$1:G1099, G$1:G1099&lt;&gt;""""))))-1), IF('To Order'!$A1100=COL"&amp;"UMNS($A1100:G1119), G1099&amp;RIGHT(INDIRECT(ADDRESS(ROW(G1100)-1, 'From Order'!$A1100)), 1), G1099))"),"BFV")</f>
        <v>BFV</v>
      </c>
      <c r="H1100" s="2" t="str">
        <f>IFERROR(__xludf.DUMMYFUNCTION("IF('From Order'!$A1100=COLUMNS($A1100:H1119), LEFT(INDEX(FILTER(H$1:H1099, H$1:H1099&lt;&gt;""""),COUNTA(FILTER(H$1:H1099, H$1:H1099&lt;&gt;""""))), LEN(INDEX(FILTER(H$1:H1099, H$1:H1099&lt;&gt;""""),COUNTA(FILTER(H$1:H1099, H$1:H1099&lt;&gt;""""))))-1), IF('To Order'!$A1100=COL"&amp;"UMNS($A1100:H1119), H1099&amp;RIGHT(INDIRECT(ADDRESS(ROW(H1100)-1, 'From Order'!$A1100)), 1), H1099))"),"")</f>
        <v/>
      </c>
      <c r="I1100" s="2" t="str">
        <f>IFERROR(__xludf.DUMMYFUNCTION("IF('From Order'!$A1100=COLUMNS($A1100:I1119), LEFT(INDEX(FILTER(I$1:I1099, I$1:I1099&lt;&gt;""""),COUNTA(FILTER(I$1:I1099, I$1:I1099&lt;&gt;""""))), LEN(INDEX(FILTER(I$1:I1099, I$1:I1099&lt;&gt;""""),COUNTA(FILTER(I$1:I1099, I$1:I1099&lt;&gt;""""))))-1), IF('To Order'!$A1100=COL"&amp;"UMNS($A1100:I1119), I1099&amp;RIGHT(INDIRECT(ADDRESS(ROW(I1100)-1, 'From Order'!$A1100)), 1), I1099))"),"")</f>
        <v/>
      </c>
    </row>
    <row r="1101">
      <c r="A1101" s="2" t="str">
        <f>IFERROR(__xludf.DUMMYFUNCTION("IF('From Order'!$A1101=COLUMNS($A1101:A1120), LEFT(INDEX(FILTER(A$1:A1100, A$1:A1100&lt;&gt;""""),COUNTA(FILTER(A$1:A1100, A$1:A1100&lt;&gt;""""))), LEN(INDEX(FILTER(A$1:A1100, A$1:A1100&lt;&gt;""""),COUNTA(FILTER(A$1:A1100, A$1:A1100&lt;&gt;""""))))-1), IF('To Order'!$A1101=COL"&amp;"UMNS($A1101:A1120), A1100&amp;RIGHT(INDIRECT(ADDRESS(ROW(A1101)-1, 'From Order'!$A1101)), 1), A1100))"),"")</f>
        <v/>
      </c>
      <c r="B1101" s="2" t="str">
        <f>IFERROR(__xludf.DUMMYFUNCTION("IF('From Order'!$A1101=COLUMNS($A1101:B1120), LEFT(INDEX(FILTER(B$1:B1100, B$1:B1100&lt;&gt;""""),COUNTA(FILTER(B$1:B1100, B$1:B1100&lt;&gt;""""))), LEN(INDEX(FILTER(B$1:B1100, B$1:B1100&lt;&gt;""""),COUNTA(FILTER(B$1:B1100, B$1:B1100&lt;&gt;""""))))-1), IF('To Order'!$A1101=COL"&amp;"UMNS($A1101:B1120), B1100&amp;RIGHT(INDIRECT(ADDRESS(ROW(B1101)-1, 'From Order'!$A1101)), 1), B1100))"),"ZLPDSDJDBSBZHMFBTMGTSLDTDTWRMTCRCDRZVC")</f>
        <v>ZLPDSDJDBSBZHMFBTMGTSLDTDTWRMTCRCDRZVC</v>
      </c>
      <c r="C1101" s="2" t="str">
        <f>IFERROR(__xludf.DUMMYFUNCTION("IF('From Order'!$A1101=COLUMNS($A1101:C1120), LEFT(INDEX(FILTER(C$1:C1100, C$1:C1100&lt;&gt;""""),COUNTA(FILTER(C$1:C1100, C$1:C1100&lt;&gt;""""))), LEN(INDEX(FILTER(C$1:C1100, C$1:C1100&lt;&gt;""""),COUNTA(FILTER(C$1:C1100, C$1:C1100&lt;&gt;""""))))-1), IF('To Order'!$A1101=COL"&amp;"UMNS($A1101:C1120), C1100&amp;RIGHT(INDIRECT(ADDRESS(ROW(C1101)-1, 'From Order'!$A1101)), 1), C1100))"),"TRLRSGHWQVQJPP")</f>
        <v>TRLRSGHWQVQJPP</v>
      </c>
      <c r="D1101" s="2" t="str">
        <f>IFERROR(__xludf.DUMMYFUNCTION("IF('From Order'!$A1101=COLUMNS($A1101:D1120), LEFT(INDEX(FILTER(D$1:D1100, D$1:D1100&lt;&gt;""""),COUNTA(FILTER(D$1:D1100, D$1:D1100&lt;&gt;""""))), LEN(INDEX(FILTER(D$1:D1100, D$1:D1100&lt;&gt;""""),COUNTA(FILTER(D$1:D1100, D$1:D1100&lt;&gt;""""))))-1), IF('To Order'!$A1101=COL"&amp;"UMNS($A1101:D1120), D1100&amp;RIGHT(INDIRECT(ADDRESS(ROW(D1101)-1, 'From Order'!$A1101)), 1), D1100))"),"")</f>
        <v/>
      </c>
      <c r="E1101" s="2" t="str">
        <f>IFERROR(__xludf.DUMMYFUNCTION("IF('From Order'!$A1101=COLUMNS($A1101:E1120), LEFT(INDEX(FILTER(E$1:E1100, E$1:E1100&lt;&gt;""""),COUNTA(FILTER(E$1:E1100, E$1:E1100&lt;&gt;""""))), LEN(INDEX(FILTER(E$1:E1100, E$1:E1100&lt;&gt;""""),COUNTA(FILTER(E$1:E1100, E$1:E1100&lt;&gt;""""))))-1), IF('To Order'!$A1101=COL"&amp;"UMNS($A1101:E1120), E1100&amp;RIGHT(INDIRECT(ADDRESS(ROW(E1101)-1, 'From Order'!$A1101)), 1), E1100))"),"")</f>
        <v/>
      </c>
      <c r="F1101" s="2" t="str">
        <f>IFERROR(__xludf.DUMMYFUNCTION("IF('From Order'!$A1101=COLUMNS($A1101:F1120), LEFT(INDEX(FILTER(F$1:F1100, F$1:F1100&lt;&gt;""""),COUNTA(FILTER(F$1:F1100, F$1:F1100&lt;&gt;""""))), LEN(INDEX(FILTER(F$1:F1100, F$1:F1100&lt;&gt;""""),COUNTA(FILTER(F$1:F1100, F$1:F1100&lt;&gt;""""))))-1), IF('To Order'!$A1101=COL"&amp;"UMNS($A1101:F1120), F1100&amp;RIGHT(INDIRECT(ADDRESS(ROW(F1101)-1, 'From Order'!$A1101)), 1), F1100))"),"")</f>
        <v/>
      </c>
      <c r="G1101" s="2" t="str">
        <f>IFERROR(__xludf.DUMMYFUNCTION("IF('From Order'!$A1101=COLUMNS($A1101:G1120), LEFT(INDEX(FILTER(G$1:G1100, G$1:G1100&lt;&gt;""""),COUNTA(FILTER(G$1:G1100, G$1:G1100&lt;&gt;""""))), LEN(INDEX(FILTER(G$1:G1100, G$1:G1100&lt;&gt;""""),COUNTA(FILTER(G$1:G1100, G$1:G1100&lt;&gt;""""))))-1), IF('To Order'!$A1101=COL"&amp;"UMNS($A1101:G1120), G1100&amp;RIGHT(INDIRECT(ADDRESS(ROW(G1101)-1, 'From Order'!$A1101)), 1), G1100))"),"BFV")</f>
        <v>BFV</v>
      </c>
      <c r="H1101" s="2" t="str">
        <f>IFERROR(__xludf.DUMMYFUNCTION("IF('From Order'!$A1101=COLUMNS($A1101:H1120), LEFT(INDEX(FILTER(H$1:H1100, H$1:H1100&lt;&gt;""""),COUNTA(FILTER(H$1:H1100, H$1:H1100&lt;&gt;""""))), LEN(INDEX(FILTER(H$1:H1100, H$1:H1100&lt;&gt;""""),COUNTA(FILTER(H$1:H1100, H$1:H1100&lt;&gt;""""))))-1), IF('To Order'!$A1101=COL"&amp;"UMNS($A1101:H1120), H1100&amp;RIGHT(INDIRECT(ADDRESS(ROW(H1101)-1, 'From Order'!$A1101)), 1), H1100))"),"")</f>
        <v/>
      </c>
      <c r="I1101" s="2" t="str">
        <f>IFERROR(__xludf.DUMMYFUNCTION("IF('From Order'!$A1101=COLUMNS($A1101:I1120), LEFT(INDEX(FILTER(I$1:I1100, I$1:I1100&lt;&gt;""""),COUNTA(FILTER(I$1:I1100, I$1:I1100&lt;&gt;""""))), LEN(INDEX(FILTER(I$1:I1100, I$1:I1100&lt;&gt;""""),COUNTA(FILTER(I$1:I1100, I$1:I1100&lt;&gt;""""))))-1), IF('To Order'!$A1101=COL"&amp;"UMNS($A1101:I1120), I1100&amp;RIGHT(INDIRECT(ADDRESS(ROW(I1101)-1, 'From Order'!$A1101)), 1), I1100))"),"J")</f>
        <v>J</v>
      </c>
    </row>
    <row r="1102">
      <c r="A1102" s="2" t="str">
        <f>IFERROR(__xludf.DUMMYFUNCTION("IF('From Order'!$A1102=COLUMNS($A1102:A1121), LEFT(INDEX(FILTER(A$1:A1101, A$1:A1101&lt;&gt;""""),COUNTA(FILTER(A$1:A1101, A$1:A1101&lt;&gt;""""))), LEN(INDEX(FILTER(A$1:A1101, A$1:A1101&lt;&gt;""""),COUNTA(FILTER(A$1:A1101, A$1:A1101&lt;&gt;""""))))-1), IF('To Order'!$A1102=COL"&amp;"UMNS($A1102:A1121), A1101&amp;RIGHT(INDIRECT(ADDRESS(ROW(A1102)-1, 'From Order'!$A1102)), 1), A1101))"),"")</f>
        <v/>
      </c>
      <c r="B1102" s="2" t="str">
        <f>IFERROR(__xludf.DUMMYFUNCTION("IF('From Order'!$A1102=COLUMNS($A1102:B1121), LEFT(INDEX(FILTER(B$1:B1101, B$1:B1101&lt;&gt;""""),COUNTA(FILTER(B$1:B1101, B$1:B1101&lt;&gt;""""))), LEN(INDEX(FILTER(B$1:B1101, B$1:B1101&lt;&gt;""""),COUNTA(FILTER(B$1:B1101, B$1:B1101&lt;&gt;""""))))-1), IF('To Order'!$A1102=COL"&amp;"UMNS($A1102:B1121), B1101&amp;RIGHT(INDIRECT(ADDRESS(ROW(B1102)-1, 'From Order'!$A1102)), 1), B1101))"),"ZLPDSDJDBSBZHMFBTMGTSLDTDTWRMTCRCDRZV")</f>
        <v>ZLPDSDJDBSBZHMFBTMGTSLDTDTWRMTCRCDRZV</v>
      </c>
      <c r="C1102" s="2" t="str">
        <f>IFERROR(__xludf.DUMMYFUNCTION("IF('From Order'!$A1102=COLUMNS($A1102:C1121), LEFT(INDEX(FILTER(C$1:C1101, C$1:C1101&lt;&gt;""""),COUNTA(FILTER(C$1:C1101, C$1:C1101&lt;&gt;""""))), LEN(INDEX(FILTER(C$1:C1101, C$1:C1101&lt;&gt;""""),COUNTA(FILTER(C$1:C1101, C$1:C1101&lt;&gt;""""))))-1), IF('To Order'!$A1102=COL"&amp;"UMNS($A1102:C1121), C1101&amp;RIGHT(INDIRECT(ADDRESS(ROW(C1102)-1, 'From Order'!$A1102)), 1), C1101))"),"TRLRSGHWQVQJPP")</f>
        <v>TRLRSGHWQVQJPP</v>
      </c>
      <c r="D1102" s="2" t="str">
        <f>IFERROR(__xludf.DUMMYFUNCTION("IF('From Order'!$A1102=COLUMNS($A1102:D1121), LEFT(INDEX(FILTER(D$1:D1101, D$1:D1101&lt;&gt;""""),COUNTA(FILTER(D$1:D1101, D$1:D1101&lt;&gt;""""))), LEN(INDEX(FILTER(D$1:D1101, D$1:D1101&lt;&gt;""""),COUNTA(FILTER(D$1:D1101, D$1:D1101&lt;&gt;""""))))-1), IF('To Order'!$A1102=COL"&amp;"UMNS($A1102:D1121), D1101&amp;RIGHT(INDIRECT(ADDRESS(ROW(D1102)-1, 'From Order'!$A1102)), 1), D1101))"),"")</f>
        <v/>
      </c>
      <c r="E1102" s="2" t="str">
        <f>IFERROR(__xludf.DUMMYFUNCTION("IF('From Order'!$A1102=COLUMNS($A1102:E1121), LEFT(INDEX(FILTER(E$1:E1101, E$1:E1101&lt;&gt;""""),COUNTA(FILTER(E$1:E1101, E$1:E1101&lt;&gt;""""))), LEN(INDEX(FILTER(E$1:E1101, E$1:E1101&lt;&gt;""""),COUNTA(FILTER(E$1:E1101, E$1:E1101&lt;&gt;""""))))-1), IF('To Order'!$A1102=COL"&amp;"UMNS($A1102:E1121), E1101&amp;RIGHT(INDIRECT(ADDRESS(ROW(E1102)-1, 'From Order'!$A1102)), 1), E1101))"),"")</f>
        <v/>
      </c>
      <c r="F1102" s="2" t="str">
        <f>IFERROR(__xludf.DUMMYFUNCTION("IF('From Order'!$A1102=COLUMNS($A1102:F1121), LEFT(INDEX(FILTER(F$1:F1101, F$1:F1101&lt;&gt;""""),COUNTA(FILTER(F$1:F1101, F$1:F1101&lt;&gt;""""))), LEN(INDEX(FILTER(F$1:F1101, F$1:F1101&lt;&gt;""""),COUNTA(FILTER(F$1:F1101, F$1:F1101&lt;&gt;""""))))-1), IF('To Order'!$A1102=COL"&amp;"UMNS($A1102:F1121), F1101&amp;RIGHT(INDIRECT(ADDRESS(ROW(F1102)-1, 'From Order'!$A1102)), 1), F1101))"),"")</f>
        <v/>
      </c>
      <c r="G1102" s="2" t="str">
        <f>IFERROR(__xludf.DUMMYFUNCTION("IF('From Order'!$A1102=COLUMNS($A1102:G1121), LEFT(INDEX(FILTER(G$1:G1101, G$1:G1101&lt;&gt;""""),COUNTA(FILTER(G$1:G1101, G$1:G1101&lt;&gt;""""))), LEN(INDEX(FILTER(G$1:G1101, G$1:G1101&lt;&gt;""""),COUNTA(FILTER(G$1:G1101, G$1:G1101&lt;&gt;""""))))-1), IF('To Order'!$A1102=COL"&amp;"UMNS($A1102:G1121), G1101&amp;RIGHT(INDIRECT(ADDRESS(ROW(G1102)-1, 'From Order'!$A1102)), 1), G1101))"),"BFV")</f>
        <v>BFV</v>
      </c>
      <c r="H1102" s="2" t="str">
        <f>IFERROR(__xludf.DUMMYFUNCTION("IF('From Order'!$A1102=COLUMNS($A1102:H1121), LEFT(INDEX(FILTER(H$1:H1101, H$1:H1101&lt;&gt;""""),COUNTA(FILTER(H$1:H1101, H$1:H1101&lt;&gt;""""))), LEN(INDEX(FILTER(H$1:H1101, H$1:H1101&lt;&gt;""""),COUNTA(FILTER(H$1:H1101, H$1:H1101&lt;&gt;""""))))-1), IF('To Order'!$A1102=COL"&amp;"UMNS($A1102:H1121), H1101&amp;RIGHT(INDIRECT(ADDRESS(ROW(H1102)-1, 'From Order'!$A1102)), 1), H1101))"),"")</f>
        <v/>
      </c>
      <c r="I1102" s="2" t="str">
        <f>IFERROR(__xludf.DUMMYFUNCTION("IF('From Order'!$A1102=COLUMNS($A1102:I1121), LEFT(INDEX(FILTER(I$1:I1101, I$1:I1101&lt;&gt;""""),COUNTA(FILTER(I$1:I1101, I$1:I1101&lt;&gt;""""))), LEN(INDEX(FILTER(I$1:I1101, I$1:I1101&lt;&gt;""""),COUNTA(FILTER(I$1:I1101, I$1:I1101&lt;&gt;""""))))-1), IF('To Order'!$A1102=COL"&amp;"UMNS($A1102:I1121), I1101&amp;RIGHT(INDIRECT(ADDRESS(ROW(I1102)-1, 'From Order'!$A1102)), 1), I1101))"),"JC")</f>
        <v>JC</v>
      </c>
    </row>
    <row r="1103">
      <c r="A1103" s="2" t="str">
        <f>IFERROR(__xludf.DUMMYFUNCTION("IF('From Order'!$A1103=COLUMNS($A1103:A1122), LEFT(INDEX(FILTER(A$1:A1102, A$1:A1102&lt;&gt;""""),COUNTA(FILTER(A$1:A1102, A$1:A1102&lt;&gt;""""))), LEN(INDEX(FILTER(A$1:A1102, A$1:A1102&lt;&gt;""""),COUNTA(FILTER(A$1:A1102, A$1:A1102&lt;&gt;""""))))-1), IF('To Order'!$A1103=COL"&amp;"UMNS($A1103:A1122), A1102&amp;RIGHT(INDIRECT(ADDRESS(ROW(A1103)-1, 'From Order'!$A1103)), 1), A1102))"),"")</f>
        <v/>
      </c>
      <c r="B1103" s="2" t="str">
        <f>IFERROR(__xludf.DUMMYFUNCTION("IF('From Order'!$A1103=COLUMNS($A1103:B1122), LEFT(INDEX(FILTER(B$1:B1102, B$1:B1102&lt;&gt;""""),COUNTA(FILTER(B$1:B1102, B$1:B1102&lt;&gt;""""))), LEN(INDEX(FILTER(B$1:B1102, B$1:B1102&lt;&gt;""""),COUNTA(FILTER(B$1:B1102, B$1:B1102&lt;&gt;""""))))-1), IF('To Order'!$A1103=COL"&amp;"UMNS($A1103:B1122), B1102&amp;RIGHT(INDIRECT(ADDRESS(ROW(B1103)-1, 'From Order'!$A1103)), 1), B1102))"),"ZLPDSDJDBSBZHMFBTMGTSLDTDTWRMTCRCDRZ")</f>
        <v>ZLPDSDJDBSBZHMFBTMGTSLDTDTWRMTCRCDRZ</v>
      </c>
      <c r="C1103" s="2" t="str">
        <f>IFERROR(__xludf.DUMMYFUNCTION("IF('From Order'!$A1103=COLUMNS($A1103:C1122), LEFT(INDEX(FILTER(C$1:C1102, C$1:C1102&lt;&gt;""""),COUNTA(FILTER(C$1:C1102, C$1:C1102&lt;&gt;""""))), LEN(INDEX(FILTER(C$1:C1102, C$1:C1102&lt;&gt;""""),COUNTA(FILTER(C$1:C1102, C$1:C1102&lt;&gt;""""))))-1), IF('To Order'!$A1103=COL"&amp;"UMNS($A1103:C1122), C1102&amp;RIGHT(INDIRECT(ADDRESS(ROW(C1103)-1, 'From Order'!$A1103)), 1), C1102))"),"TRLRSGHWQVQJPP")</f>
        <v>TRLRSGHWQVQJPP</v>
      </c>
      <c r="D1103" s="2" t="str">
        <f>IFERROR(__xludf.DUMMYFUNCTION("IF('From Order'!$A1103=COLUMNS($A1103:D1122), LEFT(INDEX(FILTER(D$1:D1102, D$1:D1102&lt;&gt;""""),COUNTA(FILTER(D$1:D1102, D$1:D1102&lt;&gt;""""))), LEN(INDEX(FILTER(D$1:D1102, D$1:D1102&lt;&gt;""""),COUNTA(FILTER(D$1:D1102, D$1:D1102&lt;&gt;""""))))-1), IF('To Order'!$A1103=COL"&amp;"UMNS($A1103:D1122), D1102&amp;RIGHT(INDIRECT(ADDRESS(ROW(D1103)-1, 'From Order'!$A1103)), 1), D1102))"),"")</f>
        <v/>
      </c>
      <c r="E1103" s="2" t="str">
        <f>IFERROR(__xludf.DUMMYFUNCTION("IF('From Order'!$A1103=COLUMNS($A1103:E1122), LEFT(INDEX(FILTER(E$1:E1102, E$1:E1102&lt;&gt;""""),COUNTA(FILTER(E$1:E1102, E$1:E1102&lt;&gt;""""))), LEN(INDEX(FILTER(E$1:E1102, E$1:E1102&lt;&gt;""""),COUNTA(FILTER(E$1:E1102, E$1:E1102&lt;&gt;""""))))-1), IF('To Order'!$A1103=COL"&amp;"UMNS($A1103:E1122), E1102&amp;RIGHT(INDIRECT(ADDRESS(ROW(E1103)-1, 'From Order'!$A1103)), 1), E1102))"),"")</f>
        <v/>
      </c>
      <c r="F1103" s="2" t="str">
        <f>IFERROR(__xludf.DUMMYFUNCTION("IF('From Order'!$A1103=COLUMNS($A1103:F1122), LEFT(INDEX(FILTER(F$1:F1102, F$1:F1102&lt;&gt;""""),COUNTA(FILTER(F$1:F1102, F$1:F1102&lt;&gt;""""))), LEN(INDEX(FILTER(F$1:F1102, F$1:F1102&lt;&gt;""""),COUNTA(FILTER(F$1:F1102, F$1:F1102&lt;&gt;""""))))-1), IF('To Order'!$A1103=COL"&amp;"UMNS($A1103:F1122), F1102&amp;RIGHT(INDIRECT(ADDRESS(ROW(F1103)-1, 'From Order'!$A1103)), 1), F1102))"),"")</f>
        <v/>
      </c>
      <c r="G1103" s="2" t="str">
        <f>IFERROR(__xludf.DUMMYFUNCTION("IF('From Order'!$A1103=COLUMNS($A1103:G1122), LEFT(INDEX(FILTER(G$1:G1102, G$1:G1102&lt;&gt;""""),COUNTA(FILTER(G$1:G1102, G$1:G1102&lt;&gt;""""))), LEN(INDEX(FILTER(G$1:G1102, G$1:G1102&lt;&gt;""""),COUNTA(FILTER(G$1:G1102, G$1:G1102&lt;&gt;""""))))-1), IF('To Order'!$A1103=COL"&amp;"UMNS($A1103:G1122), G1102&amp;RIGHT(INDIRECT(ADDRESS(ROW(G1103)-1, 'From Order'!$A1103)), 1), G1102))"),"BFV")</f>
        <v>BFV</v>
      </c>
      <c r="H1103" s="2" t="str">
        <f>IFERROR(__xludf.DUMMYFUNCTION("IF('From Order'!$A1103=COLUMNS($A1103:H1122), LEFT(INDEX(FILTER(H$1:H1102, H$1:H1102&lt;&gt;""""),COUNTA(FILTER(H$1:H1102, H$1:H1102&lt;&gt;""""))), LEN(INDEX(FILTER(H$1:H1102, H$1:H1102&lt;&gt;""""),COUNTA(FILTER(H$1:H1102, H$1:H1102&lt;&gt;""""))))-1), IF('To Order'!$A1103=COL"&amp;"UMNS($A1103:H1122), H1102&amp;RIGHT(INDIRECT(ADDRESS(ROW(H1103)-1, 'From Order'!$A1103)), 1), H1102))"),"")</f>
        <v/>
      </c>
      <c r="I1103" s="2" t="str">
        <f>IFERROR(__xludf.DUMMYFUNCTION("IF('From Order'!$A1103=COLUMNS($A1103:I1122), LEFT(INDEX(FILTER(I$1:I1102, I$1:I1102&lt;&gt;""""),COUNTA(FILTER(I$1:I1102, I$1:I1102&lt;&gt;""""))), LEN(INDEX(FILTER(I$1:I1102, I$1:I1102&lt;&gt;""""),COUNTA(FILTER(I$1:I1102, I$1:I1102&lt;&gt;""""))))-1), IF('To Order'!$A1103=COL"&amp;"UMNS($A1103:I1122), I1102&amp;RIGHT(INDIRECT(ADDRESS(ROW(I1103)-1, 'From Order'!$A1103)), 1), I1102))"),"JCV")</f>
        <v>JCV</v>
      </c>
    </row>
    <row r="1104">
      <c r="A1104" s="2" t="str">
        <f>IFERROR(__xludf.DUMMYFUNCTION("IF('From Order'!$A1104=COLUMNS($A1104:A1123), LEFT(INDEX(FILTER(A$1:A1103, A$1:A1103&lt;&gt;""""),COUNTA(FILTER(A$1:A1103, A$1:A1103&lt;&gt;""""))), LEN(INDEX(FILTER(A$1:A1103, A$1:A1103&lt;&gt;""""),COUNTA(FILTER(A$1:A1103, A$1:A1103&lt;&gt;""""))))-1), IF('To Order'!$A1104=COL"&amp;"UMNS($A1104:A1123), A1103&amp;RIGHT(INDIRECT(ADDRESS(ROW(A1104)-1, 'From Order'!$A1104)), 1), A1103))"),"")</f>
        <v/>
      </c>
      <c r="B1104" s="2" t="str">
        <f>IFERROR(__xludf.DUMMYFUNCTION("IF('From Order'!$A1104=COLUMNS($A1104:B1123), LEFT(INDEX(FILTER(B$1:B1103, B$1:B1103&lt;&gt;""""),COUNTA(FILTER(B$1:B1103, B$1:B1103&lt;&gt;""""))), LEN(INDEX(FILTER(B$1:B1103, B$1:B1103&lt;&gt;""""),COUNTA(FILTER(B$1:B1103, B$1:B1103&lt;&gt;""""))))-1), IF('To Order'!$A1104=COL"&amp;"UMNS($A1104:B1123), B1103&amp;RIGHT(INDIRECT(ADDRESS(ROW(B1104)-1, 'From Order'!$A1104)), 1), B1103))"),"ZLPDSDJDBSBZHMFBTMGTSLDTDTWRMTCRCDR")</f>
        <v>ZLPDSDJDBSBZHMFBTMGTSLDTDTWRMTCRCDR</v>
      </c>
      <c r="C1104" s="2" t="str">
        <f>IFERROR(__xludf.DUMMYFUNCTION("IF('From Order'!$A1104=COLUMNS($A1104:C1123), LEFT(INDEX(FILTER(C$1:C1103, C$1:C1103&lt;&gt;""""),COUNTA(FILTER(C$1:C1103, C$1:C1103&lt;&gt;""""))), LEN(INDEX(FILTER(C$1:C1103, C$1:C1103&lt;&gt;""""),COUNTA(FILTER(C$1:C1103, C$1:C1103&lt;&gt;""""))))-1), IF('To Order'!$A1104=COL"&amp;"UMNS($A1104:C1123), C1103&amp;RIGHT(INDIRECT(ADDRESS(ROW(C1104)-1, 'From Order'!$A1104)), 1), C1103))"),"TRLRSGHWQVQJPP")</f>
        <v>TRLRSGHWQVQJPP</v>
      </c>
      <c r="D1104" s="2" t="str">
        <f>IFERROR(__xludf.DUMMYFUNCTION("IF('From Order'!$A1104=COLUMNS($A1104:D1123), LEFT(INDEX(FILTER(D$1:D1103, D$1:D1103&lt;&gt;""""),COUNTA(FILTER(D$1:D1103, D$1:D1103&lt;&gt;""""))), LEN(INDEX(FILTER(D$1:D1103, D$1:D1103&lt;&gt;""""),COUNTA(FILTER(D$1:D1103, D$1:D1103&lt;&gt;""""))))-1), IF('To Order'!$A1104=COL"&amp;"UMNS($A1104:D1123), D1103&amp;RIGHT(INDIRECT(ADDRESS(ROW(D1104)-1, 'From Order'!$A1104)), 1), D1103))"),"")</f>
        <v/>
      </c>
      <c r="E1104" s="2" t="str">
        <f>IFERROR(__xludf.DUMMYFUNCTION("IF('From Order'!$A1104=COLUMNS($A1104:E1123), LEFT(INDEX(FILTER(E$1:E1103, E$1:E1103&lt;&gt;""""),COUNTA(FILTER(E$1:E1103, E$1:E1103&lt;&gt;""""))), LEN(INDEX(FILTER(E$1:E1103, E$1:E1103&lt;&gt;""""),COUNTA(FILTER(E$1:E1103, E$1:E1103&lt;&gt;""""))))-1), IF('To Order'!$A1104=COL"&amp;"UMNS($A1104:E1123), E1103&amp;RIGHT(INDIRECT(ADDRESS(ROW(E1104)-1, 'From Order'!$A1104)), 1), E1103))"),"")</f>
        <v/>
      </c>
      <c r="F1104" s="2" t="str">
        <f>IFERROR(__xludf.DUMMYFUNCTION("IF('From Order'!$A1104=COLUMNS($A1104:F1123), LEFT(INDEX(FILTER(F$1:F1103, F$1:F1103&lt;&gt;""""),COUNTA(FILTER(F$1:F1103, F$1:F1103&lt;&gt;""""))), LEN(INDEX(FILTER(F$1:F1103, F$1:F1103&lt;&gt;""""),COUNTA(FILTER(F$1:F1103, F$1:F1103&lt;&gt;""""))))-1), IF('To Order'!$A1104=COL"&amp;"UMNS($A1104:F1123), F1103&amp;RIGHT(INDIRECT(ADDRESS(ROW(F1104)-1, 'From Order'!$A1104)), 1), F1103))"),"")</f>
        <v/>
      </c>
      <c r="G1104" s="2" t="str">
        <f>IFERROR(__xludf.DUMMYFUNCTION("IF('From Order'!$A1104=COLUMNS($A1104:G1123), LEFT(INDEX(FILTER(G$1:G1103, G$1:G1103&lt;&gt;""""),COUNTA(FILTER(G$1:G1103, G$1:G1103&lt;&gt;""""))), LEN(INDEX(FILTER(G$1:G1103, G$1:G1103&lt;&gt;""""),COUNTA(FILTER(G$1:G1103, G$1:G1103&lt;&gt;""""))))-1), IF('To Order'!$A1104=COL"&amp;"UMNS($A1104:G1123), G1103&amp;RIGHT(INDIRECT(ADDRESS(ROW(G1104)-1, 'From Order'!$A1104)), 1), G1103))"),"BFV")</f>
        <v>BFV</v>
      </c>
      <c r="H1104" s="2" t="str">
        <f>IFERROR(__xludf.DUMMYFUNCTION("IF('From Order'!$A1104=COLUMNS($A1104:H1123), LEFT(INDEX(FILTER(H$1:H1103, H$1:H1103&lt;&gt;""""),COUNTA(FILTER(H$1:H1103, H$1:H1103&lt;&gt;""""))), LEN(INDEX(FILTER(H$1:H1103, H$1:H1103&lt;&gt;""""),COUNTA(FILTER(H$1:H1103, H$1:H1103&lt;&gt;""""))))-1), IF('To Order'!$A1104=COL"&amp;"UMNS($A1104:H1123), H1103&amp;RIGHT(INDIRECT(ADDRESS(ROW(H1104)-1, 'From Order'!$A1104)), 1), H1103))"),"")</f>
        <v/>
      </c>
      <c r="I1104" s="2" t="str">
        <f>IFERROR(__xludf.DUMMYFUNCTION("IF('From Order'!$A1104=COLUMNS($A1104:I1123), LEFT(INDEX(FILTER(I$1:I1103, I$1:I1103&lt;&gt;""""),COUNTA(FILTER(I$1:I1103, I$1:I1103&lt;&gt;""""))), LEN(INDEX(FILTER(I$1:I1103, I$1:I1103&lt;&gt;""""),COUNTA(FILTER(I$1:I1103, I$1:I1103&lt;&gt;""""))))-1), IF('To Order'!$A1104=COL"&amp;"UMNS($A1104:I1123), I1103&amp;RIGHT(INDIRECT(ADDRESS(ROW(I1104)-1, 'From Order'!$A1104)), 1), I1103))"),"JCVZ")</f>
        <v>JCVZ</v>
      </c>
    </row>
    <row r="1105">
      <c r="A1105" s="2" t="str">
        <f>IFERROR(__xludf.DUMMYFUNCTION("IF('From Order'!$A1105=COLUMNS($A1105:A1124), LEFT(INDEX(FILTER(A$1:A1104, A$1:A1104&lt;&gt;""""),COUNTA(FILTER(A$1:A1104, A$1:A1104&lt;&gt;""""))), LEN(INDEX(FILTER(A$1:A1104, A$1:A1104&lt;&gt;""""),COUNTA(FILTER(A$1:A1104, A$1:A1104&lt;&gt;""""))))-1), IF('To Order'!$A1105=COL"&amp;"UMNS($A1105:A1124), A1104&amp;RIGHT(INDIRECT(ADDRESS(ROW(A1105)-1, 'From Order'!$A1105)), 1), A1104))"),"")</f>
        <v/>
      </c>
      <c r="B1105" s="2" t="str">
        <f>IFERROR(__xludf.DUMMYFUNCTION("IF('From Order'!$A1105=COLUMNS($A1105:B1124), LEFT(INDEX(FILTER(B$1:B1104, B$1:B1104&lt;&gt;""""),COUNTA(FILTER(B$1:B1104, B$1:B1104&lt;&gt;""""))), LEN(INDEX(FILTER(B$1:B1104, B$1:B1104&lt;&gt;""""),COUNTA(FILTER(B$1:B1104, B$1:B1104&lt;&gt;""""))))-1), IF('To Order'!$A1105=COL"&amp;"UMNS($A1105:B1124), B1104&amp;RIGHT(INDIRECT(ADDRESS(ROW(B1105)-1, 'From Order'!$A1105)), 1), B1104))"),"ZLPDSDJDBSBZHMFBTMGTSLDTDTWRMTCRCD")</f>
        <v>ZLPDSDJDBSBZHMFBTMGTSLDTDTWRMTCRCD</v>
      </c>
      <c r="C1105" s="2" t="str">
        <f>IFERROR(__xludf.DUMMYFUNCTION("IF('From Order'!$A1105=COLUMNS($A1105:C1124), LEFT(INDEX(FILTER(C$1:C1104, C$1:C1104&lt;&gt;""""),COUNTA(FILTER(C$1:C1104, C$1:C1104&lt;&gt;""""))), LEN(INDEX(FILTER(C$1:C1104, C$1:C1104&lt;&gt;""""),COUNTA(FILTER(C$1:C1104, C$1:C1104&lt;&gt;""""))))-1), IF('To Order'!$A1105=COL"&amp;"UMNS($A1105:C1124), C1104&amp;RIGHT(INDIRECT(ADDRESS(ROW(C1105)-1, 'From Order'!$A1105)), 1), C1104))"),"TRLRSGHWQVQJPP")</f>
        <v>TRLRSGHWQVQJPP</v>
      </c>
      <c r="D1105" s="2" t="str">
        <f>IFERROR(__xludf.DUMMYFUNCTION("IF('From Order'!$A1105=COLUMNS($A1105:D1124), LEFT(INDEX(FILTER(D$1:D1104, D$1:D1104&lt;&gt;""""),COUNTA(FILTER(D$1:D1104, D$1:D1104&lt;&gt;""""))), LEN(INDEX(FILTER(D$1:D1104, D$1:D1104&lt;&gt;""""),COUNTA(FILTER(D$1:D1104, D$1:D1104&lt;&gt;""""))))-1), IF('To Order'!$A1105=COL"&amp;"UMNS($A1105:D1124), D1104&amp;RIGHT(INDIRECT(ADDRESS(ROW(D1105)-1, 'From Order'!$A1105)), 1), D1104))"),"")</f>
        <v/>
      </c>
      <c r="E1105" s="2" t="str">
        <f>IFERROR(__xludf.DUMMYFUNCTION("IF('From Order'!$A1105=COLUMNS($A1105:E1124), LEFT(INDEX(FILTER(E$1:E1104, E$1:E1104&lt;&gt;""""),COUNTA(FILTER(E$1:E1104, E$1:E1104&lt;&gt;""""))), LEN(INDEX(FILTER(E$1:E1104, E$1:E1104&lt;&gt;""""),COUNTA(FILTER(E$1:E1104, E$1:E1104&lt;&gt;""""))))-1), IF('To Order'!$A1105=COL"&amp;"UMNS($A1105:E1124), E1104&amp;RIGHT(INDIRECT(ADDRESS(ROW(E1105)-1, 'From Order'!$A1105)), 1), E1104))"),"")</f>
        <v/>
      </c>
      <c r="F1105" s="2" t="str">
        <f>IFERROR(__xludf.DUMMYFUNCTION("IF('From Order'!$A1105=COLUMNS($A1105:F1124), LEFT(INDEX(FILTER(F$1:F1104, F$1:F1104&lt;&gt;""""),COUNTA(FILTER(F$1:F1104, F$1:F1104&lt;&gt;""""))), LEN(INDEX(FILTER(F$1:F1104, F$1:F1104&lt;&gt;""""),COUNTA(FILTER(F$1:F1104, F$1:F1104&lt;&gt;""""))))-1), IF('To Order'!$A1105=COL"&amp;"UMNS($A1105:F1124), F1104&amp;RIGHT(INDIRECT(ADDRESS(ROW(F1105)-1, 'From Order'!$A1105)), 1), F1104))"),"")</f>
        <v/>
      </c>
      <c r="G1105" s="2" t="str">
        <f>IFERROR(__xludf.DUMMYFUNCTION("IF('From Order'!$A1105=COLUMNS($A1105:G1124), LEFT(INDEX(FILTER(G$1:G1104, G$1:G1104&lt;&gt;""""),COUNTA(FILTER(G$1:G1104, G$1:G1104&lt;&gt;""""))), LEN(INDEX(FILTER(G$1:G1104, G$1:G1104&lt;&gt;""""),COUNTA(FILTER(G$1:G1104, G$1:G1104&lt;&gt;""""))))-1), IF('To Order'!$A1105=COL"&amp;"UMNS($A1105:G1124), G1104&amp;RIGHT(INDIRECT(ADDRESS(ROW(G1105)-1, 'From Order'!$A1105)), 1), G1104))"),"BFV")</f>
        <v>BFV</v>
      </c>
      <c r="H1105" s="2" t="str">
        <f>IFERROR(__xludf.DUMMYFUNCTION("IF('From Order'!$A1105=COLUMNS($A1105:H1124), LEFT(INDEX(FILTER(H$1:H1104, H$1:H1104&lt;&gt;""""),COUNTA(FILTER(H$1:H1104, H$1:H1104&lt;&gt;""""))), LEN(INDEX(FILTER(H$1:H1104, H$1:H1104&lt;&gt;""""),COUNTA(FILTER(H$1:H1104, H$1:H1104&lt;&gt;""""))))-1), IF('To Order'!$A1105=COL"&amp;"UMNS($A1105:H1124), H1104&amp;RIGHT(INDIRECT(ADDRESS(ROW(H1105)-1, 'From Order'!$A1105)), 1), H1104))"),"")</f>
        <v/>
      </c>
      <c r="I1105" s="2" t="str">
        <f>IFERROR(__xludf.DUMMYFUNCTION("IF('From Order'!$A1105=COLUMNS($A1105:I1124), LEFT(INDEX(FILTER(I$1:I1104, I$1:I1104&lt;&gt;""""),COUNTA(FILTER(I$1:I1104, I$1:I1104&lt;&gt;""""))), LEN(INDEX(FILTER(I$1:I1104, I$1:I1104&lt;&gt;""""),COUNTA(FILTER(I$1:I1104, I$1:I1104&lt;&gt;""""))))-1), IF('To Order'!$A1105=COL"&amp;"UMNS($A1105:I1124), I1104&amp;RIGHT(INDIRECT(ADDRESS(ROW(I1105)-1, 'From Order'!$A1105)), 1), I1104))"),"JCVZR")</f>
        <v>JCVZR</v>
      </c>
    </row>
    <row r="1106">
      <c r="A1106" s="2" t="str">
        <f>IFERROR(__xludf.DUMMYFUNCTION("IF('From Order'!$A1106=COLUMNS($A1106:A1125), LEFT(INDEX(FILTER(A$1:A1105, A$1:A1105&lt;&gt;""""),COUNTA(FILTER(A$1:A1105, A$1:A1105&lt;&gt;""""))), LEN(INDEX(FILTER(A$1:A1105, A$1:A1105&lt;&gt;""""),COUNTA(FILTER(A$1:A1105, A$1:A1105&lt;&gt;""""))))-1), IF('To Order'!$A1106=COL"&amp;"UMNS($A1106:A1125), A1105&amp;RIGHT(INDIRECT(ADDRESS(ROW(A1106)-1, 'From Order'!$A1106)), 1), A1105))"),"")</f>
        <v/>
      </c>
      <c r="B1106" s="2" t="str">
        <f>IFERROR(__xludf.DUMMYFUNCTION("IF('From Order'!$A1106=COLUMNS($A1106:B1125), LEFT(INDEX(FILTER(B$1:B1105, B$1:B1105&lt;&gt;""""),COUNTA(FILTER(B$1:B1105, B$1:B1105&lt;&gt;""""))), LEN(INDEX(FILTER(B$1:B1105, B$1:B1105&lt;&gt;""""),COUNTA(FILTER(B$1:B1105, B$1:B1105&lt;&gt;""""))))-1), IF('To Order'!$A1106=COL"&amp;"UMNS($A1106:B1125), B1105&amp;RIGHT(INDIRECT(ADDRESS(ROW(B1106)-1, 'From Order'!$A1106)), 1), B1105))"),"ZLPDSDJDBSBZHMFBTMGTSLDTDTWRMTCRC")</f>
        <v>ZLPDSDJDBSBZHMFBTMGTSLDTDTWRMTCRC</v>
      </c>
      <c r="C1106" s="2" t="str">
        <f>IFERROR(__xludf.DUMMYFUNCTION("IF('From Order'!$A1106=COLUMNS($A1106:C1125), LEFT(INDEX(FILTER(C$1:C1105, C$1:C1105&lt;&gt;""""),COUNTA(FILTER(C$1:C1105, C$1:C1105&lt;&gt;""""))), LEN(INDEX(FILTER(C$1:C1105, C$1:C1105&lt;&gt;""""),COUNTA(FILTER(C$1:C1105, C$1:C1105&lt;&gt;""""))))-1), IF('To Order'!$A1106=COL"&amp;"UMNS($A1106:C1125), C1105&amp;RIGHT(INDIRECT(ADDRESS(ROW(C1106)-1, 'From Order'!$A1106)), 1), C1105))"),"TRLRSGHWQVQJPP")</f>
        <v>TRLRSGHWQVQJPP</v>
      </c>
      <c r="D1106" s="2" t="str">
        <f>IFERROR(__xludf.DUMMYFUNCTION("IF('From Order'!$A1106=COLUMNS($A1106:D1125), LEFT(INDEX(FILTER(D$1:D1105, D$1:D1105&lt;&gt;""""),COUNTA(FILTER(D$1:D1105, D$1:D1105&lt;&gt;""""))), LEN(INDEX(FILTER(D$1:D1105, D$1:D1105&lt;&gt;""""),COUNTA(FILTER(D$1:D1105, D$1:D1105&lt;&gt;""""))))-1), IF('To Order'!$A1106=COL"&amp;"UMNS($A1106:D1125), D1105&amp;RIGHT(INDIRECT(ADDRESS(ROW(D1106)-1, 'From Order'!$A1106)), 1), D1105))"),"")</f>
        <v/>
      </c>
      <c r="E1106" s="2" t="str">
        <f>IFERROR(__xludf.DUMMYFUNCTION("IF('From Order'!$A1106=COLUMNS($A1106:E1125), LEFT(INDEX(FILTER(E$1:E1105, E$1:E1105&lt;&gt;""""),COUNTA(FILTER(E$1:E1105, E$1:E1105&lt;&gt;""""))), LEN(INDEX(FILTER(E$1:E1105, E$1:E1105&lt;&gt;""""),COUNTA(FILTER(E$1:E1105, E$1:E1105&lt;&gt;""""))))-1), IF('To Order'!$A1106=COL"&amp;"UMNS($A1106:E1125), E1105&amp;RIGHT(INDIRECT(ADDRESS(ROW(E1106)-1, 'From Order'!$A1106)), 1), E1105))"),"")</f>
        <v/>
      </c>
      <c r="F1106" s="2" t="str">
        <f>IFERROR(__xludf.DUMMYFUNCTION("IF('From Order'!$A1106=COLUMNS($A1106:F1125), LEFT(INDEX(FILTER(F$1:F1105, F$1:F1105&lt;&gt;""""),COUNTA(FILTER(F$1:F1105, F$1:F1105&lt;&gt;""""))), LEN(INDEX(FILTER(F$1:F1105, F$1:F1105&lt;&gt;""""),COUNTA(FILTER(F$1:F1105, F$1:F1105&lt;&gt;""""))))-1), IF('To Order'!$A1106=COL"&amp;"UMNS($A1106:F1125), F1105&amp;RIGHT(INDIRECT(ADDRESS(ROW(F1106)-1, 'From Order'!$A1106)), 1), F1105))"),"")</f>
        <v/>
      </c>
      <c r="G1106" s="2" t="str">
        <f>IFERROR(__xludf.DUMMYFUNCTION("IF('From Order'!$A1106=COLUMNS($A1106:G1125), LEFT(INDEX(FILTER(G$1:G1105, G$1:G1105&lt;&gt;""""),COUNTA(FILTER(G$1:G1105, G$1:G1105&lt;&gt;""""))), LEN(INDEX(FILTER(G$1:G1105, G$1:G1105&lt;&gt;""""),COUNTA(FILTER(G$1:G1105, G$1:G1105&lt;&gt;""""))))-1), IF('To Order'!$A1106=COL"&amp;"UMNS($A1106:G1125), G1105&amp;RIGHT(INDIRECT(ADDRESS(ROW(G1106)-1, 'From Order'!$A1106)), 1), G1105))"),"BFV")</f>
        <v>BFV</v>
      </c>
      <c r="H1106" s="2" t="str">
        <f>IFERROR(__xludf.DUMMYFUNCTION("IF('From Order'!$A1106=COLUMNS($A1106:H1125), LEFT(INDEX(FILTER(H$1:H1105, H$1:H1105&lt;&gt;""""),COUNTA(FILTER(H$1:H1105, H$1:H1105&lt;&gt;""""))), LEN(INDEX(FILTER(H$1:H1105, H$1:H1105&lt;&gt;""""),COUNTA(FILTER(H$1:H1105, H$1:H1105&lt;&gt;""""))))-1), IF('To Order'!$A1106=COL"&amp;"UMNS($A1106:H1125), H1105&amp;RIGHT(INDIRECT(ADDRESS(ROW(H1106)-1, 'From Order'!$A1106)), 1), H1105))"),"")</f>
        <v/>
      </c>
      <c r="I1106" s="2" t="str">
        <f>IFERROR(__xludf.DUMMYFUNCTION("IF('From Order'!$A1106=COLUMNS($A1106:I1125), LEFT(INDEX(FILTER(I$1:I1105, I$1:I1105&lt;&gt;""""),COUNTA(FILTER(I$1:I1105, I$1:I1105&lt;&gt;""""))), LEN(INDEX(FILTER(I$1:I1105, I$1:I1105&lt;&gt;""""),COUNTA(FILTER(I$1:I1105, I$1:I1105&lt;&gt;""""))))-1), IF('To Order'!$A1106=COL"&amp;"UMNS($A1106:I1125), I1105&amp;RIGHT(INDIRECT(ADDRESS(ROW(I1106)-1, 'From Order'!$A1106)), 1), I1105))"),"JCVZRD")</f>
        <v>JCVZRD</v>
      </c>
    </row>
    <row r="1107">
      <c r="A1107" s="2" t="str">
        <f>IFERROR(__xludf.DUMMYFUNCTION("IF('From Order'!$A1107=COLUMNS($A1107:A1126), LEFT(INDEX(FILTER(A$1:A1106, A$1:A1106&lt;&gt;""""),COUNTA(FILTER(A$1:A1106, A$1:A1106&lt;&gt;""""))), LEN(INDEX(FILTER(A$1:A1106, A$1:A1106&lt;&gt;""""),COUNTA(FILTER(A$1:A1106, A$1:A1106&lt;&gt;""""))))-1), IF('To Order'!$A1107=COL"&amp;"UMNS($A1107:A1126), A1106&amp;RIGHT(INDIRECT(ADDRESS(ROW(A1107)-1, 'From Order'!$A1107)), 1), A1106))"),"")</f>
        <v/>
      </c>
      <c r="B1107" s="2" t="str">
        <f>IFERROR(__xludf.DUMMYFUNCTION("IF('From Order'!$A1107=COLUMNS($A1107:B1126), LEFT(INDEX(FILTER(B$1:B1106, B$1:B1106&lt;&gt;""""),COUNTA(FILTER(B$1:B1106, B$1:B1106&lt;&gt;""""))), LEN(INDEX(FILTER(B$1:B1106, B$1:B1106&lt;&gt;""""),COUNTA(FILTER(B$1:B1106, B$1:B1106&lt;&gt;""""))))-1), IF('To Order'!$A1107=COL"&amp;"UMNS($A1107:B1126), B1106&amp;RIGHT(INDIRECT(ADDRESS(ROW(B1107)-1, 'From Order'!$A1107)), 1), B1106))"),"ZLPDSDJDBSBZHMFBTMGTSLDTDTWRMTCR")</f>
        <v>ZLPDSDJDBSBZHMFBTMGTSLDTDTWRMTCR</v>
      </c>
      <c r="C1107" s="2" t="str">
        <f>IFERROR(__xludf.DUMMYFUNCTION("IF('From Order'!$A1107=COLUMNS($A1107:C1126), LEFT(INDEX(FILTER(C$1:C1106, C$1:C1106&lt;&gt;""""),COUNTA(FILTER(C$1:C1106, C$1:C1106&lt;&gt;""""))), LEN(INDEX(FILTER(C$1:C1106, C$1:C1106&lt;&gt;""""),COUNTA(FILTER(C$1:C1106, C$1:C1106&lt;&gt;""""))))-1), IF('To Order'!$A1107=COL"&amp;"UMNS($A1107:C1126), C1106&amp;RIGHT(INDIRECT(ADDRESS(ROW(C1107)-1, 'From Order'!$A1107)), 1), C1106))"),"TRLRSGHWQVQJPP")</f>
        <v>TRLRSGHWQVQJPP</v>
      </c>
      <c r="D1107" s="2" t="str">
        <f>IFERROR(__xludf.DUMMYFUNCTION("IF('From Order'!$A1107=COLUMNS($A1107:D1126), LEFT(INDEX(FILTER(D$1:D1106, D$1:D1106&lt;&gt;""""),COUNTA(FILTER(D$1:D1106, D$1:D1106&lt;&gt;""""))), LEN(INDEX(FILTER(D$1:D1106, D$1:D1106&lt;&gt;""""),COUNTA(FILTER(D$1:D1106, D$1:D1106&lt;&gt;""""))))-1), IF('To Order'!$A1107=COL"&amp;"UMNS($A1107:D1126), D1106&amp;RIGHT(INDIRECT(ADDRESS(ROW(D1107)-1, 'From Order'!$A1107)), 1), D1106))"),"")</f>
        <v/>
      </c>
      <c r="E1107" s="2" t="str">
        <f>IFERROR(__xludf.DUMMYFUNCTION("IF('From Order'!$A1107=COLUMNS($A1107:E1126), LEFT(INDEX(FILTER(E$1:E1106, E$1:E1106&lt;&gt;""""),COUNTA(FILTER(E$1:E1106, E$1:E1106&lt;&gt;""""))), LEN(INDEX(FILTER(E$1:E1106, E$1:E1106&lt;&gt;""""),COUNTA(FILTER(E$1:E1106, E$1:E1106&lt;&gt;""""))))-1), IF('To Order'!$A1107=COL"&amp;"UMNS($A1107:E1126), E1106&amp;RIGHT(INDIRECT(ADDRESS(ROW(E1107)-1, 'From Order'!$A1107)), 1), E1106))"),"")</f>
        <v/>
      </c>
      <c r="F1107" s="2" t="str">
        <f>IFERROR(__xludf.DUMMYFUNCTION("IF('From Order'!$A1107=COLUMNS($A1107:F1126), LEFT(INDEX(FILTER(F$1:F1106, F$1:F1106&lt;&gt;""""),COUNTA(FILTER(F$1:F1106, F$1:F1106&lt;&gt;""""))), LEN(INDEX(FILTER(F$1:F1106, F$1:F1106&lt;&gt;""""),COUNTA(FILTER(F$1:F1106, F$1:F1106&lt;&gt;""""))))-1), IF('To Order'!$A1107=COL"&amp;"UMNS($A1107:F1126), F1106&amp;RIGHT(INDIRECT(ADDRESS(ROW(F1107)-1, 'From Order'!$A1107)), 1), F1106))"),"")</f>
        <v/>
      </c>
      <c r="G1107" s="2" t="str">
        <f>IFERROR(__xludf.DUMMYFUNCTION("IF('From Order'!$A1107=COLUMNS($A1107:G1126), LEFT(INDEX(FILTER(G$1:G1106, G$1:G1106&lt;&gt;""""),COUNTA(FILTER(G$1:G1106, G$1:G1106&lt;&gt;""""))), LEN(INDEX(FILTER(G$1:G1106, G$1:G1106&lt;&gt;""""),COUNTA(FILTER(G$1:G1106, G$1:G1106&lt;&gt;""""))))-1), IF('To Order'!$A1107=COL"&amp;"UMNS($A1107:G1126), G1106&amp;RIGHT(INDIRECT(ADDRESS(ROW(G1107)-1, 'From Order'!$A1107)), 1), G1106))"),"BFV")</f>
        <v>BFV</v>
      </c>
      <c r="H1107" s="2" t="str">
        <f>IFERROR(__xludf.DUMMYFUNCTION("IF('From Order'!$A1107=COLUMNS($A1107:H1126), LEFT(INDEX(FILTER(H$1:H1106, H$1:H1106&lt;&gt;""""),COUNTA(FILTER(H$1:H1106, H$1:H1106&lt;&gt;""""))), LEN(INDEX(FILTER(H$1:H1106, H$1:H1106&lt;&gt;""""),COUNTA(FILTER(H$1:H1106, H$1:H1106&lt;&gt;""""))))-1), IF('To Order'!$A1107=COL"&amp;"UMNS($A1107:H1126), H1106&amp;RIGHT(INDIRECT(ADDRESS(ROW(H1107)-1, 'From Order'!$A1107)), 1), H1106))"),"")</f>
        <v/>
      </c>
      <c r="I1107" s="2" t="str">
        <f>IFERROR(__xludf.DUMMYFUNCTION("IF('From Order'!$A1107=COLUMNS($A1107:I1126), LEFT(INDEX(FILTER(I$1:I1106, I$1:I1106&lt;&gt;""""),COUNTA(FILTER(I$1:I1106, I$1:I1106&lt;&gt;""""))), LEN(INDEX(FILTER(I$1:I1106, I$1:I1106&lt;&gt;""""),COUNTA(FILTER(I$1:I1106, I$1:I1106&lt;&gt;""""))))-1), IF('To Order'!$A1107=COL"&amp;"UMNS($A1107:I1126), I1106&amp;RIGHT(INDIRECT(ADDRESS(ROW(I1107)-1, 'From Order'!$A1107)), 1), I1106))"),"JCVZRDC")</f>
        <v>JCVZRDC</v>
      </c>
    </row>
    <row r="1108">
      <c r="A1108" s="2" t="str">
        <f>IFERROR(__xludf.DUMMYFUNCTION("IF('From Order'!$A1108=COLUMNS($A1108:A1127), LEFT(INDEX(FILTER(A$1:A1107, A$1:A1107&lt;&gt;""""),COUNTA(FILTER(A$1:A1107, A$1:A1107&lt;&gt;""""))), LEN(INDEX(FILTER(A$1:A1107, A$1:A1107&lt;&gt;""""),COUNTA(FILTER(A$1:A1107, A$1:A1107&lt;&gt;""""))))-1), IF('To Order'!$A1108=COL"&amp;"UMNS($A1108:A1127), A1107&amp;RIGHT(INDIRECT(ADDRESS(ROW(A1108)-1, 'From Order'!$A1108)), 1), A1107))"),"")</f>
        <v/>
      </c>
      <c r="B1108" s="2" t="str">
        <f>IFERROR(__xludf.DUMMYFUNCTION("IF('From Order'!$A1108=COLUMNS($A1108:B1127), LEFT(INDEX(FILTER(B$1:B1107, B$1:B1107&lt;&gt;""""),COUNTA(FILTER(B$1:B1107, B$1:B1107&lt;&gt;""""))), LEN(INDEX(FILTER(B$1:B1107, B$1:B1107&lt;&gt;""""),COUNTA(FILTER(B$1:B1107, B$1:B1107&lt;&gt;""""))))-1), IF('To Order'!$A1108=COL"&amp;"UMNS($A1108:B1127), B1107&amp;RIGHT(INDIRECT(ADDRESS(ROW(B1108)-1, 'From Order'!$A1108)), 1), B1107))"),"ZLPDSDJDBSBZHMFBTMGTSLDTDTWRMTC")</f>
        <v>ZLPDSDJDBSBZHMFBTMGTSLDTDTWRMTC</v>
      </c>
      <c r="C1108" s="2" t="str">
        <f>IFERROR(__xludf.DUMMYFUNCTION("IF('From Order'!$A1108=COLUMNS($A1108:C1127), LEFT(INDEX(FILTER(C$1:C1107, C$1:C1107&lt;&gt;""""),COUNTA(FILTER(C$1:C1107, C$1:C1107&lt;&gt;""""))), LEN(INDEX(FILTER(C$1:C1107, C$1:C1107&lt;&gt;""""),COUNTA(FILTER(C$1:C1107, C$1:C1107&lt;&gt;""""))))-1), IF('To Order'!$A1108=COL"&amp;"UMNS($A1108:C1127), C1107&amp;RIGHT(INDIRECT(ADDRESS(ROW(C1108)-1, 'From Order'!$A1108)), 1), C1107))"),"TRLRSGHWQVQJPP")</f>
        <v>TRLRSGHWQVQJPP</v>
      </c>
      <c r="D1108" s="2" t="str">
        <f>IFERROR(__xludf.DUMMYFUNCTION("IF('From Order'!$A1108=COLUMNS($A1108:D1127), LEFT(INDEX(FILTER(D$1:D1107, D$1:D1107&lt;&gt;""""),COUNTA(FILTER(D$1:D1107, D$1:D1107&lt;&gt;""""))), LEN(INDEX(FILTER(D$1:D1107, D$1:D1107&lt;&gt;""""),COUNTA(FILTER(D$1:D1107, D$1:D1107&lt;&gt;""""))))-1), IF('To Order'!$A1108=COL"&amp;"UMNS($A1108:D1127), D1107&amp;RIGHT(INDIRECT(ADDRESS(ROW(D1108)-1, 'From Order'!$A1108)), 1), D1107))"),"")</f>
        <v/>
      </c>
      <c r="E1108" s="2" t="str">
        <f>IFERROR(__xludf.DUMMYFUNCTION("IF('From Order'!$A1108=COLUMNS($A1108:E1127), LEFT(INDEX(FILTER(E$1:E1107, E$1:E1107&lt;&gt;""""),COUNTA(FILTER(E$1:E1107, E$1:E1107&lt;&gt;""""))), LEN(INDEX(FILTER(E$1:E1107, E$1:E1107&lt;&gt;""""),COUNTA(FILTER(E$1:E1107, E$1:E1107&lt;&gt;""""))))-1), IF('To Order'!$A1108=COL"&amp;"UMNS($A1108:E1127), E1107&amp;RIGHT(INDIRECT(ADDRESS(ROW(E1108)-1, 'From Order'!$A1108)), 1), E1107))"),"")</f>
        <v/>
      </c>
      <c r="F1108" s="2" t="str">
        <f>IFERROR(__xludf.DUMMYFUNCTION("IF('From Order'!$A1108=COLUMNS($A1108:F1127), LEFT(INDEX(FILTER(F$1:F1107, F$1:F1107&lt;&gt;""""),COUNTA(FILTER(F$1:F1107, F$1:F1107&lt;&gt;""""))), LEN(INDEX(FILTER(F$1:F1107, F$1:F1107&lt;&gt;""""),COUNTA(FILTER(F$1:F1107, F$1:F1107&lt;&gt;""""))))-1), IF('To Order'!$A1108=COL"&amp;"UMNS($A1108:F1127), F1107&amp;RIGHT(INDIRECT(ADDRESS(ROW(F1108)-1, 'From Order'!$A1108)), 1), F1107))"),"")</f>
        <v/>
      </c>
      <c r="G1108" s="2" t="str">
        <f>IFERROR(__xludf.DUMMYFUNCTION("IF('From Order'!$A1108=COLUMNS($A1108:G1127), LEFT(INDEX(FILTER(G$1:G1107, G$1:G1107&lt;&gt;""""),COUNTA(FILTER(G$1:G1107, G$1:G1107&lt;&gt;""""))), LEN(INDEX(FILTER(G$1:G1107, G$1:G1107&lt;&gt;""""),COUNTA(FILTER(G$1:G1107, G$1:G1107&lt;&gt;""""))))-1), IF('To Order'!$A1108=COL"&amp;"UMNS($A1108:G1127), G1107&amp;RIGHT(INDIRECT(ADDRESS(ROW(G1108)-1, 'From Order'!$A1108)), 1), G1107))"),"BFV")</f>
        <v>BFV</v>
      </c>
      <c r="H1108" s="2" t="str">
        <f>IFERROR(__xludf.DUMMYFUNCTION("IF('From Order'!$A1108=COLUMNS($A1108:H1127), LEFT(INDEX(FILTER(H$1:H1107, H$1:H1107&lt;&gt;""""),COUNTA(FILTER(H$1:H1107, H$1:H1107&lt;&gt;""""))), LEN(INDEX(FILTER(H$1:H1107, H$1:H1107&lt;&gt;""""),COUNTA(FILTER(H$1:H1107, H$1:H1107&lt;&gt;""""))))-1), IF('To Order'!$A1108=COL"&amp;"UMNS($A1108:H1127), H1107&amp;RIGHT(INDIRECT(ADDRESS(ROW(H1108)-1, 'From Order'!$A1108)), 1), H1107))"),"")</f>
        <v/>
      </c>
      <c r="I1108" s="2" t="str">
        <f>IFERROR(__xludf.DUMMYFUNCTION("IF('From Order'!$A1108=COLUMNS($A1108:I1127), LEFT(INDEX(FILTER(I$1:I1107, I$1:I1107&lt;&gt;""""),COUNTA(FILTER(I$1:I1107, I$1:I1107&lt;&gt;""""))), LEN(INDEX(FILTER(I$1:I1107, I$1:I1107&lt;&gt;""""),COUNTA(FILTER(I$1:I1107, I$1:I1107&lt;&gt;""""))))-1), IF('To Order'!$A1108=COL"&amp;"UMNS($A1108:I1127), I1107&amp;RIGHT(INDIRECT(ADDRESS(ROW(I1108)-1, 'From Order'!$A1108)), 1), I1107))"),"JCVZRDCR")</f>
        <v>JCVZRDCR</v>
      </c>
    </row>
    <row r="1109">
      <c r="A1109" s="2" t="str">
        <f>IFERROR(__xludf.DUMMYFUNCTION("IF('From Order'!$A1109=COLUMNS($A1109:A1128), LEFT(INDEX(FILTER(A$1:A1108, A$1:A1108&lt;&gt;""""),COUNTA(FILTER(A$1:A1108, A$1:A1108&lt;&gt;""""))), LEN(INDEX(FILTER(A$1:A1108, A$1:A1108&lt;&gt;""""),COUNTA(FILTER(A$1:A1108, A$1:A1108&lt;&gt;""""))))-1), IF('To Order'!$A1109=COL"&amp;"UMNS($A1109:A1128), A1108&amp;RIGHT(INDIRECT(ADDRESS(ROW(A1109)-1, 'From Order'!$A1109)), 1), A1108))"),"")</f>
        <v/>
      </c>
      <c r="B1109" s="2" t="str">
        <f>IFERROR(__xludf.DUMMYFUNCTION("IF('From Order'!$A1109=COLUMNS($A1109:B1128), LEFT(INDEX(FILTER(B$1:B1108, B$1:B1108&lt;&gt;""""),COUNTA(FILTER(B$1:B1108, B$1:B1108&lt;&gt;""""))), LEN(INDEX(FILTER(B$1:B1108, B$1:B1108&lt;&gt;""""),COUNTA(FILTER(B$1:B1108, B$1:B1108&lt;&gt;""""))))-1), IF('To Order'!$A1109=COL"&amp;"UMNS($A1109:B1128), B1108&amp;RIGHT(INDIRECT(ADDRESS(ROW(B1109)-1, 'From Order'!$A1109)), 1), B1108))"),"ZLPDSDJDBSBZHMFBTMGTSLDTDTWRMT")</f>
        <v>ZLPDSDJDBSBZHMFBTMGTSLDTDTWRMT</v>
      </c>
      <c r="C1109" s="2" t="str">
        <f>IFERROR(__xludf.DUMMYFUNCTION("IF('From Order'!$A1109=COLUMNS($A1109:C1128), LEFT(INDEX(FILTER(C$1:C1108, C$1:C1108&lt;&gt;""""),COUNTA(FILTER(C$1:C1108, C$1:C1108&lt;&gt;""""))), LEN(INDEX(FILTER(C$1:C1108, C$1:C1108&lt;&gt;""""),COUNTA(FILTER(C$1:C1108, C$1:C1108&lt;&gt;""""))))-1), IF('To Order'!$A1109=COL"&amp;"UMNS($A1109:C1128), C1108&amp;RIGHT(INDIRECT(ADDRESS(ROW(C1109)-1, 'From Order'!$A1109)), 1), C1108))"),"TRLRSGHWQVQJPP")</f>
        <v>TRLRSGHWQVQJPP</v>
      </c>
      <c r="D1109" s="2" t="str">
        <f>IFERROR(__xludf.DUMMYFUNCTION("IF('From Order'!$A1109=COLUMNS($A1109:D1128), LEFT(INDEX(FILTER(D$1:D1108, D$1:D1108&lt;&gt;""""),COUNTA(FILTER(D$1:D1108, D$1:D1108&lt;&gt;""""))), LEN(INDEX(FILTER(D$1:D1108, D$1:D1108&lt;&gt;""""),COUNTA(FILTER(D$1:D1108, D$1:D1108&lt;&gt;""""))))-1), IF('To Order'!$A1109=COL"&amp;"UMNS($A1109:D1128), D1108&amp;RIGHT(INDIRECT(ADDRESS(ROW(D1109)-1, 'From Order'!$A1109)), 1), D1108))"),"")</f>
        <v/>
      </c>
      <c r="E1109" s="2" t="str">
        <f>IFERROR(__xludf.DUMMYFUNCTION("IF('From Order'!$A1109=COLUMNS($A1109:E1128), LEFT(INDEX(FILTER(E$1:E1108, E$1:E1108&lt;&gt;""""),COUNTA(FILTER(E$1:E1108, E$1:E1108&lt;&gt;""""))), LEN(INDEX(FILTER(E$1:E1108, E$1:E1108&lt;&gt;""""),COUNTA(FILTER(E$1:E1108, E$1:E1108&lt;&gt;""""))))-1), IF('To Order'!$A1109=COL"&amp;"UMNS($A1109:E1128), E1108&amp;RIGHT(INDIRECT(ADDRESS(ROW(E1109)-1, 'From Order'!$A1109)), 1), E1108))"),"")</f>
        <v/>
      </c>
      <c r="F1109" s="2" t="str">
        <f>IFERROR(__xludf.DUMMYFUNCTION("IF('From Order'!$A1109=COLUMNS($A1109:F1128), LEFT(INDEX(FILTER(F$1:F1108, F$1:F1108&lt;&gt;""""),COUNTA(FILTER(F$1:F1108, F$1:F1108&lt;&gt;""""))), LEN(INDEX(FILTER(F$1:F1108, F$1:F1108&lt;&gt;""""),COUNTA(FILTER(F$1:F1108, F$1:F1108&lt;&gt;""""))))-1), IF('To Order'!$A1109=COL"&amp;"UMNS($A1109:F1128), F1108&amp;RIGHT(INDIRECT(ADDRESS(ROW(F1109)-1, 'From Order'!$A1109)), 1), F1108))"),"")</f>
        <v/>
      </c>
      <c r="G1109" s="2" t="str">
        <f>IFERROR(__xludf.DUMMYFUNCTION("IF('From Order'!$A1109=COLUMNS($A1109:G1128), LEFT(INDEX(FILTER(G$1:G1108, G$1:G1108&lt;&gt;""""),COUNTA(FILTER(G$1:G1108, G$1:G1108&lt;&gt;""""))), LEN(INDEX(FILTER(G$1:G1108, G$1:G1108&lt;&gt;""""),COUNTA(FILTER(G$1:G1108, G$1:G1108&lt;&gt;""""))))-1), IF('To Order'!$A1109=COL"&amp;"UMNS($A1109:G1128), G1108&amp;RIGHT(INDIRECT(ADDRESS(ROW(G1109)-1, 'From Order'!$A1109)), 1), G1108))"),"BFV")</f>
        <v>BFV</v>
      </c>
      <c r="H1109" s="2" t="str">
        <f>IFERROR(__xludf.DUMMYFUNCTION("IF('From Order'!$A1109=COLUMNS($A1109:H1128), LEFT(INDEX(FILTER(H$1:H1108, H$1:H1108&lt;&gt;""""),COUNTA(FILTER(H$1:H1108, H$1:H1108&lt;&gt;""""))), LEN(INDEX(FILTER(H$1:H1108, H$1:H1108&lt;&gt;""""),COUNTA(FILTER(H$1:H1108, H$1:H1108&lt;&gt;""""))))-1), IF('To Order'!$A1109=COL"&amp;"UMNS($A1109:H1128), H1108&amp;RIGHT(INDIRECT(ADDRESS(ROW(H1109)-1, 'From Order'!$A1109)), 1), H1108))"),"")</f>
        <v/>
      </c>
      <c r="I1109" s="2" t="str">
        <f>IFERROR(__xludf.DUMMYFUNCTION("IF('From Order'!$A1109=COLUMNS($A1109:I1128), LEFT(INDEX(FILTER(I$1:I1108, I$1:I1108&lt;&gt;""""),COUNTA(FILTER(I$1:I1108, I$1:I1108&lt;&gt;""""))), LEN(INDEX(FILTER(I$1:I1108, I$1:I1108&lt;&gt;""""),COUNTA(FILTER(I$1:I1108, I$1:I1108&lt;&gt;""""))))-1), IF('To Order'!$A1109=COL"&amp;"UMNS($A1109:I1128), I1108&amp;RIGHT(INDIRECT(ADDRESS(ROW(I1109)-1, 'From Order'!$A1109)), 1), I1108))"),"JCVZRDCRC")</f>
        <v>JCVZRDCRC</v>
      </c>
    </row>
    <row r="1110">
      <c r="A1110" s="2" t="str">
        <f>IFERROR(__xludf.DUMMYFUNCTION("IF('From Order'!$A1110=COLUMNS($A1110:A1129), LEFT(INDEX(FILTER(A$1:A1109, A$1:A1109&lt;&gt;""""),COUNTA(FILTER(A$1:A1109, A$1:A1109&lt;&gt;""""))), LEN(INDEX(FILTER(A$1:A1109, A$1:A1109&lt;&gt;""""),COUNTA(FILTER(A$1:A1109, A$1:A1109&lt;&gt;""""))))-1), IF('To Order'!$A1110=COL"&amp;"UMNS($A1110:A1129), A1109&amp;RIGHT(INDIRECT(ADDRESS(ROW(A1110)-1, 'From Order'!$A1110)), 1), A1109))"),"")</f>
        <v/>
      </c>
      <c r="B1110" s="2" t="str">
        <f>IFERROR(__xludf.DUMMYFUNCTION("IF('From Order'!$A1110=COLUMNS($A1110:B1129), LEFT(INDEX(FILTER(B$1:B1109, B$1:B1109&lt;&gt;""""),COUNTA(FILTER(B$1:B1109, B$1:B1109&lt;&gt;""""))), LEN(INDEX(FILTER(B$1:B1109, B$1:B1109&lt;&gt;""""),COUNTA(FILTER(B$1:B1109, B$1:B1109&lt;&gt;""""))))-1), IF('To Order'!$A1110=COL"&amp;"UMNS($A1110:B1129), B1109&amp;RIGHT(INDIRECT(ADDRESS(ROW(B1110)-1, 'From Order'!$A1110)), 1), B1109))"),"ZLPDSDJDBSBZHMFBTMGTSLDTDTWRM")</f>
        <v>ZLPDSDJDBSBZHMFBTMGTSLDTDTWRM</v>
      </c>
      <c r="C1110" s="2" t="str">
        <f>IFERROR(__xludf.DUMMYFUNCTION("IF('From Order'!$A1110=COLUMNS($A1110:C1129), LEFT(INDEX(FILTER(C$1:C1109, C$1:C1109&lt;&gt;""""),COUNTA(FILTER(C$1:C1109, C$1:C1109&lt;&gt;""""))), LEN(INDEX(FILTER(C$1:C1109, C$1:C1109&lt;&gt;""""),COUNTA(FILTER(C$1:C1109, C$1:C1109&lt;&gt;""""))))-1), IF('To Order'!$A1110=COL"&amp;"UMNS($A1110:C1129), C1109&amp;RIGHT(INDIRECT(ADDRESS(ROW(C1110)-1, 'From Order'!$A1110)), 1), C1109))"),"TRLRSGHWQVQJPP")</f>
        <v>TRLRSGHWQVQJPP</v>
      </c>
      <c r="D1110" s="2" t="str">
        <f>IFERROR(__xludf.DUMMYFUNCTION("IF('From Order'!$A1110=COLUMNS($A1110:D1129), LEFT(INDEX(FILTER(D$1:D1109, D$1:D1109&lt;&gt;""""),COUNTA(FILTER(D$1:D1109, D$1:D1109&lt;&gt;""""))), LEN(INDEX(FILTER(D$1:D1109, D$1:D1109&lt;&gt;""""),COUNTA(FILTER(D$1:D1109, D$1:D1109&lt;&gt;""""))))-1), IF('To Order'!$A1110=COL"&amp;"UMNS($A1110:D1129), D1109&amp;RIGHT(INDIRECT(ADDRESS(ROW(D1110)-1, 'From Order'!$A1110)), 1), D1109))"),"")</f>
        <v/>
      </c>
      <c r="E1110" s="2" t="str">
        <f>IFERROR(__xludf.DUMMYFUNCTION("IF('From Order'!$A1110=COLUMNS($A1110:E1129), LEFT(INDEX(FILTER(E$1:E1109, E$1:E1109&lt;&gt;""""),COUNTA(FILTER(E$1:E1109, E$1:E1109&lt;&gt;""""))), LEN(INDEX(FILTER(E$1:E1109, E$1:E1109&lt;&gt;""""),COUNTA(FILTER(E$1:E1109, E$1:E1109&lt;&gt;""""))))-1), IF('To Order'!$A1110=COL"&amp;"UMNS($A1110:E1129), E1109&amp;RIGHT(INDIRECT(ADDRESS(ROW(E1110)-1, 'From Order'!$A1110)), 1), E1109))"),"")</f>
        <v/>
      </c>
      <c r="F1110" s="2" t="str">
        <f>IFERROR(__xludf.DUMMYFUNCTION("IF('From Order'!$A1110=COLUMNS($A1110:F1129), LEFT(INDEX(FILTER(F$1:F1109, F$1:F1109&lt;&gt;""""),COUNTA(FILTER(F$1:F1109, F$1:F1109&lt;&gt;""""))), LEN(INDEX(FILTER(F$1:F1109, F$1:F1109&lt;&gt;""""),COUNTA(FILTER(F$1:F1109, F$1:F1109&lt;&gt;""""))))-1), IF('To Order'!$A1110=COL"&amp;"UMNS($A1110:F1129), F1109&amp;RIGHT(INDIRECT(ADDRESS(ROW(F1110)-1, 'From Order'!$A1110)), 1), F1109))"),"")</f>
        <v/>
      </c>
      <c r="G1110" s="2" t="str">
        <f>IFERROR(__xludf.DUMMYFUNCTION("IF('From Order'!$A1110=COLUMNS($A1110:G1129), LEFT(INDEX(FILTER(G$1:G1109, G$1:G1109&lt;&gt;""""),COUNTA(FILTER(G$1:G1109, G$1:G1109&lt;&gt;""""))), LEN(INDEX(FILTER(G$1:G1109, G$1:G1109&lt;&gt;""""),COUNTA(FILTER(G$1:G1109, G$1:G1109&lt;&gt;""""))))-1), IF('To Order'!$A1110=COL"&amp;"UMNS($A1110:G1129), G1109&amp;RIGHT(INDIRECT(ADDRESS(ROW(G1110)-1, 'From Order'!$A1110)), 1), G1109))"),"BFV")</f>
        <v>BFV</v>
      </c>
      <c r="H1110" s="2" t="str">
        <f>IFERROR(__xludf.DUMMYFUNCTION("IF('From Order'!$A1110=COLUMNS($A1110:H1129), LEFT(INDEX(FILTER(H$1:H1109, H$1:H1109&lt;&gt;""""),COUNTA(FILTER(H$1:H1109, H$1:H1109&lt;&gt;""""))), LEN(INDEX(FILTER(H$1:H1109, H$1:H1109&lt;&gt;""""),COUNTA(FILTER(H$1:H1109, H$1:H1109&lt;&gt;""""))))-1), IF('To Order'!$A1110=COL"&amp;"UMNS($A1110:H1129), H1109&amp;RIGHT(INDIRECT(ADDRESS(ROW(H1110)-1, 'From Order'!$A1110)), 1), H1109))"),"")</f>
        <v/>
      </c>
      <c r="I1110" s="2" t="str">
        <f>IFERROR(__xludf.DUMMYFUNCTION("IF('From Order'!$A1110=COLUMNS($A1110:I1129), LEFT(INDEX(FILTER(I$1:I1109, I$1:I1109&lt;&gt;""""),COUNTA(FILTER(I$1:I1109, I$1:I1109&lt;&gt;""""))), LEN(INDEX(FILTER(I$1:I1109, I$1:I1109&lt;&gt;""""),COUNTA(FILTER(I$1:I1109, I$1:I1109&lt;&gt;""""))))-1), IF('To Order'!$A1110=COL"&amp;"UMNS($A1110:I1129), I1109&amp;RIGHT(INDIRECT(ADDRESS(ROW(I1110)-1, 'From Order'!$A1110)), 1), I1109))"),"JCVZRDCRCT")</f>
        <v>JCVZRDCRCT</v>
      </c>
    </row>
    <row r="1111">
      <c r="A1111" s="2" t="str">
        <f>IFERROR(__xludf.DUMMYFUNCTION("IF('From Order'!$A1111=COLUMNS($A1111:A1130), LEFT(INDEX(FILTER(A$1:A1110, A$1:A1110&lt;&gt;""""),COUNTA(FILTER(A$1:A1110, A$1:A1110&lt;&gt;""""))), LEN(INDEX(FILTER(A$1:A1110, A$1:A1110&lt;&gt;""""),COUNTA(FILTER(A$1:A1110, A$1:A1110&lt;&gt;""""))))-1), IF('To Order'!$A1111=COL"&amp;"UMNS($A1111:A1130), A1110&amp;RIGHT(INDIRECT(ADDRESS(ROW(A1111)-1, 'From Order'!$A1111)), 1), A1110))"),"")</f>
        <v/>
      </c>
      <c r="B1111" s="2" t="str">
        <f>IFERROR(__xludf.DUMMYFUNCTION("IF('From Order'!$A1111=COLUMNS($A1111:B1130), LEFT(INDEX(FILTER(B$1:B1110, B$1:B1110&lt;&gt;""""),COUNTA(FILTER(B$1:B1110, B$1:B1110&lt;&gt;""""))), LEN(INDEX(FILTER(B$1:B1110, B$1:B1110&lt;&gt;""""),COUNTA(FILTER(B$1:B1110, B$1:B1110&lt;&gt;""""))))-1), IF('To Order'!$A1111=COL"&amp;"UMNS($A1111:B1130), B1110&amp;RIGHT(INDIRECT(ADDRESS(ROW(B1111)-1, 'From Order'!$A1111)), 1), B1110))"),"ZLPDSDJDBSBZHMFBTMGTSLDTDTWR")</f>
        <v>ZLPDSDJDBSBZHMFBTMGTSLDTDTWR</v>
      </c>
      <c r="C1111" s="2" t="str">
        <f>IFERROR(__xludf.DUMMYFUNCTION("IF('From Order'!$A1111=COLUMNS($A1111:C1130), LEFT(INDEX(FILTER(C$1:C1110, C$1:C1110&lt;&gt;""""),COUNTA(FILTER(C$1:C1110, C$1:C1110&lt;&gt;""""))), LEN(INDEX(FILTER(C$1:C1110, C$1:C1110&lt;&gt;""""),COUNTA(FILTER(C$1:C1110, C$1:C1110&lt;&gt;""""))))-1), IF('To Order'!$A1111=COL"&amp;"UMNS($A1111:C1130), C1110&amp;RIGHT(INDIRECT(ADDRESS(ROW(C1111)-1, 'From Order'!$A1111)), 1), C1110))"),"TRLRSGHWQVQJPP")</f>
        <v>TRLRSGHWQVQJPP</v>
      </c>
      <c r="D1111" s="2" t="str">
        <f>IFERROR(__xludf.DUMMYFUNCTION("IF('From Order'!$A1111=COLUMNS($A1111:D1130), LEFT(INDEX(FILTER(D$1:D1110, D$1:D1110&lt;&gt;""""),COUNTA(FILTER(D$1:D1110, D$1:D1110&lt;&gt;""""))), LEN(INDEX(FILTER(D$1:D1110, D$1:D1110&lt;&gt;""""),COUNTA(FILTER(D$1:D1110, D$1:D1110&lt;&gt;""""))))-1), IF('To Order'!$A1111=COL"&amp;"UMNS($A1111:D1130), D1110&amp;RIGHT(INDIRECT(ADDRESS(ROW(D1111)-1, 'From Order'!$A1111)), 1), D1110))"),"")</f>
        <v/>
      </c>
      <c r="E1111" s="2" t="str">
        <f>IFERROR(__xludf.DUMMYFUNCTION("IF('From Order'!$A1111=COLUMNS($A1111:E1130), LEFT(INDEX(FILTER(E$1:E1110, E$1:E1110&lt;&gt;""""),COUNTA(FILTER(E$1:E1110, E$1:E1110&lt;&gt;""""))), LEN(INDEX(FILTER(E$1:E1110, E$1:E1110&lt;&gt;""""),COUNTA(FILTER(E$1:E1110, E$1:E1110&lt;&gt;""""))))-1), IF('To Order'!$A1111=COL"&amp;"UMNS($A1111:E1130), E1110&amp;RIGHT(INDIRECT(ADDRESS(ROW(E1111)-1, 'From Order'!$A1111)), 1), E1110))"),"")</f>
        <v/>
      </c>
      <c r="F1111" s="2" t="str">
        <f>IFERROR(__xludf.DUMMYFUNCTION("IF('From Order'!$A1111=COLUMNS($A1111:F1130), LEFT(INDEX(FILTER(F$1:F1110, F$1:F1110&lt;&gt;""""),COUNTA(FILTER(F$1:F1110, F$1:F1110&lt;&gt;""""))), LEN(INDEX(FILTER(F$1:F1110, F$1:F1110&lt;&gt;""""),COUNTA(FILTER(F$1:F1110, F$1:F1110&lt;&gt;""""))))-1), IF('To Order'!$A1111=COL"&amp;"UMNS($A1111:F1130), F1110&amp;RIGHT(INDIRECT(ADDRESS(ROW(F1111)-1, 'From Order'!$A1111)), 1), F1110))"),"")</f>
        <v/>
      </c>
      <c r="G1111" s="2" t="str">
        <f>IFERROR(__xludf.DUMMYFUNCTION("IF('From Order'!$A1111=COLUMNS($A1111:G1130), LEFT(INDEX(FILTER(G$1:G1110, G$1:G1110&lt;&gt;""""),COUNTA(FILTER(G$1:G1110, G$1:G1110&lt;&gt;""""))), LEN(INDEX(FILTER(G$1:G1110, G$1:G1110&lt;&gt;""""),COUNTA(FILTER(G$1:G1110, G$1:G1110&lt;&gt;""""))))-1), IF('To Order'!$A1111=COL"&amp;"UMNS($A1111:G1130), G1110&amp;RIGHT(INDIRECT(ADDRESS(ROW(G1111)-1, 'From Order'!$A1111)), 1), G1110))"),"BFV")</f>
        <v>BFV</v>
      </c>
      <c r="H1111" s="2" t="str">
        <f>IFERROR(__xludf.DUMMYFUNCTION("IF('From Order'!$A1111=COLUMNS($A1111:H1130), LEFT(INDEX(FILTER(H$1:H1110, H$1:H1110&lt;&gt;""""),COUNTA(FILTER(H$1:H1110, H$1:H1110&lt;&gt;""""))), LEN(INDEX(FILTER(H$1:H1110, H$1:H1110&lt;&gt;""""),COUNTA(FILTER(H$1:H1110, H$1:H1110&lt;&gt;""""))))-1), IF('To Order'!$A1111=COL"&amp;"UMNS($A1111:H1130), H1110&amp;RIGHT(INDIRECT(ADDRESS(ROW(H1111)-1, 'From Order'!$A1111)), 1), H1110))"),"")</f>
        <v/>
      </c>
      <c r="I1111" s="2" t="str">
        <f>IFERROR(__xludf.DUMMYFUNCTION("IF('From Order'!$A1111=COLUMNS($A1111:I1130), LEFT(INDEX(FILTER(I$1:I1110, I$1:I1110&lt;&gt;""""),COUNTA(FILTER(I$1:I1110, I$1:I1110&lt;&gt;""""))), LEN(INDEX(FILTER(I$1:I1110, I$1:I1110&lt;&gt;""""),COUNTA(FILTER(I$1:I1110, I$1:I1110&lt;&gt;""""))))-1), IF('To Order'!$A1111=COL"&amp;"UMNS($A1111:I1130), I1110&amp;RIGHT(INDIRECT(ADDRESS(ROW(I1111)-1, 'From Order'!$A1111)), 1), I1110))"),"JCVZRDCRCTM")</f>
        <v>JCVZRDCRCTM</v>
      </c>
    </row>
    <row r="1112">
      <c r="A1112" s="2" t="str">
        <f>IFERROR(__xludf.DUMMYFUNCTION("IF('From Order'!$A1112=COLUMNS($A1112:A1131), LEFT(INDEX(FILTER(A$1:A1111, A$1:A1111&lt;&gt;""""),COUNTA(FILTER(A$1:A1111, A$1:A1111&lt;&gt;""""))), LEN(INDEX(FILTER(A$1:A1111, A$1:A1111&lt;&gt;""""),COUNTA(FILTER(A$1:A1111, A$1:A1111&lt;&gt;""""))))-1), IF('To Order'!$A1112=COL"&amp;"UMNS($A1112:A1131), A1111&amp;RIGHT(INDIRECT(ADDRESS(ROW(A1112)-1, 'From Order'!$A1112)), 1), A1111))"),"")</f>
        <v/>
      </c>
      <c r="B1112" s="2" t="str">
        <f>IFERROR(__xludf.DUMMYFUNCTION("IF('From Order'!$A1112=COLUMNS($A1112:B1131), LEFT(INDEX(FILTER(B$1:B1111, B$1:B1111&lt;&gt;""""),COUNTA(FILTER(B$1:B1111, B$1:B1111&lt;&gt;""""))), LEN(INDEX(FILTER(B$1:B1111, B$1:B1111&lt;&gt;""""),COUNTA(FILTER(B$1:B1111, B$1:B1111&lt;&gt;""""))))-1), IF('To Order'!$A1112=COL"&amp;"UMNS($A1112:B1131), B1111&amp;RIGHT(INDIRECT(ADDRESS(ROW(B1112)-1, 'From Order'!$A1112)), 1), B1111))"),"ZLPDSDJDBSBZHMFBTMGTSLDTDTW")</f>
        <v>ZLPDSDJDBSBZHMFBTMGTSLDTDTW</v>
      </c>
      <c r="C1112" s="2" t="str">
        <f>IFERROR(__xludf.DUMMYFUNCTION("IF('From Order'!$A1112=COLUMNS($A1112:C1131), LEFT(INDEX(FILTER(C$1:C1111, C$1:C1111&lt;&gt;""""),COUNTA(FILTER(C$1:C1111, C$1:C1111&lt;&gt;""""))), LEN(INDEX(FILTER(C$1:C1111, C$1:C1111&lt;&gt;""""),COUNTA(FILTER(C$1:C1111, C$1:C1111&lt;&gt;""""))))-1), IF('To Order'!$A1112=COL"&amp;"UMNS($A1112:C1131), C1111&amp;RIGHT(INDIRECT(ADDRESS(ROW(C1112)-1, 'From Order'!$A1112)), 1), C1111))"),"TRLRSGHWQVQJPP")</f>
        <v>TRLRSGHWQVQJPP</v>
      </c>
      <c r="D1112" s="2" t="str">
        <f>IFERROR(__xludf.DUMMYFUNCTION("IF('From Order'!$A1112=COLUMNS($A1112:D1131), LEFT(INDEX(FILTER(D$1:D1111, D$1:D1111&lt;&gt;""""),COUNTA(FILTER(D$1:D1111, D$1:D1111&lt;&gt;""""))), LEN(INDEX(FILTER(D$1:D1111, D$1:D1111&lt;&gt;""""),COUNTA(FILTER(D$1:D1111, D$1:D1111&lt;&gt;""""))))-1), IF('To Order'!$A1112=COL"&amp;"UMNS($A1112:D1131), D1111&amp;RIGHT(INDIRECT(ADDRESS(ROW(D1112)-1, 'From Order'!$A1112)), 1), D1111))"),"")</f>
        <v/>
      </c>
      <c r="E1112" s="2" t="str">
        <f>IFERROR(__xludf.DUMMYFUNCTION("IF('From Order'!$A1112=COLUMNS($A1112:E1131), LEFT(INDEX(FILTER(E$1:E1111, E$1:E1111&lt;&gt;""""),COUNTA(FILTER(E$1:E1111, E$1:E1111&lt;&gt;""""))), LEN(INDEX(FILTER(E$1:E1111, E$1:E1111&lt;&gt;""""),COUNTA(FILTER(E$1:E1111, E$1:E1111&lt;&gt;""""))))-1), IF('To Order'!$A1112=COL"&amp;"UMNS($A1112:E1131), E1111&amp;RIGHT(INDIRECT(ADDRESS(ROW(E1112)-1, 'From Order'!$A1112)), 1), E1111))"),"")</f>
        <v/>
      </c>
      <c r="F1112" s="2" t="str">
        <f>IFERROR(__xludf.DUMMYFUNCTION("IF('From Order'!$A1112=COLUMNS($A1112:F1131), LEFT(INDEX(FILTER(F$1:F1111, F$1:F1111&lt;&gt;""""),COUNTA(FILTER(F$1:F1111, F$1:F1111&lt;&gt;""""))), LEN(INDEX(FILTER(F$1:F1111, F$1:F1111&lt;&gt;""""),COUNTA(FILTER(F$1:F1111, F$1:F1111&lt;&gt;""""))))-1), IF('To Order'!$A1112=COL"&amp;"UMNS($A1112:F1131), F1111&amp;RIGHT(INDIRECT(ADDRESS(ROW(F1112)-1, 'From Order'!$A1112)), 1), F1111))"),"")</f>
        <v/>
      </c>
      <c r="G1112" s="2" t="str">
        <f>IFERROR(__xludf.DUMMYFUNCTION("IF('From Order'!$A1112=COLUMNS($A1112:G1131), LEFT(INDEX(FILTER(G$1:G1111, G$1:G1111&lt;&gt;""""),COUNTA(FILTER(G$1:G1111, G$1:G1111&lt;&gt;""""))), LEN(INDEX(FILTER(G$1:G1111, G$1:G1111&lt;&gt;""""),COUNTA(FILTER(G$1:G1111, G$1:G1111&lt;&gt;""""))))-1), IF('To Order'!$A1112=COL"&amp;"UMNS($A1112:G1131), G1111&amp;RIGHT(INDIRECT(ADDRESS(ROW(G1112)-1, 'From Order'!$A1112)), 1), G1111))"),"BFV")</f>
        <v>BFV</v>
      </c>
      <c r="H1112" s="2" t="str">
        <f>IFERROR(__xludf.DUMMYFUNCTION("IF('From Order'!$A1112=COLUMNS($A1112:H1131), LEFT(INDEX(FILTER(H$1:H1111, H$1:H1111&lt;&gt;""""),COUNTA(FILTER(H$1:H1111, H$1:H1111&lt;&gt;""""))), LEN(INDEX(FILTER(H$1:H1111, H$1:H1111&lt;&gt;""""),COUNTA(FILTER(H$1:H1111, H$1:H1111&lt;&gt;""""))))-1), IF('To Order'!$A1112=COL"&amp;"UMNS($A1112:H1131), H1111&amp;RIGHT(INDIRECT(ADDRESS(ROW(H1112)-1, 'From Order'!$A1112)), 1), H1111))"),"")</f>
        <v/>
      </c>
      <c r="I1112" s="2" t="str">
        <f>IFERROR(__xludf.DUMMYFUNCTION("IF('From Order'!$A1112=COLUMNS($A1112:I1131), LEFT(INDEX(FILTER(I$1:I1111, I$1:I1111&lt;&gt;""""),COUNTA(FILTER(I$1:I1111, I$1:I1111&lt;&gt;""""))), LEN(INDEX(FILTER(I$1:I1111, I$1:I1111&lt;&gt;""""),COUNTA(FILTER(I$1:I1111, I$1:I1111&lt;&gt;""""))))-1), IF('To Order'!$A1112=COL"&amp;"UMNS($A1112:I1131), I1111&amp;RIGHT(INDIRECT(ADDRESS(ROW(I1112)-1, 'From Order'!$A1112)), 1), I1111))"),"JCVZRDCRCTMR")</f>
        <v>JCVZRDCRCTMR</v>
      </c>
    </row>
    <row r="1113">
      <c r="A1113" s="2" t="str">
        <f>IFERROR(__xludf.DUMMYFUNCTION("IF('From Order'!$A1113=COLUMNS($A1113:A1132), LEFT(INDEX(FILTER(A$1:A1112, A$1:A1112&lt;&gt;""""),COUNTA(FILTER(A$1:A1112, A$1:A1112&lt;&gt;""""))), LEN(INDEX(FILTER(A$1:A1112, A$1:A1112&lt;&gt;""""),COUNTA(FILTER(A$1:A1112, A$1:A1112&lt;&gt;""""))))-1), IF('To Order'!$A1113=COL"&amp;"UMNS($A1113:A1132), A1112&amp;RIGHT(INDIRECT(ADDRESS(ROW(A1113)-1, 'From Order'!$A1113)), 1), A1112))"),"")</f>
        <v/>
      </c>
      <c r="B1113" s="2" t="str">
        <f>IFERROR(__xludf.DUMMYFUNCTION("IF('From Order'!$A1113=COLUMNS($A1113:B1132), LEFT(INDEX(FILTER(B$1:B1112, B$1:B1112&lt;&gt;""""),COUNTA(FILTER(B$1:B1112, B$1:B1112&lt;&gt;""""))), LEN(INDEX(FILTER(B$1:B1112, B$1:B1112&lt;&gt;""""),COUNTA(FILTER(B$1:B1112, B$1:B1112&lt;&gt;""""))))-1), IF('To Order'!$A1113=COL"&amp;"UMNS($A1113:B1132), B1112&amp;RIGHT(INDIRECT(ADDRESS(ROW(B1113)-1, 'From Order'!$A1113)), 1), B1112))"),"ZLPDSDJDBSBZHMFBTMGTSLDTDT")</f>
        <v>ZLPDSDJDBSBZHMFBTMGTSLDTDT</v>
      </c>
      <c r="C1113" s="2" t="str">
        <f>IFERROR(__xludf.DUMMYFUNCTION("IF('From Order'!$A1113=COLUMNS($A1113:C1132), LEFT(INDEX(FILTER(C$1:C1112, C$1:C1112&lt;&gt;""""),COUNTA(FILTER(C$1:C1112, C$1:C1112&lt;&gt;""""))), LEN(INDEX(FILTER(C$1:C1112, C$1:C1112&lt;&gt;""""),COUNTA(FILTER(C$1:C1112, C$1:C1112&lt;&gt;""""))))-1), IF('To Order'!$A1113=COL"&amp;"UMNS($A1113:C1132), C1112&amp;RIGHT(INDIRECT(ADDRESS(ROW(C1113)-1, 'From Order'!$A1113)), 1), C1112))"),"TRLRSGHWQVQJPP")</f>
        <v>TRLRSGHWQVQJPP</v>
      </c>
      <c r="D1113" s="2" t="str">
        <f>IFERROR(__xludf.DUMMYFUNCTION("IF('From Order'!$A1113=COLUMNS($A1113:D1132), LEFT(INDEX(FILTER(D$1:D1112, D$1:D1112&lt;&gt;""""),COUNTA(FILTER(D$1:D1112, D$1:D1112&lt;&gt;""""))), LEN(INDEX(FILTER(D$1:D1112, D$1:D1112&lt;&gt;""""),COUNTA(FILTER(D$1:D1112, D$1:D1112&lt;&gt;""""))))-1), IF('To Order'!$A1113=COL"&amp;"UMNS($A1113:D1132), D1112&amp;RIGHT(INDIRECT(ADDRESS(ROW(D1113)-1, 'From Order'!$A1113)), 1), D1112))"),"")</f>
        <v/>
      </c>
      <c r="E1113" s="2" t="str">
        <f>IFERROR(__xludf.DUMMYFUNCTION("IF('From Order'!$A1113=COLUMNS($A1113:E1132), LEFT(INDEX(FILTER(E$1:E1112, E$1:E1112&lt;&gt;""""),COUNTA(FILTER(E$1:E1112, E$1:E1112&lt;&gt;""""))), LEN(INDEX(FILTER(E$1:E1112, E$1:E1112&lt;&gt;""""),COUNTA(FILTER(E$1:E1112, E$1:E1112&lt;&gt;""""))))-1), IF('To Order'!$A1113=COL"&amp;"UMNS($A1113:E1132), E1112&amp;RIGHT(INDIRECT(ADDRESS(ROW(E1113)-1, 'From Order'!$A1113)), 1), E1112))"),"")</f>
        <v/>
      </c>
      <c r="F1113" s="2" t="str">
        <f>IFERROR(__xludf.DUMMYFUNCTION("IF('From Order'!$A1113=COLUMNS($A1113:F1132), LEFT(INDEX(FILTER(F$1:F1112, F$1:F1112&lt;&gt;""""),COUNTA(FILTER(F$1:F1112, F$1:F1112&lt;&gt;""""))), LEN(INDEX(FILTER(F$1:F1112, F$1:F1112&lt;&gt;""""),COUNTA(FILTER(F$1:F1112, F$1:F1112&lt;&gt;""""))))-1), IF('To Order'!$A1113=COL"&amp;"UMNS($A1113:F1132), F1112&amp;RIGHT(INDIRECT(ADDRESS(ROW(F1113)-1, 'From Order'!$A1113)), 1), F1112))"),"")</f>
        <v/>
      </c>
      <c r="G1113" s="2" t="str">
        <f>IFERROR(__xludf.DUMMYFUNCTION("IF('From Order'!$A1113=COLUMNS($A1113:G1132), LEFT(INDEX(FILTER(G$1:G1112, G$1:G1112&lt;&gt;""""),COUNTA(FILTER(G$1:G1112, G$1:G1112&lt;&gt;""""))), LEN(INDEX(FILTER(G$1:G1112, G$1:G1112&lt;&gt;""""),COUNTA(FILTER(G$1:G1112, G$1:G1112&lt;&gt;""""))))-1), IF('To Order'!$A1113=COL"&amp;"UMNS($A1113:G1132), G1112&amp;RIGHT(INDIRECT(ADDRESS(ROW(G1113)-1, 'From Order'!$A1113)), 1), G1112))"),"BFV")</f>
        <v>BFV</v>
      </c>
      <c r="H1113" s="2" t="str">
        <f>IFERROR(__xludf.DUMMYFUNCTION("IF('From Order'!$A1113=COLUMNS($A1113:H1132), LEFT(INDEX(FILTER(H$1:H1112, H$1:H1112&lt;&gt;""""),COUNTA(FILTER(H$1:H1112, H$1:H1112&lt;&gt;""""))), LEN(INDEX(FILTER(H$1:H1112, H$1:H1112&lt;&gt;""""),COUNTA(FILTER(H$1:H1112, H$1:H1112&lt;&gt;""""))))-1), IF('To Order'!$A1113=COL"&amp;"UMNS($A1113:H1132), H1112&amp;RIGHT(INDIRECT(ADDRESS(ROW(H1113)-1, 'From Order'!$A1113)), 1), H1112))"),"")</f>
        <v/>
      </c>
      <c r="I1113" s="2" t="str">
        <f>IFERROR(__xludf.DUMMYFUNCTION("IF('From Order'!$A1113=COLUMNS($A1113:I1132), LEFT(INDEX(FILTER(I$1:I1112, I$1:I1112&lt;&gt;""""),COUNTA(FILTER(I$1:I1112, I$1:I1112&lt;&gt;""""))), LEN(INDEX(FILTER(I$1:I1112, I$1:I1112&lt;&gt;""""),COUNTA(FILTER(I$1:I1112, I$1:I1112&lt;&gt;""""))))-1), IF('To Order'!$A1113=COL"&amp;"UMNS($A1113:I1132), I1112&amp;RIGHT(INDIRECT(ADDRESS(ROW(I1113)-1, 'From Order'!$A1113)), 1), I1112))"),"JCVZRDCRCTMRW")</f>
        <v>JCVZRDCRCTMRW</v>
      </c>
    </row>
    <row r="1114">
      <c r="A1114" s="2" t="str">
        <f>IFERROR(__xludf.DUMMYFUNCTION("IF('From Order'!$A1114=COLUMNS($A1114:A1133), LEFT(INDEX(FILTER(A$1:A1113, A$1:A1113&lt;&gt;""""),COUNTA(FILTER(A$1:A1113, A$1:A1113&lt;&gt;""""))), LEN(INDEX(FILTER(A$1:A1113, A$1:A1113&lt;&gt;""""),COUNTA(FILTER(A$1:A1113, A$1:A1113&lt;&gt;""""))))-1), IF('To Order'!$A1114=COL"&amp;"UMNS($A1114:A1133), A1113&amp;RIGHT(INDIRECT(ADDRESS(ROW(A1114)-1, 'From Order'!$A1114)), 1), A1113))"),"")</f>
        <v/>
      </c>
      <c r="B1114" s="2" t="str">
        <f>IFERROR(__xludf.DUMMYFUNCTION("IF('From Order'!$A1114=COLUMNS($A1114:B1133), LEFT(INDEX(FILTER(B$1:B1113, B$1:B1113&lt;&gt;""""),COUNTA(FILTER(B$1:B1113, B$1:B1113&lt;&gt;""""))), LEN(INDEX(FILTER(B$1:B1113, B$1:B1113&lt;&gt;""""),COUNTA(FILTER(B$1:B1113, B$1:B1113&lt;&gt;""""))))-1), IF('To Order'!$A1114=COL"&amp;"UMNS($A1114:B1133), B1113&amp;RIGHT(INDIRECT(ADDRESS(ROW(B1114)-1, 'From Order'!$A1114)), 1), B1113))"),"ZLPDSDJDBSBZHMFBTMGTSLDTD")</f>
        <v>ZLPDSDJDBSBZHMFBTMGTSLDTD</v>
      </c>
      <c r="C1114" s="2" t="str">
        <f>IFERROR(__xludf.DUMMYFUNCTION("IF('From Order'!$A1114=COLUMNS($A1114:C1133), LEFT(INDEX(FILTER(C$1:C1113, C$1:C1113&lt;&gt;""""),COUNTA(FILTER(C$1:C1113, C$1:C1113&lt;&gt;""""))), LEN(INDEX(FILTER(C$1:C1113, C$1:C1113&lt;&gt;""""),COUNTA(FILTER(C$1:C1113, C$1:C1113&lt;&gt;""""))))-1), IF('To Order'!$A1114=COL"&amp;"UMNS($A1114:C1133), C1113&amp;RIGHT(INDIRECT(ADDRESS(ROW(C1114)-1, 'From Order'!$A1114)), 1), C1113))"),"TRLRSGHWQVQJPP")</f>
        <v>TRLRSGHWQVQJPP</v>
      </c>
      <c r="D1114" s="2" t="str">
        <f>IFERROR(__xludf.DUMMYFUNCTION("IF('From Order'!$A1114=COLUMNS($A1114:D1133), LEFT(INDEX(FILTER(D$1:D1113, D$1:D1113&lt;&gt;""""),COUNTA(FILTER(D$1:D1113, D$1:D1113&lt;&gt;""""))), LEN(INDEX(FILTER(D$1:D1113, D$1:D1113&lt;&gt;""""),COUNTA(FILTER(D$1:D1113, D$1:D1113&lt;&gt;""""))))-1), IF('To Order'!$A1114=COL"&amp;"UMNS($A1114:D1133), D1113&amp;RIGHT(INDIRECT(ADDRESS(ROW(D1114)-1, 'From Order'!$A1114)), 1), D1113))"),"")</f>
        <v/>
      </c>
      <c r="E1114" s="2" t="str">
        <f>IFERROR(__xludf.DUMMYFUNCTION("IF('From Order'!$A1114=COLUMNS($A1114:E1133), LEFT(INDEX(FILTER(E$1:E1113, E$1:E1113&lt;&gt;""""),COUNTA(FILTER(E$1:E1113, E$1:E1113&lt;&gt;""""))), LEN(INDEX(FILTER(E$1:E1113, E$1:E1113&lt;&gt;""""),COUNTA(FILTER(E$1:E1113, E$1:E1113&lt;&gt;""""))))-1), IF('To Order'!$A1114=COL"&amp;"UMNS($A1114:E1133), E1113&amp;RIGHT(INDIRECT(ADDRESS(ROW(E1114)-1, 'From Order'!$A1114)), 1), E1113))"),"")</f>
        <v/>
      </c>
      <c r="F1114" s="2" t="str">
        <f>IFERROR(__xludf.DUMMYFUNCTION("IF('From Order'!$A1114=COLUMNS($A1114:F1133), LEFT(INDEX(FILTER(F$1:F1113, F$1:F1113&lt;&gt;""""),COUNTA(FILTER(F$1:F1113, F$1:F1113&lt;&gt;""""))), LEN(INDEX(FILTER(F$1:F1113, F$1:F1113&lt;&gt;""""),COUNTA(FILTER(F$1:F1113, F$1:F1113&lt;&gt;""""))))-1), IF('To Order'!$A1114=COL"&amp;"UMNS($A1114:F1133), F1113&amp;RIGHT(INDIRECT(ADDRESS(ROW(F1114)-1, 'From Order'!$A1114)), 1), F1113))"),"")</f>
        <v/>
      </c>
      <c r="G1114" s="2" t="str">
        <f>IFERROR(__xludf.DUMMYFUNCTION("IF('From Order'!$A1114=COLUMNS($A1114:G1133), LEFT(INDEX(FILTER(G$1:G1113, G$1:G1113&lt;&gt;""""),COUNTA(FILTER(G$1:G1113, G$1:G1113&lt;&gt;""""))), LEN(INDEX(FILTER(G$1:G1113, G$1:G1113&lt;&gt;""""),COUNTA(FILTER(G$1:G1113, G$1:G1113&lt;&gt;""""))))-1), IF('To Order'!$A1114=COL"&amp;"UMNS($A1114:G1133), G1113&amp;RIGHT(INDIRECT(ADDRESS(ROW(G1114)-1, 'From Order'!$A1114)), 1), G1113))"),"BFV")</f>
        <v>BFV</v>
      </c>
      <c r="H1114" s="2" t="str">
        <f>IFERROR(__xludf.DUMMYFUNCTION("IF('From Order'!$A1114=COLUMNS($A1114:H1133), LEFT(INDEX(FILTER(H$1:H1113, H$1:H1113&lt;&gt;""""),COUNTA(FILTER(H$1:H1113, H$1:H1113&lt;&gt;""""))), LEN(INDEX(FILTER(H$1:H1113, H$1:H1113&lt;&gt;""""),COUNTA(FILTER(H$1:H1113, H$1:H1113&lt;&gt;""""))))-1), IF('To Order'!$A1114=COL"&amp;"UMNS($A1114:H1133), H1113&amp;RIGHT(INDIRECT(ADDRESS(ROW(H1114)-1, 'From Order'!$A1114)), 1), H1113))"),"")</f>
        <v/>
      </c>
      <c r="I1114" s="2" t="str">
        <f>IFERROR(__xludf.DUMMYFUNCTION("IF('From Order'!$A1114=COLUMNS($A1114:I1133), LEFT(INDEX(FILTER(I$1:I1113, I$1:I1113&lt;&gt;""""),COUNTA(FILTER(I$1:I1113, I$1:I1113&lt;&gt;""""))), LEN(INDEX(FILTER(I$1:I1113, I$1:I1113&lt;&gt;""""),COUNTA(FILTER(I$1:I1113, I$1:I1113&lt;&gt;""""))))-1), IF('To Order'!$A1114=COL"&amp;"UMNS($A1114:I1133), I1113&amp;RIGHT(INDIRECT(ADDRESS(ROW(I1114)-1, 'From Order'!$A1114)), 1), I1113))"),"JCVZRDCRCTMRWT")</f>
        <v>JCVZRDCRCTMRWT</v>
      </c>
    </row>
    <row r="1115">
      <c r="A1115" s="2" t="str">
        <f>IFERROR(__xludf.DUMMYFUNCTION("IF('From Order'!$A1115=COLUMNS($A1115:A1134), LEFT(INDEX(FILTER(A$1:A1114, A$1:A1114&lt;&gt;""""),COUNTA(FILTER(A$1:A1114, A$1:A1114&lt;&gt;""""))), LEN(INDEX(FILTER(A$1:A1114, A$1:A1114&lt;&gt;""""),COUNTA(FILTER(A$1:A1114, A$1:A1114&lt;&gt;""""))))-1), IF('To Order'!$A1115=COL"&amp;"UMNS($A1115:A1134), A1114&amp;RIGHT(INDIRECT(ADDRESS(ROW(A1115)-1, 'From Order'!$A1115)), 1), A1114))"),"")</f>
        <v/>
      </c>
      <c r="B1115" s="2" t="str">
        <f>IFERROR(__xludf.DUMMYFUNCTION("IF('From Order'!$A1115=COLUMNS($A1115:B1134), LEFT(INDEX(FILTER(B$1:B1114, B$1:B1114&lt;&gt;""""),COUNTA(FILTER(B$1:B1114, B$1:B1114&lt;&gt;""""))), LEN(INDEX(FILTER(B$1:B1114, B$1:B1114&lt;&gt;""""),COUNTA(FILTER(B$1:B1114, B$1:B1114&lt;&gt;""""))))-1), IF('To Order'!$A1115=COL"&amp;"UMNS($A1115:B1134), B1114&amp;RIGHT(INDIRECT(ADDRESS(ROW(B1115)-1, 'From Order'!$A1115)), 1), B1114))"),"ZLPDSDJDBSBZHMFBTMGTSLDT")</f>
        <v>ZLPDSDJDBSBZHMFBTMGTSLDT</v>
      </c>
      <c r="C1115" s="2" t="str">
        <f>IFERROR(__xludf.DUMMYFUNCTION("IF('From Order'!$A1115=COLUMNS($A1115:C1134), LEFT(INDEX(FILTER(C$1:C1114, C$1:C1114&lt;&gt;""""),COUNTA(FILTER(C$1:C1114, C$1:C1114&lt;&gt;""""))), LEN(INDEX(FILTER(C$1:C1114, C$1:C1114&lt;&gt;""""),COUNTA(FILTER(C$1:C1114, C$1:C1114&lt;&gt;""""))))-1), IF('To Order'!$A1115=COL"&amp;"UMNS($A1115:C1134), C1114&amp;RIGHT(INDIRECT(ADDRESS(ROW(C1115)-1, 'From Order'!$A1115)), 1), C1114))"),"TRLRSGHWQVQJPP")</f>
        <v>TRLRSGHWQVQJPP</v>
      </c>
      <c r="D1115" s="2" t="str">
        <f>IFERROR(__xludf.DUMMYFUNCTION("IF('From Order'!$A1115=COLUMNS($A1115:D1134), LEFT(INDEX(FILTER(D$1:D1114, D$1:D1114&lt;&gt;""""),COUNTA(FILTER(D$1:D1114, D$1:D1114&lt;&gt;""""))), LEN(INDEX(FILTER(D$1:D1114, D$1:D1114&lt;&gt;""""),COUNTA(FILTER(D$1:D1114, D$1:D1114&lt;&gt;""""))))-1), IF('To Order'!$A1115=COL"&amp;"UMNS($A1115:D1134), D1114&amp;RIGHT(INDIRECT(ADDRESS(ROW(D1115)-1, 'From Order'!$A1115)), 1), D1114))"),"")</f>
        <v/>
      </c>
      <c r="E1115" s="2" t="str">
        <f>IFERROR(__xludf.DUMMYFUNCTION("IF('From Order'!$A1115=COLUMNS($A1115:E1134), LEFT(INDEX(FILTER(E$1:E1114, E$1:E1114&lt;&gt;""""),COUNTA(FILTER(E$1:E1114, E$1:E1114&lt;&gt;""""))), LEN(INDEX(FILTER(E$1:E1114, E$1:E1114&lt;&gt;""""),COUNTA(FILTER(E$1:E1114, E$1:E1114&lt;&gt;""""))))-1), IF('To Order'!$A1115=COL"&amp;"UMNS($A1115:E1134), E1114&amp;RIGHT(INDIRECT(ADDRESS(ROW(E1115)-1, 'From Order'!$A1115)), 1), E1114))"),"")</f>
        <v/>
      </c>
      <c r="F1115" s="2" t="str">
        <f>IFERROR(__xludf.DUMMYFUNCTION("IF('From Order'!$A1115=COLUMNS($A1115:F1134), LEFT(INDEX(FILTER(F$1:F1114, F$1:F1114&lt;&gt;""""),COUNTA(FILTER(F$1:F1114, F$1:F1114&lt;&gt;""""))), LEN(INDEX(FILTER(F$1:F1114, F$1:F1114&lt;&gt;""""),COUNTA(FILTER(F$1:F1114, F$1:F1114&lt;&gt;""""))))-1), IF('To Order'!$A1115=COL"&amp;"UMNS($A1115:F1134), F1114&amp;RIGHT(INDIRECT(ADDRESS(ROW(F1115)-1, 'From Order'!$A1115)), 1), F1114))"),"")</f>
        <v/>
      </c>
      <c r="G1115" s="2" t="str">
        <f>IFERROR(__xludf.DUMMYFUNCTION("IF('From Order'!$A1115=COLUMNS($A1115:G1134), LEFT(INDEX(FILTER(G$1:G1114, G$1:G1114&lt;&gt;""""),COUNTA(FILTER(G$1:G1114, G$1:G1114&lt;&gt;""""))), LEN(INDEX(FILTER(G$1:G1114, G$1:G1114&lt;&gt;""""),COUNTA(FILTER(G$1:G1114, G$1:G1114&lt;&gt;""""))))-1), IF('To Order'!$A1115=COL"&amp;"UMNS($A1115:G1134), G1114&amp;RIGHT(INDIRECT(ADDRESS(ROW(G1115)-1, 'From Order'!$A1115)), 1), G1114))"),"BFV")</f>
        <v>BFV</v>
      </c>
      <c r="H1115" s="2" t="str">
        <f>IFERROR(__xludf.DUMMYFUNCTION("IF('From Order'!$A1115=COLUMNS($A1115:H1134), LEFT(INDEX(FILTER(H$1:H1114, H$1:H1114&lt;&gt;""""),COUNTA(FILTER(H$1:H1114, H$1:H1114&lt;&gt;""""))), LEN(INDEX(FILTER(H$1:H1114, H$1:H1114&lt;&gt;""""),COUNTA(FILTER(H$1:H1114, H$1:H1114&lt;&gt;""""))))-1), IF('To Order'!$A1115=COL"&amp;"UMNS($A1115:H1134), H1114&amp;RIGHT(INDIRECT(ADDRESS(ROW(H1115)-1, 'From Order'!$A1115)), 1), H1114))"),"")</f>
        <v/>
      </c>
      <c r="I1115" s="2" t="str">
        <f>IFERROR(__xludf.DUMMYFUNCTION("IF('From Order'!$A1115=COLUMNS($A1115:I1134), LEFT(INDEX(FILTER(I$1:I1114, I$1:I1114&lt;&gt;""""),COUNTA(FILTER(I$1:I1114, I$1:I1114&lt;&gt;""""))), LEN(INDEX(FILTER(I$1:I1114, I$1:I1114&lt;&gt;""""),COUNTA(FILTER(I$1:I1114, I$1:I1114&lt;&gt;""""))))-1), IF('To Order'!$A1115=COL"&amp;"UMNS($A1115:I1134), I1114&amp;RIGHT(INDIRECT(ADDRESS(ROW(I1115)-1, 'From Order'!$A1115)), 1), I1114))"),"JCVZRDCRCTMRWTD")</f>
        <v>JCVZRDCRCTMRWTD</v>
      </c>
    </row>
    <row r="1116">
      <c r="A1116" s="2" t="str">
        <f>IFERROR(__xludf.DUMMYFUNCTION("IF('From Order'!$A1116=COLUMNS($A1116:A1135), LEFT(INDEX(FILTER(A$1:A1115, A$1:A1115&lt;&gt;""""),COUNTA(FILTER(A$1:A1115, A$1:A1115&lt;&gt;""""))), LEN(INDEX(FILTER(A$1:A1115, A$1:A1115&lt;&gt;""""),COUNTA(FILTER(A$1:A1115, A$1:A1115&lt;&gt;""""))))-1), IF('To Order'!$A1116=COL"&amp;"UMNS($A1116:A1135), A1115&amp;RIGHT(INDIRECT(ADDRESS(ROW(A1116)-1, 'From Order'!$A1116)), 1), A1115))"),"")</f>
        <v/>
      </c>
      <c r="B1116" s="2" t="str">
        <f>IFERROR(__xludf.DUMMYFUNCTION("IF('From Order'!$A1116=COLUMNS($A1116:B1135), LEFT(INDEX(FILTER(B$1:B1115, B$1:B1115&lt;&gt;""""),COUNTA(FILTER(B$1:B1115, B$1:B1115&lt;&gt;""""))), LEN(INDEX(FILTER(B$1:B1115, B$1:B1115&lt;&gt;""""),COUNTA(FILTER(B$1:B1115, B$1:B1115&lt;&gt;""""))))-1), IF('To Order'!$A1116=COL"&amp;"UMNS($A1116:B1135), B1115&amp;RIGHT(INDIRECT(ADDRESS(ROW(B1116)-1, 'From Order'!$A1116)), 1), B1115))"),"ZLPDSDJDBSBZHMFBTMGTSLD")</f>
        <v>ZLPDSDJDBSBZHMFBTMGTSLD</v>
      </c>
      <c r="C1116" s="2" t="str">
        <f>IFERROR(__xludf.DUMMYFUNCTION("IF('From Order'!$A1116=COLUMNS($A1116:C1135), LEFT(INDEX(FILTER(C$1:C1115, C$1:C1115&lt;&gt;""""),COUNTA(FILTER(C$1:C1115, C$1:C1115&lt;&gt;""""))), LEN(INDEX(FILTER(C$1:C1115, C$1:C1115&lt;&gt;""""),COUNTA(FILTER(C$1:C1115, C$1:C1115&lt;&gt;""""))))-1), IF('To Order'!$A1116=COL"&amp;"UMNS($A1116:C1135), C1115&amp;RIGHT(INDIRECT(ADDRESS(ROW(C1116)-1, 'From Order'!$A1116)), 1), C1115))"),"TRLRSGHWQVQJPP")</f>
        <v>TRLRSGHWQVQJPP</v>
      </c>
      <c r="D1116" s="2" t="str">
        <f>IFERROR(__xludf.DUMMYFUNCTION("IF('From Order'!$A1116=COLUMNS($A1116:D1135), LEFT(INDEX(FILTER(D$1:D1115, D$1:D1115&lt;&gt;""""),COUNTA(FILTER(D$1:D1115, D$1:D1115&lt;&gt;""""))), LEN(INDEX(FILTER(D$1:D1115, D$1:D1115&lt;&gt;""""),COUNTA(FILTER(D$1:D1115, D$1:D1115&lt;&gt;""""))))-1), IF('To Order'!$A1116=COL"&amp;"UMNS($A1116:D1135), D1115&amp;RIGHT(INDIRECT(ADDRESS(ROW(D1116)-1, 'From Order'!$A1116)), 1), D1115))"),"")</f>
        <v/>
      </c>
      <c r="E1116" s="2" t="str">
        <f>IFERROR(__xludf.DUMMYFUNCTION("IF('From Order'!$A1116=COLUMNS($A1116:E1135), LEFT(INDEX(FILTER(E$1:E1115, E$1:E1115&lt;&gt;""""),COUNTA(FILTER(E$1:E1115, E$1:E1115&lt;&gt;""""))), LEN(INDEX(FILTER(E$1:E1115, E$1:E1115&lt;&gt;""""),COUNTA(FILTER(E$1:E1115, E$1:E1115&lt;&gt;""""))))-1), IF('To Order'!$A1116=COL"&amp;"UMNS($A1116:E1135), E1115&amp;RIGHT(INDIRECT(ADDRESS(ROW(E1116)-1, 'From Order'!$A1116)), 1), E1115))"),"")</f>
        <v/>
      </c>
      <c r="F1116" s="2" t="str">
        <f>IFERROR(__xludf.DUMMYFUNCTION("IF('From Order'!$A1116=COLUMNS($A1116:F1135), LEFT(INDEX(FILTER(F$1:F1115, F$1:F1115&lt;&gt;""""),COUNTA(FILTER(F$1:F1115, F$1:F1115&lt;&gt;""""))), LEN(INDEX(FILTER(F$1:F1115, F$1:F1115&lt;&gt;""""),COUNTA(FILTER(F$1:F1115, F$1:F1115&lt;&gt;""""))))-1), IF('To Order'!$A1116=COL"&amp;"UMNS($A1116:F1135), F1115&amp;RIGHT(INDIRECT(ADDRESS(ROW(F1116)-1, 'From Order'!$A1116)), 1), F1115))"),"")</f>
        <v/>
      </c>
      <c r="G1116" s="2" t="str">
        <f>IFERROR(__xludf.DUMMYFUNCTION("IF('From Order'!$A1116=COLUMNS($A1116:G1135), LEFT(INDEX(FILTER(G$1:G1115, G$1:G1115&lt;&gt;""""),COUNTA(FILTER(G$1:G1115, G$1:G1115&lt;&gt;""""))), LEN(INDEX(FILTER(G$1:G1115, G$1:G1115&lt;&gt;""""),COUNTA(FILTER(G$1:G1115, G$1:G1115&lt;&gt;""""))))-1), IF('To Order'!$A1116=COL"&amp;"UMNS($A1116:G1135), G1115&amp;RIGHT(INDIRECT(ADDRESS(ROW(G1116)-1, 'From Order'!$A1116)), 1), G1115))"),"BFV")</f>
        <v>BFV</v>
      </c>
      <c r="H1116" s="2" t="str">
        <f>IFERROR(__xludf.DUMMYFUNCTION("IF('From Order'!$A1116=COLUMNS($A1116:H1135), LEFT(INDEX(FILTER(H$1:H1115, H$1:H1115&lt;&gt;""""),COUNTA(FILTER(H$1:H1115, H$1:H1115&lt;&gt;""""))), LEN(INDEX(FILTER(H$1:H1115, H$1:H1115&lt;&gt;""""),COUNTA(FILTER(H$1:H1115, H$1:H1115&lt;&gt;""""))))-1), IF('To Order'!$A1116=COL"&amp;"UMNS($A1116:H1135), H1115&amp;RIGHT(INDIRECT(ADDRESS(ROW(H1116)-1, 'From Order'!$A1116)), 1), H1115))"),"")</f>
        <v/>
      </c>
      <c r="I1116" s="2" t="str">
        <f>IFERROR(__xludf.DUMMYFUNCTION("IF('From Order'!$A1116=COLUMNS($A1116:I1135), LEFT(INDEX(FILTER(I$1:I1115, I$1:I1115&lt;&gt;""""),COUNTA(FILTER(I$1:I1115, I$1:I1115&lt;&gt;""""))), LEN(INDEX(FILTER(I$1:I1115, I$1:I1115&lt;&gt;""""),COUNTA(FILTER(I$1:I1115, I$1:I1115&lt;&gt;""""))))-1), IF('To Order'!$A1116=COL"&amp;"UMNS($A1116:I1135), I1115&amp;RIGHT(INDIRECT(ADDRESS(ROW(I1116)-1, 'From Order'!$A1116)), 1), I1115))"),"JCVZRDCRCTMRWTDT")</f>
        <v>JCVZRDCRCTMRWTDT</v>
      </c>
    </row>
    <row r="1117">
      <c r="A1117" s="2" t="str">
        <f>IFERROR(__xludf.DUMMYFUNCTION("IF('From Order'!$A1117=COLUMNS($A1117:A1136), LEFT(INDEX(FILTER(A$1:A1116, A$1:A1116&lt;&gt;""""),COUNTA(FILTER(A$1:A1116, A$1:A1116&lt;&gt;""""))), LEN(INDEX(FILTER(A$1:A1116, A$1:A1116&lt;&gt;""""),COUNTA(FILTER(A$1:A1116, A$1:A1116&lt;&gt;""""))))-1), IF('To Order'!$A1117=COL"&amp;"UMNS($A1117:A1136), A1116&amp;RIGHT(INDIRECT(ADDRESS(ROW(A1117)-1, 'From Order'!$A1117)), 1), A1116))"),"")</f>
        <v/>
      </c>
      <c r="B1117" s="2" t="str">
        <f>IFERROR(__xludf.DUMMYFUNCTION("IF('From Order'!$A1117=COLUMNS($A1117:B1136), LEFT(INDEX(FILTER(B$1:B1116, B$1:B1116&lt;&gt;""""),COUNTA(FILTER(B$1:B1116, B$1:B1116&lt;&gt;""""))), LEN(INDEX(FILTER(B$1:B1116, B$1:B1116&lt;&gt;""""),COUNTA(FILTER(B$1:B1116, B$1:B1116&lt;&gt;""""))))-1), IF('To Order'!$A1117=COL"&amp;"UMNS($A1117:B1136), B1116&amp;RIGHT(INDIRECT(ADDRESS(ROW(B1117)-1, 'From Order'!$A1117)), 1), B1116))"),"ZLPDSDJDBSBZHMFBTMGTSL")</f>
        <v>ZLPDSDJDBSBZHMFBTMGTSL</v>
      </c>
      <c r="C1117" s="2" t="str">
        <f>IFERROR(__xludf.DUMMYFUNCTION("IF('From Order'!$A1117=COLUMNS($A1117:C1136), LEFT(INDEX(FILTER(C$1:C1116, C$1:C1116&lt;&gt;""""),COUNTA(FILTER(C$1:C1116, C$1:C1116&lt;&gt;""""))), LEN(INDEX(FILTER(C$1:C1116, C$1:C1116&lt;&gt;""""),COUNTA(FILTER(C$1:C1116, C$1:C1116&lt;&gt;""""))))-1), IF('To Order'!$A1117=COL"&amp;"UMNS($A1117:C1136), C1116&amp;RIGHT(INDIRECT(ADDRESS(ROW(C1117)-1, 'From Order'!$A1117)), 1), C1116))"),"TRLRSGHWQVQJPP")</f>
        <v>TRLRSGHWQVQJPP</v>
      </c>
      <c r="D1117" s="2" t="str">
        <f>IFERROR(__xludf.DUMMYFUNCTION("IF('From Order'!$A1117=COLUMNS($A1117:D1136), LEFT(INDEX(FILTER(D$1:D1116, D$1:D1116&lt;&gt;""""),COUNTA(FILTER(D$1:D1116, D$1:D1116&lt;&gt;""""))), LEN(INDEX(FILTER(D$1:D1116, D$1:D1116&lt;&gt;""""),COUNTA(FILTER(D$1:D1116, D$1:D1116&lt;&gt;""""))))-1), IF('To Order'!$A1117=COL"&amp;"UMNS($A1117:D1136), D1116&amp;RIGHT(INDIRECT(ADDRESS(ROW(D1117)-1, 'From Order'!$A1117)), 1), D1116))"),"")</f>
        <v/>
      </c>
      <c r="E1117" s="2" t="str">
        <f>IFERROR(__xludf.DUMMYFUNCTION("IF('From Order'!$A1117=COLUMNS($A1117:E1136), LEFT(INDEX(FILTER(E$1:E1116, E$1:E1116&lt;&gt;""""),COUNTA(FILTER(E$1:E1116, E$1:E1116&lt;&gt;""""))), LEN(INDEX(FILTER(E$1:E1116, E$1:E1116&lt;&gt;""""),COUNTA(FILTER(E$1:E1116, E$1:E1116&lt;&gt;""""))))-1), IF('To Order'!$A1117=COL"&amp;"UMNS($A1117:E1136), E1116&amp;RIGHT(INDIRECT(ADDRESS(ROW(E1117)-1, 'From Order'!$A1117)), 1), E1116))"),"")</f>
        <v/>
      </c>
      <c r="F1117" s="2" t="str">
        <f>IFERROR(__xludf.DUMMYFUNCTION("IF('From Order'!$A1117=COLUMNS($A1117:F1136), LEFT(INDEX(FILTER(F$1:F1116, F$1:F1116&lt;&gt;""""),COUNTA(FILTER(F$1:F1116, F$1:F1116&lt;&gt;""""))), LEN(INDEX(FILTER(F$1:F1116, F$1:F1116&lt;&gt;""""),COUNTA(FILTER(F$1:F1116, F$1:F1116&lt;&gt;""""))))-1), IF('To Order'!$A1117=COL"&amp;"UMNS($A1117:F1136), F1116&amp;RIGHT(INDIRECT(ADDRESS(ROW(F1117)-1, 'From Order'!$A1117)), 1), F1116))"),"")</f>
        <v/>
      </c>
      <c r="G1117" s="2" t="str">
        <f>IFERROR(__xludf.DUMMYFUNCTION("IF('From Order'!$A1117=COLUMNS($A1117:G1136), LEFT(INDEX(FILTER(G$1:G1116, G$1:G1116&lt;&gt;""""),COUNTA(FILTER(G$1:G1116, G$1:G1116&lt;&gt;""""))), LEN(INDEX(FILTER(G$1:G1116, G$1:G1116&lt;&gt;""""),COUNTA(FILTER(G$1:G1116, G$1:G1116&lt;&gt;""""))))-1), IF('To Order'!$A1117=COL"&amp;"UMNS($A1117:G1136), G1116&amp;RIGHT(INDIRECT(ADDRESS(ROW(G1117)-1, 'From Order'!$A1117)), 1), G1116))"),"BFV")</f>
        <v>BFV</v>
      </c>
      <c r="H1117" s="2" t="str">
        <f>IFERROR(__xludf.DUMMYFUNCTION("IF('From Order'!$A1117=COLUMNS($A1117:H1136), LEFT(INDEX(FILTER(H$1:H1116, H$1:H1116&lt;&gt;""""),COUNTA(FILTER(H$1:H1116, H$1:H1116&lt;&gt;""""))), LEN(INDEX(FILTER(H$1:H1116, H$1:H1116&lt;&gt;""""),COUNTA(FILTER(H$1:H1116, H$1:H1116&lt;&gt;""""))))-1), IF('To Order'!$A1117=COL"&amp;"UMNS($A1117:H1136), H1116&amp;RIGHT(INDIRECT(ADDRESS(ROW(H1117)-1, 'From Order'!$A1117)), 1), H1116))"),"")</f>
        <v/>
      </c>
      <c r="I1117" s="2" t="str">
        <f>IFERROR(__xludf.DUMMYFUNCTION("IF('From Order'!$A1117=COLUMNS($A1117:I1136), LEFT(INDEX(FILTER(I$1:I1116, I$1:I1116&lt;&gt;""""),COUNTA(FILTER(I$1:I1116, I$1:I1116&lt;&gt;""""))), LEN(INDEX(FILTER(I$1:I1116, I$1:I1116&lt;&gt;""""),COUNTA(FILTER(I$1:I1116, I$1:I1116&lt;&gt;""""))))-1), IF('To Order'!$A1117=COL"&amp;"UMNS($A1117:I1136), I1116&amp;RIGHT(INDIRECT(ADDRESS(ROW(I1117)-1, 'From Order'!$A1117)), 1), I1116))"),"JCVZRDCRCTMRWTDTD")</f>
        <v>JCVZRDCRCTMRWTDTD</v>
      </c>
    </row>
    <row r="1118">
      <c r="A1118" s="2" t="str">
        <f>IFERROR(__xludf.DUMMYFUNCTION("IF('From Order'!$A1118=COLUMNS($A1118:A1137), LEFT(INDEX(FILTER(A$1:A1117, A$1:A1117&lt;&gt;""""),COUNTA(FILTER(A$1:A1117, A$1:A1117&lt;&gt;""""))), LEN(INDEX(FILTER(A$1:A1117, A$1:A1117&lt;&gt;""""),COUNTA(FILTER(A$1:A1117, A$1:A1117&lt;&gt;""""))))-1), IF('To Order'!$A1118=COL"&amp;"UMNS($A1118:A1137), A1117&amp;RIGHT(INDIRECT(ADDRESS(ROW(A1118)-1, 'From Order'!$A1118)), 1), A1117))"),"")</f>
        <v/>
      </c>
      <c r="B1118" s="2" t="str">
        <f>IFERROR(__xludf.DUMMYFUNCTION("IF('From Order'!$A1118=COLUMNS($A1118:B1137), LEFT(INDEX(FILTER(B$1:B1117, B$1:B1117&lt;&gt;""""),COUNTA(FILTER(B$1:B1117, B$1:B1117&lt;&gt;""""))), LEN(INDEX(FILTER(B$1:B1117, B$1:B1117&lt;&gt;""""),COUNTA(FILTER(B$1:B1117, B$1:B1117&lt;&gt;""""))))-1), IF('To Order'!$A1118=COL"&amp;"UMNS($A1118:B1137), B1117&amp;RIGHT(INDIRECT(ADDRESS(ROW(B1118)-1, 'From Order'!$A1118)), 1), B1117))"),"ZLPDSDJDBSBZHMFBTMGTS")</f>
        <v>ZLPDSDJDBSBZHMFBTMGTS</v>
      </c>
      <c r="C1118" s="2" t="str">
        <f>IFERROR(__xludf.DUMMYFUNCTION("IF('From Order'!$A1118=COLUMNS($A1118:C1137), LEFT(INDEX(FILTER(C$1:C1117, C$1:C1117&lt;&gt;""""),COUNTA(FILTER(C$1:C1117, C$1:C1117&lt;&gt;""""))), LEN(INDEX(FILTER(C$1:C1117, C$1:C1117&lt;&gt;""""),COUNTA(FILTER(C$1:C1117, C$1:C1117&lt;&gt;""""))))-1), IF('To Order'!$A1118=COL"&amp;"UMNS($A1118:C1137), C1117&amp;RIGHT(INDIRECT(ADDRESS(ROW(C1118)-1, 'From Order'!$A1118)), 1), C1117))"),"TRLRSGHWQVQJPP")</f>
        <v>TRLRSGHWQVQJPP</v>
      </c>
      <c r="D1118" s="2" t="str">
        <f>IFERROR(__xludf.DUMMYFUNCTION("IF('From Order'!$A1118=COLUMNS($A1118:D1137), LEFT(INDEX(FILTER(D$1:D1117, D$1:D1117&lt;&gt;""""),COUNTA(FILTER(D$1:D1117, D$1:D1117&lt;&gt;""""))), LEN(INDEX(FILTER(D$1:D1117, D$1:D1117&lt;&gt;""""),COUNTA(FILTER(D$1:D1117, D$1:D1117&lt;&gt;""""))))-1), IF('To Order'!$A1118=COL"&amp;"UMNS($A1118:D1137), D1117&amp;RIGHT(INDIRECT(ADDRESS(ROW(D1118)-1, 'From Order'!$A1118)), 1), D1117))"),"")</f>
        <v/>
      </c>
      <c r="E1118" s="2" t="str">
        <f>IFERROR(__xludf.DUMMYFUNCTION("IF('From Order'!$A1118=COLUMNS($A1118:E1137), LEFT(INDEX(FILTER(E$1:E1117, E$1:E1117&lt;&gt;""""),COUNTA(FILTER(E$1:E1117, E$1:E1117&lt;&gt;""""))), LEN(INDEX(FILTER(E$1:E1117, E$1:E1117&lt;&gt;""""),COUNTA(FILTER(E$1:E1117, E$1:E1117&lt;&gt;""""))))-1), IF('To Order'!$A1118=COL"&amp;"UMNS($A1118:E1137), E1117&amp;RIGHT(INDIRECT(ADDRESS(ROW(E1118)-1, 'From Order'!$A1118)), 1), E1117))"),"")</f>
        <v/>
      </c>
      <c r="F1118" s="2" t="str">
        <f>IFERROR(__xludf.DUMMYFUNCTION("IF('From Order'!$A1118=COLUMNS($A1118:F1137), LEFT(INDEX(FILTER(F$1:F1117, F$1:F1117&lt;&gt;""""),COUNTA(FILTER(F$1:F1117, F$1:F1117&lt;&gt;""""))), LEN(INDEX(FILTER(F$1:F1117, F$1:F1117&lt;&gt;""""),COUNTA(FILTER(F$1:F1117, F$1:F1117&lt;&gt;""""))))-1), IF('To Order'!$A1118=COL"&amp;"UMNS($A1118:F1137), F1117&amp;RIGHT(INDIRECT(ADDRESS(ROW(F1118)-1, 'From Order'!$A1118)), 1), F1117))"),"")</f>
        <v/>
      </c>
      <c r="G1118" s="2" t="str">
        <f>IFERROR(__xludf.DUMMYFUNCTION("IF('From Order'!$A1118=COLUMNS($A1118:G1137), LEFT(INDEX(FILTER(G$1:G1117, G$1:G1117&lt;&gt;""""),COUNTA(FILTER(G$1:G1117, G$1:G1117&lt;&gt;""""))), LEN(INDEX(FILTER(G$1:G1117, G$1:G1117&lt;&gt;""""),COUNTA(FILTER(G$1:G1117, G$1:G1117&lt;&gt;""""))))-1), IF('To Order'!$A1118=COL"&amp;"UMNS($A1118:G1137), G1117&amp;RIGHT(INDIRECT(ADDRESS(ROW(G1118)-1, 'From Order'!$A1118)), 1), G1117))"),"BFV")</f>
        <v>BFV</v>
      </c>
      <c r="H1118" s="2" t="str">
        <f>IFERROR(__xludf.DUMMYFUNCTION("IF('From Order'!$A1118=COLUMNS($A1118:H1137), LEFT(INDEX(FILTER(H$1:H1117, H$1:H1117&lt;&gt;""""),COUNTA(FILTER(H$1:H1117, H$1:H1117&lt;&gt;""""))), LEN(INDEX(FILTER(H$1:H1117, H$1:H1117&lt;&gt;""""),COUNTA(FILTER(H$1:H1117, H$1:H1117&lt;&gt;""""))))-1), IF('To Order'!$A1118=COL"&amp;"UMNS($A1118:H1137), H1117&amp;RIGHT(INDIRECT(ADDRESS(ROW(H1118)-1, 'From Order'!$A1118)), 1), H1117))"),"")</f>
        <v/>
      </c>
      <c r="I1118" s="2" t="str">
        <f>IFERROR(__xludf.DUMMYFUNCTION("IF('From Order'!$A1118=COLUMNS($A1118:I1137), LEFT(INDEX(FILTER(I$1:I1117, I$1:I1117&lt;&gt;""""),COUNTA(FILTER(I$1:I1117, I$1:I1117&lt;&gt;""""))), LEN(INDEX(FILTER(I$1:I1117, I$1:I1117&lt;&gt;""""),COUNTA(FILTER(I$1:I1117, I$1:I1117&lt;&gt;""""))))-1), IF('To Order'!$A1118=COL"&amp;"UMNS($A1118:I1137), I1117&amp;RIGHT(INDIRECT(ADDRESS(ROW(I1118)-1, 'From Order'!$A1118)), 1), I1117))"),"JCVZRDCRCTMRWTDTDL")</f>
        <v>JCVZRDCRCTMRWTDTDL</v>
      </c>
    </row>
    <row r="1119">
      <c r="A1119" s="2" t="str">
        <f>IFERROR(__xludf.DUMMYFUNCTION("IF('From Order'!$A1119=COLUMNS($A1119:A1138), LEFT(INDEX(FILTER(A$1:A1118, A$1:A1118&lt;&gt;""""),COUNTA(FILTER(A$1:A1118, A$1:A1118&lt;&gt;""""))), LEN(INDEX(FILTER(A$1:A1118, A$1:A1118&lt;&gt;""""),COUNTA(FILTER(A$1:A1118, A$1:A1118&lt;&gt;""""))))-1), IF('To Order'!$A1119=COL"&amp;"UMNS($A1119:A1138), A1118&amp;RIGHT(INDIRECT(ADDRESS(ROW(A1119)-1, 'From Order'!$A1119)), 1), A1118))"),"")</f>
        <v/>
      </c>
      <c r="B1119" s="2" t="str">
        <f>IFERROR(__xludf.DUMMYFUNCTION("IF('From Order'!$A1119=COLUMNS($A1119:B1138), LEFT(INDEX(FILTER(B$1:B1118, B$1:B1118&lt;&gt;""""),COUNTA(FILTER(B$1:B1118, B$1:B1118&lt;&gt;""""))), LEN(INDEX(FILTER(B$1:B1118, B$1:B1118&lt;&gt;""""),COUNTA(FILTER(B$1:B1118, B$1:B1118&lt;&gt;""""))))-1), IF('To Order'!$A1119=COL"&amp;"UMNS($A1119:B1138), B1118&amp;RIGHT(INDIRECT(ADDRESS(ROW(B1119)-1, 'From Order'!$A1119)), 1), B1118))"),"ZLPDSDJDBSBZHMFBTMGTSV")</f>
        <v>ZLPDSDJDBSBZHMFBTMGTSV</v>
      </c>
      <c r="C1119" s="2" t="str">
        <f>IFERROR(__xludf.DUMMYFUNCTION("IF('From Order'!$A1119=COLUMNS($A1119:C1138), LEFT(INDEX(FILTER(C$1:C1118, C$1:C1118&lt;&gt;""""),COUNTA(FILTER(C$1:C1118, C$1:C1118&lt;&gt;""""))), LEN(INDEX(FILTER(C$1:C1118, C$1:C1118&lt;&gt;""""),COUNTA(FILTER(C$1:C1118, C$1:C1118&lt;&gt;""""))))-1), IF('To Order'!$A1119=COL"&amp;"UMNS($A1119:C1138), C1118&amp;RIGHT(INDIRECT(ADDRESS(ROW(C1119)-1, 'From Order'!$A1119)), 1), C1118))"),"TRLRSGHWQVQJPP")</f>
        <v>TRLRSGHWQVQJPP</v>
      </c>
      <c r="D1119" s="2" t="str">
        <f>IFERROR(__xludf.DUMMYFUNCTION("IF('From Order'!$A1119=COLUMNS($A1119:D1138), LEFT(INDEX(FILTER(D$1:D1118, D$1:D1118&lt;&gt;""""),COUNTA(FILTER(D$1:D1118, D$1:D1118&lt;&gt;""""))), LEN(INDEX(FILTER(D$1:D1118, D$1:D1118&lt;&gt;""""),COUNTA(FILTER(D$1:D1118, D$1:D1118&lt;&gt;""""))))-1), IF('To Order'!$A1119=COL"&amp;"UMNS($A1119:D1138), D1118&amp;RIGHT(INDIRECT(ADDRESS(ROW(D1119)-1, 'From Order'!$A1119)), 1), D1118))"),"")</f>
        <v/>
      </c>
      <c r="E1119" s="2" t="str">
        <f>IFERROR(__xludf.DUMMYFUNCTION("IF('From Order'!$A1119=COLUMNS($A1119:E1138), LEFT(INDEX(FILTER(E$1:E1118, E$1:E1118&lt;&gt;""""),COUNTA(FILTER(E$1:E1118, E$1:E1118&lt;&gt;""""))), LEN(INDEX(FILTER(E$1:E1118, E$1:E1118&lt;&gt;""""),COUNTA(FILTER(E$1:E1118, E$1:E1118&lt;&gt;""""))))-1), IF('To Order'!$A1119=COL"&amp;"UMNS($A1119:E1138), E1118&amp;RIGHT(INDIRECT(ADDRESS(ROW(E1119)-1, 'From Order'!$A1119)), 1), E1118))"),"")</f>
        <v/>
      </c>
      <c r="F1119" s="2" t="str">
        <f>IFERROR(__xludf.DUMMYFUNCTION("IF('From Order'!$A1119=COLUMNS($A1119:F1138), LEFT(INDEX(FILTER(F$1:F1118, F$1:F1118&lt;&gt;""""),COUNTA(FILTER(F$1:F1118, F$1:F1118&lt;&gt;""""))), LEN(INDEX(FILTER(F$1:F1118, F$1:F1118&lt;&gt;""""),COUNTA(FILTER(F$1:F1118, F$1:F1118&lt;&gt;""""))))-1), IF('To Order'!$A1119=COL"&amp;"UMNS($A1119:F1138), F1118&amp;RIGHT(INDIRECT(ADDRESS(ROW(F1119)-1, 'From Order'!$A1119)), 1), F1118))"),"")</f>
        <v/>
      </c>
      <c r="G1119" s="2" t="str">
        <f>IFERROR(__xludf.DUMMYFUNCTION("IF('From Order'!$A1119=COLUMNS($A1119:G1138), LEFT(INDEX(FILTER(G$1:G1118, G$1:G1118&lt;&gt;""""),COUNTA(FILTER(G$1:G1118, G$1:G1118&lt;&gt;""""))), LEN(INDEX(FILTER(G$1:G1118, G$1:G1118&lt;&gt;""""),COUNTA(FILTER(G$1:G1118, G$1:G1118&lt;&gt;""""))))-1), IF('To Order'!$A1119=COL"&amp;"UMNS($A1119:G1138), G1118&amp;RIGHT(INDIRECT(ADDRESS(ROW(G1119)-1, 'From Order'!$A1119)), 1), G1118))"),"BF")</f>
        <v>BF</v>
      </c>
      <c r="H1119" s="2" t="str">
        <f>IFERROR(__xludf.DUMMYFUNCTION("IF('From Order'!$A1119=COLUMNS($A1119:H1138), LEFT(INDEX(FILTER(H$1:H1118, H$1:H1118&lt;&gt;""""),COUNTA(FILTER(H$1:H1118, H$1:H1118&lt;&gt;""""))), LEN(INDEX(FILTER(H$1:H1118, H$1:H1118&lt;&gt;""""),COUNTA(FILTER(H$1:H1118, H$1:H1118&lt;&gt;""""))))-1), IF('To Order'!$A1119=COL"&amp;"UMNS($A1119:H1138), H1118&amp;RIGHT(INDIRECT(ADDRESS(ROW(H1119)-1, 'From Order'!$A1119)), 1), H1118))"),"")</f>
        <v/>
      </c>
      <c r="I1119" s="2" t="str">
        <f>IFERROR(__xludf.DUMMYFUNCTION("IF('From Order'!$A1119=COLUMNS($A1119:I1138), LEFT(INDEX(FILTER(I$1:I1118, I$1:I1118&lt;&gt;""""),COUNTA(FILTER(I$1:I1118, I$1:I1118&lt;&gt;""""))), LEN(INDEX(FILTER(I$1:I1118, I$1:I1118&lt;&gt;""""),COUNTA(FILTER(I$1:I1118, I$1:I1118&lt;&gt;""""))))-1), IF('To Order'!$A1119=COL"&amp;"UMNS($A1119:I1138), I1118&amp;RIGHT(INDIRECT(ADDRESS(ROW(I1119)-1, 'From Order'!$A1119)), 1), I1118))"),"JCVZRDCRCTMRWTDTDL")</f>
        <v>JCVZRDCRCTMRWTDTDL</v>
      </c>
    </row>
    <row r="1120">
      <c r="A1120" s="2" t="str">
        <f>IFERROR(__xludf.DUMMYFUNCTION("IF('From Order'!$A1120=COLUMNS($A1120:A1139), LEFT(INDEX(FILTER(A$1:A1119, A$1:A1119&lt;&gt;""""),COUNTA(FILTER(A$1:A1119, A$1:A1119&lt;&gt;""""))), LEN(INDEX(FILTER(A$1:A1119, A$1:A1119&lt;&gt;""""),COUNTA(FILTER(A$1:A1119, A$1:A1119&lt;&gt;""""))))-1), IF('To Order'!$A1120=COL"&amp;"UMNS($A1120:A1139), A1119&amp;RIGHT(INDIRECT(ADDRESS(ROW(A1120)-1, 'From Order'!$A1120)), 1), A1119))"),"F")</f>
        <v>F</v>
      </c>
      <c r="B1120" s="2" t="str">
        <f>IFERROR(__xludf.DUMMYFUNCTION("IF('From Order'!$A1120=COLUMNS($A1120:B1139), LEFT(INDEX(FILTER(B$1:B1119, B$1:B1119&lt;&gt;""""),COUNTA(FILTER(B$1:B1119, B$1:B1119&lt;&gt;""""))), LEN(INDEX(FILTER(B$1:B1119, B$1:B1119&lt;&gt;""""),COUNTA(FILTER(B$1:B1119, B$1:B1119&lt;&gt;""""))))-1), IF('To Order'!$A1120=COL"&amp;"UMNS($A1120:B1139), B1119&amp;RIGHT(INDIRECT(ADDRESS(ROW(B1120)-1, 'From Order'!$A1120)), 1), B1119))"),"ZLPDSDJDBSBZHMFBTMGTSV")</f>
        <v>ZLPDSDJDBSBZHMFBTMGTSV</v>
      </c>
      <c r="C1120" s="2" t="str">
        <f>IFERROR(__xludf.DUMMYFUNCTION("IF('From Order'!$A1120=COLUMNS($A1120:C1139), LEFT(INDEX(FILTER(C$1:C1119, C$1:C1119&lt;&gt;""""),COUNTA(FILTER(C$1:C1119, C$1:C1119&lt;&gt;""""))), LEN(INDEX(FILTER(C$1:C1119, C$1:C1119&lt;&gt;""""),COUNTA(FILTER(C$1:C1119, C$1:C1119&lt;&gt;""""))))-1), IF('To Order'!$A1120=COL"&amp;"UMNS($A1120:C1139), C1119&amp;RIGHT(INDIRECT(ADDRESS(ROW(C1120)-1, 'From Order'!$A1120)), 1), C1119))"),"TRLRSGHWQVQJPP")</f>
        <v>TRLRSGHWQVQJPP</v>
      </c>
      <c r="D1120" s="2" t="str">
        <f>IFERROR(__xludf.DUMMYFUNCTION("IF('From Order'!$A1120=COLUMNS($A1120:D1139), LEFT(INDEX(FILTER(D$1:D1119, D$1:D1119&lt;&gt;""""),COUNTA(FILTER(D$1:D1119, D$1:D1119&lt;&gt;""""))), LEN(INDEX(FILTER(D$1:D1119, D$1:D1119&lt;&gt;""""),COUNTA(FILTER(D$1:D1119, D$1:D1119&lt;&gt;""""))))-1), IF('To Order'!$A1120=COL"&amp;"UMNS($A1120:D1139), D1119&amp;RIGHT(INDIRECT(ADDRESS(ROW(D1120)-1, 'From Order'!$A1120)), 1), D1119))"),"")</f>
        <v/>
      </c>
      <c r="E1120" s="2" t="str">
        <f>IFERROR(__xludf.DUMMYFUNCTION("IF('From Order'!$A1120=COLUMNS($A1120:E1139), LEFT(INDEX(FILTER(E$1:E1119, E$1:E1119&lt;&gt;""""),COUNTA(FILTER(E$1:E1119, E$1:E1119&lt;&gt;""""))), LEN(INDEX(FILTER(E$1:E1119, E$1:E1119&lt;&gt;""""),COUNTA(FILTER(E$1:E1119, E$1:E1119&lt;&gt;""""))))-1), IF('To Order'!$A1120=COL"&amp;"UMNS($A1120:E1139), E1119&amp;RIGHT(INDIRECT(ADDRESS(ROW(E1120)-1, 'From Order'!$A1120)), 1), E1119))"),"")</f>
        <v/>
      </c>
      <c r="F1120" s="2" t="str">
        <f>IFERROR(__xludf.DUMMYFUNCTION("IF('From Order'!$A1120=COLUMNS($A1120:F1139), LEFT(INDEX(FILTER(F$1:F1119, F$1:F1119&lt;&gt;""""),COUNTA(FILTER(F$1:F1119, F$1:F1119&lt;&gt;""""))), LEN(INDEX(FILTER(F$1:F1119, F$1:F1119&lt;&gt;""""),COUNTA(FILTER(F$1:F1119, F$1:F1119&lt;&gt;""""))))-1), IF('To Order'!$A1120=COL"&amp;"UMNS($A1120:F1139), F1119&amp;RIGHT(INDIRECT(ADDRESS(ROW(F1120)-1, 'From Order'!$A1120)), 1), F1119))"),"")</f>
        <v/>
      </c>
      <c r="G1120" s="2" t="str">
        <f>IFERROR(__xludf.DUMMYFUNCTION("IF('From Order'!$A1120=COLUMNS($A1120:G1139), LEFT(INDEX(FILTER(G$1:G1119, G$1:G1119&lt;&gt;""""),COUNTA(FILTER(G$1:G1119, G$1:G1119&lt;&gt;""""))), LEN(INDEX(FILTER(G$1:G1119, G$1:G1119&lt;&gt;""""),COUNTA(FILTER(G$1:G1119, G$1:G1119&lt;&gt;""""))))-1), IF('To Order'!$A1120=COL"&amp;"UMNS($A1120:G1139), G1119&amp;RIGHT(INDIRECT(ADDRESS(ROW(G1120)-1, 'From Order'!$A1120)), 1), G1119))"),"B")</f>
        <v>B</v>
      </c>
      <c r="H1120" s="2" t="str">
        <f>IFERROR(__xludf.DUMMYFUNCTION("IF('From Order'!$A1120=COLUMNS($A1120:H1139), LEFT(INDEX(FILTER(H$1:H1119, H$1:H1119&lt;&gt;""""),COUNTA(FILTER(H$1:H1119, H$1:H1119&lt;&gt;""""))), LEN(INDEX(FILTER(H$1:H1119, H$1:H1119&lt;&gt;""""),COUNTA(FILTER(H$1:H1119, H$1:H1119&lt;&gt;""""))))-1), IF('To Order'!$A1120=COL"&amp;"UMNS($A1120:H1139), H1119&amp;RIGHT(INDIRECT(ADDRESS(ROW(H1120)-1, 'From Order'!$A1120)), 1), H1119))"),"")</f>
        <v/>
      </c>
      <c r="I1120" s="2" t="str">
        <f>IFERROR(__xludf.DUMMYFUNCTION("IF('From Order'!$A1120=COLUMNS($A1120:I1139), LEFT(INDEX(FILTER(I$1:I1119, I$1:I1119&lt;&gt;""""),COUNTA(FILTER(I$1:I1119, I$1:I1119&lt;&gt;""""))), LEN(INDEX(FILTER(I$1:I1119, I$1:I1119&lt;&gt;""""),COUNTA(FILTER(I$1:I1119, I$1:I1119&lt;&gt;""""))))-1), IF('To Order'!$A1120=COL"&amp;"UMNS($A1120:I1139), I1119&amp;RIGHT(INDIRECT(ADDRESS(ROW(I1120)-1, 'From Order'!$A1120)), 1), I1119))"),"JCVZRDCRCTMRWTDTDL")</f>
        <v>JCVZRDCRCTMRWTDTDL</v>
      </c>
    </row>
    <row r="1121">
      <c r="A1121" s="2" t="str">
        <f>IFERROR(__xludf.DUMMYFUNCTION("IF('From Order'!$A1121=COLUMNS($A1121:A1140), LEFT(INDEX(FILTER(A$1:A1120, A$1:A1120&lt;&gt;""""),COUNTA(FILTER(A$1:A1120, A$1:A1120&lt;&gt;""""))), LEN(INDEX(FILTER(A$1:A1120, A$1:A1120&lt;&gt;""""),COUNTA(FILTER(A$1:A1120, A$1:A1120&lt;&gt;""""))))-1), IF('To Order'!$A1121=COL"&amp;"UMNS($A1121:A1140), A1120&amp;RIGHT(INDIRECT(ADDRESS(ROW(A1121)-1, 'From Order'!$A1121)), 1), A1120))"),"FB")</f>
        <v>FB</v>
      </c>
      <c r="B1121" s="2" t="str">
        <f>IFERROR(__xludf.DUMMYFUNCTION("IF('From Order'!$A1121=COLUMNS($A1121:B1140), LEFT(INDEX(FILTER(B$1:B1120, B$1:B1120&lt;&gt;""""),COUNTA(FILTER(B$1:B1120, B$1:B1120&lt;&gt;""""))), LEN(INDEX(FILTER(B$1:B1120, B$1:B1120&lt;&gt;""""),COUNTA(FILTER(B$1:B1120, B$1:B1120&lt;&gt;""""))))-1), IF('To Order'!$A1121=COL"&amp;"UMNS($A1121:B1140), B1120&amp;RIGHT(INDIRECT(ADDRESS(ROW(B1121)-1, 'From Order'!$A1121)), 1), B1120))"),"ZLPDSDJDBSBZHMFBTMGTSV")</f>
        <v>ZLPDSDJDBSBZHMFBTMGTSV</v>
      </c>
      <c r="C1121" s="2" t="str">
        <f>IFERROR(__xludf.DUMMYFUNCTION("IF('From Order'!$A1121=COLUMNS($A1121:C1140), LEFT(INDEX(FILTER(C$1:C1120, C$1:C1120&lt;&gt;""""),COUNTA(FILTER(C$1:C1120, C$1:C1120&lt;&gt;""""))), LEN(INDEX(FILTER(C$1:C1120, C$1:C1120&lt;&gt;""""),COUNTA(FILTER(C$1:C1120, C$1:C1120&lt;&gt;""""))))-1), IF('To Order'!$A1121=COL"&amp;"UMNS($A1121:C1140), C1120&amp;RIGHT(INDIRECT(ADDRESS(ROW(C1121)-1, 'From Order'!$A1121)), 1), C1120))"),"TRLRSGHWQVQJPP")</f>
        <v>TRLRSGHWQVQJPP</v>
      </c>
      <c r="D1121" s="2" t="str">
        <f>IFERROR(__xludf.DUMMYFUNCTION("IF('From Order'!$A1121=COLUMNS($A1121:D1140), LEFT(INDEX(FILTER(D$1:D1120, D$1:D1120&lt;&gt;""""),COUNTA(FILTER(D$1:D1120, D$1:D1120&lt;&gt;""""))), LEN(INDEX(FILTER(D$1:D1120, D$1:D1120&lt;&gt;""""),COUNTA(FILTER(D$1:D1120, D$1:D1120&lt;&gt;""""))))-1), IF('To Order'!$A1121=COL"&amp;"UMNS($A1121:D1140), D1120&amp;RIGHT(INDIRECT(ADDRESS(ROW(D1121)-1, 'From Order'!$A1121)), 1), D1120))"),"")</f>
        <v/>
      </c>
      <c r="E1121" s="2" t="str">
        <f>IFERROR(__xludf.DUMMYFUNCTION("IF('From Order'!$A1121=COLUMNS($A1121:E1140), LEFT(INDEX(FILTER(E$1:E1120, E$1:E1120&lt;&gt;""""),COUNTA(FILTER(E$1:E1120, E$1:E1120&lt;&gt;""""))), LEN(INDEX(FILTER(E$1:E1120, E$1:E1120&lt;&gt;""""),COUNTA(FILTER(E$1:E1120, E$1:E1120&lt;&gt;""""))))-1), IF('To Order'!$A1121=COL"&amp;"UMNS($A1121:E1140), E1120&amp;RIGHT(INDIRECT(ADDRESS(ROW(E1121)-1, 'From Order'!$A1121)), 1), E1120))"),"")</f>
        <v/>
      </c>
      <c r="F1121" s="2" t="str">
        <f>IFERROR(__xludf.DUMMYFUNCTION("IF('From Order'!$A1121=COLUMNS($A1121:F1140), LEFT(INDEX(FILTER(F$1:F1120, F$1:F1120&lt;&gt;""""),COUNTA(FILTER(F$1:F1120, F$1:F1120&lt;&gt;""""))), LEN(INDEX(FILTER(F$1:F1120, F$1:F1120&lt;&gt;""""),COUNTA(FILTER(F$1:F1120, F$1:F1120&lt;&gt;""""))))-1), IF('To Order'!$A1121=COL"&amp;"UMNS($A1121:F1140), F1120&amp;RIGHT(INDIRECT(ADDRESS(ROW(F1121)-1, 'From Order'!$A1121)), 1), F1120))"),"")</f>
        <v/>
      </c>
      <c r="G1121" s="2" t="str">
        <f>IFERROR(__xludf.DUMMYFUNCTION("IF('From Order'!$A1121=COLUMNS($A1121:G1140), LEFT(INDEX(FILTER(G$1:G1120, G$1:G1120&lt;&gt;""""),COUNTA(FILTER(G$1:G1120, G$1:G1120&lt;&gt;""""))), LEN(INDEX(FILTER(G$1:G1120, G$1:G1120&lt;&gt;""""),COUNTA(FILTER(G$1:G1120, G$1:G1120&lt;&gt;""""))))-1), IF('To Order'!$A1121=COL"&amp;"UMNS($A1121:G1140), G1120&amp;RIGHT(INDIRECT(ADDRESS(ROW(G1121)-1, 'From Order'!$A1121)), 1), G1120))"),"")</f>
        <v/>
      </c>
      <c r="H1121" s="2" t="str">
        <f>IFERROR(__xludf.DUMMYFUNCTION("IF('From Order'!$A1121=COLUMNS($A1121:H1140), LEFT(INDEX(FILTER(H$1:H1120, H$1:H1120&lt;&gt;""""),COUNTA(FILTER(H$1:H1120, H$1:H1120&lt;&gt;""""))), LEN(INDEX(FILTER(H$1:H1120, H$1:H1120&lt;&gt;""""),COUNTA(FILTER(H$1:H1120, H$1:H1120&lt;&gt;""""))))-1), IF('To Order'!$A1121=COL"&amp;"UMNS($A1121:H1140), H1120&amp;RIGHT(INDIRECT(ADDRESS(ROW(H1121)-1, 'From Order'!$A1121)), 1), H1120))"),"")</f>
        <v/>
      </c>
      <c r="I1121" s="2" t="str">
        <f>IFERROR(__xludf.DUMMYFUNCTION("IF('From Order'!$A1121=COLUMNS($A1121:I1140), LEFT(INDEX(FILTER(I$1:I1120, I$1:I1120&lt;&gt;""""),COUNTA(FILTER(I$1:I1120, I$1:I1120&lt;&gt;""""))), LEN(INDEX(FILTER(I$1:I1120, I$1:I1120&lt;&gt;""""),COUNTA(FILTER(I$1:I1120, I$1:I1120&lt;&gt;""""))))-1), IF('To Order'!$A1121=COL"&amp;"UMNS($A1121:I1140), I1120&amp;RIGHT(INDIRECT(ADDRESS(ROW(I1121)-1, 'From Order'!$A1121)), 1), I1120))"),"JCVZRDCRCTMRWTDTDL")</f>
        <v>JCVZRDCRCTMRWTDTDL</v>
      </c>
    </row>
    <row r="1122">
      <c r="A1122" s="2" t="str">
        <f>IFERROR(__xludf.DUMMYFUNCTION("IF('From Order'!$A1122=COLUMNS($A1122:A1141), LEFT(INDEX(FILTER(A$1:A1121, A$1:A1121&lt;&gt;""""),COUNTA(FILTER(A$1:A1121, A$1:A1121&lt;&gt;""""))), LEN(INDEX(FILTER(A$1:A1121, A$1:A1121&lt;&gt;""""),COUNTA(FILTER(A$1:A1121, A$1:A1121&lt;&gt;""""))))-1), IF('To Order'!$A1122=COL"&amp;"UMNS($A1122:A1141), A1121&amp;RIGHT(INDIRECT(ADDRESS(ROW(A1122)-1, 'From Order'!$A1122)), 1), A1121))"),"F")</f>
        <v>F</v>
      </c>
      <c r="B1122" s="2" t="str">
        <f>IFERROR(__xludf.DUMMYFUNCTION("IF('From Order'!$A1122=COLUMNS($A1122:B1141), LEFT(INDEX(FILTER(B$1:B1121, B$1:B1121&lt;&gt;""""),COUNTA(FILTER(B$1:B1121, B$1:B1121&lt;&gt;""""))), LEN(INDEX(FILTER(B$1:B1121, B$1:B1121&lt;&gt;""""),COUNTA(FILTER(B$1:B1121, B$1:B1121&lt;&gt;""""))))-1), IF('To Order'!$A1122=COL"&amp;"UMNS($A1122:B1141), B1121&amp;RIGHT(INDIRECT(ADDRESS(ROW(B1122)-1, 'From Order'!$A1122)), 1), B1121))"),"ZLPDSDJDBSBZHMFBTMGTSVB")</f>
        <v>ZLPDSDJDBSBZHMFBTMGTSVB</v>
      </c>
      <c r="C1122" s="2" t="str">
        <f>IFERROR(__xludf.DUMMYFUNCTION("IF('From Order'!$A1122=COLUMNS($A1122:C1141), LEFT(INDEX(FILTER(C$1:C1121, C$1:C1121&lt;&gt;""""),COUNTA(FILTER(C$1:C1121, C$1:C1121&lt;&gt;""""))), LEN(INDEX(FILTER(C$1:C1121, C$1:C1121&lt;&gt;""""),COUNTA(FILTER(C$1:C1121, C$1:C1121&lt;&gt;""""))))-1), IF('To Order'!$A1122=COL"&amp;"UMNS($A1122:C1141), C1121&amp;RIGHT(INDIRECT(ADDRESS(ROW(C1122)-1, 'From Order'!$A1122)), 1), C1121))"),"TRLRSGHWQVQJPP")</f>
        <v>TRLRSGHWQVQJPP</v>
      </c>
      <c r="D1122" s="2" t="str">
        <f>IFERROR(__xludf.DUMMYFUNCTION("IF('From Order'!$A1122=COLUMNS($A1122:D1141), LEFT(INDEX(FILTER(D$1:D1121, D$1:D1121&lt;&gt;""""),COUNTA(FILTER(D$1:D1121, D$1:D1121&lt;&gt;""""))), LEN(INDEX(FILTER(D$1:D1121, D$1:D1121&lt;&gt;""""),COUNTA(FILTER(D$1:D1121, D$1:D1121&lt;&gt;""""))))-1), IF('To Order'!$A1122=COL"&amp;"UMNS($A1122:D1141), D1121&amp;RIGHT(INDIRECT(ADDRESS(ROW(D1122)-1, 'From Order'!$A1122)), 1), D1121))"),"")</f>
        <v/>
      </c>
      <c r="E1122" s="2" t="str">
        <f>IFERROR(__xludf.DUMMYFUNCTION("IF('From Order'!$A1122=COLUMNS($A1122:E1141), LEFT(INDEX(FILTER(E$1:E1121, E$1:E1121&lt;&gt;""""),COUNTA(FILTER(E$1:E1121, E$1:E1121&lt;&gt;""""))), LEN(INDEX(FILTER(E$1:E1121, E$1:E1121&lt;&gt;""""),COUNTA(FILTER(E$1:E1121, E$1:E1121&lt;&gt;""""))))-1), IF('To Order'!$A1122=COL"&amp;"UMNS($A1122:E1141), E1121&amp;RIGHT(INDIRECT(ADDRESS(ROW(E1122)-1, 'From Order'!$A1122)), 1), E1121))"),"")</f>
        <v/>
      </c>
      <c r="F1122" s="2" t="str">
        <f>IFERROR(__xludf.DUMMYFUNCTION("IF('From Order'!$A1122=COLUMNS($A1122:F1141), LEFT(INDEX(FILTER(F$1:F1121, F$1:F1121&lt;&gt;""""),COUNTA(FILTER(F$1:F1121, F$1:F1121&lt;&gt;""""))), LEN(INDEX(FILTER(F$1:F1121, F$1:F1121&lt;&gt;""""),COUNTA(FILTER(F$1:F1121, F$1:F1121&lt;&gt;""""))))-1), IF('To Order'!$A1122=COL"&amp;"UMNS($A1122:F1141), F1121&amp;RIGHT(INDIRECT(ADDRESS(ROW(F1122)-1, 'From Order'!$A1122)), 1), F1121))"),"")</f>
        <v/>
      </c>
      <c r="G1122" s="2" t="str">
        <f>IFERROR(__xludf.DUMMYFUNCTION("IF('From Order'!$A1122=COLUMNS($A1122:G1141), LEFT(INDEX(FILTER(G$1:G1121, G$1:G1121&lt;&gt;""""),COUNTA(FILTER(G$1:G1121, G$1:G1121&lt;&gt;""""))), LEN(INDEX(FILTER(G$1:G1121, G$1:G1121&lt;&gt;""""),COUNTA(FILTER(G$1:G1121, G$1:G1121&lt;&gt;""""))))-1), IF('To Order'!$A1122=COL"&amp;"UMNS($A1122:G1141), G1121&amp;RIGHT(INDIRECT(ADDRESS(ROW(G1122)-1, 'From Order'!$A1122)), 1), G1121))"),"")</f>
        <v/>
      </c>
      <c r="H1122" s="2" t="str">
        <f>IFERROR(__xludf.DUMMYFUNCTION("IF('From Order'!$A1122=COLUMNS($A1122:H1141), LEFT(INDEX(FILTER(H$1:H1121, H$1:H1121&lt;&gt;""""),COUNTA(FILTER(H$1:H1121, H$1:H1121&lt;&gt;""""))), LEN(INDEX(FILTER(H$1:H1121, H$1:H1121&lt;&gt;""""),COUNTA(FILTER(H$1:H1121, H$1:H1121&lt;&gt;""""))))-1), IF('To Order'!$A1122=COL"&amp;"UMNS($A1122:H1141), H1121&amp;RIGHT(INDIRECT(ADDRESS(ROW(H1122)-1, 'From Order'!$A1122)), 1), H1121))"),"")</f>
        <v/>
      </c>
      <c r="I1122" s="2" t="str">
        <f>IFERROR(__xludf.DUMMYFUNCTION("IF('From Order'!$A1122=COLUMNS($A1122:I1141), LEFT(INDEX(FILTER(I$1:I1121, I$1:I1121&lt;&gt;""""),COUNTA(FILTER(I$1:I1121, I$1:I1121&lt;&gt;""""))), LEN(INDEX(FILTER(I$1:I1121, I$1:I1121&lt;&gt;""""),COUNTA(FILTER(I$1:I1121, I$1:I1121&lt;&gt;""""))))-1), IF('To Order'!$A1122=COL"&amp;"UMNS($A1122:I1141), I1121&amp;RIGHT(INDIRECT(ADDRESS(ROW(I1122)-1, 'From Order'!$A1122)), 1), I1121))"),"JCVZRDCRCTMRWTDTDL")</f>
        <v>JCVZRDCRCTMRWTDTDL</v>
      </c>
    </row>
    <row r="1123">
      <c r="A1123" s="2" t="str">
        <f>IFERROR(__xludf.DUMMYFUNCTION("IF('From Order'!$A1123=COLUMNS($A1123:A1142), LEFT(INDEX(FILTER(A$1:A1122, A$1:A1122&lt;&gt;""""),COUNTA(FILTER(A$1:A1122, A$1:A1122&lt;&gt;""""))), LEN(INDEX(FILTER(A$1:A1122, A$1:A1122&lt;&gt;""""),COUNTA(FILTER(A$1:A1122, A$1:A1122&lt;&gt;""""))))-1), IF('To Order'!$A1123=COL"&amp;"UMNS($A1123:A1142), A1122&amp;RIGHT(INDIRECT(ADDRESS(ROW(A1123)-1, 'From Order'!$A1123)), 1), A1122))"),"F")</f>
        <v>F</v>
      </c>
      <c r="B1123" s="2" t="str">
        <f>IFERROR(__xludf.DUMMYFUNCTION("IF('From Order'!$A1123=COLUMNS($A1123:B1142), LEFT(INDEX(FILTER(B$1:B1122, B$1:B1122&lt;&gt;""""),COUNTA(FILTER(B$1:B1122, B$1:B1122&lt;&gt;""""))), LEN(INDEX(FILTER(B$1:B1122, B$1:B1122&lt;&gt;""""),COUNTA(FILTER(B$1:B1122, B$1:B1122&lt;&gt;""""))))-1), IF('To Order'!$A1123=COL"&amp;"UMNS($A1123:B1142), B1122&amp;RIGHT(INDIRECT(ADDRESS(ROW(B1123)-1, 'From Order'!$A1123)), 1), B1122))"),"ZLPDSDJDBSBZHMFBTMGTSV")</f>
        <v>ZLPDSDJDBSBZHMFBTMGTSV</v>
      </c>
      <c r="C1123" s="2" t="str">
        <f>IFERROR(__xludf.DUMMYFUNCTION("IF('From Order'!$A1123=COLUMNS($A1123:C1142), LEFT(INDEX(FILTER(C$1:C1122, C$1:C1122&lt;&gt;""""),COUNTA(FILTER(C$1:C1122, C$1:C1122&lt;&gt;""""))), LEN(INDEX(FILTER(C$1:C1122, C$1:C1122&lt;&gt;""""),COUNTA(FILTER(C$1:C1122, C$1:C1122&lt;&gt;""""))))-1), IF('To Order'!$A1123=COL"&amp;"UMNS($A1123:C1142), C1122&amp;RIGHT(INDIRECT(ADDRESS(ROW(C1123)-1, 'From Order'!$A1123)), 1), C1122))"),"TRLRSGHWQVQJPP")</f>
        <v>TRLRSGHWQVQJPP</v>
      </c>
      <c r="D1123" s="2" t="str">
        <f>IFERROR(__xludf.DUMMYFUNCTION("IF('From Order'!$A1123=COLUMNS($A1123:D1142), LEFT(INDEX(FILTER(D$1:D1122, D$1:D1122&lt;&gt;""""),COUNTA(FILTER(D$1:D1122, D$1:D1122&lt;&gt;""""))), LEN(INDEX(FILTER(D$1:D1122, D$1:D1122&lt;&gt;""""),COUNTA(FILTER(D$1:D1122, D$1:D1122&lt;&gt;""""))))-1), IF('To Order'!$A1123=COL"&amp;"UMNS($A1123:D1142), D1122&amp;RIGHT(INDIRECT(ADDRESS(ROW(D1123)-1, 'From Order'!$A1123)), 1), D1122))"),"")</f>
        <v/>
      </c>
      <c r="E1123" s="2" t="str">
        <f>IFERROR(__xludf.DUMMYFUNCTION("IF('From Order'!$A1123=COLUMNS($A1123:E1142), LEFT(INDEX(FILTER(E$1:E1122, E$1:E1122&lt;&gt;""""),COUNTA(FILTER(E$1:E1122, E$1:E1122&lt;&gt;""""))), LEN(INDEX(FILTER(E$1:E1122, E$1:E1122&lt;&gt;""""),COUNTA(FILTER(E$1:E1122, E$1:E1122&lt;&gt;""""))))-1), IF('To Order'!$A1123=COL"&amp;"UMNS($A1123:E1142), E1122&amp;RIGHT(INDIRECT(ADDRESS(ROW(E1123)-1, 'From Order'!$A1123)), 1), E1122))"),"")</f>
        <v/>
      </c>
      <c r="F1123" s="2" t="str">
        <f>IFERROR(__xludf.DUMMYFUNCTION("IF('From Order'!$A1123=COLUMNS($A1123:F1142), LEFT(INDEX(FILTER(F$1:F1122, F$1:F1122&lt;&gt;""""),COUNTA(FILTER(F$1:F1122, F$1:F1122&lt;&gt;""""))), LEN(INDEX(FILTER(F$1:F1122, F$1:F1122&lt;&gt;""""),COUNTA(FILTER(F$1:F1122, F$1:F1122&lt;&gt;""""))))-1), IF('To Order'!$A1123=COL"&amp;"UMNS($A1123:F1142), F1122&amp;RIGHT(INDIRECT(ADDRESS(ROW(F1123)-1, 'From Order'!$A1123)), 1), F1122))"),"")</f>
        <v/>
      </c>
      <c r="G1123" s="2" t="str">
        <f>IFERROR(__xludf.DUMMYFUNCTION("IF('From Order'!$A1123=COLUMNS($A1123:G1142), LEFT(INDEX(FILTER(G$1:G1122, G$1:G1122&lt;&gt;""""),COUNTA(FILTER(G$1:G1122, G$1:G1122&lt;&gt;""""))), LEN(INDEX(FILTER(G$1:G1122, G$1:G1122&lt;&gt;""""),COUNTA(FILTER(G$1:G1122, G$1:G1122&lt;&gt;""""))))-1), IF('To Order'!$A1123=COL"&amp;"UMNS($A1123:G1142), G1122&amp;RIGHT(INDIRECT(ADDRESS(ROW(G1123)-1, 'From Order'!$A1123)), 1), G1122))"),"B")</f>
        <v>B</v>
      </c>
      <c r="H1123" s="2" t="str">
        <f>IFERROR(__xludf.DUMMYFUNCTION("IF('From Order'!$A1123=COLUMNS($A1123:H1142), LEFT(INDEX(FILTER(H$1:H1122, H$1:H1122&lt;&gt;""""),COUNTA(FILTER(H$1:H1122, H$1:H1122&lt;&gt;""""))), LEN(INDEX(FILTER(H$1:H1122, H$1:H1122&lt;&gt;""""),COUNTA(FILTER(H$1:H1122, H$1:H1122&lt;&gt;""""))))-1), IF('To Order'!$A1123=COL"&amp;"UMNS($A1123:H1142), H1122&amp;RIGHT(INDIRECT(ADDRESS(ROW(H1123)-1, 'From Order'!$A1123)), 1), H1122))"),"")</f>
        <v/>
      </c>
      <c r="I1123" s="2" t="str">
        <f>IFERROR(__xludf.DUMMYFUNCTION("IF('From Order'!$A1123=COLUMNS($A1123:I1142), LEFT(INDEX(FILTER(I$1:I1122, I$1:I1122&lt;&gt;""""),COUNTA(FILTER(I$1:I1122, I$1:I1122&lt;&gt;""""))), LEN(INDEX(FILTER(I$1:I1122, I$1:I1122&lt;&gt;""""),COUNTA(FILTER(I$1:I1122, I$1:I1122&lt;&gt;""""))))-1), IF('To Order'!$A1123=COL"&amp;"UMNS($A1123:I1142), I1122&amp;RIGHT(INDIRECT(ADDRESS(ROW(I1123)-1, 'From Order'!$A1123)), 1), I1122))"),"JCVZRDCRCTMRWTDTDL")</f>
        <v>JCVZRDCRCTMRWTDTDL</v>
      </c>
    </row>
    <row r="1124">
      <c r="A1124" s="2" t="str">
        <f>IFERROR(__xludf.DUMMYFUNCTION("IF('From Order'!$A1124=COLUMNS($A1124:A1143), LEFT(INDEX(FILTER(A$1:A1123, A$1:A1123&lt;&gt;""""),COUNTA(FILTER(A$1:A1123, A$1:A1123&lt;&gt;""""))), LEN(INDEX(FILTER(A$1:A1123, A$1:A1123&lt;&gt;""""),COUNTA(FILTER(A$1:A1123, A$1:A1123&lt;&gt;""""))))-1), IF('To Order'!$A1124=COL"&amp;"UMNS($A1124:A1143), A1123&amp;RIGHT(INDIRECT(ADDRESS(ROW(A1124)-1, 'From Order'!$A1124)), 1), A1123))"),"F")</f>
        <v>F</v>
      </c>
      <c r="B1124" s="2" t="str">
        <f>IFERROR(__xludf.DUMMYFUNCTION("IF('From Order'!$A1124=COLUMNS($A1124:B1143), LEFT(INDEX(FILTER(B$1:B1123, B$1:B1123&lt;&gt;""""),COUNTA(FILTER(B$1:B1123, B$1:B1123&lt;&gt;""""))), LEN(INDEX(FILTER(B$1:B1123, B$1:B1123&lt;&gt;""""),COUNTA(FILTER(B$1:B1123, B$1:B1123&lt;&gt;""""))))-1), IF('To Order'!$A1124=COL"&amp;"UMNS($A1124:B1143), B1123&amp;RIGHT(INDIRECT(ADDRESS(ROW(B1124)-1, 'From Order'!$A1124)), 1), B1123))"),"ZLPDSDJDBSBZHMFBTMGTS")</f>
        <v>ZLPDSDJDBSBZHMFBTMGTS</v>
      </c>
      <c r="C1124" s="2" t="str">
        <f>IFERROR(__xludf.DUMMYFUNCTION("IF('From Order'!$A1124=COLUMNS($A1124:C1143), LEFT(INDEX(FILTER(C$1:C1123, C$1:C1123&lt;&gt;""""),COUNTA(FILTER(C$1:C1123, C$1:C1123&lt;&gt;""""))), LEN(INDEX(FILTER(C$1:C1123, C$1:C1123&lt;&gt;""""),COUNTA(FILTER(C$1:C1123, C$1:C1123&lt;&gt;""""))))-1), IF('To Order'!$A1124=COL"&amp;"UMNS($A1124:C1143), C1123&amp;RIGHT(INDIRECT(ADDRESS(ROW(C1124)-1, 'From Order'!$A1124)), 1), C1123))"),"TRLRSGHWQVQJPP")</f>
        <v>TRLRSGHWQVQJPP</v>
      </c>
      <c r="D1124" s="2" t="str">
        <f>IFERROR(__xludf.DUMMYFUNCTION("IF('From Order'!$A1124=COLUMNS($A1124:D1143), LEFT(INDEX(FILTER(D$1:D1123, D$1:D1123&lt;&gt;""""),COUNTA(FILTER(D$1:D1123, D$1:D1123&lt;&gt;""""))), LEN(INDEX(FILTER(D$1:D1123, D$1:D1123&lt;&gt;""""),COUNTA(FILTER(D$1:D1123, D$1:D1123&lt;&gt;""""))))-1), IF('To Order'!$A1124=COL"&amp;"UMNS($A1124:D1143), D1123&amp;RIGHT(INDIRECT(ADDRESS(ROW(D1124)-1, 'From Order'!$A1124)), 1), D1123))"),"")</f>
        <v/>
      </c>
      <c r="E1124" s="2" t="str">
        <f>IFERROR(__xludf.DUMMYFUNCTION("IF('From Order'!$A1124=COLUMNS($A1124:E1143), LEFT(INDEX(FILTER(E$1:E1123, E$1:E1123&lt;&gt;""""),COUNTA(FILTER(E$1:E1123, E$1:E1123&lt;&gt;""""))), LEN(INDEX(FILTER(E$1:E1123, E$1:E1123&lt;&gt;""""),COUNTA(FILTER(E$1:E1123, E$1:E1123&lt;&gt;""""))))-1), IF('To Order'!$A1124=COL"&amp;"UMNS($A1124:E1143), E1123&amp;RIGHT(INDIRECT(ADDRESS(ROW(E1124)-1, 'From Order'!$A1124)), 1), E1123))"),"")</f>
        <v/>
      </c>
      <c r="F1124" s="2" t="str">
        <f>IFERROR(__xludf.DUMMYFUNCTION("IF('From Order'!$A1124=COLUMNS($A1124:F1143), LEFT(INDEX(FILTER(F$1:F1123, F$1:F1123&lt;&gt;""""),COUNTA(FILTER(F$1:F1123, F$1:F1123&lt;&gt;""""))), LEN(INDEX(FILTER(F$1:F1123, F$1:F1123&lt;&gt;""""),COUNTA(FILTER(F$1:F1123, F$1:F1123&lt;&gt;""""))))-1), IF('To Order'!$A1124=COL"&amp;"UMNS($A1124:F1143), F1123&amp;RIGHT(INDIRECT(ADDRESS(ROW(F1124)-1, 'From Order'!$A1124)), 1), F1123))"),"")</f>
        <v/>
      </c>
      <c r="G1124" s="2" t="str">
        <f>IFERROR(__xludf.DUMMYFUNCTION("IF('From Order'!$A1124=COLUMNS($A1124:G1143), LEFT(INDEX(FILTER(G$1:G1123, G$1:G1123&lt;&gt;""""),COUNTA(FILTER(G$1:G1123, G$1:G1123&lt;&gt;""""))), LEN(INDEX(FILTER(G$1:G1123, G$1:G1123&lt;&gt;""""),COUNTA(FILTER(G$1:G1123, G$1:G1123&lt;&gt;""""))))-1), IF('To Order'!$A1124=COL"&amp;"UMNS($A1124:G1143), G1123&amp;RIGHT(INDIRECT(ADDRESS(ROW(G1124)-1, 'From Order'!$A1124)), 1), G1123))"),"BV")</f>
        <v>BV</v>
      </c>
      <c r="H1124" s="2" t="str">
        <f>IFERROR(__xludf.DUMMYFUNCTION("IF('From Order'!$A1124=COLUMNS($A1124:H1143), LEFT(INDEX(FILTER(H$1:H1123, H$1:H1123&lt;&gt;""""),COUNTA(FILTER(H$1:H1123, H$1:H1123&lt;&gt;""""))), LEN(INDEX(FILTER(H$1:H1123, H$1:H1123&lt;&gt;""""),COUNTA(FILTER(H$1:H1123, H$1:H1123&lt;&gt;""""))))-1), IF('To Order'!$A1124=COL"&amp;"UMNS($A1124:H1143), H1123&amp;RIGHT(INDIRECT(ADDRESS(ROW(H1124)-1, 'From Order'!$A1124)), 1), H1123))"),"")</f>
        <v/>
      </c>
      <c r="I1124" s="2" t="str">
        <f>IFERROR(__xludf.DUMMYFUNCTION("IF('From Order'!$A1124=COLUMNS($A1124:I1143), LEFT(INDEX(FILTER(I$1:I1123, I$1:I1123&lt;&gt;""""),COUNTA(FILTER(I$1:I1123, I$1:I1123&lt;&gt;""""))), LEN(INDEX(FILTER(I$1:I1123, I$1:I1123&lt;&gt;""""),COUNTA(FILTER(I$1:I1123, I$1:I1123&lt;&gt;""""))))-1), IF('To Order'!$A1124=COL"&amp;"UMNS($A1124:I1143), I1123&amp;RIGHT(INDIRECT(ADDRESS(ROW(I1124)-1, 'From Order'!$A1124)), 1), I1123))"),"JCVZRDCRCTMRWTDTDL")</f>
        <v>JCVZRDCRCTMRWTDTDL</v>
      </c>
    </row>
    <row r="1125">
      <c r="A1125" s="2" t="str">
        <f>IFERROR(__xludf.DUMMYFUNCTION("IF('From Order'!$A1125=COLUMNS($A1125:A1144), LEFT(INDEX(FILTER(A$1:A1124, A$1:A1124&lt;&gt;""""),COUNTA(FILTER(A$1:A1124, A$1:A1124&lt;&gt;""""))), LEN(INDEX(FILTER(A$1:A1124, A$1:A1124&lt;&gt;""""),COUNTA(FILTER(A$1:A1124, A$1:A1124&lt;&gt;""""))))-1), IF('To Order'!$A1125=COL"&amp;"UMNS($A1125:A1144), A1124&amp;RIGHT(INDIRECT(ADDRESS(ROW(A1125)-1, 'From Order'!$A1125)), 1), A1124))"),"F")</f>
        <v>F</v>
      </c>
      <c r="B1125" s="2" t="str">
        <f>IFERROR(__xludf.DUMMYFUNCTION("IF('From Order'!$A1125=COLUMNS($A1125:B1144), LEFT(INDEX(FILTER(B$1:B1124, B$1:B1124&lt;&gt;""""),COUNTA(FILTER(B$1:B1124, B$1:B1124&lt;&gt;""""))), LEN(INDEX(FILTER(B$1:B1124, B$1:B1124&lt;&gt;""""),COUNTA(FILTER(B$1:B1124, B$1:B1124&lt;&gt;""""))))-1), IF('To Order'!$A1125=COL"&amp;"UMNS($A1125:B1144), B1124&amp;RIGHT(INDIRECT(ADDRESS(ROW(B1125)-1, 'From Order'!$A1125)), 1), B1124))"),"ZLPDSDJDBSBZHMFBTMGT")</f>
        <v>ZLPDSDJDBSBZHMFBTMGT</v>
      </c>
      <c r="C1125" s="2" t="str">
        <f>IFERROR(__xludf.DUMMYFUNCTION("IF('From Order'!$A1125=COLUMNS($A1125:C1144), LEFT(INDEX(FILTER(C$1:C1124, C$1:C1124&lt;&gt;""""),COUNTA(FILTER(C$1:C1124, C$1:C1124&lt;&gt;""""))), LEN(INDEX(FILTER(C$1:C1124, C$1:C1124&lt;&gt;""""),COUNTA(FILTER(C$1:C1124, C$1:C1124&lt;&gt;""""))))-1), IF('To Order'!$A1125=COL"&amp;"UMNS($A1125:C1144), C1124&amp;RIGHT(INDIRECT(ADDRESS(ROW(C1125)-1, 'From Order'!$A1125)), 1), C1124))"),"TRLRSGHWQVQJPP")</f>
        <v>TRLRSGHWQVQJPP</v>
      </c>
      <c r="D1125" s="2" t="str">
        <f>IFERROR(__xludf.DUMMYFUNCTION("IF('From Order'!$A1125=COLUMNS($A1125:D1144), LEFT(INDEX(FILTER(D$1:D1124, D$1:D1124&lt;&gt;""""),COUNTA(FILTER(D$1:D1124, D$1:D1124&lt;&gt;""""))), LEN(INDEX(FILTER(D$1:D1124, D$1:D1124&lt;&gt;""""),COUNTA(FILTER(D$1:D1124, D$1:D1124&lt;&gt;""""))))-1), IF('To Order'!$A1125=COL"&amp;"UMNS($A1125:D1144), D1124&amp;RIGHT(INDIRECT(ADDRESS(ROW(D1125)-1, 'From Order'!$A1125)), 1), D1124))"),"")</f>
        <v/>
      </c>
      <c r="E1125" s="2" t="str">
        <f>IFERROR(__xludf.DUMMYFUNCTION("IF('From Order'!$A1125=COLUMNS($A1125:E1144), LEFT(INDEX(FILTER(E$1:E1124, E$1:E1124&lt;&gt;""""),COUNTA(FILTER(E$1:E1124, E$1:E1124&lt;&gt;""""))), LEN(INDEX(FILTER(E$1:E1124, E$1:E1124&lt;&gt;""""),COUNTA(FILTER(E$1:E1124, E$1:E1124&lt;&gt;""""))))-1), IF('To Order'!$A1125=COL"&amp;"UMNS($A1125:E1144), E1124&amp;RIGHT(INDIRECT(ADDRESS(ROW(E1125)-1, 'From Order'!$A1125)), 1), E1124))"),"")</f>
        <v/>
      </c>
      <c r="F1125" s="2" t="str">
        <f>IFERROR(__xludf.DUMMYFUNCTION("IF('From Order'!$A1125=COLUMNS($A1125:F1144), LEFT(INDEX(FILTER(F$1:F1124, F$1:F1124&lt;&gt;""""),COUNTA(FILTER(F$1:F1124, F$1:F1124&lt;&gt;""""))), LEN(INDEX(FILTER(F$1:F1124, F$1:F1124&lt;&gt;""""),COUNTA(FILTER(F$1:F1124, F$1:F1124&lt;&gt;""""))))-1), IF('To Order'!$A1125=COL"&amp;"UMNS($A1125:F1144), F1124&amp;RIGHT(INDIRECT(ADDRESS(ROW(F1125)-1, 'From Order'!$A1125)), 1), F1124))"),"")</f>
        <v/>
      </c>
      <c r="G1125" s="2" t="str">
        <f>IFERROR(__xludf.DUMMYFUNCTION("IF('From Order'!$A1125=COLUMNS($A1125:G1144), LEFT(INDEX(FILTER(G$1:G1124, G$1:G1124&lt;&gt;""""),COUNTA(FILTER(G$1:G1124, G$1:G1124&lt;&gt;""""))), LEN(INDEX(FILTER(G$1:G1124, G$1:G1124&lt;&gt;""""),COUNTA(FILTER(G$1:G1124, G$1:G1124&lt;&gt;""""))))-1), IF('To Order'!$A1125=COL"&amp;"UMNS($A1125:G1144), G1124&amp;RIGHT(INDIRECT(ADDRESS(ROW(G1125)-1, 'From Order'!$A1125)), 1), G1124))"),"BVS")</f>
        <v>BVS</v>
      </c>
      <c r="H1125" s="2" t="str">
        <f>IFERROR(__xludf.DUMMYFUNCTION("IF('From Order'!$A1125=COLUMNS($A1125:H1144), LEFT(INDEX(FILTER(H$1:H1124, H$1:H1124&lt;&gt;""""),COUNTA(FILTER(H$1:H1124, H$1:H1124&lt;&gt;""""))), LEN(INDEX(FILTER(H$1:H1124, H$1:H1124&lt;&gt;""""),COUNTA(FILTER(H$1:H1124, H$1:H1124&lt;&gt;""""))))-1), IF('To Order'!$A1125=COL"&amp;"UMNS($A1125:H1144), H1124&amp;RIGHT(INDIRECT(ADDRESS(ROW(H1125)-1, 'From Order'!$A1125)), 1), H1124))"),"")</f>
        <v/>
      </c>
      <c r="I1125" s="2" t="str">
        <f>IFERROR(__xludf.DUMMYFUNCTION("IF('From Order'!$A1125=COLUMNS($A1125:I1144), LEFT(INDEX(FILTER(I$1:I1124, I$1:I1124&lt;&gt;""""),COUNTA(FILTER(I$1:I1124, I$1:I1124&lt;&gt;""""))), LEN(INDEX(FILTER(I$1:I1124, I$1:I1124&lt;&gt;""""),COUNTA(FILTER(I$1:I1124, I$1:I1124&lt;&gt;""""))))-1), IF('To Order'!$A1125=COL"&amp;"UMNS($A1125:I1144), I1124&amp;RIGHT(INDIRECT(ADDRESS(ROW(I1125)-1, 'From Order'!$A1125)), 1), I1124))"),"JCVZRDCRCTMRWTDTDL")</f>
        <v>JCVZRDCRCTMRWTDTDL</v>
      </c>
    </row>
    <row r="1126">
      <c r="A1126" s="2" t="str">
        <f>IFERROR(__xludf.DUMMYFUNCTION("IF('From Order'!$A1126=COLUMNS($A1126:A1145), LEFT(INDEX(FILTER(A$1:A1125, A$1:A1125&lt;&gt;""""),COUNTA(FILTER(A$1:A1125, A$1:A1125&lt;&gt;""""))), LEN(INDEX(FILTER(A$1:A1125, A$1:A1125&lt;&gt;""""),COUNTA(FILTER(A$1:A1125, A$1:A1125&lt;&gt;""""))))-1), IF('To Order'!$A1126=COL"&amp;"UMNS($A1126:A1145), A1125&amp;RIGHT(INDIRECT(ADDRESS(ROW(A1126)-1, 'From Order'!$A1126)), 1), A1125))"),"F")</f>
        <v>F</v>
      </c>
      <c r="B1126" s="2" t="str">
        <f>IFERROR(__xludf.DUMMYFUNCTION("IF('From Order'!$A1126=COLUMNS($A1126:B1145), LEFT(INDEX(FILTER(B$1:B1125, B$1:B1125&lt;&gt;""""),COUNTA(FILTER(B$1:B1125, B$1:B1125&lt;&gt;""""))), LEN(INDEX(FILTER(B$1:B1125, B$1:B1125&lt;&gt;""""),COUNTA(FILTER(B$1:B1125, B$1:B1125&lt;&gt;""""))))-1), IF('To Order'!$A1126=COL"&amp;"UMNS($A1126:B1145), B1125&amp;RIGHT(INDIRECT(ADDRESS(ROW(B1126)-1, 'From Order'!$A1126)), 1), B1125))"),"ZLPDSDJDBSBZHMFBTMG")</f>
        <v>ZLPDSDJDBSBZHMFBTMG</v>
      </c>
      <c r="C1126" s="2" t="str">
        <f>IFERROR(__xludf.DUMMYFUNCTION("IF('From Order'!$A1126=COLUMNS($A1126:C1145), LEFT(INDEX(FILTER(C$1:C1125, C$1:C1125&lt;&gt;""""),COUNTA(FILTER(C$1:C1125, C$1:C1125&lt;&gt;""""))), LEN(INDEX(FILTER(C$1:C1125, C$1:C1125&lt;&gt;""""),COUNTA(FILTER(C$1:C1125, C$1:C1125&lt;&gt;""""))))-1), IF('To Order'!$A1126=COL"&amp;"UMNS($A1126:C1145), C1125&amp;RIGHT(INDIRECT(ADDRESS(ROW(C1126)-1, 'From Order'!$A1126)), 1), C1125))"),"TRLRSGHWQVQJPP")</f>
        <v>TRLRSGHWQVQJPP</v>
      </c>
      <c r="D1126" s="2" t="str">
        <f>IFERROR(__xludf.DUMMYFUNCTION("IF('From Order'!$A1126=COLUMNS($A1126:D1145), LEFT(INDEX(FILTER(D$1:D1125, D$1:D1125&lt;&gt;""""),COUNTA(FILTER(D$1:D1125, D$1:D1125&lt;&gt;""""))), LEN(INDEX(FILTER(D$1:D1125, D$1:D1125&lt;&gt;""""),COUNTA(FILTER(D$1:D1125, D$1:D1125&lt;&gt;""""))))-1), IF('To Order'!$A1126=COL"&amp;"UMNS($A1126:D1145), D1125&amp;RIGHT(INDIRECT(ADDRESS(ROW(D1126)-1, 'From Order'!$A1126)), 1), D1125))"),"")</f>
        <v/>
      </c>
      <c r="E1126" s="2" t="str">
        <f>IFERROR(__xludf.DUMMYFUNCTION("IF('From Order'!$A1126=COLUMNS($A1126:E1145), LEFT(INDEX(FILTER(E$1:E1125, E$1:E1125&lt;&gt;""""),COUNTA(FILTER(E$1:E1125, E$1:E1125&lt;&gt;""""))), LEN(INDEX(FILTER(E$1:E1125, E$1:E1125&lt;&gt;""""),COUNTA(FILTER(E$1:E1125, E$1:E1125&lt;&gt;""""))))-1), IF('To Order'!$A1126=COL"&amp;"UMNS($A1126:E1145), E1125&amp;RIGHT(INDIRECT(ADDRESS(ROW(E1126)-1, 'From Order'!$A1126)), 1), E1125))"),"")</f>
        <v/>
      </c>
      <c r="F1126" s="2" t="str">
        <f>IFERROR(__xludf.DUMMYFUNCTION("IF('From Order'!$A1126=COLUMNS($A1126:F1145), LEFT(INDEX(FILTER(F$1:F1125, F$1:F1125&lt;&gt;""""),COUNTA(FILTER(F$1:F1125, F$1:F1125&lt;&gt;""""))), LEN(INDEX(FILTER(F$1:F1125, F$1:F1125&lt;&gt;""""),COUNTA(FILTER(F$1:F1125, F$1:F1125&lt;&gt;""""))))-1), IF('To Order'!$A1126=COL"&amp;"UMNS($A1126:F1145), F1125&amp;RIGHT(INDIRECT(ADDRESS(ROW(F1126)-1, 'From Order'!$A1126)), 1), F1125))"),"")</f>
        <v/>
      </c>
      <c r="G1126" s="2" t="str">
        <f>IFERROR(__xludf.DUMMYFUNCTION("IF('From Order'!$A1126=COLUMNS($A1126:G1145), LEFT(INDEX(FILTER(G$1:G1125, G$1:G1125&lt;&gt;""""),COUNTA(FILTER(G$1:G1125, G$1:G1125&lt;&gt;""""))), LEN(INDEX(FILTER(G$1:G1125, G$1:G1125&lt;&gt;""""),COUNTA(FILTER(G$1:G1125, G$1:G1125&lt;&gt;""""))))-1), IF('To Order'!$A1126=COL"&amp;"UMNS($A1126:G1145), G1125&amp;RIGHT(INDIRECT(ADDRESS(ROW(G1126)-1, 'From Order'!$A1126)), 1), G1125))"),"BVST")</f>
        <v>BVST</v>
      </c>
      <c r="H1126" s="2" t="str">
        <f>IFERROR(__xludf.DUMMYFUNCTION("IF('From Order'!$A1126=COLUMNS($A1126:H1145), LEFT(INDEX(FILTER(H$1:H1125, H$1:H1125&lt;&gt;""""),COUNTA(FILTER(H$1:H1125, H$1:H1125&lt;&gt;""""))), LEN(INDEX(FILTER(H$1:H1125, H$1:H1125&lt;&gt;""""),COUNTA(FILTER(H$1:H1125, H$1:H1125&lt;&gt;""""))))-1), IF('To Order'!$A1126=COL"&amp;"UMNS($A1126:H1145), H1125&amp;RIGHT(INDIRECT(ADDRESS(ROW(H1126)-1, 'From Order'!$A1126)), 1), H1125))"),"")</f>
        <v/>
      </c>
      <c r="I1126" s="2" t="str">
        <f>IFERROR(__xludf.DUMMYFUNCTION("IF('From Order'!$A1126=COLUMNS($A1126:I1145), LEFT(INDEX(FILTER(I$1:I1125, I$1:I1125&lt;&gt;""""),COUNTA(FILTER(I$1:I1125, I$1:I1125&lt;&gt;""""))), LEN(INDEX(FILTER(I$1:I1125, I$1:I1125&lt;&gt;""""),COUNTA(FILTER(I$1:I1125, I$1:I1125&lt;&gt;""""))))-1), IF('To Order'!$A1126=COL"&amp;"UMNS($A1126:I1145), I1125&amp;RIGHT(INDIRECT(ADDRESS(ROW(I1126)-1, 'From Order'!$A1126)), 1), I1125))"),"JCVZRDCRCTMRWTDTDL")</f>
        <v>JCVZRDCRCTMRWTDTDL</v>
      </c>
    </row>
    <row r="1127">
      <c r="A1127" s="2" t="str">
        <f>IFERROR(__xludf.DUMMYFUNCTION("IF('From Order'!$A1127=COLUMNS($A1127:A1146), LEFT(INDEX(FILTER(A$1:A1126, A$1:A1126&lt;&gt;""""),COUNTA(FILTER(A$1:A1126, A$1:A1126&lt;&gt;""""))), LEN(INDEX(FILTER(A$1:A1126, A$1:A1126&lt;&gt;""""),COUNTA(FILTER(A$1:A1126, A$1:A1126&lt;&gt;""""))))-1), IF('To Order'!$A1127=COL"&amp;"UMNS($A1127:A1146), A1126&amp;RIGHT(INDIRECT(ADDRESS(ROW(A1127)-1, 'From Order'!$A1127)), 1), A1126))"),"F")</f>
        <v>F</v>
      </c>
      <c r="B1127" s="2" t="str">
        <f>IFERROR(__xludf.DUMMYFUNCTION("IF('From Order'!$A1127=COLUMNS($A1127:B1146), LEFT(INDEX(FILTER(B$1:B1126, B$1:B1126&lt;&gt;""""),COUNTA(FILTER(B$1:B1126, B$1:B1126&lt;&gt;""""))), LEN(INDEX(FILTER(B$1:B1126, B$1:B1126&lt;&gt;""""),COUNTA(FILTER(B$1:B1126, B$1:B1126&lt;&gt;""""))))-1), IF('To Order'!$A1127=COL"&amp;"UMNS($A1127:B1146), B1126&amp;RIGHT(INDIRECT(ADDRESS(ROW(B1127)-1, 'From Order'!$A1127)), 1), B1126))"),"ZLPDSDJDBSBZHMFBTMG")</f>
        <v>ZLPDSDJDBSBZHMFBTMG</v>
      </c>
      <c r="C1127" s="2" t="str">
        <f>IFERROR(__xludf.DUMMYFUNCTION("IF('From Order'!$A1127=COLUMNS($A1127:C1146), LEFT(INDEX(FILTER(C$1:C1126, C$1:C1126&lt;&gt;""""),COUNTA(FILTER(C$1:C1126, C$1:C1126&lt;&gt;""""))), LEN(INDEX(FILTER(C$1:C1126, C$1:C1126&lt;&gt;""""),COUNTA(FILTER(C$1:C1126, C$1:C1126&lt;&gt;""""))))-1), IF('To Order'!$A1127=COL"&amp;"UMNS($A1127:C1146), C1126&amp;RIGHT(INDIRECT(ADDRESS(ROW(C1127)-1, 'From Order'!$A1127)), 1), C1126))"),"TRLRSGHWQVQJPPL")</f>
        <v>TRLRSGHWQVQJPPL</v>
      </c>
      <c r="D1127" s="2" t="str">
        <f>IFERROR(__xludf.DUMMYFUNCTION("IF('From Order'!$A1127=COLUMNS($A1127:D1146), LEFT(INDEX(FILTER(D$1:D1126, D$1:D1126&lt;&gt;""""),COUNTA(FILTER(D$1:D1126, D$1:D1126&lt;&gt;""""))), LEN(INDEX(FILTER(D$1:D1126, D$1:D1126&lt;&gt;""""),COUNTA(FILTER(D$1:D1126, D$1:D1126&lt;&gt;""""))))-1), IF('To Order'!$A1127=COL"&amp;"UMNS($A1127:D1146), D1126&amp;RIGHT(INDIRECT(ADDRESS(ROW(D1127)-1, 'From Order'!$A1127)), 1), D1126))"),"")</f>
        <v/>
      </c>
      <c r="E1127" s="2" t="str">
        <f>IFERROR(__xludf.DUMMYFUNCTION("IF('From Order'!$A1127=COLUMNS($A1127:E1146), LEFT(INDEX(FILTER(E$1:E1126, E$1:E1126&lt;&gt;""""),COUNTA(FILTER(E$1:E1126, E$1:E1126&lt;&gt;""""))), LEN(INDEX(FILTER(E$1:E1126, E$1:E1126&lt;&gt;""""),COUNTA(FILTER(E$1:E1126, E$1:E1126&lt;&gt;""""))))-1), IF('To Order'!$A1127=COL"&amp;"UMNS($A1127:E1146), E1126&amp;RIGHT(INDIRECT(ADDRESS(ROW(E1127)-1, 'From Order'!$A1127)), 1), E1126))"),"")</f>
        <v/>
      </c>
      <c r="F1127" s="2" t="str">
        <f>IFERROR(__xludf.DUMMYFUNCTION("IF('From Order'!$A1127=COLUMNS($A1127:F1146), LEFT(INDEX(FILTER(F$1:F1126, F$1:F1126&lt;&gt;""""),COUNTA(FILTER(F$1:F1126, F$1:F1126&lt;&gt;""""))), LEN(INDEX(FILTER(F$1:F1126, F$1:F1126&lt;&gt;""""),COUNTA(FILTER(F$1:F1126, F$1:F1126&lt;&gt;""""))))-1), IF('To Order'!$A1127=COL"&amp;"UMNS($A1127:F1146), F1126&amp;RIGHT(INDIRECT(ADDRESS(ROW(F1127)-1, 'From Order'!$A1127)), 1), F1126))"),"")</f>
        <v/>
      </c>
      <c r="G1127" s="2" t="str">
        <f>IFERROR(__xludf.DUMMYFUNCTION("IF('From Order'!$A1127=COLUMNS($A1127:G1146), LEFT(INDEX(FILTER(G$1:G1126, G$1:G1126&lt;&gt;""""),COUNTA(FILTER(G$1:G1126, G$1:G1126&lt;&gt;""""))), LEN(INDEX(FILTER(G$1:G1126, G$1:G1126&lt;&gt;""""),COUNTA(FILTER(G$1:G1126, G$1:G1126&lt;&gt;""""))))-1), IF('To Order'!$A1127=COL"&amp;"UMNS($A1127:G1146), G1126&amp;RIGHT(INDIRECT(ADDRESS(ROW(G1127)-1, 'From Order'!$A1127)), 1), G1126))"),"BVST")</f>
        <v>BVST</v>
      </c>
      <c r="H1127" s="2" t="str">
        <f>IFERROR(__xludf.DUMMYFUNCTION("IF('From Order'!$A1127=COLUMNS($A1127:H1146), LEFT(INDEX(FILTER(H$1:H1126, H$1:H1126&lt;&gt;""""),COUNTA(FILTER(H$1:H1126, H$1:H1126&lt;&gt;""""))), LEN(INDEX(FILTER(H$1:H1126, H$1:H1126&lt;&gt;""""),COUNTA(FILTER(H$1:H1126, H$1:H1126&lt;&gt;""""))))-1), IF('To Order'!$A1127=COL"&amp;"UMNS($A1127:H1146), H1126&amp;RIGHT(INDIRECT(ADDRESS(ROW(H1127)-1, 'From Order'!$A1127)), 1), H1126))"),"")</f>
        <v/>
      </c>
      <c r="I1127" s="2" t="str">
        <f>IFERROR(__xludf.DUMMYFUNCTION("IF('From Order'!$A1127=COLUMNS($A1127:I1146), LEFT(INDEX(FILTER(I$1:I1126, I$1:I1126&lt;&gt;""""),COUNTA(FILTER(I$1:I1126, I$1:I1126&lt;&gt;""""))), LEN(INDEX(FILTER(I$1:I1126, I$1:I1126&lt;&gt;""""),COUNTA(FILTER(I$1:I1126, I$1:I1126&lt;&gt;""""))))-1), IF('To Order'!$A1127=COL"&amp;"UMNS($A1127:I1146), I1126&amp;RIGHT(INDIRECT(ADDRESS(ROW(I1127)-1, 'From Order'!$A1127)), 1), I1126))"),"JCVZRDCRCTMRWTDTD")</f>
        <v>JCVZRDCRCTMRWTDTD</v>
      </c>
    </row>
    <row r="1128">
      <c r="A1128" s="2" t="str">
        <f>IFERROR(__xludf.DUMMYFUNCTION("IF('From Order'!$A1128=COLUMNS($A1128:A1147), LEFT(INDEX(FILTER(A$1:A1127, A$1:A1127&lt;&gt;""""),COUNTA(FILTER(A$1:A1127, A$1:A1127&lt;&gt;""""))), LEN(INDEX(FILTER(A$1:A1127, A$1:A1127&lt;&gt;""""),COUNTA(FILTER(A$1:A1127, A$1:A1127&lt;&gt;""""))))-1), IF('To Order'!$A1128=COL"&amp;"UMNS($A1128:A1147), A1127&amp;RIGHT(INDIRECT(ADDRESS(ROW(A1128)-1, 'From Order'!$A1128)), 1), A1127))"),"F")</f>
        <v>F</v>
      </c>
      <c r="B1128" s="2" t="str">
        <f>IFERROR(__xludf.DUMMYFUNCTION("IF('From Order'!$A1128=COLUMNS($A1128:B1147), LEFT(INDEX(FILTER(B$1:B1127, B$1:B1127&lt;&gt;""""),COUNTA(FILTER(B$1:B1127, B$1:B1127&lt;&gt;""""))), LEN(INDEX(FILTER(B$1:B1127, B$1:B1127&lt;&gt;""""),COUNTA(FILTER(B$1:B1127, B$1:B1127&lt;&gt;""""))))-1), IF('To Order'!$A1128=COL"&amp;"UMNS($A1128:B1147), B1127&amp;RIGHT(INDIRECT(ADDRESS(ROW(B1128)-1, 'From Order'!$A1128)), 1), B1127))"),"ZLPDSDJDBSBZHMFBTMG")</f>
        <v>ZLPDSDJDBSBZHMFBTMG</v>
      </c>
      <c r="C1128" s="2" t="str">
        <f>IFERROR(__xludf.DUMMYFUNCTION("IF('From Order'!$A1128=COLUMNS($A1128:C1147), LEFT(INDEX(FILTER(C$1:C1127, C$1:C1127&lt;&gt;""""),COUNTA(FILTER(C$1:C1127, C$1:C1127&lt;&gt;""""))), LEN(INDEX(FILTER(C$1:C1127, C$1:C1127&lt;&gt;""""),COUNTA(FILTER(C$1:C1127, C$1:C1127&lt;&gt;""""))))-1), IF('To Order'!$A1128=COL"&amp;"UMNS($A1128:C1147), C1127&amp;RIGHT(INDIRECT(ADDRESS(ROW(C1128)-1, 'From Order'!$A1128)), 1), C1127))"),"TRLRSGHWQVQJPPLD")</f>
        <v>TRLRSGHWQVQJPPLD</v>
      </c>
      <c r="D1128" s="2" t="str">
        <f>IFERROR(__xludf.DUMMYFUNCTION("IF('From Order'!$A1128=COLUMNS($A1128:D1147), LEFT(INDEX(FILTER(D$1:D1127, D$1:D1127&lt;&gt;""""),COUNTA(FILTER(D$1:D1127, D$1:D1127&lt;&gt;""""))), LEN(INDEX(FILTER(D$1:D1127, D$1:D1127&lt;&gt;""""),COUNTA(FILTER(D$1:D1127, D$1:D1127&lt;&gt;""""))))-1), IF('To Order'!$A1128=COL"&amp;"UMNS($A1128:D1147), D1127&amp;RIGHT(INDIRECT(ADDRESS(ROW(D1128)-1, 'From Order'!$A1128)), 1), D1127))"),"")</f>
        <v/>
      </c>
      <c r="E1128" s="2" t="str">
        <f>IFERROR(__xludf.DUMMYFUNCTION("IF('From Order'!$A1128=COLUMNS($A1128:E1147), LEFT(INDEX(FILTER(E$1:E1127, E$1:E1127&lt;&gt;""""),COUNTA(FILTER(E$1:E1127, E$1:E1127&lt;&gt;""""))), LEN(INDEX(FILTER(E$1:E1127, E$1:E1127&lt;&gt;""""),COUNTA(FILTER(E$1:E1127, E$1:E1127&lt;&gt;""""))))-1), IF('To Order'!$A1128=COL"&amp;"UMNS($A1128:E1147), E1127&amp;RIGHT(INDIRECT(ADDRESS(ROW(E1128)-1, 'From Order'!$A1128)), 1), E1127))"),"")</f>
        <v/>
      </c>
      <c r="F1128" s="2" t="str">
        <f>IFERROR(__xludf.DUMMYFUNCTION("IF('From Order'!$A1128=COLUMNS($A1128:F1147), LEFT(INDEX(FILTER(F$1:F1127, F$1:F1127&lt;&gt;""""),COUNTA(FILTER(F$1:F1127, F$1:F1127&lt;&gt;""""))), LEN(INDEX(FILTER(F$1:F1127, F$1:F1127&lt;&gt;""""),COUNTA(FILTER(F$1:F1127, F$1:F1127&lt;&gt;""""))))-1), IF('To Order'!$A1128=COL"&amp;"UMNS($A1128:F1147), F1127&amp;RIGHT(INDIRECT(ADDRESS(ROW(F1128)-1, 'From Order'!$A1128)), 1), F1127))"),"")</f>
        <v/>
      </c>
      <c r="G1128" s="2" t="str">
        <f>IFERROR(__xludf.DUMMYFUNCTION("IF('From Order'!$A1128=COLUMNS($A1128:G1147), LEFT(INDEX(FILTER(G$1:G1127, G$1:G1127&lt;&gt;""""),COUNTA(FILTER(G$1:G1127, G$1:G1127&lt;&gt;""""))), LEN(INDEX(FILTER(G$1:G1127, G$1:G1127&lt;&gt;""""),COUNTA(FILTER(G$1:G1127, G$1:G1127&lt;&gt;""""))))-1), IF('To Order'!$A1128=COL"&amp;"UMNS($A1128:G1147), G1127&amp;RIGHT(INDIRECT(ADDRESS(ROW(G1128)-1, 'From Order'!$A1128)), 1), G1127))"),"BVST")</f>
        <v>BVST</v>
      </c>
      <c r="H1128" s="2" t="str">
        <f>IFERROR(__xludf.DUMMYFUNCTION("IF('From Order'!$A1128=COLUMNS($A1128:H1147), LEFT(INDEX(FILTER(H$1:H1127, H$1:H1127&lt;&gt;""""),COUNTA(FILTER(H$1:H1127, H$1:H1127&lt;&gt;""""))), LEN(INDEX(FILTER(H$1:H1127, H$1:H1127&lt;&gt;""""),COUNTA(FILTER(H$1:H1127, H$1:H1127&lt;&gt;""""))))-1), IF('To Order'!$A1128=COL"&amp;"UMNS($A1128:H1147), H1127&amp;RIGHT(INDIRECT(ADDRESS(ROW(H1128)-1, 'From Order'!$A1128)), 1), H1127))"),"")</f>
        <v/>
      </c>
      <c r="I1128" s="2" t="str">
        <f>IFERROR(__xludf.DUMMYFUNCTION("IF('From Order'!$A1128=COLUMNS($A1128:I1147), LEFT(INDEX(FILTER(I$1:I1127, I$1:I1127&lt;&gt;""""),COUNTA(FILTER(I$1:I1127, I$1:I1127&lt;&gt;""""))), LEN(INDEX(FILTER(I$1:I1127, I$1:I1127&lt;&gt;""""),COUNTA(FILTER(I$1:I1127, I$1:I1127&lt;&gt;""""))))-1), IF('To Order'!$A1128=COL"&amp;"UMNS($A1128:I1147), I1127&amp;RIGHT(INDIRECT(ADDRESS(ROW(I1128)-1, 'From Order'!$A1128)), 1), I1127))"),"JCVZRDCRCTMRWTDT")</f>
        <v>JCVZRDCRCTMRWTDT</v>
      </c>
    </row>
    <row r="1129">
      <c r="A1129" s="2" t="str">
        <f>IFERROR(__xludf.DUMMYFUNCTION("IF('From Order'!$A1129=COLUMNS($A1129:A1148), LEFT(INDEX(FILTER(A$1:A1128, A$1:A1128&lt;&gt;""""),COUNTA(FILTER(A$1:A1128, A$1:A1128&lt;&gt;""""))), LEN(INDEX(FILTER(A$1:A1128, A$1:A1128&lt;&gt;""""),COUNTA(FILTER(A$1:A1128, A$1:A1128&lt;&gt;""""))))-1), IF('To Order'!$A1129=COL"&amp;"UMNS($A1129:A1148), A1128&amp;RIGHT(INDIRECT(ADDRESS(ROW(A1129)-1, 'From Order'!$A1129)), 1), A1128))"),"F")</f>
        <v>F</v>
      </c>
      <c r="B1129" s="2" t="str">
        <f>IFERROR(__xludf.DUMMYFUNCTION("IF('From Order'!$A1129=COLUMNS($A1129:B1148), LEFT(INDEX(FILTER(B$1:B1128, B$1:B1128&lt;&gt;""""),COUNTA(FILTER(B$1:B1128, B$1:B1128&lt;&gt;""""))), LEN(INDEX(FILTER(B$1:B1128, B$1:B1128&lt;&gt;""""),COUNTA(FILTER(B$1:B1128, B$1:B1128&lt;&gt;""""))))-1), IF('To Order'!$A1129=COL"&amp;"UMNS($A1129:B1148), B1128&amp;RIGHT(INDIRECT(ADDRESS(ROW(B1129)-1, 'From Order'!$A1129)), 1), B1128))"),"ZLPDSDJDBSBZHMFBTMG")</f>
        <v>ZLPDSDJDBSBZHMFBTMG</v>
      </c>
      <c r="C1129" s="2" t="str">
        <f>IFERROR(__xludf.DUMMYFUNCTION("IF('From Order'!$A1129=COLUMNS($A1129:C1148), LEFT(INDEX(FILTER(C$1:C1128, C$1:C1128&lt;&gt;""""),COUNTA(FILTER(C$1:C1128, C$1:C1128&lt;&gt;""""))), LEN(INDEX(FILTER(C$1:C1128, C$1:C1128&lt;&gt;""""),COUNTA(FILTER(C$1:C1128, C$1:C1128&lt;&gt;""""))))-1), IF('To Order'!$A1129=COL"&amp;"UMNS($A1129:C1148), C1128&amp;RIGHT(INDIRECT(ADDRESS(ROW(C1129)-1, 'From Order'!$A1129)), 1), C1128))"),"TRLRSGHWQVQJPPLDT")</f>
        <v>TRLRSGHWQVQJPPLDT</v>
      </c>
      <c r="D1129" s="2" t="str">
        <f>IFERROR(__xludf.DUMMYFUNCTION("IF('From Order'!$A1129=COLUMNS($A1129:D1148), LEFT(INDEX(FILTER(D$1:D1128, D$1:D1128&lt;&gt;""""),COUNTA(FILTER(D$1:D1128, D$1:D1128&lt;&gt;""""))), LEN(INDEX(FILTER(D$1:D1128, D$1:D1128&lt;&gt;""""),COUNTA(FILTER(D$1:D1128, D$1:D1128&lt;&gt;""""))))-1), IF('To Order'!$A1129=COL"&amp;"UMNS($A1129:D1148), D1128&amp;RIGHT(INDIRECT(ADDRESS(ROW(D1129)-1, 'From Order'!$A1129)), 1), D1128))"),"")</f>
        <v/>
      </c>
      <c r="E1129" s="2" t="str">
        <f>IFERROR(__xludf.DUMMYFUNCTION("IF('From Order'!$A1129=COLUMNS($A1129:E1148), LEFT(INDEX(FILTER(E$1:E1128, E$1:E1128&lt;&gt;""""),COUNTA(FILTER(E$1:E1128, E$1:E1128&lt;&gt;""""))), LEN(INDEX(FILTER(E$1:E1128, E$1:E1128&lt;&gt;""""),COUNTA(FILTER(E$1:E1128, E$1:E1128&lt;&gt;""""))))-1), IF('To Order'!$A1129=COL"&amp;"UMNS($A1129:E1148), E1128&amp;RIGHT(INDIRECT(ADDRESS(ROW(E1129)-1, 'From Order'!$A1129)), 1), E1128))"),"")</f>
        <v/>
      </c>
      <c r="F1129" s="2" t="str">
        <f>IFERROR(__xludf.DUMMYFUNCTION("IF('From Order'!$A1129=COLUMNS($A1129:F1148), LEFT(INDEX(FILTER(F$1:F1128, F$1:F1128&lt;&gt;""""),COUNTA(FILTER(F$1:F1128, F$1:F1128&lt;&gt;""""))), LEN(INDEX(FILTER(F$1:F1128, F$1:F1128&lt;&gt;""""),COUNTA(FILTER(F$1:F1128, F$1:F1128&lt;&gt;""""))))-1), IF('To Order'!$A1129=COL"&amp;"UMNS($A1129:F1148), F1128&amp;RIGHT(INDIRECT(ADDRESS(ROW(F1129)-1, 'From Order'!$A1129)), 1), F1128))"),"")</f>
        <v/>
      </c>
      <c r="G1129" s="2" t="str">
        <f>IFERROR(__xludf.DUMMYFUNCTION("IF('From Order'!$A1129=COLUMNS($A1129:G1148), LEFT(INDEX(FILTER(G$1:G1128, G$1:G1128&lt;&gt;""""),COUNTA(FILTER(G$1:G1128, G$1:G1128&lt;&gt;""""))), LEN(INDEX(FILTER(G$1:G1128, G$1:G1128&lt;&gt;""""),COUNTA(FILTER(G$1:G1128, G$1:G1128&lt;&gt;""""))))-1), IF('To Order'!$A1129=COL"&amp;"UMNS($A1129:G1148), G1128&amp;RIGHT(INDIRECT(ADDRESS(ROW(G1129)-1, 'From Order'!$A1129)), 1), G1128))"),"BVST")</f>
        <v>BVST</v>
      </c>
      <c r="H1129" s="2" t="str">
        <f>IFERROR(__xludf.DUMMYFUNCTION("IF('From Order'!$A1129=COLUMNS($A1129:H1148), LEFT(INDEX(FILTER(H$1:H1128, H$1:H1128&lt;&gt;""""),COUNTA(FILTER(H$1:H1128, H$1:H1128&lt;&gt;""""))), LEN(INDEX(FILTER(H$1:H1128, H$1:H1128&lt;&gt;""""),COUNTA(FILTER(H$1:H1128, H$1:H1128&lt;&gt;""""))))-1), IF('To Order'!$A1129=COL"&amp;"UMNS($A1129:H1148), H1128&amp;RIGHT(INDIRECT(ADDRESS(ROW(H1129)-1, 'From Order'!$A1129)), 1), H1128))"),"")</f>
        <v/>
      </c>
      <c r="I1129" s="2" t="str">
        <f>IFERROR(__xludf.DUMMYFUNCTION("IF('From Order'!$A1129=COLUMNS($A1129:I1148), LEFT(INDEX(FILTER(I$1:I1128, I$1:I1128&lt;&gt;""""),COUNTA(FILTER(I$1:I1128, I$1:I1128&lt;&gt;""""))), LEN(INDEX(FILTER(I$1:I1128, I$1:I1128&lt;&gt;""""),COUNTA(FILTER(I$1:I1128, I$1:I1128&lt;&gt;""""))))-1), IF('To Order'!$A1129=COL"&amp;"UMNS($A1129:I1148), I1128&amp;RIGHT(INDIRECT(ADDRESS(ROW(I1129)-1, 'From Order'!$A1129)), 1), I1128))"),"JCVZRDCRCTMRWTD")</f>
        <v>JCVZRDCRCTMRWTD</v>
      </c>
    </row>
    <row r="1130">
      <c r="A1130" s="2" t="str">
        <f>IFERROR(__xludf.DUMMYFUNCTION("IF('From Order'!$A1130=COLUMNS($A1130:A1149), LEFT(INDEX(FILTER(A$1:A1129, A$1:A1129&lt;&gt;""""),COUNTA(FILTER(A$1:A1129, A$1:A1129&lt;&gt;""""))), LEN(INDEX(FILTER(A$1:A1129, A$1:A1129&lt;&gt;""""),COUNTA(FILTER(A$1:A1129, A$1:A1129&lt;&gt;""""))))-1), IF('To Order'!$A1130=COL"&amp;"UMNS($A1130:A1149), A1129&amp;RIGHT(INDIRECT(ADDRESS(ROW(A1130)-1, 'From Order'!$A1130)), 1), A1129))"),"F")</f>
        <v>F</v>
      </c>
      <c r="B1130" s="2" t="str">
        <f>IFERROR(__xludf.DUMMYFUNCTION("IF('From Order'!$A1130=COLUMNS($A1130:B1149), LEFT(INDEX(FILTER(B$1:B1129, B$1:B1129&lt;&gt;""""),COUNTA(FILTER(B$1:B1129, B$1:B1129&lt;&gt;""""))), LEN(INDEX(FILTER(B$1:B1129, B$1:B1129&lt;&gt;""""),COUNTA(FILTER(B$1:B1129, B$1:B1129&lt;&gt;""""))))-1), IF('To Order'!$A1130=COL"&amp;"UMNS($A1130:B1149), B1129&amp;RIGHT(INDIRECT(ADDRESS(ROW(B1130)-1, 'From Order'!$A1130)), 1), B1129))"),"ZLPDSDJDBSBZHMFBTMG")</f>
        <v>ZLPDSDJDBSBZHMFBTMG</v>
      </c>
      <c r="C1130" s="2" t="str">
        <f>IFERROR(__xludf.DUMMYFUNCTION("IF('From Order'!$A1130=COLUMNS($A1130:C1149), LEFT(INDEX(FILTER(C$1:C1129, C$1:C1129&lt;&gt;""""),COUNTA(FILTER(C$1:C1129, C$1:C1129&lt;&gt;""""))), LEN(INDEX(FILTER(C$1:C1129, C$1:C1129&lt;&gt;""""),COUNTA(FILTER(C$1:C1129, C$1:C1129&lt;&gt;""""))))-1), IF('To Order'!$A1130=COL"&amp;"UMNS($A1130:C1149), C1129&amp;RIGHT(INDIRECT(ADDRESS(ROW(C1130)-1, 'From Order'!$A1130)), 1), C1129))"),"TRLRSGHWQVQJPPLDTD")</f>
        <v>TRLRSGHWQVQJPPLDTD</v>
      </c>
      <c r="D1130" s="2" t="str">
        <f>IFERROR(__xludf.DUMMYFUNCTION("IF('From Order'!$A1130=COLUMNS($A1130:D1149), LEFT(INDEX(FILTER(D$1:D1129, D$1:D1129&lt;&gt;""""),COUNTA(FILTER(D$1:D1129, D$1:D1129&lt;&gt;""""))), LEN(INDEX(FILTER(D$1:D1129, D$1:D1129&lt;&gt;""""),COUNTA(FILTER(D$1:D1129, D$1:D1129&lt;&gt;""""))))-1), IF('To Order'!$A1130=COL"&amp;"UMNS($A1130:D1149), D1129&amp;RIGHT(INDIRECT(ADDRESS(ROW(D1130)-1, 'From Order'!$A1130)), 1), D1129))"),"")</f>
        <v/>
      </c>
      <c r="E1130" s="2" t="str">
        <f>IFERROR(__xludf.DUMMYFUNCTION("IF('From Order'!$A1130=COLUMNS($A1130:E1149), LEFT(INDEX(FILTER(E$1:E1129, E$1:E1129&lt;&gt;""""),COUNTA(FILTER(E$1:E1129, E$1:E1129&lt;&gt;""""))), LEN(INDEX(FILTER(E$1:E1129, E$1:E1129&lt;&gt;""""),COUNTA(FILTER(E$1:E1129, E$1:E1129&lt;&gt;""""))))-1), IF('To Order'!$A1130=COL"&amp;"UMNS($A1130:E1149), E1129&amp;RIGHT(INDIRECT(ADDRESS(ROW(E1130)-1, 'From Order'!$A1130)), 1), E1129))"),"")</f>
        <v/>
      </c>
      <c r="F1130" s="2" t="str">
        <f>IFERROR(__xludf.DUMMYFUNCTION("IF('From Order'!$A1130=COLUMNS($A1130:F1149), LEFT(INDEX(FILTER(F$1:F1129, F$1:F1129&lt;&gt;""""),COUNTA(FILTER(F$1:F1129, F$1:F1129&lt;&gt;""""))), LEN(INDEX(FILTER(F$1:F1129, F$1:F1129&lt;&gt;""""),COUNTA(FILTER(F$1:F1129, F$1:F1129&lt;&gt;""""))))-1), IF('To Order'!$A1130=COL"&amp;"UMNS($A1130:F1149), F1129&amp;RIGHT(INDIRECT(ADDRESS(ROW(F1130)-1, 'From Order'!$A1130)), 1), F1129))"),"")</f>
        <v/>
      </c>
      <c r="G1130" s="2" t="str">
        <f>IFERROR(__xludf.DUMMYFUNCTION("IF('From Order'!$A1130=COLUMNS($A1130:G1149), LEFT(INDEX(FILTER(G$1:G1129, G$1:G1129&lt;&gt;""""),COUNTA(FILTER(G$1:G1129, G$1:G1129&lt;&gt;""""))), LEN(INDEX(FILTER(G$1:G1129, G$1:G1129&lt;&gt;""""),COUNTA(FILTER(G$1:G1129, G$1:G1129&lt;&gt;""""))))-1), IF('To Order'!$A1130=COL"&amp;"UMNS($A1130:G1149), G1129&amp;RIGHT(INDIRECT(ADDRESS(ROW(G1130)-1, 'From Order'!$A1130)), 1), G1129))"),"BVST")</f>
        <v>BVST</v>
      </c>
      <c r="H1130" s="2" t="str">
        <f>IFERROR(__xludf.DUMMYFUNCTION("IF('From Order'!$A1130=COLUMNS($A1130:H1149), LEFT(INDEX(FILTER(H$1:H1129, H$1:H1129&lt;&gt;""""),COUNTA(FILTER(H$1:H1129, H$1:H1129&lt;&gt;""""))), LEN(INDEX(FILTER(H$1:H1129, H$1:H1129&lt;&gt;""""),COUNTA(FILTER(H$1:H1129, H$1:H1129&lt;&gt;""""))))-1), IF('To Order'!$A1130=COL"&amp;"UMNS($A1130:H1149), H1129&amp;RIGHT(INDIRECT(ADDRESS(ROW(H1130)-1, 'From Order'!$A1130)), 1), H1129))"),"")</f>
        <v/>
      </c>
      <c r="I1130" s="2" t="str">
        <f>IFERROR(__xludf.DUMMYFUNCTION("IF('From Order'!$A1130=COLUMNS($A1130:I1149), LEFT(INDEX(FILTER(I$1:I1129, I$1:I1129&lt;&gt;""""),COUNTA(FILTER(I$1:I1129, I$1:I1129&lt;&gt;""""))), LEN(INDEX(FILTER(I$1:I1129, I$1:I1129&lt;&gt;""""),COUNTA(FILTER(I$1:I1129, I$1:I1129&lt;&gt;""""))))-1), IF('To Order'!$A1130=COL"&amp;"UMNS($A1130:I1149), I1129&amp;RIGHT(INDIRECT(ADDRESS(ROW(I1130)-1, 'From Order'!$A1130)), 1), I1129))"),"JCVZRDCRCTMRWT")</f>
        <v>JCVZRDCRCTMRWT</v>
      </c>
    </row>
    <row r="1131">
      <c r="A1131" s="2" t="str">
        <f>IFERROR(__xludf.DUMMYFUNCTION("IF('From Order'!$A1131=COLUMNS($A1131:A1150), LEFT(INDEX(FILTER(A$1:A1130, A$1:A1130&lt;&gt;""""),COUNTA(FILTER(A$1:A1130, A$1:A1130&lt;&gt;""""))), LEN(INDEX(FILTER(A$1:A1130, A$1:A1130&lt;&gt;""""),COUNTA(FILTER(A$1:A1130, A$1:A1130&lt;&gt;""""))))-1), IF('To Order'!$A1131=COL"&amp;"UMNS($A1131:A1150), A1130&amp;RIGHT(INDIRECT(ADDRESS(ROW(A1131)-1, 'From Order'!$A1131)), 1), A1130))"),"F")</f>
        <v>F</v>
      </c>
      <c r="B1131" s="2" t="str">
        <f>IFERROR(__xludf.DUMMYFUNCTION("IF('From Order'!$A1131=COLUMNS($A1131:B1150), LEFT(INDEX(FILTER(B$1:B1130, B$1:B1130&lt;&gt;""""),COUNTA(FILTER(B$1:B1130, B$1:B1130&lt;&gt;""""))), LEN(INDEX(FILTER(B$1:B1130, B$1:B1130&lt;&gt;""""),COUNTA(FILTER(B$1:B1130, B$1:B1130&lt;&gt;""""))))-1), IF('To Order'!$A1131=COL"&amp;"UMNS($A1131:B1150), B1130&amp;RIGHT(INDIRECT(ADDRESS(ROW(B1131)-1, 'From Order'!$A1131)), 1), B1130))"),"ZLPDSDJDBSBZHMFBTMG")</f>
        <v>ZLPDSDJDBSBZHMFBTMG</v>
      </c>
      <c r="C1131" s="2" t="str">
        <f>IFERROR(__xludf.DUMMYFUNCTION("IF('From Order'!$A1131=COLUMNS($A1131:C1150), LEFT(INDEX(FILTER(C$1:C1130, C$1:C1130&lt;&gt;""""),COUNTA(FILTER(C$1:C1130, C$1:C1130&lt;&gt;""""))), LEN(INDEX(FILTER(C$1:C1130, C$1:C1130&lt;&gt;""""),COUNTA(FILTER(C$1:C1130, C$1:C1130&lt;&gt;""""))))-1), IF('To Order'!$A1131=COL"&amp;"UMNS($A1131:C1150), C1130&amp;RIGHT(INDIRECT(ADDRESS(ROW(C1131)-1, 'From Order'!$A1131)), 1), C1130))"),"TRLRSGHWQVQJPPLDTDT")</f>
        <v>TRLRSGHWQVQJPPLDTDT</v>
      </c>
      <c r="D1131" s="2" t="str">
        <f>IFERROR(__xludf.DUMMYFUNCTION("IF('From Order'!$A1131=COLUMNS($A1131:D1150), LEFT(INDEX(FILTER(D$1:D1130, D$1:D1130&lt;&gt;""""),COUNTA(FILTER(D$1:D1130, D$1:D1130&lt;&gt;""""))), LEN(INDEX(FILTER(D$1:D1130, D$1:D1130&lt;&gt;""""),COUNTA(FILTER(D$1:D1130, D$1:D1130&lt;&gt;""""))))-1), IF('To Order'!$A1131=COL"&amp;"UMNS($A1131:D1150), D1130&amp;RIGHT(INDIRECT(ADDRESS(ROW(D1131)-1, 'From Order'!$A1131)), 1), D1130))"),"")</f>
        <v/>
      </c>
      <c r="E1131" s="2" t="str">
        <f>IFERROR(__xludf.DUMMYFUNCTION("IF('From Order'!$A1131=COLUMNS($A1131:E1150), LEFT(INDEX(FILTER(E$1:E1130, E$1:E1130&lt;&gt;""""),COUNTA(FILTER(E$1:E1130, E$1:E1130&lt;&gt;""""))), LEN(INDEX(FILTER(E$1:E1130, E$1:E1130&lt;&gt;""""),COUNTA(FILTER(E$1:E1130, E$1:E1130&lt;&gt;""""))))-1), IF('To Order'!$A1131=COL"&amp;"UMNS($A1131:E1150), E1130&amp;RIGHT(INDIRECT(ADDRESS(ROW(E1131)-1, 'From Order'!$A1131)), 1), E1130))"),"")</f>
        <v/>
      </c>
      <c r="F1131" s="2" t="str">
        <f>IFERROR(__xludf.DUMMYFUNCTION("IF('From Order'!$A1131=COLUMNS($A1131:F1150), LEFT(INDEX(FILTER(F$1:F1130, F$1:F1130&lt;&gt;""""),COUNTA(FILTER(F$1:F1130, F$1:F1130&lt;&gt;""""))), LEN(INDEX(FILTER(F$1:F1130, F$1:F1130&lt;&gt;""""),COUNTA(FILTER(F$1:F1130, F$1:F1130&lt;&gt;""""))))-1), IF('To Order'!$A1131=COL"&amp;"UMNS($A1131:F1150), F1130&amp;RIGHT(INDIRECT(ADDRESS(ROW(F1131)-1, 'From Order'!$A1131)), 1), F1130))"),"")</f>
        <v/>
      </c>
      <c r="G1131" s="2" t="str">
        <f>IFERROR(__xludf.DUMMYFUNCTION("IF('From Order'!$A1131=COLUMNS($A1131:G1150), LEFT(INDEX(FILTER(G$1:G1130, G$1:G1130&lt;&gt;""""),COUNTA(FILTER(G$1:G1130, G$1:G1130&lt;&gt;""""))), LEN(INDEX(FILTER(G$1:G1130, G$1:G1130&lt;&gt;""""),COUNTA(FILTER(G$1:G1130, G$1:G1130&lt;&gt;""""))))-1), IF('To Order'!$A1131=COL"&amp;"UMNS($A1131:G1150), G1130&amp;RIGHT(INDIRECT(ADDRESS(ROW(G1131)-1, 'From Order'!$A1131)), 1), G1130))"),"BVST")</f>
        <v>BVST</v>
      </c>
      <c r="H1131" s="2" t="str">
        <f>IFERROR(__xludf.DUMMYFUNCTION("IF('From Order'!$A1131=COLUMNS($A1131:H1150), LEFT(INDEX(FILTER(H$1:H1130, H$1:H1130&lt;&gt;""""),COUNTA(FILTER(H$1:H1130, H$1:H1130&lt;&gt;""""))), LEN(INDEX(FILTER(H$1:H1130, H$1:H1130&lt;&gt;""""),COUNTA(FILTER(H$1:H1130, H$1:H1130&lt;&gt;""""))))-1), IF('To Order'!$A1131=COL"&amp;"UMNS($A1131:H1150), H1130&amp;RIGHT(INDIRECT(ADDRESS(ROW(H1131)-1, 'From Order'!$A1131)), 1), H1130))"),"")</f>
        <v/>
      </c>
      <c r="I1131" s="2" t="str">
        <f>IFERROR(__xludf.DUMMYFUNCTION("IF('From Order'!$A1131=COLUMNS($A1131:I1150), LEFT(INDEX(FILTER(I$1:I1130, I$1:I1130&lt;&gt;""""),COUNTA(FILTER(I$1:I1130, I$1:I1130&lt;&gt;""""))), LEN(INDEX(FILTER(I$1:I1130, I$1:I1130&lt;&gt;""""),COUNTA(FILTER(I$1:I1130, I$1:I1130&lt;&gt;""""))))-1), IF('To Order'!$A1131=COL"&amp;"UMNS($A1131:I1150), I1130&amp;RIGHT(INDIRECT(ADDRESS(ROW(I1131)-1, 'From Order'!$A1131)), 1), I1130))"),"JCVZRDCRCTMRW")</f>
        <v>JCVZRDCRCTMRW</v>
      </c>
    </row>
    <row r="1132">
      <c r="A1132" s="2" t="str">
        <f>IFERROR(__xludf.DUMMYFUNCTION("IF('From Order'!$A1132=COLUMNS($A1132:A1151), LEFT(INDEX(FILTER(A$1:A1131, A$1:A1131&lt;&gt;""""),COUNTA(FILTER(A$1:A1131, A$1:A1131&lt;&gt;""""))), LEN(INDEX(FILTER(A$1:A1131, A$1:A1131&lt;&gt;""""),COUNTA(FILTER(A$1:A1131, A$1:A1131&lt;&gt;""""))))-1), IF('To Order'!$A1132=COL"&amp;"UMNS($A1132:A1151), A1131&amp;RIGHT(INDIRECT(ADDRESS(ROW(A1132)-1, 'From Order'!$A1132)), 1), A1131))"),"F")</f>
        <v>F</v>
      </c>
      <c r="B1132" s="2" t="str">
        <f>IFERROR(__xludf.DUMMYFUNCTION("IF('From Order'!$A1132=COLUMNS($A1132:B1151), LEFT(INDEX(FILTER(B$1:B1131, B$1:B1131&lt;&gt;""""),COUNTA(FILTER(B$1:B1131, B$1:B1131&lt;&gt;""""))), LEN(INDEX(FILTER(B$1:B1131, B$1:B1131&lt;&gt;""""),COUNTA(FILTER(B$1:B1131, B$1:B1131&lt;&gt;""""))))-1), IF('To Order'!$A1132=COL"&amp;"UMNS($A1132:B1151), B1131&amp;RIGHT(INDIRECT(ADDRESS(ROW(B1132)-1, 'From Order'!$A1132)), 1), B1131))"),"ZLPDSDJDBSBZHMFBTMG")</f>
        <v>ZLPDSDJDBSBZHMFBTMG</v>
      </c>
      <c r="C1132" s="2" t="str">
        <f>IFERROR(__xludf.DUMMYFUNCTION("IF('From Order'!$A1132=COLUMNS($A1132:C1151), LEFT(INDEX(FILTER(C$1:C1131, C$1:C1131&lt;&gt;""""),COUNTA(FILTER(C$1:C1131, C$1:C1131&lt;&gt;""""))), LEN(INDEX(FILTER(C$1:C1131, C$1:C1131&lt;&gt;""""),COUNTA(FILTER(C$1:C1131, C$1:C1131&lt;&gt;""""))))-1), IF('To Order'!$A1132=COL"&amp;"UMNS($A1132:C1151), C1131&amp;RIGHT(INDIRECT(ADDRESS(ROW(C1132)-1, 'From Order'!$A1132)), 1), C1131))"),"TRLRSGHWQVQJPPLDTDTW")</f>
        <v>TRLRSGHWQVQJPPLDTDTW</v>
      </c>
      <c r="D1132" s="2" t="str">
        <f>IFERROR(__xludf.DUMMYFUNCTION("IF('From Order'!$A1132=COLUMNS($A1132:D1151), LEFT(INDEX(FILTER(D$1:D1131, D$1:D1131&lt;&gt;""""),COUNTA(FILTER(D$1:D1131, D$1:D1131&lt;&gt;""""))), LEN(INDEX(FILTER(D$1:D1131, D$1:D1131&lt;&gt;""""),COUNTA(FILTER(D$1:D1131, D$1:D1131&lt;&gt;""""))))-1), IF('To Order'!$A1132=COL"&amp;"UMNS($A1132:D1151), D1131&amp;RIGHT(INDIRECT(ADDRESS(ROW(D1132)-1, 'From Order'!$A1132)), 1), D1131))"),"")</f>
        <v/>
      </c>
      <c r="E1132" s="2" t="str">
        <f>IFERROR(__xludf.DUMMYFUNCTION("IF('From Order'!$A1132=COLUMNS($A1132:E1151), LEFT(INDEX(FILTER(E$1:E1131, E$1:E1131&lt;&gt;""""),COUNTA(FILTER(E$1:E1131, E$1:E1131&lt;&gt;""""))), LEN(INDEX(FILTER(E$1:E1131, E$1:E1131&lt;&gt;""""),COUNTA(FILTER(E$1:E1131, E$1:E1131&lt;&gt;""""))))-1), IF('To Order'!$A1132=COL"&amp;"UMNS($A1132:E1151), E1131&amp;RIGHT(INDIRECT(ADDRESS(ROW(E1132)-1, 'From Order'!$A1132)), 1), E1131))"),"")</f>
        <v/>
      </c>
      <c r="F1132" s="2" t="str">
        <f>IFERROR(__xludf.DUMMYFUNCTION("IF('From Order'!$A1132=COLUMNS($A1132:F1151), LEFT(INDEX(FILTER(F$1:F1131, F$1:F1131&lt;&gt;""""),COUNTA(FILTER(F$1:F1131, F$1:F1131&lt;&gt;""""))), LEN(INDEX(FILTER(F$1:F1131, F$1:F1131&lt;&gt;""""),COUNTA(FILTER(F$1:F1131, F$1:F1131&lt;&gt;""""))))-1), IF('To Order'!$A1132=COL"&amp;"UMNS($A1132:F1151), F1131&amp;RIGHT(INDIRECT(ADDRESS(ROW(F1132)-1, 'From Order'!$A1132)), 1), F1131))"),"")</f>
        <v/>
      </c>
      <c r="G1132" s="2" t="str">
        <f>IFERROR(__xludf.DUMMYFUNCTION("IF('From Order'!$A1132=COLUMNS($A1132:G1151), LEFT(INDEX(FILTER(G$1:G1131, G$1:G1131&lt;&gt;""""),COUNTA(FILTER(G$1:G1131, G$1:G1131&lt;&gt;""""))), LEN(INDEX(FILTER(G$1:G1131, G$1:G1131&lt;&gt;""""),COUNTA(FILTER(G$1:G1131, G$1:G1131&lt;&gt;""""))))-1), IF('To Order'!$A1132=COL"&amp;"UMNS($A1132:G1151), G1131&amp;RIGHT(INDIRECT(ADDRESS(ROW(G1132)-1, 'From Order'!$A1132)), 1), G1131))"),"BVST")</f>
        <v>BVST</v>
      </c>
      <c r="H1132" s="2" t="str">
        <f>IFERROR(__xludf.DUMMYFUNCTION("IF('From Order'!$A1132=COLUMNS($A1132:H1151), LEFT(INDEX(FILTER(H$1:H1131, H$1:H1131&lt;&gt;""""),COUNTA(FILTER(H$1:H1131, H$1:H1131&lt;&gt;""""))), LEN(INDEX(FILTER(H$1:H1131, H$1:H1131&lt;&gt;""""),COUNTA(FILTER(H$1:H1131, H$1:H1131&lt;&gt;""""))))-1), IF('To Order'!$A1132=COL"&amp;"UMNS($A1132:H1151), H1131&amp;RIGHT(INDIRECT(ADDRESS(ROW(H1132)-1, 'From Order'!$A1132)), 1), H1131))"),"")</f>
        <v/>
      </c>
      <c r="I1132" s="2" t="str">
        <f>IFERROR(__xludf.DUMMYFUNCTION("IF('From Order'!$A1132=COLUMNS($A1132:I1151), LEFT(INDEX(FILTER(I$1:I1131, I$1:I1131&lt;&gt;""""),COUNTA(FILTER(I$1:I1131, I$1:I1131&lt;&gt;""""))), LEN(INDEX(FILTER(I$1:I1131, I$1:I1131&lt;&gt;""""),COUNTA(FILTER(I$1:I1131, I$1:I1131&lt;&gt;""""))))-1), IF('To Order'!$A1132=COL"&amp;"UMNS($A1132:I1151), I1131&amp;RIGHT(INDIRECT(ADDRESS(ROW(I1132)-1, 'From Order'!$A1132)), 1), I1131))"),"JCVZRDCRCTMR")</f>
        <v>JCVZRDCRCTMR</v>
      </c>
    </row>
    <row r="1133">
      <c r="A1133" s="2" t="str">
        <f>IFERROR(__xludf.DUMMYFUNCTION("IF('From Order'!$A1133=COLUMNS($A1133:A1152), LEFT(INDEX(FILTER(A$1:A1132, A$1:A1132&lt;&gt;""""),COUNTA(FILTER(A$1:A1132, A$1:A1132&lt;&gt;""""))), LEN(INDEX(FILTER(A$1:A1132, A$1:A1132&lt;&gt;""""),COUNTA(FILTER(A$1:A1132, A$1:A1132&lt;&gt;""""))))-1), IF('To Order'!$A1133=COL"&amp;"UMNS($A1133:A1152), A1132&amp;RIGHT(INDIRECT(ADDRESS(ROW(A1133)-1, 'From Order'!$A1133)), 1), A1132))"),"F")</f>
        <v>F</v>
      </c>
      <c r="B1133" s="2" t="str">
        <f>IFERROR(__xludf.DUMMYFUNCTION("IF('From Order'!$A1133=COLUMNS($A1133:B1152), LEFT(INDEX(FILTER(B$1:B1132, B$1:B1132&lt;&gt;""""),COUNTA(FILTER(B$1:B1132, B$1:B1132&lt;&gt;""""))), LEN(INDEX(FILTER(B$1:B1132, B$1:B1132&lt;&gt;""""),COUNTA(FILTER(B$1:B1132, B$1:B1132&lt;&gt;""""))))-1), IF('To Order'!$A1133=COL"&amp;"UMNS($A1133:B1152), B1132&amp;RIGHT(INDIRECT(ADDRESS(ROW(B1133)-1, 'From Order'!$A1133)), 1), B1132))"),"ZLPDSDJDBSBZHMFBTMG")</f>
        <v>ZLPDSDJDBSBZHMFBTMG</v>
      </c>
      <c r="C1133" s="2" t="str">
        <f>IFERROR(__xludf.DUMMYFUNCTION("IF('From Order'!$A1133=COLUMNS($A1133:C1152), LEFT(INDEX(FILTER(C$1:C1132, C$1:C1132&lt;&gt;""""),COUNTA(FILTER(C$1:C1132, C$1:C1132&lt;&gt;""""))), LEN(INDEX(FILTER(C$1:C1132, C$1:C1132&lt;&gt;""""),COUNTA(FILTER(C$1:C1132, C$1:C1132&lt;&gt;""""))))-1), IF('To Order'!$A1133=COL"&amp;"UMNS($A1133:C1152), C1132&amp;RIGHT(INDIRECT(ADDRESS(ROW(C1133)-1, 'From Order'!$A1133)), 1), C1132))"),"TRLRSGHWQVQJPPLDTDTWR")</f>
        <v>TRLRSGHWQVQJPPLDTDTWR</v>
      </c>
      <c r="D1133" s="2" t="str">
        <f>IFERROR(__xludf.DUMMYFUNCTION("IF('From Order'!$A1133=COLUMNS($A1133:D1152), LEFT(INDEX(FILTER(D$1:D1132, D$1:D1132&lt;&gt;""""),COUNTA(FILTER(D$1:D1132, D$1:D1132&lt;&gt;""""))), LEN(INDEX(FILTER(D$1:D1132, D$1:D1132&lt;&gt;""""),COUNTA(FILTER(D$1:D1132, D$1:D1132&lt;&gt;""""))))-1), IF('To Order'!$A1133=COL"&amp;"UMNS($A1133:D1152), D1132&amp;RIGHT(INDIRECT(ADDRESS(ROW(D1133)-1, 'From Order'!$A1133)), 1), D1132))"),"")</f>
        <v/>
      </c>
      <c r="E1133" s="2" t="str">
        <f>IFERROR(__xludf.DUMMYFUNCTION("IF('From Order'!$A1133=COLUMNS($A1133:E1152), LEFT(INDEX(FILTER(E$1:E1132, E$1:E1132&lt;&gt;""""),COUNTA(FILTER(E$1:E1132, E$1:E1132&lt;&gt;""""))), LEN(INDEX(FILTER(E$1:E1132, E$1:E1132&lt;&gt;""""),COUNTA(FILTER(E$1:E1132, E$1:E1132&lt;&gt;""""))))-1), IF('To Order'!$A1133=COL"&amp;"UMNS($A1133:E1152), E1132&amp;RIGHT(INDIRECT(ADDRESS(ROW(E1133)-1, 'From Order'!$A1133)), 1), E1132))"),"")</f>
        <v/>
      </c>
      <c r="F1133" s="2" t="str">
        <f>IFERROR(__xludf.DUMMYFUNCTION("IF('From Order'!$A1133=COLUMNS($A1133:F1152), LEFT(INDEX(FILTER(F$1:F1132, F$1:F1132&lt;&gt;""""),COUNTA(FILTER(F$1:F1132, F$1:F1132&lt;&gt;""""))), LEN(INDEX(FILTER(F$1:F1132, F$1:F1132&lt;&gt;""""),COUNTA(FILTER(F$1:F1132, F$1:F1132&lt;&gt;""""))))-1), IF('To Order'!$A1133=COL"&amp;"UMNS($A1133:F1152), F1132&amp;RIGHT(INDIRECT(ADDRESS(ROW(F1133)-1, 'From Order'!$A1133)), 1), F1132))"),"")</f>
        <v/>
      </c>
      <c r="G1133" s="2" t="str">
        <f>IFERROR(__xludf.DUMMYFUNCTION("IF('From Order'!$A1133=COLUMNS($A1133:G1152), LEFT(INDEX(FILTER(G$1:G1132, G$1:G1132&lt;&gt;""""),COUNTA(FILTER(G$1:G1132, G$1:G1132&lt;&gt;""""))), LEN(INDEX(FILTER(G$1:G1132, G$1:G1132&lt;&gt;""""),COUNTA(FILTER(G$1:G1132, G$1:G1132&lt;&gt;""""))))-1), IF('To Order'!$A1133=COL"&amp;"UMNS($A1133:G1152), G1132&amp;RIGHT(INDIRECT(ADDRESS(ROW(G1133)-1, 'From Order'!$A1133)), 1), G1132))"),"BVST")</f>
        <v>BVST</v>
      </c>
      <c r="H1133" s="2" t="str">
        <f>IFERROR(__xludf.DUMMYFUNCTION("IF('From Order'!$A1133=COLUMNS($A1133:H1152), LEFT(INDEX(FILTER(H$1:H1132, H$1:H1132&lt;&gt;""""),COUNTA(FILTER(H$1:H1132, H$1:H1132&lt;&gt;""""))), LEN(INDEX(FILTER(H$1:H1132, H$1:H1132&lt;&gt;""""),COUNTA(FILTER(H$1:H1132, H$1:H1132&lt;&gt;""""))))-1), IF('To Order'!$A1133=COL"&amp;"UMNS($A1133:H1152), H1132&amp;RIGHT(INDIRECT(ADDRESS(ROW(H1133)-1, 'From Order'!$A1133)), 1), H1132))"),"")</f>
        <v/>
      </c>
      <c r="I1133" s="2" t="str">
        <f>IFERROR(__xludf.DUMMYFUNCTION("IF('From Order'!$A1133=COLUMNS($A1133:I1152), LEFT(INDEX(FILTER(I$1:I1132, I$1:I1132&lt;&gt;""""),COUNTA(FILTER(I$1:I1132, I$1:I1132&lt;&gt;""""))), LEN(INDEX(FILTER(I$1:I1132, I$1:I1132&lt;&gt;""""),COUNTA(FILTER(I$1:I1132, I$1:I1132&lt;&gt;""""))))-1), IF('To Order'!$A1133=COL"&amp;"UMNS($A1133:I1152), I1132&amp;RIGHT(INDIRECT(ADDRESS(ROW(I1133)-1, 'From Order'!$A1133)), 1), I1132))"),"JCVZRDCRCTM")</f>
        <v>JCVZRDCRCTM</v>
      </c>
    </row>
    <row r="1134">
      <c r="A1134" s="2" t="str">
        <f>IFERROR(__xludf.DUMMYFUNCTION("IF('From Order'!$A1134=COLUMNS($A1134:A1153), LEFT(INDEX(FILTER(A$1:A1133, A$1:A1133&lt;&gt;""""),COUNTA(FILTER(A$1:A1133, A$1:A1133&lt;&gt;""""))), LEN(INDEX(FILTER(A$1:A1133, A$1:A1133&lt;&gt;""""),COUNTA(FILTER(A$1:A1133, A$1:A1133&lt;&gt;""""))))-1), IF('To Order'!$A1134=COL"&amp;"UMNS($A1134:A1153), A1133&amp;RIGHT(INDIRECT(ADDRESS(ROW(A1134)-1, 'From Order'!$A1134)), 1), A1133))"),"F")</f>
        <v>F</v>
      </c>
      <c r="B1134" s="2" t="str">
        <f>IFERROR(__xludf.DUMMYFUNCTION("IF('From Order'!$A1134=COLUMNS($A1134:B1153), LEFT(INDEX(FILTER(B$1:B1133, B$1:B1133&lt;&gt;""""),COUNTA(FILTER(B$1:B1133, B$1:B1133&lt;&gt;""""))), LEN(INDEX(FILTER(B$1:B1133, B$1:B1133&lt;&gt;""""),COUNTA(FILTER(B$1:B1133, B$1:B1133&lt;&gt;""""))))-1), IF('To Order'!$A1134=COL"&amp;"UMNS($A1134:B1153), B1133&amp;RIGHT(INDIRECT(ADDRESS(ROW(B1134)-1, 'From Order'!$A1134)), 1), B1133))"),"ZLPDSDJDBSBZHMFBTMG")</f>
        <v>ZLPDSDJDBSBZHMFBTMG</v>
      </c>
      <c r="C1134" s="2" t="str">
        <f>IFERROR(__xludf.DUMMYFUNCTION("IF('From Order'!$A1134=COLUMNS($A1134:C1153), LEFT(INDEX(FILTER(C$1:C1133, C$1:C1133&lt;&gt;""""),COUNTA(FILTER(C$1:C1133, C$1:C1133&lt;&gt;""""))), LEN(INDEX(FILTER(C$1:C1133, C$1:C1133&lt;&gt;""""),COUNTA(FILTER(C$1:C1133, C$1:C1133&lt;&gt;""""))))-1), IF('To Order'!$A1134=COL"&amp;"UMNS($A1134:C1153), C1133&amp;RIGHT(INDIRECT(ADDRESS(ROW(C1134)-1, 'From Order'!$A1134)), 1), C1133))"),"TRLRSGHWQVQJPPLDTDTWRM")</f>
        <v>TRLRSGHWQVQJPPLDTDTWRM</v>
      </c>
      <c r="D1134" s="2" t="str">
        <f>IFERROR(__xludf.DUMMYFUNCTION("IF('From Order'!$A1134=COLUMNS($A1134:D1153), LEFT(INDEX(FILTER(D$1:D1133, D$1:D1133&lt;&gt;""""),COUNTA(FILTER(D$1:D1133, D$1:D1133&lt;&gt;""""))), LEN(INDEX(FILTER(D$1:D1133, D$1:D1133&lt;&gt;""""),COUNTA(FILTER(D$1:D1133, D$1:D1133&lt;&gt;""""))))-1), IF('To Order'!$A1134=COL"&amp;"UMNS($A1134:D1153), D1133&amp;RIGHT(INDIRECT(ADDRESS(ROW(D1134)-1, 'From Order'!$A1134)), 1), D1133))"),"")</f>
        <v/>
      </c>
      <c r="E1134" s="2" t="str">
        <f>IFERROR(__xludf.DUMMYFUNCTION("IF('From Order'!$A1134=COLUMNS($A1134:E1153), LEFT(INDEX(FILTER(E$1:E1133, E$1:E1133&lt;&gt;""""),COUNTA(FILTER(E$1:E1133, E$1:E1133&lt;&gt;""""))), LEN(INDEX(FILTER(E$1:E1133, E$1:E1133&lt;&gt;""""),COUNTA(FILTER(E$1:E1133, E$1:E1133&lt;&gt;""""))))-1), IF('To Order'!$A1134=COL"&amp;"UMNS($A1134:E1153), E1133&amp;RIGHT(INDIRECT(ADDRESS(ROW(E1134)-1, 'From Order'!$A1134)), 1), E1133))"),"")</f>
        <v/>
      </c>
      <c r="F1134" s="2" t="str">
        <f>IFERROR(__xludf.DUMMYFUNCTION("IF('From Order'!$A1134=COLUMNS($A1134:F1153), LEFT(INDEX(FILTER(F$1:F1133, F$1:F1133&lt;&gt;""""),COUNTA(FILTER(F$1:F1133, F$1:F1133&lt;&gt;""""))), LEN(INDEX(FILTER(F$1:F1133, F$1:F1133&lt;&gt;""""),COUNTA(FILTER(F$1:F1133, F$1:F1133&lt;&gt;""""))))-1), IF('To Order'!$A1134=COL"&amp;"UMNS($A1134:F1153), F1133&amp;RIGHT(INDIRECT(ADDRESS(ROW(F1134)-1, 'From Order'!$A1134)), 1), F1133))"),"")</f>
        <v/>
      </c>
      <c r="G1134" s="2" t="str">
        <f>IFERROR(__xludf.DUMMYFUNCTION("IF('From Order'!$A1134=COLUMNS($A1134:G1153), LEFT(INDEX(FILTER(G$1:G1133, G$1:G1133&lt;&gt;""""),COUNTA(FILTER(G$1:G1133, G$1:G1133&lt;&gt;""""))), LEN(INDEX(FILTER(G$1:G1133, G$1:G1133&lt;&gt;""""),COUNTA(FILTER(G$1:G1133, G$1:G1133&lt;&gt;""""))))-1), IF('To Order'!$A1134=COL"&amp;"UMNS($A1134:G1153), G1133&amp;RIGHT(INDIRECT(ADDRESS(ROW(G1134)-1, 'From Order'!$A1134)), 1), G1133))"),"BVST")</f>
        <v>BVST</v>
      </c>
      <c r="H1134" s="2" t="str">
        <f>IFERROR(__xludf.DUMMYFUNCTION("IF('From Order'!$A1134=COLUMNS($A1134:H1153), LEFT(INDEX(FILTER(H$1:H1133, H$1:H1133&lt;&gt;""""),COUNTA(FILTER(H$1:H1133, H$1:H1133&lt;&gt;""""))), LEN(INDEX(FILTER(H$1:H1133, H$1:H1133&lt;&gt;""""),COUNTA(FILTER(H$1:H1133, H$1:H1133&lt;&gt;""""))))-1), IF('To Order'!$A1134=COL"&amp;"UMNS($A1134:H1153), H1133&amp;RIGHT(INDIRECT(ADDRESS(ROW(H1134)-1, 'From Order'!$A1134)), 1), H1133))"),"")</f>
        <v/>
      </c>
      <c r="I1134" s="2" t="str">
        <f>IFERROR(__xludf.DUMMYFUNCTION("IF('From Order'!$A1134=COLUMNS($A1134:I1153), LEFT(INDEX(FILTER(I$1:I1133, I$1:I1133&lt;&gt;""""),COUNTA(FILTER(I$1:I1133, I$1:I1133&lt;&gt;""""))), LEN(INDEX(FILTER(I$1:I1133, I$1:I1133&lt;&gt;""""),COUNTA(FILTER(I$1:I1133, I$1:I1133&lt;&gt;""""))))-1), IF('To Order'!$A1134=COL"&amp;"UMNS($A1134:I1153), I1133&amp;RIGHT(INDIRECT(ADDRESS(ROW(I1134)-1, 'From Order'!$A1134)), 1), I1133))"),"JCVZRDCRCT")</f>
        <v>JCVZRDCRCT</v>
      </c>
    </row>
    <row r="1135">
      <c r="A1135" s="2" t="str">
        <f>IFERROR(__xludf.DUMMYFUNCTION("IF('From Order'!$A1135=COLUMNS($A1135:A1154), LEFT(INDEX(FILTER(A$1:A1134, A$1:A1134&lt;&gt;""""),COUNTA(FILTER(A$1:A1134, A$1:A1134&lt;&gt;""""))), LEN(INDEX(FILTER(A$1:A1134, A$1:A1134&lt;&gt;""""),COUNTA(FILTER(A$1:A1134, A$1:A1134&lt;&gt;""""))))-1), IF('To Order'!$A1135=COL"&amp;"UMNS($A1135:A1154), A1134&amp;RIGHT(INDIRECT(ADDRESS(ROW(A1135)-1, 'From Order'!$A1135)), 1), A1134))"),"F")</f>
        <v>F</v>
      </c>
      <c r="B1135" s="2" t="str">
        <f>IFERROR(__xludf.DUMMYFUNCTION("IF('From Order'!$A1135=COLUMNS($A1135:B1154), LEFT(INDEX(FILTER(B$1:B1134, B$1:B1134&lt;&gt;""""),COUNTA(FILTER(B$1:B1134, B$1:B1134&lt;&gt;""""))), LEN(INDEX(FILTER(B$1:B1134, B$1:B1134&lt;&gt;""""),COUNTA(FILTER(B$1:B1134, B$1:B1134&lt;&gt;""""))))-1), IF('To Order'!$A1135=COL"&amp;"UMNS($A1135:B1154), B1134&amp;RIGHT(INDIRECT(ADDRESS(ROW(B1135)-1, 'From Order'!$A1135)), 1), B1134))"),"ZLPDSDJDBSBZHMFBTMG")</f>
        <v>ZLPDSDJDBSBZHMFBTMG</v>
      </c>
      <c r="C1135" s="2" t="str">
        <f>IFERROR(__xludf.DUMMYFUNCTION("IF('From Order'!$A1135=COLUMNS($A1135:C1154), LEFT(INDEX(FILTER(C$1:C1134, C$1:C1134&lt;&gt;""""),COUNTA(FILTER(C$1:C1134, C$1:C1134&lt;&gt;""""))), LEN(INDEX(FILTER(C$1:C1134, C$1:C1134&lt;&gt;""""),COUNTA(FILTER(C$1:C1134, C$1:C1134&lt;&gt;""""))))-1), IF('To Order'!$A1135=COL"&amp;"UMNS($A1135:C1154), C1134&amp;RIGHT(INDIRECT(ADDRESS(ROW(C1135)-1, 'From Order'!$A1135)), 1), C1134))"),"TRLRSGHWQVQJPPLDTDTWRMT")</f>
        <v>TRLRSGHWQVQJPPLDTDTWRMT</v>
      </c>
      <c r="D1135" s="2" t="str">
        <f>IFERROR(__xludf.DUMMYFUNCTION("IF('From Order'!$A1135=COLUMNS($A1135:D1154), LEFT(INDEX(FILTER(D$1:D1134, D$1:D1134&lt;&gt;""""),COUNTA(FILTER(D$1:D1134, D$1:D1134&lt;&gt;""""))), LEN(INDEX(FILTER(D$1:D1134, D$1:D1134&lt;&gt;""""),COUNTA(FILTER(D$1:D1134, D$1:D1134&lt;&gt;""""))))-1), IF('To Order'!$A1135=COL"&amp;"UMNS($A1135:D1154), D1134&amp;RIGHT(INDIRECT(ADDRESS(ROW(D1135)-1, 'From Order'!$A1135)), 1), D1134))"),"")</f>
        <v/>
      </c>
      <c r="E1135" s="2" t="str">
        <f>IFERROR(__xludf.DUMMYFUNCTION("IF('From Order'!$A1135=COLUMNS($A1135:E1154), LEFT(INDEX(FILTER(E$1:E1134, E$1:E1134&lt;&gt;""""),COUNTA(FILTER(E$1:E1134, E$1:E1134&lt;&gt;""""))), LEN(INDEX(FILTER(E$1:E1134, E$1:E1134&lt;&gt;""""),COUNTA(FILTER(E$1:E1134, E$1:E1134&lt;&gt;""""))))-1), IF('To Order'!$A1135=COL"&amp;"UMNS($A1135:E1154), E1134&amp;RIGHT(INDIRECT(ADDRESS(ROW(E1135)-1, 'From Order'!$A1135)), 1), E1134))"),"")</f>
        <v/>
      </c>
      <c r="F1135" s="2" t="str">
        <f>IFERROR(__xludf.DUMMYFUNCTION("IF('From Order'!$A1135=COLUMNS($A1135:F1154), LEFT(INDEX(FILTER(F$1:F1134, F$1:F1134&lt;&gt;""""),COUNTA(FILTER(F$1:F1134, F$1:F1134&lt;&gt;""""))), LEN(INDEX(FILTER(F$1:F1134, F$1:F1134&lt;&gt;""""),COUNTA(FILTER(F$1:F1134, F$1:F1134&lt;&gt;""""))))-1), IF('To Order'!$A1135=COL"&amp;"UMNS($A1135:F1154), F1134&amp;RIGHT(INDIRECT(ADDRESS(ROW(F1135)-1, 'From Order'!$A1135)), 1), F1134))"),"")</f>
        <v/>
      </c>
      <c r="G1135" s="2" t="str">
        <f>IFERROR(__xludf.DUMMYFUNCTION("IF('From Order'!$A1135=COLUMNS($A1135:G1154), LEFT(INDEX(FILTER(G$1:G1134, G$1:G1134&lt;&gt;""""),COUNTA(FILTER(G$1:G1134, G$1:G1134&lt;&gt;""""))), LEN(INDEX(FILTER(G$1:G1134, G$1:G1134&lt;&gt;""""),COUNTA(FILTER(G$1:G1134, G$1:G1134&lt;&gt;""""))))-1), IF('To Order'!$A1135=COL"&amp;"UMNS($A1135:G1154), G1134&amp;RIGHT(INDIRECT(ADDRESS(ROW(G1135)-1, 'From Order'!$A1135)), 1), G1134))"),"BVST")</f>
        <v>BVST</v>
      </c>
      <c r="H1135" s="2" t="str">
        <f>IFERROR(__xludf.DUMMYFUNCTION("IF('From Order'!$A1135=COLUMNS($A1135:H1154), LEFT(INDEX(FILTER(H$1:H1134, H$1:H1134&lt;&gt;""""),COUNTA(FILTER(H$1:H1134, H$1:H1134&lt;&gt;""""))), LEN(INDEX(FILTER(H$1:H1134, H$1:H1134&lt;&gt;""""),COUNTA(FILTER(H$1:H1134, H$1:H1134&lt;&gt;""""))))-1), IF('To Order'!$A1135=COL"&amp;"UMNS($A1135:H1154), H1134&amp;RIGHT(INDIRECT(ADDRESS(ROW(H1135)-1, 'From Order'!$A1135)), 1), H1134))"),"")</f>
        <v/>
      </c>
      <c r="I1135" s="2" t="str">
        <f>IFERROR(__xludf.DUMMYFUNCTION("IF('From Order'!$A1135=COLUMNS($A1135:I1154), LEFT(INDEX(FILTER(I$1:I1134, I$1:I1134&lt;&gt;""""),COUNTA(FILTER(I$1:I1134, I$1:I1134&lt;&gt;""""))), LEN(INDEX(FILTER(I$1:I1134, I$1:I1134&lt;&gt;""""),COUNTA(FILTER(I$1:I1134, I$1:I1134&lt;&gt;""""))))-1), IF('To Order'!$A1135=COL"&amp;"UMNS($A1135:I1154), I1134&amp;RIGHT(INDIRECT(ADDRESS(ROW(I1135)-1, 'From Order'!$A1135)), 1), I1134))"),"JCVZRDCRC")</f>
        <v>JCVZRDCRC</v>
      </c>
    </row>
    <row r="1136">
      <c r="A1136" s="2" t="str">
        <f>IFERROR(__xludf.DUMMYFUNCTION("IF('From Order'!$A1136=COLUMNS($A1136:A1155), LEFT(INDEX(FILTER(A$1:A1135, A$1:A1135&lt;&gt;""""),COUNTA(FILTER(A$1:A1135, A$1:A1135&lt;&gt;""""))), LEN(INDEX(FILTER(A$1:A1135, A$1:A1135&lt;&gt;""""),COUNTA(FILTER(A$1:A1135, A$1:A1135&lt;&gt;""""))))-1), IF('To Order'!$A1136=COL"&amp;"UMNS($A1136:A1155), A1135&amp;RIGHT(INDIRECT(ADDRESS(ROW(A1136)-1, 'From Order'!$A1136)), 1), A1135))"),"F")</f>
        <v>F</v>
      </c>
      <c r="B1136" s="2" t="str">
        <f>IFERROR(__xludf.DUMMYFUNCTION("IF('From Order'!$A1136=COLUMNS($A1136:B1155), LEFT(INDEX(FILTER(B$1:B1135, B$1:B1135&lt;&gt;""""),COUNTA(FILTER(B$1:B1135, B$1:B1135&lt;&gt;""""))), LEN(INDEX(FILTER(B$1:B1135, B$1:B1135&lt;&gt;""""),COUNTA(FILTER(B$1:B1135, B$1:B1135&lt;&gt;""""))))-1), IF('To Order'!$A1136=COL"&amp;"UMNS($A1136:B1155), B1135&amp;RIGHT(INDIRECT(ADDRESS(ROW(B1136)-1, 'From Order'!$A1136)), 1), B1135))"),"ZLPDSDJDBSBZHMFBTMG")</f>
        <v>ZLPDSDJDBSBZHMFBTMG</v>
      </c>
      <c r="C1136" s="2" t="str">
        <f>IFERROR(__xludf.DUMMYFUNCTION("IF('From Order'!$A1136=COLUMNS($A1136:C1155), LEFT(INDEX(FILTER(C$1:C1135, C$1:C1135&lt;&gt;""""),COUNTA(FILTER(C$1:C1135, C$1:C1135&lt;&gt;""""))), LEN(INDEX(FILTER(C$1:C1135, C$1:C1135&lt;&gt;""""),COUNTA(FILTER(C$1:C1135, C$1:C1135&lt;&gt;""""))))-1), IF('To Order'!$A1136=COL"&amp;"UMNS($A1136:C1155), C1135&amp;RIGHT(INDIRECT(ADDRESS(ROW(C1136)-1, 'From Order'!$A1136)), 1), C1135))"),"TRLRSGHWQVQJPPLDTDTWRMTC")</f>
        <v>TRLRSGHWQVQJPPLDTDTWRMTC</v>
      </c>
      <c r="D1136" s="2" t="str">
        <f>IFERROR(__xludf.DUMMYFUNCTION("IF('From Order'!$A1136=COLUMNS($A1136:D1155), LEFT(INDEX(FILTER(D$1:D1135, D$1:D1135&lt;&gt;""""),COUNTA(FILTER(D$1:D1135, D$1:D1135&lt;&gt;""""))), LEN(INDEX(FILTER(D$1:D1135, D$1:D1135&lt;&gt;""""),COUNTA(FILTER(D$1:D1135, D$1:D1135&lt;&gt;""""))))-1), IF('To Order'!$A1136=COL"&amp;"UMNS($A1136:D1155), D1135&amp;RIGHT(INDIRECT(ADDRESS(ROW(D1136)-1, 'From Order'!$A1136)), 1), D1135))"),"")</f>
        <v/>
      </c>
      <c r="E1136" s="2" t="str">
        <f>IFERROR(__xludf.DUMMYFUNCTION("IF('From Order'!$A1136=COLUMNS($A1136:E1155), LEFT(INDEX(FILTER(E$1:E1135, E$1:E1135&lt;&gt;""""),COUNTA(FILTER(E$1:E1135, E$1:E1135&lt;&gt;""""))), LEN(INDEX(FILTER(E$1:E1135, E$1:E1135&lt;&gt;""""),COUNTA(FILTER(E$1:E1135, E$1:E1135&lt;&gt;""""))))-1), IF('To Order'!$A1136=COL"&amp;"UMNS($A1136:E1155), E1135&amp;RIGHT(INDIRECT(ADDRESS(ROW(E1136)-1, 'From Order'!$A1136)), 1), E1135))"),"")</f>
        <v/>
      </c>
      <c r="F1136" s="2" t="str">
        <f>IFERROR(__xludf.DUMMYFUNCTION("IF('From Order'!$A1136=COLUMNS($A1136:F1155), LEFT(INDEX(FILTER(F$1:F1135, F$1:F1135&lt;&gt;""""),COUNTA(FILTER(F$1:F1135, F$1:F1135&lt;&gt;""""))), LEN(INDEX(FILTER(F$1:F1135, F$1:F1135&lt;&gt;""""),COUNTA(FILTER(F$1:F1135, F$1:F1135&lt;&gt;""""))))-1), IF('To Order'!$A1136=COL"&amp;"UMNS($A1136:F1155), F1135&amp;RIGHT(INDIRECT(ADDRESS(ROW(F1136)-1, 'From Order'!$A1136)), 1), F1135))"),"")</f>
        <v/>
      </c>
      <c r="G1136" s="2" t="str">
        <f>IFERROR(__xludf.DUMMYFUNCTION("IF('From Order'!$A1136=COLUMNS($A1136:G1155), LEFT(INDEX(FILTER(G$1:G1135, G$1:G1135&lt;&gt;""""),COUNTA(FILTER(G$1:G1135, G$1:G1135&lt;&gt;""""))), LEN(INDEX(FILTER(G$1:G1135, G$1:G1135&lt;&gt;""""),COUNTA(FILTER(G$1:G1135, G$1:G1135&lt;&gt;""""))))-1), IF('To Order'!$A1136=COL"&amp;"UMNS($A1136:G1155), G1135&amp;RIGHT(INDIRECT(ADDRESS(ROW(G1136)-1, 'From Order'!$A1136)), 1), G1135))"),"BVST")</f>
        <v>BVST</v>
      </c>
      <c r="H1136" s="2" t="str">
        <f>IFERROR(__xludf.DUMMYFUNCTION("IF('From Order'!$A1136=COLUMNS($A1136:H1155), LEFT(INDEX(FILTER(H$1:H1135, H$1:H1135&lt;&gt;""""),COUNTA(FILTER(H$1:H1135, H$1:H1135&lt;&gt;""""))), LEN(INDEX(FILTER(H$1:H1135, H$1:H1135&lt;&gt;""""),COUNTA(FILTER(H$1:H1135, H$1:H1135&lt;&gt;""""))))-1), IF('To Order'!$A1136=COL"&amp;"UMNS($A1136:H1155), H1135&amp;RIGHT(INDIRECT(ADDRESS(ROW(H1136)-1, 'From Order'!$A1136)), 1), H1135))"),"")</f>
        <v/>
      </c>
      <c r="I1136" s="2" t="str">
        <f>IFERROR(__xludf.DUMMYFUNCTION("IF('From Order'!$A1136=COLUMNS($A1136:I1155), LEFT(INDEX(FILTER(I$1:I1135, I$1:I1135&lt;&gt;""""),COUNTA(FILTER(I$1:I1135, I$1:I1135&lt;&gt;""""))), LEN(INDEX(FILTER(I$1:I1135, I$1:I1135&lt;&gt;""""),COUNTA(FILTER(I$1:I1135, I$1:I1135&lt;&gt;""""))))-1), IF('To Order'!$A1136=COL"&amp;"UMNS($A1136:I1155), I1135&amp;RIGHT(INDIRECT(ADDRESS(ROW(I1136)-1, 'From Order'!$A1136)), 1), I1135))"),"JCVZRDCR")</f>
        <v>JCVZRDCR</v>
      </c>
    </row>
    <row r="1137">
      <c r="A1137" s="2" t="str">
        <f>IFERROR(__xludf.DUMMYFUNCTION("IF('From Order'!$A1137=COLUMNS($A1137:A1156), LEFT(INDEX(FILTER(A$1:A1136, A$1:A1136&lt;&gt;""""),COUNTA(FILTER(A$1:A1136, A$1:A1136&lt;&gt;""""))), LEN(INDEX(FILTER(A$1:A1136, A$1:A1136&lt;&gt;""""),COUNTA(FILTER(A$1:A1136, A$1:A1136&lt;&gt;""""))))-1), IF('To Order'!$A1137=COL"&amp;"UMNS($A1137:A1156), A1136&amp;RIGHT(INDIRECT(ADDRESS(ROW(A1137)-1, 'From Order'!$A1137)), 1), A1136))"),"F")</f>
        <v>F</v>
      </c>
      <c r="B1137" s="2" t="str">
        <f>IFERROR(__xludf.DUMMYFUNCTION("IF('From Order'!$A1137=COLUMNS($A1137:B1156), LEFT(INDEX(FILTER(B$1:B1136, B$1:B1136&lt;&gt;""""),COUNTA(FILTER(B$1:B1136, B$1:B1136&lt;&gt;""""))), LEN(INDEX(FILTER(B$1:B1136, B$1:B1136&lt;&gt;""""),COUNTA(FILTER(B$1:B1136, B$1:B1136&lt;&gt;""""))))-1), IF('To Order'!$A1137=COL"&amp;"UMNS($A1137:B1156), B1136&amp;RIGHT(INDIRECT(ADDRESS(ROW(B1137)-1, 'From Order'!$A1137)), 1), B1136))"),"ZLPDSDJDBSBZHMFBTMG")</f>
        <v>ZLPDSDJDBSBZHMFBTMG</v>
      </c>
      <c r="C1137" s="2" t="str">
        <f>IFERROR(__xludf.DUMMYFUNCTION("IF('From Order'!$A1137=COLUMNS($A1137:C1156), LEFT(INDEX(FILTER(C$1:C1136, C$1:C1136&lt;&gt;""""),COUNTA(FILTER(C$1:C1136, C$1:C1136&lt;&gt;""""))), LEN(INDEX(FILTER(C$1:C1136, C$1:C1136&lt;&gt;""""),COUNTA(FILTER(C$1:C1136, C$1:C1136&lt;&gt;""""))))-1), IF('To Order'!$A1137=COL"&amp;"UMNS($A1137:C1156), C1136&amp;RIGHT(INDIRECT(ADDRESS(ROW(C1137)-1, 'From Order'!$A1137)), 1), C1136))"),"TRLRSGHWQVQJPPLDTDTWRMTCR")</f>
        <v>TRLRSGHWQVQJPPLDTDTWRMTCR</v>
      </c>
      <c r="D1137" s="2" t="str">
        <f>IFERROR(__xludf.DUMMYFUNCTION("IF('From Order'!$A1137=COLUMNS($A1137:D1156), LEFT(INDEX(FILTER(D$1:D1136, D$1:D1136&lt;&gt;""""),COUNTA(FILTER(D$1:D1136, D$1:D1136&lt;&gt;""""))), LEN(INDEX(FILTER(D$1:D1136, D$1:D1136&lt;&gt;""""),COUNTA(FILTER(D$1:D1136, D$1:D1136&lt;&gt;""""))))-1), IF('To Order'!$A1137=COL"&amp;"UMNS($A1137:D1156), D1136&amp;RIGHT(INDIRECT(ADDRESS(ROW(D1137)-1, 'From Order'!$A1137)), 1), D1136))"),"")</f>
        <v/>
      </c>
      <c r="E1137" s="2" t="str">
        <f>IFERROR(__xludf.DUMMYFUNCTION("IF('From Order'!$A1137=COLUMNS($A1137:E1156), LEFT(INDEX(FILTER(E$1:E1136, E$1:E1136&lt;&gt;""""),COUNTA(FILTER(E$1:E1136, E$1:E1136&lt;&gt;""""))), LEN(INDEX(FILTER(E$1:E1136, E$1:E1136&lt;&gt;""""),COUNTA(FILTER(E$1:E1136, E$1:E1136&lt;&gt;""""))))-1), IF('To Order'!$A1137=COL"&amp;"UMNS($A1137:E1156), E1136&amp;RIGHT(INDIRECT(ADDRESS(ROW(E1137)-1, 'From Order'!$A1137)), 1), E1136))"),"")</f>
        <v/>
      </c>
      <c r="F1137" s="2" t="str">
        <f>IFERROR(__xludf.DUMMYFUNCTION("IF('From Order'!$A1137=COLUMNS($A1137:F1156), LEFT(INDEX(FILTER(F$1:F1136, F$1:F1136&lt;&gt;""""),COUNTA(FILTER(F$1:F1136, F$1:F1136&lt;&gt;""""))), LEN(INDEX(FILTER(F$1:F1136, F$1:F1136&lt;&gt;""""),COUNTA(FILTER(F$1:F1136, F$1:F1136&lt;&gt;""""))))-1), IF('To Order'!$A1137=COL"&amp;"UMNS($A1137:F1156), F1136&amp;RIGHT(INDIRECT(ADDRESS(ROW(F1137)-1, 'From Order'!$A1137)), 1), F1136))"),"")</f>
        <v/>
      </c>
      <c r="G1137" s="2" t="str">
        <f>IFERROR(__xludf.DUMMYFUNCTION("IF('From Order'!$A1137=COLUMNS($A1137:G1156), LEFT(INDEX(FILTER(G$1:G1136, G$1:G1136&lt;&gt;""""),COUNTA(FILTER(G$1:G1136, G$1:G1136&lt;&gt;""""))), LEN(INDEX(FILTER(G$1:G1136, G$1:G1136&lt;&gt;""""),COUNTA(FILTER(G$1:G1136, G$1:G1136&lt;&gt;""""))))-1), IF('To Order'!$A1137=COL"&amp;"UMNS($A1137:G1156), G1136&amp;RIGHT(INDIRECT(ADDRESS(ROW(G1137)-1, 'From Order'!$A1137)), 1), G1136))"),"BVST")</f>
        <v>BVST</v>
      </c>
      <c r="H1137" s="2" t="str">
        <f>IFERROR(__xludf.DUMMYFUNCTION("IF('From Order'!$A1137=COLUMNS($A1137:H1156), LEFT(INDEX(FILTER(H$1:H1136, H$1:H1136&lt;&gt;""""),COUNTA(FILTER(H$1:H1136, H$1:H1136&lt;&gt;""""))), LEN(INDEX(FILTER(H$1:H1136, H$1:H1136&lt;&gt;""""),COUNTA(FILTER(H$1:H1136, H$1:H1136&lt;&gt;""""))))-1), IF('To Order'!$A1137=COL"&amp;"UMNS($A1137:H1156), H1136&amp;RIGHT(INDIRECT(ADDRESS(ROW(H1137)-1, 'From Order'!$A1137)), 1), H1136))"),"")</f>
        <v/>
      </c>
      <c r="I1137" s="2" t="str">
        <f>IFERROR(__xludf.DUMMYFUNCTION("IF('From Order'!$A1137=COLUMNS($A1137:I1156), LEFT(INDEX(FILTER(I$1:I1136, I$1:I1136&lt;&gt;""""),COUNTA(FILTER(I$1:I1136, I$1:I1136&lt;&gt;""""))), LEN(INDEX(FILTER(I$1:I1136, I$1:I1136&lt;&gt;""""),COUNTA(FILTER(I$1:I1136, I$1:I1136&lt;&gt;""""))))-1), IF('To Order'!$A1137=COL"&amp;"UMNS($A1137:I1156), I1136&amp;RIGHT(INDIRECT(ADDRESS(ROW(I1137)-1, 'From Order'!$A1137)), 1), I1136))"),"JCVZRDC")</f>
        <v>JCVZRDC</v>
      </c>
    </row>
    <row r="1138">
      <c r="A1138" s="2" t="str">
        <f>IFERROR(__xludf.DUMMYFUNCTION("IF('From Order'!$A1138=COLUMNS($A1138:A1157), LEFT(INDEX(FILTER(A$1:A1137, A$1:A1137&lt;&gt;""""),COUNTA(FILTER(A$1:A1137, A$1:A1137&lt;&gt;""""))), LEN(INDEX(FILTER(A$1:A1137, A$1:A1137&lt;&gt;""""),COUNTA(FILTER(A$1:A1137, A$1:A1137&lt;&gt;""""))))-1), IF('To Order'!$A1138=COL"&amp;"UMNS($A1138:A1157), A1137&amp;RIGHT(INDIRECT(ADDRESS(ROW(A1138)-1, 'From Order'!$A1138)), 1), A1137))"),"F")</f>
        <v>F</v>
      </c>
      <c r="B1138" s="2" t="str">
        <f>IFERROR(__xludf.DUMMYFUNCTION("IF('From Order'!$A1138=COLUMNS($A1138:B1157), LEFT(INDEX(FILTER(B$1:B1137, B$1:B1137&lt;&gt;""""),COUNTA(FILTER(B$1:B1137, B$1:B1137&lt;&gt;""""))), LEN(INDEX(FILTER(B$1:B1137, B$1:B1137&lt;&gt;""""),COUNTA(FILTER(B$1:B1137, B$1:B1137&lt;&gt;""""))))-1), IF('To Order'!$A1138=COL"&amp;"UMNS($A1138:B1157), B1137&amp;RIGHT(INDIRECT(ADDRESS(ROW(B1138)-1, 'From Order'!$A1138)), 1), B1137))"),"ZLPDSDJDBSBZHMFBTMG")</f>
        <v>ZLPDSDJDBSBZHMFBTMG</v>
      </c>
      <c r="C1138" s="2" t="str">
        <f>IFERROR(__xludf.DUMMYFUNCTION("IF('From Order'!$A1138=COLUMNS($A1138:C1157), LEFT(INDEX(FILTER(C$1:C1137, C$1:C1137&lt;&gt;""""),COUNTA(FILTER(C$1:C1137, C$1:C1137&lt;&gt;""""))), LEN(INDEX(FILTER(C$1:C1137, C$1:C1137&lt;&gt;""""),COUNTA(FILTER(C$1:C1137, C$1:C1137&lt;&gt;""""))))-1), IF('To Order'!$A1138=COL"&amp;"UMNS($A1138:C1157), C1137&amp;RIGHT(INDIRECT(ADDRESS(ROW(C1138)-1, 'From Order'!$A1138)), 1), C1137))"),"TRLRSGHWQVQJPPLDTDTWRMTCRC")</f>
        <v>TRLRSGHWQVQJPPLDTDTWRMTCRC</v>
      </c>
      <c r="D1138" s="2" t="str">
        <f>IFERROR(__xludf.DUMMYFUNCTION("IF('From Order'!$A1138=COLUMNS($A1138:D1157), LEFT(INDEX(FILTER(D$1:D1137, D$1:D1137&lt;&gt;""""),COUNTA(FILTER(D$1:D1137, D$1:D1137&lt;&gt;""""))), LEN(INDEX(FILTER(D$1:D1137, D$1:D1137&lt;&gt;""""),COUNTA(FILTER(D$1:D1137, D$1:D1137&lt;&gt;""""))))-1), IF('To Order'!$A1138=COL"&amp;"UMNS($A1138:D1157), D1137&amp;RIGHT(INDIRECT(ADDRESS(ROW(D1138)-1, 'From Order'!$A1138)), 1), D1137))"),"")</f>
        <v/>
      </c>
      <c r="E1138" s="2" t="str">
        <f>IFERROR(__xludf.DUMMYFUNCTION("IF('From Order'!$A1138=COLUMNS($A1138:E1157), LEFT(INDEX(FILTER(E$1:E1137, E$1:E1137&lt;&gt;""""),COUNTA(FILTER(E$1:E1137, E$1:E1137&lt;&gt;""""))), LEN(INDEX(FILTER(E$1:E1137, E$1:E1137&lt;&gt;""""),COUNTA(FILTER(E$1:E1137, E$1:E1137&lt;&gt;""""))))-1), IF('To Order'!$A1138=COL"&amp;"UMNS($A1138:E1157), E1137&amp;RIGHT(INDIRECT(ADDRESS(ROW(E1138)-1, 'From Order'!$A1138)), 1), E1137))"),"")</f>
        <v/>
      </c>
      <c r="F1138" s="2" t="str">
        <f>IFERROR(__xludf.DUMMYFUNCTION("IF('From Order'!$A1138=COLUMNS($A1138:F1157), LEFT(INDEX(FILTER(F$1:F1137, F$1:F1137&lt;&gt;""""),COUNTA(FILTER(F$1:F1137, F$1:F1137&lt;&gt;""""))), LEN(INDEX(FILTER(F$1:F1137, F$1:F1137&lt;&gt;""""),COUNTA(FILTER(F$1:F1137, F$1:F1137&lt;&gt;""""))))-1), IF('To Order'!$A1138=COL"&amp;"UMNS($A1138:F1157), F1137&amp;RIGHT(INDIRECT(ADDRESS(ROW(F1138)-1, 'From Order'!$A1138)), 1), F1137))"),"")</f>
        <v/>
      </c>
      <c r="G1138" s="2" t="str">
        <f>IFERROR(__xludf.DUMMYFUNCTION("IF('From Order'!$A1138=COLUMNS($A1138:G1157), LEFT(INDEX(FILTER(G$1:G1137, G$1:G1137&lt;&gt;""""),COUNTA(FILTER(G$1:G1137, G$1:G1137&lt;&gt;""""))), LEN(INDEX(FILTER(G$1:G1137, G$1:G1137&lt;&gt;""""),COUNTA(FILTER(G$1:G1137, G$1:G1137&lt;&gt;""""))))-1), IF('To Order'!$A1138=COL"&amp;"UMNS($A1138:G1157), G1137&amp;RIGHT(INDIRECT(ADDRESS(ROW(G1138)-1, 'From Order'!$A1138)), 1), G1137))"),"BVST")</f>
        <v>BVST</v>
      </c>
      <c r="H1138" s="2" t="str">
        <f>IFERROR(__xludf.DUMMYFUNCTION("IF('From Order'!$A1138=COLUMNS($A1138:H1157), LEFT(INDEX(FILTER(H$1:H1137, H$1:H1137&lt;&gt;""""),COUNTA(FILTER(H$1:H1137, H$1:H1137&lt;&gt;""""))), LEN(INDEX(FILTER(H$1:H1137, H$1:H1137&lt;&gt;""""),COUNTA(FILTER(H$1:H1137, H$1:H1137&lt;&gt;""""))))-1), IF('To Order'!$A1138=COL"&amp;"UMNS($A1138:H1157), H1137&amp;RIGHT(INDIRECT(ADDRESS(ROW(H1138)-1, 'From Order'!$A1138)), 1), H1137))"),"")</f>
        <v/>
      </c>
      <c r="I1138" s="2" t="str">
        <f>IFERROR(__xludf.DUMMYFUNCTION("IF('From Order'!$A1138=COLUMNS($A1138:I1157), LEFT(INDEX(FILTER(I$1:I1137, I$1:I1137&lt;&gt;""""),COUNTA(FILTER(I$1:I1137, I$1:I1137&lt;&gt;""""))), LEN(INDEX(FILTER(I$1:I1137, I$1:I1137&lt;&gt;""""),COUNTA(FILTER(I$1:I1137, I$1:I1137&lt;&gt;""""))))-1), IF('To Order'!$A1138=COL"&amp;"UMNS($A1138:I1157), I1137&amp;RIGHT(INDIRECT(ADDRESS(ROW(I1138)-1, 'From Order'!$A1138)), 1), I1137))"),"JCVZRD")</f>
        <v>JCVZRD</v>
      </c>
    </row>
    <row r="1139">
      <c r="A1139" s="2" t="str">
        <f>IFERROR(__xludf.DUMMYFUNCTION("IF('From Order'!$A1139=COLUMNS($A1139:A1158), LEFT(INDEX(FILTER(A$1:A1138, A$1:A1138&lt;&gt;""""),COUNTA(FILTER(A$1:A1138, A$1:A1138&lt;&gt;""""))), LEN(INDEX(FILTER(A$1:A1138, A$1:A1138&lt;&gt;""""),COUNTA(FILTER(A$1:A1138, A$1:A1138&lt;&gt;""""))))-1), IF('To Order'!$A1139=COL"&amp;"UMNS($A1139:A1158), A1138&amp;RIGHT(INDIRECT(ADDRESS(ROW(A1139)-1, 'From Order'!$A1139)), 1), A1138))"),"F")</f>
        <v>F</v>
      </c>
      <c r="B1139" s="2" t="str">
        <f>IFERROR(__xludf.DUMMYFUNCTION("IF('From Order'!$A1139=COLUMNS($A1139:B1158), LEFT(INDEX(FILTER(B$1:B1138, B$1:B1138&lt;&gt;""""),COUNTA(FILTER(B$1:B1138, B$1:B1138&lt;&gt;""""))), LEN(INDEX(FILTER(B$1:B1138, B$1:B1138&lt;&gt;""""),COUNTA(FILTER(B$1:B1138, B$1:B1138&lt;&gt;""""))))-1), IF('To Order'!$A1139=COL"&amp;"UMNS($A1139:B1158), B1138&amp;RIGHT(INDIRECT(ADDRESS(ROW(B1139)-1, 'From Order'!$A1139)), 1), B1138))"),"ZLPDSDJDBSBZHMFBTMG")</f>
        <v>ZLPDSDJDBSBZHMFBTMG</v>
      </c>
      <c r="C1139" s="2" t="str">
        <f>IFERROR(__xludf.DUMMYFUNCTION("IF('From Order'!$A1139=COLUMNS($A1139:C1158), LEFT(INDEX(FILTER(C$1:C1138, C$1:C1138&lt;&gt;""""),COUNTA(FILTER(C$1:C1138, C$1:C1138&lt;&gt;""""))), LEN(INDEX(FILTER(C$1:C1138, C$1:C1138&lt;&gt;""""),COUNTA(FILTER(C$1:C1138, C$1:C1138&lt;&gt;""""))))-1), IF('To Order'!$A1139=COL"&amp;"UMNS($A1139:C1158), C1138&amp;RIGHT(INDIRECT(ADDRESS(ROW(C1139)-1, 'From Order'!$A1139)), 1), C1138))"),"TRLRSGHWQVQJPPLDTDTWRMTCRCD")</f>
        <v>TRLRSGHWQVQJPPLDTDTWRMTCRCD</v>
      </c>
      <c r="D1139" s="2" t="str">
        <f>IFERROR(__xludf.DUMMYFUNCTION("IF('From Order'!$A1139=COLUMNS($A1139:D1158), LEFT(INDEX(FILTER(D$1:D1138, D$1:D1138&lt;&gt;""""),COUNTA(FILTER(D$1:D1138, D$1:D1138&lt;&gt;""""))), LEN(INDEX(FILTER(D$1:D1138, D$1:D1138&lt;&gt;""""),COUNTA(FILTER(D$1:D1138, D$1:D1138&lt;&gt;""""))))-1), IF('To Order'!$A1139=COL"&amp;"UMNS($A1139:D1158), D1138&amp;RIGHT(INDIRECT(ADDRESS(ROW(D1139)-1, 'From Order'!$A1139)), 1), D1138))"),"")</f>
        <v/>
      </c>
      <c r="E1139" s="2" t="str">
        <f>IFERROR(__xludf.DUMMYFUNCTION("IF('From Order'!$A1139=COLUMNS($A1139:E1158), LEFT(INDEX(FILTER(E$1:E1138, E$1:E1138&lt;&gt;""""),COUNTA(FILTER(E$1:E1138, E$1:E1138&lt;&gt;""""))), LEN(INDEX(FILTER(E$1:E1138, E$1:E1138&lt;&gt;""""),COUNTA(FILTER(E$1:E1138, E$1:E1138&lt;&gt;""""))))-1), IF('To Order'!$A1139=COL"&amp;"UMNS($A1139:E1158), E1138&amp;RIGHT(INDIRECT(ADDRESS(ROW(E1139)-1, 'From Order'!$A1139)), 1), E1138))"),"")</f>
        <v/>
      </c>
      <c r="F1139" s="2" t="str">
        <f>IFERROR(__xludf.DUMMYFUNCTION("IF('From Order'!$A1139=COLUMNS($A1139:F1158), LEFT(INDEX(FILTER(F$1:F1138, F$1:F1138&lt;&gt;""""),COUNTA(FILTER(F$1:F1138, F$1:F1138&lt;&gt;""""))), LEN(INDEX(FILTER(F$1:F1138, F$1:F1138&lt;&gt;""""),COUNTA(FILTER(F$1:F1138, F$1:F1138&lt;&gt;""""))))-1), IF('To Order'!$A1139=COL"&amp;"UMNS($A1139:F1158), F1138&amp;RIGHT(INDIRECT(ADDRESS(ROW(F1139)-1, 'From Order'!$A1139)), 1), F1138))"),"")</f>
        <v/>
      </c>
      <c r="G1139" s="2" t="str">
        <f>IFERROR(__xludf.DUMMYFUNCTION("IF('From Order'!$A1139=COLUMNS($A1139:G1158), LEFT(INDEX(FILTER(G$1:G1138, G$1:G1138&lt;&gt;""""),COUNTA(FILTER(G$1:G1138, G$1:G1138&lt;&gt;""""))), LEN(INDEX(FILTER(G$1:G1138, G$1:G1138&lt;&gt;""""),COUNTA(FILTER(G$1:G1138, G$1:G1138&lt;&gt;""""))))-1), IF('To Order'!$A1139=COL"&amp;"UMNS($A1139:G1158), G1138&amp;RIGHT(INDIRECT(ADDRESS(ROW(G1139)-1, 'From Order'!$A1139)), 1), G1138))"),"BVST")</f>
        <v>BVST</v>
      </c>
      <c r="H1139" s="2" t="str">
        <f>IFERROR(__xludf.DUMMYFUNCTION("IF('From Order'!$A1139=COLUMNS($A1139:H1158), LEFT(INDEX(FILTER(H$1:H1138, H$1:H1138&lt;&gt;""""),COUNTA(FILTER(H$1:H1138, H$1:H1138&lt;&gt;""""))), LEN(INDEX(FILTER(H$1:H1138, H$1:H1138&lt;&gt;""""),COUNTA(FILTER(H$1:H1138, H$1:H1138&lt;&gt;""""))))-1), IF('To Order'!$A1139=COL"&amp;"UMNS($A1139:H1158), H1138&amp;RIGHT(INDIRECT(ADDRESS(ROW(H1139)-1, 'From Order'!$A1139)), 1), H1138))"),"")</f>
        <v/>
      </c>
      <c r="I1139" s="2" t="str">
        <f>IFERROR(__xludf.DUMMYFUNCTION("IF('From Order'!$A1139=COLUMNS($A1139:I1158), LEFT(INDEX(FILTER(I$1:I1138, I$1:I1138&lt;&gt;""""),COUNTA(FILTER(I$1:I1138, I$1:I1138&lt;&gt;""""))), LEN(INDEX(FILTER(I$1:I1138, I$1:I1138&lt;&gt;""""),COUNTA(FILTER(I$1:I1138, I$1:I1138&lt;&gt;""""))))-1), IF('To Order'!$A1139=COL"&amp;"UMNS($A1139:I1158), I1138&amp;RIGHT(INDIRECT(ADDRESS(ROW(I1139)-1, 'From Order'!$A1139)), 1), I1138))"),"JCVZR")</f>
        <v>JCVZR</v>
      </c>
    </row>
    <row r="1140">
      <c r="A1140" s="2" t="str">
        <f>IFERROR(__xludf.DUMMYFUNCTION("IF('From Order'!$A1140=COLUMNS($A1140:A1159), LEFT(INDEX(FILTER(A$1:A1139, A$1:A1139&lt;&gt;""""),COUNTA(FILTER(A$1:A1139, A$1:A1139&lt;&gt;""""))), LEN(INDEX(FILTER(A$1:A1139, A$1:A1139&lt;&gt;""""),COUNTA(FILTER(A$1:A1139, A$1:A1139&lt;&gt;""""))))-1), IF('To Order'!$A1140=COL"&amp;"UMNS($A1140:A1159), A1139&amp;RIGHT(INDIRECT(ADDRESS(ROW(A1140)-1, 'From Order'!$A1140)), 1), A1139))"),"F")</f>
        <v>F</v>
      </c>
      <c r="B1140" s="2" t="str">
        <f>IFERROR(__xludf.DUMMYFUNCTION("IF('From Order'!$A1140=COLUMNS($A1140:B1159), LEFT(INDEX(FILTER(B$1:B1139, B$1:B1139&lt;&gt;""""),COUNTA(FILTER(B$1:B1139, B$1:B1139&lt;&gt;""""))), LEN(INDEX(FILTER(B$1:B1139, B$1:B1139&lt;&gt;""""),COUNTA(FILTER(B$1:B1139, B$1:B1139&lt;&gt;""""))))-1), IF('To Order'!$A1140=COL"&amp;"UMNS($A1140:B1159), B1139&amp;RIGHT(INDIRECT(ADDRESS(ROW(B1140)-1, 'From Order'!$A1140)), 1), B1139))"),"ZLPDSDJDBSBZHMFBTMG")</f>
        <v>ZLPDSDJDBSBZHMFBTMG</v>
      </c>
      <c r="C1140" s="2" t="str">
        <f>IFERROR(__xludf.DUMMYFUNCTION("IF('From Order'!$A1140=COLUMNS($A1140:C1159), LEFT(INDEX(FILTER(C$1:C1139, C$1:C1139&lt;&gt;""""),COUNTA(FILTER(C$1:C1139, C$1:C1139&lt;&gt;""""))), LEN(INDEX(FILTER(C$1:C1139, C$1:C1139&lt;&gt;""""),COUNTA(FILTER(C$1:C1139, C$1:C1139&lt;&gt;""""))))-1), IF('To Order'!$A1140=COL"&amp;"UMNS($A1140:C1159), C1139&amp;RIGHT(INDIRECT(ADDRESS(ROW(C1140)-1, 'From Order'!$A1140)), 1), C1139))"),"TRLRSGHWQVQJPPLDTDTWRMTCRCDR")</f>
        <v>TRLRSGHWQVQJPPLDTDTWRMTCRCDR</v>
      </c>
      <c r="D1140" s="2" t="str">
        <f>IFERROR(__xludf.DUMMYFUNCTION("IF('From Order'!$A1140=COLUMNS($A1140:D1159), LEFT(INDEX(FILTER(D$1:D1139, D$1:D1139&lt;&gt;""""),COUNTA(FILTER(D$1:D1139, D$1:D1139&lt;&gt;""""))), LEN(INDEX(FILTER(D$1:D1139, D$1:D1139&lt;&gt;""""),COUNTA(FILTER(D$1:D1139, D$1:D1139&lt;&gt;""""))))-1), IF('To Order'!$A1140=COL"&amp;"UMNS($A1140:D1159), D1139&amp;RIGHT(INDIRECT(ADDRESS(ROW(D1140)-1, 'From Order'!$A1140)), 1), D1139))"),"")</f>
        <v/>
      </c>
      <c r="E1140" s="2" t="str">
        <f>IFERROR(__xludf.DUMMYFUNCTION("IF('From Order'!$A1140=COLUMNS($A1140:E1159), LEFT(INDEX(FILTER(E$1:E1139, E$1:E1139&lt;&gt;""""),COUNTA(FILTER(E$1:E1139, E$1:E1139&lt;&gt;""""))), LEN(INDEX(FILTER(E$1:E1139, E$1:E1139&lt;&gt;""""),COUNTA(FILTER(E$1:E1139, E$1:E1139&lt;&gt;""""))))-1), IF('To Order'!$A1140=COL"&amp;"UMNS($A1140:E1159), E1139&amp;RIGHT(INDIRECT(ADDRESS(ROW(E1140)-1, 'From Order'!$A1140)), 1), E1139))"),"")</f>
        <v/>
      </c>
      <c r="F1140" s="2" t="str">
        <f>IFERROR(__xludf.DUMMYFUNCTION("IF('From Order'!$A1140=COLUMNS($A1140:F1159), LEFT(INDEX(FILTER(F$1:F1139, F$1:F1139&lt;&gt;""""),COUNTA(FILTER(F$1:F1139, F$1:F1139&lt;&gt;""""))), LEN(INDEX(FILTER(F$1:F1139, F$1:F1139&lt;&gt;""""),COUNTA(FILTER(F$1:F1139, F$1:F1139&lt;&gt;""""))))-1), IF('To Order'!$A1140=COL"&amp;"UMNS($A1140:F1159), F1139&amp;RIGHT(INDIRECT(ADDRESS(ROW(F1140)-1, 'From Order'!$A1140)), 1), F1139))"),"")</f>
        <v/>
      </c>
      <c r="G1140" s="2" t="str">
        <f>IFERROR(__xludf.DUMMYFUNCTION("IF('From Order'!$A1140=COLUMNS($A1140:G1159), LEFT(INDEX(FILTER(G$1:G1139, G$1:G1139&lt;&gt;""""),COUNTA(FILTER(G$1:G1139, G$1:G1139&lt;&gt;""""))), LEN(INDEX(FILTER(G$1:G1139, G$1:G1139&lt;&gt;""""),COUNTA(FILTER(G$1:G1139, G$1:G1139&lt;&gt;""""))))-1), IF('To Order'!$A1140=COL"&amp;"UMNS($A1140:G1159), G1139&amp;RIGHT(INDIRECT(ADDRESS(ROW(G1140)-1, 'From Order'!$A1140)), 1), G1139))"),"BVST")</f>
        <v>BVST</v>
      </c>
      <c r="H1140" s="2" t="str">
        <f>IFERROR(__xludf.DUMMYFUNCTION("IF('From Order'!$A1140=COLUMNS($A1140:H1159), LEFT(INDEX(FILTER(H$1:H1139, H$1:H1139&lt;&gt;""""),COUNTA(FILTER(H$1:H1139, H$1:H1139&lt;&gt;""""))), LEN(INDEX(FILTER(H$1:H1139, H$1:H1139&lt;&gt;""""),COUNTA(FILTER(H$1:H1139, H$1:H1139&lt;&gt;""""))))-1), IF('To Order'!$A1140=COL"&amp;"UMNS($A1140:H1159), H1139&amp;RIGHT(INDIRECT(ADDRESS(ROW(H1140)-1, 'From Order'!$A1140)), 1), H1139))"),"")</f>
        <v/>
      </c>
      <c r="I1140" s="2" t="str">
        <f>IFERROR(__xludf.DUMMYFUNCTION("IF('From Order'!$A1140=COLUMNS($A1140:I1159), LEFT(INDEX(FILTER(I$1:I1139, I$1:I1139&lt;&gt;""""),COUNTA(FILTER(I$1:I1139, I$1:I1139&lt;&gt;""""))), LEN(INDEX(FILTER(I$1:I1139, I$1:I1139&lt;&gt;""""),COUNTA(FILTER(I$1:I1139, I$1:I1139&lt;&gt;""""))))-1), IF('To Order'!$A1140=COL"&amp;"UMNS($A1140:I1159), I1139&amp;RIGHT(INDIRECT(ADDRESS(ROW(I1140)-1, 'From Order'!$A1140)), 1), I1139))"),"JCVZ")</f>
        <v>JCVZ</v>
      </c>
    </row>
    <row r="1141">
      <c r="A1141" s="2" t="str">
        <f>IFERROR(__xludf.DUMMYFUNCTION("IF('From Order'!$A1141=COLUMNS($A1141:A1160), LEFT(INDEX(FILTER(A$1:A1140, A$1:A1140&lt;&gt;""""),COUNTA(FILTER(A$1:A1140, A$1:A1140&lt;&gt;""""))), LEN(INDEX(FILTER(A$1:A1140, A$1:A1140&lt;&gt;""""),COUNTA(FILTER(A$1:A1140, A$1:A1140&lt;&gt;""""))))-1), IF('To Order'!$A1141=COL"&amp;"UMNS($A1141:A1160), A1140&amp;RIGHT(INDIRECT(ADDRESS(ROW(A1141)-1, 'From Order'!$A1141)), 1), A1140))"),"F")</f>
        <v>F</v>
      </c>
      <c r="B1141" s="2" t="str">
        <f>IFERROR(__xludf.DUMMYFUNCTION("IF('From Order'!$A1141=COLUMNS($A1141:B1160), LEFT(INDEX(FILTER(B$1:B1140, B$1:B1140&lt;&gt;""""),COUNTA(FILTER(B$1:B1140, B$1:B1140&lt;&gt;""""))), LEN(INDEX(FILTER(B$1:B1140, B$1:B1140&lt;&gt;""""),COUNTA(FILTER(B$1:B1140, B$1:B1140&lt;&gt;""""))))-1), IF('To Order'!$A1141=COL"&amp;"UMNS($A1141:B1160), B1140&amp;RIGHT(INDIRECT(ADDRESS(ROW(B1141)-1, 'From Order'!$A1141)), 1), B1140))"),"ZLPDSDJDBSBZHMFBTMG")</f>
        <v>ZLPDSDJDBSBZHMFBTMG</v>
      </c>
      <c r="C1141" s="2" t="str">
        <f>IFERROR(__xludf.DUMMYFUNCTION("IF('From Order'!$A1141=COLUMNS($A1141:C1160), LEFT(INDEX(FILTER(C$1:C1140, C$1:C1140&lt;&gt;""""),COUNTA(FILTER(C$1:C1140, C$1:C1140&lt;&gt;""""))), LEN(INDEX(FILTER(C$1:C1140, C$1:C1140&lt;&gt;""""),COUNTA(FILTER(C$1:C1140, C$1:C1140&lt;&gt;""""))))-1), IF('To Order'!$A1141=COL"&amp;"UMNS($A1141:C1160), C1140&amp;RIGHT(INDIRECT(ADDRESS(ROW(C1141)-1, 'From Order'!$A1141)), 1), C1140))"),"TRLRSGHWQVQJPPLDTDTWRMTCRCDRZ")</f>
        <v>TRLRSGHWQVQJPPLDTDTWRMTCRCDRZ</v>
      </c>
      <c r="D1141" s="2" t="str">
        <f>IFERROR(__xludf.DUMMYFUNCTION("IF('From Order'!$A1141=COLUMNS($A1141:D1160), LEFT(INDEX(FILTER(D$1:D1140, D$1:D1140&lt;&gt;""""),COUNTA(FILTER(D$1:D1140, D$1:D1140&lt;&gt;""""))), LEN(INDEX(FILTER(D$1:D1140, D$1:D1140&lt;&gt;""""),COUNTA(FILTER(D$1:D1140, D$1:D1140&lt;&gt;""""))))-1), IF('To Order'!$A1141=COL"&amp;"UMNS($A1141:D1160), D1140&amp;RIGHT(INDIRECT(ADDRESS(ROW(D1141)-1, 'From Order'!$A1141)), 1), D1140))"),"")</f>
        <v/>
      </c>
      <c r="E1141" s="2" t="str">
        <f>IFERROR(__xludf.DUMMYFUNCTION("IF('From Order'!$A1141=COLUMNS($A1141:E1160), LEFT(INDEX(FILTER(E$1:E1140, E$1:E1140&lt;&gt;""""),COUNTA(FILTER(E$1:E1140, E$1:E1140&lt;&gt;""""))), LEN(INDEX(FILTER(E$1:E1140, E$1:E1140&lt;&gt;""""),COUNTA(FILTER(E$1:E1140, E$1:E1140&lt;&gt;""""))))-1), IF('To Order'!$A1141=COL"&amp;"UMNS($A1141:E1160), E1140&amp;RIGHT(INDIRECT(ADDRESS(ROW(E1141)-1, 'From Order'!$A1141)), 1), E1140))"),"")</f>
        <v/>
      </c>
      <c r="F1141" s="2" t="str">
        <f>IFERROR(__xludf.DUMMYFUNCTION("IF('From Order'!$A1141=COLUMNS($A1141:F1160), LEFT(INDEX(FILTER(F$1:F1140, F$1:F1140&lt;&gt;""""),COUNTA(FILTER(F$1:F1140, F$1:F1140&lt;&gt;""""))), LEN(INDEX(FILTER(F$1:F1140, F$1:F1140&lt;&gt;""""),COUNTA(FILTER(F$1:F1140, F$1:F1140&lt;&gt;""""))))-1), IF('To Order'!$A1141=COL"&amp;"UMNS($A1141:F1160), F1140&amp;RIGHT(INDIRECT(ADDRESS(ROW(F1141)-1, 'From Order'!$A1141)), 1), F1140))"),"")</f>
        <v/>
      </c>
      <c r="G1141" s="2" t="str">
        <f>IFERROR(__xludf.DUMMYFUNCTION("IF('From Order'!$A1141=COLUMNS($A1141:G1160), LEFT(INDEX(FILTER(G$1:G1140, G$1:G1140&lt;&gt;""""),COUNTA(FILTER(G$1:G1140, G$1:G1140&lt;&gt;""""))), LEN(INDEX(FILTER(G$1:G1140, G$1:G1140&lt;&gt;""""),COUNTA(FILTER(G$1:G1140, G$1:G1140&lt;&gt;""""))))-1), IF('To Order'!$A1141=COL"&amp;"UMNS($A1141:G1160), G1140&amp;RIGHT(INDIRECT(ADDRESS(ROW(G1141)-1, 'From Order'!$A1141)), 1), G1140))"),"BVST")</f>
        <v>BVST</v>
      </c>
      <c r="H1141" s="2" t="str">
        <f>IFERROR(__xludf.DUMMYFUNCTION("IF('From Order'!$A1141=COLUMNS($A1141:H1160), LEFT(INDEX(FILTER(H$1:H1140, H$1:H1140&lt;&gt;""""),COUNTA(FILTER(H$1:H1140, H$1:H1140&lt;&gt;""""))), LEN(INDEX(FILTER(H$1:H1140, H$1:H1140&lt;&gt;""""),COUNTA(FILTER(H$1:H1140, H$1:H1140&lt;&gt;""""))))-1), IF('To Order'!$A1141=COL"&amp;"UMNS($A1141:H1160), H1140&amp;RIGHT(INDIRECT(ADDRESS(ROW(H1141)-1, 'From Order'!$A1141)), 1), H1140))"),"")</f>
        <v/>
      </c>
      <c r="I1141" s="2" t="str">
        <f>IFERROR(__xludf.DUMMYFUNCTION("IF('From Order'!$A1141=COLUMNS($A1141:I1160), LEFT(INDEX(FILTER(I$1:I1140, I$1:I1140&lt;&gt;""""),COUNTA(FILTER(I$1:I1140, I$1:I1140&lt;&gt;""""))), LEN(INDEX(FILTER(I$1:I1140, I$1:I1140&lt;&gt;""""),COUNTA(FILTER(I$1:I1140, I$1:I1140&lt;&gt;""""))))-1), IF('To Order'!$A1141=COL"&amp;"UMNS($A1141:I1160), I1140&amp;RIGHT(INDIRECT(ADDRESS(ROW(I1141)-1, 'From Order'!$A1141)), 1), I1140))"),"JCV")</f>
        <v>JCV</v>
      </c>
    </row>
    <row r="1142">
      <c r="A1142" s="2" t="str">
        <f>IFERROR(__xludf.DUMMYFUNCTION("IF('From Order'!$A1142=COLUMNS($A1142:A1161), LEFT(INDEX(FILTER(A$1:A1141, A$1:A1141&lt;&gt;""""),COUNTA(FILTER(A$1:A1141, A$1:A1141&lt;&gt;""""))), LEN(INDEX(FILTER(A$1:A1141, A$1:A1141&lt;&gt;""""),COUNTA(FILTER(A$1:A1141, A$1:A1141&lt;&gt;""""))))-1), IF('To Order'!$A1142=COL"&amp;"UMNS($A1142:A1161), A1141&amp;RIGHT(INDIRECT(ADDRESS(ROW(A1142)-1, 'From Order'!$A1142)), 1), A1141))"),"FV")</f>
        <v>FV</v>
      </c>
      <c r="B1142" s="2" t="str">
        <f>IFERROR(__xludf.DUMMYFUNCTION("IF('From Order'!$A1142=COLUMNS($A1142:B1161), LEFT(INDEX(FILTER(B$1:B1141, B$1:B1141&lt;&gt;""""),COUNTA(FILTER(B$1:B1141, B$1:B1141&lt;&gt;""""))), LEN(INDEX(FILTER(B$1:B1141, B$1:B1141&lt;&gt;""""),COUNTA(FILTER(B$1:B1141, B$1:B1141&lt;&gt;""""))))-1), IF('To Order'!$A1142=COL"&amp;"UMNS($A1142:B1161), B1141&amp;RIGHT(INDIRECT(ADDRESS(ROW(B1142)-1, 'From Order'!$A1142)), 1), B1141))"),"ZLPDSDJDBSBZHMFBTMG")</f>
        <v>ZLPDSDJDBSBZHMFBTMG</v>
      </c>
      <c r="C1142" s="2" t="str">
        <f>IFERROR(__xludf.DUMMYFUNCTION("IF('From Order'!$A1142=COLUMNS($A1142:C1161), LEFT(INDEX(FILTER(C$1:C1141, C$1:C1141&lt;&gt;""""),COUNTA(FILTER(C$1:C1141, C$1:C1141&lt;&gt;""""))), LEN(INDEX(FILTER(C$1:C1141, C$1:C1141&lt;&gt;""""),COUNTA(FILTER(C$1:C1141, C$1:C1141&lt;&gt;""""))))-1), IF('To Order'!$A1142=COL"&amp;"UMNS($A1142:C1161), C1141&amp;RIGHT(INDIRECT(ADDRESS(ROW(C1142)-1, 'From Order'!$A1142)), 1), C1141))"),"TRLRSGHWQVQJPPLDTDTWRMTCRCDRZ")</f>
        <v>TRLRSGHWQVQJPPLDTDTWRMTCRCDRZ</v>
      </c>
      <c r="D1142" s="2" t="str">
        <f>IFERROR(__xludf.DUMMYFUNCTION("IF('From Order'!$A1142=COLUMNS($A1142:D1161), LEFT(INDEX(FILTER(D$1:D1141, D$1:D1141&lt;&gt;""""),COUNTA(FILTER(D$1:D1141, D$1:D1141&lt;&gt;""""))), LEN(INDEX(FILTER(D$1:D1141, D$1:D1141&lt;&gt;""""),COUNTA(FILTER(D$1:D1141, D$1:D1141&lt;&gt;""""))))-1), IF('To Order'!$A1142=COL"&amp;"UMNS($A1142:D1161), D1141&amp;RIGHT(INDIRECT(ADDRESS(ROW(D1142)-1, 'From Order'!$A1142)), 1), D1141))"),"")</f>
        <v/>
      </c>
      <c r="E1142" s="2" t="str">
        <f>IFERROR(__xludf.DUMMYFUNCTION("IF('From Order'!$A1142=COLUMNS($A1142:E1161), LEFT(INDEX(FILTER(E$1:E1141, E$1:E1141&lt;&gt;""""),COUNTA(FILTER(E$1:E1141, E$1:E1141&lt;&gt;""""))), LEN(INDEX(FILTER(E$1:E1141, E$1:E1141&lt;&gt;""""),COUNTA(FILTER(E$1:E1141, E$1:E1141&lt;&gt;""""))))-1), IF('To Order'!$A1142=COL"&amp;"UMNS($A1142:E1161), E1141&amp;RIGHT(INDIRECT(ADDRESS(ROW(E1142)-1, 'From Order'!$A1142)), 1), E1141))"),"")</f>
        <v/>
      </c>
      <c r="F1142" s="2" t="str">
        <f>IFERROR(__xludf.DUMMYFUNCTION("IF('From Order'!$A1142=COLUMNS($A1142:F1161), LEFT(INDEX(FILTER(F$1:F1141, F$1:F1141&lt;&gt;""""),COUNTA(FILTER(F$1:F1141, F$1:F1141&lt;&gt;""""))), LEN(INDEX(FILTER(F$1:F1141, F$1:F1141&lt;&gt;""""),COUNTA(FILTER(F$1:F1141, F$1:F1141&lt;&gt;""""))))-1), IF('To Order'!$A1142=COL"&amp;"UMNS($A1142:F1161), F1141&amp;RIGHT(INDIRECT(ADDRESS(ROW(F1142)-1, 'From Order'!$A1142)), 1), F1141))"),"")</f>
        <v/>
      </c>
      <c r="G1142" s="2" t="str">
        <f>IFERROR(__xludf.DUMMYFUNCTION("IF('From Order'!$A1142=COLUMNS($A1142:G1161), LEFT(INDEX(FILTER(G$1:G1141, G$1:G1141&lt;&gt;""""),COUNTA(FILTER(G$1:G1141, G$1:G1141&lt;&gt;""""))), LEN(INDEX(FILTER(G$1:G1141, G$1:G1141&lt;&gt;""""),COUNTA(FILTER(G$1:G1141, G$1:G1141&lt;&gt;""""))))-1), IF('To Order'!$A1142=COL"&amp;"UMNS($A1142:G1161), G1141&amp;RIGHT(INDIRECT(ADDRESS(ROW(G1142)-1, 'From Order'!$A1142)), 1), G1141))"),"BVST")</f>
        <v>BVST</v>
      </c>
      <c r="H1142" s="2" t="str">
        <f>IFERROR(__xludf.DUMMYFUNCTION("IF('From Order'!$A1142=COLUMNS($A1142:H1161), LEFT(INDEX(FILTER(H$1:H1141, H$1:H1141&lt;&gt;""""),COUNTA(FILTER(H$1:H1141, H$1:H1141&lt;&gt;""""))), LEN(INDEX(FILTER(H$1:H1141, H$1:H1141&lt;&gt;""""),COUNTA(FILTER(H$1:H1141, H$1:H1141&lt;&gt;""""))))-1), IF('To Order'!$A1142=COL"&amp;"UMNS($A1142:H1161), H1141&amp;RIGHT(INDIRECT(ADDRESS(ROW(H1142)-1, 'From Order'!$A1142)), 1), H1141))"),"")</f>
        <v/>
      </c>
      <c r="I1142" s="2" t="str">
        <f>IFERROR(__xludf.DUMMYFUNCTION("IF('From Order'!$A1142=COLUMNS($A1142:I1161), LEFT(INDEX(FILTER(I$1:I1141, I$1:I1141&lt;&gt;""""),COUNTA(FILTER(I$1:I1141, I$1:I1141&lt;&gt;""""))), LEN(INDEX(FILTER(I$1:I1141, I$1:I1141&lt;&gt;""""),COUNTA(FILTER(I$1:I1141, I$1:I1141&lt;&gt;""""))))-1), IF('To Order'!$A1142=COL"&amp;"UMNS($A1142:I1161), I1141&amp;RIGHT(INDIRECT(ADDRESS(ROW(I1142)-1, 'From Order'!$A1142)), 1), I1141))"),"JC")</f>
        <v>JC</v>
      </c>
    </row>
    <row r="1143">
      <c r="A1143" s="2" t="str">
        <f>IFERROR(__xludf.DUMMYFUNCTION("IF('From Order'!$A1143=COLUMNS($A1143:A1162), LEFT(INDEX(FILTER(A$1:A1142, A$1:A1142&lt;&gt;""""),COUNTA(FILTER(A$1:A1142, A$1:A1142&lt;&gt;""""))), LEN(INDEX(FILTER(A$1:A1142, A$1:A1142&lt;&gt;""""),COUNTA(FILTER(A$1:A1142, A$1:A1142&lt;&gt;""""))))-1), IF('To Order'!$A1143=COL"&amp;"UMNS($A1143:A1162), A1142&amp;RIGHT(INDIRECT(ADDRESS(ROW(A1143)-1, 'From Order'!$A1143)), 1), A1142))"),"F")</f>
        <v>F</v>
      </c>
      <c r="B1143" s="2" t="str">
        <f>IFERROR(__xludf.DUMMYFUNCTION("IF('From Order'!$A1143=COLUMNS($A1143:B1162), LEFT(INDEX(FILTER(B$1:B1142, B$1:B1142&lt;&gt;""""),COUNTA(FILTER(B$1:B1142, B$1:B1142&lt;&gt;""""))), LEN(INDEX(FILTER(B$1:B1142, B$1:B1142&lt;&gt;""""),COUNTA(FILTER(B$1:B1142, B$1:B1142&lt;&gt;""""))))-1), IF('To Order'!$A1143=COL"&amp;"UMNS($A1143:B1162), B1142&amp;RIGHT(INDIRECT(ADDRESS(ROW(B1143)-1, 'From Order'!$A1143)), 1), B1142))"),"ZLPDSDJDBSBZHMFBTMG")</f>
        <v>ZLPDSDJDBSBZHMFBTMG</v>
      </c>
      <c r="C1143" s="2" t="str">
        <f>IFERROR(__xludf.DUMMYFUNCTION("IF('From Order'!$A1143=COLUMNS($A1143:C1162), LEFT(INDEX(FILTER(C$1:C1142, C$1:C1142&lt;&gt;""""),COUNTA(FILTER(C$1:C1142, C$1:C1142&lt;&gt;""""))), LEN(INDEX(FILTER(C$1:C1142, C$1:C1142&lt;&gt;""""),COUNTA(FILTER(C$1:C1142, C$1:C1142&lt;&gt;""""))))-1), IF('To Order'!$A1143=COL"&amp;"UMNS($A1143:C1162), C1142&amp;RIGHT(INDIRECT(ADDRESS(ROW(C1143)-1, 'From Order'!$A1143)), 1), C1142))"),"TRLRSGHWQVQJPPLDTDTWRMTCRCDRZ")</f>
        <v>TRLRSGHWQVQJPPLDTDTWRMTCRCDRZ</v>
      </c>
      <c r="D1143" s="2" t="str">
        <f>IFERROR(__xludf.DUMMYFUNCTION("IF('From Order'!$A1143=COLUMNS($A1143:D1162), LEFT(INDEX(FILTER(D$1:D1142, D$1:D1142&lt;&gt;""""),COUNTA(FILTER(D$1:D1142, D$1:D1142&lt;&gt;""""))), LEN(INDEX(FILTER(D$1:D1142, D$1:D1142&lt;&gt;""""),COUNTA(FILTER(D$1:D1142, D$1:D1142&lt;&gt;""""))))-1), IF('To Order'!$A1143=COL"&amp;"UMNS($A1143:D1162), D1142&amp;RIGHT(INDIRECT(ADDRESS(ROW(D1143)-1, 'From Order'!$A1143)), 1), D1142))"),"")</f>
        <v/>
      </c>
      <c r="E1143" s="2" t="str">
        <f>IFERROR(__xludf.DUMMYFUNCTION("IF('From Order'!$A1143=COLUMNS($A1143:E1162), LEFT(INDEX(FILTER(E$1:E1142, E$1:E1142&lt;&gt;""""),COUNTA(FILTER(E$1:E1142, E$1:E1142&lt;&gt;""""))), LEN(INDEX(FILTER(E$1:E1142, E$1:E1142&lt;&gt;""""),COUNTA(FILTER(E$1:E1142, E$1:E1142&lt;&gt;""""))))-1), IF('To Order'!$A1143=COL"&amp;"UMNS($A1143:E1162), E1142&amp;RIGHT(INDIRECT(ADDRESS(ROW(E1143)-1, 'From Order'!$A1143)), 1), E1142))"),"")</f>
        <v/>
      </c>
      <c r="F1143" s="2" t="str">
        <f>IFERROR(__xludf.DUMMYFUNCTION("IF('From Order'!$A1143=COLUMNS($A1143:F1162), LEFT(INDEX(FILTER(F$1:F1142, F$1:F1142&lt;&gt;""""),COUNTA(FILTER(F$1:F1142, F$1:F1142&lt;&gt;""""))), LEN(INDEX(FILTER(F$1:F1142, F$1:F1142&lt;&gt;""""),COUNTA(FILTER(F$1:F1142, F$1:F1142&lt;&gt;""""))))-1), IF('To Order'!$A1143=COL"&amp;"UMNS($A1143:F1162), F1142&amp;RIGHT(INDIRECT(ADDRESS(ROW(F1143)-1, 'From Order'!$A1143)), 1), F1142))"),"")</f>
        <v/>
      </c>
      <c r="G1143" s="2" t="str">
        <f>IFERROR(__xludf.DUMMYFUNCTION("IF('From Order'!$A1143=COLUMNS($A1143:G1162), LEFT(INDEX(FILTER(G$1:G1142, G$1:G1142&lt;&gt;""""),COUNTA(FILTER(G$1:G1142, G$1:G1142&lt;&gt;""""))), LEN(INDEX(FILTER(G$1:G1142, G$1:G1142&lt;&gt;""""),COUNTA(FILTER(G$1:G1142, G$1:G1142&lt;&gt;""""))))-1), IF('To Order'!$A1143=COL"&amp;"UMNS($A1143:G1162), G1142&amp;RIGHT(INDIRECT(ADDRESS(ROW(G1143)-1, 'From Order'!$A1143)), 1), G1142))"),"BVST")</f>
        <v>BVST</v>
      </c>
      <c r="H1143" s="2" t="str">
        <f>IFERROR(__xludf.DUMMYFUNCTION("IF('From Order'!$A1143=COLUMNS($A1143:H1162), LEFT(INDEX(FILTER(H$1:H1142, H$1:H1142&lt;&gt;""""),COUNTA(FILTER(H$1:H1142, H$1:H1142&lt;&gt;""""))), LEN(INDEX(FILTER(H$1:H1142, H$1:H1142&lt;&gt;""""),COUNTA(FILTER(H$1:H1142, H$1:H1142&lt;&gt;""""))))-1), IF('To Order'!$A1143=COL"&amp;"UMNS($A1143:H1162), H1142&amp;RIGHT(INDIRECT(ADDRESS(ROW(H1143)-1, 'From Order'!$A1143)), 1), H1142))"),"V")</f>
        <v>V</v>
      </c>
      <c r="I1143" s="2" t="str">
        <f>IFERROR(__xludf.DUMMYFUNCTION("IF('From Order'!$A1143=COLUMNS($A1143:I1162), LEFT(INDEX(FILTER(I$1:I1142, I$1:I1142&lt;&gt;""""),COUNTA(FILTER(I$1:I1142, I$1:I1142&lt;&gt;""""))), LEN(INDEX(FILTER(I$1:I1142, I$1:I1142&lt;&gt;""""),COUNTA(FILTER(I$1:I1142, I$1:I1142&lt;&gt;""""))))-1), IF('To Order'!$A1143=COL"&amp;"UMNS($A1143:I1162), I1142&amp;RIGHT(INDIRECT(ADDRESS(ROW(I1143)-1, 'From Order'!$A1143)), 1), I1142))"),"JC")</f>
        <v>JC</v>
      </c>
    </row>
    <row r="1144">
      <c r="A1144" s="2" t="str">
        <f>IFERROR(__xludf.DUMMYFUNCTION("IF('From Order'!$A1144=COLUMNS($A1144:A1163), LEFT(INDEX(FILTER(A$1:A1143, A$1:A1143&lt;&gt;""""),COUNTA(FILTER(A$1:A1143, A$1:A1143&lt;&gt;""""))), LEN(INDEX(FILTER(A$1:A1143, A$1:A1143&lt;&gt;""""),COUNTA(FILTER(A$1:A1143, A$1:A1143&lt;&gt;""""))))-1), IF('To Order'!$A1144=COL"&amp;"UMNS($A1144:A1163), A1143&amp;RIGHT(INDIRECT(ADDRESS(ROW(A1144)-1, 'From Order'!$A1144)), 1), A1143))"),"")</f>
        <v/>
      </c>
      <c r="B1144" s="2" t="str">
        <f>IFERROR(__xludf.DUMMYFUNCTION("IF('From Order'!$A1144=COLUMNS($A1144:B1163), LEFT(INDEX(FILTER(B$1:B1143, B$1:B1143&lt;&gt;""""),COUNTA(FILTER(B$1:B1143, B$1:B1143&lt;&gt;""""))), LEN(INDEX(FILTER(B$1:B1143, B$1:B1143&lt;&gt;""""),COUNTA(FILTER(B$1:B1143, B$1:B1143&lt;&gt;""""))))-1), IF('To Order'!$A1144=COL"&amp;"UMNS($A1144:B1163), B1143&amp;RIGHT(INDIRECT(ADDRESS(ROW(B1144)-1, 'From Order'!$A1144)), 1), B1143))"),"ZLPDSDJDBSBZHMFBTMG")</f>
        <v>ZLPDSDJDBSBZHMFBTMG</v>
      </c>
      <c r="C1144" s="2" t="str">
        <f>IFERROR(__xludf.DUMMYFUNCTION("IF('From Order'!$A1144=COLUMNS($A1144:C1163), LEFT(INDEX(FILTER(C$1:C1143, C$1:C1143&lt;&gt;""""),COUNTA(FILTER(C$1:C1143, C$1:C1143&lt;&gt;""""))), LEN(INDEX(FILTER(C$1:C1143, C$1:C1143&lt;&gt;""""),COUNTA(FILTER(C$1:C1143, C$1:C1143&lt;&gt;""""))))-1), IF('To Order'!$A1144=COL"&amp;"UMNS($A1144:C1163), C1143&amp;RIGHT(INDIRECT(ADDRESS(ROW(C1144)-1, 'From Order'!$A1144)), 1), C1143))"),"TRLRSGHWQVQJPPLDTDTWRMTCRCDRZ")</f>
        <v>TRLRSGHWQVQJPPLDTDTWRMTCRCDRZ</v>
      </c>
      <c r="D1144" s="2" t="str">
        <f>IFERROR(__xludf.DUMMYFUNCTION("IF('From Order'!$A1144=COLUMNS($A1144:D1163), LEFT(INDEX(FILTER(D$1:D1143, D$1:D1143&lt;&gt;""""),COUNTA(FILTER(D$1:D1143, D$1:D1143&lt;&gt;""""))), LEN(INDEX(FILTER(D$1:D1143, D$1:D1143&lt;&gt;""""),COUNTA(FILTER(D$1:D1143, D$1:D1143&lt;&gt;""""))))-1), IF('To Order'!$A1144=COL"&amp;"UMNS($A1144:D1163), D1143&amp;RIGHT(INDIRECT(ADDRESS(ROW(D1144)-1, 'From Order'!$A1144)), 1), D1143))"),"")</f>
        <v/>
      </c>
      <c r="E1144" s="2" t="str">
        <f>IFERROR(__xludf.DUMMYFUNCTION("IF('From Order'!$A1144=COLUMNS($A1144:E1163), LEFT(INDEX(FILTER(E$1:E1143, E$1:E1143&lt;&gt;""""),COUNTA(FILTER(E$1:E1143, E$1:E1143&lt;&gt;""""))), LEN(INDEX(FILTER(E$1:E1143, E$1:E1143&lt;&gt;""""),COUNTA(FILTER(E$1:E1143, E$1:E1143&lt;&gt;""""))))-1), IF('To Order'!$A1144=COL"&amp;"UMNS($A1144:E1163), E1143&amp;RIGHT(INDIRECT(ADDRESS(ROW(E1144)-1, 'From Order'!$A1144)), 1), E1143))"),"")</f>
        <v/>
      </c>
      <c r="F1144" s="2" t="str">
        <f>IFERROR(__xludf.DUMMYFUNCTION("IF('From Order'!$A1144=COLUMNS($A1144:F1163), LEFT(INDEX(FILTER(F$1:F1143, F$1:F1143&lt;&gt;""""),COUNTA(FILTER(F$1:F1143, F$1:F1143&lt;&gt;""""))), LEN(INDEX(FILTER(F$1:F1143, F$1:F1143&lt;&gt;""""),COUNTA(FILTER(F$1:F1143, F$1:F1143&lt;&gt;""""))))-1), IF('To Order'!$A1144=COL"&amp;"UMNS($A1144:F1163), F1143&amp;RIGHT(INDIRECT(ADDRESS(ROW(F1144)-1, 'From Order'!$A1144)), 1), F1143))"),"")</f>
        <v/>
      </c>
      <c r="G1144" s="2" t="str">
        <f>IFERROR(__xludf.DUMMYFUNCTION("IF('From Order'!$A1144=COLUMNS($A1144:G1163), LEFT(INDEX(FILTER(G$1:G1143, G$1:G1143&lt;&gt;""""),COUNTA(FILTER(G$1:G1143, G$1:G1143&lt;&gt;""""))), LEN(INDEX(FILTER(G$1:G1143, G$1:G1143&lt;&gt;""""),COUNTA(FILTER(G$1:G1143, G$1:G1143&lt;&gt;""""))))-1), IF('To Order'!$A1144=COL"&amp;"UMNS($A1144:G1163), G1143&amp;RIGHT(INDIRECT(ADDRESS(ROW(G1144)-1, 'From Order'!$A1144)), 1), G1143))"),"BVST")</f>
        <v>BVST</v>
      </c>
      <c r="H1144" s="2" t="str">
        <f>IFERROR(__xludf.DUMMYFUNCTION("IF('From Order'!$A1144=COLUMNS($A1144:H1163), LEFT(INDEX(FILTER(H$1:H1143, H$1:H1143&lt;&gt;""""),COUNTA(FILTER(H$1:H1143, H$1:H1143&lt;&gt;""""))), LEN(INDEX(FILTER(H$1:H1143, H$1:H1143&lt;&gt;""""),COUNTA(FILTER(H$1:H1143, H$1:H1143&lt;&gt;""""))))-1), IF('To Order'!$A1144=COL"&amp;"UMNS($A1144:H1163), H1143&amp;RIGHT(INDIRECT(ADDRESS(ROW(H1144)-1, 'From Order'!$A1144)), 1), H1143))"),"VF")</f>
        <v>VF</v>
      </c>
      <c r="I1144" s="2" t="str">
        <f>IFERROR(__xludf.DUMMYFUNCTION("IF('From Order'!$A1144=COLUMNS($A1144:I1163), LEFT(INDEX(FILTER(I$1:I1143, I$1:I1143&lt;&gt;""""),COUNTA(FILTER(I$1:I1143, I$1:I1143&lt;&gt;""""))), LEN(INDEX(FILTER(I$1:I1143, I$1:I1143&lt;&gt;""""),COUNTA(FILTER(I$1:I1143, I$1:I1143&lt;&gt;""""))))-1), IF('To Order'!$A1144=COL"&amp;"UMNS($A1144:I1163), I1143&amp;RIGHT(INDIRECT(ADDRESS(ROW(I1144)-1, 'From Order'!$A1144)), 1), I1143))"),"JC")</f>
        <v>JC</v>
      </c>
    </row>
    <row r="1145">
      <c r="A1145" s="2" t="str">
        <f>IFERROR(__xludf.DUMMYFUNCTION("IF('From Order'!$A1145=COLUMNS($A1145:A1164), LEFT(INDEX(FILTER(A$1:A1144, A$1:A1144&lt;&gt;""""),COUNTA(FILTER(A$1:A1144, A$1:A1144&lt;&gt;""""))), LEN(INDEX(FILTER(A$1:A1144, A$1:A1144&lt;&gt;""""),COUNTA(FILTER(A$1:A1144, A$1:A1144&lt;&gt;""""))))-1), IF('To Order'!$A1145=COL"&amp;"UMNS($A1145:A1164), A1144&amp;RIGHT(INDIRECT(ADDRESS(ROW(A1145)-1, 'From Order'!$A1145)), 1), A1144))"),"")</f>
        <v/>
      </c>
      <c r="B1145" s="2" t="str">
        <f>IFERROR(__xludf.DUMMYFUNCTION("IF('From Order'!$A1145=COLUMNS($A1145:B1164), LEFT(INDEX(FILTER(B$1:B1144, B$1:B1144&lt;&gt;""""),COUNTA(FILTER(B$1:B1144, B$1:B1144&lt;&gt;""""))), LEN(INDEX(FILTER(B$1:B1144, B$1:B1144&lt;&gt;""""),COUNTA(FILTER(B$1:B1144, B$1:B1144&lt;&gt;""""))))-1), IF('To Order'!$A1145=COL"&amp;"UMNS($A1145:B1164), B1144&amp;RIGHT(INDIRECT(ADDRESS(ROW(B1145)-1, 'From Order'!$A1145)), 1), B1144))"),"ZLPDSDJDBSBZHMFBTM")</f>
        <v>ZLPDSDJDBSBZHMFBTM</v>
      </c>
      <c r="C1145" s="2" t="str">
        <f>IFERROR(__xludf.DUMMYFUNCTION("IF('From Order'!$A1145=COLUMNS($A1145:C1164), LEFT(INDEX(FILTER(C$1:C1144, C$1:C1144&lt;&gt;""""),COUNTA(FILTER(C$1:C1144, C$1:C1144&lt;&gt;""""))), LEN(INDEX(FILTER(C$1:C1144, C$1:C1144&lt;&gt;""""),COUNTA(FILTER(C$1:C1144, C$1:C1144&lt;&gt;""""))))-1), IF('To Order'!$A1145=COL"&amp;"UMNS($A1145:C1164), C1144&amp;RIGHT(INDIRECT(ADDRESS(ROW(C1145)-1, 'From Order'!$A1145)), 1), C1144))"),"TRLRSGHWQVQJPPLDTDTWRMTCRCDRZ")</f>
        <v>TRLRSGHWQVQJPPLDTDTWRMTCRCDRZ</v>
      </c>
      <c r="D1145" s="2" t="str">
        <f>IFERROR(__xludf.DUMMYFUNCTION("IF('From Order'!$A1145=COLUMNS($A1145:D1164), LEFT(INDEX(FILTER(D$1:D1144, D$1:D1144&lt;&gt;""""),COUNTA(FILTER(D$1:D1144, D$1:D1144&lt;&gt;""""))), LEN(INDEX(FILTER(D$1:D1144, D$1:D1144&lt;&gt;""""),COUNTA(FILTER(D$1:D1144, D$1:D1144&lt;&gt;""""))))-1), IF('To Order'!$A1145=COL"&amp;"UMNS($A1145:D1164), D1144&amp;RIGHT(INDIRECT(ADDRESS(ROW(D1145)-1, 'From Order'!$A1145)), 1), D1144))"),"G")</f>
        <v>G</v>
      </c>
      <c r="E1145" s="2" t="str">
        <f>IFERROR(__xludf.DUMMYFUNCTION("IF('From Order'!$A1145=COLUMNS($A1145:E1164), LEFT(INDEX(FILTER(E$1:E1144, E$1:E1144&lt;&gt;""""),COUNTA(FILTER(E$1:E1144, E$1:E1144&lt;&gt;""""))), LEN(INDEX(FILTER(E$1:E1144, E$1:E1144&lt;&gt;""""),COUNTA(FILTER(E$1:E1144, E$1:E1144&lt;&gt;""""))))-1), IF('To Order'!$A1145=COL"&amp;"UMNS($A1145:E1164), E1144&amp;RIGHT(INDIRECT(ADDRESS(ROW(E1145)-1, 'From Order'!$A1145)), 1), E1144))"),"")</f>
        <v/>
      </c>
      <c r="F1145" s="2" t="str">
        <f>IFERROR(__xludf.DUMMYFUNCTION("IF('From Order'!$A1145=COLUMNS($A1145:F1164), LEFT(INDEX(FILTER(F$1:F1144, F$1:F1144&lt;&gt;""""),COUNTA(FILTER(F$1:F1144, F$1:F1144&lt;&gt;""""))), LEN(INDEX(FILTER(F$1:F1144, F$1:F1144&lt;&gt;""""),COUNTA(FILTER(F$1:F1144, F$1:F1144&lt;&gt;""""))))-1), IF('To Order'!$A1145=COL"&amp;"UMNS($A1145:F1164), F1144&amp;RIGHT(INDIRECT(ADDRESS(ROW(F1145)-1, 'From Order'!$A1145)), 1), F1144))"),"")</f>
        <v/>
      </c>
      <c r="G1145" s="2" t="str">
        <f>IFERROR(__xludf.DUMMYFUNCTION("IF('From Order'!$A1145=COLUMNS($A1145:G1164), LEFT(INDEX(FILTER(G$1:G1144, G$1:G1144&lt;&gt;""""),COUNTA(FILTER(G$1:G1144, G$1:G1144&lt;&gt;""""))), LEN(INDEX(FILTER(G$1:G1144, G$1:G1144&lt;&gt;""""),COUNTA(FILTER(G$1:G1144, G$1:G1144&lt;&gt;""""))))-1), IF('To Order'!$A1145=COL"&amp;"UMNS($A1145:G1164), G1144&amp;RIGHT(INDIRECT(ADDRESS(ROW(G1145)-1, 'From Order'!$A1145)), 1), G1144))"),"BVST")</f>
        <v>BVST</v>
      </c>
      <c r="H1145" s="2" t="str">
        <f>IFERROR(__xludf.DUMMYFUNCTION("IF('From Order'!$A1145=COLUMNS($A1145:H1164), LEFT(INDEX(FILTER(H$1:H1144, H$1:H1144&lt;&gt;""""),COUNTA(FILTER(H$1:H1144, H$1:H1144&lt;&gt;""""))), LEN(INDEX(FILTER(H$1:H1144, H$1:H1144&lt;&gt;""""),COUNTA(FILTER(H$1:H1144, H$1:H1144&lt;&gt;""""))))-1), IF('To Order'!$A1145=COL"&amp;"UMNS($A1145:H1164), H1144&amp;RIGHT(INDIRECT(ADDRESS(ROW(H1145)-1, 'From Order'!$A1145)), 1), H1144))"),"VF")</f>
        <v>VF</v>
      </c>
      <c r="I1145" s="2" t="str">
        <f>IFERROR(__xludf.DUMMYFUNCTION("IF('From Order'!$A1145=COLUMNS($A1145:I1164), LEFT(INDEX(FILTER(I$1:I1144, I$1:I1144&lt;&gt;""""),COUNTA(FILTER(I$1:I1144, I$1:I1144&lt;&gt;""""))), LEN(INDEX(FILTER(I$1:I1144, I$1:I1144&lt;&gt;""""),COUNTA(FILTER(I$1:I1144, I$1:I1144&lt;&gt;""""))))-1), IF('To Order'!$A1145=COL"&amp;"UMNS($A1145:I1164), I1144&amp;RIGHT(INDIRECT(ADDRESS(ROW(I1145)-1, 'From Order'!$A1145)), 1), I1144))"),"JC")</f>
        <v>JC</v>
      </c>
    </row>
    <row r="1146">
      <c r="A1146" s="2" t="str">
        <f>IFERROR(__xludf.DUMMYFUNCTION("IF('From Order'!$A1146=COLUMNS($A1146:A1165), LEFT(INDEX(FILTER(A$1:A1145, A$1:A1145&lt;&gt;""""),COUNTA(FILTER(A$1:A1145, A$1:A1145&lt;&gt;""""))), LEN(INDEX(FILTER(A$1:A1145, A$1:A1145&lt;&gt;""""),COUNTA(FILTER(A$1:A1145, A$1:A1145&lt;&gt;""""))))-1), IF('To Order'!$A1146=COL"&amp;"UMNS($A1146:A1165), A1145&amp;RIGHT(INDIRECT(ADDRESS(ROW(A1146)-1, 'From Order'!$A1146)), 1), A1145))"),"")</f>
        <v/>
      </c>
      <c r="B1146" s="2" t="str">
        <f>IFERROR(__xludf.DUMMYFUNCTION("IF('From Order'!$A1146=COLUMNS($A1146:B1165), LEFT(INDEX(FILTER(B$1:B1145, B$1:B1145&lt;&gt;""""),COUNTA(FILTER(B$1:B1145, B$1:B1145&lt;&gt;""""))), LEN(INDEX(FILTER(B$1:B1145, B$1:B1145&lt;&gt;""""),COUNTA(FILTER(B$1:B1145, B$1:B1145&lt;&gt;""""))))-1), IF('To Order'!$A1146=COL"&amp;"UMNS($A1146:B1165), B1145&amp;RIGHT(INDIRECT(ADDRESS(ROW(B1146)-1, 'From Order'!$A1146)), 1), B1145))"),"ZLPDSDJDBSBZHMFBT")</f>
        <v>ZLPDSDJDBSBZHMFBT</v>
      </c>
      <c r="C1146" s="2" t="str">
        <f>IFERROR(__xludf.DUMMYFUNCTION("IF('From Order'!$A1146=COLUMNS($A1146:C1165), LEFT(INDEX(FILTER(C$1:C1145, C$1:C1145&lt;&gt;""""),COUNTA(FILTER(C$1:C1145, C$1:C1145&lt;&gt;""""))), LEN(INDEX(FILTER(C$1:C1145, C$1:C1145&lt;&gt;""""),COUNTA(FILTER(C$1:C1145, C$1:C1145&lt;&gt;""""))))-1), IF('To Order'!$A1146=COL"&amp;"UMNS($A1146:C1165), C1145&amp;RIGHT(INDIRECT(ADDRESS(ROW(C1146)-1, 'From Order'!$A1146)), 1), C1145))"),"TRLRSGHWQVQJPPLDTDTWRMTCRCDRZ")</f>
        <v>TRLRSGHWQVQJPPLDTDTWRMTCRCDRZ</v>
      </c>
      <c r="D1146" s="2" t="str">
        <f>IFERROR(__xludf.DUMMYFUNCTION("IF('From Order'!$A1146=COLUMNS($A1146:D1165), LEFT(INDEX(FILTER(D$1:D1145, D$1:D1145&lt;&gt;""""),COUNTA(FILTER(D$1:D1145, D$1:D1145&lt;&gt;""""))), LEN(INDEX(FILTER(D$1:D1145, D$1:D1145&lt;&gt;""""),COUNTA(FILTER(D$1:D1145, D$1:D1145&lt;&gt;""""))))-1), IF('To Order'!$A1146=COL"&amp;"UMNS($A1146:D1165), D1145&amp;RIGHT(INDIRECT(ADDRESS(ROW(D1146)-1, 'From Order'!$A1146)), 1), D1145))"),"GM")</f>
        <v>GM</v>
      </c>
      <c r="E1146" s="2" t="str">
        <f>IFERROR(__xludf.DUMMYFUNCTION("IF('From Order'!$A1146=COLUMNS($A1146:E1165), LEFT(INDEX(FILTER(E$1:E1145, E$1:E1145&lt;&gt;""""),COUNTA(FILTER(E$1:E1145, E$1:E1145&lt;&gt;""""))), LEN(INDEX(FILTER(E$1:E1145, E$1:E1145&lt;&gt;""""),COUNTA(FILTER(E$1:E1145, E$1:E1145&lt;&gt;""""))))-1), IF('To Order'!$A1146=COL"&amp;"UMNS($A1146:E1165), E1145&amp;RIGHT(INDIRECT(ADDRESS(ROW(E1146)-1, 'From Order'!$A1146)), 1), E1145))"),"")</f>
        <v/>
      </c>
      <c r="F1146" s="2" t="str">
        <f>IFERROR(__xludf.DUMMYFUNCTION("IF('From Order'!$A1146=COLUMNS($A1146:F1165), LEFT(INDEX(FILTER(F$1:F1145, F$1:F1145&lt;&gt;""""),COUNTA(FILTER(F$1:F1145, F$1:F1145&lt;&gt;""""))), LEN(INDEX(FILTER(F$1:F1145, F$1:F1145&lt;&gt;""""),COUNTA(FILTER(F$1:F1145, F$1:F1145&lt;&gt;""""))))-1), IF('To Order'!$A1146=COL"&amp;"UMNS($A1146:F1165), F1145&amp;RIGHT(INDIRECT(ADDRESS(ROW(F1146)-1, 'From Order'!$A1146)), 1), F1145))"),"")</f>
        <v/>
      </c>
      <c r="G1146" s="2" t="str">
        <f>IFERROR(__xludf.DUMMYFUNCTION("IF('From Order'!$A1146=COLUMNS($A1146:G1165), LEFT(INDEX(FILTER(G$1:G1145, G$1:G1145&lt;&gt;""""),COUNTA(FILTER(G$1:G1145, G$1:G1145&lt;&gt;""""))), LEN(INDEX(FILTER(G$1:G1145, G$1:G1145&lt;&gt;""""),COUNTA(FILTER(G$1:G1145, G$1:G1145&lt;&gt;""""))))-1), IF('To Order'!$A1146=COL"&amp;"UMNS($A1146:G1165), G1145&amp;RIGHT(INDIRECT(ADDRESS(ROW(G1146)-1, 'From Order'!$A1146)), 1), G1145))"),"BVST")</f>
        <v>BVST</v>
      </c>
      <c r="H1146" s="2" t="str">
        <f>IFERROR(__xludf.DUMMYFUNCTION("IF('From Order'!$A1146=COLUMNS($A1146:H1165), LEFT(INDEX(FILTER(H$1:H1145, H$1:H1145&lt;&gt;""""),COUNTA(FILTER(H$1:H1145, H$1:H1145&lt;&gt;""""))), LEN(INDEX(FILTER(H$1:H1145, H$1:H1145&lt;&gt;""""),COUNTA(FILTER(H$1:H1145, H$1:H1145&lt;&gt;""""))))-1), IF('To Order'!$A1146=COL"&amp;"UMNS($A1146:H1165), H1145&amp;RIGHT(INDIRECT(ADDRESS(ROW(H1146)-1, 'From Order'!$A1146)), 1), H1145))"),"VF")</f>
        <v>VF</v>
      </c>
      <c r="I1146" s="2" t="str">
        <f>IFERROR(__xludf.DUMMYFUNCTION("IF('From Order'!$A1146=COLUMNS($A1146:I1165), LEFT(INDEX(FILTER(I$1:I1145, I$1:I1145&lt;&gt;""""),COUNTA(FILTER(I$1:I1145, I$1:I1145&lt;&gt;""""))), LEN(INDEX(FILTER(I$1:I1145, I$1:I1145&lt;&gt;""""),COUNTA(FILTER(I$1:I1145, I$1:I1145&lt;&gt;""""))))-1), IF('To Order'!$A1146=COL"&amp;"UMNS($A1146:I1165), I1145&amp;RIGHT(INDIRECT(ADDRESS(ROW(I1146)-1, 'From Order'!$A1146)), 1), I1145))"),"JC")</f>
        <v>JC</v>
      </c>
    </row>
    <row r="1147">
      <c r="A1147" s="2" t="str">
        <f>IFERROR(__xludf.DUMMYFUNCTION("IF('From Order'!$A1147=COLUMNS($A1147:A1166), LEFT(INDEX(FILTER(A$1:A1146, A$1:A1146&lt;&gt;""""),COUNTA(FILTER(A$1:A1146, A$1:A1146&lt;&gt;""""))), LEN(INDEX(FILTER(A$1:A1146, A$1:A1146&lt;&gt;""""),COUNTA(FILTER(A$1:A1146, A$1:A1146&lt;&gt;""""))))-1), IF('To Order'!$A1147=COL"&amp;"UMNS($A1147:A1166), A1146&amp;RIGHT(INDIRECT(ADDRESS(ROW(A1147)-1, 'From Order'!$A1147)), 1), A1146))"),"")</f>
        <v/>
      </c>
      <c r="B1147" s="2" t="str">
        <f>IFERROR(__xludf.DUMMYFUNCTION("IF('From Order'!$A1147=COLUMNS($A1147:B1166), LEFT(INDEX(FILTER(B$1:B1146, B$1:B1146&lt;&gt;""""),COUNTA(FILTER(B$1:B1146, B$1:B1146&lt;&gt;""""))), LEN(INDEX(FILTER(B$1:B1146, B$1:B1146&lt;&gt;""""),COUNTA(FILTER(B$1:B1146, B$1:B1146&lt;&gt;""""))))-1), IF('To Order'!$A1147=COL"&amp;"UMNS($A1147:B1166), B1146&amp;RIGHT(INDIRECT(ADDRESS(ROW(B1147)-1, 'From Order'!$A1147)), 1), B1146))"),"ZLPDSDJDBSBZHMFB")</f>
        <v>ZLPDSDJDBSBZHMFB</v>
      </c>
      <c r="C1147" s="2" t="str">
        <f>IFERROR(__xludf.DUMMYFUNCTION("IF('From Order'!$A1147=COLUMNS($A1147:C1166), LEFT(INDEX(FILTER(C$1:C1146, C$1:C1146&lt;&gt;""""),COUNTA(FILTER(C$1:C1146, C$1:C1146&lt;&gt;""""))), LEN(INDEX(FILTER(C$1:C1146, C$1:C1146&lt;&gt;""""),COUNTA(FILTER(C$1:C1146, C$1:C1146&lt;&gt;""""))))-1), IF('To Order'!$A1147=COL"&amp;"UMNS($A1147:C1166), C1146&amp;RIGHT(INDIRECT(ADDRESS(ROW(C1147)-1, 'From Order'!$A1147)), 1), C1146))"),"TRLRSGHWQVQJPPLDTDTWRMTCRCDRZ")</f>
        <v>TRLRSGHWQVQJPPLDTDTWRMTCRCDRZ</v>
      </c>
      <c r="D1147" s="2" t="str">
        <f>IFERROR(__xludf.DUMMYFUNCTION("IF('From Order'!$A1147=COLUMNS($A1147:D1166), LEFT(INDEX(FILTER(D$1:D1146, D$1:D1146&lt;&gt;""""),COUNTA(FILTER(D$1:D1146, D$1:D1146&lt;&gt;""""))), LEN(INDEX(FILTER(D$1:D1146, D$1:D1146&lt;&gt;""""),COUNTA(FILTER(D$1:D1146, D$1:D1146&lt;&gt;""""))))-1), IF('To Order'!$A1147=COL"&amp;"UMNS($A1147:D1166), D1146&amp;RIGHT(INDIRECT(ADDRESS(ROW(D1147)-1, 'From Order'!$A1147)), 1), D1146))"),"GMT")</f>
        <v>GMT</v>
      </c>
      <c r="E1147" s="2" t="str">
        <f>IFERROR(__xludf.DUMMYFUNCTION("IF('From Order'!$A1147=COLUMNS($A1147:E1166), LEFT(INDEX(FILTER(E$1:E1146, E$1:E1146&lt;&gt;""""),COUNTA(FILTER(E$1:E1146, E$1:E1146&lt;&gt;""""))), LEN(INDEX(FILTER(E$1:E1146, E$1:E1146&lt;&gt;""""),COUNTA(FILTER(E$1:E1146, E$1:E1146&lt;&gt;""""))))-1), IF('To Order'!$A1147=COL"&amp;"UMNS($A1147:E1166), E1146&amp;RIGHT(INDIRECT(ADDRESS(ROW(E1147)-1, 'From Order'!$A1147)), 1), E1146))"),"")</f>
        <v/>
      </c>
      <c r="F1147" s="2" t="str">
        <f>IFERROR(__xludf.DUMMYFUNCTION("IF('From Order'!$A1147=COLUMNS($A1147:F1166), LEFT(INDEX(FILTER(F$1:F1146, F$1:F1146&lt;&gt;""""),COUNTA(FILTER(F$1:F1146, F$1:F1146&lt;&gt;""""))), LEN(INDEX(FILTER(F$1:F1146, F$1:F1146&lt;&gt;""""),COUNTA(FILTER(F$1:F1146, F$1:F1146&lt;&gt;""""))))-1), IF('To Order'!$A1147=COL"&amp;"UMNS($A1147:F1166), F1146&amp;RIGHT(INDIRECT(ADDRESS(ROW(F1147)-1, 'From Order'!$A1147)), 1), F1146))"),"")</f>
        <v/>
      </c>
      <c r="G1147" s="2" t="str">
        <f>IFERROR(__xludf.DUMMYFUNCTION("IF('From Order'!$A1147=COLUMNS($A1147:G1166), LEFT(INDEX(FILTER(G$1:G1146, G$1:G1146&lt;&gt;""""),COUNTA(FILTER(G$1:G1146, G$1:G1146&lt;&gt;""""))), LEN(INDEX(FILTER(G$1:G1146, G$1:G1146&lt;&gt;""""),COUNTA(FILTER(G$1:G1146, G$1:G1146&lt;&gt;""""))))-1), IF('To Order'!$A1147=COL"&amp;"UMNS($A1147:G1166), G1146&amp;RIGHT(INDIRECT(ADDRESS(ROW(G1147)-1, 'From Order'!$A1147)), 1), G1146))"),"BVST")</f>
        <v>BVST</v>
      </c>
      <c r="H1147" s="2" t="str">
        <f>IFERROR(__xludf.DUMMYFUNCTION("IF('From Order'!$A1147=COLUMNS($A1147:H1166), LEFT(INDEX(FILTER(H$1:H1146, H$1:H1146&lt;&gt;""""),COUNTA(FILTER(H$1:H1146, H$1:H1146&lt;&gt;""""))), LEN(INDEX(FILTER(H$1:H1146, H$1:H1146&lt;&gt;""""),COUNTA(FILTER(H$1:H1146, H$1:H1146&lt;&gt;""""))))-1), IF('To Order'!$A1147=COL"&amp;"UMNS($A1147:H1166), H1146&amp;RIGHT(INDIRECT(ADDRESS(ROW(H1147)-1, 'From Order'!$A1147)), 1), H1146))"),"VF")</f>
        <v>VF</v>
      </c>
      <c r="I1147" s="2" t="str">
        <f>IFERROR(__xludf.DUMMYFUNCTION("IF('From Order'!$A1147=COLUMNS($A1147:I1166), LEFT(INDEX(FILTER(I$1:I1146, I$1:I1146&lt;&gt;""""),COUNTA(FILTER(I$1:I1146, I$1:I1146&lt;&gt;""""))), LEN(INDEX(FILTER(I$1:I1146, I$1:I1146&lt;&gt;""""),COUNTA(FILTER(I$1:I1146, I$1:I1146&lt;&gt;""""))))-1), IF('To Order'!$A1147=COL"&amp;"UMNS($A1147:I1166), I1146&amp;RIGHT(INDIRECT(ADDRESS(ROW(I1147)-1, 'From Order'!$A1147)), 1), I1146))"),"JC")</f>
        <v>JC</v>
      </c>
    </row>
    <row r="1148">
      <c r="A1148" s="2" t="str">
        <f>IFERROR(__xludf.DUMMYFUNCTION("IF('From Order'!$A1148=COLUMNS($A1148:A1167), LEFT(INDEX(FILTER(A$1:A1147, A$1:A1147&lt;&gt;""""),COUNTA(FILTER(A$1:A1147, A$1:A1147&lt;&gt;""""))), LEN(INDEX(FILTER(A$1:A1147, A$1:A1147&lt;&gt;""""),COUNTA(FILTER(A$1:A1147, A$1:A1147&lt;&gt;""""))))-1), IF('To Order'!$A1148=COL"&amp;"UMNS($A1148:A1167), A1147&amp;RIGHT(INDIRECT(ADDRESS(ROW(A1148)-1, 'From Order'!$A1148)), 1), A1147))"),"")</f>
        <v/>
      </c>
      <c r="B1148" s="2" t="str">
        <f>IFERROR(__xludf.DUMMYFUNCTION("IF('From Order'!$A1148=COLUMNS($A1148:B1167), LEFT(INDEX(FILTER(B$1:B1147, B$1:B1147&lt;&gt;""""),COUNTA(FILTER(B$1:B1147, B$1:B1147&lt;&gt;""""))), LEN(INDEX(FILTER(B$1:B1147, B$1:B1147&lt;&gt;""""),COUNTA(FILTER(B$1:B1147, B$1:B1147&lt;&gt;""""))))-1), IF('To Order'!$A1148=COL"&amp;"UMNS($A1148:B1167), B1147&amp;RIGHT(INDIRECT(ADDRESS(ROW(B1148)-1, 'From Order'!$A1148)), 1), B1147))"),"ZLPDSDJDBSBZHMF")</f>
        <v>ZLPDSDJDBSBZHMF</v>
      </c>
      <c r="C1148" s="2" t="str">
        <f>IFERROR(__xludf.DUMMYFUNCTION("IF('From Order'!$A1148=COLUMNS($A1148:C1167), LEFT(INDEX(FILTER(C$1:C1147, C$1:C1147&lt;&gt;""""),COUNTA(FILTER(C$1:C1147, C$1:C1147&lt;&gt;""""))), LEN(INDEX(FILTER(C$1:C1147, C$1:C1147&lt;&gt;""""),COUNTA(FILTER(C$1:C1147, C$1:C1147&lt;&gt;""""))))-1), IF('To Order'!$A1148=COL"&amp;"UMNS($A1148:C1167), C1147&amp;RIGHT(INDIRECT(ADDRESS(ROW(C1148)-1, 'From Order'!$A1148)), 1), C1147))"),"TRLRSGHWQVQJPPLDTDTWRMTCRCDRZ")</f>
        <v>TRLRSGHWQVQJPPLDTDTWRMTCRCDRZ</v>
      </c>
      <c r="D1148" s="2" t="str">
        <f>IFERROR(__xludf.DUMMYFUNCTION("IF('From Order'!$A1148=COLUMNS($A1148:D1167), LEFT(INDEX(FILTER(D$1:D1147, D$1:D1147&lt;&gt;""""),COUNTA(FILTER(D$1:D1147, D$1:D1147&lt;&gt;""""))), LEN(INDEX(FILTER(D$1:D1147, D$1:D1147&lt;&gt;""""),COUNTA(FILTER(D$1:D1147, D$1:D1147&lt;&gt;""""))))-1), IF('To Order'!$A1148=COL"&amp;"UMNS($A1148:D1167), D1147&amp;RIGHT(INDIRECT(ADDRESS(ROW(D1148)-1, 'From Order'!$A1148)), 1), D1147))"),"GMTB")</f>
        <v>GMTB</v>
      </c>
      <c r="E1148" s="2" t="str">
        <f>IFERROR(__xludf.DUMMYFUNCTION("IF('From Order'!$A1148=COLUMNS($A1148:E1167), LEFT(INDEX(FILTER(E$1:E1147, E$1:E1147&lt;&gt;""""),COUNTA(FILTER(E$1:E1147, E$1:E1147&lt;&gt;""""))), LEN(INDEX(FILTER(E$1:E1147, E$1:E1147&lt;&gt;""""),COUNTA(FILTER(E$1:E1147, E$1:E1147&lt;&gt;""""))))-1), IF('To Order'!$A1148=COL"&amp;"UMNS($A1148:E1167), E1147&amp;RIGHT(INDIRECT(ADDRESS(ROW(E1148)-1, 'From Order'!$A1148)), 1), E1147))"),"")</f>
        <v/>
      </c>
      <c r="F1148" s="2" t="str">
        <f>IFERROR(__xludf.DUMMYFUNCTION("IF('From Order'!$A1148=COLUMNS($A1148:F1167), LEFT(INDEX(FILTER(F$1:F1147, F$1:F1147&lt;&gt;""""),COUNTA(FILTER(F$1:F1147, F$1:F1147&lt;&gt;""""))), LEN(INDEX(FILTER(F$1:F1147, F$1:F1147&lt;&gt;""""),COUNTA(FILTER(F$1:F1147, F$1:F1147&lt;&gt;""""))))-1), IF('To Order'!$A1148=COL"&amp;"UMNS($A1148:F1167), F1147&amp;RIGHT(INDIRECT(ADDRESS(ROW(F1148)-1, 'From Order'!$A1148)), 1), F1147))"),"")</f>
        <v/>
      </c>
      <c r="G1148" s="2" t="str">
        <f>IFERROR(__xludf.DUMMYFUNCTION("IF('From Order'!$A1148=COLUMNS($A1148:G1167), LEFT(INDEX(FILTER(G$1:G1147, G$1:G1147&lt;&gt;""""),COUNTA(FILTER(G$1:G1147, G$1:G1147&lt;&gt;""""))), LEN(INDEX(FILTER(G$1:G1147, G$1:G1147&lt;&gt;""""),COUNTA(FILTER(G$1:G1147, G$1:G1147&lt;&gt;""""))))-1), IF('To Order'!$A1148=COL"&amp;"UMNS($A1148:G1167), G1147&amp;RIGHT(INDIRECT(ADDRESS(ROW(G1148)-1, 'From Order'!$A1148)), 1), G1147))"),"BVST")</f>
        <v>BVST</v>
      </c>
      <c r="H1148" s="2" t="str">
        <f>IFERROR(__xludf.DUMMYFUNCTION("IF('From Order'!$A1148=COLUMNS($A1148:H1167), LEFT(INDEX(FILTER(H$1:H1147, H$1:H1147&lt;&gt;""""),COUNTA(FILTER(H$1:H1147, H$1:H1147&lt;&gt;""""))), LEN(INDEX(FILTER(H$1:H1147, H$1:H1147&lt;&gt;""""),COUNTA(FILTER(H$1:H1147, H$1:H1147&lt;&gt;""""))))-1), IF('To Order'!$A1148=COL"&amp;"UMNS($A1148:H1167), H1147&amp;RIGHT(INDIRECT(ADDRESS(ROW(H1148)-1, 'From Order'!$A1148)), 1), H1147))"),"VF")</f>
        <v>VF</v>
      </c>
      <c r="I1148" s="2" t="str">
        <f>IFERROR(__xludf.DUMMYFUNCTION("IF('From Order'!$A1148=COLUMNS($A1148:I1167), LEFT(INDEX(FILTER(I$1:I1147, I$1:I1147&lt;&gt;""""),COUNTA(FILTER(I$1:I1147, I$1:I1147&lt;&gt;""""))), LEN(INDEX(FILTER(I$1:I1147, I$1:I1147&lt;&gt;""""),COUNTA(FILTER(I$1:I1147, I$1:I1147&lt;&gt;""""))))-1), IF('To Order'!$A1148=COL"&amp;"UMNS($A1148:I1167), I1147&amp;RIGHT(INDIRECT(ADDRESS(ROW(I1148)-1, 'From Order'!$A1148)), 1), I1147))"),"JC")</f>
        <v>JC</v>
      </c>
    </row>
    <row r="1149">
      <c r="A1149" s="2" t="str">
        <f>IFERROR(__xludf.DUMMYFUNCTION("IF('From Order'!$A1149=COLUMNS($A1149:A1168), LEFT(INDEX(FILTER(A$1:A1148, A$1:A1148&lt;&gt;""""),COUNTA(FILTER(A$1:A1148, A$1:A1148&lt;&gt;""""))), LEN(INDEX(FILTER(A$1:A1148, A$1:A1148&lt;&gt;""""),COUNTA(FILTER(A$1:A1148, A$1:A1148&lt;&gt;""""))))-1), IF('To Order'!$A1149=COL"&amp;"UMNS($A1149:A1168), A1148&amp;RIGHT(INDIRECT(ADDRESS(ROW(A1149)-1, 'From Order'!$A1149)), 1), A1148))"),"")</f>
        <v/>
      </c>
      <c r="B1149" s="2" t="str">
        <f>IFERROR(__xludf.DUMMYFUNCTION("IF('From Order'!$A1149=COLUMNS($A1149:B1168), LEFT(INDEX(FILTER(B$1:B1148, B$1:B1148&lt;&gt;""""),COUNTA(FILTER(B$1:B1148, B$1:B1148&lt;&gt;""""))), LEN(INDEX(FILTER(B$1:B1148, B$1:B1148&lt;&gt;""""),COUNTA(FILTER(B$1:B1148, B$1:B1148&lt;&gt;""""))))-1), IF('To Order'!$A1149=COL"&amp;"UMNS($A1149:B1168), B1148&amp;RIGHT(INDIRECT(ADDRESS(ROW(B1149)-1, 'From Order'!$A1149)), 1), B1148))"),"ZLPDSDJDBSBZHM")</f>
        <v>ZLPDSDJDBSBZHM</v>
      </c>
      <c r="C1149" s="2" t="str">
        <f>IFERROR(__xludf.DUMMYFUNCTION("IF('From Order'!$A1149=COLUMNS($A1149:C1168), LEFT(INDEX(FILTER(C$1:C1148, C$1:C1148&lt;&gt;""""),COUNTA(FILTER(C$1:C1148, C$1:C1148&lt;&gt;""""))), LEN(INDEX(FILTER(C$1:C1148, C$1:C1148&lt;&gt;""""),COUNTA(FILTER(C$1:C1148, C$1:C1148&lt;&gt;""""))))-1), IF('To Order'!$A1149=COL"&amp;"UMNS($A1149:C1168), C1148&amp;RIGHT(INDIRECT(ADDRESS(ROW(C1149)-1, 'From Order'!$A1149)), 1), C1148))"),"TRLRSGHWQVQJPPLDTDTWRMTCRCDRZ")</f>
        <v>TRLRSGHWQVQJPPLDTDTWRMTCRCDRZ</v>
      </c>
      <c r="D1149" s="2" t="str">
        <f>IFERROR(__xludf.DUMMYFUNCTION("IF('From Order'!$A1149=COLUMNS($A1149:D1168), LEFT(INDEX(FILTER(D$1:D1148, D$1:D1148&lt;&gt;""""),COUNTA(FILTER(D$1:D1148, D$1:D1148&lt;&gt;""""))), LEN(INDEX(FILTER(D$1:D1148, D$1:D1148&lt;&gt;""""),COUNTA(FILTER(D$1:D1148, D$1:D1148&lt;&gt;""""))))-1), IF('To Order'!$A1149=COL"&amp;"UMNS($A1149:D1168), D1148&amp;RIGHT(INDIRECT(ADDRESS(ROW(D1149)-1, 'From Order'!$A1149)), 1), D1148))"),"GMTBF")</f>
        <v>GMTBF</v>
      </c>
      <c r="E1149" s="2" t="str">
        <f>IFERROR(__xludf.DUMMYFUNCTION("IF('From Order'!$A1149=COLUMNS($A1149:E1168), LEFT(INDEX(FILTER(E$1:E1148, E$1:E1148&lt;&gt;""""),COUNTA(FILTER(E$1:E1148, E$1:E1148&lt;&gt;""""))), LEN(INDEX(FILTER(E$1:E1148, E$1:E1148&lt;&gt;""""),COUNTA(FILTER(E$1:E1148, E$1:E1148&lt;&gt;""""))))-1), IF('To Order'!$A1149=COL"&amp;"UMNS($A1149:E1168), E1148&amp;RIGHT(INDIRECT(ADDRESS(ROW(E1149)-1, 'From Order'!$A1149)), 1), E1148))"),"")</f>
        <v/>
      </c>
      <c r="F1149" s="2" t="str">
        <f>IFERROR(__xludf.DUMMYFUNCTION("IF('From Order'!$A1149=COLUMNS($A1149:F1168), LEFT(INDEX(FILTER(F$1:F1148, F$1:F1148&lt;&gt;""""),COUNTA(FILTER(F$1:F1148, F$1:F1148&lt;&gt;""""))), LEN(INDEX(FILTER(F$1:F1148, F$1:F1148&lt;&gt;""""),COUNTA(FILTER(F$1:F1148, F$1:F1148&lt;&gt;""""))))-1), IF('To Order'!$A1149=COL"&amp;"UMNS($A1149:F1168), F1148&amp;RIGHT(INDIRECT(ADDRESS(ROW(F1149)-1, 'From Order'!$A1149)), 1), F1148))"),"")</f>
        <v/>
      </c>
      <c r="G1149" s="2" t="str">
        <f>IFERROR(__xludf.DUMMYFUNCTION("IF('From Order'!$A1149=COLUMNS($A1149:G1168), LEFT(INDEX(FILTER(G$1:G1148, G$1:G1148&lt;&gt;""""),COUNTA(FILTER(G$1:G1148, G$1:G1148&lt;&gt;""""))), LEN(INDEX(FILTER(G$1:G1148, G$1:G1148&lt;&gt;""""),COUNTA(FILTER(G$1:G1148, G$1:G1148&lt;&gt;""""))))-1), IF('To Order'!$A1149=COL"&amp;"UMNS($A1149:G1168), G1148&amp;RIGHT(INDIRECT(ADDRESS(ROW(G1149)-1, 'From Order'!$A1149)), 1), G1148))"),"BVST")</f>
        <v>BVST</v>
      </c>
      <c r="H1149" s="2" t="str">
        <f>IFERROR(__xludf.DUMMYFUNCTION("IF('From Order'!$A1149=COLUMNS($A1149:H1168), LEFT(INDEX(FILTER(H$1:H1148, H$1:H1148&lt;&gt;""""),COUNTA(FILTER(H$1:H1148, H$1:H1148&lt;&gt;""""))), LEN(INDEX(FILTER(H$1:H1148, H$1:H1148&lt;&gt;""""),COUNTA(FILTER(H$1:H1148, H$1:H1148&lt;&gt;""""))))-1), IF('To Order'!$A1149=COL"&amp;"UMNS($A1149:H1168), H1148&amp;RIGHT(INDIRECT(ADDRESS(ROW(H1149)-1, 'From Order'!$A1149)), 1), H1148))"),"VF")</f>
        <v>VF</v>
      </c>
      <c r="I1149" s="2" t="str">
        <f>IFERROR(__xludf.DUMMYFUNCTION("IF('From Order'!$A1149=COLUMNS($A1149:I1168), LEFT(INDEX(FILTER(I$1:I1148, I$1:I1148&lt;&gt;""""),COUNTA(FILTER(I$1:I1148, I$1:I1148&lt;&gt;""""))), LEN(INDEX(FILTER(I$1:I1148, I$1:I1148&lt;&gt;""""),COUNTA(FILTER(I$1:I1148, I$1:I1148&lt;&gt;""""))))-1), IF('To Order'!$A1149=COL"&amp;"UMNS($A1149:I1168), I1148&amp;RIGHT(INDIRECT(ADDRESS(ROW(I1149)-1, 'From Order'!$A1149)), 1), I1148))"),"JC")</f>
        <v>JC</v>
      </c>
    </row>
    <row r="1150">
      <c r="A1150" s="2" t="str">
        <f>IFERROR(__xludf.DUMMYFUNCTION("IF('From Order'!$A1150=COLUMNS($A1150:A1169), LEFT(INDEX(FILTER(A$1:A1149, A$1:A1149&lt;&gt;""""),COUNTA(FILTER(A$1:A1149, A$1:A1149&lt;&gt;""""))), LEN(INDEX(FILTER(A$1:A1149, A$1:A1149&lt;&gt;""""),COUNTA(FILTER(A$1:A1149, A$1:A1149&lt;&gt;""""))))-1), IF('To Order'!$A1150=COL"&amp;"UMNS($A1150:A1169), A1149&amp;RIGHT(INDIRECT(ADDRESS(ROW(A1150)-1, 'From Order'!$A1150)), 1), A1149))"),"")</f>
        <v/>
      </c>
      <c r="B1150" s="2" t="str">
        <f>IFERROR(__xludf.DUMMYFUNCTION("IF('From Order'!$A1150=COLUMNS($A1150:B1169), LEFT(INDEX(FILTER(B$1:B1149, B$1:B1149&lt;&gt;""""),COUNTA(FILTER(B$1:B1149, B$1:B1149&lt;&gt;""""))), LEN(INDEX(FILTER(B$1:B1149, B$1:B1149&lt;&gt;""""),COUNTA(FILTER(B$1:B1149, B$1:B1149&lt;&gt;""""))))-1), IF('To Order'!$A1150=COL"&amp;"UMNS($A1150:B1169), B1149&amp;RIGHT(INDIRECT(ADDRESS(ROW(B1150)-1, 'From Order'!$A1150)), 1), B1149))"),"ZLPDSDJDBSBZH")</f>
        <v>ZLPDSDJDBSBZH</v>
      </c>
      <c r="C1150" s="2" t="str">
        <f>IFERROR(__xludf.DUMMYFUNCTION("IF('From Order'!$A1150=COLUMNS($A1150:C1169), LEFT(INDEX(FILTER(C$1:C1149, C$1:C1149&lt;&gt;""""),COUNTA(FILTER(C$1:C1149, C$1:C1149&lt;&gt;""""))), LEN(INDEX(FILTER(C$1:C1149, C$1:C1149&lt;&gt;""""),COUNTA(FILTER(C$1:C1149, C$1:C1149&lt;&gt;""""))))-1), IF('To Order'!$A1150=COL"&amp;"UMNS($A1150:C1169), C1149&amp;RIGHT(INDIRECT(ADDRESS(ROW(C1150)-1, 'From Order'!$A1150)), 1), C1149))"),"TRLRSGHWQVQJPPLDTDTWRMTCRCDRZ")</f>
        <v>TRLRSGHWQVQJPPLDTDTWRMTCRCDRZ</v>
      </c>
      <c r="D1150" s="2" t="str">
        <f>IFERROR(__xludf.DUMMYFUNCTION("IF('From Order'!$A1150=COLUMNS($A1150:D1169), LEFT(INDEX(FILTER(D$1:D1149, D$1:D1149&lt;&gt;""""),COUNTA(FILTER(D$1:D1149, D$1:D1149&lt;&gt;""""))), LEN(INDEX(FILTER(D$1:D1149, D$1:D1149&lt;&gt;""""),COUNTA(FILTER(D$1:D1149, D$1:D1149&lt;&gt;""""))))-1), IF('To Order'!$A1150=COL"&amp;"UMNS($A1150:D1169), D1149&amp;RIGHT(INDIRECT(ADDRESS(ROW(D1150)-1, 'From Order'!$A1150)), 1), D1149))"),"GMTBFM")</f>
        <v>GMTBFM</v>
      </c>
      <c r="E1150" s="2" t="str">
        <f>IFERROR(__xludf.DUMMYFUNCTION("IF('From Order'!$A1150=COLUMNS($A1150:E1169), LEFT(INDEX(FILTER(E$1:E1149, E$1:E1149&lt;&gt;""""),COUNTA(FILTER(E$1:E1149, E$1:E1149&lt;&gt;""""))), LEN(INDEX(FILTER(E$1:E1149, E$1:E1149&lt;&gt;""""),COUNTA(FILTER(E$1:E1149, E$1:E1149&lt;&gt;""""))))-1), IF('To Order'!$A1150=COL"&amp;"UMNS($A1150:E1169), E1149&amp;RIGHT(INDIRECT(ADDRESS(ROW(E1150)-1, 'From Order'!$A1150)), 1), E1149))"),"")</f>
        <v/>
      </c>
      <c r="F1150" s="2" t="str">
        <f>IFERROR(__xludf.DUMMYFUNCTION("IF('From Order'!$A1150=COLUMNS($A1150:F1169), LEFT(INDEX(FILTER(F$1:F1149, F$1:F1149&lt;&gt;""""),COUNTA(FILTER(F$1:F1149, F$1:F1149&lt;&gt;""""))), LEN(INDEX(FILTER(F$1:F1149, F$1:F1149&lt;&gt;""""),COUNTA(FILTER(F$1:F1149, F$1:F1149&lt;&gt;""""))))-1), IF('To Order'!$A1150=COL"&amp;"UMNS($A1150:F1169), F1149&amp;RIGHT(INDIRECT(ADDRESS(ROW(F1150)-1, 'From Order'!$A1150)), 1), F1149))"),"")</f>
        <v/>
      </c>
      <c r="G1150" s="2" t="str">
        <f>IFERROR(__xludf.DUMMYFUNCTION("IF('From Order'!$A1150=COLUMNS($A1150:G1169), LEFT(INDEX(FILTER(G$1:G1149, G$1:G1149&lt;&gt;""""),COUNTA(FILTER(G$1:G1149, G$1:G1149&lt;&gt;""""))), LEN(INDEX(FILTER(G$1:G1149, G$1:G1149&lt;&gt;""""),COUNTA(FILTER(G$1:G1149, G$1:G1149&lt;&gt;""""))))-1), IF('To Order'!$A1150=COL"&amp;"UMNS($A1150:G1169), G1149&amp;RIGHT(INDIRECT(ADDRESS(ROW(G1150)-1, 'From Order'!$A1150)), 1), G1149))"),"BVST")</f>
        <v>BVST</v>
      </c>
      <c r="H1150" s="2" t="str">
        <f>IFERROR(__xludf.DUMMYFUNCTION("IF('From Order'!$A1150=COLUMNS($A1150:H1169), LEFT(INDEX(FILTER(H$1:H1149, H$1:H1149&lt;&gt;""""),COUNTA(FILTER(H$1:H1149, H$1:H1149&lt;&gt;""""))), LEN(INDEX(FILTER(H$1:H1149, H$1:H1149&lt;&gt;""""),COUNTA(FILTER(H$1:H1149, H$1:H1149&lt;&gt;""""))))-1), IF('To Order'!$A1150=COL"&amp;"UMNS($A1150:H1169), H1149&amp;RIGHT(INDIRECT(ADDRESS(ROW(H1150)-1, 'From Order'!$A1150)), 1), H1149))"),"VF")</f>
        <v>VF</v>
      </c>
      <c r="I1150" s="2" t="str">
        <f>IFERROR(__xludf.DUMMYFUNCTION("IF('From Order'!$A1150=COLUMNS($A1150:I1169), LEFT(INDEX(FILTER(I$1:I1149, I$1:I1149&lt;&gt;""""),COUNTA(FILTER(I$1:I1149, I$1:I1149&lt;&gt;""""))), LEN(INDEX(FILTER(I$1:I1149, I$1:I1149&lt;&gt;""""),COUNTA(FILTER(I$1:I1149, I$1:I1149&lt;&gt;""""))))-1), IF('To Order'!$A1150=COL"&amp;"UMNS($A1150:I1169), I1149&amp;RIGHT(INDIRECT(ADDRESS(ROW(I1150)-1, 'From Order'!$A1150)), 1), I1149))"),"JC")</f>
        <v>JC</v>
      </c>
    </row>
    <row r="1151">
      <c r="A1151" s="2" t="str">
        <f>IFERROR(__xludf.DUMMYFUNCTION("IF('From Order'!$A1151=COLUMNS($A1151:A1170), LEFT(INDEX(FILTER(A$1:A1150, A$1:A1150&lt;&gt;""""),COUNTA(FILTER(A$1:A1150, A$1:A1150&lt;&gt;""""))), LEN(INDEX(FILTER(A$1:A1150, A$1:A1150&lt;&gt;""""),COUNTA(FILTER(A$1:A1150, A$1:A1150&lt;&gt;""""))))-1), IF('To Order'!$A1151=COL"&amp;"UMNS($A1151:A1170), A1150&amp;RIGHT(INDIRECT(ADDRESS(ROW(A1151)-1, 'From Order'!$A1151)), 1), A1150))"),"H")</f>
        <v>H</v>
      </c>
      <c r="B1151" s="2" t="str">
        <f>IFERROR(__xludf.DUMMYFUNCTION("IF('From Order'!$A1151=COLUMNS($A1151:B1170), LEFT(INDEX(FILTER(B$1:B1150, B$1:B1150&lt;&gt;""""),COUNTA(FILTER(B$1:B1150, B$1:B1150&lt;&gt;""""))), LEN(INDEX(FILTER(B$1:B1150, B$1:B1150&lt;&gt;""""),COUNTA(FILTER(B$1:B1150, B$1:B1150&lt;&gt;""""))))-1), IF('To Order'!$A1151=COL"&amp;"UMNS($A1151:B1170), B1150&amp;RIGHT(INDIRECT(ADDRESS(ROW(B1151)-1, 'From Order'!$A1151)), 1), B1150))"),"ZLPDSDJDBSBZ")</f>
        <v>ZLPDSDJDBSBZ</v>
      </c>
      <c r="C1151" s="2" t="str">
        <f>IFERROR(__xludf.DUMMYFUNCTION("IF('From Order'!$A1151=COLUMNS($A1151:C1170), LEFT(INDEX(FILTER(C$1:C1150, C$1:C1150&lt;&gt;""""),COUNTA(FILTER(C$1:C1150, C$1:C1150&lt;&gt;""""))), LEN(INDEX(FILTER(C$1:C1150, C$1:C1150&lt;&gt;""""),COUNTA(FILTER(C$1:C1150, C$1:C1150&lt;&gt;""""))))-1), IF('To Order'!$A1151=COL"&amp;"UMNS($A1151:C1170), C1150&amp;RIGHT(INDIRECT(ADDRESS(ROW(C1151)-1, 'From Order'!$A1151)), 1), C1150))"),"TRLRSGHWQVQJPPLDTDTWRMTCRCDRZ")</f>
        <v>TRLRSGHWQVQJPPLDTDTWRMTCRCDRZ</v>
      </c>
      <c r="D1151" s="2" t="str">
        <f>IFERROR(__xludf.DUMMYFUNCTION("IF('From Order'!$A1151=COLUMNS($A1151:D1170), LEFT(INDEX(FILTER(D$1:D1150, D$1:D1150&lt;&gt;""""),COUNTA(FILTER(D$1:D1150, D$1:D1150&lt;&gt;""""))), LEN(INDEX(FILTER(D$1:D1150, D$1:D1150&lt;&gt;""""),COUNTA(FILTER(D$1:D1150, D$1:D1150&lt;&gt;""""))))-1), IF('To Order'!$A1151=COL"&amp;"UMNS($A1151:D1170), D1150&amp;RIGHT(INDIRECT(ADDRESS(ROW(D1151)-1, 'From Order'!$A1151)), 1), D1150))"),"GMTBFM")</f>
        <v>GMTBFM</v>
      </c>
      <c r="E1151" s="2" t="str">
        <f>IFERROR(__xludf.DUMMYFUNCTION("IF('From Order'!$A1151=COLUMNS($A1151:E1170), LEFT(INDEX(FILTER(E$1:E1150, E$1:E1150&lt;&gt;""""),COUNTA(FILTER(E$1:E1150, E$1:E1150&lt;&gt;""""))), LEN(INDEX(FILTER(E$1:E1150, E$1:E1150&lt;&gt;""""),COUNTA(FILTER(E$1:E1150, E$1:E1150&lt;&gt;""""))))-1), IF('To Order'!$A1151=COL"&amp;"UMNS($A1151:E1170), E1150&amp;RIGHT(INDIRECT(ADDRESS(ROW(E1151)-1, 'From Order'!$A1151)), 1), E1150))"),"")</f>
        <v/>
      </c>
      <c r="F1151" s="2" t="str">
        <f>IFERROR(__xludf.DUMMYFUNCTION("IF('From Order'!$A1151=COLUMNS($A1151:F1170), LEFT(INDEX(FILTER(F$1:F1150, F$1:F1150&lt;&gt;""""),COUNTA(FILTER(F$1:F1150, F$1:F1150&lt;&gt;""""))), LEN(INDEX(FILTER(F$1:F1150, F$1:F1150&lt;&gt;""""),COUNTA(FILTER(F$1:F1150, F$1:F1150&lt;&gt;""""))))-1), IF('To Order'!$A1151=COL"&amp;"UMNS($A1151:F1170), F1150&amp;RIGHT(INDIRECT(ADDRESS(ROW(F1151)-1, 'From Order'!$A1151)), 1), F1150))"),"")</f>
        <v/>
      </c>
      <c r="G1151" s="2" t="str">
        <f>IFERROR(__xludf.DUMMYFUNCTION("IF('From Order'!$A1151=COLUMNS($A1151:G1170), LEFT(INDEX(FILTER(G$1:G1150, G$1:G1150&lt;&gt;""""),COUNTA(FILTER(G$1:G1150, G$1:G1150&lt;&gt;""""))), LEN(INDEX(FILTER(G$1:G1150, G$1:G1150&lt;&gt;""""),COUNTA(FILTER(G$1:G1150, G$1:G1150&lt;&gt;""""))))-1), IF('To Order'!$A1151=COL"&amp;"UMNS($A1151:G1170), G1150&amp;RIGHT(INDIRECT(ADDRESS(ROW(G1151)-1, 'From Order'!$A1151)), 1), G1150))"),"BVST")</f>
        <v>BVST</v>
      </c>
      <c r="H1151" s="2" t="str">
        <f>IFERROR(__xludf.DUMMYFUNCTION("IF('From Order'!$A1151=COLUMNS($A1151:H1170), LEFT(INDEX(FILTER(H$1:H1150, H$1:H1150&lt;&gt;""""),COUNTA(FILTER(H$1:H1150, H$1:H1150&lt;&gt;""""))), LEN(INDEX(FILTER(H$1:H1150, H$1:H1150&lt;&gt;""""),COUNTA(FILTER(H$1:H1150, H$1:H1150&lt;&gt;""""))))-1), IF('To Order'!$A1151=COL"&amp;"UMNS($A1151:H1170), H1150&amp;RIGHT(INDIRECT(ADDRESS(ROW(H1151)-1, 'From Order'!$A1151)), 1), H1150))"),"VF")</f>
        <v>VF</v>
      </c>
      <c r="I1151" s="2" t="str">
        <f>IFERROR(__xludf.DUMMYFUNCTION("IF('From Order'!$A1151=COLUMNS($A1151:I1170), LEFT(INDEX(FILTER(I$1:I1150, I$1:I1150&lt;&gt;""""),COUNTA(FILTER(I$1:I1150, I$1:I1150&lt;&gt;""""))), LEN(INDEX(FILTER(I$1:I1150, I$1:I1150&lt;&gt;""""),COUNTA(FILTER(I$1:I1150, I$1:I1150&lt;&gt;""""))))-1), IF('To Order'!$A1151=COL"&amp;"UMNS($A1151:I1170), I1150&amp;RIGHT(INDIRECT(ADDRESS(ROW(I1151)-1, 'From Order'!$A1151)), 1), I1150))"),"JC")</f>
        <v>JC</v>
      </c>
    </row>
    <row r="1152">
      <c r="A1152" s="2" t="str">
        <f>IFERROR(__xludf.DUMMYFUNCTION("IF('From Order'!$A1152=COLUMNS($A1152:A1171), LEFT(INDEX(FILTER(A$1:A1151, A$1:A1151&lt;&gt;""""),COUNTA(FILTER(A$1:A1151, A$1:A1151&lt;&gt;""""))), LEN(INDEX(FILTER(A$1:A1151, A$1:A1151&lt;&gt;""""),COUNTA(FILTER(A$1:A1151, A$1:A1151&lt;&gt;""""))))-1), IF('To Order'!$A1152=COL"&amp;"UMNS($A1152:A1171), A1151&amp;RIGHT(INDIRECT(ADDRESS(ROW(A1152)-1, 'From Order'!$A1152)), 1), A1151))"),"HZ")</f>
        <v>HZ</v>
      </c>
      <c r="B1152" s="2" t="str">
        <f>IFERROR(__xludf.DUMMYFUNCTION("IF('From Order'!$A1152=COLUMNS($A1152:B1171), LEFT(INDEX(FILTER(B$1:B1151, B$1:B1151&lt;&gt;""""),COUNTA(FILTER(B$1:B1151, B$1:B1151&lt;&gt;""""))), LEN(INDEX(FILTER(B$1:B1151, B$1:B1151&lt;&gt;""""),COUNTA(FILTER(B$1:B1151, B$1:B1151&lt;&gt;""""))))-1), IF('To Order'!$A1152=COL"&amp;"UMNS($A1152:B1171), B1151&amp;RIGHT(INDIRECT(ADDRESS(ROW(B1152)-1, 'From Order'!$A1152)), 1), B1151))"),"ZLPDSDJDBSB")</f>
        <v>ZLPDSDJDBSB</v>
      </c>
      <c r="C1152" s="2" t="str">
        <f>IFERROR(__xludf.DUMMYFUNCTION("IF('From Order'!$A1152=COLUMNS($A1152:C1171), LEFT(INDEX(FILTER(C$1:C1151, C$1:C1151&lt;&gt;""""),COUNTA(FILTER(C$1:C1151, C$1:C1151&lt;&gt;""""))), LEN(INDEX(FILTER(C$1:C1151, C$1:C1151&lt;&gt;""""),COUNTA(FILTER(C$1:C1151, C$1:C1151&lt;&gt;""""))))-1), IF('To Order'!$A1152=COL"&amp;"UMNS($A1152:C1171), C1151&amp;RIGHT(INDIRECT(ADDRESS(ROW(C1152)-1, 'From Order'!$A1152)), 1), C1151))"),"TRLRSGHWQVQJPPLDTDTWRMTCRCDRZ")</f>
        <v>TRLRSGHWQVQJPPLDTDTWRMTCRCDRZ</v>
      </c>
      <c r="D1152" s="2" t="str">
        <f>IFERROR(__xludf.DUMMYFUNCTION("IF('From Order'!$A1152=COLUMNS($A1152:D1171), LEFT(INDEX(FILTER(D$1:D1151, D$1:D1151&lt;&gt;""""),COUNTA(FILTER(D$1:D1151, D$1:D1151&lt;&gt;""""))), LEN(INDEX(FILTER(D$1:D1151, D$1:D1151&lt;&gt;""""),COUNTA(FILTER(D$1:D1151, D$1:D1151&lt;&gt;""""))))-1), IF('To Order'!$A1152=COL"&amp;"UMNS($A1152:D1171), D1151&amp;RIGHT(INDIRECT(ADDRESS(ROW(D1152)-1, 'From Order'!$A1152)), 1), D1151))"),"GMTBFM")</f>
        <v>GMTBFM</v>
      </c>
      <c r="E1152" s="2" t="str">
        <f>IFERROR(__xludf.DUMMYFUNCTION("IF('From Order'!$A1152=COLUMNS($A1152:E1171), LEFT(INDEX(FILTER(E$1:E1151, E$1:E1151&lt;&gt;""""),COUNTA(FILTER(E$1:E1151, E$1:E1151&lt;&gt;""""))), LEN(INDEX(FILTER(E$1:E1151, E$1:E1151&lt;&gt;""""),COUNTA(FILTER(E$1:E1151, E$1:E1151&lt;&gt;""""))))-1), IF('To Order'!$A1152=COL"&amp;"UMNS($A1152:E1171), E1151&amp;RIGHT(INDIRECT(ADDRESS(ROW(E1152)-1, 'From Order'!$A1152)), 1), E1151))"),"")</f>
        <v/>
      </c>
      <c r="F1152" s="2" t="str">
        <f>IFERROR(__xludf.DUMMYFUNCTION("IF('From Order'!$A1152=COLUMNS($A1152:F1171), LEFT(INDEX(FILTER(F$1:F1151, F$1:F1151&lt;&gt;""""),COUNTA(FILTER(F$1:F1151, F$1:F1151&lt;&gt;""""))), LEN(INDEX(FILTER(F$1:F1151, F$1:F1151&lt;&gt;""""),COUNTA(FILTER(F$1:F1151, F$1:F1151&lt;&gt;""""))))-1), IF('To Order'!$A1152=COL"&amp;"UMNS($A1152:F1171), F1151&amp;RIGHT(INDIRECT(ADDRESS(ROW(F1152)-1, 'From Order'!$A1152)), 1), F1151))"),"")</f>
        <v/>
      </c>
      <c r="G1152" s="2" t="str">
        <f>IFERROR(__xludf.DUMMYFUNCTION("IF('From Order'!$A1152=COLUMNS($A1152:G1171), LEFT(INDEX(FILTER(G$1:G1151, G$1:G1151&lt;&gt;""""),COUNTA(FILTER(G$1:G1151, G$1:G1151&lt;&gt;""""))), LEN(INDEX(FILTER(G$1:G1151, G$1:G1151&lt;&gt;""""),COUNTA(FILTER(G$1:G1151, G$1:G1151&lt;&gt;""""))))-1), IF('To Order'!$A1152=COL"&amp;"UMNS($A1152:G1171), G1151&amp;RIGHT(INDIRECT(ADDRESS(ROW(G1152)-1, 'From Order'!$A1152)), 1), G1151))"),"BVST")</f>
        <v>BVST</v>
      </c>
      <c r="H1152" s="2" t="str">
        <f>IFERROR(__xludf.DUMMYFUNCTION("IF('From Order'!$A1152=COLUMNS($A1152:H1171), LEFT(INDEX(FILTER(H$1:H1151, H$1:H1151&lt;&gt;""""),COUNTA(FILTER(H$1:H1151, H$1:H1151&lt;&gt;""""))), LEN(INDEX(FILTER(H$1:H1151, H$1:H1151&lt;&gt;""""),COUNTA(FILTER(H$1:H1151, H$1:H1151&lt;&gt;""""))))-1), IF('To Order'!$A1152=COL"&amp;"UMNS($A1152:H1171), H1151&amp;RIGHT(INDIRECT(ADDRESS(ROW(H1152)-1, 'From Order'!$A1152)), 1), H1151))"),"VF")</f>
        <v>VF</v>
      </c>
      <c r="I1152" s="2" t="str">
        <f>IFERROR(__xludf.DUMMYFUNCTION("IF('From Order'!$A1152=COLUMNS($A1152:I1171), LEFT(INDEX(FILTER(I$1:I1151, I$1:I1151&lt;&gt;""""),COUNTA(FILTER(I$1:I1151, I$1:I1151&lt;&gt;""""))), LEN(INDEX(FILTER(I$1:I1151, I$1:I1151&lt;&gt;""""),COUNTA(FILTER(I$1:I1151, I$1:I1151&lt;&gt;""""))))-1), IF('To Order'!$A1152=COL"&amp;"UMNS($A1152:I1171), I1151&amp;RIGHT(INDIRECT(ADDRESS(ROW(I1152)-1, 'From Order'!$A1152)), 1), I1151))"),"JC")</f>
        <v>JC</v>
      </c>
    </row>
    <row r="1153">
      <c r="A1153" s="2" t="str">
        <f>IFERROR(__xludf.DUMMYFUNCTION("IF('From Order'!$A1153=COLUMNS($A1153:A1172), LEFT(INDEX(FILTER(A$1:A1152, A$1:A1152&lt;&gt;""""),COUNTA(FILTER(A$1:A1152, A$1:A1152&lt;&gt;""""))), LEN(INDEX(FILTER(A$1:A1152, A$1:A1152&lt;&gt;""""),COUNTA(FILTER(A$1:A1152, A$1:A1152&lt;&gt;""""))))-1), IF('To Order'!$A1153=COL"&amp;"UMNS($A1153:A1172), A1152&amp;RIGHT(INDIRECT(ADDRESS(ROW(A1153)-1, 'From Order'!$A1153)), 1), A1152))"),"HZB")</f>
        <v>HZB</v>
      </c>
      <c r="B1153" s="2" t="str">
        <f>IFERROR(__xludf.DUMMYFUNCTION("IF('From Order'!$A1153=COLUMNS($A1153:B1172), LEFT(INDEX(FILTER(B$1:B1152, B$1:B1152&lt;&gt;""""),COUNTA(FILTER(B$1:B1152, B$1:B1152&lt;&gt;""""))), LEN(INDEX(FILTER(B$1:B1152, B$1:B1152&lt;&gt;""""),COUNTA(FILTER(B$1:B1152, B$1:B1152&lt;&gt;""""))))-1), IF('To Order'!$A1153=COL"&amp;"UMNS($A1153:B1172), B1152&amp;RIGHT(INDIRECT(ADDRESS(ROW(B1153)-1, 'From Order'!$A1153)), 1), B1152))"),"ZLPDSDJDBS")</f>
        <v>ZLPDSDJDBS</v>
      </c>
      <c r="C1153" s="2" t="str">
        <f>IFERROR(__xludf.DUMMYFUNCTION("IF('From Order'!$A1153=COLUMNS($A1153:C1172), LEFT(INDEX(FILTER(C$1:C1152, C$1:C1152&lt;&gt;""""),COUNTA(FILTER(C$1:C1152, C$1:C1152&lt;&gt;""""))), LEN(INDEX(FILTER(C$1:C1152, C$1:C1152&lt;&gt;""""),COUNTA(FILTER(C$1:C1152, C$1:C1152&lt;&gt;""""))))-1), IF('To Order'!$A1153=COL"&amp;"UMNS($A1153:C1172), C1152&amp;RIGHT(INDIRECT(ADDRESS(ROW(C1153)-1, 'From Order'!$A1153)), 1), C1152))"),"TRLRSGHWQVQJPPLDTDTWRMTCRCDRZ")</f>
        <v>TRLRSGHWQVQJPPLDTDTWRMTCRCDRZ</v>
      </c>
      <c r="D1153" s="2" t="str">
        <f>IFERROR(__xludf.DUMMYFUNCTION("IF('From Order'!$A1153=COLUMNS($A1153:D1172), LEFT(INDEX(FILTER(D$1:D1152, D$1:D1152&lt;&gt;""""),COUNTA(FILTER(D$1:D1152, D$1:D1152&lt;&gt;""""))), LEN(INDEX(FILTER(D$1:D1152, D$1:D1152&lt;&gt;""""),COUNTA(FILTER(D$1:D1152, D$1:D1152&lt;&gt;""""))))-1), IF('To Order'!$A1153=COL"&amp;"UMNS($A1153:D1172), D1152&amp;RIGHT(INDIRECT(ADDRESS(ROW(D1153)-1, 'From Order'!$A1153)), 1), D1152))"),"GMTBFM")</f>
        <v>GMTBFM</v>
      </c>
      <c r="E1153" s="2" t="str">
        <f>IFERROR(__xludf.DUMMYFUNCTION("IF('From Order'!$A1153=COLUMNS($A1153:E1172), LEFT(INDEX(FILTER(E$1:E1152, E$1:E1152&lt;&gt;""""),COUNTA(FILTER(E$1:E1152, E$1:E1152&lt;&gt;""""))), LEN(INDEX(FILTER(E$1:E1152, E$1:E1152&lt;&gt;""""),COUNTA(FILTER(E$1:E1152, E$1:E1152&lt;&gt;""""))))-1), IF('To Order'!$A1153=COL"&amp;"UMNS($A1153:E1172), E1152&amp;RIGHT(INDIRECT(ADDRESS(ROW(E1153)-1, 'From Order'!$A1153)), 1), E1152))"),"")</f>
        <v/>
      </c>
      <c r="F1153" s="2" t="str">
        <f>IFERROR(__xludf.DUMMYFUNCTION("IF('From Order'!$A1153=COLUMNS($A1153:F1172), LEFT(INDEX(FILTER(F$1:F1152, F$1:F1152&lt;&gt;""""),COUNTA(FILTER(F$1:F1152, F$1:F1152&lt;&gt;""""))), LEN(INDEX(FILTER(F$1:F1152, F$1:F1152&lt;&gt;""""),COUNTA(FILTER(F$1:F1152, F$1:F1152&lt;&gt;""""))))-1), IF('To Order'!$A1153=COL"&amp;"UMNS($A1153:F1172), F1152&amp;RIGHT(INDIRECT(ADDRESS(ROW(F1153)-1, 'From Order'!$A1153)), 1), F1152))"),"")</f>
        <v/>
      </c>
      <c r="G1153" s="2" t="str">
        <f>IFERROR(__xludf.DUMMYFUNCTION("IF('From Order'!$A1153=COLUMNS($A1153:G1172), LEFT(INDEX(FILTER(G$1:G1152, G$1:G1152&lt;&gt;""""),COUNTA(FILTER(G$1:G1152, G$1:G1152&lt;&gt;""""))), LEN(INDEX(FILTER(G$1:G1152, G$1:G1152&lt;&gt;""""),COUNTA(FILTER(G$1:G1152, G$1:G1152&lt;&gt;""""))))-1), IF('To Order'!$A1153=COL"&amp;"UMNS($A1153:G1172), G1152&amp;RIGHT(INDIRECT(ADDRESS(ROW(G1153)-1, 'From Order'!$A1153)), 1), G1152))"),"BVST")</f>
        <v>BVST</v>
      </c>
      <c r="H1153" s="2" t="str">
        <f>IFERROR(__xludf.DUMMYFUNCTION("IF('From Order'!$A1153=COLUMNS($A1153:H1172), LEFT(INDEX(FILTER(H$1:H1152, H$1:H1152&lt;&gt;""""),COUNTA(FILTER(H$1:H1152, H$1:H1152&lt;&gt;""""))), LEN(INDEX(FILTER(H$1:H1152, H$1:H1152&lt;&gt;""""),COUNTA(FILTER(H$1:H1152, H$1:H1152&lt;&gt;""""))))-1), IF('To Order'!$A1153=COL"&amp;"UMNS($A1153:H1172), H1152&amp;RIGHT(INDIRECT(ADDRESS(ROW(H1153)-1, 'From Order'!$A1153)), 1), H1152))"),"VF")</f>
        <v>VF</v>
      </c>
      <c r="I1153" s="2" t="str">
        <f>IFERROR(__xludf.DUMMYFUNCTION("IF('From Order'!$A1153=COLUMNS($A1153:I1172), LEFT(INDEX(FILTER(I$1:I1152, I$1:I1152&lt;&gt;""""),COUNTA(FILTER(I$1:I1152, I$1:I1152&lt;&gt;""""))), LEN(INDEX(FILTER(I$1:I1152, I$1:I1152&lt;&gt;""""),COUNTA(FILTER(I$1:I1152, I$1:I1152&lt;&gt;""""))))-1), IF('To Order'!$A1153=COL"&amp;"UMNS($A1153:I1172), I1152&amp;RIGHT(INDIRECT(ADDRESS(ROW(I1153)-1, 'From Order'!$A1153)), 1), I1152))"),"JC")</f>
        <v>JC</v>
      </c>
    </row>
    <row r="1154">
      <c r="A1154" s="2" t="str">
        <f>IFERROR(__xludf.DUMMYFUNCTION("IF('From Order'!$A1154=COLUMNS($A1154:A1173), LEFT(INDEX(FILTER(A$1:A1153, A$1:A1153&lt;&gt;""""),COUNTA(FILTER(A$1:A1153, A$1:A1153&lt;&gt;""""))), LEN(INDEX(FILTER(A$1:A1153, A$1:A1153&lt;&gt;""""),COUNTA(FILTER(A$1:A1153, A$1:A1153&lt;&gt;""""))))-1), IF('To Order'!$A1154=COL"&amp;"UMNS($A1154:A1173), A1153&amp;RIGHT(INDIRECT(ADDRESS(ROW(A1154)-1, 'From Order'!$A1154)), 1), A1153))"),"HZBS")</f>
        <v>HZBS</v>
      </c>
      <c r="B1154" s="2" t="str">
        <f>IFERROR(__xludf.DUMMYFUNCTION("IF('From Order'!$A1154=COLUMNS($A1154:B1173), LEFT(INDEX(FILTER(B$1:B1153, B$1:B1153&lt;&gt;""""),COUNTA(FILTER(B$1:B1153, B$1:B1153&lt;&gt;""""))), LEN(INDEX(FILTER(B$1:B1153, B$1:B1153&lt;&gt;""""),COUNTA(FILTER(B$1:B1153, B$1:B1153&lt;&gt;""""))))-1), IF('To Order'!$A1154=COL"&amp;"UMNS($A1154:B1173), B1153&amp;RIGHT(INDIRECT(ADDRESS(ROW(B1154)-1, 'From Order'!$A1154)), 1), B1153))"),"ZLPDSDJDB")</f>
        <v>ZLPDSDJDB</v>
      </c>
      <c r="C1154" s="2" t="str">
        <f>IFERROR(__xludf.DUMMYFUNCTION("IF('From Order'!$A1154=COLUMNS($A1154:C1173), LEFT(INDEX(FILTER(C$1:C1153, C$1:C1153&lt;&gt;""""),COUNTA(FILTER(C$1:C1153, C$1:C1153&lt;&gt;""""))), LEN(INDEX(FILTER(C$1:C1153, C$1:C1153&lt;&gt;""""),COUNTA(FILTER(C$1:C1153, C$1:C1153&lt;&gt;""""))))-1), IF('To Order'!$A1154=COL"&amp;"UMNS($A1154:C1173), C1153&amp;RIGHT(INDIRECT(ADDRESS(ROW(C1154)-1, 'From Order'!$A1154)), 1), C1153))"),"TRLRSGHWQVQJPPLDTDTWRMTCRCDRZ")</f>
        <v>TRLRSGHWQVQJPPLDTDTWRMTCRCDRZ</v>
      </c>
      <c r="D1154" s="2" t="str">
        <f>IFERROR(__xludf.DUMMYFUNCTION("IF('From Order'!$A1154=COLUMNS($A1154:D1173), LEFT(INDEX(FILTER(D$1:D1153, D$1:D1153&lt;&gt;""""),COUNTA(FILTER(D$1:D1153, D$1:D1153&lt;&gt;""""))), LEN(INDEX(FILTER(D$1:D1153, D$1:D1153&lt;&gt;""""),COUNTA(FILTER(D$1:D1153, D$1:D1153&lt;&gt;""""))))-1), IF('To Order'!$A1154=COL"&amp;"UMNS($A1154:D1173), D1153&amp;RIGHT(INDIRECT(ADDRESS(ROW(D1154)-1, 'From Order'!$A1154)), 1), D1153))"),"GMTBFM")</f>
        <v>GMTBFM</v>
      </c>
      <c r="E1154" s="2" t="str">
        <f>IFERROR(__xludf.DUMMYFUNCTION("IF('From Order'!$A1154=COLUMNS($A1154:E1173), LEFT(INDEX(FILTER(E$1:E1153, E$1:E1153&lt;&gt;""""),COUNTA(FILTER(E$1:E1153, E$1:E1153&lt;&gt;""""))), LEN(INDEX(FILTER(E$1:E1153, E$1:E1153&lt;&gt;""""),COUNTA(FILTER(E$1:E1153, E$1:E1153&lt;&gt;""""))))-1), IF('To Order'!$A1154=COL"&amp;"UMNS($A1154:E1173), E1153&amp;RIGHT(INDIRECT(ADDRESS(ROW(E1154)-1, 'From Order'!$A1154)), 1), E1153))"),"")</f>
        <v/>
      </c>
      <c r="F1154" s="2" t="str">
        <f>IFERROR(__xludf.DUMMYFUNCTION("IF('From Order'!$A1154=COLUMNS($A1154:F1173), LEFT(INDEX(FILTER(F$1:F1153, F$1:F1153&lt;&gt;""""),COUNTA(FILTER(F$1:F1153, F$1:F1153&lt;&gt;""""))), LEN(INDEX(FILTER(F$1:F1153, F$1:F1153&lt;&gt;""""),COUNTA(FILTER(F$1:F1153, F$1:F1153&lt;&gt;""""))))-1), IF('To Order'!$A1154=COL"&amp;"UMNS($A1154:F1173), F1153&amp;RIGHT(INDIRECT(ADDRESS(ROW(F1154)-1, 'From Order'!$A1154)), 1), F1153))"),"")</f>
        <v/>
      </c>
      <c r="G1154" s="2" t="str">
        <f>IFERROR(__xludf.DUMMYFUNCTION("IF('From Order'!$A1154=COLUMNS($A1154:G1173), LEFT(INDEX(FILTER(G$1:G1153, G$1:G1153&lt;&gt;""""),COUNTA(FILTER(G$1:G1153, G$1:G1153&lt;&gt;""""))), LEN(INDEX(FILTER(G$1:G1153, G$1:G1153&lt;&gt;""""),COUNTA(FILTER(G$1:G1153, G$1:G1153&lt;&gt;""""))))-1), IF('To Order'!$A1154=COL"&amp;"UMNS($A1154:G1173), G1153&amp;RIGHT(INDIRECT(ADDRESS(ROW(G1154)-1, 'From Order'!$A1154)), 1), G1153))"),"BVST")</f>
        <v>BVST</v>
      </c>
      <c r="H1154" s="2" t="str">
        <f>IFERROR(__xludf.DUMMYFUNCTION("IF('From Order'!$A1154=COLUMNS($A1154:H1173), LEFT(INDEX(FILTER(H$1:H1153, H$1:H1153&lt;&gt;""""),COUNTA(FILTER(H$1:H1153, H$1:H1153&lt;&gt;""""))), LEN(INDEX(FILTER(H$1:H1153, H$1:H1153&lt;&gt;""""),COUNTA(FILTER(H$1:H1153, H$1:H1153&lt;&gt;""""))))-1), IF('To Order'!$A1154=COL"&amp;"UMNS($A1154:H1173), H1153&amp;RIGHT(INDIRECT(ADDRESS(ROW(H1154)-1, 'From Order'!$A1154)), 1), H1153))"),"VF")</f>
        <v>VF</v>
      </c>
      <c r="I1154" s="2" t="str">
        <f>IFERROR(__xludf.DUMMYFUNCTION("IF('From Order'!$A1154=COLUMNS($A1154:I1173), LEFT(INDEX(FILTER(I$1:I1153, I$1:I1153&lt;&gt;""""),COUNTA(FILTER(I$1:I1153, I$1:I1153&lt;&gt;""""))), LEN(INDEX(FILTER(I$1:I1153, I$1:I1153&lt;&gt;""""),COUNTA(FILTER(I$1:I1153, I$1:I1153&lt;&gt;""""))))-1), IF('To Order'!$A1154=COL"&amp;"UMNS($A1154:I1173), I1153&amp;RIGHT(INDIRECT(ADDRESS(ROW(I1154)-1, 'From Order'!$A1154)), 1), I1153))"),"JC")</f>
        <v>JC</v>
      </c>
    </row>
    <row r="1155">
      <c r="A1155" s="2" t="str">
        <f>IFERROR(__xludf.DUMMYFUNCTION("IF('From Order'!$A1155=COLUMNS($A1155:A1174), LEFT(INDEX(FILTER(A$1:A1154, A$1:A1154&lt;&gt;""""),COUNTA(FILTER(A$1:A1154, A$1:A1154&lt;&gt;""""))), LEN(INDEX(FILTER(A$1:A1154, A$1:A1154&lt;&gt;""""),COUNTA(FILTER(A$1:A1154, A$1:A1154&lt;&gt;""""))))-1), IF('To Order'!$A1155=COL"&amp;"UMNS($A1155:A1174), A1154&amp;RIGHT(INDIRECT(ADDRESS(ROW(A1155)-1, 'From Order'!$A1155)), 1), A1154))"),"HZBSB")</f>
        <v>HZBSB</v>
      </c>
      <c r="B1155" s="2" t="str">
        <f>IFERROR(__xludf.DUMMYFUNCTION("IF('From Order'!$A1155=COLUMNS($A1155:B1174), LEFT(INDEX(FILTER(B$1:B1154, B$1:B1154&lt;&gt;""""),COUNTA(FILTER(B$1:B1154, B$1:B1154&lt;&gt;""""))), LEN(INDEX(FILTER(B$1:B1154, B$1:B1154&lt;&gt;""""),COUNTA(FILTER(B$1:B1154, B$1:B1154&lt;&gt;""""))))-1), IF('To Order'!$A1155=COL"&amp;"UMNS($A1155:B1174), B1154&amp;RIGHT(INDIRECT(ADDRESS(ROW(B1155)-1, 'From Order'!$A1155)), 1), B1154))"),"ZLPDSDJD")</f>
        <v>ZLPDSDJD</v>
      </c>
      <c r="C1155" s="2" t="str">
        <f>IFERROR(__xludf.DUMMYFUNCTION("IF('From Order'!$A1155=COLUMNS($A1155:C1174), LEFT(INDEX(FILTER(C$1:C1154, C$1:C1154&lt;&gt;""""),COUNTA(FILTER(C$1:C1154, C$1:C1154&lt;&gt;""""))), LEN(INDEX(FILTER(C$1:C1154, C$1:C1154&lt;&gt;""""),COUNTA(FILTER(C$1:C1154, C$1:C1154&lt;&gt;""""))))-1), IF('To Order'!$A1155=COL"&amp;"UMNS($A1155:C1174), C1154&amp;RIGHT(INDIRECT(ADDRESS(ROW(C1155)-1, 'From Order'!$A1155)), 1), C1154))"),"TRLRSGHWQVQJPPLDTDTWRMTCRCDRZ")</f>
        <v>TRLRSGHWQVQJPPLDTDTWRMTCRCDRZ</v>
      </c>
      <c r="D1155" s="2" t="str">
        <f>IFERROR(__xludf.DUMMYFUNCTION("IF('From Order'!$A1155=COLUMNS($A1155:D1174), LEFT(INDEX(FILTER(D$1:D1154, D$1:D1154&lt;&gt;""""),COUNTA(FILTER(D$1:D1154, D$1:D1154&lt;&gt;""""))), LEN(INDEX(FILTER(D$1:D1154, D$1:D1154&lt;&gt;""""),COUNTA(FILTER(D$1:D1154, D$1:D1154&lt;&gt;""""))))-1), IF('To Order'!$A1155=COL"&amp;"UMNS($A1155:D1174), D1154&amp;RIGHT(INDIRECT(ADDRESS(ROW(D1155)-1, 'From Order'!$A1155)), 1), D1154))"),"GMTBFM")</f>
        <v>GMTBFM</v>
      </c>
      <c r="E1155" s="2" t="str">
        <f>IFERROR(__xludf.DUMMYFUNCTION("IF('From Order'!$A1155=COLUMNS($A1155:E1174), LEFT(INDEX(FILTER(E$1:E1154, E$1:E1154&lt;&gt;""""),COUNTA(FILTER(E$1:E1154, E$1:E1154&lt;&gt;""""))), LEN(INDEX(FILTER(E$1:E1154, E$1:E1154&lt;&gt;""""),COUNTA(FILTER(E$1:E1154, E$1:E1154&lt;&gt;""""))))-1), IF('To Order'!$A1155=COL"&amp;"UMNS($A1155:E1174), E1154&amp;RIGHT(INDIRECT(ADDRESS(ROW(E1155)-1, 'From Order'!$A1155)), 1), E1154))"),"")</f>
        <v/>
      </c>
      <c r="F1155" s="2" t="str">
        <f>IFERROR(__xludf.DUMMYFUNCTION("IF('From Order'!$A1155=COLUMNS($A1155:F1174), LEFT(INDEX(FILTER(F$1:F1154, F$1:F1154&lt;&gt;""""),COUNTA(FILTER(F$1:F1154, F$1:F1154&lt;&gt;""""))), LEN(INDEX(FILTER(F$1:F1154, F$1:F1154&lt;&gt;""""),COUNTA(FILTER(F$1:F1154, F$1:F1154&lt;&gt;""""))))-1), IF('To Order'!$A1155=COL"&amp;"UMNS($A1155:F1174), F1154&amp;RIGHT(INDIRECT(ADDRESS(ROW(F1155)-1, 'From Order'!$A1155)), 1), F1154))"),"")</f>
        <v/>
      </c>
      <c r="G1155" s="2" t="str">
        <f>IFERROR(__xludf.DUMMYFUNCTION("IF('From Order'!$A1155=COLUMNS($A1155:G1174), LEFT(INDEX(FILTER(G$1:G1154, G$1:G1154&lt;&gt;""""),COUNTA(FILTER(G$1:G1154, G$1:G1154&lt;&gt;""""))), LEN(INDEX(FILTER(G$1:G1154, G$1:G1154&lt;&gt;""""),COUNTA(FILTER(G$1:G1154, G$1:G1154&lt;&gt;""""))))-1), IF('To Order'!$A1155=COL"&amp;"UMNS($A1155:G1174), G1154&amp;RIGHT(INDIRECT(ADDRESS(ROW(G1155)-1, 'From Order'!$A1155)), 1), G1154))"),"BVST")</f>
        <v>BVST</v>
      </c>
      <c r="H1155" s="2" t="str">
        <f>IFERROR(__xludf.DUMMYFUNCTION("IF('From Order'!$A1155=COLUMNS($A1155:H1174), LEFT(INDEX(FILTER(H$1:H1154, H$1:H1154&lt;&gt;""""),COUNTA(FILTER(H$1:H1154, H$1:H1154&lt;&gt;""""))), LEN(INDEX(FILTER(H$1:H1154, H$1:H1154&lt;&gt;""""),COUNTA(FILTER(H$1:H1154, H$1:H1154&lt;&gt;""""))))-1), IF('To Order'!$A1155=COL"&amp;"UMNS($A1155:H1174), H1154&amp;RIGHT(INDIRECT(ADDRESS(ROW(H1155)-1, 'From Order'!$A1155)), 1), H1154))"),"VF")</f>
        <v>VF</v>
      </c>
      <c r="I1155" s="2" t="str">
        <f>IFERROR(__xludf.DUMMYFUNCTION("IF('From Order'!$A1155=COLUMNS($A1155:I1174), LEFT(INDEX(FILTER(I$1:I1154, I$1:I1154&lt;&gt;""""),COUNTA(FILTER(I$1:I1154, I$1:I1154&lt;&gt;""""))), LEN(INDEX(FILTER(I$1:I1154, I$1:I1154&lt;&gt;""""),COUNTA(FILTER(I$1:I1154, I$1:I1154&lt;&gt;""""))))-1), IF('To Order'!$A1155=COL"&amp;"UMNS($A1155:I1174), I1154&amp;RIGHT(INDIRECT(ADDRESS(ROW(I1155)-1, 'From Order'!$A1155)), 1), I1154))"),"JC")</f>
        <v>JC</v>
      </c>
    </row>
    <row r="1156">
      <c r="A1156" s="2" t="str">
        <f>IFERROR(__xludf.DUMMYFUNCTION("IF('From Order'!$A1156=COLUMNS($A1156:A1175), LEFT(INDEX(FILTER(A$1:A1155, A$1:A1155&lt;&gt;""""),COUNTA(FILTER(A$1:A1155, A$1:A1155&lt;&gt;""""))), LEN(INDEX(FILTER(A$1:A1155, A$1:A1155&lt;&gt;""""),COUNTA(FILTER(A$1:A1155, A$1:A1155&lt;&gt;""""))))-1), IF('To Order'!$A1156=COL"&amp;"UMNS($A1156:A1175), A1155&amp;RIGHT(INDIRECT(ADDRESS(ROW(A1156)-1, 'From Order'!$A1156)), 1), A1155))"),"HZBSBD")</f>
        <v>HZBSBD</v>
      </c>
      <c r="B1156" s="2" t="str">
        <f>IFERROR(__xludf.DUMMYFUNCTION("IF('From Order'!$A1156=COLUMNS($A1156:B1175), LEFT(INDEX(FILTER(B$1:B1155, B$1:B1155&lt;&gt;""""),COUNTA(FILTER(B$1:B1155, B$1:B1155&lt;&gt;""""))), LEN(INDEX(FILTER(B$1:B1155, B$1:B1155&lt;&gt;""""),COUNTA(FILTER(B$1:B1155, B$1:B1155&lt;&gt;""""))))-1), IF('To Order'!$A1156=COL"&amp;"UMNS($A1156:B1175), B1155&amp;RIGHT(INDIRECT(ADDRESS(ROW(B1156)-1, 'From Order'!$A1156)), 1), B1155))"),"ZLPDSDJ")</f>
        <v>ZLPDSDJ</v>
      </c>
      <c r="C1156" s="2" t="str">
        <f>IFERROR(__xludf.DUMMYFUNCTION("IF('From Order'!$A1156=COLUMNS($A1156:C1175), LEFT(INDEX(FILTER(C$1:C1155, C$1:C1155&lt;&gt;""""),COUNTA(FILTER(C$1:C1155, C$1:C1155&lt;&gt;""""))), LEN(INDEX(FILTER(C$1:C1155, C$1:C1155&lt;&gt;""""),COUNTA(FILTER(C$1:C1155, C$1:C1155&lt;&gt;""""))))-1), IF('To Order'!$A1156=COL"&amp;"UMNS($A1156:C1175), C1155&amp;RIGHT(INDIRECT(ADDRESS(ROW(C1156)-1, 'From Order'!$A1156)), 1), C1155))"),"TRLRSGHWQVQJPPLDTDTWRMTCRCDRZ")</f>
        <v>TRLRSGHWQVQJPPLDTDTWRMTCRCDRZ</v>
      </c>
      <c r="D1156" s="2" t="str">
        <f>IFERROR(__xludf.DUMMYFUNCTION("IF('From Order'!$A1156=COLUMNS($A1156:D1175), LEFT(INDEX(FILTER(D$1:D1155, D$1:D1155&lt;&gt;""""),COUNTA(FILTER(D$1:D1155, D$1:D1155&lt;&gt;""""))), LEN(INDEX(FILTER(D$1:D1155, D$1:D1155&lt;&gt;""""),COUNTA(FILTER(D$1:D1155, D$1:D1155&lt;&gt;""""))))-1), IF('To Order'!$A1156=COL"&amp;"UMNS($A1156:D1175), D1155&amp;RIGHT(INDIRECT(ADDRESS(ROW(D1156)-1, 'From Order'!$A1156)), 1), D1155))"),"GMTBFM")</f>
        <v>GMTBFM</v>
      </c>
      <c r="E1156" s="2" t="str">
        <f>IFERROR(__xludf.DUMMYFUNCTION("IF('From Order'!$A1156=COLUMNS($A1156:E1175), LEFT(INDEX(FILTER(E$1:E1155, E$1:E1155&lt;&gt;""""),COUNTA(FILTER(E$1:E1155, E$1:E1155&lt;&gt;""""))), LEN(INDEX(FILTER(E$1:E1155, E$1:E1155&lt;&gt;""""),COUNTA(FILTER(E$1:E1155, E$1:E1155&lt;&gt;""""))))-1), IF('To Order'!$A1156=COL"&amp;"UMNS($A1156:E1175), E1155&amp;RIGHT(INDIRECT(ADDRESS(ROW(E1156)-1, 'From Order'!$A1156)), 1), E1155))"),"")</f>
        <v/>
      </c>
      <c r="F1156" s="2" t="str">
        <f>IFERROR(__xludf.DUMMYFUNCTION("IF('From Order'!$A1156=COLUMNS($A1156:F1175), LEFT(INDEX(FILTER(F$1:F1155, F$1:F1155&lt;&gt;""""),COUNTA(FILTER(F$1:F1155, F$1:F1155&lt;&gt;""""))), LEN(INDEX(FILTER(F$1:F1155, F$1:F1155&lt;&gt;""""),COUNTA(FILTER(F$1:F1155, F$1:F1155&lt;&gt;""""))))-1), IF('To Order'!$A1156=COL"&amp;"UMNS($A1156:F1175), F1155&amp;RIGHT(INDIRECT(ADDRESS(ROW(F1156)-1, 'From Order'!$A1156)), 1), F1155))"),"")</f>
        <v/>
      </c>
      <c r="G1156" s="2" t="str">
        <f>IFERROR(__xludf.DUMMYFUNCTION("IF('From Order'!$A1156=COLUMNS($A1156:G1175), LEFT(INDEX(FILTER(G$1:G1155, G$1:G1155&lt;&gt;""""),COUNTA(FILTER(G$1:G1155, G$1:G1155&lt;&gt;""""))), LEN(INDEX(FILTER(G$1:G1155, G$1:G1155&lt;&gt;""""),COUNTA(FILTER(G$1:G1155, G$1:G1155&lt;&gt;""""))))-1), IF('To Order'!$A1156=COL"&amp;"UMNS($A1156:G1175), G1155&amp;RIGHT(INDIRECT(ADDRESS(ROW(G1156)-1, 'From Order'!$A1156)), 1), G1155))"),"BVST")</f>
        <v>BVST</v>
      </c>
      <c r="H1156" s="2" t="str">
        <f>IFERROR(__xludf.DUMMYFUNCTION("IF('From Order'!$A1156=COLUMNS($A1156:H1175), LEFT(INDEX(FILTER(H$1:H1155, H$1:H1155&lt;&gt;""""),COUNTA(FILTER(H$1:H1155, H$1:H1155&lt;&gt;""""))), LEN(INDEX(FILTER(H$1:H1155, H$1:H1155&lt;&gt;""""),COUNTA(FILTER(H$1:H1155, H$1:H1155&lt;&gt;""""))))-1), IF('To Order'!$A1156=COL"&amp;"UMNS($A1156:H1175), H1155&amp;RIGHT(INDIRECT(ADDRESS(ROW(H1156)-1, 'From Order'!$A1156)), 1), H1155))"),"VF")</f>
        <v>VF</v>
      </c>
      <c r="I1156" s="2" t="str">
        <f>IFERROR(__xludf.DUMMYFUNCTION("IF('From Order'!$A1156=COLUMNS($A1156:I1175), LEFT(INDEX(FILTER(I$1:I1155, I$1:I1155&lt;&gt;""""),COUNTA(FILTER(I$1:I1155, I$1:I1155&lt;&gt;""""))), LEN(INDEX(FILTER(I$1:I1155, I$1:I1155&lt;&gt;""""),COUNTA(FILTER(I$1:I1155, I$1:I1155&lt;&gt;""""))))-1), IF('To Order'!$A1156=COL"&amp;"UMNS($A1156:I1175), I1155&amp;RIGHT(INDIRECT(ADDRESS(ROW(I1156)-1, 'From Order'!$A1156)), 1), I1155))"),"JC")</f>
        <v>JC</v>
      </c>
    </row>
    <row r="1157">
      <c r="A1157" s="2" t="str">
        <f>IFERROR(__xludf.DUMMYFUNCTION("IF('From Order'!$A1157=COLUMNS($A1157:A1176), LEFT(INDEX(FILTER(A$1:A1156, A$1:A1156&lt;&gt;""""),COUNTA(FILTER(A$1:A1156, A$1:A1156&lt;&gt;""""))), LEN(INDEX(FILTER(A$1:A1156, A$1:A1156&lt;&gt;""""),COUNTA(FILTER(A$1:A1156, A$1:A1156&lt;&gt;""""))))-1), IF('To Order'!$A1157=COL"&amp;"UMNS($A1157:A1176), A1156&amp;RIGHT(INDIRECT(ADDRESS(ROW(A1157)-1, 'From Order'!$A1157)), 1), A1156))"),"HZBSBDJ")</f>
        <v>HZBSBDJ</v>
      </c>
      <c r="B1157" s="2" t="str">
        <f>IFERROR(__xludf.DUMMYFUNCTION("IF('From Order'!$A1157=COLUMNS($A1157:B1176), LEFT(INDEX(FILTER(B$1:B1156, B$1:B1156&lt;&gt;""""),COUNTA(FILTER(B$1:B1156, B$1:B1156&lt;&gt;""""))), LEN(INDEX(FILTER(B$1:B1156, B$1:B1156&lt;&gt;""""),COUNTA(FILTER(B$1:B1156, B$1:B1156&lt;&gt;""""))))-1), IF('To Order'!$A1157=COL"&amp;"UMNS($A1157:B1176), B1156&amp;RIGHT(INDIRECT(ADDRESS(ROW(B1157)-1, 'From Order'!$A1157)), 1), B1156))"),"ZLPDSD")</f>
        <v>ZLPDSD</v>
      </c>
      <c r="C1157" s="2" t="str">
        <f>IFERROR(__xludf.DUMMYFUNCTION("IF('From Order'!$A1157=COLUMNS($A1157:C1176), LEFT(INDEX(FILTER(C$1:C1156, C$1:C1156&lt;&gt;""""),COUNTA(FILTER(C$1:C1156, C$1:C1156&lt;&gt;""""))), LEN(INDEX(FILTER(C$1:C1156, C$1:C1156&lt;&gt;""""),COUNTA(FILTER(C$1:C1156, C$1:C1156&lt;&gt;""""))))-1), IF('To Order'!$A1157=COL"&amp;"UMNS($A1157:C1176), C1156&amp;RIGHT(INDIRECT(ADDRESS(ROW(C1157)-1, 'From Order'!$A1157)), 1), C1156))"),"TRLRSGHWQVQJPPLDTDTWRMTCRCDRZ")</f>
        <v>TRLRSGHWQVQJPPLDTDTWRMTCRCDRZ</v>
      </c>
      <c r="D1157" s="2" t="str">
        <f>IFERROR(__xludf.DUMMYFUNCTION("IF('From Order'!$A1157=COLUMNS($A1157:D1176), LEFT(INDEX(FILTER(D$1:D1156, D$1:D1156&lt;&gt;""""),COUNTA(FILTER(D$1:D1156, D$1:D1156&lt;&gt;""""))), LEN(INDEX(FILTER(D$1:D1156, D$1:D1156&lt;&gt;""""),COUNTA(FILTER(D$1:D1156, D$1:D1156&lt;&gt;""""))))-1), IF('To Order'!$A1157=COL"&amp;"UMNS($A1157:D1176), D1156&amp;RIGHT(INDIRECT(ADDRESS(ROW(D1157)-1, 'From Order'!$A1157)), 1), D1156))"),"GMTBFM")</f>
        <v>GMTBFM</v>
      </c>
      <c r="E1157" s="2" t="str">
        <f>IFERROR(__xludf.DUMMYFUNCTION("IF('From Order'!$A1157=COLUMNS($A1157:E1176), LEFT(INDEX(FILTER(E$1:E1156, E$1:E1156&lt;&gt;""""),COUNTA(FILTER(E$1:E1156, E$1:E1156&lt;&gt;""""))), LEN(INDEX(FILTER(E$1:E1156, E$1:E1156&lt;&gt;""""),COUNTA(FILTER(E$1:E1156, E$1:E1156&lt;&gt;""""))))-1), IF('To Order'!$A1157=COL"&amp;"UMNS($A1157:E1176), E1156&amp;RIGHT(INDIRECT(ADDRESS(ROW(E1157)-1, 'From Order'!$A1157)), 1), E1156))"),"")</f>
        <v/>
      </c>
      <c r="F1157" s="2" t="str">
        <f>IFERROR(__xludf.DUMMYFUNCTION("IF('From Order'!$A1157=COLUMNS($A1157:F1176), LEFT(INDEX(FILTER(F$1:F1156, F$1:F1156&lt;&gt;""""),COUNTA(FILTER(F$1:F1156, F$1:F1156&lt;&gt;""""))), LEN(INDEX(FILTER(F$1:F1156, F$1:F1156&lt;&gt;""""),COUNTA(FILTER(F$1:F1156, F$1:F1156&lt;&gt;""""))))-1), IF('To Order'!$A1157=COL"&amp;"UMNS($A1157:F1176), F1156&amp;RIGHT(INDIRECT(ADDRESS(ROW(F1157)-1, 'From Order'!$A1157)), 1), F1156))"),"")</f>
        <v/>
      </c>
      <c r="G1157" s="2" t="str">
        <f>IFERROR(__xludf.DUMMYFUNCTION("IF('From Order'!$A1157=COLUMNS($A1157:G1176), LEFT(INDEX(FILTER(G$1:G1156, G$1:G1156&lt;&gt;""""),COUNTA(FILTER(G$1:G1156, G$1:G1156&lt;&gt;""""))), LEN(INDEX(FILTER(G$1:G1156, G$1:G1156&lt;&gt;""""),COUNTA(FILTER(G$1:G1156, G$1:G1156&lt;&gt;""""))))-1), IF('To Order'!$A1157=COL"&amp;"UMNS($A1157:G1176), G1156&amp;RIGHT(INDIRECT(ADDRESS(ROW(G1157)-1, 'From Order'!$A1157)), 1), G1156))"),"BVST")</f>
        <v>BVST</v>
      </c>
      <c r="H1157" s="2" t="str">
        <f>IFERROR(__xludf.DUMMYFUNCTION("IF('From Order'!$A1157=COLUMNS($A1157:H1176), LEFT(INDEX(FILTER(H$1:H1156, H$1:H1156&lt;&gt;""""),COUNTA(FILTER(H$1:H1156, H$1:H1156&lt;&gt;""""))), LEN(INDEX(FILTER(H$1:H1156, H$1:H1156&lt;&gt;""""),COUNTA(FILTER(H$1:H1156, H$1:H1156&lt;&gt;""""))))-1), IF('To Order'!$A1157=COL"&amp;"UMNS($A1157:H1176), H1156&amp;RIGHT(INDIRECT(ADDRESS(ROW(H1157)-1, 'From Order'!$A1157)), 1), H1156))"),"VF")</f>
        <v>VF</v>
      </c>
      <c r="I1157" s="2" t="str">
        <f>IFERROR(__xludf.DUMMYFUNCTION("IF('From Order'!$A1157=COLUMNS($A1157:I1176), LEFT(INDEX(FILTER(I$1:I1156, I$1:I1156&lt;&gt;""""),COUNTA(FILTER(I$1:I1156, I$1:I1156&lt;&gt;""""))), LEN(INDEX(FILTER(I$1:I1156, I$1:I1156&lt;&gt;""""),COUNTA(FILTER(I$1:I1156, I$1:I1156&lt;&gt;""""))))-1), IF('To Order'!$A1157=COL"&amp;"UMNS($A1157:I1176), I1156&amp;RIGHT(INDIRECT(ADDRESS(ROW(I1157)-1, 'From Order'!$A1157)), 1), I1156))"),"JC")</f>
        <v>JC</v>
      </c>
    </row>
    <row r="1158">
      <c r="A1158" s="2" t="str">
        <f>IFERROR(__xludf.DUMMYFUNCTION("IF('From Order'!$A1158=COLUMNS($A1158:A1177), LEFT(INDEX(FILTER(A$1:A1157, A$1:A1157&lt;&gt;""""),COUNTA(FILTER(A$1:A1157, A$1:A1157&lt;&gt;""""))), LEN(INDEX(FILTER(A$1:A1157, A$1:A1157&lt;&gt;""""),COUNTA(FILTER(A$1:A1157, A$1:A1157&lt;&gt;""""))))-1), IF('To Order'!$A1158=COL"&amp;"UMNS($A1158:A1177), A1157&amp;RIGHT(INDIRECT(ADDRESS(ROW(A1158)-1, 'From Order'!$A1158)), 1), A1157))"),"HZBSBDJD")</f>
        <v>HZBSBDJD</v>
      </c>
      <c r="B1158" s="2" t="str">
        <f>IFERROR(__xludf.DUMMYFUNCTION("IF('From Order'!$A1158=COLUMNS($A1158:B1177), LEFT(INDEX(FILTER(B$1:B1157, B$1:B1157&lt;&gt;""""),COUNTA(FILTER(B$1:B1157, B$1:B1157&lt;&gt;""""))), LEN(INDEX(FILTER(B$1:B1157, B$1:B1157&lt;&gt;""""),COUNTA(FILTER(B$1:B1157, B$1:B1157&lt;&gt;""""))))-1), IF('To Order'!$A1158=COL"&amp;"UMNS($A1158:B1177), B1157&amp;RIGHT(INDIRECT(ADDRESS(ROW(B1158)-1, 'From Order'!$A1158)), 1), B1157))"),"ZLPDS")</f>
        <v>ZLPDS</v>
      </c>
      <c r="C1158" s="2" t="str">
        <f>IFERROR(__xludf.DUMMYFUNCTION("IF('From Order'!$A1158=COLUMNS($A1158:C1177), LEFT(INDEX(FILTER(C$1:C1157, C$1:C1157&lt;&gt;""""),COUNTA(FILTER(C$1:C1157, C$1:C1157&lt;&gt;""""))), LEN(INDEX(FILTER(C$1:C1157, C$1:C1157&lt;&gt;""""),COUNTA(FILTER(C$1:C1157, C$1:C1157&lt;&gt;""""))))-1), IF('To Order'!$A1158=COL"&amp;"UMNS($A1158:C1177), C1157&amp;RIGHT(INDIRECT(ADDRESS(ROW(C1158)-1, 'From Order'!$A1158)), 1), C1157))"),"TRLRSGHWQVQJPPLDTDTWRMTCRCDRZ")</f>
        <v>TRLRSGHWQVQJPPLDTDTWRMTCRCDRZ</v>
      </c>
      <c r="D1158" s="2" t="str">
        <f>IFERROR(__xludf.DUMMYFUNCTION("IF('From Order'!$A1158=COLUMNS($A1158:D1177), LEFT(INDEX(FILTER(D$1:D1157, D$1:D1157&lt;&gt;""""),COUNTA(FILTER(D$1:D1157, D$1:D1157&lt;&gt;""""))), LEN(INDEX(FILTER(D$1:D1157, D$1:D1157&lt;&gt;""""),COUNTA(FILTER(D$1:D1157, D$1:D1157&lt;&gt;""""))))-1), IF('To Order'!$A1158=COL"&amp;"UMNS($A1158:D1177), D1157&amp;RIGHT(INDIRECT(ADDRESS(ROW(D1158)-1, 'From Order'!$A1158)), 1), D1157))"),"GMTBFM")</f>
        <v>GMTBFM</v>
      </c>
      <c r="E1158" s="2" t="str">
        <f>IFERROR(__xludf.DUMMYFUNCTION("IF('From Order'!$A1158=COLUMNS($A1158:E1177), LEFT(INDEX(FILTER(E$1:E1157, E$1:E1157&lt;&gt;""""),COUNTA(FILTER(E$1:E1157, E$1:E1157&lt;&gt;""""))), LEN(INDEX(FILTER(E$1:E1157, E$1:E1157&lt;&gt;""""),COUNTA(FILTER(E$1:E1157, E$1:E1157&lt;&gt;""""))))-1), IF('To Order'!$A1158=COL"&amp;"UMNS($A1158:E1177), E1157&amp;RIGHT(INDIRECT(ADDRESS(ROW(E1158)-1, 'From Order'!$A1158)), 1), E1157))"),"")</f>
        <v/>
      </c>
      <c r="F1158" s="2" t="str">
        <f>IFERROR(__xludf.DUMMYFUNCTION("IF('From Order'!$A1158=COLUMNS($A1158:F1177), LEFT(INDEX(FILTER(F$1:F1157, F$1:F1157&lt;&gt;""""),COUNTA(FILTER(F$1:F1157, F$1:F1157&lt;&gt;""""))), LEN(INDEX(FILTER(F$1:F1157, F$1:F1157&lt;&gt;""""),COUNTA(FILTER(F$1:F1157, F$1:F1157&lt;&gt;""""))))-1), IF('To Order'!$A1158=COL"&amp;"UMNS($A1158:F1177), F1157&amp;RIGHT(INDIRECT(ADDRESS(ROW(F1158)-1, 'From Order'!$A1158)), 1), F1157))"),"")</f>
        <v/>
      </c>
      <c r="G1158" s="2" t="str">
        <f>IFERROR(__xludf.DUMMYFUNCTION("IF('From Order'!$A1158=COLUMNS($A1158:G1177), LEFT(INDEX(FILTER(G$1:G1157, G$1:G1157&lt;&gt;""""),COUNTA(FILTER(G$1:G1157, G$1:G1157&lt;&gt;""""))), LEN(INDEX(FILTER(G$1:G1157, G$1:G1157&lt;&gt;""""),COUNTA(FILTER(G$1:G1157, G$1:G1157&lt;&gt;""""))))-1), IF('To Order'!$A1158=COL"&amp;"UMNS($A1158:G1177), G1157&amp;RIGHT(INDIRECT(ADDRESS(ROW(G1158)-1, 'From Order'!$A1158)), 1), G1157))"),"BVST")</f>
        <v>BVST</v>
      </c>
      <c r="H1158" s="2" t="str">
        <f>IFERROR(__xludf.DUMMYFUNCTION("IF('From Order'!$A1158=COLUMNS($A1158:H1177), LEFT(INDEX(FILTER(H$1:H1157, H$1:H1157&lt;&gt;""""),COUNTA(FILTER(H$1:H1157, H$1:H1157&lt;&gt;""""))), LEN(INDEX(FILTER(H$1:H1157, H$1:H1157&lt;&gt;""""),COUNTA(FILTER(H$1:H1157, H$1:H1157&lt;&gt;""""))))-1), IF('To Order'!$A1158=COL"&amp;"UMNS($A1158:H1177), H1157&amp;RIGHT(INDIRECT(ADDRESS(ROW(H1158)-1, 'From Order'!$A1158)), 1), H1157))"),"VF")</f>
        <v>VF</v>
      </c>
      <c r="I1158" s="2" t="str">
        <f>IFERROR(__xludf.DUMMYFUNCTION("IF('From Order'!$A1158=COLUMNS($A1158:I1177), LEFT(INDEX(FILTER(I$1:I1157, I$1:I1157&lt;&gt;""""),COUNTA(FILTER(I$1:I1157, I$1:I1157&lt;&gt;""""))), LEN(INDEX(FILTER(I$1:I1157, I$1:I1157&lt;&gt;""""),COUNTA(FILTER(I$1:I1157, I$1:I1157&lt;&gt;""""))))-1), IF('To Order'!$A1158=COL"&amp;"UMNS($A1158:I1177), I1157&amp;RIGHT(INDIRECT(ADDRESS(ROW(I1158)-1, 'From Order'!$A1158)), 1), I1157))"),"JC")</f>
        <v>JC</v>
      </c>
    </row>
    <row r="1159">
      <c r="A1159" s="2" t="str">
        <f>IFERROR(__xludf.DUMMYFUNCTION("IF('From Order'!$A1159=COLUMNS($A1159:A1178), LEFT(INDEX(FILTER(A$1:A1158, A$1:A1158&lt;&gt;""""),COUNTA(FILTER(A$1:A1158, A$1:A1158&lt;&gt;""""))), LEN(INDEX(FILTER(A$1:A1158, A$1:A1158&lt;&gt;""""),COUNTA(FILTER(A$1:A1158, A$1:A1158&lt;&gt;""""))))-1), IF('To Order'!$A1159=COL"&amp;"UMNS($A1159:A1178), A1158&amp;RIGHT(INDIRECT(ADDRESS(ROW(A1159)-1, 'From Order'!$A1159)), 1), A1158))"),"HZBSBDJD")</f>
        <v>HZBSBDJD</v>
      </c>
      <c r="B1159" s="2" t="str">
        <f>IFERROR(__xludf.DUMMYFUNCTION("IF('From Order'!$A1159=COLUMNS($A1159:B1178), LEFT(INDEX(FILTER(B$1:B1158, B$1:B1158&lt;&gt;""""),COUNTA(FILTER(B$1:B1158, B$1:B1158&lt;&gt;""""))), LEN(INDEX(FILTER(B$1:B1158, B$1:B1158&lt;&gt;""""),COUNTA(FILTER(B$1:B1158, B$1:B1158&lt;&gt;""""))))-1), IF('To Order'!$A1159=COL"&amp;"UMNS($A1159:B1178), B1158&amp;RIGHT(INDIRECT(ADDRESS(ROW(B1159)-1, 'From Order'!$A1159)), 1), B1158))"),"ZLPDS")</f>
        <v>ZLPDS</v>
      </c>
      <c r="C1159" s="2" t="str">
        <f>IFERROR(__xludf.DUMMYFUNCTION("IF('From Order'!$A1159=COLUMNS($A1159:C1178), LEFT(INDEX(FILTER(C$1:C1158, C$1:C1158&lt;&gt;""""),COUNTA(FILTER(C$1:C1158, C$1:C1158&lt;&gt;""""))), LEN(INDEX(FILTER(C$1:C1158, C$1:C1158&lt;&gt;""""),COUNTA(FILTER(C$1:C1158, C$1:C1158&lt;&gt;""""))))-1), IF('To Order'!$A1159=COL"&amp;"UMNS($A1159:C1178), C1158&amp;RIGHT(INDIRECT(ADDRESS(ROW(C1159)-1, 'From Order'!$A1159)), 1), C1158))"),"TRLRSGHWQVQJPPLDTDTWRMTCRCDRZ")</f>
        <v>TRLRSGHWQVQJPPLDTDTWRMTCRCDRZ</v>
      </c>
      <c r="D1159" s="2" t="str">
        <f>IFERROR(__xludf.DUMMYFUNCTION("IF('From Order'!$A1159=COLUMNS($A1159:D1178), LEFT(INDEX(FILTER(D$1:D1158, D$1:D1158&lt;&gt;""""),COUNTA(FILTER(D$1:D1158, D$1:D1158&lt;&gt;""""))), LEN(INDEX(FILTER(D$1:D1158, D$1:D1158&lt;&gt;""""),COUNTA(FILTER(D$1:D1158, D$1:D1158&lt;&gt;""""))))-1), IF('To Order'!$A1159=COL"&amp;"UMNS($A1159:D1178), D1158&amp;RIGHT(INDIRECT(ADDRESS(ROW(D1159)-1, 'From Order'!$A1159)), 1), D1158))"),"GMTBFM")</f>
        <v>GMTBFM</v>
      </c>
      <c r="E1159" s="2" t="str">
        <f>IFERROR(__xludf.DUMMYFUNCTION("IF('From Order'!$A1159=COLUMNS($A1159:E1178), LEFT(INDEX(FILTER(E$1:E1158, E$1:E1158&lt;&gt;""""),COUNTA(FILTER(E$1:E1158, E$1:E1158&lt;&gt;""""))), LEN(INDEX(FILTER(E$1:E1158, E$1:E1158&lt;&gt;""""),COUNTA(FILTER(E$1:E1158, E$1:E1158&lt;&gt;""""))))-1), IF('To Order'!$A1159=COL"&amp;"UMNS($A1159:E1178), E1158&amp;RIGHT(INDIRECT(ADDRESS(ROW(E1159)-1, 'From Order'!$A1159)), 1), E1158))"),"F")</f>
        <v>F</v>
      </c>
      <c r="F1159" s="2" t="str">
        <f>IFERROR(__xludf.DUMMYFUNCTION("IF('From Order'!$A1159=COLUMNS($A1159:F1178), LEFT(INDEX(FILTER(F$1:F1158, F$1:F1158&lt;&gt;""""),COUNTA(FILTER(F$1:F1158, F$1:F1158&lt;&gt;""""))), LEN(INDEX(FILTER(F$1:F1158, F$1:F1158&lt;&gt;""""),COUNTA(FILTER(F$1:F1158, F$1:F1158&lt;&gt;""""))))-1), IF('To Order'!$A1159=COL"&amp;"UMNS($A1159:F1178), F1158&amp;RIGHT(INDIRECT(ADDRESS(ROW(F1159)-1, 'From Order'!$A1159)), 1), F1158))"),"")</f>
        <v/>
      </c>
      <c r="G1159" s="2" t="str">
        <f>IFERROR(__xludf.DUMMYFUNCTION("IF('From Order'!$A1159=COLUMNS($A1159:G1178), LEFT(INDEX(FILTER(G$1:G1158, G$1:G1158&lt;&gt;""""),COUNTA(FILTER(G$1:G1158, G$1:G1158&lt;&gt;""""))), LEN(INDEX(FILTER(G$1:G1158, G$1:G1158&lt;&gt;""""),COUNTA(FILTER(G$1:G1158, G$1:G1158&lt;&gt;""""))))-1), IF('To Order'!$A1159=COL"&amp;"UMNS($A1159:G1178), G1158&amp;RIGHT(INDIRECT(ADDRESS(ROW(G1159)-1, 'From Order'!$A1159)), 1), G1158))"),"BVST")</f>
        <v>BVST</v>
      </c>
      <c r="H1159" s="2" t="str">
        <f>IFERROR(__xludf.DUMMYFUNCTION("IF('From Order'!$A1159=COLUMNS($A1159:H1178), LEFT(INDEX(FILTER(H$1:H1158, H$1:H1158&lt;&gt;""""),COUNTA(FILTER(H$1:H1158, H$1:H1158&lt;&gt;""""))), LEN(INDEX(FILTER(H$1:H1158, H$1:H1158&lt;&gt;""""),COUNTA(FILTER(H$1:H1158, H$1:H1158&lt;&gt;""""))))-1), IF('To Order'!$A1159=COL"&amp;"UMNS($A1159:H1178), H1158&amp;RIGHT(INDIRECT(ADDRESS(ROW(H1159)-1, 'From Order'!$A1159)), 1), H1158))"),"V")</f>
        <v>V</v>
      </c>
      <c r="I1159" s="2" t="str">
        <f>IFERROR(__xludf.DUMMYFUNCTION("IF('From Order'!$A1159=COLUMNS($A1159:I1178), LEFT(INDEX(FILTER(I$1:I1158, I$1:I1158&lt;&gt;""""),COUNTA(FILTER(I$1:I1158, I$1:I1158&lt;&gt;""""))), LEN(INDEX(FILTER(I$1:I1158, I$1:I1158&lt;&gt;""""),COUNTA(FILTER(I$1:I1158, I$1:I1158&lt;&gt;""""))))-1), IF('To Order'!$A1159=COL"&amp;"UMNS($A1159:I1178), I1158&amp;RIGHT(INDIRECT(ADDRESS(ROW(I1159)-1, 'From Order'!$A1159)), 1), I1158))"),"JC")</f>
        <v>JC</v>
      </c>
    </row>
    <row r="1160">
      <c r="A1160" s="2" t="str">
        <f>IFERROR(__xludf.DUMMYFUNCTION("IF('From Order'!$A1160=COLUMNS($A1160:A1179), LEFT(INDEX(FILTER(A$1:A1159, A$1:A1159&lt;&gt;""""),COUNTA(FILTER(A$1:A1159, A$1:A1159&lt;&gt;""""))), LEN(INDEX(FILTER(A$1:A1159, A$1:A1159&lt;&gt;""""),COUNTA(FILTER(A$1:A1159, A$1:A1159&lt;&gt;""""))))-1), IF('To Order'!$A1160=COL"&amp;"UMNS($A1160:A1179), A1159&amp;RIGHT(INDIRECT(ADDRESS(ROW(A1160)-1, 'From Order'!$A1160)), 1), A1159))"),"HZBSBDJD")</f>
        <v>HZBSBDJD</v>
      </c>
      <c r="B1160" s="2" t="str">
        <f>IFERROR(__xludf.DUMMYFUNCTION("IF('From Order'!$A1160=COLUMNS($A1160:B1179), LEFT(INDEX(FILTER(B$1:B1159, B$1:B1159&lt;&gt;""""),COUNTA(FILTER(B$1:B1159, B$1:B1159&lt;&gt;""""))), LEN(INDEX(FILTER(B$1:B1159, B$1:B1159&lt;&gt;""""),COUNTA(FILTER(B$1:B1159, B$1:B1159&lt;&gt;""""))))-1), IF('To Order'!$A1160=COL"&amp;"UMNS($A1160:B1179), B1159&amp;RIGHT(INDIRECT(ADDRESS(ROW(B1160)-1, 'From Order'!$A1160)), 1), B1159))"),"ZLPDS")</f>
        <v>ZLPDS</v>
      </c>
      <c r="C1160" s="2" t="str">
        <f>IFERROR(__xludf.DUMMYFUNCTION("IF('From Order'!$A1160=COLUMNS($A1160:C1179), LEFT(INDEX(FILTER(C$1:C1159, C$1:C1159&lt;&gt;""""),COUNTA(FILTER(C$1:C1159, C$1:C1159&lt;&gt;""""))), LEN(INDEX(FILTER(C$1:C1159, C$1:C1159&lt;&gt;""""),COUNTA(FILTER(C$1:C1159, C$1:C1159&lt;&gt;""""))))-1), IF('To Order'!$A1160=COL"&amp;"UMNS($A1160:C1179), C1159&amp;RIGHT(INDIRECT(ADDRESS(ROW(C1160)-1, 'From Order'!$A1160)), 1), C1159))"),"TRLRSGHWQVQJPPLDTDTWRMTCRCDRZ")</f>
        <v>TRLRSGHWQVQJPPLDTDTWRMTCRCDRZ</v>
      </c>
      <c r="D1160" s="2" t="str">
        <f>IFERROR(__xludf.DUMMYFUNCTION("IF('From Order'!$A1160=COLUMNS($A1160:D1179), LEFT(INDEX(FILTER(D$1:D1159, D$1:D1159&lt;&gt;""""),COUNTA(FILTER(D$1:D1159, D$1:D1159&lt;&gt;""""))), LEN(INDEX(FILTER(D$1:D1159, D$1:D1159&lt;&gt;""""),COUNTA(FILTER(D$1:D1159, D$1:D1159&lt;&gt;""""))))-1), IF('To Order'!$A1160=COL"&amp;"UMNS($A1160:D1179), D1159&amp;RIGHT(INDIRECT(ADDRESS(ROW(D1160)-1, 'From Order'!$A1160)), 1), D1159))"),"GMTBFM")</f>
        <v>GMTBFM</v>
      </c>
      <c r="E1160" s="2" t="str">
        <f>IFERROR(__xludf.DUMMYFUNCTION("IF('From Order'!$A1160=COLUMNS($A1160:E1179), LEFT(INDEX(FILTER(E$1:E1159, E$1:E1159&lt;&gt;""""),COUNTA(FILTER(E$1:E1159, E$1:E1159&lt;&gt;""""))), LEN(INDEX(FILTER(E$1:E1159, E$1:E1159&lt;&gt;""""),COUNTA(FILTER(E$1:E1159, E$1:E1159&lt;&gt;""""))))-1), IF('To Order'!$A1160=COL"&amp;"UMNS($A1160:E1179), E1159&amp;RIGHT(INDIRECT(ADDRESS(ROW(E1160)-1, 'From Order'!$A1160)), 1), E1159))"),"FV")</f>
        <v>FV</v>
      </c>
      <c r="F1160" s="2" t="str">
        <f>IFERROR(__xludf.DUMMYFUNCTION("IF('From Order'!$A1160=COLUMNS($A1160:F1179), LEFT(INDEX(FILTER(F$1:F1159, F$1:F1159&lt;&gt;""""),COUNTA(FILTER(F$1:F1159, F$1:F1159&lt;&gt;""""))), LEN(INDEX(FILTER(F$1:F1159, F$1:F1159&lt;&gt;""""),COUNTA(FILTER(F$1:F1159, F$1:F1159&lt;&gt;""""))))-1), IF('To Order'!$A1160=COL"&amp;"UMNS($A1160:F1179), F1159&amp;RIGHT(INDIRECT(ADDRESS(ROW(F1160)-1, 'From Order'!$A1160)), 1), F1159))"),"")</f>
        <v/>
      </c>
      <c r="G1160" s="2" t="str">
        <f>IFERROR(__xludf.DUMMYFUNCTION("IF('From Order'!$A1160=COLUMNS($A1160:G1179), LEFT(INDEX(FILTER(G$1:G1159, G$1:G1159&lt;&gt;""""),COUNTA(FILTER(G$1:G1159, G$1:G1159&lt;&gt;""""))), LEN(INDEX(FILTER(G$1:G1159, G$1:G1159&lt;&gt;""""),COUNTA(FILTER(G$1:G1159, G$1:G1159&lt;&gt;""""))))-1), IF('To Order'!$A1160=COL"&amp;"UMNS($A1160:G1179), G1159&amp;RIGHT(INDIRECT(ADDRESS(ROW(G1160)-1, 'From Order'!$A1160)), 1), G1159))"),"BVST")</f>
        <v>BVST</v>
      </c>
      <c r="H1160" s="2" t="str">
        <f>IFERROR(__xludf.DUMMYFUNCTION("IF('From Order'!$A1160=COLUMNS($A1160:H1179), LEFT(INDEX(FILTER(H$1:H1159, H$1:H1159&lt;&gt;""""),COUNTA(FILTER(H$1:H1159, H$1:H1159&lt;&gt;""""))), LEN(INDEX(FILTER(H$1:H1159, H$1:H1159&lt;&gt;""""),COUNTA(FILTER(H$1:H1159, H$1:H1159&lt;&gt;""""))))-1), IF('To Order'!$A1160=COL"&amp;"UMNS($A1160:H1179), H1159&amp;RIGHT(INDIRECT(ADDRESS(ROW(H1160)-1, 'From Order'!$A1160)), 1), H1159))"),"")</f>
        <v/>
      </c>
      <c r="I1160" s="2" t="str">
        <f>IFERROR(__xludf.DUMMYFUNCTION("IF('From Order'!$A1160=COLUMNS($A1160:I1179), LEFT(INDEX(FILTER(I$1:I1159, I$1:I1159&lt;&gt;""""),COUNTA(FILTER(I$1:I1159, I$1:I1159&lt;&gt;""""))), LEN(INDEX(FILTER(I$1:I1159, I$1:I1159&lt;&gt;""""),COUNTA(FILTER(I$1:I1159, I$1:I1159&lt;&gt;""""))))-1), IF('To Order'!$A1160=COL"&amp;"UMNS($A1160:I1179), I1159&amp;RIGHT(INDIRECT(ADDRESS(ROW(I1160)-1, 'From Order'!$A1160)), 1), I1159))"),"JC")</f>
        <v>JC</v>
      </c>
    </row>
    <row r="1161">
      <c r="A1161" s="2" t="str">
        <f>IFERROR(__xludf.DUMMYFUNCTION("IF('From Order'!$A1161=COLUMNS($A1161:A1180), LEFT(INDEX(FILTER(A$1:A1160, A$1:A1160&lt;&gt;""""),COUNTA(FILTER(A$1:A1160, A$1:A1160&lt;&gt;""""))), LEN(INDEX(FILTER(A$1:A1160, A$1:A1160&lt;&gt;""""),COUNTA(FILTER(A$1:A1160, A$1:A1160&lt;&gt;""""))))-1), IF('To Order'!$A1161=COL"&amp;"UMNS($A1161:A1180), A1160&amp;RIGHT(INDIRECT(ADDRESS(ROW(A1161)-1, 'From Order'!$A1161)), 1), A1160))"),"HZBSBDJD")</f>
        <v>HZBSBDJD</v>
      </c>
      <c r="B1161" s="2" t="str">
        <f>IFERROR(__xludf.DUMMYFUNCTION("IF('From Order'!$A1161=COLUMNS($A1161:B1180), LEFT(INDEX(FILTER(B$1:B1160, B$1:B1160&lt;&gt;""""),COUNTA(FILTER(B$1:B1160, B$1:B1160&lt;&gt;""""))), LEN(INDEX(FILTER(B$1:B1160, B$1:B1160&lt;&gt;""""),COUNTA(FILTER(B$1:B1160, B$1:B1160&lt;&gt;""""))))-1), IF('To Order'!$A1161=COL"&amp;"UMNS($A1161:B1180), B1160&amp;RIGHT(INDIRECT(ADDRESS(ROW(B1161)-1, 'From Order'!$A1161)), 1), B1160))"),"ZLPDS")</f>
        <v>ZLPDS</v>
      </c>
      <c r="C1161" s="2" t="str">
        <f>IFERROR(__xludf.DUMMYFUNCTION("IF('From Order'!$A1161=COLUMNS($A1161:C1180), LEFT(INDEX(FILTER(C$1:C1160, C$1:C1160&lt;&gt;""""),COUNTA(FILTER(C$1:C1160, C$1:C1160&lt;&gt;""""))), LEN(INDEX(FILTER(C$1:C1160, C$1:C1160&lt;&gt;""""),COUNTA(FILTER(C$1:C1160, C$1:C1160&lt;&gt;""""))))-1), IF('To Order'!$A1161=COL"&amp;"UMNS($A1161:C1180), C1160&amp;RIGHT(INDIRECT(ADDRESS(ROW(C1161)-1, 'From Order'!$A1161)), 1), C1160))"),"TRLRSGHWQVQJPPLDTDTWRMTCRCDRZC")</f>
        <v>TRLRSGHWQVQJPPLDTDTWRMTCRCDRZC</v>
      </c>
      <c r="D1161" s="2" t="str">
        <f>IFERROR(__xludf.DUMMYFUNCTION("IF('From Order'!$A1161=COLUMNS($A1161:D1180), LEFT(INDEX(FILTER(D$1:D1160, D$1:D1160&lt;&gt;""""),COUNTA(FILTER(D$1:D1160, D$1:D1160&lt;&gt;""""))), LEN(INDEX(FILTER(D$1:D1160, D$1:D1160&lt;&gt;""""),COUNTA(FILTER(D$1:D1160, D$1:D1160&lt;&gt;""""))))-1), IF('To Order'!$A1161=COL"&amp;"UMNS($A1161:D1180), D1160&amp;RIGHT(INDIRECT(ADDRESS(ROW(D1161)-1, 'From Order'!$A1161)), 1), D1160))"),"GMTBFM")</f>
        <v>GMTBFM</v>
      </c>
      <c r="E1161" s="2" t="str">
        <f>IFERROR(__xludf.DUMMYFUNCTION("IF('From Order'!$A1161=COLUMNS($A1161:E1180), LEFT(INDEX(FILTER(E$1:E1160, E$1:E1160&lt;&gt;""""),COUNTA(FILTER(E$1:E1160, E$1:E1160&lt;&gt;""""))), LEN(INDEX(FILTER(E$1:E1160, E$1:E1160&lt;&gt;""""),COUNTA(FILTER(E$1:E1160, E$1:E1160&lt;&gt;""""))))-1), IF('To Order'!$A1161=COL"&amp;"UMNS($A1161:E1180), E1160&amp;RIGHT(INDIRECT(ADDRESS(ROW(E1161)-1, 'From Order'!$A1161)), 1), E1160))"),"FV")</f>
        <v>FV</v>
      </c>
      <c r="F1161" s="2" t="str">
        <f>IFERROR(__xludf.DUMMYFUNCTION("IF('From Order'!$A1161=COLUMNS($A1161:F1180), LEFT(INDEX(FILTER(F$1:F1160, F$1:F1160&lt;&gt;""""),COUNTA(FILTER(F$1:F1160, F$1:F1160&lt;&gt;""""))), LEN(INDEX(FILTER(F$1:F1160, F$1:F1160&lt;&gt;""""),COUNTA(FILTER(F$1:F1160, F$1:F1160&lt;&gt;""""))))-1), IF('To Order'!$A1161=COL"&amp;"UMNS($A1161:F1180), F1160&amp;RIGHT(INDIRECT(ADDRESS(ROW(F1161)-1, 'From Order'!$A1161)), 1), F1160))"),"")</f>
        <v/>
      </c>
      <c r="G1161" s="2" t="str">
        <f>IFERROR(__xludf.DUMMYFUNCTION("IF('From Order'!$A1161=COLUMNS($A1161:G1180), LEFT(INDEX(FILTER(G$1:G1160, G$1:G1160&lt;&gt;""""),COUNTA(FILTER(G$1:G1160, G$1:G1160&lt;&gt;""""))), LEN(INDEX(FILTER(G$1:G1160, G$1:G1160&lt;&gt;""""),COUNTA(FILTER(G$1:G1160, G$1:G1160&lt;&gt;""""))))-1), IF('To Order'!$A1161=COL"&amp;"UMNS($A1161:G1180), G1160&amp;RIGHT(INDIRECT(ADDRESS(ROW(G1161)-1, 'From Order'!$A1161)), 1), G1160))"),"BVST")</f>
        <v>BVST</v>
      </c>
      <c r="H1161" s="2" t="str">
        <f>IFERROR(__xludf.DUMMYFUNCTION("IF('From Order'!$A1161=COLUMNS($A1161:H1180), LEFT(INDEX(FILTER(H$1:H1160, H$1:H1160&lt;&gt;""""),COUNTA(FILTER(H$1:H1160, H$1:H1160&lt;&gt;""""))), LEN(INDEX(FILTER(H$1:H1160, H$1:H1160&lt;&gt;""""),COUNTA(FILTER(H$1:H1160, H$1:H1160&lt;&gt;""""))))-1), IF('To Order'!$A1161=COL"&amp;"UMNS($A1161:H1180), H1160&amp;RIGHT(INDIRECT(ADDRESS(ROW(H1161)-1, 'From Order'!$A1161)), 1), H1160))"),"")</f>
        <v/>
      </c>
      <c r="I1161" s="2" t="str">
        <f>IFERROR(__xludf.DUMMYFUNCTION("IF('From Order'!$A1161=COLUMNS($A1161:I1180), LEFT(INDEX(FILTER(I$1:I1160, I$1:I1160&lt;&gt;""""),COUNTA(FILTER(I$1:I1160, I$1:I1160&lt;&gt;""""))), LEN(INDEX(FILTER(I$1:I1160, I$1:I1160&lt;&gt;""""),COUNTA(FILTER(I$1:I1160, I$1:I1160&lt;&gt;""""))))-1), IF('To Order'!$A1161=COL"&amp;"UMNS($A1161:I1180), I1160&amp;RIGHT(INDIRECT(ADDRESS(ROW(I1161)-1, 'From Order'!$A1161)), 1), I1160))"),"J")</f>
        <v>J</v>
      </c>
    </row>
    <row r="1162">
      <c r="A1162" s="2" t="str">
        <f>IFERROR(__xludf.DUMMYFUNCTION("IF('From Order'!$A1162=COLUMNS($A1162:A1181), LEFT(INDEX(FILTER(A$1:A1161, A$1:A1161&lt;&gt;""""),COUNTA(FILTER(A$1:A1161, A$1:A1161&lt;&gt;""""))), LEN(INDEX(FILTER(A$1:A1161, A$1:A1161&lt;&gt;""""),COUNTA(FILTER(A$1:A1161, A$1:A1161&lt;&gt;""""))))-1), IF('To Order'!$A1162=COL"&amp;"UMNS($A1162:A1181), A1161&amp;RIGHT(INDIRECT(ADDRESS(ROW(A1162)-1, 'From Order'!$A1162)), 1), A1161))"),"HZBSBDJD")</f>
        <v>HZBSBDJD</v>
      </c>
      <c r="B1162" s="2" t="str">
        <f>IFERROR(__xludf.DUMMYFUNCTION("IF('From Order'!$A1162=COLUMNS($A1162:B1181), LEFT(INDEX(FILTER(B$1:B1161, B$1:B1161&lt;&gt;""""),COUNTA(FILTER(B$1:B1161, B$1:B1161&lt;&gt;""""))), LEN(INDEX(FILTER(B$1:B1161, B$1:B1161&lt;&gt;""""),COUNTA(FILTER(B$1:B1161, B$1:B1161&lt;&gt;""""))))-1), IF('To Order'!$A1162=COL"&amp;"UMNS($A1162:B1181), B1161&amp;RIGHT(INDIRECT(ADDRESS(ROW(B1162)-1, 'From Order'!$A1162)), 1), B1161))"),"ZLPDS")</f>
        <v>ZLPDS</v>
      </c>
      <c r="C1162" s="2" t="str">
        <f>IFERROR(__xludf.DUMMYFUNCTION("IF('From Order'!$A1162=COLUMNS($A1162:C1181), LEFT(INDEX(FILTER(C$1:C1161, C$1:C1161&lt;&gt;""""),COUNTA(FILTER(C$1:C1161, C$1:C1161&lt;&gt;""""))), LEN(INDEX(FILTER(C$1:C1161, C$1:C1161&lt;&gt;""""),COUNTA(FILTER(C$1:C1161, C$1:C1161&lt;&gt;""""))))-1), IF('To Order'!$A1162=COL"&amp;"UMNS($A1162:C1181), C1161&amp;RIGHT(INDIRECT(ADDRESS(ROW(C1162)-1, 'From Order'!$A1162)), 1), C1161))"),"TRLRSGHWQVQJPPLDTDTWRMTCRCDRZCJ")</f>
        <v>TRLRSGHWQVQJPPLDTDTWRMTCRCDRZCJ</v>
      </c>
      <c r="D1162" s="2" t="str">
        <f>IFERROR(__xludf.DUMMYFUNCTION("IF('From Order'!$A1162=COLUMNS($A1162:D1181), LEFT(INDEX(FILTER(D$1:D1161, D$1:D1161&lt;&gt;""""),COUNTA(FILTER(D$1:D1161, D$1:D1161&lt;&gt;""""))), LEN(INDEX(FILTER(D$1:D1161, D$1:D1161&lt;&gt;""""),COUNTA(FILTER(D$1:D1161, D$1:D1161&lt;&gt;""""))))-1), IF('To Order'!$A1162=COL"&amp;"UMNS($A1162:D1181), D1161&amp;RIGHT(INDIRECT(ADDRESS(ROW(D1162)-1, 'From Order'!$A1162)), 1), D1161))"),"GMTBFM")</f>
        <v>GMTBFM</v>
      </c>
      <c r="E1162" s="2" t="str">
        <f>IFERROR(__xludf.DUMMYFUNCTION("IF('From Order'!$A1162=COLUMNS($A1162:E1181), LEFT(INDEX(FILTER(E$1:E1161, E$1:E1161&lt;&gt;""""),COUNTA(FILTER(E$1:E1161, E$1:E1161&lt;&gt;""""))), LEN(INDEX(FILTER(E$1:E1161, E$1:E1161&lt;&gt;""""),COUNTA(FILTER(E$1:E1161, E$1:E1161&lt;&gt;""""))))-1), IF('To Order'!$A1162=COL"&amp;"UMNS($A1162:E1181), E1161&amp;RIGHT(INDIRECT(ADDRESS(ROW(E1162)-1, 'From Order'!$A1162)), 1), E1161))"),"FV")</f>
        <v>FV</v>
      </c>
      <c r="F1162" s="2" t="str">
        <f>IFERROR(__xludf.DUMMYFUNCTION("IF('From Order'!$A1162=COLUMNS($A1162:F1181), LEFT(INDEX(FILTER(F$1:F1161, F$1:F1161&lt;&gt;""""),COUNTA(FILTER(F$1:F1161, F$1:F1161&lt;&gt;""""))), LEN(INDEX(FILTER(F$1:F1161, F$1:F1161&lt;&gt;""""),COUNTA(FILTER(F$1:F1161, F$1:F1161&lt;&gt;""""))))-1), IF('To Order'!$A1162=COL"&amp;"UMNS($A1162:F1181), F1161&amp;RIGHT(INDIRECT(ADDRESS(ROW(F1162)-1, 'From Order'!$A1162)), 1), F1161))"),"")</f>
        <v/>
      </c>
      <c r="G1162" s="2" t="str">
        <f>IFERROR(__xludf.DUMMYFUNCTION("IF('From Order'!$A1162=COLUMNS($A1162:G1181), LEFT(INDEX(FILTER(G$1:G1161, G$1:G1161&lt;&gt;""""),COUNTA(FILTER(G$1:G1161, G$1:G1161&lt;&gt;""""))), LEN(INDEX(FILTER(G$1:G1161, G$1:G1161&lt;&gt;""""),COUNTA(FILTER(G$1:G1161, G$1:G1161&lt;&gt;""""))))-1), IF('To Order'!$A1162=COL"&amp;"UMNS($A1162:G1181), G1161&amp;RIGHT(INDIRECT(ADDRESS(ROW(G1162)-1, 'From Order'!$A1162)), 1), G1161))"),"BVST")</f>
        <v>BVST</v>
      </c>
      <c r="H1162" s="2" t="str">
        <f>IFERROR(__xludf.DUMMYFUNCTION("IF('From Order'!$A1162=COLUMNS($A1162:H1181), LEFT(INDEX(FILTER(H$1:H1161, H$1:H1161&lt;&gt;""""),COUNTA(FILTER(H$1:H1161, H$1:H1161&lt;&gt;""""))), LEN(INDEX(FILTER(H$1:H1161, H$1:H1161&lt;&gt;""""),COUNTA(FILTER(H$1:H1161, H$1:H1161&lt;&gt;""""))))-1), IF('To Order'!$A1162=COL"&amp;"UMNS($A1162:H1181), H1161&amp;RIGHT(INDIRECT(ADDRESS(ROW(H1162)-1, 'From Order'!$A1162)), 1), H1161))"),"")</f>
        <v/>
      </c>
      <c r="I1162" s="2" t="str">
        <f>IFERROR(__xludf.DUMMYFUNCTION("IF('From Order'!$A1162=COLUMNS($A1162:I1181), LEFT(INDEX(FILTER(I$1:I1161, I$1:I1161&lt;&gt;""""),COUNTA(FILTER(I$1:I1161, I$1:I1161&lt;&gt;""""))), LEN(INDEX(FILTER(I$1:I1161, I$1:I1161&lt;&gt;""""),COUNTA(FILTER(I$1:I1161, I$1:I1161&lt;&gt;""""))))-1), IF('To Order'!$A1162=COL"&amp;"UMNS($A1162:I1181), I1161&amp;RIGHT(INDIRECT(ADDRESS(ROW(I1162)-1, 'From Order'!$A1162)), 1), I1161))"),"")</f>
        <v/>
      </c>
    </row>
    <row r="1163">
      <c r="A1163" s="2" t="str">
        <f>IFERROR(__xludf.DUMMYFUNCTION("IF('From Order'!$A1163=COLUMNS($A1163:A1182), LEFT(INDEX(FILTER(A$1:A1162, A$1:A1162&lt;&gt;""""),COUNTA(FILTER(A$1:A1162, A$1:A1162&lt;&gt;""""))), LEN(INDEX(FILTER(A$1:A1162, A$1:A1162&lt;&gt;""""),COUNTA(FILTER(A$1:A1162, A$1:A1162&lt;&gt;""""))))-1), IF('To Order'!$A1163=COL"&amp;"UMNS($A1163:A1182), A1162&amp;RIGHT(INDIRECT(ADDRESS(ROW(A1163)-1, 'From Order'!$A1163)), 1), A1162))"),"HZBSBDJDM")</f>
        <v>HZBSBDJDM</v>
      </c>
      <c r="B1163" s="2" t="str">
        <f>IFERROR(__xludf.DUMMYFUNCTION("IF('From Order'!$A1163=COLUMNS($A1163:B1182), LEFT(INDEX(FILTER(B$1:B1162, B$1:B1162&lt;&gt;""""),COUNTA(FILTER(B$1:B1162, B$1:B1162&lt;&gt;""""))), LEN(INDEX(FILTER(B$1:B1162, B$1:B1162&lt;&gt;""""),COUNTA(FILTER(B$1:B1162, B$1:B1162&lt;&gt;""""))))-1), IF('To Order'!$A1163=COL"&amp;"UMNS($A1163:B1182), B1162&amp;RIGHT(INDIRECT(ADDRESS(ROW(B1163)-1, 'From Order'!$A1163)), 1), B1162))"),"ZLPDS")</f>
        <v>ZLPDS</v>
      </c>
      <c r="C1163" s="2" t="str">
        <f>IFERROR(__xludf.DUMMYFUNCTION("IF('From Order'!$A1163=COLUMNS($A1163:C1182), LEFT(INDEX(FILTER(C$1:C1162, C$1:C1162&lt;&gt;""""),COUNTA(FILTER(C$1:C1162, C$1:C1162&lt;&gt;""""))), LEN(INDEX(FILTER(C$1:C1162, C$1:C1162&lt;&gt;""""),COUNTA(FILTER(C$1:C1162, C$1:C1162&lt;&gt;""""))))-1), IF('To Order'!$A1163=COL"&amp;"UMNS($A1163:C1182), C1162&amp;RIGHT(INDIRECT(ADDRESS(ROW(C1163)-1, 'From Order'!$A1163)), 1), C1162))"),"TRLRSGHWQVQJPPLDTDTWRMTCRCDRZCJ")</f>
        <v>TRLRSGHWQVQJPPLDTDTWRMTCRCDRZCJ</v>
      </c>
      <c r="D1163" s="2" t="str">
        <f>IFERROR(__xludf.DUMMYFUNCTION("IF('From Order'!$A1163=COLUMNS($A1163:D1182), LEFT(INDEX(FILTER(D$1:D1162, D$1:D1162&lt;&gt;""""),COUNTA(FILTER(D$1:D1162, D$1:D1162&lt;&gt;""""))), LEN(INDEX(FILTER(D$1:D1162, D$1:D1162&lt;&gt;""""),COUNTA(FILTER(D$1:D1162, D$1:D1162&lt;&gt;""""))))-1), IF('To Order'!$A1163=COL"&amp;"UMNS($A1163:D1182), D1162&amp;RIGHT(INDIRECT(ADDRESS(ROW(D1163)-1, 'From Order'!$A1163)), 1), D1162))"),"GMTBF")</f>
        <v>GMTBF</v>
      </c>
      <c r="E1163" s="2" t="str">
        <f>IFERROR(__xludf.DUMMYFUNCTION("IF('From Order'!$A1163=COLUMNS($A1163:E1182), LEFT(INDEX(FILTER(E$1:E1162, E$1:E1162&lt;&gt;""""),COUNTA(FILTER(E$1:E1162, E$1:E1162&lt;&gt;""""))), LEN(INDEX(FILTER(E$1:E1162, E$1:E1162&lt;&gt;""""),COUNTA(FILTER(E$1:E1162, E$1:E1162&lt;&gt;""""))))-1), IF('To Order'!$A1163=COL"&amp;"UMNS($A1163:E1182), E1162&amp;RIGHT(INDIRECT(ADDRESS(ROW(E1163)-1, 'From Order'!$A1163)), 1), E1162))"),"FV")</f>
        <v>FV</v>
      </c>
      <c r="F1163" s="2" t="str">
        <f>IFERROR(__xludf.DUMMYFUNCTION("IF('From Order'!$A1163=COLUMNS($A1163:F1182), LEFT(INDEX(FILTER(F$1:F1162, F$1:F1162&lt;&gt;""""),COUNTA(FILTER(F$1:F1162, F$1:F1162&lt;&gt;""""))), LEN(INDEX(FILTER(F$1:F1162, F$1:F1162&lt;&gt;""""),COUNTA(FILTER(F$1:F1162, F$1:F1162&lt;&gt;""""))))-1), IF('To Order'!$A1163=COL"&amp;"UMNS($A1163:F1182), F1162&amp;RIGHT(INDIRECT(ADDRESS(ROW(F1163)-1, 'From Order'!$A1163)), 1), F1162))"),"")</f>
        <v/>
      </c>
      <c r="G1163" s="2" t="str">
        <f>IFERROR(__xludf.DUMMYFUNCTION("IF('From Order'!$A1163=COLUMNS($A1163:G1182), LEFT(INDEX(FILTER(G$1:G1162, G$1:G1162&lt;&gt;""""),COUNTA(FILTER(G$1:G1162, G$1:G1162&lt;&gt;""""))), LEN(INDEX(FILTER(G$1:G1162, G$1:G1162&lt;&gt;""""),COUNTA(FILTER(G$1:G1162, G$1:G1162&lt;&gt;""""))))-1), IF('To Order'!$A1163=COL"&amp;"UMNS($A1163:G1182), G1162&amp;RIGHT(INDIRECT(ADDRESS(ROW(G1163)-1, 'From Order'!$A1163)), 1), G1162))"),"BVST")</f>
        <v>BVST</v>
      </c>
      <c r="H1163" s="2" t="str">
        <f>IFERROR(__xludf.DUMMYFUNCTION("IF('From Order'!$A1163=COLUMNS($A1163:H1182), LEFT(INDEX(FILTER(H$1:H1162, H$1:H1162&lt;&gt;""""),COUNTA(FILTER(H$1:H1162, H$1:H1162&lt;&gt;""""))), LEN(INDEX(FILTER(H$1:H1162, H$1:H1162&lt;&gt;""""),COUNTA(FILTER(H$1:H1162, H$1:H1162&lt;&gt;""""))))-1), IF('To Order'!$A1163=COL"&amp;"UMNS($A1163:H1182), H1162&amp;RIGHT(INDIRECT(ADDRESS(ROW(H1163)-1, 'From Order'!$A1163)), 1), H1162))"),"")</f>
        <v/>
      </c>
      <c r="I1163" s="2" t="str">
        <f>IFERROR(__xludf.DUMMYFUNCTION("IF('From Order'!$A1163=COLUMNS($A1163:I1182), LEFT(INDEX(FILTER(I$1:I1162, I$1:I1162&lt;&gt;""""),COUNTA(FILTER(I$1:I1162, I$1:I1162&lt;&gt;""""))), LEN(INDEX(FILTER(I$1:I1162, I$1:I1162&lt;&gt;""""),COUNTA(FILTER(I$1:I1162, I$1:I1162&lt;&gt;""""))))-1), IF('To Order'!$A1163=COL"&amp;"UMNS($A1163:I1182), I1162&amp;RIGHT(INDIRECT(ADDRESS(ROW(I1163)-1, 'From Order'!$A1163)), 1), I1162))"),"")</f>
        <v/>
      </c>
    </row>
    <row r="1164">
      <c r="A1164" s="2" t="str">
        <f>IFERROR(__xludf.DUMMYFUNCTION("IF('From Order'!$A1164=COLUMNS($A1164:A1183), LEFT(INDEX(FILTER(A$1:A1163, A$1:A1163&lt;&gt;""""),COUNTA(FILTER(A$1:A1163, A$1:A1163&lt;&gt;""""))), LEN(INDEX(FILTER(A$1:A1163, A$1:A1163&lt;&gt;""""),COUNTA(FILTER(A$1:A1163, A$1:A1163&lt;&gt;""""))))-1), IF('To Order'!$A1164=COL"&amp;"UMNS($A1164:A1183), A1163&amp;RIGHT(INDIRECT(ADDRESS(ROW(A1164)-1, 'From Order'!$A1164)), 1), A1163))"),"HZBSBDJDMF")</f>
        <v>HZBSBDJDMF</v>
      </c>
      <c r="B1164" s="2" t="str">
        <f>IFERROR(__xludf.DUMMYFUNCTION("IF('From Order'!$A1164=COLUMNS($A1164:B1183), LEFT(INDEX(FILTER(B$1:B1163, B$1:B1163&lt;&gt;""""),COUNTA(FILTER(B$1:B1163, B$1:B1163&lt;&gt;""""))), LEN(INDEX(FILTER(B$1:B1163, B$1:B1163&lt;&gt;""""),COUNTA(FILTER(B$1:B1163, B$1:B1163&lt;&gt;""""))))-1), IF('To Order'!$A1164=COL"&amp;"UMNS($A1164:B1183), B1163&amp;RIGHT(INDIRECT(ADDRESS(ROW(B1164)-1, 'From Order'!$A1164)), 1), B1163))"),"ZLPDS")</f>
        <v>ZLPDS</v>
      </c>
      <c r="C1164" s="2" t="str">
        <f>IFERROR(__xludf.DUMMYFUNCTION("IF('From Order'!$A1164=COLUMNS($A1164:C1183), LEFT(INDEX(FILTER(C$1:C1163, C$1:C1163&lt;&gt;""""),COUNTA(FILTER(C$1:C1163, C$1:C1163&lt;&gt;""""))), LEN(INDEX(FILTER(C$1:C1163, C$1:C1163&lt;&gt;""""),COUNTA(FILTER(C$1:C1163, C$1:C1163&lt;&gt;""""))))-1), IF('To Order'!$A1164=COL"&amp;"UMNS($A1164:C1183), C1163&amp;RIGHT(INDIRECT(ADDRESS(ROW(C1164)-1, 'From Order'!$A1164)), 1), C1163))"),"TRLRSGHWQVQJPPLDTDTWRMTCRCDRZCJ")</f>
        <v>TRLRSGHWQVQJPPLDTDTWRMTCRCDRZCJ</v>
      </c>
      <c r="D1164" s="2" t="str">
        <f>IFERROR(__xludf.DUMMYFUNCTION("IF('From Order'!$A1164=COLUMNS($A1164:D1183), LEFT(INDEX(FILTER(D$1:D1163, D$1:D1163&lt;&gt;""""),COUNTA(FILTER(D$1:D1163, D$1:D1163&lt;&gt;""""))), LEN(INDEX(FILTER(D$1:D1163, D$1:D1163&lt;&gt;""""),COUNTA(FILTER(D$1:D1163, D$1:D1163&lt;&gt;""""))))-1), IF('To Order'!$A1164=COL"&amp;"UMNS($A1164:D1183), D1163&amp;RIGHT(INDIRECT(ADDRESS(ROW(D1164)-1, 'From Order'!$A1164)), 1), D1163))"),"GMTB")</f>
        <v>GMTB</v>
      </c>
      <c r="E1164" s="2" t="str">
        <f>IFERROR(__xludf.DUMMYFUNCTION("IF('From Order'!$A1164=COLUMNS($A1164:E1183), LEFT(INDEX(FILTER(E$1:E1163, E$1:E1163&lt;&gt;""""),COUNTA(FILTER(E$1:E1163, E$1:E1163&lt;&gt;""""))), LEN(INDEX(FILTER(E$1:E1163, E$1:E1163&lt;&gt;""""),COUNTA(FILTER(E$1:E1163, E$1:E1163&lt;&gt;""""))))-1), IF('To Order'!$A1164=COL"&amp;"UMNS($A1164:E1183), E1163&amp;RIGHT(INDIRECT(ADDRESS(ROW(E1164)-1, 'From Order'!$A1164)), 1), E1163))"),"FV")</f>
        <v>FV</v>
      </c>
      <c r="F1164" s="2" t="str">
        <f>IFERROR(__xludf.DUMMYFUNCTION("IF('From Order'!$A1164=COLUMNS($A1164:F1183), LEFT(INDEX(FILTER(F$1:F1163, F$1:F1163&lt;&gt;""""),COUNTA(FILTER(F$1:F1163, F$1:F1163&lt;&gt;""""))), LEN(INDEX(FILTER(F$1:F1163, F$1:F1163&lt;&gt;""""),COUNTA(FILTER(F$1:F1163, F$1:F1163&lt;&gt;""""))))-1), IF('To Order'!$A1164=COL"&amp;"UMNS($A1164:F1183), F1163&amp;RIGHT(INDIRECT(ADDRESS(ROW(F1164)-1, 'From Order'!$A1164)), 1), F1163))"),"")</f>
        <v/>
      </c>
      <c r="G1164" s="2" t="str">
        <f>IFERROR(__xludf.DUMMYFUNCTION("IF('From Order'!$A1164=COLUMNS($A1164:G1183), LEFT(INDEX(FILTER(G$1:G1163, G$1:G1163&lt;&gt;""""),COUNTA(FILTER(G$1:G1163, G$1:G1163&lt;&gt;""""))), LEN(INDEX(FILTER(G$1:G1163, G$1:G1163&lt;&gt;""""),COUNTA(FILTER(G$1:G1163, G$1:G1163&lt;&gt;""""))))-1), IF('To Order'!$A1164=COL"&amp;"UMNS($A1164:G1183), G1163&amp;RIGHT(INDIRECT(ADDRESS(ROW(G1164)-1, 'From Order'!$A1164)), 1), G1163))"),"BVST")</f>
        <v>BVST</v>
      </c>
      <c r="H1164" s="2" t="str">
        <f>IFERROR(__xludf.DUMMYFUNCTION("IF('From Order'!$A1164=COLUMNS($A1164:H1183), LEFT(INDEX(FILTER(H$1:H1163, H$1:H1163&lt;&gt;""""),COUNTA(FILTER(H$1:H1163, H$1:H1163&lt;&gt;""""))), LEN(INDEX(FILTER(H$1:H1163, H$1:H1163&lt;&gt;""""),COUNTA(FILTER(H$1:H1163, H$1:H1163&lt;&gt;""""))))-1), IF('To Order'!$A1164=COL"&amp;"UMNS($A1164:H1183), H1163&amp;RIGHT(INDIRECT(ADDRESS(ROW(H1164)-1, 'From Order'!$A1164)), 1), H1163))"),"")</f>
        <v/>
      </c>
      <c r="I1164" s="2" t="str">
        <f>IFERROR(__xludf.DUMMYFUNCTION("IF('From Order'!$A1164=COLUMNS($A1164:I1183), LEFT(INDEX(FILTER(I$1:I1163, I$1:I1163&lt;&gt;""""),COUNTA(FILTER(I$1:I1163, I$1:I1163&lt;&gt;""""))), LEN(INDEX(FILTER(I$1:I1163, I$1:I1163&lt;&gt;""""),COUNTA(FILTER(I$1:I1163, I$1:I1163&lt;&gt;""""))))-1), IF('To Order'!$A1164=COL"&amp;"UMNS($A1164:I1183), I1163&amp;RIGHT(INDIRECT(ADDRESS(ROW(I1164)-1, 'From Order'!$A1164)), 1), I1163))"),"")</f>
        <v/>
      </c>
    </row>
    <row r="1165">
      <c r="A1165" s="2" t="str">
        <f>IFERROR(__xludf.DUMMYFUNCTION("IF('From Order'!$A1165=COLUMNS($A1165:A1184), LEFT(INDEX(FILTER(A$1:A1164, A$1:A1164&lt;&gt;""""),COUNTA(FILTER(A$1:A1164, A$1:A1164&lt;&gt;""""))), LEN(INDEX(FILTER(A$1:A1164, A$1:A1164&lt;&gt;""""),COUNTA(FILTER(A$1:A1164, A$1:A1164&lt;&gt;""""))))-1), IF('To Order'!$A1165=COL"&amp;"UMNS($A1165:A1184), A1164&amp;RIGHT(INDIRECT(ADDRESS(ROW(A1165)-1, 'From Order'!$A1165)), 1), A1164))"),"HZBSBDJDMFB")</f>
        <v>HZBSBDJDMFB</v>
      </c>
      <c r="B1165" s="2" t="str">
        <f>IFERROR(__xludf.DUMMYFUNCTION("IF('From Order'!$A1165=COLUMNS($A1165:B1184), LEFT(INDEX(FILTER(B$1:B1164, B$1:B1164&lt;&gt;""""),COUNTA(FILTER(B$1:B1164, B$1:B1164&lt;&gt;""""))), LEN(INDEX(FILTER(B$1:B1164, B$1:B1164&lt;&gt;""""),COUNTA(FILTER(B$1:B1164, B$1:B1164&lt;&gt;""""))))-1), IF('To Order'!$A1165=COL"&amp;"UMNS($A1165:B1184), B1164&amp;RIGHT(INDIRECT(ADDRESS(ROW(B1165)-1, 'From Order'!$A1165)), 1), B1164))"),"ZLPDS")</f>
        <v>ZLPDS</v>
      </c>
      <c r="C1165" s="2" t="str">
        <f>IFERROR(__xludf.DUMMYFUNCTION("IF('From Order'!$A1165=COLUMNS($A1165:C1184), LEFT(INDEX(FILTER(C$1:C1164, C$1:C1164&lt;&gt;""""),COUNTA(FILTER(C$1:C1164, C$1:C1164&lt;&gt;""""))), LEN(INDEX(FILTER(C$1:C1164, C$1:C1164&lt;&gt;""""),COUNTA(FILTER(C$1:C1164, C$1:C1164&lt;&gt;""""))))-1), IF('To Order'!$A1165=COL"&amp;"UMNS($A1165:C1184), C1164&amp;RIGHT(INDIRECT(ADDRESS(ROW(C1165)-1, 'From Order'!$A1165)), 1), C1164))"),"TRLRSGHWQVQJPPLDTDTWRMTCRCDRZCJ")</f>
        <v>TRLRSGHWQVQJPPLDTDTWRMTCRCDRZCJ</v>
      </c>
      <c r="D1165" s="2" t="str">
        <f>IFERROR(__xludf.DUMMYFUNCTION("IF('From Order'!$A1165=COLUMNS($A1165:D1184), LEFT(INDEX(FILTER(D$1:D1164, D$1:D1164&lt;&gt;""""),COUNTA(FILTER(D$1:D1164, D$1:D1164&lt;&gt;""""))), LEN(INDEX(FILTER(D$1:D1164, D$1:D1164&lt;&gt;""""),COUNTA(FILTER(D$1:D1164, D$1:D1164&lt;&gt;""""))))-1), IF('To Order'!$A1165=COL"&amp;"UMNS($A1165:D1184), D1164&amp;RIGHT(INDIRECT(ADDRESS(ROW(D1165)-1, 'From Order'!$A1165)), 1), D1164))"),"GMT")</f>
        <v>GMT</v>
      </c>
      <c r="E1165" s="2" t="str">
        <f>IFERROR(__xludf.DUMMYFUNCTION("IF('From Order'!$A1165=COLUMNS($A1165:E1184), LEFT(INDEX(FILTER(E$1:E1164, E$1:E1164&lt;&gt;""""),COUNTA(FILTER(E$1:E1164, E$1:E1164&lt;&gt;""""))), LEN(INDEX(FILTER(E$1:E1164, E$1:E1164&lt;&gt;""""),COUNTA(FILTER(E$1:E1164, E$1:E1164&lt;&gt;""""))))-1), IF('To Order'!$A1165=COL"&amp;"UMNS($A1165:E1184), E1164&amp;RIGHT(INDIRECT(ADDRESS(ROW(E1165)-1, 'From Order'!$A1165)), 1), E1164))"),"FV")</f>
        <v>FV</v>
      </c>
      <c r="F1165" s="2" t="str">
        <f>IFERROR(__xludf.DUMMYFUNCTION("IF('From Order'!$A1165=COLUMNS($A1165:F1184), LEFT(INDEX(FILTER(F$1:F1164, F$1:F1164&lt;&gt;""""),COUNTA(FILTER(F$1:F1164, F$1:F1164&lt;&gt;""""))), LEN(INDEX(FILTER(F$1:F1164, F$1:F1164&lt;&gt;""""),COUNTA(FILTER(F$1:F1164, F$1:F1164&lt;&gt;""""))))-1), IF('To Order'!$A1165=COL"&amp;"UMNS($A1165:F1184), F1164&amp;RIGHT(INDIRECT(ADDRESS(ROW(F1165)-1, 'From Order'!$A1165)), 1), F1164))"),"")</f>
        <v/>
      </c>
      <c r="G1165" s="2" t="str">
        <f>IFERROR(__xludf.DUMMYFUNCTION("IF('From Order'!$A1165=COLUMNS($A1165:G1184), LEFT(INDEX(FILTER(G$1:G1164, G$1:G1164&lt;&gt;""""),COUNTA(FILTER(G$1:G1164, G$1:G1164&lt;&gt;""""))), LEN(INDEX(FILTER(G$1:G1164, G$1:G1164&lt;&gt;""""),COUNTA(FILTER(G$1:G1164, G$1:G1164&lt;&gt;""""))))-1), IF('To Order'!$A1165=COL"&amp;"UMNS($A1165:G1184), G1164&amp;RIGHT(INDIRECT(ADDRESS(ROW(G1165)-1, 'From Order'!$A1165)), 1), G1164))"),"BVST")</f>
        <v>BVST</v>
      </c>
      <c r="H1165" s="2" t="str">
        <f>IFERROR(__xludf.DUMMYFUNCTION("IF('From Order'!$A1165=COLUMNS($A1165:H1184), LEFT(INDEX(FILTER(H$1:H1164, H$1:H1164&lt;&gt;""""),COUNTA(FILTER(H$1:H1164, H$1:H1164&lt;&gt;""""))), LEN(INDEX(FILTER(H$1:H1164, H$1:H1164&lt;&gt;""""),COUNTA(FILTER(H$1:H1164, H$1:H1164&lt;&gt;""""))))-1), IF('To Order'!$A1165=COL"&amp;"UMNS($A1165:H1184), H1164&amp;RIGHT(INDIRECT(ADDRESS(ROW(H1165)-1, 'From Order'!$A1165)), 1), H1164))"),"")</f>
        <v/>
      </c>
      <c r="I1165" s="2" t="str">
        <f>IFERROR(__xludf.DUMMYFUNCTION("IF('From Order'!$A1165=COLUMNS($A1165:I1184), LEFT(INDEX(FILTER(I$1:I1164, I$1:I1164&lt;&gt;""""),COUNTA(FILTER(I$1:I1164, I$1:I1164&lt;&gt;""""))), LEN(INDEX(FILTER(I$1:I1164, I$1:I1164&lt;&gt;""""),COUNTA(FILTER(I$1:I1164, I$1:I1164&lt;&gt;""""))))-1), IF('To Order'!$A1165=COL"&amp;"UMNS($A1165:I1184), I1164&amp;RIGHT(INDIRECT(ADDRESS(ROW(I1165)-1, 'From Order'!$A1165)), 1), I1164))"),"")</f>
        <v/>
      </c>
    </row>
    <row r="1166">
      <c r="A1166" s="2" t="str">
        <f>IFERROR(__xludf.DUMMYFUNCTION("IF('From Order'!$A1166=COLUMNS($A1166:A1185), LEFT(INDEX(FILTER(A$1:A1165, A$1:A1165&lt;&gt;""""),COUNTA(FILTER(A$1:A1165, A$1:A1165&lt;&gt;""""))), LEN(INDEX(FILTER(A$1:A1165, A$1:A1165&lt;&gt;""""),COUNTA(FILTER(A$1:A1165, A$1:A1165&lt;&gt;""""))))-1), IF('To Order'!$A1166=COL"&amp;"UMNS($A1166:A1185), A1165&amp;RIGHT(INDIRECT(ADDRESS(ROW(A1166)-1, 'From Order'!$A1166)), 1), A1165))"),"HZBSBDJDMFBT")</f>
        <v>HZBSBDJDMFBT</v>
      </c>
      <c r="B1166" s="2" t="str">
        <f>IFERROR(__xludf.DUMMYFUNCTION("IF('From Order'!$A1166=COLUMNS($A1166:B1185), LEFT(INDEX(FILTER(B$1:B1165, B$1:B1165&lt;&gt;""""),COUNTA(FILTER(B$1:B1165, B$1:B1165&lt;&gt;""""))), LEN(INDEX(FILTER(B$1:B1165, B$1:B1165&lt;&gt;""""),COUNTA(FILTER(B$1:B1165, B$1:B1165&lt;&gt;""""))))-1), IF('To Order'!$A1166=COL"&amp;"UMNS($A1166:B1185), B1165&amp;RIGHT(INDIRECT(ADDRESS(ROW(B1166)-1, 'From Order'!$A1166)), 1), B1165))"),"ZLPDS")</f>
        <v>ZLPDS</v>
      </c>
      <c r="C1166" s="2" t="str">
        <f>IFERROR(__xludf.DUMMYFUNCTION("IF('From Order'!$A1166=COLUMNS($A1166:C1185), LEFT(INDEX(FILTER(C$1:C1165, C$1:C1165&lt;&gt;""""),COUNTA(FILTER(C$1:C1165, C$1:C1165&lt;&gt;""""))), LEN(INDEX(FILTER(C$1:C1165, C$1:C1165&lt;&gt;""""),COUNTA(FILTER(C$1:C1165, C$1:C1165&lt;&gt;""""))))-1), IF('To Order'!$A1166=COL"&amp;"UMNS($A1166:C1185), C1165&amp;RIGHT(INDIRECT(ADDRESS(ROW(C1166)-1, 'From Order'!$A1166)), 1), C1165))"),"TRLRSGHWQVQJPPLDTDTWRMTCRCDRZCJ")</f>
        <v>TRLRSGHWQVQJPPLDTDTWRMTCRCDRZCJ</v>
      </c>
      <c r="D1166" s="2" t="str">
        <f>IFERROR(__xludf.DUMMYFUNCTION("IF('From Order'!$A1166=COLUMNS($A1166:D1185), LEFT(INDEX(FILTER(D$1:D1165, D$1:D1165&lt;&gt;""""),COUNTA(FILTER(D$1:D1165, D$1:D1165&lt;&gt;""""))), LEN(INDEX(FILTER(D$1:D1165, D$1:D1165&lt;&gt;""""),COUNTA(FILTER(D$1:D1165, D$1:D1165&lt;&gt;""""))))-1), IF('To Order'!$A1166=COL"&amp;"UMNS($A1166:D1185), D1165&amp;RIGHT(INDIRECT(ADDRESS(ROW(D1166)-1, 'From Order'!$A1166)), 1), D1165))"),"GM")</f>
        <v>GM</v>
      </c>
      <c r="E1166" s="2" t="str">
        <f>IFERROR(__xludf.DUMMYFUNCTION("IF('From Order'!$A1166=COLUMNS($A1166:E1185), LEFT(INDEX(FILTER(E$1:E1165, E$1:E1165&lt;&gt;""""),COUNTA(FILTER(E$1:E1165, E$1:E1165&lt;&gt;""""))), LEN(INDEX(FILTER(E$1:E1165, E$1:E1165&lt;&gt;""""),COUNTA(FILTER(E$1:E1165, E$1:E1165&lt;&gt;""""))))-1), IF('To Order'!$A1166=COL"&amp;"UMNS($A1166:E1185), E1165&amp;RIGHT(INDIRECT(ADDRESS(ROW(E1166)-1, 'From Order'!$A1166)), 1), E1165))"),"FV")</f>
        <v>FV</v>
      </c>
      <c r="F1166" s="2" t="str">
        <f>IFERROR(__xludf.DUMMYFUNCTION("IF('From Order'!$A1166=COLUMNS($A1166:F1185), LEFT(INDEX(FILTER(F$1:F1165, F$1:F1165&lt;&gt;""""),COUNTA(FILTER(F$1:F1165, F$1:F1165&lt;&gt;""""))), LEN(INDEX(FILTER(F$1:F1165, F$1:F1165&lt;&gt;""""),COUNTA(FILTER(F$1:F1165, F$1:F1165&lt;&gt;""""))))-1), IF('To Order'!$A1166=COL"&amp;"UMNS($A1166:F1185), F1165&amp;RIGHT(INDIRECT(ADDRESS(ROW(F1166)-1, 'From Order'!$A1166)), 1), F1165))"),"")</f>
        <v/>
      </c>
      <c r="G1166" s="2" t="str">
        <f>IFERROR(__xludf.DUMMYFUNCTION("IF('From Order'!$A1166=COLUMNS($A1166:G1185), LEFT(INDEX(FILTER(G$1:G1165, G$1:G1165&lt;&gt;""""),COUNTA(FILTER(G$1:G1165, G$1:G1165&lt;&gt;""""))), LEN(INDEX(FILTER(G$1:G1165, G$1:G1165&lt;&gt;""""),COUNTA(FILTER(G$1:G1165, G$1:G1165&lt;&gt;""""))))-1), IF('To Order'!$A1166=COL"&amp;"UMNS($A1166:G1185), G1165&amp;RIGHT(INDIRECT(ADDRESS(ROW(G1166)-1, 'From Order'!$A1166)), 1), G1165))"),"BVST")</f>
        <v>BVST</v>
      </c>
      <c r="H1166" s="2" t="str">
        <f>IFERROR(__xludf.DUMMYFUNCTION("IF('From Order'!$A1166=COLUMNS($A1166:H1185), LEFT(INDEX(FILTER(H$1:H1165, H$1:H1165&lt;&gt;""""),COUNTA(FILTER(H$1:H1165, H$1:H1165&lt;&gt;""""))), LEN(INDEX(FILTER(H$1:H1165, H$1:H1165&lt;&gt;""""),COUNTA(FILTER(H$1:H1165, H$1:H1165&lt;&gt;""""))))-1), IF('To Order'!$A1166=COL"&amp;"UMNS($A1166:H1185), H1165&amp;RIGHT(INDIRECT(ADDRESS(ROW(H1166)-1, 'From Order'!$A1166)), 1), H1165))"),"")</f>
        <v/>
      </c>
      <c r="I1166" s="2" t="str">
        <f>IFERROR(__xludf.DUMMYFUNCTION("IF('From Order'!$A1166=COLUMNS($A1166:I1185), LEFT(INDEX(FILTER(I$1:I1165, I$1:I1165&lt;&gt;""""),COUNTA(FILTER(I$1:I1165, I$1:I1165&lt;&gt;""""))), LEN(INDEX(FILTER(I$1:I1165, I$1:I1165&lt;&gt;""""),COUNTA(FILTER(I$1:I1165, I$1:I1165&lt;&gt;""""))))-1), IF('To Order'!$A1166=COL"&amp;"UMNS($A1166:I1185), I1165&amp;RIGHT(INDIRECT(ADDRESS(ROW(I1166)-1, 'From Order'!$A1166)), 1), I1165))"),"")</f>
        <v/>
      </c>
    </row>
    <row r="1167">
      <c r="A1167" s="2" t="str">
        <f>IFERROR(__xludf.DUMMYFUNCTION("IF('From Order'!$A1167=COLUMNS($A1167:A1186), LEFT(INDEX(FILTER(A$1:A1166, A$1:A1166&lt;&gt;""""),COUNTA(FILTER(A$1:A1166, A$1:A1166&lt;&gt;""""))), LEN(INDEX(FILTER(A$1:A1166, A$1:A1166&lt;&gt;""""),COUNTA(FILTER(A$1:A1166, A$1:A1166&lt;&gt;""""))))-1), IF('To Order'!$A1167=COL"&amp;"UMNS($A1167:A1186), A1166&amp;RIGHT(INDIRECT(ADDRESS(ROW(A1167)-1, 'From Order'!$A1167)), 1), A1166))"),"HZBSBDJDMFBT")</f>
        <v>HZBSBDJDMFBT</v>
      </c>
      <c r="B1167" s="2" t="str">
        <f>IFERROR(__xludf.DUMMYFUNCTION("IF('From Order'!$A1167=COLUMNS($A1167:B1186), LEFT(INDEX(FILTER(B$1:B1166, B$1:B1166&lt;&gt;""""),COUNTA(FILTER(B$1:B1166, B$1:B1166&lt;&gt;""""))), LEN(INDEX(FILTER(B$1:B1166, B$1:B1166&lt;&gt;""""),COUNTA(FILTER(B$1:B1166, B$1:B1166&lt;&gt;""""))))-1), IF('To Order'!$A1167=COL"&amp;"UMNS($A1167:B1186), B1166&amp;RIGHT(INDIRECT(ADDRESS(ROW(B1167)-1, 'From Order'!$A1167)), 1), B1166))"),"ZLPDS")</f>
        <v>ZLPDS</v>
      </c>
      <c r="C1167" s="2" t="str">
        <f>IFERROR(__xludf.DUMMYFUNCTION("IF('From Order'!$A1167=COLUMNS($A1167:C1186), LEFT(INDEX(FILTER(C$1:C1166, C$1:C1166&lt;&gt;""""),COUNTA(FILTER(C$1:C1166, C$1:C1166&lt;&gt;""""))), LEN(INDEX(FILTER(C$1:C1166, C$1:C1166&lt;&gt;""""),COUNTA(FILTER(C$1:C1166, C$1:C1166&lt;&gt;""""))))-1), IF('To Order'!$A1167=COL"&amp;"UMNS($A1167:C1186), C1166&amp;RIGHT(INDIRECT(ADDRESS(ROW(C1167)-1, 'From Order'!$A1167)), 1), C1166))"),"TRLRSGHWQVQJPPLDTDTWRMTCRCDRZCJ")</f>
        <v>TRLRSGHWQVQJPPLDTDTWRMTCRCDRZCJ</v>
      </c>
      <c r="D1167" s="2" t="str">
        <f>IFERROR(__xludf.DUMMYFUNCTION("IF('From Order'!$A1167=COLUMNS($A1167:D1186), LEFT(INDEX(FILTER(D$1:D1166, D$1:D1166&lt;&gt;""""),COUNTA(FILTER(D$1:D1166, D$1:D1166&lt;&gt;""""))), LEN(INDEX(FILTER(D$1:D1166, D$1:D1166&lt;&gt;""""),COUNTA(FILTER(D$1:D1166, D$1:D1166&lt;&gt;""""))))-1), IF('To Order'!$A1167=COL"&amp;"UMNS($A1167:D1186), D1166&amp;RIGHT(INDIRECT(ADDRESS(ROW(D1167)-1, 'From Order'!$A1167)), 1), D1166))"),"GM")</f>
        <v>GM</v>
      </c>
      <c r="E1167" s="2" t="str">
        <f>IFERROR(__xludf.DUMMYFUNCTION("IF('From Order'!$A1167=COLUMNS($A1167:E1186), LEFT(INDEX(FILTER(E$1:E1166, E$1:E1166&lt;&gt;""""),COUNTA(FILTER(E$1:E1166, E$1:E1166&lt;&gt;""""))), LEN(INDEX(FILTER(E$1:E1166, E$1:E1166&lt;&gt;""""),COUNTA(FILTER(E$1:E1166, E$1:E1166&lt;&gt;""""))))-1), IF('To Order'!$A1167=COL"&amp;"UMNS($A1167:E1186), E1166&amp;RIGHT(INDIRECT(ADDRESS(ROW(E1167)-1, 'From Order'!$A1167)), 1), E1166))"),"F")</f>
        <v>F</v>
      </c>
      <c r="F1167" s="2" t="str">
        <f>IFERROR(__xludf.DUMMYFUNCTION("IF('From Order'!$A1167=COLUMNS($A1167:F1186), LEFT(INDEX(FILTER(F$1:F1166, F$1:F1166&lt;&gt;""""),COUNTA(FILTER(F$1:F1166, F$1:F1166&lt;&gt;""""))), LEN(INDEX(FILTER(F$1:F1166, F$1:F1166&lt;&gt;""""),COUNTA(FILTER(F$1:F1166, F$1:F1166&lt;&gt;""""))))-1), IF('To Order'!$A1167=COL"&amp;"UMNS($A1167:F1186), F1166&amp;RIGHT(INDIRECT(ADDRESS(ROW(F1167)-1, 'From Order'!$A1167)), 1), F1166))"),"")</f>
        <v/>
      </c>
      <c r="G1167" s="2" t="str">
        <f>IFERROR(__xludf.DUMMYFUNCTION("IF('From Order'!$A1167=COLUMNS($A1167:G1186), LEFT(INDEX(FILTER(G$1:G1166, G$1:G1166&lt;&gt;""""),COUNTA(FILTER(G$1:G1166, G$1:G1166&lt;&gt;""""))), LEN(INDEX(FILTER(G$1:G1166, G$1:G1166&lt;&gt;""""),COUNTA(FILTER(G$1:G1166, G$1:G1166&lt;&gt;""""))))-1), IF('To Order'!$A1167=COL"&amp;"UMNS($A1167:G1186), G1166&amp;RIGHT(INDIRECT(ADDRESS(ROW(G1167)-1, 'From Order'!$A1167)), 1), G1166))"),"BVST")</f>
        <v>BVST</v>
      </c>
      <c r="H1167" s="2" t="str">
        <f>IFERROR(__xludf.DUMMYFUNCTION("IF('From Order'!$A1167=COLUMNS($A1167:H1186), LEFT(INDEX(FILTER(H$1:H1166, H$1:H1166&lt;&gt;""""),COUNTA(FILTER(H$1:H1166, H$1:H1166&lt;&gt;""""))), LEN(INDEX(FILTER(H$1:H1166, H$1:H1166&lt;&gt;""""),COUNTA(FILTER(H$1:H1166, H$1:H1166&lt;&gt;""""))))-1), IF('To Order'!$A1167=COL"&amp;"UMNS($A1167:H1186), H1166&amp;RIGHT(INDIRECT(ADDRESS(ROW(H1167)-1, 'From Order'!$A1167)), 1), H1166))"),"V")</f>
        <v>V</v>
      </c>
      <c r="I1167" s="2" t="str">
        <f>IFERROR(__xludf.DUMMYFUNCTION("IF('From Order'!$A1167=COLUMNS($A1167:I1186), LEFT(INDEX(FILTER(I$1:I1166, I$1:I1166&lt;&gt;""""),COUNTA(FILTER(I$1:I1166, I$1:I1166&lt;&gt;""""))), LEN(INDEX(FILTER(I$1:I1166, I$1:I1166&lt;&gt;""""),COUNTA(FILTER(I$1:I1166, I$1:I1166&lt;&gt;""""))))-1), IF('To Order'!$A1167=COL"&amp;"UMNS($A1167:I1186), I1166&amp;RIGHT(INDIRECT(ADDRESS(ROW(I1167)-1, 'From Order'!$A1167)), 1), I1166))"),"")</f>
        <v/>
      </c>
    </row>
    <row r="1168">
      <c r="A1168" s="2" t="str">
        <f>IFERROR(__xludf.DUMMYFUNCTION("IF('From Order'!$A1168=COLUMNS($A1168:A1187), LEFT(INDEX(FILTER(A$1:A1167, A$1:A1167&lt;&gt;""""),COUNTA(FILTER(A$1:A1167, A$1:A1167&lt;&gt;""""))), LEN(INDEX(FILTER(A$1:A1167, A$1:A1167&lt;&gt;""""),COUNTA(FILTER(A$1:A1167, A$1:A1167&lt;&gt;""""))))-1), IF('To Order'!$A1168=COL"&amp;"UMNS($A1168:A1187), A1167&amp;RIGHT(INDIRECT(ADDRESS(ROW(A1168)-1, 'From Order'!$A1168)), 1), A1167))"),"HZBSBDJDMFBT")</f>
        <v>HZBSBDJDMFBT</v>
      </c>
      <c r="B1168" s="2" t="str">
        <f>IFERROR(__xludf.DUMMYFUNCTION("IF('From Order'!$A1168=COLUMNS($A1168:B1187), LEFT(INDEX(FILTER(B$1:B1167, B$1:B1167&lt;&gt;""""),COUNTA(FILTER(B$1:B1167, B$1:B1167&lt;&gt;""""))), LEN(INDEX(FILTER(B$1:B1167, B$1:B1167&lt;&gt;""""),COUNTA(FILTER(B$1:B1167, B$1:B1167&lt;&gt;""""))))-1), IF('To Order'!$A1168=COL"&amp;"UMNS($A1168:B1187), B1167&amp;RIGHT(INDIRECT(ADDRESS(ROW(B1168)-1, 'From Order'!$A1168)), 1), B1167))"),"ZLPDS")</f>
        <v>ZLPDS</v>
      </c>
      <c r="C1168" s="2" t="str">
        <f>IFERROR(__xludf.DUMMYFUNCTION("IF('From Order'!$A1168=COLUMNS($A1168:C1187), LEFT(INDEX(FILTER(C$1:C1167, C$1:C1167&lt;&gt;""""),COUNTA(FILTER(C$1:C1167, C$1:C1167&lt;&gt;""""))), LEN(INDEX(FILTER(C$1:C1167, C$1:C1167&lt;&gt;""""),COUNTA(FILTER(C$1:C1167, C$1:C1167&lt;&gt;""""))))-1), IF('To Order'!$A1168=COL"&amp;"UMNS($A1168:C1187), C1167&amp;RIGHT(INDIRECT(ADDRESS(ROW(C1168)-1, 'From Order'!$A1168)), 1), C1167))"),"TRLRSGHWQVQJPPLDTDTWRMTCRCDRZCJ")</f>
        <v>TRLRSGHWQVQJPPLDTDTWRMTCRCDRZCJ</v>
      </c>
      <c r="D1168" s="2" t="str">
        <f>IFERROR(__xludf.DUMMYFUNCTION("IF('From Order'!$A1168=COLUMNS($A1168:D1187), LEFT(INDEX(FILTER(D$1:D1167, D$1:D1167&lt;&gt;""""),COUNTA(FILTER(D$1:D1167, D$1:D1167&lt;&gt;""""))), LEN(INDEX(FILTER(D$1:D1167, D$1:D1167&lt;&gt;""""),COUNTA(FILTER(D$1:D1167, D$1:D1167&lt;&gt;""""))))-1), IF('To Order'!$A1168=COL"&amp;"UMNS($A1168:D1187), D1167&amp;RIGHT(INDIRECT(ADDRESS(ROW(D1168)-1, 'From Order'!$A1168)), 1), D1167))"),"GM")</f>
        <v>GM</v>
      </c>
      <c r="E1168" s="2" t="str">
        <f>IFERROR(__xludf.DUMMYFUNCTION("IF('From Order'!$A1168=COLUMNS($A1168:E1187), LEFT(INDEX(FILTER(E$1:E1167, E$1:E1167&lt;&gt;""""),COUNTA(FILTER(E$1:E1167, E$1:E1167&lt;&gt;""""))), LEN(INDEX(FILTER(E$1:E1167, E$1:E1167&lt;&gt;""""),COUNTA(FILTER(E$1:E1167, E$1:E1167&lt;&gt;""""))))-1), IF('To Order'!$A1168=COL"&amp;"UMNS($A1168:E1187), E1167&amp;RIGHT(INDIRECT(ADDRESS(ROW(E1168)-1, 'From Order'!$A1168)), 1), E1167))"),"")</f>
        <v/>
      </c>
      <c r="F1168" s="2" t="str">
        <f>IFERROR(__xludf.DUMMYFUNCTION("IF('From Order'!$A1168=COLUMNS($A1168:F1187), LEFT(INDEX(FILTER(F$1:F1167, F$1:F1167&lt;&gt;""""),COUNTA(FILTER(F$1:F1167, F$1:F1167&lt;&gt;""""))), LEN(INDEX(FILTER(F$1:F1167, F$1:F1167&lt;&gt;""""),COUNTA(FILTER(F$1:F1167, F$1:F1167&lt;&gt;""""))))-1), IF('To Order'!$A1168=COL"&amp;"UMNS($A1168:F1187), F1167&amp;RIGHT(INDIRECT(ADDRESS(ROW(F1168)-1, 'From Order'!$A1168)), 1), F1167))"),"")</f>
        <v/>
      </c>
      <c r="G1168" s="2" t="str">
        <f>IFERROR(__xludf.DUMMYFUNCTION("IF('From Order'!$A1168=COLUMNS($A1168:G1187), LEFT(INDEX(FILTER(G$1:G1167, G$1:G1167&lt;&gt;""""),COUNTA(FILTER(G$1:G1167, G$1:G1167&lt;&gt;""""))), LEN(INDEX(FILTER(G$1:G1167, G$1:G1167&lt;&gt;""""),COUNTA(FILTER(G$1:G1167, G$1:G1167&lt;&gt;""""))))-1), IF('To Order'!$A1168=COL"&amp;"UMNS($A1168:G1187), G1167&amp;RIGHT(INDIRECT(ADDRESS(ROW(G1168)-1, 'From Order'!$A1168)), 1), G1167))"),"BVST")</f>
        <v>BVST</v>
      </c>
      <c r="H1168" s="2" t="str">
        <f>IFERROR(__xludf.DUMMYFUNCTION("IF('From Order'!$A1168=COLUMNS($A1168:H1187), LEFT(INDEX(FILTER(H$1:H1167, H$1:H1167&lt;&gt;""""),COUNTA(FILTER(H$1:H1167, H$1:H1167&lt;&gt;""""))), LEN(INDEX(FILTER(H$1:H1167, H$1:H1167&lt;&gt;""""),COUNTA(FILTER(H$1:H1167, H$1:H1167&lt;&gt;""""))))-1), IF('To Order'!$A1168=COL"&amp;"UMNS($A1168:H1187), H1167&amp;RIGHT(INDIRECT(ADDRESS(ROW(H1168)-1, 'From Order'!$A1168)), 1), H1167))"),"VF")</f>
        <v>VF</v>
      </c>
      <c r="I1168" s="2" t="str">
        <f>IFERROR(__xludf.DUMMYFUNCTION("IF('From Order'!$A1168=COLUMNS($A1168:I1187), LEFT(INDEX(FILTER(I$1:I1167, I$1:I1167&lt;&gt;""""),COUNTA(FILTER(I$1:I1167, I$1:I1167&lt;&gt;""""))), LEN(INDEX(FILTER(I$1:I1167, I$1:I1167&lt;&gt;""""),COUNTA(FILTER(I$1:I1167, I$1:I1167&lt;&gt;""""))))-1), IF('To Order'!$A1168=COL"&amp;"UMNS($A1168:I1187), I1167&amp;RIGHT(INDIRECT(ADDRESS(ROW(I1168)-1, 'From Order'!$A1168)), 1), I1167))"),"")</f>
        <v/>
      </c>
    </row>
    <row r="1169">
      <c r="A1169" s="2" t="str">
        <f>IFERROR(__xludf.DUMMYFUNCTION("IF('From Order'!$A1169=COLUMNS($A1169:A1188), LEFT(INDEX(FILTER(A$1:A1168, A$1:A1168&lt;&gt;""""),COUNTA(FILTER(A$1:A1168, A$1:A1168&lt;&gt;""""))), LEN(INDEX(FILTER(A$1:A1168, A$1:A1168&lt;&gt;""""),COUNTA(FILTER(A$1:A1168, A$1:A1168&lt;&gt;""""))))-1), IF('To Order'!$A1169=COL"&amp;"UMNS($A1169:A1188), A1168&amp;RIGHT(INDIRECT(ADDRESS(ROW(A1169)-1, 'From Order'!$A1169)), 1), A1168))"),"HZBSBDJDMFBT")</f>
        <v>HZBSBDJDMFBT</v>
      </c>
      <c r="B1169" s="2" t="str">
        <f>IFERROR(__xludf.DUMMYFUNCTION("IF('From Order'!$A1169=COLUMNS($A1169:B1188), LEFT(INDEX(FILTER(B$1:B1168, B$1:B1168&lt;&gt;""""),COUNTA(FILTER(B$1:B1168, B$1:B1168&lt;&gt;""""))), LEN(INDEX(FILTER(B$1:B1168, B$1:B1168&lt;&gt;""""),COUNTA(FILTER(B$1:B1168, B$1:B1168&lt;&gt;""""))))-1), IF('To Order'!$A1169=COL"&amp;"UMNS($A1169:B1188), B1168&amp;RIGHT(INDIRECT(ADDRESS(ROW(B1169)-1, 'From Order'!$A1169)), 1), B1168))"),"ZLPDS")</f>
        <v>ZLPDS</v>
      </c>
      <c r="C1169" s="2" t="str">
        <f>IFERROR(__xludf.DUMMYFUNCTION("IF('From Order'!$A1169=COLUMNS($A1169:C1188), LEFT(INDEX(FILTER(C$1:C1168, C$1:C1168&lt;&gt;""""),COUNTA(FILTER(C$1:C1168, C$1:C1168&lt;&gt;""""))), LEN(INDEX(FILTER(C$1:C1168, C$1:C1168&lt;&gt;""""),COUNTA(FILTER(C$1:C1168, C$1:C1168&lt;&gt;""""))))-1), IF('To Order'!$A1169=COL"&amp;"UMNS($A1169:C1188), C1168&amp;RIGHT(INDIRECT(ADDRESS(ROW(C1169)-1, 'From Order'!$A1169)), 1), C1168))"),"TRLRSGHWQVQJPPLDTDTWRMTCRCDRZCJ")</f>
        <v>TRLRSGHWQVQJPPLDTDTWRMTCRCDRZCJ</v>
      </c>
      <c r="D1169" s="2" t="str">
        <f>IFERROR(__xludf.DUMMYFUNCTION("IF('From Order'!$A1169=COLUMNS($A1169:D1188), LEFT(INDEX(FILTER(D$1:D1168, D$1:D1168&lt;&gt;""""),COUNTA(FILTER(D$1:D1168, D$1:D1168&lt;&gt;""""))), LEN(INDEX(FILTER(D$1:D1168, D$1:D1168&lt;&gt;""""),COUNTA(FILTER(D$1:D1168, D$1:D1168&lt;&gt;""""))))-1), IF('To Order'!$A1169=COL"&amp;"UMNS($A1169:D1188), D1168&amp;RIGHT(INDIRECT(ADDRESS(ROW(D1169)-1, 'From Order'!$A1169)), 1), D1168))"),"GM")</f>
        <v>GM</v>
      </c>
      <c r="E1169" s="2" t="str">
        <f>IFERROR(__xludf.DUMMYFUNCTION("IF('From Order'!$A1169=COLUMNS($A1169:E1188), LEFT(INDEX(FILTER(E$1:E1168, E$1:E1168&lt;&gt;""""),COUNTA(FILTER(E$1:E1168, E$1:E1168&lt;&gt;""""))), LEN(INDEX(FILTER(E$1:E1168, E$1:E1168&lt;&gt;""""),COUNTA(FILTER(E$1:E1168, E$1:E1168&lt;&gt;""""))))-1), IF('To Order'!$A1169=COL"&amp;"UMNS($A1169:E1188), E1168&amp;RIGHT(INDIRECT(ADDRESS(ROW(E1169)-1, 'From Order'!$A1169)), 1), E1168))"),"")</f>
        <v/>
      </c>
      <c r="F1169" s="2" t="str">
        <f>IFERROR(__xludf.DUMMYFUNCTION("IF('From Order'!$A1169=COLUMNS($A1169:F1188), LEFT(INDEX(FILTER(F$1:F1168, F$1:F1168&lt;&gt;""""),COUNTA(FILTER(F$1:F1168, F$1:F1168&lt;&gt;""""))), LEN(INDEX(FILTER(F$1:F1168, F$1:F1168&lt;&gt;""""),COUNTA(FILTER(F$1:F1168, F$1:F1168&lt;&gt;""""))))-1), IF('To Order'!$A1169=COL"&amp;"UMNS($A1169:F1188), F1168&amp;RIGHT(INDIRECT(ADDRESS(ROW(F1169)-1, 'From Order'!$A1169)), 1), F1168))"),"")</f>
        <v/>
      </c>
      <c r="G1169" s="2" t="str">
        <f>IFERROR(__xludf.DUMMYFUNCTION("IF('From Order'!$A1169=COLUMNS($A1169:G1188), LEFT(INDEX(FILTER(G$1:G1168, G$1:G1168&lt;&gt;""""),COUNTA(FILTER(G$1:G1168, G$1:G1168&lt;&gt;""""))), LEN(INDEX(FILTER(G$1:G1168, G$1:G1168&lt;&gt;""""),COUNTA(FILTER(G$1:G1168, G$1:G1168&lt;&gt;""""))))-1), IF('To Order'!$A1169=COL"&amp;"UMNS($A1169:G1188), G1168&amp;RIGHT(INDIRECT(ADDRESS(ROW(G1169)-1, 'From Order'!$A1169)), 1), G1168))"),"BVST")</f>
        <v>BVST</v>
      </c>
      <c r="H1169" s="2" t="str">
        <f>IFERROR(__xludf.DUMMYFUNCTION("IF('From Order'!$A1169=COLUMNS($A1169:H1188), LEFT(INDEX(FILTER(H$1:H1168, H$1:H1168&lt;&gt;""""),COUNTA(FILTER(H$1:H1168, H$1:H1168&lt;&gt;""""))), LEN(INDEX(FILTER(H$1:H1168, H$1:H1168&lt;&gt;""""),COUNTA(FILTER(H$1:H1168, H$1:H1168&lt;&gt;""""))))-1), IF('To Order'!$A1169=COL"&amp;"UMNS($A1169:H1188), H1168&amp;RIGHT(INDIRECT(ADDRESS(ROW(H1169)-1, 'From Order'!$A1169)), 1), H1168))"),"V")</f>
        <v>V</v>
      </c>
      <c r="I1169" s="2" t="str">
        <f>IFERROR(__xludf.DUMMYFUNCTION("IF('From Order'!$A1169=COLUMNS($A1169:I1188), LEFT(INDEX(FILTER(I$1:I1168, I$1:I1168&lt;&gt;""""),COUNTA(FILTER(I$1:I1168, I$1:I1168&lt;&gt;""""))), LEN(INDEX(FILTER(I$1:I1168, I$1:I1168&lt;&gt;""""),COUNTA(FILTER(I$1:I1168, I$1:I1168&lt;&gt;""""))))-1), IF('To Order'!$A1169=COL"&amp;"UMNS($A1169:I1188), I1168&amp;RIGHT(INDIRECT(ADDRESS(ROW(I1169)-1, 'From Order'!$A1169)), 1), I1168))"),"F")</f>
        <v>F</v>
      </c>
    </row>
    <row r="1170">
      <c r="A1170" s="2" t="str">
        <f>IFERROR(__xludf.DUMMYFUNCTION("IF('From Order'!$A1170=COLUMNS($A1170:A1189), LEFT(INDEX(FILTER(A$1:A1169, A$1:A1169&lt;&gt;""""),COUNTA(FILTER(A$1:A1169, A$1:A1169&lt;&gt;""""))), LEN(INDEX(FILTER(A$1:A1169, A$1:A1169&lt;&gt;""""),COUNTA(FILTER(A$1:A1169, A$1:A1169&lt;&gt;""""))))-1), IF('To Order'!$A1170=COL"&amp;"UMNS($A1170:A1189), A1169&amp;RIGHT(INDIRECT(ADDRESS(ROW(A1170)-1, 'From Order'!$A1170)), 1), A1169))"),"HZBSBDJDMFBT")</f>
        <v>HZBSBDJDMFBT</v>
      </c>
      <c r="B1170" s="2" t="str">
        <f>IFERROR(__xludf.DUMMYFUNCTION("IF('From Order'!$A1170=COLUMNS($A1170:B1189), LEFT(INDEX(FILTER(B$1:B1169, B$1:B1169&lt;&gt;""""),COUNTA(FILTER(B$1:B1169, B$1:B1169&lt;&gt;""""))), LEN(INDEX(FILTER(B$1:B1169, B$1:B1169&lt;&gt;""""),COUNTA(FILTER(B$1:B1169, B$1:B1169&lt;&gt;""""))))-1), IF('To Order'!$A1170=COL"&amp;"UMNS($A1170:B1189), B1169&amp;RIGHT(INDIRECT(ADDRESS(ROW(B1170)-1, 'From Order'!$A1170)), 1), B1169))"),"ZLPDS")</f>
        <v>ZLPDS</v>
      </c>
      <c r="C1170" s="2" t="str">
        <f>IFERROR(__xludf.DUMMYFUNCTION("IF('From Order'!$A1170=COLUMNS($A1170:C1189), LEFT(INDEX(FILTER(C$1:C1169, C$1:C1169&lt;&gt;""""),COUNTA(FILTER(C$1:C1169, C$1:C1169&lt;&gt;""""))), LEN(INDEX(FILTER(C$1:C1169, C$1:C1169&lt;&gt;""""),COUNTA(FILTER(C$1:C1169, C$1:C1169&lt;&gt;""""))))-1), IF('To Order'!$A1170=COL"&amp;"UMNS($A1170:C1189), C1169&amp;RIGHT(INDIRECT(ADDRESS(ROW(C1170)-1, 'From Order'!$A1170)), 1), C1169))"),"TRLRSGHWQVQJPPLDTDTWRMTCRCDRZCJ")</f>
        <v>TRLRSGHWQVQJPPLDTDTWRMTCRCDRZCJ</v>
      </c>
      <c r="D1170" s="2" t="str">
        <f>IFERROR(__xludf.DUMMYFUNCTION("IF('From Order'!$A1170=COLUMNS($A1170:D1189), LEFT(INDEX(FILTER(D$1:D1169, D$1:D1169&lt;&gt;""""),COUNTA(FILTER(D$1:D1169, D$1:D1169&lt;&gt;""""))), LEN(INDEX(FILTER(D$1:D1169, D$1:D1169&lt;&gt;""""),COUNTA(FILTER(D$1:D1169, D$1:D1169&lt;&gt;""""))))-1), IF('To Order'!$A1170=COL"&amp;"UMNS($A1170:D1189), D1169&amp;RIGHT(INDIRECT(ADDRESS(ROW(D1170)-1, 'From Order'!$A1170)), 1), D1169))"),"GM")</f>
        <v>GM</v>
      </c>
      <c r="E1170" s="2" t="str">
        <f>IFERROR(__xludf.DUMMYFUNCTION("IF('From Order'!$A1170=COLUMNS($A1170:E1189), LEFT(INDEX(FILTER(E$1:E1169, E$1:E1169&lt;&gt;""""),COUNTA(FILTER(E$1:E1169, E$1:E1169&lt;&gt;""""))), LEN(INDEX(FILTER(E$1:E1169, E$1:E1169&lt;&gt;""""),COUNTA(FILTER(E$1:E1169, E$1:E1169&lt;&gt;""""))))-1), IF('To Order'!$A1170=COL"&amp;"UMNS($A1170:E1189), E1169&amp;RIGHT(INDIRECT(ADDRESS(ROW(E1170)-1, 'From Order'!$A1170)), 1), E1169))"),"")</f>
        <v/>
      </c>
      <c r="F1170" s="2" t="str">
        <f>IFERROR(__xludf.DUMMYFUNCTION("IF('From Order'!$A1170=COLUMNS($A1170:F1189), LEFT(INDEX(FILTER(F$1:F1169, F$1:F1169&lt;&gt;""""),COUNTA(FILTER(F$1:F1169, F$1:F1169&lt;&gt;""""))), LEN(INDEX(FILTER(F$1:F1169, F$1:F1169&lt;&gt;""""),COUNTA(FILTER(F$1:F1169, F$1:F1169&lt;&gt;""""))))-1), IF('To Order'!$A1170=COL"&amp;"UMNS($A1170:F1189), F1169&amp;RIGHT(INDIRECT(ADDRESS(ROW(F1170)-1, 'From Order'!$A1170)), 1), F1169))"),"")</f>
        <v/>
      </c>
      <c r="G1170" s="2" t="str">
        <f>IFERROR(__xludf.DUMMYFUNCTION("IF('From Order'!$A1170=COLUMNS($A1170:G1189), LEFT(INDEX(FILTER(G$1:G1169, G$1:G1169&lt;&gt;""""),COUNTA(FILTER(G$1:G1169, G$1:G1169&lt;&gt;""""))), LEN(INDEX(FILTER(G$1:G1169, G$1:G1169&lt;&gt;""""),COUNTA(FILTER(G$1:G1169, G$1:G1169&lt;&gt;""""))))-1), IF('To Order'!$A1170=COL"&amp;"UMNS($A1170:G1189), G1169&amp;RIGHT(INDIRECT(ADDRESS(ROW(G1170)-1, 'From Order'!$A1170)), 1), G1169))"),"BVST")</f>
        <v>BVST</v>
      </c>
      <c r="H1170" s="2" t="str">
        <f>IFERROR(__xludf.DUMMYFUNCTION("IF('From Order'!$A1170=COLUMNS($A1170:H1189), LEFT(INDEX(FILTER(H$1:H1169, H$1:H1169&lt;&gt;""""),COUNTA(FILTER(H$1:H1169, H$1:H1169&lt;&gt;""""))), LEN(INDEX(FILTER(H$1:H1169, H$1:H1169&lt;&gt;""""),COUNTA(FILTER(H$1:H1169, H$1:H1169&lt;&gt;""""))))-1), IF('To Order'!$A1170=COL"&amp;"UMNS($A1170:H1189), H1169&amp;RIGHT(INDIRECT(ADDRESS(ROW(H1170)-1, 'From Order'!$A1170)), 1), H1169))"),"")</f>
        <v/>
      </c>
      <c r="I1170" s="2" t="str">
        <f>IFERROR(__xludf.DUMMYFUNCTION("IF('From Order'!$A1170=COLUMNS($A1170:I1189), LEFT(INDEX(FILTER(I$1:I1169, I$1:I1169&lt;&gt;""""),COUNTA(FILTER(I$1:I1169, I$1:I1169&lt;&gt;""""))), LEN(INDEX(FILTER(I$1:I1169, I$1:I1169&lt;&gt;""""),COUNTA(FILTER(I$1:I1169, I$1:I1169&lt;&gt;""""))))-1), IF('To Order'!$A1170=COL"&amp;"UMNS($A1170:I1189), I1169&amp;RIGHT(INDIRECT(ADDRESS(ROW(I1170)-1, 'From Order'!$A1170)), 1), I1169))"),"FV")</f>
        <v>FV</v>
      </c>
    </row>
    <row r="1171">
      <c r="A1171" s="2" t="str">
        <f>IFERROR(__xludf.DUMMYFUNCTION("IF('From Order'!$A1171=COLUMNS($A1171:A1190), LEFT(INDEX(FILTER(A$1:A1170, A$1:A1170&lt;&gt;""""),COUNTA(FILTER(A$1:A1170, A$1:A1170&lt;&gt;""""))), LEN(INDEX(FILTER(A$1:A1170, A$1:A1170&lt;&gt;""""),COUNTA(FILTER(A$1:A1170, A$1:A1170&lt;&gt;""""))))-1), IF('To Order'!$A1171=COL"&amp;"UMNS($A1171:A1190), A1170&amp;RIGHT(INDIRECT(ADDRESS(ROW(A1171)-1, 'From Order'!$A1171)), 1), A1170))"),"HZBSBDJDMFBTJ")</f>
        <v>HZBSBDJDMFBTJ</v>
      </c>
      <c r="B1171" s="2" t="str">
        <f>IFERROR(__xludf.DUMMYFUNCTION("IF('From Order'!$A1171=COLUMNS($A1171:B1190), LEFT(INDEX(FILTER(B$1:B1170, B$1:B1170&lt;&gt;""""),COUNTA(FILTER(B$1:B1170, B$1:B1170&lt;&gt;""""))), LEN(INDEX(FILTER(B$1:B1170, B$1:B1170&lt;&gt;""""),COUNTA(FILTER(B$1:B1170, B$1:B1170&lt;&gt;""""))))-1), IF('To Order'!$A1171=COL"&amp;"UMNS($A1171:B1190), B1170&amp;RIGHT(INDIRECT(ADDRESS(ROW(B1171)-1, 'From Order'!$A1171)), 1), B1170))"),"ZLPDS")</f>
        <v>ZLPDS</v>
      </c>
      <c r="C1171" s="2" t="str">
        <f>IFERROR(__xludf.DUMMYFUNCTION("IF('From Order'!$A1171=COLUMNS($A1171:C1190), LEFT(INDEX(FILTER(C$1:C1170, C$1:C1170&lt;&gt;""""),COUNTA(FILTER(C$1:C1170, C$1:C1170&lt;&gt;""""))), LEN(INDEX(FILTER(C$1:C1170, C$1:C1170&lt;&gt;""""),COUNTA(FILTER(C$1:C1170, C$1:C1170&lt;&gt;""""))))-1), IF('To Order'!$A1171=COL"&amp;"UMNS($A1171:C1190), C1170&amp;RIGHT(INDIRECT(ADDRESS(ROW(C1171)-1, 'From Order'!$A1171)), 1), C1170))"),"TRLRSGHWQVQJPPLDTDTWRMTCRCDRZC")</f>
        <v>TRLRSGHWQVQJPPLDTDTWRMTCRCDRZC</v>
      </c>
      <c r="D1171" s="2" t="str">
        <f>IFERROR(__xludf.DUMMYFUNCTION("IF('From Order'!$A1171=COLUMNS($A1171:D1190), LEFT(INDEX(FILTER(D$1:D1170, D$1:D1170&lt;&gt;""""),COUNTA(FILTER(D$1:D1170, D$1:D1170&lt;&gt;""""))), LEN(INDEX(FILTER(D$1:D1170, D$1:D1170&lt;&gt;""""),COUNTA(FILTER(D$1:D1170, D$1:D1170&lt;&gt;""""))))-1), IF('To Order'!$A1171=COL"&amp;"UMNS($A1171:D1190), D1170&amp;RIGHT(INDIRECT(ADDRESS(ROW(D1171)-1, 'From Order'!$A1171)), 1), D1170))"),"GM")</f>
        <v>GM</v>
      </c>
      <c r="E1171" s="2" t="str">
        <f>IFERROR(__xludf.DUMMYFUNCTION("IF('From Order'!$A1171=COLUMNS($A1171:E1190), LEFT(INDEX(FILTER(E$1:E1170, E$1:E1170&lt;&gt;""""),COUNTA(FILTER(E$1:E1170, E$1:E1170&lt;&gt;""""))), LEN(INDEX(FILTER(E$1:E1170, E$1:E1170&lt;&gt;""""),COUNTA(FILTER(E$1:E1170, E$1:E1170&lt;&gt;""""))))-1), IF('To Order'!$A1171=COL"&amp;"UMNS($A1171:E1190), E1170&amp;RIGHT(INDIRECT(ADDRESS(ROW(E1171)-1, 'From Order'!$A1171)), 1), E1170))"),"")</f>
        <v/>
      </c>
      <c r="F1171" s="2" t="str">
        <f>IFERROR(__xludf.DUMMYFUNCTION("IF('From Order'!$A1171=COLUMNS($A1171:F1190), LEFT(INDEX(FILTER(F$1:F1170, F$1:F1170&lt;&gt;""""),COUNTA(FILTER(F$1:F1170, F$1:F1170&lt;&gt;""""))), LEN(INDEX(FILTER(F$1:F1170, F$1:F1170&lt;&gt;""""),COUNTA(FILTER(F$1:F1170, F$1:F1170&lt;&gt;""""))))-1), IF('To Order'!$A1171=COL"&amp;"UMNS($A1171:F1190), F1170&amp;RIGHT(INDIRECT(ADDRESS(ROW(F1171)-1, 'From Order'!$A1171)), 1), F1170))"),"")</f>
        <v/>
      </c>
      <c r="G1171" s="2" t="str">
        <f>IFERROR(__xludf.DUMMYFUNCTION("IF('From Order'!$A1171=COLUMNS($A1171:G1190), LEFT(INDEX(FILTER(G$1:G1170, G$1:G1170&lt;&gt;""""),COUNTA(FILTER(G$1:G1170, G$1:G1170&lt;&gt;""""))), LEN(INDEX(FILTER(G$1:G1170, G$1:G1170&lt;&gt;""""),COUNTA(FILTER(G$1:G1170, G$1:G1170&lt;&gt;""""))))-1), IF('To Order'!$A1171=COL"&amp;"UMNS($A1171:G1190), G1170&amp;RIGHT(INDIRECT(ADDRESS(ROW(G1171)-1, 'From Order'!$A1171)), 1), G1170))"),"BVST")</f>
        <v>BVST</v>
      </c>
      <c r="H1171" s="2" t="str">
        <f>IFERROR(__xludf.DUMMYFUNCTION("IF('From Order'!$A1171=COLUMNS($A1171:H1190), LEFT(INDEX(FILTER(H$1:H1170, H$1:H1170&lt;&gt;""""),COUNTA(FILTER(H$1:H1170, H$1:H1170&lt;&gt;""""))), LEN(INDEX(FILTER(H$1:H1170, H$1:H1170&lt;&gt;""""),COUNTA(FILTER(H$1:H1170, H$1:H1170&lt;&gt;""""))))-1), IF('To Order'!$A1171=COL"&amp;"UMNS($A1171:H1190), H1170&amp;RIGHT(INDIRECT(ADDRESS(ROW(H1171)-1, 'From Order'!$A1171)), 1), H1170))"),"")</f>
        <v/>
      </c>
      <c r="I1171" s="2" t="str">
        <f>IFERROR(__xludf.DUMMYFUNCTION("IF('From Order'!$A1171=COLUMNS($A1171:I1190), LEFT(INDEX(FILTER(I$1:I1170, I$1:I1170&lt;&gt;""""),COUNTA(FILTER(I$1:I1170, I$1:I1170&lt;&gt;""""))), LEN(INDEX(FILTER(I$1:I1170, I$1:I1170&lt;&gt;""""),COUNTA(FILTER(I$1:I1170, I$1:I1170&lt;&gt;""""))))-1), IF('To Order'!$A1171=COL"&amp;"UMNS($A1171:I1190), I1170&amp;RIGHT(INDIRECT(ADDRESS(ROW(I1171)-1, 'From Order'!$A1171)), 1), I1170))"),"FV")</f>
        <v>FV</v>
      </c>
    </row>
    <row r="1172">
      <c r="A1172" s="2" t="str">
        <f>IFERROR(__xludf.DUMMYFUNCTION("IF('From Order'!$A1172=COLUMNS($A1172:A1191), LEFT(INDEX(FILTER(A$1:A1171, A$1:A1171&lt;&gt;""""),COUNTA(FILTER(A$1:A1171, A$1:A1171&lt;&gt;""""))), LEN(INDEX(FILTER(A$1:A1171, A$1:A1171&lt;&gt;""""),COUNTA(FILTER(A$1:A1171, A$1:A1171&lt;&gt;""""))))-1), IF('To Order'!$A1172=COL"&amp;"UMNS($A1172:A1191), A1171&amp;RIGHT(INDIRECT(ADDRESS(ROW(A1172)-1, 'From Order'!$A1172)), 1), A1171))"),"HZBSBDJDMFBTJC")</f>
        <v>HZBSBDJDMFBTJC</v>
      </c>
      <c r="B1172" s="2" t="str">
        <f>IFERROR(__xludf.DUMMYFUNCTION("IF('From Order'!$A1172=COLUMNS($A1172:B1191), LEFT(INDEX(FILTER(B$1:B1171, B$1:B1171&lt;&gt;""""),COUNTA(FILTER(B$1:B1171, B$1:B1171&lt;&gt;""""))), LEN(INDEX(FILTER(B$1:B1171, B$1:B1171&lt;&gt;""""),COUNTA(FILTER(B$1:B1171, B$1:B1171&lt;&gt;""""))))-1), IF('To Order'!$A1172=COL"&amp;"UMNS($A1172:B1191), B1171&amp;RIGHT(INDIRECT(ADDRESS(ROW(B1172)-1, 'From Order'!$A1172)), 1), B1171))"),"ZLPDS")</f>
        <v>ZLPDS</v>
      </c>
      <c r="C1172" s="2" t="str">
        <f>IFERROR(__xludf.DUMMYFUNCTION("IF('From Order'!$A1172=COLUMNS($A1172:C1191), LEFT(INDEX(FILTER(C$1:C1171, C$1:C1171&lt;&gt;""""),COUNTA(FILTER(C$1:C1171, C$1:C1171&lt;&gt;""""))), LEN(INDEX(FILTER(C$1:C1171, C$1:C1171&lt;&gt;""""),COUNTA(FILTER(C$1:C1171, C$1:C1171&lt;&gt;""""))))-1), IF('To Order'!$A1172=COL"&amp;"UMNS($A1172:C1191), C1171&amp;RIGHT(INDIRECT(ADDRESS(ROW(C1172)-1, 'From Order'!$A1172)), 1), C1171))"),"TRLRSGHWQVQJPPLDTDTWRMTCRCDRZ")</f>
        <v>TRLRSGHWQVQJPPLDTDTWRMTCRCDRZ</v>
      </c>
      <c r="D1172" s="2" t="str">
        <f>IFERROR(__xludf.DUMMYFUNCTION("IF('From Order'!$A1172=COLUMNS($A1172:D1191), LEFT(INDEX(FILTER(D$1:D1171, D$1:D1171&lt;&gt;""""),COUNTA(FILTER(D$1:D1171, D$1:D1171&lt;&gt;""""))), LEN(INDEX(FILTER(D$1:D1171, D$1:D1171&lt;&gt;""""),COUNTA(FILTER(D$1:D1171, D$1:D1171&lt;&gt;""""))))-1), IF('To Order'!$A1172=COL"&amp;"UMNS($A1172:D1191), D1171&amp;RIGHT(INDIRECT(ADDRESS(ROW(D1172)-1, 'From Order'!$A1172)), 1), D1171))"),"GM")</f>
        <v>GM</v>
      </c>
      <c r="E1172" s="2" t="str">
        <f>IFERROR(__xludf.DUMMYFUNCTION("IF('From Order'!$A1172=COLUMNS($A1172:E1191), LEFT(INDEX(FILTER(E$1:E1171, E$1:E1171&lt;&gt;""""),COUNTA(FILTER(E$1:E1171, E$1:E1171&lt;&gt;""""))), LEN(INDEX(FILTER(E$1:E1171, E$1:E1171&lt;&gt;""""),COUNTA(FILTER(E$1:E1171, E$1:E1171&lt;&gt;""""))))-1), IF('To Order'!$A1172=COL"&amp;"UMNS($A1172:E1191), E1171&amp;RIGHT(INDIRECT(ADDRESS(ROW(E1172)-1, 'From Order'!$A1172)), 1), E1171))"),"")</f>
        <v/>
      </c>
      <c r="F1172" s="2" t="str">
        <f>IFERROR(__xludf.DUMMYFUNCTION("IF('From Order'!$A1172=COLUMNS($A1172:F1191), LEFT(INDEX(FILTER(F$1:F1171, F$1:F1171&lt;&gt;""""),COUNTA(FILTER(F$1:F1171, F$1:F1171&lt;&gt;""""))), LEN(INDEX(FILTER(F$1:F1171, F$1:F1171&lt;&gt;""""),COUNTA(FILTER(F$1:F1171, F$1:F1171&lt;&gt;""""))))-1), IF('To Order'!$A1172=COL"&amp;"UMNS($A1172:F1191), F1171&amp;RIGHT(INDIRECT(ADDRESS(ROW(F1172)-1, 'From Order'!$A1172)), 1), F1171))"),"")</f>
        <v/>
      </c>
      <c r="G1172" s="2" t="str">
        <f>IFERROR(__xludf.DUMMYFUNCTION("IF('From Order'!$A1172=COLUMNS($A1172:G1191), LEFT(INDEX(FILTER(G$1:G1171, G$1:G1171&lt;&gt;""""),COUNTA(FILTER(G$1:G1171, G$1:G1171&lt;&gt;""""))), LEN(INDEX(FILTER(G$1:G1171, G$1:G1171&lt;&gt;""""),COUNTA(FILTER(G$1:G1171, G$1:G1171&lt;&gt;""""))))-1), IF('To Order'!$A1172=COL"&amp;"UMNS($A1172:G1191), G1171&amp;RIGHT(INDIRECT(ADDRESS(ROW(G1172)-1, 'From Order'!$A1172)), 1), G1171))"),"BVST")</f>
        <v>BVST</v>
      </c>
      <c r="H1172" s="2" t="str">
        <f>IFERROR(__xludf.DUMMYFUNCTION("IF('From Order'!$A1172=COLUMNS($A1172:H1191), LEFT(INDEX(FILTER(H$1:H1171, H$1:H1171&lt;&gt;""""),COUNTA(FILTER(H$1:H1171, H$1:H1171&lt;&gt;""""))), LEN(INDEX(FILTER(H$1:H1171, H$1:H1171&lt;&gt;""""),COUNTA(FILTER(H$1:H1171, H$1:H1171&lt;&gt;""""))))-1), IF('To Order'!$A1172=COL"&amp;"UMNS($A1172:H1191), H1171&amp;RIGHT(INDIRECT(ADDRESS(ROW(H1172)-1, 'From Order'!$A1172)), 1), H1171))"),"")</f>
        <v/>
      </c>
      <c r="I1172" s="2" t="str">
        <f>IFERROR(__xludf.DUMMYFUNCTION("IF('From Order'!$A1172=COLUMNS($A1172:I1191), LEFT(INDEX(FILTER(I$1:I1171, I$1:I1171&lt;&gt;""""),COUNTA(FILTER(I$1:I1171, I$1:I1171&lt;&gt;""""))), LEN(INDEX(FILTER(I$1:I1171, I$1:I1171&lt;&gt;""""),COUNTA(FILTER(I$1:I1171, I$1:I1171&lt;&gt;""""))))-1), IF('To Order'!$A1172=COL"&amp;"UMNS($A1172:I1191), I1171&amp;RIGHT(INDIRECT(ADDRESS(ROW(I1172)-1, 'From Order'!$A1172)), 1), I1171))"),"FV")</f>
        <v>FV</v>
      </c>
    </row>
    <row r="1173">
      <c r="A1173" s="2" t="str">
        <f>IFERROR(__xludf.DUMMYFUNCTION("IF('From Order'!$A1173=COLUMNS($A1173:A1192), LEFT(INDEX(FILTER(A$1:A1172, A$1:A1172&lt;&gt;""""),COUNTA(FILTER(A$1:A1172, A$1:A1172&lt;&gt;""""))), LEN(INDEX(FILTER(A$1:A1172, A$1:A1172&lt;&gt;""""),COUNTA(FILTER(A$1:A1172, A$1:A1172&lt;&gt;""""))))-1), IF('To Order'!$A1173=COL"&amp;"UMNS($A1173:A1192), A1172&amp;RIGHT(INDIRECT(ADDRESS(ROW(A1173)-1, 'From Order'!$A1173)), 1), A1172))"),"HZBSBDJDMFBTJCZ")</f>
        <v>HZBSBDJDMFBTJCZ</v>
      </c>
      <c r="B1173" s="2" t="str">
        <f>IFERROR(__xludf.DUMMYFUNCTION("IF('From Order'!$A1173=COLUMNS($A1173:B1192), LEFT(INDEX(FILTER(B$1:B1172, B$1:B1172&lt;&gt;""""),COUNTA(FILTER(B$1:B1172, B$1:B1172&lt;&gt;""""))), LEN(INDEX(FILTER(B$1:B1172, B$1:B1172&lt;&gt;""""),COUNTA(FILTER(B$1:B1172, B$1:B1172&lt;&gt;""""))))-1), IF('To Order'!$A1173=COL"&amp;"UMNS($A1173:B1192), B1172&amp;RIGHT(INDIRECT(ADDRESS(ROW(B1173)-1, 'From Order'!$A1173)), 1), B1172))"),"ZLPDS")</f>
        <v>ZLPDS</v>
      </c>
      <c r="C1173" s="2" t="str">
        <f>IFERROR(__xludf.DUMMYFUNCTION("IF('From Order'!$A1173=COLUMNS($A1173:C1192), LEFT(INDEX(FILTER(C$1:C1172, C$1:C1172&lt;&gt;""""),COUNTA(FILTER(C$1:C1172, C$1:C1172&lt;&gt;""""))), LEN(INDEX(FILTER(C$1:C1172, C$1:C1172&lt;&gt;""""),COUNTA(FILTER(C$1:C1172, C$1:C1172&lt;&gt;""""))))-1), IF('To Order'!$A1173=COL"&amp;"UMNS($A1173:C1192), C1172&amp;RIGHT(INDIRECT(ADDRESS(ROW(C1173)-1, 'From Order'!$A1173)), 1), C1172))"),"TRLRSGHWQVQJPPLDTDTWRMTCRCDR")</f>
        <v>TRLRSGHWQVQJPPLDTDTWRMTCRCDR</v>
      </c>
      <c r="D1173" s="2" t="str">
        <f>IFERROR(__xludf.DUMMYFUNCTION("IF('From Order'!$A1173=COLUMNS($A1173:D1192), LEFT(INDEX(FILTER(D$1:D1172, D$1:D1172&lt;&gt;""""),COUNTA(FILTER(D$1:D1172, D$1:D1172&lt;&gt;""""))), LEN(INDEX(FILTER(D$1:D1172, D$1:D1172&lt;&gt;""""),COUNTA(FILTER(D$1:D1172, D$1:D1172&lt;&gt;""""))))-1), IF('To Order'!$A1173=COL"&amp;"UMNS($A1173:D1192), D1172&amp;RIGHT(INDIRECT(ADDRESS(ROW(D1173)-1, 'From Order'!$A1173)), 1), D1172))"),"GM")</f>
        <v>GM</v>
      </c>
      <c r="E1173" s="2" t="str">
        <f>IFERROR(__xludf.DUMMYFUNCTION("IF('From Order'!$A1173=COLUMNS($A1173:E1192), LEFT(INDEX(FILTER(E$1:E1172, E$1:E1172&lt;&gt;""""),COUNTA(FILTER(E$1:E1172, E$1:E1172&lt;&gt;""""))), LEN(INDEX(FILTER(E$1:E1172, E$1:E1172&lt;&gt;""""),COUNTA(FILTER(E$1:E1172, E$1:E1172&lt;&gt;""""))))-1), IF('To Order'!$A1173=COL"&amp;"UMNS($A1173:E1192), E1172&amp;RIGHT(INDIRECT(ADDRESS(ROW(E1173)-1, 'From Order'!$A1173)), 1), E1172))"),"")</f>
        <v/>
      </c>
      <c r="F1173" s="2" t="str">
        <f>IFERROR(__xludf.DUMMYFUNCTION("IF('From Order'!$A1173=COLUMNS($A1173:F1192), LEFT(INDEX(FILTER(F$1:F1172, F$1:F1172&lt;&gt;""""),COUNTA(FILTER(F$1:F1172, F$1:F1172&lt;&gt;""""))), LEN(INDEX(FILTER(F$1:F1172, F$1:F1172&lt;&gt;""""),COUNTA(FILTER(F$1:F1172, F$1:F1172&lt;&gt;""""))))-1), IF('To Order'!$A1173=COL"&amp;"UMNS($A1173:F1192), F1172&amp;RIGHT(INDIRECT(ADDRESS(ROW(F1173)-1, 'From Order'!$A1173)), 1), F1172))"),"")</f>
        <v/>
      </c>
      <c r="G1173" s="2" t="str">
        <f>IFERROR(__xludf.DUMMYFUNCTION("IF('From Order'!$A1173=COLUMNS($A1173:G1192), LEFT(INDEX(FILTER(G$1:G1172, G$1:G1172&lt;&gt;""""),COUNTA(FILTER(G$1:G1172, G$1:G1172&lt;&gt;""""))), LEN(INDEX(FILTER(G$1:G1172, G$1:G1172&lt;&gt;""""),COUNTA(FILTER(G$1:G1172, G$1:G1172&lt;&gt;""""))))-1), IF('To Order'!$A1173=COL"&amp;"UMNS($A1173:G1192), G1172&amp;RIGHT(INDIRECT(ADDRESS(ROW(G1173)-1, 'From Order'!$A1173)), 1), G1172))"),"BVST")</f>
        <v>BVST</v>
      </c>
      <c r="H1173" s="2" t="str">
        <f>IFERROR(__xludf.DUMMYFUNCTION("IF('From Order'!$A1173=COLUMNS($A1173:H1192), LEFT(INDEX(FILTER(H$1:H1172, H$1:H1172&lt;&gt;""""),COUNTA(FILTER(H$1:H1172, H$1:H1172&lt;&gt;""""))), LEN(INDEX(FILTER(H$1:H1172, H$1:H1172&lt;&gt;""""),COUNTA(FILTER(H$1:H1172, H$1:H1172&lt;&gt;""""))))-1), IF('To Order'!$A1173=COL"&amp;"UMNS($A1173:H1192), H1172&amp;RIGHT(INDIRECT(ADDRESS(ROW(H1173)-1, 'From Order'!$A1173)), 1), H1172))"),"")</f>
        <v/>
      </c>
      <c r="I1173" s="2" t="str">
        <f>IFERROR(__xludf.DUMMYFUNCTION("IF('From Order'!$A1173=COLUMNS($A1173:I1192), LEFT(INDEX(FILTER(I$1:I1172, I$1:I1172&lt;&gt;""""),COUNTA(FILTER(I$1:I1172, I$1:I1172&lt;&gt;""""))), LEN(INDEX(FILTER(I$1:I1172, I$1:I1172&lt;&gt;""""),COUNTA(FILTER(I$1:I1172, I$1:I1172&lt;&gt;""""))))-1), IF('To Order'!$A1173=COL"&amp;"UMNS($A1173:I1192), I1172&amp;RIGHT(INDIRECT(ADDRESS(ROW(I1173)-1, 'From Order'!$A1173)), 1), I1172))"),"FV")</f>
        <v>FV</v>
      </c>
    </row>
    <row r="1174">
      <c r="A1174" s="2" t="str">
        <f>IFERROR(__xludf.DUMMYFUNCTION("IF('From Order'!$A1174=COLUMNS($A1174:A1193), LEFT(INDEX(FILTER(A$1:A1173, A$1:A1173&lt;&gt;""""),COUNTA(FILTER(A$1:A1173, A$1:A1173&lt;&gt;""""))), LEN(INDEX(FILTER(A$1:A1173, A$1:A1173&lt;&gt;""""),COUNTA(FILTER(A$1:A1173, A$1:A1173&lt;&gt;""""))))-1), IF('To Order'!$A1174=COL"&amp;"UMNS($A1174:A1193), A1173&amp;RIGHT(INDIRECT(ADDRESS(ROW(A1174)-1, 'From Order'!$A1174)), 1), A1173))"),"HZBSBDJDMFBTJCZR")</f>
        <v>HZBSBDJDMFBTJCZR</v>
      </c>
      <c r="B1174" s="2" t="str">
        <f>IFERROR(__xludf.DUMMYFUNCTION("IF('From Order'!$A1174=COLUMNS($A1174:B1193), LEFT(INDEX(FILTER(B$1:B1173, B$1:B1173&lt;&gt;""""),COUNTA(FILTER(B$1:B1173, B$1:B1173&lt;&gt;""""))), LEN(INDEX(FILTER(B$1:B1173, B$1:B1173&lt;&gt;""""),COUNTA(FILTER(B$1:B1173, B$1:B1173&lt;&gt;""""))))-1), IF('To Order'!$A1174=COL"&amp;"UMNS($A1174:B1193), B1173&amp;RIGHT(INDIRECT(ADDRESS(ROW(B1174)-1, 'From Order'!$A1174)), 1), B1173))"),"ZLPDS")</f>
        <v>ZLPDS</v>
      </c>
      <c r="C1174" s="2" t="str">
        <f>IFERROR(__xludf.DUMMYFUNCTION("IF('From Order'!$A1174=COLUMNS($A1174:C1193), LEFT(INDEX(FILTER(C$1:C1173, C$1:C1173&lt;&gt;""""),COUNTA(FILTER(C$1:C1173, C$1:C1173&lt;&gt;""""))), LEN(INDEX(FILTER(C$1:C1173, C$1:C1173&lt;&gt;""""),COUNTA(FILTER(C$1:C1173, C$1:C1173&lt;&gt;""""))))-1), IF('To Order'!$A1174=COL"&amp;"UMNS($A1174:C1193), C1173&amp;RIGHT(INDIRECT(ADDRESS(ROW(C1174)-1, 'From Order'!$A1174)), 1), C1173))"),"TRLRSGHWQVQJPPLDTDTWRMTCRCD")</f>
        <v>TRLRSGHWQVQJPPLDTDTWRMTCRCD</v>
      </c>
      <c r="D1174" s="2" t="str">
        <f>IFERROR(__xludf.DUMMYFUNCTION("IF('From Order'!$A1174=COLUMNS($A1174:D1193), LEFT(INDEX(FILTER(D$1:D1173, D$1:D1173&lt;&gt;""""),COUNTA(FILTER(D$1:D1173, D$1:D1173&lt;&gt;""""))), LEN(INDEX(FILTER(D$1:D1173, D$1:D1173&lt;&gt;""""),COUNTA(FILTER(D$1:D1173, D$1:D1173&lt;&gt;""""))))-1), IF('To Order'!$A1174=COL"&amp;"UMNS($A1174:D1193), D1173&amp;RIGHT(INDIRECT(ADDRESS(ROW(D1174)-1, 'From Order'!$A1174)), 1), D1173))"),"GM")</f>
        <v>GM</v>
      </c>
      <c r="E1174" s="2" t="str">
        <f>IFERROR(__xludf.DUMMYFUNCTION("IF('From Order'!$A1174=COLUMNS($A1174:E1193), LEFT(INDEX(FILTER(E$1:E1173, E$1:E1173&lt;&gt;""""),COUNTA(FILTER(E$1:E1173, E$1:E1173&lt;&gt;""""))), LEN(INDEX(FILTER(E$1:E1173, E$1:E1173&lt;&gt;""""),COUNTA(FILTER(E$1:E1173, E$1:E1173&lt;&gt;""""))))-1), IF('To Order'!$A1174=COL"&amp;"UMNS($A1174:E1193), E1173&amp;RIGHT(INDIRECT(ADDRESS(ROW(E1174)-1, 'From Order'!$A1174)), 1), E1173))"),"")</f>
        <v/>
      </c>
      <c r="F1174" s="2" t="str">
        <f>IFERROR(__xludf.DUMMYFUNCTION("IF('From Order'!$A1174=COLUMNS($A1174:F1193), LEFT(INDEX(FILTER(F$1:F1173, F$1:F1173&lt;&gt;""""),COUNTA(FILTER(F$1:F1173, F$1:F1173&lt;&gt;""""))), LEN(INDEX(FILTER(F$1:F1173, F$1:F1173&lt;&gt;""""),COUNTA(FILTER(F$1:F1173, F$1:F1173&lt;&gt;""""))))-1), IF('To Order'!$A1174=COL"&amp;"UMNS($A1174:F1193), F1173&amp;RIGHT(INDIRECT(ADDRESS(ROW(F1174)-1, 'From Order'!$A1174)), 1), F1173))"),"")</f>
        <v/>
      </c>
      <c r="G1174" s="2" t="str">
        <f>IFERROR(__xludf.DUMMYFUNCTION("IF('From Order'!$A1174=COLUMNS($A1174:G1193), LEFT(INDEX(FILTER(G$1:G1173, G$1:G1173&lt;&gt;""""),COUNTA(FILTER(G$1:G1173, G$1:G1173&lt;&gt;""""))), LEN(INDEX(FILTER(G$1:G1173, G$1:G1173&lt;&gt;""""),COUNTA(FILTER(G$1:G1173, G$1:G1173&lt;&gt;""""))))-1), IF('To Order'!$A1174=COL"&amp;"UMNS($A1174:G1193), G1173&amp;RIGHT(INDIRECT(ADDRESS(ROW(G1174)-1, 'From Order'!$A1174)), 1), G1173))"),"BVST")</f>
        <v>BVST</v>
      </c>
      <c r="H1174" s="2" t="str">
        <f>IFERROR(__xludf.DUMMYFUNCTION("IF('From Order'!$A1174=COLUMNS($A1174:H1193), LEFT(INDEX(FILTER(H$1:H1173, H$1:H1173&lt;&gt;""""),COUNTA(FILTER(H$1:H1173, H$1:H1173&lt;&gt;""""))), LEN(INDEX(FILTER(H$1:H1173, H$1:H1173&lt;&gt;""""),COUNTA(FILTER(H$1:H1173, H$1:H1173&lt;&gt;""""))))-1), IF('To Order'!$A1174=COL"&amp;"UMNS($A1174:H1193), H1173&amp;RIGHT(INDIRECT(ADDRESS(ROW(H1174)-1, 'From Order'!$A1174)), 1), H1173))"),"")</f>
        <v/>
      </c>
      <c r="I1174" s="2" t="str">
        <f>IFERROR(__xludf.DUMMYFUNCTION("IF('From Order'!$A1174=COLUMNS($A1174:I1193), LEFT(INDEX(FILTER(I$1:I1173, I$1:I1173&lt;&gt;""""),COUNTA(FILTER(I$1:I1173, I$1:I1173&lt;&gt;""""))), LEN(INDEX(FILTER(I$1:I1173, I$1:I1173&lt;&gt;""""),COUNTA(FILTER(I$1:I1173, I$1:I1173&lt;&gt;""""))))-1), IF('To Order'!$A1174=COL"&amp;"UMNS($A1174:I1193), I1173&amp;RIGHT(INDIRECT(ADDRESS(ROW(I1174)-1, 'From Order'!$A1174)), 1), I1173))"),"FV")</f>
        <v>FV</v>
      </c>
    </row>
    <row r="1175">
      <c r="A1175" s="2" t="str">
        <f>IFERROR(__xludf.DUMMYFUNCTION("IF('From Order'!$A1175=COLUMNS($A1175:A1194), LEFT(INDEX(FILTER(A$1:A1174, A$1:A1174&lt;&gt;""""),COUNTA(FILTER(A$1:A1174, A$1:A1174&lt;&gt;""""))), LEN(INDEX(FILTER(A$1:A1174, A$1:A1174&lt;&gt;""""),COUNTA(FILTER(A$1:A1174, A$1:A1174&lt;&gt;""""))))-1), IF('To Order'!$A1175=COL"&amp;"UMNS($A1175:A1194), A1174&amp;RIGHT(INDIRECT(ADDRESS(ROW(A1175)-1, 'From Order'!$A1175)), 1), A1174))"),"HZBSBDJDMFBTJCZRD")</f>
        <v>HZBSBDJDMFBTJCZRD</v>
      </c>
      <c r="B1175" s="2" t="str">
        <f>IFERROR(__xludf.DUMMYFUNCTION("IF('From Order'!$A1175=COLUMNS($A1175:B1194), LEFT(INDEX(FILTER(B$1:B1174, B$1:B1174&lt;&gt;""""),COUNTA(FILTER(B$1:B1174, B$1:B1174&lt;&gt;""""))), LEN(INDEX(FILTER(B$1:B1174, B$1:B1174&lt;&gt;""""),COUNTA(FILTER(B$1:B1174, B$1:B1174&lt;&gt;""""))))-1), IF('To Order'!$A1175=COL"&amp;"UMNS($A1175:B1194), B1174&amp;RIGHT(INDIRECT(ADDRESS(ROW(B1175)-1, 'From Order'!$A1175)), 1), B1174))"),"ZLPDS")</f>
        <v>ZLPDS</v>
      </c>
      <c r="C1175" s="2" t="str">
        <f>IFERROR(__xludf.DUMMYFUNCTION("IF('From Order'!$A1175=COLUMNS($A1175:C1194), LEFT(INDEX(FILTER(C$1:C1174, C$1:C1174&lt;&gt;""""),COUNTA(FILTER(C$1:C1174, C$1:C1174&lt;&gt;""""))), LEN(INDEX(FILTER(C$1:C1174, C$1:C1174&lt;&gt;""""),COUNTA(FILTER(C$1:C1174, C$1:C1174&lt;&gt;""""))))-1), IF('To Order'!$A1175=COL"&amp;"UMNS($A1175:C1194), C1174&amp;RIGHT(INDIRECT(ADDRESS(ROW(C1175)-1, 'From Order'!$A1175)), 1), C1174))"),"TRLRSGHWQVQJPPLDTDTWRMTCRC")</f>
        <v>TRLRSGHWQVQJPPLDTDTWRMTCRC</v>
      </c>
      <c r="D1175" s="2" t="str">
        <f>IFERROR(__xludf.DUMMYFUNCTION("IF('From Order'!$A1175=COLUMNS($A1175:D1194), LEFT(INDEX(FILTER(D$1:D1174, D$1:D1174&lt;&gt;""""),COUNTA(FILTER(D$1:D1174, D$1:D1174&lt;&gt;""""))), LEN(INDEX(FILTER(D$1:D1174, D$1:D1174&lt;&gt;""""),COUNTA(FILTER(D$1:D1174, D$1:D1174&lt;&gt;""""))))-1), IF('To Order'!$A1175=COL"&amp;"UMNS($A1175:D1194), D1174&amp;RIGHT(INDIRECT(ADDRESS(ROW(D1175)-1, 'From Order'!$A1175)), 1), D1174))"),"GM")</f>
        <v>GM</v>
      </c>
      <c r="E1175" s="2" t="str">
        <f>IFERROR(__xludf.DUMMYFUNCTION("IF('From Order'!$A1175=COLUMNS($A1175:E1194), LEFT(INDEX(FILTER(E$1:E1174, E$1:E1174&lt;&gt;""""),COUNTA(FILTER(E$1:E1174, E$1:E1174&lt;&gt;""""))), LEN(INDEX(FILTER(E$1:E1174, E$1:E1174&lt;&gt;""""),COUNTA(FILTER(E$1:E1174, E$1:E1174&lt;&gt;""""))))-1), IF('To Order'!$A1175=COL"&amp;"UMNS($A1175:E1194), E1174&amp;RIGHT(INDIRECT(ADDRESS(ROW(E1175)-1, 'From Order'!$A1175)), 1), E1174))"),"")</f>
        <v/>
      </c>
      <c r="F1175" s="2" t="str">
        <f>IFERROR(__xludf.DUMMYFUNCTION("IF('From Order'!$A1175=COLUMNS($A1175:F1194), LEFT(INDEX(FILTER(F$1:F1174, F$1:F1174&lt;&gt;""""),COUNTA(FILTER(F$1:F1174, F$1:F1174&lt;&gt;""""))), LEN(INDEX(FILTER(F$1:F1174, F$1:F1174&lt;&gt;""""),COUNTA(FILTER(F$1:F1174, F$1:F1174&lt;&gt;""""))))-1), IF('To Order'!$A1175=COL"&amp;"UMNS($A1175:F1194), F1174&amp;RIGHT(INDIRECT(ADDRESS(ROW(F1175)-1, 'From Order'!$A1175)), 1), F1174))"),"")</f>
        <v/>
      </c>
      <c r="G1175" s="2" t="str">
        <f>IFERROR(__xludf.DUMMYFUNCTION("IF('From Order'!$A1175=COLUMNS($A1175:G1194), LEFT(INDEX(FILTER(G$1:G1174, G$1:G1174&lt;&gt;""""),COUNTA(FILTER(G$1:G1174, G$1:G1174&lt;&gt;""""))), LEN(INDEX(FILTER(G$1:G1174, G$1:G1174&lt;&gt;""""),COUNTA(FILTER(G$1:G1174, G$1:G1174&lt;&gt;""""))))-1), IF('To Order'!$A1175=COL"&amp;"UMNS($A1175:G1194), G1174&amp;RIGHT(INDIRECT(ADDRESS(ROW(G1175)-1, 'From Order'!$A1175)), 1), G1174))"),"BVST")</f>
        <v>BVST</v>
      </c>
      <c r="H1175" s="2" t="str">
        <f>IFERROR(__xludf.DUMMYFUNCTION("IF('From Order'!$A1175=COLUMNS($A1175:H1194), LEFT(INDEX(FILTER(H$1:H1174, H$1:H1174&lt;&gt;""""),COUNTA(FILTER(H$1:H1174, H$1:H1174&lt;&gt;""""))), LEN(INDEX(FILTER(H$1:H1174, H$1:H1174&lt;&gt;""""),COUNTA(FILTER(H$1:H1174, H$1:H1174&lt;&gt;""""))))-1), IF('To Order'!$A1175=COL"&amp;"UMNS($A1175:H1194), H1174&amp;RIGHT(INDIRECT(ADDRESS(ROW(H1175)-1, 'From Order'!$A1175)), 1), H1174))"),"")</f>
        <v/>
      </c>
      <c r="I1175" s="2" t="str">
        <f>IFERROR(__xludf.DUMMYFUNCTION("IF('From Order'!$A1175=COLUMNS($A1175:I1194), LEFT(INDEX(FILTER(I$1:I1174, I$1:I1174&lt;&gt;""""),COUNTA(FILTER(I$1:I1174, I$1:I1174&lt;&gt;""""))), LEN(INDEX(FILTER(I$1:I1174, I$1:I1174&lt;&gt;""""),COUNTA(FILTER(I$1:I1174, I$1:I1174&lt;&gt;""""))))-1), IF('To Order'!$A1175=COL"&amp;"UMNS($A1175:I1194), I1174&amp;RIGHT(INDIRECT(ADDRESS(ROW(I1175)-1, 'From Order'!$A1175)), 1), I1174))"),"FV")</f>
        <v>FV</v>
      </c>
    </row>
    <row r="1176">
      <c r="A1176" s="2" t="str">
        <f>IFERROR(__xludf.DUMMYFUNCTION("IF('From Order'!$A1176=COLUMNS($A1176:A1195), LEFT(INDEX(FILTER(A$1:A1175, A$1:A1175&lt;&gt;""""),COUNTA(FILTER(A$1:A1175, A$1:A1175&lt;&gt;""""))), LEN(INDEX(FILTER(A$1:A1175, A$1:A1175&lt;&gt;""""),COUNTA(FILTER(A$1:A1175, A$1:A1175&lt;&gt;""""))))-1), IF('To Order'!$A1176=COL"&amp;"UMNS($A1176:A1195), A1175&amp;RIGHT(INDIRECT(ADDRESS(ROW(A1176)-1, 'From Order'!$A1176)), 1), A1175))"),"HZBSBDJDMFBTJCZRDC")</f>
        <v>HZBSBDJDMFBTJCZRDC</v>
      </c>
      <c r="B1176" s="2" t="str">
        <f>IFERROR(__xludf.DUMMYFUNCTION("IF('From Order'!$A1176=COLUMNS($A1176:B1195), LEFT(INDEX(FILTER(B$1:B1175, B$1:B1175&lt;&gt;""""),COUNTA(FILTER(B$1:B1175, B$1:B1175&lt;&gt;""""))), LEN(INDEX(FILTER(B$1:B1175, B$1:B1175&lt;&gt;""""),COUNTA(FILTER(B$1:B1175, B$1:B1175&lt;&gt;""""))))-1), IF('To Order'!$A1176=COL"&amp;"UMNS($A1176:B1195), B1175&amp;RIGHT(INDIRECT(ADDRESS(ROW(B1176)-1, 'From Order'!$A1176)), 1), B1175))"),"ZLPDS")</f>
        <v>ZLPDS</v>
      </c>
      <c r="C1176" s="2" t="str">
        <f>IFERROR(__xludf.DUMMYFUNCTION("IF('From Order'!$A1176=COLUMNS($A1176:C1195), LEFT(INDEX(FILTER(C$1:C1175, C$1:C1175&lt;&gt;""""),COUNTA(FILTER(C$1:C1175, C$1:C1175&lt;&gt;""""))), LEN(INDEX(FILTER(C$1:C1175, C$1:C1175&lt;&gt;""""),COUNTA(FILTER(C$1:C1175, C$1:C1175&lt;&gt;""""))))-1), IF('To Order'!$A1176=COL"&amp;"UMNS($A1176:C1195), C1175&amp;RIGHT(INDIRECT(ADDRESS(ROW(C1176)-1, 'From Order'!$A1176)), 1), C1175))"),"TRLRSGHWQVQJPPLDTDTWRMTCR")</f>
        <v>TRLRSGHWQVQJPPLDTDTWRMTCR</v>
      </c>
      <c r="D1176" s="2" t="str">
        <f>IFERROR(__xludf.DUMMYFUNCTION("IF('From Order'!$A1176=COLUMNS($A1176:D1195), LEFT(INDEX(FILTER(D$1:D1175, D$1:D1175&lt;&gt;""""),COUNTA(FILTER(D$1:D1175, D$1:D1175&lt;&gt;""""))), LEN(INDEX(FILTER(D$1:D1175, D$1:D1175&lt;&gt;""""),COUNTA(FILTER(D$1:D1175, D$1:D1175&lt;&gt;""""))))-1), IF('To Order'!$A1176=COL"&amp;"UMNS($A1176:D1195), D1175&amp;RIGHT(INDIRECT(ADDRESS(ROW(D1176)-1, 'From Order'!$A1176)), 1), D1175))"),"GM")</f>
        <v>GM</v>
      </c>
      <c r="E1176" s="2" t="str">
        <f>IFERROR(__xludf.DUMMYFUNCTION("IF('From Order'!$A1176=COLUMNS($A1176:E1195), LEFT(INDEX(FILTER(E$1:E1175, E$1:E1175&lt;&gt;""""),COUNTA(FILTER(E$1:E1175, E$1:E1175&lt;&gt;""""))), LEN(INDEX(FILTER(E$1:E1175, E$1:E1175&lt;&gt;""""),COUNTA(FILTER(E$1:E1175, E$1:E1175&lt;&gt;""""))))-1), IF('To Order'!$A1176=COL"&amp;"UMNS($A1176:E1195), E1175&amp;RIGHT(INDIRECT(ADDRESS(ROW(E1176)-1, 'From Order'!$A1176)), 1), E1175))"),"")</f>
        <v/>
      </c>
      <c r="F1176" s="2" t="str">
        <f>IFERROR(__xludf.DUMMYFUNCTION("IF('From Order'!$A1176=COLUMNS($A1176:F1195), LEFT(INDEX(FILTER(F$1:F1175, F$1:F1175&lt;&gt;""""),COUNTA(FILTER(F$1:F1175, F$1:F1175&lt;&gt;""""))), LEN(INDEX(FILTER(F$1:F1175, F$1:F1175&lt;&gt;""""),COUNTA(FILTER(F$1:F1175, F$1:F1175&lt;&gt;""""))))-1), IF('To Order'!$A1176=COL"&amp;"UMNS($A1176:F1195), F1175&amp;RIGHT(INDIRECT(ADDRESS(ROW(F1176)-1, 'From Order'!$A1176)), 1), F1175))"),"")</f>
        <v/>
      </c>
      <c r="G1176" s="2" t="str">
        <f>IFERROR(__xludf.DUMMYFUNCTION("IF('From Order'!$A1176=COLUMNS($A1176:G1195), LEFT(INDEX(FILTER(G$1:G1175, G$1:G1175&lt;&gt;""""),COUNTA(FILTER(G$1:G1175, G$1:G1175&lt;&gt;""""))), LEN(INDEX(FILTER(G$1:G1175, G$1:G1175&lt;&gt;""""),COUNTA(FILTER(G$1:G1175, G$1:G1175&lt;&gt;""""))))-1), IF('To Order'!$A1176=COL"&amp;"UMNS($A1176:G1195), G1175&amp;RIGHT(INDIRECT(ADDRESS(ROW(G1176)-1, 'From Order'!$A1176)), 1), G1175))"),"BVST")</f>
        <v>BVST</v>
      </c>
      <c r="H1176" s="2" t="str">
        <f>IFERROR(__xludf.DUMMYFUNCTION("IF('From Order'!$A1176=COLUMNS($A1176:H1195), LEFT(INDEX(FILTER(H$1:H1175, H$1:H1175&lt;&gt;""""),COUNTA(FILTER(H$1:H1175, H$1:H1175&lt;&gt;""""))), LEN(INDEX(FILTER(H$1:H1175, H$1:H1175&lt;&gt;""""),COUNTA(FILTER(H$1:H1175, H$1:H1175&lt;&gt;""""))))-1), IF('To Order'!$A1176=COL"&amp;"UMNS($A1176:H1195), H1175&amp;RIGHT(INDIRECT(ADDRESS(ROW(H1176)-1, 'From Order'!$A1176)), 1), H1175))"),"")</f>
        <v/>
      </c>
      <c r="I1176" s="2" t="str">
        <f>IFERROR(__xludf.DUMMYFUNCTION("IF('From Order'!$A1176=COLUMNS($A1176:I1195), LEFT(INDEX(FILTER(I$1:I1175, I$1:I1175&lt;&gt;""""),COUNTA(FILTER(I$1:I1175, I$1:I1175&lt;&gt;""""))), LEN(INDEX(FILTER(I$1:I1175, I$1:I1175&lt;&gt;""""),COUNTA(FILTER(I$1:I1175, I$1:I1175&lt;&gt;""""))))-1), IF('To Order'!$A1176=COL"&amp;"UMNS($A1176:I1195), I1175&amp;RIGHT(INDIRECT(ADDRESS(ROW(I1176)-1, 'From Order'!$A1176)), 1), I1175))"),"FV")</f>
        <v>FV</v>
      </c>
    </row>
    <row r="1177">
      <c r="A1177" s="2" t="str">
        <f>IFERROR(__xludf.DUMMYFUNCTION("IF('From Order'!$A1177=COLUMNS($A1177:A1196), LEFT(INDEX(FILTER(A$1:A1176, A$1:A1176&lt;&gt;""""),COUNTA(FILTER(A$1:A1176, A$1:A1176&lt;&gt;""""))), LEN(INDEX(FILTER(A$1:A1176, A$1:A1176&lt;&gt;""""),COUNTA(FILTER(A$1:A1176, A$1:A1176&lt;&gt;""""))))-1), IF('To Order'!$A1177=COL"&amp;"UMNS($A1177:A1196), A1176&amp;RIGHT(INDIRECT(ADDRESS(ROW(A1177)-1, 'From Order'!$A1177)), 1), A1176))"),"HZBSBDJDMFBTJCZRDCR")</f>
        <v>HZBSBDJDMFBTJCZRDCR</v>
      </c>
      <c r="B1177" s="2" t="str">
        <f>IFERROR(__xludf.DUMMYFUNCTION("IF('From Order'!$A1177=COLUMNS($A1177:B1196), LEFT(INDEX(FILTER(B$1:B1176, B$1:B1176&lt;&gt;""""),COUNTA(FILTER(B$1:B1176, B$1:B1176&lt;&gt;""""))), LEN(INDEX(FILTER(B$1:B1176, B$1:B1176&lt;&gt;""""),COUNTA(FILTER(B$1:B1176, B$1:B1176&lt;&gt;""""))))-1), IF('To Order'!$A1177=COL"&amp;"UMNS($A1177:B1196), B1176&amp;RIGHT(INDIRECT(ADDRESS(ROW(B1177)-1, 'From Order'!$A1177)), 1), B1176))"),"ZLPDS")</f>
        <v>ZLPDS</v>
      </c>
      <c r="C1177" s="2" t="str">
        <f>IFERROR(__xludf.DUMMYFUNCTION("IF('From Order'!$A1177=COLUMNS($A1177:C1196), LEFT(INDEX(FILTER(C$1:C1176, C$1:C1176&lt;&gt;""""),COUNTA(FILTER(C$1:C1176, C$1:C1176&lt;&gt;""""))), LEN(INDEX(FILTER(C$1:C1176, C$1:C1176&lt;&gt;""""),COUNTA(FILTER(C$1:C1176, C$1:C1176&lt;&gt;""""))))-1), IF('To Order'!$A1177=COL"&amp;"UMNS($A1177:C1196), C1176&amp;RIGHT(INDIRECT(ADDRESS(ROW(C1177)-1, 'From Order'!$A1177)), 1), C1176))"),"TRLRSGHWQVQJPPLDTDTWRMTC")</f>
        <v>TRLRSGHWQVQJPPLDTDTWRMTC</v>
      </c>
      <c r="D1177" s="2" t="str">
        <f>IFERROR(__xludf.DUMMYFUNCTION("IF('From Order'!$A1177=COLUMNS($A1177:D1196), LEFT(INDEX(FILTER(D$1:D1176, D$1:D1176&lt;&gt;""""),COUNTA(FILTER(D$1:D1176, D$1:D1176&lt;&gt;""""))), LEN(INDEX(FILTER(D$1:D1176, D$1:D1176&lt;&gt;""""),COUNTA(FILTER(D$1:D1176, D$1:D1176&lt;&gt;""""))))-1), IF('To Order'!$A1177=COL"&amp;"UMNS($A1177:D1196), D1176&amp;RIGHT(INDIRECT(ADDRESS(ROW(D1177)-1, 'From Order'!$A1177)), 1), D1176))"),"GM")</f>
        <v>GM</v>
      </c>
      <c r="E1177" s="2" t="str">
        <f>IFERROR(__xludf.DUMMYFUNCTION("IF('From Order'!$A1177=COLUMNS($A1177:E1196), LEFT(INDEX(FILTER(E$1:E1176, E$1:E1176&lt;&gt;""""),COUNTA(FILTER(E$1:E1176, E$1:E1176&lt;&gt;""""))), LEN(INDEX(FILTER(E$1:E1176, E$1:E1176&lt;&gt;""""),COUNTA(FILTER(E$1:E1176, E$1:E1176&lt;&gt;""""))))-1), IF('To Order'!$A1177=COL"&amp;"UMNS($A1177:E1196), E1176&amp;RIGHT(INDIRECT(ADDRESS(ROW(E1177)-1, 'From Order'!$A1177)), 1), E1176))"),"")</f>
        <v/>
      </c>
      <c r="F1177" s="2" t="str">
        <f>IFERROR(__xludf.DUMMYFUNCTION("IF('From Order'!$A1177=COLUMNS($A1177:F1196), LEFT(INDEX(FILTER(F$1:F1176, F$1:F1176&lt;&gt;""""),COUNTA(FILTER(F$1:F1176, F$1:F1176&lt;&gt;""""))), LEN(INDEX(FILTER(F$1:F1176, F$1:F1176&lt;&gt;""""),COUNTA(FILTER(F$1:F1176, F$1:F1176&lt;&gt;""""))))-1), IF('To Order'!$A1177=COL"&amp;"UMNS($A1177:F1196), F1176&amp;RIGHT(INDIRECT(ADDRESS(ROW(F1177)-1, 'From Order'!$A1177)), 1), F1176))"),"")</f>
        <v/>
      </c>
      <c r="G1177" s="2" t="str">
        <f>IFERROR(__xludf.DUMMYFUNCTION("IF('From Order'!$A1177=COLUMNS($A1177:G1196), LEFT(INDEX(FILTER(G$1:G1176, G$1:G1176&lt;&gt;""""),COUNTA(FILTER(G$1:G1176, G$1:G1176&lt;&gt;""""))), LEN(INDEX(FILTER(G$1:G1176, G$1:G1176&lt;&gt;""""),COUNTA(FILTER(G$1:G1176, G$1:G1176&lt;&gt;""""))))-1), IF('To Order'!$A1177=COL"&amp;"UMNS($A1177:G1196), G1176&amp;RIGHT(INDIRECT(ADDRESS(ROW(G1177)-1, 'From Order'!$A1177)), 1), G1176))"),"BVST")</f>
        <v>BVST</v>
      </c>
      <c r="H1177" s="2" t="str">
        <f>IFERROR(__xludf.DUMMYFUNCTION("IF('From Order'!$A1177=COLUMNS($A1177:H1196), LEFT(INDEX(FILTER(H$1:H1176, H$1:H1176&lt;&gt;""""),COUNTA(FILTER(H$1:H1176, H$1:H1176&lt;&gt;""""))), LEN(INDEX(FILTER(H$1:H1176, H$1:H1176&lt;&gt;""""),COUNTA(FILTER(H$1:H1176, H$1:H1176&lt;&gt;""""))))-1), IF('To Order'!$A1177=COL"&amp;"UMNS($A1177:H1196), H1176&amp;RIGHT(INDIRECT(ADDRESS(ROW(H1177)-1, 'From Order'!$A1177)), 1), H1176))"),"")</f>
        <v/>
      </c>
      <c r="I1177" s="2" t="str">
        <f>IFERROR(__xludf.DUMMYFUNCTION("IF('From Order'!$A1177=COLUMNS($A1177:I1196), LEFT(INDEX(FILTER(I$1:I1176, I$1:I1176&lt;&gt;""""),COUNTA(FILTER(I$1:I1176, I$1:I1176&lt;&gt;""""))), LEN(INDEX(FILTER(I$1:I1176, I$1:I1176&lt;&gt;""""),COUNTA(FILTER(I$1:I1176, I$1:I1176&lt;&gt;""""))))-1), IF('To Order'!$A1177=COL"&amp;"UMNS($A1177:I1196), I1176&amp;RIGHT(INDIRECT(ADDRESS(ROW(I1177)-1, 'From Order'!$A1177)), 1), I1176))"),"FV")</f>
        <v>FV</v>
      </c>
    </row>
    <row r="1178">
      <c r="A1178" s="2" t="str">
        <f>IFERROR(__xludf.DUMMYFUNCTION("IF('From Order'!$A1178=COLUMNS($A1178:A1197), LEFT(INDEX(FILTER(A$1:A1177, A$1:A1177&lt;&gt;""""),COUNTA(FILTER(A$1:A1177, A$1:A1177&lt;&gt;""""))), LEN(INDEX(FILTER(A$1:A1177, A$1:A1177&lt;&gt;""""),COUNTA(FILTER(A$1:A1177, A$1:A1177&lt;&gt;""""))))-1), IF('To Order'!$A1178=COL"&amp;"UMNS($A1178:A1197), A1177&amp;RIGHT(INDIRECT(ADDRESS(ROW(A1178)-1, 'From Order'!$A1178)), 1), A1177))"),"HZBSBDJDMFBTJCZRDCRC")</f>
        <v>HZBSBDJDMFBTJCZRDCRC</v>
      </c>
      <c r="B1178" s="2" t="str">
        <f>IFERROR(__xludf.DUMMYFUNCTION("IF('From Order'!$A1178=COLUMNS($A1178:B1197), LEFT(INDEX(FILTER(B$1:B1177, B$1:B1177&lt;&gt;""""),COUNTA(FILTER(B$1:B1177, B$1:B1177&lt;&gt;""""))), LEN(INDEX(FILTER(B$1:B1177, B$1:B1177&lt;&gt;""""),COUNTA(FILTER(B$1:B1177, B$1:B1177&lt;&gt;""""))))-1), IF('To Order'!$A1178=COL"&amp;"UMNS($A1178:B1197), B1177&amp;RIGHT(INDIRECT(ADDRESS(ROW(B1178)-1, 'From Order'!$A1178)), 1), B1177))"),"ZLPDS")</f>
        <v>ZLPDS</v>
      </c>
      <c r="C1178" s="2" t="str">
        <f>IFERROR(__xludf.DUMMYFUNCTION("IF('From Order'!$A1178=COLUMNS($A1178:C1197), LEFT(INDEX(FILTER(C$1:C1177, C$1:C1177&lt;&gt;""""),COUNTA(FILTER(C$1:C1177, C$1:C1177&lt;&gt;""""))), LEN(INDEX(FILTER(C$1:C1177, C$1:C1177&lt;&gt;""""),COUNTA(FILTER(C$1:C1177, C$1:C1177&lt;&gt;""""))))-1), IF('To Order'!$A1178=COL"&amp;"UMNS($A1178:C1197), C1177&amp;RIGHT(INDIRECT(ADDRESS(ROW(C1178)-1, 'From Order'!$A1178)), 1), C1177))"),"TRLRSGHWQVQJPPLDTDTWRMT")</f>
        <v>TRLRSGHWQVQJPPLDTDTWRMT</v>
      </c>
      <c r="D1178" s="2" t="str">
        <f>IFERROR(__xludf.DUMMYFUNCTION("IF('From Order'!$A1178=COLUMNS($A1178:D1197), LEFT(INDEX(FILTER(D$1:D1177, D$1:D1177&lt;&gt;""""),COUNTA(FILTER(D$1:D1177, D$1:D1177&lt;&gt;""""))), LEN(INDEX(FILTER(D$1:D1177, D$1:D1177&lt;&gt;""""),COUNTA(FILTER(D$1:D1177, D$1:D1177&lt;&gt;""""))))-1), IF('To Order'!$A1178=COL"&amp;"UMNS($A1178:D1197), D1177&amp;RIGHT(INDIRECT(ADDRESS(ROW(D1178)-1, 'From Order'!$A1178)), 1), D1177))"),"GM")</f>
        <v>GM</v>
      </c>
      <c r="E1178" s="2" t="str">
        <f>IFERROR(__xludf.DUMMYFUNCTION("IF('From Order'!$A1178=COLUMNS($A1178:E1197), LEFT(INDEX(FILTER(E$1:E1177, E$1:E1177&lt;&gt;""""),COUNTA(FILTER(E$1:E1177, E$1:E1177&lt;&gt;""""))), LEN(INDEX(FILTER(E$1:E1177, E$1:E1177&lt;&gt;""""),COUNTA(FILTER(E$1:E1177, E$1:E1177&lt;&gt;""""))))-1), IF('To Order'!$A1178=COL"&amp;"UMNS($A1178:E1197), E1177&amp;RIGHT(INDIRECT(ADDRESS(ROW(E1178)-1, 'From Order'!$A1178)), 1), E1177))"),"")</f>
        <v/>
      </c>
      <c r="F1178" s="2" t="str">
        <f>IFERROR(__xludf.DUMMYFUNCTION("IF('From Order'!$A1178=COLUMNS($A1178:F1197), LEFT(INDEX(FILTER(F$1:F1177, F$1:F1177&lt;&gt;""""),COUNTA(FILTER(F$1:F1177, F$1:F1177&lt;&gt;""""))), LEN(INDEX(FILTER(F$1:F1177, F$1:F1177&lt;&gt;""""),COUNTA(FILTER(F$1:F1177, F$1:F1177&lt;&gt;""""))))-1), IF('To Order'!$A1178=COL"&amp;"UMNS($A1178:F1197), F1177&amp;RIGHT(INDIRECT(ADDRESS(ROW(F1178)-1, 'From Order'!$A1178)), 1), F1177))"),"")</f>
        <v/>
      </c>
      <c r="G1178" s="2" t="str">
        <f>IFERROR(__xludf.DUMMYFUNCTION("IF('From Order'!$A1178=COLUMNS($A1178:G1197), LEFT(INDEX(FILTER(G$1:G1177, G$1:G1177&lt;&gt;""""),COUNTA(FILTER(G$1:G1177, G$1:G1177&lt;&gt;""""))), LEN(INDEX(FILTER(G$1:G1177, G$1:G1177&lt;&gt;""""),COUNTA(FILTER(G$1:G1177, G$1:G1177&lt;&gt;""""))))-1), IF('To Order'!$A1178=COL"&amp;"UMNS($A1178:G1197), G1177&amp;RIGHT(INDIRECT(ADDRESS(ROW(G1178)-1, 'From Order'!$A1178)), 1), G1177))"),"BVST")</f>
        <v>BVST</v>
      </c>
      <c r="H1178" s="2" t="str">
        <f>IFERROR(__xludf.DUMMYFUNCTION("IF('From Order'!$A1178=COLUMNS($A1178:H1197), LEFT(INDEX(FILTER(H$1:H1177, H$1:H1177&lt;&gt;""""),COUNTA(FILTER(H$1:H1177, H$1:H1177&lt;&gt;""""))), LEN(INDEX(FILTER(H$1:H1177, H$1:H1177&lt;&gt;""""),COUNTA(FILTER(H$1:H1177, H$1:H1177&lt;&gt;""""))))-1), IF('To Order'!$A1178=COL"&amp;"UMNS($A1178:H1197), H1177&amp;RIGHT(INDIRECT(ADDRESS(ROW(H1178)-1, 'From Order'!$A1178)), 1), H1177))"),"")</f>
        <v/>
      </c>
      <c r="I1178" s="2" t="str">
        <f>IFERROR(__xludf.DUMMYFUNCTION("IF('From Order'!$A1178=COLUMNS($A1178:I1197), LEFT(INDEX(FILTER(I$1:I1177, I$1:I1177&lt;&gt;""""),COUNTA(FILTER(I$1:I1177, I$1:I1177&lt;&gt;""""))), LEN(INDEX(FILTER(I$1:I1177, I$1:I1177&lt;&gt;""""),COUNTA(FILTER(I$1:I1177, I$1:I1177&lt;&gt;""""))))-1), IF('To Order'!$A1178=COL"&amp;"UMNS($A1178:I1197), I1177&amp;RIGHT(INDIRECT(ADDRESS(ROW(I1178)-1, 'From Order'!$A1178)), 1), I1177))"),"FV")</f>
        <v>FV</v>
      </c>
    </row>
    <row r="1179">
      <c r="A1179" s="2" t="str">
        <f>IFERROR(__xludf.DUMMYFUNCTION("IF('From Order'!$A1179=COLUMNS($A1179:A1198), LEFT(INDEX(FILTER(A$1:A1178, A$1:A1178&lt;&gt;""""),COUNTA(FILTER(A$1:A1178, A$1:A1178&lt;&gt;""""))), LEN(INDEX(FILTER(A$1:A1178, A$1:A1178&lt;&gt;""""),COUNTA(FILTER(A$1:A1178, A$1:A1178&lt;&gt;""""))))-1), IF('To Order'!$A1179=COL"&amp;"UMNS($A1179:A1198), A1178&amp;RIGHT(INDIRECT(ADDRESS(ROW(A1179)-1, 'From Order'!$A1179)), 1), A1178))"),"HZBSBDJDMFBTJCZRDCRCT")</f>
        <v>HZBSBDJDMFBTJCZRDCRCT</v>
      </c>
      <c r="B1179" s="2" t="str">
        <f>IFERROR(__xludf.DUMMYFUNCTION("IF('From Order'!$A1179=COLUMNS($A1179:B1198), LEFT(INDEX(FILTER(B$1:B1178, B$1:B1178&lt;&gt;""""),COUNTA(FILTER(B$1:B1178, B$1:B1178&lt;&gt;""""))), LEN(INDEX(FILTER(B$1:B1178, B$1:B1178&lt;&gt;""""),COUNTA(FILTER(B$1:B1178, B$1:B1178&lt;&gt;""""))))-1), IF('To Order'!$A1179=COL"&amp;"UMNS($A1179:B1198), B1178&amp;RIGHT(INDIRECT(ADDRESS(ROW(B1179)-1, 'From Order'!$A1179)), 1), B1178))"),"ZLPDS")</f>
        <v>ZLPDS</v>
      </c>
      <c r="C1179" s="2" t="str">
        <f>IFERROR(__xludf.DUMMYFUNCTION("IF('From Order'!$A1179=COLUMNS($A1179:C1198), LEFT(INDEX(FILTER(C$1:C1178, C$1:C1178&lt;&gt;""""),COUNTA(FILTER(C$1:C1178, C$1:C1178&lt;&gt;""""))), LEN(INDEX(FILTER(C$1:C1178, C$1:C1178&lt;&gt;""""),COUNTA(FILTER(C$1:C1178, C$1:C1178&lt;&gt;""""))))-1), IF('To Order'!$A1179=COL"&amp;"UMNS($A1179:C1198), C1178&amp;RIGHT(INDIRECT(ADDRESS(ROW(C1179)-1, 'From Order'!$A1179)), 1), C1178))"),"TRLRSGHWQVQJPPLDTDTWRM")</f>
        <v>TRLRSGHWQVQJPPLDTDTWRM</v>
      </c>
      <c r="D1179" s="2" t="str">
        <f>IFERROR(__xludf.DUMMYFUNCTION("IF('From Order'!$A1179=COLUMNS($A1179:D1198), LEFT(INDEX(FILTER(D$1:D1178, D$1:D1178&lt;&gt;""""),COUNTA(FILTER(D$1:D1178, D$1:D1178&lt;&gt;""""))), LEN(INDEX(FILTER(D$1:D1178, D$1:D1178&lt;&gt;""""),COUNTA(FILTER(D$1:D1178, D$1:D1178&lt;&gt;""""))))-1), IF('To Order'!$A1179=COL"&amp;"UMNS($A1179:D1198), D1178&amp;RIGHT(INDIRECT(ADDRESS(ROW(D1179)-1, 'From Order'!$A1179)), 1), D1178))"),"GM")</f>
        <v>GM</v>
      </c>
      <c r="E1179" s="2" t="str">
        <f>IFERROR(__xludf.DUMMYFUNCTION("IF('From Order'!$A1179=COLUMNS($A1179:E1198), LEFT(INDEX(FILTER(E$1:E1178, E$1:E1178&lt;&gt;""""),COUNTA(FILTER(E$1:E1178, E$1:E1178&lt;&gt;""""))), LEN(INDEX(FILTER(E$1:E1178, E$1:E1178&lt;&gt;""""),COUNTA(FILTER(E$1:E1178, E$1:E1178&lt;&gt;""""))))-1), IF('To Order'!$A1179=COL"&amp;"UMNS($A1179:E1198), E1178&amp;RIGHT(INDIRECT(ADDRESS(ROW(E1179)-1, 'From Order'!$A1179)), 1), E1178))"),"")</f>
        <v/>
      </c>
      <c r="F1179" s="2" t="str">
        <f>IFERROR(__xludf.DUMMYFUNCTION("IF('From Order'!$A1179=COLUMNS($A1179:F1198), LEFT(INDEX(FILTER(F$1:F1178, F$1:F1178&lt;&gt;""""),COUNTA(FILTER(F$1:F1178, F$1:F1178&lt;&gt;""""))), LEN(INDEX(FILTER(F$1:F1178, F$1:F1178&lt;&gt;""""),COUNTA(FILTER(F$1:F1178, F$1:F1178&lt;&gt;""""))))-1), IF('To Order'!$A1179=COL"&amp;"UMNS($A1179:F1198), F1178&amp;RIGHT(INDIRECT(ADDRESS(ROW(F1179)-1, 'From Order'!$A1179)), 1), F1178))"),"")</f>
        <v/>
      </c>
      <c r="G1179" s="2" t="str">
        <f>IFERROR(__xludf.DUMMYFUNCTION("IF('From Order'!$A1179=COLUMNS($A1179:G1198), LEFT(INDEX(FILTER(G$1:G1178, G$1:G1178&lt;&gt;""""),COUNTA(FILTER(G$1:G1178, G$1:G1178&lt;&gt;""""))), LEN(INDEX(FILTER(G$1:G1178, G$1:G1178&lt;&gt;""""),COUNTA(FILTER(G$1:G1178, G$1:G1178&lt;&gt;""""))))-1), IF('To Order'!$A1179=COL"&amp;"UMNS($A1179:G1198), G1178&amp;RIGHT(INDIRECT(ADDRESS(ROW(G1179)-1, 'From Order'!$A1179)), 1), G1178))"),"BVST")</f>
        <v>BVST</v>
      </c>
      <c r="H1179" s="2" t="str">
        <f>IFERROR(__xludf.DUMMYFUNCTION("IF('From Order'!$A1179=COLUMNS($A1179:H1198), LEFT(INDEX(FILTER(H$1:H1178, H$1:H1178&lt;&gt;""""),COUNTA(FILTER(H$1:H1178, H$1:H1178&lt;&gt;""""))), LEN(INDEX(FILTER(H$1:H1178, H$1:H1178&lt;&gt;""""),COUNTA(FILTER(H$1:H1178, H$1:H1178&lt;&gt;""""))))-1), IF('To Order'!$A1179=COL"&amp;"UMNS($A1179:H1198), H1178&amp;RIGHT(INDIRECT(ADDRESS(ROW(H1179)-1, 'From Order'!$A1179)), 1), H1178))"),"")</f>
        <v/>
      </c>
      <c r="I1179" s="2" t="str">
        <f>IFERROR(__xludf.DUMMYFUNCTION("IF('From Order'!$A1179=COLUMNS($A1179:I1198), LEFT(INDEX(FILTER(I$1:I1178, I$1:I1178&lt;&gt;""""),COUNTA(FILTER(I$1:I1178, I$1:I1178&lt;&gt;""""))), LEN(INDEX(FILTER(I$1:I1178, I$1:I1178&lt;&gt;""""),COUNTA(FILTER(I$1:I1178, I$1:I1178&lt;&gt;""""))))-1), IF('To Order'!$A1179=COL"&amp;"UMNS($A1179:I1198), I1178&amp;RIGHT(INDIRECT(ADDRESS(ROW(I1179)-1, 'From Order'!$A1179)), 1), I1178))"),"FV")</f>
        <v>FV</v>
      </c>
    </row>
    <row r="1180">
      <c r="A1180" s="2" t="str">
        <f>IFERROR(__xludf.DUMMYFUNCTION("IF('From Order'!$A1180=COLUMNS($A1180:A1199), LEFT(INDEX(FILTER(A$1:A1179, A$1:A1179&lt;&gt;""""),COUNTA(FILTER(A$1:A1179, A$1:A1179&lt;&gt;""""))), LEN(INDEX(FILTER(A$1:A1179, A$1:A1179&lt;&gt;""""),COUNTA(FILTER(A$1:A1179, A$1:A1179&lt;&gt;""""))))-1), IF('To Order'!$A1180=COL"&amp;"UMNS($A1180:A1199), A1179&amp;RIGHT(INDIRECT(ADDRESS(ROW(A1180)-1, 'From Order'!$A1180)), 1), A1179))"),"HZBSBDJDMFBTJCZRDCRCTM")</f>
        <v>HZBSBDJDMFBTJCZRDCRCTM</v>
      </c>
      <c r="B1180" s="2" t="str">
        <f>IFERROR(__xludf.DUMMYFUNCTION("IF('From Order'!$A1180=COLUMNS($A1180:B1199), LEFT(INDEX(FILTER(B$1:B1179, B$1:B1179&lt;&gt;""""),COUNTA(FILTER(B$1:B1179, B$1:B1179&lt;&gt;""""))), LEN(INDEX(FILTER(B$1:B1179, B$1:B1179&lt;&gt;""""),COUNTA(FILTER(B$1:B1179, B$1:B1179&lt;&gt;""""))))-1), IF('To Order'!$A1180=COL"&amp;"UMNS($A1180:B1199), B1179&amp;RIGHT(INDIRECT(ADDRESS(ROW(B1180)-1, 'From Order'!$A1180)), 1), B1179))"),"ZLPDS")</f>
        <v>ZLPDS</v>
      </c>
      <c r="C1180" s="2" t="str">
        <f>IFERROR(__xludf.DUMMYFUNCTION("IF('From Order'!$A1180=COLUMNS($A1180:C1199), LEFT(INDEX(FILTER(C$1:C1179, C$1:C1179&lt;&gt;""""),COUNTA(FILTER(C$1:C1179, C$1:C1179&lt;&gt;""""))), LEN(INDEX(FILTER(C$1:C1179, C$1:C1179&lt;&gt;""""),COUNTA(FILTER(C$1:C1179, C$1:C1179&lt;&gt;""""))))-1), IF('To Order'!$A1180=COL"&amp;"UMNS($A1180:C1199), C1179&amp;RIGHT(INDIRECT(ADDRESS(ROW(C1180)-1, 'From Order'!$A1180)), 1), C1179))"),"TRLRSGHWQVQJPPLDTDTWR")</f>
        <v>TRLRSGHWQVQJPPLDTDTWR</v>
      </c>
      <c r="D1180" s="2" t="str">
        <f>IFERROR(__xludf.DUMMYFUNCTION("IF('From Order'!$A1180=COLUMNS($A1180:D1199), LEFT(INDEX(FILTER(D$1:D1179, D$1:D1179&lt;&gt;""""),COUNTA(FILTER(D$1:D1179, D$1:D1179&lt;&gt;""""))), LEN(INDEX(FILTER(D$1:D1179, D$1:D1179&lt;&gt;""""),COUNTA(FILTER(D$1:D1179, D$1:D1179&lt;&gt;""""))))-1), IF('To Order'!$A1180=COL"&amp;"UMNS($A1180:D1199), D1179&amp;RIGHT(INDIRECT(ADDRESS(ROW(D1180)-1, 'From Order'!$A1180)), 1), D1179))"),"GM")</f>
        <v>GM</v>
      </c>
      <c r="E1180" s="2" t="str">
        <f>IFERROR(__xludf.DUMMYFUNCTION("IF('From Order'!$A1180=COLUMNS($A1180:E1199), LEFT(INDEX(FILTER(E$1:E1179, E$1:E1179&lt;&gt;""""),COUNTA(FILTER(E$1:E1179, E$1:E1179&lt;&gt;""""))), LEN(INDEX(FILTER(E$1:E1179, E$1:E1179&lt;&gt;""""),COUNTA(FILTER(E$1:E1179, E$1:E1179&lt;&gt;""""))))-1), IF('To Order'!$A1180=COL"&amp;"UMNS($A1180:E1199), E1179&amp;RIGHT(INDIRECT(ADDRESS(ROW(E1180)-1, 'From Order'!$A1180)), 1), E1179))"),"")</f>
        <v/>
      </c>
      <c r="F1180" s="2" t="str">
        <f>IFERROR(__xludf.DUMMYFUNCTION("IF('From Order'!$A1180=COLUMNS($A1180:F1199), LEFT(INDEX(FILTER(F$1:F1179, F$1:F1179&lt;&gt;""""),COUNTA(FILTER(F$1:F1179, F$1:F1179&lt;&gt;""""))), LEN(INDEX(FILTER(F$1:F1179, F$1:F1179&lt;&gt;""""),COUNTA(FILTER(F$1:F1179, F$1:F1179&lt;&gt;""""))))-1), IF('To Order'!$A1180=COL"&amp;"UMNS($A1180:F1199), F1179&amp;RIGHT(INDIRECT(ADDRESS(ROW(F1180)-1, 'From Order'!$A1180)), 1), F1179))"),"")</f>
        <v/>
      </c>
      <c r="G1180" s="2" t="str">
        <f>IFERROR(__xludf.DUMMYFUNCTION("IF('From Order'!$A1180=COLUMNS($A1180:G1199), LEFT(INDEX(FILTER(G$1:G1179, G$1:G1179&lt;&gt;""""),COUNTA(FILTER(G$1:G1179, G$1:G1179&lt;&gt;""""))), LEN(INDEX(FILTER(G$1:G1179, G$1:G1179&lt;&gt;""""),COUNTA(FILTER(G$1:G1179, G$1:G1179&lt;&gt;""""))))-1), IF('To Order'!$A1180=COL"&amp;"UMNS($A1180:G1199), G1179&amp;RIGHT(INDIRECT(ADDRESS(ROW(G1180)-1, 'From Order'!$A1180)), 1), G1179))"),"BVST")</f>
        <v>BVST</v>
      </c>
      <c r="H1180" s="2" t="str">
        <f>IFERROR(__xludf.DUMMYFUNCTION("IF('From Order'!$A1180=COLUMNS($A1180:H1199), LEFT(INDEX(FILTER(H$1:H1179, H$1:H1179&lt;&gt;""""),COUNTA(FILTER(H$1:H1179, H$1:H1179&lt;&gt;""""))), LEN(INDEX(FILTER(H$1:H1179, H$1:H1179&lt;&gt;""""),COUNTA(FILTER(H$1:H1179, H$1:H1179&lt;&gt;""""))))-1), IF('To Order'!$A1180=COL"&amp;"UMNS($A1180:H1199), H1179&amp;RIGHT(INDIRECT(ADDRESS(ROW(H1180)-1, 'From Order'!$A1180)), 1), H1179))"),"")</f>
        <v/>
      </c>
      <c r="I1180" s="2" t="str">
        <f>IFERROR(__xludf.DUMMYFUNCTION("IF('From Order'!$A1180=COLUMNS($A1180:I1199), LEFT(INDEX(FILTER(I$1:I1179, I$1:I1179&lt;&gt;""""),COUNTA(FILTER(I$1:I1179, I$1:I1179&lt;&gt;""""))), LEN(INDEX(FILTER(I$1:I1179, I$1:I1179&lt;&gt;""""),COUNTA(FILTER(I$1:I1179, I$1:I1179&lt;&gt;""""))))-1), IF('To Order'!$A1180=COL"&amp;"UMNS($A1180:I1199), I1179&amp;RIGHT(INDIRECT(ADDRESS(ROW(I1180)-1, 'From Order'!$A1180)), 1), I1179))"),"FV")</f>
        <v>FV</v>
      </c>
    </row>
    <row r="1181">
      <c r="A1181" s="2" t="str">
        <f>IFERROR(__xludf.DUMMYFUNCTION("IF('From Order'!$A1181=COLUMNS($A1181:A1200), LEFT(INDEX(FILTER(A$1:A1180, A$1:A1180&lt;&gt;""""),COUNTA(FILTER(A$1:A1180, A$1:A1180&lt;&gt;""""))), LEN(INDEX(FILTER(A$1:A1180, A$1:A1180&lt;&gt;""""),COUNTA(FILTER(A$1:A1180, A$1:A1180&lt;&gt;""""))))-1), IF('To Order'!$A1181=COL"&amp;"UMNS($A1181:A1200), A1180&amp;RIGHT(INDIRECT(ADDRESS(ROW(A1181)-1, 'From Order'!$A1181)), 1), A1180))"),"HZBSBDJDMFBTJCZRDCRCTMR")</f>
        <v>HZBSBDJDMFBTJCZRDCRCTMR</v>
      </c>
      <c r="B1181" s="2" t="str">
        <f>IFERROR(__xludf.DUMMYFUNCTION("IF('From Order'!$A1181=COLUMNS($A1181:B1200), LEFT(INDEX(FILTER(B$1:B1180, B$1:B1180&lt;&gt;""""),COUNTA(FILTER(B$1:B1180, B$1:B1180&lt;&gt;""""))), LEN(INDEX(FILTER(B$1:B1180, B$1:B1180&lt;&gt;""""),COUNTA(FILTER(B$1:B1180, B$1:B1180&lt;&gt;""""))))-1), IF('To Order'!$A1181=COL"&amp;"UMNS($A1181:B1200), B1180&amp;RIGHT(INDIRECT(ADDRESS(ROW(B1181)-1, 'From Order'!$A1181)), 1), B1180))"),"ZLPDS")</f>
        <v>ZLPDS</v>
      </c>
      <c r="C1181" s="2" t="str">
        <f>IFERROR(__xludf.DUMMYFUNCTION("IF('From Order'!$A1181=COLUMNS($A1181:C1200), LEFT(INDEX(FILTER(C$1:C1180, C$1:C1180&lt;&gt;""""),COUNTA(FILTER(C$1:C1180, C$1:C1180&lt;&gt;""""))), LEN(INDEX(FILTER(C$1:C1180, C$1:C1180&lt;&gt;""""),COUNTA(FILTER(C$1:C1180, C$1:C1180&lt;&gt;""""))))-1), IF('To Order'!$A1181=COL"&amp;"UMNS($A1181:C1200), C1180&amp;RIGHT(INDIRECT(ADDRESS(ROW(C1181)-1, 'From Order'!$A1181)), 1), C1180))"),"TRLRSGHWQVQJPPLDTDTW")</f>
        <v>TRLRSGHWQVQJPPLDTDTW</v>
      </c>
      <c r="D1181" s="2" t="str">
        <f>IFERROR(__xludf.DUMMYFUNCTION("IF('From Order'!$A1181=COLUMNS($A1181:D1200), LEFT(INDEX(FILTER(D$1:D1180, D$1:D1180&lt;&gt;""""),COUNTA(FILTER(D$1:D1180, D$1:D1180&lt;&gt;""""))), LEN(INDEX(FILTER(D$1:D1180, D$1:D1180&lt;&gt;""""),COUNTA(FILTER(D$1:D1180, D$1:D1180&lt;&gt;""""))))-1), IF('To Order'!$A1181=COL"&amp;"UMNS($A1181:D1200), D1180&amp;RIGHT(INDIRECT(ADDRESS(ROW(D1181)-1, 'From Order'!$A1181)), 1), D1180))"),"GM")</f>
        <v>GM</v>
      </c>
      <c r="E1181" s="2" t="str">
        <f>IFERROR(__xludf.DUMMYFUNCTION("IF('From Order'!$A1181=COLUMNS($A1181:E1200), LEFT(INDEX(FILTER(E$1:E1180, E$1:E1180&lt;&gt;""""),COUNTA(FILTER(E$1:E1180, E$1:E1180&lt;&gt;""""))), LEN(INDEX(FILTER(E$1:E1180, E$1:E1180&lt;&gt;""""),COUNTA(FILTER(E$1:E1180, E$1:E1180&lt;&gt;""""))))-1), IF('To Order'!$A1181=COL"&amp;"UMNS($A1181:E1200), E1180&amp;RIGHT(INDIRECT(ADDRESS(ROW(E1181)-1, 'From Order'!$A1181)), 1), E1180))"),"")</f>
        <v/>
      </c>
      <c r="F1181" s="2" t="str">
        <f>IFERROR(__xludf.DUMMYFUNCTION("IF('From Order'!$A1181=COLUMNS($A1181:F1200), LEFT(INDEX(FILTER(F$1:F1180, F$1:F1180&lt;&gt;""""),COUNTA(FILTER(F$1:F1180, F$1:F1180&lt;&gt;""""))), LEN(INDEX(FILTER(F$1:F1180, F$1:F1180&lt;&gt;""""),COUNTA(FILTER(F$1:F1180, F$1:F1180&lt;&gt;""""))))-1), IF('To Order'!$A1181=COL"&amp;"UMNS($A1181:F1200), F1180&amp;RIGHT(INDIRECT(ADDRESS(ROW(F1181)-1, 'From Order'!$A1181)), 1), F1180))"),"")</f>
        <v/>
      </c>
      <c r="G1181" s="2" t="str">
        <f>IFERROR(__xludf.DUMMYFUNCTION("IF('From Order'!$A1181=COLUMNS($A1181:G1200), LEFT(INDEX(FILTER(G$1:G1180, G$1:G1180&lt;&gt;""""),COUNTA(FILTER(G$1:G1180, G$1:G1180&lt;&gt;""""))), LEN(INDEX(FILTER(G$1:G1180, G$1:G1180&lt;&gt;""""),COUNTA(FILTER(G$1:G1180, G$1:G1180&lt;&gt;""""))))-1), IF('To Order'!$A1181=COL"&amp;"UMNS($A1181:G1200), G1180&amp;RIGHT(INDIRECT(ADDRESS(ROW(G1181)-1, 'From Order'!$A1181)), 1), G1180))"),"BVST")</f>
        <v>BVST</v>
      </c>
      <c r="H1181" s="2" t="str">
        <f>IFERROR(__xludf.DUMMYFUNCTION("IF('From Order'!$A1181=COLUMNS($A1181:H1200), LEFT(INDEX(FILTER(H$1:H1180, H$1:H1180&lt;&gt;""""),COUNTA(FILTER(H$1:H1180, H$1:H1180&lt;&gt;""""))), LEN(INDEX(FILTER(H$1:H1180, H$1:H1180&lt;&gt;""""),COUNTA(FILTER(H$1:H1180, H$1:H1180&lt;&gt;""""))))-1), IF('To Order'!$A1181=COL"&amp;"UMNS($A1181:H1200), H1180&amp;RIGHT(INDIRECT(ADDRESS(ROW(H1181)-1, 'From Order'!$A1181)), 1), H1180))"),"")</f>
        <v/>
      </c>
      <c r="I1181" s="2" t="str">
        <f>IFERROR(__xludf.DUMMYFUNCTION("IF('From Order'!$A1181=COLUMNS($A1181:I1200), LEFT(INDEX(FILTER(I$1:I1180, I$1:I1180&lt;&gt;""""),COUNTA(FILTER(I$1:I1180, I$1:I1180&lt;&gt;""""))), LEN(INDEX(FILTER(I$1:I1180, I$1:I1180&lt;&gt;""""),COUNTA(FILTER(I$1:I1180, I$1:I1180&lt;&gt;""""))))-1), IF('To Order'!$A1181=COL"&amp;"UMNS($A1181:I1200), I1180&amp;RIGHT(INDIRECT(ADDRESS(ROW(I1181)-1, 'From Order'!$A1181)), 1), I1180))"),"FV")</f>
        <v>FV</v>
      </c>
    </row>
    <row r="1182">
      <c r="A1182" s="2" t="str">
        <f>IFERROR(__xludf.DUMMYFUNCTION("IF('From Order'!$A1182=COLUMNS($A1182:A1201), LEFT(INDEX(FILTER(A$1:A1181, A$1:A1181&lt;&gt;""""),COUNTA(FILTER(A$1:A1181, A$1:A1181&lt;&gt;""""))), LEN(INDEX(FILTER(A$1:A1181, A$1:A1181&lt;&gt;""""),COUNTA(FILTER(A$1:A1181, A$1:A1181&lt;&gt;""""))))-1), IF('To Order'!$A1182=COL"&amp;"UMNS($A1182:A1201), A1181&amp;RIGHT(INDIRECT(ADDRESS(ROW(A1182)-1, 'From Order'!$A1182)), 1), A1181))"),"HZBSBDJDMFBTJCZRDCRCTMRW")</f>
        <v>HZBSBDJDMFBTJCZRDCRCTMRW</v>
      </c>
      <c r="B1182" s="2" t="str">
        <f>IFERROR(__xludf.DUMMYFUNCTION("IF('From Order'!$A1182=COLUMNS($A1182:B1201), LEFT(INDEX(FILTER(B$1:B1181, B$1:B1181&lt;&gt;""""),COUNTA(FILTER(B$1:B1181, B$1:B1181&lt;&gt;""""))), LEN(INDEX(FILTER(B$1:B1181, B$1:B1181&lt;&gt;""""),COUNTA(FILTER(B$1:B1181, B$1:B1181&lt;&gt;""""))))-1), IF('To Order'!$A1182=COL"&amp;"UMNS($A1182:B1201), B1181&amp;RIGHT(INDIRECT(ADDRESS(ROW(B1182)-1, 'From Order'!$A1182)), 1), B1181))"),"ZLPDS")</f>
        <v>ZLPDS</v>
      </c>
      <c r="C1182" s="2" t="str">
        <f>IFERROR(__xludf.DUMMYFUNCTION("IF('From Order'!$A1182=COLUMNS($A1182:C1201), LEFT(INDEX(FILTER(C$1:C1181, C$1:C1181&lt;&gt;""""),COUNTA(FILTER(C$1:C1181, C$1:C1181&lt;&gt;""""))), LEN(INDEX(FILTER(C$1:C1181, C$1:C1181&lt;&gt;""""),COUNTA(FILTER(C$1:C1181, C$1:C1181&lt;&gt;""""))))-1), IF('To Order'!$A1182=COL"&amp;"UMNS($A1182:C1201), C1181&amp;RIGHT(INDIRECT(ADDRESS(ROW(C1182)-1, 'From Order'!$A1182)), 1), C1181))"),"TRLRSGHWQVQJPPLDTDT")</f>
        <v>TRLRSGHWQVQJPPLDTDT</v>
      </c>
      <c r="D1182" s="2" t="str">
        <f>IFERROR(__xludf.DUMMYFUNCTION("IF('From Order'!$A1182=COLUMNS($A1182:D1201), LEFT(INDEX(FILTER(D$1:D1181, D$1:D1181&lt;&gt;""""),COUNTA(FILTER(D$1:D1181, D$1:D1181&lt;&gt;""""))), LEN(INDEX(FILTER(D$1:D1181, D$1:D1181&lt;&gt;""""),COUNTA(FILTER(D$1:D1181, D$1:D1181&lt;&gt;""""))))-1), IF('To Order'!$A1182=COL"&amp;"UMNS($A1182:D1201), D1181&amp;RIGHT(INDIRECT(ADDRESS(ROW(D1182)-1, 'From Order'!$A1182)), 1), D1181))"),"GM")</f>
        <v>GM</v>
      </c>
      <c r="E1182" s="2" t="str">
        <f>IFERROR(__xludf.DUMMYFUNCTION("IF('From Order'!$A1182=COLUMNS($A1182:E1201), LEFT(INDEX(FILTER(E$1:E1181, E$1:E1181&lt;&gt;""""),COUNTA(FILTER(E$1:E1181, E$1:E1181&lt;&gt;""""))), LEN(INDEX(FILTER(E$1:E1181, E$1:E1181&lt;&gt;""""),COUNTA(FILTER(E$1:E1181, E$1:E1181&lt;&gt;""""))))-1), IF('To Order'!$A1182=COL"&amp;"UMNS($A1182:E1201), E1181&amp;RIGHT(INDIRECT(ADDRESS(ROW(E1182)-1, 'From Order'!$A1182)), 1), E1181))"),"")</f>
        <v/>
      </c>
      <c r="F1182" s="2" t="str">
        <f>IFERROR(__xludf.DUMMYFUNCTION("IF('From Order'!$A1182=COLUMNS($A1182:F1201), LEFT(INDEX(FILTER(F$1:F1181, F$1:F1181&lt;&gt;""""),COUNTA(FILTER(F$1:F1181, F$1:F1181&lt;&gt;""""))), LEN(INDEX(FILTER(F$1:F1181, F$1:F1181&lt;&gt;""""),COUNTA(FILTER(F$1:F1181, F$1:F1181&lt;&gt;""""))))-1), IF('To Order'!$A1182=COL"&amp;"UMNS($A1182:F1201), F1181&amp;RIGHT(INDIRECT(ADDRESS(ROW(F1182)-1, 'From Order'!$A1182)), 1), F1181))"),"")</f>
        <v/>
      </c>
      <c r="G1182" s="2" t="str">
        <f>IFERROR(__xludf.DUMMYFUNCTION("IF('From Order'!$A1182=COLUMNS($A1182:G1201), LEFT(INDEX(FILTER(G$1:G1181, G$1:G1181&lt;&gt;""""),COUNTA(FILTER(G$1:G1181, G$1:G1181&lt;&gt;""""))), LEN(INDEX(FILTER(G$1:G1181, G$1:G1181&lt;&gt;""""),COUNTA(FILTER(G$1:G1181, G$1:G1181&lt;&gt;""""))))-1), IF('To Order'!$A1182=COL"&amp;"UMNS($A1182:G1201), G1181&amp;RIGHT(INDIRECT(ADDRESS(ROW(G1182)-1, 'From Order'!$A1182)), 1), G1181))"),"BVST")</f>
        <v>BVST</v>
      </c>
      <c r="H1182" s="2" t="str">
        <f>IFERROR(__xludf.DUMMYFUNCTION("IF('From Order'!$A1182=COLUMNS($A1182:H1201), LEFT(INDEX(FILTER(H$1:H1181, H$1:H1181&lt;&gt;""""),COUNTA(FILTER(H$1:H1181, H$1:H1181&lt;&gt;""""))), LEN(INDEX(FILTER(H$1:H1181, H$1:H1181&lt;&gt;""""),COUNTA(FILTER(H$1:H1181, H$1:H1181&lt;&gt;""""))))-1), IF('To Order'!$A1182=COL"&amp;"UMNS($A1182:H1201), H1181&amp;RIGHT(INDIRECT(ADDRESS(ROW(H1182)-1, 'From Order'!$A1182)), 1), H1181))"),"")</f>
        <v/>
      </c>
      <c r="I1182" s="2" t="str">
        <f>IFERROR(__xludf.DUMMYFUNCTION("IF('From Order'!$A1182=COLUMNS($A1182:I1201), LEFT(INDEX(FILTER(I$1:I1181, I$1:I1181&lt;&gt;""""),COUNTA(FILTER(I$1:I1181, I$1:I1181&lt;&gt;""""))), LEN(INDEX(FILTER(I$1:I1181, I$1:I1181&lt;&gt;""""),COUNTA(FILTER(I$1:I1181, I$1:I1181&lt;&gt;""""))))-1), IF('To Order'!$A1182=COL"&amp;"UMNS($A1182:I1201), I1181&amp;RIGHT(INDIRECT(ADDRESS(ROW(I1182)-1, 'From Order'!$A1182)), 1), I1181))"),"FV")</f>
        <v>FV</v>
      </c>
    </row>
    <row r="1183">
      <c r="A1183" s="2" t="str">
        <f>IFERROR(__xludf.DUMMYFUNCTION("IF('From Order'!$A1183=COLUMNS($A1183:A1202), LEFT(INDEX(FILTER(A$1:A1182, A$1:A1182&lt;&gt;""""),COUNTA(FILTER(A$1:A1182, A$1:A1182&lt;&gt;""""))), LEN(INDEX(FILTER(A$1:A1182, A$1:A1182&lt;&gt;""""),COUNTA(FILTER(A$1:A1182, A$1:A1182&lt;&gt;""""))))-1), IF('To Order'!$A1183=COL"&amp;"UMNS($A1183:A1202), A1182&amp;RIGHT(INDIRECT(ADDRESS(ROW(A1183)-1, 'From Order'!$A1183)), 1), A1182))"),"HZBSBDJDMFBTJCZRDCRCTMRWT")</f>
        <v>HZBSBDJDMFBTJCZRDCRCTMRWT</v>
      </c>
      <c r="B1183" s="2" t="str">
        <f>IFERROR(__xludf.DUMMYFUNCTION("IF('From Order'!$A1183=COLUMNS($A1183:B1202), LEFT(INDEX(FILTER(B$1:B1182, B$1:B1182&lt;&gt;""""),COUNTA(FILTER(B$1:B1182, B$1:B1182&lt;&gt;""""))), LEN(INDEX(FILTER(B$1:B1182, B$1:B1182&lt;&gt;""""),COUNTA(FILTER(B$1:B1182, B$1:B1182&lt;&gt;""""))))-1), IF('To Order'!$A1183=COL"&amp;"UMNS($A1183:B1202), B1182&amp;RIGHT(INDIRECT(ADDRESS(ROW(B1183)-1, 'From Order'!$A1183)), 1), B1182))"),"ZLPDS")</f>
        <v>ZLPDS</v>
      </c>
      <c r="C1183" s="2" t="str">
        <f>IFERROR(__xludf.DUMMYFUNCTION("IF('From Order'!$A1183=COLUMNS($A1183:C1202), LEFT(INDEX(FILTER(C$1:C1182, C$1:C1182&lt;&gt;""""),COUNTA(FILTER(C$1:C1182, C$1:C1182&lt;&gt;""""))), LEN(INDEX(FILTER(C$1:C1182, C$1:C1182&lt;&gt;""""),COUNTA(FILTER(C$1:C1182, C$1:C1182&lt;&gt;""""))))-1), IF('To Order'!$A1183=COL"&amp;"UMNS($A1183:C1202), C1182&amp;RIGHT(INDIRECT(ADDRESS(ROW(C1183)-1, 'From Order'!$A1183)), 1), C1182))"),"TRLRSGHWQVQJPPLDTD")</f>
        <v>TRLRSGHWQVQJPPLDTD</v>
      </c>
      <c r="D1183" s="2" t="str">
        <f>IFERROR(__xludf.DUMMYFUNCTION("IF('From Order'!$A1183=COLUMNS($A1183:D1202), LEFT(INDEX(FILTER(D$1:D1182, D$1:D1182&lt;&gt;""""),COUNTA(FILTER(D$1:D1182, D$1:D1182&lt;&gt;""""))), LEN(INDEX(FILTER(D$1:D1182, D$1:D1182&lt;&gt;""""),COUNTA(FILTER(D$1:D1182, D$1:D1182&lt;&gt;""""))))-1), IF('To Order'!$A1183=COL"&amp;"UMNS($A1183:D1202), D1182&amp;RIGHT(INDIRECT(ADDRESS(ROW(D1183)-1, 'From Order'!$A1183)), 1), D1182))"),"GM")</f>
        <v>GM</v>
      </c>
      <c r="E1183" s="2" t="str">
        <f>IFERROR(__xludf.DUMMYFUNCTION("IF('From Order'!$A1183=COLUMNS($A1183:E1202), LEFT(INDEX(FILTER(E$1:E1182, E$1:E1182&lt;&gt;""""),COUNTA(FILTER(E$1:E1182, E$1:E1182&lt;&gt;""""))), LEN(INDEX(FILTER(E$1:E1182, E$1:E1182&lt;&gt;""""),COUNTA(FILTER(E$1:E1182, E$1:E1182&lt;&gt;""""))))-1), IF('To Order'!$A1183=COL"&amp;"UMNS($A1183:E1202), E1182&amp;RIGHT(INDIRECT(ADDRESS(ROW(E1183)-1, 'From Order'!$A1183)), 1), E1182))"),"")</f>
        <v/>
      </c>
      <c r="F1183" s="2" t="str">
        <f>IFERROR(__xludf.DUMMYFUNCTION("IF('From Order'!$A1183=COLUMNS($A1183:F1202), LEFT(INDEX(FILTER(F$1:F1182, F$1:F1182&lt;&gt;""""),COUNTA(FILTER(F$1:F1182, F$1:F1182&lt;&gt;""""))), LEN(INDEX(FILTER(F$1:F1182, F$1:F1182&lt;&gt;""""),COUNTA(FILTER(F$1:F1182, F$1:F1182&lt;&gt;""""))))-1), IF('To Order'!$A1183=COL"&amp;"UMNS($A1183:F1202), F1182&amp;RIGHT(INDIRECT(ADDRESS(ROW(F1183)-1, 'From Order'!$A1183)), 1), F1182))"),"")</f>
        <v/>
      </c>
      <c r="G1183" s="2" t="str">
        <f>IFERROR(__xludf.DUMMYFUNCTION("IF('From Order'!$A1183=COLUMNS($A1183:G1202), LEFT(INDEX(FILTER(G$1:G1182, G$1:G1182&lt;&gt;""""),COUNTA(FILTER(G$1:G1182, G$1:G1182&lt;&gt;""""))), LEN(INDEX(FILTER(G$1:G1182, G$1:G1182&lt;&gt;""""),COUNTA(FILTER(G$1:G1182, G$1:G1182&lt;&gt;""""))))-1), IF('To Order'!$A1183=COL"&amp;"UMNS($A1183:G1202), G1182&amp;RIGHT(INDIRECT(ADDRESS(ROW(G1183)-1, 'From Order'!$A1183)), 1), G1182))"),"BVST")</f>
        <v>BVST</v>
      </c>
      <c r="H1183" s="2" t="str">
        <f>IFERROR(__xludf.DUMMYFUNCTION("IF('From Order'!$A1183=COLUMNS($A1183:H1202), LEFT(INDEX(FILTER(H$1:H1182, H$1:H1182&lt;&gt;""""),COUNTA(FILTER(H$1:H1182, H$1:H1182&lt;&gt;""""))), LEN(INDEX(FILTER(H$1:H1182, H$1:H1182&lt;&gt;""""),COUNTA(FILTER(H$1:H1182, H$1:H1182&lt;&gt;""""))))-1), IF('To Order'!$A1183=COL"&amp;"UMNS($A1183:H1202), H1182&amp;RIGHT(INDIRECT(ADDRESS(ROW(H1183)-1, 'From Order'!$A1183)), 1), H1182))"),"")</f>
        <v/>
      </c>
      <c r="I1183" s="2" t="str">
        <f>IFERROR(__xludf.DUMMYFUNCTION("IF('From Order'!$A1183=COLUMNS($A1183:I1202), LEFT(INDEX(FILTER(I$1:I1182, I$1:I1182&lt;&gt;""""),COUNTA(FILTER(I$1:I1182, I$1:I1182&lt;&gt;""""))), LEN(INDEX(FILTER(I$1:I1182, I$1:I1182&lt;&gt;""""),COUNTA(FILTER(I$1:I1182, I$1:I1182&lt;&gt;""""))))-1), IF('To Order'!$A1183=COL"&amp;"UMNS($A1183:I1202), I1182&amp;RIGHT(INDIRECT(ADDRESS(ROW(I1183)-1, 'From Order'!$A1183)), 1), I1182))"),"FV")</f>
        <v>FV</v>
      </c>
    </row>
    <row r="1184">
      <c r="A1184" s="2" t="str">
        <f>IFERROR(__xludf.DUMMYFUNCTION("IF('From Order'!$A1184=COLUMNS($A1184:A1203), LEFT(INDEX(FILTER(A$1:A1183, A$1:A1183&lt;&gt;""""),COUNTA(FILTER(A$1:A1183, A$1:A1183&lt;&gt;""""))), LEN(INDEX(FILTER(A$1:A1183, A$1:A1183&lt;&gt;""""),COUNTA(FILTER(A$1:A1183, A$1:A1183&lt;&gt;""""))))-1), IF('To Order'!$A1184=COL"&amp;"UMNS($A1184:A1203), A1183&amp;RIGHT(INDIRECT(ADDRESS(ROW(A1184)-1, 'From Order'!$A1184)), 1), A1183))"),"HZBSBDJDMFBTJCZRDCRCTMRWTD")</f>
        <v>HZBSBDJDMFBTJCZRDCRCTMRWTD</v>
      </c>
      <c r="B1184" s="2" t="str">
        <f>IFERROR(__xludf.DUMMYFUNCTION("IF('From Order'!$A1184=COLUMNS($A1184:B1203), LEFT(INDEX(FILTER(B$1:B1183, B$1:B1183&lt;&gt;""""),COUNTA(FILTER(B$1:B1183, B$1:B1183&lt;&gt;""""))), LEN(INDEX(FILTER(B$1:B1183, B$1:B1183&lt;&gt;""""),COUNTA(FILTER(B$1:B1183, B$1:B1183&lt;&gt;""""))))-1), IF('To Order'!$A1184=COL"&amp;"UMNS($A1184:B1203), B1183&amp;RIGHT(INDIRECT(ADDRESS(ROW(B1184)-1, 'From Order'!$A1184)), 1), B1183))"),"ZLPDS")</f>
        <v>ZLPDS</v>
      </c>
      <c r="C1184" s="2" t="str">
        <f>IFERROR(__xludf.DUMMYFUNCTION("IF('From Order'!$A1184=COLUMNS($A1184:C1203), LEFT(INDEX(FILTER(C$1:C1183, C$1:C1183&lt;&gt;""""),COUNTA(FILTER(C$1:C1183, C$1:C1183&lt;&gt;""""))), LEN(INDEX(FILTER(C$1:C1183, C$1:C1183&lt;&gt;""""),COUNTA(FILTER(C$1:C1183, C$1:C1183&lt;&gt;""""))))-1), IF('To Order'!$A1184=COL"&amp;"UMNS($A1184:C1203), C1183&amp;RIGHT(INDIRECT(ADDRESS(ROW(C1184)-1, 'From Order'!$A1184)), 1), C1183))"),"TRLRSGHWQVQJPPLDT")</f>
        <v>TRLRSGHWQVQJPPLDT</v>
      </c>
      <c r="D1184" s="2" t="str">
        <f>IFERROR(__xludf.DUMMYFUNCTION("IF('From Order'!$A1184=COLUMNS($A1184:D1203), LEFT(INDEX(FILTER(D$1:D1183, D$1:D1183&lt;&gt;""""),COUNTA(FILTER(D$1:D1183, D$1:D1183&lt;&gt;""""))), LEN(INDEX(FILTER(D$1:D1183, D$1:D1183&lt;&gt;""""),COUNTA(FILTER(D$1:D1183, D$1:D1183&lt;&gt;""""))))-1), IF('To Order'!$A1184=COL"&amp;"UMNS($A1184:D1203), D1183&amp;RIGHT(INDIRECT(ADDRESS(ROW(D1184)-1, 'From Order'!$A1184)), 1), D1183))"),"GM")</f>
        <v>GM</v>
      </c>
      <c r="E1184" s="2" t="str">
        <f>IFERROR(__xludf.DUMMYFUNCTION("IF('From Order'!$A1184=COLUMNS($A1184:E1203), LEFT(INDEX(FILTER(E$1:E1183, E$1:E1183&lt;&gt;""""),COUNTA(FILTER(E$1:E1183, E$1:E1183&lt;&gt;""""))), LEN(INDEX(FILTER(E$1:E1183, E$1:E1183&lt;&gt;""""),COUNTA(FILTER(E$1:E1183, E$1:E1183&lt;&gt;""""))))-1), IF('To Order'!$A1184=COL"&amp;"UMNS($A1184:E1203), E1183&amp;RIGHT(INDIRECT(ADDRESS(ROW(E1184)-1, 'From Order'!$A1184)), 1), E1183))"),"")</f>
        <v/>
      </c>
      <c r="F1184" s="2" t="str">
        <f>IFERROR(__xludf.DUMMYFUNCTION("IF('From Order'!$A1184=COLUMNS($A1184:F1203), LEFT(INDEX(FILTER(F$1:F1183, F$1:F1183&lt;&gt;""""),COUNTA(FILTER(F$1:F1183, F$1:F1183&lt;&gt;""""))), LEN(INDEX(FILTER(F$1:F1183, F$1:F1183&lt;&gt;""""),COUNTA(FILTER(F$1:F1183, F$1:F1183&lt;&gt;""""))))-1), IF('To Order'!$A1184=COL"&amp;"UMNS($A1184:F1203), F1183&amp;RIGHT(INDIRECT(ADDRESS(ROW(F1184)-1, 'From Order'!$A1184)), 1), F1183))"),"")</f>
        <v/>
      </c>
      <c r="G1184" s="2" t="str">
        <f>IFERROR(__xludf.DUMMYFUNCTION("IF('From Order'!$A1184=COLUMNS($A1184:G1203), LEFT(INDEX(FILTER(G$1:G1183, G$1:G1183&lt;&gt;""""),COUNTA(FILTER(G$1:G1183, G$1:G1183&lt;&gt;""""))), LEN(INDEX(FILTER(G$1:G1183, G$1:G1183&lt;&gt;""""),COUNTA(FILTER(G$1:G1183, G$1:G1183&lt;&gt;""""))))-1), IF('To Order'!$A1184=COL"&amp;"UMNS($A1184:G1203), G1183&amp;RIGHT(INDIRECT(ADDRESS(ROW(G1184)-1, 'From Order'!$A1184)), 1), G1183))"),"BVST")</f>
        <v>BVST</v>
      </c>
      <c r="H1184" s="2" t="str">
        <f>IFERROR(__xludf.DUMMYFUNCTION("IF('From Order'!$A1184=COLUMNS($A1184:H1203), LEFT(INDEX(FILTER(H$1:H1183, H$1:H1183&lt;&gt;""""),COUNTA(FILTER(H$1:H1183, H$1:H1183&lt;&gt;""""))), LEN(INDEX(FILTER(H$1:H1183, H$1:H1183&lt;&gt;""""),COUNTA(FILTER(H$1:H1183, H$1:H1183&lt;&gt;""""))))-1), IF('To Order'!$A1184=COL"&amp;"UMNS($A1184:H1203), H1183&amp;RIGHT(INDIRECT(ADDRESS(ROW(H1184)-1, 'From Order'!$A1184)), 1), H1183))"),"")</f>
        <v/>
      </c>
      <c r="I1184" s="2" t="str">
        <f>IFERROR(__xludf.DUMMYFUNCTION("IF('From Order'!$A1184=COLUMNS($A1184:I1203), LEFT(INDEX(FILTER(I$1:I1183, I$1:I1183&lt;&gt;""""),COUNTA(FILTER(I$1:I1183, I$1:I1183&lt;&gt;""""))), LEN(INDEX(FILTER(I$1:I1183, I$1:I1183&lt;&gt;""""),COUNTA(FILTER(I$1:I1183, I$1:I1183&lt;&gt;""""))))-1), IF('To Order'!$A1184=COL"&amp;"UMNS($A1184:I1203), I1183&amp;RIGHT(INDIRECT(ADDRESS(ROW(I1184)-1, 'From Order'!$A1184)), 1), I1183))"),"FV")</f>
        <v>FV</v>
      </c>
    </row>
    <row r="1185">
      <c r="A1185" s="2" t="str">
        <f>IFERROR(__xludf.DUMMYFUNCTION("IF('From Order'!$A1185=COLUMNS($A1185:A1204), LEFT(INDEX(FILTER(A$1:A1184, A$1:A1184&lt;&gt;""""),COUNTA(FILTER(A$1:A1184, A$1:A1184&lt;&gt;""""))), LEN(INDEX(FILTER(A$1:A1184, A$1:A1184&lt;&gt;""""),COUNTA(FILTER(A$1:A1184, A$1:A1184&lt;&gt;""""))))-1), IF('To Order'!$A1185=COL"&amp;"UMNS($A1185:A1204), A1184&amp;RIGHT(INDIRECT(ADDRESS(ROW(A1185)-1, 'From Order'!$A1185)), 1), A1184))"),"HZBSBDJDMFBTJCZRDCRCTMRWTD")</f>
        <v>HZBSBDJDMFBTJCZRDCRCTMRWTD</v>
      </c>
      <c r="B1185" s="2" t="str">
        <f>IFERROR(__xludf.DUMMYFUNCTION("IF('From Order'!$A1185=COLUMNS($A1185:B1204), LEFT(INDEX(FILTER(B$1:B1184, B$1:B1184&lt;&gt;""""),COUNTA(FILTER(B$1:B1184, B$1:B1184&lt;&gt;""""))), LEN(INDEX(FILTER(B$1:B1184, B$1:B1184&lt;&gt;""""),COUNTA(FILTER(B$1:B1184, B$1:B1184&lt;&gt;""""))))-1), IF('To Order'!$A1185=COL"&amp;"UMNS($A1185:B1204), B1184&amp;RIGHT(INDIRECT(ADDRESS(ROW(B1185)-1, 'From Order'!$A1185)), 1), B1184))"),"ZLPDS")</f>
        <v>ZLPDS</v>
      </c>
      <c r="C1185" s="2" t="str">
        <f>IFERROR(__xludf.DUMMYFUNCTION("IF('From Order'!$A1185=COLUMNS($A1185:C1204), LEFT(INDEX(FILTER(C$1:C1184, C$1:C1184&lt;&gt;""""),COUNTA(FILTER(C$1:C1184, C$1:C1184&lt;&gt;""""))), LEN(INDEX(FILTER(C$1:C1184, C$1:C1184&lt;&gt;""""),COUNTA(FILTER(C$1:C1184, C$1:C1184&lt;&gt;""""))))-1), IF('To Order'!$A1185=COL"&amp;"UMNS($A1185:C1204), C1184&amp;RIGHT(INDIRECT(ADDRESS(ROW(C1185)-1, 'From Order'!$A1185)), 1), C1184))"),"TRLRSGHWQVQJPPLDT")</f>
        <v>TRLRSGHWQVQJPPLDT</v>
      </c>
      <c r="D1185" s="2" t="str">
        <f>IFERROR(__xludf.DUMMYFUNCTION("IF('From Order'!$A1185=COLUMNS($A1185:D1204), LEFT(INDEX(FILTER(D$1:D1184, D$1:D1184&lt;&gt;""""),COUNTA(FILTER(D$1:D1184, D$1:D1184&lt;&gt;""""))), LEN(INDEX(FILTER(D$1:D1184, D$1:D1184&lt;&gt;""""),COUNTA(FILTER(D$1:D1184, D$1:D1184&lt;&gt;""""))))-1), IF('To Order'!$A1185=COL"&amp;"UMNS($A1185:D1204), D1184&amp;RIGHT(INDIRECT(ADDRESS(ROW(D1185)-1, 'From Order'!$A1185)), 1), D1184))"),"GM")</f>
        <v>GM</v>
      </c>
      <c r="E1185" s="2" t="str">
        <f>IFERROR(__xludf.DUMMYFUNCTION("IF('From Order'!$A1185=COLUMNS($A1185:E1204), LEFT(INDEX(FILTER(E$1:E1184, E$1:E1184&lt;&gt;""""),COUNTA(FILTER(E$1:E1184, E$1:E1184&lt;&gt;""""))), LEN(INDEX(FILTER(E$1:E1184, E$1:E1184&lt;&gt;""""),COUNTA(FILTER(E$1:E1184, E$1:E1184&lt;&gt;""""))))-1), IF('To Order'!$A1185=COL"&amp;"UMNS($A1185:E1204), E1184&amp;RIGHT(INDIRECT(ADDRESS(ROW(E1185)-1, 'From Order'!$A1185)), 1), E1184))"),"")</f>
        <v/>
      </c>
      <c r="F1185" s="2" t="str">
        <f>IFERROR(__xludf.DUMMYFUNCTION("IF('From Order'!$A1185=COLUMNS($A1185:F1204), LEFT(INDEX(FILTER(F$1:F1184, F$1:F1184&lt;&gt;""""),COUNTA(FILTER(F$1:F1184, F$1:F1184&lt;&gt;""""))), LEN(INDEX(FILTER(F$1:F1184, F$1:F1184&lt;&gt;""""),COUNTA(FILTER(F$1:F1184, F$1:F1184&lt;&gt;""""))))-1), IF('To Order'!$A1185=COL"&amp;"UMNS($A1185:F1204), F1184&amp;RIGHT(INDIRECT(ADDRESS(ROW(F1185)-1, 'From Order'!$A1185)), 1), F1184))"),"")</f>
        <v/>
      </c>
      <c r="G1185" s="2" t="str">
        <f>IFERROR(__xludf.DUMMYFUNCTION("IF('From Order'!$A1185=COLUMNS($A1185:G1204), LEFT(INDEX(FILTER(G$1:G1184, G$1:G1184&lt;&gt;""""),COUNTA(FILTER(G$1:G1184, G$1:G1184&lt;&gt;""""))), LEN(INDEX(FILTER(G$1:G1184, G$1:G1184&lt;&gt;""""),COUNTA(FILTER(G$1:G1184, G$1:G1184&lt;&gt;""""))))-1), IF('To Order'!$A1185=COL"&amp;"UMNS($A1185:G1204), G1184&amp;RIGHT(INDIRECT(ADDRESS(ROW(G1185)-1, 'From Order'!$A1185)), 1), G1184))"),"BVSTV")</f>
        <v>BVSTV</v>
      </c>
      <c r="H1185" s="2" t="str">
        <f>IFERROR(__xludf.DUMMYFUNCTION("IF('From Order'!$A1185=COLUMNS($A1185:H1204), LEFT(INDEX(FILTER(H$1:H1184, H$1:H1184&lt;&gt;""""),COUNTA(FILTER(H$1:H1184, H$1:H1184&lt;&gt;""""))), LEN(INDEX(FILTER(H$1:H1184, H$1:H1184&lt;&gt;""""),COUNTA(FILTER(H$1:H1184, H$1:H1184&lt;&gt;""""))))-1), IF('To Order'!$A1185=COL"&amp;"UMNS($A1185:H1204), H1184&amp;RIGHT(INDIRECT(ADDRESS(ROW(H1185)-1, 'From Order'!$A1185)), 1), H1184))"),"")</f>
        <v/>
      </c>
      <c r="I1185" s="2" t="str">
        <f>IFERROR(__xludf.DUMMYFUNCTION("IF('From Order'!$A1185=COLUMNS($A1185:I1204), LEFT(INDEX(FILTER(I$1:I1184, I$1:I1184&lt;&gt;""""),COUNTA(FILTER(I$1:I1184, I$1:I1184&lt;&gt;""""))), LEN(INDEX(FILTER(I$1:I1184, I$1:I1184&lt;&gt;""""),COUNTA(FILTER(I$1:I1184, I$1:I1184&lt;&gt;""""))))-1), IF('To Order'!$A1185=COL"&amp;"UMNS($A1185:I1204), I1184&amp;RIGHT(INDIRECT(ADDRESS(ROW(I1185)-1, 'From Order'!$A1185)), 1), I1184))"),"F")</f>
        <v>F</v>
      </c>
    </row>
    <row r="1186">
      <c r="A1186" s="2" t="str">
        <f>IFERROR(__xludf.DUMMYFUNCTION("IF('From Order'!$A1186=COLUMNS($A1186:A1205), LEFT(INDEX(FILTER(A$1:A1185, A$1:A1185&lt;&gt;""""),COUNTA(FILTER(A$1:A1185, A$1:A1185&lt;&gt;""""))), LEN(INDEX(FILTER(A$1:A1185, A$1:A1185&lt;&gt;""""),COUNTA(FILTER(A$1:A1185, A$1:A1185&lt;&gt;""""))))-1), IF('To Order'!$A1186=COL"&amp;"UMNS($A1186:A1205), A1185&amp;RIGHT(INDIRECT(ADDRESS(ROW(A1186)-1, 'From Order'!$A1186)), 1), A1185))"),"HZBSBDJDMFBTJCZRDCRCTMRWTD")</f>
        <v>HZBSBDJDMFBTJCZRDCRCTMRWTD</v>
      </c>
      <c r="B1186" s="2" t="str">
        <f>IFERROR(__xludf.DUMMYFUNCTION("IF('From Order'!$A1186=COLUMNS($A1186:B1205), LEFT(INDEX(FILTER(B$1:B1185, B$1:B1185&lt;&gt;""""),COUNTA(FILTER(B$1:B1185, B$1:B1185&lt;&gt;""""))), LEN(INDEX(FILTER(B$1:B1185, B$1:B1185&lt;&gt;""""),COUNTA(FILTER(B$1:B1185, B$1:B1185&lt;&gt;""""))))-1), IF('To Order'!$A1186=COL"&amp;"UMNS($A1186:B1205), B1185&amp;RIGHT(INDIRECT(ADDRESS(ROW(B1186)-1, 'From Order'!$A1186)), 1), B1185))"),"ZLPDS")</f>
        <v>ZLPDS</v>
      </c>
      <c r="C1186" s="2" t="str">
        <f>IFERROR(__xludf.DUMMYFUNCTION("IF('From Order'!$A1186=COLUMNS($A1186:C1205), LEFT(INDEX(FILTER(C$1:C1185, C$1:C1185&lt;&gt;""""),COUNTA(FILTER(C$1:C1185, C$1:C1185&lt;&gt;""""))), LEN(INDEX(FILTER(C$1:C1185, C$1:C1185&lt;&gt;""""),COUNTA(FILTER(C$1:C1185, C$1:C1185&lt;&gt;""""))))-1), IF('To Order'!$A1186=COL"&amp;"UMNS($A1186:C1205), C1185&amp;RIGHT(INDIRECT(ADDRESS(ROW(C1186)-1, 'From Order'!$A1186)), 1), C1185))"),"TRLRSGHWQVQJPPLDT")</f>
        <v>TRLRSGHWQVQJPPLDT</v>
      </c>
      <c r="D1186" s="2" t="str">
        <f>IFERROR(__xludf.DUMMYFUNCTION("IF('From Order'!$A1186=COLUMNS($A1186:D1205), LEFT(INDEX(FILTER(D$1:D1185, D$1:D1185&lt;&gt;""""),COUNTA(FILTER(D$1:D1185, D$1:D1185&lt;&gt;""""))), LEN(INDEX(FILTER(D$1:D1185, D$1:D1185&lt;&gt;""""),COUNTA(FILTER(D$1:D1185, D$1:D1185&lt;&gt;""""))))-1), IF('To Order'!$A1186=COL"&amp;"UMNS($A1186:D1205), D1185&amp;RIGHT(INDIRECT(ADDRESS(ROW(D1186)-1, 'From Order'!$A1186)), 1), D1185))"),"GM")</f>
        <v>GM</v>
      </c>
      <c r="E1186" s="2" t="str">
        <f>IFERROR(__xludf.DUMMYFUNCTION("IF('From Order'!$A1186=COLUMNS($A1186:E1205), LEFT(INDEX(FILTER(E$1:E1185, E$1:E1185&lt;&gt;""""),COUNTA(FILTER(E$1:E1185, E$1:E1185&lt;&gt;""""))), LEN(INDEX(FILTER(E$1:E1185, E$1:E1185&lt;&gt;""""),COUNTA(FILTER(E$1:E1185, E$1:E1185&lt;&gt;""""))))-1), IF('To Order'!$A1186=COL"&amp;"UMNS($A1186:E1205), E1185&amp;RIGHT(INDIRECT(ADDRESS(ROW(E1186)-1, 'From Order'!$A1186)), 1), E1185))"),"")</f>
        <v/>
      </c>
      <c r="F1186" s="2" t="str">
        <f>IFERROR(__xludf.DUMMYFUNCTION("IF('From Order'!$A1186=COLUMNS($A1186:F1205), LEFT(INDEX(FILTER(F$1:F1185, F$1:F1185&lt;&gt;""""),COUNTA(FILTER(F$1:F1185, F$1:F1185&lt;&gt;""""))), LEN(INDEX(FILTER(F$1:F1185, F$1:F1185&lt;&gt;""""),COUNTA(FILTER(F$1:F1185, F$1:F1185&lt;&gt;""""))))-1), IF('To Order'!$A1186=COL"&amp;"UMNS($A1186:F1205), F1185&amp;RIGHT(INDIRECT(ADDRESS(ROW(F1186)-1, 'From Order'!$A1186)), 1), F1185))"),"")</f>
        <v/>
      </c>
      <c r="G1186" s="2" t="str">
        <f>IFERROR(__xludf.DUMMYFUNCTION("IF('From Order'!$A1186=COLUMNS($A1186:G1205), LEFT(INDEX(FILTER(G$1:G1185, G$1:G1185&lt;&gt;""""),COUNTA(FILTER(G$1:G1185, G$1:G1185&lt;&gt;""""))), LEN(INDEX(FILTER(G$1:G1185, G$1:G1185&lt;&gt;""""),COUNTA(FILTER(G$1:G1185, G$1:G1185&lt;&gt;""""))))-1), IF('To Order'!$A1186=COL"&amp;"UMNS($A1186:G1205), G1185&amp;RIGHT(INDIRECT(ADDRESS(ROW(G1186)-1, 'From Order'!$A1186)), 1), G1185))"),"BVSTVF")</f>
        <v>BVSTVF</v>
      </c>
      <c r="H1186" s="2" t="str">
        <f>IFERROR(__xludf.DUMMYFUNCTION("IF('From Order'!$A1186=COLUMNS($A1186:H1205), LEFT(INDEX(FILTER(H$1:H1185, H$1:H1185&lt;&gt;""""),COUNTA(FILTER(H$1:H1185, H$1:H1185&lt;&gt;""""))), LEN(INDEX(FILTER(H$1:H1185, H$1:H1185&lt;&gt;""""),COUNTA(FILTER(H$1:H1185, H$1:H1185&lt;&gt;""""))))-1), IF('To Order'!$A1186=COL"&amp;"UMNS($A1186:H1205), H1185&amp;RIGHT(INDIRECT(ADDRESS(ROW(H1186)-1, 'From Order'!$A1186)), 1), H1185))"),"")</f>
        <v/>
      </c>
      <c r="I1186" s="2" t="str">
        <f>IFERROR(__xludf.DUMMYFUNCTION("IF('From Order'!$A1186=COLUMNS($A1186:I1205), LEFT(INDEX(FILTER(I$1:I1185, I$1:I1185&lt;&gt;""""),COUNTA(FILTER(I$1:I1185, I$1:I1185&lt;&gt;""""))), LEN(INDEX(FILTER(I$1:I1185, I$1:I1185&lt;&gt;""""),COUNTA(FILTER(I$1:I1185, I$1:I1185&lt;&gt;""""))))-1), IF('To Order'!$A1186=COL"&amp;"UMNS($A1186:I1205), I1185&amp;RIGHT(INDIRECT(ADDRESS(ROW(I1186)-1, 'From Order'!$A1186)), 1), I1185))"),"")</f>
        <v/>
      </c>
    </row>
    <row r="1187">
      <c r="A1187" s="2" t="str">
        <f>IFERROR(__xludf.DUMMYFUNCTION("IF('From Order'!$A1187=COLUMNS($A1187:A1206), LEFT(INDEX(FILTER(A$1:A1186, A$1:A1186&lt;&gt;""""),COUNTA(FILTER(A$1:A1186, A$1:A1186&lt;&gt;""""))), LEN(INDEX(FILTER(A$1:A1186, A$1:A1186&lt;&gt;""""),COUNTA(FILTER(A$1:A1186, A$1:A1186&lt;&gt;""""))))-1), IF('To Order'!$A1187=COL"&amp;"UMNS($A1187:A1206), A1186&amp;RIGHT(INDIRECT(ADDRESS(ROW(A1187)-1, 'From Order'!$A1187)), 1), A1186))"),"HZBSBDJDMFBTJCZRDCRCTMRWTD")</f>
        <v>HZBSBDJDMFBTJCZRDCRCTMRWTD</v>
      </c>
      <c r="B1187" s="2" t="str">
        <f>IFERROR(__xludf.DUMMYFUNCTION("IF('From Order'!$A1187=COLUMNS($A1187:B1206), LEFT(INDEX(FILTER(B$1:B1186, B$1:B1186&lt;&gt;""""),COUNTA(FILTER(B$1:B1186, B$1:B1186&lt;&gt;""""))), LEN(INDEX(FILTER(B$1:B1186, B$1:B1186&lt;&gt;""""),COUNTA(FILTER(B$1:B1186, B$1:B1186&lt;&gt;""""))))-1), IF('To Order'!$A1187=COL"&amp;"UMNS($A1187:B1206), B1186&amp;RIGHT(INDIRECT(ADDRESS(ROW(B1187)-1, 'From Order'!$A1187)), 1), B1186))"),"ZLPDS")</f>
        <v>ZLPDS</v>
      </c>
      <c r="C1187" s="2" t="str">
        <f>IFERROR(__xludf.DUMMYFUNCTION("IF('From Order'!$A1187=COLUMNS($A1187:C1206), LEFT(INDEX(FILTER(C$1:C1186, C$1:C1186&lt;&gt;""""),COUNTA(FILTER(C$1:C1186, C$1:C1186&lt;&gt;""""))), LEN(INDEX(FILTER(C$1:C1186, C$1:C1186&lt;&gt;""""),COUNTA(FILTER(C$1:C1186, C$1:C1186&lt;&gt;""""))))-1), IF('To Order'!$A1187=COL"&amp;"UMNS($A1187:C1206), C1186&amp;RIGHT(INDIRECT(ADDRESS(ROW(C1187)-1, 'From Order'!$A1187)), 1), C1186))"),"TRLRSGHWQVQJPPLDTM")</f>
        <v>TRLRSGHWQVQJPPLDTM</v>
      </c>
      <c r="D1187" s="2" t="str">
        <f>IFERROR(__xludf.DUMMYFUNCTION("IF('From Order'!$A1187=COLUMNS($A1187:D1206), LEFT(INDEX(FILTER(D$1:D1186, D$1:D1186&lt;&gt;""""),COUNTA(FILTER(D$1:D1186, D$1:D1186&lt;&gt;""""))), LEN(INDEX(FILTER(D$1:D1186, D$1:D1186&lt;&gt;""""),COUNTA(FILTER(D$1:D1186, D$1:D1186&lt;&gt;""""))))-1), IF('To Order'!$A1187=COL"&amp;"UMNS($A1187:D1206), D1186&amp;RIGHT(INDIRECT(ADDRESS(ROW(D1187)-1, 'From Order'!$A1187)), 1), D1186))"),"G")</f>
        <v>G</v>
      </c>
      <c r="E1187" s="2" t="str">
        <f>IFERROR(__xludf.DUMMYFUNCTION("IF('From Order'!$A1187=COLUMNS($A1187:E1206), LEFT(INDEX(FILTER(E$1:E1186, E$1:E1186&lt;&gt;""""),COUNTA(FILTER(E$1:E1186, E$1:E1186&lt;&gt;""""))), LEN(INDEX(FILTER(E$1:E1186, E$1:E1186&lt;&gt;""""),COUNTA(FILTER(E$1:E1186, E$1:E1186&lt;&gt;""""))))-1), IF('To Order'!$A1187=COL"&amp;"UMNS($A1187:E1206), E1186&amp;RIGHT(INDIRECT(ADDRESS(ROW(E1187)-1, 'From Order'!$A1187)), 1), E1186))"),"")</f>
        <v/>
      </c>
      <c r="F1187" s="2" t="str">
        <f>IFERROR(__xludf.DUMMYFUNCTION("IF('From Order'!$A1187=COLUMNS($A1187:F1206), LEFT(INDEX(FILTER(F$1:F1186, F$1:F1186&lt;&gt;""""),COUNTA(FILTER(F$1:F1186, F$1:F1186&lt;&gt;""""))), LEN(INDEX(FILTER(F$1:F1186, F$1:F1186&lt;&gt;""""),COUNTA(FILTER(F$1:F1186, F$1:F1186&lt;&gt;""""))))-1), IF('To Order'!$A1187=COL"&amp;"UMNS($A1187:F1206), F1186&amp;RIGHT(INDIRECT(ADDRESS(ROW(F1187)-1, 'From Order'!$A1187)), 1), F1186))"),"")</f>
        <v/>
      </c>
      <c r="G1187" s="2" t="str">
        <f>IFERROR(__xludf.DUMMYFUNCTION("IF('From Order'!$A1187=COLUMNS($A1187:G1206), LEFT(INDEX(FILTER(G$1:G1186, G$1:G1186&lt;&gt;""""),COUNTA(FILTER(G$1:G1186, G$1:G1186&lt;&gt;""""))), LEN(INDEX(FILTER(G$1:G1186, G$1:G1186&lt;&gt;""""),COUNTA(FILTER(G$1:G1186, G$1:G1186&lt;&gt;""""))))-1), IF('To Order'!$A1187=COL"&amp;"UMNS($A1187:G1206), G1186&amp;RIGHT(INDIRECT(ADDRESS(ROW(G1187)-1, 'From Order'!$A1187)), 1), G1186))"),"BVSTVF")</f>
        <v>BVSTVF</v>
      </c>
      <c r="H1187" s="2" t="str">
        <f>IFERROR(__xludf.DUMMYFUNCTION("IF('From Order'!$A1187=COLUMNS($A1187:H1206), LEFT(INDEX(FILTER(H$1:H1186, H$1:H1186&lt;&gt;""""),COUNTA(FILTER(H$1:H1186, H$1:H1186&lt;&gt;""""))), LEN(INDEX(FILTER(H$1:H1186, H$1:H1186&lt;&gt;""""),COUNTA(FILTER(H$1:H1186, H$1:H1186&lt;&gt;""""))))-1), IF('To Order'!$A1187=COL"&amp;"UMNS($A1187:H1206), H1186&amp;RIGHT(INDIRECT(ADDRESS(ROW(H1187)-1, 'From Order'!$A1187)), 1), H1186))"),"")</f>
        <v/>
      </c>
      <c r="I1187" s="2" t="str">
        <f>IFERROR(__xludf.DUMMYFUNCTION("IF('From Order'!$A1187=COLUMNS($A1187:I1206), LEFT(INDEX(FILTER(I$1:I1186, I$1:I1186&lt;&gt;""""),COUNTA(FILTER(I$1:I1186, I$1:I1186&lt;&gt;""""))), LEN(INDEX(FILTER(I$1:I1186, I$1:I1186&lt;&gt;""""),COUNTA(FILTER(I$1:I1186, I$1:I1186&lt;&gt;""""))))-1), IF('To Order'!$A1187=COL"&amp;"UMNS($A1187:I1206), I1186&amp;RIGHT(INDIRECT(ADDRESS(ROW(I1187)-1, 'From Order'!$A1187)), 1), I1186))"),"")</f>
        <v/>
      </c>
    </row>
    <row r="1188">
      <c r="A1188" s="2" t="str">
        <f>IFERROR(__xludf.DUMMYFUNCTION("IF('From Order'!$A1188=COLUMNS($A1188:A1207), LEFT(INDEX(FILTER(A$1:A1187, A$1:A1187&lt;&gt;""""),COUNTA(FILTER(A$1:A1187, A$1:A1187&lt;&gt;""""))), LEN(INDEX(FILTER(A$1:A1187, A$1:A1187&lt;&gt;""""),COUNTA(FILTER(A$1:A1187, A$1:A1187&lt;&gt;""""))))-1), IF('To Order'!$A1188=COL"&amp;"UMNS($A1188:A1207), A1187&amp;RIGHT(INDIRECT(ADDRESS(ROW(A1188)-1, 'From Order'!$A1188)), 1), A1187))"),"HZBSBDJDMFBTJCZRDCRCTMRWTD")</f>
        <v>HZBSBDJDMFBTJCZRDCRCTMRWTD</v>
      </c>
      <c r="B1188" s="2" t="str">
        <f>IFERROR(__xludf.DUMMYFUNCTION("IF('From Order'!$A1188=COLUMNS($A1188:B1207), LEFT(INDEX(FILTER(B$1:B1187, B$1:B1187&lt;&gt;""""),COUNTA(FILTER(B$1:B1187, B$1:B1187&lt;&gt;""""))), LEN(INDEX(FILTER(B$1:B1187, B$1:B1187&lt;&gt;""""),COUNTA(FILTER(B$1:B1187, B$1:B1187&lt;&gt;""""))))-1), IF('To Order'!$A1188=COL"&amp;"UMNS($A1188:B1207), B1187&amp;RIGHT(INDIRECT(ADDRESS(ROW(B1188)-1, 'From Order'!$A1188)), 1), B1187))"),"ZLPDS")</f>
        <v>ZLPDS</v>
      </c>
      <c r="C1188" s="2" t="str">
        <f>IFERROR(__xludf.DUMMYFUNCTION("IF('From Order'!$A1188=COLUMNS($A1188:C1207), LEFT(INDEX(FILTER(C$1:C1187, C$1:C1187&lt;&gt;""""),COUNTA(FILTER(C$1:C1187, C$1:C1187&lt;&gt;""""))), LEN(INDEX(FILTER(C$1:C1187, C$1:C1187&lt;&gt;""""),COUNTA(FILTER(C$1:C1187, C$1:C1187&lt;&gt;""""))))-1), IF('To Order'!$A1188=COL"&amp;"UMNS($A1188:C1207), C1187&amp;RIGHT(INDIRECT(ADDRESS(ROW(C1188)-1, 'From Order'!$A1188)), 1), C1187))"),"TRLRSGHWQVQJPPLDTMG")</f>
        <v>TRLRSGHWQVQJPPLDTMG</v>
      </c>
      <c r="D1188" s="2" t="str">
        <f>IFERROR(__xludf.DUMMYFUNCTION("IF('From Order'!$A1188=COLUMNS($A1188:D1207), LEFT(INDEX(FILTER(D$1:D1187, D$1:D1187&lt;&gt;""""),COUNTA(FILTER(D$1:D1187, D$1:D1187&lt;&gt;""""))), LEN(INDEX(FILTER(D$1:D1187, D$1:D1187&lt;&gt;""""),COUNTA(FILTER(D$1:D1187, D$1:D1187&lt;&gt;""""))))-1), IF('To Order'!$A1188=COL"&amp;"UMNS($A1188:D1207), D1187&amp;RIGHT(INDIRECT(ADDRESS(ROW(D1188)-1, 'From Order'!$A1188)), 1), D1187))"),"")</f>
        <v/>
      </c>
      <c r="E1188" s="2" t="str">
        <f>IFERROR(__xludf.DUMMYFUNCTION("IF('From Order'!$A1188=COLUMNS($A1188:E1207), LEFT(INDEX(FILTER(E$1:E1187, E$1:E1187&lt;&gt;""""),COUNTA(FILTER(E$1:E1187, E$1:E1187&lt;&gt;""""))), LEN(INDEX(FILTER(E$1:E1187, E$1:E1187&lt;&gt;""""),COUNTA(FILTER(E$1:E1187, E$1:E1187&lt;&gt;""""))))-1), IF('To Order'!$A1188=COL"&amp;"UMNS($A1188:E1207), E1187&amp;RIGHT(INDIRECT(ADDRESS(ROW(E1188)-1, 'From Order'!$A1188)), 1), E1187))"),"")</f>
        <v/>
      </c>
      <c r="F1188" s="2" t="str">
        <f>IFERROR(__xludf.DUMMYFUNCTION("IF('From Order'!$A1188=COLUMNS($A1188:F1207), LEFT(INDEX(FILTER(F$1:F1187, F$1:F1187&lt;&gt;""""),COUNTA(FILTER(F$1:F1187, F$1:F1187&lt;&gt;""""))), LEN(INDEX(FILTER(F$1:F1187, F$1:F1187&lt;&gt;""""),COUNTA(FILTER(F$1:F1187, F$1:F1187&lt;&gt;""""))))-1), IF('To Order'!$A1188=COL"&amp;"UMNS($A1188:F1207), F1187&amp;RIGHT(INDIRECT(ADDRESS(ROW(F1188)-1, 'From Order'!$A1188)), 1), F1187))"),"")</f>
        <v/>
      </c>
      <c r="G1188" s="2" t="str">
        <f>IFERROR(__xludf.DUMMYFUNCTION("IF('From Order'!$A1188=COLUMNS($A1188:G1207), LEFT(INDEX(FILTER(G$1:G1187, G$1:G1187&lt;&gt;""""),COUNTA(FILTER(G$1:G1187, G$1:G1187&lt;&gt;""""))), LEN(INDEX(FILTER(G$1:G1187, G$1:G1187&lt;&gt;""""),COUNTA(FILTER(G$1:G1187, G$1:G1187&lt;&gt;""""))))-1), IF('To Order'!$A1188=COL"&amp;"UMNS($A1188:G1207), G1187&amp;RIGHT(INDIRECT(ADDRESS(ROW(G1188)-1, 'From Order'!$A1188)), 1), G1187))"),"BVSTVF")</f>
        <v>BVSTVF</v>
      </c>
      <c r="H1188" s="2" t="str">
        <f>IFERROR(__xludf.DUMMYFUNCTION("IF('From Order'!$A1188=COLUMNS($A1188:H1207), LEFT(INDEX(FILTER(H$1:H1187, H$1:H1187&lt;&gt;""""),COUNTA(FILTER(H$1:H1187, H$1:H1187&lt;&gt;""""))), LEN(INDEX(FILTER(H$1:H1187, H$1:H1187&lt;&gt;""""),COUNTA(FILTER(H$1:H1187, H$1:H1187&lt;&gt;""""))))-1), IF('To Order'!$A1188=COL"&amp;"UMNS($A1188:H1207), H1187&amp;RIGHT(INDIRECT(ADDRESS(ROW(H1188)-1, 'From Order'!$A1188)), 1), H1187))"),"")</f>
        <v/>
      </c>
      <c r="I1188" s="2" t="str">
        <f>IFERROR(__xludf.DUMMYFUNCTION("IF('From Order'!$A1188=COLUMNS($A1188:I1207), LEFT(INDEX(FILTER(I$1:I1187, I$1:I1187&lt;&gt;""""),COUNTA(FILTER(I$1:I1187, I$1:I1187&lt;&gt;""""))), LEN(INDEX(FILTER(I$1:I1187, I$1:I1187&lt;&gt;""""),COUNTA(FILTER(I$1:I1187, I$1:I1187&lt;&gt;""""))))-1), IF('To Order'!$A1188=COL"&amp;"UMNS($A1188:I1207), I1187&amp;RIGHT(INDIRECT(ADDRESS(ROW(I1188)-1, 'From Order'!$A1188)), 1), I1187))"),"")</f>
        <v/>
      </c>
    </row>
    <row r="1189">
      <c r="A1189" s="2" t="str">
        <f>IFERROR(__xludf.DUMMYFUNCTION("IF('From Order'!$A1189=COLUMNS($A1189:A1208), LEFT(INDEX(FILTER(A$1:A1188, A$1:A1188&lt;&gt;""""),COUNTA(FILTER(A$1:A1188, A$1:A1188&lt;&gt;""""))), LEN(INDEX(FILTER(A$1:A1188, A$1:A1188&lt;&gt;""""),COUNTA(FILTER(A$1:A1188, A$1:A1188&lt;&gt;""""))))-1), IF('To Order'!$A1189=COL"&amp;"UMNS($A1189:A1208), A1188&amp;RIGHT(INDIRECT(ADDRESS(ROW(A1189)-1, 'From Order'!$A1189)), 1), A1188))"),"HZBSBDJDMFBTJCZRDCRCTMRWTD")</f>
        <v>HZBSBDJDMFBTJCZRDCRCTMRWTD</v>
      </c>
      <c r="B1189" s="2" t="str">
        <f>IFERROR(__xludf.DUMMYFUNCTION("IF('From Order'!$A1189=COLUMNS($A1189:B1208), LEFT(INDEX(FILTER(B$1:B1188, B$1:B1188&lt;&gt;""""),COUNTA(FILTER(B$1:B1188, B$1:B1188&lt;&gt;""""))), LEN(INDEX(FILTER(B$1:B1188, B$1:B1188&lt;&gt;""""),COUNTA(FILTER(B$1:B1188, B$1:B1188&lt;&gt;""""))))-1), IF('To Order'!$A1189=COL"&amp;"UMNS($A1189:B1208), B1188&amp;RIGHT(INDIRECT(ADDRESS(ROW(B1189)-1, 'From Order'!$A1189)), 1), B1188))"),"ZLPD")</f>
        <v>ZLPD</v>
      </c>
      <c r="C1189" s="2" t="str">
        <f>IFERROR(__xludf.DUMMYFUNCTION("IF('From Order'!$A1189=COLUMNS($A1189:C1208), LEFT(INDEX(FILTER(C$1:C1188, C$1:C1188&lt;&gt;""""),COUNTA(FILTER(C$1:C1188, C$1:C1188&lt;&gt;""""))), LEN(INDEX(FILTER(C$1:C1188, C$1:C1188&lt;&gt;""""),COUNTA(FILTER(C$1:C1188, C$1:C1188&lt;&gt;""""))))-1), IF('To Order'!$A1189=COL"&amp;"UMNS($A1189:C1208), C1188&amp;RIGHT(INDIRECT(ADDRESS(ROW(C1189)-1, 'From Order'!$A1189)), 1), C1188))"),"TRLRSGHWQVQJPPLDTMG")</f>
        <v>TRLRSGHWQVQJPPLDTMG</v>
      </c>
      <c r="D1189" s="2" t="str">
        <f>IFERROR(__xludf.DUMMYFUNCTION("IF('From Order'!$A1189=COLUMNS($A1189:D1208), LEFT(INDEX(FILTER(D$1:D1188, D$1:D1188&lt;&gt;""""),COUNTA(FILTER(D$1:D1188, D$1:D1188&lt;&gt;""""))), LEN(INDEX(FILTER(D$1:D1188, D$1:D1188&lt;&gt;""""),COUNTA(FILTER(D$1:D1188, D$1:D1188&lt;&gt;""""))))-1), IF('To Order'!$A1189=COL"&amp;"UMNS($A1189:D1208), D1188&amp;RIGHT(INDIRECT(ADDRESS(ROW(D1189)-1, 'From Order'!$A1189)), 1), D1188))"),"")</f>
        <v/>
      </c>
      <c r="E1189" s="2" t="str">
        <f>IFERROR(__xludf.DUMMYFUNCTION("IF('From Order'!$A1189=COLUMNS($A1189:E1208), LEFT(INDEX(FILTER(E$1:E1188, E$1:E1188&lt;&gt;""""),COUNTA(FILTER(E$1:E1188, E$1:E1188&lt;&gt;""""))), LEN(INDEX(FILTER(E$1:E1188, E$1:E1188&lt;&gt;""""),COUNTA(FILTER(E$1:E1188, E$1:E1188&lt;&gt;""""))))-1), IF('To Order'!$A1189=COL"&amp;"UMNS($A1189:E1208), E1188&amp;RIGHT(INDIRECT(ADDRESS(ROW(E1189)-1, 'From Order'!$A1189)), 1), E1188))"),"")</f>
        <v/>
      </c>
      <c r="F1189" s="2" t="str">
        <f>IFERROR(__xludf.DUMMYFUNCTION("IF('From Order'!$A1189=COLUMNS($A1189:F1208), LEFT(INDEX(FILTER(F$1:F1188, F$1:F1188&lt;&gt;""""),COUNTA(FILTER(F$1:F1188, F$1:F1188&lt;&gt;""""))), LEN(INDEX(FILTER(F$1:F1188, F$1:F1188&lt;&gt;""""),COUNTA(FILTER(F$1:F1188, F$1:F1188&lt;&gt;""""))))-1), IF('To Order'!$A1189=COL"&amp;"UMNS($A1189:F1208), F1188&amp;RIGHT(INDIRECT(ADDRESS(ROW(F1189)-1, 'From Order'!$A1189)), 1), F1188))"),"")</f>
        <v/>
      </c>
      <c r="G1189" s="2" t="str">
        <f>IFERROR(__xludf.DUMMYFUNCTION("IF('From Order'!$A1189=COLUMNS($A1189:G1208), LEFT(INDEX(FILTER(G$1:G1188, G$1:G1188&lt;&gt;""""),COUNTA(FILTER(G$1:G1188, G$1:G1188&lt;&gt;""""))), LEN(INDEX(FILTER(G$1:G1188, G$1:G1188&lt;&gt;""""),COUNTA(FILTER(G$1:G1188, G$1:G1188&lt;&gt;""""))))-1), IF('To Order'!$A1189=COL"&amp;"UMNS($A1189:G1208), G1188&amp;RIGHT(INDIRECT(ADDRESS(ROW(G1189)-1, 'From Order'!$A1189)), 1), G1188))"),"BVSTVF")</f>
        <v>BVSTVF</v>
      </c>
      <c r="H1189" s="2" t="str">
        <f>IFERROR(__xludf.DUMMYFUNCTION("IF('From Order'!$A1189=COLUMNS($A1189:H1208), LEFT(INDEX(FILTER(H$1:H1188, H$1:H1188&lt;&gt;""""),COUNTA(FILTER(H$1:H1188, H$1:H1188&lt;&gt;""""))), LEN(INDEX(FILTER(H$1:H1188, H$1:H1188&lt;&gt;""""),COUNTA(FILTER(H$1:H1188, H$1:H1188&lt;&gt;""""))))-1), IF('To Order'!$A1189=COL"&amp;"UMNS($A1189:H1208), H1188&amp;RIGHT(INDIRECT(ADDRESS(ROW(H1189)-1, 'From Order'!$A1189)), 1), H1188))"),"")</f>
        <v/>
      </c>
      <c r="I1189" s="2" t="str">
        <f>IFERROR(__xludf.DUMMYFUNCTION("IF('From Order'!$A1189=COLUMNS($A1189:I1208), LEFT(INDEX(FILTER(I$1:I1188, I$1:I1188&lt;&gt;""""),COUNTA(FILTER(I$1:I1188, I$1:I1188&lt;&gt;""""))), LEN(INDEX(FILTER(I$1:I1188, I$1:I1188&lt;&gt;""""),COUNTA(FILTER(I$1:I1188, I$1:I1188&lt;&gt;""""))))-1), IF('To Order'!$A1189=COL"&amp;"UMNS($A1189:I1208), I1188&amp;RIGHT(INDIRECT(ADDRESS(ROW(I1189)-1, 'From Order'!$A1189)), 1), I1188))"),"S")</f>
        <v>S</v>
      </c>
    </row>
    <row r="1190">
      <c r="A1190" s="2" t="str">
        <f>IFERROR(__xludf.DUMMYFUNCTION("IF('From Order'!$A1190=COLUMNS($A1190:A1209), LEFT(INDEX(FILTER(A$1:A1189, A$1:A1189&lt;&gt;""""),COUNTA(FILTER(A$1:A1189, A$1:A1189&lt;&gt;""""))), LEN(INDEX(FILTER(A$1:A1189, A$1:A1189&lt;&gt;""""),COUNTA(FILTER(A$1:A1189, A$1:A1189&lt;&gt;""""))))-1), IF('To Order'!$A1190=COL"&amp;"UMNS($A1190:A1209), A1189&amp;RIGHT(INDIRECT(ADDRESS(ROW(A1190)-1, 'From Order'!$A1190)), 1), A1189))"),"HZBSBDJDMFBTJCZRDCRCTMRWTD")</f>
        <v>HZBSBDJDMFBTJCZRDCRCTMRWTD</v>
      </c>
      <c r="B1190" s="2" t="str">
        <f>IFERROR(__xludf.DUMMYFUNCTION("IF('From Order'!$A1190=COLUMNS($A1190:B1209), LEFT(INDEX(FILTER(B$1:B1189, B$1:B1189&lt;&gt;""""),COUNTA(FILTER(B$1:B1189, B$1:B1189&lt;&gt;""""))), LEN(INDEX(FILTER(B$1:B1189, B$1:B1189&lt;&gt;""""),COUNTA(FILTER(B$1:B1189, B$1:B1189&lt;&gt;""""))))-1), IF('To Order'!$A1190=COL"&amp;"UMNS($A1190:B1209), B1189&amp;RIGHT(INDIRECT(ADDRESS(ROW(B1190)-1, 'From Order'!$A1190)), 1), B1189))"),"ZLPD")</f>
        <v>ZLPD</v>
      </c>
      <c r="C1190" s="2" t="str">
        <f>IFERROR(__xludf.DUMMYFUNCTION("IF('From Order'!$A1190=COLUMNS($A1190:C1209), LEFT(INDEX(FILTER(C$1:C1189, C$1:C1189&lt;&gt;""""),COUNTA(FILTER(C$1:C1189, C$1:C1189&lt;&gt;""""))), LEN(INDEX(FILTER(C$1:C1189, C$1:C1189&lt;&gt;""""),COUNTA(FILTER(C$1:C1189, C$1:C1189&lt;&gt;""""))))-1), IF('To Order'!$A1190=COL"&amp;"UMNS($A1190:C1209), C1189&amp;RIGHT(INDIRECT(ADDRESS(ROW(C1190)-1, 'From Order'!$A1190)), 1), C1189))"),"TRLRSGHWQVQJPPLDTMG")</f>
        <v>TRLRSGHWQVQJPPLDTMG</v>
      </c>
      <c r="D1190" s="2" t="str">
        <f>IFERROR(__xludf.DUMMYFUNCTION("IF('From Order'!$A1190=COLUMNS($A1190:D1209), LEFT(INDEX(FILTER(D$1:D1189, D$1:D1189&lt;&gt;""""),COUNTA(FILTER(D$1:D1189, D$1:D1189&lt;&gt;""""))), LEN(INDEX(FILTER(D$1:D1189, D$1:D1189&lt;&gt;""""),COUNTA(FILTER(D$1:D1189, D$1:D1189&lt;&gt;""""))))-1), IF('To Order'!$A1190=COL"&amp;"UMNS($A1190:D1209), D1189&amp;RIGHT(INDIRECT(ADDRESS(ROW(D1190)-1, 'From Order'!$A1190)), 1), D1189))"),"")</f>
        <v/>
      </c>
      <c r="E1190" s="2" t="str">
        <f>IFERROR(__xludf.DUMMYFUNCTION("IF('From Order'!$A1190=COLUMNS($A1190:E1209), LEFT(INDEX(FILTER(E$1:E1189, E$1:E1189&lt;&gt;""""),COUNTA(FILTER(E$1:E1189, E$1:E1189&lt;&gt;""""))), LEN(INDEX(FILTER(E$1:E1189, E$1:E1189&lt;&gt;""""),COUNTA(FILTER(E$1:E1189, E$1:E1189&lt;&gt;""""))))-1), IF('To Order'!$A1190=COL"&amp;"UMNS($A1190:E1209), E1189&amp;RIGHT(INDIRECT(ADDRESS(ROW(E1190)-1, 'From Order'!$A1190)), 1), E1189))"),"")</f>
        <v/>
      </c>
      <c r="F1190" s="2" t="str">
        <f>IFERROR(__xludf.DUMMYFUNCTION("IF('From Order'!$A1190=COLUMNS($A1190:F1209), LEFT(INDEX(FILTER(F$1:F1189, F$1:F1189&lt;&gt;""""),COUNTA(FILTER(F$1:F1189, F$1:F1189&lt;&gt;""""))), LEN(INDEX(FILTER(F$1:F1189, F$1:F1189&lt;&gt;""""),COUNTA(FILTER(F$1:F1189, F$1:F1189&lt;&gt;""""))))-1), IF('To Order'!$A1190=COL"&amp;"UMNS($A1190:F1209), F1189&amp;RIGHT(INDIRECT(ADDRESS(ROW(F1190)-1, 'From Order'!$A1190)), 1), F1189))"),"")</f>
        <v/>
      </c>
      <c r="G1190" s="2" t="str">
        <f>IFERROR(__xludf.DUMMYFUNCTION("IF('From Order'!$A1190=COLUMNS($A1190:G1209), LEFT(INDEX(FILTER(G$1:G1189, G$1:G1189&lt;&gt;""""),COUNTA(FILTER(G$1:G1189, G$1:G1189&lt;&gt;""""))), LEN(INDEX(FILTER(G$1:G1189, G$1:G1189&lt;&gt;""""),COUNTA(FILTER(G$1:G1189, G$1:G1189&lt;&gt;""""))))-1), IF('To Order'!$A1190=COL"&amp;"UMNS($A1190:G1209), G1189&amp;RIGHT(INDIRECT(ADDRESS(ROW(G1190)-1, 'From Order'!$A1190)), 1), G1189))"),"BVSTV")</f>
        <v>BVSTV</v>
      </c>
      <c r="H1190" s="2" t="str">
        <f>IFERROR(__xludf.DUMMYFUNCTION("IF('From Order'!$A1190=COLUMNS($A1190:H1209), LEFT(INDEX(FILTER(H$1:H1189, H$1:H1189&lt;&gt;""""),COUNTA(FILTER(H$1:H1189, H$1:H1189&lt;&gt;""""))), LEN(INDEX(FILTER(H$1:H1189, H$1:H1189&lt;&gt;""""),COUNTA(FILTER(H$1:H1189, H$1:H1189&lt;&gt;""""))))-1), IF('To Order'!$A1190=COL"&amp;"UMNS($A1190:H1209), H1189&amp;RIGHT(INDIRECT(ADDRESS(ROW(H1190)-1, 'From Order'!$A1190)), 1), H1189))"),"")</f>
        <v/>
      </c>
      <c r="I1190" s="2" t="str">
        <f>IFERROR(__xludf.DUMMYFUNCTION("IF('From Order'!$A1190=COLUMNS($A1190:I1209), LEFT(INDEX(FILTER(I$1:I1189, I$1:I1189&lt;&gt;""""),COUNTA(FILTER(I$1:I1189, I$1:I1189&lt;&gt;""""))), LEN(INDEX(FILTER(I$1:I1189, I$1:I1189&lt;&gt;""""),COUNTA(FILTER(I$1:I1189, I$1:I1189&lt;&gt;""""))))-1), IF('To Order'!$A1190=COL"&amp;"UMNS($A1190:I1209), I1189&amp;RIGHT(INDIRECT(ADDRESS(ROW(I1190)-1, 'From Order'!$A1190)), 1), I1189))"),"SF")</f>
        <v>SF</v>
      </c>
    </row>
    <row r="1191">
      <c r="A1191" s="2" t="str">
        <f>IFERROR(__xludf.DUMMYFUNCTION("IF('From Order'!$A1191=COLUMNS($A1191:A1210), LEFT(INDEX(FILTER(A$1:A1190, A$1:A1190&lt;&gt;""""),COUNTA(FILTER(A$1:A1190, A$1:A1190&lt;&gt;""""))), LEN(INDEX(FILTER(A$1:A1190, A$1:A1190&lt;&gt;""""),COUNTA(FILTER(A$1:A1190, A$1:A1190&lt;&gt;""""))))-1), IF('To Order'!$A1191=COL"&amp;"UMNS($A1191:A1210), A1190&amp;RIGHT(INDIRECT(ADDRESS(ROW(A1191)-1, 'From Order'!$A1191)), 1), A1190))"),"HZBSBDJDMFBTJCZRDCRCTMRWTD")</f>
        <v>HZBSBDJDMFBTJCZRDCRCTMRWTD</v>
      </c>
      <c r="B1191" s="2" t="str">
        <f>IFERROR(__xludf.DUMMYFUNCTION("IF('From Order'!$A1191=COLUMNS($A1191:B1210), LEFT(INDEX(FILTER(B$1:B1190, B$1:B1190&lt;&gt;""""),COUNTA(FILTER(B$1:B1190, B$1:B1190&lt;&gt;""""))), LEN(INDEX(FILTER(B$1:B1190, B$1:B1190&lt;&gt;""""),COUNTA(FILTER(B$1:B1190, B$1:B1190&lt;&gt;""""))))-1), IF('To Order'!$A1191=COL"&amp;"UMNS($A1191:B1210), B1190&amp;RIGHT(INDIRECT(ADDRESS(ROW(B1191)-1, 'From Order'!$A1191)), 1), B1190))"),"ZLPD")</f>
        <v>ZLPD</v>
      </c>
      <c r="C1191" s="2" t="str">
        <f>IFERROR(__xludf.DUMMYFUNCTION("IF('From Order'!$A1191=COLUMNS($A1191:C1210), LEFT(INDEX(FILTER(C$1:C1190, C$1:C1190&lt;&gt;""""),COUNTA(FILTER(C$1:C1190, C$1:C1190&lt;&gt;""""))), LEN(INDEX(FILTER(C$1:C1190, C$1:C1190&lt;&gt;""""),COUNTA(FILTER(C$1:C1190, C$1:C1190&lt;&gt;""""))))-1), IF('To Order'!$A1191=COL"&amp;"UMNS($A1191:C1210), C1190&amp;RIGHT(INDIRECT(ADDRESS(ROW(C1191)-1, 'From Order'!$A1191)), 1), C1190))"),"TRLRSGHWQVQJPPLDTMG")</f>
        <v>TRLRSGHWQVQJPPLDTMG</v>
      </c>
      <c r="D1191" s="2" t="str">
        <f>IFERROR(__xludf.DUMMYFUNCTION("IF('From Order'!$A1191=COLUMNS($A1191:D1210), LEFT(INDEX(FILTER(D$1:D1190, D$1:D1190&lt;&gt;""""),COUNTA(FILTER(D$1:D1190, D$1:D1190&lt;&gt;""""))), LEN(INDEX(FILTER(D$1:D1190, D$1:D1190&lt;&gt;""""),COUNTA(FILTER(D$1:D1190, D$1:D1190&lt;&gt;""""))))-1), IF('To Order'!$A1191=COL"&amp;"UMNS($A1191:D1210), D1190&amp;RIGHT(INDIRECT(ADDRESS(ROW(D1191)-1, 'From Order'!$A1191)), 1), D1190))"),"")</f>
        <v/>
      </c>
      <c r="E1191" s="2" t="str">
        <f>IFERROR(__xludf.DUMMYFUNCTION("IF('From Order'!$A1191=COLUMNS($A1191:E1210), LEFT(INDEX(FILTER(E$1:E1190, E$1:E1190&lt;&gt;""""),COUNTA(FILTER(E$1:E1190, E$1:E1190&lt;&gt;""""))), LEN(INDEX(FILTER(E$1:E1190, E$1:E1190&lt;&gt;""""),COUNTA(FILTER(E$1:E1190, E$1:E1190&lt;&gt;""""))))-1), IF('To Order'!$A1191=COL"&amp;"UMNS($A1191:E1210), E1190&amp;RIGHT(INDIRECT(ADDRESS(ROW(E1191)-1, 'From Order'!$A1191)), 1), E1190))"),"")</f>
        <v/>
      </c>
      <c r="F1191" s="2" t="str">
        <f>IFERROR(__xludf.DUMMYFUNCTION("IF('From Order'!$A1191=COLUMNS($A1191:F1210), LEFT(INDEX(FILTER(F$1:F1190, F$1:F1190&lt;&gt;""""),COUNTA(FILTER(F$1:F1190, F$1:F1190&lt;&gt;""""))), LEN(INDEX(FILTER(F$1:F1190, F$1:F1190&lt;&gt;""""),COUNTA(FILTER(F$1:F1190, F$1:F1190&lt;&gt;""""))))-1), IF('To Order'!$A1191=COL"&amp;"UMNS($A1191:F1210), F1190&amp;RIGHT(INDIRECT(ADDRESS(ROW(F1191)-1, 'From Order'!$A1191)), 1), F1190))"),"")</f>
        <v/>
      </c>
      <c r="G1191" s="2" t="str">
        <f>IFERROR(__xludf.DUMMYFUNCTION("IF('From Order'!$A1191=COLUMNS($A1191:G1210), LEFT(INDEX(FILTER(G$1:G1190, G$1:G1190&lt;&gt;""""),COUNTA(FILTER(G$1:G1190, G$1:G1190&lt;&gt;""""))), LEN(INDEX(FILTER(G$1:G1190, G$1:G1190&lt;&gt;""""),COUNTA(FILTER(G$1:G1190, G$1:G1190&lt;&gt;""""))))-1), IF('To Order'!$A1191=COL"&amp;"UMNS($A1191:G1210), G1190&amp;RIGHT(INDIRECT(ADDRESS(ROW(G1191)-1, 'From Order'!$A1191)), 1), G1190))"),"BVST")</f>
        <v>BVST</v>
      </c>
      <c r="H1191" s="2" t="str">
        <f>IFERROR(__xludf.DUMMYFUNCTION("IF('From Order'!$A1191=COLUMNS($A1191:H1210), LEFT(INDEX(FILTER(H$1:H1190, H$1:H1190&lt;&gt;""""),COUNTA(FILTER(H$1:H1190, H$1:H1190&lt;&gt;""""))), LEN(INDEX(FILTER(H$1:H1190, H$1:H1190&lt;&gt;""""),COUNTA(FILTER(H$1:H1190, H$1:H1190&lt;&gt;""""))))-1), IF('To Order'!$A1191=COL"&amp;"UMNS($A1191:H1210), H1190&amp;RIGHT(INDIRECT(ADDRESS(ROW(H1191)-1, 'From Order'!$A1191)), 1), H1190))"),"")</f>
        <v/>
      </c>
      <c r="I1191" s="2" t="str">
        <f>IFERROR(__xludf.DUMMYFUNCTION("IF('From Order'!$A1191=COLUMNS($A1191:I1210), LEFT(INDEX(FILTER(I$1:I1190, I$1:I1190&lt;&gt;""""),COUNTA(FILTER(I$1:I1190, I$1:I1190&lt;&gt;""""))), LEN(INDEX(FILTER(I$1:I1190, I$1:I1190&lt;&gt;""""),COUNTA(FILTER(I$1:I1190, I$1:I1190&lt;&gt;""""))))-1), IF('To Order'!$A1191=COL"&amp;"UMNS($A1191:I1210), I1190&amp;RIGHT(INDIRECT(ADDRESS(ROW(I1191)-1, 'From Order'!$A1191)), 1), I1190))"),"SFV")</f>
        <v>SFV</v>
      </c>
    </row>
    <row r="1192">
      <c r="A1192" s="2" t="str">
        <f>IFERROR(__xludf.DUMMYFUNCTION("IF('From Order'!$A1192=COLUMNS($A1192:A1211), LEFT(INDEX(FILTER(A$1:A1191, A$1:A1191&lt;&gt;""""),COUNTA(FILTER(A$1:A1191, A$1:A1191&lt;&gt;""""))), LEN(INDEX(FILTER(A$1:A1191, A$1:A1191&lt;&gt;""""),COUNTA(FILTER(A$1:A1191, A$1:A1191&lt;&gt;""""))))-1), IF('To Order'!$A1192=COL"&amp;"UMNS($A1192:A1211), A1191&amp;RIGHT(INDIRECT(ADDRESS(ROW(A1192)-1, 'From Order'!$A1192)), 1), A1191))"),"HZBSBDJDMFBTJCZRDCRCTMRWTD")</f>
        <v>HZBSBDJDMFBTJCZRDCRCTMRWTD</v>
      </c>
      <c r="B1192" s="2" t="str">
        <f>IFERROR(__xludf.DUMMYFUNCTION("IF('From Order'!$A1192=COLUMNS($A1192:B1211), LEFT(INDEX(FILTER(B$1:B1191, B$1:B1191&lt;&gt;""""),COUNTA(FILTER(B$1:B1191, B$1:B1191&lt;&gt;""""))), LEN(INDEX(FILTER(B$1:B1191, B$1:B1191&lt;&gt;""""),COUNTA(FILTER(B$1:B1191, B$1:B1191&lt;&gt;""""))))-1), IF('To Order'!$A1192=COL"&amp;"UMNS($A1192:B1211), B1191&amp;RIGHT(INDIRECT(ADDRESS(ROW(B1192)-1, 'From Order'!$A1192)), 1), B1191))"),"ZLPD")</f>
        <v>ZLPD</v>
      </c>
      <c r="C1192" s="2" t="str">
        <f>IFERROR(__xludf.DUMMYFUNCTION("IF('From Order'!$A1192=COLUMNS($A1192:C1211), LEFT(INDEX(FILTER(C$1:C1191, C$1:C1191&lt;&gt;""""),COUNTA(FILTER(C$1:C1191, C$1:C1191&lt;&gt;""""))), LEN(INDEX(FILTER(C$1:C1191, C$1:C1191&lt;&gt;""""),COUNTA(FILTER(C$1:C1191, C$1:C1191&lt;&gt;""""))))-1), IF('To Order'!$A1192=COL"&amp;"UMNS($A1192:C1211), C1191&amp;RIGHT(INDIRECT(ADDRESS(ROW(C1192)-1, 'From Order'!$A1192)), 1), C1191))"),"TRLRSGHWQVQJPPLDTMG")</f>
        <v>TRLRSGHWQVQJPPLDTMG</v>
      </c>
      <c r="D1192" s="2" t="str">
        <f>IFERROR(__xludf.DUMMYFUNCTION("IF('From Order'!$A1192=COLUMNS($A1192:D1211), LEFT(INDEX(FILTER(D$1:D1191, D$1:D1191&lt;&gt;""""),COUNTA(FILTER(D$1:D1191, D$1:D1191&lt;&gt;""""))), LEN(INDEX(FILTER(D$1:D1191, D$1:D1191&lt;&gt;""""),COUNTA(FILTER(D$1:D1191, D$1:D1191&lt;&gt;""""))))-1), IF('To Order'!$A1192=COL"&amp;"UMNS($A1192:D1211), D1191&amp;RIGHT(INDIRECT(ADDRESS(ROW(D1192)-1, 'From Order'!$A1192)), 1), D1191))"),"")</f>
        <v/>
      </c>
      <c r="E1192" s="2" t="str">
        <f>IFERROR(__xludf.DUMMYFUNCTION("IF('From Order'!$A1192=COLUMNS($A1192:E1211), LEFT(INDEX(FILTER(E$1:E1191, E$1:E1191&lt;&gt;""""),COUNTA(FILTER(E$1:E1191, E$1:E1191&lt;&gt;""""))), LEN(INDEX(FILTER(E$1:E1191, E$1:E1191&lt;&gt;""""),COUNTA(FILTER(E$1:E1191, E$1:E1191&lt;&gt;""""))))-1), IF('To Order'!$A1192=COL"&amp;"UMNS($A1192:E1211), E1191&amp;RIGHT(INDIRECT(ADDRESS(ROW(E1192)-1, 'From Order'!$A1192)), 1), E1191))"),"")</f>
        <v/>
      </c>
      <c r="F1192" s="2" t="str">
        <f>IFERROR(__xludf.DUMMYFUNCTION("IF('From Order'!$A1192=COLUMNS($A1192:F1211), LEFT(INDEX(FILTER(F$1:F1191, F$1:F1191&lt;&gt;""""),COUNTA(FILTER(F$1:F1191, F$1:F1191&lt;&gt;""""))), LEN(INDEX(FILTER(F$1:F1191, F$1:F1191&lt;&gt;""""),COUNTA(FILTER(F$1:F1191, F$1:F1191&lt;&gt;""""))))-1), IF('To Order'!$A1192=COL"&amp;"UMNS($A1192:F1211), F1191&amp;RIGHT(INDIRECT(ADDRESS(ROW(F1192)-1, 'From Order'!$A1192)), 1), F1191))"),"")</f>
        <v/>
      </c>
      <c r="G1192" s="2" t="str">
        <f>IFERROR(__xludf.DUMMYFUNCTION("IF('From Order'!$A1192=COLUMNS($A1192:G1211), LEFT(INDEX(FILTER(G$1:G1191, G$1:G1191&lt;&gt;""""),COUNTA(FILTER(G$1:G1191, G$1:G1191&lt;&gt;""""))), LEN(INDEX(FILTER(G$1:G1191, G$1:G1191&lt;&gt;""""),COUNTA(FILTER(G$1:G1191, G$1:G1191&lt;&gt;""""))))-1), IF('To Order'!$A1192=COL"&amp;"UMNS($A1192:G1211), G1191&amp;RIGHT(INDIRECT(ADDRESS(ROW(G1192)-1, 'From Order'!$A1192)), 1), G1191))"),"BVS")</f>
        <v>BVS</v>
      </c>
      <c r="H1192" s="2" t="str">
        <f>IFERROR(__xludf.DUMMYFUNCTION("IF('From Order'!$A1192=COLUMNS($A1192:H1211), LEFT(INDEX(FILTER(H$1:H1191, H$1:H1191&lt;&gt;""""),COUNTA(FILTER(H$1:H1191, H$1:H1191&lt;&gt;""""))), LEN(INDEX(FILTER(H$1:H1191, H$1:H1191&lt;&gt;""""),COUNTA(FILTER(H$1:H1191, H$1:H1191&lt;&gt;""""))))-1), IF('To Order'!$A1192=COL"&amp;"UMNS($A1192:H1211), H1191&amp;RIGHT(INDIRECT(ADDRESS(ROW(H1192)-1, 'From Order'!$A1192)), 1), H1191))"),"")</f>
        <v/>
      </c>
      <c r="I1192" s="2" t="str">
        <f>IFERROR(__xludf.DUMMYFUNCTION("IF('From Order'!$A1192=COLUMNS($A1192:I1211), LEFT(INDEX(FILTER(I$1:I1191, I$1:I1191&lt;&gt;""""),COUNTA(FILTER(I$1:I1191, I$1:I1191&lt;&gt;""""))), LEN(INDEX(FILTER(I$1:I1191, I$1:I1191&lt;&gt;""""),COUNTA(FILTER(I$1:I1191, I$1:I1191&lt;&gt;""""))))-1), IF('To Order'!$A1192=COL"&amp;"UMNS($A1192:I1211), I1191&amp;RIGHT(INDIRECT(ADDRESS(ROW(I1192)-1, 'From Order'!$A1192)), 1), I1191))"),"SFVT")</f>
        <v>SFVT</v>
      </c>
    </row>
    <row r="1193">
      <c r="A1193" s="2" t="str">
        <f>IFERROR(__xludf.DUMMYFUNCTION("IF('From Order'!$A1193=COLUMNS($A1193:A1212), LEFT(INDEX(FILTER(A$1:A1192, A$1:A1192&lt;&gt;""""),COUNTA(FILTER(A$1:A1192, A$1:A1192&lt;&gt;""""))), LEN(INDEX(FILTER(A$1:A1192, A$1:A1192&lt;&gt;""""),COUNTA(FILTER(A$1:A1192, A$1:A1192&lt;&gt;""""))))-1), IF('To Order'!$A1193=COL"&amp;"UMNS($A1193:A1212), A1192&amp;RIGHT(INDIRECT(ADDRESS(ROW(A1193)-1, 'From Order'!$A1193)), 1), A1192))"),"HZBSBDJDMFBTJCZRDCRCTMRWTD")</f>
        <v>HZBSBDJDMFBTJCZRDCRCTMRWTD</v>
      </c>
      <c r="B1193" s="2" t="str">
        <f>IFERROR(__xludf.DUMMYFUNCTION("IF('From Order'!$A1193=COLUMNS($A1193:B1212), LEFT(INDEX(FILTER(B$1:B1192, B$1:B1192&lt;&gt;""""),COUNTA(FILTER(B$1:B1192, B$1:B1192&lt;&gt;""""))), LEN(INDEX(FILTER(B$1:B1192, B$1:B1192&lt;&gt;""""),COUNTA(FILTER(B$1:B1192, B$1:B1192&lt;&gt;""""))))-1), IF('To Order'!$A1193=COL"&amp;"UMNS($A1193:B1212), B1192&amp;RIGHT(INDIRECT(ADDRESS(ROW(B1193)-1, 'From Order'!$A1193)), 1), B1192))"),"ZLPD")</f>
        <v>ZLPD</v>
      </c>
      <c r="C1193" s="2" t="str">
        <f>IFERROR(__xludf.DUMMYFUNCTION("IF('From Order'!$A1193=COLUMNS($A1193:C1212), LEFT(INDEX(FILTER(C$1:C1192, C$1:C1192&lt;&gt;""""),COUNTA(FILTER(C$1:C1192, C$1:C1192&lt;&gt;""""))), LEN(INDEX(FILTER(C$1:C1192, C$1:C1192&lt;&gt;""""),COUNTA(FILTER(C$1:C1192, C$1:C1192&lt;&gt;""""))))-1), IF('To Order'!$A1193=COL"&amp;"UMNS($A1193:C1212), C1192&amp;RIGHT(INDIRECT(ADDRESS(ROW(C1193)-1, 'From Order'!$A1193)), 1), C1192))"),"TRLRSGHWQVQJPPLDTMG")</f>
        <v>TRLRSGHWQVQJPPLDTMG</v>
      </c>
      <c r="D1193" s="2" t="str">
        <f>IFERROR(__xludf.DUMMYFUNCTION("IF('From Order'!$A1193=COLUMNS($A1193:D1212), LEFT(INDEX(FILTER(D$1:D1192, D$1:D1192&lt;&gt;""""),COUNTA(FILTER(D$1:D1192, D$1:D1192&lt;&gt;""""))), LEN(INDEX(FILTER(D$1:D1192, D$1:D1192&lt;&gt;""""),COUNTA(FILTER(D$1:D1192, D$1:D1192&lt;&gt;""""))))-1), IF('To Order'!$A1193=COL"&amp;"UMNS($A1193:D1212), D1192&amp;RIGHT(INDIRECT(ADDRESS(ROW(D1193)-1, 'From Order'!$A1193)), 1), D1192))"),"")</f>
        <v/>
      </c>
      <c r="E1193" s="2" t="str">
        <f>IFERROR(__xludf.DUMMYFUNCTION("IF('From Order'!$A1193=COLUMNS($A1193:E1212), LEFT(INDEX(FILTER(E$1:E1192, E$1:E1192&lt;&gt;""""),COUNTA(FILTER(E$1:E1192, E$1:E1192&lt;&gt;""""))), LEN(INDEX(FILTER(E$1:E1192, E$1:E1192&lt;&gt;""""),COUNTA(FILTER(E$1:E1192, E$1:E1192&lt;&gt;""""))))-1), IF('To Order'!$A1193=COL"&amp;"UMNS($A1193:E1212), E1192&amp;RIGHT(INDIRECT(ADDRESS(ROW(E1193)-1, 'From Order'!$A1193)), 1), E1192))"),"")</f>
        <v/>
      </c>
      <c r="F1193" s="2" t="str">
        <f>IFERROR(__xludf.DUMMYFUNCTION("IF('From Order'!$A1193=COLUMNS($A1193:F1212), LEFT(INDEX(FILTER(F$1:F1192, F$1:F1192&lt;&gt;""""),COUNTA(FILTER(F$1:F1192, F$1:F1192&lt;&gt;""""))), LEN(INDEX(FILTER(F$1:F1192, F$1:F1192&lt;&gt;""""),COUNTA(FILTER(F$1:F1192, F$1:F1192&lt;&gt;""""))))-1), IF('To Order'!$A1193=COL"&amp;"UMNS($A1193:F1212), F1192&amp;RIGHT(INDIRECT(ADDRESS(ROW(F1193)-1, 'From Order'!$A1193)), 1), F1192))"),"")</f>
        <v/>
      </c>
      <c r="G1193" s="2" t="str">
        <f>IFERROR(__xludf.DUMMYFUNCTION("IF('From Order'!$A1193=COLUMNS($A1193:G1212), LEFT(INDEX(FILTER(G$1:G1192, G$1:G1192&lt;&gt;""""),COUNTA(FILTER(G$1:G1192, G$1:G1192&lt;&gt;""""))), LEN(INDEX(FILTER(G$1:G1192, G$1:G1192&lt;&gt;""""),COUNTA(FILTER(G$1:G1192, G$1:G1192&lt;&gt;""""))))-1), IF('To Order'!$A1193=COL"&amp;"UMNS($A1193:G1212), G1192&amp;RIGHT(INDIRECT(ADDRESS(ROW(G1193)-1, 'From Order'!$A1193)), 1), G1192))"),"BV")</f>
        <v>BV</v>
      </c>
      <c r="H1193" s="2" t="str">
        <f>IFERROR(__xludf.DUMMYFUNCTION("IF('From Order'!$A1193=COLUMNS($A1193:H1212), LEFT(INDEX(FILTER(H$1:H1192, H$1:H1192&lt;&gt;""""),COUNTA(FILTER(H$1:H1192, H$1:H1192&lt;&gt;""""))), LEN(INDEX(FILTER(H$1:H1192, H$1:H1192&lt;&gt;""""),COUNTA(FILTER(H$1:H1192, H$1:H1192&lt;&gt;""""))))-1), IF('To Order'!$A1193=COL"&amp;"UMNS($A1193:H1212), H1192&amp;RIGHT(INDIRECT(ADDRESS(ROW(H1193)-1, 'From Order'!$A1193)), 1), H1192))"),"")</f>
        <v/>
      </c>
      <c r="I1193" s="2" t="str">
        <f>IFERROR(__xludf.DUMMYFUNCTION("IF('From Order'!$A1193=COLUMNS($A1193:I1212), LEFT(INDEX(FILTER(I$1:I1192, I$1:I1192&lt;&gt;""""),COUNTA(FILTER(I$1:I1192, I$1:I1192&lt;&gt;""""))), LEN(INDEX(FILTER(I$1:I1192, I$1:I1192&lt;&gt;""""),COUNTA(FILTER(I$1:I1192, I$1:I1192&lt;&gt;""""))))-1), IF('To Order'!$A1193=COL"&amp;"UMNS($A1193:I1212), I1192&amp;RIGHT(INDIRECT(ADDRESS(ROW(I1193)-1, 'From Order'!$A1193)), 1), I1192))"),"SFVTS")</f>
        <v>SFVTS</v>
      </c>
    </row>
    <row r="1194">
      <c r="A1194" s="2" t="str">
        <f>IFERROR(__xludf.DUMMYFUNCTION("IF('From Order'!$A1194=COLUMNS($A1194:A1213), LEFT(INDEX(FILTER(A$1:A1193, A$1:A1193&lt;&gt;""""),COUNTA(FILTER(A$1:A1193, A$1:A1193&lt;&gt;""""))), LEN(INDEX(FILTER(A$1:A1193, A$1:A1193&lt;&gt;""""),COUNTA(FILTER(A$1:A1193, A$1:A1193&lt;&gt;""""))))-1), IF('To Order'!$A1194=COL"&amp;"UMNS($A1194:A1213), A1193&amp;RIGHT(INDIRECT(ADDRESS(ROW(A1194)-1, 'From Order'!$A1194)), 1), A1193))"),"HZBSBDJDMFBTJCZRDCRCTMRWTD")</f>
        <v>HZBSBDJDMFBTJCZRDCRCTMRWTD</v>
      </c>
      <c r="B1194" s="2" t="str">
        <f>IFERROR(__xludf.DUMMYFUNCTION("IF('From Order'!$A1194=COLUMNS($A1194:B1213), LEFT(INDEX(FILTER(B$1:B1193, B$1:B1193&lt;&gt;""""),COUNTA(FILTER(B$1:B1193, B$1:B1193&lt;&gt;""""))), LEN(INDEX(FILTER(B$1:B1193, B$1:B1193&lt;&gt;""""),COUNTA(FILTER(B$1:B1193, B$1:B1193&lt;&gt;""""))))-1), IF('To Order'!$A1194=COL"&amp;"UMNS($A1194:B1213), B1193&amp;RIGHT(INDIRECT(ADDRESS(ROW(B1194)-1, 'From Order'!$A1194)), 1), B1193))"),"ZLPD")</f>
        <v>ZLPD</v>
      </c>
      <c r="C1194" s="2" t="str">
        <f>IFERROR(__xludf.DUMMYFUNCTION("IF('From Order'!$A1194=COLUMNS($A1194:C1213), LEFT(INDEX(FILTER(C$1:C1193, C$1:C1193&lt;&gt;""""),COUNTA(FILTER(C$1:C1193, C$1:C1193&lt;&gt;""""))), LEN(INDEX(FILTER(C$1:C1193, C$1:C1193&lt;&gt;""""),COUNTA(FILTER(C$1:C1193, C$1:C1193&lt;&gt;""""))))-1), IF('To Order'!$A1194=COL"&amp;"UMNS($A1194:C1213), C1193&amp;RIGHT(INDIRECT(ADDRESS(ROW(C1194)-1, 'From Order'!$A1194)), 1), C1193))"),"TRLRSGHWQVQJPPLDTMG")</f>
        <v>TRLRSGHWQVQJPPLDTMG</v>
      </c>
      <c r="D1194" s="2" t="str">
        <f>IFERROR(__xludf.DUMMYFUNCTION("IF('From Order'!$A1194=COLUMNS($A1194:D1213), LEFT(INDEX(FILTER(D$1:D1193, D$1:D1193&lt;&gt;""""),COUNTA(FILTER(D$1:D1193, D$1:D1193&lt;&gt;""""))), LEN(INDEX(FILTER(D$1:D1193, D$1:D1193&lt;&gt;""""),COUNTA(FILTER(D$1:D1193, D$1:D1193&lt;&gt;""""))))-1), IF('To Order'!$A1194=COL"&amp;"UMNS($A1194:D1213), D1193&amp;RIGHT(INDIRECT(ADDRESS(ROW(D1194)-1, 'From Order'!$A1194)), 1), D1193))"),"")</f>
        <v/>
      </c>
      <c r="E1194" s="2" t="str">
        <f>IFERROR(__xludf.DUMMYFUNCTION("IF('From Order'!$A1194=COLUMNS($A1194:E1213), LEFT(INDEX(FILTER(E$1:E1193, E$1:E1193&lt;&gt;""""),COUNTA(FILTER(E$1:E1193, E$1:E1193&lt;&gt;""""))), LEN(INDEX(FILTER(E$1:E1193, E$1:E1193&lt;&gt;""""),COUNTA(FILTER(E$1:E1193, E$1:E1193&lt;&gt;""""))))-1), IF('To Order'!$A1194=COL"&amp;"UMNS($A1194:E1213), E1193&amp;RIGHT(INDIRECT(ADDRESS(ROW(E1194)-1, 'From Order'!$A1194)), 1), E1193))"),"")</f>
        <v/>
      </c>
      <c r="F1194" s="2" t="str">
        <f>IFERROR(__xludf.DUMMYFUNCTION("IF('From Order'!$A1194=COLUMNS($A1194:F1213), LEFT(INDEX(FILTER(F$1:F1193, F$1:F1193&lt;&gt;""""),COUNTA(FILTER(F$1:F1193, F$1:F1193&lt;&gt;""""))), LEN(INDEX(FILTER(F$1:F1193, F$1:F1193&lt;&gt;""""),COUNTA(FILTER(F$1:F1193, F$1:F1193&lt;&gt;""""))))-1), IF('To Order'!$A1194=COL"&amp;"UMNS($A1194:F1213), F1193&amp;RIGHT(INDIRECT(ADDRESS(ROW(F1194)-1, 'From Order'!$A1194)), 1), F1193))"),"")</f>
        <v/>
      </c>
      <c r="G1194" s="2" t="str">
        <f>IFERROR(__xludf.DUMMYFUNCTION("IF('From Order'!$A1194=COLUMNS($A1194:G1213), LEFT(INDEX(FILTER(G$1:G1193, G$1:G1193&lt;&gt;""""),COUNTA(FILTER(G$1:G1193, G$1:G1193&lt;&gt;""""))), LEN(INDEX(FILTER(G$1:G1193, G$1:G1193&lt;&gt;""""),COUNTA(FILTER(G$1:G1193, G$1:G1193&lt;&gt;""""))))-1), IF('To Order'!$A1194=COL"&amp;"UMNS($A1194:G1213), G1193&amp;RIGHT(INDIRECT(ADDRESS(ROW(G1194)-1, 'From Order'!$A1194)), 1), G1193))"),"B")</f>
        <v>B</v>
      </c>
      <c r="H1194" s="2" t="str">
        <f>IFERROR(__xludf.DUMMYFUNCTION("IF('From Order'!$A1194=COLUMNS($A1194:H1213), LEFT(INDEX(FILTER(H$1:H1193, H$1:H1193&lt;&gt;""""),COUNTA(FILTER(H$1:H1193, H$1:H1193&lt;&gt;""""))), LEN(INDEX(FILTER(H$1:H1193, H$1:H1193&lt;&gt;""""),COUNTA(FILTER(H$1:H1193, H$1:H1193&lt;&gt;""""))))-1), IF('To Order'!$A1194=COL"&amp;"UMNS($A1194:H1213), H1193&amp;RIGHT(INDIRECT(ADDRESS(ROW(H1194)-1, 'From Order'!$A1194)), 1), H1193))"),"")</f>
        <v/>
      </c>
      <c r="I1194" s="2" t="str">
        <f>IFERROR(__xludf.DUMMYFUNCTION("IF('From Order'!$A1194=COLUMNS($A1194:I1213), LEFT(INDEX(FILTER(I$1:I1193, I$1:I1193&lt;&gt;""""),COUNTA(FILTER(I$1:I1193, I$1:I1193&lt;&gt;""""))), LEN(INDEX(FILTER(I$1:I1193, I$1:I1193&lt;&gt;""""),COUNTA(FILTER(I$1:I1193, I$1:I1193&lt;&gt;""""))))-1), IF('To Order'!$A1194=COL"&amp;"UMNS($A1194:I1213), I1193&amp;RIGHT(INDIRECT(ADDRESS(ROW(I1194)-1, 'From Order'!$A1194)), 1), I1193))"),"SFVTSV")</f>
        <v>SFVTSV</v>
      </c>
    </row>
    <row r="1195">
      <c r="A1195" s="2" t="str">
        <f>IFERROR(__xludf.DUMMYFUNCTION("IF('From Order'!$A1195=COLUMNS($A1195:A1214), LEFT(INDEX(FILTER(A$1:A1194, A$1:A1194&lt;&gt;""""),COUNTA(FILTER(A$1:A1194, A$1:A1194&lt;&gt;""""))), LEN(INDEX(FILTER(A$1:A1194, A$1:A1194&lt;&gt;""""),COUNTA(FILTER(A$1:A1194, A$1:A1194&lt;&gt;""""))))-1), IF('To Order'!$A1195=COL"&amp;"UMNS($A1195:A1214), A1194&amp;RIGHT(INDIRECT(ADDRESS(ROW(A1195)-1, 'From Order'!$A1195)), 1), A1194))"),"HZBSBDJDMFBTJCZRDCRCTMRWT")</f>
        <v>HZBSBDJDMFBTJCZRDCRCTMRWT</v>
      </c>
      <c r="B1195" s="2" t="str">
        <f>IFERROR(__xludf.DUMMYFUNCTION("IF('From Order'!$A1195=COLUMNS($A1195:B1214), LEFT(INDEX(FILTER(B$1:B1194, B$1:B1194&lt;&gt;""""),COUNTA(FILTER(B$1:B1194, B$1:B1194&lt;&gt;""""))), LEN(INDEX(FILTER(B$1:B1194, B$1:B1194&lt;&gt;""""),COUNTA(FILTER(B$1:B1194, B$1:B1194&lt;&gt;""""))))-1), IF('To Order'!$A1195=COL"&amp;"UMNS($A1195:B1214), B1194&amp;RIGHT(INDIRECT(ADDRESS(ROW(B1195)-1, 'From Order'!$A1195)), 1), B1194))"),"ZLPD")</f>
        <v>ZLPD</v>
      </c>
      <c r="C1195" s="2" t="str">
        <f>IFERROR(__xludf.DUMMYFUNCTION("IF('From Order'!$A1195=COLUMNS($A1195:C1214), LEFT(INDEX(FILTER(C$1:C1194, C$1:C1194&lt;&gt;""""),COUNTA(FILTER(C$1:C1194, C$1:C1194&lt;&gt;""""))), LEN(INDEX(FILTER(C$1:C1194, C$1:C1194&lt;&gt;""""),COUNTA(FILTER(C$1:C1194, C$1:C1194&lt;&gt;""""))))-1), IF('To Order'!$A1195=COL"&amp;"UMNS($A1195:C1214), C1194&amp;RIGHT(INDIRECT(ADDRESS(ROW(C1195)-1, 'From Order'!$A1195)), 1), C1194))"),"TRLRSGHWQVQJPPLDTMG")</f>
        <v>TRLRSGHWQVQJPPLDTMG</v>
      </c>
      <c r="D1195" s="2" t="str">
        <f>IFERROR(__xludf.DUMMYFUNCTION("IF('From Order'!$A1195=COLUMNS($A1195:D1214), LEFT(INDEX(FILTER(D$1:D1194, D$1:D1194&lt;&gt;""""),COUNTA(FILTER(D$1:D1194, D$1:D1194&lt;&gt;""""))), LEN(INDEX(FILTER(D$1:D1194, D$1:D1194&lt;&gt;""""),COUNTA(FILTER(D$1:D1194, D$1:D1194&lt;&gt;""""))))-1), IF('To Order'!$A1195=COL"&amp;"UMNS($A1195:D1214), D1194&amp;RIGHT(INDIRECT(ADDRESS(ROW(D1195)-1, 'From Order'!$A1195)), 1), D1194))"),"")</f>
        <v/>
      </c>
      <c r="E1195" s="2" t="str">
        <f>IFERROR(__xludf.DUMMYFUNCTION("IF('From Order'!$A1195=COLUMNS($A1195:E1214), LEFT(INDEX(FILTER(E$1:E1194, E$1:E1194&lt;&gt;""""),COUNTA(FILTER(E$1:E1194, E$1:E1194&lt;&gt;""""))), LEN(INDEX(FILTER(E$1:E1194, E$1:E1194&lt;&gt;""""),COUNTA(FILTER(E$1:E1194, E$1:E1194&lt;&gt;""""))))-1), IF('To Order'!$A1195=COL"&amp;"UMNS($A1195:E1214), E1194&amp;RIGHT(INDIRECT(ADDRESS(ROW(E1195)-1, 'From Order'!$A1195)), 1), E1194))"),"")</f>
        <v/>
      </c>
      <c r="F1195" s="2" t="str">
        <f>IFERROR(__xludf.DUMMYFUNCTION("IF('From Order'!$A1195=COLUMNS($A1195:F1214), LEFT(INDEX(FILTER(F$1:F1194, F$1:F1194&lt;&gt;""""),COUNTA(FILTER(F$1:F1194, F$1:F1194&lt;&gt;""""))), LEN(INDEX(FILTER(F$1:F1194, F$1:F1194&lt;&gt;""""),COUNTA(FILTER(F$1:F1194, F$1:F1194&lt;&gt;""""))))-1), IF('To Order'!$A1195=COL"&amp;"UMNS($A1195:F1214), F1194&amp;RIGHT(INDIRECT(ADDRESS(ROW(F1195)-1, 'From Order'!$A1195)), 1), F1194))"),"")</f>
        <v/>
      </c>
      <c r="G1195" s="2" t="str">
        <f>IFERROR(__xludf.DUMMYFUNCTION("IF('From Order'!$A1195=COLUMNS($A1195:G1214), LEFT(INDEX(FILTER(G$1:G1194, G$1:G1194&lt;&gt;""""),COUNTA(FILTER(G$1:G1194, G$1:G1194&lt;&gt;""""))), LEN(INDEX(FILTER(G$1:G1194, G$1:G1194&lt;&gt;""""),COUNTA(FILTER(G$1:G1194, G$1:G1194&lt;&gt;""""))))-1), IF('To Order'!$A1195=COL"&amp;"UMNS($A1195:G1214), G1194&amp;RIGHT(INDIRECT(ADDRESS(ROW(G1195)-1, 'From Order'!$A1195)), 1), G1194))"),"B")</f>
        <v>B</v>
      </c>
      <c r="H1195" s="2" t="str">
        <f>IFERROR(__xludf.DUMMYFUNCTION("IF('From Order'!$A1195=COLUMNS($A1195:H1214), LEFT(INDEX(FILTER(H$1:H1194, H$1:H1194&lt;&gt;""""),COUNTA(FILTER(H$1:H1194, H$1:H1194&lt;&gt;""""))), LEN(INDEX(FILTER(H$1:H1194, H$1:H1194&lt;&gt;""""),COUNTA(FILTER(H$1:H1194, H$1:H1194&lt;&gt;""""))))-1), IF('To Order'!$A1195=COL"&amp;"UMNS($A1195:H1214), H1194&amp;RIGHT(INDIRECT(ADDRESS(ROW(H1195)-1, 'From Order'!$A1195)), 1), H1194))"),"")</f>
        <v/>
      </c>
      <c r="I1195" s="2" t="str">
        <f>IFERROR(__xludf.DUMMYFUNCTION("IF('From Order'!$A1195=COLUMNS($A1195:I1214), LEFT(INDEX(FILTER(I$1:I1194, I$1:I1194&lt;&gt;""""),COUNTA(FILTER(I$1:I1194, I$1:I1194&lt;&gt;""""))), LEN(INDEX(FILTER(I$1:I1194, I$1:I1194&lt;&gt;""""),COUNTA(FILTER(I$1:I1194, I$1:I1194&lt;&gt;""""))))-1), IF('To Order'!$A1195=COL"&amp;"UMNS($A1195:I1214), I1194&amp;RIGHT(INDIRECT(ADDRESS(ROW(I1195)-1, 'From Order'!$A1195)), 1), I1194))"),"SFVTSVD")</f>
        <v>SFVTSVD</v>
      </c>
    </row>
    <row r="1196">
      <c r="A1196" s="2" t="str">
        <f>IFERROR(__xludf.DUMMYFUNCTION("IF('From Order'!$A1196=COLUMNS($A1196:A1215), LEFT(INDEX(FILTER(A$1:A1195, A$1:A1195&lt;&gt;""""),COUNTA(FILTER(A$1:A1195, A$1:A1195&lt;&gt;""""))), LEN(INDEX(FILTER(A$1:A1195, A$1:A1195&lt;&gt;""""),COUNTA(FILTER(A$1:A1195, A$1:A1195&lt;&gt;""""))))-1), IF('To Order'!$A1196=COL"&amp;"UMNS($A1196:A1215), A1195&amp;RIGHT(INDIRECT(ADDRESS(ROW(A1196)-1, 'From Order'!$A1196)), 1), A1195))"),"HZBSBDJDMFBTJCZRDCRCTMRW")</f>
        <v>HZBSBDJDMFBTJCZRDCRCTMRW</v>
      </c>
      <c r="B1196" s="2" t="str">
        <f>IFERROR(__xludf.DUMMYFUNCTION("IF('From Order'!$A1196=COLUMNS($A1196:B1215), LEFT(INDEX(FILTER(B$1:B1195, B$1:B1195&lt;&gt;""""),COUNTA(FILTER(B$1:B1195, B$1:B1195&lt;&gt;""""))), LEN(INDEX(FILTER(B$1:B1195, B$1:B1195&lt;&gt;""""),COUNTA(FILTER(B$1:B1195, B$1:B1195&lt;&gt;""""))))-1), IF('To Order'!$A1196=COL"&amp;"UMNS($A1196:B1215), B1195&amp;RIGHT(INDIRECT(ADDRESS(ROW(B1196)-1, 'From Order'!$A1196)), 1), B1195))"),"ZLPD")</f>
        <v>ZLPD</v>
      </c>
      <c r="C1196" s="2" t="str">
        <f>IFERROR(__xludf.DUMMYFUNCTION("IF('From Order'!$A1196=COLUMNS($A1196:C1215), LEFT(INDEX(FILTER(C$1:C1195, C$1:C1195&lt;&gt;""""),COUNTA(FILTER(C$1:C1195, C$1:C1195&lt;&gt;""""))), LEN(INDEX(FILTER(C$1:C1195, C$1:C1195&lt;&gt;""""),COUNTA(FILTER(C$1:C1195, C$1:C1195&lt;&gt;""""))))-1), IF('To Order'!$A1196=COL"&amp;"UMNS($A1196:C1215), C1195&amp;RIGHT(INDIRECT(ADDRESS(ROW(C1196)-1, 'From Order'!$A1196)), 1), C1195))"),"TRLRSGHWQVQJPPLDTMG")</f>
        <v>TRLRSGHWQVQJPPLDTMG</v>
      </c>
      <c r="D1196" s="2" t="str">
        <f>IFERROR(__xludf.DUMMYFUNCTION("IF('From Order'!$A1196=COLUMNS($A1196:D1215), LEFT(INDEX(FILTER(D$1:D1195, D$1:D1195&lt;&gt;""""),COUNTA(FILTER(D$1:D1195, D$1:D1195&lt;&gt;""""))), LEN(INDEX(FILTER(D$1:D1195, D$1:D1195&lt;&gt;""""),COUNTA(FILTER(D$1:D1195, D$1:D1195&lt;&gt;""""))))-1), IF('To Order'!$A1196=COL"&amp;"UMNS($A1196:D1215), D1195&amp;RIGHT(INDIRECT(ADDRESS(ROW(D1196)-1, 'From Order'!$A1196)), 1), D1195))"),"")</f>
        <v/>
      </c>
      <c r="E1196" s="2" t="str">
        <f>IFERROR(__xludf.DUMMYFUNCTION("IF('From Order'!$A1196=COLUMNS($A1196:E1215), LEFT(INDEX(FILTER(E$1:E1195, E$1:E1195&lt;&gt;""""),COUNTA(FILTER(E$1:E1195, E$1:E1195&lt;&gt;""""))), LEN(INDEX(FILTER(E$1:E1195, E$1:E1195&lt;&gt;""""),COUNTA(FILTER(E$1:E1195, E$1:E1195&lt;&gt;""""))))-1), IF('To Order'!$A1196=COL"&amp;"UMNS($A1196:E1215), E1195&amp;RIGHT(INDIRECT(ADDRESS(ROW(E1196)-1, 'From Order'!$A1196)), 1), E1195))"),"")</f>
        <v/>
      </c>
      <c r="F1196" s="2" t="str">
        <f>IFERROR(__xludf.DUMMYFUNCTION("IF('From Order'!$A1196=COLUMNS($A1196:F1215), LEFT(INDEX(FILTER(F$1:F1195, F$1:F1195&lt;&gt;""""),COUNTA(FILTER(F$1:F1195, F$1:F1195&lt;&gt;""""))), LEN(INDEX(FILTER(F$1:F1195, F$1:F1195&lt;&gt;""""),COUNTA(FILTER(F$1:F1195, F$1:F1195&lt;&gt;""""))))-1), IF('To Order'!$A1196=COL"&amp;"UMNS($A1196:F1215), F1195&amp;RIGHT(INDIRECT(ADDRESS(ROW(F1196)-1, 'From Order'!$A1196)), 1), F1195))"),"")</f>
        <v/>
      </c>
      <c r="G1196" s="2" t="str">
        <f>IFERROR(__xludf.DUMMYFUNCTION("IF('From Order'!$A1196=COLUMNS($A1196:G1215), LEFT(INDEX(FILTER(G$1:G1195, G$1:G1195&lt;&gt;""""),COUNTA(FILTER(G$1:G1195, G$1:G1195&lt;&gt;""""))), LEN(INDEX(FILTER(G$1:G1195, G$1:G1195&lt;&gt;""""),COUNTA(FILTER(G$1:G1195, G$1:G1195&lt;&gt;""""))))-1), IF('To Order'!$A1196=COL"&amp;"UMNS($A1196:G1215), G1195&amp;RIGHT(INDIRECT(ADDRESS(ROW(G1196)-1, 'From Order'!$A1196)), 1), G1195))"),"B")</f>
        <v>B</v>
      </c>
      <c r="H1196" s="2" t="str">
        <f>IFERROR(__xludf.DUMMYFUNCTION("IF('From Order'!$A1196=COLUMNS($A1196:H1215), LEFT(INDEX(FILTER(H$1:H1195, H$1:H1195&lt;&gt;""""),COUNTA(FILTER(H$1:H1195, H$1:H1195&lt;&gt;""""))), LEN(INDEX(FILTER(H$1:H1195, H$1:H1195&lt;&gt;""""),COUNTA(FILTER(H$1:H1195, H$1:H1195&lt;&gt;""""))))-1), IF('To Order'!$A1196=COL"&amp;"UMNS($A1196:H1215), H1195&amp;RIGHT(INDIRECT(ADDRESS(ROW(H1196)-1, 'From Order'!$A1196)), 1), H1195))"),"")</f>
        <v/>
      </c>
      <c r="I1196" s="2" t="str">
        <f>IFERROR(__xludf.DUMMYFUNCTION("IF('From Order'!$A1196=COLUMNS($A1196:I1215), LEFT(INDEX(FILTER(I$1:I1195, I$1:I1195&lt;&gt;""""),COUNTA(FILTER(I$1:I1195, I$1:I1195&lt;&gt;""""))), LEN(INDEX(FILTER(I$1:I1195, I$1:I1195&lt;&gt;""""),COUNTA(FILTER(I$1:I1195, I$1:I1195&lt;&gt;""""))))-1), IF('To Order'!$A1196=COL"&amp;"UMNS($A1196:I1215), I1195&amp;RIGHT(INDIRECT(ADDRESS(ROW(I1196)-1, 'From Order'!$A1196)), 1), I1195))"),"SFVTSVDT")</f>
        <v>SFVTSVDT</v>
      </c>
    </row>
    <row r="1197">
      <c r="A1197" s="2" t="str">
        <f>IFERROR(__xludf.DUMMYFUNCTION("IF('From Order'!$A1197=COLUMNS($A1197:A1216), LEFT(INDEX(FILTER(A$1:A1196, A$1:A1196&lt;&gt;""""),COUNTA(FILTER(A$1:A1196, A$1:A1196&lt;&gt;""""))), LEN(INDEX(FILTER(A$1:A1196, A$1:A1196&lt;&gt;""""),COUNTA(FILTER(A$1:A1196, A$1:A1196&lt;&gt;""""))))-1), IF('To Order'!$A1197=COL"&amp;"UMNS($A1197:A1216), A1196&amp;RIGHT(INDIRECT(ADDRESS(ROW(A1197)-1, 'From Order'!$A1197)), 1), A1196))"),"HZBSBDJDMFBTJCZRDCRCTMR")</f>
        <v>HZBSBDJDMFBTJCZRDCRCTMR</v>
      </c>
      <c r="B1197" s="2" t="str">
        <f>IFERROR(__xludf.DUMMYFUNCTION("IF('From Order'!$A1197=COLUMNS($A1197:B1216), LEFT(INDEX(FILTER(B$1:B1196, B$1:B1196&lt;&gt;""""),COUNTA(FILTER(B$1:B1196, B$1:B1196&lt;&gt;""""))), LEN(INDEX(FILTER(B$1:B1196, B$1:B1196&lt;&gt;""""),COUNTA(FILTER(B$1:B1196, B$1:B1196&lt;&gt;""""))))-1), IF('To Order'!$A1197=COL"&amp;"UMNS($A1197:B1216), B1196&amp;RIGHT(INDIRECT(ADDRESS(ROW(B1197)-1, 'From Order'!$A1197)), 1), B1196))"),"ZLPD")</f>
        <v>ZLPD</v>
      </c>
      <c r="C1197" s="2" t="str">
        <f>IFERROR(__xludf.DUMMYFUNCTION("IF('From Order'!$A1197=COLUMNS($A1197:C1216), LEFT(INDEX(FILTER(C$1:C1196, C$1:C1196&lt;&gt;""""),COUNTA(FILTER(C$1:C1196, C$1:C1196&lt;&gt;""""))), LEN(INDEX(FILTER(C$1:C1196, C$1:C1196&lt;&gt;""""),COUNTA(FILTER(C$1:C1196, C$1:C1196&lt;&gt;""""))))-1), IF('To Order'!$A1197=COL"&amp;"UMNS($A1197:C1216), C1196&amp;RIGHT(INDIRECT(ADDRESS(ROW(C1197)-1, 'From Order'!$A1197)), 1), C1196))"),"TRLRSGHWQVQJPPLDTMG")</f>
        <v>TRLRSGHWQVQJPPLDTMG</v>
      </c>
      <c r="D1197" s="2" t="str">
        <f>IFERROR(__xludf.DUMMYFUNCTION("IF('From Order'!$A1197=COLUMNS($A1197:D1216), LEFT(INDEX(FILTER(D$1:D1196, D$1:D1196&lt;&gt;""""),COUNTA(FILTER(D$1:D1196, D$1:D1196&lt;&gt;""""))), LEN(INDEX(FILTER(D$1:D1196, D$1:D1196&lt;&gt;""""),COUNTA(FILTER(D$1:D1196, D$1:D1196&lt;&gt;""""))))-1), IF('To Order'!$A1197=COL"&amp;"UMNS($A1197:D1216), D1196&amp;RIGHT(INDIRECT(ADDRESS(ROW(D1197)-1, 'From Order'!$A1197)), 1), D1196))"),"")</f>
        <v/>
      </c>
      <c r="E1197" s="2" t="str">
        <f>IFERROR(__xludf.DUMMYFUNCTION("IF('From Order'!$A1197=COLUMNS($A1197:E1216), LEFT(INDEX(FILTER(E$1:E1196, E$1:E1196&lt;&gt;""""),COUNTA(FILTER(E$1:E1196, E$1:E1196&lt;&gt;""""))), LEN(INDEX(FILTER(E$1:E1196, E$1:E1196&lt;&gt;""""),COUNTA(FILTER(E$1:E1196, E$1:E1196&lt;&gt;""""))))-1), IF('To Order'!$A1197=COL"&amp;"UMNS($A1197:E1216), E1196&amp;RIGHT(INDIRECT(ADDRESS(ROW(E1197)-1, 'From Order'!$A1197)), 1), E1196))"),"")</f>
        <v/>
      </c>
      <c r="F1197" s="2" t="str">
        <f>IFERROR(__xludf.DUMMYFUNCTION("IF('From Order'!$A1197=COLUMNS($A1197:F1216), LEFT(INDEX(FILTER(F$1:F1196, F$1:F1196&lt;&gt;""""),COUNTA(FILTER(F$1:F1196, F$1:F1196&lt;&gt;""""))), LEN(INDEX(FILTER(F$1:F1196, F$1:F1196&lt;&gt;""""),COUNTA(FILTER(F$1:F1196, F$1:F1196&lt;&gt;""""))))-1), IF('To Order'!$A1197=COL"&amp;"UMNS($A1197:F1216), F1196&amp;RIGHT(INDIRECT(ADDRESS(ROW(F1197)-1, 'From Order'!$A1197)), 1), F1196))"),"")</f>
        <v/>
      </c>
      <c r="G1197" s="2" t="str">
        <f>IFERROR(__xludf.DUMMYFUNCTION("IF('From Order'!$A1197=COLUMNS($A1197:G1216), LEFT(INDEX(FILTER(G$1:G1196, G$1:G1196&lt;&gt;""""),COUNTA(FILTER(G$1:G1196, G$1:G1196&lt;&gt;""""))), LEN(INDEX(FILTER(G$1:G1196, G$1:G1196&lt;&gt;""""),COUNTA(FILTER(G$1:G1196, G$1:G1196&lt;&gt;""""))))-1), IF('To Order'!$A1197=COL"&amp;"UMNS($A1197:G1216), G1196&amp;RIGHT(INDIRECT(ADDRESS(ROW(G1197)-1, 'From Order'!$A1197)), 1), G1196))"),"B")</f>
        <v>B</v>
      </c>
      <c r="H1197" s="2" t="str">
        <f>IFERROR(__xludf.DUMMYFUNCTION("IF('From Order'!$A1197=COLUMNS($A1197:H1216), LEFT(INDEX(FILTER(H$1:H1196, H$1:H1196&lt;&gt;""""),COUNTA(FILTER(H$1:H1196, H$1:H1196&lt;&gt;""""))), LEN(INDEX(FILTER(H$1:H1196, H$1:H1196&lt;&gt;""""),COUNTA(FILTER(H$1:H1196, H$1:H1196&lt;&gt;""""))))-1), IF('To Order'!$A1197=COL"&amp;"UMNS($A1197:H1216), H1196&amp;RIGHT(INDIRECT(ADDRESS(ROW(H1197)-1, 'From Order'!$A1197)), 1), H1196))"),"")</f>
        <v/>
      </c>
      <c r="I1197" s="2" t="str">
        <f>IFERROR(__xludf.DUMMYFUNCTION("IF('From Order'!$A1197=COLUMNS($A1197:I1216), LEFT(INDEX(FILTER(I$1:I1196, I$1:I1196&lt;&gt;""""),COUNTA(FILTER(I$1:I1196, I$1:I1196&lt;&gt;""""))), LEN(INDEX(FILTER(I$1:I1196, I$1:I1196&lt;&gt;""""),COUNTA(FILTER(I$1:I1196, I$1:I1196&lt;&gt;""""))))-1), IF('To Order'!$A1197=COL"&amp;"UMNS($A1197:I1216), I1196&amp;RIGHT(INDIRECT(ADDRESS(ROW(I1197)-1, 'From Order'!$A1197)), 1), I1196))"),"SFVTSVDTW")</f>
        <v>SFVTSVDTW</v>
      </c>
    </row>
    <row r="1198">
      <c r="A1198" s="2" t="str">
        <f>IFERROR(__xludf.DUMMYFUNCTION("IF('From Order'!$A1198=COLUMNS($A1198:A1217), LEFT(INDEX(FILTER(A$1:A1197, A$1:A1197&lt;&gt;""""),COUNTA(FILTER(A$1:A1197, A$1:A1197&lt;&gt;""""))), LEN(INDEX(FILTER(A$1:A1197, A$1:A1197&lt;&gt;""""),COUNTA(FILTER(A$1:A1197, A$1:A1197&lt;&gt;""""))))-1), IF('To Order'!$A1198=COL"&amp;"UMNS($A1198:A1217), A1197&amp;RIGHT(INDIRECT(ADDRESS(ROW(A1198)-1, 'From Order'!$A1198)), 1), A1197))"),"HZBSBDJDMFBTJCZRDCRCTM")</f>
        <v>HZBSBDJDMFBTJCZRDCRCTM</v>
      </c>
      <c r="B1198" s="2" t="str">
        <f>IFERROR(__xludf.DUMMYFUNCTION("IF('From Order'!$A1198=COLUMNS($A1198:B1217), LEFT(INDEX(FILTER(B$1:B1197, B$1:B1197&lt;&gt;""""),COUNTA(FILTER(B$1:B1197, B$1:B1197&lt;&gt;""""))), LEN(INDEX(FILTER(B$1:B1197, B$1:B1197&lt;&gt;""""),COUNTA(FILTER(B$1:B1197, B$1:B1197&lt;&gt;""""))))-1), IF('To Order'!$A1198=COL"&amp;"UMNS($A1198:B1217), B1197&amp;RIGHT(INDIRECT(ADDRESS(ROW(B1198)-1, 'From Order'!$A1198)), 1), B1197))"),"ZLPD")</f>
        <v>ZLPD</v>
      </c>
      <c r="C1198" s="2" t="str">
        <f>IFERROR(__xludf.DUMMYFUNCTION("IF('From Order'!$A1198=COLUMNS($A1198:C1217), LEFT(INDEX(FILTER(C$1:C1197, C$1:C1197&lt;&gt;""""),COUNTA(FILTER(C$1:C1197, C$1:C1197&lt;&gt;""""))), LEN(INDEX(FILTER(C$1:C1197, C$1:C1197&lt;&gt;""""),COUNTA(FILTER(C$1:C1197, C$1:C1197&lt;&gt;""""))))-1), IF('To Order'!$A1198=COL"&amp;"UMNS($A1198:C1217), C1197&amp;RIGHT(INDIRECT(ADDRESS(ROW(C1198)-1, 'From Order'!$A1198)), 1), C1197))"),"TRLRSGHWQVQJPPLDTMG")</f>
        <v>TRLRSGHWQVQJPPLDTMG</v>
      </c>
      <c r="D1198" s="2" t="str">
        <f>IFERROR(__xludf.DUMMYFUNCTION("IF('From Order'!$A1198=COLUMNS($A1198:D1217), LEFT(INDEX(FILTER(D$1:D1197, D$1:D1197&lt;&gt;""""),COUNTA(FILTER(D$1:D1197, D$1:D1197&lt;&gt;""""))), LEN(INDEX(FILTER(D$1:D1197, D$1:D1197&lt;&gt;""""),COUNTA(FILTER(D$1:D1197, D$1:D1197&lt;&gt;""""))))-1), IF('To Order'!$A1198=COL"&amp;"UMNS($A1198:D1217), D1197&amp;RIGHT(INDIRECT(ADDRESS(ROW(D1198)-1, 'From Order'!$A1198)), 1), D1197))"),"")</f>
        <v/>
      </c>
      <c r="E1198" s="2" t="str">
        <f>IFERROR(__xludf.DUMMYFUNCTION("IF('From Order'!$A1198=COLUMNS($A1198:E1217), LEFT(INDEX(FILTER(E$1:E1197, E$1:E1197&lt;&gt;""""),COUNTA(FILTER(E$1:E1197, E$1:E1197&lt;&gt;""""))), LEN(INDEX(FILTER(E$1:E1197, E$1:E1197&lt;&gt;""""),COUNTA(FILTER(E$1:E1197, E$1:E1197&lt;&gt;""""))))-1), IF('To Order'!$A1198=COL"&amp;"UMNS($A1198:E1217), E1197&amp;RIGHT(INDIRECT(ADDRESS(ROW(E1198)-1, 'From Order'!$A1198)), 1), E1197))"),"")</f>
        <v/>
      </c>
      <c r="F1198" s="2" t="str">
        <f>IFERROR(__xludf.DUMMYFUNCTION("IF('From Order'!$A1198=COLUMNS($A1198:F1217), LEFT(INDEX(FILTER(F$1:F1197, F$1:F1197&lt;&gt;""""),COUNTA(FILTER(F$1:F1197, F$1:F1197&lt;&gt;""""))), LEN(INDEX(FILTER(F$1:F1197, F$1:F1197&lt;&gt;""""),COUNTA(FILTER(F$1:F1197, F$1:F1197&lt;&gt;""""))))-1), IF('To Order'!$A1198=COL"&amp;"UMNS($A1198:F1217), F1197&amp;RIGHT(INDIRECT(ADDRESS(ROW(F1198)-1, 'From Order'!$A1198)), 1), F1197))"),"")</f>
        <v/>
      </c>
      <c r="G1198" s="2" t="str">
        <f>IFERROR(__xludf.DUMMYFUNCTION("IF('From Order'!$A1198=COLUMNS($A1198:G1217), LEFT(INDEX(FILTER(G$1:G1197, G$1:G1197&lt;&gt;""""),COUNTA(FILTER(G$1:G1197, G$1:G1197&lt;&gt;""""))), LEN(INDEX(FILTER(G$1:G1197, G$1:G1197&lt;&gt;""""),COUNTA(FILTER(G$1:G1197, G$1:G1197&lt;&gt;""""))))-1), IF('To Order'!$A1198=COL"&amp;"UMNS($A1198:G1217), G1197&amp;RIGHT(INDIRECT(ADDRESS(ROW(G1198)-1, 'From Order'!$A1198)), 1), G1197))"),"B")</f>
        <v>B</v>
      </c>
      <c r="H1198" s="2" t="str">
        <f>IFERROR(__xludf.DUMMYFUNCTION("IF('From Order'!$A1198=COLUMNS($A1198:H1217), LEFT(INDEX(FILTER(H$1:H1197, H$1:H1197&lt;&gt;""""),COUNTA(FILTER(H$1:H1197, H$1:H1197&lt;&gt;""""))), LEN(INDEX(FILTER(H$1:H1197, H$1:H1197&lt;&gt;""""),COUNTA(FILTER(H$1:H1197, H$1:H1197&lt;&gt;""""))))-1), IF('To Order'!$A1198=COL"&amp;"UMNS($A1198:H1217), H1197&amp;RIGHT(INDIRECT(ADDRESS(ROW(H1198)-1, 'From Order'!$A1198)), 1), H1197))"),"")</f>
        <v/>
      </c>
      <c r="I1198" s="2" t="str">
        <f>IFERROR(__xludf.DUMMYFUNCTION("IF('From Order'!$A1198=COLUMNS($A1198:I1217), LEFT(INDEX(FILTER(I$1:I1197, I$1:I1197&lt;&gt;""""),COUNTA(FILTER(I$1:I1197, I$1:I1197&lt;&gt;""""))), LEN(INDEX(FILTER(I$1:I1197, I$1:I1197&lt;&gt;""""),COUNTA(FILTER(I$1:I1197, I$1:I1197&lt;&gt;""""))))-1), IF('To Order'!$A1198=COL"&amp;"UMNS($A1198:I1217), I1197&amp;RIGHT(INDIRECT(ADDRESS(ROW(I1198)-1, 'From Order'!$A1198)), 1), I1197))"),"SFVTSVDTWR")</f>
        <v>SFVTSVDTWR</v>
      </c>
    </row>
    <row r="1199">
      <c r="A1199" s="2" t="str">
        <f>IFERROR(__xludf.DUMMYFUNCTION("IF('From Order'!$A1199=COLUMNS($A1199:A1218), LEFT(INDEX(FILTER(A$1:A1198, A$1:A1198&lt;&gt;""""),COUNTA(FILTER(A$1:A1198, A$1:A1198&lt;&gt;""""))), LEN(INDEX(FILTER(A$1:A1198, A$1:A1198&lt;&gt;""""),COUNTA(FILTER(A$1:A1198, A$1:A1198&lt;&gt;""""))))-1), IF('To Order'!$A1199=COL"&amp;"UMNS($A1199:A1218), A1198&amp;RIGHT(INDIRECT(ADDRESS(ROW(A1199)-1, 'From Order'!$A1199)), 1), A1198))"),"HZBSBDJDMFBTJCZRDCRCT")</f>
        <v>HZBSBDJDMFBTJCZRDCRCT</v>
      </c>
      <c r="B1199" s="2" t="str">
        <f>IFERROR(__xludf.DUMMYFUNCTION("IF('From Order'!$A1199=COLUMNS($A1199:B1218), LEFT(INDEX(FILTER(B$1:B1198, B$1:B1198&lt;&gt;""""),COUNTA(FILTER(B$1:B1198, B$1:B1198&lt;&gt;""""))), LEN(INDEX(FILTER(B$1:B1198, B$1:B1198&lt;&gt;""""),COUNTA(FILTER(B$1:B1198, B$1:B1198&lt;&gt;""""))))-1), IF('To Order'!$A1199=COL"&amp;"UMNS($A1199:B1218), B1198&amp;RIGHT(INDIRECT(ADDRESS(ROW(B1199)-1, 'From Order'!$A1199)), 1), B1198))"),"ZLPD")</f>
        <v>ZLPD</v>
      </c>
      <c r="C1199" s="2" t="str">
        <f>IFERROR(__xludf.DUMMYFUNCTION("IF('From Order'!$A1199=COLUMNS($A1199:C1218), LEFT(INDEX(FILTER(C$1:C1198, C$1:C1198&lt;&gt;""""),COUNTA(FILTER(C$1:C1198, C$1:C1198&lt;&gt;""""))), LEN(INDEX(FILTER(C$1:C1198, C$1:C1198&lt;&gt;""""),COUNTA(FILTER(C$1:C1198, C$1:C1198&lt;&gt;""""))))-1), IF('To Order'!$A1199=COL"&amp;"UMNS($A1199:C1218), C1198&amp;RIGHT(INDIRECT(ADDRESS(ROW(C1199)-1, 'From Order'!$A1199)), 1), C1198))"),"TRLRSGHWQVQJPPLDTMG")</f>
        <v>TRLRSGHWQVQJPPLDTMG</v>
      </c>
      <c r="D1199" s="2" t="str">
        <f>IFERROR(__xludf.DUMMYFUNCTION("IF('From Order'!$A1199=COLUMNS($A1199:D1218), LEFT(INDEX(FILTER(D$1:D1198, D$1:D1198&lt;&gt;""""),COUNTA(FILTER(D$1:D1198, D$1:D1198&lt;&gt;""""))), LEN(INDEX(FILTER(D$1:D1198, D$1:D1198&lt;&gt;""""),COUNTA(FILTER(D$1:D1198, D$1:D1198&lt;&gt;""""))))-1), IF('To Order'!$A1199=COL"&amp;"UMNS($A1199:D1218), D1198&amp;RIGHT(INDIRECT(ADDRESS(ROW(D1199)-1, 'From Order'!$A1199)), 1), D1198))"),"")</f>
        <v/>
      </c>
      <c r="E1199" s="2" t="str">
        <f>IFERROR(__xludf.DUMMYFUNCTION("IF('From Order'!$A1199=COLUMNS($A1199:E1218), LEFT(INDEX(FILTER(E$1:E1198, E$1:E1198&lt;&gt;""""),COUNTA(FILTER(E$1:E1198, E$1:E1198&lt;&gt;""""))), LEN(INDEX(FILTER(E$1:E1198, E$1:E1198&lt;&gt;""""),COUNTA(FILTER(E$1:E1198, E$1:E1198&lt;&gt;""""))))-1), IF('To Order'!$A1199=COL"&amp;"UMNS($A1199:E1218), E1198&amp;RIGHT(INDIRECT(ADDRESS(ROW(E1199)-1, 'From Order'!$A1199)), 1), E1198))"),"")</f>
        <v/>
      </c>
      <c r="F1199" s="2" t="str">
        <f>IFERROR(__xludf.DUMMYFUNCTION("IF('From Order'!$A1199=COLUMNS($A1199:F1218), LEFT(INDEX(FILTER(F$1:F1198, F$1:F1198&lt;&gt;""""),COUNTA(FILTER(F$1:F1198, F$1:F1198&lt;&gt;""""))), LEN(INDEX(FILTER(F$1:F1198, F$1:F1198&lt;&gt;""""),COUNTA(FILTER(F$1:F1198, F$1:F1198&lt;&gt;""""))))-1), IF('To Order'!$A1199=COL"&amp;"UMNS($A1199:F1218), F1198&amp;RIGHT(INDIRECT(ADDRESS(ROW(F1199)-1, 'From Order'!$A1199)), 1), F1198))"),"")</f>
        <v/>
      </c>
      <c r="G1199" s="2" t="str">
        <f>IFERROR(__xludf.DUMMYFUNCTION("IF('From Order'!$A1199=COLUMNS($A1199:G1218), LEFT(INDEX(FILTER(G$1:G1198, G$1:G1198&lt;&gt;""""),COUNTA(FILTER(G$1:G1198, G$1:G1198&lt;&gt;""""))), LEN(INDEX(FILTER(G$1:G1198, G$1:G1198&lt;&gt;""""),COUNTA(FILTER(G$1:G1198, G$1:G1198&lt;&gt;""""))))-1), IF('To Order'!$A1199=COL"&amp;"UMNS($A1199:G1218), G1198&amp;RIGHT(INDIRECT(ADDRESS(ROW(G1199)-1, 'From Order'!$A1199)), 1), G1198))"),"B")</f>
        <v>B</v>
      </c>
      <c r="H1199" s="2" t="str">
        <f>IFERROR(__xludf.DUMMYFUNCTION("IF('From Order'!$A1199=COLUMNS($A1199:H1218), LEFT(INDEX(FILTER(H$1:H1198, H$1:H1198&lt;&gt;""""),COUNTA(FILTER(H$1:H1198, H$1:H1198&lt;&gt;""""))), LEN(INDEX(FILTER(H$1:H1198, H$1:H1198&lt;&gt;""""),COUNTA(FILTER(H$1:H1198, H$1:H1198&lt;&gt;""""))))-1), IF('To Order'!$A1199=COL"&amp;"UMNS($A1199:H1218), H1198&amp;RIGHT(INDIRECT(ADDRESS(ROW(H1199)-1, 'From Order'!$A1199)), 1), H1198))"),"")</f>
        <v/>
      </c>
      <c r="I1199" s="2" t="str">
        <f>IFERROR(__xludf.DUMMYFUNCTION("IF('From Order'!$A1199=COLUMNS($A1199:I1218), LEFT(INDEX(FILTER(I$1:I1198, I$1:I1198&lt;&gt;""""),COUNTA(FILTER(I$1:I1198, I$1:I1198&lt;&gt;""""))), LEN(INDEX(FILTER(I$1:I1198, I$1:I1198&lt;&gt;""""),COUNTA(FILTER(I$1:I1198, I$1:I1198&lt;&gt;""""))))-1), IF('To Order'!$A1199=COL"&amp;"UMNS($A1199:I1218), I1198&amp;RIGHT(INDIRECT(ADDRESS(ROW(I1199)-1, 'From Order'!$A1199)), 1), I1198))"),"SFVTSVDTWRM")</f>
        <v>SFVTSVDTWRM</v>
      </c>
    </row>
    <row r="1200">
      <c r="A1200" s="2" t="str">
        <f>IFERROR(__xludf.DUMMYFUNCTION("IF('From Order'!$A1200=COLUMNS($A1200:A1219), LEFT(INDEX(FILTER(A$1:A1199, A$1:A1199&lt;&gt;""""),COUNTA(FILTER(A$1:A1199, A$1:A1199&lt;&gt;""""))), LEN(INDEX(FILTER(A$1:A1199, A$1:A1199&lt;&gt;""""),COUNTA(FILTER(A$1:A1199, A$1:A1199&lt;&gt;""""))))-1), IF('To Order'!$A1200=COL"&amp;"UMNS($A1200:A1219), A1199&amp;RIGHT(INDIRECT(ADDRESS(ROW(A1200)-1, 'From Order'!$A1200)), 1), A1199))"),"HZBSBDJDMFBTJCZRDCRC")</f>
        <v>HZBSBDJDMFBTJCZRDCRC</v>
      </c>
      <c r="B1200" s="2" t="str">
        <f>IFERROR(__xludf.DUMMYFUNCTION("IF('From Order'!$A1200=COLUMNS($A1200:B1219), LEFT(INDEX(FILTER(B$1:B1199, B$1:B1199&lt;&gt;""""),COUNTA(FILTER(B$1:B1199, B$1:B1199&lt;&gt;""""))), LEN(INDEX(FILTER(B$1:B1199, B$1:B1199&lt;&gt;""""),COUNTA(FILTER(B$1:B1199, B$1:B1199&lt;&gt;""""))))-1), IF('To Order'!$A1200=COL"&amp;"UMNS($A1200:B1219), B1199&amp;RIGHT(INDIRECT(ADDRESS(ROW(B1200)-1, 'From Order'!$A1200)), 1), B1199))"),"ZLPD")</f>
        <v>ZLPD</v>
      </c>
      <c r="C1200" s="2" t="str">
        <f>IFERROR(__xludf.DUMMYFUNCTION("IF('From Order'!$A1200=COLUMNS($A1200:C1219), LEFT(INDEX(FILTER(C$1:C1199, C$1:C1199&lt;&gt;""""),COUNTA(FILTER(C$1:C1199, C$1:C1199&lt;&gt;""""))), LEN(INDEX(FILTER(C$1:C1199, C$1:C1199&lt;&gt;""""),COUNTA(FILTER(C$1:C1199, C$1:C1199&lt;&gt;""""))))-1), IF('To Order'!$A1200=COL"&amp;"UMNS($A1200:C1219), C1199&amp;RIGHT(INDIRECT(ADDRESS(ROW(C1200)-1, 'From Order'!$A1200)), 1), C1199))"),"TRLRSGHWQVQJPPLDTMG")</f>
        <v>TRLRSGHWQVQJPPLDTMG</v>
      </c>
      <c r="D1200" s="2" t="str">
        <f>IFERROR(__xludf.DUMMYFUNCTION("IF('From Order'!$A1200=COLUMNS($A1200:D1219), LEFT(INDEX(FILTER(D$1:D1199, D$1:D1199&lt;&gt;""""),COUNTA(FILTER(D$1:D1199, D$1:D1199&lt;&gt;""""))), LEN(INDEX(FILTER(D$1:D1199, D$1:D1199&lt;&gt;""""),COUNTA(FILTER(D$1:D1199, D$1:D1199&lt;&gt;""""))))-1), IF('To Order'!$A1200=COL"&amp;"UMNS($A1200:D1219), D1199&amp;RIGHT(INDIRECT(ADDRESS(ROW(D1200)-1, 'From Order'!$A1200)), 1), D1199))"),"")</f>
        <v/>
      </c>
      <c r="E1200" s="2" t="str">
        <f>IFERROR(__xludf.DUMMYFUNCTION("IF('From Order'!$A1200=COLUMNS($A1200:E1219), LEFT(INDEX(FILTER(E$1:E1199, E$1:E1199&lt;&gt;""""),COUNTA(FILTER(E$1:E1199, E$1:E1199&lt;&gt;""""))), LEN(INDEX(FILTER(E$1:E1199, E$1:E1199&lt;&gt;""""),COUNTA(FILTER(E$1:E1199, E$1:E1199&lt;&gt;""""))))-1), IF('To Order'!$A1200=COL"&amp;"UMNS($A1200:E1219), E1199&amp;RIGHT(INDIRECT(ADDRESS(ROW(E1200)-1, 'From Order'!$A1200)), 1), E1199))"),"")</f>
        <v/>
      </c>
      <c r="F1200" s="2" t="str">
        <f>IFERROR(__xludf.DUMMYFUNCTION("IF('From Order'!$A1200=COLUMNS($A1200:F1219), LEFT(INDEX(FILTER(F$1:F1199, F$1:F1199&lt;&gt;""""),COUNTA(FILTER(F$1:F1199, F$1:F1199&lt;&gt;""""))), LEN(INDEX(FILTER(F$1:F1199, F$1:F1199&lt;&gt;""""),COUNTA(FILTER(F$1:F1199, F$1:F1199&lt;&gt;""""))))-1), IF('To Order'!$A1200=COL"&amp;"UMNS($A1200:F1219), F1199&amp;RIGHT(INDIRECT(ADDRESS(ROW(F1200)-1, 'From Order'!$A1200)), 1), F1199))"),"")</f>
        <v/>
      </c>
      <c r="G1200" s="2" t="str">
        <f>IFERROR(__xludf.DUMMYFUNCTION("IF('From Order'!$A1200=COLUMNS($A1200:G1219), LEFT(INDEX(FILTER(G$1:G1199, G$1:G1199&lt;&gt;""""),COUNTA(FILTER(G$1:G1199, G$1:G1199&lt;&gt;""""))), LEN(INDEX(FILTER(G$1:G1199, G$1:G1199&lt;&gt;""""),COUNTA(FILTER(G$1:G1199, G$1:G1199&lt;&gt;""""))))-1), IF('To Order'!$A1200=COL"&amp;"UMNS($A1200:G1219), G1199&amp;RIGHT(INDIRECT(ADDRESS(ROW(G1200)-1, 'From Order'!$A1200)), 1), G1199))"),"B")</f>
        <v>B</v>
      </c>
      <c r="H1200" s="2" t="str">
        <f>IFERROR(__xludf.DUMMYFUNCTION("IF('From Order'!$A1200=COLUMNS($A1200:H1219), LEFT(INDEX(FILTER(H$1:H1199, H$1:H1199&lt;&gt;""""),COUNTA(FILTER(H$1:H1199, H$1:H1199&lt;&gt;""""))), LEN(INDEX(FILTER(H$1:H1199, H$1:H1199&lt;&gt;""""),COUNTA(FILTER(H$1:H1199, H$1:H1199&lt;&gt;""""))))-1), IF('To Order'!$A1200=COL"&amp;"UMNS($A1200:H1219), H1199&amp;RIGHT(INDIRECT(ADDRESS(ROW(H1200)-1, 'From Order'!$A1200)), 1), H1199))"),"")</f>
        <v/>
      </c>
      <c r="I1200" s="2" t="str">
        <f>IFERROR(__xludf.DUMMYFUNCTION("IF('From Order'!$A1200=COLUMNS($A1200:I1219), LEFT(INDEX(FILTER(I$1:I1199, I$1:I1199&lt;&gt;""""),COUNTA(FILTER(I$1:I1199, I$1:I1199&lt;&gt;""""))), LEN(INDEX(FILTER(I$1:I1199, I$1:I1199&lt;&gt;""""),COUNTA(FILTER(I$1:I1199, I$1:I1199&lt;&gt;""""))))-1), IF('To Order'!$A1200=COL"&amp;"UMNS($A1200:I1219), I1199&amp;RIGHT(INDIRECT(ADDRESS(ROW(I1200)-1, 'From Order'!$A1200)), 1), I1199))"),"SFVTSVDTWRMT")</f>
        <v>SFVTSVDTWRMT</v>
      </c>
    </row>
    <row r="1201">
      <c r="A1201" s="2" t="str">
        <f>IFERROR(__xludf.DUMMYFUNCTION("IF('From Order'!$A1201=COLUMNS($A1201:A1220), LEFT(INDEX(FILTER(A$1:A1200, A$1:A1200&lt;&gt;""""),COUNTA(FILTER(A$1:A1200, A$1:A1200&lt;&gt;""""))), LEN(INDEX(FILTER(A$1:A1200, A$1:A1200&lt;&gt;""""),COUNTA(FILTER(A$1:A1200, A$1:A1200&lt;&gt;""""))))-1), IF('To Order'!$A1201=COL"&amp;"UMNS($A1201:A1220), A1200&amp;RIGHT(INDIRECT(ADDRESS(ROW(A1201)-1, 'From Order'!$A1201)), 1), A1200))"),"HZBSBDJDMFBTJCZRDCR")</f>
        <v>HZBSBDJDMFBTJCZRDCR</v>
      </c>
      <c r="B1201" s="2" t="str">
        <f>IFERROR(__xludf.DUMMYFUNCTION("IF('From Order'!$A1201=COLUMNS($A1201:B1220), LEFT(INDEX(FILTER(B$1:B1200, B$1:B1200&lt;&gt;""""),COUNTA(FILTER(B$1:B1200, B$1:B1200&lt;&gt;""""))), LEN(INDEX(FILTER(B$1:B1200, B$1:B1200&lt;&gt;""""),COUNTA(FILTER(B$1:B1200, B$1:B1200&lt;&gt;""""))))-1), IF('To Order'!$A1201=COL"&amp;"UMNS($A1201:B1220), B1200&amp;RIGHT(INDIRECT(ADDRESS(ROW(B1201)-1, 'From Order'!$A1201)), 1), B1200))"),"ZLPD")</f>
        <v>ZLPD</v>
      </c>
      <c r="C1201" s="2" t="str">
        <f>IFERROR(__xludf.DUMMYFUNCTION("IF('From Order'!$A1201=COLUMNS($A1201:C1220), LEFT(INDEX(FILTER(C$1:C1200, C$1:C1200&lt;&gt;""""),COUNTA(FILTER(C$1:C1200, C$1:C1200&lt;&gt;""""))), LEN(INDEX(FILTER(C$1:C1200, C$1:C1200&lt;&gt;""""),COUNTA(FILTER(C$1:C1200, C$1:C1200&lt;&gt;""""))))-1), IF('To Order'!$A1201=COL"&amp;"UMNS($A1201:C1220), C1200&amp;RIGHT(INDIRECT(ADDRESS(ROW(C1201)-1, 'From Order'!$A1201)), 1), C1200))"),"TRLRSGHWQVQJPPLDTMG")</f>
        <v>TRLRSGHWQVQJPPLDTMG</v>
      </c>
      <c r="D1201" s="2" t="str">
        <f>IFERROR(__xludf.DUMMYFUNCTION("IF('From Order'!$A1201=COLUMNS($A1201:D1220), LEFT(INDEX(FILTER(D$1:D1200, D$1:D1200&lt;&gt;""""),COUNTA(FILTER(D$1:D1200, D$1:D1200&lt;&gt;""""))), LEN(INDEX(FILTER(D$1:D1200, D$1:D1200&lt;&gt;""""),COUNTA(FILTER(D$1:D1200, D$1:D1200&lt;&gt;""""))))-1), IF('To Order'!$A1201=COL"&amp;"UMNS($A1201:D1220), D1200&amp;RIGHT(INDIRECT(ADDRESS(ROW(D1201)-1, 'From Order'!$A1201)), 1), D1200))"),"")</f>
        <v/>
      </c>
      <c r="E1201" s="2" t="str">
        <f>IFERROR(__xludf.DUMMYFUNCTION("IF('From Order'!$A1201=COLUMNS($A1201:E1220), LEFT(INDEX(FILTER(E$1:E1200, E$1:E1200&lt;&gt;""""),COUNTA(FILTER(E$1:E1200, E$1:E1200&lt;&gt;""""))), LEN(INDEX(FILTER(E$1:E1200, E$1:E1200&lt;&gt;""""),COUNTA(FILTER(E$1:E1200, E$1:E1200&lt;&gt;""""))))-1), IF('To Order'!$A1201=COL"&amp;"UMNS($A1201:E1220), E1200&amp;RIGHT(INDIRECT(ADDRESS(ROW(E1201)-1, 'From Order'!$A1201)), 1), E1200))"),"")</f>
        <v/>
      </c>
      <c r="F1201" s="2" t="str">
        <f>IFERROR(__xludf.DUMMYFUNCTION("IF('From Order'!$A1201=COLUMNS($A1201:F1220), LEFT(INDEX(FILTER(F$1:F1200, F$1:F1200&lt;&gt;""""),COUNTA(FILTER(F$1:F1200, F$1:F1200&lt;&gt;""""))), LEN(INDEX(FILTER(F$1:F1200, F$1:F1200&lt;&gt;""""),COUNTA(FILTER(F$1:F1200, F$1:F1200&lt;&gt;""""))))-1), IF('To Order'!$A1201=COL"&amp;"UMNS($A1201:F1220), F1200&amp;RIGHT(INDIRECT(ADDRESS(ROW(F1201)-1, 'From Order'!$A1201)), 1), F1200))"),"")</f>
        <v/>
      </c>
      <c r="G1201" s="2" t="str">
        <f>IFERROR(__xludf.DUMMYFUNCTION("IF('From Order'!$A1201=COLUMNS($A1201:G1220), LEFT(INDEX(FILTER(G$1:G1200, G$1:G1200&lt;&gt;""""),COUNTA(FILTER(G$1:G1200, G$1:G1200&lt;&gt;""""))), LEN(INDEX(FILTER(G$1:G1200, G$1:G1200&lt;&gt;""""),COUNTA(FILTER(G$1:G1200, G$1:G1200&lt;&gt;""""))))-1), IF('To Order'!$A1201=COL"&amp;"UMNS($A1201:G1220), G1200&amp;RIGHT(INDIRECT(ADDRESS(ROW(G1201)-1, 'From Order'!$A1201)), 1), G1200))"),"B")</f>
        <v>B</v>
      </c>
      <c r="H1201" s="2" t="str">
        <f>IFERROR(__xludf.DUMMYFUNCTION("IF('From Order'!$A1201=COLUMNS($A1201:H1220), LEFT(INDEX(FILTER(H$1:H1200, H$1:H1200&lt;&gt;""""),COUNTA(FILTER(H$1:H1200, H$1:H1200&lt;&gt;""""))), LEN(INDEX(FILTER(H$1:H1200, H$1:H1200&lt;&gt;""""),COUNTA(FILTER(H$1:H1200, H$1:H1200&lt;&gt;""""))))-1), IF('To Order'!$A1201=COL"&amp;"UMNS($A1201:H1220), H1200&amp;RIGHT(INDIRECT(ADDRESS(ROW(H1201)-1, 'From Order'!$A1201)), 1), H1200))"),"")</f>
        <v/>
      </c>
      <c r="I1201" s="2" t="str">
        <f>IFERROR(__xludf.DUMMYFUNCTION("IF('From Order'!$A1201=COLUMNS($A1201:I1220), LEFT(INDEX(FILTER(I$1:I1200, I$1:I1200&lt;&gt;""""),COUNTA(FILTER(I$1:I1200, I$1:I1200&lt;&gt;""""))), LEN(INDEX(FILTER(I$1:I1200, I$1:I1200&lt;&gt;""""),COUNTA(FILTER(I$1:I1200, I$1:I1200&lt;&gt;""""))))-1), IF('To Order'!$A1201=COL"&amp;"UMNS($A1201:I1220), I1200&amp;RIGHT(INDIRECT(ADDRESS(ROW(I1201)-1, 'From Order'!$A1201)), 1), I1200))"),"SFVTSVDTWRMTC")</f>
        <v>SFVTSVDTWRMTC</v>
      </c>
    </row>
    <row r="1202">
      <c r="A1202" s="2" t="str">
        <f>IFERROR(__xludf.DUMMYFUNCTION("IF('From Order'!$A1202=COLUMNS($A1202:A1221), LEFT(INDEX(FILTER(A$1:A1201, A$1:A1201&lt;&gt;""""),COUNTA(FILTER(A$1:A1201, A$1:A1201&lt;&gt;""""))), LEN(INDEX(FILTER(A$1:A1201, A$1:A1201&lt;&gt;""""),COUNTA(FILTER(A$1:A1201, A$1:A1201&lt;&gt;""""))))-1), IF('To Order'!$A1202=COL"&amp;"UMNS($A1202:A1221), A1201&amp;RIGHT(INDIRECT(ADDRESS(ROW(A1202)-1, 'From Order'!$A1202)), 1), A1201))"),"HZBSBDJDMFBTJCZRDC")</f>
        <v>HZBSBDJDMFBTJCZRDC</v>
      </c>
      <c r="B1202" s="2" t="str">
        <f>IFERROR(__xludf.DUMMYFUNCTION("IF('From Order'!$A1202=COLUMNS($A1202:B1221), LEFT(INDEX(FILTER(B$1:B1201, B$1:B1201&lt;&gt;""""),COUNTA(FILTER(B$1:B1201, B$1:B1201&lt;&gt;""""))), LEN(INDEX(FILTER(B$1:B1201, B$1:B1201&lt;&gt;""""),COUNTA(FILTER(B$1:B1201, B$1:B1201&lt;&gt;""""))))-1), IF('To Order'!$A1202=COL"&amp;"UMNS($A1202:B1221), B1201&amp;RIGHT(INDIRECT(ADDRESS(ROW(B1202)-1, 'From Order'!$A1202)), 1), B1201))"),"ZLPD")</f>
        <v>ZLPD</v>
      </c>
      <c r="C1202" s="2" t="str">
        <f>IFERROR(__xludf.DUMMYFUNCTION("IF('From Order'!$A1202=COLUMNS($A1202:C1221), LEFT(INDEX(FILTER(C$1:C1201, C$1:C1201&lt;&gt;""""),COUNTA(FILTER(C$1:C1201, C$1:C1201&lt;&gt;""""))), LEN(INDEX(FILTER(C$1:C1201, C$1:C1201&lt;&gt;""""),COUNTA(FILTER(C$1:C1201, C$1:C1201&lt;&gt;""""))))-1), IF('To Order'!$A1202=COL"&amp;"UMNS($A1202:C1221), C1201&amp;RIGHT(INDIRECT(ADDRESS(ROW(C1202)-1, 'From Order'!$A1202)), 1), C1201))"),"TRLRSGHWQVQJPPLDTMG")</f>
        <v>TRLRSGHWQVQJPPLDTMG</v>
      </c>
      <c r="D1202" s="2" t="str">
        <f>IFERROR(__xludf.DUMMYFUNCTION("IF('From Order'!$A1202=COLUMNS($A1202:D1221), LEFT(INDEX(FILTER(D$1:D1201, D$1:D1201&lt;&gt;""""),COUNTA(FILTER(D$1:D1201, D$1:D1201&lt;&gt;""""))), LEN(INDEX(FILTER(D$1:D1201, D$1:D1201&lt;&gt;""""),COUNTA(FILTER(D$1:D1201, D$1:D1201&lt;&gt;""""))))-1), IF('To Order'!$A1202=COL"&amp;"UMNS($A1202:D1221), D1201&amp;RIGHT(INDIRECT(ADDRESS(ROW(D1202)-1, 'From Order'!$A1202)), 1), D1201))"),"")</f>
        <v/>
      </c>
      <c r="E1202" s="2" t="str">
        <f>IFERROR(__xludf.DUMMYFUNCTION("IF('From Order'!$A1202=COLUMNS($A1202:E1221), LEFT(INDEX(FILTER(E$1:E1201, E$1:E1201&lt;&gt;""""),COUNTA(FILTER(E$1:E1201, E$1:E1201&lt;&gt;""""))), LEN(INDEX(FILTER(E$1:E1201, E$1:E1201&lt;&gt;""""),COUNTA(FILTER(E$1:E1201, E$1:E1201&lt;&gt;""""))))-1), IF('To Order'!$A1202=COL"&amp;"UMNS($A1202:E1221), E1201&amp;RIGHT(INDIRECT(ADDRESS(ROW(E1202)-1, 'From Order'!$A1202)), 1), E1201))"),"")</f>
        <v/>
      </c>
      <c r="F1202" s="2" t="str">
        <f>IFERROR(__xludf.DUMMYFUNCTION("IF('From Order'!$A1202=COLUMNS($A1202:F1221), LEFT(INDEX(FILTER(F$1:F1201, F$1:F1201&lt;&gt;""""),COUNTA(FILTER(F$1:F1201, F$1:F1201&lt;&gt;""""))), LEN(INDEX(FILTER(F$1:F1201, F$1:F1201&lt;&gt;""""),COUNTA(FILTER(F$1:F1201, F$1:F1201&lt;&gt;""""))))-1), IF('To Order'!$A1202=COL"&amp;"UMNS($A1202:F1221), F1201&amp;RIGHT(INDIRECT(ADDRESS(ROW(F1202)-1, 'From Order'!$A1202)), 1), F1201))"),"")</f>
        <v/>
      </c>
      <c r="G1202" s="2" t="str">
        <f>IFERROR(__xludf.DUMMYFUNCTION("IF('From Order'!$A1202=COLUMNS($A1202:G1221), LEFT(INDEX(FILTER(G$1:G1201, G$1:G1201&lt;&gt;""""),COUNTA(FILTER(G$1:G1201, G$1:G1201&lt;&gt;""""))), LEN(INDEX(FILTER(G$1:G1201, G$1:G1201&lt;&gt;""""),COUNTA(FILTER(G$1:G1201, G$1:G1201&lt;&gt;""""))))-1), IF('To Order'!$A1202=COL"&amp;"UMNS($A1202:G1221), G1201&amp;RIGHT(INDIRECT(ADDRESS(ROW(G1202)-1, 'From Order'!$A1202)), 1), G1201))"),"B")</f>
        <v>B</v>
      </c>
      <c r="H1202" s="2" t="str">
        <f>IFERROR(__xludf.DUMMYFUNCTION("IF('From Order'!$A1202=COLUMNS($A1202:H1221), LEFT(INDEX(FILTER(H$1:H1201, H$1:H1201&lt;&gt;""""),COUNTA(FILTER(H$1:H1201, H$1:H1201&lt;&gt;""""))), LEN(INDEX(FILTER(H$1:H1201, H$1:H1201&lt;&gt;""""),COUNTA(FILTER(H$1:H1201, H$1:H1201&lt;&gt;""""))))-1), IF('To Order'!$A1202=COL"&amp;"UMNS($A1202:H1221), H1201&amp;RIGHT(INDIRECT(ADDRESS(ROW(H1202)-1, 'From Order'!$A1202)), 1), H1201))"),"")</f>
        <v/>
      </c>
      <c r="I1202" s="2" t="str">
        <f>IFERROR(__xludf.DUMMYFUNCTION("IF('From Order'!$A1202=COLUMNS($A1202:I1221), LEFT(INDEX(FILTER(I$1:I1201, I$1:I1201&lt;&gt;""""),COUNTA(FILTER(I$1:I1201, I$1:I1201&lt;&gt;""""))), LEN(INDEX(FILTER(I$1:I1201, I$1:I1201&lt;&gt;""""),COUNTA(FILTER(I$1:I1201, I$1:I1201&lt;&gt;""""))))-1), IF('To Order'!$A1202=COL"&amp;"UMNS($A1202:I1221), I1201&amp;RIGHT(INDIRECT(ADDRESS(ROW(I1202)-1, 'From Order'!$A1202)), 1), I1201))"),"SFVTSVDTWRMTCR")</f>
        <v>SFVTSVDTWRMTCR</v>
      </c>
    </row>
    <row r="1203">
      <c r="A1203" s="2" t="str">
        <f>IFERROR(__xludf.DUMMYFUNCTION("IF('From Order'!$A1203=COLUMNS($A1203:A1222), LEFT(INDEX(FILTER(A$1:A1202, A$1:A1202&lt;&gt;""""),COUNTA(FILTER(A$1:A1202, A$1:A1202&lt;&gt;""""))), LEN(INDEX(FILTER(A$1:A1202, A$1:A1202&lt;&gt;""""),COUNTA(FILTER(A$1:A1202, A$1:A1202&lt;&gt;""""))))-1), IF('To Order'!$A1203=COL"&amp;"UMNS($A1203:A1222), A1202&amp;RIGHT(INDIRECT(ADDRESS(ROW(A1203)-1, 'From Order'!$A1203)), 1), A1202))"),"HZBSBDJDMFBTJCZRD")</f>
        <v>HZBSBDJDMFBTJCZRD</v>
      </c>
      <c r="B1203" s="2" t="str">
        <f>IFERROR(__xludf.DUMMYFUNCTION("IF('From Order'!$A1203=COLUMNS($A1203:B1222), LEFT(INDEX(FILTER(B$1:B1202, B$1:B1202&lt;&gt;""""),COUNTA(FILTER(B$1:B1202, B$1:B1202&lt;&gt;""""))), LEN(INDEX(FILTER(B$1:B1202, B$1:B1202&lt;&gt;""""),COUNTA(FILTER(B$1:B1202, B$1:B1202&lt;&gt;""""))))-1), IF('To Order'!$A1203=COL"&amp;"UMNS($A1203:B1222), B1202&amp;RIGHT(INDIRECT(ADDRESS(ROW(B1203)-1, 'From Order'!$A1203)), 1), B1202))"),"ZLPD")</f>
        <v>ZLPD</v>
      </c>
      <c r="C1203" s="2" t="str">
        <f>IFERROR(__xludf.DUMMYFUNCTION("IF('From Order'!$A1203=COLUMNS($A1203:C1222), LEFT(INDEX(FILTER(C$1:C1202, C$1:C1202&lt;&gt;""""),COUNTA(FILTER(C$1:C1202, C$1:C1202&lt;&gt;""""))), LEN(INDEX(FILTER(C$1:C1202, C$1:C1202&lt;&gt;""""),COUNTA(FILTER(C$1:C1202, C$1:C1202&lt;&gt;""""))))-1), IF('To Order'!$A1203=COL"&amp;"UMNS($A1203:C1222), C1202&amp;RIGHT(INDIRECT(ADDRESS(ROW(C1203)-1, 'From Order'!$A1203)), 1), C1202))"),"TRLRSGHWQVQJPPLDTMG")</f>
        <v>TRLRSGHWQVQJPPLDTMG</v>
      </c>
      <c r="D1203" s="2" t="str">
        <f>IFERROR(__xludf.DUMMYFUNCTION("IF('From Order'!$A1203=COLUMNS($A1203:D1222), LEFT(INDEX(FILTER(D$1:D1202, D$1:D1202&lt;&gt;""""),COUNTA(FILTER(D$1:D1202, D$1:D1202&lt;&gt;""""))), LEN(INDEX(FILTER(D$1:D1202, D$1:D1202&lt;&gt;""""),COUNTA(FILTER(D$1:D1202, D$1:D1202&lt;&gt;""""))))-1), IF('To Order'!$A1203=COL"&amp;"UMNS($A1203:D1222), D1202&amp;RIGHT(INDIRECT(ADDRESS(ROW(D1203)-1, 'From Order'!$A1203)), 1), D1202))"),"")</f>
        <v/>
      </c>
      <c r="E1203" s="2" t="str">
        <f>IFERROR(__xludf.DUMMYFUNCTION("IF('From Order'!$A1203=COLUMNS($A1203:E1222), LEFT(INDEX(FILTER(E$1:E1202, E$1:E1202&lt;&gt;""""),COUNTA(FILTER(E$1:E1202, E$1:E1202&lt;&gt;""""))), LEN(INDEX(FILTER(E$1:E1202, E$1:E1202&lt;&gt;""""),COUNTA(FILTER(E$1:E1202, E$1:E1202&lt;&gt;""""))))-1), IF('To Order'!$A1203=COL"&amp;"UMNS($A1203:E1222), E1202&amp;RIGHT(INDIRECT(ADDRESS(ROW(E1203)-1, 'From Order'!$A1203)), 1), E1202))"),"")</f>
        <v/>
      </c>
      <c r="F1203" s="2" t="str">
        <f>IFERROR(__xludf.DUMMYFUNCTION("IF('From Order'!$A1203=COLUMNS($A1203:F1222), LEFT(INDEX(FILTER(F$1:F1202, F$1:F1202&lt;&gt;""""),COUNTA(FILTER(F$1:F1202, F$1:F1202&lt;&gt;""""))), LEN(INDEX(FILTER(F$1:F1202, F$1:F1202&lt;&gt;""""),COUNTA(FILTER(F$1:F1202, F$1:F1202&lt;&gt;""""))))-1), IF('To Order'!$A1203=COL"&amp;"UMNS($A1203:F1222), F1202&amp;RIGHT(INDIRECT(ADDRESS(ROW(F1203)-1, 'From Order'!$A1203)), 1), F1202))"),"")</f>
        <v/>
      </c>
      <c r="G1203" s="2" t="str">
        <f>IFERROR(__xludf.DUMMYFUNCTION("IF('From Order'!$A1203=COLUMNS($A1203:G1222), LEFT(INDEX(FILTER(G$1:G1202, G$1:G1202&lt;&gt;""""),COUNTA(FILTER(G$1:G1202, G$1:G1202&lt;&gt;""""))), LEN(INDEX(FILTER(G$1:G1202, G$1:G1202&lt;&gt;""""),COUNTA(FILTER(G$1:G1202, G$1:G1202&lt;&gt;""""))))-1), IF('To Order'!$A1203=COL"&amp;"UMNS($A1203:G1222), G1202&amp;RIGHT(INDIRECT(ADDRESS(ROW(G1203)-1, 'From Order'!$A1203)), 1), G1202))"),"B")</f>
        <v>B</v>
      </c>
      <c r="H1203" s="2" t="str">
        <f>IFERROR(__xludf.DUMMYFUNCTION("IF('From Order'!$A1203=COLUMNS($A1203:H1222), LEFT(INDEX(FILTER(H$1:H1202, H$1:H1202&lt;&gt;""""),COUNTA(FILTER(H$1:H1202, H$1:H1202&lt;&gt;""""))), LEN(INDEX(FILTER(H$1:H1202, H$1:H1202&lt;&gt;""""),COUNTA(FILTER(H$1:H1202, H$1:H1202&lt;&gt;""""))))-1), IF('To Order'!$A1203=COL"&amp;"UMNS($A1203:H1222), H1202&amp;RIGHT(INDIRECT(ADDRESS(ROW(H1203)-1, 'From Order'!$A1203)), 1), H1202))"),"")</f>
        <v/>
      </c>
      <c r="I1203" s="2" t="str">
        <f>IFERROR(__xludf.DUMMYFUNCTION("IF('From Order'!$A1203=COLUMNS($A1203:I1222), LEFT(INDEX(FILTER(I$1:I1202, I$1:I1202&lt;&gt;""""),COUNTA(FILTER(I$1:I1202, I$1:I1202&lt;&gt;""""))), LEN(INDEX(FILTER(I$1:I1202, I$1:I1202&lt;&gt;""""),COUNTA(FILTER(I$1:I1202, I$1:I1202&lt;&gt;""""))))-1), IF('To Order'!$A1203=COL"&amp;"UMNS($A1203:I1222), I1202&amp;RIGHT(INDIRECT(ADDRESS(ROW(I1203)-1, 'From Order'!$A1203)), 1), I1202))"),"SFVTSVDTWRMTCRC")</f>
        <v>SFVTSVDTWRMTCRC</v>
      </c>
    </row>
    <row r="1204">
      <c r="A1204" s="2" t="str">
        <f>IFERROR(__xludf.DUMMYFUNCTION("IF('From Order'!$A1204=COLUMNS($A1204:A1223), LEFT(INDEX(FILTER(A$1:A1203, A$1:A1203&lt;&gt;""""),COUNTA(FILTER(A$1:A1203, A$1:A1203&lt;&gt;""""))), LEN(INDEX(FILTER(A$1:A1203, A$1:A1203&lt;&gt;""""),COUNTA(FILTER(A$1:A1203, A$1:A1203&lt;&gt;""""))))-1), IF('To Order'!$A1204=COL"&amp;"UMNS($A1204:A1223), A1203&amp;RIGHT(INDIRECT(ADDRESS(ROW(A1204)-1, 'From Order'!$A1204)), 1), A1203))"),"HZBSBDJDMFBTJCZR")</f>
        <v>HZBSBDJDMFBTJCZR</v>
      </c>
      <c r="B1204" s="2" t="str">
        <f>IFERROR(__xludf.DUMMYFUNCTION("IF('From Order'!$A1204=COLUMNS($A1204:B1223), LEFT(INDEX(FILTER(B$1:B1203, B$1:B1203&lt;&gt;""""),COUNTA(FILTER(B$1:B1203, B$1:B1203&lt;&gt;""""))), LEN(INDEX(FILTER(B$1:B1203, B$1:B1203&lt;&gt;""""),COUNTA(FILTER(B$1:B1203, B$1:B1203&lt;&gt;""""))))-1), IF('To Order'!$A1204=COL"&amp;"UMNS($A1204:B1223), B1203&amp;RIGHT(INDIRECT(ADDRESS(ROW(B1204)-1, 'From Order'!$A1204)), 1), B1203))"),"ZLPD")</f>
        <v>ZLPD</v>
      </c>
      <c r="C1204" s="2" t="str">
        <f>IFERROR(__xludf.DUMMYFUNCTION("IF('From Order'!$A1204=COLUMNS($A1204:C1223), LEFT(INDEX(FILTER(C$1:C1203, C$1:C1203&lt;&gt;""""),COUNTA(FILTER(C$1:C1203, C$1:C1203&lt;&gt;""""))), LEN(INDEX(FILTER(C$1:C1203, C$1:C1203&lt;&gt;""""),COUNTA(FILTER(C$1:C1203, C$1:C1203&lt;&gt;""""))))-1), IF('To Order'!$A1204=COL"&amp;"UMNS($A1204:C1223), C1203&amp;RIGHT(INDIRECT(ADDRESS(ROW(C1204)-1, 'From Order'!$A1204)), 1), C1203))"),"TRLRSGHWQVQJPPLDTMG")</f>
        <v>TRLRSGHWQVQJPPLDTMG</v>
      </c>
      <c r="D1204" s="2" t="str">
        <f>IFERROR(__xludf.DUMMYFUNCTION("IF('From Order'!$A1204=COLUMNS($A1204:D1223), LEFT(INDEX(FILTER(D$1:D1203, D$1:D1203&lt;&gt;""""),COUNTA(FILTER(D$1:D1203, D$1:D1203&lt;&gt;""""))), LEN(INDEX(FILTER(D$1:D1203, D$1:D1203&lt;&gt;""""),COUNTA(FILTER(D$1:D1203, D$1:D1203&lt;&gt;""""))))-1), IF('To Order'!$A1204=COL"&amp;"UMNS($A1204:D1223), D1203&amp;RIGHT(INDIRECT(ADDRESS(ROW(D1204)-1, 'From Order'!$A1204)), 1), D1203))"),"")</f>
        <v/>
      </c>
      <c r="E1204" s="2" t="str">
        <f>IFERROR(__xludf.DUMMYFUNCTION("IF('From Order'!$A1204=COLUMNS($A1204:E1223), LEFT(INDEX(FILTER(E$1:E1203, E$1:E1203&lt;&gt;""""),COUNTA(FILTER(E$1:E1203, E$1:E1203&lt;&gt;""""))), LEN(INDEX(FILTER(E$1:E1203, E$1:E1203&lt;&gt;""""),COUNTA(FILTER(E$1:E1203, E$1:E1203&lt;&gt;""""))))-1), IF('To Order'!$A1204=COL"&amp;"UMNS($A1204:E1223), E1203&amp;RIGHT(INDIRECT(ADDRESS(ROW(E1204)-1, 'From Order'!$A1204)), 1), E1203))"),"")</f>
        <v/>
      </c>
      <c r="F1204" s="2" t="str">
        <f>IFERROR(__xludf.DUMMYFUNCTION("IF('From Order'!$A1204=COLUMNS($A1204:F1223), LEFT(INDEX(FILTER(F$1:F1203, F$1:F1203&lt;&gt;""""),COUNTA(FILTER(F$1:F1203, F$1:F1203&lt;&gt;""""))), LEN(INDEX(FILTER(F$1:F1203, F$1:F1203&lt;&gt;""""),COUNTA(FILTER(F$1:F1203, F$1:F1203&lt;&gt;""""))))-1), IF('To Order'!$A1204=COL"&amp;"UMNS($A1204:F1223), F1203&amp;RIGHT(INDIRECT(ADDRESS(ROW(F1204)-1, 'From Order'!$A1204)), 1), F1203))"),"")</f>
        <v/>
      </c>
      <c r="G1204" s="2" t="str">
        <f>IFERROR(__xludf.DUMMYFUNCTION("IF('From Order'!$A1204=COLUMNS($A1204:G1223), LEFT(INDEX(FILTER(G$1:G1203, G$1:G1203&lt;&gt;""""),COUNTA(FILTER(G$1:G1203, G$1:G1203&lt;&gt;""""))), LEN(INDEX(FILTER(G$1:G1203, G$1:G1203&lt;&gt;""""),COUNTA(FILTER(G$1:G1203, G$1:G1203&lt;&gt;""""))))-1), IF('To Order'!$A1204=COL"&amp;"UMNS($A1204:G1223), G1203&amp;RIGHT(INDIRECT(ADDRESS(ROW(G1204)-1, 'From Order'!$A1204)), 1), G1203))"),"B")</f>
        <v>B</v>
      </c>
      <c r="H1204" s="2" t="str">
        <f>IFERROR(__xludf.DUMMYFUNCTION("IF('From Order'!$A1204=COLUMNS($A1204:H1223), LEFT(INDEX(FILTER(H$1:H1203, H$1:H1203&lt;&gt;""""),COUNTA(FILTER(H$1:H1203, H$1:H1203&lt;&gt;""""))), LEN(INDEX(FILTER(H$1:H1203, H$1:H1203&lt;&gt;""""),COUNTA(FILTER(H$1:H1203, H$1:H1203&lt;&gt;""""))))-1), IF('To Order'!$A1204=COL"&amp;"UMNS($A1204:H1223), H1203&amp;RIGHT(INDIRECT(ADDRESS(ROW(H1204)-1, 'From Order'!$A1204)), 1), H1203))"),"")</f>
        <v/>
      </c>
      <c r="I1204" s="2" t="str">
        <f>IFERROR(__xludf.DUMMYFUNCTION("IF('From Order'!$A1204=COLUMNS($A1204:I1223), LEFT(INDEX(FILTER(I$1:I1203, I$1:I1203&lt;&gt;""""),COUNTA(FILTER(I$1:I1203, I$1:I1203&lt;&gt;""""))), LEN(INDEX(FILTER(I$1:I1203, I$1:I1203&lt;&gt;""""),COUNTA(FILTER(I$1:I1203, I$1:I1203&lt;&gt;""""))))-1), IF('To Order'!$A1204=COL"&amp;"UMNS($A1204:I1223), I1203&amp;RIGHT(INDIRECT(ADDRESS(ROW(I1204)-1, 'From Order'!$A1204)), 1), I1203))"),"SFVTSVDTWRMTCRCD")</f>
        <v>SFVTSVDTWRMTCRCD</v>
      </c>
    </row>
    <row r="1205">
      <c r="A1205" s="2" t="str">
        <f>IFERROR(__xludf.DUMMYFUNCTION("IF('From Order'!$A1205=COLUMNS($A1205:A1224), LEFT(INDEX(FILTER(A$1:A1204, A$1:A1204&lt;&gt;""""),COUNTA(FILTER(A$1:A1204, A$1:A1204&lt;&gt;""""))), LEN(INDEX(FILTER(A$1:A1204, A$1:A1204&lt;&gt;""""),COUNTA(FILTER(A$1:A1204, A$1:A1204&lt;&gt;""""))))-1), IF('To Order'!$A1205=COL"&amp;"UMNS($A1205:A1224), A1204&amp;RIGHT(INDIRECT(ADDRESS(ROW(A1205)-1, 'From Order'!$A1205)), 1), A1204))"),"HZBSBDJDMFBTJCZ")</f>
        <v>HZBSBDJDMFBTJCZ</v>
      </c>
      <c r="B1205" s="2" t="str">
        <f>IFERROR(__xludf.DUMMYFUNCTION("IF('From Order'!$A1205=COLUMNS($A1205:B1224), LEFT(INDEX(FILTER(B$1:B1204, B$1:B1204&lt;&gt;""""),COUNTA(FILTER(B$1:B1204, B$1:B1204&lt;&gt;""""))), LEN(INDEX(FILTER(B$1:B1204, B$1:B1204&lt;&gt;""""),COUNTA(FILTER(B$1:B1204, B$1:B1204&lt;&gt;""""))))-1), IF('To Order'!$A1205=COL"&amp;"UMNS($A1205:B1224), B1204&amp;RIGHT(INDIRECT(ADDRESS(ROW(B1205)-1, 'From Order'!$A1205)), 1), B1204))"),"ZLPD")</f>
        <v>ZLPD</v>
      </c>
      <c r="C1205" s="2" t="str">
        <f>IFERROR(__xludf.DUMMYFUNCTION("IF('From Order'!$A1205=COLUMNS($A1205:C1224), LEFT(INDEX(FILTER(C$1:C1204, C$1:C1204&lt;&gt;""""),COUNTA(FILTER(C$1:C1204, C$1:C1204&lt;&gt;""""))), LEN(INDEX(FILTER(C$1:C1204, C$1:C1204&lt;&gt;""""),COUNTA(FILTER(C$1:C1204, C$1:C1204&lt;&gt;""""))))-1), IF('To Order'!$A1205=COL"&amp;"UMNS($A1205:C1224), C1204&amp;RIGHT(INDIRECT(ADDRESS(ROW(C1205)-1, 'From Order'!$A1205)), 1), C1204))"),"TRLRSGHWQVQJPPLDTMG")</f>
        <v>TRLRSGHWQVQJPPLDTMG</v>
      </c>
      <c r="D1205" s="2" t="str">
        <f>IFERROR(__xludf.DUMMYFUNCTION("IF('From Order'!$A1205=COLUMNS($A1205:D1224), LEFT(INDEX(FILTER(D$1:D1204, D$1:D1204&lt;&gt;""""),COUNTA(FILTER(D$1:D1204, D$1:D1204&lt;&gt;""""))), LEN(INDEX(FILTER(D$1:D1204, D$1:D1204&lt;&gt;""""),COUNTA(FILTER(D$1:D1204, D$1:D1204&lt;&gt;""""))))-1), IF('To Order'!$A1205=COL"&amp;"UMNS($A1205:D1224), D1204&amp;RIGHT(INDIRECT(ADDRESS(ROW(D1205)-1, 'From Order'!$A1205)), 1), D1204))"),"")</f>
        <v/>
      </c>
      <c r="E1205" s="2" t="str">
        <f>IFERROR(__xludf.DUMMYFUNCTION("IF('From Order'!$A1205=COLUMNS($A1205:E1224), LEFT(INDEX(FILTER(E$1:E1204, E$1:E1204&lt;&gt;""""),COUNTA(FILTER(E$1:E1204, E$1:E1204&lt;&gt;""""))), LEN(INDEX(FILTER(E$1:E1204, E$1:E1204&lt;&gt;""""),COUNTA(FILTER(E$1:E1204, E$1:E1204&lt;&gt;""""))))-1), IF('To Order'!$A1205=COL"&amp;"UMNS($A1205:E1224), E1204&amp;RIGHT(INDIRECT(ADDRESS(ROW(E1205)-1, 'From Order'!$A1205)), 1), E1204))"),"")</f>
        <v/>
      </c>
      <c r="F1205" s="2" t="str">
        <f>IFERROR(__xludf.DUMMYFUNCTION("IF('From Order'!$A1205=COLUMNS($A1205:F1224), LEFT(INDEX(FILTER(F$1:F1204, F$1:F1204&lt;&gt;""""),COUNTA(FILTER(F$1:F1204, F$1:F1204&lt;&gt;""""))), LEN(INDEX(FILTER(F$1:F1204, F$1:F1204&lt;&gt;""""),COUNTA(FILTER(F$1:F1204, F$1:F1204&lt;&gt;""""))))-1), IF('To Order'!$A1205=COL"&amp;"UMNS($A1205:F1224), F1204&amp;RIGHT(INDIRECT(ADDRESS(ROW(F1205)-1, 'From Order'!$A1205)), 1), F1204))"),"")</f>
        <v/>
      </c>
      <c r="G1205" s="2" t="str">
        <f>IFERROR(__xludf.DUMMYFUNCTION("IF('From Order'!$A1205=COLUMNS($A1205:G1224), LEFT(INDEX(FILTER(G$1:G1204, G$1:G1204&lt;&gt;""""),COUNTA(FILTER(G$1:G1204, G$1:G1204&lt;&gt;""""))), LEN(INDEX(FILTER(G$1:G1204, G$1:G1204&lt;&gt;""""),COUNTA(FILTER(G$1:G1204, G$1:G1204&lt;&gt;""""))))-1), IF('To Order'!$A1205=COL"&amp;"UMNS($A1205:G1224), G1204&amp;RIGHT(INDIRECT(ADDRESS(ROW(G1205)-1, 'From Order'!$A1205)), 1), G1204))"),"B")</f>
        <v>B</v>
      </c>
      <c r="H1205" s="2" t="str">
        <f>IFERROR(__xludf.DUMMYFUNCTION("IF('From Order'!$A1205=COLUMNS($A1205:H1224), LEFT(INDEX(FILTER(H$1:H1204, H$1:H1204&lt;&gt;""""),COUNTA(FILTER(H$1:H1204, H$1:H1204&lt;&gt;""""))), LEN(INDEX(FILTER(H$1:H1204, H$1:H1204&lt;&gt;""""),COUNTA(FILTER(H$1:H1204, H$1:H1204&lt;&gt;""""))))-1), IF('To Order'!$A1205=COL"&amp;"UMNS($A1205:H1224), H1204&amp;RIGHT(INDIRECT(ADDRESS(ROW(H1205)-1, 'From Order'!$A1205)), 1), H1204))"),"")</f>
        <v/>
      </c>
      <c r="I1205" s="2" t="str">
        <f>IFERROR(__xludf.DUMMYFUNCTION("IF('From Order'!$A1205=COLUMNS($A1205:I1224), LEFT(INDEX(FILTER(I$1:I1204, I$1:I1204&lt;&gt;""""),COUNTA(FILTER(I$1:I1204, I$1:I1204&lt;&gt;""""))), LEN(INDEX(FILTER(I$1:I1204, I$1:I1204&lt;&gt;""""),COUNTA(FILTER(I$1:I1204, I$1:I1204&lt;&gt;""""))))-1), IF('To Order'!$A1205=COL"&amp;"UMNS($A1205:I1224), I1204&amp;RIGHT(INDIRECT(ADDRESS(ROW(I1205)-1, 'From Order'!$A1205)), 1), I1204))"),"SFVTSVDTWRMTCRCDR")</f>
        <v>SFVTSVDTWRMTCRCDR</v>
      </c>
    </row>
    <row r="1206">
      <c r="A1206" s="2" t="str">
        <f>IFERROR(__xludf.DUMMYFUNCTION("IF('From Order'!$A1206=COLUMNS($A1206:A1225), LEFT(INDEX(FILTER(A$1:A1205, A$1:A1205&lt;&gt;""""),COUNTA(FILTER(A$1:A1205, A$1:A1205&lt;&gt;""""))), LEN(INDEX(FILTER(A$1:A1205, A$1:A1205&lt;&gt;""""),COUNTA(FILTER(A$1:A1205, A$1:A1205&lt;&gt;""""))))-1), IF('To Order'!$A1206=COL"&amp;"UMNS($A1206:A1225), A1205&amp;RIGHT(INDIRECT(ADDRESS(ROW(A1206)-1, 'From Order'!$A1206)), 1), A1205))"),"HZBSBDJDMFBTJC")</f>
        <v>HZBSBDJDMFBTJC</v>
      </c>
      <c r="B1206" s="2" t="str">
        <f>IFERROR(__xludf.DUMMYFUNCTION("IF('From Order'!$A1206=COLUMNS($A1206:B1225), LEFT(INDEX(FILTER(B$1:B1205, B$1:B1205&lt;&gt;""""),COUNTA(FILTER(B$1:B1205, B$1:B1205&lt;&gt;""""))), LEN(INDEX(FILTER(B$1:B1205, B$1:B1205&lt;&gt;""""),COUNTA(FILTER(B$1:B1205, B$1:B1205&lt;&gt;""""))))-1), IF('To Order'!$A1206=COL"&amp;"UMNS($A1206:B1225), B1205&amp;RIGHT(INDIRECT(ADDRESS(ROW(B1206)-1, 'From Order'!$A1206)), 1), B1205))"),"ZLPD")</f>
        <v>ZLPD</v>
      </c>
      <c r="C1206" s="2" t="str">
        <f>IFERROR(__xludf.DUMMYFUNCTION("IF('From Order'!$A1206=COLUMNS($A1206:C1225), LEFT(INDEX(FILTER(C$1:C1205, C$1:C1205&lt;&gt;""""),COUNTA(FILTER(C$1:C1205, C$1:C1205&lt;&gt;""""))), LEN(INDEX(FILTER(C$1:C1205, C$1:C1205&lt;&gt;""""),COUNTA(FILTER(C$1:C1205, C$1:C1205&lt;&gt;""""))))-1), IF('To Order'!$A1206=COL"&amp;"UMNS($A1206:C1225), C1205&amp;RIGHT(INDIRECT(ADDRESS(ROW(C1206)-1, 'From Order'!$A1206)), 1), C1205))"),"TRLRSGHWQVQJPPLDTMG")</f>
        <v>TRLRSGHWQVQJPPLDTMG</v>
      </c>
      <c r="D1206" s="2" t="str">
        <f>IFERROR(__xludf.DUMMYFUNCTION("IF('From Order'!$A1206=COLUMNS($A1206:D1225), LEFT(INDEX(FILTER(D$1:D1205, D$1:D1205&lt;&gt;""""),COUNTA(FILTER(D$1:D1205, D$1:D1205&lt;&gt;""""))), LEN(INDEX(FILTER(D$1:D1205, D$1:D1205&lt;&gt;""""),COUNTA(FILTER(D$1:D1205, D$1:D1205&lt;&gt;""""))))-1), IF('To Order'!$A1206=COL"&amp;"UMNS($A1206:D1225), D1205&amp;RIGHT(INDIRECT(ADDRESS(ROW(D1206)-1, 'From Order'!$A1206)), 1), D1205))"),"")</f>
        <v/>
      </c>
      <c r="E1206" s="2" t="str">
        <f>IFERROR(__xludf.DUMMYFUNCTION("IF('From Order'!$A1206=COLUMNS($A1206:E1225), LEFT(INDEX(FILTER(E$1:E1205, E$1:E1205&lt;&gt;""""),COUNTA(FILTER(E$1:E1205, E$1:E1205&lt;&gt;""""))), LEN(INDEX(FILTER(E$1:E1205, E$1:E1205&lt;&gt;""""),COUNTA(FILTER(E$1:E1205, E$1:E1205&lt;&gt;""""))))-1), IF('To Order'!$A1206=COL"&amp;"UMNS($A1206:E1225), E1205&amp;RIGHT(INDIRECT(ADDRESS(ROW(E1206)-1, 'From Order'!$A1206)), 1), E1205))"),"")</f>
        <v/>
      </c>
      <c r="F1206" s="2" t="str">
        <f>IFERROR(__xludf.DUMMYFUNCTION("IF('From Order'!$A1206=COLUMNS($A1206:F1225), LEFT(INDEX(FILTER(F$1:F1205, F$1:F1205&lt;&gt;""""),COUNTA(FILTER(F$1:F1205, F$1:F1205&lt;&gt;""""))), LEN(INDEX(FILTER(F$1:F1205, F$1:F1205&lt;&gt;""""),COUNTA(FILTER(F$1:F1205, F$1:F1205&lt;&gt;""""))))-1), IF('To Order'!$A1206=COL"&amp;"UMNS($A1206:F1225), F1205&amp;RIGHT(INDIRECT(ADDRESS(ROW(F1206)-1, 'From Order'!$A1206)), 1), F1205))"),"")</f>
        <v/>
      </c>
      <c r="G1206" s="2" t="str">
        <f>IFERROR(__xludf.DUMMYFUNCTION("IF('From Order'!$A1206=COLUMNS($A1206:G1225), LEFT(INDEX(FILTER(G$1:G1205, G$1:G1205&lt;&gt;""""),COUNTA(FILTER(G$1:G1205, G$1:G1205&lt;&gt;""""))), LEN(INDEX(FILTER(G$1:G1205, G$1:G1205&lt;&gt;""""),COUNTA(FILTER(G$1:G1205, G$1:G1205&lt;&gt;""""))))-1), IF('To Order'!$A1206=COL"&amp;"UMNS($A1206:G1225), G1205&amp;RIGHT(INDIRECT(ADDRESS(ROW(G1206)-1, 'From Order'!$A1206)), 1), G1205))"),"B")</f>
        <v>B</v>
      </c>
      <c r="H1206" s="2" t="str">
        <f>IFERROR(__xludf.DUMMYFUNCTION("IF('From Order'!$A1206=COLUMNS($A1206:H1225), LEFT(INDEX(FILTER(H$1:H1205, H$1:H1205&lt;&gt;""""),COUNTA(FILTER(H$1:H1205, H$1:H1205&lt;&gt;""""))), LEN(INDEX(FILTER(H$1:H1205, H$1:H1205&lt;&gt;""""),COUNTA(FILTER(H$1:H1205, H$1:H1205&lt;&gt;""""))))-1), IF('To Order'!$A1206=COL"&amp;"UMNS($A1206:H1225), H1205&amp;RIGHT(INDIRECT(ADDRESS(ROW(H1206)-1, 'From Order'!$A1206)), 1), H1205))"),"")</f>
        <v/>
      </c>
      <c r="I1206" s="2" t="str">
        <f>IFERROR(__xludf.DUMMYFUNCTION("IF('From Order'!$A1206=COLUMNS($A1206:I1225), LEFT(INDEX(FILTER(I$1:I1205, I$1:I1205&lt;&gt;""""),COUNTA(FILTER(I$1:I1205, I$1:I1205&lt;&gt;""""))), LEN(INDEX(FILTER(I$1:I1205, I$1:I1205&lt;&gt;""""),COUNTA(FILTER(I$1:I1205, I$1:I1205&lt;&gt;""""))))-1), IF('To Order'!$A1206=COL"&amp;"UMNS($A1206:I1225), I1205&amp;RIGHT(INDIRECT(ADDRESS(ROW(I1206)-1, 'From Order'!$A1206)), 1), I1205))"),"SFVTSVDTWRMTCRCDRZ")</f>
        <v>SFVTSVDTWRMTCRCDRZ</v>
      </c>
    </row>
    <row r="1207">
      <c r="A1207" s="2" t="str">
        <f>IFERROR(__xludf.DUMMYFUNCTION("IF('From Order'!$A1207=COLUMNS($A1207:A1226), LEFT(INDEX(FILTER(A$1:A1206, A$1:A1206&lt;&gt;""""),COUNTA(FILTER(A$1:A1206, A$1:A1206&lt;&gt;""""))), LEN(INDEX(FILTER(A$1:A1206, A$1:A1206&lt;&gt;""""),COUNTA(FILTER(A$1:A1206, A$1:A1206&lt;&gt;""""))))-1), IF('To Order'!$A1207=COL"&amp;"UMNS($A1207:A1226), A1206&amp;RIGHT(INDIRECT(ADDRESS(ROW(A1207)-1, 'From Order'!$A1207)), 1), A1206))"),"HZBSBDJDMFBTJ")</f>
        <v>HZBSBDJDMFBTJ</v>
      </c>
      <c r="B1207" s="2" t="str">
        <f>IFERROR(__xludf.DUMMYFUNCTION("IF('From Order'!$A1207=COLUMNS($A1207:B1226), LEFT(INDEX(FILTER(B$1:B1206, B$1:B1206&lt;&gt;""""),COUNTA(FILTER(B$1:B1206, B$1:B1206&lt;&gt;""""))), LEN(INDEX(FILTER(B$1:B1206, B$1:B1206&lt;&gt;""""),COUNTA(FILTER(B$1:B1206, B$1:B1206&lt;&gt;""""))))-1), IF('To Order'!$A1207=COL"&amp;"UMNS($A1207:B1226), B1206&amp;RIGHT(INDIRECT(ADDRESS(ROW(B1207)-1, 'From Order'!$A1207)), 1), B1206))"),"ZLPD")</f>
        <v>ZLPD</v>
      </c>
      <c r="C1207" s="2" t="str">
        <f>IFERROR(__xludf.DUMMYFUNCTION("IF('From Order'!$A1207=COLUMNS($A1207:C1226), LEFT(INDEX(FILTER(C$1:C1206, C$1:C1206&lt;&gt;""""),COUNTA(FILTER(C$1:C1206, C$1:C1206&lt;&gt;""""))), LEN(INDEX(FILTER(C$1:C1206, C$1:C1206&lt;&gt;""""),COUNTA(FILTER(C$1:C1206, C$1:C1206&lt;&gt;""""))))-1), IF('To Order'!$A1207=COL"&amp;"UMNS($A1207:C1226), C1206&amp;RIGHT(INDIRECT(ADDRESS(ROW(C1207)-1, 'From Order'!$A1207)), 1), C1206))"),"TRLRSGHWQVQJPPLDTMG")</f>
        <v>TRLRSGHWQVQJPPLDTMG</v>
      </c>
      <c r="D1207" s="2" t="str">
        <f>IFERROR(__xludf.DUMMYFUNCTION("IF('From Order'!$A1207=COLUMNS($A1207:D1226), LEFT(INDEX(FILTER(D$1:D1206, D$1:D1206&lt;&gt;""""),COUNTA(FILTER(D$1:D1206, D$1:D1206&lt;&gt;""""))), LEN(INDEX(FILTER(D$1:D1206, D$1:D1206&lt;&gt;""""),COUNTA(FILTER(D$1:D1206, D$1:D1206&lt;&gt;""""))))-1), IF('To Order'!$A1207=COL"&amp;"UMNS($A1207:D1226), D1206&amp;RIGHT(INDIRECT(ADDRESS(ROW(D1207)-1, 'From Order'!$A1207)), 1), D1206))"),"")</f>
        <v/>
      </c>
      <c r="E1207" s="2" t="str">
        <f>IFERROR(__xludf.DUMMYFUNCTION("IF('From Order'!$A1207=COLUMNS($A1207:E1226), LEFT(INDEX(FILTER(E$1:E1206, E$1:E1206&lt;&gt;""""),COUNTA(FILTER(E$1:E1206, E$1:E1206&lt;&gt;""""))), LEN(INDEX(FILTER(E$1:E1206, E$1:E1206&lt;&gt;""""),COUNTA(FILTER(E$1:E1206, E$1:E1206&lt;&gt;""""))))-1), IF('To Order'!$A1207=COL"&amp;"UMNS($A1207:E1226), E1206&amp;RIGHT(INDIRECT(ADDRESS(ROW(E1207)-1, 'From Order'!$A1207)), 1), E1206))"),"")</f>
        <v/>
      </c>
      <c r="F1207" s="2" t="str">
        <f>IFERROR(__xludf.DUMMYFUNCTION("IF('From Order'!$A1207=COLUMNS($A1207:F1226), LEFT(INDEX(FILTER(F$1:F1206, F$1:F1206&lt;&gt;""""),COUNTA(FILTER(F$1:F1206, F$1:F1206&lt;&gt;""""))), LEN(INDEX(FILTER(F$1:F1206, F$1:F1206&lt;&gt;""""),COUNTA(FILTER(F$1:F1206, F$1:F1206&lt;&gt;""""))))-1), IF('To Order'!$A1207=COL"&amp;"UMNS($A1207:F1226), F1206&amp;RIGHT(INDIRECT(ADDRESS(ROW(F1207)-1, 'From Order'!$A1207)), 1), F1206))"),"")</f>
        <v/>
      </c>
      <c r="G1207" s="2" t="str">
        <f>IFERROR(__xludf.DUMMYFUNCTION("IF('From Order'!$A1207=COLUMNS($A1207:G1226), LEFT(INDEX(FILTER(G$1:G1206, G$1:G1206&lt;&gt;""""),COUNTA(FILTER(G$1:G1206, G$1:G1206&lt;&gt;""""))), LEN(INDEX(FILTER(G$1:G1206, G$1:G1206&lt;&gt;""""),COUNTA(FILTER(G$1:G1206, G$1:G1206&lt;&gt;""""))))-1), IF('To Order'!$A1207=COL"&amp;"UMNS($A1207:G1226), G1206&amp;RIGHT(INDIRECT(ADDRESS(ROW(G1207)-1, 'From Order'!$A1207)), 1), G1206))"),"B")</f>
        <v>B</v>
      </c>
      <c r="H1207" s="2" t="str">
        <f>IFERROR(__xludf.DUMMYFUNCTION("IF('From Order'!$A1207=COLUMNS($A1207:H1226), LEFT(INDEX(FILTER(H$1:H1206, H$1:H1206&lt;&gt;""""),COUNTA(FILTER(H$1:H1206, H$1:H1206&lt;&gt;""""))), LEN(INDEX(FILTER(H$1:H1206, H$1:H1206&lt;&gt;""""),COUNTA(FILTER(H$1:H1206, H$1:H1206&lt;&gt;""""))))-1), IF('To Order'!$A1207=COL"&amp;"UMNS($A1207:H1226), H1206&amp;RIGHT(INDIRECT(ADDRESS(ROW(H1207)-1, 'From Order'!$A1207)), 1), H1206))"),"")</f>
        <v/>
      </c>
      <c r="I1207" s="2" t="str">
        <f>IFERROR(__xludf.DUMMYFUNCTION("IF('From Order'!$A1207=COLUMNS($A1207:I1226), LEFT(INDEX(FILTER(I$1:I1206, I$1:I1206&lt;&gt;""""),COUNTA(FILTER(I$1:I1206, I$1:I1206&lt;&gt;""""))), LEN(INDEX(FILTER(I$1:I1206, I$1:I1206&lt;&gt;""""),COUNTA(FILTER(I$1:I1206, I$1:I1206&lt;&gt;""""))))-1), IF('To Order'!$A1207=COL"&amp;"UMNS($A1207:I1226), I1206&amp;RIGHT(INDIRECT(ADDRESS(ROW(I1207)-1, 'From Order'!$A1207)), 1), I1206))"),"SFVTSVDTWRMTCRCDRZC")</f>
        <v>SFVTSVDTWRMTCRCDRZC</v>
      </c>
    </row>
    <row r="1208">
      <c r="A1208" s="2" t="str">
        <f>IFERROR(__xludf.DUMMYFUNCTION("IF('From Order'!$A1208=COLUMNS($A1208:A1227), LEFT(INDEX(FILTER(A$1:A1207, A$1:A1207&lt;&gt;""""),COUNTA(FILTER(A$1:A1207, A$1:A1207&lt;&gt;""""))), LEN(INDEX(FILTER(A$1:A1207, A$1:A1207&lt;&gt;""""),COUNTA(FILTER(A$1:A1207, A$1:A1207&lt;&gt;""""))))-1), IF('To Order'!$A1208=COL"&amp;"UMNS($A1208:A1227), A1207&amp;RIGHT(INDIRECT(ADDRESS(ROW(A1208)-1, 'From Order'!$A1208)), 1), A1207))"),"HZBSBDJDMFBT")</f>
        <v>HZBSBDJDMFBT</v>
      </c>
      <c r="B1208" s="2" t="str">
        <f>IFERROR(__xludf.DUMMYFUNCTION("IF('From Order'!$A1208=COLUMNS($A1208:B1227), LEFT(INDEX(FILTER(B$1:B1207, B$1:B1207&lt;&gt;""""),COUNTA(FILTER(B$1:B1207, B$1:B1207&lt;&gt;""""))), LEN(INDEX(FILTER(B$1:B1207, B$1:B1207&lt;&gt;""""),COUNTA(FILTER(B$1:B1207, B$1:B1207&lt;&gt;""""))))-1), IF('To Order'!$A1208=COL"&amp;"UMNS($A1208:B1227), B1207&amp;RIGHT(INDIRECT(ADDRESS(ROW(B1208)-1, 'From Order'!$A1208)), 1), B1207))"),"ZLPD")</f>
        <v>ZLPD</v>
      </c>
      <c r="C1208" s="2" t="str">
        <f>IFERROR(__xludf.DUMMYFUNCTION("IF('From Order'!$A1208=COLUMNS($A1208:C1227), LEFT(INDEX(FILTER(C$1:C1207, C$1:C1207&lt;&gt;""""),COUNTA(FILTER(C$1:C1207, C$1:C1207&lt;&gt;""""))), LEN(INDEX(FILTER(C$1:C1207, C$1:C1207&lt;&gt;""""),COUNTA(FILTER(C$1:C1207, C$1:C1207&lt;&gt;""""))))-1), IF('To Order'!$A1208=COL"&amp;"UMNS($A1208:C1227), C1207&amp;RIGHT(INDIRECT(ADDRESS(ROW(C1208)-1, 'From Order'!$A1208)), 1), C1207))"),"TRLRSGHWQVQJPPLDTMG")</f>
        <v>TRLRSGHWQVQJPPLDTMG</v>
      </c>
      <c r="D1208" s="2" t="str">
        <f>IFERROR(__xludf.DUMMYFUNCTION("IF('From Order'!$A1208=COLUMNS($A1208:D1227), LEFT(INDEX(FILTER(D$1:D1207, D$1:D1207&lt;&gt;""""),COUNTA(FILTER(D$1:D1207, D$1:D1207&lt;&gt;""""))), LEN(INDEX(FILTER(D$1:D1207, D$1:D1207&lt;&gt;""""),COUNTA(FILTER(D$1:D1207, D$1:D1207&lt;&gt;""""))))-1), IF('To Order'!$A1208=COL"&amp;"UMNS($A1208:D1227), D1207&amp;RIGHT(INDIRECT(ADDRESS(ROW(D1208)-1, 'From Order'!$A1208)), 1), D1207))"),"")</f>
        <v/>
      </c>
      <c r="E1208" s="2" t="str">
        <f>IFERROR(__xludf.DUMMYFUNCTION("IF('From Order'!$A1208=COLUMNS($A1208:E1227), LEFT(INDEX(FILTER(E$1:E1207, E$1:E1207&lt;&gt;""""),COUNTA(FILTER(E$1:E1207, E$1:E1207&lt;&gt;""""))), LEN(INDEX(FILTER(E$1:E1207, E$1:E1207&lt;&gt;""""),COUNTA(FILTER(E$1:E1207, E$1:E1207&lt;&gt;""""))))-1), IF('To Order'!$A1208=COL"&amp;"UMNS($A1208:E1227), E1207&amp;RIGHT(INDIRECT(ADDRESS(ROW(E1208)-1, 'From Order'!$A1208)), 1), E1207))"),"")</f>
        <v/>
      </c>
      <c r="F1208" s="2" t="str">
        <f>IFERROR(__xludf.DUMMYFUNCTION("IF('From Order'!$A1208=COLUMNS($A1208:F1227), LEFT(INDEX(FILTER(F$1:F1207, F$1:F1207&lt;&gt;""""),COUNTA(FILTER(F$1:F1207, F$1:F1207&lt;&gt;""""))), LEN(INDEX(FILTER(F$1:F1207, F$1:F1207&lt;&gt;""""),COUNTA(FILTER(F$1:F1207, F$1:F1207&lt;&gt;""""))))-1), IF('To Order'!$A1208=COL"&amp;"UMNS($A1208:F1227), F1207&amp;RIGHT(INDIRECT(ADDRESS(ROW(F1208)-1, 'From Order'!$A1208)), 1), F1207))"),"")</f>
        <v/>
      </c>
      <c r="G1208" s="2" t="str">
        <f>IFERROR(__xludf.DUMMYFUNCTION("IF('From Order'!$A1208=COLUMNS($A1208:G1227), LEFT(INDEX(FILTER(G$1:G1207, G$1:G1207&lt;&gt;""""),COUNTA(FILTER(G$1:G1207, G$1:G1207&lt;&gt;""""))), LEN(INDEX(FILTER(G$1:G1207, G$1:G1207&lt;&gt;""""),COUNTA(FILTER(G$1:G1207, G$1:G1207&lt;&gt;""""))))-1), IF('To Order'!$A1208=COL"&amp;"UMNS($A1208:G1227), G1207&amp;RIGHT(INDIRECT(ADDRESS(ROW(G1208)-1, 'From Order'!$A1208)), 1), G1207))"),"B")</f>
        <v>B</v>
      </c>
      <c r="H1208" s="2" t="str">
        <f>IFERROR(__xludf.DUMMYFUNCTION("IF('From Order'!$A1208=COLUMNS($A1208:H1227), LEFT(INDEX(FILTER(H$1:H1207, H$1:H1207&lt;&gt;""""),COUNTA(FILTER(H$1:H1207, H$1:H1207&lt;&gt;""""))), LEN(INDEX(FILTER(H$1:H1207, H$1:H1207&lt;&gt;""""),COUNTA(FILTER(H$1:H1207, H$1:H1207&lt;&gt;""""))))-1), IF('To Order'!$A1208=COL"&amp;"UMNS($A1208:H1227), H1207&amp;RIGHT(INDIRECT(ADDRESS(ROW(H1208)-1, 'From Order'!$A1208)), 1), H1207))"),"")</f>
        <v/>
      </c>
      <c r="I1208" s="2" t="str">
        <f>IFERROR(__xludf.DUMMYFUNCTION("IF('From Order'!$A1208=COLUMNS($A1208:I1227), LEFT(INDEX(FILTER(I$1:I1207, I$1:I1207&lt;&gt;""""),COUNTA(FILTER(I$1:I1207, I$1:I1207&lt;&gt;""""))), LEN(INDEX(FILTER(I$1:I1207, I$1:I1207&lt;&gt;""""),COUNTA(FILTER(I$1:I1207, I$1:I1207&lt;&gt;""""))))-1), IF('To Order'!$A1208=COL"&amp;"UMNS($A1208:I1227), I1207&amp;RIGHT(INDIRECT(ADDRESS(ROW(I1208)-1, 'From Order'!$A1208)), 1), I1207))"),"SFVTSVDTWRMTCRCDRZCJ")</f>
        <v>SFVTSVDTWRMTCRCDRZCJ</v>
      </c>
    </row>
    <row r="1209">
      <c r="A1209" s="2" t="str">
        <f>IFERROR(__xludf.DUMMYFUNCTION("IF('From Order'!$A1209=COLUMNS($A1209:A1228), LEFT(INDEX(FILTER(A$1:A1208, A$1:A1208&lt;&gt;""""),COUNTA(FILTER(A$1:A1208, A$1:A1208&lt;&gt;""""))), LEN(INDEX(FILTER(A$1:A1208, A$1:A1208&lt;&gt;""""),COUNTA(FILTER(A$1:A1208, A$1:A1208&lt;&gt;""""))))-1), IF('To Order'!$A1209=COL"&amp;"UMNS($A1209:A1228), A1208&amp;RIGHT(INDIRECT(ADDRESS(ROW(A1209)-1, 'From Order'!$A1209)), 1), A1208))"),"HZBSBDJDMFB")</f>
        <v>HZBSBDJDMFB</v>
      </c>
      <c r="B1209" s="2" t="str">
        <f>IFERROR(__xludf.DUMMYFUNCTION("IF('From Order'!$A1209=COLUMNS($A1209:B1228), LEFT(INDEX(FILTER(B$1:B1208, B$1:B1208&lt;&gt;""""),COUNTA(FILTER(B$1:B1208, B$1:B1208&lt;&gt;""""))), LEN(INDEX(FILTER(B$1:B1208, B$1:B1208&lt;&gt;""""),COUNTA(FILTER(B$1:B1208, B$1:B1208&lt;&gt;""""))))-1), IF('To Order'!$A1209=COL"&amp;"UMNS($A1209:B1228), B1208&amp;RIGHT(INDIRECT(ADDRESS(ROW(B1209)-1, 'From Order'!$A1209)), 1), B1208))"),"ZLPD")</f>
        <v>ZLPD</v>
      </c>
      <c r="C1209" s="2" t="str">
        <f>IFERROR(__xludf.DUMMYFUNCTION("IF('From Order'!$A1209=COLUMNS($A1209:C1228), LEFT(INDEX(FILTER(C$1:C1208, C$1:C1208&lt;&gt;""""),COUNTA(FILTER(C$1:C1208, C$1:C1208&lt;&gt;""""))), LEN(INDEX(FILTER(C$1:C1208, C$1:C1208&lt;&gt;""""),COUNTA(FILTER(C$1:C1208, C$1:C1208&lt;&gt;""""))))-1), IF('To Order'!$A1209=COL"&amp;"UMNS($A1209:C1228), C1208&amp;RIGHT(INDIRECT(ADDRESS(ROW(C1209)-1, 'From Order'!$A1209)), 1), C1208))"),"TRLRSGHWQVQJPPLDTMG")</f>
        <v>TRLRSGHWQVQJPPLDTMG</v>
      </c>
      <c r="D1209" s="2" t="str">
        <f>IFERROR(__xludf.DUMMYFUNCTION("IF('From Order'!$A1209=COLUMNS($A1209:D1228), LEFT(INDEX(FILTER(D$1:D1208, D$1:D1208&lt;&gt;""""),COUNTA(FILTER(D$1:D1208, D$1:D1208&lt;&gt;""""))), LEN(INDEX(FILTER(D$1:D1208, D$1:D1208&lt;&gt;""""),COUNTA(FILTER(D$1:D1208, D$1:D1208&lt;&gt;""""))))-1), IF('To Order'!$A1209=COL"&amp;"UMNS($A1209:D1228), D1208&amp;RIGHT(INDIRECT(ADDRESS(ROW(D1209)-1, 'From Order'!$A1209)), 1), D1208))"),"")</f>
        <v/>
      </c>
      <c r="E1209" s="2" t="str">
        <f>IFERROR(__xludf.DUMMYFUNCTION("IF('From Order'!$A1209=COLUMNS($A1209:E1228), LEFT(INDEX(FILTER(E$1:E1208, E$1:E1208&lt;&gt;""""),COUNTA(FILTER(E$1:E1208, E$1:E1208&lt;&gt;""""))), LEN(INDEX(FILTER(E$1:E1208, E$1:E1208&lt;&gt;""""),COUNTA(FILTER(E$1:E1208, E$1:E1208&lt;&gt;""""))))-1), IF('To Order'!$A1209=COL"&amp;"UMNS($A1209:E1228), E1208&amp;RIGHT(INDIRECT(ADDRESS(ROW(E1209)-1, 'From Order'!$A1209)), 1), E1208))"),"")</f>
        <v/>
      </c>
      <c r="F1209" s="2" t="str">
        <f>IFERROR(__xludf.DUMMYFUNCTION("IF('From Order'!$A1209=COLUMNS($A1209:F1228), LEFT(INDEX(FILTER(F$1:F1208, F$1:F1208&lt;&gt;""""),COUNTA(FILTER(F$1:F1208, F$1:F1208&lt;&gt;""""))), LEN(INDEX(FILTER(F$1:F1208, F$1:F1208&lt;&gt;""""),COUNTA(FILTER(F$1:F1208, F$1:F1208&lt;&gt;""""))))-1), IF('To Order'!$A1209=COL"&amp;"UMNS($A1209:F1228), F1208&amp;RIGHT(INDIRECT(ADDRESS(ROW(F1209)-1, 'From Order'!$A1209)), 1), F1208))"),"")</f>
        <v/>
      </c>
      <c r="G1209" s="2" t="str">
        <f>IFERROR(__xludf.DUMMYFUNCTION("IF('From Order'!$A1209=COLUMNS($A1209:G1228), LEFT(INDEX(FILTER(G$1:G1208, G$1:G1208&lt;&gt;""""),COUNTA(FILTER(G$1:G1208, G$1:G1208&lt;&gt;""""))), LEN(INDEX(FILTER(G$1:G1208, G$1:G1208&lt;&gt;""""),COUNTA(FILTER(G$1:G1208, G$1:G1208&lt;&gt;""""))))-1), IF('To Order'!$A1209=COL"&amp;"UMNS($A1209:G1228), G1208&amp;RIGHT(INDIRECT(ADDRESS(ROW(G1209)-1, 'From Order'!$A1209)), 1), G1208))"),"B")</f>
        <v>B</v>
      </c>
      <c r="H1209" s="2" t="str">
        <f>IFERROR(__xludf.DUMMYFUNCTION("IF('From Order'!$A1209=COLUMNS($A1209:H1228), LEFT(INDEX(FILTER(H$1:H1208, H$1:H1208&lt;&gt;""""),COUNTA(FILTER(H$1:H1208, H$1:H1208&lt;&gt;""""))), LEN(INDEX(FILTER(H$1:H1208, H$1:H1208&lt;&gt;""""),COUNTA(FILTER(H$1:H1208, H$1:H1208&lt;&gt;""""))))-1), IF('To Order'!$A1209=COL"&amp;"UMNS($A1209:H1228), H1208&amp;RIGHT(INDIRECT(ADDRESS(ROW(H1209)-1, 'From Order'!$A1209)), 1), H1208))"),"")</f>
        <v/>
      </c>
      <c r="I1209" s="2" t="str">
        <f>IFERROR(__xludf.DUMMYFUNCTION("IF('From Order'!$A1209=COLUMNS($A1209:I1228), LEFT(INDEX(FILTER(I$1:I1208, I$1:I1208&lt;&gt;""""),COUNTA(FILTER(I$1:I1208, I$1:I1208&lt;&gt;""""))), LEN(INDEX(FILTER(I$1:I1208, I$1:I1208&lt;&gt;""""),COUNTA(FILTER(I$1:I1208, I$1:I1208&lt;&gt;""""))))-1), IF('To Order'!$A1209=COL"&amp;"UMNS($A1209:I1228), I1208&amp;RIGHT(INDIRECT(ADDRESS(ROW(I1209)-1, 'From Order'!$A1209)), 1), I1208))"),"SFVTSVDTWRMTCRCDRZCJT")</f>
        <v>SFVTSVDTWRMTCRCDRZCJT</v>
      </c>
    </row>
    <row r="1210">
      <c r="A1210" s="2" t="str">
        <f>IFERROR(__xludf.DUMMYFUNCTION("IF('From Order'!$A1210=COLUMNS($A1210:A1229), LEFT(INDEX(FILTER(A$1:A1209, A$1:A1209&lt;&gt;""""),COUNTA(FILTER(A$1:A1209, A$1:A1209&lt;&gt;""""))), LEN(INDEX(FILTER(A$1:A1209, A$1:A1209&lt;&gt;""""),COUNTA(FILTER(A$1:A1209, A$1:A1209&lt;&gt;""""))))-1), IF('To Order'!$A1210=COL"&amp;"UMNS($A1210:A1229), A1209&amp;RIGHT(INDIRECT(ADDRESS(ROW(A1210)-1, 'From Order'!$A1210)), 1), A1209))"),"HZBSBDJDMF")</f>
        <v>HZBSBDJDMF</v>
      </c>
      <c r="B1210" s="2" t="str">
        <f>IFERROR(__xludf.DUMMYFUNCTION("IF('From Order'!$A1210=COLUMNS($A1210:B1229), LEFT(INDEX(FILTER(B$1:B1209, B$1:B1209&lt;&gt;""""),COUNTA(FILTER(B$1:B1209, B$1:B1209&lt;&gt;""""))), LEN(INDEX(FILTER(B$1:B1209, B$1:B1209&lt;&gt;""""),COUNTA(FILTER(B$1:B1209, B$1:B1209&lt;&gt;""""))))-1), IF('To Order'!$A1210=COL"&amp;"UMNS($A1210:B1229), B1209&amp;RIGHT(INDIRECT(ADDRESS(ROW(B1210)-1, 'From Order'!$A1210)), 1), B1209))"),"ZLPD")</f>
        <v>ZLPD</v>
      </c>
      <c r="C1210" s="2" t="str">
        <f>IFERROR(__xludf.DUMMYFUNCTION("IF('From Order'!$A1210=COLUMNS($A1210:C1229), LEFT(INDEX(FILTER(C$1:C1209, C$1:C1209&lt;&gt;""""),COUNTA(FILTER(C$1:C1209, C$1:C1209&lt;&gt;""""))), LEN(INDEX(FILTER(C$1:C1209, C$1:C1209&lt;&gt;""""),COUNTA(FILTER(C$1:C1209, C$1:C1209&lt;&gt;""""))))-1), IF('To Order'!$A1210=COL"&amp;"UMNS($A1210:C1229), C1209&amp;RIGHT(INDIRECT(ADDRESS(ROW(C1210)-1, 'From Order'!$A1210)), 1), C1209))"),"TRLRSGHWQVQJPPLDTMG")</f>
        <v>TRLRSGHWQVQJPPLDTMG</v>
      </c>
      <c r="D1210" s="2" t="str">
        <f>IFERROR(__xludf.DUMMYFUNCTION("IF('From Order'!$A1210=COLUMNS($A1210:D1229), LEFT(INDEX(FILTER(D$1:D1209, D$1:D1209&lt;&gt;""""),COUNTA(FILTER(D$1:D1209, D$1:D1209&lt;&gt;""""))), LEN(INDEX(FILTER(D$1:D1209, D$1:D1209&lt;&gt;""""),COUNTA(FILTER(D$1:D1209, D$1:D1209&lt;&gt;""""))))-1), IF('To Order'!$A1210=COL"&amp;"UMNS($A1210:D1229), D1209&amp;RIGHT(INDIRECT(ADDRESS(ROW(D1210)-1, 'From Order'!$A1210)), 1), D1209))"),"")</f>
        <v/>
      </c>
      <c r="E1210" s="2" t="str">
        <f>IFERROR(__xludf.DUMMYFUNCTION("IF('From Order'!$A1210=COLUMNS($A1210:E1229), LEFT(INDEX(FILTER(E$1:E1209, E$1:E1209&lt;&gt;""""),COUNTA(FILTER(E$1:E1209, E$1:E1209&lt;&gt;""""))), LEN(INDEX(FILTER(E$1:E1209, E$1:E1209&lt;&gt;""""),COUNTA(FILTER(E$1:E1209, E$1:E1209&lt;&gt;""""))))-1), IF('To Order'!$A1210=COL"&amp;"UMNS($A1210:E1229), E1209&amp;RIGHT(INDIRECT(ADDRESS(ROW(E1210)-1, 'From Order'!$A1210)), 1), E1209))"),"")</f>
        <v/>
      </c>
      <c r="F1210" s="2" t="str">
        <f>IFERROR(__xludf.DUMMYFUNCTION("IF('From Order'!$A1210=COLUMNS($A1210:F1229), LEFT(INDEX(FILTER(F$1:F1209, F$1:F1209&lt;&gt;""""),COUNTA(FILTER(F$1:F1209, F$1:F1209&lt;&gt;""""))), LEN(INDEX(FILTER(F$1:F1209, F$1:F1209&lt;&gt;""""),COUNTA(FILTER(F$1:F1209, F$1:F1209&lt;&gt;""""))))-1), IF('To Order'!$A1210=COL"&amp;"UMNS($A1210:F1229), F1209&amp;RIGHT(INDIRECT(ADDRESS(ROW(F1210)-1, 'From Order'!$A1210)), 1), F1209))"),"")</f>
        <v/>
      </c>
      <c r="G1210" s="2" t="str">
        <f>IFERROR(__xludf.DUMMYFUNCTION("IF('From Order'!$A1210=COLUMNS($A1210:G1229), LEFT(INDEX(FILTER(G$1:G1209, G$1:G1209&lt;&gt;""""),COUNTA(FILTER(G$1:G1209, G$1:G1209&lt;&gt;""""))), LEN(INDEX(FILTER(G$1:G1209, G$1:G1209&lt;&gt;""""),COUNTA(FILTER(G$1:G1209, G$1:G1209&lt;&gt;""""))))-1), IF('To Order'!$A1210=COL"&amp;"UMNS($A1210:G1229), G1209&amp;RIGHT(INDIRECT(ADDRESS(ROW(G1210)-1, 'From Order'!$A1210)), 1), G1209))"),"B")</f>
        <v>B</v>
      </c>
      <c r="H1210" s="2" t="str">
        <f>IFERROR(__xludf.DUMMYFUNCTION("IF('From Order'!$A1210=COLUMNS($A1210:H1229), LEFT(INDEX(FILTER(H$1:H1209, H$1:H1209&lt;&gt;""""),COUNTA(FILTER(H$1:H1209, H$1:H1209&lt;&gt;""""))), LEN(INDEX(FILTER(H$1:H1209, H$1:H1209&lt;&gt;""""),COUNTA(FILTER(H$1:H1209, H$1:H1209&lt;&gt;""""))))-1), IF('To Order'!$A1210=COL"&amp;"UMNS($A1210:H1229), H1209&amp;RIGHT(INDIRECT(ADDRESS(ROW(H1210)-1, 'From Order'!$A1210)), 1), H1209))"),"")</f>
        <v/>
      </c>
      <c r="I1210" s="2" t="str">
        <f>IFERROR(__xludf.DUMMYFUNCTION("IF('From Order'!$A1210=COLUMNS($A1210:I1229), LEFT(INDEX(FILTER(I$1:I1209, I$1:I1209&lt;&gt;""""),COUNTA(FILTER(I$1:I1209, I$1:I1209&lt;&gt;""""))), LEN(INDEX(FILTER(I$1:I1209, I$1:I1209&lt;&gt;""""),COUNTA(FILTER(I$1:I1209, I$1:I1209&lt;&gt;""""))))-1), IF('To Order'!$A1210=COL"&amp;"UMNS($A1210:I1229), I1209&amp;RIGHT(INDIRECT(ADDRESS(ROW(I1210)-1, 'From Order'!$A1210)), 1), I1209))"),"SFVTSVDTWRMTCRCDRZCJTB")</f>
        <v>SFVTSVDTWRMTCRCDRZCJTB</v>
      </c>
    </row>
    <row r="1211">
      <c r="A1211" s="2" t="str">
        <f>IFERROR(__xludf.DUMMYFUNCTION("IF('From Order'!$A1211=COLUMNS($A1211:A1230), LEFT(INDEX(FILTER(A$1:A1210, A$1:A1210&lt;&gt;""""),COUNTA(FILTER(A$1:A1210, A$1:A1210&lt;&gt;""""))), LEN(INDEX(FILTER(A$1:A1210, A$1:A1210&lt;&gt;""""),COUNTA(FILTER(A$1:A1210, A$1:A1210&lt;&gt;""""))))-1), IF('To Order'!$A1211=COL"&amp;"UMNS($A1211:A1230), A1210&amp;RIGHT(INDIRECT(ADDRESS(ROW(A1211)-1, 'From Order'!$A1211)), 1), A1210))"),"HZBSBDJDM")</f>
        <v>HZBSBDJDM</v>
      </c>
      <c r="B1211" s="2" t="str">
        <f>IFERROR(__xludf.DUMMYFUNCTION("IF('From Order'!$A1211=COLUMNS($A1211:B1230), LEFT(INDEX(FILTER(B$1:B1210, B$1:B1210&lt;&gt;""""),COUNTA(FILTER(B$1:B1210, B$1:B1210&lt;&gt;""""))), LEN(INDEX(FILTER(B$1:B1210, B$1:B1210&lt;&gt;""""),COUNTA(FILTER(B$1:B1210, B$1:B1210&lt;&gt;""""))))-1), IF('To Order'!$A1211=COL"&amp;"UMNS($A1211:B1230), B1210&amp;RIGHT(INDIRECT(ADDRESS(ROW(B1211)-1, 'From Order'!$A1211)), 1), B1210))"),"ZLPD")</f>
        <v>ZLPD</v>
      </c>
      <c r="C1211" s="2" t="str">
        <f>IFERROR(__xludf.DUMMYFUNCTION("IF('From Order'!$A1211=COLUMNS($A1211:C1230), LEFT(INDEX(FILTER(C$1:C1210, C$1:C1210&lt;&gt;""""),COUNTA(FILTER(C$1:C1210, C$1:C1210&lt;&gt;""""))), LEN(INDEX(FILTER(C$1:C1210, C$1:C1210&lt;&gt;""""),COUNTA(FILTER(C$1:C1210, C$1:C1210&lt;&gt;""""))))-1), IF('To Order'!$A1211=COL"&amp;"UMNS($A1211:C1230), C1210&amp;RIGHT(INDIRECT(ADDRESS(ROW(C1211)-1, 'From Order'!$A1211)), 1), C1210))"),"TRLRSGHWQVQJPPLDTMG")</f>
        <v>TRLRSGHWQVQJPPLDTMG</v>
      </c>
      <c r="D1211" s="2" t="str">
        <f>IFERROR(__xludf.DUMMYFUNCTION("IF('From Order'!$A1211=COLUMNS($A1211:D1230), LEFT(INDEX(FILTER(D$1:D1210, D$1:D1210&lt;&gt;""""),COUNTA(FILTER(D$1:D1210, D$1:D1210&lt;&gt;""""))), LEN(INDEX(FILTER(D$1:D1210, D$1:D1210&lt;&gt;""""),COUNTA(FILTER(D$1:D1210, D$1:D1210&lt;&gt;""""))))-1), IF('To Order'!$A1211=COL"&amp;"UMNS($A1211:D1230), D1210&amp;RIGHT(INDIRECT(ADDRESS(ROW(D1211)-1, 'From Order'!$A1211)), 1), D1210))"),"")</f>
        <v/>
      </c>
      <c r="E1211" s="2" t="str">
        <f>IFERROR(__xludf.DUMMYFUNCTION("IF('From Order'!$A1211=COLUMNS($A1211:E1230), LEFT(INDEX(FILTER(E$1:E1210, E$1:E1210&lt;&gt;""""),COUNTA(FILTER(E$1:E1210, E$1:E1210&lt;&gt;""""))), LEN(INDEX(FILTER(E$1:E1210, E$1:E1210&lt;&gt;""""),COUNTA(FILTER(E$1:E1210, E$1:E1210&lt;&gt;""""))))-1), IF('To Order'!$A1211=COL"&amp;"UMNS($A1211:E1230), E1210&amp;RIGHT(INDIRECT(ADDRESS(ROW(E1211)-1, 'From Order'!$A1211)), 1), E1210))"),"")</f>
        <v/>
      </c>
      <c r="F1211" s="2" t="str">
        <f>IFERROR(__xludf.DUMMYFUNCTION("IF('From Order'!$A1211=COLUMNS($A1211:F1230), LEFT(INDEX(FILTER(F$1:F1210, F$1:F1210&lt;&gt;""""),COUNTA(FILTER(F$1:F1210, F$1:F1210&lt;&gt;""""))), LEN(INDEX(FILTER(F$1:F1210, F$1:F1210&lt;&gt;""""),COUNTA(FILTER(F$1:F1210, F$1:F1210&lt;&gt;""""))))-1), IF('To Order'!$A1211=COL"&amp;"UMNS($A1211:F1230), F1210&amp;RIGHT(INDIRECT(ADDRESS(ROW(F1211)-1, 'From Order'!$A1211)), 1), F1210))"),"")</f>
        <v/>
      </c>
      <c r="G1211" s="2" t="str">
        <f>IFERROR(__xludf.DUMMYFUNCTION("IF('From Order'!$A1211=COLUMNS($A1211:G1230), LEFT(INDEX(FILTER(G$1:G1210, G$1:G1210&lt;&gt;""""),COUNTA(FILTER(G$1:G1210, G$1:G1210&lt;&gt;""""))), LEN(INDEX(FILTER(G$1:G1210, G$1:G1210&lt;&gt;""""),COUNTA(FILTER(G$1:G1210, G$1:G1210&lt;&gt;""""))))-1), IF('To Order'!$A1211=COL"&amp;"UMNS($A1211:G1230), G1210&amp;RIGHT(INDIRECT(ADDRESS(ROW(G1211)-1, 'From Order'!$A1211)), 1), G1210))"),"B")</f>
        <v>B</v>
      </c>
      <c r="H1211" s="2" t="str">
        <f>IFERROR(__xludf.DUMMYFUNCTION("IF('From Order'!$A1211=COLUMNS($A1211:H1230), LEFT(INDEX(FILTER(H$1:H1210, H$1:H1210&lt;&gt;""""),COUNTA(FILTER(H$1:H1210, H$1:H1210&lt;&gt;""""))), LEN(INDEX(FILTER(H$1:H1210, H$1:H1210&lt;&gt;""""),COUNTA(FILTER(H$1:H1210, H$1:H1210&lt;&gt;""""))))-1), IF('To Order'!$A1211=COL"&amp;"UMNS($A1211:H1230), H1210&amp;RIGHT(INDIRECT(ADDRESS(ROW(H1211)-1, 'From Order'!$A1211)), 1), H1210))"),"")</f>
        <v/>
      </c>
      <c r="I1211" s="2" t="str">
        <f>IFERROR(__xludf.DUMMYFUNCTION("IF('From Order'!$A1211=COLUMNS($A1211:I1230), LEFT(INDEX(FILTER(I$1:I1210, I$1:I1210&lt;&gt;""""),COUNTA(FILTER(I$1:I1210, I$1:I1210&lt;&gt;""""))), LEN(INDEX(FILTER(I$1:I1210, I$1:I1210&lt;&gt;""""),COUNTA(FILTER(I$1:I1210, I$1:I1210&lt;&gt;""""))))-1), IF('To Order'!$A1211=COL"&amp;"UMNS($A1211:I1230), I1210&amp;RIGHT(INDIRECT(ADDRESS(ROW(I1211)-1, 'From Order'!$A1211)), 1), I1210))"),"SFVTSVDTWRMTCRCDRZCJTBF")</f>
        <v>SFVTSVDTWRMTCRCDRZCJTBF</v>
      </c>
    </row>
    <row r="1212">
      <c r="A1212" s="2" t="str">
        <f>IFERROR(__xludf.DUMMYFUNCTION("IF('From Order'!$A1212=COLUMNS($A1212:A1231), LEFT(INDEX(FILTER(A$1:A1211, A$1:A1211&lt;&gt;""""),COUNTA(FILTER(A$1:A1211, A$1:A1211&lt;&gt;""""))), LEN(INDEX(FILTER(A$1:A1211, A$1:A1211&lt;&gt;""""),COUNTA(FILTER(A$1:A1211, A$1:A1211&lt;&gt;""""))))-1), IF('To Order'!$A1212=COL"&amp;"UMNS($A1212:A1231), A1211&amp;RIGHT(INDIRECT(ADDRESS(ROW(A1212)-1, 'From Order'!$A1212)), 1), A1211))"),"HZBSBDJD")</f>
        <v>HZBSBDJD</v>
      </c>
      <c r="B1212" s="2" t="str">
        <f>IFERROR(__xludf.DUMMYFUNCTION("IF('From Order'!$A1212=COLUMNS($A1212:B1231), LEFT(INDEX(FILTER(B$1:B1211, B$1:B1211&lt;&gt;""""),COUNTA(FILTER(B$1:B1211, B$1:B1211&lt;&gt;""""))), LEN(INDEX(FILTER(B$1:B1211, B$1:B1211&lt;&gt;""""),COUNTA(FILTER(B$1:B1211, B$1:B1211&lt;&gt;""""))))-1), IF('To Order'!$A1212=COL"&amp;"UMNS($A1212:B1231), B1211&amp;RIGHT(INDIRECT(ADDRESS(ROW(B1212)-1, 'From Order'!$A1212)), 1), B1211))"),"ZLPD")</f>
        <v>ZLPD</v>
      </c>
      <c r="C1212" s="2" t="str">
        <f>IFERROR(__xludf.DUMMYFUNCTION("IF('From Order'!$A1212=COLUMNS($A1212:C1231), LEFT(INDEX(FILTER(C$1:C1211, C$1:C1211&lt;&gt;""""),COUNTA(FILTER(C$1:C1211, C$1:C1211&lt;&gt;""""))), LEN(INDEX(FILTER(C$1:C1211, C$1:C1211&lt;&gt;""""),COUNTA(FILTER(C$1:C1211, C$1:C1211&lt;&gt;""""))))-1), IF('To Order'!$A1212=COL"&amp;"UMNS($A1212:C1231), C1211&amp;RIGHT(INDIRECT(ADDRESS(ROW(C1212)-1, 'From Order'!$A1212)), 1), C1211))"),"TRLRSGHWQVQJPPLDTMG")</f>
        <v>TRLRSGHWQVQJPPLDTMG</v>
      </c>
      <c r="D1212" s="2" t="str">
        <f>IFERROR(__xludf.DUMMYFUNCTION("IF('From Order'!$A1212=COLUMNS($A1212:D1231), LEFT(INDEX(FILTER(D$1:D1211, D$1:D1211&lt;&gt;""""),COUNTA(FILTER(D$1:D1211, D$1:D1211&lt;&gt;""""))), LEN(INDEX(FILTER(D$1:D1211, D$1:D1211&lt;&gt;""""),COUNTA(FILTER(D$1:D1211, D$1:D1211&lt;&gt;""""))))-1), IF('To Order'!$A1212=COL"&amp;"UMNS($A1212:D1231), D1211&amp;RIGHT(INDIRECT(ADDRESS(ROW(D1212)-1, 'From Order'!$A1212)), 1), D1211))"),"")</f>
        <v/>
      </c>
      <c r="E1212" s="2" t="str">
        <f>IFERROR(__xludf.DUMMYFUNCTION("IF('From Order'!$A1212=COLUMNS($A1212:E1231), LEFT(INDEX(FILTER(E$1:E1211, E$1:E1211&lt;&gt;""""),COUNTA(FILTER(E$1:E1211, E$1:E1211&lt;&gt;""""))), LEN(INDEX(FILTER(E$1:E1211, E$1:E1211&lt;&gt;""""),COUNTA(FILTER(E$1:E1211, E$1:E1211&lt;&gt;""""))))-1), IF('To Order'!$A1212=COL"&amp;"UMNS($A1212:E1231), E1211&amp;RIGHT(INDIRECT(ADDRESS(ROW(E1212)-1, 'From Order'!$A1212)), 1), E1211))"),"")</f>
        <v/>
      </c>
      <c r="F1212" s="2" t="str">
        <f>IFERROR(__xludf.DUMMYFUNCTION("IF('From Order'!$A1212=COLUMNS($A1212:F1231), LEFT(INDEX(FILTER(F$1:F1211, F$1:F1211&lt;&gt;""""),COUNTA(FILTER(F$1:F1211, F$1:F1211&lt;&gt;""""))), LEN(INDEX(FILTER(F$1:F1211, F$1:F1211&lt;&gt;""""),COUNTA(FILTER(F$1:F1211, F$1:F1211&lt;&gt;""""))))-1), IF('To Order'!$A1212=COL"&amp;"UMNS($A1212:F1231), F1211&amp;RIGHT(INDIRECT(ADDRESS(ROW(F1212)-1, 'From Order'!$A1212)), 1), F1211))"),"")</f>
        <v/>
      </c>
      <c r="G1212" s="2" t="str">
        <f>IFERROR(__xludf.DUMMYFUNCTION("IF('From Order'!$A1212=COLUMNS($A1212:G1231), LEFT(INDEX(FILTER(G$1:G1211, G$1:G1211&lt;&gt;""""),COUNTA(FILTER(G$1:G1211, G$1:G1211&lt;&gt;""""))), LEN(INDEX(FILTER(G$1:G1211, G$1:G1211&lt;&gt;""""),COUNTA(FILTER(G$1:G1211, G$1:G1211&lt;&gt;""""))))-1), IF('To Order'!$A1212=COL"&amp;"UMNS($A1212:G1231), G1211&amp;RIGHT(INDIRECT(ADDRESS(ROW(G1212)-1, 'From Order'!$A1212)), 1), G1211))"),"B")</f>
        <v>B</v>
      </c>
      <c r="H1212" s="2" t="str">
        <f>IFERROR(__xludf.DUMMYFUNCTION("IF('From Order'!$A1212=COLUMNS($A1212:H1231), LEFT(INDEX(FILTER(H$1:H1211, H$1:H1211&lt;&gt;""""),COUNTA(FILTER(H$1:H1211, H$1:H1211&lt;&gt;""""))), LEN(INDEX(FILTER(H$1:H1211, H$1:H1211&lt;&gt;""""),COUNTA(FILTER(H$1:H1211, H$1:H1211&lt;&gt;""""))))-1), IF('To Order'!$A1212=COL"&amp;"UMNS($A1212:H1231), H1211&amp;RIGHT(INDIRECT(ADDRESS(ROW(H1212)-1, 'From Order'!$A1212)), 1), H1211))"),"")</f>
        <v/>
      </c>
      <c r="I1212" s="2" t="str">
        <f>IFERROR(__xludf.DUMMYFUNCTION("IF('From Order'!$A1212=COLUMNS($A1212:I1231), LEFT(INDEX(FILTER(I$1:I1211, I$1:I1211&lt;&gt;""""),COUNTA(FILTER(I$1:I1211, I$1:I1211&lt;&gt;""""))), LEN(INDEX(FILTER(I$1:I1211, I$1:I1211&lt;&gt;""""),COUNTA(FILTER(I$1:I1211, I$1:I1211&lt;&gt;""""))))-1), IF('To Order'!$A1212=COL"&amp;"UMNS($A1212:I1231), I1211&amp;RIGHT(INDIRECT(ADDRESS(ROW(I1212)-1, 'From Order'!$A1212)), 1), I1211))"),"SFVTSVDTWRMTCRCDRZCJTBFM")</f>
        <v>SFVTSVDTWRMTCRCDRZCJTBFM</v>
      </c>
    </row>
    <row r="1213">
      <c r="A1213" s="2" t="str">
        <f>IFERROR(__xludf.DUMMYFUNCTION("IF('From Order'!$A1213=COLUMNS($A1213:A1232), LEFT(INDEX(FILTER(A$1:A1212, A$1:A1212&lt;&gt;""""),COUNTA(FILTER(A$1:A1212, A$1:A1212&lt;&gt;""""))), LEN(INDEX(FILTER(A$1:A1212, A$1:A1212&lt;&gt;""""),COUNTA(FILTER(A$1:A1212, A$1:A1212&lt;&gt;""""))))-1), IF('To Order'!$A1213=COL"&amp;"UMNS($A1213:A1232), A1212&amp;RIGHT(INDIRECT(ADDRESS(ROW(A1213)-1, 'From Order'!$A1213)), 1), A1212))"),"HZBSBDJ")</f>
        <v>HZBSBDJ</v>
      </c>
      <c r="B1213" s="2" t="str">
        <f>IFERROR(__xludf.DUMMYFUNCTION("IF('From Order'!$A1213=COLUMNS($A1213:B1232), LEFT(INDEX(FILTER(B$1:B1212, B$1:B1212&lt;&gt;""""),COUNTA(FILTER(B$1:B1212, B$1:B1212&lt;&gt;""""))), LEN(INDEX(FILTER(B$1:B1212, B$1:B1212&lt;&gt;""""),COUNTA(FILTER(B$1:B1212, B$1:B1212&lt;&gt;""""))))-1), IF('To Order'!$A1213=COL"&amp;"UMNS($A1213:B1232), B1212&amp;RIGHT(INDIRECT(ADDRESS(ROW(B1213)-1, 'From Order'!$A1213)), 1), B1212))"),"ZLPD")</f>
        <v>ZLPD</v>
      </c>
      <c r="C1213" s="2" t="str">
        <f>IFERROR(__xludf.DUMMYFUNCTION("IF('From Order'!$A1213=COLUMNS($A1213:C1232), LEFT(INDEX(FILTER(C$1:C1212, C$1:C1212&lt;&gt;""""),COUNTA(FILTER(C$1:C1212, C$1:C1212&lt;&gt;""""))), LEN(INDEX(FILTER(C$1:C1212, C$1:C1212&lt;&gt;""""),COUNTA(FILTER(C$1:C1212, C$1:C1212&lt;&gt;""""))))-1), IF('To Order'!$A1213=COL"&amp;"UMNS($A1213:C1232), C1212&amp;RIGHT(INDIRECT(ADDRESS(ROW(C1213)-1, 'From Order'!$A1213)), 1), C1212))"),"TRLRSGHWQVQJPPLDTMG")</f>
        <v>TRLRSGHWQVQJPPLDTMG</v>
      </c>
      <c r="D1213" s="2" t="str">
        <f>IFERROR(__xludf.DUMMYFUNCTION("IF('From Order'!$A1213=COLUMNS($A1213:D1232), LEFT(INDEX(FILTER(D$1:D1212, D$1:D1212&lt;&gt;""""),COUNTA(FILTER(D$1:D1212, D$1:D1212&lt;&gt;""""))), LEN(INDEX(FILTER(D$1:D1212, D$1:D1212&lt;&gt;""""),COUNTA(FILTER(D$1:D1212, D$1:D1212&lt;&gt;""""))))-1), IF('To Order'!$A1213=COL"&amp;"UMNS($A1213:D1232), D1212&amp;RIGHT(INDIRECT(ADDRESS(ROW(D1213)-1, 'From Order'!$A1213)), 1), D1212))"),"")</f>
        <v/>
      </c>
      <c r="E1213" s="2" t="str">
        <f>IFERROR(__xludf.DUMMYFUNCTION("IF('From Order'!$A1213=COLUMNS($A1213:E1232), LEFT(INDEX(FILTER(E$1:E1212, E$1:E1212&lt;&gt;""""),COUNTA(FILTER(E$1:E1212, E$1:E1212&lt;&gt;""""))), LEN(INDEX(FILTER(E$1:E1212, E$1:E1212&lt;&gt;""""),COUNTA(FILTER(E$1:E1212, E$1:E1212&lt;&gt;""""))))-1), IF('To Order'!$A1213=COL"&amp;"UMNS($A1213:E1232), E1212&amp;RIGHT(INDIRECT(ADDRESS(ROW(E1213)-1, 'From Order'!$A1213)), 1), E1212))"),"")</f>
        <v/>
      </c>
      <c r="F1213" s="2" t="str">
        <f>IFERROR(__xludf.DUMMYFUNCTION("IF('From Order'!$A1213=COLUMNS($A1213:F1232), LEFT(INDEX(FILTER(F$1:F1212, F$1:F1212&lt;&gt;""""),COUNTA(FILTER(F$1:F1212, F$1:F1212&lt;&gt;""""))), LEN(INDEX(FILTER(F$1:F1212, F$1:F1212&lt;&gt;""""),COUNTA(FILTER(F$1:F1212, F$1:F1212&lt;&gt;""""))))-1), IF('To Order'!$A1213=COL"&amp;"UMNS($A1213:F1232), F1212&amp;RIGHT(INDIRECT(ADDRESS(ROW(F1213)-1, 'From Order'!$A1213)), 1), F1212))"),"")</f>
        <v/>
      </c>
      <c r="G1213" s="2" t="str">
        <f>IFERROR(__xludf.DUMMYFUNCTION("IF('From Order'!$A1213=COLUMNS($A1213:G1232), LEFT(INDEX(FILTER(G$1:G1212, G$1:G1212&lt;&gt;""""),COUNTA(FILTER(G$1:G1212, G$1:G1212&lt;&gt;""""))), LEN(INDEX(FILTER(G$1:G1212, G$1:G1212&lt;&gt;""""),COUNTA(FILTER(G$1:G1212, G$1:G1212&lt;&gt;""""))))-1), IF('To Order'!$A1213=COL"&amp;"UMNS($A1213:G1232), G1212&amp;RIGHT(INDIRECT(ADDRESS(ROW(G1213)-1, 'From Order'!$A1213)), 1), G1212))"),"B")</f>
        <v>B</v>
      </c>
      <c r="H1213" s="2" t="str">
        <f>IFERROR(__xludf.DUMMYFUNCTION("IF('From Order'!$A1213=COLUMNS($A1213:H1232), LEFT(INDEX(FILTER(H$1:H1212, H$1:H1212&lt;&gt;""""),COUNTA(FILTER(H$1:H1212, H$1:H1212&lt;&gt;""""))), LEN(INDEX(FILTER(H$1:H1212, H$1:H1212&lt;&gt;""""),COUNTA(FILTER(H$1:H1212, H$1:H1212&lt;&gt;""""))))-1), IF('To Order'!$A1213=COL"&amp;"UMNS($A1213:H1232), H1212&amp;RIGHT(INDIRECT(ADDRESS(ROW(H1213)-1, 'From Order'!$A1213)), 1), H1212))"),"")</f>
        <v/>
      </c>
      <c r="I1213" s="2" t="str">
        <f>IFERROR(__xludf.DUMMYFUNCTION("IF('From Order'!$A1213=COLUMNS($A1213:I1232), LEFT(INDEX(FILTER(I$1:I1212, I$1:I1212&lt;&gt;""""),COUNTA(FILTER(I$1:I1212, I$1:I1212&lt;&gt;""""))), LEN(INDEX(FILTER(I$1:I1212, I$1:I1212&lt;&gt;""""),COUNTA(FILTER(I$1:I1212, I$1:I1212&lt;&gt;""""))))-1), IF('To Order'!$A1213=COL"&amp;"UMNS($A1213:I1232), I1212&amp;RIGHT(INDIRECT(ADDRESS(ROW(I1213)-1, 'From Order'!$A1213)), 1), I1212))"),"SFVTSVDTWRMTCRCDRZCJTBFMD")</f>
        <v>SFVTSVDTWRMTCRCDRZCJTBFMD</v>
      </c>
    </row>
    <row r="1214">
      <c r="A1214" s="2" t="str">
        <f>IFERROR(__xludf.DUMMYFUNCTION("IF('From Order'!$A1214=COLUMNS($A1214:A1233), LEFT(INDEX(FILTER(A$1:A1213, A$1:A1213&lt;&gt;""""),COUNTA(FILTER(A$1:A1213, A$1:A1213&lt;&gt;""""))), LEN(INDEX(FILTER(A$1:A1213, A$1:A1213&lt;&gt;""""),COUNTA(FILTER(A$1:A1213, A$1:A1213&lt;&gt;""""))))-1), IF('To Order'!$A1214=COL"&amp;"UMNS($A1214:A1233), A1213&amp;RIGHT(INDIRECT(ADDRESS(ROW(A1214)-1, 'From Order'!$A1214)), 1), A1213))"),"HZBSBD")</f>
        <v>HZBSBD</v>
      </c>
      <c r="B1214" s="2" t="str">
        <f>IFERROR(__xludf.DUMMYFUNCTION("IF('From Order'!$A1214=COLUMNS($A1214:B1233), LEFT(INDEX(FILTER(B$1:B1213, B$1:B1213&lt;&gt;""""),COUNTA(FILTER(B$1:B1213, B$1:B1213&lt;&gt;""""))), LEN(INDEX(FILTER(B$1:B1213, B$1:B1213&lt;&gt;""""),COUNTA(FILTER(B$1:B1213, B$1:B1213&lt;&gt;""""))))-1), IF('To Order'!$A1214=COL"&amp;"UMNS($A1214:B1233), B1213&amp;RIGHT(INDIRECT(ADDRESS(ROW(B1214)-1, 'From Order'!$A1214)), 1), B1213))"),"ZLPD")</f>
        <v>ZLPD</v>
      </c>
      <c r="C1214" s="2" t="str">
        <f>IFERROR(__xludf.DUMMYFUNCTION("IF('From Order'!$A1214=COLUMNS($A1214:C1233), LEFT(INDEX(FILTER(C$1:C1213, C$1:C1213&lt;&gt;""""),COUNTA(FILTER(C$1:C1213, C$1:C1213&lt;&gt;""""))), LEN(INDEX(FILTER(C$1:C1213, C$1:C1213&lt;&gt;""""),COUNTA(FILTER(C$1:C1213, C$1:C1213&lt;&gt;""""))))-1), IF('To Order'!$A1214=COL"&amp;"UMNS($A1214:C1233), C1213&amp;RIGHT(INDIRECT(ADDRESS(ROW(C1214)-1, 'From Order'!$A1214)), 1), C1213))"),"TRLRSGHWQVQJPPLDTMG")</f>
        <v>TRLRSGHWQVQJPPLDTMG</v>
      </c>
      <c r="D1214" s="2" t="str">
        <f>IFERROR(__xludf.DUMMYFUNCTION("IF('From Order'!$A1214=COLUMNS($A1214:D1233), LEFT(INDEX(FILTER(D$1:D1213, D$1:D1213&lt;&gt;""""),COUNTA(FILTER(D$1:D1213, D$1:D1213&lt;&gt;""""))), LEN(INDEX(FILTER(D$1:D1213, D$1:D1213&lt;&gt;""""),COUNTA(FILTER(D$1:D1213, D$1:D1213&lt;&gt;""""))))-1), IF('To Order'!$A1214=COL"&amp;"UMNS($A1214:D1233), D1213&amp;RIGHT(INDIRECT(ADDRESS(ROW(D1214)-1, 'From Order'!$A1214)), 1), D1213))"),"")</f>
        <v/>
      </c>
      <c r="E1214" s="2" t="str">
        <f>IFERROR(__xludf.DUMMYFUNCTION("IF('From Order'!$A1214=COLUMNS($A1214:E1233), LEFT(INDEX(FILTER(E$1:E1213, E$1:E1213&lt;&gt;""""),COUNTA(FILTER(E$1:E1213, E$1:E1213&lt;&gt;""""))), LEN(INDEX(FILTER(E$1:E1213, E$1:E1213&lt;&gt;""""),COUNTA(FILTER(E$1:E1213, E$1:E1213&lt;&gt;""""))))-1), IF('To Order'!$A1214=COL"&amp;"UMNS($A1214:E1233), E1213&amp;RIGHT(INDIRECT(ADDRESS(ROW(E1214)-1, 'From Order'!$A1214)), 1), E1213))"),"")</f>
        <v/>
      </c>
      <c r="F1214" s="2" t="str">
        <f>IFERROR(__xludf.DUMMYFUNCTION("IF('From Order'!$A1214=COLUMNS($A1214:F1233), LEFT(INDEX(FILTER(F$1:F1213, F$1:F1213&lt;&gt;""""),COUNTA(FILTER(F$1:F1213, F$1:F1213&lt;&gt;""""))), LEN(INDEX(FILTER(F$1:F1213, F$1:F1213&lt;&gt;""""),COUNTA(FILTER(F$1:F1213, F$1:F1213&lt;&gt;""""))))-1), IF('To Order'!$A1214=COL"&amp;"UMNS($A1214:F1233), F1213&amp;RIGHT(INDIRECT(ADDRESS(ROW(F1214)-1, 'From Order'!$A1214)), 1), F1213))"),"")</f>
        <v/>
      </c>
      <c r="G1214" s="2" t="str">
        <f>IFERROR(__xludf.DUMMYFUNCTION("IF('From Order'!$A1214=COLUMNS($A1214:G1233), LEFT(INDEX(FILTER(G$1:G1213, G$1:G1213&lt;&gt;""""),COUNTA(FILTER(G$1:G1213, G$1:G1213&lt;&gt;""""))), LEN(INDEX(FILTER(G$1:G1213, G$1:G1213&lt;&gt;""""),COUNTA(FILTER(G$1:G1213, G$1:G1213&lt;&gt;""""))))-1), IF('To Order'!$A1214=COL"&amp;"UMNS($A1214:G1233), G1213&amp;RIGHT(INDIRECT(ADDRESS(ROW(G1214)-1, 'From Order'!$A1214)), 1), G1213))"),"B")</f>
        <v>B</v>
      </c>
      <c r="H1214" s="2" t="str">
        <f>IFERROR(__xludf.DUMMYFUNCTION("IF('From Order'!$A1214=COLUMNS($A1214:H1233), LEFT(INDEX(FILTER(H$1:H1213, H$1:H1213&lt;&gt;""""),COUNTA(FILTER(H$1:H1213, H$1:H1213&lt;&gt;""""))), LEN(INDEX(FILTER(H$1:H1213, H$1:H1213&lt;&gt;""""),COUNTA(FILTER(H$1:H1213, H$1:H1213&lt;&gt;""""))))-1), IF('To Order'!$A1214=COL"&amp;"UMNS($A1214:H1233), H1213&amp;RIGHT(INDIRECT(ADDRESS(ROW(H1214)-1, 'From Order'!$A1214)), 1), H1213))"),"")</f>
        <v/>
      </c>
      <c r="I1214" s="2" t="str">
        <f>IFERROR(__xludf.DUMMYFUNCTION("IF('From Order'!$A1214=COLUMNS($A1214:I1233), LEFT(INDEX(FILTER(I$1:I1213, I$1:I1213&lt;&gt;""""),COUNTA(FILTER(I$1:I1213, I$1:I1213&lt;&gt;""""))), LEN(INDEX(FILTER(I$1:I1213, I$1:I1213&lt;&gt;""""),COUNTA(FILTER(I$1:I1213, I$1:I1213&lt;&gt;""""))))-1), IF('To Order'!$A1214=COL"&amp;"UMNS($A1214:I1233), I1213&amp;RIGHT(INDIRECT(ADDRESS(ROW(I1214)-1, 'From Order'!$A1214)), 1), I1213))"),"SFVTSVDTWRMTCRCDRZCJTBFMDJ")</f>
        <v>SFVTSVDTWRMTCRCDRZCJTBFMDJ</v>
      </c>
    </row>
    <row r="1215">
      <c r="A1215" s="2" t="str">
        <f>IFERROR(__xludf.DUMMYFUNCTION("IF('From Order'!$A1215=COLUMNS($A1215:A1234), LEFT(INDEX(FILTER(A$1:A1214, A$1:A1214&lt;&gt;""""),COUNTA(FILTER(A$1:A1214, A$1:A1214&lt;&gt;""""))), LEN(INDEX(FILTER(A$1:A1214, A$1:A1214&lt;&gt;""""),COUNTA(FILTER(A$1:A1214, A$1:A1214&lt;&gt;""""))))-1), IF('To Order'!$A1215=COL"&amp;"UMNS($A1215:A1234), A1214&amp;RIGHT(INDIRECT(ADDRESS(ROW(A1215)-1, 'From Order'!$A1215)), 1), A1214))"),"HZBSB")</f>
        <v>HZBSB</v>
      </c>
      <c r="B1215" s="2" t="str">
        <f>IFERROR(__xludf.DUMMYFUNCTION("IF('From Order'!$A1215=COLUMNS($A1215:B1234), LEFT(INDEX(FILTER(B$1:B1214, B$1:B1214&lt;&gt;""""),COUNTA(FILTER(B$1:B1214, B$1:B1214&lt;&gt;""""))), LEN(INDEX(FILTER(B$1:B1214, B$1:B1214&lt;&gt;""""),COUNTA(FILTER(B$1:B1214, B$1:B1214&lt;&gt;""""))))-1), IF('To Order'!$A1215=COL"&amp;"UMNS($A1215:B1234), B1214&amp;RIGHT(INDIRECT(ADDRESS(ROW(B1215)-1, 'From Order'!$A1215)), 1), B1214))"),"ZLPD")</f>
        <v>ZLPD</v>
      </c>
      <c r="C1215" s="2" t="str">
        <f>IFERROR(__xludf.DUMMYFUNCTION("IF('From Order'!$A1215=COLUMNS($A1215:C1234), LEFT(INDEX(FILTER(C$1:C1214, C$1:C1214&lt;&gt;""""),COUNTA(FILTER(C$1:C1214, C$1:C1214&lt;&gt;""""))), LEN(INDEX(FILTER(C$1:C1214, C$1:C1214&lt;&gt;""""),COUNTA(FILTER(C$1:C1214, C$1:C1214&lt;&gt;""""))))-1), IF('To Order'!$A1215=COL"&amp;"UMNS($A1215:C1234), C1214&amp;RIGHT(INDIRECT(ADDRESS(ROW(C1215)-1, 'From Order'!$A1215)), 1), C1214))"),"TRLRSGHWQVQJPPLDTMG")</f>
        <v>TRLRSGHWQVQJPPLDTMG</v>
      </c>
      <c r="D1215" s="2" t="str">
        <f>IFERROR(__xludf.DUMMYFUNCTION("IF('From Order'!$A1215=COLUMNS($A1215:D1234), LEFT(INDEX(FILTER(D$1:D1214, D$1:D1214&lt;&gt;""""),COUNTA(FILTER(D$1:D1214, D$1:D1214&lt;&gt;""""))), LEN(INDEX(FILTER(D$1:D1214, D$1:D1214&lt;&gt;""""),COUNTA(FILTER(D$1:D1214, D$1:D1214&lt;&gt;""""))))-1), IF('To Order'!$A1215=COL"&amp;"UMNS($A1215:D1234), D1214&amp;RIGHT(INDIRECT(ADDRESS(ROW(D1215)-1, 'From Order'!$A1215)), 1), D1214))"),"")</f>
        <v/>
      </c>
      <c r="E1215" s="2" t="str">
        <f>IFERROR(__xludf.DUMMYFUNCTION("IF('From Order'!$A1215=COLUMNS($A1215:E1234), LEFT(INDEX(FILTER(E$1:E1214, E$1:E1214&lt;&gt;""""),COUNTA(FILTER(E$1:E1214, E$1:E1214&lt;&gt;""""))), LEN(INDEX(FILTER(E$1:E1214, E$1:E1214&lt;&gt;""""),COUNTA(FILTER(E$1:E1214, E$1:E1214&lt;&gt;""""))))-1), IF('To Order'!$A1215=COL"&amp;"UMNS($A1215:E1234), E1214&amp;RIGHT(INDIRECT(ADDRESS(ROW(E1215)-1, 'From Order'!$A1215)), 1), E1214))"),"")</f>
        <v/>
      </c>
      <c r="F1215" s="2" t="str">
        <f>IFERROR(__xludf.DUMMYFUNCTION("IF('From Order'!$A1215=COLUMNS($A1215:F1234), LEFT(INDEX(FILTER(F$1:F1214, F$1:F1214&lt;&gt;""""),COUNTA(FILTER(F$1:F1214, F$1:F1214&lt;&gt;""""))), LEN(INDEX(FILTER(F$1:F1214, F$1:F1214&lt;&gt;""""),COUNTA(FILTER(F$1:F1214, F$1:F1214&lt;&gt;""""))))-1), IF('To Order'!$A1215=COL"&amp;"UMNS($A1215:F1234), F1214&amp;RIGHT(INDIRECT(ADDRESS(ROW(F1215)-1, 'From Order'!$A1215)), 1), F1214))"),"")</f>
        <v/>
      </c>
      <c r="G1215" s="2" t="str">
        <f>IFERROR(__xludf.DUMMYFUNCTION("IF('From Order'!$A1215=COLUMNS($A1215:G1234), LEFT(INDEX(FILTER(G$1:G1214, G$1:G1214&lt;&gt;""""),COUNTA(FILTER(G$1:G1214, G$1:G1214&lt;&gt;""""))), LEN(INDEX(FILTER(G$1:G1214, G$1:G1214&lt;&gt;""""),COUNTA(FILTER(G$1:G1214, G$1:G1214&lt;&gt;""""))))-1), IF('To Order'!$A1215=COL"&amp;"UMNS($A1215:G1234), G1214&amp;RIGHT(INDIRECT(ADDRESS(ROW(G1215)-1, 'From Order'!$A1215)), 1), G1214))"),"B")</f>
        <v>B</v>
      </c>
      <c r="H1215" s="2" t="str">
        <f>IFERROR(__xludf.DUMMYFUNCTION("IF('From Order'!$A1215=COLUMNS($A1215:H1234), LEFT(INDEX(FILTER(H$1:H1214, H$1:H1214&lt;&gt;""""),COUNTA(FILTER(H$1:H1214, H$1:H1214&lt;&gt;""""))), LEN(INDEX(FILTER(H$1:H1214, H$1:H1214&lt;&gt;""""),COUNTA(FILTER(H$1:H1214, H$1:H1214&lt;&gt;""""))))-1), IF('To Order'!$A1215=COL"&amp;"UMNS($A1215:H1234), H1214&amp;RIGHT(INDIRECT(ADDRESS(ROW(H1215)-1, 'From Order'!$A1215)), 1), H1214))"),"")</f>
        <v/>
      </c>
      <c r="I1215" s="2" t="str">
        <f>IFERROR(__xludf.DUMMYFUNCTION("IF('From Order'!$A1215=COLUMNS($A1215:I1234), LEFT(INDEX(FILTER(I$1:I1214, I$1:I1214&lt;&gt;""""),COUNTA(FILTER(I$1:I1214, I$1:I1214&lt;&gt;""""))), LEN(INDEX(FILTER(I$1:I1214, I$1:I1214&lt;&gt;""""),COUNTA(FILTER(I$1:I1214, I$1:I1214&lt;&gt;""""))))-1), IF('To Order'!$A1215=COL"&amp;"UMNS($A1215:I1234), I1214&amp;RIGHT(INDIRECT(ADDRESS(ROW(I1215)-1, 'From Order'!$A1215)), 1), I1214))"),"SFVTSVDTWRMTCRCDRZCJTBFMDJD")</f>
        <v>SFVTSVDTWRMTCRCDRZCJTBFMDJD</v>
      </c>
    </row>
    <row r="1216">
      <c r="A1216" s="2" t="str">
        <f>IFERROR(__xludf.DUMMYFUNCTION("IF('From Order'!$A1216=COLUMNS($A1216:A1235), LEFT(INDEX(FILTER(A$1:A1215, A$1:A1215&lt;&gt;""""),COUNTA(FILTER(A$1:A1215, A$1:A1215&lt;&gt;""""))), LEN(INDEX(FILTER(A$1:A1215, A$1:A1215&lt;&gt;""""),COUNTA(FILTER(A$1:A1215, A$1:A1215&lt;&gt;""""))))-1), IF('To Order'!$A1216=COL"&amp;"UMNS($A1216:A1235), A1215&amp;RIGHT(INDIRECT(ADDRESS(ROW(A1216)-1, 'From Order'!$A1216)), 1), A1215))"),"HZBS")</f>
        <v>HZBS</v>
      </c>
      <c r="B1216" s="2" t="str">
        <f>IFERROR(__xludf.DUMMYFUNCTION("IF('From Order'!$A1216=COLUMNS($A1216:B1235), LEFT(INDEX(FILTER(B$1:B1215, B$1:B1215&lt;&gt;""""),COUNTA(FILTER(B$1:B1215, B$1:B1215&lt;&gt;""""))), LEN(INDEX(FILTER(B$1:B1215, B$1:B1215&lt;&gt;""""),COUNTA(FILTER(B$1:B1215, B$1:B1215&lt;&gt;""""))))-1), IF('To Order'!$A1216=COL"&amp;"UMNS($A1216:B1235), B1215&amp;RIGHT(INDIRECT(ADDRESS(ROW(B1216)-1, 'From Order'!$A1216)), 1), B1215))"),"ZLPD")</f>
        <v>ZLPD</v>
      </c>
      <c r="C1216" s="2" t="str">
        <f>IFERROR(__xludf.DUMMYFUNCTION("IF('From Order'!$A1216=COLUMNS($A1216:C1235), LEFT(INDEX(FILTER(C$1:C1215, C$1:C1215&lt;&gt;""""),COUNTA(FILTER(C$1:C1215, C$1:C1215&lt;&gt;""""))), LEN(INDEX(FILTER(C$1:C1215, C$1:C1215&lt;&gt;""""),COUNTA(FILTER(C$1:C1215, C$1:C1215&lt;&gt;""""))))-1), IF('To Order'!$A1216=COL"&amp;"UMNS($A1216:C1235), C1215&amp;RIGHT(INDIRECT(ADDRESS(ROW(C1216)-1, 'From Order'!$A1216)), 1), C1215))"),"TRLRSGHWQVQJPPLDTMG")</f>
        <v>TRLRSGHWQVQJPPLDTMG</v>
      </c>
      <c r="D1216" s="2" t="str">
        <f>IFERROR(__xludf.DUMMYFUNCTION("IF('From Order'!$A1216=COLUMNS($A1216:D1235), LEFT(INDEX(FILTER(D$1:D1215, D$1:D1215&lt;&gt;""""),COUNTA(FILTER(D$1:D1215, D$1:D1215&lt;&gt;""""))), LEN(INDEX(FILTER(D$1:D1215, D$1:D1215&lt;&gt;""""),COUNTA(FILTER(D$1:D1215, D$1:D1215&lt;&gt;""""))))-1), IF('To Order'!$A1216=COL"&amp;"UMNS($A1216:D1235), D1215&amp;RIGHT(INDIRECT(ADDRESS(ROW(D1216)-1, 'From Order'!$A1216)), 1), D1215))"),"")</f>
        <v/>
      </c>
      <c r="E1216" s="2" t="str">
        <f>IFERROR(__xludf.DUMMYFUNCTION("IF('From Order'!$A1216=COLUMNS($A1216:E1235), LEFT(INDEX(FILTER(E$1:E1215, E$1:E1215&lt;&gt;""""),COUNTA(FILTER(E$1:E1215, E$1:E1215&lt;&gt;""""))), LEN(INDEX(FILTER(E$1:E1215, E$1:E1215&lt;&gt;""""),COUNTA(FILTER(E$1:E1215, E$1:E1215&lt;&gt;""""))))-1), IF('To Order'!$A1216=COL"&amp;"UMNS($A1216:E1235), E1215&amp;RIGHT(INDIRECT(ADDRESS(ROW(E1216)-1, 'From Order'!$A1216)), 1), E1215))"),"")</f>
        <v/>
      </c>
      <c r="F1216" s="2" t="str">
        <f>IFERROR(__xludf.DUMMYFUNCTION("IF('From Order'!$A1216=COLUMNS($A1216:F1235), LEFT(INDEX(FILTER(F$1:F1215, F$1:F1215&lt;&gt;""""),COUNTA(FILTER(F$1:F1215, F$1:F1215&lt;&gt;""""))), LEN(INDEX(FILTER(F$1:F1215, F$1:F1215&lt;&gt;""""),COUNTA(FILTER(F$1:F1215, F$1:F1215&lt;&gt;""""))))-1), IF('To Order'!$A1216=COL"&amp;"UMNS($A1216:F1235), F1215&amp;RIGHT(INDIRECT(ADDRESS(ROW(F1216)-1, 'From Order'!$A1216)), 1), F1215))"),"B")</f>
        <v>B</v>
      </c>
      <c r="G1216" s="2" t="str">
        <f>IFERROR(__xludf.DUMMYFUNCTION("IF('From Order'!$A1216=COLUMNS($A1216:G1235), LEFT(INDEX(FILTER(G$1:G1215, G$1:G1215&lt;&gt;""""),COUNTA(FILTER(G$1:G1215, G$1:G1215&lt;&gt;""""))), LEN(INDEX(FILTER(G$1:G1215, G$1:G1215&lt;&gt;""""),COUNTA(FILTER(G$1:G1215, G$1:G1215&lt;&gt;""""))))-1), IF('To Order'!$A1216=COL"&amp;"UMNS($A1216:G1235), G1215&amp;RIGHT(INDIRECT(ADDRESS(ROW(G1216)-1, 'From Order'!$A1216)), 1), G1215))"),"B")</f>
        <v>B</v>
      </c>
      <c r="H1216" s="2" t="str">
        <f>IFERROR(__xludf.DUMMYFUNCTION("IF('From Order'!$A1216=COLUMNS($A1216:H1235), LEFT(INDEX(FILTER(H$1:H1215, H$1:H1215&lt;&gt;""""),COUNTA(FILTER(H$1:H1215, H$1:H1215&lt;&gt;""""))), LEN(INDEX(FILTER(H$1:H1215, H$1:H1215&lt;&gt;""""),COUNTA(FILTER(H$1:H1215, H$1:H1215&lt;&gt;""""))))-1), IF('To Order'!$A1216=COL"&amp;"UMNS($A1216:H1235), H1215&amp;RIGHT(INDIRECT(ADDRESS(ROW(H1216)-1, 'From Order'!$A1216)), 1), H1215))"),"")</f>
        <v/>
      </c>
      <c r="I1216" s="2" t="str">
        <f>IFERROR(__xludf.DUMMYFUNCTION("IF('From Order'!$A1216=COLUMNS($A1216:I1235), LEFT(INDEX(FILTER(I$1:I1215, I$1:I1215&lt;&gt;""""),COUNTA(FILTER(I$1:I1215, I$1:I1215&lt;&gt;""""))), LEN(INDEX(FILTER(I$1:I1215, I$1:I1215&lt;&gt;""""),COUNTA(FILTER(I$1:I1215, I$1:I1215&lt;&gt;""""))))-1), IF('To Order'!$A1216=COL"&amp;"UMNS($A1216:I1235), I1215&amp;RIGHT(INDIRECT(ADDRESS(ROW(I1216)-1, 'From Order'!$A1216)), 1), I1215))"),"SFVTSVDTWRMTCRCDRZCJTBFMDJD")</f>
        <v>SFVTSVDTWRMTCRCDRZCJTBFMDJD</v>
      </c>
    </row>
    <row r="1217">
      <c r="A1217" s="2" t="str">
        <f>IFERROR(__xludf.DUMMYFUNCTION("IF('From Order'!$A1217=COLUMNS($A1217:A1236), LEFT(INDEX(FILTER(A$1:A1216, A$1:A1216&lt;&gt;""""),COUNTA(FILTER(A$1:A1216, A$1:A1216&lt;&gt;""""))), LEN(INDEX(FILTER(A$1:A1216, A$1:A1216&lt;&gt;""""),COUNTA(FILTER(A$1:A1216, A$1:A1216&lt;&gt;""""))))-1), IF('To Order'!$A1217=COL"&amp;"UMNS($A1217:A1236), A1216&amp;RIGHT(INDIRECT(ADDRESS(ROW(A1217)-1, 'From Order'!$A1217)), 1), A1216))"),"HZB")</f>
        <v>HZB</v>
      </c>
      <c r="B1217" s="2" t="str">
        <f>IFERROR(__xludf.DUMMYFUNCTION("IF('From Order'!$A1217=COLUMNS($A1217:B1236), LEFT(INDEX(FILTER(B$1:B1216, B$1:B1216&lt;&gt;""""),COUNTA(FILTER(B$1:B1216, B$1:B1216&lt;&gt;""""))), LEN(INDEX(FILTER(B$1:B1216, B$1:B1216&lt;&gt;""""),COUNTA(FILTER(B$1:B1216, B$1:B1216&lt;&gt;""""))))-1), IF('To Order'!$A1217=COL"&amp;"UMNS($A1217:B1236), B1216&amp;RIGHT(INDIRECT(ADDRESS(ROW(B1217)-1, 'From Order'!$A1217)), 1), B1216))"),"ZLPD")</f>
        <v>ZLPD</v>
      </c>
      <c r="C1217" s="2" t="str">
        <f>IFERROR(__xludf.DUMMYFUNCTION("IF('From Order'!$A1217=COLUMNS($A1217:C1236), LEFT(INDEX(FILTER(C$1:C1216, C$1:C1216&lt;&gt;""""),COUNTA(FILTER(C$1:C1216, C$1:C1216&lt;&gt;""""))), LEN(INDEX(FILTER(C$1:C1216, C$1:C1216&lt;&gt;""""),COUNTA(FILTER(C$1:C1216, C$1:C1216&lt;&gt;""""))))-1), IF('To Order'!$A1217=COL"&amp;"UMNS($A1217:C1236), C1216&amp;RIGHT(INDIRECT(ADDRESS(ROW(C1217)-1, 'From Order'!$A1217)), 1), C1216))"),"TRLRSGHWQVQJPPLDTMG")</f>
        <v>TRLRSGHWQVQJPPLDTMG</v>
      </c>
      <c r="D1217" s="2" t="str">
        <f>IFERROR(__xludf.DUMMYFUNCTION("IF('From Order'!$A1217=COLUMNS($A1217:D1236), LEFT(INDEX(FILTER(D$1:D1216, D$1:D1216&lt;&gt;""""),COUNTA(FILTER(D$1:D1216, D$1:D1216&lt;&gt;""""))), LEN(INDEX(FILTER(D$1:D1216, D$1:D1216&lt;&gt;""""),COUNTA(FILTER(D$1:D1216, D$1:D1216&lt;&gt;""""))))-1), IF('To Order'!$A1217=COL"&amp;"UMNS($A1217:D1236), D1216&amp;RIGHT(INDIRECT(ADDRESS(ROW(D1217)-1, 'From Order'!$A1217)), 1), D1216))"),"")</f>
        <v/>
      </c>
      <c r="E1217" s="2" t="str">
        <f>IFERROR(__xludf.DUMMYFUNCTION("IF('From Order'!$A1217=COLUMNS($A1217:E1236), LEFT(INDEX(FILTER(E$1:E1216, E$1:E1216&lt;&gt;""""),COUNTA(FILTER(E$1:E1216, E$1:E1216&lt;&gt;""""))), LEN(INDEX(FILTER(E$1:E1216, E$1:E1216&lt;&gt;""""),COUNTA(FILTER(E$1:E1216, E$1:E1216&lt;&gt;""""))))-1), IF('To Order'!$A1217=COL"&amp;"UMNS($A1217:E1236), E1216&amp;RIGHT(INDIRECT(ADDRESS(ROW(E1217)-1, 'From Order'!$A1217)), 1), E1216))"),"")</f>
        <v/>
      </c>
      <c r="F1217" s="2" t="str">
        <f>IFERROR(__xludf.DUMMYFUNCTION("IF('From Order'!$A1217=COLUMNS($A1217:F1236), LEFT(INDEX(FILTER(F$1:F1216, F$1:F1216&lt;&gt;""""),COUNTA(FILTER(F$1:F1216, F$1:F1216&lt;&gt;""""))), LEN(INDEX(FILTER(F$1:F1216, F$1:F1216&lt;&gt;""""),COUNTA(FILTER(F$1:F1216, F$1:F1216&lt;&gt;""""))))-1), IF('To Order'!$A1217=COL"&amp;"UMNS($A1217:F1236), F1216&amp;RIGHT(INDIRECT(ADDRESS(ROW(F1217)-1, 'From Order'!$A1217)), 1), F1216))"),"BS")</f>
        <v>BS</v>
      </c>
      <c r="G1217" s="2" t="str">
        <f>IFERROR(__xludf.DUMMYFUNCTION("IF('From Order'!$A1217=COLUMNS($A1217:G1236), LEFT(INDEX(FILTER(G$1:G1216, G$1:G1216&lt;&gt;""""),COUNTA(FILTER(G$1:G1216, G$1:G1216&lt;&gt;""""))), LEN(INDEX(FILTER(G$1:G1216, G$1:G1216&lt;&gt;""""),COUNTA(FILTER(G$1:G1216, G$1:G1216&lt;&gt;""""))))-1), IF('To Order'!$A1217=COL"&amp;"UMNS($A1217:G1236), G1216&amp;RIGHT(INDIRECT(ADDRESS(ROW(G1217)-1, 'From Order'!$A1217)), 1), G1216))"),"B")</f>
        <v>B</v>
      </c>
      <c r="H1217" s="2" t="str">
        <f>IFERROR(__xludf.DUMMYFUNCTION("IF('From Order'!$A1217=COLUMNS($A1217:H1236), LEFT(INDEX(FILTER(H$1:H1216, H$1:H1216&lt;&gt;""""),COUNTA(FILTER(H$1:H1216, H$1:H1216&lt;&gt;""""))), LEN(INDEX(FILTER(H$1:H1216, H$1:H1216&lt;&gt;""""),COUNTA(FILTER(H$1:H1216, H$1:H1216&lt;&gt;""""))))-1), IF('To Order'!$A1217=COL"&amp;"UMNS($A1217:H1236), H1216&amp;RIGHT(INDIRECT(ADDRESS(ROW(H1217)-1, 'From Order'!$A1217)), 1), H1216))"),"")</f>
        <v/>
      </c>
      <c r="I1217" s="2" t="str">
        <f>IFERROR(__xludf.DUMMYFUNCTION("IF('From Order'!$A1217=COLUMNS($A1217:I1236), LEFT(INDEX(FILTER(I$1:I1216, I$1:I1216&lt;&gt;""""),COUNTA(FILTER(I$1:I1216, I$1:I1216&lt;&gt;""""))), LEN(INDEX(FILTER(I$1:I1216, I$1:I1216&lt;&gt;""""),COUNTA(FILTER(I$1:I1216, I$1:I1216&lt;&gt;""""))))-1), IF('To Order'!$A1217=COL"&amp;"UMNS($A1217:I1236), I1216&amp;RIGHT(INDIRECT(ADDRESS(ROW(I1217)-1, 'From Order'!$A1217)), 1), I1216))"),"SFVTSVDTWRMTCRCDRZCJTBFMDJD")</f>
        <v>SFVTSVDTWRMTCRCDRZCJTBFMDJD</v>
      </c>
    </row>
    <row r="1218">
      <c r="A1218" s="2" t="str">
        <f>IFERROR(__xludf.DUMMYFUNCTION("IF('From Order'!$A1218=COLUMNS($A1218:A1237), LEFT(INDEX(FILTER(A$1:A1217, A$1:A1217&lt;&gt;""""),COUNTA(FILTER(A$1:A1217, A$1:A1217&lt;&gt;""""))), LEN(INDEX(FILTER(A$1:A1217, A$1:A1217&lt;&gt;""""),COUNTA(FILTER(A$1:A1217, A$1:A1217&lt;&gt;""""))))-1), IF('To Order'!$A1218=COL"&amp;"UMNS($A1218:A1237), A1217&amp;RIGHT(INDIRECT(ADDRESS(ROW(A1218)-1, 'From Order'!$A1218)), 1), A1217))"),"HZB")</f>
        <v>HZB</v>
      </c>
      <c r="B1218" s="2" t="str">
        <f>IFERROR(__xludf.DUMMYFUNCTION("IF('From Order'!$A1218=COLUMNS($A1218:B1237), LEFT(INDEX(FILTER(B$1:B1217, B$1:B1217&lt;&gt;""""),COUNTA(FILTER(B$1:B1217, B$1:B1217&lt;&gt;""""))), LEN(INDEX(FILTER(B$1:B1217, B$1:B1217&lt;&gt;""""),COUNTA(FILTER(B$1:B1217, B$1:B1217&lt;&gt;""""))))-1), IF('To Order'!$A1218=COL"&amp;"UMNS($A1218:B1237), B1217&amp;RIGHT(INDIRECT(ADDRESS(ROW(B1218)-1, 'From Order'!$A1218)), 1), B1217))"),"ZLP")</f>
        <v>ZLP</v>
      </c>
      <c r="C1218" s="2" t="str">
        <f>IFERROR(__xludf.DUMMYFUNCTION("IF('From Order'!$A1218=COLUMNS($A1218:C1237), LEFT(INDEX(FILTER(C$1:C1217, C$1:C1217&lt;&gt;""""),COUNTA(FILTER(C$1:C1217, C$1:C1217&lt;&gt;""""))), LEN(INDEX(FILTER(C$1:C1217, C$1:C1217&lt;&gt;""""),COUNTA(FILTER(C$1:C1217, C$1:C1217&lt;&gt;""""))))-1), IF('To Order'!$A1218=COL"&amp;"UMNS($A1218:C1237), C1217&amp;RIGHT(INDIRECT(ADDRESS(ROW(C1218)-1, 'From Order'!$A1218)), 1), C1217))"),"TRLRSGHWQVQJPPLDTMG")</f>
        <v>TRLRSGHWQVQJPPLDTMG</v>
      </c>
      <c r="D1218" s="2" t="str">
        <f>IFERROR(__xludf.DUMMYFUNCTION("IF('From Order'!$A1218=COLUMNS($A1218:D1237), LEFT(INDEX(FILTER(D$1:D1217, D$1:D1217&lt;&gt;""""),COUNTA(FILTER(D$1:D1217, D$1:D1217&lt;&gt;""""))), LEN(INDEX(FILTER(D$1:D1217, D$1:D1217&lt;&gt;""""),COUNTA(FILTER(D$1:D1217, D$1:D1217&lt;&gt;""""))))-1), IF('To Order'!$A1218=COL"&amp;"UMNS($A1218:D1237), D1217&amp;RIGHT(INDIRECT(ADDRESS(ROW(D1218)-1, 'From Order'!$A1218)), 1), D1217))"),"D")</f>
        <v>D</v>
      </c>
      <c r="E1218" s="2" t="str">
        <f>IFERROR(__xludf.DUMMYFUNCTION("IF('From Order'!$A1218=COLUMNS($A1218:E1237), LEFT(INDEX(FILTER(E$1:E1217, E$1:E1217&lt;&gt;""""),COUNTA(FILTER(E$1:E1217, E$1:E1217&lt;&gt;""""))), LEN(INDEX(FILTER(E$1:E1217, E$1:E1217&lt;&gt;""""),COUNTA(FILTER(E$1:E1217, E$1:E1217&lt;&gt;""""))))-1), IF('To Order'!$A1218=COL"&amp;"UMNS($A1218:E1237), E1217&amp;RIGHT(INDIRECT(ADDRESS(ROW(E1218)-1, 'From Order'!$A1218)), 1), E1217))"),"")</f>
        <v/>
      </c>
      <c r="F1218" s="2" t="str">
        <f>IFERROR(__xludf.DUMMYFUNCTION("IF('From Order'!$A1218=COLUMNS($A1218:F1237), LEFT(INDEX(FILTER(F$1:F1217, F$1:F1217&lt;&gt;""""),COUNTA(FILTER(F$1:F1217, F$1:F1217&lt;&gt;""""))), LEN(INDEX(FILTER(F$1:F1217, F$1:F1217&lt;&gt;""""),COUNTA(FILTER(F$1:F1217, F$1:F1217&lt;&gt;""""))))-1), IF('To Order'!$A1218=COL"&amp;"UMNS($A1218:F1237), F1217&amp;RIGHT(INDIRECT(ADDRESS(ROW(F1218)-1, 'From Order'!$A1218)), 1), F1217))"),"BS")</f>
        <v>BS</v>
      </c>
      <c r="G1218" s="2" t="str">
        <f>IFERROR(__xludf.DUMMYFUNCTION("IF('From Order'!$A1218=COLUMNS($A1218:G1237), LEFT(INDEX(FILTER(G$1:G1217, G$1:G1217&lt;&gt;""""),COUNTA(FILTER(G$1:G1217, G$1:G1217&lt;&gt;""""))), LEN(INDEX(FILTER(G$1:G1217, G$1:G1217&lt;&gt;""""),COUNTA(FILTER(G$1:G1217, G$1:G1217&lt;&gt;""""))))-1), IF('To Order'!$A1218=COL"&amp;"UMNS($A1218:G1237), G1217&amp;RIGHT(INDIRECT(ADDRESS(ROW(G1218)-1, 'From Order'!$A1218)), 1), G1217))"),"B")</f>
        <v>B</v>
      </c>
      <c r="H1218" s="2" t="str">
        <f>IFERROR(__xludf.DUMMYFUNCTION("IF('From Order'!$A1218=COLUMNS($A1218:H1237), LEFT(INDEX(FILTER(H$1:H1217, H$1:H1217&lt;&gt;""""),COUNTA(FILTER(H$1:H1217, H$1:H1217&lt;&gt;""""))), LEN(INDEX(FILTER(H$1:H1217, H$1:H1217&lt;&gt;""""),COUNTA(FILTER(H$1:H1217, H$1:H1217&lt;&gt;""""))))-1), IF('To Order'!$A1218=COL"&amp;"UMNS($A1218:H1237), H1217&amp;RIGHT(INDIRECT(ADDRESS(ROW(H1218)-1, 'From Order'!$A1218)), 1), H1217))"),"")</f>
        <v/>
      </c>
      <c r="I1218" s="2" t="str">
        <f>IFERROR(__xludf.DUMMYFUNCTION("IF('From Order'!$A1218=COLUMNS($A1218:I1237), LEFT(INDEX(FILTER(I$1:I1217, I$1:I1217&lt;&gt;""""),COUNTA(FILTER(I$1:I1217, I$1:I1217&lt;&gt;""""))), LEN(INDEX(FILTER(I$1:I1217, I$1:I1217&lt;&gt;""""),COUNTA(FILTER(I$1:I1217, I$1:I1217&lt;&gt;""""))))-1), IF('To Order'!$A1218=COL"&amp;"UMNS($A1218:I1237), I1217&amp;RIGHT(INDIRECT(ADDRESS(ROW(I1218)-1, 'From Order'!$A1218)), 1), I1217))"),"SFVTSVDTWRMTCRCDRZCJTBFMDJD")</f>
        <v>SFVTSVDTWRMTCRCDRZCJTBFMDJD</v>
      </c>
    </row>
    <row r="1219">
      <c r="A1219" s="2" t="str">
        <f>IFERROR(__xludf.DUMMYFUNCTION("IF('From Order'!$A1219=COLUMNS($A1219:A1238), LEFT(INDEX(FILTER(A$1:A1218, A$1:A1218&lt;&gt;""""),COUNTA(FILTER(A$1:A1218, A$1:A1218&lt;&gt;""""))), LEN(INDEX(FILTER(A$1:A1218, A$1:A1218&lt;&gt;""""),COUNTA(FILTER(A$1:A1218, A$1:A1218&lt;&gt;""""))))-1), IF('To Order'!$A1219=COL"&amp;"UMNS($A1219:A1238), A1218&amp;RIGHT(INDIRECT(ADDRESS(ROW(A1219)-1, 'From Order'!$A1219)), 1), A1218))"),"HZB")</f>
        <v>HZB</v>
      </c>
      <c r="B1219" s="2" t="str">
        <f>IFERROR(__xludf.DUMMYFUNCTION("IF('From Order'!$A1219=COLUMNS($A1219:B1238), LEFT(INDEX(FILTER(B$1:B1218, B$1:B1218&lt;&gt;""""),COUNTA(FILTER(B$1:B1218, B$1:B1218&lt;&gt;""""))), LEN(INDEX(FILTER(B$1:B1218, B$1:B1218&lt;&gt;""""),COUNTA(FILTER(B$1:B1218, B$1:B1218&lt;&gt;""""))))-1), IF('To Order'!$A1219=COL"&amp;"UMNS($A1219:B1238), B1218&amp;RIGHT(INDIRECT(ADDRESS(ROW(B1219)-1, 'From Order'!$A1219)), 1), B1218))"),"ZL")</f>
        <v>ZL</v>
      </c>
      <c r="C1219" s="2" t="str">
        <f>IFERROR(__xludf.DUMMYFUNCTION("IF('From Order'!$A1219=COLUMNS($A1219:C1238), LEFT(INDEX(FILTER(C$1:C1218, C$1:C1218&lt;&gt;""""),COUNTA(FILTER(C$1:C1218, C$1:C1218&lt;&gt;""""))), LEN(INDEX(FILTER(C$1:C1218, C$1:C1218&lt;&gt;""""),COUNTA(FILTER(C$1:C1218, C$1:C1218&lt;&gt;""""))))-1), IF('To Order'!$A1219=COL"&amp;"UMNS($A1219:C1238), C1218&amp;RIGHT(INDIRECT(ADDRESS(ROW(C1219)-1, 'From Order'!$A1219)), 1), C1218))"),"TRLRSGHWQVQJPPLDTMG")</f>
        <v>TRLRSGHWQVQJPPLDTMG</v>
      </c>
      <c r="D1219" s="2" t="str">
        <f>IFERROR(__xludf.DUMMYFUNCTION("IF('From Order'!$A1219=COLUMNS($A1219:D1238), LEFT(INDEX(FILTER(D$1:D1218, D$1:D1218&lt;&gt;""""),COUNTA(FILTER(D$1:D1218, D$1:D1218&lt;&gt;""""))), LEN(INDEX(FILTER(D$1:D1218, D$1:D1218&lt;&gt;""""),COUNTA(FILTER(D$1:D1218, D$1:D1218&lt;&gt;""""))))-1), IF('To Order'!$A1219=COL"&amp;"UMNS($A1219:D1238), D1218&amp;RIGHT(INDIRECT(ADDRESS(ROW(D1219)-1, 'From Order'!$A1219)), 1), D1218))"),"DP")</f>
        <v>DP</v>
      </c>
      <c r="E1219" s="2" t="str">
        <f>IFERROR(__xludf.DUMMYFUNCTION("IF('From Order'!$A1219=COLUMNS($A1219:E1238), LEFT(INDEX(FILTER(E$1:E1218, E$1:E1218&lt;&gt;""""),COUNTA(FILTER(E$1:E1218, E$1:E1218&lt;&gt;""""))), LEN(INDEX(FILTER(E$1:E1218, E$1:E1218&lt;&gt;""""),COUNTA(FILTER(E$1:E1218, E$1:E1218&lt;&gt;""""))))-1), IF('To Order'!$A1219=COL"&amp;"UMNS($A1219:E1238), E1218&amp;RIGHT(INDIRECT(ADDRESS(ROW(E1219)-1, 'From Order'!$A1219)), 1), E1218))"),"")</f>
        <v/>
      </c>
      <c r="F1219" s="2" t="str">
        <f>IFERROR(__xludf.DUMMYFUNCTION("IF('From Order'!$A1219=COLUMNS($A1219:F1238), LEFT(INDEX(FILTER(F$1:F1218, F$1:F1218&lt;&gt;""""),COUNTA(FILTER(F$1:F1218, F$1:F1218&lt;&gt;""""))), LEN(INDEX(FILTER(F$1:F1218, F$1:F1218&lt;&gt;""""),COUNTA(FILTER(F$1:F1218, F$1:F1218&lt;&gt;""""))))-1), IF('To Order'!$A1219=COL"&amp;"UMNS($A1219:F1238), F1218&amp;RIGHT(INDIRECT(ADDRESS(ROW(F1219)-1, 'From Order'!$A1219)), 1), F1218))"),"BS")</f>
        <v>BS</v>
      </c>
      <c r="G1219" s="2" t="str">
        <f>IFERROR(__xludf.DUMMYFUNCTION("IF('From Order'!$A1219=COLUMNS($A1219:G1238), LEFT(INDEX(FILTER(G$1:G1218, G$1:G1218&lt;&gt;""""),COUNTA(FILTER(G$1:G1218, G$1:G1218&lt;&gt;""""))), LEN(INDEX(FILTER(G$1:G1218, G$1:G1218&lt;&gt;""""),COUNTA(FILTER(G$1:G1218, G$1:G1218&lt;&gt;""""))))-1), IF('To Order'!$A1219=COL"&amp;"UMNS($A1219:G1238), G1218&amp;RIGHT(INDIRECT(ADDRESS(ROW(G1219)-1, 'From Order'!$A1219)), 1), G1218))"),"B")</f>
        <v>B</v>
      </c>
      <c r="H1219" s="2" t="str">
        <f>IFERROR(__xludf.DUMMYFUNCTION("IF('From Order'!$A1219=COLUMNS($A1219:H1238), LEFT(INDEX(FILTER(H$1:H1218, H$1:H1218&lt;&gt;""""),COUNTA(FILTER(H$1:H1218, H$1:H1218&lt;&gt;""""))), LEN(INDEX(FILTER(H$1:H1218, H$1:H1218&lt;&gt;""""),COUNTA(FILTER(H$1:H1218, H$1:H1218&lt;&gt;""""))))-1), IF('To Order'!$A1219=COL"&amp;"UMNS($A1219:H1238), H1218&amp;RIGHT(INDIRECT(ADDRESS(ROW(H1219)-1, 'From Order'!$A1219)), 1), H1218))"),"")</f>
        <v/>
      </c>
      <c r="I1219" s="2" t="str">
        <f>IFERROR(__xludf.DUMMYFUNCTION("IF('From Order'!$A1219=COLUMNS($A1219:I1238), LEFT(INDEX(FILTER(I$1:I1218, I$1:I1218&lt;&gt;""""),COUNTA(FILTER(I$1:I1218, I$1:I1218&lt;&gt;""""))), LEN(INDEX(FILTER(I$1:I1218, I$1:I1218&lt;&gt;""""),COUNTA(FILTER(I$1:I1218, I$1:I1218&lt;&gt;""""))))-1), IF('To Order'!$A1219=COL"&amp;"UMNS($A1219:I1238), I1218&amp;RIGHT(INDIRECT(ADDRESS(ROW(I1219)-1, 'From Order'!$A1219)), 1), I1218))"),"SFVTSVDTWRMTCRCDRZCJTBFMDJD")</f>
        <v>SFVTSVDTWRMTCRCDRZCJTBFMDJD</v>
      </c>
    </row>
    <row r="1220">
      <c r="A1220" s="2" t="str">
        <f>IFERROR(__xludf.DUMMYFUNCTION("IF('From Order'!$A1220=COLUMNS($A1220:A1239), LEFT(INDEX(FILTER(A$1:A1219, A$1:A1219&lt;&gt;""""),COUNTA(FILTER(A$1:A1219, A$1:A1219&lt;&gt;""""))), LEN(INDEX(FILTER(A$1:A1219, A$1:A1219&lt;&gt;""""),COUNTA(FILTER(A$1:A1219, A$1:A1219&lt;&gt;""""))))-1), IF('To Order'!$A1220=COL"&amp;"UMNS($A1220:A1239), A1219&amp;RIGHT(INDIRECT(ADDRESS(ROW(A1220)-1, 'From Order'!$A1220)), 1), A1219))"),"HZB")</f>
        <v>HZB</v>
      </c>
      <c r="B1220" s="2" t="str">
        <f>IFERROR(__xludf.DUMMYFUNCTION("IF('From Order'!$A1220=COLUMNS($A1220:B1239), LEFT(INDEX(FILTER(B$1:B1219, B$1:B1219&lt;&gt;""""),COUNTA(FILTER(B$1:B1219, B$1:B1219&lt;&gt;""""))), LEN(INDEX(FILTER(B$1:B1219, B$1:B1219&lt;&gt;""""),COUNTA(FILTER(B$1:B1219, B$1:B1219&lt;&gt;""""))))-1), IF('To Order'!$A1220=COL"&amp;"UMNS($A1220:B1239), B1219&amp;RIGHT(INDIRECT(ADDRESS(ROW(B1220)-1, 'From Order'!$A1220)), 1), B1219))"),"Z")</f>
        <v>Z</v>
      </c>
      <c r="C1220" s="2" t="str">
        <f>IFERROR(__xludf.DUMMYFUNCTION("IF('From Order'!$A1220=COLUMNS($A1220:C1239), LEFT(INDEX(FILTER(C$1:C1219, C$1:C1219&lt;&gt;""""),COUNTA(FILTER(C$1:C1219, C$1:C1219&lt;&gt;""""))), LEN(INDEX(FILTER(C$1:C1219, C$1:C1219&lt;&gt;""""),COUNTA(FILTER(C$1:C1219, C$1:C1219&lt;&gt;""""))))-1), IF('To Order'!$A1220=COL"&amp;"UMNS($A1220:C1239), C1219&amp;RIGHT(INDIRECT(ADDRESS(ROW(C1220)-1, 'From Order'!$A1220)), 1), C1219))"),"TRLRSGHWQVQJPPLDTMG")</f>
        <v>TRLRSGHWQVQJPPLDTMG</v>
      </c>
      <c r="D1220" s="2" t="str">
        <f>IFERROR(__xludf.DUMMYFUNCTION("IF('From Order'!$A1220=COLUMNS($A1220:D1239), LEFT(INDEX(FILTER(D$1:D1219, D$1:D1219&lt;&gt;""""),COUNTA(FILTER(D$1:D1219, D$1:D1219&lt;&gt;""""))), LEN(INDEX(FILTER(D$1:D1219, D$1:D1219&lt;&gt;""""),COUNTA(FILTER(D$1:D1219, D$1:D1219&lt;&gt;""""))))-1), IF('To Order'!$A1220=COL"&amp;"UMNS($A1220:D1239), D1219&amp;RIGHT(INDIRECT(ADDRESS(ROW(D1220)-1, 'From Order'!$A1220)), 1), D1219))"),"DPL")</f>
        <v>DPL</v>
      </c>
      <c r="E1220" s="2" t="str">
        <f>IFERROR(__xludf.DUMMYFUNCTION("IF('From Order'!$A1220=COLUMNS($A1220:E1239), LEFT(INDEX(FILTER(E$1:E1219, E$1:E1219&lt;&gt;""""),COUNTA(FILTER(E$1:E1219, E$1:E1219&lt;&gt;""""))), LEN(INDEX(FILTER(E$1:E1219, E$1:E1219&lt;&gt;""""),COUNTA(FILTER(E$1:E1219, E$1:E1219&lt;&gt;""""))))-1), IF('To Order'!$A1220=COL"&amp;"UMNS($A1220:E1239), E1219&amp;RIGHT(INDIRECT(ADDRESS(ROW(E1220)-1, 'From Order'!$A1220)), 1), E1219))"),"")</f>
        <v/>
      </c>
      <c r="F1220" s="2" t="str">
        <f>IFERROR(__xludf.DUMMYFUNCTION("IF('From Order'!$A1220=COLUMNS($A1220:F1239), LEFT(INDEX(FILTER(F$1:F1219, F$1:F1219&lt;&gt;""""),COUNTA(FILTER(F$1:F1219, F$1:F1219&lt;&gt;""""))), LEN(INDEX(FILTER(F$1:F1219, F$1:F1219&lt;&gt;""""),COUNTA(FILTER(F$1:F1219, F$1:F1219&lt;&gt;""""))))-1), IF('To Order'!$A1220=COL"&amp;"UMNS($A1220:F1239), F1219&amp;RIGHT(INDIRECT(ADDRESS(ROW(F1220)-1, 'From Order'!$A1220)), 1), F1219))"),"BS")</f>
        <v>BS</v>
      </c>
      <c r="G1220" s="2" t="str">
        <f>IFERROR(__xludf.DUMMYFUNCTION("IF('From Order'!$A1220=COLUMNS($A1220:G1239), LEFT(INDEX(FILTER(G$1:G1219, G$1:G1219&lt;&gt;""""),COUNTA(FILTER(G$1:G1219, G$1:G1219&lt;&gt;""""))), LEN(INDEX(FILTER(G$1:G1219, G$1:G1219&lt;&gt;""""),COUNTA(FILTER(G$1:G1219, G$1:G1219&lt;&gt;""""))))-1), IF('To Order'!$A1220=COL"&amp;"UMNS($A1220:G1239), G1219&amp;RIGHT(INDIRECT(ADDRESS(ROW(G1220)-1, 'From Order'!$A1220)), 1), G1219))"),"B")</f>
        <v>B</v>
      </c>
      <c r="H1220" s="2" t="str">
        <f>IFERROR(__xludf.DUMMYFUNCTION("IF('From Order'!$A1220=COLUMNS($A1220:H1239), LEFT(INDEX(FILTER(H$1:H1219, H$1:H1219&lt;&gt;""""),COUNTA(FILTER(H$1:H1219, H$1:H1219&lt;&gt;""""))), LEN(INDEX(FILTER(H$1:H1219, H$1:H1219&lt;&gt;""""),COUNTA(FILTER(H$1:H1219, H$1:H1219&lt;&gt;""""))))-1), IF('To Order'!$A1220=COL"&amp;"UMNS($A1220:H1239), H1219&amp;RIGHT(INDIRECT(ADDRESS(ROW(H1220)-1, 'From Order'!$A1220)), 1), H1219))"),"")</f>
        <v/>
      </c>
      <c r="I1220" s="2" t="str">
        <f>IFERROR(__xludf.DUMMYFUNCTION("IF('From Order'!$A1220=COLUMNS($A1220:I1239), LEFT(INDEX(FILTER(I$1:I1219, I$1:I1219&lt;&gt;""""),COUNTA(FILTER(I$1:I1219, I$1:I1219&lt;&gt;""""))), LEN(INDEX(FILTER(I$1:I1219, I$1:I1219&lt;&gt;""""),COUNTA(FILTER(I$1:I1219, I$1:I1219&lt;&gt;""""))))-1), IF('To Order'!$A1220=COL"&amp;"UMNS($A1220:I1239), I1219&amp;RIGHT(INDIRECT(ADDRESS(ROW(I1220)-1, 'From Order'!$A1220)), 1), I1219))"),"SFVTSVDTWRMTCRCDRZCJTBFMDJD")</f>
        <v>SFVTSVDTWRMTCRCDRZCJTBFMDJD</v>
      </c>
    </row>
    <row r="1221">
      <c r="A1221" s="2" t="str">
        <f>IFERROR(__xludf.DUMMYFUNCTION("IF('From Order'!$A1221=COLUMNS($A1221:A1240), LEFT(INDEX(FILTER(A$1:A1220, A$1:A1220&lt;&gt;""""),COUNTA(FILTER(A$1:A1220, A$1:A1220&lt;&gt;""""))), LEN(INDEX(FILTER(A$1:A1220, A$1:A1220&lt;&gt;""""),COUNTA(FILTER(A$1:A1220, A$1:A1220&lt;&gt;""""))))-1), IF('To Order'!$A1221=COL"&amp;"UMNS($A1221:A1240), A1220&amp;RIGHT(INDIRECT(ADDRESS(ROW(A1221)-1, 'From Order'!$A1221)), 1), A1220))"),"HZB")</f>
        <v>HZB</v>
      </c>
      <c r="B1221" s="2" t="str">
        <f>IFERROR(__xludf.DUMMYFUNCTION("IF('From Order'!$A1221=COLUMNS($A1221:B1240), LEFT(INDEX(FILTER(B$1:B1220, B$1:B1220&lt;&gt;""""),COUNTA(FILTER(B$1:B1220, B$1:B1220&lt;&gt;""""))), LEN(INDEX(FILTER(B$1:B1220, B$1:B1220&lt;&gt;""""),COUNTA(FILTER(B$1:B1220, B$1:B1220&lt;&gt;""""))))-1), IF('To Order'!$A1221=COL"&amp;"UMNS($A1221:B1240), B1220&amp;RIGHT(INDIRECT(ADDRESS(ROW(B1221)-1, 'From Order'!$A1221)), 1), B1220))"),"Z")</f>
        <v>Z</v>
      </c>
      <c r="C1221" s="2" t="str">
        <f>IFERROR(__xludf.DUMMYFUNCTION("IF('From Order'!$A1221=COLUMNS($A1221:C1240), LEFT(INDEX(FILTER(C$1:C1220, C$1:C1220&lt;&gt;""""),COUNTA(FILTER(C$1:C1220, C$1:C1220&lt;&gt;""""))), LEN(INDEX(FILTER(C$1:C1220, C$1:C1220&lt;&gt;""""),COUNTA(FILTER(C$1:C1220, C$1:C1220&lt;&gt;""""))))-1), IF('To Order'!$A1221=COL"&amp;"UMNS($A1221:C1240), C1220&amp;RIGHT(INDIRECT(ADDRESS(ROW(C1221)-1, 'From Order'!$A1221)), 1), C1220))"),"TRLRSGHWQVQJPPLDTMGB")</f>
        <v>TRLRSGHWQVQJPPLDTMGB</v>
      </c>
      <c r="D1221" s="2" t="str">
        <f>IFERROR(__xludf.DUMMYFUNCTION("IF('From Order'!$A1221=COLUMNS($A1221:D1240), LEFT(INDEX(FILTER(D$1:D1220, D$1:D1220&lt;&gt;""""),COUNTA(FILTER(D$1:D1220, D$1:D1220&lt;&gt;""""))), LEN(INDEX(FILTER(D$1:D1220, D$1:D1220&lt;&gt;""""),COUNTA(FILTER(D$1:D1220, D$1:D1220&lt;&gt;""""))))-1), IF('To Order'!$A1221=COL"&amp;"UMNS($A1221:D1240), D1220&amp;RIGHT(INDIRECT(ADDRESS(ROW(D1221)-1, 'From Order'!$A1221)), 1), D1220))"),"DPL")</f>
        <v>DPL</v>
      </c>
      <c r="E1221" s="2" t="str">
        <f>IFERROR(__xludf.DUMMYFUNCTION("IF('From Order'!$A1221=COLUMNS($A1221:E1240), LEFT(INDEX(FILTER(E$1:E1220, E$1:E1220&lt;&gt;""""),COUNTA(FILTER(E$1:E1220, E$1:E1220&lt;&gt;""""))), LEN(INDEX(FILTER(E$1:E1220, E$1:E1220&lt;&gt;""""),COUNTA(FILTER(E$1:E1220, E$1:E1220&lt;&gt;""""))))-1), IF('To Order'!$A1221=COL"&amp;"UMNS($A1221:E1240), E1220&amp;RIGHT(INDIRECT(ADDRESS(ROW(E1221)-1, 'From Order'!$A1221)), 1), E1220))"),"")</f>
        <v/>
      </c>
      <c r="F1221" s="2" t="str">
        <f>IFERROR(__xludf.DUMMYFUNCTION("IF('From Order'!$A1221=COLUMNS($A1221:F1240), LEFT(INDEX(FILTER(F$1:F1220, F$1:F1220&lt;&gt;""""),COUNTA(FILTER(F$1:F1220, F$1:F1220&lt;&gt;""""))), LEN(INDEX(FILTER(F$1:F1220, F$1:F1220&lt;&gt;""""),COUNTA(FILTER(F$1:F1220, F$1:F1220&lt;&gt;""""))))-1), IF('To Order'!$A1221=COL"&amp;"UMNS($A1221:F1240), F1220&amp;RIGHT(INDIRECT(ADDRESS(ROW(F1221)-1, 'From Order'!$A1221)), 1), F1220))"),"BS")</f>
        <v>BS</v>
      </c>
      <c r="G1221" s="2" t="str">
        <f>IFERROR(__xludf.DUMMYFUNCTION("IF('From Order'!$A1221=COLUMNS($A1221:G1240), LEFT(INDEX(FILTER(G$1:G1220, G$1:G1220&lt;&gt;""""),COUNTA(FILTER(G$1:G1220, G$1:G1220&lt;&gt;""""))), LEN(INDEX(FILTER(G$1:G1220, G$1:G1220&lt;&gt;""""),COUNTA(FILTER(G$1:G1220, G$1:G1220&lt;&gt;""""))))-1), IF('To Order'!$A1221=COL"&amp;"UMNS($A1221:G1240), G1220&amp;RIGHT(INDIRECT(ADDRESS(ROW(G1221)-1, 'From Order'!$A1221)), 1), G1220))"),"")</f>
        <v/>
      </c>
      <c r="H1221" s="2" t="str">
        <f>IFERROR(__xludf.DUMMYFUNCTION("IF('From Order'!$A1221=COLUMNS($A1221:H1240), LEFT(INDEX(FILTER(H$1:H1220, H$1:H1220&lt;&gt;""""),COUNTA(FILTER(H$1:H1220, H$1:H1220&lt;&gt;""""))), LEN(INDEX(FILTER(H$1:H1220, H$1:H1220&lt;&gt;""""),COUNTA(FILTER(H$1:H1220, H$1:H1220&lt;&gt;""""))))-1), IF('To Order'!$A1221=COL"&amp;"UMNS($A1221:H1240), H1220&amp;RIGHT(INDIRECT(ADDRESS(ROW(H1221)-1, 'From Order'!$A1221)), 1), H1220))"),"")</f>
        <v/>
      </c>
      <c r="I1221" s="2" t="str">
        <f>IFERROR(__xludf.DUMMYFUNCTION("IF('From Order'!$A1221=COLUMNS($A1221:I1240), LEFT(INDEX(FILTER(I$1:I1220, I$1:I1220&lt;&gt;""""),COUNTA(FILTER(I$1:I1220, I$1:I1220&lt;&gt;""""))), LEN(INDEX(FILTER(I$1:I1220, I$1:I1220&lt;&gt;""""),COUNTA(FILTER(I$1:I1220, I$1:I1220&lt;&gt;""""))))-1), IF('To Order'!$A1221=COL"&amp;"UMNS($A1221:I1240), I1220&amp;RIGHT(INDIRECT(ADDRESS(ROW(I1221)-1, 'From Order'!$A1221)), 1), I1220))"),"SFVTSVDTWRMTCRCDRZCJTBFMDJD")</f>
        <v>SFVTSVDTWRMTCRCDRZCJTBFMDJD</v>
      </c>
    </row>
    <row r="1222">
      <c r="A1222" s="2" t="str">
        <f>IFERROR(__xludf.DUMMYFUNCTION("IF('From Order'!$A1222=COLUMNS($A1222:A1241), LEFT(INDEX(FILTER(A$1:A1221, A$1:A1221&lt;&gt;""""),COUNTA(FILTER(A$1:A1221, A$1:A1221&lt;&gt;""""))), LEN(INDEX(FILTER(A$1:A1221, A$1:A1221&lt;&gt;""""),COUNTA(FILTER(A$1:A1221, A$1:A1221&lt;&gt;""""))))-1), IF('To Order'!$A1222=COL"&amp;"UMNS($A1222:A1241), A1221&amp;RIGHT(INDIRECT(ADDRESS(ROW(A1222)-1, 'From Order'!$A1222)), 1), A1221))"),"HZB")</f>
        <v>HZB</v>
      </c>
      <c r="B1222" s="2" t="str">
        <f>IFERROR(__xludf.DUMMYFUNCTION("IF('From Order'!$A1222=COLUMNS($A1222:B1241), LEFT(INDEX(FILTER(B$1:B1221, B$1:B1221&lt;&gt;""""),COUNTA(FILTER(B$1:B1221, B$1:B1221&lt;&gt;""""))), LEN(INDEX(FILTER(B$1:B1221, B$1:B1221&lt;&gt;""""),COUNTA(FILTER(B$1:B1221, B$1:B1221&lt;&gt;""""))))-1), IF('To Order'!$A1222=COL"&amp;"UMNS($A1222:B1241), B1221&amp;RIGHT(INDIRECT(ADDRESS(ROW(B1222)-1, 'From Order'!$A1222)), 1), B1221))"),"Z")</f>
        <v>Z</v>
      </c>
      <c r="C1222" s="2" t="str">
        <f>IFERROR(__xludf.DUMMYFUNCTION("IF('From Order'!$A1222=COLUMNS($A1222:C1241), LEFT(INDEX(FILTER(C$1:C1221, C$1:C1221&lt;&gt;""""),COUNTA(FILTER(C$1:C1221, C$1:C1221&lt;&gt;""""))), LEN(INDEX(FILTER(C$1:C1221, C$1:C1221&lt;&gt;""""),COUNTA(FILTER(C$1:C1221, C$1:C1221&lt;&gt;""""))))-1), IF('To Order'!$A1222=COL"&amp;"UMNS($A1222:C1241), C1221&amp;RIGHT(INDIRECT(ADDRESS(ROW(C1222)-1, 'From Order'!$A1222)), 1), C1221))"),"TRLRSGHWQVQJPPLDTMGB")</f>
        <v>TRLRSGHWQVQJPPLDTMGB</v>
      </c>
      <c r="D1222" s="2" t="str">
        <f>IFERROR(__xludf.DUMMYFUNCTION("IF('From Order'!$A1222=COLUMNS($A1222:D1241), LEFT(INDEX(FILTER(D$1:D1221, D$1:D1221&lt;&gt;""""),COUNTA(FILTER(D$1:D1221, D$1:D1221&lt;&gt;""""))), LEN(INDEX(FILTER(D$1:D1221, D$1:D1221&lt;&gt;""""),COUNTA(FILTER(D$1:D1221, D$1:D1221&lt;&gt;""""))))-1), IF('To Order'!$A1222=COL"&amp;"UMNS($A1222:D1241), D1221&amp;RIGHT(INDIRECT(ADDRESS(ROW(D1222)-1, 'From Order'!$A1222)), 1), D1221))"),"DPL")</f>
        <v>DPL</v>
      </c>
      <c r="E1222" s="2" t="str">
        <f>IFERROR(__xludf.DUMMYFUNCTION("IF('From Order'!$A1222=COLUMNS($A1222:E1241), LEFT(INDEX(FILTER(E$1:E1221, E$1:E1221&lt;&gt;""""),COUNTA(FILTER(E$1:E1221, E$1:E1221&lt;&gt;""""))), LEN(INDEX(FILTER(E$1:E1221, E$1:E1221&lt;&gt;""""),COUNTA(FILTER(E$1:E1221, E$1:E1221&lt;&gt;""""))))-1), IF('To Order'!$A1222=COL"&amp;"UMNS($A1222:E1241), E1221&amp;RIGHT(INDIRECT(ADDRESS(ROW(E1222)-1, 'From Order'!$A1222)), 1), E1221))"),"D")</f>
        <v>D</v>
      </c>
      <c r="F1222" s="2" t="str">
        <f>IFERROR(__xludf.DUMMYFUNCTION("IF('From Order'!$A1222=COLUMNS($A1222:F1241), LEFT(INDEX(FILTER(F$1:F1221, F$1:F1221&lt;&gt;""""),COUNTA(FILTER(F$1:F1221, F$1:F1221&lt;&gt;""""))), LEN(INDEX(FILTER(F$1:F1221, F$1:F1221&lt;&gt;""""),COUNTA(FILTER(F$1:F1221, F$1:F1221&lt;&gt;""""))))-1), IF('To Order'!$A1222=COL"&amp;"UMNS($A1222:F1241), F1221&amp;RIGHT(INDIRECT(ADDRESS(ROW(F1222)-1, 'From Order'!$A1222)), 1), F1221))"),"BS")</f>
        <v>BS</v>
      </c>
      <c r="G1222" s="2" t="str">
        <f>IFERROR(__xludf.DUMMYFUNCTION("IF('From Order'!$A1222=COLUMNS($A1222:G1241), LEFT(INDEX(FILTER(G$1:G1221, G$1:G1221&lt;&gt;""""),COUNTA(FILTER(G$1:G1221, G$1:G1221&lt;&gt;""""))), LEN(INDEX(FILTER(G$1:G1221, G$1:G1221&lt;&gt;""""),COUNTA(FILTER(G$1:G1221, G$1:G1221&lt;&gt;""""))))-1), IF('To Order'!$A1222=COL"&amp;"UMNS($A1222:G1241), G1221&amp;RIGHT(INDIRECT(ADDRESS(ROW(G1222)-1, 'From Order'!$A1222)), 1), G1221))"),"")</f>
        <v/>
      </c>
      <c r="H1222" s="2" t="str">
        <f>IFERROR(__xludf.DUMMYFUNCTION("IF('From Order'!$A1222=COLUMNS($A1222:H1241), LEFT(INDEX(FILTER(H$1:H1221, H$1:H1221&lt;&gt;""""),COUNTA(FILTER(H$1:H1221, H$1:H1221&lt;&gt;""""))), LEN(INDEX(FILTER(H$1:H1221, H$1:H1221&lt;&gt;""""),COUNTA(FILTER(H$1:H1221, H$1:H1221&lt;&gt;""""))))-1), IF('To Order'!$A1222=COL"&amp;"UMNS($A1222:H1241), H1221&amp;RIGHT(INDIRECT(ADDRESS(ROW(H1222)-1, 'From Order'!$A1222)), 1), H1221))"),"")</f>
        <v/>
      </c>
      <c r="I1222" s="2" t="str">
        <f>IFERROR(__xludf.DUMMYFUNCTION("IF('From Order'!$A1222=COLUMNS($A1222:I1241), LEFT(INDEX(FILTER(I$1:I1221, I$1:I1221&lt;&gt;""""),COUNTA(FILTER(I$1:I1221, I$1:I1221&lt;&gt;""""))), LEN(INDEX(FILTER(I$1:I1221, I$1:I1221&lt;&gt;""""),COUNTA(FILTER(I$1:I1221, I$1:I1221&lt;&gt;""""))))-1), IF('To Order'!$A1222=COL"&amp;"UMNS($A1222:I1241), I1221&amp;RIGHT(INDIRECT(ADDRESS(ROW(I1222)-1, 'From Order'!$A1222)), 1), I1221))"),"SFVTSVDTWRMTCRCDRZCJTBFMDJ")</f>
        <v>SFVTSVDTWRMTCRCDRZCJTBFMDJ</v>
      </c>
    </row>
    <row r="1223">
      <c r="A1223" s="2" t="str">
        <f>IFERROR(__xludf.DUMMYFUNCTION("IF('From Order'!$A1223=COLUMNS($A1223:A1242), LEFT(INDEX(FILTER(A$1:A1222, A$1:A1222&lt;&gt;""""),COUNTA(FILTER(A$1:A1222, A$1:A1222&lt;&gt;""""))), LEN(INDEX(FILTER(A$1:A1222, A$1:A1222&lt;&gt;""""),COUNTA(FILTER(A$1:A1222, A$1:A1222&lt;&gt;""""))))-1), IF('To Order'!$A1223=COL"&amp;"UMNS($A1223:A1242), A1222&amp;RIGHT(INDIRECT(ADDRESS(ROW(A1223)-1, 'From Order'!$A1223)), 1), A1222))"),"HZB")</f>
        <v>HZB</v>
      </c>
      <c r="B1223" s="2" t="str">
        <f>IFERROR(__xludf.DUMMYFUNCTION("IF('From Order'!$A1223=COLUMNS($A1223:B1242), LEFT(INDEX(FILTER(B$1:B1222, B$1:B1222&lt;&gt;""""),COUNTA(FILTER(B$1:B1222, B$1:B1222&lt;&gt;""""))), LEN(INDEX(FILTER(B$1:B1222, B$1:B1222&lt;&gt;""""),COUNTA(FILTER(B$1:B1222, B$1:B1222&lt;&gt;""""))))-1), IF('To Order'!$A1223=COL"&amp;"UMNS($A1223:B1242), B1222&amp;RIGHT(INDIRECT(ADDRESS(ROW(B1223)-1, 'From Order'!$A1223)), 1), B1222))"),"Z")</f>
        <v>Z</v>
      </c>
      <c r="C1223" s="2" t="str">
        <f>IFERROR(__xludf.DUMMYFUNCTION("IF('From Order'!$A1223=COLUMNS($A1223:C1242), LEFT(INDEX(FILTER(C$1:C1222, C$1:C1222&lt;&gt;""""),COUNTA(FILTER(C$1:C1222, C$1:C1222&lt;&gt;""""))), LEN(INDEX(FILTER(C$1:C1222, C$1:C1222&lt;&gt;""""),COUNTA(FILTER(C$1:C1222, C$1:C1222&lt;&gt;""""))))-1), IF('To Order'!$A1223=COL"&amp;"UMNS($A1223:C1242), C1222&amp;RIGHT(INDIRECT(ADDRESS(ROW(C1223)-1, 'From Order'!$A1223)), 1), C1222))"),"TRLRSGHWQVQJPPLDTMGB")</f>
        <v>TRLRSGHWQVQJPPLDTMGB</v>
      </c>
      <c r="D1223" s="2" t="str">
        <f>IFERROR(__xludf.DUMMYFUNCTION("IF('From Order'!$A1223=COLUMNS($A1223:D1242), LEFT(INDEX(FILTER(D$1:D1222, D$1:D1222&lt;&gt;""""),COUNTA(FILTER(D$1:D1222, D$1:D1222&lt;&gt;""""))), LEN(INDEX(FILTER(D$1:D1222, D$1:D1222&lt;&gt;""""),COUNTA(FILTER(D$1:D1222, D$1:D1222&lt;&gt;""""))))-1), IF('To Order'!$A1223=COL"&amp;"UMNS($A1223:D1242), D1222&amp;RIGHT(INDIRECT(ADDRESS(ROW(D1223)-1, 'From Order'!$A1223)), 1), D1222))"),"DPL")</f>
        <v>DPL</v>
      </c>
      <c r="E1223" s="2" t="str">
        <f>IFERROR(__xludf.DUMMYFUNCTION("IF('From Order'!$A1223=COLUMNS($A1223:E1242), LEFT(INDEX(FILTER(E$1:E1222, E$1:E1222&lt;&gt;""""),COUNTA(FILTER(E$1:E1222, E$1:E1222&lt;&gt;""""))), LEN(INDEX(FILTER(E$1:E1222, E$1:E1222&lt;&gt;""""),COUNTA(FILTER(E$1:E1222, E$1:E1222&lt;&gt;""""))))-1), IF('To Order'!$A1223=COL"&amp;"UMNS($A1223:E1242), E1222&amp;RIGHT(INDIRECT(ADDRESS(ROW(E1223)-1, 'From Order'!$A1223)), 1), E1222))"),"DJ")</f>
        <v>DJ</v>
      </c>
      <c r="F1223" s="2" t="str">
        <f>IFERROR(__xludf.DUMMYFUNCTION("IF('From Order'!$A1223=COLUMNS($A1223:F1242), LEFT(INDEX(FILTER(F$1:F1222, F$1:F1222&lt;&gt;""""),COUNTA(FILTER(F$1:F1222, F$1:F1222&lt;&gt;""""))), LEN(INDEX(FILTER(F$1:F1222, F$1:F1222&lt;&gt;""""),COUNTA(FILTER(F$1:F1222, F$1:F1222&lt;&gt;""""))))-1), IF('To Order'!$A1223=COL"&amp;"UMNS($A1223:F1242), F1222&amp;RIGHT(INDIRECT(ADDRESS(ROW(F1223)-1, 'From Order'!$A1223)), 1), F1222))"),"BS")</f>
        <v>BS</v>
      </c>
      <c r="G1223" s="2" t="str">
        <f>IFERROR(__xludf.DUMMYFUNCTION("IF('From Order'!$A1223=COLUMNS($A1223:G1242), LEFT(INDEX(FILTER(G$1:G1222, G$1:G1222&lt;&gt;""""),COUNTA(FILTER(G$1:G1222, G$1:G1222&lt;&gt;""""))), LEN(INDEX(FILTER(G$1:G1222, G$1:G1222&lt;&gt;""""),COUNTA(FILTER(G$1:G1222, G$1:G1222&lt;&gt;""""))))-1), IF('To Order'!$A1223=COL"&amp;"UMNS($A1223:G1242), G1222&amp;RIGHT(INDIRECT(ADDRESS(ROW(G1223)-1, 'From Order'!$A1223)), 1), G1222))"),"")</f>
        <v/>
      </c>
      <c r="H1223" s="2" t="str">
        <f>IFERROR(__xludf.DUMMYFUNCTION("IF('From Order'!$A1223=COLUMNS($A1223:H1242), LEFT(INDEX(FILTER(H$1:H1222, H$1:H1222&lt;&gt;""""),COUNTA(FILTER(H$1:H1222, H$1:H1222&lt;&gt;""""))), LEN(INDEX(FILTER(H$1:H1222, H$1:H1222&lt;&gt;""""),COUNTA(FILTER(H$1:H1222, H$1:H1222&lt;&gt;""""))))-1), IF('To Order'!$A1223=COL"&amp;"UMNS($A1223:H1242), H1222&amp;RIGHT(INDIRECT(ADDRESS(ROW(H1223)-1, 'From Order'!$A1223)), 1), H1222))"),"")</f>
        <v/>
      </c>
      <c r="I1223" s="2" t="str">
        <f>IFERROR(__xludf.DUMMYFUNCTION("IF('From Order'!$A1223=COLUMNS($A1223:I1242), LEFT(INDEX(FILTER(I$1:I1222, I$1:I1222&lt;&gt;""""),COUNTA(FILTER(I$1:I1222, I$1:I1222&lt;&gt;""""))), LEN(INDEX(FILTER(I$1:I1222, I$1:I1222&lt;&gt;""""),COUNTA(FILTER(I$1:I1222, I$1:I1222&lt;&gt;""""))))-1), IF('To Order'!$A1223=COL"&amp;"UMNS($A1223:I1242), I1222&amp;RIGHT(INDIRECT(ADDRESS(ROW(I1223)-1, 'From Order'!$A1223)), 1), I1222))"),"SFVTSVDTWRMTCRCDRZCJTBFMD")</f>
        <v>SFVTSVDTWRMTCRCDRZCJTBFMD</v>
      </c>
    </row>
    <row r="1224">
      <c r="A1224" s="2" t="str">
        <f>IFERROR(__xludf.DUMMYFUNCTION("IF('From Order'!$A1224=COLUMNS($A1224:A1243), LEFT(INDEX(FILTER(A$1:A1223, A$1:A1223&lt;&gt;""""),COUNTA(FILTER(A$1:A1223, A$1:A1223&lt;&gt;""""))), LEN(INDEX(FILTER(A$1:A1223, A$1:A1223&lt;&gt;""""),COUNTA(FILTER(A$1:A1223, A$1:A1223&lt;&gt;""""))))-1), IF('To Order'!$A1224=COL"&amp;"UMNS($A1224:A1243), A1223&amp;RIGHT(INDIRECT(ADDRESS(ROW(A1224)-1, 'From Order'!$A1224)), 1), A1223))"),"HZB")</f>
        <v>HZB</v>
      </c>
      <c r="B1224" s="2" t="str">
        <f>IFERROR(__xludf.DUMMYFUNCTION("IF('From Order'!$A1224=COLUMNS($A1224:B1243), LEFT(INDEX(FILTER(B$1:B1223, B$1:B1223&lt;&gt;""""),COUNTA(FILTER(B$1:B1223, B$1:B1223&lt;&gt;""""))), LEN(INDEX(FILTER(B$1:B1223, B$1:B1223&lt;&gt;""""),COUNTA(FILTER(B$1:B1223, B$1:B1223&lt;&gt;""""))))-1), IF('To Order'!$A1224=COL"&amp;"UMNS($A1224:B1243), B1223&amp;RIGHT(INDIRECT(ADDRESS(ROW(B1224)-1, 'From Order'!$A1224)), 1), B1223))"),"Z")</f>
        <v>Z</v>
      </c>
      <c r="C1224" s="2" t="str">
        <f>IFERROR(__xludf.DUMMYFUNCTION("IF('From Order'!$A1224=COLUMNS($A1224:C1243), LEFT(INDEX(FILTER(C$1:C1223, C$1:C1223&lt;&gt;""""),COUNTA(FILTER(C$1:C1223, C$1:C1223&lt;&gt;""""))), LEN(INDEX(FILTER(C$1:C1223, C$1:C1223&lt;&gt;""""),COUNTA(FILTER(C$1:C1223, C$1:C1223&lt;&gt;""""))))-1), IF('To Order'!$A1224=COL"&amp;"UMNS($A1224:C1243), C1223&amp;RIGHT(INDIRECT(ADDRESS(ROW(C1224)-1, 'From Order'!$A1224)), 1), C1223))"),"TRLRSGHWQVQJPPLDTMGB")</f>
        <v>TRLRSGHWQVQJPPLDTMGB</v>
      </c>
      <c r="D1224" s="2" t="str">
        <f>IFERROR(__xludf.DUMMYFUNCTION("IF('From Order'!$A1224=COLUMNS($A1224:D1243), LEFT(INDEX(FILTER(D$1:D1223, D$1:D1223&lt;&gt;""""),COUNTA(FILTER(D$1:D1223, D$1:D1223&lt;&gt;""""))), LEN(INDEX(FILTER(D$1:D1223, D$1:D1223&lt;&gt;""""),COUNTA(FILTER(D$1:D1223, D$1:D1223&lt;&gt;""""))))-1), IF('To Order'!$A1224=COL"&amp;"UMNS($A1224:D1243), D1223&amp;RIGHT(INDIRECT(ADDRESS(ROW(D1224)-1, 'From Order'!$A1224)), 1), D1223))"),"DPL")</f>
        <v>DPL</v>
      </c>
      <c r="E1224" s="2" t="str">
        <f>IFERROR(__xludf.DUMMYFUNCTION("IF('From Order'!$A1224=COLUMNS($A1224:E1243), LEFT(INDEX(FILTER(E$1:E1223, E$1:E1223&lt;&gt;""""),COUNTA(FILTER(E$1:E1223, E$1:E1223&lt;&gt;""""))), LEN(INDEX(FILTER(E$1:E1223, E$1:E1223&lt;&gt;""""),COUNTA(FILTER(E$1:E1223, E$1:E1223&lt;&gt;""""))))-1), IF('To Order'!$A1224=COL"&amp;"UMNS($A1224:E1243), E1223&amp;RIGHT(INDIRECT(ADDRESS(ROW(E1224)-1, 'From Order'!$A1224)), 1), E1223))"),"DJD")</f>
        <v>DJD</v>
      </c>
      <c r="F1224" s="2" t="str">
        <f>IFERROR(__xludf.DUMMYFUNCTION("IF('From Order'!$A1224=COLUMNS($A1224:F1243), LEFT(INDEX(FILTER(F$1:F1223, F$1:F1223&lt;&gt;""""),COUNTA(FILTER(F$1:F1223, F$1:F1223&lt;&gt;""""))), LEN(INDEX(FILTER(F$1:F1223, F$1:F1223&lt;&gt;""""),COUNTA(FILTER(F$1:F1223, F$1:F1223&lt;&gt;""""))))-1), IF('To Order'!$A1224=COL"&amp;"UMNS($A1224:F1243), F1223&amp;RIGHT(INDIRECT(ADDRESS(ROW(F1224)-1, 'From Order'!$A1224)), 1), F1223))"),"BS")</f>
        <v>BS</v>
      </c>
      <c r="G1224" s="2" t="str">
        <f>IFERROR(__xludf.DUMMYFUNCTION("IF('From Order'!$A1224=COLUMNS($A1224:G1243), LEFT(INDEX(FILTER(G$1:G1223, G$1:G1223&lt;&gt;""""),COUNTA(FILTER(G$1:G1223, G$1:G1223&lt;&gt;""""))), LEN(INDEX(FILTER(G$1:G1223, G$1:G1223&lt;&gt;""""),COUNTA(FILTER(G$1:G1223, G$1:G1223&lt;&gt;""""))))-1), IF('To Order'!$A1224=COL"&amp;"UMNS($A1224:G1243), G1223&amp;RIGHT(INDIRECT(ADDRESS(ROW(G1224)-1, 'From Order'!$A1224)), 1), G1223))"),"")</f>
        <v/>
      </c>
      <c r="H1224" s="2" t="str">
        <f>IFERROR(__xludf.DUMMYFUNCTION("IF('From Order'!$A1224=COLUMNS($A1224:H1243), LEFT(INDEX(FILTER(H$1:H1223, H$1:H1223&lt;&gt;""""),COUNTA(FILTER(H$1:H1223, H$1:H1223&lt;&gt;""""))), LEN(INDEX(FILTER(H$1:H1223, H$1:H1223&lt;&gt;""""),COUNTA(FILTER(H$1:H1223, H$1:H1223&lt;&gt;""""))))-1), IF('To Order'!$A1224=COL"&amp;"UMNS($A1224:H1243), H1223&amp;RIGHT(INDIRECT(ADDRESS(ROW(H1224)-1, 'From Order'!$A1224)), 1), H1223))"),"")</f>
        <v/>
      </c>
      <c r="I1224" s="2" t="str">
        <f>IFERROR(__xludf.DUMMYFUNCTION("IF('From Order'!$A1224=COLUMNS($A1224:I1243), LEFT(INDEX(FILTER(I$1:I1223, I$1:I1223&lt;&gt;""""),COUNTA(FILTER(I$1:I1223, I$1:I1223&lt;&gt;""""))), LEN(INDEX(FILTER(I$1:I1223, I$1:I1223&lt;&gt;""""),COUNTA(FILTER(I$1:I1223, I$1:I1223&lt;&gt;""""))))-1), IF('To Order'!$A1224=COL"&amp;"UMNS($A1224:I1243), I1223&amp;RIGHT(INDIRECT(ADDRESS(ROW(I1224)-1, 'From Order'!$A1224)), 1), I1223))"),"SFVTSVDTWRMTCRCDRZCJTBFM")</f>
        <v>SFVTSVDTWRMTCRCDRZCJTBFM</v>
      </c>
    </row>
    <row r="1225">
      <c r="A1225" s="2" t="str">
        <f>IFERROR(__xludf.DUMMYFUNCTION("IF('From Order'!$A1225=COLUMNS($A1225:A1244), LEFT(INDEX(FILTER(A$1:A1224, A$1:A1224&lt;&gt;""""),COUNTA(FILTER(A$1:A1224, A$1:A1224&lt;&gt;""""))), LEN(INDEX(FILTER(A$1:A1224, A$1:A1224&lt;&gt;""""),COUNTA(FILTER(A$1:A1224, A$1:A1224&lt;&gt;""""))))-1), IF('To Order'!$A1225=COL"&amp;"UMNS($A1225:A1244), A1224&amp;RIGHT(INDIRECT(ADDRESS(ROW(A1225)-1, 'From Order'!$A1225)), 1), A1224))"),"HZB")</f>
        <v>HZB</v>
      </c>
      <c r="B1225" s="2" t="str">
        <f>IFERROR(__xludf.DUMMYFUNCTION("IF('From Order'!$A1225=COLUMNS($A1225:B1244), LEFT(INDEX(FILTER(B$1:B1224, B$1:B1224&lt;&gt;""""),COUNTA(FILTER(B$1:B1224, B$1:B1224&lt;&gt;""""))), LEN(INDEX(FILTER(B$1:B1224, B$1:B1224&lt;&gt;""""),COUNTA(FILTER(B$1:B1224, B$1:B1224&lt;&gt;""""))))-1), IF('To Order'!$A1225=COL"&amp;"UMNS($A1225:B1244), B1224&amp;RIGHT(INDIRECT(ADDRESS(ROW(B1225)-1, 'From Order'!$A1225)), 1), B1224))"),"Z")</f>
        <v>Z</v>
      </c>
      <c r="C1225" s="2" t="str">
        <f>IFERROR(__xludf.DUMMYFUNCTION("IF('From Order'!$A1225=COLUMNS($A1225:C1244), LEFT(INDEX(FILTER(C$1:C1224, C$1:C1224&lt;&gt;""""),COUNTA(FILTER(C$1:C1224, C$1:C1224&lt;&gt;""""))), LEN(INDEX(FILTER(C$1:C1224, C$1:C1224&lt;&gt;""""),COUNTA(FILTER(C$1:C1224, C$1:C1224&lt;&gt;""""))))-1), IF('To Order'!$A1225=COL"&amp;"UMNS($A1225:C1244), C1224&amp;RIGHT(INDIRECT(ADDRESS(ROW(C1225)-1, 'From Order'!$A1225)), 1), C1224))"),"TRLRSGHWQVQJPPLDTMGB")</f>
        <v>TRLRSGHWQVQJPPLDTMGB</v>
      </c>
      <c r="D1225" s="2" t="str">
        <f>IFERROR(__xludf.DUMMYFUNCTION("IF('From Order'!$A1225=COLUMNS($A1225:D1244), LEFT(INDEX(FILTER(D$1:D1224, D$1:D1224&lt;&gt;""""),COUNTA(FILTER(D$1:D1224, D$1:D1224&lt;&gt;""""))), LEN(INDEX(FILTER(D$1:D1224, D$1:D1224&lt;&gt;""""),COUNTA(FILTER(D$1:D1224, D$1:D1224&lt;&gt;""""))))-1), IF('To Order'!$A1225=COL"&amp;"UMNS($A1225:D1244), D1224&amp;RIGHT(INDIRECT(ADDRESS(ROW(D1225)-1, 'From Order'!$A1225)), 1), D1224))"),"DPL")</f>
        <v>DPL</v>
      </c>
      <c r="E1225" s="2" t="str">
        <f>IFERROR(__xludf.DUMMYFUNCTION("IF('From Order'!$A1225=COLUMNS($A1225:E1244), LEFT(INDEX(FILTER(E$1:E1224, E$1:E1224&lt;&gt;""""),COUNTA(FILTER(E$1:E1224, E$1:E1224&lt;&gt;""""))), LEN(INDEX(FILTER(E$1:E1224, E$1:E1224&lt;&gt;""""),COUNTA(FILTER(E$1:E1224, E$1:E1224&lt;&gt;""""))))-1), IF('To Order'!$A1225=COL"&amp;"UMNS($A1225:E1244), E1224&amp;RIGHT(INDIRECT(ADDRESS(ROW(E1225)-1, 'From Order'!$A1225)), 1), E1224))"),"DJDM")</f>
        <v>DJDM</v>
      </c>
      <c r="F1225" s="2" t="str">
        <f>IFERROR(__xludf.DUMMYFUNCTION("IF('From Order'!$A1225=COLUMNS($A1225:F1244), LEFT(INDEX(FILTER(F$1:F1224, F$1:F1224&lt;&gt;""""),COUNTA(FILTER(F$1:F1224, F$1:F1224&lt;&gt;""""))), LEN(INDEX(FILTER(F$1:F1224, F$1:F1224&lt;&gt;""""),COUNTA(FILTER(F$1:F1224, F$1:F1224&lt;&gt;""""))))-1), IF('To Order'!$A1225=COL"&amp;"UMNS($A1225:F1244), F1224&amp;RIGHT(INDIRECT(ADDRESS(ROW(F1225)-1, 'From Order'!$A1225)), 1), F1224))"),"BS")</f>
        <v>BS</v>
      </c>
      <c r="G1225" s="2" t="str">
        <f>IFERROR(__xludf.DUMMYFUNCTION("IF('From Order'!$A1225=COLUMNS($A1225:G1244), LEFT(INDEX(FILTER(G$1:G1224, G$1:G1224&lt;&gt;""""),COUNTA(FILTER(G$1:G1224, G$1:G1224&lt;&gt;""""))), LEN(INDEX(FILTER(G$1:G1224, G$1:G1224&lt;&gt;""""),COUNTA(FILTER(G$1:G1224, G$1:G1224&lt;&gt;""""))))-1), IF('To Order'!$A1225=COL"&amp;"UMNS($A1225:G1244), G1224&amp;RIGHT(INDIRECT(ADDRESS(ROW(G1225)-1, 'From Order'!$A1225)), 1), G1224))"),"")</f>
        <v/>
      </c>
      <c r="H1225" s="2" t="str">
        <f>IFERROR(__xludf.DUMMYFUNCTION("IF('From Order'!$A1225=COLUMNS($A1225:H1244), LEFT(INDEX(FILTER(H$1:H1224, H$1:H1224&lt;&gt;""""),COUNTA(FILTER(H$1:H1224, H$1:H1224&lt;&gt;""""))), LEN(INDEX(FILTER(H$1:H1224, H$1:H1224&lt;&gt;""""),COUNTA(FILTER(H$1:H1224, H$1:H1224&lt;&gt;""""))))-1), IF('To Order'!$A1225=COL"&amp;"UMNS($A1225:H1244), H1224&amp;RIGHT(INDIRECT(ADDRESS(ROW(H1225)-1, 'From Order'!$A1225)), 1), H1224))"),"")</f>
        <v/>
      </c>
      <c r="I1225" s="2" t="str">
        <f>IFERROR(__xludf.DUMMYFUNCTION("IF('From Order'!$A1225=COLUMNS($A1225:I1244), LEFT(INDEX(FILTER(I$1:I1224, I$1:I1224&lt;&gt;""""),COUNTA(FILTER(I$1:I1224, I$1:I1224&lt;&gt;""""))), LEN(INDEX(FILTER(I$1:I1224, I$1:I1224&lt;&gt;""""),COUNTA(FILTER(I$1:I1224, I$1:I1224&lt;&gt;""""))))-1), IF('To Order'!$A1225=COL"&amp;"UMNS($A1225:I1244), I1224&amp;RIGHT(INDIRECT(ADDRESS(ROW(I1225)-1, 'From Order'!$A1225)), 1), I1224))"),"SFVTSVDTWRMTCRCDRZCJTBF")</f>
        <v>SFVTSVDTWRMTCRCDRZCJTBF</v>
      </c>
    </row>
    <row r="1226">
      <c r="A1226" s="2" t="str">
        <f>IFERROR(__xludf.DUMMYFUNCTION("IF('From Order'!$A1226=COLUMNS($A1226:A1245), LEFT(INDEX(FILTER(A$1:A1225, A$1:A1225&lt;&gt;""""),COUNTA(FILTER(A$1:A1225, A$1:A1225&lt;&gt;""""))), LEN(INDEX(FILTER(A$1:A1225, A$1:A1225&lt;&gt;""""),COUNTA(FILTER(A$1:A1225, A$1:A1225&lt;&gt;""""))))-1), IF('To Order'!$A1226=COL"&amp;"UMNS($A1226:A1245), A1225&amp;RIGHT(INDIRECT(ADDRESS(ROW(A1226)-1, 'From Order'!$A1226)), 1), A1225))"),"HZB")</f>
        <v>HZB</v>
      </c>
      <c r="B1226" s="2" t="str">
        <f>IFERROR(__xludf.DUMMYFUNCTION("IF('From Order'!$A1226=COLUMNS($A1226:B1245), LEFT(INDEX(FILTER(B$1:B1225, B$1:B1225&lt;&gt;""""),COUNTA(FILTER(B$1:B1225, B$1:B1225&lt;&gt;""""))), LEN(INDEX(FILTER(B$1:B1225, B$1:B1225&lt;&gt;""""),COUNTA(FILTER(B$1:B1225, B$1:B1225&lt;&gt;""""))))-1), IF('To Order'!$A1226=COL"&amp;"UMNS($A1226:B1245), B1225&amp;RIGHT(INDIRECT(ADDRESS(ROW(B1226)-1, 'From Order'!$A1226)), 1), B1225))"),"Z")</f>
        <v>Z</v>
      </c>
      <c r="C1226" s="2" t="str">
        <f>IFERROR(__xludf.DUMMYFUNCTION("IF('From Order'!$A1226=COLUMNS($A1226:C1245), LEFT(INDEX(FILTER(C$1:C1225, C$1:C1225&lt;&gt;""""),COUNTA(FILTER(C$1:C1225, C$1:C1225&lt;&gt;""""))), LEN(INDEX(FILTER(C$1:C1225, C$1:C1225&lt;&gt;""""),COUNTA(FILTER(C$1:C1225, C$1:C1225&lt;&gt;""""))))-1), IF('To Order'!$A1226=COL"&amp;"UMNS($A1226:C1245), C1225&amp;RIGHT(INDIRECT(ADDRESS(ROW(C1226)-1, 'From Order'!$A1226)), 1), C1225))"),"TRLRSGHWQVQJPPLDTMGB")</f>
        <v>TRLRSGHWQVQJPPLDTMGB</v>
      </c>
      <c r="D1226" s="2" t="str">
        <f>IFERROR(__xludf.DUMMYFUNCTION("IF('From Order'!$A1226=COLUMNS($A1226:D1245), LEFT(INDEX(FILTER(D$1:D1225, D$1:D1225&lt;&gt;""""),COUNTA(FILTER(D$1:D1225, D$1:D1225&lt;&gt;""""))), LEN(INDEX(FILTER(D$1:D1225, D$1:D1225&lt;&gt;""""),COUNTA(FILTER(D$1:D1225, D$1:D1225&lt;&gt;""""))))-1), IF('To Order'!$A1226=COL"&amp;"UMNS($A1226:D1245), D1225&amp;RIGHT(INDIRECT(ADDRESS(ROW(D1226)-1, 'From Order'!$A1226)), 1), D1225))"),"DPL")</f>
        <v>DPL</v>
      </c>
      <c r="E1226" s="2" t="str">
        <f>IFERROR(__xludf.DUMMYFUNCTION("IF('From Order'!$A1226=COLUMNS($A1226:E1245), LEFT(INDEX(FILTER(E$1:E1225, E$1:E1225&lt;&gt;""""),COUNTA(FILTER(E$1:E1225, E$1:E1225&lt;&gt;""""))), LEN(INDEX(FILTER(E$1:E1225, E$1:E1225&lt;&gt;""""),COUNTA(FILTER(E$1:E1225, E$1:E1225&lt;&gt;""""))))-1), IF('To Order'!$A1226=COL"&amp;"UMNS($A1226:E1245), E1225&amp;RIGHT(INDIRECT(ADDRESS(ROW(E1226)-1, 'From Order'!$A1226)), 1), E1225))"),"DJDMF")</f>
        <v>DJDMF</v>
      </c>
      <c r="F1226" s="2" t="str">
        <f>IFERROR(__xludf.DUMMYFUNCTION("IF('From Order'!$A1226=COLUMNS($A1226:F1245), LEFT(INDEX(FILTER(F$1:F1225, F$1:F1225&lt;&gt;""""),COUNTA(FILTER(F$1:F1225, F$1:F1225&lt;&gt;""""))), LEN(INDEX(FILTER(F$1:F1225, F$1:F1225&lt;&gt;""""),COUNTA(FILTER(F$1:F1225, F$1:F1225&lt;&gt;""""))))-1), IF('To Order'!$A1226=COL"&amp;"UMNS($A1226:F1245), F1225&amp;RIGHT(INDIRECT(ADDRESS(ROW(F1226)-1, 'From Order'!$A1226)), 1), F1225))"),"BS")</f>
        <v>BS</v>
      </c>
      <c r="G1226" s="2" t="str">
        <f>IFERROR(__xludf.DUMMYFUNCTION("IF('From Order'!$A1226=COLUMNS($A1226:G1245), LEFT(INDEX(FILTER(G$1:G1225, G$1:G1225&lt;&gt;""""),COUNTA(FILTER(G$1:G1225, G$1:G1225&lt;&gt;""""))), LEN(INDEX(FILTER(G$1:G1225, G$1:G1225&lt;&gt;""""),COUNTA(FILTER(G$1:G1225, G$1:G1225&lt;&gt;""""))))-1), IF('To Order'!$A1226=COL"&amp;"UMNS($A1226:G1245), G1225&amp;RIGHT(INDIRECT(ADDRESS(ROW(G1226)-1, 'From Order'!$A1226)), 1), G1225))"),"")</f>
        <v/>
      </c>
      <c r="H1226" s="2" t="str">
        <f>IFERROR(__xludf.DUMMYFUNCTION("IF('From Order'!$A1226=COLUMNS($A1226:H1245), LEFT(INDEX(FILTER(H$1:H1225, H$1:H1225&lt;&gt;""""),COUNTA(FILTER(H$1:H1225, H$1:H1225&lt;&gt;""""))), LEN(INDEX(FILTER(H$1:H1225, H$1:H1225&lt;&gt;""""),COUNTA(FILTER(H$1:H1225, H$1:H1225&lt;&gt;""""))))-1), IF('To Order'!$A1226=COL"&amp;"UMNS($A1226:H1245), H1225&amp;RIGHT(INDIRECT(ADDRESS(ROW(H1226)-1, 'From Order'!$A1226)), 1), H1225))"),"")</f>
        <v/>
      </c>
      <c r="I1226" s="2" t="str">
        <f>IFERROR(__xludf.DUMMYFUNCTION("IF('From Order'!$A1226=COLUMNS($A1226:I1245), LEFT(INDEX(FILTER(I$1:I1225, I$1:I1225&lt;&gt;""""),COUNTA(FILTER(I$1:I1225, I$1:I1225&lt;&gt;""""))), LEN(INDEX(FILTER(I$1:I1225, I$1:I1225&lt;&gt;""""),COUNTA(FILTER(I$1:I1225, I$1:I1225&lt;&gt;""""))))-1), IF('To Order'!$A1226=COL"&amp;"UMNS($A1226:I1245), I1225&amp;RIGHT(INDIRECT(ADDRESS(ROW(I1226)-1, 'From Order'!$A1226)), 1), I1225))"),"SFVTSVDTWRMTCRCDRZCJTB")</f>
        <v>SFVTSVDTWRMTCRCDRZCJTB</v>
      </c>
    </row>
    <row r="1227">
      <c r="A1227" s="2" t="str">
        <f>IFERROR(__xludf.DUMMYFUNCTION("IF('From Order'!$A1227=COLUMNS($A1227:A1246), LEFT(INDEX(FILTER(A$1:A1226, A$1:A1226&lt;&gt;""""),COUNTA(FILTER(A$1:A1226, A$1:A1226&lt;&gt;""""))), LEN(INDEX(FILTER(A$1:A1226, A$1:A1226&lt;&gt;""""),COUNTA(FILTER(A$1:A1226, A$1:A1226&lt;&gt;""""))))-1), IF('To Order'!$A1227=COL"&amp;"UMNS($A1227:A1246), A1226&amp;RIGHT(INDIRECT(ADDRESS(ROW(A1227)-1, 'From Order'!$A1227)), 1), A1226))"),"HZB")</f>
        <v>HZB</v>
      </c>
      <c r="B1227" s="2" t="str">
        <f>IFERROR(__xludf.DUMMYFUNCTION("IF('From Order'!$A1227=COLUMNS($A1227:B1246), LEFT(INDEX(FILTER(B$1:B1226, B$1:B1226&lt;&gt;""""),COUNTA(FILTER(B$1:B1226, B$1:B1226&lt;&gt;""""))), LEN(INDEX(FILTER(B$1:B1226, B$1:B1226&lt;&gt;""""),COUNTA(FILTER(B$1:B1226, B$1:B1226&lt;&gt;""""))))-1), IF('To Order'!$A1227=COL"&amp;"UMNS($A1227:B1246), B1226&amp;RIGHT(INDIRECT(ADDRESS(ROW(B1227)-1, 'From Order'!$A1227)), 1), B1226))"),"Z")</f>
        <v>Z</v>
      </c>
      <c r="C1227" s="2" t="str">
        <f>IFERROR(__xludf.DUMMYFUNCTION("IF('From Order'!$A1227=COLUMNS($A1227:C1246), LEFT(INDEX(FILTER(C$1:C1226, C$1:C1226&lt;&gt;""""),COUNTA(FILTER(C$1:C1226, C$1:C1226&lt;&gt;""""))), LEN(INDEX(FILTER(C$1:C1226, C$1:C1226&lt;&gt;""""),COUNTA(FILTER(C$1:C1226, C$1:C1226&lt;&gt;""""))))-1), IF('To Order'!$A1227=COL"&amp;"UMNS($A1227:C1246), C1226&amp;RIGHT(INDIRECT(ADDRESS(ROW(C1227)-1, 'From Order'!$A1227)), 1), C1226))"),"TRLRSGHWQVQJPPLDTMGB")</f>
        <v>TRLRSGHWQVQJPPLDTMGB</v>
      </c>
      <c r="D1227" s="2" t="str">
        <f>IFERROR(__xludf.DUMMYFUNCTION("IF('From Order'!$A1227=COLUMNS($A1227:D1246), LEFT(INDEX(FILTER(D$1:D1226, D$1:D1226&lt;&gt;""""),COUNTA(FILTER(D$1:D1226, D$1:D1226&lt;&gt;""""))), LEN(INDEX(FILTER(D$1:D1226, D$1:D1226&lt;&gt;""""),COUNTA(FILTER(D$1:D1226, D$1:D1226&lt;&gt;""""))))-1), IF('To Order'!$A1227=COL"&amp;"UMNS($A1227:D1246), D1226&amp;RIGHT(INDIRECT(ADDRESS(ROW(D1227)-1, 'From Order'!$A1227)), 1), D1226))"),"DPL")</f>
        <v>DPL</v>
      </c>
      <c r="E1227" s="2" t="str">
        <f>IFERROR(__xludf.DUMMYFUNCTION("IF('From Order'!$A1227=COLUMNS($A1227:E1246), LEFT(INDEX(FILTER(E$1:E1226, E$1:E1226&lt;&gt;""""),COUNTA(FILTER(E$1:E1226, E$1:E1226&lt;&gt;""""))), LEN(INDEX(FILTER(E$1:E1226, E$1:E1226&lt;&gt;""""),COUNTA(FILTER(E$1:E1226, E$1:E1226&lt;&gt;""""))))-1), IF('To Order'!$A1227=COL"&amp;"UMNS($A1227:E1246), E1226&amp;RIGHT(INDIRECT(ADDRESS(ROW(E1227)-1, 'From Order'!$A1227)), 1), E1226))"),"DJDMFB")</f>
        <v>DJDMFB</v>
      </c>
      <c r="F1227" s="2" t="str">
        <f>IFERROR(__xludf.DUMMYFUNCTION("IF('From Order'!$A1227=COLUMNS($A1227:F1246), LEFT(INDEX(FILTER(F$1:F1226, F$1:F1226&lt;&gt;""""),COUNTA(FILTER(F$1:F1226, F$1:F1226&lt;&gt;""""))), LEN(INDEX(FILTER(F$1:F1226, F$1:F1226&lt;&gt;""""),COUNTA(FILTER(F$1:F1226, F$1:F1226&lt;&gt;""""))))-1), IF('To Order'!$A1227=COL"&amp;"UMNS($A1227:F1246), F1226&amp;RIGHT(INDIRECT(ADDRESS(ROW(F1227)-1, 'From Order'!$A1227)), 1), F1226))"),"BS")</f>
        <v>BS</v>
      </c>
      <c r="G1227" s="2" t="str">
        <f>IFERROR(__xludf.DUMMYFUNCTION("IF('From Order'!$A1227=COLUMNS($A1227:G1246), LEFT(INDEX(FILTER(G$1:G1226, G$1:G1226&lt;&gt;""""),COUNTA(FILTER(G$1:G1226, G$1:G1226&lt;&gt;""""))), LEN(INDEX(FILTER(G$1:G1226, G$1:G1226&lt;&gt;""""),COUNTA(FILTER(G$1:G1226, G$1:G1226&lt;&gt;""""))))-1), IF('To Order'!$A1227=COL"&amp;"UMNS($A1227:G1246), G1226&amp;RIGHT(INDIRECT(ADDRESS(ROW(G1227)-1, 'From Order'!$A1227)), 1), G1226))"),"")</f>
        <v/>
      </c>
      <c r="H1227" s="2" t="str">
        <f>IFERROR(__xludf.DUMMYFUNCTION("IF('From Order'!$A1227=COLUMNS($A1227:H1246), LEFT(INDEX(FILTER(H$1:H1226, H$1:H1226&lt;&gt;""""),COUNTA(FILTER(H$1:H1226, H$1:H1226&lt;&gt;""""))), LEN(INDEX(FILTER(H$1:H1226, H$1:H1226&lt;&gt;""""),COUNTA(FILTER(H$1:H1226, H$1:H1226&lt;&gt;""""))))-1), IF('To Order'!$A1227=COL"&amp;"UMNS($A1227:H1246), H1226&amp;RIGHT(INDIRECT(ADDRESS(ROW(H1227)-1, 'From Order'!$A1227)), 1), H1226))"),"")</f>
        <v/>
      </c>
      <c r="I1227" s="2" t="str">
        <f>IFERROR(__xludf.DUMMYFUNCTION("IF('From Order'!$A1227=COLUMNS($A1227:I1246), LEFT(INDEX(FILTER(I$1:I1226, I$1:I1226&lt;&gt;""""),COUNTA(FILTER(I$1:I1226, I$1:I1226&lt;&gt;""""))), LEN(INDEX(FILTER(I$1:I1226, I$1:I1226&lt;&gt;""""),COUNTA(FILTER(I$1:I1226, I$1:I1226&lt;&gt;""""))))-1), IF('To Order'!$A1227=COL"&amp;"UMNS($A1227:I1246), I1226&amp;RIGHT(INDIRECT(ADDRESS(ROW(I1227)-1, 'From Order'!$A1227)), 1), I1226))"),"SFVTSVDTWRMTCRCDRZCJT")</f>
        <v>SFVTSVDTWRMTCRCDRZCJT</v>
      </c>
    </row>
    <row r="1228">
      <c r="A1228" s="2" t="str">
        <f>IFERROR(__xludf.DUMMYFUNCTION("IF('From Order'!$A1228=COLUMNS($A1228:A1247), LEFT(INDEX(FILTER(A$1:A1227, A$1:A1227&lt;&gt;""""),COUNTA(FILTER(A$1:A1227, A$1:A1227&lt;&gt;""""))), LEN(INDEX(FILTER(A$1:A1227, A$1:A1227&lt;&gt;""""),COUNTA(FILTER(A$1:A1227, A$1:A1227&lt;&gt;""""))))-1), IF('To Order'!$A1228=COL"&amp;"UMNS($A1228:A1247), A1227&amp;RIGHT(INDIRECT(ADDRESS(ROW(A1228)-1, 'From Order'!$A1228)), 1), A1227))"),"HZB")</f>
        <v>HZB</v>
      </c>
      <c r="B1228" s="2" t="str">
        <f>IFERROR(__xludf.DUMMYFUNCTION("IF('From Order'!$A1228=COLUMNS($A1228:B1247), LEFT(INDEX(FILTER(B$1:B1227, B$1:B1227&lt;&gt;""""),COUNTA(FILTER(B$1:B1227, B$1:B1227&lt;&gt;""""))), LEN(INDEX(FILTER(B$1:B1227, B$1:B1227&lt;&gt;""""),COUNTA(FILTER(B$1:B1227, B$1:B1227&lt;&gt;""""))))-1), IF('To Order'!$A1228=COL"&amp;"UMNS($A1228:B1247), B1227&amp;RIGHT(INDIRECT(ADDRESS(ROW(B1228)-1, 'From Order'!$A1228)), 1), B1227))"),"Z")</f>
        <v>Z</v>
      </c>
      <c r="C1228" s="2" t="str">
        <f>IFERROR(__xludf.DUMMYFUNCTION("IF('From Order'!$A1228=COLUMNS($A1228:C1247), LEFT(INDEX(FILTER(C$1:C1227, C$1:C1227&lt;&gt;""""),COUNTA(FILTER(C$1:C1227, C$1:C1227&lt;&gt;""""))), LEN(INDEX(FILTER(C$1:C1227, C$1:C1227&lt;&gt;""""),COUNTA(FILTER(C$1:C1227, C$1:C1227&lt;&gt;""""))))-1), IF('To Order'!$A1228=COL"&amp;"UMNS($A1228:C1247), C1227&amp;RIGHT(INDIRECT(ADDRESS(ROW(C1228)-1, 'From Order'!$A1228)), 1), C1227))"),"TRLRSGHWQVQJPPLDTMGB")</f>
        <v>TRLRSGHWQVQJPPLDTMGB</v>
      </c>
      <c r="D1228" s="2" t="str">
        <f>IFERROR(__xludf.DUMMYFUNCTION("IF('From Order'!$A1228=COLUMNS($A1228:D1247), LEFT(INDEX(FILTER(D$1:D1227, D$1:D1227&lt;&gt;""""),COUNTA(FILTER(D$1:D1227, D$1:D1227&lt;&gt;""""))), LEN(INDEX(FILTER(D$1:D1227, D$1:D1227&lt;&gt;""""),COUNTA(FILTER(D$1:D1227, D$1:D1227&lt;&gt;""""))))-1), IF('To Order'!$A1228=COL"&amp;"UMNS($A1228:D1247), D1227&amp;RIGHT(INDIRECT(ADDRESS(ROW(D1228)-1, 'From Order'!$A1228)), 1), D1227))"),"DPL")</f>
        <v>DPL</v>
      </c>
      <c r="E1228" s="2" t="str">
        <f>IFERROR(__xludf.DUMMYFUNCTION("IF('From Order'!$A1228=COLUMNS($A1228:E1247), LEFT(INDEX(FILTER(E$1:E1227, E$1:E1227&lt;&gt;""""),COUNTA(FILTER(E$1:E1227, E$1:E1227&lt;&gt;""""))), LEN(INDEX(FILTER(E$1:E1227, E$1:E1227&lt;&gt;""""),COUNTA(FILTER(E$1:E1227, E$1:E1227&lt;&gt;""""))))-1), IF('To Order'!$A1228=COL"&amp;"UMNS($A1228:E1247), E1227&amp;RIGHT(INDIRECT(ADDRESS(ROW(E1228)-1, 'From Order'!$A1228)), 1), E1227))"),"DJDMFBT")</f>
        <v>DJDMFBT</v>
      </c>
      <c r="F1228" s="2" t="str">
        <f>IFERROR(__xludf.DUMMYFUNCTION("IF('From Order'!$A1228=COLUMNS($A1228:F1247), LEFT(INDEX(FILTER(F$1:F1227, F$1:F1227&lt;&gt;""""),COUNTA(FILTER(F$1:F1227, F$1:F1227&lt;&gt;""""))), LEN(INDEX(FILTER(F$1:F1227, F$1:F1227&lt;&gt;""""),COUNTA(FILTER(F$1:F1227, F$1:F1227&lt;&gt;""""))))-1), IF('To Order'!$A1228=COL"&amp;"UMNS($A1228:F1247), F1227&amp;RIGHT(INDIRECT(ADDRESS(ROW(F1228)-1, 'From Order'!$A1228)), 1), F1227))"),"BS")</f>
        <v>BS</v>
      </c>
      <c r="G1228" s="2" t="str">
        <f>IFERROR(__xludf.DUMMYFUNCTION("IF('From Order'!$A1228=COLUMNS($A1228:G1247), LEFT(INDEX(FILTER(G$1:G1227, G$1:G1227&lt;&gt;""""),COUNTA(FILTER(G$1:G1227, G$1:G1227&lt;&gt;""""))), LEN(INDEX(FILTER(G$1:G1227, G$1:G1227&lt;&gt;""""),COUNTA(FILTER(G$1:G1227, G$1:G1227&lt;&gt;""""))))-1), IF('To Order'!$A1228=COL"&amp;"UMNS($A1228:G1247), G1227&amp;RIGHT(INDIRECT(ADDRESS(ROW(G1228)-1, 'From Order'!$A1228)), 1), G1227))"),"")</f>
        <v/>
      </c>
      <c r="H1228" s="2" t="str">
        <f>IFERROR(__xludf.DUMMYFUNCTION("IF('From Order'!$A1228=COLUMNS($A1228:H1247), LEFT(INDEX(FILTER(H$1:H1227, H$1:H1227&lt;&gt;""""),COUNTA(FILTER(H$1:H1227, H$1:H1227&lt;&gt;""""))), LEN(INDEX(FILTER(H$1:H1227, H$1:H1227&lt;&gt;""""),COUNTA(FILTER(H$1:H1227, H$1:H1227&lt;&gt;""""))))-1), IF('To Order'!$A1228=COL"&amp;"UMNS($A1228:H1247), H1227&amp;RIGHT(INDIRECT(ADDRESS(ROW(H1228)-1, 'From Order'!$A1228)), 1), H1227))"),"")</f>
        <v/>
      </c>
      <c r="I1228" s="2" t="str">
        <f>IFERROR(__xludf.DUMMYFUNCTION("IF('From Order'!$A1228=COLUMNS($A1228:I1247), LEFT(INDEX(FILTER(I$1:I1227, I$1:I1227&lt;&gt;""""),COUNTA(FILTER(I$1:I1227, I$1:I1227&lt;&gt;""""))), LEN(INDEX(FILTER(I$1:I1227, I$1:I1227&lt;&gt;""""),COUNTA(FILTER(I$1:I1227, I$1:I1227&lt;&gt;""""))))-1), IF('To Order'!$A1228=COL"&amp;"UMNS($A1228:I1247), I1227&amp;RIGHT(INDIRECT(ADDRESS(ROW(I1228)-1, 'From Order'!$A1228)), 1), I1227))"),"SFVTSVDTWRMTCRCDRZCJ")</f>
        <v>SFVTSVDTWRMTCRCDRZCJ</v>
      </c>
    </row>
    <row r="1229">
      <c r="A1229" s="2" t="str">
        <f>IFERROR(__xludf.DUMMYFUNCTION("IF('From Order'!$A1229=COLUMNS($A1229:A1248), LEFT(INDEX(FILTER(A$1:A1228, A$1:A1228&lt;&gt;""""),COUNTA(FILTER(A$1:A1228, A$1:A1228&lt;&gt;""""))), LEN(INDEX(FILTER(A$1:A1228, A$1:A1228&lt;&gt;""""),COUNTA(FILTER(A$1:A1228, A$1:A1228&lt;&gt;""""))))-1), IF('To Order'!$A1229=COL"&amp;"UMNS($A1229:A1248), A1228&amp;RIGHT(INDIRECT(ADDRESS(ROW(A1229)-1, 'From Order'!$A1229)), 1), A1228))"),"HZB")</f>
        <v>HZB</v>
      </c>
      <c r="B1229" s="2" t="str">
        <f>IFERROR(__xludf.DUMMYFUNCTION("IF('From Order'!$A1229=COLUMNS($A1229:B1248), LEFT(INDEX(FILTER(B$1:B1228, B$1:B1228&lt;&gt;""""),COUNTA(FILTER(B$1:B1228, B$1:B1228&lt;&gt;""""))), LEN(INDEX(FILTER(B$1:B1228, B$1:B1228&lt;&gt;""""),COUNTA(FILTER(B$1:B1228, B$1:B1228&lt;&gt;""""))))-1), IF('To Order'!$A1229=COL"&amp;"UMNS($A1229:B1248), B1228&amp;RIGHT(INDIRECT(ADDRESS(ROW(B1229)-1, 'From Order'!$A1229)), 1), B1228))"),"Z")</f>
        <v>Z</v>
      </c>
      <c r="C1229" s="2" t="str">
        <f>IFERROR(__xludf.DUMMYFUNCTION("IF('From Order'!$A1229=COLUMNS($A1229:C1248), LEFT(INDEX(FILTER(C$1:C1228, C$1:C1228&lt;&gt;""""),COUNTA(FILTER(C$1:C1228, C$1:C1228&lt;&gt;""""))), LEN(INDEX(FILTER(C$1:C1228, C$1:C1228&lt;&gt;""""),COUNTA(FILTER(C$1:C1228, C$1:C1228&lt;&gt;""""))))-1), IF('To Order'!$A1229=COL"&amp;"UMNS($A1229:C1248), C1228&amp;RIGHT(INDIRECT(ADDRESS(ROW(C1229)-1, 'From Order'!$A1229)), 1), C1228))"),"TRLRSGHWQVQJPPLDTMGB")</f>
        <v>TRLRSGHWQVQJPPLDTMGB</v>
      </c>
      <c r="D1229" s="2" t="str">
        <f>IFERROR(__xludf.DUMMYFUNCTION("IF('From Order'!$A1229=COLUMNS($A1229:D1248), LEFT(INDEX(FILTER(D$1:D1228, D$1:D1228&lt;&gt;""""),COUNTA(FILTER(D$1:D1228, D$1:D1228&lt;&gt;""""))), LEN(INDEX(FILTER(D$1:D1228, D$1:D1228&lt;&gt;""""),COUNTA(FILTER(D$1:D1228, D$1:D1228&lt;&gt;""""))))-1), IF('To Order'!$A1229=COL"&amp;"UMNS($A1229:D1248), D1228&amp;RIGHT(INDIRECT(ADDRESS(ROW(D1229)-1, 'From Order'!$A1229)), 1), D1228))"),"DPL")</f>
        <v>DPL</v>
      </c>
      <c r="E1229" s="2" t="str">
        <f>IFERROR(__xludf.DUMMYFUNCTION("IF('From Order'!$A1229=COLUMNS($A1229:E1248), LEFT(INDEX(FILTER(E$1:E1228, E$1:E1228&lt;&gt;""""),COUNTA(FILTER(E$1:E1228, E$1:E1228&lt;&gt;""""))), LEN(INDEX(FILTER(E$1:E1228, E$1:E1228&lt;&gt;""""),COUNTA(FILTER(E$1:E1228, E$1:E1228&lt;&gt;""""))))-1), IF('To Order'!$A1229=COL"&amp;"UMNS($A1229:E1248), E1228&amp;RIGHT(INDIRECT(ADDRESS(ROW(E1229)-1, 'From Order'!$A1229)), 1), E1228))"),"DJDMFBTJ")</f>
        <v>DJDMFBTJ</v>
      </c>
      <c r="F1229" s="2" t="str">
        <f>IFERROR(__xludf.DUMMYFUNCTION("IF('From Order'!$A1229=COLUMNS($A1229:F1248), LEFT(INDEX(FILTER(F$1:F1228, F$1:F1228&lt;&gt;""""),COUNTA(FILTER(F$1:F1228, F$1:F1228&lt;&gt;""""))), LEN(INDEX(FILTER(F$1:F1228, F$1:F1228&lt;&gt;""""),COUNTA(FILTER(F$1:F1228, F$1:F1228&lt;&gt;""""))))-1), IF('To Order'!$A1229=COL"&amp;"UMNS($A1229:F1248), F1228&amp;RIGHT(INDIRECT(ADDRESS(ROW(F1229)-1, 'From Order'!$A1229)), 1), F1228))"),"BS")</f>
        <v>BS</v>
      </c>
      <c r="G1229" s="2" t="str">
        <f>IFERROR(__xludf.DUMMYFUNCTION("IF('From Order'!$A1229=COLUMNS($A1229:G1248), LEFT(INDEX(FILTER(G$1:G1228, G$1:G1228&lt;&gt;""""),COUNTA(FILTER(G$1:G1228, G$1:G1228&lt;&gt;""""))), LEN(INDEX(FILTER(G$1:G1228, G$1:G1228&lt;&gt;""""),COUNTA(FILTER(G$1:G1228, G$1:G1228&lt;&gt;""""))))-1), IF('To Order'!$A1229=COL"&amp;"UMNS($A1229:G1248), G1228&amp;RIGHT(INDIRECT(ADDRESS(ROW(G1229)-1, 'From Order'!$A1229)), 1), G1228))"),"")</f>
        <v/>
      </c>
      <c r="H1229" s="2" t="str">
        <f>IFERROR(__xludf.DUMMYFUNCTION("IF('From Order'!$A1229=COLUMNS($A1229:H1248), LEFT(INDEX(FILTER(H$1:H1228, H$1:H1228&lt;&gt;""""),COUNTA(FILTER(H$1:H1228, H$1:H1228&lt;&gt;""""))), LEN(INDEX(FILTER(H$1:H1228, H$1:H1228&lt;&gt;""""),COUNTA(FILTER(H$1:H1228, H$1:H1228&lt;&gt;""""))))-1), IF('To Order'!$A1229=COL"&amp;"UMNS($A1229:H1248), H1228&amp;RIGHT(INDIRECT(ADDRESS(ROW(H1229)-1, 'From Order'!$A1229)), 1), H1228))"),"")</f>
        <v/>
      </c>
      <c r="I1229" s="2" t="str">
        <f>IFERROR(__xludf.DUMMYFUNCTION("IF('From Order'!$A1229=COLUMNS($A1229:I1248), LEFT(INDEX(FILTER(I$1:I1228, I$1:I1228&lt;&gt;""""),COUNTA(FILTER(I$1:I1228, I$1:I1228&lt;&gt;""""))), LEN(INDEX(FILTER(I$1:I1228, I$1:I1228&lt;&gt;""""),COUNTA(FILTER(I$1:I1228, I$1:I1228&lt;&gt;""""))))-1), IF('To Order'!$A1229=COL"&amp;"UMNS($A1229:I1248), I1228&amp;RIGHT(INDIRECT(ADDRESS(ROW(I1229)-1, 'From Order'!$A1229)), 1), I1228))"),"SFVTSVDTWRMTCRCDRZC")</f>
        <v>SFVTSVDTWRMTCRCDRZC</v>
      </c>
    </row>
    <row r="1230">
      <c r="A1230" s="2" t="str">
        <f>IFERROR(__xludf.DUMMYFUNCTION("IF('From Order'!$A1230=COLUMNS($A1230:A1249), LEFT(INDEX(FILTER(A$1:A1229, A$1:A1229&lt;&gt;""""),COUNTA(FILTER(A$1:A1229, A$1:A1229&lt;&gt;""""))), LEN(INDEX(FILTER(A$1:A1229, A$1:A1229&lt;&gt;""""),COUNTA(FILTER(A$1:A1229, A$1:A1229&lt;&gt;""""))))-1), IF('To Order'!$A1230=COL"&amp;"UMNS($A1230:A1249), A1229&amp;RIGHT(INDIRECT(ADDRESS(ROW(A1230)-1, 'From Order'!$A1230)), 1), A1229))"),"HZB")</f>
        <v>HZB</v>
      </c>
      <c r="B1230" s="2" t="str">
        <f>IFERROR(__xludf.DUMMYFUNCTION("IF('From Order'!$A1230=COLUMNS($A1230:B1249), LEFT(INDEX(FILTER(B$1:B1229, B$1:B1229&lt;&gt;""""),COUNTA(FILTER(B$1:B1229, B$1:B1229&lt;&gt;""""))), LEN(INDEX(FILTER(B$1:B1229, B$1:B1229&lt;&gt;""""),COUNTA(FILTER(B$1:B1229, B$1:B1229&lt;&gt;""""))))-1), IF('To Order'!$A1230=COL"&amp;"UMNS($A1230:B1249), B1229&amp;RIGHT(INDIRECT(ADDRESS(ROW(B1230)-1, 'From Order'!$A1230)), 1), B1229))"),"Z")</f>
        <v>Z</v>
      </c>
      <c r="C1230" s="2" t="str">
        <f>IFERROR(__xludf.DUMMYFUNCTION("IF('From Order'!$A1230=COLUMNS($A1230:C1249), LEFT(INDEX(FILTER(C$1:C1229, C$1:C1229&lt;&gt;""""),COUNTA(FILTER(C$1:C1229, C$1:C1229&lt;&gt;""""))), LEN(INDEX(FILTER(C$1:C1229, C$1:C1229&lt;&gt;""""),COUNTA(FILTER(C$1:C1229, C$1:C1229&lt;&gt;""""))))-1), IF('To Order'!$A1230=COL"&amp;"UMNS($A1230:C1249), C1229&amp;RIGHT(INDIRECT(ADDRESS(ROW(C1230)-1, 'From Order'!$A1230)), 1), C1229))"),"TRLRSGHWQVQJPPLDTMGB")</f>
        <v>TRLRSGHWQVQJPPLDTMGB</v>
      </c>
      <c r="D1230" s="2" t="str">
        <f>IFERROR(__xludf.DUMMYFUNCTION("IF('From Order'!$A1230=COLUMNS($A1230:D1249), LEFT(INDEX(FILTER(D$1:D1229, D$1:D1229&lt;&gt;""""),COUNTA(FILTER(D$1:D1229, D$1:D1229&lt;&gt;""""))), LEN(INDEX(FILTER(D$1:D1229, D$1:D1229&lt;&gt;""""),COUNTA(FILTER(D$1:D1229, D$1:D1229&lt;&gt;""""))))-1), IF('To Order'!$A1230=COL"&amp;"UMNS($A1230:D1249), D1229&amp;RIGHT(INDIRECT(ADDRESS(ROW(D1230)-1, 'From Order'!$A1230)), 1), D1229))"),"DPL")</f>
        <v>DPL</v>
      </c>
      <c r="E1230" s="2" t="str">
        <f>IFERROR(__xludf.DUMMYFUNCTION("IF('From Order'!$A1230=COLUMNS($A1230:E1249), LEFT(INDEX(FILTER(E$1:E1229, E$1:E1229&lt;&gt;""""),COUNTA(FILTER(E$1:E1229, E$1:E1229&lt;&gt;""""))), LEN(INDEX(FILTER(E$1:E1229, E$1:E1229&lt;&gt;""""),COUNTA(FILTER(E$1:E1229, E$1:E1229&lt;&gt;""""))))-1), IF('To Order'!$A1230=COL"&amp;"UMNS($A1230:E1249), E1229&amp;RIGHT(INDIRECT(ADDRESS(ROW(E1230)-1, 'From Order'!$A1230)), 1), E1229))"),"DJDMFBTJC")</f>
        <v>DJDMFBTJC</v>
      </c>
      <c r="F1230" s="2" t="str">
        <f>IFERROR(__xludf.DUMMYFUNCTION("IF('From Order'!$A1230=COLUMNS($A1230:F1249), LEFT(INDEX(FILTER(F$1:F1229, F$1:F1229&lt;&gt;""""),COUNTA(FILTER(F$1:F1229, F$1:F1229&lt;&gt;""""))), LEN(INDEX(FILTER(F$1:F1229, F$1:F1229&lt;&gt;""""),COUNTA(FILTER(F$1:F1229, F$1:F1229&lt;&gt;""""))))-1), IF('To Order'!$A1230=COL"&amp;"UMNS($A1230:F1249), F1229&amp;RIGHT(INDIRECT(ADDRESS(ROW(F1230)-1, 'From Order'!$A1230)), 1), F1229))"),"BS")</f>
        <v>BS</v>
      </c>
      <c r="G1230" s="2" t="str">
        <f>IFERROR(__xludf.DUMMYFUNCTION("IF('From Order'!$A1230=COLUMNS($A1230:G1249), LEFT(INDEX(FILTER(G$1:G1229, G$1:G1229&lt;&gt;""""),COUNTA(FILTER(G$1:G1229, G$1:G1229&lt;&gt;""""))), LEN(INDEX(FILTER(G$1:G1229, G$1:G1229&lt;&gt;""""),COUNTA(FILTER(G$1:G1229, G$1:G1229&lt;&gt;""""))))-1), IF('To Order'!$A1230=COL"&amp;"UMNS($A1230:G1249), G1229&amp;RIGHT(INDIRECT(ADDRESS(ROW(G1230)-1, 'From Order'!$A1230)), 1), G1229))"),"")</f>
        <v/>
      </c>
      <c r="H1230" s="2" t="str">
        <f>IFERROR(__xludf.DUMMYFUNCTION("IF('From Order'!$A1230=COLUMNS($A1230:H1249), LEFT(INDEX(FILTER(H$1:H1229, H$1:H1229&lt;&gt;""""),COUNTA(FILTER(H$1:H1229, H$1:H1229&lt;&gt;""""))), LEN(INDEX(FILTER(H$1:H1229, H$1:H1229&lt;&gt;""""),COUNTA(FILTER(H$1:H1229, H$1:H1229&lt;&gt;""""))))-1), IF('To Order'!$A1230=COL"&amp;"UMNS($A1230:H1249), H1229&amp;RIGHT(INDIRECT(ADDRESS(ROW(H1230)-1, 'From Order'!$A1230)), 1), H1229))"),"")</f>
        <v/>
      </c>
      <c r="I1230" s="2" t="str">
        <f>IFERROR(__xludf.DUMMYFUNCTION("IF('From Order'!$A1230=COLUMNS($A1230:I1249), LEFT(INDEX(FILTER(I$1:I1229, I$1:I1229&lt;&gt;""""),COUNTA(FILTER(I$1:I1229, I$1:I1229&lt;&gt;""""))), LEN(INDEX(FILTER(I$1:I1229, I$1:I1229&lt;&gt;""""),COUNTA(FILTER(I$1:I1229, I$1:I1229&lt;&gt;""""))))-1), IF('To Order'!$A1230=COL"&amp;"UMNS($A1230:I1249), I1229&amp;RIGHT(INDIRECT(ADDRESS(ROW(I1230)-1, 'From Order'!$A1230)), 1), I1229))"),"SFVTSVDTWRMTCRCDRZ")</f>
        <v>SFVTSVDTWRMTCRCDRZ</v>
      </c>
    </row>
    <row r="1231">
      <c r="A1231" s="2" t="str">
        <f>IFERROR(__xludf.DUMMYFUNCTION("IF('From Order'!$A1231=COLUMNS($A1231:A1250), LEFT(INDEX(FILTER(A$1:A1230, A$1:A1230&lt;&gt;""""),COUNTA(FILTER(A$1:A1230, A$1:A1230&lt;&gt;""""))), LEN(INDEX(FILTER(A$1:A1230, A$1:A1230&lt;&gt;""""),COUNTA(FILTER(A$1:A1230, A$1:A1230&lt;&gt;""""))))-1), IF('To Order'!$A1231=COL"&amp;"UMNS($A1231:A1250), A1230&amp;RIGHT(INDIRECT(ADDRESS(ROW(A1231)-1, 'From Order'!$A1231)), 1), A1230))"),"HZB")</f>
        <v>HZB</v>
      </c>
      <c r="B1231" s="2" t="str">
        <f>IFERROR(__xludf.DUMMYFUNCTION("IF('From Order'!$A1231=COLUMNS($A1231:B1250), LEFT(INDEX(FILTER(B$1:B1230, B$1:B1230&lt;&gt;""""),COUNTA(FILTER(B$1:B1230, B$1:B1230&lt;&gt;""""))), LEN(INDEX(FILTER(B$1:B1230, B$1:B1230&lt;&gt;""""),COUNTA(FILTER(B$1:B1230, B$1:B1230&lt;&gt;""""))))-1), IF('To Order'!$A1231=COL"&amp;"UMNS($A1231:B1250), B1230&amp;RIGHT(INDIRECT(ADDRESS(ROW(B1231)-1, 'From Order'!$A1231)), 1), B1230))"),"Z")</f>
        <v>Z</v>
      </c>
      <c r="C1231" s="2" t="str">
        <f>IFERROR(__xludf.DUMMYFUNCTION("IF('From Order'!$A1231=COLUMNS($A1231:C1250), LEFT(INDEX(FILTER(C$1:C1230, C$1:C1230&lt;&gt;""""),COUNTA(FILTER(C$1:C1230, C$1:C1230&lt;&gt;""""))), LEN(INDEX(FILTER(C$1:C1230, C$1:C1230&lt;&gt;""""),COUNTA(FILTER(C$1:C1230, C$1:C1230&lt;&gt;""""))))-1), IF('To Order'!$A1231=COL"&amp;"UMNS($A1231:C1250), C1230&amp;RIGHT(INDIRECT(ADDRESS(ROW(C1231)-1, 'From Order'!$A1231)), 1), C1230))"),"TRLRSGHWQVQJPPLDTMGB")</f>
        <v>TRLRSGHWQVQJPPLDTMGB</v>
      </c>
      <c r="D1231" s="2" t="str">
        <f>IFERROR(__xludf.DUMMYFUNCTION("IF('From Order'!$A1231=COLUMNS($A1231:D1250), LEFT(INDEX(FILTER(D$1:D1230, D$1:D1230&lt;&gt;""""),COUNTA(FILTER(D$1:D1230, D$1:D1230&lt;&gt;""""))), LEN(INDEX(FILTER(D$1:D1230, D$1:D1230&lt;&gt;""""),COUNTA(FILTER(D$1:D1230, D$1:D1230&lt;&gt;""""))))-1), IF('To Order'!$A1231=COL"&amp;"UMNS($A1231:D1250), D1230&amp;RIGHT(INDIRECT(ADDRESS(ROW(D1231)-1, 'From Order'!$A1231)), 1), D1230))"),"DPL")</f>
        <v>DPL</v>
      </c>
      <c r="E1231" s="2" t="str">
        <f>IFERROR(__xludf.DUMMYFUNCTION("IF('From Order'!$A1231=COLUMNS($A1231:E1250), LEFT(INDEX(FILTER(E$1:E1230, E$1:E1230&lt;&gt;""""),COUNTA(FILTER(E$1:E1230, E$1:E1230&lt;&gt;""""))), LEN(INDEX(FILTER(E$1:E1230, E$1:E1230&lt;&gt;""""),COUNTA(FILTER(E$1:E1230, E$1:E1230&lt;&gt;""""))))-1), IF('To Order'!$A1231=COL"&amp;"UMNS($A1231:E1250), E1230&amp;RIGHT(INDIRECT(ADDRESS(ROW(E1231)-1, 'From Order'!$A1231)), 1), E1230))"),"DJDMFBTJCZ")</f>
        <v>DJDMFBTJCZ</v>
      </c>
      <c r="F1231" s="2" t="str">
        <f>IFERROR(__xludf.DUMMYFUNCTION("IF('From Order'!$A1231=COLUMNS($A1231:F1250), LEFT(INDEX(FILTER(F$1:F1230, F$1:F1230&lt;&gt;""""),COUNTA(FILTER(F$1:F1230, F$1:F1230&lt;&gt;""""))), LEN(INDEX(FILTER(F$1:F1230, F$1:F1230&lt;&gt;""""),COUNTA(FILTER(F$1:F1230, F$1:F1230&lt;&gt;""""))))-1), IF('To Order'!$A1231=COL"&amp;"UMNS($A1231:F1250), F1230&amp;RIGHT(INDIRECT(ADDRESS(ROW(F1231)-1, 'From Order'!$A1231)), 1), F1230))"),"BS")</f>
        <v>BS</v>
      </c>
      <c r="G1231" s="2" t="str">
        <f>IFERROR(__xludf.DUMMYFUNCTION("IF('From Order'!$A1231=COLUMNS($A1231:G1250), LEFT(INDEX(FILTER(G$1:G1230, G$1:G1230&lt;&gt;""""),COUNTA(FILTER(G$1:G1230, G$1:G1230&lt;&gt;""""))), LEN(INDEX(FILTER(G$1:G1230, G$1:G1230&lt;&gt;""""),COUNTA(FILTER(G$1:G1230, G$1:G1230&lt;&gt;""""))))-1), IF('To Order'!$A1231=COL"&amp;"UMNS($A1231:G1250), G1230&amp;RIGHT(INDIRECT(ADDRESS(ROW(G1231)-1, 'From Order'!$A1231)), 1), G1230))"),"")</f>
        <v/>
      </c>
      <c r="H1231" s="2" t="str">
        <f>IFERROR(__xludf.DUMMYFUNCTION("IF('From Order'!$A1231=COLUMNS($A1231:H1250), LEFT(INDEX(FILTER(H$1:H1230, H$1:H1230&lt;&gt;""""),COUNTA(FILTER(H$1:H1230, H$1:H1230&lt;&gt;""""))), LEN(INDEX(FILTER(H$1:H1230, H$1:H1230&lt;&gt;""""),COUNTA(FILTER(H$1:H1230, H$1:H1230&lt;&gt;""""))))-1), IF('To Order'!$A1231=COL"&amp;"UMNS($A1231:H1250), H1230&amp;RIGHT(INDIRECT(ADDRESS(ROW(H1231)-1, 'From Order'!$A1231)), 1), H1230))"),"")</f>
        <v/>
      </c>
      <c r="I1231" s="2" t="str">
        <f>IFERROR(__xludf.DUMMYFUNCTION("IF('From Order'!$A1231=COLUMNS($A1231:I1250), LEFT(INDEX(FILTER(I$1:I1230, I$1:I1230&lt;&gt;""""),COUNTA(FILTER(I$1:I1230, I$1:I1230&lt;&gt;""""))), LEN(INDEX(FILTER(I$1:I1230, I$1:I1230&lt;&gt;""""),COUNTA(FILTER(I$1:I1230, I$1:I1230&lt;&gt;""""))))-1), IF('To Order'!$A1231=COL"&amp;"UMNS($A1231:I1250), I1230&amp;RIGHT(INDIRECT(ADDRESS(ROW(I1231)-1, 'From Order'!$A1231)), 1), I1230))"),"SFVTSVDTWRMTCRCDR")</f>
        <v>SFVTSVDTWRMTCRCDR</v>
      </c>
    </row>
    <row r="1232">
      <c r="A1232" s="2" t="str">
        <f>IFERROR(__xludf.DUMMYFUNCTION("IF('From Order'!$A1232=COLUMNS($A1232:A1251), LEFT(INDEX(FILTER(A$1:A1231, A$1:A1231&lt;&gt;""""),COUNTA(FILTER(A$1:A1231, A$1:A1231&lt;&gt;""""))), LEN(INDEX(FILTER(A$1:A1231, A$1:A1231&lt;&gt;""""),COUNTA(FILTER(A$1:A1231, A$1:A1231&lt;&gt;""""))))-1), IF('To Order'!$A1232=COL"&amp;"UMNS($A1232:A1251), A1231&amp;RIGHT(INDIRECT(ADDRESS(ROW(A1232)-1, 'From Order'!$A1232)), 1), A1231))"),"HZB")</f>
        <v>HZB</v>
      </c>
      <c r="B1232" s="2" t="str">
        <f>IFERROR(__xludf.DUMMYFUNCTION("IF('From Order'!$A1232=COLUMNS($A1232:B1251), LEFT(INDEX(FILTER(B$1:B1231, B$1:B1231&lt;&gt;""""),COUNTA(FILTER(B$1:B1231, B$1:B1231&lt;&gt;""""))), LEN(INDEX(FILTER(B$1:B1231, B$1:B1231&lt;&gt;""""),COUNTA(FILTER(B$1:B1231, B$1:B1231&lt;&gt;""""))))-1), IF('To Order'!$A1232=COL"&amp;"UMNS($A1232:B1251), B1231&amp;RIGHT(INDIRECT(ADDRESS(ROW(B1232)-1, 'From Order'!$A1232)), 1), B1231))"),"Z")</f>
        <v>Z</v>
      </c>
      <c r="C1232" s="2" t="str">
        <f>IFERROR(__xludf.DUMMYFUNCTION("IF('From Order'!$A1232=COLUMNS($A1232:C1251), LEFT(INDEX(FILTER(C$1:C1231, C$1:C1231&lt;&gt;""""),COUNTA(FILTER(C$1:C1231, C$1:C1231&lt;&gt;""""))), LEN(INDEX(FILTER(C$1:C1231, C$1:C1231&lt;&gt;""""),COUNTA(FILTER(C$1:C1231, C$1:C1231&lt;&gt;""""))))-1), IF('To Order'!$A1232=COL"&amp;"UMNS($A1232:C1251), C1231&amp;RIGHT(INDIRECT(ADDRESS(ROW(C1232)-1, 'From Order'!$A1232)), 1), C1231))"),"TRLRSGHWQVQJPPLDTMGB")</f>
        <v>TRLRSGHWQVQJPPLDTMGB</v>
      </c>
      <c r="D1232" s="2" t="str">
        <f>IFERROR(__xludf.DUMMYFUNCTION("IF('From Order'!$A1232=COLUMNS($A1232:D1251), LEFT(INDEX(FILTER(D$1:D1231, D$1:D1231&lt;&gt;""""),COUNTA(FILTER(D$1:D1231, D$1:D1231&lt;&gt;""""))), LEN(INDEX(FILTER(D$1:D1231, D$1:D1231&lt;&gt;""""),COUNTA(FILTER(D$1:D1231, D$1:D1231&lt;&gt;""""))))-1), IF('To Order'!$A1232=COL"&amp;"UMNS($A1232:D1251), D1231&amp;RIGHT(INDIRECT(ADDRESS(ROW(D1232)-1, 'From Order'!$A1232)), 1), D1231))"),"DPL")</f>
        <v>DPL</v>
      </c>
      <c r="E1232" s="2" t="str">
        <f>IFERROR(__xludf.DUMMYFUNCTION("IF('From Order'!$A1232=COLUMNS($A1232:E1251), LEFT(INDEX(FILTER(E$1:E1231, E$1:E1231&lt;&gt;""""),COUNTA(FILTER(E$1:E1231, E$1:E1231&lt;&gt;""""))), LEN(INDEX(FILTER(E$1:E1231, E$1:E1231&lt;&gt;""""),COUNTA(FILTER(E$1:E1231, E$1:E1231&lt;&gt;""""))))-1), IF('To Order'!$A1232=COL"&amp;"UMNS($A1232:E1251), E1231&amp;RIGHT(INDIRECT(ADDRESS(ROW(E1232)-1, 'From Order'!$A1232)), 1), E1231))"),"DJDMFBTJCZR")</f>
        <v>DJDMFBTJCZR</v>
      </c>
      <c r="F1232" s="2" t="str">
        <f>IFERROR(__xludf.DUMMYFUNCTION("IF('From Order'!$A1232=COLUMNS($A1232:F1251), LEFT(INDEX(FILTER(F$1:F1231, F$1:F1231&lt;&gt;""""),COUNTA(FILTER(F$1:F1231, F$1:F1231&lt;&gt;""""))), LEN(INDEX(FILTER(F$1:F1231, F$1:F1231&lt;&gt;""""),COUNTA(FILTER(F$1:F1231, F$1:F1231&lt;&gt;""""))))-1), IF('To Order'!$A1232=COL"&amp;"UMNS($A1232:F1251), F1231&amp;RIGHT(INDIRECT(ADDRESS(ROW(F1232)-1, 'From Order'!$A1232)), 1), F1231))"),"BS")</f>
        <v>BS</v>
      </c>
      <c r="G1232" s="2" t="str">
        <f>IFERROR(__xludf.DUMMYFUNCTION("IF('From Order'!$A1232=COLUMNS($A1232:G1251), LEFT(INDEX(FILTER(G$1:G1231, G$1:G1231&lt;&gt;""""),COUNTA(FILTER(G$1:G1231, G$1:G1231&lt;&gt;""""))), LEN(INDEX(FILTER(G$1:G1231, G$1:G1231&lt;&gt;""""),COUNTA(FILTER(G$1:G1231, G$1:G1231&lt;&gt;""""))))-1), IF('To Order'!$A1232=COL"&amp;"UMNS($A1232:G1251), G1231&amp;RIGHT(INDIRECT(ADDRESS(ROW(G1232)-1, 'From Order'!$A1232)), 1), G1231))"),"")</f>
        <v/>
      </c>
      <c r="H1232" s="2" t="str">
        <f>IFERROR(__xludf.DUMMYFUNCTION("IF('From Order'!$A1232=COLUMNS($A1232:H1251), LEFT(INDEX(FILTER(H$1:H1231, H$1:H1231&lt;&gt;""""),COUNTA(FILTER(H$1:H1231, H$1:H1231&lt;&gt;""""))), LEN(INDEX(FILTER(H$1:H1231, H$1:H1231&lt;&gt;""""),COUNTA(FILTER(H$1:H1231, H$1:H1231&lt;&gt;""""))))-1), IF('To Order'!$A1232=COL"&amp;"UMNS($A1232:H1251), H1231&amp;RIGHT(INDIRECT(ADDRESS(ROW(H1232)-1, 'From Order'!$A1232)), 1), H1231))"),"")</f>
        <v/>
      </c>
      <c r="I1232" s="2" t="str">
        <f>IFERROR(__xludf.DUMMYFUNCTION("IF('From Order'!$A1232=COLUMNS($A1232:I1251), LEFT(INDEX(FILTER(I$1:I1231, I$1:I1231&lt;&gt;""""),COUNTA(FILTER(I$1:I1231, I$1:I1231&lt;&gt;""""))), LEN(INDEX(FILTER(I$1:I1231, I$1:I1231&lt;&gt;""""),COUNTA(FILTER(I$1:I1231, I$1:I1231&lt;&gt;""""))))-1), IF('To Order'!$A1232=COL"&amp;"UMNS($A1232:I1251), I1231&amp;RIGHT(INDIRECT(ADDRESS(ROW(I1232)-1, 'From Order'!$A1232)), 1), I1231))"),"SFVTSVDTWRMTCRCD")</f>
        <v>SFVTSVDTWRMTCRCD</v>
      </c>
    </row>
    <row r="1233">
      <c r="A1233" s="2" t="str">
        <f>IFERROR(__xludf.DUMMYFUNCTION("IF('From Order'!$A1233=COLUMNS($A1233:A1252), LEFT(INDEX(FILTER(A$1:A1232, A$1:A1232&lt;&gt;""""),COUNTA(FILTER(A$1:A1232, A$1:A1232&lt;&gt;""""))), LEN(INDEX(FILTER(A$1:A1232, A$1:A1232&lt;&gt;""""),COUNTA(FILTER(A$1:A1232, A$1:A1232&lt;&gt;""""))))-1), IF('To Order'!$A1233=COL"&amp;"UMNS($A1233:A1252), A1232&amp;RIGHT(INDIRECT(ADDRESS(ROW(A1233)-1, 'From Order'!$A1233)), 1), A1232))"),"HZB")</f>
        <v>HZB</v>
      </c>
      <c r="B1233" s="2" t="str">
        <f>IFERROR(__xludf.DUMMYFUNCTION("IF('From Order'!$A1233=COLUMNS($A1233:B1252), LEFT(INDEX(FILTER(B$1:B1232, B$1:B1232&lt;&gt;""""),COUNTA(FILTER(B$1:B1232, B$1:B1232&lt;&gt;""""))), LEN(INDEX(FILTER(B$1:B1232, B$1:B1232&lt;&gt;""""),COUNTA(FILTER(B$1:B1232, B$1:B1232&lt;&gt;""""))))-1), IF('To Order'!$A1233=COL"&amp;"UMNS($A1233:B1252), B1232&amp;RIGHT(INDIRECT(ADDRESS(ROW(B1233)-1, 'From Order'!$A1233)), 1), B1232))"),"Z")</f>
        <v>Z</v>
      </c>
      <c r="C1233" s="2" t="str">
        <f>IFERROR(__xludf.DUMMYFUNCTION("IF('From Order'!$A1233=COLUMNS($A1233:C1252), LEFT(INDEX(FILTER(C$1:C1232, C$1:C1232&lt;&gt;""""),COUNTA(FILTER(C$1:C1232, C$1:C1232&lt;&gt;""""))), LEN(INDEX(FILTER(C$1:C1232, C$1:C1232&lt;&gt;""""),COUNTA(FILTER(C$1:C1232, C$1:C1232&lt;&gt;""""))))-1), IF('To Order'!$A1233=COL"&amp;"UMNS($A1233:C1252), C1232&amp;RIGHT(INDIRECT(ADDRESS(ROW(C1233)-1, 'From Order'!$A1233)), 1), C1232))"),"TRLRSGHWQVQJPPLDTMGB")</f>
        <v>TRLRSGHWQVQJPPLDTMGB</v>
      </c>
      <c r="D1233" s="2" t="str">
        <f>IFERROR(__xludf.DUMMYFUNCTION("IF('From Order'!$A1233=COLUMNS($A1233:D1252), LEFT(INDEX(FILTER(D$1:D1232, D$1:D1232&lt;&gt;""""),COUNTA(FILTER(D$1:D1232, D$1:D1232&lt;&gt;""""))), LEN(INDEX(FILTER(D$1:D1232, D$1:D1232&lt;&gt;""""),COUNTA(FILTER(D$1:D1232, D$1:D1232&lt;&gt;""""))))-1), IF('To Order'!$A1233=COL"&amp;"UMNS($A1233:D1252), D1232&amp;RIGHT(INDIRECT(ADDRESS(ROW(D1233)-1, 'From Order'!$A1233)), 1), D1232))"),"DPL")</f>
        <v>DPL</v>
      </c>
      <c r="E1233" s="2" t="str">
        <f>IFERROR(__xludf.DUMMYFUNCTION("IF('From Order'!$A1233=COLUMNS($A1233:E1252), LEFT(INDEX(FILTER(E$1:E1232, E$1:E1232&lt;&gt;""""),COUNTA(FILTER(E$1:E1232, E$1:E1232&lt;&gt;""""))), LEN(INDEX(FILTER(E$1:E1232, E$1:E1232&lt;&gt;""""),COUNTA(FILTER(E$1:E1232, E$1:E1232&lt;&gt;""""))))-1), IF('To Order'!$A1233=COL"&amp;"UMNS($A1233:E1252), E1232&amp;RIGHT(INDIRECT(ADDRESS(ROW(E1233)-1, 'From Order'!$A1233)), 1), E1232))"),"DJDMFBTJCZRD")</f>
        <v>DJDMFBTJCZRD</v>
      </c>
      <c r="F1233" s="2" t="str">
        <f>IFERROR(__xludf.DUMMYFUNCTION("IF('From Order'!$A1233=COLUMNS($A1233:F1252), LEFT(INDEX(FILTER(F$1:F1232, F$1:F1232&lt;&gt;""""),COUNTA(FILTER(F$1:F1232, F$1:F1232&lt;&gt;""""))), LEN(INDEX(FILTER(F$1:F1232, F$1:F1232&lt;&gt;""""),COUNTA(FILTER(F$1:F1232, F$1:F1232&lt;&gt;""""))))-1), IF('To Order'!$A1233=COL"&amp;"UMNS($A1233:F1252), F1232&amp;RIGHT(INDIRECT(ADDRESS(ROW(F1233)-1, 'From Order'!$A1233)), 1), F1232))"),"BS")</f>
        <v>BS</v>
      </c>
      <c r="G1233" s="2" t="str">
        <f>IFERROR(__xludf.DUMMYFUNCTION("IF('From Order'!$A1233=COLUMNS($A1233:G1252), LEFT(INDEX(FILTER(G$1:G1232, G$1:G1232&lt;&gt;""""),COUNTA(FILTER(G$1:G1232, G$1:G1232&lt;&gt;""""))), LEN(INDEX(FILTER(G$1:G1232, G$1:G1232&lt;&gt;""""),COUNTA(FILTER(G$1:G1232, G$1:G1232&lt;&gt;""""))))-1), IF('To Order'!$A1233=COL"&amp;"UMNS($A1233:G1252), G1232&amp;RIGHT(INDIRECT(ADDRESS(ROW(G1233)-1, 'From Order'!$A1233)), 1), G1232))"),"")</f>
        <v/>
      </c>
      <c r="H1233" s="2" t="str">
        <f>IFERROR(__xludf.DUMMYFUNCTION("IF('From Order'!$A1233=COLUMNS($A1233:H1252), LEFT(INDEX(FILTER(H$1:H1232, H$1:H1232&lt;&gt;""""),COUNTA(FILTER(H$1:H1232, H$1:H1232&lt;&gt;""""))), LEN(INDEX(FILTER(H$1:H1232, H$1:H1232&lt;&gt;""""),COUNTA(FILTER(H$1:H1232, H$1:H1232&lt;&gt;""""))))-1), IF('To Order'!$A1233=COL"&amp;"UMNS($A1233:H1252), H1232&amp;RIGHT(INDIRECT(ADDRESS(ROW(H1233)-1, 'From Order'!$A1233)), 1), H1232))"),"")</f>
        <v/>
      </c>
      <c r="I1233" s="2" t="str">
        <f>IFERROR(__xludf.DUMMYFUNCTION("IF('From Order'!$A1233=COLUMNS($A1233:I1252), LEFT(INDEX(FILTER(I$1:I1232, I$1:I1232&lt;&gt;""""),COUNTA(FILTER(I$1:I1232, I$1:I1232&lt;&gt;""""))), LEN(INDEX(FILTER(I$1:I1232, I$1:I1232&lt;&gt;""""),COUNTA(FILTER(I$1:I1232, I$1:I1232&lt;&gt;""""))))-1), IF('To Order'!$A1233=COL"&amp;"UMNS($A1233:I1252), I1232&amp;RIGHT(INDIRECT(ADDRESS(ROW(I1233)-1, 'From Order'!$A1233)), 1), I1232))"),"SFVTSVDTWRMTCRC")</f>
        <v>SFVTSVDTWRMTCRC</v>
      </c>
    </row>
    <row r="1234">
      <c r="A1234" s="2" t="str">
        <f>IFERROR(__xludf.DUMMYFUNCTION("IF('From Order'!$A1234=COLUMNS($A1234:A1253), LEFT(INDEX(FILTER(A$1:A1233, A$1:A1233&lt;&gt;""""),COUNTA(FILTER(A$1:A1233, A$1:A1233&lt;&gt;""""))), LEN(INDEX(FILTER(A$1:A1233, A$1:A1233&lt;&gt;""""),COUNTA(FILTER(A$1:A1233, A$1:A1233&lt;&gt;""""))))-1), IF('To Order'!$A1234=COL"&amp;"UMNS($A1234:A1253), A1233&amp;RIGHT(INDIRECT(ADDRESS(ROW(A1234)-1, 'From Order'!$A1234)), 1), A1233))"),"HZB")</f>
        <v>HZB</v>
      </c>
      <c r="B1234" s="2" t="str">
        <f>IFERROR(__xludf.DUMMYFUNCTION("IF('From Order'!$A1234=COLUMNS($A1234:B1253), LEFT(INDEX(FILTER(B$1:B1233, B$1:B1233&lt;&gt;""""),COUNTA(FILTER(B$1:B1233, B$1:B1233&lt;&gt;""""))), LEN(INDEX(FILTER(B$1:B1233, B$1:B1233&lt;&gt;""""),COUNTA(FILTER(B$1:B1233, B$1:B1233&lt;&gt;""""))))-1), IF('To Order'!$A1234=COL"&amp;"UMNS($A1234:B1253), B1233&amp;RIGHT(INDIRECT(ADDRESS(ROW(B1234)-1, 'From Order'!$A1234)), 1), B1233))"),"Z")</f>
        <v>Z</v>
      </c>
      <c r="C1234" s="2" t="str">
        <f>IFERROR(__xludf.DUMMYFUNCTION("IF('From Order'!$A1234=COLUMNS($A1234:C1253), LEFT(INDEX(FILTER(C$1:C1233, C$1:C1233&lt;&gt;""""),COUNTA(FILTER(C$1:C1233, C$1:C1233&lt;&gt;""""))), LEN(INDEX(FILTER(C$1:C1233, C$1:C1233&lt;&gt;""""),COUNTA(FILTER(C$1:C1233, C$1:C1233&lt;&gt;""""))))-1), IF('To Order'!$A1234=COL"&amp;"UMNS($A1234:C1253), C1233&amp;RIGHT(INDIRECT(ADDRESS(ROW(C1234)-1, 'From Order'!$A1234)), 1), C1233))"),"TRLRSGHWQVQJPPLDTMGB")</f>
        <v>TRLRSGHWQVQJPPLDTMGB</v>
      </c>
      <c r="D1234" s="2" t="str">
        <f>IFERROR(__xludf.DUMMYFUNCTION("IF('From Order'!$A1234=COLUMNS($A1234:D1253), LEFT(INDEX(FILTER(D$1:D1233, D$1:D1233&lt;&gt;""""),COUNTA(FILTER(D$1:D1233, D$1:D1233&lt;&gt;""""))), LEN(INDEX(FILTER(D$1:D1233, D$1:D1233&lt;&gt;""""),COUNTA(FILTER(D$1:D1233, D$1:D1233&lt;&gt;""""))))-1), IF('To Order'!$A1234=COL"&amp;"UMNS($A1234:D1253), D1233&amp;RIGHT(INDIRECT(ADDRESS(ROW(D1234)-1, 'From Order'!$A1234)), 1), D1233))"),"DPL")</f>
        <v>DPL</v>
      </c>
      <c r="E1234" s="2" t="str">
        <f>IFERROR(__xludf.DUMMYFUNCTION("IF('From Order'!$A1234=COLUMNS($A1234:E1253), LEFT(INDEX(FILTER(E$1:E1233, E$1:E1233&lt;&gt;""""),COUNTA(FILTER(E$1:E1233, E$1:E1233&lt;&gt;""""))), LEN(INDEX(FILTER(E$1:E1233, E$1:E1233&lt;&gt;""""),COUNTA(FILTER(E$1:E1233, E$1:E1233&lt;&gt;""""))))-1), IF('To Order'!$A1234=COL"&amp;"UMNS($A1234:E1253), E1233&amp;RIGHT(INDIRECT(ADDRESS(ROW(E1234)-1, 'From Order'!$A1234)), 1), E1233))"),"DJDMFBTJCZRDC")</f>
        <v>DJDMFBTJCZRDC</v>
      </c>
      <c r="F1234" s="2" t="str">
        <f>IFERROR(__xludf.DUMMYFUNCTION("IF('From Order'!$A1234=COLUMNS($A1234:F1253), LEFT(INDEX(FILTER(F$1:F1233, F$1:F1233&lt;&gt;""""),COUNTA(FILTER(F$1:F1233, F$1:F1233&lt;&gt;""""))), LEN(INDEX(FILTER(F$1:F1233, F$1:F1233&lt;&gt;""""),COUNTA(FILTER(F$1:F1233, F$1:F1233&lt;&gt;""""))))-1), IF('To Order'!$A1234=COL"&amp;"UMNS($A1234:F1253), F1233&amp;RIGHT(INDIRECT(ADDRESS(ROW(F1234)-1, 'From Order'!$A1234)), 1), F1233))"),"BS")</f>
        <v>BS</v>
      </c>
      <c r="G1234" s="2" t="str">
        <f>IFERROR(__xludf.DUMMYFUNCTION("IF('From Order'!$A1234=COLUMNS($A1234:G1253), LEFT(INDEX(FILTER(G$1:G1233, G$1:G1233&lt;&gt;""""),COUNTA(FILTER(G$1:G1233, G$1:G1233&lt;&gt;""""))), LEN(INDEX(FILTER(G$1:G1233, G$1:G1233&lt;&gt;""""),COUNTA(FILTER(G$1:G1233, G$1:G1233&lt;&gt;""""))))-1), IF('To Order'!$A1234=COL"&amp;"UMNS($A1234:G1253), G1233&amp;RIGHT(INDIRECT(ADDRESS(ROW(G1234)-1, 'From Order'!$A1234)), 1), G1233))"),"")</f>
        <v/>
      </c>
      <c r="H1234" s="2" t="str">
        <f>IFERROR(__xludf.DUMMYFUNCTION("IF('From Order'!$A1234=COLUMNS($A1234:H1253), LEFT(INDEX(FILTER(H$1:H1233, H$1:H1233&lt;&gt;""""),COUNTA(FILTER(H$1:H1233, H$1:H1233&lt;&gt;""""))), LEN(INDEX(FILTER(H$1:H1233, H$1:H1233&lt;&gt;""""),COUNTA(FILTER(H$1:H1233, H$1:H1233&lt;&gt;""""))))-1), IF('To Order'!$A1234=COL"&amp;"UMNS($A1234:H1253), H1233&amp;RIGHT(INDIRECT(ADDRESS(ROW(H1234)-1, 'From Order'!$A1234)), 1), H1233))"),"")</f>
        <v/>
      </c>
      <c r="I1234" s="2" t="str">
        <f>IFERROR(__xludf.DUMMYFUNCTION("IF('From Order'!$A1234=COLUMNS($A1234:I1253), LEFT(INDEX(FILTER(I$1:I1233, I$1:I1233&lt;&gt;""""),COUNTA(FILTER(I$1:I1233, I$1:I1233&lt;&gt;""""))), LEN(INDEX(FILTER(I$1:I1233, I$1:I1233&lt;&gt;""""),COUNTA(FILTER(I$1:I1233, I$1:I1233&lt;&gt;""""))))-1), IF('To Order'!$A1234=COL"&amp;"UMNS($A1234:I1253), I1233&amp;RIGHT(INDIRECT(ADDRESS(ROW(I1234)-1, 'From Order'!$A1234)), 1), I1233))"),"SFVTSVDTWRMTCR")</f>
        <v>SFVTSVDTWRMTCR</v>
      </c>
    </row>
    <row r="1235">
      <c r="A1235" s="2" t="str">
        <f>IFERROR(__xludf.DUMMYFUNCTION("IF('From Order'!$A1235=COLUMNS($A1235:A1254), LEFT(INDEX(FILTER(A$1:A1234, A$1:A1234&lt;&gt;""""),COUNTA(FILTER(A$1:A1234, A$1:A1234&lt;&gt;""""))), LEN(INDEX(FILTER(A$1:A1234, A$1:A1234&lt;&gt;""""),COUNTA(FILTER(A$1:A1234, A$1:A1234&lt;&gt;""""))))-1), IF('To Order'!$A1235=COL"&amp;"UMNS($A1235:A1254), A1234&amp;RIGHT(INDIRECT(ADDRESS(ROW(A1235)-1, 'From Order'!$A1235)), 1), A1234))"),"HZB")</f>
        <v>HZB</v>
      </c>
      <c r="B1235" s="2" t="str">
        <f>IFERROR(__xludf.DUMMYFUNCTION("IF('From Order'!$A1235=COLUMNS($A1235:B1254), LEFT(INDEX(FILTER(B$1:B1234, B$1:B1234&lt;&gt;""""),COUNTA(FILTER(B$1:B1234, B$1:B1234&lt;&gt;""""))), LEN(INDEX(FILTER(B$1:B1234, B$1:B1234&lt;&gt;""""),COUNTA(FILTER(B$1:B1234, B$1:B1234&lt;&gt;""""))))-1), IF('To Order'!$A1235=COL"&amp;"UMNS($A1235:B1254), B1234&amp;RIGHT(INDIRECT(ADDRESS(ROW(B1235)-1, 'From Order'!$A1235)), 1), B1234))"),"Z")</f>
        <v>Z</v>
      </c>
      <c r="C1235" s="2" t="str">
        <f>IFERROR(__xludf.DUMMYFUNCTION("IF('From Order'!$A1235=COLUMNS($A1235:C1254), LEFT(INDEX(FILTER(C$1:C1234, C$1:C1234&lt;&gt;""""),COUNTA(FILTER(C$1:C1234, C$1:C1234&lt;&gt;""""))), LEN(INDEX(FILTER(C$1:C1234, C$1:C1234&lt;&gt;""""),COUNTA(FILTER(C$1:C1234, C$1:C1234&lt;&gt;""""))))-1), IF('To Order'!$A1235=COL"&amp;"UMNS($A1235:C1254), C1234&amp;RIGHT(INDIRECT(ADDRESS(ROW(C1235)-1, 'From Order'!$A1235)), 1), C1234))"),"TRLRSGHWQVQJPPLDTMGB")</f>
        <v>TRLRSGHWQVQJPPLDTMGB</v>
      </c>
      <c r="D1235" s="2" t="str">
        <f>IFERROR(__xludf.DUMMYFUNCTION("IF('From Order'!$A1235=COLUMNS($A1235:D1254), LEFT(INDEX(FILTER(D$1:D1234, D$1:D1234&lt;&gt;""""),COUNTA(FILTER(D$1:D1234, D$1:D1234&lt;&gt;""""))), LEN(INDEX(FILTER(D$1:D1234, D$1:D1234&lt;&gt;""""),COUNTA(FILTER(D$1:D1234, D$1:D1234&lt;&gt;""""))))-1), IF('To Order'!$A1235=COL"&amp;"UMNS($A1235:D1254), D1234&amp;RIGHT(INDIRECT(ADDRESS(ROW(D1235)-1, 'From Order'!$A1235)), 1), D1234))"),"DPL")</f>
        <v>DPL</v>
      </c>
      <c r="E1235" s="2" t="str">
        <f>IFERROR(__xludf.DUMMYFUNCTION("IF('From Order'!$A1235=COLUMNS($A1235:E1254), LEFT(INDEX(FILTER(E$1:E1234, E$1:E1234&lt;&gt;""""),COUNTA(FILTER(E$1:E1234, E$1:E1234&lt;&gt;""""))), LEN(INDEX(FILTER(E$1:E1234, E$1:E1234&lt;&gt;""""),COUNTA(FILTER(E$1:E1234, E$1:E1234&lt;&gt;""""))))-1), IF('To Order'!$A1235=COL"&amp;"UMNS($A1235:E1254), E1234&amp;RIGHT(INDIRECT(ADDRESS(ROW(E1235)-1, 'From Order'!$A1235)), 1), E1234))"),"DJDMFBTJCZRDCR")</f>
        <v>DJDMFBTJCZRDCR</v>
      </c>
      <c r="F1235" s="2" t="str">
        <f>IFERROR(__xludf.DUMMYFUNCTION("IF('From Order'!$A1235=COLUMNS($A1235:F1254), LEFT(INDEX(FILTER(F$1:F1234, F$1:F1234&lt;&gt;""""),COUNTA(FILTER(F$1:F1234, F$1:F1234&lt;&gt;""""))), LEN(INDEX(FILTER(F$1:F1234, F$1:F1234&lt;&gt;""""),COUNTA(FILTER(F$1:F1234, F$1:F1234&lt;&gt;""""))))-1), IF('To Order'!$A1235=COL"&amp;"UMNS($A1235:F1254), F1234&amp;RIGHT(INDIRECT(ADDRESS(ROW(F1235)-1, 'From Order'!$A1235)), 1), F1234))"),"BS")</f>
        <v>BS</v>
      </c>
      <c r="G1235" s="2" t="str">
        <f>IFERROR(__xludf.DUMMYFUNCTION("IF('From Order'!$A1235=COLUMNS($A1235:G1254), LEFT(INDEX(FILTER(G$1:G1234, G$1:G1234&lt;&gt;""""),COUNTA(FILTER(G$1:G1234, G$1:G1234&lt;&gt;""""))), LEN(INDEX(FILTER(G$1:G1234, G$1:G1234&lt;&gt;""""),COUNTA(FILTER(G$1:G1234, G$1:G1234&lt;&gt;""""))))-1), IF('To Order'!$A1235=COL"&amp;"UMNS($A1235:G1254), G1234&amp;RIGHT(INDIRECT(ADDRESS(ROW(G1235)-1, 'From Order'!$A1235)), 1), G1234))"),"")</f>
        <v/>
      </c>
      <c r="H1235" s="2" t="str">
        <f>IFERROR(__xludf.DUMMYFUNCTION("IF('From Order'!$A1235=COLUMNS($A1235:H1254), LEFT(INDEX(FILTER(H$1:H1234, H$1:H1234&lt;&gt;""""),COUNTA(FILTER(H$1:H1234, H$1:H1234&lt;&gt;""""))), LEN(INDEX(FILTER(H$1:H1234, H$1:H1234&lt;&gt;""""),COUNTA(FILTER(H$1:H1234, H$1:H1234&lt;&gt;""""))))-1), IF('To Order'!$A1235=COL"&amp;"UMNS($A1235:H1254), H1234&amp;RIGHT(INDIRECT(ADDRESS(ROW(H1235)-1, 'From Order'!$A1235)), 1), H1234))"),"")</f>
        <v/>
      </c>
      <c r="I1235" s="2" t="str">
        <f>IFERROR(__xludf.DUMMYFUNCTION("IF('From Order'!$A1235=COLUMNS($A1235:I1254), LEFT(INDEX(FILTER(I$1:I1234, I$1:I1234&lt;&gt;""""),COUNTA(FILTER(I$1:I1234, I$1:I1234&lt;&gt;""""))), LEN(INDEX(FILTER(I$1:I1234, I$1:I1234&lt;&gt;""""),COUNTA(FILTER(I$1:I1234, I$1:I1234&lt;&gt;""""))))-1), IF('To Order'!$A1235=COL"&amp;"UMNS($A1235:I1254), I1234&amp;RIGHT(INDIRECT(ADDRESS(ROW(I1235)-1, 'From Order'!$A1235)), 1), I1234))"),"SFVTSVDTWRMTC")</f>
        <v>SFVTSVDTWRMTC</v>
      </c>
    </row>
    <row r="1236">
      <c r="A1236" s="2" t="str">
        <f>IFERROR(__xludf.DUMMYFUNCTION("IF('From Order'!$A1236=COLUMNS($A1236:A1255), LEFT(INDEX(FILTER(A$1:A1235, A$1:A1235&lt;&gt;""""),COUNTA(FILTER(A$1:A1235, A$1:A1235&lt;&gt;""""))), LEN(INDEX(FILTER(A$1:A1235, A$1:A1235&lt;&gt;""""),COUNTA(FILTER(A$1:A1235, A$1:A1235&lt;&gt;""""))))-1), IF('To Order'!$A1236=COL"&amp;"UMNS($A1236:A1255), A1235&amp;RIGHT(INDIRECT(ADDRESS(ROW(A1236)-1, 'From Order'!$A1236)), 1), A1235))"),"HZB")</f>
        <v>HZB</v>
      </c>
      <c r="B1236" s="2" t="str">
        <f>IFERROR(__xludf.DUMMYFUNCTION("IF('From Order'!$A1236=COLUMNS($A1236:B1255), LEFT(INDEX(FILTER(B$1:B1235, B$1:B1235&lt;&gt;""""),COUNTA(FILTER(B$1:B1235, B$1:B1235&lt;&gt;""""))), LEN(INDEX(FILTER(B$1:B1235, B$1:B1235&lt;&gt;""""),COUNTA(FILTER(B$1:B1235, B$1:B1235&lt;&gt;""""))))-1), IF('To Order'!$A1236=COL"&amp;"UMNS($A1236:B1255), B1235&amp;RIGHT(INDIRECT(ADDRESS(ROW(B1236)-1, 'From Order'!$A1236)), 1), B1235))"),"Z")</f>
        <v>Z</v>
      </c>
      <c r="C1236" s="2" t="str">
        <f>IFERROR(__xludf.DUMMYFUNCTION("IF('From Order'!$A1236=COLUMNS($A1236:C1255), LEFT(INDEX(FILTER(C$1:C1235, C$1:C1235&lt;&gt;""""),COUNTA(FILTER(C$1:C1235, C$1:C1235&lt;&gt;""""))), LEN(INDEX(FILTER(C$1:C1235, C$1:C1235&lt;&gt;""""),COUNTA(FILTER(C$1:C1235, C$1:C1235&lt;&gt;""""))))-1), IF('To Order'!$A1236=COL"&amp;"UMNS($A1236:C1255), C1235&amp;RIGHT(INDIRECT(ADDRESS(ROW(C1236)-1, 'From Order'!$A1236)), 1), C1235))"),"TRLRSGHWQVQJPPLDTMGB")</f>
        <v>TRLRSGHWQVQJPPLDTMGB</v>
      </c>
      <c r="D1236" s="2" t="str">
        <f>IFERROR(__xludf.DUMMYFUNCTION("IF('From Order'!$A1236=COLUMNS($A1236:D1255), LEFT(INDEX(FILTER(D$1:D1235, D$1:D1235&lt;&gt;""""),COUNTA(FILTER(D$1:D1235, D$1:D1235&lt;&gt;""""))), LEN(INDEX(FILTER(D$1:D1235, D$1:D1235&lt;&gt;""""),COUNTA(FILTER(D$1:D1235, D$1:D1235&lt;&gt;""""))))-1), IF('To Order'!$A1236=COL"&amp;"UMNS($A1236:D1255), D1235&amp;RIGHT(INDIRECT(ADDRESS(ROW(D1236)-1, 'From Order'!$A1236)), 1), D1235))"),"DPL")</f>
        <v>DPL</v>
      </c>
      <c r="E1236" s="2" t="str">
        <f>IFERROR(__xludf.DUMMYFUNCTION("IF('From Order'!$A1236=COLUMNS($A1236:E1255), LEFT(INDEX(FILTER(E$1:E1235, E$1:E1235&lt;&gt;""""),COUNTA(FILTER(E$1:E1235, E$1:E1235&lt;&gt;""""))), LEN(INDEX(FILTER(E$1:E1235, E$1:E1235&lt;&gt;""""),COUNTA(FILTER(E$1:E1235, E$1:E1235&lt;&gt;""""))))-1), IF('To Order'!$A1236=COL"&amp;"UMNS($A1236:E1255), E1235&amp;RIGHT(INDIRECT(ADDRESS(ROW(E1236)-1, 'From Order'!$A1236)), 1), E1235))"),"DJDMFBTJCZRDCRC")</f>
        <v>DJDMFBTJCZRDCRC</v>
      </c>
      <c r="F1236" s="2" t="str">
        <f>IFERROR(__xludf.DUMMYFUNCTION("IF('From Order'!$A1236=COLUMNS($A1236:F1255), LEFT(INDEX(FILTER(F$1:F1235, F$1:F1235&lt;&gt;""""),COUNTA(FILTER(F$1:F1235, F$1:F1235&lt;&gt;""""))), LEN(INDEX(FILTER(F$1:F1235, F$1:F1235&lt;&gt;""""),COUNTA(FILTER(F$1:F1235, F$1:F1235&lt;&gt;""""))))-1), IF('To Order'!$A1236=COL"&amp;"UMNS($A1236:F1255), F1235&amp;RIGHT(INDIRECT(ADDRESS(ROW(F1236)-1, 'From Order'!$A1236)), 1), F1235))"),"BS")</f>
        <v>BS</v>
      </c>
      <c r="G1236" s="2" t="str">
        <f>IFERROR(__xludf.DUMMYFUNCTION("IF('From Order'!$A1236=COLUMNS($A1236:G1255), LEFT(INDEX(FILTER(G$1:G1235, G$1:G1235&lt;&gt;""""),COUNTA(FILTER(G$1:G1235, G$1:G1235&lt;&gt;""""))), LEN(INDEX(FILTER(G$1:G1235, G$1:G1235&lt;&gt;""""),COUNTA(FILTER(G$1:G1235, G$1:G1235&lt;&gt;""""))))-1), IF('To Order'!$A1236=COL"&amp;"UMNS($A1236:G1255), G1235&amp;RIGHT(INDIRECT(ADDRESS(ROW(G1236)-1, 'From Order'!$A1236)), 1), G1235))"),"")</f>
        <v/>
      </c>
      <c r="H1236" s="2" t="str">
        <f>IFERROR(__xludf.DUMMYFUNCTION("IF('From Order'!$A1236=COLUMNS($A1236:H1255), LEFT(INDEX(FILTER(H$1:H1235, H$1:H1235&lt;&gt;""""),COUNTA(FILTER(H$1:H1235, H$1:H1235&lt;&gt;""""))), LEN(INDEX(FILTER(H$1:H1235, H$1:H1235&lt;&gt;""""),COUNTA(FILTER(H$1:H1235, H$1:H1235&lt;&gt;""""))))-1), IF('To Order'!$A1236=COL"&amp;"UMNS($A1236:H1255), H1235&amp;RIGHT(INDIRECT(ADDRESS(ROW(H1236)-1, 'From Order'!$A1236)), 1), H1235))"),"")</f>
        <v/>
      </c>
      <c r="I1236" s="2" t="str">
        <f>IFERROR(__xludf.DUMMYFUNCTION("IF('From Order'!$A1236=COLUMNS($A1236:I1255), LEFT(INDEX(FILTER(I$1:I1235, I$1:I1235&lt;&gt;""""),COUNTA(FILTER(I$1:I1235, I$1:I1235&lt;&gt;""""))), LEN(INDEX(FILTER(I$1:I1235, I$1:I1235&lt;&gt;""""),COUNTA(FILTER(I$1:I1235, I$1:I1235&lt;&gt;""""))))-1), IF('To Order'!$A1236=COL"&amp;"UMNS($A1236:I1255), I1235&amp;RIGHT(INDIRECT(ADDRESS(ROW(I1236)-1, 'From Order'!$A1236)), 1), I1235))"),"SFVTSVDTWRMT")</f>
        <v>SFVTSVDTWRMT</v>
      </c>
    </row>
    <row r="1237">
      <c r="A1237" s="2" t="str">
        <f>IFERROR(__xludf.DUMMYFUNCTION("IF('From Order'!$A1237=COLUMNS($A1237:A1256), LEFT(INDEX(FILTER(A$1:A1236, A$1:A1236&lt;&gt;""""),COUNTA(FILTER(A$1:A1236, A$1:A1236&lt;&gt;""""))), LEN(INDEX(FILTER(A$1:A1236, A$1:A1236&lt;&gt;""""),COUNTA(FILTER(A$1:A1236, A$1:A1236&lt;&gt;""""))))-1), IF('To Order'!$A1237=COL"&amp;"UMNS($A1237:A1256), A1236&amp;RIGHT(INDIRECT(ADDRESS(ROW(A1237)-1, 'From Order'!$A1237)), 1), A1236))"),"HZB")</f>
        <v>HZB</v>
      </c>
      <c r="B1237" s="2" t="str">
        <f>IFERROR(__xludf.DUMMYFUNCTION("IF('From Order'!$A1237=COLUMNS($A1237:B1256), LEFT(INDEX(FILTER(B$1:B1236, B$1:B1236&lt;&gt;""""),COUNTA(FILTER(B$1:B1236, B$1:B1236&lt;&gt;""""))), LEN(INDEX(FILTER(B$1:B1236, B$1:B1236&lt;&gt;""""),COUNTA(FILTER(B$1:B1236, B$1:B1236&lt;&gt;""""))))-1), IF('To Order'!$A1237=COL"&amp;"UMNS($A1237:B1256), B1236&amp;RIGHT(INDIRECT(ADDRESS(ROW(B1237)-1, 'From Order'!$A1237)), 1), B1236))"),"Z")</f>
        <v>Z</v>
      </c>
      <c r="C1237" s="2" t="str">
        <f>IFERROR(__xludf.DUMMYFUNCTION("IF('From Order'!$A1237=COLUMNS($A1237:C1256), LEFT(INDEX(FILTER(C$1:C1236, C$1:C1236&lt;&gt;""""),COUNTA(FILTER(C$1:C1236, C$1:C1236&lt;&gt;""""))), LEN(INDEX(FILTER(C$1:C1236, C$1:C1236&lt;&gt;""""),COUNTA(FILTER(C$1:C1236, C$1:C1236&lt;&gt;""""))))-1), IF('To Order'!$A1237=COL"&amp;"UMNS($A1237:C1256), C1236&amp;RIGHT(INDIRECT(ADDRESS(ROW(C1237)-1, 'From Order'!$A1237)), 1), C1236))"),"TRLRSGHWQVQJPPLDTMGB")</f>
        <v>TRLRSGHWQVQJPPLDTMGB</v>
      </c>
      <c r="D1237" s="2" t="str">
        <f>IFERROR(__xludf.DUMMYFUNCTION("IF('From Order'!$A1237=COLUMNS($A1237:D1256), LEFT(INDEX(FILTER(D$1:D1236, D$1:D1236&lt;&gt;""""),COUNTA(FILTER(D$1:D1236, D$1:D1236&lt;&gt;""""))), LEN(INDEX(FILTER(D$1:D1236, D$1:D1236&lt;&gt;""""),COUNTA(FILTER(D$1:D1236, D$1:D1236&lt;&gt;""""))))-1), IF('To Order'!$A1237=COL"&amp;"UMNS($A1237:D1256), D1236&amp;RIGHT(INDIRECT(ADDRESS(ROW(D1237)-1, 'From Order'!$A1237)), 1), D1236))"),"DPL")</f>
        <v>DPL</v>
      </c>
      <c r="E1237" s="2" t="str">
        <f>IFERROR(__xludf.DUMMYFUNCTION("IF('From Order'!$A1237=COLUMNS($A1237:E1256), LEFT(INDEX(FILTER(E$1:E1236, E$1:E1236&lt;&gt;""""),COUNTA(FILTER(E$1:E1236, E$1:E1236&lt;&gt;""""))), LEN(INDEX(FILTER(E$1:E1236, E$1:E1236&lt;&gt;""""),COUNTA(FILTER(E$1:E1236, E$1:E1236&lt;&gt;""""))))-1), IF('To Order'!$A1237=COL"&amp;"UMNS($A1237:E1256), E1236&amp;RIGHT(INDIRECT(ADDRESS(ROW(E1237)-1, 'From Order'!$A1237)), 1), E1236))"),"DJDMFBTJCZRDCRCT")</f>
        <v>DJDMFBTJCZRDCRCT</v>
      </c>
      <c r="F1237" s="2" t="str">
        <f>IFERROR(__xludf.DUMMYFUNCTION("IF('From Order'!$A1237=COLUMNS($A1237:F1256), LEFT(INDEX(FILTER(F$1:F1236, F$1:F1236&lt;&gt;""""),COUNTA(FILTER(F$1:F1236, F$1:F1236&lt;&gt;""""))), LEN(INDEX(FILTER(F$1:F1236, F$1:F1236&lt;&gt;""""),COUNTA(FILTER(F$1:F1236, F$1:F1236&lt;&gt;""""))))-1), IF('To Order'!$A1237=COL"&amp;"UMNS($A1237:F1256), F1236&amp;RIGHT(INDIRECT(ADDRESS(ROW(F1237)-1, 'From Order'!$A1237)), 1), F1236))"),"BS")</f>
        <v>BS</v>
      </c>
      <c r="G1237" s="2" t="str">
        <f>IFERROR(__xludf.DUMMYFUNCTION("IF('From Order'!$A1237=COLUMNS($A1237:G1256), LEFT(INDEX(FILTER(G$1:G1236, G$1:G1236&lt;&gt;""""),COUNTA(FILTER(G$1:G1236, G$1:G1236&lt;&gt;""""))), LEN(INDEX(FILTER(G$1:G1236, G$1:G1236&lt;&gt;""""),COUNTA(FILTER(G$1:G1236, G$1:G1236&lt;&gt;""""))))-1), IF('To Order'!$A1237=COL"&amp;"UMNS($A1237:G1256), G1236&amp;RIGHT(INDIRECT(ADDRESS(ROW(G1237)-1, 'From Order'!$A1237)), 1), G1236))"),"")</f>
        <v/>
      </c>
      <c r="H1237" s="2" t="str">
        <f>IFERROR(__xludf.DUMMYFUNCTION("IF('From Order'!$A1237=COLUMNS($A1237:H1256), LEFT(INDEX(FILTER(H$1:H1236, H$1:H1236&lt;&gt;""""),COUNTA(FILTER(H$1:H1236, H$1:H1236&lt;&gt;""""))), LEN(INDEX(FILTER(H$1:H1236, H$1:H1236&lt;&gt;""""),COUNTA(FILTER(H$1:H1236, H$1:H1236&lt;&gt;""""))))-1), IF('To Order'!$A1237=COL"&amp;"UMNS($A1237:H1256), H1236&amp;RIGHT(INDIRECT(ADDRESS(ROW(H1237)-1, 'From Order'!$A1237)), 1), H1236))"),"")</f>
        <v/>
      </c>
      <c r="I1237" s="2" t="str">
        <f>IFERROR(__xludf.DUMMYFUNCTION("IF('From Order'!$A1237=COLUMNS($A1237:I1256), LEFT(INDEX(FILTER(I$1:I1236, I$1:I1236&lt;&gt;""""),COUNTA(FILTER(I$1:I1236, I$1:I1236&lt;&gt;""""))), LEN(INDEX(FILTER(I$1:I1236, I$1:I1236&lt;&gt;""""),COUNTA(FILTER(I$1:I1236, I$1:I1236&lt;&gt;""""))))-1), IF('To Order'!$A1237=COL"&amp;"UMNS($A1237:I1256), I1236&amp;RIGHT(INDIRECT(ADDRESS(ROW(I1237)-1, 'From Order'!$A1237)), 1), I1236))"),"SFVTSVDTWRM")</f>
        <v>SFVTSVDTWRM</v>
      </c>
    </row>
    <row r="1238">
      <c r="A1238" s="2" t="str">
        <f>IFERROR(__xludf.DUMMYFUNCTION("IF('From Order'!$A1238=COLUMNS($A1238:A1257), LEFT(INDEX(FILTER(A$1:A1237, A$1:A1237&lt;&gt;""""),COUNTA(FILTER(A$1:A1237, A$1:A1237&lt;&gt;""""))), LEN(INDEX(FILTER(A$1:A1237, A$1:A1237&lt;&gt;""""),COUNTA(FILTER(A$1:A1237, A$1:A1237&lt;&gt;""""))))-1), IF('To Order'!$A1238=COL"&amp;"UMNS($A1238:A1257), A1237&amp;RIGHT(INDIRECT(ADDRESS(ROW(A1238)-1, 'From Order'!$A1238)), 1), A1237))"),"HZB")</f>
        <v>HZB</v>
      </c>
      <c r="B1238" s="2" t="str">
        <f>IFERROR(__xludf.DUMMYFUNCTION("IF('From Order'!$A1238=COLUMNS($A1238:B1257), LEFT(INDEX(FILTER(B$1:B1237, B$1:B1237&lt;&gt;""""),COUNTA(FILTER(B$1:B1237, B$1:B1237&lt;&gt;""""))), LEN(INDEX(FILTER(B$1:B1237, B$1:B1237&lt;&gt;""""),COUNTA(FILTER(B$1:B1237, B$1:B1237&lt;&gt;""""))))-1), IF('To Order'!$A1238=COL"&amp;"UMNS($A1238:B1257), B1237&amp;RIGHT(INDIRECT(ADDRESS(ROW(B1238)-1, 'From Order'!$A1238)), 1), B1237))"),"Z")</f>
        <v>Z</v>
      </c>
      <c r="C1238" s="2" t="str">
        <f>IFERROR(__xludf.DUMMYFUNCTION("IF('From Order'!$A1238=COLUMNS($A1238:C1257), LEFT(INDEX(FILTER(C$1:C1237, C$1:C1237&lt;&gt;""""),COUNTA(FILTER(C$1:C1237, C$1:C1237&lt;&gt;""""))), LEN(INDEX(FILTER(C$1:C1237, C$1:C1237&lt;&gt;""""),COUNTA(FILTER(C$1:C1237, C$1:C1237&lt;&gt;""""))))-1), IF('To Order'!$A1238=COL"&amp;"UMNS($A1238:C1257), C1237&amp;RIGHT(INDIRECT(ADDRESS(ROW(C1238)-1, 'From Order'!$A1238)), 1), C1237))"),"TRLRSGHWQVQJPPLDTMGB")</f>
        <v>TRLRSGHWQVQJPPLDTMGB</v>
      </c>
      <c r="D1238" s="2" t="str">
        <f>IFERROR(__xludf.DUMMYFUNCTION("IF('From Order'!$A1238=COLUMNS($A1238:D1257), LEFT(INDEX(FILTER(D$1:D1237, D$1:D1237&lt;&gt;""""),COUNTA(FILTER(D$1:D1237, D$1:D1237&lt;&gt;""""))), LEN(INDEX(FILTER(D$1:D1237, D$1:D1237&lt;&gt;""""),COUNTA(FILTER(D$1:D1237, D$1:D1237&lt;&gt;""""))))-1), IF('To Order'!$A1238=COL"&amp;"UMNS($A1238:D1257), D1237&amp;RIGHT(INDIRECT(ADDRESS(ROW(D1238)-1, 'From Order'!$A1238)), 1), D1237))"),"DPL")</f>
        <v>DPL</v>
      </c>
      <c r="E1238" s="2" t="str">
        <f>IFERROR(__xludf.DUMMYFUNCTION("IF('From Order'!$A1238=COLUMNS($A1238:E1257), LEFT(INDEX(FILTER(E$1:E1237, E$1:E1237&lt;&gt;""""),COUNTA(FILTER(E$1:E1237, E$1:E1237&lt;&gt;""""))), LEN(INDEX(FILTER(E$1:E1237, E$1:E1237&lt;&gt;""""),COUNTA(FILTER(E$1:E1237, E$1:E1237&lt;&gt;""""))))-1), IF('To Order'!$A1238=COL"&amp;"UMNS($A1238:E1257), E1237&amp;RIGHT(INDIRECT(ADDRESS(ROW(E1238)-1, 'From Order'!$A1238)), 1), E1237))"),"DJDMFBTJCZRDCRCTM")</f>
        <v>DJDMFBTJCZRDCRCTM</v>
      </c>
      <c r="F1238" s="2" t="str">
        <f>IFERROR(__xludf.DUMMYFUNCTION("IF('From Order'!$A1238=COLUMNS($A1238:F1257), LEFT(INDEX(FILTER(F$1:F1237, F$1:F1237&lt;&gt;""""),COUNTA(FILTER(F$1:F1237, F$1:F1237&lt;&gt;""""))), LEN(INDEX(FILTER(F$1:F1237, F$1:F1237&lt;&gt;""""),COUNTA(FILTER(F$1:F1237, F$1:F1237&lt;&gt;""""))))-1), IF('To Order'!$A1238=COL"&amp;"UMNS($A1238:F1257), F1237&amp;RIGHT(INDIRECT(ADDRESS(ROW(F1238)-1, 'From Order'!$A1238)), 1), F1237))"),"BS")</f>
        <v>BS</v>
      </c>
      <c r="G1238" s="2" t="str">
        <f>IFERROR(__xludf.DUMMYFUNCTION("IF('From Order'!$A1238=COLUMNS($A1238:G1257), LEFT(INDEX(FILTER(G$1:G1237, G$1:G1237&lt;&gt;""""),COUNTA(FILTER(G$1:G1237, G$1:G1237&lt;&gt;""""))), LEN(INDEX(FILTER(G$1:G1237, G$1:G1237&lt;&gt;""""),COUNTA(FILTER(G$1:G1237, G$1:G1237&lt;&gt;""""))))-1), IF('To Order'!$A1238=COL"&amp;"UMNS($A1238:G1257), G1237&amp;RIGHT(INDIRECT(ADDRESS(ROW(G1238)-1, 'From Order'!$A1238)), 1), G1237))"),"")</f>
        <v/>
      </c>
      <c r="H1238" s="2" t="str">
        <f>IFERROR(__xludf.DUMMYFUNCTION("IF('From Order'!$A1238=COLUMNS($A1238:H1257), LEFT(INDEX(FILTER(H$1:H1237, H$1:H1237&lt;&gt;""""),COUNTA(FILTER(H$1:H1237, H$1:H1237&lt;&gt;""""))), LEN(INDEX(FILTER(H$1:H1237, H$1:H1237&lt;&gt;""""),COUNTA(FILTER(H$1:H1237, H$1:H1237&lt;&gt;""""))))-1), IF('To Order'!$A1238=COL"&amp;"UMNS($A1238:H1257), H1237&amp;RIGHT(INDIRECT(ADDRESS(ROW(H1238)-1, 'From Order'!$A1238)), 1), H1237))"),"")</f>
        <v/>
      </c>
      <c r="I1238" s="2" t="str">
        <f>IFERROR(__xludf.DUMMYFUNCTION("IF('From Order'!$A1238=COLUMNS($A1238:I1257), LEFT(INDEX(FILTER(I$1:I1237, I$1:I1237&lt;&gt;""""),COUNTA(FILTER(I$1:I1237, I$1:I1237&lt;&gt;""""))), LEN(INDEX(FILTER(I$1:I1237, I$1:I1237&lt;&gt;""""),COUNTA(FILTER(I$1:I1237, I$1:I1237&lt;&gt;""""))))-1), IF('To Order'!$A1238=COL"&amp;"UMNS($A1238:I1257), I1237&amp;RIGHT(INDIRECT(ADDRESS(ROW(I1238)-1, 'From Order'!$A1238)), 1), I1237))"),"SFVTSVDTWR")</f>
        <v>SFVTSVDTWR</v>
      </c>
    </row>
    <row r="1239">
      <c r="A1239" s="2" t="str">
        <f>IFERROR(__xludf.DUMMYFUNCTION("IF('From Order'!$A1239=COLUMNS($A1239:A1258), LEFT(INDEX(FILTER(A$1:A1238, A$1:A1238&lt;&gt;""""),COUNTA(FILTER(A$1:A1238, A$1:A1238&lt;&gt;""""))), LEN(INDEX(FILTER(A$1:A1238, A$1:A1238&lt;&gt;""""),COUNTA(FILTER(A$1:A1238, A$1:A1238&lt;&gt;""""))))-1), IF('To Order'!$A1239=COL"&amp;"UMNS($A1239:A1258), A1238&amp;RIGHT(INDIRECT(ADDRESS(ROW(A1239)-1, 'From Order'!$A1239)), 1), A1238))"),"HZB")</f>
        <v>HZB</v>
      </c>
      <c r="B1239" s="2" t="str">
        <f>IFERROR(__xludf.DUMMYFUNCTION("IF('From Order'!$A1239=COLUMNS($A1239:B1258), LEFT(INDEX(FILTER(B$1:B1238, B$1:B1238&lt;&gt;""""),COUNTA(FILTER(B$1:B1238, B$1:B1238&lt;&gt;""""))), LEN(INDEX(FILTER(B$1:B1238, B$1:B1238&lt;&gt;""""),COUNTA(FILTER(B$1:B1238, B$1:B1238&lt;&gt;""""))))-1), IF('To Order'!$A1239=COL"&amp;"UMNS($A1239:B1258), B1238&amp;RIGHT(INDIRECT(ADDRESS(ROW(B1239)-1, 'From Order'!$A1239)), 1), B1238))"),"Z")</f>
        <v>Z</v>
      </c>
      <c r="C1239" s="2" t="str">
        <f>IFERROR(__xludf.DUMMYFUNCTION("IF('From Order'!$A1239=COLUMNS($A1239:C1258), LEFT(INDEX(FILTER(C$1:C1238, C$1:C1238&lt;&gt;""""),COUNTA(FILTER(C$1:C1238, C$1:C1238&lt;&gt;""""))), LEN(INDEX(FILTER(C$1:C1238, C$1:C1238&lt;&gt;""""),COUNTA(FILTER(C$1:C1238, C$1:C1238&lt;&gt;""""))))-1), IF('To Order'!$A1239=COL"&amp;"UMNS($A1239:C1258), C1238&amp;RIGHT(INDIRECT(ADDRESS(ROW(C1239)-1, 'From Order'!$A1239)), 1), C1238))"),"TRLRSGHWQVQJPPLDTMGB")</f>
        <v>TRLRSGHWQVQJPPLDTMGB</v>
      </c>
      <c r="D1239" s="2" t="str">
        <f>IFERROR(__xludf.DUMMYFUNCTION("IF('From Order'!$A1239=COLUMNS($A1239:D1258), LEFT(INDEX(FILTER(D$1:D1238, D$1:D1238&lt;&gt;""""),COUNTA(FILTER(D$1:D1238, D$1:D1238&lt;&gt;""""))), LEN(INDEX(FILTER(D$1:D1238, D$1:D1238&lt;&gt;""""),COUNTA(FILTER(D$1:D1238, D$1:D1238&lt;&gt;""""))))-1), IF('To Order'!$A1239=COL"&amp;"UMNS($A1239:D1258), D1238&amp;RIGHT(INDIRECT(ADDRESS(ROW(D1239)-1, 'From Order'!$A1239)), 1), D1238))"),"DPL")</f>
        <v>DPL</v>
      </c>
      <c r="E1239" s="2" t="str">
        <f>IFERROR(__xludf.DUMMYFUNCTION("IF('From Order'!$A1239=COLUMNS($A1239:E1258), LEFT(INDEX(FILTER(E$1:E1238, E$1:E1238&lt;&gt;""""),COUNTA(FILTER(E$1:E1238, E$1:E1238&lt;&gt;""""))), LEN(INDEX(FILTER(E$1:E1238, E$1:E1238&lt;&gt;""""),COUNTA(FILTER(E$1:E1238, E$1:E1238&lt;&gt;""""))))-1), IF('To Order'!$A1239=COL"&amp;"UMNS($A1239:E1258), E1238&amp;RIGHT(INDIRECT(ADDRESS(ROW(E1239)-1, 'From Order'!$A1239)), 1), E1238))"),"DJDMFBTJCZRDCRCTMR")</f>
        <v>DJDMFBTJCZRDCRCTMR</v>
      </c>
      <c r="F1239" s="2" t="str">
        <f>IFERROR(__xludf.DUMMYFUNCTION("IF('From Order'!$A1239=COLUMNS($A1239:F1258), LEFT(INDEX(FILTER(F$1:F1238, F$1:F1238&lt;&gt;""""),COUNTA(FILTER(F$1:F1238, F$1:F1238&lt;&gt;""""))), LEN(INDEX(FILTER(F$1:F1238, F$1:F1238&lt;&gt;""""),COUNTA(FILTER(F$1:F1238, F$1:F1238&lt;&gt;""""))))-1), IF('To Order'!$A1239=COL"&amp;"UMNS($A1239:F1258), F1238&amp;RIGHT(INDIRECT(ADDRESS(ROW(F1239)-1, 'From Order'!$A1239)), 1), F1238))"),"BS")</f>
        <v>BS</v>
      </c>
      <c r="G1239" s="2" t="str">
        <f>IFERROR(__xludf.DUMMYFUNCTION("IF('From Order'!$A1239=COLUMNS($A1239:G1258), LEFT(INDEX(FILTER(G$1:G1238, G$1:G1238&lt;&gt;""""),COUNTA(FILTER(G$1:G1238, G$1:G1238&lt;&gt;""""))), LEN(INDEX(FILTER(G$1:G1238, G$1:G1238&lt;&gt;""""),COUNTA(FILTER(G$1:G1238, G$1:G1238&lt;&gt;""""))))-1), IF('To Order'!$A1239=COL"&amp;"UMNS($A1239:G1258), G1238&amp;RIGHT(INDIRECT(ADDRESS(ROW(G1239)-1, 'From Order'!$A1239)), 1), G1238))"),"")</f>
        <v/>
      </c>
      <c r="H1239" s="2" t="str">
        <f>IFERROR(__xludf.DUMMYFUNCTION("IF('From Order'!$A1239=COLUMNS($A1239:H1258), LEFT(INDEX(FILTER(H$1:H1238, H$1:H1238&lt;&gt;""""),COUNTA(FILTER(H$1:H1238, H$1:H1238&lt;&gt;""""))), LEN(INDEX(FILTER(H$1:H1238, H$1:H1238&lt;&gt;""""),COUNTA(FILTER(H$1:H1238, H$1:H1238&lt;&gt;""""))))-1), IF('To Order'!$A1239=COL"&amp;"UMNS($A1239:H1258), H1238&amp;RIGHT(INDIRECT(ADDRESS(ROW(H1239)-1, 'From Order'!$A1239)), 1), H1238))"),"")</f>
        <v/>
      </c>
      <c r="I1239" s="2" t="str">
        <f>IFERROR(__xludf.DUMMYFUNCTION("IF('From Order'!$A1239=COLUMNS($A1239:I1258), LEFT(INDEX(FILTER(I$1:I1238, I$1:I1238&lt;&gt;""""),COUNTA(FILTER(I$1:I1238, I$1:I1238&lt;&gt;""""))), LEN(INDEX(FILTER(I$1:I1238, I$1:I1238&lt;&gt;""""),COUNTA(FILTER(I$1:I1238, I$1:I1238&lt;&gt;""""))))-1), IF('To Order'!$A1239=COL"&amp;"UMNS($A1239:I1258), I1238&amp;RIGHT(INDIRECT(ADDRESS(ROW(I1239)-1, 'From Order'!$A1239)), 1), I1238))"),"SFVTSVDTW")</f>
        <v>SFVTSVDTW</v>
      </c>
    </row>
    <row r="1240">
      <c r="A1240" s="2" t="str">
        <f>IFERROR(__xludf.DUMMYFUNCTION("IF('From Order'!$A1240=COLUMNS($A1240:A1259), LEFT(INDEX(FILTER(A$1:A1239, A$1:A1239&lt;&gt;""""),COUNTA(FILTER(A$1:A1239, A$1:A1239&lt;&gt;""""))), LEN(INDEX(FILTER(A$1:A1239, A$1:A1239&lt;&gt;""""),COUNTA(FILTER(A$1:A1239, A$1:A1239&lt;&gt;""""))))-1), IF('To Order'!$A1240=COL"&amp;"UMNS($A1240:A1259), A1239&amp;RIGHT(INDIRECT(ADDRESS(ROW(A1240)-1, 'From Order'!$A1240)), 1), A1239))"),"HZB")</f>
        <v>HZB</v>
      </c>
      <c r="B1240" s="2" t="str">
        <f>IFERROR(__xludf.DUMMYFUNCTION("IF('From Order'!$A1240=COLUMNS($A1240:B1259), LEFT(INDEX(FILTER(B$1:B1239, B$1:B1239&lt;&gt;""""),COUNTA(FILTER(B$1:B1239, B$1:B1239&lt;&gt;""""))), LEN(INDEX(FILTER(B$1:B1239, B$1:B1239&lt;&gt;""""),COUNTA(FILTER(B$1:B1239, B$1:B1239&lt;&gt;""""))))-1), IF('To Order'!$A1240=COL"&amp;"UMNS($A1240:B1259), B1239&amp;RIGHT(INDIRECT(ADDRESS(ROW(B1240)-1, 'From Order'!$A1240)), 1), B1239))"),"Z")</f>
        <v>Z</v>
      </c>
      <c r="C1240" s="2" t="str">
        <f>IFERROR(__xludf.DUMMYFUNCTION("IF('From Order'!$A1240=COLUMNS($A1240:C1259), LEFT(INDEX(FILTER(C$1:C1239, C$1:C1239&lt;&gt;""""),COUNTA(FILTER(C$1:C1239, C$1:C1239&lt;&gt;""""))), LEN(INDEX(FILTER(C$1:C1239, C$1:C1239&lt;&gt;""""),COUNTA(FILTER(C$1:C1239, C$1:C1239&lt;&gt;""""))))-1), IF('To Order'!$A1240=COL"&amp;"UMNS($A1240:C1259), C1239&amp;RIGHT(INDIRECT(ADDRESS(ROW(C1240)-1, 'From Order'!$A1240)), 1), C1239))"),"TRLRSGHWQVQJPPLDTMGB")</f>
        <v>TRLRSGHWQVQJPPLDTMGB</v>
      </c>
      <c r="D1240" s="2" t="str">
        <f>IFERROR(__xludf.DUMMYFUNCTION("IF('From Order'!$A1240=COLUMNS($A1240:D1259), LEFT(INDEX(FILTER(D$1:D1239, D$1:D1239&lt;&gt;""""),COUNTA(FILTER(D$1:D1239, D$1:D1239&lt;&gt;""""))), LEN(INDEX(FILTER(D$1:D1239, D$1:D1239&lt;&gt;""""),COUNTA(FILTER(D$1:D1239, D$1:D1239&lt;&gt;""""))))-1), IF('To Order'!$A1240=COL"&amp;"UMNS($A1240:D1259), D1239&amp;RIGHT(INDIRECT(ADDRESS(ROW(D1240)-1, 'From Order'!$A1240)), 1), D1239))"),"DPL")</f>
        <v>DPL</v>
      </c>
      <c r="E1240" s="2" t="str">
        <f>IFERROR(__xludf.DUMMYFUNCTION("IF('From Order'!$A1240=COLUMNS($A1240:E1259), LEFT(INDEX(FILTER(E$1:E1239, E$1:E1239&lt;&gt;""""),COUNTA(FILTER(E$1:E1239, E$1:E1239&lt;&gt;""""))), LEN(INDEX(FILTER(E$1:E1239, E$1:E1239&lt;&gt;""""),COUNTA(FILTER(E$1:E1239, E$1:E1239&lt;&gt;""""))))-1), IF('To Order'!$A1240=COL"&amp;"UMNS($A1240:E1259), E1239&amp;RIGHT(INDIRECT(ADDRESS(ROW(E1240)-1, 'From Order'!$A1240)), 1), E1239))"),"DJDMFBTJCZRDCRCTMRW")</f>
        <v>DJDMFBTJCZRDCRCTMRW</v>
      </c>
      <c r="F1240" s="2" t="str">
        <f>IFERROR(__xludf.DUMMYFUNCTION("IF('From Order'!$A1240=COLUMNS($A1240:F1259), LEFT(INDEX(FILTER(F$1:F1239, F$1:F1239&lt;&gt;""""),COUNTA(FILTER(F$1:F1239, F$1:F1239&lt;&gt;""""))), LEN(INDEX(FILTER(F$1:F1239, F$1:F1239&lt;&gt;""""),COUNTA(FILTER(F$1:F1239, F$1:F1239&lt;&gt;""""))))-1), IF('To Order'!$A1240=COL"&amp;"UMNS($A1240:F1259), F1239&amp;RIGHT(INDIRECT(ADDRESS(ROW(F1240)-1, 'From Order'!$A1240)), 1), F1239))"),"BS")</f>
        <v>BS</v>
      </c>
      <c r="G1240" s="2" t="str">
        <f>IFERROR(__xludf.DUMMYFUNCTION("IF('From Order'!$A1240=COLUMNS($A1240:G1259), LEFT(INDEX(FILTER(G$1:G1239, G$1:G1239&lt;&gt;""""),COUNTA(FILTER(G$1:G1239, G$1:G1239&lt;&gt;""""))), LEN(INDEX(FILTER(G$1:G1239, G$1:G1239&lt;&gt;""""),COUNTA(FILTER(G$1:G1239, G$1:G1239&lt;&gt;""""))))-1), IF('To Order'!$A1240=COL"&amp;"UMNS($A1240:G1259), G1239&amp;RIGHT(INDIRECT(ADDRESS(ROW(G1240)-1, 'From Order'!$A1240)), 1), G1239))"),"")</f>
        <v/>
      </c>
      <c r="H1240" s="2" t="str">
        <f>IFERROR(__xludf.DUMMYFUNCTION("IF('From Order'!$A1240=COLUMNS($A1240:H1259), LEFT(INDEX(FILTER(H$1:H1239, H$1:H1239&lt;&gt;""""),COUNTA(FILTER(H$1:H1239, H$1:H1239&lt;&gt;""""))), LEN(INDEX(FILTER(H$1:H1239, H$1:H1239&lt;&gt;""""),COUNTA(FILTER(H$1:H1239, H$1:H1239&lt;&gt;""""))))-1), IF('To Order'!$A1240=COL"&amp;"UMNS($A1240:H1259), H1239&amp;RIGHT(INDIRECT(ADDRESS(ROW(H1240)-1, 'From Order'!$A1240)), 1), H1239))"),"")</f>
        <v/>
      </c>
      <c r="I1240" s="2" t="str">
        <f>IFERROR(__xludf.DUMMYFUNCTION("IF('From Order'!$A1240=COLUMNS($A1240:I1259), LEFT(INDEX(FILTER(I$1:I1239, I$1:I1239&lt;&gt;""""),COUNTA(FILTER(I$1:I1239, I$1:I1239&lt;&gt;""""))), LEN(INDEX(FILTER(I$1:I1239, I$1:I1239&lt;&gt;""""),COUNTA(FILTER(I$1:I1239, I$1:I1239&lt;&gt;""""))))-1), IF('To Order'!$A1240=COL"&amp;"UMNS($A1240:I1259), I1239&amp;RIGHT(INDIRECT(ADDRESS(ROW(I1240)-1, 'From Order'!$A1240)), 1), I1239))"),"SFVTSVDT")</f>
        <v>SFVTSVDT</v>
      </c>
    </row>
    <row r="1241">
      <c r="A1241" s="2" t="str">
        <f>IFERROR(__xludf.DUMMYFUNCTION("IF('From Order'!$A1241=COLUMNS($A1241:A1260), LEFT(INDEX(FILTER(A$1:A1240, A$1:A1240&lt;&gt;""""),COUNTA(FILTER(A$1:A1240, A$1:A1240&lt;&gt;""""))), LEN(INDEX(FILTER(A$1:A1240, A$1:A1240&lt;&gt;""""),COUNTA(FILTER(A$1:A1240, A$1:A1240&lt;&gt;""""))))-1), IF('To Order'!$A1241=COL"&amp;"UMNS($A1241:A1260), A1240&amp;RIGHT(INDIRECT(ADDRESS(ROW(A1241)-1, 'From Order'!$A1241)), 1), A1240))"),"HZB")</f>
        <v>HZB</v>
      </c>
      <c r="B1241" s="2" t="str">
        <f>IFERROR(__xludf.DUMMYFUNCTION("IF('From Order'!$A1241=COLUMNS($A1241:B1260), LEFT(INDEX(FILTER(B$1:B1240, B$1:B1240&lt;&gt;""""),COUNTA(FILTER(B$1:B1240, B$1:B1240&lt;&gt;""""))), LEN(INDEX(FILTER(B$1:B1240, B$1:B1240&lt;&gt;""""),COUNTA(FILTER(B$1:B1240, B$1:B1240&lt;&gt;""""))))-1), IF('To Order'!$A1241=COL"&amp;"UMNS($A1241:B1260), B1240&amp;RIGHT(INDIRECT(ADDRESS(ROW(B1241)-1, 'From Order'!$A1241)), 1), B1240))"),"")</f>
        <v/>
      </c>
      <c r="C1241" s="2" t="str">
        <f>IFERROR(__xludf.DUMMYFUNCTION("IF('From Order'!$A1241=COLUMNS($A1241:C1260), LEFT(INDEX(FILTER(C$1:C1240, C$1:C1240&lt;&gt;""""),COUNTA(FILTER(C$1:C1240, C$1:C1240&lt;&gt;""""))), LEN(INDEX(FILTER(C$1:C1240, C$1:C1240&lt;&gt;""""),COUNTA(FILTER(C$1:C1240, C$1:C1240&lt;&gt;""""))))-1), IF('To Order'!$A1241=COL"&amp;"UMNS($A1241:C1260), C1240&amp;RIGHT(INDIRECT(ADDRESS(ROW(C1241)-1, 'From Order'!$A1241)), 1), C1240))"),"TRLRSGHWQVQJPPLDTMGB")</f>
        <v>TRLRSGHWQVQJPPLDTMGB</v>
      </c>
      <c r="D1241" s="2" t="str">
        <f>IFERROR(__xludf.DUMMYFUNCTION("IF('From Order'!$A1241=COLUMNS($A1241:D1260), LEFT(INDEX(FILTER(D$1:D1240, D$1:D1240&lt;&gt;""""),COUNTA(FILTER(D$1:D1240, D$1:D1240&lt;&gt;""""))), LEN(INDEX(FILTER(D$1:D1240, D$1:D1240&lt;&gt;""""),COUNTA(FILTER(D$1:D1240, D$1:D1240&lt;&gt;""""))))-1), IF('To Order'!$A1241=COL"&amp;"UMNS($A1241:D1260), D1240&amp;RIGHT(INDIRECT(ADDRESS(ROW(D1241)-1, 'From Order'!$A1241)), 1), D1240))"),"DPL")</f>
        <v>DPL</v>
      </c>
      <c r="E1241" s="2" t="str">
        <f>IFERROR(__xludf.DUMMYFUNCTION("IF('From Order'!$A1241=COLUMNS($A1241:E1260), LEFT(INDEX(FILTER(E$1:E1240, E$1:E1240&lt;&gt;""""),COUNTA(FILTER(E$1:E1240, E$1:E1240&lt;&gt;""""))), LEN(INDEX(FILTER(E$1:E1240, E$1:E1240&lt;&gt;""""),COUNTA(FILTER(E$1:E1240, E$1:E1240&lt;&gt;""""))))-1), IF('To Order'!$A1241=COL"&amp;"UMNS($A1241:E1260), E1240&amp;RIGHT(INDIRECT(ADDRESS(ROW(E1241)-1, 'From Order'!$A1241)), 1), E1240))"),"DJDMFBTJCZRDCRCTMRW")</f>
        <v>DJDMFBTJCZRDCRCTMRW</v>
      </c>
      <c r="F1241" s="2" t="str">
        <f>IFERROR(__xludf.DUMMYFUNCTION("IF('From Order'!$A1241=COLUMNS($A1241:F1260), LEFT(INDEX(FILTER(F$1:F1240, F$1:F1240&lt;&gt;""""),COUNTA(FILTER(F$1:F1240, F$1:F1240&lt;&gt;""""))), LEN(INDEX(FILTER(F$1:F1240, F$1:F1240&lt;&gt;""""),COUNTA(FILTER(F$1:F1240, F$1:F1240&lt;&gt;""""))))-1), IF('To Order'!$A1241=COL"&amp;"UMNS($A1241:F1260), F1240&amp;RIGHT(INDIRECT(ADDRESS(ROW(F1241)-1, 'From Order'!$A1241)), 1), F1240))"),"BS")</f>
        <v>BS</v>
      </c>
      <c r="G1241" s="2" t="str">
        <f>IFERROR(__xludf.DUMMYFUNCTION("IF('From Order'!$A1241=COLUMNS($A1241:G1260), LEFT(INDEX(FILTER(G$1:G1240, G$1:G1240&lt;&gt;""""),COUNTA(FILTER(G$1:G1240, G$1:G1240&lt;&gt;""""))), LEN(INDEX(FILTER(G$1:G1240, G$1:G1240&lt;&gt;""""),COUNTA(FILTER(G$1:G1240, G$1:G1240&lt;&gt;""""))))-1), IF('To Order'!$A1241=COL"&amp;"UMNS($A1241:G1260), G1240&amp;RIGHT(INDIRECT(ADDRESS(ROW(G1241)-1, 'From Order'!$A1241)), 1), G1240))"),"Z")</f>
        <v>Z</v>
      </c>
      <c r="H1241" s="2" t="str">
        <f>IFERROR(__xludf.DUMMYFUNCTION("IF('From Order'!$A1241=COLUMNS($A1241:H1260), LEFT(INDEX(FILTER(H$1:H1240, H$1:H1240&lt;&gt;""""),COUNTA(FILTER(H$1:H1240, H$1:H1240&lt;&gt;""""))), LEN(INDEX(FILTER(H$1:H1240, H$1:H1240&lt;&gt;""""),COUNTA(FILTER(H$1:H1240, H$1:H1240&lt;&gt;""""))))-1), IF('To Order'!$A1241=COL"&amp;"UMNS($A1241:H1260), H1240&amp;RIGHT(INDIRECT(ADDRESS(ROW(H1241)-1, 'From Order'!$A1241)), 1), H1240))"),"")</f>
        <v/>
      </c>
      <c r="I1241" s="2" t="str">
        <f>IFERROR(__xludf.DUMMYFUNCTION("IF('From Order'!$A1241=COLUMNS($A1241:I1260), LEFT(INDEX(FILTER(I$1:I1240, I$1:I1240&lt;&gt;""""),COUNTA(FILTER(I$1:I1240, I$1:I1240&lt;&gt;""""))), LEN(INDEX(FILTER(I$1:I1240, I$1:I1240&lt;&gt;""""),COUNTA(FILTER(I$1:I1240, I$1:I1240&lt;&gt;""""))))-1), IF('To Order'!$A1241=COL"&amp;"UMNS($A1241:I1260), I1240&amp;RIGHT(INDIRECT(ADDRESS(ROW(I1241)-1, 'From Order'!$A1241)), 1), I1240))"),"SFVTSVDT")</f>
        <v>SFVTSVDT</v>
      </c>
    </row>
    <row r="1242">
      <c r="A1242" s="2" t="str">
        <f>IFERROR(__xludf.DUMMYFUNCTION("IF('From Order'!$A1242=COLUMNS($A1242:A1261), LEFT(INDEX(FILTER(A$1:A1241, A$1:A1241&lt;&gt;""""),COUNTA(FILTER(A$1:A1241, A$1:A1241&lt;&gt;""""))), LEN(INDEX(FILTER(A$1:A1241, A$1:A1241&lt;&gt;""""),COUNTA(FILTER(A$1:A1241, A$1:A1241&lt;&gt;""""))))-1), IF('To Order'!$A1242=COL"&amp;"UMNS($A1242:A1261), A1241&amp;RIGHT(INDIRECT(ADDRESS(ROW(A1242)-1, 'From Order'!$A1242)), 1), A1241))"),"HZB")</f>
        <v>HZB</v>
      </c>
      <c r="B1242" s="2" t="str">
        <f>IFERROR(__xludf.DUMMYFUNCTION("IF('From Order'!$A1242=COLUMNS($A1242:B1261), LEFT(INDEX(FILTER(B$1:B1241, B$1:B1241&lt;&gt;""""),COUNTA(FILTER(B$1:B1241, B$1:B1241&lt;&gt;""""))), LEN(INDEX(FILTER(B$1:B1241, B$1:B1241&lt;&gt;""""),COUNTA(FILTER(B$1:B1241, B$1:B1241&lt;&gt;""""))))-1), IF('To Order'!$A1242=COL"&amp;"UMNS($A1242:B1261), B1241&amp;RIGHT(INDIRECT(ADDRESS(ROW(B1242)-1, 'From Order'!$A1242)), 1), B1241))"),"Z")</f>
        <v>Z</v>
      </c>
      <c r="C1242" s="2" t="str">
        <f>IFERROR(__xludf.DUMMYFUNCTION("IF('From Order'!$A1242=COLUMNS($A1242:C1261), LEFT(INDEX(FILTER(C$1:C1241, C$1:C1241&lt;&gt;""""),COUNTA(FILTER(C$1:C1241, C$1:C1241&lt;&gt;""""))), LEN(INDEX(FILTER(C$1:C1241, C$1:C1241&lt;&gt;""""),COUNTA(FILTER(C$1:C1241, C$1:C1241&lt;&gt;""""))))-1), IF('To Order'!$A1242=COL"&amp;"UMNS($A1242:C1261), C1241&amp;RIGHT(INDIRECT(ADDRESS(ROW(C1242)-1, 'From Order'!$A1242)), 1), C1241))"),"TRLRSGHWQVQJPPLDTMGB")</f>
        <v>TRLRSGHWQVQJPPLDTMGB</v>
      </c>
      <c r="D1242" s="2" t="str">
        <f>IFERROR(__xludf.DUMMYFUNCTION("IF('From Order'!$A1242=COLUMNS($A1242:D1261), LEFT(INDEX(FILTER(D$1:D1241, D$1:D1241&lt;&gt;""""),COUNTA(FILTER(D$1:D1241, D$1:D1241&lt;&gt;""""))), LEN(INDEX(FILTER(D$1:D1241, D$1:D1241&lt;&gt;""""),COUNTA(FILTER(D$1:D1241, D$1:D1241&lt;&gt;""""))))-1), IF('To Order'!$A1242=COL"&amp;"UMNS($A1242:D1261), D1241&amp;RIGHT(INDIRECT(ADDRESS(ROW(D1242)-1, 'From Order'!$A1242)), 1), D1241))"),"DPL")</f>
        <v>DPL</v>
      </c>
      <c r="E1242" s="2" t="str">
        <f>IFERROR(__xludf.DUMMYFUNCTION("IF('From Order'!$A1242=COLUMNS($A1242:E1261), LEFT(INDEX(FILTER(E$1:E1241, E$1:E1241&lt;&gt;""""),COUNTA(FILTER(E$1:E1241, E$1:E1241&lt;&gt;""""))), LEN(INDEX(FILTER(E$1:E1241, E$1:E1241&lt;&gt;""""),COUNTA(FILTER(E$1:E1241, E$1:E1241&lt;&gt;""""))))-1), IF('To Order'!$A1242=COL"&amp;"UMNS($A1242:E1261), E1241&amp;RIGHT(INDIRECT(ADDRESS(ROW(E1242)-1, 'From Order'!$A1242)), 1), E1241))"),"DJDMFBTJCZRDCRCTMRW")</f>
        <v>DJDMFBTJCZRDCRCTMRW</v>
      </c>
      <c r="F1242" s="2" t="str">
        <f>IFERROR(__xludf.DUMMYFUNCTION("IF('From Order'!$A1242=COLUMNS($A1242:F1261), LEFT(INDEX(FILTER(F$1:F1241, F$1:F1241&lt;&gt;""""),COUNTA(FILTER(F$1:F1241, F$1:F1241&lt;&gt;""""))), LEN(INDEX(FILTER(F$1:F1241, F$1:F1241&lt;&gt;""""),COUNTA(FILTER(F$1:F1241, F$1:F1241&lt;&gt;""""))))-1), IF('To Order'!$A1242=COL"&amp;"UMNS($A1242:F1261), F1241&amp;RIGHT(INDIRECT(ADDRESS(ROW(F1242)-1, 'From Order'!$A1242)), 1), F1241))"),"BS")</f>
        <v>BS</v>
      </c>
      <c r="G1242" s="2" t="str">
        <f>IFERROR(__xludf.DUMMYFUNCTION("IF('From Order'!$A1242=COLUMNS($A1242:G1261), LEFT(INDEX(FILTER(G$1:G1241, G$1:G1241&lt;&gt;""""),COUNTA(FILTER(G$1:G1241, G$1:G1241&lt;&gt;""""))), LEN(INDEX(FILTER(G$1:G1241, G$1:G1241&lt;&gt;""""),COUNTA(FILTER(G$1:G1241, G$1:G1241&lt;&gt;""""))))-1), IF('To Order'!$A1242=COL"&amp;"UMNS($A1242:G1261), G1241&amp;RIGHT(INDIRECT(ADDRESS(ROW(G1242)-1, 'From Order'!$A1242)), 1), G1241))"),"")</f>
        <v/>
      </c>
      <c r="H1242" s="2" t="str">
        <f>IFERROR(__xludf.DUMMYFUNCTION("IF('From Order'!$A1242=COLUMNS($A1242:H1261), LEFT(INDEX(FILTER(H$1:H1241, H$1:H1241&lt;&gt;""""),COUNTA(FILTER(H$1:H1241, H$1:H1241&lt;&gt;""""))), LEN(INDEX(FILTER(H$1:H1241, H$1:H1241&lt;&gt;""""),COUNTA(FILTER(H$1:H1241, H$1:H1241&lt;&gt;""""))))-1), IF('To Order'!$A1242=COL"&amp;"UMNS($A1242:H1261), H1241&amp;RIGHT(INDIRECT(ADDRESS(ROW(H1242)-1, 'From Order'!$A1242)), 1), H1241))"),"")</f>
        <v/>
      </c>
      <c r="I1242" s="2" t="str">
        <f>IFERROR(__xludf.DUMMYFUNCTION("IF('From Order'!$A1242=COLUMNS($A1242:I1261), LEFT(INDEX(FILTER(I$1:I1241, I$1:I1241&lt;&gt;""""),COUNTA(FILTER(I$1:I1241, I$1:I1241&lt;&gt;""""))), LEN(INDEX(FILTER(I$1:I1241, I$1:I1241&lt;&gt;""""),COUNTA(FILTER(I$1:I1241, I$1:I1241&lt;&gt;""""))))-1), IF('To Order'!$A1242=COL"&amp;"UMNS($A1242:I1261), I1241&amp;RIGHT(INDIRECT(ADDRESS(ROW(I1242)-1, 'From Order'!$A1242)), 1), I1241))"),"SFVTSVDT")</f>
        <v>SFVTSVDT</v>
      </c>
    </row>
    <row r="1243">
      <c r="A1243" s="2" t="str">
        <f>IFERROR(__xludf.DUMMYFUNCTION("IF('From Order'!$A1243=COLUMNS($A1243:A1262), LEFT(INDEX(FILTER(A$1:A1242, A$1:A1242&lt;&gt;""""),COUNTA(FILTER(A$1:A1242, A$1:A1242&lt;&gt;""""))), LEN(INDEX(FILTER(A$1:A1242, A$1:A1242&lt;&gt;""""),COUNTA(FILTER(A$1:A1242, A$1:A1242&lt;&gt;""""))))-1), IF('To Order'!$A1243=COL"&amp;"UMNS($A1243:A1262), A1242&amp;RIGHT(INDIRECT(ADDRESS(ROW(A1243)-1, 'From Order'!$A1243)), 1), A1242))"),"HZB")</f>
        <v>HZB</v>
      </c>
      <c r="B1243" s="2" t="str">
        <f>IFERROR(__xludf.DUMMYFUNCTION("IF('From Order'!$A1243=COLUMNS($A1243:B1262), LEFT(INDEX(FILTER(B$1:B1242, B$1:B1242&lt;&gt;""""),COUNTA(FILTER(B$1:B1242, B$1:B1242&lt;&gt;""""))), LEN(INDEX(FILTER(B$1:B1242, B$1:B1242&lt;&gt;""""),COUNTA(FILTER(B$1:B1242, B$1:B1242&lt;&gt;""""))))-1), IF('To Order'!$A1243=COL"&amp;"UMNS($A1243:B1262), B1242&amp;RIGHT(INDIRECT(ADDRESS(ROW(B1243)-1, 'From Order'!$A1243)), 1), B1242))"),"ZL")</f>
        <v>ZL</v>
      </c>
      <c r="C1243" s="2" t="str">
        <f>IFERROR(__xludf.DUMMYFUNCTION("IF('From Order'!$A1243=COLUMNS($A1243:C1262), LEFT(INDEX(FILTER(C$1:C1242, C$1:C1242&lt;&gt;""""),COUNTA(FILTER(C$1:C1242, C$1:C1242&lt;&gt;""""))), LEN(INDEX(FILTER(C$1:C1242, C$1:C1242&lt;&gt;""""),COUNTA(FILTER(C$1:C1242, C$1:C1242&lt;&gt;""""))))-1), IF('To Order'!$A1243=COL"&amp;"UMNS($A1243:C1262), C1242&amp;RIGHT(INDIRECT(ADDRESS(ROW(C1243)-1, 'From Order'!$A1243)), 1), C1242))"),"TRLRSGHWQVQJPPLDTMGB")</f>
        <v>TRLRSGHWQVQJPPLDTMGB</v>
      </c>
      <c r="D1243" s="2" t="str">
        <f>IFERROR(__xludf.DUMMYFUNCTION("IF('From Order'!$A1243=COLUMNS($A1243:D1262), LEFT(INDEX(FILTER(D$1:D1242, D$1:D1242&lt;&gt;""""),COUNTA(FILTER(D$1:D1242, D$1:D1242&lt;&gt;""""))), LEN(INDEX(FILTER(D$1:D1242, D$1:D1242&lt;&gt;""""),COUNTA(FILTER(D$1:D1242, D$1:D1242&lt;&gt;""""))))-1), IF('To Order'!$A1243=COL"&amp;"UMNS($A1243:D1262), D1242&amp;RIGHT(INDIRECT(ADDRESS(ROW(D1243)-1, 'From Order'!$A1243)), 1), D1242))"),"DP")</f>
        <v>DP</v>
      </c>
      <c r="E1243" s="2" t="str">
        <f>IFERROR(__xludf.DUMMYFUNCTION("IF('From Order'!$A1243=COLUMNS($A1243:E1262), LEFT(INDEX(FILTER(E$1:E1242, E$1:E1242&lt;&gt;""""),COUNTA(FILTER(E$1:E1242, E$1:E1242&lt;&gt;""""))), LEN(INDEX(FILTER(E$1:E1242, E$1:E1242&lt;&gt;""""),COUNTA(FILTER(E$1:E1242, E$1:E1242&lt;&gt;""""))))-1), IF('To Order'!$A1243=COL"&amp;"UMNS($A1243:E1262), E1242&amp;RIGHT(INDIRECT(ADDRESS(ROW(E1243)-1, 'From Order'!$A1243)), 1), E1242))"),"DJDMFBTJCZRDCRCTMRW")</f>
        <v>DJDMFBTJCZRDCRCTMRW</v>
      </c>
      <c r="F1243" s="2" t="str">
        <f>IFERROR(__xludf.DUMMYFUNCTION("IF('From Order'!$A1243=COLUMNS($A1243:F1262), LEFT(INDEX(FILTER(F$1:F1242, F$1:F1242&lt;&gt;""""),COUNTA(FILTER(F$1:F1242, F$1:F1242&lt;&gt;""""))), LEN(INDEX(FILTER(F$1:F1242, F$1:F1242&lt;&gt;""""),COUNTA(FILTER(F$1:F1242, F$1:F1242&lt;&gt;""""))))-1), IF('To Order'!$A1243=COL"&amp;"UMNS($A1243:F1262), F1242&amp;RIGHT(INDIRECT(ADDRESS(ROW(F1243)-1, 'From Order'!$A1243)), 1), F1242))"),"BS")</f>
        <v>BS</v>
      </c>
      <c r="G1243" s="2" t="str">
        <f>IFERROR(__xludf.DUMMYFUNCTION("IF('From Order'!$A1243=COLUMNS($A1243:G1262), LEFT(INDEX(FILTER(G$1:G1242, G$1:G1242&lt;&gt;""""),COUNTA(FILTER(G$1:G1242, G$1:G1242&lt;&gt;""""))), LEN(INDEX(FILTER(G$1:G1242, G$1:G1242&lt;&gt;""""),COUNTA(FILTER(G$1:G1242, G$1:G1242&lt;&gt;""""))))-1), IF('To Order'!$A1243=COL"&amp;"UMNS($A1243:G1262), G1242&amp;RIGHT(INDIRECT(ADDRESS(ROW(G1243)-1, 'From Order'!$A1243)), 1), G1242))"),"")</f>
        <v/>
      </c>
      <c r="H1243" s="2" t="str">
        <f>IFERROR(__xludf.DUMMYFUNCTION("IF('From Order'!$A1243=COLUMNS($A1243:H1262), LEFT(INDEX(FILTER(H$1:H1242, H$1:H1242&lt;&gt;""""),COUNTA(FILTER(H$1:H1242, H$1:H1242&lt;&gt;""""))), LEN(INDEX(FILTER(H$1:H1242, H$1:H1242&lt;&gt;""""),COUNTA(FILTER(H$1:H1242, H$1:H1242&lt;&gt;""""))))-1), IF('To Order'!$A1243=COL"&amp;"UMNS($A1243:H1262), H1242&amp;RIGHT(INDIRECT(ADDRESS(ROW(H1243)-1, 'From Order'!$A1243)), 1), H1242))"),"")</f>
        <v/>
      </c>
      <c r="I1243" s="2" t="str">
        <f>IFERROR(__xludf.DUMMYFUNCTION("IF('From Order'!$A1243=COLUMNS($A1243:I1262), LEFT(INDEX(FILTER(I$1:I1242, I$1:I1242&lt;&gt;""""),COUNTA(FILTER(I$1:I1242, I$1:I1242&lt;&gt;""""))), LEN(INDEX(FILTER(I$1:I1242, I$1:I1242&lt;&gt;""""),COUNTA(FILTER(I$1:I1242, I$1:I1242&lt;&gt;""""))))-1), IF('To Order'!$A1243=COL"&amp;"UMNS($A1243:I1262), I1242&amp;RIGHT(INDIRECT(ADDRESS(ROW(I1243)-1, 'From Order'!$A1243)), 1), I1242))"),"SFVTSVDT")</f>
        <v>SFVTSVDT</v>
      </c>
    </row>
    <row r="1244">
      <c r="A1244" s="2" t="str">
        <f>IFERROR(__xludf.DUMMYFUNCTION("IF('From Order'!$A1244=COLUMNS($A1244:A1263), LEFT(INDEX(FILTER(A$1:A1243, A$1:A1243&lt;&gt;""""),COUNTA(FILTER(A$1:A1243, A$1:A1243&lt;&gt;""""))), LEN(INDEX(FILTER(A$1:A1243, A$1:A1243&lt;&gt;""""),COUNTA(FILTER(A$1:A1243, A$1:A1243&lt;&gt;""""))))-1), IF('To Order'!$A1244=COL"&amp;"UMNS($A1244:A1263), A1243&amp;RIGHT(INDIRECT(ADDRESS(ROW(A1244)-1, 'From Order'!$A1244)), 1), A1243))"),"HZB")</f>
        <v>HZB</v>
      </c>
      <c r="B1244" s="2" t="str">
        <f>IFERROR(__xludf.DUMMYFUNCTION("IF('From Order'!$A1244=COLUMNS($A1244:B1263), LEFT(INDEX(FILTER(B$1:B1243, B$1:B1243&lt;&gt;""""),COUNTA(FILTER(B$1:B1243, B$1:B1243&lt;&gt;""""))), LEN(INDEX(FILTER(B$1:B1243, B$1:B1243&lt;&gt;""""),COUNTA(FILTER(B$1:B1243, B$1:B1243&lt;&gt;""""))))-1), IF('To Order'!$A1244=COL"&amp;"UMNS($A1244:B1263), B1243&amp;RIGHT(INDIRECT(ADDRESS(ROW(B1244)-1, 'From Order'!$A1244)), 1), B1243))"),"ZLP")</f>
        <v>ZLP</v>
      </c>
      <c r="C1244" s="2" t="str">
        <f>IFERROR(__xludf.DUMMYFUNCTION("IF('From Order'!$A1244=COLUMNS($A1244:C1263), LEFT(INDEX(FILTER(C$1:C1243, C$1:C1243&lt;&gt;""""),COUNTA(FILTER(C$1:C1243, C$1:C1243&lt;&gt;""""))), LEN(INDEX(FILTER(C$1:C1243, C$1:C1243&lt;&gt;""""),COUNTA(FILTER(C$1:C1243, C$1:C1243&lt;&gt;""""))))-1), IF('To Order'!$A1244=COL"&amp;"UMNS($A1244:C1263), C1243&amp;RIGHT(INDIRECT(ADDRESS(ROW(C1244)-1, 'From Order'!$A1244)), 1), C1243))"),"TRLRSGHWQVQJPPLDTMGB")</f>
        <v>TRLRSGHWQVQJPPLDTMGB</v>
      </c>
      <c r="D1244" s="2" t="str">
        <f>IFERROR(__xludf.DUMMYFUNCTION("IF('From Order'!$A1244=COLUMNS($A1244:D1263), LEFT(INDEX(FILTER(D$1:D1243, D$1:D1243&lt;&gt;""""),COUNTA(FILTER(D$1:D1243, D$1:D1243&lt;&gt;""""))), LEN(INDEX(FILTER(D$1:D1243, D$1:D1243&lt;&gt;""""),COUNTA(FILTER(D$1:D1243, D$1:D1243&lt;&gt;""""))))-1), IF('To Order'!$A1244=COL"&amp;"UMNS($A1244:D1263), D1243&amp;RIGHT(INDIRECT(ADDRESS(ROW(D1244)-1, 'From Order'!$A1244)), 1), D1243))"),"D")</f>
        <v>D</v>
      </c>
      <c r="E1244" s="2" t="str">
        <f>IFERROR(__xludf.DUMMYFUNCTION("IF('From Order'!$A1244=COLUMNS($A1244:E1263), LEFT(INDEX(FILTER(E$1:E1243, E$1:E1243&lt;&gt;""""),COUNTA(FILTER(E$1:E1243, E$1:E1243&lt;&gt;""""))), LEN(INDEX(FILTER(E$1:E1243, E$1:E1243&lt;&gt;""""),COUNTA(FILTER(E$1:E1243, E$1:E1243&lt;&gt;""""))))-1), IF('To Order'!$A1244=COL"&amp;"UMNS($A1244:E1263), E1243&amp;RIGHT(INDIRECT(ADDRESS(ROW(E1244)-1, 'From Order'!$A1244)), 1), E1243))"),"DJDMFBTJCZRDCRCTMRW")</f>
        <v>DJDMFBTJCZRDCRCTMRW</v>
      </c>
      <c r="F1244" s="2" t="str">
        <f>IFERROR(__xludf.DUMMYFUNCTION("IF('From Order'!$A1244=COLUMNS($A1244:F1263), LEFT(INDEX(FILTER(F$1:F1243, F$1:F1243&lt;&gt;""""),COUNTA(FILTER(F$1:F1243, F$1:F1243&lt;&gt;""""))), LEN(INDEX(FILTER(F$1:F1243, F$1:F1243&lt;&gt;""""),COUNTA(FILTER(F$1:F1243, F$1:F1243&lt;&gt;""""))))-1), IF('To Order'!$A1244=COL"&amp;"UMNS($A1244:F1263), F1243&amp;RIGHT(INDIRECT(ADDRESS(ROW(F1244)-1, 'From Order'!$A1244)), 1), F1243))"),"BS")</f>
        <v>BS</v>
      </c>
      <c r="G1244" s="2" t="str">
        <f>IFERROR(__xludf.DUMMYFUNCTION("IF('From Order'!$A1244=COLUMNS($A1244:G1263), LEFT(INDEX(FILTER(G$1:G1243, G$1:G1243&lt;&gt;""""),COUNTA(FILTER(G$1:G1243, G$1:G1243&lt;&gt;""""))), LEN(INDEX(FILTER(G$1:G1243, G$1:G1243&lt;&gt;""""),COUNTA(FILTER(G$1:G1243, G$1:G1243&lt;&gt;""""))))-1), IF('To Order'!$A1244=COL"&amp;"UMNS($A1244:G1263), G1243&amp;RIGHT(INDIRECT(ADDRESS(ROW(G1244)-1, 'From Order'!$A1244)), 1), G1243))"),"")</f>
        <v/>
      </c>
      <c r="H1244" s="2" t="str">
        <f>IFERROR(__xludf.DUMMYFUNCTION("IF('From Order'!$A1244=COLUMNS($A1244:H1263), LEFT(INDEX(FILTER(H$1:H1243, H$1:H1243&lt;&gt;""""),COUNTA(FILTER(H$1:H1243, H$1:H1243&lt;&gt;""""))), LEN(INDEX(FILTER(H$1:H1243, H$1:H1243&lt;&gt;""""),COUNTA(FILTER(H$1:H1243, H$1:H1243&lt;&gt;""""))))-1), IF('To Order'!$A1244=COL"&amp;"UMNS($A1244:H1263), H1243&amp;RIGHT(INDIRECT(ADDRESS(ROW(H1244)-1, 'From Order'!$A1244)), 1), H1243))"),"")</f>
        <v/>
      </c>
      <c r="I1244" s="2" t="str">
        <f>IFERROR(__xludf.DUMMYFUNCTION("IF('From Order'!$A1244=COLUMNS($A1244:I1263), LEFT(INDEX(FILTER(I$1:I1243, I$1:I1243&lt;&gt;""""),COUNTA(FILTER(I$1:I1243, I$1:I1243&lt;&gt;""""))), LEN(INDEX(FILTER(I$1:I1243, I$1:I1243&lt;&gt;""""),COUNTA(FILTER(I$1:I1243, I$1:I1243&lt;&gt;""""))))-1), IF('To Order'!$A1244=COL"&amp;"UMNS($A1244:I1263), I1243&amp;RIGHT(INDIRECT(ADDRESS(ROW(I1244)-1, 'From Order'!$A1244)), 1), I1243))"),"SFVTSVDT")</f>
        <v>SFVTSVDT</v>
      </c>
    </row>
    <row r="1245">
      <c r="A1245" s="2" t="str">
        <f>IFERROR(__xludf.DUMMYFUNCTION("IF('From Order'!$A1245=COLUMNS($A1245:A1264), LEFT(INDEX(FILTER(A$1:A1244, A$1:A1244&lt;&gt;""""),COUNTA(FILTER(A$1:A1244, A$1:A1244&lt;&gt;""""))), LEN(INDEX(FILTER(A$1:A1244, A$1:A1244&lt;&gt;""""),COUNTA(FILTER(A$1:A1244, A$1:A1244&lt;&gt;""""))))-1), IF('To Order'!$A1245=COL"&amp;"UMNS($A1245:A1264), A1244&amp;RIGHT(INDIRECT(ADDRESS(ROW(A1245)-1, 'From Order'!$A1245)), 1), A1244))"),"HZB")</f>
        <v>HZB</v>
      </c>
      <c r="B1245" s="2" t="str">
        <f>IFERROR(__xludf.DUMMYFUNCTION("IF('From Order'!$A1245=COLUMNS($A1245:B1264), LEFT(INDEX(FILTER(B$1:B1244, B$1:B1244&lt;&gt;""""),COUNTA(FILTER(B$1:B1244, B$1:B1244&lt;&gt;""""))), LEN(INDEX(FILTER(B$1:B1244, B$1:B1244&lt;&gt;""""),COUNTA(FILTER(B$1:B1244, B$1:B1244&lt;&gt;""""))))-1), IF('To Order'!$A1245=COL"&amp;"UMNS($A1245:B1264), B1244&amp;RIGHT(INDIRECT(ADDRESS(ROW(B1245)-1, 'From Order'!$A1245)), 1), B1244))"),"ZLPD")</f>
        <v>ZLPD</v>
      </c>
      <c r="C1245" s="2" t="str">
        <f>IFERROR(__xludf.DUMMYFUNCTION("IF('From Order'!$A1245=COLUMNS($A1245:C1264), LEFT(INDEX(FILTER(C$1:C1244, C$1:C1244&lt;&gt;""""),COUNTA(FILTER(C$1:C1244, C$1:C1244&lt;&gt;""""))), LEN(INDEX(FILTER(C$1:C1244, C$1:C1244&lt;&gt;""""),COUNTA(FILTER(C$1:C1244, C$1:C1244&lt;&gt;""""))))-1), IF('To Order'!$A1245=COL"&amp;"UMNS($A1245:C1264), C1244&amp;RIGHT(INDIRECT(ADDRESS(ROW(C1245)-1, 'From Order'!$A1245)), 1), C1244))"),"TRLRSGHWQVQJPPLDTMGB")</f>
        <v>TRLRSGHWQVQJPPLDTMGB</v>
      </c>
      <c r="D1245" s="2" t="str">
        <f>IFERROR(__xludf.DUMMYFUNCTION("IF('From Order'!$A1245=COLUMNS($A1245:D1264), LEFT(INDEX(FILTER(D$1:D1244, D$1:D1244&lt;&gt;""""),COUNTA(FILTER(D$1:D1244, D$1:D1244&lt;&gt;""""))), LEN(INDEX(FILTER(D$1:D1244, D$1:D1244&lt;&gt;""""),COUNTA(FILTER(D$1:D1244, D$1:D1244&lt;&gt;""""))))-1), IF('To Order'!$A1245=COL"&amp;"UMNS($A1245:D1264), D1244&amp;RIGHT(INDIRECT(ADDRESS(ROW(D1245)-1, 'From Order'!$A1245)), 1), D1244))"),"")</f>
        <v/>
      </c>
      <c r="E1245" s="2" t="str">
        <f>IFERROR(__xludf.DUMMYFUNCTION("IF('From Order'!$A1245=COLUMNS($A1245:E1264), LEFT(INDEX(FILTER(E$1:E1244, E$1:E1244&lt;&gt;""""),COUNTA(FILTER(E$1:E1244, E$1:E1244&lt;&gt;""""))), LEN(INDEX(FILTER(E$1:E1244, E$1:E1244&lt;&gt;""""),COUNTA(FILTER(E$1:E1244, E$1:E1244&lt;&gt;""""))))-1), IF('To Order'!$A1245=COL"&amp;"UMNS($A1245:E1264), E1244&amp;RIGHT(INDIRECT(ADDRESS(ROW(E1245)-1, 'From Order'!$A1245)), 1), E1244))"),"DJDMFBTJCZRDCRCTMRW")</f>
        <v>DJDMFBTJCZRDCRCTMRW</v>
      </c>
      <c r="F1245" s="2" t="str">
        <f>IFERROR(__xludf.DUMMYFUNCTION("IF('From Order'!$A1245=COLUMNS($A1245:F1264), LEFT(INDEX(FILTER(F$1:F1244, F$1:F1244&lt;&gt;""""),COUNTA(FILTER(F$1:F1244, F$1:F1244&lt;&gt;""""))), LEN(INDEX(FILTER(F$1:F1244, F$1:F1244&lt;&gt;""""),COUNTA(FILTER(F$1:F1244, F$1:F1244&lt;&gt;""""))))-1), IF('To Order'!$A1245=COL"&amp;"UMNS($A1245:F1264), F1244&amp;RIGHT(INDIRECT(ADDRESS(ROW(F1245)-1, 'From Order'!$A1245)), 1), F1244))"),"BS")</f>
        <v>BS</v>
      </c>
      <c r="G1245" s="2" t="str">
        <f>IFERROR(__xludf.DUMMYFUNCTION("IF('From Order'!$A1245=COLUMNS($A1245:G1264), LEFT(INDEX(FILTER(G$1:G1244, G$1:G1244&lt;&gt;""""),COUNTA(FILTER(G$1:G1244, G$1:G1244&lt;&gt;""""))), LEN(INDEX(FILTER(G$1:G1244, G$1:G1244&lt;&gt;""""),COUNTA(FILTER(G$1:G1244, G$1:G1244&lt;&gt;""""))))-1), IF('To Order'!$A1245=COL"&amp;"UMNS($A1245:G1264), G1244&amp;RIGHT(INDIRECT(ADDRESS(ROW(G1245)-1, 'From Order'!$A1245)), 1), G1244))"),"")</f>
        <v/>
      </c>
      <c r="H1245" s="2" t="str">
        <f>IFERROR(__xludf.DUMMYFUNCTION("IF('From Order'!$A1245=COLUMNS($A1245:H1264), LEFT(INDEX(FILTER(H$1:H1244, H$1:H1244&lt;&gt;""""),COUNTA(FILTER(H$1:H1244, H$1:H1244&lt;&gt;""""))), LEN(INDEX(FILTER(H$1:H1244, H$1:H1244&lt;&gt;""""),COUNTA(FILTER(H$1:H1244, H$1:H1244&lt;&gt;""""))))-1), IF('To Order'!$A1245=COL"&amp;"UMNS($A1245:H1264), H1244&amp;RIGHT(INDIRECT(ADDRESS(ROW(H1245)-1, 'From Order'!$A1245)), 1), H1244))"),"")</f>
        <v/>
      </c>
      <c r="I1245" s="2" t="str">
        <f>IFERROR(__xludf.DUMMYFUNCTION("IF('From Order'!$A1245=COLUMNS($A1245:I1264), LEFT(INDEX(FILTER(I$1:I1244, I$1:I1244&lt;&gt;""""),COUNTA(FILTER(I$1:I1244, I$1:I1244&lt;&gt;""""))), LEN(INDEX(FILTER(I$1:I1244, I$1:I1244&lt;&gt;""""),COUNTA(FILTER(I$1:I1244, I$1:I1244&lt;&gt;""""))))-1), IF('To Order'!$A1245=COL"&amp;"UMNS($A1245:I1264), I1244&amp;RIGHT(INDIRECT(ADDRESS(ROW(I1245)-1, 'From Order'!$A1245)), 1), I1244))"),"SFVTSVDT")</f>
        <v>SFVTSVDT</v>
      </c>
    </row>
    <row r="1246">
      <c r="A1246" s="2" t="str">
        <f>IFERROR(__xludf.DUMMYFUNCTION("IF('From Order'!$A1246=COLUMNS($A1246:A1265), LEFT(INDEX(FILTER(A$1:A1245, A$1:A1245&lt;&gt;""""),COUNTA(FILTER(A$1:A1245, A$1:A1245&lt;&gt;""""))), LEN(INDEX(FILTER(A$1:A1245, A$1:A1245&lt;&gt;""""),COUNTA(FILTER(A$1:A1245, A$1:A1245&lt;&gt;""""))))-1), IF('To Order'!$A1246=COL"&amp;"UMNS($A1246:A1265), A1245&amp;RIGHT(INDIRECT(ADDRESS(ROW(A1246)-1, 'From Order'!$A1246)), 1), A1245))"),"HZB")</f>
        <v>HZB</v>
      </c>
      <c r="B1246" s="2" t="str">
        <f>IFERROR(__xludf.DUMMYFUNCTION("IF('From Order'!$A1246=COLUMNS($A1246:B1265), LEFT(INDEX(FILTER(B$1:B1245, B$1:B1245&lt;&gt;""""),COUNTA(FILTER(B$1:B1245, B$1:B1245&lt;&gt;""""))), LEN(INDEX(FILTER(B$1:B1245, B$1:B1245&lt;&gt;""""),COUNTA(FILTER(B$1:B1245, B$1:B1245&lt;&gt;""""))))-1), IF('To Order'!$A1246=COL"&amp;"UMNS($A1246:B1265), B1245&amp;RIGHT(INDIRECT(ADDRESS(ROW(B1246)-1, 'From Order'!$A1246)), 1), B1245))"),"ZLPD")</f>
        <v>ZLPD</v>
      </c>
      <c r="C1246" s="2" t="str">
        <f>IFERROR(__xludf.DUMMYFUNCTION("IF('From Order'!$A1246=COLUMNS($A1246:C1265), LEFT(INDEX(FILTER(C$1:C1245, C$1:C1245&lt;&gt;""""),COUNTA(FILTER(C$1:C1245, C$1:C1245&lt;&gt;""""))), LEN(INDEX(FILTER(C$1:C1245, C$1:C1245&lt;&gt;""""),COUNTA(FILTER(C$1:C1245, C$1:C1245&lt;&gt;""""))))-1), IF('To Order'!$A1246=COL"&amp;"UMNS($A1246:C1265), C1245&amp;RIGHT(INDIRECT(ADDRESS(ROW(C1246)-1, 'From Order'!$A1246)), 1), C1245))"),"TRLRSGHWQVQJPPLDTMGB")</f>
        <v>TRLRSGHWQVQJPPLDTMGB</v>
      </c>
      <c r="D1246" s="2" t="str">
        <f>IFERROR(__xludf.DUMMYFUNCTION("IF('From Order'!$A1246=COLUMNS($A1246:D1265), LEFT(INDEX(FILTER(D$1:D1245, D$1:D1245&lt;&gt;""""),COUNTA(FILTER(D$1:D1245, D$1:D1245&lt;&gt;""""))), LEN(INDEX(FILTER(D$1:D1245, D$1:D1245&lt;&gt;""""),COUNTA(FILTER(D$1:D1245, D$1:D1245&lt;&gt;""""))))-1), IF('To Order'!$A1246=COL"&amp;"UMNS($A1246:D1265), D1245&amp;RIGHT(INDIRECT(ADDRESS(ROW(D1246)-1, 'From Order'!$A1246)), 1), D1245))"),"")</f>
        <v/>
      </c>
      <c r="E1246" s="2" t="str">
        <f>IFERROR(__xludf.DUMMYFUNCTION("IF('From Order'!$A1246=COLUMNS($A1246:E1265), LEFT(INDEX(FILTER(E$1:E1245, E$1:E1245&lt;&gt;""""),COUNTA(FILTER(E$1:E1245, E$1:E1245&lt;&gt;""""))), LEN(INDEX(FILTER(E$1:E1245, E$1:E1245&lt;&gt;""""),COUNTA(FILTER(E$1:E1245, E$1:E1245&lt;&gt;""""))))-1), IF('To Order'!$A1246=COL"&amp;"UMNS($A1246:E1265), E1245&amp;RIGHT(INDIRECT(ADDRESS(ROW(E1246)-1, 'From Order'!$A1246)), 1), E1245))"),"DJDMFBTJCZRDCRCTMR")</f>
        <v>DJDMFBTJCZRDCRCTMR</v>
      </c>
      <c r="F1246" s="2" t="str">
        <f>IFERROR(__xludf.DUMMYFUNCTION("IF('From Order'!$A1246=COLUMNS($A1246:F1265), LEFT(INDEX(FILTER(F$1:F1245, F$1:F1245&lt;&gt;""""),COUNTA(FILTER(F$1:F1245, F$1:F1245&lt;&gt;""""))), LEN(INDEX(FILTER(F$1:F1245, F$1:F1245&lt;&gt;""""),COUNTA(FILTER(F$1:F1245, F$1:F1245&lt;&gt;""""))))-1), IF('To Order'!$A1246=COL"&amp;"UMNS($A1246:F1265), F1245&amp;RIGHT(INDIRECT(ADDRESS(ROW(F1246)-1, 'From Order'!$A1246)), 1), F1245))"),"BS")</f>
        <v>BS</v>
      </c>
      <c r="G1246" s="2" t="str">
        <f>IFERROR(__xludf.DUMMYFUNCTION("IF('From Order'!$A1246=COLUMNS($A1246:G1265), LEFT(INDEX(FILTER(G$1:G1245, G$1:G1245&lt;&gt;""""),COUNTA(FILTER(G$1:G1245, G$1:G1245&lt;&gt;""""))), LEN(INDEX(FILTER(G$1:G1245, G$1:G1245&lt;&gt;""""),COUNTA(FILTER(G$1:G1245, G$1:G1245&lt;&gt;""""))))-1), IF('To Order'!$A1246=COL"&amp;"UMNS($A1246:G1265), G1245&amp;RIGHT(INDIRECT(ADDRESS(ROW(G1246)-1, 'From Order'!$A1246)), 1), G1245))"),"W")</f>
        <v>W</v>
      </c>
      <c r="H1246" s="2" t="str">
        <f>IFERROR(__xludf.DUMMYFUNCTION("IF('From Order'!$A1246=COLUMNS($A1246:H1265), LEFT(INDEX(FILTER(H$1:H1245, H$1:H1245&lt;&gt;""""),COUNTA(FILTER(H$1:H1245, H$1:H1245&lt;&gt;""""))), LEN(INDEX(FILTER(H$1:H1245, H$1:H1245&lt;&gt;""""),COUNTA(FILTER(H$1:H1245, H$1:H1245&lt;&gt;""""))))-1), IF('To Order'!$A1246=COL"&amp;"UMNS($A1246:H1265), H1245&amp;RIGHT(INDIRECT(ADDRESS(ROW(H1246)-1, 'From Order'!$A1246)), 1), H1245))"),"")</f>
        <v/>
      </c>
      <c r="I1246" s="2" t="str">
        <f>IFERROR(__xludf.DUMMYFUNCTION("IF('From Order'!$A1246=COLUMNS($A1246:I1265), LEFT(INDEX(FILTER(I$1:I1245, I$1:I1245&lt;&gt;""""),COUNTA(FILTER(I$1:I1245, I$1:I1245&lt;&gt;""""))), LEN(INDEX(FILTER(I$1:I1245, I$1:I1245&lt;&gt;""""),COUNTA(FILTER(I$1:I1245, I$1:I1245&lt;&gt;""""))))-1), IF('To Order'!$A1246=COL"&amp;"UMNS($A1246:I1265), I1245&amp;RIGHT(INDIRECT(ADDRESS(ROW(I1246)-1, 'From Order'!$A1246)), 1), I1245))"),"SFVTSVDT")</f>
        <v>SFVTSVDT</v>
      </c>
    </row>
    <row r="1247">
      <c r="A1247" s="2" t="str">
        <f>IFERROR(__xludf.DUMMYFUNCTION("IF('From Order'!$A1247=COLUMNS($A1247:A1266), LEFT(INDEX(FILTER(A$1:A1246, A$1:A1246&lt;&gt;""""),COUNTA(FILTER(A$1:A1246, A$1:A1246&lt;&gt;""""))), LEN(INDEX(FILTER(A$1:A1246, A$1:A1246&lt;&gt;""""),COUNTA(FILTER(A$1:A1246, A$1:A1246&lt;&gt;""""))))-1), IF('To Order'!$A1247=COL"&amp;"UMNS($A1247:A1266), A1246&amp;RIGHT(INDIRECT(ADDRESS(ROW(A1247)-1, 'From Order'!$A1247)), 1), A1246))"),"HZB")</f>
        <v>HZB</v>
      </c>
      <c r="B1247" s="2" t="str">
        <f>IFERROR(__xludf.DUMMYFUNCTION("IF('From Order'!$A1247=COLUMNS($A1247:B1266), LEFT(INDEX(FILTER(B$1:B1246, B$1:B1246&lt;&gt;""""),COUNTA(FILTER(B$1:B1246, B$1:B1246&lt;&gt;""""))), LEN(INDEX(FILTER(B$1:B1246, B$1:B1246&lt;&gt;""""),COUNTA(FILTER(B$1:B1246, B$1:B1246&lt;&gt;""""))))-1), IF('To Order'!$A1247=COL"&amp;"UMNS($A1247:B1266), B1246&amp;RIGHT(INDIRECT(ADDRESS(ROW(B1247)-1, 'From Order'!$A1247)), 1), B1246))"),"ZLPD")</f>
        <v>ZLPD</v>
      </c>
      <c r="C1247" s="2" t="str">
        <f>IFERROR(__xludf.DUMMYFUNCTION("IF('From Order'!$A1247=COLUMNS($A1247:C1266), LEFT(INDEX(FILTER(C$1:C1246, C$1:C1246&lt;&gt;""""),COUNTA(FILTER(C$1:C1246, C$1:C1246&lt;&gt;""""))), LEN(INDEX(FILTER(C$1:C1246, C$1:C1246&lt;&gt;""""),COUNTA(FILTER(C$1:C1246, C$1:C1246&lt;&gt;""""))))-1), IF('To Order'!$A1247=COL"&amp;"UMNS($A1247:C1266), C1246&amp;RIGHT(INDIRECT(ADDRESS(ROW(C1247)-1, 'From Order'!$A1247)), 1), C1246))"),"TRLRSGHWQVQJPPLDTMGB")</f>
        <v>TRLRSGHWQVQJPPLDTMGB</v>
      </c>
      <c r="D1247" s="2" t="str">
        <f>IFERROR(__xludf.DUMMYFUNCTION("IF('From Order'!$A1247=COLUMNS($A1247:D1266), LEFT(INDEX(FILTER(D$1:D1246, D$1:D1246&lt;&gt;""""),COUNTA(FILTER(D$1:D1246, D$1:D1246&lt;&gt;""""))), LEN(INDEX(FILTER(D$1:D1246, D$1:D1246&lt;&gt;""""),COUNTA(FILTER(D$1:D1246, D$1:D1246&lt;&gt;""""))))-1), IF('To Order'!$A1247=COL"&amp;"UMNS($A1247:D1266), D1246&amp;RIGHT(INDIRECT(ADDRESS(ROW(D1247)-1, 'From Order'!$A1247)), 1), D1246))"),"")</f>
        <v/>
      </c>
      <c r="E1247" s="2" t="str">
        <f>IFERROR(__xludf.DUMMYFUNCTION("IF('From Order'!$A1247=COLUMNS($A1247:E1266), LEFT(INDEX(FILTER(E$1:E1246, E$1:E1246&lt;&gt;""""),COUNTA(FILTER(E$1:E1246, E$1:E1246&lt;&gt;""""))), LEN(INDEX(FILTER(E$1:E1246, E$1:E1246&lt;&gt;""""),COUNTA(FILTER(E$1:E1246, E$1:E1246&lt;&gt;""""))))-1), IF('To Order'!$A1247=COL"&amp;"UMNS($A1247:E1266), E1246&amp;RIGHT(INDIRECT(ADDRESS(ROW(E1247)-1, 'From Order'!$A1247)), 1), E1246))"),"DJDMFBTJCZRDCRCTM")</f>
        <v>DJDMFBTJCZRDCRCTM</v>
      </c>
      <c r="F1247" s="2" t="str">
        <f>IFERROR(__xludf.DUMMYFUNCTION("IF('From Order'!$A1247=COLUMNS($A1247:F1266), LEFT(INDEX(FILTER(F$1:F1246, F$1:F1246&lt;&gt;""""),COUNTA(FILTER(F$1:F1246, F$1:F1246&lt;&gt;""""))), LEN(INDEX(FILTER(F$1:F1246, F$1:F1246&lt;&gt;""""),COUNTA(FILTER(F$1:F1246, F$1:F1246&lt;&gt;""""))))-1), IF('To Order'!$A1247=COL"&amp;"UMNS($A1247:F1266), F1246&amp;RIGHT(INDIRECT(ADDRESS(ROW(F1247)-1, 'From Order'!$A1247)), 1), F1246))"),"BS")</f>
        <v>BS</v>
      </c>
      <c r="G1247" s="2" t="str">
        <f>IFERROR(__xludf.DUMMYFUNCTION("IF('From Order'!$A1247=COLUMNS($A1247:G1266), LEFT(INDEX(FILTER(G$1:G1246, G$1:G1246&lt;&gt;""""),COUNTA(FILTER(G$1:G1246, G$1:G1246&lt;&gt;""""))), LEN(INDEX(FILTER(G$1:G1246, G$1:G1246&lt;&gt;""""),COUNTA(FILTER(G$1:G1246, G$1:G1246&lt;&gt;""""))))-1), IF('To Order'!$A1247=COL"&amp;"UMNS($A1247:G1266), G1246&amp;RIGHT(INDIRECT(ADDRESS(ROW(G1247)-1, 'From Order'!$A1247)), 1), G1246))"),"WR")</f>
        <v>WR</v>
      </c>
      <c r="H1247" s="2" t="str">
        <f>IFERROR(__xludf.DUMMYFUNCTION("IF('From Order'!$A1247=COLUMNS($A1247:H1266), LEFT(INDEX(FILTER(H$1:H1246, H$1:H1246&lt;&gt;""""),COUNTA(FILTER(H$1:H1246, H$1:H1246&lt;&gt;""""))), LEN(INDEX(FILTER(H$1:H1246, H$1:H1246&lt;&gt;""""),COUNTA(FILTER(H$1:H1246, H$1:H1246&lt;&gt;""""))))-1), IF('To Order'!$A1247=COL"&amp;"UMNS($A1247:H1266), H1246&amp;RIGHT(INDIRECT(ADDRESS(ROW(H1247)-1, 'From Order'!$A1247)), 1), H1246))"),"")</f>
        <v/>
      </c>
      <c r="I1247" s="2" t="str">
        <f>IFERROR(__xludf.DUMMYFUNCTION("IF('From Order'!$A1247=COLUMNS($A1247:I1266), LEFT(INDEX(FILTER(I$1:I1246, I$1:I1246&lt;&gt;""""),COUNTA(FILTER(I$1:I1246, I$1:I1246&lt;&gt;""""))), LEN(INDEX(FILTER(I$1:I1246, I$1:I1246&lt;&gt;""""),COUNTA(FILTER(I$1:I1246, I$1:I1246&lt;&gt;""""))))-1), IF('To Order'!$A1247=COL"&amp;"UMNS($A1247:I1266), I1246&amp;RIGHT(INDIRECT(ADDRESS(ROW(I1247)-1, 'From Order'!$A1247)), 1), I1246))"),"SFVTSVDT")</f>
        <v>SFVTSVDT</v>
      </c>
    </row>
    <row r="1248">
      <c r="A1248" s="2" t="str">
        <f>IFERROR(__xludf.DUMMYFUNCTION("IF('From Order'!$A1248=COLUMNS($A1248:A1267), LEFT(INDEX(FILTER(A$1:A1247, A$1:A1247&lt;&gt;""""),COUNTA(FILTER(A$1:A1247, A$1:A1247&lt;&gt;""""))), LEN(INDEX(FILTER(A$1:A1247, A$1:A1247&lt;&gt;""""),COUNTA(FILTER(A$1:A1247, A$1:A1247&lt;&gt;""""))))-1), IF('To Order'!$A1248=COL"&amp;"UMNS($A1248:A1267), A1247&amp;RIGHT(INDIRECT(ADDRESS(ROW(A1248)-1, 'From Order'!$A1248)), 1), A1247))"),"HZB")</f>
        <v>HZB</v>
      </c>
      <c r="B1248" s="2" t="str">
        <f>IFERROR(__xludf.DUMMYFUNCTION("IF('From Order'!$A1248=COLUMNS($A1248:B1267), LEFT(INDEX(FILTER(B$1:B1247, B$1:B1247&lt;&gt;""""),COUNTA(FILTER(B$1:B1247, B$1:B1247&lt;&gt;""""))), LEN(INDEX(FILTER(B$1:B1247, B$1:B1247&lt;&gt;""""),COUNTA(FILTER(B$1:B1247, B$1:B1247&lt;&gt;""""))))-1), IF('To Order'!$A1248=COL"&amp;"UMNS($A1248:B1267), B1247&amp;RIGHT(INDIRECT(ADDRESS(ROW(B1248)-1, 'From Order'!$A1248)), 1), B1247))"),"ZLPD")</f>
        <v>ZLPD</v>
      </c>
      <c r="C1248" s="2" t="str">
        <f>IFERROR(__xludf.DUMMYFUNCTION("IF('From Order'!$A1248=COLUMNS($A1248:C1267), LEFT(INDEX(FILTER(C$1:C1247, C$1:C1247&lt;&gt;""""),COUNTA(FILTER(C$1:C1247, C$1:C1247&lt;&gt;""""))), LEN(INDEX(FILTER(C$1:C1247, C$1:C1247&lt;&gt;""""),COUNTA(FILTER(C$1:C1247, C$1:C1247&lt;&gt;""""))))-1), IF('To Order'!$A1248=COL"&amp;"UMNS($A1248:C1267), C1247&amp;RIGHT(INDIRECT(ADDRESS(ROW(C1248)-1, 'From Order'!$A1248)), 1), C1247))"),"TRLRSGHWQVQJPPLDTMGB")</f>
        <v>TRLRSGHWQVQJPPLDTMGB</v>
      </c>
      <c r="D1248" s="2" t="str">
        <f>IFERROR(__xludf.DUMMYFUNCTION("IF('From Order'!$A1248=COLUMNS($A1248:D1267), LEFT(INDEX(FILTER(D$1:D1247, D$1:D1247&lt;&gt;""""),COUNTA(FILTER(D$1:D1247, D$1:D1247&lt;&gt;""""))), LEN(INDEX(FILTER(D$1:D1247, D$1:D1247&lt;&gt;""""),COUNTA(FILTER(D$1:D1247, D$1:D1247&lt;&gt;""""))))-1), IF('To Order'!$A1248=COL"&amp;"UMNS($A1248:D1267), D1247&amp;RIGHT(INDIRECT(ADDRESS(ROW(D1248)-1, 'From Order'!$A1248)), 1), D1247))"),"")</f>
        <v/>
      </c>
      <c r="E1248" s="2" t="str">
        <f>IFERROR(__xludf.DUMMYFUNCTION("IF('From Order'!$A1248=COLUMNS($A1248:E1267), LEFT(INDEX(FILTER(E$1:E1247, E$1:E1247&lt;&gt;""""),COUNTA(FILTER(E$1:E1247, E$1:E1247&lt;&gt;""""))), LEN(INDEX(FILTER(E$1:E1247, E$1:E1247&lt;&gt;""""),COUNTA(FILTER(E$1:E1247, E$1:E1247&lt;&gt;""""))))-1), IF('To Order'!$A1248=COL"&amp;"UMNS($A1248:E1267), E1247&amp;RIGHT(INDIRECT(ADDRESS(ROW(E1248)-1, 'From Order'!$A1248)), 1), E1247))"),"DJDMFBTJCZRDCRCT")</f>
        <v>DJDMFBTJCZRDCRCT</v>
      </c>
      <c r="F1248" s="2" t="str">
        <f>IFERROR(__xludf.DUMMYFUNCTION("IF('From Order'!$A1248=COLUMNS($A1248:F1267), LEFT(INDEX(FILTER(F$1:F1247, F$1:F1247&lt;&gt;""""),COUNTA(FILTER(F$1:F1247, F$1:F1247&lt;&gt;""""))), LEN(INDEX(FILTER(F$1:F1247, F$1:F1247&lt;&gt;""""),COUNTA(FILTER(F$1:F1247, F$1:F1247&lt;&gt;""""))))-1), IF('To Order'!$A1248=COL"&amp;"UMNS($A1248:F1267), F1247&amp;RIGHT(INDIRECT(ADDRESS(ROW(F1248)-1, 'From Order'!$A1248)), 1), F1247))"),"BS")</f>
        <v>BS</v>
      </c>
      <c r="G1248" s="2" t="str">
        <f>IFERROR(__xludf.DUMMYFUNCTION("IF('From Order'!$A1248=COLUMNS($A1248:G1267), LEFT(INDEX(FILTER(G$1:G1247, G$1:G1247&lt;&gt;""""),COUNTA(FILTER(G$1:G1247, G$1:G1247&lt;&gt;""""))), LEN(INDEX(FILTER(G$1:G1247, G$1:G1247&lt;&gt;""""),COUNTA(FILTER(G$1:G1247, G$1:G1247&lt;&gt;""""))))-1), IF('To Order'!$A1248=COL"&amp;"UMNS($A1248:G1267), G1247&amp;RIGHT(INDIRECT(ADDRESS(ROW(G1248)-1, 'From Order'!$A1248)), 1), G1247))"),"WRM")</f>
        <v>WRM</v>
      </c>
      <c r="H1248" s="2" t="str">
        <f>IFERROR(__xludf.DUMMYFUNCTION("IF('From Order'!$A1248=COLUMNS($A1248:H1267), LEFT(INDEX(FILTER(H$1:H1247, H$1:H1247&lt;&gt;""""),COUNTA(FILTER(H$1:H1247, H$1:H1247&lt;&gt;""""))), LEN(INDEX(FILTER(H$1:H1247, H$1:H1247&lt;&gt;""""),COUNTA(FILTER(H$1:H1247, H$1:H1247&lt;&gt;""""))))-1), IF('To Order'!$A1248=COL"&amp;"UMNS($A1248:H1267), H1247&amp;RIGHT(INDIRECT(ADDRESS(ROW(H1248)-1, 'From Order'!$A1248)), 1), H1247))"),"")</f>
        <v/>
      </c>
      <c r="I1248" s="2" t="str">
        <f>IFERROR(__xludf.DUMMYFUNCTION("IF('From Order'!$A1248=COLUMNS($A1248:I1267), LEFT(INDEX(FILTER(I$1:I1247, I$1:I1247&lt;&gt;""""),COUNTA(FILTER(I$1:I1247, I$1:I1247&lt;&gt;""""))), LEN(INDEX(FILTER(I$1:I1247, I$1:I1247&lt;&gt;""""),COUNTA(FILTER(I$1:I1247, I$1:I1247&lt;&gt;""""))))-1), IF('To Order'!$A1248=COL"&amp;"UMNS($A1248:I1267), I1247&amp;RIGHT(INDIRECT(ADDRESS(ROW(I1248)-1, 'From Order'!$A1248)), 1), I1247))"),"SFVTSVDT")</f>
        <v>SFVTSVDT</v>
      </c>
    </row>
    <row r="1249">
      <c r="A1249" s="2" t="str">
        <f>IFERROR(__xludf.DUMMYFUNCTION("IF('From Order'!$A1249=COLUMNS($A1249:A1268), LEFT(INDEX(FILTER(A$1:A1248, A$1:A1248&lt;&gt;""""),COUNTA(FILTER(A$1:A1248, A$1:A1248&lt;&gt;""""))), LEN(INDEX(FILTER(A$1:A1248, A$1:A1248&lt;&gt;""""),COUNTA(FILTER(A$1:A1248, A$1:A1248&lt;&gt;""""))))-1), IF('To Order'!$A1249=COL"&amp;"UMNS($A1249:A1268), A1248&amp;RIGHT(INDIRECT(ADDRESS(ROW(A1249)-1, 'From Order'!$A1249)), 1), A1248))"),"HZB")</f>
        <v>HZB</v>
      </c>
      <c r="B1249" s="2" t="str">
        <f>IFERROR(__xludf.DUMMYFUNCTION("IF('From Order'!$A1249=COLUMNS($A1249:B1268), LEFT(INDEX(FILTER(B$1:B1248, B$1:B1248&lt;&gt;""""),COUNTA(FILTER(B$1:B1248, B$1:B1248&lt;&gt;""""))), LEN(INDEX(FILTER(B$1:B1248, B$1:B1248&lt;&gt;""""),COUNTA(FILTER(B$1:B1248, B$1:B1248&lt;&gt;""""))))-1), IF('To Order'!$A1249=COL"&amp;"UMNS($A1249:B1268), B1248&amp;RIGHT(INDIRECT(ADDRESS(ROW(B1249)-1, 'From Order'!$A1249)), 1), B1248))"),"ZLPD")</f>
        <v>ZLPD</v>
      </c>
      <c r="C1249" s="2" t="str">
        <f>IFERROR(__xludf.DUMMYFUNCTION("IF('From Order'!$A1249=COLUMNS($A1249:C1268), LEFT(INDEX(FILTER(C$1:C1248, C$1:C1248&lt;&gt;""""),COUNTA(FILTER(C$1:C1248, C$1:C1248&lt;&gt;""""))), LEN(INDEX(FILTER(C$1:C1248, C$1:C1248&lt;&gt;""""),COUNTA(FILTER(C$1:C1248, C$1:C1248&lt;&gt;""""))))-1), IF('To Order'!$A1249=COL"&amp;"UMNS($A1249:C1268), C1248&amp;RIGHT(INDIRECT(ADDRESS(ROW(C1249)-1, 'From Order'!$A1249)), 1), C1248))"),"TRLRSGHWQVQJPPLDTMGB")</f>
        <v>TRLRSGHWQVQJPPLDTMGB</v>
      </c>
      <c r="D1249" s="2" t="str">
        <f>IFERROR(__xludf.DUMMYFUNCTION("IF('From Order'!$A1249=COLUMNS($A1249:D1268), LEFT(INDEX(FILTER(D$1:D1248, D$1:D1248&lt;&gt;""""),COUNTA(FILTER(D$1:D1248, D$1:D1248&lt;&gt;""""))), LEN(INDEX(FILTER(D$1:D1248, D$1:D1248&lt;&gt;""""),COUNTA(FILTER(D$1:D1248, D$1:D1248&lt;&gt;""""))))-1), IF('To Order'!$A1249=COL"&amp;"UMNS($A1249:D1268), D1248&amp;RIGHT(INDIRECT(ADDRESS(ROW(D1249)-1, 'From Order'!$A1249)), 1), D1248))"),"")</f>
        <v/>
      </c>
      <c r="E1249" s="2" t="str">
        <f>IFERROR(__xludf.DUMMYFUNCTION("IF('From Order'!$A1249=COLUMNS($A1249:E1268), LEFT(INDEX(FILTER(E$1:E1248, E$1:E1248&lt;&gt;""""),COUNTA(FILTER(E$1:E1248, E$1:E1248&lt;&gt;""""))), LEN(INDEX(FILTER(E$1:E1248, E$1:E1248&lt;&gt;""""),COUNTA(FILTER(E$1:E1248, E$1:E1248&lt;&gt;""""))))-1), IF('To Order'!$A1249=COL"&amp;"UMNS($A1249:E1268), E1248&amp;RIGHT(INDIRECT(ADDRESS(ROW(E1249)-1, 'From Order'!$A1249)), 1), E1248))"),"DJDMFBTJCZRDCRC")</f>
        <v>DJDMFBTJCZRDCRC</v>
      </c>
      <c r="F1249" s="2" t="str">
        <f>IFERROR(__xludf.DUMMYFUNCTION("IF('From Order'!$A1249=COLUMNS($A1249:F1268), LEFT(INDEX(FILTER(F$1:F1248, F$1:F1248&lt;&gt;""""),COUNTA(FILTER(F$1:F1248, F$1:F1248&lt;&gt;""""))), LEN(INDEX(FILTER(F$1:F1248, F$1:F1248&lt;&gt;""""),COUNTA(FILTER(F$1:F1248, F$1:F1248&lt;&gt;""""))))-1), IF('To Order'!$A1249=COL"&amp;"UMNS($A1249:F1268), F1248&amp;RIGHT(INDIRECT(ADDRESS(ROW(F1249)-1, 'From Order'!$A1249)), 1), F1248))"),"BS")</f>
        <v>BS</v>
      </c>
      <c r="G1249" s="2" t="str">
        <f>IFERROR(__xludf.DUMMYFUNCTION("IF('From Order'!$A1249=COLUMNS($A1249:G1268), LEFT(INDEX(FILTER(G$1:G1248, G$1:G1248&lt;&gt;""""),COUNTA(FILTER(G$1:G1248, G$1:G1248&lt;&gt;""""))), LEN(INDEX(FILTER(G$1:G1248, G$1:G1248&lt;&gt;""""),COUNTA(FILTER(G$1:G1248, G$1:G1248&lt;&gt;""""))))-1), IF('To Order'!$A1249=COL"&amp;"UMNS($A1249:G1268), G1248&amp;RIGHT(INDIRECT(ADDRESS(ROW(G1249)-1, 'From Order'!$A1249)), 1), G1248))"),"WRMT")</f>
        <v>WRMT</v>
      </c>
      <c r="H1249" s="2" t="str">
        <f>IFERROR(__xludf.DUMMYFUNCTION("IF('From Order'!$A1249=COLUMNS($A1249:H1268), LEFT(INDEX(FILTER(H$1:H1248, H$1:H1248&lt;&gt;""""),COUNTA(FILTER(H$1:H1248, H$1:H1248&lt;&gt;""""))), LEN(INDEX(FILTER(H$1:H1248, H$1:H1248&lt;&gt;""""),COUNTA(FILTER(H$1:H1248, H$1:H1248&lt;&gt;""""))))-1), IF('To Order'!$A1249=COL"&amp;"UMNS($A1249:H1268), H1248&amp;RIGHT(INDIRECT(ADDRESS(ROW(H1249)-1, 'From Order'!$A1249)), 1), H1248))"),"")</f>
        <v/>
      </c>
      <c r="I1249" s="2" t="str">
        <f>IFERROR(__xludf.DUMMYFUNCTION("IF('From Order'!$A1249=COLUMNS($A1249:I1268), LEFT(INDEX(FILTER(I$1:I1248, I$1:I1248&lt;&gt;""""),COUNTA(FILTER(I$1:I1248, I$1:I1248&lt;&gt;""""))), LEN(INDEX(FILTER(I$1:I1248, I$1:I1248&lt;&gt;""""),COUNTA(FILTER(I$1:I1248, I$1:I1248&lt;&gt;""""))))-1), IF('To Order'!$A1249=COL"&amp;"UMNS($A1249:I1268), I1248&amp;RIGHT(INDIRECT(ADDRESS(ROW(I1249)-1, 'From Order'!$A1249)), 1), I1248))"),"SFVTSVDT")</f>
        <v>SFVTSVDT</v>
      </c>
    </row>
    <row r="1250">
      <c r="A1250" s="2" t="str">
        <f>IFERROR(__xludf.DUMMYFUNCTION("IF('From Order'!$A1250=COLUMNS($A1250:A1269), LEFT(INDEX(FILTER(A$1:A1249, A$1:A1249&lt;&gt;""""),COUNTA(FILTER(A$1:A1249, A$1:A1249&lt;&gt;""""))), LEN(INDEX(FILTER(A$1:A1249, A$1:A1249&lt;&gt;""""),COUNTA(FILTER(A$1:A1249, A$1:A1249&lt;&gt;""""))))-1), IF('To Order'!$A1250=COL"&amp;"UMNS($A1250:A1269), A1249&amp;RIGHT(INDIRECT(ADDRESS(ROW(A1250)-1, 'From Order'!$A1250)), 1), A1249))"),"HZB")</f>
        <v>HZB</v>
      </c>
      <c r="B1250" s="2" t="str">
        <f>IFERROR(__xludf.DUMMYFUNCTION("IF('From Order'!$A1250=COLUMNS($A1250:B1269), LEFT(INDEX(FILTER(B$1:B1249, B$1:B1249&lt;&gt;""""),COUNTA(FILTER(B$1:B1249, B$1:B1249&lt;&gt;""""))), LEN(INDEX(FILTER(B$1:B1249, B$1:B1249&lt;&gt;""""),COUNTA(FILTER(B$1:B1249, B$1:B1249&lt;&gt;""""))))-1), IF('To Order'!$A1250=COL"&amp;"UMNS($A1250:B1269), B1249&amp;RIGHT(INDIRECT(ADDRESS(ROW(B1250)-1, 'From Order'!$A1250)), 1), B1249))"),"ZLPD")</f>
        <v>ZLPD</v>
      </c>
      <c r="C1250" s="2" t="str">
        <f>IFERROR(__xludf.DUMMYFUNCTION("IF('From Order'!$A1250=COLUMNS($A1250:C1269), LEFT(INDEX(FILTER(C$1:C1249, C$1:C1249&lt;&gt;""""),COUNTA(FILTER(C$1:C1249, C$1:C1249&lt;&gt;""""))), LEN(INDEX(FILTER(C$1:C1249, C$1:C1249&lt;&gt;""""),COUNTA(FILTER(C$1:C1249, C$1:C1249&lt;&gt;""""))))-1), IF('To Order'!$A1250=COL"&amp;"UMNS($A1250:C1269), C1249&amp;RIGHT(INDIRECT(ADDRESS(ROW(C1250)-1, 'From Order'!$A1250)), 1), C1249))"),"TRLRSGHWQVQJPPLDTMGB")</f>
        <v>TRLRSGHWQVQJPPLDTMGB</v>
      </c>
      <c r="D1250" s="2" t="str">
        <f>IFERROR(__xludf.DUMMYFUNCTION("IF('From Order'!$A1250=COLUMNS($A1250:D1269), LEFT(INDEX(FILTER(D$1:D1249, D$1:D1249&lt;&gt;""""),COUNTA(FILTER(D$1:D1249, D$1:D1249&lt;&gt;""""))), LEN(INDEX(FILTER(D$1:D1249, D$1:D1249&lt;&gt;""""),COUNTA(FILTER(D$1:D1249, D$1:D1249&lt;&gt;""""))))-1), IF('To Order'!$A1250=COL"&amp;"UMNS($A1250:D1269), D1249&amp;RIGHT(INDIRECT(ADDRESS(ROW(D1250)-1, 'From Order'!$A1250)), 1), D1249))"),"")</f>
        <v/>
      </c>
      <c r="E1250" s="2" t="str">
        <f>IFERROR(__xludf.DUMMYFUNCTION("IF('From Order'!$A1250=COLUMNS($A1250:E1269), LEFT(INDEX(FILTER(E$1:E1249, E$1:E1249&lt;&gt;""""),COUNTA(FILTER(E$1:E1249, E$1:E1249&lt;&gt;""""))), LEN(INDEX(FILTER(E$1:E1249, E$1:E1249&lt;&gt;""""),COUNTA(FILTER(E$1:E1249, E$1:E1249&lt;&gt;""""))))-1), IF('To Order'!$A1250=COL"&amp;"UMNS($A1250:E1269), E1249&amp;RIGHT(INDIRECT(ADDRESS(ROW(E1250)-1, 'From Order'!$A1250)), 1), E1249))"),"DJDMFBTJCZRDCR")</f>
        <v>DJDMFBTJCZRDCR</v>
      </c>
      <c r="F1250" s="2" t="str">
        <f>IFERROR(__xludf.DUMMYFUNCTION("IF('From Order'!$A1250=COLUMNS($A1250:F1269), LEFT(INDEX(FILTER(F$1:F1249, F$1:F1249&lt;&gt;""""),COUNTA(FILTER(F$1:F1249, F$1:F1249&lt;&gt;""""))), LEN(INDEX(FILTER(F$1:F1249, F$1:F1249&lt;&gt;""""),COUNTA(FILTER(F$1:F1249, F$1:F1249&lt;&gt;""""))))-1), IF('To Order'!$A1250=COL"&amp;"UMNS($A1250:F1269), F1249&amp;RIGHT(INDIRECT(ADDRESS(ROW(F1250)-1, 'From Order'!$A1250)), 1), F1249))"),"BS")</f>
        <v>BS</v>
      </c>
      <c r="G1250" s="2" t="str">
        <f>IFERROR(__xludf.DUMMYFUNCTION("IF('From Order'!$A1250=COLUMNS($A1250:G1269), LEFT(INDEX(FILTER(G$1:G1249, G$1:G1249&lt;&gt;""""),COUNTA(FILTER(G$1:G1249, G$1:G1249&lt;&gt;""""))), LEN(INDEX(FILTER(G$1:G1249, G$1:G1249&lt;&gt;""""),COUNTA(FILTER(G$1:G1249, G$1:G1249&lt;&gt;""""))))-1), IF('To Order'!$A1250=COL"&amp;"UMNS($A1250:G1269), G1249&amp;RIGHT(INDIRECT(ADDRESS(ROW(G1250)-1, 'From Order'!$A1250)), 1), G1249))"),"WRMTC")</f>
        <v>WRMTC</v>
      </c>
      <c r="H1250" s="2" t="str">
        <f>IFERROR(__xludf.DUMMYFUNCTION("IF('From Order'!$A1250=COLUMNS($A1250:H1269), LEFT(INDEX(FILTER(H$1:H1249, H$1:H1249&lt;&gt;""""),COUNTA(FILTER(H$1:H1249, H$1:H1249&lt;&gt;""""))), LEN(INDEX(FILTER(H$1:H1249, H$1:H1249&lt;&gt;""""),COUNTA(FILTER(H$1:H1249, H$1:H1249&lt;&gt;""""))))-1), IF('To Order'!$A1250=COL"&amp;"UMNS($A1250:H1269), H1249&amp;RIGHT(INDIRECT(ADDRESS(ROW(H1250)-1, 'From Order'!$A1250)), 1), H1249))"),"")</f>
        <v/>
      </c>
      <c r="I1250" s="2" t="str">
        <f>IFERROR(__xludf.DUMMYFUNCTION("IF('From Order'!$A1250=COLUMNS($A1250:I1269), LEFT(INDEX(FILTER(I$1:I1249, I$1:I1249&lt;&gt;""""),COUNTA(FILTER(I$1:I1249, I$1:I1249&lt;&gt;""""))), LEN(INDEX(FILTER(I$1:I1249, I$1:I1249&lt;&gt;""""),COUNTA(FILTER(I$1:I1249, I$1:I1249&lt;&gt;""""))))-1), IF('To Order'!$A1250=COL"&amp;"UMNS($A1250:I1269), I1249&amp;RIGHT(INDIRECT(ADDRESS(ROW(I1250)-1, 'From Order'!$A1250)), 1), I1249))"),"SFVTSVDT")</f>
        <v>SFVTSVDT</v>
      </c>
    </row>
    <row r="1251">
      <c r="A1251" s="2" t="str">
        <f>IFERROR(__xludf.DUMMYFUNCTION("IF('From Order'!$A1251=COLUMNS($A1251:A1270), LEFT(INDEX(FILTER(A$1:A1250, A$1:A1250&lt;&gt;""""),COUNTA(FILTER(A$1:A1250, A$1:A1250&lt;&gt;""""))), LEN(INDEX(FILTER(A$1:A1250, A$1:A1250&lt;&gt;""""),COUNTA(FILTER(A$1:A1250, A$1:A1250&lt;&gt;""""))))-1), IF('To Order'!$A1251=COL"&amp;"UMNS($A1251:A1270), A1250&amp;RIGHT(INDIRECT(ADDRESS(ROW(A1251)-1, 'From Order'!$A1251)), 1), A1250))"),"HZB")</f>
        <v>HZB</v>
      </c>
      <c r="B1251" s="2" t="str">
        <f>IFERROR(__xludf.DUMMYFUNCTION("IF('From Order'!$A1251=COLUMNS($A1251:B1270), LEFT(INDEX(FILTER(B$1:B1250, B$1:B1250&lt;&gt;""""),COUNTA(FILTER(B$1:B1250, B$1:B1250&lt;&gt;""""))), LEN(INDEX(FILTER(B$1:B1250, B$1:B1250&lt;&gt;""""),COUNTA(FILTER(B$1:B1250, B$1:B1250&lt;&gt;""""))))-1), IF('To Order'!$A1251=COL"&amp;"UMNS($A1251:B1270), B1250&amp;RIGHT(INDIRECT(ADDRESS(ROW(B1251)-1, 'From Order'!$A1251)), 1), B1250))"),"ZLPD")</f>
        <v>ZLPD</v>
      </c>
      <c r="C1251" s="2" t="str">
        <f>IFERROR(__xludf.DUMMYFUNCTION("IF('From Order'!$A1251=COLUMNS($A1251:C1270), LEFT(INDEX(FILTER(C$1:C1250, C$1:C1250&lt;&gt;""""),COUNTA(FILTER(C$1:C1250, C$1:C1250&lt;&gt;""""))), LEN(INDEX(FILTER(C$1:C1250, C$1:C1250&lt;&gt;""""),COUNTA(FILTER(C$1:C1250, C$1:C1250&lt;&gt;""""))))-1), IF('To Order'!$A1251=COL"&amp;"UMNS($A1251:C1270), C1250&amp;RIGHT(INDIRECT(ADDRESS(ROW(C1251)-1, 'From Order'!$A1251)), 1), C1250))"),"TRLRSGHWQVQJPPLDTMGB")</f>
        <v>TRLRSGHWQVQJPPLDTMGB</v>
      </c>
      <c r="D1251" s="2" t="str">
        <f>IFERROR(__xludf.DUMMYFUNCTION("IF('From Order'!$A1251=COLUMNS($A1251:D1270), LEFT(INDEX(FILTER(D$1:D1250, D$1:D1250&lt;&gt;""""),COUNTA(FILTER(D$1:D1250, D$1:D1250&lt;&gt;""""))), LEN(INDEX(FILTER(D$1:D1250, D$1:D1250&lt;&gt;""""),COUNTA(FILTER(D$1:D1250, D$1:D1250&lt;&gt;""""))))-1), IF('To Order'!$A1251=COL"&amp;"UMNS($A1251:D1270), D1250&amp;RIGHT(INDIRECT(ADDRESS(ROW(D1251)-1, 'From Order'!$A1251)), 1), D1250))"),"")</f>
        <v/>
      </c>
      <c r="E1251" s="2" t="str">
        <f>IFERROR(__xludf.DUMMYFUNCTION("IF('From Order'!$A1251=COLUMNS($A1251:E1270), LEFT(INDEX(FILTER(E$1:E1250, E$1:E1250&lt;&gt;""""),COUNTA(FILTER(E$1:E1250, E$1:E1250&lt;&gt;""""))), LEN(INDEX(FILTER(E$1:E1250, E$1:E1250&lt;&gt;""""),COUNTA(FILTER(E$1:E1250, E$1:E1250&lt;&gt;""""))))-1), IF('To Order'!$A1251=COL"&amp;"UMNS($A1251:E1270), E1250&amp;RIGHT(INDIRECT(ADDRESS(ROW(E1251)-1, 'From Order'!$A1251)), 1), E1250))"),"DJDMFBTJCZRDC")</f>
        <v>DJDMFBTJCZRDC</v>
      </c>
      <c r="F1251" s="2" t="str">
        <f>IFERROR(__xludf.DUMMYFUNCTION("IF('From Order'!$A1251=COLUMNS($A1251:F1270), LEFT(INDEX(FILTER(F$1:F1250, F$1:F1250&lt;&gt;""""),COUNTA(FILTER(F$1:F1250, F$1:F1250&lt;&gt;""""))), LEN(INDEX(FILTER(F$1:F1250, F$1:F1250&lt;&gt;""""),COUNTA(FILTER(F$1:F1250, F$1:F1250&lt;&gt;""""))))-1), IF('To Order'!$A1251=COL"&amp;"UMNS($A1251:F1270), F1250&amp;RIGHT(INDIRECT(ADDRESS(ROW(F1251)-1, 'From Order'!$A1251)), 1), F1250))"),"BS")</f>
        <v>BS</v>
      </c>
      <c r="G1251" s="2" t="str">
        <f>IFERROR(__xludf.DUMMYFUNCTION("IF('From Order'!$A1251=COLUMNS($A1251:G1270), LEFT(INDEX(FILTER(G$1:G1250, G$1:G1250&lt;&gt;""""),COUNTA(FILTER(G$1:G1250, G$1:G1250&lt;&gt;""""))), LEN(INDEX(FILTER(G$1:G1250, G$1:G1250&lt;&gt;""""),COUNTA(FILTER(G$1:G1250, G$1:G1250&lt;&gt;""""))))-1), IF('To Order'!$A1251=COL"&amp;"UMNS($A1251:G1270), G1250&amp;RIGHT(INDIRECT(ADDRESS(ROW(G1251)-1, 'From Order'!$A1251)), 1), G1250))"),"WRMTCR")</f>
        <v>WRMTCR</v>
      </c>
      <c r="H1251" s="2" t="str">
        <f>IFERROR(__xludf.DUMMYFUNCTION("IF('From Order'!$A1251=COLUMNS($A1251:H1270), LEFT(INDEX(FILTER(H$1:H1250, H$1:H1250&lt;&gt;""""),COUNTA(FILTER(H$1:H1250, H$1:H1250&lt;&gt;""""))), LEN(INDEX(FILTER(H$1:H1250, H$1:H1250&lt;&gt;""""),COUNTA(FILTER(H$1:H1250, H$1:H1250&lt;&gt;""""))))-1), IF('To Order'!$A1251=COL"&amp;"UMNS($A1251:H1270), H1250&amp;RIGHT(INDIRECT(ADDRESS(ROW(H1251)-1, 'From Order'!$A1251)), 1), H1250))"),"")</f>
        <v/>
      </c>
      <c r="I1251" s="2" t="str">
        <f>IFERROR(__xludf.DUMMYFUNCTION("IF('From Order'!$A1251=COLUMNS($A1251:I1270), LEFT(INDEX(FILTER(I$1:I1250, I$1:I1250&lt;&gt;""""),COUNTA(FILTER(I$1:I1250, I$1:I1250&lt;&gt;""""))), LEN(INDEX(FILTER(I$1:I1250, I$1:I1250&lt;&gt;""""),COUNTA(FILTER(I$1:I1250, I$1:I1250&lt;&gt;""""))))-1), IF('To Order'!$A1251=COL"&amp;"UMNS($A1251:I1270), I1250&amp;RIGHT(INDIRECT(ADDRESS(ROW(I1251)-1, 'From Order'!$A1251)), 1), I1250))"),"SFVTSVDT")</f>
        <v>SFVTSVDT</v>
      </c>
    </row>
    <row r="1252">
      <c r="A1252" s="2" t="str">
        <f>IFERROR(__xludf.DUMMYFUNCTION("IF('From Order'!$A1252=COLUMNS($A1252:A1271), LEFT(INDEX(FILTER(A$1:A1251, A$1:A1251&lt;&gt;""""),COUNTA(FILTER(A$1:A1251, A$1:A1251&lt;&gt;""""))), LEN(INDEX(FILTER(A$1:A1251, A$1:A1251&lt;&gt;""""),COUNTA(FILTER(A$1:A1251, A$1:A1251&lt;&gt;""""))))-1), IF('To Order'!$A1252=COL"&amp;"UMNS($A1252:A1271), A1251&amp;RIGHT(INDIRECT(ADDRESS(ROW(A1252)-1, 'From Order'!$A1252)), 1), A1251))"),"HZB")</f>
        <v>HZB</v>
      </c>
      <c r="B1252" s="2" t="str">
        <f>IFERROR(__xludf.DUMMYFUNCTION("IF('From Order'!$A1252=COLUMNS($A1252:B1271), LEFT(INDEX(FILTER(B$1:B1251, B$1:B1251&lt;&gt;""""),COUNTA(FILTER(B$1:B1251, B$1:B1251&lt;&gt;""""))), LEN(INDEX(FILTER(B$1:B1251, B$1:B1251&lt;&gt;""""),COUNTA(FILTER(B$1:B1251, B$1:B1251&lt;&gt;""""))))-1), IF('To Order'!$A1252=COL"&amp;"UMNS($A1252:B1271), B1251&amp;RIGHT(INDIRECT(ADDRESS(ROW(B1252)-1, 'From Order'!$A1252)), 1), B1251))"),"ZLPD")</f>
        <v>ZLPD</v>
      </c>
      <c r="C1252" s="2" t="str">
        <f>IFERROR(__xludf.DUMMYFUNCTION("IF('From Order'!$A1252=COLUMNS($A1252:C1271), LEFT(INDEX(FILTER(C$1:C1251, C$1:C1251&lt;&gt;""""),COUNTA(FILTER(C$1:C1251, C$1:C1251&lt;&gt;""""))), LEN(INDEX(FILTER(C$1:C1251, C$1:C1251&lt;&gt;""""),COUNTA(FILTER(C$1:C1251, C$1:C1251&lt;&gt;""""))))-1), IF('To Order'!$A1252=COL"&amp;"UMNS($A1252:C1271), C1251&amp;RIGHT(INDIRECT(ADDRESS(ROW(C1252)-1, 'From Order'!$A1252)), 1), C1251))"),"TRLRSGHWQVQJPPLDTMGB")</f>
        <v>TRLRSGHWQVQJPPLDTMGB</v>
      </c>
      <c r="D1252" s="2" t="str">
        <f>IFERROR(__xludf.DUMMYFUNCTION("IF('From Order'!$A1252=COLUMNS($A1252:D1271), LEFT(INDEX(FILTER(D$1:D1251, D$1:D1251&lt;&gt;""""),COUNTA(FILTER(D$1:D1251, D$1:D1251&lt;&gt;""""))), LEN(INDEX(FILTER(D$1:D1251, D$1:D1251&lt;&gt;""""),COUNTA(FILTER(D$1:D1251, D$1:D1251&lt;&gt;""""))))-1), IF('To Order'!$A1252=COL"&amp;"UMNS($A1252:D1271), D1251&amp;RIGHT(INDIRECT(ADDRESS(ROW(D1252)-1, 'From Order'!$A1252)), 1), D1251))"),"")</f>
        <v/>
      </c>
      <c r="E1252" s="2" t="str">
        <f>IFERROR(__xludf.DUMMYFUNCTION("IF('From Order'!$A1252=COLUMNS($A1252:E1271), LEFT(INDEX(FILTER(E$1:E1251, E$1:E1251&lt;&gt;""""),COUNTA(FILTER(E$1:E1251, E$1:E1251&lt;&gt;""""))), LEN(INDEX(FILTER(E$1:E1251, E$1:E1251&lt;&gt;""""),COUNTA(FILTER(E$1:E1251, E$1:E1251&lt;&gt;""""))))-1), IF('To Order'!$A1252=COL"&amp;"UMNS($A1252:E1271), E1251&amp;RIGHT(INDIRECT(ADDRESS(ROW(E1252)-1, 'From Order'!$A1252)), 1), E1251))"),"DJDMFBTJCZRD")</f>
        <v>DJDMFBTJCZRD</v>
      </c>
      <c r="F1252" s="2" t="str">
        <f>IFERROR(__xludf.DUMMYFUNCTION("IF('From Order'!$A1252=COLUMNS($A1252:F1271), LEFT(INDEX(FILTER(F$1:F1251, F$1:F1251&lt;&gt;""""),COUNTA(FILTER(F$1:F1251, F$1:F1251&lt;&gt;""""))), LEN(INDEX(FILTER(F$1:F1251, F$1:F1251&lt;&gt;""""),COUNTA(FILTER(F$1:F1251, F$1:F1251&lt;&gt;""""))))-1), IF('To Order'!$A1252=COL"&amp;"UMNS($A1252:F1271), F1251&amp;RIGHT(INDIRECT(ADDRESS(ROW(F1252)-1, 'From Order'!$A1252)), 1), F1251))"),"BS")</f>
        <v>BS</v>
      </c>
      <c r="G1252" s="2" t="str">
        <f>IFERROR(__xludf.DUMMYFUNCTION("IF('From Order'!$A1252=COLUMNS($A1252:G1271), LEFT(INDEX(FILTER(G$1:G1251, G$1:G1251&lt;&gt;""""),COUNTA(FILTER(G$1:G1251, G$1:G1251&lt;&gt;""""))), LEN(INDEX(FILTER(G$1:G1251, G$1:G1251&lt;&gt;""""),COUNTA(FILTER(G$1:G1251, G$1:G1251&lt;&gt;""""))))-1), IF('To Order'!$A1252=COL"&amp;"UMNS($A1252:G1271), G1251&amp;RIGHT(INDIRECT(ADDRESS(ROW(G1252)-1, 'From Order'!$A1252)), 1), G1251))"),"WRMTCRC")</f>
        <v>WRMTCRC</v>
      </c>
      <c r="H1252" s="2" t="str">
        <f>IFERROR(__xludf.DUMMYFUNCTION("IF('From Order'!$A1252=COLUMNS($A1252:H1271), LEFT(INDEX(FILTER(H$1:H1251, H$1:H1251&lt;&gt;""""),COUNTA(FILTER(H$1:H1251, H$1:H1251&lt;&gt;""""))), LEN(INDEX(FILTER(H$1:H1251, H$1:H1251&lt;&gt;""""),COUNTA(FILTER(H$1:H1251, H$1:H1251&lt;&gt;""""))))-1), IF('To Order'!$A1252=COL"&amp;"UMNS($A1252:H1271), H1251&amp;RIGHT(INDIRECT(ADDRESS(ROW(H1252)-1, 'From Order'!$A1252)), 1), H1251))"),"")</f>
        <v/>
      </c>
      <c r="I1252" s="2" t="str">
        <f>IFERROR(__xludf.DUMMYFUNCTION("IF('From Order'!$A1252=COLUMNS($A1252:I1271), LEFT(INDEX(FILTER(I$1:I1251, I$1:I1251&lt;&gt;""""),COUNTA(FILTER(I$1:I1251, I$1:I1251&lt;&gt;""""))), LEN(INDEX(FILTER(I$1:I1251, I$1:I1251&lt;&gt;""""),COUNTA(FILTER(I$1:I1251, I$1:I1251&lt;&gt;""""))))-1), IF('To Order'!$A1252=COL"&amp;"UMNS($A1252:I1271), I1251&amp;RIGHT(INDIRECT(ADDRESS(ROW(I1252)-1, 'From Order'!$A1252)), 1), I1251))"),"SFVTSVDT")</f>
        <v>SFVTSVDT</v>
      </c>
    </row>
    <row r="1253">
      <c r="A1253" s="2" t="str">
        <f>IFERROR(__xludf.DUMMYFUNCTION("IF('From Order'!$A1253=COLUMNS($A1253:A1272), LEFT(INDEX(FILTER(A$1:A1252, A$1:A1252&lt;&gt;""""),COUNTA(FILTER(A$1:A1252, A$1:A1252&lt;&gt;""""))), LEN(INDEX(FILTER(A$1:A1252, A$1:A1252&lt;&gt;""""),COUNTA(FILTER(A$1:A1252, A$1:A1252&lt;&gt;""""))))-1), IF('To Order'!$A1253=COL"&amp;"UMNS($A1253:A1272), A1252&amp;RIGHT(INDIRECT(ADDRESS(ROW(A1253)-1, 'From Order'!$A1253)), 1), A1252))"),"HZB")</f>
        <v>HZB</v>
      </c>
      <c r="B1253" s="2" t="str">
        <f>IFERROR(__xludf.DUMMYFUNCTION("IF('From Order'!$A1253=COLUMNS($A1253:B1272), LEFT(INDEX(FILTER(B$1:B1252, B$1:B1252&lt;&gt;""""),COUNTA(FILTER(B$1:B1252, B$1:B1252&lt;&gt;""""))), LEN(INDEX(FILTER(B$1:B1252, B$1:B1252&lt;&gt;""""),COUNTA(FILTER(B$1:B1252, B$1:B1252&lt;&gt;""""))))-1), IF('To Order'!$A1253=COL"&amp;"UMNS($A1253:B1272), B1252&amp;RIGHT(INDIRECT(ADDRESS(ROW(B1253)-1, 'From Order'!$A1253)), 1), B1252))"),"ZLPD")</f>
        <v>ZLPD</v>
      </c>
      <c r="C1253" s="2" t="str">
        <f>IFERROR(__xludf.DUMMYFUNCTION("IF('From Order'!$A1253=COLUMNS($A1253:C1272), LEFT(INDEX(FILTER(C$1:C1252, C$1:C1252&lt;&gt;""""),COUNTA(FILTER(C$1:C1252, C$1:C1252&lt;&gt;""""))), LEN(INDEX(FILTER(C$1:C1252, C$1:C1252&lt;&gt;""""),COUNTA(FILTER(C$1:C1252, C$1:C1252&lt;&gt;""""))))-1), IF('To Order'!$A1253=COL"&amp;"UMNS($A1253:C1272), C1252&amp;RIGHT(INDIRECT(ADDRESS(ROW(C1253)-1, 'From Order'!$A1253)), 1), C1252))"),"TRLRSGHWQVQJPPLDTMGB")</f>
        <v>TRLRSGHWQVQJPPLDTMGB</v>
      </c>
      <c r="D1253" s="2" t="str">
        <f>IFERROR(__xludf.DUMMYFUNCTION("IF('From Order'!$A1253=COLUMNS($A1253:D1272), LEFT(INDEX(FILTER(D$1:D1252, D$1:D1252&lt;&gt;""""),COUNTA(FILTER(D$1:D1252, D$1:D1252&lt;&gt;""""))), LEN(INDEX(FILTER(D$1:D1252, D$1:D1252&lt;&gt;""""),COUNTA(FILTER(D$1:D1252, D$1:D1252&lt;&gt;""""))))-1), IF('To Order'!$A1253=COL"&amp;"UMNS($A1253:D1272), D1252&amp;RIGHT(INDIRECT(ADDRESS(ROW(D1253)-1, 'From Order'!$A1253)), 1), D1252))"),"")</f>
        <v/>
      </c>
      <c r="E1253" s="2" t="str">
        <f>IFERROR(__xludf.DUMMYFUNCTION("IF('From Order'!$A1253=COLUMNS($A1253:E1272), LEFT(INDEX(FILTER(E$1:E1252, E$1:E1252&lt;&gt;""""),COUNTA(FILTER(E$1:E1252, E$1:E1252&lt;&gt;""""))), LEN(INDEX(FILTER(E$1:E1252, E$1:E1252&lt;&gt;""""),COUNTA(FILTER(E$1:E1252, E$1:E1252&lt;&gt;""""))))-1), IF('To Order'!$A1253=COL"&amp;"UMNS($A1253:E1272), E1252&amp;RIGHT(INDIRECT(ADDRESS(ROW(E1253)-1, 'From Order'!$A1253)), 1), E1252))"),"DJDMFBTJCZR")</f>
        <v>DJDMFBTJCZR</v>
      </c>
      <c r="F1253" s="2" t="str">
        <f>IFERROR(__xludf.DUMMYFUNCTION("IF('From Order'!$A1253=COLUMNS($A1253:F1272), LEFT(INDEX(FILTER(F$1:F1252, F$1:F1252&lt;&gt;""""),COUNTA(FILTER(F$1:F1252, F$1:F1252&lt;&gt;""""))), LEN(INDEX(FILTER(F$1:F1252, F$1:F1252&lt;&gt;""""),COUNTA(FILTER(F$1:F1252, F$1:F1252&lt;&gt;""""))))-1), IF('To Order'!$A1253=COL"&amp;"UMNS($A1253:F1272), F1252&amp;RIGHT(INDIRECT(ADDRESS(ROW(F1253)-1, 'From Order'!$A1253)), 1), F1252))"),"BS")</f>
        <v>BS</v>
      </c>
      <c r="G1253" s="2" t="str">
        <f>IFERROR(__xludf.DUMMYFUNCTION("IF('From Order'!$A1253=COLUMNS($A1253:G1272), LEFT(INDEX(FILTER(G$1:G1252, G$1:G1252&lt;&gt;""""),COUNTA(FILTER(G$1:G1252, G$1:G1252&lt;&gt;""""))), LEN(INDEX(FILTER(G$1:G1252, G$1:G1252&lt;&gt;""""),COUNTA(FILTER(G$1:G1252, G$1:G1252&lt;&gt;""""))))-1), IF('To Order'!$A1253=COL"&amp;"UMNS($A1253:G1272), G1252&amp;RIGHT(INDIRECT(ADDRESS(ROW(G1253)-1, 'From Order'!$A1253)), 1), G1252))"),"WRMTCRCD")</f>
        <v>WRMTCRCD</v>
      </c>
      <c r="H1253" s="2" t="str">
        <f>IFERROR(__xludf.DUMMYFUNCTION("IF('From Order'!$A1253=COLUMNS($A1253:H1272), LEFT(INDEX(FILTER(H$1:H1252, H$1:H1252&lt;&gt;""""),COUNTA(FILTER(H$1:H1252, H$1:H1252&lt;&gt;""""))), LEN(INDEX(FILTER(H$1:H1252, H$1:H1252&lt;&gt;""""),COUNTA(FILTER(H$1:H1252, H$1:H1252&lt;&gt;""""))))-1), IF('To Order'!$A1253=COL"&amp;"UMNS($A1253:H1272), H1252&amp;RIGHT(INDIRECT(ADDRESS(ROW(H1253)-1, 'From Order'!$A1253)), 1), H1252))"),"")</f>
        <v/>
      </c>
      <c r="I1253" s="2" t="str">
        <f>IFERROR(__xludf.DUMMYFUNCTION("IF('From Order'!$A1253=COLUMNS($A1253:I1272), LEFT(INDEX(FILTER(I$1:I1252, I$1:I1252&lt;&gt;""""),COUNTA(FILTER(I$1:I1252, I$1:I1252&lt;&gt;""""))), LEN(INDEX(FILTER(I$1:I1252, I$1:I1252&lt;&gt;""""),COUNTA(FILTER(I$1:I1252, I$1:I1252&lt;&gt;""""))))-1), IF('To Order'!$A1253=COL"&amp;"UMNS($A1253:I1272), I1252&amp;RIGHT(INDIRECT(ADDRESS(ROW(I1253)-1, 'From Order'!$A1253)), 1), I1252))"),"SFVTSVDT")</f>
        <v>SFVTSVDT</v>
      </c>
    </row>
    <row r="1254">
      <c r="A1254" s="2" t="str">
        <f>IFERROR(__xludf.DUMMYFUNCTION("IF('From Order'!$A1254=COLUMNS($A1254:A1273), LEFT(INDEX(FILTER(A$1:A1253, A$1:A1253&lt;&gt;""""),COUNTA(FILTER(A$1:A1253, A$1:A1253&lt;&gt;""""))), LEN(INDEX(FILTER(A$1:A1253, A$1:A1253&lt;&gt;""""),COUNTA(FILTER(A$1:A1253, A$1:A1253&lt;&gt;""""))))-1), IF('To Order'!$A1254=COL"&amp;"UMNS($A1254:A1273), A1253&amp;RIGHT(INDIRECT(ADDRESS(ROW(A1254)-1, 'From Order'!$A1254)), 1), A1253))"),"HZB")</f>
        <v>HZB</v>
      </c>
      <c r="B1254" s="2" t="str">
        <f>IFERROR(__xludf.DUMMYFUNCTION("IF('From Order'!$A1254=COLUMNS($A1254:B1273), LEFT(INDEX(FILTER(B$1:B1253, B$1:B1253&lt;&gt;""""),COUNTA(FILTER(B$1:B1253, B$1:B1253&lt;&gt;""""))), LEN(INDEX(FILTER(B$1:B1253, B$1:B1253&lt;&gt;""""),COUNTA(FILTER(B$1:B1253, B$1:B1253&lt;&gt;""""))))-1), IF('To Order'!$A1254=COL"&amp;"UMNS($A1254:B1273), B1253&amp;RIGHT(INDIRECT(ADDRESS(ROW(B1254)-1, 'From Order'!$A1254)), 1), B1253))"),"ZLPD")</f>
        <v>ZLPD</v>
      </c>
      <c r="C1254" s="2" t="str">
        <f>IFERROR(__xludf.DUMMYFUNCTION("IF('From Order'!$A1254=COLUMNS($A1254:C1273), LEFT(INDEX(FILTER(C$1:C1253, C$1:C1253&lt;&gt;""""),COUNTA(FILTER(C$1:C1253, C$1:C1253&lt;&gt;""""))), LEN(INDEX(FILTER(C$1:C1253, C$1:C1253&lt;&gt;""""),COUNTA(FILTER(C$1:C1253, C$1:C1253&lt;&gt;""""))))-1), IF('To Order'!$A1254=COL"&amp;"UMNS($A1254:C1273), C1253&amp;RIGHT(INDIRECT(ADDRESS(ROW(C1254)-1, 'From Order'!$A1254)), 1), C1253))"),"TRLRSGHWQVQJPPLDTMGB")</f>
        <v>TRLRSGHWQVQJPPLDTMGB</v>
      </c>
      <c r="D1254" s="2" t="str">
        <f>IFERROR(__xludf.DUMMYFUNCTION("IF('From Order'!$A1254=COLUMNS($A1254:D1273), LEFT(INDEX(FILTER(D$1:D1253, D$1:D1253&lt;&gt;""""),COUNTA(FILTER(D$1:D1253, D$1:D1253&lt;&gt;""""))), LEN(INDEX(FILTER(D$1:D1253, D$1:D1253&lt;&gt;""""),COUNTA(FILTER(D$1:D1253, D$1:D1253&lt;&gt;""""))))-1), IF('To Order'!$A1254=COL"&amp;"UMNS($A1254:D1273), D1253&amp;RIGHT(INDIRECT(ADDRESS(ROW(D1254)-1, 'From Order'!$A1254)), 1), D1253))"),"")</f>
        <v/>
      </c>
      <c r="E1254" s="2" t="str">
        <f>IFERROR(__xludf.DUMMYFUNCTION("IF('From Order'!$A1254=COLUMNS($A1254:E1273), LEFT(INDEX(FILTER(E$1:E1253, E$1:E1253&lt;&gt;""""),COUNTA(FILTER(E$1:E1253, E$1:E1253&lt;&gt;""""))), LEN(INDEX(FILTER(E$1:E1253, E$1:E1253&lt;&gt;""""),COUNTA(FILTER(E$1:E1253, E$1:E1253&lt;&gt;""""))))-1), IF('To Order'!$A1254=COL"&amp;"UMNS($A1254:E1273), E1253&amp;RIGHT(INDIRECT(ADDRESS(ROW(E1254)-1, 'From Order'!$A1254)), 1), E1253))"),"DJDMFBTJCZ")</f>
        <v>DJDMFBTJCZ</v>
      </c>
      <c r="F1254" s="2" t="str">
        <f>IFERROR(__xludf.DUMMYFUNCTION("IF('From Order'!$A1254=COLUMNS($A1254:F1273), LEFT(INDEX(FILTER(F$1:F1253, F$1:F1253&lt;&gt;""""),COUNTA(FILTER(F$1:F1253, F$1:F1253&lt;&gt;""""))), LEN(INDEX(FILTER(F$1:F1253, F$1:F1253&lt;&gt;""""),COUNTA(FILTER(F$1:F1253, F$1:F1253&lt;&gt;""""))))-1), IF('To Order'!$A1254=COL"&amp;"UMNS($A1254:F1273), F1253&amp;RIGHT(INDIRECT(ADDRESS(ROW(F1254)-1, 'From Order'!$A1254)), 1), F1253))"),"BS")</f>
        <v>BS</v>
      </c>
      <c r="G1254" s="2" t="str">
        <f>IFERROR(__xludf.DUMMYFUNCTION("IF('From Order'!$A1254=COLUMNS($A1254:G1273), LEFT(INDEX(FILTER(G$1:G1253, G$1:G1253&lt;&gt;""""),COUNTA(FILTER(G$1:G1253, G$1:G1253&lt;&gt;""""))), LEN(INDEX(FILTER(G$1:G1253, G$1:G1253&lt;&gt;""""),COUNTA(FILTER(G$1:G1253, G$1:G1253&lt;&gt;""""))))-1), IF('To Order'!$A1254=COL"&amp;"UMNS($A1254:G1273), G1253&amp;RIGHT(INDIRECT(ADDRESS(ROW(G1254)-1, 'From Order'!$A1254)), 1), G1253))"),"WRMTCRCDR")</f>
        <v>WRMTCRCDR</v>
      </c>
      <c r="H1254" s="2" t="str">
        <f>IFERROR(__xludf.DUMMYFUNCTION("IF('From Order'!$A1254=COLUMNS($A1254:H1273), LEFT(INDEX(FILTER(H$1:H1253, H$1:H1253&lt;&gt;""""),COUNTA(FILTER(H$1:H1253, H$1:H1253&lt;&gt;""""))), LEN(INDEX(FILTER(H$1:H1253, H$1:H1253&lt;&gt;""""),COUNTA(FILTER(H$1:H1253, H$1:H1253&lt;&gt;""""))))-1), IF('To Order'!$A1254=COL"&amp;"UMNS($A1254:H1273), H1253&amp;RIGHT(INDIRECT(ADDRESS(ROW(H1254)-1, 'From Order'!$A1254)), 1), H1253))"),"")</f>
        <v/>
      </c>
      <c r="I1254" s="2" t="str">
        <f>IFERROR(__xludf.DUMMYFUNCTION("IF('From Order'!$A1254=COLUMNS($A1254:I1273), LEFT(INDEX(FILTER(I$1:I1253, I$1:I1253&lt;&gt;""""),COUNTA(FILTER(I$1:I1253, I$1:I1253&lt;&gt;""""))), LEN(INDEX(FILTER(I$1:I1253, I$1:I1253&lt;&gt;""""),COUNTA(FILTER(I$1:I1253, I$1:I1253&lt;&gt;""""))))-1), IF('To Order'!$A1254=COL"&amp;"UMNS($A1254:I1273), I1253&amp;RIGHT(INDIRECT(ADDRESS(ROW(I1254)-1, 'From Order'!$A1254)), 1), I1253))"),"SFVTSVDT")</f>
        <v>SFVTSVDT</v>
      </c>
    </row>
    <row r="1255">
      <c r="A1255" s="2" t="str">
        <f>IFERROR(__xludf.DUMMYFUNCTION("IF('From Order'!$A1255=COLUMNS($A1255:A1274), LEFT(INDEX(FILTER(A$1:A1254, A$1:A1254&lt;&gt;""""),COUNTA(FILTER(A$1:A1254, A$1:A1254&lt;&gt;""""))), LEN(INDEX(FILTER(A$1:A1254, A$1:A1254&lt;&gt;""""),COUNTA(FILTER(A$1:A1254, A$1:A1254&lt;&gt;""""))))-1), IF('To Order'!$A1255=COL"&amp;"UMNS($A1255:A1274), A1254&amp;RIGHT(INDIRECT(ADDRESS(ROW(A1255)-1, 'From Order'!$A1255)), 1), A1254))"),"HZB")</f>
        <v>HZB</v>
      </c>
      <c r="B1255" s="2" t="str">
        <f>IFERROR(__xludf.DUMMYFUNCTION("IF('From Order'!$A1255=COLUMNS($A1255:B1274), LEFT(INDEX(FILTER(B$1:B1254, B$1:B1254&lt;&gt;""""),COUNTA(FILTER(B$1:B1254, B$1:B1254&lt;&gt;""""))), LEN(INDEX(FILTER(B$1:B1254, B$1:B1254&lt;&gt;""""),COUNTA(FILTER(B$1:B1254, B$1:B1254&lt;&gt;""""))))-1), IF('To Order'!$A1255=COL"&amp;"UMNS($A1255:B1274), B1254&amp;RIGHT(INDIRECT(ADDRESS(ROW(B1255)-1, 'From Order'!$A1255)), 1), B1254))"),"ZLPD")</f>
        <v>ZLPD</v>
      </c>
      <c r="C1255" s="2" t="str">
        <f>IFERROR(__xludf.DUMMYFUNCTION("IF('From Order'!$A1255=COLUMNS($A1255:C1274), LEFT(INDEX(FILTER(C$1:C1254, C$1:C1254&lt;&gt;""""),COUNTA(FILTER(C$1:C1254, C$1:C1254&lt;&gt;""""))), LEN(INDEX(FILTER(C$1:C1254, C$1:C1254&lt;&gt;""""),COUNTA(FILTER(C$1:C1254, C$1:C1254&lt;&gt;""""))))-1), IF('To Order'!$A1255=COL"&amp;"UMNS($A1255:C1274), C1254&amp;RIGHT(INDIRECT(ADDRESS(ROW(C1255)-1, 'From Order'!$A1255)), 1), C1254))"),"TRLRSGHWQVQJPPLDTMGB")</f>
        <v>TRLRSGHWQVQJPPLDTMGB</v>
      </c>
      <c r="D1255" s="2" t="str">
        <f>IFERROR(__xludf.DUMMYFUNCTION("IF('From Order'!$A1255=COLUMNS($A1255:D1274), LEFT(INDEX(FILTER(D$1:D1254, D$1:D1254&lt;&gt;""""),COUNTA(FILTER(D$1:D1254, D$1:D1254&lt;&gt;""""))), LEN(INDEX(FILTER(D$1:D1254, D$1:D1254&lt;&gt;""""),COUNTA(FILTER(D$1:D1254, D$1:D1254&lt;&gt;""""))))-1), IF('To Order'!$A1255=COL"&amp;"UMNS($A1255:D1274), D1254&amp;RIGHT(INDIRECT(ADDRESS(ROW(D1255)-1, 'From Order'!$A1255)), 1), D1254))"),"")</f>
        <v/>
      </c>
      <c r="E1255" s="2" t="str">
        <f>IFERROR(__xludf.DUMMYFUNCTION("IF('From Order'!$A1255=COLUMNS($A1255:E1274), LEFT(INDEX(FILTER(E$1:E1254, E$1:E1254&lt;&gt;""""),COUNTA(FILTER(E$1:E1254, E$1:E1254&lt;&gt;""""))), LEN(INDEX(FILTER(E$1:E1254, E$1:E1254&lt;&gt;""""),COUNTA(FILTER(E$1:E1254, E$1:E1254&lt;&gt;""""))))-1), IF('To Order'!$A1255=COL"&amp;"UMNS($A1255:E1274), E1254&amp;RIGHT(INDIRECT(ADDRESS(ROW(E1255)-1, 'From Order'!$A1255)), 1), E1254))"),"DJDMFBTJC")</f>
        <v>DJDMFBTJC</v>
      </c>
      <c r="F1255" s="2" t="str">
        <f>IFERROR(__xludf.DUMMYFUNCTION("IF('From Order'!$A1255=COLUMNS($A1255:F1274), LEFT(INDEX(FILTER(F$1:F1254, F$1:F1254&lt;&gt;""""),COUNTA(FILTER(F$1:F1254, F$1:F1254&lt;&gt;""""))), LEN(INDEX(FILTER(F$1:F1254, F$1:F1254&lt;&gt;""""),COUNTA(FILTER(F$1:F1254, F$1:F1254&lt;&gt;""""))))-1), IF('To Order'!$A1255=COL"&amp;"UMNS($A1255:F1274), F1254&amp;RIGHT(INDIRECT(ADDRESS(ROW(F1255)-1, 'From Order'!$A1255)), 1), F1254))"),"BS")</f>
        <v>BS</v>
      </c>
      <c r="G1255" s="2" t="str">
        <f>IFERROR(__xludf.DUMMYFUNCTION("IF('From Order'!$A1255=COLUMNS($A1255:G1274), LEFT(INDEX(FILTER(G$1:G1254, G$1:G1254&lt;&gt;""""),COUNTA(FILTER(G$1:G1254, G$1:G1254&lt;&gt;""""))), LEN(INDEX(FILTER(G$1:G1254, G$1:G1254&lt;&gt;""""),COUNTA(FILTER(G$1:G1254, G$1:G1254&lt;&gt;""""))))-1), IF('To Order'!$A1255=COL"&amp;"UMNS($A1255:G1274), G1254&amp;RIGHT(INDIRECT(ADDRESS(ROW(G1255)-1, 'From Order'!$A1255)), 1), G1254))"),"WRMTCRCDRZ")</f>
        <v>WRMTCRCDRZ</v>
      </c>
      <c r="H1255" s="2" t="str">
        <f>IFERROR(__xludf.DUMMYFUNCTION("IF('From Order'!$A1255=COLUMNS($A1255:H1274), LEFT(INDEX(FILTER(H$1:H1254, H$1:H1254&lt;&gt;""""),COUNTA(FILTER(H$1:H1254, H$1:H1254&lt;&gt;""""))), LEN(INDEX(FILTER(H$1:H1254, H$1:H1254&lt;&gt;""""),COUNTA(FILTER(H$1:H1254, H$1:H1254&lt;&gt;""""))))-1), IF('To Order'!$A1255=COL"&amp;"UMNS($A1255:H1274), H1254&amp;RIGHT(INDIRECT(ADDRESS(ROW(H1255)-1, 'From Order'!$A1255)), 1), H1254))"),"")</f>
        <v/>
      </c>
      <c r="I1255" s="2" t="str">
        <f>IFERROR(__xludf.DUMMYFUNCTION("IF('From Order'!$A1255=COLUMNS($A1255:I1274), LEFT(INDEX(FILTER(I$1:I1254, I$1:I1254&lt;&gt;""""),COUNTA(FILTER(I$1:I1254, I$1:I1254&lt;&gt;""""))), LEN(INDEX(FILTER(I$1:I1254, I$1:I1254&lt;&gt;""""),COUNTA(FILTER(I$1:I1254, I$1:I1254&lt;&gt;""""))))-1), IF('To Order'!$A1255=COL"&amp;"UMNS($A1255:I1274), I1254&amp;RIGHT(INDIRECT(ADDRESS(ROW(I1255)-1, 'From Order'!$A1255)), 1), I1254))"),"SFVTSVDT")</f>
        <v>SFVTSVDT</v>
      </c>
    </row>
    <row r="1256">
      <c r="A1256" s="2" t="str">
        <f>IFERROR(__xludf.DUMMYFUNCTION("IF('From Order'!$A1256=COLUMNS($A1256:A1275), LEFT(INDEX(FILTER(A$1:A1255, A$1:A1255&lt;&gt;""""),COUNTA(FILTER(A$1:A1255, A$1:A1255&lt;&gt;""""))), LEN(INDEX(FILTER(A$1:A1255, A$1:A1255&lt;&gt;""""),COUNTA(FILTER(A$1:A1255, A$1:A1255&lt;&gt;""""))))-1), IF('To Order'!$A1256=COL"&amp;"UMNS($A1256:A1275), A1255&amp;RIGHT(INDIRECT(ADDRESS(ROW(A1256)-1, 'From Order'!$A1256)), 1), A1255))"),"HZB")</f>
        <v>HZB</v>
      </c>
      <c r="B1256" s="2" t="str">
        <f>IFERROR(__xludf.DUMMYFUNCTION("IF('From Order'!$A1256=COLUMNS($A1256:B1275), LEFT(INDEX(FILTER(B$1:B1255, B$1:B1255&lt;&gt;""""),COUNTA(FILTER(B$1:B1255, B$1:B1255&lt;&gt;""""))), LEN(INDEX(FILTER(B$1:B1255, B$1:B1255&lt;&gt;""""),COUNTA(FILTER(B$1:B1255, B$1:B1255&lt;&gt;""""))))-1), IF('To Order'!$A1256=COL"&amp;"UMNS($A1256:B1275), B1255&amp;RIGHT(INDIRECT(ADDRESS(ROW(B1256)-1, 'From Order'!$A1256)), 1), B1255))"),"ZLPD")</f>
        <v>ZLPD</v>
      </c>
      <c r="C1256" s="2" t="str">
        <f>IFERROR(__xludf.DUMMYFUNCTION("IF('From Order'!$A1256=COLUMNS($A1256:C1275), LEFT(INDEX(FILTER(C$1:C1255, C$1:C1255&lt;&gt;""""),COUNTA(FILTER(C$1:C1255, C$1:C1255&lt;&gt;""""))), LEN(INDEX(FILTER(C$1:C1255, C$1:C1255&lt;&gt;""""),COUNTA(FILTER(C$1:C1255, C$1:C1255&lt;&gt;""""))))-1), IF('To Order'!$A1256=COL"&amp;"UMNS($A1256:C1275), C1255&amp;RIGHT(INDIRECT(ADDRESS(ROW(C1256)-1, 'From Order'!$A1256)), 1), C1255))"),"TRLRSGHWQVQJPPLDTMGB")</f>
        <v>TRLRSGHWQVQJPPLDTMGB</v>
      </c>
      <c r="D1256" s="2" t="str">
        <f>IFERROR(__xludf.DUMMYFUNCTION("IF('From Order'!$A1256=COLUMNS($A1256:D1275), LEFT(INDEX(FILTER(D$1:D1255, D$1:D1255&lt;&gt;""""),COUNTA(FILTER(D$1:D1255, D$1:D1255&lt;&gt;""""))), LEN(INDEX(FILTER(D$1:D1255, D$1:D1255&lt;&gt;""""),COUNTA(FILTER(D$1:D1255, D$1:D1255&lt;&gt;""""))))-1), IF('To Order'!$A1256=COL"&amp;"UMNS($A1256:D1275), D1255&amp;RIGHT(INDIRECT(ADDRESS(ROW(D1256)-1, 'From Order'!$A1256)), 1), D1255))"),"")</f>
        <v/>
      </c>
      <c r="E1256" s="2" t="str">
        <f>IFERROR(__xludf.DUMMYFUNCTION("IF('From Order'!$A1256=COLUMNS($A1256:E1275), LEFT(INDEX(FILTER(E$1:E1255, E$1:E1255&lt;&gt;""""),COUNTA(FILTER(E$1:E1255, E$1:E1255&lt;&gt;""""))), LEN(INDEX(FILTER(E$1:E1255, E$1:E1255&lt;&gt;""""),COUNTA(FILTER(E$1:E1255, E$1:E1255&lt;&gt;""""))))-1), IF('To Order'!$A1256=COL"&amp;"UMNS($A1256:E1275), E1255&amp;RIGHT(INDIRECT(ADDRESS(ROW(E1256)-1, 'From Order'!$A1256)), 1), E1255))"),"DJDMFBTJ")</f>
        <v>DJDMFBTJ</v>
      </c>
      <c r="F1256" s="2" t="str">
        <f>IFERROR(__xludf.DUMMYFUNCTION("IF('From Order'!$A1256=COLUMNS($A1256:F1275), LEFT(INDEX(FILTER(F$1:F1255, F$1:F1255&lt;&gt;""""),COUNTA(FILTER(F$1:F1255, F$1:F1255&lt;&gt;""""))), LEN(INDEX(FILTER(F$1:F1255, F$1:F1255&lt;&gt;""""),COUNTA(FILTER(F$1:F1255, F$1:F1255&lt;&gt;""""))))-1), IF('To Order'!$A1256=COL"&amp;"UMNS($A1256:F1275), F1255&amp;RIGHT(INDIRECT(ADDRESS(ROW(F1256)-1, 'From Order'!$A1256)), 1), F1255))"),"BS")</f>
        <v>BS</v>
      </c>
      <c r="G1256" s="2" t="str">
        <f>IFERROR(__xludf.DUMMYFUNCTION("IF('From Order'!$A1256=COLUMNS($A1256:G1275), LEFT(INDEX(FILTER(G$1:G1255, G$1:G1255&lt;&gt;""""),COUNTA(FILTER(G$1:G1255, G$1:G1255&lt;&gt;""""))), LEN(INDEX(FILTER(G$1:G1255, G$1:G1255&lt;&gt;""""),COUNTA(FILTER(G$1:G1255, G$1:G1255&lt;&gt;""""))))-1), IF('To Order'!$A1256=COL"&amp;"UMNS($A1256:G1275), G1255&amp;RIGHT(INDIRECT(ADDRESS(ROW(G1256)-1, 'From Order'!$A1256)), 1), G1255))"),"WRMTCRCDRZC")</f>
        <v>WRMTCRCDRZC</v>
      </c>
      <c r="H1256" s="2" t="str">
        <f>IFERROR(__xludf.DUMMYFUNCTION("IF('From Order'!$A1256=COLUMNS($A1256:H1275), LEFT(INDEX(FILTER(H$1:H1255, H$1:H1255&lt;&gt;""""),COUNTA(FILTER(H$1:H1255, H$1:H1255&lt;&gt;""""))), LEN(INDEX(FILTER(H$1:H1255, H$1:H1255&lt;&gt;""""),COUNTA(FILTER(H$1:H1255, H$1:H1255&lt;&gt;""""))))-1), IF('To Order'!$A1256=COL"&amp;"UMNS($A1256:H1275), H1255&amp;RIGHT(INDIRECT(ADDRESS(ROW(H1256)-1, 'From Order'!$A1256)), 1), H1255))"),"")</f>
        <v/>
      </c>
      <c r="I1256" s="2" t="str">
        <f>IFERROR(__xludf.DUMMYFUNCTION("IF('From Order'!$A1256=COLUMNS($A1256:I1275), LEFT(INDEX(FILTER(I$1:I1255, I$1:I1255&lt;&gt;""""),COUNTA(FILTER(I$1:I1255, I$1:I1255&lt;&gt;""""))), LEN(INDEX(FILTER(I$1:I1255, I$1:I1255&lt;&gt;""""),COUNTA(FILTER(I$1:I1255, I$1:I1255&lt;&gt;""""))))-1), IF('To Order'!$A1256=COL"&amp;"UMNS($A1256:I1275), I1255&amp;RIGHT(INDIRECT(ADDRESS(ROW(I1256)-1, 'From Order'!$A1256)), 1), I1255))"),"SFVTSVDT")</f>
        <v>SFVTSVDT</v>
      </c>
    </row>
    <row r="1257">
      <c r="A1257" s="2" t="str">
        <f>IFERROR(__xludf.DUMMYFUNCTION("IF('From Order'!$A1257=COLUMNS($A1257:A1276), LEFT(INDEX(FILTER(A$1:A1256, A$1:A1256&lt;&gt;""""),COUNTA(FILTER(A$1:A1256, A$1:A1256&lt;&gt;""""))), LEN(INDEX(FILTER(A$1:A1256, A$1:A1256&lt;&gt;""""),COUNTA(FILTER(A$1:A1256, A$1:A1256&lt;&gt;""""))))-1), IF('To Order'!$A1257=COL"&amp;"UMNS($A1257:A1276), A1256&amp;RIGHT(INDIRECT(ADDRESS(ROW(A1257)-1, 'From Order'!$A1257)), 1), A1256))"),"HZB")</f>
        <v>HZB</v>
      </c>
      <c r="B1257" s="2" t="str">
        <f>IFERROR(__xludf.DUMMYFUNCTION("IF('From Order'!$A1257=COLUMNS($A1257:B1276), LEFT(INDEX(FILTER(B$1:B1256, B$1:B1256&lt;&gt;""""),COUNTA(FILTER(B$1:B1256, B$1:B1256&lt;&gt;""""))), LEN(INDEX(FILTER(B$1:B1256, B$1:B1256&lt;&gt;""""),COUNTA(FILTER(B$1:B1256, B$1:B1256&lt;&gt;""""))))-1), IF('To Order'!$A1257=COL"&amp;"UMNS($A1257:B1276), B1256&amp;RIGHT(INDIRECT(ADDRESS(ROW(B1257)-1, 'From Order'!$A1257)), 1), B1256))"),"ZLPD")</f>
        <v>ZLPD</v>
      </c>
      <c r="C1257" s="2" t="str">
        <f>IFERROR(__xludf.DUMMYFUNCTION("IF('From Order'!$A1257=COLUMNS($A1257:C1276), LEFT(INDEX(FILTER(C$1:C1256, C$1:C1256&lt;&gt;""""),COUNTA(FILTER(C$1:C1256, C$1:C1256&lt;&gt;""""))), LEN(INDEX(FILTER(C$1:C1256, C$1:C1256&lt;&gt;""""),COUNTA(FILTER(C$1:C1256, C$1:C1256&lt;&gt;""""))))-1), IF('To Order'!$A1257=COL"&amp;"UMNS($A1257:C1276), C1256&amp;RIGHT(INDIRECT(ADDRESS(ROW(C1257)-1, 'From Order'!$A1257)), 1), C1256))"),"TRLRSGHWQVQJPPLDTMGB")</f>
        <v>TRLRSGHWQVQJPPLDTMGB</v>
      </c>
      <c r="D1257" s="2" t="str">
        <f>IFERROR(__xludf.DUMMYFUNCTION("IF('From Order'!$A1257=COLUMNS($A1257:D1276), LEFT(INDEX(FILTER(D$1:D1256, D$1:D1256&lt;&gt;""""),COUNTA(FILTER(D$1:D1256, D$1:D1256&lt;&gt;""""))), LEN(INDEX(FILTER(D$1:D1256, D$1:D1256&lt;&gt;""""),COUNTA(FILTER(D$1:D1256, D$1:D1256&lt;&gt;""""))))-1), IF('To Order'!$A1257=COL"&amp;"UMNS($A1257:D1276), D1256&amp;RIGHT(INDIRECT(ADDRESS(ROW(D1257)-1, 'From Order'!$A1257)), 1), D1256))"),"")</f>
        <v/>
      </c>
      <c r="E1257" s="2" t="str">
        <f>IFERROR(__xludf.DUMMYFUNCTION("IF('From Order'!$A1257=COLUMNS($A1257:E1276), LEFT(INDEX(FILTER(E$1:E1256, E$1:E1256&lt;&gt;""""),COUNTA(FILTER(E$1:E1256, E$1:E1256&lt;&gt;""""))), LEN(INDEX(FILTER(E$1:E1256, E$1:E1256&lt;&gt;""""),COUNTA(FILTER(E$1:E1256, E$1:E1256&lt;&gt;""""))))-1), IF('To Order'!$A1257=COL"&amp;"UMNS($A1257:E1276), E1256&amp;RIGHT(INDIRECT(ADDRESS(ROW(E1257)-1, 'From Order'!$A1257)), 1), E1256))"),"DJDMFBT")</f>
        <v>DJDMFBT</v>
      </c>
      <c r="F1257" s="2" t="str">
        <f>IFERROR(__xludf.DUMMYFUNCTION("IF('From Order'!$A1257=COLUMNS($A1257:F1276), LEFT(INDEX(FILTER(F$1:F1256, F$1:F1256&lt;&gt;""""),COUNTA(FILTER(F$1:F1256, F$1:F1256&lt;&gt;""""))), LEN(INDEX(FILTER(F$1:F1256, F$1:F1256&lt;&gt;""""),COUNTA(FILTER(F$1:F1256, F$1:F1256&lt;&gt;""""))))-1), IF('To Order'!$A1257=COL"&amp;"UMNS($A1257:F1276), F1256&amp;RIGHT(INDIRECT(ADDRESS(ROW(F1257)-1, 'From Order'!$A1257)), 1), F1256))"),"BS")</f>
        <v>BS</v>
      </c>
      <c r="G1257" s="2" t="str">
        <f>IFERROR(__xludf.DUMMYFUNCTION("IF('From Order'!$A1257=COLUMNS($A1257:G1276), LEFT(INDEX(FILTER(G$1:G1256, G$1:G1256&lt;&gt;""""),COUNTA(FILTER(G$1:G1256, G$1:G1256&lt;&gt;""""))), LEN(INDEX(FILTER(G$1:G1256, G$1:G1256&lt;&gt;""""),COUNTA(FILTER(G$1:G1256, G$1:G1256&lt;&gt;""""))))-1), IF('To Order'!$A1257=COL"&amp;"UMNS($A1257:G1276), G1256&amp;RIGHT(INDIRECT(ADDRESS(ROW(G1257)-1, 'From Order'!$A1257)), 1), G1256))"),"WRMTCRCDRZCJ")</f>
        <v>WRMTCRCDRZCJ</v>
      </c>
      <c r="H1257" s="2" t="str">
        <f>IFERROR(__xludf.DUMMYFUNCTION("IF('From Order'!$A1257=COLUMNS($A1257:H1276), LEFT(INDEX(FILTER(H$1:H1256, H$1:H1256&lt;&gt;""""),COUNTA(FILTER(H$1:H1256, H$1:H1256&lt;&gt;""""))), LEN(INDEX(FILTER(H$1:H1256, H$1:H1256&lt;&gt;""""),COUNTA(FILTER(H$1:H1256, H$1:H1256&lt;&gt;""""))))-1), IF('To Order'!$A1257=COL"&amp;"UMNS($A1257:H1276), H1256&amp;RIGHT(INDIRECT(ADDRESS(ROW(H1257)-1, 'From Order'!$A1257)), 1), H1256))"),"")</f>
        <v/>
      </c>
      <c r="I1257" s="2" t="str">
        <f>IFERROR(__xludf.DUMMYFUNCTION("IF('From Order'!$A1257=COLUMNS($A1257:I1276), LEFT(INDEX(FILTER(I$1:I1256, I$1:I1256&lt;&gt;""""),COUNTA(FILTER(I$1:I1256, I$1:I1256&lt;&gt;""""))), LEN(INDEX(FILTER(I$1:I1256, I$1:I1256&lt;&gt;""""),COUNTA(FILTER(I$1:I1256, I$1:I1256&lt;&gt;""""))))-1), IF('To Order'!$A1257=COL"&amp;"UMNS($A1257:I1276), I1256&amp;RIGHT(INDIRECT(ADDRESS(ROW(I1257)-1, 'From Order'!$A1257)), 1), I1256))"),"SFVTSVDT")</f>
        <v>SFVTSVDT</v>
      </c>
    </row>
    <row r="1258">
      <c r="A1258" s="2" t="str">
        <f>IFERROR(__xludf.DUMMYFUNCTION("IF('From Order'!$A1258=COLUMNS($A1258:A1277), LEFT(INDEX(FILTER(A$1:A1257, A$1:A1257&lt;&gt;""""),COUNTA(FILTER(A$1:A1257, A$1:A1257&lt;&gt;""""))), LEN(INDEX(FILTER(A$1:A1257, A$1:A1257&lt;&gt;""""),COUNTA(FILTER(A$1:A1257, A$1:A1257&lt;&gt;""""))))-1), IF('To Order'!$A1258=COL"&amp;"UMNS($A1258:A1277), A1257&amp;RIGHT(INDIRECT(ADDRESS(ROW(A1258)-1, 'From Order'!$A1258)), 1), A1257))"),"HZB")</f>
        <v>HZB</v>
      </c>
      <c r="B1258" s="2" t="str">
        <f>IFERROR(__xludf.DUMMYFUNCTION("IF('From Order'!$A1258=COLUMNS($A1258:B1277), LEFT(INDEX(FILTER(B$1:B1257, B$1:B1257&lt;&gt;""""),COUNTA(FILTER(B$1:B1257, B$1:B1257&lt;&gt;""""))), LEN(INDEX(FILTER(B$1:B1257, B$1:B1257&lt;&gt;""""),COUNTA(FILTER(B$1:B1257, B$1:B1257&lt;&gt;""""))))-1), IF('To Order'!$A1258=COL"&amp;"UMNS($A1258:B1277), B1257&amp;RIGHT(INDIRECT(ADDRESS(ROW(B1258)-1, 'From Order'!$A1258)), 1), B1257))"),"ZLPD")</f>
        <v>ZLPD</v>
      </c>
      <c r="C1258" s="2" t="str">
        <f>IFERROR(__xludf.DUMMYFUNCTION("IF('From Order'!$A1258=COLUMNS($A1258:C1277), LEFT(INDEX(FILTER(C$1:C1257, C$1:C1257&lt;&gt;""""),COUNTA(FILTER(C$1:C1257, C$1:C1257&lt;&gt;""""))), LEN(INDEX(FILTER(C$1:C1257, C$1:C1257&lt;&gt;""""),COUNTA(FILTER(C$1:C1257, C$1:C1257&lt;&gt;""""))))-1), IF('To Order'!$A1258=COL"&amp;"UMNS($A1258:C1277), C1257&amp;RIGHT(INDIRECT(ADDRESS(ROW(C1258)-1, 'From Order'!$A1258)), 1), C1257))"),"TRLRSGHWQVQJPPLDTMGB")</f>
        <v>TRLRSGHWQVQJPPLDTMGB</v>
      </c>
      <c r="D1258" s="2" t="str">
        <f>IFERROR(__xludf.DUMMYFUNCTION("IF('From Order'!$A1258=COLUMNS($A1258:D1277), LEFT(INDEX(FILTER(D$1:D1257, D$1:D1257&lt;&gt;""""),COUNTA(FILTER(D$1:D1257, D$1:D1257&lt;&gt;""""))), LEN(INDEX(FILTER(D$1:D1257, D$1:D1257&lt;&gt;""""),COUNTA(FILTER(D$1:D1257, D$1:D1257&lt;&gt;""""))))-1), IF('To Order'!$A1258=COL"&amp;"UMNS($A1258:D1277), D1257&amp;RIGHT(INDIRECT(ADDRESS(ROW(D1258)-1, 'From Order'!$A1258)), 1), D1257))"),"")</f>
        <v/>
      </c>
      <c r="E1258" s="2" t="str">
        <f>IFERROR(__xludf.DUMMYFUNCTION("IF('From Order'!$A1258=COLUMNS($A1258:E1277), LEFT(INDEX(FILTER(E$1:E1257, E$1:E1257&lt;&gt;""""),COUNTA(FILTER(E$1:E1257, E$1:E1257&lt;&gt;""""))), LEN(INDEX(FILTER(E$1:E1257, E$1:E1257&lt;&gt;""""),COUNTA(FILTER(E$1:E1257, E$1:E1257&lt;&gt;""""))))-1), IF('To Order'!$A1258=COL"&amp;"UMNS($A1258:E1277), E1257&amp;RIGHT(INDIRECT(ADDRESS(ROW(E1258)-1, 'From Order'!$A1258)), 1), E1257))"),"DJDMFB")</f>
        <v>DJDMFB</v>
      </c>
      <c r="F1258" s="2" t="str">
        <f>IFERROR(__xludf.DUMMYFUNCTION("IF('From Order'!$A1258=COLUMNS($A1258:F1277), LEFT(INDEX(FILTER(F$1:F1257, F$1:F1257&lt;&gt;""""),COUNTA(FILTER(F$1:F1257, F$1:F1257&lt;&gt;""""))), LEN(INDEX(FILTER(F$1:F1257, F$1:F1257&lt;&gt;""""),COUNTA(FILTER(F$1:F1257, F$1:F1257&lt;&gt;""""))))-1), IF('To Order'!$A1258=COL"&amp;"UMNS($A1258:F1277), F1257&amp;RIGHT(INDIRECT(ADDRESS(ROW(F1258)-1, 'From Order'!$A1258)), 1), F1257))"),"BS")</f>
        <v>BS</v>
      </c>
      <c r="G1258" s="2" t="str">
        <f>IFERROR(__xludf.DUMMYFUNCTION("IF('From Order'!$A1258=COLUMNS($A1258:G1277), LEFT(INDEX(FILTER(G$1:G1257, G$1:G1257&lt;&gt;""""),COUNTA(FILTER(G$1:G1257, G$1:G1257&lt;&gt;""""))), LEN(INDEX(FILTER(G$1:G1257, G$1:G1257&lt;&gt;""""),COUNTA(FILTER(G$1:G1257, G$1:G1257&lt;&gt;""""))))-1), IF('To Order'!$A1258=COL"&amp;"UMNS($A1258:G1277), G1257&amp;RIGHT(INDIRECT(ADDRESS(ROW(G1258)-1, 'From Order'!$A1258)), 1), G1257))"),"WRMTCRCDRZCJT")</f>
        <v>WRMTCRCDRZCJT</v>
      </c>
      <c r="H1258" s="2" t="str">
        <f>IFERROR(__xludf.DUMMYFUNCTION("IF('From Order'!$A1258=COLUMNS($A1258:H1277), LEFT(INDEX(FILTER(H$1:H1257, H$1:H1257&lt;&gt;""""),COUNTA(FILTER(H$1:H1257, H$1:H1257&lt;&gt;""""))), LEN(INDEX(FILTER(H$1:H1257, H$1:H1257&lt;&gt;""""),COUNTA(FILTER(H$1:H1257, H$1:H1257&lt;&gt;""""))))-1), IF('To Order'!$A1258=COL"&amp;"UMNS($A1258:H1277), H1257&amp;RIGHT(INDIRECT(ADDRESS(ROW(H1258)-1, 'From Order'!$A1258)), 1), H1257))"),"")</f>
        <v/>
      </c>
      <c r="I1258" s="2" t="str">
        <f>IFERROR(__xludf.DUMMYFUNCTION("IF('From Order'!$A1258=COLUMNS($A1258:I1277), LEFT(INDEX(FILTER(I$1:I1257, I$1:I1257&lt;&gt;""""),COUNTA(FILTER(I$1:I1257, I$1:I1257&lt;&gt;""""))), LEN(INDEX(FILTER(I$1:I1257, I$1:I1257&lt;&gt;""""),COUNTA(FILTER(I$1:I1257, I$1:I1257&lt;&gt;""""))))-1), IF('To Order'!$A1258=COL"&amp;"UMNS($A1258:I1277), I1257&amp;RIGHT(INDIRECT(ADDRESS(ROW(I1258)-1, 'From Order'!$A1258)), 1), I1257))"),"SFVTSVDT")</f>
        <v>SFVTSVDT</v>
      </c>
    </row>
    <row r="1259">
      <c r="A1259" s="2" t="str">
        <f>IFERROR(__xludf.DUMMYFUNCTION("IF('From Order'!$A1259=COLUMNS($A1259:A1278), LEFT(INDEX(FILTER(A$1:A1258, A$1:A1258&lt;&gt;""""),COUNTA(FILTER(A$1:A1258, A$1:A1258&lt;&gt;""""))), LEN(INDEX(FILTER(A$1:A1258, A$1:A1258&lt;&gt;""""),COUNTA(FILTER(A$1:A1258, A$1:A1258&lt;&gt;""""))))-1), IF('To Order'!$A1259=COL"&amp;"UMNS($A1259:A1278), A1258&amp;RIGHT(INDIRECT(ADDRESS(ROW(A1259)-1, 'From Order'!$A1259)), 1), A1258))"),"HZB")</f>
        <v>HZB</v>
      </c>
      <c r="B1259" s="2" t="str">
        <f>IFERROR(__xludf.DUMMYFUNCTION("IF('From Order'!$A1259=COLUMNS($A1259:B1278), LEFT(INDEX(FILTER(B$1:B1258, B$1:B1258&lt;&gt;""""),COUNTA(FILTER(B$1:B1258, B$1:B1258&lt;&gt;""""))), LEN(INDEX(FILTER(B$1:B1258, B$1:B1258&lt;&gt;""""),COUNTA(FILTER(B$1:B1258, B$1:B1258&lt;&gt;""""))))-1), IF('To Order'!$A1259=COL"&amp;"UMNS($A1259:B1278), B1258&amp;RIGHT(INDIRECT(ADDRESS(ROW(B1259)-1, 'From Order'!$A1259)), 1), B1258))"),"ZLPD")</f>
        <v>ZLPD</v>
      </c>
      <c r="C1259" s="2" t="str">
        <f>IFERROR(__xludf.DUMMYFUNCTION("IF('From Order'!$A1259=COLUMNS($A1259:C1278), LEFT(INDEX(FILTER(C$1:C1258, C$1:C1258&lt;&gt;""""),COUNTA(FILTER(C$1:C1258, C$1:C1258&lt;&gt;""""))), LEN(INDEX(FILTER(C$1:C1258, C$1:C1258&lt;&gt;""""),COUNTA(FILTER(C$1:C1258, C$1:C1258&lt;&gt;""""))))-1), IF('To Order'!$A1259=COL"&amp;"UMNS($A1259:C1278), C1258&amp;RIGHT(INDIRECT(ADDRESS(ROW(C1259)-1, 'From Order'!$A1259)), 1), C1258))"),"TRLRSGHWQVQJPPLDTMGB")</f>
        <v>TRLRSGHWQVQJPPLDTMGB</v>
      </c>
      <c r="D1259" s="2" t="str">
        <f>IFERROR(__xludf.DUMMYFUNCTION("IF('From Order'!$A1259=COLUMNS($A1259:D1278), LEFT(INDEX(FILTER(D$1:D1258, D$1:D1258&lt;&gt;""""),COUNTA(FILTER(D$1:D1258, D$1:D1258&lt;&gt;""""))), LEN(INDEX(FILTER(D$1:D1258, D$1:D1258&lt;&gt;""""),COUNTA(FILTER(D$1:D1258, D$1:D1258&lt;&gt;""""))))-1), IF('To Order'!$A1259=COL"&amp;"UMNS($A1259:D1278), D1258&amp;RIGHT(INDIRECT(ADDRESS(ROW(D1259)-1, 'From Order'!$A1259)), 1), D1258))"),"")</f>
        <v/>
      </c>
      <c r="E1259" s="2" t="str">
        <f>IFERROR(__xludf.DUMMYFUNCTION("IF('From Order'!$A1259=COLUMNS($A1259:E1278), LEFT(INDEX(FILTER(E$1:E1258, E$1:E1258&lt;&gt;""""),COUNTA(FILTER(E$1:E1258, E$1:E1258&lt;&gt;""""))), LEN(INDEX(FILTER(E$1:E1258, E$1:E1258&lt;&gt;""""),COUNTA(FILTER(E$1:E1258, E$1:E1258&lt;&gt;""""))))-1), IF('To Order'!$A1259=COL"&amp;"UMNS($A1259:E1278), E1258&amp;RIGHT(INDIRECT(ADDRESS(ROW(E1259)-1, 'From Order'!$A1259)), 1), E1258))"),"DJDMF")</f>
        <v>DJDMF</v>
      </c>
      <c r="F1259" s="2" t="str">
        <f>IFERROR(__xludf.DUMMYFUNCTION("IF('From Order'!$A1259=COLUMNS($A1259:F1278), LEFT(INDEX(FILTER(F$1:F1258, F$1:F1258&lt;&gt;""""),COUNTA(FILTER(F$1:F1258, F$1:F1258&lt;&gt;""""))), LEN(INDEX(FILTER(F$1:F1258, F$1:F1258&lt;&gt;""""),COUNTA(FILTER(F$1:F1258, F$1:F1258&lt;&gt;""""))))-1), IF('To Order'!$A1259=COL"&amp;"UMNS($A1259:F1278), F1258&amp;RIGHT(INDIRECT(ADDRESS(ROW(F1259)-1, 'From Order'!$A1259)), 1), F1258))"),"BS")</f>
        <v>BS</v>
      </c>
      <c r="G1259" s="2" t="str">
        <f>IFERROR(__xludf.DUMMYFUNCTION("IF('From Order'!$A1259=COLUMNS($A1259:G1278), LEFT(INDEX(FILTER(G$1:G1258, G$1:G1258&lt;&gt;""""),COUNTA(FILTER(G$1:G1258, G$1:G1258&lt;&gt;""""))), LEN(INDEX(FILTER(G$1:G1258, G$1:G1258&lt;&gt;""""),COUNTA(FILTER(G$1:G1258, G$1:G1258&lt;&gt;""""))))-1), IF('To Order'!$A1259=COL"&amp;"UMNS($A1259:G1278), G1258&amp;RIGHT(INDIRECT(ADDRESS(ROW(G1259)-1, 'From Order'!$A1259)), 1), G1258))"),"WRMTCRCDRZCJTB")</f>
        <v>WRMTCRCDRZCJTB</v>
      </c>
      <c r="H1259" s="2" t="str">
        <f>IFERROR(__xludf.DUMMYFUNCTION("IF('From Order'!$A1259=COLUMNS($A1259:H1278), LEFT(INDEX(FILTER(H$1:H1258, H$1:H1258&lt;&gt;""""),COUNTA(FILTER(H$1:H1258, H$1:H1258&lt;&gt;""""))), LEN(INDEX(FILTER(H$1:H1258, H$1:H1258&lt;&gt;""""),COUNTA(FILTER(H$1:H1258, H$1:H1258&lt;&gt;""""))))-1), IF('To Order'!$A1259=COL"&amp;"UMNS($A1259:H1278), H1258&amp;RIGHT(INDIRECT(ADDRESS(ROW(H1259)-1, 'From Order'!$A1259)), 1), H1258))"),"")</f>
        <v/>
      </c>
      <c r="I1259" s="2" t="str">
        <f>IFERROR(__xludf.DUMMYFUNCTION("IF('From Order'!$A1259=COLUMNS($A1259:I1278), LEFT(INDEX(FILTER(I$1:I1258, I$1:I1258&lt;&gt;""""),COUNTA(FILTER(I$1:I1258, I$1:I1258&lt;&gt;""""))), LEN(INDEX(FILTER(I$1:I1258, I$1:I1258&lt;&gt;""""),COUNTA(FILTER(I$1:I1258, I$1:I1258&lt;&gt;""""))))-1), IF('To Order'!$A1259=COL"&amp;"UMNS($A1259:I1278), I1258&amp;RIGHT(INDIRECT(ADDRESS(ROW(I1259)-1, 'From Order'!$A1259)), 1), I1258))"),"SFVTSVDT")</f>
        <v>SFVTSVDT</v>
      </c>
    </row>
    <row r="1260">
      <c r="A1260" s="2" t="str">
        <f>IFERROR(__xludf.DUMMYFUNCTION("IF('From Order'!$A1260=COLUMNS($A1260:A1279), LEFT(INDEX(FILTER(A$1:A1259, A$1:A1259&lt;&gt;""""),COUNTA(FILTER(A$1:A1259, A$1:A1259&lt;&gt;""""))), LEN(INDEX(FILTER(A$1:A1259, A$1:A1259&lt;&gt;""""),COUNTA(FILTER(A$1:A1259, A$1:A1259&lt;&gt;""""))))-1), IF('To Order'!$A1260=COL"&amp;"UMNS($A1260:A1279), A1259&amp;RIGHT(INDIRECT(ADDRESS(ROW(A1260)-1, 'From Order'!$A1260)), 1), A1259))"),"HZB")</f>
        <v>HZB</v>
      </c>
      <c r="B1260" s="2" t="str">
        <f>IFERROR(__xludf.DUMMYFUNCTION("IF('From Order'!$A1260=COLUMNS($A1260:B1279), LEFT(INDEX(FILTER(B$1:B1259, B$1:B1259&lt;&gt;""""),COUNTA(FILTER(B$1:B1259, B$1:B1259&lt;&gt;""""))), LEN(INDEX(FILTER(B$1:B1259, B$1:B1259&lt;&gt;""""),COUNTA(FILTER(B$1:B1259, B$1:B1259&lt;&gt;""""))))-1), IF('To Order'!$A1260=COL"&amp;"UMNS($A1260:B1279), B1259&amp;RIGHT(INDIRECT(ADDRESS(ROW(B1260)-1, 'From Order'!$A1260)), 1), B1259))"),"ZLPD")</f>
        <v>ZLPD</v>
      </c>
      <c r="C1260" s="2" t="str">
        <f>IFERROR(__xludf.DUMMYFUNCTION("IF('From Order'!$A1260=COLUMNS($A1260:C1279), LEFT(INDEX(FILTER(C$1:C1259, C$1:C1259&lt;&gt;""""),COUNTA(FILTER(C$1:C1259, C$1:C1259&lt;&gt;""""))), LEN(INDEX(FILTER(C$1:C1259, C$1:C1259&lt;&gt;""""),COUNTA(FILTER(C$1:C1259, C$1:C1259&lt;&gt;""""))))-1), IF('To Order'!$A1260=COL"&amp;"UMNS($A1260:C1279), C1259&amp;RIGHT(INDIRECT(ADDRESS(ROW(C1260)-1, 'From Order'!$A1260)), 1), C1259))"),"TRLRSGHWQVQJPPLDTMGB")</f>
        <v>TRLRSGHWQVQJPPLDTMGB</v>
      </c>
      <c r="D1260" s="2" t="str">
        <f>IFERROR(__xludf.DUMMYFUNCTION("IF('From Order'!$A1260=COLUMNS($A1260:D1279), LEFT(INDEX(FILTER(D$1:D1259, D$1:D1259&lt;&gt;""""),COUNTA(FILTER(D$1:D1259, D$1:D1259&lt;&gt;""""))), LEN(INDEX(FILTER(D$1:D1259, D$1:D1259&lt;&gt;""""),COUNTA(FILTER(D$1:D1259, D$1:D1259&lt;&gt;""""))))-1), IF('To Order'!$A1260=COL"&amp;"UMNS($A1260:D1279), D1259&amp;RIGHT(INDIRECT(ADDRESS(ROW(D1260)-1, 'From Order'!$A1260)), 1), D1259))"),"")</f>
        <v/>
      </c>
      <c r="E1260" s="2" t="str">
        <f>IFERROR(__xludf.DUMMYFUNCTION("IF('From Order'!$A1260=COLUMNS($A1260:E1279), LEFT(INDEX(FILTER(E$1:E1259, E$1:E1259&lt;&gt;""""),COUNTA(FILTER(E$1:E1259, E$1:E1259&lt;&gt;""""))), LEN(INDEX(FILTER(E$1:E1259, E$1:E1259&lt;&gt;""""),COUNTA(FILTER(E$1:E1259, E$1:E1259&lt;&gt;""""))))-1), IF('To Order'!$A1260=COL"&amp;"UMNS($A1260:E1279), E1259&amp;RIGHT(INDIRECT(ADDRESS(ROW(E1260)-1, 'From Order'!$A1260)), 1), E1259))"),"DJDM")</f>
        <v>DJDM</v>
      </c>
      <c r="F1260" s="2" t="str">
        <f>IFERROR(__xludf.DUMMYFUNCTION("IF('From Order'!$A1260=COLUMNS($A1260:F1279), LEFT(INDEX(FILTER(F$1:F1259, F$1:F1259&lt;&gt;""""),COUNTA(FILTER(F$1:F1259, F$1:F1259&lt;&gt;""""))), LEN(INDEX(FILTER(F$1:F1259, F$1:F1259&lt;&gt;""""),COUNTA(FILTER(F$1:F1259, F$1:F1259&lt;&gt;""""))))-1), IF('To Order'!$A1260=COL"&amp;"UMNS($A1260:F1279), F1259&amp;RIGHT(INDIRECT(ADDRESS(ROW(F1260)-1, 'From Order'!$A1260)), 1), F1259))"),"BS")</f>
        <v>BS</v>
      </c>
      <c r="G1260" s="2" t="str">
        <f>IFERROR(__xludf.DUMMYFUNCTION("IF('From Order'!$A1260=COLUMNS($A1260:G1279), LEFT(INDEX(FILTER(G$1:G1259, G$1:G1259&lt;&gt;""""),COUNTA(FILTER(G$1:G1259, G$1:G1259&lt;&gt;""""))), LEN(INDEX(FILTER(G$1:G1259, G$1:G1259&lt;&gt;""""),COUNTA(FILTER(G$1:G1259, G$1:G1259&lt;&gt;""""))))-1), IF('To Order'!$A1260=COL"&amp;"UMNS($A1260:G1279), G1259&amp;RIGHT(INDIRECT(ADDRESS(ROW(G1260)-1, 'From Order'!$A1260)), 1), G1259))"),"WRMTCRCDRZCJTBF")</f>
        <v>WRMTCRCDRZCJTBF</v>
      </c>
      <c r="H1260" s="2" t="str">
        <f>IFERROR(__xludf.DUMMYFUNCTION("IF('From Order'!$A1260=COLUMNS($A1260:H1279), LEFT(INDEX(FILTER(H$1:H1259, H$1:H1259&lt;&gt;""""),COUNTA(FILTER(H$1:H1259, H$1:H1259&lt;&gt;""""))), LEN(INDEX(FILTER(H$1:H1259, H$1:H1259&lt;&gt;""""),COUNTA(FILTER(H$1:H1259, H$1:H1259&lt;&gt;""""))))-1), IF('To Order'!$A1260=COL"&amp;"UMNS($A1260:H1279), H1259&amp;RIGHT(INDIRECT(ADDRESS(ROW(H1260)-1, 'From Order'!$A1260)), 1), H1259))"),"")</f>
        <v/>
      </c>
      <c r="I1260" s="2" t="str">
        <f>IFERROR(__xludf.DUMMYFUNCTION("IF('From Order'!$A1260=COLUMNS($A1260:I1279), LEFT(INDEX(FILTER(I$1:I1259, I$1:I1259&lt;&gt;""""),COUNTA(FILTER(I$1:I1259, I$1:I1259&lt;&gt;""""))), LEN(INDEX(FILTER(I$1:I1259, I$1:I1259&lt;&gt;""""),COUNTA(FILTER(I$1:I1259, I$1:I1259&lt;&gt;""""))))-1), IF('To Order'!$A1260=COL"&amp;"UMNS($A1260:I1279), I1259&amp;RIGHT(INDIRECT(ADDRESS(ROW(I1260)-1, 'From Order'!$A1260)), 1), I1259))"),"SFVTSVDT")</f>
        <v>SFVTSVDT</v>
      </c>
    </row>
    <row r="1261">
      <c r="A1261" s="2" t="str">
        <f>IFERROR(__xludf.DUMMYFUNCTION("IF('From Order'!$A1261=COLUMNS($A1261:A1280), LEFT(INDEX(FILTER(A$1:A1260, A$1:A1260&lt;&gt;""""),COUNTA(FILTER(A$1:A1260, A$1:A1260&lt;&gt;""""))), LEN(INDEX(FILTER(A$1:A1260, A$1:A1260&lt;&gt;""""),COUNTA(FILTER(A$1:A1260, A$1:A1260&lt;&gt;""""))))-1), IF('To Order'!$A1261=COL"&amp;"UMNS($A1261:A1280), A1260&amp;RIGHT(INDIRECT(ADDRESS(ROW(A1261)-1, 'From Order'!$A1261)), 1), A1260))"),"HZB")</f>
        <v>HZB</v>
      </c>
      <c r="B1261" s="2" t="str">
        <f>IFERROR(__xludf.DUMMYFUNCTION("IF('From Order'!$A1261=COLUMNS($A1261:B1280), LEFT(INDEX(FILTER(B$1:B1260, B$1:B1260&lt;&gt;""""),COUNTA(FILTER(B$1:B1260, B$1:B1260&lt;&gt;""""))), LEN(INDEX(FILTER(B$1:B1260, B$1:B1260&lt;&gt;""""),COUNTA(FILTER(B$1:B1260, B$1:B1260&lt;&gt;""""))))-1), IF('To Order'!$A1261=COL"&amp;"UMNS($A1261:B1280), B1260&amp;RIGHT(INDIRECT(ADDRESS(ROW(B1261)-1, 'From Order'!$A1261)), 1), B1260))"),"ZLPD")</f>
        <v>ZLPD</v>
      </c>
      <c r="C1261" s="2" t="str">
        <f>IFERROR(__xludf.DUMMYFUNCTION("IF('From Order'!$A1261=COLUMNS($A1261:C1280), LEFT(INDEX(FILTER(C$1:C1260, C$1:C1260&lt;&gt;""""),COUNTA(FILTER(C$1:C1260, C$1:C1260&lt;&gt;""""))), LEN(INDEX(FILTER(C$1:C1260, C$1:C1260&lt;&gt;""""),COUNTA(FILTER(C$1:C1260, C$1:C1260&lt;&gt;""""))))-1), IF('To Order'!$A1261=COL"&amp;"UMNS($A1261:C1280), C1260&amp;RIGHT(INDIRECT(ADDRESS(ROW(C1261)-1, 'From Order'!$A1261)), 1), C1260))"),"TRLRSGHWQVQJPPLDTMGB")</f>
        <v>TRLRSGHWQVQJPPLDTMGB</v>
      </c>
      <c r="D1261" s="2" t="str">
        <f>IFERROR(__xludf.DUMMYFUNCTION("IF('From Order'!$A1261=COLUMNS($A1261:D1280), LEFT(INDEX(FILTER(D$1:D1260, D$1:D1260&lt;&gt;""""),COUNTA(FILTER(D$1:D1260, D$1:D1260&lt;&gt;""""))), LEN(INDEX(FILTER(D$1:D1260, D$1:D1260&lt;&gt;""""),COUNTA(FILTER(D$1:D1260, D$1:D1260&lt;&gt;""""))))-1), IF('To Order'!$A1261=COL"&amp;"UMNS($A1261:D1280), D1260&amp;RIGHT(INDIRECT(ADDRESS(ROW(D1261)-1, 'From Order'!$A1261)), 1), D1260))"),"")</f>
        <v/>
      </c>
      <c r="E1261" s="2" t="str">
        <f>IFERROR(__xludf.DUMMYFUNCTION("IF('From Order'!$A1261=COLUMNS($A1261:E1280), LEFT(INDEX(FILTER(E$1:E1260, E$1:E1260&lt;&gt;""""),COUNTA(FILTER(E$1:E1260, E$1:E1260&lt;&gt;""""))), LEN(INDEX(FILTER(E$1:E1260, E$1:E1260&lt;&gt;""""),COUNTA(FILTER(E$1:E1260, E$1:E1260&lt;&gt;""""))))-1), IF('To Order'!$A1261=COL"&amp;"UMNS($A1261:E1280), E1260&amp;RIGHT(INDIRECT(ADDRESS(ROW(E1261)-1, 'From Order'!$A1261)), 1), E1260))"),"DJD")</f>
        <v>DJD</v>
      </c>
      <c r="F1261" s="2" t="str">
        <f>IFERROR(__xludf.DUMMYFUNCTION("IF('From Order'!$A1261=COLUMNS($A1261:F1280), LEFT(INDEX(FILTER(F$1:F1260, F$1:F1260&lt;&gt;""""),COUNTA(FILTER(F$1:F1260, F$1:F1260&lt;&gt;""""))), LEN(INDEX(FILTER(F$1:F1260, F$1:F1260&lt;&gt;""""),COUNTA(FILTER(F$1:F1260, F$1:F1260&lt;&gt;""""))))-1), IF('To Order'!$A1261=COL"&amp;"UMNS($A1261:F1280), F1260&amp;RIGHT(INDIRECT(ADDRESS(ROW(F1261)-1, 'From Order'!$A1261)), 1), F1260))"),"BS")</f>
        <v>BS</v>
      </c>
      <c r="G1261" s="2" t="str">
        <f>IFERROR(__xludf.DUMMYFUNCTION("IF('From Order'!$A1261=COLUMNS($A1261:G1280), LEFT(INDEX(FILTER(G$1:G1260, G$1:G1260&lt;&gt;""""),COUNTA(FILTER(G$1:G1260, G$1:G1260&lt;&gt;""""))), LEN(INDEX(FILTER(G$1:G1260, G$1:G1260&lt;&gt;""""),COUNTA(FILTER(G$1:G1260, G$1:G1260&lt;&gt;""""))))-1), IF('To Order'!$A1261=COL"&amp;"UMNS($A1261:G1280), G1260&amp;RIGHT(INDIRECT(ADDRESS(ROW(G1261)-1, 'From Order'!$A1261)), 1), G1260))"),"WRMTCRCDRZCJTBFM")</f>
        <v>WRMTCRCDRZCJTBFM</v>
      </c>
      <c r="H1261" s="2" t="str">
        <f>IFERROR(__xludf.DUMMYFUNCTION("IF('From Order'!$A1261=COLUMNS($A1261:H1280), LEFT(INDEX(FILTER(H$1:H1260, H$1:H1260&lt;&gt;""""),COUNTA(FILTER(H$1:H1260, H$1:H1260&lt;&gt;""""))), LEN(INDEX(FILTER(H$1:H1260, H$1:H1260&lt;&gt;""""),COUNTA(FILTER(H$1:H1260, H$1:H1260&lt;&gt;""""))))-1), IF('To Order'!$A1261=COL"&amp;"UMNS($A1261:H1280), H1260&amp;RIGHT(INDIRECT(ADDRESS(ROW(H1261)-1, 'From Order'!$A1261)), 1), H1260))"),"")</f>
        <v/>
      </c>
      <c r="I1261" s="2" t="str">
        <f>IFERROR(__xludf.DUMMYFUNCTION("IF('From Order'!$A1261=COLUMNS($A1261:I1280), LEFT(INDEX(FILTER(I$1:I1260, I$1:I1260&lt;&gt;""""),COUNTA(FILTER(I$1:I1260, I$1:I1260&lt;&gt;""""))), LEN(INDEX(FILTER(I$1:I1260, I$1:I1260&lt;&gt;""""),COUNTA(FILTER(I$1:I1260, I$1:I1260&lt;&gt;""""))))-1), IF('To Order'!$A1261=COL"&amp;"UMNS($A1261:I1280), I1260&amp;RIGHT(INDIRECT(ADDRESS(ROW(I1261)-1, 'From Order'!$A1261)), 1), I1260))"),"SFVTSVDT")</f>
        <v>SFVTSVDT</v>
      </c>
    </row>
    <row r="1262">
      <c r="A1262" s="2" t="str">
        <f>IFERROR(__xludf.DUMMYFUNCTION("IF('From Order'!$A1262=COLUMNS($A1262:A1281), LEFT(INDEX(FILTER(A$1:A1261, A$1:A1261&lt;&gt;""""),COUNTA(FILTER(A$1:A1261, A$1:A1261&lt;&gt;""""))), LEN(INDEX(FILTER(A$1:A1261, A$1:A1261&lt;&gt;""""),COUNTA(FILTER(A$1:A1261, A$1:A1261&lt;&gt;""""))))-1), IF('To Order'!$A1262=COL"&amp;"UMNS($A1262:A1281), A1261&amp;RIGHT(INDIRECT(ADDRESS(ROW(A1262)-1, 'From Order'!$A1262)), 1), A1261))"),"HZB")</f>
        <v>HZB</v>
      </c>
      <c r="B1262" s="2" t="str">
        <f>IFERROR(__xludf.DUMMYFUNCTION("IF('From Order'!$A1262=COLUMNS($A1262:B1281), LEFT(INDEX(FILTER(B$1:B1261, B$1:B1261&lt;&gt;""""),COUNTA(FILTER(B$1:B1261, B$1:B1261&lt;&gt;""""))), LEN(INDEX(FILTER(B$1:B1261, B$1:B1261&lt;&gt;""""),COUNTA(FILTER(B$1:B1261, B$1:B1261&lt;&gt;""""))))-1), IF('To Order'!$A1262=COL"&amp;"UMNS($A1262:B1281), B1261&amp;RIGHT(INDIRECT(ADDRESS(ROW(B1262)-1, 'From Order'!$A1262)), 1), B1261))"),"ZLPD")</f>
        <v>ZLPD</v>
      </c>
      <c r="C1262" s="2" t="str">
        <f>IFERROR(__xludf.DUMMYFUNCTION("IF('From Order'!$A1262=COLUMNS($A1262:C1281), LEFT(INDEX(FILTER(C$1:C1261, C$1:C1261&lt;&gt;""""),COUNTA(FILTER(C$1:C1261, C$1:C1261&lt;&gt;""""))), LEN(INDEX(FILTER(C$1:C1261, C$1:C1261&lt;&gt;""""),COUNTA(FILTER(C$1:C1261, C$1:C1261&lt;&gt;""""))))-1), IF('To Order'!$A1262=COL"&amp;"UMNS($A1262:C1281), C1261&amp;RIGHT(INDIRECT(ADDRESS(ROW(C1262)-1, 'From Order'!$A1262)), 1), C1261))"),"TRLRSGHWQVQJPPLDTMGB")</f>
        <v>TRLRSGHWQVQJPPLDTMGB</v>
      </c>
      <c r="D1262" s="2" t="str">
        <f>IFERROR(__xludf.DUMMYFUNCTION("IF('From Order'!$A1262=COLUMNS($A1262:D1281), LEFT(INDEX(FILTER(D$1:D1261, D$1:D1261&lt;&gt;""""),COUNTA(FILTER(D$1:D1261, D$1:D1261&lt;&gt;""""))), LEN(INDEX(FILTER(D$1:D1261, D$1:D1261&lt;&gt;""""),COUNTA(FILTER(D$1:D1261, D$1:D1261&lt;&gt;""""))))-1), IF('To Order'!$A1262=COL"&amp;"UMNS($A1262:D1281), D1261&amp;RIGHT(INDIRECT(ADDRESS(ROW(D1262)-1, 'From Order'!$A1262)), 1), D1261))"),"")</f>
        <v/>
      </c>
      <c r="E1262" s="2" t="str">
        <f>IFERROR(__xludf.DUMMYFUNCTION("IF('From Order'!$A1262=COLUMNS($A1262:E1281), LEFT(INDEX(FILTER(E$1:E1261, E$1:E1261&lt;&gt;""""),COUNTA(FILTER(E$1:E1261, E$1:E1261&lt;&gt;""""))), LEN(INDEX(FILTER(E$1:E1261, E$1:E1261&lt;&gt;""""),COUNTA(FILTER(E$1:E1261, E$1:E1261&lt;&gt;""""))))-1), IF('To Order'!$A1262=COL"&amp;"UMNS($A1262:E1281), E1261&amp;RIGHT(INDIRECT(ADDRESS(ROW(E1262)-1, 'From Order'!$A1262)), 1), E1261))"),"DJ")</f>
        <v>DJ</v>
      </c>
      <c r="F1262" s="2" t="str">
        <f>IFERROR(__xludf.DUMMYFUNCTION("IF('From Order'!$A1262=COLUMNS($A1262:F1281), LEFT(INDEX(FILTER(F$1:F1261, F$1:F1261&lt;&gt;""""),COUNTA(FILTER(F$1:F1261, F$1:F1261&lt;&gt;""""))), LEN(INDEX(FILTER(F$1:F1261, F$1:F1261&lt;&gt;""""),COUNTA(FILTER(F$1:F1261, F$1:F1261&lt;&gt;""""))))-1), IF('To Order'!$A1262=COL"&amp;"UMNS($A1262:F1281), F1261&amp;RIGHT(INDIRECT(ADDRESS(ROW(F1262)-1, 'From Order'!$A1262)), 1), F1261))"),"BS")</f>
        <v>BS</v>
      </c>
      <c r="G1262" s="2" t="str">
        <f>IFERROR(__xludf.DUMMYFUNCTION("IF('From Order'!$A1262=COLUMNS($A1262:G1281), LEFT(INDEX(FILTER(G$1:G1261, G$1:G1261&lt;&gt;""""),COUNTA(FILTER(G$1:G1261, G$1:G1261&lt;&gt;""""))), LEN(INDEX(FILTER(G$1:G1261, G$1:G1261&lt;&gt;""""),COUNTA(FILTER(G$1:G1261, G$1:G1261&lt;&gt;""""))))-1), IF('To Order'!$A1262=COL"&amp;"UMNS($A1262:G1281), G1261&amp;RIGHT(INDIRECT(ADDRESS(ROW(G1262)-1, 'From Order'!$A1262)), 1), G1261))"),"WRMTCRCDRZCJTBFMD")</f>
        <v>WRMTCRCDRZCJTBFMD</v>
      </c>
      <c r="H1262" s="2" t="str">
        <f>IFERROR(__xludf.DUMMYFUNCTION("IF('From Order'!$A1262=COLUMNS($A1262:H1281), LEFT(INDEX(FILTER(H$1:H1261, H$1:H1261&lt;&gt;""""),COUNTA(FILTER(H$1:H1261, H$1:H1261&lt;&gt;""""))), LEN(INDEX(FILTER(H$1:H1261, H$1:H1261&lt;&gt;""""),COUNTA(FILTER(H$1:H1261, H$1:H1261&lt;&gt;""""))))-1), IF('To Order'!$A1262=COL"&amp;"UMNS($A1262:H1281), H1261&amp;RIGHT(INDIRECT(ADDRESS(ROW(H1262)-1, 'From Order'!$A1262)), 1), H1261))"),"")</f>
        <v/>
      </c>
      <c r="I1262" s="2" t="str">
        <f>IFERROR(__xludf.DUMMYFUNCTION("IF('From Order'!$A1262=COLUMNS($A1262:I1281), LEFT(INDEX(FILTER(I$1:I1261, I$1:I1261&lt;&gt;""""),COUNTA(FILTER(I$1:I1261, I$1:I1261&lt;&gt;""""))), LEN(INDEX(FILTER(I$1:I1261, I$1:I1261&lt;&gt;""""),COUNTA(FILTER(I$1:I1261, I$1:I1261&lt;&gt;""""))))-1), IF('To Order'!$A1262=COL"&amp;"UMNS($A1262:I1281), I1261&amp;RIGHT(INDIRECT(ADDRESS(ROW(I1262)-1, 'From Order'!$A1262)), 1), I1261))"),"SFVTSVDT")</f>
        <v>SFVTSVDT</v>
      </c>
    </row>
    <row r="1263">
      <c r="A1263" s="2" t="str">
        <f>IFERROR(__xludf.DUMMYFUNCTION("IF('From Order'!$A1263=COLUMNS($A1263:A1282), LEFT(INDEX(FILTER(A$1:A1262, A$1:A1262&lt;&gt;""""),COUNTA(FILTER(A$1:A1262, A$1:A1262&lt;&gt;""""))), LEN(INDEX(FILTER(A$1:A1262, A$1:A1262&lt;&gt;""""),COUNTA(FILTER(A$1:A1262, A$1:A1262&lt;&gt;""""))))-1), IF('To Order'!$A1263=COL"&amp;"UMNS($A1263:A1282), A1262&amp;RIGHT(INDIRECT(ADDRESS(ROW(A1263)-1, 'From Order'!$A1263)), 1), A1262))"),"HZB")</f>
        <v>HZB</v>
      </c>
      <c r="B1263" s="2" t="str">
        <f>IFERROR(__xludf.DUMMYFUNCTION("IF('From Order'!$A1263=COLUMNS($A1263:B1282), LEFT(INDEX(FILTER(B$1:B1262, B$1:B1262&lt;&gt;""""),COUNTA(FILTER(B$1:B1262, B$1:B1262&lt;&gt;""""))), LEN(INDEX(FILTER(B$1:B1262, B$1:B1262&lt;&gt;""""),COUNTA(FILTER(B$1:B1262, B$1:B1262&lt;&gt;""""))))-1), IF('To Order'!$A1263=COL"&amp;"UMNS($A1263:B1282), B1262&amp;RIGHT(INDIRECT(ADDRESS(ROW(B1263)-1, 'From Order'!$A1263)), 1), B1262))"),"ZLPD")</f>
        <v>ZLPD</v>
      </c>
      <c r="C1263" s="2" t="str">
        <f>IFERROR(__xludf.DUMMYFUNCTION("IF('From Order'!$A1263=COLUMNS($A1263:C1282), LEFT(INDEX(FILTER(C$1:C1262, C$1:C1262&lt;&gt;""""),COUNTA(FILTER(C$1:C1262, C$1:C1262&lt;&gt;""""))), LEN(INDEX(FILTER(C$1:C1262, C$1:C1262&lt;&gt;""""),COUNTA(FILTER(C$1:C1262, C$1:C1262&lt;&gt;""""))))-1), IF('To Order'!$A1263=COL"&amp;"UMNS($A1263:C1282), C1262&amp;RIGHT(INDIRECT(ADDRESS(ROW(C1263)-1, 'From Order'!$A1263)), 1), C1262))"),"TRLRSGHWQVQJPPLDTMGB")</f>
        <v>TRLRSGHWQVQJPPLDTMGB</v>
      </c>
      <c r="D1263" s="2" t="str">
        <f>IFERROR(__xludf.DUMMYFUNCTION("IF('From Order'!$A1263=COLUMNS($A1263:D1282), LEFT(INDEX(FILTER(D$1:D1262, D$1:D1262&lt;&gt;""""),COUNTA(FILTER(D$1:D1262, D$1:D1262&lt;&gt;""""))), LEN(INDEX(FILTER(D$1:D1262, D$1:D1262&lt;&gt;""""),COUNTA(FILTER(D$1:D1262, D$1:D1262&lt;&gt;""""))))-1), IF('To Order'!$A1263=COL"&amp;"UMNS($A1263:D1282), D1262&amp;RIGHT(INDIRECT(ADDRESS(ROW(D1263)-1, 'From Order'!$A1263)), 1), D1262))"),"")</f>
        <v/>
      </c>
      <c r="E1263" s="2" t="str">
        <f>IFERROR(__xludf.DUMMYFUNCTION("IF('From Order'!$A1263=COLUMNS($A1263:E1282), LEFT(INDEX(FILTER(E$1:E1262, E$1:E1262&lt;&gt;""""),COUNTA(FILTER(E$1:E1262, E$1:E1262&lt;&gt;""""))), LEN(INDEX(FILTER(E$1:E1262, E$1:E1262&lt;&gt;""""),COUNTA(FILTER(E$1:E1262, E$1:E1262&lt;&gt;""""))))-1), IF('To Order'!$A1263=COL"&amp;"UMNS($A1263:E1282), E1262&amp;RIGHT(INDIRECT(ADDRESS(ROW(E1263)-1, 'From Order'!$A1263)), 1), E1262))"),"D")</f>
        <v>D</v>
      </c>
      <c r="F1263" s="2" t="str">
        <f>IFERROR(__xludf.DUMMYFUNCTION("IF('From Order'!$A1263=COLUMNS($A1263:F1282), LEFT(INDEX(FILTER(F$1:F1262, F$1:F1262&lt;&gt;""""),COUNTA(FILTER(F$1:F1262, F$1:F1262&lt;&gt;""""))), LEN(INDEX(FILTER(F$1:F1262, F$1:F1262&lt;&gt;""""),COUNTA(FILTER(F$1:F1262, F$1:F1262&lt;&gt;""""))))-1), IF('To Order'!$A1263=COL"&amp;"UMNS($A1263:F1282), F1262&amp;RIGHT(INDIRECT(ADDRESS(ROW(F1263)-1, 'From Order'!$A1263)), 1), F1262))"),"BS")</f>
        <v>BS</v>
      </c>
      <c r="G1263" s="2" t="str">
        <f>IFERROR(__xludf.DUMMYFUNCTION("IF('From Order'!$A1263=COLUMNS($A1263:G1282), LEFT(INDEX(FILTER(G$1:G1262, G$1:G1262&lt;&gt;""""),COUNTA(FILTER(G$1:G1262, G$1:G1262&lt;&gt;""""))), LEN(INDEX(FILTER(G$1:G1262, G$1:G1262&lt;&gt;""""),COUNTA(FILTER(G$1:G1262, G$1:G1262&lt;&gt;""""))))-1), IF('To Order'!$A1263=COL"&amp;"UMNS($A1263:G1282), G1262&amp;RIGHT(INDIRECT(ADDRESS(ROW(G1263)-1, 'From Order'!$A1263)), 1), G1262))"),"WRMTCRCDRZCJTBFMDJ")</f>
        <v>WRMTCRCDRZCJTBFMDJ</v>
      </c>
      <c r="H1263" s="2" t="str">
        <f>IFERROR(__xludf.DUMMYFUNCTION("IF('From Order'!$A1263=COLUMNS($A1263:H1282), LEFT(INDEX(FILTER(H$1:H1262, H$1:H1262&lt;&gt;""""),COUNTA(FILTER(H$1:H1262, H$1:H1262&lt;&gt;""""))), LEN(INDEX(FILTER(H$1:H1262, H$1:H1262&lt;&gt;""""),COUNTA(FILTER(H$1:H1262, H$1:H1262&lt;&gt;""""))))-1), IF('To Order'!$A1263=COL"&amp;"UMNS($A1263:H1282), H1262&amp;RIGHT(INDIRECT(ADDRESS(ROW(H1263)-1, 'From Order'!$A1263)), 1), H1262))"),"")</f>
        <v/>
      </c>
      <c r="I1263" s="2" t="str">
        <f>IFERROR(__xludf.DUMMYFUNCTION("IF('From Order'!$A1263=COLUMNS($A1263:I1282), LEFT(INDEX(FILTER(I$1:I1262, I$1:I1262&lt;&gt;""""),COUNTA(FILTER(I$1:I1262, I$1:I1262&lt;&gt;""""))), LEN(INDEX(FILTER(I$1:I1262, I$1:I1262&lt;&gt;""""),COUNTA(FILTER(I$1:I1262, I$1:I1262&lt;&gt;""""))))-1), IF('To Order'!$A1263=COL"&amp;"UMNS($A1263:I1282), I1262&amp;RIGHT(INDIRECT(ADDRESS(ROW(I1263)-1, 'From Order'!$A1263)), 1), I1262))"),"SFVTSVDT")</f>
        <v>SFVTSVDT</v>
      </c>
    </row>
    <row r="1264">
      <c r="A1264" s="2" t="str">
        <f>IFERROR(__xludf.DUMMYFUNCTION("IF('From Order'!$A1264=COLUMNS($A1264:A1283), LEFT(INDEX(FILTER(A$1:A1263, A$1:A1263&lt;&gt;""""),COUNTA(FILTER(A$1:A1263, A$1:A1263&lt;&gt;""""))), LEN(INDEX(FILTER(A$1:A1263, A$1:A1263&lt;&gt;""""),COUNTA(FILTER(A$1:A1263, A$1:A1263&lt;&gt;""""))))-1), IF('To Order'!$A1264=COL"&amp;"UMNS($A1264:A1283), A1263&amp;RIGHT(INDIRECT(ADDRESS(ROW(A1264)-1, 'From Order'!$A1264)), 1), A1263))"),"HZB")</f>
        <v>HZB</v>
      </c>
      <c r="B1264" s="2" t="str">
        <f>IFERROR(__xludf.DUMMYFUNCTION("IF('From Order'!$A1264=COLUMNS($A1264:B1283), LEFT(INDEX(FILTER(B$1:B1263, B$1:B1263&lt;&gt;""""),COUNTA(FILTER(B$1:B1263, B$1:B1263&lt;&gt;""""))), LEN(INDEX(FILTER(B$1:B1263, B$1:B1263&lt;&gt;""""),COUNTA(FILTER(B$1:B1263, B$1:B1263&lt;&gt;""""))))-1), IF('To Order'!$A1264=COL"&amp;"UMNS($A1264:B1283), B1263&amp;RIGHT(INDIRECT(ADDRESS(ROW(B1264)-1, 'From Order'!$A1264)), 1), B1263))"),"ZLPD")</f>
        <v>ZLPD</v>
      </c>
      <c r="C1264" s="2" t="str">
        <f>IFERROR(__xludf.DUMMYFUNCTION("IF('From Order'!$A1264=COLUMNS($A1264:C1283), LEFT(INDEX(FILTER(C$1:C1263, C$1:C1263&lt;&gt;""""),COUNTA(FILTER(C$1:C1263, C$1:C1263&lt;&gt;""""))), LEN(INDEX(FILTER(C$1:C1263, C$1:C1263&lt;&gt;""""),COUNTA(FILTER(C$1:C1263, C$1:C1263&lt;&gt;""""))))-1), IF('To Order'!$A1264=COL"&amp;"UMNS($A1264:C1283), C1263&amp;RIGHT(INDIRECT(ADDRESS(ROW(C1264)-1, 'From Order'!$A1264)), 1), C1263))"),"TRLRSGHWQVQJPPLDTMGB")</f>
        <v>TRLRSGHWQVQJPPLDTMGB</v>
      </c>
      <c r="D1264" s="2" t="str">
        <f>IFERROR(__xludf.DUMMYFUNCTION("IF('From Order'!$A1264=COLUMNS($A1264:D1283), LEFT(INDEX(FILTER(D$1:D1263, D$1:D1263&lt;&gt;""""),COUNTA(FILTER(D$1:D1263, D$1:D1263&lt;&gt;""""))), LEN(INDEX(FILTER(D$1:D1263, D$1:D1263&lt;&gt;""""),COUNTA(FILTER(D$1:D1263, D$1:D1263&lt;&gt;""""))))-1), IF('To Order'!$A1264=COL"&amp;"UMNS($A1264:D1283), D1263&amp;RIGHT(INDIRECT(ADDRESS(ROW(D1264)-1, 'From Order'!$A1264)), 1), D1263))"),"")</f>
        <v/>
      </c>
      <c r="E1264" s="2" t="str">
        <f>IFERROR(__xludf.DUMMYFUNCTION("IF('From Order'!$A1264=COLUMNS($A1264:E1283), LEFT(INDEX(FILTER(E$1:E1263, E$1:E1263&lt;&gt;""""),COUNTA(FILTER(E$1:E1263, E$1:E1263&lt;&gt;""""))), LEN(INDEX(FILTER(E$1:E1263, E$1:E1263&lt;&gt;""""),COUNTA(FILTER(E$1:E1263, E$1:E1263&lt;&gt;""""))))-1), IF('To Order'!$A1264=COL"&amp;"UMNS($A1264:E1283), E1263&amp;RIGHT(INDIRECT(ADDRESS(ROW(E1264)-1, 'From Order'!$A1264)), 1), E1263))"),"")</f>
        <v/>
      </c>
      <c r="F1264" s="2" t="str">
        <f>IFERROR(__xludf.DUMMYFUNCTION("IF('From Order'!$A1264=COLUMNS($A1264:F1283), LEFT(INDEX(FILTER(F$1:F1263, F$1:F1263&lt;&gt;""""),COUNTA(FILTER(F$1:F1263, F$1:F1263&lt;&gt;""""))), LEN(INDEX(FILTER(F$1:F1263, F$1:F1263&lt;&gt;""""),COUNTA(FILTER(F$1:F1263, F$1:F1263&lt;&gt;""""))))-1), IF('To Order'!$A1264=COL"&amp;"UMNS($A1264:F1283), F1263&amp;RIGHT(INDIRECT(ADDRESS(ROW(F1264)-1, 'From Order'!$A1264)), 1), F1263))"),"BS")</f>
        <v>BS</v>
      </c>
      <c r="G1264" s="2" t="str">
        <f>IFERROR(__xludf.DUMMYFUNCTION("IF('From Order'!$A1264=COLUMNS($A1264:G1283), LEFT(INDEX(FILTER(G$1:G1263, G$1:G1263&lt;&gt;""""),COUNTA(FILTER(G$1:G1263, G$1:G1263&lt;&gt;""""))), LEN(INDEX(FILTER(G$1:G1263, G$1:G1263&lt;&gt;""""),COUNTA(FILTER(G$1:G1263, G$1:G1263&lt;&gt;""""))))-1), IF('To Order'!$A1264=COL"&amp;"UMNS($A1264:G1283), G1263&amp;RIGHT(INDIRECT(ADDRESS(ROW(G1264)-1, 'From Order'!$A1264)), 1), G1263))"),"WRMTCRCDRZCJTBFMDJD")</f>
        <v>WRMTCRCDRZCJTBFMDJD</v>
      </c>
      <c r="H1264" s="2" t="str">
        <f>IFERROR(__xludf.DUMMYFUNCTION("IF('From Order'!$A1264=COLUMNS($A1264:H1283), LEFT(INDEX(FILTER(H$1:H1263, H$1:H1263&lt;&gt;""""),COUNTA(FILTER(H$1:H1263, H$1:H1263&lt;&gt;""""))), LEN(INDEX(FILTER(H$1:H1263, H$1:H1263&lt;&gt;""""),COUNTA(FILTER(H$1:H1263, H$1:H1263&lt;&gt;""""))))-1), IF('To Order'!$A1264=COL"&amp;"UMNS($A1264:H1283), H1263&amp;RIGHT(INDIRECT(ADDRESS(ROW(H1264)-1, 'From Order'!$A1264)), 1), H1263))"),"")</f>
        <v/>
      </c>
      <c r="I1264" s="2" t="str">
        <f>IFERROR(__xludf.DUMMYFUNCTION("IF('From Order'!$A1264=COLUMNS($A1264:I1283), LEFT(INDEX(FILTER(I$1:I1263, I$1:I1263&lt;&gt;""""),COUNTA(FILTER(I$1:I1263, I$1:I1263&lt;&gt;""""))), LEN(INDEX(FILTER(I$1:I1263, I$1:I1263&lt;&gt;""""),COUNTA(FILTER(I$1:I1263, I$1:I1263&lt;&gt;""""))))-1), IF('To Order'!$A1264=COL"&amp;"UMNS($A1264:I1283), I1263&amp;RIGHT(INDIRECT(ADDRESS(ROW(I1264)-1, 'From Order'!$A1264)), 1), I1263))"),"SFVTSVDT")</f>
        <v>SFVTSVDT</v>
      </c>
    </row>
    <row r="1265">
      <c r="A1265" s="2" t="str">
        <f>IFERROR(__xludf.DUMMYFUNCTION("IF('From Order'!$A1265=COLUMNS($A1265:A1284), LEFT(INDEX(FILTER(A$1:A1264, A$1:A1264&lt;&gt;""""),COUNTA(FILTER(A$1:A1264, A$1:A1264&lt;&gt;""""))), LEN(INDEX(FILTER(A$1:A1264, A$1:A1264&lt;&gt;""""),COUNTA(FILTER(A$1:A1264, A$1:A1264&lt;&gt;""""))))-1), IF('To Order'!$A1265=COL"&amp;"UMNS($A1265:A1284), A1264&amp;RIGHT(INDIRECT(ADDRESS(ROW(A1265)-1, 'From Order'!$A1265)), 1), A1264))"),"HZB")</f>
        <v>HZB</v>
      </c>
      <c r="B1265" s="2" t="str">
        <f>IFERROR(__xludf.DUMMYFUNCTION("IF('From Order'!$A1265=COLUMNS($A1265:B1284), LEFT(INDEX(FILTER(B$1:B1264, B$1:B1264&lt;&gt;""""),COUNTA(FILTER(B$1:B1264, B$1:B1264&lt;&gt;""""))), LEN(INDEX(FILTER(B$1:B1264, B$1:B1264&lt;&gt;""""),COUNTA(FILTER(B$1:B1264, B$1:B1264&lt;&gt;""""))))-1), IF('To Order'!$A1265=COL"&amp;"UMNS($A1265:B1284), B1264&amp;RIGHT(INDIRECT(ADDRESS(ROW(B1265)-1, 'From Order'!$A1265)), 1), B1264))"),"ZLP")</f>
        <v>ZLP</v>
      </c>
      <c r="C1265" s="2" t="str">
        <f>IFERROR(__xludf.DUMMYFUNCTION("IF('From Order'!$A1265=COLUMNS($A1265:C1284), LEFT(INDEX(FILTER(C$1:C1264, C$1:C1264&lt;&gt;""""),COUNTA(FILTER(C$1:C1264, C$1:C1264&lt;&gt;""""))), LEN(INDEX(FILTER(C$1:C1264, C$1:C1264&lt;&gt;""""),COUNTA(FILTER(C$1:C1264, C$1:C1264&lt;&gt;""""))))-1), IF('To Order'!$A1265=COL"&amp;"UMNS($A1265:C1284), C1264&amp;RIGHT(INDIRECT(ADDRESS(ROW(C1265)-1, 'From Order'!$A1265)), 1), C1264))"),"TRLRSGHWQVQJPPLDTMGB")</f>
        <v>TRLRSGHWQVQJPPLDTMGB</v>
      </c>
      <c r="D1265" s="2" t="str">
        <f>IFERROR(__xludf.DUMMYFUNCTION("IF('From Order'!$A1265=COLUMNS($A1265:D1284), LEFT(INDEX(FILTER(D$1:D1264, D$1:D1264&lt;&gt;""""),COUNTA(FILTER(D$1:D1264, D$1:D1264&lt;&gt;""""))), LEN(INDEX(FILTER(D$1:D1264, D$1:D1264&lt;&gt;""""),COUNTA(FILTER(D$1:D1264, D$1:D1264&lt;&gt;""""))))-1), IF('To Order'!$A1265=COL"&amp;"UMNS($A1265:D1284), D1264&amp;RIGHT(INDIRECT(ADDRESS(ROW(D1265)-1, 'From Order'!$A1265)), 1), D1264))"),"")</f>
        <v/>
      </c>
      <c r="E1265" s="2" t="str">
        <f>IFERROR(__xludf.DUMMYFUNCTION("IF('From Order'!$A1265=COLUMNS($A1265:E1284), LEFT(INDEX(FILTER(E$1:E1264, E$1:E1264&lt;&gt;""""),COUNTA(FILTER(E$1:E1264, E$1:E1264&lt;&gt;""""))), LEN(INDEX(FILTER(E$1:E1264, E$1:E1264&lt;&gt;""""),COUNTA(FILTER(E$1:E1264, E$1:E1264&lt;&gt;""""))))-1), IF('To Order'!$A1265=COL"&amp;"UMNS($A1265:E1284), E1264&amp;RIGHT(INDIRECT(ADDRESS(ROW(E1265)-1, 'From Order'!$A1265)), 1), E1264))"),"D")</f>
        <v>D</v>
      </c>
      <c r="F1265" s="2" t="str">
        <f>IFERROR(__xludf.DUMMYFUNCTION("IF('From Order'!$A1265=COLUMNS($A1265:F1284), LEFT(INDEX(FILTER(F$1:F1264, F$1:F1264&lt;&gt;""""),COUNTA(FILTER(F$1:F1264, F$1:F1264&lt;&gt;""""))), LEN(INDEX(FILTER(F$1:F1264, F$1:F1264&lt;&gt;""""),COUNTA(FILTER(F$1:F1264, F$1:F1264&lt;&gt;""""))))-1), IF('To Order'!$A1265=COL"&amp;"UMNS($A1265:F1284), F1264&amp;RIGHT(INDIRECT(ADDRESS(ROW(F1265)-1, 'From Order'!$A1265)), 1), F1264))"),"BS")</f>
        <v>BS</v>
      </c>
      <c r="G1265" s="2" t="str">
        <f>IFERROR(__xludf.DUMMYFUNCTION("IF('From Order'!$A1265=COLUMNS($A1265:G1284), LEFT(INDEX(FILTER(G$1:G1264, G$1:G1264&lt;&gt;""""),COUNTA(FILTER(G$1:G1264, G$1:G1264&lt;&gt;""""))), LEN(INDEX(FILTER(G$1:G1264, G$1:G1264&lt;&gt;""""),COUNTA(FILTER(G$1:G1264, G$1:G1264&lt;&gt;""""))))-1), IF('To Order'!$A1265=COL"&amp;"UMNS($A1265:G1284), G1264&amp;RIGHT(INDIRECT(ADDRESS(ROW(G1265)-1, 'From Order'!$A1265)), 1), G1264))"),"WRMTCRCDRZCJTBFMDJD")</f>
        <v>WRMTCRCDRZCJTBFMDJD</v>
      </c>
      <c r="H1265" s="2" t="str">
        <f>IFERROR(__xludf.DUMMYFUNCTION("IF('From Order'!$A1265=COLUMNS($A1265:H1284), LEFT(INDEX(FILTER(H$1:H1264, H$1:H1264&lt;&gt;""""),COUNTA(FILTER(H$1:H1264, H$1:H1264&lt;&gt;""""))), LEN(INDEX(FILTER(H$1:H1264, H$1:H1264&lt;&gt;""""),COUNTA(FILTER(H$1:H1264, H$1:H1264&lt;&gt;""""))))-1), IF('To Order'!$A1265=COL"&amp;"UMNS($A1265:H1284), H1264&amp;RIGHT(INDIRECT(ADDRESS(ROW(H1265)-1, 'From Order'!$A1265)), 1), H1264))"),"")</f>
        <v/>
      </c>
      <c r="I1265" s="2" t="str">
        <f>IFERROR(__xludf.DUMMYFUNCTION("IF('From Order'!$A1265=COLUMNS($A1265:I1284), LEFT(INDEX(FILTER(I$1:I1264, I$1:I1264&lt;&gt;""""),COUNTA(FILTER(I$1:I1264, I$1:I1264&lt;&gt;""""))), LEN(INDEX(FILTER(I$1:I1264, I$1:I1264&lt;&gt;""""),COUNTA(FILTER(I$1:I1264, I$1:I1264&lt;&gt;""""))))-1), IF('To Order'!$A1265=COL"&amp;"UMNS($A1265:I1284), I1264&amp;RIGHT(INDIRECT(ADDRESS(ROW(I1265)-1, 'From Order'!$A1265)), 1), I1264))"),"SFVTSVDT")</f>
        <v>SFVTSVDT</v>
      </c>
    </row>
    <row r="1266">
      <c r="A1266" s="2" t="str">
        <f>IFERROR(__xludf.DUMMYFUNCTION("IF('From Order'!$A1266=COLUMNS($A1266:A1285), LEFT(INDEX(FILTER(A$1:A1265, A$1:A1265&lt;&gt;""""),COUNTA(FILTER(A$1:A1265, A$1:A1265&lt;&gt;""""))), LEN(INDEX(FILTER(A$1:A1265, A$1:A1265&lt;&gt;""""),COUNTA(FILTER(A$1:A1265, A$1:A1265&lt;&gt;""""))))-1), IF('To Order'!$A1266=COL"&amp;"UMNS($A1266:A1285), A1265&amp;RIGHT(INDIRECT(ADDRESS(ROW(A1266)-1, 'From Order'!$A1266)), 1), A1265))"),"HZB")</f>
        <v>HZB</v>
      </c>
      <c r="B1266" s="2" t="str">
        <f>IFERROR(__xludf.DUMMYFUNCTION("IF('From Order'!$A1266=COLUMNS($A1266:B1285), LEFT(INDEX(FILTER(B$1:B1265, B$1:B1265&lt;&gt;""""),COUNTA(FILTER(B$1:B1265, B$1:B1265&lt;&gt;""""))), LEN(INDEX(FILTER(B$1:B1265, B$1:B1265&lt;&gt;""""),COUNTA(FILTER(B$1:B1265, B$1:B1265&lt;&gt;""""))))-1), IF('To Order'!$A1266=COL"&amp;"UMNS($A1266:B1285), B1265&amp;RIGHT(INDIRECT(ADDRESS(ROW(B1266)-1, 'From Order'!$A1266)), 1), B1265))"),"ZL")</f>
        <v>ZL</v>
      </c>
      <c r="C1266" s="2" t="str">
        <f>IFERROR(__xludf.DUMMYFUNCTION("IF('From Order'!$A1266=COLUMNS($A1266:C1285), LEFT(INDEX(FILTER(C$1:C1265, C$1:C1265&lt;&gt;""""),COUNTA(FILTER(C$1:C1265, C$1:C1265&lt;&gt;""""))), LEN(INDEX(FILTER(C$1:C1265, C$1:C1265&lt;&gt;""""),COUNTA(FILTER(C$1:C1265, C$1:C1265&lt;&gt;""""))))-1), IF('To Order'!$A1266=COL"&amp;"UMNS($A1266:C1285), C1265&amp;RIGHT(INDIRECT(ADDRESS(ROW(C1266)-1, 'From Order'!$A1266)), 1), C1265))"),"TRLRSGHWQVQJPPLDTMGB")</f>
        <v>TRLRSGHWQVQJPPLDTMGB</v>
      </c>
      <c r="D1266" s="2" t="str">
        <f>IFERROR(__xludf.DUMMYFUNCTION("IF('From Order'!$A1266=COLUMNS($A1266:D1285), LEFT(INDEX(FILTER(D$1:D1265, D$1:D1265&lt;&gt;""""),COUNTA(FILTER(D$1:D1265, D$1:D1265&lt;&gt;""""))), LEN(INDEX(FILTER(D$1:D1265, D$1:D1265&lt;&gt;""""),COUNTA(FILTER(D$1:D1265, D$1:D1265&lt;&gt;""""))))-1), IF('To Order'!$A1266=COL"&amp;"UMNS($A1266:D1285), D1265&amp;RIGHT(INDIRECT(ADDRESS(ROW(D1266)-1, 'From Order'!$A1266)), 1), D1265))"),"")</f>
        <v/>
      </c>
      <c r="E1266" s="2" t="str">
        <f>IFERROR(__xludf.DUMMYFUNCTION("IF('From Order'!$A1266=COLUMNS($A1266:E1285), LEFT(INDEX(FILTER(E$1:E1265, E$1:E1265&lt;&gt;""""),COUNTA(FILTER(E$1:E1265, E$1:E1265&lt;&gt;""""))), LEN(INDEX(FILTER(E$1:E1265, E$1:E1265&lt;&gt;""""),COUNTA(FILTER(E$1:E1265, E$1:E1265&lt;&gt;""""))))-1), IF('To Order'!$A1266=COL"&amp;"UMNS($A1266:E1285), E1265&amp;RIGHT(INDIRECT(ADDRESS(ROW(E1266)-1, 'From Order'!$A1266)), 1), E1265))"),"DP")</f>
        <v>DP</v>
      </c>
      <c r="F1266" s="2" t="str">
        <f>IFERROR(__xludf.DUMMYFUNCTION("IF('From Order'!$A1266=COLUMNS($A1266:F1285), LEFT(INDEX(FILTER(F$1:F1265, F$1:F1265&lt;&gt;""""),COUNTA(FILTER(F$1:F1265, F$1:F1265&lt;&gt;""""))), LEN(INDEX(FILTER(F$1:F1265, F$1:F1265&lt;&gt;""""),COUNTA(FILTER(F$1:F1265, F$1:F1265&lt;&gt;""""))))-1), IF('To Order'!$A1266=COL"&amp;"UMNS($A1266:F1285), F1265&amp;RIGHT(INDIRECT(ADDRESS(ROW(F1266)-1, 'From Order'!$A1266)), 1), F1265))"),"BS")</f>
        <v>BS</v>
      </c>
      <c r="G1266" s="2" t="str">
        <f>IFERROR(__xludf.DUMMYFUNCTION("IF('From Order'!$A1266=COLUMNS($A1266:G1285), LEFT(INDEX(FILTER(G$1:G1265, G$1:G1265&lt;&gt;""""),COUNTA(FILTER(G$1:G1265, G$1:G1265&lt;&gt;""""))), LEN(INDEX(FILTER(G$1:G1265, G$1:G1265&lt;&gt;""""),COUNTA(FILTER(G$1:G1265, G$1:G1265&lt;&gt;""""))))-1), IF('To Order'!$A1266=COL"&amp;"UMNS($A1266:G1285), G1265&amp;RIGHT(INDIRECT(ADDRESS(ROW(G1266)-1, 'From Order'!$A1266)), 1), G1265))"),"WRMTCRCDRZCJTBFMDJD")</f>
        <v>WRMTCRCDRZCJTBFMDJD</v>
      </c>
      <c r="H1266" s="2" t="str">
        <f>IFERROR(__xludf.DUMMYFUNCTION("IF('From Order'!$A1266=COLUMNS($A1266:H1285), LEFT(INDEX(FILTER(H$1:H1265, H$1:H1265&lt;&gt;""""),COUNTA(FILTER(H$1:H1265, H$1:H1265&lt;&gt;""""))), LEN(INDEX(FILTER(H$1:H1265, H$1:H1265&lt;&gt;""""),COUNTA(FILTER(H$1:H1265, H$1:H1265&lt;&gt;""""))))-1), IF('To Order'!$A1266=COL"&amp;"UMNS($A1266:H1285), H1265&amp;RIGHT(INDIRECT(ADDRESS(ROW(H1266)-1, 'From Order'!$A1266)), 1), H1265))"),"")</f>
        <v/>
      </c>
      <c r="I1266" s="2" t="str">
        <f>IFERROR(__xludf.DUMMYFUNCTION("IF('From Order'!$A1266=COLUMNS($A1266:I1285), LEFT(INDEX(FILTER(I$1:I1265, I$1:I1265&lt;&gt;""""),COUNTA(FILTER(I$1:I1265, I$1:I1265&lt;&gt;""""))), LEN(INDEX(FILTER(I$1:I1265, I$1:I1265&lt;&gt;""""),COUNTA(FILTER(I$1:I1265, I$1:I1265&lt;&gt;""""))))-1), IF('To Order'!$A1266=COL"&amp;"UMNS($A1266:I1285), I1265&amp;RIGHT(INDIRECT(ADDRESS(ROW(I1266)-1, 'From Order'!$A1266)), 1), I1265))"),"SFVTSVDT")</f>
        <v>SFVTSVDT</v>
      </c>
    </row>
    <row r="1267">
      <c r="A1267" s="2" t="str">
        <f>IFERROR(__xludf.DUMMYFUNCTION("IF('From Order'!$A1267=COLUMNS($A1267:A1286), LEFT(INDEX(FILTER(A$1:A1266, A$1:A1266&lt;&gt;""""),COUNTA(FILTER(A$1:A1266, A$1:A1266&lt;&gt;""""))), LEN(INDEX(FILTER(A$1:A1266, A$1:A1266&lt;&gt;""""),COUNTA(FILTER(A$1:A1266, A$1:A1266&lt;&gt;""""))))-1), IF('To Order'!$A1267=COL"&amp;"UMNS($A1267:A1286), A1266&amp;RIGHT(INDIRECT(ADDRESS(ROW(A1267)-1, 'From Order'!$A1267)), 1), A1266))"),"HZB")</f>
        <v>HZB</v>
      </c>
      <c r="B1267" s="2" t="str">
        <f>IFERROR(__xludf.DUMMYFUNCTION("IF('From Order'!$A1267=COLUMNS($A1267:B1286), LEFT(INDEX(FILTER(B$1:B1266, B$1:B1266&lt;&gt;""""),COUNTA(FILTER(B$1:B1266, B$1:B1266&lt;&gt;""""))), LEN(INDEX(FILTER(B$1:B1266, B$1:B1266&lt;&gt;""""),COUNTA(FILTER(B$1:B1266, B$1:B1266&lt;&gt;""""))))-1), IF('To Order'!$A1267=COL"&amp;"UMNS($A1267:B1286), B1266&amp;RIGHT(INDIRECT(ADDRESS(ROW(B1267)-1, 'From Order'!$A1267)), 1), B1266))"),"ZL")</f>
        <v>ZL</v>
      </c>
      <c r="C1267" s="2" t="str">
        <f>IFERROR(__xludf.DUMMYFUNCTION("IF('From Order'!$A1267=COLUMNS($A1267:C1286), LEFT(INDEX(FILTER(C$1:C1266, C$1:C1266&lt;&gt;""""),COUNTA(FILTER(C$1:C1266, C$1:C1266&lt;&gt;""""))), LEN(INDEX(FILTER(C$1:C1266, C$1:C1266&lt;&gt;""""),COUNTA(FILTER(C$1:C1266, C$1:C1266&lt;&gt;""""))))-1), IF('To Order'!$A1267=COL"&amp;"UMNS($A1267:C1286), C1266&amp;RIGHT(INDIRECT(ADDRESS(ROW(C1267)-1, 'From Order'!$A1267)), 1), C1266))"),"TRLRSGHWQVQJPPLDTMGBP")</f>
        <v>TRLRSGHWQVQJPPLDTMGBP</v>
      </c>
      <c r="D1267" s="2" t="str">
        <f>IFERROR(__xludf.DUMMYFUNCTION("IF('From Order'!$A1267=COLUMNS($A1267:D1286), LEFT(INDEX(FILTER(D$1:D1266, D$1:D1266&lt;&gt;""""),COUNTA(FILTER(D$1:D1266, D$1:D1266&lt;&gt;""""))), LEN(INDEX(FILTER(D$1:D1266, D$1:D1266&lt;&gt;""""),COUNTA(FILTER(D$1:D1266, D$1:D1266&lt;&gt;""""))))-1), IF('To Order'!$A1267=COL"&amp;"UMNS($A1267:D1286), D1266&amp;RIGHT(INDIRECT(ADDRESS(ROW(D1267)-1, 'From Order'!$A1267)), 1), D1266))"),"")</f>
        <v/>
      </c>
      <c r="E1267" s="2" t="str">
        <f>IFERROR(__xludf.DUMMYFUNCTION("IF('From Order'!$A1267=COLUMNS($A1267:E1286), LEFT(INDEX(FILTER(E$1:E1266, E$1:E1266&lt;&gt;""""),COUNTA(FILTER(E$1:E1266, E$1:E1266&lt;&gt;""""))), LEN(INDEX(FILTER(E$1:E1266, E$1:E1266&lt;&gt;""""),COUNTA(FILTER(E$1:E1266, E$1:E1266&lt;&gt;""""))))-1), IF('To Order'!$A1267=COL"&amp;"UMNS($A1267:E1286), E1266&amp;RIGHT(INDIRECT(ADDRESS(ROW(E1267)-1, 'From Order'!$A1267)), 1), E1266))"),"D")</f>
        <v>D</v>
      </c>
      <c r="F1267" s="2" t="str">
        <f>IFERROR(__xludf.DUMMYFUNCTION("IF('From Order'!$A1267=COLUMNS($A1267:F1286), LEFT(INDEX(FILTER(F$1:F1266, F$1:F1266&lt;&gt;""""),COUNTA(FILTER(F$1:F1266, F$1:F1266&lt;&gt;""""))), LEN(INDEX(FILTER(F$1:F1266, F$1:F1266&lt;&gt;""""),COUNTA(FILTER(F$1:F1266, F$1:F1266&lt;&gt;""""))))-1), IF('To Order'!$A1267=COL"&amp;"UMNS($A1267:F1286), F1266&amp;RIGHT(INDIRECT(ADDRESS(ROW(F1267)-1, 'From Order'!$A1267)), 1), F1266))"),"BS")</f>
        <v>BS</v>
      </c>
      <c r="G1267" s="2" t="str">
        <f>IFERROR(__xludf.DUMMYFUNCTION("IF('From Order'!$A1267=COLUMNS($A1267:G1286), LEFT(INDEX(FILTER(G$1:G1266, G$1:G1266&lt;&gt;""""),COUNTA(FILTER(G$1:G1266, G$1:G1266&lt;&gt;""""))), LEN(INDEX(FILTER(G$1:G1266, G$1:G1266&lt;&gt;""""),COUNTA(FILTER(G$1:G1266, G$1:G1266&lt;&gt;""""))))-1), IF('To Order'!$A1267=COL"&amp;"UMNS($A1267:G1286), G1266&amp;RIGHT(INDIRECT(ADDRESS(ROW(G1267)-1, 'From Order'!$A1267)), 1), G1266))"),"WRMTCRCDRZCJTBFMDJD")</f>
        <v>WRMTCRCDRZCJTBFMDJD</v>
      </c>
      <c r="H1267" s="2" t="str">
        <f>IFERROR(__xludf.DUMMYFUNCTION("IF('From Order'!$A1267=COLUMNS($A1267:H1286), LEFT(INDEX(FILTER(H$1:H1266, H$1:H1266&lt;&gt;""""),COUNTA(FILTER(H$1:H1266, H$1:H1266&lt;&gt;""""))), LEN(INDEX(FILTER(H$1:H1266, H$1:H1266&lt;&gt;""""),COUNTA(FILTER(H$1:H1266, H$1:H1266&lt;&gt;""""))))-1), IF('To Order'!$A1267=COL"&amp;"UMNS($A1267:H1286), H1266&amp;RIGHT(INDIRECT(ADDRESS(ROW(H1267)-1, 'From Order'!$A1267)), 1), H1266))"),"")</f>
        <v/>
      </c>
      <c r="I1267" s="2" t="str">
        <f>IFERROR(__xludf.DUMMYFUNCTION("IF('From Order'!$A1267=COLUMNS($A1267:I1286), LEFT(INDEX(FILTER(I$1:I1266, I$1:I1266&lt;&gt;""""),COUNTA(FILTER(I$1:I1266, I$1:I1266&lt;&gt;""""))), LEN(INDEX(FILTER(I$1:I1266, I$1:I1266&lt;&gt;""""),COUNTA(FILTER(I$1:I1266, I$1:I1266&lt;&gt;""""))))-1), IF('To Order'!$A1267=COL"&amp;"UMNS($A1267:I1286), I1266&amp;RIGHT(INDIRECT(ADDRESS(ROW(I1267)-1, 'From Order'!$A1267)), 1), I1266))"),"SFVTSVDT")</f>
        <v>SFVTSVDT</v>
      </c>
    </row>
    <row r="1268">
      <c r="A1268" s="2" t="str">
        <f>IFERROR(__xludf.DUMMYFUNCTION("IF('From Order'!$A1268=COLUMNS($A1268:A1287), LEFT(INDEX(FILTER(A$1:A1267, A$1:A1267&lt;&gt;""""),COUNTA(FILTER(A$1:A1267, A$1:A1267&lt;&gt;""""))), LEN(INDEX(FILTER(A$1:A1267, A$1:A1267&lt;&gt;""""),COUNTA(FILTER(A$1:A1267, A$1:A1267&lt;&gt;""""))))-1), IF('To Order'!$A1268=COL"&amp;"UMNS($A1268:A1287), A1267&amp;RIGHT(INDIRECT(ADDRESS(ROW(A1268)-1, 'From Order'!$A1268)), 1), A1267))"),"HZB")</f>
        <v>HZB</v>
      </c>
      <c r="B1268" s="2" t="str">
        <f>IFERROR(__xludf.DUMMYFUNCTION("IF('From Order'!$A1268=COLUMNS($A1268:B1287), LEFT(INDEX(FILTER(B$1:B1267, B$1:B1267&lt;&gt;""""),COUNTA(FILTER(B$1:B1267, B$1:B1267&lt;&gt;""""))), LEN(INDEX(FILTER(B$1:B1267, B$1:B1267&lt;&gt;""""),COUNTA(FILTER(B$1:B1267, B$1:B1267&lt;&gt;""""))))-1), IF('To Order'!$A1268=COL"&amp;"UMNS($A1268:B1287), B1267&amp;RIGHT(INDIRECT(ADDRESS(ROW(B1268)-1, 'From Order'!$A1268)), 1), B1267))"),"ZL")</f>
        <v>ZL</v>
      </c>
      <c r="C1268" s="2" t="str">
        <f>IFERROR(__xludf.DUMMYFUNCTION("IF('From Order'!$A1268=COLUMNS($A1268:C1287), LEFT(INDEX(FILTER(C$1:C1267, C$1:C1267&lt;&gt;""""),COUNTA(FILTER(C$1:C1267, C$1:C1267&lt;&gt;""""))), LEN(INDEX(FILTER(C$1:C1267, C$1:C1267&lt;&gt;""""),COUNTA(FILTER(C$1:C1267, C$1:C1267&lt;&gt;""""))))-1), IF('To Order'!$A1268=COL"&amp;"UMNS($A1268:C1287), C1267&amp;RIGHT(INDIRECT(ADDRESS(ROW(C1268)-1, 'From Order'!$A1268)), 1), C1267))"),"TRLRSGHWQVQJPPLDTMGB")</f>
        <v>TRLRSGHWQVQJPPLDTMGB</v>
      </c>
      <c r="D1268" s="2" t="str">
        <f>IFERROR(__xludf.DUMMYFUNCTION("IF('From Order'!$A1268=COLUMNS($A1268:D1287), LEFT(INDEX(FILTER(D$1:D1267, D$1:D1267&lt;&gt;""""),COUNTA(FILTER(D$1:D1267, D$1:D1267&lt;&gt;""""))), LEN(INDEX(FILTER(D$1:D1267, D$1:D1267&lt;&gt;""""),COUNTA(FILTER(D$1:D1267, D$1:D1267&lt;&gt;""""))))-1), IF('To Order'!$A1268=COL"&amp;"UMNS($A1268:D1287), D1267&amp;RIGHT(INDIRECT(ADDRESS(ROW(D1268)-1, 'From Order'!$A1268)), 1), D1267))"),"P")</f>
        <v>P</v>
      </c>
      <c r="E1268" s="2" t="str">
        <f>IFERROR(__xludf.DUMMYFUNCTION("IF('From Order'!$A1268=COLUMNS($A1268:E1287), LEFT(INDEX(FILTER(E$1:E1267, E$1:E1267&lt;&gt;""""),COUNTA(FILTER(E$1:E1267, E$1:E1267&lt;&gt;""""))), LEN(INDEX(FILTER(E$1:E1267, E$1:E1267&lt;&gt;""""),COUNTA(FILTER(E$1:E1267, E$1:E1267&lt;&gt;""""))))-1), IF('To Order'!$A1268=COL"&amp;"UMNS($A1268:E1287), E1267&amp;RIGHT(INDIRECT(ADDRESS(ROW(E1268)-1, 'From Order'!$A1268)), 1), E1267))"),"D")</f>
        <v>D</v>
      </c>
      <c r="F1268" s="2" t="str">
        <f>IFERROR(__xludf.DUMMYFUNCTION("IF('From Order'!$A1268=COLUMNS($A1268:F1287), LEFT(INDEX(FILTER(F$1:F1267, F$1:F1267&lt;&gt;""""),COUNTA(FILTER(F$1:F1267, F$1:F1267&lt;&gt;""""))), LEN(INDEX(FILTER(F$1:F1267, F$1:F1267&lt;&gt;""""),COUNTA(FILTER(F$1:F1267, F$1:F1267&lt;&gt;""""))))-1), IF('To Order'!$A1268=COL"&amp;"UMNS($A1268:F1287), F1267&amp;RIGHT(INDIRECT(ADDRESS(ROW(F1268)-1, 'From Order'!$A1268)), 1), F1267))"),"BS")</f>
        <v>BS</v>
      </c>
      <c r="G1268" s="2" t="str">
        <f>IFERROR(__xludf.DUMMYFUNCTION("IF('From Order'!$A1268=COLUMNS($A1268:G1287), LEFT(INDEX(FILTER(G$1:G1267, G$1:G1267&lt;&gt;""""),COUNTA(FILTER(G$1:G1267, G$1:G1267&lt;&gt;""""))), LEN(INDEX(FILTER(G$1:G1267, G$1:G1267&lt;&gt;""""),COUNTA(FILTER(G$1:G1267, G$1:G1267&lt;&gt;""""))))-1), IF('To Order'!$A1268=COL"&amp;"UMNS($A1268:G1287), G1267&amp;RIGHT(INDIRECT(ADDRESS(ROW(G1268)-1, 'From Order'!$A1268)), 1), G1267))"),"WRMTCRCDRZCJTBFMDJD")</f>
        <v>WRMTCRCDRZCJTBFMDJD</v>
      </c>
      <c r="H1268" s="2" t="str">
        <f>IFERROR(__xludf.DUMMYFUNCTION("IF('From Order'!$A1268=COLUMNS($A1268:H1287), LEFT(INDEX(FILTER(H$1:H1267, H$1:H1267&lt;&gt;""""),COUNTA(FILTER(H$1:H1267, H$1:H1267&lt;&gt;""""))), LEN(INDEX(FILTER(H$1:H1267, H$1:H1267&lt;&gt;""""),COUNTA(FILTER(H$1:H1267, H$1:H1267&lt;&gt;""""))))-1), IF('To Order'!$A1268=COL"&amp;"UMNS($A1268:H1287), H1267&amp;RIGHT(INDIRECT(ADDRESS(ROW(H1268)-1, 'From Order'!$A1268)), 1), H1267))"),"")</f>
        <v/>
      </c>
      <c r="I1268" s="2" t="str">
        <f>IFERROR(__xludf.DUMMYFUNCTION("IF('From Order'!$A1268=COLUMNS($A1268:I1287), LEFT(INDEX(FILTER(I$1:I1267, I$1:I1267&lt;&gt;""""),COUNTA(FILTER(I$1:I1267, I$1:I1267&lt;&gt;""""))), LEN(INDEX(FILTER(I$1:I1267, I$1:I1267&lt;&gt;""""),COUNTA(FILTER(I$1:I1267, I$1:I1267&lt;&gt;""""))))-1), IF('To Order'!$A1268=COL"&amp;"UMNS($A1268:I1287), I1267&amp;RIGHT(INDIRECT(ADDRESS(ROW(I1268)-1, 'From Order'!$A1268)), 1), I1267))"),"SFVTSVDT")</f>
        <v>SFVTSVDT</v>
      </c>
    </row>
    <row r="1269">
      <c r="A1269" s="2" t="str">
        <f>IFERROR(__xludf.DUMMYFUNCTION("IF('From Order'!$A1269=COLUMNS($A1269:A1288), LEFT(INDEX(FILTER(A$1:A1268, A$1:A1268&lt;&gt;""""),COUNTA(FILTER(A$1:A1268, A$1:A1268&lt;&gt;""""))), LEN(INDEX(FILTER(A$1:A1268, A$1:A1268&lt;&gt;""""),COUNTA(FILTER(A$1:A1268, A$1:A1268&lt;&gt;""""))))-1), IF('To Order'!$A1269=COL"&amp;"UMNS($A1269:A1288), A1268&amp;RIGHT(INDIRECT(ADDRESS(ROW(A1269)-1, 'From Order'!$A1269)), 1), A1268))"),"HZB")</f>
        <v>HZB</v>
      </c>
      <c r="B1269" s="2" t="str">
        <f>IFERROR(__xludf.DUMMYFUNCTION("IF('From Order'!$A1269=COLUMNS($A1269:B1288), LEFT(INDEX(FILTER(B$1:B1268, B$1:B1268&lt;&gt;""""),COUNTA(FILTER(B$1:B1268, B$1:B1268&lt;&gt;""""))), LEN(INDEX(FILTER(B$1:B1268, B$1:B1268&lt;&gt;""""),COUNTA(FILTER(B$1:B1268, B$1:B1268&lt;&gt;""""))))-1), IF('To Order'!$A1269=COL"&amp;"UMNS($A1269:B1288), B1268&amp;RIGHT(INDIRECT(ADDRESS(ROW(B1269)-1, 'From Order'!$A1269)), 1), B1268))"),"ZL")</f>
        <v>ZL</v>
      </c>
      <c r="C1269" s="2" t="str">
        <f>IFERROR(__xludf.DUMMYFUNCTION("IF('From Order'!$A1269=COLUMNS($A1269:C1288), LEFT(INDEX(FILTER(C$1:C1268, C$1:C1268&lt;&gt;""""),COUNTA(FILTER(C$1:C1268, C$1:C1268&lt;&gt;""""))), LEN(INDEX(FILTER(C$1:C1268, C$1:C1268&lt;&gt;""""),COUNTA(FILTER(C$1:C1268, C$1:C1268&lt;&gt;""""))))-1), IF('To Order'!$A1269=COL"&amp;"UMNS($A1269:C1288), C1268&amp;RIGHT(INDIRECT(ADDRESS(ROW(C1269)-1, 'From Order'!$A1269)), 1), C1268))"),"TRLRSGHWQVQJPPLDTMGB")</f>
        <v>TRLRSGHWQVQJPPLDTMGB</v>
      </c>
      <c r="D1269" s="2" t="str">
        <f>IFERROR(__xludf.DUMMYFUNCTION("IF('From Order'!$A1269=COLUMNS($A1269:D1288), LEFT(INDEX(FILTER(D$1:D1268, D$1:D1268&lt;&gt;""""),COUNTA(FILTER(D$1:D1268, D$1:D1268&lt;&gt;""""))), LEN(INDEX(FILTER(D$1:D1268, D$1:D1268&lt;&gt;""""),COUNTA(FILTER(D$1:D1268, D$1:D1268&lt;&gt;""""))))-1), IF('To Order'!$A1269=COL"&amp;"UMNS($A1269:D1288), D1268&amp;RIGHT(INDIRECT(ADDRESS(ROW(D1269)-1, 'From Order'!$A1269)), 1), D1268))"),"PT")</f>
        <v>PT</v>
      </c>
      <c r="E1269" s="2" t="str">
        <f>IFERROR(__xludf.DUMMYFUNCTION("IF('From Order'!$A1269=COLUMNS($A1269:E1288), LEFT(INDEX(FILTER(E$1:E1268, E$1:E1268&lt;&gt;""""),COUNTA(FILTER(E$1:E1268, E$1:E1268&lt;&gt;""""))), LEN(INDEX(FILTER(E$1:E1268, E$1:E1268&lt;&gt;""""),COUNTA(FILTER(E$1:E1268, E$1:E1268&lt;&gt;""""))))-1), IF('To Order'!$A1269=COL"&amp;"UMNS($A1269:E1288), E1268&amp;RIGHT(INDIRECT(ADDRESS(ROW(E1269)-1, 'From Order'!$A1269)), 1), E1268))"),"D")</f>
        <v>D</v>
      </c>
      <c r="F1269" s="2" t="str">
        <f>IFERROR(__xludf.DUMMYFUNCTION("IF('From Order'!$A1269=COLUMNS($A1269:F1288), LEFT(INDEX(FILTER(F$1:F1268, F$1:F1268&lt;&gt;""""),COUNTA(FILTER(F$1:F1268, F$1:F1268&lt;&gt;""""))), LEN(INDEX(FILTER(F$1:F1268, F$1:F1268&lt;&gt;""""),COUNTA(FILTER(F$1:F1268, F$1:F1268&lt;&gt;""""))))-1), IF('To Order'!$A1269=COL"&amp;"UMNS($A1269:F1288), F1268&amp;RIGHT(INDIRECT(ADDRESS(ROW(F1269)-1, 'From Order'!$A1269)), 1), F1268))"),"BS")</f>
        <v>BS</v>
      </c>
      <c r="G1269" s="2" t="str">
        <f>IFERROR(__xludf.DUMMYFUNCTION("IF('From Order'!$A1269=COLUMNS($A1269:G1288), LEFT(INDEX(FILTER(G$1:G1268, G$1:G1268&lt;&gt;""""),COUNTA(FILTER(G$1:G1268, G$1:G1268&lt;&gt;""""))), LEN(INDEX(FILTER(G$1:G1268, G$1:G1268&lt;&gt;""""),COUNTA(FILTER(G$1:G1268, G$1:G1268&lt;&gt;""""))))-1), IF('To Order'!$A1269=COL"&amp;"UMNS($A1269:G1288), G1268&amp;RIGHT(INDIRECT(ADDRESS(ROW(G1269)-1, 'From Order'!$A1269)), 1), G1268))"),"WRMTCRCDRZCJTBFMDJD")</f>
        <v>WRMTCRCDRZCJTBFMDJD</v>
      </c>
      <c r="H1269" s="2" t="str">
        <f>IFERROR(__xludf.DUMMYFUNCTION("IF('From Order'!$A1269=COLUMNS($A1269:H1288), LEFT(INDEX(FILTER(H$1:H1268, H$1:H1268&lt;&gt;""""),COUNTA(FILTER(H$1:H1268, H$1:H1268&lt;&gt;""""))), LEN(INDEX(FILTER(H$1:H1268, H$1:H1268&lt;&gt;""""),COUNTA(FILTER(H$1:H1268, H$1:H1268&lt;&gt;""""))))-1), IF('To Order'!$A1269=COL"&amp;"UMNS($A1269:H1288), H1268&amp;RIGHT(INDIRECT(ADDRESS(ROW(H1269)-1, 'From Order'!$A1269)), 1), H1268))"),"")</f>
        <v/>
      </c>
      <c r="I1269" s="2" t="str">
        <f>IFERROR(__xludf.DUMMYFUNCTION("IF('From Order'!$A1269=COLUMNS($A1269:I1288), LEFT(INDEX(FILTER(I$1:I1268, I$1:I1268&lt;&gt;""""),COUNTA(FILTER(I$1:I1268, I$1:I1268&lt;&gt;""""))), LEN(INDEX(FILTER(I$1:I1268, I$1:I1268&lt;&gt;""""),COUNTA(FILTER(I$1:I1268, I$1:I1268&lt;&gt;""""))))-1), IF('To Order'!$A1269=COL"&amp;"UMNS($A1269:I1288), I1268&amp;RIGHT(INDIRECT(ADDRESS(ROW(I1269)-1, 'From Order'!$A1269)), 1), I1268))"),"SFVTSVD")</f>
        <v>SFVTSVD</v>
      </c>
    </row>
    <row r="1270">
      <c r="A1270" s="2" t="str">
        <f>IFERROR(__xludf.DUMMYFUNCTION("IF('From Order'!$A1270=COLUMNS($A1270:A1289), LEFT(INDEX(FILTER(A$1:A1269, A$1:A1269&lt;&gt;""""),COUNTA(FILTER(A$1:A1269, A$1:A1269&lt;&gt;""""))), LEN(INDEX(FILTER(A$1:A1269, A$1:A1269&lt;&gt;""""),COUNTA(FILTER(A$1:A1269, A$1:A1269&lt;&gt;""""))))-1), IF('To Order'!$A1270=COL"&amp;"UMNS($A1270:A1289), A1269&amp;RIGHT(INDIRECT(ADDRESS(ROW(A1270)-1, 'From Order'!$A1270)), 1), A1269))"),"HZB")</f>
        <v>HZB</v>
      </c>
      <c r="B1270" s="2" t="str">
        <f>IFERROR(__xludf.DUMMYFUNCTION("IF('From Order'!$A1270=COLUMNS($A1270:B1289), LEFT(INDEX(FILTER(B$1:B1269, B$1:B1269&lt;&gt;""""),COUNTA(FILTER(B$1:B1269, B$1:B1269&lt;&gt;""""))), LEN(INDEX(FILTER(B$1:B1269, B$1:B1269&lt;&gt;""""),COUNTA(FILTER(B$1:B1269, B$1:B1269&lt;&gt;""""))))-1), IF('To Order'!$A1270=COL"&amp;"UMNS($A1270:B1289), B1269&amp;RIGHT(INDIRECT(ADDRESS(ROW(B1270)-1, 'From Order'!$A1270)), 1), B1269))"),"ZL")</f>
        <v>ZL</v>
      </c>
      <c r="C1270" s="2" t="str">
        <f>IFERROR(__xludf.DUMMYFUNCTION("IF('From Order'!$A1270=COLUMNS($A1270:C1289), LEFT(INDEX(FILTER(C$1:C1269, C$1:C1269&lt;&gt;""""),COUNTA(FILTER(C$1:C1269, C$1:C1269&lt;&gt;""""))), LEN(INDEX(FILTER(C$1:C1269, C$1:C1269&lt;&gt;""""),COUNTA(FILTER(C$1:C1269, C$1:C1269&lt;&gt;""""))))-1), IF('To Order'!$A1270=COL"&amp;"UMNS($A1270:C1289), C1269&amp;RIGHT(INDIRECT(ADDRESS(ROW(C1270)-1, 'From Order'!$A1270)), 1), C1269))"),"TRLRSGHWQVQJPPLDTMGB")</f>
        <v>TRLRSGHWQVQJPPLDTMGB</v>
      </c>
      <c r="D1270" s="2" t="str">
        <f>IFERROR(__xludf.DUMMYFUNCTION("IF('From Order'!$A1270=COLUMNS($A1270:D1289), LEFT(INDEX(FILTER(D$1:D1269, D$1:D1269&lt;&gt;""""),COUNTA(FILTER(D$1:D1269, D$1:D1269&lt;&gt;""""))), LEN(INDEX(FILTER(D$1:D1269, D$1:D1269&lt;&gt;""""),COUNTA(FILTER(D$1:D1269, D$1:D1269&lt;&gt;""""))))-1), IF('To Order'!$A1270=COL"&amp;"UMNS($A1270:D1289), D1269&amp;RIGHT(INDIRECT(ADDRESS(ROW(D1270)-1, 'From Order'!$A1270)), 1), D1269))"),"PTD")</f>
        <v>PTD</v>
      </c>
      <c r="E1270" s="2" t="str">
        <f>IFERROR(__xludf.DUMMYFUNCTION("IF('From Order'!$A1270=COLUMNS($A1270:E1289), LEFT(INDEX(FILTER(E$1:E1269, E$1:E1269&lt;&gt;""""),COUNTA(FILTER(E$1:E1269, E$1:E1269&lt;&gt;""""))), LEN(INDEX(FILTER(E$1:E1269, E$1:E1269&lt;&gt;""""),COUNTA(FILTER(E$1:E1269, E$1:E1269&lt;&gt;""""))))-1), IF('To Order'!$A1270=COL"&amp;"UMNS($A1270:E1289), E1269&amp;RIGHT(INDIRECT(ADDRESS(ROW(E1270)-1, 'From Order'!$A1270)), 1), E1269))"),"D")</f>
        <v>D</v>
      </c>
      <c r="F1270" s="2" t="str">
        <f>IFERROR(__xludf.DUMMYFUNCTION("IF('From Order'!$A1270=COLUMNS($A1270:F1289), LEFT(INDEX(FILTER(F$1:F1269, F$1:F1269&lt;&gt;""""),COUNTA(FILTER(F$1:F1269, F$1:F1269&lt;&gt;""""))), LEN(INDEX(FILTER(F$1:F1269, F$1:F1269&lt;&gt;""""),COUNTA(FILTER(F$1:F1269, F$1:F1269&lt;&gt;""""))))-1), IF('To Order'!$A1270=COL"&amp;"UMNS($A1270:F1289), F1269&amp;RIGHT(INDIRECT(ADDRESS(ROW(F1270)-1, 'From Order'!$A1270)), 1), F1269))"),"BS")</f>
        <v>BS</v>
      </c>
      <c r="G1270" s="2" t="str">
        <f>IFERROR(__xludf.DUMMYFUNCTION("IF('From Order'!$A1270=COLUMNS($A1270:G1289), LEFT(INDEX(FILTER(G$1:G1269, G$1:G1269&lt;&gt;""""),COUNTA(FILTER(G$1:G1269, G$1:G1269&lt;&gt;""""))), LEN(INDEX(FILTER(G$1:G1269, G$1:G1269&lt;&gt;""""),COUNTA(FILTER(G$1:G1269, G$1:G1269&lt;&gt;""""))))-1), IF('To Order'!$A1270=COL"&amp;"UMNS($A1270:G1289), G1269&amp;RIGHT(INDIRECT(ADDRESS(ROW(G1270)-1, 'From Order'!$A1270)), 1), G1269))"),"WRMTCRCDRZCJTBFMDJD")</f>
        <v>WRMTCRCDRZCJTBFMDJD</v>
      </c>
      <c r="H1270" s="2" t="str">
        <f>IFERROR(__xludf.DUMMYFUNCTION("IF('From Order'!$A1270=COLUMNS($A1270:H1289), LEFT(INDEX(FILTER(H$1:H1269, H$1:H1269&lt;&gt;""""),COUNTA(FILTER(H$1:H1269, H$1:H1269&lt;&gt;""""))), LEN(INDEX(FILTER(H$1:H1269, H$1:H1269&lt;&gt;""""),COUNTA(FILTER(H$1:H1269, H$1:H1269&lt;&gt;""""))))-1), IF('To Order'!$A1270=COL"&amp;"UMNS($A1270:H1289), H1269&amp;RIGHT(INDIRECT(ADDRESS(ROW(H1270)-1, 'From Order'!$A1270)), 1), H1269))"),"")</f>
        <v/>
      </c>
      <c r="I1270" s="2" t="str">
        <f>IFERROR(__xludf.DUMMYFUNCTION("IF('From Order'!$A1270=COLUMNS($A1270:I1289), LEFT(INDEX(FILTER(I$1:I1269, I$1:I1269&lt;&gt;""""),COUNTA(FILTER(I$1:I1269, I$1:I1269&lt;&gt;""""))), LEN(INDEX(FILTER(I$1:I1269, I$1:I1269&lt;&gt;""""),COUNTA(FILTER(I$1:I1269, I$1:I1269&lt;&gt;""""))))-1), IF('To Order'!$A1270=COL"&amp;"UMNS($A1270:I1289), I1269&amp;RIGHT(INDIRECT(ADDRESS(ROW(I1270)-1, 'From Order'!$A1270)), 1), I1269))"),"SFVTSV")</f>
        <v>SFVTSV</v>
      </c>
    </row>
    <row r="1271">
      <c r="A1271" s="2" t="str">
        <f>IFERROR(__xludf.DUMMYFUNCTION("IF('From Order'!$A1271=COLUMNS($A1271:A1290), LEFT(INDEX(FILTER(A$1:A1270, A$1:A1270&lt;&gt;""""),COUNTA(FILTER(A$1:A1270, A$1:A1270&lt;&gt;""""))), LEN(INDEX(FILTER(A$1:A1270, A$1:A1270&lt;&gt;""""),COUNTA(FILTER(A$1:A1270, A$1:A1270&lt;&gt;""""))))-1), IF('To Order'!$A1271=COL"&amp;"UMNS($A1271:A1290), A1270&amp;RIGHT(INDIRECT(ADDRESS(ROW(A1271)-1, 'From Order'!$A1271)), 1), A1270))"),"HZB")</f>
        <v>HZB</v>
      </c>
      <c r="B1271" s="2" t="str">
        <f>IFERROR(__xludf.DUMMYFUNCTION("IF('From Order'!$A1271=COLUMNS($A1271:B1290), LEFT(INDEX(FILTER(B$1:B1270, B$1:B1270&lt;&gt;""""),COUNTA(FILTER(B$1:B1270, B$1:B1270&lt;&gt;""""))), LEN(INDEX(FILTER(B$1:B1270, B$1:B1270&lt;&gt;""""),COUNTA(FILTER(B$1:B1270, B$1:B1270&lt;&gt;""""))))-1), IF('To Order'!$A1271=COL"&amp;"UMNS($A1271:B1290), B1270&amp;RIGHT(INDIRECT(ADDRESS(ROW(B1271)-1, 'From Order'!$A1271)), 1), B1270))"),"ZL")</f>
        <v>ZL</v>
      </c>
      <c r="C1271" s="2" t="str">
        <f>IFERROR(__xludf.DUMMYFUNCTION("IF('From Order'!$A1271=COLUMNS($A1271:C1290), LEFT(INDEX(FILTER(C$1:C1270, C$1:C1270&lt;&gt;""""),COUNTA(FILTER(C$1:C1270, C$1:C1270&lt;&gt;""""))), LEN(INDEX(FILTER(C$1:C1270, C$1:C1270&lt;&gt;""""),COUNTA(FILTER(C$1:C1270, C$1:C1270&lt;&gt;""""))))-1), IF('To Order'!$A1271=COL"&amp;"UMNS($A1271:C1290), C1270&amp;RIGHT(INDIRECT(ADDRESS(ROW(C1271)-1, 'From Order'!$A1271)), 1), C1270))"),"TRLRSGHWQVQJPPLDTMGB")</f>
        <v>TRLRSGHWQVQJPPLDTMGB</v>
      </c>
      <c r="D1271" s="2" t="str">
        <f>IFERROR(__xludf.DUMMYFUNCTION("IF('From Order'!$A1271=COLUMNS($A1271:D1290), LEFT(INDEX(FILTER(D$1:D1270, D$1:D1270&lt;&gt;""""),COUNTA(FILTER(D$1:D1270, D$1:D1270&lt;&gt;""""))), LEN(INDEX(FILTER(D$1:D1270, D$1:D1270&lt;&gt;""""),COUNTA(FILTER(D$1:D1270, D$1:D1270&lt;&gt;""""))))-1), IF('To Order'!$A1271=COL"&amp;"UMNS($A1271:D1290), D1270&amp;RIGHT(INDIRECT(ADDRESS(ROW(D1271)-1, 'From Order'!$A1271)), 1), D1270))"),"PTDV")</f>
        <v>PTDV</v>
      </c>
      <c r="E1271" s="2" t="str">
        <f>IFERROR(__xludf.DUMMYFUNCTION("IF('From Order'!$A1271=COLUMNS($A1271:E1290), LEFT(INDEX(FILTER(E$1:E1270, E$1:E1270&lt;&gt;""""),COUNTA(FILTER(E$1:E1270, E$1:E1270&lt;&gt;""""))), LEN(INDEX(FILTER(E$1:E1270, E$1:E1270&lt;&gt;""""),COUNTA(FILTER(E$1:E1270, E$1:E1270&lt;&gt;""""))))-1), IF('To Order'!$A1271=COL"&amp;"UMNS($A1271:E1290), E1270&amp;RIGHT(INDIRECT(ADDRESS(ROW(E1271)-1, 'From Order'!$A1271)), 1), E1270))"),"D")</f>
        <v>D</v>
      </c>
      <c r="F1271" s="2" t="str">
        <f>IFERROR(__xludf.DUMMYFUNCTION("IF('From Order'!$A1271=COLUMNS($A1271:F1290), LEFT(INDEX(FILTER(F$1:F1270, F$1:F1270&lt;&gt;""""),COUNTA(FILTER(F$1:F1270, F$1:F1270&lt;&gt;""""))), LEN(INDEX(FILTER(F$1:F1270, F$1:F1270&lt;&gt;""""),COUNTA(FILTER(F$1:F1270, F$1:F1270&lt;&gt;""""))))-1), IF('To Order'!$A1271=COL"&amp;"UMNS($A1271:F1290), F1270&amp;RIGHT(INDIRECT(ADDRESS(ROW(F1271)-1, 'From Order'!$A1271)), 1), F1270))"),"BS")</f>
        <v>BS</v>
      </c>
      <c r="G1271" s="2" t="str">
        <f>IFERROR(__xludf.DUMMYFUNCTION("IF('From Order'!$A1271=COLUMNS($A1271:G1290), LEFT(INDEX(FILTER(G$1:G1270, G$1:G1270&lt;&gt;""""),COUNTA(FILTER(G$1:G1270, G$1:G1270&lt;&gt;""""))), LEN(INDEX(FILTER(G$1:G1270, G$1:G1270&lt;&gt;""""),COUNTA(FILTER(G$1:G1270, G$1:G1270&lt;&gt;""""))))-1), IF('To Order'!$A1271=COL"&amp;"UMNS($A1271:G1290), G1270&amp;RIGHT(INDIRECT(ADDRESS(ROW(G1271)-1, 'From Order'!$A1271)), 1), G1270))"),"WRMTCRCDRZCJTBFMDJD")</f>
        <v>WRMTCRCDRZCJTBFMDJD</v>
      </c>
      <c r="H1271" s="2" t="str">
        <f>IFERROR(__xludf.DUMMYFUNCTION("IF('From Order'!$A1271=COLUMNS($A1271:H1290), LEFT(INDEX(FILTER(H$1:H1270, H$1:H1270&lt;&gt;""""),COUNTA(FILTER(H$1:H1270, H$1:H1270&lt;&gt;""""))), LEN(INDEX(FILTER(H$1:H1270, H$1:H1270&lt;&gt;""""),COUNTA(FILTER(H$1:H1270, H$1:H1270&lt;&gt;""""))))-1), IF('To Order'!$A1271=COL"&amp;"UMNS($A1271:H1290), H1270&amp;RIGHT(INDIRECT(ADDRESS(ROW(H1271)-1, 'From Order'!$A1271)), 1), H1270))"),"")</f>
        <v/>
      </c>
      <c r="I1271" s="2" t="str">
        <f>IFERROR(__xludf.DUMMYFUNCTION("IF('From Order'!$A1271=COLUMNS($A1271:I1290), LEFT(INDEX(FILTER(I$1:I1270, I$1:I1270&lt;&gt;""""),COUNTA(FILTER(I$1:I1270, I$1:I1270&lt;&gt;""""))), LEN(INDEX(FILTER(I$1:I1270, I$1:I1270&lt;&gt;""""),COUNTA(FILTER(I$1:I1270, I$1:I1270&lt;&gt;""""))))-1), IF('To Order'!$A1271=COL"&amp;"UMNS($A1271:I1290), I1270&amp;RIGHT(INDIRECT(ADDRESS(ROW(I1271)-1, 'From Order'!$A1271)), 1), I1270))"),"SFVTS")</f>
        <v>SFVTS</v>
      </c>
    </row>
    <row r="1272">
      <c r="A1272" s="2" t="str">
        <f>IFERROR(__xludf.DUMMYFUNCTION("IF('From Order'!$A1272=COLUMNS($A1272:A1291), LEFT(INDEX(FILTER(A$1:A1271, A$1:A1271&lt;&gt;""""),COUNTA(FILTER(A$1:A1271, A$1:A1271&lt;&gt;""""))), LEN(INDEX(FILTER(A$1:A1271, A$1:A1271&lt;&gt;""""),COUNTA(FILTER(A$1:A1271, A$1:A1271&lt;&gt;""""))))-1), IF('To Order'!$A1272=COL"&amp;"UMNS($A1272:A1291), A1271&amp;RIGHT(INDIRECT(ADDRESS(ROW(A1272)-1, 'From Order'!$A1272)), 1), A1271))"),"HZB")</f>
        <v>HZB</v>
      </c>
      <c r="B1272" s="2" t="str">
        <f>IFERROR(__xludf.DUMMYFUNCTION("IF('From Order'!$A1272=COLUMNS($A1272:B1291), LEFT(INDEX(FILTER(B$1:B1271, B$1:B1271&lt;&gt;""""),COUNTA(FILTER(B$1:B1271, B$1:B1271&lt;&gt;""""))), LEN(INDEX(FILTER(B$1:B1271, B$1:B1271&lt;&gt;""""),COUNTA(FILTER(B$1:B1271, B$1:B1271&lt;&gt;""""))))-1), IF('To Order'!$A1272=COL"&amp;"UMNS($A1272:B1291), B1271&amp;RIGHT(INDIRECT(ADDRESS(ROW(B1272)-1, 'From Order'!$A1272)), 1), B1271))"),"ZL")</f>
        <v>ZL</v>
      </c>
      <c r="C1272" s="2" t="str">
        <f>IFERROR(__xludf.DUMMYFUNCTION("IF('From Order'!$A1272=COLUMNS($A1272:C1291), LEFT(INDEX(FILTER(C$1:C1271, C$1:C1271&lt;&gt;""""),COUNTA(FILTER(C$1:C1271, C$1:C1271&lt;&gt;""""))), LEN(INDEX(FILTER(C$1:C1271, C$1:C1271&lt;&gt;""""),COUNTA(FILTER(C$1:C1271, C$1:C1271&lt;&gt;""""))))-1), IF('To Order'!$A1272=COL"&amp;"UMNS($A1272:C1291), C1271&amp;RIGHT(INDIRECT(ADDRESS(ROW(C1272)-1, 'From Order'!$A1272)), 1), C1271))"),"TRLRSGHWQVQJPPLDTMGB")</f>
        <v>TRLRSGHWQVQJPPLDTMGB</v>
      </c>
      <c r="D1272" s="2" t="str">
        <f>IFERROR(__xludf.DUMMYFUNCTION("IF('From Order'!$A1272=COLUMNS($A1272:D1291), LEFT(INDEX(FILTER(D$1:D1271, D$1:D1271&lt;&gt;""""),COUNTA(FILTER(D$1:D1271, D$1:D1271&lt;&gt;""""))), LEN(INDEX(FILTER(D$1:D1271, D$1:D1271&lt;&gt;""""),COUNTA(FILTER(D$1:D1271, D$1:D1271&lt;&gt;""""))))-1), IF('To Order'!$A1272=COL"&amp;"UMNS($A1272:D1291), D1271&amp;RIGHT(INDIRECT(ADDRESS(ROW(D1272)-1, 'From Order'!$A1272)), 1), D1271))"),"PTDVS")</f>
        <v>PTDVS</v>
      </c>
      <c r="E1272" s="2" t="str">
        <f>IFERROR(__xludf.DUMMYFUNCTION("IF('From Order'!$A1272=COLUMNS($A1272:E1291), LEFT(INDEX(FILTER(E$1:E1271, E$1:E1271&lt;&gt;""""),COUNTA(FILTER(E$1:E1271, E$1:E1271&lt;&gt;""""))), LEN(INDEX(FILTER(E$1:E1271, E$1:E1271&lt;&gt;""""),COUNTA(FILTER(E$1:E1271, E$1:E1271&lt;&gt;""""))))-1), IF('To Order'!$A1272=COL"&amp;"UMNS($A1272:E1291), E1271&amp;RIGHT(INDIRECT(ADDRESS(ROW(E1272)-1, 'From Order'!$A1272)), 1), E1271))"),"D")</f>
        <v>D</v>
      </c>
      <c r="F1272" s="2" t="str">
        <f>IFERROR(__xludf.DUMMYFUNCTION("IF('From Order'!$A1272=COLUMNS($A1272:F1291), LEFT(INDEX(FILTER(F$1:F1271, F$1:F1271&lt;&gt;""""),COUNTA(FILTER(F$1:F1271, F$1:F1271&lt;&gt;""""))), LEN(INDEX(FILTER(F$1:F1271, F$1:F1271&lt;&gt;""""),COUNTA(FILTER(F$1:F1271, F$1:F1271&lt;&gt;""""))))-1), IF('To Order'!$A1272=COL"&amp;"UMNS($A1272:F1291), F1271&amp;RIGHT(INDIRECT(ADDRESS(ROW(F1272)-1, 'From Order'!$A1272)), 1), F1271))"),"BS")</f>
        <v>BS</v>
      </c>
      <c r="G1272" s="2" t="str">
        <f>IFERROR(__xludf.DUMMYFUNCTION("IF('From Order'!$A1272=COLUMNS($A1272:G1291), LEFT(INDEX(FILTER(G$1:G1271, G$1:G1271&lt;&gt;""""),COUNTA(FILTER(G$1:G1271, G$1:G1271&lt;&gt;""""))), LEN(INDEX(FILTER(G$1:G1271, G$1:G1271&lt;&gt;""""),COUNTA(FILTER(G$1:G1271, G$1:G1271&lt;&gt;""""))))-1), IF('To Order'!$A1272=COL"&amp;"UMNS($A1272:G1291), G1271&amp;RIGHT(INDIRECT(ADDRESS(ROW(G1272)-1, 'From Order'!$A1272)), 1), G1271))"),"WRMTCRCDRZCJTBFMDJD")</f>
        <v>WRMTCRCDRZCJTBFMDJD</v>
      </c>
      <c r="H1272" s="2" t="str">
        <f>IFERROR(__xludf.DUMMYFUNCTION("IF('From Order'!$A1272=COLUMNS($A1272:H1291), LEFT(INDEX(FILTER(H$1:H1271, H$1:H1271&lt;&gt;""""),COUNTA(FILTER(H$1:H1271, H$1:H1271&lt;&gt;""""))), LEN(INDEX(FILTER(H$1:H1271, H$1:H1271&lt;&gt;""""),COUNTA(FILTER(H$1:H1271, H$1:H1271&lt;&gt;""""))))-1), IF('To Order'!$A1272=COL"&amp;"UMNS($A1272:H1291), H1271&amp;RIGHT(INDIRECT(ADDRESS(ROW(H1272)-1, 'From Order'!$A1272)), 1), H1271))"),"")</f>
        <v/>
      </c>
      <c r="I1272" s="2" t="str">
        <f>IFERROR(__xludf.DUMMYFUNCTION("IF('From Order'!$A1272=COLUMNS($A1272:I1291), LEFT(INDEX(FILTER(I$1:I1271, I$1:I1271&lt;&gt;""""),COUNTA(FILTER(I$1:I1271, I$1:I1271&lt;&gt;""""))), LEN(INDEX(FILTER(I$1:I1271, I$1:I1271&lt;&gt;""""),COUNTA(FILTER(I$1:I1271, I$1:I1271&lt;&gt;""""))))-1), IF('To Order'!$A1272=COL"&amp;"UMNS($A1272:I1291), I1271&amp;RIGHT(INDIRECT(ADDRESS(ROW(I1272)-1, 'From Order'!$A1272)), 1), I1271))"),"SFVT")</f>
        <v>SFVT</v>
      </c>
    </row>
    <row r="1273">
      <c r="A1273" s="2" t="str">
        <f>IFERROR(__xludf.DUMMYFUNCTION("IF('From Order'!$A1273=COLUMNS($A1273:A1292), LEFT(INDEX(FILTER(A$1:A1272, A$1:A1272&lt;&gt;""""),COUNTA(FILTER(A$1:A1272, A$1:A1272&lt;&gt;""""))), LEN(INDEX(FILTER(A$1:A1272, A$1:A1272&lt;&gt;""""),COUNTA(FILTER(A$1:A1272, A$1:A1272&lt;&gt;""""))))-1), IF('To Order'!$A1273=COL"&amp;"UMNS($A1273:A1292), A1272&amp;RIGHT(INDIRECT(ADDRESS(ROW(A1273)-1, 'From Order'!$A1273)), 1), A1272))"),"HZB")</f>
        <v>HZB</v>
      </c>
      <c r="B1273" s="2" t="str">
        <f>IFERROR(__xludf.DUMMYFUNCTION("IF('From Order'!$A1273=COLUMNS($A1273:B1292), LEFT(INDEX(FILTER(B$1:B1272, B$1:B1272&lt;&gt;""""),COUNTA(FILTER(B$1:B1272, B$1:B1272&lt;&gt;""""))), LEN(INDEX(FILTER(B$1:B1272, B$1:B1272&lt;&gt;""""),COUNTA(FILTER(B$1:B1272, B$1:B1272&lt;&gt;""""))))-1), IF('To Order'!$A1273=COL"&amp;"UMNS($A1273:B1292), B1272&amp;RIGHT(INDIRECT(ADDRESS(ROW(B1273)-1, 'From Order'!$A1273)), 1), B1272))"),"ZL")</f>
        <v>ZL</v>
      </c>
      <c r="C1273" s="2" t="str">
        <f>IFERROR(__xludf.DUMMYFUNCTION("IF('From Order'!$A1273=COLUMNS($A1273:C1292), LEFT(INDEX(FILTER(C$1:C1272, C$1:C1272&lt;&gt;""""),COUNTA(FILTER(C$1:C1272, C$1:C1272&lt;&gt;""""))), LEN(INDEX(FILTER(C$1:C1272, C$1:C1272&lt;&gt;""""),COUNTA(FILTER(C$1:C1272, C$1:C1272&lt;&gt;""""))))-1), IF('To Order'!$A1273=COL"&amp;"UMNS($A1273:C1292), C1272&amp;RIGHT(INDIRECT(ADDRESS(ROW(C1273)-1, 'From Order'!$A1273)), 1), C1272))"),"TRLRSGHWQVQJPPLDTMGB")</f>
        <v>TRLRSGHWQVQJPPLDTMGB</v>
      </c>
      <c r="D1273" s="2" t="str">
        <f>IFERROR(__xludf.DUMMYFUNCTION("IF('From Order'!$A1273=COLUMNS($A1273:D1292), LEFT(INDEX(FILTER(D$1:D1272, D$1:D1272&lt;&gt;""""),COUNTA(FILTER(D$1:D1272, D$1:D1272&lt;&gt;""""))), LEN(INDEX(FILTER(D$1:D1272, D$1:D1272&lt;&gt;""""),COUNTA(FILTER(D$1:D1272, D$1:D1272&lt;&gt;""""))))-1), IF('To Order'!$A1273=COL"&amp;"UMNS($A1273:D1292), D1272&amp;RIGHT(INDIRECT(ADDRESS(ROW(D1273)-1, 'From Order'!$A1273)), 1), D1272))"),"PTDVST")</f>
        <v>PTDVST</v>
      </c>
      <c r="E1273" s="2" t="str">
        <f>IFERROR(__xludf.DUMMYFUNCTION("IF('From Order'!$A1273=COLUMNS($A1273:E1292), LEFT(INDEX(FILTER(E$1:E1272, E$1:E1272&lt;&gt;""""),COUNTA(FILTER(E$1:E1272, E$1:E1272&lt;&gt;""""))), LEN(INDEX(FILTER(E$1:E1272, E$1:E1272&lt;&gt;""""),COUNTA(FILTER(E$1:E1272, E$1:E1272&lt;&gt;""""))))-1), IF('To Order'!$A1273=COL"&amp;"UMNS($A1273:E1292), E1272&amp;RIGHT(INDIRECT(ADDRESS(ROW(E1273)-1, 'From Order'!$A1273)), 1), E1272))"),"D")</f>
        <v>D</v>
      </c>
      <c r="F1273" s="2" t="str">
        <f>IFERROR(__xludf.DUMMYFUNCTION("IF('From Order'!$A1273=COLUMNS($A1273:F1292), LEFT(INDEX(FILTER(F$1:F1272, F$1:F1272&lt;&gt;""""),COUNTA(FILTER(F$1:F1272, F$1:F1272&lt;&gt;""""))), LEN(INDEX(FILTER(F$1:F1272, F$1:F1272&lt;&gt;""""),COUNTA(FILTER(F$1:F1272, F$1:F1272&lt;&gt;""""))))-1), IF('To Order'!$A1273=COL"&amp;"UMNS($A1273:F1292), F1272&amp;RIGHT(INDIRECT(ADDRESS(ROW(F1273)-1, 'From Order'!$A1273)), 1), F1272))"),"BS")</f>
        <v>BS</v>
      </c>
      <c r="G1273" s="2" t="str">
        <f>IFERROR(__xludf.DUMMYFUNCTION("IF('From Order'!$A1273=COLUMNS($A1273:G1292), LEFT(INDEX(FILTER(G$1:G1272, G$1:G1272&lt;&gt;""""),COUNTA(FILTER(G$1:G1272, G$1:G1272&lt;&gt;""""))), LEN(INDEX(FILTER(G$1:G1272, G$1:G1272&lt;&gt;""""),COUNTA(FILTER(G$1:G1272, G$1:G1272&lt;&gt;""""))))-1), IF('To Order'!$A1273=COL"&amp;"UMNS($A1273:G1292), G1272&amp;RIGHT(INDIRECT(ADDRESS(ROW(G1273)-1, 'From Order'!$A1273)), 1), G1272))"),"WRMTCRCDRZCJTBFMDJD")</f>
        <v>WRMTCRCDRZCJTBFMDJD</v>
      </c>
      <c r="H1273" s="2" t="str">
        <f>IFERROR(__xludf.DUMMYFUNCTION("IF('From Order'!$A1273=COLUMNS($A1273:H1292), LEFT(INDEX(FILTER(H$1:H1272, H$1:H1272&lt;&gt;""""),COUNTA(FILTER(H$1:H1272, H$1:H1272&lt;&gt;""""))), LEN(INDEX(FILTER(H$1:H1272, H$1:H1272&lt;&gt;""""),COUNTA(FILTER(H$1:H1272, H$1:H1272&lt;&gt;""""))))-1), IF('To Order'!$A1273=COL"&amp;"UMNS($A1273:H1292), H1272&amp;RIGHT(INDIRECT(ADDRESS(ROW(H1273)-1, 'From Order'!$A1273)), 1), H1272))"),"")</f>
        <v/>
      </c>
      <c r="I1273" s="2" t="str">
        <f>IFERROR(__xludf.DUMMYFUNCTION("IF('From Order'!$A1273=COLUMNS($A1273:I1292), LEFT(INDEX(FILTER(I$1:I1272, I$1:I1272&lt;&gt;""""),COUNTA(FILTER(I$1:I1272, I$1:I1272&lt;&gt;""""))), LEN(INDEX(FILTER(I$1:I1272, I$1:I1272&lt;&gt;""""),COUNTA(FILTER(I$1:I1272, I$1:I1272&lt;&gt;""""))))-1), IF('To Order'!$A1273=COL"&amp;"UMNS($A1273:I1292), I1272&amp;RIGHT(INDIRECT(ADDRESS(ROW(I1273)-1, 'From Order'!$A1273)), 1), I1272))"),"SFV")</f>
        <v>SFV</v>
      </c>
    </row>
    <row r="1274">
      <c r="A1274" s="2" t="str">
        <f>IFERROR(__xludf.DUMMYFUNCTION("IF('From Order'!$A1274=COLUMNS($A1274:A1293), LEFT(INDEX(FILTER(A$1:A1273, A$1:A1273&lt;&gt;""""),COUNTA(FILTER(A$1:A1273, A$1:A1273&lt;&gt;""""))), LEN(INDEX(FILTER(A$1:A1273, A$1:A1273&lt;&gt;""""),COUNTA(FILTER(A$1:A1273, A$1:A1273&lt;&gt;""""))))-1), IF('To Order'!$A1274=COL"&amp;"UMNS($A1274:A1293), A1273&amp;RIGHT(INDIRECT(ADDRESS(ROW(A1274)-1, 'From Order'!$A1274)), 1), A1273))"),"HZB")</f>
        <v>HZB</v>
      </c>
      <c r="B1274" s="2" t="str">
        <f>IFERROR(__xludf.DUMMYFUNCTION("IF('From Order'!$A1274=COLUMNS($A1274:B1293), LEFT(INDEX(FILTER(B$1:B1273, B$1:B1273&lt;&gt;""""),COUNTA(FILTER(B$1:B1273, B$1:B1273&lt;&gt;""""))), LEN(INDEX(FILTER(B$1:B1273, B$1:B1273&lt;&gt;""""),COUNTA(FILTER(B$1:B1273, B$1:B1273&lt;&gt;""""))))-1), IF('To Order'!$A1274=COL"&amp;"UMNS($A1274:B1293), B1273&amp;RIGHT(INDIRECT(ADDRESS(ROW(B1274)-1, 'From Order'!$A1274)), 1), B1273))"),"ZL")</f>
        <v>ZL</v>
      </c>
      <c r="C1274" s="2" t="str">
        <f>IFERROR(__xludf.DUMMYFUNCTION("IF('From Order'!$A1274=COLUMNS($A1274:C1293), LEFT(INDEX(FILTER(C$1:C1273, C$1:C1273&lt;&gt;""""),COUNTA(FILTER(C$1:C1273, C$1:C1273&lt;&gt;""""))), LEN(INDEX(FILTER(C$1:C1273, C$1:C1273&lt;&gt;""""),COUNTA(FILTER(C$1:C1273, C$1:C1273&lt;&gt;""""))))-1), IF('To Order'!$A1274=COL"&amp;"UMNS($A1274:C1293), C1273&amp;RIGHT(INDIRECT(ADDRESS(ROW(C1274)-1, 'From Order'!$A1274)), 1), C1273))"),"TRLRSGHWQVQJPPLDTMGB")</f>
        <v>TRLRSGHWQVQJPPLDTMGB</v>
      </c>
      <c r="D1274" s="2" t="str">
        <f>IFERROR(__xludf.DUMMYFUNCTION("IF('From Order'!$A1274=COLUMNS($A1274:D1293), LEFT(INDEX(FILTER(D$1:D1273, D$1:D1273&lt;&gt;""""),COUNTA(FILTER(D$1:D1273, D$1:D1273&lt;&gt;""""))), LEN(INDEX(FILTER(D$1:D1273, D$1:D1273&lt;&gt;""""),COUNTA(FILTER(D$1:D1273, D$1:D1273&lt;&gt;""""))))-1), IF('To Order'!$A1274=COL"&amp;"UMNS($A1274:D1293), D1273&amp;RIGHT(INDIRECT(ADDRESS(ROW(D1274)-1, 'From Order'!$A1274)), 1), D1273))"),"PTDVSTV")</f>
        <v>PTDVSTV</v>
      </c>
      <c r="E1274" s="2" t="str">
        <f>IFERROR(__xludf.DUMMYFUNCTION("IF('From Order'!$A1274=COLUMNS($A1274:E1293), LEFT(INDEX(FILTER(E$1:E1273, E$1:E1273&lt;&gt;""""),COUNTA(FILTER(E$1:E1273, E$1:E1273&lt;&gt;""""))), LEN(INDEX(FILTER(E$1:E1273, E$1:E1273&lt;&gt;""""),COUNTA(FILTER(E$1:E1273, E$1:E1273&lt;&gt;""""))))-1), IF('To Order'!$A1274=COL"&amp;"UMNS($A1274:E1293), E1273&amp;RIGHT(INDIRECT(ADDRESS(ROW(E1274)-1, 'From Order'!$A1274)), 1), E1273))"),"D")</f>
        <v>D</v>
      </c>
      <c r="F1274" s="2" t="str">
        <f>IFERROR(__xludf.DUMMYFUNCTION("IF('From Order'!$A1274=COLUMNS($A1274:F1293), LEFT(INDEX(FILTER(F$1:F1273, F$1:F1273&lt;&gt;""""),COUNTA(FILTER(F$1:F1273, F$1:F1273&lt;&gt;""""))), LEN(INDEX(FILTER(F$1:F1273, F$1:F1273&lt;&gt;""""),COUNTA(FILTER(F$1:F1273, F$1:F1273&lt;&gt;""""))))-1), IF('To Order'!$A1274=COL"&amp;"UMNS($A1274:F1293), F1273&amp;RIGHT(INDIRECT(ADDRESS(ROW(F1274)-1, 'From Order'!$A1274)), 1), F1273))"),"BS")</f>
        <v>BS</v>
      </c>
      <c r="G1274" s="2" t="str">
        <f>IFERROR(__xludf.DUMMYFUNCTION("IF('From Order'!$A1274=COLUMNS($A1274:G1293), LEFT(INDEX(FILTER(G$1:G1273, G$1:G1273&lt;&gt;""""),COUNTA(FILTER(G$1:G1273, G$1:G1273&lt;&gt;""""))), LEN(INDEX(FILTER(G$1:G1273, G$1:G1273&lt;&gt;""""),COUNTA(FILTER(G$1:G1273, G$1:G1273&lt;&gt;""""))))-1), IF('To Order'!$A1274=COL"&amp;"UMNS($A1274:G1293), G1273&amp;RIGHT(INDIRECT(ADDRESS(ROW(G1274)-1, 'From Order'!$A1274)), 1), G1273))"),"WRMTCRCDRZCJTBFMDJD")</f>
        <v>WRMTCRCDRZCJTBFMDJD</v>
      </c>
      <c r="H1274" s="2" t="str">
        <f>IFERROR(__xludf.DUMMYFUNCTION("IF('From Order'!$A1274=COLUMNS($A1274:H1293), LEFT(INDEX(FILTER(H$1:H1273, H$1:H1273&lt;&gt;""""),COUNTA(FILTER(H$1:H1273, H$1:H1273&lt;&gt;""""))), LEN(INDEX(FILTER(H$1:H1273, H$1:H1273&lt;&gt;""""),COUNTA(FILTER(H$1:H1273, H$1:H1273&lt;&gt;""""))))-1), IF('To Order'!$A1274=COL"&amp;"UMNS($A1274:H1293), H1273&amp;RIGHT(INDIRECT(ADDRESS(ROW(H1274)-1, 'From Order'!$A1274)), 1), H1273))"),"")</f>
        <v/>
      </c>
      <c r="I1274" s="2" t="str">
        <f>IFERROR(__xludf.DUMMYFUNCTION("IF('From Order'!$A1274=COLUMNS($A1274:I1293), LEFT(INDEX(FILTER(I$1:I1273, I$1:I1273&lt;&gt;""""),COUNTA(FILTER(I$1:I1273, I$1:I1273&lt;&gt;""""))), LEN(INDEX(FILTER(I$1:I1273, I$1:I1273&lt;&gt;""""),COUNTA(FILTER(I$1:I1273, I$1:I1273&lt;&gt;""""))))-1), IF('To Order'!$A1274=COL"&amp;"UMNS($A1274:I1293), I1273&amp;RIGHT(INDIRECT(ADDRESS(ROW(I1274)-1, 'From Order'!$A1274)), 1), I1273))"),"SF")</f>
        <v>SF</v>
      </c>
    </row>
    <row r="1275">
      <c r="A1275" s="2" t="str">
        <f>IFERROR(__xludf.DUMMYFUNCTION("IF('From Order'!$A1275=COLUMNS($A1275:A1294), LEFT(INDEX(FILTER(A$1:A1274, A$1:A1274&lt;&gt;""""),COUNTA(FILTER(A$1:A1274, A$1:A1274&lt;&gt;""""))), LEN(INDEX(FILTER(A$1:A1274, A$1:A1274&lt;&gt;""""),COUNTA(FILTER(A$1:A1274, A$1:A1274&lt;&gt;""""))))-1), IF('To Order'!$A1275=COL"&amp;"UMNS($A1275:A1294), A1274&amp;RIGHT(INDIRECT(ADDRESS(ROW(A1275)-1, 'From Order'!$A1275)), 1), A1274))"),"HZB")</f>
        <v>HZB</v>
      </c>
      <c r="B1275" s="2" t="str">
        <f>IFERROR(__xludf.DUMMYFUNCTION("IF('From Order'!$A1275=COLUMNS($A1275:B1294), LEFT(INDEX(FILTER(B$1:B1274, B$1:B1274&lt;&gt;""""),COUNTA(FILTER(B$1:B1274, B$1:B1274&lt;&gt;""""))), LEN(INDEX(FILTER(B$1:B1274, B$1:B1274&lt;&gt;""""),COUNTA(FILTER(B$1:B1274, B$1:B1274&lt;&gt;""""))))-1), IF('To Order'!$A1275=COL"&amp;"UMNS($A1275:B1294), B1274&amp;RIGHT(INDIRECT(ADDRESS(ROW(B1275)-1, 'From Order'!$A1275)), 1), B1274))"),"ZL")</f>
        <v>ZL</v>
      </c>
      <c r="C1275" s="2" t="str">
        <f>IFERROR(__xludf.DUMMYFUNCTION("IF('From Order'!$A1275=COLUMNS($A1275:C1294), LEFT(INDEX(FILTER(C$1:C1274, C$1:C1274&lt;&gt;""""),COUNTA(FILTER(C$1:C1274, C$1:C1274&lt;&gt;""""))), LEN(INDEX(FILTER(C$1:C1274, C$1:C1274&lt;&gt;""""),COUNTA(FILTER(C$1:C1274, C$1:C1274&lt;&gt;""""))))-1), IF('To Order'!$A1275=COL"&amp;"UMNS($A1275:C1294), C1274&amp;RIGHT(INDIRECT(ADDRESS(ROW(C1275)-1, 'From Order'!$A1275)), 1), C1274))"),"TRLRSGHWQVQJPPLDTMGB")</f>
        <v>TRLRSGHWQVQJPPLDTMGB</v>
      </c>
      <c r="D1275" s="2" t="str">
        <f>IFERROR(__xludf.DUMMYFUNCTION("IF('From Order'!$A1275=COLUMNS($A1275:D1294), LEFT(INDEX(FILTER(D$1:D1274, D$1:D1274&lt;&gt;""""),COUNTA(FILTER(D$1:D1274, D$1:D1274&lt;&gt;""""))), LEN(INDEX(FILTER(D$1:D1274, D$1:D1274&lt;&gt;""""),COUNTA(FILTER(D$1:D1274, D$1:D1274&lt;&gt;""""))))-1), IF('To Order'!$A1275=COL"&amp;"UMNS($A1275:D1294), D1274&amp;RIGHT(INDIRECT(ADDRESS(ROW(D1275)-1, 'From Order'!$A1275)), 1), D1274))"),"PTDVSTVF")</f>
        <v>PTDVSTVF</v>
      </c>
      <c r="E1275" s="2" t="str">
        <f>IFERROR(__xludf.DUMMYFUNCTION("IF('From Order'!$A1275=COLUMNS($A1275:E1294), LEFT(INDEX(FILTER(E$1:E1274, E$1:E1274&lt;&gt;""""),COUNTA(FILTER(E$1:E1274, E$1:E1274&lt;&gt;""""))), LEN(INDEX(FILTER(E$1:E1274, E$1:E1274&lt;&gt;""""),COUNTA(FILTER(E$1:E1274, E$1:E1274&lt;&gt;""""))))-1), IF('To Order'!$A1275=COL"&amp;"UMNS($A1275:E1294), E1274&amp;RIGHT(INDIRECT(ADDRESS(ROW(E1275)-1, 'From Order'!$A1275)), 1), E1274))"),"D")</f>
        <v>D</v>
      </c>
      <c r="F1275" s="2" t="str">
        <f>IFERROR(__xludf.DUMMYFUNCTION("IF('From Order'!$A1275=COLUMNS($A1275:F1294), LEFT(INDEX(FILTER(F$1:F1274, F$1:F1274&lt;&gt;""""),COUNTA(FILTER(F$1:F1274, F$1:F1274&lt;&gt;""""))), LEN(INDEX(FILTER(F$1:F1274, F$1:F1274&lt;&gt;""""),COUNTA(FILTER(F$1:F1274, F$1:F1274&lt;&gt;""""))))-1), IF('To Order'!$A1275=COL"&amp;"UMNS($A1275:F1294), F1274&amp;RIGHT(INDIRECT(ADDRESS(ROW(F1275)-1, 'From Order'!$A1275)), 1), F1274))"),"BS")</f>
        <v>BS</v>
      </c>
      <c r="G1275" s="2" t="str">
        <f>IFERROR(__xludf.DUMMYFUNCTION("IF('From Order'!$A1275=COLUMNS($A1275:G1294), LEFT(INDEX(FILTER(G$1:G1274, G$1:G1274&lt;&gt;""""),COUNTA(FILTER(G$1:G1274, G$1:G1274&lt;&gt;""""))), LEN(INDEX(FILTER(G$1:G1274, G$1:G1274&lt;&gt;""""),COUNTA(FILTER(G$1:G1274, G$1:G1274&lt;&gt;""""))))-1), IF('To Order'!$A1275=COL"&amp;"UMNS($A1275:G1294), G1274&amp;RIGHT(INDIRECT(ADDRESS(ROW(G1275)-1, 'From Order'!$A1275)), 1), G1274))"),"WRMTCRCDRZCJTBFMDJD")</f>
        <v>WRMTCRCDRZCJTBFMDJD</v>
      </c>
      <c r="H1275" s="2" t="str">
        <f>IFERROR(__xludf.DUMMYFUNCTION("IF('From Order'!$A1275=COLUMNS($A1275:H1294), LEFT(INDEX(FILTER(H$1:H1274, H$1:H1274&lt;&gt;""""),COUNTA(FILTER(H$1:H1274, H$1:H1274&lt;&gt;""""))), LEN(INDEX(FILTER(H$1:H1274, H$1:H1274&lt;&gt;""""),COUNTA(FILTER(H$1:H1274, H$1:H1274&lt;&gt;""""))))-1), IF('To Order'!$A1275=COL"&amp;"UMNS($A1275:H1294), H1274&amp;RIGHT(INDIRECT(ADDRESS(ROW(H1275)-1, 'From Order'!$A1275)), 1), H1274))"),"")</f>
        <v/>
      </c>
      <c r="I1275" s="2" t="str">
        <f>IFERROR(__xludf.DUMMYFUNCTION("IF('From Order'!$A1275=COLUMNS($A1275:I1294), LEFT(INDEX(FILTER(I$1:I1274, I$1:I1274&lt;&gt;""""),COUNTA(FILTER(I$1:I1274, I$1:I1274&lt;&gt;""""))), LEN(INDEX(FILTER(I$1:I1274, I$1:I1274&lt;&gt;""""),COUNTA(FILTER(I$1:I1274, I$1:I1274&lt;&gt;""""))))-1), IF('To Order'!$A1275=COL"&amp;"UMNS($A1275:I1294), I1274&amp;RIGHT(INDIRECT(ADDRESS(ROW(I1275)-1, 'From Order'!$A1275)), 1), I1274))"),"S")</f>
        <v>S</v>
      </c>
    </row>
    <row r="1276">
      <c r="A1276" s="2" t="str">
        <f>IFERROR(__xludf.DUMMYFUNCTION("IF('From Order'!$A1276=COLUMNS($A1276:A1295), LEFT(INDEX(FILTER(A$1:A1275, A$1:A1275&lt;&gt;""""),COUNTA(FILTER(A$1:A1275, A$1:A1275&lt;&gt;""""))), LEN(INDEX(FILTER(A$1:A1275, A$1:A1275&lt;&gt;""""),COUNTA(FILTER(A$1:A1275, A$1:A1275&lt;&gt;""""))))-1), IF('To Order'!$A1276=COL"&amp;"UMNS($A1276:A1295), A1275&amp;RIGHT(INDIRECT(ADDRESS(ROW(A1276)-1, 'From Order'!$A1276)), 1), A1275))"),"HZB")</f>
        <v>HZB</v>
      </c>
      <c r="B1276" s="2" t="str">
        <f>IFERROR(__xludf.DUMMYFUNCTION("IF('From Order'!$A1276=COLUMNS($A1276:B1295), LEFT(INDEX(FILTER(B$1:B1275, B$1:B1275&lt;&gt;""""),COUNTA(FILTER(B$1:B1275, B$1:B1275&lt;&gt;""""))), LEN(INDEX(FILTER(B$1:B1275, B$1:B1275&lt;&gt;""""),COUNTA(FILTER(B$1:B1275, B$1:B1275&lt;&gt;""""))))-1), IF('To Order'!$A1276=COL"&amp;"UMNS($A1276:B1295), B1275&amp;RIGHT(INDIRECT(ADDRESS(ROW(B1276)-1, 'From Order'!$A1276)), 1), B1275))"),"ZL")</f>
        <v>ZL</v>
      </c>
      <c r="C1276" s="2" t="str">
        <f>IFERROR(__xludf.DUMMYFUNCTION("IF('From Order'!$A1276=COLUMNS($A1276:C1295), LEFT(INDEX(FILTER(C$1:C1275, C$1:C1275&lt;&gt;""""),COUNTA(FILTER(C$1:C1275, C$1:C1275&lt;&gt;""""))), LEN(INDEX(FILTER(C$1:C1275, C$1:C1275&lt;&gt;""""),COUNTA(FILTER(C$1:C1275, C$1:C1275&lt;&gt;""""))))-1), IF('To Order'!$A1276=COL"&amp;"UMNS($A1276:C1295), C1275&amp;RIGHT(INDIRECT(ADDRESS(ROW(C1276)-1, 'From Order'!$A1276)), 1), C1275))"),"TRLRSGHWQVQJPPLDTMGB")</f>
        <v>TRLRSGHWQVQJPPLDTMGB</v>
      </c>
      <c r="D1276" s="2" t="str">
        <f>IFERROR(__xludf.DUMMYFUNCTION("IF('From Order'!$A1276=COLUMNS($A1276:D1295), LEFT(INDEX(FILTER(D$1:D1275, D$1:D1275&lt;&gt;""""),COUNTA(FILTER(D$1:D1275, D$1:D1275&lt;&gt;""""))), LEN(INDEX(FILTER(D$1:D1275, D$1:D1275&lt;&gt;""""),COUNTA(FILTER(D$1:D1275, D$1:D1275&lt;&gt;""""))))-1), IF('To Order'!$A1276=COL"&amp;"UMNS($A1276:D1295), D1275&amp;RIGHT(INDIRECT(ADDRESS(ROW(D1276)-1, 'From Order'!$A1276)), 1), D1275))"),"PTDVSTVFS")</f>
        <v>PTDVSTVFS</v>
      </c>
      <c r="E1276" s="2" t="str">
        <f>IFERROR(__xludf.DUMMYFUNCTION("IF('From Order'!$A1276=COLUMNS($A1276:E1295), LEFT(INDEX(FILTER(E$1:E1275, E$1:E1275&lt;&gt;""""),COUNTA(FILTER(E$1:E1275, E$1:E1275&lt;&gt;""""))), LEN(INDEX(FILTER(E$1:E1275, E$1:E1275&lt;&gt;""""),COUNTA(FILTER(E$1:E1275, E$1:E1275&lt;&gt;""""))))-1), IF('To Order'!$A1276=COL"&amp;"UMNS($A1276:E1295), E1275&amp;RIGHT(INDIRECT(ADDRESS(ROW(E1276)-1, 'From Order'!$A1276)), 1), E1275))"),"D")</f>
        <v>D</v>
      </c>
      <c r="F1276" s="2" t="str">
        <f>IFERROR(__xludf.DUMMYFUNCTION("IF('From Order'!$A1276=COLUMNS($A1276:F1295), LEFT(INDEX(FILTER(F$1:F1275, F$1:F1275&lt;&gt;""""),COUNTA(FILTER(F$1:F1275, F$1:F1275&lt;&gt;""""))), LEN(INDEX(FILTER(F$1:F1275, F$1:F1275&lt;&gt;""""),COUNTA(FILTER(F$1:F1275, F$1:F1275&lt;&gt;""""))))-1), IF('To Order'!$A1276=COL"&amp;"UMNS($A1276:F1295), F1275&amp;RIGHT(INDIRECT(ADDRESS(ROW(F1276)-1, 'From Order'!$A1276)), 1), F1275))"),"BS")</f>
        <v>BS</v>
      </c>
      <c r="G1276" s="2" t="str">
        <f>IFERROR(__xludf.DUMMYFUNCTION("IF('From Order'!$A1276=COLUMNS($A1276:G1295), LEFT(INDEX(FILTER(G$1:G1275, G$1:G1275&lt;&gt;""""),COUNTA(FILTER(G$1:G1275, G$1:G1275&lt;&gt;""""))), LEN(INDEX(FILTER(G$1:G1275, G$1:G1275&lt;&gt;""""),COUNTA(FILTER(G$1:G1275, G$1:G1275&lt;&gt;""""))))-1), IF('To Order'!$A1276=COL"&amp;"UMNS($A1276:G1295), G1275&amp;RIGHT(INDIRECT(ADDRESS(ROW(G1276)-1, 'From Order'!$A1276)), 1), G1275))"),"WRMTCRCDRZCJTBFMDJD")</f>
        <v>WRMTCRCDRZCJTBFMDJD</v>
      </c>
      <c r="H1276" s="2" t="str">
        <f>IFERROR(__xludf.DUMMYFUNCTION("IF('From Order'!$A1276=COLUMNS($A1276:H1295), LEFT(INDEX(FILTER(H$1:H1275, H$1:H1275&lt;&gt;""""),COUNTA(FILTER(H$1:H1275, H$1:H1275&lt;&gt;""""))), LEN(INDEX(FILTER(H$1:H1275, H$1:H1275&lt;&gt;""""),COUNTA(FILTER(H$1:H1275, H$1:H1275&lt;&gt;""""))))-1), IF('To Order'!$A1276=COL"&amp;"UMNS($A1276:H1295), H1275&amp;RIGHT(INDIRECT(ADDRESS(ROW(H1276)-1, 'From Order'!$A1276)), 1), H1275))"),"")</f>
        <v/>
      </c>
      <c r="I1276" s="2" t="str">
        <f>IFERROR(__xludf.DUMMYFUNCTION("IF('From Order'!$A1276=COLUMNS($A1276:I1295), LEFT(INDEX(FILTER(I$1:I1275, I$1:I1275&lt;&gt;""""),COUNTA(FILTER(I$1:I1275, I$1:I1275&lt;&gt;""""))), LEN(INDEX(FILTER(I$1:I1275, I$1:I1275&lt;&gt;""""),COUNTA(FILTER(I$1:I1275, I$1:I1275&lt;&gt;""""))))-1), IF('To Order'!$A1276=COL"&amp;"UMNS($A1276:I1295), I1275&amp;RIGHT(INDIRECT(ADDRESS(ROW(I1276)-1, 'From Order'!$A1276)), 1), I1275))"),"")</f>
        <v/>
      </c>
    </row>
    <row r="1277">
      <c r="A1277" s="2" t="str">
        <f>IFERROR(__xludf.DUMMYFUNCTION("IF('From Order'!$A1277=COLUMNS($A1277:A1296), LEFT(INDEX(FILTER(A$1:A1276, A$1:A1276&lt;&gt;""""),COUNTA(FILTER(A$1:A1276, A$1:A1276&lt;&gt;""""))), LEN(INDEX(FILTER(A$1:A1276, A$1:A1276&lt;&gt;""""),COUNTA(FILTER(A$1:A1276, A$1:A1276&lt;&gt;""""))))-1), IF('To Order'!$A1277=COL"&amp;"UMNS($A1277:A1296), A1276&amp;RIGHT(INDIRECT(ADDRESS(ROW(A1277)-1, 'From Order'!$A1277)), 1), A1276))"),"HZB")</f>
        <v>HZB</v>
      </c>
      <c r="B1277" s="2" t="str">
        <f>IFERROR(__xludf.DUMMYFUNCTION("IF('From Order'!$A1277=COLUMNS($A1277:B1296), LEFT(INDEX(FILTER(B$1:B1276, B$1:B1276&lt;&gt;""""),COUNTA(FILTER(B$1:B1276, B$1:B1276&lt;&gt;""""))), LEN(INDEX(FILTER(B$1:B1276, B$1:B1276&lt;&gt;""""),COUNTA(FILTER(B$1:B1276, B$1:B1276&lt;&gt;""""))))-1), IF('To Order'!$A1277=COL"&amp;"UMNS($A1277:B1296), B1276&amp;RIGHT(INDIRECT(ADDRESS(ROW(B1277)-1, 'From Order'!$A1277)), 1), B1276))"),"ZL")</f>
        <v>ZL</v>
      </c>
      <c r="C1277" s="2" t="str">
        <f>IFERROR(__xludf.DUMMYFUNCTION("IF('From Order'!$A1277=COLUMNS($A1277:C1296), LEFT(INDEX(FILTER(C$1:C1276, C$1:C1276&lt;&gt;""""),COUNTA(FILTER(C$1:C1276, C$1:C1276&lt;&gt;""""))), LEN(INDEX(FILTER(C$1:C1276, C$1:C1276&lt;&gt;""""),COUNTA(FILTER(C$1:C1276, C$1:C1276&lt;&gt;""""))))-1), IF('To Order'!$A1277=COL"&amp;"UMNS($A1277:C1296), C1276&amp;RIGHT(INDIRECT(ADDRESS(ROW(C1277)-1, 'From Order'!$A1277)), 1), C1276))"),"TRLRSGHWQVQJPPLDTMGBS")</f>
        <v>TRLRSGHWQVQJPPLDTMGBS</v>
      </c>
      <c r="D1277" s="2" t="str">
        <f>IFERROR(__xludf.DUMMYFUNCTION("IF('From Order'!$A1277=COLUMNS($A1277:D1296), LEFT(INDEX(FILTER(D$1:D1276, D$1:D1276&lt;&gt;""""),COUNTA(FILTER(D$1:D1276, D$1:D1276&lt;&gt;""""))), LEN(INDEX(FILTER(D$1:D1276, D$1:D1276&lt;&gt;""""),COUNTA(FILTER(D$1:D1276, D$1:D1276&lt;&gt;""""))))-1), IF('To Order'!$A1277=COL"&amp;"UMNS($A1277:D1296), D1276&amp;RIGHT(INDIRECT(ADDRESS(ROW(D1277)-1, 'From Order'!$A1277)), 1), D1276))"),"PTDVSTVFS")</f>
        <v>PTDVSTVFS</v>
      </c>
      <c r="E1277" s="2" t="str">
        <f>IFERROR(__xludf.DUMMYFUNCTION("IF('From Order'!$A1277=COLUMNS($A1277:E1296), LEFT(INDEX(FILTER(E$1:E1276, E$1:E1276&lt;&gt;""""),COUNTA(FILTER(E$1:E1276, E$1:E1276&lt;&gt;""""))), LEN(INDEX(FILTER(E$1:E1276, E$1:E1276&lt;&gt;""""),COUNTA(FILTER(E$1:E1276, E$1:E1276&lt;&gt;""""))))-1), IF('To Order'!$A1277=COL"&amp;"UMNS($A1277:E1296), E1276&amp;RIGHT(INDIRECT(ADDRESS(ROW(E1277)-1, 'From Order'!$A1277)), 1), E1276))"),"D")</f>
        <v>D</v>
      </c>
      <c r="F1277" s="2" t="str">
        <f>IFERROR(__xludf.DUMMYFUNCTION("IF('From Order'!$A1277=COLUMNS($A1277:F1296), LEFT(INDEX(FILTER(F$1:F1276, F$1:F1276&lt;&gt;""""),COUNTA(FILTER(F$1:F1276, F$1:F1276&lt;&gt;""""))), LEN(INDEX(FILTER(F$1:F1276, F$1:F1276&lt;&gt;""""),COUNTA(FILTER(F$1:F1276, F$1:F1276&lt;&gt;""""))))-1), IF('To Order'!$A1277=COL"&amp;"UMNS($A1277:F1296), F1276&amp;RIGHT(INDIRECT(ADDRESS(ROW(F1277)-1, 'From Order'!$A1277)), 1), F1276))"),"B")</f>
        <v>B</v>
      </c>
      <c r="G1277" s="2" t="str">
        <f>IFERROR(__xludf.DUMMYFUNCTION("IF('From Order'!$A1277=COLUMNS($A1277:G1296), LEFT(INDEX(FILTER(G$1:G1276, G$1:G1276&lt;&gt;""""),COUNTA(FILTER(G$1:G1276, G$1:G1276&lt;&gt;""""))), LEN(INDEX(FILTER(G$1:G1276, G$1:G1276&lt;&gt;""""),COUNTA(FILTER(G$1:G1276, G$1:G1276&lt;&gt;""""))))-1), IF('To Order'!$A1277=COL"&amp;"UMNS($A1277:G1296), G1276&amp;RIGHT(INDIRECT(ADDRESS(ROW(G1277)-1, 'From Order'!$A1277)), 1), G1276))"),"WRMTCRCDRZCJTBFMDJD")</f>
        <v>WRMTCRCDRZCJTBFMDJD</v>
      </c>
      <c r="H1277" s="2" t="str">
        <f>IFERROR(__xludf.DUMMYFUNCTION("IF('From Order'!$A1277=COLUMNS($A1277:H1296), LEFT(INDEX(FILTER(H$1:H1276, H$1:H1276&lt;&gt;""""),COUNTA(FILTER(H$1:H1276, H$1:H1276&lt;&gt;""""))), LEN(INDEX(FILTER(H$1:H1276, H$1:H1276&lt;&gt;""""),COUNTA(FILTER(H$1:H1276, H$1:H1276&lt;&gt;""""))))-1), IF('To Order'!$A1277=COL"&amp;"UMNS($A1277:H1296), H1276&amp;RIGHT(INDIRECT(ADDRESS(ROW(H1277)-1, 'From Order'!$A1277)), 1), H1276))"),"")</f>
        <v/>
      </c>
      <c r="I1277" s="2" t="str">
        <f>IFERROR(__xludf.DUMMYFUNCTION("IF('From Order'!$A1277=COLUMNS($A1277:I1296), LEFT(INDEX(FILTER(I$1:I1276, I$1:I1276&lt;&gt;""""),COUNTA(FILTER(I$1:I1276, I$1:I1276&lt;&gt;""""))), LEN(INDEX(FILTER(I$1:I1276, I$1:I1276&lt;&gt;""""),COUNTA(FILTER(I$1:I1276, I$1:I1276&lt;&gt;""""))))-1), IF('To Order'!$A1277=COL"&amp;"UMNS($A1277:I1296), I1276&amp;RIGHT(INDIRECT(ADDRESS(ROW(I1277)-1, 'From Order'!$A1277)), 1), I1276))"),"")</f>
        <v/>
      </c>
    </row>
    <row r="1278">
      <c r="A1278" s="2" t="str">
        <f>IFERROR(__xludf.DUMMYFUNCTION("IF('From Order'!$A1278=COLUMNS($A1278:A1297), LEFT(INDEX(FILTER(A$1:A1277, A$1:A1277&lt;&gt;""""),COUNTA(FILTER(A$1:A1277, A$1:A1277&lt;&gt;""""))), LEN(INDEX(FILTER(A$1:A1277, A$1:A1277&lt;&gt;""""),COUNTA(FILTER(A$1:A1277, A$1:A1277&lt;&gt;""""))))-1), IF('To Order'!$A1278=COL"&amp;"UMNS($A1278:A1297), A1277&amp;RIGHT(INDIRECT(ADDRESS(ROW(A1278)-1, 'From Order'!$A1278)), 1), A1277))"),"HZB")</f>
        <v>HZB</v>
      </c>
      <c r="B1278" s="2" t="str">
        <f>IFERROR(__xludf.DUMMYFUNCTION("IF('From Order'!$A1278=COLUMNS($A1278:B1297), LEFT(INDEX(FILTER(B$1:B1277, B$1:B1277&lt;&gt;""""),COUNTA(FILTER(B$1:B1277, B$1:B1277&lt;&gt;""""))), LEN(INDEX(FILTER(B$1:B1277, B$1:B1277&lt;&gt;""""),COUNTA(FILTER(B$1:B1277, B$1:B1277&lt;&gt;""""))))-1), IF('To Order'!$A1278=COL"&amp;"UMNS($A1278:B1297), B1277&amp;RIGHT(INDIRECT(ADDRESS(ROW(B1278)-1, 'From Order'!$A1278)), 1), B1277))"),"Z")</f>
        <v>Z</v>
      </c>
      <c r="C1278" s="2" t="str">
        <f>IFERROR(__xludf.DUMMYFUNCTION("IF('From Order'!$A1278=COLUMNS($A1278:C1297), LEFT(INDEX(FILTER(C$1:C1277, C$1:C1277&lt;&gt;""""),COUNTA(FILTER(C$1:C1277, C$1:C1277&lt;&gt;""""))), LEN(INDEX(FILTER(C$1:C1277, C$1:C1277&lt;&gt;""""),COUNTA(FILTER(C$1:C1277, C$1:C1277&lt;&gt;""""))))-1), IF('To Order'!$A1278=COL"&amp;"UMNS($A1278:C1297), C1277&amp;RIGHT(INDIRECT(ADDRESS(ROW(C1278)-1, 'From Order'!$A1278)), 1), C1277))"),"TRLRSGHWQVQJPPLDTMGBS")</f>
        <v>TRLRSGHWQVQJPPLDTMGBS</v>
      </c>
      <c r="D1278" s="2" t="str">
        <f>IFERROR(__xludf.DUMMYFUNCTION("IF('From Order'!$A1278=COLUMNS($A1278:D1297), LEFT(INDEX(FILTER(D$1:D1277, D$1:D1277&lt;&gt;""""),COUNTA(FILTER(D$1:D1277, D$1:D1277&lt;&gt;""""))), LEN(INDEX(FILTER(D$1:D1277, D$1:D1277&lt;&gt;""""),COUNTA(FILTER(D$1:D1277, D$1:D1277&lt;&gt;""""))))-1), IF('To Order'!$A1278=COL"&amp;"UMNS($A1278:D1297), D1277&amp;RIGHT(INDIRECT(ADDRESS(ROW(D1278)-1, 'From Order'!$A1278)), 1), D1277))"),"PTDVSTVFS")</f>
        <v>PTDVSTVFS</v>
      </c>
      <c r="E1278" s="2" t="str">
        <f>IFERROR(__xludf.DUMMYFUNCTION("IF('From Order'!$A1278=COLUMNS($A1278:E1297), LEFT(INDEX(FILTER(E$1:E1277, E$1:E1277&lt;&gt;""""),COUNTA(FILTER(E$1:E1277, E$1:E1277&lt;&gt;""""))), LEN(INDEX(FILTER(E$1:E1277, E$1:E1277&lt;&gt;""""),COUNTA(FILTER(E$1:E1277, E$1:E1277&lt;&gt;""""))))-1), IF('To Order'!$A1278=COL"&amp;"UMNS($A1278:E1297), E1277&amp;RIGHT(INDIRECT(ADDRESS(ROW(E1278)-1, 'From Order'!$A1278)), 1), E1277))"),"D")</f>
        <v>D</v>
      </c>
      <c r="F1278" s="2" t="str">
        <f>IFERROR(__xludf.DUMMYFUNCTION("IF('From Order'!$A1278=COLUMNS($A1278:F1297), LEFT(INDEX(FILTER(F$1:F1277, F$1:F1277&lt;&gt;""""),COUNTA(FILTER(F$1:F1277, F$1:F1277&lt;&gt;""""))), LEN(INDEX(FILTER(F$1:F1277, F$1:F1277&lt;&gt;""""),COUNTA(FILTER(F$1:F1277, F$1:F1277&lt;&gt;""""))))-1), IF('To Order'!$A1278=COL"&amp;"UMNS($A1278:F1297), F1277&amp;RIGHT(INDIRECT(ADDRESS(ROW(F1278)-1, 'From Order'!$A1278)), 1), F1277))"),"BL")</f>
        <v>BL</v>
      </c>
      <c r="G1278" s="2" t="str">
        <f>IFERROR(__xludf.DUMMYFUNCTION("IF('From Order'!$A1278=COLUMNS($A1278:G1297), LEFT(INDEX(FILTER(G$1:G1277, G$1:G1277&lt;&gt;""""),COUNTA(FILTER(G$1:G1277, G$1:G1277&lt;&gt;""""))), LEN(INDEX(FILTER(G$1:G1277, G$1:G1277&lt;&gt;""""),COUNTA(FILTER(G$1:G1277, G$1:G1277&lt;&gt;""""))))-1), IF('To Order'!$A1278=COL"&amp;"UMNS($A1278:G1297), G1277&amp;RIGHT(INDIRECT(ADDRESS(ROW(G1278)-1, 'From Order'!$A1278)), 1), G1277))"),"WRMTCRCDRZCJTBFMDJD")</f>
        <v>WRMTCRCDRZCJTBFMDJD</v>
      </c>
      <c r="H1278" s="2" t="str">
        <f>IFERROR(__xludf.DUMMYFUNCTION("IF('From Order'!$A1278=COLUMNS($A1278:H1297), LEFT(INDEX(FILTER(H$1:H1277, H$1:H1277&lt;&gt;""""),COUNTA(FILTER(H$1:H1277, H$1:H1277&lt;&gt;""""))), LEN(INDEX(FILTER(H$1:H1277, H$1:H1277&lt;&gt;""""),COUNTA(FILTER(H$1:H1277, H$1:H1277&lt;&gt;""""))))-1), IF('To Order'!$A1278=COL"&amp;"UMNS($A1278:H1297), H1277&amp;RIGHT(INDIRECT(ADDRESS(ROW(H1278)-1, 'From Order'!$A1278)), 1), H1277))"),"")</f>
        <v/>
      </c>
      <c r="I1278" s="2" t="str">
        <f>IFERROR(__xludf.DUMMYFUNCTION("IF('From Order'!$A1278=COLUMNS($A1278:I1297), LEFT(INDEX(FILTER(I$1:I1277, I$1:I1277&lt;&gt;""""),COUNTA(FILTER(I$1:I1277, I$1:I1277&lt;&gt;""""))), LEN(INDEX(FILTER(I$1:I1277, I$1:I1277&lt;&gt;""""),COUNTA(FILTER(I$1:I1277, I$1:I1277&lt;&gt;""""))))-1), IF('To Order'!$A1278=COL"&amp;"UMNS($A1278:I1297), I1277&amp;RIGHT(INDIRECT(ADDRESS(ROW(I1278)-1, 'From Order'!$A1278)), 1), I1277))"),"")</f>
        <v/>
      </c>
    </row>
    <row r="1279">
      <c r="A1279" s="2" t="str">
        <f>IFERROR(__xludf.DUMMYFUNCTION("IF('From Order'!$A1279=COLUMNS($A1279:A1298), LEFT(INDEX(FILTER(A$1:A1278, A$1:A1278&lt;&gt;""""),COUNTA(FILTER(A$1:A1278, A$1:A1278&lt;&gt;""""))), LEN(INDEX(FILTER(A$1:A1278, A$1:A1278&lt;&gt;""""),COUNTA(FILTER(A$1:A1278, A$1:A1278&lt;&gt;""""))))-1), IF('To Order'!$A1279=COL"&amp;"UMNS($A1279:A1298), A1278&amp;RIGHT(INDIRECT(ADDRESS(ROW(A1279)-1, 'From Order'!$A1279)), 1), A1278))"),"HZBZ")</f>
        <v>HZBZ</v>
      </c>
      <c r="B1279" s="2" t="str">
        <f>IFERROR(__xludf.DUMMYFUNCTION("IF('From Order'!$A1279=COLUMNS($A1279:B1298), LEFT(INDEX(FILTER(B$1:B1278, B$1:B1278&lt;&gt;""""),COUNTA(FILTER(B$1:B1278, B$1:B1278&lt;&gt;""""))), LEN(INDEX(FILTER(B$1:B1278, B$1:B1278&lt;&gt;""""),COUNTA(FILTER(B$1:B1278, B$1:B1278&lt;&gt;""""))))-1), IF('To Order'!$A1279=COL"&amp;"UMNS($A1279:B1298), B1278&amp;RIGHT(INDIRECT(ADDRESS(ROW(B1279)-1, 'From Order'!$A1279)), 1), B1278))"),"")</f>
        <v/>
      </c>
      <c r="C1279" s="2" t="str">
        <f>IFERROR(__xludf.DUMMYFUNCTION("IF('From Order'!$A1279=COLUMNS($A1279:C1298), LEFT(INDEX(FILTER(C$1:C1278, C$1:C1278&lt;&gt;""""),COUNTA(FILTER(C$1:C1278, C$1:C1278&lt;&gt;""""))), LEN(INDEX(FILTER(C$1:C1278, C$1:C1278&lt;&gt;""""),COUNTA(FILTER(C$1:C1278, C$1:C1278&lt;&gt;""""))))-1), IF('To Order'!$A1279=COL"&amp;"UMNS($A1279:C1298), C1278&amp;RIGHT(INDIRECT(ADDRESS(ROW(C1279)-1, 'From Order'!$A1279)), 1), C1278))"),"TRLRSGHWQVQJPPLDTMGBS")</f>
        <v>TRLRSGHWQVQJPPLDTMGBS</v>
      </c>
      <c r="D1279" s="2" t="str">
        <f>IFERROR(__xludf.DUMMYFUNCTION("IF('From Order'!$A1279=COLUMNS($A1279:D1298), LEFT(INDEX(FILTER(D$1:D1278, D$1:D1278&lt;&gt;""""),COUNTA(FILTER(D$1:D1278, D$1:D1278&lt;&gt;""""))), LEN(INDEX(FILTER(D$1:D1278, D$1:D1278&lt;&gt;""""),COUNTA(FILTER(D$1:D1278, D$1:D1278&lt;&gt;""""))))-1), IF('To Order'!$A1279=COL"&amp;"UMNS($A1279:D1298), D1278&amp;RIGHT(INDIRECT(ADDRESS(ROW(D1279)-1, 'From Order'!$A1279)), 1), D1278))"),"PTDVSTVFS")</f>
        <v>PTDVSTVFS</v>
      </c>
      <c r="E1279" s="2" t="str">
        <f>IFERROR(__xludf.DUMMYFUNCTION("IF('From Order'!$A1279=COLUMNS($A1279:E1298), LEFT(INDEX(FILTER(E$1:E1278, E$1:E1278&lt;&gt;""""),COUNTA(FILTER(E$1:E1278, E$1:E1278&lt;&gt;""""))), LEN(INDEX(FILTER(E$1:E1278, E$1:E1278&lt;&gt;""""),COUNTA(FILTER(E$1:E1278, E$1:E1278&lt;&gt;""""))))-1), IF('To Order'!$A1279=COL"&amp;"UMNS($A1279:E1298), E1278&amp;RIGHT(INDIRECT(ADDRESS(ROW(E1279)-1, 'From Order'!$A1279)), 1), E1278))"),"D")</f>
        <v>D</v>
      </c>
      <c r="F1279" s="2" t="str">
        <f>IFERROR(__xludf.DUMMYFUNCTION("IF('From Order'!$A1279=COLUMNS($A1279:F1298), LEFT(INDEX(FILTER(F$1:F1278, F$1:F1278&lt;&gt;""""),COUNTA(FILTER(F$1:F1278, F$1:F1278&lt;&gt;""""))), LEN(INDEX(FILTER(F$1:F1278, F$1:F1278&lt;&gt;""""),COUNTA(FILTER(F$1:F1278, F$1:F1278&lt;&gt;""""))))-1), IF('To Order'!$A1279=COL"&amp;"UMNS($A1279:F1298), F1278&amp;RIGHT(INDIRECT(ADDRESS(ROW(F1279)-1, 'From Order'!$A1279)), 1), F1278))"),"BL")</f>
        <v>BL</v>
      </c>
      <c r="G1279" s="2" t="str">
        <f>IFERROR(__xludf.DUMMYFUNCTION("IF('From Order'!$A1279=COLUMNS($A1279:G1298), LEFT(INDEX(FILTER(G$1:G1278, G$1:G1278&lt;&gt;""""),COUNTA(FILTER(G$1:G1278, G$1:G1278&lt;&gt;""""))), LEN(INDEX(FILTER(G$1:G1278, G$1:G1278&lt;&gt;""""),COUNTA(FILTER(G$1:G1278, G$1:G1278&lt;&gt;""""))))-1), IF('To Order'!$A1279=COL"&amp;"UMNS($A1279:G1298), G1278&amp;RIGHT(INDIRECT(ADDRESS(ROW(G1279)-1, 'From Order'!$A1279)), 1), G1278))"),"WRMTCRCDRZCJTBFMDJD")</f>
        <v>WRMTCRCDRZCJTBFMDJD</v>
      </c>
      <c r="H1279" s="2" t="str">
        <f>IFERROR(__xludf.DUMMYFUNCTION("IF('From Order'!$A1279=COLUMNS($A1279:H1298), LEFT(INDEX(FILTER(H$1:H1278, H$1:H1278&lt;&gt;""""),COUNTA(FILTER(H$1:H1278, H$1:H1278&lt;&gt;""""))), LEN(INDEX(FILTER(H$1:H1278, H$1:H1278&lt;&gt;""""),COUNTA(FILTER(H$1:H1278, H$1:H1278&lt;&gt;""""))))-1), IF('To Order'!$A1279=COL"&amp;"UMNS($A1279:H1298), H1278&amp;RIGHT(INDIRECT(ADDRESS(ROW(H1279)-1, 'From Order'!$A1279)), 1), H1278))"),"")</f>
        <v/>
      </c>
      <c r="I1279" s="2" t="str">
        <f>IFERROR(__xludf.DUMMYFUNCTION("IF('From Order'!$A1279=COLUMNS($A1279:I1298), LEFT(INDEX(FILTER(I$1:I1278, I$1:I1278&lt;&gt;""""),COUNTA(FILTER(I$1:I1278, I$1:I1278&lt;&gt;""""))), LEN(INDEX(FILTER(I$1:I1278, I$1:I1278&lt;&gt;""""),COUNTA(FILTER(I$1:I1278, I$1:I1278&lt;&gt;""""))))-1), IF('To Order'!$A1279=COL"&amp;"UMNS($A1279:I1298), I1278&amp;RIGHT(INDIRECT(ADDRESS(ROW(I1279)-1, 'From Order'!$A1279)), 1), I1278))"),"")</f>
        <v/>
      </c>
    </row>
    <row r="1280">
      <c r="A1280" s="2" t="str">
        <f>IFERROR(__xludf.DUMMYFUNCTION("IF('From Order'!$A1280=COLUMNS($A1280:A1299), LEFT(INDEX(FILTER(A$1:A1279, A$1:A1279&lt;&gt;""""),COUNTA(FILTER(A$1:A1279, A$1:A1279&lt;&gt;""""))), LEN(INDEX(FILTER(A$1:A1279, A$1:A1279&lt;&gt;""""),COUNTA(FILTER(A$1:A1279, A$1:A1279&lt;&gt;""""))))-1), IF('To Order'!$A1280=COL"&amp;"UMNS($A1280:A1299), A1279&amp;RIGHT(INDIRECT(ADDRESS(ROW(A1280)-1, 'From Order'!$A1280)), 1), A1279))"),"HZBZ")</f>
        <v>HZBZ</v>
      </c>
      <c r="B1280" s="2" t="str">
        <f>IFERROR(__xludf.DUMMYFUNCTION("IF('From Order'!$A1280=COLUMNS($A1280:B1299), LEFT(INDEX(FILTER(B$1:B1279, B$1:B1279&lt;&gt;""""),COUNTA(FILTER(B$1:B1279, B$1:B1279&lt;&gt;""""))), LEN(INDEX(FILTER(B$1:B1279, B$1:B1279&lt;&gt;""""),COUNTA(FILTER(B$1:B1279, B$1:B1279&lt;&gt;""""))))-1), IF('To Order'!$A1280=COL"&amp;"UMNS($A1280:B1299), B1279&amp;RIGHT(INDIRECT(ADDRESS(ROW(B1280)-1, 'From Order'!$A1280)), 1), B1279))"),"")</f>
        <v/>
      </c>
      <c r="C1280" s="2" t="str">
        <f>IFERROR(__xludf.DUMMYFUNCTION("IF('From Order'!$A1280=COLUMNS($A1280:C1299), LEFT(INDEX(FILTER(C$1:C1279, C$1:C1279&lt;&gt;""""),COUNTA(FILTER(C$1:C1279, C$1:C1279&lt;&gt;""""))), LEN(INDEX(FILTER(C$1:C1279, C$1:C1279&lt;&gt;""""),COUNTA(FILTER(C$1:C1279, C$1:C1279&lt;&gt;""""))))-1), IF('To Order'!$A1280=COL"&amp;"UMNS($A1280:C1299), C1279&amp;RIGHT(INDIRECT(ADDRESS(ROW(C1280)-1, 'From Order'!$A1280)), 1), C1279))"),"TRLRSGHWQVQJPPLDTMGBSD")</f>
        <v>TRLRSGHWQVQJPPLDTMGBSD</v>
      </c>
      <c r="D1280" s="2" t="str">
        <f>IFERROR(__xludf.DUMMYFUNCTION("IF('From Order'!$A1280=COLUMNS($A1280:D1299), LEFT(INDEX(FILTER(D$1:D1279, D$1:D1279&lt;&gt;""""),COUNTA(FILTER(D$1:D1279, D$1:D1279&lt;&gt;""""))), LEN(INDEX(FILTER(D$1:D1279, D$1:D1279&lt;&gt;""""),COUNTA(FILTER(D$1:D1279, D$1:D1279&lt;&gt;""""))))-1), IF('To Order'!$A1280=COL"&amp;"UMNS($A1280:D1299), D1279&amp;RIGHT(INDIRECT(ADDRESS(ROW(D1280)-1, 'From Order'!$A1280)), 1), D1279))"),"PTDVSTVFS")</f>
        <v>PTDVSTVFS</v>
      </c>
      <c r="E1280" s="2" t="str">
        <f>IFERROR(__xludf.DUMMYFUNCTION("IF('From Order'!$A1280=COLUMNS($A1280:E1299), LEFT(INDEX(FILTER(E$1:E1279, E$1:E1279&lt;&gt;""""),COUNTA(FILTER(E$1:E1279, E$1:E1279&lt;&gt;""""))), LEN(INDEX(FILTER(E$1:E1279, E$1:E1279&lt;&gt;""""),COUNTA(FILTER(E$1:E1279, E$1:E1279&lt;&gt;""""))))-1), IF('To Order'!$A1280=COL"&amp;"UMNS($A1280:E1299), E1279&amp;RIGHT(INDIRECT(ADDRESS(ROW(E1280)-1, 'From Order'!$A1280)), 1), E1279))"),"D")</f>
        <v>D</v>
      </c>
      <c r="F1280" s="2" t="str">
        <f>IFERROR(__xludf.DUMMYFUNCTION("IF('From Order'!$A1280=COLUMNS($A1280:F1299), LEFT(INDEX(FILTER(F$1:F1279, F$1:F1279&lt;&gt;""""),COUNTA(FILTER(F$1:F1279, F$1:F1279&lt;&gt;""""))), LEN(INDEX(FILTER(F$1:F1279, F$1:F1279&lt;&gt;""""),COUNTA(FILTER(F$1:F1279, F$1:F1279&lt;&gt;""""))))-1), IF('To Order'!$A1280=COL"&amp;"UMNS($A1280:F1299), F1279&amp;RIGHT(INDIRECT(ADDRESS(ROW(F1280)-1, 'From Order'!$A1280)), 1), F1279))"),"BL")</f>
        <v>BL</v>
      </c>
      <c r="G1280" s="2" t="str">
        <f>IFERROR(__xludf.DUMMYFUNCTION("IF('From Order'!$A1280=COLUMNS($A1280:G1299), LEFT(INDEX(FILTER(G$1:G1279, G$1:G1279&lt;&gt;""""),COUNTA(FILTER(G$1:G1279, G$1:G1279&lt;&gt;""""))), LEN(INDEX(FILTER(G$1:G1279, G$1:G1279&lt;&gt;""""),COUNTA(FILTER(G$1:G1279, G$1:G1279&lt;&gt;""""))))-1), IF('To Order'!$A1280=COL"&amp;"UMNS($A1280:G1299), G1279&amp;RIGHT(INDIRECT(ADDRESS(ROW(G1280)-1, 'From Order'!$A1280)), 1), G1279))"),"WRMTCRCDRZCJTBFMDJ")</f>
        <v>WRMTCRCDRZCJTBFMDJ</v>
      </c>
      <c r="H1280" s="2" t="str">
        <f>IFERROR(__xludf.DUMMYFUNCTION("IF('From Order'!$A1280=COLUMNS($A1280:H1299), LEFT(INDEX(FILTER(H$1:H1279, H$1:H1279&lt;&gt;""""),COUNTA(FILTER(H$1:H1279, H$1:H1279&lt;&gt;""""))), LEN(INDEX(FILTER(H$1:H1279, H$1:H1279&lt;&gt;""""),COUNTA(FILTER(H$1:H1279, H$1:H1279&lt;&gt;""""))))-1), IF('To Order'!$A1280=COL"&amp;"UMNS($A1280:H1299), H1279&amp;RIGHT(INDIRECT(ADDRESS(ROW(H1280)-1, 'From Order'!$A1280)), 1), H1279))"),"")</f>
        <v/>
      </c>
      <c r="I1280" s="2" t="str">
        <f>IFERROR(__xludf.DUMMYFUNCTION("IF('From Order'!$A1280=COLUMNS($A1280:I1299), LEFT(INDEX(FILTER(I$1:I1279, I$1:I1279&lt;&gt;""""),COUNTA(FILTER(I$1:I1279, I$1:I1279&lt;&gt;""""))), LEN(INDEX(FILTER(I$1:I1279, I$1:I1279&lt;&gt;""""),COUNTA(FILTER(I$1:I1279, I$1:I1279&lt;&gt;""""))))-1), IF('To Order'!$A1280=COL"&amp;"UMNS($A1280:I1299), I1279&amp;RIGHT(INDIRECT(ADDRESS(ROW(I1280)-1, 'From Order'!$A1280)), 1), I1279))"),"")</f>
        <v/>
      </c>
    </row>
    <row r="1281">
      <c r="A1281" s="2" t="str">
        <f>IFERROR(__xludf.DUMMYFUNCTION("IF('From Order'!$A1281=COLUMNS($A1281:A1300), LEFT(INDEX(FILTER(A$1:A1280, A$1:A1280&lt;&gt;""""),COUNTA(FILTER(A$1:A1280, A$1:A1280&lt;&gt;""""))), LEN(INDEX(FILTER(A$1:A1280, A$1:A1280&lt;&gt;""""),COUNTA(FILTER(A$1:A1280, A$1:A1280&lt;&gt;""""))))-1), IF('To Order'!$A1281=COL"&amp;"UMNS($A1281:A1300), A1280&amp;RIGHT(INDIRECT(ADDRESS(ROW(A1281)-1, 'From Order'!$A1281)), 1), A1280))"),"HZBZ")</f>
        <v>HZBZ</v>
      </c>
      <c r="B1281" s="2" t="str">
        <f>IFERROR(__xludf.DUMMYFUNCTION("IF('From Order'!$A1281=COLUMNS($A1281:B1300), LEFT(INDEX(FILTER(B$1:B1280, B$1:B1280&lt;&gt;""""),COUNTA(FILTER(B$1:B1280, B$1:B1280&lt;&gt;""""))), LEN(INDEX(FILTER(B$1:B1280, B$1:B1280&lt;&gt;""""),COUNTA(FILTER(B$1:B1280, B$1:B1280&lt;&gt;""""))))-1), IF('To Order'!$A1281=COL"&amp;"UMNS($A1281:B1300), B1280&amp;RIGHT(INDIRECT(ADDRESS(ROW(B1281)-1, 'From Order'!$A1281)), 1), B1280))"),"")</f>
        <v/>
      </c>
      <c r="C1281" s="2" t="str">
        <f>IFERROR(__xludf.DUMMYFUNCTION("IF('From Order'!$A1281=COLUMNS($A1281:C1300), LEFT(INDEX(FILTER(C$1:C1280, C$1:C1280&lt;&gt;""""),COUNTA(FILTER(C$1:C1280, C$1:C1280&lt;&gt;""""))), LEN(INDEX(FILTER(C$1:C1280, C$1:C1280&lt;&gt;""""),COUNTA(FILTER(C$1:C1280, C$1:C1280&lt;&gt;""""))))-1), IF('To Order'!$A1281=COL"&amp;"UMNS($A1281:C1300), C1280&amp;RIGHT(INDIRECT(ADDRESS(ROW(C1281)-1, 'From Order'!$A1281)), 1), C1280))"),"TRLRSGHWQVQJPPLDTMGBSDJ")</f>
        <v>TRLRSGHWQVQJPPLDTMGBSDJ</v>
      </c>
      <c r="D1281" s="2" t="str">
        <f>IFERROR(__xludf.DUMMYFUNCTION("IF('From Order'!$A1281=COLUMNS($A1281:D1300), LEFT(INDEX(FILTER(D$1:D1280, D$1:D1280&lt;&gt;""""),COUNTA(FILTER(D$1:D1280, D$1:D1280&lt;&gt;""""))), LEN(INDEX(FILTER(D$1:D1280, D$1:D1280&lt;&gt;""""),COUNTA(FILTER(D$1:D1280, D$1:D1280&lt;&gt;""""))))-1), IF('To Order'!$A1281=COL"&amp;"UMNS($A1281:D1300), D1280&amp;RIGHT(INDIRECT(ADDRESS(ROW(D1281)-1, 'From Order'!$A1281)), 1), D1280))"),"PTDVSTVFS")</f>
        <v>PTDVSTVFS</v>
      </c>
      <c r="E1281" s="2" t="str">
        <f>IFERROR(__xludf.DUMMYFUNCTION("IF('From Order'!$A1281=COLUMNS($A1281:E1300), LEFT(INDEX(FILTER(E$1:E1280, E$1:E1280&lt;&gt;""""),COUNTA(FILTER(E$1:E1280, E$1:E1280&lt;&gt;""""))), LEN(INDEX(FILTER(E$1:E1280, E$1:E1280&lt;&gt;""""),COUNTA(FILTER(E$1:E1280, E$1:E1280&lt;&gt;""""))))-1), IF('To Order'!$A1281=COL"&amp;"UMNS($A1281:E1300), E1280&amp;RIGHT(INDIRECT(ADDRESS(ROW(E1281)-1, 'From Order'!$A1281)), 1), E1280))"),"D")</f>
        <v>D</v>
      </c>
      <c r="F1281" s="2" t="str">
        <f>IFERROR(__xludf.DUMMYFUNCTION("IF('From Order'!$A1281=COLUMNS($A1281:F1300), LEFT(INDEX(FILTER(F$1:F1280, F$1:F1280&lt;&gt;""""),COUNTA(FILTER(F$1:F1280, F$1:F1280&lt;&gt;""""))), LEN(INDEX(FILTER(F$1:F1280, F$1:F1280&lt;&gt;""""),COUNTA(FILTER(F$1:F1280, F$1:F1280&lt;&gt;""""))))-1), IF('To Order'!$A1281=COL"&amp;"UMNS($A1281:F1300), F1280&amp;RIGHT(INDIRECT(ADDRESS(ROW(F1281)-1, 'From Order'!$A1281)), 1), F1280))"),"BL")</f>
        <v>BL</v>
      </c>
      <c r="G1281" s="2" t="str">
        <f>IFERROR(__xludf.DUMMYFUNCTION("IF('From Order'!$A1281=COLUMNS($A1281:G1300), LEFT(INDEX(FILTER(G$1:G1280, G$1:G1280&lt;&gt;""""),COUNTA(FILTER(G$1:G1280, G$1:G1280&lt;&gt;""""))), LEN(INDEX(FILTER(G$1:G1280, G$1:G1280&lt;&gt;""""),COUNTA(FILTER(G$1:G1280, G$1:G1280&lt;&gt;""""))))-1), IF('To Order'!$A1281=COL"&amp;"UMNS($A1281:G1300), G1280&amp;RIGHT(INDIRECT(ADDRESS(ROW(G1281)-1, 'From Order'!$A1281)), 1), G1280))"),"WRMTCRCDRZCJTBFMD")</f>
        <v>WRMTCRCDRZCJTBFMD</v>
      </c>
      <c r="H1281" s="2" t="str">
        <f>IFERROR(__xludf.DUMMYFUNCTION("IF('From Order'!$A1281=COLUMNS($A1281:H1300), LEFT(INDEX(FILTER(H$1:H1280, H$1:H1280&lt;&gt;""""),COUNTA(FILTER(H$1:H1280, H$1:H1280&lt;&gt;""""))), LEN(INDEX(FILTER(H$1:H1280, H$1:H1280&lt;&gt;""""),COUNTA(FILTER(H$1:H1280, H$1:H1280&lt;&gt;""""))))-1), IF('To Order'!$A1281=COL"&amp;"UMNS($A1281:H1300), H1280&amp;RIGHT(INDIRECT(ADDRESS(ROW(H1281)-1, 'From Order'!$A1281)), 1), H1280))"),"")</f>
        <v/>
      </c>
      <c r="I1281" s="2" t="str">
        <f>IFERROR(__xludf.DUMMYFUNCTION("IF('From Order'!$A1281=COLUMNS($A1281:I1300), LEFT(INDEX(FILTER(I$1:I1280, I$1:I1280&lt;&gt;""""),COUNTA(FILTER(I$1:I1280, I$1:I1280&lt;&gt;""""))), LEN(INDEX(FILTER(I$1:I1280, I$1:I1280&lt;&gt;""""),COUNTA(FILTER(I$1:I1280, I$1:I1280&lt;&gt;""""))))-1), IF('To Order'!$A1281=COL"&amp;"UMNS($A1281:I1300), I1280&amp;RIGHT(INDIRECT(ADDRESS(ROW(I1281)-1, 'From Order'!$A1281)), 1), I1280))"),"")</f>
        <v/>
      </c>
    </row>
    <row r="1282">
      <c r="A1282" s="2" t="str">
        <f>IFERROR(__xludf.DUMMYFUNCTION("IF('From Order'!$A1282=COLUMNS($A1282:A1301), LEFT(INDEX(FILTER(A$1:A1281, A$1:A1281&lt;&gt;""""),COUNTA(FILTER(A$1:A1281, A$1:A1281&lt;&gt;""""))), LEN(INDEX(FILTER(A$1:A1281, A$1:A1281&lt;&gt;""""),COUNTA(FILTER(A$1:A1281, A$1:A1281&lt;&gt;""""))))-1), IF('To Order'!$A1282=COL"&amp;"UMNS($A1282:A1301), A1281&amp;RIGHT(INDIRECT(ADDRESS(ROW(A1282)-1, 'From Order'!$A1282)), 1), A1281))"),"HZBZ")</f>
        <v>HZBZ</v>
      </c>
      <c r="B1282" s="2" t="str">
        <f>IFERROR(__xludf.DUMMYFUNCTION("IF('From Order'!$A1282=COLUMNS($A1282:B1301), LEFT(INDEX(FILTER(B$1:B1281, B$1:B1281&lt;&gt;""""),COUNTA(FILTER(B$1:B1281, B$1:B1281&lt;&gt;""""))), LEN(INDEX(FILTER(B$1:B1281, B$1:B1281&lt;&gt;""""),COUNTA(FILTER(B$1:B1281, B$1:B1281&lt;&gt;""""))))-1), IF('To Order'!$A1282=COL"&amp;"UMNS($A1282:B1301), B1281&amp;RIGHT(INDIRECT(ADDRESS(ROW(B1282)-1, 'From Order'!$A1282)), 1), B1281))"),"")</f>
        <v/>
      </c>
      <c r="C1282" s="2" t="str">
        <f>IFERROR(__xludf.DUMMYFUNCTION("IF('From Order'!$A1282=COLUMNS($A1282:C1301), LEFT(INDEX(FILTER(C$1:C1281, C$1:C1281&lt;&gt;""""),COUNTA(FILTER(C$1:C1281, C$1:C1281&lt;&gt;""""))), LEN(INDEX(FILTER(C$1:C1281, C$1:C1281&lt;&gt;""""),COUNTA(FILTER(C$1:C1281, C$1:C1281&lt;&gt;""""))))-1), IF('To Order'!$A1282=COL"&amp;"UMNS($A1282:C1301), C1281&amp;RIGHT(INDIRECT(ADDRESS(ROW(C1282)-1, 'From Order'!$A1282)), 1), C1281))"),"TRLRSGHWQVQJPPLDTMGBSDJD")</f>
        <v>TRLRSGHWQVQJPPLDTMGBSDJD</v>
      </c>
      <c r="D1282" s="2" t="str">
        <f>IFERROR(__xludf.DUMMYFUNCTION("IF('From Order'!$A1282=COLUMNS($A1282:D1301), LEFT(INDEX(FILTER(D$1:D1281, D$1:D1281&lt;&gt;""""),COUNTA(FILTER(D$1:D1281, D$1:D1281&lt;&gt;""""))), LEN(INDEX(FILTER(D$1:D1281, D$1:D1281&lt;&gt;""""),COUNTA(FILTER(D$1:D1281, D$1:D1281&lt;&gt;""""))))-1), IF('To Order'!$A1282=COL"&amp;"UMNS($A1282:D1301), D1281&amp;RIGHT(INDIRECT(ADDRESS(ROW(D1282)-1, 'From Order'!$A1282)), 1), D1281))"),"PTDVSTVFS")</f>
        <v>PTDVSTVFS</v>
      </c>
      <c r="E1282" s="2" t="str">
        <f>IFERROR(__xludf.DUMMYFUNCTION("IF('From Order'!$A1282=COLUMNS($A1282:E1301), LEFT(INDEX(FILTER(E$1:E1281, E$1:E1281&lt;&gt;""""),COUNTA(FILTER(E$1:E1281, E$1:E1281&lt;&gt;""""))), LEN(INDEX(FILTER(E$1:E1281, E$1:E1281&lt;&gt;""""),COUNTA(FILTER(E$1:E1281, E$1:E1281&lt;&gt;""""))))-1), IF('To Order'!$A1282=COL"&amp;"UMNS($A1282:E1301), E1281&amp;RIGHT(INDIRECT(ADDRESS(ROW(E1282)-1, 'From Order'!$A1282)), 1), E1281))"),"D")</f>
        <v>D</v>
      </c>
      <c r="F1282" s="2" t="str">
        <f>IFERROR(__xludf.DUMMYFUNCTION("IF('From Order'!$A1282=COLUMNS($A1282:F1301), LEFT(INDEX(FILTER(F$1:F1281, F$1:F1281&lt;&gt;""""),COUNTA(FILTER(F$1:F1281, F$1:F1281&lt;&gt;""""))), LEN(INDEX(FILTER(F$1:F1281, F$1:F1281&lt;&gt;""""),COUNTA(FILTER(F$1:F1281, F$1:F1281&lt;&gt;""""))))-1), IF('To Order'!$A1282=COL"&amp;"UMNS($A1282:F1301), F1281&amp;RIGHT(INDIRECT(ADDRESS(ROW(F1282)-1, 'From Order'!$A1282)), 1), F1281))"),"BL")</f>
        <v>BL</v>
      </c>
      <c r="G1282" s="2" t="str">
        <f>IFERROR(__xludf.DUMMYFUNCTION("IF('From Order'!$A1282=COLUMNS($A1282:G1301), LEFT(INDEX(FILTER(G$1:G1281, G$1:G1281&lt;&gt;""""),COUNTA(FILTER(G$1:G1281, G$1:G1281&lt;&gt;""""))), LEN(INDEX(FILTER(G$1:G1281, G$1:G1281&lt;&gt;""""),COUNTA(FILTER(G$1:G1281, G$1:G1281&lt;&gt;""""))))-1), IF('To Order'!$A1282=COL"&amp;"UMNS($A1282:G1301), G1281&amp;RIGHT(INDIRECT(ADDRESS(ROW(G1282)-1, 'From Order'!$A1282)), 1), G1281))"),"WRMTCRCDRZCJTBFM")</f>
        <v>WRMTCRCDRZCJTBFM</v>
      </c>
      <c r="H1282" s="2" t="str">
        <f>IFERROR(__xludf.DUMMYFUNCTION("IF('From Order'!$A1282=COLUMNS($A1282:H1301), LEFT(INDEX(FILTER(H$1:H1281, H$1:H1281&lt;&gt;""""),COUNTA(FILTER(H$1:H1281, H$1:H1281&lt;&gt;""""))), LEN(INDEX(FILTER(H$1:H1281, H$1:H1281&lt;&gt;""""),COUNTA(FILTER(H$1:H1281, H$1:H1281&lt;&gt;""""))))-1), IF('To Order'!$A1282=COL"&amp;"UMNS($A1282:H1301), H1281&amp;RIGHT(INDIRECT(ADDRESS(ROW(H1282)-1, 'From Order'!$A1282)), 1), H1281))"),"")</f>
        <v/>
      </c>
      <c r="I1282" s="2" t="str">
        <f>IFERROR(__xludf.DUMMYFUNCTION("IF('From Order'!$A1282=COLUMNS($A1282:I1301), LEFT(INDEX(FILTER(I$1:I1281, I$1:I1281&lt;&gt;""""),COUNTA(FILTER(I$1:I1281, I$1:I1281&lt;&gt;""""))), LEN(INDEX(FILTER(I$1:I1281, I$1:I1281&lt;&gt;""""),COUNTA(FILTER(I$1:I1281, I$1:I1281&lt;&gt;""""))))-1), IF('To Order'!$A1282=COL"&amp;"UMNS($A1282:I1301), I1281&amp;RIGHT(INDIRECT(ADDRESS(ROW(I1282)-1, 'From Order'!$A1282)), 1), I1281))"),"")</f>
        <v/>
      </c>
    </row>
    <row r="1283">
      <c r="A1283" s="2" t="str">
        <f>IFERROR(__xludf.DUMMYFUNCTION("IF('From Order'!$A1283=COLUMNS($A1283:A1302), LEFT(INDEX(FILTER(A$1:A1282, A$1:A1282&lt;&gt;""""),COUNTA(FILTER(A$1:A1282, A$1:A1282&lt;&gt;""""))), LEN(INDEX(FILTER(A$1:A1282, A$1:A1282&lt;&gt;""""),COUNTA(FILTER(A$1:A1282, A$1:A1282&lt;&gt;""""))))-1), IF('To Order'!$A1283=COL"&amp;"UMNS($A1283:A1302), A1282&amp;RIGHT(INDIRECT(ADDRESS(ROW(A1283)-1, 'From Order'!$A1283)), 1), A1282))"),"HZBZ")</f>
        <v>HZBZ</v>
      </c>
      <c r="B1283" s="2" t="str">
        <f>IFERROR(__xludf.DUMMYFUNCTION("IF('From Order'!$A1283=COLUMNS($A1283:B1302), LEFT(INDEX(FILTER(B$1:B1282, B$1:B1282&lt;&gt;""""),COUNTA(FILTER(B$1:B1282, B$1:B1282&lt;&gt;""""))), LEN(INDEX(FILTER(B$1:B1282, B$1:B1282&lt;&gt;""""),COUNTA(FILTER(B$1:B1282, B$1:B1282&lt;&gt;""""))))-1), IF('To Order'!$A1283=COL"&amp;"UMNS($A1283:B1302), B1282&amp;RIGHT(INDIRECT(ADDRESS(ROW(B1283)-1, 'From Order'!$A1283)), 1), B1282))"),"")</f>
        <v/>
      </c>
      <c r="C1283" s="2" t="str">
        <f>IFERROR(__xludf.DUMMYFUNCTION("IF('From Order'!$A1283=COLUMNS($A1283:C1302), LEFT(INDEX(FILTER(C$1:C1282, C$1:C1282&lt;&gt;""""),COUNTA(FILTER(C$1:C1282, C$1:C1282&lt;&gt;""""))), LEN(INDEX(FILTER(C$1:C1282, C$1:C1282&lt;&gt;""""),COUNTA(FILTER(C$1:C1282, C$1:C1282&lt;&gt;""""))))-1), IF('To Order'!$A1283=COL"&amp;"UMNS($A1283:C1302), C1282&amp;RIGHT(INDIRECT(ADDRESS(ROW(C1283)-1, 'From Order'!$A1283)), 1), C1282))"),"TRLRSGHWQVQJPPLDTMGBSDJDM")</f>
        <v>TRLRSGHWQVQJPPLDTMGBSDJDM</v>
      </c>
      <c r="D1283" s="2" t="str">
        <f>IFERROR(__xludf.DUMMYFUNCTION("IF('From Order'!$A1283=COLUMNS($A1283:D1302), LEFT(INDEX(FILTER(D$1:D1282, D$1:D1282&lt;&gt;""""),COUNTA(FILTER(D$1:D1282, D$1:D1282&lt;&gt;""""))), LEN(INDEX(FILTER(D$1:D1282, D$1:D1282&lt;&gt;""""),COUNTA(FILTER(D$1:D1282, D$1:D1282&lt;&gt;""""))))-1), IF('To Order'!$A1283=COL"&amp;"UMNS($A1283:D1302), D1282&amp;RIGHT(INDIRECT(ADDRESS(ROW(D1283)-1, 'From Order'!$A1283)), 1), D1282))"),"PTDVSTVFS")</f>
        <v>PTDVSTVFS</v>
      </c>
      <c r="E1283" s="2" t="str">
        <f>IFERROR(__xludf.DUMMYFUNCTION("IF('From Order'!$A1283=COLUMNS($A1283:E1302), LEFT(INDEX(FILTER(E$1:E1282, E$1:E1282&lt;&gt;""""),COUNTA(FILTER(E$1:E1282, E$1:E1282&lt;&gt;""""))), LEN(INDEX(FILTER(E$1:E1282, E$1:E1282&lt;&gt;""""),COUNTA(FILTER(E$1:E1282, E$1:E1282&lt;&gt;""""))))-1), IF('To Order'!$A1283=COL"&amp;"UMNS($A1283:E1302), E1282&amp;RIGHT(INDIRECT(ADDRESS(ROW(E1283)-1, 'From Order'!$A1283)), 1), E1282))"),"D")</f>
        <v>D</v>
      </c>
      <c r="F1283" s="2" t="str">
        <f>IFERROR(__xludf.DUMMYFUNCTION("IF('From Order'!$A1283=COLUMNS($A1283:F1302), LEFT(INDEX(FILTER(F$1:F1282, F$1:F1282&lt;&gt;""""),COUNTA(FILTER(F$1:F1282, F$1:F1282&lt;&gt;""""))), LEN(INDEX(FILTER(F$1:F1282, F$1:F1282&lt;&gt;""""),COUNTA(FILTER(F$1:F1282, F$1:F1282&lt;&gt;""""))))-1), IF('To Order'!$A1283=COL"&amp;"UMNS($A1283:F1302), F1282&amp;RIGHT(INDIRECT(ADDRESS(ROW(F1283)-1, 'From Order'!$A1283)), 1), F1282))"),"BL")</f>
        <v>BL</v>
      </c>
      <c r="G1283" s="2" t="str">
        <f>IFERROR(__xludf.DUMMYFUNCTION("IF('From Order'!$A1283=COLUMNS($A1283:G1302), LEFT(INDEX(FILTER(G$1:G1282, G$1:G1282&lt;&gt;""""),COUNTA(FILTER(G$1:G1282, G$1:G1282&lt;&gt;""""))), LEN(INDEX(FILTER(G$1:G1282, G$1:G1282&lt;&gt;""""),COUNTA(FILTER(G$1:G1282, G$1:G1282&lt;&gt;""""))))-1), IF('To Order'!$A1283=COL"&amp;"UMNS($A1283:G1302), G1282&amp;RIGHT(INDIRECT(ADDRESS(ROW(G1283)-1, 'From Order'!$A1283)), 1), G1282))"),"WRMTCRCDRZCJTBF")</f>
        <v>WRMTCRCDRZCJTBF</v>
      </c>
      <c r="H1283" s="2" t="str">
        <f>IFERROR(__xludf.DUMMYFUNCTION("IF('From Order'!$A1283=COLUMNS($A1283:H1302), LEFT(INDEX(FILTER(H$1:H1282, H$1:H1282&lt;&gt;""""),COUNTA(FILTER(H$1:H1282, H$1:H1282&lt;&gt;""""))), LEN(INDEX(FILTER(H$1:H1282, H$1:H1282&lt;&gt;""""),COUNTA(FILTER(H$1:H1282, H$1:H1282&lt;&gt;""""))))-1), IF('To Order'!$A1283=COL"&amp;"UMNS($A1283:H1302), H1282&amp;RIGHT(INDIRECT(ADDRESS(ROW(H1283)-1, 'From Order'!$A1283)), 1), H1282))"),"")</f>
        <v/>
      </c>
      <c r="I1283" s="2" t="str">
        <f>IFERROR(__xludf.DUMMYFUNCTION("IF('From Order'!$A1283=COLUMNS($A1283:I1302), LEFT(INDEX(FILTER(I$1:I1282, I$1:I1282&lt;&gt;""""),COUNTA(FILTER(I$1:I1282, I$1:I1282&lt;&gt;""""))), LEN(INDEX(FILTER(I$1:I1282, I$1:I1282&lt;&gt;""""),COUNTA(FILTER(I$1:I1282, I$1:I1282&lt;&gt;""""))))-1), IF('To Order'!$A1283=COL"&amp;"UMNS($A1283:I1302), I1282&amp;RIGHT(INDIRECT(ADDRESS(ROW(I1283)-1, 'From Order'!$A1283)), 1), I1282))"),"")</f>
        <v/>
      </c>
    </row>
    <row r="1284">
      <c r="A1284" s="2" t="str">
        <f>IFERROR(__xludf.DUMMYFUNCTION("IF('From Order'!$A1284=COLUMNS($A1284:A1303), LEFT(INDEX(FILTER(A$1:A1283, A$1:A1283&lt;&gt;""""),COUNTA(FILTER(A$1:A1283, A$1:A1283&lt;&gt;""""))), LEN(INDEX(FILTER(A$1:A1283, A$1:A1283&lt;&gt;""""),COUNTA(FILTER(A$1:A1283, A$1:A1283&lt;&gt;""""))))-1), IF('To Order'!$A1284=COL"&amp;"UMNS($A1284:A1303), A1283&amp;RIGHT(INDIRECT(ADDRESS(ROW(A1284)-1, 'From Order'!$A1284)), 1), A1283))"),"HZBZ")</f>
        <v>HZBZ</v>
      </c>
      <c r="B1284" s="2" t="str">
        <f>IFERROR(__xludf.DUMMYFUNCTION("IF('From Order'!$A1284=COLUMNS($A1284:B1303), LEFT(INDEX(FILTER(B$1:B1283, B$1:B1283&lt;&gt;""""),COUNTA(FILTER(B$1:B1283, B$1:B1283&lt;&gt;""""))), LEN(INDEX(FILTER(B$1:B1283, B$1:B1283&lt;&gt;""""),COUNTA(FILTER(B$1:B1283, B$1:B1283&lt;&gt;""""))))-1), IF('To Order'!$A1284=COL"&amp;"UMNS($A1284:B1303), B1283&amp;RIGHT(INDIRECT(ADDRESS(ROW(B1284)-1, 'From Order'!$A1284)), 1), B1283))"),"")</f>
        <v/>
      </c>
      <c r="C1284" s="2" t="str">
        <f>IFERROR(__xludf.DUMMYFUNCTION("IF('From Order'!$A1284=COLUMNS($A1284:C1303), LEFT(INDEX(FILTER(C$1:C1283, C$1:C1283&lt;&gt;""""),COUNTA(FILTER(C$1:C1283, C$1:C1283&lt;&gt;""""))), LEN(INDEX(FILTER(C$1:C1283, C$1:C1283&lt;&gt;""""),COUNTA(FILTER(C$1:C1283, C$1:C1283&lt;&gt;""""))))-1), IF('To Order'!$A1284=COL"&amp;"UMNS($A1284:C1303), C1283&amp;RIGHT(INDIRECT(ADDRESS(ROW(C1284)-1, 'From Order'!$A1284)), 1), C1283))"),"TRLRSGHWQVQJPPLDTMGBSDJDMF")</f>
        <v>TRLRSGHWQVQJPPLDTMGBSDJDMF</v>
      </c>
      <c r="D1284" s="2" t="str">
        <f>IFERROR(__xludf.DUMMYFUNCTION("IF('From Order'!$A1284=COLUMNS($A1284:D1303), LEFT(INDEX(FILTER(D$1:D1283, D$1:D1283&lt;&gt;""""),COUNTA(FILTER(D$1:D1283, D$1:D1283&lt;&gt;""""))), LEN(INDEX(FILTER(D$1:D1283, D$1:D1283&lt;&gt;""""),COUNTA(FILTER(D$1:D1283, D$1:D1283&lt;&gt;""""))))-1), IF('To Order'!$A1284=COL"&amp;"UMNS($A1284:D1303), D1283&amp;RIGHT(INDIRECT(ADDRESS(ROW(D1284)-1, 'From Order'!$A1284)), 1), D1283))"),"PTDVSTVFS")</f>
        <v>PTDVSTVFS</v>
      </c>
      <c r="E1284" s="2" t="str">
        <f>IFERROR(__xludf.DUMMYFUNCTION("IF('From Order'!$A1284=COLUMNS($A1284:E1303), LEFT(INDEX(FILTER(E$1:E1283, E$1:E1283&lt;&gt;""""),COUNTA(FILTER(E$1:E1283, E$1:E1283&lt;&gt;""""))), LEN(INDEX(FILTER(E$1:E1283, E$1:E1283&lt;&gt;""""),COUNTA(FILTER(E$1:E1283, E$1:E1283&lt;&gt;""""))))-1), IF('To Order'!$A1284=COL"&amp;"UMNS($A1284:E1303), E1283&amp;RIGHT(INDIRECT(ADDRESS(ROW(E1284)-1, 'From Order'!$A1284)), 1), E1283))"),"D")</f>
        <v>D</v>
      </c>
      <c r="F1284" s="2" t="str">
        <f>IFERROR(__xludf.DUMMYFUNCTION("IF('From Order'!$A1284=COLUMNS($A1284:F1303), LEFT(INDEX(FILTER(F$1:F1283, F$1:F1283&lt;&gt;""""),COUNTA(FILTER(F$1:F1283, F$1:F1283&lt;&gt;""""))), LEN(INDEX(FILTER(F$1:F1283, F$1:F1283&lt;&gt;""""),COUNTA(FILTER(F$1:F1283, F$1:F1283&lt;&gt;""""))))-1), IF('To Order'!$A1284=COL"&amp;"UMNS($A1284:F1303), F1283&amp;RIGHT(INDIRECT(ADDRESS(ROW(F1284)-1, 'From Order'!$A1284)), 1), F1283))"),"BL")</f>
        <v>BL</v>
      </c>
      <c r="G1284" s="2" t="str">
        <f>IFERROR(__xludf.DUMMYFUNCTION("IF('From Order'!$A1284=COLUMNS($A1284:G1303), LEFT(INDEX(FILTER(G$1:G1283, G$1:G1283&lt;&gt;""""),COUNTA(FILTER(G$1:G1283, G$1:G1283&lt;&gt;""""))), LEN(INDEX(FILTER(G$1:G1283, G$1:G1283&lt;&gt;""""),COUNTA(FILTER(G$1:G1283, G$1:G1283&lt;&gt;""""))))-1), IF('To Order'!$A1284=COL"&amp;"UMNS($A1284:G1303), G1283&amp;RIGHT(INDIRECT(ADDRESS(ROW(G1284)-1, 'From Order'!$A1284)), 1), G1283))"),"WRMTCRCDRZCJTB")</f>
        <v>WRMTCRCDRZCJTB</v>
      </c>
      <c r="H1284" s="2" t="str">
        <f>IFERROR(__xludf.DUMMYFUNCTION("IF('From Order'!$A1284=COLUMNS($A1284:H1303), LEFT(INDEX(FILTER(H$1:H1283, H$1:H1283&lt;&gt;""""),COUNTA(FILTER(H$1:H1283, H$1:H1283&lt;&gt;""""))), LEN(INDEX(FILTER(H$1:H1283, H$1:H1283&lt;&gt;""""),COUNTA(FILTER(H$1:H1283, H$1:H1283&lt;&gt;""""))))-1), IF('To Order'!$A1284=COL"&amp;"UMNS($A1284:H1303), H1283&amp;RIGHT(INDIRECT(ADDRESS(ROW(H1284)-1, 'From Order'!$A1284)), 1), H1283))"),"")</f>
        <v/>
      </c>
      <c r="I1284" s="2" t="str">
        <f>IFERROR(__xludf.DUMMYFUNCTION("IF('From Order'!$A1284=COLUMNS($A1284:I1303), LEFT(INDEX(FILTER(I$1:I1283, I$1:I1283&lt;&gt;""""),COUNTA(FILTER(I$1:I1283, I$1:I1283&lt;&gt;""""))), LEN(INDEX(FILTER(I$1:I1283, I$1:I1283&lt;&gt;""""),COUNTA(FILTER(I$1:I1283, I$1:I1283&lt;&gt;""""))))-1), IF('To Order'!$A1284=COL"&amp;"UMNS($A1284:I1303), I1283&amp;RIGHT(INDIRECT(ADDRESS(ROW(I1284)-1, 'From Order'!$A1284)), 1), I1283))"),"")</f>
        <v/>
      </c>
    </row>
    <row r="1285">
      <c r="A1285" s="2" t="str">
        <f>IFERROR(__xludf.DUMMYFUNCTION("IF('From Order'!$A1285=COLUMNS($A1285:A1304), LEFT(INDEX(FILTER(A$1:A1284, A$1:A1284&lt;&gt;""""),COUNTA(FILTER(A$1:A1284, A$1:A1284&lt;&gt;""""))), LEN(INDEX(FILTER(A$1:A1284, A$1:A1284&lt;&gt;""""),COUNTA(FILTER(A$1:A1284, A$1:A1284&lt;&gt;""""))))-1), IF('To Order'!$A1285=COL"&amp;"UMNS($A1285:A1304), A1284&amp;RIGHT(INDIRECT(ADDRESS(ROW(A1285)-1, 'From Order'!$A1285)), 1), A1284))"),"HZBZ")</f>
        <v>HZBZ</v>
      </c>
      <c r="B1285" s="2" t="str">
        <f>IFERROR(__xludf.DUMMYFUNCTION("IF('From Order'!$A1285=COLUMNS($A1285:B1304), LEFT(INDEX(FILTER(B$1:B1284, B$1:B1284&lt;&gt;""""),COUNTA(FILTER(B$1:B1284, B$1:B1284&lt;&gt;""""))), LEN(INDEX(FILTER(B$1:B1284, B$1:B1284&lt;&gt;""""),COUNTA(FILTER(B$1:B1284, B$1:B1284&lt;&gt;""""))))-1), IF('To Order'!$A1285=COL"&amp;"UMNS($A1285:B1304), B1284&amp;RIGHT(INDIRECT(ADDRESS(ROW(B1285)-1, 'From Order'!$A1285)), 1), B1284))"),"")</f>
        <v/>
      </c>
      <c r="C1285" s="2" t="str">
        <f>IFERROR(__xludf.DUMMYFUNCTION("IF('From Order'!$A1285=COLUMNS($A1285:C1304), LEFT(INDEX(FILTER(C$1:C1284, C$1:C1284&lt;&gt;""""),COUNTA(FILTER(C$1:C1284, C$1:C1284&lt;&gt;""""))), LEN(INDEX(FILTER(C$1:C1284, C$1:C1284&lt;&gt;""""),COUNTA(FILTER(C$1:C1284, C$1:C1284&lt;&gt;""""))))-1), IF('To Order'!$A1285=COL"&amp;"UMNS($A1285:C1304), C1284&amp;RIGHT(INDIRECT(ADDRESS(ROW(C1285)-1, 'From Order'!$A1285)), 1), C1284))"),"TRLRSGHWQVQJPPLDTMGBSDJDMFB")</f>
        <v>TRLRSGHWQVQJPPLDTMGBSDJDMFB</v>
      </c>
      <c r="D1285" s="2" t="str">
        <f>IFERROR(__xludf.DUMMYFUNCTION("IF('From Order'!$A1285=COLUMNS($A1285:D1304), LEFT(INDEX(FILTER(D$1:D1284, D$1:D1284&lt;&gt;""""),COUNTA(FILTER(D$1:D1284, D$1:D1284&lt;&gt;""""))), LEN(INDEX(FILTER(D$1:D1284, D$1:D1284&lt;&gt;""""),COUNTA(FILTER(D$1:D1284, D$1:D1284&lt;&gt;""""))))-1), IF('To Order'!$A1285=COL"&amp;"UMNS($A1285:D1304), D1284&amp;RIGHT(INDIRECT(ADDRESS(ROW(D1285)-1, 'From Order'!$A1285)), 1), D1284))"),"PTDVSTVFS")</f>
        <v>PTDVSTVFS</v>
      </c>
      <c r="E1285" s="2" t="str">
        <f>IFERROR(__xludf.DUMMYFUNCTION("IF('From Order'!$A1285=COLUMNS($A1285:E1304), LEFT(INDEX(FILTER(E$1:E1284, E$1:E1284&lt;&gt;""""),COUNTA(FILTER(E$1:E1284, E$1:E1284&lt;&gt;""""))), LEN(INDEX(FILTER(E$1:E1284, E$1:E1284&lt;&gt;""""),COUNTA(FILTER(E$1:E1284, E$1:E1284&lt;&gt;""""))))-1), IF('To Order'!$A1285=COL"&amp;"UMNS($A1285:E1304), E1284&amp;RIGHT(INDIRECT(ADDRESS(ROW(E1285)-1, 'From Order'!$A1285)), 1), E1284))"),"D")</f>
        <v>D</v>
      </c>
      <c r="F1285" s="2" t="str">
        <f>IFERROR(__xludf.DUMMYFUNCTION("IF('From Order'!$A1285=COLUMNS($A1285:F1304), LEFT(INDEX(FILTER(F$1:F1284, F$1:F1284&lt;&gt;""""),COUNTA(FILTER(F$1:F1284, F$1:F1284&lt;&gt;""""))), LEN(INDEX(FILTER(F$1:F1284, F$1:F1284&lt;&gt;""""),COUNTA(FILTER(F$1:F1284, F$1:F1284&lt;&gt;""""))))-1), IF('To Order'!$A1285=COL"&amp;"UMNS($A1285:F1304), F1284&amp;RIGHT(INDIRECT(ADDRESS(ROW(F1285)-1, 'From Order'!$A1285)), 1), F1284))"),"BL")</f>
        <v>BL</v>
      </c>
      <c r="G1285" s="2" t="str">
        <f>IFERROR(__xludf.DUMMYFUNCTION("IF('From Order'!$A1285=COLUMNS($A1285:G1304), LEFT(INDEX(FILTER(G$1:G1284, G$1:G1284&lt;&gt;""""),COUNTA(FILTER(G$1:G1284, G$1:G1284&lt;&gt;""""))), LEN(INDEX(FILTER(G$1:G1284, G$1:G1284&lt;&gt;""""),COUNTA(FILTER(G$1:G1284, G$1:G1284&lt;&gt;""""))))-1), IF('To Order'!$A1285=COL"&amp;"UMNS($A1285:G1304), G1284&amp;RIGHT(INDIRECT(ADDRESS(ROW(G1285)-1, 'From Order'!$A1285)), 1), G1284))"),"WRMTCRCDRZCJT")</f>
        <v>WRMTCRCDRZCJT</v>
      </c>
      <c r="H1285" s="2" t="str">
        <f>IFERROR(__xludf.DUMMYFUNCTION("IF('From Order'!$A1285=COLUMNS($A1285:H1304), LEFT(INDEX(FILTER(H$1:H1284, H$1:H1284&lt;&gt;""""),COUNTA(FILTER(H$1:H1284, H$1:H1284&lt;&gt;""""))), LEN(INDEX(FILTER(H$1:H1284, H$1:H1284&lt;&gt;""""),COUNTA(FILTER(H$1:H1284, H$1:H1284&lt;&gt;""""))))-1), IF('To Order'!$A1285=COL"&amp;"UMNS($A1285:H1304), H1284&amp;RIGHT(INDIRECT(ADDRESS(ROW(H1285)-1, 'From Order'!$A1285)), 1), H1284))"),"")</f>
        <v/>
      </c>
      <c r="I1285" s="2" t="str">
        <f>IFERROR(__xludf.DUMMYFUNCTION("IF('From Order'!$A1285=COLUMNS($A1285:I1304), LEFT(INDEX(FILTER(I$1:I1284, I$1:I1284&lt;&gt;""""),COUNTA(FILTER(I$1:I1284, I$1:I1284&lt;&gt;""""))), LEN(INDEX(FILTER(I$1:I1284, I$1:I1284&lt;&gt;""""),COUNTA(FILTER(I$1:I1284, I$1:I1284&lt;&gt;""""))))-1), IF('To Order'!$A1285=COL"&amp;"UMNS($A1285:I1304), I1284&amp;RIGHT(INDIRECT(ADDRESS(ROW(I1285)-1, 'From Order'!$A1285)), 1), I1284))"),"")</f>
        <v/>
      </c>
    </row>
    <row r="1286">
      <c r="A1286" s="2" t="str">
        <f>IFERROR(__xludf.DUMMYFUNCTION("IF('From Order'!$A1286=COLUMNS($A1286:A1305), LEFT(INDEX(FILTER(A$1:A1285, A$1:A1285&lt;&gt;""""),COUNTA(FILTER(A$1:A1285, A$1:A1285&lt;&gt;""""))), LEN(INDEX(FILTER(A$1:A1285, A$1:A1285&lt;&gt;""""),COUNTA(FILTER(A$1:A1285, A$1:A1285&lt;&gt;""""))))-1), IF('To Order'!$A1286=COL"&amp;"UMNS($A1286:A1305), A1285&amp;RIGHT(INDIRECT(ADDRESS(ROW(A1286)-1, 'From Order'!$A1286)), 1), A1285))"),"HZBZ")</f>
        <v>HZBZ</v>
      </c>
      <c r="B1286" s="2" t="str">
        <f>IFERROR(__xludf.DUMMYFUNCTION("IF('From Order'!$A1286=COLUMNS($A1286:B1305), LEFT(INDEX(FILTER(B$1:B1285, B$1:B1285&lt;&gt;""""),COUNTA(FILTER(B$1:B1285, B$1:B1285&lt;&gt;""""))), LEN(INDEX(FILTER(B$1:B1285, B$1:B1285&lt;&gt;""""),COUNTA(FILTER(B$1:B1285, B$1:B1285&lt;&gt;""""))))-1), IF('To Order'!$A1286=COL"&amp;"UMNS($A1286:B1305), B1285&amp;RIGHT(INDIRECT(ADDRESS(ROW(B1286)-1, 'From Order'!$A1286)), 1), B1285))"),"")</f>
        <v/>
      </c>
      <c r="C1286" s="2" t="str">
        <f>IFERROR(__xludf.DUMMYFUNCTION("IF('From Order'!$A1286=COLUMNS($A1286:C1305), LEFT(INDEX(FILTER(C$1:C1285, C$1:C1285&lt;&gt;""""),COUNTA(FILTER(C$1:C1285, C$1:C1285&lt;&gt;""""))), LEN(INDEX(FILTER(C$1:C1285, C$1:C1285&lt;&gt;""""),COUNTA(FILTER(C$1:C1285, C$1:C1285&lt;&gt;""""))))-1), IF('To Order'!$A1286=COL"&amp;"UMNS($A1286:C1305), C1285&amp;RIGHT(INDIRECT(ADDRESS(ROW(C1286)-1, 'From Order'!$A1286)), 1), C1285))"),"TRLRSGHWQVQJPPLDTMGBSDJDMFBT")</f>
        <v>TRLRSGHWQVQJPPLDTMGBSDJDMFBT</v>
      </c>
      <c r="D1286" s="2" t="str">
        <f>IFERROR(__xludf.DUMMYFUNCTION("IF('From Order'!$A1286=COLUMNS($A1286:D1305), LEFT(INDEX(FILTER(D$1:D1285, D$1:D1285&lt;&gt;""""),COUNTA(FILTER(D$1:D1285, D$1:D1285&lt;&gt;""""))), LEN(INDEX(FILTER(D$1:D1285, D$1:D1285&lt;&gt;""""),COUNTA(FILTER(D$1:D1285, D$1:D1285&lt;&gt;""""))))-1), IF('To Order'!$A1286=COL"&amp;"UMNS($A1286:D1305), D1285&amp;RIGHT(INDIRECT(ADDRESS(ROW(D1286)-1, 'From Order'!$A1286)), 1), D1285))"),"PTDVSTVFS")</f>
        <v>PTDVSTVFS</v>
      </c>
      <c r="E1286" s="2" t="str">
        <f>IFERROR(__xludf.DUMMYFUNCTION("IF('From Order'!$A1286=COLUMNS($A1286:E1305), LEFT(INDEX(FILTER(E$1:E1285, E$1:E1285&lt;&gt;""""),COUNTA(FILTER(E$1:E1285, E$1:E1285&lt;&gt;""""))), LEN(INDEX(FILTER(E$1:E1285, E$1:E1285&lt;&gt;""""),COUNTA(FILTER(E$1:E1285, E$1:E1285&lt;&gt;""""))))-1), IF('To Order'!$A1286=COL"&amp;"UMNS($A1286:E1305), E1285&amp;RIGHT(INDIRECT(ADDRESS(ROW(E1286)-1, 'From Order'!$A1286)), 1), E1285))"),"D")</f>
        <v>D</v>
      </c>
      <c r="F1286" s="2" t="str">
        <f>IFERROR(__xludf.DUMMYFUNCTION("IF('From Order'!$A1286=COLUMNS($A1286:F1305), LEFT(INDEX(FILTER(F$1:F1285, F$1:F1285&lt;&gt;""""),COUNTA(FILTER(F$1:F1285, F$1:F1285&lt;&gt;""""))), LEN(INDEX(FILTER(F$1:F1285, F$1:F1285&lt;&gt;""""),COUNTA(FILTER(F$1:F1285, F$1:F1285&lt;&gt;""""))))-1), IF('To Order'!$A1286=COL"&amp;"UMNS($A1286:F1305), F1285&amp;RIGHT(INDIRECT(ADDRESS(ROW(F1286)-1, 'From Order'!$A1286)), 1), F1285))"),"BL")</f>
        <v>BL</v>
      </c>
      <c r="G1286" s="2" t="str">
        <f>IFERROR(__xludf.DUMMYFUNCTION("IF('From Order'!$A1286=COLUMNS($A1286:G1305), LEFT(INDEX(FILTER(G$1:G1285, G$1:G1285&lt;&gt;""""),COUNTA(FILTER(G$1:G1285, G$1:G1285&lt;&gt;""""))), LEN(INDEX(FILTER(G$1:G1285, G$1:G1285&lt;&gt;""""),COUNTA(FILTER(G$1:G1285, G$1:G1285&lt;&gt;""""))))-1), IF('To Order'!$A1286=COL"&amp;"UMNS($A1286:G1305), G1285&amp;RIGHT(INDIRECT(ADDRESS(ROW(G1286)-1, 'From Order'!$A1286)), 1), G1285))"),"WRMTCRCDRZCJ")</f>
        <v>WRMTCRCDRZCJ</v>
      </c>
      <c r="H1286" s="2" t="str">
        <f>IFERROR(__xludf.DUMMYFUNCTION("IF('From Order'!$A1286=COLUMNS($A1286:H1305), LEFT(INDEX(FILTER(H$1:H1285, H$1:H1285&lt;&gt;""""),COUNTA(FILTER(H$1:H1285, H$1:H1285&lt;&gt;""""))), LEN(INDEX(FILTER(H$1:H1285, H$1:H1285&lt;&gt;""""),COUNTA(FILTER(H$1:H1285, H$1:H1285&lt;&gt;""""))))-1), IF('To Order'!$A1286=COL"&amp;"UMNS($A1286:H1305), H1285&amp;RIGHT(INDIRECT(ADDRESS(ROW(H1286)-1, 'From Order'!$A1286)), 1), H1285))"),"")</f>
        <v/>
      </c>
      <c r="I1286" s="2" t="str">
        <f>IFERROR(__xludf.DUMMYFUNCTION("IF('From Order'!$A1286=COLUMNS($A1286:I1305), LEFT(INDEX(FILTER(I$1:I1285, I$1:I1285&lt;&gt;""""),COUNTA(FILTER(I$1:I1285, I$1:I1285&lt;&gt;""""))), LEN(INDEX(FILTER(I$1:I1285, I$1:I1285&lt;&gt;""""),COUNTA(FILTER(I$1:I1285, I$1:I1285&lt;&gt;""""))))-1), IF('To Order'!$A1286=COL"&amp;"UMNS($A1286:I1305), I1285&amp;RIGHT(INDIRECT(ADDRESS(ROW(I1286)-1, 'From Order'!$A1286)), 1), I1285))"),"")</f>
        <v/>
      </c>
    </row>
    <row r="1287">
      <c r="A1287" s="2" t="str">
        <f>IFERROR(__xludf.DUMMYFUNCTION("IF('From Order'!$A1287=COLUMNS($A1287:A1306), LEFT(INDEX(FILTER(A$1:A1286, A$1:A1286&lt;&gt;""""),COUNTA(FILTER(A$1:A1286, A$1:A1286&lt;&gt;""""))), LEN(INDEX(FILTER(A$1:A1286, A$1:A1286&lt;&gt;""""),COUNTA(FILTER(A$1:A1286, A$1:A1286&lt;&gt;""""))))-1), IF('To Order'!$A1287=COL"&amp;"UMNS($A1287:A1306), A1286&amp;RIGHT(INDIRECT(ADDRESS(ROW(A1287)-1, 'From Order'!$A1287)), 1), A1286))"),"HZBZ")</f>
        <v>HZBZ</v>
      </c>
      <c r="B1287" s="2" t="str">
        <f>IFERROR(__xludf.DUMMYFUNCTION("IF('From Order'!$A1287=COLUMNS($A1287:B1306), LEFT(INDEX(FILTER(B$1:B1286, B$1:B1286&lt;&gt;""""),COUNTA(FILTER(B$1:B1286, B$1:B1286&lt;&gt;""""))), LEN(INDEX(FILTER(B$1:B1286, B$1:B1286&lt;&gt;""""),COUNTA(FILTER(B$1:B1286, B$1:B1286&lt;&gt;""""))))-1), IF('To Order'!$A1287=COL"&amp;"UMNS($A1287:B1306), B1286&amp;RIGHT(INDIRECT(ADDRESS(ROW(B1287)-1, 'From Order'!$A1287)), 1), B1286))"),"")</f>
        <v/>
      </c>
      <c r="C1287" s="2" t="str">
        <f>IFERROR(__xludf.DUMMYFUNCTION("IF('From Order'!$A1287=COLUMNS($A1287:C1306), LEFT(INDEX(FILTER(C$1:C1286, C$1:C1286&lt;&gt;""""),COUNTA(FILTER(C$1:C1286, C$1:C1286&lt;&gt;""""))), LEN(INDEX(FILTER(C$1:C1286, C$1:C1286&lt;&gt;""""),COUNTA(FILTER(C$1:C1286, C$1:C1286&lt;&gt;""""))))-1), IF('To Order'!$A1287=COL"&amp;"UMNS($A1287:C1306), C1286&amp;RIGHT(INDIRECT(ADDRESS(ROW(C1287)-1, 'From Order'!$A1287)), 1), C1286))"),"TRLRSGHWQVQJPPLDTMGBSDJDMFBTJ")</f>
        <v>TRLRSGHWQVQJPPLDTMGBSDJDMFBTJ</v>
      </c>
      <c r="D1287" s="2" t="str">
        <f>IFERROR(__xludf.DUMMYFUNCTION("IF('From Order'!$A1287=COLUMNS($A1287:D1306), LEFT(INDEX(FILTER(D$1:D1286, D$1:D1286&lt;&gt;""""),COUNTA(FILTER(D$1:D1286, D$1:D1286&lt;&gt;""""))), LEN(INDEX(FILTER(D$1:D1286, D$1:D1286&lt;&gt;""""),COUNTA(FILTER(D$1:D1286, D$1:D1286&lt;&gt;""""))))-1), IF('To Order'!$A1287=COL"&amp;"UMNS($A1287:D1306), D1286&amp;RIGHT(INDIRECT(ADDRESS(ROW(D1287)-1, 'From Order'!$A1287)), 1), D1286))"),"PTDVSTVFS")</f>
        <v>PTDVSTVFS</v>
      </c>
      <c r="E1287" s="2" t="str">
        <f>IFERROR(__xludf.DUMMYFUNCTION("IF('From Order'!$A1287=COLUMNS($A1287:E1306), LEFT(INDEX(FILTER(E$1:E1286, E$1:E1286&lt;&gt;""""),COUNTA(FILTER(E$1:E1286, E$1:E1286&lt;&gt;""""))), LEN(INDEX(FILTER(E$1:E1286, E$1:E1286&lt;&gt;""""),COUNTA(FILTER(E$1:E1286, E$1:E1286&lt;&gt;""""))))-1), IF('To Order'!$A1287=COL"&amp;"UMNS($A1287:E1306), E1286&amp;RIGHT(INDIRECT(ADDRESS(ROW(E1287)-1, 'From Order'!$A1287)), 1), E1286))"),"D")</f>
        <v>D</v>
      </c>
      <c r="F1287" s="2" t="str">
        <f>IFERROR(__xludf.DUMMYFUNCTION("IF('From Order'!$A1287=COLUMNS($A1287:F1306), LEFT(INDEX(FILTER(F$1:F1286, F$1:F1286&lt;&gt;""""),COUNTA(FILTER(F$1:F1286, F$1:F1286&lt;&gt;""""))), LEN(INDEX(FILTER(F$1:F1286, F$1:F1286&lt;&gt;""""),COUNTA(FILTER(F$1:F1286, F$1:F1286&lt;&gt;""""))))-1), IF('To Order'!$A1287=COL"&amp;"UMNS($A1287:F1306), F1286&amp;RIGHT(INDIRECT(ADDRESS(ROW(F1287)-1, 'From Order'!$A1287)), 1), F1286))"),"BL")</f>
        <v>BL</v>
      </c>
      <c r="G1287" s="2" t="str">
        <f>IFERROR(__xludf.DUMMYFUNCTION("IF('From Order'!$A1287=COLUMNS($A1287:G1306), LEFT(INDEX(FILTER(G$1:G1286, G$1:G1286&lt;&gt;""""),COUNTA(FILTER(G$1:G1286, G$1:G1286&lt;&gt;""""))), LEN(INDEX(FILTER(G$1:G1286, G$1:G1286&lt;&gt;""""),COUNTA(FILTER(G$1:G1286, G$1:G1286&lt;&gt;""""))))-1), IF('To Order'!$A1287=COL"&amp;"UMNS($A1287:G1306), G1286&amp;RIGHT(INDIRECT(ADDRESS(ROW(G1287)-1, 'From Order'!$A1287)), 1), G1286))"),"WRMTCRCDRZC")</f>
        <v>WRMTCRCDRZC</v>
      </c>
      <c r="H1287" s="2" t="str">
        <f>IFERROR(__xludf.DUMMYFUNCTION("IF('From Order'!$A1287=COLUMNS($A1287:H1306), LEFT(INDEX(FILTER(H$1:H1286, H$1:H1286&lt;&gt;""""),COUNTA(FILTER(H$1:H1286, H$1:H1286&lt;&gt;""""))), LEN(INDEX(FILTER(H$1:H1286, H$1:H1286&lt;&gt;""""),COUNTA(FILTER(H$1:H1286, H$1:H1286&lt;&gt;""""))))-1), IF('To Order'!$A1287=COL"&amp;"UMNS($A1287:H1306), H1286&amp;RIGHT(INDIRECT(ADDRESS(ROW(H1287)-1, 'From Order'!$A1287)), 1), H1286))"),"")</f>
        <v/>
      </c>
      <c r="I1287" s="2" t="str">
        <f>IFERROR(__xludf.DUMMYFUNCTION("IF('From Order'!$A1287=COLUMNS($A1287:I1306), LEFT(INDEX(FILTER(I$1:I1286, I$1:I1286&lt;&gt;""""),COUNTA(FILTER(I$1:I1286, I$1:I1286&lt;&gt;""""))), LEN(INDEX(FILTER(I$1:I1286, I$1:I1286&lt;&gt;""""),COUNTA(FILTER(I$1:I1286, I$1:I1286&lt;&gt;""""))))-1), IF('To Order'!$A1287=COL"&amp;"UMNS($A1287:I1306), I1286&amp;RIGHT(INDIRECT(ADDRESS(ROW(I1287)-1, 'From Order'!$A1287)), 1), I1286))"),"")</f>
        <v/>
      </c>
    </row>
    <row r="1288">
      <c r="A1288" s="2" t="str">
        <f>IFERROR(__xludf.DUMMYFUNCTION("IF('From Order'!$A1288=COLUMNS($A1288:A1307), LEFT(INDEX(FILTER(A$1:A1287, A$1:A1287&lt;&gt;""""),COUNTA(FILTER(A$1:A1287, A$1:A1287&lt;&gt;""""))), LEN(INDEX(FILTER(A$1:A1287, A$1:A1287&lt;&gt;""""),COUNTA(FILTER(A$1:A1287, A$1:A1287&lt;&gt;""""))))-1), IF('To Order'!$A1288=COL"&amp;"UMNS($A1288:A1307), A1287&amp;RIGHT(INDIRECT(ADDRESS(ROW(A1288)-1, 'From Order'!$A1288)), 1), A1287))"),"HZBZ")</f>
        <v>HZBZ</v>
      </c>
      <c r="B1288" s="2" t="str">
        <f>IFERROR(__xludf.DUMMYFUNCTION("IF('From Order'!$A1288=COLUMNS($A1288:B1307), LEFT(INDEX(FILTER(B$1:B1287, B$1:B1287&lt;&gt;""""),COUNTA(FILTER(B$1:B1287, B$1:B1287&lt;&gt;""""))), LEN(INDEX(FILTER(B$1:B1287, B$1:B1287&lt;&gt;""""),COUNTA(FILTER(B$1:B1287, B$1:B1287&lt;&gt;""""))))-1), IF('To Order'!$A1288=COL"&amp;"UMNS($A1288:B1307), B1287&amp;RIGHT(INDIRECT(ADDRESS(ROW(B1288)-1, 'From Order'!$A1288)), 1), B1287))"),"")</f>
        <v/>
      </c>
      <c r="C1288" s="2" t="str">
        <f>IFERROR(__xludf.DUMMYFUNCTION("IF('From Order'!$A1288=COLUMNS($A1288:C1307), LEFT(INDEX(FILTER(C$1:C1287, C$1:C1287&lt;&gt;""""),COUNTA(FILTER(C$1:C1287, C$1:C1287&lt;&gt;""""))), LEN(INDEX(FILTER(C$1:C1287, C$1:C1287&lt;&gt;""""),COUNTA(FILTER(C$1:C1287, C$1:C1287&lt;&gt;""""))))-1), IF('To Order'!$A1288=COL"&amp;"UMNS($A1288:C1307), C1287&amp;RIGHT(INDIRECT(ADDRESS(ROW(C1288)-1, 'From Order'!$A1288)), 1), C1287))"),"TRLRSGHWQVQJPPLDTMGBSDJDMFBTJ")</f>
        <v>TRLRSGHWQVQJPPLDTMGBSDJDMFBTJ</v>
      </c>
      <c r="D1288" s="2" t="str">
        <f>IFERROR(__xludf.DUMMYFUNCTION("IF('From Order'!$A1288=COLUMNS($A1288:D1307), LEFT(INDEX(FILTER(D$1:D1287, D$1:D1287&lt;&gt;""""),COUNTA(FILTER(D$1:D1287, D$1:D1287&lt;&gt;""""))), LEN(INDEX(FILTER(D$1:D1287, D$1:D1287&lt;&gt;""""),COUNTA(FILTER(D$1:D1287, D$1:D1287&lt;&gt;""""))))-1), IF('To Order'!$A1288=COL"&amp;"UMNS($A1288:D1307), D1287&amp;RIGHT(INDIRECT(ADDRESS(ROW(D1288)-1, 'From Order'!$A1288)), 1), D1287))"),"PTDVSTVF")</f>
        <v>PTDVSTVF</v>
      </c>
      <c r="E1288" s="2" t="str">
        <f>IFERROR(__xludf.DUMMYFUNCTION("IF('From Order'!$A1288=COLUMNS($A1288:E1307), LEFT(INDEX(FILTER(E$1:E1287, E$1:E1287&lt;&gt;""""),COUNTA(FILTER(E$1:E1287, E$1:E1287&lt;&gt;""""))), LEN(INDEX(FILTER(E$1:E1287, E$1:E1287&lt;&gt;""""),COUNTA(FILTER(E$1:E1287, E$1:E1287&lt;&gt;""""))))-1), IF('To Order'!$A1288=COL"&amp;"UMNS($A1288:E1307), E1287&amp;RIGHT(INDIRECT(ADDRESS(ROW(E1288)-1, 'From Order'!$A1288)), 1), E1287))"),"D")</f>
        <v>D</v>
      </c>
      <c r="F1288" s="2" t="str">
        <f>IFERROR(__xludf.DUMMYFUNCTION("IF('From Order'!$A1288=COLUMNS($A1288:F1307), LEFT(INDEX(FILTER(F$1:F1287, F$1:F1287&lt;&gt;""""),COUNTA(FILTER(F$1:F1287, F$1:F1287&lt;&gt;""""))), LEN(INDEX(FILTER(F$1:F1287, F$1:F1287&lt;&gt;""""),COUNTA(FILTER(F$1:F1287, F$1:F1287&lt;&gt;""""))))-1), IF('To Order'!$A1288=COL"&amp;"UMNS($A1288:F1307), F1287&amp;RIGHT(INDIRECT(ADDRESS(ROW(F1288)-1, 'From Order'!$A1288)), 1), F1287))"),"BL")</f>
        <v>BL</v>
      </c>
      <c r="G1288" s="2" t="str">
        <f>IFERROR(__xludf.DUMMYFUNCTION("IF('From Order'!$A1288=COLUMNS($A1288:G1307), LEFT(INDEX(FILTER(G$1:G1287, G$1:G1287&lt;&gt;""""),COUNTA(FILTER(G$1:G1287, G$1:G1287&lt;&gt;""""))), LEN(INDEX(FILTER(G$1:G1287, G$1:G1287&lt;&gt;""""),COUNTA(FILTER(G$1:G1287, G$1:G1287&lt;&gt;""""))))-1), IF('To Order'!$A1288=COL"&amp;"UMNS($A1288:G1307), G1287&amp;RIGHT(INDIRECT(ADDRESS(ROW(G1288)-1, 'From Order'!$A1288)), 1), G1287))"),"WRMTCRCDRZCS")</f>
        <v>WRMTCRCDRZCS</v>
      </c>
      <c r="H1288" s="2" t="str">
        <f>IFERROR(__xludf.DUMMYFUNCTION("IF('From Order'!$A1288=COLUMNS($A1288:H1307), LEFT(INDEX(FILTER(H$1:H1287, H$1:H1287&lt;&gt;""""),COUNTA(FILTER(H$1:H1287, H$1:H1287&lt;&gt;""""))), LEN(INDEX(FILTER(H$1:H1287, H$1:H1287&lt;&gt;""""),COUNTA(FILTER(H$1:H1287, H$1:H1287&lt;&gt;""""))))-1), IF('To Order'!$A1288=COL"&amp;"UMNS($A1288:H1307), H1287&amp;RIGHT(INDIRECT(ADDRESS(ROW(H1288)-1, 'From Order'!$A1288)), 1), H1287))"),"")</f>
        <v/>
      </c>
      <c r="I1288" s="2" t="str">
        <f>IFERROR(__xludf.DUMMYFUNCTION("IF('From Order'!$A1288=COLUMNS($A1288:I1307), LEFT(INDEX(FILTER(I$1:I1287, I$1:I1287&lt;&gt;""""),COUNTA(FILTER(I$1:I1287, I$1:I1287&lt;&gt;""""))), LEN(INDEX(FILTER(I$1:I1287, I$1:I1287&lt;&gt;""""),COUNTA(FILTER(I$1:I1287, I$1:I1287&lt;&gt;""""))))-1), IF('To Order'!$A1288=COL"&amp;"UMNS($A1288:I1307), I1287&amp;RIGHT(INDIRECT(ADDRESS(ROW(I1288)-1, 'From Order'!$A1288)), 1), I1287))"),"")</f>
        <v/>
      </c>
    </row>
    <row r="1289">
      <c r="A1289" s="2" t="str">
        <f>IFERROR(__xludf.DUMMYFUNCTION("IF('From Order'!$A1289=COLUMNS($A1289:A1308), LEFT(INDEX(FILTER(A$1:A1288, A$1:A1288&lt;&gt;""""),COUNTA(FILTER(A$1:A1288, A$1:A1288&lt;&gt;""""))), LEN(INDEX(FILTER(A$1:A1288, A$1:A1288&lt;&gt;""""),COUNTA(FILTER(A$1:A1288, A$1:A1288&lt;&gt;""""))))-1), IF('To Order'!$A1289=COL"&amp;"UMNS($A1289:A1308), A1288&amp;RIGHT(INDIRECT(ADDRESS(ROW(A1289)-1, 'From Order'!$A1289)), 1), A1288))"),"HZBZ")</f>
        <v>HZBZ</v>
      </c>
      <c r="B1289" s="2" t="str">
        <f>IFERROR(__xludf.DUMMYFUNCTION("IF('From Order'!$A1289=COLUMNS($A1289:B1308), LEFT(INDEX(FILTER(B$1:B1288, B$1:B1288&lt;&gt;""""),COUNTA(FILTER(B$1:B1288, B$1:B1288&lt;&gt;""""))), LEN(INDEX(FILTER(B$1:B1288, B$1:B1288&lt;&gt;""""),COUNTA(FILTER(B$1:B1288, B$1:B1288&lt;&gt;""""))))-1), IF('To Order'!$A1289=COL"&amp;"UMNS($A1289:B1308), B1288&amp;RIGHT(INDIRECT(ADDRESS(ROW(B1289)-1, 'From Order'!$A1289)), 1), B1288))"),"")</f>
        <v/>
      </c>
      <c r="C1289" s="2" t="str">
        <f>IFERROR(__xludf.DUMMYFUNCTION("IF('From Order'!$A1289=COLUMNS($A1289:C1308), LEFT(INDEX(FILTER(C$1:C1288, C$1:C1288&lt;&gt;""""),COUNTA(FILTER(C$1:C1288, C$1:C1288&lt;&gt;""""))), LEN(INDEX(FILTER(C$1:C1288, C$1:C1288&lt;&gt;""""),COUNTA(FILTER(C$1:C1288, C$1:C1288&lt;&gt;""""))))-1), IF('To Order'!$A1289=COL"&amp;"UMNS($A1289:C1308), C1288&amp;RIGHT(INDIRECT(ADDRESS(ROW(C1289)-1, 'From Order'!$A1289)), 1), C1288))"),"TRLRSGHWQVQJPPLDTMGBSDJDMFBTJ")</f>
        <v>TRLRSGHWQVQJPPLDTMGBSDJDMFBTJ</v>
      </c>
      <c r="D1289" s="2" t="str">
        <f>IFERROR(__xludf.DUMMYFUNCTION("IF('From Order'!$A1289=COLUMNS($A1289:D1308), LEFT(INDEX(FILTER(D$1:D1288, D$1:D1288&lt;&gt;""""),COUNTA(FILTER(D$1:D1288, D$1:D1288&lt;&gt;""""))), LEN(INDEX(FILTER(D$1:D1288, D$1:D1288&lt;&gt;""""),COUNTA(FILTER(D$1:D1288, D$1:D1288&lt;&gt;""""))))-1), IF('To Order'!$A1289=COL"&amp;"UMNS($A1289:D1308), D1288&amp;RIGHT(INDIRECT(ADDRESS(ROW(D1289)-1, 'From Order'!$A1289)), 1), D1288))"),"PTDVSTV")</f>
        <v>PTDVSTV</v>
      </c>
      <c r="E1289" s="2" t="str">
        <f>IFERROR(__xludf.DUMMYFUNCTION("IF('From Order'!$A1289=COLUMNS($A1289:E1308), LEFT(INDEX(FILTER(E$1:E1288, E$1:E1288&lt;&gt;""""),COUNTA(FILTER(E$1:E1288, E$1:E1288&lt;&gt;""""))), LEN(INDEX(FILTER(E$1:E1288, E$1:E1288&lt;&gt;""""),COUNTA(FILTER(E$1:E1288, E$1:E1288&lt;&gt;""""))))-1), IF('To Order'!$A1289=COL"&amp;"UMNS($A1289:E1308), E1288&amp;RIGHT(INDIRECT(ADDRESS(ROW(E1289)-1, 'From Order'!$A1289)), 1), E1288))"),"D")</f>
        <v>D</v>
      </c>
      <c r="F1289" s="2" t="str">
        <f>IFERROR(__xludf.DUMMYFUNCTION("IF('From Order'!$A1289=COLUMNS($A1289:F1308), LEFT(INDEX(FILTER(F$1:F1288, F$1:F1288&lt;&gt;""""),COUNTA(FILTER(F$1:F1288, F$1:F1288&lt;&gt;""""))), LEN(INDEX(FILTER(F$1:F1288, F$1:F1288&lt;&gt;""""),COUNTA(FILTER(F$1:F1288, F$1:F1288&lt;&gt;""""))))-1), IF('To Order'!$A1289=COL"&amp;"UMNS($A1289:F1308), F1288&amp;RIGHT(INDIRECT(ADDRESS(ROW(F1289)-1, 'From Order'!$A1289)), 1), F1288))"),"BL")</f>
        <v>BL</v>
      </c>
      <c r="G1289" s="2" t="str">
        <f>IFERROR(__xludf.DUMMYFUNCTION("IF('From Order'!$A1289=COLUMNS($A1289:G1308), LEFT(INDEX(FILTER(G$1:G1288, G$1:G1288&lt;&gt;""""),COUNTA(FILTER(G$1:G1288, G$1:G1288&lt;&gt;""""))), LEN(INDEX(FILTER(G$1:G1288, G$1:G1288&lt;&gt;""""),COUNTA(FILTER(G$1:G1288, G$1:G1288&lt;&gt;""""))))-1), IF('To Order'!$A1289=COL"&amp;"UMNS($A1289:G1308), G1288&amp;RIGHT(INDIRECT(ADDRESS(ROW(G1289)-1, 'From Order'!$A1289)), 1), G1288))"),"WRMTCRCDRZCSF")</f>
        <v>WRMTCRCDRZCSF</v>
      </c>
      <c r="H1289" s="2" t="str">
        <f>IFERROR(__xludf.DUMMYFUNCTION("IF('From Order'!$A1289=COLUMNS($A1289:H1308), LEFT(INDEX(FILTER(H$1:H1288, H$1:H1288&lt;&gt;""""),COUNTA(FILTER(H$1:H1288, H$1:H1288&lt;&gt;""""))), LEN(INDEX(FILTER(H$1:H1288, H$1:H1288&lt;&gt;""""),COUNTA(FILTER(H$1:H1288, H$1:H1288&lt;&gt;""""))))-1), IF('To Order'!$A1289=COL"&amp;"UMNS($A1289:H1308), H1288&amp;RIGHT(INDIRECT(ADDRESS(ROW(H1289)-1, 'From Order'!$A1289)), 1), H1288))"),"")</f>
        <v/>
      </c>
      <c r="I1289" s="2" t="str">
        <f>IFERROR(__xludf.DUMMYFUNCTION("IF('From Order'!$A1289=COLUMNS($A1289:I1308), LEFT(INDEX(FILTER(I$1:I1288, I$1:I1288&lt;&gt;""""),COUNTA(FILTER(I$1:I1288, I$1:I1288&lt;&gt;""""))), LEN(INDEX(FILTER(I$1:I1288, I$1:I1288&lt;&gt;""""),COUNTA(FILTER(I$1:I1288, I$1:I1288&lt;&gt;""""))))-1), IF('To Order'!$A1289=COL"&amp;"UMNS($A1289:I1308), I1288&amp;RIGHT(INDIRECT(ADDRESS(ROW(I1289)-1, 'From Order'!$A1289)), 1), I1288))"),"")</f>
        <v/>
      </c>
    </row>
    <row r="1290">
      <c r="A1290" s="2" t="str">
        <f>IFERROR(__xludf.DUMMYFUNCTION("IF('From Order'!$A1290=COLUMNS($A1290:A1309), LEFT(INDEX(FILTER(A$1:A1289, A$1:A1289&lt;&gt;""""),COUNTA(FILTER(A$1:A1289, A$1:A1289&lt;&gt;""""))), LEN(INDEX(FILTER(A$1:A1289, A$1:A1289&lt;&gt;""""),COUNTA(FILTER(A$1:A1289, A$1:A1289&lt;&gt;""""))))-1), IF('To Order'!$A1290=COL"&amp;"UMNS($A1290:A1309), A1289&amp;RIGHT(INDIRECT(ADDRESS(ROW(A1290)-1, 'From Order'!$A1290)), 1), A1289))"),"HZBZ")</f>
        <v>HZBZ</v>
      </c>
      <c r="B1290" s="2" t="str">
        <f>IFERROR(__xludf.DUMMYFUNCTION("IF('From Order'!$A1290=COLUMNS($A1290:B1309), LEFT(INDEX(FILTER(B$1:B1289, B$1:B1289&lt;&gt;""""),COUNTA(FILTER(B$1:B1289, B$1:B1289&lt;&gt;""""))), LEN(INDEX(FILTER(B$1:B1289, B$1:B1289&lt;&gt;""""),COUNTA(FILTER(B$1:B1289, B$1:B1289&lt;&gt;""""))))-1), IF('To Order'!$A1290=COL"&amp;"UMNS($A1290:B1309), B1289&amp;RIGHT(INDIRECT(ADDRESS(ROW(B1290)-1, 'From Order'!$A1290)), 1), B1289))"),"")</f>
        <v/>
      </c>
      <c r="C1290" s="2" t="str">
        <f>IFERROR(__xludf.DUMMYFUNCTION("IF('From Order'!$A1290=COLUMNS($A1290:C1309), LEFT(INDEX(FILTER(C$1:C1289, C$1:C1289&lt;&gt;""""),COUNTA(FILTER(C$1:C1289, C$1:C1289&lt;&gt;""""))), LEN(INDEX(FILTER(C$1:C1289, C$1:C1289&lt;&gt;""""),COUNTA(FILTER(C$1:C1289, C$1:C1289&lt;&gt;""""))))-1), IF('To Order'!$A1290=COL"&amp;"UMNS($A1290:C1309), C1289&amp;RIGHT(INDIRECT(ADDRESS(ROW(C1290)-1, 'From Order'!$A1290)), 1), C1289))"),"TRLRSGHWQVQJPPLDTMGBSDJDMFBTJ")</f>
        <v>TRLRSGHWQVQJPPLDTMGBSDJDMFBTJ</v>
      </c>
      <c r="D1290" s="2" t="str">
        <f>IFERROR(__xludf.DUMMYFUNCTION("IF('From Order'!$A1290=COLUMNS($A1290:D1309), LEFT(INDEX(FILTER(D$1:D1289, D$1:D1289&lt;&gt;""""),COUNTA(FILTER(D$1:D1289, D$1:D1289&lt;&gt;""""))), LEN(INDEX(FILTER(D$1:D1289, D$1:D1289&lt;&gt;""""),COUNTA(FILTER(D$1:D1289, D$1:D1289&lt;&gt;""""))))-1), IF('To Order'!$A1290=COL"&amp;"UMNS($A1290:D1309), D1289&amp;RIGHT(INDIRECT(ADDRESS(ROW(D1290)-1, 'From Order'!$A1290)), 1), D1289))"),"PTDVST")</f>
        <v>PTDVST</v>
      </c>
      <c r="E1290" s="2" t="str">
        <f>IFERROR(__xludf.DUMMYFUNCTION("IF('From Order'!$A1290=COLUMNS($A1290:E1309), LEFT(INDEX(FILTER(E$1:E1289, E$1:E1289&lt;&gt;""""),COUNTA(FILTER(E$1:E1289, E$1:E1289&lt;&gt;""""))), LEN(INDEX(FILTER(E$1:E1289, E$1:E1289&lt;&gt;""""),COUNTA(FILTER(E$1:E1289, E$1:E1289&lt;&gt;""""))))-1), IF('To Order'!$A1290=COL"&amp;"UMNS($A1290:E1309), E1289&amp;RIGHT(INDIRECT(ADDRESS(ROW(E1290)-1, 'From Order'!$A1290)), 1), E1289))"),"D")</f>
        <v>D</v>
      </c>
      <c r="F1290" s="2" t="str">
        <f>IFERROR(__xludf.DUMMYFUNCTION("IF('From Order'!$A1290=COLUMNS($A1290:F1309), LEFT(INDEX(FILTER(F$1:F1289, F$1:F1289&lt;&gt;""""),COUNTA(FILTER(F$1:F1289, F$1:F1289&lt;&gt;""""))), LEN(INDEX(FILTER(F$1:F1289, F$1:F1289&lt;&gt;""""),COUNTA(FILTER(F$1:F1289, F$1:F1289&lt;&gt;""""))))-1), IF('To Order'!$A1290=COL"&amp;"UMNS($A1290:F1309), F1289&amp;RIGHT(INDIRECT(ADDRESS(ROW(F1290)-1, 'From Order'!$A1290)), 1), F1289))"),"BL")</f>
        <v>BL</v>
      </c>
      <c r="G1290" s="2" t="str">
        <f>IFERROR(__xludf.DUMMYFUNCTION("IF('From Order'!$A1290=COLUMNS($A1290:G1309), LEFT(INDEX(FILTER(G$1:G1289, G$1:G1289&lt;&gt;""""),COUNTA(FILTER(G$1:G1289, G$1:G1289&lt;&gt;""""))), LEN(INDEX(FILTER(G$1:G1289, G$1:G1289&lt;&gt;""""),COUNTA(FILTER(G$1:G1289, G$1:G1289&lt;&gt;""""))))-1), IF('To Order'!$A1290=COL"&amp;"UMNS($A1290:G1309), G1289&amp;RIGHT(INDIRECT(ADDRESS(ROW(G1290)-1, 'From Order'!$A1290)), 1), G1289))"),"WRMTCRCDRZCSFV")</f>
        <v>WRMTCRCDRZCSFV</v>
      </c>
      <c r="H1290" s="2" t="str">
        <f>IFERROR(__xludf.DUMMYFUNCTION("IF('From Order'!$A1290=COLUMNS($A1290:H1309), LEFT(INDEX(FILTER(H$1:H1289, H$1:H1289&lt;&gt;""""),COUNTA(FILTER(H$1:H1289, H$1:H1289&lt;&gt;""""))), LEN(INDEX(FILTER(H$1:H1289, H$1:H1289&lt;&gt;""""),COUNTA(FILTER(H$1:H1289, H$1:H1289&lt;&gt;""""))))-1), IF('To Order'!$A1290=COL"&amp;"UMNS($A1290:H1309), H1289&amp;RIGHT(INDIRECT(ADDRESS(ROW(H1290)-1, 'From Order'!$A1290)), 1), H1289))"),"")</f>
        <v/>
      </c>
      <c r="I1290" s="2" t="str">
        <f>IFERROR(__xludf.DUMMYFUNCTION("IF('From Order'!$A1290=COLUMNS($A1290:I1309), LEFT(INDEX(FILTER(I$1:I1289, I$1:I1289&lt;&gt;""""),COUNTA(FILTER(I$1:I1289, I$1:I1289&lt;&gt;""""))), LEN(INDEX(FILTER(I$1:I1289, I$1:I1289&lt;&gt;""""),COUNTA(FILTER(I$1:I1289, I$1:I1289&lt;&gt;""""))))-1), IF('To Order'!$A1290=COL"&amp;"UMNS($A1290:I1309), I1289&amp;RIGHT(INDIRECT(ADDRESS(ROW(I1290)-1, 'From Order'!$A1290)), 1), I1289))"),"")</f>
        <v/>
      </c>
    </row>
    <row r="1291">
      <c r="A1291" s="2" t="str">
        <f>IFERROR(__xludf.DUMMYFUNCTION("IF('From Order'!$A1291=COLUMNS($A1291:A1310), LEFT(INDEX(FILTER(A$1:A1290, A$1:A1290&lt;&gt;""""),COUNTA(FILTER(A$1:A1290, A$1:A1290&lt;&gt;""""))), LEN(INDEX(FILTER(A$1:A1290, A$1:A1290&lt;&gt;""""),COUNTA(FILTER(A$1:A1290, A$1:A1290&lt;&gt;""""))))-1), IF('To Order'!$A1291=COL"&amp;"UMNS($A1291:A1310), A1290&amp;RIGHT(INDIRECT(ADDRESS(ROW(A1291)-1, 'From Order'!$A1291)), 1), A1290))"),"HZBZ")</f>
        <v>HZBZ</v>
      </c>
      <c r="B1291" s="2" t="str">
        <f>IFERROR(__xludf.DUMMYFUNCTION("IF('From Order'!$A1291=COLUMNS($A1291:B1310), LEFT(INDEX(FILTER(B$1:B1290, B$1:B1290&lt;&gt;""""),COUNTA(FILTER(B$1:B1290, B$1:B1290&lt;&gt;""""))), LEN(INDEX(FILTER(B$1:B1290, B$1:B1290&lt;&gt;""""),COUNTA(FILTER(B$1:B1290, B$1:B1290&lt;&gt;""""))))-1), IF('To Order'!$A1291=COL"&amp;"UMNS($A1291:B1310), B1290&amp;RIGHT(INDIRECT(ADDRESS(ROW(B1291)-1, 'From Order'!$A1291)), 1), B1290))"),"")</f>
        <v/>
      </c>
      <c r="C1291" s="2" t="str">
        <f>IFERROR(__xludf.DUMMYFUNCTION("IF('From Order'!$A1291=COLUMNS($A1291:C1310), LEFT(INDEX(FILTER(C$1:C1290, C$1:C1290&lt;&gt;""""),COUNTA(FILTER(C$1:C1290, C$1:C1290&lt;&gt;""""))), LEN(INDEX(FILTER(C$1:C1290, C$1:C1290&lt;&gt;""""),COUNTA(FILTER(C$1:C1290, C$1:C1290&lt;&gt;""""))))-1), IF('To Order'!$A1291=COL"&amp;"UMNS($A1291:C1310), C1290&amp;RIGHT(INDIRECT(ADDRESS(ROW(C1291)-1, 'From Order'!$A1291)), 1), C1290))"),"TRLRSGHWQVQJPPLDTMGBSDJDMFBTJ")</f>
        <v>TRLRSGHWQVQJPPLDTMGBSDJDMFBTJ</v>
      </c>
      <c r="D1291" s="2" t="str">
        <f>IFERROR(__xludf.DUMMYFUNCTION("IF('From Order'!$A1291=COLUMNS($A1291:D1310), LEFT(INDEX(FILTER(D$1:D1290, D$1:D1290&lt;&gt;""""),COUNTA(FILTER(D$1:D1290, D$1:D1290&lt;&gt;""""))), LEN(INDEX(FILTER(D$1:D1290, D$1:D1290&lt;&gt;""""),COUNTA(FILTER(D$1:D1290, D$1:D1290&lt;&gt;""""))))-1), IF('To Order'!$A1291=COL"&amp;"UMNS($A1291:D1310), D1290&amp;RIGHT(INDIRECT(ADDRESS(ROW(D1291)-1, 'From Order'!$A1291)), 1), D1290))"),"PTDVS")</f>
        <v>PTDVS</v>
      </c>
      <c r="E1291" s="2" t="str">
        <f>IFERROR(__xludf.DUMMYFUNCTION("IF('From Order'!$A1291=COLUMNS($A1291:E1310), LEFT(INDEX(FILTER(E$1:E1290, E$1:E1290&lt;&gt;""""),COUNTA(FILTER(E$1:E1290, E$1:E1290&lt;&gt;""""))), LEN(INDEX(FILTER(E$1:E1290, E$1:E1290&lt;&gt;""""),COUNTA(FILTER(E$1:E1290, E$1:E1290&lt;&gt;""""))))-1), IF('To Order'!$A1291=COL"&amp;"UMNS($A1291:E1310), E1290&amp;RIGHT(INDIRECT(ADDRESS(ROW(E1291)-1, 'From Order'!$A1291)), 1), E1290))"),"D")</f>
        <v>D</v>
      </c>
      <c r="F1291" s="2" t="str">
        <f>IFERROR(__xludf.DUMMYFUNCTION("IF('From Order'!$A1291=COLUMNS($A1291:F1310), LEFT(INDEX(FILTER(F$1:F1290, F$1:F1290&lt;&gt;""""),COUNTA(FILTER(F$1:F1290, F$1:F1290&lt;&gt;""""))), LEN(INDEX(FILTER(F$1:F1290, F$1:F1290&lt;&gt;""""),COUNTA(FILTER(F$1:F1290, F$1:F1290&lt;&gt;""""))))-1), IF('To Order'!$A1291=COL"&amp;"UMNS($A1291:F1310), F1290&amp;RIGHT(INDIRECT(ADDRESS(ROW(F1291)-1, 'From Order'!$A1291)), 1), F1290))"),"BL")</f>
        <v>BL</v>
      </c>
      <c r="G1291" s="2" t="str">
        <f>IFERROR(__xludf.DUMMYFUNCTION("IF('From Order'!$A1291=COLUMNS($A1291:G1310), LEFT(INDEX(FILTER(G$1:G1290, G$1:G1290&lt;&gt;""""),COUNTA(FILTER(G$1:G1290, G$1:G1290&lt;&gt;""""))), LEN(INDEX(FILTER(G$1:G1290, G$1:G1290&lt;&gt;""""),COUNTA(FILTER(G$1:G1290, G$1:G1290&lt;&gt;""""))))-1), IF('To Order'!$A1291=COL"&amp;"UMNS($A1291:G1310), G1290&amp;RIGHT(INDIRECT(ADDRESS(ROW(G1291)-1, 'From Order'!$A1291)), 1), G1290))"),"WRMTCRCDRZCSFVT")</f>
        <v>WRMTCRCDRZCSFVT</v>
      </c>
      <c r="H1291" s="2" t="str">
        <f>IFERROR(__xludf.DUMMYFUNCTION("IF('From Order'!$A1291=COLUMNS($A1291:H1310), LEFT(INDEX(FILTER(H$1:H1290, H$1:H1290&lt;&gt;""""),COUNTA(FILTER(H$1:H1290, H$1:H1290&lt;&gt;""""))), LEN(INDEX(FILTER(H$1:H1290, H$1:H1290&lt;&gt;""""),COUNTA(FILTER(H$1:H1290, H$1:H1290&lt;&gt;""""))))-1), IF('To Order'!$A1291=COL"&amp;"UMNS($A1291:H1310), H1290&amp;RIGHT(INDIRECT(ADDRESS(ROW(H1291)-1, 'From Order'!$A1291)), 1), H1290))"),"")</f>
        <v/>
      </c>
      <c r="I1291" s="2" t="str">
        <f>IFERROR(__xludf.DUMMYFUNCTION("IF('From Order'!$A1291=COLUMNS($A1291:I1310), LEFT(INDEX(FILTER(I$1:I1290, I$1:I1290&lt;&gt;""""),COUNTA(FILTER(I$1:I1290, I$1:I1290&lt;&gt;""""))), LEN(INDEX(FILTER(I$1:I1290, I$1:I1290&lt;&gt;""""),COUNTA(FILTER(I$1:I1290, I$1:I1290&lt;&gt;""""))))-1), IF('To Order'!$A1291=COL"&amp;"UMNS($A1291:I1310), I1290&amp;RIGHT(INDIRECT(ADDRESS(ROW(I1291)-1, 'From Order'!$A1291)), 1), I1290))"),"")</f>
        <v/>
      </c>
    </row>
    <row r="1292">
      <c r="A1292" s="2" t="str">
        <f>IFERROR(__xludf.DUMMYFUNCTION("IF('From Order'!$A1292=COLUMNS($A1292:A1311), LEFT(INDEX(FILTER(A$1:A1291, A$1:A1291&lt;&gt;""""),COUNTA(FILTER(A$1:A1291, A$1:A1291&lt;&gt;""""))), LEN(INDEX(FILTER(A$1:A1291, A$1:A1291&lt;&gt;""""),COUNTA(FILTER(A$1:A1291, A$1:A1291&lt;&gt;""""))))-1), IF('To Order'!$A1292=COL"&amp;"UMNS($A1292:A1311), A1291&amp;RIGHT(INDIRECT(ADDRESS(ROW(A1292)-1, 'From Order'!$A1292)), 1), A1291))"),"HZBZ")</f>
        <v>HZBZ</v>
      </c>
      <c r="B1292" s="2" t="str">
        <f>IFERROR(__xludf.DUMMYFUNCTION("IF('From Order'!$A1292=COLUMNS($A1292:B1311), LEFT(INDEX(FILTER(B$1:B1291, B$1:B1291&lt;&gt;""""),COUNTA(FILTER(B$1:B1291, B$1:B1291&lt;&gt;""""))), LEN(INDEX(FILTER(B$1:B1291, B$1:B1291&lt;&gt;""""),COUNTA(FILTER(B$1:B1291, B$1:B1291&lt;&gt;""""))))-1), IF('To Order'!$A1292=COL"&amp;"UMNS($A1292:B1311), B1291&amp;RIGHT(INDIRECT(ADDRESS(ROW(B1292)-1, 'From Order'!$A1292)), 1), B1291))"),"")</f>
        <v/>
      </c>
      <c r="C1292" s="2" t="str">
        <f>IFERROR(__xludf.DUMMYFUNCTION("IF('From Order'!$A1292=COLUMNS($A1292:C1311), LEFT(INDEX(FILTER(C$1:C1291, C$1:C1291&lt;&gt;""""),COUNTA(FILTER(C$1:C1291, C$1:C1291&lt;&gt;""""))), LEN(INDEX(FILTER(C$1:C1291, C$1:C1291&lt;&gt;""""),COUNTA(FILTER(C$1:C1291, C$1:C1291&lt;&gt;""""))))-1), IF('To Order'!$A1292=COL"&amp;"UMNS($A1292:C1311), C1291&amp;RIGHT(INDIRECT(ADDRESS(ROW(C1292)-1, 'From Order'!$A1292)), 1), C1291))"),"TRLRSGHWQVQJPPLDTMGBSDJDMFBTJ")</f>
        <v>TRLRSGHWQVQJPPLDTMGBSDJDMFBTJ</v>
      </c>
      <c r="D1292" s="2" t="str">
        <f>IFERROR(__xludf.DUMMYFUNCTION("IF('From Order'!$A1292=COLUMNS($A1292:D1311), LEFT(INDEX(FILTER(D$1:D1291, D$1:D1291&lt;&gt;""""),COUNTA(FILTER(D$1:D1291, D$1:D1291&lt;&gt;""""))), LEN(INDEX(FILTER(D$1:D1291, D$1:D1291&lt;&gt;""""),COUNTA(FILTER(D$1:D1291, D$1:D1291&lt;&gt;""""))))-1), IF('To Order'!$A1292=COL"&amp;"UMNS($A1292:D1311), D1291&amp;RIGHT(INDIRECT(ADDRESS(ROW(D1292)-1, 'From Order'!$A1292)), 1), D1291))"),"PTDV")</f>
        <v>PTDV</v>
      </c>
      <c r="E1292" s="2" t="str">
        <f>IFERROR(__xludf.DUMMYFUNCTION("IF('From Order'!$A1292=COLUMNS($A1292:E1311), LEFT(INDEX(FILTER(E$1:E1291, E$1:E1291&lt;&gt;""""),COUNTA(FILTER(E$1:E1291, E$1:E1291&lt;&gt;""""))), LEN(INDEX(FILTER(E$1:E1291, E$1:E1291&lt;&gt;""""),COUNTA(FILTER(E$1:E1291, E$1:E1291&lt;&gt;""""))))-1), IF('To Order'!$A1292=COL"&amp;"UMNS($A1292:E1311), E1291&amp;RIGHT(INDIRECT(ADDRESS(ROW(E1292)-1, 'From Order'!$A1292)), 1), E1291))"),"D")</f>
        <v>D</v>
      </c>
      <c r="F1292" s="2" t="str">
        <f>IFERROR(__xludf.DUMMYFUNCTION("IF('From Order'!$A1292=COLUMNS($A1292:F1311), LEFT(INDEX(FILTER(F$1:F1291, F$1:F1291&lt;&gt;""""),COUNTA(FILTER(F$1:F1291, F$1:F1291&lt;&gt;""""))), LEN(INDEX(FILTER(F$1:F1291, F$1:F1291&lt;&gt;""""),COUNTA(FILTER(F$1:F1291, F$1:F1291&lt;&gt;""""))))-1), IF('To Order'!$A1292=COL"&amp;"UMNS($A1292:F1311), F1291&amp;RIGHT(INDIRECT(ADDRESS(ROW(F1292)-1, 'From Order'!$A1292)), 1), F1291))"),"BL")</f>
        <v>BL</v>
      </c>
      <c r="G1292" s="2" t="str">
        <f>IFERROR(__xludf.DUMMYFUNCTION("IF('From Order'!$A1292=COLUMNS($A1292:G1311), LEFT(INDEX(FILTER(G$1:G1291, G$1:G1291&lt;&gt;""""),COUNTA(FILTER(G$1:G1291, G$1:G1291&lt;&gt;""""))), LEN(INDEX(FILTER(G$1:G1291, G$1:G1291&lt;&gt;""""),COUNTA(FILTER(G$1:G1291, G$1:G1291&lt;&gt;""""))))-1), IF('To Order'!$A1292=COL"&amp;"UMNS($A1292:G1311), G1291&amp;RIGHT(INDIRECT(ADDRESS(ROW(G1292)-1, 'From Order'!$A1292)), 1), G1291))"),"WRMTCRCDRZCSFVTS")</f>
        <v>WRMTCRCDRZCSFVTS</v>
      </c>
      <c r="H1292" s="2" t="str">
        <f>IFERROR(__xludf.DUMMYFUNCTION("IF('From Order'!$A1292=COLUMNS($A1292:H1311), LEFT(INDEX(FILTER(H$1:H1291, H$1:H1291&lt;&gt;""""),COUNTA(FILTER(H$1:H1291, H$1:H1291&lt;&gt;""""))), LEN(INDEX(FILTER(H$1:H1291, H$1:H1291&lt;&gt;""""),COUNTA(FILTER(H$1:H1291, H$1:H1291&lt;&gt;""""))))-1), IF('To Order'!$A1292=COL"&amp;"UMNS($A1292:H1311), H1291&amp;RIGHT(INDIRECT(ADDRESS(ROW(H1292)-1, 'From Order'!$A1292)), 1), H1291))"),"")</f>
        <v/>
      </c>
      <c r="I1292" s="2" t="str">
        <f>IFERROR(__xludf.DUMMYFUNCTION("IF('From Order'!$A1292=COLUMNS($A1292:I1311), LEFT(INDEX(FILTER(I$1:I1291, I$1:I1291&lt;&gt;""""),COUNTA(FILTER(I$1:I1291, I$1:I1291&lt;&gt;""""))), LEN(INDEX(FILTER(I$1:I1291, I$1:I1291&lt;&gt;""""),COUNTA(FILTER(I$1:I1291, I$1:I1291&lt;&gt;""""))))-1), IF('To Order'!$A1292=COL"&amp;"UMNS($A1292:I1311), I1291&amp;RIGHT(INDIRECT(ADDRESS(ROW(I1292)-1, 'From Order'!$A1292)), 1), I1291))"),"")</f>
        <v/>
      </c>
    </row>
    <row r="1293">
      <c r="A1293" s="2" t="str">
        <f>IFERROR(__xludf.DUMMYFUNCTION("IF('From Order'!$A1293=COLUMNS($A1293:A1312), LEFT(INDEX(FILTER(A$1:A1292, A$1:A1292&lt;&gt;""""),COUNTA(FILTER(A$1:A1292, A$1:A1292&lt;&gt;""""))), LEN(INDEX(FILTER(A$1:A1292, A$1:A1292&lt;&gt;""""),COUNTA(FILTER(A$1:A1292, A$1:A1292&lt;&gt;""""))))-1), IF('To Order'!$A1293=COL"&amp;"UMNS($A1293:A1312), A1292&amp;RIGHT(INDIRECT(ADDRESS(ROW(A1293)-1, 'From Order'!$A1293)), 1), A1292))"),"HZBZ")</f>
        <v>HZBZ</v>
      </c>
      <c r="B1293" s="2" t="str">
        <f>IFERROR(__xludf.DUMMYFUNCTION("IF('From Order'!$A1293=COLUMNS($A1293:B1312), LEFT(INDEX(FILTER(B$1:B1292, B$1:B1292&lt;&gt;""""),COUNTA(FILTER(B$1:B1292, B$1:B1292&lt;&gt;""""))), LEN(INDEX(FILTER(B$1:B1292, B$1:B1292&lt;&gt;""""),COUNTA(FILTER(B$1:B1292, B$1:B1292&lt;&gt;""""))))-1), IF('To Order'!$A1293=COL"&amp;"UMNS($A1293:B1312), B1292&amp;RIGHT(INDIRECT(ADDRESS(ROW(B1293)-1, 'From Order'!$A1293)), 1), B1292))"),"")</f>
        <v/>
      </c>
      <c r="C1293" s="2" t="str">
        <f>IFERROR(__xludf.DUMMYFUNCTION("IF('From Order'!$A1293=COLUMNS($A1293:C1312), LEFT(INDEX(FILTER(C$1:C1292, C$1:C1292&lt;&gt;""""),COUNTA(FILTER(C$1:C1292, C$1:C1292&lt;&gt;""""))), LEN(INDEX(FILTER(C$1:C1292, C$1:C1292&lt;&gt;""""),COUNTA(FILTER(C$1:C1292, C$1:C1292&lt;&gt;""""))))-1), IF('To Order'!$A1293=COL"&amp;"UMNS($A1293:C1312), C1292&amp;RIGHT(INDIRECT(ADDRESS(ROW(C1293)-1, 'From Order'!$A1293)), 1), C1292))"),"TRLRSGHWQVQJPPLDTMGBSDJDMFBTJ")</f>
        <v>TRLRSGHWQVQJPPLDTMGBSDJDMFBTJ</v>
      </c>
      <c r="D1293" s="2" t="str">
        <f>IFERROR(__xludf.DUMMYFUNCTION("IF('From Order'!$A1293=COLUMNS($A1293:D1312), LEFT(INDEX(FILTER(D$1:D1292, D$1:D1292&lt;&gt;""""),COUNTA(FILTER(D$1:D1292, D$1:D1292&lt;&gt;""""))), LEN(INDEX(FILTER(D$1:D1292, D$1:D1292&lt;&gt;""""),COUNTA(FILTER(D$1:D1292, D$1:D1292&lt;&gt;""""))))-1), IF('To Order'!$A1293=COL"&amp;"UMNS($A1293:D1312), D1292&amp;RIGHT(INDIRECT(ADDRESS(ROW(D1293)-1, 'From Order'!$A1293)), 1), D1292))"),"PTDVL")</f>
        <v>PTDVL</v>
      </c>
      <c r="E1293" s="2" t="str">
        <f>IFERROR(__xludf.DUMMYFUNCTION("IF('From Order'!$A1293=COLUMNS($A1293:E1312), LEFT(INDEX(FILTER(E$1:E1292, E$1:E1292&lt;&gt;""""),COUNTA(FILTER(E$1:E1292, E$1:E1292&lt;&gt;""""))), LEN(INDEX(FILTER(E$1:E1292, E$1:E1292&lt;&gt;""""),COUNTA(FILTER(E$1:E1292, E$1:E1292&lt;&gt;""""))))-1), IF('To Order'!$A1293=COL"&amp;"UMNS($A1293:E1312), E1292&amp;RIGHT(INDIRECT(ADDRESS(ROW(E1293)-1, 'From Order'!$A1293)), 1), E1292))"),"D")</f>
        <v>D</v>
      </c>
      <c r="F1293" s="2" t="str">
        <f>IFERROR(__xludf.DUMMYFUNCTION("IF('From Order'!$A1293=COLUMNS($A1293:F1312), LEFT(INDEX(FILTER(F$1:F1292, F$1:F1292&lt;&gt;""""),COUNTA(FILTER(F$1:F1292, F$1:F1292&lt;&gt;""""))), LEN(INDEX(FILTER(F$1:F1292, F$1:F1292&lt;&gt;""""),COUNTA(FILTER(F$1:F1292, F$1:F1292&lt;&gt;""""))))-1), IF('To Order'!$A1293=COL"&amp;"UMNS($A1293:F1312), F1292&amp;RIGHT(INDIRECT(ADDRESS(ROW(F1293)-1, 'From Order'!$A1293)), 1), F1292))"),"B")</f>
        <v>B</v>
      </c>
      <c r="G1293" s="2" t="str">
        <f>IFERROR(__xludf.DUMMYFUNCTION("IF('From Order'!$A1293=COLUMNS($A1293:G1312), LEFT(INDEX(FILTER(G$1:G1292, G$1:G1292&lt;&gt;""""),COUNTA(FILTER(G$1:G1292, G$1:G1292&lt;&gt;""""))), LEN(INDEX(FILTER(G$1:G1292, G$1:G1292&lt;&gt;""""),COUNTA(FILTER(G$1:G1292, G$1:G1292&lt;&gt;""""))))-1), IF('To Order'!$A1293=COL"&amp;"UMNS($A1293:G1312), G1292&amp;RIGHT(INDIRECT(ADDRESS(ROW(G1293)-1, 'From Order'!$A1293)), 1), G1292))"),"WRMTCRCDRZCSFVTS")</f>
        <v>WRMTCRCDRZCSFVTS</v>
      </c>
      <c r="H1293" s="2" t="str">
        <f>IFERROR(__xludf.DUMMYFUNCTION("IF('From Order'!$A1293=COLUMNS($A1293:H1312), LEFT(INDEX(FILTER(H$1:H1292, H$1:H1292&lt;&gt;""""),COUNTA(FILTER(H$1:H1292, H$1:H1292&lt;&gt;""""))), LEN(INDEX(FILTER(H$1:H1292, H$1:H1292&lt;&gt;""""),COUNTA(FILTER(H$1:H1292, H$1:H1292&lt;&gt;""""))))-1), IF('To Order'!$A1293=COL"&amp;"UMNS($A1293:H1312), H1292&amp;RIGHT(INDIRECT(ADDRESS(ROW(H1293)-1, 'From Order'!$A1293)), 1), H1292))"),"")</f>
        <v/>
      </c>
      <c r="I1293" s="2" t="str">
        <f>IFERROR(__xludf.DUMMYFUNCTION("IF('From Order'!$A1293=COLUMNS($A1293:I1312), LEFT(INDEX(FILTER(I$1:I1292, I$1:I1292&lt;&gt;""""),COUNTA(FILTER(I$1:I1292, I$1:I1292&lt;&gt;""""))), LEN(INDEX(FILTER(I$1:I1292, I$1:I1292&lt;&gt;""""),COUNTA(FILTER(I$1:I1292, I$1:I1292&lt;&gt;""""))))-1), IF('To Order'!$A1293=COL"&amp;"UMNS($A1293:I1312), I1292&amp;RIGHT(INDIRECT(ADDRESS(ROW(I1293)-1, 'From Order'!$A1293)), 1), I1292))"),"")</f>
        <v/>
      </c>
    </row>
    <row r="1294">
      <c r="A1294" s="2" t="str">
        <f>IFERROR(__xludf.DUMMYFUNCTION("IF('From Order'!$A1294=COLUMNS($A1294:A1313), LEFT(INDEX(FILTER(A$1:A1293, A$1:A1293&lt;&gt;""""),COUNTA(FILTER(A$1:A1293, A$1:A1293&lt;&gt;""""))), LEN(INDEX(FILTER(A$1:A1293, A$1:A1293&lt;&gt;""""),COUNTA(FILTER(A$1:A1293, A$1:A1293&lt;&gt;""""))))-1), IF('To Order'!$A1294=COL"&amp;"UMNS($A1294:A1313), A1293&amp;RIGHT(INDIRECT(ADDRESS(ROW(A1294)-1, 'From Order'!$A1294)), 1), A1293))"),"HZBZ")</f>
        <v>HZBZ</v>
      </c>
      <c r="B1294" s="2" t="str">
        <f>IFERROR(__xludf.DUMMYFUNCTION("IF('From Order'!$A1294=COLUMNS($A1294:B1313), LEFT(INDEX(FILTER(B$1:B1293, B$1:B1293&lt;&gt;""""),COUNTA(FILTER(B$1:B1293, B$1:B1293&lt;&gt;""""))), LEN(INDEX(FILTER(B$1:B1293, B$1:B1293&lt;&gt;""""),COUNTA(FILTER(B$1:B1293, B$1:B1293&lt;&gt;""""))))-1), IF('To Order'!$A1294=COL"&amp;"UMNS($A1294:B1313), B1293&amp;RIGHT(INDIRECT(ADDRESS(ROW(B1294)-1, 'From Order'!$A1294)), 1), B1293))"),"")</f>
        <v/>
      </c>
      <c r="C1294" s="2" t="str">
        <f>IFERROR(__xludf.DUMMYFUNCTION("IF('From Order'!$A1294=COLUMNS($A1294:C1313), LEFT(INDEX(FILTER(C$1:C1293, C$1:C1293&lt;&gt;""""),COUNTA(FILTER(C$1:C1293, C$1:C1293&lt;&gt;""""))), LEN(INDEX(FILTER(C$1:C1293, C$1:C1293&lt;&gt;""""),COUNTA(FILTER(C$1:C1293, C$1:C1293&lt;&gt;""""))))-1), IF('To Order'!$A1294=COL"&amp;"UMNS($A1294:C1313), C1293&amp;RIGHT(INDIRECT(ADDRESS(ROW(C1294)-1, 'From Order'!$A1294)), 1), C1293))"),"TRLRSGHWQVQJPPLDTMGBSDJDMFBTJ")</f>
        <v>TRLRSGHWQVQJPPLDTMGBSDJDMFBTJ</v>
      </c>
      <c r="D1294" s="2" t="str">
        <f>IFERROR(__xludf.DUMMYFUNCTION("IF('From Order'!$A1294=COLUMNS($A1294:D1313), LEFT(INDEX(FILTER(D$1:D1293, D$1:D1293&lt;&gt;""""),COUNTA(FILTER(D$1:D1293, D$1:D1293&lt;&gt;""""))), LEN(INDEX(FILTER(D$1:D1293, D$1:D1293&lt;&gt;""""),COUNTA(FILTER(D$1:D1293, D$1:D1293&lt;&gt;""""))))-1), IF('To Order'!$A1294=COL"&amp;"UMNS($A1294:D1313), D1293&amp;RIGHT(INDIRECT(ADDRESS(ROW(D1294)-1, 'From Order'!$A1294)), 1), D1293))"),"PTDVLB")</f>
        <v>PTDVLB</v>
      </c>
      <c r="E1294" s="2" t="str">
        <f>IFERROR(__xludf.DUMMYFUNCTION("IF('From Order'!$A1294=COLUMNS($A1294:E1313), LEFT(INDEX(FILTER(E$1:E1293, E$1:E1293&lt;&gt;""""),COUNTA(FILTER(E$1:E1293, E$1:E1293&lt;&gt;""""))), LEN(INDEX(FILTER(E$1:E1293, E$1:E1293&lt;&gt;""""),COUNTA(FILTER(E$1:E1293, E$1:E1293&lt;&gt;""""))))-1), IF('To Order'!$A1294=COL"&amp;"UMNS($A1294:E1313), E1293&amp;RIGHT(INDIRECT(ADDRESS(ROW(E1294)-1, 'From Order'!$A1294)), 1), E1293))"),"D")</f>
        <v>D</v>
      </c>
      <c r="F1294" s="2" t="str">
        <f>IFERROR(__xludf.DUMMYFUNCTION("IF('From Order'!$A1294=COLUMNS($A1294:F1313), LEFT(INDEX(FILTER(F$1:F1293, F$1:F1293&lt;&gt;""""),COUNTA(FILTER(F$1:F1293, F$1:F1293&lt;&gt;""""))), LEN(INDEX(FILTER(F$1:F1293, F$1:F1293&lt;&gt;""""),COUNTA(FILTER(F$1:F1293, F$1:F1293&lt;&gt;""""))))-1), IF('To Order'!$A1294=COL"&amp;"UMNS($A1294:F1313), F1293&amp;RIGHT(INDIRECT(ADDRESS(ROW(F1294)-1, 'From Order'!$A1294)), 1), F1293))"),"")</f>
        <v/>
      </c>
      <c r="G1294" s="2" t="str">
        <f>IFERROR(__xludf.DUMMYFUNCTION("IF('From Order'!$A1294=COLUMNS($A1294:G1313), LEFT(INDEX(FILTER(G$1:G1293, G$1:G1293&lt;&gt;""""),COUNTA(FILTER(G$1:G1293, G$1:G1293&lt;&gt;""""))), LEN(INDEX(FILTER(G$1:G1293, G$1:G1293&lt;&gt;""""),COUNTA(FILTER(G$1:G1293, G$1:G1293&lt;&gt;""""))))-1), IF('To Order'!$A1294=COL"&amp;"UMNS($A1294:G1313), G1293&amp;RIGHT(INDIRECT(ADDRESS(ROW(G1294)-1, 'From Order'!$A1294)), 1), G1293))"),"WRMTCRCDRZCSFVTS")</f>
        <v>WRMTCRCDRZCSFVTS</v>
      </c>
      <c r="H1294" s="2" t="str">
        <f>IFERROR(__xludf.DUMMYFUNCTION("IF('From Order'!$A1294=COLUMNS($A1294:H1313), LEFT(INDEX(FILTER(H$1:H1293, H$1:H1293&lt;&gt;""""),COUNTA(FILTER(H$1:H1293, H$1:H1293&lt;&gt;""""))), LEN(INDEX(FILTER(H$1:H1293, H$1:H1293&lt;&gt;""""),COUNTA(FILTER(H$1:H1293, H$1:H1293&lt;&gt;""""))))-1), IF('To Order'!$A1294=COL"&amp;"UMNS($A1294:H1313), H1293&amp;RIGHT(INDIRECT(ADDRESS(ROW(H1294)-1, 'From Order'!$A1294)), 1), H1293))"),"")</f>
        <v/>
      </c>
      <c r="I1294" s="2" t="str">
        <f>IFERROR(__xludf.DUMMYFUNCTION("IF('From Order'!$A1294=COLUMNS($A1294:I1313), LEFT(INDEX(FILTER(I$1:I1293, I$1:I1293&lt;&gt;""""),COUNTA(FILTER(I$1:I1293, I$1:I1293&lt;&gt;""""))), LEN(INDEX(FILTER(I$1:I1293, I$1:I1293&lt;&gt;""""),COUNTA(FILTER(I$1:I1293, I$1:I1293&lt;&gt;""""))))-1), IF('To Order'!$A1294=COL"&amp;"UMNS($A1294:I1313), I1293&amp;RIGHT(INDIRECT(ADDRESS(ROW(I1294)-1, 'From Order'!$A1294)), 1), I1293))"),"")</f>
        <v/>
      </c>
    </row>
    <row r="1295">
      <c r="A1295" s="2" t="str">
        <f>IFERROR(__xludf.DUMMYFUNCTION("IF('From Order'!$A1295=COLUMNS($A1295:A1314), LEFT(INDEX(FILTER(A$1:A1294, A$1:A1294&lt;&gt;""""),COUNTA(FILTER(A$1:A1294, A$1:A1294&lt;&gt;""""))), LEN(INDEX(FILTER(A$1:A1294, A$1:A1294&lt;&gt;""""),COUNTA(FILTER(A$1:A1294, A$1:A1294&lt;&gt;""""))))-1), IF('To Order'!$A1295=COL"&amp;"UMNS($A1295:A1314), A1294&amp;RIGHT(INDIRECT(ADDRESS(ROW(A1295)-1, 'From Order'!$A1295)), 1), A1294))"),"HZBZ")</f>
        <v>HZBZ</v>
      </c>
      <c r="B1295" s="2" t="str">
        <f>IFERROR(__xludf.DUMMYFUNCTION("IF('From Order'!$A1295=COLUMNS($A1295:B1314), LEFT(INDEX(FILTER(B$1:B1294, B$1:B1294&lt;&gt;""""),COUNTA(FILTER(B$1:B1294, B$1:B1294&lt;&gt;""""))), LEN(INDEX(FILTER(B$1:B1294, B$1:B1294&lt;&gt;""""),COUNTA(FILTER(B$1:B1294, B$1:B1294&lt;&gt;""""))))-1), IF('To Order'!$A1295=COL"&amp;"UMNS($A1295:B1314), B1294&amp;RIGHT(INDIRECT(ADDRESS(ROW(B1295)-1, 'From Order'!$A1295)), 1), B1294))"),"")</f>
        <v/>
      </c>
      <c r="C1295" s="2" t="str">
        <f>IFERROR(__xludf.DUMMYFUNCTION("IF('From Order'!$A1295=COLUMNS($A1295:C1314), LEFT(INDEX(FILTER(C$1:C1294, C$1:C1294&lt;&gt;""""),COUNTA(FILTER(C$1:C1294, C$1:C1294&lt;&gt;""""))), LEN(INDEX(FILTER(C$1:C1294, C$1:C1294&lt;&gt;""""),COUNTA(FILTER(C$1:C1294, C$1:C1294&lt;&gt;""""))))-1), IF('To Order'!$A1295=COL"&amp;"UMNS($A1295:C1314), C1294&amp;RIGHT(INDIRECT(ADDRESS(ROW(C1295)-1, 'From Order'!$A1295)), 1), C1294))"),"TRLRSGHWQVQJPPLDTMGBSDJDMFBTJ")</f>
        <v>TRLRSGHWQVQJPPLDTMGBSDJDMFBTJ</v>
      </c>
      <c r="D1295" s="2" t="str">
        <f>IFERROR(__xludf.DUMMYFUNCTION("IF('From Order'!$A1295=COLUMNS($A1295:D1314), LEFT(INDEX(FILTER(D$1:D1294, D$1:D1294&lt;&gt;""""),COUNTA(FILTER(D$1:D1294, D$1:D1294&lt;&gt;""""))), LEN(INDEX(FILTER(D$1:D1294, D$1:D1294&lt;&gt;""""),COUNTA(FILTER(D$1:D1294, D$1:D1294&lt;&gt;""""))))-1), IF('To Order'!$A1295=COL"&amp;"UMNS($A1295:D1314), D1294&amp;RIGHT(INDIRECT(ADDRESS(ROW(D1295)-1, 'From Order'!$A1295)), 1), D1294))"),"PTDVLB")</f>
        <v>PTDVLB</v>
      </c>
      <c r="E1295" s="2" t="str">
        <f>IFERROR(__xludf.DUMMYFUNCTION("IF('From Order'!$A1295=COLUMNS($A1295:E1314), LEFT(INDEX(FILTER(E$1:E1294, E$1:E1294&lt;&gt;""""),COUNTA(FILTER(E$1:E1294, E$1:E1294&lt;&gt;""""))), LEN(INDEX(FILTER(E$1:E1294, E$1:E1294&lt;&gt;""""),COUNTA(FILTER(E$1:E1294, E$1:E1294&lt;&gt;""""))))-1), IF('To Order'!$A1295=COL"&amp;"UMNS($A1295:E1314), E1294&amp;RIGHT(INDIRECT(ADDRESS(ROW(E1295)-1, 'From Order'!$A1295)), 1), E1294))"),"")</f>
        <v/>
      </c>
      <c r="F1295" s="2" t="str">
        <f>IFERROR(__xludf.DUMMYFUNCTION("IF('From Order'!$A1295=COLUMNS($A1295:F1314), LEFT(INDEX(FILTER(F$1:F1294, F$1:F1294&lt;&gt;""""),COUNTA(FILTER(F$1:F1294, F$1:F1294&lt;&gt;""""))), LEN(INDEX(FILTER(F$1:F1294, F$1:F1294&lt;&gt;""""),COUNTA(FILTER(F$1:F1294, F$1:F1294&lt;&gt;""""))))-1), IF('To Order'!$A1295=COL"&amp;"UMNS($A1295:F1314), F1294&amp;RIGHT(INDIRECT(ADDRESS(ROW(F1295)-1, 'From Order'!$A1295)), 1), F1294))"),"")</f>
        <v/>
      </c>
      <c r="G1295" s="2" t="str">
        <f>IFERROR(__xludf.DUMMYFUNCTION("IF('From Order'!$A1295=COLUMNS($A1295:G1314), LEFT(INDEX(FILTER(G$1:G1294, G$1:G1294&lt;&gt;""""),COUNTA(FILTER(G$1:G1294, G$1:G1294&lt;&gt;""""))), LEN(INDEX(FILTER(G$1:G1294, G$1:G1294&lt;&gt;""""),COUNTA(FILTER(G$1:G1294, G$1:G1294&lt;&gt;""""))))-1), IF('To Order'!$A1295=COL"&amp;"UMNS($A1295:G1314), G1294&amp;RIGHT(INDIRECT(ADDRESS(ROW(G1295)-1, 'From Order'!$A1295)), 1), G1294))"),"WRMTCRCDRZCSFVTS")</f>
        <v>WRMTCRCDRZCSFVTS</v>
      </c>
      <c r="H1295" s="2" t="str">
        <f>IFERROR(__xludf.DUMMYFUNCTION("IF('From Order'!$A1295=COLUMNS($A1295:H1314), LEFT(INDEX(FILTER(H$1:H1294, H$1:H1294&lt;&gt;""""),COUNTA(FILTER(H$1:H1294, H$1:H1294&lt;&gt;""""))), LEN(INDEX(FILTER(H$1:H1294, H$1:H1294&lt;&gt;""""),COUNTA(FILTER(H$1:H1294, H$1:H1294&lt;&gt;""""))))-1), IF('To Order'!$A1295=COL"&amp;"UMNS($A1295:H1314), H1294&amp;RIGHT(INDIRECT(ADDRESS(ROW(H1295)-1, 'From Order'!$A1295)), 1), H1294))"),"")</f>
        <v/>
      </c>
      <c r="I1295" s="2" t="str">
        <f>IFERROR(__xludf.DUMMYFUNCTION("IF('From Order'!$A1295=COLUMNS($A1295:I1314), LEFT(INDEX(FILTER(I$1:I1294, I$1:I1294&lt;&gt;""""),COUNTA(FILTER(I$1:I1294, I$1:I1294&lt;&gt;""""))), LEN(INDEX(FILTER(I$1:I1294, I$1:I1294&lt;&gt;""""),COUNTA(FILTER(I$1:I1294, I$1:I1294&lt;&gt;""""))))-1), IF('To Order'!$A1295=COL"&amp;"UMNS($A1295:I1314), I1294&amp;RIGHT(INDIRECT(ADDRESS(ROW(I1295)-1, 'From Order'!$A1295)), 1), I1294))"),"D")</f>
        <v>D</v>
      </c>
    </row>
    <row r="1296">
      <c r="A1296" s="2" t="str">
        <f>IFERROR(__xludf.DUMMYFUNCTION("IF('From Order'!$A1296=COLUMNS($A1296:A1315), LEFT(INDEX(FILTER(A$1:A1295, A$1:A1295&lt;&gt;""""),COUNTA(FILTER(A$1:A1295, A$1:A1295&lt;&gt;""""))), LEN(INDEX(FILTER(A$1:A1295, A$1:A1295&lt;&gt;""""),COUNTA(FILTER(A$1:A1295, A$1:A1295&lt;&gt;""""))))-1), IF('To Order'!$A1296=COL"&amp;"UMNS($A1296:A1315), A1295&amp;RIGHT(INDIRECT(ADDRESS(ROW(A1296)-1, 'From Order'!$A1296)), 1), A1295))"),"HZB")</f>
        <v>HZB</v>
      </c>
      <c r="B1296" s="2" t="str">
        <f>IFERROR(__xludf.DUMMYFUNCTION("IF('From Order'!$A1296=COLUMNS($A1296:B1315), LEFT(INDEX(FILTER(B$1:B1295, B$1:B1295&lt;&gt;""""),COUNTA(FILTER(B$1:B1295, B$1:B1295&lt;&gt;""""))), LEN(INDEX(FILTER(B$1:B1295, B$1:B1295&lt;&gt;""""),COUNTA(FILTER(B$1:B1295, B$1:B1295&lt;&gt;""""))))-1), IF('To Order'!$A1296=COL"&amp;"UMNS($A1296:B1315), B1295&amp;RIGHT(INDIRECT(ADDRESS(ROW(B1296)-1, 'From Order'!$A1296)), 1), B1295))"),"")</f>
        <v/>
      </c>
      <c r="C1296" s="2" t="str">
        <f>IFERROR(__xludf.DUMMYFUNCTION("IF('From Order'!$A1296=COLUMNS($A1296:C1315), LEFT(INDEX(FILTER(C$1:C1295, C$1:C1295&lt;&gt;""""),COUNTA(FILTER(C$1:C1295, C$1:C1295&lt;&gt;""""))), LEN(INDEX(FILTER(C$1:C1295, C$1:C1295&lt;&gt;""""),COUNTA(FILTER(C$1:C1295, C$1:C1295&lt;&gt;""""))))-1), IF('To Order'!$A1296=COL"&amp;"UMNS($A1296:C1315), C1295&amp;RIGHT(INDIRECT(ADDRESS(ROW(C1296)-1, 'From Order'!$A1296)), 1), C1295))"),"TRLRSGHWQVQJPPLDTMGBSDJDMFBTJ")</f>
        <v>TRLRSGHWQVQJPPLDTMGBSDJDMFBTJ</v>
      </c>
      <c r="D1296" s="2" t="str">
        <f>IFERROR(__xludf.DUMMYFUNCTION("IF('From Order'!$A1296=COLUMNS($A1296:D1315), LEFT(INDEX(FILTER(D$1:D1295, D$1:D1295&lt;&gt;""""),COUNTA(FILTER(D$1:D1295, D$1:D1295&lt;&gt;""""))), LEN(INDEX(FILTER(D$1:D1295, D$1:D1295&lt;&gt;""""),COUNTA(FILTER(D$1:D1295, D$1:D1295&lt;&gt;""""))))-1), IF('To Order'!$A1296=COL"&amp;"UMNS($A1296:D1315), D1295&amp;RIGHT(INDIRECT(ADDRESS(ROW(D1296)-1, 'From Order'!$A1296)), 1), D1295))"),"PTDVLB")</f>
        <v>PTDVLB</v>
      </c>
      <c r="E1296" s="2" t="str">
        <f>IFERROR(__xludf.DUMMYFUNCTION("IF('From Order'!$A1296=COLUMNS($A1296:E1315), LEFT(INDEX(FILTER(E$1:E1295, E$1:E1295&lt;&gt;""""),COUNTA(FILTER(E$1:E1295, E$1:E1295&lt;&gt;""""))), LEN(INDEX(FILTER(E$1:E1295, E$1:E1295&lt;&gt;""""),COUNTA(FILTER(E$1:E1295, E$1:E1295&lt;&gt;""""))))-1), IF('To Order'!$A1296=COL"&amp;"UMNS($A1296:E1315), E1295&amp;RIGHT(INDIRECT(ADDRESS(ROW(E1296)-1, 'From Order'!$A1296)), 1), E1295))"),"")</f>
        <v/>
      </c>
      <c r="F1296" s="2" t="str">
        <f>IFERROR(__xludf.DUMMYFUNCTION("IF('From Order'!$A1296=COLUMNS($A1296:F1315), LEFT(INDEX(FILTER(F$1:F1295, F$1:F1295&lt;&gt;""""),COUNTA(FILTER(F$1:F1295, F$1:F1295&lt;&gt;""""))), LEN(INDEX(FILTER(F$1:F1295, F$1:F1295&lt;&gt;""""),COUNTA(FILTER(F$1:F1295, F$1:F1295&lt;&gt;""""))))-1), IF('To Order'!$A1296=COL"&amp;"UMNS($A1296:F1315), F1295&amp;RIGHT(INDIRECT(ADDRESS(ROW(F1296)-1, 'From Order'!$A1296)), 1), F1295))"),"Z")</f>
        <v>Z</v>
      </c>
      <c r="G1296" s="2" t="str">
        <f>IFERROR(__xludf.DUMMYFUNCTION("IF('From Order'!$A1296=COLUMNS($A1296:G1315), LEFT(INDEX(FILTER(G$1:G1295, G$1:G1295&lt;&gt;""""),COUNTA(FILTER(G$1:G1295, G$1:G1295&lt;&gt;""""))), LEN(INDEX(FILTER(G$1:G1295, G$1:G1295&lt;&gt;""""),COUNTA(FILTER(G$1:G1295, G$1:G1295&lt;&gt;""""))))-1), IF('To Order'!$A1296=COL"&amp;"UMNS($A1296:G1315), G1295&amp;RIGHT(INDIRECT(ADDRESS(ROW(G1296)-1, 'From Order'!$A1296)), 1), G1295))"),"WRMTCRCDRZCSFVTS")</f>
        <v>WRMTCRCDRZCSFVTS</v>
      </c>
      <c r="H1296" s="2" t="str">
        <f>IFERROR(__xludf.DUMMYFUNCTION("IF('From Order'!$A1296=COLUMNS($A1296:H1315), LEFT(INDEX(FILTER(H$1:H1295, H$1:H1295&lt;&gt;""""),COUNTA(FILTER(H$1:H1295, H$1:H1295&lt;&gt;""""))), LEN(INDEX(FILTER(H$1:H1295, H$1:H1295&lt;&gt;""""),COUNTA(FILTER(H$1:H1295, H$1:H1295&lt;&gt;""""))))-1), IF('To Order'!$A1296=COL"&amp;"UMNS($A1296:H1315), H1295&amp;RIGHT(INDIRECT(ADDRESS(ROW(H1296)-1, 'From Order'!$A1296)), 1), H1295))"),"")</f>
        <v/>
      </c>
      <c r="I1296" s="2" t="str">
        <f>IFERROR(__xludf.DUMMYFUNCTION("IF('From Order'!$A1296=COLUMNS($A1296:I1315), LEFT(INDEX(FILTER(I$1:I1295, I$1:I1295&lt;&gt;""""),COUNTA(FILTER(I$1:I1295, I$1:I1295&lt;&gt;""""))), LEN(INDEX(FILTER(I$1:I1295, I$1:I1295&lt;&gt;""""),COUNTA(FILTER(I$1:I1295, I$1:I1295&lt;&gt;""""))))-1), IF('To Order'!$A1296=COL"&amp;"UMNS($A1296:I1315), I1295&amp;RIGHT(INDIRECT(ADDRESS(ROW(I1296)-1, 'From Order'!$A1296)), 1), I1295))"),"D")</f>
        <v>D</v>
      </c>
    </row>
    <row r="1297">
      <c r="A1297" s="2" t="str">
        <f>IFERROR(__xludf.DUMMYFUNCTION("IF('From Order'!$A1297=COLUMNS($A1297:A1316), LEFT(INDEX(FILTER(A$1:A1296, A$1:A1296&lt;&gt;""""),COUNTA(FILTER(A$1:A1296, A$1:A1296&lt;&gt;""""))), LEN(INDEX(FILTER(A$1:A1296, A$1:A1296&lt;&gt;""""),COUNTA(FILTER(A$1:A1296, A$1:A1296&lt;&gt;""""))))-1), IF('To Order'!$A1297=COL"&amp;"UMNS($A1297:A1316), A1296&amp;RIGHT(INDIRECT(ADDRESS(ROW(A1297)-1, 'From Order'!$A1297)), 1), A1296))"),"HZ")</f>
        <v>HZ</v>
      </c>
      <c r="B1297" s="2" t="str">
        <f>IFERROR(__xludf.DUMMYFUNCTION("IF('From Order'!$A1297=COLUMNS($A1297:B1316), LEFT(INDEX(FILTER(B$1:B1296, B$1:B1296&lt;&gt;""""),COUNTA(FILTER(B$1:B1296, B$1:B1296&lt;&gt;""""))), LEN(INDEX(FILTER(B$1:B1296, B$1:B1296&lt;&gt;""""),COUNTA(FILTER(B$1:B1296, B$1:B1296&lt;&gt;""""))))-1), IF('To Order'!$A1297=COL"&amp;"UMNS($A1297:B1316), B1296&amp;RIGHT(INDIRECT(ADDRESS(ROW(B1297)-1, 'From Order'!$A1297)), 1), B1296))"),"B")</f>
        <v>B</v>
      </c>
      <c r="C1297" s="2" t="str">
        <f>IFERROR(__xludf.DUMMYFUNCTION("IF('From Order'!$A1297=COLUMNS($A1297:C1316), LEFT(INDEX(FILTER(C$1:C1296, C$1:C1296&lt;&gt;""""),COUNTA(FILTER(C$1:C1296, C$1:C1296&lt;&gt;""""))), LEN(INDEX(FILTER(C$1:C1296, C$1:C1296&lt;&gt;""""),COUNTA(FILTER(C$1:C1296, C$1:C1296&lt;&gt;""""))))-1), IF('To Order'!$A1297=COL"&amp;"UMNS($A1297:C1316), C1296&amp;RIGHT(INDIRECT(ADDRESS(ROW(C1297)-1, 'From Order'!$A1297)), 1), C1296))"),"TRLRSGHWQVQJPPLDTMGBSDJDMFBTJ")</f>
        <v>TRLRSGHWQVQJPPLDTMGBSDJDMFBTJ</v>
      </c>
      <c r="D1297" s="2" t="str">
        <f>IFERROR(__xludf.DUMMYFUNCTION("IF('From Order'!$A1297=COLUMNS($A1297:D1316), LEFT(INDEX(FILTER(D$1:D1296, D$1:D1296&lt;&gt;""""),COUNTA(FILTER(D$1:D1296, D$1:D1296&lt;&gt;""""))), LEN(INDEX(FILTER(D$1:D1296, D$1:D1296&lt;&gt;""""),COUNTA(FILTER(D$1:D1296, D$1:D1296&lt;&gt;""""))))-1), IF('To Order'!$A1297=COL"&amp;"UMNS($A1297:D1316), D1296&amp;RIGHT(INDIRECT(ADDRESS(ROW(D1297)-1, 'From Order'!$A1297)), 1), D1296))"),"PTDVLB")</f>
        <v>PTDVLB</v>
      </c>
      <c r="E1297" s="2" t="str">
        <f>IFERROR(__xludf.DUMMYFUNCTION("IF('From Order'!$A1297=COLUMNS($A1297:E1316), LEFT(INDEX(FILTER(E$1:E1296, E$1:E1296&lt;&gt;""""),COUNTA(FILTER(E$1:E1296, E$1:E1296&lt;&gt;""""))), LEN(INDEX(FILTER(E$1:E1296, E$1:E1296&lt;&gt;""""),COUNTA(FILTER(E$1:E1296, E$1:E1296&lt;&gt;""""))))-1), IF('To Order'!$A1297=COL"&amp;"UMNS($A1297:E1316), E1296&amp;RIGHT(INDIRECT(ADDRESS(ROW(E1297)-1, 'From Order'!$A1297)), 1), E1296))"),"")</f>
        <v/>
      </c>
      <c r="F1297" s="2" t="str">
        <f>IFERROR(__xludf.DUMMYFUNCTION("IF('From Order'!$A1297=COLUMNS($A1297:F1316), LEFT(INDEX(FILTER(F$1:F1296, F$1:F1296&lt;&gt;""""),COUNTA(FILTER(F$1:F1296, F$1:F1296&lt;&gt;""""))), LEN(INDEX(FILTER(F$1:F1296, F$1:F1296&lt;&gt;""""),COUNTA(FILTER(F$1:F1296, F$1:F1296&lt;&gt;""""))))-1), IF('To Order'!$A1297=COL"&amp;"UMNS($A1297:F1316), F1296&amp;RIGHT(INDIRECT(ADDRESS(ROW(F1297)-1, 'From Order'!$A1297)), 1), F1296))"),"Z")</f>
        <v>Z</v>
      </c>
      <c r="G1297" s="2" t="str">
        <f>IFERROR(__xludf.DUMMYFUNCTION("IF('From Order'!$A1297=COLUMNS($A1297:G1316), LEFT(INDEX(FILTER(G$1:G1296, G$1:G1296&lt;&gt;""""),COUNTA(FILTER(G$1:G1296, G$1:G1296&lt;&gt;""""))), LEN(INDEX(FILTER(G$1:G1296, G$1:G1296&lt;&gt;""""),COUNTA(FILTER(G$1:G1296, G$1:G1296&lt;&gt;""""))))-1), IF('To Order'!$A1297=COL"&amp;"UMNS($A1297:G1316), G1296&amp;RIGHT(INDIRECT(ADDRESS(ROW(G1297)-1, 'From Order'!$A1297)), 1), G1296))"),"WRMTCRCDRZCSFVTS")</f>
        <v>WRMTCRCDRZCSFVTS</v>
      </c>
      <c r="H1297" s="2" t="str">
        <f>IFERROR(__xludf.DUMMYFUNCTION("IF('From Order'!$A1297=COLUMNS($A1297:H1316), LEFT(INDEX(FILTER(H$1:H1296, H$1:H1296&lt;&gt;""""),COUNTA(FILTER(H$1:H1296, H$1:H1296&lt;&gt;""""))), LEN(INDEX(FILTER(H$1:H1296, H$1:H1296&lt;&gt;""""),COUNTA(FILTER(H$1:H1296, H$1:H1296&lt;&gt;""""))))-1), IF('To Order'!$A1297=COL"&amp;"UMNS($A1297:H1316), H1296&amp;RIGHT(INDIRECT(ADDRESS(ROW(H1297)-1, 'From Order'!$A1297)), 1), H1296))"),"")</f>
        <v/>
      </c>
      <c r="I1297" s="2" t="str">
        <f>IFERROR(__xludf.DUMMYFUNCTION("IF('From Order'!$A1297=COLUMNS($A1297:I1316), LEFT(INDEX(FILTER(I$1:I1296, I$1:I1296&lt;&gt;""""),COUNTA(FILTER(I$1:I1296, I$1:I1296&lt;&gt;""""))), LEN(INDEX(FILTER(I$1:I1296, I$1:I1296&lt;&gt;""""),COUNTA(FILTER(I$1:I1296, I$1:I1296&lt;&gt;""""))))-1), IF('To Order'!$A1297=COL"&amp;"UMNS($A1297:I1316), I1296&amp;RIGHT(INDIRECT(ADDRESS(ROW(I1297)-1, 'From Order'!$A1297)), 1), I1296))"),"D")</f>
        <v>D</v>
      </c>
    </row>
    <row r="1298">
      <c r="A1298" s="2" t="str">
        <f>IFERROR(__xludf.DUMMYFUNCTION("IF('From Order'!$A1298=COLUMNS($A1298:A1317), LEFT(INDEX(FILTER(A$1:A1297, A$1:A1297&lt;&gt;""""),COUNTA(FILTER(A$1:A1297, A$1:A1297&lt;&gt;""""))), LEN(INDEX(FILTER(A$1:A1297, A$1:A1297&lt;&gt;""""),COUNTA(FILTER(A$1:A1297, A$1:A1297&lt;&gt;""""))))-1), IF('To Order'!$A1298=COL"&amp;"UMNS($A1298:A1317), A1297&amp;RIGHT(INDIRECT(ADDRESS(ROW(A1298)-1, 'From Order'!$A1298)), 1), A1297))"),"HZ")</f>
        <v>HZ</v>
      </c>
      <c r="B1298" s="2" t="str">
        <f>IFERROR(__xludf.DUMMYFUNCTION("IF('From Order'!$A1298=COLUMNS($A1298:B1317), LEFT(INDEX(FILTER(B$1:B1297, B$1:B1297&lt;&gt;""""),COUNTA(FILTER(B$1:B1297, B$1:B1297&lt;&gt;""""))), LEN(INDEX(FILTER(B$1:B1297, B$1:B1297&lt;&gt;""""),COUNTA(FILTER(B$1:B1297, B$1:B1297&lt;&gt;""""))))-1), IF('To Order'!$A1298=COL"&amp;"UMNS($A1298:B1317), B1297&amp;RIGHT(INDIRECT(ADDRESS(ROW(B1298)-1, 'From Order'!$A1298)), 1), B1297))"),"B")</f>
        <v>B</v>
      </c>
      <c r="C1298" s="2" t="str">
        <f>IFERROR(__xludf.DUMMYFUNCTION("IF('From Order'!$A1298=COLUMNS($A1298:C1317), LEFT(INDEX(FILTER(C$1:C1297, C$1:C1297&lt;&gt;""""),COUNTA(FILTER(C$1:C1297, C$1:C1297&lt;&gt;""""))), LEN(INDEX(FILTER(C$1:C1297, C$1:C1297&lt;&gt;""""),COUNTA(FILTER(C$1:C1297, C$1:C1297&lt;&gt;""""))))-1), IF('To Order'!$A1298=COL"&amp;"UMNS($A1298:C1317), C1297&amp;RIGHT(INDIRECT(ADDRESS(ROW(C1298)-1, 'From Order'!$A1298)), 1), C1297))"),"TRLRSGHWQVQJPPLDTMGBSDJDMFBTJ")</f>
        <v>TRLRSGHWQVQJPPLDTMGBSDJDMFBTJ</v>
      </c>
      <c r="D1298" s="2" t="str">
        <f>IFERROR(__xludf.DUMMYFUNCTION("IF('From Order'!$A1298=COLUMNS($A1298:D1317), LEFT(INDEX(FILTER(D$1:D1297, D$1:D1297&lt;&gt;""""),COUNTA(FILTER(D$1:D1297, D$1:D1297&lt;&gt;""""))), LEN(INDEX(FILTER(D$1:D1297, D$1:D1297&lt;&gt;""""),COUNTA(FILTER(D$1:D1297, D$1:D1297&lt;&gt;""""))))-1), IF('To Order'!$A1298=COL"&amp;"UMNS($A1298:D1317), D1297&amp;RIGHT(INDIRECT(ADDRESS(ROW(D1298)-1, 'From Order'!$A1298)), 1), D1297))"),"PTDVL")</f>
        <v>PTDVL</v>
      </c>
      <c r="E1298" s="2" t="str">
        <f>IFERROR(__xludf.DUMMYFUNCTION("IF('From Order'!$A1298=COLUMNS($A1298:E1317), LEFT(INDEX(FILTER(E$1:E1297, E$1:E1297&lt;&gt;""""),COUNTA(FILTER(E$1:E1297, E$1:E1297&lt;&gt;""""))), LEN(INDEX(FILTER(E$1:E1297, E$1:E1297&lt;&gt;""""),COUNTA(FILTER(E$1:E1297, E$1:E1297&lt;&gt;""""))))-1), IF('To Order'!$A1298=COL"&amp;"UMNS($A1298:E1317), E1297&amp;RIGHT(INDIRECT(ADDRESS(ROW(E1298)-1, 'From Order'!$A1298)), 1), E1297))"),"")</f>
        <v/>
      </c>
      <c r="F1298" s="2" t="str">
        <f>IFERROR(__xludf.DUMMYFUNCTION("IF('From Order'!$A1298=COLUMNS($A1298:F1317), LEFT(INDEX(FILTER(F$1:F1297, F$1:F1297&lt;&gt;""""),COUNTA(FILTER(F$1:F1297, F$1:F1297&lt;&gt;""""))), LEN(INDEX(FILTER(F$1:F1297, F$1:F1297&lt;&gt;""""),COUNTA(FILTER(F$1:F1297, F$1:F1297&lt;&gt;""""))))-1), IF('To Order'!$A1298=COL"&amp;"UMNS($A1298:F1317), F1297&amp;RIGHT(INDIRECT(ADDRESS(ROW(F1298)-1, 'From Order'!$A1298)), 1), F1297))"),"Z")</f>
        <v>Z</v>
      </c>
      <c r="G1298" s="2" t="str">
        <f>IFERROR(__xludf.DUMMYFUNCTION("IF('From Order'!$A1298=COLUMNS($A1298:G1317), LEFT(INDEX(FILTER(G$1:G1297, G$1:G1297&lt;&gt;""""),COUNTA(FILTER(G$1:G1297, G$1:G1297&lt;&gt;""""))), LEN(INDEX(FILTER(G$1:G1297, G$1:G1297&lt;&gt;""""),COUNTA(FILTER(G$1:G1297, G$1:G1297&lt;&gt;""""))))-1), IF('To Order'!$A1298=COL"&amp;"UMNS($A1298:G1317), G1297&amp;RIGHT(INDIRECT(ADDRESS(ROW(G1298)-1, 'From Order'!$A1298)), 1), G1297))"),"WRMTCRCDRZCSFVTSB")</f>
        <v>WRMTCRCDRZCSFVTSB</v>
      </c>
      <c r="H1298" s="2" t="str">
        <f>IFERROR(__xludf.DUMMYFUNCTION("IF('From Order'!$A1298=COLUMNS($A1298:H1317), LEFT(INDEX(FILTER(H$1:H1297, H$1:H1297&lt;&gt;""""),COUNTA(FILTER(H$1:H1297, H$1:H1297&lt;&gt;""""))), LEN(INDEX(FILTER(H$1:H1297, H$1:H1297&lt;&gt;""""),COUNTA(FILTER(H$1:H1297, H$1:H1297&lt;&gt;""""))))-1), IF('To Order'!$A1298=COL"&amp;"UMNS($A1298:H1317), H1297&amp;RIGHT(INDIRECT(ADDRESS(ROW(H1298)-1, 'From Order'!$A1298)), 1), H1297))"),"")</f>
        <v/>
      </c>
      <c r="I1298" s="2" t="str">
        <f>IFERROR(__xludf.DUMMYFUNCTION("IF('From Order'!$A1298=COLUMNS($A1298:I1317), LEFT(INDEX(FILTER(I$1:I1297, I$1:I1297&lt;&gt;""""),COUNTA(FILTER(I$1:I1297, I$1:I1297&lt;&gt;""""))), LEN(INDEX(FILTER(I$1:I1297, I$1:I1297&lt;&gt;""""),COUNTA(FILTER(I$1:I1297, I$1:I1297&lt;&gt;""""))))-1), IF('To Order'!$A1298=COL"&amp;"UMNS($A1298:I1317), I1297&amp;RIGHT(INDIRECT(ADDRESS(ROW(I1298)-1, 'From Order'!$A1298)), 1), I1297))"),"D")</f>
        <v>D</v>
      </c>
    </row>
    <row r="1299">
      <c r="A1299" s="2" t="str">
        <f>IFERROR(__xludf.DUMMYFUNCTION("IF('From Order'!$A1299=COLUMNS($A1299:A1318), LEFT(INDEX(FILTER(A$1:A1298, A$1:A1298&lt;&gt;""""),COUNTA(FILTER(A$1:A1298, A$1:A1298&lt;&gt;""""))), LEN(INDEX(FILTER(A$1:A1298, A$1:A1298&lt;&gt;""""),COUNTA(FILTER(A$1:A1298, A$1:A1298&lt;&gt;""""))))-1), IF('To Order'!$A1299=COL"&amp;"UMNS($A1299:A1318), A1298&amp;RIGHT(INDIRECT(ADDRESS(ROW(A1299)-1, 'From Order'!$A1299)), 1), A1298))"),"HZ")</f>
        <v>HZ</v>
      </c>
      <c r="B1299" s="2" t="str">
        <f>IFERROR(__xludf.DUMMYFUNCTION("IF('From Order'!$A1299=COLUMNS($A1299:B1318), LEFT(INDEX(FILTER(B$1:B1298, B$1:B1298&lt;&gt;""""),COUNTA(FILTER(B$1:B1298, B$1:B1298&lt;&gt;""""))), LEN(INDEX(FILTER(B$1:B1298, B$1:B1298&lt;&gt;""""),COUNTA(FILTER(B$1:B1298, B$1:B1298&lt;&gt;""""))))-1), IF('To Order'!$A1299=COL"&amp;"UMNS($A1299:B1318), B1298&amp;RIGHT(INDIRECT(ADDRESS(ROW(B1299)-1, 'From Order'!$A1299)), 1), B1298))"),"B")</f>
        <v>B</v>
      </c>
      <c r="C1299" s="2" t="str">
        <f>IFERROR(__xludf.DUMMYFUNCTION("IF('From Order'!$A1299=COLUMNS($A1299:C1318), LEFT(INDEX(FILTER(C$1:C1298, C$1:C1298&lt;&gt;""""),COUNTA(FILTER(C$1:C1298, C$1:C1298&lt;&gt;""""))), LEN(INDEX(FILTER(C$1:C1298, C$1:C1298&lt;&gt;""""),COUNTA(FILTER(C$1:C1298, C$1:C1298&lt;&gt;""""))))-1), IF('To Order'!$A1299=COL"&amp;"UMNS($A1299:C1318), C1298&amp;RIGHT(INDIRECT(ADDRESS(ROW(C1299)-1, 'From Order'!$A1299)), 1), C1298))"),"TRLRSGHWQVQJPPLDTMGBSDJDMFBTJ")</f>
        <v>TRLRSGHWQVQJPPLDTMGBSDJDMFBTJ</v>
      </c>
      <c r="D1299" s="2" t="str">
        <f>IFERROR(__xludf.DUMMYFUNCTION("IF('From Order'!$A1299=COLUMNS($A1299:D1318), LEFT(INDEX(FILTER(D$1:D1298, D$1:D1298&lt;&gt;""""),COUNTA(FILTER(D$1:D1298, D$1:D1298&lt;&gt;""""))), LEN(INDEX(FILTER(D$1:D1298, D$1:D1298&lt;&gt;""""),COUNTA(FILTER(D$1:D1298, D$1:D1298&lt;&gt;""""))))-1), IF('To Order'!$A1299=COL"&amp;"UMNS($A1299:D1318), D1298&amp;RIGHT(INDIRECT(ADDRESS(ROW(D1299)-1, 'From Order'!$A1299)), 1), D1298))"),"PTDV")</f>
        <v>PTDV</v>
      </c>
      <c r="E1299" s="2" t="str">
        <f>IFERROR(__xludf.DUMMYFUNCTION("IF('From Order'!$A1299=COLUMNS($A1299:E1318), LEFT(INDEX(FILTER(E$1:E1298, E$1:E1298&lt;&gt;""""),COUNTA(FILTER(E$1:E1298, E$1:E1298&lt;&gt;""""))), LEN(INDEX(FILTER(E$1:E1298, E$1:E1298&lt;&gt;""""),COUNTA(FILTER(E$1:E1298, E$1:E1298&lt;&gt;""""))))-1), IF('To Order'!$A1299=COL"&amp;"UMNS($A1299:E1318), E1298&amp;RIGHT(INDIRECT(ADDRESS(ROW(E1299)-1, 'From Order'!$A1299)), 1), E1298))"),"")</f>
        <v/>
      </c>
      <c r="F1299" s="2" t="str">
        <f>IFERROR(__xludf.DUMMYFUNCTION("IF('From Order'!$A1299=COLUMNS($A1299:F1318), LEFT(INDEX(FILTER(F$1:F1298, F$1:F1298&lt;&gt;""""),COUNTA(FILTER(F$1:F1298, F$1:F1298&lt;&gt;""""))), LEN(INDEX(FILTER(F$1:F1298, F$1:F1298&lt;&gt;""""),COUNTA(FILTER(F$1:F1298, F$1:F1298&lt;&gt;""""))))-1), IF('To Order'!$A1299=COL"&amp;"UMNS($A1299:F1318), F1298&amp;RIGHT(INDIRECT(ADDRESS(ROW(F1299)-1, 'From Order'!$A1299)), 1), F1298))"),"Z")</f>
        <v>Z</v>
      </c>
      <c r="G1299" s="2" t="str">
        <f>IFERROR(__xludf.DUMMYFUNCTION("IF('From Order'!$A1299=COLUMNS($A1299:G1318), LEFT(INDEX(FILTER(G$1:G1298, G$1:G1298&lt;&gt;""""),COUNTA(FILTER(G$1:G1298, G$1:G1298&lt;&gt;""""))), LEN(INDEX(FILTER(G$1:G1298, G$1:G1298&lt;&gt;""""),COUNTA(FILTER(G$1:G1298, G$1:G1298&lt;&gt;""""))))-1), IF('To Order'!$A1299=COL"&amp;"UMNS($A1299:G1318), G1298&amp;RIGHT(INDIRECT(ADDRESS(ROW(G1299)-1, 'From Order'!$A1299)), 1), G1298))"),"WRMTCRCDRZCSFVTSBL")</f>
        <v>WRMTCRCDRZCSFVTSBL</v>
      </c>
      <c r="H1299" s="2" t="str">
        <f>IFERROR(__xludf.DUMMYFUNCTION("IF('From Order'!$A1299=COLUMNS($A1299:H1318), LEFT(INDEX(FILTER(H$1:H1298, H$1:H1298&lt;&gt;""""),COUNTA(FILTER(H$1:H1298, H$1:H1298&lt;&gt;""""))), LEN(INDEX(FILTER(H$1:H1298, H$1:H1298&lt;&gt;""""),COUNTA(FILTER(H$1:H1298, H$1:H1298&lt;&gt;""""))))-1), IF('To Order'!$A1299=COL"&amp;"UMNS($A1299:H1318), H1298&amp;RIGHT(INDIRECT(ADDRESS(ROW(H1299)-1, 'From Order'!$A1299)), 1), H1298))"),"")</f>
        <v/>
      </c>
      <c r="I1299" s="2" t="str">
        <f>IFERROR(__xludf.DUMMYFUNCTION("IF('From Order'!$A1299=COLUMNS($A1299:I1318), LEFT(INDEX(FILTER(I$1:I1298, I$1:I1298&lt;&gt;""""),COUNTA(FILTER(I$1:I1298, I$1:I1298&lt;&gt;""""))), LEN(INDEX(FILTER(I$1:I1298, I$1:I1298&lt;&gt;""""),COUNTA(FILTER(I$1:I1298, I$1:I1298&lt;&gt;""""))))-1), IF('To Order'!$A1299=COL"&amp;"UMNS($A1299:I1318), I1298&amp;RIGHT(INDIRECT(ADDRESS(ROW(I1299)-1, 'From Order'!$A1299)), 1), I1298))"),"D")</f>
        <v>D</v>
      </c>
    </row>
    <row r="1300">
      <c r="A1300" s="2" t="str">
        <f>IFERROR(__xludf.DUMMYFUNCTION("IF('From Order'!$A1300=COLUMNS($A1300:A1319), LEFT(INDEX(FILTER(A$1:A1299, A$1:A1299&lt;&gt;""""),COUNTA(FILTER(A$1:A1299, A$1:A1299&lt;&gt;""""))), LEN(INDEX(FILTER(A$1:A1299, A$1:A1299&lt;&gt;""""),COUNTA(FILTER(A$1:A1299, A$1:A1299&lt;&gt;""""))))-1), IF('To Order'!$A1300=COL"&amp;"UMNS($A1300:A1319), A1299&amp;RIGHT(INDIRECT(ADDRESS(ROW(A1300)-1, 'From Order'!$A1300)), 1), A1299))"),"HZ")</f>
        <v>HZ</v>
      </c>
      <c r="B1300" s="2" t="str">
        <f>IFERROR(__xludf.DUMMYFUNCTION("IF('From Order'!$A1300=COLUMNS($A1300:B1319), LEFT(INDEX(FILTER(B$1:B1299, B$1:B1299&lt;&gt;""""),COUNTA(FILTER(B$1:B1299, B$1:B1299&lt;&gt;""""))), LEN(INDEX(FILTER(B$1:B1299, B$1:B1299&lt;&gt;""""),COUNTA(FILTER(B$1:B1299, B$1:B1299&lt;&gt;""""))))-1), IF('To Order'!$A1300=COL"&amp;"UMNS($A1300:B1319), B1299&amp;RIGHT(INDIRECT(ADDRESS(ROW(B1300)-1, 'From Order'!$A1300)), 1), B1299))"),"BV")</f>
        <v>BV</v>
      </c>
      <c r="C1300" s="2" t="str">
        <f>IFERROR(__xludf.DUMMYFUNCTION("IF('From Order'!$A1300=COLUMNS($A1300:C1319), LEFT(INDEX(FILTER(C$1:C1299, C$1:C1299&lt;&gt;""""),COUNTA(FILTER(C$1:C1299, C$1:C1299&lt;&gt;""""))), LEN(INDEX(FILTER(C$1:C1299, C$1:C1299&lt;&gt;""""),COUNTA(FILTER(C$1:C1299, C$1:C1299&lt;&gt;""""))))-1), IF('To Order'!$A1300=COL"&amp;"UMNS($A1300:C1319), C1299&amp;RIGHT(INDIRECT(ADDRESS(ROW(C1300)-1, 'From Order'!$A1300)), 1), C1299))"),"TRLRSGHWQVQJPPLDTMGBSDJDMFBTJ")</f>
        <v>TRLRSGHWQVQJPPLDTMGBSDJDMFBTJ</v>
      </c>
      <c r="D1300" s="2" t="str">
        <f>IFERROR(__xludf.DUMMYFUNCTION("IF('From Order'!$A1300=COLUMNS($A1300:D1319), LEFT(INDEX(FILTER(D$1:D1299, D$1:D1299&lt;&gt;""""),COUNTA(FILTER(D$1:D1299, D$1:D1299&lt;&gt;""""))), LEN(INDEX(FILTER(D$1:D1299, D$1:D1299&lt;&gt;""""),COUNTA(FILTER(D$1:D1299, D$1:D1299&lt;&gt;""""))))-1), IF('To Order'!$A1300=COL"&amp;"UMNS($A1300:D1319), D1299&amp;RIGHT(INDIRECT(ADDRESS(ROW(D1300)-1, 'From Order'!$A1300)), 1), D1299))"),"PTD")</f>
        <v>PTD</v>
      </c>
      <c r="E1300" s="2" t="str">
        <f>IFERROR(__xludf.DUMMYFUNCTION("IF('From Order'!$A1300=COLUMNS($A1300:E1319), LEFT(INDEX(FILTER(E$1:E1299, E$1:E1299&lt;&gt;""""),COUNTA(FILTER(E$1:E1299, E$1:E1299&lt;&gt;""""))), LEN(INDEX(FILTER(E$1:E1299, E$1:E1299&lt;&gt;""""),COUNTA(FILTER(E$1:E1299, E$1:E1299&lt;&gt;""""))))-1), IF('To Order'!$A1300=COL"&amp;"UMNS($A1300:E1319), E1299&amp;RIGHT(INDIRECT(ADDRESS(ROW(E1300)-1, 'From Order'!$A1300)), 1), E1299))"),"")</f>
        <v/>
      </c>
      <c r="F1300" s="2" t="str">
        <f>IFERROR(__xludf.DUMMYFUNCTION("IF('From Order'!$A1300=COLUMNS($A1300:F1319), LEFT(INDEX(FILTER(F$1:F1299, F$1:F1299&lt;&gt;""""),COUNTA(FILTER(F$1:F1299, F$1:F1299&lt;&gt;""""))), LEN(INDEX(FILTER(F$1:F1299, F$1:F1299&lt;&gt;""""),COUNTA(FILTER(F$1:F1299, F$1:F1299&lt;&gt;""""))))-1), IF('To Order'!$A1300=COL"&amp;"UMNS($A1300:F1319), F1299&amp;RIGHT(INDIRECT(ADDRESS(ROW(F1300)-1, 'From Order'!$A1300)), 1), F1299))"),"Z")</f>
        <v>Z</v>
      </c>
      <c r="G1300" s="2" t="str">
        <f>IFERROR(__xludf.DUMMYFUNCTION("IF('From Order'!$A1300=COLUMNS($A1300:G1319), LEFT(INDEX(FILTER(G$1:G1299, G$1:G1299&lt;&gt;""""),COUNTA(FILTER(G$1:G1299, G$1:G1299&lt;&gt;""""))), LEN(INDEX(FILTER(G$1:G1299, G$1:G1299&lt;&gt;""""),COUNTA(FILTER(G$1:G1299, G$1:G1299&lt;&gt;""""))))-1), IF('To Order'!$A1300=COL"&amp;"UMNS($A1300:G1319), G1299&amp;RIGHT(INDIRECT(ADDRESS(ROW(G1300)-1, 'From Order'!$A1300)), 1), G1299))"),"WRMTCRCDRZCSFVTSBL")</f>
        <v>WRMTCRCDRZCSFVTSBL</v>
      </c>
      <c r="H1300" s="2" t="str">
        <f>IFERROR(__xludf.DUMMYFUNCTION("IF('From Order'!$A1300=COLUMNS($A1300:H1319), LEFT(INDEX(FILTER(H$1:H1299, H$1:H1299&lt;&gt;""""),COUNTA(FILTER(H$1:H1299, H$1:H1299&lt;&gt;""""))), LEN(INDEX(FILTER(H$1:H1299, H$1:H1299&lt;&gt;""""),COUNTA(FILTER(H$1:H1299, H$1:H1299&lt;&gt;""""))))-1), IF('To Order'!$A1300=COL"&amp;"UMNS($A1300:H1319), H1299&amp;RIGHT(INDIRECT(ADDRESS(ROW(H1300)-1, 'From Order'!$A1300)), 1), H1299))"),"")</f>
        <v/>
      </c>
      <c r="I1300" s="2" t="str">
        <f>IFERROR(__xludf.DUMMYFUNCTION("IF('From Order'!$A1300=COLUMNS($A1300:I1319), LEFT(INDEX(FILTER(I$1:I1299, I$1:I1299&lt;&gt;""""),COUNTA(FILTER(I$1:I1299, I$1:I1299&lt;&gt;""""))), LEN(INDEX(FILTER(I$1:I1299, I$1:I1299&lt;&gt;""""),COUNTA(FILTER(I$1:I1299, I$1:I1299&lt;&gt;""""))))-1), IF('To Order'!$A1300=COL"&amp;"UMNS($A1300:I1319), I1299&amp;RIGHT(INDIRECT(ADDRESS(ROW(I1300)-1, 'From Order'!$A1300)), 1), I1299))"),"D")</f>
        <v>D</v>
      </c>
    </row>
    <row r="1301">
      <c r="A1301" s="2" t="str">
        <f>IFERROR(__xludf.DUMMYFUNCTION("IF('From Order'!$A1301=COLUMNS($A1301:A1320), LEFT(INDEX(FILTER(A$1:A1300, A$1:A1300&lt;&gt;""""),COUNTA(FILTER(A$1:A1300, A$1:A1300&lt;&gt;""""))), LEN(INDEX(FILTER(A$1:A1300, A$1:A1300&lt;&gt;""""),COUNTA(FILTER(A$1:A1300, A$1:A1300&lt;&gt;""""))))-1), IF('To Order'!$A1301=COL"&amp;"UMNS($A1301:A1320), A1300&amp;RIGHT(INDIRECT(ADDRESS(ROW(A1301)-1, 'From Order'!$A1301)), 1), A1300))"),"HZ")</f>
        <v>HZ</v>
      </c>
      <c r="B1301" s="2" t="str">
        <f>IFERROR(__xludf.DUMMYFUNCTION("IF('From Order'!$A1301=COLUMNS($A1301:B1320), LEFT(INDEX(FILTER(B$1:B1300, B$1:B1300&lt;&gt;""""),COUNTA(FILTER(B$1:B1300, B$1:B1300&lt;&gt;""""))), LEN(INDEX(FILTER(B$1:B1300, B$1:B1300&lt;&gt;""""),COUNTA(FILTER(B$1:B1300, B$1:B1300&lt;&gt;""""))))-1), IF('To Order'!$A1301=COL"&amp;"UMNS($A1301:B1320), B1300&amp;RIGHT(INDIRECT(ADDRESS(ROW(B1301)-1, 'From Order'!$A1301)), 1), B1300))"),"BV")</f>
        <v>BV</v>
      </c>
      <c r="C1301" s="2" t="str">
        <f>IFERROR(__xludf.DUMMYFUNCTION("IF('From Order'!$A1301=COLUMNS($A1301:C1320), LEFT(INDEX(FILTER(C$1:C1300, C$1:C1300&lt;&gt;""""),COUNTA(FILTER(C$1:C1300, C$1:C1300&lt;&gt;""""))), LEN(INDEX(FILTER(C$1:C1300, C$1:C1300&lt;&gt;""""),COUNTA(FILTER(C$1:C1300, C$1:C1300&lt;&gt;""""))))-1), IF('To Order'!$A1301=COL"&amp;"UMNS($A1301:C1320), C1300&amp;RIGHT(INDIRECT(ADDRESS(ROW(C1301)-1, 'From Order'!$A1301)), 1), C1300))"),"TRLRSGHWQVQJPPLDTMGBSDJDMFBTJ")</f>
        <v>TRLRSGHWQVQJPPLDTMGBSDJDMFBTJ</v>
      </c>
      <c r="D1301" s="2" t="str">
        <f>IFERROR(__xludf.DUMMYFUNCTION("IF('From Order'!$A1301=COLUMNS($A1301:D1320), LEFT(INDEX(FILTER(D$1:D1300, D$1:D1300&lt;&gt;""""),COUNTA(FILTER(D$1:D1300, D$1:D1300&lt;&gt;""""))), LEN(INDEX(FILTER(D$1:D1300, D$1:D1300&lt;&gt;""""),COUNTA(FILTER(D$1:D1300, D$1:D1300&lt;&gt;""""))))-1), IF('To Order'!$A1301=COL"&amp;"UMNS($A1301:D1320), D1300&amp;RIGHT(INDIRECT(ADDRESS(ROW(D1301)-1, 'From Order'!$A1301)), 1), D1300))"),"PT")</f>
        <v>PT</v>
      </c>
      <c r="E1301" s="2" t="str">
        <f>IFERROR(__xludf.DUMMYFUNCTION("IF('From Order'!$A1301=COLUMNS($A1301:E1320), LEFT(INDEX(FILTER(E$1:E1300, E$1:E1300&lt;&gt;""""),COUNTA(FILTER(E$1:E1300, E$1:E1300&lt;&gt;""""))), LEN(INDEX(FILTER(E$1:E1300, E$1:E1300&lt;&gt;""""),COUNTA(FILTER(E$1:E1300, E$1:E1300&lt;&gt;""""))))-1), IF('To Order'!$A1301=COL"&amp;"UMNS($A1301:E1320), E1300&amp;RIGHT(INDIRECT(ADDRESS(ROW(E1301)-1, 'From Order'!$A1301)), 1), E1300))"),"")</f>
        <v/>
      </c>
      <c r="F1301" s="2" t="str">
        <f>IFERROR(__xludf.DUMMYFUNCTION("IF('From Order'!$A1301=COLUMNS($A1301:F1320), LEFT(INDEX(FILTER(F$1:F1300, F$1:F1300&lt;&gt;""""),COUNTA(FILTER(F$1:F1300, F$1:F1300&lt;&gt;""""))), LEN(INDEX(FILTER(F$1:F1300, F$1:F1300&lt;&gt;""""),COUNTA(FILTER(F$1:F1300, F$1:F1300&lt;&gt;""""))))-1), IF('To Order'!$A1301=COL"&amp;"UMNS($A1301:F1320), F1300&amp;RIGHT(INDIRECT(ADDRESS(ROW(F1301)-1, 'From Order'!$A1301)), 1), F1300))"),"Z")</f>
        <v>Z</v>
      </c>
      <c r="G1301" s="2" t="str">
        <f>IFERROR(__xludf.DUMMYFUNCTION("IF('From Order'!$A1301=COLUMNS($A1301:G1320), LEFT(INDEX(FILTER(G$1:G1300, G$1:G1300&lt;&gt;""""),COUNTA(FILTER(G$1:G1300, G$1:G1300&lt;&gt;""""))), LEN(INDEX(FILTER(G$1:G1300, G$1:G1300&lt;&gt;""""),COUNTA(FILTER(G$1:G1300, G$1:G1300&lt;&gt;""""))))-1), IF('To Order'!$A1301=COL"&amp;"UMNS($A1301:G1320), G1300&amp;RIGHT(INDIRECT(ADDRESS(ROW(G1301)-1, 'From Order'!$A1301)), 1), G1300))"),"WRMTCRCDRZCSFVTSBL")</f>
        <v>WRMTCRCDRZCSFVTSBL</v>
      </c>
      <c r="H1301" s="2" t="str">
        <f>IFERROR(__xludf.DUMMYFUNCTION("IF('From Order'!$A1301=COLUMNS($A1301:H1320), LEFT(INDEX(FILTER(H$1:H1300, H$1:H1300&lt;&gt;""""),COUNTA(FILTER(H$1:H1300, H$1:H1300&lt;&gt;""""))), LEN(INDEX(FILTER(H$1:H1300, H$1:H1300&lt;&gt;""""),COUNTA(FILTER(H$1:H1300, H$1:H1300&lt;&gt;""""))))-1), IF('To Order'!$A1301=COL"&amp;"UMNS($A1301:H1320), H1300&amp;RIGHT(INDIRECT(ADDRESS(ROW(H1301)-1, 'From Order'!$A1301)), 1), H1300))"),"")</f>
        <v/>
      </c>
      <c r="I1301" s="2" t="str">
        <f>IFERROR(__xludf.DUMMYFUNCTION("IF('From Order'!$A1301=COLUMNS($A1301:I1320), LEFT(INDEX(FILTER(I$1:I1300, I$1:I1300&lt;&gt;""""),COUNTA(FILTER(I$1:I1300, I$1:I1300&lt;&gt;""""))), LEN(INDEX(FILTER(I$1:I1300, I$1:I1300&lt;&gt;""""),COUNTA(FILTER(I$1:I1300, I$1:I1300&lt;&gt;""""))))-1), IF('To Order'!$A1301=COL"&amp;"UMNS($A1301:I1320), I1300&amp;RIGHT(INDIRECT(ADDRESS(ROW(I1301)-1, 'From Order'!$A1301)), 1), I1300))"),"DD")</f>
        <v>DD</v>
      </c>
    </row>
    <row r="1302">
      <c r="A1302" s="2" t="str">
        <f>IFERROR(__xludf.DUMMYFUNCTION("IF('From Order'!$A1302=COLUMNS($A1302:A1321), LEFT(INDEX(FILTER(A$1:A1301, A$1:A1301&lt;&gt;""""),COUNTA(FILTER(A$1:A1301, A$1:A1301&lt;&gt;""""))), LEN(INDEX(FILTER(A$1:A1301, A$1:A1301&lt;&gt;""""),COUNTA(FILTER(A$1:A1301, A$1:A1301&lt;&gt;""""))))-1), IF('To Order'!$A1302=COL"&amp;"UMNS($A1302:A1321), A1301&amp;RIGHT(INDIRECT(ADDRESS(ROW(A1302)-1, 'From Order'!$A1302)), 1), A1301))"),"HZ")</f>
        <v>HZ</v>
      </c>
      <c r="B1302" s="2" t="str">
        <f>IFERROR(__xludf.DUMMYFUNCTION("IF('From Order'!$A1302=COLUMNS($A1302:B1321), LEFT(INDEX(FILTER(B$1:B1301, B$1:B1301&lt;&gt;""""),COUNTA(FILTER(B$1:B1301, B$1:B1301&lt;&gt;""""))), LEN(INDEX(FILTER(B$1:B1301, B$1:B1301&lt;&gt;""""),COUNTA(FILTER(B$1:B1301, B$1:B1301&lt;&gt;""""))))-1), IF('To Order'!$A1302=COL"&amp;"UMNS($A1302:B1321), B1301&amp;RIGHT(INDIRECT(ADDRESS(ROW(B1302)-1, 'From Order'!$A1302)), 1), B1301))"),"BV")</f>
        <v>BV</v>
      </c>
      <c r="C1302" s="2" t="str">
        <f>IFERROR(__xludf.DUMMYFUNCTION("IF('From Order'!$A1302=COLUMNS($A1302:C1321), LEFT(INDEX(FILTER(C$1:C1301, C$1:C1301&lt;&gt;""""),COUNTA(FILTER(C$1:C1301, C$1:C1301&lt;&gt;""""))), LEN(INDEX(FILTER(C$1:C1301, C$1:C1301&lt;&gt;""""),COUNTA(FILTER(C$1:C1301, C$1:C1301&lt;&gt;""""))))-1), IF('To Order'!$A1302=COL"&amp;"UMNS($A1302:C1321), C1301&amp;RIGHT(INDIRECT(ADDRESS(ROW(C1302)-1, 'From Order'!$A1302)), 1), C1301))"),"TRLRSGHWQVQJPPLDTMGBSDJDMFBTJ")</f>
        <v>TRLRSGHWQVQJPPLDTMGBSDJDMFBTJ</v>
      </c>
      <c r="D1302" s="2" t="str">
        <f>IFERROR(__xludf.DUMMYFUNCTION("IF('From Order'!$A1302=COLUMNS($A1302:D1321), LEFT(INDEX(FILTER(D$1:D1301, D$1:D1301&lt;&gt;""""),COUNTA(FILTER(D$1:D1301, D$1:D1301&lt;&gt;""""))), LEN(INDEX(FILTER(D$1:D1301, D$1:D1301&lt;&gt;""""),COUNTA(FILTER(D$1:D1301, D$1:D1301&lt;&gt;""""))))-1), IF('To Order'!$A1302=COL"&amp;"UMNS($A1302:D1321), D1301&amp;RIGHT(INDIRECT(ADDRESS(ROW(D1302)-1, 'From Order'!$A1302)), 1), D1301))"),"P")</f>
        <v>P</v>
      </c>
      <c r="E1302" s="2" t="str">
        <f>IFERROR(__xludf.DUMMYFUNCTION("IF('From Order'!$A1302=COLUMNS($A1302:E1321), LEFT(INDEX(FILTER(E$1:E1301, E$1:E1301&lt;&gt;""""),COUNTA(FILTER(E$1:E1301, E$1:E1301&lt;&gt;""""))), LEN(INDEX(FILTER(E$1:E1301, E$1:E1301&lt;&gt;""""),COUNTA(FILTER(E$1:E1301, E$1:E1301&lt;&gt;""""))))-1), IF('To Order'!$A1302=COL"&amp;"UMNS($A1302:E1321), E1301&amp;RIGHT(INDIRECT(ADDRESS(ROW(E1302)-1, 'From Order'!$A1302)), 1), E1301))"),"")</f>
        <v/>
      </c>
      <c r="F1302" s="2" t="str">
        <f>IFERROR(__xludf.DUMMYFUNCTION("IF('From Order'!$A1302=COLUMNS($A1302:F1321), LEFT(INDEX(FILTER(F$1:F1301, F$1:F1301&lt;&gt;""""),COUNTA(FILTER(F$1:F1301, F$1:F1301&lt;&gt;""""))), LEN(INDEX(FILTER(F$1:F1301, F$1:F1301&lt;&gt;""""),COUNTA(FILTER(F$1:F1301, F$1:F1301&lt;&gt;""""))))-1), IF('To Order'!$A1302=COL"&amp;"UMNS($A1302:F1321), F1301&amp;RIGHT(INDIRECT(ADDRESS(ROW(F1302)-1, 'From Order'!$A1302)), 1), F1301))"),"Z")</f>
        <v>Z</v>
      </c>
      <c r="G1302" s="2" t="str">
        <f>IFERROR(__xludf.DUMMYFUNCTION("IF('From Order'!$A1302=COLUMNS($A1302:G1321), LEFT(INDEX(FILTER(G$1:G1301, G$1:G1301&lt;&gt;""""),COUNTA(FILTER(G$1:G1301, G$1:G1301&lt;&gt;""""))), LEN(INDEX(FILTER(G$1:G1301, G$1:G1301&lt;&gt;""""),COUNTA(FILTER(G$1:G1301, G$1:G1301&lt;&gt;""""))))-1), IF('To Order'!$A1302=COL"&amp;"UMNS($A1302:G1321), G1301&amp;RIGHT(INDIRECT(ADDRESS(ROW(G1302)-1, 'From Order'!$A1302)), 1), G1301))"),"WRMTCRCDRZCSFVTSBL")</f>
        <v>WRMTCRCDRZCSFVTSBL</v>
      </c>
      <c r="H1302" s="2" t="str">
        <f>IFERROR(__xludf.DUMMYFUNCTION("IF('From Order'!$A1302=COLUMNS($A1302:H1321), LEFT(INDEX(FILTER(H$1:H1301, H$1:H1301&lt;&gt;""""),COUNTA(FILTER(H$1:H1301, H$1:H1301&lt;&gt;""""))), LEN(INDEX(FILTER(H$1:H1301, H$1:H1301&lt;&gt;""""),COUNTA(FILTER(H$1:H1301, H$1:H1301&lt;&gt;""""))))-1), IF('To Order'!$A1302=COL"&amp;"UMNS($A1302:H1321), H1301&amp;RIGHT(INDIRECT(ADDRESS(ROW(H1302)-1, 'From Order'!$A1302)), 1), H1301))"),"")</f>
        <v/>
      </c>
      <c r="I1302" s="2" t="str">
        <f>IFERROR(__xludf.DUMMYFUNCTION("IF('From Order'!$A1302=COLUMNS($A1302:I1321), LEFT(INDEX(FILTER(I$1:I1301, I$1:I1301&lt;&gt;""""),COUNTA(FILTER(I$1:I1301, I$1:I1301&lt;&gt;""""))), LEN(INDEX(FILTER(I$1:I1301, I$1:I1301&lt;&gt;""""),COUNTA(FILTER(I$1:I1301, I$1:I1301&lt;&gt;""""))))-1), IF('To Order'!$A1302=COL"&amp;"UMNS($A1302:I1321), I1301&amp;RIGHT(INDIRECT(ADDRESS(ROW(I1302)-1, 'From Order'!$A1302)), 1), I1301))"),"DDT")</f>
        <v>DDT</v>
      </c>
    </row>
    <row r="1303">
      <c r="A1303" s="2" t="str">
        <f>IFERROR(__xludf.DUMMYFUNCTION("IF('From Order'!$A1303=COLUMNS($A1303:A1322), LEFT(INDEX(FILTER(A$1:A1302, A$1:A1302&lt;&gt;""""),COUNTA(FILTER(A$1:A1302, A$1:A1302&lt;&gt;""""))), LEN(INDEX(FILTER(A$1:A1302, A$1:A1302&lt;&gt;""""),COUNTA(FILTER(A$1:A1302, A$1:A1302&lt;&gt;""""))))-1), IF('To Order'!$A1303=COL"&amp;"UMNS($A1303:A1322), A1302&amp;RIGHT(INDIRECT(ADDRESS(ROW(A1303)-1, 'From Order'!$A1303)), 1), A1302))"),"HZ")</f>
        <v>HZ</v>
      </c>
      <c r="B1303" s="2" t="str">
        <f>IFERROR(__xludf.DUMMYFUNCTION("IF('From Order'!$A1303=COLUMNS($A1303:B1322), LEFT(INDEX(FILTER(B$1:B1302, B$1:B1302&lt;&gt;""""),COUNTA(FILTER(B$1:B1302, B$1:B1302&lt;&gt;""""))), LEN(INDEX(FILTER(B$1:B1302, B$1:B1302&lt;&gt;""""),COUNTA(FILTER(B$1:B1302, B$1:B1302&lt;&gt;""""))))-1), IF('To Order'!$A1303=COL"&amp;"UMNS($A1303:B1322), B1302&amp;RIGHT(INDIRECT(ADDRESS(ROW(B1303)-1, 'From Order'!$A1303)), 1), B1302))"),"BV")</f>
        <v>BV</v>
      </c>
      <c r="C1303" s="2" t="str">
        <f>IFERROR(__xludf.DUMMYFUNCTION("IF('From Order'!$A1303=COLUMNS($A1303:C1322), LEFT(INDEX(FILTER(C$1:C1302, C$1:C1302&lt;&gt;""""),COUNTA(FILTER(C$1:C1302, C$1:C1302&lt;&gt;""""))), LEN(INDEX(FILTER(C$1:C1302, C$1:C1302&lt;&gt;""""),COUNTA(FILTER(C$1:C1302, C$1:C1302&lt;&gt;""""))))-1), IF('To Order'!$A1303=COL"&amp;"UMNS($A1303:C1322), C1302&amp;RIGHT(INDIRECT(ADDRESS(ROW(C1303)-1, 'From Order'!$A1303)), 1), C1302))"),"TRLRSGHWQVQJPPLDTMGBSDJDMFBTJ")</f>
        <v>TRLRSGHWQVQJPPLDTMGBSDJDMFBTJ</v>
      </c>
      <c r="D1303" s="2" t="str">
        <f>IFERROR(__xludf.DUMMYFUNCTION("IF('From Order'!$A1303=COLUMNS($A1303:D1322), LEFT(INDEX(FILTER(D$1:D1302, D$1:D1302&lt;&gt;""""),COUNTA(FILTER(D$1:D1302, D$1:D1302&lt;&gt;""""))), LEN(INDEX(FILTER(D$1:D1302, D$1:D1302&lt;&gt;""""),COUNTA(FILTER(D$1:D1302, D$1:D1302&lt;&gt;""""))))-1), IF('To Order'!$A1303=COL"&amp;"UMNS($A1303:D1322), D1302&amp;RIGHT(INDIRECT(ADDRESS(ROW(D1303)-1, 'From Order'!$A1303)), 1), D1302))"),"P")</f>
        <v>P</v>
      </c>
      <c r="E1303" s="2" t="str">
        <f>IFERROR(__xludf.DUMMYFUNCTION("IF('From Order'!$A1303=COLUMNS($A1303:E1322), LEFT(INDEX(FILTER(E$1:E1302, E$1:E1302&lt;&gt;""""),COUNTA(FILTER(E$1:E1302, E$1:E1302&lt;&gt;""""))), LEN(INDEX(FILTER(E$1:E1302, E$1:E1302&lt;&gt;""""),COUNTA(FILTER(E$1:E1302, E$1:E1302&lt;&gt;""""))))-1), IF('To Order'!$A1303=COL"&amp;"UMNS($A1303:E1322), E1302&amp;RIGHT(INDIRECT(ADDRESS(ROW(E1303)-1, 'From Order'!$A1303)), 1), E1302))"),"")</f>
        <v/>
      </c>
      <c r="F1303" s="2" t="str">
        <f>IFERROR(__xludf.DUMMYFUNCTION("IF('From Order'!$A1303=COLUMNS($A1303:F1322), LEFT(INDEX(FILTER(F$1:F1302, F$1:F1302&lt;&gt;""""),COUNTA(FILTER(F$1:F1302, F$1:F1302&lt;&gt;""""))), LEN(INDEX(FILTER(F$1:F1302, F$1:F1302&lt;&gt;""""),COUNTA(FILTER(F$1:F1302, F$1:F1302&lt;&gt;""""))))-1), IF('To Order'!$A1303=COL"&amp;"UMNS($A1303:F1322), F1302&amp;RIGHT(INDIRECT(ADDRESS(ROW(F1303)-1, 'From Order'!$A1303)), 1), F1302))"),"")</f>
        <v/>
      </c>
      <c r="G1303" s="2" t="str">
        <f>IFERROR(__xludf.DUMMYFUNCTION("IF('From Order'!$A1303=COLUMNS($A1303:G1322), LEFT(INDEX(FILTER(G$1:G1302, G$1:G1302&lt;&gt;""""),COUNTA(FILTER(G$1:G1302, G$1:G1302&lt;&gt;""""))), LEN(INDEX(FILTER(G$1:G1302, G$1:G1302&lt;&gt;""""),COUNTA(FILTER(G$1:G1302, G$1:G1302&lt;&gt;""""))))-1), IF('To Order'!$A1303=COL"&amp;"UMNS($A1303:G1322), G1302&amp;RIGHT(INDIRECT(ADDRESS(ROW(G1303)-1, 'From Order'!$A1303)), 1), G1302))"),"WRMTCRCDRZCSFVTSBL")</f>
        <v>WRMTCRCDRZCSFVTSBL</v>
      </c>
      <c r="H1303" s="2" t="str">
        <f>IFERROR(__xludf.DUMMYFUNCTION("IF('From Order'!$A1303=COLUMNS($A1303:H1322), LEFT(INDEX(FILTER(H$1:H1302, H$1:H1302&lt;&gt;""""),COUNTA(FILTER(H$1:H1302, H$1:H1302&lt;&gt;""""))), LEN(INDEX(FILTER(H$1:H1302, H$1:H1302&lt;&gt;""""),COUNTA(FILTER(H$1:H1302, H$1:H1302&lt;&gt;""""))))-1), IF('To Order'!$A1303=COL"&amp;"UMNS($A1303:H1322), H1302&amp;RIGHT(INDIRECT(ADDRESS(ROW(H1303)-1, 'From Order'!$A1303)), 1), H1302))"),"Z")</f>
        <v>Z</v>
      </c>
      <c r="I1303" s="2" t="str">
        <f>IFERROR(__xludf.DUMMYFUNCTION("IF('From Order'!$A1303=COLUMNS($A1303:I1322), LEFT(INDEX(FILTER(I$1:I1302, I$1:I1302&lt;&gt;""""),COUNTA(FILTER(I$1:I1302, I$1:I1302&lt;&gt;""""))), LEN(INDEX(FILTER(I$1:I1302, I$1:I1302&lt;&gt;""""),COUNTA(FILTER(I$1:I1302, I$1:I1302&lt;&gt;""""))))-1), IF('To Order'!$A1303=COL"&amp;"UMNS($A1303:I1322), I1302&amp;RIGHT(INDIRECT(ADDRESS(ROW(I1303)-1, 'From Order'!$A1303)), 1), I1302))"),"DDT")</f>
        <v>DDT</v>
      </c>
    </row>
    <row r="1304">
      <c r="A1304" s="2" t="str">
        <f>IFERROR(__xludf.DUMMYFUNCTION("IF('From Order'!$A1304=COLUMNS($A1304:A1323), LEFT(INDEX(FILTER(A$1:A1303, A$1:A1303&lt;&gt;""""),COUNTA(FILTER(A$1:A1303, A$1:A1303&lt;&gt;""""))), LEN(INDEX(FILTER(A$1:A1303, A$1:A1303&lt;&gt;""""),COUNTA(FILTER(A$1:A1303, A$1:A1303&lt;&gt;""""))))-1), IF('To Order'!$A1304=COL"&amp;"UMNS($A1304:A1323), A1303&amp;RIGHT(INDIRECT(ADDRESS(ROW(A1304)-1, 'From Order'!$A1304)), 1), A1303))"),"H")</f>
        <v>H</v>
      </c>
      <c r="B1304" s="2" t="str">
        <f>IFERROR(__xludf.DUMMYFUNCTION("IF('From Order'!$A1304=COLUMNS($A1304:B1323), LEFT(INDEX(FILTER(B$1:B1303, B$1:B1303&lt;&gt;""""),COUNTA(FILTER(B$1:B1303, B$1:B1303&lt;&gt;""""))), LEN(INDEX(FILTER(B$1:B1303, B$1:B1303&lt;&gt;""""),COUNTA(FILTER(B$1:B1303, B$1:B1303&lt;&gt;""""))))-1), IF('To Order'!$A1304=COL"&amp;"UMNS($A1304:B1323), B1303&amp;RIGHT(INDIRECT(ADDRESS(ROW(B1304)-1, 'From Order'!$A1304)), 1), B1303))"),"BV")</f>
        <v>BV</v>
      </c>
      <c r="C1304" s="2" t="str">
        <f>IFERROR(__xludf.DUMMYFUNCTION("IF('From Order'!$A1304=COLUMNS($A1304:C1323), LEFT(INDEX(FILTER(C$1:C1303, C$1:C1303&lt;&gt;""""),COUNTA(FILTER(C$1:C1303, C$1:C1303&lt;&gt;""""))), LEN(INDEX(FILTER(C$1:C1303, C$1:C1303&lt;&gt;""""),COUNTA(FILTER(C$1:C1303, C$1:C1303&lt;&gt;""""))))-1), IF('To Order'!$A1304=COL"&amp;"UMNS($A1304:C1323), C1303&amp;RIGHT(INDIRECT(ADDRESS(ROW(C1304)-1, 'From Order'!$A1304)), 1), C1303))"),"TRLRSGHWQVQJPPLDTMGBSDJDMFBTJ")</f>
        <v>TRLRSGHWQVQJPPLDTMGBSDJDMFBTJ</v>
      </c>
      <c r="D1304" s="2" t="str">
        <f>IFERROR(__xludf.DUMMYFUNCTION("IF('From Order'!$A1304=COLUMNS($A1304:D1323), LEFT(INDEX(FILTER(D$1:D1303, D$1:D1303&lt;&gt;""""),COUNTA(FILTER(D$1:D1303, D$1:D1303&lt;&gt;""""))), LEN(INDEX(FILTER(D$1:D1303, D$1:D1303&lt;&gt;""""),COUNTA(FILTER(D$1:D1303, D$1:D1303&lt;&gt;""""))))-1), IF('To Order'!$A1304=COL"&amp;"UMNS($A1304:D1323), D1303&amp;RIGHT(INDIRECT(ADDRESS(ROW(D1304)-1, 'From Order'!$A1304)), 1), D1303))"),"P")</f>
        <v>P</v>
      </c>
      <c r="E1304" s="2" t="str">
        <f>IFERROR(__xludf.DUMMYFUNCTION("IF('From Order'!$A1304=COLUMNS($A1304:E1323), LEFT(INDEX(FILTER(E$1:E1303, E$1:E1303&lt;&gt;""""),COUNTA(FILTER(E$1:E1303, E$1:E1303&lt;&gt;""""))), LEN(INDEX(FILTER(E$1:E1303, E$1:E1303&lt;&gt;""""),COUNTA(FILTER(E$1:E1303, E$1:E1303&lt;&gt;""""))))-1), IF('To Order'!$A1304=COL"&amp;"UMNS($A1304:E1323), E1303&amp;RIGHT(INDIRECT(ADDRESS(ROW(E1304)-1, 'From Order'!$A1304)), 1), E1303))"),"Z")</f>
        <v>Z</v>
      </c>
      <c r="F1304" s="2" t="str">
        <f>IFERROR(__xludf.DUMMYFUNCTION("IF('From Order'!$A1304=COLUMNS($A1304:F1323), LEFT(INDEX(FILTER(F$1:F1303, F$1:F1303&lt;&gt;""""),COUNTA(FILTER(F$1:F1303, F$1:F1303&lt;&gt;""""))), LEN(INDEX(FILTER(F$1:F1303, F$1:F1303&lt;&gt;""""),COUNTA(FILTER(F$1:F1303, F$1:F1303&lt;&gt;""""))))-1), IF('To Order'!$A1304=COL"&amp;"UMNS($A1304:F1323), F1303&amp;RIGHT(INDIRECT(ADDRESS(ROW(F1304)-1, 'From Order'!$A1304)), 1), F1303))"),"")</f>
        <v/>
      </c>
      <c r="G1304" s="2" t="str">
        <f>IFERROR(__xludf.DUMMYFUNCTION("IF('From Order'!$A1304=COLUMNS($A1304:G1323), LEFT(INDEX(FILTER(G$1:G1303, G$1:G1303&lt;&gt;""""),COUNTA(FILTER(G$1:G1303, G$1:G1303&lt;&gt;""""))), LEN(INDEX(FILTER(G$1:G1303, G$1:G1303&lt;&gt;""""),COUNTA(FILTER(G$1:G1303, G$1:G1303&lt;&gt;""""))))-1), IF('To Order'!$A1304=COL"&amp;"UMNS($A1304:G1323), G1303&amp;RIGHT(INDIRECT(ADDRESS(ROW(G1304)-1, 'From Order'!$A1304)), 1), G1303))"),"WRMTCRCDRZCSFVTSBL")</f>
        <v>WRMTCRCDRZCSFVTSBL</v>
      </c>
      <c r="H1304" s="2" t="str">
        <f>IFERROR(__xludf.DUMMYFUNCTION("IF('From Order'!$A1304=COLUMNS($A1304:H1323), LEFT(INDEX(FILTER(H$1:H1303, H$1:H1303&lt;&gt;""""),COUNTA(FILTER(H$1:H1303, H$1:H1303&lt;&gt;""""))), LEN(INDEX(FILTER(H$1:H1303, H$1:H1303&lt;&gt;""""),COUNTA(FILTER(H$1:H1303, H$1:H1303&lt;&gt;""""))))-1), IF('To Order'!$A1304=COL"&amp;"UMNS($A1304:H1323), H1303&amp;RIGHT(INDIRECT(ADDRESS(ROW(H1304)-1, 'From Order'!$A1304)), 1), H1303))"),"Z")</f>
        <v>Z</v>
      </c>
      <c r="I1304" s="2" t="str">
        <f>IFERROR(__xludf.DUMMYFUNCTION("IF('From Order'!$A1304=COLUMNS($A1304:I1323), LEFT(INDEX(FILTER(I$1:I1303, I$1:I1303&lt;&gt;""""),COUNTA(FILTER(I$1:I1303, I$1:I1303&lt;&gt;""""))), LEN(INDEX(FILTER(I$1:I1303, I$1:I1303&lt;&gt;""""),COUNTA(FILTER(I$1:I1303, I$1:I1303&lt;&gt;""""))))-1), IF('To Order'!$A1304=COL"&amp;"UMNS($A1304:I1323), I1303&amp;RIGHT(INDIRECT(ADDRESS(ROW(I1304)-1, 'From Order'!$A1304)), 1), I1303))"),"DDT")</f>
        <v>DDT</v>
      </c>
    </row>
    <row r="1305">
      <c r="A1305" s="2" t="str">
        <f>IFERROR(__xludf.DUMMYFUNCTION("IF('From Order'!$A1305=COLUMNS($A1305:A1324), LEFT(INDEX(FILTER(A$1:A1304, A$1:A1304&lt;&gt;""""),COUNTA(FILTER(A$1:A1304, A$1:A1304&lt;&gt;""""))), LEN(INDEX(FILTER(A$1:A1304, A$1:A1304&lt;&gt;""""),COUNTA(FILTER(A$1:A1304, A$1:A1304&lt;&gt;""""))))-1), IF('To Order'!$A1305=COL"&amp;"UMNS($A1305:A1324), A1304&amp;RIGHT(INDIRECT(ADDRESS(ROW(A1305)-1, 'From Order'!$A1305)), 1), A1304))"),"H")</f>
        <v>H</v>
      </c>
      <c r="B1305" s="2" t="str">
        <f>IFERROR(__xludf.DUMMYFUNCTION("IF('From Order'!$A1305=COLUMNS($A1305:B1324), LEFT(INDEX(FILTER(B$1:B1304, B$1:B1304&lt;&gt;""""),COUNTA(FILTER(B$1:B1304, B$1:B1304&lt;&gt;""""))), LEN(INDEX(FILTER(B$1:B1304, B$1:B1304&lt;&gt;""""),COUNTA(FILTER(B$1:B1304, B$1:B1304&lt;&gt;""""))))-1), IF('To Order'!$A1305=COL"&amp;"UMNS($A1305:B1324), B1304&amp;RIGHT(INDIRECT(ADDRESS(ROW(B1305)-1, 'From Order'!$A1305)), 1), B1304))"),"BV")</f>
        <v>BV</v>
      </c>
      <c r="C1305" s="2" t="str">
        <f>IFERROR(__xludf.DUMMYFUNCTION("IF('From Order'!$A1305=COLUMNS($A1305:C1324), LEFT(INDEX(FILTER(C$1:C1304, C$1:C1304&lt;&gt;""""),COUNTA(FILTER(C$1:C1304, C$1:C1304&lt;&gt;""""))), LEN(INDEX(FILTER(C$1:C1304, C$1:C1304&lt;&gt;""""),COUNTA(FILTER(C$1:C1304, C$1:C1304&lt;&gt;""""))))-1), IF('To Order'!$A1305=COL"&amp;"UMNS($A1305:C1324), C1304&amp;RIGHT(INDIRECT(ADDRESS(ROW(C1305)-1, 'From Order'!$A1305)), 1), C1304))"),"TRLRSGHWQVQJPPLDTMGBSDJDMFBTJ")</f>
        <v>TRLRSGHWQVQJPPLDTMGBSDJDMFBTJ</v>
      </c>
      <c r="D1305" s="2" t="str">
        <f>IFERROR(__xludf.DUMMYFUNCTION("IF('From Order'!$A1305=COLUMNS($A1305:D1324), LEFT(INDEX(FILTER(D$1:D1304, D$1:D1304&lt;&gt;""""),COUNTA(FILTER(D$1:D1304, D$1:D1304&lt;&gt;""""))), LEN(INDEX(FILTER(D$1:D1304, D$1:D1304&lt;&gt;""""),COUNTA(FILTER(D$1:D1304, D$1:D1304&lt;&gt;""""))))-1), IF('To Order'!$A1305=COL"&amp;"UMNS($A1305:D1324), D1304&amp;RIGHT(INDIRECT(ADDRESS(ROW(D1305)-1, 'From Order'!$A1305)), 1), D1304))"),"P")</f>
        <v>P</v>
      </c>
      <c r="E1305" s="2" t="str">
        <f>IFERROR(__xludf.DUMMYFUNCTION("IF('From Order'!$A1305=COLUMNS($A1305:E1324), LEFT(INDEX(FILTER(E$1:E1304, E$1:E1304&lt;&gt;""""),COUNTA(FILTER(E$1:E1304, E$1:E1304&lt;&gt;""""))), LEN(INDEX(FILTER(E$1:E1304, E$1:E1304&lt;&gt;""""),COUNTA(FILTER(E$1:E1304, E$1:E1304&lt;&gt;""""))))-1), IF('To Order'!$A1305=COL"&amp;"UMNS($A1305:E1324), E1304&amp;RIGHT(INDIRECT(ADDRESS(ROW(E1305)-1, 'From Order'!$A1305)), 1), E1304))"),"Z")</f>
        <v>Z</v>
      </c>
      <c r="F1305" s="2" t="str">
        <f>IFERROR(__xludf.DUMMYFUNCTION("IF('From Order'!$A1305=COLUMNS($A1305:F1324), LEFT(INDEX(FILTER(F$1:F1304, F$1:F1304&lt;&gt;""""),COUNTA(FILTER(F$1:F1304, F$1:F1304&lt;&gt;""""))), LEN(INDEX(FILTER(F$1:F1304, F$1:F1304&lt;&gt;""""),COUNTA(FILTER(F$1:F1304, F$1:F1304&lt;&gt;""""))))-1), IF('To Order'!$A1305=COL"&amp;"UMNS($A1305:F1324), F1304&amp;RIGHT(INDIRECT(ADDRESS(ROW(F1305)-1, 'From Order'!$A1305)), 1), F1304))"),"Z")</f>
        <v>Z</v>
      </c>
      <c r="G1305" s="2" t="str">
        <f>IFERROR(__xludf.DUMMYFUNCTION("IF('From Order'!$A1305=COLUMNS($A1305:G1324), LEFT(INDEX(FILTER(G$1:G1304, G$1:G1304&lt;&gt;""""),COUNTA(FILTER(G$1:G1304, G$1:G1304&lt;&gt;""""))), LEN(INDEX(FILTER(G$1:G1304, G$1:G1304&lt;&gt;""""),COUNTA(FILTER(G$1:G1304, G$1:G1304&lt;&gt;""""))))-1), IF('To Order'!$A1305=COL"&amp;"UMNS($A1305:G1324), G1304&amp;RIGHT(INDIRECT(ADDRESS(ROW(G1305)-1, 'From Order'!$A1305)), 1), G1304))"),"WRMTCRCDRZCSFVTSBL")</f>
        <v>WRMTCRCDRZCSFVTSBL</v>
      </c>
      <c r="H1305" s="2" t="str">
        <f>IFERROR(__xludf.DUMMYFUNCTION("IF('From Order'!$A1305=COLUMNS($A1305:H1324), LEFT(INDEX(FILTER(H$1:H1304, H$1:H1304&lt;&gt;""""),COUNTA(FILTER(H$1:H1304, H$1:H1304&lt;&gt;""""))), LEN(INDEX(FILTER(H$1:H1304, H$1:H1304&lt;&gt;""""),COUNTA(FILTER(H$1:H1304, H$1:H1304&lt;&gt;""""))))-1), IF('To Order'!$A1305=COL"&amp;"UMNS($A1305:H1324), H1304&amp;RIGHT(INDIRECT(ADDRESS(ROW(H1305)-1, 'From Order'!$A1305)), 1), H1304))"),"")</f>
        <v/>
      </c>
      <c r="I1305" s="2" t="str">
        <f>IFERROR(__xludf.DUMMYFUNCTION("IF('From Order'!$A1305=COLUMNS($A1305:I1324), LEFT(INDEX(FILTER(I$1:I1304, I$1:I1304&lt;&gt;""""),COUNTA(FILTER(I$1:I1304, I$1:I1304&lt;&gt;""""))), LEN(INDEX(FILTER(I$1:I1304, I$1:I1304&lt;&gt;""""),COUNTA(FILTER(I$1:I1304, I$1:I1304&lt;&gt;""""))))-1), IF('To Order'!$A1305=COL"&amp;"UMNS($A1305:I1324), I1304&amp;RIGHT(INDIRECT(ADDRESS(ROW(I1305)-1, 'From Order'!$A1305)), 1), I1304))"),"DDT")</f>
        <v>DDT</v>
      </c>
    </row>
    <row r="1306">
      <c r="A1306" s="2" t="str">
        <f>IFERROR(__xludf.DUMMYFUNCTION("IF('From Order'!$A1306=COLUMNS($A1306:A1325), LEFT(INDEX(FILTER(A$1:A1305, A$1:A1305&lt;&gt;""""),COUNTA(FILTER(A$1:A1305, A$1:A1305&lt;&gt;""""))), LEN(INDEX(FILTER(A$1:A1305, A$1:A1305&lt;&gt;""""),COUNTA(FILTER(A$1:A1305, A$1:A1305&lt;&gt;""""))))-1), IF('To Order'!$A1306=COL"&amp;"UMNS($A1306:A1325), A1305&amp;RIGHT(INDIRECT(ADDRESS(ROW(A1306)-1, 'From Order'!$A1306)), 1), A1305))"),"")</f>
        <v/>
      </c>
      <c r="B1306" s="2" t="str">
        <f>IFERROR(__xludf.DUMMYFUNCTION("IF('From Order'!$A1306=COLUMNS($A1306:B1325), LEFT(INDEX(FILTER(B$1:B1305, B$1:B1305&lt;&gt;""""),COUNTA(FILTER(B$1:B1305, B$1:B1305&lt;&gt;""""))), LEN(INDEX(FILTER(B$1:B1305, B$1:B1305&lt;&gt;""""),COUNTA(FILTER(B$1:B1305, B$1:B1305&lt;&gt;""""))))-1), IF('To Order'!$A1306=COL"&amp;"UMNS($A1306:B1325), B1305&amp;RIGHT(INDIRECT(ADDRESS(ROW(B1306)-1, 'From Order'!$A1306)), 1), B1305))"),"BV")</f>
        <v>BV</v>
      </c>
      <c r="C1306" s="2" t="str">
        <f>IFERROR(__xludf.DUMMYFUNCTION("IF('From Order'!$A1306=COLUMNS($A1306:C1325), LEFT(INDEX(FILTER(C$1:C1305, C$1:C1305&lt;&gt;""""),COUNTA(FILTER(C$1:C1305, C$1:C1305&lt;&gt;""""))), LEN(INDEX(FILTER(C$1:C1305, C$1:C1305&lt;&gt;""""),COUNTA(FILTER(C$1:C1305, C$1:C1305&lt;&gt;""""))))-1), IF('To Order'!$A1306=COL"&amp;"UMNS($A1306:C1325), C1305&amp;RIGHT(INDIRECT(ADDRESS(ROW(C1306)-1, 'From Order'!$A1306)), 1), C1305))"),"TRLRSGHWQVQJPPLDTMGBSDJDMFBTJ")</f>
        <v>TRLRSGHWQVQJPPLDTMGBSDJDMFBTJ</v>
      </c>
      <c r="D1306" s="2" t="str">
        <f>IFERROR(__xludf.DUMMYFUNCTION("IF('From Order'!$A1306=COLUMNS($A1306:D1325), LEFT(INDEX(FILTER(D$1:D1305, D$1:D1305&lt;&gt;""""),COUNTA(FILTER(D$1:D1305, D$1:D1305&lt;&gt;""""))), LEN(INDEX(FILTER(D$1:D1305, D$1:D1305&lt;&gt;""""),COUNTA(FILTER(D$1:D1305, D$1:D1305&lt;&gt;""""))))-1), IF('To Order'!$A1306=COL"&amp;"UMNS($A1306:D1325), D1305&amp;RIGHT(INDIRECT(ADDRESS(ROW(D1306)-1, 'From Order'!$A1306)), 1), D1305))"),"PH")</f>
        <v>PH</v>
      </c>
      <c r="E1306" s="2" t="str">
        <f>IFERROR(__xludf.DUMMYFUNCTION("IF('From Order'!$A1306=COLUMNS($A1306:E1325), LEFT(INDEX(FILTER(E$1:E1305, E$1:E1305&lt;&gt;""""),COUNTA(FILTER(E$1:E1305, E$1:E1305&lt;&gt;""""))), LEN(INDEX(FILTER(E$1:E1305, E$1:E1305&lt;&gt;""""),COUNTA(FILTER(E$1:E1305, E$1:E1305&lt;&gt;""""))))-1), IF('To Order'!$A1306=COL"&amp;"UMNS($A1306:E1325), E1305&amp;RIGHT(INDIRECT(ADDRESS(ROW(E1306)-1, 'From Order'!$A1306)), 1), E1305))"),"Z")</f>
        <v>Z</v>
      </c>
      <c r="F1306" s="2" t="str">
        <f>IFERROR(__xludf.DUMMYFUNCTION("IF('From Order'!$A1306=COLUMNS($A1306:F1325), LEFT(INDEX(FILTER(F$1:F1305, F$1:F1305&lt;&gt;""""),COUNTA(FILTER(F$1:F1305, F$1:F1305&lt;&gt;""""))), LEN(INDEX(FILTER(F$1:F1305, F$1:F1305&lt;&gt;""""),COUNTA(FILTER(F$1:F1305, F$1:F1305&lt;&gt;""""))))-1), IF('To Order'!$A1306=COL"&amp;"UMNS($A1306:F1325), F1305&amp;RIGHT(INDIRECT(ADDRESS(ROW(F1306)-1, 'From Order'!$A1306)), 1), F1305))"),"Z")</f>
        <v>Z</v>
      </c>
      <c r="G1306" s="2" t="str">
        <f>IFERROR(__xludf.DUMMYFUNCTION("IF('From Order'!$A1306=COLUMNS($A1306:G1325), LEFT(INDEX(FILTER(G$1:G1305, G$1:G1305&lt;&gt;""""),COUNTA(FILTER(G$1:G1305, G$1:G1305&lt;&gt;""""))), LEN(INDEX(FILTER(G$1:G1305, G$1:G1305&lt;&gt;""""),COUNTA(FILTER(G$1:G1305, G$1:G1305&lt;&gt;""""))))-1), IF('To Order'!$A1306=COL"&amp;"UMNS($A1306:G1325), G1305&amp;RIGHT(INDIRECT(ADDRESS(ROW(G1306)-1, 'From Order'!$A1306)), 1), G1305))"),"WRMTCRCDRZCSFVTSBL")</f>
        <v>WRMTCRCDRZCSFVTSBL</v>
      </c>
      <c r="H1306" s="2" t="str">
        <f>IFERROR(__xludf.DUMMYFUNCTION("IF('From Order'!$A1306=COLUMNS($A1306:H1325), LEFT(INDEX(FILTER(H$1:H1305, H$1:H1305&lt;&gt;""""),COUNTA(FILTER(H$1:H1305, H$1:H1305&lt;&gt;""""))), LEN(INDEX(FILTER(H$1:H1305, H$1:H1305&lt;&gt;""""),COUNTA(FILTER(H$1:H1305, H$1:H1305&lt;&gt;""""))))-1), IF('To Order'!$A1306=COL"&amp;"UMNS($A1306:H1325), H1305&amp;RIGHT(INDIRECT(ADDRESS(ROW(H1306)-1, 'From Order'!$A1306)), 1), H1305))"),"")</f>
        <v/>
      </c>
      <c r="I1306" s="2" t="str">
        <f>IFERROR(__xludf.DUMMYFUNCTION("IF('From Order'!$A1306=COLUMNS($A1306:I1325), LEFT(INDEX(FILTER(I$1:I1305, I$1:I1305&lt;&gt;""""),COUNTA(FILTER(I$1:I1305, I$1:I1305&lt;&gt;""""))), LEN(INDEX(FILTER(I$1:I1305, I$1:I1305&lt;&gt;""""),COUNTA(FILTER(I$1:I1305, I$1:I1305&lt;&gt;""""))))-1), IF('To Order'!$A1306=COL"&amp;"UMNS($A1306:I1325), I1305&amp;RIGHT(INDIRECT(ADDRESS(ROW(I1306)-1, 'From Order'!$A1306)), 1), I1305))"),"DDT")</f>
        <v>DDT</v>
      </c>
    </row>
    <row r="1307">
      <c r="A1307" s="2" t="str">
        <f>IFERROR(__xludf.DUMMYFUNCTION("IF('From Order'!$A1307=COLUMNS($A1307:A1326), LEFT(INDEX(FILTER(A$1:A1306, A$1:A1306&lt;&gt;""""),COUNTA(FILTER(A$1:A1306, A$1:A1306&lt;&gt;""""))), LEN(INDEX(FILTER(A$1:A1306, A$1:A1306&lt;&gt;""""),COUNTA(FILTER(A$1:A1306, A$1:A1306&lt;&gt;""""))))-1), IF('To Order'!$A1307=COL"&amp;"UMNS($A1307:A1326), A1306&amp;RIGHT(INDIRECT(ADDRESS(ROW(A1307)-1, 'From Order'!$A1307)), 1), A1306))"),"J")</f>
        <v>J</v>
      </c>
      <c r="B1307" s="2" t="str">
        <f>IFERROR(__xludf.DUMMYFUNCTION("IF('From Order'!$A1307=COLUMNS($A1307:B1326), LEFT(INDEX(FILTER(B$1:B1306, B$1:B1306&lt;&gt;""""),COUNTA(FILTER(B$1:B1306, B$1:B1306&lt;&gt;""""))), LEN(INDEX(FILTER(B$1:B1306, B$1:B1306&lt;&gt;""""),COUNTA(FILTER(B$1:B1306, B$1:B1306&lt;&gt;""""))))-1), IF('To Order'!$A1307=COL"&amp;"UMNS($A1307:B1326), B1306&amp;RIGHT(INDIRECT(ADDRESS(ROW(B1307)-1, 'From Order'!$A1307)), 1), B1306))"),"BV")</f>
        <v>BV</v>
      </c>
      <c r="C1307" s="2" t="str">
        <f>IFERROR(__xludf.DUMMYFUNCTION("IF('From Order'!$A1307=COLUMNS($A1307:C1326), LEFT(INDEX(FILTER(C$1:C1306, C$1:C1306&lt;&gt;""""),COUNTA(FILTER(C$1:C1306, C$1:C1306&lt;&gt;""""))), LEN(INDEX(FILTER(C$1:C1306, C$1:C1306&lt;&gt;""""),COUNTA(FILTER(C$1:C1306, C$1:C1306&lt;&gt;""""))))-1), IF('To Order'!$A1307=COL"&amp;"UMNS($A1307:C1326), C1306&amp;RIGHT(INDIRECT(ADDRESS(ROW(C1307)-1, 'From Order'!$A1307)), 1), C1306))"),"TRLRSGHWQVQJPPLDTMGBSDJDMFBT")</f>
        <v>TRLRSGHWQVQJPPLDTMGBSDJDMFBT</v>
      </c>
      <c r="D1307" s="2" t="str">
        <f>IFERROR(__xludf.DUMMYFUNCTION("IF('From Order'!$A1307=COLUMNS($A1307:D1326), LEFT(INDEX(FILTER(D$1:D1306, D$1:D1306&lt;&gt;""""),COUNTA(FILTER(D$1:D1306, D$1:D1306&lt;&gt;""""))), LEN(INDEX(FILTER(D$1:D1306, D$1:D1306&lt;&gt;""""),COUNTA(FILTER(D$1:D1306, D$1:D1306&lt;&gt;""""))))-1), IF('To Order'!$A1307=COL"&amp;"UMNS($A1307:D1326), D1306&amp;RIGHT(INDIRECT(ADDRESS(ROW(D1307)-1, 'From Order'!$A1307)), 1), D1306))"),"PH")</f>
        <v>PH</v>
      </c>
      <c r="E1307" s="2" t="str">
        <f>IFERROR(__xludf.DUMMYFUNCTION("IF('From Order'!$A1307=COLUMNS($A1307:E1326), LEFT(INDEX(FILTER(E$1:E1306, E$1:E1306&lt;&gt;""""),COUNTA(FILTER(E$1:E1306, E$1:E1306&lt;&gt;""""))), LEN(INDEX(FILTER(E$1:E1306, E$1:E1306&lt;&gt;""""),COUNTA(FILTER(E$1:E1306, E$1:E1306&lt;&gt;""""))))-1), IF('To Order'!$A1307=COL"&amp;"UMNS($A1307:E1326), E1306&amp;RIGHT(INDIRECT(ADDRESS(ROW(E1307)-1, 'From Order'!$A1307)), 1), E1306))"),"Z")</f>
        <v>Z</v>
      </c>
      <c r="F1307" s="2" t="str">
        <f>IFERROR(__xludf.DUMMYFUNCTION("IF('From Order'!$A1307=COLUMNS($A1307:F1326), LEFT(INDEX(FILTER(F$1:F1306, F$1:F1306&lt;&gt;""""),COUNTA(FILTER(F$1:F1306, F$1:F1306&lt;&gt;""""))), LEN(INDEX(FILTER(F$1:F1306, F$1:F1306&lt;&gt;""""),COUNTA(FILTER(F$1:F1306, F$1:F1306&lt;&gt;""""))))-1), IF('To Order'!$A1307=COL"&amp;"UMNS($A1307:F1326), F1306&amp;RIGHT(INDIRECT(ADDRESS(ROW(F1307)-1, 'From Order'!$A1307)), 1), F1306))"),"Z")</f>
        <v>Z</v>
      </c>
      <c r="G1307" s="2" t="str">
        <f>IFERROR(__xludf.DUMMYFUNCTION("IF('From Order'!$A1307=COLUMNS($A1307:G1326), LEFT(INDEX(FILTER(G$1:G1306, G$1:G1306&lt;&gt;""""),COUNTA(FILTER(G$1:G1306, G$1:G1306&lt;&gt;""""))), LEN(INDEX(FILTER(G$1:G1306, G$1:G1306&lt;&gt;""""),COUNTA(FILTER(G$1:G1306, G$1:G1306&lt;&gt;""""))))-1), IF('To Order'!$A1307=COL"&amp;"UMNS($A1307:G1326), G1306&amp;RIGHT(INDIRECT(ADDRESS(ROW(G1307)-1, 'From Order'!$A1307)), 1), G1306))"),"WRMTCRCDRZCSFVTSBL")</f>
        <v>WRMTCRCDRZCSFVTSBL</v>
      </c>
      <c r="H1307" s="2" t="str">
        <f>IFERROR(__xludf.DUMMYFUNCTION("IF('From Order'!$A1307=COLUMNS($A1307:H1326), LEFT(INDEX(FILTER(H$1:H1306, H$1:H1306&lt;&gt;""""),COUNTA(FILTER(H$1:H1306, H$1:H1306&lt;&gt;""""))), LEN(INDEX(FILTER(H$1:H1306, H$1:H1306&lt;&gt;""""),COUNTA(FILTER(H$1:H1306, H$1:H1306&lt;&gt;""""))))-1), IF('To Order'!$A1307=COL"&amp;"UMNS($A1307:H1326), H1306&amp;RIGHT(INDIRECT(ADDRESS(ROW(H1307)-1, 'From Order'!$A1307)), 1), H1306))"),"")</f>
        <v/>
      </c>
      <c r="I1307" s="2" t="str">
        <f>IFERROR(__xludf.DUMMYFUNCTION("IF('From Order'!$A1307=COLUMNS($A1307:I1326), LEFT(INDEX(FILTER(I$1:I1306, I$1:I1306&lt;&gt;""""),COUNTA(FILTER(I$1:I1306, I$1:I1306&lt;&gt;""""))), LEN(INDEX(FILTER(I$1:I1306, I$1:I1306&lt;&gt;""""),COUNTA(FILTER(I$1:I1306, I$1:I1306&lt;&gt;""""))))-1), IF('To Order'!$A1307=COL"&amp;"UMNS($A1307:I1326), I1306&amp;RIGHT(INDIRECT(ADDRESS(ROW(I1307)-1, 'From Order'!$A1307)), 1), I1306))"),"DDT")</f>
        <v>DDT</v>
      </c>
    </row>
    <row r="1308">
      <c r="A1308" s="2" t="str">
        <f>IFERROR(__xludf.DUMMYFUNCTION("IF('From Order'!$A1308=COLUMNS($A1308:A1327), LEFT(INDEX(FILTER(A$1:A1307, A$1:A1307&lt;&gt;""""),COUNTA(FILTER(A$1:A1307, A$1:A1307&lt;&gt;""""))), LEN(INDEX(FILTER(A$1:A1307, A$1:A1307&lt;&gt;""""),COUNTA(FILTER(A$1:A1307, A$1:A1307&lt;&gt;""""))))-1), IF('To Order'!$A1308=COL"&amp;"UMNS($A1308:A1327), A1307&amp;RIGHT(INDIRECT(ADDRESS(ROW(A1308)-1, 'From Order'!$A1308)), 1), A1307))"),"JT")</f>
        <v>JT</v>
      </c>
      <c r="B1308" s="2" t="str">
        <f>IFERROR(__xludf.DUMMYFUNCTION("IF('From Order'!$A1308=COLUMNS($A1308:B1327), LEFT(INDEX(FILTER(B$1:B1307, B$1:B1307&lt;&gt;""""),COUNTA(FILTER(B$1:B1307, B$1:B1307&lt;&gt;""""))), LEN(INDEX(FILTER(B$1:B1307, B$1:B1307&lt;&gt;""""),COUNTA(FILTER(B$1:B1307, B$1:B1307&lt;&gt;""""))))-1), IF('To Order'!$A1308=COL"&amp;"UMNS($A1308:B1327), B1307&amp;RIGHT(INDIRECT(ADDRESS(ROW(B1308)-1, 'From Order'!$A1308)), 1), B1307))"),"BV")</f>
        <v>BV</v>
      </c>
      <c r="C1308" s="2" t="str">
        <f>IFERROR(__xludf.DUMMYFUNCTION("IF('From Order'!$A1308=COLUMNS($A1308:C1327), LEFT(INDEX(FILTER(C$1:C1307, C$1:C1307&lt;&gt;""""),COUNTA(FILTER(C$1:C1307, C$1:C1307&lt;&gt;""""))), LEN(INDEX(FILTER(C$1:C1307, C$1:C1307&lt;&gt;""""),COUNTA(FILTER(C$1:C1307, C$1:C1307&lt;&gt;""""))))-1), IF('To Order'!$A1308=COL"&amp;"UMNS($A1308:C1327), C1307&amp;RIGHT(INDIRECT(ADDRESS(ROW(C1308)-1, 'From Order'!$A1308)), 1), C1307))"),"TRLRSGHWQVQJPPLDTMGBSDJDMFB")</f>
        <v>TRLRSGHWQVQJPPLDTMGBSDJDMFB</v>
      </c>
      <c r="D1308" s="2" t="str">
        <f>IFERROR(__xludf.DUMMYFUNCTION("IF('From Order'!$A1308=COLUMNS($A1308:D1327), LEFT(INDEX(FILTER(D$1:D1307, D$1:D1307&lt;&gt;""""),COUNTA(FILTER(D$1:D1307, D$1:D1307&lt;&gt;""""))), LEN(INDEX(FILTER(D$1:D1307, D$1:D1307&lt;&gt;""""),COUNTA(FILTER(D$1:D1307, D$1:D1307&lt;&gt;""""))))-1), IF('To Order'!$A1308=COL"&amp;"UMNS($A1308:D1327), D1307&amp;RIGHT(INDIRECT(ADDRESS(ROW(D1308)-1, 'From Order'!$A1308)), 1), D1307))"),"PH")</f>
        <v>PH</v>
      </c>
      <c r="E1308" s="2" t="str">
        <f>IFERROR(__xludf.DUMMYFUNCTION("IF('From Order'!$A1308=COLUMNS($A1308:E1327), LEFT(INDEX(FILTER(E$1:E1307, E$1:E1307&lt;&gt;""""),COUNTA(FILTER(E$1:E1307, E$1:E1307&lt;&gt;""""))), LEN(INDEX(FILTER(E$1:E1307, E$1:E1307&lt;&gt;""""),COUNTA(FILTER(E$1:E1307, E$1:E1307&lt;&gt;""""))))-1), IF('To Order'!$A1308=COL"&amp;"UMNS($A1308:E1327), E1307&amp;RIGHT(INDIRECT(ADDRESS(ROW(E1308)-1, 'From Order'!$A1308)), 1), E1307))"),"Z")</f>
        <v>Z</v>
      </c>
      <c r="F1308" s="2" t="str">
        <f>IFERROR(__xludf.DUMMYFUNCTION("IF('From Order'!$A1308=COLUMNS($A1308:F1327), LEFT(INDEX(FILTER(F$1:F1307, F$1:F1307&lt;&gt;""""),COUNTA(FILTER(F$1:F1307, F$1:F1307&lt;&gt;""""))), LEN(INDEX(FILTER(F$1:F1307, F$1:F1307&lt;&gt;""""),COUNTA(FILTER(F$1:F1307, F$1:F1307&lt;&gt;""""))))-1), IF('To Order'!$A1308=COL"&amp;"UMNS($A1308:F1327), F1307&amp;RIGHT(INDIRECT(ADDRESS(ROW(F1308)-1, 'From Order'!$A1308)), 1), F1307))"),"Z")</f>
        <v>Z</v>
      </c>
      <c r="G1308" s="2" t="str">
        <f>IFERROR(__xludf.DUMMYFUNCTION("IF('From Order'!$A1308=COLUMNS($A1308:G1327), LEFT(INDEX(FILTER(G$1:G1307, G$1:G1307&lt;&gt;""""),COUNTA(FILTER(G$1:G1307, G$1:G1307&lt;&gt;""""))), LEN(INDEX(FILTER(G$1:G1307, G$1:G1307&lt;&gt;""""),COUNTA(FILTER(G$1:G1307, G$1:G1307&lt;&gt;""""))))-1), IF('To Order'!$A1308=COL"&amp;"UMNS($A1308:G1327), G1307&amp;RIGHT(INDIRECT(ADDRESS(ROW(G1308)-1, 'From Order'!$A1308)), 1), G1307))"),"WRMTCRCDRZCSFVTSBL")</f>
        <v>WRMTCRCDRZCSFVTSBL</v>
      </c>
      <c r="H1308" s="2" t="str">
        <f>IFERROR(__xludf.DUMMYFUNCTION("IF('From Order'!$A1308=COLUMNS($A1308:H1327), LEFT(INDEX(FILTER(H$1:H1307, H$1:H1307&lt;&gt;""""),COUNTA(FILTER(H$1:H1307, H$1:H1307&lt;&gt;""""))), LEN(INDEX(FILTER(H$1:H1307, H$1:H1307&lt;&gt;""""),COUNTA(FILTER(H$1:H1307, H$1:H1307&lt;&gt;""""))))-1), IF('To Order'!$A1308=COL"&amp;"UMNS($A1308:H1327), H1307&amp;RIGHT(INDIRECT(ADDRESS(ROW(H1308)-1, 'From Order'!$A1308)), 1), H1307))"),"")</f>
        <v/>
      </c>
      <c r="I1308" s="2" t="str">
        <f>IFERROR(__xludf.DUMMYFUNCTION("IF('From Order'!$A1308=COLUMNS($A1308:I1327), LEFT(INDEX(FILTER(I$1:I1307, I$1:I1307&lt;&gt;""""),COUNTA(FILTER(I$1:I1307, I$1:I1307&lt;&gt;""""))), LEN(INDEX(FILTER(I$1:I1307, I$1:I1307&lt;&gt;""""),COUNTA(FILTER(I$1:I1307, I$1:I1307&lt;&gt;""""))))-1), IF('To Order'!$A1308=COL"&amp;"UMNS($A1308:I1327), I1307&amp;RIGHT(INDIRECT(ADDRESS(ROW(I1308)-1, 'From Order'!$A1308)), 1), I1307))"),"DDT")</f>
        <v>DDT</v>
      </c>
    </row>
    <row r="1309">
      <c r="A1309" s="2" t="str">
        <f>IFERROR(__xludf.DUMMYFUNCTION("IF('From Order'!$A1309=COLUMNS($A1309:A1328), LEFT(INDEX(FILTER(A$1:A1308, A$1:A1308&lt;&gt;""""),COUNTA(FILTER(A$1:A1308, A$1:A1308&lt;&gt;""""))), LEN(INDEX(FILTER(A$1:A1308, A$1:A1308&lt;&gt;""""),COUNTA(FILTER(A$1:A1308, A$1:A1308&lt;&gt;""""))))-1), IF('To Order'!$A1309=COL"&amp;"UMNS($A1309:A1328), A1308&amp;RIGHT(INDIRECT(ADDRESS(ROW(A1309)-1, 'From Order'!$A1309)), 1), A1308))"),"JTB")</f>
        <v>JTB</v>
      </c>
      <c r="B1309" s="2" t="str">
        <f>IFERROR(__xludf.DUMMYFUNCTION("IF('From Order'!$A1309=COLUMNS($A1309:B1328), LEFT(INDEX(FILTER(B$1:B1308, B$1:B1308&lt;&gt;""""),COUNTA(FILTER(B$1:B1308, B$1:B1308&lt;&gt;""""))), LEN(INDEX(FILTER(B$1:B1308, B$1:B1308&lt;&gt;""""),COUNTA(FILTER(B$1:B1308, B$1:B1308&lt;&gt;""""))))-1), IF('To Order'!$A1309=COL"&amp;"UMNS($A1309:B1328), B1308&amp;RIGHT(INDIRECT(ADDRESS(ROW(B1309)-1, 'From Order'!$A1309)), 1), B1308))"),"BV")</f>
        <v>BV</v>
      </c>
      <c r="C1309" s="2" t="str">
        <f>IFERROR(__xludf.DUMMYFUNCTION("IF('From Order'!$A1309=COLUMNS($A1309:C1328), LEFT(INDEX(FILTER(C$1:C1308, C$1:C1308&lt;&gt;""""),COUNTA(FILTER(C$1:C1308, C$1:C1308&lt;&gt;""""))), LEN(INDEX(FILTER(C$1:C1308, C$1:C1308&lt;&gt;""""),COUNTA(FILTER(C$1:C1308, C$1:C1308&lt;&gt;""""))))-1), IF('To Order'!$A1309=COL"&amp;"UMNS($A1309:C1328), C1308&amp;RIGHT(INDIRECT(ADDRESS(ROW(C1309)-1, 'From Order'!$A1309)), 1), C1308))"),"TRLRSGHWQVQJPPLDTMGBSDJDMF")</f>
        <v>TRLRSGHWQVQJPPLDTMGBSDJDMF</v>
      </c>
      <c r="D1309" s="2" t="str">
        <f>IFERROR(__xludf.DUMMYFUNCTION("IF('From Order'!$A1309=COLUMNS($A1309:D1328), LEFT(INDEX(FILTER(D$1:D1308, D$1:D1308&lt;&gt;""""),COUNTA(FILTER(D$1:D1308, D$1:D1308&lt;&gt;""""))), LEN(INDEX(FILTER(D$1:D1308, D$1:D1308&lt;&gt;""""),COUNTA(FILTER(D$1:D1308, D$1:D1308&lt;&gt;""""))))-1), IF('To Order'!$A1309=COL"&amp;"UMNS($A1309:D1328), D1308&amp;RIGHT(INDIRECT(ADDRESS(ROW(D1309)-1, 'From Order'!$A1309)), 1), D1308))"),"PH")</f>
        <v>PH</v>
      </c>
      <c r="E1309" s="2" t="str">
        <f>IFERROR(__xludf.DUMMYFUNCTION("IF('From Order'!$A1309=COLUMNS($A1309:E1328), LEFT(INDEX(FILTER(E$1:E1308, E$1:E1308&lt;&gt;""""),COUNTA(FILTER(E$1:E1308, E$1:E1308&lt;&gt;""""))), LEN(INDEX(FILTER(E$1:E1308, E$1:E1308&lt;&gt;""""),COUNTA(FILTER(E$1:E1308, E$1:E1308&lt;&gt;""""))))-1), IF('To Order'!$A1309=COL"&amp;"UMNS($A1309:E1328), E1308&amp;RIGHT(INDIRECT(ADDRESS(ROW(E1309)-1, 'From Order'!$A1309)), 1), E1308))"),"Z")</f>
        <v>Z</v>
      </c>
      <c r="F1309" s="2" t="str">
        <f>IFERROR(__xludf.DUMMYFUNCTION("IF('From Order'!$A1309=COLUMNS($A1309:F1328), LEFT(INDEX(FILTER(F$1:F1308, F$1:F1308&lt;&gt;""""),COUNTA(FILTER(F$1:F1308, F$1:F1308&lt;&gt;""""))), LEN(INDEX(FILTER(F$1:F1308, F$1:F1308&lt;&gt;""""),COUNTA(FILTER(F$1:F1308, F$1:F1308&lt;&gt;""""))))-1), IF('To Order'!$A1309=COL"&amp;"UMNS($A1309:F1328), F1308&amp;RIGHT(INDIRECT(ADDRESS(ROW(F1309)-1, 'From Order'!$A1309)), 1), F1308))"),"Z")</f>
        <v>Z</v>
      </c>
      <c r="G1309" s="2" t="str">
        <f>IFERROR(__xludf.DUMMYFUNCTION("IF('From Order'!$A1309=COLUMNS($A1309:G1328), LEFT(INDEX(FILTER(G$1:G1308, G$1:G1308&lt;&gt;""""),COUNTA(FILTER(G$1:G1308, G$1:G1308&lt;&gt;""""))), LEN(INDEX(FILTER(G$1:G1308, G$1:G1308&lt;&gt;""""),COUNTA(FILTER(G$1:G1308, G$1:G1308&lt;&gt;""""))))-1), IF('To Order'!$A1309=COL"&amp;"UMNS($A1309:G1328), G1308&amp;RIGHT(INDIRECT(ADDRESS(ROW(G1309)-1, 'From Order'!$A1309)), 1), G1308))"),"WRMTCRCDRZCSFVTSBL")</f>
        <v>WRMTCRCDRZCSFVTSBL</v>
      </c>
      <c r="H1309" s="2" t="str">
        <f>IFERROR(__xludf.DUMMYFUNCTION("IF('From Order'!$A1309=COLUMNS($A1309:H1328), LEFT(INDEX(FILTER(H$1:H1308, H$1:H1308&lt;&gt;""""),COUNTA(FILTER(H$1:H1308, H$1:H1308&lt;&gt;""""))), LEN(INDEX(FILTER(H$1:H1308, H$1:H1308&lt;&gt;""""),COUNTA(FILTER(H$1:H1308, H$1:H1308&lt;&gt;""""))))-1), IF('To Order'!$A1309=COL"&amp;"UMNS($A1309:H1328), H1308&amp;RIGHT(INDIRECT(ADDRESS(ROW(H1309)-1, 'From Order'!$A1309)), 1), H1308))"),"")</f>
        <v/>
      </c>
      <c r="I1309" s="2" t="str">
        <f>IFERROR(__xludf.DUMMYFUNCTION("IF('From Order'!$A1309=COLUMNS($A1309:I1328), LEFT(INDEX(FILTER(I$1:I1308, I$1:I1308&lt;&gt;""""),COUNTA(FILTER(I$1:I1308, I$1:I1308&lt;&gt;""""))), LEN(INDEX(FILTER(I$1:I1308, I$1:I1308&lt;&gt;""""),COUNTA(FILTER(I$1:I1308, I$1:I1308&lt;&gt;""""))))-1), IF('To Order'!$A1309=COL"&amp;"UMNS($A1309:I1328), I1308&amp;RIGHT(INDIRECT(ADDRESS(ROW(I1309)-1, 'From Order'!$A1309)), 1), I1308))"),"DDT")</f>
        <v>DDT</v>
      </c>
    </row>
    <row r="1310">
      <c r="A1310" s="2" t="str">
        <f>IFERROR(__xludf.DUMMYFUNCTION("IF('From Order'!$A1310=COLUMNS($A1310:A1329), LEFT(INDEX(FILTER(A$1:A1309, A$1:A1309&lt;&gt;""""),COUNTA(FILTER(A$1:A1309, A$1:A1309&lt;&gt;""""))), LEN(INDEX(FILTER(A$1:A1309, A$1:A1309&lt;&gt;""""),COUNTA(FILTER(A$1:A1309, A$1:A1309&lt;&gt;""""))))-1), IF('To Order'!$A1310=COL"&amp;"UMNS($A1310:A1329), A1309&amp;RIGHT(INDIRECT(ADDRESS(ROW(A1310)-1, 'From Order'!$A1310)), 1), A1309))"),"JTBF")</f>
        <v>JTBF</v>
      </c>
      <c r="B1310" s="2" t="str">
        <f>IFERROR(__xludf.DUMMYFUNCTION("IF('From Order'!$A1310=COLUMNS($A1310:B1329), LEFT(INDEX(FILTER(B$1:B1309, B$1:B1309&lt;&gt;""""),COUNTA(FILTER(B$1:B1309, B$1:B1309&lt;&gt;""""))), LEN(INDEX(FILTER(B$1:B1309, B$1:B1309&lt;&gt;""""),COUNTA(FILTER(B$1:B1309, B$1:B1309&lt;&gt;""""))))-1), IF('To Order'!$A1310=COL"&amp;"UMNS($A1310:B1329), B1309&amp;RIGHT(INDIRECT(ADDRESS(ROW(B1310)-1, 'From Order'!$A1310)), 1), B1309))"),"BV")</f>
        <v>BV</v>
      </c>
      <c r="C1310" s="2" t="str">
        <f>IFERROR(__xludf.DUMMYFUNCTION("IF('From Order'!$A1310=COLUMNS($A1310:C1329), LEFT(INDEX(FILTER(C$1:C1309, C$1:C1309&lt;&gt;""""),COUNTA(FILTER(C$1:C1309, C$1:C1309&lt;&gt;""""))), LEN(INDEX(FILTER(C$1:C1309, C$1:C1309&lt;&gt;""""),COUNTA(FILTER(C$1:C1309, C$1:C1309&lt;&gt;""""))))-1), IF('To Order'!$A1310=COL"&amp;"UMNS($A1310:C1329), C1309&amp;RIGHT(INDIRECT(ADDRESS(ROW(C1310)-1, 'From Order'!$A1310)), 1), C1309))"),"TRLRSGHWQVQJPPLDTMGBSDJDM")</f>
        <v>TRLRSGHWQVQJPPLDTMGBSDJDM</v>
      </c>
      <c r="D1310" s="2" t="str">
        <f>IFERROR(__xludf.DUMMYFUNCTION("IF('From Order'!$A1310=COLUMNS($A1310:D1329), LEFT(INDEX(FILTER(D$1:D1309, D$1:D1309&lt;&gt;""""),COUNTA(FILTER(D$1:D1309, D$1:D1309&lt;&gt;""""))), LEN(INDEX(FILTER(D$1:D1309, D$1:D1309&lt;&gt;""""),COUNTA(FILTER(D$1:D1309, D$1:D1309&lt;&gt;""""))))-1), IF('To Order'!$A1310=COL"&amp;"UMNS($A1310:D1329), D1309&amp;RIGHT(INDIRECT(ADDRESS(ROW(D1310)-1, 'From Order'!$A1310)), 1), D1309))"),"PH")</f>
        <v>PH</v>
      </c>
      <c r="E1310" s="2" t="str">
        <f>IFERROR(__xludf.DUMMYFUNCTION("IF('From Order'!$A1310=COLUMNS($A1310:E1329), LEFT(INDEX(FILTER(E$1:E1309, E$1:E1309&lt;&gt;""""),COUNTA(FILTER(E$1:E1309, E$1:E1309&lt;&gt;""""))), LEN(INDEX(FILTER(E$1:E1309, E$1:E1309&lt;&gt;""""),COUNTA(FILTER(E$1:E1309, E$1:E1309&lt;&gt;""""))))-1), IF('To Order'!$A1310=COL"&amp;"UMNS($A1310:E1329), E1309&amp;RIGHT(INDIRECT(ADDRESS(ROW(E1310)-1, 'From Order'!$A1310)), 1), E1309))"),"Z")</f>
        <v>Z</v>
      </c>
      <c r="F1310" s="2" t="str">
        <f>IFERROR(__xludf.DUMMYFUNCTION("IF('From Order'!$A1310=COLUMNS($A1310:F1329), LEFT(INDEX(FILTER(F$1:F1309, F$1:F1309&lt;&gt;""""),COUNTA(FILTER(F$1:F1309, F$1:F1309&lt;&gt;""""))), LEN(INDEX(FILTER(F$1:F1309, F$1:F1309&lt;&gt;""""),COUNTA(FILTER(F$1:F1309, F$1:F1309&lt;&gt;""""))))-1), IF('To Order'!$A1310=COL"&amp;"UMNS($A1310:F1329), F1309&amp;RIGHT(INDIRECT(ADDRESS(ROW(F1310)-1, 'From Order'!$A1310)), 1), F1309))"),"Z")</f>
        <v>Z</v>
      </c>
      <c r="G1310" s="2" t="str">
        <f>IFERROR(__xludf.DUMMYFUNCTION("IF('From Order'!$A1310=COLUMNS($A1310:G1329), LEFT(INDEX(FILTER(G$1:G1309, G$1:G1309&lt;&gt;""""),COUNTA(FILTER(G$1:G1309, G$1:G1309&lt;&gt;""""))), LEN(INDEX(FILTER(G$1:G1309, G$1:G1309&lt;&gt;""""),COUNTA(FILTER(G$1:G1309, G$1:G1309&lt;&gt;""""))))-1), IF('To Order'!$A1310=COL"&amp;"UMNS($A1310:G1329), G1309&amp;RIGHT(INDIRECT(ADDRESS(ROW(G1310)-1, 'From Order'!$A1310)), 1), G1309))"),"WRMTCRCDRZCSFVTSBL")</f>
        <v>WRMTCRCDRZCSFVTSBL</v>
      </c>
      <c r="H1310" s="2" t="str">
        <f>IFERROR(__xludf.DUMMYFUNCTION("IF('From Order'!$A1310=COLUMNS($A1310:H1329), LEFT(INDEX(FILTER(H$1:H1309, H$1:H1309&lt;&gt;""""),COUNTA(FILTER(H$1:H1309, H$1:H1309&lt;&gt;""""))), LEN(INDEX(FILTER(H$1:H1309, H$1:H1309&lt;&gt;""""),COUNTA(FILTER(H$1:H1309, H$1:H1309&lt;&gt;""""))))-1), IF('To Order'!$A1310=COL"&amp;"UMNS($A1310:H1329), H1309&amp;RIGHT(INDIRECT(ADDRESS(ROW(H1310)-1, 'From Order'!$A1310)), 1), H1309))"),"")</f>
        <v/>
      </c>
      <c r="I1310" s="2" t="str">
        <f>IFERROR(__xludf.DUMMYFUNCTION("IF('From Order'!$A1310=COLUMNS($A1310:I1329), LEFT(INDEX(FILTER(I$1:I1309, I$1:I1309&lt;&gt;""""),COUNTA(FILTER(I$1:I1309, I$1:I1309&lt;&gt;""""))), LEN(INDEX(FILTER(I$1:I1309, I$1:I1309&lt;&gt;""""),COUNTA(FILTER(I$1:I1309, I$1:I1309&lt;&gt;""""))))-1), IF('To Order'!$A1310=COL"&amp;"UMNS($A1310:I1329), I1309&amp;RIGHT(INDIRECT(ADDRESS(ROW(I1310)-1, 'From Order'!$A1310)), 1), I1309))"),"DDT")</f>
        <v>DDT</v>
      </c>
    </row>
    <row r="1311">
      <c r="A1311" s="2" t="str">
        <f>IFERROR(__xludf.DUMMYFUNCTION("IF('From Order'!$A1311=COLUMNS($A1311:A1330), LEFT(INDEX(FILTER(A$1:A1310, A$1:A1310&lt;&gt;""""),COUNTA(FILTER(A$1:A1310, A$1:A1310&lt;&gt;""""))), LEN(INDEX(FILTER(A$1:A1310, A$1:A1310&lt;&gt;""""),COUNTA(FILTER(A$1:A1310, A$1:A1310&lt;&gt;""""))))-1), IF('To Order'!$A1311=COL"&amp;"UMNS($A1311:A1330), A1310&amp;RIGHT(INDIRECT(ADDRESS(ROW(A1311)-1, 'From Order'!$A1311)), 1), A1310))"),"JTBFM")</f>
        <v>JTBFM</v>
      </c>
      <c r="B1311" s="2" t="str">
        <f>IFERROR(__xludf.DUMMYFUNCTION("IF('From Order'!$A1311=COLUMNS($A1311:B1330), LEFT(INDEX(FILTER(B$1:B1310, B$1:B1310&lt;&gt;""""),COUNTA(FILTER(B$1:B1310, B$1:B1310&lt;&gt;""""))), LEN(INDEX(FILTER(B$1:B1310, B$1:B1310&lt;&gt;""""),COUNTA(FILTER(B$1:B1310, B$1:B1310&lt;&gt;""""))))-1), IF('To Order'!$A1311=COL"&amp;"UMNS($A1311:B1330), B1310&amp;RIGHT(INDIRECT(ADDRESS(ROW(B1311)-1, 'From Order'!$A1311)), 1), B1310))"),"BV")</f>
        <v>BV</v>
      </c>
      <c r="C1311" s="2" t="str">
        <f>IFERROR(__xludf.DUMMYFUNCTION("IF('From Order'!$A1311=COLUMNS($A1311:C1330), LEFT(INDEX(FILTER(C$1:C1310, C$1:C1310&lt;&gt;""""),COUNTA(FILTER(C$1:C1310, C$1:C1310&lt;&gt;""""))), LEN(INDEX(FILTER(C$1:C1310, C$1:C1310&lt;&gt;""""),COUNTA(FILTER(C$1:C1310, C$1:C1310&lt;&gt;""""))))-1), IF('To Order'!$A1311=COL"&amp;"UMNS($A1311:C1330), C1310&amp;RIGHT(INDIRECT(ADDRESS(ROW(C1311)-1, 'From Order'!$A1311)), 1), C1310))"),"TRLRSGHWQVQJPPLDTMGBSDJD")</f>
        <v>TRLRSGHWQVQJPPLDTMGBSDJD</v>
      </c>
      <c r="D1311" s="2" t="str">
        <f>IFERROR(__xludf.DUMMYFUNCTION("IF('From Order'!$A1311=COLUMNS($A1311:D1330), LEFT(INDEX(FILTER(D$1:D1310, D$1:D1310&lt;&gt;""""),COUNTA(FILTER(D$1:D1310, D$1:D1310&lt;&gt;""""))), LEN(INDEX(FILTER(D$1:D1310, D$1:D1310&lt;&gt;""""),COUNTA(FILTER(D$1:D1310, D$1:D1310&lt;&gt;""""))))-1), IF('To Order'!$A1311=COL"&amp;"UMNS($A1311:D1330), D1310&amp;RIGHT(INDIRECT(ADDRESS(ROW(D1311)-1, 'From Order'!$A1311)), 1), D1310))"),"PH")</f>
        <v>PH</v>
      </c>
      <c r="E1311" s="2" t="str">
        <f>IFERROR(__xludf.DUMMYFUNCTION("IF('From Order'!$A1311=COLUMNS($A1311:E1330), LEFT(INDEX(FILTER(E$1:E1310, E$1:E1310&lt;&gt;""""),COUNTA(FILTER(E$1:E1310, E$1:E1310&lt;&gt;""""))), LEN(INDEX(FILTER(E$1:E1310, E$1:E1310&lt;&gt;""""),COUNTA(FILTER(E$1:E1310, E$1:E1310&lt;&gt;""""))))-1), IF('To Order'!$A1311=COL"&amp;"UMNS($A1311:E1330), E1310&amp;RIGHT(INDIRECT(ADDRESS(ROW(E1311)-1, 'From Order'!$A1311)), 1), E1310))"),"Z")</f>
        <v>Z</v>
      </c>
      <c r="F1311" s="2" t="str">
        <f>IFERROR(__xludf.DUMMYFUNCTION("IF('From Order'!$A1311=COLUMNS($A1311:F1330), LEFT(INDEX(FILTER(F$1:F1310, F$1:F1310&lt;&gt;""""),COUNTA(FILTER(F$1:F1310, F$1:F1310&lt;&gt;""""))), LEN(INDEX(FILTER(F$1:F1310, F$1:F1310&lt;&gt;""""),COUNTA(FILTER(F$1:F1310, F$1:F1310&lt;&gt;""""))))-1), IF('To Order'!$A1311=COL"&amp;"UMNS($A1311:F1330), F1310&amp;RIGHT(INDIRECT(ADDRESS(ROW(F1311)-1, 'From Order'!$A1311)), 1), F1310))"),"Z")</f>
        <v>Z</v>
      </c>
      <c r="G1311" s="2" t="str">
        <f>IFERROR(__xludf.DUMMYFUNCTION("IF('From Order'!$A1311=COLUMNS($A1311:G1330), LEFT(INDEX(FILTER(G$1:G1310, G$1:G1310&lt;&gt;""""),COUNTA(FILTER(G$1:G1310, G$1:G1310&lt;&gt;""""))), LEN(INDEX(FILTER(G$1:G1310, G$1:G1310&lt;&gt;""""),COUNTA(FILTER(G$1:G1310, G$1:G1310&lt;&gt;""""))))-1), IF('To Order'!$A1311=COL"&amp;"UMNS($A1311:G1330), G1310&amp;RIGHT(INDIRECT(ADDRESS(ROW(G1311)-1, 'From Order'!$A1311)), 1), G1310))"),"WRMTCRCDRZCSFVTSBL")</f>
        <v>WRMTCRCDRZCSFVTSBL</v>
      </c>
      <c r="H1311" s="2" t="str">
        <f>IFERROR(__xludf.DUMMYFUNCTION("IF('From Order'!$A1311=COLUMNS($A1311:H1330), LEFT(INDEX(FILTER(H$1:H1310, H$1:H1310&lt;&gt;""""),COUNTA(FILTER(H$1:H1310, H$1:H1310&lt;&gt;""""))), LEN(INDEX(FILTER(H$1:H1310, H$1:H1310&lt;&gt;""""),COUNTA(FILTER(H$1:H1310, H$1:H1310&lt;&gt;""""))))-1), IF('To Order'!$A1311=COL"&amp;"UMNS($A1311:H1330), H1310&amp;RIGHT(INDIRECT(ADDRESS(ROW(H1311)-1, 'From Order'!$A1311)), 1), H1310))"),"")</f>
        <v/>
      </c>
      <c r="I1311" s="2" t="str">
        <f>IFERROR(__xludf.DUMMYFUNCTION("IF('From Order'!$A1311=COLUMNS($A1311:I1330), LEFT(INDEX(FILTER(I$1:I1310, I$1:I1310&lt;&gt;""""),COUNTA(FILTER(I$1:I1310, I$1:I1310&lt;&gt;""""))), LEN(INDEX(FILTER(I$1:I1310, I$1:I1310&lt;&gt;""""),COUNTA(FILTER(I$1:I1310, I$1:I1310&lt;&gt;""""))))-1), IF('To Order'!$A1311=COL"&amp;"UMNS($A1311:I1330), I1310&amp;RIGHT(INDIRECT(ADDRESS(ROW(I1311)-1, 'From Order'!$A1311)), 1), I1310))"),"DDT")</f>
        <v>DDT</v>
      </c>
    </row>
    <row r="1312">
      <c r="A1312" s="2" t="str">
        <f>IFERROR(__xludf.DUMMYFUNCTION("IF('From Order'!$A1312=COLUMNS($A1312:A1331), LEFT(INDEX(FILTER(A$1:A1311, A$1:A1311&lt;&gt;""""),COUNTA(FILTER(A$1:A1311, A$1:A1311&lt;&gt;""""))), LEN(INDEX(FILTER(A$1:A1311, A$1:A1311&lt;&gt;""""),COUNTA(FILTER(A$1:A1311, A$1:A1311&lt;&gt;""""))))-1), IF('To Order'!$A1312=COL"&amp;"UMNS($A1312:A1331), A1311&amp;RIGHT(INDIRECT(ADDRESS(ROW(A1312)-1, 'From Order'!$A1312)), 1), A1311))"),"JTBFMD")</f>
        <v>JTBFMD</v>
      </c>
      <c r="B1312" s="2" t="str">
        <f>IFERROR(__xludf.DUMMYFUNCTION("IF('From Order'!$A1312=COLUMNS($A1312:B1331), LEFT(INDEX(FILTER(B$1:B1311, B$1:B1311&lt;&gt;""""),COUNTA(FILTER(B$1:B1311, B$1:B1311&lt;&gt;""""))), LEN(INDEX(FILTER(B$1:B1311, B$1:B1311&lt;&gt;""""),COUNTA(FILTER(B$1:B1311, B$1:B1311&lt;&gt;""""))))-1), IF('To Order'!$A1312=COL"&amp;"UMNS($A1312:B1331), B1311&amp;RIGHT(INDIRECT(ADDRESS(ROW(B1312)-1, 'From Order'!$A1312)), 1), B1311))"),"BV")</f>
        <v>BV</v>
      </c>
      <c r="C1312" s="2" t="str">
        <f>IFERROR(__xludf.DUMMYFUNCTION("IF('From Order'!$A1312=COLUMNS($A1312:C1331), LEFT(INDEX(FILTER(C$1:C1311, C$1:C1311&lt;&gt;""""),COUNTA(FILTER(C$1:C1311, C$1:C1311&lt;&gt;""""))), LEN(INDEX(FILTER(C$1:C1311, C$1:C1311&lt;&gt;""""),COUNTA(FILTER(C$1:C1311, C$1:C1311&lt;&gt;""""))))-1), IF('To Order'!$A1312=COL"&amp;"UMNS($A1312:C1331), C1311&amp;RIGHT(INDIRECT(ADDRESS(ROW(C1312)-1, 'From Order'!$A1312)), 1), C1311))"),"TRLRSGHWQVQJPPLDTMGBSDJ")</f>
        <v>TRLRSGHWQVQJPPLDTMGBSDJ</v>
      </c>
      <c r="D1312" s="2" t="str">
        <f>IFERROR(__xludf.DUMMYFUNCTION("IF('From Order'!$A1312=COLUMNS($A1312:D1331), LEFT(INDEX(FILTER(D$1:D1311, D$1:D1311&lt;&gt;""""),COUNTA(FILTER(D$1:D1311, D$1:D1311&lt;&gt;""""))), LEN(INDEX(FILTER(D$1:D1311, D$1:D1311&lt;&gt;""""),COUNTA(FILTER(D$1:D1311, D$1:D1311&lt;&gt;""""))))-1), IF('To Order'!$A1312=COL"&amp;"UMNS($A1312:D1331), D1311&amp;RIGHT(INDIRECT(ADDRESS(ROW(D1312)-1, 'From Order'!$A1312)), 1), D1311))"),"PH")</f>
        <v>PH</v>
      </c>
      <c r="E1312" s="2" t="str">
        <f>IFERROR(__xludf.DUMMYFUNCTION("IF('From Order'!$A1312=COLUMNS($A1312:E1331), LEFT(INDEX(FILTER(E$1:E1311, E$1:E1311&lt;&gt;""""),COUNTA(FILTER(E$1:E1311, E$1:E1311&lt;&gt;""""))), LEN(INDEX(FILTER(E$1:E1311, E$1:E1311&lt;&gt;""""),COUNTA(FILTER(E$1:E1311, E$1:E1311&lt;&gt;""""))))-1), IF('To Order'!$A1312=COL"&amp;"UMNS($A1312:E1331), E1311&amp;RIGHT(INDIRECT(ADDRESS(ROW(E1312)-1, 'From Order'!$A1312)), 1), E1311))"),"Z")</f>
        <v>Z</v>
      </c>
      <c r="F1312" s="2" t="str">
        <f>IFERROR(__xludf.DUMMYFUNCTION("IF('From Order'!$A1312=COLUMNS($A1312:F1331), LEFT(INDEX(FILTER(F$1:F1311, F$1:F1311&lt;&gt;""""),COUNTA(FILTER(F$1:F1311, F$1:F1311&lt;&gt;""""))), LEN(INDEX(FILTER(F$1:F1311, F$1:F1311&lt;&gt;""""),COUNTA(FILTER(F$1:F1311, F$1:F1311&lt;&gt;""""))))-1), IF('To Order'!$A1312=COL"&amp;"UMNS($A1312:F1331), F1311&amp;RIGHT(INDIRECT(ADDRESS(ROW(F1312)-1, 'From Order'!$A1312)), 1), F1311))"),"Z")</f>
        <v>Z</v>
      </c>
      <c r="G1312" s="2" t="str">
        <f>IFERROR(__xludf.DUMMYFUNCTION("IF('From Order'!$A1312=COLUMNS($A1312:G1331), LEFT(INDEX(FILTER(G$1:G1311, G$1:G1311&lt;&gt;""""),COUNTA(FILTER(G$1:G1311, G$1:G1311&lt;&gt;""""))), LEN(INDEX(FILTER(G$1:G1311, G$1:G1311&lt;&gt;""""),COUNTA(FILTER(G$1:G1311, G$1:G1311&lt;&gt;""""))))-1), IF('To Order'!$A1312=COL"&amp;"UMNS($A1312:G1331), G1311&amp;RIGHT(INDIRECT(ADDRESS(ROW(G1312)-1, 'From Order'!$A1312)), 1), G1311))"),"WRMTCRCDRZCSFVTSBL")</f>
        <v>WRMTCRCDRZCSFVTSBL</v>
      </c>
      <c r="H1312" s="2" t="str">
        <f>IFERROR(__xludf.DUMMYFUNCTION("IF('From Order'!$A1312=COLUMNS($A1312:H1331), LEFT(INDEX(FILTER(H$1:H1311, H$1:H1311&lt;&gt;""""),COUNTA(FILTER(H$1:H1311, H$1:H1311&lt;&gt;""""))), LEN(INDEX(FILTER(H$1:H1311, H$1:H1311&lt;&gt;""""),COUNTA(FILTER(H$1:H1311, H$1:H1311&lt;&gt;""""))))-1), IF('To Order'!$A1312=COL"&amp;"UMNS($A1312:H1331), H1311&amp;RIGHT(INDIRECT(ADDRESS(ROW(H1312)-1, 'From Order'!$A1312)), 1), H1311))"),"")</f>
        <v/>
      </c>
      <c r="I1312" s="2" t="str">
        <f>IFERROR(__xludf.DUMMYFUNCTION("IF('From Order'!$A1312=COLUMNS($A1312:I1331), LEFT(INDEX(FILTER(I$1:I1311, I$1:I1311&lt;&gt;""""),COUNTA(FILTER(I$1:I1311, I$1:I1311&lt;&gt;""""))), LEN(INDEX(FILTER(I$1:I1311, I$1:I1311&lt;&gt;""""),COUNTA(FILTER(I$1:I1311, I$1:I1311&lt;&gt;""""))))-1), IF('To Order'!$A1312=COL"&amp;"UMNS($A1312:I1331), I1311&amp;RIGHT(INDIRECT(ADDRESS(ROW(I1312)-1, 'From Order'!$A1312)), 1), I1311))"),"DDT")</f>
        <v>DDT</v>
      </c>
    </row>
    <row r="1313">
      <c r="A1313" s="2" t="str">
        <f>IFERROR(__xludf.DUMMYFUNCTION("IF('From Order'!$A1313=COLUMNS($A1313:A1332), LEFT(INDEX(FILTER(A$1:A1312, A$1:A1312&lt;&gt;""""),COUNTA(FILTER(A$1:A1312, A$1:A1312&lt;&gt;""""))), LEN(INDEX(FILTER(A$1:A1312, A$1:A1312&lt;&gt;""""),COUNTA(FILTER(A$1:A1312, A$1:A1312&lt;&gt;""""))))-1), IF('To Order'!$A1313=COL"&amp;"UMNS($A1313:A1332), A1312&amp;RIGHT(INDIRECT(ADDRESS(ROW(A1313)-1, 'From Order'!$A1313)), 1), A1312))"),"JTBFMDJ")</f>
        <v>JTBFMDJ</v>
      </c>
      <c r="B1313" s="2" t="str">
        <f>IFERROR(__xludf.DUMMYFUNCTION("IF('From Order'!$A1313=COLUMNS($A1313:B1332), LEFT(INDEX(FILTER(B$1:B1312, B$1:B1312&lt;&gt;""""),COUNTA(FILTER(B$1:B1312, B$1:B1312&lt;&gt;""""))), LEN(INDEX(FILTER(B$1:B1312, B$1:B1312&lt;&gt;""""),COUNTA(FILTER(B$1:B1312, B$1:B1312&lt;&gt;""""))))-1), IF('To Order'!$A1313=COL"&amp;"UMNS($A1313:B1332), B1312&amp;RIGHT(INDIRECT(ADDRESS(ROW(B1313)-1, 'From Order'!$A1313)), 1), B1312))"),"BV")</f>
        <v>BV</v>
      </c>
      <c r="C1313" s="2" t="str">
        <f>IFERROR(__xludf.DUMMYFUNCTION("IF('From Order'!$A1313=COLUMNS($A1313:C1332), LEFT(INDEX(FILTER(C$1:C1312, C$1:C1312&lt;&gt;""""),COUNTA(FILTER(C$1:C1312, C$1:C1312&lt;&gt;""""))), LEN(INDEX(FILTER(C$1:C1312, C$1:C1312&lt;&gt;""""),COUNTA(FILTER(C$1:C1312, C$1:C1312&lt;&gt;""""))))-1), IF('To Order'!$A1313=COL"&amp;"UMNS($A1313:C1332), C1312&amp;RIGHT(INDIRECT(ADDRESS(ROW(C1313)-1, 'From Order'!$A1313)), 1), C1312))"),"TRLRSGHWQVQJPPLDTMGBSD")</f>
        <v>TRLRSGHWQVQJPPLDTMGBSD</v>
      </c>
      <c r="D1313" s="2" t="str">
        <f>IFERROR(__xludf.DUMMYFUNCTION("IF('From Order'!$A1313=COLUMNS($A1313:D1332), LEFT(INDEX(FILTER(D$1:D1312, D$1:D1312&lt;&gt;""""),COUNTA(FILTER(D$1:D1312, D$1:D1312&lt;&gt;""""))), LEN(INDEX(FILTER(D$1:D1312, D$1:D1312&lt;&gt;""""),COUNTA(FILTER(D$1:D1312, D$1:D1312&lt;&gt;""""))))-1), IF('To Order'!$A1313=COL"&amp;"UMNS($A1313:D1332), D1312&amp;RIGHT(INDIRECT(ADDRESS(ROW(D1313)-1, 'From Order'!$A1313)), 1), D1312))"),"PH")</f>
        <v>PH</v>
      </c>
      <c r="E1313" s="2" t="str">
        <f>IFERROR(__xludf.DUMMYFUNCTION("IF('From Order'!$A1313=COLUMNS($A1313:E1332), LEFT(INDEX(FILTER(E$1:E1312, E$1:E1312&lt;&gt;""""),COUNTA(FILTER(E$1:E1312, E$1:E1312&lt;&gt;""""))), LEN(INDEX(FILTER(E$1:E1312, E$1:E1312&lt;&gt;""""),COUNTA(FILTER(E$1:E1312, E$1:E1312&lt;&gt;""""))))-1), IF('To Order'!$A1313=COL"&amp;"UMNS($A1313:E1332), E1312&amp;RIGHT(INDIRECT(ADDRESS(ROW(E1313)-1, 'From Order'!$A1313)), 1), E1312))"),"Z")</f>
        <v>Z</v>
      </c>
      <c r="F1313" s="2" t="str">
        <f>IFERROR(__xludf.DUMMYFUNCTION("IF('From Order'!$A1313=COLUMNS($A1313:F1332), LEFT(INDEX(FILTER(F$1:F1312, F$1:F1312&lt;&gt;""""),COUNTA(FILTER(F$1:F1312, F$1:F1312&lt;&gt;""""))), LEN(INDEX(FILTER(F$1:F1312, F$1:F1312&lt;&gt;""""),COUNTA(FILTER(F$1:F1312, F$1:F1312&lt;&gt;""""))))-1), IF('To Order'!$A1313=COL"&amp;"UMNS($A1313:F1332), F1312&amp;RIGHT(INDIRECT(ADDRESS(ROW(F1313)-1, 'From Order'!$A1313)), 1), F1312))"),"Z")</f>
        <v>Z</v>
      </c>
      <c r="G1313" s="2" t="str">
        <f>IFERROR(__xludf.DUMMYFUNCTION("IF('From Order'!$A1313=COLUMNS($A1313:G1332), LEFT(INDEX(FILTER(G$1:G1312, G$1:G1312&lt;&gt;""""),COUNTA(FILTER(G$1:G1312, G$1:G1312&lt;&gt;""""))), LEN(INDEX(FILTER(G$1:G1312, G$1:G1312&lt;&gt;""""),COUNTA(FILTER(G$1:G1312, G$1:G1312&lt;&gt;""""))))-1), IF('To Order'!$A1313=COL"&amp;"UMNS($A1313:G1332), G1312&amp;RIGHT(INDIRECT(ADDRESS(ROW(G1313)-1, 'From Order'!$A1313)), 1), G1312))"),"WRMTCRCDRZCSFVTSBL")</f>
        <v>WRMTCRCDRZCSFVTSBL</v>
      </c>
      <c r="H1313" s="2" t="str">
        <f>IFERROR(__xludf.DUMMYFUNCTION("IF('From Order'!$A1313=COLUMNS($A1313:H1332), LEFT(INDEX(FILTER(H$1:H1312, H$1:H1312&lt;&gt;""""),COUNTA(FILTER(H$1:H1312, H$1:H1312&lt;&gt;""""))), LEN(INDEX(FILTER(H$1:H1312, H$1:H1312&lt;&gt;""""),COUNTA(FILTER(H$1:H1312, H$1:H1312&lt;&gt;""""))))-1), IF('To Order'!$A1313=COL"&amp;"UMNS($A1313:H1332), H1312&amp;RIGHT(INDIRECT(ADDRESS(ROW(H1313)-1, 'From Order'!$A1313)), 1), H1312))"),"")</f>
        <v/>
      </c>
      <c r="I1313" s="2" t="str">
        <f>IFERROR(__xludf.DUMMYFUNCTION("IF('From Order'!$A1313=COLUMNS($A1313:I1332), LEFT(INDEX(FILTER(I$1:I1312, I$1:I1312&lt;&gt;""""),COUNTA(FILTER(I$1:I1312, I$1:I1312&lt;&gt;""""))), LEN(INDEX(FILTER(I$1:I1312, I$1:I1312&lt;&gt;""""),COUNTA(FILTER(I$1:I1312, I$1:I1312&lt;&gt;""""))))-1), IF('To Order'!$A1313=COL"&amp;"UMNS($A1313:I1332), I1312&amp;RIGHT(INDIRECT(ADDRESS(ROW(I1313)-1, 'From Order'!$A1313)), 1), I1312))"),"DDT")</f>
        <v>DDT</v>
      </c>
    </row>
    <row r="1314">
      <c r="A1314" s="2" t="str">
        <f>IFERROR(__xludf.DUMMYFUNCTION("IF('From Order'!$A1314=COLUMNS($A1314:A1333), LEFT(INDEX(FILTER(A$1:A1313, A$1:A1313&lt;&gt;""""),COUNTA(FILTER(A$1:A1313, A$1:A1313&lt;&gt;""""))), LEN(INDEX(FILTER(A$1:A1313, A$1:A1313&lt;&gt;""""),COUNTA(FILTER(A$1:A1313, A$1:A1313&lt;&gt;""""))))-1), IF('To Order'!$A1314=COL"&amp;"UMNS($A1314:A1333), A1313&amp;RIGHT(INDIRECT(ADDRESS(ROW(A1314)-1, 'From Order'!$A1314)), 1), A1313))"),"JTBFMDJD")</f>
        <v>JTBFMDJD</v>
      </c>
      <c r="B1314" s="2" t="str">
        <f>IFERROR(__xludf.DUMMYFUNCTION("IF('From Order'!$A1314=COLUMNS($A1314:B1333), LEFT(INDEX(FILTER(B$1:B1313, B$1:B1313&lt;&gt;""""),COUNTA(FILTER(B$1:B1313, B$1:B1313&lt;&gt;""""))), LEN(INDEX(FILTER(B$1:B1313, B$1:B1313&lt;&gt;""""),COUNTA(FILTER(B$1:B1313, B$1:B1313&lt;&gt;""""))))-1), IF('To Order'!$A1314=COL"&amp;"UMNS($A1314:B1333), B1313&amp;RIGHT(INDIRECT(ADDRESS(ROW(B1314)-1, 'From Order'!$A1314)), 1), B1313))"),"BV")</f>
        <v>BV</v>
      </c>
      <c r="C1314" s="2" t="str">
        <f>IFERROR(__xludf.DUMMYFUNCTION("IF('From Order'!$A1314=COLUMNS($A1314:C1333), LEFT(INDEX(FILTER(C$1:C1313, C$1:C1313&lt;&gt;""""),COUNTA(FILTER(C$1:C1313, C$1:C1313&lt;&gt;""""))), LEN(INDEX(FILTER(C$1:C1313, C$1:C1313&lt;&gt;""""),COUNTA(FILTER(C$1:C1313, C$1:C1313&lt;&gt;""""))))-1), IF('To Order'!$A1314=COL"&amp;"UMNS($A1314:C1333), C1313&amp;RIGHT(INDIRECT(ADDRESS(ROW(C1314)-1, 'From Order'!$A1314)), 1), C1313))"),"TRLRSGHWQVQJPPLDTMGBS")</f>
        <v>TRLRSGHWQVQJPPLDTMGBS</v>
      </c>
      <c r="D1314" s="2" t="str">
        <f>IFERROR(__xludf.DUMMYFUNCTION("IF('From Order'!$A1314=COLUMNS($A1314:D1333), LEFT(INDEX(FILTER(D$1:D1313, D$1:D1313&lt;&gt;""""),COUNTA(FILTER(D$1:D1313, D$1:D1313&lt;&gt;""""))), LEN(INDEX(FILTER(D$1:D1313, D$1:D1313&lt;&gt;""""),COUNTA(FILTER(D$1:D1313, D$1:D1313&lt;&gt;""""))))-1), IF('To Order'!$A1314=COL"&amp;"UMNS($A1314:D1333), D1313&amp;RIGHT(INDIRECT(ADDRESS(ROW(D1314)-1, 'From Order'!$A1314)), 1), D1313))"),"PH")</f>
        <v>PH</v>
      </c>
      <c r="E1314" s="2" t="str">
        <f>IFERROR(__xludf.DUMMYFUNCTION("IF('From Order'!$A1314=COLUMNS($A1314:E1333), LEFT(INDEX(FILTER(E$1:E1313, E$1:E1313&lt;&gt;""""),COUNTA(FILTER(E$1:E1313, E$1:E1313&lt;&gt;""""))), LEN(INDEX(FILTER(E$1:E1313, E$1:E1313&lt;&gt;""""),COUNTA(FILTER(E$1:E1313, E$1:E1313&lt;&gt;""""))))-1), IF('To Order'!$A1314=COL"&amp;"UMNS($A1314:E1333), E1313&amp;RIGHT(INDIRECT(ADDRESS(ROW(E1314)-1, 'From Order'!$A1314)), 1), E1313))"),"Z")</f>
        <v>Z</v>
      </c>
      <c r="F1314" s="2" t="str">
        <f>IFERROR(__xludf.DUMMYFUNCTION("IF('From Order'!$A1314=COLUMNS($A1314:F1333), LEFT(INDEX(FILTER(F$1:F1313, F$1:F1313&lt;&gt;""""),COUNTA(FILTER(F$1:F1313, F$1:F1313&lt;&gt;""""))), LEN(INDEX(FILTER(F$1:F1313, F$1:F1313&lt;&gt;""""),COUNTA(FILTER(F$1:F1313, F$1:F1313&lt;&gt;""""))))-1), IF('To Order'!$A1314=COL"&amp;"UMNS($A1314:F1333), F1313&amp;RIGHT(INDIRECT(ADDRESS(ROW(F1314)-1, 'From Order'!$A1314)), 1), F1313))"),"Z")</f>
        <v>Z</v>
      </c>
      <c r="G1314" s="2" t="str">
        <f>IFERROR(__xludf.DUMMYFUNCTION("IF('From Order'!$A1314=COLUMNS($A1314:G1333), LEFT(INDEX(FILTER(G$1:G1313, G$1:G1313&lt;&gt;""""),COUNTA(FILTER(G$1:G1313, G$1:G1313&lt;&gt;""""))), LEN(INDEX(FILTER(G$1:G1313, G$1:G1313&lt;&gt;""""),COUNTA(FILTER(G$1:G1313, G$1:G1313&lt;&gt;""""))))-1), IF('To Order'!$A1314=COL"&amp;"UMNS($A1314:G1333), G1313&amp;RIGHT(INDIRECT(ADDRESS(ROW(G1314)-1, 'From Order'!$A1314)), 1), G1313))"),"WRMTCRCDRZCSFVTSBL")</f>
        <v>WRMTCRCDRZCSFVTSBL</v>
      </c>
      <c r="H1314" s="2" t="str">
        <f>IFERROR(__xludf.DUMMYFUNCTION("IF('From Order'!$A1314=COLUMNS($A1314:H1333), LEFT(INDEX(FILTER(H$1:H1313, H$1:H1313&lt;&gt;""""),COUNTA(FILTER(H$1:H1313, H$1:H1313&lt;&gt;""""))), LEN(INDEX(FILTER(H$1:H1313, H$1:H1313&lt;&gt;""""),COUNTA(FILTER(H$1:H1313, H$1:H1313&lt;&gt;""""))))-1), IF('To Order'!$A1314=COL"&amp;"UMNS($A1314:H1333), H1313&amp;RIGHT(INDIRECT(ADDRESS(ROW(H1314)-1, 'From Order'!$A1314)), 1), H1313))"),"")</f>
        <v/>
      </c>
      <c r="I1314" s="2" t="str">
        <f>IFERROR(__xludf.DUMMYFUNCTION("IF('From Order'!$A1314=COLUMNS($A1314:I1333), LEFT(INDEX(FILTER(I$1:I1313, I$1:I1313&lt;&gt;""""),COUNTA(FILTER(I$1:I1313, I$1:I1313&lt;&gt;""""))), LEN(INDEX(FILTER(I$1:I1313, I$1:I1313&lt;&gt;""""),COUNTA(FILTER(I$1:I1313, I$1:I1313&lt;&gt;""""))))-1), IF('To Order'!$A1314=COL"&amp;"UMNS($A1314:I1333), I1313&amp;RIGHT(INDIRECT(ADDRESS(ROW(I1314)-1, 'From Order'!$A1314)), 1), I1313))"),"DDT")</f>
        <v>DDT</v>
      </c>
    </row>
    <row r="1315">
      <c r="A1315" s="2" t="str">
        <f>IFERROR(__xludf.DUMMYFUNCTION("IF('From Order'!$A1315=COLUMNS($A1315:A1334), LEFT(INDEX(FILTER(A$1:A1314, A$1:A1314&lt;&gt;""""),COUNTA(FILTER(A$1:A1314, A$1:A1314&lt;&gt;""""))), LEN(INDEX(FILTER(A$1:A1314, A$1:A1314&lt;&gt;""""),COUNTA(FILTER(A$1:A1314, A$1:A1314&lt;&gt;""""))))-1), IF('To Order'!$A1315=COL"&amp;"UMNS($A1315:A1334), A1314&amp;RIGHT(INDIRECT(ADDRESS(ROW(A1315)-1, 'From Order'!$A1315)), 1), A1314))"),"JTBFMDJDS")</f>
        <v>JTBFMDJDS</v>
      </c>
      <c r="B1315" s="2" t="str">
        <f>IFERROR(__xludf.DUMMYFUNCTION("IF('From Order'!$A1315=COLUMNS($A1315:B1334), LEFT(INDEX(FILTER(B$1:B1314, B$1:B1314&lt;&gt;""""),COUNTA(FILTER(B$1:B1314, B$1:B1314&lt;&gt;""""))), LEN(INDEX(FILTER(B$1:B1314, B$1:B1314&lt;&gt;""""),COUNTA(FILTER(B$1:B1314, B$1:B1314&lt;&gt;""""))))-1), IF('To Order'!$A1315=COL"&amp;"UMNS($A1315:B1334), B1314&amp;RIGHT(INDIRECT(ADDRESS(ROW(B1315)-1, 'From Order'!$A1315)), 1), B1314))"),"BV")</f>
        <v>BV</v>
      </c>
      <c r="C1315" s="2" t="str">
        <f>IFERROR(__xludf.DUMMYFUNCTION("IF('From Order'!$A1315=COLUMNS($A1315:C1334), LEFT(INDEX(FILTER(C$1:C1314, C$1:C1314&lt;&gt;""""),COUNTA(FILTER(C$1:C1314, C$1:C1314&lt;&gt;""""))), LEN(INDEX(FILTER(C$1:C1314, C$1:C1314&lt;&gt;""""),COUNTA(FILTER(C$1:C1314, C$1:C1314&lt;&gt;""""))))-1), IF('To Order'!$A1315=COL"&amp;"UMNS($A1315:C1334), C1314&amp;RIGHT(INDIRECT(ADDRESS(ROW(C1315)-1, 'From Order'!$A1315)), 1), C1314))"),"TRLRSGHWQVQJPPLDTMGB")</f>
        <v>TRLRSGHWQVQJPPLDTMGB</v>
      </c>
      <c r="D1315" s="2" t="str">
        <f>IFERROR(__xludf.DUMMYFUNCTION("IF('From Order'!$A1315=COLUMNS($A1315:D1334), LEFT(INDEX(FILTER(D$1:D1314, D$1:D1314&lt;&gt;""""),COUNTA(FILTER(D$1:D1314, D$1:D1314&lt;&gt;""""))), LEN(INDEX(FILTER(D$1:D1314, D$1:D1314&lt;&gt;""""),COUNTA(FILTER(D$1:D1314, D$1:D1314&lt;&gt;""""))))-1), IF('To Order'!$A1315=COL"&amp;"UMNS($A1315:D1334), D1314&amp;RIGHT(INDIRECT(ADDRESS(ROW(D1315)-1, 'From Order'!$A1315)), 1), D1314))"),"PH")</f>
        <v>PH</v>
      </c>
      <c r="E1315" s="2" t="str">
        <f>IFERROR(__xludf.DUMMYFUNCTION("IF('From Order'!$A1315=COLUMNS($A1315:E1334), LEFT(INDEX(FILTER(E$1:E1314, E$1:E1314&lt;&gt;""""),COUNTA(FILTER(E$1:E1314, E$1:E1314&lt;&gt;""""))), LEN(INDEX(FILTER(E$1:E1314, E$1:E1314&lt;&gt;""""),COUNTA(FILTER(E$1:E1314, E$1:E1314&lt;&gt;""""))))-1), IF('To Order'!$A1315=COL"&amp;"UMNS($A1315:E1334), E1314&amp;RIGHT(INDIRECT(ADDRESS(ROW(E1315)-1, 'From Order'!$A1315)), 1), E1314))"),"Z")</f>
        <v>Z</v>
      </c>
      <c r="F1315" s="2" t="str">
        <f>IFERROR(__xludf.DUMMYFUNCTION("IF('From Order'!$A1315=COLUMNS($A1315:F1334), LEFT(INDEX(FILTER(F$1:F1314, F$1:F1314&lt;&gt;""""),COUNTA(FILTER(F$1:F1314, F$1:F1314&lt;&gt;""""))), LEN(INDEX(FILTER(F$1:F1314, F$1:F1314&lt;&gt;""""),COUNTA(FILTER(F$1:F1314, F$1:F1314&lt;&gt;""""))))-1), IF('To Order'!$A1315=COL"&amp;"UMNS($A1315:F1334), F1314&amp;RIGHT(INDIRECT(ADDRESS(ROW(F1315)-1, 'From Order'!$A1315)), 1), F1314))"),"Z")</f>
        <v>Z</v>
      </c>
      <c r="G1315" s="2" t="str">
        <f>IFERROR(__xludf.DUMMYFUNCTION("IF('From Order'!$A1315=COLUMNS($A1315:G1334), LEFT(INDEX(FILTER(G$1:G1314, G$1:G1314&lt;&gt;""""),COUNTA(FILTER(G$1:G1314, G$1:G1314&lt;&gt;""""))), LEN(INDEX(FILTER(G$1:G1314, G$1:G1314&lt;&gt;""""),COUNTA(FILTER(G$1:G1314, G$1:G1314&lt;&gt;""""))))-1), IF('To Order'!$A1315=COL"&amp;"UMNS($A1315:G1334), G1314&amp;RIGHT(INDIRECT(ADDRESS(ROW(G1315)-1, 'From Order'!$A1315)), 1), G1314))"),"WRMTCRCDRZCSFVTSBL")</f>
        <v>WRMTCRCDRZCSFVTSBL</v>
      </c>
      <c r="H1315" s="2" t="str">
        <f>IFERROR(__xludf.DUMMYFUNCTION("IF('From Order'!$A1315=COLUMNS($A1315:H1334), LEFT(INDEX(FILTER(H$1:H1314, H$1:H1314&lt;&gt;""""),COUNTA(FILTER(H$1:H1314, H$1:H1314&lt;&gt;""""))), LEN(INDEX(FILTER(H$1:H1314, H$1:H1314&lt;&gt;""""),COUNTA(FILTER(H$1:H1314, H$1:H1314&lt;&gt;""""))))-1), IF('To Order'!$A1315=COL"&amp;"UMNS($A1315:H1334), H1314&amp;RIGHT(INDIRECT(ADDRESS(ROW(H1315)-1, 'From Order'!$A1315)), 1), H1314))"),"")</f>
        <v/>
      </c>
      <c r="I1315" s="2" t="str">
        <f>IFERROR(__xludf.DUMMYFUNCTION("IF('From Order'!$A1315=COLUMNS($A1315:I1334), LEFT(INDEX(FILTER(I$1:I1314, I$1:I1314&lt;&gt;""""),COUNTA(FILTER(I$1:I1314, I$1:I1314&lt;&gt;""""))), LEN(INDEX(FILTER(I$1:I1314, I$1:I1314&lt;&gt;""""),COUNTA(FILTER(I$1:I1314, I$1:I1314&lt;&gt;""""))))-1), IF('To Order'!$A1315=COL"&amp;"UMNS($A1315:I1334), I1314&amp;RIGHT(INDIRECT(ADDRESS(ROW(I1315)-1, 'From Order'!$A1315)), 1), I1314))"),"DDT")</f>
        <v>DDT</v>
      </c>
    </row>
    <row r="1316">
      <c r="A1316" s="2" t="str">
        <f>IFERROR(__xludf.DUMMYFUNCTION("IF('From Order'!$A1316=COLUMNS($A1316:A1335), LEFT(INDEX(FILTER(A$1:A1315, A$1:A1315&lt;&gt;""""),COUNTA(FILTER(A$1:A1315, A$1:A1315&lt;&gt;""""))), LEN(INDEX(FILTER(A$1:A1315, A$1:A1315&lt;&gt;""""),COUNTA(FILTER(A$1:A1315, A$1:A1315&lt;&gt;""""))))-1), IF('To Order'!$A1316=COL"&amp;"UMNS($A1316:A1335), A1315&amp;RIGHT(INDIRECT(ADDRESS(ROW(A1316)-1, 'From Order'!$A1316)), 1), A1315))"),"JTBFMDJDSB")</f>
        <v>JTBFMDJDSB</v>
      </c>
      <c r="B1316" s="2" t="str">
        <f>IFERROR(__xludf.DUMMYFUNCTION("IF('From Order'!$A1316=COLUMNS($A1316:B1335), LEFT(INDEX(FILTER(B$1:B1315, B$1:B1315&lt;&gt;""""),COUNTA(FILTER(B$1:B1315, B$1:B1315&lt;&gt;""""))), LEN(INDEX(FILTER(B$1:B1315, B$1:B1315&lt;&gt;""""),COUNTA(FILTER(B$1:B1315, B$1:B1315&lt;&gt;""""))))-1), IF('To Order'!$A1316=COL"&amp;"UMNS($A1316:B1335), B1315&amp;RIGHT(INDIRECT(ADDRESS(ROW(B1316)-1, 'From Order'!$A1316)), 1), B1315))"),"BV")</f>
        <v>BV</v>
      </c>
      <c r="C1316" s="2" t="str">
        <f>IFERROR(__xludf.DUMMYFUNCTION("IF('From Order'!$A1316=COLUMNS($A1316:C1335), LEFT(INDEX(FILTER(C$1:C1315, C$1:C1315&lt;&gt;""""),COUNTA(FILTER(C$1:C1315, C$1:C1315&lt;&gt;""""))), LEN(INDEX(FILTER(C$1:C1315, C$1:C1315&lt;&gt;""""),COUNTA(FILTER(C$1:C1315, C$1:C1315&lt;&gt;""""))))-1), IF('To Order'!$A1316=COL"&amp;"UMNS($A1316:C1335), C1315&amp;RIGHT(INDIRECT(ADDRESS(ROW(C1316)-1, 'From Order'!$A1316)), 1), C1315))"),"TRLRSGHWQVQJPPLDTMG")</f>
        <v>TRLRSGHWQVQJPPLDTMG</v>
      </c>
      <c r="D1316" s="2" t="str">
        <f>IFERROR(__xludf.DUMMYFUNCTION("IF('From Order'!$A1316=COLUMNS($A1316:D1335), LEFT(INDEX(FILTER(D$1:D1315, D$1:D1315&lt;&gt;""""),COUNTA(FILTER(D$1:D1315, D$1:D1315&lt;&gt;""""))), LEN(INDEX(FILTER(D$1:D1315, D$1:D1315&lt;&gt;""""),COUNTA(FILTER(D$1:D1315, D$1:D1315&lt;&gt;""""))))-1), IF('To Order'!$A1316=COL"&amp;"UMNS($A1316:D1335), D1315&amp;RIGHT(INDIRECT(ADDRESS(ROW(D1316)-1, 'From Order'!$A1316)), 1), D1315))"),"PH")</f>
        <v>PH</v>
      </c>
      <c r="E1316" s="2" t="str">
        <f>IFERROR(__xludf.DUMMYFUNCTION("IF('From Order'!$A1316=COLUMNS($A1316:E1335), LEFT(INDEX(FILTER(E$1:E1315, E$1:E1315&lt;&gt;""""),COUNTA(FILTER(E$1:E1315, E$1:E1315&lt;&gt;""""))), LEN(INDEX(FILTER(E$1:E1315, E$1:E1315&lt;&gt;""""),COUNTA(FILTER(E$1:E1315, E$1:E1315&lt;&gt;""""))))-1), IF('To Order'!$A1316=COL"&amp;"UMNS($A1316:E1335), E1315&amp;RIGHT(INDIRECT(ADDRESS(ROW(E1316)-1, 'From Order'!$A1316)), 1), E1315))"),"Z")</f>
        <v>Z</v>
      </c>
      <c r="F1316" s="2" t="str">
        <f>IFERROR(__xludf.DUMMYFUNCTION("IF('From Order'!$A1316=COLUMNS($A1316:F1335), LEFT(INDEX(FILTER(F$1:F1315, F$1:F1315&lt;&gt;""""),COUNTA(FILTER(F$1:F1315, F$1:F1315&lt;&gt;""""))), LEN(INDEX(FILTER(F$1:F1315, F$1:F1315&lt;&gt;""""),COUNTA(FILTER(F$1:F1315, F$1:F1315&lt;&gt;""""))))-1), IF('To Order'!$A1316=COL"&amp;"UMNS($A1316:F1335), F1315&amp;RIGHT(INDIRECT(ADDRESS(ROW(F1316)-1, 'From Order'!$A1316)), 1), F1315))"),"Z")</f>
        <v>Z</v>
      </c>
      <c r="G1316" s="2" t="str">
        <f>IFERROR(__xludf.DUMMYFUNCTION("IF('From Order'!$A1316=COLUMNS($A1316:G1335), LEFT(INDEX(FILTER(G$1:G1315, G$1:G1315&lt;&gt;""""),COUNTA(FILTER(G$1:G1315, G$1:G1315&lt;&gt;""""))), LEN(INDEX(FILTER(G$1:G1315, G$1:G1315&lt;&gt;""""),COUNTA(FILTER(G$1:G1315, G$1:G1315&lt;&gt;""""))))-1), IF('To Order'!$A1316=COL"&amp;"UMNS($A1316:G1335), G1315&amp;RIGHT(INDIRECT(ADDRESS(ROW(G1316)-1, 'From Order'!$A1316)), 1), G1315))"),"WRMTCRCDRZCSFVTSBL")</f>
        <v>WRMTCRCDRZCSFVTSBL</v>
      </c>
      <c r="H1316" s="2" t="str">
        <f>IFERROR(__xludf.DUMMYFUNCTION("IF('From Order'!$A1316=COLUMNS($A1316:H1335), LEFT(INDEX(FILTER(H$1:H1315, H$1:H1315&lt;&gt;""""),COUNTA(FILTER(H$1:H1315, H$1:H1315&lt;&gt;""""))), LEN(INDEX(FILTER(H$1:H1315, H$1:H1315&lt;&gt;""""),COUNTA(FILTER(H$1:H1315, H$1:H1315&lt;&gt;""""))))-1), IF('To Order'!$A1316=COL"&amp;"UMNS($A1316:H1335), H1315&amp;RIGHT(INDIRECT(ADDRESS(ROW(H1316)-1, 'From Order'!$A1316)), 1), H1315))"),"")</f>
        <v/>
      </c>
      <c r="I1316" s="2" t="str">
        <f>IFERROR(__xludf.DUMMYFUNCTION("IF('From Order'!$A1316=COLUMNS($A1316:I1335), LEFT(INDEX(FILTER(I$1:I1315, I$1:I1315&lt;&gt;""""),COUNTA(FILTER(I$1:I1315, I$1:I1315&lt;&gt;""""))), LEN(INDEX(FILTER(I$1:I1315, I$1:I1315&lt;&gt;""""),COUNTA(FILTER(I$1:I1315, I$1:I1315&lt;&gt;""""))))-1), IF('To Order'!$A1316=COL"&amp;"UMNS($A1316:I1335), I1315&amp;RIGHT(INDIRECT(ADDRESS(ROW(I1316)-1, 'From Order'!$A1316)), 1), I1315))"),"DDT")</f>
        <v>DDT</v>
      </c>
    </row>
    <row r="1317">
      <c r="A1317" s="2" t="str">
        <f>IFERROR(__xludf.DUMMYFUNCTION("IF('From Order'!$A1317=COLUMNS($A1317:A1336), LEFT(INDEX(FILTER(A$1:A1316, A$1:A1316&lt;&gt;""""),COUNTA(FILTER(A$1:A1316, A$1:A1316&lt;&gt;""""))), LEN(INDEX(FILTER(A$1:A1316, A$1:A1316&lt;&gt;""""),COUNTA(FILTER(A$1:A1316, A$1:A1316&lt;&gt;""""))))-1), IF('To Order'!$A1317=COL"&amp;"UMNS($A1317:A1336), A1316&amp;RIGHT(INDIRECT(ADDRESS(ROW(A1317)-1, 'From Order'!$A1317)), 1), A1316))"),"JTBFMDJDSBG")</f>
        <v>JTBFMDJDSBG</v>
      </c>
      <c r="B1317" s="2" t="str">
        <f>IFERROR(__xludf.DUMMYFUNCTION("IF('From Order'!$A1317=COLUMNS($A1317:B1336), LEFT(INDEX(FILTER(B$1:B1316, B$1:B1316&lt;&gt;""""),COUNTA(FILTER(B$1:B1316, B$1:B1316&lt;&gt;""""))), LEN(INDEX(FILTER(B$1:B1316, B$1:B1316&lt;&gt;""""),COUNTA(FILTER(B$1:B1316, B$1:B1316&lt;&gt;""""))))-1), IF('To Order'!$A1317=COL"&amp;"UMNS($A1317:B1336), B1316&amp;RIGHT(INDIRECT(ADDRESS(ROW(B1317)-1, 'From Order'!$A1317)), 1), B1316))"),"BV")</f>
        <v>BV</v>
      </c>
      <c r="C1317" s="2" t="str">
        <f>IFERROR(__xludf.DUMMYFUNCTION("IF('From Order'!$A1317=COLUMNS($A1317:C1336), LEFT(INDEX(FILTER(C$1:C1316, C$1:C1316&lt;&gt;""""),COUNTA(FILTER(C$1:C1316, C$1:C1316&lt;&gt;""""))), LEN(INDEX(FILTER(C$1:C1316, C$1:C1316&lt;&gt;""""),COUNTA(FILTER(C$1:C1316, C$1:C1316&lt;&gt;""""))))-1), IF('To Order'!$A1317=COL"&amp;"UMNS($A1317:C1336), C1316&amp;RIGHT(INDIRECT(ADDRESS(ROW(C1317)-1, 'From Order'!$A1317)), 1), C1316))"),"TRLRSGHWQVQJPPLDTM")</f>
        <v>TRLRSGHWQVQJPPLDTM</v>
      </c>
      <c r="D1317" s="2" t="str">
        <f>IFERROR(__xludf.DUMMYFUNCTION("IF('From Order'!$A1317=COLUMNS($A1317:D1336), LEFT(INDEX(FILTER(D$1:D1316, D$1:D1316&lt;&gt;""""),COUNTA(FILTER(D$1:D1316, D$1:D1316&lt;&gt;""""))), LEN(INDEX(FILTER(D$1:D1316, D$1:D1316&lt;&gt;""""),COUNTA(FILTER(D$1:D1316, D$1:D1316&lt;&gt;""""))))-1), IF('To Order'!$A1317=COL"&amp;"UMNS($A1317:D1336), D1316&amp;RIGHT(INDIRECT(ADDRESS(ROW(D1317)-1, 'From Order'!$A1317)), 1), D1316))"),"PH")</f>
        <v>PH</v>
      </c>
      <c r="E1317" s="2" t="str">
        <f>IFERROR(__xludf.DUMMYFUNCTION("IF('From Order'!$A1317=COLUMNS($A1317:E1336), LEFT(INDEX(FILTER(E$1:E1316, E$1:E1316&lt;&gt;""""),COUNTA(FILTER(E$1:E1316, E$1:E1316&lt;&gt;""""))), LEN(INDEX(FILTER(E$1:E1316, E$1:E1316&lt;&gt;""""),COUNTA(FILTER(E$1:E1316, E$1:E1316&lt;&gt;""""))))-1), IF('To Order'!$A1317=COL"&amp;"UMNS($A1317:E1336), E1316&amp;RIGHT(INDIRECT(ADDRESS(ROW(E1317)-1, 'From Order'!$A1317)), 1), E1316))"),"Z")</f>
        <v>Z</v>
      </c>
      <c r="F1317" s="2" t="str">
        <f>IFERROR(__xludf.DUMMYFUNCTION("IF('From Order'!$A1317=COLUMNS($A1317:F1336), LEFT(INDEX(FILTER(F$1:F1316, F$1:F1316&lt;&gt;""""),COUNTA(FILTER(F$1:F1316, F$1:F1316&lt;&gt;""""))), LEN(INDEX(FILTER(F$1:F1316, F$1:F1316&lt;&gt;""""),COUNTA(FILTER(F$1:F1316, F$1:F1316&lt;&gt;""""))))-1), IF('To Order'!$A1317=COL"&amp;"UMNS($A1317:F1336), F1316&amp;RIGHT(INDIRECT(ADDRESS(ROW(F1317)-1, 'From Order'!$A1317)), 1), F1316))"),"Z")</f>
        <v>Z</v>
      </c>
      <c r="G1317" s="2" t="str">
        <f>IFERROR(__xludf.DUMMYFUNCTION("IF('From Order'!$A1317=COLUMNS($A1317:G1336), LEFT(INDEX(FILTER(G$1:G1316, G$1:G1316&lt;&gt;""""),COUNTA(FILTER(G$1:G1316, G$1:G1316&lt;&gt;""""))), LEN(INDEX(FILTER(G$1:G1316, G$1:G1316&lt;&gt;""""),COUNTA(FILTER(G$1:G1316, G$1:G1316&lt;&gt;""""))))-1), IF('To Order'!$A1317=COL"&amp;"UMNS($A1317:G1336), G1316&amp;RIGHT(INDIRECT(ADDRESS(ROW(G1317)-1, 'From Order'!$A1317)), 1), G1316))"),"WRMTCRCDRZCSFVTSBL")</f>
        <v>WRMTCRCDRZCSFVTSBL</v>
      </c>
      <c r="H1317" s="2" t="str">
        <f>IFERROR(__xludf.DUMMYFUNCTION("IF('From Order'!$A1317=COLUMNS($A1317:H1336), LEFT(INDEX(FILTER(H$1:H1316, H$1:H1316&lt;&gt;""""),COUNTA(FILTER(H$1:H1316, H$1:H1316&lt;&gt;""""))), LEN(INDEX(FILTER(H$1:H1316, H$1:H1316&lt;&gt;""""),COUNTA(FILTER(H$1:H1316, H$1:H1316&lt;&gt;""""))))-1), IF('To Order'!$A1317=COL"&amp;"UMNS($A1317:H1336), H1316&amp;RIGHT(INDIRECT(ADDRESS(ROW(H1317)-1, 'From Order'!$A1317)), 1), H1316))"),"")</f>
        <v/>
      </c>
      <c r="I1317" s="2" t="str">
        <f>IFERROR(__xludf.DUMMYFUNCTION("IF('From Order'!$A1317=COLUMNS($A1317:I1336), LEFT(INDEX(FILTER(I$1:I1316, I$1:I1316&lt;&gt;""""),COUNTA(FILTER(I$1:I1316, I$1:I1316&lt;&gt;""""))), LEN(INDEX(FILTER(I$1:I1316, I$1:I1316&lt;&gt;""""),COUNTA(FILTER(I$1:I1316, I$1:I1316&lt;&gt;""""))))-1), IF('To Order'!$A1317=COL"&amp;"UMNS($A1317:I1336), I1316&amp;RIGHT(INDIRECT(ADDRESS(ROW(I1317)-1, 'From Order'!$A1317)), 1), I1316))"),"DDT")</f>
        <v>DDT</v>
      </c>
    </row>
    <row r="1318">
      <c r="A1318" s="2" t="str">
        <f>IFERROR(__xludf.DUMMYFUNCTION("IF('From Order'!$A1318=COLUMNS($A1318:A1337), LEFT(INDEX(FILTER(A$1:A1317, A$1:A1317&lt;&gt;""""),COUNTA(FILTER(A$1:A1317, A$1:A1317&lt;&gt;""""))), LEN(INDEX(FILTER(A$1:A1317, A$1:A1317&lt;&gt;""""),COUNTA(FILTER(A$1:A1317, A$1:A1317&lt;&gt;""""))))-1), IF('To Order'!$A1318=COL"&amp;"UMNS($A1318:A1337), A1317&amp;RIGHT(INDIRECT(ADDRESS(ROW(A1318)-1, 'From Order'!$A1318)), 1), A1317))"),"JTBFMDJDSBGM")</f>
        <v>JTBFMDJDSBGM</v>
      </c>
      <c r="B1318" s="2" t="str">
        <f>IFERROR(__xludf.DUMMYFUNCTION("IF('From Order'!$A1318=COLUMNS($A1318:B1337), LEFT(INDEX(FILTER(B$1:B1317, B$1:B1317&lt;&gt;""""),COUNTA(FILTER(B$1:B1317, B$1:B1317&lt;&gt;""""))), LEN(INDEX(FILTER(B$1:B1317, B$1:B1317&lt;&gt;""""),COUNTA(FILTER(B$1:B1317, B$1:B1317&lt;&gt;""""))))-1), IF('To Order'!$A1318=COL"&amp;"UMNS($A1318:B1337), B1317&amp;RIGHT(INDIRECT(ADDRESS(ROW(B1318)-1, 'From Order'!$A1318)), 1), B1317))"),"BV")</f>
        <v>BV</v>
      </c>
      <c r="C1318" s="2" t="str">
        <f>IFERROR(__xludf.DUMMYFUNCTION("IF('From Order'!$A1318=COLUMNS($A1318:C1337), LEFT(INDEX(FILTER(C$1:C1317, C$1:C1317&lt;&gt;""""),COUNTA(FILTER(C$1:C1317, C$1:C1317&lt;&gt;""""))), LEN(INDEX(FILTER(C$1:C1317, C$1:C1317&lt;&gt;""""),COUNTA(FILTER(C$1:C1317, C$1:C1317&lt;&gt;""""))))-1), IF('To Order'!$A1318=COL"&amp;"UMNS($A1318:C1337), C1317&amp;RIGHT(INDIRECT(ADDRESS(ROW(C1318)-1, 'From Order'!$A1318)), 1), C1317))"),"TRLRSGHWQVQJPPLDT")</f>
        <v>TRLRSGHWQVQJPPLDT</v>
      </c>
      <c r="D1318" s="2" t="str">
        <f>IFERROR(__xludf.DUMMYFUNCTION("IF('From Order'!$A1318=COLUMNS($A1318:D1337), LEFT(INDEX(FILTER(D$1:D1317, D$1:D1317&lt;&gt;""""),COUNTA(FILTER(D$1:D1317, D$1:D1317&lt;&gt;""""))), LEN(INDEX(FILTER(D$1:D1317, D$1:D1317&lt;&gt;""""),COUNTA(FILTER(D$1:D1317, D$1:D1317&lt;&gt;""""))))-1), IF('To Order'!$A1318=COL"&amp;"UMNS($A1318:D1337), D1317&amp;RIGHT(INDIRECT(ADDRESS(ROW(D1318)-1, 'From Order'!$A1318)), 1), D1317))"),"PH")</f>
        <v>PH</v>
      </c>
      <c r="E1318" s="2" t="str">
        <f>IFERROR(__xludf.DUMMYFUNCTION("IF('From Order'!$A1318=COLUMNS($A1318:E1337), LEFT(INDEX(FILTER(E$1:E1317, E$1:E1317&lt;&gt;""""),COUNTA(FILTER(E$1:E1317, E$1:E1317&lt;&gt;""""))), LEN(INDEX(FILTER(E$1:E1317, E$1:E1317&lt;&gt;""""),COUNTA(FILTER(E$1:E1317, E$1:E1317&lt;&gt;""""))))-1), IF('To Order'!$A1318=COL"&amp;"UMNS($A1318:E1337), E1317&amp;RIGHT(INDIRECT(ADDRESS(ROW(E1318)-1, 'From Order'!$A1318)), 1), E1317))"),"Z")</f>
        <v>Z</v>
      </c>
      <c r="F1318" s="2" t="str">
        <f>IFERROR(__xludf.DUMMYFUNCTION("IF('From Order'!$A1318=COLUMNS($A1318:F1337), LEFT(INDEX(FILTER(F$1:F1317, F$1:F1317&lt;&gt;""""),COUNTA(FILTER(F$1:F1317, F$1:F1317&lt;&gt;""""))), LEN(INDEX(FILTER(F$1:F1317, F$1:F1317&lt;&gt;""""),COUNTA(FILTER(F$1:F1317, F$1:F1317&lt;&gt;""""))))-1), IF('To Order'!$A1318=COL"&amp;"UMNS($A1318:F1337), F1317&amp;RIGHT(INDIRECT(ADDRESS(ROW(F1318)-1, 'From Order'!$A1318)), 1), F1317))"),"Z")</f>
        <v>Z</v>
      </c>
      <c r="G1318" s="2" t="str">
        <f>IFERROR(__xludf.DUMMYFUNCTION("IF('From Order'!$A1318=COLUMNS($A1318:G1337), LEFT(INDEX(FILTER(G$1:G1317, G$1:G1317&lt;&gt;""""),COUNTA(FILTER(G$1:G1317, G$1:G1317&lt;&gt;""""))), LEN(INDEX(FILTER(G$1:G1317, G$1:G1317&lt;&gt;""""),COUNTA(FILTER(G$1:G1317, G$1:G1317&lt;&gt;""""))))-1), IF('To Order'!$A1318=COL"&amp;"UMNS($A1318:G1337), G1317&amp;RIGHT(INDIRECT(ADDRESS(ROW(G1318)-1, 'From Order'!$A1318)), 1), G1317))"),"WRMTCRCDRZCSFVTSBL")</f>
        <v>WRMTCRCDRZCSFVTSBL</v>
      </c>
      <c r="H1318" s="2" t="str">
        <f>IFERROR(__xludf.DUMMYFUNCTION("IF('From Order'!$A1318=COLUMNS($A1318:H1337), LEFT(INDEX(FILTER(H$1:H1317, H$1:H1317&lt;&gt;""""),COUNTA(FILTER(H$1:H1317, H$1:H1317&lt;&gt;""""))), LEN(INDEX(FILTER(H$1:H1317, H$1:H1317&lt;&gt;""""),COUNTA(FILTER(H$1:H1317, H$1:H1317&lt;&gt;""""))))-1), IF('To Order'!$A1318=COL"&amp;"UMNS($A1318:H1337), H1317&amp;RIGHT(INDIRECT(ADDRESS(ROW(H1318)-1, 'From Order'!$A1318)), 1), H1317))"),"")</f>
        <v/>
      </c>
      <c r="I1318" s="2" t="str">
        <f>IFERROR(__xludf.DUMMYFUNCTION("IF('From Order'!$A1318=COLUMNS($A1318:I1337), LEFT(INDEX(FILTER(I$1:I1317, I$1:I1317&lt;&gt;""""),COUNTA(FILTER(I$1:I1317, I$1:I1317&lt;&gt;""""))), LEN(INDEX(FILTER(I$1:I1317, I$1:I1317&lt;&gt;""""),COUNTA(FILTER(I$1:I1317, I$1:I1317&lt;&gt;""""))))-1), IF('To Order'!$A1318=COL"&amp;"UMNS($A1318:I1337), I1317&amp;RIGHT(INDIRECT(ADDRESS(ROW(I1318)-1, 'From Order'!$A1318)), 1), I1317))"),"DDT")</f>
        <v>DDT</v>
      </c>
    </row>
    <row r="1319">
      <c r="A1319" s="2" t="str">
        <f>IFERROR(__xludf.DUMMYFUNCTION("IF('From Order'!$A1319=COLUMNS($A1319:A1338), LEFT(INDEX(FILTER(A$1:A1318, A$1:A1318&lt;&gt;""""),COUNTA(FILTER(A$1:A1318, A$1:A1318&lt;&gt;""""))), LEN(INDEX(FILTER(A$1:A1318, A$1:A1318&lt;&gt;""""),COUNTA(FILTER(A$1:A1318, A$1:A1318&lt;&gt;""""))))-1), IF('To Order'!$A1319=COL"&amp;"UMNS($A1319:A1338), A1318&amp;RIGHT(INDIRECT(ADDRESS(ROW(A1319)-1, 'From Order'!$A1319)), 1), A1318))"),"JTBFMDJDSBGMT")</f>
        <v>JTBFMDJDSBGMT</v>
      </c>
      <c r="B1319" s="2" t="str">
        <f>IFERROR(__xludf.DUMMYFUNCTION("IF('From Order'!$A1319=COLUMNS($A1319:B1338), LEFT(INDEX(FILTER(B$1:B1318, B$1:B1318&lt;&gt;""""),COUNTA(FILTER(B$1:B1318, B$1:B1318&lt;&gt;""""))), LEN(INDEX(FILTER(B$1:B1318, B$1:B1318&lt;&gt;""""),COUNTA(FILTER(B$1:B1318, B$1:B1318&lt;&gt;""""))))-1), IF('To Order'!$A1319=COL"&amp;"UMNS($A1319:B1338), B1318&amp;RIGHT(INDIRECT(ADDRESS(ROW(B1319)-1, 'From Order'!$A1319)), 1), B1318))"),"BV")</f>
        <v>BV</v>
      </c>
      <c r="C1319" s="2" t="str">
        <f>IFERROR(__xludf.DUMMYFUNCTION("IF('From Order'!$A1319=COLUMNS($A1319:C1338), LEFT(INDEX(FILTER(C$1:C1318, C$1:C1318&lt;&gt;""""),COUNTA(FILTER(C$1:C1318, C$1:C1318&lt;&gt;""""))), LEN(INDEX(FILTER(C$1:C1318, C$1:C1318&lt;&gt;""""),COUNTA(FILTER(C$1:C1318, C$1:C1318&lt;&gt;""""))))-1), IF('To Order'!$A1319=COL"&amp;"UMNS($A1319:C1338), C1318&amp;RIGHT(INDIRECT(ADDRESS(ROW(C1319)-1, 'From Order'!$A1319)), 1), C1318))"),"TRLRSGHWQVQJPPLD")</f>
        <v>TRLRSGHWQVQJPPLD</v>
      </c>
      <c r="D1319" s="2" t="str">
        <f>IFERROR(__xludf.DUMMYFUNCTION("IF('From Order'!$A1319=COLUMNS($A1319:D1338), LEFT(INDEX(FILTER(D$1:D1318, D$1:D1318&lt;&gt;""""),COUNTA(FILTER(D$1:D1318, D$1:D1318&lt;&gt;""""))), LEN(INDEX(FILTER(D$1:D1318, D$1:D1318&lt;&gt;""""),COUNTA(FILTER(D$1:D1318, D$1:D1318&lt;&gt;""""))))-1), IF('To Order'!$A1319=COL"&amp;"UMNS($A1319:D1338), D1318&amp;RIGHT(INDIRECT(ADDRESS(ROW(D1319)-1, 'From Order'!$A1319)), 1), D1318))"),"PH")</f>
        <v>PH</v>
      </c>
      <c r="E1319" s="2" t="str">
        <f>IFERROR(__xludf.DUMMYFUNCTION("IF('From Order'!$A1319=COLUMNS($A1319:E1338), LEFT(INDEX(FILTER(E$1:E1318, E$1:E1318&lt;&gt;""""),COUNTA(FILTER(E$1:E1318, E$1:E1318&lt;&gt;""""))), LEN(INDEX(FILTER(E$1:E1318, E$1:E1318&lt;&gt;""""),COUNTA(FILTER(E$1:E1318, E$1:E1318&lt;&gt;""""))))-1), IF('To Order'!$A1319=COL"&amp;"UMNS($A1319:E1338), E1318&amp;RIGHT(INDIRECT(ADDRESS(ROW(E1319)-1, 'From Order'!$A1319)), 1), E1318))"),"Z")</f>
        <v>Z</v>
      </c>
      <c r="F1319" s="2" t="str">
        <f>IFERROR(__xludf.DUMMYFUNCTION("IF('From Order'!$A1319=COLUMNS($A1319:F1338), LEFT(INDEX(FILTER(F$1:F1318, F$1:F1318&lt;&gt;""""),COUNTA(FILTER(F$1:F1318, F$1:F1318&lt;&gt;""""))), LEN(INDEX(FILTER(F$1:F1318, F$1:F1318&lt;&gt;""""),COUNTA(FILTER(F$1:F1318, F$1:F1318&lt;&gt;""""))))-1), IF('To Order'!$A1319=COL"&amp;"UMNS($A1319:F1338), F1318&amp;RIGHT(INDIRECT(ADDRESS(ROW(F1319)-1, 'From Order'!$A1319)), 1), F1318))"),"Z")</f>
        <v>Z</v>
      </c>
      <c r="G1319" s="2" t="str">
        <f>IFERROR(__xludf.DUMMYFUNCTION("IF('From Order'!$A1319=COLUMNS($A1319:G1338), LEFT(INDEX(FILTER(G$1:G1318, G$1:G1318&lt;&gt;""""),COUNTA(FILTER(G$1:G1318, G$1:G1318&lt;&gt;""""))), LEN(INDEX(FILTER(G$1:G1318, G$1:G1318&lt;&gt;""""),COUNTA(FILTER(G$1:G1318, G$1:G1318&lt;&gt;""""))))-1), IF('To Order'!$A1319=COL"&amp;"UMNS($A1319:G1338), G1318&amp;RIGHT(INDIRECT(ADDRESS(ROW(G1319)-1, 'From Order'!$A1319)), 1), G1318))"),"WRMTCRCDRZCSFVTSBL")</f>
        <v>WRMTCRCDRZCSFVTSBL</v>
      </c>
      <c r="H1319" s="2" t="str">
        <f>IFERROR(__xludf.DUMMYFUNCTION("IF('From Order'!$A1319=COLUMNS($A1319:H1338), LEFT(INDEX(FILTER(H$1:H1318, H$1:H1318&lt;&gt;""""),COUNTA(FILTER(H$1:H1318, H$1:H1318&lt;&gt;""""))), LEN(INDEX(FILTER(H$1:H1318, H$1:H1318&lt;&gt;""""),COUNTA(FILTER(H$1:H1318, H$1:H1318&lt;&gt;""""))))-1), IF('To Order'!$A1319=COL"&amp;"UMNS($A1319:H1338), H1318&amp;RIGHT(INDIRECT(ADDRESS(ROW(H1319)-1, 'From Order'!$A1319)), 1), H1318))"),"")</f>
        <v/>
      </c>
      <c r="I1319" s="2" t="str">
        <f>IFERROR(__xludf.DUMMYFUNCTION("IF('From Order'!$A1319=COLUMNS($A1319:I1338), LEFT(INDEX(FILTER(I$1:I1318, I$1:I1318&lt;&gt;""""),COUNTA(FILTER(I$1:I1318, I$1:I1318&lt;&gt;""""))), LEN(INDEX(FILTER(I$1:I1318, I$1:I1318&lt;&gt;""""),COUNTA(FILTER(I$1:I1318, I$1:I1318&lt;&gt;""""))))-1), IF('To Order'!$A1319=COL"&amp;"UMNS($A1319:I1338), I1318&amp;RIGHT(INDIRECT(ADDRESS(ROW(I1319)-1, 'From Order'!$A1319)), 1), I1318))"),"DDT")</f>
        <v>DDT</v>
      </c>
    </row>
    <row r="1320">
      <c r="A1320" s="2" t="str">
        <f>IFERROR(__xludf.DUMMYFUNCTION("IF('From Order'!$A1320=COLUMNS($A1320:A1339), LEFT(INDEX(FILTER(A$1:A1319, A$1:A1319&lt;&gt;""""),COUNTA(FILTER(A$1:A1319, A$1:A1319&lt;&gt;""""))), LEN(INDEX(FILTER(A$1:A1319, A$1:A1319&lt;&gt;""""),COUNTA(FILTER(A$1:A1319, A$1:A1319&lt;&gt;""""))))-1), IF('To Order'!$A1320=COL"&amp;"UMNS($A1320:A1339), A1319&amp;RIGHT(INDIRECT(ADDRESS(ROW(A1320)-1, 'From Order'!$A1320)), 1), A1319))"),"JTBFMDJDSBGMTD")</f>
        <v>JTBFMDJDSBGMTD</v>
      </c>
      <c r="B1320" s="2" t="str">
        <f>IFERROR(__xludf.DUMMYFUNCTION("IF('From Order'!$A1320=COLUMNS($A1320:B1339), LEFT(INDEX(FILTER(B$1:B1319, B$1:B1319&lt;&gt;""""),COUNTA(FILTER(B$1:B1319, B$1:B1319&lt;&gt;""""))), LEN(INDEX(FILTER(B$1:B1319, B$1:B1319&lt;&gt;""""),COUNTA(FILTER(B$1:B1319, B$1:B1319&lt;&gt;""""))))-1), IF('To Order'!$A1320=COL"&amp;"UMNS($A1320:B1339), B1319&amp;RIGHT(INDIRECT(ADDRESS(ROW(B1320)-1, 'From Order'!$A1320)), 1), B1319))"),"BV")</f>
        <v>BV</v>
      </c>
      <c r="C1320" s="2" t="str">
        <f>IFERROR(__xludf.DUMMYFUNCTION("IF('From Order'!$A1320=COLUMNS($A1320:C1339), LEFT(INDEX(FILTER(C$1:C1319, C$1:C1319&lt;&gt;""""),COUNTA(FILTER(C$1:C1319, C$1:C1319&lt;&gt;""""))), LEN(INDEX(FILTER(C$1:C1319, C$1:C1319&lt;&gt;""""),COUNTA(FILTER(C$1:C1319, C$1:C1319&lt;&gt;""""))))-1), IF('To Order'!$A1320=COL"&amp;"UMNS($A1320:C1339), C1319&amp;RIGHT(INDIRECT(ADDRESS(ROW(C1320)-1, 'From Order'!$A1320)), 1), C1319))"),"TRLRSGHWQVQJPPL")</f>
        <v>TRLRSGHWQVQJPPL</v>
      </c>
      <c r="D1320" s="2" t="str">
        <f>IFERROR(__xludf.DUMMYFUNCTION("IF('From Order'!$A1320=COLUMNS($A1320:D1339), LEFT(INDEX(FILTER(D$1:D1319, D$1:D1319&lt;&gt;""""),COUNTA(FILTER(D$1:D1319, D$1:D1319&lt;&gt;""""))), LEN(INDEX(FILTER(D$1:D1319, D$1:D1319&lt;&gt;""""),COUNTA(FILTER(D$1:D1319, D$1:D1319&lt;&gt;""""))))-1), IF('To Order'!$A1320=COL"&amp;"UMNS($A1320:D1339), D1319&amp;RIGHT(INDIRECT(ADDRESS(ROW(D1320)-1, 'From Order'!$A1320)), 1), D1319))"),"PH")</f>
        <v>PH</v>
      </c>
      <c r="E1320" s="2" t="str">
        <f>IFERROR(__xludf.DUMMYFUNCTION("IF('From Order'!$A1320=COLUMNS($A1320:E1339), LEFT(INDEX(FILTER(E$1:E1319, E$1:E1319&lt;&gt;""""),COUNTA(FILTER(E$1:E1319, E$1:E1319&lt;&gt;""""))), LEN(INDEX(FILTER(E$1:E1319, E$1:E1319&lt;&gt;""""),COUNTA(FILTER(E$1:E1319, E$1:E1319&lt;&gt;""""))))-1), IF('To Order'!$A1320=COL"&amp;"UMNS($A1320:E1339), E1319&amp;RIGHT(INDIRECT(ADDRESS(ROW(E1320)-1, 'From Order'!$A1320)), 1), E1319))"),"Z")</f>
        <v>Z</v>
      </c>
      <c r="F1320" s="2" t="str">
        <f>IFERROR(__xludf.DUMMYFUNCTION("IF('From Order'!$A1320=COLUMNS($A1320:F1339), LEFT(INDEX(FILTER(F$1:F1319, F$1:F1319&lt;&gt;""""),COUNTA(FILTER(F$1:F1319, F$1:F1319&lt;&gt;""""))), LEN(INDEX(FILTER(F$1:F1319, F$1:F1319&lt;&gt;""""),COUNTA(FILTER(F$1:F1319, F$1:F1319&lt;&gt;""""))))-1), IF('To Order'!$A1320=COL"&amp;"UMNS($A1320:F1339), F1319&amp;RIGHT(INDIRECT(ADDRESS(ROW(F1320)-1, 'From Order'!$A1320)), 1), F1319))"),"Z")</f>
        <v>Z</v>
      </c>
      <c r="G1320" s="2" t="str">
        <f>IFERROR(__xludf.DUMMYFUNCTION("IF('From Order'!$A1320=COLUMNS($A1320:G1339), LEFT(INDEX(FILTER(G$1:G1319, G$1:G1319&lt;&gt;""""),COUNTA(FILTER(G$1:G1319, G$1:G1319&lt;&gt;""""))), LEN(INDEX(FILTER(G$1:G1319, G$1:G1319&lt;&gt;""""),COUNTA(FILTER(G$1:G1319, G$1:G1319&lt;&gt;""""))))-1), IF('To Order'!$A1320=COL"&amp;"UMNS($A1320:G1339), G1319&amp;RIGHT(INDIRECT(ADDRESS(ROW(G1320)-1, 'From Order'!$A1320)), 1), G1319))"),"WRMTCRCDRZCSFVTSBL")</f>
        <v>WRMTCRCDRZCSFVTSBL</v>
      </c>
      <c r="H1320" s="2" t="str">
        <f>IFERROR(__xludf.DUMMYFUNCTION("IF('From Order'!$A1320=COLUMNS($A1320:H1339), LEFT(INDEX(FILTER(H$1:H1319, H$1:H1319&lt;&gt;""""),COUNTA(FILTER(H$1:H1319, H$1:H1319&lt;&gt;""""))), LEN(INDEX(FILTER(H$1:H1319, H$1:H1319&lt;&gt;""""),COUNTA(FILTER(H$1:H1319, H$1:H1319&lt;&gt;""""))))-1), IF('To Order'!$A1320=COL"&amp;"UMNS($A1320:H1339), H1319&amp;RIGHT(INDIRECT(ADDRESS(ROW(H1320)-1, 'From Order'!$A1320)), 1), H1319))"),"")</f>
        <v/>
      </c>
      <c r="I1320" s="2" t="str">
        <f>IFERROR(__xludf.DUMMYFUNCTION("IF('From Order'!$A1320=COLUMNS($A1320:I1339), LEFT(INDEX(FILTER(I$1:I1319, I$1:I1319&lt;&gt;""""),COUNTA(FILTER(I$1:I1319, I$1:I1319&lt;&gt;""""))), LEN(INDEX(FILTER(I$1:I1319, I$1:I1319&lt;&gt;""""),COUNTA(FILTER(I$1:I1319, I$1:I1319&lt;&gt;""""))))-1), IF('To Order'!$A1320=COL"&amp;"UMNS($A1320:I1339), I1319&amp;RIGHT(INDIRECT(ADDRESS(ROW(I1320)-1, 'From Order'!$A1320)), 1), I1319))"),"DDT")</f>
        <v>DDT</v>
      </c>
    </row>
    <row r="1321">
      <c r="A1321" s="2" t="str">
        <f>IFERROR(__xludf.DUMMYFUNCTION("IF('From Order'!$A1321=COLUMNS($A1321:A1340), LEFT(INDEX(FILTER(A$1:A1320, A$1:A1320&lt;&gt;""""),COUNTA(FILTER(A$1:A1320, A$1:A1320&lt;&gt;""""))), LEN(INDEX(FILTER(A$1:A1320, A$1:A1320&lt;&gt;""""),COUNTA(FILTER(A$1:A1320, A$1:A1320&lt;&gt;""""))))-1), IF('To Order'!$A1321=COL"&amp;"UMNS($A1321:A1340), A1320&amp;RIGHT(INDIRECT(ADDRESS(ROW(A1321)-1, 'From Order'!$A1321)), 1), A1320))"),"JTBFMDJDSBGMTDL")</f>
        <v>JTBFMDJDSBGMTDL</v>
      </c>
      <c r="B1321" s="2" t="str">
        <f>IFERROR(__xludf.DUMMYFUNCTION("IF('From Order'!$A1321=COLUMNS($A1321:B1340), LEFT(INDEX(FILTER(B$1:B1320, B$1:B1320&lt;&gt;""""),COUNTA(FILTER(B$1:B1320, B$1:B1320&lt;&gt;""""))), LEN(INDEX(FILTER(B$1:B1320, B$1:B1320&lt;&gt;""""),COUNTA(FILTER(B$1:B1320, B$1:B1320&lt;&gt;""""))))-1), IF('To Order'!$A1321=COL"&amp;"UMNS($A1321:B1340), B1320&amp;RIGHT(INDIRECT(ADDRESS(ROW(B1321)-1, 'From Order'!$A1321)), 1), B1320))"),"BV")</f>
        <v>BV</v>
      </c>
      <c r="C1321" s="2" t="str">
        <f>IFERROR(__xludf.DUMMYFUNCTION("IF('From Order'!$A1321=COLUMNS($A1321:C1340), LEFT(INDEX(FILTER(C$1:C1320, C$1:C1320&lt;&gt;""""),COUNTA(FILTER(C$1:C1320, C$1:C1320&lt;&gt;""""))), LEN(INDEX(FILTER(C$1:C1320, C$1:C1320&lt;&gt;""""),COUNTA(FILTER(C$1:C1320, C$1:C1320&lt;&gt;""""))))-1), IF('To Order'!$A1321=COL"&amp;"UMNS($A1321:C1340), C1320&amp;RIGHT(INDIRECT(ADDRESS(ROW(C1321)-1, 'From Order'!$A1321)), 1), C1320))"),"TRLRSGHWQVQJPP")</f>
        <v>TRLRSGHWQVQJPP</v>
      </c>
      <c r="D1321" s="2" t="str">
        <f>IFERROR(__xludf.DUMMYFUNCTION("IF('From Order'!$A1321=COLUMNS($A1321:D1340), LEFT(INDEX(FILTER(D$1:D1320, D$1:D1320&lt;&gt;""""),COUNTA(FILTER(D$1:D1320, D$1:D1320&lt;&gt;""""))), LEN(INDEX(FILTER(D$1:D1320, D$1:D1320&lt;&gt;""""),COUNTA(FILTER(D$1:D1320, D$1:D1320&lt;&gt;""""))))-1), IF('To Order'!$A1321=COL"&amp;"UMNS($A1321:D1340), D1320&amp;RIGHT(INDIRECT(ADDRESS(ROW(D1321)-1, 'From Order'!$A1321)), 1), D1320))"),"PH")</f>
        <v>PH</v>
      </c>
      <c r="E1321" s="2" t="str">
        <f>IFERROR(__xludf.DUMMYFUNCTION("IF('From Order'!$A1321=COLUMNS($A1321:E1340), LEFT(INDEX(FILTER(E$1:E1320, E$1:E1320&lt;&gt;""""),COUNTA(FILTER(E$1:E1320, E$1:E1320&lt;&gt;""""))), LEN(INDEX(FILTER(E$1:E1320, E$1:E1320&lt;&gt;""""),COUNTA(FILTER(E$1:E1320, E$1:E1320&lt;&gt;""""))))-1), IF('To Order'!$A1321=COL"&amp;"UMNS($A1321:E1340), E1320&amp;RIGHT(INDIRECT(ADDRESS(ROW(E1321)-1, 'From Order'!$A1321)), 1), E1320))"),"Z")</f>
        <v>Z</v>
      </c>
      <c r="F1321" s="2" t="str">
        <f>IFERROR(__xludf.DUMMYFUNCTION("IF('From Order'!$A1321=COLUMNS($A1321:F1340), LEFT(INDEX(FILTER(F$1:F1320, F$1:F1320&lt;&gt;""""),COUNTA(FILTER(F$1:F1320, F$1:F1320&lt;&gt;""""))), LEN(INDEX(FILTER(F$1:F1320, F$1:F1320&lt;&gt;""""),COUNTA(FILTER(F$1:F1320, F$1:F1320&lt;&gt;""""))))-1), IF('To Order'!$A1321=COL"&amp;"UMNS($A1321:F1340), F1320&amp;RIGHT(INDIRECT(ADDRESS(ROW(F1321)-1, 'From Order'!$A1321)), 1), F1320))"),"Z")</f>
        <v>Z</v>
      </c>
      <c r="G1321" s="2" t="str">
        <f>IFERROR(__xludf.DUMMYFUNCTION("IF('From Order'!$A1321=COLUMNS($A1321:G1340), LEFT(INDEX(FILTER(G$1:G1320, G$1:G1320&lt;&gt;""""),COUNTA(FILTER(G$1:G1320, G$1:G1320&lt;&gt;""""))), LEN(INDEX(FILTER(G$1:G1320, G$1:G1320&lt;&gt;""""),COUNTA(FILTER(G$1:G1320, G$1:G1320&lt;&gt;""""))))-1), IF('To Order'!$A1321=COL"&amp;"UMNS($A1321:G1340), G1320&amp;RIGHT(INDIRECT(ADDRESS(ROW(G1321)-1, 'From Order'!$A1321)), 1), G1320))"),"WRMTCRCDRZCSFVTSBL")</f>
        <v>WRMTCRCDRZCSFVTSBL</v>
      </c>
      <c r="H1321" s="2" t="str">
        <f>IFERROR(__xludf.DUMMYFUNCTION("IF('From Order'!$A1321=COLUMNS($A1321:H1340), LEFT(INDEX(FILTER(H$1:H1320, H$1:H1320&lt;&gt;""""),COUNTA(FILTER(H$1:H1320, H$1:H1320&lt;&gt;""""))), LEN(INDEX(FILTER(H$1:H1320, H$1:H1320&lt;&gt;""""),COUNTA(FILTER(H$1:H1320, H$1:H1320&lt;&gt;""""))))-1), IF('To Order'!$A1321=COL"&amp;"UMNS($A1321:H1340), H1320&amp;RIGHT(INDIRECT(ADDRESS(ROW(H1321)-1, 'From Order'!$A1321)), 1), H1320))"),"")</f>
        <v/>
      </c>
      <c r="I1321" s="2" t="str">
        <f>IFERROR(__xludf.DUMMYFUNCTION("IF('From Order'!$A1321=COLUMNS($A1321:I1340), LEFT(INDEX(FILTER(I$1:I1320, I$1:I1320&lt;&gt;""""),COUNTA(FILTER(I$1:I1320, I$1:I1320&lt;&gt;""""))), LEN(INDEX(FILTER(I$1:I1320, I$1:I1320&lt;&gt;""""),COUNTA(FILTER(I$1:I1320, I$1:I1320&lt;&gt;""""))))-1), IF('To Order'!$A1321=COL"&amp;"UMNS($A1321:I1340), I1320&amp;RIGHT(INDIRECT(ADDRESS(ROW(I1321)-1, 'From Order'!$A1321)), 1), I1320))"),"DDT")</f>
        <v>DDT</v>
      </c>
    </row>
    <row r="1322">
      <c r="A1322" s="2" t="str">
        <f>IFERROR(__xludf.DUMMYFUNCTION("IF('From Order'!$A1322=COLUMNS($A1322:A1341), LEFT(INDEX(FILTER(A$1:A1321, A$1:A1321&lt;&gt;""""),COUNTA(FILTER(A$1:A1321, A$1:A1321&lt;&gt;""""))), LEN(INDEX(FILTER(A$1:A1321, A$1:A1321&lt;&gt;""""),COUNTA(FILTER(A$1:A1321, A$1:A1321&lt;&gt;""""))))-1), IF('To Order'!$A1322=COL"&amp;"UMNS($A1322:A1341), A1321&amp;RIGHT(INDIRECT(ADDRESS(ROW(A1322)-1, 'From Order'!$A1322)), 1), A1321))"),"JTBFMDJDSBGMTDLP")</f>
        <v>JTBFMDJDSBGMTDLP</v>
      </c>
      <c r="B1322" s="2" t="str">
        <f>IFERROR(__xludf.DUMMYFUNCTION("IF('From Order'!$A1322=COLUMNS($A1322:B1341), LEFT(INDEX(FILTER(B$1:B1321, B$1:B1321&lt;&gt;""""),COUNTA(FILTER(B$1:B1321, B$1:B1321&lt;&gt;""""))), LEN(INDEX(FILTER(B$1:B1321, B$1:B1321&lt;&gt;""""),COUNTA(FILTER(B$1:B1321, B$1:B1321&lt;&gt;""""))))-1), IF('To Order'!$A1322=COL"&amp;"UMNS($A1322:B1341), B1321&amp;RIGHT(INDIRECT(ADDRESS(ROW(B1322)-1, 'From Order'!$A1322)), 1), B1321))"),"BV")</f>
        <v>BV</v>
      </c>
      <c r="C1322" s="2" t="str">
        <f>IFERROR(__xludf.DUMMYFUNCTION("IF('From Order'!$A1322=COLUMNS($A1322:C1341), LEFT(INDEX(FILTER(C$1:C1321, C$1:C1321&lt;&gt;""""),COUNTA(FILTER(C$1:C1321, C$1:C1321&lt;&gt;""""))), LEN(INDEX(FILTER(C$1:C1321, C$1:C1321&lt;&gt;""""),COUNTA(FILTER(C$1:C1321, C$1:C1321&lt;&gt;""""))))-1), IF('To Order'!$A1322=COL"&amp;"UMNS($A1322:C1341), C1321&amp;RIGHT(INDIRECT(ADDRESS(ROW(C1322)-1, 'From Order'!$A1322)), 1), C1321))"),"TRLRSGHWQVQJP")</f>
        <v>TRLRSGHWQVQJP</v>
      </c>
      <c r="D1322" s="2" t="str">
        <f>IFERROR(__xludf.DUMMYFUNCTION("IF('From Order'!$A1322=COLUMNS($A1322:D1341), LEFT(INDEX(FILTER(D$1:D1321, D$1:D1321&lt;&gt;""""),COUNTA(FILTER(D$1:D1321, D$1:D1321&lt;&gt;""""))), LEN(INDEX(FILTER(D$1:D1321, D$1:D1321&lt;&gt;""""),COUNTA(FILTER(D$1:D1321, D$1:D1321&lt;&gt;""""))))-1), IF('To Order'!$A1322=COL"&amp;"UMNS($A1322:D1341), D1321&amp;RIGHT(INDIRECT(ADDRESS(ROW(D1322)-1, 'From Order'!$A1322)), 1), D1321))"),"PH")</f>
        <v>PH</v>
      </c>
      <c r="E1322" s="2" t="str">
        <f>IFERROR(__xludf.DUMMYFUNCTION("IF('From Order'!$A1322=COLUMNS($A1322:E1341), LEFT(INDEX(FILTER(E$1:E1321, E$1:E1321&lt;&gt;""""),COUNTA(FILTER(E$1:E1321, E$1:E1321&lt;&gt;""""))), LEN(INDEX(FILTER(E$1:E1321, E$1:E1321&lt;&gt;""""),COUNTA(FILTER(E$1:E1321, E$1:E1321&lt;&gt;""""))))-1), IF('To Order'!$A1322=COL"&amp;"UMNS($A1322:E1341), E1321&amp;RIGHT(INDIRECT(ADDRESS(ROW(E1322)-1, 'From Order'!$A1322)), 1), E1321))"),"Z")</f>
        <v>Z</v>
      </c>
      <c r="F1322" s="2" t="str">
        <f>IFERROR(__xludf.DUMMYFUNCTION("IF('From Order'!$A1322=COLUMNS($A1322:F1341), LEFT(INDEX(FILTER(F$1:F1321, F$1:F1321&lt;&gt;""""),COUNTA(FILTER(F$1:F1321, F$1:F1321&lt;&gt;""""))), LEN(INDEX(FILTER(F$1:F1321, F$1:F1321&lt;&gt;""""),COUNTA(FILTER(F$1:F1321, F$1:F1321&lt;&gt;""""))))-1), IF('To Order'!$A1322=COL"&amp;"UMNS($A1322:F1341), F1321&amp;RIGHT(INDIRECT(ADDRESS(ROW(F1322)-1, 'From Order'!$A1322)), 1), F1321))"),"Z")</f>
        <v>Z</v>
      </c>
      <c r="G1322" s="2" t="str">
        <f>IFERROR(__xludf.DUMMYFUNCTION("IF('From Order'!$A1322=COLUMNS($A1322:G1341), LEFT(INDEX(FILTER(G$1:G1321, G$1:G1321&lt;&gt;""""),COUNTA(FILTER(G$1:G1321, G$1:G1321&lt;&gt;""""))), LEN(INDEX(FILTER(G$1:G1321, G$1:G1321&lt;&gt;""""),COUNTA(FILTER(G$1:G1321, G$1:G1321&lt;&gt;""""))))-1), IF('To Order'!$A1322=COL"&amp;"UMNS($A1322:G1341), G1321&amp;RIGHT(INDIRECT(ADDRESS(ROW(G1322)-1, 'From Order'!$A1322)), 1), G1321))"),"WRMTCRCDRZCSFVTSBL")</f>
        <v>WRMTCRCDRZCSFVTSBL</v>
      </c>
      <c r="H1322" s="2" t="str">
        <f>IFERROR(__xludf.DUMMYFUNCTION("IF('From Order'!$A1322=COLUMNS($A1322:H1341), LEFT(INDEX(FILTER(H$1:H1321, H$1:H1321&lt;&gt;""""),COUNTA(FILTER(H$1:H1321, H$1:H1321&lt;&gt;""""))), LEN(INDEX(FILTER(H$1:H1321, H$1:H1321&lt;&gt;""""),COUNTA(FILTER(H$1:H1321, H$1:H1321&lt;&gt;""""))))-1), IF('To Order'!$A1322=COL"&amp;"UMNS($A1322:H1341), H1321&amp;RIGHT(INDIRECT(ADDRESS(ROW(H1322)-1, 'From Order'!$A1322)), 1), H1321))"),"")</f>
        <v/>
      </c>
      <c r="I1322" s="2" t="str">
        <f>IFERROR(__xludf.DUMMYFUNCTION("IF('From Order'!$A1322=COLUMNS($A1322:I1341), LEFT(INDEX(FILTER(I$1:I1321, I$1:I1321&lt;&gt;""""),COUNTA(FILTER(I$1:I1321, I$1:I1321&lt;&gt;""""))), LEN(INDEX(FILTER(I$1:I1321, I$1:I1321&lt;&gt;""""),COUNTA(FILTER(I$1:I1321, I$1:I1321&lt;&gt;""""))))-1), IF('To Order'!$A1322=COL"&amp;"UMNS($A1322:I1341), I1321&amp;RIGHT(INDIRECT(ADDRESS(ROW(I1322)-1, 'From Order'!$A1322)), 1), I1321))"),"DDT")</f>
        <v>DDT</v>
      </c>
    </row>
    <row r="1323">
      <c r="A1323" s="2" t="str">
        <f>IFERROR(__xludf.DUMMYFUNCTION("IF('From Order'!$A1323=COLUMNS($A1323:A1342), LEFT(INDEX(FILTER(A$1:A1322, A$1:A1322&lt;&gt;""""),COUNTA(FILTER(A$1:A1322, A$1:A1322&lt;&gt;""""))), LEN(INDEX(FILTER(A$1:A1322, A$1:A1322&lt;&gt;""""),COUNTA(FILTER(A$1:A1322, A$1:A1322&lt;&gt;""""))))-1), IF('To Order'!$A1323=COL"&amp;"UMNS($A1323:A1342), A1322&amp;RIGHT(INDIRECT(ADDRESS(ROW(A1323)-1, 'From Order'!$A1323)), 1), A1322))"),"JTBFMDJDSBGMTDLPP")</f>
        <v>JTBFMDJDSBGMTDLPP</v>
      </c>
      <c r="B1323" s="2" t="str">
        <f>IFERROR(__xludf.DUMMYFUNCTION("IF('From Order'!$A1323=COLUMNS($A1323:B1342), LEFT(INDEX(FILTER(B$1:B1322, B$1:B1322&lt;&gt;""""),COUNTA(FILTER(B$1:B1322, B$1:B1322&lt;&gt;""""))), LEN(INDEX(FILTER(B$1:B1322, B$1:B1322&lt;&gt;""""),COUNTA(FILTER(B$1:B1322, B$1:B1322&lt;&gt;""""))))-1), IF('To Order'!$A1323=COL"&amp;"UMNS($A1323:B1342), B1322&amp;RIGHT(INDIRECT(ADDRESS(ROW(B1323)-1, 'From Order'!$A1323)), 1), B1322))"),"BV")</f>
        <v>BV</v>
      </c>
      <c r="C1323" s="2" t="str">
        <f>IFERROR(__xludf.DUMMYFUNCTION("IF('From Order'!$A1323=COLUMNS($A1323:C1342), LEFT(INDEX(FILTER(C$1:C1322, C$1:C1322&lt;&gt;""""),COUNTA(FILTER(C$1:C1322, C$1:C1322&lt;&gt;""""))), LEN(INDEX(FILTER(C$1:C1322, C$1:C1322&lt;&gt;""""),COUNTA(FILTER(C$1:C1322, C$1:C1322&lt;&gt;""""))))-1), IF('To Order'!$A1323=COL"&amp;"UMNS($A1323:C1342), C1322&amp;RIGHT(INDIRECT(ADDRESS(ROW(C1323)-1, 'From Order'!$A1323)), 1), C1322))"),"TRLRSGHWQVQJ")</f>
        <v>TRLRSGHWQVQJ</v>
      </c>
      <c r="D1323" s="2" t="str">
        <f>IFERROR(__xludf.DUMMYFUNCTION("IF('From Order'!$A1323=COLUMNS($A1323:D1342), LEFT(INDEX(FILTER(D$1:D1322, D$1:D1322&lt;&gt;""""),COUNTA(FILTER(D$1:D1322, D$1:D1322&lt;&gt;""""))), LEN(INDEX(FILTER(D$1:D1322, D$1:D1322&lt;&gt;""""),COUNTA(FILTER(D$1:D1322, D$1:D1322&lt;&gt;""""))))-1), IF('To Order'!$A1323=COL"&amp;"UMNS($A1323:D1342), D1322&amp;RIGHT(INDIRECT(ADDRESS(ROW(D1323)-1, 'From Order'!$A1323)), 1), D1322))"),"PH")</f>
        <v>PH</v>
      </c>
      <c r="E1323" s="2" t="str">
        <f>IFERROR(__xludf.DUMMYFUNCTION("IF('From Order'!$A1323=COLUMNS($A1323:E1342), LEFT(INDEX(FILTER(E$1:E1322, E$1:E1322&lt;&gt;""""),COUNTA(FILTER(E$1:E1322, E$1:E1322&lt;&gt;""""))), LEN(INDEX(FILTER(E$1:E1322, E$1:E1322&lt;&gt;""""),COUNTA(FILTER(E$1:E1322, E$1:E1322&lt;&gt;""""))))-1), IF('To Order'!$A1323=COL"&amp;"UMNS($A1323:E1342), E1322&amp;RIGHT(INDIRECT(ADDRESS(ROW(E1323)-1, 'From Order'!$A1323)), 1), E1322))"),"Z")</f>
        <v>Z</v>
      </c>
      <c r="F1323" s="2" t="str">
        <f>IFERROR(__xludf.DUMMYFUNCTION("IF('From Order'!$A1323=COLUMNS($A1323:F1342), LEFT(INDEX(FILTER(F$1:F1322, F$1:F1322&lt;&gt;""""),COUNTA(FILTER(F$1:F1322, F$1:F1322&lt;&gt;""""))), LEN(INDEX(FILTER(F$1:F1322, F$1:F1322&lt;&gt;""""),COUNTA(FILTER(F$1:F1322, F$1:F1322&lt;&gt;""""))))-1), IF('To Order'!$A1323=COL"&amp;"UMNS($A1323:F1342), F1322&amp;RIGHT(INDIRECT(ADDRESS(ROW(F1323)-1, 'From Order'!$A1323)), 1), F1322))"),"Z")</f>
        <v>Z</v>
      </c>
      <c r="G1323" s="2" t="str">
        <f>IFERROR(__xludf.DUMMYFUNCTION("IF('From Order'!$A1323=COLUMNS($A1323:G1342), LEFT(INDEX(FILTER(G$1:G1322, G$1:G1322&lt;&gt;""""),COUNTA(FILTER(G$1:G1322, G$1:G1322&lt;&gt;""""))), LEN(INDEX(FILTER(G$1:G1322, G$1:G1322&lt;&gt;""""),COUNTA(FILTER(G$1:G1322, G$1:G1322&lt;&gt;""""))))-1), IF('To Order'!$A1323=COL"&amp;"UMNS($A1323:G1342), G1322&amp;RIGHT(INDIRECT(ADDRESS(ROW(G1323)-1, 'From Order'!$A1323)), 1), G1322))"),"WRMTCRCDRZCSFVTSBL")</f>
        <v>WRMTCRCDRZCSFVTSBL</v>
      </c>
      <c r="H1323" s="2" t="str">
        <f>IFERROR(__xludf.DUMMYFUNCTION("IF('From Order'!$A1323=COLUMNS($A1323:H1342), LEFT(INDEX(FILTER(H$1:H1322, H$1:H1322&lt;&gt;""""),COUNTA(FILTER(H$1:H1322, H$1:H1322&lt;&gt;""""))), LEN(INDEX(FILTER(H$1:H1322, H$1:H1322&lt;&gt;""""),COUNTA(FILTER(H$1:H1322, H$1:H1322&lt;&gt;""""))))-1), IF('To Order'!$A1323=COL"&amp;"UMNS($A1323:H1342), H1322&amp;RIGHT(INDIRECT(ADDRESS(ROW(H1323)-1, 'From Order'!$A1323)), 1), H1322))"),"")</f>
        <v/>
      </c>
      <c r="I1323" s="2" t="str">
        <f>IFERROR(__xludf.DUMMYFUNCTION("IF('From Order'!$A1323=COLUMNS($A1323:I1342), LEFT(INDEX(FILTER(I$1:I1322, I$1:I1322&lt;&gt;""""),COUNTA(FILTER(I$1:I1322, I$1:I1322&lt;&gt;""""))), LEN(INDEX(FILTER(I$1:I1322, I$1:I1322&lt;&gt;""""),COUNTA(FILTER(I$1:I1322, I$1:I1322&lt;&gt;""""))))-1), IF('To Order'!$A1323=COL"&amp;"UMNS($A1323:I1342), I1322&amp;RIGHT(INDIRECT(ADDRESS(ROW(I1323)-1, 'From Order'!$A1323)), 1), I1322))"),"DDT")</f>
        <v>DDT</v>
      </c>
    </row>
    <row r="1324">
      <c r="A1324" s="2" t="str">
        <f>IFERROR(__xludf.DUMMYFUNCTION("IF('From Order'!$A1324=COLUMNS($A1324:A1343), LEFT(INDEX(FILTER(A$1:A1323, A$1:A1323&lt;&gt;""""),COUNTA(FILTER(A$1:A1323, A$1:A1323&lt;&gt;""""))), LEN(INDEX(FILTER(A$1:A1323, A$1:A1323&lt;&gt;""""),COUNTA(FILTER(A$1:A1323, A$1:A1323&lt;&gt;""""))))-1), IF('To Order'!$A1324=COL"&amp;"UMNS($A1324:A1343), A1323&amp;RIGHT(INDIRECT(ADDRESS(ROW(A1324)-1, 'From Order'!$A1324)), 1), A1323))"),"JTBFMDJDSBGMTDLPPJ")</f>
        <v>JTBFMDJDSBGMTDLPPJ</v>
      </c>
      <c r="B1324" s="2" t="str">
        <f>IFERROR(__xludf.DUMMYFUNCTION("IF('From Order'!$A1324=COLUMNS($A1324:B1343), LEFT(INDEX(FILTER(B$1:B1323, B$1:B1323&lt;&gt;""""),COUNTA(FILTER(B$1:B1323, B$1:B1323&lt;&gt;""""))), LEN(INDEX(FILTER(B$1:B1323, B$1:B1323&lt;&gt;""""),COUNTA(FILTER(B$1:B1323, B$1:B1323&lt;&gt;""""))))-1), IF('To Order'!$A1324=COL"&amp;"UMNS($A1324:B1343), B1323&amp;RIGHT(INDIRECT(ADDRESS(ROW(B1324)-1, 'From Order'!$A1324)), 1), B1323))"),"BV")</f>
        <v>BV</v>
      </c>
      <c r="C1324" s="2" t="str">
        <f>IFERROR(__xludf.DUMMYFUNCTION("IF('From Order'!$A1324=COLUMNS($A1324:C1343), LEFT(INDEX(FILTER(C$1:C1323, C$1:C1323&lt;&gt;""""),COUNTA(FILTER(C$1:C1323, C$1:C1323&lt;&gt;""""))), LEN(INDEX(FILTER(C$1:C1323, C$1:C1323&lt;&gt;""""),COUNTA(FILTER(C$1:C1323, C$1:C1323&lt;&gt;""""))))-1), IF('To Order'!$A1324=COL"&amp;"UMNS($A1324:C1343), C1323&amp;RIGHT(INDIRECT(ADDRESS(ROW(C1324)-1, 'From Order'!$A1324)), 1), C1323))"),"TRLRSGHWQVQ")</f>
        <v>TRLRSGHWQVQ</v>
      </c>
      <c r="D1324" s="2" t="str">
        <f>IFERROR(__xludf.DUMMYFUNCTION("IF('From Order'!$A1324=COLUMNS($A1324:D1343), LEFT(INDEX(FILTER(D$1:D1323, D$1:D1323&lt;&gt;""""),COUNTA(FILTER(D$1:D1323, D$1:D1323&lt;&gt;""""))), LEN(INDEX(FILTER(D$1:D1323, D$1:D1323&lt;&gt;""""),COUNTA(FILTER(D$1:D1323, D$1:D1323&lt;&gt;""""))))-1), IF('To Order'!$A1324=COL"&amp;"UMNS($A1324:D1343), D1323&amp;RIGHT(INDIRECT(ADDRESS(ROW(D1324)-1, 'From Order'!$A1324)), 1), D1323))"),"PH")</f>
        <v>PH</v>
      </c>
      <c r="E1324" s="2" t="str">
        <f>IFERROR(__xludf.DUMMYFUNCTION("IF('From Order'!$A1324=COLUMNS($A1324:E1343), LEFT(INDEX(FILTER(E$1:E1323, E$1:E1323&lt;&gt;""""),COUNTA(FILTER(E$1:E1323, E$1:E1323&lt;&gt;""""))), LEN(INDEX(FILTER(E$1:E1323, E$1:E1323&lt;&gt;""""),COUNTA(FILTER(E$1:E1323, E$1:E1323&lt;&gt;""""))))-1), IF('To Order'!$A1324=COL"&amp;"UMNS($A1324:E1343), E1323&amp;RIGHT(INDIRECT(ADDRESS(ROW(E1324)-1, 'From Order'!$A1324)), 1), E1323))"),"Z")</f>
        <v>Z</v>
      </c>
      <c r="F1324" s="2" t="str">
        <f>IFERROR(__xludf.DUMMYFUNCTION("IF('From Order'!$A1324=COLUMNS($A1324:F1343), LEFT(INDEX(FILTER(F$1:F1323, F$1:F1323&lt;&gt;""""),COUNTA(FILTER(F$1:F1323, F$1:F1323&lt;&gt;""""))), LEN(INDEX(FILTER(F$1:F1323, F$1:F1323&lt;&gt;""""),COUNTA(FILTER(F$1:F1323, F$1:F1323&lt;&gt;""""))))-1), IF('To Order'!$A1324=COL"&amp;"UMNS($A1324:F1343), F1323&amp;RIGHT(INDIRECT(ADDRESS(ROW(F1324)-1, 'From Order'!$A1324)), 1), F1323))"),"Z")</f>
        <v>Z</v>
      </c>
      <c r="G1324" s="2" t="str">
        <f>IFERROR(__xludf.DUMMYFUNCTION("IF('From Order'!$A1324=COLUMNS($A1324:G1343), LEFT(INDEX(FILTER(G$1:G1323, G$1:G1323&lt;&gt;""""),COUNTA(FILTER(G$1:G1323, G$1:G1323&lt;&gt;""""))), LEN(INDEX(FILTER(G$1:G1323, G$1:G1323&lt;&gt;""""),COUNTA(FILTER(G$1:G1323, G$1:G1323&lt;&gt;""""))))-1), IF('To Order'!$A1324=COL"&amp;"UMNS($A1324:G1343), G1323&amp;RIGHT(INDIRECT(ADDRESS(ROW(G1324)-1, 'From Order'!$A1324)), 1), G1323))"),"WRMTCRCDRZCSFVTSBL")</f>
        <v>WRMTCRCDRZCSFVTSBL</v>
      </c>
      <c r="H1324" s="2" t="str">
        <f>IFERROR(__xludf.DUMMYFUNCTION("IF('From Order'!$A1324=COLUMNS($A1324:H1343), LEFT(INDEX(FILTER(H$1:H1323, H$1:H1323&lt;&gt;""""),COUNTA(FILTER(H$1:H1323, H$1:H1323&lt;&gt;""""))), LEN(INDEX(FILTER(H$1:H1323, H$1:H1323&lt;&gt;""""),COUNTA(FILTER(H$1:H1323, H$1:H1323&lt;&gt;""""))))-1), IF('To Order'!$A1324=COL"&amp;"UMNS($A1324:H1343), H1323&amp;RIGHT(INDIRECT(ADDRESS(ROW(H1324)-1, 'From Order'!$A1324)), 1), H1323))"),"")</f>
        <v/>
      </c>
      <c r="I1324" s="2" t="str">
        <f>IFERROR(__xludf.DUMMYFUNCTION("IF('From Order'!$A1324=COLUMNS($A1324:I1343), LEFT(INDEX(FILTER(I$1:I1323, I$1:I1323&lt;&gt;""""),COUNTA(FILTER(I$1:I1323, I$1:I1323&lt;&gt;""""))), LEN(INDEX(FILTER(I$1:I1323, I$1:I1323&lt;&gt;""""),COUNTA(FILTER(I$1:I1323, I$1:I1323&lt;&gt;""""))))-1), IF('To Order'!$A1324=COL"&amp;"UMNS($A1324:I1343), I1323&amp;RIGHT(INDIRECT(ADDRESS(ROW(I1324)-1, 'From Order'!$A1324)), 1), I1323))"),"DDT")</f>
        <v>DDT</v>
      </c>
    </row>
    <row r="1325">
      <c r="A1325" s="2" t="str">
        <f>IFERROR(__xludf.DUMMYFUNCTION("IF('From Order'!$A1325=COLUMNS($A1325:A1344), LEFT(INDEX(FILTER(A$1:A1324, A$1:A1324&lt;&gt;""""),COUNTA(FILTER(A$1:A1324, A$1:A1324&lt;&gt;""""))), LEN(INDEX(FILTER(A$1:A1324, A$1:A1324&lt;&gt;""""),COUNTA(FILTER(A$1:A1324, A$1:A1324&lt;&gt;""""))))-1), IF('To Order'!$A1325=COL"&amp;"UMNS($A1325:A1344), A1324&amp;RIGHT(INDIRECT(ADDRESS(ROW(A1325)-1, 'From Order'!$A1325)), 1), A1324))"),"JTBFMDJDSBGMTDLPPJQ")</f>
        <v>JTBFMDJDSBGMTDLPPJQ</v>
      </c>
      <c r="B1325" s="2" t="str">
        <f>IFERROR(__xludf.DUMMYFUNCTION("IF('From Order'!$A1325=COLUMNS($A1325:B1344), LEFT(INDEX(FILTER(B$1:B1324, B$1:B1324&lt;&gt;""""),COUNTA(FILTER(B$1:B1324, B$1:B1324&lt;&gt;""""))), LEN(INDEX(FILTER(B$1:B1324, B$1:B1324&lt;&gt;""""),COUNTA(FILTER(B$1:B1324, B$1:B1324&lt;&gt;""""))))-1), IF('To Order'!$A1325=COL"&amp;"UMNS($A1325:B1344), B1324&amp;RIGHT(INDIRECT(ADDRESS(ROW(B1325)-1, 'From Order'!$A1325)), 1), B1324))"),"BV")</f>
        <v>BV</v>
      </c>
      <c r="C1325" s="2" t="str">
        <f>IFERROR(__xludf.DUMMYFUNCTION("IF('From Order'!$A1325=COLUMNS($A1325:C1344), LEFT(INDEX(FILTER(C$1:C1324, C$1:C1324&lt;&gt;""""),COUNTA(FILTER(C$1:C1324, C$1:C1324&lt;&gt;""""))), LEN(INDEX(FILTER(C$1:C1324, C$1:C1324&lt;&gt;""""),COUNTA(FILTER(C$1:C1324, C$1:C1324&lt;&gt;""""))))-1), IF('To Order'!$A1325=COL"&amp;"UMNS($A1325:C1344), C1324&amp;RIGHT(INDIRECT(ADDRESS(ROW(C1325)-1, 'From Order'!$A1325)), 1), C1324))"),"TRLRSGHWQV")</f>
        <v>TRLRSGHWQV</v>
      </c>
      <c r="D1325" s="2" t="str">
        <f>IFERROR(__xludf.DUMMYFUNCTION("IF('From Order'!$A1325=COLUMNS($A1325:D1344), LEFT(INDEX(FILTER(D$1:D1324, D$1:D1324&lt;&gt;""""),COUNTA(FILTER(D$1:D1324, D$1:D1324&lt;&gt;""""))), LEN(INDEX(FILTER(D$1:D1324, D$1:D1324&lt;&gt;""""),COUNTA(FILTER(D$1:D1324, D$1:D1324&lt;&gt;""""))))-1), IF('To Order'!$A1325=COL"&amp;"UMNS($A1325:D1344), D1324&amp;RIGHT(INDIRECT(ADDRESS(ROW(D1325)-1, 'From Order'!$A1325)), 1), D1324))"),"PH")</f>
        <v>PH</v>
      </c>
      <c r="E1325" s="2" t="str">
        <f>IFERROR(__xludf.DUMMYFUNCTION("IF('From Order'!$A1325=COLUMNS($A1325:E1344), LEFT(INDEX(FILTER(E$1:E1324, E$1:E1324&lt;&gt;""""),COUNTA(FILTER(E$1:E1324, E$1:E1324&lt;&gt;""""))), LEN(INDEX(FILTER(E$1:E1324, E$1:E1324&lt;&gt;""""),COUNTA(FILTER(E$1:E1324, E$1:E1324&lt;&gt;""""))))-1), IF('To Order'!$A1325=COL"&amp;"UMNS($A1325:E1344), E1324&amp;RIGHT(INDIRECT(ADDRESS(ROW(E1325)-1, 'From Order'!$A1325)), 1), E1324))"),"Z")</f>
        <v>Z</v>
      </c>
      <c r="F1325" s="2" t="str">
        <f>IFERROR(__xludf.DUMMYFUNCTION("IF('From Order'!$A1325=COLUMNS($A1325:F1344), LEFT(INDEX(FILTER(F$1:F1324, F$1:F1324&lt;&gt;""""),COUNTA(FILTER(F$1:F1324, F$1:F1324&lt;&gt;""""))), LEN(INDEX(FILTER(F$1:F1324, F$1:F1324&lt;&gt;""""),COUNTA(FILTER(F$1:F1324, F$1:F1324&lt;&gt;""""))))-1), IF('To Order'!$A1325=COL"&amp;"UMNS($A1325:F1344), F1324&amp;RIGHT(INDIRECT(ADDRESS(ROW(F1325)-1, 'From Order'!$A1325)), 1), F1324))"),"Z")</f>
        <v>Z</v>
      </c>
      <c r="G1325" s="2" t="str">
        <f>IFERROR(__xludf.DUMMYFUNCTION("IF('From Order'!$A1325=COLUMNS($A1325:G1344), LEFT(INDEX(FILTER(G$1:G1324, G$1:G1324&lt;&gt;""""),COUNTA(FILTER(G$1:G1324, G$1:G1324&lt;&gt;""""))), LEN(INDEX(FILTER(G$1:G1324, G$1:G1324&lt;&gt;""""),COUNTA(FILTER(G$1:G1324, G$1:G1324&lt;&gt;""""))))-1), IF('To Order'!$A1325=COL"&amp;"UMNS($A1325:G1344), G1324&amp;RIGHT(INDIRECT(ADDRESS(ROW(G1325)-1, 'From Order'!$A1325)), 1), G1324))"),"WRMTCRCDRZCSFVTSBL")</f>
        <v>WRMTCRCDRZCSFVTSBL</v>
      </c>
      <c r="H1325" s="2" t="str">
        <f>IFERROR(__xludf.DUMMYFUNCTION("IF('From Order'!$A1325=COLUMNS($A1325:H1344), LEFT(INDEX(FILTER(H$1:H1324, H$1:H1324&lt;&gt;""""),COUNTA(FILTER(H$1:H1324, H$1:H1324&lt;&gt;""""))), LEN(INDEX(FILTER(H$1:H1324, H$1:H1324&lt;&gt;""""),COUNTA(FILTER(H$1:H1324, H$1:H1324&lt;&gt;""""))))-1), IF('To Order'!$A1325=COL"&amp;"UMNS($A1325:H1344), H1324&amp;RIGHT(INDIRECT(ADDRESS(ROW(H1325)-1, 'From Order'!$A1325)), 1), H1324))"),"")</f>
        <v/>
      </c>
      <c r="I1325" s="2" t="str">
        <f>IFERROR(__xludf.DUMMYFUNCTION("IF('From Order'!$A1325=COLUMNS($A1325:I1344), LEFT(INDEX(FILTER(I$1:I1324, I$1:I1324&lt;&gt;""""),COUNTA(FILTER(I$1:I1324, I$1:I1324&lt;&gt;""""))), LEN(INDEX(FILTER(I$1:I1324, I$1:I1324&lt;&gt;""""),COUNTA(FILTER(I$1:I1324, I$1:I1324&lt;&gt;""""))))-1), IF('To Order'!$A1325=COL"&amp;"UMNS($A1325:I1344), I1324&amp;RIGHT(INDIRECT(ADDRESS(ROW(I1325)-1, 'From Order'!$A1325)), 1), I1324))"),"DDT")</f>
        <v>DDT</v>
      </c>
    </row>
    <row r="1326">
      <c r="A1326" s="2" t="str">
        <f>IFERROR(__xludf.DUMMYFUNCTION("IF('From Order'!$A1326=COLUMNS($A1326:A1345), LEFT(INDEX(FILTER(A$1:A1325, A$1:A1325&lt;&gt;""""),COUNTA(FILTER(A$1:A1325, A$1:A1325&lt;&gt;""""))), LEN(INDEX(FILTER(A$1:A1325, A$1:A1325&lt;&gt;""""),COUNTA(FILTER(A$1:A1325, A$1:A1325&lt;&gt;""""))))-1), IF('To Order'!$A1326=COL"&amp;"UMNS($A1326:A1345), A1325&amp;RIGHT(INDIRECT(ADDRESS(ROW(A1326)-1, 'From Order'!$A1326)), 1), A1325))"),"JTBFMDJDSBGMTDLPPJQV")</f>
        <v>JTBFMDJDSBGMTDLPPJQV</v>
      </c>
      <c r="B1326" s="2" t="str">
        <f>IFERROR(__xludf.DUMMYFUNCTION("IF('From Order'!$A1326=COLUMNS($A1326:B1345), LEFT(INDEX(FILTER(B$1:B1325, B$1:B1325&lt;&gt;""""),COUNTA(FILTER(B$1:B1325, B$1:B1325&lt;&gt;""""))), LEN(INDEX(FILTER(B$1:B1325, B$1:B1325&lt;&gt;""""),COUNTA(FILTER(B$1:B1325, B$1:B1325&lt;&gt;""""))))-1), IF('To Order'!$A1326=COL"&amp;"UMNS($A1326:B1345), B1325&amp;RIGHT(INDIRECT(ADDRESS(ROW(B1326)-1, 'From Order'!$A1326)), 1), B1325))"),"BV")</f>
        <v>BV</v>
      </c>
      <c r="C1326" s="2" t="str">
        <f>IFERROR(__xludf.DUMMYFUNCTION("IF('From Order'!$A1326=COLUMNS($A1326:C1345), LEFT(INDEX(FILTER(C$1:C1325, C$1:C1325&lt;&gt;""""),COUNTA(FILTER(C$1:C1325, C$1:C1325&lt;&gt;""""))), LEN(INDEX(FILTER(C$1:C1325, C$1:C1325&lt;&gt;""""),COUNTA(FILTER(C$1:C1325, C$1:C1325&lt;&gt;""""))))-1), IF('To Order'!$A1326=COL"&amp;"UMNS($A1326:C1345), C1325&amp;RIGHT(INDIRECT(ADDRESS(ROW(C1326)-1, 'From Order'!$A1326)), 1), C1325))"),"TRLRSGHWQ")</f>
        <v>TRLRSGHWQ</v>
      </c>
      <c r="D1326" s="2" t="str">
        <f>IFERROR(__xludf.DUMMYFUNCTION("IF('From Order'!$A1326=COLUMNS($A1326:D1345), LEFT(INDEX(FILTER(D$1:D1325, D$1:D1325&lt;&gt;""""),COUNTA(FILTER(D$1:D1325, D$1:D1325&lt;&gt;""""))), LEN(INDEX(FILTER(D$1:D1325, D$1:D1325&lt;&gt;""""),COUNTA(FILTER(D$1:D1325, D$1:D1325&lt;&gt;""""))))-1), IF('To Order'!$A1326=COL"&amp;"UMNS($A1326:D1345), D1325&amp;RIGHT(INDIRECT(ADDRESS(ROW(D1326)-1, 'From Order'!$A1326)), 1), D1325))"),"PH")</f>
        <v>PH</v>
      </c>
      <c r="E1326" s="2" t="str">
        <f>IFERROR(__xludf.DUMMYFUNCTION("IF('From Order'!$A1326=COLUMNS($A1326:E1345), LEFT(INDEX(FILTER(E$1:E1325, E$1:E1325&lt;&gt;""""),COUNTA(FILTER(E$1:E1325, E$1:E1325&lt;&gt;""""))), LEN(INDEX(FILTER(E$1:E1325, E$1:E1325&lt;&gt;""""),COUNTA(FILTER(E$1:E1325, E$1:E1325&lt;&gt;""""))))-1), IF('To Order'!$A1326=COL"&amp;"UMNS($A1326:E1345), E1325&amp;RIGHT(INDIRECT(ADDRESS(ROW(E1326)-1, 'From Order'!$A1326)), 1), E1325))"),"Z")</f>
        <v>Z</v>
      </c>
      <c r="F1326" s="2" t="str">
        <f>IFERROR(__xludf.DUMMYFUNCTION("IF('From Order'!$A1326=COLUMNS($A1326:F1345), LEFT(INDEX(FILTER(F$1:F1325, F$1:F1325&lt;&gt;""""),COUNTA(FILTER(F$1:F1325, F$1:F1325&lt;&gt;""""))), LEN(INDEX(FILTER(F$1:F1325, F$1:F1325&lt;&gt;""""),COUNTA(FILTER(F$1:F1325, F$1:F1325&lt;&gt;""""))))-1), IF('To Order'!$A1326=COL"&amp;"UMNS($A1326:F1345), F1325&amp;RIGHT(INDIRECT(ADDRESS(ROW(F1326)-1, 'From Order'!$A1326)), 1), F1325))"),"Z")</f>
        <v>Z</v>
      </c>
      <c r="G1326" s="2" t="str">
        <f>IFERROR(__xludf.DUMMYFUNCTION("IF('From Order'!$A1326=COLUMNS($A1326:G1345), LEFT(INDEX(FILTER(G$1:G1325, G$1:G1325&lt;&gt;""""),COUNTA(FILTER(G$1:G1325, G$1:G1325&lt;&gt;""""))), LEN(INDEX(FILTER(G$1:G1325, G$1:G1325&lt;&gt;""""),COUNTA(FILTER(G$1:G1325, G$1:G1325&lt;&gt;""""))))-1), IF('To Order'!$A1326=COL"&amp;"UMNS($A1326:G1345), G1325&amp;RIGHT(INDIRECT(ADDRESS(ROW(G1326)-1, 'From Order'!$A1326)), 1), G1325))"),"WRMTCRCDRZCSFVTSBL")</f>
        <v>WRMTCRCDRZCSFVTSBL</v>
      </c>
      <c r="H1326" s="2" t="str">
        <f>IFERROR(__xludf.DUMMYFUNCTION("IF('From Order'!$A1326=COLUMNS($A1326:H1345), LEFT(INDEX(FILTER(H$1:H1325, H$1:H1325&lt;&gt;""""),COUNTA(FILTER(H$1:H1325, H$1:H1325&lt;&gt;""""))), LEN(INDEX(FILTER(H$1:H1325, H$1:H1325&lt;&gt;""""),COUNTA(FILTER(H$1:H1325, H$1:H1325&lt;&gt;""""))))-1), IF('To Order'!$A1326=COL"&amp;"UMNS($A1326:H1345), H1325&amp;RIGHT(INDIRECT(ADDRESS(ROW(H1326)-1, 'From Order'!$A1326)), 1), H1325))"),"")</f>
        <v/>
      </c>
      <c r="I1326" s="2" t="str">
        <f>IFERROR(__xludf.DUMMYFUNCTION("IF('From Order'!$A1326=COLUMNS($A1326:I1345), LEFT(INDEX(FILTER(I$1:I1325, I$1:I1325&lt;&gt;""""),COUNTA(FILTER(I$1:I1325, I$1:I1325&lt;&gt;""""))), LEN(INDEX(FILTER(I$1:I1325, I$1:I1325&lt;&gt;""""),COUNTA(FILTER(I$1:I1325, I$1:I1325&lt;&gt;""""))))-1), IF('To Order'!$A1326=COL"&amp;"UMNS($A1326:I1345), I1325&amp;RIGHT(INDIRECT(ADDRESS(ROW(I1326)-1, 'From Order'!$A1326)), 1), I1325))"),"DDT")</f>
        <v>DDT</v>
      </c>
    </row>
    <row r="1327">
      <c r="A1327" s="2" t="str">
        <f>IFERROR(__xludf.DUMMYFUNCTION("IF('From Order'!$A1327=COLUMNS($A1327:A1346), LEFT(INDEX(FILTER(A$1:A1326, A$1:A1326&lt;&gt;""""),COUNTA(FILTER(A$1:A1326, A$1:A1326&lt;&gt;""""))), LEN(INDEX(FILTER(A$1:A1326, A$1:A1326&lt;&gt;""""),COUNTA(FILTER(A$1:A1326, A$1:A1326&lt;&gt;""""))))-1), IF('To Order'!$A1327=COL"&amp;"UMNS($A1327:A1346), A1326&amp;RIGHT(INDIRECT(ADDRESS(ROW(A1327)-1, 'From Order'!$A1327)), 1), A1326))"),"JTBFMDJDSBGMTDLPPJQVQ")</f>
        <v>JTBFMDJDSBGMTDLPPJQVQ</v>
      </c>
      <c r="B1327" s="2" t="str">
        <f>IFERROR(__xludf.DUMMYFUNCTION("IF('From Order'!$A1327=COLUMNS($A1327:B1346), LEFT(INDEX(FILTER(B$1:B1326, B$1:B1326&lt;&gt;""""),COUNTA(FILTER(B$1:B1326, B$1:B1326&lt;&gt;""""))), LEN(INDEX(FILTER(B$1:B1326, B$1:B1326&lt;&gt;""""),COUNTA(FILTER(B$1:B1326, B$1:B1326&lt;&gt;""""))))-1), IF('To Order'!$A1327=COL"&amp;"UMNS($A1327:B1346), B1326&amp;RIGHT(INDIRECT(ADDRESS(ROW(B1327)-1, 'From Order'!$A1327)), 1), B1326))"),"BV")</f>
        <v>BV</v>
      </c>
      <c r="C1327" s="2" t="str">
        <f>IFERROR(__xludf.DUMMYFUNCTION("IF('From Order'!$A1327=COLUMNS($A1327:C1346), LEFT(INDEX(FILTER(C$1:C1326, C$1:C1326&lt;&gt;""""),COUNTA(FILTER(C$1:C1326, C$1:C1326&lt;&gt;""""))), LEN(INDEX(FILTER(C$1:C1326, C$1:C1326&lt;&gt;""""),COUNTA(FILTER(C$1:C1326, C$1:C1326&lt;&gt;""""))))-1), IF('To Order'!$A1327=COL"&amp;"UMNS($A1327:C1346), C1326&amp;RIGHT(INDIRECT(ADDRESS(ROW(C1327)-1, 'From Order'!$A1327)), 1), C1326))"),"TRLRSGHW")</f>
        <v>TRLRSGHW</v>
      </c>
      <c r="D1327" s="2" t="str">
        <f>IFERROR(__xludf.DUMMYFUNCTION("IF('From Order'!$A1327=COLUMNS($A1327:D1346), LEFT(INDEX(FILTER(D$1:D1326, D$1:D1326&lt;&gt;""""),COUNTA(FILTER(D$1:D1326, D$1:D1326&lt;&gt;""""))), LEN(INDEX(FILTER(D$1:D1326, D$1:D1326&lt;&gt;""""),COUNTA(FILTER(D$1:D1326, D$1:D1326&lt;&gt;""""))))-1), IF('To Order'!$A1327=COL"&amp;"UMNS($A1327:D1346), D1326&amp;RIGHT(INDIRECT(ADDRESS(ROW(D1327)-1, 'From Order'!$A1327)), 1), D1326))"),"PH")</f>
        <v>PH</v>
      </c>
      <c r="E1327" s="2" t="str">
        <f>IFERROR(__xludf.DUMMYFUNCTION("IF('From Order'!$A1327=COLUMNS($A1327:E1346), LEFT(INDEX(FILTER(E$1:E1326, E$1:E1326&lt;&gt;""""),COUNTA(FILTER(E$1:E1326, E$1:E1326&lt;&gt;""""))), LEN(INDEX(FILTER(E$1:E1326, E$1:E1326&lt;&gt;""""),COUNTA(FILTER(E$1:E1326, E$1:E1326&lt;&gt;""""))))-1), IF('To Order'!$A1327=COL"&amp;"UMNS($A1327:E1346), E1326&amp;RIGHT(INDIRECT(ADDRESS(ROW(E1327)-1, 'From Order'!$A1327)), 1), E1326))"),"Z")</f>
        <v>Z</v>
      </c>
      <c r="F1327" s="2" t="str">
        <f>IFERROR(__xludf.DUMMYFUNCTION("IF('From Order'!$A1327=COLUMNS($A1327:F1346), LEFT(INDEX(FILTER(F$1:F1326, F$1:F1326&lt;&gt;""""),COUNTA(FILTER(F$1:F1326, F$1:F1326&lt;&gt;""""))), LEN(INDEX(FILTER(F$1:F1326, F$1:F1326&lt;&gt;""""),COUNTA(FILTER(F$1:F1326, F$1:F1326&lt;&gt;""""))))-1), IF('To Order'!$A1327=COL"&amp;"UMNS($A1327:F1346), F1326&amp;RIGHT(INDIRECT(ADDRESS(ROW(F1327)-1, 'From Order'!$A1327)), 1), F1326))"),"Z")</f>
        <v>Z</v>
      </c>
      <c r="G1327" s="2" t="str">
        <f>IFERROR(__xludf.DUMMYFUNCTION("IF('From Order'!$A1327=COLUMNS($A1327:G1346), LEFT(INDEX(FILTER(G$1:G1326, G$1:G1326&lt;&gt;""""),COUNTA(FILTER(G$1:G1326, G$1:G1326&lt;&gt;""""))), LEN(INDEX(FILTER(G$1:G1326, G$1:G1326&lt;&gt;""""),COUNTA(FILTER(G$1:G1326, G$1:G1326&lt;&gt;""""))))-1), IF('To Order'!$A1327=COL"&amp;"UMNS($A1327:G1346), G1326&amp;RIGHT(INDIRECT(ADDRESS(ROW(G1327)-1, 'From Order'!$A1327)), 1), G1326))"),"WRMTCRCDRZCSFVTSBL")</f>
        <v>WRMTCRCDRZCSFVTSBL</v>
      </c>
      <c r="H1327" s="2" t="str">
        <f>IFERROR(__xludf.DUMMYFUNCTION("IF('From Order'!$A1327=COLUMNS($A1327:H1346), LEFT(INDEX(FILTER(H$1:H1326, H$1:H1326&lt;&gt;""""),COUNTA(FILTER(H$1:H1326, H$1:H1326&lt;&gt;""""))), LEN(INDEX(FILTER(H$1:H1326, H$1:H1326&lt;&gt;""""),COUNTA(FILTER(H$1:H1326, H$1:H1326&lt;&gt;""""))))-1), IF('To Order'!$A1327=COL"&amp;"UMNS($A1327:H1346), H1326&amp;RIGHT(INDIRECT(ADDRESS(ROW(H1327)-1, 'From Order'!$A1327)), 1), H1326))"),"")</f>
        <v/>
      </c>
      <c r="I1327" s="2" t="str">
        <f>IFERROR(__xludf.DUMMYFUNCTION("IF('From Order'!$A1327=COLUMNS($A1327:I1346), LEFT(INDEX(FILTER(I$1:I1326, I$1:I1326&lt;&gt;""""),COUNTA(FILTER(I$1:I1326, I$1:I1326&lt;&gt;""""))), LEN(INDEX(FILTER(I$1:I1326, I$1:I1326&lt;&gt;""""),COUNTA(FILTER(I$1:I1326, I$1:I1326&lt;&gt;""""))))-1), IF('To Order'!$A1327=COL"&amp;"UMNS($A1327:I1346), I1326&amp;RIGHT(INDIRECT(ADDRESS(ROW(I1327)-1, 'From Order'!$A1327)), 1), I1326))"),"DDT")</f>
        <v>DDT</v>
      </c>
    </row>
    <row r="1328">
      <c r="A1328" s="2" t="str">
        <f>IFERROR(__xludf.DUMMYFUNCTION("IF('From Order'!$A1328=COLUMNS($A1328:A1347), LEFT(INDEX(FILTER(A$1:A1327, A$1:A1327&lt;&gt;""""),COUNTA(FILTER(A$1:A1327, A$1:A1327&lt;&gt;""""))), LEN(INDEX(FILTER(A$1:A1327, A$1:A1327&lt;&gt;""""),COUNTA(FILTER(A$1:A1327, A$1:A1327&lt;&gt;""""))))-1), IF('To Order'!$A1328=COL"&amp;"UMNS($A1328:A1347), A1327&amp;RIGHT(INDIRECT(ADDRESS(ROW(A1328)-1, 'From Order'!$A1328)), 1), A1327))"),"JTBFMDJDSBGMTDLPPJQVQW")</f>
        <v>JTBFMDJDSBGMTDLPPJQVQW</v>
      </c>
      <c r="B1328" s="2" t="str">
        <f>IFERROR(__xludf.DUMMYFUNCTION("IF('From Order'!$A1328=COLUMNS($A1328:B1347), LEFT(INDEX(FILTER(B$1:B1327, B$1:B1327&lt;&gt;""""),COUNTA(FILTER(B$1:B1327, B$1:B1327&lt;&gt;""""))), LEN(INDEX(FILTER(B$1:B1327, B$1:B1327&lt;&gt;""""),COUNTA(FILTER(B$1:B1327, B$1:B1327&lt;&gt;""""))))-1), IF('To Order'!$A1328=COL"&amp;"UMNS($A1328:B1347), B1327&amp;RIGHT(INDIRECT(ADDRESS(ROW(B1328)-1, 'From Order'!$A1328)), 1), B1327))"),"BV")</f>
        <v>BV</v>
      </c>
      <c r="C1328" s="2" t="str">
        <f>IFERROR(__xludf.DUMMYFUNCTION("IF('From Order'!$A1328=COLUMNS($A1328:C1347), LEFT(INDEX(FILTER(C$1:C1327, C$1:C1327&lt;&gt;""""),COUNTA(FILTER(C$1:C1327, C$1:C1327&lt;&gt;""""))), LEN(INDEX(FILTER(C$1:C1327, C$1:C1327&lt;&gt;""""),COUNTA(FILTER(C$1:C1327, C$1:C1327&lt;&gt;""""))))-1), IF('To Order'!$A1328=COL"&amp;"UMNS($A1328:C1347), C1327&amp;RIGHT(INDIRECT(ADDRESS(ROW(C1328)-1, 'From Order'!$A1328)), 1), C1327))"),"TRLRSGH")</f>
        <v>TRLRSGH</v>
      </c>
      <c r="D1328" s="2" t="str">
        <f>IFERROR(__xludf.DUMMYFUNCTION("IF('From Order'!$A1328=COLUMNS($A1328:D1347), LEFT(INDEX(FILTER(D$1:D1327, D$1:D1327&lt;&gt;""""),COUNTA(FILTER(D$1:D1327, D$1:D1327&lt;&gt;""""))), LEN(INDEX(FILTER(D$1:D1327, D$1:D1327&lt;&gt;""""),COUNTA(FILTER(D$1:D1327, D$1:D1327&lt;&gt;""""))))-1), IF('To Order'!$A1328=COL"&amp;"UMNS($A1328:D1347), D1327&amp;RIGHT(INDIRECT(ADDRESS(ROW(D1328)-1, 'From Order'!$A1328)), 1), D1327))"),"PH")</f>
        <v>PH</v>
      </c>
      <c r="E1328" s="2" t="str">
        <f>IFERROR(__xludf.DUMMYFUNCTION("IF('From Order'!$A1328=COLUMNS($A1328:E1347), LEFT(INDEX(FILTER(E$1:E1327, E$1:E1327&lt;&gt;""""),COUNTA(FILTER(E$1:E1327, E$1:E1327&lt;&gt;""""))), LEN(INDEX(FILTER(E$1:E1327, E$1:E1327&lt;&gt;""""),COUNTA(FILTER(E$1:E1327, E$1:E1327&lt;&gt;""""))))-1), IF('To Order'!$A1328=COL"&amp;"UMNS($A1328:E1347), E1327&amp;RIGHT(INDIRECT(ADDRESS(ROW(E1328)-1, 'From Order'!$A1328)), 1), E1327))"),"Z")</f>
        <v>Z</v>
      </c>
      <c r="F1328" s="2" t="str">
        <f>IFERROR(__xludf.DUMMYFUNCTION("IF('From Order'!$A1328=COLUMNS($A1328:F1347), LEFT(INDEX(FILTER(F$1:F1327, F$1:F1327&lt;&gt;""""),COUNTA(FILTER(F$1:F1327, F$1:F1327&lt;&gt;""""))), LEN(INDEX(FILTER(F$1:F1327, F$1:F1327&lt;&gt;""""),COUNTA(FILTER(F$1:F1327, F$1:F1327&lt;&gt;""""))))-1), IF('To Order'!$A1328=COL"&amp;"UMNS($A1328:F1347), F1327&amp;RIGHT(INDIRECT(ADDRESS(ROW(F1328)-1, 'From Order'!$A1328)), 1), F1327))"),"Z")</f>
        <v>Z</v>
      </c>
      <c r="G1328" s="2" t="str">
        <f>IFERROR(__xludf.DUMMYFUNCTION("IF('From Order'!$A1328=COLUMNS($A1328:G1347), LEFT(INDEX(FILTER(G$1:G1327, G$1:G1327&lt;&gt;""""),COUNTA(FILTER(G$1:G1327, G$1:G1327&lt;&gt;""""))), LEN(INDEX(FILTER(G$1:G1327, G$1:G1327&lt;&gt;""""),COUNTA(FILTER(G$1:G1327, G$1:G1327&lt;&gt;""""))))-1), IF('To Order'!$A1328=COL"&amp;"UMNS($A1328:G1347), G1327&amp;RIGHT(INDIRECT(ADDRESS(ROW(G1328)-1, 'From Order'!$A1328)), 1), G1327))"),"WRMTCRCDRZCSFVTSBL")</f>
        <v>WRMTCRCDRZCSFVTSBL</v>
      </c>
      <c r="H1328" s="2" t="str">
        <f>IFERROR(__xludf.DUMMYFUNCTION("IF('From Order'!$A1328=COLUMNS($A1328:H1347), LEFT(INDEX(FILTER(H$1:H1327, H$1:H1327&lt;&gt;""""),COUNTA(FILTER(H$1:H1327, H$1:H1327&lt;&gt;""""))), LEN(INDEX(FILTER(H$1:H1327, H$1:H1327&lt;&gt;""""),COUNTA(FILTER(H$1:H1327, H$1:H1327&lt;&gt;""""))))-1), IF('To Order'!$A1328=COL"&amp;"UMNS($A1328:H1347), H1327&amp;RIGHT(INDIRECT(ADDRESS(ROW(H1328)-1, 'From Order'!$A1328)), 1), H1327))"),"")</f>
        <v/>
      </c>
      <c r="I1328" s="2" t="str">
        <f>IFERROR(__xludf.DUMMYFUNCTION("IF('From Order'!$A1328=COLUMNS($A1328:I1347), LEFT(INDEX(FILTER(I$1:I1327, I$1:I1327&lt;&gt;""""),COUNTA(FILTER(I$1:I1327, I$1:I1327&lt;&gt;""""))), LEN(INDEX(FILTER(I$1:I1327, I$1:I1327&lt;&gt;""""),COUNTA(FILTER(I$1:I1327, I$1:I1327&lt;&gt;""""))))-1), IF('To Order'!$A1328=COL"&amp;"UMNS($A1328:I1347), I1327&amp;RIGHT(INDIRECT(ADDRESS(ROW(I1328)-1, 'From Order'!$A1328)), 1), I1327))"),"DDT")</f>
        <v>DDT</v>
      </c>
    </row>
    <row r="1329">
      <c r="A1329" s="2" t="str">
        <f>IFERROR(__xludf.DUMMYFUNCTION("IF('From Order'!$A1329=COLUMNS($A1329:A1348), LEFT(INDEX(FILTER(A$1:A1328, A$1:A1328&lt;&gt;""""),COUNTA(FILTER(A$1:A1328, A$1:A1328&lt;&gt;""""))), LEN(INDEX(FILTER(A$1:A1328, A$1:A1328&lt;&gt;""""),COUNTA(FILTER(A$1:A1328, A$1:A1328&lt;&gt;""""))))-1), IF('To Order'!$A1329=COL"&amp;"UMNS($A1329:A1348), A1328&amp;RIGHT(INDIRECT(ADDRESS(ROW(A1329)-1, 'From Order'!$A1329)), 1), A1328))"),"JTBFMDJDSBGMTDLPPJQVQWH")</f>
        <v>JTBFMDJDSBGMTDLPPJQVQWH</v>
      </c>
      <c r="B1329" s="2" t="str">
        <f>IFERROR(__xludf.DUMMYFUNCTION("IF('From Order'!$A1329=COLUMNS($A1329:B1348), LEFT(INDEX(FILTER(B$1:B1328, B$1:B1328&lt;&gt;""""),COUNTA(FILTER(B$1:B1328, B$1:B1328&lt;&gt;""""))), LEN(INDEX(FILTER(B$1:B1328, B$1:B1328&lt;&gt;""""),COUNTA(FILTER(B$1:B1328, B$1:B1328&lt;&gt;""""))))-1), IF('To Order'!$A1329=COL"&amp;"UMNS($A1329:B1348), B1328&amp;RIGHT(INDIRECT(ADDRESS(ROW(B1329)-1, 'From Order'!$A1329)), 1), B1328))"),"BV")</f>
        <v>BV</v>
      </c>
      <c r="C1329" s="2" t="str">
        <f>IFERROR(__xludf.DUMMYFUNCTION("IF('From Order'!$A1329=COLUMNS($A1329:C1348), LEFT(INDEX(FILTER(C$1:C1328, C$1:C1328&lt;&gt;""""),COUNTA(FILTER(C$1:C1328, C$1:C1328&lt;&gt;""""))), LEN(INDEX(FILTER(C$1:C1328, C$1:C1328&lt;&gt;""""),COUNTA(FILTER(C$1:C1328, C$1:C1328&lt;&gt;""""))))-1), IF('To Order'!$A1329=COL"&amp;"UMNS($A1329:C1348), C1328&amp;RIGHT(INDIRECT(ADDRESS(ROW(C1329)-1, 'From Order'!$A1329)), 1), C1328))"),"TRLRSG")</f>
        <v>TRLRSG</v>
      </c>
      <c r="D1329" s="2" t="str">
        <f>IFERROR(__xludf.DUMMYFUNCTION("IF('From Order'!$A1329=COLUMNS($A1329:D1348), LEFT(INDEX(FILTER(D$1:D1328, D$1:D1328&lt;&gt;""""),COUNTA(FILTER(D$1:D1328, D$1:D1328&lt;&gt;""""))), LEN(INDEX(FILTER(D$1:D1328, D$1:D1328&lt;&gt;""""),COUNTA(FILTER(D$1:D1328, D$1:D1328&lt;&gt;""""))))-1), IF('To Order'!$A1329=COL"&amp;"UMNS($A1329:D1348), D1328&amp;RIGHT(INDIRECT(ADDRESS(ROW(D1329)-1, 'From Order'!$A1329)), 1), D1328))"),"PH")</f>
        <v>PH</v>
      </c>
      <c r="E1329" s="2" t="str">
        <f>IFERROR(__xludf.DUMMYFUNCTION("IF('From Order'!$A1329=COLUMNS($A1329:E1348), LEFT(INDEX(FILTER(E$1:E1328, E$1:E1328&lt;&gt;""""),COUNTA(FILTER(E$1:E1328, E$1:E1328&lt;&gt;""""))), LEN(INDEX(FILTER(E$1:E1328, E$1:E1328&lt;&gt;""""),COUNTA(FILTER(E$1:E1328, E$1:E1328&lt;&gt;""""))))-1), IF('To Order'!$A1329=COL"&amp;"UMNS($A1329:E1348), E1328&amp;RIGHT(INDIRECT(ADDRESS(ROW(E1329)-1, 'From Order'!$A1329)), 1), E1328))"),"Z")</f>
        <v>Z</v>
      </c>
      <c r="F1329" s="2" t="str">
        <f>IFERROR(__xludf.DUMMYFUNCTION("IF('From Order'!$A1329=COLUMNS($A1329:F1348), LEFT(INDEX(FILTER(F$1:F1328, F$1:F1328&lt;&gt;""""),COUNTA(FILTER(F$1:F1328, F$1:F1328&lt;&gt;""""))), LEN(INDEX(FILTER(F$1:F1328, F$1:F1328&lt;&gt;""""),COUNTA(FILTER(F$1:F1328, F$1:F1328&lt;&gt;""""))))-1), IF('To Order'!$A1329=COL"&amp;"UMNS($A1329:F1348), F1328&amp;RIGHT(INDIRECT(ADDRESS(ROW(F1329)-1, 'From Order'!$A1329)), 1), F1328))"),"Z")</f>
        <v>Z</v>
      </c>
      <c r="G1329" s="2" t="str">
        <f>IFERROR(__xludf.DUMMYFUNCTION("IF('From Order'!$A1329=COLUMNS($A1329:G1348), LEFT(INDEX(FILTER(G$1:G1328, G$1:G1328&lt;&gt;""""),COUNTA(FILTER(G$1:G1328, G$1:G1328&lt;&gt;""""))), LEN(INDEX(FILTER(G$1:G1328, G$1:G1328&lt;&gt;""""),COUNTA(FILTER(G$1:G1328, G$1:G1328&lt;&gt;""""))))-1), IF('To Order'!$A1329=COL"&amp;"UMNS($A1329:G1348), G1328&amp;RIGHT(INDIRECT(ADDRESS(ROW(G1329)-1, 'From Order'!$A1329)), 1), G1328))"),"WRMTCRCDRZCSFVTSBL")</f>
        <v>WRMTCRCDRZCSFVTSBL</v>
      </c>
      <c r="H1329" s="2" t="str">
        <f>IFERROR(__xludf.DUMMYFUNCTION("IF('From Order'!$A1329=COLUMNS($A1329:H1348), LEFT(INDEX(FILTER(H$1:H1328, H$1:H1328&lt;&gt;""""),COUNTA(FILTER(H$1:H1328, H$1:H1328&lt;&gt;""""))), LEN(INDEX(FILTER(H$1:H1328, H$1:H1328&lt;&gt;""""),COUNTA(FILTER(H$1:H1328, H$1:H1328&lt;&gt;""""))))-1), IF('To Order'!$A1329=COL"&amp;"UMNS($A1329:H1348), H1328&amp;RIGHT(INDIRECT(ADDRESS(ROW(H1329)-1, 'From Order'!$A1329)), 1), H1328))"),"")</f>
        <v/>
      </c>
      <c r="I1329" s="2" t="str">
        <f>IFERROR(__xludf.DUMMYFUNCTION("IF('From Order'!$A1329=COLUMNS($A1329:I1348), LEFT(INDEX(FILTER(I$1:I1328, I$1:I1328&lt;&gt;""""),COUNTA(FILTER(I$1:I1328, I$1:I1328&lt;&gt;""""))), LEN(INDEX(FILTER(I$1:I1328, I$1:I1328&lt;&gt;""""),COUNTA(FILTER(I$1:I1328, I$1:I1328&lt;&gt;""""))))-1), IF('To Order'!$A1329=COL"&amp;"UMNS($A1329:I1348), I1328&amp;RIGHT(INDIRECT(ADDRESS(ROW(I1329)-1, 'From Order'!$A1329)), 1), I1328))"),"DDT")</f>
        <v>DDT</v>
      </c>
    </row>
    <row r="1330">
      <c r="A1330" s="2" t="str">
        <f>IFERROR(__xludf.DUMMYFUNCTION("IF('From Order'!$A1330=COLUMNS($A1330:A1349), LEFT(INDEX(FILTER(A$1:A1329, A$1:A1329&lt;&gt;""""),COUNTA(FILTER(A$1:A1329, A$1:A1329&lt;&gt;""""))), LEN(INDEX(FILTER(A$1:A1329, A$1:A1329&lt;&gt;""""),COUNTA(FILTER(A$1:A1329, A$1:A1329&lt;&gt;""""))))-1), IF('To Order'!$A1330=COL"&amp;"UMNS($A1330:A1349), A1329&amp;RIGHT(INDIRECT(ADDRESS(ROW(A1330)-1, 'From Order'!$A1330)), 1), A1329))"),"JTBFMDJDSBGMTDLPPJQVQWHG")</f>
        <v>JTBFMDJDSBGMTDLPPJQVQWHG</v>
      </c>
      <c r="B1330" s="2" t="str">
        <f>IFERROR(__xludf.DUMMYFUNCTION("IF('From Order'!$A1330=COLUMNS($A1330:B1349), LEFT(INDEX(FILTER(B$1:B1329, B$1:B1329&lt;&gt;""""),COUNTA(FILTER(B$1:B1329, B$1:B1329&lt;&gt;""""))), LEN(INDEX(FILTER(B$1:B1329, B$1:B1329&lt;&gt;""""),COUNTA(FILTER(B$1:B1329, B$1:B1329&lt;&gt;""""))))-1), IF('To Order'!$A1330=COL"&amp;"UMNS($A1330:B1349), B1329&amp;RIGHT(INDIRECT(ADDRESS(ROW(B1330)-1, 'From Order'!$A1330)), 1), B1329))"),"BV")</f>
        <v>BV</v>
      </c>
      <c r="C1330" s="2" t="str">
        <f>IFERROR(__xludf.DUMMYFUNCTION("IF('From Order'!$A1330=COLUMNS($A1330:C1349), LEFT(INDEX(FILTER(C$1:C1329, C$1:C1329&lt;&gt;""""),COUNTA(FILTER(C$1:C1329, C$1:C1329&lt;&gt;""""))), LEN(INDEX(FILTER(C$1:C1329, C$1:C1329&lt;&gt;""""),COUNTA(FILTER(C$1:C1329, C$1:C1329&lt;&gt;""""))))-1), IF('To Order'!$A1330=COL"&amp;"UMNS($A1330:C1349), C1329&amp;RIGHT(INDIRECT(ADDRESS(ROW(C1330)-1, 'From Order'!$A1330)), 1), C1329))"),"TRLRS")</f>
        <v>TRLRS</v>
      </c>
      <c r="D1330" s="2" t="str">
        <f>IFERROR(__xludf.DUMMYFUNCTION("IF('From Order'!$A1330=COLUMNS($A1330:D1349), LEFT(INDEX(FILTER(D$1:D1329, D$1:D1329&lt;&gt;""""),COUNTA(FILTER(D$1:D1329, D$1:D1329&lt;&gt;""""))), LEN(INDEX(FILTER(D$1:D1329, D$1:D1329&lt;&gt;""""),COUNTA(FILTER(D$1:D1329, D$1:D1329&lt;&gt;""""))))-1), IF('To Order'!$A1330=COL"&amp;"UMNS($A1330:D1349), D1329&amp;RIGHT(INDIRECT(ADDRESS(ROW(D1330)-1, 'From Order'!$A1330)), 1), D1329))"),"PH")</f>
        <v>PH</v>
      </c>
      <c r="E1330" s="2" t="str">
        <f>IFERROR(__xludf.DUMMYFUNCTION("IF('From Order'!$A1330=COLUMNS($A1330:E1349), LEFT(INDEX(FILTER(E$1:E1329, E$1:E1329&lt;&gt;""""),COUNTA(FILTER(E$1:E1329, E$1:E1329&lt;&gt;""""))), LEN(INDEX(FILTER(E$1:E1329, E$1:E1329&lt;&gt;""""),COUNTA(FILTER(E$1:E1329, E$1:E1329&lt;&gt;""""))))-1), IF('To Order'!$A1330=COL"&amp;"UMNS($A1330:E1349), E1329&amp;RIGHT(INDIRECT(ADDRESS(ROW(E1330)-1, 'From Order'!$A1330)), 1), E1329))"),"Z")</f>
        <v>Z</v>
      </c>
      <c r="F1330" s="2" t="str">
        <f>IFERROR(__xludf.DUMMYFUNCTION("IF('From Order'!$A1330=COLUMNS($A1330:F1349), LEFT(INDEX(FILTER(F$1:F1329, F$1:F1329&lt;&gt;""""),COUNTA(FILTER(F$1:F1329, F$1:F1329&lt;&gt;""""))), LEN(INDEX(FILTER(F$1:F1329, F$1:F1329&lt;&gt;""""),COUNTA(FILTER(F$1:F1329, F$1:F1329&lt;&gt;""""))))-1), IF('To Order'!$A1330=COL"&amp;"UMNS($A1330:F1349), F1329&amp;RIGHT(INDIRECT(ADDRESS(ROW(F1330)-1, 'From Order'!$A1330)), 1), F1329))"),"Z")</f>
        <v>Z</v>
      </c>
      <c r="G1330" s="2" t="str">
        <f>IFERROR(__xludf.DUMMYFUNCTION("IF('From Order'!$A1330=COLUMNS($A1330:G1349), LEFT(INDEX(FILTER(G$1:G1329, G$1:G1329&lt;&gt;""""),COUNTA(FILTER(G$1:G1329, G$1:G1329&lt;&gt;""""))), LEN(INDEX(FILTER(G$1:G1329, G$1:G1329&lt;&gt;""""),COUNTA(FILTER(G$1:G1329, G$1:G1329&lt;&gt;""""))))-1), IF('To Order'!$A1330=COL"&amp;"UMNS($A1330:G1349), G1329&amp;RIGHT(INDIRECT(ADDRESS(ROW(G1330)-1, 'From Order'!$A1330)), 1), G1329))"),"WRMTCRCDRZCSFVTSBL")</f>
        <v>WRMTCRCDRZCSFVTSBL</v>
      </c>
      <c r="H1330" s="2" t="str">
        <f>IFERROR(__xludf.DUMMYFUNCTION("IF('From Order'!$A1330=COLUMNS($A1330:H1349), LEFT(INDEX(FILTER(H$1:H1329, H$1:H1329&lt;&gt;""""),COUNTA(FILTER(H$1:H1329, H$1:H1329&lt;&gt;""""))), LEN(INDEX(FILTER(H$1:H1329, H$1:H1329&lt;&gt;""""),COUNTA(FILTER(H$1:H1329, H$1:H1329&lt;&gt;""""))))-1), IF('To Order'!$A1330=COL"&amp;"UMNS($A1330:H1349), H1329&amp;RIGHT(INDIRECT(ADDRESS(ROW(H1330)-1, 'From Order'!$A1330)), 1), H1329))"),"")</f>
        <v/>
      </c>
      <c r="I1330" s="2" t="str">
        <f>IFERROR(__xludf.DUMMYFUNCTION("IF('From Order'!$A1330=COLUMNS($A1330:I1349), LEFT(INDEX(FILTER(I$1:I1329, I$1:I1329&lt;&gt;""""),COUNTA(FILTER(I$1:I1329, I$1:I1329&lt;&gt;""""))), LEN(INDEX(FILTER(I$1:I1329, I$1:I1329&lt;&gt;""""),COUNTA(FILTER(I$1:I1329, I$1:I1329&lt;&gt;""""))))-1), IF('To Order'!$A1330=COL"&amp;"UMNS($A1330:I1349), I1329&amp;RIGHT(INDIRECT(ADDRESS(ROW(I1330)-1, 'From Order'!$A1330)), 1), I1329))"),"DDT")</f>
        <v>DDT</v>
      </c>
    </row>
    <row r="1331">
      <c r="A1331" s="2" t="str">
        <f>IFERROR(__xludf.DUMMYFUNCTION("IF('From Order'!$A1331=COLUMNS($A1331:A1350), LEFT(INDEX(FILTER(A$1:A1330, A$1:A1330&lt;&gt;""""),COUNTA(FILTER(A$1:A1330, A$1:A1330&lt;&gt;""""))), LEN(INDEX(FILTER(A$1:A1330, A$1:A1330&lt;&gt;""""),COUNTA(FILTER(A$1:A1330, A$1:A1330&lt;&gt;""""))))-1), IF('To Order'!$A1331=COL"&amp;"UMNS($A1331:A1350), A1330&amp;RIGHT(INDIRECT(ADDRESS(ROW(A1331)-1, 'From Order'!$A1331)), 1), A1330))"),"JTBFMDJDSBGMTDLPPJQVQWHGS")</f>
        <v>JTBFMDJDSBGMTDLPPJQVQWHGS</v>
      </c>
      <c r="B1331" s="2" t="str">
        <f>IFERROR(__xludf.DUMMYFUNCTION("IF('From Order'!$A1331=COLUMNS($A1331:B1350), LEFT(INDEX(FILTER(B$1:B1330, B$1:B1330&lt;&gt;""""),COUNTA(FILTER(B$1:B1330, B$1:B1330&lt;&gt;""""))), LEN(INDEX(FILTER(B$1:B1330, B$1:B1330&lt;&gt;""""),COUNTA(FILTER(B$1:B1330, B$1:B1330&lt;&gt;""""))))-1), IF('To Order'!$A1331=COL"&amp;"UMNS($A1331:B1350), B1330&amp;RIGHT(INDIRECT(ADDRESS(ROW(B1331)-1, 'From Order'!$A1331)), 1), B1330))"),"BV")</f>
        <v>BV</v>
      </c>
      <c r="C1331" s="2" t="str">
        <f>IFERROR(__xludf.DUMMYFUNCTION("IF('From Order'!$A1331=COLUMNS($A1331:C1350), LEFT(INDEX(FILTER(C$1:C1330, C$1:C1330&lt;&gt;""""),COUNTA(FILTER(C$1:C1330, C$1:C1330&lt;&gt;""""))), LEN(INDEX(FILTER(C$1:C1330, C$1:C1330&lt;&gt;""""),COUNTA(FILTER(C$1:C1330, C$1:C1330&lt;&gt;""""))))-1), IF('To Order'!$A1331=COL"&amp;"UMNS($A1331:C1350), C1330&amp;RIGHT(INDIRECT(ADDRESS(ROW(C1331)-1, 'From Order'!$A1331)), 1), C1330))"),"TRLR")</f>
        <v>TRLR</v>
      </c>
      <c r="D1331" s="2" t="str">
        <f>IFERROR(__xludf.DUMMYFUNCTION("IF('From Order'!$A1331=COLUMNS($A1331:D1350), LEFT(INDEX(FILTER(D$1:D1330, D$1:D1330&lt;&gt;""""),COUNTA(FILTER(D$1:D1330, D$1:D1330&lt;&gt;""""))), LEN(INDEX(FILTER(D$1:D1330, D$1:D1330&lt;&gt;""""),COUNTA(FILTER(D$1:D1330, D$1:D1330&lt;&gt;""""))))-1), IF('To Order'!$A1331=COL"&amp;"UMNS($A1331:D1350), D1330&amp;RIGHT(INDIRECT(ADDRESS(ROW(D1331)-1, 'From Order'!$A1331)), 1), D1330))"),"PH")</f>
        <v>PH</v>
      </c>
      <c r="E1331" s="2" t="str">
        <f>IFERROR(__xludf.DUMMYFUNCTION("IF('From Order'!$A1331=COLUMNS($A1331:E1350), LEFT(INDEX(FILTER(E$1:E1330, E$1:E1330&lt;&gt;""""),COUNTA(FILTER(E$1:E1330, E$1:E1330&lt;&gt;""""))), LEN(INDEX(FILTER(E$1:E1330, E$1:E1330&lt;&gt;""""),COUNTA(FILTER(E$1:E1330, E$1:E1330&lt;&gt;""""))))-1), IF('To Order'!$A1331=COL"&amp;"UMNS($A1331:E1350), E1330&amp;RIGHT(INDIRECT(ADDRESS(ROW(E1331)-1, 'From Order'!$A1331)), 1), E1330))"),"Z")</f>
        <v>Z</v>
      </c>
      <c r="F1331" s="2" t="str">
        <f>IFERROR(__xludf.DUMMYFUNCTION("IF('From Order'!$A1331=COLUMNS($A1331:F1350), LEFT(INDEX(FILTER(F$1:F1330, F$1:F1330&lt;&gt;""""),COUNTA(FILTER(F$1:F1330, F$1:F1330&lt;&gt;""""))), LEN(INDEX(FILTER(F$1:F1330, F$1:F1330&lt;&gt;""""),COUNTA(FILTER(F$1:F1330, F$1:F1330&lt;&gt;""""))))-1), IF('To Order'!$A1331=COL"&amp;"UMNS($A1331:F1350), F1330&amp;RIGHT(INDIRECT(ADDRESS(ROW(F1331)-1, 'From Order'!$A1331)), 1), F1330))"),"Z")</f>
        <v>Z</v>
      </c>
      <c r="G1331" s="2" t="str">
        <f>IFERROR(__xludf.DUMMYFUNCTION("IF('From Order'!$A1331=COLUMNS($A1331:G1350), LEFT(INDEX(FILTER(G$1:G1330, G$1:G1330&lt;&gt;""""),COUNTA(FILTER(G$1:G1330, G$1:G1330&lt;&gt;""""))), LEN(INDEX(FILTER(G$1:G1330, G$1:G1330&lt;&gt;""""),COUNTA(FILTER(G$1:G1330, G$1:G1330&lt;&gt;""""))))-1), IF('To Order'!$A1331=COL"&amp;"UMNS($A1331:G1350), G1330&amp;RIGHT(INDIRECT(ADDRESS(ROW(G1331)-1, 'From Order'!$A1331)), 1), G1330))"),"WRMTCRCDRZCSFVTSBL")</f>
        <v>WRMTCRCDRZCSFVTSBL</v>
      </c>
      <c r="H1331" s="2" t="str">
        <f>IFERROR(__xludf.DUMMYFUNCTION("IF('From Order'!$A1331=COLUMNS($A1331:H1350), LEFT(INDEX(FILTER(H$1:H1330, H$1:H1330&lt;&gt;""""),COUNTA(FILTER(H$1:H1330, H$1:H1330&lt;&gt;""""))), LEN(INDEX(FILTER(H$1:H1330, H$1:H1330&lt;&gt;""""),COUNTA(FILTER(H$1:H1330, H$1:H1330&lt;&gt;""""))))-1), IF('To Order'!$A1331=COL"&amp;"UMNS($A1331:H1350), H1330&amp;RIGHT(INDIRECT(ADDRESS(ROW(H1331)-1, 'From Order'!$A1331)), 1), H1330))"),"")</f>
        <v/>
      </c>
      <c r="I1331" s="2" t="str">
        <f>IFERROR(__xludf.DUMMYFUNCTION("IF('From Order'!$A1331=COLUMNS($A1331:I1350), LEFT(INDEX(FILTER(I$1:I1330, I$1:I1330&lt;&gt;""""),COUNTA(FILTER(I$1:I1330, I$1:I1330&lt;&gt;""""))), LEN(INDEX(FILTER(I$1:I1330, I$1:I1330&lt;&gt;""""),COUNTA(FILTER(I$1:I1330, I$1:I1330&lt;&gt;""""))))-1), IF('To Order'!$A1331=COL"&amp;"UMNS($A1331:I1350), I1330&amp;RIGHT(INDIRECT(ADDRESS(ROW(I1331)-1, 'From Order'!$A1331)), 1), I1330))"),"DDT")</f>
        <v>DDT</v>
      </c>
    </row>
    <row r="1332">
      <c r="A1332" s="2" t="str">
        <f>IFERROR(__xludf.DUMMYFUNCTION("IF('From Order'!$A1332=COLUMNS($A1332:A1351), LEFT(INDEX(FILTER(A$1:A1331, A$1:A1331&lt;&gt;""""),COUNTA(FILTER(A$1:A1331, A$1:A1331&lt;&gt;""""))), LEN(INDEX(FILTER(A$1:A1331, A$1:A1331&lt;&gt;""""),COUNTA(FILTER(A$1:A1331, A$1:A1331&lt;&gt;""""))))-1), IF('To Order'!$A1332=COL"&amp;"UMNS($A1332:A1351), A1331&amp;RIGHT(INDIRECT(ADDRESS(ROW(A1332)-1, 'From Order'!$A1332)), 1), A1331))"),"JTBFMDJDSBGMTDLPPJQVQWHGS")</f>
        <v>JTBFMDJDSBGMTDLPPJQVQWHGS</v>
      </c>
      <c r="B1332" s="2" t="str">
        <f>IFERROR(__xludf.DUMMYFUNCTION("IF('From Order'!$A1332=COLUMNS($A1332:B1351), LEFT(INDEX(FILTER(B$1:B1331, B$1:B1331&lt;&gt;""""),COUNTA(FILTER(B$1:B1331, B$1:B1331&lt;&gt;""""))), LEN(INDEX(FILTER(B$1:B1331, B$1:B1331&lt;&gt;""""),COUNTA(FILTER(B$1:B1331, B$1:B1331&lt;&gt;""""))))-1), IF('To Order'!$A1332=COL"&amp;"UMNS($A1332:B1351), B1331&amp;RIGHT(INDIRECT(ADDRESS(ROW(B1332)-1, 'From Order'!$A1332)), 1), B1331))"),"BVH")</f>
        <v>BVH</v>
      </c>
      <c r="C1332" s="2" t="str">
        <f>IFERROR(__xludf.DUMMYFUNCTION("IF('From Order'!$A1332=COLUMNS($A1332:C1351), LEFT(INDEX(FILTER(C$1:C1331, C$1:C1331&lt;&gt;""""),COUNTA(FILTER(C$1:C1331, C$1:C1331&lt;&gt;""""))), LEN(INDEX(FILTER(C$1:C1331, C$1:C1331&lt;&gt;""""),COUNTA(FILTER(C$1:C1331, C$1:C1331&lt;&gt;""""))))-1), IF('To Order'!$A1332=COL"&amp;"UMNS($A1332:C1351), C1331&amp;RIGHT(INDIRECT(ADDRESS(ROW(C1332)-1, 'From Order'!$A1332)), 1), C1331))"),"TRLR")</f>
        <v>TRLR</v>
      </c>
      <c r="D1332" s="2" t="str">
        <f>IFERROR(__xludf.DUMMYFUNCTION("IF('From Order'!$A1332=COLUMNS($A1332:D1351), LEFT(INDEX(FILTER(D$1:D1331, D$1:D1331&lt;&gt;""""),COUNTA(FILTER(D$1:D1331, D$1:D1331&lt;&gt;""""))), LEN(INDEX(FILTER(D$1:D1331, D$1:D1331&lt;&gt;""""),COUNTA(FILTER(D$1:D1331, D$1:D1331&lt;&gt;""""))))-1), IF('To Order'!$A1332=COL"&amp;"UMNS($A1332:D1351), D1331&amp;RIGHT(INDIRECT(ADDRESS(ROW(D1332)-1, 'From Order'!$A1332)), 1), D1331))"),"P")</f>
        <v>P</v>
      </c>
      <c r="E1332" s="2" t="str">
        <f>IFERROR(__xludf.DUMMYFUNCTION("IF('From Order'!$A1332=COLUMNS($A1332:E1351), LEFT(INDEX(FILTER(E$1:E1331, E$1:E1331&lt;&gt;""""),COUNTA(FILTER(E$1:E1331, E$1:E1331&lt;&gt;""""))), LEN(INDEX(FILTER(E$1:E1331, E$1:E1331&lt;&gt;""""),COUNTA(FILTER(E$1:E1331, E$1:E1331&lt;&gt;""""))))-1), IF('To Order'!$A1332=COL"&amp;"UMNS($A1332:E1351), E1331&amp;RIGHT(INDIRECT(ADDRESS(ROW(E1332)-1, 'From Order'!$A1332)), 1), E1331))"),"Z")</f>
        <v>Z</v>
      </c>
      <c r="F1332" s="2" t="str">
        <f>IFERROR(__xludf.DUMMYFUNCTION("IF('From Order'!$A1332=COLUMNS($A1332:F1351), LEFT(INDEX(FILTER(F$1:F1331, F$1:F1331&lt;&gt;""""),COUNTA(FILTER(F$1:F1331, F$1:F1331&lt;&gt;""""))), LEN(INDEX(FILTER(F$1:F1331, F$1:F1331&lt;&gt;""""),COUNTA(FILTER(F$1:F1331, F$1:F1331&lt;&gt;""""))))-1), IF('To Order'!$A1332=COL"&amp;"UMNS($A1332:F1351), F1331&amp;RIGHT(INDIRECT(ADDRESS(ROW(F1332)-1, 'From Order'!$A1332)), 1), F1331))"),"Z")</f>
        <v>Z</v>
      </c>
      <c r="G1332" s="2" t="str">
        <f>IFERROR(__xludf.DUMMYFUNCTION("IF('From Order'!$A1332=COLUMNS($A1332:G1351), LEFT(INDEX(FILTER(G$1:G1331, G$1:G1331&lt;&gt;""""),COUNTA(FILTER(G$1:G1331, G$1:G1331&lt;&gt;""""))), LEN(INDEX(FILTER(G$1:G1331, G$1:G1331&lt;&gt;""""),COUNTA(FILTER(G$1:G1331, G$1:G1331&lt;&gt;""""))))-1), IF('To Order'!$A1332=COL"&amp;"UMNS($A1332:G1351), G1331&amp;RIGHT(INDIRECT(ADDRESS(ROW(G1332)-1, 'From Order'!$A1332)), 1), G1331))"),"WRMTCRCDRZCSFVTSBL")</f>
        <v>WRMTCRCDRZCSFVTSBL</v>
      </c>
      <c r="H1332" s="2" t="str">
        <f>IFERROR(__xludf.DUMMYFUNCTION("IF('From Order'!$A1332=COLUMNS($A1332:H1351), LEFT(INDEX(FILTER(H$1:H1331, H$1:H1331&lt;&gt;""""),COUNTA(FILTER(H$1:H1331, H$1:H1331&lt;&gt;""""))), LEN(INDEX(FILTER(H$1:H1331, H$1:H1331&lt;&gt;""""),COUNTA(FILTER(H$1:H1331, H$1:H1331&lt;&gt;""""))))-1), IF('To Order'!$A1332=COL"&amp;"UMNS($A1332:H1351), H1331&amp;RIGHT(INDIRECT(ADDRESS(ROW(H1332)-1, 'From Order'!$A1332)), 1), H1331))"),"")</f>
        <v/>
      </c>
      <c r="I1332" s="2" t="str">
        <f>IFERROR(__xludf.DUMMYFUNCTION("IF('From Order'!$A1332=COLUMNS($A1332:I1351), LEFT(INDEX(FILTER(I$1:I1331, I$1:I1331&lt;&gt;""""),COUNTA(FILTER(I$1:I1331, I$1:I1331&lt;&gt;""""))), LEN(INDEX(FILTER(I$1:I1331, I$1:I1331&lt;&gt;""""),COUNTA(FILTER(I$1:I1331, I$1:I1331&lt;&gt;""""))))-1), IF('To Order'!$A1332=COL"&amp;"UMNS($A1332:I1351), I1331&amp;RIGHT(INDIRECT(ADDRESS(ROW(I1332)-1, 'From Order'!$A1332)), 1), I1331))"),"DDT")</f>
        <v>DDT</v>
      </c>
    </row>
    <row r="1333">
      <c r="A1333" s="2" t="str">
        <f>IFERROR(__xludf.DUMMYFUNCTION("IF('From Order'!$A1333=COLUMNS($A1333:A1352), LEFT(INDEX(FILTER(A$1:A1332, A$1:A1332&lt;&gt;""""),COUNTA(FILTER(A$1:A1332, A$1:A1332&lt;&gt;""""))), LEN(INDEX(FILTER(A$1:A1332, A$1:A1332&lt;&gt;""""),COUNTA(FILTER(A$1:A1332, A$1:A1332&lt;&gt;""""))))-1), IF('To Order'!$A1333=COL"&amp;"UMNS($A1333:A1352), A1332&amp;RIGHT(INDIRECT(ADDRESS(ROW(A1333)-1, 'From Order'!$A1333)), 1), A1332))"),"JTBFMDJDSBGMTDLPPJQVQWHGS")</f>
        <v>JTBFMDJDSBGMTDLPPJQVQWHGS</v>
      </c>
      <c r="B1333" s="2" t="str">
        <f>IFERROR(__xludf.DUMMYFUNCTION("IF('From Order'!$A1333=COLUMNS($A1333:B1352), LEFT(INDEX(FILTER(B$1:B1332, B$1:B1332&lt;&gt;""""),COUNTA(FILTER(B$1:B1332, B$1:B1332&lt;&gt;""""))), LEN(INDEX(FILTER(B$1:B1332, B$1:B1332&lt;&gt;""""),COUNTA(FILTER(B$1:B1332, B$1:B1332&lt;&gt;""""))))-1), IF('To Order'!$A1333=COL"&amp;"UMNS($A1333:B1352), B1332&amp;RIGHT(INDIRECT(ADDRESS(ROW(B1333)-1, 'From Order'!$A1333)), 1), B1332))"),"BVH")</f>
        <v>BVH</v>
      </c>
      <c r="C1333" s="2" t="str">
        <f>IFERROR(__xludf.DUMMYFUNCTION("IF('From Order'!$A1333=COLUMNS($A1333:C1352), LEFT(INDEX(FILTER(C$1:C1332, C$1:C1332&lt;&gt;""""),COUNTA(FILTER(C$1:C1332, C$1:C1332&lt;&gt;""""))), LEN(INDEX(FILTER(C$1:C1332, C$1:C1332&lt;&gt;""""),COUNTA(FILTER(C$1:C1332, C$1:C1332&lt;&gt;""""))))-1), IF('To Order'!$A1333=COL"&amp;"UMNS($A1333:C1352), C1332&amp;RIGHT(INDIRECT(ADDRESS(ROW(C1333)-1, 'From Order'!$A1333)), 1), C1332))"),"TRL")</f>
        <v>TRL</v>
      </c>
      <c r="D1333" s="2" t="str">
        <f>IFERROR(__xludf.DUMMYFUNCTION("IF('From Order'!$A1333=COLUMNS($A1333:D1352), LEFT(INDEX(FILTER(D$1:D1332, D$1:D1332&lt;&gt;""""),COUNTA(FILTER(D$1:D1332, D$1:D1332&lt;&gt;""""))), LEN(INDEX(FILTER(D$1:D1332, D$1:D1332&lt;&gt;""""),COUNTA(FILTER(D$1:D1332, D$1:D1332&lt;&gt;""""))))-1), IF('To Order'!$A1333=COL"&amp;"UMNS($A1333:D1352), D1332&amp;RIGHT(INDIRECT(ADDRESS(ROW(D1333)-1, 'From Order'!$A1333)), 1), D1332))"),"P")</f>
        <v>P</v>
      </c>
      <c r="E1333" s="2" t="str">
        <f>IFERROR(__xludf.DUMMYFUNCTION("IF('From Order'!$A1333=COLUMNS($A1333:E1352), LEFT(INDEX(FILTER(E$1:E1332, E$1:E1332&lt;&gt;""""),COUNTA(FILTER(E$1:E1332, E$1:E1332&lt;&gt;""""))), LEN(INDEX(FILTER(E$1:E1332, E$1:E1332&lt;&gt;""""),COUNTA(FILTER(E$1:E1332, E$1:E1332&lt;&gt;""""))))-1), IF('To Order'!$A1333=COL"&amp;"UMNS($A1333:E1352), E1332&amp;RIGHT(INDIRECT(ADDRESS(ROW(E1333)-1, 'From Order'!$A1333)), 1), E1332))"),"Z")</f>
        <v>Z</v>
      </c>
      <c r="F1333" s="2" t="str">
        <f>IFERROR(__xludf.DUMMYFUNCTION("IF('From Order'!$A1333=COLUMNS($A1333:F1352), LEFT(INDEX(FILTER(F$1:F1332, F$1:F1332&lt;&gt;""""),COUNTA(FILTER(F$1:F1332, F$1:F1332&lt;&gt;""""))), LEN(INDEX(FILTER(F$1:F1332, F$1:F1332&lt;&gt;""""),COUNTA(FILTER(F$1:F1332, F$1:F1332&lt;&gt;""""))))-1), IF('To Order'!$A1333=COL"&amp;"UMNS($A1333:F1352), F1332&amp;RIGHT(INDIRECT(ADDRESS(ROW(F1333)-1, 'From Order'!$A1333)), 1), F1332))"),"ZR")</f>
        <v>ZR</v>
      </c>
      <c r="G1333" s="2" t="str">
        <f>IFERROR(__xludf.DUMMYFUNCTION("IF('From Order'!$A1333=COLUMNS($A1333:G1352), LEFT(INDEX(FILTER(G$1:G1332, G$1:G1332&lt;&gt;""""),COUNTA(FILTER(G$1:G1332, G$1:G1332&lt;&gt;""""))), LEN(INDEX(FILTER(G$1:G1332, G$1:G1332&lt;&gt;""""),COUNTA(FILTER(G$1:G1332, G$1:G1332&lt;&gt;""""))))-1), IF('To Order'!$A1333=COL"&amp;"UMNS($A1333:G1352), G1332&amp;RIGHT(INDIRECT(ADDRESS(ROW(G1333)-1, 'From Order'!$A1333)), 1), G1332))"),"WRMTCRCDRZCSFVTSBL")</f>
        <v>WRMTCRCDRZCSFVTSBL</v>
      </c>
      <c r="H1333" s="2" t="str">
        <f>IFERROR(__xludf.DUMMYFUNCTION("IF('From Order'!$A1333=COLUMNS($A1333:H1352), LEFT(INDEX(FILTER(H$1:H1332, H$1:H1332&lt;&gt;""""),COUNTA(FILTER(H$1:H1332, H$1:H1332&lt;&gt;""""))), LEN(INDEX(FILTER(H$1:H1332, H$1:H1332&lt;&gt;""""),COUNTA(FILTER(H$1:H1332, H$1:H1332&lt;&gt;""""))))-1), IF('To Order'!$A1333=COL"&amp;"UMNS($A1333:H1352), H1332&amp;RIGHT(INDIRECT(ADDRESS(ROW(H1333)-1, 'From Order'!$A1333)), 1), H1332))"),"")</f>
        <v/>
      </c>
      <c r="I1333" s="2" t="str">
        <f>IFERROR(__xludf.DUMMYFUNCTION("IF('From Order'!$A1333=COLUMNS($A1333:I1352), LEFT(INDEX(FILTER(I$1:I1332, I$1:I1332&lt;&gt;""""),COUNTA(FILTER(I$1:I1332, I$1:I1332&lt;&gt;""""))), LEN(INDEX(FILTER(I$1:I1332, I$1:I1332&lt;&gt;""""),COUNTA(FILTER(I$1:I1332, I$1:I1332&lt;&gt;""""))))-1), IF('To Order'!$A1333=COL"&amp;"UMNS($A1333:I1352), I1332&amp;RIGHT(INDIRECT(ADDRESS(ROW(I1333)-1, 'From Order'!$A1333)), 1), I1332))"),"DDT")</f>
        <v>DDT</v>
      </c>
    </row>
    <row r="1334">
      <c r="A1334" s="2" t="str">
        <f>IFERROR(__xludf.DUMMYFUNCTION("IF('From Order'!$A1334=COLUMNS($A1334:A1353), LEFT(INDEX(FILTER(A$1:A1333, A$1:A1333&lt;&gt;""""),COUNTA(FILTER(A$1:A1333, A$1:A1333&lt;&gt;""""))), LEN(INDEX(FILTER(A$1:A1333, A$1:A1333&lt;&gt;""""),COUNTA(FILTER(A$1:A1333, A$1:A1333&lt;&gt;""""))))-1), IF('To Order'!$A1334=COL"&amp;"UMNS($A1334:A1353), A1333&amp;RIGHT(INDIRECT(ADDRESS(ROW(A1334)-1, 'From Order'!$A1334)), 1), A1333))"),"JTBFMDJDSBGMTDLPPJQVQWHGS")</f>
        <v>JTBFMDJDSBGMTDLPPJQVQWHGS</v>
      </c>
      <c r="B1334" s="2" t="str">
        <f>IFERROR(__xludf.DUMMYFUNCTION("IF('From Order'!$A1334=COLUMNS($A1334:B1353), LEFT(INDEX(FILTER(B$1:B1333, B$1:B1333&lt;&gt;""""),COUNTA(FILTER(B$1:B1333, B$1:B1333&lt;&gt;""""))), LEN(INDEX(FILTER(B$1:B1333, B$1:B1333&lt;&gt;""""),COUNTA(FILTER(B$1:B1333, B$1:B1333&lt;&gt;""""))))-1), IF('To Order'!$A1334=COL"&amp;"UMNS($A1334:B1353), B1333&amp;RIGHT(INDIRECT(ADDRESS(ROW(B1334)-1, 'From Order'!$A1334)), 1), B1333))"),"BVH")</f>
        <v>BVH</v>
      </c>
      <c r="C1334" s="2" t="str">
        <f>IFERROR(__xludf.DUMMYFUNCTION("IF('From Order'!$A1334=COLUMNS($A1334:C1353), LEFT(INDEX(FILTER(C$1:C1333, C$1:C1333&lt;&gt;""""),COUNTA(FILTER(C$1:C1333, C$1:C1333&lt;&gt;""""))), LEN(INDEX(FILTER(C$1:C1333, C$1:C1333&lt;&gt;""""),COUNTA(FILTER(C$1:C1333, C$1:C1333&lt;&gt;""""))))-1), IF('To Order'!$A1334=COL"&amp;"UMNS($A1334:C1353), C1333&amp;RIGHT(INDIRECT(ADDRESS(ROW(C1334)-1, 'From Order'!$A1334)), 1), C1333))"),"TR")</f>
        <v>TR</v>
      </c>
      <c r="D1334" s="2" t="str">
        <f>IFERROR(__xludf.DUMMYFUNCTION("IF('From Order'!$A1334=COLUMNS($A1334:D1353), LEFT(INDEX(FILTER(D$1:D1333, D$1:D1333&lt;&gt;""""),COUNTA(FILTER(D$1:D1333, D$1:D1333&lt;&gt;""""))), LEN(INDEX(FILTER(D$1:D1333, D$1:D1333&lt;&gt;""""),COUNTA(FILTER(D$1:D1333, D$1:D1333&lt;&gt;""""))))-1), IF('To Order'!$A1334=COL"&amp;"UMNS($A1334:D1353), D1333&amp;RIGHT(INDIRECT(ADDRESS(ROW(D1334)-1, 'From Order'!$A1334)), 1), D1333))"),"P")</f>
        <v>P</v>
      </c>
      <c r="E1334" s="2" t="str">
        <f>IFERROR(__xludf.DUMMYFUNCTION("IF('From Order'!$A1334=COLUMNS($A1334:E1353), LEFT(INDEX(FILTER(E$1:E1333, E$1:E1333&lt;&gt;""""),COUNTA(FILTER(E$1:E1333, E$1:E1333&lt;&gt;""""))), LEN(INDEX(FILTER(E$1:E1333, E$1:E1333&lt;&gt;""""),COUNTA(FILTER(E$1:E1333, E$1:E1333&lt;&gt;""""))))-1), IF('To Order'!$A1334=COL"&amp;"UMNS($A1334:E1353), E1333&amp;RIGHT(INDIRECT(ADDRESS(ROW(E1334)-1, 'From Order'!$A1334)), 1), E1333))"),"Z")</f>
        <v>Z</v>
      </c>
      <c r="F1334" s="2" t="str">
        <f>IFERROR(__xludf.DUMMYFUNCTION("IF('From Order'!$A1334=COLUMNS($A1334:F1353), LEFT(INDEX(FILTER(F$1:F1333, F$1:F1333&lt;&gt;""""),COUNTA(FILTER(F$1:F1333, F$1:F1333&lt;&gt;""""))), LEN(INDEX(FILTER(F$1:F1333, F$1:F1333&lt;&gt;""""),COUNTA(FILTER(F$1:F1333, F$1:F1333&lt;&gt;""""))))-1), IF('To Order'!$A1334=COL"&amp;"UMNS($A1334:F1353), F1333&amp;RIGHT(INDIRECT(ADDRESS(ROW(F1334)-1, 'From Order'!$A1334)), 1), F1333))"),"ZRL")</f>
        <v>ZRL</v>
      </c>
      <c r="G1334" s="2" t="str">
        <f>IFERROR(__xludf.DUMMYFUNCTION("IF('From Order'!$A1334=COLUMNS($A1334:G1353), LEFT(INDEX(FILTER(G$1:G1333, G$1:G1333&lt;&gt;""""),COUNTA(FILTER(G$1:G1333, G$1:G1333&lt;&gt;""""))), LEN(INDEX(FILTER(G$1:G1333, G$1:G1333&lt;&gt;""""),COUNTA(FILTER(G$1:G1333, G$1:G1333&lt;&gt;""""))))-1), IF('To Order'!$A1334=COL"&amp;"UMNS($A1334:G1353), G1333&amp;RIGHT(INDIRECT(ADDRESS(ROW(G1334)-1, 'From Order'!$A1334)), 1), G1333))"),"WRMTCRCDRZCSFVTSBL")</f>
        <v>WRMTCRCDRZCSFVTSBL</v>
      </c>
      <c r="H1334" s="2" t="str">
        <f>IFERROR(__xludf.DUMMYFUNCTION("IF('From Order'!$A1334=COLUMNS($A1334:H1353), LEFT(INDEX(FILTER(H$1:H1333, H$1:H1333&lt;&gt;""""),COUNTA(FILTER(H$1:H1333, H$1:H1333&lt;&gt;""""))), LEN(INDEX(FILTER(H$1:H1333, H$1:H1333&lt;&gt;""""),COUNTA(FILTER(H$1:H1333, H$1:H1333&lt;&gt;""""))))-1), IF('To Order'!$A1334=COL"&amp;"UMNS($A1334:H1353), H1333&amp;RIGHT(INDIRECT(ADDRESS(ROW(H1334)-1, 'From Order'!$A1334)), 1), H1333))"),"")</f>
        <v/>
      </c>
      <c r="I1334" s="2" t="str">
        <f>IFERROR(__xludf.DUMMYFUNCTION("IF('From Order'!$A1334=COLUMNS($A1334:I1353), LEFT(INDEX(FILTER(I$1:I1333, I$1:I1333&lt;&gt;""""),COUNTA(FILTER(I$1:I1333, I$1:I1333&lt;&gt;""""))), LEN(INDEX(FILTER(I$1:I1333, I$1:I1333&lt;&gt;""""),COUNTA(FILTER(I$1:I1333, I$1:I1333&lt;&gt;""""))))-1), IF('To Order'!$A1334=COL"&amp;"UMNS($A1334:I1353), I1333&amp;RIGHT(INDIRECT(ADDRESS(ROW(I1334)-1, 'From Order'!$A1334)), 1), I1333))"),"DDT")</f>
        <v>DDT</v>
      </c>
    </row>
    <row r="1335">
      <c r="A1335" s="2" t="str">
        <f>IFERROR(__xludf.DUMMYFUNCTION("IF('From Order'!$A1335=COLUMNS($A1335:A1354), LEFT(INDEX(FILTER(A$1:A1334, A$1:A1334&lt;&gt;""""),COUNTA(FILTER(A$1:A1334, A$1:A1334&lt;&gt;""""))), LEN(INDEX(FILTER(A$1:A1334, A$1:A1334&lt;&gt;""""),COUNTA(FILTER(A$1:A1334, A$1:A1334&lt;&gt;""""))))-1), IF('To Order'!$A1335=COL"&amp;"UMNS($A1335:A1354), A1334&amp;RIGHT(INDIRECT(ADDRESS(ROW(A1335)-1, 'From Order'!$A1335)), 1), A1334))"),"JTBFMDJDSBGMTDLPPJQVQWHG")</f>
        <v>JTBFMDJDSBGMTDLPPJQVQWHG</v>
      </c>
      <c r="B1335" s="2" t="str">
        <f>IFERROR(__xludf.DUMMYFUNCTION("IF('From Order'!$A1335=COLUMNS($A1335:B1354), LEFT(INDEX(FILTER(B$1:B1334, B$1:B1334&lt;&gt;""""),COUNTA(FILTER(B$1:B1334, B$1:B1334&lt;&gt;""""))), LEN(INDEX(FILTER(B$1:B1334, B$1:B1334&lt;&gt;""""),COUNTA(FILTER(B$1:B1334, B$1:B1334&lt;&gt;""""))))-1), IF('To Order'!$A1335=COL"&amp;"UMNS($A1335:B1354), B1334&amp;RIGHT(INDIRECT(ADDRESS(ROW(B1335)-1, 'From Order'!$A1335)), 1), B1334))"),"BVH")</f>
        <v>BVH</v>
      </c>
      <c r="C1335" s="2" t="str">
        <f>IFERROR(__xludf.DUMMYFUNCTION("IF('From Order'!$A1335=COLUMNS($A1335:C1354), LEFT(INDEX(FILTER(C$1:C1334, C$1:C1334&lt;&gt;""""),COUNTA(FILTER(C$1:C1334, C$1:C1334&lt;&gt;""""))), LEN(INDEX(FILTER(C$1:C1334, C$1:C1334&lt;&gt;""""),COUNTA(FILTER(C$1:C1334, C$1:C1334&lt;&gt;""""))))-1), IF('To Order'!$A1335=COL"&amp;"UMNS($A1335:C1354), C1334&amp;RIGHT(INDIRECT(ADDRESS(ROW(C1335)-1, 'From Order'!$A1335)), 1), C1334))"),"TR")</f>
        <v>TR</v>
      </c>
      <c r="D1335" s="2" t="str">
        <f>IFERROR(__xludf.DUMMYFUNCTION("IF('From Order'!$A1335=COLUMNS($A1335:D1354), LEFT(INDEX(FILTER(D$1:D1334, D$1:D1334&lt;&gt;""""),COUNTA(FILTER(D$1:D1334, D$1:D1334&lt;&gt;""""))), LEN(INDEX(FILTER(D$1:D1334, D$1:D1334&lt;&gt;""""),COUNTA(FILTER(D$1:D1334, D$1:D1334&lt;&gt;""""))))-1), IF('To Order'!$A1335=COL"&amp;"UMNS($A1335:D1354), D1334&amp;RIGHT(INDIRECT(ADDRESS(ROW(D1335)-1, 'From Order'!$A1335)), 1), D1334))"),"P")</f>
        <v>P</v>
      </c>
      <c r="E1335" s="2" t="str">
        <f>IFERROR(__xludf.DUMMYFUNCTION("IF('From Order'!$A1335=COLUMNS($A1335:E1354), LEFT(INDEX(FILTER(E$1:E1334, E$1:E1334&lt;&gt;""""),COUNTA(FILTER(E$1:E1334, E$1:E1334&lt;&gt;""""))), LEN(INDEX(FILTER(E$1:E1334, E$1:E1334&lt;&gt;""""),COUNTA(FILTER(E$1:E1334, E$1:E1334&lt;&gt;""""))))-1), IF('To Order'!$A1335=COL"&amp;"UMNS($A1335:E1354), E1334&amp;RIGHT(INDIRECT(ADDRESS(ROW(E1335)-1, 'From Order'!$A1335)), 1), E1334))"),"Z")</f>
        <v>Z</v>
      </c>
      <c r="F1335" s="2" t="str">
        <f>IFERROR(__xludf.DUMMYFUNCTION("IF('From Order'!$A1335=COLUMNS($A1335:F1354), LEFT(INDEX(FILTER(F$1:F1334, F$1:F1334&lt;&gt;""""),COUNTA(FILTER(F$1:F1334, F$1:F1334&lt;&gt;""""))), LEN(INDEX(FILTER(F$1:F1334, F$1:F1334&lt;&gt;""""),COUNTA(FILTER(F$1:F1334, F$1:F1334&lt;&gt;""""))))-1), IF('To Order'!$A1335=COL"&amp;"UMNS($A1335:F1354), F1334&amp;RIGHT(INDIRECT(ADDRESS(ROW(F1335)-1, 'From Order'!$A1335)), 1), F1334))"),"ZRL")</f>
        <v>ZRL</v>
      </c>
      <c r="G1335" s="2" t="str">
        <f>IFERROR(__xludf.DUMMYFUNCTION("IF('From Order'!$A1335=COLUMNS($A1335:G1354), LEFT(INDEX(FILTER(G$1:G1334, G$1:G1334&lt;&gt;""""),COUNTA(FILTER(G$1:G1334, G$1:G1334&lt;&gt;""""))), LEN(INDEX(FILTER(G$1:G1334, G$1:G1334&lt;&gt;""""),COUNTA(FILTER(G$1:G1334, G$1:G1334&lt;&gt;""""))))-1), IF('To Order'!$A1335=COL"&amp;"UMNS($A1335:G1354), G1334&amp;RIGHT(INDIRECT(ADDRESS(ROW(G1335)-1, 'From Order'!$A1335)), 1), G1334))"),"WRMTCRCDRZCSFVTSBL")</f>
        <v>WRMTCRCDRZCSFVTSBL</v>
      </c>
      <c r="H1335" s="2" t="str">
        <f>IFERROR(__xludf.DUMMYFUNCTION("IF('From Order'!$A1335=COLUMNS($A1335:H1354), LEFT(INDEX(FILTER(H$1:H1334, H$1:H1334&lt;&gt;""""),COUNTA(FILTER(H$1:H1334, H$1:H1334&lt;&gt;""""))), LEN(INDEX(FILTER(H$1:H1334, H$1:H1334&lt;&gt;""""),COUNTA(FILTER(H$1:H1334, H$1:H1334&lt;&gt;""""))))-1), IF('To Order'!$A1335=COL"&amp;"UMNS($A1335:H1354), H1334&amp;RIGHT(INDIRECT(ADDRESS(ROW(H1335)-1, 'From Order'!$A1335)), 1), H1334))"),"")</f>
        <v/>
      </c>
      <c r="I1335" s="2" t="str">
        <f>IFERROR(__xludf.DUMMYFUNCTION("IF('From Order'!$A1335=COLUMNS($A1335:I1354), LEFT(INDEX(FILTER(I$1:I1334, I$1:I1334&lt;&gt;""""),COUNTA(FILTER(I$1:I1334, I$1:I1334&lt;&gt;""""))), LEN(INDEX(FILTER(I$1:I1334, I$1:I1334&lt;&gt;""""),COUNTA(FILTER(I$1:I1334, I$1:I1334&lt;&gt;""""))))-1), IF('To Order'!$A1335=COL"&amp;"UMNS($A1335:I1354), I1334&amp;RIGHT(INDIRECT(ADDRESS(ROW(I1335)-1, 'From Order'!$A1335)), 1), I1334))"),"DDTS")</f>
        <v>DDTS</v>
      </c>
    </row>
    <row r="1336">
      <c r="A1336" s="2" t="str">
        <f>IFERROR(__xludf.DUMMYFUNCTION("IF('From Order'!$A1336=COLUMNS($A1336:A1355), LEFT(INDEX(FILTER(A$1:A1335, A$1:A1335&lt;&gt;""""),COUNTA(FILTER(A$1:A1335, A$1:A1335&lt;&gt;""""))), LEN(INDEX(FILTER(A$1:A1335, A$1:A1335&lt;&gt;""""),COUNTA(FILTER(A$1:A1335, A$1:A1335&lt;&gt;""""))))-1), IF('To Order'!$A1336=COL"&amp;"UMNS($A1336:A1355), A1335&amp;RIGHT(INDIRECT(ADDRESS(ROW(A1336)-1, 'From Order'!$A1336)), 1), A1335))"),"JTBFMDJDSBGMTDLPPJQVQWH")</f>
        <v>JTBFMDJDSBGMTDLPPJQVQWH</v>
      </c>
      <c r="B1336" s="2" t="str">
        <f>IFERROR(__xludf.DUMMYFUNCTION("IF('From Order'!$A1336=COLUMNS($A1336:B1355), LEFT(INDEX(FILTER(B$1:B1335, B$1:B1335&lt;&gt;""""),COUNTA(FILTER(B$1:B1335, B$1:B1335&lt;&gt;""""))), LEN(INDEX(FILTER(B$1:B1335, B$1:B1335&lt;&gt;""""),COUNTA(FILTER(B$1:B1335, B$1:B1335&lt;&gt;""""))))-1), IF('To Order'!$A1336=COL"&amp;"UMNS($A1336:B1355), B1335&amp;RIGHT(INDIRECT(ADDRESS(ROW(B1336)-1, 'From Order'!$A1336)), 1), B1335))"),"BVH")</f>
        <v>BVH</v>
      </c>
      <c r="C1336" s="2" t="str">
        <f>IFERROR(__xludf.DUMMYFUNCTION("IF('From Order'!$A1336=COLUMNS($A1336:C1355), LEFT(INDEX(FILTER(C$1:C1335, C$1:C1335&lt;&gt;""""),COUNTA(FILTER(C$1:C1335, C$1:C1335&lt;&gt;""""))), LEN(INDEX(FILTER(C$1:C1335, C$1:C1335&lt;&gt;""""),COUNTA(FILTER(C$1:C1335, C$1:C1335&lt;&gt;""""))))-1), IF('To Order'!$A1336=COL"&amp;"UMNS($A1336:C1355), C1335&amp;RIGHT(INDIRECT(ADDRESS(ROW(C1336)-1, 'From Order'!$A1336)), 1), C1335))"),"TR")</f>
        <v>TR</v>
      </c>
      <c r="D1336" s="2" t="str">
        <f>IFERROR(__xludf.DUMMYFUNCTION("IF('From Order'!$A1336=COLUMNS($A1336:D1355), LEFT(INDEX(FILTER(D$1:D1335, D$1:D1335&lt;&gt;""""),COUNTA(FILTER(D$1:D1335, D$1:D1335&lt;&gt;""""))), LEN(INDEX(FILTER(D$1:D1335, D$1:D1335&lt;&gt;""""),COUNTA(FILTER(D$1:D1335, D$1:D1335&lt;&gt;""""))))-1), IF('To Order'!$A1336=COL"&amp;"UMNS($A1336:D1355), D1335&amp;RIGHT(INDIRECT(ADDRESS(ROW(D1336)-1, 'From Order'!$A1336)), 1), D1335))"),"P")</f>
        <v>P</v>
      </c>
      <c r="E1336" s="2" t="str">
        <f>IFERROR(__xludf.DUMMYFUNCTION("IF('From Order'!$A1336=COLUMNS($A1336:E1355), LEFT(INDEX(FILTER(E$1:E1335, E$1:E1335&lt;&gt;""""),COUNTA(FILTER(E$1:E1335, E$1:E1335&lt;&gt;""""))), LEN(INDEX(FILTER(E$1:E1335, E$1:E1335&lt;&gt;""""),COUNTA(FILTER(E$1:E1335, E$1:E1335&lt;&gt;""""))))-1), IF('To Order'!$A1336=COL"&amp;"UMNS($A1336:E1355), E1335&amp;RIGHT(INDIRECT(ADDRESS(ROW(E1336)-1, 'From Order'!$A1336)), 1), E1335))"),"Z")</f>
        <v>Z</v>
      </c>
      <c r="F1336" s="2" t="str">
        <f>IFERROR(__xludf.DUMMYFUNCTION("IF('From Order'!$A1336=COLUMNS($A1336:F1355), LEFT(INDEX(FILTER(F$1:F1335, F$1:F1335&lt;&gt;""""),COUNTA(FILTER(F$1:F1335, F$1:F1335&lt;&gt;""""))), LEN(INDEX(FILTER(F$1:F1335, F$1:F1335&lt;&gt;""""),COUNTA(FILTER(F$1:F1335, F$1:F1335&lt;&gt;""""))))-1), IF('To Order'!$A1336=COL"&amp;"UMNS($A1336:F1355), F1335&amp;RIGHT(INDIRECT(ADDRESS(ROW(F1336)-1, 'From Order'!$A1336)), 1), F1335))"),"ZRL")</f>
        <v>ZRL</v>
      </c>
      <c r="G1336" s="2" t="str">
        <f>IFERROR(__xludf.DUMMYFUNCTION("IF('From Order'!$A1336=COLUMNS($A1336:G1355), LEFT(INDEX(FILTER(G$1:G1335, G$1:G1335&lt;&gt;""""),COUNTA(FILTER(G$1:G1335, G$1:G1335&lt;&gt;""""))), LEN(INDEX(FILTER(G$1:G1335, G$1:G1335&lt;&gt;""""),COUNTA(FILTER(G$1:G1335, G$1:G1335&lt;&gt;""""))))-1), IF('To Order'!$A1336=COL"&amp;"UMNS($A1336:G1355), G1335&amp;RIGHT(INDIRECT(ADDRESS(ROW(G1336)-1, 'From Order'!$A1336)), 1), G1335))"),"WRMTCRCDRZCSFVTSBL")</f>
        <v>WRMTCRCDRZCSFVTSBL</v>
      </c>
      <c r="H1336" s="2" t="str">
        <f>IFERROR(__xludf.DUMMYFUNCTION("IF('From Order'!$A1336=COLUMNS($A1336:H1355), LEFT(INDEX(FILTER(H$1:H1335, H$1:H1335&lt;&gt;""""),COUNTA(FILTER(H$1:H1335, H$1:H1335&lt;&gt;""""))), LEN(INDEX(FILTER(H$1:H1335, H$1:H1335&lt;&gt;""""),COUNTA(FILTER(H$1:H1335, H$1:H1335&lt;&gt;""""))))-1), IF('To Order'!$A1336=COL"&amp;"UMNS($A1336:H1355), H1335&amp;RIGHT(INDIRECT(ADDRESS(ROW(H1336)-1, 'From Order'!$A1336)), 1), H1335))"),"")</f>
        <v/>
      </c>
      <c r="I1336" s="2" t="str">
        <f>IFERROR(__xludf.DUMMYFUNCTION("IF('From Order'!$A1336=COLUMNS($A1336:I1355), LEFT(INDEX(FILTER(I$1:I1335, I$1:I1335&lt;&gt;""""),COUNTA(FILTER(I$1:I1335, I$1:I1335&lt;&gt;""""))), LEN(INDEX(FILTER(I$1:I1335, I$1:I1335&lt;&gt;""""),COUNTA(FILTER(I$1:I1335, I$1:I1335&lt;&gt;""""))))-1), IF('To Order'!$A1336=COL"&amp;"UMNS($A1336:I1355), I1335&amp;RIGHT(INDIRECT(ADDRESS(ROW(I1336)-1, 'From Order'!$A1336)), 1), I1335))"),"DDTSG")</f>
        <v>DDTSG</v>
      </c>
    </row>
    <row r="1337">
      <c r="A1337" s="2" t="str">
        <f>IFERROR(__xludf.DUMMYFUNCTION("IF('From Order'!$A1337=COLUMNS($A1337:A1356), LEFT(INDEX(FILTER(A$1:A1336, A$1:A1336&lt;&gt;""""),COUNTA(FILTER(A$1:A1336, A$1:A1336&lt;&gt;""""))), LEN(INDEX(FILTER(A$1:A1336, A$1:A1336&lt;&gt;""""),COUNTA(FILTER(A$1:A1336, A$1:A1336&lt;&gt;""""))))-1), IF('To Order'!$A1337=COL"&amp;"UMNS($A1337:A1356), A1336&amp;RIGHT(INDIRECT(ADDRESS(ROW(A1337)-1, 'From Order'!$A1337)), 1), A1336))"),"JTBFMDJDSBGMTDLPPJQVQW")</f>
        <v>JTBFMDJDSBGMTDLPPJQVQW</v>
      </c>
      <c r="B1337" s="2" t="str">
        <f>IFERROR(__xludf.DUMMYFUNCTION("IF('From Order'!$A1337=COLUMNS($A1337:B1356), LEFT(INDEX(FILTER(B$1:B1336, B$1:B1336&lt;&gt;""""),COUNTA(FILTER(B$1:B1336, B$1:B1336&lt;&gt;""""))), LEN(INDEX(FILTER(B$1:B1336, B$1:B1336&lt;&gt;""""),COUNTA(FILTER(B$1:B1336, B$1:B1336&lt;&gt;""""))))-1), IF('To Order'!$A1337=COL"&amp;"UMNS($A1337:B1356), B1336&amp;RIGHT(INDIRECT(ADDRESS(ROW(B1337)-1, 'From Order'!$A1337)), 1), B1336))"),"BVH")</f>
        <v>BVH</v>
      </c>
      <c r="C1337" s="2" t="str">
        <f>IFERROR(__xludf.DUMMYFUNCTION("IF('From Order'!$A1337=COLUMNS($A1337:C1356), LEFT(INDEX(FILTER(C$1:C1336, C$1:C1336&lt;&gt;""""),COUNTA(FILTER(C$1:C1336, C$1:C1336&lt;&gt;""""))), LEN(INDEX(FILTER(C$1:C1336, C$1:C1336&lt;&gt;""""),COUNTA(FILTER(C$1:C1336, C$1:C1336&lt;&gt;""""))))-1), IF('To Order'!$A1337=COL"&amp;"UMNS($A1337:C1356), C1336&amp;RIGHT(INDIRECT(ADDRESS(ROW(C1337)-1, 'From Order'!$A1337)), 1), C1336))"),"TR")</f>
        <v>TR</v>
      </c>
      <c r="D1337" s="2" t="str">
        <f>IFERROR(__xludf.DUMMYFUNCTION("IF('From Order'!$A1337=COLUMNS($A1337:D1356), LEFT(INDEX(FILTER(D$1:D1336, D$1:D1336&lt;&gt;""""),COUNTA(FILTER(D$1:D1336, D$1:D1336&lt;&gt;""""))), LEN(INDEX(FILTER(D$1:D1336, D$1:D1336&lt;&gt;""""),COUNTA(FILTER(D$1:D1336, D$1:D1336&lt;&gt;""""))))-1), IF('To Order'!$A1337=COL"&amp;"UMNS($A1337:D1356), D1336&amp;RIGHT(INDIRECT(ADDRESS(ROW(D1337)-1, 'From Order'!$A1337)), 1), D1336))"),"P")</f>
        <v>P</v>
      </c>
      <c r="E1337" s="2" t="str">
        <f>IFERROR(__xludf.DUMMYFUNCTION("IF('From Order'!$A1337=COLUMNS($A1337:E1356), LEFT(INDEX(FILTER(E$1:E1336, E$1:E1336&lt;&gt;""""),COUNTA(FILTER(E$1:E1336, E$1:E1336&lt;&gt;""""))), LEN(INDEX(FILTER(E$1:E1336, E$1:E1336&lt;&gt;""""),COUNTA(FILTER(E$1:E1336, E$1:E1336&lt;&gt;""""))))-1), IF('To Order'!$A1337=COL"&amp;"UMNS($A1337:E1356), E1336&amp;RIGHT(INDIRECT(ADDRESS(ROW(E1337)-1, 'From Order'!$A1337)), 1), E1336))"),"Z")</f>
        <v>Z</v>
      </c>
      <c r="F1337" s="2" t="str">
        <f>IFERROR(__xludf.DUMMYFUNCTION("IF('From Order'!$A1337=COLUMNS($A1337:F1356), LEFT(INDEX(FILTER(F$1:F1336, F$1:F1336&lt;&gt;""""),COUNTA(FILTER(F$1:F1336, F$1:F1336&lt;&gt;""""))), LEN(INDEX(FILTER(F$1:F1336, F$1:F1336&lt;&gt;""""),COUNTA(FILTER(F$1:F1336, F$1:F1336&lt;&gt;""""))))-1), IF('To Order'!$A1337=COL"&amp;"UMNS($A1337:F1356), F1336&amp;RIGHT(INDIRECT(ADDRESS(ROW(F1337)-1, 'From Order'!$A1337)), 1), F1336))"),"ZRL")</f>
        <v>ZRL</v>
      </c>
      <c r="G1337" s="2" t="str">
        <f>IFERROR(__xludf.DUMMYFUNCTION("IF('From Order'!$A1337=COLUMNS($A1337:G1356), LEFT(INDEX(FILTER(G$1:G1336, G$1:G1336&lt;&gt;""""),COUNTA(FILTER(G$1:G1336, G$1:G1336&lt;&gt;""""))), LEN(INDEX(FILTER(G$1:G1336, G$1:G1336&lt;&gt;""""),COUNTA(FILTER(G$1:G1336, G$1:G1336&lt;&gt;""""))))-1), IF('To Order'!$A1337=COL"&amp;"UMNS($A1337:G1356), G1336&amp;RIGHT(INDIRECT(ADDRESS(ROW(G1337)-1, 'From Order'!$A1337)), 1), G1336))"),"WRMTCRCDRZCSFVTSBL")</f>
        <v>WRMTCRCDRZCSFVTSBL</v>
      </c>
      <c r="H1337" s="2" t="str">
        <f>IFERROR(__xludf.DUMMYFUNCTION("IF('From Order'!$A1337=COLUMNS($A1337:H1356), LEFT(INDEX(FILTER(H$1:H1336, H$1:H1336&lt;&gt;""""),COUNTA(FILTER(H$1:H1336, H$1:H1336&lt;&gt;""""))), LEN(INDEX(FILTER(H$1:H1336, H$1:H1336&lt;&gt;""""),COUNTA(FILTER(H$1:H1336, H$1:H1336&lt;&gt;""""))))-1), IF('To Order'!$A1337=COL"&amp;"UMNS($A1337:H1356), H1336&amp;RIGHT(INDIRECT(ADDRESS(ROW(H1337)-1, 'From Order'!$A1337)), 1), H1336))"),"")</f>
        <v/>
      </c>
      <c r="I1337" s="2" t="str">
        <f>IFERROR(__xludf.DUMMYFUNCTION("IF('From Order'!$A1337=COLUMNS($A1337:I1356), LEFT(INDEX(FILTER(I$1:I1336, I$1:I1336&lt;&gt;""""),COUNTA(FILTER(I$1:I1336, I$1:I1336&lt;&gt;""""))), LEN(INDEX(FILTER(I$1:I1336, I$1:I1336&lt;&gt;""""),COUNTA(FILTER(I$1:I1336, I$1:I1336&lt;&gt;""""))))-1), IF('To Order'!$A1337=COL"&amp;"UMNS($A1337:I1356), I1336&amp;RIGHT(INDIRECT(ADDRESS(ROW(I1337)-1, 'From Order'!$A1337)), 1), I1336))"),"DDTSGH")</f>
        <v>DDTSGH</v>
      </c>
    </row>
    <row r="1338">
      <c r="A1338" s="2" t="str">
        <f>IFERROR(__xludf.DUMMYFUNCTION("IF('From Order'!$A1338=COLUMNS($A1338:A1357), LEFT(INDEX(FILTER(A$1:A1337, A$1:A1337&lt;&gt;""""),COUNTA(FILTER(A$1:A1337, A$1:A1337&lt;&gt;""""))), LEN(INDEX(FILTER(A$1:A1337, A$1:A1337&lt;&gt;""""),COUNTA(FILTER(A$1:A1337, A$1:A1337&lt;&gt;""""))))-1), IF('To Order'!$A1338=COL"&amp;"UMNS($A1338:A1357), A1337&amp;RIGHT(INDIRECT(ADDRESS(ROW(A1338)-1, 'From Order'!$A1338)), 1), A1337))"),"JTBFMDJDSBGMTDLPPJQVQW")</f>
        <v>JTBFMDJDSBGMTDLPPJQVQW</v>
      </c>
      <c r="B1338" s="2" t="str">
        <f>IFERROR(__xludf.DUMMYFUNCTION("IF('From Order'!$A1338=COLUMNS($A1338:B1357), LEFT(INDEX(FILTER(B$1:B1337, B$1:B1337&lt;&gt;""""),COUNTA(FILTER(B$1:B1337, B$1:B1337&lt;&gt;""""))), LEN(INDEX(FILTER(B$1:B1337, B$1:B1337&lt;&gt;""""),COUNTA(FILTER(B$1:B1337, B$1:B1337&lt;&gt;""""))))-1), IF('To Order'!$A1338=COL"&amp;"UMNS($A1338:B1357), B1337&amp;RIGHT(INDIRECT(ADDRESS(ROW(B1338)-1, 'From Order'!$A1338)), 1), B1337))"),"BVH")</f>
        <v>BVH</v>
      </c>
      <c r="C1338" s="2" t="str">
        <f>IFERROR(__xludf.DUMMYFUNCTION("IF('From Order'!$A1338=COLUMNS($A1338:C1357), LEFT(INDEX(FILTER(C$1:C1337, C$1:C1337&lt;&gt;""""),COUNTA(FILTER(C$1:C1337, C$1:C1337&lt;&gt;""""))), LEN(INDEX(FILTER(C$1:C1337, C$1:C1337&lt;&gt;""""),COUNTA(FILTER(C$1:C1337, C$1:C1337&lt;&gt;""""))))-1), IF('To Order'!$A1338=COL"&amp;"UMNS($A1338:C1357), C1337&amp;RIGHT(INDIRECT(ADDRESS(ROW(C1338)-1, 'From Order'!$A1338)), 1), C1337))"),"TR")</f>
        <v>TR</v>
      </c>
      <c r="D1338" s="2" t="str">
        <f>IFERROR(__xludf.DUMMYFUNCTION("IF('From Order'!$A1338=COLUMNS($A1338:D1357), LEFT(INDEX(FILTER(D$1:D1337, D$1:D1337&lt;&gt;""""),COUNTA(FILTER(D$1:D1337, D$1:D1337&lt;&gt;""""))), LEN(INDEX(FILTER(D$1:D1337, D$1:D1337&lt;&gt;""""),COUNTA(FILTER(D$1:D1337, D$1:D1337&lt;&gt;""""))))-1), IF('To Order'!$A1338=COL"&amp;"UMNS($A1338:D1357), D1337&amp;RIGHT(INDIRECT(ADDRESS(ROW(D1338)-1, 'From Order'!$A1338)), 1), D1337))"),"P")</f>
        <v>P</v>
      </c>
      <c r="E1338" s="2" t="str">
        <f>IFERROR(__xludf.DUMMYFUNCTION("IF('From Order'!$A1338=COLUMNS($A1338:E1357), LEFT(INDEX(FILTER(E$1:E1337, E$1:E1337&lt;&gt;""""),COUNTA(FILTER(E$1:E1337, E$1:E1337&lt;&gt;""""))), LEN(INDEX(FILTER(E$1:E1337, E$1:E1337&lt;&gt;""""),COUNTA(FILTER(E$1:E1337, E$1:E1337&lt;&gt;""""))))-1), IF('To Order'!$A1338=COL"&amp;"UMNS($A1338:E1357), E1337&amp;RIGHT(INDIRECT(ADDRESS(ROW(E1338)-1, 'From Order'!$A1338)), 1), E1337))"),"Z")</f>
        <v>Z</v>
      </c>
      <c r="F1338" s="2" t="str">
        <f>IFERROR(__xludf.DUMMYFUNCTION("IF('From Order'!$A1338=COLUMNS($A1338:F1357), LEFT(INDEX(FILTER(F$1:F1337, F$1:F1337&lt;&gt;""""),COUNTA(FILTER(F$1:F1337, F$1:F1337&lt;&gt;""""))), LEN(INDEX(FILTER(F$1:F1337, F$1:F1337&lt;&gt;""""),COUNTA(FILTER(F$1:F1337, F$1:F1337&lt;&gt;""""))))-1), IF('To Order'!$A1338=COL"&amp;"UMNS($A1338:F1357), F1337&amp;RIGHT(INDIRECT(ADDRESS(ROW(F1338)-1, 'From Order'!$A1338)), 1), F1337))"),"ZRL")</f>
        <v>ZRL</v>
      </c>
      <c r="G1338" s="2" t="str">
        <f>IFERROR(__xludf.DUMMYFUNCTION("IF('From Order'!$A1338=COLUMNS($A1338:G1357), LEFT(INDEX(FILTER(G$1:G1337, G$1:G1337&lt;&gt;""""),COUNTA(FILTER(G$1:G1337, G$1:G1337&lt;&gt;""""))), LEN(INDEX(FILTER(G$1:G1337, G$1:G1337&lt;&gt;""""),COUNTA(FILTER(G$1:G1337, G$1:G1337&lt;&gt;""""))))-1), IF('To Order'!$A1338=COL"&amp;"UMNS($A1338:G1357), G1337&amp;RIGHT(INDIRECT(ADDRESS(ROW(G1338)-1, 'From Order'!$A1338)), 1), G1337))"),"WRMTCRCDRZCSFVTSBL")</f>
        <v>WRMTCRCDRZCSFVTSBL</v>
      </c>
      <c r="H1338" s="2" t="str">
        <f>IFERROR(__xludf.DUMMYFUNCTION("IF('From Order'!$A1338=COLUMNS($A1338:H1357), LEFT(INDEX(FILTER(H$1:H1337, H$1:H1337&lt;&gt;""""),COUNTA(FILTER(H$1:H1337, H$1:H1337&lt;&gt;""""))), LEN(INDEX(FILTER(H$1:H1337, H$1:H1337&lt;&gt;""""),COUNTA(FILTER(H$1:H1337, H$1:H1337&lt;&gt;""""))))-1), IF('To Order'!$A1338=COL"&amp;"UMNS($A1338:H1357), H1337&amp;RIGHT(INDIRECT(ADDRESS(ROW(H1338)-1, 'From Order'!$A1338)), 1), H1337))"),"H")</f>
        <v>H</v>
      </c>
      <c r="I1338" s="2" t="str">
        <f>IFERROR(__xludf.DUMMYFUNCTION("IF('From Order'!$A1338=COLUMNS($A1338:I1357), LEFT(INDEX(FILTER(I$1:I1337, I$1:I1337&lt;&gt;""""),COUNTA(FILTER(I$1:I1337, I$1:I1337&lt;&gt;""""))), LEN(INDEX(FILTER(I$1:I1337, I$1:I1337&lt;&gt;""""),COUNTA(FILTER(I$1:I1337, I$1:I1337&lt;&gt;""""))))-1), IF('To Order'!$A1338=COL"&amp;"UMNS($A1338:I1357), I1337&amp;RIGHT(INDIRECT(ADDRESS(ROW(I1338)-1, 'From Order'!$A1338)), 1), I1337))"),"DDTSG")</f>
        <v>DDTSG</v>
      </c>
    </row>
    <row r="1339">
      <c r="A1339" s="2" t="str">
        <f>IFERROR(__xludf.DUMMYFUNCTION("IF('From Order'!$A1339=COLUMNS($A1339:A1358), LEFT(INDEX(FILTER(A$1:A1338, A$1:A1338&lt;&gt;""""),COUNTA(FILTER(A$1:A1338, A$1:A1338&lt;&gt;""""))), LEN(INDEX(FILTER(A$1:A1338, A$1:A1338&lt;&gt;""""),COUNTA(FILTER(A$1:A1338, A$1:A1338&lt;&gt;""""))))-1), IF('To Order'!$A1339=COL"&amp;"UMNS($A1339:A1358), A1338&amp;RIGHT(INDIRECT(ADDRESS(ROW(A1339)-1, 'From Order'!$A1339)), 1), A1338))"),"JTBFMDJDSBGMTDLPPJQVQW")</f>
        <v>JTBFMDJDSBGMTDLPPJQVQW</v>
      </c>
      <c r="B1339" s="2" t="str">
        <f>IFERROR(__xludf.DUMMYFUNCTION("IF('From Order'!$A1339=COLUMNS($A1339:B1358), LEFT(INDEX(FILTER(B$1:B1338, B$1:B1338&lt;&gt;""""),COUNTA(FILTER(B$1:B1338, B$1:B1338&lt;&gt;""""))), LEN(INDEX(FILTER(B$1:B1338, B$1:B1338&lt;&gt;""""),COUNTA(FILTER(B$1:B1338, B$1:B1338&lt;&gt;""""))))-1), IF('To Order'!$A1339=COL"&amp;"UMNS($A1339:B1358), B1338&amp;RIGHT(INDIRECT(ADDRESS(ROW(B1339)-1, 'From Order'!$A1339)), 1), B1338))"),"BVH")</f>
        <v>BVH</v>
      </c>
      <c r="C1339" s="2" t="str">
        <f>IFERROR(__xludf.DUMMYFUNCTION("IF('From Order'!$A1339=COLUMNS($A1339:C1358), LEFT(INDEX(FILTER(C$1:C1338, C$1:C1338&lt;&gt;""""),COUNTA(FILTER(C$1:C1338, C$1:C1338&lt;&gt;""""))), LEN(INDEX(FILTER(C$1:C1338, C$1:C1338&lt;&gt;""""),COUNTA(FILTER(C$1:C1338, C$1:C1338&lt;&gt;""""))))-1), IF('To Order'!$A1339=COL"&amp;"UMNS($A1339:C1358), C1338&amp;RIGHT(INDIRECT(ADDRESS(ROW(C1339)-1, 'From Order'!$A1339)), 1), C1338))"),"TR")</f>
        <v>TR</v>
      </c>
      <c r="D1339" s="2" t="str">
        <f>IFERROR(__xludf.DUMMYFUNCTION("IF('From Order'!$A1339=COLUMNS($A1339:D1358), LEFT(INDEX(FILTER(D$1:D1338, D$1:D1338&lt;&gt;""""),COUNTA(FILTER(D$1:D1338, D$1:D1338&lt;&gt;""""))), LEN(INDEX(FILTER(D$1:D1338, D$1:D1338&lt;&gt;""""),COUNTA(FILTER(D$1:D1338, D$1:D1338&lt;&gt;""""))))-1), IF('To Order'!$A1339=COL"&amp;"UMNS($A1339:D1358), D1338&amp;RIGHT(INDIRECT(ADDRESS(ROW(D1339)-1, 'From Order'!$A1339)), 1), D1338))"),"P")</f>
        <v>P</v>
      </c>
      <c r="E1339" s="2" t="str">
        <f>IFERROR(__xludf.DUMMYFUNCTION("IF('From Order'!$A1339=COLUMNS($A1339:E1358), LEFT(INDEX(FILTER(E$1:E1338, E$1:E1338&lt;&gt;""""),COUNTA(FILTER(E$1:E1338, E$1:E1338&lt;&gt;""""))), LEN(INDEX(FILTER(E$1:E1338, E$1:E1338&lt;&gt;""""),COUNTA(FILTER(E$1:E1338, E$1:E1338&lt;&gt;""""))))-1), IF('To Order'!$A1339=COL"&amp;"UMNS($A1339:E1358), E1338&amp;RIGHT(INDIRECT(ADDRESS(ROW(E1339)-1, 'From Order'!$A1339)), 1), E1338))"),"Z")</f>
        <v>Z</v>
      </c>
      <c r="F1339" s="2" t="str">
        <f>IFERROR(__xludf.DUMMYFUNCTION("IF('From Order'!$A1339=COLUMNS($A1339:F1358), LEFT(INDEX(FILTER(F$1:F1338, F$1:F1338&lt;&gt;""""),COUNTA(FILTER(F$1:F1338, F$1:F1338&lt;&gt;""""))), LEN(INDEX(FILTER(F$1:F1338, F$1:F1338&lt;&gt;""""),COUNTA(FILTER(F$1:F1338, F$1:F1338&lt;&gt;""""))))-1), IF('To Order'!$A1339=COL"&amp;"UMNS($A1339:F1358), F1338&amp;RIGHT(INDIRECT(ADDRESS(ROW(F1339)-1, 'From Order'!$A1339)), 1), F1338))"),"ZRL")</f>
        <v>ZRL</v>
      </c>
      <c r="G1339" s="2" t="str">
        <f>IFERROR(__xludf.DUMMYFUNCTION("IF('From Order'!$A1339=COLUMNS($A1339:G1358), LEFT(INDEX(FILTER(G$1:G1338, G$1:G1338&lt;&gt;""""),COUNTA(FILTER(G$1:G1338, G$1:G1338&lt;&gt;""""))), LEN(INDEX(FILTER(G$1:G1338, G$1:G1338&lt;&gt;""""),COUNTA(FILTER(G$1:G1338, G$1:G1338&lt;&gt;""""))))-1), IF('To Order'!$A1339=COL"&amp;"UMNS($A1339:G1358), G1338&amp;RIGHT(INDIRECT(ADDRESS(ROW(G1339)-1, 'From Order'!$A1339)), 1), G1338))"),"WRMTCRCDRZCSFVTSBL")</f>
        <v>WRMTCRCDRZCSFVTSBL</v>
      </c>
      <c r="H1339" s="2" t="str">
        <f>IFERROR(__xludf.DUMMYFUNCTION("IF('From Order'!$A1339=COLUMNS($A1339:H1358), LEFT(INDEX(FILTER(H$1:H1338, H$1:H1338&lt;&gt;""""),COUNTA(FILTER(H$1:H1338, H$1:H1338&lt;&gt;""""))), LEN(INDEX(FILTER(H$1:H1338, H$1:H1338&lt;&gt;""""),COUNTA(FILTER(H$1:H1338, H$1:H1338&lt;&gt;""""))))-1), IF('To Order'!$A1339=COL"&amp;"UMNS($A1339:H1358), H1338&amp;RIGHT(INDIRECT(ADDRESS(ROW(H1339)-1, 'From Order'!$A1339)), 1), H1338))"),"HG")</f>
        <v>HG</v>
      </c>
      <c r="I1339" s="2" t="str">
        <f>IFERROR(__xludf.DUMMYFUNCTION("IF('From Order'!$A1339=COLUMNS($A1339:I1358), LEFT(INDEX(FILTER(I$1:I1338, I$1:I1338&lt;&gt;""""),COUNTA(FILTER(I$1:I1338, I$1:I1338&lt;&gt;""""))), LEN(INDEX(FILTER(I$1:I1338, I$1:I1338&lt;&gt;""""),COUNTA(FILTER(I$1:I1338, I$1:I1338&lt;&gt;""""))))-1), IF('To Order'!$A1339=COL"&amp;"UMNS($A1339:I1358), I1338&amp;RIGHT(INDIRECT(ADDRESS(ROW(I1339)-1, 'From Order'!$A1339)), 1), I1338))"),"DDTS")</f>
        <v>DDTS</v>
      </c>
    </row>
    <row r="1340">
      <c r="A1340" s="2" t="str">
        <f>IFERROR(__xludf.DUMMYFUNCTION("IF('From Order'!$A1340=COLUMNS($A1340:A1359), LEFT(INDEX(FILTER(A$1:A1339, A$1:A1339&lt;&gt;""""),COUNTA(FILTER(A$1:A1339, A$1:A1339&lt;&gt;""""))), LEN(INDEX(FILTER(A$1:A1339, A$1:A1339&lt;&gt;""""),COUNTA(FILTER(A$1:A1339, A$1:A1339&lt;&gt;""""))))-1), IF('To Order'!$A1340=COL"&amp;"UMNS($A1340:A1359), A1339&amp;RIGHT(INDIRECT(ADDRESS(ROW(A1340)-1, 'From Order'!$A1340)), 1), A1339))"),"JTBFMDJDSBGMTDLPPJQVQW")</f>
        <v>JTBFMDJDSBGMTDLPPJQVQW</v>
      </c>
      <c r="B1340" s="2" t="str">
        <f>IFERROR(__xludf.DUMMYFUNCTION("IF('From Order'!$A1340=COLUMNS($A1340:B1359), LEFT(INDEX(FILTER(B$1:B1339, B$1:B1339&lt;&gt;""""),COUNTA(FILTER(B$1:B1339, B$1:B1339&lt;&gt;""""))), LEN(INDEX(FILTER(B$1:B1339, B$1:B1339&lt;&gt;""""),COUNTA(FILTER(B$1:B1339, B$1:B1339&lt;&gt;""""))))-1), IF('To Order'!$A1340=COL"&amp;"UMNS($A1340:B1359), B1339&amp;RIGHT(INDIRECT(ADDRESS(ROW(B1340)-1, 'From Order'!$A1340)), 1), B1339))"),"BVH")</f>
        <v>BVH</v>
      </c>
      <c r="C1340" s="2" t="str">
        <f>IFERROR(__xludf.DUMMYFUNCTION("IF('From Order'!$A1340=COLUMNS($A1340:C1359), LEFT(INDEX(FILTER(C$1:C1339, C$1:C1339&lt;&gt;""""),COUNTA(FILTER(C$1:C1339, C$1:C1339&lt;&gt;""""))), LEN(INDEX(FILTER(C$1:C1339, C$1:C1339&lt;&gt;""""),COUNTA(FILTER(C$1:C1339, C$1:C1339&lt;&gt;""""))))-1), IF('To Order'!$A1340=COL"&amp;"UMNS($A1340:C1359), C1339&amp;RIGHT(INDIRECT(ADDRESS(ROW(C1340)-1, 'From Order'!$A1340)), 1), C1339))"),"TR")</f>
        <v>TR</v>
      </c>
      <c r="D1340" s="2" t="str">
        <f>IFERROR(__xludf.DUMMYFUNCTION("IF('From Order'!$A1340=COLUMNS($A1340:D1359), LEFT(INDEX(FILTER(D$1:D1339, D$1:D1339&lt;&gt;""""),COUNTA(FILTER(D$1:D1339, D$1:D1339&lt;&gt;""""))), LEN(INDEX(FILTER(D$1:D1339, D$1:D1339&lt;&gt;""""),COUNTA(FILTER(D$1:D1339, D$1:D1339&lt;&gt;""""))))-1), IF('To Order'!$A1340=COL"&amp;"UMNS($A1340:D1359), D1339&amp;RIGHT(INDIRECT(ADDRESS(ROW(D1340)-1, 'From Order'!$A1340)), 1), D1339))"),"P")</f>
        <v>P</v>
      </c>
      <c r="E1340" s="2" t="str">
        <f>IFERROR(__xludf.DUMMYFUNCTION("IF('From Order'!$A1340=COLUMNS($A1340:E1359), LEFT(INDEX(FILTER(E$1:E1339, E$1:E1339&lt;&gt;""""),COUNTA(FILTER(E$1:E1339, E$1:E1339&lt;&gt;""""))), LEN(INDEX(FILTER(E$1:E1339, E$1:E1339&lt;&gt;""""),COUNTA(FILTER(E$1:E1339, E$1:E1339&lt;&gt;""""))))-1), IF('To Order'!$A1340=COL"&amp;"UMNS($A1340:E1359), E1339&amp;RIGHT(INDIRECT(ADDRESS(ROW(E1340)-1, 'From Order'!$A1340)), 1), E1339))"),"Z")</f>
        <v>Z</v>
      </c>
      <c r="F1340" s="2" t="str">
        <f>IFERROR(__xludf.DUMMYFUNCTION("IF('From Order'!$A1340=COLUMNS($A1340:F1359), LEFT(INDEX(FILTER(F$1:F1339, F$1:F1339&lt;&gt;""""),COUNTA(FILTER(F$1:F1339, F$1:F1339&lt;&gt;""""))), LEN(INDEX(FILTER(F$1:F1339, F$1:F1339&lt;&gt;""""),COUNTA(FILTER(F$1:F1339, F$1:F1339&lt;&gt;""""))))-1), IF('To Order'!$A1340=COL"&amp;"UMNS($A1340:F1359), F1339&amp;RIGHT(INDIRECT(ADDRESS(ROW(F1340)-1, 'From Order'!$A1340)), 1), F1339))"),"ZRL")</f>
        <v>ZRL</v>
      </c>
      <c r="G1340" s="2" t="str">
        <f>IFERROR(__xludf.DUMMYFUNCTION("IF('From Order'!$A1340=COLUMNS($A1340:G1359), LEFT(INDEX(FILTER(G$1:G1339, G$1:G1339&lt;&gt;""""),COUNTA(FILTER(G$1:G1339, G$1:G1339&lt;&gt;""""))), LEN(INDEX(FILTER(G$1:G1339, G$1:G1339&lt;&gt;""""),COUNTA(FILTER(G$1:G1339, G$1:G1339&lt;&gt;""""))))-1), IF('To Order'!$A1340=COL"&amp;"UMNS($A1340:G1359), G1339&amp;RIGHT(INDIRECT(ADDRESS(ROW(G1340)-1, 'From Order'!$A1340)), 1), G1339))"),"WRMTCRCDRZCSFVTSBL")</f>
        <v>WRMTCRCDRZCSFVTSBL</v>
      </c>
      <c r="H1340" s="2" t="str">
        <f>IFERROR(__xludf.DUMMYFUNCTION("IF('From Order'!$A1340=COLUMNS($A1340:H1359), LEFT(INDEX(FILTER(H$1:H1339, H$1:H1339&lt;&gt;""""),COUNTA(FILTER(H$1:H1339, H$1:H1339&lt;&gt;""""))), LEN(INDEX(FILTER(H$1:H1339, H$1:H1339&lt;&gt;""""),COUNTA(FILTER(H$1:H1339, H$1:H1339&lt;&gt;""""))))-1), IF('To Order'!$A1340=COL"&amp;"UMNS($A1340:H1359), H1339&amp;RIGHT(INDIRECT(ADDRESS(ROW(H1340)-1, 'From Order'!$A1340)), 1), H1339))"),"HGS")</f>
        <v>HGS</v>
      </c>
      <c r="I1340" s="2" t="str">
        <f>IFERROR(__xludf.DUMMYFUNCTION("IF('From Order'!$A1340=COLUMNS($A1340:I1359), LEFT(INDEX(FILTER(I$1:I1339, I$1:I1339&lt;&gt;""""),COUNTA(FILTER(I$1:I1339, I$1:I1339&lt;&gt;""""))), LEN(INDEX(FILTER(I$1:I1339, I$1:I1339&lt;&gt;""""),COUNTA(FILTER(I$1:I1339, I$1:I1339&lt;&gt;""""))))-1), IF('To Order'!$A1340=COL"&amp;"UMNS($A1340:I1359), I1339&amp;RIGHT(INDIRECT(ADDRESS(ROW(I1340)-1, 'From Order'!$A1340)), 1), I1339))"),"DDT")</f>
        <v>DDT</v>
      </c>
    </row>
    <row r="1341">
      <c r="A1341" s="2" t="str">
        <f>IFERROR(__xludf.DUMMYFUNCTION("IF('From Order'!$A1341=COLUMNS($A1341:A1360), LEFT(INDEX(FILTER(A$1:A1340, A$1:A1340&lt;&gt;""""),COUNTA(FILTER(A$1:A1340, A$1:A1340&lt;&gt;""""))), LEN(INDEX(FILTER(A$1:A1340, A$1:A1340&lt;&gt;""""),COUNTA(FILTER(A$1:A1340, A$1:A1340&lt;&gt;""""))))-1), IF('To Order'!$A1341=COL"&amp;"UMNS($A1341:A1360), A1340&amp;RIGHT(INDIRECT(ADDRESS(ROW(A1341)-1, 'From Order'!$A1341)), 1), A1340))"),"JTBFMDJDSBGMTDLPPJQVQW")</f>
        <v>JTBFMDJDSBGMTDLPPJQVQW</v>
      </c>
      <c r="B1341" s="2" t="str">
        <f>IFERROR(__xludf.DUMMYFUNCTION("IF('From Order'!$A1341=COLUMNS($A1341:B1360), LEFT(INDEX(FILTER(B$1:B1340, B$1:B1340&lt;&gt;""""),COUNTA(FILTER(B$1:B1340, B$1:B1340&lt;&gt;""""))), LEN(INDEX(FILTER(B$1:B1340, B$1:B1340&lt;&gt;""""),COUNTA(FILTER(B$1:B1340, B$1:B1340&lt;&gt;""""))))-1), IF('To Order'!$A1341=COL"&amp;"UMNS($A1341:B1360), B1340&amp;RIGHT(INDIRECT(ADDRESS(ROW(B1341)-1, 'From Order'!$A1341)), 1), B1340))"),"BVH")</f>
        <v>BVH</v>
      </c>
      <c r="C1341" s="2" t="str">
        <f>IFERROR(__xludf.DUMMYFUNCTION("IF('From Order'!$A1341=COLUMNS($A1341:C1360), LEFT(INDEX(FILTER(C$1:C1340, C$1:C1340&lt;&gt;""""),COUNTA(FILTER(C$1:C1340, C$1:C1340&lt;&gt;""""))), LEN(INDEX(FILTER(C$1:C1340, C$1:C1340&lt;&gt;""""),COUNTA(FILTER(C$1:C1340, C$1:C1340&lt;&gt;""""))))-1), IF('To Order'!$A1341=COL"&amp;"UMNS($A1341:C1360), C1340&amp;RIGHT(INDIRECT(ADDRESS(ROW(C1341)-1, 'From Order'!$A1341)), 1), C1340))"),"TR")</f>
        <v>TR</v>
      </c>
      <c r="D1341" s="2" t="str">
        <f>IFERROR(__xludf.DUMMYFUNCTION("IF('From Order'!$A1341=COLUMNS($A1341:D1360), LEFT(INDEX(FILTER(D$1:D1340, D$1:D1340&lt;&gt;""""),COUNTA(FILTER(D$1:D1340, D$1:D1340&lt;&gt;""""))), LEN(INDEX(FILTER(D$1:D1340, D$1:D1340&lt;&gt;""""),COUNTA(FILTER(D$1:D1340, D$1:D1340&lt;&gt;""""))))-1), IF('To Order'!$A1341=COL"&amp;"UMNS($A1341:D1360), D1340&amp;RIGHT(INDIRECT(ADDRESS(ROW(D1341)-1, 'From Order'!$A1341)), 1), D1340))"),"P")</f>
        <v>P</v>
      </c>
      <c r="E1341" s="2" t="str">
        <f>IFERROR(__xludf.DUMMYFUNCTION("IF('From Order'!$A1341=COLUMNS($A1341:E1360), LEFT(INDEX(FILTER(E$1:E1340, E$1:E1340&lt;&gt;""""),COUNTA(FILTER(E$1:E1340, E$1:E1340&lt;&gt;""""))), LEN(INDEX(FILTER(E$1:E1340, E$1:E1340&lt;&gt;""""),COUNTA(FILTER(E$1:E1340, E$1:E1340&lt;&gt;""""))))-1), IF('To Order'!$A1341=COL"&amp;"UMNS($A1341:E1360), E1340&amp;RIGHT(INDIRECT(ADDRESS(ROW(E1341)-1, 'From Order'!$A1341)), 1), E1340))"),"Z")</f>
        <v>Z</v>
      </c>
      <c r="F1341" s="2" t="str">
        <f>IFERROR(__xludf.DUMMYFUNCTION("IF('From Order'!$A1341=COLUMNS($A1341:F1360), LEFT(INDEX(FILTER(F$1:F1340, F$1:F1340&lt;&gt;""""),COUNTA(FILTER(F$1:F1340, F$1:F1340&lt;&gt;""""))), LEN(INDEX(FILTER(F$1:F1340, F$1:F1340&lt;&gt;""""),COUNTA(FILTER(F$1:F1340, F$1:F1340&lt;&gt;""""))))-1), IF('To Order'!$A1341=COL"&amp;"UMNS($A1341:F1360), F1340&amp;RIGHT(INDIRECT(ADDRESS(ROW(F1341)-1, 'From Order'!$A1341)), 1), F1340))"),"ZRL")</f>
        <v>ZRL</v>
      </c>
      <c r="G1341" s="2" t="str">
        <f>IFERROR(__xludf.DUMMYFUNCTION("IF('From Order'!$A1341=COLUMNS($A1341:G1360), LEFT(INDEX(FILTER(G$1:G1340, G$1:G1340&lt;&gt;""""),COUNTA(FILTER(G$1:G1340, G$1:G1340&lt;&gt;""""))), LEN(INDEX(FILTER(G$1:G1340, G$1:G1340&lt;&gt;""""),COUNTA(FILTER(G$1:G1340, G$1:G1340&lt;&gt;""""))))-1), IF('To Order'!$A1341=COL"&amp;"UMNS($A1341:G1360), G1340&amp;RIGHT(INDIRECT(ADDRESS(ROW(G1341)-1, 'From Order'!$A1341)), 1), G1340))"),"WRMTCRCDRZCSFVTSBL")</f>
        <v>WRMTCRCDRZCSFVTSBL</v>
      </c>
      <c r="H1341" s="2" t="str">
        <f>IFERROR(__xludf.DUMMYFUNCTION("IF('From Order'!$A1341=COLUMNS($A1341:H1360), LEFT(INDEX(FILTER(H$1:H1340, H$1:H1340&lt;&gt;""""),COUNTA(FILTER(H$1:H1340, H$1:H1340&lt;&gt;""""))), LEN(INDEX(FILTER(H$1:H1340, H$1:H1340&lt;&gt;""""),COUNTA(FILTER(H$1:H1340, H$1:H1340&lt;&gt;""""))))-1), IF('To Order'!$A1341=COL"&amp;"UMNS($A1341:H1360), H1340&amp;RIGHT(INDIRECT(ADDRESS(ROW(H1341)-1, 'From Order'!$A1341)), 1), H1340))"),"HGST")</f>
        <v>HGST</v>
      </c>
      <c r="I1341" s="2" t="str">
        <f>IFERROR(__xludf.DUMMYFUNCTION("IF('From Order'!$A1341=COLUMNS($A1341:I1360), LEFT(INDEX(FILTER(I$1:I1340, I$1:I1340&lt;&gt;""""),COUNTA(FILTER(I$1:I1340, I$1:I1340&lt;&gt;""""))), LEN(INDEX(FILTER(I$1:I1340, I$1:I1340&lt;&gt;""""),COUNTA(FILTER(I$1:I1340, I$1:I1340&lt;&gt;""""))))-1), IF('To Order'!$A1341=COL"&amp;"UMNS($A1341:I1360), I1340&amp;RIGHT(INDIRECT(ADDRESS(ROW(I1341)-1, 'From Order'!$A1341)), 1), I1340))"),"DD")</f>
        <v>DD</v>
      </c>
    </row>
    <row r="1342">
      <c r="A1342" s="2" t="str">
        <f>IFERROR(__xludf.DUMMYFUNCTION("IF('From Order'!$A1342=COLUMNS($A1342:A1361), LEFT(INDEX(FILTER(A$1:A1341, A$1:A1341&lt;&gt;""""),COUNTA(FILTER(A$1:A1341, A$1:A1341&lt;&gt;""""))), LEN(INDEX(FILTER(A$1:A1341, A$1:A1341&lt;&gt;""""),COUNTA(FILTER(A$1:A1341, A$1:A1341&lt;&gt;""""))))-1), IF('To Order'!$A1342=COL"&amp;"UMNS($A1342:A1361), A1341&amp;RIGHT(INDIRECT(ADDRESS(ROW(A1342)-1, 'From Order'!$A1342)), 1), A1341))"),"JTBFMDJDSBGMTDLPPJQVQW")</f>
        <v>JTBFMDJDSBGMTDLPPJQVQW</v>
      </c>
      <c r="B1342" s="2" t="str">
        <f>IFERROR(__xludf.DUMMYFUNCTION("IF('From Order'!$A1342=COLUMNS($A1342:B1361), LEFT(INDEX(FILTER(B$1:B1341, B$1:B1341&lt;&gt;""""),COUNTA(FILTER(B$1:B1341, B$1:B1341&lt;&gt;""""))), LEN(INDEX(FILTER(B$1:B1341, B$1:B1341&lt;&gt;""""),COUNTA(FILTER(B$1:B1341, B$1:B1341&lt;&gt;""""))))-1), IF('To Order'!$A1342=COL"&amp;"UMNS($A1342:B1361), B1341&amp;RIGHT(INDIRECT(ADDRESS(ROW(B1342)-1, 'From Order'!$A1342)), 1), B1341))"),"BVH")</f>
        <v>BVH</v>
      </c>
      <c r="C1342" s="2" t="str">
        <f>IFERROR(__xludf.DUMMYFUNCTION("IF('From Order'!$A1342=COLUMNS($A1342:C1361), LEFT(INDEX(FILTER(C$1:C1341, C$1:C1341&lt;&gt;""""),COUNTA(FILTER(C$1:C1341, C$1:C1341&lt;&gt;""""))), LEN(INDEX(FILTER(C$1:C1341, C$1:C1341&lt;&gt;""""),COUNTA(FILTER(C$1:C1341, C$1:C1341&lt;&gt;""""))))-1), IF('To Order'!$A1342=COL"&amp;"UMNS($A1342:C1361), C1341&amp;RIGHT(INDIRECT(ADDRESS(ROW(C1342)-1, 'From Order'!$A1342)), 1), C1341))"),"TR")</f>
        <v>TR</v>
      </c>
      <c r="D1342" s="2" t="str">
        <f>IFERROR(__xludf.DUMMYFUNCTION("IF('From Order'!$A1342=COLUMNS($A1342:D1361), LEFT(INDEX(FILTER(D$1:D1341, D$1:D1341&lt;&gt;""""),COUNTA(FILTER(D$1:D1341, D$1:D1341&lt;&gt;""""))), LEN(INDEX(FILTER(D$1:D1341, D$1:D1341&lt;&gt;""""),COUNTA(FILTER(D$1:D1341, D$1:D1341&lt;&gt;""""))))-1), IF('To Order'!$A1342=COL"&amp;"UMNS($A1342:D1361), D1341&amp;RIGHT(INDIRECT(ADDRESS(ROW(D1342)-1, 'From Order'!$A1342)), 1), D1341))"),"P")</f>
        <v>P</v>
      </c>
      <c r="E1342" s="2" t="str">
        <f>IFERROR(__xludf.DUMMYFUNCTION("IF('From Order'!$A1342=COLUMNS($A1342:E1361), LEFT(INDEX(FILTER(E$1:E1341, E$1:E1341&lt;&gt;""""),COUNTA(FILTER(E$1:E1341, E$1:E1341&lt;&gt;""""))), LEN(INDEX(FILTER(E$1:E1341, E$1:E1341&lt;&gt;""""),COUNTA(FILTER(E$1:E1341, E$1:E1341&lt;&gt;""""))))-1), IF('To Order'!$A1342=COL"&amp;"UMNS($A1342:E1361), E1341&amp;RIGHT(INDIRECT(ADDRESS(ROW(E1342)-1, 'From Order'!$A1342)), 1), E1341))"),"Z")</f>
        <v>Z</v>
      </c>
      <c r="F1342" s="2" t="str">
        <f>IFERROR(__xludf.DUMMYFUNCTION("IF('From Order'!$A1342=COLUMNS($A1342:F1361), LEFT(INDEX(FILTER(F$1:F1341, F$1:F1341&lt;&gt;""""),COUNTA(FILTER(F$1:F1341, F$1:F1341&lt;&gt;""""))), LEN(INDEX(FILTER(F$1:F1341, F$1:F1341&lt;&gt;""""),COUNTA(FILTER(F$1:F1341, F$1:F1341&lt;&gt;""""))))-1), IF('To Order'!$A1342=COL"&amp;"UMNS($A1342:F1361), F1341&amp;RIGHT(INDIRECT(ADDRESS(ROW(F1342)-1, 'From Order'!$A1342)), 1), F1341))"),"ZRL")</f>
        <v>ZRL</v>
      </c>
      <c r="G1342" s="2" t="str">
        <f>IFERROR(__xludf.DUMMYFUNCTION("IF('From Order'!$A1342=COLUMNS($A1342:G1361), LEFT(INDEX(FILTER(G$1:G1341, G$1:G1341&lt;&gt;""""),COUNTA(FILTER(G$1:G1341, G$1:G1341&lt;&gt;""""))), LEN(INDEX(FILTER(G$1:G1341, G$1:G1341&lt;&gt;""""),COUNTA(FILTER(G$1:G1341, G$1:G1341&lt;&gt;""""))))-1), IF('To Order'!$A1342=COL"&amp;"UMNS($A1342:G1361), G1341&amp;RIGHT(INDIRECT(ADDRESS(ROW(G1342)-1, 'From Order'!$A1342)), 1), G1341))"),"WRMTCRCDRZCSFVTSBL")</f>
        <v>WRMTCRCDRZCSFVTSBL</v>
      </c>
      <c r="H1342" s="2" t="str">
        <f>IFERROR(__xludf.DUMMYFUNCTION("IF('From Order'!$A1342=COLUMNS($A1342:H1361), LEFT(INDEX(FILTER(H$1:H1341, H$1:H1341&lt;&gt;""""),COUNTA(FILTER(H$1:H1341, H$1:H1341&lt;&gt;""""))), LEN(INDEX(FILTER(H$1:H1341, H$1:H1341&lt;&gt;""""),COUNTA(FILTER(H$1:H1341, H$1:H1341&lt;&gt;""""))))-1), IF('To Order'!$A1342=COL"&amp;"UMNS($A1342:H1361), H1341&amp;RIGHT(INDIRECT(ADDRESS(ROW(H1342)-1, 'From Order'!$A1342)), 1), H1341))"),"HGSTD")</f>
        <v>HGSTD</v>
      </c>
      <c r="I1342" s="2" t="str">
        <f>IFERROR(__xludf.DUMMYFUNCTION("IF('From Order'!$A1342=COLUMNS($A1342:I1361), LEFT(INDEX(FILTER(I$1:I1341, I$1:I1341&lt;&gt;""""),COUNTA(FILTER(I$1:I1341, I$1:I1341&lt;&gt;""""))), LEN(INDEX(FILTER(I$1:I1341, I$1:I1341&lt;&gt;""""),COUNTA(FILTER(I$1:I1341, I$1:I1341&lt;&gt;""""))))-1), IF('To Order'!$A1342=COL"&amp;"UMNS($A1342:I1361), I1341&amp;RIGHT(INDIRECT(ADDRESS(ROW(I1342)-1, 'From Order'!$A1342)), 1), I1341))"),"D")</f>
        <v>D</v>
      </c>
    </row>
    <row r="1343">
      <c r="A1343" s="2" t="str">
        <f>IFERROR(__xludf.DUMMYFUNCTION("IF('From Order'!$A1343=COLUMNS($A1343:A1362), LEFT(INDEX(FILTER(A$1:A1342, A$1:A1342&lt;&gt;""""),COUNTA(FILTER(A$1:A1342, A$1:A1342&lt;&gt;""""))), LEN(INDEX(FILTER(A$1:A1342, A$1:A1342&lt;&gt;""""),COUNTA(FILTER(A$1:A1342, A$1:A1342&lt;&gt;""""))))-1), IF('To Order'!$A1343=COL"&amp;"UMNS($A1343:A1362), A1342&amp;RIGHT(INDIRECT(ADDRESS(ROW(A1343)-1, 'From Order'!$A1343)), 1), A1342))"),"JTBFMDJDSBGMTDLPPJQVQW")</f>
        <v>JTBFMDJDSBGMTDLPPJQVQW</v>
      </c>
      <c r="B1343" s="2" t="str">
        <f>IFERROR(__xludf.DUMMYFUNCTION("IF('From Order'!$A1343=COLUMNS($A1343:B1362), LEFT(INDEX(FILTER(B$1:B1342, B$1:B1342&lt;&gt;""""),COUNTA(FILTER(B$1:B1342, B$1:B1342&lt;&gt;""""))), LEN(INDEX(FILTER(B$1:B1342, B$1:B1342&lt;&gt;""""),COUNTA(FILTER(B$1:B1342, B$1:B1342&lt;&gt;""""))))-1), IF('To Order'!$A1343=COL"&amp;"UMNS($A1343:B1362), B1342&amp;RIGHT(INDIRECT(ADDRESS(ROW(B1343)-1, 'From Order'!$A1343)), 1), B1342))"),"BVH")</f>
        <v>BVH</v>
      </c>
      <c r="C1343" s="2" t="str">
        <f>IFERROR(__xludf.DUMMYFUNCTION("IF('From Order'!$A1343=COLUMNS($A1343:C1362), LEFT(INDEX(FILTER(C$1:C1342, C$1:C1342&lt;&gt;""""),COUNTA(FILTER(C$1:C1342, C$1:C1342&lt;&gt;""""))), LEN(INDEX(FILTER(C$1:C1342, C$1:C1342&lt;&gt;""""),COUNTA(FILTER(C$1:C1342, C$1:C1342&lt;&gt;""""))))-1), IF('To Order'!$A1343=COL"&amp;"UMNS($A1343:C1362), C1342&amp;RIGHT(INDIRECT(ADDRESS(ROW(C1343)-1, 'From Order'!$A1343)), 1), C1342))"),"TR")</f>
        <v>TR</v>
      </c>
      <c r="D1343" s="2" t="str">
        <f>IFERROR(__xludf.DUMMYFUNCTION("IF('From Order'!$A1343=COLUMNS($A1343:D1362), LEFT(INDEX(FILTER(D$1:D1342, D$1:D1342&lt;&gt;""""),COUNTA(FILTER(D$1:D1342, D$1:D1342&lt;&gt;""""))), LEN(INDEX(FILTER(D$1:D1342, D$1:D1342&lt;&gt;""""),COUNTA(FILTER(D$1:D1342, D$1:D1342&lt;&gt;""""))))-1), IF('To Order'!$A1343=COL"&amp;"UMNS($A1343:D1362), D1342&amp;RIGHT(INDIRECT(ADDRESS(ROW(D1343)-1, 'From Order'!$A1343)), 1), D1342))"),"P")</f>
        <v>P</v>
      </c>
      <c r="E1343" s="2" t="str">
        <f>IFERROR(__xludf.DUMMYFUNCTION("IF('From Order'!$A1343=COLUMNS($A1343:E1362), LEFT(INDEX(FILTER(E$1:E1342, E$1:E1342&lt;&gt;""""),COUNTA(FILTER(E$1:E1342, E$1:E1342&lt;&gt;""""))), LEN(INDEX(FILTER(E$1:E1342, E$1:E1342&lt;&gt;""""),COUNTA(FILTER(E$1:E1342, E$1:E1342&lt;&gt;""""))))-1), IF('To Order'!$A1343=COL"&amp;"UMNS($A1343:E1362), E1342&amp;RIGHT(INDIRECT(ADDRESS(ROW(E1343)-1, 'From Order'!$A1343)), 1), E1342))"),"Z")</f>
        <v>Z</v>
      </c>
      <c r="F1343" s="2" t="str">
        <f>IFERROR(__xludf.DUMMYFUNCTION("IF('From Order'!$A1343=COLUMNS($A1343:F1362), LEFT(INDEX(FILTER(F$1:F1342, F$1:F1342&lt;&gt;""""),COUNTA(FILTER(F$1:F1342, F$1:F1342&lt;&gt;""""))), LEN(INDEX(FILTER(F$1:F1342, F$1:F1342&lt;&gt;""""),COUNTA(FILTER(F$1:F1342, F$1:F1342&lt;&gt;""""))))-1), IF('To Order'!$A1343=COL"&amp;"UMNS($A1343:F1362), F1342&amp;RIGHT(INDIRECT(ADDRESS(ROW(F1343)-1, 'From Order'!$A1343)), 1), F1342))"),"ZRL")</f>
        <v>ZRL</v>
      </c>
      <c r="G1343" s="2" t="str">
        <f>IFERROR(__xludf.DUMMYFUNCTION("IF('From Order'!$A1343=COLUMNS($A1343:G1362), LEFT(INDEX(FILTER(G$1:G1342, G$1:G1342&lt;&gt;""""),COUNTA(FILTER(G$1:G1342, G$1:G1342&lt;&gt;""""))), LEN(INDEX(FILTER(G$1:G1342, G$1:G1342&lt;&gt;""""),COUNTA(FILTER(G$1:G1342, G$1:G1342&lt;&gt;""""))))-1), IF('To Order'!$A1343=COL"&amp;"UMNS($A1343:G1362), G1342&amp;RIGHT(INDIRECT(ADDRESS(ROW(G1343)-1, 'From Order'!$A1343)), 1), G1342))"),"WRMTCRCDRZCSFVTSBL")</f>
        <v>WRMTCRCDRZCSFVTSBL</v>
      </c>
      <c r="H1343" s="2" t="str">
        <f>IFERROR(__xludf.DUMMYFUNCTION("IF('From Order'!$A1343=COLUMNS($A1343:H1362), LEFT(INDEX(FILTER(H$1:H1342, H$1:H1342&lt;&gt;""""),COUNTA(FILTER(H$1:H1342, H$1:H1342&lt;&gt;""""))), LEN(INDEX(FILTER(H$1:H1342, H$1:H1342&lt;&gt;""""),COUNTA(FILTER(H$1:H1342, H$1:H1342&lt;&gt;""""))))-1), IF('To Order'!$A1343=COL"&amp;"UMNS($A1343:H1362), H1342&amp;RIGHT(INDIRECT(ADDRESS(ROW(H1343)-1, 'From Order'!$A1343)), 1), H1342))"),"HGSTDD")</f>
        <v>HGSTDD</v>
      </c>
      <c r="I1343" s="2" t="str">
        <f>IFERROR(__xludf.DUMMYFUNCTION("IF('From Order'!$A1343=COLUMNS($A1343:I1362), LEFT(INDEX(FILTER(I$1:I1342, I$1:I1342&lt;&gt;""""),COUNTA(FILTER(I$1:I1342, I$1:I1342&lt;&gt;""""))), LEN(INDEX(FILTER(I$1:I1342, I$1:I1342&lt;&gt;""""),COUNTA(FILTER(I$1:I1342, I$1:I1342&lt;&gt;""""))))-1), IF('To Order'!$A1343=COL"&amp;"UMNS($A1343:I1362), I1342&amp;RIGHT(INDIRECT(ADDRESS(ROW(I1343)-1, 'From Order'!$A1343)), 1), I1342))"),"")</f>
        <v/>
      </c>
    </row>
    <row r="1344">
      <c r="A1344" s="2" t="str">
        <f>IFERROR(__xludf.DUMMYFUNCTION("IF('From Order'!$A1344=COLUMNS($A1344:A1363), LEFT(INDEX(FILTER(A$1:A1343, A$1:A1343&lt;&gt;""""),COUNTA(FILTER(A$1:A1343, A$1:A1343&lt;&gt;""""))), LEN(INDEX(FILTER(A$1:A1343, A$1:A1343&lt;&gt;""""),COUNTA(FILTER(A$1:A1343, A$1:A1343&lt;&gt;""""))))-1), IF('To Order'!$A1344=COL"&amp;"UMNS($A1344:A1363), A1343&amp;RIGHT(INDIRECT(ADDRESS(ROW(A1344)-1, 'From Order'!$A1344)), 1), A1343))"),"JTBFMDJDSBGMTDLPPJQVQW")</f>
        <v>JTBFMDJDSBGMTDLPPJQVQW</v>
      </c>
      <c r="B1344" s="2" t="str">
        <f>IFERROR(__xludf.DUMMYFUNCTION("IF('From Order'!$A1344=COLUMNS($A1344:B1363), LEFT(INDEX(FILTER(B$1:B1343, B$1:B1343&lt;&gt;""""),COUNTA(FILTER(B$1:B1343, B$1:B1343&lt;&gt;""""))), LEN(INDEX(FILTER(B$1:B1343, B$1:B1343&lt;&gt;""""),COUNTA(FILTER(B$1:B1343, B$1:B1343&lt;&gt;""""))))-1), IF('To Order'!$A1344=COL"&amp;"UMNS($A1344:B1363), B1343&amp;RIGHT(INDIRECT(ADDRESS(ROW(B1344)-1, 'From Order'!$A1344)), 1), B1343))"),"BVH")</f>
        <v>BVH</v>
      </c>
      <c r="C1344" s="2" t="str">
        <f>IFERROR(__xludf.DUMMYFUNCTION("IF('From Order'!$A1344=COLUMNS($A1344:C1363), LEFT(INDEX(FILTER(C$1:C1343, C$1:C1343&lt;&gt;""""),COUNTA(FILTER(C$1:C1343, C$1:C1343&lt;&gt;""""))), LEN(INDEX(FILTER(C$1:C1343, C$1:C1343&lt;&gt;""""),COUNTA(FILTER(C$1:C1343, C$1:C1343&lt;&gt;""""))))-1), IF('To Order'!$A1344=COL"&amp;"UMNS($A1344:C1363), C1343&amp;RIGHT(INDIRECT(ADDRESS(ROW(C1344)-1, 'From Order'!$A1344)), 1), C1343))"),"TRL")</f>
        <v>TRL</v>
      </c>
      <c r="D1344" s="2" t="str">
        <f>IFERROR(__xludf.DUMMYFUNCTION("IF('From Order'!$A1344=COLUMNS($A1344:D1363), LEFT(INDEX(FILTER(D$1:D1343, D$1:D1343&lt;&gt;""""),COUNTA(FILTER(D$1:D1343, D$1:D1343&lt;&gt;""""))), LEN(INDEX(FILTER(D$1:D1343, D$1:D1343&lt;&gt;""""),COUNTA(FILTER(D$1:D1343, D$1:D1343&lt;&gt;""""))))-1), IF('To Order'!$A1344=COL"&amp;"UMNS($A1344:D1363), D1343&amp;RIGHT(INDIRECT(ADDRESS(ROW(D1344)-1, 'From Order'!$A1344)), 1), D1343))"),"P")</f>
        <v>P</v>
      </c>
      <c r="E1344" s="2" t="str">
        <f>IFERROR(__xludf.DUMMYFUNCTION("IF('From Order'!$A1344=COLUMNS($A1344:E1363), LEFT(INDEX(FILTER(E$1:E1343, E$1:E1343&lt;&gt;""""),COUNTA(FILTER(E$1:E1343, E$1:E1343&lt;&gt;""""))), LEN(INDEX(FILTER(E$1:E1343, E$1:E1343&lt;&gt;""""),COUNTA(FILTER(E$1:E1343, E$1:E1343&lt;&gt;""""))))-1), IF('To Order'!$A1344=COL"&amp;"UMNS($A1344:E1363), E1343&amp;RIGHT(INDIRECT(ADDRESS(ROW(E1344)-1, 'From Order'!$A1344)), 1), E1343))"),"Z")</f>
        <v>Z</v>
      </c>
      <c r="F1344" s="2" t="str">
        <f>IFERROR(__xludf.DUMMYFUNCTION("IF('From Order'!$A1344=COLUMNS($A1344:F1363), LEFT(INDEX(FILTER(F$1:F1343, F$1:F1343&lt;&gt;""""),COUNTA(FILTER(F$1:F1343, F$1:F1343&lt;&gt;""""))), LEN(INDEX(FILTER(F$1:F1343, F$1:F1343&lt;&gt;""""),COUNTA(FILTER(F$1:F1343, F$1:F1343&lt;&gt;""""))))-1), IF('To Order'!$A1344=COL"&amp;"UMNS($A1344:F1363), F1343&amp;RIGHT(INDIRECT(ADDRESS(ROW(F1344)-1, 'From Order'!$A1344)), 1), F1343))"),"ZR")</f>
        <v>ZR</v>
      </c>
      <c r="G1344" s="2" t="str">
        <f>IFERROR(__xludf.DUMMYFUNCTION("IF('From Order'!$A1344=COLUMNS($A1344:G1363), LEFT(INDEX(FILTER(G$1:G1343, G$1:G1343&lt;&gt;""""),COUNTA(FILTER(G$1:G1343, G$1:G1343&lt;&gt;""""))), LEN(INDEX(FILTER(G$1:G1343, G$1:G1343&lt;&gt;""""),COUNTA(FILTER(G$1:G1343, G$1:G1343&lt;&gt;""""))))-1), IF('To Order'!$A1344=COL"&amp;"UMNS($A1344:G1363), G1343&amp;RIGHT(INDIRECT(ADDRESS(ROW(G1344)-1, 'From Order'!$A1344)), 1), G1343))"),"WRMTCRCDRZCSFVTSBL")</f>
        <v>WRMTCRCDRZCSFVTSBL</v>
      </c>
      <c r="H1344" s="2" t="str">
        <f>IFERROR(__xludf.DUMMYFUNCTION("IF('From Order'!$A1344=COLUMNS($A1344:H1363), LEFT(INDEX(FILTER(H$1:H1343, H$1:H1343&lt;&gt;""""),COUNTA(FILTER(H$1:H1343, H$1:H1343&lt;&gt;""""))), LEN(INDEX(FILTER(H$1:H1343, H$1:H1343&lt;&gt;""""),COUNTA(FILTER(H$1:H1343, H$1:H1343&lt;&gt;""""))))-1), IF('To Order'!$A1344=COL"&amp;"UMNS($A1344:H1363), H1343&amp;RIGHT(INDIRECT(ADDRESS(ROW(H1344)-1, 'From Order'!$A1344)), 1), H1343))"),"HGSTDD")</f>
        <v>HGSTDD</v>
      </c>
      <c r="I1344" s="2" t="str">
        <f>IFERROR(__xludf.DUMMYFUNCTION("IF('From Order'!$A1344=COLUMNS($A1344:I1363), LEFT(INDEX(FILTER(I$1:I1343, I$1:I1343&lt;&gt;""""),COUNTA(FILTER(I$1:I1343, I$1:I1343&lt;&gt;""""))), LEN(INDEX(FILTER(I$1:I1343, I$1:I1343&lt;&gt;""""),COUNTA(FILTER(I$1:I1343, I$1:I1343&lt;&gt;""""))))-1), IF('To Order'!$A1344=COL"&amp;"UMNS($A1344:I1363), I1343&amp;RIGHT(INDIRECT(ADDRESS(ROW(I1344)-1, 'From Order'!$A1344)), 1), I1343))"),"")</f>
        <v/>
      </c>
    </row>
    <row r="1345">
      <c r="A1345" s="2" t="str">
        <f>IFERROR(__xludf.DUMMYFUNCTION("IF('From Order'!$A1345=COLUMNS($A1345:A1364), LEFT(INDEX(FILTER(A$1:A1344, A$1:A1344&lt;&gt;""""),COUNTA(FILTER(A$1:A1344, A$1:A1344&lt;&gt;""""))), LEN(INDEX(FILTER(A$1:A1344, A$1:A1344&lt;&gt;""""),COUNTA(FILTER(A$1:A1344, A$1:A1344&lt;&gt;""""))))-1), IF('To Order'!$A1345=COL"&amp;"UMNS($A1345:A1364), A1344&amp;RIGHT(INDIRECT(ADDRESS(ROW(A1345)-1, 'From Order'!$A1345)), 1), A1344))"),"JTBFMDJDSBGMTDLPPJQVQW")</f>
        <v>JTBFMDJDSBGMTDLPPJQVQW</v>
      </c>
      <c r="B1345" s="2" t="str">
        <f>IFERROR(__xludf.DUMMYFUNCTION("IF('From Order'!$A1345=COLUMNS($A1345:B1364), LEFT(INDEX(FILTER(B$1:B1344, B$1:B1344&lt;&gt;""""),COUNTA(FILTER(B$1:B1344, B$1:B1344&lt;&gt;""""))), LEN(INDEX(FILTER(B$1:B1344, B$1:B1344&lt;&gt;""""),COUNTA(FILTER(B$1:B1344, B$1:B1344&lt;&gt;""""))))-1), IF('To Order'!$A1345=COL"&amp;"UMNS($A1345:B1364), B1344&amp;RIGHT(INDIRECT(ADDRESS(ROW(B1345)-1, 'From Order'!$A1345)), 1), B1344))"),"BV")</f>
        <v>BV</v>
      </c>
      <c r="C1345" s="2" t="str">
        <f>IFERROR(__xludf.DUMMYFUNCTION("IF('From Order'!$A1345=COLUMNS($A1345:C1364), LEFT(INDEX(FILTER(C$1:C1344, C$1:C1344&lt;&gt;""""),COUNTA(FILTER(C$1:C1344, C$1:C1344&lt;&gt;""""))), LEN(INDEX(FILTER(C$1:C1344, C$1:C1344&lt;&gt;""""),COUNTA(FILTER(C$1:C1344, C$1:C1344&lt;&gt;""""))))-1), IF('To Order'!$A1345=COL"&amp;"UMNS($A1345:C1364), C1344&amp;RIGHT(INDIRECT(ADDRESS(ROW(C1345)-1, 'From Order'!$A1345)), 1), C1344))"),"TRL")</f>
        <v>TRL</v>
      </c>
      <c r="D1345" s="2" t="str">
        <f>IFERROR(__xludf.DUMMYFUNCTION("IF('From Order'!$A1345=COLUMNS($A1345:D1364), LEFT(INDEX(FILTER(D$1:D1344, D$1:D1344&lt;&gt;""""),COUNTA(FILTER(D$1:D1344, D$1:D1344&lt;&gt;""""))), LEN(INDEX(FILTER(D$1:D1344, D$1:D1344&lt;&gt;""""),COUNTA(FILTER(D$1:D1344, D$1:D1344&lt;&gt;""""))))-1), IF('To Order'!$A1345=COL"&amp;"UMNS($A1345:D1364), D1344&amp;RIGHT(INDIRECT(ADDRESS(ROW(D1345)-1, 'From Order'!$A1345)), 1), D1344))"),"P")</f>
        <v>P</v>
      </c>
      <c r="E1345" s="2" t="str">
        <f>IFERROR(__xludf.DUMMYFUNCTION("IF('From Order'!$A1345=COLUMNS($A1345:E1364), LEFT(INDEX(FILTER(E$1:E1344, E$1:E1344&lt;&gt;""""),COUNTA(FILTER(E$1:E1344, E$1:E1344&lt;&gt;""""))), LEN(INDEX(FILTER(E$1:E1344, E$1:E1344&lt;&gt;""""),COUNTA(FILTER(E$1:E1344, E$1:E1344&lt;&gt;""""))))-1), IF('To Order'!$A1345=COL"&amp;"UMNS($A1345:E1364), E1344&amp;RIGHT(INDIRECT(ADDRESS(ROW(E1345)-1, 'From Order'!$A1345)), 1), E1344))"),"Z")</f>
        <v>Z</v>
      </c>
      <c r="F1345" s="2" t="str">
        <f>IFERROR(__xludf.DUMMYFUNCTION("IF('From Order'!$A1345=COLUMNS($A1345:F1364), LEFT(INDEX(FILTER(F$1:F1344, F$1:F1344&lt;&gt;""""),COUNTA(FILTER(F$1:F1344, F$1:F1344&lt;&gt;""""))), LEN(INDEX(FILTER(F$1:F1344, F$1:F1344&lt;&gt;""""),COUNTA(FILTER(F$1:F1344, F$1:F1344&lt;&gt;""""))))-1), IF('To Order'!$A1345=COL"&amp;"UMNS($A1345:F1364), F1344&amp;RIGHT(INDIRECT(ADDRESS(ROW(F1345)-1, 'From Order'!$A1345)), 1), F1344))"),"ZR")</f>
        <v>ZR</v>
      </c>
      <c r="G1345" s="2" t="str">
        <f>IFERROR(__xludf.DUMMYFUNCTION("IF('From Order'!$A1345=COLUMNS($A1345:G1364), LEFT(INDEX(FILTER(G$1:G1344, G$1:G1344&lt;&gt;""""),COUNTA(FILTER(G$1:G1344, G$1:G1344&lt;&gt;""""))), LEN(INDEX(FILTER(G$1:G1344, G$1:G1344&lt;&gt;""""),COUNTA(FILTER(G$1:G1344, G$1:G1344&lt;&gt;""""))))-1), IF('To Order'!$A1345=COL"&amp;"UMNS($A1345:G1364), G1344&amp;RIGHT(INDIRECT(ADDRESS(ROW(G1345)-1, 'From Order'!$A1345)), 1), G1344))"),"WRMTCRCDRZCSFVTSBL")</f>
        <v>WRMTCRCDRZCSFVTSBL</v>
      </c>
      <c r="H1345" s="2" t="str">
        <f>IFERROR(__xludf.DUMMYFUNCTION("IF('From Order'!$A1345=COLUMNS($A1345:H1364), LEFT(INDEX(FILTER(H$1:H1344, H$1:H1344&lt;&gt;""""),COUNTA(FILTER(H$1:H1344, H$1:H1344&lt;&gt;""""))), LEN(INDEX(FILTER(H$1:H1344, H$1:H1344&lt;&gt;""""),COUNTA(FILTER(H$1:H1344, H$1:H1344&lt;&gt;""""))))-1), IF('To Order'!$A1345=COL"&amp;"UMNS($A1345:H1364), H1344&amp;RIGHT(INDIRECT(ADDRESS(ROW(H1345)-1, 'From Order'!$A1345)), 1), H1344))"),"HGSTDD")</f>
        <v>HGSTDD</v>
      </c>
      <c r="I1345" s="2" t="str">
        <f>IFERROR(__xludf.DUMMYFUNCTION("IF('From Order'!$A1345=COLUMNS($A1345:I1364), LEFT(INDEX(FILTER(I$1:I1344, I$1:I1344&lt;&gt;""""),COUNTA(FILTER(I$1:I1344, I$1:I1344&lt;&gt;""""))), LEN(INDEX(FILTER(I$1:I1344, I$1:I1344&lt;&gt;""""),COUNTA(FILTER(I$1:I1344, I$1:I1344&lt;&gt;""""))))-1), IF('To Order'!$A1345=COL"&amp;"UMNS($A1345:I1364), I1344&amp;RIGHT(INDIRECT(ADDRESS(ROW(I1345)-1, 'From Order'!$A1345)), 1), I1344))"),"H")</f>
        <v>H</v>
      </c>
    </row>
    <row r="1346">
      <c r="A1346" s="2" t="str">
        <f>IFERROR(__xludf.DUMMYFUNCTION("IF('From Order'!$A1346=COLUMNS($A1346:A1365), LEFT(INDEX(FILTER(A$1:A1345, A$1:A1345&lt;&gt;""""),COUNTA(FILTER(A$1:A1345, A$1:A1345&lt;&gt;""""))), LEN(INDEX(FILTER(A$1:A1345, A$1:A1345&lt;&gt;""""),COUNTA(FILTER(A$1:A1345, A$1:A1345&lt;&gt;""""))))-1), IF('To Order'!$A1346=COL"&amp;"UMNS($A1346:A1365), A1345&amp;RIGHT(INDIRECT(ADDRESS(ROW(A1346)-1, 'From Order'!$A1346)), 1), A1345))"),"JTBFMDJDSBGMTDLPPJQVQW")</f>
        <v>JTBFMDJDSBGMTDLPPJQVQW</v>
      </c>
      <c r="B1346" s="2" t="str">
        <f>IFERROR(__xludf.DUMMYFUNCTION("IF('From Order'!$A1346=COLUMNS($A1346:B1365), LEFT(INDEX(FILTER(B$1:B1345, B$1:B1345&lt;&gt;""""),COUNTA(FILTER(B$1:B1345, B$1:B1345&lt;&gt;""""))), LEN(INDEX(FILTER(B$1:B1345, B$1:B1345&lt;&gt;""""),COUNTA(FILTER(B$1:B1345, B$1:B1345&lt;&gt;""""))))-1), IF('To Order'!$A1346=COL"&amp;"UMNS($A1346:B1365), B1345&amp;RIGHT(INDIRECT(ADDRESS(ROW(B1346)-1, 'From Order'!$A1346)), 1), B1345))"),"BV")</f>
        <v>BV</v>
      </c>
      <c r="C1346" s="2" t="str">
        <f>IFERROR(__xludf.DUMMYFUNCTION("IF('From Order'!$A1346=COLUMNS($A1346:C1365), LEFT(INDEX(FILTER(C$1:C1345, C$1:C1345&lt;&gt;""""),COUNTA(FILTER(C$1:C1345, C$1:C1345&lt;&gt;""""))), LEN(INDEX(FILTER(C$1:C1345, C$1:C1345&lt;&gt;""""),COUNTA(FILTER(C$1:C1345, C$1:C1345&lt;&gt;""""))))-1), IF('To Order'!$A1346=COL"&amp;"UMNS($A1346:C1365), C1345&amp;RIGHT(INDIRECT(ADDRESS(ROW(C1346)-1, 'From Order'!$A1346)), 1), C1345))"),"TRL")</f>
        <v>TRL</v>
      </c>
      <c r="D1346" s="2" t="str">
        <f>IFERROR(__xludf.DUMMYFUNCTION("IF('From Order'!$A1346=COLUMNS($A1346:D1365), LEFT(INDEX(FILTER(D$1:D1345, D$1:D1345&lt;&gt;""""),COUNTA(FILTER(D$1:D1345, D$1:D1345&lt;&gt;""""))), LEN(INDEX(FILTER(D$1:D1345, D$1:D1345&lt;&gt;""""),COUNTA(FILTER(D$1:D1345, D$1:D1345&lt;&gt;""""))))-1), IF('To Order'!$A1346=COL"&amp;"UMNS($A1346:D1365), D1345&amp;RIGHT(INDIRECT(ADDRESS(ROW(D1346)-1, 'From Order'!$A1346)), 1), D1345))"),"P")</f>
        <v>P</v>
      </c>
      <c r="E1346" s="2" t="str">
        <f>IFERROR(__xludf.DUMMYFUNCTION("IF('From Order'!$A1346=COLUMNS($A1346:E1365), LEFT(INDEX(FILTER(E$1:E1345, E$1:E1345&lt;&gt;""""),COUNTA(FILTER(E$1:E1345, E$1:E1345&lt;&gt;""""))), LEN(INDEX(FILTER(E$1:E1345, E$1:E1345&lt;&gt;""""),COUNTA(FILTER(E$1:E1345, E$1:E1345&lt;&gt;""""))))-1), IF('To Order'!$A1346=COL"&amp;"UMNS($A1346:E1365), E1345&amp;RIGHT(INDIRECT(ADDRESS(ROW(E1346)-1, 'From Order'!$A1346)), 1), E1345))"),"Z")</f>
        <v>Z</v>
      </c>
      <c r="F1346" s="2" t="str">
        <f>IFERROR(__xludf.DUMMYFUNCTION("IF('From Order'!$A1346=COLUMNS($A1346:F1365), LEFT(INDEX(FILTER(F$1:F1345, F$1:F1345&lt;&gt;""""),COUNTA(FILTER(F$1:F1345, F$1:F1345&lt;&gt;""""))), LEN(INDEX(FILTER(F$1:F1345, F$1:F1345&lt;&gt;""""),COUNTA(FILTER(F$1:F1345, F$1:F1345&lt;&gt;""""))))-1), IF('To Order'!$A1346=COL"&amp;"UMNS($A1346:F1365), F1345&amp;RIGHT(INDIRECT(ADDRESS(ROW(F1346)-1, 'From Order'!$A1346)), 1), F1345))"),"ZRL")</f>
        <v>ZRL</v>
      </c>
      <c r="G1346" s="2" t="str">
        <f>IFERROR(__xludf.DUMMYFUNCTION("IF('From Order'!$A1346=COLUMNS($A1346:G1365), LEFT(INDEX(FILTER(G$1:G1345, G$1:G1345&lt;&gt;""""),COUNTA(FILTER(G$1:G1345, G$1:G1345&lt;&gt;""""))), LEN(INDEX(FILTER(G$1:G1345, G$1:G1345&lt;&gt;""""),COUNTA(FILTER(G$1:G1345, G$1:G1345&lt;&gt;""""))))-1), IF('To Order'!$A1346=COL"&amp;"UMNS($A1346:G1365), G1345&amp;RIGHT(INDIRECT(ADDRESS(ROW(G1346)-1, 'From Order'!$A1346)), 1), G1345))"),"WRMTCRCDRZCSFVTSB")</f>
        <v>WRMTCRCDRZCSFVTSB</v>
      </c>
      <c r="H1346" s="2" t="str">
        <f>IFERROR(__xludf.DUMMYFUNCTION("IF('From Order'!$A1346=COLUMNS($A1346:H1365), LEFT(INDEX(FILTER(H$1:H1345, H$1:H1345&lt;&gt;""""),COUNTA(FILTER(H$1:H1345, H$1:H1345&lt;&gt;""""))), LEN(INDEX(FILTER(H$1:H1345, H$1:H1345&lt;&gt;""""),COUNTA(FILTER(H$1:H1345, H$1:H1345&lt;&gt;""""))))-1), IF('To Order'!$A1346=COL"&amp;"UMNS($A1346:H1365), H1345&amp;RIGHT(INDIRECT(ADDRESS(ROW(H1346)-1, 'From Order'!$A1346)), 1), H1345))"),"HGSTDD")</f>
        <v>HGSTDD</v>
      </c>
      <c r="I1346" s="2" t="str">
        <f>IFERROR(__xludf.DUMMYFUNCTION("IF('From Order'!$A1346=COLUMNS($A1346:I1365), LEFT(INDEX(FILTER(I$1:I1345, I$1:I1345&lt;&gt;""""),COUNTA(FILTER(I$1:I1345, I$1:I1345&lt;&gt;""""))), LEN(INDEX(FILTER(I$1:I1345, I$1:I1345&lt;&gt;""""),COUNTA(FILTER(I$1:I1345, I$1:I1345&lt;&gt;""""))))-1), IF('To Order'!$A1346=COL"&amp;"UMNS($A1346:I1365), I1345&amp;RIGHT(INDIRECT(ADDRESS(ROW(I1346)-1, 'From Order'!$A1346)), 1), I1345))"),"H")</f>
        <v>H</v>
      </c>
    </row>
    <row r="1347">
      <c r="A1347" s="2" t="str">
        <f>IFERROR(__xludf.DUMMYFUNCTION("IF('From Order'!$A1347=COLUMNS($A1347:A1366), LEFT(INDEX(FILTER(A$1:A1346, A$1:A1346&lt;&gt;""""),COUNTA(FILTER(A$1:A1346, A$1:A1346&lt;&gt;""""))), LEN(INDEX(FILTER(A$1:A1346, A$1:A1346&lt;&gt;""""),COUNTA(FILTER(A$1:A1346, A$1:A1346&lt;&gt;""""))))-1), IF('To Order'!$A1347=COL"&amp;"UMNS($A1347:A1366), A1346&amp;RIGHT(INDIRECT(ADDRESS(ROW(A1347)-1, 'From Order'!$A1347)), 1), A1346))"),"JTBFMDJDSBGMTDLPPJQVQW")</f>
        <v>JTBFMDJDSBGMTDLPPJQVQW</v>
      </c>
      <c r="B1347" s="2" t="str">
        <f>IFERROR(__xludf.DUMMYFUNCTION("IF('From Order'!$A1347=COLUMNS($A1347:B1366), LEFT(INDEX(FILTER(B$1:B1346, B$1:B1346&lt;&gt;""""),COUNTA(FILTER(B$1:B1346, B$1:B1346&lt;&gt;""""))), LEN(INDEX(FILTER(B$1:B1346, B$1:B1346&lt;&gt;""""),COUNTA(FILTER(B$1:B1346, B$1:B1346&lt;&gt;""""))))-1), IF('To Order'!$A1347=COL"&amp;"UMNS($A1347:B1366), B1346&amp;RIGHT(INDIRECT(ADDRESS(ROW(B1347)-1, 'From Order'!$A1347)), 1), B1346))"),"BV")</f>
        <v>BV</v>
      </c>
      <c r="C1347" s="2" t="str">
        <f>IFERROR(__xludf.DUMMYFUNCTION("IF('From Order'!$A1347=COLUMNS($A1347:C1366), LEFT(INDEX(FILTER(C$1:C1346, C$1:C1346&lt;&gt;""""),COUNTA(FILTER(C$1:C1346, C$1:C1346&lt;&gt;""""))), LEN(INDEX(FILTER(C$1:C1346, C$1:C1346&lt;&gt;""""),COUNTA(FILTER(C$1:C1346, C$1:C1346&lt;&gt;""""))))-1), IF('To Order'!$A1347=COL"&amp;"UMNS($A1347:C1366), C1346&amp;RIGHT(INDIRECT(ADDRESS(ROW(C1347)-1, 'From Order'!$A1347)), 1), C1346))"),"TRL")</f>
        <v>TRL</v>
      </c>
      <c r="D1347" s="2" t="str">
        <f>IFERROR(__xludf.DUMMYFUNCTION("IF('From Order'!$A1347=COLUMNS($A1347:D1366), LEFT(INDEX(FILTER(D$1:D1346, D$1:D1346&lt;&gt;""""),COUNTA(FILTER(D$1:D1346, D$1:D1346&lt;&gt;""""))), LEN(INDEX(FILTER(D$1:D1346, D$1:D1346&lt;&gt;""""),COUNTA(FILTER(D$1:D1346, D$1:D1346&lt;&gt;""""))))-1), IF('To Order'!$A1347=COL"&amp;"UMNS($A1347:D1366), D1346&amp;RIGHT(INDIRECT(ADDRESS(ROW(D1347)-1, 'From Order'!$A1347)), 1), D1346))"),"P")</f>
        <v>P</v>
      </c>
      <c r="E1347" s="2" t="str">
        <f>IFERROR(__xludf.DUMMYFUNCTION("IF('From Order'!$A1347=COLUMNS($A1347:E1366), LEFT(INDEX(FILTER(E$1:E1346, E$1:E1346&lt;&gt;""""),COUNTA(FILTER(E$1:E1346, E$1:E1346&lt;&gt;""""))), LEN(INDEX(FILTER(E$1:E1346, E$1:E1346&lt;&gt;""""),COUNTA(FILTER(E$1:E1346, E$1:E1346&lt;&gt;""""))))-1), IF('To Order'!$A1347=COL"&amp;"UMNS($A1347:E1366), E1346&amp;RIGHT(INDIRECT(ADDRESS(ROW(E1347)-1, 'From Order'!$A1347)), 1), E1346))"),"Z")</f>
        <v>Z</v>
      </c>
      <c r="F1347" s="2" t="str">
        <f>IFERROR(__xludf.DUMMYFUNCTION("IF('From Order'!$A1347=COLUMNS($A1347:F1366), LEFT(INDEX(FILTER(F$1:F1346, F$1:F1346&lt;&gt;""""),COUNTA(FILTER(F$1:F1346, F$1:F1346&lt;&gt;""""))), LEN(INDEX(FILTER(F$1:F1346, F$1:F1346&lt;&gt;""""),COUNTA(FILTER(F$1:F1346, F$1:F1346&lt;&gt;""""))))-1), IF('To Order'!$A1347=COL"&amp;"UMNS($A1347:F1366), F1346&amp;RIGHT(INDIRECT(ADDRESS(ROW(F1347)-1, 'From Order'!$A1347)), 1), F1346))"),"ZRLB")</f>
        <v>ZRLB</v>
      </c>
      <c r="G1347" s="2" t="str">
        <f>IFERROR(__xludf.DUMMYFUNCTION("IF('From Order'!$A1347=COLUMNS($A1347:G1366), LEFT(INDEX(FILTER(G$1:G1346, G$1:G1346&lt;&gt;""""),COUNTA(FILTER(G$1:G1346, G$1:G1346&lt;&gt;""""))), LEN(INDEX(FILTER(G$1:G1346, G$1:G1346&lt;&gt;""""),COUNTA(FILTER(G$1:G1346, G$1:G1346&lt;&gt;""""))))-1), IF('To Order'!$A1347=COL"&amp;"UMNS($A1347:G1366), G1346&amp;RIGHT(INDIRECT(ADDRESS(ROW(G1347)-1, 'From Order'!$A1347)), 1), G1346))"),"WRMTCRCDRZCSFVTS")</f>
        <v>WRMTCRCDRZCSFVTS</v>
      </c>
      <c r="H1347" s="2" t="str">
        <f>IFERROR(__xludf.DUMMYFUNCTION("IF('From Order'!$A1347=COLUMNS($A1347:H1366), LEFT(INDEX(FILTER(H$1:H1346, H$1:H1346&lt;&gt;""""),COUNTA(FILTER(H$1:H1346, H$1:H1346&lt;&gt;""""))), LEN(INDEX(FILTER(H$1:H1346, H$1:H1346&lt;&gt;""""),COUNTA(FILTER(H$1:H1346, H$1:H1346&lt;&gt;""""))))-1), IF('To Order'!$A1347=COL"&amp;"UMNS($A1347:H1366), H1346&amp;RIGHT(INDIRECT(ADDRESS(ROW(H1347)-1, 'From Order'!$A1347)), 1), H1346))"),"HGSTDD")</f>
        <v>HGSTDD</v>
      </c>
      <c r="I1347" s="2" t="str">
        <f>IFERROR(__xludf.DUMMYFUNCTION("IF('From Order'!$A1347=COLUMNS($A1347:I1366), LEFT(INDEX(FILTER(I$1:I1346, I$1:I1346&lt;&gt;""""),COUNTA(FILTER(I$1:I1346, I$1:I1346&lt;&gt;""""))), LEN(INDEX(FILTER(I$1:I1346, I$1:I1346&lt;&gt;""""),COUNTA(FILTER(I$1:I1346, I$1:I1346&lt;&gt;""""))))-1), IF('To Order'!$A1347=COL"&amp;"UMNS($A1347:I1366), I1346&amp;RIGHT(INDIRECT(ADDRESS(ROW(I1347)-1, 'From Order'!$A1347)), 1), I1346))"),"H")</f>
        <v>H</v>
      </c>
    </row>
    <row r="1348">
      <c r="A1348" s="2" t="str">
        <f>IFERROR(__xludf.DUMMYFUNCTION("IF('From Order'!$A1348=COLUMNS($A1348:A1367), LEFT(INDEX(FILTER(A$1:A1347, A$1:A1347&lt;&gt;""""),COUNTA(FILTER(A$1:A1347, A$1:A1347&lt;&gt;""""))), LEN(INDEX(FILTER(A$1:A1347, A$1:A1347&lt;&gt;""""),COUNTA(FILTER(A$1:A1347, A$1:A1347&lt;&gt;""""))))-1), IF('To Order'!$A1348=COL"&amp;"UMNS($A1348:A1367), A1347&amp;RIGHT(INDIRECT(ADDRESS(ROW(A1348)-1, 'From Order'!$A1348)), 1), A1347))"),"JTBFMDJDSBGMTDLPPJQVQW")</f>
        <v>JTBFMDJDSBGMTDLPPJQVQW</v>
      </c>
      <c r="B1348" s="2" t="str">
        <f>IFERROR(__xludf.DUMMYFUNCTION("IF('From Order'!$A1348=COLUMNS($A1348:B1367), LEFT(INDEX(FILTER(B$1:B1347, B$1:B1347&lt;&gt;""""),COUNTA(FILTER(B$1:B1347, B$1:B1347&lt;&gt;""""))), LEN(INDEX(FILTER(B$1:B1347, B$1:B1347&lt;&gt;""""),COUNTA(FILTER(B$1:B1347, B$1:B1347&lt;&gt;""""))))-1), IF('To Order'!$A1348=COL"&amp;"UMNS($A1348:B1367), B1347&amp;RIGHT(INDIRECT(ADDRESS(ROW(B1348)-1, 'From Order'!$A1348)), 1), B1347))"),"BV")</f>
        <v>BV</v>
      </c>
      <c r="C1348" s="2" t="str">
        <f>IFERROR(__xludf.DUMMYFUNCTION("IF('From Order'!$A1348=COLUMNS($A1348:C1367), LEFT(INDEX(FILTER(C$1:C1347, C$1:C1347&lt;&gt;""""),COUNTA(FILTER(C$1:C1347, C$1:C1347&lt;&gt;""""))), LEN(INDEX(FILTER(C$1:C1347, C$1:C1347&lt;&gt;""""),COUNTA(FILTER(C$1:C1347, C$1:C1347&lt;&gt;""""))))-1), IF('To Order'!$A1348=COL"&amp;"UMNS($A1348:C1367), C1347&amp;RIGHT(INDIRECT(ADDRESS(ROW(C1348)-1, 'From Order'!$A1348)), 1), C1347))"),"TRL")</f>
        <v>TRL</v>
      </c>
      <c r="D1348" s="2" t="str">
        <f>IFERROR(__xludf.DUMMYFUNCTION("IF('From Order'!$A1348=COLUMNS($A1348:D1367), LEFT(INDEX(FILTER(D$1:D1347, D$1:D1347&lt;&gt;""""),COUNTA(FILTER(D$1:D1347, D$1:D1347&lt;&gt;""""))), LEN(INDEX(FILTER(D$1:D1347, D$1:D1347&lt;&gt;""""),COUNTA(FILTER(D$1:D1347, D$1:D1347&lt;&gt;""""))))-1), IF('To Order'!$A1348=COL"&amp;"UMNS($A1348:D1367), D1347&amp;RIGHT(INDIRECT(ADDRESS(ROW(D1348)-1, 'From Order'!$A1348)), 1), D1347))"),"P")</f>
        <v>P</v>
      </c>
      <c r="E1348" s="2" t="str">
        <f>IFERROR(__xludf.DUMMYFUNCTION("IF('From Order'!$A1348=COLUMNS($A1348:E1367), LEFT(INDEX(FILTER(E$1:E1347, E$1:E1347&lt;&gt;""""),COUNTA(FILTER(E$1:E1347, E$1:E1347&lt;&gt;""""))), LEN(INDEX(FILTER(E$1:E1347, E$1:E1347&lt;&gt;""""),COUNTA(FILTER(E$1:E1347, E$1:E1347&lt;&gt;""""))))-1), IF('To Order'!$A1348=COL"&amp;"UMNS($A1348:E1367), E1347&amp;RIGHT(INDIRECT(ADDRESS(ROW(E1348)-1, 'From Order'!$A1348)), 1), E1347))"),"Z")</f>
        <v>Z</v>
      </c>
      <c r="F1348" s="2" t="str">
        <f>IFERROR(__xludf.DUMMYFUNCTION("IF('From Order'!$A1348=COLUMNS($A1348:F1367), LEFT(INDEX(FILTER(F$1:F1347, F$1:F1347&lt;&gt;""""),COUNTA(FILTER(F$1:F1347, F$1:F1347&lt;&gt;""""))), LEN(INDEX(FILTER(F$1:F1347, F$1:F1347&lt;&gt;""""),COUNTA(FILTER(F$1:F1347, F$1:F1347&lt;&gt;""""))))-1), IF('To Order'!$A1348=COL"&amp;"UMNS($A1348:F1367), F1347&amp;RIGHT(INDIRECT(ADDRESS(ROW(F1348)-1, 'From Order'!$A1348)), 1), F1347))"),"ZRLBS")</f>
        <v>ZRLBS</v>
      </c>
      <c r="G1348" s="2" t="str">
        <f>IFERROR(__xludf.DUMMYFUNCTION("IF('From Order'!$A1348=COLUMNS($A1348:G1367), LEFT(INDEX(FILTER(G$1:G1347, G$1:G1347&lt;&gt;""""),COUNTA(FILTER(G$1:G1347, G$1:G1347&lt;&gt;""""))), LEN(INDEX(FILTER(G$1:G1347, G$1:G1347&lt;&gt;""""),COUNTA(FILTER(G$1:G1347, G$1:G1347&lt;&gt;""""))))-1), IF('To Order'!$A1348=COL"&amp;"UMNS($A1348:G1367), G1347&amp;RIGHT(INDIRECT(ADDRESS(ROW(G1348)-1, 'From Order'!$A1348)), 1), G1347))"),"WRMTCRCDRZCSFVT")</f>
        <v>WRMTCRCDRZCSFVT</v>
      </c>
      <c r="H1348" s="2" t="str">
        <f>IFERROR(__xludf.DUMMYFUNCTION("IF('From Order'!$A1348=COLUMNS($A1348:H1367), LEFT(INDEX(FILTER(H$1:H1347, H$1:H1347&lt;&gt;""""),COUNTA(FILTER(H$1:H1347, H$1:H1347&lt;&gt;""""))), LEN(INDEX(FILTER(H$1:H1347, H$1:H1347&lt;&gt;""""),COUNTA(FILTER(H$1:H1347, H$1:H1347&lt;&gt;""""))))-1), IF('To Order'!$A1348=COL"&amp;"UMNS($A1348:H1367), H1347&amp;RIGHT(INDIRECT(ADDRESS(ROW(H1348)-1, 'From Order'!$A1348)), 1), H1347))"),"HGSTDD")</f>
        <v>HGSTDD</v>
      </c>
      <c r="I1348" s="2" t="str">
        <f>IFERROR(__xludf.DUMMYFUNCTION("IF('From Order'!$A1348=COLUMNS($A1348:I1367), LEFT(INDEX(FILTER(I$1:I1347, I$1:I1347&lt;&gt;""""),COUNTA(FILTER(I$1:I1347, I$1:I1347&lt;&gt;""""))), LEN(INDEX(FILTER(I$1:I1347, I$1:I1347&lt;&gt;""""),COUNTA(FILTER(I$1:I1347, I$1:I1347&lt;&gt;""""))))-1), IF('To Order'!$A1348=COL"&amp;"UMNS($A1348:I1367), I1347&amp;RIGHT(INDIRECT(ADDRESS(ROW(I1348)-1, 'From Order'!$A1348)), 1), I1347))"),"H")</f>
        <v>H</v>
      </c>
    </row>
    <row r="1349">
      <c r="A1349" s="2" t="str">
        <f>IFERROR(__xludf.DUMMYFUNCTION("IF('From Order'!$A1349=COLUMNS($A1349:A1368), LEFT(INDEX(FILTER(A$1:A1348, A$1:A1348&lt;&gt;""""),COUNTA(FILTER(A$1:A1348, A$1:A1348&lt;&gt;""""))), LEN(INDEX(FILTER(A$1:A1348, A$1:A1348&lt;&gt;""""),COUNTA(FILTER(A$1:A1348, A$1:A1348&lt;&gt;""""))))-1), IF('To Order'!$A1349=COL"&amp;"UMNS($A1349:A1368), A1348&amp;RIGHT(INDIRECT(ADDRESS(ROW(A1349)-1, 'From Order'!$A1349)), 1), A1348))"),"JTBFMDJDSBGMTDLPPJQVQW")</f>
        <v>JTBFMDJDSBGMTDLPPJQVQW</v>
      </c>
      <c r="B1349" s="2" t="str">
        <f>IFERROR(__xludf.DUMMYFUNCTION("IF('From Order'!$A1349=COLUMNS($A1349:B1368), LEFT(INDEX(FILTER(B$1:B1348, B$1:B1348&lt;&gt;""""),COUNTA(FILTER(B$1:B1348, B$1:B1348&lt;&gt;""""))), LEN(INDEX(FILTER(B$1:B1348, B$1:B1348&lt;&gt;""""),COUNTA(FILTER(B$1:B1348, B$1:B1348&lt;&gt;""""))))-1), IF('To Order'!$A1349=COL"&amp;"UMNS($A1349:B1368), B1348&amp;RIGHT(INDIRECT(ADDRESS(ROW(B1349)-1, 'From Order'!$A1349)), 1), B1348))"),"BV")</f>
        <v>BV</v>
      </c>
      <c r="C1349" s="2" t="str">
        <f>IFERROR(__xludf.DUMMYFUNCTION("IF('From Order'!$A1349=COLUMNS($A1349:C1368), LEFT(INDEX(FILTER(C$1:C1348, C$1:C1348&lt;&gt;""""),COUNTA(FILTER(C$1:C1348, C$1:C1348&lt;&gt;""""))), LEN(INDEX(FILTER(C$1:C1348, C$1:C1348&lt;&gt;""""),COUNTA(FILTER(C$1:C1348, C$1:C1348&lt;&gt;""""))))-1), IF('To Order'!$A1349=COL"&amp;"UMNS($A1349:C1368), C1348&amp;RIGHT(INDIRECT(ADDRESS(ROW(C1349)-1, 'From Order'!$A1349)), 1), C1348))"),"TRL")</f>
        <v>TRL</v>
      </c>
      <c r="D1349" s="2" t="str">
        <f>IFERROR(__xludf.DUMMYFUNCTION("IF('From Order'!$A1349=COLUMNS($A1349:D1368), LEFT(INDEX(FILTER(D$1:D1348, D$1:D1348&lt;&gt;""""),COUNTA(FILTER(D$1:D1348, D$1:D1348&lt;&gt;""""))), LEN(INDEX(FILTER(D$1:D1348, D$1:D1348&lt;&gt;""""),COUNTA(FILTER(D$1:D1348, D$1:D1348&lt;&gt;""""))))-1), IF('To Order'!$A1349=COL"&amp;"UMNS($A1349:D1368), D1348&amp;RIGHT(INDIRECT(ADDRESS(ROW(D1349)-1, 'From Order'!$A1349)), 1), D1348))"),"P")</f>
        <v>P</v>
      </c>
      <c r="E1349" s="2" t="str">
        <f>IFERROR(__xludf.DUMMYFUNCTION("IF('From Order'!$A1349=COLUMNS($A1349:E1368), LEFT(INDEX(FILTER(E$1:E1348, E$1:E1348&lt;&gt;""""),COUNTA(FILTER(E$1:E1348, E$1:E1348&lt;&gt;""""))), LEN(INDEX(FILTER(E$1:E1348, E$1:E1348&lt;&gt;""""),COUNTA(FILTER(E$1:E1348, E$1:E1348&lt;&gt;""""))))-1), IF('To Order'!$A1349=COL"&amp;"UMNS($A1349:E1368), E1348&amp;RIGHT(INDIRECT(ADDRESS(ROW(E1349)-1, 'From Order'!$A1349)), 1), E1348))"),"Z")</f>
        <v>Z</v>
      </c>
      <c r="F1349" s="2" t="str">
        <f>IFERROR(__xludf.DUMMYFUNCTION("IF('From Order'!$A1349=COLUMNS($A1349:F1368), LEFT(INDEX(FILTER(F$1:F1348, F$1:F1348&lt;&gt;""""),COUNTA(FILTER(F$1:F1348, F$1:F1348&lt;&gt;""""))), LEN(INDEX(FILTER(F$1:F1348, F$1:F1348&lt;&gt;""""),COUNTA(FILTER(F$1:F1348, F$1:F1348&lt;&gt;""""))))-1), IF('To Order'!$A1349=COL"&amp;"UMNS($A1349:F1368), F1348&amp;RIGHT(INDIRECT(ADDRESS(ROW(F1349)-1, 'From Order'!$A1349)), 1), F1348))"),"ZRLBST")</f>
        <v>ZRLBST</v>
      </c>
      <c r="G1349" s="2" t="str">
        <f>IFERROR(__xludf.DUMMYFUNCTION("IF('From Order'!$A1349=COLUMNS($A1349:G1368), LEFT(INDEX(FILTER(G$1:G1348, G$1:G1348&lt;&gt;""""),COUNTA(FILTER(G$1:G1348, G$1:G1348&lt;&gt;""""))), LEN(INDEX(FILTER(G$1:G1348, G$1:G1348&lt;&gt;""""),COUNTA(FILTER(G$1:G1348, G$1:G1348&lt;&gt;""""))))-1), IF('To Order'!$A1349=COL"&amp;"UMNS($A1349:G1368), G1348&amp;RIGHT(INDIRECT(ADDRESS(ROW(G1349)-1, 'From Order'!$A1349)), 1), G1348))"),"WRMTCRCDRZCSFV")</f>
        <v>WRMTCRCDRZCSFV</v>
      </c>
      <c r="H1349" s="2" t="str">
        <f>IFERROR(__xludf.DUMMYFUNCTION("IF('From Order'!$A1349=COLUMNS($A1349:H1368), LEFT(INDEX(FILTER(H$1:H1348, H$1:H1348&lt;&gt;""""),COUNTA(FILTER(H$1:H1348, H$1:H1348&lt;&gt;""""))), LEN(INDEX(FILTER(H$1:H1348, H$1:H1348&lt;&gt;""""),COUNTA(FILTER(H$1:H1348, H$1:H1348&lt;&gt;""""))))-1), IF('To Order'!$A1349=COL"&amp;"UMNS($A1349:H1368), H1348&amp;RIGHT(INDIRECT(ADDRESS(ROW(H1349)-1, 'From Order'!$A1349)), 1), H1348))"),"HGSTDD")</f>
        <v>HGSTDD</v>
      </c>
      <c r="I1349" s="2" t="str">
        <f>IFERROR(__xludf.DUMMYFUNCTION("IF('From Order'!$A1349=COLUMNS($A1349:I1368), LEFT(INDEX(FILTER(I$1:I1348, I$1:I1348&lt;&gt;""""),COUNTA(FILTER(I$1:I1348, I$1:I1348&lt;&gt;""""))), LEN(INDEX(FILTER(I$1:I1348, I$1:I1348&lt;&gt;""""),COUNTA(FILTER(I$1:I1348, I$1:I1348&lt;&gt;""""))))-1), IF('To Order'!$A1349=COL"&amp;"UMNS($A1349:I1368), I1348&amp;RIGHT(INDIRECT(ADDRESS(ROW(I1349)-1, 'From Order'!$A1349)), 1), I1348))"),"H")</f>
        <v>H</v>
      </c>
    </row>
    <row r="1350">
      <c r="A1350" s="2" t="str">
        <f>IFERROR(__xludf.DUMMYFUNCTION("IF('From Order'!$A1350=COLUMNS($A1350:A1369), LEFT(INDEX(FILTER(A$1:A1349, A$1:A1349&lt;&gt;""""),COUNTA(FILTER(A$1:A1349, A$1:A1349&lt;&gt;""""))), LEN(INDEX(FILTER(A$1:A1349, A$1:A1349&lt;&gt;""""),COUNTA(FILTER(A$1:A1349, A$1:A1349&lt;&gt;""""))))-1), IF('To Order'!$A1350=COL"&amp;"UMNS($A1350:A1369), A1349&amp;RIGHT(INDIRECT(ADDRESS(ROW(A1350)-1, 'From Order'!$A1350)), 1), A1349))"),"JTBFMDJDSBGMTDLPPJQVQW")</f>
        <v>JTBFMDJDSBGMTDLPPJQVQW</v>
      </c>
      <c r="B1350" s="2" t="str">
        <f>IFERROR(__xludf.DUMMYFUNCTION("IF('From Order'!$A1350=COLUMNS($A1350:B1369), LEFT(INDEX(FILTER(B$1:B1349, B$1:B1349&lt;&gt;""""),COUNTA(FILTER(B$1:B1349, B$1:B1349&lt;&gt;""""))), LEN(INDEX(FILTER(B$1:B1349, B$1:B1349&lt;&gt;""""),COUNTA(FILTER(B$1:B1349, B$1:B1349&lt;&gt;""""))))-1), IF('To Order'!$A1350=COL"&amp;"UMNS($A1350:B1369), B1349&amp;RIGHT(INDIRECT(ADDRESS(ROW(B1350)-1, 'From Order'!$A1350)), 1), B1349))"),"BV")</f>
        <v>BV</v>
      </c>
      <c r="C1350" s="2" t="str">
        <f>IFERROR(__xludf.DUMMYFUNCTION("IF('From Order'!$A1350=COLUMNS($A1350:C1369), LEFT(INDEX(FILTER(C$1:C1349, C$1:C1349&lt;&gt;""""),COUNTA(FILTER(C$1:C1349, C$1:C1349&lt;&gt;""""))), LEN(INDEX(FILTER(C$1:C1349, C$1:C1349&lt;&gt;""""),COUNTA(FILTER(C$1:C1349, C$1:C1349&lt;&gt;""""))))-1), IF('To Order'!$A1350=COL"&amp;"UMNS($A1350:C1369), C1349&amp;RIGHT(INDIRECT(ADDRESS(ROW(C1350)-1, 'From Order'!$A1350)), 1), C1349))"),"TRL")</f>
        <v>TRL</v>
      </c>
      <c r="D1350" s="2" t="str">
        <f>IFERROR(__xludf.DUMMYFUNCTION("IF('From Order'!$A1350=COLUMNS($A1350:D1369), LEFT(INDEX(FILTER(D$1:D1349, D$1:D1349&lt;&gt;""""),COUNTA(FILTER(D$1:D1349, D$1:D1349&lt;&gt;""""))), LEN(INDEX(FILTER(D$1:D1349, D$1:D1349&lt;&gt;""""),COUNTA(FILTER(D$1:D1349, D$1:D1349&lt;&gt;""""))))-1), IF('To Order'!$A1350=COL"&amp;"UMNS($A1350:D1369), D1349&amp;RIGHT(INDIRECT(ADDRESS(ROW(D1350)-1, 'From Order'!$A1350)), 1), D1349))"),"P")</f>
        <v>P</v>
      </c>
      <c r="E1350" s="2" t="str">
        <f>IFERROR(__xludf.DUMMYFUNCTION("IF('From Order'!$A1350=COLUMNS($A1350:E1369), LEFT(INDEX(FILTER(E$1:E1349, E$1:E1349&lt;&gt;""""),COUNTA(FILTER(E$1:E1349, E$1:E1349&lt;&gt;""""))), LEN(INDEX(FILTER(E$1:E1349, E$1:E1349&lt;&gt;""""),COUNTA(FILTER(E$1:E1349, E$1:E1349&lt;&gt;""""))))-1), IF('To Order'!$A1350=COL"&amp;"UMNS($A1350:E1369), E1349&amp;RIGHT(INDIRECT(ADDRESS(ROW(E1350)-1, 'From Order'!$A1350)), 1), E1349))"),"Z")</f>
        <v>Z</v>
      </c>
      <c r="F1350" s="2" t="str">
        <f>IFERROR(__xludf.DUMMYFUNCTION("IF('From Order'!$A1350=COLUMNS($A1350:F1369), LEFT(INDEX(FILTER(F$1:F1349, F$1:F1349&lt;&gt;""""),COUNTA(FILTER(F$1:F1349, F$1:F1349&lt;&gt;""""))), LEN(INDEX(FILTER(F$1:F1349, F$1:F1349&lt;&gt;""""),COUNTA(FILTER(F$1:F1349, F$1:F1349&lt;&gt;""""))))-1), IF('To Order'!$A1350=COL"&amp;"UMNS($A1350:F1369), F1349&amp;RIGHT(INDIRECT(ADDRESS(ROW(F1350)-1, 'From Order'!$A1350)), 1), F1349))"),"ZRLBSTV")</f>
        <v>ZRLBSTV</v>
      </c>
      <c r="G1350" s="2" t="str">
        <f>IFERROR(__xludf.DUMMYFUNCTION("IF('From Order'!$A1350=COLUMNS($A1350:G1369), LEFT(INDEX(FILTER(G$1:G1349, G$1:G1349&lt;&gt;""""),COUNTA(FILTER(G$1:G1349, G$1:G1349&lt;&gt;""""))), LEN(INDEX(FILTER(G$1:G1349, G$1:G1349&lt;&gt;""""),COUNTA(FILTER(G$1:G1349, G$1:G1349&lt;&gt;""""))))-1), IF('To Order'!$A1350=COL"&amp;"UMNS($A1350:G1369), G1349&amp;RIGHT(INDIRECT(ADDRESS(ROW(G1350)-1, 'From Order'!$A1350)), 1), G1349))"),"WRMTCRCDRZCSF")</f>
        <v>WRMTCRCDRZCSF</v>
      </c>
      <c r="H1350" s="2" t="str">
        <f>IFERROR(__xludf.DUMMYFUNCTION("IF('From Order'!$A1350=COLUMNS($A1350:H1369), LEFT(INDEX(FILTER(H$1:H1349, H$1:H1349&lt;&gt;""""),COUNTA(FILTER(H$1:H1349, H$1:H1349&lt;&gt;""""))), LEN(INDEX(FILTER(H$1:H1349, H$1:H1349&lt;&gt;""""),COUNTA(FILTER(H$1:H1349, H$1:H1349&lt;&gt;""""))))-1), IF('To Order'!$A1350=COL"&amp;"UMNS($A1350:H1369), H1349&amp;RIGHT(INDIRECT(ADDRESS(ROW(H1350)-1, 'From Order'!$A1350)), 1), H1349))"),"HGSTDD")</f>
        <v>HGSTDD</v>
      </c>
      <c r="I1350" s="2" t="str">
        <f>IFERROR(__xludf.DUMMYFUNCTION("IF('From Order'!$A1350=COLUMNS($A1350:I1369), LEFT(INDEX(FILTER(I$1:I1349, I$1:I1349&lt;&gt;""""),COUNTA(FILTER(I$1:I1349, I$1:I1349&lt;&gt;""""))), LEN(INDEX(FILTER(I$1:I1349, I$1:I1349&lt;&gt;""""),COUNTA(FILTER(I$1:I1349, I$1:I1349&lt;&gt;""""))))-1), IF('To Order'!$A1350=COL"&amp;"UMNS($A1350:I1369), I1349&amp;RIGHT(INDIRECT(ADDRESS(ROW(I1350)-1, 'From Order'!$A1350)), 1), I1349))"),"H")</f>
        <v>H</v>
      </c>
    </row>
    <row r="1351">
      <c r="A1351" s="2" t="str">
        <f>IFERROR(__xludf.DUMMYFUNCTION("IF('From Order'!$A1351=COLUMNS($A1351:A1370), LEFT(INDEX(FILTER(A$1:A1350, A$1:A1350&lt;&gt;""""),COUNTA(FILTER(A$1:A1350, A$1:A1350&lt;&gt;""""))), LEN(INDEX(FILTER(A$1:A1350, A$1:A1350&lt;&gt;""""),COUNTA(FILTER(A$1:A1350, A$1:A1350&lt;&gt;""""))))-1), IF('To Order'!$A1351=COL"&amp;"UMNS($A1351:A1370), A1350&amp;RIGHT(INDIRECT(ADDRESS(ROW(A1351)-1, 'From Order'!$A1351)), 1), A1350))"),"JTBFMDJDSBGMTDLPPJQVQW")</f>
        <v>JTBFMDJDSBGMTDLPPJQVQW</v>
      </c>
      <c r="B1351" s="2" t="str">
        <f>IFERROR(__xludf.DUMMYFUNCTION("IF('From Order'!$A1351=COLUMNS($A1351:B1370), LEFT(INDEX(FILTER(B$1:B1350, B$1:B1350&lt;&gt;""""),COUNTA(FILTER(B$1:B1350, B$1:B1350&lt;&gt;""""))), LEN(INDEX(FILTER(B$1:B1350, B$1:B1350&lt;&gt;""""),COUNTA(FILTER(B$1:B1350, B$1:B1350&lt;&gt;""""))))-1), IF('To Order'!$A1351=COL"&amp;"UMNS($A1351:B1370), B1350&amp;RIGHT(INDIRECT(ADDRESS(ROW(B1351)-1, 'From Order'!$A1351)), 1), B1350))"),"BV")</f>
        <v>BV</v>
      </c>
      <c r="C1351" s="2" t="str">
        <f>IFERROR(__xludf.DUMMYFUNCTION("IF('From Order'!$A1351=COLUMNS($A1351:C1370), LEFT(INDEX(FILTER(C$1:C1350, C$1:C1350&lt;&gt;""""),COUNTA(FILTER(C$1:C1350, C$1:C1350&lt;&gt;""""))), LEN(INDEX(FILTER(C$1:C1350, C$1:C1350&lt;&gt;""""),COUNTA(FILTER(C$1:C1350, C$1:C1350&lt;&gt;""""))))-1), IF('To Order'!$A1351=COL"&amp;"UMNS($A1351:C1370), C1350&amp;RIGHT(INDIRECT(ADDRESS(ROW(C1351)-1, 'From Order'!$A1351)), 1), C1350))"),"TRL")</f>
        <v>TRL</v>
      </c>
      <c r="D1351" s="2" t="str">
        <f>IFERROR(__xludf.DUMMYFUNCTION("IF('From Order'!$A1351=COLUMNS($A1351:D1370), LEFT(INDEX(FILTER(D$1:D1350, D$1:D1350&lt;&gt;""""),COUNTA(FILTER(D$1:D1350, D$1:D1350&lt;&gt;""""))), LEN(INDEX(FILTER(D$1:D1350, D$1:D1350&lt;&gt;""""),COUNTA(FILTER(D$1:D1350, D$1:D1350&lt;&gt;""""))))-1), IF('To Order'!$A1351=COL"&amp;"UMNS($A1351:D1370), D1350&amp;RIGHT(INDIRECT(ADDRESS(ROW(D1351)-1, 'From Order'!$A1351)), 1), D1350))"),"P")</f>
        <v>P</v>
      </c>
      <c r="E1351" s="2" t="str">
        <f>IFERROR(__xludf.DUMMYFUNCTION("IF('From Order'!$A1351=COLUMNS($A1351:E1370), LEFT(INDEX(FILTER(E$1:E1350, E$1:E1350&lt;&gt;""""),COUNTA(FILTER(E$1:E1350, E$1:E1350&lt;&gt;""""))), LEN(INDEX(FILTER(E$1:E1350, E$1:E1350&lt;&gt;""""),COUNTA(FILTER(E$1:E1350, E$1:E1350&lt;&gt;""""))))-1), IF('To Order'!$A1351=COL"&amp;"UMNS($A1351:E1370), E1350&amp;RIGHT(INDIRECT(ADDRESS(ROW(E1351)-1, 'From Order'!$A1351)), 1), E1350))"),"Z")</f>
        <v>Z</v>
      </c>
      <c r="F1351" s="2" t="str">
        <f>IFERROR(__xludf.DUMMYFUNCTION("IF('From Order'!$A1351=COLUMNS($A1351:F1370), LEFT(INDEX(FILTER(F$1:F1350, F$1:F1350&lt;&gt;""""),COUNTA(FILTER(F$1:F1350, F$1:F1350&lt;&gt;""""))), LEN(INDEX(FILTER(F$1:F1350, F$1:F1350&lt;&gt;""""),COUNTA(FILTER(F$1:F1350, F$1:F1350&lt;&gt;""""))))-1), IF('To Order'!$A1351=COL"&amp;"UMNS($A1351:F1370), F1350&amp;RIGHT(INDIRECT(ADDRESS(ROW(F1351)-1, 'From Order'!$A1351)), 1), F1350))"),"ZRLBSTVF")</f>
        <v>ZRLBSTVF</v>
      </c>
      <c r="G1351" s="2" t="str">
        <f>IFERROR(__xludf.DUMMYFUNCTION("IF('From Order'!$A1351=COLUMNS($A1351:G1370), LEFT(INDEX(FILTER(G$1:G1350, G$1:G1350&lt;&gt;""""),COUNTA(FILTER(G$1:G1350, G$1:G1350&lt;&gt;""""))), LEN(INDEX(FILTER(G$1:G1350, G$1:G1350&lt;&gt;""""),COUNTA(FILTER(G$1:G1350, G$1:G1350&lt;&gt;""""))))-1), IF('To Order'!$A1351=COL"&amp;"UMNS($A1351:G1370), G1350&amp;RIGHT(INDIRECT(ADDRESS(ROW(G1351)-1, 'From Order'!$A1351)), 1), G1350))"),"WRMTCRCDRZCS")</f>
        <v>WRMTCRCDRZCS</v>
      </c>
      <c r="H1351" s="2" t="str">
        <f>IFERROR(__xludf.DUMMYFUNCTION("IF('From Order'!$A1351=COLUMNS($A1351:H1370), LEFT(INDEX(FILTER(H$1:H1350, H$1:H1350&lt;&gt;""""),COUNTA(FILTER(H$1:H1350, H$1:H1350&lt;&gt;""""))), LEN(INDEX(FILTER(H$1:H1350, H$1:H1350&lt;&gt;""""),COUNTA(FILTER(H$1:H1350, H$1:H1350&lt;&gt;""""))))-1), IF('To Order'!$A1351=COL"&amp;"UMNS($A1351:H1370), H1350&amp;RIGHT(INDIRECT(ADDRESS(ROW(H1351)-1, 'From Order'!$A1351)), 1), H1350))"),"HGSTDD")</f>
        <v>HGSTDD</v>
      </c>
      <c r="I1351" s="2" t="str">
        <f>IFERROR(__xludf.DUMMYFUNCTION("IF('From Order'!$A1351=COLUMNS($A1351:I1370), LEFT(INDEX(FILTER(I$1:I1350, I$1:I1350&lt;&gt;""""),COUNTA(FILTER(I$1:I1350, I$1:I1350&lt;&gt;""""))), LEN(INDEX(FILTER(I$1:I1350, I$1:I1350&lt;&gt;""""),COUNTA(FILTER(I$1:I1350, I$1:I1350&lt;&gt;""""))))-1), IF('To Order'!$A1351=COL"&amp;"UMNS($A1351:I1370), I1350&amp;RIGHT(INDIRECT(ADDRESS(ROW(I1351)-1, 'From Order'!$A1351)), 1), I1350))"),"H")</f>
        <v>H</v>
      </c>
    </row>
    <row r="1352">
      <c r="A1352" s="2" t="str">
        <f>IFERROR(__xludf.DUMMYFUNCTION("IF('From Order'!$A1352=COLUMNS($A1352:A1371), LEFT(INDEX(FILTER(A$1:A1351, A$1:A1351&lt;&gt;""""),COUNTA(FILTER(A$1:A1351, A$1:A1351&lt;&gt;""""))), LEN(INDEX(FILTER(A$1:A1351, A$1:A1351&lt;&gt;""""),COUNTA(FILTER(A$1:A1351, A$1:A1351&lt;&gt;""""))))-1), IF('To Order'!$A1352=COL"&amp;"UMNS($A1352:A1371), A1351&amp;RIGHT(INDIRECT(ADDRESS(ROW(A1352)-1, 'From Order'!$A1352)), 1), A1351))"),"JTBFMDJDSBGMTDLPPJQVQW")</f>
        <v>JTBFMDJDSBGMTDLPPJQVQW</v>
      </c>
      <c r="B1352" s="2" t="str">
        <f>IFERROR(__xludf.DUMMYFUNCTION("IF('From Order'!$A1352=COLUMNS($A1352:B1371), LEFT(INDEX(FILTER(B$1:B1351, B$1:B1351&lt;&gt;""""),COUNTA(FILTER(B$1:B1351, B$1:B1351&lt;&gt;""""))), LEN(INDEX(FILTER(B$1:B1351, B$1:B1351&lt;&gt;""""),COUNTA(FILTER(B$1:B1351, B$1:B1351&lt;&gt;""""))))-1), IF('To Order'!$A1352=COL"&amp;"UMNS($A1352:B1371), B1351&amp;RIGHT(INDIRECT(ADDRESS(ROW(B1352)-1, 'From Order'!$A1352)), 1), B1351))"),"BV")</f>
        <v>BV</v>
      </c>
      <c r="C1352" s="2" t="str">
        <f>IFERROR(__xludf.DUMMYFUNCTION("IF('From Order'!$A1352=COLUMNS($A1352:C1371), LEFT(INDEX(FILTER(C$1:C1351, C$1:C1351&lt;&gt;""""),COUNTA(FILTER(C$1:C1351, C$1:C1351&lt;&gt;""""))), LEN(INDEX(FILTER(C$1:C1351, C$1:C1351&lt;&gt;""""),COUNTA(FILTER(C$1:C1351, C$1:C1351&lt;&gt;""""))))-1), IF('To Order'!$A1352=COL"&amp;"UMNS($A1352:C1371), C1351&amp;RIGHT(INDIRECT(ADDRESS(ROW(C1352)-1, 'From Order'!$A1352)), 1), C1351))"),"TRL")</f>
        <v>TRL</v>
      </c>
      <c r="D1352" s="2" t="str">
        <f>IFERROR(__xludf.DUMMYFUNCTION("IF('From Order'!$A1352=COLUMNS($A1352:D1371), LEFT(INDEX(FILTER(D$1:D1351, D$1:D1351&lt;&gt;""""),COUNTA(FILTER(D$1:D1351, D$1:D1351&lt;&gt;""""))), LEN(INDEX(FILTER(D$1:D1351, D$1:D1351&lt;&gt;""""),COUNTA(FILTER(D$1:D1351, D$1:D1351&lt;&gt;""""))))-1), IF('To Order'!$A1352=COL"&amp;"UMNS($A1352:D1371), D1351&amp;RIGHT(INDIRECT(ADDRESS(ROW(D1352)-1, 'From Order'!$A1352)), 1), D1351))"),"P")</f>
        <v>P</v>
      </c>
      <c r="E1352" s="2" t="str">
        <f>IFERROR(__xludf.DUMMYFUNCTION("IF('From Order'!$A1352=COLUMNS($A1352:E1371), LEFT(INDEX(FILTER(E$1:E1351, E$1:E1351&lt;&gt;""""),COUNTA(FILTER(E$1:E1351, E$1:E1351&lt;&gt;""""))), LEN(INDEX(FILTER(E$1:E1351, E$1:E1351&lt;&gt;""""),COUNTA(FILTER(E$1:E1351, E$1:E1351&lt;&gt;""""))))-1), IF('To Order'!$A1352=COL"&amp;"UMNS($A1352:E1371), E1351&amp;RIGHT(INDIRECT(ADDRESS(ROW(E1352)-1, 'From Order'!$A1352)), 1), E1351))"),"Z")</f>
        <v>Z</v>
      </c>
      <c r="F1352" s="2" t="str">
        <f>IFERROR(__xludf.DUMMYFUNCTION("IF('From Order'!$A1352=COLUMNS($A1352:F1371), LEFT(INDEX(FILTER(F$1:F1351, F$1:F1351&lt;&gt;""""),COUNTA(FILTER(F$1:F1351, F$1:F1351&lt;&gt;""""))), LEN(INDEX(FILTER(F$1:F1351, F$1:F1351&lt;&gt;""""),COUNTA(FILTER(F$1:F1351, F$1:F1351&lt;&gt;""""))))-1), IF('To Order'!$A1352=COL"&amp;"UMNS($A1352:F1371), F1351&amp;RIGHT(INDIRECT(ADDRESS(ROW(F1352)-1, 'From Order'!$A1352)), 1), F1351))"),"ZRLBSTVFS")</f>
        <v>ZRLBSTVFS</v>
      </c>
      <c r="G1352" s="2" t="str">
        <f>IFERROR(__xludf.DUMMYFUNCTION("IF('From Order'!$A1352=COLUMNS($A1352:G1371), LEFT(INDEX(FILTER(G$1:G1351, G$1:G1351&lt;&gt;""""),COUNTA(FILTER(G$1:G1351, G$1:G1351&lt;&gt;""""))), LEN(INDEX(FILTER(G$1:G1351, G$1:G1351&lt;&gt;""""),COUNTA(FILTER(G$1:G1351, G$1:G1351&lt;&gt;""""))))-1), IF('To Order'!$A1352=COL"&amp;"UMNS($A1352:G1371), G1351&amp;RIGHT(INDIRECT(ADDRESS(ROW(G1352)-1, 'From Order'!$A1352)), 1), G1351))"),"WRMTCRCDRZC")</f>
        <v>WRMTCRCDRZC</v>
      </c>
      <c r="H1352" s="2" t="str">
        <f>IFERROR(__xludf.DUMMYFUNCTION("IF('From Order'!$A1352=COLUMNS($A1352:H1371), LEFT(INDEX(FILTER(H$1:H1351, H$1:H1351&lt;&gt;""""),COUNTA(FILTER(H$1:H1351, H$1:H1351&lt;&gt;""""))), LEN(INDEX(FILTER(H$1:H1351, H$1:H1351&lt;&gt;""""),COUNTA(FILTER(H$1:H1351, H$1:H1351&lt;&gt;""""))))-1), IF('To Order'!$A1352=COL"&amp;"UMNS($A1352:H1371), H1351&amp;RIGHT(INDIRECT(ADDRESS(ROW(H1352)-1, 'From Order'!$A1352)), 1), H1351))"),"HGSTDD")</f>
        <v>HGSTDD</v>
      </c>
      <c r="I1352" s="2" t="str">
        <f>IFERROR(__xludf.DUMMYFUNCTION("IF('From Order'!$A1352=COLUMNS($A1352:I1371), LEFT(INDEX(FILTER(I$1:I1351, I$1:I1351&lt;&gt;""""),COUNTA(FILTER(I$1:I1351, I$1:I1351&lt;&gt;""""))), LEN(INDEX(FILTER(I$1:I1351, I$1:I1351&lt;&gt;""""),COUNTA(FILTER(I$1:I1351, I$1:I1351&lt;&gt;""""))))-1), IF('To Order'!$A1352=COL"&amp;"UMNS($A1352:I1371), I1351&amp;RIGHT(INDIRECT(ADDRESS(ROW(I1352)-1, 'From Order'!$A1352)), 1), I1351))"),"H")</f>
        <v>H</v>
      </c>
    </row>
    <row r="1353">
      <c r="A1353" s="2" t="str">
        <f>IFERROR(__xludf.DUMMYFUNCTION("IF('From Order'!$A1353=COLUMNS($A1353:A1372), LEFT(INDEX(FILTER(A$1:A1352, A$1:A1352&lt;&gt;""""),COUNTA(FILTER(A$1:A1352, A$1:A1352&lt;&gt;""""))), LEN(INDEX(FILTER(A$1:A1352, A$1:A1352&lt;&gt;""""),COUNTA(FILTER(A$1:A1352, A$1:A1352&lt;&gt;""""))))-1), IF('To Order'!$A1353=COL"&amp;"UMNS($A1353:A1372), A1352&amp;RIGHT(INDIRECT(ADDRESS(ROW(A1353)-1, 'From Order'!$A1353)), 1), A1352))"),"JTBFMDJDSBGMTDLPPJQVQW")</f>
        <v>JTBFMDJDSBGMTDLPPJQVQW</v>
      </c>
      <c r="B1353" s="2" t="str">
        <f>IFERROR(__xludf.DUMMYFUNCTION("IF('From Order'!$A1353=COLUMNS($A1353:B1372), LEFT(INDEX(FILTER(B$1:B1352, B$1:B1352&lt;&gt;""""),COUNTA(FILTER(B$1:B1352, B$1:B1352&lt;&gt;""""))), LEN(INDEX(FILTER(B$1:B1352, B$1:B1352&lt;&gt;""""),COUNTA(FILTER(B$1:B1352, B$1:B1352&lt;&gt;""""))))-1), IF('To Order'!$A1353=COL"&amp;"UMNS($A1353:B1372), B1352&amp;RIGHT(INDIRECT(ADDRESS(ROW(B1353)-1, 'From Order'!$A1353)), 1), B1352))"),"BV")</f>
        <v>BV</v>
      </c>
      <c r="C1353" s="2" t="str">
        <f>IFERROR(__xludf.DUMMYFUNCTION("IF('From Order'!$A1353=COLUMNS($A1353:C1372), LEFT(INDEX(FILTER(C$1:C1352, C$1:C1352&lt;&gt;""""),COUNTA(FILTER(C$1:C1352, C$1:C1352&lt;&gt;""""))), LEN(INDEX(FILTER(C$1:C1352, C$1:C1352&lt;&gt;""""),COUNTA(FILTER(C$1:C1352, C$1:C1352&lt;&gt;""""))))-1), IF('To Order'!$A1353=COL"&amp;"UMNS($A1353:C1372), C1352&amp;RIGHT(INDIRECT(ADDRESS(ROW(C1353)-1, 'From Order'!$A1353)), 1), C1352))"),"TRL")</f>
        <v>TRL</v>
      </c>
      <c r="D1353" s="2" t="str">
        <f>IFERROR(__xludf.DUMMYFUNCTION("IF('From Order'!$A1353=COLUMNS($A1353:D1372), LEFT(INDEX(FILTER(D$1:D1352, D$1:D1352&lt;&gt;""""),COUNTA(FILTER(D$1:D1352, D$1:D1352&lt;&gt;""""))), LEN(INDEX(FILTER(D$1:D1352, D$1:D1352&lt;&gt;""""),COUNTA(FILTER(D$1:D1352, D$1:D1352&lt;&gt;""""))))-1), IF('To Order'!$A1353=COL"&amp;"UMNS($A1353:D1372), D1352&amp;RIGHT(INDIRECT(ADDRESS(ROW(D1353)-1, 'From Order'!$A1353)), 1), D1352))"),"P")</f>
        <v>P</v>
      </c>
      <c r="E1353" s="2" t="str">
        <f>IFERROR(__xludf.DUMMYFUNCTION("IF('From Order'!$A1353=COLUMNS($A1353:E1372), LEFT(INDEX(FILTER(E$1:E1352, E$1:E1352&lt;&gt;""""),COUNTA(FILTER(E$1:E1352, E$1:E1352&lt;&gt;""""))), LEN(INDEX(FILTER(E$1:E1352, E$1:E1352&lt;&gt;""""),COUNTA(FILTER(E$1:E1352, E$1:E1352&lt;&gt;""""))))-1), IF('To Order'!$A1353=COL"&amp;"UMNS($A1353:E1372), E1352&amp;RIGHT(INDIRECT(ADDRESS(ROW(E1353)-1, 'From Order'!$A1353)), 1), E1352))"),"Z")</f>
        <v>Z</v>
      </c>
      <c r="F1353" s="2" t="str">
        <f>IFERROR(__xludf.DUMMYFUNCTION("IF('From Order'!$A1353=COLUMNS($A1353:F1372), LEFT(INDEX(FILTER(F$1:F1352, F$1:F1352&lt;&gt;""""),COUNTA(FILTER(F$1:F1352, F$1:F1352&lt;&gt;""""))), LEN(INDEX(FILTER(F$1:F1352, F$1:F1352&lt;&gt;""""),COUNTA(FILTER(F$1:F1352, F$1:F1352&lt;&gt;""""))))-1), IF('To Order'!$A1353=COL"&amp;"UMNS($A1353:F1372), F1352&amp;RIGHT(INDIRECT(ADDRESS(ROW(F1353)-1, 'From Order'!$A1353)), 1), F1352))"),"ZRLBSTVFSC")</f>
        <v>ZRLBSTVFSC</v>
      </c>
      <c r="G1353" s="2" t="str">
        <f>IFERROR(__xludf.DUMMYFUNCTION("IF('From Order'!$A1353=COLUMNS($A1353:G1372), LEFT(INDEX(FILTER(G$1:G1352, G$1:G1352&lt;&gt;""""),COUNTA(FILTER(G$1:G1352, G$1:G1352&lt;&gt;""""))), LEN(INDEX(FILTER(G$1:G1352, G$1:G1352&lt;&gt;""""),COUNTA(FILTER(G$1:G1352, G$1:G1352&lt;&gt;""""))))-1), IF('To Order'!$A1353=COL"&amp;"UMNS($A1353:G1372), G1352&amp;RIGHT(INDIRECT(ADDRESS(ROW(G1353)-1, 'From Order'!$A1353)), 1), G1352))"),"WRMTCRCDRZ")</f>
        <v>WRMTCRCDRZ</v>
      </c>
      <c r="H1353" s="2" t="str">
        <f>IFERROR(__xludf.DUMMYFUNCTION("IF('From Order'!$A1353=COLUMNS($A1353:H1372), LEFT(INDEX(FILTER(H$1:H1352, H$1:H1352&lt;&gt;""""),COUNTA(FILTER(H$1:H1352, H$1:H1352&lt;&gt;""""))), LEN(INDEX(FILTER(H$1:H1352, H$1:H1352&lt;&gt;""""),COUNTA(FILTER(H$1:H1352, H$1:H1352&lt;&gt;""""))))-1), IF('To Order'!$A1353=COL"&amp;"UMNS($A1353:H1372), H1352&amp;RIGHT(INDIRECT(ADDRESS(ROW(H1353)-1, 'From Order'!$A1353)), 1), H1352))"),"HGSTDD")</f>
        <v>HGSTDD</v>
      </c>
      <c r="I1353" s="2" t="str">
        <f>IFERROR(__xludf.DUMMYFUNCTION("IF('From Order'!$A1353=COLUMNS($A1353:I1372), LEFT(INDEX(FILTER(I$1:I1352, I$1:I1352&lt;&gt;""""),COUNTA(FILTER(I$1:I1352, I$1:I1352&lt;&gt;""""))), LEN(INDEX(FILTER(I$1:I1352, I$1:I1352&lt;&gt;""""),COUNTA(FILTER(I$1:I1352, I$1:I1352&lt;&gt;""""))))-1), IF('To Order'!$A1353=COL"&amp;"UMNS($A1353:I1372), I1352&amp;RIGHT(INDIRECT(ADDRESS(ROW(I1353)-1, 'From Order'!$A1353)), 1), I1352))"),"H")</f>
        <v>H</v>
      </c>
    </row>
    <row r="1354">
      <c r="A1354" s="2" t="str">
        <f>IFERROR(__xludf.DUMMYFUNCTION("IF('From Order'!$A1354=COLUMNS($A1354:A1373), LEFT(INDEX(FILTER(A$1:A1353, A$1:A1353&lt;&gt;""""),COUNTA(FILTER(A$1:A1353, A$1:A1353&lt;&gt;""""))), LEN(INDEX(FILTER(A$1:A1353, A$1:A1353&lt;&gt;""""),COUNTA(FILTER(A$1:A1353, A$1:A1353&lt;&gt;""""))))-1), IF('To Order'!$A1354=COL"&amp;"UMNS($A1354:A1373), A1353&amp;RIGHT(INDIRECT(ADDRESS(ROW(A1354)-1, 'From Order'!$A1354)), 1), A1353))"),"JTBFMDJDSBGMTDLPPJQVQW")</f>
        <v>JTBFMDJDSBGMTDLPPJQVQW</v>
      </c>
      <c r="B1354" s="2" t="str">
        <f>IFERROR(__xludf.DUMMYFUNCTION("IF('From Order'!$A1354=COLUMNS($A1354:B1373), LEFT(INDEX(FILTER(B$1:B1353, B$1:B1353&lt;&gt;""""),COUNTA(FILTER(B$1:B1353, B$1:B1353&lt;&gt;""""))), LEN(INDEX(FILTER(B$1:B1353, B$1:B1353&lt;&gt;""""),COUNTA(FILTER(B$1:B1353, B$1:B1353&lt;&gt;""""))))-1), IF('To Order'!$A1354=COL"&amp;"UMNS($A1354:B1373), B1353&amp;RIGHT(INDIRECT(ADDRESS(ROW(B1354)-1, 'From Order'!$A1354)), 1), B1353))"),"BV")</f>
        <v>BV</v>
      </c>
      <c r="C1354" s="2" t="str">
        <f>IFERROR(__xludf.DUMMYFUNCTION("IF('From Order'!$A1354=COLUMNS($A1354:C1373), LEFT(INDEX(FILTER(C$1:C1353, C$1:C1353&lt;&gt;""""),COUNTA(FILTER(C$1:C1353, C$1:C1353&lt;&gt;""""))), LEN(INDEX(FILTER(C$1:C1353, C$1:C1353&lt;&gt;""""),COUNTA(FILTER(C$1:C1353, C$1:C1353&lt;&gt;""""))))-1), IF('To Order'!$A1354=COL"&amp;"UMNS($A1354:C1373), C1353&amp;RIGHT(INDIRECT(ADDRESS(ROW(C1354)-1, 'From Order'!$A1354)), 1), C1353))"),"TRL")</f>
        <v>TRL</v>
      </c>
      <c r="D1354" s="2" t="str">
        <f>IFERROR(__xludf.DUMMYFUNCTION("IF('From Order'!$A1354=COLUMNS($A1354:D1373), LEFT(INDEX(FILTER(D$1:D1353, D$1:D1353&lt;&gt;""""),COUNTA(FILTER(D$1:D1353, D$1:D1353&lt;&gt;""""))), LEN(INDEX(FILTER(D$1:D1353, D$1:D1353&lt;&gt;""""),COUNTA(FILTER(D$1:D1353, D$1:D1353&lt;&gt;""""))))-1), IF('To Order'!$A1354=COL"&amp;"UMNS($A1354:D1373), D1353&amp;RIGHT(INDIRECT(ADDRESS(ROW(D1354)-1, 'From Order'!$A1354)), 1), D1353))"),"P")</f>
        <v>P</v>
      </c>
      <c r="E1354" s="2" t="str">
        <f>IFERROR(__xludf.DUMMYFUNCTION("IF('From Order'!$A1354=COLUMNS($A1354:E1373), LEFT(INDEX(FILTER(E$1:E1353, E$1:E1353&lt;&gt;""""),COUNTA(FILTER(E$1:E1353, E$1:E1353&lt;&gt;""""))), LEN(INDEX(FILTER(E$1:E1353, E$1:E1353&lt;&gt;""""),COUNTA(FILTER(E$1:E1353, E$1:E1353&lt;&gt;""""))))-1), IF('To Order'!$A1354=COL"&amp;"UMNS($A1354:E1373), E1353&amp;RIGHT(INDIRECT(ADDRESS(ROW(E1354)-1, 'From Order'!$A1354)), 1), E1353))"),"Z")</f>
        <v>Z</v>
      </c>
      <c r="F1354" s="2" t="str">
        <f>IFERROR(__xludf.DUMMYFUNCTION("IF('From Order'!$A1354=COLUMNS($A1354:F1373), LEFT(INDEX(FILTER(F$1:F1353, F$1:F1353&lt;&gt;""""),COUNTA(FILTER(F$1:F1353, F$1:F1353&lt;&gt;""""))), LEN(INDEX(FILTER(F$1:F1353, F$1:F1353&lt;&gt;""""),COUNTA(FILTER(F$1:F1353, F$1:F1353&lt;&gt;""""))))-1), IF('To Order'!$A1354=COL"&amp;"UMNS($A1354:F1373), F1353&amp;RIGHT(INDIRECT(ADDRESS(ROW(F1354)-1, 'From Order'!$A1354)), 1), F1353))"),"ZRLBSTVFSCZ")</f>
        <v>ZRLBSTVFSCZ</v>
      </c>
      <c r="G1354" s="2" t="str">
        <f>IFERROR(__xludf.DUMMYFUNCTION("IF('From Order'!$A1354=COLUMNS($A1354:G1373), LEFT(INDEX(FILTER(G$1:G1353, G$1:G1353&lt;&gt;""""),COUNTA(FILTER(G$1:G1353, G$1:G1353&lt;&gt;""""))), LEN(INDEX(FILTER(G$1:G1353, G$1:G1353&lt;&gt;""""),COUNTA(FILTER(G$1:G1353, G$1:G1353&lt;&gt;""""))))-1), IF('To Order'!$A1354=COL"&amp;"UMNS($A1354:G1373), G1353&amp;RIGHT(INDIRECT(ADDRESS(ROW(G1354)-1, 'From Order'!$A1354)), 1), G1353))"),"WRMTCRCDR")</f>
        <v>WRMTCRCDR</v>
      </c>
      <c r="H1354" s="2" t="str">
        <f>IFERROR(__xludf.DUMMYFUNCTION("IF('From Order'!$A1354=COLUMNS($A1354:H1373), LEFT(INDEX(FILTER(H$1:H1353, H$1:H1353&lt;&gt;""""),COUNTA(FILTER(H$1:H1353, H$1:H1353&lt;&gt;""""))), LEN(INDEX(FILTER(H$1:H1353, H$1:H1353&lt;&gt;""""),COUNTA(FILTER(H$1:H1353, H$1:H1353&lt;&gt;""""))))-1), IF('To Order'!$A1354=COL"&amp;"UMNS($A1354:H1373), H1353&amp;RIGHT(INDIRECT(ADDRESS(ROW(H1354)-1, 'From Order'!$A1354)), 1), H1353))"),"HGSTDD")</f>
        <v>HGSTDD</v>
      </c>
      <c r="I1354" s="2" t="str">
        <f>IFERROR(__xludf.DUMMYFUNCTION("IF('From Order'!$A1354=COLUMNS($A1354:I1373), LEFT(INDEX(FILTER(I$1:I1353, I$1:I1353&lt;&gt;""""),COUNTA(FILTER(I$1:I1353, I$1:I1353&lt;&gt;""""))), LEN(INDEX(FILTER(I$1:I1353, I$1:I1353&lt;&gt;""""),COUNTA(FILTER(I$1:I1353, I$1:I1353&lt;&gt;""""))))-1), IF('To Order'!$A1354=COL"&amp;"UMNS($A1354:I1373), I1353&amp;RIGHT(INDIRECT(ADDRESS(ROW(I1354)-1, 'From Order'!$A1354)), 1), I1353))"),"H")</f>
        <v>H</v>
      </c>
    </row>
    <row r="1355">
      <c r="A1355" s="2" t="str">
        <f>IFERROR(__xludf.DUMMYFUNCTION("IF('From Order'!$A1355=COLUMNS($A1355:A1374), LEFT(INDEX(FILTER(A$1:A1354, A$1:A1354&lt;&gt;""""),COUNTA(FILTER(A$1:A1354, A$1:A1354&lt;&gt;""""))), LEN(INDEX(FILTER(A$1:A1354, A$1:A1354&lt;&gt;""""),COUNTA(FILTER(A$1:A1354, A$1:A1354&lt;&gt;""""))))-1), IF('To Order'!$A1355=COL"&amp;"UMNS($A1355:A1374), A1354&amp;RIGHT(INDIRECT(ADDRESS(ROW(A1355)-1, 'From Order'!$A1355)), 1), A1354))"),"JTBFMDJDSBGMTDLPPJQVQW")</f>
        <v>JTBFMDJDSBGMTDLPPJQVQW</v>
      </c>
      <c r="B1355" s="2" t="str">
        <f>IFERROR(__xludf.DUMMYFUNCTION("IF('From Order'!$A1355=COLUMNS($A1355:B1374), LEFT(INDEX(FILTER(B$1:B1354, B$1:B1354&lt;&gt;""""),COUNTA(FILTER(B$1:B1354, B$1:B1354&lt;&gt;""""))), LEN(INDEX(FILTER(B$1:B1354, B$1:B1354&lt;&gt;""""),COUNTA(FILTER(B$1:B1354, B$1:B1354&lt;&gt;""""))))-1), IF('To Order'!$A1355=COL"&amp;"UMNS($A1355:B1374), B1354&amp;RIGHT(INDIRECT(ADDRESS(ROW(B1355)-1, 'From Order'!$A1355)), 1), B1354))"),"BV")</f>
        <v>BV</v>
      </c>
      <c r="C1355" s="2" t="str">
        <f>IFERROR(__xludf.DUMMYFUNCTION("IF('From Order'!$A1355=COLUMNS($A1355:C1374), LEFT(INDEX(FILTER(C$1:C1354, C$1:C1354&lt;&gt;""""),COUNTA(FILTER(C$1:C1354, C$1:C1354&lt;&gt;""""))), LEN(INDEX(FILTER(C$1:C1354, C$1:C1354&lt;&gt;""""),COUNTA(FILTER(C$1:C1354, C$1:C1354&lt;&gt;""""))))-1), IF('To Order'!$A1355=COL"&amp;"UMNS($A1355:C1374), C1354&amp;RIGHT(INDIRECT(ADDRESS(ROW(C1355)-1, 'From Order'!$A1355)), 1), C1354))"),"TRL")</f>
        <v>TRL</v>
      </c>
      <c r="D1355" s="2" t="str">
        <f>IFERROR(__xludf.DUMMYFUNCTION("IF('From Order'!$A1355=COLUMNS($A1355:D1374), LEFT(INDEX(FILTER(D$1:D1354, D$1:D1354&lt;&gt;""""),COUNTA(FILTER(D$1:D1354, D$1:D1354&lt;&gt;""""))), LEN(INDEX(FILTER(D$1:D1354, D$1:D1354&lt;&gt;""""),COUNTA(FILTER(D$1:D1354, D$1:D1354&lt;&gt;""""))))-1), IF('To Order'!$A1355=COL"&amp;"UMNS($A1355:D1374), D1354&amp;RIGHT(INDIRECT(ADDRESS(ROW(D1355)-1, 'From Order'!$A1355)), 1), D1354))"),"P")</f>
        <v>P</v>
      </c>
      <c r="E1355" s="2" t="str">
        <f>IFERROR(__xludf.DUMMYFUNCTION("IF('From Order'!$A1355=COLUMNS($A1355:E1374), LEFT(INDEX(FILTER(E$1:E1354, E$1:E1354&lt;&gt;""""),COUNTA(FILTER(E$1:E1354, E$1:E1354&lt;&gt;""""))), LEN(INDEX(FILTER(E$1:E1354, E$1:E1354&lt;&gt;""""),COUNTA(FILTER(E$1:E1354, E$1:E1354&lt;&gt;""""))))-1), IF('To Order'!$A1355=COL"&amp;"UMNS($A1355:E1374), E1354&amp;RIGHT(INDIRECT(ADDRESS(ROW(E1355)-1, 'From Order'!$A1355)), 1), E1354))"),"Z")</f>
        <v>Z</v>
      </c>
      <c r="F1355" s="2" t="str">
        <f>IFERROR(__xludf.DUMMYFUNCTION("IF('From Order'!$A1355=COLUMNS($A1355:F1374), LEFT(INDEX(FILTER(F$1:F1354, F$1:F1354&lt;&gt;""""),COUNTA(FILTER(F$1:F1354, F$1:F1354&lt;&gt;""""))), LEN(INDEX(FILTER(F$1:F1354, F$1:F1354&lt;&gt;""""),COUNTA(FILTER(F$1:F1354, F$1:F1354&lt;&gt;""""))))-1), IF('To Order'!$A1355=COL"&amp;"UMNS($A1355:F1374), F1354&amp;RIGHT(INDIRECT(ADDRESS(ROW(F1355)-1, 'From Order'!$A1355)), 1), F1354))"),"ZRLBSTVFSCZR")</f>
        <v>ZRLBSTVFSCZR</v>
      </c>
      <c r="G1355" s="2" t="str">
        <f>IFERROR(__xludf.DUMMYFUNCTION("IF('From Order'!$A1355=COLUMNS($A1355:G1374), LEFT(INDEX(FILTER(G$1:G1354, G$1:G1354&lt;&gt;""""),COUNTA(FILTER(G$1:G1354, G$1:G1354&lt;&gt;""""))), LEN(INDEX(FILTER(G$1:G1354, G$1:G1354&lt;&gt;""""),COUNTA(FILTER(G$1:G1354, G$1:G1354&lt;&gt;""""))))-1), IF('To Order'!$A1355=COL"&amp;"UMNS($A1355:G1374), G1354&amp;RIGHT(INDIRECT(ADDRESS(ROW(G1355)-1, 'From Order'!$A1355)), 1), G1354))"),"WRMTCRCD")</f>
        <v>WRMTCRCD</v>
      </c>
      <c r="H1355" s="2" t="str">
        <f>IFERROR(__xludf.DUMMYFUNCTION("IF('From Order'!$A1355=COLUMNS($A1355:H1374), LEFT(INDEX(FILTER(H$1:H1354, H$1:H1354&lt;&gt;""""),COUNTA(FILTER(H$1:H1354, H$1:H1354&lt;&gt;""""))), LEN(INDEX(FILTER(H$1:H1354, H$1:H1354&lt;&gt;""""),COUNTA(FILTER(H$1:H1354, H$1:H1354&lt;&gt;""""))))-1), IF('To Order'!$A1355=COL"&amp;"UMNS($A1355:H1374), H1354&amp;RIGHT(INDIRECT(ADDRESS(ROW(H1355)-1, 'From Order'!$A1355)), 1), H1354))"),"HGSTDD")</f>
        <v>HGSTDD</v>
      </c>
      <c r="I1355" s="2" t="str">
        <f>IFERROR(__xludf.DUMMYFUNCTION("IF('From Order'!$A1355=COLUMNS($A1355:I1374), LEFT(INDEX(FILTER(I$1:I1354, I$1:I1354&lt;&gt;""""),COUNTA(FILTER(I$1:I1354, I$1:I1354&lt;&gt;""""))), LEN(INDEX(FILTER(I$1:I1354, I$1:I1354&lt;&gt;""""),COUNTA(FILTER(I$1:I1354, I$1:I1354&lt;&gt;""""))))-1), IF('To Order'!$A1355=COL"&amp;"UMNS($A1355:I1374), I1354&amp;RIGHT(INDIRECT(ADDRESS(ROW(I1355)-1, 'From Order'!$A1355)), 1), I1354))"),"H")</f>
        <v>H</v>
      </c>
    </row>
    <row r="1356">
      <c r="A1356" s="2" t="str">
        <f>IFERROR(__xludf.DUMMYFUNCTION("IF('From Order'!$A1356=COLUMNS($A1356:A1375), LEFT(INDEX(FILTER(A$1:A1355, A$1:A1355&lt;&gt;""""),COUNTA(FILTER(A$1:A1355, A$1:A1355&lt;&gt;""""))), LEN(INDEX(FILTER(A$1:A1355, A$1:A1355&lt;&gt;""""),COUNTA(FILTER(A$1:A1355, A$1:A1355&lt;&gt;""""))))-1), IF('To Order'!$A1356=COL"&amp;"UMNS($A1356:A1375), A1355&amp;RIGHT(INDIRECT(ADDRESS(ROW(A1356)-1, 'From Order'!$A1356)), 1), A1355))"),"JTBFMDJDSBGMTDLPPJQVQW")</f>
        <v>JTBFMDJDSBGMTDLPPJQVQW</v>
      </c>
      <c r="B1356" s="2" t="str">
        <f>IFERROR(__xludf.DUMMYFUNCTION("IF('From Order'!$A1356=COLUMNS($A1356:B1375), LEFT(INDEX(FILTER(B$1:B1355, B$1:B1355&lt;&gt;""""),COUNTA(FILTER(B$1:B1355, B$1:B1355&lt;&gt;""""))), LEN(INDEX(FILTER(B$1:B1355, B$1:B1355&lt;&gt;""""),COUNTA(FILTER(B$1:B1355, B$1:B1355&lt;&gt;""""))))-1), IF('To Order'!$A1356=COL"&amp;"UMNS($A1356:B1375), B1355&amp;RIGHT(INDIRECT(ADDRESS(ROW(B1356)-1, 'From Order'!$A1356)), 1), B1355))"),"BV")</f>
        <v>BV</v>
      </c>
      <c r="C1356" s="2" t="str">
        <f>IFERROR(__xludf.DUMMYFUNCTION("IF('From Order'!$A1356=COLUMNS($A1356:C1375), LEFT(INDEX(FILTER(C$1:C1355, C$1:C1355&lt;&gt;""""),COUNTA(FILTER(C$1:C1355, C$1:C1355&lt;&gt;""""))), LEN(INDEX(FILTER(C$1:C1355, C$1:C1355&lt;&gt;""""),COUNTA(FILTER(C$1:C1355, C$1:C1355&lt;&gt;""""))))-1), IF('To Order'!$A1356=COL"&amp;"UMNS($A1356:C1375), C1355&amp;RIGHT(INDIRECT(ADDRESS(ROW(C1356)-1, 'From Order'!$A1356)), 1), C1355))"),"TRL")</f>
        <v>TRL</v>
      </c>
      <c r="D1356" s="2" t="str">
        <f>IFERROR(__xludf.DUMMYFUNCTION("IF('From Order'!$A1356=COLUMNS($A1356:D1375), LEFT(INDEX(FILTER(D$1:D1355, D$1:D1355&lt;&gt;""""),COUNTA(FILTER(D$1:D1355, D$1:D1355&lt;&gt;""""))), LEN(INDEX(FILTER(D$1:D1355, D$1:D1355&lt;&gt;""""),COUNTA(FILTER(D$1:D1355, D$1:D1355&lt;&gt;""""))))-1), IF('To Order'!$A1356=COL"&amp;"UMNS($A1356:D1375), D1355&amp;RIGHT(INDIRECT(ADDRESS(ROW(D1356)-1, 'From Order'!$A1356)), 1), D1355))"),"P")</f>
        <v>P</v>
      </c>
      <c r="E1356" s="2" t="str">
        <f>IFERROR(__xludf.DUMMYFUNCTION("IF('From Order'!$A1356=COLUMNS($A1356:E1375), LEFT(INDEX(FILTER(E$1:E1355, E$1:E1355&lt;&gt;""""),COUNTA(FILTER(E$1:E1355, E$1:E1355&lt;&gt;""""))), LEN(INDEX(FILTER(E$1:E1355, E$1:E1355&lt;&gt;""""),COUNTA(FILTER(E$1:E1355, E$1:E1355&lt;&gt;""""))))-1), IF('To Order'!$A1356=COL"&amp;"UMNS($A1356:E1375), E1355&amp;RIGHT(INDIRECT(ADDRESS(ROW(E1356)-1, 'From Order'!$A1356)), 1), E1355))"),"Z")</f>
        <v>Z</v>
      </c>
      <c r="F1356" s="2" t="str">
        <f>IFERROR(__xludf.DUMMYFUNCTION("IF('From Order'!$A1356=COLUMNS($A1356:F1375), LEFT(INDEX(FILTER(F$1:F1355, F$1:F1355&lt;&gt;""""),COUNTA(FILTER(F$1:F1355, F$1:F1355&lt;&gt;""""))), LEN(INDEX(FILTER(F$1:F1355, F$1:F1355&lt;&gt;""""),COUNTA(FILTER(F$1:F1355, F$1:F1355&lt;&gt;""""))))-1), IF('To Order'!$A1356=COL"&amp;"UMNS($A1356:F1375), F1355&amp;RIGHT(INDIRECT(ADDRESS(ROW(F1356)-1, 'From Order'!$A1356)), 1), F1355))"),"ZRLBSTVFSCZRD")</f>
        <v>ZRLBSTVFSCZRD</v>
      </c>
      <c r="G1356" s="2" t="str">
        <f>IFERROR(__xludf.DUMMYFUNCTION("IF('From Order'!$A1356=COLUMNS($A1356:G1375), LEFT(INDEX(FILTER(G$1:G1355, G$1:G1355&lt;&gt;""""),COUNTA(FILTER(G$1:G1355, G$1:G1355&lt;&gt;""""))), LEN(INDEX(FILTER(G$1:G1355, G$1:G1355&lt;&gt;""""),COUNTA(FILTER(G$1:G1355, G$1:G1355&lt;&gt;""""))))-1), IF('To Order'!$A1356=COL"&amp;"UMNS($A1356:G1375), G1355&amp;RIGHT(INDIRECT(ADDRESS(ROW(G1356)-1, 'From Order'!$A1356)), 1), G1355))"),"WRMTCRC")</f>
        <v>WRMTCRC</v>
      </c>
      <c r="H1356" s="2" t="str">
        <f>IFERROR(__xludf.DUMMYFUNCTION("IF('From Order'!$A1356=COLUMNS($A1356:H1375), LEFT(INDEX(FILTER(H$1:H1355, H$1:H1355&lt;&gt;""""),COUNTA(FILTER(H$1:H1355, H$1:H1355&lt;&gt;""""))), LEN(INDEX(FILTER(H$1:H1355, H$1:H1355&lt;&gt;""""),COUNTA(FILTER(H$1:H1355, H$1:H1355&lt;&gt;""""))))-1), IF('To Order'!$A1356=COL"&amp;"UMNS($A1356:H1375), H1355&amp;RIGHT(INDIRECT(ADDRESS(ROW(H1356)-1, 'From Order'!$A1356)), 1), H1355))"),"HGSTDD")</f>
        <v>HGSTDD</v>
      </c>
      <c r="I1356" s="2" t="str">
        <f>IFERROR(__xludf.DUMMYFUNCTION("IF('From Order'!$A1356=COLUMNS($A1356:I1375), LEFT(INDEX(FILTER(I$1:I1355, I$1:I1355&lt;&gt;""""),COUNTA(FILTER(I$1:I1355, I$1:I1355&lt;&gt;""""))), LEN(INDEX(FILTER(I$1:I1355, I$1:I1355&lt;&gt;""""),COUNTA(FILTER(I$1:I1355, I$1:I1355&lt;&gt;""""))))-1), IF('To Order'!$A1356=COL"&amp;"UMNS($A1356:I1375), I1355&amp;RIGHT(INDIRECT(ADDRESS(ROW(I1356)-1, 'From Order'!$A1356)), 1), I1355))"),"H")</f>
        <v>H</v>
      </c>
    </row>
    <row r="1357">
      <c r="A1357" s="2" t="str">
        <f>IFERROR(__xludf.DUMMYFUNCTION("IF('From Order'!$A1357=COLUMNS($A1357:A1376), LEFT(INDEX(FILTER(A$1:A1356, A$1:A1356&lt;&gt;""""),COUNTA(FILTER(A$1:A1356, A$1:A1356&lt;&gt;""""))), LEN(INDEX(FILTER(A$1:A1356, A$1:A1356&lt;&gt;""""),COUNTA(FILTER(A$1:A1356, A$1:A1356&lt;&gt;""""))))-1), IF('To Order'!$A1357=COL"&amp;"UMNS($A1357:A1376), A1356&amp;RIGHT(INDIRECT(ADDRESS(ROW(A1357)-1, 'From Order'!$A1357)), 1), A1356))"),"JTBFMDJDSBGMTDLPPJQVQW")</f>
        <v>JTBFMDJDSBGMTDLPPJQVQW</v>
      </c>
      <c r="B1357" s="2" t="str">
        <f>IFERROR(__xludf.DUMMYFUNCTION("IF('From Order'!$A1357=COLUMNS($A1357:B1376), LEFT(INDEX(FILTER(B$1:B1356, B$1:B1356&lt;&gt;""""),COUNTA(FILTER(B$1:B1356, B$1:B1356&lt;&gt;""""))), LEN(INDEX(FILTER(B$1:B1356, B$1:B1356&lt;&gt;""""),COUNTA(FILTER(B$1:B1356, B$1:B1356&lt;&gt;""""))))-1), IF('To Order'!$A1357=COL"&amp;"UMNS($A1357:B1376), B1356&amp;RIGHT(INDIRECT(ADDRESS(ROW(B1357)-1, 'From Order'!$A1357)), 1), B1356))"),"BV")</f>
        <v>BV</v>
      </c>
      <c r="C1357" s="2" t="str">
        <f>IFERROR(__xludf.DUMMYFUNCTION("IF('From Order'!$A1357=COLUMNS($A1357:C1376), LEFT(INDEX(FILTER(C$1:C1356, C$1:C1356&lt;&gt;""""),COUNTA(FILTER(C$1:C1356, C$1:C1356&lt;&gt;""""))), LEN(INDEX(FILTER(C$1:C1356, C$1:C1356&lt;&gt;""""),COUNTA(FILTER(C$1:C1356, C$1:C1356&lt;&gt;""""))))-1), IF('To Order'!$A1357=COL"&amp;"UMNS($A1357:C1376), C1356&amp;RIGHT(INDIRECT(ADDRESS(ROW(C1357)-1, 'From Order'!$A1357)), 1), C1356))"),"TRL")</f>
        <v>TRL</v>
      </c>
      <c r="D1357" s="2" t="str">
        <f>IFERROR(__xludf.DUMMYFUNCTION("IF('From Order'!$A1357=COLUMNS($A1357:D1376), LEFT(INDEX(FILTER(D$1:D1356, D$1:D1356&lt;&gt;""""),COUNTA(FILTER(D$1:D1356, D$1:D1356&lt;&gt;""""))), LEN(INDEX(FILTER(D$1:D1356, D$1:D1356&lt;&gt;""""),COUNTA(FILTER(D$1:D1356, D$1:D1356&lt;&gt;""""))))-1), IF('To Order'!$A1357=COL"&amp;"UMNS($A1357:D1376), D1356&amp;RIGHT(INDIRECT(ADDRESS(ROW(D1357)-1, 'From Order'!$A1357)), 1), D1356))"),"P")</f>
        <v>P</v>
      </c>
      <c r="E1357" s="2" t="str">
        <f>IFERROR(__xludf.DUMMYFUNCTION("IF('From Order'!$A1357=COLUMNS($A1357:E1376), LEFT(INDEX(FILTER(E$1:E1356, E$1:E1356&lt;&gt;""""),COUNTA(FILTER(E$1:E1356, E$1:E1356&lt;&gt;""""))), LEN(INDEX(FILTER(E$1:E1356, E$1:E1356&lt;&gt;""""),COUNTA(FILTER(E$1:E1356, E$1:E1356&lt;&gt;""""))))-1), IF('To Order'!$A1357=COL"&amp;"UMNS($A1357:E1376), E1356&amp;RIGHT(INDIRECT(ADDRESS(ROW(E1357)-1, 'From Order'!$A1357)), 1), E1356))"),"Z")</f>
        <v>Z</v>
      </c>
      <c r="F1357" s="2" t="str">
        <f>IFERROR(__xludf.DUMMYFUNCTION("IF('From Order'!$A1357=COLUMNS($A1357:F1376), LEFT(INDEX(FILTER(F$1:F1356, F$1:F1356&lt;&gt;""""),COUNTA(FILTER(F$1:F1356, F$1:F1356&lt;&gt;""""))), LEN(INDEX(FILTER(F$1:F1356, F$1:F1356&lt;&gt;""""),COUNTA(FILTER(F$1:F1356, F$1:F1356&lt;&gt;""""))))-1), IF('To Order'!$A1357=COL"&amp;"UMNS($A1357:F1376), F1356&amp;RIGHT(INDIRECT(ADDRESS(ROW(F1357)-1, 'From Order'!$A1357)), 1), F1356))"),"ZRLBSTVFSCZRDC")</f>
        <v>ZRLBSTVFSCZRDC</v>
      </c>
      <c r="G1357" s="2" t="str">
        <f>IFERROR(__xludf.DUMMYFUNCTION("IF('From Order'!$A1357=COLUMNS($A1357:G1376), LEFT(INDEX(FILTER(G$1:G1356, G$1:G1356&lt;&gt;""""),COUNTA(FILTER(G$1:G1356, G$1:G1356&lt;&gt;""""))), LEN(INDEX(FILTER(G$1:G1356, G$1:G1356&lt;&gt;""""),COUNTA(FILTER(G$1:G1356, G$1:G1356&lt;&gt;""""))))-1), IF('To Order'!$A1357=COL"&amp;"UMNS($A1357:G1376), G1356&amp;RIGHT(INDIRECT(ADDRESS(ROW(G1357)-1, 'From Order'!$A1357)), 1), G1356))"),"WRMTCR")</f>
        <v>WRMTCR</v>
      </c>
      <c r="H1357" s="2" t="str">
        <f>IFERROR(__xludf.DUMMYFUNCTION("IF('From Order'!$A1357=COLUMNS($A1357:H1376), LEFT(INDEX(FILTER(H$1:H1356, H$1:H1356&lt;&gt;""""),COUNTA(FILTER(H$1:H1356, H$1:H1356&lt;&gt;""""))), LEN(INDEX(FILTER(H$1:H1356, H$1:H1356&lt;&gt;""""),COUNTA(FILTER(H$1:H1356, H$1:H1356&lt;&gt;""""))))-1), IF('To Order'!$A1357=COL"&amp;"UMNS($A1357:H1376), H1356&amp;RIGHT(INDIRECT(ADDRESS(ROW(H1357)-1, 'From Order'!$A1357)), 1), H1356))"),"HGSTDD")</f>
        <v>HGSTDD</v>
      </c>
      <c r="I1357" s="2" t="str">
        <f>IFERROR(__xludf.DUMMYFUNCTION("IF('From Order'!$A1357=COLUMNS($A1357:I1376), LEFT(INDEX(FILTER(I$1:I1356, I$1:I1356&lt;&gt;""""),COUNTA(FILTER(I$1:I1356, I$1:I1356&lt;&gt;""""))), LEN(INDEX(FILTER(I$1:I1356, I$1:I1356&lt;&gt;""""),COUNTA(FILTER(I$1:I1356, I$1:I1356&lt;&gt;""""))))-1), IF('To Order'!$A1357=COL"&amp;"UMNS($A1357:I1376), I1356&amp;RIGHT(INDIRECT(ADDRESS(ROW(I1357)-1, 'From Order'!$A1357)), 1), I1356))"),"H")</f>
        <v>H</v>
      </c>
    </row>
    <row r="1358">
      <c r="A1358" s="2" t="str">
        <f>IFERROR(__xludf.DUMMYFUNCTION("IF('From Order'!$A1358=COLUMNS($A1358:A1377), LEFT(INDEX(FILTER(A$1:A1357, A$1:A1357&lt;&gt;""""),COUNTA(FILTER(A$1:A1357, A$1:A1357&lt;&gt;""""))), LEN(INDEX(FILTER(A$1:A1357, A$1:A1357&lt;&gt;""""),COUNTA(FILTER(A$1:A1357, A$1:A1357&lt;&gt;""""))))-1), IF('To Order'!$A1358=COL"&amp;"UMNS($A1358:A1377), A1357&amp;RIGHT(INDIRECT(ADDRESS(ROW(A1358)-1, 'From Order'!$A1358)), 1), A1357))"),"JTBFMDJDSBGMTDLPPJQVQW")</f>
        <v>JTBFMDJDSBGMTDLPPJQVQW</v>
      </c>
      <c r="B1358" s="2" t="str">
        <f>IFERROR(__xludf.DUMMYFUNCTION("IF('From Order'!$A1358=COLUMNS($A1358:B1377), LEFT(INDEX(FILTER(B$1:B1357, B$1:B1357&lt;&gt;""""),COUNTA(FILTER(B$1:B1357, B$1:B1357&lt;&gt;""""))), LEN(INDEX(FILTER(B$1:B1357, B$1:B1357&lt;&gt;""""),COUNTA(FILTER(B$1:B1357, B$1:B1357&lt;&gt;""""))))-1), IF('To Order'!$A1358=COL"&amp;"UMNS($A1358:B1377), B1357&amp;RIGHT(INDIRECT(ADDRESS(ROW(B1358)-1, 'From Order'!$A1358)), 1), B1357))"),"BV")</f>
        <v>BV</v>
      </c>
      <c r="C1358" s="2" t="str">
        <f>IFERROR(__xludf.DUMMYFUNCTION("IF('From Order'!$A1358=COLUMNS($A1358:C1377), LEFT(INDEX(FILTER(C$1:C1357, C$1:C1357&lt;&gt;""""),COUNTA(FILTER(C$1:C1357, C$1:C1357&lt;&gt;""""))), LEN(INDEX(FILTER(C$1:C1357, C$1:C1357&lt;&gt;""""),COUNTA(FILTER(C$1:C1357, C$1:C1357&lt;&gt;""""))))-1), IF('To Order'!$A1358=COL"&amp;"UMNS($A1358:C1377), C1357&amp;RIGHT(INDIRECT(ADDRESS(ROW(C1358)-1, 'From Order'!$A1358)), 1), C1357))"),"TRL")</f>
        <v>TRL</v>
      </c>
      <c r="D1358" s="2" t="str">
        <f>IFERROR(__xludf.DUMMYFUNCTION("IF('From Order'!$A1358=COLUMNS($A1358:D1377), LEFT(INDEX(FILTER(D$1:D1357, D$1:D1357&lt;&gt;""""),COUNTA(FILTER(D$1:D1357, D$1:D1357&lt;&gt;""""))), LEN(INDEX(FILTER(D$1:D1357, D$1:D1357&lt;&gt;""""),COUNTA(FILTER(D$1:D1357, D$1:D1357&lt;&gt;""""))))-1), IF('To Order'!$A1358=COL"&amp;"UMNS($A1358:D1377), D1357&amp;RIGHT(INDIRECT(ADDRESS(ROW(D1358)-1, 'From Order'!$A1358)), 1), D1357))"),"P")</f>
        <v>P</v>
      </c>
      <c r="E1358" s="2" t="str">
        <f>IFERROR(__xludf.DUMMYFUNCTION("IF('From Order'!$A1358=COLUMNS($A1358:E1377), LEFT(INDEX(FILTER(E$1:E1357, E$1:E1357&lt;&gt;""""),COUNTA(FILTER(E$1:E1357, E$1:E1357&lt;&gt;""""))), LEN(INDEX(FILTER(E$1:E1357, E$1:E1357&lt;&gt;""""),COUNTA(FILTER(E$1:E1357, E$1:E1357&lt;&gt;""""))))-1), IF('To Order'!$A1358=COL"&amp;"UMNS($A1358:E1377), E1357&amp;RIGHT(INDIRECT(ADDRESS(ROW(E1358)-1, 'From Order'!$A1358)), 1), E1357))"),"Z")</f>
        <v>Z</v>
      </c>
      <c r="F1358" s="2" t="str">
        <f>IFERROR(__xludf.DUMMYFUNCTION("IF('From Order'!$A1358=COLUMNS($A1358:F1377), LEFT(INDEX(FILTER(F$1:F1357, F$1:F1357&lt;&gt;""""),COUNTA(FILTER(F$1:F1357, F$1:F1357&lt;&gt;""""))), LEN(INDEX(FILTER(F$1:F1357, F$1:F1357&lt;&gt;""""),COUNTA(FILTER(F$1:F1357, F$1:F1357&lt;&gt;""""))))-1), IF('To Order'!$A1358=COL"&amp;"UMNS($A1358:F1377), F1357&amp;RIGHT(INDIRECT(ADDRESS(ROW(F1358)-1, 'From Order'!$A1358)), 1), F1357))"),"ZRLBSTVFSCZRDCR")</f>
        <v>ZRLBSTVFSCZRDCR</v>
      </c>
      <c r="G1358" s="2" t="str">
        <f>IFERROR(__xludf.DUMMYFUNCTION("IF('From Order'!$A1358=COLUMNS($A1358:G1377), LEFT(INDEX(FILTER(G$1:G1357, G$1:G1357&lt;&gt;""""),COUNTA(FILTER(G$1:G1357, G$1:G1357&lt;&gt;""""))), LEN(INDEX(FILTER(G$1:G1357, G$1:G1357&lt;&gt;""""),COUNTA(FILTER(G$1:G1357, G$1:G1357&lt;&gt;""""))))-1), IF('To Order'!$A1358=COL"&amp;"UMNS($A1358:G1377), G1357&amp;RIGHT(INDIRECT(ADDRESS(ROW(G1358)-1, 'From Order'!$A1358)), 1), G1357))"),"WRMTC")</f>
        <v>WRMTC</v>
      </c>
      <c r="H1358" s="2" t="str">
        <f>IFERROR(__xludf.DUMMYFUNCTION("IF('From Order'!$A1358=COLUMNS($A1358:H1377), LEFT(INDEX(FILTER(H$1:H1357, H$1:H1357&lt;&gt;""""),COUNTA(FILTER(H$1:H1357, H$1:H1357&lt;&gt;""""))), LEN(INDEX(FILTER(H$1:H1357, H$1:H1357&lt;&gt;""""),COUNTA(FILTER(H$1:H1357, H$1:H1357&lt;&gt;""""))))-1), IF('To Order'!$A1358=COL"&amp;"UMNS($A1358:H1377), H1357&amp;RIGHT(INDIRECT(ADDRESS(ROW(H1358)-1, 'From Order'!$A1358)), 1), H1357))"),"HGSTDD")</f>
        <v>HGSTDD</v>
      </c>
      <c r="I1358" s="2" t="str">
        <f>IFERROR(__xludf.DUMMYFUNCTION("IF('From Order'!$A1358=COLUMNS($A1358:I1377), LEFT(INDEX(FILTER(I$1:I1357, I$1:I1357&lt;&gt;""""),COUNTA(FILTER(I$1:I1357, I$1:I1357&lt;&gt;""""))), LEN(INDEX(FILTER(I$1:I1357, I$1:I1357&lt;&gt;""""),COUNTA(FILTER(I$1:I1357, I$1:I1357&lt;&gt;""""))))-1), IF('To Order'!$A1358=COL"&amp;"UMNS($A1358:I1377), I1357&amp;RIGHT(INDIRECT(ADDRESS(ROW(I1358)-1, 'From Order'!$A1358)), 1), I1357))"),"H")</f>
        <v>H</v>
      </c>
    </row>
    <row r="1359">
      <c r="A1359" s="2" t="str">
        <f>IFERROR(__xludf.DUMMYFUNCTION("IF('From Order'!$A1359=COLUMNS($A1359:A1378), LEFT(INDEX(FILTER(A$1:A1358, A$1:A1358&lt;&gt;""""),COUNTA(FILTER(A$1:A1358, A$1:A1358&lt;&gt;""""))), LEN(INDEX(FILTER(A$1:A1358, A$1:A1358&lt;&gt;""""),COUNTA(FILTER(A$1:A1358, A$1:A1358&lt;&gt;""""))))-1), IF('To Order'!$A1359=COL"&amp;"UMNS($A1359:A1378), A1358&amp;RIGHT(INDIRECT(ADDRESS(ROW(A1359)-1, 'From Order'!$A1359)), 1), A1358))"),"JTBFMDJDSBGMTDLPPJQVQW")</f>
        <v>JTBFMDJDSBGMTDLPPJQVQW</v>
      </c>
      <c r="B1359" s="2" t="str">
        <f>IFERROR(__xludf.DUMMYFUNCTION("IF('From Order'!$A1359=COLUMNS($A1359:B1378), LEFT(INDEX(FILTER(B$1:B1358, B$1:B1358&lt;&gt;""""),COUNTA(FILTER(B$1:B1358, B$1:B1358&lt;&gt;""""))), LEN(INDEX(FILTER(B$1:B1358, B$1:B1358&lt;&gt;""""),COUNTA(FILTER(B$1:B1358, B$1:B1358&lt;&gt;""""))))-1), IF('To Order'!$A1359=COL"&amp;"UMNS($A1359:B1378), B1358&amp;RIGHT(INDIRECT(ADDRESS(ROW(B1359)-1, 'From Order'!$A1359)), 1), B1358))"),"BV")</f>
        <v>BV</v>
      </c>
      <c r="C1359" s="2" t="str">
        <f>IFERROR(__xludf.DUMMYFUNCTION("IF('From Order'!$A1359=COLUMNS($A1359:C1378), LEFT(INDEX(FILTER(C$1:C1358, C$1:C1358&lt;&gt;""""),COUNTA(FILTER(C$1:C1358, C$1:C1358&lt;&gt;""""))), LEN(INDEX(FILTER(C$1:C1358, C$1:C1358&lt;&gt;""""),COUNTA(FILTER(C$1:C1358, C$1:C1358&lt;&gt;""""))))-1), IF('To Order'!$A1359=COL"&amp;"UMNS($A1359:C1378), C1358&amp;RIGHT(INDIRECT(ADDRESS(ROW(C1359)-1, 'From Order'!$A1359)), 1), C1358))"),"TRL")</f>
        <v>TRL</v>
      </c>
      <c r="D1359" s="2" t="str">
        <f>IFERROR(__xludf.DUMMYFUNCTION("IF('From Order'!$A1359=COLUMNS($A1359:D1378), LEFT(INDEX(FILTER(D$1:D1358, D$1:D1358&lt;&gt;""""),COUNTA(FILTER(D$1:D1358, D$1:D1358&lt;&gt;""""))), LEN(INDEX(FILTER(D$1:D1358, D$1:D1358&lt;&gt;""""),COUNTA(FILTER(D$1:D1358, D$1:D1358&lt;&gt;""""))))-1), IF('To Order'!$A1359=COL"&amp;"UMNS($A1359:D1378), D1358&amp;RIGHT(INDIRECT(ADDRESS(ROW(D1359)-1, 'From Order'!$A1359)), 1), D1358))"),"P")</f>
        <v>P</v>
      </c>
      <c r="E1359" s="2" t="str">
        <f>IFERROR(__xludf.DUMMYFUNCTION("IF('From Order'!$A1359=COLUMNS($A1359:E1378), LEFT(INDEX(FILTER(E$1:E1358, E$1:E1358&lt;&gt;""""),COUNTA(FILTER(E$1:E1358, E$1:E1358&lt;&gt;""""))), LEN(INDEX(FILTER(E$1:E1358, E$1:E1358&lt;&gt;""""),COUNTA(FILTER(E$1:E1358, E$1:E1358&lt;&gt;""""))))-1), IF('To Order'!$A1359=COL"&amp;"UMNS($A1359:E1378), E1358&amp;RIGHT(INDIRECT(ADDRESS(ROW(E1359)-1, 'From Order'!$A1359)), 1), E1358))"),"Z")</f>
        <v>Z</v>
      </c>
      <c r="F1359" s="2" t="str">
        <f>IFERROR(__xludf.DUMMYFUNCTION("IF('From Order'!$A1359=COLUMNS($A1359:F1378), LEFT(INDEX(FILTER(F$1:F1358, F$1:F1358&lt;&gt;""""),COUNTA(FILTER(F$1:F1358, F$1:F1358&lt;&gt;""""))), LEN(INDEX(FILTER(F$1:F1358, F$1:F1358&lt;&gt;""""),COUNTA(FILTER(F$1:F1358, F$1:F1358&lt;&gt;""""))))-1), IF('To Order'!$A1359=COL"&amp;"UMNS($A1359:F1378), F1358&amp;RIGHT(INDIRECT(ADDRESS(ROW(F1359)-1, 'From Order'!$A1359)), 1), F1358))"),"ZRLBSTVFSCZRDCRC")</f>
        <v>ZRLBSTVFSCZRDCRC</v>
      </c>
      <c r="G1359" s="2" t="str">
        <f>IFERROR(__xludf.DUMMYFUNCTION("IF('From Order'!$A1359=COLUMNS($A1359:G1378), LEFT(INDEX(FILTER(G$1:G1358, G$1:G1358&lt;&gt;""""),COUNTA(FILTER(G$1:G1358, G$1:G1358&lt;&gt;""""))), LEN(INDEX(FILTER(G$1:G1358, G$1:G1358&lt;&gt;""""),COUNTA(FILTER(G$1:G1358, G$1:G1358&lt;&gt;""""))))-1), IF('To Order'!$A1359=COL"&amp;"UMNS($A1359:G1378), G1358&amp;RIGHT(INDIRECT(ADDRESS(ROW(G1359)-1, 'From Order'!$A1359)), 1), G1358))"),"WRMT")</f>
        <v>WRMT</v>
      </c>
      <c r="H1359" s="2" t="str">
        <f>IFERROR(__xludf.DUMMYFUNCTION("IF('From Order'!$A1359=COLUMNS($A1359:H1378), LEFT(INDEX(FILTER(H$1:H1358, H$1:H1358&lt;&gt;""""),COUNTA(FILTER(H$1:H1358, H$1:H1358&lt;&gt;""""))), LEN(INDEX(FILTER(H$1:H1358, H$1:H1358&lt;&gt;""""),COUNTA(FILTER(H$1:H1358, H$1:H1358&lt;&gt;""""))))-1), IF('To Order'!$A1359=COL"&amp;"UMNS($A1359:H1378), H1358&amp;RIGHT(INDIRECT(ADDRESS(ROW(H1359)-1, 'From Order'!$A1359)), 1), H1358))"),"HGSTDD")</f>
        <v>HGSTDD</v>
      </c>
      <c r="I1359" s="2" t="str">
        <f>IFERROR(__xludf.DUMMYFUNCTION("IF('From Order'!$A1359=COLUMNS($A1359:I1378), LEFT(INDEX(FILTER(I$1:I1358, I$1:I1358&lt;&gt;""""),COUNTA(FILTER(I$1:I1358, I$1:I1358&lt;&gt;""""))), LEN(INDEX(FILTER(I$1:I1358, I$1:I1358&lt;&gt;""""),COUNTA(FILTER(I$1:I1358, I$1:I1358&lt;&gt;""""))))-1), IF('To Order'!$A1359=COL"&amp;"UMNS($A1359:I1378), I1358&amp;RIGHT(INDIRECT(ADDRESS(ROW(I1359)-1, 'From Order'!$A1359)), 1), I1358))"),"H")</f>
        <v>H</v>
      </c>
    </row>
    <row r="1360">
      <c r="A1360" s="2" t="str">
        <f>IFERROR(__xludf.DUMMYFUNCTION("IF('From Order'!$A1360=COLUMNS($A1360:A1379), LEFT(INDEX(FILTER(A$1:A1359, A$1:A1359&lt;&gt;""""),COUNTA(FILTER(A$1:A1359, A$1:A1359&lt;&gt;""""))), LEN(INDEX(FILTER(A$1:A1359, A$1:A1359&lt;&gt;""""),COUNTA(FILTER(A$1:A1359, A$1:A1359&lt;&gt;""""))))-1), IF('To Order'!$A1360=COL"&amp;"UMNS($A1360:A1379), A1359&amp;RIGHT(INDIRECT(ADDRESS(ROW(A1360)-1, 'From Order'!$A1360)), 1), A1359))"),"JTBFMDJDSBGMTDLPPJQVQW")</f>
        <v>JTBFMDJDSBGMTDLPPJQVQW</v>
      </c>
      <c r="B1360" s="2" t="str">
        <f>IFERROR(__xludf.DUMMYFUNCTION("IF('From Order'!$A1360=COLUMNS($A1360:B1379), LEFT(INDEX(FILTER(B$1:B1359, B$1:B1359&lt;&gt;""""),COUNTA(FILTER(B$1:B1359, B$1:B1359&lt;&gt;""""))), LEN(INDEX(FILTER(B$1:B1359, B$1:B1359&lt;&gt;""""),COUNTA(FILTER(B$1:B1359, B$1:B1359&lt;&gt;""""))))-1), IF('To Order'!$A1360=COL"&amp;"UMNS($A1360:B1379), B1359&amp;RIGHT(INDIRECT(ADDRESS(ROW(B1360)-1, 'From Order'!$A1360)), 1), B1359))"),"BV")</f>
        <v>BV</v>
      </c>
      <c r="C1360" s="2" t="str">
        <f>IFERROR(__xludf.DUMMYFUNCTION("IF('From Order'!$A1360=COLUMNS($A1360:C1379), LEFT(INDEX(FILTER(C$1:C1359, C$1:C1359&lt;&gt;""""),COUNTA(FILTER(C$1:C1359, C$1:C1359&lt;&gt;""""))), LEN(INDEX(FILTER(C$1:C1359, C$1:C1359&lt;&gt;""""),COUNTA(FILTER(C$1:C1359, C$1:C1359&lt;&gt;""""))))-1), IF('To Order'!$A1360=COL"&amp;"UMNS($A1360:C1379), C1359&amp;RIGHT(INDIRECT(ADDRESS(ROW(C1360)-1, 'From Order'!$A1360)), 1), C1359))"),"TRL")</f>
        <v>TRL</v>
      </c>
      <c r="D1360" s="2" t="str">
        <f>IFERROR(__xludf.DUMMYFUNCTION("IF('From Order'!$A1360=COLUMNS($A1360:D1379), LEFT(INDEX(FILTER(D$1:D1359, D$1:D1359&lt;&gt;""""),COUNTA(FILTER(D$1:D1359, D$1:D1359&lt;&gt;""""))), LEN(INDEX(FILTER(D$1:D1359, D$1:D1359&lt;&gt;""""),COUNTA(FILTER(D$1:D1359, D$1:D1359&lt;&gt;""""))))-1), IF('To Order'!$A1360=COL"&amp;"UMNS($A1360:D1379), D1359&amp;RIGHT(INDIRECT(ADDRESS(ROW(D1360)-1, 'From Order'!$A1360)), 1), D1359))"),"P")</f>
        <v>P</v>
      </c>
      <c r="E1360" s="2" t="str">
        <f>IFERROR(__xludf.DUMMYFUNCTION("IF('From Order'!$A1360=COLUMNS($A1360:E1379), LEFT(INDEX(FILTER(E$1:E1359, E$1:E1359&lt;&gt;""""),COUNTA(FILTER(E$1:E1359, E$1:E1359&lt;&gt;""""))), LEN(INDEX(FILTER(E$1:E1359, E$1:E1359&lt;&gt;""""),COUNTA(FILTER(E$1:E1359, E$1:E1359&lt;&gt;""""))))-1), IF('To Order'!$A1360=COL"&amp;"UMNS($A1360:E1379), E1359&amp;RIGHT(INDIRECT(ADDRESS(ROW(E1360)-1, 'From Order'!$A1360)), 1), E1359))"),"Z")</f>
        <v>Z</v>
      </c>
      <c r="F1360" s="2" t="str">
        <f>IFERROR(__xludf.DUMMYFUNCTION("IF('From Order'!$A1360=COLUMNS($A1360:F1379), LEFT(INDEX(FILTER(F$1:F1359, F$1:F1359&lt;&gt;""""),COUNTA(FILTER(F$1:F1359, F$1:F1359&lt;&gt;""""))), LEN(INDEX(FILTER(F$1:F1359, F$1:F1359&lt;&gt;""""),COUNTA(FILTER(F$1:F1359, F$1:F1359&lt;&gt;""""))))-1), IF('To Order'!$A1360=COL"&amp;"UMNS($A1360:F1379), F1359&amp;RIGHT(INDIRECT(ADDRESS(ROW(F1360)-1, 'From Order'!$A1360)), 1), F1359))"),"ZRLBSTVFSCZRDCRCT")</f>
        <v>ZRLBSTVFSCZRDCRCT</v>
      </c>
      <c r="G1360" s="2" t="str">
        <f>IFERROR(__xludf.DUMMYFUNCTION("IF('From Order'!$A1360=COLUMNS($A1360:G1379), LEFT(INDEX(FILTER(G$1:G1359, G$1:G1359&lt;&gt;""""),COUNTA(FILTER(G$1:G1359, G$1:G1359&lt;&gt;""""))), LEN(INDEX(FILTER(G$1:G1359, G$1:G1359&lt;&gt;""""),COUNTA(FILTER(G$1:G1359, G$1:G1359&lt;&gt;""""))))-1), IF('To Order'!$A1360=COL"&amp;"UMNS($A1360:G1379), G1359&amp;RIGHT(INDIRECT(ADDRESS(ROW(G1360)-1, 'From Order'!$A1360)), 1), G1359))"),"WRM")</f>
        <v>WRM</v>
      </c>
      <c r="H1360" s="2" t="str">
        <f>IFERROR(__xludf.DUMMYFUNCTION("IF('From Order'!$A1360=COLUMNS($A1360:H1379), LEFT(INDEX(FILTER(H$1:H1359, H$1:H1359&lt;&gt;""""),COUNTA(FILTER(H$1:H1359, H$1:H1359&lt;&gt;""""))), LEN(INDEX(FILTER(H$1:H1359, H$1:H1359&lt;&gt;""""),COUNTA(FILTER(H$1:H1359, H$1:H1359&lt;&gt;""""))))-1), IF('To Order'!$A1360=COL"&amp;"UMNS($A1360:H1379), H1359&amp;RIGHT(INDIRECT(ADDRESS(ROW(H1360)-1, 'From Order'!$A1360)), 1), H1359))"),"HGSTDD")</f>
        <v>HGSTDD</v>
      </c>
      <c r="I1360" s="2" t="str">
        <f>IFERROR(__xludf.DUMMYFUNCTION("IF('From Order'!$A1360=COLUMNS($A1360:I1379), LEFT(INDEX(FILTER(I$1:I1359, I$1:I1359&lt;&gt;""""),COUNTA(FILTER(I$1:I1359, I$1:I1359&lt;&gt;""""))), LEN(INDEX(FILTER(I$1:I1359, I$1:I1359&lt;&gt;""""),COUNTA(FILTER(I$1:I1359, I$1:I1359&lt;&gt;""""))))-1), IF('To Order'!$A1360=COL"&amp;"UMNS($A1360:I1379), I1359&amp;RIGHT(INDIRECT(ADDRESS(ROW(I1360)-1, 'From Order'!$A1360)), 1), I1359))"),"H")</f>
        <v>H</v>
      </c>
    </row>
    <row r="1361">
      <c r="A1361" s="2" t="str">
        <f>IFERROR(__xludf.DUMMYFUNCTION("IF('From Order'!$A1361=COLUMNS($A1361:A1380), LEFT(INDEX(FILTER(A$1:A1360, A$1:A1360&lt;&gt;""""),COUNTA(FILTER(A$1:A1360, A$1:A1360&lt;&gt;""""))), LEN(INDEX(FILTER(A$1:A1360, A$1:A1360&lt;&gt;""""),COUNTA(FILTER(A$1:A1360, A$1:A1360&lt;&gt;""""))))-1), IF('To Order'!$A1361=COL"&amp;"UMNS($A1361:A1380), A1360&amp;RIGHT(INDIRECT(ADDRESS(ROW(A1361)-1, 'From Order'!$A1361)), 1), A1360))"),"JTBFMDJDSBGMTDLPPJQVQW")</f>
        <v>JTBFMDJDSBGMTDLPPJQVQW</v>
      </c>
      <c r="B1361" s="2" t="str">
        <f>IFERROR(__xludf.DUMMYFUNCTION("IF('From Order'!$A1361=COLUMNS($A1361:B1380), LEFT(INDEX(FILTER(B$1:B1360, B$1:B1360&lt;&gt;""""),COUNTA(FILTER(B$1:B1360, B$1:B1360&lt;&gt;""""))), LEN(INDEX(FILTER(B$1:B1360, B$1:B1360&lt;&gt;""""),COUNTA(FILTER(B$1:B1360, B$1:B1360&lt;&gt;""""))))-1), IF('To Order'!$A1361=COL"&amp;"UMNS($A1361:B1380), B1360&amp;RIGHT(INDIRECT(ADDRESS(ROW(B1361)-1, 'From Order'!$A1361)), 1), B1360))"),"B")</f>
        <v>B</v>
      </c>
      <c r="C1361" s="2" t="str">
        <f>IFERROR(__xludf.DUMMYFUNCTION("IF('From Order'!$A1361=COLUMNS($A1361:C1380), LEFT(INDEX(FILTER(C$1:C1360, C$1:C1360&lt;&gt;""""),COUNTA(FILTER(C$1:C1360, C$1:C1360&lt;&gt;""""))), LEN(INDEX(FILTER(C$1:C1360, C$1:C1360&lt;&gt;""""),COUNTA(FILTER(C$1:C1360, C$1:C1360&lt;&gt;""""))))-1), IF('To Order'!$A1361=COL"&amp;"UMNS($A1361:C1380), C1360&amp;RIGHT(INDIRECT(ADDRESS(ROW(C1361)-1, 'From Order'!$A1361)), 1), C1360))"),"TRL")</f>
        <v>TRL</v>
      </c>
      <c r="D1361" s="2" t="str">
        <f>IFERROR(__xludf.DUMMYFUNCTION("IF('From Order'!$A1361=COLUMNS($A1361:D1380), LEFT(INDEX(FILTER(D$1:D1360, D$1:D1360&lt;&gt;""""),COUNTA(FILTER(D$1:D1360, D$1:D1360&lt;&gt;""""))), LEN(INDEX(FILTER(D$1:D1360, D$1:D1360&lt;&gt;""""),COUNTA(FILTER(D$1:D1360, D$1:D1360&lt;&gt;""""))))-1), IF('To Order'!$A1361=COL"&amp;"UMNS($A1361:D1380), D1360&amp;RIGHT(INDIRECT(ADDRESS(ROW(D1361)-1, 'From Order'!$A1361)), 1), D1360))"),"P")</f>
        <v>P</v>
      </c>
      <c r="E1361" s="2" t="str">
        <f>IFERROR(__xludf.DUMMYFUNCTION("IF('From Order'!$A1361=COLUMNS($A1361:E1380), LEFT(INDEX(FILTER(E$1:E1360, E$1:E1360&lt;&gt;""""),COUNTA(FILTER(E$1:E1360, E$1:E1360&lt;&gt;""""))), LEN(INDEX(FILTER(E$1:E1360, E$1:E1360&lt;&gt;""""),COUNTA(FILTER(E$1:E1360, E$1:E1360&lt;&gt;""""))))-1), IF('To Order'!$A1361=COL"&amp;"UMNS($A1361:E1380), E1360&amp;RIGHT(INDIRECT(ADDRESS(ROW(E1361)-1, 'From Order'!$A1361)), 1), E1360))"),"Z")</f>
        <v>Z</v>
      </c>
      <c r="F1361" s="2" t="str">
        <f>IFERROR(__xludf.DUMMYFUNCTION("IF('From Order'!$A1361=COLUMNS($A1361:F1380), LEFT(INDEX(FILTER(F$1:F1360, F$1:F1360&lt;&gt;""""),COUNTA(FILTER(F$1:F1360, F$1:F1360&lt;&gt;""""))), LEN(INDEX(FILTER(F$1:F1360, F$1:F1360&lt;&gt;""""),COUNTA(FILTER(F$1:F1360, F$1:F1360&lt;&gt;""""))))-1), IF('To Order'!$A1361=COL"&amp;"UMNS($A1361:F1380), F1360&amp;RIGHT(INDIRECT(ADDRESS(ROW(F1361)-1, 'From Order'!$A1361)), 1), F1360))"),"ZRLBSTVFSCZRDCRCTV")</f>
        <v>ZRLBSTVFSCZRDCRCTV</v>
      </c>
      <c r="G1361" s="2" t="str">
        <f>IFERROR(__xludf.DUMMYFUNCTION("IF('From Order'!$A1361=COLUMNS($A1361:G1380), LEFT(INDEX(FILTER(G$1:G1360, G$1:G1360&lt;&gt;""""),COUNTA(FILTER(G$1:G1360, G$1:G1360&lt;&gt;""""))), LEN(INDEX(FILTER(G$1:G1360, G$1:G1360&lt;&gt;""""),COUNTA(FILTER(G$1:G1360, G$1:G1360&lt;&gt;""""))))-1), IF('To Order'!$A1361=COL"&amp;"UMNS($A1361:G1380), G1360&amp;RIGHT(INDIRECT(ADDRESS(ROW(G1361)-1, 'From Order'!$A1361)), 1), G1360))"),"WRM")</f>
        <v>WRM</v>
      </c>
      <c r="H1361" s="2" t="str">
        <f>IFERROR(__xludf.DUMMYFUNCTION("IF('From Order'!$A1361=COLUMNS($A1361:H1380), LEFT(INDEX(FILTER(H$1:H1360, H$1:H1360&lt;&gt;""""),COUNTA(FILTER(H$1:H1360, H$1:H1360&lt;&gt;""""))), LEN(INDEX(FILTER(H$1:H1360, H$1:H1360&lt;&gt;""""),COUNTA(FILTER(H$1:H1360, H$1:H1360&lt;&gt;""""))))-1), IF('To Order'!$A1361=COL"&amp;"UMNS($A1361:H1380), H1360&amp;RIGHT(INDIRECT(ADDRESS(ROW(H1361)-1, 'From Order'!$A1361)), 1), H1360))"),"HGSTDD")</f>
        <v>HGSTDD</v>
      </c>
      <c r="I1361" s="2" t="str">
        <f>IFERROR(__xludf.DUMMYFUNCTION("IF('From Order'!$A1361=COLUMNS($A1361:I1380), LEFT(INDEX(FILTER(I$1:I1360, I$1:I1360&lt;&gt;""""),COUNTA(FILTER(I$1:I1360, I$1:I1360&lt;&gt;""""))), LEN(INDEX(FILTER(I$1:I1360, I$1:I1360&lt;&gt;""""),COUNTA(FILTER(I$1:I1360, I$1:I1360&lt;&gt;""""))))-1), IF('To Order'!$A1361=COL"&amp;"UMNS($A1361:I1380), I1360&amp;RIGHT(INDIRECT(ADDRESS(ROW(I1361)-1, 'From Order'!$A1361)), 1), I1360))"),"H")</f>
        <v>H</v>
      </c>
    </row>
    <row r="1362">
      <c r="A1362" s="2" t="str">
        <f>IFERROR(__xludf.DUMMYFUNCTION("IF('From Order'!$A1362=COLUMNS($A1362:A1381), LEFT(INDEX(FILTER(A$1:A1361, A$1:A1361&lt;&gt;""""),COUNTA(FILTER(A$1:A1361, A$1:A1361&lt;&gt;""""))), LEN(INDEX(FILTER(A$1:A1361, A$1:A1361&lt;&gt;""""),COUNTA(FILTER(A$1:A1361, A$1:A1361&lt;&gt;""""))))-1), IF('To Order'!$A1362=COL"&amp;"UMNS($A1362:A1381), A1361&amp;RIGHT(INDIRECT(ADDRESS(ROW(A1362)-1, 'From Order'!$A1362)), 1), A1361))"),"JTBFMDJDSBGMTDLPPJQVQW")</f>
        <v>JTBFMDJDSBGMTDLPPJQVQW</v>
      </c>
      <c r="B1362" s="2" t="str">
        <f>IFERROR(__xludf.DUMMYFUNCTION("IF('From Order'!$A1362=COLUMNS($A1362:B1381), LEFT(INDEX(FILTER(B$1:B1361, B$1:B1361&lt;&gt;""""),COUNTA(FILTER(B$1:B1361, B$1:B1361&lt;&gt;""""))), LEN(INDEX(FILTER(B$1:B1361, B$1:B1361&lt;&gt;""""),COUNTA(FILTER(B$1:B1361, B$1:B1361&lt;&gt;""""))))-1), IF('To Order'!$A1362=COL"&amp;"UMNS($A1362:B1381), B1361&amp;RIGHT(INDIRECT(ADDRESS(ROW(B1362)-1, 'From Order'!$A1362)), 1), B1361))"),"")</f>
        <v/>
      </c>
      <c r="C1362" s="2" t="str">
        <f>IFERROR(__xludf.DUMMYFUNCTION("IF('From Order'!$A1362=COLUMNS($A1362:C1381), LEFT(INDEX(FILTER(C$1:C1361, C$1:C1361&lt;&gt;""""),COUNTA(FILTER(C$1:C1361, C$1:C1361&lt;&gt;""""))), LEN(INDEX(FILTER(C$1:C1361, C$1:C1361&lt;&gt;""""),COUNTA(FILTER(C$1:C1361, C$1:C1361&lt;&gt;""""))))-1), IF('To Order'!$A1362=COL"&amp;"UMNS($A1362:C1381), C1361&amp;RIGHT(INDIRECT(ADDRESS(ROW(C1362)-1, 'From Order'!$A1362)), 1), C1361))"),"TRL")</f>
        <v>TRL</v>
      </c>
      <c r="D1362" s="2" t="str">
        <f>IFERROR(__xludf.DUMMYFUNCTION("IF('From Order'!$A1362=COLUMNS($A1362:D1381), LEFT(INDEX(FILTER(D$1:D1361, D$1:D1361&lt;&gt;""""),COUNTA(FILTER(D$1:D1361, D$1:D1361&lt;&gt;""""))), LEN(INDEX(FILTER(D$1:D1361, D$1:D1361&lt;&gt;""""),COUNTA(FILTER(D$1:D1361, D$1:D1361&lt;&gt;""""))))-1), IF('To Order'!$A1362=COL"&amp;"UMNS($A1362:D1381), D1361&amp;RIGHT(INDIRECT(ADDRESS(ROW(D1362)-1, 'From Order'!$A1362)), 1), D1361))"),"P")</f>
        <v>P</v>
      </c>
      <c r="E1362" s="2" t="str">
        <f>IFERROR(__xludf.DUMMYFUNCTION("IF('From Order'!$A1362=COLUMNS($A1362:E1381), LEFT(INDEX(FILTER(E$1:E1361, E$1:E1361&lt;&gt;""""),COUNTA(FILTER(E$1:E1361, E$1:E1361&lt;&gt;""""))), LEN(INDEX(FILTER(E$1:E1361, E$1:E1361&lt;&gt;""""),COUNTA(FILTER(E$1:E1361, E$1:E1361&lt;&gt;""""))))-1), IF('To Order'!$A1362=COL"&amp;"UMNS($A1362:E1381), E1361&amp;RIGHT(INDIRECT(ADDRESS(ROW(E1362)-1, 'From Order'!$A1362)), 1), E1361))"),"Z")</f>
        <v>Z</v>
      </c>
      <c r="F1362" s="2" t="str">
        <f>IFERROR(__xludf.DUMMYFUNCTION("IF('From Order'!$A1362=COLUMNS($A1362:F1381), LEFT(INDEX(FILTER(F$1:F1361, F$1:F1361&lt;&gt;""""),COUNTA(FILTER(F$1:F1361, F$1:F1361&lt;&gt;""""))), LEN(INDEX(FILTER(F$1:F1361, F$1:F1361&lt;&gt;""""),COUNTA(FILTER(F$1:F1361, F$1:F1361&lt;&gt;""""))))-1), IF('To Order'!$A1362=COL"&amp;"UMNS($A1362:F1381), F1361&amp;RIGHT(INDIRECT(ADDRESS(ROW(F1362)-1, 'From Order'!$A1362)), 1), F1361))"),"ZRLBSTVFSCZRDCRCTVB")</f>
        <v>ZRLBSTVFSCZRDCRCTVB</v>
      </c>
      <c r="G1362" s="2" t="str">
        <f>IFERROR(__xludf.DUMMYFUNCTION("IF('From Order'!$A1362=COLUMNS($A1362:G1381), LEFT(INDEX(FILTER(G$1:G1361, G$1:G1361&lt;&gt;""""),COUNTA(FILTER(G$1:G1361, G$1:G1361&lt;&gt;""""))), LEN(INDEX(FILTER(G$1:G1361, G$1:G1361&lt;&gt;""""),COUNTA(FILTER(G$1:G1361, G$1:G1361&lt;&gt;""""))))-1), IF('To Order'!$A1362=COL"&amp;"UMNS($A1362:G1381), G1361&amp;RIGHT(INDIRECT(ADDRESS(ROW(G1362)-1, 'From Order'!$A1362)), 1), G1361))"),"WRM")</f>
        <v>WRM</v>
      </c>
      <c r="H1362" s="2" t="str">
        <f>IFERROR(__xludf.DUMMYFUNCTION("IF('From Order'!$A1362=COLUMNS($A1362:H1381), LEFT(INDEX(FILTER(H$1:H1361, H$1:H1361&lt;&gt;""""),COUNTA(FILTER(H$1:H1361, H$1:H1361&lt;&gt;""""))), LEN(INDEX(FILTER(H$1:H1361, H$1:H1361&lt;&gt;""""),COUNTA(FILTER(H$1:H1361, H$1:H1361&lt;&gt;""""))))-1), IF('To Order'!$A1362=COL"&amp;"UMNS($A1362:H1381), H1361&amp;RIGHT(INDIRECT(ADDRESS(ROW(H1362)-1, 'From Order'!$A1362)), 1), H1361))"),"HGSTDD")</f>
        <v>HGSTDD</v>
      </c>
      <c r="I1362" s="2" t="str">
        <f>IFERROR(__xludf.DUMMYFUNCTION("IF('From Order'!$A1362=COLUMNS($A1362:I1381), LEFT(INDEX(FILTER(I$1:I1361, I$1:I1361&lt;&gt;""""),COUNTA(FILTER(I$1:I1361, I$1:I1361&lt;&gt;""""))), LEN(INDEX(FILTER(I$1:I1361, I$1:I1361&lt;&gt;""""),COUNTA(FILTER(I$1:I1361, I$1:I1361&lt;&gt;""""))))-1), IF('To Order'!$A1362=COL"&amp;"UMNS($A1362:I1381), I1361&amp;RIGHT(INDIRECT(ADDRESS(ROW(I1362)-1, 'From Order'!$A1362)), 1), I1361))"),"H")</f>
        <v>H</v>
      </c>
    </row>
    <row r="1363">
      <c r="A1363" s="2" t="str">
        <f>IFERROR(__xludf.DUMMYFUNCTION("IF('From Order'!$A1363=COLUMNS($A1363:A1382), LEFT(INDEX(FILTER(A$1:A1362, A$1:A1362&lt;&gt;""""),COUNTA(FILTER(A$1:A1362, A$1:A1362&lt;&gt;""""))), LEN(INDEX(FILTER(A$1:A1362, A$1:A1362&lt;&gt;""""),COUNTA(FILTER(A$1:A1362, A$1:A1362&lt;&gt;""""))))-1), IF('To Order'!$A1363=COL"&amp;"UMNS($A1363:A1382), A1362&amp;RIGHT(INDIRECT(ADDRESS(ROW(A1363)-1, 'From Order'!$A1363)), 1), A1362))"),"JTBFMDJDSBGMTDLPPJQVQW")</f>
        <v>JTBFMDJDSBGMTDLPPJQVQW</v>
      </c>
      <c r="B1363" s="2" t="str">
        <f>IFERROR(__xludf.DUMMYFUNCTION("IF('From Order'!$A1363=COLUMNS($A1363:B1382), LEFT(INDEX(FILTER(B$1:B1362, B$1:B1362&lt;&gt;""""),COUNTA(FILTER(B$1:B1362, B$1:B1362&lt;&gt;""""))), LEN(INDEX(FILTER(B$1:B1362, B$1:B1362&lt;&gt;""""),COUNTA(FILTER(B$1:B1362, B$1:B1362&lt;&gt;""""))))-1), IF('To Order'!$A1363=COL"&amp;"UMNS($A1363:B1382), B1362&amp;RIGHT(INDIRECT(ADDRESS(ROW(B1363)-1, 'From Order'!$A1363)), 1), B1362))"),"")</f>
        <v/>
      </c>
      <c r="C1363" s="2" t="str">
        <f>IFERROR(__xludf.DUMMYFUNCTION("IF('From Order'!$A1363=COLUMNS($A1363:C1382), LEFT(INDEX(FILTER(C$1:C1362, C$1:C1362&lt;&gt;""""),COUNTA(FILTER(C$1:C1362, C$1:C1362&lt;&gt;""""))), LEN(INDEX(FILTER(C$1:C1362, C$1:C1362&lt;&gt;""""),COUNTA(FILTER(C$1:C1362, C$1:C1362&lt;&gt;""""))))-1), IF('To Order'!$A1363=COL"&amp;"UMNS($A1363:C1382), C1362&amp;RIGHT(INDIRECT(ADDRESS(ROW(C1363)-1, 'From Order'!$A1363)), 1), C1362))"),"TR")</f>
        <v>TR</v>
      </c>
      <c r="D1363" s="2" t="str">
        <f>IFERROR(__xludf.DUMMYFUNCTION("IF('From Order'!$A1363=COLUMNS($A1363:D1382), LEFT(INDEX(FILTER(D$1:D1362, D$1:D1362&lt;&gt;""""),COUNTA(FILTER(D$1:D1362, D$1:D1362&lt;&gt;""""))), LEN(INDEX(FILTER(D$1:D1362, D$1:D1362&lt;&gt;""""),COUNTA(FILTER(D$1:D1362, D$1:D1362&lt;&gt;""""))))-1), IF('To Order'!$A1363=COL"&amp;"UMNS($A1363:D1382), D1362&amp;RIGHT(INDIRECT(ADDRESS(ROW(D1363)-1, 'From Order'!$A1363)), 1), D1362))"),"P")</f>
        <v>P</v>
      </c>
      <c r="E1363" s="2" t="str">
        <f>IFERROR(__xludf.DUMMYFUNCTION("IF('From Order'!$A1363=COLUMNS($A1363:E1382), LEFT(INDEX(FILTER(E$1:E1362, E$1:E1362&lt;&gt;""""),COUNTA(FILTER(E$1:E1362, E$1:E1362&lt;&gt;""""))), LEN(INDEX(FILTER(E$1:E1362, E$1:E1362&lt;&gt;""""),COUNTA(FILTER(E$1:E1362, E$1:E1362&lt;&gt;""""))))-1), IF('To Order'!$A1363=COL"&amp;"UMNS($A1363:E1382), E1362&amp;RIGHT(INDIRECT(ADDRESS(ROW(E1363)-1, 'From Order'!$A1363)), 1), E1362))"),"Z")</f>
        <v>Z</v>
      </c>
      <c r="F1363" s="2" t="str">
        <f>IFERROR(__xludf.DUMMYFUNCTION("IF('From Order'!$A1363=COLUMNS($A1363:F1382), LEFT(INDEX(FILTER(F$1:F1362, F$1:F1362&lt;&gt;""""),COUNTA(FILTER(F$1:F1362, F$1:F1362&lt;&gt;""""))), LEN(INDEX(FILTER(F$1:F1362, F$1:F1362&lt;&gt;""""),COUNTA(FILTER(F$1:F1362, F$1:F1362&lt;&gt;""""))))-1), IF('To Order'!$A1363=COL"&amp;"UMNS($A1363:F1382), F1362&amp;RIGHT(INDIRECT(ADDRESS(ROW(F1363)-1, 'From Order'!$A1363)), 1), F1362))"),"ZRLBSTVFSCZRDCRCTVB")</f>
        <v>ZRLBSTVFSCZRDCRCTVB</v>
      </c>
      <c r="G1363" s="2" t="str">
        <f>IFERROR(__xludf.DUMMYFUNCTION("IF('From Order'!$A1363=COLUMNS($A1363:G1382), LEFT(INDEX(FILTER(G$1:G1362, G$1:G1362&lt;&gt;""""),COUNTA(FILTER(G$1:G1362, G$1:G1362&lt;&gt;""""))), LEN(INDEX(FILTER(G$1:G1362, G$1:G1362&lt;&gt;""""),COUNTA(FILTER(G$1:G1362, G$1:G1362&lt;&gt;""""))))-1), IF('To Order'!$A1363=COL"&amp;"UMNS($A1363:G1382), G1362&amp;RIGHT(INDIRECT(ADDRESS(ROW(G1363)-1, 'From Order'!$A1363)), 1), G1362))"),"WRM")</f>
        <v>WRM</v>
      </c>
      <c r="H1363" s="2" t="str">
        <f>IFERROR(__xludf.DUMMYFUNCTION("IF('From Order'!$A1363=COLUMNS($A1363:H1382), LEFT(INDEX(FILTER(H$1:H1362, H$1:H1362&lt;&gt;""""),COUNTA(FILTER(H$1:H1362, H$1:H1362&lt;&gt;""""))), LEN(INDEX(FILTER(H$1:H1362, H$1:H1362&lt;&gt;""""),COUNTA(FILTER(H$1:H1362, H$1:H1362&lt;&gt;""""))))-1), IF('To Order'!$A1363=COL"&amp;"UMNS($A1363:H1382), H1362&amp;RIGHT(INDIRECT(ADDRESS(ROW(H1363)-1, 'From Order'!$A1363)), 1), H1362))"),"HGSTDDL")</f>
        <v>HGSTDDL</v>
      </c>
      <c r="I1363" s="2" t="str">
        <f>IFERROR(__xludf.DUMMYFUNCTION("IF('From Order'!$A1363=COLUMNS($A1363:I1382), LEFT(INDEX(FILTER(I$1:I1362, I$1:I1362&lt;&gt;""""),COUNTA(FILTER(I$1:I1362, I$1:I1362&lt;&gt;""""))), LEN(INDEX(FILTER(I$1:I1362, I$1:I1362&lt;&gt;""""),COUNTA(FILTER(I$1:I1362, I$1:I1362&lt;&gt;""""))))-1), IF('To Order'!$A1363=COL"&amp;"UMNS($A1363:I1382), I1362&amp;RIGHT(INDIRECT(ADDRESS(ROW(I1363)-1, 'From Order'!$A1363)), 1), I1362))"),"H")</f>
        <v>H</v>
      </c>
    </row>
    <row r="1364">
      <c r="A1364" s="2" t="str">
        <f>IFERROR(__xludf.DUMMYFUNCTION("IF('From Order'!$A1364=COLUMNS($A1364:A1383), LEFT(INDEX(FILTER(A$1:A1363, A$1:A1363&lt;&gt;""""),COUNTA(FILTER(A$1:A1363, A$1:A1363&lt;&gt;""""))), LEN(INDEX(FILTER(A$1:A1363, A$1:A1363&lt;&gt;""""),COUNTA(FILTER(A$1:A1363, A$1:A1363&lt;&gt;""""))))-1), IF('To Order'!$A1364=COL"&amp;"UMNS($A1364:A1383), A1363&amp;RIGHT(INDIRECT(ADDRESS(ROW(A1364)-1, 'From Order'!$A1364)), 1), A1363))"),"JTBFMDJDSBGMTDLPPJQVQ")</f>
        <v>JTBFMDJDSBGMTDLPPJQVQ</v>
      </c>
      <c r="B1364" s="2" t="str">
        <f>IFERROR(__xludf.DUMMYFUNCTION("IF('From Order'!$A1364=COLUMNS($A1364:B1383), LEFT(INDEX(FILTER(B$1:B1363, B$1:B1363&lt;&gt;""""),COUNTA(FILTER(B$1:B1363, B$1:B1363&lt;&gt;""""))), LEN(INDEX(FILTER(B$1:B1363, B$1:B1363&lt;&gt;""""),COUNTA(FILTER(B$1:B1363, B$1:B1363&lt;&gt;""""))))-1), IF('To Order'!$A1364=COL"&amp;"UMNS($A1364:B1383), B1363&amp;RIGHT(INDIRECT(ADDRESS(ROW(B1364)-1, 'From Order'!$A1364)), 1), B1363))"),"")</f>
        <v/>
      </c>
      <c r="C1364" s="2" t="str">
        <f>IFERROR(__xludf.DUMMYFUNCTION("IF('From Order'!$A1364=COLUMNS($A1364:C1383), LEFT(INDEX(FILTER(C$1:C1363, C$1:C1363&lt;&gt;""""),COUNTA(FILTER(C$1:C1363, C$1:C1363&lt;&gt;""""))), LEN(INDEX(FILTER(C$1:C1363, C$1:C1363&lt;&gt;""""),COUNTA(FILTER(C$1:C1363, C$1:C1363&lt;&gt;""""))))-1), IF('To Order'!$A1364=COL"&amp;"UMNS($A1364:C1383), C1363&amp;RIGHT(INDIRECT(ADDRESS(ROW(C1364)-1, 'From Order'!$A1364)), 1), C1363))"),"TR")</f>
        <v>TR</v>
      </c>
      <c r="D1364" s="2" t="str">
        <f>IFERROR(__xludf.DUMMYFUNCTION("IF('From Order'!$A1364=COLUMNS($A1364:D1383), LEFT(INDEX(FILTER(D$1:D1363, D$1:D1363&lt;&gt;""""),COUNTA(FILTER(D$1:D1363, D$1:D1363&lt;&gt;""""))), LEN(INDEX(FILTER(D$1:D1363, D$1:D1363&lt;&gt;""""),COUNTA(FILTER(D$1:D1363, D$1:D1363&lt;&gt;""""))))-1), IF('To Order'!$A1364=COL"&amp;"UMNS($A1364:D1383), D1363&amp;RIGHT(INDIRECT(ADDRESS(ROW(D1364)-1, 'From Order'!$A1364)), 1), D1363))"),"PW")</f>
        <v>PW</v>
      </c>
      <c r="E1364" s="2" t="str">
        <f>IFERROR(__xludf.DUMMYFUNCTION("IF('From Order'!$A1364=COLUMNS($A1364:E1383), LEFT(INDEX(FILTER(E$1:E1363, E$1:E1363&lt;&gt;""""),COUNTA(FILTER(E$1:E1363, E$1:E1363&lt;&gt;""""))), LEN(INDEX(FILTER(E$1:E1363, E$1:E1363&lt;&gt;""""),COUNTA(FILTER(E$1:E1363, E$1:E1363&lt;&gt;""""))))-1), IF('To Order'!$A1364=COL"&amp;"UMNS($A1364:E1383), E1363&amp;RIGHT(INDIRECT(ADDRESS(ROW(E1364)-1, 'From Order'!$A1364)), 1), E1363))"),"Z")</f>
        <v>Z</v>
      </c>
      <c r="F1364" s="2" t="str">
        <f>IFERROR(__xludf.DUMMYFUNCTION("IF('From Order'!$A1364=COLUMNS($A1364:F1383), LEFT(INDEX(FILTER(F$1:F1363, F$1:F1363&lt;&gt;""""),COUNTA(FILTER(F$1:F1363, F$1:F1363&lt;&gt;""""))), LEN(INDEX(FILTER(F$1:F1363, F$1:F1363&lt;&gt;""""),COUNTA(FILTER(F$1:F1363, F$1:F1363&lt;&gt;""""))))-1), IF('To Order'!$A1364=COL"&amp;"UMNS($A1364:F1383), F1363&amp;RIGHT(INDIRECT(ADDRESS(ROW(F1364)-1, 'From Order'!$A1364)), 1), F1363))"),"ZRLBSTVFSCZRDCRCTVB")</f>
        <v>ZRLBSTVFSCZRDCRCTVB</v>
      </c>
      <c r="G1364" s="2" t="str">
        <f>IFERROR(__xludf.DUMMYFUNCTION("IF('From Order'!$A1364=COLUMNS($A1364:G1383), LEFT(INDEX(FILTER(G$1:G1363, G$1:G1363&lt;&gt;""""),COUNTA(FILTER(G$1:G1363, G$1:G1363&lt;&gt;""""))), LEN(INDEX(FILTER(G$1:G1363, G$1:G1363&lt;&gt;""""),COUNTA(FILTER(G$1:G1363, G$1:G1363&lt;&gt;""""))))-1), IF('To Order'!$A1364=COL"&amp;"UMNS($A1364:G1383), G1363&amp;RIGHT(INDIRECT(ADDRESS(ROW(G1364)-1, 'From Order'!$A1364)), 1), G1363))"),"WRM")</f>
        <v>WRM</v>
      </c>
      <c r="H1364" s="2" t="str">
        <f>IFERROR(__xludf.DUMMYFUNCTION("IF('From Order'!$A1364=COLUMNS($A1364:H1383), LEFT(INDEX(FILTER(H$1:H1363, H$1:H1363&lt;&gt;""""),COUNTA(FILTER(H$1:H1363, H$1:H1363&lt;&gt;""""))), LEN(INDEX(FILTER(H$1:H1363, H$1:H1363&lt;&gt;""""),COUNTA(FILTER(H$1:H1363, H$1:H1363&lt;&gt;""""))))-1), IF('To Order'!$A1364=COL"&amp;"UMNS($A1364:H1383), H1363&amp;RIGHT(INDIRECT(ADDRESS(ROW(H1364)-1, 'From Order'!$A1364)), 1), H1363))"),"HGSTDDL")</f>
        <v>HGSTDDL</v>
      </c>
      <c r="I1364" s="2" t="str">
        <f>IFERROR(__xludf.DUMMYFUNCTION("IF('From Order'!$A1364=COLUMNS($A1364:I1383), LEFT(INDEX(FILTER(I$1:I1363, I$1:I1363&lt;&gt;""""),COUNTA(FILTER(I$1:I1363, I$1:I1363&lt;&gt;""""))), LEN(INDEX(FILTER(I$1:I1363, I$1:I1363&lt;&gt;""""),COUNTA(FILTER(I$1:I1363, I$1:I1363&lt;&gt;""""))))-1), IF('To Order'!$A1364=COL"&amp;"UMNS($A1364:I1383), I1363&amp;RIGHT(INDIRECT(ADDRESS(ROW(I1364)-1, 'From Order'!$A1364)), 1), I1363))"),"H")</f>
        <v>H</v>
      </c>
    </row>
    <row r="1365">
      <c r="A1365" s="2" t="str">
        <f>IFERROR(__xludf.DUMMYFUNCTION("IF('From Order'!$A1365=COLUMNS($A1365:A1384), LEFT(INDEX(FILTER(A$1:A1364, A$1:A1364&lt;&gt;""""),COUNTA(FILTER(A$1:A1364, A$1:A1364&lt;&gt;""""))), LEN(INDEX(FILTER(A$1:A1364, A$1:A1364&lt;&gt;""""),COUNTA(FILTER(A$1:A1364, A$1:A1364&lt;&gt;""""))))-1), IF('To Order'!$A1365=COL"&amp;"UMNS($A1365:A1384), A1364&amp;RIGHT(INDIRECT(ADDRESS(ROW(A1365)-1, 'From Order'!$A1365)), 1), A1364))"),"JTBFMDJDSBGMTDLPPJQVQ")</f>
        <v>JTBFMDJDSBGMTDLPPJQVQ</v>
      </c>
      <c r="B1365" s="2" t="str">
        <f>IFERROR(__xludf.DUMMYFUNCTION("IF('From Order'!$A1365=COLUMNS($A1365:B1384), LEFT(INDEX(FILTER(B$1:B1364, B$1:B1364&lt;&gt;""""),COUNTA(FILTER(B$1:B1364, B$1:B1364&lt;&gt;""""))), LEN(INDEX(FILTER(B$1:B1364, B$1:B1364&lt;&gt;""""),COUNTA(FILTER(B$1:B1364, B$1:B1364&lt;&gt;""""))))-1), IF('To Order'!$A1365=COL"&amp;"UMNS($A1365:B1384), B1364&amp;RIGHT(INDIRECT(ADDRESS(ROW(B1365)-1, 'From Order'!$A1365)), 1), B1364))"),"")</f>
        <v/>
      </c>
      <c r="C1365" s="2" t="str">
        <f>IFERROR(__xludf.DUMMYFUNCTION("IF('From Order'!$A1365=COLUMNS($A1365:C1384), LEFT(INDEX(FILTER(C$1:C1364, C$1:C1364&lt;&gt;""""),COUNTA(FILTER(C$1:C1364, C$1:C1364&lt;&gt;""""))), LEN(INDEX(FILTER(C$1:C1364, C$1:C1364&lt;&gt;""""),COUNTA(FILTER(C$1:C1364, C$1:C1364&lt;&gt;""""))))-1), IF('To Order'!$A1365=COL"&amp;"UMNS($A1365:C1384), C1364&amp;RIGHT(INDIRECT(ADDRESS(ROW(C1365)-1, 'From Order'!$A1365)), 1), C1364))"),"TR")</f>
        <v>TR</v>
      </c>
      <c r="D1365" s="2" t="str">
        <f>IFERROR(__xludf.DUMMYFUNCTION("IF('From Order'!$A1365=COLUMNS($A1365:D1384), LEFT(INDEX(FILTER(D$1:D1364, D$1:D1364&lt;&gt;""""),COUNTA(FILTER(D$1:D1364, D$1:D1364&lt;&gt;""""))), LEN(INDEX(FILTER(D$1:D1364, D$1:D1364&lt;&gt;""""),COUNTA(FILTER(D$1:D1364, D$1:D1364&lt;&gt;""""))))-1), IF('To Order'!$A1365=COL"&amp;"UMNS($A1365:D1384), D1364&amp;RIGHT(INDIRECT(ADDRESS(ROW(D1365)-1, 'From Order'!$A1365)), 1), D1364))"),"PWL")</f>
        <v>PWL</v>
      </c>
      <c r="E1365" s="2" t="str">
        <f>IFERROR(__xludf.DUMMYFUNCTION("IF('From Order'!$A1365=COLUMNS($A1365:E1384), LEFT(INDEX(FILTER(E$1:E1364, E$1:E1364&lt;&gt;""""),COUNTA(FILTER(E$1:E1364, E$1:E1364&lt;&gt;""""))), LEN(INDEX(FILTER(E$1:E1364, E$1:E1364&lt;&gt;""""),COUNTA(FILTER(E$1:E1364, E$1:E1364&lt;&gt;""""))))-1), IF('To Order'!$A1365=COL"&amp;"UMNS($A1365:E1384), E1364&amp;RIGHT(INDIRECT(ADDRESS(ROW(E1365)-1, 'From Order'!$A1365)), 1), E1364))"),"Z")</f>
        <v>Z</v>
      </c>
      <c r="F1365" s="2" t="str">
        <f>IFERROR(__xludf.DUMMYFUNCTION("IF('From Order'!$A1365=COLUMNS($A1365:F1384), LEFT(INDEX(FILTER(F$1:F1364, F$1:F1364&lt;&gt;""""),COUNTA(FILTER(F$1:F1364, F$1:F1364&lt;&gt;""""))), LEN(INDEX(FILTER(F$1:F1364, F$1:F1364&lt;&gt;""""),COUNTA(FILTER(F$1:F1364, F$1:F1364&lt;&gt;""""))))-1), IF('To Order'!$A1365=COL"&amp;"UMNS($A1365:F1384), F1364&amp;RIGHT(INDIRECT(ADDRESS(ROW(F1365)-1, 'From Order'!$A1365)), 1), F1364))"),"ZRLBSTVFSCZRDCRCTVB")</f>
        <v>ZRLBSTVFSCZRDCRCTVB</v>
      </c>
      <c r="G1365" s="2" t="str">
        <f>IFERROR(__xludf.DUMMYFUNCTION("IF('From Order'!$A1365=COLUMNS($A1365:G1384), LEFT(INDEX(FILTER(G$1:G1364, G$1:G1364&lt;&gt;""""),COUNTA(FILTER(G$1:G1364, G$1:G1364&lt;&gt;""""))), LEN(INDEX(FILTER(G$1:G1364, G$1:G1364&lt;&gt;""""),COUNTA(FILTER(G$1:G1364, G$1:G1364&lt;&gt;""""))))-1), IF('To Order'!$A1365=COL"&amp;"UMNS($A1365:G1384), G1364&amp;RIGHT(INDIRECT(ADDRESS(ROW(G1365)-1, 'From Order'!$A1365)), 1), G1364))"),"WRM")</f>
        <v>WRM</v>
      </c>
      <c r="H1365" s="2" t="str">
        <f>IFERROR(__xludf.DUMMYFUNCTION("IF('From Order'!$A1365=COLUMNS($A1365:H1384), LEFT(INDEX(FILTER(H$1:H1364, H$1:H1364&lt;&gt;""""),COUNTA(FILTER(H$1:H1364, H$1:H1364&lt;&gt;""""))), LEN(INDEX(FILTER(H$1:H1364, H$1:H1364&lt;&gt;""""),COUNTA(FILTER(H$1:H1364, H$1:H1364&lt;&gt;""""))))-1), IF('To Order'!$A1365=COL"&amp;"UMNS($A1365:H1384), H1364&amp;RIGHT(INDIRECT(ADDRESS(ROW(H1365)-1, 'From Order'!$A1365)), 1), H1364))"),"HGSTDD")</f>
        <v>HGSTDD</v>
      </c>
      <c r="I1365" s="2" t="str">
        <f>IFERROR(__xludf.DUMMYFUNCTION("IF('From Order'!$A1365=COLUMNS($A1365:I1384), LEFT(INDEX(FILTER(I$1:I1364, I$1:I1364&lt;&gt;""""),COUNTA(FILTER(I$1:I1364, I$1:I1364&lt;&gt;""""))), LEN(INDEX(FILTER(I$1:I1364, I$1:I1364&lt;&gt;""""),COUNTA(FILTER(I$1:I1364, I$1:I1364&lt;&gt;""""))))-1), IF('To Order'!$A1365=COL"&amp;"UMNS($A1365:I1384), I1364&amp;RIGHT(INDIRECT(ADDRESS(ROW(I1365)-1, 'From Order'!$A1365)), 1), I1364))"),"H")</f>
        <v>H</v>
      </c>
    </row>
    <row r="1366">
      <c r="A1366" s="2" t="str">
        <f>IFERROR(__xludf.DUMMYFUNCTION("IF('From Order'!$A1366=COLUMNS($A1366:A1385), LEFT(INDEX(FILTER(A$1:A1365, A$1:A1365&lt;&gt;""""),COUNTA(FILTER(A$1:A1365, A$1:A1365&lt;&gt;""""))), LEN(INDEX(FILTER(A$1:A1365, A$1:A1365&lt;&gt;""""),COUNTA(FILTER(A$1:A1365, A$1:A1365&lt;&gt;""""))))-1), IF('To Order'!$A1366=COL"&amp;"UMNS($A1366:A1385), A1365&amp;RIGHT(INDIRECT(ADDRESS(ROW(A1366)-1, 'From Order'!$A1366)), 1), A1365))"),"JTBFMDJDSBGMTDLPPJQVQ")</f>
        <v>JTBFMDJDSBGMTDLPPJQVQ</v>
      </c>
      <c r="B1366" s="2" t="str">
        <f>IFERROR(__xludf.DUMMYFUNCTION("IF('From Order'!$A1366=COLUMNS($A1366:B1385), LEFT(INDEX(FILTER(B$1:B1365, B$1:B1365&lt;&gt;""""),COUNTA(FILTER(B$1:B1365, B$1:B1365&lt;&gt;""""))), LEN(INDEX(FILTER(B$1:B1365, B$1:B1365&lt;&gt;""""),COUNTA(FILTER(B$1:B1365, B$1:B1365&lt;&gt;""""))))-1), IF('To Order'!$A1366=COL"&amp;"UMNS($A1366:B1385), B1365&amp;RIGHT(INDIRECT(ADDRESS(ROW(B1366)-1, 'From Order'!$A1366)), 1), B1365))"),"")</f>
        <v/>
      </c>
      <c r="C1366" s="2" t="str">
        <f>IFERROR(__xludf.DUMMYFUNCTION("IF('From Order'!$A1366=COLUMNS($A1366:C1385), LEFT(INDEX(FILTER(C$1:C1365, C$1:C1365&lt;&gt;""""),COUNTA(FILTER(C$1:C1365, C$1:C1365&lt;&gt;""""))), LEN(INDEX(FILTER(C$1:C1365, C$1:C1365&lt;&gt;""""),COUNTA(FILTER(C$1:C1365, C$1:C1365&lt;&gt;""""))))-1), IF('To Order'!$A1366=COL"&amp;"UMNS($A1366:C1385), C1365&amp;RIGHT(INDIRECT(ADDRESS(ROW(C1366)-1, 'From Order'!$A1366)), 1), C1365))"),"TR")</f>
        <v>TR</v>
      </c>
      <c r="D1366" s="2" t="str">
        <f>IFERROR(__xludf.DUMMYFUNCTION("IF('From Order'!$A1366=COLUMNS($A1366:D1385), LEFT(INDEX(FILTER(D$1:D1365, D$1:D1365&lt;&gt;""""),COUNTA(FILTER(D$1:D1365, D$1:D1365&lt;&gt;""""))), LEN(INDEX(FILTER(D$1:D1365, D$1:D1365&lt;&gt;""""),COUNTA(FILTER(D$1:D1365, D$1:D1365&lt;&gt;""""))))-1), IF('To Order'!$A1366=COL"&amp;"UMNS($A1366:D1385), D1365&amp;RIGHT(INDIRECT(ADDRESS(ROW(D1366)-1, 'From Order'!$A1366)), 1), D1365))"),"PWLD")</f>
        <v>PWLD</v>
      </c>
      <c r="E1366" s="2" t="str">
        <f>IFERROR(__xludf.DUMMYFUNCTION("IF('From Order'!$A1366=COLUMNS($A1366:E1385), LEFT(INDEX(FILTER(E$1:E1365, E$1:E1365&lt;&gt;""""),COUNTA(FILTER(E$1:E1365, E$1:E1365&lt;&gt;""""))), LEN(INDEX(FILTER(E$1:E1365, E$1:E1365&lt;&gt;""""),COUNTA(FILTER(E$1:E1365, E$1:E1365&lt;&gt;""""))))-1), IF('To Order'!$A1366=COL"&amp;"UMNS($A1366:E1385), E1365&amp;RIGHT(INDIRECT(ADDRESS(ROW(E1366)-1, 'From Order'!$A1366)), 1), E1365))"),"Z")</f>
        <v>Z</v>
      </c>
      <c r="F1366" s="2" t="str">
        <f>IFERROR(__xludf.DUMMYFUNCTION("IF('From Order'!$A1366=COLUMNS($A1366:F1385), LEFT(INDEX(FILTER(F$1:F1365, F$1:F1365&lt;&gt;""""),COUNTA(FILTER(F$1:F1365, F$1:F1365&lt;&gt;""""))), LEN(INDEX(FILTER(F$1:F1365, F$1:F1365&lt;&gt;""""),COUNTA(FILTER(F$1:F1365, F$1:F1365&lt;&gt;""""))))-1), IF('To Order'!$A1366=COL"&amp;"UMNS($A1366:F1385), F1365&amp;RIGHT(INDIRECT(ADDRESS(ROW(F1366)-1, 'From Order'!$A1366)), 1), F1365))"),"ZRLBSTVFSCZRDCRCTVB")</f>
        <v>ZRLBSTVFSCZRDCRCTVB</v>
      </c>
      <c r="G1366" s="2" t="str">
        <f>IFERROR(__xludf.DUMMYFUNCTION("IF('From Order'!$A1366=COLUMNS($A1366:G1385), LEFT(INDEX(FILTER(G$1:G1365, G$1:G1365&lt;&gt;""""),COUNTA(FILTER(G$1:G1365, G$1:G1365&lt;&gt;""""))), LEN(INDEX(FILTER(G$1:G1365, G$1:G1365&lt;&gt;""""),COUNTA(FILTER(G$1:G1365, G$1:G1365&lt;&gt;""""))))-1), IF('To Order'!$A1366=COL"&amp;"UMNS($A1366:G1385), G1365&amp;RIGHT(INDIRECT(ADDRESS(ROW(G1366)-1, 'From Order'!$A1366)), 1), G1365))"),"WRM")</f>
        <v>WRM</v>
      </c>
      <c r="H1366" s="2" t="str">
        <f>IFERROR(__xludf.DUMMYFUNCTION("IF('From Order'!$A1366=COLUMNS($A1366:H1385), LEFT(INDEX(FILTER(H$1:H1365, H$1:H1365&lt;&gt;""""),COUNTA(FILTER(H$1:H1365, H$1:H1365&lt;&gt;""""))), LEN(INDEX(FILTER(H$1:H1365, H$1:H1365&lt;&gt;""""),COUNTA(FILTER(H$1:H1365, H$1:H1365&lt;&gt;""""))))-1), IF('To Order'!$A1366=COL"&amp;"UMNS($A1366:H1385), H1365&amp;RIGHT(INDIRECT(ADDRESS(ROW(H1366)-1, 'From Order'!$A1366)), 1), H1365))"),"HGSTD")</f>
        <v>HGSTD</v>
      </c>
      <c r="I1366" s="2" t="str">
        <f>IFERROR(__xludf.DUMMYFUNCTION("IF('From Order'!$A1366=COLUMNS($A1366:I1385), LEFT(INDEX(FILTER(I$1:I1365, I$1:I1365&lt;&gt;""""),COUNTA(FILTER(I$1:I1365, I$1:I1365&lt;&gt;""""))), LEN(INDEX(FILTER(I$1:I1365, I$1:I1365&lt;&gt;""""),COUNTA(FILTER(I$1:I1365, I$1:I1365&lt;&gt;""""))))-1), IF('To Order'!$A1366=COL"&amp;"UMNS($A1366:I1385), I1365&amp;RIGHT(INDIRECT(ADDRESS(ROW(I1366)-1, 'From Order'!$A1366)), 1), I1365))"),"H")</f>
        <v>H</v>
      </c>
    </row>
    <row r="1367">
      <c r="A1367" s="2" t="str">
        <f>IFERROR(__xludf.DUMMYFUNCTION("IF('From Order'!$A1367=COLUMNS($A1367:A1386), LEFT(INDEX(FILTER(A$1:A1366, A$1:A1366&lt;&gt;""""),COUNTA(FILTER(A$1:A1366, A$1:A1366&lt;&gt;""""))), LEN(INDEX(FILTER(A$1:A1366, A$1:A1366&lt;&gt;""""),COUNTA(FILTER(A$1:A1366, A$1:A1366&lt;&gt;""""))))-1), IF('To Order'!$A1367=COL"&amp;"UMNS($A1367:A1386), A1366&amp;RIGHT(INDIRECT(ADDRESS(ROW(A1367)-1, 'From Order'!$A1367)), 1), A1366))"),"JTBFMDJDSBGMTDLPPJQVQ")</f>
        <v>JTBFMDJDSBGMTDLPPJQVQ</v>
      </c>
      <c r="B1367" s="2" t="str">
        <f>IFERROR(__xludf.DUMMYFUNCTION("IF('From Order'!$A1367=COLUMNS($A1367:B1386), LEFT(INDEX(FILTER(B$1:B1366, B$1:B1366&lt;&gt;""""),COUNTA(FILTER(B$1:B1366, B$1:B1366&lt;&gt;""""))), LEN(INDEX(FILTER(B$1:B1366, B$1:B1366&lt;&gt;""""),COUNTA(FILTER(B$1:B1366, B$1:B1366&lt;&gt;""""))))-1), IF('To Order'!$A1367=COL"&amp;"UMNS($A1367:B1386), B1366&amp;RIGHT(INDIRECT(ADDRESS(ROW(B1367)-1, 'From Order'!$A1367)), 1), B1366))"),"")</f>
        <v/>
      </c>
      <c r="C1367" s="2" t="str">
        <f>IFERROR(__xludf.DUMMYFUNCTION("IF('From Order'!$A1367=COLUMNS($A1367:C1386), LEFT(INDEX(FILTER(C$1:C1366, C$1:C1366&lt;&gt;""""),COUNTA(FILTER(C$1:C1366, C$1:C1366&lt;&gt;""""))), LEN(INDEX(FILTER(C$1:C1366, C$1:C1366&lt;&gt;""""),COUNTA(FILTER(C$1:C1366, C$1:C1366&lt;&gt;""""))))-1), IF('To Order'!$A1367=COL"&amp;"UMNS($A1367:C1386), C1366&amp;RIGHT(INDIRECT(ADDRESS(ROW(C1367)-1, 'From Order'!$A1367)), 1), C1366))"),"TR")</f>
        <v>TR</v>
      </c>
      <c r="D1367" s="2" t="str">
        <f>IFERROR(__xludf.DUMMYFUNCTION("IF('From Order'!$A1367=COLUMNS($A1367:D1386), LEFT(INDEX(FILTER(D$1:D1366, D$1:D1366&lt;&gt;""""),COUNTA(FILTER(D$1:D1366, D$1:D1366&lt;&gt;""""))), LEN(INDEX(FILTER(D$1:D1366, D$1:D1366&lt;&gt;""""),COUNTA(FILTER(D$1:D1366, D$1:D1366&lt;&gt;""""))))-1), IF('To Order'!$A1367=COL"&amp;"UMNS($A1367:D1386), D1366&amp;RIGHT(INDIRECT(ADDRESS(ROW(D1367)-1, 'From Order'!$A1367)), 1), D1366))"),"PWLDD")</f>
        <v>PWLDD</v>
      </c>
      <c r="E1367" s="2" t="str">
        <f>IFERROR(__xludf.DUMMYFUNCTION("IF('From Order'!$A1367=COLUMNS($A1367:E1386), LEFT(INDEX(FILTER(E$1:E1366, E$1:E1366&lt;&gt;""""),COUNTA(FILTER(E$1:E1366, E$1:E1366&lt;&gt;""""))), LEN(INDEX(FILTER(E$1:E1366, E$1:E1366&lt;&gt;""""),COUNTA(FILTER(E$1:E1366, E$1:E1366&lt;&gt;""""))))-1), IF('To Order'!$A1367=COL"&amp;"UMNS($A1367:E1386), E1366&amp;RIGHT(INDIRECT(ADDRESS(ROW(E1367)-1, 'From Order'!$A1367)), 1), E1366))"),"Z")</f>
        <v>Z</v>
      </c>
      <c r="F1367" s="2" t="str">
        <f>IFERROR(__xludf.DUMMYFUNCTION("IF('From Order'!$A1367=COLUMNS($A1367:F1386), LEFT(INDEX(FILTER(F$1:F1366, F$1:F1366&lt;&gt;""""),COUNTA(FILTER(F$1:F1366, F$1:F1366&lt;&gt;""""))), LEN(INDEX(FILTER(F$1:F1366, F$1:F1366&lt;&gt;""""),COUNTA(FILTER(F$1:F1366, F$1:F1366&lt;&gt;""""))))-1), IF('To Order'!$A1367=COL"&amp;"UMNS($A1367:F1386), F1366&amp;RIGHT(INDIRECT(ADDRESS(ROW(F1367)-1, 'From Order'!$A1367)), 1), F1366))"),"ZRLBSTVFSCZRDCRCTVB")</f>
        <v>ZRLBSTVFSCZRDCRCTVB</v>
      </c>
      <c r="G1367" s="2" t="str">
        <f>IFERROR(__xludf.DUMMYFUNCTION("IF('From Order'!$A1367=COLUMNS($A1367:G1386), LEFT(INDEX(FILTER(G$1:G1366, G$1:G1366&lt;&gt;""""),COUNTA(FILTER(G$1:G1366, G$1:G1366&lt;&gt;""""))), LEN(INDEX(FILTER(G$1:G1366, G$1:G1366&lt;&gt;""""),COUNTA(FILTER(G$1:G1366, G$1:G1366&lt;&gt;""""))))-1), IF('To Order'!$A1367=COL"&amp;"UMNS($A1367:G1386), G1366&amp;RIGHT(INDIRECT(ADDRESS(ROW(G1367)-1, 'From Order'!$A1367)), 1), G1366))"),"WRM")</f>
        <v>WRM</v>
      </c>
      <c r="H1367" s="2" t="str">
        <f>IFERROR(__xludf.DUMMYFUNCTION("IF('From Order'!$A1367=COLUMNS($A1367:H1386), LEFT(INDEX(FILTER(H$1:H1366, H$1:H1366&lt;&gt;""""),COUNTA(FILTER(H$1:H1366, H$1:H1366&lt;&gt;""""))), LEN(INDEX(FILTER(H$1:H1366, H$1:H1366&lt;&gt;""""),COUNTA(FILTER(H$1:H1366, H$1:H1366&lt;&gt;""""))))-1), IF('To Order'!$A1367=COL"&amp;"UMNS($A1367:H1386), H1366&amp;RIGHT(INDIRECT(ADDRESS(ROW(H1367)-1, 'From Order'!$A1367)), 1), H1366))"),"HGST")</f>
        <v>HGST</v>
      </c>
      <c r="I1367" s="2" t="str">
        <f>IFERROR(__xludf.DUMMYFUNCTION("IF('From Order'!$A1367=COLUMNS($A1367:I1386), LEFT(INDEX(FILTER(I$1:I1366, I$1:I1366&lt;&gt;""""),COUNTA(FILTER(I$1:I1366, I$1:I1366&lt;&gt;""""))), LEN(INDEX(FILTER(I$1:I1366, I$1:I1366&lt;&gt;""""),COUNTA(FILTER(I$1:I1366, I$1:I1366&lt;&gt;""""))))-1), IF('To Order'!$A1367=COL"&amp;"UMNS($A1367:I1386), I1366&amp;RIGHT(INDIRECT(ADDRESS(ROW(I1367)-1, 'From Order'!$A1367)), 1), I1366))"),"H")</f>
        <v>H</v>
      </c>
    </row>
    <row r="1368">
      <c r="A1368" s="2" t="str">
        <f>IFERROR(__xludf.DUMMYFUNCTION("IF('From Order'!$A1368=COLUMNS($A1368:A1387), LEFT(INDEX(FILTER(A$1:A1367, A$1:A1367&lt;&gt;""""),COUNTA(FILTER(A$1:A1367, A$1:A1367&lt;&gt;""""))), LEN(INDEX(FILTER(A$1:A1367, A$1:A1367&lt;&gt;""""),COUNTA(FILTER(A$1:A1367, A$1:A1367&lt;&gt;""""))))-1), IF('To Order'!$A1368=COL"&amp;"UMNS($A1368:A1387), A1367&amp;RIGHT(INDIRECT(ADDRESS(ROW(A1368)-1, 'From Order'!$A1368)), 1), A1367))"),"JTBFMDJDSBGMTDLPPJQVQ")</f>
        <v>JTBFMDJDSBGMTDLPPJQVQ</v>
      </c>
      <c r="B1368" s="2" t="str">
        <f>IFERROR(__xludf.DUMMYFUNCTION("IF('From Order'!$A1368=COLUMNS($A1368:B1387), LEFT(INDEX(FILTER(B$1:B1367, B$1:B1367&lt;&gt;""""),COUNTA(FILTER(B$1:B1367, B$1:B1367&lt;&gt;""""))), LEN(INDEX(FILTER(B$1:B1367, B$1:B1367&lt;&gt;""""),COUNTA(FILTER(B$1:B1367, B$1:B1367&lt;&gt;""""))))-1), IF('To Order'!$A1368=COL"&amp;"UMNS($A1368:B1387), B1367&amp;RIGHT(INDIRECT(ADDRESS(ROW(B1368)-1, 'From Order'!$A1368)), 1), B1367))"),"")</f>
        <v/>
      </c>
      <c r="C1368" s="2" t="str">
        <f>IFERROR(__xludf.DUMMYFUNCTION("IF('From Order'!$A1368=COLUMNS($A1368:C1387), LEFT(INDEX(FILTER(C$1:C1367, C$1:C1367&lt;&gt;""""),COUNTA(FILTER(C$1:C1367, C$1:C1367&lt;&gt;""""))), LEN(INDEX(FILTER(C$1:C1367, C$1:C1367&lt;&gt;""""),COUNTA(FILTER(C$1:C1367, C$1:C1367&lt;&gt;""""))))-1), IF('To Order'!$A1368=COL"&amp;"UMNS($A1368:C1387), C1367&amp;RIGHT(INDIRECT(ADDRESS(ROW(C1368)-1, 'From Order'!$A1368)), 1), C1367))"),"TR")</f>
        <v>TR</v>
      </c>
      <c r="D1368" s="2" t="str">
        <f>IFERROR(__xludf.DUMMYFUNCTION("IF('From Order'!$A1368=COLUMNS($A1368:D1387), LEFT(INDEX(FILTER(D$1:D1367, D$1:D1367&lt;&gt;""""),COUNTA(FILTER(D$1:D1367, D$1:D1367&lt;&gt;""""))), LEN(INDEX(FILTER(D$1:D1367, D$1:D1367&lt;&gt;""""),COUNTA(FILTER(D$1:D1367, D$1:D1367&lt;&gt;""""))))-1), IF('To Order'!$A1368=COL"&amp;"UMNS($A1368:D1387), D1367&amp;RIGHT(INDIRECT(ADDRESS(ROW(D1368)-1, 'From Order'!$A1368)), 1), D1367))"),"PWLDDT")</f>
        <v>PWLDDT</v>
      </c>
      <c r="E1368" s="2" t="str">
        <f>IFERROR(__xludf.DUMMYFUNCTION("IF('From Order'!$A1368=COLUMNS($A1368:E1387), LEFT(INDEX(FILTER(E$1:E1367, E$1:E1367&lt;&gt;""""),COUNTA(FILTER(E$1:E1367, E$1:E1367&lt;&gt;""""))), LEN(INDEX(FILTER(E$1:E1367, E$1:E1367&lt;&gt;""""),COUNTA(FILTER(E$1:E1367, E$1:E1367&lt;&gt;""""))))-1), IF('To Order'!$A1368=COL"&amp;"UMNS($A1368:E1387), E1367&amp;RIGHT(INDIRECT(ADDRESS(ROW(E1368)-1, 'From Order'!$A1368)), 1), E1367))"),"Z")</f>
        <v>Z</v>
      </c>
      <c r="F1368" s="2" t="str">
        <f>IFERROR(__xludf.DUMMYFUNCTION("IF('From Order'!$A1368=COLUMNS($A1368:F1387), LEFT(INDEX(FILTER(F$1:F1367, F$1:F1367&lt;&gt;""""),COUNTA(FILTER(F$1:F1367, F$1:F1367&lt;&gt;""""))), LEN(INDEX(FILTER(F$1:F1367, F$1:F1367&lt;&gt;""""),COUNTA(FILTER(F$1:F1367, F$1:F1367&lt;&gt;""""))))-1), IF('To Order'!$A1368=COL"&amp;"UMNS($A1368:F1387), F1367&amp;RIGHT(INDIRECT(ADDRESS(ROW(F1368)-1, 'From Order'!$A1368)), 1), F1367))"),"ZRLBSTVFSCZRDCRCTVB")</f>
        <v>ZRLBSTVFSCZRDCRCTVB</v>
      </c>
      <c r="G1368" s="2" t="str">
        <f>IFERROR(__xludf.DUMMYFUNCTION("IF('From Order'!$A1368=COLUMNS($A1368:G1387), LEFT(INDEX(FILTER(G$1:G1367, G$1:G1367&lt;&gt;""""),COUNTA(FILTER(G$1:G1367, G$1:G1367&lt;&gt;""""))), LEN(INDEX(FILTER(G$1:G1367, G$1:G1367&lt;&gt;""""),COUNTA(FILTER(G$1:G1367, G$1:G1367&lt;&gt;""""))))-1), IF('To Order'!$A1368=COL"&amp;"UMNS($A1368:G1387), G1367&amp;RIGHT(INDIRECT(ADDRESS(ROW(G1368)-1, 'From Order'!$A1368)), 1), G1367))"),"WRM")</f>
        <v>WRM</v>
      </c>
      <c r="H1368" s="2" t="str">
        <f>IFERROR(__xludf.DUMMYFUNCTION("IF('From Order'!$A1368=COLUMNS($A1368:H1387), LEFT(INDEX(FILTER(H$1:H1367, H$1:H1367&lt;&gt;""""),COUNTA(FILTER(H$1:H1367, H$1:H1367&lt;&gt;""""))), LEN(INDEX(FILTER(H$1:H1367, H$1:H1367&lt;&gt;""""),COUNTA(FILTER(H$1:H1367, H$1:H1367&lt;&gt;""""))))-1), IF('To Order'!$A1368=COL"&amp;"UMNS($A1368:H1387), H1367&amp;RIGHT(INDIRECT(ADDRESS(ROW(H1368)-1, 'From Order'!$A1368)), 1), H1367))"),"HGS")</f>
        <v>HGS</v>
      </c>
      <c r="I1368" s="2" t="str">
        <f>IFERROR(__xludf.DUMMYFUNCTION("IF('From Order'!$A1368=COLUMNS($A1368:I1387), LEFT(INDEX(FILTER(I$1:I1367, I$1:I1367&lt;&gt;""""),COUNTA(FILTER(I$1:I1367, I$1:I1367&lt;&gt;""""))), LEN(INDEX(FILTER(I$1:I1367, I$1:I1367&lt;&gt;""""),COUNTA(FILTER(I$1:I1367, I$1:I1367&lt;&gt;""""))))-1), IF('To Order'!$A1368=COL"&amp;"UMNS($A1368:I1387), I1367&amp;RIGHT(INDIRECT(ADDRESS(ROW(I1368)-1, 'From Order'!$A1368)), 1), I1367))"),"H")</f>
        <v>H</v>
      </c>
    </row>
    <row r="1369">
      <c r="A1369" s="2" t="str">
        <f>IFERROR(__xludf.DUMMYFUNCTION("IF('From Order'!$A1369=COLUMNS($A1369:A1388), LEFT(INDEX(FILTER(A$1:A1368, A$1:A1368&lt;&gt;""""),COUNTA(FILTER(A$1:A1368, A$1:A1368&lt;&gt;""""))), LEN(INDEX(FILTER(A$1:A1368, A$1:A1368&lt;&gt;""""),COUNTA(FILTER(A$1:A1368, A$1:A1368&lt;&gt;""""))))-1), IF('To Order'!$A1369=COL"&amp;"UMNS($A1369:A1388), A1368&amp;RIGHT(INDIRECT(ADDRESS(ROW(A1369)-1, 'From Order'!$A1369)), 1), A1368))"),"JTBFMDJDSBGMTDLPPJQVQ")</f>
        <v>JTBFMDJDSBGMTDLPPJQVQ</v>
      </c>
      <c r="B1369" s="2" t="str">
        <f>IFERROR(__xludf.DUMMYFUNCTION("IF('From Order'!$A1369=COLUMNS($A1369:B1388), LEFT(INDEX(FILTER(B$1:B1368, B$1:B1368&lt;&gt;""""),COUNTA(FILTER(B$1:B1368, B$1:B1368&lt;&gt;""""))), LEN(INDEX(FILTER(B$1:B1368, B$1:B1368&lt;&gt;""""),COUNTA(FILTER(B$1:B1368, B$1:B1368&lt;&gt;""""))))-1), IF('To Order'!$A1369=COL"&amp;"UMNS($A1369:B1388), B1368&amp;RIGHT(INDIRECT(ADDRESS(ROW(B1369)-1, 'From Order'!$A1369)), 1), B1368))"),"")</f>
        <v/>
      </c>
      <c r="C1369" s="2" t="str">
        <f>IFERROR(__xludf.DUMMYFUNCTION("IF('From Order'!$A1369=COLUMNS($A1369:C1388), LEFT(INDEX(FILTER(C$1:C1368, C$1:C1368&lt;&gt;""""),COUNTA(FILTER(C$1:C1368, C$1:C1368&lt;&gt;""""))), LEN(INDEX(FILTER(C$1:C1368, C$1:C1368&lt;&gt;""""),COUNTA(FILTER(C$1:C1368, C$1:C1368&lt;&gt;""""))))-1), IF('To Order'!$A1369=COL"&amp;"UMNS($A1369:C1388), C1368&amp;RIGHT(INDIRECT(ADDRESS(ROW(C1369)-1, 'From Order'!$A1369)), 1), C1368))"),"TR")</f>
        <v>TR</v>
      </c>
      <c r="D1369" s="2" t="str">
        <f>IFERROR(__xludf.DUMMYFUNCTION("IF('From Order'!$A1369=COLUMNS($A1369:D1388), LEFT(INDEX(FILTER(D$1:D1368, D$1:D1368&lt;&gt;""""),COUNTA(FILTER(D$1:D1368, D$1:D1368&lt;&gt;""""))), LEN(INDEX(FILTER(D$1:D1368, D$1:D1368&lt;&gt;""""),COUNTA(FILTER(D$1:D1368, D$1:D1368&lt;&gt;""""))))-1), IF('To Order'!$A1369=COL"&amp;"UMNS($A1369:D1388), D1368&amp;RIGHT(INDIRECT(ADDRESS(ROW(D1369)-1, 'From Order'!$A1369)), 1), D1368))"),"PWLDDTS")</f>
        <v>PWLDDTS</v>
      </c>
      <c r="E1369" s="2" t="str">
        <f>IFERROR(__xludf.DUMMYFUNCTION("IF('From Order'!$A1369=COLUMNS($A1369:E1388), LEFT(INDEX(FILTER(E$1:E1368, E$1:E1368&lt;&gt;""""),COUNTA(FILTER(E$1:E1368, E$1:E1368&lt;&gt;""""))), LEN(INDEX(FILTER(E$1:E1368, E$1:E1368&lt;&gt;""""),COUNTA(FILTER(E$1:E1368, E$1:E1368&lt;&gt;""""))))-1), IF('To Order'!$A1369=COL"&amp;"UMNS($A1369:E1388), E1368&amp;RIGHT(INDIRECT(ADDRESS(ROW(E1369)-1, 'From Order'!$A1369)), 1), E1368))"),"Z")</f>
        <v>Z</v>
      </c>
      <c r="F1369" s="2" t="str">
        <f>IFERROR(__xludf.DUMMYFUNCTION("IF('From Order'!$A1369=COLUMNS($A1369:F1388), LEFT(INDEX(FILTER(F$1:F1368, F$1:F1368&lt;&gt;""""),COUNTA(FILTER(F$1:F1368, F$1:F1368&lt;&gt;""""))), LEN(INDEX(FILTER(F$1:F1368, F$1:F1368&lt;&gt;""""),COUNTA(FILTER(F$1:F1368, F$1:F1368&lt;&gt;""""))))-1), IF('To Order'!$A1369=COL"&amp;"UMNS($A1369:F1388), F1368&amp;RIGHT(INDIRECT(ADDRESS(ROW(F1369)-1, 'From Order'!$A1369)), 1), F1368))"),"ZRLBSTVFSCZRDCRCTVB")</f>
        <v>ZRLBSTVFSCZRDCRCTVB</v>
      </c>
      <c r="G1369" s="2" t="str">
        <f>IFERROR(__xludf.DUMMYFUNCTION("IF('From Order'!$A1369=COLUMNS($A1369:G1388), LEFT(INDEX(FILTER(G$1:G1368, G$1:G1368&lt;&gt;""""),COUNTA(FILTER(G$1:G1368, G$1:G1368&lt;&gt;""""))), LEN(INDEX(FILTER(G$1:G1368, G$1:G1368&lt;&gt;""""),COUNTA(FILTER(G$1:G1368, G$1:G1368&lt;&gt;""""))))-1), IF('To Order'!$A1369=COL"&amp;"UMNS($A1369:G1388), G1368&amp;RIGHT(INDIRECT(ADDRESS(ROW(G1369)-1, 'From Order'!$A1369)), 1), G1368))"),"WRM")</f>
        <v>WRM</v>
      </c>
      <c r="H1369" s="2" t="str">
        <f>IFERROR(__xludf.DUMMYFUNCTION("IF('From Order'!$A1369=COLUMNS($A1369:H1388), LEFT(INDEX(FILTER(H$1:H1368, H$1:H1368&lt;&gt;""""),COUNTA(FILTER(H$1:H1368, H$1:H1368&lt;&gt;""""))), LEN(INDEX(FILTER(H$1:H1368, H$1:H1368&lt;&gt;""""),COUNTA(FILTER(H$1:H1368, H$1:H1368&lt;&gt;""""))))-1), IF('To Order'!$A1369=COL"&amp;"UMNS($A1369:H1388), H1368&amp;RIGHT(INDIRECT(ADDRESS(ROW(H1369)-1, 'From Order'!$A1369)), 1), H1368))"),"HG")</f>
        <v>HG</v>
      </c>
      <c r="I1369" s="2" t="str">
        <f>IFERROR(__xludf.DUMMYFUNCTION("IF('From Order'!$A1369=COLUMNS($A1369:I1388), LEFT(INDEX(FILTER(I$1:I1368, I$1:I1368&lt;&gt;""""),COUNTA(FILTER(I$1:I1368, I$1:I1368&lt;&gt;""""))), LEN(INDEX(FILTER(I$1:I1368, I$1:I1368&lt;&gt;""""),COUNTA(FILTER(I$1:I1368, I$1:I1368&lt;&gt;""""))))-1), IF('To Order'!$A1369=COL"&amp;"UMNS($A1369:I1388), I1368&amp;RIGHT(INDIRECT(ADDRESS(ROW(I1369)-1, 'From Order'!$A1369)), 1), I1368))"),"H")</f>
        <v>H</v>
      </c>
    </row>
    <row r="1370">
      <c r="A1370" s="2" t="str">
        <f>IFERROR(__xludf.DUMMYFUNCTION("IF('From Order'!$A1370=COLUMNS($A1370:A1389), LEFT(INDEX(FILTER(A$1:A1369, A$1:A1369&lt;&gt;""""),COUNTA(FILTER(A$1:A1369, A$1:A1369&lt;&gt;""""))), LEN(INDEX(FILTER(A$1:A1369, A$1:A1369&lt;&gt;""""),COUNTA(FILTER(A$1:A1369, A$1:A1369&lt;&gt;""""))))-1), IF('To Order'!$A1370=COL"&amp;"UMNS($A1370:A1389), A1369&amp;RIGHT(INDIRECT(ADDRESS(ROW(A1370)-1, 'From Order'!$A1370)), 1), A1369))"),"JTBFMDJDSBGMTDLPPJQVQ")</f>
        <v>JTBFMDJDSBGMTDLPPJQVQ</v>
      </c>
      <c r="B1370" s="2" t="str">
        <f>IFERROR(__xludf.DUMMYFUNCTION("IF('From Order'!$A1370=COLUMNS($A1370:B1389), LEFT(INDEX(FILTER(B$1:B1369, B$1:B1369&lt;&gt;""""),COUNTA(FILTER(B$1:B1369, B$1:B1369&lt;&gt;""""))), LEN(INDEX(FILTER(B$1:B1369, B$1:B1369&lt;&gt;""""),COUNTA(FILTER(B$1:B1369, B$1:B1369&lt;&gt;""""))))-1), IF('To Order'!$A1370=COL"&amp;"UMNS($A1370:B1389), B1369&amp;RIGHT(INDIRECT(ADDRESS(ROW(B1370)-1, 'From Order'!$A1370)), 1), B1369))"),"")</f>
        <v/>
      </c>
      <c r="C1370" s="2" t="str">
        <f>IFERROR(__xludf.DUMMYFUNCTION("IF('From Order'!$A1370=COLUMNS($A1370:C1389), LEFT(INDEX(FILTER(C$1:C1369, C$1:C1369&lt;&gt;""""),COUNTA(FILTER(C$1:C1369, C$1:C1369&lt;&gt;""""))), LEN(INDEX(FILTER(C$1:C1369, C$1:C1369&lt;&gt;""""),COUNTA(FILTER(C$1:C1369, C$1:C1369&lt;&gt;""""))))-1), IF('To Order'!$A1370=COL"&amp;"UMNS($A1370:C1389), C1369&amp;RIGHT(INDIRECT(ADDRESS(ROW(C1370)-1, 'From Order'!$A1370)), 1), C1369))"),"TR")</f>
        <v>TR</v>
      </c>
      <c r="D1370" s="2" t="str">
        <f>IFERROR(__xludf.DUMMYFUNCTION("IF('From Order'!$A1370=COLUMNS($A1370:D1389), LEFT(INDEX(FILTER(D$1:D1369, D$1:D1369&lt;&gt;""""),COUNTA(FILTER(D$1:D1369, D$1:D1369&lt;&gt;""""))), LEN(INDEX(FILTER(D$1:D1369, D$1:D1369&lt;&gt;""""),COUNTA(FILTER(D$1:D1369, D$1:D1369&lt;&gt;""""))))-1), IF('To Order'!$A1370=COL"&amp;"UMNS($A1370:D1389), D1369&amp;RIGHT(INDIRECT(ADDRESS(ROW(D1370)-1, 'From Order'!$A1370)), 1), D1369))"),"PWLDDTSG")</f>
        <v>PWLDDTSG</v>
      </c>
      <c r="E1370" s="2" t="str">
        <f>IFERROR(__xludf.DUMMYFUNCTION("IF('From Order'!$A1370=COLUMNS($A1370:E1389), LEFT(INDEX(FILTER(E$1:E1369, E$1:E1369&lt;&gt;""""),COUNTA(FILTER(E$1:E1369, E$1:E1369&lt;&gt;""""))), LEN(INDEX(FILTER(E$1:E1369, E$1:E1369&lt;&gt;""""),COUNTA(FILTER(E$1:E1369, E$1:E1369&lt;&gt;""""))))-1), IF('To Order'!$A1370=COL"&amp;"UMNS($A1370:E1389), E1369&amp;RIGHT(INDIRECT(ADDRESS(ROW(E1370)-1, 'From Order'!$A1370)), 1), E1369))"),"Z")</f>
        <v>Z</v>
      </c>
      <c r="F1370" s="2" t="str">
        <f>IFERROR(__xludf.DUMMYFUNCTION("IF('From Order'!$A1370=COLUMNS($A1370:F1389), LEFT(INDEX(FILTER(F$1:F1369, F$1:F1369&lt;&gt;""""),COUNTA(FILTER(F$1:F1369, F$1:F1369&lt;&gt;""""))), LEN(INDEX(FILTER(F$1:F1369, F$1:F1369&lt;&gt;""""),COUNTA(FILTER(F$1:F1369, F$1:F1369&lt;&gt;""""))))-1), IF('To Order'!$A1370=COL"&amp;"UMNS($A1370:F1389), F1369&amp;RIGHT(INDIRECT(ADDRESS(ROW(F1370)-1, 'From Order'!$A1370)), 1), F1369))"),"ZRLBSTVFSCZRDCRCTVB")</f>
        <v>ZRLBSTVFSCZRDCRCTVB</v>
      </c>
      <c r="G1370" s="2" t="str">
        <f>IFERROR(__xludf.DUMMYFUNCTION("IF('From Order'!$A1370=COLUMNS($A1370:G1389), LEFT(INDEX(FILTER(G$1:G1369, G$1:G1369&lt;&gt;""""),COUNTA(FILTER(G$1:G1369, G$1:G1369&lt;&gt;""""))), LEN(INDEX(FILTER(G$1:G1369, G$1:G1369&lt;&gt;""""),COUNTA(FILTER(G$1:G1369, G$1:G1369&lt;&gt;""""))))-1), IF('To Order'!$A1370=COL"&amp;"UMNS($A1370:G1389), G1369&amp;RIGHT(INDIRECT(ADDRESS(ROW(G1370)-1, 'From Order'!$A1370)), 1), G1369))"),"WRM")</f>
        <v>WRM</v>
      </c>
      <c r="H1370" s="2" t="str">
        <f>IFERROR(__xludf.DUMMYFUNCTION("IF('From Order'!$A1370=COLUMNS($A1370:H1389), LEFT(INDEX(FILTER(H$1:H1369, H$1:H1369&lt;&gt;""""),COUNTA(FILTER(H$1:H1369, H$1:H1369&lt;&gt;""""))), LEN(INDEX(FILTER(H$1:H1369, H$1:H1369&lt;&gt;""""),COUNTA(FILTER(H$1:H1369, H$1:H1369&lt;&gt;""""))))-1), IF('To Order'!$A1370=COL"&amp;"UMNS($A1370:H1389), H1369&amp;RIGHT(INDIRECT(ADDRESS(ROW(H1370)-1, 'From Order'!$A1370)), 1), H1369))"),"H")</f>
        <v>H</v>
      </c>
      <c r="I1370" s="2" t="str">
        <f>IFERROR(__xludf.DUMMYFUNCTION("IF('From Order'!$A1370=COLUMNS($A1370:I1389), LEFT(INDEX(FILTER(I$1:I1369, I$1:I1369&lt;&gt;""""),COUNTA(FILTER(I$1:I1369, I$1:I1369&lt;&gt;""""))), LEN(INDEX(FILTER(I$1:I1369, I$1:I1369&lt;&gt;""""),COUNTA(FILTER(I$1:I1369, I$1:I1369&lt;&gt;""""))))-1), IF('To Order'!$A1370=COL"&amp;"UMNS($A1370:I1389), I1369&amp;RIGHT(INDIRECT(ADDRESS(ROW(I1370)-1, 'From Order'!$A1370)), 1), I1369))"),"H")</f>
        <v>H</v>
      </c>
    </row>
    <row r="1371">
      <c r="A1371" s="2" t="str">
        <f>IFERROR(__xludf.DUMMYFUNCTION("IF('From Order'!$A1371=COLUMNS($A1371:A1390), LEFT(INDEX(FILTER(A$1:A1370, A$1:A1370&lt;&gt;""""),COUNTA(FILTER(A$1:A1370, A$1:A1370&lt;&gt;""""))), LEN(INDEX(FILTER(A$1:A1370, A$1:A1370&lt;&gt;""""),COUNTA(FILTER(A$1:A1370, A$1:A1370&lt;&gt;""""))))-1), IF('To Order'!$A1371=COL"&amp;"UMNS($A1371:A1390), A1370&amp;RIGHT(INDIRECT(ADDRESS(ROW(A1371)-1, 'From Order'!$A1371)), 1), A1370))"),"JTBFMDJDSBGMTDLPPJQVQ")</f>
        <v>JTBFMDJDSBGMTDLPPJQVQ</v>
      </c>
      <c r="B1371" s="2" t="str">
        <f>IFERROR(__xludf.DUMMYFUNCTION("IF('From Order'!$A1371=COLUMNS($A1371:B1390), LEFT(INDEX(FILTER(B$1:B1370, B$1:B1370&lt;&gt;""""),COUNTA(FILTER(B$1:B1370, B$1:B1370&lt;&gt;""""))), LEN(INDEX(FILTER(B$1:B1370, B$1:B1370&lt;&gt;""""),COUNTA(FILTER(B$1:B1370, B$1:B1370&lt;&gt;""""))))-1), IF('To Order'!$A1371=COL"&amp;"UMNS($A1371:B1390), B1370&amp;RIGHT(INDIRECT(ADDRESS(ROW(B1371)-1, 'From Order'!$A1371)), 1), B1370))"),"")</f>
        <v/>
      </c>
      <c r="C1371" s="2" t="str">
        <f>IFERROR(__xludf.DUMMYFUNCTION("IF('From Order'!$A1371=COLUMNS($A1371:C1390), LEFT(INDEX(FILTER(C$1:C1370, C$1:C1370&lt;&gt;""""),COUNTA(FILTER(C$1:C1370, C$1:C1370&lt;&gt;""""))), LEN(INDEX(FILTER(C$1:C1370, C$1:C1370&lt;&gt;""""),COUNTA(FILTER(C$1:C1370, C$1:C1370&lt;&gt;""""))))-1), IF('To Order'!$A1371=COL"&amp;"UMNS($A1371:C1390), C1370&amp;RIGHT(INDIRECT(ADDRESS(ROW(C1371)-1, 'From Order'!$A1371)), 1), C1370))"),"T")</f>
        <v>T</v>
      </c>
      <c r="D1371" s="2" t="str">
        <f>IFERROR(__xludf.DUMMYFUNCTION("IF('From Order'!$A1371=COLUMNS($A1371:D1390), LEFT(INDEX(FILTER(D$1:D1370, D$1:D1370&lt;&gt;""""),COUNTA(FILTER(D$1:D1370, D$1:D1370&lt;&gt;""""))), LEN(INDEX(FILTER(D$1:D1370, D$1:D1370&lt;&gt;""""),COUNTA(FILTER(D$1:D1370, D$1:D1370&lt;&gt;""""))))-1), IF('To Order'!$A1371=COL"&amp;"UMNS($A1371:D1390), D1370&amp;RIGHT(INDIRECT(ADDRESS(ROW(D1371)-1, 'From Order'!$A1371)), 1), D1370))"),"PWLDDTSG")</f>
        <v>PWLDDTSG</v>
      </c>
      <c r="E1371" s="2" t="str">
        <f>IFERROR(__xludf.DUMMYFUNCTION("IF('From Order'!$A1371=COLUMNS($A1371:E1390), LEFT(INDEX(FILTER(E$1:E1370, E$1:E1370&lt;&gt;""""),COUNTA(FILTER(E$1:E1370, E$1:E1370&lt;&gt;""""))), LEN(INDEX(FILTER(E$1:E1370, E$1:E1370&lt;&gt;""""),COUNTA(FILTER(E$1:E1370, E$1:E1370&lt;&gt;""""))))-1), IF('To Order'!$A1371=COL"&amp;"UMNS($A1371:E1390), E1370&amp;RIGHT(INDIRECT(ADDRESS(ROW(E1371)-1, 'From Order'!$A1371)), 1), E1370))"),"Z")</f>
        <v>Z</v>
      </c>
      <c r="F1371" s="2" t="str">
        <f>IFERROR(__xludf.DUMMYFUNCTION("IF('From Order'!$A1371=COLUMNS($A1371:F1390), LEFT(INDEX(FILTER(F$1:F1370, F$1:F1370&lt;&gt;""""),COUNTA(FILTER(F$1:F1370, F$1:F1370&lt;&gt;""""))), LEN(INDEX(FILTER(F$1:F1370, F$1:F1370&lt;&gt;""""),COUNTA(FILTER(F$1:F1370, F$1:F1370&lt;&gt;""""))))-1), IF('To Order'!$A1371=COL"&amp;"UMNS($A1371:F1390), F1370&amp;RIGHT(INDIRECT(ADDRESS(ROW(F1371)-1, 'From Order'!$A1371)), 1), F1370))"),"ZRLBSTVFSCZRDCRCTVB")</f>
        <v>ZRLBSTVFSCZRDCRCTVB</v>
      </c>
      <c r="G1371" s="2" t="str">
        <f>IFERROR(__xludf.DUMMYFUNCTION("IF('From Order'!$A1371=COLUMNS($A1371:G1390), LEFT(INDEX(FILTER(G$1:G1370, G$1:G1370&lt;&gt;""""),COUNTA(FILTER(G$1:G1370, G$1:G1370&lt;&gt;""""))), LEN(INDEX(FILTER(G$1:G1370, G$1:G1370&lt;&gt;""""),COUNTA(FILTER(G$1:G1370, G$1:G1370&lt;&gt;""""))))-1), IF('To Order'!$A1371=COL"&amp;"UMNS($A1371:G1390), G1370&amp;RIGHT(INDIRECT(ADDRESS(ROW(G1371)-1, 'From Order'!$A1371)), 1), G1370))"),"WRM")</f>
        <v>WRM</v>
      </c>
      <c r="H1371" s="2" t="str">
        <f>IFERROR(__xludf.DUMMYFUNCTION("IF('From Order'!$A1371=COLUMNS($A1371:H1390), LEFT(INDEX(FILTER(H$1:H1370, H$1:H1370&lt;&gt;""""),COUNTA(FILTER(H$1:H1370, H$1:H1370&lt;&gt;""""))), LEN(INDEX(FILTER(H$1:H1370, H$1:H1370&lt;&gt;""""),COUNTA(FILTER(H$1:H1370, H$1:H1370&lt;&gt;""""))))-1), IF('To Order'!$A1371=COL"&amp;"UMNS($A1371:H1390), H1370&amp;RIGHT(INDIRECT(ADDRESS(ROW(H1371)-1, 'From Order'!$A1371)), 1), H1370))"),"HR")</f>
        <v>HR</v>
      </c>
      <c r="I1371" s="2" t="str">
        <f>IFERROR(__xludf.DUMMYFUNCTION("IF('From Order'!$A1371=COLUMNS($A1371:I1390), LEFT(INDEX(FILTER(I$1:I1370, I$1:I1370&lt;&gt;""""),COUNTA(FILTER(I$1:I1370, I$1:I1370&lt;&gt;""""))), LEN(INDEX(FILTER(I$1:I1370, I$1:I1370&lt;&gt;""""),COUNTA(FILTER(I$1:I1370, I$1:I1370&lt;&gt;""""))))-1), IF('To Order'!$A1371=COL"&amp;"UMNS($A1371:I1390), I1370&amp;RIGHT(INDIRECT(ADDRESS(ROW(I1371)-1, 'From Order'!$A1371)), 1), I1370))"),"H")</f>
        <v>H</v>
      </c>
    </row>
    <row r="1372">
      <c r="A1372" s="2" t="str">
        <f>IFERROR(__xludf.DUMMYFUNCTION("IF('From Order'!$A1372=COLUMNS($A1372:A1391), LEFT(INDEX(FILTER(A$1:A1371, A$1:A1371&lt;&gt;""""),COUNTA(FILTER(A$1:A1371, A$1:A1371&lt;&gt;""""))), LEN(INDEX(FILTER(A$1:A1371, A$1:A1371&lt;&gt;""""),COUNTA(FILTER(A$1:A1371, A$1:A1371&lt;&gt;""""))))-1), IF('To Order'!$A1372=COL"&amp;"UMNS($A1372:A1391), A1371&amp;RIGHT(INDIRECT(ADDRESS(ROW(A1372)-1, 'From Order'!$A1372)), 1), A1371))"),"JTBFMDJDSBGMTDLPPJQVQ")</f>
        <v>JTBFMDJDSBGMTDLPPJQVQ</v>
      </c>
      <c r="B1372" s="2" t="str">
        <f>IFERROR(__xludf.DUMMYFUNCTION("IF('From Order'!$A1372=COLUMNS($A1372:B1391), LEFT(INDEX(FILTER(B$1:B1371, B$1:B1371&lt;&gt;""""),COUNTA(FILTER(B$1:B1371, B$1:B1371&lt;&gt;""""))), LEN(INDEX(FILTER(B$1:B1371, B$1:B1371&lt;&gt;""""),COUNTA(FILTER(B$1:B1371, B$1:B1371&lt;&gt;""""))))-1), IF('To Order'!$A1372=COL"&amp;"UMNS($A1372:B1391), B1371&amp;RIGHT(INDIRECT(ADDRESS(ROW(B1372)-1, 'From Order'!$A1372)), 1), B1371))"),"")</f>
        <v/>
      </c>
      <c r="C1372" s="2" t="str">
        <f>IFERROR(__xludf.DUMMYFUNCTION("IF('From Order'!$A1372=COLUMNS($A1372:C1391), LEFT(INDEX(FILTER(C$1:C1371, C$1:C1371&lt;&gt;""""),COUNTA(FILTER(C$1:C1371, C$1:C1371&lt;&gt;""""))), LEN(INDEX(FILTER(C$1:C1371, C$1:C1371&lt;&gt;""""),COUNTA(FILTER(C$1:C1371, C$1:C1371&lt;&gt;""""))))-1), IF('To Order'!$A1372=COL"&amp;"UMNS($A1372:C1391), C1371&amp;RIGHT(INDIRECT(ADDRESS(ROW(C1372)-1, 'From Order'!$A1372)), 1), C1371))"),"T")</f>
        <v>T</v>
      </c>
      <c r="D1372" s="2" t="str">
        <f>IFERROR(__xludf.DUMMYFUNCTION("IF('From Order'!$A1372=COLUMNS($A1372:D1391), LEFT(INDEX(FILTER(D$1:D1371, D$1:D1371&lt;&gt;""""),COUNTA(FILTER(D$1:D1371, D$1:D1371&lt;&gt;""""))), LEN(INDEX(FILTER(D$1:D1371, D$1:D1371&lt;&gt;""""),COUNTA(FILTER(D$1:D1371, D$1:D1371&lt;&gt;""""))))-1), IF('To Order'!$A1372=COL"&amp;"UMNS($A1372:D1391), D1371&amp;RIGHT(INDIRECT(ADDRESS(ROW(D1372)-1, 'From Order'!$A1372)), 1), D1371))"),"PWLDDTSG")</f>
        <v>PWLDDTSG</v>
      </c>
      <c r="E1372" s="2" t="str">
        <f>IFERROR(__xludf.DUMMYFUNCTION("IF('From Order'!$A1372=COLUMNS($A1372:E1391), LEFT(INDEX(FILTER(E$1:E1371, E$1:E1371&lt;&gt;""""),COUNTA(FILTER(E$1:E1371, E$1:E1371&lt;&gt;""""))), LEN(INDEX(FILTER(E$1:E1371, E$1:E1371&lt;&gt;""""),COUNTA(FILTER(E$1:E1371, E$1:E1371&lt;&gt;""""))))-1), IF('To Order'!$A1372=COL"&amp;"UMNS($A1372:E1391), E1371&amp;RIGHT(INDIRECT(ADDRESS(ROW(E1372)-1, 'From Order'!$A1372)), 1), E1371))"),"ZR")</f>
        <v>ZR</v>
      </c>
      <c r="F1372" s="2" t="str">
        <f>IFERROR(__xludf.DUMMYFUNCTION("IF('From Order'!$A1372=COLUMNS($A1372:F1391), LEFT(INDEX(FILTER(F$1:F1371, F$1:F1371&lt;&gt;""""),COUNTA(FILTER(F$1:F1371, F$1:F1371&lt;&gt;""""))), LEN(INDEX(FILTER(F$1:F1371, F$1:F1371&lt;&gt;""""),COUNTA(FILTER(F$1:F1371, F$1:F1371&lt;&gt;""""))))-1), IF('To Order'!$A1372=COL"&amp;"UMNS($A1372:F1391), F1371&amp;RIGHT(INDIRECT(ADDRESS(ROW(F1372)-1, 'From Order'!$A1372)), 1), F1371))"),"ZRLBSTVFSCZRDCRCTVB")</f>
        <v>ZRLBSTVFSCZRDCRCTVB</v>
      </c>
      <c r="G1372" s="2" t="str">
        <f>IFERROR(__xludf.DUMMYFUNCTION("IF('From Order'!$A1372=COLUMNS($A1372:G1391), LEFT(INDEX(FILTER(G$1:G1371, G$1:G1371&lt;&gt;""""),COUNTA(FILTER(G$1:G1371, G$1:G1371&lt;&gt;""""))), LEN(INDEX(FILTER(G$1:G1371, G$1:G1371&lt;&gt;""""),COUNTA(FILTER(G$1:G1371, G$1:G1371&lt;&gt;""""))))-1), IF('To Order'!$A1372=COL"&amp;"UMNS($A1372:G1391), G1371&amp;RIGHT(INDIRECT(ADDRESS(ROW(G1372)-1, 'From Order'!$A1372)), 1), G1371))"),"WRM")</f>
        <v>WRM</v>
      </c>
      <c r="H1372" s="2" t="str">
        <f>IFERROR(__xludf.DUMMYFUNCTION("IF('From Order'!$A1372=COLUMNS($A1372:H1391), LEFT(INDEX(FILTER(H$1:H1371, H$1:H1371&lt;&gt;""""),COUNTA(FILTER(H$1:H1371, H$1:H1371&lt;&gt;""""))), LEN(INDEX(FILTER(H$1:H1371, H$1:H1371&lt;&gt;""""),COUNTA(FILTER(H$1:H1371, H$1:H1371&lt;&gt;""""))))-1), IF('To Order'!$A1372=COL"&amp;"UMNS($A1372:H1391), H1371&amp;RIGHT(INDIRECT(ADDRESS(ROW(H1372)-1, 'From Order'!$A1372)), 1), H1371))"),"H")</f>
        <v>H</v>
      </c>
      <c r="I1372" s="2" t="str">
        <f>IFERROR(__xludf.DUMMYFUNCTION("IF('From Order'!$A1372=COLUMNS($A1372:I1391), LEFT(INDEX(FILTER(I$1:I1371, I$1:I1371&lt;&gt;""""),COUNTA(FILTER(I$1:I1371, I$1:I1371&lt;&gt;""""))), LEN(INDEX(FILTER(I$1:I1371, I$1:I1371&lt;&gt;""""),COUNTA(FILTER(I$1:I1371, I$1:I1371&lt;&gt;""""))))-1), IF('To Order'!$A1372=COL"&amp;"UMNS($A1372:I1391), I1371&amp;RIGHT(INDIRECT(ADDRESS(ROW(I1372)-1, 'From Order'!$A1372)), 1), I1371))"),"H")</f>
        <v>H</v>
      </c>
    </row>
    <row r="1373">
      <c r="A1373" s="2" t="str">
        <f>IFERROR(__xludf.DUMMYFUNCTION("IF('From Order'!$A1373=COLUMNS($A1373:A1392), LEFT(INDEX(FILTER(A$1:A1372, A$1:A1372&lt;&gt;""""),COUNTA(FILTER(A$1:A1372, A$1:A1372&lt;&gt;""""))), LEN(INDEX(FILTER(A$1:A1372, A$1:A1372&lt;&gt;""""),COUNTA(FILTER(A$1:A1372, A$1:A1372&lt;&gt;""""))))-1), IF('To Order'!$A1373=COL"&amp;"UMNS($A1373:A1392), A1372&amp;RIGHT(INDIRECT(ADDRESS(ROW(A1373)-1, 'From Order'!$A1373)), 1), A1372))"),"JTBFMDJDSBGMTDLPPJQVQ")</f>
        <v>JTBFMDJDSBGMTDLPPJQVQ</v>
      </c>
      <c r="B1373" s="2" t="str">
        <f>IFERROR(__xludf.DUMMYFUNCTION("IF('From Order'!$A1373=COLUMNS($A1373:B1392), LEFT(INDEX(FILTER(B$1:B1372, B$1:B1372&lt;&gt;""""),COUNTA(FILTER(B$1:B1372, B$1:B1372&lt;&gt;""""))), LEN(INDEX(FILTER(B$1:B1372, B$1:B1372&lt;&gt;""""),COUNTA(FILTER(B$1:B1372, B$1:B1372&lt;&gt;""""))))-1), IF('To Order'!$A1373=COL"&amp;"UMNS($A1373:B1392), B1372&amp;RIGHT(INDIRECT(ADDRESS(ROW(B1373)-1, 'From Order'!$A1373)), 1), B1372))"),"R")</f>
        <v>R</v>
      </c>
      <c r="C1373" s="2" t="str">
        <f>IFERROR(__xludf.DUMMYFUNCTION("IF('From Order'!$A1373=COLUMNS($A1373:C1392), LEFT(INDEX(FILTER(C$1:C1372, C$1:C1372&lt;&gt;""""),COUNTA(FILTER(C$1:C1372, C$1:C1372&lt;&gt;""""))), LEN(INDEX(FILTER(C$1:C1372, C$1:C1372&lt;&gt;""""),COUNTA(FILTER(C$1:C1372, C$1:C1372&lt;&gt;""""))))-1), IF('To Order'!$A1373=COL"&amp;"UMNS($A1373:C1392), C1372&amp;RIGHT(INDIRECT(ADDRESS(ROW(C1373)-1, 'From Order'!$A1373)), 1), C1372))"),"T")</f>
        <v>T</v>
      </c>
      <c r="D1373" s="2" t="str">
        <f>IFERROR(__xludf.DUMMYFUNCTION("IF('From Order'!$A1373=COLUMNS($A1373:D1392), LEFT(INDEX(FILTER(D$1:D1372, D$1:D1372&lt;&gt;""""),COUNTA(FILTER(D$1:D1372, D$1:D1372&lt;&gt;""""))), LEN(INDEX(FILTER(D$1:D1372, D$1:D1372&lt;&gt;""""),COUNTA(FILTER(D$1:D1372, D$1:D1372&lt;&gt;""""))))-1), IF('To Order'!$A1373=COL"&amp;"UMNS($A1373:D1392), D1372&amp;RIGHT(INDIRECT(ADDRESS(ROW(D1373)-1, 'From Order'!$A1373)), 1), D1372))"),"PWLDDTSG")</f>
        <v>PWLDDTSG</v>
      </c>
      <c r="E1373" s="2" t="str">
        <f>IFERROR(__xludf.DUMMYFUNCTION("IF('From Order'!$A1373=COLUMNS($A1373:E1392), LEFT(INDEX(FILTER(E$1:E1372, E$1:E1372&lt;&gt;""""),COUNTA(FILTER(E$1:E1372, E$1:E1372&lt;&gt;""""))), LEN(INDEX(FILTER(E$1:E1372, E$1:E1372&lt;&gt;""""),COUNTA(FILTER(E$1:E1372, E$1:E1372&lt;&gt;""""))))-1), IF('To Order'!$A1373=COL"&amp;"UMNS($A1373:E1392), E1372&amp;RIGHT(INDIRECT(ADDRESS(ROW(E1373)-1, 'From Order'!$A1373)), 1), E1372))"),"Z")</f>
        <v>Z</v>
      </c>
      <c r="F1373" s="2" t="str">
        <f>IFERROR(__xludf.DUMMYFUNCTION("IF('From Order'!$A1373=COLUMNS($A1373:F1392), LEFT(INDEX(FILTER(F$1:F1372, F$1:F1372&lt;&gt;""""),COUNTA(FILTER(F$1:F1372, F$1:F1372&lt;&gt;""""))), LEN(INDEX(FILTER(F$1:F1372, F$1:F1372&lt;&gt;""""),COUNTA(FILTER(F$1:F1372, F$1:F1372&lt;&gt;""""))))-1), IF('To Order'!$A1373=COL"&amp;"UMNS($A1373:F1392), F1372&amp;RIGHT(INDIRECT(ADDRESS(ROW(F1373)-1, 'From Order'!$A1373)), 1), F1372))"),"ZRLBSTVFSCZRDCRCTVB")</f>
        <v>ZRLBSTVFSCZRDCRCTVB</v>
      </c>
      <c r="G1373" s="2" t="str">
        <f>IFERROR(__xludf.DUMMYFUNCTION("IF('From Order'!$A1373=COLUMNS($A1373:G1392), LEFT(INDEX(FILTER(G$1:G1372, G$1:G1372&lt;&gt;""""),COUNTA(FILTER(G$1:G1372, G$1:G1372&lt;&gt;""""))), LEN(INDEX(FILTER(G$1:G1372, G$1:G1372&lt;&gt;""""),COUNTA(FILTER(G$1:G1372, G$1:G1372&lt;&gt;""""))))-1), IF('To Order'!$A1373=COL"&amp;"UMNS($A1373:G1392), G1372&amp;RIGHT(INDIRECT(ADDRESS(ROW(G1373)-1, 'From Order'!$A1373)), 1), G1372))"),"WRM")</f>
        <v>WRM</v>
      </c>
      <c r="H1373" s="2" t="str">
        <f>IFERROR(__xludf.DUMMYFUNCTION("IF('From Order'!$A1373=COLUMNS($A1373:H1392), LEFT(INDEX(FILTER(H$1:H1372, H$1:H1372&lt;&gt;""""),COUNTA(FILTER(H$1:H1372, H$1:H1372&lt;&gt;""""))), LEN(INDEX(FILTER(H$1:H1372, H$1:H1372&lt;&gt;""""),COUNTA(FILTER(H$1:H1372, H$1:H1372&lt;&gt;""""))))-1), IF('To Order'!$A1373=COL"&amp;"UMNS($A1373:H1392), H1372&amp;RIGHT(INDIRECT(ADDRESS(ROW(H1373)-1, 'From Order'!$A1373)), 1), H1372))"),"H")</f>
        <v>H</v>
      </c>
      <c r="I1373" s="2" t="str">
        <f>IFERROR(__xludf.DUMMYFUNCTION("IF('From Order'!$A1373=COLUMNS($A1373:I1392), LEFT(INDEX(FILTER(I$1:I1372, I$1:I1372&lt;&gt;""""),COUNTA(FILTER(I$1:I1372, I$1:I1372&lt;&gt;""""))), LEN(INDEX(FILTER(I$1:I1372, I$1:I1372&lt;&gt;""""),COUNTA(FILTER(I$1:I1372, I$1:I1372&lt;&gt;""""))))-1), IF('To Order'!$A1373=COL"&amp;"UMNS($A1373:I1392), I1372&amp;RIGHT(INDIRECT(ADDRESS(ROW(I1373)-1, 'From Order'!$A1373)), 1), I1372))"),"H")</f>
        <v>H</v>
      </c>
    </row>
    <row r="1374">
      <c r="A1374" s="2" t="str">
        <f>IFERROR(__xludf.DUMMYFUNCTION("IF('From Order'!$A1374=COLUMNS($A1374:A1393), LEFT(INDEX(FILTER(A$1:A1373, A$1:A1373&lt;&gt;""""),COUNTA(FILTER(A$1:A1373, A$1:A1373&lt;&gt;""""))), LEN(INDEX(FILTER(A$1:A1373, A$1:A1373&lt;&gt;""""),COUNTA(FILTER(A$1:A1373, A$1:A1373&lt;&gt;""""))))-1), IF('To Order'!$A1374=COL"&amp;"UMNS($A1374:A1393), A1373&amp;RIGHT(INDIRECT(ADDRESS(ROW(A1374)-1, 'From Order'!$A1374)), 1), A1373))"),"JTBFMDJDSBGMTDLPPJQVQ")</f>
        <v>JTBFMDJDSBGMTDLPPJQVQ</v>
      </c>
      <c r="B1374" s="2" t="str">
        <f>IFERROR(__xludf.DUMMYFUNCTION("IF('From Order'!$A1374=COLUMNS($A1374:B1393), LEFT(INDEX(FILTER(B$1:B1373, B$1:B1373&lt;&gt;""""),COUNTA(FILTER(B$1:B1373, B$1:B1373&lt;&gt;""""))), LEN(INDEX(FILTER(B$1:B1373, B$1:B1373&lt;&gt;""""),COUNTA(FILTER(B$1:B1373, B$1:B1373&lt;&gt;""""))))-1), IF('To Order'!$A1374=COL"&amp;"UMNS($A1374:B1393), B1373&amp;RIGHT(INDIRECT(ADDRESS(ROW(B1374)-1, 'From Order'!$A1374)), 1), B1373))"),"RZ")</f>
        <v>RZ</v>
      </c>
      <c r="C1374" s="2" t="str">
        <f>IFERROR(__xludf.DUMMYFUNCTION("IF('From Order'!$A1374=COLUMNS($A1374:C1393), LEFT(INDEX(FILTER(C$1:C1373, C$1:C1373&lt;&gt;""""),COUNTA(FILTER(C$1:C1373, C$1:C1373&lt;&gt;""""))), LEN(INDEX(FILTER(C$1:C1373, C$1:C1373&lt;&gt;""""),COUNTA(FILTER(C$1:C1373, C$1:C1373&lt;&gt;""""))))-1), IF('To Order'!$A1374=COL"&amp;"UMNS($A1374:C1393), C1373&amp;RIGHT(INDIRECT(ADDRESS(ROW(C1374)-1, 'From Order'!$A1374)), 1), C1373))"),"T")</f>
        <v>T</v>
      </c>
      <c r="D1374" s="2" t="str">
        <f>IFERROR(__xludf.DUMMYFUNCTION("IF('From Order'!$A1374=COLUMNS($A1374:D1393), LEFT(INDEX(FILTER(D$1:D1373, D$1:D1373&lt;&gt;""""),COUNTA(FILTER(D$1:D1373, D$1:D1373&lt;&gt;""""))), LEN(INDEX(FILTER(D$1:D1373, D$1:D1373&lt;&gt;""""),COUNTA(FILTER(D$1:D1373, D$1:D1373&lt;&gt;""""))))-1), IF('To Order'!$A1374=COL"&amp;"UMNS($A1374:D1393), D1373&amp;RIGHT(INDIRECT(ADDRESS(ROW(D1374)-1, 'From Order'!$A1374)), 1), D1373))"),"PWLDDTSG")</f>
        <v>PWLDDTSG</v>
      </c>
      <c r="E1374" s="2" t="str">
        <f>IFERROR(__xludf.DUMMYFUNCTION("IF('From Order'!$A1374=COLUMNS($A1374:E1393), LEFT(INDEX(FILTER(E$1:E1373, E$1:E1373&lt;&gt;""""),COUNTA(FILTER(E$1:E1373, E$1:E1373&lt;&gt;""""))), LEN(INDEX(FILTER(E$1:E1373, E$1:E1373&lt;&gt;""""),COUNTA(FILTER(E$1:E1373, E$1:E1373&lt;&gt;""""))))-1), IF('To Order'!$A1374=COL"&amp;"UMNS($A1374:E1393), E1373&amp;RIGHT(INDIRECT(ADDRESS(ROW(E1374)-1, 'From Order'!$A1374)), 1), E1373))"),"")</f>
        <v/>
      </c>
      <c r="F1374" s="2" t="str">
        <f>IFERROR(__xludf.DUMMYFUNCTION("IF('From Order'!$A1374=COLUMNS($A1374:F1393), LEFT(INDEX(FILTER(F$1:F1373, F$1:F1373&lt;&gt;""""),COUNTA(FILTER(F$1:F1373, F$1:F1373&lt;&gt;""""))), LEN(INDEX(FILTER(F$1:F1373, F$1:F1373&lt;&gt;""""),COUNTA(FILTER(F$1:F1373, F$1:F1373&lt;&gt;""""))))-1), IF('To Order'!$A1374=COL"&amp;"UMNS($A1374:F1393), F1373&amp;RIGHT(INDIRECT(ADDRESS(ROW(F1374)-1, 'From Order'!$A1374)), 1), F1373))"),"ZRLBSTVFSCZRDCRCTVB")</f>
        <v>ZRLBSTVFSCZRDCRCTVB</v>
      </c>
      <c r="G1374" s="2" t="str">
        <f>IFERROR(__xludf.DUMMYFUNCTION("IF('From Order'!$A1374=COLUMNS($A1374:G1393), LEFT(INDEX(FILTER(G$1:G1373, G$1:G1373&lt;&gt;""""),COUNTA(FILTER(G$1:G1373, G$1:G1373&lt;&gt;""""))), LEN(INDEX(FILTER(G$1:G1373, G$1:G1373&lt;&gt;""""),COUNTA(FILTER(G$1:G1373, G$1:G1373&lt;&gt;""""))))-1), IF('To Order'!$A1374=COL"&amp;"UMNS($A1374:G1393), G1373&amp;RIGHT(INDIRECT(ADDRESS(ROW(G1374)-1, 'From Order'!$A1374)), 1), G1373))"),"WRM")</f>
        <v>WRM</v>
      </c>
      <c r="H1374" s="2" t="str">
        <f>IFERROR(__xludf.DUMMYFUNCTION("IF('From Order'!$A1374=COLUMNS($A1374:H1393), LEFT(INDEX(FILTER(H$1:H1373, H$1:H1373&lt;&gt;""""),COUNTA(FILTER(H$1:H1373, H$1:H1373&lt;&gt;""""))), LEN(INDEX(FILTER(H$1:H1373, H$1:H1373&lt;&gt;""""),COUNTA(FILTER(H$1:H1373, H$1:H1373&lt;&gt;""""))))-1), IF('To Order'!$A1374=COL"&amp;"UMNS($A1374:H1393), H1373&amp;RIGHT(INDIRECT(ADDRESS(ROW(H1374)-1, 'From Order'!$A1374)), 1), H1373))"),"H")</f>
        <v>H</v>
      </c>
      <c r="I1374" s="2" t="str">
        <f>IFERROR(__xludf.DUMMYFUNCTION("IF('From Order'!$A1374=COLUMNS($A1374:I1393), LEFT(INDEX(FILTER(I$1:I1373, I$1:I1373&lt;&gt;""""),COUNTA(FILTER(I$1:I1373, I$1:I1373&lt;&gt;""""))), LEN(INDEX(FILTER(I$1:I1373, I$1:I1373&lt;&gt;""""),COUNTA(FILTER(I$1:I1373, I$1:I1373&lt;&gt;""""))))-1), IF('To Order'!$A1374=COL"&amp;"UMNS($A1374:I1393), I1373&amp;RIGHT(INDIRECT(ADDRESS(ROW(I1374)-1, 'From Order'!$A1374)), 1), I1373))"),"H")</f>
        <v>H</v>
      </c>
    </row>
    <row r="1375">
      <c r="A1375" s="2" t="str">
        <f>IFERROR(__xludf.DUMMYFUNCTION("IF('From Order'!$A1375=COLUMNS($A1375:A1394), LEFT(INDEX(FILTER(A$1:A1374, A$1:A1374&lt;&gt;""""),COUNTA(FILTER(A$1:A1374, A$1:A1374&lt;&gt;""""))), LEN(INDEX(FILTER(A$1:A1374, A$1:A1374&lt;&gt;""""),COUNTA(FILTER(A$1:A1374, A$1:A1374&lt;&gt;""""))))-1), IF('To Order'!$A1375=COL"&amp;"UMNS($A1375:A1394), A1374&amp;RIGHT(INDIRECT(ADDRESS(ROW(A1375)-1, 'From Order'!$A1375)), 1), A1374))"),"JTBFMDJDSBGMTDLPPJQVQ")</f>
        <v>JTBFMDJDSBGMTDLPPJQVQ</v>
      </c>
      <c r="B1375" s="2" t="str">
        <f>IFERROR(__xludf.DUMMYFUNCTION("IF('From Order'!$A1375=COLUMNS($A1375:B1394), LEFT(INDEX(FILTER(B$1:B1374, B$1:B1374&lt;&gt;""""),COUNTA(FILTER(B$1:B1374, B$1:B1374&lt;&gt;""""))), LEN(INDEX(FILTER(B$1:B1374, B$1:B1374&lt;&gt;""""),COUNTA(FILTER(B$1:B1374, B$1:B1374&lt;&gt;""""))))-1), IF('To Order'!$A1375=COL"&amp;"UMNS($A1375:B1394), B1374&amp;RIGHT(INDIRECT(ADDRESS(ROW(B1375)-1, 'From Order'!$A1375)), 1), B1374))"),"RZ")</f>
        <v>RZ</v>
      </c>
      <c r="C1375" s="2" t="str">
        <f>IFERROR(__xludf.DUMMYFUNCTION("IF('From Order'!$A1375=COLUMNS($A1375:C1394), LEFT(INDEX(FILTER(C$1:C1374, C$1:C1374&lt;&gt;""""),COUNTA(FILTER(C$1:C1374, C$1:C1374&lt;&gt;""""))), LEN(INDEX(FILTER(C$1:C1374, C$1:C1374&lt;&gt;""""),COUNTA(FILTER(C$1:C1374, C$1:C1374&lt;&gt;""""))))-1), IF('To Order'!$A1375=COL"&amp;"UMNS($A1375:C1394), C1374&amp;RIGHT(INDIRECT(ADDRESS(ROW(C1375)-1, 'From Order'!$A1375)), 1), C1374))"),"T")</f>
        <v>T</v>
      </c>
      <c r="D1375" s="2" t="str">
        <f>IFERROR(__xludf.DUMMYFUNCTION("IF('From Order'!$A1375=COLUMNS($A1375:D1394), LEFT(INDEX(FILTER(D$1:D1374, D$1:D1374&lt;&gt;""""),COUNTA(FILTER(D$1:D1374, D$1:D1374&lt;&gt;""""))), LEN(INDEX(FILTER(D$1:D1374, D$1:D1374&lt;&gt;""""),COUNTA(FILTER(D$1:D1374, D$1:D1374&lt;&gt;""""))))-1), IF('To Order'!$A1375=COL"&amp;"UMNS($A1375:D1394), D1374&amp;RIGHT(INDIRECT(ADDRESS(ROW(D1375)-1, 'From Order'!$A1375)), 1), D1374))"),"PWLDDTSG")</f>
        <v>PWLDDTSG</v>
      </c>
      <c r="E1375" s="2" t="str">
        <f>IFERROR(__xludf.DUMMYFUNCTION("IF('From Order'!$A1375=COLUMNS($A1375:E1394), LEFT(INDEX(FILTER(E$1:E1374, E$1:E1374&lt;&gt;""""),COUNTA(FILTER(E$1:E1374, E$1:E1374&lt;&gt;""""))), LEN(INDEX(FILTER(E$1:E1374, E$1:E1374&lt;&gt;""""),COUNTA(FILTER(E$1:E1374, E$1:E1374&lt;&gt;""""))))-1), IF('To Order'!$A1375=COL"&amp;"UMNS($A1375:E1394), E1374&amp;RIGHT(INDIRECT(ADDRESS(ROW(E1375)-1, 'From Order'!$A1375)), 1), E1374))"),"")</f>
        <v/>
      </c>
      <c r="F1375" s="2" t="str">
        <f>IFERROR(__xludf.DUMMYFUNCTION("IF('From Order'!$A1375=COLUMNS($A1375:F1394), LEFT(INDEX(FILTER(F$1:F1374, F$1:F1374&lt;&gt;""""),COUNTA(FILTER(F$1:F1374, F$1:F1374&lt;&gt;""""))), LEN(INDEX(FILTER(F$1:F1374, F$1:F1374&lt;&gt;""""),COUNTA(FILTER(F$1:F1374, F$1:F1374&lt;&gt;""""))))-1), IF('To Order'!$A1375=COL"&amp;"UMNS($A1375:F1394), F1374&amp;RIGHT(INDIRECT(ADDRESS(ROW(F1375)-1, 'From Order'!$A1375)), 1), F1374))"),"ZRLBSTVFSCZRDCRCTV")</f>
        <v>ZRLBSTVFSCZRDCRCTV</v>
      </c>
      <c r="G1375" s="2" t="str">
        <f>IFERROR(__xludf.DUMMYFUNCTION("IF('From Order'!$A1375=COLUMNS($A1375:G1394), LEFT(INDEX(FILTER(G$1:G1374, G$1:G1374&lt;&gt;""""),COUNTA(FILTER(G$1:G1374, G$1:G1374&lt;&gt;""""))), LEN(INDEX(FILTER(G$1:G1374, G$1:G1374&lt;&gt;""""),COUNTA(FILTER(G$1:G1374, G$1:G1374&lt;&gt;""""))))-1), IF('To Order'!$A1375=COL"&amp;"UMNS($A1375:G1394), G1374&amp;RIGHT(INDIRECT(ADDRESS(ROW(G1375)-1, 'From Order'!$A1375)), 1), G1374))"),"WRMB")</f>
        <v>WRMB</v>
      </c>
      <c r="H1375" s="2" t="str">
        <f>IFERROR(__xludf.DUMMYFUNCTION("IF('From Order'!$A1375=COLUMNS($A1375:H1394), LEFT(INDEX(FILTER(H$1:H1374, H$1:H1374&lt;&gt;""""),COUNTA(FILTER(H$1:H1374, H$1:H1374&lt;&gt;""""))), LEN(INDEX(FILTER(H$1:H1374, H$1:H1374&lt;&gt;""""),COUNTA(FILTER(H$1:H1374, H$1:H1374&lt;&gt;""""))))-1), IF('To Order'!$A1375=COL"&amp;"UMNS($A1375:H1394), H1374&amp;RIGHT(INDIRECT(ADDRESS(ROW(H1375)-1, 'From Order'!$A1375)), 1), H1374))"),"H")</f>
        <v>H</v>
      </c>
      <c r="I1375" s="2" t="str">
        <f>IFERROR(__xludf.DUMMYFUNCTION("IF('From Order'!$A1375=COLUMNS($A1375:I1394), LEFT(INDEX(FILTER(I$1:I1374, I$1:I1374&lt;&gt;""""),COUNTA(FILTER(I$1:I1374, I$1:I1374&lt;&gt;""""))), LEN(INDEX(FILTER(I$1:I1374, I$1:I1374&lt;&gt;""""),COUNTA(FILTER(I$1:I1374, I$1:I1374&lt;&gt;""""))))-1), IF('To Order'!$A1375=COL"&amp;"UMNS($A1375:I1394), I1374&amp;RIGHT(INDIRECT(ADDRESS(ROW(I1375)-1, 'From Order'!$A1375)), 1), I1374))"),"H")</f>
        <v>H</v>
      </c>
    </row>
    <row r="1376">
      <c r="A1376" s="2" t="str">
        <f>IFERROR(__xludf.DUMMYFUNCTION("IF('From Order'!$A1376=COLUMNS($A1376:A1395), LEFT(INDEX(FILTER(A$1:A1375, A$1:A1375&lt;&gt;""""),COUNTA(FILTER(A$1:A1375, A$1:A1375&lt;&gt;""""))), LEN(INDEX(FILTER(A$1:A1375, A$1:A1375&lt;&gt;""""),COUNTA(FILTER(A$1:A1375, A$1:A1375&lt;&gt;""""))))-1), IF('To Order'!$A1376=COL"&amp;"UMNS($A1376:A1395), A1375&amp;RIGHT(INDIRECT(ADDRESS(ROW(A1376)-1, 'From Order'!$A1376)), 1), A1375))"),"JTBFMDJDSBGMTDLPPJQVQ")</f>
        <v>JTBFMDJDSBGMTDLPPJQVQ</v>
      </c>
      <c r="B1376" s="2" t="str">
        <f>IFERROR(__xludf.DUMMYFUNCTION("IF('From Order'!$A1376=COLUMNS($A1376:B1395), LEFT(INDEX(FILTER(B$1:B1375, B$1:B1375&lt;&gt;""""),COUNTA(FILTER(B$1:B1375, B$1:B1375&lt;&gt;""""))), LEN(INDEX(FILTER(B$1:B1375, B$1:B1375&lt;&gt;""""),COUNTA(FILTER(B$1:B1375, B$1:B1375&lt;&gt;""""))))-1), IF('To Order'!$A1376=COL"&amp;"UMNS($A1376:B1395), B1375&amp;RIGHT(INDIRECT(ADDRESS(ROW(B1376)-1, 'From Order'!$A1376)), 1), B1375))"),"RZ")</f>
        <v>RZ</v>
      </c>
      <c r="C1376" s="2" t="str">
        <f>IFERROR(__xludf.DUMMYFUNCTION("IF('From Order'!$A1376=COLUMNS($A1376:C1395), LEFT(INDEX(FILTER(C$1:C1375, C$1:C1375&lt;&gt;""""),COUNTA(FILTER(C$1:C1375, C$1:C1375&lt;&gt;""""))), LEN(INDEX(FILTER(C$1:C1375, C$1:C1375&lt;&gt;""""),COUNTA(FILTER(C$1:C1375, C$1:C1375&lt;&gt;""""))))-1), IF('To Order'!$A1376=COL"&amp;"UMNS($A1376:C1395), C1375&amp;RIGHT(INDIRECT(ADDRESS(ROW(C1376)-1, 'From Order'!$A1376)), 1), C1375))"),"T")</f>
        <v>T</v>
      </c>
      <c r="D1376" s="2" t="str">
        <f>IFERROR(__xludf.DUMMYFUNCTION("IF('From Order'!$A1376=COLUMNS($A1376:D1395), LEFT(INDEX(FILTER(D$1:D1375, D$1:D1375&lt;&gt;""""),COUNTA(FILTER(D$1:D1375, D$1:D1375&lt;&gt;""""))), LEN(INDEX(FILTER(D$1:D1375, D$1:D1375&lt;&gt;""""),COUNTA(FILTER(D$1:D1375, D$1:D1375&lt;&gt;""""))))-1), IF('To Order'!$A1376=COL"&amp;"UMNS($A1376:D1395), D1375&amp;RIGHT(INDIRECT(ADDRESS(ROW(D1376)-1, 'From Order'!$A1376)), 1), D1375))"),"PWLDDTSG")</f>
        <v>PWLDDTSG</v>
      </c>
      <c r="E1376" s="2" t="str">
        <f>IFERROR(__xludf.DUMMYFUNCTION("IF('From Order'!$A1376=COLUMNS($A1376:E1395), LEFT(INDEX(FILTER(E$1:E1375, E$1:E1375&lt;&gt;""""),COUNTA(FILTER(E$1:E1375, E$1:E1375&lt;&gt;""""))), LEN(INDEX(FILTER(E$1:E1375, E$1:E1375&lt;&gt;""""),COUNTA(FILTER(E$1:E1375, E$1:E1375&lt;&gt;""""))))-1), IF('To Order'!$A1376=COL"&amp;"UMNS($A1376:E1395), E1375&amp;RIGHT(INDIRECT(ADDRESS(ROW(E1376)-1, 'From Order'!$A1376)), 1), E1375))"),"")</f>
        <v/>
      </c>
      <c r="F1376" s="2" t="str">
        <f>IFERROR(__xludf.DUMMYFUNCTION("IF('From Order'!$A1376=COLUMNS($A1376:F1395), LEFT(INDEX(FILTER(F$1:F1375, F$1:F1375&lt;&gt;""""),COUNTA(FILTER(F$1:F1375, F$1:F1375&lt;&gt;""""))), LEN(INDEX(FILTER(F$1:F1375, F$1:F1375&lt;&gt;""""),COUNTA(FILTER(F$1:F1375, F$1:F1375&lt;&gt;""""))))-1), IF('To Order'!$A1376=COL"&amp;"UMNS($A1376:F1395), F1375&amp;RIGHT(INDIRECT(ADDRESS(ROW(F1376)-1, 'From Order'!$A1376)), 1), F1375))"),"ZRLBSTVFSCZRDCRCT")</f>
        <v>ZRLBSTVFSCZRDCRCT</v>
      </c>
      <c r="G1376" s="2" t="str">
        <f>IFERROR(__xludf.DUMMYFUNCTION("IF('From Order'!$A1376=COLUMNS($A1376:G1395), LEFT(INDEX(FILTER(G$1:G1375, G$1:G1375&lt;&gt;""""),COUNTA(FILTER(G$1:G1375, G$1:G1375&lt;&gt;""""))), LEN(INDEX(FILTER(G$1:G1375, G$1:G1375&lt;&gt;""""),COUNTA(FILTER(G$1:G1375, G$1:G1375&lt;&gt;""""))))-1), IF('To Order'!$A1376=COL"&amp;"UMNS($A1376:G1395), G1375&amp;RIGHT(INDIRECT(ADDRESS(ROW(G1376)-1, 'From Order'!$A1376)), 1), G1375))"),"WRMBV")</f>
        <v>WRMBV</v>
      </c>
      <c r="H1376" s="2" t="str">
        <f>IFERROR(__xludf.DUMMYFUNCTION("IF('From Order'!$A1376=COLUMNS($A1376:H1395), LEFT(INDEX(FILTER(H$1:H1375, H$1:H1375&lt;&gt;""""),COUNTA(FILTER(H$1:H1375, H$1:H1375&lt;&gt;""""))), LEN(INDEX(FILTER(H$1:H1375, H$1:H1375&lt;&gt;""""),COUNTA(FILTER(H$1:H1375, H$1:H1375&lt;&gt;""""))))-1), IF('To Order'!$A1376=COL"&amp;"UMNS($A1376:H1395), H1375&amp;RIGHT(INDIRECT(ADDRESS(ROW(H1376)-1, 'From Order'!$A1376)), 1), H1375))"),"H")</f>
        <v>H</v>
      </c>
      <c r="I1376" s="2" t="str">
        <f>IFERROR(__xludf.DUMMYFUNCTION("IF('From Order'!$A1376=COLUMNS($A1376:I1395), LEFT(INDEX(FILTER(I$1:I1375, I$1:I1375&lt;&gt;""""),COUNTA(FILTER(I$1:I1375, I$1:I1375&lt;&gt;""""))), LEN(INDEX(FILTER(I$1:I1375, I$1:I1375&lt;&gt;""""),COUNTA(FILTER(I$1:I1375, I$1:I1375&lt;&gt;""""))))-1), IF('To Order'!$A1376=COL"&amp;"UMNS($A1376:I1395), I1375&amp;RIGHT(INDIRECT(ADDRESS(ROW(I1376)-1, 'From Order'!$A1376)), 1), I1375))"),"H")</f>
        <v>H</v>
      </c>
    </row>
    <row r="1377">
      <c r="A1377" s="2" t="str">
        <f>IFERROR(__xludf.DUMMYFUNCTION("IF('From Order'!$A1377=COLUMNS($A1377:A1396), LEFT(INDEX(FILTER(A$1:A1376, A$1:A1376&lt;&gt;""""),COUNTA(FILTER(A$1:A1376, A$1:A1376&lt;&gt;""""))), LEN(INDEX(FILTER(A$1:A1376, A$1:A1376&lt;&gt;""""),COUNTA(FILTER(A$1:A1376, A$1:A1376&lt;&gt;""""))))-1), IF('To Order'!$A1377=COL"&amp;"UMNS($A1377:A1396), A1376&amp;RIGHT(INDIRECT(ADDRESS(ROW(A1377)-1, 'From Order'!$A1377)), 1), A1376))"),"JTBFMDJDSBGMTDLPPJQVQ")</f>
        <v>JTBFMDJDSBGMTDLPPJQVQ</v>
      </c>
      <c r="B1377" s="2" t="str">
        <f>IFERROR(__xludf.DUMMYFUNCTION("IF('From Order'!$A1377=COLUMNS($A1377:B1396), LEFT(INDEX(FILTER(B$1:B1376, B$1:B1376&lt;&gt;""""),COUNTA(FILTER(B$1:B1376, B$1:B1376&lt;&gt;""""))), LEN(INDEX(FILTER(B$1:B1376, B$1:B1376&lt;&gt;""""),COUNTA(FILTER(B$1:B1376, B$1:B1376&lt;&gt;""""))))-1), IF('To Order'!$A1377=COL"&amp;"UMNS($A1377:B1396), B1376&amp;RIGHT(INDIRECT(ADDRESS(ROW(B1377)-1, 'From Order'!$A1377)), 1), B1376))"),"RZ")</f>
        <v>RZ</v>
      </c>
      <c r="C1377" s="2" t="str">
        <f>IFERROR(__xludf.DUMMYFUNCTION("IF('From Order'!$A1377=COLUMNS($A1377:C1396), LEFT(INDEX(FILTER(C$1:C1376, C$1:C1376&lt;&gt;""""),COUNTA(FILTER(C$1:C1376, C$1:C1376&lt;&gt;""""))), LEN(INDEX(FILTER(C$1:C1376, C$1:C1376&lt;&gt;""""),COUNTA(FILTER(C$1:C1376, C$1:C1376&lt;&gt;""""))))-1), IF('To Order'!$A1377=COL"&amp;"UMNS($A1377:C1396), C1376&amp;RIGHT(INDIRECT(ADDRESS(ROW(C1377)-1, 'From Order'!$A1377)), 1), C1376))"),"T")</f>
        <v>T</v>
      </c>
      <c r="D1377" s="2" t="str">
        <f>IFERROR(__xludf.DUMMYFUNCTION("IF('From Order'!$A1377=COLUMNS($A1377:D1396), LEFT(INDEX(FILTER(D$1:D1376, D$1:D1376&lt;&gt;""""),COUNTA(FILTER(D$1:D1376, D$1:D1376&lt;&gt;""""))), LEN(INDEX(FILTER(D$1:D1376, D$1:D1376&lt;&gt;""""),COUNTA(FILTER(D$1:D1376, D$1:D1376&lt;&gt;""""))))-1), IF('To Order'!$A1377=COL"&amp;"UMNS($A1377:D1396), D1376&amp;RIGHT(INDIRECT(ADDRESS(ROW(D1377)-1, 'From Order'!$A1377)), 1), D1376))"),"PWLDDTSG")</f>
        <v>PWLDDTSG</v>
      </c>
      <c r="E1377" s="2" t="str">
        <f>IFERROR(__xludf.DUMMYFUNCTION("IF('From Order'!$A1377=COLUMNS($A1377:E1396), LEFT(INDEX(FILTER(E$1:E1376, E$1:E1376&lt;&gt;""""),COUNTA(FILTER(E$1:E1376, E$1:E1376&lt;&gt;""""))), LEN(INDEX(FILTER(E$1:E1376, E$1:E1376&lt;&gt;""""),COUNTA(FILTER(E$1:E1376, E$1:E1376&lt;&gt;""""))))-1), IF('To Order'!$A1377=COL"&amp;"UMNS($A1377:E1396), E1376&amp;RIGHT(INDIRECT(ADDRESS(ROW(E1377)-1, 'From Order'!$A1377)), 1), E1376))"),"")</f>
        <v/>
      </c>
      <c r="F1377" s="2" t="str">
        <f>IFERROR(__xludf.DUMMYFUNCTION("IF('From Order'!$A1377=COLUMNS($A1377:F1396), LEFT(INDEX(FILTER(F$1:F1376, F$1:F1376&lt;&gt;""""),COUNTA(FILTER(F$1:F1376, F$1:F1376&lt;&gt;""""))), LEN(INDEX(FILTER(F$1:F1376, F$1:F1376&lt;&gt;""""),COUNTA(FILTER(F$1:F1376, F$1:F1376&lt;&gt;""""))))-1), IF('To Order'!$A1377=COL"&amp;"UMNS($A1377:F1396), F1376&amp;RIGHT(INDIRECT(ADDRESS(ROW(F1377)-1, 'From Order'!$A1377)), 1), F1376))"),"ZRLBSTVFSCZRDCRC")</f>
        <v>ZRLBSTVFSCZRDCRC</v>
      </c>
      <c r="G1377" s="2" t="str">
        <f>IFERROR(__xludf.DUMMYFUNCTION("IF('From Order'!$A1377=COLUMNS($A1377:G1396), LEFT(INDEX(FILTER(G$1:G1376, G$1:G1376&lt;&gt;""""),COUNTA(FILTER(G$1:G1376, G$1:G1376&lt;&gt;""""))), LEN(INDEX(FILTER(G$1:G1376, G$1:G1376&lt;&gt;""""),COUNTA(FILTER(G$1:G1376, G$1:G1376&lt;&gt;""""))))-1), IF('To Order'!$A1377=COL"&amp;"UMNS($A1377:G1396), G1376&amp;RIGHT(INDIRECT(ADDRESS(ROW(G1377)-1, 'From Order'!$A1377)), 1), G1376))"),"WRMBVT")</f>
        <v>WRMBVT</v>
      </c>
      <c r="H1377" s="2" t="str">
        <f>IFERROR(__xludf.DUMMYFUNCTION("IF('From Order'!$A1377=COLUMNS($A1377:H1396), LEFT(INDEX(FILTER(H$1:H1376, H$1:H1376&lt;&gt;""""),COUNTA(FILTER(H$1:H1376, H$1:H1376&lt;&gt;""""))), LEN(INDEX(FILTER(H$1:H1376, H$1:H1376&lt;&gt;""""),COUNTA(FILTER(H$1:H1376, H$1:H1376&lt;&gt;""""))))-1), IF('To Order'!$A1377=COL"&amp;"UMNS($A1377:H1396), H1376&amp;RIGHT(INDIRECT(ADDRESS(ROW(H1377)-1, 'From Order'!$A1377)), 1), H1376))"),"H")</f>
        <v>H</v>
      </c>
      <c r="I1377" s="2" t="str">
        <f>IFERROR(__xludf.DUMMYFUNCTION("IF('From Order'!$A1377=COLUMNS($A1377:I1396), LEFT(INDEX(FILTER(I$1:I1376, I$1:I1376&lt;&gt;""""),COUNTA(FILTER(I$1:I1376, I$1:I1376&lt;&gt;""""))), LEN(INDEX(FILTER(I$1:I1376, I$1:I1376&lt;&gt;""""),COUNTA(FILTER(I$1:I1376, I$1:I1376&lt;&gt;""""))))-1), IF('To Order'!$A1377=COL"&amp;"UMNS($A1377:I1396), I1376&amp;RIGHT(INDIRECT(ADDRESS(ROW(I1377)-1, 'From Order'!$A1377)), 1), I1376))"),"H")</f>
        <v>H</v>
      </c>
    </row>
    <row r="1378">
      <c r="A1378" s="2" t="str">
        <f>IFERROR(__xludf.DUMMYFUNCTION("IF('From Order'!$A1378=COLUMNS($A1378:A1397), LEFT(INDEX(FILTER(A$1:A1377, A$1:A1377&lt;&gt;""""),COUNTA(FILTER(A$1:A1377, A$1:A1377&lt;&gt;""""))), LEN(INDEX(FILTER(A$1:A1377, A$1:A1377&lt;&gt;""""),COUNTA(FILTER(A$1:A1377, A$1:A1377&lt;&gt;""""))))-1), IF('To Order'!$A1378=COL"&amp;"UMNS($A1378:A1397), A1377&amp;RIGHT(INDIRECT(ADDRESS(ROW(A1378)-1, 'From Order'!$A1378)), 1), A1377))"),"JTBFMDJDSBGMTDLPPJQVQ")</f>
        <v>JTBFMDJDSBGMTDLPPJQVQ</v>
      </c>
      <c r="B1378" s="2" t="str">
        <f>IFERROR(__xludf.DUMMYFUNCTION("IF('From Order'!$A1378=COLUMNS($A1378:B1397), LEFT(INDEX(FILTER(B$1:B1377, B$1:B1377&lt;&gt;""""),COUNTA(FILTER(B$1:B1377, B$1:B1377&lt;&gt;""""))), LEN(INDEX(FILTER(B$1:B1377, B$1:B1377&lt;&gt;""""),COUNTA(FILTER(B$1:B1377, B$1:B1377&lt;&gt;""""))))-1), IF('To Order'!$A1378=COL"&amp;"UMNS($A1378:B1397), B1377&amp;RIGHT(INDIRECT(ADDRESS(ROW(B1378)-1, 'From Order'!$A1378)), 1), B1377))"),"RZ")</f>
        <v>RZ</v>
      </c>
      <c r="C1378" s="2" t="str">
        <f>IFERROR(__xludf.DUMMYFUNCTION("IF('From Order'!$A1378=COLUMNS($A1378:C1397), LEFT(INDEX(FILTER(C$1:C1377, C$1:C1377&lt;&gt;""""),COUNTA(FILTER(C$1:C1377, C$1:C1377&lt;&gt;""""))), LEN(INDEX(FILTER(C$1:C1377, C$1:C1377&lt;&gt;""""),COUNTA(FILTER(C$1:C1377, C$1:C1377&lt;&gt;""""))))-1), IF('To Order'!$A1378=COL"&amp;"UMNS($A1378:C1397), C1377&amp;RIGHT(INDIRECT(ADDRESS(ROW(C1378)-1, 'From Order'!$A1378)), 1), C1377))"),"T")</f>
        <v>T</v>
      </c>
      <c r="D1378" s="2" t="str">
        <f>IFERROR(__xludf.DUMMYFUNCTION("IF('From Order'!$A1378=COLUMNS($A1378:D1397), LEFT(INDEX(FILTER(D$1:D1377, D$1:D1377&lt;&gt;""""),COUNTA(FILTER(D$1:D1377, D$1:D1377&lt;&gt;""""))), LEN(INDEX(FILTER(D$1:D1377, D$1:D1377&lt;&gt;""""),COUNTA(FILTER(D$1:D1377, D$1:D1377&lt;&gt;""""))))-1), IF('To Order'!$A1378=COL"&amp;"UMNS($A1378:D1397), D1377&amp;RIGHT(INDIRECT(ADDRESS(ROW(D1378)-1, 'From Order'!$A1378)), 1), D1377))"),"PWLDDTSG")</f>
        <v>PWLDDTSG</v>
      </c>
      <c r="E1378" s="2" t="str">
        <f>IFERROR(__xludf.DUMMYFUNCTION("IF('From Order'!$A1378=COLUMNS($A1378:E1397), LEFT(INDEX(FILTER(E$1:E1377, E$1:E1377&lt;&gt;""""),COUNTA(FILTER(E$1:E1377, E$1:E1377&lt;&gt;""""))), LEN(INDEX(FILTER(E$1:E1377, E$1:E1377&lt;&gt;""""),COUNTA(FILTER(E$1:E1377, E$1:E1377&lt;&gt;""""))))-1), IF('To Order'!$A1378=COL"&amp;"UMNS($A1378:E1397), E1377&amp;RIGHT(INDIRECT(ADDRESS(ROW(E1378)-1, 'From Order'!$A1378)), 1), E1377))"),"")</f>
        <v/>
      </c>
      <c r="F1378" s="2" t="str">
        <f>IFERROR(__xludf.DUMMYFUNCTION("IF('From Order'!$A1378=COLUMNS($A1378:F1397), LEFT(INDEX(FILTER(F$1:F1377, F$1:F1377&lt;&gt;""""),COUNTA(FILTER(F$1:F1377, F$1:F1377&lt;&gt;""""))), LEN(INDEX(FILTER(F$1:F1377, F$1:F1377&lt;&gt;""""),COUNTA(FILTER(F$1:F1377, F$1:F1377&lt;&gt;""""))))-1), IF('To Order'!$A1378=COL"&amp;"UMNS($A1378:F1397), F1377&amp;RIGHT(INDIRECT(ADDRESS(ROW(F1378)-1, 'From Order'!$A1378)), 1), F1377))"),"ZRLBSTVFSCZRDCR")</f>
        <v>ZRLBSTVFSCZRDCR</v>
      </c>
      <c r="G1378" s="2" t="str">
        <f>IFERROR(__xludf.DUMMYFUNCTION("IF('From Order'!$A1378=COLUMNS($A1378:G1397), LEFT(INDEX(FILTER(G$1:G1377, G$1:G1377&lt;&gt;""""),COUNTA(FILTER(G$1:G1377, G$1:G1377&lt;&gt;""""))), LEN(INDEX(FILTER(G$1:G1377, G$1:G1377&lt;&gt;""""),COUNTA(FILTER(G$1:G1377, G$1:G1377&lt;&gt;""""))))-1), IF('To Order'!$A1378=COL"&amp;"UMNS($A1378:G1397), G1377&amp;RIGHT(INDIRECT(ADDRESS(ROW(G1378)-1, 'From Order'!$A1378)), 1), G1377))"),"WRMBVTC")</f>
        <v>WRMBVTC</v>
      </c>
      <c r="H1378" s="2" t="str">
        <f>IFERROR(__xludf.DUMMYFUNCTION("IF('From Order'!$A1378=COLUMNS($A1378:H1397), LEFT(INDEX(FILTER(H$1:H1377, H$1:H1377&lt;&gt;""""),COUNTA(FILTER(H$1:H1377, H$1:H1377&lt;&gt;""""))), LEN(INDEX(FILTER(H$1:H1377, H$1:H1377&lt;&gt;""""),COUNTA(FILTER(H$1:H1377, H$1:H1377&lt;&gt;""""))))-1), IF('To Order'!$A1378=COL"&amp;"UMNS($A1378:H1397), H1377&amp;RIGHT(INDIRECT(ADDRESS(ROW(H1378)-1, 'From Order'!$A1378)), 1), H1377))"),"H")</f>
        <v>H</v>
      </c>
      <c r="I1378" s="2" t="str">
        <f>IFERROR(__xludf.DUMMYFUNCTION("IF('From Order'!$A1378=COLUMNS($A1378:I1397), LEFT(INDEX(FILTER(I$1:I1377, I$1:I1377&lt;&gt;""""),COUNTA(FILTER(I$1:I1377, I$1:I1377&lt;&gt;""""))), LEN(INDEX(FILTER(I$1:I1377, I$1:I1377&lt;&gt;""""),COUNTA(FILTER(I$1:I1377, I$1:I1377&lt;&gt;""""))))-1), IF('To Order'!$A1378=COL"&amp;"UMNS($A1378:I1397), I1377&amp;RIGHT(INDIRECT(ADDRESS(ROW(I1378)-1, 'From Order'!$A1378)), 1), I1377))"),"H")</f>
        <v>H</v>
      </c>
    </row>
    <row r="1379">
      <c r="A1379" s="2" t="str">
        <f>IFERROR(__xludf.DUMMYFUNCTION("IF('From Order'!$A1379=COLUMNS($A1379:A1398), LEFT(INDEX(FILTER(A$1:A1378, A$1:A1378&lt;&gt;""""),COUNTA(FILTER(A$1:A1378, A$1:A1378&lt;&gt;""""))), LEN(INDEX(FILTER(A$1:A1378, A$1:A1378&lt;&gt;""""),COUNTA(FILTER(A$1:A1378, A$1:A1378&lt;&gt;""""))))-1), IF('To Order'!$A1379=COL"&amp;"UMNS($A1379:A1398), A1378&amp;RIGHT(INDIRECT(ADDRESS(ROW(A1379)-1, 'From Order'!$A1379)), 1), A1378))"),"JTBFMDJDSBGMTDLPPJQVQ")</f>
        <v>JTBFMDJDSBGMTDLPPJQVQ</v>
      </c>
      <c r="B1379" s="2" t="str">
        <f>IFERROR(__xludf.DUMMYFUNCTION("IF('From Order'!$A1379=COLUMNS($A1379:B1398), LEFT(INDEX(FILTER(B$1:B1378, B$1:B1378&lt;&gt;""""),COUNTA(FILTER(B$1:B1378, B$1:B1378&lt;&gt;""""))), LEN(INDEX(FILTER(B$1:B1378, B$1:B1378&lt;&gt;""""),COUNTA(FILTER(B$1:B1378, B$1:B1378&lt;&gt;""""))))-1), IF('To Order'!$A1379=COL"&amp;"UMNS($A1379:B1398), B1378&amp;RIGHT(INDIRECT(ADDRESS(ROW(B1379)-1, 'From Order'!$A1379)), 1), B1378))"),"RZ")</f>
        <v>RZ</v>
      </c>
      <c r="C1379" s="2" t="str">
        <f>IFERROR(__xludf.DUMMYFUNCTION("IF('From Order'!$A1379=COLUMNS($A1379:C1398), LEFT(INDEX(FILTER(C$1:C1378, C$1:C1378&lt;&gt;""""),COUNTA(FILTER(C$1:C1378, C$1:C1378&lt;&gt;""""))), LEN(INDEX(FILTER(C$1:C1378, C$1:C1378&lt;&gt;""""),COUNTA(FILTER(C$1:C1378, C$1:C1378&lt;&gt;""""))))-1), IF('To Order'!$A1379=COL"&amp;"UMNS($A1379:C1398), C1378&amp;RIGHT(INDIRECT(ADDRESS(ROW(C1379)-1, 'From Order'!$A1379)), 1), C1378))"),"T")</f>
        <v>T</v>
      </c>
      <c r="D1379" s="2" t="str">
        <f>IFERROR(__xludf.DUMMYFUNCTION("IF('From Order'!$A1379=COLUMNS($A1379:D1398), LEFT(INDEX(FILTER(D$1:D1378, D$1:D1378&lt;&gt;""""),COUNTA(FILTER(D$1:D1378, D$1:D1378&lt;&gt;""""))), LEN(INDEX(FILTER(D$1:D1378, D$1:D1378&lt;&gt;""""),COUNTA(FILTER(D$1:D1378, D$1:D1378&lt;&gt;""""))))-1), IF('To Order'!$A1379=COL"&amp;"UMNS($A1379:D1398), D1378&amp;RIGHT(INDIRECT(ADDRESS(ROW(D1379)-1, 'From Order'!$A1379)), 1), D1378))"),"PWLDDTSG")</f>
        <v>PWLDDTSG</v>
      </c>
      <c r="E1379" s="2" t="str">
        <f>IFERROR(__xludf.DUMMYFUNCTION("IF('From Order'!$A1379=COLUMNS($A1379:E1398), LEFT(INDEX(FILTER(E$1:E1378, E$1:E1378&lt;&gt;""""),COUNTA(FILTER(E$1:E1378, E$1:E1378&lt;&gt;""""))), LEN(INDEX(FILTER(E$1:E1378, E$1:E1378&lt;&gt;""""),COUNTA(FILTER(E$1:E1378, E$1:E1378&lt;&gt;""""))))-1), IF('To Order'!$A1379=COL"&amp;"UMNS($A1379:E1398), E1378&amp;RIGHT(INDIRECT(ADDRESS(ROW(E1379)-1, 'From Order'!$A1379)), 1), E1378))"),"")</f>
        <v/>
      </c>
      <c r="F1379" s="2" t="str">
        <f>IFERROR(__xludf.DUMMYFUNCTION("IF('From Order'!$A1379=COLUMNS($A1379:F1398), LEFT(INDEX(FILTER(F$1:F1378, F$1:F1378&lt;&gt;""""),COUNTA(FILTER(F$1:F1378, F$1:F1378&lt;&gt;""""))), LEN(INDEX(FILTER(F$1:F1378, F$1:F1378&lt;&gt;""""),COUNTA(FILTER(F$1:F1378, F$1:F1378&lt;&gt;""""))))-1), IF('To Order'!$A1379=COL"&amp;"UMNS($A1379:F1398), F1378&amp;RIGHT(INDIRECT(ADDRESS(ROW(F1379)-1, 'From Order'!$A1379)), 1), F1378))"),"ZRLBSTVFSCZRDC")</f>
        <v>ZRLBSTVFSCZRDC</v>
      </c>
      <c r="G1379" s="2" t="str">
        <f>IFERROR(__xludf.DUMMYFUNCTION("IF('From Order'!$A1379=COLUMNS($A1379:G1398), LEFT(INDEX(FILTER(G$1:G1378, G$1:G1378&lt;&gt;""""),COUNTA(FILTER(G$1:G1378, G$1:G1378&lt;&gt;""""))), LEN(INDEX(FILTER(G$1:G1378, G$1:G1378&lt;&gt;""""),COUNTA(FILTER(G$1:G1378, G$1:G1378&lt;&gt;""""))))-1), IF('To Order'!$A1379=COL"&amp;"UMNS($A1379:G1398), G1378&amp;RIGHT(INDIRECT(ADDRESS(ROW(G1379)-1, 'From Order'!$A1379)), 1), G1378))"),"WRMBVTCR")</f>
        <v>WRMBVTCR</v>
      </c>
      <c r="H1379" s="2" t="str">
        <f>IFERROR(__xludf.DUMMYFUNCTION("IF('From Order'!$A1379=COLUMNS($A1379:H1398), LEFT(INDEX(FILTER(H$1:H1378, H$1:H1378&lt;&gt;""""),COUNTA(FILTER(H$1:H1378, H$1:H1378&lt;&gt;""""))), LEN(INDEX(FILTER(H$1:H1378, H$1:H1378&lt;&gt;""""),COUNTA(FILTER(H$1:H1378, H$1:H1378&lt;&gt;""""))))-1), IF('To Order'!$A1379=COL"&amp;"UMNS($A1379:H1398), H1378&amp;RIGHT(INDIRECT(ADDRESS(ROW(H1379)-1, 'From Order'!$A1379)), 1), H1378))"),"H")</f>
        <v>H</v>
      </c>
      <c r="I1379" s="2" t="str">
        <f>IFERROR(__xludf.DUMMYFUNCTION("IF('From Order'!$A1379=COLUMNS($A1379:I1398), LEFT(INDEX(FILTER(I$1:I1378, I$1:I1378&lt;&gt;""""),COUNTA(FILTER(I$1:I1378, I$1:I1378&lt;&gt;""""))), LEN(INDEX(FILTER(I$1:I1378, I$1:I1378&lt;&gt;""""),COUNTA(FILTER(I$1:I1378, I$1:I1378&lt;&gt;""""))))-1), IF('To Order'!$A1379=COL"&amp;"UMNS($A1379:I1398), I1378&amp;RIGHT(INDIRECT(ADDRESS(ROW(I1379)-1, 'From Order'!$A1379)), 1), I1378))"),"H")</f>
        <v>H</v>
      </c>
    </row>
    <row r="1380">
      <c r="A1380" s="2" t="str">
        <f>IFERROR(__xludf.DUMMYFUNCTION("IF('From Order'!$A1380=COLUMNS($A1380:A1399), LEFT(INDEX(FILTER(A$1:A1379, A$1:A1379&lt;&gt;""""),COUNTA(FILTER(A$1:A1379, A$1:A1379&lt;&gt;""""))), LEN(INDEX(FILTER(A$1:A1379, A$1:A1379&lt;&gt;""""),COUNTA(FILTER(A$1:A1379, A$1:A1379&lt;&gt;""""))))-1), IF('To Order'!$A1380=COL"&amp;"UMNS($A1380:A1399), A1379&amp;RIGHT(INDIRECT(ADDRESS(ROW(A1380)-1, 'From Order'!$A1380)), 1), A1379))"),"JTBFMDJDSBGMTDLPPJQVQ")</f>
        <v>JTBFMDJDSBGMTDLPPJQVQ</v>
      </c>
      <c r="B1380" s="2" t="str">
        <f>IFERROR(__xludf.DUMMYFUNCTION("IF('From Order'!$A1380=COLUMNS($A1380:B1399), LEFT(INDEX(FILTER(B$1:B1379, B$1:B1379&lt;&gt;""""),COUNTA(FILTER(B$1:B1379, B$1:B1379&lt;&gt;""""))), LEN(INDEX(FILTER(B$1:B1379, B$1:B1379&lt;&gt;""""),COUNTA(FILTER(B$1:B1379, B$1:B1379&lt;&gt;""""))))-1), IF('To Order'!$A1380=COL"&amp;"UMNS($A1380:B1399), B1379&amp;RIGHT(INDIRECT(ADDRESS(ROW(B1380)-1, 'From Order'!$A1380)), 1), B1379))"),"RZ")</f>
        <v>RZ</v>
      </c>
      <c r="C1380" s="2" t="str">
        <f>IFERROR(__xludf.DUMMYFUNCTION("IF('From Order'!$A1380=COLUMNS($A1380:C1399), LEFT(INDEX(FILTER(C$1:C1379, C$1:C1379&lt;&gt;""""),COUNTA(FILTER(C$1:C1379, C$1:C1379&lt;&gt;""""))), LEN(INDEX(FILTER(C$1:C1379, C$1:C1379&lt;&gt;""""),COUNTA(FILTER(C$1:C1379, C$1:C1379&lt;&gt;""""))))-1), IF('To Order'!$A1380=COL"&amp;"UMNS($A1380:C1399), C1379&amp;RIGHT(INDIRECT(ADDRESS(ROW(C1380)-1, 'From Order'!$A1380)), 1), C1379))"),"T")</f>
        <v>T</v>
      </c>
      <c r="D1380" s="2" t="str">
        <f>IFERROR(__xludf.DUMMYFUNCTION("IF('From Order'!$A1380=COLUMNS($A1380:D1399), LEFT(INDEX(FILTER(D$1:D1379, D$1:D1379&lt;&gt;""""),COUNTA(FILTER(D$1:D1379, D$1:D1379&lt;&gt;""""))), LEN(INDEX(FILTER(D$1:D1379, D$1:D1379&lt;&gt;""""),COUNTA(FILTER(D$1:D1379, D$1:D1379&lt;&gt;""""))))-1), IF('To Order'!$A1380=COL"&amp;"UMNS($A1380:D1399), D1379&amp;RIGHT(INDIRECT(ADDRESS(ROW(D1380)-1, 'From Order'!$A1380)), 1), D1379))"),"PWLDDTSG")</f>
        <v>PWLDDTSG</v>
      </c>
      <c r="E1380" s="2" t="str">
        <f>IFERROR(__xludf.DUMMYFUNCTION("IF('From Order'!$A1380=COLUMNS($A1380:E1399), LEFT(INDEX(FILTER(E$1:E1379, E$1:E1379&lt;&gt;""""),COUNTA(FILTER(E$1:E1379, E$1:E1379&lt;&gt;""""))), LEN(INDEX(FILTER(E$1:E1379, E$1:E1379&lt;&gt;""""),COUNTA(FILTER(E$1:E1379, E$1:E1379&lt;&gt;""""))))-1), IF('To Order'!$A1380=COL"&amp;"UMNS($A1380:E1399), E1379&amp;RIGHT(INDIRECT(ADDRESS(ROW(E1380)-1, 'From Order'!$A1380)), 1), E1379))"),"")</f>
        <v/>
      </c>
      <c r="F1380" s="2" t="str">
        <f>IFERROR(__xludf.DUMMYFUNCTION("IF('From Order'!$A1380=COLUMNS($A1380:F1399), LEFT(INDEX(FILTER(F$1:F1379, F$1:F1379&lt;&gt;""""),COUNTA(FILTER(F$1:F1379, F$1:F1379&lt;&gt;""""))), LEN(INDEX(FILTER(F$1:F1379, F$1:F1379&lt;&gt;""""),COUNTA(FILTER(F$1:F1379, F$1:F1379&lt;&gt;""""))))-1), IF('To Order'!$A1380=COL"&amp;"UMNS($A1380:F1399), F1379&amp;RIGHT(INDIRECT(ADDRESS(ROW(F1380)-1, 'From Order'!$A1380)), 1), F1379))"),"ZRLBSTVFSCZRD")</f>
        <v>ZRLBSTVFSCZRD</v>
      </c>
      <c r="G1380" s="2" t="str">
        <f>IFERROR(__xludf.DUMMYFUNCTION("IF('From Order'!$A1380=COLUMNS($A1380:G1399), LEFT(INDEX(FILTER(G$1:G1379, G$1:G1379&lt;&gt;""""),COUNTA(FILTER(G$1:G1379, G$1:G1379&lt;&gt;""""))), LEN(INDEX(FILTER(G$1:G1379, G$1:G1379&lt;&gt;""""),COUNTA(FILTER(G$1:G1379, G$1:G1379&lt;&gt;""""))))-1), IF('To Order'!$A1380=COL"&amp;"UMNS($A1380:G1399), G1379&amp;RIGHT(INDIRECT(ADDRESS(ROW(G1380)-1, 'From Order'!$A1380)), 1), G1379))"),"WRMBVTCRC")</f>
        <v>WRMBVTCRC</v>
      </c>
      <c r="H1380" s="2" t="str">
        <f>IFERROR(__xludf.DUMMYFUNCTION("IF('From Order'!$A1380=COLUMNS($A1380:H1399), LEFT(INDEX(FILTER(H$1:H1379, H$1:H1379&lt;&gt;""""),COUNTA(FILTER(H$1:H1379, H$1:H1379&lt;&gt;""""))), LEN(INDEX(FILTER(H$1:H1379, H$1:H1379&lt;&gt;""""),COUNTA(FILTER(H$1:H1379, H$1:H1379&lt;&gt;""""))))-1), IF('To Order'!$A1380=COL"&amp;"UMNS($A1380:H1399), H1379&amp;RIGHT(INDIRECT(ADDRESS(ROW(H1380)-1, 'From Order'!$A1380)), 1), H1379))"),"H")</f>
        <v>H</v>
      </c>
      <c r="I1380" s="2" t="str">
        <f>IFERROR(__xludf.DUMMYFUNCTION("IF('From Order'!$A1380=COLUMNS($A1380:I1399), LEFT(INDEX(FILTER(I$1:I1379, I$1:I1379&lt;&gt;""""),COUNTA(FILTER(I$1:I1379, I$1:I1379&lt;&gt;""""))), LEN(INDEX(FILTER(I$1:I1379, I$1:I1379&lt;&gt;""""),COUNTA(FILTER(I$1:I1379, I$1:I1379&lt;&gt;""""))))-1), IF('To Order'!$A1380=COL"&amp;"UMNS($A1380:I1399), I1379&amp;RIGHT(INDIRECT(ADDRESS(ROW(I1380)-1, 'From Order'!$A1380)), 1), I1379))"),"H")</f>
        <v>H</v>
      </c>
    </row>
    <row r="1381">
      <c r="A1381" s="2" t="str">
        <f>IFERROR(__xludf.DUMMYFUNCTION("IF('From Order'!$A1381=COLUMNS($A1381:A1400), LEFT(INDEX(FILTER(A$1:A1380, A$1:A1380&lt;&gt;""""),COUNTA(FILTER(A$1:A1380, A$1:A1380&lt;&gt;""""))), LEN(INDEX(FILTER(A$1:A1380, A$1:A1380&lt;&gt;""""),COUNTA(FILTER(A$1:A1380, A$1:A1380&lt;&gt;""""))))-1), IF('To Order'!$A1381=COL"&amp;"UMNS($A1381:A1400), A1380&amp;RIGHT(INDIRECT(ADDRESS(ROW(A1381)-1, 'From Order'!$A1381)), 1), A1380))"),"JTBFMDJDSBGMTDLPPJQVQ")</f>
        <v>JTBFMDJDSBGMTDLPPJQVQ</v>
      </c>
      <c r="B1381" s="2" t="str">
        <f>IFERROR(__xludf.DUMMYFUNCTION("IF('From Order'!$A1381=COLUMNS($A1381:B1400), LEFT(INDEX(FILTER(B$1:B1380, B$1:B1380&lt;&gt;""""),COUNTA(FILTER(B$1:B1380, B$1:B1380&lt;&gt;""""))), LEN(INDEX(FILTER(B$1:B1380, B$1:B1380&lt;&gt;""""),COUNTA(FILTER(B$1:B1380, B$1:B1380&lt;&gt;""""))))-1), IF('To Order'!$A1381=COL"&amp;"UMNS($A1381:B1400), B1380&amp;RIGHT(INDIRECT(ADDRESS(ROW(B1381)-1, 'From Order'!$A1381)), 1), B1380))"),"RZ")</f>
        <v>RZ</v>
      </c>
      <c r="C1381" s="2" t="str">
        <f>IFERROR(__xludf.DUMMYFUNCTION("IF('From Order'!$A1381=COLUMNS($A1381:C1400), LEFT(INDEX(FILTER(C$1:C1380, C$1:C1380&lt;&gt;""""),COUNTA(FILTER(C$1:C1380, C$1:C1380&lt;&gt;""""))), LEN(INDEX(FILTER(C$1:C1380, C$1:C1380&lt;&gt;""""),COUNTA(FILTER(C$1:C1380, C$1:C1380&lt;&gt;""""))))-1), IF('To Order'!$A1381=COL"&amp;"UMNS($A1381:C1400), C1380&amp;RIGHT(INDIRECT(ADDRESS(ROW(C1381)-1, 'From Order'!$A1381)), 1), C1380))"),"T")</f>
        <v>T</v>
      </c>
      <c r="D1381" s="2" t="str">
        <f>IFERROR(__xludf.DUMMYFUNCTION("IF('From Order'!$A1381=COLUMNS($A1381:D1400), LEFT(INDEX(FILTER(D$1:D1380, D$1:D1380&lt;&gt;""""),COUNTA(FILTER(D$1:D1380, D$1:D1380&lt;&gt;""""))), LEN(INDEX(FILTER(D$1:D1380, D$1:D1380&lt;&gt;""""),COUNTA(FILTER(D$1:D1380, D$1:D1380&lt;&gt;""""))))-1), IF('To Order'!$A1381=COL"&amp;"UMNS($A1381:D1400), D1380&amp;RIGHT(INDIRECT(ADDRESS(ROW(D1381)-1, 'From Order'!$A1381)), 1), D1380))"),"PWLDDTSG")</f>
        <v>PWLDDTSG</v>
      </c>
      <c r="E1381" s="2" t="str">
        <f>IFERROR(__xludf.DUMMYFUNCTION("IF('From Order'!$A1381=COLUMNS($A1381:E1400), LEFT(INDEX(FILTER(E$1:E1380, E$1:E1380&lt;&gt;""""),COUNTA(FILTER(E$1:E1380, E$1:E1380&lt;&gt;""""))), LEN(INDEX(FILTER(E$1:E1380, E$1:E1380&lt;&gt;""""),COUNTA(FILTER(E$1:E1380, E$1:E1380&lt;&gt;""""))))-1), IF('To Order'!$A1381=COL"&amp;"UMNS($A1381:E1400), E1380&amp;RIGHT(INDIRECT(ADDRESS(ROW(E1381)-1, 'From Order'!$A1381)), 1), E1380))"),"")</f>
        <v/>
      </c>
      <c r="F1381" s="2" t="str">
        <f>IFERROR(__xludf.DUMMYFUNCTION("IF('From Order'!$A1381=COLUMNS($A1381:F1400), LEFT(INDEX(FILTER(F$1:F1380, F$1:F1380&lt;&gt;""""),COUNTA(FILTER(F$1:F1380, F$1:F1380&lt;&gt;""""))), LEN(INDEX(FILTER(F$1:F1380, F$1:F1380&lt;&gt;""""),COUNTA(FILTER(F$1:F1380, F$1:F1380&lt;&gt;""""))))-1), IF('To Order'!$A1381=COL"&amp;"UMNS($A1381:F1400), F1380&amp;RIGHT(INDIRECT(ADDRESS(ROW(F1381)-1, 'From Order'!$A1381)), 1), F1380))"),"ZRLBSTVFSCZR")</f>
        <v>ZRLBSTVFSCZR</v>
      </c>
      <c r="G1381" s="2" t="str">
        <f>IFERROR(__xludf.DUMMYFUNCTION("IF('From Order'!$A1381=COLUMNS($A1381:G1400), LEFT(INDEX(FILTER(G$1:G1380, G$1:G1380&lt;&gt;""""),COUNTA(FILTER(G$1:G1380, G$1:G1380&lt;&gt;""""))), LEN(INDEX(FILTER(G$1:G1380, G$1:G1380&lt;&gt;""""),COUNTA(FILTER(G$1:G1380, G$1:G1380&lt;&gt;""""))))-1), IF('To Order'!$A1381=COL"&amp;"UMNS($A1381:G1400), G1380&amp;RIGHT(INDIRECT(ADDRESS(ROW(G1381)-1, 'From Order'!$A1381)), 1), G1380))"),"WRMBVTCRCD")</f>
        <v>WRMBVTCRCD</v>
      </c>
      <c r="H1381" s="2" t="str">
        <f>IFERROR(__xludf.DUMMYFUNCTION("IF('From Order'!$A1381=COLUMNS($A1381:H1400), LEFT(INDEX(FILTER(H$1:H1380, H$1:H1380&lt;&gt;""""),COUNTA(FILTER(H$1:H1380, H$1:H1380&lt;&gt;""""))), LEN(INDEX(FILTER(H$1:H1380, H$1:H1380&lt;&gt;""""),COUNTA(FILTER(H$1:H1380, H$1:H1380&lt;&gt;""""))))-1), IF('To Order'!$A1381=COL"&amp;"UMNS($A1381:H1400), H1380&amp;RIGHT(INDIRECT(ADDRESS(ROW(H1381)-1, 'From Order'!$A1381)), 1), H1380))"),"H")</f>
        <v>H</v>
      </c>
      <c r="I1381" s="2" t="str">
        <f>IFERROR(__xludf.DUMMYFUNCTION("IF('From Order'!$A1381=COLUMNS($A1381:I1400), LEFT(INDEX(FILTER(I$1:I1380, I$1:I1380&lt;&gt;""""),COUNTA(FILTER(I$1:I1380, I$1:I1380&lt;&gt;""""))), LEN(INDEX(FILTER(I$1:I1380, I$1:I1380&lt;&gt;""""),COUNTA(FILTER(I$1:I1380, I$1:I1380&lt;&gt;""""))))-1), IF('To Order'!$A1381=COL"&amp;"UMNS($A1381:I1400), I1380&amp;RIGHT(INDIRECT(ADDRESS(ROW(I1381)-1, 'From Order'!$A1381)), 1), I1380))"),"H")</f>
        <v>H</v>
      </c>
    </row>
    <row r="1382">
      <c r="A1382" s="2" t="str">
        <f>IFERROR(__xludf.DUMMYFUNCTION("IF('From Order'!$A1382=COLUMNS($A1382:A1401), LEFT(INDEX(FILTER(A$1:A1381, A$1:A1381&lt;&gt;""""),COUNTA(FILTER(A$1:A1381, A$1:A1381&lt;&gt;""""))), LEN(INDEX(FILTER(A$1:A1381, A$1:A1381&lt;&gt;""""),COUNTA(FILTER(A$1:A1381, A$1:A1381&lt;&gt;""""))))-1), IF('To Order'!$A1382=COL"&amp;"UMNS($A1382:A1401), A1381&amp;RIGHT(INDIRECT(ADDRESS(ROW(A1382)-1, 'From Order'!$A1382)), 1), A1381))"),"JTBFMDJDSBGMTDLPPJQVQ")</f>
        <v>JTBFMDJDSBGMTDLPPJQVQ</v>
      </c>
      <c r="B1382" s="2" t="str">
        <f>IFERROR(__xludf.DUMMYFUNCTION("IF('From Order'!$A1382=COLUMNS($A1382:B1401), LEFT(INDEX(FILTER(B$1:B1381, B$1:B1381&lt;&gt;""""),COUNTA(FILTER(B$1:B1381, B$1:B1381&lt;&gt;""""))), LEN(INDEX(FILTER(B$1:B1381, B$1:B1381&lt;&gt;""""),COUNTA(FILTER(B$1:B1381, B$1:B1381&lt;&gt;""""))))-1), IF('To Order'!$A1382=COL"&amp;"UMNS($A1382:B1401), B1381&amp;RIGHT(INDIRECT(ADDRESS(ROW(B1382)-1, 'From Order'!$A1382)), 1), B1381))"),"RZ")</f>
        <v>RZ</v>
      </c>
      <c r="C1382" s="2" t="str">
        <f>IFERROR(__xludf.DUMMYFUNCTION("IF('From Order'!$A1382=COLUMNS($A1382:C1401), LEFT(INDEX(FILTER(C$1:C1381, C$1:C1381&lt;&gt;""""),COUNTA(FILTER(C$1:C1381, C$1:C1381&lt;&gt;""""))), LEN(INDEX(FILTER(C$1:C1381, C$1:C1381&lt;&gt;""""),COUNTA(FILTER(C$1:C1381, C$1:C1381&lt;&gt;""""))))-1), IF('To Order'!$A1382=COL"&amp;"UMNS($A1382:C1401), C1381&amp;RIGHT(INDIRECT(ADDRESS(ROW(C1382)-1, 'From Order'!$A1382)), 1), C1381))"),"T")</f>
        <v>T</v>
      </c>
      <c r="D1382" s="2" t="str">
        <f>IFERROR(__xludf.DUMMYFUNCTION("IF('From Order'!$A1382=COLUMNS($A1382:D1401), LEFT(INDEX(FILTER(D$1:D1381, D$1:D1381&lt;&gt;""""),COUNTA(FILTER(D$1:D1381, D$1:D1381&lt;&gt;""""))), LEN(INDEX(FILTER(D$1:D1381, D$1:D1381&lt;&gt;""""),COUNTA(FILTER(D$1:D1381, D$1:D1381&lt;&gt;""""))))-1), IF('To Order'!$A1382=COL"&amp;"UMNS($A1382:D1401), D1381&amp;RIGHT(INDIRECT(ADDRESS(ROW(D1382)-1, 'From Order'!$A1382)), 1), D1381))"),"PWLDDTSG")</f>
        <v>PWLDDTSG</v>
      </c>
      <c r="E1382" s="2" t="str">
        <f>IFERROR(__xludf.DUMMYFUNCTION("IF('From Order'!$A1382=COLUMNS($A1382:E1401), LEFT(INDEX(FILTER(E$1:E1381, E$1:E1381&lt;&gt;""""),COUNTA(FILTER(E$1:E1381, E$1:E1381&lt;&gt;""""))), LEN(INDEX(FILTER(E$1:E1381, E$1:E1381&lt;&gt;""""),COUNTA(FILTER(E$1:E1381, E$1:E1381&lt;&gt;""""))))-1), IF('To Order'!$A1382=COL"&amp;"UMNS($A1382:E1401), E1381&amp;RIGHT(INDIRECT(ADDRESS(ROW(E1382)-1, 'From Order'!$A1382)), 1), E1381))"),"")</f>
        <v/>
      </c>
      <c r="F1382" s="2" t="str">
        <f>IFERROR(__xludf.DUMMYFUNCTION("IF('From Order'!$A1382=COLUMNS($A1382:F1401), LEFT(INDEX(FILTER(F$1:F1381, F$1:F1381&lt;&gt;""""),COUNTA(FILTER(F$1:F1381, F$1:F1381&lt;&gt;""""))), LEN(INDEX(FILTER(F$1:F1381, F$1:F1381&lt;&gt;""""),COUNTA(FILTER(F$1:F1381, F$1:F1381&lt;&gt;""""))))-1), IF('To Order'!$A1382=COL"&amp;"UMNS($A1382:F1401), F1381&amp;RIGHT(INDIRECT(ADDRESS(ROW(F1382)-1, 'From Order'!$A1382)), 1), F1381))"),"ZRLBSTVFSCZ")</f>
        <v>ZRLBSTVFSCZ</v>
      </c>
      <c r="G1382" s="2" t="str">
        <f>IFERROR(__xludf.DUMMYFUNCTION("IF('From Order'!$A1382=COLUMNS($A1382:G1401), LEFT(INDEX(FILTER(G$1:G1381, G$1:G1381&lt;&gt;""""),COUNTA(FILTER(G$1:G1381, G$1:G1381&lt;&gt;""""))), LEN(INDEX(FILTER(G$1:G1381, G$1:G1381&lt;&gt;""""),COUNTA(FILTER(G$1:G1381, G$1:G1381&lt;&gt;""""))))-1), IF('To Order'!$A1382=COL"&amp;"UMNS($A1382:G1401), G1381&amp;RIGHT(INDIRECT(ADDRESS(ROW(G1382)-1, 'From Order'!$A1382)), 1), G1381))"),"WRMBVTCRCDR")</f>
        <v>WRMBVTCRCDR</v>
      </c>
      <c r="H1382" s="2" t="str">
        <f>IFERROR(__xludf.DUMMYFUNCTION("IF('From Order'!$A1382=COLUMNS($A1382:H1401), LEFT(INDEX(FILTER(H$1:H1381, H$1:H1381&lt;&gt;""""),COUNTA(FILTER(H$1:H1381, H$1:H1381&lt;&gt;""""))), LEN(INDEX(FILTER(H$1:H1381, H$1:H1381&lt;&gt;""""),COUNTA(FILTER(H$1:H1381, H$1:H1381&lt;&gt;""""))))-1), IF('To Order'!$A1382=COL"&amp;"UMNS($A1382:H1401), H1381&amp;RIGHT(INDIRECT(ADDRESS(ROW(H1382)-1, 'From Order'!$A1382)), 1), H1381))"),"H")</f>
        <v>H</v>
      </c>
      <c r="I1382" s="2" t="str">
        <f>IFERROR(__xludf.DUMMYFUNCTION("IF('From Order'!$A1382=COLUMNS($A1382:I1401), LEFT(INDEX(FILTER(I$1:I1381, I$1:I1381&lt;&gt;""""),COUNTA(FILTER(I$1:I1381, I$1:I1381&lt;&gt;""""))), LEN(INDEX(FILTER(I$1:I1381, I$1:I1381&lt;&gt;""""),COUNTA(FILTER(I$1:I1381, I$1:I1381&lt;&gt;""""))))-1), IF('To Order'!$A1382=COL"&amp;"UMNS($A1382:I1401), I1381&amp;RIGHT(INDIRECT(ADDRESS(ROW(I1382)-1, 'From Order'!$A1382)), 1), I1381))"),"H")</f>
        <v>H</v>
      </c>
    </row>
    <row r="1383">
      <c r="A1383" s="2" t="str">
        <f>IFERROR(__xludf.DUMMYFUNCTION("IF('From Order'!$A1383=COLUMNS($A1383:A1402), LEFT(INDEX(FILTER(A$1:A1382, A$1:A1382&lt;&gt;""""),COUNTA(FILTER(A$1:A1382, A$1:A1382&lt;&gt;""""))), LEN(INDEX(FILTER(A$1:A1382, A$1:A1382&lt;&gt;""""),COUNTA(FILTER(A$1:A1382, A$1:A1382&lt;&gt;""""))))-1), IF('To Order'!$A1383=COL"&amp;"UMNS($A1383:A1402), A1382&amp;RIGHT(INDIRECT(ADDRESS(ROW(A1383)-1, 'From Order'!$A1383)), 1), A1382))"),"JTBFMDJDSBGMTDLPPJQVQ")</f>
        <v>JTBFMDJDSBGMTDLPPJQVQ</v>
      </c>
      <c r="B1383" s="2" t="str">
        <f>IFERROR(__xludf.DUMMYFUNCTION("IF('From Order'!$A1383=COLUMNS($A1383:B1402), LEFT(INDEX(FILTER(B$1:B1382, B$1:B1382&lt;&gt;""""),COUNTA(FILTER(B$1:B1382, B$1:B1382&lt;&gt;""""))), LEN(INDEX(FILTER(B$1:B1382, B$1:B1382&lt;&gt;""""),COUNTA(FILTER(B$1:B1382, B$1:B1382&lt;&gt;""""))))-1), IF('To Order'!$A1383=COL"&amp;"UMNS($A1383:B1402), B1382&amp;RIGHT(INDIRECT(ADDRESS(ROW(B1383)-1, 'From Order'!$A1383)), 1), B1382))"),"RZ")</f>
        <v>RZ</v>
      </c>
      <c r="C1383" s="2" t="str">
        <f>IFERROR(__xludf.DUMMYFUNCTION("IF('From Order'!$A1383=COLUMNS($A1383:C1402), LEFT(INDEX(FILTER(C$1:C1382, C$1:C1382&lt;&gt;""""),COUNTA(FILTER(C$1:C1382, C$1:C1382&lt;&gt;""""))), LEN(INDEX(FILTER(C$1:C1382, C$1:C1382&lt;&gt;""""),COUNTA(FILTER(C$1:C1382, C$1:C1382&lt;&gt;""""))))-1), IF('To Order'!$A1383=COL"&amp;"UMNS($A1383:C1402), C1382&amp;RIGHT(INDIRECT(ADDRESS(ROW(C1383)-1, 'From Order'!$A1383)), 1), C1382))"),"T")</f>
        <v>T</v>
      </c>
      <c r="D1383" s="2" t="str">
        <f>IFERROR(__xludf.DUMMYFUNCTION("IF('From Order'!$A1383=COLUMNS($A1383:D1402), LEFT(INDEX(FILTER(D$1:D1382, D$1:D1382&lt;&gt;""""),COUNTA(FILTER(D$1:D1382, D$1:D1382&lt;&gt;""""))), LEN(INDEX(FILTER(D$1:D1382, D$1:D1382&lt;&gt;""""),COUNTA(FILTER(D$1:D1382, D$1:D1382&lt;&gt;""""))))-1), IF('To Order'!$A1383=COL"&amp;"UMNS($A1383:D1402), D1382&amp;RIGHT(INDIRECT(ADDRESS(ROW(D1383)-1, 'From Order'!$A1383)), 1), D1382))"),"PWLDDTSG")</f>
        <v>PWLDDTSG</v>
      </c>
      <c r="E1383" s="2" t="str">
        <f>IFERROR(__xludf.DUMMYFUNCTION("IF('From Order'!$A1383=COLUMNS($A1383:E1402), LEFT(INDEX(FILTER(E$1:E1382, E$1:E1382&lt;&gt;""""),COUNTA(FILTER(E$1:E1382, E$1:E1382&lt;&gt;""""))), LEN(INDEX(FILTER(E$1:E1382, E$1:E1382&lt;&gt;""""),COUNTA(FILTER(E$1:E1382, E$1:E1382&lt;&gt;""""))))-1), IF('To Order'!$A1383=COL"&amp;"UMNS($A1383:E1402), E1382&amp;RIGHT(INDIRECT(ADDRESS(ROW(E1383)-1, 'From Order'!$A1383)), 1), E1382))"),"")</f>
        <v/>
      </c>
      <c r="F1383" s="2" t="str">
        <f>IFERROR(__xludf.DUMMYFUNCTION("IF('From Order'!$A1383=COLUMNS($A1383:F1402), LEFT(INDEX(FILTER(F$1:F1382, F$1:F1382&lt;&gt;""""),COUNTA(FILTER(F$1:F1382, F$1:F1382&lt;&gt;""""))), LEN(INDEX(FILTER(F$1:F1382, F$1:F1382&lt;&gt;""""),COUNTA(FILTER(F$1:F1382, F$1:F1382&lt;&gt;""""))))-1), IF('To Order'!$A1383=COL"&amp;"UMNS($A1383:F1402), F1382&amp;RIGHT(INDIRECT(ADDRESS(ROW(F1383)-1, 'From Order'!$A1383)), 1), F1382))"),"ZRLBSTVFSCZ")</f>
        <v>ZRLBSTVFSCZ</v>
      </c>
      <c r="G1383" s="2" t="str">
        <f>IFERROR(__xludf.DUMMYFUNCTION("IF('From Order'!$A1383=COLUMNS($A1383:G1402), LEFT(INDEX(FILTER(G$1:G1382, G$1:G1382&lt;&gt;""""),COUNTA(FILTER(G$1:G1382, G$1:G1382&lt;&gt;""""))), LEN(INDEX(FILTER(G$1:G1382, G$1:G1382&lt;&gt;""""),COUNTA(FILTER(G$1:G1382, G$1:G1382&lt;&gt;""""))))-1), IF('To Order'!$A1383=COL"&amp;"UMNS($A1383:G1402), G1382&amp;RIGHT(INDIRECT(ADDRESS(ROW(G1383)-1, 'From Order'!$A1383)), 1), G1382))"),"WRMBVTCRCDRH")</f>
        <v>WRMBVTCRCDRH</v>
      </c>
      <c r="H1383" s="2" t="str">
        <f>IFERROR(__xludf.DUMMYFUNCTION("IF('From Order'!$A1383=COLUMNS($A1383:H1402), LEFT(INDEX(FILTER(H$1:H1382, H$1:H1382&lt;&gt;""""),COUNTA(FILTER(H$1:H1382, H$1:H1382&lt;&gt;""""))), LEN(INDEX(FILTER(H$1:H1382, H$1:H1382&lt;&gt;""""),COUNTA(FILTER(H$1:H1382, H$1:H1382&lt;&gt;""""))))-1), IF('To Order'!$A1383=COL"&amp;"UMNS($A1383:H1402), H1382&amp;RIGHT(INDIRECT(ADDRESS(ROW(H1383)-1, 'From Order'!$A1383)), 1), H1382))"),"")</f>
        <v/>
      </c>
      <c r="I1383" s="2" t="str">
        <f>IFERROR(__xludf.DUMMYFUNCTION("IF('From Order'!$A1383=COLUMNS($A1383:I1402), LEFT(INDEX(FILTER(I$1:I1382, I$1:I1382&lt;&gt;""""),COUNTA(FILTER(I$1:I1382, I$1:I1382&lt;&gt;""""))), LEN(INDEX(FILTER(I$1:I1382, I$1:I1382&lt;&gt;""""),COUNTA(FILTER(I$1:I1382, I$1:I1382&lt;&gt;""""))))-1), IF('To Order'!$A1383=COL"&amp;"UMNS($A1383:I1402), I1382&amp;RIGHT(INDIRECT(ADDRESS(ROW(I1383)-1, 'From Order'!$A1383)), 1), I1382))"),"H")</f>
        <v>H</v>
      </c>
    </row>
    <row r="1384">
      <c r="A1384" s="2" t="str">
        <f>IFERROR(__xludf.DUMMYFUNCTION("IF('From Order'!$A1384=COLUMNS($A1384:A1403), LEFT(INDEX(FILTER(A$1:A1383, A$1:A1383&lt;&gt;""""),COUNTA(FILTER(A$1:A1383, A$1:A1383&lt;&gt;""""))), LEN(INDEX(FILTER(A$1:A1383, A$1:A1383&lt;&gt;""""),COUNTA(FILTER(A$1:A1383, A$1:A1383&lt;&gt;""""))))-1), IF('To Order'!$A1384=COL"&amp;"UMNS($A1384:A1403), A1383&amp;RIGHT(INDIRECT(ADDRESS(ROW(A1384)-1, 'From Order'!$A1384)), 1), A1383))"),"JTBFMDJDSBGMTDLPPJQVQ")</f>
        <v>JTBFMDJDSBGMTDLPPJQVQ</v>
      </c>
      <c r="B1384" s="2" t="str">
        <f>IFERROR(__xludf.DUMMYFUNCTION("IF('From Order'!$A1384=COLUMNS($A1384:B1403), LEFT(INDEX(FILTER(B$1:B1383, B$1:B1383&lt;&gt;""""),COUNTA(FILTER(B$1:B1383, B$1:B1383&lt;&gt;""""))), LEN(INDEX(FILTER(B$1:B1383, B$1:B1383&lt;&gt;""""),COUNTA(FILTER(B$1:B1383, B$1:B1383&lt;&gt;""""))))-1), IF('To Order'!$A1384=COL"&amp;"UMNS($A1384:B1403), B1383&amp;RIGHT(INDIRECT(ADDRESS(ROW(B1384)-1, 'From Order'!$A1384)), 1), B1383))"),"RZ")</f>
        <v>RZ</v>
      </c>
      <c r="C1384" s="2" t="str">
        <f>IFERROR(__xludf.DUMMYFUNCTION("IF('From Order'!$A1384=COLUMNS($A1384:C1403), LEFT(INDEX(FILTER(C$1:C1383, C$1:C1383&lt;&gt;""""),COUNTA(FILTER(C$1:C1383, C$1:C1383&lt;&gt;""""))), LEN(INDEX(FILTER(C$1:C1383, C$1:C1383&lt;&gt;""""),COUNTA(FILTER(C$1:C1383, C$1:C1383&lt;&gt;""""))))-1), IF('To Order'!$A1384=COL"&amp;"UMNS($A1384:C1403), C1383&amp;RIGHT(INDIRECT(ADDRESS(ROW(C1384)-1, 'From Order'!$A1384)), 1), C1383))"),"T")</f>
        <v>T</v>
      </c>
      <c r="D1384" s="2" t="str">
        <f>IFERROR(__xludf.DUMMYFUNCTION("IF('From Order'!$A1384=COLUMNS($A1384:D1403), LEFT(INDEX(FILTER(D$1:D1383, D$1:D1383&lt;&gt;""""),COUNTA(FILTER(D$1:D1383, D$1:D1383&lt;&gt;""""))), LEN(INDEX(FILTER(D$1:D1383, D$1:D1383&lt;&gt;""""),COUNTA(FILTER(D$1:D1383, D$1:D1383&lt;&gt;""""))))-1), IF('To Order'!$A1384=COL"&amp;"UMNS($A1384:D1403), D1383&amp;RIGHT(INDIRECT(ADDRESS(ROW(D1384)-1, 'From Order'!$A1384)), 1), D1383))"),"PWLDDTSGH")</f>
        <v>PWLDDTSGH</v>
      </c>
      <c r="E1384" s="2" t="str">
        <f>IFERROR(__xludf.DUMMYFUNCTION("IF('From Order'!$A1384=COLUMNS($A1384:E1403), LEFT(INDEX(FILTER(E$1:E1383, E$1:E1383&lt;&gt;""""),COUNTA(FILTER(E$1:E1383, E$1:E1383&lt;&gt;""""))), LEN(INDEX(FILTER(E$1:E1383, E$1:E1383&lt;&gt;""""),COUNTA(FILTER(E$1:E1383, E$1:E1383&lt;&gt;""""))))-1), IF('To Order'!$A1384=COL"&amp;"UMNS($A1384:E1403), E1383&amp;RIGHT(INDIRECT(ADDRESS(ROW(E1384)-1, 'From Order'!$A1384)), 1), E1383))"),"")</f>
        <v/>
      </c>
      <c r="F1384" s="2" t="str">
        <f>IFERROR(__xludf.DUMMYFUNCTION("IF('From Order'!$A1384=COLUMNS($A1384:F1403), LEFT(INDEX(FILTER(F$1:F1383, F$1:F1383&lt;&gt;""""),COUNTA(FILTER(F$1:F1383, F$1:F1383&lt;&gt;""""))), LEN(INDEX(FILTER(F$1:F1383, F$1:F1383&lt;&gt;""""),COUNTA(FILTER(F$1:F1383, F$1:F1383&lt;&gt;""""))))-1), IF('To Order'!$A1384=COL"&amp;"UMNS($A1384:F1403), F1383&amp;RIGHT(INDIRECT(ADDRESS(ROW(F1384)-1, 'From Order'!$A1384)), 1), F1383))"),"ZRLBSTVFSCZ")</f>
        <v>ZRLBSTVFSCZ</v>
      </c>
      <c r="G1384" s="2" t="str">
        <f>IFERROR(__xludf.DUMMYFUNCTION("IF('From Order'!$A1384=COLUMNS($A1384:G1403), LEFT(INDEX(FILTER(G$1:G1383, G$1:G1383&lt;&gt;""""),COUNTA(FILTER(G$1:G1383, G$1:G1383&lt;&gt;""""))), LEN(INDEX(FILTER(G$1:G1383, G$1:G1383&lt;&gt;""""),COUNTA(FILTER(G$1:G1383, G$1:G1383&lt;&gt;""""))))-1), IF('To Order'!$A1384=COL"&amp;"UMNS($A1384:G1403), G1383&amp;RIGHT(INDIRECT(ADDRESS(ROW(G1384)-1, 'From Order'!$A1384)), 1), G1383))"),"WRMBVTCRCDRH")</f>
        <v>WRMBVTCRCDRH</v>
      </c>
      <c r="H1384" s="2" t="str">
        <f>IFERROR(__xludf.DUMMYFUNCTION("IF('From Order'!$A1384=COLUMNS($A1384:H1403), LEFT(INDEX(FILTER(H$1:H1383, H$1:H1383&lt;&gt;""""),COUNTA(FILTER(H$1:H1383, H$1:H1383&lt;&gt;""""))), LEN(INDEX(FILTER(H$1:H1383, H$1:H1383&lt;&gt;""""),COUNTA(FILTER(H$1:H1383, H$1:H1383&lt;&gt;""""))))-1), IF('To Order'!$A1384=COL"&amp;"UMNS($A1384:H1403), H1383&amp;RIGHT(INDIRECT(ADDRESS(ROW(H1384)-1, 'From Order'!$A1384)), 1), H1383))"),"")</f>
        <v/>
      </c>
      <c r="I1384" s="2" t="str">
        <f>IFERROR(__xludf.DUMMYFUNCTION("IF('From Order'!$A1384=COLUMNS($A1384:I1403), LEFT(INDEX(FILTER(I$1:I1383, I$1:I1383&lt;&gt;""""),COUNTA(FILTER(I$1:I1383, I$1:I1383&lt;&gt;""""))), LEN(INDEX(FILTER(I$1:I1383, I$1:I1383&lt;&gt;""""),COUNTA(FILTER(I$1:I1383, I$1:I1383&lt;&gt;""""))))-1), IF('To Order'!$A1384=COL"&amp;"UMNS($A1384:I1403), I1383&amp;RIGHT(INDIRECT(ADDRESS(ROW(I1384)-1, 'From Order'!$A1384)), 1), I1383))"),"")</f>
        <v/>
      </c>
    </row>
    <row r="1385">
      <c r="A1385" s="2" t="str">
        <f>IFERROR(__xludf.DUMMYFUNCTION("IF('From Order'!$A1385=COLUMNS($A1385:A1404), LEFT(INDEX(FILTER(A$1:A1384, A$1:A1384&lt;&gt;""""),COUNTA(FILTER(A$1:A1384, A$1:A1384&lt;&gt;""""))), LEN(INDEX(FILTER(A$1:A1384, A$1:A1384&lt;&gt;""""),COUNTA(FILTER(A$1:A1384, A$1:A1384&lt;&gt;""""))))-1), IF('To Order'!$A1385=COL"&amp;"UMNS($A1385:A1404), A1384&amp;RIGHT(INDIRECT(ADDRESS(ROW(A1385)-1, 'From Order'!$A1385)), 1), A1384))"),"JTBFMDJDSBGMTDLPPJQVQ")</f>
        <v>JTBFMDJDSBGMTDLPPJQVQ</v>
      </c>
      <c r="B1385" s="2" t="str">
        <f>IFERROR(__xludf.DUMMYFUNCTION("IF('From Order'!$A1385=COLUMNS($A1385:B1404), LEFT(INDEX(FILTER(B$1:B1384, B$1:B1384&lt;&gt;""""),COUNTA(FILTER(B$1:B1384, B$1:B1384&lt;&gt;""""))), LEN(INDEX(FILTER(B$1:B1384, B$1:B1384&lt;&gt;""""),COUNTA(FILTER(B$1:B1384, B$1:B1384&lt;&gt;""""))))-1), IF('To Order'!$A1385=COL"&amp;"UMNS($A1385:B1404), B1384&amp;RIGHT(INDIRECT(ADDRESS(ROW(B1385)-1, 'From Order'!$A1385)), 1), B1384))"),"RZ")</f>
        <v>RZ</v>
      </c>
      <c r="C1385" s="2" t="str">
        <f>IFERROR(__xludf.DUMMYFUNCTION("IF('From Order'!$A1385=COLUMNS($A1385:C1404), LEFT(INDEX(FILTER(C$1:C1384, C$1:C1384&lt;&gt;""""),COUNTA(FILTER(C$1:C1384, C$1:C1384&lt;&gt;""""))), LEN(INDEX(FILTER(C$1:C1384, C$1:C1384&lt;&gt;""""),COUNTA(FILTER(C$1:C1384, C$1:C1384&lt;&gt;""""))))-1), IF('To Order'!$A1385=COL"&amp;"UMNS($A1385:C1404), C1384&amp;RIGHT(INDIRECT(ADDRESS(ROW(C1385)-1, 'From Order'!$A1385)), 1), C1384))"),"T")</f>
        <v>T</v>
      </c>
      <c r="D1385" s="2" t="str">
        <f>IFERROR(__xludf.DUMMYFUNCTION("IF('From Order'!$A1385=COLUMNS($A1385:D1404), LEFT(INDEX(FILTER(D$1:D1384, D$1:D1384&lt;&gt;""""),COUNTA(FILTER(D$1:D1384, D$1:D1384&lt;&gt;""""))), LEN(INDEX(FILTER(D$1:D1384, D$1:D1384&lt;&gt;""""),COUNTA(FILTER(D$1:D1384, D$1:D1384&lt;&gt;""""))))-1), IF('To Order'!$A1385=COL"&amp;"UMNS($A1385:D1404), D1384&amp;RIGHT(INDIRECT(ADDRESS(ROW(D1385)-1, 'From Order'!$A1385)), 1), D1384))"),"PWLDDTSG")</f>
        <v>PWLDDTSG</v>
      </c>
      <c r="E1385" s="2" t="str">
        <f>IFERROR(__xludf.DUMMYFUNCTION("IF('From Order'!$A1385=COLUMNS($A1385:E1404), LEFT(INDEX(FILTER(E$1:E1384, E$1:E1384&lt;&gt;""""),COUNTA(FILTER(E$1:E1384, E$1:E1384&lt;&gt;""""))), LEN(INDEX(FILTER(E$1:E1384, E$1:E1384&lt;&gt;""""),COUNTA(FILTER(E$1:E1384, E$1:E1384&lt;&gt;""""))))-1), IF('To Order'!$A1385=COL"&amp;"UMNS($A1385:E1404), E1384&amp;RIGHT(INDIRECT(ADDRESS(ROW(E1385)-1, 'From Order'!$A1385)), 1), E1384))"),"H")</f>
        <v>H</v>
      </c>
      <c r="F1385" s="2" t="str">
        <f>IFERROR(__xludf.DUMMYFUNCTION("IF('From Order'!$A1385=COLUMNS($A1385:F1404), LEFT(INDEX(FILTER(F$1:F1384, F$1:F1384&lt;&gt;""""),COUNTA(FILTER(F$1:F1384, F$1:F1384&lt;&gt;""""))), LEN(INDEX(FILTER(F$1:F1384, F$1:F1384&lt;&gt;""""),COUNTA(FILTER(F$1:F1384, F$1:F1384&lt;&gt;""""))))-1), IF('To Order'!$A1385=COL"&amp;"UMNS($A1385:F1404), F1384&amp;RIGHT(INDIRECT(ADDRESS(ROW(F1385)-1, 'From Order'!$A1385)), 1), F1384))"),"ZRLBSTVFSCZ")</f>
        <v>ZRLBSTVFSCZ</v>
      </c>
      <c r="G1385" s="2" t="str">
        <f>IFERROR(__xludf.DUMMYFUNCTION("IF('From Order'!$A1385=COLUMNS($A1385:G1404), LEFT(INDEX(FILTER(G$1:G1384, G$1:G1384&lt;&gt;""""),COUNTA(FILTER(G$1:G1384, G$1:G1384&lt;&gt;""""))), LEN(INDEX(FILTER(G$1:G1384, G$1:G1384&lt;&gt;""""),COUNTA(FILTER(G$1:G1384, G$1:G1384&lt;&gt;""""))))-1), IF('To Order'!$A1385=COL"&amp;"UMNS($A1385:G1404), G1384&amp;RIGHT(INDIRECT(ADDRESS(ROW(G1385)-1, 'From Order'!$A1385)), 1), G1384))"),"WRMBVTCRCDRH")</f>
        <v>WRMBVTCRCDRH</v>
      </c>
      <c r="H1385" s="2" t="str">
        <f>IFERROR(__xludf.DUMMYFUNCTION("IF('From Order'!$A1385=COLUMNS($A1385:H1404), LEFT(INDEX(FILTER(H$1:H1384, H$1:H1384&lt;&gt;""""),COUNTA(FILTER(H$1:H1384, H$1:H1384&lt;&gt;""""))), LEN(INDEX(FILTER(H$1:H1384, H$1:H1384&lt;&gt;""""),COUNTA(FILTER(H$1:H1384, H$1:H1384&lt;&gt;""""))))-1), IF('To Order'!$A1385=COL"&amp;"UMNS($A1385:H1404), H1384&amp;RIGHT(INDIRECT(ADDRESS(ROW(H1385)-1, 'From Order'!$A1385)), 1), H1384))"),"")</f>
        <v/>
      </c>
      <c r="I1385" s="2" t="str">
        <f>IFERROR(__xludf.DUMMYFUNCTION("IF('From Order'!$A1385=COLUMNS($A1385:I1404), LEFT(INDEX(FILTER(I$1:I1384, I$1:I1384&lt;&gt;""""),COUNTA(FILTER(I$1:I1384, I$1:I1384&lt;&gt;""""))), LEN(INDEX(FILTER(I$1:I1384, I$1:I1384&lt;&gt;""""),COUNTA(FILTER(I$1:I1384, I$1:I1384&lt;&gt;""""))))-1), IF('To Order'!$A1385=COL"&amp;"UMNS($A1385:I1404), I1384&amp;RIGHT(INDIRECT(ADDRESS(ROW(I1385)-1, 'From Order'!$A1385)), 1), I1384))"),"")</f>
        <v/>
      </c>
    </row>
    <row r="1386">
      <c r="A1386" s="2" t="str">
        <f>IFERROR(__xludf.DUMMYFUNCTION("IF('From Order'!$A1386=COLUMNS($A1386:A1405), LEFT(INDEX(FILTER(A$1:A1385, A$1:A1385&lt;&gt;""""),COUNTA(FILTER(A$1:A1385, A$1:A1385&lt;&gt;""""))), LEN(INDEX(FILTER(A$1:A1385, A$1:A1385&lt;&gt;""""),COUNTA(FILTER(A$1:A1385, A$1:A1385&lt;&gt;""""))))-1), IF('To Order'!$A1386=COL"&amp;"UMNS($A1386:A1405), A1385&amp;RIGHT(INDIRECT(ADDRESS(ROW(A1386)-1, 'From Order'!$A1386)), 1), A1385))"),"JTBFMDJDSBGMTDLPPJQVQ")</f>
        <v>JTBFMDJDSBGMTDLPPJQVQ</v>
      </c>
      <c r="B1386" s="2" t="str">
        <f>IFERROR(__xludf.DUMMYFUNCTION("IF('From Order'!$A1386=COLUMNS($A1386:B1405), LEFT(INDEX(FILTER(B$1:B1385, B$1:B1385&lt;&gt;""""),COUNTA(FILTER(B$1:B1385, B$1:B1385&lt;&gt;""""))), LEN(INDEX(FILTER(B$1:B1385, B$1:B1385&lt;&gt;""""),COUNTA(FILTER(B$1:B1385, B$1:B1385&lt;&gt;""""))))-1), IF('To Order'!$A1386=COL"&amp;"UMNS($A1386:B1405), B1385&amp;RIGHT(INDIRECT(ADDRESS(ROW(B1386)-1, 'From Order'!$A1386)), 1), B1385))"),"RZ")</f>
        <v>RZ</v>
      </c>
      <c r="C1386" s="2" t="str">
        <f>IFERROR(__xludf.DUMMYFUNCTION("IF('From Order'!$A1386=COLUMNS($A1386:C1405), LEFT(INDEX(FILTER(C$1:C1385, C$1:C1385&lt;&gt;""""),COUNTA(FILTER(C$1:C1385, C$1:C1385&lt;&gt;""""))), LEN(INDEX(FILTER(C$1:C1385, C$1:C1385&lt;&gt;""""),COUNTA(FILTER(C$1:C1385, C$1:C1385&lt;&gt;""""))))-1), IF('To Order'!$A1386=COL"&amp;"UMNS($A1386:C1405), C1385&amp;RIGHT(INDIRECT(ADDRESS(ROW(C1386)-1, 'From Order'!$A1386)), 1), C1385))"),"T")</f>
        <v>T</v>
      </c>
      <c r="D1386" s="2" t="str">
        <f>IFERROR(__xludf.DUMMYFUNCTION("IF('From Order'!$A1386=COLUMNS($A1386:D1405), LEFT(INDEX(FILTER(D$1:D1385, D$1:D1385&lt;&gt;""""),COUNTA(FILTER(D$1:D1385, D$1:D1385&lt;&gt;""""))), LEN(INDEX(FILTER(D$1:D1385, D$1:D1385&lt;&gt;""""),COUNTA(FILTER(D$1:D1385, D$1:D1385&lt;&gt;""""))))-1), IF('To Order'!$A1386=COL"&amp;"UMNS($A1386:D1405), D1385&amp;RIGHT(INDIRECT(ADDRESS(ROW(D1386)-1, 'From Order'!$A1386)), 1), D1385))"),"PWLDDTS")</f>
        <v>PWLDDTS</v>
      </c>
      <c r="E1386" s="2" t="str">
        <f>IFERROR(__xludf.DUMMYFUNCTION("IF('From Order'!$A1386=COLUMNS($A1386:E1405), LEFT(INDEX(FILTER(E$1:E1385, E$1:E1385&lt;&gt;""""),COUNTA(FILTER(E$1:E1385, E$1:E1385&lt;&gt;""""))), LEN(INDEX(FILTER(E$1:E1385, E$1:E1385&lt;&gt;""""),COUNTA(FILTER(E$1:E1385, E$1:E1385&lt;&gt;""""))))-1), IF('To Order'!$A1386=COL"&amp;"UMNS($A1386:E1405), E1385&amp;RIGHT(INDIRECT(ADDRESS(ROW(E1386)-1, 'From Order'!$A1386)), 1), E1385))"),"HG")</f>
        <v>HG</v>
      </c>
      <c r="F1386" s="2" t="str">
        <f>IFERROR(__xludf.DUMMYFUNCTION("IF('From Order'!$A1386=COLUMNS($A1386:F1405), LEFT(INDEX(FILTER(F$1:F1385, F$1:F1385&lt;&gt;""""),COUNTA(FILTER(F$1:F1385, F$1:F1385&lt;&gt;""""))), LEN(INDEX(FILTER(F$1:F1385, F$1:F1385&lt;&gt;""""),COUNTA(FILTER(F$1:F1385, F$1:F1385&lt;&gt;""""))))-1), IF('To Order'!$A1386=COL"&amp;"UMNS($A1386:F1405), F1385&amp;RIGHT(INDIRECT(ADDRESS(ROW(F1386)-1, 'From Order'!$A1386)), 1), F1385))"),"ZRLBSTVFSCZ")</f>
        <v>ZRLBSTVFSCZ</v>
      </c>
      <c r="G1386" s="2" t="str">
        <f>IFERROR(__xludf.DUMMYFUNCTION("IF('From Order'!$A1386=COLUMNS($A1386:G1405), LEFT(INDEX(FILTER(G$1:G1385, G$1:G1385&lt;&gt;""""),COUNTA(FILTER(G$1:G1385, G$1:G1385&lt;&gt;""""))), LEN(INDEX(FILTER(G$1:G1385, G$1:G1385&lt;&gt;""""),COUNTA(FILTER(G$1:G1385, G$1:G1385&lt;&gt;""""))))-1), IF('To Order'!$A1386=COL"&amp;"UMNS($A1386:G1405), G1385&amp;RIGHT(INDIRECT(ADDRESS(ROW(G1386)-1, 'From Order'!$A1386)), 1), G1385))"),"WRMBVTCRCDRH")</f>
        <v>WRMBVTCRCDRH</v>
      </c>
      <c r="H1386" s="2" t="str">
        <f>IFERROR(__xludf.DUMMYFUNCTION("IF('From Order'!$A1386=COLUMNS($A1386:H1405), LEFT(INDEX(FILTER(H$1:H1385, H$1:H1385&lt;&gt;""""),COUNTA(FILTER(H$1:H1385, H$1:H1385&lt;&gt;""""))), LEN(INDEX(FILTER(H$1:H1385, H$1:H1385&lt;&gt;""""),COUNTA(FILTER(H$1:H1385, H$1:H1385&lt;&gt;""""))))-1), IF('To Order'!$A1386=COL"&amp;"UMNS($A1386:H1405), H1385&amp;RIGHT(INDIRECT(ADDRESS(ROW(H1386)-1, 'From Order'!$A1386)), 1), H1385))"),"")</f>
        <v/>
      </c>
      <c r="I1386" s="2" t="str">
        <f>IFERROR(__xludf.DUMMYFUNCTION("IF('From Order'!$A1386=COLUMNS($A1386:I1405), LEFT(INDEX(FILTER(I$1:I1385, I$1:I1385&lt;&gt;""""),COUNTA(FILTER(I$1:I1385, I$1:I1385&lt;&gt;""""))), LEN(INDEX(FILTER(I$1:I1385, I$1:I1385&lt;&gt;""""),COUNTA(FILTER(I$1:I1385, I$1:I1385&lt;&gt;""""))))-1), IF('To Order'!$A1386=COL"&amp;"UMNS($A1386:I1405), I1385&amp;RIGHT(INDIRECT(ADDRESS(ROW(I1386)-1, 'From Order'!$A1386)), 1), I1385))"),"")</f>
        <v/>
      </c>
    </row>
    <row r="1387">
      <c r="A1387" s="2" t="str">
        <f>IFERROR(__xludf.DUMMYFUNCTION("IF('From Order'!$A1387=COLUMNS($A1387:A1406), LEFT(INDEX(FILTER(A$1:A1386, A$1:A1386&lt;&gt;""""),COUNTA(FILTER(A$1:A1386, A$1:A1386&lt;&gt;""""))), LEN(INDEX(FILTER(A$1:A1386, A$1:A1386&lt;&gt;""""),COUNTA(FILTER(A$1:A1386, A$1:A1386&lt;&gt;""""))))-1), IF('To Order'!$A1387=COL"&amp;"UMNS($A1387:A1406), A1386&amp;RIGHT(INDIRECT(ADDRESS(ROW(A1387)-1, 'From Order'!$A1387)), 1), A1386))"),"JTBFMDJDSBGMTDLPPJQVQ")</f>
        <v>JTBFMDJDSBGMTDLPPJQVQ</v>
      </c>
      <c r="B1387" s="2" t="str">
        <f>IFERROR(__xludf.DUMMYFUNCTION("IF('From Order'!$A1387=COLUMNS($A1387:B1406), LEFT(INDEX(FILTER(B$1:B1386, B$1:B1386&lt;&gt;""""),COUNTA(FILTER(B$1:B1386, B$1:B1386&lt;&gt;""""))), LEN(INDEX(FILTER(B$1:B1386, B$1:B1386&lt;&gt;""""),COUNTA(FILTER(B$1:B1386, B$1:B1386&lt;&gt;""""))))-1), IF('To Order'!$A1387=COL"&amp;"UMNS($A1387:B1406), B1386&amp;RIGHT(INDIRECT(ADDRESS(ROW(B1387)-1, 'From Order'!$A1387)), 1), B1386))"),"RZ")</f>
        <v>RZ</v>
      </c>
      <c r="C1387" s="2" t="str">
        <f>IFERROR(__xludf.DUMMYFUNCTION("IF('From Order'!$A1387=COLUMNS($A1387:C1406), LEFT(INDEX(FILTER(C$1:C1386, C$1:C1386&lt;&gt;""""),COUNTA(FILTER(C$1:C1386, C$1:C1386&lt;&gt;""""))), LEN(INDEX(FILTER(C$1:C1386, C$1:C1386&lt;&gt;""""),COUNTA(FILTER(C$1:C1386, C$1:C1386&lt;&gt;""""))))-1), IF('To Order'!$A1387=COL"&amp;"UMNS($A1387:C1406), C1386&amp;RIGHT(INDIRECT(ADDRESS(ROW(C1387)-1, 'From Order'!$A1387)), 1), C1386))"),"T")</f>
        <v>T</v>
      </c>
      <c r="D1387" s="2" t="str">
        <f>IFERROR(__xludf.DUMMYFUNCTION("IF('From Order'!$A1387=COLUMNS($A1387:D1406), LEFT(INDEX(FILTER(D$1:D1386, D$1:D1386&lt;&gt;""""),COUNTA(FILTER(D$1:D1386, D$1:D1386&lt;&gt;""""))), LEN(INDEX(FILTER(D$1:D1386, D$1:D1386&lt;&gt;""""),COUNTA(FILTER(D$1:D1386, D$1:D1386&lt;&gt;""""))))-1), IF('To Order'!$A1387=COL"&amp;"UMNS($A1387:D1406), D1386&amp;RIGHT(INDIRECT(ADDRESS(ROW(D1387)-1, 'From Order'!$A1387)), 1), D1386))"),"PWLDDT")</f>
        <v>PWLDDT</v>
      </c>
      <c r="E1387" s="2" t="str">
        <f>IFERROR(__xludf.DUMMYFUNCTION("IF('From Order'!$A1387=COLUMNS($A1387:E1406), LEFT(INDEX(FILTER(E$1:E1386, E$1:E1386&lt;&gt;""""),COUNTA(FILTER(E$1:E1386, E$1:E1386&lt;&gt;""""))), LEN(INDEX(FILTER(E$1:E1386, E$1:E1386&lt;&gt;""""),COUNTA(FILTER(E$1:E1386, E$1:E1386&lt;&gt;""""))))-1), IF('To Order'!$A1387=COL"&amp;"UMNS($A1387:E1406), E1386&amp;RIGHT(INDIRECT(ADDRESS(ROW(E1387)-1, 'From Order'!$A1387)), 1), E1386))"),"HGS")</f>
        <v>HGS</v>
      </c>
      <c r="F1387" s="2" t="str">
        <f>IFERROR(__xludf.DUMMYFUNCTION("IF('From Order'!$A1387=COLUMNS($A1387:F1406), LEFT(INDEX(FILTER(F$1:F1386, F$1:F1386&lt;&gt;""""),COUNTA(FILTER(F$1:F1386, F$1:F1386&lt;&gt;""""))), LEN(INDEX(FILTER(F$1:F1386, F$1:F1386&lt;&gt;""""),COUNTA(FILTER(F$1:F1386, F$1:F1386&lt;&gt;""""))))-1), IF('To Order'!$A1387=COL"&amp;"UMNS($A1387:F1406), F1386&amp;RIGHT(INDIRECT(ADDRESS(ROW(F1387)-1, 'From Order'!$A1387)), 1), F1386))"),"ZRLBSTVFSCZ")</f>
        <v>ZRLBSTVFSCZ</v>
      </c>
      <c r="G1387" s="2" t="str">
        <f>IFERROR(__xludf.DUMMYFUNCTION("IF('From Order'!$A1387=COLUMNS($A1387:G1406), LEFT(INDEX(FILTER(G$1:G1386, G$1:G1386&lt;&gt;""""),COUNTA(FILTER(G$1:G1386, G$1:G1386&lt;&gt;""""))), LEN(INDEX(FILTER(G$1:G1386, G$1:G1386&lt;&gt;""""),COUNTA(FILTER(G$1:G1386, G$1:G1386&lt;&gt;""""))))-1), IF('To Order'!$A1387=COL"&amp;"UMNS($A1387:G1406), G1386&amp;RIGHT(INDIRECT(ADDRESS(ROW(G1387)-1, 'From Order'!$A1387)), 1), G1386))"),"WRMBVTCRCDRH")</f>
        <v>WRMBVTCRCDRH</v>
      </c>
      <c r="H1387" s="2" t="str">
        <f>IFERROR(__xludf.DUMMYFUNCTION("IF('From Order'!$A1387=COLUMNS($A1387:H1406), LEFT(INDEX(FILTER(H$1:H1386, H$1:H1386&lt;&gt;""""),COUNTA(FILTER(H$1:H1386, H$1:H1386&lt;&gt;""""))), LEN(INDEX(FILTER(H$1:H1386, H$1:H1386&lt;&gt;""""),COUNTA(FILTER(H$1:H1386, H$1:H1386&lt;&gt;""""))))-1), IF('To Order'!$A1387=COL"&amp;"UMNS($A1387:H1406), H1386&amp;RIGHT(INDIRECT(ADDRESS(ROW(H1387)-1, 'From Order'!$A1387)), 1), H1386))"),"")</f>
        <v/>
      </c>
      <c r="I1387" s="2" t="str">
        <f>IFERROR(__xludf.DUMMYFUNCTION("IF('From Order'!$A1387=COLUMNS($A1387:I1406), LEFT(INDEX(FILTER(I$1:I1386, I$1:I1386&lt;&gt;""""),COUNTA(FILTER(I$1:I1386, I$1:I1386&lt;&gt;""""))), LEN(INDEX(FILTER(I$1:I1386, I$1:I1386&lt;&gt;""""),COUNTA(FILTER(I$1:I1386, I$1:I1386&lt;&gt;""""))))-1), IF('To Order'!$A1387=COL"&amp;"UMNS($A1387:I1406), I1386&amp;RIGHT(INDIRECT(ADDRESS(ROW(I1387)-1, 'From Order'!$A1387)), 1), I1386))"),"")</f>
        <v/>
      </c>
    </row>
    <row r="1388">
      <c r="A1388" s="2" t="str">
        <f>IFERROR(__xludf.DUMMYFUNCTION("IF('From Order'!$A1388=COLUMNS($A1388:A1407), LEFT(INDEX(FILTER(A$1:A1387, A$1:A1387&lt;&gt;""""),COUNTA(FILTER(A$1:A1387, A$1:A1387&lt;&gt;""""))), LEN(INDEX(FILTER(A$1:A1387, A$1:A1387&lt;&gt;""""),COUNTA(FILTER(A$1:A1387, A$1:A1387&lt;&gt;""""))))-1), IF('To Order'!$A1388=COL"&amp;"UMNS($A1388:A1407), A1387&amp;RIGHT(INDIRECT(ADDRESS(ROW(A1388)-1, 'From Order'!$A1388)), 1), A1387))"),"JTBFMDJDSBGMTDLPPJQVQ")</f>
        <v>JTBFMDJDSBGMTDLPPJQVQ</v>
      </c>
      <c r="B1388" s="2" t="str">
        <f>IFERROR(__xludf.DUMMYFUNCTION("IF('From Order'!$A1388=COLUMNS($A1388:B1407), LEFT(INDEX(FILTER(B$1:B1387, B$1:B1387&lt;&gt;""""),COUNTA(FILTER(B$1:B1387, B$1:B1387&lt;&gt;""""))), LEN(INDEX(FILTER(B$1:B1387, B$1:B1387&lt;&gt;""""),COUNTA(FILTER(B$1:B1387, B$1:B1387&lt;&gt;""""))))-1), IF('To Order'!$A1388=COL"&amp;"UMNS($A1388:B1407), B1387&amp;RIGHT(INDIRECT(ADDRESS(ROW(B1388)-1, 'From Order'!$A1388)), 1), B1387))"),"RZ")</f>
        <v>RZ</v>
      </c>
      <c r="C1388" s="2" t="str">
        <f>IFERROR(__xludf.DUMMYFUNCTION("IF('From Order'!$A1388=COLUMNS($A1388:C1407), LEFT(INDEX(FILTER(C$1:C1387, C$1:C1387&lt;&gt;""""),COUNTA(FILTER(C$1:C1387, C$1:C1387&lt;&gt;""""))), LEN(INDEX(FILTER(C$1:C1387, C$1:C1387&lt;&gt;""""),COUNTA(FILTER(C$1:C1387, C$1:C1387&lt;&gt;""""))))-1), IF('To Order'!$A1388=COL"&amp;"UMNS($A1388:C1407), C1387&amp;RIGHT(INDIRECT(ADDRESS(ROW(C1388)-1, 'From Order'!$A1388)), 1), C1387))"),"T")</f>
        <v>T</v>
      </c>
      <c r="D1388" s="2" t="str">
        <f>IFERROR(__xludf.DUMMYFUNCTION("IF('From Order'!$A1388=COLUMNS($A1388:D1407), LEFT(INDEX(FILTER(D$1:D1387, D$1:D1387&lt;&gt;""""),COUNTA(FILTER(D$1:D1387, D$1:D1387&lt;&gt;""""))), LEN(INDEX(FILTER(D$1:D1387, D$1:D1387&lt;&gt;""""),COUNTA(FILTER(D$1:D1387, D$1:D1387&lt;&gt;""""))))-1), IF('To Order'!$A1388=COL"&amp;"UMNS($A1388:D1407), D1387&amp;RIGHT(INDIRECT(ADDRESS(ROW(D1388)-1, 'From Order'!$A1388)), 1), D1387))"),"PWLDD")</f>
        <v>PWLDD</v>
      </c>
      <c r="E1388" s="2" t="str">
        <f>IFERROR(__xludf.DUMMYFUNCTION("IF('From Order'!$A1388=COLUMNS($A1388:E1407), LEFT(INDEX(FILTER(E$1:E1387, E$1:E1387&lt;&gt;""""),COUNTA(FILTER(E$1:E1387, E$1:E1387&lt;&gt;""""))), LEN(INDEX(FILTER(E$1:E1387, E$1:E1387&lt;&gt;""""),COUNTA(FILTER(E$1:E1387, E$1:E1387&lt;&gt;""""))))-1), IF('To Order'!$A1388=COL"&amp;"UMNS($A1388:E1407), E1387&amp;RIGHT(INDIRECT(ADDRESS(ROW(E1388)-1, 'From Order'!$A1388)), 1), E1387))"),"HGST")</f>
        <v>HGST</v>
      </c>
      <c r="F1388" s="2" t="str">
        <f>IFERROR(__xludf.DUMMYFUNCTION("IF('From Order'!$A1388=COLUMNS($A1388:F1407), LEFT(INDEX(FILTER(F$1:F1387, F$1:F1387&lt;&gt;""""),COUNTA(FILTER(F$1:F1387, F$1:F1387&lt;&gt;""""))), LEN(INDEX(FILTER(F$1:F1387, F$1:F1387&lt;&gt;""""),COUNTA(FILTER(F$1:F1387, F$1:F1387&lt;&gt;""""))))-1), IF('To Order'!$A1388=COL"&amp;"UMNS($A1388:F1407), F1387&amp;RIGHT(INDIRECT(ADDRESS(ROW(F1388)-1, 'From Order'!$A1388)), 1), F1387))"),"ZRLBSTVFSCZ")</f>
        <v>ZRLBSTVFSCZ</v>
      </c>
      <c r="G1388" s="2" t="str">
        <f>IFERROR(__xludf.DUMMYFUNCTION("IF('From Order'!$A1388=COLUMNS($A1388:G1407), LEFT(INDEX(FILTER(G$1:G1387, G$1:G1387&lt;&gt;""""),COUNTA(FILTER(G$1:G1387, G$1:G1387&lt;&gt;""""))), LEN(INDEX(FILTER(G$1:G1387, G$1:G1387&lt;&gt;""""),COUNTA(FILTER(G$1:G1387, G$1:G1387&lt;&gt;""""))))-1), IF('To Order'!$A1388=COL"&amp;"UMNS($A1388:G1407), G1387&amp;RIGHT(INDIRECT(ADDRESS(ROW(G1388)-1, 'From Order'!$A1388)), 1), G1387))"),"WRMBVTCRCDRH")</f>
        <v>WRMBVTCRCDRH</v>
      </c>
      <c r="H1388" s="2" t="str">
        <f>IFERROR(__xludf.DUMMYFUNCTION("IF('From Order'!$A1388=COLUMNS($A1388:H1407), LEFT(INDEX(FILTER(H$1:H1387, H$1:H1387&lt;&gt;""""),COUNTA(FILTER(H$1:H1387, H$1:H1387&lt;&gt;""""))), LEN(INDEX(FILTER(H$1:H1387, H$1:H1387&lt;&gt;""""),COUNTA(FILTER(H$1:H1387, H$1:H1387&lt;&gt;""""))))-1), IF('To Order'!$A1388=COL"&amp;"UMNS($A1388:H1407), H1387&amp;RIGHT(INDIRECT(ADDRESS(ROW(H1388)-1, 'From Order'!$A1388)), 1), H1387))"),"")</f>
        <v/>
      </c>
      <c r="I1388" s="2" t="str">
        <f>IFERROR(__xludf.DUMMYFUNCTION("IF('From Order'!$A1388=COLUMNS($A1388:I1407), LEFT(INDEX(FILTER(I$1:I1387, I$1:I1387&lt;&gt;""""),COUNTA(FILTER(I$1:I1387, I$1:I1387&lt;&gt;""""))), LEN(INDEX(FILTER(I$1:I1387, I$1:I1387&lt;&gt;""""),COUNTA(FILTER(I$1:I1387, I$1:I1387&lt;&gt;""""))))-1), IF('To Order'!$A1388=COL"&amp;"UMNS($A1388:I1407), I1387&amp;RIGHT(INDIRECT(ADDRESS(ROW(I1388)-1, 'From Order'!$A1388)), 1), I1387))"),"")</f>
        <v/>
      </c>
    </row>
    <row r="1389">
      <c r="A1389" s="2" t="str">
        <f>IFERROR(__xludf.DUMMYFUNCTION("IF('From Order'!$A1389=COLUMNS($A1389:A1408), LEFT(INDEX(FILTER(A$1:A1388, A$1:A1388&lt;&gt;""""),COUNTA(FILTER(A$1:A1388, A$1:A1388&lt;&gt;""""))), LEN(INDEX(FILTER(A$1:A1388, A$1:A1388&lt;&gt;""""),COUNTA(FILTER(A$1:A1388, A$1:A1388&lt;&gt;""""))))-1), IF('To Order'!$A1389=COL"&amp;"UMNS($A1389:A1408), A1388&amp;RIGHT(INDIRECT(ADDRESS(ROW(A1389)-1, 'From Order'!$A1389)), 1), A1388))"),"JTBFMDJDSBGMTDLPPJQVQ")</f>
        <v>JTBFMDJDSBGMTDLPPJQVQ</v>
      </c>
      <c r="B1389" s="2" t="str">
        <f>IFERROR(__xludf.DUMMYFUNCTION("IF('From Order'!$A1389=COLUMNS($A1389:B1408), LEFT(INDEX(FILTER(B$1:B1388, B$1:B1388&lt;&gt;""""),COUNTA(FILTER(B$1:B1388, B$1:B1388&lt;&gt;""""))), LEN(INDEX(FILTER(B$1:B1388, B$1:B1388&lt;&gt;""""),COUNTA(FILTER(B$1:B1388, B$1:B1388&lt;&gt;""""))))-1), IF('To Order'!$A1389=COL"&amp;"UMNS($A1389:B1408), B1388&amp;RIGHT(INDIRECT(ADDRESS(ROW(B1389)-1, 'From Order'!$A1389)), 1), B1388))"),"RZ")</f>
        <v>RZ</v>
      </c>
      <c r="C1389" s="2" t="str">
        <f>IFERROR(__xludf.DUMMYFUNCTION("IF('From Order'!$A1389=COLUMNS($A1389:C1408), LEFT(INDEX(FILTER(C$1:C1388, C$1:C1388&lt;&gt;""""),COUNTA(FILTER(C$1:C1388, C$1:C1388&lt;&gt;""""))), LEN(INDEX(FILTER(C$1:C1388, C$1:C1388&lt;&gt;""""),COUNTA(FILTER(C$1:C1388, C$1:C1388&lt;&gt;""""))))-1), IF('To Order'!$A1389=COL"&amp;"UMNS($A1389:C1408), C1388&amp;RIGHT(INDIRECT(ADDRESS(ROW(C1389)-1, 'From Order'!$A1389)), 1), C1388))"),"T")</f>
        <v>T</v>
      </c>
      <c r="D1389" s="2" t="str">
        <f>IFERROR(__xludf.DUMMYFUNCTION("IF('From Order'!$A1389=COLUMNS($A1389:D1408), LEFT(INDEX(FILTER(D$1:D1388, D$1:D1388&lt;&gt;""""),COUNTA(FILTER(D$1:D1388, D$1:D1388&lt;&gt;""""))), LEN(INDEX(FILTER(D$1:D1388, D$1:D1388&lt;&gt;""""),COUNTA(FILTER(D$1:D1388, D$1:D1388&lt;&gt;""""))))-1), IF('To Order'!$A1389=COL"&amp;"UMNS($A1389:D1408), D1388&amp;RIGHT(INDIRECT(ADDRESS(ROW(D1389)-1, 'From Order'!$A1389)), 1), D1388))"),"PWLD")</f>
        <v>PWLD</v>
      </c>
      <c r="E1389" s="2" t="str">
        <f>IFERROR(__xludf.DUMMYFUNCTION("IF('From Order'!$A1389=COLUMNS($A1389:E1408), LEFT(INDEX(FILTER(E$1:E1388, E$1:E1388&lt;&gt;""""),COUNTA(FILTER(E$1:E1388, E$1:E1388&lt;&gt;""""))), LEN(INDEX(FILTER(E$1:E1388, E$1:E1388&lt;&gt;""""),COUNTA(FILTER(E$1:E1388, E$1:E1388&lt;&gt;""""))))-1), IF('To Order'!$A1389=COL"&amp;"UMNS($A1389:E1408), E1388&amp;RIGHT(INDIRECT(ADDRESS(ROW(E1389)-1, 'From Order'!$A1389)), 1), E1388))"),"HGSTD")</f>
        <v>HGSTD</v>
      </c>
      <c r="F1389" s="2" t="str">
        <f>IFERROR(__xludf.DUMMYFUNCTION("IF('From Order'!$A1389=COLUMNS($A1389:F1408), LEFT(INDEX(FILTER(F$1:F1388, F$1:F1388&lt;&gt;""""),COUNTA(FILTER(F$1:F1388, F$1:F1388&lt;&gt;""""))), LEN(INDEX(FILTER(F$1:F1388, F$1:F1388&lt;&gt;""""),COUNTA(FILTER(F$1:F1388, F$1:F1388&lt;&gt;""""))))-1), IF('To Order'!$A1389=COL"&amp;"UMNS($A1389:F1408), F1388&amp;RIGHT(INDIRECT(ADDRESS(ROW(F1389)-1, 'From Order'!$A1389)), 1), F1388))"),"ZRLBSTVFSCZ")</f>
        <v>ZRLBSTVFSCZ</v>
      </c>
      <c r="G1389" s="2" t="str">
        <f>IFERROR(__xludf.DUMMYFUNCTION("IF('From Order'!$A1389=COLUMNS($A1389:G1408), LEFT(INDEX(FILTER(G$1:G1388, G$1:G1388&lt;&gt;""""),COUNTA(FILTER(G$1:G1388, G$1:G1388&lt;&gt;""""))), LEN(INDEX(FILTER(G$1:G1388, G$1:G1388&lt;&gt;""""),COUNTA(FILTER(G$1:G1388, G$1:G1388&lt;&gt;""""))))-1), IF('To Order'!$A1389=COL"&amp;"UMNS($A1389:G1408), G1388&amp;RIGHT(INDIRECT(ADDRESS(ROW(G1389)-1, 'From Order'!$A1389)), 1), G1388))"),"WRMBVTCRCDRH")</f>
        <v>WRMBVTCRCDRH</v>
      </c>
      <c r="H1389" s="2" t="str">
        <f>IFERROR(__xludf.DUMMYFUNCTION("IF('From Order'!$A1389=COLUMNS($A1389:H1408), LEFT(INDEX(FILTER(H$1:H1388, H$1:H1388&lt;&gt;""""),COUNTA(FILTER(H$1:H1388, H$1:H1388&lt;&gt;""""))), LEN(INDEX(FILTER(H$1:H1388, H$1:H1388&lt;&gt;""""),COUNTA(FILTER(H$1:H1388, H$1:H1388&lt;&gt;""""))))-1), IF('To Order'!$A1389=COL"&amp;"UMNS($A1389:H1408), H1388&amp;RIGHT(INDIRECT(ADDRESS(ROW(H1389)-1, 'From Order'!$A1389)), 1), H1388))"),"")</f>
        <v/>
      </c>
      <c r="I1389" s="2" t="str">
        <f>IFERROR(__xludf.DUMMYFUNCTION("IF('From Order'!$A1389=COLUMNS($A1389:I1408), LEFT(INDEX(FILTER(I$1:I1388, I$1:I1388&lt;&gt;""""),COUNTA(FILTER(I$1:I1388, I$1:I1388&lt;&gt;""""))), LEN(INDEX(FILTER(I$1:I1388, I$1:I1388&lt;&gt;""""),COUNTA(FILTER(I$1:I1388, I$1:I1388&lt;&gt;""""))))-1), IF('To Order'!$A1389=COL"&amp;"UMNS($A1389:I1408), I1388&amp;RIGHT(INDIRECT(ADDRESS(ROW(I1389)-1, 'From Order'!$A1389)), 1), I1388))"),"")</f>
        <v/>
      </c>
    </row>
    <row r="1390">
      <c r="A1390" s="2" t="str">
        <f>IFERROR(__xludf.DUMMYFUNCTION("IF('From Order'!$A1390=COLUMNS($A1390:A1409), LEFT(INDEX(FILTER(A$1:A1389, A$1:A1389&lt;&gt;""""),COUNTA(FILTER(A$1:A1389, A$1:A1389&lt;&gt;""""))), LEN(INDEX(FILTER(A$1:A1389, A$1:A1389&lt;&gt;""""),COUNTA(FILTER(A$1:A1389, A$1:A1389&lt;&gt;""""))))-1), IF('To Order'!$A1390=COL"&amp;"UMNS($A1390:A1409), A1389&amp;RIGHT(INDIRECT(ADDRESS(ROW(A1390)-1, 'From Order'!$A1390)), 1), A1389))"),"JTBFMDJDSBGMTDLPPJQVQ")</f>
        <v>JTBFMDJDSBGMTDLPPJQVQ</v>
      </c>
      <c r="B1390" s="2" t="str">
        <f>IFERROR(__xludf.DUMMYFUNCTION("IF('From Order'!$A1390=COLUMNS($A1390:B1409), LEFT(INDEX(FILTER(B$1:B1389, B$1:B1389&lt;&gt;""""),COUNTA(FILTER(B$1:B1389, B$1:B1389&lt;&gt;""""))), LEN(INDEX(FILTER(B$1:B1389, B$1:B1389&lt;&gt;""""),COUNTA(FILTER(B$1:B1389, B$1:B1389&lt;&gt;""""))))-1), IF('To Order'!$A1390=COL"&amp;"UMNS($A1390:B1409), B1389&amp;RIGHT(INDIRECT(ADDRESS(ROW(B1390)-1, 'From Order'!$A1390)), 1), B1389))"),"RZ")</f>
        <v>RZ</v>
      </c>
      <c r="C1390" s="2" t="str">
        <f>IFERROR(__xludf.DUMMYFUNCTION("IF('From Order'!$A1390=COLUMNS($A1390:C1409), LEFT(INDEX(FILTER(C$1:C1389, C$1:C1389&lt;&gt;""""),COUNTA(FILTER(C$1:C1389, C$1:C1389&lt;&gt;""""))), LEN(INDEX(FILTER(C$1:C1389, C$1:C1389&lt;&gt;""""),COUNTA(FILTER(C$1:C1389, C$1:C1389&lt;&gt;""""))))-1), IF('To Order'!$A1390=COL"&amp;"UMNS($A1390:C1409), C1389&amp;RIGHT(INDIRECT(ADDRESS(ROW(C1390)-1, 'From Order'!$A1390)), 1), C1389))"),"T")</f>
        <v>T</v>
      </c>
      <c r="D1390" s="2" t="str">
        <f>IFERROR(__xludf.DUMMYFUNCTION("IF('From Order'!$A1390=COLUMNS($A1390:D1409), LEFT(INDEX(FILTER(D$1:D1389, D$1:D1389&lt;&gt;""""),COUNTA(FILTER(D$1:D1389, D$1:D1389&lt;&gt;""""))), LEN(INDEX(FILTER(D$1:D1389, D$1:D1389&lt;&gt;""""),COUNTA(FILTER(D$1:D1389, D$1:D1389&lt;&gt;""""))))-1), IF('To Order'!$A1390=COL"&amp;"UMNS($A1390:D1409), D1389&amp;RIGHT(INDIRECT(ADDRESS(ROW(D1390)-1, 'From Order'!$A1390)), 1), D1389))"),"PWL")</f>
        <v>PWL</v>
      </c>
      <c r="E1390" s="2" t="str">
        <f>IFERROR(__xludf.DUMMYFUNCTION("IF('From Order'!$A1390=COLUMNS($A1390:E1409), LEFT(INDEX(FILTER(E$1:E1389, E$1:E1389&lt;&gt;""""),COUNTA(FILTER(E$1:E1389, E$1:E1389&lt;&gt;""""))), LEN(INDEX(FILTER(E$1:E1389, E$1:E1389&lt;&gt;""""),COUNTA(FILTER(E$1:E1389, E$1:E1389&lt;&gt;""""))))-1), IF('To Order'!$A1390=COL"&amp;"UMNS($A1390:E1409), E1389&amp;RIGHT(INDIRECT(ADDRESS(ROW(E1390)-1, 'From Order'!$A1390)), 1), E1389))"),"HGSTDD")</f>
        <v>HGSTDD</v>
      </c>
      <c r="F1390" s="2" t="str">
        <f>IFERROR(__xludf.DUMMYFUNCTION("IF('From Order'!$A1390=COLUMNS($A1390:F1409), LEFT(INDEX(FILTER(F$1:F1389, F$1:F1389&lt;&gt;""""),COUNTA(FILTER(F$1:F1389, F$1:F1389&lt;&gt;""""))), LEN(INDEX(FILTER(F$1:F1389, F$1:F1389&lt;&gt;""""),COUNTA(FILTER(F$1:F1389, F$1:F1389&lt;&gt;""""))))-1), IF('To Order'!$A1390=COL"&amp;"UMNS($A1390:F1409), F1389&amp;RIGHT(INDIRECT(ADDRESS(ROW(F1390)-1, 'From Order'!$A1390)), 1), F1389))"),"ZRLBSTVFSCZ")</f>
        <v>ZRLBSTVFSCZ</v>
      </c>
      <c r="G1390" s="2" t="str">
        <f>IFERROR(__xludf.DUMMYFUNCTION("IF('From Order'!$A1390=COLUMNS($A1390:G1409), LEFT(INDEX(FILTER(G$1:G1389, G$1:G1389&lt;&gt;""""),COUNTA(FILTER(G$1:G1389, G$1:G1389&lt;&gt;""""))), LEN(INDEX(FILTER(G$1:G1389, G$1:G1389&lt;&gt;""""),COUNTA(FILTER(G$1:G1389, G$1:G1389&lt;&gt;""""))))-1), IF('To Order'!$A1390=COL"&amp;"UMNS($A1390:G1409), G1389&amp;RIGHT(INDIRECT(ADDRESS(ROW(G1390)-1, 'From Order'!$A1390)), 1), G1389))"),"WRMBVTCRCDRH")</f>
        <v>WRMBVTCRCDRH</v>
      </c>
      <c r="H1390" s="2" t="str">
        <f>IFERROR(__xludf.DUMMYFUNCTION("IF('From Order'!$A1390=COLUMNS($A1390:H1409), LEFT(INDEX(FILTER(H$1:H1389, H$1:H1389&lt;&gt;""""),COUNTA(FILTER(H$1:H1389, H$1:H1389&lt;&gt;""""))), LEN(INDEX(FILTER(H$1:H1389, H$1:H1389&lt;&gt;""""),COUNTA(FILTER(H$1:H1389, H$1:H1389&lt;&gt;""""))))-1), IF('To Order'!$A1390=COL"&amp;"UMNS($A1390:H1409), H1389&amp;RIGHT(INDIRECT(ADDRESS(ROW(H1390)-1, 'From Order'!$A1390)), 1), H1389))"),"")</f>
        <v/>
      </c>
      <c r="I1390" s="2" t="str">
        <f>IFERROR(__xludf.DUMMYFUNCTION("IF('From Order'!$A1390=COLUMNS($A1390:I1409), LEFT(INDEX(FILTER(I$1:I1389, I$1:I1389&lt;&gt;""""),COUNTA(FILTER(I$1:I1389, I$1:I1389&lt;&gt;""""))), LEN(INDEX(FILTER(I$1:I1389, I$1:I1389&lt;&gt;""""),COUNTA(FILTER(I$1:I1389, I$1:I1389&lt;&gt;""""))))-1), IF('To Order'!$A1390=COL"&amp;"UMNS($A1390:I1409), I1389&amp;RIGHT(INDIRECT(ADDRESS(ROW(I1390)-1, 'From Order'!$A1390)), 1), I1389))"),"")</f>
        <v/>
      </c>
    </row>
    <row r="1391">
      <c r="A1391" s="2" t="str">
        <f>IFERROR(__xludf.DUMMYFUNCTION("IF('From Order'!$A1391=COLUMNS($A1391:A1410), LEFT(INDEX(FILTER(A$1:A1390, A$1:A1390&lt;&gt;""""),COUNTA(FILTER(A$1:A1390, A$1:A1390&lt;&gt;""""))), LEN(INDEX(FILTER(A$1:A1390, A$1:A1390&lt;&gt;""""),COUNTA(FILTER(A$1:A1390, A$1:A1390&lt;&gt;""""))))-1), IF('To Order'!$A1391=COL"&amp;"UMNS($A1391:A1410), A1390&amp;RIGHT(INDIRECT(ADDRESS(ROW(A1391)-1, 'From Order'!$A1391)), 1), A1390))"),"JTBFMDJDSBGMTDLPPJQVQ")</f>
        <v>JTBFMDJDSBGMTDLPPJQVQ</v>
      </c>
      <c r="B1391" s="2" t="str">
        <f>IFERROR(__xludf.DUMMYFUNCTION("IF('From Order'!$A1391=COLUMNS($A1391:B1410), LEFT(INDEX(FILTER(B$1:B1390, B$1:B1390&lt;&gt;""""),COUNTA(FILTER(B$1:B1390, B$1:B1390&lt;&gt;""""))), LEN(INDEX(FILTER(B$1:B1390, B$1:B1390&lt;&gt;""""),COUNTA(FILTER(B$1:B1390, B$1:B1390&lt;&gt;""""))))-1), IF('To Order'!$A1391=COL"&amp;"UMNS($A1391:B1410), B1390&amp;RIGHT(INDIRECT(ADDRESS(ROW(B1391)-1, 'From Order'!$A1391)), 1), B1390))"),"RZ")</f>
        <v>RZ</v>
      </c>
      <c r="C1391" s="2" t="str">
        <f>IFERROR(__xludf.DUMMYFUNCTION("IF('From Order'!$A1391=COLUMNS($A1391:C1410), LEFT(INDEX(FILTER(C$1:C1390, C$1:C1390&lt;&gt;""""),COUNTA(FILTER(C$1:C1390, C$1:C1390&lt;&gt;""""))), LEN(INDEX(FILTER(C$1:C1390, C$1:C1390&lt;&gt;""""),COUNTA(FILTER(C$1:C1390, C$1:C1390&lt;&gt;""""))))-1), IF('To Order'!$A1391=COL"&amp;"UMNS($A1391:C1410), C1390&amp;RIGHT(INDIRECT(ADDRESS(ROW(C1391)-1, 'From Order'!$A1391)), 1), C1390))"),"T")</f>
        <v>T</v>
      </c>
      <c r="D1391" s="2" t="str">
        <f>IFERROR(__xludf.DUMMYFUNCTION("IF('From Order'!$A1391=COLUMNS($A1391:D1410), LEFT(INDEX(FILTER(D$1:D1390, D$1:D1390&lt;&gt;""""),COUNTA(FILTER(D$1:D1390, D$1:D1390&lt;&gt;""""))), LEN(INDEX(FILTER(D$1:D1390, D$1:D1390&lt;&gt;""""),COUNTA(FILTER(D$1:D1390, D$1:D1390&lt;&gt;""""))))-1), IF('To Order'!$A1391=COL"&amp;"UMNS($A1391:D1410), D1390&amp;RIGHT(INDIRECT(ADDRESS(ROW(D1391)-1, 'From Order'!$A1391)), 1), D1390))"),"PW")</f>
        <v>PW</v>
      </c>
      <c r="E1391" s="2" t="str">
        <f>IFERROR(__xludf.DUMMYFUNCTION("IF('From Order'!$A1391=COLUMNS($A1391:E1410), LEFT(INDEX(FILTER(E$1:E1390, E$1:E1390&lt;&gt;""""),COUNTA(FILTER(E$1:E1390, E$1:E1390&lt;&gt;""""))), LEN(INDEX(FILTER(E$1:E1390, E$1:E1390&lt;&gt;""""),COUNTA(FILTER(E$1:E1390, E$1:E1390&lt;&gt;""""))))-1), IF('To Order'!$A1391=COL"&amp;"UMNS($A1391:E1410), E1390&amp;RIGHT(INDIRECT(ADDRESS(ROW(E1391)-1, 'From Order'!$A1391)), 1), E1390))"),"HGSTDDL")</f>
        <v>HGSTDDL</v>
      </c>
      <c r="F1391" s="2" t="str">
        <f>IFERROR(__xludf.DUMMYFUNCTION("IF('From Order'!$A1391=COLUMNS($A1391:F1410), LEFT(INDEX(FILTER(F$1:F1390, F$1:F1390&lt;&gt;""""),COUNTA(FILTER(F$1:F1390, F$1:F1390&lt;&gt;""""))), LEN(INDEX(FILTER(F$1:F1390, F$1:F1390&lt;&gt;""""),COUNTA(FILTER(F$1:F1390, F$1:F1390&lt;&gt;""""))))-1), IF('To Order'!$A1391=COL"&amp;"UMNS($A1391:F1410), F1390&amp;RIGHT(INDIRECT(ADDRESS(ROW(F1391)-1, 'From Order'!$A1391)), 1), F1390))"),"ZRLBSTVFSCZ")</f>
        <v>ZRLBSTVFSCZ</v>
      </c>
      <c r="G1391" s="2" t="str">
        <f>IFERROR(__xludf.DUMMYFUNCTION("IF('From Order'!$A1391=COLUMNS($A1391:G1410), LEFT(INDEX(FILTER(G$1:G1390, G$1:G1390&lt;&gt;""""),COUNTA(FILTER(G$1:G1390, G$1:G1390&lt;&gt;""""))), LEN(INDEX(FILTER(G$1:G1390, G$1:G1390&lt;&gt;""""),COUNTA(FILTER(G$1:G1390, G$1:G1390&lt;&gt;""""))))-1), IF('To Order'!$A1391=COL"&amp;"UMNS($A1391:G1410), G1390&amp;RIGHT(INDIRECT(ADDRESS(ROW(G1391)-1, 'From Order'!$A1391)), 1), G1390))"),"WRMBVTCRCDRH")</f>
        <v>WRMBVTCRCDRH</v>
      </c>
      <c r="H1391" s="2" t="str">
        <f>IFERROR(__xludf.DUMMYFUNCTION("IF('From Order'!$A1391=COLUMNS($A1391:H1410), LEFT(INDEX(FILTER(H$1:H1390, H$1:H1390&lt;&gt;""""),COUNTA(FILTER(H$1:H1390, H$1:H1390&lt;&gt;""""))), LEN(INDEX(FILTER(H$1:H1390, H$1:H1390&lt;&gt;""""),COUNTA(FILTER(H$1:H1390, H$1:H1390&lt;&gt;""""))))-1), IF('To Order'!$A1391=COL"&amp;"UMNS($A1391:H1410), H1390&amp;RIGHT(INDIRECT(ADDRESS(ROW(H1391)-1, 'From Order'!$A1391)), 1), H1390))"),"")</f>
        <v/>
      </c>
      <c r="I1391" s="2" t="str">
        <f>IFERROR(__xludf.DUMMYFUNCTION("IF('From Order'!$A1391=COLUMNS($A1391:I1410), LEFT(INDEX(FILTER(I$1:I1390, I$1:I1390&lt;&gt;""""),COUNTA(FILTER(I$1:I1390, I$1:I1390&lt;&gt;""""))), LEN(INDEX(FILTER(I$1:I1390, I$1:I1390&lt;&gt;""""),COUNTA(FILTER(I$1:I1390, I$1:I1390&lt;&gt;""""))))-1), IF('To Order'!$A1391=COL"&amp;"UMNS($A1391:I1410), I1390&amp;RIGHT(INDIRECT(ADDRESS(ROW(I1391)-1, 'From Order'!$A1391)), 1), I1390))"),"")</f>
        <v/>
      </c>
    </row>
    <row r="1392">
      <c r="A1392" s="2" t="str">
        <f>IFERROR(__xludf.DUMMYFUNCTION("IF('From Order'!$A1392=COLUMNS($A1392:A1411), LEFT(INDEX(FILTER(A$1:A1391, A$1:A1391&lt;&gt;""""),COUNTA(FILTER(A$1:A1391, A$1:A1391&lt;&gt;""""))), LEN(INDEX(FILTER(A$1:A1391, A$1:A1391&lt;&gt;""""),COUNTA(FILTER(A$1:A1391, A$1:A1391&lt;&gt;""""))))-1), IF('To Order'!$A1392=COL"&amp;"UMNS($A1392:A1411), A1391&amp;RIGHT(INDIRECT(ADDRESS(ROW(A1392)-1, 'From Order'!$A1392)), 1), A1391))"),"JTBFMDJDSBGMTDLPPJQVQ")</f>
        <v>JTBFMDJDSBGMTDLPPJQVQ</v>
      </c>
      <c r="B1392" s="2" t="str">
        <f>IFERROR(__xludf.DUMMYFUNCTION("IF('From Order'!$A1392=COLUMNS($A1392:B1411), LEFT(INDEX(FILTER(B$1:B1391, B$1:B1391&lt;&gt;""""),COUNTA(FILTER(B$1:B1391, B$1:B1391&lt;&gt;""""))), LEN(INDEX(FILTER(B$1:B1391, B$1:B1391&lt;&gt;""""),COUNTA(FILTER(B$1:B1391, B$1:B1391&lt;&gt;""""))))-1), IF('To Order'!$A1392=COL"&amp;"UMNS($A1392:B1411), B1391&amp;RIGHT(INDIRECT(ADDRESS(ROW(B1392)-1, 'From Order'!$A1392)), 1), B1391))"),"RZ")</f>
        <v>RZ</v>
      </c>
      <c r="C1392" s="2" t="str">
        <f>IFERROR(__xludf.DUMMYFUNCTION("IF('From Order'!$A1392=COLUMNS($A1392:C1411), LEFT(INDEX(FILTER(C$1:C1391, C$1:C1391&lt;&gt;""""),COUNTA(FILTER(C$1:C1391, C$1:C1391&lt;&gt;""""))), LEN(INDEX(FILTER(C$1:C1391, C$1:C1391&lt;&gt;""""),COUNTA(FILTER(C$1:C1391, C$1:C1391&lt;&gt;""""))))-1), IF('To Order'!$A1392=COL"&amp;"UMNS($A1392:C1411), C1391&amp;RIGHT(INDIRECT(ADDRESS(ROW(C1392)-1, 'From Order'!$A1392)), 1), C1391))"),"T")</f>
        <v>T</v>
      </c>
      <c r="D1392" s="2" t="str">
        <f>IFERROR(__xludf.DUMMYFUNCTION("IF('From Order'!$A1392=COLUMNS($A1392:D1411), LEFT(INDEX(FILTER(D$1:D1391, D$1:D1391&lt;&gt;""""),COUNTA(FILTER(D$1:D1391, D$1:D1391&lt;&gt;""""))), LEN(INDEX(FILTER(D$1:D1391, D$1:D1391&lt;&gt;""""),COUNTA(FILTER(D$1:D1391, D$1:D1391&lt;&gt;""""))))-1), IF('To Order'!$A1392=COL"&amp;"UMNS($A1392:D1411), D1391&amp;RIGHT(INDIRECT(ADDRESS(ROW(D1392)-1, 'From Order'!$A1392)), 1), D1391))"),"P")</f>
        <v>P</v>
      </c>
      <c r="E1392" s="2" t="str">
        <f>IFERROR(__xludf.DUMMYFUNCTION("IF('From Order'!$A1392=COLUMNS($A1392:E1411), LEFT(INDEX(FILTER(E$1:E1391, E$1:E1391&lt;&gt;""""),COUNTA(FILTER(E$1:E1391, E$1:E1391&lt;&gt;""""))), LEN(INDEX(FILTER(E$1:E1391, E$1:E1391&lt;&gt;""""),COUNTA(FILTER(E$1:E1391, E$1:E1391&lt;&gt;""""))))-1), IF('To Order'!$A1392=COL"&amp;"UMNS($A1392:E1411), E1391&amp;RIGHT(INDIRECT(ADDRESS(ROW(E1392)-1, 'From Order'!$A1392)), 1), E1391))"),"HGSTDDLW")</f>
        <v>HGSTDDLW</v>
      </c>
      <c r="F1392" s="2" t="str">
        <f>IFERROR(__xludf.DUMMYFUNCTION("IF('From Order'!$A1392=COLUMNS($A1392:F1411), LEFT(INDEX(FILTER(F$1:F1391, F$1:F1391&lt;&gt;""""),COUNTA(FILTER(F$1:F1391, F$1:F1391&lt;&gt;""""))), LEN(INDEX(FILTER(F$1:F1391, F$1:F1391&lt;&gt;""""),COUNTA(FILTER(F$1:F1391, F$1:F1391&lt;&gt;""""))))-1), IF('To Order'!$A1392=COL"&amp;"UMNS($A1392:F1411), F1391&amp;RIGHT(INDIRECT(ADDRESS(ROW(F1392)-1, 'From Order'!$A1392)), 1), F1391))"),"ZRLBSTVFSCZ")</f>
        <v>ZRLBSTVFSCZ</v>
      </c>
      <c r="G1392" s="2" t="str">
        <f>IFERROR(__xludf.DUMMYFUNCTION("IF('From Order'!$A1392=COLUMNS($A1392:G1411), LEFT(INDEX(FILTER(G$1:G1391, G$1:G1391&lt;&gt;""""),COUNTA(FILTER(G$1:G1391, G$1:G1391&lt;&gt;""""))), LEN(INDEX(FILTER(G$1:G1391, G$1:G1391&lt;&gt;""""),COUNTA(FILTER(G$1:G1391, G$1:G1391&lt;&gt;""""))))-1), IF('To Order'!$A1392=COL"&amp;"UMNS($A1392:G1411), G1391&amp;RIGHT(INDIRECT(ADDRESS(ROW(G1392)-1, 'From Order'!$A1392)), 1), G1391))"),"WRMBVTCRCDRH")</f>
        <v>WRMBVTCRCDRH</v>
      </c>
      <c r="H1392" s="2" t="str">
        <f>IFERROR(__xludf.DUMMYFUNCTION("IF('From Order'!$A1392=COLUMNS($A1392:H1411), LEFT(INDEX(FILTER(H$1:H1391, H$1:H1391&lt;&gt;""""),COUNTA(FILTER(H$1:H1391, H$1:H1391&lt;&gt;""""))), LEN(INDEX(FILTER(H$1:H1391, H$1:H1391&lt;&gt;""""),COUNTA(FILTER(H$1:H1391, H$1:H1391&lt;&gt;""""))))-1), IF('To Order'!$A1392=COL"&amp;"UMNS($A1392:H1411), H1391&amp;RIGHT(INDIRECT(ADDRESS(ROW(H1392)-1, 'From Order'!$A1392)), 1), H1391))"),"")</f>
        <v/>
      </c>
      <c r="I1392" s="2" t="str">
        <f>IFERROR(__xludf.DUMMYFUNCTION("IF('From Order'!$A1392=COLUMNS($A1392:I1411), LEFT(INDEX(FILTER(I$1:I1391, I$1:I1391&lt;&gt;""""),COUNTA(FILTER(I$1:I1391, I$1:I1391&lt;&gt;""""))), LEN(INDEX(FILTER(I$1:I1391, I$1:I1391&lt;&gt;""""),COUNTA(FILTER(I$1:I1391, I$1:I1391&lt;&gt;""""))))-1), IF('To Order'!$A1392=COL"&amp;"UMNS($A1392:I1411), I1391&amp;RIGHT(INDIRECT(ADDRESS(ROW(I1392)-1, 'From Order'!$A1392)), 1), I1391))"),"")</f>
        <v/>
      </c>
    </row>
    <row r="1393">
      <c r="A1393" s="2" t="str">
        <f>IFERROR(__xludf.DUMMYFUNCTION("IF('From Order'!$A1393=COLUMNS($A1393:A1412), LEFT(INDEX(FILTER(A$1:A1392, A$1:A1392&lt;&gt;""""),COUNTA(FILTER(A$1:A1392, A$1:A1392&lt;&gt;""""))), LEN(INDEX(FILTER(A$1:A1392, A$1:A1392&lt;&gt;""""),COUNTA(FILTER(A$1:A1392, A$1:A1392&lt;&gt;""""))))-1), IF('To Order'!$A1393=COL"&amp;"UMNS($A1393:A1412), A1392&amp;RIGHT(INDIRECT(ADDRESS(ROW(A1393)-1, 'From Order'!$A1393)), 1), A1392))"),"JTBFMDJDSBGMTDLPPJQVQ")</f>
        <v>JTBFMDJDSBGMTDLPPJQVQ</v>
      </c>
      <c r="B1393" s="2" t="str">
        <f>IFERROR(__xludf.DUMMYFUNCTION("IF('From Order'!$A1393=COLUMNS($A1393:B1412), LEFT(INDEX(FILTER(B$1:B1392, B$1:B1392&lt;&gt;""""),COUNTA(FILTER(B$1:B1392, B$1:B1392&lt;&gt;""""))), LEN(INDEX(FILTER(B$1:B1392, B$1:B1392&lt;&gt;""""),COUNTA(FILTER(B$1:B1392, B$1:B1392&lt;&gt;""""))))-1), IF('To Order'!$A1393=COL"&amp;"UMNS($A1393:B1412), B1392&amp;RIGHT(INDIRECT(ADDRESS(ROW(B1393)-1, 'From Order'!$A1393)), 1), B1392))"),"RZ")</f>
        <v>RZ</v>
      </c>
      <c r="C1393" s="2" t="str">
        <f>IFERROR(__xludf.DUMMYFUNCTION("IF('From Order'!$A1393=COLUMNS($A1393:C1412), LEFT(INDEX(FILTER(C$1:C1392, C$1:C1392&lt;&gt;""""),COUNTA(FILTER(C$1:C1392, C$1:C1392&lt;&gt;""""))), LEN(INDEX(FILTER(C$1:C1392, C$1:C1392&lt;&gt;""""),COUNTA(FILTER(C$1:C1392, C$1:C1392&lt;&gt;""""))))-1), IF('To Order'!$A1393=COL"&amp;"UMNS($A1393:C1412), C1392&amp;RIGHT(INDIRECT(ADDRESS(ROW(C1393)-1, 'From Order'!$A1393)), 1), C1392))"),"T")</f>
        <v>T</v>
      </c>
      <c r="D1393" s="2" t="str">
        <f>IFERROR(__xludf.DUMMYFUNCTION("IF('From Order'!$A1393=COLUMNS($A1393:D1412), LEFT(INDEX(FILTER(D$1:D1392, D$1:D1392&lt;&gt;""""),COUNTA(FILTER(D$1:D1392, D$1:D1392&lt;&gt;""""))), LEN(INDEX(FILTER(D$1:D1392, D$1:D1392&lt;&gt;""""),COUNTA(FILTER(D$1:D1392, D$1:D1392&lt;&gt;""""))))-1), IF('To Order'!$A1393=COL"&amp;"UMNS($A1393:D1412), D1392&amp;RIGHT(INDIRECT(ADDRESS(ROW(D1393)-1, 'From Order'!$A1393)), 1), D1392))"),"")</f>
        <v/>
      </c>
      <c r="E1393" s="2" t="str">
        <f>IFERROR(__xludf.DUMMYFUNCTION("IF('From Order'!$A1393=COLUMNS($A1393:E1412), LEFT(INDEX(FILTER(E$1:E1392, E$1:E1392&lt;&gt;""""),COUNTA(FILTER(E$1:E1392, E$1:E1392&lt;&gt;""""))), LEN(INDEX(FILTER(E$1:E1392, E$1:E1392&lt;&gt;""""),COUNTA(FILTER(E$1:E1392, E$1:E1392&lt;&gt;""""))))-1), IF('To Order'!$A1393=COL"&amp;"UMNS($A1393:E1412), E1392&amp;RIGHT(INDIRECT(ADDRESS(ROW(E1393)-1, 'From Order'!$A1393)), 1), E1392))"),"HGSTDDLWP")</f>
        <v>HGSTDDLWP</v>
      </c>
      <c r="F1393" s="2" t="str">
        <f>IFERROR(__xludf.DUMMYFUNCTION("IF('From Order'!$A1393=COLUMNS($A1393:F1412), LEFT(INDEX(FILTER(F$1:F1392, F$1:F1392&lt;&gt;""""),COUNTA(FILTER(F$1:F1392, F$1:F1392&lt;&gt;""""))), LEN(INDEX(FILTER(F$1:F1392, F$1:F1392&lt;&gt;""""),COUNTA(FILTER(F$1:F1392, F$1:F1392&lt;&gt;""""))))-1), IF('To Order'!$A1393=COL"&amp;"UMNS($A1393:F1412), F1392&amp;RIGHT(INDIRECT(ADDRESS(ROW(F1393)-1, 'From Order'!$A1393)), 1), F1392))"),"ZRLBSTVFSCZ")</f>
        <v>ZRLBSTVFSCZ</v>
      </c>
      <c r="G1393" s="2" t="str">
        <f>IFERROR(__xludf.DUMMYFUNCTION("IF('From Order'!$A1393=COLUMNS($A1393:G1412), LEFT(INDEX(FILTER(G$1:G1392, G$1:G1392&lt;&gt;""""),COUNTA(FILTER(G$1:G1392, G$1:G1392&lt;&gt;""""))), LEN(INDEX(FILTER(G$1:G1392, G$1:G1392&lt;&gt;""""),COUNTA(FILTER(G$1:G1392, G$1:G1392&lt;&gt;""""))))-1), IF('To Order'!$A1393=COL"&amp;"UMNS($A1393:G1412), G1392&amp;RIGHT(INDIRECT(ADDRESS(ROW(G1393)-1, 'From Order'!$A1393)), 1), G1392))"),"WRMBVTCRCDRH")</f>
        <v>WRMBVTCRCDRH</v>
      </c>
      <c r="H1393" s="2" t="str">
        <f>IFERROR(__xludf.DUMMYFUNCTION("IF('From Order'!$A1393=COLUMNS($A1393:H1412), LEFT(INDEX(FILTER(H$1:H1392, H$1:H1392&lt;&gt;""""),COUNTA(FILTER(H$1:H1392, H$1:H1392&lt;&gt;""""))), LEN(INDEX(FILTER(H$1:H1392, H$1:H1392&lt;&gt;""""),COUNTA(FILTER(H$1:H1392, H$1:H1392&lt;&gt;""""))))-1), IF('To Order'!$A1393=COL"&amp;"UMNS($A1393:H1412), H1392&amp;RIGHT(INDIRECT(ADDRESS(ROW(H1393)-1, 'From Order'!$A1393)), 1), H1392))"),"")</f>
        <v/>
      </c>
      <c r="I1393" s="2" t="str">
        <f>IFERROR(__xludf.DUMMYFUNCTION("IF('From Order'!$A1393=COLUMNS($A1393:I1412), LEFT(INDEX(FILTER(I$1:I1392, I$1:I1392&lt;&gt;""""),COUNTA(FILTER(I$1:I1392, I$1:I1392&lt;&gt;""""))), LEN(INDEX(FILTER(I$1:I1392, I$1:I1392&lt;&gt;""""),COUNTA(FILTER(I$1:I1392, I$1:I1392&lt;&gt;""""))))-1), IF('To Order'!$A1393=COL"&amp;"UMNS($A1393:I1412), I1392&amp;RIGHT(INDIRECT(ADDRESS(ROW(I1393)-1, 'From Order'!$A1393)), 1), I1392))"),"")</f>
        <v/>
      </c>
    </row>
    <row r="1394">
      <c r="A1394" s="2" t="str">
        <f>IFERROR(__xludf.DUMMYFUNCTION("IF('From Order'!$A1394=COLUMNS($A1394:A1413), LEFT(INDEX(FILTER(A$1:A1393, A$1:A1393&lt;&gt;""""),COUNTA(FILTER(A$1:A1393, A$1:A1393&lt;&gt;""""))), LEN(INDEX(FILTER(A$1:A1393, A$1:A1393&lt;&gt;""""),COUNTA(FILTER(A$1:A1393, A$1:A1393&lt;&gt;""""))))-1), IF('To Order'!$A1394=COL"&amp;"UMNS($A1394:A1413), A1393&amp;RIGHT(INDIRECT(ADDRESS(ROW(A1394)-1, 'From Order'!$A1394)), 1), A1393))"),"JTBFMDJDSBGMTDLPPJQV")</f>
        <v>JTBFMDJDSBGMTDLPPJQV</v>
      </c>
      <c r="B1394" s="2" t="str">
        <f>IFERROR(__xludf.DUMMYFUNCTION("IF('From Order'!$A1394=COLUMNS($A1394:B1413), LEFT(INDEX(FILTER(B$1:B1393, B$1:B1393&lt;&gt;""""),COUNTA(FILTER(B$1:B1393, B$1:B1393&lt;&gt;""""))), LEN(INDEX(FILTER(B$1:B1393, B$1:B1393&lt;&gt;""""),COUNTA(FILTER(B$1:B1393, B$1:B1393&lt;&gt;""""))))-1), IF('To Order'!$A1394=COL"&amp;"UMNS($A1394:B1413), B1393&amp;RIGHT(INDIRECT(ADDRESS(ROW(B1394)-1, 'From Order'!$A1394)), 1), B1393))"),"RZ")</f>
        <v>RZ</v>
      </c>
      <c r="C1394" s="2" t="str">
        <f>IFERROR(__xludf.DUMMYFUNCTION("IF('From Order'!$A1394=COLUMNS($A1394:C1413), LEFT(INDEX(FILTER(C$1:C1393, C$1:C1393&lt;&gt;""""),COUNTA(FILTER(C$1:C1393, C$1:C1393&lt;&gt;""""))), LEN(INDEX(FILTER(C$1:C1393, C$1:C1393&lt;&gt;""""),COUNTA(FILTER(C$1:C1393, C$1:C1393&lt;&gt;""""))))-1), IF('To Order'!$A1394=COL"&amp;"UMNS($A1394:C1413), C1393&amp;RIGHT(INDIRECT(ADDRESS(ROW(C1394)-1, 'From Order'!$A1394)), 1), C1393))"),"TQ")</f>
        <v>TQ</v>
      </c>
      <c r="D1394" s="2" t="str">
        <f>IFERROR(__xludf.DUMMYFUNCTION("IF('From Order'!$A1394=COLUMNS($A1394:D1413), LEFT(INDEX(FILTER(D$1:D1393, D$1:D1393&lt;&gt;""""),COUNTA(FILTER(D$1:D1393, D$1:D1393&lt;&gt;""""))), LEN(INDEX(FILTER(D$1:D1393, D$1:D1393&lt;&gt;""""),COUNTA(FILTER(D$1:D1393, D$1:D1393&lt;&gt;""""))))-1), IF('To Order'!$A1394=COL"&amp;"UMNS($A1394:D1413), D1393&amp;RIGHT(INDIRECT(ADDRESS(ROW(D1394)-1, 'From Order'!$A1394)), 1), D1393))"),"")</f>
        <v/>
      </c>
      <c r="E1394" s="2" t="str">
        <f>IFERROR(__xludf.DUMMYFUNCTION("IF('From Order'!$A1394=COLUMNS($A1394:E1413), LEFT(INDEX(FILTER(E$1:E1393, E$1:E1393&lt;&gt;""""),COUNTA(FILTER(E$1:E1393, E$1:E1393&lt;&gt;""""))), LEN(INDEX(FILTER(E$1:E1393, E$1:E1393&lt;&gt;""""),COUNTA(FILTER(E$1:E1393, E$1:E1393&lt;&gt;""""))))-1), IF('To Order'!$A1394=COL"&amp;"UMNS($A1394:E1413), E1393&amp;RIGHT(INDIRECT(ADDRESS(ROW(E1394)-1, 'From Order'!$A1394)), 1), E1393))"),"HGSTDDLWP")</f>
        <v>HGSTDDLWP</v>
      </c>
      <c r="F1394" s="2" t="str">
        <f>IFERROR(__xludf.DUMMYFUNCTION("IF('From Order'!$A1394=COLUMNS($A1394:F1413), LEFT(INDEX(FILTER(F$1:F1393, F$1:F1393&lt;&gt;""""),COUNTA(FILTER(F$1:F1393, F$1:F1393&lt;&gt;""""))), LEN(INDEX(FILTER(F$1:F1393, F$1:F1393&lt;&gt;""""),COUNTA(FILTER(F$1:F1393, F$1:F1393&lt;&gt;""""))))-1), IF('To Order'!$A1394=COL"&amp;"UMNS($A1394:F1413), F1393&amp;RIGHT(INDIRECT(ADDRESS(ROW(F1394)-1, 'From Order'!$A1394)), 1), F1393))"),"ZRLBSTVFSCZ")</f>
        <v>ZRLBSTVFSCZ</v>
      </c>
      <c r="G1394" s="2" t="str">
        <f>IFERROR(__xludf.DUMMYFUNCTION("IF('From Order'!$A1394=COLUMNS($A1394:G1413), LEFT(INDEX(FILTER(G$1:G1393, G$1:G1393&lt;&gt;""""),COUNTA(FILTER(G$1:G1393, G$1:G1393&lt;&gt;""""))), LEN(INDEX(FILTER(G$1:G1393, G$1:G1393&lt;&gt;""""),COUNTA(FILTER(G$1:G1393, G$1:G1393&lt;&gt;""""))))-1), IF('To Order'!$A1394=COL"&amp;"UMNS($A1394:G1413), G1393&amp;RIGHT(INDIRECT(ADDRESS(ROW(G1394)-1, 'From Order'!$A1394)), 1), G1393))"),"WRMBVTCRCDRH")</f>
        <v>WRMBVTCRCDRH</v>
      </c>
      <c r="H1394" s="2" t="str">
        <f>IFERROR(__xludf.DUMMYFUNCTION("IF('From Order'!$A1394=COLUMNS($A1394:H1413), LEFT(INDEX(FILTER(H$1:H1393, H$1:H1393&lt;&gt;""""),COUNTA(FILTER(H$1:H1393, H$1:H1393&lt;&gt;""""))), LEN(INDEX(FILTER(H$1:H1393, H$1:H1393&lt;&gt;""""),COUNTA(FILTER(H$1:H1393, H$1:H1393&lt;&gt;""""))))-1), IF('To Order'!$A1394=COL"&amp;"UMNS($A1394:H1413), H1393&amp;RIGHT(INDIRECT(ADDRESS(ROW(H1394)-1, 'From Order'!$A1394)), 1), H1393))"),"")</f>
        <v/>
      </c>
      <c r="I1394" s="2" t="str">
        <f>IFERROR(__xludf.DUMMYFUNCTION("IF('From Order'!$A1394=COLUMNS($A1394:I1413), LEFT(INDEX(FILTER(I$1:I1393, I$1:I1393&lt;&gt;""""),COUNTA(FILTER(I$1:I1393, I$1:I1393&lt;&gt;""""))), LEN(INDEX(FILTER(I$1:I1393, I$1:I1393&lt;&gt;""""),COUNTA(FILTER(I$1:I1393, I$1:I1393&lt;&gt;""""))))-1), IF('To Order'!$A1394=COL"&amp;"UMNS($A1394:I1413), I1393&amp;RIGHT(INDIRECT(ADDRESS(ROW(I1394)-1, 'From Order'!$A1394)), 1), I1393))"),"")</f>
        <v/>
      </c>
    </row>
    <row r="1395">
      <c r="A1395" s="2" t="str">
        <f>IFERROR(__xludf.DUMMYFUNCTION("IF('From Order'!$A1395=COLUMNS($A1395:A1414), LEFT(INDEX(FILTER(A$1:A1394, A$1:A1394&lt;&gt;""""),COUNTA(FILTER(A$1:A1394, A$1:A1394&lt;&gt;""""))), LEN(INDEX(FILTER(A$1:A1394, A$1:A1394&lt;&gt;""""),COUNTA(FILTER(A$1:A1394, A$1:A1394&lt;&gt;""""))))-1), IF('To Order'!$A1395=COL"&amp;"UMNS($A1395:A1414), A1394&amp;RIGHT(INDIRECT(ADDRESS(ROW(A1395)-1, 'From Order'!$A1395)), 1), A1394))"),"JTBFMDJDSBGMTDLPPJQ")</f>
        <v>JTBFMDJDSBGMTDLPPJQ</v>
      </c>
      <c r="B1395" s="2" t="str">
        <f>IFERROR(__xludf.DUMMYFUNCTION("IF('From Order'!$A1395=COLUMNS($A1395:B1414), LEFT(INDEX(FILTER(B$1:B1394, B$1:B1394&lt;&gt;""""),COUNTA(FILTER(B$1:B1394, B$1:B1394&lt;&gt;""""))), LEN(INDEX(FILTER(B$1:B1394, B$1:B1394&lt;&gt;""""),COUNTA(FILTER(B$1:B1394, B$1:B1394&lt;&gt;""""))))-1), IF('To Order'!$A1395=COL"&amp;"UMNS($A1395:B1414), B1394&amp;RIGHT(INDIRECT(ADDRESS(ROW(B1395)-1, 'From Order'!$A1395)), 1), B1394))"),"RZ")</f>
        <v>RZ</v>
      </c>
      <c r="C1395" s="2" t="str">
        <f>IFERROR(__xludf.DUMMYFUNCTION("IF('From Order'!$A1395=COLUMNS($A1395:C1414), LEFT(INDEX(FILTER(C$1:C1394, C$1:C1394&lt;&gt;""""),COUNTA(FILTER(C$1:C1394, C$1:C1394&lt;&gt;""""))), LEN(INDEX(FILTER(C$1:C1394, C$1:C1394&lt;&gt;""""),COUNTA(FILTER(C$1:C1394, C$1:C1394&lt;&gt;""""))))-1), IF('To Order'!$A1395=COL"&amp;"UMNS($A1395:C1414), C1394&amp;RIGHT(INDIRECT(ADDRESS(ROW(C1395)-1, 'From Order'!$A1395)), 1), C1394))"),"TQV")</f>
        <v>TQV</v>
      </c>
      <c r="D1395" s="2" t="str">
        <f>IFERROR(__xludf.DUMMYFUNCTION("IF('From Order'!$A1395=COLUMNS($A1395:D1414), LEFT(INDEX(FILTER(D$1:D1394, D$1:D1394&lt;&gt;""""),COUNTA(FILTER(D$1:D1394, D$1:D1394&lt;&gt;""""))), LEN(INDEX(FILTER(D$1:D1394, D$1:D1394&lt;&gt;""""),COUNTA(FILTER(D$1:D1394, D$1:D1394&lt;&gt;""""))))-1), IF('To Order'!$A1395=COL"&amp;"UMNS($A1395:D1414), D1394&amp;RIGHT(INDIRECT(ADDRESS(ROW(D1395)-1, 'From Order'!$A1395)), 1), D1394))"),"")</f>
        <v/>
      </c>
      <c r="E1395" s="2" t="str">
        <f>IFERROR(__xludf.DUMMYFUNCTION("IF('From Order'!$A1395=COLUMNS($A1395:E1414), LEFT(INDEX(FILTER(E$1:E1394, E$1:E1394&lt;&gt;""""),COUNTA(FILTER(E$1:E1394, E$1:E1394&lt;&gt;""""))), LEN(INDEX(FILTER(E$1:E1394, E$1:E1394&lt;&gt;""""),COUNTA(FILTER(E$1:E1394, E$1:E1394&lt;&gt;""""))))-1), IF('To Order'!$A1395=COL"&amp;"UMNS($A1395:E1414), E1394&amp;RIGHT(INDIRECT(ADDRESS(ROW(E1395)-1, 'From Order'!$A1395)), 1), E1394))"),"HGSTDDLWP")</f>
        <v>HGSTDDLWP</v>
      </c>
      <c r="F1395" s="2" t="str">
        <f>IFERROR(__xludf.DUMMYFUNCTION("IF('From Order'!$A1395=COLUMNS($A1395:F1414), LEFT(INDEX(FILTER(F$1:F1394, F$1:F1394&lt;&gt;""""),COUNTA(FILTER(F$1:F1394, F$1:F1394&lt;&gt;""""))), LEN(INDEX(FILTER(F$1:F1394, F$1:F1394&lt;&gt;""""),COUNTA(FILTER(F$1:F1394, F$1:F1394&lt;&gt;""""))))-1), IF('To Order'!$A1395=COL"&amp;"UMNS($A1395:F1414), F1394&amp;RIGHT(INDIRECT(ADDRESS(ROW(F1395)-1, 'From Order'!$A1395)), 1), F1394))"),"ZRLBSTVFSCZ")</f>
        <v>ZRLBSTVFSCZ</v>
      </c>
      <c r="G1395" s="2" t="str">
        <f>IFERROR(__xludf.DUMMYFUNCTION("IF('From Order'!$A1395=COLUMNS($A1395:G1414), LEFT(INDEX(FILTER(G$1:G1394, G$1:G1394&lt;&gt;""""),COUNTA(FILTER(G$1:G1394, G$1:G1394&lt;&gt;""""))), LEN(INDEX(FILTER(G$1:G1394, G$1:G1394&lt;&gt;""""),COUNTA(FILTER(G$1:G1394, G$1:G1394&lt;&gt;""""))))-1), IF('To Order'!$A1395=COL"&amp;"UMNS($A1395:G1414), G1394&amp;RIGHT(INDIRECT(ADDRESS(ROW(G1395)-1, 'From Order'!$A1395)), 1), G1394))"),"WRMBVTCRCDRH")</f>
        <v>WRMBVTCRCDRH</v>
      </c>
      <c r="H1395" s="2" t="str">
        <f>IFERROR(__xludf.DUMMYFUNCTION("IF('From Order'!$A1395=COLUMNS($A1395:H1414), LEFT(INDEX(FILTER(H$1:H1394, H$1:H1394&lt;&gt;""""),COUNTA(FILTER(H$1:H1394, H$1:H1394&lt;&gt;""""))), LEN(INDEX(FILTER(H$1:H1394, H$1:H1394&lt;&gt;""""),COUNTA(FILTER(H$1:H1394, H$1:H1394&lt;&gt;""""))))-1), IF('To Order'!$A1395=COL"&amp;"UMNS($A1395:H1414), H1394&amp;RIGHT(INDIRECT(ADDRESS(ROW(H1395)-1, 'From Order'!$A1395)), 1), H1394))"),"")</f>
        <v/>
      </c>
      <c r="I1395" s="2" t="str">
        <f>IFERROR(__xludf.DUMMYFUNCTION("IF('From Order'!$A1395=COLUMNS($A1395:I1414), LEFT(INDEX(FILTER(I$1:I1394, I$1:I1394&lt;&gt;""""),COUNTA(FILTER(I$1:I1394, I$1:I1394&lt;&gt;""""))), LEN(INDEX(FILTER(I$1:I1394, I$1:I1394&lt;&gt;""""),COUNTA(FILTER(I$1:I1394, I$1:I1394&lt;&gt;""""))))-1), IF('To Order'!$A1395=COL"&amp;"UMNS($A1395:I1414), I1394&amp;RIGHT(INDIRECT(ADDRESS(ROW(I1395)-1, 'From Order'!$A1395)), 1), I1394))"),"")</f>
        <v/>
      </c>
    </row>
    <row r="1396">
      <c r="A1396" s="2" t="str">
        <f>IFERROR(__xludf.DUMMYFUNCTION("IF('From Order'!$A1396=COLUMNS($A1396:A1415), LEFT(INDEX(FILTER(A$1:A1395, A$1:A1395&lt;&gt;""""),COUNTA(FILTER(A$1:A1395, A$1:A1395&lt;&gt;""""))), LEN(INDEX(FILTER(A$1:A1395, A$1:A1395&lt;&gt;""""),COUNTA(FILTER(A$1:A1395, A$1:A1395&lt;&gt;""""))))-1), IF('To Order'!$A1396=COL"&amp;"UMNS($A1396:A1415), A1395&amp;RIGHT(INDIRECT(ADDRESS(ROW(A1396)-1, 'From Order'!$A1396)), 1), A1395))"),"JTBFMDJDSBGMTDLPPJ")</f>
        <v>JTBFMDJDSBGMTDLPPJ</v>
      </c>
      <c r="B1396" s="2" t="str">
        <f>IFERROR(__xludf.DUMMYFUNCTION("IF('From Order'!$A1396=COLUMNS($A1396:B1415), LEFT(INDEX(FILTER(B$1:B1395, B$1:B1395&lt;&gt;""""),COUNTA(FILTER(B$1:B1395, B$1:B1395&lt;&gt;""""))), LEN(INDEX(FILTER(B$1:B1395, B$1:B1395&lt;&gt;""""),COUNTA(FILTER(B$1:B1395, B$1:B1395&lt;&gt;""""))))-1), IF('To Order'!$A1396=COL"&amp;"UMNS($A1396:B1415), B1395&amp;RIGHT(INDIRECT(ADDRESS(ROW(B1396)-1, 'From Order'!$A1396)), 1), B1395))"),"RZ")</f>
        <v>RZ</v>
      </c>
      <c r="C1396" s="2" t="str">
        <f>IFERROR(__xludf.DUMMYFUNCTION("IF('From Order'!$A1396=COLUMNS($A1396:C1415), LEFT(INDEX(FILTER(C$1:C1395, C$1:C1395&lt;&gt;""""),COUNTA(FILTER(C$1:C1395, C$1:C1395&lt;&gt;""""))), LEN(INDEX(FILTER(C$1:C1395, C$1:C1395&lt;&gt;""""),COUNTA(FILTER(C$1:C1395, C$1:C1395&lt;&gt;""""))))-1), IF('To Order'!$A1396=COL"&amp;"UMNS($A1396:C1415), C1395&amp;RIGHT(INDIRECT(ADDRESS(ROW(C1396)-1, 'From Order'!$A1396)), 1), C1395))"),"TQVQ")</f>
        <v>TQVQ</v>
      </c>
      <c r="D1396" s="2" t="str">
        <f>IFERROR(__xludf.DUMMYFUNCTION("IF('From Order'!$A1396=COLUMNS($A1396:D1415), LEFT(INDEX(FILTER(D$1:D1395, D$1:D1395&lt;&gt;""""),COUNTA(FILTER(D$1:D1395, D$1:D1395&lt;&gt;""""))), LEN(INDEX(FILTER(D$1:D1395, D$1:D1395&lt;&gt;""""),COUNTA(FILTER(D$1:D1395, D$1:D1395&lt;&gt;""""))))-1), IF('To Order'!$A1396=COL"&amp;"UMNS($A1396:D1415), D1395&amp;RIGHT(INDIRECT(ADDRESS(ROW(D1396)-1, 'From Order'!$A1396)), 1), D1395))"),"")</f>
        <v/>
      </c>
      <c r="E1396" s="2" t="str">
        <f>IFERROR(__xludf.DUMMYFUNCTION("IF('From Order'!$A1396=COLUMNS($A1396:E1415), LEFT(INDEX(FILTER(E$1:E1395, E$1:E1395&lt;&gt;""""),COUNTA(FILTER(E$1:E1395, E$1:E1395&lt;&gt;""""))), LEN(INDEX(FILTER(E$1:E1395, E$1:E1395&lt;&gt;""""),COUNTA(FILTER(E$1:E1395, E$1:E1395&lt;&gt;""""))))-1), IF('To Order'!$A1396=COL"&amp;"UMNS($A1396:E1415), E1395&amp;RIGHT(INDIRECT(ADDRESS(ROW(E1396)-1, 'From Order'!$A1396)), 1), E1395))"),"HGSTDDLWP")</f>
        <v>HGSTDDLWP</v>
      </c>
      <c r="F1396" s="2" t="str">
        <f>IFERROR(__xludf.DUMMYFUNCTION("IF('From Order'!$A1396=COLUMNS($A1396:F1415), LEFT(INDEX(FILTER(F$1:F1395, F$1:F1395&lt;&gt;""""),COUNTA(FILTER(F$1:F1395, F$1:F1395&lt;&gt;""""))), LEN(INDEX(FILTER(F$1:F1395, F$1:F1395&lt;&gt;""""),COUNTA(FILTER(F$1:F1395, F$1:F1395&lt;&gt;""""))))-1), IF('To Order'!$A1396=COL"&amp;"UMNS($A1396:F1415), F1395&amp;RIGHT(INDIRECT(ADDRESS(ROW(F1396)-1, 'From Order'!$A1396)), 1), F1395))"),"ZRLBSTVFSCZ")</f>
        <v>ZRLBSTVFSCZ</v>
      </c>
      <c r="G1396" s="2" t="str">
        <f>IFERROR(__xludf.DUMMYFUNCTION("IF('From Order'!$A1396=COLUMNS($A1396:G1415), LEFT(INDEX(FILTER(G$1:G1395, G$1:G1395&lt;&gt;""""),COUNTA(FILTER(G$1:G1395, G$1:G1395&lt;&gt;""""))), LEN(INDEX(FILTER(G$1:G1395, G$1:G1395&lt;&gt;""""),COUNTA(FILTER(G$1:G1395, G$1:G1395&lt;&gt;""""))))-1), IF('To Order'!$A1396=COL"&amp;"UMNS($A1396:G1415), G1395&amp;RIGHT(INDIRECT(ADDRESS(ROW(G1396)-1, 'From Order'!$A1396)), 1), G1395))"),"WRMBVTCRCDRH")</f>
        <v>WRMBVTCRCDRH</v>
      </c>
      <c r="H1396" s="2" t="str">
        <f>IFERROR(__xludf.DUMMYFUNCTION("IF('From Order'!$A1396=COLUMNS($A1396:H1415), LEFT(INDEX(FILTER(H$1:H1395, H$1:H1395&lt;&gt;""""),COUNTA(FILTER(H$1:H1395, H$1:H1395&lt;&gt;""""))), LEN(INDEX(FILTER(H$1:H1395, H$1:H1395&lt;&gt;""""),COUNTA(FILTER(H$1:H1395, H$1:H1395&lt;&gt;""""))))-1), IF('To Order'!$A1396=COL"&amp;"UMNS($A1396:H1415), H1395&amp;RIGHT(INDIRECT(ADDRESS(ROW(H1396)-1, 'From Order'!$A1396)), 1), H1395))"),"")</f>
        <v/>
      </c>
      <c r="I1396" s="2" t="str">
        <f>IFERROR(__xludf.DUMMYFUNCTION("IF('From Order'!$A1396=COLUMNS($A1396:I1415), LEFT(INDEX(FILTER(I$1:I1395, I$1:I1395&lt;&gt;""""),COUNTA(FILTER(I$1:I1395, I$1:I1395&lt;&gt;""""))), LEN(INDEX(FILTER(I$1:I1395, I$1:I1395&lt;&gt;""""),COUNTA(FILTER(I$1:I1395, I$1:I1395&lt;&gt;""""))))-1), IF('To Order'!$A1396=COL"&amp;"UMNS($A1396:I1415), I1395&amp;RIGHT(INDIRECT(ADDRESS(ROW(I1396)-1, 'From Order'!$A1396)), 1), I1395))"),"")</f>
        <v/>
      </c>
    </row>
    <row r="1397">
      <c r="A1397" s="2" t="str">
        <f>IFERROR(__xludf.DUMMYFUNCTION("IF('From Order'!$A1397=COLUMNS($A1397:A1416), LEFT(INDEX(FILTER(A$1:A1396, A$1:A1396&lt;&gt;""""),COUNTA(FILTER(A$1:A1396, A$1:A1396&lt;&gt;""""))), LEN(INDEX(FILTER(A$1:A1396, A$1:A1396&lt;&gt;""""),COUNTA(FILTER(A$1:A1396, A$1:A1396&lt;&gt;""""))))-1), IF('To Order'!$A1397=COL"&amp;"UMNS($A1397:A1416), A1396&amp;RIGHT(INDIRECT(ADDRESS(ROW(A1397)-1, 'From Order'!$A1397)), 1), A1396))"),"JTBFMDJDSBGMTDLPP")</f>
        <v>JTBFMDJDSBGMTDLPP</v>
      </c>
      <c r="B1397" s="2" t="str">
        <f>IFERROR(__xludf.DUMMYFUNCTION("IF('From Order'!$A1397=COLUMNS($A1397:B1416), LEFT(INDEX(FILTER(B$1:B1396, B$1:B1396&lt;&gt;""""),COUNTA(FILTER(B$1:B1396, B$1:B1396&lt;&gt;""""))), LEN(INDEX(FILTER(B$1:B1396, B$1:B1396&lt;&gt;""""),COUNTA(FILTER(B$1:B1396, B$1:B1396&lt;&gt;""""))))-1), IF('To Order'!$A1397=COL"&amp;"UMNS($A1397:B1416), B1396&amp;RIGHT(INDIRECT(ADDRESS(ROW(B1397)-1, 'From Order'!$A1397)), 1), B1396))"),"RZ")</f>
        <v>RZ</v>
      </c>
      <c r="C1397" s="2" t="str">
        <f>IFERROR(__xludf.DUMMYFUNCTION("IF('From Order'!$A1397=COLUMNS($A1397:C1416), LEFT(INDEX(FILTER(C$1:C1396, C$1:C1396&lt;&gt;""""),COUNTA(FILTER(C$1:C1396, C$1:C1396&lt;&gt;""""))), LEN(INDEX(FILTER(C$1:C1396, C$1:C1396&lt;&gt;""""),COUNTA(FILTER(C$1:C1396, C$1:C1396&lt;&gt;""""))))-1), IF('To Order'!$A1397=COL"&amp;"UMNS($A1397:C1416), C1396&amp;RIGHT(INDIRECT(ADDRESS(ROW(C1397)-1, 'From Order'!$A1397)), 1), C1396))"),"TQVQJ")</f>
        <v>TQVQJ</v>
      </c>
      <c r="D1397" s="2" t="str">
        <f>IFERROR(__xludf.DUMMYFUNCTION("IF('From Order'!$A1397=COLUMNS($A1397:D1416), LEFT(INDEX(FILTER(D$1:D1396, D$1:D1396&lt;&gt;""""),COUNTA(FILTER(D$1:D1396, D$1:D1396&lt;&gt;""""))), LEN(INDEX(FILTER(D$1:D1396, D$1:D1396&lt;&gt;""""),COUNTA(FILTER(D$1:D1396, D$1:D1396&lt;&gt;""""))))-1), IF('To Order'!$A1397=COL"&amp;"UMNS($A1397:D1416), D1396&amp;RIGHT(INDIRECT(ADDRESS(ROW(D1397)-1, 'From Order'!$A1397)), 1), D1396))"),"")</f>
        <v/>
      </c>
      <c r="E1397" s="2" t="str">
        <f>IFERROR(__xludf.DUMMYFUNCTION("IF('From Order'!$A1397=COLUMNS($A1397:E1416), LEFT(INDEX(FILTER(E$1:E1396, E$1:E1396&lt;&gt;""""),COUNTA(FILTER(E$1:E1396, E$1:E1396&lt;&gt;""""))), LEN(INDEX(FILTER(E$1:E1396, E$1:E1396&lt;&gt;""""),COUNTA(FILTER(E$1:E1396, E$1:E1396&lt;&gt;""""))))-1), IF('To Order'!$A1397=COL"&amp;"UMNS($A1397:E1416), E1396&amp;RIGHT(INDIRECT(ADDRESS(ROW(E1397)-1, 'From Order'!$A1397)), 1), E1396))"),"HGSTDDLWP")</f>
        <v>HGSTDDLWP</v>
      </c>
      <c r="F1397" s="2" t="str">
        <f>IFERROR(__xludf.DUMMYFUNCTION("IF('From Order'!$A1397=COLUMNS($A1397:F1416), LEFT(INDEX(FILTER(F$1:F1396, F$1:F1396&lt;&gt;""""),COUNTA(FILTER(F$1:F1396, F$1:F1396&lt;&gt;""""))), LEN(INDEX(FILTER(F$1:F1396, F$1:F1396&lt;&gt;""""),COUNTA(FILTER(F$1:F1396, F$1:F1396&lt;&gt;""""))))-1), IF('To Order'!$A1397=COL"&amp;"UMNS($A1397:F1416), F1396&amp;RIGHT(INDIRECT(ADDRESS(ROW(F1397)-1, 'From Order'!$A1397)), 1), F1396))"),"ZRLBSTVFSCZ")</f>
        <v>ZRLBSTVFSCZ</v>
      </c>
      <c r="G1397" s="2" t="str">
        <f>IFERROR(__xludf.DUMMYFUNCTION("IF('From Order'!$A1397=COLUMNS($A1397:G1416), LEFT(INDEX(FILTER(G$1:G1396, G$1:G1396&lt;&gt;""""),COUNTA(FILTER(G$1:G1396, G$1:G1396&lt;&gt;""""))), LEN(INDEX(FILTER(G$1:G1396, G$1:G1396&lt;&gt;""""),COUNTA(FILTER(G$1:G1396, G$1:G1396&lt;&gt;""""))))-1), IF('To Order'!$A1397=COL"&amp;"UMNS($A1397:G1416), G1396&amp;RIGHT(INDIRECT(ADDRESS(ROW(G1397)-1, 'From Order'!$A1397)), 1), G1396))"),"WRMBVTCRCDRH")</f>
        <v>WRMBVTCRCDRH</v>
      </c>
      <c r="H1397" s="2" t="str">
        <f>IFERROR(__xludf.DUMMYFUNCTION("IF('From Order'!$A1397=COLUMNS($A1397:H1416), LEFT(INDEX(FILTER(H$1:H1396, H$1:H1396&lt;&gt;""""),COUNTA(FILTER(H$1:H1396, H$1:H1396&lt;&gt;""""))), LEN(INDEX(FILTER(H$1:H1396, H$1:H1396&lt;&gt;""""),COUNTA(FILTER(H$1:H1396, H$1:H1396&lt;&gt;""""))))-1), IF('To Order'!$A1397=COL"&amp;"UMNS($A1397:H1416), H1396&amp;RIGHT(INDIRECT(ADDRESS(ROW(H1397)-1, 'From Order'!$A1397)), 1), H1396))"),"")</f>
        <v/>
      </c>
      <c r="I1397" s="2" t="str">
        <f>IFERROR(__xludf.DUMMYFUNCTION("IF('From Order'!$A1397=COLUMNS($A1397:I1416), LEFT(INDEX(FILTER(I$1:I1396, I$1:I1396&lt;&gt;""""),COUNTA(FILTER(I$1:I1396, I$1:I1396&lt;&gt;""""))), LEN(INDEX(FILTER(I$1:I1396, I$1:I1396&lt;&gt;""""),COUNTA(FILTER(I$1:I1396, I$1:I1396&lt;&gt;""""))))-1), IF('To Order'!$A1397=COL"&amp;"UMNS($A1397:I1416), I1396&amp;RIGHT(INDIRECT(ADDRESS(ROW(I1397)-1, 'From Order'!$A1397)), 1), I1396))"),"")</f>
        <v/>
      </c>
    </row>
    <row r="1398">
      <c r="A1398" s="2" t="str">
        <f>IFERROR(__xludf.DUMMYFUNCTION("IF('From Order'!$A1398=COLUMNS($A1398:A1417), LEFT(INDEX(FILTER(A$1:A1397, A$1:A1397&lt;&gt;""""),COUNTA(FILTER(A$1:A1397, A$1:A1397&lt;&gt;""""))), LEN(INDEX(FILTER(A$1:A1397, A$1:A1397&lt;&gt;""""),COUNTA(FILTER(A$1:A1397, A$1:A1397&lt;&gt;""""))))-1), IF('To Order'!$A1398=COL"&amp;"UMNS($A1398:A1417), A1397&amp;RIGHT(INDIRECT(ADDRESS(ROW(A1398)-1, 'From Order'!$A1398)), 1), A1397))"),"JTBFMDJDSBGMTDLP")</f>
        <v>JTBFMDJDSBGMTDLP</v>
      </c>
      <c r="B1398" s="2" t="str">
        <f>IFERROR(__xludf.DUMMYFUNCTION("IF('From Order'!$A1398=COLUMNS($A1398:B1417), LEFT(INDEX(FILTER(B$1:B1397, B$1:B1397&lt;&gt;""""),COUNTA(FILTER(B$1:B1397, B$1:B1397&lt;&gt;""""))), LEN(INDEX(FILTER(B$1:B1397, B$1:B1397&lt;&gt;""""),COUNTA(FILTER(B$1:B1397, B$1:B1397&lt;&gt;""""))))-1), IF('To Order'!$A1398=COL"&amp;"UMNS($A1398:B1417), B1397&amp;RIGHT(INDIRECT(ADDRESS(ROW(B1398)-1, 'From Order'!$A1398)), 1), B1397))"),"RZ")</f>
        <v>RZ</v>
      </c>
      <c r="C1398" s="2" t="str">
        <f>IFERROR(__xludf.DUMMYFUNCTION("IF('From Order'!$A1398=COLUMNS($A1398:C1417), LEFT(INDEX(FILTER(C$1:C1397, C$1:C1397&lt;&gt;""""),COUNTA(FILTER(C$1:C1397, C$1:C1397&lt;&gt;""""))), LEN(INDEX(FILTER(C$1:C1397, C$1:C1397&lt;&gt;""""),COUNTA(FILTER(C$1:C1397, C$1:C1397&lt;&gt;""""))))-1), IF('To Order'!$A1398=COL"&amp;"UMNS($A1398:C1417), C1397&amp;RIGHT(INDIRECT(ADDRESS(ROW(C1398)-1, 'From Order'!$A1398)), 1), C1397))"),"TQVQJP")</f>
        <v>TQVQJP</v>
      </c>
      <c r="D1398" s="2" t="str">
        <f>IFERROR(__xludf.DUMMYFUNCTION("IF('From Order'!$A1398=COLUMNS($A1398:D1417), LEFT(INDEX(FILTER(D$1:D1397, D$1:D1397&lt;&gt;""""),COUNTA(FILTER(D$1:D1397, D$1:D1397&lt;&gt;""""))), LEN(INDEX(FILTER(D$1:D1397, D$1:D1397&lt;&gt;""""),COUNTA(FILTER(D$1:D1397, D$1:D1397&lt;&gt;""""))))-1), IF('To Order'!$A1398=COL"&amp;"UMNS($A1398:D1417), D1397&amp;RIGHT(INDIRECT(ADDRESS(ROW(D1398)-1, 'From Order'!$A1398)), 1), D1397))"),"")</f>
        <v/>
      </c>
      <c r="E1398" s="2" t="str">
        <f>IFERROR(__xludf.DUMMYFUNCTION("IF('From Order'!$A1398=COLUMNS($A1398:E1417), LEFT(INDEX(FILTER(E$1:E1397, E$1:E1397&lt;&gt;""""),COUNTA(FILTER(E$1:E1397, E$1:E1397&lt;&gt;""""))), LEN(INDEX(FILTER(E$1:E1397, E$1:E1397&lt;&gt;""""),COUNTA(FILTER(E$1:E1397, E$1:E1397&lt;&gt;""""))))-1), IF('To Order'!$A1398=COL"&amp;"UMNS($A1398:E1417), E1397&amp;RIGHT(INDIRECT(ADDRESS(ROW(E1398)-1, 'From Order'!$A1398)), 1), E1397))"),"HGSTDDLWP")</f>
        <v>HGSTDDLWP</v>
      </c>
      <c r="F1398" s="2" t="str">
        <f>IFERROR(__xludf.DUMMYFUNCTION("IF('From Order'!$A1398=COLUMNS($A1398:F1417), LEFT(INDEX(FILTER(F$1:F1397, F$1:F1397&lt;&gt;""""),COUNTA(FILTER(F$1:F1397, F$1:F1397&lt;&gt;""""))), LEN(INDEX(FILTER(F$1:F1397, F$1:F1397&lt;&gt;""""),COUNTA(FILTER(F$1:F1397, F$1:F1397&lt;&gt;""""))))-1), IF('To Order'!$A1398=COL"&amp;"UMNS($A1398:F1417), F1397&amp;RIGHT(INDIRECT(ADDRESS(ROW(F1398)-1, 'From Order'!$A1398)), 1), F1397))"),"ZRLBSTVFSCZ")</f>
        <v>ZRLBSTVFSCZ</v>
      </c>
      <c r="G1398" s="2" t="str">
        <f>IFERROR(__xludf.DUMMYFUNCTION("IF('From Order'!$A1398=COLUMNS($A1398:G1417), LEFT(INDEX(FILTER(G$1:G1397, G$1:G1397&lt;&gt;""""),COUNTA(FILTER(G$1:G1397, G$1:G1397&lt;&gt;""""))), LEN(INDEX(FILTER(G$1:G1397, G$1:G1397&lt;&gt;""""),COUNTA(FILTER(G$1:G1397, G$1:G1397&lt;&gt;""""))))-1), IF('To Order'!$A1398=COL"&amp;"UMNS($A1398:G1417), G1397&amp;RIGHT(INDIRECT(ADDRESS(ROW(G1398)-1, 'From Order'!$A1398)), 1), G1397))"),"WRMBVTCRCDRH")</f>
        <v>WRMBVTCRCDRH</v>
      </c>
      <c r="H1398" s="2" t="str">
        <f>IFERROR(__xludf.DUMMYFUNCTION("IF('From Order'!$A1398=COLUMNS($A1398:H1417), LEFT(INDEX(FILTER(H$1:H1397, H$1:H1397&lt;&gt;""""),COUNTA(FILTER(H$1:H1397, H$1:H1397&lt;&gt;""""))), LEN(INDEX(FILTER(H$1:H1397, H$1:H1397&lt;&gt;""""),COUNTA(FILTER(H$1:H1397, H$1:H1397&lt;&gt;""""))))-1), IF('To Order'!$A1398=COL"&amp;"UMNS($A1398:H1417), H1397&amp;RIGHT(INDIRECT(ADDRESS(ROW(H1398)-1, 'From Order'!$A1398)), 1), H1397))"),"")</f>
        <v/>
      </c>
      <c r="I1398" s="2" t="str">
        <f>IFERROR(__xludf.DUMMYFUNCTION("IF('From Order'!$A1398=COLUMNS($A1398:I1417), LEFT(INDEX(FILTER(I$1:I1397, I$1:I1397&lt;&gt;""""),COUNTA(FILTER(I$1:I1397, I$1:I1397&lt;&gt;""""))), LEN(INDEX(FILTER(I$1:I1397, I$1:I1397&lt;&gt;""""),COUNTA(FILTER(I$1:I1397, I$1:I1397&lt;&gt;""""))))-1), IF('To Order'!$A1398=COL"&amp;"UMNS($A1398:I1417), I1397&amp;RIGHT(INDIRECT(ADDRESS(ROW(I1398)-1, 'From Order'!$A1398)), 1), I1397))"),"")</f>
        <v/>
      </c>
    </row>
    <row r="1399">
      <c r="A1399" s="2" t="str">
        <f>IFERROR(__xludf.DUMMYFUNCTION("IF('From Order'!$A1399=COLUMNS($A1399:A1418), LEFT(INDEX(FILTER(A$1:A1398, A$1:A1398&lt;&gt;""""),COUNTA(FILTER(A$1:A1398, A$1:A1398&lt;&gt;""""))), LEN(INDEX(FILTER(A$1:A1398, A$1:A1398&lt;&gt;""""),COUNTA(FILTER(A$1:A1398, A$1:A1398&lt;&gt;""""))))-1), IF('To Order'!$A1399=COL"&amp;"UMNS($A1399:A1418), A1398&amp;RIGHT(INDIRECT(ADDRESS(ROW(A1399)-1, 'From Order'!$A1399)), 1), A1398))"),"JTBFMDJDSBGMTDL")</f>
        <v>JTBFMDJDSBGMTDL</v>
      </c>
      <c r="B1399" s="2" t="str">
        <f>IFERROR(__xludf.DUMMYFUNCTION("IF('From Order'!$A1399=COLUMNS($A1399:B1418), LEFT(INDEX(FILTER(B$1:B1398, B$1:B1398&lt;&gt;""""),COUNTA(FILTER(B$1:B1398, B$1:B1398&lt;&gt;""""))), LEN(INDEX(FILTER(B$1:B1398, B$1:B1398&lt;&gt;""""),COUNTA(FILTER(B$1:B1398, B$1:B1398&lt;&gt;""""))))-1), IF('To Order'!$A1399=COL"&amp;"UMNS($A1399:B1418), B1398&amp;RIGHT(INDIRECT(ADDRESS(ROW(B1399)-1, 'From Order'!$A1399)), 1), B1398))"),"RZ")</f>
        <v>RZ</v>
      </c>
      <c r="C1399" s="2" t="str">
        <f>IFERROR(__xludf.DUMMYFUNCTION("IF('From Order'!$A1399=COLUMNS($A1399:C1418), LEFT(INDEX(FILTER(C$1:C1398, C$1:C1398&lt;&gt;""""),COUNTA(FILTER(C$1:C1398, C$1:C1398&lt;&gt;""""))), LEN(INDEX(FILTER(C$1:C1398, C$1:C1398&lt;&gt;""""),COUNTA(FILTER(C$1:C1398, C$1:C1398&lt;&gt;""""))))-1), IF('To Order'!$A1399=COL"&amp;"UMNS($A1399:C1418), C1398&amp;RIGHT(INDIRECT(ADDRESS(ROW(C1399)-1, 'From Order'!$A1399)), 1), C1398))"),"TQVQJPP")</f>
        <v>TQVQJPP</v>
      </c>
      <c r="D1399" s="2" t="str">
        <f>IFERROR(__xludf.DUMMYFUNCTION("IF('From Order'!$A1399=COLUMNS($A1399:D1418), LEFT(INDEX(FILTER(D$1:D1398, D$1:D1398&lt;&gt;""""),COUNTA(FILTER(D$1:D1398, D$1:D1398&lt;&gt;""""))), LEN(INDEX(FILTER(D$1:D1398, D$1:D1398&lt;&gt;""""),COUNTA(FILTER(D$1:D1398, D$1:D1398&lt;&gt;""""))))-1), IF('To Order'!$A1399=COL"&amp;"UMNS($A1399:D1418), D1398&amp;RIGHT(INDIRECT(ADDRESS(ROW(D1399)-1, 'From Order'!$A1399)), 1), D1398))"),"")</f>
        <v/>
      </c>
      <c r="E1399" s="2" t="str">
        <f>IFERROR(__xludf.DUMMYFUNCTION("IF('From Order'!$A1399=COLUMNS($A1399:E1418), LEFT(INDEX(FILTER(E$1:E1398, E$1:E1398&lt;&gt;""""),COUNTA(FILTER(E$1:E1398, E$1:E1398&lt;&gt;""""))), LEN(INDEX(FILTER(E$1:E1398, E$1:E1398&lt;&gt;""""),COUNTA(FILTER(E$1:E1398, E$1:E1398&lt;&gt;""""))))-1), IF('To Order'!$A1399=COL"&amp;"UMNS($A1399:E1418), E1398&amp;RIGHT(INDIRECT(ADDRESS(ROW(E1399)-1, 'From Order'!$A1399)), 1), E1398))"),"HGSTDDLWP")</f>
        <v>HGSTDDLWP</v>
      </c>
      <c r="F1399" s="2" t="str">
        <f>IFERROR(__xludf.DUMMYFUNCTION("IF('From Order'!$A1399=COLUMNS($A1399:F1418), LEFT(INDEX(FILTER(F$1:F1398, F$1:F1398&lt;&gt;""""),COUNTA(FILTER(F$1:F1398, F$1:F1398&lt;&gt;""""))), LEN(INDEX(FILTER(F$1:F1398, F$1:F1398&lt;&gt;""""),COUNTA(FILTER(F$1:F1398, F$1:F1398&lt;&gt;""""))))-1), IF('To Order'!$A1399=COL"&amp;"UMNS($A1399:F1418), F1398&amp;RIGHT(INDIRECT(ADDRESS(ROW(F1399)-1, 'From Order'!$A1399)), 1), F1398))"),"ZRLBSTVFSCZ")</f>
        <v>ZRLBSTVFSCZ</v>
      </c>
      <c r="G1399" s="2" t="str">
        <f>IFERROR(__xludf.DUMMYFUNCTION("IF('From Order'!$A1399=COLUMNS($A1399:G1418), LEFT(INDEX(FILTER(G$1:G1398, G$1:G1398&lt;&gt;""""),COUNTA(FILTER(G$1:G1398, G$1:G1398&lt;&gt;""""))), LEN(INDEX(FILTER(G$1:G1398, G$1:G1398&lt;&gt;""""),COUNTA(FILTER(G$1:G1398, G$1:G1398&lt;&gt;""""))))-1), IF('To Order'!$A1399=COL"&amp;"UMNS($A1399:G1418), G1398&amp;RIGHT(INDIRECT(ADDRESS(ROW(G1399)-1, 'From Order'!$A1399)), 1), G1398))"),"WRMBVTCRCDRH")</f>
        <v>WRMBVTCRCDRH</v>
      </c>
      <c r="H1399" s="2" t="str">
        <f>IFERROR(__xludf.DUMMYFUNCTION("IF('From Order'!$A1399=COLUMNS($A1399:H1418), LEFT(INDEX(FILTER(H$1:H1398, H$1:H1398&lt;&gt;""""),COUNTA(FILTER(H$1:H1398, H$1:H1398&lt;&gt;""""))), LEN(INDEX(FILTER(H$1:H1398, H$1:H1398&lt;&gt;""""),COUNTA(FILTER(H$1:H1398, H$1:H1398&lt;&gt;""""))))-1), IF('To Order'!$A1399=COL"&amp;"UMNS($A1399:H1418), H1398&amp;RIGHT(INDIRECT(ADDRESS(ROW(H1399)-1, 'From Order'!$A1399)), 1), H1398))"),"")</f>
        <v/>
      </c>
      <c r="I1399" s="2" t="str">
        <f>IFERROR(__xludf.DUMMYFUNCTION("IF('From Order'!$A1399=COLUMNS($A1399:I1418), LEFT(INDEX(FILTER(I$1:I1398, I$1:I1398&lt;&gt;""""),COUNTA(FILTER(I$1:I1398, I$1:I1398&lt;&gt;""""))), LEN(INDEX(FILTER(I$1:I1398, I$1:I1398&lt;&gt;""""),COUNTA(FILTER(I$1:I1398, I$1:I1398&lt;&gt;""""))))-1), IF('To Order'!$A1399=COL"&amp;"UMNS($A1399:I1418), I1398&amp;RIGHT(INDIRECT(ADDRESS(ROW(I1399)-1, 'From Order'!$A1399)), 1), I1398))"),"")</f>
        <v/>
      </c>
    </row>
    <row r="1400">
      <c r="A1400" s="2" t="str">
        <f>IFERROR(__xludf.DUMMYFUNCTION("IF('From Order'!$A1400=COLUMNS($A1400:A1419), LEFT(INDEX(FILTER(A$1:A1399, A$1:A1399&lt;&gt;""""),COUNTA(FILTER(A$1:A1399, A$1:A1399&lt;&gt;""""))), LEN(INDEX(FILTER(A$1:A1399, A$1:A1399&lt;&gt;""""),COUNTA(FILTER(A$1:A1399, A$1:A1399&lt;&gt;""""))))-1), IF('To Order'!$A1400=COL"&amp;"UMNS($A1400:A1419), A1399&amp;RIGHT(INDIRECT(ADDRESS(ROW(A1400)-1, 'From Order'!$A1400)), 1), A1399))"),"JTBFMDJDSBGMTD")</f>
        <v>JTBFMDJDSBGMTD</v>
      </c>
      <c r="B1400" s="2" t="str">
        <f>IFERROR(__xludf.DUMMYFUNCTION("IF('From Order'!$A1400=COLUMNS($A1400:B1419), LEFT(INDEX(FILTER(B$1:B1399, B$1:B1399&lt;&gt;""""),COUNTA(FILTER(B$1:B1399, B$1:B1399&lt;&gt;""""))), LEN(INDEX(FILTER(B$1:B1399, B$1:B1399&lt;&gt;""""),COUNTA(FILTER(B$1:B1399, B$1:B1399&lt;&gt;""""))))-1), IF('To Order'!$A1400=COL"&amp;"UMNS($A1400:B1419), B1399&amp;RIGHT(INDIRECT(ADDRESS(ROW(B1400)-1, 'From Order'!$A1400)), 1), B1399))"),"RZ")</f>
        <v>RZ</v>
      </c>
      <c r="C1400" s="2" t="str">
        <f>IFERROR(__xludf.DUMMYFUNCTION("IF('From Order'!$A1400=COLUMNS($A1400:C1419), LEFT(INDEX(FILTER(C$1:C1399, C$1:C1399&lt;&gt;""""),COUNTA(FILTER(C$1:C1399, C$1:C1399&lt;&gt;""""))), LEN(INDEX(FILTER(C$1:C1399, C$1:C1399&lt;&gt;""""),COUNTA(FILTER(C$1:C1399, C$1:C1399&lt;&gt;""""))))-1), IF('To Order'!$A1400=COL"&amp;"UMNS($A1400:C1419), C1399&amp;RIGHT(INDIRECT(ADDRESS(ROW(C1400)-1, 'From Order'!$A1400)), 1), C1399))"),"TQVQJPPL")</f>
        <v>TQVQJPPL</v>
      </c>
      <c r="D1400" s="2" t="str">
        <f>IFERROR(__xludf.DUMMYFUNCTION("IF('From Order'!$A1400=COLUMNS($A1400:D1419), LEFT(INDEX(FILTER(D$1:D1399, D$1:D1399&lt;&gt;""""),COUNTA(FILTER(D$1:D1399, D$1:D1399&lt;&gt;""""))), LEN(INDEX(FILTER(D$1:D1399, D$1:D1399&lt;&gt;""""),COUNTA(FILTER(D$1:D1399, D$1:D1399&lt;&gt;""""))))-1), IF('To Order'!$A1400=COL"&amp;"UMNS($A1400:D1419), D1399&amp;RIGHT(INDIRECT(ADDRESS(ROW(D1400)-1, 'From Order'!$A1400)), 1), D1399))"),"")</f>
        <v/>
      </c>
      <c r="E1400" s="2" t="str">
        <f>IFERROR(__xludf.DUMMYFUNCTION("IF('From Order'!$A1400=COLUMNS($A1400:E1419), LEFT(INDEX(FILTER(E$1:E1399, E$1:E1399&lt;&gt;""""),COUNTA(FILTER(E$1:E1399, E$1:E1399&lt;&gt;""""))), LEN(INDEX(FILTER(E$1:E1399, E$1:E1399&lt;&gt;""""),COUNTA(FILTER(E$1:E1399, E$1:E1399&lt;&gt;""""))))-1), IF('To Order'!$A1400=COL"&amp;"UMNS($A1400:E1419), E1399&amp;RIGHT(INDIRECT(ADDRESS(ROW(E1400)-1, 'From Order'!$A1400)), 1), E1399))"),"HGSTDDLWP")</f>
        <v>HGSTDDLWP</v>
      </c>
      <c r="F1400" s="2" t="str">
        <f>IFERROR(__xludf.DUMMYFUNCTION("IF('From Order'!$A1400=COLUMNS($A1400:F1419), LEFT(INDEX(FILTER(F$1:F1399, F$1:F1399&lt;&gt;""""),COUNTA(FILTER(F$1:F1399, F$1:F1399&lt;&gt;""""))), LEN(INDEX(FILTER(F$1:F1399, F$1:F1399&lt;&gt;""""),COUNTA(FILTER(F$1:F1399, F$1:F1399&lt;&gt;""""))))-1), IF('To Order'!$A1400=COL"&amp;"UMNS($A1400:F1419), F1399&amp;RIGHT(INDIRECT(ADDRESS(ROW(F1400)-1, 'From Order'!$A1400)), 1), F1399))"),"ZRLBSTVFSCZ")</f>
        <v>ZRLBSTVFSCZ</v>
      </c>
      <c r="G1400" s="2" t="str">
        <f>IFERROR(__xludf.DUMMYFUNCTION("IF('From Order'!$A1400=COLUMNS($A1400:G1419), LEFT(INDEX(FILTER(G$1:G1399, G$1:G1399&lt;&gt;""""),COUNTA(FILTER(G$1:G1399, G$1:G1399&lt;&gt;""""))), LEN(INDEX(FILTER(G$1:G1399, G$1:G1399&lt;&gt;""""),COUNTA(FILTER(G$1:G1399, G$1:G1399&lt;&gt;""""))))-1), IF('To Order'!$A1400=COL"&amp;"UMNS($A1400:G1419), G1399&amp;RIGHT(INDIRECT(ADDRESS(ROW(G1400)-1, 'From Order'!$A1400)), 1), G1399))"),"WRMBVTCRCDRH")</f>
        <v>WRMBVTCRCDRH</v>
      </c>
      <c r="H1400" s="2" t="str">
        <f>IFERROR(__xludf.DUMMYFUNCTION("IF('From Order'!$A1400=COLUMNS($A1400:H1419), LEFT(INDEX(FILTER(H$1:H1399, H$1:H1399&lt;&gt;""""),COUNTA(FILTER(H$1:H1399, H$1:H1399&lt;&gt;""""))), LEN(INDEX(FILTER(H$1:H1399, H$1:H1399&lt;&gt;""""),COUNTA(FILTER(H$1:H1399, H$1:H1399&lt;&gt;""""))))-1), IF('To Order'!$A1400=COL"&amp;"UMNS($A1400:H1419), H1399&amp;RIGHT(INDIRECT(ADDRESS(ROW(H1400)-1, 'From Order'!$A1400)), 1), H1399))"),"")</f>
        <v/>
      </c>
      <c r="I1400" s="2" t="str">
        <f>IFERROR(__xludf.DUMMYFUNCTION("IF('From Order'!$A1400=COLUMNS($A1400:I1419), LEFT(INDEX(FILTER(I$1:I1399, I$1:I1399&lt;&gt;""""),COUNTA(FILTER(I$1:I1399, I$1:I1399&lt;&gt;""""))), LEN(INDEX(FILTER(I$1:I1399, I$1:I1399&lt;&gt;""""),COUNTA(FILTER(I$1:I1399, I$1:I1399&lt;&gt;""""))))-1), IF('To Order'!$A1400=COL"&amp;"UMNS($A1400:I1419), I1399&amp;RIGHT(INDIRECT(ADDRESS(ROW(I1400)-1, 'From Order'!$A1400)), 1), I1399))"),"")</f>
        <v/>
      </c>
    </row>
    <row r="1401">
      <c r="A1401" s="2" t="str">
        <f>IFERROR(__xludf.DUMMYFUNCTION("IF('From Order'!$A1401=COLUMNS($A1401:A1420), LEFT(INDEX(FILTER(A$1:A1400, A$1:A1400&lt;&gt;""""),COUNTA(FILTER(A$1:A1400, A$1:A1400&lt;&gt;""""))), LEN(INDEX(FILTER(A$1:A1400, A$1:A1400&lt;&gt;""""),COUNTA(FILTER(A$1:A1400, A$1:A1400&lt;&gt;""""))))-1), IF('To Order'!$A1401=COL"&amp;"UMNS($A1401:A1420), A1400&amp;RIGHT(INDIRECT(ADDRESS(ROW(A1401)-1, 'From Order'!$A1401)), 1), A1400))"),"JTBFMDJDSBGMT")</f>
        <v>JTBFMDJDSBGMT</v>
      </c>
      <c r="B1401" s="2" t="str">
        <f>IFERROR(__xludf.DUMMYFUNCTION("IF('From Order'!$A1401=COLUMNS($A1401:B1420), LEFT(INDEX(FILTER(B$1:B1400, B$1:B1400&lt;&gt;""""),COUNTA(FILTER(B$1:B1400, B$1:B1400&lt;&gt;""""))), LEN(INDEX(FILTER(B$1:B1400, B$1:B1400&lt;&gt;""""),COUNTA(FILTER(B$1:B1400, B$1:B1400&lt;&gt;""""))))-1), IF('To Order'!$A1401=COL"&amp;"UMNS($A1401:B1420), B1400&amp;RIGHT(INDIRECT(ADDRESS(ROW(B1401)-1, 'From Order'!$A1401)), 1), B1400))"),"RZ")</f>
        <v>RZ</v>
      </c>
      <c r="C1401" s="2" t="str">
        <f>IFERROR(__xludf.DUMMYFUNCTION("IF('From Order'!$A1401=COLUMNS($A1401:C1420), LEFT(INDEX(FILTER(C$1:C1400, C$1:C1400&lt;&gt;""""),COUNTA(FILTER(C$1:C1400, C$1:C1400&lt;&gt;""""))), LEN(INDEX(FILTER(C$1:C1400, C$1:C1400&lt;&gt;""""),COUNTA(FILTER(C$1:C1400, C$1:C1400&lt;&gt;""""))))-1), IF('To Order'!$A1401=COL"&amp;"UMNS($A1401:C1420), C1400&amp;RIGHT(INDIRECT(ADDRESS(ROW(C1401)-1, 'From Order'!$A1401)), 1), C1400))"),"TQVQJPPLD")</f>
        <v>TQVQJPPLD</v>
      </c>
      <c r="D1401" s="2" t="str">
        <f>IFERROR(__xludf.DUMMYFUNCTION("IF('From Order'!$A1401=COLUMNS($A1401:D1420), LEFT(INDEX(FILTER(D$1:D1400, D$1:D1400&lt;&gt;""""),COUNTA(FILTER(D$1:D1400, D$1:D1400&lt;&gt;""""))), LEN(INDEX(FILTER(D$1:D1400, D$1:D1400&lt;&gt;""""),COUNTA(FILTER(D$1:D1400, D$1:D1400&lt;&gt;""""))))-1), IF('To Order'!$A1401=COL"&amp;"UMNS($A1401:D1420), D1400&amp;RIGHT(INDIRECT(ADDRESS(ROW(D1401)-1, 'From Order'!$A1401)), 1), D1400))"),"")</f>
        <v/>
      </c>
      <c r="E1401" s="2" t="str">
        <f>IFERROR(__xludf.DUMMYFUNCTION("IF('From Order'!$A1401=COLUMNS($A1401:E1420), LEFT(INDEX(FILTER(E$1:E1400, E$1:E1400&lt;&gt;""""),COUNTA(FILTER(E$1:E1400, E$1:E1400&lt;&gt;""""))), LEN(INDEX(FILTER(E$1:E1400, E$1:E1400&lt;&gt;""""),COUNTA(FILTER(E$1:E1400, E$1:E1400&lt;&gt;""""))))-1), IF('To Order'!$A1401=COL"&amp;"UMNS($A1401:E1420), E1400&amp;RIGHT(INDIRECT(ADDRESS(ROW(E1401)-1, 'From Order'!$A1401)), 1), E1400))"),"HGSTDDLWP")</f>
        <v>HGSTDDLWP</v>
      </c>
      <c r="F1401" s="2" t="str">
        <f>IFERROR(__xludf.DUMMYFUNCTION("IF('From Order'!$A1401=COLUMNS($A1401:F1420), LEFT(INDEX(FILTER(F$1:F1400, F$1:F1400&lt;&gt;""""),COUNTA(FILTER(F$1:F1400, F$1:F1400&lt;&gt;""""))), LEN(INDEX(FILTER(F$1:F1400, F$1:F1400&lt;&gt;""""),COUNTA(FILTER(F$1:F1400, F$1:F1400&lt;&gt;""""))))-1), IF('To Order'!$A1401=COL"&amp;"UMNS($A1401:F1420), F1400&amp;RIGHT(INDIRECT(ADDRESS(ROW(F1401)-1, 'From Order'!$A1401)), 1), F1400))"),"ZRLBSTVFSCZ")</f>
        <v>ZRLBSTVFSCZ</v>
      </c>
      <c r="G1401" s="2" t="str">
        <f>IFERROR(__xludf.DUMMYFUNCTION("IF('From Order'!$A1401=COLUMNS($A1401:G1420), LEFT(INDEX(FILTER(G$1:G1400, G$1:G1400&lt;&gt;""""),COUNTA(FILTER(G$1:G1400, G$1:G1400&lt;&gt;""""))), LEN(INDEX(FILTER(G$1:G1400, G$1:G1400&lt;&gt;""""),COUNTA(FILTER(G$1:G1400, G$1:G1400&lt;&gt;""""))))-1), IF('To Order'!$A1401=COL"&amp;"UMNS($A1401:G1420), G1400&amp;RIGHT(INDIRECT(ADDRESS(ROW(G1401)-1, 'From Order'!$A1401)), 1), G1400))"),"WRMBVTCRCDRH")</f>
        <v>WRMBVTCRCDRH</v>
      </c>
      <c r="H1401" s="2" t="str">
        <f>IFERROR(__xludf.DUMMYFUNCTION("IF('From Order'!$A1401=COLUMNS($A1401:H1420), LEFT(INDEX(FILTER(H$1:H1400, H$1:H1400&lt;&gt;""""),COUNTA(FILTER(H$1:H1400, H$1:H1400&lt;&gt;""""))), LEN(INDEX(FILTER(H$1:H1400, H$1:H1400&lt;&gt;""""),COUNTA(FILTER(H$1:H1400, H$1:H1400&lt;&gt;""""))))-1), IF('To Order'!$A1401=COL"&amp;"UMNS($A1401:H1420), H1400&amp;RIGHT(INDIRECT(ADDRESS(ROW(H1401)-1, 'From Order'!$A1401)), 1), H1400))"),"")</f>
        <v/>
      </c>
      <c r="I1401" s="2" t="str">
        <f>IFERROR(__xludf.DUMMYFUNCTION("IF('From Order'!$A1401=COLUMNS($A1401:I1420), LEFT(INDEX(FILTER(I$1:I1400, I$1:I1400&lt;&gt;""""),COUNTA(FILTER(I$1:I1400, I$1:I1400&lt;&gt;""""))), LEN(INDEX(FILTER(I$1:I1400, I$1:I1400&lt;&gt;""""),COUNTA(FILTER(I$1:I1400, I$1:I1400&lt;&gt;""""))))-1), IF('To Order'!$A1401=COL"&amp;"UMNS($A1401:I1420), I1400&amp;RIGHT(INDIRECT(ADDRESS(ROW(I1401)-1, 'From Order'!$A1401)), 1), I1400))"),"")</f>
        <v/>
      </c>
    </row>
    <row r="1402">
      <c r="A1402" s="2" t="str">
        <f>IFERROR(__xludf.DUMMYFUNCTION("IF('From Order'!$A1402=COLUMNS($A1402:A1421), LEFT(INDEX(FILTER(A$1:A1401, A$1:A1401&lt;&gt;""""),COUNTA(FILTER(A$1:A1401, A$1:A1401&lt;&gt;""""))), LEN(INDEX(FILTER(A$1:A1401, A$1:A1401&lt;&gt;""""),COUNTA(FILTER(A$1:A1401, A$1:A1401&lt;&gt;""""))))-1), IF('To Order'!$A1402=COL"&amp;"UMNS($A1402:A1421), A1401&amp;RIGHT(INDIRECT(ADDRESS(ROW(A1402)-1, 'From Order'!$A1402)), 1), A1401))"),"JTBFMDJDSBGM")</f>
        <v>JTBFMDJDSBGM</v>
      </c>
      <c r="B1402" s="2" t="str">
        <f>IFERROR(__xludf.DUMMYFUNCTION("IF('From Order'!$A1402=COLUMNS($A1402:B1421), LEFT(INDEX(FILTER(B$1:B1401, B$1:B1401&lt;&gt;""""),COUNTA(FILTER(B$1:B1401, B$1:B1401&lt;&gt;""""))), LEN(INDEX(FILTER(B$1:B1401, B$1:B1401&lt;&gt;""""),COUNTA(FILTER(B$1:B1401, B$1:B1401&lt;&gt;""""))))-1), IF('To Order'!$A1402=COL"&amp;"UMNS($A1402:B1421), B1401&amp;RIGHT(INDIRECT(ADDRESS(ROW(B1402)-1, 'From Order'!$A1402)), 1), B1401))"),"RZ")</f>
        <v>RZ</v>
      </c>
      <c r="C1402" s="2" t="str">
        <f>IFERROR(__xludf.DUMMYFUNCTION("IF('From Order'!$A1402=COLUMNS($A1402:C1421), LEFT(INDEX(FILTER(C$1:C1401, C$1:C1401&lt;&gt;""""),COUNTA(FILTER(C$1:C1401, C$1:C1401&lt;&gt;""""))), LEN(INDEX(FILTER(C$1:C1401, C$1:C1401&lt;&gt;""""),COUNTA(FILTER(C$1:C1401, C$1:C1401&lt;&gt;""""))))-1), IF('To Order'!$A1402=COL"&amp;"UMNS($A1402:C1421), C1401&amp;RIGHT(INDIRECT(ADDRESS(ROW(C1402)-1, 'From Order'!$A1402)), 1), C1401))"),"TQVQJPPLDT")</f>
        <v>TQVQJPPLDT</v>
      </c>
      <c r="D1402" s="2" t="str">
        <f>IFERROR(__xludf.DUMMYFUNCTION("IF('From Order'!$A1402=COLUMNS($A1402:D1421), LEFT(INDEX(FILTER(D$1:D1401, D$1:D1401&lt;&gt;""""),COUNTA(FILTER(D$1:D1401, D$1:D1401&lt;&gt;""""))), LEN(INDEX(FILTER(D$1:D1401, D$1:D1401&lt;&gt;""""),COUNTA(FILTER(D$1:D1401, D$1:D1401&lt;&gt;""""))))-1), IF('To Order'!$A1402=COL"&amp;"UMNS($A1402:D1421), D1401&amp;RIGHT(INDIRECT(ADDRESS(ROW(D1402)-1, 'From Order'!$A1402)), 1), D1401))"),"")</f>
        <v/>
      </c>
      <c r="E1402" s="2" t="str">
        <f>IFERROR(__xludf.DUMMYFUNCTION("IF('From Order'!$A1402=COLUMNS($A1402:E1421), LEFT(INDEX(FILTER(E$1:E1401, E$1:E1401&lt;&gt;""""),COUNTA(FILTER(E$1:E1401, E$1:E1401&lt;&gt;""""))), LEN(INDEX(FILTER(E$1:E1401, E$1:E1401&lt;&gt;""""),COUNTA(FILTER(E$1:E1401, E$1:E1401&lt;&gt;""""))))-1), IF('To Order'!$A1402=COL"&amp;"UMNS($A1402:E1421), E1401&amp;RIGHT(INDIRECT(ADDRESS(ROW(E1402)-1, 'From Order'!$A1402)), 1), E1401))"),"HGSTDDLWP")</f>
        <v>HGSTDDLWP</v>
      </c>
      <c r="F1402" s="2" t="str">
        <f>IFERROR(__xludf.DUMMYFUNCTION("IF('From Order'!$A1402=COLUMNS($A1402:F1421), LEFT(INDEX(FILTER(F$1:F1401, F$1:F1401&lt;&gt;""""),COUNTA(FILTER(F$1:F1401, F$1:F1401&lt;&gt;""""))), LEN(INDEX(FILTER(F$1:F1401, F$1:F1401&lt;&gt;""""),COUNTA(FILTER(F$1:F1401, F$1:F1401&lt;&gt;""""))))-1), IF('To Order'!$A1402=COL"&amp;"UMNS($A1402:F1421), F1401&amp;RIGHT(INDIRECT(ADDRESS(ROW(F1402)-1, 'From Order'!$A1402)), 1), F1401))"),"ZRLBSTVFSCZ")</f>
        <v>ZRLBSTVFSCZ</v>
      </c>
      <c r="G1402" s="2" t="str">
        <f>IFERROR(__xludf.DUMMYFUNCTION("IF('From Order'!$A1402=COLUMNS($A1402:G1421), LEFT(INDEX(FILTER(G$1:G1401, G$1:G1401&lt;&gt;""""),COUNTA(FILTER(G$1:G1401, G$1:G1401&lt;&gt;""""))), LEN(INDEX(FILTER(G$1:G1401, G$1:G1401&lt;&gt;""""),COUNTA(FILTER(G$1:G1401, G$1:G1401&lt;&gt;""""))))-1), IF('To Order'!$A1402=COL"&amp;"UMNS($A1402:G1421), G1401&amp;RIGHT(INDIRECT(ADDRESS(ROW(G1402)-1, 'From Order'!$A1402)), 1), G1401))"),"WRMBVTCRCDRH")</f>
        <v>WRMBVTCRCDRH</v>
      </c>
      <c r="H1402" s="2" t="str">
        <f>IFERROR(__xludf.DUMMYFUNCTION("IF('From Order'!$A1402=COLUMNS($A1402:H1421), LEFT(INDEX(FILTER(H$1:H1401, H$1:H1401&lt;&gt;""""),COUNTA(FILTER(H$1:H1401, H$1:H1401&lt;&gt;""""))), LEN(INDEX(FILTER(H$1:H1401, H$1:H1401&lt;&gt;""""),COUNTA(FILTER(H$1:H1401, H$1:H1401&lt;&gt;""""))))-1), IF('To Order'!$A1402=COL"&amp;"UMNS($A1402:H1421), H1401&amp;RIGHT(INDIRECT(ADDRESS(ROW(H1402)-1, 'From Order'!$A1402)), 1), H1401))"),"")</f>
        <v/>
      </c>
      <c r="I1402" s="2" t="str">
        <f>IFERROR(__xludf.DUMMYFUNCTION("IF('From Order'!$A1402=COLUMNS($A1402:I1421), LEFT(INDEX(FILTER(I$1:I1401, I$1:I1401&lt;&gt;""""),COUNTA(FILTER(I$1:I1401, I$1:I1401&lt;&gt;""""))), LEN(INDEX(FILTER(I$1:I1401, I$1:I1401&lt;&gt;""""),COUNTA(FILTER(I$1:I1401, I$1:I1401&lt;&gt;""""))))-1), IF('To Order'!$A1402=COL"&amp;"UMNS($A1402:I1421), I1401&amp;RIGHT(INDIRECT(ADDRESS(ROW(I1402)-1, 'From Order'!$A1402)), 1), I1401))"),"")</f>
        <v/>
      </c>
    </row>
    <row r="1403">
      <c r="A1403" s="2" t="str">
        <f>IFERROR(__xludf.DUMMYFUNCTION("IF('From Order'!$A1403=COLUMNS($A1403:A1422), LEFT(INDEX(FILTER(A$1:A1402, A$1:A1402&lt;&gt;""""),COUNTA(FILTER(A$1:A1402, A$1:A1402&lt;&gt;""""))), LEN(INDEX(FILTER(A$1:A1402, A$1:A1402&lt;&gt;""""),COUNTA(FILTER(A$1:A1402, A$1:A1402&lt;&gt;""""))))-1), IF('To Order'!$A1403=COL"&amp;"UMNS($A1403:A1422), A1402&amp;RIGHT(INDIRECT(ADDRESS(ROW(A1403)-1, 'From Order'!$A1403)), 1), A1402))"),"JTBFMDJDSBG")</f>
        <v>JTBFMDJDSBG</v>
      </c>
      <c r="B1403" s="2" t="str">
        <f>IFERROR(__xludf.DUMMYFUNCTION("IF('From Order'!$A1403=COLUMNS($A1403:B1422), LEFT(INDEX(FILTER(B$1:B1402, B$1:B1402&lt;&gt;""""),COUNTA(FILTER(B$1:B1402, B$1:B1402&lt;&gt;""""))), LEN(INDEX(FILTER(B$1:B1402, B$1:B1402&lt;&gt;""""),COUNTA(FILTER(B$1:B1402, B$1:B1402&lt;&gt;""""))))-1), IF('To Order'!$A1403=COL"&amp;"UMNS($A1403:B1422), B1402&amp;RIGHT(INDIRECT(ADDRESS(ROW(B1403)-1, 'From Order'!$A1403)), 1), B1402))"),"RZ")</f>
        <v>RZ</v>
      </c>
      <c r="C1403" s="2" t="str">
        <f>IFERROR(__xludf.DUMMYFUNCTION("IF('From Order'!$A1403=COLUMNS($A1403:C1422), LEFT(INDEX(FILTER(C$1:C1402, C$1:C1402&lt;&gt;""""),COUNTA(FILTER(C$1:C1402, C$1:C1402&lt;&gt;""""))), LEN(INDEX(FILTER(C$1:C1402, C$1:C1402&lt;&gt;""""),COUNTA(FILTER(C$1:C1402, C$1:C1402&lt;&gt;""""))))-1), IF('To Order'!$A1403=COL"&amp;"UMNS($A1403:C1422), C1402&amp;RIGHT(INDIRECT(ADDRESS(ROW(C1403)-1, 'From Order'!$A1403)), 1), C1402))"),"TQVQJPPLDTM")</f>
        <v>TQVQJPPLDTM</v>
      </c>
      <c r="D1403" s="2" t="str">
        <f>IFERROR(__xludf.DUMMYFUNCTION("IF('From Order'!$A1403=COLUMNS($A1403:D1422), LEFT(INDEX(FILTER(D$1:D1402, D$1:D1402&lt;&gt;""""),COUNTA(FILTER(D$1:D1402, D$1:D1402&lt;&gt;""""))), LEN(INDEX(FILTER(D$1:D1402, D$1:D1402&lt;&gt;""""),COUNTA(FILTER(D$1:D1402, D$1:D1402&lt;&gt;""""))))-1), IF('To Order'!$A1403=COL"&amp;"UMNS($A1403:D1422), D1402&amp;RIGHT(INDIRECT(ADDRESS(ROW(D1403)-1, 'From Order'!$A1403)), 1), D1402))"),"")</f>
        <v/>
      </c>
      <c r="E1403" s="2" t="str">
        <f>IFERROR(__xludf.DUMMYFUNCTION("IF('From Order'!$A1403=COLUMNS($A1403:E1422), LEFT(INDEX(FILTER(E$1:E1402, E$1:E1402&lt;&gt;""""),COUNTA(FILTER(E$1:E1402, E$1:E1402&lt;&gt;""""))), LEN(INDEX(FILTER(E$1:E1402, E$1:E1402&lt;&gt;""""),COUNTA(FILTER(E$1:E1402, E$1:E1402&lt;&gt;""""))))-1), IF('To Order'!$A1403=COL"&amp;"UMNS($A1403:E1422), E1402&amp;RIGHT(INDIRECT(ADDRESS(ROW(E1403)-1, 'From Order'!$A1403)), 1), E1402))"),"HGSTDDLWP")</f>
        <v>HGSTDDLWP</v>
      </c>
      <c r="F1403" s="2" t="str">
        <f>IFERROR(__xludf.DUMMYFUNCTION("IF('From Order'!$A1403=COLUMNS($A1403:F1422), LEFT(INDEX(FILTER(F$1:F1402, F$1:F1402&lt;&gt;""""),COUNTA(FILTER(F$1:F1402, F$1:F1402&lt;&gt;""""))), LEN(INDEX(FILTER(F$1:F1402, F$1:F1402&lt;&gt;""""),COUNTA(FILTER(F$1:F1402, F$1:F1402&lt;&gt;""""))))-1), IF('To Order'!$A1403=COL"&amp;"UMNS($A1403:F1422), F1402&amp;RIGHT(INDIRECT(ADDRESS(ROW(F1403)-1, 'From Order'!$A1403)), 1), F1402))"),"ZRLBSTVFSCZ")</f>
        <v>ZRLBSTVFSCZ</v>
      </c>
      <c r="G1403" s="2" t="str">
        <f>IFERROR(__xludf.DUMMYFUNCTION("IF('From Order'!$A1403=COLUMNS($A1403:G1422), LEFT(INDEX(FILTER(G$1:G1402, G$1:G1402&lt;&gt;""""),COUNTA(FILTER(G$1:G1402, G$1:G1402&lt;&gt;""""))), LEN(INDEX(FILTER(G$1:G1402, G$1:G1402&lt;&gt;""""),COUNTA(FILTER(G$1:G1402, G$1:G1402&lt;&gt;""""))))-1), IF('To Order'!$A1403=COL"&amp;"UMNS($A1403:G1422), G1402&amp;RIGHT(INDIRECT(ADDRESS(ROW(G1403)-1, 'From Order'!$A1403)), 1), G1402))"),"WRMBVTCRCDRH")</f>
        <v>WRMBVTCRCDRH</v>
      </c>
      <c r="H1403" s="2" t="str">
        <f>IFERROR(__xludf.DUMMYFUNCTION("IF('From Order'!$A1403=COLUMNS($A1403:H1422), LEFT(INDEX(FILTER(H$1:H1402, H$1:H1402&lt;&gt;""""),COUNTA(FILTER(H$1:H1402, H$1:H1402&lt;&gt;""""))), LEN(INDEX(FILTER(H$1:H1402, H$1:H1402&lt;&gt;""""),COUNTA(FILTER(H$1:H1402, H$1:H1402&lt;&gt;""""))))-1), IF('To Order'!$A1403=COL"&amp;"UMNS($A1403:H1422), H1402&amp;RIGHT(INDIRECT(ADDRESS(ROW(H1403)-1, 'From Order'!$A1403)), 1), H1402))"),"")</f>
        <v/>
      </c>
      <c r="I1403" s="2" t="str">
        <f>IFERROR(__xludf.DUMMYFUNCTION("IF('From Order'!$A1403=COLUMNS($A1403:I1422), LEFT(INDEX(FILTER(I$1:I1402, I$1:I1402&lt;&gt;""""),COUNTA(FILTER(I$1:I1402, I$1:I1402&lt;&gt;""""))), LEN(INDEX(FILTER(I$1:I1402, I$1:I1402&lt;&gt;""""),COUNTA(FILTER(I$1:I1402, I$1:I1402&lt;&gt;""""))))-1), IF('To Order'!$A1403=COL"&amp;"UMNS($A1403:I1422), I1402&amp;RIGHT(INDIRECT(ADDRESS(ROW(I1403)-1, 'From Order'!$A1403)), 1), I1402))"),"")</f>
        <v/>
      </c>
    </row>
    <row r="1404">
      <c r="A1404" s="2" t="str">
        <f>IFERROR(__xludf.DUMMYFUNCTION("IF('From Order'!$A1404=COLUMNS($A1404:A1423), LEFT(INDEX(FILTER(A$1:A1403, A$1:A1403&lt;&gt;""""),COUNTA(FILTER(A$1:A1403, A$1:A1403&lt;&gt;""""))), LEN(INDEX(FILTER(A$1:A1403, A$1:A1403&lt;&gt;""""),COUNTA(FILTER(A$1:A1403, A$1:A1403&lt;&gt;""""))))-1), IF('To Order'!$A1404=COL"&amp;"UMNS($A1404:A1423), A1403&amp;RIGHT(INDIRECT(ADDRESS(ROW(A1404)-1, 'From Order'!$A1404)), 1), A1403))"),"JTBFMDJDSB")</f>
        <v>JTBFMDJDSB</v>
      </c>
      <c r="B1404" s="2" t="str">
        <f>IFERROR(__xludf.DUMMYFUNCTION("IF('From Order'!$A1404=COLUMNS($A1404:B1423), LEFT(INDEX(FILTER(B$1:B1403, B$1:B1403&lt;&gt;""""),COUNTA(FILTER(B$1:B1403, B$1:B1403&lt;&gt;""""))), LEN(INDEX(FILTER(B$1:B1403, B$1:B1403&lt;&gt;""""),COUNTA(FILTER(B$1:B1403, B$1:B1403&lt;&gt;""""))))-1), IF('To Order'!$A1404=COL"&amp;"UMNS($A1404:B1423), B1403&amp;RIGHT(INDIRECT(ADDRESS(ROW(B1404)-1, 'From Order'!$A1404)), 1), B1403))"),"RZ")</f>
        <v>RZ</v>
      </c>
      <c r="C1404" s="2" t="str">
        <f>IFERROR(__xludf.DUMMYFUNCTION("IF('From Order'!$A1404=COLUMNS($A1404:C1423), LEFT(INDEX(FILTER(C$1:C1403, C$1:C1403&lt;&gt;""""),COUNTA(FILTER(C$1:C1403, C$1:C1403&lt;&gt;""""))), LEN(INDEX(FILTER(C$1:C1403, C$1:C1403&lt;&gt;""""),COUNTA(FILTER(C$1:C1403, C$1:C1403&lt;&gt;""""))))-1), IF('To Order'!$A1404=COL"&amp;"UMNS($A1404:C1423), C1403&amp;RIGHT(INDIRECT(ADDRESS(ROW(C1404)-1, 'From Order'!$A1404)), 1), C1403))"),"TQVQJPPLDTMG")</f>
        <v>TQVQJPPLDTMG</v>
      </c>
      <c r="D1404" s="2" t="str">
        <f>IFERROR(__xludf.DUMMYFUNCTION("IF('From Order'!$A1404=COLUMNS($A1404:D1423), LEFT(INDEX(FILTER(D$1:D1403, D$1:D1403&lt;&gt;""""),COUNTA(FILTER(D$1:D1403, D$1:D1403&lt;&gt;""""))), LEN(INDEX(FILTER(D$1:D1403, D$1:D1403&lt;&gt;""""),COUNTA(FILTER(D$1:D1403, D$1:D1403&lt;&gt;""""))))-1), IF('To Order'!$A1404=COL"&amp;"UMNS($A1404:D1423), D1403&amp;RIGHT(INDIRECT(ADDRESS(ROW(D1404)-1, 'From Order'!$A1404)), 1), D1403))"),"")</f>
        <v/>
      </c>
      <c r="E1404" s="2" t="str">
        <f>IFERROR(__xludf.DUMMYFUNCTION("IF('From Order'!$A1404=COLUMNS($A1404:E1423), LEFT(INDEX(FILTER(E$1:E1403, E$1:E1403&lt;&gt;""""),COUNTA(FILTER(E$1:E1403, E$1:E1403&lt;&gt;""""))), LEN(INDEX(FILTER(E$1:E1403, E$1:E1403&lt;&gt;""""),COUNTA(FILTER(E$1:E1403, E$1:E1403&lt;&gt;""""))))-1), IF('To Order'!$A1404=COL"&amp;"UMNS($A1404:E1423), E1403&amp;RIGHT(INDIRECT(ADDRESS(ROW(E1404)-1, 'From Order'!$A1404)), 1), E1403))"),"HGSTDDLWP")</f>
        <v>HGSTDDLWP</v>
      </c>
      <c r="F1404" s="2" t="str">
        <f>IFERROR(__xludf.DUMMYFUNCTION("IF('From Order'!$A1404=COLUMNS($A1404:F1423), LEFT(INDEX(FILTER(F$1:F1403, F$1:F1403&lt;&gt;""""),COUNTA(FILTER(F$1:F1403, F$1:F1403&lt;&gt;""""))), LEN(INDEX(FILTER(F$1:F1403, F$1:F1403&lt;&gt;""""),COUNTA(FILTER(F$1:F1403, F$1:F1403&lt;&gt;""""))))-1), IF('To Order'!$A1404=COL"&amp;"UMNS($A1404:F1423), F1403&amp;RIGHT(INDIRECT(ADDRESS(ROW(F1404)-1, 'From Order'!$A1404)), 1), F1403))"),"ZRLBSTVFSCZ")</f>
        <v>ZRLBSTVFSCZ</v>
      </c>
      <c r="G1404" s="2" t="str">
        <f>IFERROR(__xludf.DUMMYFUNCTION("IF('From Order'!$A1404=COLUMNS($A1404:G1423), LEFT(INDEX(FILTER(G$1:G1403, G$1:G1403&lt;&gt;""""),COUNTA(FILTER(G$1:G1403, G$1:G1403&lt;&gt;""""))), LEN(INDEX(FILTER(G$1:G1403, G$1:G1403&lt;&gt;""""),COUNTA(FILTER(G$1:G1403, G$1:G1403&lt;&gt;""""))))-1), IF('To Order'!$A1404=COL"&amp;"UMNS($A1404:G1423), G1403&amp;RIGHT(INDIRECT(ADDRESS(ROW(G1404)-1, 'From Order'!$A1404)), 1), G1403))"),"WRMBVTCRCDRH")</f>
        <v>WRMBVTCRCDRH</v>
      </c>
      <c r="H1404" s="2" t="str">
        <f>IFERROR(__xludf.DUMMYFUNCTION("IF('From Order'!$A1404=COLUMNS($A1404:H1423), LEFT(INDEX(FILTER(H$1:H1403, H$1:H1403&lt;&gt;""""),COUNTA(FILTER(H$1:H1403, H$1:H1403&lt;&gt;""""))), LEN(INDEX(FILTER(H$1:H1403, H$1:H1403&lt;&gt;""""),COUNTA(FILTER(H$1:H1403, H$1:H1403&lt;&gt;""""))))-1), IF('To Order'!$A1404=COL"&amp;"UMNS($A1404:H1423), H1403&amp;RIGHT(INDIRECT(ADDRESS(ROW(H1404)-1, 'From Order'!$A1404)), 1), H1403))"),"")</f>
        <v/>
      </c>
      <c r="I1404" s="2" t="str">
        <f>IFERROR(__xludf.DUMMYFUNCTION("IF('From Order'!$A1404=COLUMNS($A1404:I1423), LEFT(INDEX(FILTER(I$1:I1403, I$1:I1403&lt;&gt;""""),COUNTA(FILTER(I$1:I1403, I$1:I1403&lt;&gt;""""))), LEN(INDEX(FILTER(I$1:I1403, I$1:I1403&lt;&gt;""""),COUNTA(FILTER(I$1:I1403, I$1:I1403&lt;&gt;""""))))-1), IF('To Order'!$A1404=COL"&amp;"UMNS($A1404:I1423), I1403&amp;RIGHT(INDIRECT(ADDRESS(ROW(I1404)-1, 'From Order'!$A1404)), 1), I1403))"),"")</f>
        <v/>
      </c>
    </row>
    <row r="1405">
      <c r="A1405" s="2" t="str">
        <f>IFERROR(__xludf.DUMMYFUNCTION("IF('From Order'!$A1405=COLUMNS($A1405:A1424), LEFT(INDEX(FILTER(A$1:A1404, A$1:A1404&lt;&gt;""""),COUNTA(FILTER(A$1:A1404, A$1:A1404&lt;&gt;""""))), LEN(INDEX(FILTER(A$1:A1404, A$1:A1404&lt;&gt;""""),COUNTA(FILTER(A$1:A1404, A$1:A1404&lt;&gt;""""))))-1), IF('To Order'!$A1405=COL"&amp;"UMNS($A1405:A1424), A1404&amp;RIGHT(INDIRECT(ADDRESS(ROW(A1405)-1, 'From Order'!$A1405)), 1), A1404))"),"JTBFMDJDS")</f>
        <v>JTBFMDJDS</v>
      </c>
      <c r="B1405" s="2" t="str">
        <f>IFERROR(__xludf.DUMMYFUNCTION("IF('From Order'!$A1405=COLUMNS($A1405:B1424), LEFT(INDEX(FILTER(B$1:B1404, B$1:B1404&lt;&gt;""""),COUNTA(FILTER(B$1:B1404, B$1:B1404&lt;&gt;""""))), LEN(INDEX(FILTER(B$1:B1404, B$1:B1404&lt;&gt;""""),COUNTA(FILTER(B$1:B1404, B$1:B1404&lt;&gt;""""))))-1), IF('To Order'!$A1405=COL"&amp;"UMNS($A1405:B1424), B1404&amp;RIGHT(INDIRECT(ADDRESS(ROW(B1405)-1, 'From Order'!$A1405)), 1), B1404))"),"RZ")</f>
        <v>RZ</v>
      </c>
      <c r="C1405" s="2" t="str">
        <f>IFERROR(__xludf.DUMMYFUNCTION("IF('From Order'!$A1405=COLUMNS($A1405:C1424), LEFT(INDEX(FILTER(C$1:C1404, C$1:C1404&lt;&gt;""""),COUNTA(FILTER(C$1:C1404, C$1:C1404&lt;&gt;""""))), LEN(INDEX(FILTER(C$1:C1404, C$1:C1404&lt;&gt;""""),COUNTA(FILTER(C$1:C1404, C$1:C1404&lt;&gt;""""))))-1), IF('To Order'!$A1405=COL"&amp;"UMNS($A1405:C1424), C1404&amp;RIGHT(INDIRECT(ADDRESS(ROW(C1405)-1, 'From Order'!$A1405)), 1), C1404))"),"TQVQJPPLDTMGB")</f>
        <v>TQVQJPPLDTMGB</v>
      </c>
      <c r="D1405" s="2" t="str">
        <f>IFERROR(__xludf.DUMMYFUNCTION("IF('From Order'!$A1405=COLUMNS($A1405:D1424), LEFT(INDEX(FILTER(D$1:D1404, D$1:D1404&lt;&gt;""""),COUNTA(FILTER(D$1:D1404, D$1:D1404&lt;&gt;""""))), LEN(INDEX(FILTER(D$1:D1404, D$1:D1404&lt;&gt;""""),COUNTA(FILTER(D$1:D1404, D$1:D1404&lt;&gt;""""))))-1), IF('To Order'!$A1405=COL"&amp;"UMNS($A1405:D1424), D1404&amp;RIGHT(INDIRECT(ADDRESS(ROW(D1405)-1, 'From Order'!$A1405)), 1), D1404))"),"")</f>
        <v/>
      </c>
      <c r="E1405" s="2" t="str">
        <f>IFERROR(__xludf.DUMMYFUNCTION("IF('From Order'!$A1405=COLUMNS($A1405:E1424), LEFT(INDEX(FILTER(E$1:E1404, E$1:E1404&lt;&gt;""""),COUNTA(FILTER(E$1:E1404, E$1:E1404&lt;&gt;""""))), LEN(INDEX(FILTER(E$1:E1404, E$1:E1404&lt;&gt;""""),COUNTA(FILTER(E$1:E1404, E$1:E1404&lt;&gt;""""))))-1), IF('To Order'!$A1405=COL"&amp;"UMNS($A1405:E1424), E1404&amp;RIGHT(INDIRECT(ADDRESS(ROW(E1405)-1, 'From Order'!$A1405)), 1), E1404))"),"HGSTDDLWP")</f>
        <v>HGSTDDLWP</v>
      </c>
      <c r="F1405" s="2" t="str">
        <f>IFERROR(__xludf.DUMMYFUNCTION("IF('From Order'!$A1405=COLUMNS($A1405:F1424), LEFT(INDEX(FILTER(F$1:F1404, F$1:F1404&lt;&gt;""""),COUNTA(FILTER(F$1:F1404, F$1:F1404&lt;&gt;""""))), LEN(INDEX(FILTER(F$1:F1404, F$1:F1404&lt;&gt;""""),COUNTA(FILTER(F$1:F1404, F$1:F1404&lt;&gt;""""))))-1), IF('To Order'!$A1405=COL"&amp;"UMNS($A1405:F1424), F1404&amp;RIGHT(INDIRECT(ADDRESS(ROW(F1405)-1, 'From Order'!$A1405)), 1), F1404))"),"ZRLBSTVFSCZ")</f>
        <v>ZRLBSTVFSCZ</v>
      </c>
      <c r="G1405" s="2" t="str">
        <f>IFERROR(__xludf.DUMMYFUNCTION("IF('From Order'!$A1405=COLUMNS($A1405:G1424), LEFT(INDEX(FILTER(G$1:G1404, G$1:G1404&lt;&gt;""""),COUNTA(FILTER(G$1:G1404, G$1:G1404&lt;&gt;""""))), LEN(INDEX(FILTER(G$1:G1404, G$1:G1404&lt;&gt;""""),COUNTA(FILTER(G$1:G1404, G$1:G1404&lt;&gt;""""))))-1), IF('To Order'!$A1405=COL"&amp;"UMNS($A1405:G1424), G1404&amp;RIGHT(INDIRECT(ADDRESS(ROW(G1405)-1, 'From Order'!$A1405)), 1), G1404))"),"WRMBVTCRCDRH")</f>
        <v>WRMBVTCRCDRH</v>
      </c>
      <c r="H1405" s="2" t="str">
        <f>IFERROR(__xludf.DUMMYFUNCTION("IF('From Order'!$A1405=COLUMNS($A1405:H1424), LEFT(INDEX(FILTER(H$1:H1404, H$1:H1404&lt;&gt;""""),COUNTA(FILTER(H$1:H1404, H$1:H1404&lt;&gt;""""))), LEN(INDEX(FILTER(H$1:H1404, H$1:H1404&lt;&gt;""""),COUNTA(FILTER(H$1:H1404, H$1:H1404&lt;&gt;""""))))-1), IF('To Order'!$A1405=COL"&amp;"UMNS($A1405:H1424), H1404&amp;RIGHT(INDIRECT(ADDRESS(ROW(H1405)-1, 'From Order'!$A1405)), 1), H1404))"),"")</f>
        <v/>
      </c>
      <c r="I1405" s="2" t="str">
        <f>IFERROR(__xludf.DUMMYFUNCTION("IF('From Order'!$A1405=COLUMNS($A1405:I1424), LEFT(INDEX(FILTER(I$1:I1404, I$1:I1404&lt;&gt;""""),COUNTA(FILTER(I$1:I1404, I$1:I1404&lt;&gt;""""))), LEN(INDEX(FILTER(I$1:I1404, I$1:I1404&lt;&gt;""""),COUNTA(FILTER(I$1:I1404, I$1:I1404&lt;&gt;""""))))-1), IF('To Order'!$A1405=COL"&amp;"UMNS($A1405:I1424), I1404&amp;RIGHT(INDIRECT(ADDRESS(ROW(I1405)-1, 'From Order'!$A1405)), 1), I1404))"),"")</f>
        <v/>
      </c>
    </row>
    <row r="1406">
      <c r="A1406" s="2" t="str">
        <f>IFERROR(__xludf.DUMMYFUNCTION("IF('From Order'!$A1406=COLUMNS($A1406:A1425), LEFT(INDEX(FILTER(A$1:A1405, A$1:A1405&lt;&gt;""""),COUNTA(FILTER(A$1:A1405, A$1:A1405&lt;&gt;""""))), LEN(INDEX(FILTER(A$1:A1405, A$1:A1405&lt;&gt;""""),COUNTA(FILTER(A$1:A1405, A$1:A1405&lt;&gt;""""))))-1), IF('To Order'!$A1406=COL"&amp;"UMNS($A1406:A1425), A1405&amp;RIGHT(INDIRECT(ADDRESS(ROW(A1406)-1, 'From Order'!$A1406)), 1), A1405))"),"JTBFMDJD")</f>
        <v>JTBFMDJD</v>
      </c>
      <c r="B1406" s="2" t="str">
        <f>IFERROR(__xludf.DUMMYFUNCTION("IF('From Order'!$A1406=COLUMNS($A1406:B1425), LEFT(INDEX(FILTER(B$1:B1405, B$1:B1405&lt;&gt;""""),COUNTA(FILTER(B$1:B1405, B$1:B1405&lt;&gt;""""))), LEN(INDEX(FILTER(B$1:B1405, B$1:B1405&lt;&gt;""""),COUNTA(FILTER(B$1:B1405, B$1:B1405&lt;&gt;""""))))-1), IF('To Order'!$A1406=COL"&amp;"UMNS($A1406:B1425), B1405&amp;RIGHT(INDIRECT(ADDRESS(ROW(B1406)-1, 'From Order'!$A1406)), 1), B1405))"),"RZ")</f>
        <v>RZ</v>
      </c>
      <c r="C1406" s="2" t="str">
        <f>IFERROR(__xludf.DUMMYFUNCTION("IF('From Order'!$A1406=COLUMNS($A1406:C1425), LEFT(INDEX(FILTER(C$1:C1405, C$1:C1405&lt;&gt;""""),COUNTA(FILTER(C$1:C1405, C$1:C1405&lt;&gt;""""))), LEN(INDEX(FILTER(C$1:C1405, C$1:C1405&lt;&gt;""""),COUNTA(FILTER(C$1:C1405, C$1:C1405&lt;&gt;""""))))-1), IF('To Order'!$A1406=COL"&amp;"UMNS($A1406:C1425), C1405&amp;RIGHT(INDIRECT(ADDRESS(ROW(C1406)-1, 'From Order'!$A1406)), 1), C1405))"),"TQVQJPPLDTMGBS")</f>
        <v>TQVQJPPLDTMGBS</v>
      </c>
      <c r="D1406" s="2" t="str">
        <f>IFERROR(__xludf.DUMMYFUNCTION("IF('From Order'!$A1406=COLUMNS($A1406:D1425), LEFT(INDEX(FILTER(D$1:D1405, D$1:D1405&lt;&gt;""""),COUNTA(FILTER(D$1:D1405, D$1:D1405&lt;&gt;""""))), LEN(INDEX(FILTER(D$1:D1405, D$1:D1405&lt;&gt;""""),COUNTA(FILTER(D$1:D1405, D$1:D1405&lt;&gt;""""))))-1), IF('To Order'!$A1406=COL"&amp;"UMNS($A1406:D1425), D1405&amp;RIGHT(INDIRECT(ADDRESS(ROW(D1406)-1, 'From Order'!$A1406)), 1), D1405))"),"")</f>
        <v/>
      </c>
      <c r="E1406" s="2" t="str">
        <f>IFERROR(__xludf.DUMMYFUNCTION("IF('From Order'!$A1406=COLUMNS($A1406:E1425), LEFT(INDEX(FILTER(E$1:E1405, E$1:E1405&lt;&gt;""""),COUNTA(FILTER(E$1:E1405, E$1:E1405&lt;&gt;""""))), LEN(INDEX(FILTER(E$1:E1405, E$1:E1405&lt;&gt;""""),COUNTA(FILTER(E$1:E1405, E$1:E1405&lt;&gt;""""))))-1), IF('To Order'!$A1406=COL"&amp;"UMNS($A1406:E1425), E1405&amp;RIGHT(INDIRECT(ADDRESS(ROW(E1406)-1, 'From Order'!$A1406)), 1), E1405))"),"HGSTDDLWP")</f>
        <v>HGSTDDLWP</v>
      </c>
      <c r="F1406" s="2" t="str">
        <f>IFERROR(__xludf.DUMMYFUNCTION("IF('From Order'!$A1406=COLUMNS($A1406:F1425), LEFT(INDEX(FILTER(F$1:F1405, F$1:F1405&lt;&gt;""""),COUNTA(FILTER(F$1:F1405, F$1:F1405&lt;&gt;""""))), LEN(INDEX(FILTER(F$1:F1405, F$1:F1405&lt;&gt;""""),COUNTA(FILTER(F$1:F1405, F$1:F1405&lt;&gt;""""))))-1), IF('To Order'!$A1406=COL"&amp;"UMNS($A1406:F1425), F1405&amp;RIGHT(INDIRECT(ADDRESS(ROW(F1406)-1, 'From Order'!$A1406)), 1), F1405))"),"ZRLBSTVFSCZ")</f>
        <v>ZRLBSTVFSCZ</v>
      </c>
      <c r="G1406" s="2" t="str">
        <f>IFERROR(__xludf.DUMMYFUNCTION("IF('From Order'!$A1406=COLUMNS($A1406:G1425), LEFT(INDEX(FILTER(G$1:G1405, G$1:G1405&lt;&gt;""""),COUNTA(FILTER(G$1:G1405, G$1:G1405&lt;&gt;""""))), LEN(INDEX(FILTER(G$1:G1405, G$1:G1405&lt;&gt;""""),COUNTA(FILTER(G$1:G1405, G$1:G1405&lt;&gt;""""))))-1), IF('To Order'!$A1406=COL"&amp;"UMNS($A1406:G1425), G1405&amp;RIGHT(INDIRECT(ADDRESS(ROW(G1406)-1, 'From Order'!$A1406)), 1), G1405))"),"WRMBVTCRCDRH")</f>
        <v>WRMBVTCRCDRH</v>
      </c>
      <c r="H1406" s="2" t="str">
        <f>IFERROR(__xludf.DUMMYFUNCTION("IF('From Order'!$A1406=COLUMNS($A1406:H1425), LEFT(INDEX(FILTER(H$1:H1405, H$1:H1405&lt;&gt;""""),COUNTA(FILTER(H$1:H1405, H$1:H1405&lt;&gt;""""))), LEN(INDEX(FILTER(H$1:H1405, H$1:H1405&lt;&gt;""""),COUNTA(FILTER(H$1:H1405, H$1:H1405&lt;&gt;""""))))-1), IF('To Order'!$A1406=COL"&amp;"UMNS($A1406:H1425), H1405&amp;RIGHT(INDIRECT(ADDRESS(ROW(H1406)-1, 'From Order'!$A1406)), 1), H1405))"),"")</f>
        <v/>
      </c>
      <c r="I1406" s="2" t="str">
        <f>IFERROR(__xludf.DUMMYFUNCTION("IF('From Order'!$A1406=COLUMNS($A1406:I1425), LEFT(INDEX(FILTER(I$1:I1405, I$1:I1405&lt;&gt;""""),COUNTA(FILTER(I$1:I1405, I$1:I1405&lt;&gt;""""))), LEN(INDEX(FILTER(I$1:I1405, I$1:I1405&lt;&gt;""""),COUNTA(FILTER(I$1:I1405, I$1:I1405&lt;&gt;""""))))-1), IF('To Order'!$A1406=COL"&amp;"UMNS($A1406:I1425), I1405&amp;RIGHT(INDIRECT(ADDRESS(ROW(I1406)-1, 'From Order'!$A1406)), 1), I1405))"),"")</f>
        <v/>
      </c>
    </row>
    <row r="1407">
      <c r="A1407" s="2" t="str">
        <f>IFERROR(__xludf.DUMMYFUNCTION("IF('From Order'!$A1407=COLUMNS($A1407:A1426), LEFT(INDEX(FILTER(A$1:A1406, A$1:A1406&lt;&gt;""""),COUNTA(FILTER(A$1:A1406, A$1:A1406&lt;&gt;""""))), LEN(INDEX(FILTER(A$1:A1406, A$1:A1406&lt;&gt;""""),COUNTA(FILTER(A$1:A1406, A$1:A1406&lt;&gt;""""))))-1), IF('To Order'!$A1407=COL"&amp;"UMNS($A1407:A1426), A1406&amp;RIGHT(INDIRECT(ADDRESS(ROW(A1407)-1, 'From Order'!$A1407)), 1), A1406))"),"JTBFMDJ")</f>
        <v>JTBFMDJ</v>
      </c>
      <c r="B1407" s="2" t="str">
        <f>IFERROR(__xludf.DUMMYFUNCTION("IF('From Order'!$A1407=COLUMNS($A1407:B1426), LEFT(INDEX(FILTER(B$1:B1406, B$1:B1406&lt;&gt;""""),COUNTA(FILTER(B$1:B1406, B$1:B1406&lt;&gt;""""))), LEN(INDEX(FILTER(B$1:B1406, B$1:B1406&lt;&gt;""""),COUNTA(FILTER(B$1:B1406, B$1:B1406&lt;&gt;""""))))-1), IF('To Order'!$A1407=COL"&amp;"UMNS($A1407:B1426), B1406&amp;RIGHT(INDIRECT(ADDRESS(ROW(B1407)-1, 'From Order'!$A1407)), 1), B1406))"),"RZ")</f>
        <v>RZ</v>
      </c>
      <c r="C1407" s="2" t="str">
        <f>IFERROR(__xludf.DUMMYFUNCTION("IF('From Order'!$A1407=COLUMNS($A1407:C1426), LEFT(INDEX(FILTER(C$1:C1406, C$1:C1406&lt;&gt;""""),COUNTA(FILTER(C$1:C1406, C$1:C1406&lt;&gt;""""))), LEN(INDEX(FILTER(C$1:C1406, C$1:C1406&lt;&gt;""""),COUNTA(FILTER(C$1:C1406, C$1:C1406&lt;&gt;""""))))-1), IF('To Order'!$A1407=COL"&amp;"UMNS($A1407:C1426), C1406&amp;RIGHT(INDIRECT(ADDRESS(ROW(C1407)-1, 'From Order'!$A1407)), 1), C1406))"),"TQVQJPPLDTMGBSD")</f>
        <v>TQVQJPPLDTMGBSD</v>
      </c>
      <c r="D1407" s="2" t="str">
        <f>IFERROR(__xludf.DUMMYFUNCTION("IF('From Order'!$A1407=COLUMNS($A1407:D1426), LEFT(INDEX(FILTER(D$1:D1406, D$1:D1406&lt;&gt;""""),COUNTA(FILTER(D$1:D1406, D$1:D1406&lt;&gt;""""))), LEN(INDEX(FILTER(D$1:D1406, D$1:D1406&lt;&gt;""""),COUNTA(FILTER(D$1:D1406, D$1:D1406&lt;&gt;""""))))-1), IF('To Order'!$A1407=COL"&amp;"UMNS($A1407:D1426), D1406&amp;RIGHT(INDIRECT(ADDRESS(ROW(D1407)-1, 'From Order'!$A1407)), 1), D1406))"),"")</f>
        <v/>
      </c>
      <c r="E1407" s="2" t="str">
        <f>IFERROR(__xludf.DUMMYFUNCTION("IF('From Order'!$A1407=COLUMNS($A1407:E1426), LEFT(INDEX(FILTER(E$1:E1406, E$1:E1406&lt;&gt;""""),COUNTA(FILTER(E$1:E1406, E$1:E1406&lt;&gt;""""))), LEN(INDEX(FILTER(E$1:E1406, E$1:E1406&lt;&gt;""""),COUNTA(FILTER(E$1:E1406, E$1:E1406&lt;&gt;""""))))-1), IF('To Order'!$A1407=COL"&amp;"UMNS($A1407:E1426), E1406&amp;RIGHT(INDIRECT(ADDRESS(ROW(E1407)-1, 'From Order'!$A1407)), 1), E1406))"),"HGSTDDLWP")</f>
        <v>HGSTDDLWP</v>
      </c>
      <c r="F1407" s="2" t="str">
        <f>IFERROR(__xludf.DUMMYFUNCTION("IF('From Order'!$A1407=COLUMNS($A1407:F1426), LEFT(INDEX(FILTER(F$1:F1406, F$1:F1406&lt;&gt;""""),COUNTA(FILTER(F$1:F1406, F$1:F1406&lt;&gt;""""))), LEN(INDEX(FILTER(F$1:F1406, F$1:F1406&lt;&gt;""""),COUNTA(FILTER(F$1:F1406, F$1:F1406&lt;&gt;""""))))-1), IF('To Order'!$A1407=COL"&amp;"UMNS($A1407:F1426), F1406&amp;RIGHT(INDIRECT(ADDRESS(ROW(F1407)-1, 'From Order'!$A1407)), 1), F1406))"),"ZRLBSTVFSCZ")</f>
        <v>ZRLBSTVFSCZ</v>
      </c>
      <c r="G1407" s="2" t="str">
        <f>IFERROR(__xludf.DUMMYFUNCTION("IF('From Order'!$A1407=COLUMNS($A1407:G1426), LEFT(INDEX(FILTER(G$1:G1406, G$1:G1406&lt;&gt;""""),COUNTA(FILTER(G$1:G1406, G$1:G1406&lt;&gt;""""))), LEN(INDEX(FILTER(G$1:G1406, G$1:G1406&lt;&gt;""""),COUNTA(FILTER(G$1:G1406, G$1:G1406&lt;&gt;""""))))-1), IF('To Order'!$A1407=COL"&amp;"UMNS($A1407:G1426), G1406&amp;RIGHT(INDIRECT(ADDRESS(ROW(G1407)-1, 'From Order'!$A1407)), 1), G1406))"),"WRMBVTCRCDRH")</f>
        <v>WRMBVTCRCDRH</v>
      </c>
      <c r="H1407" s="2" t="str">
        <f>IFERROR(__xludf.DUMMYFUNCTION("IF('From Order'!$A1407=COLUMNS($A1407:H1426), LEFT(INDEX(FILTER(H$1:H1406, H$1:H1406&lt;&gt;""""),COUNTA(FILTER(H$1:H1406, H$1:H1406&lt;&gt;""""))), LEN(INDEX(FILTER(H$1:H1406, H$1:H1406&lt;&gt;""""),COUNTA(FILTER(H$1:H1406, H$1:H1406&lt;&gt;""""))))-1), IF('To Order'!$A1407=COL"&amp;"UMNS($A1407:H1426), H1406&amp;RIGHT(INDIRECT(ADDRESS(ROW(H1407)-1, 'From Order'!$A1407)), 1), H1406))"),"")</f>
        <v/>
      </c>
      <c r="I1407" s="2" t="str">
        <f>IFERROR(__xludf.DUMMYFUNCTION("IF('From Order'!$A1407=COLUMNS($A1407:I1426), LEFT(INDEX(FILTER(I$1:I1406, I$1:I1406&lt;&gt;""""),COUNTA(FILTER(I$1:I1406, I$1:I1406&lt;&gt;""""))), LEN(INDEX(FILTER(I$1:I1406, I$1:I1406&lt;&gt;""""),COUNTA(FILTER(I$1:I1406, I$1:I1406&lt;&gt;""""))))-1), IF('To Order'!$A1407=COL"&amp;"UMNS($A1407:I1426), I1406&amp;RIGHT(INDIRECT(ADDRESS(ROW(I1407)-1, 'From Order'!$A1407)), 1), I1406))"),"")</f>
        <v/>
      </c>
    </row>
    <row r="1408">
      <c r="A1408" s="2" t="str">
        <f>IFERROR(__xludf.DUMMYFUNCTION("IF('From Order'!$A1408=COLUMNS($A1408:A1427), LEFT(INDEX(FILTER(A$1:A1407, A$1:A1407&lt;&gt;""""),COUNTA(FILTER(A$1:A1407, A$1:A1407&lt;&gt;""""))), LEN(INDEX(FILTER(A$1:A1407, A$1:A1407&lt;&gt;""""),COUNTA(FILTER(A$1:A1407, A$1:A1407&lt;&gt;""""))))-1), IF('To Order'!$A1408=COL"&amp;"UMNS($A1408:A1427), A1407&amp;RIGHT(INDIRECT(ADDRESS(ROW(A1408)-1, 'From Order'!$A1408)), 1), A1407))"),"JTBFMD")</f>
        <v>JTBFMD</v>
      </c>
      <c r="B1408" s="2" t="str">
        <f>IFERROR(__xludf.DUMMYFUNCTION("IF('From Order'!$A1408=COLUMNS($A1408:B1427), LEFT(INDEX(FILTER(B$1:B1407, B$1:B1407&lt;&gt;""""),COUNTA(FILTER(B$1:B1407, B$1:B1407&lt;&gt;""""))), LEN(INDEX(FILTER(B$1:B1407, B$1:B1407&lt;&gt;""""),COUNTA(FILTER(B$1:B1407, B$1:B1407&lt;&gt;""""))))-1), IF('To Order'!$A1408=COL"&amp;"UMNS($A1408:B1427), B1407&amp;RIGHT(INDIRECT(ADDRESS(ROW(B1408)-1, 'From Order'!$A1408)), 1), B1407))"),"RZ")</f>
        <v>RZ</v>
      </c>
      <c r="C1408" s="2" t="str">
        <f>IFERROR(__xludf.DUMMYFUNCTION("IF('From Order'!$A1408=COLUMNS($A1408:C1427), LEFT(INDEX(FILTER(C$1:C1407, C$1:C1407&lt;&gt;""""),COUNTA(FILTER(C$1:C1407, C$1:C1407&lt;&gt;""""))), LEN(INDEX(FILTER(C$1:C1407, C$1:C1407&lt;&gt;""""),COUNTA(FILTER(C$1:C1407, C$1:C1407&lt;&gt;""""))))-1), IF('To Order'!$A1408=COL"&amp;"UMNS($A1408:C1427), C1407&amp;RIGHT(INDIRECT(ADDRESS(ROW(C1408)-1, 'From Order'!$A1408)), 1), C1407))"),"TQVQJPPLDTMGBSDJ")</f>
        <v>TQVQJPPLDTMGBSDJ</v>
      </c>
      <c r="D1408" s="2" t="str">
        <f>IFERROR(__xludf.DUMMYFUNCTION("IF('From Order'!$A1408=COLUMNS($A1408:D1427), LEFT(INDEX(FILTER(D$1:D1407, D$1:D1407&lt;&gt;""""),COUNTA(FILTER(D$1:D1407, D$1:D1407&lt;&gt;""""))), LEN(INDEX(FILTER(D$1:D1407, D$1:D1407&lt;&gt;""""),COUNTA(FILTER(D$1:D1407, D$1:D1407&lt;&gt;""""))))-1), IF('To Order'!$A1408=COL"&amp;"UMNS($A1408:D1427), D1407&amp;RIGHT(INDIRECT(ADDRESS(ROW(D1408)-1, 'From Order'!$A1408)), 1), D1407))"),"")</f>
        <v/>
      </c>
      <c r="E1408" s="2" t="str">
        <f>IFERROR(__xludf.DUMMYFUNCTION("IF('From Order'!$A1408=COLUMNS($A1408:E1427), LEFT(INDEX(FILTER(E$1:E1407, E$1:E1407&lt;&gt;""""),COUNTA(FILTER(E$1:E1407, E$1:E1407&lt;&gt;""""))), LEN(INDEX(FILTER(E$1:E1407, E$1:E1407&lt;&gt;""""),COUNTA(FILTER(E$1:E1407, E$1:E1407&lt;&gt;""""))))-1), IF('To Order'!$A1408=COL"&amp;"UMNS($A1408:E1427), E1407&amp;RIGHT(INDIRECT(ADDRESS(ROW(E1408)-1, 'From Order'!$A1408)), 1), E1407))"),"HGSTDDLWP")</f>
        <v>HGSTDDLWP</v>
      </c>
      <c r="F1408" s="2" t="str">
        <f>IFERROR(__xludf.DUMMYFUNCTION("IF('From Order'!$A1408=COLUMNS($A1408:F1427), LEFT(INDEX(FILTER(F$1:F1407, F$1:F1407&lt;&gt;""""),COUNTA(FILTER(F$1:F1407, F$1:F1407&lt;&gt;""""))), LEN(INDEX(FILTER(F$1:F1407, F$1:F1407&lt;&gt;""""),COUNTA(FILTER(F$1:F1407, F$1:F1407&lt;&gt;""""))))-1), IF('To Order'!$A1408=COL"&amp;"UMNS($A1408:F1427), F1407&amp;RIGHT(INDIRECT(ADDRESS(ROW(F1408)-1, 'From Order'!$A1408)), 1), F1407))"),"ZRLBSTVFSCZ")</f>
        <v>ZRLBSTVFSCZ</v>
      </c>
      <c r="G1408" s="2" t="str">
        <f>IFERROR(__xludf.DUMMYFUNCTION("IF('From Order'!$A1408=COLUMNS($A1408:G1427), LEFT(INDEX(FILTER(G$1:G1407, G$1:G1407&lt;&gt;""""),COUNTA(FILTER(G$1:G1407, G$1:G1407&lt;&gt;""""))), LEN(INDEX(FILTER(G$1:G1407, G$1:G1407&lt;&gt;""""),COUNTA(FILTER(G$1:G1407, G$1:G1407&lt;&gt;""""))))-1), IF('To Order'!$A1408=COL"&amp;"UMNS($A1408:G1427), G1407&amp;RIGHT(INDIRECT(ADDRESS(ROW(G1408)-1, 'From Order'!$A1408)), 1), G1407))"),"WRMBVTCRCDRH")</f>
        <v>WRMBVTCRCDRH</v>
      </c>
      <c r="H1408" s="2" t="str">
        <f>IFERROR(__xludf.DUMMYFUNCTION("IF('From Order'!$A1408=COLUMNS($A1408:H1427), LEFT(INDEX(FILTER(H$1:H1407, H$1:H1407&lt;&gt;""""),COUNTA(FILTER(H$1:H1407, H$1:H1407&lt;&gt;""""))), LEN(INDEX(FILTER(H$1:H1407, H$1:H1407&lt;&gt;""""),COUNTA(FILTER(H$1:H1407, H$1:H1407&lt;&gt;""""))))-1), IF('To Order'!$A1408=COL"&amp;"UMNS($A1408:H1427), H1407&amp;RIGHT(INDIRECT(ADDRESS(ROW(H1408)-1, 'From Order'!$A1408)), 1), H1407))"),"")</f>
        <v/>
      </c>
      <c r="I1408" s="2" t="str">
        <f>IFERROR(__xludf.DUMMYFUNCTION("IF('From Order'!$A1408=COLUMNS($A1408:I1427), LEFT(INDEX(FILTER(I$1:I1407, I$1:I1407&lt;&gt;""""),COUNTA(FILTER(I$1:I1407, I$1:I1407&lt;&gt;""""))), LEN(INDEX(FILTER(I$1:I1407, I$1:I1407&lt;&gt;""""),COUNTA(FILTER(I$1:I1407, I$1:I1407&lt;&gt;""""))))-1), IF('To Order'!$A1408=COL"&amp;"UMNS($A1408:I1427), I1407&amp;RIGHT(INDIRECT(ADDRESS(ROW(I1408)-1, 'From Order'!$A1408)), 1), I1407))"),"")</f>
        <v/>
      </c>
    </row>
    <row r="1409">
      <c r="A1409" s="2" t="str">
        <f>IFERROR(__xludf.DUMMYFUNCTION("IF('From Order'!$A1409=COLUMNS($A1409:A1428), LEFT(INDEX(FILTER(A$1:A1408, A$1:A1408&lt;&gt;""""),COUNTA(FILTER(A$1:A1408, A$1:A1408&lt;&gt;""""))), LEN(INDEX(FILTER(A$1:A1408, A$1:A1408&lt;&gt;""""),COUNTA(FILTER(A$1:A1408, A$1:A1408&lt;&gt;""""))))-1), IF('To Order'!$A1409=COL"&amp;"UMNS($A1409:A1428), A1408&amp;RIGHT(INDIRECT(ADDRESS(ROW(A1409)-1, 'From Order'!$A1409)), 1), A1408))"),"JTBFM")</f>
        <v>JTBFM</v>
      </c>
      <c r="B1409" s="2" t="str">
        <f>IFERROR(__xludf.DUMMYFUNCTION("IF('From Order'!$A1409=COLUMNS($A1409:B1428), LEFT(INDEX(FILTER(B$1:B1408, B$1:B1408&lt;&gt;""""),COUNTA(FILTER(B$1:B1408, B$1:B1408&lt;&gt;""""))), LEN(INDEX(FILTER(B$1:B1408, B$1:B1408&lt;&gt;""""),COUNTA(FILTER(B$1:B1408, B$1:B1408&lt;&gt;""""))))-1), IF('To Order'!$A1409=COL"&amp;"UMNS($A1409:B1428), B1408&amp;RIGHT(INDIRECT(ADDRESS(ROW(B1409)-1, 'From Order'!$A1409)), 1), B1408))"),"RZ")</f>
        <v>RZ</v>
      </c>
      <c r="C1409" s="2" t="str">
        <f>IFERROR(__xludf.DUMMYFUNCTION("IF('From Order'!$A1409=COLUMNS($A1409:C1428), LEFT(INDEX(FILTER(C$1:C1408, C$1:C1408&lt;&gt;""""),COUNTA(FILTER(C$1:C1408, C$1:C1408&lt;&gt;""""))), LEN(INDEX(FILTER(C$1:C1408, C$1:C1408&lt;&gt;""""),COUNTA(FILTER(C$1:C1408, C$1:C1408&lt;&gt;""""))))-1), IF('To Order'!$A1409=COL"&amp;"UMNS($A1409:C1428), C1408&amp;RIGHT(INDIRECT(ADDRESS(ROW(C1409)-1, 'From Order'!$A1409)), 1), C1408))"),"TQVQJPPLDTMGBSDJD")</f>
        <v>TQVQJPPLDTMGBSDJD</v>
      </c>
      <c r="D1409" s="2" t="str">
        <f>IFERROR(__xludf.DUMMYFUNCTION("IF('From Order'!$A1409=COLUMNS($A1409:D1428), LEFT(INDEX(FILTER(D$1:D1408, D$1:D1408&lt;&gt;""""),COUNTA(FILTER(D$1:D1408, D$1:D1408&lt;&gt;""""))), LEN(INDEX(FILTER(D$1:D1408, D$1:D1408&lt;&gt;""""),COUNTA(FILTER(D$1:D1408, D$1:D1408&lt;&gt;""""))))-1), IF('To Order'!$A1409=COL"&amp;"UMNS($A1409:D1428), D1408&amp;RIGHT(INDIRECT(ADDRESS(ROW(D1409)-1, 'From Order'!$A1409)), 1), D1408))"),"")</f>
        <v/>
      </c>
      <c r="E1409" s="2" t="str">
        <f>IFERROR(__xludf.DUMMYFUNCTION("IF('From Order'!$A1409=COLUMNS($A1409:E1428), LEFT(INDEX(FILTER(E$1:E1408, E$1:E1408&lt;&gt;""""),COUNTA(FILTER(E$1:E1408, E$1:E1408&lt;&gt;""""))), LEN(INDEX(FILTER(E$1:E1408, E$1:E1408&lt;&gt;""""),COUNTA(FILTER(E$1:E1408, E$1:E1408&lt;&gt;""""))))-1), IF('To Order'!$A1409=COL"&amp;"UMNS($A1409:E1428), E1408&amp;RIGHT(INDIRECT(ADDRESS(ROW(E1409)-1, 'From Order'!$A1409)), 1), E1408))"),"HGSTDDLWP")</f>
        <v>HGSTDDLWP</v>
      </c>
      <c r="F1409" s="2" t="str">
        <f>IFERROR(__xludf.DUMMYFUNCTION("IF('From Order'!$A1409=COLUMNS($A1409:F1428), LEFT(INDEX(FILTER(F$1:F1408, F$1:F1408&lt;&gt;""""),COUNTA(FILTER(F$1:F1408, F$1:F1408&lt;&gt;""""))), LEN(INDEX(FILTER(F$1:F1408, F$1:F1408&lt;&gt;""""),COUNTA(FILTER(F$1:F1408, F$1:F1408&lt;&gt;""""))))-1), IF('To Order'!$A1409=COL"&amp;"UMNS($A1409:F1428), F1408&amp;RIGHT(INDIRECT(ADDRESS(ROW(F1409)-1, 'From Order'!$A1409)), 1), F1408))"),"ZRLBSTVFSCZ")</f>
        <v>ZRLBSTVFSCZ</v>
      </c>
      <c r="G1409" s="2" t="str">
        <f>IFERROR(__xludf.DUMMYFUNCTION("IF('From Order'!$A1409=COLUMNS($A1409:G1428), LEFT(INDEX(FILTER(G$1:G1408, G$1:G1408&lt;&gt;""""),COUNTA(FILTER(G$1:G1408, G$1:G1408&lt;&gt;""""))), LEN(INDEX(FILTER(G$1:G1408, G$1:G1408&lt;&gt;""""),COUNTA(FILTER(G$1:G1408, G$1:G1408&lt;&gt;""""))))-1), IF('To Order'!$A1409=COL"&amp;"UMNS($A1409:G1428), G1408&amp;RIGHT(INDIRECT(ADDRESS(ROW(G1409)-1, 'From Order'!$A1409)), 1), G1408))"),"WRMBVTCRCDRH")</f>
        <v>WRMBVTCRCDRH</v>
      </c>
      <c r="H1409" s="2" t="str">
        <f>IFERROR(__xludf.DUMMYFUNCTION("IF('From Order'!$A1409=COLUMNS($A1409:H1428), LEFT(INDEX(FILTER(H$1:H1408, H$1:H1408&lt;&gt;""""),COUNTA(FILTER(H$1:H1408, H$1:H1408&lt;&gt;""""))), LEN(INDEX(FILTER(H$1:H1408, H$1:H1408&lt;&gt;""""),COUNTA(FILTER(H$1:H1408, H$1:H1408&lt;&gt;""""))))-1), IF('To Order'!$A1409=COL"&amp;"UMNS($A1409:H1428), H1408&amp;RIGHT(INDIRECT(ADDRESS(ROW(H1409)-1, 'From Order'!$A1409)), 1), H1408))"),"")</f>
        <v/>
      </c>
      <c r="I1409" s="2" t="str">
        <f>IFERROR(__xludf.DUMMYFUNCTION("IF('From Order'!$A1409=COLUMNS($A1409:I1428), LEFT(INDEX(FILTER(I$1:I1408, I$1:I1408&lt;&gt;""""),COUNTA(FILTER(I$1:I1408, I$1:I1408&lt;&gt;""""))), LEN(INDEX(FILTER(I$1:I1408, I$1:I1408&lt;&gt;""""),COUNTA(FILTER(I$1:I1408, I$1:I1408&lt;&gt;""""))))-1), IF('To Order'!$A1409=COL"&amp;"UMNS($A1409:I1428), I1408&amp;RIGHT(INDIRECT(ADDRESS(ROW(I1409)-1, 'From Order'!$A1409)), 1), I1408))"),"")</f>
        <v/>
      </c>
    </row>
    <row r="1410">
      <c r="A1410" s="2" t="str">
        <f>IFERROR(__xludf.DUMMYFUNCTION("IF('From Order'!$A1410=COLUMNS($A1410:A1429), LEFT(INDEX(FILTER(A$1:A1409, A$1:A1409&lt;&gt;""""),COUNTA(FILTER(A$1:A1409, A$1:A1409&lt;&gt;""""))), LEN(INDEX(FILTER(A$1:A1409, A$1:A1409&lt;&gt;""""),COUNTA(FILTER(A$1:A1409, A$1:A1409&lt;&gt;""""))))-1), IF('To Order'!$A1410=COL"&amp;"UMNS($A1410:A1429), A1409&amp;RIGHT(INDIRECT(ADDRESS(ROW(A1410)-1, 'From Order'!$A1410)), 1), A1409))"),"JTBF")</f>
        <v>JTBF</v>
      </c>
      <c r="B1410" s="2" t="str">
        <f>IFERROR(__xludf.DUMMYFUNCTION("IF('From Order'!$A1410=COLUMNS($A1410:B1429), LEFT(INDEX(FILTER(B$1:B1409, B$1:B1409&lt;&gt;""""),COUNTA(FILTER(B$1:B1409, B$1:B1409&lt;&gt;""""))), LEN(INDEX(FILTER(B$1:B1409, B$1:B1409&lt;&gt;""""),COUNTA(FILTER(B$1:B1409, B$1:B1409&lt;&gt;""""))))-1), IF('To Order'!$A1410=COL"&amp;"UMNS($A1410:B1429), B1409&amp;RIGHT(INDIRECT(ADDRESS(ROW(B1410)-1, 'From Order'!$A1410)), 1), B1409))"),"RZ")</f>
        <v>RZ</v>
      </c>
      <c r="C1410" s="2" t="str">
        <f>IFERROR(__xludf.DUMMYFUNCTION("IF('From Order'!$A1410=COLUMNS($A1410:C1429), LEFT(INDEX(FILTER(C$1:C1409, C$1:C1409&lt;&gt;""""),COUNTA(FILTER(C$1:C1409, C$1:C1409&lt;&gt;""""))), LEN(INDEX(FILTER(C$1:C1409, C$1:C1409&lt;&gt;""""),COUNTA(FILTER(C$1:C1409, C$1:C1409&lt;&gt;""""))))-1), IF('To Order'!$A1410=COL"&amp;"UMNS($A1410:C1429), C1409&amp;RIGHT(INDIRECT(ADDRESS(ROW(C1410)-1, 'From Order'!$A1410)), 1), C1409))"),"TQVQJPPLDTMGBSDJDM")</f>
        <v>TQVQJPPLDTMGBSDJDM</v>
      </c>
      <c r="D1410" s="2" t="str">
        <f>IFERROR(__xludf.DUMMYFUNCTION("IF('From Order'!$A1410=COLUMNS($A1410:D1429), LEFT(INDEX(FILTER(D$1:D1409, D$1:D1409&lt;&gt;""""),COUNTA(FILTER(D$1:D1409, D$1:D1409&lt;&gt;""""))), LEN(INDEX(FILTER(D$1:D1409, D$1:D1409&lt;&gt;""""),COUNTA(FILTER(D$1:D1409, D$1:D1409&lt;&gt;""""))))-1), IF('To Order'!$A1410=COL"&amp;"UMNS($A1410:D1429), D1409&amp;RIGHT(INDIRECT(ADDRESS(ROW(D1410)-1, 'From Order'!$A1410)), 1), D1409))"),"")</f>
        <v/>
      </c>
      <c r="E1410" s="2" t="str">
        <f>IFERROR(__xludf.DUMMYFUNCTION("IF('From Order'!$A1410=COLUMNS($A1410:E1429), LEFT(INDEX(FILTER(E$1:E1409, E$1:E1409&lt;&gt;""""),COUNTA(FILTER(E$1:E1409, E$1:E1409&lt;&gt;""""))), LEN(INDEX(FILTER(E$1:E1409, E$1:E1409&lt;&gt;""""),COUNTA(FILTER(E$1:E1409, E$1:E1409&lt;&gt;""""))))-1), IF('To Order'!$A1410=COL"&amp;"UMNS($A1410:E1429), E1409&amp;RIGHT(INDIRECT(ADDRESS(ROW(E1410)-1, 'From Order'!$A1410)), 1), E1409))"),"HGSTDDLWP")</f>
        <v>HGSTDDLWP</v>
      </c>
      <c r="F1410" s="2" t="str">
        <f>IFERROR(__xludf.DUMMYFUNCTION("IF('From Order'!$A1410=COLUMNS($A1410:F1429), LEFT(INDEX(FILTER(F$1:F1409, F$1:F1409&lt;&gt;""""),COUNTA(FILTER(F$1:F1409, F$1:F1409&lt;&gt;""""))), LEN(INDEX(FILTER(F$1:F1409, F$1:F1409&lt;&gt;""""),COUNTA(FILTER(F$1:F1409, F$1:F1409&lt;&gt;""""))))-1), IF('To Order'!$A1410=COL"&amp;"UMNS($A1410:F1429), F1409&amp;RIGHT(INDIRECT(ADDRESS(ROW(F1410)-1, 'From Order'!$A1410)), 1), F1409))"),"ZRLBSTVFSCZ")</f>
        <v>ZRLBSTVFSCZ</v>
      </c>
      <c r="G1410" s="2" t="str">
        <f>IFERROR(__xludf.DUMMYFUNCTION("IF('From Order'!$A1410=COLUMNS($A1410:G1429), LEFT(INDEX(FILTER(G$1:G1409, G$1:G1409&lt;&gt;""""),COUNTA(FILTER(G$1:G1409, G$1:G1409&lt;&gt;""""))), LEN(INDEX(FILTER(G$1:G1409, G$1:G1409&lt;&gt;""""),COUNTA(FILTER(G$1:G1409, G$1:G1409&lt;&gt;""""))))-1), IF('To Order'!$A1410=COL"&amp;"UMNS($A1410:G1429), G1409&amp;RIGHT(INDIRECT(ADDRESS(ROW(G1410)-1, 'From Order'!$A1410)), 1), G1409))"),"WRMBVTCRCDRH")</f>
        <v>WRMBVTCRCDRH</v>
      </c>
      <c r="H1410" s="2" t="str">
        <f>IFERROR(__xludf.DUMMYFUNCTION("IF('From Order'!$A1410=COLUMNS($A1410:H1429), LEFT(INDEX(FILTER(H$1:H1409, H$1:H1409&lt;&gt;""""),COUNTA(FILTER(H$1:H1409, H$1:H1409&lt;&gt;""""))), LEN(INDEX(FILTER(H$1:H1409, H$1:H1409&lt;&gt;""""),COUNTA(FILTER(H$1:H1409, H$1:H1409&lt;&gt;""""))))-1), IF('To Order'!$A1410=COL"&amp;"UMNS($A1410:H1429), H1409&amp;RIGHT(INDIRECT(ADDRESS(ROW(H1410)-1, 'From Order'!$A1410)), 1), H1409))"),"")</f>
        <v/>
      </c>
      <c r="I1410" s="2" t="str">
        <f>IFERROR(__xludf.DUMMYFUNCTION("IF('From Order'!$A1410=COLUMNS($A1410:I1429), LEFT(INDEX(FILTER(I$1:I1409, I$1:I1409&lt;&gt;""""),COUNTA(FILTER(I$1:I1409, I$1:I1409&lt;&gt;""""))), LEN(INDEX(FILTER(I$1:I1409, I$1:I1409&lt;&gt;""""),COUNTA(FILTER(I$1:I1409, I$1:I1409&lt;&gt;""""))))-1), IF('To Order'!$A1410=COL"&amp;"UMNS($A1410:I1429), I1409&amp;RIGHT(INDIRECT(ADDRESS(ROW(I1410)-1, 'From Order'!$A1410)), 1), I1409))"),"")</f>
        <v/>
      </c>
    </row>
    <row r="1411">
      <c r="A1411" s="2" t="str">
        <f>IFERROR(__xludf.DUMMYFUNCTION("IF('From Order'!$A1411=COLUMNS($A1411:A1430), LEFT(INDEX(FILTER(A$1:A1410, A$1:A1410&lt;&gt;""""),COUNTA(FILTER(A$1:A1410, A$1:A1410&lt;&gt;""""))), LEN(INDEX(FILTER(A$1:A1410, A$1:A1410&lt;&gt;""""),COUNTA(FILTER(A$1:A1410, A$1:A1410&lt;&gt;""""))))-1), IF('To Order'!$A1411=COL"&amp;"UMNS($A1411:A1430), A1410&amp;RIGHT(INDIRECT(ADDRESS(ROW(A1411)-1, 'From Order'!$A1411)), 1), A1410))"),"JTB")</f>
        <v>JTB</v>
      </c>
      <c r="B1411" s="2" t="str">
        <f>IFERROR(__xludf.DUMMYFUNCTION("IF('From Order'!$A1411=COLUMNS($A1411:B1430), LEFT(INDEX(FILTER(B$1:B1410, B$1:B1410&lt;&gt;""""),COUNTA(FILTER(B$1:B1410, B$1:B1410&lt;&gt;""""))), LEN(INDEX(FILTER(B$1:B1410, B$1:B1410&lt;&gt;""""),COUNTA(FILTER(B$1:B1410, B$1:B1410&lt;&gt;""""))))-1), IF('To Order'!$A1411=COL"&amp;"UMNS($A1411:B1430), B1410&amp;RIGHT(INDIRECT(ADDRESS(ROW(B1411)-1, 'From Order'!$A1411)), 1), B1410))"),"RZ")</f>
        <v>RZ</v>
      </c>
      <c r="C1411" s="2" t="str">
        <f>IFERROR(__xludf.DUMMYFUNCTION("IF('From Order'!$A1411=COLUMNS($A1411:C1430), LEFT(INDEX(FILTER(C$1:C1410, C$1:C1410&lt;&gt;""""),COUNTA(FILTER(C$1:C1410, C$1:C1410&lt;&gt;""""))), LEN(INDEX(FILTER(C$1:C1410, C$1:C1410&lt;&gt;""""),COUNTA(FILTER(C$1:C1410, C$1:C1410&lt;&gt;""""))))-1), IF('To Order'!$A1411=COL"&amp;"UMNS($A1411:C1430), C1410&amp;RIGHT(INDIRECT(ADDRESS(ROW(C1411)-1, 'From Order'!$A1411)), 1), C1410))"),"TQVQJPPLDTMGBSDJDMF")</f>
        <v>TQVQJPPLDTMGBSDJDMF</v>
      </c>
      <c r="D1411" s="2" t="str">
        <f>IFERROR(__xludf.DUMMYFUNCTION("IF('From Order'!$A1411=COLUMNS($A1411:D1430), LEFT(INDEX(FILTER(D$1:D1410, D$1:D1410&lt;&gt;""""),COUNTA(FILTER(D$1:D1410, D$1:D1410&lt;&gt;""""))), LEN(INDEX(FILTER(D$1:D1410, D$1:D1410&lt;&gt;""""),COUNTA(FILTER(D$1:D1410, D$1:D1410&lt;&gt;""""))))-1), IF('To Order'!$A1411=COL"&amp;"UMNS($A1411:D1430), D1410&amp;RIGHT(INDIRECT(ADDRESS(ROW(D1411)-1, 'From Order'!$A1411)), 1), D1410))"),"")</f>
        <v/>
      </c>
      <c r="E1411" s="2" t="str">
        <f>IFERROR(__xludf.DUMMYFUNCTION("IF('From Order'!$A1411=COLUMNS($A1411:E1430), LEFT(INDEX(FILTER(E$1:E1410, E$1:E1410&lt;&gt;""""),COUNTA(FILTER(E$1:E1410, E$1:E1410&lt;&gt;""""))), LEN(INDEX(FILTER(E$1:E1410, E$1:E1410&lt;&gt;""""),COUNTA(FILTER(E$1:E1410, E$1:E1410&lt;&gt;""""))))-1), IF('To Order'!$A1411=COL"&amp;"UMNS($A1411:E1430), E1410&amp;RIGHT(INDIRECT(ADDRESS(ROW(E1411)-1, 'From Order'!$A1411)), 1), E1410))"),"HGSTDDLWP")</f>
        <v>HGSTDDLWP</v>
      </c>
      <c r="F1411" s="2" t="str">
        <f>IFERROR(__xludf.DUMMYFUNCTION("IF('From Order'!$A1411=COLUMNS($A1411:F1430), LEFT(INDEX(FILTER(F$1:F1410, F$1:F1410&lt;&gt;""""),COUNTA(FILTER(F$1:F1410, F$1:F1410&lt;&gt;""""))), LEN(INDEX(FILTER(F$1:F1410, F$1:F1410&lt;&gt;""""),COUNTA(FILTER(F$1:F1410, F$1:F1410&lt;&gt;""""))))-1), IF('To Order'!$A1411=COL"&amp;"UMNS($A1411:F1430), F1410&amp;RIGHT(INDIRECT(ADDRESS(ROW(F1411)-1, 'From Order'!$A1411)), 1), F1410))"),"ZRLBSTVFSCZ")</f>
        <v>ZRLBSTVFSCZ</v>
      </c>
      <c r="G1411" s="2" t="str">
        <f>IFERROR(__xludf.DUMMYFUNCTION("IF('From Order'!$A1411=COLUMNS($A1411:G1430), LEFT(INDEX(FILTER(G$1:G1410, G$1:G1410&lt;&gt;""""),COUNTA(FILTER(G$1:G1410, G$1:G1410&lt;&gt;""""))), LEN(INDEX(FILTER(G$1:G1410, G$1:G1410&lt;&gt;""""),COUNTA(FILTER(G$1:G1410, G$1:G1410&lt;&gt;""""))))-1), IF('To Order'!$A1411=COL"&amp;"UMNS($A1411:G1430), G1410&amp;RIGHT(INDIRECT(ADDRESS(ROW(G1411)-1, 'From Order'!$A1411)), 1), G1410))"),"WRMBVTCRCDRH")</f>
        <v>WRMBVTCRCDRH</v>
      </c>
      <c r="H1411" s="2" t="str">
        <f>IFERROR(__xludf.DUMMYFUNCTION("IF('From Order'!$A1411=COLUMNS($A1411:H1430), LEFT(INDEX(FILTER(H$1:H1410, H$1:H1410&lt;&gt;""""),COUNTA(FILTER(H$1:H1410, H$1:H1410&lt;&gt;""""))), LEN(INDEX(FILTER(H$1:H1410, H$1:H1410&lt;&gt;""""),COUNTA(FILTER(H$1:H1410, H$1:H1410&lt;&gt;""""))))-1), IF('To Order'!$A1411=COL"&amp;"UMNS($A1411:H1430), H1410&amp;RIGHT(INDIRECT(ADDRESS(ROW(H1411)-1, 'From Order'!$A1411)), 1), H1410))"),"")</f>
        <v/>
      </c>
      <c r="I1411" s="2" t="str">
        <f>IFERROR(__xludf.DUMMYFUNCTION("IF('From Order'!$A1411=COLUMNS($A1411:I1430), LEFT(INDEX(FILTER(I$1:I1410, I$1:I1410&lt;&gt;""""),COUNTA(FILTER(I$1:I1410, I$1:I1410&lt;&gt;""""))), LEN(INDEX(FILTER(I$1:I1410, I$1:I1410&lt;&gt;""""),COUNTA(FILTER(I$1:I1410, I$1:I1410&lt;&gt;""""))))-1), IF('To Order'!$A1411=COL"&amp;"UMNS($A1411:I1430), I1410&amp;RIGHT(INDIRECT(ADDRESS(ROW(I1411)-1, 'From Order'!$A1411)), 1), I1410))"),"")</f>
        <v/>
      </c>
    </row>
    <row r="1412">
      <c r="A1412" s="2" t="str">
        <f>IFERROR(__xludf.DUMMYFUNCTION("IF('From Order'!$A1412=COLUMNS($A1412:A1431), LEFT(INDEX(FILTER(A$1:A1411, A$1:A1411&lt;&gt;""""),COUNTA(FILTER(A$1:A1411, A$1:A1411&lt;&gt;""""))), LEN(INDEX(FILTER(A$1:A1411, A$1:A1411&lt;&gt;""""),COUNTA(FILTER(A$1:A1411, A$1:A1411&lt;&gt;""""))))-1), IF('To Order'!$A1412=COL"&amp;"UMNS($A1412:A1431), A1411&amp;RIGHT(INDIRECT(ADDRESS(ROW(A1412)-1, 'From Order'!$A1412)), 1), A1411))"),"JT")</f>
        <v>JT</v>
      </c>
      <c r="B1412" s="2" t="str">
        <f>IFERROR(__xludf.DUMMYFUNCTION("IF('From Order'!$A1412=COLUMNS($A1412:B1431), LEFT(INDEX(FILTER(B$1:B1411, B$1:B1411&lt;&gt;""""),COUNTA(FILTER(B$1:B1411, B$1:B1411&lt;&gt;""""))), LEN(INDEX(FILTER(B$1:B1411, B$1:B1411&lt;&gt;""""),COUNTA(FILTER(B$1:B1411, B$1:B1411&lt;&gt;""""))))-1), IF('To Order'!$A1412=COL"&amp;"UMNS($A1412:B1431), B1411&amp;RIGHT(INDIRECT(ADDRESS(ROW(B1412)-1, 'From Order'!$A1412)), 1), B1411))"),"RZ")</f>
        <v>RZ</v>
      </c>
      <c r="C1412" s="2" t="str">
        <f>IFERROR(__xludf.DUMMYFUNCTION("IF('From Order'!$A1412=COLUMNS($A1412:C1431), LEFT(INDEX(FILTER(C$1:C1411, C$1:C1411&lt;&gt;""""),COUNTA(FILTER(C$1:C1411, C$1:C1411&lt;&gt;""""))), LEN(INDEX(FILTER(C$1:C1411, C$1:C1411&lt;&gt;""""),COUNTA(FILTER(C$1:C1411, C$1:C1411&lt;&gt;""""))))-1), IF('To Order'!$A1412=COL"&amp;"UMNS($A1412:C1431), C1411&amp;RIGHT(INDIRECT(ADDRESS(ROW(C1412)-1, 'From Order'!$A1412)), 1), C1411))"),"TQVQJPPLDTMGBSDJDMFB")</f>
        <v>TQVQJPPLDTMGBSDJDMFB</v>
      </c>
      <c r="D1412" s="2" t="str">
        <f>IFERROR(__xludf.DUMMYFUNCTION("IF('From Order'!$A1412=COLUMNS($A1412:D1431), LEFT(INDEX(FILTER(D$1:D1411, D$1:D1411&lt;&gt;""""),COUNTA(FILTER(D$1:D1411, D$1:D1411&lt;&gt;""""))), LEN(INDEX(FILTER(D$1:D1411, D$1:D1411&lt;&gt;""""),COUNTA(FILTER(D$1:D1411, D$1:D1411&lt;&gt;""""))))-1), IF('To Order'!$A1412=COL"&amp;"UMNS($A1412:D1431), D1411&amp;RIGHT(INDIRECT(ADDRESS(ROW(D1412)-1, 'From Order'!$A1412)), 1), D1411))"),"")</f>
        <v/>
      </c>
      <c r="E1412" s="2" t="str">
        <f>IFERROR(__xludf.DUMMYFUNCTION("IF('From Order'!$A1412=COLUMNS($A1412:E1431), LEFT(INDEX(FILTER(E$1:E1411, E$1:E1411&lt;&gt;""""),COUNTA(FILTER(E$1:E1411, E$1:E1411&lt;&gt;""""))), LEN(INDEX(FILTER(E$1:E1411, E$1:E1411&lt;&gt;""""),COUNTA(FILTER(E$1:E1411, E$1:E1411&lt;&gt;""""))))-1), IF('To Order'!$A1412=COL"&amp;"UMNS($A1412:E1431), E1411&amp;RIGHT(INDIRECT(ADDRESS(ROW(E1412)-1, 'From Order'!$A1412)), 1), E1411))"),"HGSTDDLWP")</f>
        <v>HGSTDDLWP</v>
      </c>
      <c r="F1412" s="2" t="str">
        <f>IFERROR(__xludf.DUMMYFUNCTION("IF('From Order'!$A1412=COLUMNS($A1412:F1431), LEFT(INDEX(FILTER(F$1:F1411, F$1:F1411&lt;&gt;""""),COUNTA(FILTER(F$1:F1411, F$1:F1411&lt;&gt;""""))), LEN(INDEX(FILTER(F$1:F1411, F$1:F1411&lt;&gt;""""),COUNTA(FILTER(F$1:F1411, F$1:F1411&lt;&gt;""""))))-1), IF('To Order'!$A1412=COL"&amp;"UMNS($A1412:F1431), F1411&amp;RIGHT(INDIRECT(ADDRESS(ROW(F1412)-1, 'From Order'!$A1412)), 1), F1411))"),"ZRLBSTVFSCZ")</f>
        <v>ZRLBSTVFSCZ</v>
      </c>
      <c r="G1412" s="2" t="str">
        <f>IFERROR(__xludf.DUMMYFUNCTION("IF('From Order'!$A1412=COLUMNS($A1412:G1431), LEFT(INDEX(FILTER(G$1:G1411, G$1:G1411&lt;&gt;""""),COUNTA(FILTER(G$1:G1411, G$1:G1411&lt;&gt;""""))), LEN(INDEX(FILTER(G$1:G1411, G$1:G1411&lt;&gt;""""),COUNTA(FILTER(G$1:G1411, G$1:G1411&lt;&gt;""""))))-1), IF('To Order'!$A1412=COL"&amp;"UMNS($A1412:G1431), G1411&amp;RIGHT(INDIRECT(ADDRESS(ROW(G1412)-1, 'From Order'!$A1412)), 1), G1411))"),"WRMBVTCRCDRH")</f>
        <v>WRMBVTCRCDRH</v>
      </c>
      <c r="H1412" s="2" t="str">
        <f>IFERROR(__xludf.DUMMYFUNCTION("IF('From Order'!$A1412=COLUMNS($A1412:H1431), LEFT(INDEX(FILTER(H$1:H1411, H$1:H1411&lt;&gt;""""),COUNTA(FILTER(H$1:H1411, H$1:H1411&lt;&gt;""""))), LEN(INDEX(FILTER(H$1:H1411, H$1:H1411&lt;&gt;""""),COUNTA(FILTER(H$1:H1411, H$1:H1411&lt;&gt;""""))))-1), IF('To Order'!$A1412=COL"&amp;"UMNS($A1412:H1431), H1411&amp;RIGHT(INDIRECT(ADDRESS(ROW(H1412)-1, 'From Order'!$A1412)), 1), H1411))"),"")</f>
        <v/>
      </c>
      <c r="I1412" s="2" t="str">
        <f>IFERROR(__xludf.DUMMYFUNCTION("IF('From Order'!$A1412=COLUMNS($A1412:I1431), LEFT(INDEX(FILTER(I$1:I1411, I$1:I1411&lt;&gt;""""),COUNTA(FILTER(I$1:I1411, I$1:I1411&lt;&gt;""""))), LEN(INDEX(FILTER(I$1:I1411, I$1:I1411&lt;&gt;""""),COUNTA(FILTER(I$1:I1411, I$1:I1411&lt;&gt;""""))))-1), IF('To Order'!$A1412=COL"&amp;"UMNS($A1412:I1431), I1411&amp;RIGHT(INDIRECT(ADDRESS(ROW(I1412)-1, 'From Order'!$A1412)), 1), I1411))"),"")</f>
        <v/>
      </c>
    </row>
    <row r="1413">
      <c r="A1413" s="2" t="str">
        <f>IFERROR(__xludf.DUMMYFUNCTION("IF('From Order'!$A1413=COLUMNS($A1413:A1432), LEFT(INDEX(FILTER(A$1:A1412, A$1:A1412&lt;&gt;""""),COUNTA(FILTER(A$1:A1412, A$1:A1412&lt;&gt;""""))), LEN(INDEX(FILTER(A$1:A1412, A$1:A1412&lt;&gt;""""),COUNTA(FILTER(A$1:A1412, A$1:A1412&lt;&gt;""""))))-1), IF('To Order'!$A1413=COL"&amp;"UMNS($A1413:A1432), A1412&amp;RIGHT(INDIRECT(ADDRESS(ROW(A1413)-1, 'From Order'!$A1413)), 1), A1412))"),"JT")</f>
        <v>JT</v>
      </c>
      <c r="B1413" s="2" t="str">
        <f>IFERROR(__xludf.DUMMYFUNCTION("IF('From Order'!$A1413=COLUMNS($A1413:B1432), LEFT(INDEX(FILTER(B$1:B1412, B$1:B1412&lt;&gt;""""),COUNTA(FILTER(B$1:B1412, B$1:B1412&lt;&gt;""""))), LEN(INDEX(FILTER(B$1:B1412, B$1:B1412&lt;&gt;""""),COUNTA(FILTER(B$1:B1412, B$1:B1412&lt;&gt;""""))))-1), IF('To Order'!$A1413=COL"&amp;"UMNS($A1413:B1432), B1412&amp;RIGHT(INDIRECT(ADDRESS(ROW(B1413)-1, 'From Order'!$A1413)), 1), B1412))"),"RZ")</f>
        <v>RZ</v>
      </c>
      <c r="C1413" s="2" t="str">
        <f>IFERROR(__xludf.DUMMYFUNCTION("IF('From Order'!$A1413=COLUMNS($A1413:C1432), LEFT(INDEX(FILTER(C$1:C1412, C$1:C1412&lt;&gt;""""),COUNTA(FILTER(C$1:C1412, C$1:C1412&lt;&gt;""""))), LEN(INDEX(FILTER(C$1:C1412, C$1:C1412&lt;&gt;""""),COUNTA(FILTER(C$1:C1412, C$1:C1412&lt;&gt;""""))))-1), IF('To Order'!$A1413=COL"&amp;"UMNS($A1413:C1432), C1412&amp;RIGHT(INDIRECT(ADDRESS(ROW(C1413)-1, 'From Order'!$A1413)), 1), C1412))"),"TQVQJPPLDTMGBSDJDMF")</f>
        <v>TQVQJPPLDTMGBSDJDMF</v>
      </c>
      <c r="D1413" s="2" t="str">
        <f>IFERROR(__xludf.DUMMYFUNCTION("IF('From Order'!$A1413=COLUMNS($A1413:D1432), LEFT(INDEX(FILTER(D$1:D1412, D$1:D1412&lt;&gt;""""),COUNTA(FILTER(D$1:D1412, D$1:D1412&lt;&gt;""""))), LEN(INDEX(FILTER(D$1:D1412, D$1:D1412&lt;&gt;""""),COUNTA(FILTER(D$1:D1412, D$1:D1412&lt;&gt;""""))))-1), IF('To Order'!$A1413=COL"&amp;"UMNS($A1413:D1432), D1412&amp;RIGHT(INDIRECT(ADDRESS(ROW(D1413)-1, 'From Order'!$A1413)), 1), D1412))"),"")</f>
        <v/>
      </c>
      <c r="E1413" s="2" t="str">
        <f>IFERROR(__xludf.DUMMYFUNCTION("IF('From Order'!$A1413=COLUMNS($A1413:E1432), LEFT(INDEX(FILTER(E$1:E1412, E$1:E1412&lt;&gt;""""),COUNTA(FILTER(E$1:E1412, E$1:E1412&lt;&gt;""""))), LEN(INDEX(FILTER(E$1:E1412, E$1:E1412&lt;&gt;""""),COUNTA(FILTER(E$1:E1412, E$1:E1412&lt;&gt;""""))))-1), IF('To Order'!$A1413=COL"&amp;"UMNS($A1413:E1432), E1412&amp;RIGHT(INDIRECT(ADDRESS(ROW(E1413)-1, 'From Order'!$A1413)), 1), E1412))"),"HGSTDDLWPB")</f>
        <v>HGSTDDLWPB</v>
      </c>
      <c r="F1413" s="2" t="str">
        <f>IFERROR(__xludf.DUMMYFUNCTION("IF('From Order'!$A1413=COLUMNS($A1413:F1432), LEFT(INDEX(FILTER(F$1:F1412, F$1:F1412&lt;&gt;""""),COUNTA(FILTER(F$1:F1412, F$1:F1412&lt;&gt;""""))), LEN(INDEX(FILTER(F$1:F1412, F$1:F1412&lt;&gt;""""),COUNTA(FILTER(F$1:F1412, F$1:F1412&lt;&gt;""""))))-1), IF('To Order'!$A1413=COL"&amp;"UMNS($A1413:F1432), F1412&amp;RIGHT(INDIRECT(ADDRESS(ROW(F1413)-1, 'From Order'!$A1413)), 1), F1412))"),"ZRLBSTVFSCZ")</f>
        <v>ZRLBSTVFSCZ</v>
      </c>
      <c r="G1413" s="2" t="str">
        <f>IFERROR(__xludf.DUMMYFUNCTION("IF('From Order'!$A1413=COLUMNS($A1413:G1432), LEFT(INDEX(FILTER(G$1:G1412, G$1:G1412&lt;&gt;""""),COUNTA(FILTER(G$1:G1412, G$1:G1412&lt;&gt;""""))), LEN(INDEX(FILTER(G$1:G1412, G$1:G1412&lt;&gt;""""),COUNTA(FILTER(G$1:G1412, G$1:G1412&lt;&gt;""""))))-1), IF('To Order'!$A1413=COL"&amp;"UMNS($A1413:G1432), G1412&amp;RIGHT(INDIRECT(ADDRESS(ROW(G1413)-1, 'From Order'!$A1413)), 1), G1412))"),"WRMBVTCRCDRH")</f>
        <v>WRMBVTCRCDRH</v>
      </c>
      <c r="H1413" s="2" t="str">
        <f>IFERROR(__xludf.DUMMYFUNCTION("IF('From Order'!$A1413=COLUMNS($A1413:H1432), LEFT(INDEX(FILTER(H$1:H1412, H$1:H1412&lt;&gt;""""),COUNTA(FILTER(H$1:H1412, H$1:H1412&lt;&gt;""""))), LEN(INDEX(FILTER(H$1:H1412, H$1:H1412&lt;&gt;""""),COUNTA(FILTER(H$1:H1412, H$1:H1412&lt;&gt;""""))))-1), IF('To Order'!$A1413=COL"&amp;"UMNS($A1413:H1432), H1412&amp;RIGHT(INDIRECT(ADDRESS(ROW(H1413)-1, 'From Order'!$A1413)), 1), H1412))"),"")</f>
        <v/>
      </c>
      <c r="I1413" s="2" t="str">
        <f>IFERROR(__xludf.DUMMYFUNCTION("IF('From Order'!$A1413=COLUMNS($A1413:I1432), LEFT(INDEX(FILTER(I$1:I1412, I$1:I1412&lt;&gt;""""),COUNTA(FILTER(I$1:I1412, I$1:I1412&lt;&gt;""""))), LEN(INDEX(FILTER(I$1:I1412, I$1:I1412&lt;&gt;""""),COUNTA(FILTER(I$1:I1412, I$1:I1412&lt;&gt;""""))))-1), IF('To Order'!$A1413=COL"&amp;"UMNS($A1413:I1432), I1412&amp;RIGHT(INDIRECT(ADDRESS(ROW(I1413)-1, 'From Order'!$A1413)), 1), I1412))"),"")</f>
        <v/>
      </c>
    </row>
    <row r="1414">
      <c r="A1414" s="2" t="str">
        <f>IFERROR(__xludf.DUMMYFUNCTION("IF('From Order'!$A1414=COLUMNS($A1414:A1433), LEFT(INDEX(FILTER(A$1:A1413, A$1:A1413&lt;&gt;""""),COUNTA(FILTER(A$1:A1413, A$1:A1413&lt;&gt;""""))), LEN(INDEX(FILTER(A$1:A1413, A$1:A1413&lt;&gt;""""),COUNTA(FILTER(A$1:A1413, A$1:A1413&lt;&gt;""""))))-1), IF('To Order'!$A1414=COL"&amp;"UMNS($A1414:A1433), A1413&amp;RIGHT(INDIRECT(ADDRESS(ROW(A1414)-1, 'From Order'!$A1414)), 1), A1413))"),"JT")</f>
        <v>JT</v>
      </c>
      <c r="B1414" s="2" t="str">
        <f>IFERROR(__xludf.DUMMYFUNCTION("IF('From Order'!$A1414=COLUMNS($A1414:B1433), LEFT(INDEX(FILTER(B$1:B1413, B$1:B1413&lt;&gt;""""),COUNTA(FILTER(B$1:B1413, B$1:B1413&lt;&gt;""""))), LEN(INDEX(FILTER(B$1:B1413, B$1:B1413&lt;&gt;""""),COUNTA(FILTER(B$1:B1413, B$1:B1413&lt;&gt;""""))))-1), IF('To Order'!$A1414=COL"&amp;"UMNS($A1414:B1433), B1413&amp;RIGHT(INDIRECT(ADDRESS(ROW(B1414)-1, 'From Order'!$A1414)), 1), B1413))"),"RZ")</f>
        <v>RZ</v>
      </c>
      <c r="C1414" s="2" t="str">
        <f>IFERROR(__xludf.DUMMYFUNCTION("IF('From Order'!$A1414=COLUMNS($A1414:C1433), LEFT(INDEX(FILTER(C$1:C1413, C$1:C1413&lt;&gt;""""),COUNTA(FILTER(C$1:C1413, C$1:C1413&lt;&gt;""""))), LEN(INDEX(FILTER(C$1:C1413, C$1:C1413&lt;&gt;""""),COUNTA(FILTER(C$1:C1413, C$1:C1413&lt;&gt;""""))))-1), IF('To Order'!$A1414=COL"&amp;"UMNS($A1414:C1433), C1413&amp;RIGHT(INDIRECT(ADDRESS(ROW(C1414)-1, 'From Order'!$A1414)), 1), C1413))"),"TQVQJPPLDTMGBSDJDM")</f>
        <v>TQVQJPPLDTMGBSDJDM</v>
      </c>
      <c r="D1414" s="2" t="str">
        <f>IFERROR(__xludf.DUMMYFUNCTION("IF('From Order'!$A1414=COLUMNS($A1414:D1433), LEFT(INDEX(FILTER(D$1:D1413, D$1:D1413&lt;&gt;""""),COUNTA(FILTER(D$1:D1413, D$1:D1413&lt;&gt;""""))), LEN(INDEX(FILTER(D$1:D1413, D$1:D1413&lt;&gt;""""),COUNTA(FILTER(D$1:D1413, D$1:D1413&lt;&gt;""""))))-1), IF('To Order'!$A1414=COL"&amp;"UMNS($A1414:D1433), D1413&amp;RIGHT(INDIRECT(ADDRESS(ROW(D1414)-1, 'From Order'!$A1414)), 1), D1413))"),"")</f>
        <v/>
      </c>
      <c r="E1414" s="2" t="str">
        <f>IFERROR(__xludf.DUMMYFUNCTION("IF('From Order'!$A1414=COLUMNS($A1414:E1433), LEFT(INDEX(FILTER(E$1:E1413, E$1:E1413&lt;&gt;""""),COUNTA(FILTER(E$1:E1413, E$1:E1413&lt;&gt;""""))), LEN(INDEX(FILTER(E$1:E1413, E$1:E1413&lt;&gt;""""),COUNTA(FILTER(E$1:E1413, E$1:E1413&lt;&gt;""""))))-1), IF('To Order'!$A1414=COL"&amp;"UMNS($A1414:E1433), E1413&amp;RIGHT(INDIRECT(ADDRESS(ROW(E1414)-1, 'From Order'!$A1414)), 1), E1413))"),"HGSTDDLWPBF")</f>
        <v>HGSTDDLWPBF</v>
      </c>
      <c r="F1414" s="2" t="str">
        <f>IFERROR(__xludf.DUMMYFUNCTION("IF('From Order'!$A1414=COLUMNS($A1414:F1433), LEFT(INDEX(FILTER(F$1:F1413, F$1:F1413&lt;&gt;""""),COUNTA(FILTER(F$1:F1413, F$1:F1413&lt;&gt;""""))), LEN(INDEX(FILTER(F$1:F1413, F$1:F1413&lt;&gt;""""),COUNTA(FILTER(F$1:F1413, F$1:F1413&lt;&gt;""""))))-1), IF('To Order'!$A1414=COL"&amp;"UMNS($A1414:F1433), F1413&amp;RIGHT(INDIRECT(ADDRESS(ROW(F1414)-1, 'From Order'!$A1414)), 1), F1413))"),"ZRLBSTVFSCZ")</f>
        <v>ZRLBSTVFSCZ</v>
      </c>
      <c r="G1414" s="2" t="str">
        <f>IFERROR(__xludf.DUMMYFUNCTION("IF('From Order'!$A1414=COLUMNS($A1414:G1433), LEFT(INDEX(FILTER(G$1:G1413, G$1:G1413&lt;&gt;""""),COUNTA(FILTER(G$1:G1413, G$1:G1413&lt;&gt;""""))), LEN(INDEX(FILTER(G$1:G1413, G$1:G1413&lt;&gt;""""),COUNTA(FILTER(G$1:G1413, G$1:G1413&lt;&gt;""""))))-1), IF('To Order'!$A1414=COL"&amp;"UMNS($A1414:G1433), G1413&amp;RIGHT(INDIRECT(ADDRESS(ROW(G1414)-1, 'From Order'!$A1414)), 1), G1413))"),"WRMBVTCRCDRH")</f>
        <v>WRMBVTCRCDRH</v>
      </c>
      <c r="H1414" s="2" t="str">
        <f>IFERROR(__xludf.DUMMYFUNCTION("IF('From Order'!$A1414=COLUMNS($A1414:H1433), LEFT(INDEX(FILTER(H$1:H1413, H$1:H1413&lt;&gt;""""),COUNTA(FILTER(H$1:H1413, H$1:H1413&lt;&gt;""""))), LEN(INDEX(FILTER(H$1:H1413, H$1:H1413&lt;&gt;""""),COUNTA(FILTER(H$1:H1413, H$1:H1413&lt;&gt;""""))))-1), IF('To Order'!$A1414=COL"&amp;"UMNS($A1414:H1433), H1413&amp;RIGHT(INDIRECT(ADDRESS(ROW(H1414)-1, 'From Order'!$A1414)), 1), H1413))"),"")</f>
        <v/>
      </c>
      <c r="I1414" s="2" t="str">
        <f>IFERROR(__xludf.DUMMYFUNCTION("IF('From Order'!$A1414=COLUMNS($A1414:I1433), LEFT(INDEX(FILTER(I$1:I1413, I$1:I1413&lt;&gt;""""),COUNTA(FILTER(I$1:I1413, I$1:I1413&lt;&gt;""""))), LEN(INDEX(FILTER(I$1:I1413, I$1:I1413&lt;&gt;""""),COUNTA(FILTER(I$1:I1413, I$1:I1413&lt;&gt;""""))))-1), IF('To Order'!$A1414=COL"&amp;"UMNS($A1414:I1433), I1413&amp;RIGHT(INDIRECT(ADDRESS(ROW(I1414)-1, 'From Order'!$A1414)), 1), I1413))"),"")</f>
        <v/>
      </c>
    </row>
    <row r="1415">
      <c r="A1415" s="2" t="str">
        <f>IFERROR(__xludf.DUMMYFUNCTION("IF('From Order'!$A1415=COLUMNS($A1415:A1434), LEFT(INDEX(FILTER(A$1:A1414, A$1:A1414&lt;&gt;""""),COUNTA(FILTER(A$1:A1414, A$1:A1414&lt;&gt;""""))), LEN(INDEX(FILTER(A$1:A1414, A$1:A1414&lt;&gt;""""),COUNTA(FILTER(A$1:A1414, A$1:A1414&lt;&gt;""""))))-1), IF('To Order'!$A1415=COL"&amp;"UMNS($A1415:A1434), A1414&amp;RIGHT(INDIRECT(ADDRESS(ROW(A1415)-1, 'From Order'!$A1415)), 1), A1414))"),"JT")</f>
        <v>JT</v>
      </c>
      <c r="B1415" s="2" t="str">
        <f>IFERROR(__xludf.DUMMYFUNCTION("IF('From Order'!$A1415=COLUMNS($A1415:B1434), LEFT(INDEX(FILTER(B$1:B1414, B$1:B1414&lt;&gt;""""),COUNTA(FILTER(B$1:B1414, B$1:B1414&lt;&gt;""""))), LEN(INDEX(FILTER(B$1:B1414, B$1:B1414&lt;&gt;""""),COUNTA(FILTER(B$1:B1414, B$1:B1414&lt;&gt;""""))))-1), IF('To Order'!$A1415=COL"&amp;"UMNS($A1415:B1434), B1414&amp;RIGHT(INDIRECT(ADDRESS(ROW(B1415)-1, 'From Order'!$A1415)), 1), B1414))"),"RZ")</f>
        <v>RZ</v>
      </c>
      <c r="C1415" s="2" t="str">
        <f>IFERROR(__xludf.DUMMYFUNCTION("IF('From Order'!$A1415=COLUMNS($A1415:C1434), LEFT(INDEX(FILTER(C$1:C1414, C$1:C1414&lt;&gt;""""),COUNTA(FILTER(C$1:C1414, C$1:C1414&lt;&gt;""""))), LEN(INDEX(FILTER(C$1:C1414, C$1:C1414&lt;&gt;""""),COUNTA(FILTER(C$1:C1414, C$1:C1414&lt;&gt;""""))))-1), IF('To Order'!$A1415=COL"&amp;"UMNS($A1415:C1434), C1414&amp;RIGHT(INDIRECT(ADDRESS(ROW(C1415)-1, 'From Order'!$A1415)), 1), C1414))"),"TQVQJPPLDTMGBSDJD")</f>
        <v>TQVQJPPLDTMGBSDJD</v>
      </c>
      <c r="D1415" s="2" t="str">
        <f>IFERROR(__xludf.DUMMYFUNCTION("IF('From Order'!$A1415=COLUMNS($A1415:D1434), LEFT(INDEX(FILTER(D$1:D1414, D$1:D1414&lt;&gt;""""),COUNTA(FILTER(D$1:D1414, D$1:D1414&lt;&gt;""""))), LEN(INDEX(FILTER(D$1:D1414, D$1:D1414&lt;&gt;""""),COUNTA(FILTER(D$1:D1414, D$1:D1414&lt;&gt;""""))))-1), IF('To Order'!$A1415=COL"&amp;"UMNS($A1415:D1434), D1414&amp;RIGHT(INDIRECT(ADDRESS(ROW(D1415)-1, 'From Order'!$A1415)), 1), D1414))"),"")</f>
        <v/>
      </c>
      <c r="E1415" s="2" t="str">
        <f>IFERROR(__xludf.DUMMYFUNCTION("IF('From Order'!$A1415=COLUMNS($A1415:E1434), LEFT(INDEX(FILTER(E$1:E1414, E$1:E1414&lt;&gt;""""),COUNTA(FILTER(E$1:E1414, E$1:E1414&lt;&gt;""""))), LEN(INDEX(FILTER(E$1:E1414, E$1:E1414&lt;&gt;""""),COUNTA(FILTER(E$1:E1414, E$1:E1414&lt;&gt;""""))))-1), IF('To Order'!$A1415=COL"&amp;"UMNS($A1415:E1434), E1414&amp;RIGHT(INDIRECT(ADDRESS(ROW(E1415)-1, 'From Order'!$A1415)), 1), E1414))"),"HGSTDDLWPBFM")</f>
        <v>HGSTDDLWPBFM</v>
      </c>
      <c r="F1415" s="2" t="str">
        <f>IFERROR(__xludf.DUMMYFUNCTION("IF('From Order'!$A1415=COLUMNS($A1415:F1434), LEFT(INDEX(FILTER(F$1:F1414, F$1:F1414&lt;&gt;""""),COUNTA(FILTER(F$1:F1414, F$1:F1414&lt;&gt;""""))), LEN(INDEX(FILTER(F$1:F1414, F$1:F1414&lt;&gt;""""),COUNTA(FILTER(F$1:F1414, F$1:F1414&lt;&gt;""""))))-1), IF('To Order'!$A1415=COL"&amp;"UMNS($A1415:F1434), F1414&amp;RIGHT(INDIRECT(ADDRESS(ROW(F1415)-1, 'From Order'!$A1415)), 1), F1414))"),"ZRLBSTVFSCZ")</f>
        <v>ZRLBSTVFSCZ</v>
      </c>
      <c r="G1415" s="2" t="str">
        <f>IFERROR(__xludf.DUMMYFUNCTION("IF('From Order'!$A1415=COLUMNS($A1415:G1434), LEFT(INDEX(FILTER(G$1:G1414, G$1:G1414&lt;&gt;""""),COUNTA(FILTER(G$1:G1414, G$1:G1414&lt;&gt;""""))), LEN(INDEX(FILTER(G$1:G1414, G$1:G1414&lt;&gt;""""),COUNTA(FILTER(G$1:G1414, G$1:G1414&lt;&gt;""""))))-1), IF('To Order'!$A1415=COL"&amp;"UMNS($A1415:G1434), G1414&amp;RIGHT(INDIRECT(ADDRESS(ROW(G1415)-1, 'From Order'!$A1415)), 1), G1414))"),"WRMBVTCRCDRH")</f>
        <v>WRMBVTCRCDRH</v>
      </c>
      <c r="H1415" s="2" t="str">
        <f>IFERROR(__xludf.DUMMYFUNCTION("IF('From Order'!$A1415=COLUMNS($A1415:H1434), LEFT(INDEX(FILTER(H$1:H1414, H$1:H1414&lt;&gt;""""),COUNTA(FILTER(H$1:H1414, H$1:H1414&lt;&gt;""""))), LEN(INDEX(FILTER(H$1:H1414, H$1:H1414&lt;&gt;""""),COUNTA(FILTER(H$1:H1414, H$1:H1414&lt;&gt;""""))))-1), IF('To Order'!$A1415=COL"&amp;"UMNS($A1415:H1434), H1414&amp;RIGHT(INDIRECT(ADDRESS(ROW(H1415)-1, 'From Order'!$A1415)), 1), H1414))"),"")</f>
        <v/>
      </c>
      <c r="I1415" s="2" t="str">
        <f>IFERROR(__xludf.DUMMYFUNCTION("IF('From Order'!$A1415=COLUMNS($A1415:I1434), LEFT(INDEX(FILTER(I$1:I1414, I$1:I1414&lt;&gt;""""),COUNTA(FILTER(I$1:I1414, I$1:I1414&lt;&gt;""""))), LEN(INDEX(FILTER(I$1:I1414, I$1:I1414&lt;&gt;""""),COUNTA(FILTER(I$1:I1414, I$1:I1414&lt;&gt;""""))))-1), IF('To Order'!$A1415=COL"&amp;"UMNS($A1415:I1434), I1414&amp;RIGHT(INDIRECT(ADDRESS(ROW(I1415)-1, 'From Order'!$A1415)), 1), I1414))"),"")</f>
        <v/>
      </c>
    </row>
    <row r="1416">
      <c r="A1416" s="2" t="str">
        <f>IFERROR(__xludf.DUMMYFUNCTION("IF('From Order'!$A1416=COLUMNS($A1416:A1435), LEFT(INDEX(FILTER(A$1:A1415, A$1:A1415&lt;&gt;""""),COUNTA(FILTER(A$1:A1415, A$1:A1415&lt;&gt;""""))), LEN(INDEX(FILTER(A$1:A1415, A$1:A1415&lt;&gt;""""),COUNTA(FILTER(A$1:A1415, A$1:A1415&lt;&gt;""""))))-1), IF('To Order'!$A1416=COL"&amp;"UMNS($A1416:A1435), A1415&amp;RIGHT(INDIRECT(ADDRESS(ROW(A1416)-1, 'From Order'!$A1416)), 1), A1415))"),"JT")</f>
        <v>JT</v>
      </c>
      <c r="B1416" s="2" t="str">
        <f>IFERROR(__xludf.DUMMYFUNCTION("IF('From Order'!$A1416=COLUMNS($A1416:B1435), LEFT(INDEX(FILTER(B$1:B1415, B$1:B1415&lt;&gt;""""),COUNTA(FILTER(B$1:B1415, B$1:B1415&lt;&gt;""""))), LEN(INDEX(FILTER(B$1:B1415, B$1:B1415&lt;&gt;""""),COUNTA(FILTER(B$1:B1415, B$1:B1415&lt;&gt;""""))))-1), IF('To Order'!$A1416=COL"&amp;"UMNS($A1416:B1435), B1415&amp;RIGHT(INDIRECT(ADDRESS(ROW(B1416)-1, 'From Order'!$A1416)), 1), B1415))"),"RZ")</f>
        <v>RZ</v>
      </c>
      <c r="C1416" s="2" t="str">
        <f>IFERROR(__xludf.DUMMYFUNCTION("IF('From Order'!$A1416=COLUMNS($A1416:C1435), LEFT(INDEX(FILTER(C$1:C1415, C$1:C1415&lt;&gt;""""),COUNTA(FILTER(C$1:C1415, C$1:C1415&lt;&gt;""""))), LEN(INDEX(FILTER(C$1:C1415, C$1:C1415&lt;&gt;""""),COUNTA(FILTER(C$1:C1415, C$1:C1415&lt;&gt;""""))))-1), IF('To Order'!$A1416=COL"&amp;"UMNS($A1416:C1435), C1415&amp;RIGHT(INDIRECT(ADDRESS(ROW(C1416)-1, 'From Order'!$A1416)), 1), C1415))"),"TQVQJPPLDTMGBSDJ")</f>
        <v>TQVQJPPLDTMGBSDJ</v>
      </c>
      <c r="D1416" s="2" t="str">
        <f>IFERROR(__xludf.DUMMYFUNCTION("IF('From Order'!$A1416=COLUMNS($A1416:D1435), LEFT(INDEX(FILTER(D$1:D1415, D$1:D1415&lt;&gt;""""),COUNTA(FILTER(D$1:D1415, D$1:D1415&lt;&gt;""""))), LEN(INDEX(FILTER(D$1:D1415, D$1:D1415&lt;&gt;""""),COUNTA(FILTER(D$1:D1415, D$1:D1415&lt;&gt;""""))))-1), IF('To Order'!$A1416=COL"&amp;"UMNS($A1416:D1435), D1415&amp;RIGHT(INDIRECT(ADDRESS(ROW(D1416)-1, 'From Order'!$A1416)), 1), D1415))"),"")</f>
        <v/>
      </c>
      <c r="E1416" s="2" t="str">
        <f>IFERROR(__xludf.DUMMYFUNCTION("IF('From Order'!$A1416=COLUMNS($A1416:E1435), LEFT(INDEX(FILTER(E$1:E1415, E$1:E1415&lt;&gt;""""),COUNTA(FILTER(E$1:E1415, E$1:E1415&lt;&gt;""""))), LEN(INDEX(FILTER(E$1:E1415, E$1:E1415&lt;&gt;""""),COUNTA(FILTER(E$1:E1415, E$1:E1415&lt;&gt;""""))))-1), IF('To Order'!$A1416=COL"&amp;"UMNS($A1416:E1435), E1415&amp;RIGHT(INDIRECT(ADDRESS(ROW(E1416)-1, 'From Order'!$A1416)), 1), E1415))"),"HGSTDDLWPBFMD")</f>
        <v>HGSTDDLWPBFMD</v>
      </c>
      <c r="F1416" s="2" t="str">
        <f>IFERROR(__xludf.DUMMYFUNCTION("IF('From Order'!$A1416=COLUMNS($A1416:F1435), LEFT(INDEX(FILTER(F$1:F1415, F$1:F1415&lt;&gt;""""),COUNTA(FILTER(F$1:F1415, F$1:F1415&lt;&gt;""""))), LEN(INDEX(FILTER(F$1:F1415, F$1:F1415&lt;&gt;""""),COUNTA(FILTER(F$1:F1415, F$1:F1415&lt;&gt;""""))))-1), IF('To Order'!$A1416=COL"&amp;"UMNS($A1416:F1435), F1415&amp;RIGHT(INDIRECT(ADDRESS(ROW(F1416)-1, 'From Order'!$A1416)), 1), F1415))"),"ZRLBSTVFSCZ")</f>
        <v>ZRLBSTVFSCZ</v>
      </c>
      <c r="G1416" s="2" t="str">
        <f>IFERROR(__xludf.DUMMYFUNCTION("IF('From Order'!$A1416=COLUMNS($A1416:G1435), LEFT(INDEX(FILTER(G$1:G1415, G$1:G1415&lt;&gt;""""),COUNTA(FILTER(G$1:G1415, G$1:G1415&lt;&gt;""""))), LEN(INDEX(FILTER(G$1:G1415, G$1:G1415&lt;&gt;""""),COUNTA(FILTER(G$1:G1415, G$1:G1415&lt;&gt;""""))))-1), IF('To Order'!$A1416=COL"&amp;"UMNS($A1416:G1435), G1415&amp;RIGHT(INDIRECT(ADDRESS(ROW(G1416)-1, 'From Order'!$A1416)), 1), G1415))"),"WRMBVTCRCDRH")</f>
        <v>WRMBVTCRCDRH</v>
      </c>
      <c r="H1416" s="2" t="str">
        <f>IFERROR(__xludf.DUMMYFUNCTION("IF('From Order'!$A1416=COLUMNS($A1416:H1435), LEFT(INDEX(FILTER(H$1:H1415, H$1:H1415&lt;&gt;""""),COUNTA(FILTER(H$1:H1415, H$1:H1415&lt;&gt;""""))), LEN(INDEX(FILTER(H$1:H1415, H$1:H1415&lt;&gt;""""),COUNTA(FILTER(H$1:H1415, H$1:H1415&lt;&gt;""""))))-1), IF('To Order'!$A1416=COL"&amp;"UMNS($A1416:H1435), H1415&amp;RIGHT(INDIRECT(ADDRESS(ROW(H1416)-1, 'From Order'!$A1416)), 1), H1415))"),"")</f>
        <v/>
      </c>
      <c r="I1416" s="2" t="str">
        <f>IFERROR(__xludf.DUMMYFUNCTION("IF('From Order'!$A1416=COLUMNS($A1416:I1435), LEFT(INDEX(FILTER(I$1:I1415, I$1:I1415&lt;&gt;""""),COUNTA(FILTER(I$1:I1415, I$1:I1415&lt;&gt;""""))), LEN(INDEX(FILTER(I$1:I1415, I$1:I1415&lt;&gt;""""),COUNTA(FILTER(I$1:I1415, I$1:I1415&lt;&gt;""""))))-1), IF('To Order'!$A1416=COL"&amp;"UMNS($A1416:I1435), I1415&amp;RIGHT(INDIRECT(ADDRESS(ROW(I1416)-1, 'From Order'!$A1416)), 1), I1415))"),"")</f>
        <v/>
      </c>
    </row>
    <row r="1417">
      <c r="A1417" s="2" t="str">
        <f>IFERROR(__xludf.DUMMYFUNCTION("IF('From Order'!$A1417=COLUMNS($A1417:A1436), LEFT(INDEX(FILTER(A$1:A1416, A$1:A1416&lt;&gt;""""),COUNTA(FILTER(A$1:A1416, A$1:A1416&lt;&gt;""""))), LEN(INDEX(FILTER(A$1:A1416, A$1:A1416&lt;&gt;""""),COUNTA(FILTER(A$1:A1416, A$1:A1416&lt;&gt;""""))))-1), IF('To Order'!$A1417=COL"&amp;"UMNS($A1417:A1436), A1416&amp;RIGHT(INDIRECT(ADDRESS(ROW(A1417)-1, 'From Order'!$A1417)), 1), A1416))"),"JT")</f>
        <v>JT</v>
      </c>
      <c r="B1417" s="2" t="str">
        <f>IFERROR(__xludf.DUMMYFUNCTION("IF('From Order'!$A1417=COLUMNS($A1417:B1436), LEFT(INDEX(FILTER(B$1:B1416, B$1:B1416&lt;&gt;""""),COUNTA(FILTER(B$1:B1416, B$1:B1416&lt;&gt;""""))), LEN(INDEX(FILTER(B$1:B1416, B$1:B1416&lt;&gt;""""),COUNTA(FILTER(B$1:B1416, B$1:B1416&lt;&gt;""""))))-1), IF('To Order'!$A1417=COL"&amp;"UMNS($A1417:B1436), B1416&amp;RIGHT(INDIRECT(ADDRESS(ROW(B1417)-1, 'From Order'!$A1417)), 1), B1416))"),"RZ")</f>
        <v>RZ</v>
      </c>
      <c r="C1417" s="2" t="str">
        <f>IFERROR(__xludf.DUMMYFUNCTION("IF('From Order'!$A1417=COLUMNS($A1417:C1436), LEFT(INDEX(FILTER(C$1:C1416, C$1:C1416&lt;&gt;""""),COUNTA(FILTER(C$1:C1416, C$1:C1416&lt;&gt;""""))), LEN(INDEX(FILTER(C$1:C1416, C$1:C1416&lt;&gt;""""),COUNTA(FILTER(C$1:C1416, C$1:C1416&lt;&gt;""""))))-1), IF('To Order'!$A1417=COL"&amp;"UMNS($A1417:C1436), C1416&amp;RIGHT(INDIRECT(ADDRESS(ROW(C1417)-1, 'From Order'!$A1417)), 1), C1416))"),"TQVQJPPLDTMGBSD")</f>
        <v>TQVQJPPLDTMGBSD</v>
      </c>
      <c r="D1417" s="2" t="str">
        <f>IFERROR(__xludf.DUMMYFUNCTION("IF('From Order'!$A1417=COLUMNS($A1417:D1436), LEFT(INDEX(FILTER(D$1:D1416, D$1:D1416&lt;&gt;""""),COUNTA(FILTER(D$1:D1416, D$1:D1416&lt;&gt;""""))), LEN(INDEX(FILTER(D$1:D1416, D$1:D1416&lt;&gt;""""),COUNTA(FILTER(D$1:D1416, D$1:D1416&lt;&gt;""""))))-1), IF('To Order'!$A1417=COL"&amp;"UMNS($A1417:D1436), D1416&amp;RIGHT(INDIRECT(ADDRESS(ROW(D1417)-1, 'From Order'!$A1417)), 1), D1416))"),"")</f>
        <v/>
      </c>
      <c r="E1417" s="2" t="str">
        <f>IFERROR(__xludf.DUMMYFUNCTION("IF('From Order'!$A1417=COLUMNS($A1417:E1436), LEFT(INDEX(FILTER(E$1:E1416, E$1:E1416&lt;&gt;""""),COUNTA(FILTER(E$1:E1416, E$1:E1416&lt;&gt;""""))), LEN(INDEX(FILTER(E$1:E1416, E$1:E1416&lt;&gt;""""),COUNTA(FILTER(E$1:E1416, E$1:E1416&lt;&gt;""""))))-1), IF('To Order'!$A1417=COL"&amp;"UMNS($A1417:E1436), E1416&amp;RIGHT(INDIRECT(ADDRESS(ROW(E1417)-1, 'From Order'!$A1417)), 1), E1416))"),"HGSTDDLWPBFMDJ")</f>
        <v>HGSTDDLWPBFMDJ</v>
      </c>
      <c r="F1417" s="2" t="str">
        <f>IFERROR(__xludf.DUMMYFUNCTION("IF('From Order'!$A1417=COLUMNS($A1417:F1436), LEFT(INDEX(FILTER(F$1:F1416, F$1:F1416&lt;&gt;""""),COUNTA(FILTER(F$1:F1416, F$1:F1416&lt;&gt;""""))), LEN(INDEX(FILTER(F$1:F1416, F$1:F1416&lt;&gt;""""),COUNTA(FILTER(F$1:F1416, F$1:F1416&lt;&gt;""""))))-1), IF('To Order'!$A1417=COL"&amp;"UMNS($A1417:F1436), F1416&amp;RIGHT(INDIRECT(ADDRESS(ROW(F1417)-1, 'From Order'!$A1417)), 1), F1416))"),"ZRLBSTVFSCZ")</f>
        <v>ZRLBSTVFSCZ</v>
      </c>
      <c r="G1417" s="2" t="str">
        <f>IFERROR(__xludf.DUMMYFUNCTION("IF('From Order'!$A1417=COLUMNS($A1417:G1436), LEFT(INDEX(FILTER(G$1:G1416, G$1:G1416&lt;&gt;""""),COUNTA(FILTER(G$1:G1416, G$1:G1416&lt;&gt;""""))), LEN(INDEX(FILTER(G$1:G1416, G$1:G1416&lt;&gt;""""),COUNTA(FILTER(G$1:G1416, G$1:G1416&lt;&gt;""""))))-1), IF('To Order'!$A1417=COL"&amp;"UMNS($A1417:G1436), G1416&amp;RIGHT(INDIRECT(ADDRESS(ROW(G1417)-1, 'From Order'!$A1417)), 1), G1416))"),"WRMBVTCRCDRH")</f>
        <v>WRMBVTCRCDRH</v>
      </c>
      <c r="H1417" s="2" t="str">
        <f>IFERROR(__xludf.DUMMYFUNCTION("IF('From Order'!$A1417=COLUMNS($A1417:H1436), LEFT(INDEX(FILTER(H$1:H1416, H$1:H1416&lt;&gt;""""),COUNTA(FILTER(H$1:H1416, H$1:H1416&lt;&gt;""""))), LEN(INDEX(FILTER(H$1:H1416, H$1:H1416&lt;&gt;""""),COUNTA(FILTER(H$1:H1416, H$1:H1416&lt;&gt;""""))))-1), IF('To Order'!$A1417=COL"&amp;"UMNS($A1417:H1436), H1416&amp;RIGHT(INDIRECT(ADDRESS(ROW(H1417)-1, 'From Order'!$A1417)), 1), H1416))"),"")</f>
        <v/>
      </c>
      <c r="I1417" s="2" t="str">
        <f>IFERROR(__xludf.DUMMYFUNCTION("IF('From Order'!$A1417=COLUMNS($A1417:I1436), LEFT(INDEX(FILTER(I$1:I1416, I$1:I1416&lt;&gt;""""),COUNTA(FILTER(I$1:I1416, I$1:I1416&lt;&gt;""""))), LEN(INDEX(FILTER(I$1:I1416, I$1:I1416&lt;&gt;""""),COUNTA(FILTER(I$1:I1416, I$1:I1416&lt;&gt;""""))))-1), IF('To Order'!$A1417=COL"&amp;"UMNS($A1417:I1436), I1416&amp;RIGHT(INDIRECT(ADDRESS(ROW(I1417)-1, 'From Order'!$A1417)), 1), I1416))"),"")</f>
        <v/>
      </c>
    </row>
    <row r="1418">
      <c r="A1418" s="2" t="str">
        <f>IFERROR(__xludf.DUMMYFUNCTION("IF('From Order'!$A1418=COLUMNS($A1418:A1437), LEFT(INDEX(FILTER(A$1:A1417, A$1:A1417&lt;&gt;""""),COUNTA(FILTER(A$1:A1417, A$1:A1417&lt;&gt;""""))), LEN(INDEX(FILTER(A$1:A1417, A$1:A1417&lt;&gt;""""),COUNTA(FILTER(A$1:A1417, A$1:A1417&lt;&gt;""""))))-1), IF('To Order'!$A1418=COL"&amp;"UMNS($A1418:A1437), A1417&amp;RIGHT(INDIRECT(ADDRESS(ROW(A1418)-1, 'From Order'!$A1418)), 1), A1417))"),"JT")</f>
        <v>JT</v>
      </c>
      <c r="B1418" s="2" t="str">
        <f>IFERROR(__xludf.DUMMYFUNCTION("IF('From Order'!$A1418=COLUMNS($A1418:B1437), LEFT(INDEX(FILTER(B$1:B1417, B$1:B1417&lt;&gt;""""),COUNTA(FILTER(B$1:B1417, B$1:B1417&lt;&gt;""""))), LEN(INDEX(FILTER(B$1:B1417, B$1:B1417&lt;&gt;""""),COUNTA(FILTER(B$1:B1417, B$1:B1417&lt;&gt;""""))))-1), IF('To Order'!$A1418=COL"&amp;"UMNS($A1418:B1437), B1417&amp;RIGHT(INDIRECT(ADDRESS(ROW(B1418)-1, 'From Order'!$A1418)), 1), B1417))"),"RZ")</f>
        <v>RZ</v>
      </c>
      <c r="C1418" s="2" t="str">
        <f>IFERROR(__xludf.DUMMYFUNCTION("IF('From Order'!$A1418=COLUMNS($A1418:C1437), LEFT(INDEX(FILTER(C$1:C1417, C$1:C1417&lt;&gt;""""),COUNTA(FILTER(C$1:C1417, C$1:C1417&lt;&gt;""""))), LEN(INDEX(FILTER(C$1:C1417, C$1:C1417&lt;&gt;""""),COUNTA(FILTER(C$1:C1417, C$1:C1417&lt;&gt;""""))))-1), IF('To Order'!$A1418=COL"&amp;"UMNS($A1418:C1437), C1417&amp;RIGHT(INDIRECT(ADDRESS(ROW(C1418)-1, 'From Order'!$A1418)), 1), C1417))"),"TQVQJPPLDTMGBS")</f>
        <v>TQVQJPPLDTMGBS</v>
      </c>
      <c r="D1418" s="2" t="str">
        <f>IFERROR(__xludf.DUMMYFUNCTION("IF('From Order'!$A1418=COLUMNS($A1418:D1437), LEFT(INDEX(FILTER(D$1:D1417, D$1:D1417&lt;&gt;""""),COUNTA(FILTER(D$1:D1417, D$1:D1417&lt;&gt;""""))), LEN(INDEX(FILTER(D$1:D1417, D$1:D1417&lt;&gt;""""),COUNTA(FILTER(D$1:D1417, D$1:D1417&lt;&gt;""""))))-1), IF('To Order'!$A1418=COL"&amp;"UMNS($A1418:D1437), D1417&amp;RIGHT(INDIRECT(ADDRESS(ROW(D1418)-1, 'From Order'!$A1418)), 1), D1417))"),"")</f>
        <v/>
      </c>
      <c r="E1418" s="2" t="str">
        <f>IFERROR(__xludf.DUMMYFUNCTION("IF('From Order'!$A1418=COLUMNS($A1418:E1437), LEFT(INDEX(FILTER(E$1:E1417, E$1:E1417&lt;&gt;""""),COUNTA(FILTER(E$1:E1417, E$1:E1417&lt;&gt;""""))), LEN(INDEX(FILTER(E$1:E1417, E$1:E1417&lt;&gt;""""),COUNTA(FILTER(E$1:E1417, E$1:E1417&lt;&gt;""""))))-1), IF('To Order'!$A1418=COL"&amp;"UMNS($A1418:E1437), E1417&amp;RIGHT(INDIRECT(ADDRESS(ROW(E1418)-1, 'From Order'!$A1418)), 1), E1417))"),"HGSTDDLWPBFMDJD")</f>
        <v>HGSTDDLWPBFMDJD</v>
      </c>
      <c r="F1418" s="2" t="str">
        <f>IFERROR(__xludf.DUMMYFUNCTION("IF('From Order'!$A1418=COLUMNS($A1418:F1437), LEFT(INDEX(FILTER(F$1:F1417, F$1:F1417&lt;&gt;""""),COUNTA(FILTER(F$1:F1417, F$1:F1417&lt;&gt;""""))), LEN(INDEX(FILTER(F$1:F1417, F$1:F1417&lt;&gt;""""),COUNTA(FILTER(F$1:F1417, F$1:F1417&lt;&gt;""""))))-1), IF('To Order'!$A1418=COL"&amp;"UMNS($A1418:F1437), F1417&amp;RIGHT(INDIRECT(ADDRESS(ROW(F1418)-1, 'From Order'!$A1418)), 1), F1417))"),"ZRLBSTVFSCZ")</f>
        <v>ZRLBSTVFSCZ</v>
      </c>
      <c r="G1418" s="2" t="str">
        <f>IFERROR(__xludf.DUMMYFUNCTION("IF('From Order'!$A1418=COLUMNS($A1418:G1437), LEFT(INDEX(FILTER(G$1:G1417, G$1:G1417&lt;&gt;""""),COUNTA(FILTER(G$1:G1417, G$1:G1417&lt;&gt;""""))), LEN(INDEX(FILTER(G$1:G1417, G$1:G1417&lt;&gt;""""),COUNTA(FILTER(G$1:G1417, G$1:G1417&lt;&gt;""""))))-1), IF('To Order'!$A1418=COL"&amp;"UMNS($A1418:G1437), G1417&amp;RIGHT(INDIRECT(ADDRESS(ROW(G1418)-1, 'From Order'!$A1418)), 1), G1417))"),"WRMBVTCRCDRH")</f>
        <v>WRMBVTCRCDRH</v>
      </c>
      <c r="H1418" s="2" t="str">
        <f>IFERROR(__xludf.DUMMYFUNCTION("IF('From Order'!$A1418=COLUMNS($A1418:H1437), LEFT(INDEX(FILTER(H$1:H1417, H$1:H1417&lt;&gt;""""),COUNTA(FILTER(H$1:H1417, H$1:H1417&lt;&gt;""""))), LEN(INDEX(FILTER(H$1:H1417, H$1:H1417&lt;&gt;""""),COUNTA(FILTER(H$1:H1417, H$1:H1417&lt;&gt;""""))))-1), IF('To Order'!$A1418=COL"&amp;"UMNS($A1418:H1437), H1417&amp;RIGHT(INDIRECT(ADDRESS(ROW(H1418)-1, 'From Order'!$A1418)), 1), H1417))"),"")</f>
        <v/>
      </c>
      <c r="I1418" s="2" t="str">
        <f>IFERROR(__xludf.DUMMYFUNCTION("IF('From Order'!$A1418=COLUMNS($A1418:I1437), LEFT(INDEX(FILTER(I$1:I1417, I$1:I1417&lt;&gt;""""),COUNTA(FILTER(I$1:I1417, I$1:I1417&lt;&gt;""""))), LEN(INDEX(FILTER(I$1:I1417, I$1:I1417&lt;&gt;""""),COUNTA(FILTER(I$1:I1417, I$1:I1417&lt;&gt;""""))))-1), IF('To Order'!$A1418=COL"&amp;"UMNS($A1418:I1437), I1417&amp;RIGHT(INDIRECT(ADDRESS(ROW(I1418)-1, 'From Order'!$A1418)), 1), I1417))"),"")</f>
        <v/>
      </c>
    </row>
    <row r="1419">
      <c r="A1419" s="2" t="str">
        <f>IFERROR(__xludf.DUMMYFUNCTION("IF('From Order'!$A1419=COLUMNS($A1419:A1438), LEFT(INDEX(FILTER(A$1:A1418, A$1:A1418&lt;&gt;""""),COUNTA(FILTER(A$1:A1418, A$1:A1418&lt;&gt;""""))), LEN(INDEX(FILTER(A$1:A1418, A$1:A1418&lt;&gt;""""),COUNTA(FILTER(A$1:A1418, A$1:A1418&lt;&gt;""""))))-1), IF('To Order'!$A1419=COL"&amp;"UMNS($A1419:A1438), A1418&amp;RIGHT(INDIRECT(ADDRESS(ROW(A1419)-1, 'From Order'!$A1419)), 1), A1418))"),"JT")</f>
        <v>JT</v>
      </c>
      <c r="B1419" s="2" t="str">
        <f>IFERROR(__xludf.DUMMYFUNCTION("IF('From Order'!$A1419=COLUMNS($A1419:B1438), LEFT(INDEX(FILTER(B$1:B1418, B$1:B1418&lt;&gt;""""),COUNTA(FILTER(B$1:B1418, B$1:B1418&lt;&gt;""""))), LEN(INDEX(FILTER(B$1:B1418, B$1:B1418&lt;&gt;""""),COUNTA(FILTER(B$1:B1418, B$1:B1418&lt;&gt;""""))))-1), IF('To Order'!$A1419=COL"&amp;"UMNS($A1419:B1438), B1418&amp;RIGHT(INDIRECT(ADDRESS(ROW(B1419)-1, 'From Order'!$A1419)), 1), B1418))"),"RZ")</f>
        <v>RZ</v>
      </c>
      <c r="C1419" s="2" t="str">
        <f>IFERROR(__xludf.DUMMYFUNCTION("IF('From Order'!$A1419=COLUMNS($A1419:C1438), LEFT(INDEX(FILTER(C$1:C1418, C$1:C1418&lt;&gt;""""),COUNTA(FILTER(C$1:C1418, C$1:C1418&lt;&gt;""""))), LEN(INDEX(FILTER(C$1:C1418, C$1:C1418&lt;&gt;""""),COUNTA(FILTER(C$1:C1418, C$1:C1418&lt;&gt;""""))))-1), IF('To Order'!$A1419=COL"&amp;"UMNS($A1419:C1438), C1418&amp;RIGHT(INDIRECT(ADDRESS(ROW(C1419)-1, 'From Order'!$A1419)), 1), C1418))"),"TQVQJPPLDTMGB")</f>
        <v>TQVQJPPLDTMGB</v>
      </c>
      <c r="D1419" s="2" t="str">
        <f>IFERROR(__xludf.DUMMYFUNCTION("IF('From Order'!$A1419=COLUMNS($A1419:D1438), LEFT(INDEX(FILTER(D$1:D1418, D$1:D1418&lt;&gt;""""),COUNTA(FILTER(D$1:D1418, D$1:D1418&lt;&gt;""""))), LEN(INDEX(FILTER(D$1:D1418, D$1:D1418&lt;&gt;""""),COUNTA(FILTER(D$1:D1418, D$1:D1418&lt;&gt;""""))))-1), IF('To Order'!$A1419=COL"&amp;"UMNS($A1419:D1438), D1418&amp;RIGHT(INDIRECT(ADDRESS(ROW(D1419)-1, 'From Order'!$A1419)), 1), D1418))"),"")</f>
        <v/>
      </c>
      <c r="E1419" s="2" t="str">
        <f>IFERROR(__xludf.DUMMYFUNCTION("IF('From Order'!$A1419=COLUMNS($A1419:E1438), LEFT(INDEX(FILTER(E$1:E1418, E$1:E1418&lt;&gt;""""),COUNTA(FILTER(E$1:E1418, E$1:E1418&lt;&gt;""""))), LEN(INDEX(FILTER(E$1:E1418, E$1:E1418&lt;&gt;""""),COUNTA(FILTER(E$1:E1418, E$1:E1418&lt;&gt;""""))))-1), IF('To Order'!$A1419=COL"&amp;"UMNS($A1419:E1438), E1418&amp;RIGHT(INDIRECT(ADDRESS(ROW(E1419)-1, 'From Order'!$A1419)), 1), E1418))"),"HGSTDDLWPBFMDJDS")</f>
        <v>HGSTDDLWPBFMDJDS</v>
      </c>
      <c r="F1419" s="2" t="str">
        <f>IFERROR(__xludf.DUMMYFUNCTION("IF('From Order'!$A1419=COLUMNS($A1419:F1438), LEFT(INDEX(FILTER(F$1:F1418, F$1:F1418&lt;&gt;""""),COUNTA(FILTER(F$1:F1418, F$1:F1418&lt;&gt;""""))), LEN(INDEX(FILTER(F$1:F1418, F$1:F1418&lt;&gt;""""),COUNTA(FILTER(F$1:F1418, F$1:F1418&lt;&gt;""""))))-1), IF('To Order'!$A1419=COL"&amp;"UMNS($A1419:F1438), F1418&amp;RIGHT(INDIRECT(ADDRESS(ROW(F1419)-1, 'From Order'!$A1419)), 1), F1418))"),"ZRLBSTVFSCZ")</f>
        <v>ZRLBSTVFSCZ</v>
      </c>
      <c r="G1419" s="2" t="str">
        <f>IFERROR(__xludf.DUMMYFUNCTION("IF('From Order'!$A1419=COLUMNS($A1419:G1438), LEFT(INDEX(FILTER(G$1:G1418, G$1:G1418&lt;&gt;""""),COUNTA(FILTER(G$1:G1418, G$1:G1418&lt;&gt;""""))), LEN(INDEX(FILTER(G$1:G1418, G$1:G1418&lt;&gt;""""),COUNTA(FILTER(G$1:G1418, G$1:G1418&lt;&gt;""""))))-1), IF('To Order'!$A1419=COL"&amp;"UMNS($A1419:G1438), G1418&amp;RIGHT(INDIRECT(ADDRESS(ROW(G1419)-1, 'From Order'!$A1419)), 1), G1418))"),"WRMBVTCRCDRH")</f>
        <v>WRMBVTCRCDRH</v>
      </c>
      <c r="H1419" s="2" t="str">
        <f>IFERROR(__xludf.DUMMYFUNCTION("IF('From Order'!$A1419=COLUMNS($A1419:H1438), LEFT(INDEX(FILTER(H$1:H1418, H$1:H1418&lt;&gt;""""),COUNTA(FILTER(H$1:H1418, H$1:H1418&lt;&gt;""""))), LEN(INDEX(FILTER(H$1:H1418, H$1:H1418&lt;&gt;""""),COUNTA(FILTER(H$1:H1418, H$1:H1418&lt;&gt;""""))))-1), IF('To Order'!$A1419=COL"&amp;"UMNS($A1419:H1438), H1418&amp;RIGHT(INDIRECT(ADDRESS(ROW(H1419)-1, 'From Order'!$A1419)), 1), H1418))"),"")</f>
        <v/>
      </c>
      <c r="I1419" s="2" t="str">
        <f>IFERROR(__xludf.DUMMYFUNCTION("IF('From Order'!$A1419=COLUMNS($A1419:I1438), LEFT(INDEX(FILTER(I$1:I1418, I$1:I1418&lt;&gt;""""),COUNTA(FILTER(I$1:I1418, I$1:I1418&lt;&gt;""""))), LEN(INDEX(FILTER(I$1:I1418, I$1:I1418&lt;&gt;""""),COUNTA(FILTER(I$1:I1418, I$1:I1418&lt;&gt;""""))))-1), IF('To Order'!$A1419=COL"&amp;"UMNS($A1419:I1438), I1418&amp;RIGHT(INDIRECT(ADDRESS(ROW(I1419)-1, 'From Order'!$A1419)), 1), I1418))"),"")</f>
        <v/>
      </c>
    </row>
    <row r="1420">
      <c r="A1420" s="2" t="str">
        <f>IFERROR(__xludf.DUMMYFUNCTION("IF('From Order'!$A1420=COLUMNS($A1420:A1439), LEFT(INDEX(FILTER(A$1:A1419, A$1:A1419&lt;&gt;""""),COUNTA(FILTER(A$1:A1419, A$1:A1419&lt;&gt;""""))), LEN(INDEX(FILTER(A$1:A1419, A$1:A1419&lt;&gt;""""),COUNTA(FILTER(A$1:A1419, A$1:A1419&lt;&gt;""""))))-1), IF('To Order'!$A1420=COL"&amp;"UMNS($A1420:A1439), A1419&amp;RIGHT(INDIRECT(ADDRESS(ROW(A1420)-1, 'From Order'!$A1420)), 1), A1419))"),"JT")</f>
        <v>JT</v>
      </c>
      <c r="B1420" s="2" t="str">
        <f>IFERROR(__xludf.DUMMYFUNCTION("IF('From Order'!$A1420=COLUMNS($A1420:B1439), LEFT(INDEX(FILTER(B$1:B1419, B$1:B1419&lt;&gt;""""),COUNTA(FILTER(B$1:B1419, B$1:B1419&lt;&gt;""""))), LEN(INDEX(FILTER(B$1:B1419, B$1:B1419&lt;&gt;""""),COUNTA(FILTER(B$1:B1419, B$1:B1419&lt;&gt;""""))))-1), IF('To Order'!$A1420=COL"&amp;"UMNS($A1420:B1439), B1419&amp;RIGHT(INDIRECT(ADDRESS(ROW(B1420)-1, 'From Order'!$A1420)), 1), B1419))"),"RZ")</f>
        <v>RZ</v>
      </c>
      <c r="C1420" s="2" t="str">
        <f>IFERROR(__xludf.DUMMYFUNCTION("IF('From Order'!$A1420=COLUMNS($A1420:C1439), LEFT(INDEX(FILTER(C$1:C1419, C$1:C1419&lt;&gt;""""),COUNTA(FILTER(C$1:C1419, C$1:C1419&lt;&gt;""""))), LEN(INDEX(FILTER(C$1:C1419, C$1:C1419&lt;&gt;""""),COUNTA(FILTER(C$1:C1419, C$1:C1419&lt;&gt;""""))))-1), IF('To Order'!$A1420=COL"&amp;"UMNS($A1420:C1439), C1419&amp;RIGHT(INDIRECT(ADDRESS(ROW(C1420)-1, 'From Order'!$A1420)), 1), C1419))"),"TQVQJPPLDTMG")</f>
        <v>TQVQJPPLDTMG</v>
      </c>
      <c r="D1420" s="2" t="str">
        <f>IFERROR(__xludf.DUMMYFUNCTION("IF('From Order'!$A1420=COLUMNS($A1420:D1439), LEFT(INDEX(FILTER(D$1:D1419, D$1:D1419&lt;&gt;""""),COUNTA(FILTER(D$1:D1419, D$1:D1419&lt;&gt;""""))), LEN(INDEX(FILTER(D$1:D1419, D$1:D1419&lt;&gt;""""),COUNTA(FILTER(D$1:D1419, D$1:D1419&lt;&gt;""""))))-1), IF('To Order'!$A1420=COL"&amp;"UMNS($A1420:D1439), D1419&amp;RIGHT(INDIRECT(ADDRESS(ROW(D1420)-1, 'From Order'!$A1420)), 1), D1419))"),"")</f>
        <v/>
      </c>
      <c r="E1420" s="2" t="str">
        <f>IFERROR(__xludf.DUMMYFUNCTION("IF('From Order'!$A1420=COLUMNS($A1420:E1439), LEFT(INDEX(FILTER(E$1:E1419, E$1:E1419&lt;&gt;""""),COUNTA(FILTER(E$1:E1419, E$1:E1419&lt;&gt;""""))), LEN(INDEX(FILTER(E$1:E1419, E$1:E1419&lt;&gt;""""),COUNTA(FILTER(E$1:E1419, E$1:E1419&lt;&gt;""""))))-1), IF('To Order'!$A1420=COL"&amp;"UMNS($A1420:E1439), E1419&amp;RIGHT(INDIRECT(ADDRESS(ROW(E1420)-1, 'From Order'!$A1420)), 1), E1419))"),"HGSTDDLWPBFMDJDSB")</f>
        <v>HGSTDDLWPBFMDJDSB</v>
      </c>
      <c r="F1420" s="2" t="str">
        <f>IFERROR(__xludf.DUMMYFUNCTION("IF('From Order'!$A1420=COLUMNS($A1420:F1439), LEFT(INDEX(FILTER(F$1:F1419, F$1:F1419&lt;&gt;""""),COUNTA(FILTER(F$1:F1419, F$1:F1419&lt;&gt;""""))), LEN(INDEX(FILTER(F$1:F1419, F$1:F1419&lt;&gt;""""),COUNTA(FILTER(F$1:F1419, F$1:F1419&lt;&gt;""""))))-1), IF('To Order'!$A1420=COL"&amp;"UMNS($A1420:F1439), F1419&amp;RIGHT(INDIRECT(ADDRESS(ROW(F1420)-1, 'From Order'!$A1420)), 1), F1419))"),"ZRLBSTVFSCZ")</f>
        <v>ZRLBSTVFSCZ</v>
      </c>
      <c r="G1420" s="2" t="str">
        <f>IFERROR(__xludf.DUMMYFUNCTION("IF('From Order'!$A1420=COLUMNS($A1420:G1439), LEFT(INDEX(FILTER(G$1:G1419, G$1:G1419&lt;&gt;""""),COUNTA(FILTER(G$1:G1419, G$1:G1419&lt;&gt;""""))), LEN(INDEX(FILTER(G$1:G1419, G$1:G1419&lt;&gt;""""),COUNTA(FILTER(G$1:G1419, G$1:G1419&lt;&gt;""""))))-1), IF('To Order'!$A1420=COL"&amp;"UMNS($A1420:G1439), G1419&amp;RIGHT(INDIRECT(ADDRESS(ROW(G1420)-1, 'From Order'!$A1420)), 1), G1419))"),"WRMBVTCRCDRH")</f>
        <v>WRMBVTCRCDRH</v>
      </c>
      <c r="H1420" s="2" t="str">
        <f>IFERROR(__xludf.DUMMYFUNCTION("IF('From Order'!$A1420=COLUMNS($A1420:H1439), LEFT(INDEX(FILTER(H$1:H1419, H$1:H1419&lt;&gt;""""),COUNTA(FILTER(H$1:H1419, H$1:H1419&lt;&gt;""""))), LEN(INDEX(FILTER(H$1:H1419, H$1:H1419&lt;&gt;""""),COUNTA(FILTER(H$1:H1419, H$1:H1419&lt;&gt;""""))))-1), IF('To Order'!$A1420=COL"&amp;"UMNS($A1420:H1439), H1419&amp;RIGHT(INDIRECT(ADDRESS(ROW(H1420)-1, 'From Order'!$A1420)), 1), H1419))"),"")</f>
        <v/>
      </c>
      <c r="I1420" s="2" t="str">
        <f>IFERROR(__xludf.DUMMYFUNCTION("IF('From Order'!$A1420=COLUMNS($A1420:I1439), LEFT(INDEX(FILTER(I$1:I1419, I$1:I1419&lt;&gt;""""),COUNTA(FILTER(I$1:I1419, I$1:I1419&lt;&gt;""""))), LEN(INDEX(FILTER(I$1:I1419, I$1:I1419&lt;&gt;""""),COUNTA(FILTER(I$1:I1419, I$1:I1419&lt;&gt;""""))))-1), IF('To Order'!$A1420=COL"&amp;"UMNS($A1420:I1439), I1419&amp;RIGHT(INDIRECT(ADDRESS(ROW(I1420)-1, 'From Order'!$A1420)), 1), I1419))"),"")</f>
        <v/>
      </c>
    </row>
    <row r="1421">
      <c r="A1421" s="2" t="str">
        <f>IFERROR(__xludf.DUMMYFUNCTION("IF('From Order'!$A1421=COLUMNS($A1421:A1440), LEFT(INDEX(FILTER(A$1:A1420, A$1:A1420&lt;&gt;""""),COUNTA(FILTER(A$1:A1420, A$1:A1420&lt;&gt;""""))), LEN(INDEX(FILTER(A$1:A1420, A$1:A1420&lt;&gt;""""),COUNTA(FILTER(A$1:A1420, A$1:A1420&lt;&gt;""""))))-1), IF('To Order'!$A1421=COL"&amp;"UMNS($A1421:A1440), A1420&amp;RIGHT(INDIRECT(ADDRESS(ROW(A1421)-1, 'From Order'!$A1421)), 1), A1420))"),"JT")</f>
        <v>JT</v>
      </c>
      <c r="B1421" s="2" t="str">
        <f>IFERROR(__xludf.DUMMYFUNCTION("IF('From Order'!$A1421=COLUMNS($A1421:B1440), LEFT(INDEX(FILTER(B$1:B1420, B$1:B1420&lt;&gt;""""),COUNTA(FILTER(B$1:B1420, B$1:B1420&lt;&gt;""""))), LEN(INDEX(FILTER(B$1:B1420, B$1:B1420&lt;&gt;""""),COUNTA(FILTER(B$1:B1420, B$1:B1420&lt;&gt;""""))))-1), IF('To Order'!$A1421=COL"&amp;"UMNS($A1421:B1440), B1420&amp;RIGHT(INDIRECT(ADDRESS(ROW(B1421)-1, 'From Order'!$A1421)), 1), B1420))"),"RZ")</f>
        <v>RZ</v>
      </c>
      <c r="C1421" s="2" t="str">
        <f>IFERROR(__xludf.DUMMYFUNCTION("IF('From Order'!$A1421=COLUMNS($A1421:C1440), LEFT(INDEX(FILTER(C$1:C1420, C$1:C1420&lt;&gt;""""),COUNTA(FILTER(C$1:C1420, C$1:C1420&lt;&gt;""""))), LEN(INDEX(FILTER(C$1:C1420, C$1:C1420&lt;&gt;""""),COUNTA(FILTER(C$1:C1420, C$1:C1420&lt;&gt;""""))))-1), IF('To Order'!$A1421=COL"&amp;"UMNS($A1421:C1440), C1420&amp;RIGHT(INDIRECT(ADDRESS(ROW(C1421)-1, 'From Order'!$A1421)), 1), C1420))"),"TQVQJPPLDTM")</f>
        <v>TQVQJPPLDTM</v>
      </c>
      <c r="D1421" s="2" t="str">
        <f>IFERROR(__xludf.DUMMYFUNCTION("IF('From Order'!$A1421=COLUMNS($A1421:D1440), LEFT(INDEX(FILTER(D$1:D1420, D$1:D1420&lt;&gt;""""),COUNTA(FILTER(D$1:D1420, D$1:D1420&lt;&gt;""""))), LEN(INDEX(FILTER(D$1:D1420, D$1:D1420&lt;&gt;""""),COUNTA(FILTER(D$1:D1420, D$1:D1420&lt;&gt;""""))))-1), IF('To Order'!$A1421=COL"&amp;"UMNS($A1421:D1440), D1420&amp;RIGHT(INDIRECT(ADDRESS(ROW(D1421)-1, 'From Order'!$A1421)), 1), D1420))"),"")</f>
        <v/>
      </c>
      <c r="E1421" s="2" t="str">
        <f>IFERROR(__xludf.DUMMYFUNCTION("IF('From Order'!$A1421=COLUMNS($A1421:E1440), LEFT(INDEX(FILTER(E$1:E1420, E$1:E1420&lt;&gt;""""),COUNTA(FILTER(E$1:E1420, E$1:E1420&lt;&gt;""""))), LEN(INDEX(FILTER(E$1:E1420, E$1:E1420&lt;&gt;""""),COUNTA(FILTER(E$1:E1420, E$1:E1420&lt;&gt;""""))))-1), IF('To Order'!$A1421=COL"&amp;"UMNS($A1421:E1440), E1420&amp;RIGHT(INDIRECT(ADDRESS(ROW(E1421)-1, 'From Order'!$A1421)), 1), E1420))"),"HGSTDDLWPBFMDJDSBG")</f>
        <v>HGSTDDLWPBFMDJDSBG</v>
      </c>
      <c r="F1421" s="2" t="str">
        <f>IFERROR(__xludf.DUMMYFUNCTION("IF('From Order'!$A1421=COLUMNS($A1421:F1440), LEFT(INDEX(FILTER(F$1:F1420, F$1:F1420&lt;&gt;""""),COUNTA(FILTER(F$1:F1420, F$1:F1420&lt;&gt;""""))), LEN(INDEX(FILTER(F$1:F1420, F$1:F1420&lt;&gt;""""),COUNTA(FILTER(F$1:F1420, F$1:F1420&lt;&gt;""""))))-1), IF('To Order'!$A1421=COL"&amp;"UMNS($A1421:F1440), F1420&amp;RIGHT(INDIRECT(ADDRESS(ROW(F1421)-1, 'From Order'!$A1421)), 1), F1420))"),"ZRLBSTVFSCZ")</f>
        <v>ZRLBSTVFSCZ</v>
      </c>
      <c r="G1421" s="2" t="str">
        <f>IFERROR(__xludf.DUMMYFUNCTION("IF('From Order'!$A1421=COLUMNS($A1421:G1440), LEFT(INDEX(FILTER(G$1:G1420, G$1:G1420&lt;&gt;""""),COUNTA(FILTER(G$1:G1420, G$1:G1420&lt;&gt;""""))), LEN(INDEX(FILTER(G$1:G1420, G$1:G1420&lt;&gt;""""),COUNTA(FILTER(G$1:G1420, G$1:G1420&lt;&gt;""""))))-1), IF('To Order'!$A1421=COL"&amp;"UMNS($A1421:G1440), G1420&amp;RIGHT(INDIRECT(ADDRESS(ROW(G1421)-1, 'From Order'!$A1421)), 1), G1420))"),"WRMBVTCRCDRH")</f>
        <v>WRMBVTCRCDRH</v>
      </c>
      <c r="H1421" s="2" t="str">
        <f>IFERROR(__xludf.DUMMYFUNCTION("IF('From Order'!$A1421=COLUMNS($A1421:H1440), LEFT(INDEX(FILTER(H$1:H1420, H$1:H1420&lt;&gt;""""),COUNTA(FILTER(H$1:H1420, H$1:H1420&lt;&gt;""""))), LEN(INDEX(FILTER(H$1:H1420, H$1:H1420&lt;&gt;""""),COUNTA(FILTER(H$1:H1420, H$1:H1420&lt;&gt;""""))))-1), IF('To Order'!$A1421=COL"&amp;"UMNS($A1421:H1440), H1420&amp;RIGHT(INDIRECT(ADDRESS(ROW(H1421)-1, 'From Order'!$A1421)), 1), H1420))"),"")</f>
        <v/>
      </c>
      <c r="I1421" s="2" t="str">
        <f>IFERROR(__xludf.DUMMYFUNCTION("IF('From Order'!$A1421=COLUMNS($A1421:I1440), LEFT(INDEX(FILTER(I$1:I1420, I$1:I1420&lt;&gt;""""),COUNTA(FILTER(I$1:I1420, I$1:I1420&lt;&gt;""""))), LEN(INDEX(FILTER(I$1:I1420, I$1:I1420&lt;&gt;""""),COUNTA(FILTER(I$1:I1420, I$1:I1420&lt;&gt;""""))))-1), IF('To Order'!$A1421=COL"&amp;"UMNS($A1421:I1440), I1420&amp;RIGHT(INDIRECT(ADDRESS(ROW(I1421)-1, 'From Order'!$A1421)), 1), I1420))"),"")</f>
        <v/>
      </c>
    </row>
    <row r="1422">
      <c r="A1422" s="2" t="str">
        <f>IFERROR(__xludf.DUMMYFUNCTION("IF('From Order'!$A1422=COLUMNS($A1422:A1441), LEFT(INDEX(FILTER(A$1:A1421, A$1:A1421&lt;&gt;""""),COUNTA(FILTER(A$1:A1421, A$1:A1421&lt;&gt;""""))), LEN(INDEX(FILTER(A$1:A1421, A$1:A1421&lt;&gt;""""),COUNTA(FILTER(A$1:A1421, A$1:A1421&lt;&gt;""""))))-1), IF('To Order'!$A1422=COL"&amp;"UMNS($A1422:A1441), A1421&amp;RIGHT(INDIRECT(ADDRESS(ROW(A1422)-1, 'From Order'!$A1422)), 1), A1421))"),"JT")</f>
        <v>JT</v>
      </c>
      <c r="B1422" s="2" t="str">
        <f>IFERROR(__xludf.DUMMYFUNCTION("IF('From Order'!$A1422=COLUMNS($A1422:B1441), LEFT(INDEX(FILTER(B$1:B1421, B$1:B1421&lt;&gt;""""),COUNTA(FILTER(B$1:B1421, B$1:B1421&lt;&gt;""""))), LEN(INDEX(FILTER(B$1:B1421, B$1:B1421&lt;&gt;""""),COUNTA(FILTER(B$1:B1421, B$1:B1421&lt;&gt;""""))))-1), IF('To Order'!$A1422=COL"&amp;"UMNS($A1422:B1441), B1421&amp;RIGHT(INDIRECT(ADDRESS(ROW(B1422)-1, 'From Order'!$A1422)), 1), B1421))"),"RZH")</f>
        <v>RZH</v>
      </c>
      <c r="C1422" s="2" t="str">
        <f>IFERROR(__xludf.DUMMYFUNCTION("IF('From Order'!$A1422=COLUMNS($A1422:C1441), LEFT(INDEX(FILTER(C$1:C1421, C$1:C1421&lt;&gt;""""),COUNTA(FILTER(C$1:C1421, C$1:C1421&lt;&gt;""""))), LEN(INDEX(FILTER(C$1:C1421, C$1:C1421&lt;&gt;""""),COUNTA(FILTER(C$1:C1421, C$1:C1421&lt;&gt;""""))))-1), IF('To Order'!$A1422=COL"&amp;"UMNS($A1422:C1441), C1421&amp;RIGHT(INDIRECT(ADDRESS(ROW(C1422)-1, 'From Order'!$A1422)), 1), C1421))"),"TQVQJPPLDTM")</f>
        <v>TQVQJPPLDTM</v>
      </c>
      <c r="D1422" s="2" t="str">
        <f>IFERROR(__xludf.DUMMYFUNCTION("IF('From Order'!$A1422=COLUMNS($A1422:D1441), LEFT(INDEX(FILTER(D$1:D1421, D$1:D1421&lt;&gt;""""),COUNTA(FILTER(D$1:D1421, D$1:D1421&lt;&gt;""""))), LEN(INDEX(FILTER(D$1:D1421, D$1:D1421&lt;&gt;""""),COUNTA(FILTER(D$1:D1421, D$1:D1421&lt;&gt;""""))))-1), IF('To Order'!$A1422=COL"&amp;"UMNS($A1422:D1441), D1421&amp;RIGHT(INDIRECT(ADDRESS(ROW(D1422)-1, 'From Order'!$A1422)), 1), D1421))"),"")</f>
        <v/>
      </c>
      <c r="E1422" s="2" t="str">
        <f>IFERROR(__xludf.DUMMYFUNCTION("IF('From Order'!$A1422=COLUMNS($A1422:E1441), LEFT(INDEX(FILTER(E$1:E1421, E$1:E1421&lt;&gt;""""),COUNTA(FILTER(E$1:E1421, E$1:E1421&lt;&gt;""""))), LEN(INDEX(FILTER(E$1:E1421, E$1:E1421&lt;&gt;""""),COUNTA(FILTER(E$1:E1421, E$1:E1421&lt;&gt;""""))))-1), IF('To Order'!$A1422=COL"&amp;"UMNS($A1422:E1441), E1421&amp;RIGHT(INDIRECT(ADDRESS(ROW(E1422)-1, 'From Order'!$A1422)), 1), E1421))"),"HGSTDDLWPBFMDJDSBG")</f>
        <v>HGSTDDLWPBFMDJDSBG</v>
      </c>
      <c r="F1422" s="2" t="str">
        <f>IFERROR(__xludf.DUMMYFUNCTION("IF('From Order'!$A1422=COLUMNS($A1422:F1441), LEFT(INDEX(FILTER(F$1:F1421, F$1:F1421&lt;&gt;""""),COUNTA(FILTER(F$1:F1421, F$1:F1421&lt;&gt;""""))), LEN(INDEX(FILTER(F$1:F1421, F$1:F1421&lt;&gt;""""),COUNTA(FILTER(F$1:F1421, F$1:F1421&lt;&gt;""""))))-1), IF('To Order'!$A1422=COL"&amp;"UMNS($A1422:F1441), F1421&amp;RIGHT(INDIRECT(ADDRESS(ROW(F1422)-1, 'From Order'!$A1422)), 1), F1421))"),"ZRLBSTVFSCZ")</f>
        <v>ZRLBSTVFSCZ</v>
      </c>
      <c r="G1422" s="2" t="str">
        <f>IFERROR(__xludf.DUMMYFUNCTION("IF('From Order'!$A1422=COLUMNS($A1422:G1441), LEFT(INDEX(FILTER(G$1:G1421, G$1:G1421&lt;&gt;""""),COUNTA(FILTER(G$1:G1421, G$1:G1421&lt;&gt;""""))), LEN(INDEX(FILTER(G$1:G1421, G$1:G1421&lt;&gt;""""),COUNTA(FILTER(G$1:G1421, G$1:G1421&lt;&gt;""""))))-1), IF('To Order'!$A1422=COL"&amp;"UMNS($A1422:G1441), G1421&amp;RIGHT(INDIRECT(ADDRESS(ROW(G1422)-1, 'From Order'!$A1422)), 1), G1421))"),"WRMBVTCRCDR")</f>
        <v>WRMBVTCRCDR</v>
      </c>
      <c r="H1422" s="2" t="str">
        <f>IFERROR(__xludf.DUMMYFUNCTION("IF('From Order'!$A1422=COLUMNS($A1422:H1441), LEFT(INDEX(FILTER(H$1:H1421, H$1:H1421&lt;&gt;""""),COUNTA(FILTER(H$1:H1421, H$1:H1421&lt;&gt;""""))), LEN(INDEX(FILTER(H$1:H1421, H$1:H1421&lt;&gt;""""),COUNTA(FILTER(H$1:H1421, H$1:H1421&lt;&gt;""""))))-1), IF('To Order'!$A1422=COL"&amp;"UMNS($A1422:H1441), H1421&amp;RIGHT(INDIRECT(ADDRESS(ROW(H1422)-1, 'From Order'!$A1422)), 1), H1421))"),"")</f>
        <v/>
      </c>
      <c r="I1422" s="2" t="str">
        <f>IFERROR(__xludf.DUMMYFUNCTION("IF('From Order'!$A1422=COLUMNS($A1422:I1441), LEFT(INDEX(FILTER(I$1:I1421, I$1:I1421&lt;&gt;""""),COUNTA(FILTER(I$1:I1421, I$1:I1421&lt;&gt;""""))), LEN(INDEX(FILTER(I$1:I1421, I$1:I1421&lt;&gt;""""),COUNTA(FILTER(I$1:I1421, I$1:I1421&lt;&gt;""""))))-1), IF('To Order'!$A1422=COL"&amp;"UMNS($A1422:I1441), I1421&amp;RIGHT(INDIRECT(ADDRESS(ROW(I1422)-1, 'From Order'!$A1422)), 1), I1421))"),"")</f>
        <v/>
      </c>
    </row>
    <row r="1423">
      <c r="A1423" s="2" t="str">
        <f>IFERROR(__xludf.DUMMYFUNCTION("IF('From Order'!$A1423=COLUMNS($A1423:A1442), LEFT(INDEX(FILTER(A$1:A1422, A$1:A1422&lt;&gt;""""),COUNTA(FILTER(A$1:A1422, A$1:A1422&lt;&gt;""""))), LEN(INDEX(FILTER(A$1:A1422, A$1:A1422&lt;&gt;""""),COUNTA(FILTER(A$1:A1422, A$1:A1422&lt;&gt;""""))))-1), IF('To Order'!$A1423=COL"&amp;"UMNS($A1423:A1442), A1422&amp;RIGHT(INDIRECT(ADDRESS(ROW(A1423)-1, 'From Order'!$A1423)), 1), A1422))"),"JT")</f>
        <v>JT</v>
      </c>
      <c r="B1423" s="2" t="str">
        <f>IFERROR(__xludf.DUMMYFUNCTION("IF('From Order'!$A1423=COLUMNS($A1423:B1442), LEFT(INDEX(FILTER(B$1:B1422, B$1:B1422&lt;&gt;""""),COUNTA(FILTER(B$1:B1422, B$1:B1422&lt;&gt;""""))), LEN(INDEX(FILTER(B$1:B1422, B$1:B1422&lt;&gt;""""),COUNTA(FILTER(B$1:B1422, B$1:B1422&lt;&gt;""""))))-1), IF('To Order'!$A1423=COL"&amp;"UMNS($A1423:B1442), B1422&amp;RIGHT(INDIRECT(ADDRESS(ROW(B1423)-1, 'From Order'!$A1423)), 1), B1422))"),"RZHR")</f>
        <v>RZHR</v>
      </c>
      <c r="C1423" s="2" t="str">
        <f>IFERROR(__xludf.DUMMYFUNCTION("IF('From Order'!$A1423=COLUMNS($A1423:C1442), LEFT(INDEX(FILTER(C$1:C1422, C$1:C1422&lt;&gt;""""),COUNTA(FILTER(C$1:C1422, C$1:C1422&lt;&gt;""""))), LEN(INDEX(FILTER(C$1:C1422, C$1:C1422&lt;&gt;""""),COUNTA(FILTER(C$1:C1422, C$1:C1422&lt;&gt;""""))))-1), IF('To Order'!$A1423=COL"&amp;"UMNS($A1423:C1442), C1422&amp;RIGHT(INDIRECT(ADDRESS(ROW(C1423)-1, 'From Order'!$A1423)), 1), C1422))"),"TQVQJPPLDTM")</f>
        <v>TQVQJPPLDTM</v>
      </c>
      <c r="D1423" s="2" t="str">
        <f>IFERROR(__xludf.DUMMYFUNCTION("IF('From Order'!$A1423=COLUMNS($A1423:D1442), LEFT(INDEX(FILTER(D$1:D1422, D$1:D1422&lt;&gt;""""),COUNTA(FILTER(D$1:D1422, D$1:D1422&lt;&gt;""""))), LEN(INDEX(FILTER(D$1:D1422, D$1:D1422&lt;&gt;""""),COUNTA(FILTER(D$1:D1422, D$1:D1422&lt;&gt;""""))))-1), IF('To Order'!$A1423=COL"&amp;"UMNS($A1423:D1442), D1422&amp;RIGHT(INDIRECT(ADDRESS(ROW(D1423)-1, 'From Order'!$A1423)), 1), D1422))"),"")</f>
        <v/>
      </c>
      <c r="E1423" s="2" t="str">
        <f>IFERROR(__xludf.DUMMYFUNCTION("IF('From Order'!$A1423=COLUMNS($A1423:E1442), LEFT(INDEX(FILTER(E$1:E1422, E$1:E1422&lt;&gt;""""),COUNTA(FILTER(E$1:E1422, E$1:E1422&lt;&gt;""""))), LEN(INDEX(FILTER(E$1:E1422, E$1:E1422&lt;&gt;""""),COUNTA(FILTER(E$1:E1422, E$1:E1422&lt;&gt;""""))))-1), IF('To Order'!$A1423=COL"&amp;"UMNS($A1423:E1442), E1422&amp;RIGHT(INDIRECT(ADDRESS(ROW(E1423)-1, 'From Order'!$A1423)), 1), E1422))"),"HGSTDDLWPBFMDJDSBG")</f>
        <v>HGSTDDLWPBFMDJDSBG</v>
      </c>
      <c r="F1423" s="2" t="str">
        <f>IFERROR(__xludf.DUMMYFUNCTION("IF('From Order'!$A1423=COLUMNS($A1423:F1442), LEFT(INDEX(FILTER(F$1:F1422, F$1:F1422&lt;&gt;""""),COUNTA(FILTER(F$1:F1422, F$1:F1422&lt;&gt;""""))), LEN(INDEX(FILTER(F$1:F1422, F$1:F1422&lt;&gt;""""),COUNTA(FILTER(F$1:F1422, F$1:F1422&lt;&gt;""""))))-1), IF('To Order'!$A1423=COL"&amp;"UMNS($A1423:F1442), F1422&amp;RIGHT(INDIRECT(ADDRESS(ROW(F1423)-1, 'From Order'!$A1423)), 1), F1422))"),"ZRLBSTVFSCZ")</f>
        <v>ZRLBSTVFSCZ</v>
      </c>
      <c r="G1423" s="2" t="str">
        <f>IFERROR(__xludf.DUMMYFUNCTION("IF('From Order'!$A1423=COLUMNS($A1423:G1442), LEFT(INDEX(FILTER(G$1:G1422, G$1:G1422&lt;&gt;""""),COUNTA(FILTER(G$1:G1422, G$1:G1422&lt;&gt;""""))), LEN(INDEX(FILTER(G$1:G1422, G$1:G1422&lt;&gt;""""),COUNTA(FILTER(G$1:G1422, G$1:G1422&lt;&gt;""""))))-1), IF('To Order'!$A1423=COL"&amp;"UMNS($A1423:G1442), G1422&amp;RIGHT(INDIRECT(ADDRESS(ROW(G1423)-1, 'From Order'!$A1423)), 1), G1422))"),"WRMBVTCRCD")</f>
        <v>WRMBVTCRCD</v>
      </c>
      <c r="H1423" s="2" t="str">
        <f>IFERROR(__xludf.DUMMYFUNCTION("IF('From Order'!$A1423=COLUMNS($A1423:H1442), LEFT(INDEX(FILTER(H$1:H1422, H$1:H1422&lt;&gt;""""),COUNTA(FILTER(H$1:H1422, H$1:H1422&lt;&gt;""""))), LEN(INDEX(FILTER(H$1:H1422, H$1:H1422&lt;&gt;""""),COUNTA(FILTER(H$1:H1422, H$1:H1422&lt;&gt;""""))))-1), IF('To Order'!$A1423=COL"&amp;"UMNS($A1423:H1442), H1422&amp;RIGHT(INDIRECT(ADDRESS(ROW(H1423)-1, 'From Order'!$A1423)), 1), H1422))"),"")</f>
        <v/>
      </c>
      <c r="I1423" s="2" t="str">
        <f>IFERROR(__xludf.DUMMYFUNCTION("IF('From Order'!$A1423=COLUMNS($A1423:I1442), LEFT(INDEX(FILTER(I$1:I1422, I$1:I1422&lt;&gt;""""),COUNTA(FILTER(I$1:I1422, I$1:I1422&lt;&gt;""""))), LEN(INDEX(FILTER(I$1:I1422, I$1:I1422&lt;&gt;""""),COUNTA(FILTER(I$1:I1422, I$1:I1422&lt;&gt;""""))))-1), IF('To Order'!$A1423=COL"&amp;"UMNS($A1423:I1442), I1422&amp;RIGHT(INDIRECT(ADDRESS(ROW(I1423)-1, 'From Order'!$A1423)), 1), I1422))"),"")</f>
        <v/>
      </c>
    </row>
    <row r="1424">
      <c r="A1424" s="2" t="str">
        <f>IFERROR(__xludf.DUMMYFUNCTION("IF('From Order'!$A1424=COLUMNS($A1424:A1443), LEFT(INDEX(FILTER(A$1:A1423, A$1:A1423&lt;&gt;""""),COUNTA(FILTER(A$1:A1423, A$1:A1423&lt;&gt;""""))), LEN(INDEX(FILTER(A$1:A1423, A$1:A1423&lt;&gt;""""),COUNTA(FILTER(A$1:A1423, A$1:A1423&lt;&gt;""""))))-1), IF('To Order'!$A1424=COL"&amp;"UMNS($A1424:A1443), A1423&amp;RIGHT(INDIRECT(ADDRESS(ROW(A1424)-1, 'From Order'!$A1424)), 1), A1423))"),"JT")</f>
        <v>JT</v>
      </c>
      <c r="B1424" s="2" t="str">
        <f>IFERROR(__xludf.DUMMYFUNCTION("IF('From Order'!$A1424=COLUMNS($A1424:B1443), LEFT(INDEX(FILTER(B$1:B1423, B$1:B1423&lt;&gt;""""),COUNTA(FILTER(B$1:B1423, B$1:B1423&lt;&gt;""""))), LEN(INDEX(FILTER(B$1:B1423, B$1:B1423&lt;&gt;""""),COUNTA(FILTER(B$1:B1423, B$1:B1423&lt;&gt;""""))))-1), IF('To Order'!$A1424=COL"&amp;"UMNS($A1424:B1443), B1423&amp;RIGHT(INDIRECT(ADDRESS(ROW(B1424)-1, 'From Order'!$A1424)), 1), B1423))"),"RZHRD")</f>
        <v>RZHRD</v>
      </c>
      <c r="C1424" s="2" t="str">
        <f>IFERROR(__xludf.DUMMYFUNCTION("IF('From Order'!$A1424=COLUMNS($A1424:C1443), LEFT(INDEX(FILTER(C$1:C1423, C$1:C1423&lt;&gt;""""),COUNTA(FILTER(C$1:C1423, C$1:C1423&lt;&gt;""""))), LEN(INDEX(FILTER(C$1:C1423, C$1:C1423&lt;&gt;""""),COUNTA(FILTER(C$1:C1423, C$1:C1423&lt;&gt;""""))))-1), IF('To Order'!$A1424=COL"&amp;"UMNS($A1424:C1443), C1423&amp;RIGHT(INDIRECT(ADDRESS(ROW(C1424)-1, 'From Order'!$A1424)), 1), C1423))"),"TQVQJPPLDTM")</f>
        <v>TQVQJPPLDTM</v>
      </c>
      <c r="D1424" s="2" t="str">
        <f>IFERROR(__xludf.DUMMYFUNCTION("IF('From Order'!$A1424=COLUMNS($A1424:D1443), LEFT(INDEX(FILTER(D$1:D1423, D$1:D1423&lt;&gt;""""),COUNTA(FILTER(D$1:D1423, D$1:D1423&lt;&gt;""""))), LEN(INDEX(FILTER(D$1:D1423, D$1:D1423&lt;&gt;""""),COUNTA(FILTER(D$1:D1423, D$1:D1423&lt;&gt;""""))))-1), IF('To Order'!$A1424=COL"&amp;"UMNS($A1424:D1443), D1423&amp;RIGHT(INDIRECT(ADDRESS(ROW(D1424)-1, 'From Order'!$A1424)), 1), D1423))"),"")</f>
        <v/>
      </c>
      <c r="E1424" s="2" t="str">
        <f>IFERROR(__xludf.DUMMYFUNCTION("IF('From Order'!$A1424=COLUMNS($A1424:E1443), LEFT(INDEX(FILTER(E$1:E1423, E$1:E1423&lt;&gt;""""),COUNTA(FILTER(E$1:E1423, E$1:E1423&lt;&gt;""""))), LEN(INDEX(FILTER(E$1:E1423, E$1:E1423&lt;&gt;""""),COUNTA(FILTER(E$1:E1423, E$1:E1423&lt;&gt;""""))))-1), IF('To Order'!$A1424=COL"&amp;"UMNS($A1424:E1443), E1423&amp;RIGHT(INDIRECT(ADDRESS(ROW(E1424)-1, 'From Order'!$A1424)), 1), E1423))"),"HGSTDDLWPBFMDJDSBG")</f>
        <v>HGSTDDLWPBFMDJDSBG</v>
      </c>
      <c r="F1424" s="2" t="str">
        <f>IFERROR(__xludf.DUMMYFUNCTION("IF('From Order'!$A1424=COLUMNS($A1424:F1443), LEFT(INDEX(FILTER(F$1:F1423, F$1:F1423&lt;&gt;""""),COUNTA(FILTER(F$1:F1423, F$1:F1423&lt;&gt;""""))), LEN(INDEX(FILTER(F$1:F1423, F$1:F1423&lt;&gt;""""),COUNTA(FILTER(F$1:F1423, F$1:F1423&lt;&gt;""""))))-1), IF('To Order'!$A1424=COL"&amp;"UMNS($A1424:F1443), F1423&amp;RIGHT(INDIRECT(ADDRESS(ROW(F1424)-1, 'From Order'!$A1424)), 1), F1423))"),"ZRLBSTVFSCZ")</f>
        <v>ZRLBSTVFSCZ</v>
      </c>
      <c r="G1424" s="2" t="str">
        <f>IFERROR(__xludf.DUMMYFUNCTION("IF('From Order'!$A1424=COLUMNS($A1424:G1443), LEFT(INDEX(FILTER(G$1:G1423, G$1:G1423&lt;&gt;""""),COUNTA(FILTER(G$1:G1423, G$1:G1423&lt;&gt;""""))), LEN(INDEX(FILTER(G$1:G1423, G$1:G1423&lt;&gt;""""),COUNTA(FILTER(G$1:G1423, G$1:G1423&lt;&gt;""""))))-1), IF('To Order'!$A1424=COL"&amp;"UMNS($A1424:G1443), G1423&amp;RIGHT(INDIRECT(ADDRESS(ROW(G1424)-1, 'From Order'!$A1424)), 1), G1423))"),"WRMBVTCRC")</f>
        <v>WRMBVTCRC</v>
      </c>
      <c r="H1424" s="2" t="str">
        <f>IFERROR(__xludf.DUMMYFUNCTION("IF('From Order'!$A1424=COLUMNS($A1424:H1443), LEFT(INDEX(FILTER(H$1:H1423, H$1:H1423&lt;&gt;""""),COUNTA(FILTER(H$1:H1423, H$1:H1423&lt;&gt;""""))), LEN(INDEX(FILTER(H$1:H1423, H$1:H1423&lt;&gt;""""),COUNTA(FILTER(H$1:H1423, H$1:H1423&lt;&gt;""""))))-1), IF('To Order'!$A1424=COL"&amp;"UMNS($A1424:H1443), H1423&amp;RIGHT(INDIRECT(ADDRESS(ROW(H1424)-1, 'From Order'!$A1424)), 1), H1423))"),"")</f>
        <v/>
      </c>
      <c r="I1424" s="2" t="str">
        <f>IFERROR(__xludf.DUMMYFUNCTION("IF('From Order'!$A1424=COLUMNS($A1424:I1443), LEFT(INDEX(FILTER(I$1:I1423, I$1:I1423&lt;&gt;""""),COUNTA(FILTER(I$1:I1423, I$1:I1423&lt;&gt;""""))), LEN(INDEX(FILTER(I$1:I1423, I$1:I1423&lt;&gt;""""),COUNTA(FILTER(I$1:I1423, I$1:I1423&lt;&gt;""""))))-1), IF('To Order'!$A1424=COL"&amp;"UMNS($A1424:I1443), I1423&amp;RIGHT(INDIRECT(ADDRESS(ROW(I1424)-1, 'From Order'!$A1424)), 1), I1423))"),"")</f>
        <v/>
      </c>
    </row>
    <row r="1425">
      <c r="A1425" s="2" t="str">
        <f>IFERROR(__xludf.DUMMYFUNCTION("IF('From Order'!$A1425=COLUMNS($A1425:A1444), LEFT(INDEX(FILTER(A$1:A1424, A$1:A1424&lt;&gt;""""),COUNTA(FILTER(A$1:A1424, A$1:A1424&lt;&gt;""""))), LEN(INDEX(FILTER(A$1:A1424, A$1:A1424&lt;&gt;""""),COUNTA(FILTER(A$1:A1424, A$1:A1424&lt;&gt;""""))))-1), IF('To Order'!$A1425=COL"&amp;"UMNS($A1425:A1444), A1424&amp;RIGHT(INDIRECT(ADDRESS(ROW(A1425)-1, 'From Order'!$A1425)), 1), A1424))"),"JT")</f>
        <v>JT</v>
      </c>
      <c r="B1425" s="2" t="str">
        <f>IFERROR(__xludf.DUMMYFUNCTION("IF('From Order'!$A1425=COLUMNS($A1425:B1444), LEFT(INDEX(FILTER(B$1:B1424, B$1:B1424&lt;&gt;""""),COUNTA(FILTER(B$1:B1424, B$1:B1424&lt;&gt;""""))), LEN(INDEX(FILTER(B$1:B1424, B$1:B1424&lt;&gt;""""),COUNTA(FILTER(B$1:B1424, B$1:B1424&lt;&gt;""""))))-1), IF('To Order'!$A1425=COL"&amp;"UMNS($A1425:B1444), B1424&amp;RIGHT(INDIRECT(ADDRESS(ROW(B1425)-1, 'From Order'!$A1425)), 1), B1424))"),"RZHRDC")</f>
        <v>RZHRDC</v>
      </c>
      <c r="C1425" s="2" t="str">
        <f>IFERROR(__xludf.DUMMYFUNCTION("IF('From Order'!$A1425=COLUMNS($A1425:C1444), LEFT(INDEX(FILTER(C$1:C1424, C$1:C1424&lt;&gt;""""),COUNTA(FILTER(C$1:C1424, C$1:C1424&lt;&gt;""""))), LEN(INDEX(FILTER(C$1:C1424, C$1:C1424&lt;&gt;""""),COUNTA(FILTER(C$1:C1424, C$1:C1424&lt;&gt;""""))))-1), IF('To Order'!$A1425=COL"&amp;"UMNS($A1425:C1444), C1424&amp;RIGHT(INDIRECT(ADDRESS(ROW(C1425)-1, 'From Order'!$A1425)), 1), C1424))"),"TQVQJPPLDTM")</f>
        <v>TQVQJPPLDTM</v>
      </c>
      <c r="D1425" s="2" t="str">
        <f>IFERROR(__xludf.DUMMYFUNCTION("IF('From Order'!$A1425=COLUMNS($A1425:D1444), LEFT(INDEX(FILTER(D$1:D1424, D$1:D1424&lt;&gt;""""),COUNTA(FILTER(D$1:D1424, D$1:D1424&lt;&gt;""""))), LEN(INDEX(FILTER(D$1:D1424, D$1:D1424&lt;&gt;""""),COUNTA(FILTER(D$1:D1424, D$1:D1424&lt;&gt;""""))))-1), IF('To Order'!$A1425=COL"&amp;"UMNS($A1425:D1444), D1424&amp;RIGHT(INDIRECT(ADDRESS(ROW(D1425)-1, 'From Order'!$A1425)), 1), D1424))"),"")</f>
        <v/>
      </c>
      <c r="E1425" s="2" t="str">
        <f>IFERROR(__xludf.DUMMYFUNCTION("IF('From Order'!$A1425=COLUMNS($A1425:E1444), LEFT(INDEX(FILTER(E$1:E1424, E$1:E1424&lt;&gt;""""),COUNTA(FILTER(E$1:E1424, E$1:E1424&lt;&gt;""""))), LEN(INDEX(FILTER(E$1:E1424, E$1:E1424&lt;&gt;""""),COUNTA(FILTER(E$1:E1424, E$1:E1424&lt;&gt;""""))))-1), IF('To Order'!$A1425=COL"&amp;"UMNS($A1425:E1444), E1424&amp;RIGHT(INDIRECT(ADDRESS(ROW(E1425)-1, 'From Order'!$A1425)), 1), E1424))"),"HGSTDDLWPBFMDJDSBG")</f>
        <v>HGSTDDLWPBFMDJDSBG</v>
      </c>
      <c r="F1425" s="2" t="str">
        <f>IFERROR(__xludf.DUMMYFUNCTION("IF('From Order'!$A1425=COLUMNS($A1425:F1444), LEFT(INDEX(FILTER(F$1:F1424, F$1:F1424&lt;&gt;""""),COUNTA(FILTER(F$1:F1424, F$1:F1424&lt;&gt;""""))), LEN(INDEX(FILTER(F$1:F1424, F$1:F1424&lt;&gt;""""),COUNTA(FILTER(F$1:F1424, F$1:F1424&lt;&gt;""""))))-1), IF('To Order'!$A1425=COL"&amp;"UMNS($A1425:F1444), F1424&amp;RIGHT(INDIRECT(ADDRESS(ROW(F1425)-1, 'From Order'!$A1425)), 1), F1424))"),"ZRLBSTVFSCZ")</f>
        <v>ZRLBSTVFSCZ</v>
      </c>
      <c r="G1425" s="2" t="str">
        <f>IFERROR(__xludf.DUMMYFUNCTION("IF('From Order'!$A1425=COLUMNS($A1425:G1444), LEFT(INDEX(FILTER(G$1:G1424, G$1:G1424&lt;&gt;""""),COUNTA(FILTER(G$1:G1424, G$1:G1424&lt;&gt;""""))), LEN(INDEX(FILTER(G$1:G1424, G$1:G1424&lt;&gt;""""),COUNTA(FILTER(G$1:G1424, G$1:G1424&lt;&gt;""""))))-1), IF('To Order'!$A1425=COL"&amp;"UMNS($A1425:G1444), G1424&amp;RIGHT(INDIRECT(ADDRESS(ROW(G1425)-1, 'From Order'!$A1425)), 1), G1424))"),"WRMBVTCR")</f>
        <v>WRMBVTCR</v>
      </c>
      <c r="H1425" s="2" t="str">
        <f>IFERROR(__xludf.DUMMYFUNCTION("IF('From Order'!$A1425=COLUMNS($A1425:H1444), LEFT(INDEX(FILTER(H$1:H1424, H$1:H1424&lt;&gt;""""),COUNTA(FILTER(H$1:H1424, H$1:H1424&lt;&gt;""""))), LEN(INDEX(FILTER(H$1:H1424, H$1:H1424&lt;&gt;""""),COUNTA(FILTER(H$1:H1424, H$1:H1424&lt;&gt;""""))))-1), IF('To Order'!$A1425=COL"&amp;"UMNS($A1425:H1444), H1424&amp;RIGHT(INDIRECT(ADDRESS(ROW(H1425)-1, 'From Order'!$A1425)), 1), H1424))"),"")</f>
        <v/>
      </c>
      <c r="I1425" s="2" t="str">
        <f>IFERROR(__xludf.DUMMYFUNCTION("IF('From Order'!$A1425=COLUMNS($A1425:I1444), LEFT(INDEX(FILTER(I$1:I1424, I$1:I1424&lt;&gt;""""),COUNTA(FILTER(I$1:I1424, I$1:I1424&lt;&gt;""""))), LEN(INDEX(FILTER(I$1:I1424, I$1:I1424&lt;&gt;""""),COUNTA(FILTER(I$1:I1424, I$1:I1424&lt;&gt;""""))))-1), IF('To Order'!$A1425=COL"&amp;"UMNS($A1425:I1444), I1424&amp;RIGHT(INDIRECT(ADDRESS(ROW(I1425)-1, 'From Order'!$A1425)), 1), I1424))"),"")</f>
        <v/>
      </c>
    </row>
    <row r="1426">
      <c r="A1426" s="2" t="str">
        <f>IFERROR(__xludf.DUMMYFUNCTION("IF('From Order'!$A1426=COLUMNS($A1426:A1445), LEFT(INDEX(FILTER(A$1:A1425, A$1:A1425&lt;&gt;""""),COUNTA(FILTER(A$1:A1425, A$1:A1425&lt;&gt;""""))), LEN(INDEX(FILTER(A$1:A1425, A$1:A1425&lt;&gt;""""),COUNTA(FILTER(A$1:A1425, A$1:A1425&lt;&gt;""""))))-1), IF('To Order'!$A1426=COL"&amp;"UMNS($A1426:A1445), A1425&amp;RIGHT(INDIRECT(ADDRESS(ROW(A1426)-1, 'From Order'!$A1426)), 1), A1425))"),"JT")</f>
        <v>JT</v>
      </c>
      <c r="B1426" s="2" t="str">
        <f>IFERROR(__xludf.DUMMYFUNCTION("IF('From Order'!$A1426=COLUMNS($A1426:B1445), LEFT(INDEX(FILTER(B$1:B1425, B$1:B1425&lt;&gt;""""),COUNTA(FILTER(B$1:B1425, B$1:B1425&lt;&gt;""""))), LEN(INDEX(FILTER(B$1:B1425, B$1:B1425&lt;&gt;""""),COUNTA(FILTER(B$1:B1425, B$1:B1425&lt;&gt;""""))))-1), IF('To Order'!$A1426=COL"&amp;"UMNS($A1426:B1445), B1425&amp;RIGHT(INDIRECT(ADDRESS(ROW(B1426)-1, 'From Order'!$A1426)), 1), B1425))"),"RZHRDCR")</f>
        <v>RZHRDCR</v>
      </c>
      <c r="C1426" s="2" t="str">
        <f>IFERROR(__xludf.DUMMYFUNCTION("IF('From Order'!$A1426=COLUMNS($A1426:C1445), LEFT(INDEX(FILTER(C$1:C1425, C$1:C1425&lt;&gt;""""),COUNTA(FILTER(C$1:C1425, C$1:C1425&lt;&gt;""""))), LEN(INDEX(FILTER(C$1:C1425, C$1:C1425&lt;&gt;""""),COUNTA(FILTER(C$1:C1425, C$1:C1425&lt;&gt;""""))))-1), IF('To Order'!$A1426=COL"&amp;"UMNS($A1426:C1445), C1425&amp;RIGHT(INDIRECT(ADDRESS(ROW(C1426)-1, 'From Order'!$A1426)), 1), C1425))"),"TQVQJPPLDTM")</f>
        <v>TQVQJPPLDTM</v>
      </c>
      <c r="D1426" s="2" t="str">
        <f>IFERROR(__xludf.DUMMYFUNCTION("IF('From Order'!$A1426=COLUMNS($A1426:D1445), LEFT(INDEX(FILTER(D$1:D1425, D$1:D1425&lt;&gt;""""),COUNTA(FILTER(D$1:D1425, D$1:D1425&lt;&gt;""""))), LEN(INDEX(FILTER(D$1:D1425, D$1:D1425&lt;&gt;""""),COUNTA(FILTER(D$1:D1425, D$1:D1425&lt;&gt;""""))))-1), IF('To Order'!$A1426=COL"&amp;"UMNS($A1426:D1445), D1425&amp;RIGHT(INDIRECT(ADDRESS(ROW(D1426)-1, 'From Order'!$A1426)), 1), D1425))"),"")</f>
        <v/>
      </c>
      <c r="E1426" s="2" t="str">
        <f>IFERROR(__xludf.DUMMYFUNCTION("IF('From Order'!$A1426=COLUMNS($A1426:E1445), LEFT(INDEX(FILTER(E$1:E1425, E$1:E1425&lt;&gt;""""),COUNTA(FILTER(E$1:E1425, E$1:E1425&lt;&gt;""""))), LEN(INDEX(FILTER(E$1:E1425, E$1:E1425&lt;&gt;""""),COUNTA(FILTER(E$1:E1425, E$1:E1425&lt;&gt;""""))))-1), IF('To Order'!$A1426=COL"&amp;"UMNS($A1426:E1445), E1425&amp;RIGHT(INDIRECT(ADDRESS(ROW(E1426)-1, 'From Order'!$A1426)), 1), E1425))"),"HGSTDDLWPBFMDJDSBG")</f>
        <v>HGSTDDLWPBFMDJDSBG</v>
      </c>
      <c r="F1426" s="2" t="str">
        <f>IFERROR(__xludf.DUMMYFUNCTION("IF('From Order'!$A1426=COLUMNS($A1426:F1445), LEFT(INDEX(FILTER(F$1:F1425, F$1:F1425&lt;&gt;""""),COUNTA(FILTER(F$1:F1425, F$1:F1425&lt;&gt;""""))), LEN(INDEX(FILTER(F$1:F1425, F$1:F1425&lt;&gt;""""),COUNTA(FILTER(F$1:F1425, F$1:F1425&lt;&gt;""""))))-1), IF('To Order'!$A1426=COL"&amp;"UMNS($A1426:F1445), F1425&amp;RIGHT(INDIRECT(ADDRESS(ROW(F1426)-1, 'From Order'!$A1426)), 1), F1425))"),"ZRLBSTVFSCZ")</f>
        <v>ZRLBSTVFSCZ</v>
      </c>
      <c r="G1426" s="2" t="str">
        <f>IFERROR(__xludf.DUMMYFUNCTION("IF('From Order'!$A1426=COLUMNS($A1426:G1445), LEFT(INDEX(FILTER(G$1:G1425, G$1:G1425&lt;&gt;""""),COUNTA(FILTER(G$1:G1425, G$1:G1425&lt;&gt;""""))), LEN(INDEX(FILTER(G$1:G1425, G$1:G1425&lt;&gt;""""),COUNTA(FILTER(G$1:G1425, G$1:G1425&lt;&gt;""""))))-1), IF('To Order'!$A1426=COL"&amp;"UMNS($A1426:G1445), G1425&amp;RIGHT(INDIRECT(ADDRESS(ROW(G1426)-1, 'From Order'!$A1426)), 1), G1425))"),"WRMBVTC")</f>
        <v>WRMBVTC</v>
      </c>
      <c r="H1426" s="2" t="str">
        <f>IFERROR(__xludf.DUMMYFUNCTION("IF('From Order'!$A1426=COLUMNS($A1426:H1445), LEFT(INDEX(FILTER(H$1:H1425, H$1:H1425&lt;&gt;""""),COUNTA(FILTER(H$1:H1425, H$1:H1425&lt;&gt;""""))), LEN(INDEX(FILTER(H$1:H1425, H$1:H1425&lt;&gt;""""),COUNTA(FILTER(H$1:H1425, H$1:H1425&lt;&gt;""""))))-1), IF('To Order'!$A1426=COL"&amp;"UMNS($A1426:H1445), H1425&amp;RIGHT(INDIRECT(ADDRESS(ROW(H1426)-1, 'From Order'!$A1426)), 1), H1425))"),"")</f>
        <v/>
      </c>
      <c r="I1426" s="2" t="str">
        <f>IFERROR(__xludf.DUMMYFUNCTION("IF('From Order'!$A1426=COLUMNS($A1426:I1445), LEFT(INDEX(FILTER(I$1:I1425, I$1:I1425&lt;&gt;""""),COUNTA(FILTER(I$1:I1425, I$1:I1425&lt;&gt;""""))), LEN(INDEX(FILTER(I$1:I1425, I$1:I1425&lt;&gt;""""),COUNTA(FILTER(I$1:I1425, I$1:I1425&lt;&gt;""""))))-1), IF('To Order'!$A1426=COL"&amp;"UMNS($A1426:I1445), I1425&amp;RIGHT(INDIRECT(ADDRESS(ROW(I1426)-1, 'From Order'!$A1426)), 1), I1425))"),"")</f>
        <v/>
      </c>
    </row>
    <row r="1427">
      <c r="A1427" s="2" t="str">
        <f>IFERROR(__xludf.DUMMYFUNCTION("IF('From Order'!$A1427=COLUMNS($A1427:A1446), LEFT(INDEX(FILTER(A$1:A1426, A$1:A1426&lt;&gt;""""),COUNTA(FILTER(A$1:A1426, A$1:A1426&lt;&gt;""""))), LEN(INDEX(FILTER(A$1:A1426, A$1:A1426&lt;&gt;""""),COUNTA(FILTER(A$1:A1426, A$1:A1426&lt;&gt;""""))))-1), IF('To Order'!$A1427=COL"&amp;"UMNS($A1427:A1446), A1426&amp;RIGHT(INDIRECT(ADDRESS(ROW(A1427)-1, 'From Order'!$A1427)), 1), A1426))"),"JT")</f>
        <v>JT</v>
      </c>
      <c r="B1427" s="2" t="str">
        <f>IFERROR(__xludf.DUMMYFUNCTION("IF('From Order'!$A1427=COLUMNS($A1427:B1446), LEFT(INDEX(FILTER(B$1:B1426, B$1:B1426&lt;&gt;""""),COUNTA(FILTER(B$1:B1426, B$1:B1426&lt;&gt;""""))), LEN(INDEX(FILTER(B$1:B1426, B$1:B1426&lt;&gt;""""),COUNTA(FILTER(B$1:B1426, B$1:B1426&lt;&gt;""""))))-1), IF('To Order'!$A1427=COL"&amp;"UMNS($A1427:B1446), B1426&amp;RIGHT(INDIRECT(ADDRESS(ROW(B1427)-1, 'From Order'!$A1427)), 1), B1426))"),"RZHRDCRC")</f>
        <v>RZHRDCRC</v>
      </c>
      <c r="C1427" s="2" t="str">
        <f>IFERROR(__xludf.DUMMYFUNCTION("IF('From Order'!$A1427=COLUMNS($A1427:C1446), LEFT(INDEX(FILTER(C$1:C1426, C$1:C1426&lt;&gt;""""),COUNTA(FILTER(C$1:C1426, C$1:C1426&lt;&gt;""""))), LEN(INDEX(FILTER(C$1:C1426, C$1:C1426&lt;&gt;""""),COUNTA(FILTER(C$1:C1426, C$1:C1426&lt;&gt;""""))))-1), IF('To Order'!$A1427=COL"&amp;"UMNS($A1427:C1446), C1426&amp;RIGHT(INDIRECT(ADDRESS(ROW(C1427)-1, 'From Order'!$A1427)), 1), C1426))"),"TQVQJPPLDTM")</f>
        <v>TQVQJPPLDTM</v>
      </c>
      <c r="D1427" s="2" t="str">
        <f>IFERROR(__xludf.DUMMYFUNCTION("IF('From Order'!$A1427=COLUMNS($A1427:D1446), LEFT(INDEX(FILTER(D$1:D1426, D$1:D1426&lt;&gt;""""),COUNTA(FILTER(D$1:D1426, D$1:D1426&lt;&gt;""""))), LEN(INDEX(FILTER(D$1:D1426, D$1:D1426&lt;&gt;""""),COUNTA(FILTER(D$1:D1426, D$1:D1426&lt;&gt;""""))))-1), IF('To Order'!$A1427=COL"&amp;"UMNS($A1427:D1446), D1426&amp;RIGHT(INDIRECT(ADDRESS(ROW(D1427)-1, 'From Order'!$A1427)), 1), D1426))"),"")</f>
        <v/>
      </c>
      <c r="E1427" s="2" t="str">
        <f>IFERROR(__xludf.DUMMYFUNCTION("IF('From Order'!$A1427=COLUMNS($A1427:E1446), LEFT(INDEX(FILTER(E$1:E1426, E$1:E1426&lt;&gt;""""),COUNTA(FILTER(E$1:E1426, E$1:E1426&lt;&gt;""""))), LEN(INDEX(FILTER(E$1:E1426, E$1:E1426&lt;&gt;""""),COUNTA(FILTER(E$1:E1426, E$1:E1426&lt;&gt;""""))))-1), IF('To Order'!$A1427=COL"&amp;"UMNS($A1427:E1446), E1426&amp;RIGHT(INDIRECT(ADDRESS(ROW(E1427)-1, 'From Order'!$A1427)), 1), E1426))"),"HGSTDDLWPBFMDJDSBG")</f>
        <v>HGSTDDLWPBFMDJDSBG</v>
      </c>
      <c r="F1427" s="2" t="str">
        <f>IFERROR(__xludf.DUMMYFUNCTION("IF('From Order'!$A1427=COLUMNS($A1427:F1446), LEFT(INDEX(FILTER(F$1:F1426, F$1:F1426&lt;&gt;""""),COUNTA(FILTER(F$1:F1426, F$1:F1426&lt;&gt;""""))), LEN(INDEX(FILTER(F$1:F1426, F$1:F1426&lt;&gt;""""),COUNTA(FILTER(F$1:F1426, F$1:F1426&lt;&gt;""""))))-1), IF('To Order'!$A1427=COL"&amp;"UMNS($A1427:F1446), F1426&amp;RIGHT(INDIRECT(ADDRESS(ROW(F1427)-1, 'From Order'!$A1427)), 1), F1426))"),"ZRLBSTVFSCZ")</f>
        <v>ZRLBSTVFSCZ</v>
      </c>
      <c r="G1427" s="2" t="str">
        <f>IFERROR(__xludf.DUMMYFUNCTION("IF('From Order'!$A1427=COLUMNS($A1427:G1446), LEFT(INDEX(FILTER(G$1:G1426, G$1:G1426&lt;&gt;""""),COUNTA(FILTER(G$1:G1426, G$1:G1426&lt;&gt;""""))), LEN(INDEX(FILTER(G$1:G1426, G$1:G1426&lt;&gt;""""),COUNTA(FILTER(G$1:G1426, G$1:G1426&lt;&gt;""""))))-1), IF('To Order'!$A1427=COL"&amp;"UMNS($A1427:G1446), G1426&amp;RIGHT(INDIRECT(ADDRESS(ROW(G1427)-1, 'From Order'!$A1427)), 1), G1426))"),"WRMBVT")</f>
        <v>WRMBVT</v>
      </c>
      <c r="H1427" s="2" t="str">
        <f>IFERROR(__xludf.DUMMYFUNCTION("IF('From Order'!$A1427=COLUMNS($A1427:H1446), LEFT(INDEX(FILTER(H$1:H1426, H$1:H1426&lt;&gt;""""),COUNTA(FILTER(H$1:H1426, H$1:H1426&lt;&gt;""""))), LEN(INDEX(FILTER(H$1:H1426, H$1:H1426&lt;&gt;""""),COUNTA(FILTER(H$1:H1426, H$1:H1426&lt;&gt;""""))))-1), IF('To Order'!$A1427=COL"&amp;"UMNS($A1427:H1446), H1426&amp;RIGHT(INDIRECT(ADDRESS(ROW(H1427)-1, 'From Order'!$A1427)), 1), H1426))"),"")</f>
        <v/>
      </c>
      <c r="I1427" s="2" t="str">
        <f>IFERROR(__xludf.DUMMYFUNCTION("IF('From Order'!$A1427=COLUMNS($A1427:I1446), LEFT(INDEX(FILTER(I$1:I1426, I$1:I1426&lt;&gt;""""),COUNTA(FILTER(I$1:I1426, I$1:I1426&lt;&gt;""""))), LEN(INDEX(FILTER(I$1:I1426, I$1:I1426&lt;&gt;""""),COUNTA(FILTER(I$1:I1426, I$1:I1426&lt;&gt;""""))))-1), IF('To Order'!$A1427=COL"&amp;"UMNS($A1427:I1446), I1426&amp;RIGHT(INDIRECT(ADDRESS(ROW(I1427)-1, 'From Order'!$A1427)), 1), I1426))"),"")</f>
        <v/>
      </c>
    </row>
    <row r="1428">
      <c r="A1428" s="2" t="str">
        <f>IFERROR(__xludf.DUMMYFUNCTION("IF('From Order'!$A1428=COLUMNS($A1428:A1447), LEFT(INDEX(FILTER(A$1:A1427, A$1:A1427&lt;&gt;""""),COUNTA(FILTER(A$1:A1427, A$1:A1427&lt;&gt;""""))), LEN(INDEX(FILTER(A$1:A1427, A$1:A1427&lt;&gt;""""),COUNTA(FILTER(A$1:A1427, A$1:A1427&lt;&gt;""""))))-1), IF('To Order'!$A1428=COL"&amp;"UMNS($A1428:A1447), A1427&amp;RIGHT(INDIRECT(ADDRESS(ROW(A1428)-1, 'From Order'!$A1428)), 1), A1427))"),"J")</f>
        <v>J</v>
      </c>
      <c r="B1428" s="2" t="str">
        <f>IFERROR(__xludf.DUMMYFUNCTION("IF('From Order'!$A1428=COLUMNS($A1428:B1447), LEFT(INDEX(FILTER(B$1:B1427, B$1:B1427&lt;&gt;""""),COUNTA(FILTER(B$1:B1427, B$1:B1427&lt;&gt;""""))), LEN(INDEX(FILTER(B$1:B1427, B$1:B1427&lt;&gt;""""),COUNTA(FILTER(B$1:B1427, B$1:B1427&lt;&gt;""""))))-1), IF('To Order'!$A1428=COL"&amp;"UMNS($A1428:B1447), B1427&amp;RIGHT(INDIRECT(ADDRESS(ROW(B1428)-1, 'From Order'!$A1428)), 1), B1427))"),"RZHRDCRC")</f>
        <v>RZHRDCRC</v>
      </c>
      <c r="C1428" s="2" t="str">
        <f>IFERROR(__xludf.DUMMYFUNCTION("IF('From Order'!$A1428=COLUMNS($A1428:C1447), LEFT(INDEX(FILTER(C$1:C1427, C$1:C1427&lt;&gt;""""),COUNTA(FILTER(C$1:C1427, C$1:C1427&lt;&gt;""""))), LEN(INDEX(FILTER(C$1:C1427, C$1:C1427&lt;&gt;""""),COUNTA(FILTER(C$1:C1427, C$1:C1427&lt;&gt;""""))))-1), IF('To Order'!$A1428=COL"&amp;"UMNS($A1428:C1447), C1427&amp;RIGHT(INDIRECT(ADDRESS(ROW(C1428)-1, 'From Order'!$A1428)), 1), C1427))"),"TQVQJPPLDTM")</f>
        <v>TQVQJPPLDTM</v>
      </c>
      <c r="D1428" s="2" t="str">
        <f>IFERROR(__xludf.DUMMYFUNCTION("IF('From Order'!$A1428=COLUMNS($A1428:D1447), LEFT(INDEX(FILTER(D$1:D1427, D$1:D1427&lt;&gt;""""),COUNTA(FILTER(D$1:D1427, D$1:D1427&lt;&gt;""""))), LEN(INDEX(FILTER(D$1:D1427, D$1:D1427&lt;&gt;""""),COUNTA(FILTER(D$1:D1427, D$1:D1427&lt;&gt;""""))))-1), IF('To Order'!$A1428=COL"&amp;"UMNS($A1428:D1447), D1427&amp;RIGHT(INDIRECT(ADDRESS(ROW(D1428)-1, 'From Order'!$A1428)), 1), D1427))"),"")</f>
        <v/>
      </c>
      <c r="E1428" s="2" t="str">
        <f>IFERROR(__xludf.DUMMYFUNCTION("IF('From Order'!$A1428=COLUMNS($A1428:E1447), LEFT(INDEX(FILTER(E$1:E1427, E$1:E1427&lt;&gt;""""),COUNTA(FILTER(E$1:E1427, E$1:E1427&lt;&gt;""""))), LEN(INDEX(FILTER(E$1:E1427, E$1:E1427&lt;&gt;""""),COUNTA(FILTER(E$1:E1427, E$1:E1427&lt;&gt;""""))))-1), IF('To Order'!$A1428=COL"&amp;"UMNS($A1428:E1447), E1427&amp;RIGHT(INDIRECT(ADDRESS(ROW(E1428)-1, 'From Order'!$A1428)), 1), E1427))"),"HGSTDDLWPBFMDJDSBG")</f>
        <v>HGSTDDLWPBFMDJDSBG</v>
      </c>
      <c r="F1428" s="2" t="str">
        <f>IFERROR(__xludf.DUMMYFUNCTION("IF('From Order'!$A1428=COLUMNS($A1428:F1447), LEFT(INDEX(FILTER(F$1:F1427, F$1:F1427&lt;&gt;""""),COUNTA(FILTER(F$1:F1427, F$1:F1427&lt;&gt;""""))), LEN(INDEX(FILTER(F$1:F1427, F$1:F1427&lt;&gt;""""),COUNTA(FILTER(F$1:F1427, F$1:F1427&lt;&gt;""""))))-1), IF('To Order'!$A1428=COL"&amp;"UMNS($A1428:F1447), F1427&amp;RIGHT(INDIRECT(ADDRESS(ROW(F1428)-1, 'From Order'!$A1428)), 1), F1427))"),"ZRLBSTVFSCZ")</f>
        <v>ZRLBSTVFSCZ</v>
      </c>
      <c r="G1428" s="2" t="str">
        <f>IFERROR(__xludf.DUMMYFUNCTION("IF('From Order'!$A1428=COLUMNS($A1428:G1447), LEFT(INDEX(FILTER(G$1:G1427, G$1:G1427&lt;&gt;""""),COUNTA(FILTER(G$1:G1427, G$1:G1427&lt;&gt;""""))), LEN(INDEX(FILTER(G$1:G1427, G$1:G1427&lt;&gt;""""),COUNTA(FILTER(G$1:G1427, G$1:G1427&lt;&gt;""""))))-1), IF('To Order'!$A1428=COL"&amp;"UMNS($A1428:G1447), G1427&amp;RIGHT(INDIRECT(ADDRESS(ROW(G1428)-1, 'From Order'!$A1428)), 1), G1427))"),"WRMBVTT")</f>
        <v>WRMBVTT</v>
      </c>
      <c r="H1428" s="2" t="str">
        <f>IFERROR(__xludf.DUMMYFUNCTION("IF('From Order'!$A1428=COLUMNS($A1428:H1447), LEFT(INDEX(FILTER(H$1:H1427, H$1:H1427&lt;&gt;""""),COUNTA(FILTER(H$1:H1427, H$1:H1427&lt;&gt;""""))), LEN(INDEX(FILTER(H$1:H1427, H$1:H1427&lt;&gt;""""),COUNTA(FILTER(H$1:H1427, H$1:H1427&lt;&gt;""""))))-1), IF('To Order'!$A1428=COL"&amp;"UMNS($A1428:H1447), H1427&amp;RIGHT(INDIRECT(ADDRESS(ROW(H1428)-1, 'From Order'!$A1428)), 1), H1427))"),"")</f>
        <v/>
      </c>
      <c r="I1428" s="2" t="str">
        <f>IFERROR(__xludf.DUMMYFUNCTION("IF('From Order'!$A1428=COLUMNS($A1428:I1447), LEFT(INDEX(FILTER(I$1:I1427, I$1:I1427&lt;&gt;""""),COUNTA(FILTER(I$1:I1427, I$1:I1427&lt;&gt;""""))), LEN(INDEX(FILTER(I$1:I1427, I$1:I1427&lt;&gt;""""),COUNTA(FILTER(I$1:I1427, I$1:I1427&lt;&gt;""""))))-1), IF('To Order'!$A1428=COL"&amp;"UMNS($A1428:I1447), I1427&amp;RIGHT(INDIRECT(ADDRESS(ROW(I1428)-1, 'From Order'!$A1428)), 1), I1427))"),"")</f>
        <v/>
      </c>
    </row>
    <row r="1429">
      <c r="A1429" s="2" t="str">
        <f>IFERROR(__xludf.DUMMYFUNCTION("IF('From Order'!$A1429=COLUMNS($A1429:A1448), LEFT(INDEX(FILTER(A$1:A1428, A$1:A1428&lt;&gt;""""),COUNTA(FILTER(A$1:A1428, A$1:A1428&lt;&gt;""""))), LEN(INDEX(FILTER(A$1:A1428, A$1:A1428&lt;&gt;""""),COUNTA(FILTER(A$1:A1428, A$1:A1428&lt;&gt;""""))))-1), IF('To Order'!$A1429=COL"&amp;"UMNS($A1429:A1448), A1428&amp;RIGHT(INDIRECT(ADDRESS(ROW(A1429)-1, 'From Order'!$A1429)), 1), A1428))"),"")</f>
        <v/>
      </c>
      <c r="B1429" s="2" t="str">
        <f>IFERROR(__xludf.DUMMYFUNCTION("IF('From Order'!$A1429=COLUMNS($A1429:B1448), LEFT(INDEX(FILTER(B$1:B1428, B$1:B1428&lt;&gt;""""),COUNTA(FILTER(B$1:B1428, B$1:B1428&lt;&gt;""""))), LEN(INDEX(FILTER(B$1:B1428, B$1:B1428&lt;&gt;""""),COUNTA(FILTER(B$1:B1428, B$1:B1428&lt;&gt;""""))))-1), IF('To Order'!$A1429=COL"&amp;"UMNS($A1429:B1448), B1428&amp;RIGHT(INDIRECT(ADDRESS(ROW(B1429)-1, 'From Order'!$A1429)), 1), B1428))"),"RZHRDCRC")</f>
        <v>RZHRDCRC</v>
      </c>
      <c r="C1429" s="2" t="str">
        <f>IFERROR(__xludf.DUMMYFUNCTION("IF('From Order'!$A1429=COLUMNS($A1429:C1448), LEFT(INDEX(FILTER(C$1:C1428, C$1:C1428&lt;&gt;""""),COUNTA(FILTER(C$1:C1428, C$1:C1428&lt;&gt;""""))), LEN(INDEX(FILTER(C$1:C1428, C$1:C1428&lt;&gt;""""),COUNTA(FILTER(C$1:C1428, C$1:C1428&lt;&gt;""""))))-1), IF('To Order'!$A1429=COL"&amp;"UMNS($A1429:C1448), C1428&amp;RIGHT(INDIRECT(ADDRESS(ROW(C1429)-1, 'From Order'!$A1429)), 1), C1428))"),"TQVQJPPLDTM")</f>
        <v>TQVQJPPLDTM</v>
      </c>
      <c r="D1429" s="2" t="str">
        <f>IFERROR(__xludf.DUMMYFUNCTION("IF('From Order'!$A1429=COLUMNS($A1429:D1448), LEFT(INDEX(FILTER(D$1:D1428, D$1:D1428&lt;&gt;""""),COUNTA(FILTER(D$1:D1428, D$1:D1428&lt;&gt;""""))), LEN(INDEX(FILTER(D$1:D1428, D$1:D1428&lt;&gt;""""),COUNTA(FILTER(D$1:D1428, D$1:D1428&lt;&gt;""""))))-1), IF('To Order'!$A1429=COL"&amp;"UMNS($A1429:D1448), D1428&amp;RIGHT(INDIRECT(ADDRESS(ROW(D1429)-1, 'From Order'!$A1429)), 1), D1428))"),"")</f>
        <v/>
      </c>
      <c r="E1429" s="2" t="str">
        <f>IFERROR(__xludf.DUMMYFUNCTION("IF('From Order'!$A1429=COLUMNS($A1429:E1448), LEFT(INDEX(FILTER(E$1:E1428, E$1:E1428&lt;&gt;""""),COUNTA(FILTER(E$1:E1428, E$1:E1428&lt;&gt;""""))), LEN(INDEX(FILTER(E$1:E1428, E$1:E1428&lt;&gt;""""),COUNTA(FILTER(E$1:E1428, E$1:E1428&lt;&gt;""""))))-1), IF('To Order'!$A1429=COL"&amp;"UMNS($A1429:E1448), E1428&amp;RIGHT(INDIRECT(ADDRESS(ROW(E1429)-1, 'From Order'!$A1429)), 1), E1428))"),"HGSTDDLWPBFMDJDSBG")</f>
        <v>HGSTDDLWPBFMDJDSBG</v>
      </c>
      <c r="F1429" s="2" t="str">
        <f>IFERROR(__xludf.DUMMYFUNCTION("IF('From Order'!$A1429=COLUMNS($A1429:F1448), LEFT(INDEX(FILTER(F$1:F1428, F$1:F1428&lt;&gt;""""),COUNTA(FILTER(F$1:F1428, F$1:F1428&lt;&gt;""""))), LEN(INDEX(FILTER(F$1:F1428, F$1:F1428&lt;&gt;""""),COUNTA(FILTER(F$1:F1428, F$1:F1428&lt;&gt;""""))))-1), IF('To Order'!$A1429=COL"&amp;"UMNS($A1429:F1448), F1428&amp;RIGHT(INDIRECT(ADDRESS(ROW(F1429)-1, 'From Order'!$A1429)), 1), F1428))"),"ZRLBSTVFSCZ")</f>
        <v>ZRLBSTVFSCZ</v>
      </c>
      <c r="G1429" s="2" t="str">
        <f>IFERROR(__xludf.DUMMYFUNCTION("IF('From Order'!$A1429=COLUMNS($A1429:G1448), LEFT(INDEX(FILTER(G$1:G1428, G$1:G1428&lt;&gt;""""),COUNTA(FILTER(G$1:G1428, G$1:G1428&lt;&gt;""""))), LEN(INDEX(FILTER(G$1:G1428, G$1:G1428&lt;&gt;""""),COUNTA(FILTER(G$1:G1428, G$1:G1428&lt;&gt;""""))))-1), IF('To Order'!$A1429=COL"&amp;"UMNS($A1429:G1448), G1428&amp;RIGHT(INDIRECT(ADDRESS(ROW(G1429)-1, 'From Order'!$A1429)), 1), G1428))"),"WRMBVTTJ")</f>
        <v>WRMBVTTJ</v>
      </c>
      <c r="H1429" s="2" t="str">
        <f>IFERROR(__xludf.DUMMYFUNCTION("IF('From Order'!$A1429=COLUMNS($A1429:H1448), LEFT(INDEX(FILTER(H$1:H1428, H$1:H1428&lt;&gt;""""),COUNTA(FILTER(H$1:H1428, H$1:H1428&lt;&gt;""""))), LEN(INDEX(FILTER(H$1:H1428, H$1:H1428&lt;&gt;""""),COUNTA(FILTER(H$1:H1428, H$1:H1428&lt;&gt;""""))))-1), IF('To Order'!$A1429=COL"&amp;"UMNS($A1429:H1448), H1428&amp;RIGHT(INDIRECT(ADDRESS(ROW(H1429)-1, 'From Order'!$A1429)), 1), H1428))"),"")</f>
        <v/>
      </c>
      <c r="I1429" s="2" t="str">
        <f>IFERROR(__xludf.DUMMYFUNCTION("IF('From Order'!$A1429=COLUMNS($A1429:I1448), LEFT(INDEX(FILTER(I$1:I1428, I$1:I1428&lt;&gt;""""),COUNTA(FILTER(I$1:I1428, I$1:I1428&lt;&gt;""""))), LEN(INDEX(FILTER(I$1:I1428, I$1:I1428&lt;&gt;""""),COUNTA(FILTER(I$1:I1428, I$1:I1428&lt;&gt;""""))))-1), IF('To Order'!$A1429=COL"&amp;"UMNS($A1429:I1448), I1428&amp;RIGHT(INDIRECT(ADDRESS(ROW(I1429)-1, 'From Order'!$A1429)), 1), I1428))"),"")</f>
        <v/>
      </c>
    </row>
    <row r="1430">
      <c r="A1430" s="2" t="str">
        <f>IFERROR(__xludf.DUMMYFUNCTION("IF('From Order'!$A1430=COLUMNS($A1430:A1449), LEFT(INDEX(FILTER(A$1:A1429, A$1:A1429&lt;&gt;""""),COUNTA(FILTER(A$1:A1429, A$1:A1429&lt;&gt;""""))), LEN(INDEX(FILTER(A$1:A1429, A$1:A1429&lt;&gt;""""),COUNTA(FILTER(A$1:A1429, A$1:A1429&lt;&gt;""""))))-1), IF('To Order'!$A1430=COL"&amp;"UMNS($A1430:A1449), A1429&amp;RIGHT(INDIRECT(ADDRESS(ROW(A1430)-1, 'From Order'!$A1430)), 1), A1429))"),"")</f>
        <v/>
      </c>
      <c r="B1430" s="2" t="str">
        <f>IFERROR(__xludf.DUMMYFUNCTION("IF('From Order'!$A1430=COLUMNS($A1430:B1449), LEFT(INDEX(FILTER(B$1:B1429, B$1:B1429&lt;&gt;""""),COUNTA(FILTER(B$1:B1429, B$1:B1429&lt;&gt;""""))), LEN(INDEX(FILTER(B$1:B1429, B$1:B1429&lt;&gt;""""),COUNTA(FILTER(B$1:B1429, B$1:B1429&lt;&gt;""""))))-1), IF('To Order'!$A1430=COL"&amp;"UMNS($A1430:B1449), B1429&amp;RIGHT(INDIRECT(ADDRESS(ROW(B1430)-1, 'From Order'!$A1430)), 1), B1429))"),"RZHRDCR")</f>
        <v>RZHRDCR</v>
      </c>
      <c r="C1430" s="2" t="str">
        <f>IFERROR(__xludf.DUMMYFUNCTION("IF('From Order'!$A1430=COLUMNS($A1430:C1449), LEFT(INDEX(FILTER(C$1:C1429, C$1:C1429&lt;&gt;""""),COUNTA(FILTER(C$1:C1429, C$1:C1429&lt;&gt;""""))), LEN(INDEX(FILTER(C$1:C1429, C$1:C1429&lt;&gt;""""),COUNTA(FILTER(C$1:C1429, C$1:C1429&lt;&gt;""""))))-1), IF('To Order'!$A1430=COL"&amp;"UMNS($A1430:C1449), C1429&amp;RIGHT(INDIRECT(ADDRESS(ROW(C1430)-1, 'From Order'!$A1430)), 1), C1429))"),"TQVQJPPLDTM")</f>
        <v>TQVQJPPLDTM</v>
      </c>
      <c r="D1430" s="2" t="str">
        <f>IFERROR(__xludf.DUMMYFUNCTION("IF('From Order'!$A1430=COLUMNS($A1430:D1449), LEFT(INDEX(FILTER(D$1:D1429, D$1:D1429&lt;&gt;""""),COUNTA(FILTER(D$1:D1429, D$1:D1429&lt;&gt;""""))), LEN(INDEX(FILTER(D$1:D1429, D$1:D1429&lt;&gt;""""),COUNTA(FILTER(D$1:D1429, D$1:D1429&lt;&gt;""""))))-1), IF('To Order'!$A1430=COL"&amp;"UMNS($A1430:D1449), D1429&amp;RIGHT(INDIRECT(ADDRESS(ROW(D1430)-1, 'From Order'!$A1430)), 1), D1429))"),"C")</f>
        <v>C</v>
      </c>
      <c r="E1430" s="2" t="str">
        <f>IFERROR(__xludf.DUMMYFUNCTION("IF('From Order'!$A1430=COLUMNS($A1430:E1449), LEFT(INDEX(FILTER(E$1:E1429, E$1:E1429&lt;&gt;""""),COUNTA(FILTER(E$1:E1429, E$1:E1429&lt;&gt;""""))), LEN(INDEX(FILTER(E$1:E1429, E$1:E1429&lt;&gt;""""),COUNTA(FILTER(E$1:E1429, E$1:E1429&lt;&gt;""""))))-1), IF('To Order'!$A1430=COL"&amp;"UMNS($A1430:E1449), E1429&amp;RIGHT(INDIRECT(ADDRESS(ROW(E1430)-1, 'From Order'!$A1430)), 1), E1429))"),"HGSTDDLWPBFMDJDSBG")</f>
        <v>HGSTDDLWPBFMDJDSBG</v>
      </c>
      <c r="F1430" s="2" t="str">
        <f>IFERROR(__xludf.DUMMYFUNCTION("IF('From Order'!$A1430=COLUMNS($A1430:F1449), LEFT(INDEX(FILTER(F$1:F1429, F$1:F1429&lt;&gt;""""),COUNTA(FILTER(F$1:F1429, F$1:F1429&lt;&gt;""""))), LEN(INDEX(FILTER(F$1:F1429, F$1:F1429&lt;&gt;""""),COUNTA(FILTER(F$1:F1429, F$1:F1429&lt;&gt;""""))))-1), IF('To Order'!$A1430=COL"&amp;"UMNS($A1430:F1449), F1429&amp;RIGHT(INDIRECT(ADDRESS(ROW(F1430)-1, 'From Order'!$A1430)), 1), F1429))"),"ZRLBSTVFSCZ")</f>
        <v>ZRLBSTVFSCZ</v>
      </c>
      <c r="G1430" s="2" t="str">
        <f>IFERROR(__xludf.DUMMYFUNCTION("IF('From Order'!$A1430=COLUMNS($A1430:G1449), LEFT(INDEX(FILTER(G$1:G1429, G$1:G1429&lt;&gt;""""),COUNTA(FILTER(G$1:G1429, G$1:G1429&lt;&gt;""""))), LEN(INDEX(FILTER(G$1:G1429, G$1:G1429&lt;&gt;""""),COUNTA(FILTER(G$1:G1429, G$1:G1429&lt;&gt;""""))))-1), IF('To Order'!$A1430=COL"&amp;"UMNS($A1430:G1449), G1429&amp;RIGHT(INDIRECT(ADDRESS(ROW(G1430)-1, 'From Order'!$A1430)), 1), G1429))"),"WRMBVTTJ")</f>
        <v>WRMBVTTJ</v>
      </c>
      <c r="H1430" s="2" t="str">
        <f>IFERROR(__xludf.DUMMYFUNCTION("IF('From Order'!$A1430=COLUMNS($A1430:H1449), LEFT(INDEX(FILTER(H$1:H1429, H$1:H1429&lt;&gt;""""),COUNTA(FILTER(H$1:H1429, H$1:H1429&lt;&gt;""""))), LEN(INDEX(FILTER(H$1:H1429, H$1:H1429&lt;&gt;""""),COUNTA(FILTER(H$1:H1429, H$1:H1429&lt;&gt;""""))))-1), IF('To Order'!$A1430=COL"&amp;"UMNS($A1430:H1449), H1429&amp;RIGHT(INDIRECT(ADDRESS(ROW(H1430)-1, 'From Order'!$A1430)), 1), H1429))"),"")</f>
        <v/>
      </c>
      <c r="I1430" s="2" t="str">
        <f>IFERROR(__xludf.DUMMYFUNCTION("IF('From Order'!$A1430=COLUMNS($A1430:I1449), LEFT(INDEX(FILTER(I$1:I1429, I$1:I1429&lt;&gt;""""),COUNTA(FILTER(I$1:I1429, I$1:I1429&lt;&gt;""""))), LEN(INDEX(FILTER(I$1:I1429, I$1:I1429&lt;&gt;""""),COUNTA(FILTER(I$1:I1429, I$1:I1429&lt;&gt;""""))))-1), IF('To Order'!$A1430=COL"&amp;"UMNS($A1430:I1449), I1429&amp;RIGHT(INDIRECT(ADDRESS(ROW(I1430)-1, 'From Order'!$A1430)), 1), I1429))"),"")</f>
        <v/>
      </c>
    </row>
    <row r="1431">
      <c r="A1431" s="2" t="str">
        <f>IFERROR(__xludf.DUMMYFUNCTION("IF('From Order'!$A1431=COLUMNS($A1431:A1450), LEFT(INDEX(FILTER(A$1:A1430, A$1:A1430&lt;&gt;""""),COUNTA(FILTER(A$1:A1430, A$1:A1430&lt;&gt;""""))), LEN(INDEX(FILTER(A$1:A1430, A$1:A1430&lt;&gt;""""),COUNTA(FILTER(A$1:A1430, A$1:A1430&lt;&gt;""""))))-1), IF('To Order'!$A1431=COL"&amp;"UMNS($A1431:A1450), A1430&amp;RIGHT(INDIRECT(ADDRESS(ROW(A1431)-1, 'From Order'!$A1431)), 1), A1430))"),"")</f>
        <v/>
      </c>
      <c r="B1431" s="2" t="str">
        <f>IFERROR(__xludf.DUMMYFUNCTION("IF('From Order'!$A1431=COLUMNS($A1431:B1450), LEFT(INDEX(FILTER(B$1:B1430, B$1:B1430&lt;&gt;""""),COUNTA(FILTER(B$1:B1430, B$1:B1430&lt;&gt;""""))), LEN(INDEX(FILTER(B$1:B1430, B$1:B1430&lt;&gt;""""),COUNTA(FILTER(B$1:B1430, B$1:B1430&lt;&gt;""""))))-1), IF('To Order'!$A1431=COL"&amp;"UMNS($A1431:B1450), B1430&amp;RIGHT(INDIRECT(ADDRESS(ROW(B1431)-1, 'From Order'!$A1431)), 1), B1430))"),"RZHRDC")</f>
        <v>RZHRDC</v>
      </c>
      <c r="C1431" s="2" t="str">
        <f>IFERROR(__xludf.DUMMYFUNCTION("IF('From Order'!$A1431=COLUMNS($A1431:C1450), LEFT(INDEX(FILTER(C$1:C1430, C$1:C1430&lt;&gt;""""),COUNTA(FILTER(C$1:C1430, C$1:C1430&lt;&gt;""""))), LEN(INDEX(FILTER(C$1:C1430, C$1:C1430&lt;&gt;""""),COUNTA(FILTER(C$1:C1430, C$1:C1430&lt;&gt;""""))))-1), IF('To Order'!$A1431=COL"&amp;"UMNS($A1431:C1450), C1430&amp;RIGHT(INDIRECT(ADDRESS(ROW(C1431)-1, 'From Order'!$A1431)), 1), C1430))"),"TQVQJPPLDTM")</f>
        <v>TQVQJPPLDTM</v>
      </c>
      <c r="D1431" s="2" t="str">
        <f>IFERROR(__xludf.DUMMYFUNCTION("IF('From Order'!$A1431=COLUMNS($A1431:D1450), LEFT(INDEX(FILTER(D$1:D1430, D$1:D1430&lt;&gt;""""),COUNTA(FILTER(D$1:D1430, D$1:D1430&lt;&gt;""""))), LEN(INDEX(FILTER(D$1:D1430, D$1:D1430&lt;&gt;""""),COUNTA(FILTER(D$1:D1430, D$1:D1430&lt;&gt;""""))))-1), IF('To Order'!$A1431=COL"&amp;"UMNS($A1431:D1450), D1430&amp;RIGHT(INDIRECT(ADDRESS(ROW(D1431)-1, 'From Order'!$A1431)), 1), D1430))"),"CR")</f>
        <v>CR</v>
      </c>
      <c r="E1431" s="2" t="str">
        <f>IFERROR(__xludf.DUMMYFUNCTION("IF('From Order'!$A1431=COLUMNS($A1431:E1450), LEFT(INDEX(FILTER(E$1:E1430, E$1:E1430&lt;&gt;""""),COUNTA(FILTER(E$1:E1430, E$1:E1430&lt;&gt;""""))), LEN(INDEX(FILTER(E$1:E1430, E$1:E1430&lt;&gt;""""),COUNTA(FILTER(E$1:E1430, E$1:E1430&lt;&gt;""""))))-1), IF('To Order'!$A1431=COL"&amp;"UMNS($A1431:E1450), E1430&amp;RIGHT(INDIRECT(ADDRESS(ROW(E1431)-1, 'From Order'!$A1431)), 1), E1430))"),"HGSTDDLWPBFMDJDSBG")</f>
        <v>HGSTDDLWPBFMDJDSBG</v>
      </c>
      <c r="F1431" s="2" t="str">
        <f>IFERROR(__xludf.DUMMYFUNCTION("IF('From Order'!$A1431=COLUMNS($A1431:F1450), LEFT(INDEX(FILTER(F$1:F1430, F$1:F1430&lt;&gt;""""),COUNTA(FILTER(F$1:F1430, F$1:F1430&lt;&gt;""""))), LEN(INDEX(FILTER(F$1:F1430, F$1:F1430&lt;&gt;""""),COUNTA(FILTER(F$1:F1430, F$1:F1430&lt;&gt;""""))))-1), IF('To Order'!$A1431=COL"&amp;"UMNS($A1431:F1450), F1430&amp;RIGHT(INDIRECT(ADDRESS(ROW(F1431)-1, 'From Order'!$A1431)), 1), F1430))"),"ZRLBSTVFSCZ")</f>
        <v>ZRLBSTVFSCZ</v>
      </c>
      <c r="G1431" s="2" t="str">
        <f>IFERROR(__xludf.DUMMYFUNCTION("IF('From Order'!$A1431=COLUMNS($A1431:G1450), LEFT(INDEX(FILTER(G$1:G1430, G$1:G1430&lt;&gt;""""),COUNTA(FILTER(G$1:G1430, G$1:G1430&lt;&gt;""""))), LEN(INDEX(FILTER(G$1:G1430, G$1:G1430&lt;&gt;""""),COUNTA(FILTER(G$1:G1430, G$1:G1430&lt;&gt;""""))))-1), IF('To Order'!$A1431=COL"&amp;"UMNS($A1431:G1450), G1430&amp;RIGHT(INDIRECT(ADDRESS(ROW(G1431)-1, 'From Order'!$A1431)), 1), G1430))"),"WRMBVTTJ")</f>
        <v>WRMBVTTJ</v>
      </c>
      <c r="H1431" s="2" t="str">
        <f>IFERROR(__xludf.DUMMYFUNCTION("IF('From Order'!$A1431=COLUMNS($A1431:H1450), LEFT(INDEX(FILTER(H$1:H1430, H$1:H1430&lt;&gt;""""),COUNTA(FILTER(H$1:H1430, H$1:H1430&lt;&gt;""""))), LEN(INDEX(FILTER(H$1:H1430, H$1:H1430&lt;&gt;""""),COUNTA(FILTER(H$1:H1430, H$1:H1430&lt;&gt;""""))))-1), IF('To Order'!$A1431=COL"&amp;"UMNS($A1431:H1450), H1430&amp;RIGHT(INDIRECT(ADDRESS(ROW(H1431)-1, 'From Order'!$A1431)), 1), H1430))"),"")</f>
        <v/>
      </c>
      <c r="I1431" s="2" t="str">
        <f>IFERROR(__xludf.DUMMYFUNCTION("IF('From Order'!$A1431=COLUMNS($A1431:I1450), LEFT(INDEX(FILTER(I$1:I1430, I$1:I1430&lt;&gt;""""),COUNTA(FILTER(I$1:I1430, I$1:I1430&lt;&gt;""""))), LEN(INDEX(FILTER(I$1:I1430, I$1:I1430&lt;&gt;""""),COUNTA(FILTER(I$1:I1430, I$1:I1430&lt;&gt;""""))))-1), IF('To Order'!$A1431=COL"&amp;"UMNS($A1431:I1450), I1430&amp;RIGHT(INDIRECT(ADDRESS(ROW(I1431)-1, 'From Order'!$A1431)), 1), I1430))"),"")</f>
        <v/>
      </c>
    </row>
    <row r="1432">
      <c r="A1432" s="2" t="str">
        <f>IFERROR(__xludf.DUMMYFUNCTION("IF('From Order'!$A1432=COLUMNS($A1432:A1451), LEFT(INDEX(FILTER(A$1:A1431, A$1:A1431&lt;&gt;""""),COUNTA(FILTER(A$1:A1431, A$1:A1431&lt;&gt;""""))), LEN(INDEX(FILTER(A$1:A1431, A$1:A1431&lt;&gt;""""),COUNTA(FILTER(A$1:A1431, A$1:A1431&lt;&gt;""""))))-1), IF('To Order'!$A1432=COL"&amp;"UMNS($A1432:A1451), A1431&amp;RIGHT(INDIRECT(ADDRESS(ROW(A1432)-1, 'From Order'!$A1432)), 1), A1431))"),"")</f>
        <v/>
      </c>
      <c r="B1432" s="2" t="str">
        <f>IFERROR(__xludf.DUMMYFUNCTION("IF('From Order'!$A1432=COLUMNS($A1432:B1451), LEFT(INDEX(FILTER(B$1:B1431, B$1:B1431&lt;&gt;""""),COUNTA(FILTER(B$1:B1431, B$1:B1431&lt;&gt;""""))), LEN(INDEX(FILTER(B$1:B1431, B$1:B1431&lt;&gt;""""),COUNTA(FILTER(B$1:B1431, B$1:B1431&lt;&gt;""""))))-1), IF('To Order'!$A1432=COL"&amp;"UMNS($A1432:B1451), B1431&amp;RIGHT(INDIRECT(ADDRESS(ROW(B1432)-1, 'From Order'!$A1432)), 1), B1431))"),"RZHRD")</f>
        <v>RZHRD</v>
      </c>
      <c r="C1432" s="2" t="str">
        <f>IFERROR(__xludf.DUMMYFUNCTION("IF('From Order'!$A1432=COLUMNS($A1432:C1451), LEFT(INDEX(FILTER(C$1:C1431, C$1:C1431&lt;&gt;""""),COUNTA(FILTER(C$1:C1431, C$1:C1431&lt;&gt;""""))), LEN(INDEX(FILTER(C$1:C1431, C$1:C1431&lt;&gt;""""),COUNTA(FILTER(C$1:C1431, C$1:C1431&lt;&gt;""""))))-1), IF('To Order'!$A1432=COL"&amp;"UMNS($A1432:C1451), C1431&amp;RIGHT(INDIRECT(ADDRESS(ROW(C1432)-1, 'From Order'!$A1432)), 1), C1431))"),"TQVQJPPLDTM")</f>
        <v>TQVQJPPLDTM</v>
      </c>
      <c r="D1432" s="2" t="str">
        <f>IFERROR(__xludf.DUMMYFUNCTION("IF('From Order'!$A1432=COLUMNS($A1432:D1451), LEFT(INDEX(FILTER(D$1:D1431, D$1:D1431&lt;&gt;""""),COUNTA(FILTER(D$1:D1431, D$1:D1431&lt;&gt;""""))), LEN(INDEX(FILTER(D$1:D1431, D$1:D1431&lt;&gt;""""),COUNTA(FILTER(D$1:D1431, D$1:D1431&lt;&gt;""""))))-1), IF('To Order'!$A1432=COL"&amp;"UMNS($A1432:D1451), D1431&amp;RIGHT(INDIRECT(ADDRESS(ROW(D1432)-1, 'From Order'!$A1432)), 1), D1431))"),"CRC")</f>
        <v>CRC</v>
      </c>
      <c r="E1432" s="2" t="str">
        <f>IFERROR(__xludf.DUMMYFUNCTION("IF('From Order'!$A1432=COLUMNS($A1432:E1451), LEFT(INDEX(FILTER(E$1:E1431, E$1:E1431&lt;&gt;""""),COUNTA(FILTER(E$1:E1431, E$1:E1431&lt;&gt;""""))), LEN(INDEX(FILTER(E$1:E1431, E$1:E1431&lt;&gt;""""),COUNTA(FILTER(E$1:E1431, E$1:E1431&lt;&gt;""""))))-1), IF('To Order'!$A1432=COL"&amp;"UMNS($A1432:E1451), E1431&amp;RIGHT(INDIRECT(ADDRESS(ROW(E1432)-1, 'From Order'!$A1432)), 1), E1431))"),"HGSTDDLWPBFMDJDSBG")</f>
        <v>HGSTDDLWPBFMDJDSBG</v>
      </c>
      <c r="F1432" s="2" t="str">
        <f>IFERROR(__xludf.DUMMYFUNCTION("IF('From Order'!$A1432=COLUMNS($A1432:F1451), LEFT(INDEX(FILTER(F$1:F1431, F$1:F1431&lt;&gt;""""),COUNTA(FILTER(F$1:F1431, F$1:F1431&lt;&gt;""""))), LEN(INDEX(FILTER(F$1:F1431, F$1:F1431&lt;&gt;""""),COUNTA(FILTER(F$1:F1431, F$1:F1431&lt;&gt;""""))))-1), IF('To Order'!$A1432=COL"&amp;"UMNS($A1432:F1451), F1431&amp;RIGHT(INDIRECT(ADDRESS(ROW(F1432)-1, 'From Order'!$A1432)), 1), F1431))"),"ZRLBSTVFSCZ")</f>
        <v>ZRLBSTVFSCZ</v>
      </c>
      <c r="G1432" s="2" t="str">
        <f>IFERROR(__xludf.DUMMYFUNCTION("IF('From Order'!$A1432=COLUMNS($A1432:G1451), LEFT(INDEX(FILTER(G$1:G1431, G$1:G1431&lt;&gt;""""),COUNTA(FILTER(G$1:G1431, G$1:G1431&lt;&gt;""""))), LEN(INDEX(FILTER(G$1:G1431, G$1:G1431&lt;&gt;""""),COUNTA(FILTER(G$1:G1431, G$1:G1431&lt;&gt;""""))))-1), IF('To Order'!$A1432=COL"&amp;"UMNS($A1432:G1451), G1431&amp;RIGHT(INDIRECT(ADDRESS(ROW(G1432)-1, 'From Order'!$A1432)), 1), G1431))"),"WRMBVTTJ")</f>
        <v>WRMBVTTJ</v>
      </c>
      <c r="H1432" s="2" t="str">
        <f>IFERROR(__xludf.DUMMYFUNCTION("IF('From Order'!$A1432=COLUMNS($A1432:H1451), LEFT(INDEX(FILTER(H$1:H1431, H$1:H1431&lt;&gt;""""),COUNTA(FILTER(H$1:H1431, H$1:H1431&lt;&gt;""""))), LEN(INDEX(FILTER(H$1:H1431, H$1:H1431&lt;&gt;""""),COUNTA(FILTER(H$1:H1431, H$1:H1431&lt;&gt;""""))))-1), IF('To Order'!$A1432=COL"&amp;"UMNS($A1432:H1451), H1431&amp;RIGHT(INDIRECT(ADDRESS(ROW(H1432)-1, 'From Order'!$A1432)), 1), H1431))"),"")</f>
        <v/>
      </c>
      <c r="I1432" s="2" t="str">
        <f>IFERROR(__xludf.DUMMYFUNCTION("IF('From Order'!$A1432=COLUMNS($A1432:I1451), LEFT(INDEX(FILTER(I$1:I1431, I$1:I1431&lt;&gt;""""),COUNTA(FILTER(I$1:I1431, I$1:I1431&lt;&gt;""""))), LEN(INDEX(FILTER(I$1:I1431, I$1:I1431&lt;&gt;""""),COUNTA(FILTER(I$1:I1431, I$1:I1431&lt;&gt;""""))))-1), IF('To Order'!$A1432=COL"&amp;"UMNS($A1432:I1451), I1431&amp;RIGHT(INDIRECT(ADDRESS(ROW(I1432)-1, 'From Order'!$A1432)), 1), I1431))"),"")</f>
        <v/>
      </c>
    </row>
    <row r="1433">
      <c r="A1433" s="2" t="str">
        <f>IFERROR(__xludf.DUMMYFUNCTION("IF('From Order'!$A1433=COLUMNS($A1433:A1452), LEFT(INDEX(FILTER(A$1:A1432, A$1:A1432&lt;&gt;""""),COUNTA(FILTER(A$1:A1432, A$1:A1432&lt;&gt;""""))), LEN(INDEX(FILTER(A$1:A1432, A$1:A1432&lt;&gt;""""),COUNTA(FILTER(A$1:A1432, A$1:A1432&lt;&gt;""""))))-1), IF('To Order'!$A1433=COL"&amp;"UMNS($A1433:A1452), A1432&amp;RIGHT(INDIRECT(ADDRESS(ROW(A1433)-1, 'From Order'!$A1433)), 1), A1432))"),"")</f>
        <v/>
      </c>
      <c r="B1433" s="2" t="str">
        <f>IFERROR(__xludf.DUMMYFUNCTION("IF('From Order'!$A1433=COLUMNS($A1433:B1452), LEFT(INDEX(FILTER(B$1:B1432, B$1:B1432&lt;&gt;""""),COUNTA(FILTER(B$1:B1432, B$1:B1432&lt;&gt;""""))), LEN(INDEX(FILTER(B$1:B1432, B$1:B1432&lt;&gt;""""),COUNTA(FILTER(B$1:B1432, B$1:B1432&lt;&gt;""""))))-1), IF('To Order'!$A1433=COL"&amp;"UMNS($A1433:B1452), B1432&amp;RIGHT(INDIRECT(ADDRESS(ROW(B1433)-1, 'From Order'!$A1433)), 1), B1432))"),"RZHR")</f>
        <v>RZHR</v>
      </c>
      <c r="C1433" s="2" t="str">
        <f>IFERROR(__xludf.DUMMYFUNCTION("IF('From Order'!$A1433=COLUMNS($A1433:C1452), LEFT(INDEX(FILTER(C$1:C1432, C$1:C1432&lt;&gt;""""),COUNTA(FILTER(C$1:C1432, C$1:C1432&lt;&gt;""""))), LEN(INDEX(FILTER(C$1:C1432, C$1:C1432&lt;&gt;""""),COUNTA(FILTER(C$1:C1432, C$1:C1432&lt;&gt;""""))))-1), IF('To Order'!$A1433=COL"&amp;"UMNS($A1433:C1452), C1432&amp;RIGHT(INDIRECT(ADDRESS(ROW(C1433)-1, 'From Order'!$A1433)), 1), C1432))"),"TQVQJPPLDTM")</f>
        <v>TQVQJPPLDTM</v>
      </c>
      <c r="D1433" s="2" t="str">
        <f>IFERROR(__xludf.DUMMYFUNCTION("IF('From Order'!$A1433=COLUMNS($A1433:D1452), LEFT(INDEX(FILTER(D$1:D1432, D$1:D1432&lt;&gt;""""),COUNTA(FILTER(D$1:D1432, D$1:D1432&lt;&gt;""""))), LEN(INDEX(FILTER(D$1:D1432, D$1:D1432&lt;&gt;""""),COUNTA(FILTER(D$1:D1432, D$1:D1432&lt;&gt;""""))))-1), IF('To Order'!$A1433=COL"&amp;"UMNS($A1433:D1452), D1432&amp;RIGHT(INDIRECT(ADDRESS(ROW(D1433)-1, 'From Order'!$A1433)), 1), D1432))"),"CRCD")</f>
        <v>CRCD</v>
      </c>
      <c r="E1433" s="2" t="str">
        <f>IFERROR(__xludf.DUMMYFUNCTION("IF('From Order'!$A1433=COLUMNS($A1433:E1452), LEFT(INDEX(FILTER(E$1:E1432, E$1:E1432&lt;&gt;""""),COUNTA(FILTER(E$1:E1432, E$1:E1432&lt;&gt;""""))), LEN(INDEX(FILTER(E$1:E1432, E$1:E1432&lt;&gt;""""),COUNTA(FILTER(E$1:E1432, E$1:E1432&lt;&gt;""""))))-1), IF('To Order'!$A1433=COL"&amp;"UMNS($A1433:E1452), E1432&amp;RIGHT(INDIRECT(ADDRESS(ROW(E1433)-1, 'From Order'!$A1433)), 1), E1432))"),"HGSTDDLWPBFMDJDSBG")</f>
        <v>HGSTDDLWPBFMDJDSBG</v>
      </c>
      <c r="F1433" s="2" t="str">
        <f>IFERROR(__xludf.DUMMYFUNCTION("IF('From Order'!$A1433=COLUMNS($A1433:F1452), LEFT(INDEX(FILTER(F$1:F1432, F$1:F1432&lt;&gt;""""),COUNTA(FILTER(F$1:F1432, F$1:F1432&lt;&gt;""""))), LEN(INDEX(FILTER(F$1:F1432, F$1:F1432&lt;&gt;""""),COUNTA(FILTER(F$1:F1432, F$1:F1432&lt;&gt;""""))))-1), IF('To Order'!$A1433=COL"&amp;"UMNS($A1433:F1452), F1432&amp;RIGHT(INDIRECT(ADDRESS(ROW(F1433)-1, 'From Order'!$A1433)), 1), F1432))"),"ZRLBSTVFSCZ")</f>
        <v>ZRLBSTVFSCZ</v>
      </c>
      <c r="G1433" s="2" t="str">
        <f>IFERROR(__xludf.DUMMYFUNCTION("IF('From Order'!$A1433=COLUMNS($A1433:G1452), LEFT(INDEX(FILTER(G$1:G1432, G$1:G1432&lt;&gt;""""),COUNTA(FILTER(G$1:G1432, G$1:G1432&lt;&gt;""""))), LEN(INDEX(FILTER(G$1:G1432, G$1:G1432&lt;&gt;""""),COUNTA(FILTER(G$1:G1432, G$1:G1432&lt;&gt;""""))))-1), IF('To Order'!$A1433=COL"&amp;"UMNS($A1433:G1452), G1432&amp;RIGHT(INDIRECT(ADDRESS(ROW(G1433)-1, 'From Order'!$A1433)), 1), G1432))"),"WRMBVTTJ")</f>
        <v>WRMBVTTJ</v>
      </c>
      <c r="H1433" s="2" t="str">
        <f>IFERROR(__xludf.DUMMYFUNCTION("IF('From Order'!$A1433=COLUMNS($A1433:H1452), LEFT(INDEX(FILTER(H$1:H1432, H$1:H1432&lt;&gt;""""),COUNTA(FILTER(H$1:H1432, H$1:H1432&lt;&gt;""""))), LEN(INDEX(FILTER(H$1:H1432, H$1:H1432&lt;&gt;""""),COUNTA(FILTER(H$1:H1432, H$1:H1432&lt;&gt;""""))))-1), IF('To Order'!$A1433=COL"&amp;"UMNS($A1433:H1452), H1432&amp;RIGHT(INDIRECT(ADDRESS(ROW(H1433)-1, 'From Order'!$A1433)), 1), H1432))"),"")</f>
        <v/>
      </c>
      <c r="I1433" s="2" t="str">
        <f>IFERROR(__xludf.DUMMYFUNCTION("IF('From Order'!$A1433=COLUMNS($A1433:I1452), LEFT(INDEX(FILTER(I$1:I1432, I$1:I1432&lt;&gt;""""),COUNTA(FILTER(I$1:I1432, I$1:I1432&lt;&gt;""""))), LEN(INDEX(FILTER(I$1:I1432, I$1:I1432&lt;&gt;""""),COUNTA(FILTER(I$1:I1432, I$1:I1432&lt;&gt;""""))))-1), IF('To Order'!$A1433=COL"&amp;"UMNS($A1433:I1452), I1432&amp;RIGHT(INDIRECT(ADDRESS(ROW(I1433)-1, 'From Order'!$A1433)), 1), I1432))"),"")</f>
        <v/>
      </c>
    </row>
    <row r="1434">
      <c r="A1434" s="2" t="str">
        <f>IFERROR(__xludf.DUMMYFUNCTION("IF('From Order'!$A1434=COLUMNS($A1434:A1453), LEFT(INDEX(FILTER(A$1:A1433, A$1:A1433&lt;&gt;""""),COUNTA(FILTER(A$1:A1433, A$1:A1433&lt;&gt;""""))), LEN(INDEX(FILTER(A$1:A1433, A$1:A1433&lt;&gt;""""),COUNTA(FILTER(A$1:A1433, A$1:A1433&lt;&gt;""""))))-1), IF('To Order'!$A1434=COL"&amp;"UMNS($A1434:A1453), A1433&amp;RIGHT(INDIRECT(ADDRESS(ROW(A1434)-1, 'From Order'!$A1434)), 1), A1433))"),"")</f>
        <v/>
      </c>
      <c r="B1434" s="2" t="str">
        <f>IFERROR(__xludf.DUMMYFUNCTION("IF('From Order'!$A1434=COLUMNS($A1434:B1453), LEFT(INDEX(FILTER(B$1:B1433, B$1:B1433&lt;&gt;""""),COUNTA(FILTER(B$1:B1433, B$1:B1433&lt;&gt;""""))), LEN(INDEX(FILTER(B$1:B1433, B$1:B1433&lt;&gt;""""),COUNTA(FILTER(B$1:B1433, B$1:B1433&lt;&gt;""""))))-1), IF('To Order'!$A1434=COL"&amp;"UMNS($A1434:B1453), B1433&amp;RIGHT(INDIRECT(ADDRESS(ROW(B1434)-1, 'From Order'!$A1434)), 1), B1433))"),"RZH")</f>
        <v>RZH</v>
      </c>
      <c r="C1434" s="2" t="str">
        <f>IFERROR(__xludf.DUMMYFUNCTION("IF('From Order'!$A1434=COLUMNS($A1434:C1453), LEFT(INDEX(FILTER(C$1:C1433, C$1:C1433&lt;&gt;""""),COUNTA(FILTER(C$1:C1433, C$1:C1433&lt;&gt;""""))), LEN(INDEX(FILTER(C$1:C1433, C$1:C1433&lt;&gt;""""),COUNTA(FILTER(C$1:C1433, C$1:C1433&lt;&gt;""""))))-1), IF('To Order'!$A1434=COL"&amp;"UMNS($A1434:C1453), C1433&amp;RIGHT(INDIRECT(ADDRESS(ROW(C1434)-1, 'From Order'!$A1434)), 1), C1433))"),"TQVQJPPLDTM")</f>
        <v>TQVQJPPLDTM</v>
      </c>
      <c r="D1434" s="2" t="str">
        <f>IFERROR(__xludf.DUMMYFUNCTION("IF('From Order'!$A1434=COLUMNS($A1434:D1453), LEFT(INDEX(FILTER(D$1:D1433, D$1:D1433&lt;&gt;""""),COUNTA(FILTER(D$1:D1433, D$1:D1433&lt;&gt;""""))), LEN(INDEX(FILTER(D$1:D1433, D$1:D1433&lt;&gt;""""),COUNTA(FILTER(D$1:D1433, D$1:D1433&lt;&gt;""""))))-1), IF('To Order'!$A1434=COL"&amp;"UMNS($A1434:D1453), D1433&amp;RIGHT(INDIRECT(ADDRESS(ROW(D1434)-1, 'From Order'!$A1434)), 1), D1433))"),"CRCDR")</f>
        <v>CRCDR</v>
      </c>
      <c r="E1434" s="2" t="str">
        <f>IFERROR(__xludf.DUMMYFUNCTION("IF('From Order'!$A1434=COLUMNS($A1434:E1453), LEFT(INDEX(FILTER(E$1:E1433, E$1:E1433&lt;&gt;""""),COUNTA(FILTER(E$1:E1433, E$1:E1433&lt;&gt;""""))), LEN(INDEX(FILTER(E$1:E1433, E$1:E1433&lt;&gt;""""),COUNTA(FILTER(E$1:E1433, E$1:E1433&lt;&gt;""""))))-1), IF('To Order'!$A1434=COL"&amp;"UMNS($A1434:E1453), E1433&amp;RIGHT(INDIRECT(ADDRESS(ROW(E1434)-1, 'From Order'!$A1434)), 1), E1433))"),"HGSTDDLWPBFMDJDSBG")</f>
        <v>HGSTDDLWPBFMDJDSBG</v>
      </c>
      <c r="F1434" s="2" t="str">
        <f>IFERROR(__xludf.DUMMYFUNCTION("IF('From Order'!$A1434=COLUMNS($A1434:F1453), LEFT(INDEX(FILTER(F$1:F1433, F$1:F1433&lt;&gt;""""),COUNTA(FILTER(F$1:F1433, F$1:F1433&lt;&gt;""""))), LEN(INDEX(FILTER(F$1:F1433, F$1:F1433&lt;&gt;""""),COUNTA(FILTER(F$1:F1433, F$1:F1433&lt;&gt;""""))))-1), IF('To Order'!$A1434=COL"&amp;"UMNS($A1434:F1453), F1433&amp;RIGHT(INDIRECT(ADDRESS(ROW(F1434)-1, 'From Order'!$A1434)), 1), F1433))"),"ZRLBSTVFSCZ")</f>
        <v>ZRLBSTVFSCZ</v>
      </c>
      <c r="G1434" s="2" t="str">
        <f>IFERROR(__xludf.DUMMYFUNCTION("IF('From Order'!$A1434=COLUMNS($A1434:G1453), LEFT(INDEX(FILTER(G$1:G1433, G$1:G1433&lt;&gt;""""),COUNTA(FILTER(G$1:G1433, G$1:G1433&lt;&gt;""""))), LEN(INDEX(FILTER(G$1:G1433, G$1:G1433&lt;&gt;""""),COUNTA(FILTER(G$1:G1433, G$1:G1433&lt;&gt;""""))))-1), IF('To Order'!$A1434=COL"&amp;"UMNS($A1434:G1453), G1433&amp;RIGHT(INDIRECT(ADDRESS(ROW(G1434)-1, 'From Order'!$A1434)), 1), G1433))"),"WRMBVTTJ")</f>
        <v>WRMBVTTJ</v>
      </c>
      <c r="H1434" s="2" t="str">
        <f>IFERROR(__xludf.DUMMYFUNCTION("IF('From Order'!$A1434=COLUMNS($A1434:H1453), LEFT(INDEX(FILTER(H$1:H1433, H$1:H1433&lt;&gt;""""),COUNTA(FILTER(H$1:H1433, H$1:H1433&lt;&gt;""""))), LEN(INDEX(FILTER(H$1:H1433, H$1:H1433&lt;&gt;""""),COUNTA(FILTER(H$1:H1433, H$1:H1433&lt;&gt;""""))))-1), IF('To Order'!$A1434=COL"&amp;"UMNS($A1434:H1453), H1433&amp;RIGHT(INDIRECT(ADDRESS(ROW(H1434)-1, 'From Order'!$A1434)), 1), H1433))"),"")</f>
        <v/>
      </c>
      <c r="I1434" s="2" t="str">
        <f>IFERROR(__xludf.DUMMYFUNCTION("IF('From Order'!$A1434=COLUMNS($A1434:I1453), LEFT(INDEX(FILTER(I$1:I1433, I$1:I1433&lt;&gt;""""),COUNTA(FILTER(I$1:I1433, I$1:I1433&lt;&gt;""""))), LEN(INDEX(FILTER(I$1:I1433, I$1:I1433&lt;&gt;""""),COUNTA(FILTER(I$1:I1433, I$1:I1433&lt;&gt;""""))))-1), IF('To Order'!$A1434=COL"&amp;"UMNS($A1434:I1453), I1433&amp;RIGHT(INDIRECT(ADDRESS(ROW(I1434)-1, 'From Order'!$A1434)), 1), I1433))"),"")</f>
        <v/>
      </c>
    </row>
    <row r="1435">
      <c r="A1435" s="2" t="str">
        <f>IFERROR(__xludf.DUMMYFUNCTION("IF('From Order'!$A1435=COLUMNS($A1435:A1454), LEFT(INDEX(FILTER(A$1:A1434, A$1:A1434&lt;&gt;""""),COUNTA(FILTER(A$1:A1434, A$1:A1434&lt;&gt;""""))), LEN(INDEX(FILTER(A$1:A1434, A$1:A1434&lt;&gt;""""),COUNTA(FILTER(A$1:A1434, A$1:A1434&lt;&gt;""""))))-1), IF('To Order'!$A1435=COL"&amp;"UMNS($A1435:A1454), A1434&amp;RIGHT(INDIRECT(ADDRESS(ROW(A1435)-1, 'From Order'!$A1435)), 1), A1434))"),"")</f>
        <v/>
      </c>
      <c r="B1435" s="2" t="str">
        <f>IFERROR(__xludf.DUMMYFUNCTION("IF('From Order'!$A1435=COLUMNS($A1435:B1454), LEFT(INDEX(FILTER(B$1:B1434, B$1:B1434&lt;&gt;""""),COUNTA(FILTER(B$1:B1434, B$1:B1434&lt;&gt;""""))), LEN(INDEX(FILTER(B$1:B1434, B$1:B1434&lt;&gt;""""),COUNTA(FILTER(B$1:B1434, B$1:B1434&lt;&gt;""""))))-1), IF('To Order'!$A1435=COL"&amp;"UMNS($A1435:B1454), B1434&amp;RIGHT(INDIRECT(ADDRESS(ROW(B1435)-1, 'From Order'!$A1435)), 1), B1434))"),"RZ")</f>
        <v>RZ</v>
      </c>
      <c r="C1435" s="2" t="str">
        <f>IFERROR(__xludf.DUMMYFUNCTION("IF('From Order'!$A1435=COLUMNS($A1435:C1454), LEFT(INDEX(FILTER(C$1:C1434, C$1:C1434&lt;&gt;""""),COUNTA(FILTER(C$1:C1434, C$1:C1434&lt;&gt;""""))), LEN(INDEX(FILTER(C$1:C1434, C$1:C1434&lt;&gt;""""),COUNTA(FILTER(C$1:C1434, C$1:C1434&lt;&gt;""""))))-1), IF('To Order'!$A1435=COL"&amp;"UMNS($A1435:C1454), C1434&amp;RIGHT(INDIRECT(ADDRESS(ROW(C1435)-1, 'From Order'!$A1435)), 1), C1434))"),"TQVQJPPLDTM")</f>
        <v>TQVQJPPLDTM</v>
      </c>
      <c r="D1435" s="2" t="str">
        <f>IFERROR(__xludf.DUMMYFUNCTION("IF('From Order'!$A1435=COLUMNS($A1435:D1454), LEFT(INDEX(FILTER(D$1:D1434, D$1:D1434&lt;&gt;""""),COUNTA(FILTER(D$1:D1434, D$1:D1434&lt;&gt;""""))), LEN(INDEX(FILTER(D$1:D1434, D$1:D1434&lt;&gt;""""),COUNTA(FILTER(D$1:D1434, D$1:D1434&lt;&gt;""""))))-1), IF('To Order'!$A1435=COL"&amp;"UMNS($A1435:D1454), D1434&amp;RIGHT(INDIRECT(ADDRESS(ROW(D1435)-1, 'From Order'!$A1435)), 1), D1434))"),"CRCDRH")</f>
        <v>CRCDRH</v>
      </c>
      <c r="E1435" s="2" t="str">
        <f>IFERROR(__xludf.DUMMYFUNCTION("IF('From Order'!$A1435=COLUMNS($A1435:E1454), LEFT(INDEX(FILTER(E$1:E1434, E$1:E1434&lt;&gt;""""),COUNTA(FILTER(E$1:E1434, E$1:E1434&lt;&gt;""""))), LEN(INDEX(FILTER(E$1:E1434, E$1:E1434&lt;&gt;""""),COUNTA(FILTER(E$1:E1434, E$1:E1434&lt;&gt;""""))))-1), IF('To Order'!$A1435=COL"&amp;"UMNS($A1435:E1454), E1434&amp;RIGHT(INDIRECT(ADDRESS(ROW(E1435)-1, 'From Order'!$A1435)), 1), E1434))"),"HGSTDDLWPBFMDJDSBG")</f>
        <v>HGSTDDLWPBFMDJDSBG</v>
      </c>
      <c r="F1435" s="2" t="str">
        <f>IFERROR(__xludf.DUMMYFUNCTION("IF('From Order'!$A1435=COLUMNS($A1435:F1454), LEFT(INDEX(FILTER(F$1:F1434, F$1:F1434&lt;&gt;""""),COUNTA(FILTER(F$1:F1434, F$1:F1434&lt;&gt;""""))), LEN(INDEX(FILTER(F$1:F1434, F$1:F1434&lt;&gt;""""),COUNTA(FILTER(F$1:F1434, F$1:F1434&lt;&gt;""""))))-1), IF('To Order'!$A1435=COL"&amp;"UMNS($A1435:F1454), F1434&amp;RIGHT(INDIRECT(ADDRESS(ROW(F1435)-1, 'From Order'!$A1435)), 1), F1434))"),"ZRLBSTVFSCZ")</f>
        <v>ZRLBSTVFSCZ</v>
      </c>
      <c r="G1435" s="2" t="str">
        <f>IFERROR(__xludf.DUMMYFUNCTION("IF('From Order'!$A1435=COLUMNS($A1435:G1454), LEFT(INDEX(FILTER(G$1:G1434, G$1:G1434&lt;&gt;""""),COUNTA(FILTER(G$1:G1434, G$1:G1434&lt;&gt;""""))), LEN(INDEX(FILTER(G$1:G1434, G$1:G1434&lt;&gt;""""),COUNTA(FILTER(G$1:G1434, G$1:G1434&lt;&gt;""""))))-1), IF('To Order'!$A1435=COL"&amp;"UMNS($A1435:G1454), G1434&amp;RIGHT(INDIRECT(ADDRESS(ROW(G1435)-1, 'From Order'!$A1435)), 1), G1434))"),"WRMBVTTJ")</f>
        <v>WRMBVTTJ</v>
      </c>
      <c r="H1435" s="2" t="str">
        <f>IFERROR(__xludf.DUMMYFUNCTION("IF('From Order'!$A1435=COLUMNS($A1435:H1454), LEFT(INDEX(FILTER(H$1:H1434, H$1:H1434&lt;&gt;""""),COUNTA(FILTER(H$1:H1434, H$1:H1434&lt;&gt;""""))), LEN(INDEX(FILTER(H$1:H1434, H$1:H1434&lt;&gt;""""),COUNTA(FILTER(H$1:H1434, H$1:H1434&lt;&gt;""""))))-1), IF('To Order'!$A1435=COL"&amp;"UMNS($A1435:H1454), H1434&amp;RIGHT(INDIRECT(ADDRESS(ROW(H1435)-1, 'From Order'!$A1435)), 1), H1434))"),"")</f>
        <v/>
      </c>
      <c r="I1435" s="2" t="str">
        <f>IFERROR(__xludf.DUMMYFUNCTION("IF('From Order'!$A1435=COLUMNS($A1435:I1454), LEFT(INDEX(FILTER(I$1:I1434, I$1:I1434&lt;&gt;""""),COUNTA(FILTER(I$1:I1434, I$1:I1434&lt;&gt;""""))), LEN(INDEX(FILTER(I$1:I1434, I$1:I1434&lt;&gt;""""),COUNTA(FILTER(I$1:I1434, I$1:I1434&lt;&gt;""""))))-1), IF('To Order'!$A1435=COL"&amp;"UMNS($A1435:I1454), I1434&amp;RIGHT(INDIRECT(ADDRESS(ROW(I1435)-1, 'From Order'!$A1435)), 1), I1434))"),"")</f>
        <v/>
      </c>
    </row>
    <row r="1436">
      <c r="A1436" s="2" t="str">
        <f>IFERROR(__xludf.DUMMYFUNCTION("IF('From Order'!$A1436=COLUMNS($A1436:A1455), LEFT(INDEX(FILTER(A$1:A1435, A$1:A1435&lt;&gt;""""),COUNTA(FILTER(A$1:A1435, A$1:A1435&lt;&gt;""""))), LEN(INDEX(FILTER(A$1:A1435, A$1:A1435&lt;&gt;""""),COUNTA(FILTER(A$1:A1435, A$1:A1435&lt;&gt;""""))))-1), IF('To Order'!$A1436=COL"&amp;"UMNS($A1436:A1455), A1435&amp;RIGHT(INDIRECT(ADDRESS(ROW(A1436)-1, 'From Order'!$A1436)), 1), A1435))"),"")</f>
        <v/>
      </c>
      <c r="B1436" s="2" t="str">
        <f>IFERROR(__xludf.DUMMYFUNCTION("IF('From Order'!$A1436=COLUMNS($A1436:B1455), LEFT(INDEX(FILTER(B$1:B1435, B$1:B1435&lt;&gt;""""),COUNTA(FILTER(B$1:B1435, B$1:B1435&lt;&gt;""""))), LEN(INDEX(FILTER(B$1:B1435, B$1:B1435&lt;&gt;""""),COUNTA(FILTER(B$1:B1435, B$1:B1435&lt;&gt;""""))))-1), IF('To Order'!$A1436=COL"&amp;"UMNS($A1436:B1455), B1435&amp;RIGHT(INDIRECT(ADDRESS(ROW(B1436)-1, 'From Order'!$A1436)), 1), B1435))"),"R")</f>
        <v>R</v>
      </c>
      <c r="C1436" s="2" t="str">
        <f>IFERROR(__xludf.DUMMYFUNCTION("IF('From Order'!$A1436=COLUMNS($A1436:C1455), LEFT(INDEX(FILTER(C$1:C1435, C$1:C1435&lt;&gt;""""),COUNTA(FILTER(C$1:C1435, C$1:C1435&lt;&gt;""""))), LEN(INDEX(FILTER(C$1:C1435, C$1:C1435&lt;&gt;""""),COUNTA(FILTER(C$1:C1435, C$1:C1435&lt;&gt;""""))))-1), IF('To Order'!$A1436=COL"&amp;"UMNS($A1436:C1455), C1435&amp;RIGHT(INDIRECT(ADDRESS(ROW(C1436)-1, 'From Order'!$A1436)), 1), C1435))"),"TQVQJPPLDTM")</f>
        <v>TQVQJPPLDTM</v>
      </c>
      <c r="D1436" s="2" t="str">
        <f>IFERROR(__xludf.DUMMYFUNCTION("IF('From Order'!$A1436=COLUMNS($A1436:D1455), LEFT(INDEX(FILTER(D$1:D1435, D$1:D1435&lt;&gt;""""),COUNTA(FILTER(D$1:D1435, D$1:D1435&lt;&gt;""""))), LEN(INDEX(FILTER(D$1:D1435, D$1:D1435&lt;&gt;""""),COUNTA(FILTER(D$1:D1435, D$1:D1435&lt;&gt;""""))))-1), IF('To Order'!$A1436=COL"&amp;"UMNS($A1436:D1455), D1435&amp;RIGHT(INDIRECT(ADDRESS(ROW(D1436)-1, 'From Order'!$A1436)), 1), D1435))"),"CRCDRHZ")</f>
        <v>CRCDRHZ</v>
      </c>
      <c r="E1436" s="2" t="str">
        <f>IFERROR(__xludf.DUMMYFUNCTION("IF('From Order'!$A1436=COLUMNS($A1436:E1455), LEFT(INDEX(FILTER(E$1:E1435, E$1:E1435&lt;&gt;""""),COUNTA(FILTER(E$1:E1435, E$1:E1435&lt;&gt;""""))), LEN(INDEX(FILTER(E$1:E1435, E$1:E1435&lt;&gt;""""),COUNTA(FILTER(E$1:E1435, E$1:E1435&lt;&gt;""""))))-1), IF('To Order'!$A1436=COL"&amp;"UMNS($A1436:E1455), E1435&amp;RIGHT(INDIRECT(ADDRESS(ROW(E1436)-1, 'From Order'!$A1436)), 1), E1435))"),"HGSTDDLWPBFMDJDSBG")</f>
        <v>HGSTDDLWPBFMDJDSBG</v>
      </c>
      <c r="F1436" s="2" t="str">
        <f>IFERROR(__xludf.DUMMYFUNCTION("IF('From Order'!$A1436=COLUMNS($A1436:F1455), LEFT(INDEX(FILTER(F$1:F1435, F$1:F1435&lt;&gt;""""),COUNTA(FILTER(F$1:F1435, F$1:F1435&lt;&gt;""""))), LEN(INDEX(FILTER(F$1:F1435, F$1:F1435&lt;&gt;""""),COUNTA(FILTER(F$1:F1435, F$1:F1435&lt;&gt;""""))))-1), IF('To Order'!$A1436=COL"&amp;"UMNS($A1436:F1455), F1435&amp;RIGHT(INDIRECT(ADDRESS(ROW(F1436)-1, 'From Order'!$A1436)), 1), F1435))"),"ZRLBSTVFSCZ")</f>
        <v>ZRLBSTVFSCZ</v>
      </c>
      <c r="G1436" s="2" t="str">
        <f>IFERROR(__xludf.DUMMYFUNCTION("IF('From Order'!$A1436=COLUMNS($A1436:G1455), LEFT(INDEX(FILTER(G$1:G1435, G$1:G1435&lt;&gt;""""),COUNTA(FILTER(G$1:G1435, G$1:G1435&lt;&gt;""""))), LEN(INDEX(FILTER(G$1:G1435, G$1:G1435&lt;&gt;""""),COUNTA(FILTER(G$1:G1435, G$1:G1435&lt;&gt;""""))))-1), IF('To Order'!$A1436=COL"&amp;"UMNS($A1436:G1455), G1435&amp;RIGHT(INDIRECT(ADDRESS(ROW(G1436)-1, 'From Order'!$A1436)), 1), G1435))"),"WRMBVTTJ")</f>
        <v>WRMBVTTJ</v>
      </c>
      <c r="H1436" s="2" t="str">
        <f>IFERROR(__xludf.DUMMYFUNCTION("IF('From Order'!$A1436=COLUMNS($A1436:H1455), LEFT(INDEX(FILTER(H$1:H1435, H$1:H1435&lt;&gt;""""),COUNTA(FILTER(H$1:H1435, H$1:H1435&lt;&gt;""""))), LEN(INDEX(FILTER(H$1:H1435, H$1:H1435&lt;&gt;""""),COUNTA(FILTER(H$1:H1435, H$1:H1435&lt;&gt;""""))))-1), IF('To Order'!$A1436=COL"&amp;"UMNS($A1436:H1455), H1435&amp;RIGHT(INDIRECT(ADDRESS(ROW(H1436)-1, 'From Order'!$A1436)), 1), H1435))"),"")</f>
        <v/>
      </c>
      <c r="I1436" s="2" t="str">
        <f>IFERROR(__xludf.DUMMYFUNCTION("IF('From Order'!$A1436=COLUMNS($A1436:I1455), LEFT(INDEX(FILTER(I$1:I1435, I$1:I1435&lt;&gt;""""),COUNTA(FILTER(I$1:I1435, I$1:I1435&lt;&gt;""""))), LEN(INDEX(FILTER(I$1:I1435, I$1:I1435&lt;&gt;""""),COUNTA(FILTER(I$1:I1435, I$1:I1435&lt;&gt;""""))))-1), IF('To Order'!$A1436=COL"&amp;"UMNS($A1436:I1455), I1435&amp;RIGHT(INDIRECT(ADDRESS(ROW(I1436)-1, 'From Order'!$A1436)), 1), I1435))"),"")</f>
        <v/>
      </c>
    </row>
    <row r="1437">
      <c r="A1437" s="2" t="str">
        <f>IFERROR(__xludf.DUMMYFUNCTION("IF('From Order'!$A1437=COLUMNS($A1437:A1456), LEFT(INDEX(FILTER(A$1:A1436, A$1:A1436&lt;&gt;""""),COUNTA(FILTER(A$1:A1436, A$1:A1436&lt;&gt;""""))), LEN(INDEX(FILTER(A$1:A1436, A$1:A1436&lt;&gt;""""),COUNTA(FILTER(A$1:A1436, A$1:A1436&lt;&gt;""""))))-1), IF('To Order'!$A1437=COL"&amp;"UMNS($A1437:A1456), A1436&amp;RIGHT(INDIRECT(ADDRESS(ROW(A1437)-1, 'From Order'!$A1437)), 1), A1436))"),"")</f>
        <v/>
      </c>
      <c r="B1437" s="2" t="str">
        <f>IFERROR(__xludf.DUMMYFUNCTION("IF('From Order'!$A1437=COLUMNS($A1437:B1456), LEFT(INDEX(FILTER(B$1:B1436, B$1:B1436&lt;&gt;""""),COUNTA(FILTER(B$1:B1436, B$1:B1436&lt;&gt;""""))), LEN(INDEX(FILTER(B$1:B1436, B$1:B1436&lt;&gt;""""),COUNTA(FILTER(B$1:B1436, B$1:B1436&lt;&gt;""""))))-1), IF('To Order'!$A1437=COL"&amp;"UMNS($A1437:B1456), B1436&amp;RIGHT(INDIRECT(ADDRESS(ROW(B1437)-1, 'From Order'!$A1437)), 1), B1436))"),"R")</f>
        <v>R</v>
      </c>
      <c r="C1437" s="2" t="str">
        <f>IFERROR(__xludf.DUMMYFUNCTION("IF('From Order'!$A1437=COLUMNS($A1437:C1456), LEFT(INDEX(FILTER(C$1:C1436, C$1:C1436&lt;&gt;""""),COUNTA(FILTER(C$1:C1436, C$1:C1436&lt;&gt;""""))), LEN(INDEX(FILTER(C$1:C1436, C$1:C1436&lt;&gt;""""),COUNTA(FILTER(C$1:C1436, C$1:C1436&lt;&gt;""""))))-1), IF('To Order'!$A1437=COL"&amp;"UMNS($A1437:C1456), C1436&amp;RIGHT(INDIRECT(ADDRESS(ROW(C1437)-1, 'From Order'!$A1437)), 1), C1436))"),"TQVQJPPLDTM")</f>
        <v>TQVQJPPLDTM</v>
      </c>
      <c r="D1437" s="2" t="str">
        <f>IFERROR(__xludf.DUMMYFUNCTION("IF('From Order'!$A1437=COLUMNS($A1437:D1456), LEFT(INDEX(FILTER(D$1:D1436, D$1:D1436&lt;&gt;""""),COUNTA(FILTER(D$1:D1436, D$1:D1436&lt;&gt;""""))), LEN(INDEX(FILTER(D$1:D1436, D$1:D1436&lt;&gt;""""),COUNTA(FILTER(D$1:D1436, D$1:D1436&lt;&gt;""""))))-1), IF('To Order'!$A1437=COL"&amp;"UMNS($A1437:D1456), D1436&amp;RIGHT(INDIRECT(ADDRESS(ROW(D1437)-1, 'From Order'!$A1437)), 1), D1436))"),"CRCDRHZ")</f>
        <v>CRCDRHZ</v>
      </c>
      <c r="E1437" s="2" t="str">
        <f>IFERROR(__xludf.DUMMYFUNCTION("IF('From Order'!$A1437=COLUMNS($A1437:E1456), LEFT(INDEX(FILTER(E$1:E1436, E$1:E1436&lt;&gt;""""),COUNTA(FILTER(E$1:E1436, E$1:E1436&lt;&gt;""""))), LEN(INDEX(FILTER(E$1:E1436, E$1:E1436&lt;&gt;""""),COUNTA(FILTER(E$1:E1436, E$1:E1436&lt;&gt;""""))))-1), IF('To Order'!$A1437=COL"&amp;"UMNS($A1437:E1456), E1436&amp;RIGHT(INDIRECT(ADDRESS(ROW(E1437)-1, 'From Order'!$A1437)), 1), E1436))"),"HGSTDDLWPBFMDJDSB")</f>
        <v>HGSTDDLWPBFMDJDSB</v>
      </c>
      <c r="F1437" s="2" t="str">
        <f>IFERROR(__xludf.DUMMYFUNCTION("IF('From Order'!$A1437=COLUMNS($A1437:F1456), LEFT(INDEX(FILTER(F$1:F1436, F$1:F1436&lt;&gt;""""),COUNTA(FILTER(F$1:F1436, F$1:F1436&lt;&gt;""""))), LEN(INDEX(FILTER(F$1:F1436, F$1:F1436&lt;&gt;""""),COUNTA(FILTER(F$1:F1436, F$1:F1436&lt;&gt;""""))))-1), IF('To Order'!$A1437=COL"&amp;"UMNS($A1437:F1456), F1436&amp;RIGHT(INDIRECT(ADDRESS(ROW(F1437)-1, 'From Order'!$A1437)), 1), F1436))"),"ZRLBSTVFSCZG")</f>
        <v>ZRLBSTVFSCZG</v>
      </c>
      <c r="G1437" s="2" t="str">
        <f>IFERROR(__xludf.DUMMYFUNCTION("IF('From Order'!$A1437=COLUMNS($A1437:G1456), LEFT(INDEX(FILTER(G$1:G1436, G$1:G1436&lt;&gt;""""),COUNTA(FILTER(G$1:G1436, G$1:G1436&lt;&gt;""""))), LEN(INDEX(FILTER(G$1:G1436, G$1:G1436&lt;&gt;""""),COUNTA(FILTER(G$1:G1436, G$1:G1436&lt;&gt;""""))))-1), IF('To Order'!$A1437=COL"&amp;"UMNS($A1437:G1456), G1436&amp;RIGHT(INDIRECT(ADDRESS(ROW(G1437)-1, 'From Order'!$A1437)), 1), G1436))"),"WRMBVTTJ")</f>
        <v>WRMBVTTJ</v>
      </c>
      <c r="H1437" s="2" t="str">
        <f>IFERROR(__xludf.DUMMYFUNCTION("IF('From Order'!$A1437=COLUMNS($A1437:H1456), LEFT(INDEX(FILTER(H$1:H1436, H$1:H1436&lt;&gt;""""),COUNTA(FILTER(H$1:H1436, H$1:H1436&lt;&gt;""""))), LEN(INDEX(FILTER(H$1:H1436, H$1:H1436&lt;&gt;""""),COUNTA(FILTER(H$1:H1436, H$1:H1436&lt;&gt;""""))))-1), IF('To Order'!$A1437=COL"&amp;"UMNS($A1437:H1456), H1436&amp;RIGHT(INDIRECT(ADDRESS(ROW(H1437)-1, 'From Order'!$A1437)), 1), H1436))"),"")</f>
        <v/>
      </c>
      <c r="I1437" s="2" t="str">
        <f>IFERROR(__xludf.DUMMYFUNCTION("IF('From Order'!$A1437=COLUMNS($A1437:I1456), LEFT(INDEX(FILTER(I$1:I1436, I$1:I1436&lt;&gt;""""),COUNTA(FILTER(I$1:I1436, I$1:I1436&lt;&gt;""""))), LEN(INDEX(FILTER(I$1:I1436, I$1:I1436&lt;&gt;""""),COUNTA(FILTER(I$1:I1436, I$1:I1436&lt;&gt;""""))))-1), IF('To Order'!$A1437=COL"&amp;"UMNS($A1437:I1456), I1436&amp;RIGHT(INDIRECT(ADDRESS(ROW(I1437)-1, 'From Order'!$A1437)), 1), I1436))"),"")</f>
        <v/>
      </c>
    </row>
    <row r="1438">
      <c r="A1438" s="2" t="str">
        <f>IFERROR(__xludf.DUMMYFUNCTION("IF('From Order'!$A1438=COLUMNS($A1438:A1457), LEFT(INDEX(FILTER(A$1:A1437, A$1:A1437&lt;&gt;""""),COUNTA(FILTER(A$1:A1437, A$1:A1437&lt;&gt;""""))), LEN(INDEX(FILTER(A$1:A1437, A$1:A1437&lt;&gt;""""),COUNTA(FILTER(A$1:A1437, A$1:A1437&lt;&gt;""""))))-1), IF('To Order'!$A1438=COL"&amp;"UMNS($A1438:A1457), A1437&amp;RIGHT(INDIRECT(ADDRESS(ROW(A1438)-1, 'From Order'!$A1438)), 1), A1437))"),"")</f>
        <v/>
      </c>
      <c r="B1438" s="2" t="str">
        <f>IFERROR(__xludf.DUMMYFUNCTION("IF('From Order'!$A1438=COLUMNS($A1438:B1457), LEFT(INDEX(FILTER(B$1:B1437, B$1:B1437&lt;&gt;""""),COUNTA(FILTER(B$1:B1437, B$1:B1437&lt;&gt;""""))), LEN(INDEX(FILTER(B$1:B1437, B$1:B1437&lt;&gt;""""),COUNTA(FILTER(B$1:B1437, B$1:B1437&lt;&gt;""""))))-1), IF('To Order'!$A1438=COL"&amp;"UMNS($A1438:B1457), B1437&amp;RIGHT(INDIRECT(ADDRESS(ROW(B1438)-1, 'From Order'!$A1438)), 1), B1437))"),"R")</f>
        <v>R</v>
      </c>
      <c r="C1438" s="2" t="str">
        <f>IFERROR(__xludf.DUMMYFUNCTION("IF('From Order'!$A1438=COLUMNS($A1438:C1457), LEFT(INDEX(FILTER(C$1:C1437, C$1:C1437&lt;&gt;""""),COUNTA(FILTER(C$1:C1437, C$1:C1437&lt;&gt;""""))), LEN(INDEX(FILTER(C$1:C1437, C$1:C1437&lt;&gt;""""),COUNTA(FILTER(C$1:C1437, C$1:C1437&lt;&gt;""""))))-1), IF('To Order'!$A1438=COL"&amp;"UMNS($A1438:C1457), C1437&amp;RIGHT(INDIRECT(ADDRESS(ROW(C1438)-1, 'From Order'!$A1438)), 1), C1437))"),"TQVQJPPLDTM")</f>
        <v>TQVQJPPLDTM</v>
      </c>
      <c r="D1438" s="2" t="str">
        <f>IFERROR(__xludf.DUMMYFUNCTION("IF('From Order'!$A1438=COLUMNS($A1438:D1457), LEFT(INDEX(FILTER(D$1:D1437, D$1:D1437&lt;&gt;""""),COUNTA(FILTER(D$1:D1437, D$1:D1437&lt;&gt;""""))), LEN(INDEX(FILTER(D$1:D1437, D$1:D1437&lt;&gt;""""),COUNTA(FILTER(D$1:D1437, D$1:D1437&lt;&gt;""""))))-1), IF('To Order'!$A1438=COL"&amp;"UMNS($A1438:D1457), D1437&amp;RIGHT(INDIRECT(ADDRESS(ROW(D1438)-1, 'From Order'!$A1438)), 1), D1437))"),"CRCDRHZ")</f>
        <v>CRCDRHZ</v>
      </c>
      <c r="E1438" s="2" t="str">
        <f>IFERROR(__xludf.DUMMYFUNCTION("IF('From Order'!$A1438=COLUMNS($A1438:E1457), LEFT(INDEX(FILTER(E$1:E1437, E$1:E1437&lt;&gt;""""),COUNTA(FILTER(E$1:E1437, E$1:E1437&lt;&gt;""""))), LEN(INDEX(FILTER(E$1:E1437, E$1:E1437&lt;&gt;""""),COUNTA(FILTER(E$1:E1437, E$1:E1437&lt;&gt;""""))))-1), IF('To Order'!$A1438=COL"&amp;"UMNS($A1438:E1457), E1437&amp;RIGHT(INDIRECT(ADDRESS(ROW(E1438)-1, 'From Order'!$A1438)), 1), E1437))"),"HGSTDDLWPBFMDJDS")</f>
        <v>HGSTDDLWPBFMDJDS</v>
      </c>
      <c r="F1438" s="2" t="str">
        <f>IFERROR(__xludf.DUMMYFUNCTION("IF('From Order'!$A1438=COLUMNS($A1438:F1457), LEFT(INDEX(FILTER(F$1:F1437, F$1:F1437&lt;&gt;""""),COUNTA(FILTER(F$1:F1437, F$1:F1437&lt;&gt;""""))), LEN(INDEX(FILTER(F$1:F1437, F$1:F1437&lt;&gt;""""),COUNTA(FILTER(F$1:F1437, F$1:F1437&lt;&gt;""""))))-1), IF('To Order'!$A1438=COL"&amp;"UMNS($A1438:F1457), F1437&amp;RIGHT(INDIRECT(ADDRESS(ROW(F1438)-1, 'From Order'!$A1438)), 1), F1437))"),"ZRLBSTVFSCZGB")</f>
        <v>ZRLBSTVFSCZGB</v>
      </c>
      <c r="G1438" s="2" t="str">
        <f>IFERROR(__xludf.DUMMYFUNCTION("IF('From Order'!$A1438=COLUMNS($A1438:G1457), LEFT(INDEX(FILTER(G$1:G1437, G$1:G1437&lt;&gt;""""),COUNTA(FILTER(G$1:G1437, G$1:G1437&lt;&gt;""""))), LEN(INDEX(FILTER(G$1:G1437, G$1:G1437&lt;&gt;""""),COUNTA(FILTER(G$1:G1437, G$1:G1437&lt;&gt;""""))))-1), IF('To Order'!$A1438=COL"&amp;"UMNS($A1438:G1457), G1437&amp;RIGHT(INDIRECT(ADDRESS(ROW(G1438)-1, 'From Order'!$A1438)), 1), G1437))"),"WRMBVTTJ")</f>
        <v>WRMBVTTJ</v>
      </c>
      <c r="H1438" s="2" t="str">
        <f>IFERROR(__xludf.DUMMYFUNCTION("IF('From Order'!$A1438=COLUMNS($A1438:H1457), LEFT(INDEX(FILTER(H$1:H1437, H$1:H1437&lt;&gt;""""),COUNTA(FILTER(H$1:H1437, H$1:H1437&lt;&gt;""""))), LEN(INDEX(FILTER(H$1:H1437, H$1:H1437&lt;&gt;""""),COUNTA(FILTER(H$1:H1437, H$1:H1437&lt;&gt;""""))))-1), IF('To Order'!$A1438=COL"&amp;"UMNS($A1438:H1457), H1437&amp;RIGHT(INDIRECT(ADDRESS(ROW(H1438)-1, 'From Order'!$A1438)), 1), H1437))"),"")</f>
        <v/>
      </c>
      <c r="I1438" s="2" t="str">
        <f>IFERROR(__xludf.DUMMYFUNCTION("IF('From Order'!$A1438=COLUMNS($A1438:I1457), LEFT(INDEX(FILTER(I$1:I1437, I$1:I1437&lt;&gt;""""),COUNTA(FILTER(I$1:I1437, I$1:I1437&lt;&gt;""""))), LEN(INDEX(FILTER(I$1:I1437, I$1:I1437&lt;&gt;""""),COUNTA(FILTER(I$1:I1437, I$1:I1437&lt;&gt;""""))))-1), IF('To Order'!$A1438=COL"&amp;"UMNS($A1438:I1457), I1437&amp;RIGHT(INDIRECT(ADDRESS(ROW(I1438)-1, 'From Order'!$A1438)), 1), I1437))"),"")</f>
        <v/>
      </c>
    </row>
    <row r="1439">
      <c r="A1439" s="2" t="str">
        <f>IFERROR(__xludf.DUMMYFUNCTION("IF('From Order'!$A1439=COLUMNS($A1439:A1458), LEFT(INDEX(FILTER(A$1:A1438, A$1:A1438&lt;&gt;""""),COUNTA(FILTER(A$1:A1438, A$1:A1438&lt;&gt;""""))), LEN(INDEX(FILTER(A$1:A1438, A$1:A1438&lt;&gt;""""),COUNTA(FILTER(A$1:A1438, A$1:A1438&lt;&gt;""""))))-1), IF('To Order'!$A1439=COL"&amp;"UMNS($A1439:A1458), A1438&amp;RIGHT(INDIRECT(ADDRESS(ROW(A1439)-1, 'From Order'!$A1439)), 1), A1438))"),"")</f>
        <v/>
      </c>
      <c r="B1439" s="2" t="str">
        <f>IFERROR(__xludf.DUMMYFUNCTION("IF('From Order'!$A1439=COLUMNS($A1439:B1458), LEFT(INDEX(FILTER(B$1:B1438, B$1:B1438&lt;&gt;""""),COUNTA(FILTER(B$1:B1438, B$1:B1438&lt;&gt;""""))), LEN(INDEX(FILTER(B$1:B1438, B$1:B1438&lt;&gt;""""),COUNTA(FILTER(B$1:B1438, B$1:B1438&lt;&gt;""""))))-1), IF('To Order'!$A1439=COL"&amp;"UMNS($A1439:B1458), B1438&amp;RIGHT(INDIRECT(ADDRESS(ROW(B1439)-1, 'From Order'!$A1439)), 1), B1438))"),"R")</f>
        <v>R</v>
      </c>
      <c r="C1439" s="2" t="str">
        <f>IFERROR(__xludf.DUMMYFUNCTION("IF('From Order'!$A1439=COLUMNS($A1439:C1458), LEFT(INDEX(FILTER(C$1:C1438, C$1:C1438&lt;&gt;""""),COUNTA(FILTER(C$1:C1438, C$1:C1438&lt;&gt;""""))), LEN(INDEX(FILTER(C$1:C1438, C$1:C1438&lt;&gt;""""),COUNTA(FILTER(C$1:C1438, C$1:C1438&lt;&gt;""""))))-1), IF('To Order'!$A1439=COL"&amp;"UMNS($A1439:C1458), C1438&amp;RIGHT(INDIRECT(ADDRESS(ROW(C1439)-1, 'From Order'!$A1439)), 1), C1438))"),"TQVQJPPLDTM")</f>
        <v>TQVQJPPLDTM</v>
      </c>
      <c r="D1439" s="2" t="str">
        <f>IFERROR(__xludf.DUMMYFUNCTION("IF('From Order'!$A1439=COLUMNS($A1439:D1458), LEFT(INDEX(FILTER(D$1:D1438, D$1:D1438&lt;&gt;""""),COUNTA(FILTER(D$1:D1438, D$1:D1438&lt;&gt;""""))), LEN(INDEX(FILTER(D$1:D1438, D$1:D1438&lt;&gt;""""),COUNTA(FILTER(D$1:D1438, D$1:D1438&lt;&gt;""""))))-1), IF('To Order'!$A1439=COL"&amp;"UMNS($A1439:D1458), D1438&amp;RIGHT(INDIRECT(ADDRESS(ROW(D1439)-1, 'From Order'!$A1439)), 1), D1438))"),"CRCDRHZ")</f>
        <v>CRCDRHZ</v>
      </c>
      <c r="E1439" s="2" t="str">
        <f>IFERROR(__xludf.DUMMYFUNCTION("IF('From Order'!$A1439=COLUMNS($A1439:E1458), LEFT(INDEX(FILTER(E$1:E1438, E$1:E1438&lt;&gt;""""),COUNTA(FILTER(E$1:E1438, E$1:E1438&lt;&gt;""""))), LEN(INDEX(FILTER(E$1:E1438, E$1:E1438&lt;&gt;""""),COUNTA(FILTER(E$1:E1438, E$1:E1438&lt;&gt;""""))))-1), IF('To Order'!$A1439=COL"&amp;"UMNS($A1439:E1458), E1438&amp;RIGHT(INDIRECT(ADDRESS(ROW(E1439)-1, 'From Order'!$A1439)), 1), E1438))"),"HGSTDDLWPBFMDJD")</f>
        <v>HGSTDDLWPBFMDJD</v>
      </c>
      <c r="F1439" s="2" t="str">
        <f>IFERROR(__xludf.DUMMYFUNCTION("IF('From Order'!$A1439=COLUMNS($A1439:F1458), LEFT(INDEX(FILTER(F$1:F1438, F$1:F1438&lt;&gt;""""),COUNTA(FILTER(F$1:F1438, F$1:F1438&lt;&gt;""""))), LEN(INDEX(FILTER(F$1:F1438, F$1:F1438&lt;&gt;""""),COUNTA(FILTER(F$1:F1438, F$1:F1438&lt;&gt;""""))))-1), IF('To Order'!$A1439=COL"&amp;"UMNS($A1439:F1458), F1438&amp;RIGHT(INDIRECT(ADDRESS(ROW(F1439)-1, 'From Order'!$A1439)), 1), F1438))"),"ZRLBSTVFSCZGBS")</f>
        <v>ZRLBSTVFSCZGBS</v>
      </c>
      <c r="G1439" s="2" t="str">
        <f>IFERROR(__xludf.DUMMYFUNCTION("IF('From Order'!$A1439=COLUMNS($A1439:G1458), LEFT(INDEX(FILTER(G$1:G1438, G$1:G1438&lt;&gt;""""),COUNTA(FILTER(G$1:G1438, G$1:G1438&lt;&gt;""""))), LEN(INDEX(FILTER(G$1:G1438, G$1:G1438&lt;&gt;""""),COUNTA(FILTER(G$1:G1438, G$1:G1438&lt;&gt;""""))))-1), IF('To Order'!$A1439=COL"&amp;"UMNS($A1439:G1458), G1438&amp;RIGHT(INDIRECT(ADDRESS(ROW(G1439)-1, 'From Order'!$A1439)), 1), G1438))"),"WRMBVTTJ")</f>
        <v>WRMBVTTJ</v>
      </c>
      <c r="H1439" s="2" t="str">
        <f>IFERROR(__xludf.DUMMYFUNCTION("IF('From Order'!$A1439=COLUMNS($A1439:H1458), LEFT(INDEX(FILTER(H$1:H1438, H$1:H1438&lt;&gt;""""),COUNTA(FILTER(H$1:H1438, H$1:H1438&lt;&gt;""""))), LEN(INDEX(FILTER(H$1:H1438, H$1:H1438&lt;&gt;""""),COUNTA(FILTER(H$1:H1438, H$1:H1438&lt;&gt;""""))))-1), IF('To Order'!$A1439=COL"&amp;"UMNS($A1439:H1458), H1438&amp;RIGHT(INDIRECT(ADDRESS(ROW(H1439)-1, 'From Order'!$A1439)), 1), H1438))"),"")</f>
        <v/>
      </c>
      <c r="I1439" s="2" t="str">
        <f>IFERROR(__xludf.DUMMYFUNCTION("IF('From Order'!$A1439=COLUMNS($A1439:I1458), LEFT(INDEX(FILTER(I$1:I1438, I$1:I1438&lt;&gt;""""),COUNTA(FILTER(I$1:I1438, I$1:I1438&lt;&gt;""""))), LEN(INDEX(FILTER(I$1:I1438, I$1:I1438&lt;&gt;""""),COUNTA(FILTER(I$1:I1438, I$1:I1438&lt;&gt;""""))))-1), IF('To Order'!$A1439=COL"&amp;"UMNS($A1439:I1458), I1438&amp;RIGHT(INDIRECT(ADDRESS(ROW(I1439)-1, 'From Order'!$A1439)), 1), I1438))"),"")</f>
        <v/>
      </c>
    </row>
    <row r="1440">
      <c r="A1440" s="2" t="str">
        <f>IFERROR(__xludf.DUMMYFUNCTION("IF('From Order'!$A1440=COLUMNS($A1440:A1459), LEFT(INDEX(FILTER(A$1:A1439, A$1:A1439&lt;&gt;""""),COUNTA(FILTER(A$1:A1439, A$1:A1439&lt;&gt;""""))), LEN(INDEX(FILTER(A$1:A1439, A$1:A1439&lt;&gt;""""),COUNTA(FILTER(A$1:A1439, A$1:A1439&lt;&gt;""""))))-1), IF('To Order'!$A1440=COL"&amp;"UMNS($A1440:A1459), A1439&amp;RIGHT(INDIRECT(ADDRESS(ROW(A1440)-1, 'From Order'!$A1440)), 1), A1439))"),"")</f>
        <v/>
      </c>
      <c r="B1440" s="2" t="str">
        <f>IFERROR(__xludf.DUMMYFUNCTION("IF('From Order'!$A1440=COLUMNS($A1440:B1459), LEFT(INDEX(FILTER(B$1:B1439, B$1:B1439&lt;&gt;""""),COUNTA(FILTER(B$1:B1439, B$1:B1439&lt;&gt;""""))), LEN(INDEX(FILTER(B$1:B1439, B$1:B1439&lt;&gt;""""),COUNTA(FILTER(B$1:B1439, B$1:B1439&lt;&gt;""""))))-1), IF('To Order'!$A1440=COL"&amp;"UMNS($A1440:B1459), B1439&amp;RIGHT(INDIRECT(ADDRESS(ROW(B1440)-1, 'From Order'!$A1440)), 1), B1439))"),"R")</f>
        <v>R</v>
      </c>
      <c r="C1440" s="2" t="str">
        <f>IFERROR(__xludf.DUMMYFUNCTION("IF('From Order'!$A1440=COLUMNS($A1440:C1459), LEFT(INDEX(FILTER(C$1:C1439, C$1:C1439&lt;&gt;""""),COUNTA(FILTER(C$1:C1439, C$1:C1439&lt;&gt;""""))), LEN(INDEX(FILTER(C$1:C1439, C$1:C1439&lt;&gt;""""),COUNTA(FILTER(C$1:C1439, C$1:C1439&lt;&gt;""""))))-1), IF('To Order'!$A1440=COL"&amp;"UMNS($A1440:C1459), C1439&amp;RIGHT(INDIRECT(ADDRESS(ROW(C1440)-1, 'From Order'!$A1440)), 1), C1439))"),"TQVQJPPLDTM")</f>
        <v>TQVQJPPLDTM</v>
      </c>
      <c r="D1440" s="2" t="str">
        <f>IFERROR(__xludf.DUMMYFUNCTION("IF('From Order'!$A1440=COLUMNS($A1440:D1459), LEFT(INDEX(FILTER(D$1:D1439, D$1:D1439&lt;&gt;""""),COUNTA(FILTER(D$1:D1439, D$1:D1439&lt;&gt;""""))), LEN(INDEX(FILTER(D$1:D1439, D$1:D1439&lt;&gt;""""),COUNTA(FILTER(D$1:D1439, D$1:D1439&lt;&gt;""""))))-1), IF('To Order'!$A1440=COL"&amp;"UMNS($A1440:D1459), D1439&amp;RIGHT(INDIRECT(ADDRESS(ROW(D1440)-1, 'From Order'!$A1440)), 1), D1439))"),"CRCDRHZ")</f>
        <v>CRCDRHZ</v>
      </c>
      <c r="E1440" s="2" t="str">
        <f>IFERROR(__xludf.DUMMYFUNCTION("IF('From Order'!$A1440=COLUMNS($A1440:E1459), LEFT(INDEX(FILTER(E$1:E1439, E$1:E1439&lt;&gt;""""),COUNTA(FILTER(E$1:E1439, E$1:E1439&lt;&gt;""""))), LEN(INDEX(FILTER(E$1:E1439, E$1:E1439&lt;&gt;""""),COUNTA(FILTER(E$1:E1439, E$1:E1439&lt;&gt;""""))))-1), IF('To Order'!$A1440=COL"&amp;"UMNS($A1440:E1459), E1439&amp;RIGHT(INDIRECT(ADDRESS(ROW(E1440)-1, 'From Order'!$A1440)), 1), E1439))"),"HGSTDDLWPBFMDJ")</f>
        <v>HGSTDDLWPBFMDJ</v>
      </c>
      <c r="F1440" s="2" t="str">
        <f>IFERROR(__xludf.DUMMYFUNCTION("IF('From Order'!$A1440=COLUMNS($A1440:F1459), LEFT(INDEX(FILTER(F$1:F1439, F$1:F1439&lt;&gt;""""),COUNTA(FILTER(F$1:F1439, F$1:F1439&lt;&gt;""""))), LEN(INDEX(FILTER(F$1:F1439, F$1:F1439&lt;&gt;""""),COUNTA(FILTER(F$1:F1439, F$1:F1439&lt;&gt;""""))))-1), IF('To Order'!$A1440=COL"&amp;"UMNS($A1440:F1459), F1439&amp;RIGHT(INDIRECT(ADDRESS(ROW(F1440)-1, 'From Order'!$A1440)), 1), F1439))"),"ZRLBSTVFSCZGBSD")</f>
        <v>ZRLBSTVFSCZGBSD</v>
      </c>
      <c r="G1440" s="2" t="str">
        <f>IFERROR(__xludf.DUMMYFUNCTION("IF('From Order'!$A1440=COLUMNS($A1440:G1459), LEFT(INDEX(FILTER(G$1:G1439, G$1:G1439&lt;&gt;""""),COUNTA(FILTER(G$1:G1439, G$1:G1439&lt;&gt;""""))), LEN(INDEX(FILTER(G$1:G1439, G$1:G1439&lt;&gt;""""),COUNTA(FILTER(G$1:G1439, G$1:G1439&lt;&gt;""""))))-1), IF('To Order'!$A1440=COL"&amp;"UMNS($A1440:G1459), G1439&amp;RIGHT(INDIRECT(ADDRESS(ROW(G1440)-1, 'From Order'!$A1440)), 1), G1439))"),"WRMBVTTJ")</f>
        <v>WRMBVTTJ</v>
      </c>
      <c r="H1440" s="2" t="str">
        <f>IFERROR(__xludf.DUMMYFUNCTION("IF('From Order'!$A1440=COLUMNS($A1440:H1459), LEFT(INDEX(FILTER(H$1:H1439, H$1:H1439&lt;&gt;""""),COUNTA(FILTER(H$1:H1439, H$1:H1439&lt;&gt;""""))), LEN(INDEX(FILTER(H$1:H1439, H$1:H1439&lt;&gt;""""),COUNTA(FILTER(H$1:H1439, H$1:H1439&lt;&gt;""""))))-1), IF('To Order'!$A1440=COL"&amp;"UMNS($A1440:H1459), H1439&amp;RIGHT(INDIRECT(ADDRESS(ROW(H1440)-1, 'From Order'!$A1440)), 1), H1439))"),"")</f>
        <v/>
      </c>
      <c r="I1440" s="2" t="str">
        <f>IFERROR(__xludf.DUMMYFUNCTION("IF('From Order'!$A1440=COLUMNS($A1440:I1459), LEFT(INDEX(FILTER(I$1:I1439, I$1:I1439&lt;&gt;""""),COUNTA(FILTER(I$1:I1439, I$1:I1439&lt;&gt;""""))), LEN(INDEX(FILTER(I$1:I1439, I$1:I1439&lt;&gt;""""),COUNTA(FILTER(I$1:I1439, I$1:I1439&lt;&gt;""""))))-1), IF('To Order'!$A1440=COL"&amp;"UMNS($A1440:I1459), I1439&amp;RIGHT(INDIRECT(ADDRESS(ROW(I1440)-1, 'From Order'!$A1440)), 1), I1439))"),"")</f>
        <v/>
      </c>
    </row>
    <row r="1441">
      <c r="A1441" s="2" t="str">
        <f>IFERROR(__xludf.DUMMYFUNCTION("IF('From Order'!$A1441=COLUMNS($A1441:A1460), LEFT(INDEX(FILTER(A$1:A1440, A$1:A1440&lt;&gt;""""),COUNTA(FILTER(A$1:A1440, A$1:A1440&lt;&gt;""""))), LEN(INDEX(FILTER(A$1:A1440, A$1:A1440&lt;&gt;""""),COUNTA(FILTER(A$1:A1440, A$1:A1440&lt;&gt;""""))))-1), IF('To Order'!$A1441=COL"&amp;"UMNS($A1441:A1460), A1440&amp;RIGHT(INDIRECT(ADDRESS(ROW(A1441)-1, 'From Order'!$A1441)), 1), A1440))"),"")</f>
        <v/>
      </c>
      <c r="B1441" s="2" t="str">
        <f>IFERROR(__xludf.DUMMYFUNCTION("IF('From Order'!$A1441=COLUMNS($A1441:B1460), LEFT(INDEX(FILTER(B$1:B1440, B$1:B1440&lt;&gt;""""),COUNTA(FILTER(B$1:B1440, B$1:B1440&lt;&gt;""""))), LEN(INDEX(FILTER(B$1:B1440, B$1:B1440&lt;&gt;""""),COUNTA(FILTER(B$1:B1440, B$1:B1440&lt;&gt;""""))))-1), IF('To Order'!$A1441=COL"&amp;"UMNS($A1441:B1460), B1440&amp;RIGHT(INDIRECT(ADDRESS(ROW(B1441)-1, 'From Order'!$A1441)), 1), B1440))"),"R")</f>
        <v>R</v>
      </c>
      <c r="C1441" s="2" t="str">
        <f>IFERROR(__xludf.DUMMYFUNCTION("IF('From Order'!$A1441=COLUMNS($A1441:C1460), LEFT(INDEX(FILTER(C$1:C1440, C$1:C1440&lt;&gt;""""),COUNTA(FILTER(C$1:C1440, C$1:C1440&lt;&gt;""""))), LEN(INDEX(FILTER(C$1:C1440, C$1:C1440&lt;&gt;""""),COUNTA(FILTER(C$1:C1440, C$1:C1440&lt;&gt;""""))))-1), IF('To Order'!$A1441=COL"&amp;"UMNS($A1441:C1460), C1440&amp;RIGHT(INDIRECT(ADDRESS(ROW(C1441)-1, 'From Order'!$A1441)), 1), C1440))"),"TQVQJPPLDTM")</f>
        <v>TQVQJPPLDTM</v>
      </c>
      <c r="D1441" s="2" t="str">
        <f>IFERROR(__xludf.DUMMYFUNCTION("IF('From Order'!$A1441=COLUMNS($A1441:D1460), LEFT(INDEX(FILTER(D$1:D1440, D$1:D1440&lt;&gt;""""),COUNTA(FILTER(D$1:D1440, D$1:D1440&lt;&gt;""""))), LEN(INDEX(FILTER(D$1:D1440, D$1:D1440&lt;&gt;""""),COUNTA(FILTER(D$1:D1440, D$1:D1440&lt;&gt;""""))))-1), IF('To Order'!$A1441=COL"&amp;"UMNS($A1441:D1460), D1440&amp;RIGHT(INDIRECT(ADDRESS(ROW(D1441)-1, 'From Order'!$A1441)), 1), D1440))"),"CRCDRHZ")</f>
        <v>CRCDRHZ</v>
      </c>
      <c r="E1441" s="2" t="str">
        <f>IFERROR(__xludf.DUMMYFUNCTION("IF('From Order'!$A1441=COLUMNS($A1441:E1460), LEFT(INDEX(FILTER(E$1:E1440, E$1:E1440&lt;&gt;""""),COUNTA(FILTER(E$1:E1440, E$1:E1440&lt;&gt;""""))), LEN(INDEX(FILTER(E$1:E1440, E$1:E1440&lt;&gt;""""),COUNTA(FILTER(E$1:E1440, E$1:E1440&lt;&gt;""""))))-1), IF('To Order'!$A1441=COL"&amp;"UMNS($A1441:E1460), E1440&amp;RIGHT(INDIRECT(ADDRESS(ROW(E1441)-1, 'From Order'!$A1441)), 1), E1440))"),"HGSTDDLWPBFMD")</f>
        <v>HGSTDDLWPBFMD</v>
      </c>
      <c r="F1441" s="2" t="str">
        <f>IFERROR(__xludf.DUMMYFUNCTION("IF('From Order'!$A1441=COLUMNS($A1441:F1460), LEFT(INDEX(FILTER(F$1:F1440, F$1:F1440&lt;&gt;""""),COUNTA(FILTER(F$1:F1440, F$1:F1440&lt;&gt;""""))), LEN(INDEX(FILTER(F$1:F1440, F$1:F1440&lt;&gt;""""),COUNTA(FILTER(F$1:F1440, F$1:F1440&lt;&gt;""""))))-1), IF('To Order'!$A1441=COL"&amp;"UMNS($A1441:F1460), F1440&amp;RIGHT(INDIRECT(ADDRESS(ROW(F1441)-1, 'From Order'!$A1441)), 1), F1440))"),"ZRLBSTVFSCZGBSDJ")</f>
        <v>ZRLBSTVFSCZGBSDJ</v>
      </c>
      <c r="G1441" s="2" t="str">
        <f>IFERROR(__xludf.DUMMYFUNCTION("IF('From Order'!$A1441=COLUMNS($A1441:G1460), LEFT(INDEX(FILTER(G$1:G1440, G$1:G1440&lt;&gt;""""),COUNTA(FILTER(G$1:G1440, G$1:G1440&lt;&gt;""""))), LEN(INDEX(FILTER(G$1:G1440, G$1:G1440&lt;&gt;""""),COUNTA(FILTER(G$1:G1440, G$1:G1440&lt;&gt;""""))))-1), IF('To Order'!$A1441=COL"&amp;"UMNS($A1441:G1460), G1440&amp;RIGHT(INDIRECT(ADDRESS(ROW(G1441)-1, 'From Order'!$A1441)), 1), G1440))"),"WRMBVTTJ")</f>
        <v>WRMBVTTJ</v>
      </c>
      <c r="H1441" s="2" t="str">
        <f>IFERROR(__xludf.DUMMYFUNCTION("IF('From Order'!$A1441=COLUMNS($A1441:H1460), LEFT(INDEX(FILTER(H$1:H1440, H$1:H1440&lt;&gt;""""),COUNTA(FILTER(H$1:H1440, H$1:H1440&lt;&gt;""""))), LEN(INDEX(FILTER(H$1:H1440, H$1:H1440&lt;&gt;""""),COUNTA(FILTER(H$1:H1440, H$1:H1440&lt;&gt;""""))))-1), IF('To Order'!$A1441=COL"&amp;"UMNS($A1441:H1460), H1440&amp;RIGHT(INDIRECT(ADDRESS(ROW(H1441)-1, 'From Order'!$A1441)), 1), H1440))"),"")</f>
        <v/>
      </c>
      <c r="I1441" s="2" t="str">
        <f>IFERROR(__xludf.DUMMYFUNCTION("IF('From Order'!$A1441=COLUMNS($A1441:I1460), LEFT(INDEX(FILTER(I$1:I1440, I$1:I1440&lt;&gt;""""),COUNTA(FILTER(I$1:I1440, I$1:I1440&lt;&gt;""""))), LEN(INDEX(FILTER(I$1:I1440, I$1:I1440&lt;&gt;""""),COUNTA(FILTER(I$1:I1440, I$1:I1440&lt;&gt;""""))))-1), IF('To Order'!$A1441=COL"&amp;"UMNS($A1441:I1460), I1440&amp;RIGHT(INDIRECT(ADDRESS(ROW(I1441)-1, 'From Order'!$A1441)), 1), I1440))"),"")</f>
        <v/>
      </c>
    </row>
    <row r="1442">
      <c r="A1442" s="2" t="str">
        <f>IFERROR(__xludf.DUMMYFUNCTION("IF('From Order'!$A1442=COLUMNS($A1442:A1461), LEFT(INDEX(FILTER(A$1:A1441, A$1:A1441&lt;&gt;""""),COUNTA(FILTER(A$1:A1441, A$1:A1441&lt;&gt;""""))), LEN(INDEX(FILTER(A$1:A1441, A$1:A1441&lt;&gt;""""),COUNTA(FILTER(A$1:A1441, A$1:A1441&lt;&gt;""""))))-1), IF('To Order'!$A1442=COL"&amp;"UMNS($A1442:A1461), A1441&amp;RIGHT(INDIRECT(ADDRESS(ROW(A1442)-1, 'From Order'!$A1442)), 1), A1441))"),"")</f>
        <v/>
      </c>
      <c r="B1442" s="2" t="str">
        <f>IFERROR(__xludf.DUMMYFUNCTION("IF('From Order'!$A1442=COLUMNS($A1442:B1461), LEFT(INDEX(FILTER(B$1:B1441, B$1:B1441&lt;&gt;""""),COUNTA(FILTER(B$1:B1441, B$1:B1441&lt;&gt;""""))), LEN(INDEX(FILTER(B$1:B1441, B$1:B1441&lt;&gt;""""),COUNTA(FILTER(B$1:B1441, B$1:B1441&lt;&gt;""""))))-1), IF('To Order'!$A1442=COL"&amp;"UMNS($A1442:B1461), B1441&amp;RIGHT(INDIRECT(ADDRESS(ROW(B1442)-1, 'From Order'!$A1442)), 1), B1441))"),"R")</f>
        <v>R</v>
      </c>
      <c r="C1442" s="2" t="str">
        <f>IFERROR(__xludf.DUMMYFUNCTION("IF('From Order'!$A1442=COLUMNS($A1442:C1461), LEFT(INDEX(FILTER(C$1:C1441, C$1:C1441&lt;&gt;""""),COUNTA(FILTER(C$1:C1441, C$1:C1441&lt;&gt;""""))), LEN(INDEX(FILTER(C$1:C1441, C$1:C1441&lt;&gt;""""),COUNTA(FILTER(C$1:C1441, C$1:C1441&lt;&gt;""""))))-1), IF('To Order'!$A1442=COL"&amp;"UMNS($A1442:C1461), C1441&amp;RIGHT(INDIRECT(ADDRESS(ROW(C1442)-1, 'From Order'!$A1442)), 1), C1441))"),"TQVQJPPLDTM")</f>
        <v>TQVQJPPLDTM</v>
      </c>
      <c r="D1442" s="2" t="str">
        <f>IFERROR(__xludf.DUMMYFUNCTION("IF('From Order'!$A1442=COLUMNS($A1442:D1461), LEFT(INDEX(FILTER(D$1:D1441, D$1:D1441&lt;&gt;""""),COUNTA(FILTER(D$1:D1441, D$1:D1441&lt;&gt;""""))), LEN(INDEX(FILTER(D$1:D1441, D$1:D1441&lt;&gt;""""),COUNTA(FILTER(D$1:D1441, D$1:D1441&lt;&gt;""""))))-1), IF('To Order'!$A1442=COL"&amp;"UMNS($A1442:D1461), D1441&amp;RIGHT(INDIRECT(ADDRESS(ROW(D1442)-1, 'From Order'!$A1442)), 1), D1441))"),"CRCDRHZ")</f>
        <v>CRCDRHZ</v>
      </c>
      <c r="E1442" s="2" t="str">
        <f>IFERROR(__xludf.DUMMYFUNCTION("IF('From Order'!$A1442=COLUMNS($A1442:E1461), LEFT(INDEX(FILTER(E$1:E1441, E$1:E1441&lt;&gt;""""),COUNTA(FILTER(E$1:E1441, E$1:E1441&lt;&gt;""""))), LEN(INDEX(FILTER(E$1:E1441, E$1:E1441&lt;&gt;""""),COUNTA(FILTER(E$1:E1441, E$1:E1441&lt;&gt;""""))))-1), IF('To Order'!$A1442=COL"&amp;"UMNS($A1442:E1461), E1441&amp;RIGHT(INDIRECT(ADDRESS(ROW(E1442)-1, 'From Order'!$A1442)), 1), E1441))"),"HGSTDDLWPBFM")</f>
        <v>HGSTDDLWPBFM</v>
      </c>
      <c r="F1442" s="2" t="str">
        <f>IFERROR(__xludf.DUMMYFUNCTION("IF('From Order'!$A1442=COLUMNS($A1442:F1461), LEFT(INDEX(FILTER(F$1:F1441, F$1:F1441&lt;&gt;""""),COUNTA(FILTER(F$1:F1441, F$1:F1441&lt;&gt;""""))), LEN(INDEX(FILTER(F$1:F1441, F$1:F1441&lt;&gt;""""),COUNTA(FILTER(F$1:F1441, F$1:F1441&lt;&gt;""""))))-1), IF('To Order'!$A1442=COL"&amp;"UMNS($A1442:F1461), F1441&amp;RIGHT(INDIRECT(ADDRESS(ROW(F1442)-1, 'From Order'!$A1442)), 1), F1441))"),"ZRLBSTVFSCZGBSDJD")</f>
        <v>ZRLBSTVFSCZGBSDJD</v>
      </c>
      <c r="G1442" s="2" t="str">
        <f>IFERROR(__xludf.DUMMYFUNCTION("IF('From Order'!$A1442=COLUMNS($A1442:G1461), LEFT(INDEX(FILTER(G$1:G1441, G$1:G1441&lt;&gt;""""),COUNTA(FILTER(G$1:G1441, G$1:G1441&lt;&gt;""""))), LEN(INDEX(FILTER(G$1:G1441, G$1:G1441&lt;&gt;""""),COUNTA(FILTER(G$1:G1441, G$1:G1441&lt;&gt;""""))))-1), IF('To Order'!$A1442=COL"&amp;"UMNS($A1442:G1461), G1441&amp;RIGHT(INDIRECT(ADDRESS(ROW(G1442)-1, 'From Order'!$A1442)), 1), G1441))"),"WRMBVTTJ")</f>
        <v>WRMBVTTJ</v>
      </c>
      <c r="H1442" s="2" t="str">
        <f>IFERROR(__xludf.DUMMYFUNCTION("IF('From Order'!$A1442=COLUMNS($A1442:H1461), LEFT(INDEX(FILTER(H$1:H1441, H$1:H1441&lt;&gt;""""),COUNTA(FILTER(H$1:H1441, H$1:H1441&lt;&gt;""""))), LEN(INDEX(FILTER(H$1:H1441, H$1:H1441&lt;&gt;""""),COUNTA(FILTER(H$1:H1441, H$1:H1441&lt;&gt;""""))))-1), IF('To Order'!$A1442=COL"&amp;"UMNS($A1442:H1461), H1441&amp;RIGHT(INDIRECT(ADDRESS(ROW(H1442)-1, 'From Order'!$A1442)), 1), H1441))"),"")</f>
        <v/>
      </c>
      <c r="I1442" s="2" t="str">
        <f>IFERROR(__xludf.DUMMYFUNCTION("IF('From Order'!$A1442=COLUMNS($A1442:I1461), LEFT(INDEX(FILTER(I$1:I1441, I$1:I1441&lt;&gt;""""),COUNTA(FILTER(I$1:I1441, I$1:I1441&lt;&gt;""""))), LEN(INDEX(FILTER(I$1:I1441, I$1:I1441&lt;&gt;""""),COUNTA(FILTER(I$1:I1441, I$1:I1441&lt;&gt;""""))))-1), IF('To Order'!$A1442=COL"&amp;"UMNS($A1442:I1461), I1441&amp;RIGHT(INDIRECT(ADDRESS(ROW(I1442)-1, 'From Order'!$A1442)), 1), I1441))"),"")</f>
        <v/>
      </c>
    </row>
    <row r="1443">
      <c r="A1443" s="2" t="str">
        <f>IFERROR(__xludf.DUMMYFUNCTION("IF('From Order'!$A1443=COLUMNS($A1443:A1462), LEFT(INDEX(FILTER(A$1:A1442, A$1:A1442&lt;&gt;""""),COUNTA(FILTER(A$1:A1442, A$1:A1442&lt;&gt;""""))), LEN(INDEX(FILTER(A$1:A1442, A$1:A1442&lt;&gt;""""),COUNTA(FILTER(A$1:A1442, A$1:A1442&lt;&gt;""""))))-1), IF('To Order'!$A1443=COL"&amp;"UMNS($A1443:A1462), A1442&amp;RIGHT(INDIRECT(ADDRESS(ROW(A1443)-1, 'From Order'!$A1443)), 1), A1442))"),"")</f>
        <v/>
      </c>
      <c r="B1443" s="2" t="str">
        <f>IFERROR(__xludf.DUMMYFUNCTION("IF('From Order'!$A1443=COLUMNS($A1443:B1462), LEFT(INDEX(FILTER(B$1:B1442, B$1:B1442&lt;&gt;""""),COUNTA(FILTER(B$1:B1442, B$1:B1442&lt;&gt;""""))), LEN(INDEX(FILTER(B$1:B1442, B$1:B1442&lt;&gt;""""),COUNTA(FILTER(B$1:B1442, B$1:B1442&lt;&gt;""""))))-1), IF('To Order'!$A1443=COL"&amp;"UMNS($A1443:B1462), B1442&amp;RIGHT(INDIRECT(ADDRESS(ROW(B1443)-1, 'From Order'!$A1443)), 1), B1442))"),"R")</f>
        <v>R</v>
      </c>
      <c r="C1443" s="2" t="str">
        <f>IFERROR(__xludf.DUMMYFUNCTION("IF('From Order'!$A1443=COLUMNS($A1443:C1462), LEFT(INDEX(FILTER(C$1:C1442, C$1:C1442&lt;&gt;""""),COUNTA(FILTER(C$1:C1442, C$1:C1442&lt;&gt;""""))), LEN(INDEX(FILTER(C$1:C1442, C$1:C1442&lt;&gt;""""),COUNTA(FILTER(C$1:C1442, C$1:C1442&lt;&gt;""""))))-1), IF('To Order'!$A1443=COL"&amp;"UMNS($A1443:C1462), C1442&amp;RIGHT(INDIRECT(ADDRESS(ROW(C1443)-1, 'From Order'!$A1443)), 1), C1442))"),"TQVQJPPLDTM")</f>
        <v>TQVQJPPLDTM</v>
      </c>
      <c r="D1443" s="2" t="str">
        <f>IFERROR(__xludf.DUMMYFUNCTION("IF('From Order'!$A1443=COLUMNS($A1443:D1462), LEFT(INDEX(FILTER(D$1:D1442, D$1:D1442&lt;&gt;""""),COUNTA(FILTER(D$1:D1442, D$1:D1442&lt;&gt;""""))), LEN(INDEX(FILTER(D$1:D1442, D$1:D1442&lt;&gt;""""),COUNTA(FILTER(D$1:D1442, D$1:D1442&lt;&gt;""""))))-1), IF('To Order'!$A1443=COL"&amp;"UMNS($A1443:D1462), D1442&amp;RIGHT(INDIRECT(ADDRESS(ROW(D1443)-1, 'From Order'!$A1443)), 1), D1442))"),"CRCDRHZ")</f>
        <v>CRCDRHZ</v>
      </c>
      <c r="E1443" s="2" t="str">
        <f>IFERROR(__xludf.DUMMYFUNCTION("IF('From Order'!$A1443=COLUMNS($A1443:E1462), LEFT(INDEX(FILTER(E$1:E1442, E$1:E1442&lt;&gt;""""),COUNTA(FILTER(E$1:E1442, E$1:E1442&lt;&gt;""""))), LEN(INDEX(FILTER(E$1:E1442, E$1:E1442&lt;&gt;""""),COUNTA(FILTER(E$1:E1442, E$1:E1442&lt;&gt;""""))))-1), IF('To Order'!$A1443=COL"&amp;"UMNS($A1443:E1462), E1442&amp;RIGHT(INDIRECT(ADDRESS(ROW(E1443)-1, 'From Order'!$A1443)), 1), E1442))"),"HGSTDDLWPBF")</f>
        <v>HGSTDDLWPBF</v>
      </c>
      <c r="F1443" s="2" t="str">
        <f>IFERROR(__xludf.DUMMYFUNCTION("IF('From Order'!$A1443=COLUMNS($A1443:F1462), LEFT(INDEX(FILTER(F$1:F1442, F$1:F1442&lt;&gt;""""),COUNTA(FILTER(F$1:F1442, F$1:F1442&lt;&gt;""""))), LEN(INDEX(FILTER(F$1:F1442, F$1:F1442&lt;&gt;""""),COUNTA(FILTER(F$1:F1442, F$1:F1442&lt;&gt;""""))))-1), IF('To Order'!$A1443=COL"&amp;"UMNS($A1443:F1462), F1442&amp;RIGHT(INDIRECT(ADDRESS(ROW(F1443)-1, 'From Order'!$A1443)), 1), F1442))"),"ZRLBSTVFSCZGBSDJDM")</f>
        <v>ZRLBSTVFSCZGBSDJDM</v>
      </c>
      <c r="G1443" s="2" t="str">
        <f>IFERROR(__xludf.DUMMYFUNCTION("IF('From Order'!$A1443=COLUMNS($A1443:G1462), LEFT(INDEX(FILTER(G$1:G1442, G$1:G1442&lt;&gt;""""),COUNTA(FILTER(G$1:G1442, G$1:G1442&lt;&gt;""""))), LEN(INDEX(FILTER(G$1:G1442, G$1:G1442&lt;&gt;""""),COUNTA(FILTER(G$1:G1442, G$1:G1442&lt;&gt;""""))))-1), IF('To Order'!$A1443=COL"&amp;"UMNS($A1443:G1462), G1442&amp;RIGHT(INDIRECT(ADDRESS(ROW(G1443)-1, 'From Order'!$A1443)), 1), G1442))"),"WRMBVTTJ")</f>
        <v>WRMBVTTJ</v>
      </c>
      <c r="H1443" s="2" t="str">
        <f>IFERROR(__xludf.DUMMYFUNCTION("IF('From Order'!$A1443=COLUMNS($A1443:H1462), LEFT(INDEX(FILTER(H$1:H1442, H$1:H1442&lt;&gt;""""),COUNTA(FILTER(H$1:H1442, H$1:H1442&lt;&gt;""""))), LEN(INDEX(FILTER(H$1:H1442, H$1:H1442&lt;&gt;""""),COUNTA(FILTER(H$1:H1442, H$1:H1442&lt;&gt;""""))))-1), IF('To Order'!$A1443=COL"&amp;"UMNS($A1443:H1462), H1442&amp;RIGHT(INDIRECT(ADDRESS(ROW(H1443)-1, 'From Order'!$A1443)), 1), H1442))"),"")</f>
        <v/>
      </c>
      <c r="I1443" s="2" t="str">
        <f>IFERROR(__xludf.DUMMYFUNCTION("IF('From Order'!$A1443=COLUMNS($A1443:I1462), LEFT(INDEX(FILTER(I$1:I1442, I$1:I1442&lt;&gt;""""),COUNTA(FILTER(I$1:I1442, I$1:I1442&lt;&gt;""""))), LEN(INDEX(FILTER(I$1:I1442, I$1:I1442&lt;&gt;""""),COUNTA(FILTER(I$1:I1442, I$1:I1442&lt;&gt;""""))))-1), IF('To Order'!$A1443=COL"&amp;"UMNS($A1443:I1462), I1442&amp;RIGHT(INDIRECT(ADDRESS(ROW(I1443)-1, 'From Order'!$A1443)), 1), I1442))"),"")</f>
        <v/>
      </c>
    </row>
    <row r="1444">
      <c r="A1444" s="2" t="str">
        <f>IFERROR(__xludf.DUMMYFUNCTION("IF('From Order'!$A1444=COLUMNS($A1444:A1463), LEFT(INDEX(FILTER(A$1:A1443, A$1:A1443&lt;&gt;""""),COUNTA(FILTER(A$1:A1443, A$1:A1443&lt;&gt;""""))), LEN(INDEX(FILTER(A$1:A1443, A$1:A1443&lt;&gt;""""),COUNTA(FILTER(A$1:A1443, A$1:A1443&lt;&gt;""""))))-1), IF('To Order'!$A1444=COL"&amp;"UMNS($A1444:A1463), A1443&amp;RIGHT(INDIRECT(ADDRESS(ROW(A1444)-1, 'From Order'!$A1444)), 1), A1443))"),"")</f>
        <v/>
      </c>
      <c r="B1444" s="2" t="str">
        <f>IFERROR(__xludf.DUMMYFUNCTION("IF('From Order'!$A1444=COLUMNS($A1444:B1463), LEFT(INDEX(FILTER(B$1:B1443, B$1:B1443&lt;&gt;""""),COUNTA(FILTER(B$1:B1443, B$1:B1443&lt;&gt;""""))), LEN(INDEX(FILTER(B$1:B1443, B$1:B1443&lt;&gt;""""),COUNTA(FILTER(B$1:B1443, B$1:B1443&lt;&gt;""""))))-1), IF('To Order'!$A1444=COL"&amp;"UMNS($A1444:B1463), B1443&amp;RIGHT(INDIRECT(ADDRESS(ROW(B1444)-1, 'From Order'!$A1444)), 1), B1443))"),"R")</f>
        <v>R</v>
      </c>
      <c r="C1444" s="2" t="str">
        <f>IFERROR(__xludf.DUMMYFUNCTION("IF('From Order'!$A1444=COLUMNS($A1444:C1463), LEFT(INDEX(FILTER(C$1:C1443, C$1:C1443&lt;&gt;""""),COUNTA(FILTER(C$1:C1443, C$1:C1443&lt;&gt;""""))), LEN(INDEX(FILTER(C$1:C1443, C$1:C1443&lt;&gt;""""),COUNTA(FILTER(C$1:C1443, C$1:C1443&lt;&gt;""""))))-1), IF('To Order'!$A1444=COL"&amp;"UMNS($A1444:C1463), C1443&amp;RIGHT(INDIRECT(ADDRESS(ROW(C1444)-1, 'From Order'!$A1444)), 1), C1443))"),"TQVQJPPLDTMZ")</f>
        <v>TQVQJPPLDTMZ</v>
      </c>
      <c r="D1444" s="2" t="str">
        <f>IFERROR(__xludf.DUMMYFUNCTION("IF('From Order'!$A1444=COLUMNS($A1444:D1463), LEFT(INDEX(FILTER(D$1:D1443, D$1:D1443&lt;&gt;""""),COUNTA(FILTER(D$1:D1443, D$1:D1443&lt;&gt;""""))), LEN(INDEX(FILTER(D$1:D1443, D$1:D1443&lt;&gt;""""),COUNTA(FILTER(D$1:D1443, D$1:D1443&lt;&gt;""""))))-1), IF('To Order'!$A1444=COL"&amp;"UMNS($A1444:D1463), D1443&amp;RIGHT(INDIRECT(ADDRESS(ROW(D1444)-1, 'From Order'!$A1444)), 1), D1443))"),"CRCDRH")</f>
        <v>CRCDRH</v>
      </c>
      <c r="E1444" s="2" t="str">
        <f>IFERROR(__xludf.DUMMYFUNCTION("IF('From Order'!$A1444=COLUMNS($A1444:E1463), LEFT(INDEX(FILTER(E$1:E1443, E$1:E1443&lt;&gt;""""),COUNTA(FILTER(E$1:E1443, E$1:E1443&lt;&gt;""""))), LEN(INDEX(FILTER(E$1:E1443, E$1:E1443&lt;&gt;""""),COUNTA(FILTER(E$1:E1443, E$1:E1443&lt;&gt;""""))))-1), IF('To Order'!$A1444=COL"&amp;"UMNS($A1444:E1463), E1443&amp;RIGHT(INDIRECT(ADDRESS(ROW(E1444)-1, 'From Order'!$A1444)), 1), E1443))"),"HGSTDDLWPBF")</f>
        <v>HGSTDDLWPBF</v>
      </c>
      <c r="F1444" s="2" t="str">
        <f>IFERROR(__xludf.DUMMYFUNCTION("IF('From Order'!$A1444=COLUMNS($A1444:F1463), LEFT(INDEX(FILTER(F$1:F1443, F$1:F1443&lt;&gt;""""),COUNTA(FILTER(F$1:F1443, F$1:F1443&lt;&gt;""""))), LEN(INDEX(FILTER(F$1:F1443, F$1:F1443&lt;&gt;""""),COUNTA(FILTER(F$1:F1443, F$1:F1443&lt;&gt;""""))))-1), IF('To Order'!$A1444=COL"&amp;"UMNS($A1444:F1463), F1443&amp;RIGHT(INDIRECT(ADDRESS(ROW(F1444)-1, 'From Order'!$A1444)), 1), F1443))"),"ZRLBSTVFSCZGBSDJDM")</f>
        <v>ZRLBSTVFSCZGBSDJDM</v>
      </c>
      <c r="G1444" s="2" t="str">
        <f>IFERROR(__xludf.DUMMYFUNCTION("IF('From Order'!$A1444=COLUMNS($A1444:G1463), LEFT(INDEX(FILTER(G$1:G1443, G$1:G1443&lt;&gt;""""),COUNTA(FILTER(G$1:G1443, G$1:G1443&lt;&gt;""""))), LEN(INDEX(FILTER(G$1:G1443, G$1:G1443&lt;&gt;""""),COUNTA(FILTER(G$1:G1443, G$1:G1443&lt;&gt;""""))))-1), IF('To Order'!$A1444=COL"&amp;"UMNS($A1444:G1463), G1443&amp;RIGHT(INDIRECT(ADDRESS(ROW(G1444)-1, 'From Order'!$A1444)), 1), G1443))"),"WRMBVTTJ")</f>
        <v>WRMBVTTJ</v>
      </c>
      <c r="H1444" s="2" t="str">
        <f>IFERROR(__xludf.DUMMYFUNCTION("IF('From Order'!$A1444=COLUMNS($A1444:H1463), LEFT(INDEX(FILTER(H$1:H1443, H$1:H1443&lt;&gt;""""),COUNTA(FILTER(H$1:H1443, H$1:H1443&lt;&gt;""""))), LEN(INDEX(FILTER(H$1:H1443, H$1:H1443&lt;&gt;""""),COUNTA(FILTER(H$1:H1443, H$1:H1443&lt;&gt;""""))))-1), IF('To Order'!$A1444=COL"&amp;"UMNS($A1444:H1463), H1443&amp;RIGHT(INDIRECT(ADDRESS(ROW(H1444)-1, 'From Order'!$A1444)), 1), H1443))"),"")</f>
        <v/>
      </c>
      <c r="I1444" s="2" t="str">
        <f>IFERROR(__xludf.DUMMYFUNCTION("IF('From Order'!$A1444=COLUMNS($A1444:I1463), LEFT(INDEX(FILTER(I$1:I1443, I$1:I1443&lt;&gt;""""),COUNTA(FILTER(I$1:I1443, I$1:I1443&lt;&gt;""""))), LEN(INDEX(FILTER(I$1:I1443, I$1:I1443&lt;&gt;""""),COUNTA(FILTER(I$1:I1443, I$1:I1443&lt;&gt;""""))))-1), IF('To Order'!$A1444=COL"&amp;"UMNS($A1444:I1463), I1443&amp;RIGHT(INDIRECT(ADDRESS(ROW(I1444)-1, 'From Order'!$A1444)), 1), I1443))"),"")</f>
        <v/>
      </c>
    </row>
    <row r="1445">
      <c r="A1445" s="2" t="str">
        <f>IFERROR(__xludf.DUMMYFUNCTION("IF('From Order'!$A1445=COLUMNS($A1445:A1464), LEFT(INDEX(FILTER(A$1:A1444, A$1:A1444&lt;&gt;""""),COUNTA(FILTER(A$1:A1444, A$1:A1444&lt;&gt;""""))), LEN(INDEX(FILTER(A$1:A1444, A$1:A1444&lt;&gt;""""),COUNTA(FILTER(A$1:A1444, A$1:A1444&lt;&gt;""""))))-1), IF('To Order'!$A1445=COL"&amp;"UMNS($A1445:A1464), A1444&amp;RIGHT(INDIRECT(ADDRESS(ROW(A1445)-1, 'From Order'!$A1445)), 1), A1444))"),"")</f>
        <v/>
      </c>
      <c r="B1445" s="2" t="str">
        <f>IFERROR(__xludf.DUMMYFUNCTION("IF('From Order'!$A1445=COLUMNS($A1445:B1464), LEFT(INDEX(FILTER(B$1:B1444, B$1:B1444&lt;&gt;""""),COUNTA(FILTER(B$1:B1444, B$1:B1444&lt;&gt;""""))), LEN(INDEX(FILTER(B$1:B1444, B$1:B1444&lt;&gt;""""),COUNTA(FILTER(B$1:B1444, B$1:B1444&lt;&gt;""""))))-1), IF('To Order'!$A1445=COL"&amp;"UMNS($A1445:B1464), B1444&amp;RIGHT(INDIRECT(ADDRESS(ROW(B1445)-1, 'From Order'!$A1445)), 1), B1444))"),"R")</f>
        <v>R</v>
      </c>
      <c r="C1445" s="2" t="str">
        <f>IFERROR(__xludf.DUMMYFUNCTION("IF('From Order'!$A1445=COLUMNS($A1445:C1464), LEFT(INDEX(FILTER(C$1:C1444, C$1:C1444&lt;&gt;""""),COUNTA(FILTER(C$1:C1444, C$1:C1444&lt;&gt;""""))), LEN(INDEX(FILTER(C$1:C1444, C$1:C1444&lt;&gt;""""),COUNTA(FILTER(C$1:C1444, C$1:C1444&lt;&gt;""""))))-1), IF('To Order'!$A1445=COL"&amp;"UMNS($A1445:C1464), C1444&amp;RIGHT(INDIRECT(ADDRESS(ROW(C1445)-1, 'From Order'!$A1445)), 1), C1444))"),"TQVQJPPLDTMZH")</f>
        <v>TQVQJPPLDTMZH</v>
      </c>
      <c r="D1445" s="2" t="str">
        <f>IFERROR(__xludf.DUMMYFUNCTION("IF('From Order'!$A1445=COLUMNS($A1445:D1464), LEFT(INDEX(FILTER(D$1:D1444, D$1:D1444&lt;&gt;""""),COUNTA(FILTER(D$1:D1444, D$1:D1444&lt;&gt;""""))), LEN(INDEX(FILTER(D$1:D1444, D$1:D1444&lt;&gt;""""),COUNTA(FILTER(D$1:D1444, D$1:D1444&lt;&gt;""""))))-1), IF('To Order'!$A1445=COL"&amp;"UMNS($A1445:D1464), D1444&amp;RIGHT(INDIRECT(ADDRESS(ROW(D1445)-1, 'From Order'!$A1445)), 1), D1444))"),"CRCDR")</f>
        <v>CRCDR</v>
      </c>
      <c r="E1445" s="2" t="str">
        <f>IFERROR(__xludf.DUMMYFUNCTION("IF('From Order'!$A1445=COLUMNS($A1445:E1464), LEFT(INDEX(FILTER(E$1:E1444, E$1:E1444&lt;&gt;""""),COUNTA(FILTER(E$1:E1444, E$1:E1444&lt;&gt;""""))), LEN(INDEX(FILTER(E$1:E1444, E$1:E1444&lt;&gt;""""),COUNTA(FILTER(E$1:E1444, E$1:E1444&lt;&gt;""""))))-1), IF('To Order'!$A1445=COL"&amp;"UMNS($A1445:E1464), E1444&amp;RIGHT(INDIRECT(ADDRESS(ROW(E1445)-1, 'From Order'!$A1445)), 1), E1444))"),"HGSTDDLWPBF")</f>
        <v>HGSTDDLWPBF</v>
      </c>
      <c r="F1445" s="2" t="str">
        <f>IFERROR(__xludf.DUMMYFUNCTION("IF('From Order'!$A1445=COLUMNS($A1445:F1464), LEFT(INDEX(FILTER(F$1:F1444, F$1:F1444&lt;&gt;""""),COUNTA(FILTER(F$1:F1444, F$1:F1444&lt;&gt;""""))), LEN(INDEX(FILTER(F$1:F1444, F$1:F1444&lt;&gt;""""),COUNTA(FILTER(F$1:F1444, F$1:F1444&lt;&gt;""""))))-1), IF('To Order'!$A1445=COL"&amp;"UMNS($A1445:F1464), F1444&amp;RIGHT(INDIRECT(ADDRESS(ROW(F1445)-1, 'From Order'!$A1445)), 1), F1444))"),"ZRLBSTVFSCZGBSDJDM")</f>
        <v>ZRLBSTVFSCZGBSDJDM</v>
      </c>
      <c r="G1445" s="2" t="str">
        <f>IFERROR(__xludf.DUMMYFUNCTION("IF('From Order'!$A1445=COLUMNS($A1445:G1464), LEFT(INDEX(FILTER(G$1:G1444, G$1:G1444&lt;&gt;""""),COUNTA(FILTER(G$1:G1444, G$1:G1444&lt;&gt;""""))), LEN(INDEX(FILTER(G$1:G1444, G$1:G1444&lt;&gt;""""),COUNTA(FILTER(G$1:G1444, G$1:G1444&lt;&gt;""""))))-1), IF('To Order'!$A1445=COL"&amp;"UMNS($A1445:G1464), G1444&amp;RIGHT(INDIRECT(ADDRESS(ROW(G1445)-1, 'From Order'!$A1445)), 1), G1444))"),"WRMBVTTJ")</f>
        <v>WRMBVTTJ</v>
      </c>
      <c r="H1445" s="2" t="str">
        <f>IFERROR(__xludf.DUMMYFUNCTION("IF('From Order'!$A1445=COLUMNS($A1445:H1464), LEFT(INDEX(FILTER(H$1:H1444, H$1:H1444&lt;&gt;""""),COUNTA(FILTER(H$1:H1444, H$1:H1444&lt;&gt;""""))), LEN(INDEX(FILTER(H$1:H1444, H$1:H1444&lt;&gt;""""),COUNTA(FILTER(H$1:H1444, H$1:H1444&lt;&gt;""""))))-1), IF('To Order'!$A1445=COL"&amp;"UMNS($A1445:H1464), H1444&amp;RIGHT(INDIRECT(ADDRESS(ROW(H1445)-1, 'From Order'!$A1445)), 1), H1444))"),"")</f>
        <v/>
      </c>
      <c r="I1445" s="2" t="str">
        <f>IFERROR(__xludf.DUMMYFUNCTION("IF('From Order'!$A1445=COLUMNS($A1445:I1464), LEFT(INDEX(FILTER(I$1:I1444, I$1:I1444&lt;&gt;""""),COUNTA(FILTER(I$1:I1444, I$1:I1444&lt;&gt;""""))), LEN(INDEX(FILTER(I$1:I1444, I$1:I1444&lt;&gt;""""),COUNTA(FILTER(I$1:I1444, I$1:I1444&lt;&gt;""""))))-1), IF('To Order'!$A1445=COL"&amp;"UMNS($A1445:I1464), I1444&amp;RIGHT(INDIRECT(ADDRESS(ROW(I1445)-1, 'From Order'!$A1445)), 1), I1444))"),"")</f>
        <v/>
      </c>
    </row>
    <row r="1446">
      <c r="A1446" s="2" t="str">
        <f>IFERROR(__xludf.DUMMYFUNCTION("IF('From Order'!$A1446=COLUMNS($A1446:A1465), LEFT(INDEX(FILTER(A$1:A1445, A$1:A1445&lt;&gt;""""),COUNTA(FILTER(A$1:A1445, A$1:A1445&lt;&gt;""""))), LEN(INDEX(FILTER(A$1:A1445, A$1:A1445&lt;&gt;""""),COUNTA(FILTER(A$1:A1445, A$1:A1445&lt;&gt;""""))))-1), IF('To Order'!$A1446=COL"&amp;"UMNS($A1446:A1465), A1445&amp;RIGHT(INDIRECT(ADDRESS(ROW(A1446)-1, 'From Order'!$A1446)), 1), A1445))"),"")</f>
        <v/>
      </c>
      <c r="B1446" s="2" t="str">
        <f>IFERROR(__xludf.DUMMYFUNCTION("IF('From Order'!$A1446=COLUMNS($A1446:B1465), LEFT(INDEX(FILTER(B$1:B1445, B$1:B1445&lt;&gt;""""),COUNTA(FILTER(B$1:B1445, B$1:B1445&lt;&gt;""""))), LEN(INDEX(FILTER(B$1:B1445, B$1:B1445&lt;&gt;""""),COUNTA(FILTER(B$1:B1445, B$1:B1445&lt;&gt;""""))))-1), IF('To Order'!$A1446=COL"&amp;"UMNS($A1446:B1465), B1445&amp;RIGHT(INDIRECT(ADDRESS(ROW(B1446)-1, 'From Order'!$A1446)), 1), B1445))"),"R")</f>
        <v>R</v>
      </c>
      <c r="C1446" s="2" t="str">
        <f>IFERROR(__xludf.DUMMYFUNCTION("IF('From Order'!$A1446=COLUMNS($A1446:C1465), LEFT(INDEX(FILTER(C$1:C1445, C$1:C1445&lt;&gt;""""),COUNTA(FILTER(C$1:C1445, C$1:C1445&lt;&gt;""""))), LEN(INDEX(FILTER(C$1:C1445, C$1:C1445&lt;&gt;""""),COUNTA(FILTER(C$1:C1445, C$1:C1445&lt;&gt;""""))))-1), IF('To Order'!$A1446=COL"&amp;"UMNS($A1446:C1465), C1445&amp;RIGHT(INDIRECT(ADDRESS(ROW(C1446)-1, 'From Order'!$A1446)), 1), C1445))"),"TQVQJPPLDTMZHR")</f>
        <v>TQVQJPPLDTMZHR</v>
      </c>
      <c r="D1446" s="2" t="str">
        <f>IFERROR(__xludf.DUMMYFUNCTION("IF('From Order'!$A1446=COLUMNS($A1446:D1465), LEFT(INDEX(FILTER(D$1:D1445, D$1:D1445&lt;&gt;""""),COUNTA(FILTER(D$1:D1445, D$1:D1445&lt;&gt;""""))), LEN(INDEX(FILTER(D$1:D1445, D$1:D1445&lt;&gt;""""),COUNTA(FILTER(D$1:D1445, D$1:D1445&lt;&gt;""""))))-1), IF('To Order'!$A1446=COL"&amp;"UMNS($A1446:D1465), D1445&amp;RIGHT(INDIRECT(ADDRESS(ROW(D1446)-1, 'From Order'!$A1446)), 1), D1445))"),"CRCD")</f>
        <v>CRCD</v>
      </c>
      <c r="E1446" s="2" t="str">
        <f>IFERROR(__xludf.DUMMYFUNCTION("IF('From Order'!$A1446=COLUMNS($A1446:E1465), LEFT(INDEX(FILTER(E$1:E1445, E$1:E1445&lt;&gt;""""),COUNTA(FILTER(E$1:E1445, E$1:E1445&lt;&gt;""""))), LEN(INDEX(FILTER(E$1:E1445, E$1:E1445&lt;&gt;""""),COUNTA(FILTER(E$1:E1445, E$1:E1445&lt;&gt;""""))))-1), IF('To Order'!$A1446=COL"&amp;"UMNS($A1446:E1465), E1445&amp;RIGHT(INDIRECT(ADDRESS(ROW(E1446)-1, 'From Order'!$A1446)), 1), E1445))"),"HGSTDDLWPBF")</f>
        <v>HGSTDDLWPBF</v>
      </c>
      <c r="F1446" s="2" t="str">
        <f>IFERROR(__xludf.DUMMYFUNCTION("IF('From Order'!$A1446=COLUMNS($A1446:F1465), LEFT(INDEX(FILTER(F$1:F1445, F$1:F1445&lt;&gt;""""),COUNTA(FILTER(F$1:F1445, F$1:F1445&lt;&gt;""""))), LEN(INDEX(FILTER(F$1:F1445, F$1:F1445&lt;&gt;""""),COUNTA(FILTER(F$1:F1445, F$1:F1445&lt;&gt;""""))))-1), IF('To Order'!$A1446=COL"&amp;"UMNS($A1446:F1465), F1445&amp;RIGHT(INDIRECT(ADDRESS(ROW(F1446)-1, 'From Order'!$A1446)), 1), F1445))"),"ZRLBSTVFSCZGBSDJDM")</f>
        <v>ZRLBSTVFSCZGBSDJDM</v>
      </c>
      <c r="G1446" s="2" t="str">
        <f>IFERROR(__xludf.DUMMYFUNCTION("IF('From Order'!$A1446=COLUMNS($A1446:G1465), LEFT(INDEX(FILTER(G$1:G1445, G$1:G1445&lt;&gt;""""),COUNTA(FILTER(G$1:G1445, G$1:G1445&lt;&gt;""""))), LEN(INDEX(FILTER(G$1:G1445, G$1:G1445&lt;&gt;""""),COUNTA(FILTER(G$1:G1445, G$1:G1445&lt;&gt;""""))))-1), IF('To Order'!$A1446=COL"&amp;"UMNS($A1446:G1465), G1445&amp;RIGHT(INDIRECT(ADDRESS(ROW(G1446)-1, 'From Order'!$A1446)), 1), G1445))"),"WRMBVTTJ")</f>
        <v>WRMBVTTJ</v>
      </c>
      <c r="H1446" s="2" t="str">
        <f>IFERROR(__xludf.DUMMYFUNCTION("IF('From Order'!$A1446=COLUMNS($A1446:H1465), LEFT(INDEX(FILTER(H$1:H1445, H$1:H1445&lt;&gt;""""),COUNTA(FILTER(H$1:H1445, H$1:H1445&lt;&gt;""""))), LEN(INDEX(FILTER(H$1:H1445, H$1:H1445&lt;&gt;""""),COUNTA(FILTER(H$1:H1445, H$1:H1445&lt;&gt;""""))))-1), IF('To Order'!$A1446=COL"&amp;"UMNS($A1446:H1465), H1445&amp;RIGHT(INDIRECT(ADDRESS(ROW(H1446)-1, 'From Order'!$A1446)), 1), H1445))"),"")</f>
        <v/>
      </c>
      <c r="I1446" s="2" t="str">
        <f>IFERROR(__xludf.DUMMYFUNCTION("IF('From Order'!$A1446=COLUMNS($A1446:I1465), LEFT(INDEX(FILTER(I$1:I1445, I$1:I1445&lt;&gt;""""),COUNTA(FILTER(I$1:I1445, I$1:I1445&lt;&gt;""""))), LEN(INDEX(FILTER(I$1:I1445, I$1:I1445&lt;&gt;""""),COUNTA(FILTER(I$1:I1445, I$1:I1445&lt;&gt;""""))))-1), IF('To Order'!$A1446=COL"&amp;"UMNS($A1446:I1465), I1445&amp;RIGHT(INDIRECT(ADDRESS(ROW(I1446)-1, 'From Order'!$A1446)), 1), I1445))"),"")</f>
        <v/>
      </c>
    </row>
    <row r="1447">
      <c r="A1447" s="2" t="str">
        <f>IFERROR(__xludf.DUMMYFUNCTION("IF('From Order'!$A1447=COLUMNS($A1447:A1466), LEFT(INDEX(FILTER(A$1:A1446, A$1:A1446&lt;&gt;""""),COUNTA(FILTER(A$1:A1446, A$1:A1446&lt;&gt;""""))), LEN(INDEX(FILTER(A$1:A1446, A$1:A1446&lt;&gt;""""),COUNTA(FILTER(A$1:A1446, A$1:A1446&lt;&gt;""""))))-1), IF('To Order'!$A1447=COL"&amp;"UMNS($A1447:A1466), A1446&amp;RIGHT(INDIRECT(ADDRESS(ROW(A1447)-1, 'From Order'!$A1447)), 1), A1446))"),"")</f>
        <v/>
      </c>
      <c r="B1447" s="2" t="str">
        <f>IFERROR(__xludf.DUMMYFUNCTION("IF('From Order'!$A1447=COLUMNS($A1447:B1466), LEFT(INDEX(FILTER(B$1:B1446, B$1:B1446&lt;&gt;""""),COUNTA(FILTER(B$1:B1446, B$1:B1446&lt;&gt;""""))), LEN(INDEX(FILTER(B$1:B1446, B$1:B1446&lt;&gt;""""),COUNTA(FILTER(B$1:B1446, B$1:B1446&lt;&gt;""""))))-1), IF('To Order'!$A1447=COL"&amp;"UMNS($A1447:B1466), B1446&amp;RIGHT(INDIRECT(ADDRESS(ROW(B1447)-1, 'From Order'!$A1447)), 1), B1446))"),"R")</f>
        <v>R</v>
      </c>
      <c r="C1447" s="2" t="str">
        <f>IFERROR(__xludf.DUMMYFUNCTION("IF('From Order'!$A1447=COLUMNS($A1447:C1466), LEFT(INDEX(FILTER(C$1:C1446, C$1:C1446&lt;&gt;""""),COUNTA(FILTER(C$1:C1446, C$1:C1446&lt;&gt;""""))), LEN(INDEX(FILTER(C$1:C1446, C$1:C1446&lt;&gt;""""),COUNTA(FILTER(C$1:C1446, C$1:C1446&lt;&gt;""""))))-1), IF('To Order'!$A1447=COL"&amp;"UMNS($A1447:C1466), C1446&amp;RIGHT(INDIRECT(ADDRESS(ROW(C1447)-1, 'From Order'!$A1447)), 1), C1446))"),"TQVQJPPLDTMZHRD")</f>
        <v>TQVQJPPLDTMZHRD</v>
      </c>
      <c r="D1447" s="2" t="str">
        <f>IFERROR(__xludf.DUMMYFUNCTION("IF('From Order'!$A1447=COLUMNS($A1447:D1466), LEFT(INDEX(FILTER(D$1:D1446, D$1:D1446&lt;&gt;""""),COUNTA(FILTER(D$1:D1446, D$1:D1446&lt;&gt;""""))), LEN(INDEX(FILTER(D$1:D1446, D$1:D1446&lt;&gt;""""),COUNTA(FILTER(D$1:D1446, D$1:D1446&lt;&gt;""""))))-1), IF('To Order'!$A1447=COL"&amp;"UMNS($A1447:D1466), D1446&amp;RIGHT(INDIRECT(ADDRESS(ROW(D1447)-1, 'From Order'!$A1447)), 1), D1446))"),"CRC")</f>
        <v>CRC</v>
      </c>
      <c r="E1447" s="2" t="str">
        <f>IFERROR(__xludf.DUMMYFUNCTION("IF('From Order'!$A1447=COLUMNS($A1447:E1466), LEFT(INDEX(FILTER(E$1:E1446, E$1:E1446&lt;&gt;""""),COUNTA(FILTER(E$1:E1446, E$1:E1446&lt;&gt;""""))), LEN(INDEX(FILTER(E$1:E1446, E$1:E1446&lt;&gt;""""),COUNTA(FILTER(E$1:E1446, E$1:E1446&lt;&gt;""""))))-1), IF('To Order'!$A1447=COL"&amp;"UMNS($A1447:E1466), E1446&amp;RIGHT(INDIRECT(ADDRESS(ROW(E1447)-1, 'From Order'!$A1447)), 1), E1446))"),"HGSTDDLWPBF")</f>
        <v>HGSTDDLWPBF</v>
      </c>
      <c r="F1447" s="2" t="str">
        <f>IFERROR(__xludf.DUMMYFUNCTION("IF('From Order'!$A1447=COLUMNS($A1447:F1466), LEFT(INDEX(FILTER(F$1:F1446, F$1:F1446&lt;&gt;""""),COUNTA(FILTER(F$1:F1446, F$1:F1446&lt;&gt;""""))), LEN(INDEX(FILTER(F$1:F1446, F$1:F1446&lt;&gt;""""),COUNTA(FILTER(F$1:F1446, F$1:F1446&lt;&gt;""""))))-1), IF('To Order'!$A1447=COL"&amp;"UMNS($A1447:F1466), F1446&amp;RIGHT(INDIRECT(ADDRESS(ROW(F1447)-1, 'From Order'!$A1447)), 1), F1446))"),"ZRLBSTVFSCZGBSDJDM")</f>
        <v>ZRLBSTVFSCZGBSDJDM</v>
      </c>
      <c r="G1447" s="2" t="str">
        <f>IFERROR(__xludf.DUMMYFUNCTION("IF('From Order'!$A1447=COLUMNS($A1447:G1466), LEFT(INDEX(FILTER(G$1:G1446, G$1:G1446&lt;&gt;""""),COUNTA(FILTER(G$1:G1446, G$1:G1446&lt;&gt;""""))), LEN(INDEX(FILTER(G$1:G1446, G$1:G1446&lt;&gt;""""),COUNTA(FILTER(G$1:G1446, G$1:G1446&lt;&gt;""""))))-1), IF('To Order'!$A1447=COL"&amp;"UMNS($A1447:G1466), G1446&amp;RIGHT(INDIRECT(ADDRESS(ROW(G1447)-1, 'From Order'!$A1447)), 1), G1446))"),"WRMBVTTJ")</f>
        <v>WRMBVTTJ</v>
      </c>
      <c r="H1447" s="2" t="str">
        <f>IFERROR(__xludf.DUMMYFUNCTION("IF('From Order'!$A1447=COLUMNS($A1447:H1466), LEFT(INDEX(FILTER(H$1:H1446, H$1:H1446&lt;&gt;""""),COUNTA(FILTER(H$1:H1446, H$1:H1446&lt;&gt;""""))), LEN(INDEX(FILTER(H$1:H1446, H$1:H1446&lt;&gt;""""),COUNTA(FILTER(H$1:H1446, H$1:H1446&lt;&gt;""""))))-1), IF('To Order'!$A1447=COL"&amp;"UMNS($A1447:H1466), H1446&amp;RIGHT(INDIRECT(ADDRESS(ROW(H1447)-1, 'From Order'!$A1447)), 1), H1446))"),"")</f>
        <v/>
      </c>
      <c r="I1447" s="2" t="str">
        <f>IFERROR(__xludf.DUMMYFUNCTION("IF('From Order'!$A1447=COLUMNS($A1447:I1466), LEFT(INDEX(FILTER(I$1:I1446, I$1:I1446&lt;&gt;""""),COUNTA(FILTER(I$1:I1446, I$1:I1446&lt;&gt;""""))), LEN(INDEX(FILTER(I$1:I1446, I$1:I1446&lt;&gt;""""),COUNTA(FILTER(I$1:I1446, I$1:I1446&lt;&gt;""""))))-1), IF('To Order'!$A1447=COL"&amp;"UMNS($A1447:I1466), I1446&amp;RIGHT(INDIRECT(ADDRESS(ROW(I1447)-1, 'From Order'!$A1447)), 1), I1446))"),"")</f>
        <v/>
      </c>
    </row>
    <row r="1448">
      <c r="A1448" s="2" t="str">
        <f>IFERROR(__xludf.DUMMYFUNCTION("IF('From Order'!$A1448=COLUMNS($A1448:A1467), LEFT(INDEX(FILTER(A$1:A1447, A$1:A1447&lt;&gt;""""),COUNTA(FILTER(A$1:A1447, A$1:A1447&lt;&gt;""""))), LEN(INDEX(FILTER(A$1:A1447, A$1:A1447&lt;&gt;""""),COUNTA(FILTER(A$1:A1447, A$1:A1447&lt;&gt;""""))))-1), IF('To Order'!$A1448=COL"&amp;"UMNS($A1448:A1467), A1447&amp;RIGHT(INDIRECT(ADDRESS(ROW(A1448)-1, 'From Order'!$A1448)), 1), A1447))"),"")</f>
        <v/>
      </c>
      <c r="B1448" s="2" t="str">
        <f>IFERROR(__xludf.DUMMYFUNCTION("IF('From Order'!$A1448=COLUMNS($A1448:B1467), LEFT(INDEX(FILTER(B$1:B1447, B$1:B1447&lt;&gt;""""),COUNTA(FILTER(B$1:B1447, B$1:B1447&lt;&gt;""""))), LEN(INDEX(FILTER(B$1:B1447, B$1:B1447&lt;&gt;""""),COUNTA(FILTER(B$1:B1447, B$1:B1447&lt;&gt;""""))))-1), IF('To Order'!$A1448=COL"&amp;"UMNS($A1448:B1467), B1447&amp;RIGHT(INDIRECT(ADDRESS(ROW(B1448)-1, 'From Order'!$A1448)), 1), B1447))"),"R")</f>
        <v>R</v>
      </c>
      <c r="C1448" s="2" t="str">
        <f>IFERROR(__xludf.DUMMYFUNCTION("IF('From Order'!$A1448=COLUMNS($A1448:C1467), LEFT(INDEX(FILTER(C$1:C1447, C$1:C1447&lt;&gt;""""),COUNTA(FILTER(C$1:C1447, C$1:C1447&lt;&gt;""""))), LEN(INDEX(FILTER(C$1:C1447, C$1:C1447&lt;&gt;""""),COUNTA(FILTER(C$1:C1447, C$1:C1447&lt;&gt;""""))))-1), IF('To Order'!$A1448=COL"&amp;"UMNS($A1448:C1467), C1447&amp;RIGHT(INDIRECT(ADDRESS(ROW(C1448)-1, 'From Order'!$A1448)), 1), C1447))"),"TQVQJPPLDTMZHRDC")</f>
        <v>TQVQJPPLDTMZHRDC</v>
      </c>
      <c r="D1448" s="2" t="str">
        <f>IFERROR(__xludf.DUMMYFUNCTION("IF('From Order'!$A1448=COLUMNS($A1448:D1467), LEFT(INDEX(FILTER(D$1:D1447, D$1:D1447&lt;&gt;""""),COUNTA(FILTER(D$1:D1447, D$1:D1447&lt;&gt;""""))), LEN(INDEX(FILTER(D$1:D1447, D$1:D1447&lt;&gt;""""),COUNTA(FILTER(D$1:D1447, D$1:D1447&lt;&gt;""""))))-1), IF('To Order'!$A1448=COL"&amp;"UMNS($A1448:D1467), D1447&amp;RIGHT(INDIRECT(ADDRESS(ROW(D1448)-1, 'From Order'!$A1448)), 1), D1447))"),"CR")</f>
        <v>CR</v>
      </c>
      <c r="E1448" s="2" t="str">
        <f>IFERROR(__xludf.DUMMYFUNCTION("IF('From Order'!$A1448=COLUMNS($A1448:E1467), LEFT(INDEX(FILTER(E$1:E1447, E$1:E1447&lt;&gt;""""),COUNTA(FILTER(E$1:E1447, E$1:E1447&lt;&gt;""""))), LEN(INDEX(FILTER(E$1:E1447, E$1:E1447&lt;&gt;""""),COUNTA(FILTER(E$1:E1447, E$1:E1447&lt;&gt;""""))))-1), IF('To Order'!$A1448=COL"&amp;"UMNS($A1448:E1467), E1447&amp;RIGHT(INDIRECT(ADDRESS(ROW(E1448)-1, 'From Order'!$A1448)), 1), E1447))"),"HGSTDDLWPBF")</f>
        <v>HGSTDDLWPBF</v>
      </c>
      <c r="F1448" s="2" t="str">
        <f>IFERROR(__xludf.DUMMYFUNCTION("IF('From Order'!$A1448=COLUMNS($A1448:F1467), LEFT(INDEX(FILTER(F$1:F1447, F$1:F1447&lt;&gt;""""),COUNTA(FILTER(F$1:F1447, F$1:F1447&lt;&gt;""""))), LEN(INDEX(FILTER(F$1:F1447, F$1:F1447&lt;&gt;""""),COUNTA(FILTER(F$1:F1447, F$1:F1447&lt;&gt;""""))))-1), IF('To Order'!$A1448=COL"&amp;"UMNS($A1448:F1467), F1447&amp;RIGHT(INDIRECT(ADDRESS(ROW(F1448)-1, 'From Order'!$A1448)), 1), F1447))"),"ZRLBSTVFSCZGBSDJDM")</f>
        <v>ZRLBSTVFSCZGBSDJDM</v>
      </c>
      <c r="G1448" s="2" t="str">
        <f>IFERROR(__xludf.DUMMYFUNCTION("IF('From Order'!$A1448=COLUMNS($A1448:G1467), LEFT(INDEX(FILTER(G$1:G1447, G$1:G1447&lt;&gt;""""),COUNTA(FILTER(G$1:G1447, G$1:G1447&lt;&gt;""""))), LEN(INDEX(FILTER(G$1:G1447, G$1:G1447&lt;&gt;""""),COUNTA(FILTER(G$1:G1447, G$1:G1447&lt;&gt;""""))))-1), IF('To Order'!$A1448=COL"&amp;"UMNS($A1448:G1467), G1447&amp;RIGHT(INDIRECT(ADDRESS(ROW(G1448)-1, 'From Order'!$A1448)), 1), G1447))"),"WRMBVTTJ")</f>
        <v>WRMBVTTJ</v>
      </c>
      <c r="H1448" s="2" t="str">
        <f>IFERROR(__xludf.DUMMYFUNCTION("IF('From Order'!$A1448=COLUMNS($A1448:H1467), LEFT(INDEX(FILTER(H$1:H1447, H$1:H1447&lt;&gt;""""),COUNTA(FILTER(H$1:H1447, H$1:H1447&lt;&gt;""""))), LEN(INDEX(FILTER(H$1:H1447, H$1:H1447&lt;&gt;""""),COUNTA(FILTER(H$1:H1447, H$1:H1447&lt;&gt;""""))))-1), IF('To Order'!$A1448=COL"&amp;"UMNS($A1448:H1467), H1447&amp;RIGHT(INDIRECT(ADDRESS(ROW(H1448)-1, 'From Order'!$A1448)), 1), H1447))"),"")</f>
        <v/>
      </c>
      <c r="I1448" s="2" t="str">
        <f>IFERROR(__xludf.DUMMYFUNCTION("IF('From Order'!$A1448=COLUMNS($A1448:I1467), LEFT(INDEX(FILTER(I$1:I1447, I$1:I1447&lt;&gt;""""),COUNTA(FILTER(I$1:I1447, I$1:I1447&lt;&gt;""""))), LEN(INDEX(FILTER(I$1:I1447, I$1:I1447&lt;&gt;""""),COUNTA(FILTER(I$1:I1447, I$1:I1447&lt;&gt;""""))))-1), IF('To Order'!$A1448=COL"&amp;"UMNS($A1448:I1467), I1447&amp;RIGHT(INDIRECT(ADDRESS(ROW(I1448)-1, 'From Order'!$A1448)), 1), I1447))"),"")</f>
        <v/>
      </c>
    </row>
    <row r="1449">
      <c r="A1449" s="2" t="str">
        <f>IFERROR(__xludf.DUMMYFUNCTION("IF('From Order'!$A1449=COLUMNS($A1449:A1468), LEFT(INDEX(FILTER(A$1:A1448, A$1:A1448&lt;&gt;""""),COUNTA(FILTER(A$1:A1448, A$1:A1448&lt;&gt;""""))), LEN(INDEX(FILTER(A$1:A1448, A$1:A1448&lt;&gt;""""),COUNTA(FILTER(A$1:A1448, A$1:A1448&lt;&gt;""""))))-1), IF('To Order'!$A1449=COL"&amp;"UMNS($A1449:A1468), A1448&amp;RIGHT(INDIRECT(ADDRESS(ROW(A1449)-1, 'From Order'!$A1449)), 1), A1448))"),"")</f>
        <v/>
      </c>
      <c r="B1449" s="2" t="str">
        <f>IFERROR(__xludf.DUMMYFUNCTION("IF('From Order'!$A1449=COLUMNS($A1449:B1468), LEFT(INDEX(FILTER(B$1:B1448, B$1:B1448&lt;&gt;""""),COUNTA(FILTER(B$1:B1448, B$1:B1448&lt;&gt;""""))), LEN(INDEX(FILTER(B$1:B1448, B$1:B1448&lt;&gt;""""),COUNTA(FILTER(B$1:B1448, B$1:B1448&lt;&gt;""""))))-1), IF('To Order'!$A1449=COL"&amp;"UMNS($A1449:B1468), B1448&amp;RIGHT(INDIRECT(ADDRESS(ROW(B1449)-1, 'From Order'!$A1449)), 1), B1448))"),"R")</f>
        <v>R</v>
      </c>
      <c r="C1449" s="2" t="str">
        <f>IFERROR(__xludf.DUMMYFUNCTION("IF('From Order'!$A1449=COLUMNS($A1449:C1468), LEFT(INDEX(FILTER(C$1:C1448, C$1:C1448&lt;&gt;""""),COUNTA(FILTER(C$1:C1448, C$1:C1448&lt;&gt;""""))), LEN(INDEX(FILTER(C$1:C1448, C$1:C1448&lt;&gt;""""),COUNTA(FILTER(C$1:C1448, C$1:C1448&lt;&gt;""""))))-1), IF('To Order'!$A1449=COL"&amp;"UMNS($A1449:C1468), C1448&amp;RIGHT(INDIRECT(ADDRESS(ROW(C1449)-1, 'From Order'!$A1449)), 1), C1448))"),"TQVQJPPLDTMZHRDC")</f>
        <v>TQVQJPPLDTMZHRDC</v>
      </c>
      <c r="D1449" s="2" t="str">
        <f>IFERROR(__xludf.DUMMYFUNCTION("IF('From Order'!$A1449=COLUMNS($A1449:D1468), LEFT(INDEX(FILTER(D$1:D1448, D$1:D1448&lt;&gt;""""),COUNTA(FILTER(D$1:D1448, D$1:D1448&lt;&gt;""""))), LEN(INDEX(FILTER(D$1:D1448, D$1:D1448&lt;&gt;""""),COUNTA(FILTER(D$1:D1448, D$1:D1448&lt;&gt;""""))))-1), IF('To Order'!$A1449=COL"&amp;"UMNS($A1449:D1468), D1448&amp;RIGHT(INDIRECT(ADDRESS(ROW(D1449)-1, 'From Order'!$A1449)), 1), D1448))"),"CR")</f>
        <v>CR</v>
      </c>
      <c r="E1449" s="2" t="str">
        <f>IFERROR(__xludf.DUMMYFUNCTION("IF('From Order'!$A1449=COLUMNS($A1449:E1468), LEFT(INDEX(FILTER(E$1:E1448, E$1:E1448&lt;&gt;""""),COUNTA(FILTER(E$1:E1448, E$1:E1448&lt;&gt;""""))), LEN(INDEX(FILTER(E$1:E1448, E$1:E1448&lt;&gt;""""),COUNTA(FILTER(E$1:E1448, E$1:E1448&lt;&gt;""""))))-1), IF('To Order'!$A1449=COL"&amp;"UMNS($A1449:E1468), E1448&amp;RIGHT(INDIRECT(ADDRESS(ROW(E1449)-1, 'From Order'!$A1449)), 1), E1448))"),"HGSTDDLWPB")</f>
        <v>HGSTDDLWPB</v>
      </c>
      <c r="F1449" s="2" t="str">
        <f>IFERROR(__xludf.DUMMYFUNCTION("IF('From Order'!$A1449=COLUMNS($A1449:F1468), LEFT(INDEX(FILTER(F$1:F1448, F$1:F1448&lt;&gt;""""),COUNTA(FILTER(F$1:F1448, F$1:F1448&lt;&gt;""""))), LEN(INDEX(FILTER(F$1:F1448, F$1:F1448&lt;&gt;""""),COUNTA(FILTER(F$1:F1448, F$1:F1448&lt;&gt;""""))))-1), IF('To Order'!$A1449=COL"&amp;"UMNS($A1449:F1468), F1448&amp;RIGHT(INDIRECT(ADDRESS(ROW(F1449)-1, 'From Order'!$A1449)), 1), F1448))"),"ZRLBSTVFSCZGBSDJDM")</f>
        <v>ZRLBSTVFSCZGBSDJDM</v>
      </c>
      <c r="G1449" s="2" t="str">
        <f>IFERROR(__xludf.DUMMYFUNCTION("IF('From Order'!$A1449=COLUMNS($A1449:G1468), LEFT(INDEX(FILTER(G$1:G1448, G$1:G1448&lt;&gt;""""),COUNTA(FILTER(G$1:G1448, G$1:G1448&lt;&gt;""""))), LEN(INDEX(FILTER(G$1:G1448, G$1:G1448&lt;&gt;""""),COUNTA(FILTER(G$1:G1448, G$1:G1448&lt;&gt;""""))))-1), IF('To Order'!$A1449=COL"&amp;"UMNS($A1449:G1468), G1448&amp;RIGHT(INDIRECT(ADDRESS(ROW(G1449)-1, 'From Order'!$A1449)), 1), G1448))"),"WRMBVTTJ")</f>
        <v>WRMBVTTJ</v>
      </c>
      <c r="H1449" s="2" t="str">
        <f>IFERROR(__xludf.DUMMYFUNCTION("IF('From Order'!$A1449=COLUMNS($A1449:H1468), LEFT(INDEX(FILTER(H$1:H1448, H$1:H1448&lt;&gt;""""),COUNTA(FILTER(H$1:H1448, H$1:H1448&lt;&gt;""""))), LEN(INDEX(FILTER(H$1:H1448, H$1:H1448&lt;&gt;""""),COUNTA(FILTER(H$1:H1448, H$1:H1448&lt;&gt;""""))))-1), IF('To Order'!$A1449=COL"&amp;"UMNS($A1449:H1468), H1448&amp;RIGHT(INDIRECT(ADDRESS(ROW(H1449)-1, 'From Order'!$A1449)), 1), H1448))"),"F")</f>
        <v>F</v>
      </c>
      <c r="I1449" s="2" t="str">
        <f>IFERROR(__xludf.DUMMYFUNCTION("IF('From Order'!$A1449=COLUMNS($A1449:I1468), LEFT(INDEX(FILTER(I$1:I1448, I$1:I1448&lt;&gt;""""),COUNTA(FILTER(I$1:I1448, I$1:I1448&lt;&gt;""""))), LEN(INDEX(FILTER(I$1:I1448, I$1:I1448&lt;&gt;""""),COUNTA(FILTER(I$1:I1448, I$1:I1448&lt;&gt;""""))))-1), IF('To Order'!$A1449=COL"&amp;"UMNS($A1449:I1468), I1448&amp;RIGHT(INDIRECT(ADDRESS(ROW(I1449)-1, 'From Order'!$A1449)), 1), I1448))"),"")</f>
        <v/>
      </c>
    </row>
    <row r="1450">
      <c r="A1450" s="2" t="str">
        <f>IFERROR(__xludf.DUMMYFUNCTION("IF('From Order'!$A1450=COLUMNS($A1450:A1469), LEFT(INDEX(FILTER(A$1:A1449, A$1:A1449&lt;&gt;""""),COUNTA(FILTER(A$1:A1449, A$1:A1449&lt;&gt;""""))), LEN(INDEX(FILTER(A$1:A1449, A$1:A1449&lt;&gt;""""),COUNTA(FILTER(A$1:A1449, A$1:A1449&lt;&gt;""""))))-1), IF('To Order'!$A1450=COL"&amp;"UMNS($A1450:A1469), A1449&amp;RIGHT(INDIRECT(ADDRESS(ROW(A1450)-1, 'From Order'!$A1450)), 1), A1449))"),"")</f>
        <v/>
      </c>
      <c r="B1450" s="2" t="str">
        <f>IFERROR(__xludf.DUMMYFUNCTION("IF('From Order'!$A1450=COLUMNS($A1450:B1469), LEFT(INDEX(FILTER(B$1:B1449, B$1:B1449&lt;&gt;""""),COUNTA(FILTER(B$1:B1449, B$1:B1449&lt;&gt;""""))), LEN(INDEX(FILTER(B$1:B1449, B$1:B1449&lt;&gt;""""),COUNTA(FILTER(B$1:B1449, B$1:B1449&lt;&gt;""""))))-1), IF('To Order'!$A1450=COL"&amp;"UMNS($A1450:B1469), B1449&amp;RIGHT(INDIRECT(ADDRESS(ROW(B1450)-1, 'From Order'!$A1450)), 1), B1449))"),"R")</f>
        <v>R</v>
      </c>
      <c r="C1450" s="2" t="str">
        <f>IFERROR(__xludf.DUMMYFUNCTION("IF('From Order'!$A1450=COLUMNS($A1450:C1469), LEFT(INDEX(FILTER(C$1:C1449, C$1:C1449&lt;&gt;""""),COUNTA(FILTER(C$1:C1449, C$1:C1449&lt;&gt;""""))), LEN(INDEX(FILTER(C$1:C1449, C$1:C1449&lt;&gt;""""),COUNTA(FILTER(C$1:C1449, C$1:C1449&lt;&gt;""""))))-1), IF('To Order'!$A1450=COL"&amp;"UMNS($A1450:C1469), C1449&amp;RIGHT(INDIRECT(ADDRESS(ROW(C1450)-1, 'From Order'!$A1450)), 1), C1449))"),"TQVQJPPLDTMZHRDC")</f>
        <v>TQVQJPPLDTMZHRDC</v>
      </c>
      <c r="D1450" s="2" t="str">
        <f>IFERROR(__xludf.DUMMYFUNCTION("IF('From Order'!$A1450=COLUMNS($A1450:D1469), LEFT(INDEX(FILTER(D$1:D1449, D$1:D1449&lt;&gt;""""),COUNTA(FILTER(D$1:D1449, D$1:D1449&lt;&gt;""""))), LEN(INDEX(FILTER(D$1:D1449, D$1:D1449&lt;&gt;""""),COUNTA(FILTER(D$1:D1449, D$1:D1449&lt;&gt;""""))))-1), IF('To Order'!$A1450=COL"&amp;"UMNS($A1450:D1469), D1449&amp;RIGHT(INDIRECT(ADDRESS(ROW(D1450)-1, 'From Order'!$A1450)), 1), D1449))"),"CR")</f>
        <v>CR</v>
      </c>
      <c r="E1450" s="2" t="str">
        <f>IFERROR(__xludf.DUMMYFUNCTION("IF('From Order'!$A1450=COLUMNS($A1450:E1469), LEFT(INDEX(FILTER(E$1:E1449, E$1:E1449&lt;&gt;""""),COUNTA(FILTER(E$1:E1449, E$1:E1449&lt;&gt;""""))), LEN(INDEX(FILTER(E$1:E1449, E$1:E1449&lt;&gt;""""),COUNTA(FILTER(E$1:E1449, E$1:E1449&lt;&gt;""""))))-1), IF('To Order'!$A1450=COL"&amp;"UMNS($A1450:E1469), E1449&amp;RIGHT(INDIRECT(ADDRESS(ROW(E1450)-1, 'From Order'!$A1450)), 1), E1449))"),"HGSTDDLWP")</f>
        <v>HGSTDDLWP</v>
      </c>
      <c r="F1450" s="2" t="str">
        <f>IFERROR(__xludf.DUMMYFUNCTION("IF('From Order'!$A1450=COLUMNS($A1450:F1469), LEFT(INDEX(FILTER(F$1:F1449, F$1:F1449&lt;&gt;""""),COUNTA(FILTER(F$1:F1449, F$1:F1449&lt;&gt;""""))), LEN(INDEX(FILTER(F$1:F1449, F$1:F1449&lt;&gt;""""),COUNTA(FILTER(F$1:F1449, F$1:F1449&lt;&gt;""""))))-1), IF('To Order'!$A1450=COL"&amp;"UMNS($A1450:F1469), F1449&amp;RIGHT(INDIRECT(ADDRESS(ROW(F1450)-1, 'From Order'!$A1450)), 1), F1449))"),"ZRLBSTVFSCZGBSDJDM")</f>
        <v>ZRLBSTVFSCZGBSDJDM</v>
      </c>
      <c r="G1450" s="2" t="str">
        <f>IFERROR(__xludf.DUMMYFUNCTION("IF('From Order'!$A1450=COLUMNS($A1450:G1469), LEFT(INDEX(FILTER(G$1:G1449, G$1:G1449&lt;&gt;""""),COUNTA(FILTER(G$1:G1449, G$1:G1449&lt;&gt;""""))), LEN(INDEX(FILTER(G$1:G1449, G$1:G1449&lt;&gt;""""),COUNTA(FILTER(G$1:G1449, G$1:G1449&lt;&gt;""""))))-1), IF('To Order'!$A1450=COL"&amp;"UMNS($A1450:G1469), G1449&amp;RIGHT(INDIRECT(ADDRESS(ROW(G1450)-1, 'From Order'!$A1450)), 1), G1449))"),"WRMBVTTJ")</f>
        <v>WRMBVTTJ</v>
      </c>
      <c r="H1450" s="2" t="str">
        <f>IFERROR(__xludf.DUMMYFUNCTION("IF('From Order'!$A1450=COLUMNS($A1450:H1469), LEFT(INDEX(FILTER(H$1:H1449, H$1:H1449&lt;&gt;""""),COUNTA(FILTER(H$1:H1449, H$1:H1449&lt;&gt;""""))), LEN(INDEX(FILTER(H$1:H1449, H$1:H1449&lt;&gt;""""),COUNTA(FILTER(H$1:H1449, H$1:H1449&lt;&gt;""""))))-1), IF('To Order'!$A1450=COL"&amp;"UMNS($A1450:H1469), H1449&amp;RIGHT(INDIRECT(ADDRESS(ROW(H1450)-1, 'From Order'!$A1450)), 1), H1449))"),"FB")</f>
        <v>FB</v>
      </c>
      <c r="I1450" s="2" t="str">
        <f>IFERROR(__xludf.DUMMYFUNCTION("IF('From Order'!$A1450=COLUMNS($A1450:I1469), LEFT(INDEX(FILTER(I$1:I1449, I$1:I1449&lt;&gt;""""),COUNTA(FILTER(I$1:I1449, I$1:I1449&lt;&gt;""""))), LEN(INDEX(FILTER(I$1:I1449, I$1:I1449&lt;&gt;""""),COUNTA(FILTER(I$1:I1449, I$1:I1449&lt;&gt;""""))))-1), IF('To Order'!$A1450=COL"&amp;"UMNS($A1450:I1469), I1449&amp;RIGHT(INDIRECT(ADDRESS(ROW(I1450)-1, 'From Order'!$A1450)), 1), I1449))"),"")</f>
        <v/>
      </c>
    </row>
    <row r="1451">
      <c r="A1451" s="2" t="str">
        <f>IFERROR(__xludf.DUMMYFUNCTION("IF('From Order'!$A1451=COLUMNS($A1451:A1470), LEFT(INDEX(FILTER(A$1:A1450, A$1:A1450&lt;&gt;""""),COUNTA(FILTER(A$1:A1450, A$1:A1450&lt;&gt;""""))), LEN(INDEX(FILTER(A$1:A1450, A$1:A1450&lt;&gt;""""),COUNTA(FILTER(A$1:A1450, A$1:A1450&lt;&gt;""""))))-1), IF('To Order'!$A1451=COL"&amp;"UMNS($A1451:A1470), A1450&amp;RIGHT(INDIRECT(ADDRESS(ROW(A1451)-1, 'From Order'!$A1451)), 1), A1450))"),"")</f>
        <v/>
      </c>
      <c r="B1451" s="2" t="str">
        <f>IFERROR(__xludf.DUMMYFUNCTION("IF('From Order'!$A1451=COLUMNS($A1451:B1470), LEFT(INDEX(FILTER(B$1:B1450, B$1:B1450&lt;&gt;""""),COUNTA(FILTER(B$1:B1450, B$1:B1450&lt;&gt;""""))), LEN(INDEX(FILTER(B$1:B1450, B$1:B1450&lt;&gt;""""),COUNTA(FILTER(B$1:B1450, B$1:B1450&lt;&gt;""""))))-1), IF('To Order'!$A1451=COL"&amp;"UMNS($A1451:B1470), B1450&amp;RIGHT(INDIRECT(ADDRESS(ROW(B1451)-1, 'From Order'!$A1451)), 1), B1450))"),"R")</f>
        <v>R</v>
      </c>
      <c r="C1451" s="2" t="str">
        <f>IFERROR(__xludf.DUMMYFUNCTION("IF('From Order'!$A1451=COLUMNS($A1451:C1470), LEFT(INDEX(FILTER(C$1:C1450, C$1:C1450&lt;&gt;""""),COUNTA(FILTER(C$1:C1450, C$1:C1450&lt;&gt;""""))), LEN(INDEX(FILTER(C$1:C1450, C$1:C1450&lt;&gt;""""),COUNTA(FILTER(C$1:C1450, C$1:C1450&lt;&gt;""""))))-1), IF('To Order'!$A1451=COL"&amp;"UMNS($A1451:C1470), C1450&amp;RIGHT(INDIRECT(ADDRESS(ROW(C1451)-1, 'From Order'!$A1451)), 1), C1450))"),"TQVQJPPLDTMZHRDC")</f>
        <v>TQVQJPPLDTMZHRDC</v>
      </c>
      <c r="D1451" s="2" t="str">
        <f>IFERROR(__xludf.DUMMYFUNCTION("IF('From Order'!$A1451=COLUMNS($A1451:D1470), LEFT(INDEX(FILTER(D$1:D1450, D$1:D1450&lt;&gt;""""),COUNTA(FILTER(D$1:D1450, D$1:D1450&lt;&gt;""""))), LEN(INDEX(FILTER(D$1:D1450, D$1:D1450&lt;&gt;""""),COUNTA(FILTER(D$1:D1450, D$1:D1450&lt;&gt;""""))))-1), IF('To Order'!$A1451=COL"&amp;"UMNS($A1451:D1470), D1450&amp;RIGHT(INDIRECT(ADDRESS(ROW(D1451)-1, 'From Order'!$A1451)), 1), D1450))"),"CR")</f>
        <v>CR</v>
      </c>
      <c r="E1451" s="2" t="str">
        <f>IFERROR(__xludf.DUMMYFUNCTION("IF('From Order'!$A1451=COLUMNS($A1451:E1470), LEFT(INDEX(FILTER(E$1:E1450, E$1:E1450&lt;&gt;""""),COUNTA(FILTER(E$1:E1450, E$1:E1450&lt;&gt;""""))), LEN(INDEX(FILTER(E$1:E1450, E$1:E1450&lt;&gt;""""),COUNTA(FILTER(E$1:E1450, E$1:E1450&lt;&gt;""""))))-1), IF('To Order'!$A1451=COL"&amp;"UMNS($A1451:E1470), E1450&amp;RIGHT(INDIRECT(ADDRESS(ROW(E1451)-1, 'From Order'!$A1451)), 1), E1450))"),"HGSTDDLW")</f>
        <v>HGSTDDLW</v>
      </c>
      <c r="F1451" s="2" t="str">
        <f>IFERROR(__xludf.DUMMYFUNCTION("IF('From Order'!$A1451=COLUMNS($A1451:F1470), LEFT(INDEX(FILTER(F$1:F1450, F$1:F1450&lt;&gt;""""),COUNTA(FILTER(F$1:F1450, F$1:F1450&lt;&gt;""""))), LEN(INDEX(FILTER(F$1:F1450, F$1:F1450&lt;&gt;""""),COUNTA(FILTER(F$1:F1450, F$1:F1450&lt;&gt;""""))))-1), IF('To Order'!$A1451=COL"&amp;"UMNS($A1451:F1470), F1450&amp;RIGHT(INDIRECT(ADDRESS(ROW(F1451)-1, 'From Order'!$A1451)), 1), F1450))"),"ZRLBSTVFSCZGBSDJDM")</f>
        <v>ZRLBSTVFSCZGBSDJDM</v>
      </c>
      <c r="G1451" s="2" t="str">
        <f>IFERROR(__xludf.DUMMYFUNCTION("IF('From Order'!$A1451=COLUMNS($A1451:G1470), LEFT(INDEX(FILTER(G$1:G1450, G$1:G1450&lt;&gt;""""),COUNTA(FILTER(G$1:G1450, G$1:G1450&lt;&gt;""""))), LEN(INDEX(FILTER(G$1:G1450, G$1:G1450&lt;&gt;""""),COUNTA(FILTER(G$1:G1450, G$1:G1450&lt;&gt;""""))))-1), IF('To Order'!$A1451=COL"&amp;"UMNS($A1451:G1470), G1450&amp;RIGHT(INDIRECT(ADDRESS(ROW(G1451)-1, 'From Order'!$A1451)), 1), G1450))"),"WRMBVTTJ")</f>
        <v>WRMBVTTJ</v>
      </c>
      <c r="H1451" s="2" t="str">
        <f>IFERROR(__xludf.DUMMYFUNCTION("IF('From Order'!$A1451=COLUMNS($A1451:H1470), LEFT(INDEX(FILTER(H$1:H1450, H$1:H1450&lt;&gt;""""),COUNTA(FILTER(H$1:H1450, H$1:H1450&lt;&gt;""""))), LEN(INDEX(FILTER(H$1:H1450, H$1:H1450&lt;&gt;""""),COUNTA(FILTER(H$1:H1450, H$1:H1450&lt;&gt;""""))))-1), IF('To Order'!$A1451=COL"&amp;"UMNS($A1451:H1470), H1450&amp;RIGHT(INDIRECT(ADDRESS(ROW(H1451)-1, 'From Order'!$A1451)), 1), H1450))"),"FBP")</f>
        <v>FBP</v>
      </c>
      <c r="I1451" s="2" t="str">
        <f>IFERROR(__xludf.DUMMYFUNCTION("IF('From Order'!$A1451=COLUMNS($A1451:I1470), LEFT(INDEX(FILTER(I$1:I1450, I$1:I1450&lt;&gt;""""),COUNTA(FILTER(I$1:I1450, I$1:I1450&lt;&gt;""""))), LEN(INDEX(FILTER(I$1:I1450, I$1:I1450&lt;&gt;""""),COUNTA(FILTER(I$1:I1450, I$1:I1450&lt;&gt;""""))))-1), IF('To Order'!$A1451=COL"&amp;"UMNS($A1451:I1470), I1450&amp;RIGHT(INDIRECT(ADDRESS(ROW(I1451)-1, 'From Order'!$A1451)), 1), I1450))"),"")</f>
        <v/>
      </c>
    </row>
    <row r="1452">
      <c r="A1452" s="2" t="str">
        <f>IFERROR(__xludf.DUMMYFUNCTION("IF('From Order'!$A1452=COLUMNS($A1452:A1471), LEFT(INDEX(FILTER(A$1:A1451, A$1:A1451&lt;&gt;""""),COUNTA(FILTER(A$1:A1451, A$1:A1451&lt;&gt;""""))), LEN(INDEX(FILTER(A$1:A1451, A$1:A1451&lt;&gt;""""),COUNTA(FILTER(A$1:A1451, A$1:A1451&lt;&gt;""""))))-1), IF('To Order'!$A1452=COL"&amp;"UMNS($A1452:A1471), A1451&amp;RIGHT(INDIRECT(ADDRESS(ROW(A1452)-1, 'From Order'!$A1452)), 1), A1451))"),"")</f>
        <v/>
      </c>
      <c r="B1452" s="2" t="str">
        <f>IFERROR(__xludf.DUMMYFUNCTION("IF('From Order'!$A1452=COLUMNS($A1452:B1471), LEFT(INDEX(FILTER(B$1:B1451, B$1:B1451&lt;&gt;""""),COUNTA(FILTER(B$1:B1451, B$1:B1451&lt;&gt;""""))), LEN(INDEX(FILTER(B$1:B1451, B$1:B1451&lt;&gt;""""),COUNTA(FILTER(B$1:B1451, B$1:B1451&lt;&gt;""""))))-1), IF('To Order'!$A1452=COL"&amp;"UMNS($A1452:B1471), B1451&amp;RIGHT(INDIRECT(ADDRESS(ROW(B1452)-1, 'From Order'!$A1452)), 1), B1451))"),"")</f>
        <v/>
      </c>
      <c r="C1452" s="2" t="str">
        <f>IFERROR(__xludf.DUMMYFUNCTION("IF('From Order'!$A1452=COLUMNS($A1452:C1471), LEFT(INDEX(FILTER(C$1:C1451, C$1:C1451&lt;&gt;""""),COUNTA(FILTER(C$1:C1451, C$1:C1451&lt;&gt;""""))), LEN(INDEX(FILTER(C$1:C1451, C$1:C1451&lt;&gt;""""),COUNTA(FILTER(C$1:C1451, C$1:C1451&lt;&gt;""""))))-1), IF('To Order'!$A1452=COL"&amp;"UMNS($A1452:C1471), C1451&amp;RIGHT(INDIRECT(ADDRESS(ROW(C1452)-1, 'From Order'!$A1452)), 1), C1451))"),"TQVQJPPLDTMZHRDC")</f>
        <v>TQVQJPPLDTMZHRDC</v>
      </c>
      <c r="D1452" s="2" t="str">
        <f>IFERROR(__xludf.DUMMYFUNCTION("IF('From Order'!$A1452=COLUMNS($A1452:D1471), LEFT(INDEX(FILTER(D$1:D1451, D$1:D1451&lt;&gt;""""),COUNTA(FILTER(D$1:D1451, D$1:D1451&lt;&gt;""""))), LEN(INDEX(FILTER(D$1:D1451, D$1:D1451&lt;&gt;""""),COUNTA(FILTER(D$1:D1451, D$1:D1451&lt;&gt;""""))))-1), IF('To Order'!$A1452=COL"&amp;"UMNS($A1452:D1471), D1451&amp;RIGHT(INDIRECT(ADDRESS(ROW(D1452)-1, 'From Order'!$A1452)), 1), D1451))"),"CRR")</f>
        <v>CRR</v>
      </c>
      <c r="E1452" s="2" t="str">
        <f>IFERROR(__xludf.DUMMYFUNCTION("IF('From Order'!$A1452=COLUMNS($A1452:E1471), LEFT(INDEX(FILTER(E$1:E1451, E$1:E1451&lt;&gt;""""),COUNTA(FILTER(E$1:E1451, E$1:E1451&lt;&gt;""""))), LEN(INDEX(FILTER(E$1:E1451, E$1:E1451&lt;&gt;""""),COUNTA(FILTER(E$1:E1451, E$1:E1451&lt;&gt;""""))))-1), IF('To Order'!$A1452=COL"&amp;"UMNS($A1452:E1471), E1451&amp;RIGHT(INDIRECT(ADDRESS(ROW(E1452)-1, 'From Order'!$A1452)), 1), E1451))"),"HGSTDDLW")</f>
        <v>HGSTDDLW</v>
      </c>
      <c r="F1452" s="2" t="str">
        <f>IFERROR(__xludf.DUMMYFUNCTION("IF('From Order'!$A1452=COLUMNS($A1452:F1471), LEFT(INDEX(FILTER(F$1:F1451, F$1:F1451&lt;&gt;""""),COUNTA(FILTER(F$1:F1451, F$1:F1451&lt;&gt;""""))), LEN(INDEX(FILTER(F$1:F1451, F$1:F1451&lt;&gt;""""),COUNTA(FILTER(F$1:F1451, F$1:F1451&lt;&gt;""""))))-1), IF('To Order'!$A1452=COL"&amp;"UMNS($A1452:F1471), F1451&amp;RIGHT(INDIRECT(ADDRESS(ROW(F1452)-1, 'From Order'!$A1452)), 1), F1451))"),"ZRLBSTVFSCZGBSDJDM")</f>
        <v>ZRLBSTVFSCZGBSDJDM</v>
      </c>
      <c r="G1452" s="2" t="str">
        <f>IFERROR(__xludf.DUMMYFUNCTION("IF('From Order'!$A1452=COLUMNS($A1452:G1471), LEFT(INDEX(FILTER(G$1:G1451, G$1:G1451&lt;&gt;""""),COUNTA(FILTER(G$1:G1451, G$1:G1451&lt;&gt;""""))), LEN(INDEX(FILTER(G$1:G1451, G$1:G1451&lt;&gt;""""),COUNTA(FILTER(G$1:G1451, G$1:G1451&lt;&gt;""""))))-1), IF('To Order'!$A1452=COL"&amp;"UMNS($A1452:G1471), G1451&amp;RIGHT(INDIRECT(ADDRESS(ROW(G1452)-1, 'From Order'!$A1452)), 1), G1451))"),"WRMBVTTJ")</f>
        <v>WRMBVTTJ</v>
      </c>
      <c r="H1452" s="2" t="str">
        <f>IFERROR(__xludf.DUMMYFUNCTION("IF('From Order'!$A1452=COLUMNS($A1452:H1471), LEFT(INDEX(FILTER(H$1:H1451, H$1:H1451&lt;&gt;""""),COUNTA(FILTER(H$1:H1451, H$1:H1451&lt;&gt;""""))), LEN(INDEX(FILTER(H$1:H1451, H$1:H1451&lt;&gt;""""),COUNTA(FILTER(H$1:H1451, H$1:H1451&lt;&gt;""""))))-1), IF('To Order'!$A1452=COL"&amp;"UMNS($A1452:H1471), H1451&amp;RIGHT(INDIRECT(ADDRESS(ROW(H1452)-1, 'From Order'!$A1452)), 1), H1451))"),"FBP")</f>
        <v>FBP</v>
      </c>
      <c r="I1452" s="2" t="str">
        <f>IFERROR(__xludf.DUMMYFUNCTION("IF('From Order'!$A1452=COLUMNS($A1452:I1471), LEFT(INDEX(FILTER(I$1:I1451, I$1:I1451&lt;&gt;""""),COUNTA(FILTER(I$1:I1451, I$1:I1451&lt;&gt;""""))), LEN(INDEX(FILTER(I$1:I1451, I$1:I1451&lt;&gt;""""),COUNTA(FILTER(I$1:I1451, I$1:I1451&lt;&gt;""""))))-1), IF('To Order'!$A1452=COL"&amp;"UMNS($A1452:I1471), I1451&amp;RIGHT(INDIRECT(ADDRESS(ROW(I1452)-1, 'From Order'!$A1452)), 1), I1451))"),"")</f>
        <v/>
      </c>
    </row>
    <row r="1453">
      <c r="A1453" s="2" t="str">
        <f>IFERROR(__xludf.DUMMYFUNCTION("IF('From Order'!$A1453=COLUMNS($A1453:A1472), LEFT(INDEX(FILTER(A$1:A1452, A$1:A1452&lt;&gt;""""),COUNTA(FILTER(A$1:A1452, A$1:A1452&lt;&gt;""""))), LEN(INDEX(FILTER(A$1:A1452, A$1:A1452&lt;&gt;""""),COUNTA(FILTER(A$1:A1452, A$1:A1452&lt;&gt;""""))))-1), IF('To Order'!$A1453=COL"&amp;"UMNS($A1453:A1472), A1452&amp;RIGHT(INDIRECT(ADDRESS(ROW(A1453)-1, 'From Order'!$A1453)), 1), A1452))"),"")</f>
        <v/>
      </c>
      <c r="B1453" s="2" t="str">
        <f>IFERROR(__xludf.DUMMYFUNCTION("IF('From Order'!$A1453=COLUMNS($A1453:B1472), LEFT(INDEX(FILTER(B$1:B1452, B$1:B1452&lt;&gt;""""),COUNTA(FILTER(B$1:B1452, B$1:B1452&lt;&gt;""""))), LEN(INDEX(FILTER(B$1:B1452, B$1:B1452&lt;&gt;""""),COUNTA(FILTER(B$1:B1452, B$1:B1452&lt;&gt;""""))))-1), IF('To Order'!$A1453=COL"&amp;"UMNS($A1453:B1472), B1452&amp;RIGHT(INDIRECT(ADDRESS(ROW(B1453)-1, 'From Order'!$A1453)), 1), B1452))"),"")</f>
        <v/>
      </c>
      <c r="C1453" s="2" t="str">
        <f>IFERROR(__xludf.DUMMYFUNCTION("IF('From Order'!$A1453=COLUMNS($A1453:C1472), LEFT(INDEX(FILTER(C$1:C1452, C$1:C1452&lt;&gt;""""),COUNTA(FILTER(C$1:C1452, C$1:C1452&lt;&gt;""""))), LEN(INDEX(FILTER(C$1:C1452, C$1:C1452&lt;&gt;""""),COUNTA(FILTER(C$1:C1452, C$1:C1452&lt;&gt;""""))))-1), IF('To Order'!$A1453=COL"&amp;"UMNS($A1453:C1472), C1452&amp;RIGHT(INDIRECT(ADDRESS(ROW(C1453)-1, 'From Order'!$A1453)), 1), C1452))"),"TQVQJPPLDTMZHRDC")</f>
        <v>TQVQJPPLDTMZHRDC</v>
      </c>
      <c r="D1453" s="2" t="str">
        <f>IFERROR(__xludf.DUMMYFUNCTION("IF('From Order'!$A1453=COLUMNS($A1453:D1472), LEFT(INDEX(FILTER(D$1:D1452, D$1:D1452&lt;&gt;""""),COUNTA(FILTER(D$1:D1452, D$1:D1452&lt;&gt;""""))), LEN(INDEX(FILTER(D$1:D1452, D$1:D1452&lt;&gt;""""),COUNTA(FILTER(D$1:D1452, D$1:D1452&lt;&gt;""""))))-1), IF('To Order'!$A1453=COL"&amp;"UMNS($A1453:D1472), D1452&amp;RIGHT(INDIRECT(ADDRESS(ROW(D1453)-1, 'From Order'!$A1453)), 1), D1452))"),"CR")</f>
        <v>CR</v>
      </c>
      <c r="E1453" s="2" t="str">
        <f>IFERROR(__xludf.DUMMYFUNCTION("IF('From Order'!$A1453=COLUMNS($A1453:E1472), LEFT(INDEX(FILTER(E$1:E1452, E$1:E1452&lt;&gt;""""),COUNTA(FILTER(E$1:E1452, E$1:E1452&lt;&gt;""""))), LEN(INDEX(FILTER(E$1:E1452, E$1:E1452&lt;&gt;""""),COUNTA(FILTER(E$1:E1452, E$1:E1452&lt;&gt;""""))))-1), IF('To Order'!$A1453=COL"&amp;"UMNS($A1453:E1472), E1452&amp;RIGHT(INDIRECT(ADDRESS(ROW(E1453)-1, 'From Order'!$A1453)), 1), E1452))"),"HGSTDDLW")</f>
        <v>HGSTDDLW</v>
      </c>
      <c r="F1453" s="2" t="str">
        <f>IFERROR(__xludf.DUMMYFUNCTION("IF('From Order'!$A1453=COLUMNS($A1453:F1472), LEFT(INDEX(FILTER(F$1:F1452, F$1:F1452&lt;&gt;""""),COUNTA(FILTER(F$1:F1452, F$1:F1452&lt;&gt;""""))), LEN(INDEX(FILTER(F$1:F1452, F$1:F1452&lt;&gt;""""),COUNTA(FILTER(F$1:F1452, F$1:F1452&lt;&gt;""""))))-1), IF('To Order'!$A1453=COL"&amp;"UMNS($A1453:F1472), F1452&amp;RIGHT(INDIRECT(ADDRESS(ROW(F1453)-1, 'From Order'!$A1453)), 1), F1452))"),"ZRLBSTVFSCZGBSDJDM")</f>
        <v>ZRLBSTVFSCZGBSDJDM</v>
      </c>
      <c r="G1453" s="2" t="str">
        <f>IFERROR(__xludf.DUMMYFUNCTION("IF('From Order'!$A1453=COLUMNS($A1453:G1472), LEFT(INDEX(FILTER(G$1:G1452, G$1:G1452&lt;&gt;""""),COUNTA(FILTER(G$1:G1452, G$1:G1452&lt;&gt;""""))), LEN(INDEX(FILTER(G$1:G1452, G$1:G1452&lt;&gt;""""),COUNTA(FILTER(G$1:G1452, G$1:G1452&lt;&gt;""""))))-1), IF('To Order'!$A1453=COL"&amp;"UMNS($A1453:G1472), G1452&amp;RIGHT(INDIRECT(ADDRESS(ROW(G1453)-1, 'From Order'!$A1453)), 1), G1452))"),"WRMBVTTJ")</f>
        <v>WRMBVTTJ</v>
      </c>
      <c r="H1453" s="2" t="str">
        <f>IFERROR(__xludf.DUMMYFUNCTION("IF('From Order'!$A1453=COLUMNS($A1453:H1472), LEFT(INDEX(FILTER(H$1:H1452, H$1:H1452&lt;&gt;""""),COUNTA(FILTER(H$1:H1452, H$1:H1452&lt;&gt;""""))), LEN(INDEX(FILTER(H$1:H1452, H$1:H1452&lt;&gt;""""),COUNTA(FILTER(H$1:H1452, H$1:H1452&lt;&gt;""""))))-1), IF('To Order'!$A1453=COL"&amp;"UMNS($A1453:H1472), H1452&amp;RIGHT(INDIRECT(ADDRESS(ROW(H1453)-1, 'From Order'!$A1453)), 1), H1452))"),"FBPR")</f>
        <v>FBPR</v>
      </c>
      <c r="I1453" s="2" t="str">
        <f>IFERROR(__xludf.DUMMYFUNCTION("IF('From Order'!$A1453=COLUMNS($A1453:I1472), LEFT(INDEX(FILTER(I$1:I1452, I$1:I1452&lt;&gt;""""),COUNTA(FILTER(I$1:I1452, I$1:I1452&lt;&gt;""""))), LEN(INDEX(FILTER(I$1:I1452, I$1:I1452&lt;&gt;""""),COUNTA(FILTER(I$1:I1452, I$1:I1452&lt;&gt;""""))))-1), IF('To Order'!$A1453=COL"&amp;"UMNS($A1453:I1472), I1452&amp;RIGHT(INDIRECT(ADDRESS(ROW(I1453)-1, 'From Order'!$A1453)), 1), I1452))"),"")</f>
        <v/>
      </c>
    </row>
    <row r="1454">
      <c r="A1454" s="2" t="str">
        <f>IFERROR(__xludf.DUMMYFUNCTION("IF('From Order'!$A1454=COLUMNS($A1454:A1473), LEFT(INDEX(FILTER(A$1:A1453, A$1:A1453&lt;&gt;""""),COUNTA(FILTER(A$1:A1453, A$1:A1453&lt;&gt;""""))), LEN(INDEX(FILTER(A$1:A1453, A$1:A1453&lt;&gt;""""),COUNTA(FILTER(A$1:A1453, A$1:A1453&lt;&gt;""""))))-1), IF('To Order'!$A1454=COL"&amp;"UMNS($A1454:A1473), A1453&amp;RIGHT(INDIRECT(ADDRESS(ROW(A1454)-1, 'From Order'!$A1454)), 1), A1453))"),"")</f>
        <v/>
      </c>
      <c r="B1454" s="2" t="str">
        <f>IFERROR(__xludf.DUMMYFUNCTION("IF('From Order'!$A1454=COLUMNS($A1454:B1473), LEFT(INDEX(FILTER(B$1:B1453, B$1:B1453&lt;&gt;""""),COUNTA(FILTER(B$1:B1453, B$1:B1453&lt;&gt;""""))), LEN(INDEX(FILTER(B$1:B1453, B$1:B1453&lt;&gt;""""),COUNTA(FILTER(B$1:B1453, B$1:B1453&lt;&gt;""""))))-1), IF('To Order'!$A1454=COL"&amp;"UMNS($A1454:B1473), B1453&amp;RIGHT(INDIRECT(ADDRESS(ROW(B1454)-1, 'From Order'!$A1454)), 1), B1453))"),"")</f>
        <v/>
      </c>
      <c r="C1454" s="2" t="str">
        <f>IFERROR(__xludf.DUMMYFUNCTION("IF('From Order'!$A1454=COLUMNS($A1454:C1473), LEFT(INDEX(FILTER(C$1:C1453, C$1:C1453&lt;&gt;""""),COUNTA(FILTER(C$1:C1453, C$1:C1453&lt;&gt;""""))), LEN(INDEX(FILTER(C$1:C1453, C$1:C1453&lt;&gt;""""),COUNTA(FILTER(C$1:C1453, C$1:C1453&lt;&gt;""""))))-1), IF('To Order'!$A1454=COL"&amp;"UMNS($A1454:C1473), C1453&amp;RIGHT(INDIRECT(ADDRESS(ROW(C1454)-1, 'From Order'!$A1454)), 1), C1453))"),"TQVQJPPLDTMZHRDC")</f>
        <v>TQVQJPPLDTMZHRDC</v>
      </c>
      <c r="D1454" s="2" t="str">
        <f>IFERROR(__xludf.DUMMYFUNCTION("IF('From Order'!$A1454=COLUMNS($A1454:D1473), LEFT(INDEX(FILTER(D$1:D1453, D$1:D1453&lt;&gt;""""),COUNTA(FILTER(D$1:D1453, D$1:D1453&lt;&gt;""""))), LEN(INDEX(FILTER(D$1:D1453, D$1:D1453&lt;&gt;""""),COUNTA(FILTER(D$1:D1453, D$1:D1453&lt;&gt;""""))))-1), IF('To Order'!$A1454=COL"&amp;"UMNS($A1454:D1473), D1453&amp;RIGHT(INDIRECT(ADDRESS(ROW(D1454)-1, 'From Order'!$A1454)), 1), D1453))"),"C")</f>
        <v>C</v>
      </c>
      <c r="E1454" s="2" t="str">
        <f>IFERROR(__xludf.DUMMYFUNCTION("IF('From Order'!$A1454=COLUMNS($A1454:E1473), LEFT(INDEX(FILTER(E$1:E1453, E$1:E1453&lt;&gt;""""),COUNTA(FILTER(E$1:E1453, E$1:E1453&lt;&gt;""""))), LEN(INDEX(FILTER(E$1:E1453, E$1:E1453&lt;&gt;""""),COUNTA(FILTER(E$1:E1453, E$1:E1453&lt;&gt;""""))))-1), IF('To Order'!$A1454=COL"&amp;"UMNS($A1454:E1473), E1453&amp;RIGHT(INDIRECT(ADDRESS(ROW(E1454)-1, 'From Order'!$A1454)), 1), E1453))"),"HGSTDDLW")</f>
        <v>HGSTDDLW</v>
      </c>
      <c r="F1454" s="2" t="str">
        <f>IFERROR(__xludf.DUMMYFUNCTION("IF('From Order'!$A1454=COLUMNS($A1454:F1473), LEFT(INDEX(FILTER(F$1:F1453, F$1:F1453&lt;&gt;""""),COUNTA(FILTER(F$1:F1453, F$1:F1453&lt;&gt;""""))), LEN(INDEX(FILTER(F$1:F1453, F$1:F1453&lt;&gt;""""),COUNTA(FILTER(F$1:F1453, F$1:F1453&lt;&gt;""""))))-1), IF('To Order'!$A1454=COL"&amp;"UMNS($A1454:F1473), F1453&amp;RIGHT(INDIRECT(ADDRESS(ROW(F1454)-1, 'From Order'!$A1454)), 1), F1453))"),"ZRLBSTVFSCZGBSDJDM")</f>
        <v>ZRLBSTVFSCZGBSDJDM</v>
      </c>
      <c r="G1454" s="2" t="str">
        <f>IFERROR(__xludf.DUMMYFUNCTION("IF('From Order'!$A1454=COLUMNS($A1454:G1473), LEFT(INDEX(FILTER(G$1:G1453, G$1:G1453&lt;&gt;""""),COUNTA(FILTER(G$1:G1453, G$1:G1453&lt;&gt;""""))), LEN(INDEX(FILTER(G$1:G1453, G$1:G1453&lt;&gt;""""),COUNTA(FILTER(G$1:G1453, G$1:G1453&lt;&gt;""""))))-1), IF('To Order'!$A1454=COL"&amp;"UMNS($A1454:G1473), G1453&amp;RIGHT(INDIRECT(ADDRESS(ROW(G1454)-1, 'From Order'!$A1454)), 1), G1453))"),"WRMBVTTJ")</f>
        <v>WRMBVTTJ</v>
      </c>
      <c r="H1454" s="2" t="str">
        <f>IFERROR(__xludf.DUMMYFUNCTION("IF('From Order'!$A1454=COLUMNS($A1454:H1473), LEFT(INDEX(FILTER(H$1:H1453, H$1:H1453&lt;&gt;""""),COUNTA(FILTER(H$1:H1453, H$1:H1453&lt;&gt;""""))), LEN(INDEX(FILTER(H$1:H1453, H$1:H1453&lt;&gt;""""),COUNTA(FILTER(H$1:H1453, H$1:H1453&lt;&gt;""""))))-1), IF('To Order'!$A1454=COL"&amp;"UMNS($A1454:H1473), H1453&amp;RIGHT(INDIRECT(ADDRESS(ROW(H1454)-1, 'From Order'!$A1454)), 1), H1453))"),"FBPRR")</f>
        <v>FBPRR</v>
      </c>
      <c r="I1454" s="2" t="str">
        <f>IFERROR(__xludf.DUMMYFUNCTION("IF('From Order'!$A1454=COLUMNS($A1454:I1473), LEFT(INDEX(FILTER(I$1:I1453, I$1:I1453&lt;&gt;""""),COUNTA(FILTER(I$1:I1453, I$1:I1453&lt;&gt;""""))), LEN(INDEX(FILTER(I$1:I1453, I$1:I1453&lt;&gt;""""),COUNTA(FILTER(I$1:I1453, I$1:I1453&lt;&gt;""""))))-1), IF('To Order'!$A1454=COL"&amp;"UMNS($A1454:I1473), I1453&amp;RIGHT(INDIRECT(ADDRESS(ROW(I1454)-1, 'From Order'!$A1454)), 1), I1453))"),"")</f>
        <v/>
      </c>
    </row>
    <row r="1455">
      <c r="A1455" s="2" t="str">
        <f>IFERROR(__xludf.DUMMYFUNCTION("IF('From Order'!$A1455=COLUMNS($A1455:A1474), LEFT(INDEX(FILTER(A$1:A1454, A$1:A1454&lt;&gt;""""),COUNTA(FILTER(A$1:A1454, A$1:A1454&lt;&gt;""""))), LEN(INDEX(FILTER(A$1:A1454, A$1:A1454&lt;&gt;""""),COUNTA(FILTER(A$1:A1454, A$1:A1454&lt;&gt;""""))))-1), IF('To Order'!$A1455=COL"&amp;"UMNS($A1455:A1474), A1454&amp;RIGHT(INDIRECT(ADDRESS(ROW(A1455)-1, 'From Order'!$A1455)), 1), A1454))"),"M")</f>
        <v>M</v>
      </c>
      <c r="B1455" s="2" t="str">
        <f>IFERROR(__xludf.DUMMYFUNCTION("IF('From Order'!$A1455=COLUMNS($A1455:B1474), LEFT(INDEX(FILTER(B$1:B1454, B$1:B1454&lt;&gt;""""),COUNTA(FILTER(B$1:B1454, B$1:B1454&lt;&gt;""""))), LEN(INDEX(FILTER(B$1:B1454, B$1:B1454&lt;&gt;""""),COUNTA(FILTER(B$1:B1454, B$1:B1454&lt;&gt;""""))))-1), IF('To Order'!$A1455=COL"&amp;"UMNS($A1455:B1474), B1454&amp;RIGHT(INDIRECT(ADDRESS(ROW(B1455)-1, 'From Order'!$A1455)), 1), B1454))"),"")</f>
        <v/>
      </c>
      <c r="C1455" s="2" t="str">
        <f>IFERROR(__xludf.DUMMYFUNCTION("IF('From Order'!$A1455=COLUMNS($A1455:C1474), LEFT(INDEX(FILTER(C$1:C1454, C$1:C1454&lt;&gt;""""),COUNTA(FILTER(C$1:C1454, C$1:C1454&lt;&gt;""""))), LEN(INDEX(FILTER(C$1:C1454, C$1:C1454&lt;&gt;""""),COUNTA(FILTER(C$1:C1454, C$1:C1454&lt;&gt;""""))))-1), IF('To Order'!$A1455=COL"&amp;"UMNS($A1455:C1474), C1454&amp;RIGHT(INDIRECT(ADDRESS(ROW(C1455)-1, 'From Order'!$A1455)), 1), C1454))"),"TQVQJPPLDTMZHRDC")</f>
        <v>TQVQJPPLDTMZHRDC</v>
      </c>
      <c r="D1455" s="2" t="str">
        <f>IFERROR(__xludf.DUMMYFUNCTION("IF('From Order'!$A1455=COLUMNS($A1455:D1474), LEFT(INDEX(FILTER(D$1:D1454, D$1:D1454&lt;&gt;""""),COUNTA(FILTER(D$1:D1454, D$1:D1454&lt;&gt;""""))), LEN(INDEX(FILTER(D$1:D1454, D$1:D1454&lt;&gt;""""),COUNTA(FILTER(D$1:D1454, D$1:D1454&lt;&gt;""""))))-1), IF('To Order'!$A1455=COL"&amp;"UMNS($A1455:D1474), D1454&amp;RIGHT(INDIRECT(ADDRESS(ROW(D1455)-1, 'From Order'!$A1455)), 1), D1454))"),"C")</f>
        <v>C</v>
      </c>
      <c r="E1455" s="2" t="str">
        <f>IFERROR(__xludf.DUMMYFUNCTION("IF('From Order'!$A1455=COLUMNS($A1455:E1474), LEFT(INDEX(FILTER(E$1:E1454, E$1:E1454&lt;&gt;""""),COUNTA(FILTER(E$1:E1454, E$1:E1454&lt;&gt;""""))), LEN(INDEX(FILTER(E$1:E1454, E$1:E1454&lt;&gt;""""),COUNTA(FILTER(E$1:E1454, E$1:E1454&lt;&gt;""""))))-1), IF('To Order'!$A1455=COL"&amp;"UMNS($A1455:E1474), E1454&amp;RIGHT(INDIRECT(ADDRESS(ROW(E1455)-1, 'From Order'!$A1455)), 1), E1454))"),"HGSTDDLW")</f>
        <v>HGSTDDLW</v>
      </c>
      <c r="F1455" s="2" t="str">
        <f>IFERROR(__xludf.DUMMYFUNCTION("IF('From Order'!$A1455=COLUMNS($A1455:F1474), LEFT(INDEX(FILTER(F$1:F1454, F$1:F1454&lt;&gt;""""),COUNTA(FILTER(F$1:F1454, F$1:F1454&lt;&gt;""""))), LEN(INDEX(FILTER(F$1:F1454, F$1:F1454&lt;&gt;""""),COUNTA(FILTER(F$1:F1454, F$1:F1454&lt;&gt;""""))))-1), IF('To Order'!$A1455=COL"&amp;"UMNS($A1455:F1474), F1454&amp;RIGHT(INDIRECT(ADDRESS(ROW(F1455)-1, 'From Order'!$A1455)), 1), F1454))"),"ZRLBSTVFSCZGBSDJD")</f>
        <v>ZRLBSTVFSCZGBSDJD</v>
      </c>
      <c r="G1455" s="2" t="str">
        <f>IFERROR(__xludf.DUMMYFUNCTION("IF('From Order'!$A1455=COLUMNS($A1455:G1474), LEFT(INDEX(FILTER(G$1:G1454, G$1:G1454&lt;&gt;""""),COUNTA(FILTER(G$1:G1454, G$1:G1454&lt;&gt;""""))), LEN(INDEX(FILTER(G$1:G1454, G$1:G1454&lt;&gt;""""),COUNTA(FILTER(G$1:G1454, G$1:G1454&lt;&gt;""""))))-1), IF('To Order'!$A1455=COL"&amp;"UMNS($A1455:G1474), G1454&amp;RIGHT(INDIRECT(ADDRESS(ROW(G1455)-1, 'From Order'!$A1455)), 1), G1454))"),"WRMBVTTJ")</f>
        <v>WRMBVTTJ</v>
      </c>
      <c r="H1455" s="2" t="str">
        <f>IFERROR(__xludf.DUMMYFUNCTION("IF('From Order'!$A1455=COLUMNS($A1455:H1474), LEFT(INDEX(FILTER(H$1:H1454, H$1:H1454&lt;&gt;""""),COUNTA(FILTER(H$1:H1454, H$1:H1454&lt;&gt;""""))), LEN(INDEX(FILTER(H$1:H1454, H$1:H1454&lt;&gt;""""),COUNTA(FILTER(H$1:H1454, H$1:H1454&lt;&gt;""""))))-1), IF('To Order'!$A1455=COL"&amp;"UMNS($A1455:H1474), H1454&amp;RIGHT(INDIRECT(ADDRESS(ROW(H1455)-1, 'From Order'!$A1455)), 1), H1454))"),"FBPRR")</f>
        <v>FBPRR</v>
      </c>
      <c r="I1455" s="2" t="str">
        <f>IFERROR(__xludf.DUMMYFUNCTION("IF('From Order'!$A1455=COLUMNS($A1455:I1474), LEFT(INDEX(FILTER(I$1:I1454, I$1:I1454&lt;&gt;""""),COUNTA(FILTER(I$1:I1454, I$1:I1454&lt;&gt;""""))), LEN(INDEX(FILTER(I$1:I1454, I$1:I1454&lt;&gt;""""),COUNTA(FILTER(I$1:I1454, I$1:I1454&lt;&gt;""""))))-1), IF('To Order'!$A1455=COL"&amp;"UMNS($A1455:I1474), I1454&amp;RIGHT(INDIRECT(ADDRESS(ROW(I1455)-1, 'From Order'!$A1455)), 1), I1454))"),"")</f>
        <v/>
      </c>
    </row>
    <row r="1456">
      <c r="A1456" s="2" t="str">
        <f>IFERROR(__xludf.DUMMYFUNCTION("IF('From Order'!$A1456=COLUMNS($A1456:A1475), LEFT(INDEX(FILTER(A$1:A1455, A$1:A1455&lt;&gt;""""),COUNTA(FILTER(A$1:A1455, A$1:A1455&lt;&gt;""""))), LEN(INDEX(FILTER(A$1:A1455, A$1:A1455&lt;&gt;""""),COUNTA(FILTER(A$1:A1455, A$1:A1455&lt;&gt;""""))))-1), IF('To Order'!$A1456=COL"&amp;"UMNS($A1456:A1475), A1455&amp;RIGHT(INDIRECT(ADDRESS(ROW(A1456)-1, 'From Order'!$A1456)), 1), A1455))"),"MD")</f>
        <v>MD</v>
      </c>
      <c r="B1456" s="2" t="str">
        <f>IFERROR(__xludf.DUMMYFUNCTION("IF('From Order'!$A1456=COLUMNS($A1456:B1475), LEFT(INDEX(FILTER(B$1:B1455, B$1:B1455&lt;&gt;""""),COUNTA(FILTER(B$1:B1455, B$1:B1455&lt;&gt;""""))), LEN(INDEX(FILTER(B$1:B1455, B$1:B1455&lt;&gt;""""),COUNTA(FILTER(B$1:B1455, B$1:B1455&lt;&gt;""""))))-1), IF('To Order'!$A1456=COL"&amp;"UMNS($A1456:B1475), B1455&amp;RIGHT(INDIRECT(ADDRESS(ROW(B1456)-1, 'From Order'!$A1456)), 1), B1455))"),"")</f>
        <v/>
      </c>
      <c r="C1456" s="2" t="str">
        <f>IFERROR(__xludf.DUMMYFUNCTION("IF('From Order'!$A1456=COLUMNS($A1456:C1475), LEFT(INDEX(FILTER(C$1:C1455, C$1:C1455&lt;&gt;""""),COUNTA(FILTER(C$1:C1455, C$1:C1455&lt;&gt;""""))), LEN(INDEX(FILTER(C$1:C1455, C$1:C1455&lt;&gt;""""),COUNTA(FILTER(C$1:C1455, C$1:C1455&lt;&gt;""""))))-1), IF('To Order'!$A1456=COL"&amp;"UMNS($A1456:C1475), C1455&amp;RIGHT(INDIRECT(ADDRESS(ROW(C1456)-1, 'From Order'!$A1456)), 1), C1455))"),"TQVQJPPLDTMZHRDC")</f>
        <v>TQVQJPPLDTMZHRDC</v>
      </c>
      <c r="D1456" s="2" t="str">
        <f>IFERROR(__xludf.DUMMYFUNCTION("IF('From Order'!$A1456=COLUMNS($A1456:D1475), LEFT(INDEX(FILTER(D$1:D1455, D$1:D1455&lt;&gt;""""),COUNTA(FILTER(D$1:D1455, D$1:D1455&lt;&gt;""""))), LEN(INDEX(FILTER(D$1:D1455, D$1:D1455&lt;&gt;""""),COUNTA(FILTER(D$1:D1455, D$1:D1455&lt;&gt;""""))))-1), IF('To Order'!$A1456=COL"&amp;"UMNS($A1456:D1475), D1455&amp;RIGHT(INDIRECT(ADDRESS(ROW(D1456)-1, 'From Order'!$A1456)), 1), D1455))"),"C")</f>
        <v>C</v>
      </c>
      <c r="E1456" s="2" t="str">
        <f>IFERROR(__xludf.DUMMYFUNCTION("IF('From Order'!$A1456=COLUMNS($A1456:E1475), LEFT(INDEX(FILTER(E$1:E1455, E$1:E1455&lt;&gt;""""),COUNTA(FILTER(E$1:E1455, E$1:E1455&lt;&gt;""""))), LEN(INDEX(FILTER(E$1:E1455, E$1:E1455&lt;&gt;""""),COUNTA(FILTER(E$1:E1455, E$1:E1455&lt;&gt;""""))))-1), IF('To Order'!$A1456=COL"&amp;"UMNS($A1456:E1475), E1455&amp;RIGHT(INDIRECT(ADDRESS(ROW(E1456)-1, 'From Order'!$A1456)), 1), E1455))"),"HGSTDDLW")</f>
        <v>HGSTDDLW</v>
      </c>
      <c r="F1456" s="2" t="str">
        <f>IFERROR(__xludf.DUMMYFUNCTION("IF('From Order'!$A1456=COLUMNS($A1456:F1475), LEFT(INDEX(FILTER(F$1:F1455, F$1:F1455&lt;&gt;""""),COUNTA(FILTER(F$1:F1455, F$1:F1455&lt;&gt;""""))), LEN(INDEX(FILTER(F$1:F1455, F$1:F1455&lt;&gt;""""),COUNTA(FILTER(F$1:F1455, F$1:F1455&lt;&gt;""""))))-1), IF('To Order'!$A1456=COL"&amp;"UMNS($A1456:F1475), F1455&amp;RIGHT(INDIRECT(ADDRESS(ROW(F1456)-1, 'From Order'!$A1456)), 1), F1455))"),"ZRLBSTVFSCZGBSDJ")</f>
        <v>ZRLBSTVFSCZGBSDJ</v>
      </c>
      <c r="G1456" s="2" t="str">
        <f>IFERROR(__xludf.DUMMYFUNCTION("IF('From Order'!$A1456=COLUMNS($A1456:G1475), LEFT(INDEX(FILTER(G$1:G1455, G$1:G1455&lt;&gt;""""),COUNTA(FILTER(G$1:G1455, G$1:G1455&lt;&gt;""""))), LEN(INDEX(FILTER(G$1:G1455, G$1:G1455&lt;&gt;""""),COUNTA(FILTER(G$1:G1455, G$1:G1455&lt;&gt;""""))))-1), IF('To Order'!$A1456=COL"&amp;"UMNS($A1456:G1475), G1455&amp;RIGHT(INDIRECT(ADDRESS(ROW(G1456)-1, 'From Order'!$A1456)), 1), G1455))"),"WRMBVTTJ")</f>
        <v>WRMBVTTJ</v>
      </c>
      <c r="H1456" s="2" t="str">
        <f>IFERROR(__xludf.DUMMYFUNCTION("IF('From Order'!$A1456=COLUMNS($A1456:H1475), LEFT(INDEX(FILTER(H$1:H1455, H$1:H1455&lt;&gt;""""),COUNTA(FILTER(H$1:H1455, H$1:H1455&lt;&gt;""""))), LEN(INDEX(FILTER(H$1:H1455, H$1:H1455&lt;&gt;""""),COUNTA(FILTER(H$1:H1455, H$1:H1455&lt;&gt;""""))))-1), IF('To Order'!$A1456=COL"&amp;"UMNS($A1456:H1475), H1455&amp;RIGHT(INDIRECT(ADDRESS(ROW(H1456)-1, 'From Order'!$A1456)), 1), H1455))"),"FBPRR")</f>
        <v>FBPRR</v>
      </c>
      <c r="I1456" s="2" t="str">
        <f>IFERROR(__xludf.DUMMYFUNCTION("IF('From Order'!$A1456=COLUMNS($A1456:I1475), LEFT(INDEX(FILTER(I$1:I1455, I$1:I1455&lt;&gt;""""),COUNTA(FILTER(I$1:I1455, I$1:I1455&lt;&gt;""""))), LEN(INDEX(FILTER(I$1:I1455, I$1:I1455&lt;&gt;""""),COUNTA(FILTER(I$1:I1455, I$1:I1455&lt;&gt;""""))))-1), IF('To Order'!$A1456=COL"&amp;"UMNS($A1456:I1475), I1455&amp;RIGHT(INDIRECT(ADDRESS(ROW(I1456)-1, 'From Order'!$A1456)), 1), I1455))"),"")</f>
        <v/>
      </c>
    </row>
    <row r="1457">
      <c r="A1457" s="2" t="str">
        <f>IFERROR(__xludf.DUMMYFUNCTION("IF('From Order'!$A1457=COLUMNS($A1457:A1476), LEFT(INDEX(FILTER(A$1:A1456, A$1:A1456&lt;&gt;""""),COUNTA(FILTER(A$1:A1456, A$1:A1456&lt;&gt;""""))), LEN(INDEX(FILTER(A$1:A1456, A$1:A1456&lt;&gt;""""),COUNTA(FILTER(A$1:A1456, A$1:A1456&lt;&gt;""""))))-1), IF('To Order'!$A1457=COL"&amp;"UMNS($A1457:A1476), A1456&amp;RIGHT(INDIRECT(ADDRESS(ROW(A1457)-1, 'From Order'!$A1457)), 1), A1456))"),"MDJ")</f>
        <v>MDJ</v>
      </c>
      <c r="B1457" s="2" t="str">
        <f>IFERROR(__xludf.DUMMYFUNCTION("IF('From Order'!$A1457=COLUMNS($A1457:B1476), LEFT(INDEX(FILTER(B$1:B1456, B$1:B1456&lt;&gt;""""),COUNTA(FILTER(B$1:B1456, B$1:B1456&lt;&gt;""""))), LEN(INDEX(FILTER(B$1:B1456, B$1:B1456&lt;&gt;""""),COUNTA(FILTER(B$1:B1456, B$1:B1456&lt;&gt;""""))))-1), IF('To Order'!$A1457=COL"&amp;"UMNS($A1457:B1476), B1456&amp;RIGHT(INDIRECT(ADDRESS(ROW(B1457)-1, 'From Order'!$A1457)), 1), B1456))"),"")</f>
        <v/>
      </c>
      <c r="C1457" s="2" t="str">
        <f>IFERROR(__xludf.DUMMYFUNCTION("IF('From Order'!$A1457=COLUMNS($A1457:C1476), LEFT(INDEX(FILTER(C$1:C1456, C$1:C1456&lt;&gt;""""),COUNTA(FILTER(C$1:C1456, C$1:C1456&lt;&gt;""""))), LEN(INDEX(FILTER(C$1:C1456, C$1:C1456&lt;&gt;""""),COUNTA(FILTER(C$1:C1456, C$1:C1456&lt;&gt;""""))))-1), IF('To Order'!$A1457=COL"&amp;"UMNS($A1457:C1476), C1456&amp;RIGHT(INDIRECT(ADDRESS(ROW(C1457)-1, 'From Order'!$A1457)), 1), C1456))"),"TQVQJPPLDTMZHRDC")</f>
        <v>TQVQJPPLDTMZHRDC</v>
      </c>
      <c r="D1457" s="2" t="str">
        <f>IFERROR(__xludf.DUMMYFUNCTION("IF('From Order'!$A1457=COLUMNS($A1457:D1476), LEFT(INDEX(FILTER(D$1:D1456, D$1:D1456&lt;&gt;""""),COUNTA(FILTER(D$1:D1456, D$1:D1456&lt;&gt;""""))), LEN(INDEX(FILTER(D$1:D1456, D$1:D1456&lt;&gt;""""),COUNTA(FILTER(D$1:D1456, D$1:D1456&lt;&gt;""""))))-1), IF('To Order'!$A1457=COL"&amp;"UMNS($A1457:D1476), D1456&amp;RIGHT(INDIRECT(ADDRESS(ROW(D1457)-1, 'From Order'!$A1457)), 1), D1456))"),"C")</f>
        <v>C</v>
      </c>
      <c r="E1457" s="2" t="str">
        <f>IFERROR(__xludf.DUMMYFUNCTION("IF('From Order'!$A1457=COLUMNS($A1457:E1476), LEFT(INDEX(FILTER(E$1:E1456, E$1:E1456&lt;&gt;""""),COUNTA(FILTER(E$1:E1456, E$1:E1456&lt;&gt;""""))), LEN(INDEX(FILTER(E$1:E1456, E$1:E1456&lt;&gt;""""),COUNTA(FILTER(E$1:E1456, E$1:E1456&lt;&gt;""""))))-1), IF('To Order'!$A1457=COL"&amp;"UMNS($A1457:E1476), E1456&amp;RIGHT(INDIRECT(ADDRESS(ROW(E1457)-1, 'From Order'!$A1457)), 1), E1456))"),"HGSTDDLW")</f>
        <v>HGSTDDLW</v>
      </c>
      <c r="F1457" s="2" t="str">
        <f>IFERROR(__xludf.DUMMYFUNCTION("IF('From Order'!$A1457=COLUMNS($A1457:F1476), LEFT(INDEX(FILTER(F$1:F1456, F$1:F1456&lt;&gt;""""),COUNTA(FILTER(F$1:F1456, F$1:F1456&lt;&gt;""""))), LEN(INDEX(FILTER(F$1:F1456, F$1:F1456&lt;&gt;""""),COUNTA(FILTER(F$1:F1456, F$1:F1456&lt;&gt;""""))))-1), IF('To Order'!$A1457=COL"&amp;"UMNS($A1457:F1476), F1456&amp;RIGHT(INDIRECT(ADDRESS(ROW(F1457)-1, 'From Order'!$A1457)), 1), F1456))"),"ZRLBSTVFSCZGBSD")</f>
        <v>ZRLBSTVFSCZGBSD</v>
      </c>
      <c r="G1457" s="2" t="str">
        <f>IFERROR(__xludf.DUMMYFUNCTION("IF('From Order'!$A1457=COLUMNS($A1457:G1476), LEFT(INDEX(FILTER(G$1:G1456, G$1:G1456&lt;&gt;""""),COUNTA(FILTER(G$1:G1456, G$1:G1456&lt;&gt;""""))), LEN(INDEX(FILTER(G$1:G1456, G$1:G1456&lt;&gt;""""),COUNTA(FILTER(G$1:G1456, G$1:G1456&lt;&gt;""""))))-1), IF('To Order'!$A1457=COL"&amp;"UMNS($A1457:G1476), G1456&amp;RIGHT(INDIRECT(ADDRESS(ROW(G1457)-1, 'From Order'!$A1457)), 1), G1456))"),"WRMBVTTJ")</f>
        <v>WRMBVTTJ</v>
      </c>
      <c r="H1457" s="2" t="str">
        <f>IFERROR(__xludf.DUMMYFUNCTION("IF('From Order'!$A1457=COLUMNS($A1457:H1476), LEFT(INDEX(FILTER(H$1:H1456, H$1:H1456&lt;&gt;""""),COUNTA(FILTER(H$1:H1456, H$1:H1456&lt;&gt;""""))), LEN(INDEX(FILTER(H$1:H1456, H$1:H1456&lt;&gt;""""),COUNTA(FILTER(H$1:H1456, H$1:H1456&lt;&gt;""""))))-1), IF('To Order'!$A1457=COL"&amp;"UMNS($A1457:H1476), H1456&amp;RIGHT(INDIRECT(ADDRESS(ROW(H1457)-1, 'From Order'!$A1457)), 1), H1456))"),"FBPRR")</f>
        <v>FBPRR</v>
      </c>
      <c r="I1457" s="2" t="str">
        <f>IFERROR(__xludf.DUMMYFUNCTION("IF('From Order'!$A1457=COLUMNS($A1457:I1476), LEFT(INDEX(FILTER(I$1:I1456, I$1:I1456&lt;&gt;""""),COUNTA(FILTER(I$1:I1456, I$1:I1456&lt;&gt;""""))), LEN(INDEX(FILTER(I$1:I1456, I$1:I1456&lt;&gt;""""),COUNTA(FILTER(I$1:I1456, I$1:I1456&lt;&gt;""""))))-1), IF('To Order'!$A1457=COL"&amp;"UMNS($A1457:I1476), I1456&amp;RIGHT(INDIRECT(ADDRESS(ROW(I1457)-1, 'From Order'!$A1457)), 1), I1456))"),"")</f>
        <v/>
      </c>
    </row>
    <row r="1458">
      <c r="A1458" s="2" t="str">
        <f>IFERROR(__xludf.DUMMYFUNCTION("IF('From Order'!$A1458=COLUMNS($A1458:A1477), LEFT(INDEX(FILTER(A$1:A1457, A$1:A1457&lt;&gt;""""),COUNTA(FILTER(A$1:A1457, A$1:A1457&lt;&gt;""""))), LEN(INDEX(FILTER(A$1:A1457, A$1:A1457&lt;&gt;""""),COUNTA(FILTER(A$1:A1457, A$1:A1457&lt;&gt;""""))))-1), IF('To Order'!$A1458=COL"&amp;"UMNS($A1458:A1477), A1457&amp;RIGHT(INDIRECT(ADDRESS(ROW(A1458)-1, 'From Order'!$A1458)), 1), A1457))"),"MDJD")</f>
        <v>MDJD</v>
      </c>
      <c r="B1458" s="2" t="str">
        <f>IFERROR(__xludf.DUMMYFUNCTION("IF('From Order'!$A1458=COLUMNS($A1458:B1477), LEFT(INDEX(FILTER(B$1:B1457, B$1:B1457&lt;&gt;""""),COUNTA(FILTER(B$1:B1457, B$1:B1457&lt;&gt;""""))), LEN(INDEX(FILTER(B$1:B1457, B$1:B1457&lt;&gt;""""),COUNTA(FILTER(B$1:B1457, B$1:B1457&lt;&gt;""""))))-1), IF('To Order'!$A1458=COL"&amp;"UMNS($A1458:B1477), B1457&amp;RIGHT(INDIRECT(ADDRESS(ROW(B1458)-1, 'From Order'!$A1458)), 1), B1457))"),"")</f>
        <v/>
      </c>
      <c r="C1458" s="2" t="str">
        <f>IFERROR(__xludf.DUMMYFUNCTION("IF('From Order'!$A1458=COLUMNS($A1458:C1477), LEFT(INDEX(FILTER(C$1:C1457, C$1:C1457&lt;&gt;""""),COUNTA(FILTER(C$1:C1457, C$1:C1457&lt;&gt;""""))), LEN(INDEX(FILTER(C$1:C1457, C$1:C1457&lt;&gt;""""),COUNTA(FILTER(C$1:C1457, C$1:C1457&lt;&gt;""""))))-1), IF('To Order'!$A1458=COL"&amp;"UMNS($A1458:C1477), C1457&amp;RIGHT(INDIRECT(ADDRESS(ROW(C1458)-1, 'From Order'!$A1458)), 1), C1457))"),"TQVQJPPLDTMZHRDC")</f>
        <v>TQVQJPPLDTMZHRDC</v>
      </c>
      <c r="D1458" s="2" t="str">
        <f>IFERROR(__xludf.DUMMYFUNCTION("IF('From Order'!$A1458=COLUMNS($A1458:D1477), LEFT(INDEX(FILTER(D$1:D1457, D$1:D1457&lt;&gt;""""),COUNTA(FILTER(D$1:D1457, D$1:D1457&lt;&gt;""""))), LEN(INDEX(FILTER(D$1:D1457, D$1:D1457&lt;&gt;""""),COUNTA(FILTER(D$1:D1457, D$1:D1457&lt;&gt;""""))))-1), IF('To Order'!$A1458=COL"&amp;"UMNS($A1458:D1477), D1457&amp;RIGHT(INDIRECT(ADDRESS(ROW(D1458)-1, 'From Order'!$A1458)), 1), D1457))"),"C")</f>
        <v>C</v>
      </c>
      <c r="E1458" s="2" t="str">
        <f>IFERROR(__xludf.DUMMYFUNCTION("IF('From Order'!$A1458=COLUMNS($A1458:E1477), LEFT(INDEX(FILTER(E$1:E1457, E$1:E1457&lt;&gt;""""),COUNTA(FILTER(E$1:E1457, E$1:E1457&lt;&gt;""""))), LEN(INDEX(FILTER(E$1:E1457, E$1:E1457&lt;&gt;""""),COUNTA(FILTER(E$1:E1457, E$1:E1457&lt;&gt;""""))))-1), IF('To Order'!$A1458=COL"&amp;"UMNS($A1458:E1477), E1457&amp;RIGHT(INDIRECT(ADDRESS(ROW(E1458)-1, 'From Order'!$A1458)), 1), E1457))"),"HGSTDDLW")</f>
        <v>HGSTDDLW</v>
      </c>
      <c r="F1458" s="2" t="str">
        <f>IFERROR(__xludf.DUMMYFUNCTION("IF('From Order'!$A1458=COLUMNS($A1458:F1477), LEFT(INDEX(FILTER(F$1:F1457, F$1:F1457&lt;&gt;""""),COUNTA(FILTER(F$1:F1457, F$1:F1457&lt;&gt;""""))), LEN(INDEX(FILTER(F$1:F1457, F$1:F1457&lt;&gt;""""),COUNTA(FILTER(F$1:F1457, F$1:F1457&lt;&gt;""""))))-1), IF('To Order'!$A1458=COL"&amp;"UMNS($A1458:F1477), F1457&amp;RIGHT(INDIRECT(ADDRESS(ROW(F1458)-1, 'From Order'!$A1458)), 1), F1457))"),"ZRLBSTVFSCZGBS")</f>
        <v>ZRLBSTVFSCZGBS</v>
      </c>
      <c r="G1458" s="2" t="str">
        <f>IFERROR(__xludf.DUMMYFUNCTION("IF('From Order'!$A1458=COLUMNS($A1458:G1477), LEFT(INDEX(FILTER(G$1:G1457, G$1:G1457&lt;&gt;""""),COUNTA(FILTER(G$1:G1457, G$1:G1457&lt;&gt;""""))), LEN(INDEX(FILTER(G$1:G1457, G$1:G1457&lt;&gt;""""),COUNTA(FILTER(G$1:G1457, G$1:G1457&lt;&gt;""""))))-1), IF('To Order'!$A1458=COL"&amp;"UMNS($A1458:G1477), G1457&amp;RIGHT(INDIRECT(ADDRESS(ROW(G1458)-1, 'From Order'!$A1458)), 1), G1457))"),"WRMBVTTJ")</f>
        <v>WRMBVTTJ</v>
      </c>
      <c r="H1458" s="2" t="str">
        <f>IFERROR(__xludf.DUMMYFUNCTION("IF('From Order'!$A1458=COLUMNS($A1458:H1477), LEFT(INDEX(FILTER(H$1:H1457, H$1:H1457&lt;&gt;""""),COUNTA(FILTER(H$1:H1457, H$1:H1457&lt;&gt;""""))), LEN(INDEX(FILTER(H$1:H1457, H$1:H1457&lt;&gt;""""),COUNTA(FILTER(H$1:H1457, H$1:H1457&lt;&gt;""""))))-1), IF('To Order'!$A1458=COL"&amp;"UMNS($A1458:H1477), H1457&amp;RIGHT(INDIRECT(ADDRESS(ROW(H1458)-1, 'From Order'!$A1458)), 1), H1457))"),"FBPRR")</f>
        <v>FBPRR</v>
      </c>
      <c r="I1458" s="2" t="str">
        <f>IFERROR(__xludf.DUMMYFUNCTION("IF('From Order'!$A1458=COLUMNS($A1458:I1477), LEFT(INDEX(FILTER(I$1:I1457, I$1:I1457&lt;&gt;""""),COUNTA(FILTER(I$1:I1457, I$1:I1457&lt;&gt;""""))), LEN(INDEX(FILTER(I$1:I1457, I$1:I1457&lt;&gt;""""),COUNTA(FILTER(I$1:I1457, I$1:I1457&lt;&gt;""""))))-1), IF('To Order'!$A1458=COL"&amp;"UMNS($A1458:I1477), I1457&amp;RIGHT(INDIRECT(ADDRESS(ROW(I1458)-1, 'From Order'!$A1458)), 1), I1457))"),"")</f>
        <v/>
      </c>
    </row>
    <row r="1459">
      <c r="A1459" s="2" t="str">
        <f>IFERROR(__xludf.DUMMYFUNCTION("IF('From Order'!$A1459=COLUMNS($A1459:A1478), LEFT(INDEX(FILTER(A$1:A1458, A$1:A1458&lt;&gt;""""),COUNTA(FILTER(A$1:A1458, A$1:A1458&lt;&gt;""""))), LEN(INDEX(FILTER(A$1:A1458, A$1:A1458&lt;&gt;""""),COUNTA(FILTER(A$1:A1458, A$1:A1458&lt;&gt;""""))))-1), IF('To Order'!$A1459=COL"&amp;"UMNS($A1459:A1478), A1458&amp;RIGHT(INDIRECT(ADDRESS(ROW(A1459)-1, 'From Order'!$A1459)), 1), A1458))"),"MDJDS")</f>
        <v>MDJDS</v>
      </c>
      <c r="B1459" s="2" t="str">
        <f>IFERROR(__xludf.DUMMYFUNCTION("IF('From Order'!$A1459=COLUMNS($A1459:B1478), LEFT(INDEX(FILTER(B$1:B1458, B$1:B1458&lt;&gt;""""),COUNTA(FILTER(B$1:B1458, B$1:B1458&lt;&gt;""""))), LEN(INDEX(FILTER(B$1:B1458, B$1:B1458&lt;&gt;""""),COUNTA(FILTER(B$1:B1458, B$1:B1458&lt;&gt;""""))))-1), IF('To Order'!$A1459=COL"&amp;"UMNS($A1459:B1478), B1458&amp;RIGHT(INDIRECT(ADDRESS(ROW(B1459)-1, 'From Order'!$A1459)), 1), B1458))"),"")</f>
        <v/>
      </c>
      <c r="C1459" s="2" t="str">
        <f>IFERROR(__xludf.DUMMYFUNCTION("IF('From Order'!$A1459=COLUMNS($A1459:C1478), LEFT(INDEX(FILTER(C$1:C1458, C$1:C1458&lt;&gt;""""),COUNTA(FILTER(C$1:C1458, C$1:C1458&lt;&gt;""""))), LEN(INDEX(FILTER(C$1:C1458, C$1:C1458&lt;&gt;""""),COUNTA(FILTER(C$1:C1458, C$1:C1458&lt;&gt;""""))))-1), IF('To Order'!$A1459=COL"&amp;"UMNS($A1459:C1478), C1458&amp;RIGHT(INDIRECT(ADDRESS(ROW(C1459)-1, 'From Order'!$A1459)), 1), C1458))"),"TQVQJPPLDTMZHRDC")</f>
        <v>TQVQJPPLDTMZHRDC</v>
      </c>
      <c r="D1459" s="2" t="str">
        <f>IFERROR(__xludf.DUMMYFUNCTION("IF('From Order'!$A1459=COLUMNS($A1459:D1478), LEFT(INDEX(FILTER(D$1:D1458, D$1:D1458&lt;&gt;""""),COUNTA(FILTER(D$1:D1458, D$1:D1458&lt;&gt;""""))), LEN(INDEX(FILTER(D$1:D1458, D$1:D1458&lt;&gt;""""),COUNTA(FILTER(D$1:D1458, D$1:D1458&lt;&gt;""""))))-1), IF('To Order'!$A1459=COL"&amp;"UMNS($A1459:D1478), D1458&amp;RIGHT(INDIRECT(ADDRESS(ROW(D1459)-1, 'From Order'!$A1459)), 1), D1458))"),"C")</f>
        <v>C</v>
      </c>
      <c r="E1459" s="2" t="str">
        <f>IFERROR(__xludf.DUMMYFUNCTION("IF('From Order'!$A1459=COLUMNS($A1459:E1478), LEFT(INDEX(FILTER(E$1:E1458, E$1:E1458&lt;&gt;""""),COUNTA(FILTER(E$1:E1458, E$1:E1458&lt;&gt;""""))), LEN(INDEX(FILTER(E$1:E1458, E$1:E1458&lt;&gt;""""),COUNTA(FILTER(E$1:E1458, E$1:E1458&lt;&gt;""""))))-1), IF('To Order'!$A1459=COL"&amp;"UMNS($A1459:E1478), E1458&amp;RIGHT(INDIRECT(ADDRESS(ROW(E1459)-1, 'From Order'!$A1459)), 1), E1458))"),"HGSTDDLW")</f>
        <v>HGSTDDLW</v>
      </c>
      <c r="F1459" s="2" t="str">
        <f>IFERROR(__xludf.DUMMYFUNCTION("IF('From Order'!$A1459=COLUMNS($A1459:F1478), LEFT(INDEX(FILTER(F$1:F1458, F$1:F1458&lt;&gt;""""),COUNTA(FILTER(F$1:F1458, F$1:F1458&lt;&gt;""""))), LEN(INDEX(FILTER(F$1:F1458, F$1:F1458&lt;&gt;""""),COUNTA(FILTER(F$1:F1458, F$1:F1458&lt;&gt;""""))))-1), IF('To Order'!$A1459=COL"&amp;"UMNS($A1459:F1478), F1458&amp;RIGHT(INDIRECT(ADDRESS(ROW(F1459)-1, 'From Order'!$A1459)), 1), F1458))"),"ZRLBSTVFSCZGB")</f>
        <v>ZRLBSTVFSCZGB</v>
      </c>
      <c r="G1459" s="2" t="str">
        <f>IFERROR(__xludf.DUMMYFUNCTION("IF('From Order'!$A1459=COLUMNS($A1459:G1478), LEFT(INDEX(FILTER(G$1:G1458, G$1:G1458&lt;&gt;""""),COUNTA(FILTER(G$1:G1458, G$1:G1458&lt;&gt;""""))), LEN(INDEX(FILTER(G$1:G1458, G$1:G1458&lt;&gt;""""),COUNTA(FILTER(G$1:G1458, G$1:G1458&lt;&gt;""""))))-1), IF('To Order'!$A1459=COL"&amp;"UMNS($A1459:G1478), G1458&amp;RIGHT(INDIRECT(ADDRESS(ROW(G1459)-1, 'From Order'!$A1459)), 1), G1458))"),"WRMBVTTJ")</f>
        <v>WRMBVTTJ</v>
      </c>
      <c r="H1459" s="2" t="str">
        <f>IFERROR(__xludf.DUMMYFUNCTION("IF('From Order'!$A1459=COLUMNS($A1459:H1478), LEFT(INDEX(FILTER(H$1:H1458, H$1:H1458&lt;&gt;""""),COUNTA(FILTER(H$1:H1458, H$1:H1458&lt;&gt;""""))), LEN(INDEX(FILTER(H$1:H1458, H$1:H1458&lt;&gt;""""),COUNTA(FILTER(H$1:H1458, H$1:H1458&lt;&gt;""""))))-1), IF('To Order'!$A1459=COL"&amp;"UMNS($A1459:H1478), H1458&amp;RIGHT(INDIRECT(ADDRESS(ROW(H1459)-1, 'From Order'!$A1459)), 1), H1458))"),"FBPRR")</f>
        <v>FBPRR</v>
      </c>
      <c r="I1459" s="2" t="str">
        <f>IFERROR(__xludf.DUMMYFUNCTION("IF('From Order'!$A1459=COLUMNS($A1459:I1478), LEFT(INDEX(FILTER(I$1:I1458, I$1:I1458&lt;&gt;""""),COUNTA(FILTER(I$1:I1458, I$1:I1458&lt;&gt;""""))), LEN(INDEX(FILTER(I$1:I1458, I$1:I1458&lt;&gt;""""),COUNTA(FILTER(I$1:I1458, I$1:I1458&lt;&gt;""""))))-1), IF('To Order'!$A1459=COL"&amp;"UMNS($A1459:I1478), I1458&amp;RIGHT(INDIRECT(ADDRESS(ROW(I1459)-1, 'From Order'!$A1459)), 1), I1458))"),"")</f>
        <v/>
      </c>
    </row>
    <row r="1460">
      <c r="A1460" s="2" t="str">
        <f>IFERROR(__xludf.DUMMYFUNCTION("IF('From Order'!$A1460=COLUMNS($A1460:A1479), LEFT(INDEX(FILTER(A$1:A1459, A$1:A1459&lt;&gt;""""),COUNTA(FILTER(A$1:A1459, A$1:A1459&lt;&gt;""""))), LEN(INDEX(FILTER(A$1:A1459, A$1:A1459&lt;&gt;""""),COUNTA(FILTER(A$1:A1459, A$1:A1459&lt;&gt;""""))))-1), IF('To Order'!$A1460=COL"&amp;"UMNS($A1460:A1479), A1459&amp;RIGHT(INDIRECT(ADDRESS(ROW(A1460)-1, 'From Order'!$A1460)), 1), A1459))"),"MDJDSB")</f>
        <v>MDJDSB</v>
      </c>
      <c r="B1460" s="2" t="str">
        <f>IFERROR(__xludf.DUMMYFUNCTION("IF('From Order'!$A1460=COLUMNS($A1460:B1479), LEFT(INDEX(FILTER(B$1:B1459, B$1:B1459&lt;&gt;""""),COUNTA(FILTER(B$1:B1459, B$1:B1459&lt;&gt;""""))), LEN(INDEX(FILTER(B$1:B1459, B$1:B1459&lt;&gt;""""),COUNTA(FILTER(B$1:B1459, B$1:B1459&lt;&gt;""""))))-1), IF('To Order'!$A1460=COL"&amp;"UMNS($A1460:B1479), B1459&amp;RIGHT(INDIRECT(ADDRESS(ROW(B1460)-1, 'From Order'!$A1460)), 1), B1459))"),"")</f>
        <v/>
      </c>
      <c r="C1460" s="2" t="str">
        <f>IFERROR(__xludf.DUMMYFUNCTION("IF('From Order'!$A1460=COLUMNS($A1460:C1479), LEFT(INDEX(FILTER(C$1:C1459, C$1:C1459&lt;&gt;""""),COUNTA(FILTER(C$1:C1459, C$1:C1459&lt;&gt;""""))), LEN(INDEX(FILTER(C$1:C1459, C$1:C1459&lt;&gt;""""),COUNTA(FILTER(C$1:C1459, C$1:C1459&lt;&gt;""""))))-1), IF('To Order'!$A1460=COL"&amp;"UMNS($A1460:C1479), C1459&amp;RIGHT(INDIRECT(ADDRESS(ROW(C1460)-1, 'From Order'!$A1460)), 1), C1459))"),"TQVQJPPLDTMZHRDC")</f>
        <v>TQVQJPPLDTMZHRDC</v>
      </c>
      <c r="D1460" s="2" t="str">
        <f>IFERROR(__xludf.DUMMYFUNCTION("IF('From Order'!$A1460=COLUMNS($A1460:D1479), LEFT(INDEX(FILTER(D$1:D1459, D$1:D1459&lt;&gt;""""),COUNTA(FILTER(D$1:D1459, D$1:D1459&lt;&gt;""""))), LEN(INDEX(FILTER(D$1:D1459, D$1:D1459&lt;&gt;""""),COUNTA(FILTER(D$1:D1459, D$1:D1459&lt;&gt;""""))))-1), IF('To Order'!$A1460=COL"&amp;"UMNS($A1460:D1479), D1459&amp;RIGHT(INDIRECT(ADDRESS(ROW(D1460)-1, 'From Order'!$A1460)), 1), D1459))"),"C")</f>
        <v>C</v>
      </c>
      <c r="E1460" s="2" t="str">
        <f>IFERROR(__xludf.DUMMYFUNCTION("IF('From Order'!$A1460=COLUMNS($A1460:E1479), LEFT(INDEX(FILTER(E$1:E1459, E$1:E1459&lt;&gt;""""),COUNTA(FILTER(E$1:E1459, E$1:E1459&lt;&gt;""""))), LEN(INDEX(FILTER(E$1:E1459, E$1:E1459&lt;&gt;""""),COUNTA(FILTER(E$1:E1459, E$1:E1459&lt;&gt;""""))))-1), IF('To Order'!$A1460=COL"&amp;"UMNS($A1460:E1479), E1459&amp;RIGHT(INDIRECT(ADDRESS(ROW(E1460)-1, 'From Order'!$A1460)), 1), E1459))"),"HGSTDDLW")</f>
        <v>HGSTDDLW</v>
      </c>
      <c r="F1460" s="2" t="str">
        <f>IFERROR(__xludf.DUMMYFUNCTION("IF('From Order'!$A1460=COLUMNS($A1460:F1479), LEFT(INDEX(FILTER(F$1:F1459, F$1:F1459&lt;&gt;""""),COUNTA(FILTER(F$1:F1459, F$1:F1459&lt;&gt;""""))), LEN(INDEX(FILTER(F$1:F1459, F$1:F1459&lt;&gt;""""),COUNTA(FILTER(F$1:F1459, F$1:F1459&lt;&gt;""""))))-1), IF('To Order'!$A1460=COL"&amp;"UMNS($A1460:F1479), F1459&amp;RIGHT(INDIRECT(ADDRESS(ROW(F1460)-1, 'From Order'!$A1460)), 1), F1459))"),"ZRLBSTVFSCZG")</f>
        <v>ZRLBSTVFSCZG</v>
      </c>
      <c r="G1460" s="2" t="str">
        <f>IFERROR(__xludf.DUMMYFUNCTION("IF('From Order'!$A1460=COLUMNS($A1460:G1479), LEFT(INDEX(FILTER(G$1:G1459, G$1:G1459&lt;&gt;""""),COUNTA(FILTER(G$1:G1459, G$1:G1459&lt;&gt;""""))), LEN(INDEX(FILTER(G$1:G1459, G$1:G1459&lt;&gt;""""),COUNTA(FILTER(G$1:G1459, G$1:G1459&lt;&gt;""""))))-1), IF('To Order'!$A1460=COL"&amp;"UMNS($A1460:G1479), G1459&amp;RIGHT(INDIRECT(ADDRESS(ROW(G1460)-1, 'From Order'!$A1460)), 1), G1459))"),"WRMBVTTJ")</f>
        <v>WRMBVTTJ</v>
      </c>
      <c r="H1460" s="2" t="str">
        <f>IFERROR(__xludf.DUMMYFUNCTION("IF('From Order'!$A1460=COLUMNS($A1460:H1479), LEFT(INDEX(FILTER(H$1:H1459, H$1:H1459&lt;&gt;""""),COUNTA(FILTER(H$1:H1459, H$1:H1459&lt;&gt;""""))), LEN(INDEX(FILTER(H$1:H1459, H$1:H1459&lt;&gt;""""),COUNTA(FILTER(H$1:H1459, H$1:H1459&lt;&gt;""""))))-1), IF('To Order'!$A1460=COL"&amp;"UMNS($A1460:H1479), H1459&amp;RIGHT(INDIRECT(ADDRESS(ROW(H1460)-1, 'From Order'!$A1460)), 1), H1459))"),"FBPRR")</f>
        <v>FBPRR</v>
      </c>
      <c r="I1460" s="2" t="str">
        <f>IFERROR(__xludf.DUMMYFUNCTION("IF('From Order'!$A1460=COLUMNS($A1460:I1479), LEFT(INDEX(FILTER(I$1:I1459, I$1:I1459&lt;&gt;""""),COUNTA(FILTER(I$1:I1459, I$1:I1459&lt;&gt;""""))), LEN(INDEX(FILTER(I$1:I1459, I$1:I1459&lt;&gt;""""),COUNTA(FILTER(I$1:I1459, I$1:I1459&lt;&gt;""""))))-1), IF('To Order'!$A1460=COL"&amp;"UMNS($A1460:I1479), I1459&amp;RIGHT(INDIRECT(ADDRESS(ROW(I1460)-1, 'From Order'!$A1460)), 1), I1459))"),"")</f>
        <v/>
      </c>
    </row>
    <row r="1461">
      <c r="A1461" s="2" t="str">
        <f>IFERROR(__xludf.DUMMYFUNCTION("IF('From Order'!$A1461=COLUMNS($A1461:A1480), LEFT(INDEX(FILTER(A$1:A1460, A$1:A1460&lt;&gt;""""),COUNTA(FILTER(A$1:A1460, A$1:A1460&lt;&gt;""""))), LEN(INDEX(FILTER(A$1:A1460, A$1:A1460&lt;&gt;""""),COUNTA(FILTER(A$1:A1460, A$1:A1460&lt;&gt;""""))))-1), IF('To Order'!$A1461=COL"&amp;"UMNS($A1461:A1480), A1460&amp;RIGHT(INDIRECT(ADDRESS(ROW(A1461)-1, 'From Order'!$A1461)), 1), A1460))"),"MDJDSBG")</f>
        <v>MDJDSBG</v>
      </c>
      <c r="B1461" s="2" t="str">
        <f>IFERROR(__xludf.DUMMYFUNCTION("IF('From Order'!$A1461=COLUMNS($A1461:B1480), LEFT(INDEX(FILTER(B$1:B1460, B$1:B1460&lt;&gt;""""),COUNTA(FILTER(B$1:B1460, B$1:B1460&lt;&gt;""""))), LEN(INDEX(FILTER(B$1:B1460, B$1:B1460&lt;&gt;""""),COUNTA(FILTER(B$1:B1460, B$1:B1460&lt;&gt;""""))))-1), IF('To Order'!$A1461=COL"&amp;"UMNS($A1461:B1480), B1460&amp;RIGHT(INDIRECT(ADDRESS(ROW(B1461)-1, 'From Order'!$A1461)), 1), B1460))"),"")</f>
        <v/>
      </c>
      <c r="C1461" s="2" t="str">
        <f>IFERROR(__xludf.DUMMYFUNCTION("IF('From Order'!$A1461=COLUMNS($A1461:C1480), LEFT(INDEX(FILTER(C$1:C1460, C$1:C1460&lt;&gt;""""),COUNTA(FILTER(C$1:C1460, C$1:C1460&lt;&gt;""""))), LEN(INDEX(FILTER(C$1:C1460, C$1:C1460&lt;&gt;""""),COUNTA(FILTER(C$1:C1460, C$1:C1460&lt;&gt;""""))))-1), IF('To Order'!$A1461=COL"&amp;"UMNS($A1461:C1480), C1460&amp;RIGHT(INDIRECT(ADDRESS(ROW(C1461)-1, 'From Order'!$A1461)), 1), C1460))"),"TQVQJPPLDTMZHRDC")</f>
        <v>TQVQJPPLDTMZHRDC</v>
      </c>
      <c r="D1461" s="2" t="str">
        <f>IFERROR(__xludf.DUMMYFUNCTION("IF('From Order'!$A1461=COLUMNS($A1461:D1480), LEFT(INDEX(FILTER(D$1:D1460, D$1:D1460&lt;&gt;""""),COUNTA(FILTER(D$1:D1460, D$1:D1460&lt;&gt;""""))), LEN(INDEX(FILTER(D$1:D1460, D$1:D1460&lt;&gt;""""),COUNTA(FILTER(D$1:D1460, D$1:D1460&lt;&gt;""""))))-1), IF('To Order'!$A1461=COL"&amp;"UMNS($A1461:D1480), D1460&amp;RIGHT(INDIRECT(ADDRESS(ROW(D1461)-1, 'From Order'!$A1461)), 1), D1460))"),"C")</f>
        <v>C</v>
      </c>
      <c r="E1461" s="2" t="str">
        <f>IFERROR(__xludf.DUMMYFUNCTION("IF('From Order'!$A1461=COLUMNS($A1461:E1480), LEFT(INDEX(FILTER(E$1:E1460, E$1:E1460&lt;&gt;""""),COUNTA(FILTER(E$1:E1460, E$1:E1460&lt;&gt;""""))), LEN(INDEX(FILTER(E$1:E1460, E$1:E1460&lt;&gt;""""),COUNTA(FILTER(E$1:E1460, E$1:E1460&lt;&gt;""""))))-1), IF('To Order'!$A1461=COL"&amp;"UMNS($A1461:E1480), E1460&amp;RIGHT(INDIRECT(ADDRESS(ROW(E1461)-1, 'From Order'!$A1461)), 1), E1460))"),"HGSTDDLW")</f>
        <v>HGSTDDLW</v>
      </c>
      <c r="F1461" s="2" t="str">
        <f>IFERROR(__xludf.DUMMYFUNCTION("IF('From Order'!$A1461=COLUMNS($A1461:F1480), LEFT(INDEX(FILTER(F$1:F1460, F$1:F1460&lt;&gt;""""),COUNTA(FILTER(F$1:F1460, F$1:F1460&lt;&gt;""""))), LEN(INDEX(FILTER(F$1:F1460, F$1:F1460&lt;&gt;""""),COUNTA(FILTER(F$1:F1460, F$1:F1460&lt;&gt;""""))))-1), IF('To Order'!$A1461=COL"&amp;"UMNS($A1461:F1480), F1460&amp;RIGHT(INDIRECT(ADDRESS(ROW(F1461)-1, 'From Order'!$A1461)), 1), F1460))"),"ZRLBSTVFSCZ")</f>
        <v>ZRLBSTVFSCZ</v>
      </c>
      <c r="G1461" s="2" t="str">
        <f>IFERROR(__xludf.DUMMYFUNCTION("IF('From Order'!$A1461=COLUMNS($A1461:G1480), LEFT(INDEX(FILTER(G$1:G1460, G$1:G1460&lt;&gt;""""),COUNTA(FILTER(G$1:G1460, G$1:G1460&lt;&gt;""""))), LEN(INDEX(FILTER(G$1:G1460, G$1:G1460&lt;&gt;""""),COUNTA(FILTER(G$1:G1460, G$1:G1460&lt;&gt;""""))))-1), IF('To Order'!$A1461=COL"&amp;"UMNS($A1461:G1480), G1460&amp;RIGHT(INDIRECT(ADDRESS(ROW(G1461)-1, 'From Order'!$A1461)), 1), G1460))"),"WRMBVTTJ")</f>
        <v>WRMBVTTJ</v>
      </c>
      <c r="H1461" s="2" t="str">
        <f>IFERROR(__xludf.DUMMYFUNCTION("IF('From Order'!$A1461=COLUMNS($A1461:H1480), LEFT(INDEX(FILTER(H$1:H1460, H$1:H1460&lt;&gt;""""),COUNTA(FILTER(H$1:H1460, H$1:H1460&lt;&gt;""""))), LEN(INDEX(FILTER(H$1:H1460, H$1:H1460&lt;&gt;""""),COUNTA(FILTER(H$1:H1460, H$1:H1460&lt;&gt;""""))))-1), IF('To Order'!$A1461=COL"&amp;"UMNS($A1461:H1480), H1460&amp;RIGHT(INDIRECT(ADDRESS(ROW(H1461)-1, 'From Order'!$A1461)), 1), H1460))"),"FBPRR")</f>
        <v>FBPRR</v>
      </c>
      <c r="I1461" s="2" t="str">
        <f>IFERROR(__xludf.DUMMYFUNCTION("IF('From Order'!$A1461=COLUMNS($A1461:I1480), LEFT(INDEX(FILTER(I$1:I1460, I$1:I1460&lt;&gt;""""),COUNTA(FILTER(I$1:I1460, I$1:I1460&lt;&gt;""""))), LEN(INDEX(FILTER(I$1:I1460, I$1:I1460&lt;&gt;""""),COUNTA(FILTER(I$1:I1460, I$1:I1460&lt;&gt;""""))))-1), IF('To Order'!$A1461=COL"&amp;"UMNS($A1461:I1480), I1460&amp;RIGHT(INDIRECT(ADDRESS(ROW(I1461)-1, 'From Order'!$A1461)), 1), I1460))"),"")</f>
        <v/>
      </c>
    </row>
    <row r="1462">
      <c r="A1462" s="2" t="str">
        <f>IFERROR(__xludf.DUMMYFUNCTION("IF('From Order'!$A1462=COLUMNS($A1462:A1481), LEFT(INDEX(FILTER(A$1:A1461, A$1:A1461&lt;&gt;""""),COUNTA(FILTER(A$1:A1461, A$1:A1461&lt;&gt;""""))), LEN(INDEX(FILTER(A$1:A1461, A$1:A1461&lt;&gt;""""),COUNTA(FILTER(A$1:A1461, A$1:A1461&lt;&gt;""""))))-1), IF('To Order'!$A1462=COL"&amp;"UMNS($A1462:A1481), A1461&amp;RIGHT(INDIRECT(ADDRESS(ROW(A1462)-1, 'From Order'!$A1462)), 1), A1461))"),"MDJDSBGZ")</f>
        <v>MDJDSBGZ</v>
      </c>
      <c r="B1462" s="2" t="str">
        <f>IFERROR(__xludf.DUMMYFUNCTION("IF('From Order'!$A1462=COLUMNS($A1462:B1481), LEFT(INDEX(FILTER(B$1:B1461, B$1:B1461&lt;&gt;""""),COUNTA(FILTER(B$1:B1461, B$1:B1461&lt;&gt;""""))), LEN(INDEX(FILTER(B$1:B1461, B$1:B1461&lt;&gt;""""),COUNTA(FILTER(B$1:B1461, B$1:B1461&lt;&gt;""""))))-1), IF('To Order'!$A1462=COL"&amp;"UMNS($A1462:B1481), B1461&amp;RIGHT(INDIRECT(ADDRESS(ROW(B1462)-1, 'From Order'!$A1462)), 1), B1461))"),"")</f>
        <v/>
      </c>
      <c r="C1462" s="2" t="str">
        <f>IFERROR(__xludf.DUMMYFUNCTION("IF('From Order'!$A1462=COLUMNS($A1462:C1481), LEFT(INDEX(FILTER(C$1:C1461, C$1:C1461&lt;&gt;""""),COUNTA(FILTER(C$1:C1461, C$1:C1461&lt;&gt;""""))), LEN(INDEX(FILTER(C$1:C1461, C$1:C1461&lt;&gt;""""),COUNTA(FILTER(C$1:C1461, C$1:C1461&lt;&gt;""""))))-1), IF('To Order'!$A1462=COL"&amp;"UMNS($A1462:C1481), C1461&amp;RIGHT(INDIRECT(ADDRESS(ROW(C1462)-1, 'From Order'!$A1462)), 1), C1461))"),"TQVQJPPLDTMZHRDC")</f>
        <v>TQVQJPPLDTMZHRDC</v>
      </c>
      <c r="D1462" s="2" t="str">
        <f>IFERROR(__xludf.DUMMYFUNCTION("IF('From Order'!$A1462=COLUMNS($A1462:D1481), LEFT(INDEX(FILTER(D$1:D1461, D$1:D1461&lt;&gt;""""),COUNTA(FILTER(D$1:D1461, D$1:D1461&lt;&gt;""""))), LEN(INDEX(FILTER(D$1:D1461, D$1:D1461&lt;&gt;""""),COUNTA(FILTER(D$1:D1461, D$1:D1461&lt;&gt;""""))))-1), IF('To Order'!$A1462=COL"&amp;"UMNS($A1462:D1481), D1461&amp;RIGHT(INDIRECT(ADDRESS(ROW(D1462)-1, 'From Order'!$A1462)), 1), D1461))"),"C")</f>
        <v>C</v>
      </c>
      <c r="E1462" s="2" t="str">
        <f>IFERROR(__xludf.DUMMYFUNCTION("IF('From Order'!$A1462=COLUMNS($A1462:E1481), LEFT(INDEX(FILTER(E$1:E1461, E$1:E1461&lt;&gt;""""),COUNTA(FILTER(E$1:E1461, E$1:E1461&lt;&gt;""""))), LEN(INDEX(FILTER(E$1:E1461, E$1:E1461&lt;&gt;""""),COUNTA(FILTER(E$1:E1461, E$1:E1461&lt;&gt;""""))))-1), IF('To Order'!$A1462=COL"&amp;"UMNS($A1462:E1481), E1461&amp;RIGHT(INDIRECT(ADDRESS(ROW(E1462)-1, 'From Order'!$A1462)), 1), E1461))"),"HGSTDDLW")</f>
        <v>HGSTDDLW</v>
      </c>
      <c r="F1462" s="2" t="str">
        <f>IFERROR(__xludf.DUMMYFUNCTION("IF('From Order'!$A1462=COLUMNS($A1462:F1481), LEFT(INDEX(FILTER(F$1:F1461, F$1:F1461&lt;&gt;""""),COUNTA(FILTER(F$1:F1461, F$1:F1461&lt;&gt;""""))), LEN(INDEX(FILTER(F$1:F1461, F$1:F1461&lt;&gt;""""),COUNTA(FILTER(F$1:F1461, F$1:F1461&lt;&gt;""""))))-1), IF('To Order'!$A1462=COL"&amp;"UMNS($A1462:F1481), F1461&amp;RIGHT(INDIRECT(ADDRESS(ROW(F1462)-1, 'From Order'!$A1462)), 1), F1461))"),"ZRLBSTVFSC")</f>
        <v>ZRLBSTVFSC</v>
      </c>
      <c r="G1462" s="2" t="str">
        <f>IFERROR(__xludf.DUMMYFUNCTION("IF('From Order'!$A1462=COLUMNS($A1462:G1481), LEFT(INDEX(FILTER(G$1:G1461, G$1:G1461&lt;&gt;""""),COUNTA(FILTER(G$1:G1461, G$1:G1461&lt;&gt;""""))), LEN(INDEX(FILTER(G$1:G1461, G$1:G1461&lt;&gt;""""),COUNTA(FILTER(G$1:G1461, G$1:G1461&lt;&gt;""""))))-1), IF('To Order'!$A1462=COL"&amp;"UMNS($A1462:G1481), G1461&amp;RIGHT(INDIRECT(ADDRESS(ROW(G1462)-1, 'From Order'!$A1462)), 1), G1461))"),"WRMBVTTJ")</f>
        <v>WRMBVTTJ</v>
      </c>
      <c r="H1462" s="2" t="str">
        <f>IFERROR(__xludf.DUMMYFUNCTION("IF('From Order'!$A1462=COLUMNS($A1462:H1481), LEFT(INDEX(FILTER(H$1:H1461, H$1:H1461&lt;&gt;""""),COUNTA(FILTER(H$1:H1461, H$1:H1461&lt;&gt;""""))), LEN(INDEX(FILTER(H$1:H1461, H$1:H1461&lt;&gt;""""),COUNTA(FILTER(H$1:H1461, H$1:H1461&lt;&gt;""""))))-1), IF('To Order'!$A1462=COL"&amp;"UMNS($A1462:H1481), H1461&amp;RIGHT(INDIRECT(ADDRESS(ROW(H1462)-1, 'From Order'!$A1462)), 1), H1461))"),"FBPRR")</f>
        <v>FBPRR</v>
      </c>
      <c r="I1462" s="2" t="str">
        <f>IFERROR(__xludf.DUMMYFUNCTION("IF('From Order'!$A1462=COLUMNS($A1462:I1481), LEFT(INDEX(FILTER(I$1:I1461, I$1:I1461&lt;&gt;""""),COUNTA(FILTER(I$1:I1461, I$1:I1461&lt;&gt;""""))), LEN(INDEX(FILTER(I$1:I1461, I$1:I1461&lt;&gt;""""),COUNTA(FILTER(I$1:I1461, I$1:I1461&lt;&gt;""""))))-1), IF('To Order'!$A1462=COL"&amp;"UMNS($A1462:I1481), I1461&amp;RIGHT(INDIRECT(ADDRESS(ROW(I1462)-1, 'From Order'!$A1462)), 1), I1461))"),"")</f>
        <v/>
      </c>
    </row>
    <row r="1463">
      <c r="A1463" s="2" t="str">
        <f>IFERROR(__xludf.DUMMYFUNCTION("IF('From Order'!$A1463=COLUMNS($A1463:A1482), LEFT(INDEX(FILTER(A$1:A1462, A$1:A1462&lt;&gt;""""),COUNTA(FILTER(A$1:A1462, A$1:A1462&lt;&gt;""""))), LEN(INDEX(FILTER(A$1:A1462, A$1:A1462&lt;&gt;""""),COUNTA(FILTER(A$1:A1462, A$1:A1462&lt;&gt;""""))))-1), IF('To Order'!$A1463=COL"&amp;"UMNS($A1463:A1482), A1462&amp;RIGHT(INDIRECT(ADDRESS(ROW(A1463)-1, 'From Order'!$A1463)), 1), A1462))"),"MDJDSBGZC")</f>
        <v>MDJDSBGZC</v>
      </c>
      <c r="B1463" s="2" t="str">
        <f>IFERROR(__xludf.DUMMYFUNCTION("IF('From Order'!$A1463=COLUMNS($A1463:B1482), LEFT(INDEX(FILTER(B$1:B1462, B$1:B1462&lt;&gt;""""),COUNTA(FILTER(B$1:B1462, B$1:B1462&lt;&gt;""""))), LEN(INDEX(FILTER(B$1:B1462, B$1:B1462&lt;&gt;""""),COUNTA(FILTER(B$1:B1462, B$1:B1462&lt;&gt;""""))))-1), IF('To Order'!$A1463=COL"&amp;"UMNS($A1463:B1482), B1462&amp;RIGHT(INDIRECT(ADDRESS(ROW(B1463)-1, 'From Order'!$A1463)), 1), B1462))"),"")</f>
        <v/>
      </c>
      <c r="C1463" s="2" t="str">
        <f>IFERROR(__xludf.DUMMYFUNCTION("IF('From Order'!$A1463=COLUMNS($A1463:C1482), LEFT(INDEX(FILTER(C$1:C1462, C$1:C1462&lt;&gt;""""),COUNTA(FILTER(C$1:C1462, C$1:C1462&lt;&gt;""""))), LEN(INDEX(FILTER(C$1:C1462, C$1:C1462&lt;&gt;""""),COUNTA(FILTER(C$1:C1462, C$1:C1462&lt;&gt;""""))))-1), IF('To Order'!$A1463=COL"&amp;"UMNS($A1463:C1482), C1462&amp;RIGHT(INDIRECT(ADDRESS(ROW(C1463)-1, 'From Order'!$A1463)), 1), C1462))"),"TQVQJPPLDTMZHRDC")</f>
        <v>TQVQJPPLDTMZHRDC</v>
      </c>
      <c r="D1463" s="2" t="str">
        <f>IFERROR(__xludf.DUMMYFUNCTION("IF('From Order'!$A1463=COLUMNS($A1463:D1482), LEFT(INDEX(FILTER(D$1:D1462, D$1:D1462&lt;&gt;""""),COUNTA(FILTER(D$1:D1462, D$1:D1462&lt;&gt;""""))), LEN(INDEX(FILTER(D$1:D1462, D$1:D1462&lt;&gt;""""),COUNTA(FILTER(D$1:D1462, D$1:D1462&lt;&gt;""""))))-1), IF('To Order'!$A1463=COL"&amp;"UMNS($A1463:D1482), D1462&amp;RIGHT(INDIRECT(ADDRESS(ROW(D1463)-1, 'From Order'!$A1463)), 1), D1462))"),"C")</f>
        <v>C</v>
      </c>
      <c r="E1463" s="2" t="str">
        <f>IFERROR(__xludf.DUMMYFUNCTION("IF('From Order'!$A1463=COLUMNS($A1463:E1482), LEFT(INDEX(FILTER(E$1:E1462, E$1:E1462&lt;&gt;""""),COUNTA(FILTER(E$1:E1462, E$1:E1462&lt;&gt;""""))), LEN(INDEX(FILTER(E$1:E1462, E$1:E1462&lt;&gt;""""),COUNTA(FILTER(E$1:E1462, E$1:E1462&lt;&gt;""""))))-1), IF('To Order'!$A1463=COL"&amp;"UMNS($A1463:E1482), E1462&amp;RIGHT(INDIRECT(ADDRESS(ROW(E1463)-1, 'From Order'!$A1463)), 1), E1462))"),"HGSTDDLW")</f>
        <v>HGSTDDLW</v>
      </c>
      <c r="F1463" s="2" t="str">
        <f>IFERROR(__xludf.DUMMYFUNCTION("IF('From Order'!$A1463=COLUMNS($A1463:F1482), LEFT(INDEX(FILTER(F$1:F1462, F$1:F1462&lt;&gt;""""),COUNTA(FILTER(F$1:F1462, F$1:F1462&lt;&gt;""""))), LEN(INDEX(FILTER(F$1:F1462, F$1:F1462&lt;&gt;""""),COUNTA(FILTER(F$1:F1462, F$1:F1462&lt;&gt;""""))))-1), IF('To Order'!$A1463=COL"&amp;"UMNS($A1463:F1482), F1462&amp;RIGHT(INDIRECT(ADDRESS(ROW(F1463)-1, 'From Order'!$A1463)), 1), F1462))"),"ZRLBSTVFS")</f>
        <v>ZRLBSTVFS</v>
      </c>
      <c r="G1463" s="2" t="str">
        <f>IFERROR(__xludf.DUMMYFUNCTION("IF('From Order'!$A1463=COLUMNS($A1463:G1482), LEFT(INDEX(FILTER(G$1:G1462, G$1:G1462&lt;&gt;""""),COUNTA(FILTER(G$1:G1462, G$1:G1462&lt;&gt;""""))), LEN(INDEX(FILTER(G$1:G1462, G$1:G1462&lt;&gt;""""),COUNTA(FILTER(G$1:G1462, G$1:G1462&lt;&gt;""""))))-1), IF('To Order'!$A1463=COL"&amp;"UMNS($A1463:G1482), G1462&amp;RIGHT(INDIRECT(ADDRESS(ROW(G1463)-1, 'From Order'!$A1463)), 1), G1462))"),"WRMBVTTJ")</f>
        <v>WRMBVTTJ</v>
      </c>
      <c r="H1463" s="2" t="str">
        <f>IFERROR(__xludf.DUMMYFUNCTION("IF('From Order'!$A1463=COLUMNS($A1463:H1482), LEFT(INDEX(FILTER(H$1:H1462, H$1:H1462&lt;&gt;""""),COUNTA(FILTER(H$1:H1462, H$1:H1462&lt;&gt;""""))), LEN(INDEX(FILTER(H$1:H1462, H$1:H1462&lt;&gt;""""),COUNTA(FILTER(H$1:H1462, H$1:H1462&lt;&gt;""""))))-1), IF('To Order'!$A1463=COL"&amp;"UMNS($A1463:H1482), H1462&amp;RIGHT(INDIRECT(ADDRESS(ROW(H1463)-1, 'From Order'!$A1463)), 1), H1462))"),"FBPRR")</f>
        <v>FBPRR</v>
      </c>
      <c r="I1463" s="2" t="str">
        <f>IFERROR(__xludf.DUMMYFUNCTION("IF('From Order'!$A1463=COLUMNS($A1463:I1482), LEFT(INDEX(FILTER(I$1:I1462, I$1:I1462&lt;&gt;""""),COUNTA(FILTER(I$1:I1462, I$1:I1462&lt;&gt;""""))), LEN(INDEX(FILTER(I$1:I1462, I$1:I1462&lt;&gt;""""),COUNTA(FILTER(I$1:I1462, I$1:I1462&lt;&gt;""""))))-1), IF('To Order'!$A1463=COL"&amp;"UMNS($A1463:I1482), I1462&amp;RIGHT(INDIRECT(ADDRESS(ROW(I1463)-1, 'From Order'!$A1463)), 1), I1462))"),"")</f>
        <v/>
      </c>
    </row>
    <row r="1464">
      <c r="A1464" s="2" t="str">
        <f>IFERROR(__xludf.DUMMYFUNCTION("IF('From Order'!$A1464=COLUMNS($A1464:A1483), LEFT(INDEX(FILTER(A$1:A1463, A$1:A1463&lt;&gt;""""),COUNTA(FILTER(A$1:A1463, A$1:A1463&lt;&gt;""""))), LEN(INDEX(FILTER(A$1:A1463, A$1:A1463&lt;&gt;""""),COUNTA(FILTER(A$1:A1463, A$1:A1463&lt;&gt;""""))))-1), IF('To Order'!$A1464=COL"&amp;"UMNS($A1464:A1483), A1463&amp;RIGHT(INDIRECT(ADDRESS(ROW(A1464)-1, 'From Order'!$A1464)), 1), A1463))"),"MDJDSBGZCS")</f>
        <v>MDJDSBGZCS</v>
      </c>
      <c r="B1464" s="2" t="str">
        <f>IFERROR(__xludf.DUMMYFUNCTION("IF('From Order'!$A1464=COLUMNS($A1464:B1483), LEFT(INDEX(FILTER(B$1:B1463, B$1:B1463&lt;&gt;""""),COUNTA(FILTER(B$1:B1463, B$1:B1463&lt;&gt;""""))), LEN(INDEX(FILTER(B$1:B1463, B$1:B1463&lt;&gt;""""),COUNTA(FILTER(B$1:B1463, B$1:B1463&lt;&gt;""""))))-1), IF('To Order'!$A1464=COL"&amp;"UMNS($A1464:B1483), B1463&amp;RIGHT(INDIRECT(ADDRESS(ROW(B1464)-1, 'From Order'!$A1464)), 1), B1463))"),"")</f>
        <v/>
      </c>
      <c r="C1464" s="2" t="str">
        <f>IFERROR(__xludf.DUMMYFUNCTION("IF('From Order'!$A1464=COLUMNS($A1464:C1483), LEFT(INDEX(FILTER(C$1:C1463, C$1:C1463&lt;&gt;""""),COUNTA(FILTER(C$1:C1463, C$1:C1463&lt;&gt;""""))), LEN(INDEX(FILTER(C$1:C1463, C$1:C1463&lt;&gt;""""),COUNTA(FILTER(C$1:C1463, C$1:C1463&lt;&gt;""""))))-1), IF('To Order'!$A1464=COL"&amp;"UMNS($A1464:C1483), C1463&amp;RIGHT(INDIRECT(ADDRESS(ROW(C1464)-1, 'From Order'!$A1464)), 1), C1463))"),"TQVQJPPLDTMZHRDC")</f>
        <v>TQVQJPPLDTMZHRDC</v>
      </c>
      <c r="D1464" s="2" t="str">
        <f>IFERROR(__xludf.DUMMYFUNCTION("IF('From Order'!$A1464=COLUMNS($A1464:D1483), LEFT(INDEX(FILTER(D$1:D1463, D$1:D1463&lt;&gt;""""),COUNTA(FILTER(D$1:D1463, D$1:D1463&lt;&gt;""""))), LEN(INDEX(FILTER(D$1:D1463, D$1:D1463&lt;&gt;""""),COUNTA(FILTER(D$1:D1463, D$1:D1463&lt;&gt;""""))))-1), IF('To Order'!$A1464=COL"&amp;"UMNS($A1464:D1483), D1463&amp;RIGHT(INDIRECT(ADDRESS(ROW(D1464)-1, 'From Order'!$A1464)), 1), D1463))"),"C")</f>
        <v>C</v>
      </c>
      <c r="E1464" s="2" t="str">
        <f>IFERROR(__xludf.DUMMYFUNCTION("IF('From Order'!$A1464=COLUMNS($A1464:E1483), LEFT(INDEX(FILTER(E$1:E1463, E$1:E1463&lt;&gt;""""),COUNTA(FILTER(E$1:E1463, E$1:E1463&lt;&gt;""""))), LEN(INDEX(FILTER(E$1:E1463, E$1:E1463&lt;&gt;""""),COUNTA(FILTER(E$1:E1463, E$1:E1463&lt;&gt;""""))))-1), IF('To Order'!$A1464=COL"&amp;"UMNS($A1464:E1483), E1463&amp;RIGHT(INDIRECT(ADDRESS(ROW(E1464)-1, 'From Order'!$A1464)), 1), E1463))"),"HGSTDDLW")</f>
        <v>HGSTDDLW</v>
      </c>
      <c r="F1464" s="2" t="str">
        <f>IFERROR(__xludf.DUMMYFUNCTION("IF('From Order'!$A1464=COLUMNS($A1464:F1483), LEFT(INDEX(FILTER(F$1:F1463, F$1:F1463&lt;&gt;""""),COUNTA(FILTER(F$1:F1463, F$1:F1463&lt;&gt;""""))), LEN(INDEX(FILTER(F$1:F1463, F$1:F1463&lt;&gt;""""),COUNTA(FILTER(F$1:F1463, F$1:F1463&lt;&gt;""""))))-1), IF('To Order'!$A1464=COL"&amp;"UMNS($A1464:F1483), F1463&amp;RIGHT(INDIRECT(ADDRESS(ROW(F1464)-1, 'From Order'!$A1464)), 1), F1463))"),"ZRLBSTVF")</f>
        <v>ZRLBSTVF</v>
      </c>
      <c r="G1464" s="2" t="str">
        <f>IFERROR(__xludf.DUMMYFUNCTION("IF('From Order'!$A1464=COLUMNS($A1464:G1483), LEFT(INDEX(FILTER(G$1:G1463, G$1:G1463&lt;&gt;""""),COUNTA(FILTER(G$1:G1463, G$1:G1463&lt;&gt;""""))), LEN(INDEX(FILTER(G$1:G1463, G$1:G1463&lt;&gt;""""),COUNTA(FILTER(G$1:G1463, G$1:G1463&lt;&gt;""""))))-1), IF('To Order'!$A1464=COL"&amp;"UMNS($A1464:G1483), G1463&amp;RIGHT(INDIRECT(ADDRESS(ROW(G1464)-1, 'From Order'!$A1464)), 1), G1463))"),"WRMBVTTJ")</f>
        <v>WRMBVTTJ</v>
      </c>
      <c r="H1464" s="2" t="str">
        <f>IFERROR(__xludf.DUMMYFUNCTION("IF('From Order'!$A1464=COLUMNS($A1464:H1483), LEFT(INDEX(FILTER(H$1:H1463, H$1:H1463&lt;&gt;""""),COUNTA(FILTER(H$1:H1463, H$1:H1463&lt;&gt;""""))), LEN(INDEX(FILTER(H$1:H1463, H$1:H1463&lt;&gt;""""),COUNTA(FILTER(H$1:H1463, H$1:H1463&lt;&gt;""""))))-1), IF('To Order'!$A1464=COL"&amp;"UMNS($A1464:H1483), H1463&amp;RIGHT(INDIRECT(ADDRESS(ROW(H1464)-1, 'From Order'!$A1464)), 1), H1463))"),"FBPRR")</f>
        <v>FBPRR</v>
      </c>
      <c r="I1464" s="2" t="str">
        <f>IFERROR(__xludf.DUMMYFUNCTION("IF('From Order'!$A1464=COLUMNS($A1464:I1483), LEFT(INDEX(FILTER(I$1:I1463, I$1:I1463&lt;&gt;""""),COUNTA(FILTER(I$1:I1463, I$1:I1463&lt;&gt;""""))), LEN(INDEX(FILTER(I$1:I1463, I$1:I1463&lt;&gt;""""),COUNTA(FILTER(I$1:I1463, I$1:I1463&lt;&gt;""""))))-1), IF('To Order'!$A1464=COL"&amp;"UMNS($A1464:I1483), I1463&amp;RIGHT(INDIRECT(ADDRESS(ROW(I1464)-1, 'From Order'!$A1464)), 1), I1463))"),"")</f>
        <v/>
      </c>
    </row>
    <row r="1465">
      <c r="A1465" s="2" t="str">
        <f>IFERROR(__xludf.DUMMYFUNCTION("IF('From Order'!$A1465=COLUMNS($A1465:A1484), LEFT(INDEX(FILTER(A$1:A1464, A$1:A1464&lt;&gt;""""),COUNTA(FILTER(A$1:A1464, A$1:A1464&lt;&gt;""""))), LEN(INDEX(FILTER(A$1:A1464, A$1:A1464&lt;&gt;""""),COUNTA(FILTER(A$1:A1464, A$1:A1464&lt;&gt;""""))))-1), IF('To Order'!$A1465=COL"&amp;"UMNS($A1465:A1484), A1464&amp;RIGHT(INDIRECT(ADDRESS(ROW(A1465)-1, 'From Order'!$A1465)), 1), A1464))"),"MDJDSBGZCSF")</f>
        <v>MDJDSBGZCSF</v>
      </c>
      <c r="B1465" s="2" t="str">
        <f>IFERROR(__xludf.DUMMYFUNCTION("IF('From Order'!$A1465=COLUMNS($A1465:B1484), LEFT(INDEX(FILTER(B$1:B1464, B$1:B1464&lt;&gt;""""),COUNTA(FILTER(B$1:B1464, B$1:B1464&lt;&gt;""""))), LEN(INDEX(FILTER(B$1:B1464, B$1:B1464&lt;&gt;""""),COUNTA(FILTER(B$1:B1464, B$1:B1464&lt;&gt;""""))))-1), IF('To Order'!$A1465=COL"&amp;"UMNS($A1465:B1484), B1464&amp;RIGHT(INDIRECT(ADDRESS(ROW(B1465)-1, 'From Order'!$A1465)), 1), B1464))"),"")</f>
        <v/>
      </c>
      <c r="C1465" s="2" t="str">
        <f>IFERROR(__xludf.DUMMYFUNCTION("IF('From Order'!$A1465=COLUMNS($A1465:C1484), LEFT(INDEX(FILTER(C$1:C1464, C$1:C1464&lt;&gt;""""),COUNTA(FILTER(C$1:C1464, C$1:C1464&lt;&gt;""""))), LEN(INDEX(FILTER(C$1:C1464, C$1:C1464&lt;&gt;""""),COUNTA(FILTER(C$1:C1464, C$1:C1464&lt;&gt;""""))))-1), IF('To Order'!$A1465=COL"&amp;"UMNS($A1465:C1484), C1464&amp;RIGHT(INDIRECT(ADDRESS(ROW(C1465)-1, 'From Order'!$A1465)), 1), C1464))"),"TQVQJPPLDTMZHRDC")</f>
        <v>TQVQJPPLDTMZHRDC</v>
      </c>
      <c r="D1465" s="2" t="str">
        <f>IFERROR(__xludf.DUMMYFUNCTION("IF('From Order'!$A1465=COLUMNS($A1465:D1484), LEFT(INDEX(FILTER(D$1:D1464, D$1:D1464&lt;&gt;""""),COUNTA(FILTER(D$1:D1464, D$1:D1464&lt;&gt;""""))), LEN(INDEX(FILTER(D$1:D1464, D$1:D1464&lt;&gt;""""),COUNTA(FILTER(D$1:D1464, D$1:D1464&lt;&gt;""""))))-1), IF('To Order'!$A1465=COL"&amp;"UMNS($A1465:D1484), D1464&amp;RIGHT(INDIRECT(ADDRESS(ROW(D1465)-1, 'From Order'!$A1465)), 1), D1464))"),"C")</f>
        <v>C</v>
      </c>
      <c r="E1465" s="2" t="str">
        <f>IFERROR(__xludf.DUMMYFUNCTION("IF('From Order'!$A1465=COLUMNS($A1465:E1484), LEFT(INDEX(FILTER(E$1:E1464, E$1:E1464&lt;&gt;""""),COUNTA(FILTER(E$1:E1464, E$1:E1464&lt;&gt;""""))), LEN(INDEX(FILTER(E$1:E1464, E$1:E1464&lt;&gt;""""),COUNTA(FILTER(E$1:E1464, E$1:E1464&lt;&gt;""""))))-1), IF('To Order'!$A1465=COL"&amp;"UMNS($A1465:E1484), E1464&amp;RIGHT(INDIRECT(ADDRESS(ROW(E1465)-1, 'From Order'!$A1465)), 1), E1464))"),"HGSTDDLW")</f>
        <v>HGSTDDLW</v>
      </c>
      <c r="F1465" s="2" t="str">
        <f>IFERROR(__xludf.DUMMYFUNCTION("IF('From Order'!$A1465=COLUMNS($A1465:F1484), LEFT(INDEX(FILTER(F$1:F1464, F$1:F1464&lt;&gt;""""),COUNTA(FILTER(F$1:F1464, F$1:F1464&lt;&gt;""""))), LEN(INDEX(FILTER(F$1:F1464, F$1:F1464&lt;&gt;""""),COUNTA(FILTER(F$1:F1464, F$1:F1464&lt;&gt;""""))))-1), IF('To Order'!$A1465=COL"&amp;"UMNS($A1465:F1484), F1464&amp;RIGHT(INDIRECT(ADDRESS(ROW(F1465)-1, 'From Order'!$A1465)), 1), F1464))"),"ZRLBSTV")</f>
        <v>ZRLBSTV</v>
      </c>
      <c r="G1465" s="2" t="str">
        <f>IFERROR(__xludf.DUMMYFUNCTION("IF('From Order'!$A1465=COLUMNS($A1465:G1484), LEFT(INDEX(FILTER(G$1:G1464, G$1:G1464&lt;&gt;""""),COUNTA(FILTER(G$1:G1464, G$1:G1464&lt;&gt;""""))), LEN(INDEX(FILTER(G$1:G1464, G$1:G1464&lt;&gt;""""),COUNTA(FILTER(G$1:G1464, G$1:G1464&lt;&gt;""""))))-1), IF('To Order'!$A1465=COL"&amp;"UMNS($A1465:G1484), G1464&amp;RIGHT(INDIRECT(ADDRESS(ROW(G1465)-1, 'From Order'!$A1465)), 1), G1464))"),"WRMBVTTJ")</f>
        <v>WRMBVTTJ</v>
      </c>
      <c r="H1465" s="2" t="str">
        <f>IFERROR(__xludf.DUMMYFUNCTION("IF('From Order'!$A1465=COLUMNS($A1465:H1484), LEFT(INDEX(FILTER(H$1:H1464, H$1:H1464&lt;&gt;""""),COUNTA(FILTER(H$1:H1464, H$1:H1464&lt;&gt;""""))), LEN(INDEX(FILTER(H$1:H1464, H$1:H1464&lt;&gt;""""),COUNTA(FILTER(H$1:H1464, H$1:H1464&lt;&gt;""""))))-1), IF('To Order'!$A1465=COL"&amp;"UMNS($A1465:H1484), H1464&amp;RIGHT(INDIRECT(ADDRESS(ROW(H1465)-1, 'From Order'!$A1465)), 1), H1464))"),"FBPRR")</f>
        <v>FBPRR</v>
      </c>
      <c r="I1465" s="2" t="str">
        <f>IFERROR(__xludf.DUMMYFUNCTION("IF('From Order'!$A1465=COLUMNS($A1465:I1484), LEFT(INDEX(FILTER(I$1:I1464, I$1:I1464&lt;&gt;""""),COUNTA(FILTER(I$1:I1464, I$1:I1464&lt;&gt;""""))), LEN(INDEX(FILTER(I$1:I1464, I$1:I1464&lt;&gt;""""),COUNTA(FILTER(I$1:I1464, I$1:I1464&lt;&gt;""""))))-1), IF('To Order'!$A1465=COL"&amp;"UMNS($A1465:I1484), I1464&amp;RIGHT(INDIRECT(ADDRESS(ROW(I1465)-1, 'From Order'!$A1465)), 1), I1464))"),"")</f>
        <v/>
      </c>
    </row>
    <row r="1466">
      <c r="A1466" s="2" t="str">
        <f>IFERROR(__xludf.DUMMYFUNCTION("IF('From Order'!$A1466=COLUMNS($A1466:A1485), LEFT(INDEX(FILTER(A$1:A1465, A$1:A1465&lt;&gt;""""),COUNTA(FILTER(A$1:A1465, A$1:A1465&lt;&gt;""""))), LEN(INDEX(FILTER(A$1:A1465, A$1:A1465&lt;&gt;""""),COUNTA(FILTER(A$1:A1465, A$1:A1465&lt;&gt;""""))))-1), IF('To Order'!$A1466=COL"&amp;"UMNS($A1466:A1485), A1465&amp;RIGHT(INDIRECT(ADDRESS(ROW(A1466)-1, 'From Order'!$A1466)), 1), A1465))"),"MDJDSBGZCSFV")</f>
        <v>MDJDSBGZCSFV</v>
      </c>
      <c r="B1466" s="2" t="str">
        <f>IFERROR(__xludf.DUMMYFUNCTION("IF('From Order'!$A1466=COLUMNS($A1466:B1485), LEFT(INDEX(FILTER(B$1:B1465, B$1:B1465&lt;&gt;""""),COUNTA(FILTER(B$1:B1465, B$1:B1465&lt;&gt;""""))), LEN(INDEX(FILTER(B$1:B1465, B$1:B1465&lt;&gt;""""),COUNTA(FILTER(B$1:B1465, B$1:B1465&lt;&gt;""""))))-1), IF('To Order'!$A1466=COL"&amp;"UMNS($A1466:B1485), B1465&amp;RIGHT(INDIRECT(ADDRESS(ROW(B1466)-1, 'From Order'!$A1466)), 1), B1465))"),"")</f>
        <v/>
      </c>
      <c r="C1466" s="2" t="str">
        <f>IFERROR(__xludf.DUMMYFUNCTION("IF('From Order'!$A1466=COLUMNS($A1466:C1485), LEFT(INDEX(FILTER(C$1:C1465, C$1:C1465&lt;&gt;""""),COUNTA(FILTER(C$1:C1465, C$1:C1465&lt;&gt;""""))), LEN(INDEX(FILTER(C$1:C1465, C$1:C1465&lt;&gt;""""),COUNTA(FILTER(C$1:C1465, C$1:C1465&lt;&gt;""""))))-1), IF('To Order'!$A1466=COL"&amp;"UMNS($A1466:C1485), C1465&amp;RIGHT(INDIRECT(ADDRESS(ROW(C1466)-1, 'From Order'!$A1466)), 1), C1465))"),"TQVQJPPLDTMZHRDC")</f>
        <v>TQVQJPPLDTMZHRDC</v>
      </c>
      <c r="D1466" s="2" t="str">
        <f>IFERROR(__xludf.DUMMYFUNCTION("IF('From Order'!$A1466=COLUMNS($A1466:D1485), LEFT(INDEX(FILTER(D$1:D1465, D$1:D1465&lt;&gt;""""),COUNTA(FILTER(D$1:D1465, D$1:D1465&lt;&gt;""""))), LEN(INDEX(FILTER(D$1:D1465, D$1:D1465&lt;&gt;""""),COUNTA(FILTER(D$1:D1465, D$1:D1465&lt;&gt;""""))))-1), IF('To Order'!$A1466=COL"&amp;"UMNS($A1466:D1485), D1465&amp;RIGHT(INDIRECT(ADDRESS(ROW(D1466)-1, 'From Order'!$A1466)), 1), D1465))"),"C")</f>
        <v>C</v>
      </c>
      <c r="E1466" s="2" t="str">
        <f>IFERROR(__xludf.DUMMYFUNCTION("IF('From Order'!$A1466=COLUMNS($A1466:E1485), LEFT(INDEX(FILTER(E$1:E1465, E$1:E1465&lt;&gt;""""),COUNTA(FILTER(E$1:E1465, E$1:E1465&lt;&gt;""""))), LEN(INDEX(FILTER(E$1:E1465, E$1:E1465&lt;&gt;""""),COUNTA(FILTER(E$1:E1465, E$1:E1465&lt;&gt;""""))))-1), IF('To Order'!$A1466=COL"&amp;"UMNS($A1466:E1485), E1465&amp;RIGHT(INDIRECT(ADDRESS(ROW(E1466)-1, 'From Order'!$A1466)), 1), E1465))"),"HGSTDDLW")</f>
        <v>HGSTDDLW</v>
      </c>
      <c r="F1466" s="2" t="str">
        <f>IFERROR(__xludf.DUMMYFUNCTION("IF('From Order'!$A1466=COLUMNS($A1466:F1485), LEFT(INDEX(FILTER(F$1:F1465, F$1:F1465&lt;&gt;""""),COUNTA(FILTER(F$1:F1465, F$1:F1465&lt;&gt;""""))), LEN(INDEX(FILTER(F$1:F1465, F$1:F1465&lt;&gt;""""),COUNTA(FILTER(F$1:F1465, F$1:F1465&lt;&gt;""""))))-1), IF('To Order'!$A1466=COL"&amp;"UMNS($A1466:F1485), F1465&amp;RIGHT(INDIRECT(ADDRESS(ROW(F1466)-1, 'From Order'!$A1466)), 1), F1465))"),"ZRLBST")</f>
        <v>ZRLBST</v>
      </c>
      <c r="G1466" s="2" t="str">
        <f>IFERROR(__xludf.DUMMYFUNCTION("IF('From Order'!$A1466=COLUMNS($A1466:G1485), LEFT(INDEX(FILTER(G$1:G1465, G$1:G1465&lt;&gt;""""),COUNTA(FILTER(G$1:G1465, G$1:G1465&lt;&gt;""""))), LEN(INDEX(FILTER(G$1:G1465, G$1:G1465&lt;&gt;""""),COUNTA(FILTER(G$1:G1465, G$1:G1465&lt;&gt;""""))))-1), IF('To Order'!$A1466=COL"&amp;"UMNS($A1466:G1485), G1465&amp;RIGHT(INDIRECT(ADDRESS(ROW(G1466)-1, 'From Order'!$A1466)), 1), G1465))"),"WRMBVTTJ")</f>
        <v>WRMBVTTJ</v>
      </c>
      <c r="H1466" s="2" t="str">
        <f>IFERROR(__xludf.DUMMYFUNCTION("IF('From Order'!$A1466=COLUMNS($A1466:H1485), LEFT(INDEX(FILTER(H$1:H1465, H$1:H1465&lt;&gt;""""),COUNTA(FILTER(H$1:H1465, H$1:H1465&lt;&gt;""""))), LEN(INDEX(FILTER(H$1:H1465, H$1:H1465&lt;&gt;""""),COUNTA(FILTER(H$1:H1465, H$1:H1465&lt;&gt;""""))))-1), IF('To Order'!$A1466=COL"&amp;"UMNS($A1466:H1485), H1465&amp;RIGHT(INDIRECT(ADDRESS(ROW(H1466)-1, 'From Order'!$A1466)), 1), H1465))"),"FBPRR")</f>
        <v>FBPRR</v>
      </c>
      <c r="I1466" s="2" t="str">
        <f>IFERROR(__xludf.DUMMYFUNCTION("IF('From Order'!$A1466=COLUMNS($A1466:I1485), LEFT(INDEX(FILTER(I$1:I1465, I$1:I1465&lt;&gt;""""),COUNTA(FILTER(I$1:I1465, I$1:I1465&lt;&gt;""""))), LEN(INDEX(FILTER(I$1:I1465, I$1:I1465&lt;&gt;""""),COUNTA(FILTER(I$1:I1465, I$1:I1465&lt;&gt;""""))))-1), IF('To Order'!$A1466=COL"&amp;"UMNS($A1466:I1485), I1465&amp;RIGHT(INDIRECT(ADDRESS(ROW(I1466)-1, 'From Order'!$A1466)), 1), I1465))"),"")</f>
        <v/>
      </c>
    </row>
    <row r="1467">
      <c r="A1467" s="2" t="str">
        <f>IFERROR(__xludf.DUMMYFUNCTION("IF('From Order'!$A1467=COLUMNS($A1467:A1486), LEFT(INDEX(FILTER(A$1:A1466, A$1:A1466&lt;&gt;""""),COUNTA(FILTER(A$1:A1466, A$1:A1466&lt;&gt;""""))), LEN(INDEX(FILTER(A$1:A1466, A$1:A1466&lt;&gt;""""),COUNTA(FILTER(A$1:A1466, A$1:A1466&lt;&gt;""""))))-1), IF('To Order'!$A1467=COL"&amp;"UMNS($A1467:A1486), A1466&amp;RIGHT(INDIRECT(ADDRESS(ROW(A1467)-1, 'From Order'!$A1467)), 1), A1466))"),"MDJDSBGZCSFVT")</f>
        <v>MDJDSBGZCSFVT</v>
      </c>
      <c r="B1467" s="2" t="str">
        <f>IFERROR(__xludf.DUMMYFUNCTION("IF('From Order'!$A1467=COLUMNS($A1467:B1486), LEFT(INDEX(FILTER(B$1:B1466, B$1:B1466&lt;&gt;""""),COUNTA(FILTER(B$1:B1466, B$1:B1466&lt;&gt;""""))), LEN(INDEX(FILTER(B$1:B1466, B$1:B1466&lt;&gt;""""),COUNTA(FILTER(B$1:B1466, B$1:B1466&lt;&gt;""""))))-1), IF('To Order'!$A1467=COL"&amp;"UMNS($A1467:B1486), B1466&amp;RIGHT(INDIRECT(ADDRESS(ROW(B1467)-1, 'From Order'!$A1467)), 1), B1466))"),"")</f>
        <v/>
      </c>
      <c r="C1467" s="2" t="str">
        <f>IFERROR(__xludf.DUMMYFUNCTION("IF('From Order'!$A1467=COLUMNS($A1467:C1486), LEFT(INDEX(FILTER(C$1:C1466, C$1:C1466&lt;&gt;""""),COUNTA(FILTER(C$1:C1466, C$1:C1466&lt;&gt;""""))), LEN(INDEX(FILTER(C$1:C1466, C$1:C1466&lt;&gt;""""),COUNTA(FILTER(C$1:C1466, C$1:C1466&lt;&gt;""""))))-1), IF('To Order'!$A1467=COL"&amp;"UMNS($A1467:C1486), C1466&amp;RIGHT(INDIRECT(ADDRESS(ROW(C1467)-1, 'From Order'!$A1467)), 1), C1466))"),"TQVQJPPLDTMZHRDC")</f>
        <v>TQVQJPPLDTMZHRDC</v>
      </c>
      <c r="D1467" s="2" t="str">
        <f>IFERROR(__xludf.DUMMYFUNCTION("IF('From Order'!$A1467=COLUMNS($A1467:D1486), LEFT(INDEX(FILTER(D$1:D1466, D$1:D1466&lt;&gt;""""),COUNTA(FILTER(D$1:D1466, D$1:D1466&lt;&gt;""""))), LEN(INDEX(FILTER(D$1:D1466, D$1:D1466&lt;&gt;""""),COUNTA(FILTER(D$1:D1466, D$1:D1466&lt;&gt;""""))))-1), IF('To Order'!$A1467=COL"&amp;"UMNS($A1467:D1486), D1466&amp;RIGHT(INDIRECT(ADDRESS(ROW(D1467)-1, 'From Order'!$A1467)), 1), D1466))"),"C")</f>
        <v>C</v>
      </c>
      <c r="E1467" s="2" t="str">
        <f>IFERROR(__xludf.DUMMYFUNCTION("IF('From Order'!$A1467=COLUMNS($A1467:E1486), LEFT(INDEX(FILTER(E$1:E1466, E$1:E1466&lt;&gt;""""),COUNTA(FILTER(E$1:E1466, E$1:E1466&lt;&gt;""""))), LEN(INDEX(FILTER(E$1:E1466, E$1:E1466&lt;&gt;""""),COUNTA(FILTER(E$1:E1466, E$1:E1466&lt;&gt;""""))))-1), IF('To Order'!$A1467=COL"&amp;"UMNS($A1467:E1486), E1466&amp;RIGHT(INDIRECT(ADDRESS(ROW(E1467)-1, 'From Order'!$A1467)), 1), E1466))"),"HGSTDDLW")</f>
        <v>HGSTDDLW</v>
      </c>
      <c r="F1467" s="2" t="str">
        <f>IFERROR(__xludf.DUMMYFUNCTION("IF('From Order'!$A1467=COLUMNS($A1467:F1486), LEFT(INDEX(FILTER(F$1:F1466, F$1:F1466&lt;&gt;""""),COUNTA(FILTER(F$1:F1466, F$1:F1466&lt;&gt;""""))), LEN(INDEX(FILTER(F$1:F1466, F$1:F1466&lt;&gt;""""),COUNTA(FILTER(F$1:F1466, F$1:F1466&lt;&gt;""""))))-1), IF('To Order'!$A1467=COL"&amp;"UMNS($A1467:F1486), F1466&amp;RIGHT(INDIRECT(ADDRESS(ROW(F1467)-1, 'From Order'!$A1467)), 1), F1466))"),"ZRLBS")</f>
        <v>ZRLBS</v>
      </c>
      <c r="G1467" s="2" t="str">
        <f>IFERROR(__xludf.DUMMYFUNCTION("IF('From Order'!$A1467=COLUMNS($A1467:G1486), LEFT(INDEX(FILTER(G$1:G1466, G$1:G1466&lt;&gt;""""),COUNTA(FILTER(G$1:G1466, G$1:G1466&lt;&gt;""""))), LEN(INDEX(FILTER(G$1:G1466, G$1:G1466&lt;&gt;""""),COUNTA(FILTER(G$1:G1466, G$1:G1466&lt;&gt;""""))))-1), IF('To Order'!$A1467=COL"&amp;"UMNS($A1467:G1486), G1466&amp;RIGHT(INDIRECT(ADDRESS(ROW(G1467)-1, 'From Order'!$A1467)), 1), G1466))"),"WRMBVTTJ")</f>
        <v>WRMBVTTJ</v>
      </c>
      <c r="H1467" s="2" t="str">
        <f>IFERROR(__xludf.DUMMYFUNCTION("IF('From Order'!$A1467=COLUMNS($A1467:H1486), LEFT(INDEX(FILTER(H$1:H1466, H$1:H1466&lt;&gt;""""),COUNTA(FILTER(H$1:H1466, H$1:H1466&lt;&gt;""""))), LEN(INDEX(FILTER(H$1:H1466, H$1:H1466&lt;&gt;""""),COUNTA(FILTER(H$1:H1466, H$1:H1466&lt;&gt;""""))))-1), IF('To Order'!$A1467=COL"&amp;"UMNS($A1467:H1486), H1466&amp;RIGHT(INDIRECT(ADDRESS(ROW(H1467)-1, 'From Order'!$A1467)), 1), H1466))"),"FBPRR")</f>
        <v>FBPRR</v>
      </c>
      <c r="I1467" s="2" t="str">
        <f>IFERROR(__xludf.DUMMYFUNCTION("IF('From Order'!$A1467=COLUMNS($A1467:I1486), LEFT(INDEX(FILTER(I$1:I1466, I$1:I1466&lt;&gt;""""),COUNTA(FILTER(I$1:I1466, I$1:I1466&lt;&gt;""""))), LEN(INDEX(FILTER(I$1:I1466, I$1:I1466&lt;&gt;""""),COUNTA(FILTER(I$1:I1466, I$1:I1466&lt;&gt;""""))))-1), IF('To Order'!$A1467=COL"&amp;"UMNS($A1467:I1486), I1466&amp;RIGHT(INDIRECT(ADDRESS(ROW(I1467)-1, 'From Order'!$A1467)), 1), I1466))"),"")</f>
        <v/>
      </c>
    </row>
    <row r="1468">
      <c r="A1468" s="2" t="str">
        <f>IFERROR(__xludf.DUMMYFUNCTION("IF('From Order'!$A1468=COLUMNS($A1468:A1487), LEFT(INDEX(FILTER(A$1:A1467, A$1:A1467&lt;&gt;""""),COUNTA(FILTER(A$1:A1467, A$1:A1467&lt;&gt;""""))), LEN(INDEX(FILTER(A$1:A1467, A$1:A1467&lt;&gt;""""),COUNTA(FILTER(A$1:A1467, A$1:A1467&lt;&gt;""""))))-1), IF('To Order'!$A1468=COL"&amp;"UMNS($A1468:A1487), A1467&amp;RIGHT(INDIRECT(ADDRESS(ROW(A1468)-1, 'From Order'!$A1468)), 1), A1467))"),"MDJDSBGZCSFVTS")</f>
        <v>MDJDSBGZCSFVTS</v>
      </c>
      <c r="B1468" s="2" t="str">
        <f>IFERROR(__xludf.DUMMYFUNCTION("IF('From Order'!$A1468=COLUMNS($A1468:B1487), LEFT(INDEX(FILTER(B$1:B1467, B$1:B1467&lt;&gt;""""),COUNTA(FILTER(B$1:B1467, B$1:B1467&lt;&gt;""""))), LEN(INDEX(FILTER(B$1:B1467, B$1:B1467&lt;&gt;""""),COUNTA(FILTER(B$1:B1467, B$1:B1467&lt;&gt;""""))))-1), IF('To Order'!$A1468=COL"&amp;"UMNS($A1468:B1487), B1467&amp;RIGHT(INDIRECT(ADDRESS(ROW(B1468)-1, 'From Order'!$A1468)), 1), B1467))"),"")</f>
        <v/>
      </c>
      <c r="C1468" s="2" t="str">
        <f>IFERROR(__xludf.DUMMYFUNCTION("IF('From Order'!$A1468=COLUMNS($A1468:C1487), LEFT(INDEX(FILTER(C$1:C1467, C$1:C1467&lt;&gt;""""),COUNTA(FILTER(C$1:C1467, C$1:C1467&lt;&gt;""""))), LEN(INDEX(FILTER(C$1:C1467, C$1:C1467&lt;&gt;""""),COUNTA(FILTER(C$1:C1467, C$1:C1467&lt;&gt;""""))))-1), IF('To Order'!$A1468=COL"&amp;"UMNS($A1468:C1487), C1467&amp;RIGHT(INDIRECT(ADDRESS(ROW(C1468)-1, 'From Order'!$A1468)), 1), C1467))"),"TQVQJPPLDTMZHRDC")</f>
        <v>TQVQJPPLDTMZHRDC</v>
      </c>
      <c r="D1468" s="2" t="str">
        <f>IFERROR(__xludf.DUMMYFUNCTION("IF('From Order'!$A1468=COLUMNS($A1468:D1487), LEFT(INDEX(FILTER(D$1:D1467, D$1:D1467&lt;&gt;""""),COUNTA(FILTER(D$1:D1467, D$1:D1467&lt;&gt;""""))), LEN(INDEX(FILTER(D$1:D1467, D$1:D1467&lt;&gt;""""),COUNTA(FILTER(D$1:D1467, D$1:D1467&lt;&gt;""""))))-1), IF('To Order'!$A1468=COL"&amp;"UMNS($A1468:D1487), D1467&amp;RIGHT(INDIRECT(ADDRESS(ROW(D1468)-1, 'From Order'!$A1468)), 1), D1467))"),"C")</f>
        <v>C</v>
      </c>
      <c r="E1468" s="2" t="str">
        <f>IFERROR(__xludf.DUMMYFUNCTION("IF('From Order'!$A1468=COLUMNS($A1468:E1487), LEFT(INDEX(FILTER(E$1:E1467, E$1:E1467&lt;&gt;""""),COUNTA(FILTER(E$1:E1467, E$1:E1467&lt;&gt;""""))), LEN(INDEX(FILTER(E$1:E1467, E$1:E1467&lt;&gt;""""),COUNTA(FILTER(E$1:E1467, E$1:E1467&lt;&gt;""""))))-1), IF('To Order'!$A1468=COL"&amp;"UMNS($A1468:E1487), E1467&amp;RIGHT(INDIRECT(ADDRESS(ROW(E1468)-1, 'From Order'!$A1468)), 1), E1467))"),"HGSTDDLW")</f>
        <v>HGSTDDLW</v>
      </c>
      <c r="F1468" s="2" t="str">
        <f>IFERROR(__xludf.DUMMYFUNCTION("IF('From Order'!$A1468=COLUMNS($A1468:F1487), LEFT(INDEX(FILTER(F$1:F1467, F$1:F1467&lt;&gt;""""),COUNTA(FILTER(F$1:F1467, F$1:F1467&lt;&gt;""""))), LEN(INDEX(FILTER(F$1:F1467, F$1:F1467&lt;&gt;""""),COUNTA(FILTER(F$1:F1467, F$1:F1467&lt;&gt;""""))))-1), IF('To Order'!$A1468=COL"&amp;"UMNS($A1468:F1487), F1467&amp;RIGHT(INDIRECT(ADDRESS(ROW(F1468)-1, 'From Order'!$A1468)), 1), F1467))"),"ZRLB")</f>
        <v>ZRLB</v>
      </c>
      <c r="G1468" s="2" t="str">
        <f>IFERROR(__xludf.DUMMYFUNCTION("IF('From Order'!$A1468=COLUMNS($A1468:G1487), LEFT(INDEX(FILTER(G$1:G1467, G$1:G1467&lt;&gt;""""),COUNTA(FILTER(G$1:G1467, G$1:G1467&lt;&gt;""""))), LEN(INDEX(FILTER(G$1:G1467, G$1:G1467&lt;&gt;""""),COUNTA(FILTER(G$1:G1467, G$1:G1467&lt;&gt;""""))))-1), IF('To Order'!$A1468=COL"&amp;"UMNS($A1468:G1487), G1467&amp;RIGHT(INDIRECT(ADDRESS(ROW(G1468)-1, 'From Order'!$A1468)), 1), G1467))"),"WRMBVTTJ")</f>
        <v>WRMBVTTJ</v>
      </c>
      <c r="H1468" s="2" t="str">
        <f>IFERROR(__xludf.DUMMYFUNCTION("IF('From Order'!$A1468=COLUMNS($A1468:H1487), LEFT(INDEX(FILTER(H$1:H1467, H$1:H1467&lt;&gt;""""),COUNTA(FILTER(H$1:H1467, H$1:H1467&lt;&gt;""""))), LEN(INDEX(FILTER(H$1:H1467, H$1:H1467&lt;&gt;""""),COUNTA(FILTER(H$1:H1467, H$1:H1467&lt;&gt;""""))))-1), IF('To Order'!$A1468=COL"&amp;"UMNS($A1468:H1487), H1467&amp;RIGHT(INDIRECT(ADDRESS(ROW(H1468)-1, 'From Order'!$A1468)), 1), H1467))"),"FBPRR")</f>
        <v>FBPRR</v>
      </c>
      <c r="I1468" s="2" t="str">
        <f>IFERROR(__xludf.DUMMYFUNCTION("IF('From Order'!$A1468=COLUMNS($A1468:I1487), LEFT(INDEX(FILTER(I$1:I1467, I$1:I1467&lt;&gt;""""),COUNTA(FILTER(I$1:I1467, I$1:I1467&lt;&gt;""""))), LEN(INDEX(FILTER(I$1:I1467, I$1:I1467&lt;&gt;""""),COUNTA(FILTER(I$1:I1467, I$1:I1467&lt;&gt;""""))))-1), IF('To Order'!$A1468=COL"&amp;"UMNS($A1468:I1487), I1467&amp;RIGHT(INDIRECT(ADDRESS(ROW(I1468)-1, 'From Order'!$A1468)), 1), I1467))"),"")</f>
        <v/>
      </c>
    </row>
    <row r="1469">
      <c r="A1469" s="2" t="str">
        <f>IFERROR(__xludf.DUMMYFUNCTION("IF('From Order'!$A1469=COLUMNS($A1469:A1488), LEFT(INDEX(FILTER(A$1:A1468, A$1:A1468&lt;&gt;""""),COUNTA(FILTER(A$1:A1468, A$1:A1468&lt;&gt;""""))), LEN(INDEX(FILTER(A$1:A1468, A$1:A1468&lt;&gt;""""),COUNTA(FILTER(A$1:A1468, A$1:A1468&lt;&gt;""""))))-1), IF('To Order'!$A1469=COL"&amp;"UMNS($A1469:A1488), A1468&amp;RIGHT(INDIRECT(ADDRESS(ROW(A1469)-1, 'From Order'!$A1469)), 1), A1468))"),"MDJDSBGZCSFVTS")</f>
        <v>MDJDSBGZCSFVTS</v>
      </c>
      <c r="B1469" s="2" t="str">
        <f>IFERROR(__xludf.DUMMYFUNCTION("IF('From Order'!$A1469=COLUMNS($A1469:B1488), LEFT(INDEX(FILTER(B$1:B1468, B$1:B1468&lt;&gt;""""),COUNTA(FILTER(B$1:B1468, B$1:B1468&lt;&gt;""""))), LEN(INDEX(FILTER(B$1:B1468, B$1:B1468&lt;&gt;""""),COUNTA(FILTER(B$1:B1468, B$1:B1468&lt;&gt;""""))))-1), IF('To Order'!$A1469=COL"&amp;"UMNS($A1469:B1488), B1468&amp;RIGHT(INDIRECT(ADDRESS(ROW(B1469)-1, 'From Order'!$A1469)), 1), B1468))"),"")</f>
        <v/>
      </c>
      <c r="C1469" s="2" t="str">
        <f>IFERROR(__xludf.DUMMYFUNCTION("IF('From Order'!$A1469=COLUMNS($A1469:C1488), LEFT(INDEX(FILTER(C$1:C1468, C$1:C1468&lt;&gt;""""),COUNTA(FILTER(C$1:C1468, C$1:C1468&lt;&gt;""""))), LEN(INDEX(FILTER(C$1:C1468, C$1:C1468&lt;&gt;""""),COUNTA(FILTER(C$1:C1468, C$1:C1468&lt;&gt;""""))))-1), IF('To Order'!$A1469=COL"&amp;"UMNS($A1469:C1488), C1468&amp;RIGHT(INDIRECT(ADDRESS(ROW(C1469)-1, 'From Order'!$A1469)), 1), C1468))"),"TQVQJPPLDTMZHRDC")</f>
        <v>TQVQJPPLDTMZHRDC</v>
      </c>
      <c r="D1469" s="2" t="str">
        <f>IFERROR(__xludf.DUMMYFUNCTION("IF('From Order'!$A1469=COLUMNS($A1469:D1488), LEFT(INDEX(FILTER(D$1:D1468, D$1:D1468&lt;&gt;""""),COUNTA(FILTER(D$1:D1468, D$1:D1468&lt;&gt;""""))), LEN(INDEX(FILTER(D$1:D1468, D$1:D1468&lt;&gt;""""),COUNTA(FILTER(D$1:D1468, D$1:D1468&lt;&gt;""""))))-1), IF('To Order'!$A1469=COL"&amp;"UMNS($A1469:D1488), D1468&amp;RIGHT(INDIRECT(ADDRESS(ROW(D1469)-1, 'From Order'!$A1469)), 1), D1468))"),"C")</f>
        <v>C</v>
      </c>
      <c r="E1469" s="2" t="str">
        <f>IFERROR(__xludf.DUMMYFUNCTION("IF('From Order'!$A1469=COLUMNS($A1469:E1488), LEFT(INDEX(FILTER(E$1:E1468, E$1:E1468&lt;&gt;""""),COUNTA(FILTER(E$1:E1468, E$1:E1468&lt;&gt;""""))), LEN(INDEX(FILTER(E$1:E1468, E$1:E1468&lt;&gt;""""),COUNTA(FILTER(E$1:E1468, E$1:E1468&lt;&gt;""""))))-1), IF('To Order'!$A1469=COL"&amp;"UMNS($A1469:E1488), E1468&amp;RIGHT(INDIRECT(ADDRESS(ROW(E1469)-1, 'From Order'!$A1469)), 1), E1468))"),"HGSTDDL")</f>
        <v>HGSTDDL</v>
      </c>
      <c r="F1469" s="2" t="str">
        <f>IFERROR(__xludf.DUMMYFUNCTION("IF('From Order'!$A1469=COLUMNS($A1469:F1488), LEFT(INDEX(FILTER(F$1:F1468, F$1:F1468&lt;&gt;""""),COUNTA(FILTER(F$1:F1468, F$1:F1468&lt;&gt;""""))), LEN(INDEX(FILTER(F$1:F1468, F$1:F1468&lt;&gt;""""),COUNTA(FILTER(F$1:F1468, F$1:F1468&lt;&gt;""""))))-1), IF('To Order'!$A1469=COL"&amp;"UMNS($A1469:F1488), F1468&amp;RIGHT(INDIRECT(ADDRESS(ROW(F1469)-1, 'From Order'!$A1469)), 1), F1468))"),"ZRLBW")</f>
        <v>ZRLBW</v>
      </c>
      <c r="G1469" s="2" t="str">
        <f>IFERROR(__xludf.DUMMYFUNCTION("IF('From Order'!$A1469=COLUMNS($A1469:G1488), LEFT(INDEX(FILTER(G$1:G1468, G$1:G1468&lt;&gt;""""),COUNTA(FILTER(G$1:G1468, G$1:G1468&lt;&gt;""""))), LEN(INDEX(FILTER(G$1:G1468, G$1:G1468&lt;&gt;""""),COUNTA(FILTER(G$1:G1468, G$1:G1468&lt;&gt;""""))))-1), IF('To Order'!$A1469=COL"&amp;"UMNS($A1469:G1488), G1468&amp;RIGHT(INDIRECT(ADDRESS(ROW(G1469)-1, 'From Order'!$A1469)), 1), G1468))"),"WRMBVTTJ")</f>
        <v>WRMBVTTJ</v>
      </c>
      <c r="H1469" s="2" t="str">
        <f>IFERROR(__xludf.DUMMYFUNCTION("IF('From Order'!$A1469=COLUMNS($A1469:H1488), LEFT(INDEX(FILTER(H$1:H1468, H$1:H1468&lt;&gt;""""),COUNTA(FILTER(H$1:H1468, H$1:H1468&lt;&gt;""""))), LEN(INDEX(FILTER(H$1:H1468, H$1:H1468&lt;&gt;""""),COUNTA(FILTER(H$1:H1468, H$1:H1468&lt;&gt;""""))))-1), IF('To Order'!$A1469=COL"&amp;"UMNS($A1469:H1488), H1468&amp;RIGHT(INDIRECT(ADDRESS(ROW(H1469)-1, 'From Order'!$A1469)), 1), H1468))"),"FBPRR")</f>
        <v>FBPRR</v>
      </c>
      <c r="I1469" s="2" t="str">
        <f>IFERROR(__xludf.DUMMYFUNCTION("IF('From Order'!$A1469=COLUMNS($A1469:I1488), LEFT(INDEX(FILTER(I$1:I1468, I$1:I1468&lt;&gt;""""),COUNTA(FILTER(I$1:I1468, I$1:I1468&lt;&gt;""""))), LEN(INDEX(FILTER(I$1:I1468, I$1:I1468&lt;&gt;""""),COUNTA(FILTER(I$1:I1468, I$1:I1468&lt;&gt;""""))))-1), IF('To Order'!$A1469=COL"&amp;"UMNS($A1469:I1488), I1468&amp;RIGHT(INDIRECT(ADDRESS(ROW(I1469)-1, 'From Order'!$A1469)), 1), I1468))"),"")</f>
        <v/>
      </c>
    </row>
    <row r="1470">
      <c r="A1470" s="2" t="str">
        <f>IFERROR(__xludf.DUMMYFUNCTION("IF('From Order'!$A1470=COLUMNS($A1470:A1489), LEFT(INDEX(FILTER(A$1:A1469, A$1:A1469&lt;&gt;""""),COUNTA(FILTER(A$1:A1469, A$1:A1469&lt;&gt;""""))), LEN(INDEX(FILTER(A$1:A1469, A$1:A1469&lt;&gt;""""),COUNTA(FILTER(A$1:A1469, A$1:A1469&lt;&gt;""""))))-1), IF('To Order'!$A1470=COL"&amp;"UMNS($A1470:A1489), A1469&amp;RIGHT(INDIRECT(ADDRESS(ROW(A1470)-1, 'From Order'!$A1470)), 1), A1469))"),"MDJDSBGZCSFVTS")</f>
        <v>MDJDSBGZCSFVTS</v>
      </c>
      <c r="B1470" s="2" t="str">
        <f>IFERROR(__xludf.DUMMYFUNCTION("IF('From Order'!$A1470=COLUMNS($A1470:B1489), LEFT(INDEX(FILTER(B$1:B1469, B$1:B1469&lt;&gt;""""),COUNTA(FILTER(B$1:B1469, B$1:B1469&lt;&gt;""""))), LEN(INDEX(FILTER(B$1:B1469, B$1:B1469&lt;&gt;""""),COUNTA(FILTER(B$1:B1469, B$1:B1469&lt;&gt;""""))))-1), IF('To Order'!$A1470=COL"&amp;"UMNS($A1470:B1489), B1469&amp;RIGHT(INDIRECT(ADDRESS(ROW(B1470)-1, 'From Order'!$A1470)), 1), B1469))"),"")</f>
        <v/>
      </c>
      <c r="C1470" s="2" t="str">
        <f>IFERROR(__xludf.DUMMYFUNCTION("IF('From Order'!$A1470=COLUMNS($A1470:C1489), LEFT(INDEX(FILTER(C$1:C1469, C$1:C1469&lt;&gt;""""),COUNTA(FILTER(C$1:C1469, C$1:C1469&lt;&gt;""""))), LEN(INDEX(FILTER(C$1:C1469, C$1:C1469&lt;&gt;""""),COUNTA(FILTER(C$1:C1469, C$1:C1469&lt;&gt;""""))))-1), IF('To Order'!$A1470=COL"&amp;"UMNS($A1470:C1489), C1469&amp;RIGHT(INDIRECT(ADDRESS(ROW(C1470)-1, 'From Order'!$A1470)), 1), C1469))"),"TQVQJPPLDTMZHRDC")</f>
        <v>TQVQJPPLDTMZHRDC</v>
      </c>
      <c r="D1470" s="2" t="str">
        <f>IFERROR(__xludf.DUMMYFUNCTION("IF('From Order'!$A1470=COLUMNS($A1470:D1489), LEFT(INDEX(FILTER(D$1:D1469, D$1:D1469&lt;&gt;""""),COUNTA(FILTER(D$1:D1469, D$1:D1469&lt;&gt;""""))), LEN(INDEX(FILTER(D$1:D1469, D$1:D1469&lt;&gt;""""),COUNTA(FILTER(D$1:D1469, D$1:D1469&lt;&gt;""""))))-1), IF('To Order'!$A1470=COL"&amp;"UMNS($A1470:D1489), D1469&amp;RIGHT(INDIRECT(ADDRESS(ROW(D1470)-1, 'From Order'!$A1470)), 1), D1469))"),"C")</f>
        <v>C</v>
      </c>
      <c r="E1470" s="2" t="str">
        <f>IFERROR(__xludf.DUMMYFUNCTION("IF('From Order'!$A1470=COLUMNS($A1470:E1489), LEFT(INDEX(FILTER(E$1:E1469, E$1:E1469&lt;&gt;""""),COUNTA(FILTER(E$1:E1469, E$1:E1469&lt;&gt;""""))), LEN(INDEX(FILTER(E$1:E1469, E$1:E1469&lt;&gt;""""),COUNTA(FILTER(E$1:E1469, E$1:E1469&lt;&gt;""""))))-1), IF('To Order'!$A1470=COL"&amp;"UMNS($A1470:E1489), E1469&amp;RIGHT(INDIRECT(ADDRESS(ROW(E1470)-1, 'From Order'!$A1470)), 1), E1469))"),"HGSTDD")</f>
        <v>HGSTDD</v>
      </c>
      <c r="F1470" s="2" t="str">
        <f>IFERROR(__xludf.DUMMYFUNCTION("IF('From Order'!$A1470=COLUMNS($A1470:F1489), LEFT(INDEX(FILTER(F$1:F1469, F$1:F1469&lt;&gt;""""),COUNTA(FILTER(F$1:F1469, F$1:F1469&lt;&gt;""""))), LEN(INDEX(FILTER(F$1:F1469, F$1:F1469&lt;&gt;""""),COUNTA(FILTER(F$1:F1469, F$1:F1469&lt;&gt;""""))))-1), IF('To Order'!$A1470=COL"&amp;"UMNS($A1470:F1489), F1469&amp;RIGHT(INDIRECT(ADDRESS(ROW(F1470)-1, 'From Order'!$A1470)), 1), F1469))"),"ZRLBWL")</f>
        <v>ZRLBWL</v>
      </c>
      <c r="G1470" s="2" t="str">
        <f>IFERROR(__xludf.DUMMYFUNCTION("IF('From Order'!$A1470=COLUMNS($A1470:G1489), LEFT(INDEX(FILTER(G$1:G1469, G$1:G1469&lt;&gt;""""),COUNTA(FILTER(G$1:G1469, G$1:G1469&lt;&gt;""""))), LEN(INDEX(FILTER(G$1:G1469, G$1:G1469&lt;&gt;""""),COUNTA(FILTER(G$1:G1469, G$1:G1469&lt;&gt;""""))))-1), IF('To Order'!$A1470=COL"&amp;"UMNS($A1470:G1489), G1469&amp;RIGHT(INDIRECT(ADDRESS(ROW(G1470)-1, 'From Order'!$A1470)), 1), G1469))"),"WRMBVTTJ")</f>
        <v>WRMBVTTJ</v>
      </c>
      <c r="H1470" s="2" t="str">
        <f>IFERROR(__xludf.DUMMYFUNCTION("IF('From Order'!$A1470=COLUMNS($A1470:H1489), LEFT(INDEX(FILTER(H$1:H1469, H$1:H1469&lt;&gt;""""),COUNTA(FILTER(H$1:H1469, H$1:H1469&lt;&gt;""""))), LEN(INDEX(FILTER(H$1:H1469, H$1:H1469&lt;&gt;""""),COUNTA(FILTER(H$1:H1469, H$1:H1469&lt;&gt;""""))))-1), IF('To Order'!$A1470=COL"&amp;"UMNS($A1470:H1489), H1469&amp;RIGHT(INDIRECT(ADDRESS(ROW(H1470)-1, 'From Order'!$A1470)), 1), H1469))"),"FBPRR")</f>
        <v>FBPRR</v>
      </c>
      <c r="I1470" s="2" t="str">
        <f>IFERROR(__xludf.DUMMYFUNCTION("IF('From Order'!$A1470=COLUMNS($A1470:I1489), LEFT(INDEX(FILTER(I$1:I1469, I$1:I1469&lt;&gt;""""),COUNTA(FILTER(I$1:I1469, I$1:I1469&lt;&gt;""""))), LEN(INDEX(FILTER(I$1:I1469, I$1:I1469&lt;&gt;""""),COUNTA(FILTER(I$1:I1469, I$1:I1469&lt;&gt;""""))))-1), IF('To Order'!$A1470=COL"&amp;"UMNS($A1470:I1489), I1469&amp;RIGHT(INDIRECT(ADDRESS(ROW(I1470)-1, 'From Order'!$A1470)), 1), I1469))"),"")</f>
        <v/>
      </c>
    </row>
    <row r="1471">
      <c r="A1471" s="2" t="str">
        <f>IFERROR(__xludf.DUMMYFUNCTION("IF('From Order'!$A1471=COLUMNS($A1471:A1490), LEFT(INDEX(FILTER(A$1:A1470, A$1:A1470&lt;&gt;""""),COUNTA(FILTER(A$1:A1470, A$1:A1470&lt;&gt;""""))), LEN(INDEX(FILTER(A$1:A1470, A$1:A1470&lt;&gt;""""),COUNTA(FILTER(A$1:A1470, A$1:A1470&lt;&gt;""""))))-1), IF('To Order'!$A1471=COL"&amp;"UMNS($A1471:A1490), A1470&amp;RIGHT(INDIRECT(ADDRESS(ROW(A1471)-1, 'From Order'!$A1471)), 1), A1470))"),"MDJDSBGZCSFVTS")</f>
        <v>MDJDSBGZCSFVTS</v>
      </c>
      <c r="B1471" s="2" t="str">
        <f>IFERROR(__xludf.DUMMYFUNCTION("IF('From Order'!$A1471=COLUMNS($A1471:B1490), LEFT(INDEX(FILTER(B$1:B1470, B$1:B1470&lt;&gt;""""),COUNTA(FILTER(B$1:B1470, B$1:B1470&lt;&gt;""""))), LEN(INDEX(FILTER(B$1:B1470, B$1:B1470&lt;&gt;""""),COUNTA(FILTER(B$1:B1470, B$1:B1470&lt;&gt;""""))))-1), IF('To Order'!$A1471=COL"&amp;"UMNS($A1471:B1490), B1470&amp;RIGHT(INDIRECT(ADDRESS(ROW(B1471)-1, 'From Order'!$A1471)), 1), B1470))"),"")</f>
        <v/>
      </c>
      <c r="C1471" s="2" t="str">
        <f>IFERROR(__xludf.DUMMYFUNCTION("IF('From Order'!$A1471=COLUMNS($A1471:C1490), LEFT(INDEX(FILTER(C$1:C1470, C$1:C1470&lt;&gt;""""),COUNTA(FILTER(C$1:C1470, C$1:C1470&lt;&gt;""""))), LEN(INDEX(FILTER(C$1:C1470, C$1:C1470&lt;&gt;""""),COUNTA(FILTER(C$1:C1470, C$1:C1470&lt;&gt;""""))))-1), IF('To Order'!$A1471=COL"&amp;"UMNS($A1471:C1490), C1470&amp;RIGHT(INDIRECT(ADDRESS(ROW(C1471)-1, 'From Order'!$A1471)), 1), C1470))"),"TQVQJPPLDTMZHRDC")</f>
        <v>TQVQJPPLDTMZHRDC</v>
      </c>
      <c r="D1471" s="2" t="str">
        <f>IFERROR(__xludf.DUMMYFUNCTION("IF('From Order'!$A1471=COLUMNS($A1471:D1490), LEFT(INDEX(FILTER(D$1:D1470, D$1:D1470&lt;&gt;""""),COUNTA(FILTER(D$1:D1470, D$1:D1470&lt;&gt;""""))), LEN(INDEX(FILTER(D$1:D1470, D$1:D1470&lt;&gt;""""),COUNTA(FILTER(D$1:D1470, D$1:D1470&lt;&gt;""""))))-1), IF('To Order'!$A1471=COL"&amp;"UMNS($A1471:D1490), D1470&amp;RIGHT(INDIRECT(ADDRESS(ROW(D1471)-1, 'From Order'!$A1471)), 1), D1470))"),"C")</f>
        <v>C</v>
      </c>
      <c r="E1471" s="2" t="str">
        <f>IFERROR(__xludf.DUMMYFUNCTION("IF('From Order'!$A1471=COLUMNS($A1471:E1490), LEFT(INDEX(FILTER(E$1:E1470, E$1:E1470&lt;&gt;""""),COUNTA(FILTER(E$1:E1470, E$1:E1470&lt;&gt;""""))), LEN(INDEX(FILTER(E$1:E1470, E$1:E1470&lt;&gt;""""),COUNTA(FILTER(E$1:E1470, E$1:E1470&lt;&gt;""""))))-1), IF('To Order'!$A1471=COL"&amp;"UMNS($A1471:E1490), E1470&amp;RIGHT(INDIRECT(ADDRESS(ROW(E1471)-1, 'From Order'!$A1471)), 1), E1470))"),"HGSTD")</f>
        <v>HGSTD</v>
      </c>
      <c r="F1471" s="2" t="str">
        <f>IFERROR(__xludf.DUMMYFUNCTION("IF('From Order'!$A1471=COLUMNS($A1471:F1490), LEFT(INDEX(FILTER(F$1:F1470, F$1:F1470&lt;&gt;""""),COUNTA(FILTER(F$1:F1470, F$1:F1470&lt;&gt;""""))), LEN(INDEX(FILTER(F$1:F1470, F$1:F1470&lt;&gt;""""),COUNTA(FILTER(F$1:F1470, F$1:F1470&lt;&gt;""""))))-1), IF('To Order'!$A1471=COL"&amp;"UMNS($A1471:F1490), F1470&amp;RIGHT(INDIRECT(ADDRESS(ROW(F1471)-1, 'From Order'!$A1471)), 1), F1470))"),"ZRLBWLD")</f>
        <v>ZRLBWLD</v>
      </c>
      <c r="G1471" s="2" t="str">
        <f>IFERROR(__xludf.DUMMYFUNCTION("IF('From Order'!$A1471=COLUMNS($A1471:G1490), LEFT(INDEX(FILTER(G$1:G1470, G$1:G1470&lt;&gt;""""),COUNTA(FILTER(G$1:G1470, G$1:G1470&lt;&gt;""""))), LEN(INDEX(FILTER(G$1:G1470, G$1:G1470&lt;&gt;""""),COUNTA(FILTER(G$1:G1470, G$1:G1470&lt;&gt;""""))))-1), IF('To Order'!$A1471=COL"&amp;"UMNS($A1471:G1490), G1470&amp;RIGHT(INDIRECT(ADDRESS(ROW(G1471)-1, 'From Order'!$A1471)), 1), G1470))"),"WRMBVTTJ")</f>
        <v>WRMBVTTJ</v>
      </c>
      <c r="H1471" s="2" t="str">
        <f>IFERROR(__xludf.DUMMYFUNCTION("IF('From Order'!$A1471=COLUMNS($A1471:H1490), LEFT(INDEX(FILTER(H$1:H1470, H$1:H1470&lt;&gt;""""),COUNTA(FILTER(H$1:H1470, H$1:H1470&lt;&gt;""""))), LEN(INDEX(FILTER(H$1:H1470, H$1:H1470&lt;&gt;""""),COUNTA(FILTER(H$1:H1470, H$1:H1470&lt;&gt;""""))))-1), IF('To Order'!$A1471=COL"&amp;"UMNS($A1471:H1490), H1470&amp;RIGHT(INDIRECT(ADDRESS(ROW(H1471)-1, 'From Order'!$A1471)), 1), H1470))"),"FBPRR")</f>
        <v>FBPRR</v>
      </c>
      <c r="I1471" s="2" t="str">
        <f>IFERROR(__xludf.DUMMYFUNCTION("IF('From Order'!$A1471=COLUMNS($A1471:I1490), LEFT(INDEX(FILTER(I$1:I1470, I$1:I1470&lt;&gt;""""),COUNTA(FILTER(I$1:I1470, I$1:I1470&lt;&gt;""""))), LEN(INDEX(FILTER(I$1:I1470, I$1:I1470&lt;&gt;""""),COUNTA(FILTER(I$1:I1470, I$1:I1470&lt;&gt;""""))))-1), IF('To Order'!$A1471=COL"&amp;"UMNS($A1471:I1490), I1470&amp;RIGHT(INDIRECT(ADDRESS(ROW(I1471)-1, 'From Order'!$A1471)), 1), I1470))"),"")</f>
        <v/>
      </c>
    </row>
    <row r="1472">
      <c r="A1472" s="2" t="str">
        <f>IFERROR(__xludf.DUMMYFUNCTION("IF('From Order'!$A1472=COLUMNS($A1472:A1491), LEFT(INDEX(FILTER(A$1:A1471, A$1:A1471&lt;&gt;""""),COUNTA(FILTER(A$1:A1471, A$1:A1471&lt;&gt;""""))), LEN(INDEX(FILTER(A$1:A1471, A$1:A1471&lt;&gt;""""),COUNTA(FILTER(A$1:A1471, A$1:A1471&lt;&gt;""""))))-1), IF('To Order'!$A1472=COL"&amp;"UMNS($A1472:A1491), A1471&amp;RIGHT(INDIRECT(ADDRESS(ROW(A1472)-1, 'From Order'!$A1472)), 1), A1471))"),"MDJDSBGZCSFVTS")</f>
        <v>MDJDSBGZCSFVTS</v>
      </c>
      <c r="B1472" s="2" t="str">
        <f>IFERROR(__xludf.DUMMYFUNCTION("IF('From Order'!$A1472=COLUMNS($A1472:B1491), LEFT(INDEX(FILTER(B$1:B1471, B$1:B1471&lt;&gt;""""),COUNTA(FILTER(B$1:B1471, B$1:B1471&lt;&gt;""""))), LEN(INDEX(FILTER(B$1:B1471, B$1:B1471&lt;&gt;""""),COUNTA(FILTER(B$1:B1471, B$1:B1471&lt;&gt;""""))))-1), IF('To Order'!$A1472=COL"&amp;"UMNS($A1472:B1491), B1471&amp;RIGHT(INDIRECT(ADDRESS(ROW(B1472)-1, 'From Order'!$A1472)), 1), B1471))"),"")</f>
        <v/>
      </c>
      <c r="C1472" s="2" t="str">
        <f>IFERROR(__xludf.DUMMYFUNCTION("IF('From Order'!$A1472=COLUMNS($A1472:C1491), LEFT(INDEX(FILTER(C$1:C1471, C$1:C1471&lt;&gt;""""),COUNTA(FILTER(C$1:C1471, C$1:C1471&lt;&gt;""""))), LEN(INDEX(FILTER(C$1:C1471, C$1:C1471&lt;&gt;""""),COUNTA(FILTER(C$1:C1471, C$1:C1471&lt;&gt;""""))))-1), IF('To Order'!$A1472=COL"&amp;"UMNS($A1472:C1491), C1471&amp;RIGHT(INDIRECT(ADDRESS(ROW(C1472)-1, 'From Order'!$A1472)), 1), C1471))"),"TQVQJPPLDTMZHRDC")</f>
        <v>TQVQJPPLDTMZHRDC</v>
      </c>
      <c r="D1472" s="2" t="str">
        <f>IFERROR(__xludf.DUMMYFUNCTION("IF('From Order'!$A1472=COLUMNS($A1472:D1491), LEFT(INDEX(FILTER(D$1:D1471, D$1:D1471&lt;&gt;""""),COUNTA(FILTER(D$1:D1471, D$1:D1471&lt;&gt;""""))), LEN(INDEX(FILTER(D$1:D1471, D$1:D1471&lt;&gt;""""),COUNTA(FILTER(D$1:D1471, D$1:D1471&lt;&gt;""""))))-1), IF('To Order'!$A1472=COL"&amp;"UMNS($A1472:D1491), D1471&amp;RIGHT(INDIRECT(ADDRESS(ROW(D1472)-1, 'From Order'!$A1472)), 1), D1471))"),"C")</f>
        <v>C</v>
      </c>
      <c r="E1472" s="2" t="str">
        <f>IFERROR(__xludf.DUMMYFUNCTION("IF('From Order'!$A1472=COLUMNS($A1472:E1491), LEFT(INDEX(FILTER(E$1:E1471, E$1:E1471&lt;&gt;""""),COUNTA(FILTER(E$1:E1471, E$1:E1471&lt;&gt;""""))), LEN(INDEX(FILTER(E$1:E1471, E$1:E1471&lt;&gt;""""),COUNTA(FILTER(E$1:E1471, E$1:E1471&lt;&gt;""""))))-1), IF('To Order'!$A1472=COL"&amp;"UMNS($A1472:E1491), E1471&amp;RIGHT(INDIRECT(ADDRESS(ROW(E1472)-1, 'From Order'!$A1472)), 1), E1471))"),"HGST")</f>
        <v>HGST</v>
      </c>
      <c r="F1472" s="2" t="str">
        <f>IFERROR(__xludf.DUMMYFUNCTION("IF('From Order'!$A1472=COLUMNS($A1472:F1491), LEFT(INDEX(FILTER(F$1:F1471, F$1:F1471&lt;&gt;""""),COUNTA(FILTER(F$1:F1471, F$1:F1471&lt;&gt;""""))), LEN(INDEX(FILTER(F$1:F1471, F$1:F1471&lt;&gt;""""),COUNTA(FILTER(F$1:F1471, F$1:F1471&lt;&gt;""""))))-1), IF('To Order'!$A1472=COL"&amp;"UMNS($A1472:F1491), F1471&amp;RIGHT(INDIRECT(ADDRESS(ROW(F1472)-1, 'From Order'!$A1472)), 1), F1471))"),"ZRLBWLDD")</f>
        <v>ZRLBWLDD</v>
      </c>
      <c r="G1472" s="2" t="str">
        <f>IFERROR(__xludf.DUMMYFUNCTION("IF('From Order'!$A1472=COLUMNS($A1472:G1491), LEFT(INDEX(FILTER(G$1:G1471, G$1:G1471&lt;&gt;""""),COUNTA(FILTER(G$1:G1471, G$1:G1471&lt;&gt;""""))), LEN(INDEX(FILTER(G$1:G1471, G$1:G1471&lt;&gt;""""),COUNTA(FILTER(G$1:G1471, G$1:G1471&lt;&gt;""""))))-1), IF('To Order'!$A1472=COL"&amp;"UMNS($A1472:G1491), G1471&amp;RIGHT(INDIRECT(ADDRESS(ROW(G1472)-1, 'From Order'!$A1472)), 1), G1471))"),"WRMBVTTJ")</f>
        <v>WRMBVTTJ</v>
      </c>
      <c r="H1472" s="2" t="str">
        <f>IFERROR(__xludf.DUMMYFUNCTION("IF('From Order'!$A1472=COLUMNS($A1472:H1491), LEFT(INDEX(FILTER(H$1:H1471, H$1:H1471&lt;&gt;""""),COUNTA(FILTER(H$1:H1471, H$1:H1471&lt;&gt;""""))), LEN(INDEX(FILTER(H$1:H1471, H$1:H1471&lt;&gt;""""),COUNTA(FILTER(H$1:H1471, H$1:H1471&lt;&gt;""""))))-1), IF('To Order'!$A1472=COL"&amp;"UMNS($A1472:H1491), H1471&amp;RIGHT(INDIRECT(ADDRESS(ROW(H1472)-1, 'From Order'!$A1472)), 1), H1471))"),"FBPRR")</f>
        <v>FBPRR</v>
      </c>
      <c r="I1472" s="2" t="str">
        <f>IFERROR(__xludf.DUMMYFUNCTION("IF('From Order'!$A1472=COLUMNS($A1472:I1491), LEFT(INDEX(FILTER(I$1:I1471, I$1:I1471&lt;&gt;""""),COUNTA(FILTER(I$1:I1471, I$1:I1471&lt;&gt;""""))), LEN(INDEX(FILTER(I$1:I1471, I$1:I1471&lt;&gt;""""),COUNTA(FILTER(I$1:I1471, I$1:I1471&lt;&gt;""""))))-1), IF('To Order'!$A1472=COL"&amp;"UMNS($A1472:I1491), I1471&amp;RIGHT(INDIRECT(ADDRESS(ROW(I1472)-1, 'From Order'!$A1472)), 1), I1471))"),"")</f>
        <v/>
      </c>
    </row>
    <row r="1473">
      <c r="A1473" s="2" t="str">
        <f>IFERROR(__xludf.DUMMYFUNCTION("IF('From Order'!$A1473=COLUMNS($A1473:A1492), LEFT(INDEX(FILTER(A$1:A1472, A$1:A1472&lt;&gt;""""),COUNTA(FILTER(A$1:A1472, A$1:A1472&lt;&gt;""""))), LEN(INDEX(FILTER(A$1:A1472, A$1:A1472&lt;&gt;""""),COUNTA(FILTER(A$1:A1472, A$1:A1472&lt;&gt;""""))))-1), IF('To Order'!$A1473=COL"&amp;"UMNS($A1473:A1492), A1472&amp;RIGHT(INDIRECT(ADDRESS(ROW(A1473)-1, 'From Order'!$A1473)), 1), A1472))"),"MDJDSBGZCSFVTS")</f>
        <v>MDJDSBGZCSFVTS</v>
      </c>
      <c r="B1473" s="2" t="str">
        <f>IFERROR(__xludf.DUMMYFUNCTION("IF('From Order'!$A1473=COLUMNS($A1473:B1492), LEFT(INDEX(FILTER(B$1:B1472, B$1:B1472&lt;&gt;""""),COUNTA(FILTER(B$1:B1472, B$1:B1472&lt;&gt;""""))), LEN(INDEX(FILTER(B$1:B1472, B$1:B1472&lt;&gt;""""),COUNTA(FILTER(B$1:B1472, B$1:B1472&lt;&gt;""""))))-1), IF('To Order'!$A1473=COL"&amp;"UMNS($A1473:B1492), B1472&amp;RIGHT(INDIRECT(ADDRESS(ROW(B1473)-1, 'From Order'!$A1473)), 1), B1472))"),"")</f>
        <v/>
      </c>
      <c r="C1473" s="2" t="str">
        <f>IFERROR(__xludf.DUMMYFUNCTION("IF('From Order'!$A1473=COLUMNS($A1473:C1492), LEFT(INDEX(FILTER(C$1:C1472, C$1:C1472&lt;&gt;""""),COUNTA(FILTER(C$1:C1472, C$1:C1472&lt;&gt;""""))), LEN(INDEX(FILTER(C$1:C1472, C$1:C1472&lt;&gt;""""),COUNTA(FILTER(C$1:C1472, C$1:C1472&lt;&gt;""""))))-1), IF('To Order'!$A1473=COL"&amp;"UMNS($A1473:C1492), C1472&amp;RIGHT(INDIRECT(ADDRESS(ROW(C1473)-1, 'From Order'!$A1473)), 1), C1472))"),"TQVQJPPLDTMZHRDC")</f>
        <v>TQVQJPPLDTMZHRDC</v>
      </c>
      <c r="D1473" s="2" t="str">
        <f>IFERROR(__xludf.DUMMYFUNCTION("IF('From Order'!$A1473=COLUMNS($A1473:D1492), LEFT(INDEX(FILTER(D$1:D1472, D$1:D1472&lt;&gt;""""),COUNTA(FILTER(D$1:D1472, D$1:D1472&lt;&gt;""""))), LEN(INDEX(FILTER(D$1:D1472, D$1:D1472&lt;&gt;""""),COUNTA(FILTER(D$1:D1472, D$1:D1472&lt;&gt;""""))))-1), IF('To Order'!$A1473=COL"&amp;"UMNS($A1473:D1492), D1472&amp;RIGHT(INDIRECT(ADDRESS(ROW(D1473)-1, 'From Order'!$A1473)), 1), D1472))"),"C")</f>
        <v>C</v>
      </c>
      <c r="E1473" s="2" t="str">
        <f>IFERROR(__xludf.DUMMYFUNCTION("IF('From Order'!$A1473=COLUMNS($A1473:E1492), LEFT(INDEX(FILTER(E$1:E1472, E$1:E1472&lt;&gt;""""),COUNTA(FILTER(E$1:E1472, E$1:E1472&lt;&gt;""""))), LEN(INDEX(FILTER(E$1:E1472, E$1:E1472&lt;&gt;""""),COUNTA(FILTER(E$1:E1472, E$1:E1472&lt;&gt;""""))))-1), IF('To Order'!$A1473=COL"&amp;"UMNS($A1473:E1492), E1472&amp;RIGHT(INDIRECT(ADDRESS(ROW(E1473)-1, 'From Order'!$A1473)), 1), E1472))"),"HGS")</f>
        <v>HGS</v>
      </c>
      <c r="F1473" s="2" t="str">
        <f>IFERROR(__xludf.DUMMYFUNCTION("IF('From Order'!$A1473=COLUMNS($A1473:F1492), LEFT(INDEX(FILTER(F$1:F1472, F$1:F1472&lt;&gt;""""),COUNTA(FILTER(F$1:F1472, F$1:F1472&lt;&gt;""""))), LEN(INDEX(FILTER(F$1:F1472, F$1:F1472&lt;&gt;""""),COUNTA(FILTER(F$1:F1472, F$1:F1472&lt;&gt;""""))))-1), IF('To Order'!$A1473=COL"&amp;"UMNS($A1473:F1492), F1472&amp;RIGHT(INDIRECT(ADDRESS(ROW(F1473)-1, 'From Order'!$A1473)), 1), F1472))"),"ZRLBWLDDT")</f>
        <v>ZRLBWLDDT</v>
      </c>
      <c r="G1473" s="2" t="str">
        <f>IFERROR(__xludf.DUMMYFUNCTION("IF('From Order'!$A1473=COLUMNS($A1473:G1492), LEFT(INDEX(FILTER(G$1:G1472, G$1:G1472&lt;&gt;""""),COUNTA(FILTER(G$1:G1472, G$1:G1472&lt;&gt;""""))), LEN(INDEX(FILTER(G$1:G1472, G$1:G1472&lt;&gt;""""),COUNTA(FILTER(G$1:G1472, G$1:G1472&lt;&gt;""""))))-1), IF('To Order'!$A1473=COL"&amp;"UMNS($A1473:G1492), G1472&amp;RIGHT(INDIRECT(ADDRESS(ROW(G1473)-1, 'From Order'!$A1473)), 1), G1472))"),"WRMBVTTJ")</f>
        <v>WRMBVTTJ</v>
      </c>
      <c r="H1473" s="2" t="str">
        <f>IFERROR(__xludf.DUMMYFUNCTION("IF('From Order'!$A1473=COLUMNS($A1473:H1492), LEFT(INDEX(FILTER(H$1:H1472, H$1:H1472&lt;&gt;""""),COUNTA(FILTER(H$1:H1472, H$1:H1472&lt;&gt;""""))), LEN(INDEX(FILTER(H$1:H1472, H$1:H1472&lt;&gt;""""),COUNTA(FILTER(H$1:H1472, H$1:H1472&lt;&gt;""""))))-1), IF('To Order'!$A1473=COL"&amp;"UMNS($A1473:H1492), H1472&amp;RIGHT(INDIRECT(ADDRESS(ROW(H1473)-1, 'From Order'!$A1473)), 1), H1472))"),"FBPRR")</f>
        <v>FBPRR</v>
      </c>
      <c r="I1473" s="2" t="str">
        <f>IFERROR(__xludf.DUMMYFUNCTION("IF('From Order'!$A1473=COLUMNS($A1473:I1492), LEFT(INDEX(FILTER(I$1:I1472, I$1:I1472&lt;&gt;""""),COUNTA(FILTER(I$1:I1472, I$1:I1472&lt;&gt;""""))), LEN(INDEX(FILTER(I$1:I1472, I$1:I1472&lt;&gt;""""),COUNTA(FILTER(I$1:I1472, I$1:I1472&lt;&gt;""""))))-1), IF('To Order'!$A1473=COL"&amp;"UMNS($A1473:I1492), I1472&amp;RIGHT(INDIRECT(ADDRESS(ROW(I1473)-1, 'From Order'!$A1473)), 1), I1472))"),"")</f>
        <v/>
      </c>
    </row>
    <row r="1474">
      <c r="A1474" s="2" t="str">
        <f>IFERROR(__xludf.DUMMYFUNCTION("IF('From Order'!$A1474=COLUMNS($A1474:A1493), LEFT(INDEX(FILTER(A$1:A1473, A$1:A1473&lt;&gt;""""),COUNTA(FILTER(A$1:A1473, A$1:A1473&lt;&gt;""""))), LEN(INDEX(FILTER(A$1:A1473, A$1:A1473&lt;&gt;""""),COUNTA(FILTER(A$1:A1473, A$1:A1473&lt;&gt;""""))))-1), IF('To Order'!$A1474=COL"&amp;"UMNS($A1474:A1493), A1473&amp;RIGHT(INDIRECT(ADDRESS(ROW(A1474)-1, 'From Order'!$A1474)), 1), A1473))"),"MDJDSBGZCSFVTS")</f>
        <v>MDJDSBGZCSFVTS</v>
      </c>
      <c r="B1474" s="2" t="str">
        <f>IFERROR(__xludf.DUMMYFUNCTION("IF('From Order'!$A1474=COLUMNS($A1474:B1493), LEFT(INDEX(FILTER(B$1:B1473, B$1:B1473&lt;&gt;""""),COUNTA(FILTER(B$1:B1473, B$1:B1473&lt;&gt;""""))), LEN(INDEX(FILTER(B$1:B1473, B$1:B1473&lt;&gt;""""),COUNTA(FILTER(B$1:B1473, B$1:B1473&lt;&gt;""""))))-1), IF('To Order'!$A1474=COL"&amp;"UMNS($A1474:B1493), B1473&amp;RIGHT(INDIRECT(ADDRESS(ROW(B1474)-1, 'From Order'!$A1474)), 1), B1473))"),"")</f>
        <v/>
      </c>
      <c r="C1474" s="2" t="str">
        <f>IFERROR(__xludf.DUMMYFUNCTION("IF('From Order'!$A1474=COLUMNS($A1474:C1493), LEFT(INDEX(FILTER(C$1:C1473, C$1:C1473&lt;&gt;""""),COUNTA(FILTER(C$1:C1473, C$1:C1473&lt;&gt;""""))), LEN(INDEX(FILTER(C$1:C1473, C$1:C1473&lt;&gt;""""),COUNTA(FILTER(C$1:C1473, C$1:C1473&lt;&gt;""""))))-1), IF('To Order'!$A1474=COL"&amp;"UMNS($A1474:C1493), C1473&amp;RIGHT(INDIRECT(ADDRESS(ROW(C1474)-1, 'From Order'!$A1474)), 1), C1473))"),"TQVQJPPLDTMZHRDC")</f>
        <v>TQVQJPPLDTMZHRDC</v>
      </c>
      <c r="D1474" s="2" t="str">
        <f>IFERROR(__xludf.DUMMYFUNCTION("IF('From Order'!$A1474=COLUMNS($A1474:D1493), LEFT(INDEX(FILTER(D$1:D1473, D$1:D1473&lt;&gt;""""),COUNTA(FILTER(D$1:D1473, D$1:D1473&lt;&gt;""""))), LEN(INDEX(FILTER(D$1:D1473, D$1:D1473&lt;&gt;""""),COUNTA(FILTER(D$1:D1473, D$1:D1473&lt;&gt;""""))))-1), IF('To Order'!$A1474=COL"&amp;"UMNS($A1474:D1493), D1473&amp;RIGHT(INDIRECT(ADDRESS(ROW(D1474)-1, 'From Order'!$A1474)), 1), D1473))"),"C")</f>
        <v>C</v>
      </c>
      <c r="E1474" s="2" t="str">
        <f>IFERROR(__xludf.DUMMYFUNCTION("IF('From Order'!$A1474=COLUMNS($A1474:E1493), LEFT(INDEX(FILTER(E$1:E1473, E$1:E1473&lt;&gt;""""),COUNTA(FILTER(E$1:E1473, E$1:E1473&lt;&gt;""""))), LEN(INDEX(FILTER(E$1:E1473, E$1:E1473&lt;&gt;""""),COUNTA(FILTER(E$1:E1473, E$1:E1473&lt;&gt;""""))))-1), IF('To Order'!$A1474=COL"&amp;"UMNS($A1474:E1493), E1473&amp;RIGHT(INDIRECT(ADDRESS(ROW(E1474)-1, 'From Order'!$A1474)), 1), E1473))"),"HG")</f>
        <v>HG</v>
      </c>
      <c r="F1474" s="2" t="str">
        <f>IFERROR(__xludf.DUMMYFUNCTION("IF('From Order'!$A1474=COLUMNS($A1474:F1493), LEFT(INDEX(FILTER(F$1:F1473, F$1:F1473&lt;&gt;""""),COUNTA(FILTER(F$1:F1473, F$1:F1473&lt;&gt;""""))), LEN(INDEX(FILTER(F$1:F1473, F$1:F1473&lt;&gt;""""),COUNTA(FILTER(F$1:F1473, F$1:F1473&lt;&gt;""""))))-1), IF('To Order'!$A1474=COL"&amp;"UMNS($A1474:F1493), F1473&amp;RIGHT(INDIRECT(ADDRESS(ROW(F1474)-1, 'From Order'!$A1474)), 1), F1473))"),"ZRLBWLDDTS")</f>
        <v>ZRLBWLDDTS</v>
      </c>
      <c r="G1474" s="2" t="str">
        <f>IFERROR(__xludf.DUMMYFUNCTION("IF('From Order'!$A1474=COLUMNS($A1474:G1493), LEFT(INDEX(FILTER(G$1:G1473, G$1:G1473&lt;&gt;""""),COUNTA(FILTER(G$1:G1473, G$1:G1473&lt;&gt;""""))), LEN(INDEX(FILTER(G$1:G1473, G$1:G1473&lt;&gt;""""),COUNTA(FILTER(G$1:G1473, G$1:G1473&lt;&gt;""""))))-1), IF('To Order'!$A1474=COL"&amp;"UMNS($A1474:G1493), G1473&amp;RIGHT(INDIRECT(ADDRESS(ROW(G1474)-1, 'From Order'!$A1474)), 1), G1473))"),"WRMBVTTJ")</f>
        <v>WRMBVTTJ</v>
      </c>
      <c r="H1474" s="2" t="str">
        <f>IFERROR(__xludf.DUMMYFUNCTION("IF('From Order'!$A1474=COLUMNS($A1474:H1493), LEFT(INDEX(FILTER(H$1:H1473, H$1:H1473&lt;&gt;""""),COUNTA(FILTER(H$1:H1473, H$1:H1473&lt;&gt;""""))), LEN(INDEX(FILTER(H$1:H1473, H$1:H1473&lt;&gt;""""),COUNTA(FILTER(H$1:H1473, H$1:H1473&lt;&gt;""""))))-1), IF('To Order'!$A1474=COL"&amp;"UMNS($A1474:H1493), H1473&amp;RIGHT(INDIRECT(ADDRESS(ROW(H1474)-1, 'From Order'!$A1474)), 1), H1473))"),"FBPRR")</f>
        <v>FBPRR</v>
      </c>
      <c r="I1474" s="2" t="str">
        <f>IFERROR(__xludf.DUMMYFUNCTION("IF('From Order'!$A1474=COLUMNS($A1474:I1493), LEFT(INDEX(FILTER(I$1:I1473, I$1:I1473&lt;&gt;""""),COUNTA(FILTER(I$1:I1473, I$1:I1473&lt;&gt;""""))), LEN(INDEX(FILTER(I$1:I1473, I$1:I1473&lt;&gt;""""),COUNTA(FILTER(I$1:I1473, I$1:I1473&lt;&gt;""""))))-1), IF('To Order'!$A1474=COL"&amp;"UMNS($A1474:I1493), I1473&amp;RIGHT(INDIRECT(ADDRESS(ROW(I1474)-1, 'From Order'!$A1474)), 1), I1473))"),"")</f>
        <v/>
      </c>
    </row>
    <row r="1475">
      <c r="A1475" s="2" t="str">
        <f>IFERROR(__xludf.DUMMYFUNCTION("IF('From Order'!$A1475=COLUMNS($A1475:A1494), LEFT(INDEX(FILTER(A$1:A1474, A$1:A1474&lt;&gt;""""),COUNTA(FILTER(A$1:A1474, A$1:A1474&lt;&gt;""""))), LEN(INDEX(FILTER(A$1:A1474, A$1:A1474&lt;&gt;""""),COUNTA(FILTER(A$1:A1474, A$1:A1474&lt;&gt;""""))))-1), IF('To Order'!$A1475=COL"&amp;"UMNS($A1475:A1494), A1474&amp;RIGHT(INDIRECT(ADDRESS(ROW(A1475)-1, 'From Order'!$A1475)), 1), A1474))"),"MDJDSBGZCSFVTS")</f>
        <v>MDJDSBGZCSFVTS</v>
      </c>
      <c r="B1475" s="2" t="str">
        <f>IFERROR(__xludf.DUMMYFUNCTION("IF('From Order'!$A1475=COLUMNS($A1475:B1494), LEFT(INDEX(FILTER(B$1:B1474, B$1:B1474&lt;&gt;""""),COUNTA(FILTER(B$1:B1474, B$1:B1474&lt;&gt;""""))), LEN(INDEX(FILTER(B$1:B1474, B$1:B1474&lt;&gt;""""),COUNTA(FILTER(B$1:B1474, B$1:B1474&lt;&gt;""""))))-1), IF('To Order'!$A1475=COL"&amp;"UMNS($A1475:B1494), B1474&amp;RIGHT(INDIRECT(ADDRESS(ROW(B1475)-1, 'From Order'!$A1475)), 1), B1474))"),"G")</f>
        <v>G</v>
      </c>
      <c r="C1475" s="2" t="str">
        <f>IFERROR(__xludf.DUMMYFUNCTION("IF('From Order'!$A1475=COLUMNS($A1475:C1494), LEFT(INDEX(FILTER(C$1:C1474, C$1:C1474&lt;&gt;""""),COUNTA(FILTER(C$1:C1474, C$1:C1474&lt;&gt;""""))), LEN(INDEX(FILTER(C$1:C1474, C$1:C1474&lt;&gt;""""),COUNTA(FILTER(C$1:C1474, C$1:C1474&lt;&gt;""""))))-1), IF('To Order'!$A1475=COL"&amp;"UMNS($A1475:C1494), C1474&amp;RIGHT(INDIRECT(ADDRESS(ROW(C1475)-1, 'From Order'!$A1475)), 1), C1474))"),"TQVQJPPLDTMZHRDC")</f>
        <v>TQVQJPPLDTMZHRDC</v>
      </c>
      <c r="D1475" s="2" t="str">
        <f>IFERROR(__xludf.DUMMYFUNCTION("IF('From Order'!$A1475=COLUMNS($A1475:D1494), LEFT(INDEX(FILTER(D$1:D1474, D$1:D1474&lt;&gt;""""),COUNTA(FILTER(D$1:D1474, D$1:D1474&lt;&gt;""""))), LEN(INDEX(FILTER(D$1:D1474, D$1:D1474&lt;&gt;""""),COUNTA(FILTER(D$1:D1474, D$1:D1474&lt;&gt;""""))))-1), IF('To Order'!$A1475=COL"&amp;"UMNS($A1475:D1494), D1474&amp;RIGHT(INDIRECT(ADDRESS(ROW(D1475)-1, 'From Order'!$A1475)), 1), D1474))"),"C")</f>
        <v>C</v>
      </c>
      <c r="E1475" s="2" t="str">
        <f>IFERROR(__xludf.DUMMYFUNCTION("IF('From Order'!$A1475=COLUMNS($A1475:E1494), LEFT(INDEX(FILTER(E$1:E1474, E$1:E1474&lt;&gt;""""),COUNTA(FILTER(E$1:E1474, E$1:E1474&lt;&gt;""""))), LEN(INDEX(FILTER(E$1:E1474, E$1:E1474&lt;&gt;""""),COUNTA(FILTER(E$1:E1474, E$1:E1474&lt;&gt;""""))))-1), IF('To Order'!$A1475=COL"&amp;"UMNS($A1475:E1494), E1474&amp;RIGHT(INDIRECT(ADDRESS(ROW(E1475)-1, 'From Order'!$A1475)), 1), E1474))"),"H")</f>
        <v>H</v>
      </c>
      <c r="F1475" s="2" t="str">
        <f>IFERROR(__xludf.DUMMYFUNCTION("IF('From Order'!$A1475=COLUMNS($A1475:F1494), LEFT(INDEX(FILTER(F$1:F1474, F$1:F1474&lt;&gt;""""),COUNTA(FILTER(F$1:F1474, F$1:F1474&lt;&gt;""""))), LEN(INDEX(FILTER(F$1:F1474, F$1:F1474&lt;&gt;""""),COUNTA(FILTER(F$1:F1474, F$1:F1474&lt;&gt;""""))))-1), IF('To Order'!$A1475=COL"&amp;"UMNS($A1475:F1494), F1474&amp;RIGHT(INDIRECT(ADDRESS(ROW(F1475)-1, 'From Order'!$A1475)), 1), F1474))"),"ZRLBWLDDTS")</f>
        <v>ZRLBWLDDTS</v>
      </c>
      <c r="G1475" s="2" t="str">
        <f>IFERROR(__xludf.DUMMYFUNCTION("IF('From Order'!$A1475=COLUMNS($A1475:G1494), LEFT(INDEX(FILTER(G$1:G1474, G$1:G1474&lt;&gt;""""),COUNTA(FILTER(G$1:G1474, G$1:G1474&lt;&gt;""""))), LEN(INDEX(FILTER(G$1:G1474, G$1:G1474&lt;&gt;""""),COUNTA(FILTER(G$1:G1474, G$1:G1474&lt;&gt;""""))))-1), IF('To Order'!$A1475=COL"&amp;"UMNS($A1475:G1494), G1474&amp;RIGHT(INDIRECT(ADDRESS(ROW(G1475)-1, 'From Order'!$A1475)), 1), G1474))"),"WRMBVTTJ")</f>
        <v>WRMBVTTJ</v>
      </c>
      <c r="H1475" s="2" t="str">
        <f>IFERROR(__xludf.DUMMYFUNCTION("IF('From Order'!$A1475=COLUMNS($A1475:H1494), LEFT(INDEX(FILTER(H$1:H1474, H$1:H1474&lt;&gt;""""),COUNTA(FILTER(H$1:H1474, H$1:H1474&lt;&gt;""""))), LEN(INDEX(FILTER(H$1:H1474, H$1:H1474&lt;&gt;""""),COUNTA(FILTER(H$1:H1474, H$1:H1474&lt;&gt;""""))))-1), IF('To Order'!$A1475=COL"&amp;"UMNS($A1475:H1494), H1474&amp;RIGHT(INDIRECT(ADDRESS(ROW(H1475)-1, 'From Order'!$A1475)), 1), H1474))"),"FBPRR")</f>
        <v>FBPRR</v>
      </c>
      <c r="I1475" s="2" t="str">
        <f>IFERROR(__xludf.DUMMYFUNCTION("IF('From Order'!$A1475=COLUMNS($A1475:I1494), LEFT(INDEX(FILTER(I$1:I1474, I$1:I1474&lt;&gt;""""),COUNTA(FILTER(I$1:I1474, I$1:I1474&lt;&gt;""""))), LEN(INDEX(FILTER(I$1:I1474, I$1:I1474&lt;&gt;""""),COUNTA(FILTER(I$1:I1474, I$1:I1474&lt;&gt;""""))))-1), IF('To Order'!$A1475=COL"&amp;"UMNS($A1475:I1494), I1474&amp;RIGHT(INDIRECT(ADDRESS(ROW(I1475)-1, 'From Order'!$A1475)), 1), I1474))"),"")</f>
        <v/>
      </c>
    </row>
    <row r="1476">
      <c r="A1476" s="2" t="str">
        <f>IFERROR(__xludf.DUMMYFUNCTION("IF('From Order'!$A1476=COLUMNS($A1476:A1495), LEFT(INDEX(FILTER(A$1:A1475, A$1:A1475&lt;&gt;""""),COUNTA(FILTER(A$1:A1475, A$1:A1475&lt;&gt;""""))), LEN(INDEX(FILTER(A$1:A1475, A$1:A1475&lt;&gt;""""),COUNTA(FILTER(A$1:A1475, A$1:A1475&lt;&gt;""""))))-1), IF('To Order'!$A1476=COL"&amp;"UMNS($A1476:A1495), A1475&amp;RIGHT(INDIRECT(ADDRESS(ROW(A1476)-1, 'From Order'!$A1476)), 1), A1475))"),"MDJDSBGZCSFVT")</f>
        <v>MDJDSBGZCSFVT</v>
      </c>
      <c r="B1476" s="2" t="str">
        <f>IFERROR(__xludf.DUMMYFUNCTION("IF('From Order'!$A1476=COLUMNS($A1476:B1495), LEFT(INDEX(FILTER(B$1:B1475, B$1:B1475&lt;&gt;""""),COUNTA(FILTER(B$1:B1475, B$1:B1475&lt;&gt;""""))), LEN(INDEX(FILTER(B$1:B1475, B$1:B1475&lt;&gt;""""),COUNTA(FILTER(B$1:B1475, B$1:B1475&lt;&gt;""""))))-1), IF('To Order'!$A1476=COL"&amp;"UMNS($A1476:B1495), B1475&amp;RIGHT(INDIRECT(ADDRESS(ROW(B1476)-1, 'From Order'!$A1476)), 1), B1475))"),"G")</f>
        <v>G</v>
      </c>
      <c r="C1476" s="2" t="str">
        <f>IFERROR(__xludf.DUMMYFUNCTION("IF('From Order'!$A1476=COLUMNS($A1476:C1495), LEFT(INDEX(FILTER(C$1:C1475, C$1:C1475&lt;&gt;""""),COUNTA(FILTER(C$1:C1475, C$1:C1475&lt;&gt;""""))), LEN(INDEX(FILTER(C$1:C1475, C$1:C1475&lt;&gt;""""),COUNTA(FILTER(C$1:C1475, C$1:C1475&lt;&gt;""""))))-1), IF('To Order'!$A1476=COL"&amp;"UMNS($A1476:C1495), C1475&amp;RIGHT(INDIRECT(ADDRESS(ROW(C1476)-1, 'From Order'!$A1476)), 1), C1475))"),"TQVQJPPLDTMZHRDC")</f>
        <v>TQVQJPPLDTMZHRDC</v>
      </c>
      <c r="D1476" s="2" t="str">
        <f>IFERROR(__xludf.DUMMYFUNCTION("IF('From Order'!$A1476=COLUMNS($A1476:D1495), LEFT(INDEX(FILTER(D$1:D1475, D$1:D1475&lt;&gt;""""),COUNTA(FILTER(D$1:D1475, D$1:D1475&lt;&gt;""""))), LEN(INDEX(FILTER(D$1:D1475, D$1:D1475&lt;&gt;""""),COUNTA(FILTER(D$1:D1475, D$1:D1475&lt;&gt;""""))))-1), IF('To Order'!$A1476=COL"&amp;"UMNS($A1476:D1495), D1475&amp;RIGHT(INDIRECT(ADDRESS(ROW(D1476)-1, 'From Order'!$A1476)), 1), D1475))"),"C")</f>
        <v>C</v>
      </c>
      <c r="E1476" s="2" t="str">
        <f>IFERROR(__xludf.DUMMYFUNCTION("IF('From Order'!$A1476=COLUMNS($A1476:E1495), LEFT(INDEX(FILTER(E$1:E1475, E$1:E1475&lt;&gt;""""),COUNTA(FILTER(E$1:E1475, E$1:E1475&lt;&gt;""""))), LEN(INDEX(FILTER(E$1:E1475, E$1:E1475&lt;&gt;""""),COUNTA(FILTER(E$1:E1475, E$1:E1475&lt;&gt;""""))))-1), IF('To Order'!$A1476=COL"&amp;"UMNS($A1476:E1495), E1475&amp;RIGHT(INDIRECT(ADDRESS(ROW(E1476)-1, 'From Order'!$A1476)), 1), E1475))"),"H")</f>
        <v>H</v>
      </c>
      <c r="F1476" s="2" t="str">
        <f>IFERROR(__xludf.DUMMYFUNCTION("IF('From Order'!$A1476=COLUMNS($A1476:F1495), LEFT(INDEX(FILTER(F$1:F1475, F$1:F1475&lt;&gt;""""),COUNTA(FILTER(F$1:F1475, F$1:F1475&lt;&gt;""""))), LEN(INDEX(FILTER(F$1:F1475, F$1:F1475&lt;&gt;""""),COUNTA(FILTER(F$1:F1475, F$1:F1475&lt;&gt;""""))))-1), IF('To Order'!$A1476=COL"&amp;"UMNS($A1476:F1495), F1475&amp;RIGHT(INDIRECT(ADDRESS(ROW(F1476)-1, 'From Order'!$A1476)), 1), F1475))"),"ZRLBWLDDTSS")</f>
        <v>ZRLBWLDDTSS</v>
      </c>
      <c r="G1476" s="2" t="str">
        <f>IFERROR(__xludf.DUMMYFUNCTION("IF('From Order'!$A1476=COLUMNS($A1476:G1495), LEFT(INDEX(FILTER(G$1:G1475, G$1:G1475&lt;&gt;""""),COUNTA(FILTER(G$1:G1475, G$1:G1475&lt;&gt;""""))), LEN(INDEX(FILTER(G$1:G1475, G$1:G1475&lt;&gt;""""),COUNTA(FILTER(G$1:G1475, G$1:G1475&lt;&gt;""""))))-1), IF('To Order'!$A1476=COL"&amp;"UMNS($A1476:G1495), G1475&amp;RIGHT(INDIRECT(ADDRESS(ROW(G1476)-1, 'From Order'!$A1476)), 1), G1475))"),"WRMBVTTJ")</f>
        <v>WRMBVTTJ</v>
      </c>
      <c r="H1476" s="2" t="str">
        <f>IFERROR(__xludf.DUMMYFUNCTION("IF('From Order'!$A1476=COLUMNS($A1476:H1495), LEFT(INDEX(FILTER(H$1:H1475, H$1:H1475&lt;&gt;""""),COUNTA(FILTER(H$1:H1475, H$1:H1475&lt;&gt;""""))), LEN(INDEX(FILTER(H$1:H1475, H$1:H1475&lt;&gt;""""),COUNTA(FILTER(H$1:H1475, H$1:H1475&lt;&gt;""""))))-1), IF('To Order'!$A1476=COL"&amp;"UMNS($A1476:H1495), H1475&amp;RIGHT(INDIRECT(ADDRESS(ROW(H1476)-1, 'From Order'!$A1476)), 1), H1475))"),"FBPRR")</f>
        <v>FBPRR</v>
      </c>
      <c r="I1476" s="2" t="str">
        <f>IFERROR(__xludf.DUMMYFUNCTION("IF('From Order'!$A1476=COLUMNS($A1476:I1495), LEFT(INDEX(FILTER(I$1:I1475, I$1:I1475&lt;&gt;""""),COUNTA(FILTER(I$1:I1475, I$1:I1475&lt;&gt;""""))), LEN(INDEX(FILTER(I$1:I1475, I$1:I1475&lt;&gt;""""),COUNTA(FILTER(I$1:I1475, I$1:I1475&lt;&gt;""""))))-1), IF('To Order'!$A1476=COL"&amp;"UMNS($A1476:I1495), I1475&amp;RIGHT(INDIRECT(ADDRESS(ROW(I1476)-1, 'From Order'!$A1476)), 1), I1475))"),"")</f>
        <v/>
      </c>
    </row>
    <row r="1477">
      <c r="A1477" s="2" t="str">
        <f>IFERROR(__xludf.DUMMYFUNCTION("IF('From Order'!$A1477=COLUMNS($A1477:A1496), LEFT(INDEX(FILTER(A$1:A1476, A$1:A1476&lt;&gt;""""),COUNTA(FILTER(A$1:A1476, A$1:A1476&lt;&gt;""""))), LEN(INDEX(FILTER(A$1:A1476, A$1:A1476&lt;&gt;""""),COUNTA(FILTER(A$1:A1476, A$1:A1476&lt;&gt;""""))))-1), IF('To Order'!$A1477=COL"&amp;"UMNS($A1477:A1496), A1476&amp;RIGHT(INDIRECT(ADDRESS(ROW(A1477)-1, 'From Order'!$A1477)), 1), A1476))"),"MDJDSBGZCSFV")</f>
        <v>MDJDSBGZCSFV</v>
      </c>
      <c r="B1477" s="2" t="str">
        <f>IFERROR(__xludf.DUMMYFUNCTION("IF('From Order'!$A1477=COLUMNS($A1477:B1496), LEFT(INDEX(FILTER(B$1:B1476, B$1:B1476&lt;&gt;""""),COUNTA(FILTER(B$1:B1476, B$1:B1476&lt;&gt;""""))), LEN(INDEX(FILTER(B$1:B1476, B$1:B1476&lt;&gt;""""),COUNTA(FILTER(B$1:B1476, B$1:B1476&lt;&gt;""""))))-1), IF('To Order'!$A1477=COL"&amp;"UMNS($A1477:B1496), B1476&amp;RIGHT(INDIRECT(ADDRESS(ROW(B1477)-1, 'From Order'!$A1477)), 1), B1476))"),"G")</f>
        <v>G</v>
      </c>
      <c r="C1477" s="2" t="str">
        <f>IFERROR(__xludf.DUMMYFUNCTION("IF('From Order'!$A1477=COLUMNS($A1477:C1496), LEFT(INDEX(FILTER(C$1:C1476, C$1:C1476&lt;&gt;""""),COUNTA(FILTER(C$1:C1476, C$1:C1476&lt;&gt;""""))), LEN(INDEX(FILTER(C$1:C1476, C$1:C1476&lt;&gt;""""),COUNTA(FILTER(C$1:C1476, C$1:C1476&lt;&gt;""""))))-1), IF('To Order'!$A1477=COL"&amp;"UMNS($A1477:C1496), C1476&amp;RIGHT(INDIRECT(ADDRESS(ROW(C1477)-1, 'From Order'!$A1477)), 1), C1476))"),"TQVQJPPLDTMZHRDC")</f>
        <v>TQVQJPPLDTMZHRDC</v>
      </c>
      <c r="D1477" s="2" t="str">
        <f>IFERROR(__xludf.DUMMYFUNCTION("IF('From Order'!$A1477=COLUMNS($A1477:D1496), LEFT(INDEX(FILTER(D$1:D1476, D$1:D1476&lt;&gt;""""),COUNTA(FILTER(D$1:D1476, D$1:D1476&lt;&gt;""""))), LEN(INDEX(FILTER(D$1:D1476, D$1:D1476&lt;&gt;""""),COUNTA(FILTER(D$1:D1476, D$1:D1476&lt;&gt;""""))))-1), IF('To Order'!$A1477=COL"&amp;"UMNS($A1477:D1496), D1476&amp;RIGHT(INDIRECT(ADDRESS(ROW(D1477)-1, 'From Order'!$A1477)), 1), D1476))"),"C")</f>
        <v>C</v>
      </c>
      <c r="E1477" s="2" t="str">
        <f>IFERROR(__xludf.DUMMYFUNCTION("IF('From Order'!$A1477=COLUMNS($A1477:E1496), LEFT(INDEX(FILTER(E$1:E1476, E$1:E1476&lt;&gt;""""),COUNTA(FILTER(E$1:E1476, E$1:E1476&lt;&gt;""""))), LEN(INDEX(FILTER(E$1:E1476, E$1:E1476&lt;&gt;""""),COUNTA(FILTER(E$1:E1476, E$1:E1476&lt;&gt;""""))))-1), IF('To Order'!$A1477=COL"&amp;"UMNS($A1477:E1496), E1476&amp;RIGHT(INDIRECT(ADDRESS(ROW(E1477)-1, 'From Order'!$A1477)), 1), E1476))"),"H")</f>
        <v>H</v>
      </c>
      <c r="F1477" s="2" t="str">
        <f>IFERROR(__xludf.DUMMYFUNCTION("IF('From Order'!$A1477=COLUMNS($A1477:F1496), LEFT(INDEX(FILTER(F$1:F1476, F$1:F1476&lt;&gt;""""),COUNTA(FILTER(F$1:F1476, F$1:F1476&lt;&gt;""""))), LEN(INDEX(FILTER(F$1:F1476, F$1:F1476&lt;&gt;""""),COUNTA(FILTER(F$1:F1476, F$1:F1476&lt;&gt;""""))))-1), IF('To Order'!$A1477=COL"&amp;"UMNS($A1477:F1496), F1476&amp;RIGHT(INDIRECT(ADDRESS(ROW(F1477)-1, 'From Order'!$A1477)), 1), F1476))"),"ZRLBWLDDTSST")</f>
        <v>ZRLBWLDDTSST</v>
      </c>
      <c r="G1477" s="2" t="str">
        <f>IFERROR(__xludf.DUMMYFUNCTION("IF('From Order'!$A1477=COLUMNS($A1477:G1496), LEFT(INDEX(FILTER(G$1:G1476, G$1:G1476&lt;&gt;""""),COUNTA(FILTER(G$1:G1476, G$1:G1476&lt;&gt;""""))), LEN(INDEX(FILTER(G$1:G1476, G$1:G1476&lt;&gt;""""),COUNTA(FILTER(G$1:G1476, G$1:G1476&lt;&gt;""""))))-1), IF('To Order'!$A1477=COL"&amp;"UMNS($A1477:G1496), G1476&amp;RIGHT(INDIRECT(ADDRESS(ROW(G1477)-1, 'From Order'!$A1477)), 1), G1476))"),"WRMBVTTJ")</f>
        <v>WRMBVTTJ</v>
      </c>
      <c r="H1477" s="2" t="str">
        <f>IFERROR(__xludf.DUMMYFUNCTION("IF('From Order'!$A1477=COLUMNS($A1477:H1496), LEFT(INDEX(FILTER(H$1:H1476, H$1:H1476&lt;&gt;""""),COUNTA(FILTER(H$1:H1476, H$1:H1476&lt;&gt;""""))), LEN(INDEX(FILTER(H$1:H1476, H$1:H1476&lt;&gt;""""),COUNTA(FILTER(H$1:H1476, H$1:H1476&lt;&gt;""""))))-1), IF('To Order'!$A1477=COL"&amp;"UMNS($A1477:H1496), H1476&amp;RIGHT(INDIRECT(ADDRESS(ROW(H1477)-1, 'From Order'!$A1477)), 1), H1476))"),"FBPRR")</f>
        <v>FBPRR</v>
      </c>
      <c r="I1477" s="2" t="str">
        <f>IFERROR(__xludf.DUMMYFUNCTION("IF('From Order'!$A1477=COLUMNS($A1477:I1496), LEFT(INDEX(FILTER(I$1:I1476, I$1:I1476&lt;&gt;""""),COUNTA(FILTER(I$1:I1476, I$1:I1476&lt;&gt;""""))), LEN(INDEX(FILTER(I$1:I1476, I$1:I1476&lt;&gt;""""),COUNTA(FILTER(I$1:I1476, I$1:I1476&lt;&gt;""""))))-1), IF('To Order'!$A1477=COL"&amp;"UMNS($A1477:I1496), I1476&amp;RIGHT(INDIRECT(ADDRESS(ROW(I1477)-1, 'From Order'!$A1477)), 1), I1476))"),"")</f>
        <v/>
      </c>
    </row>
    <row r="1478">
      <c r="A1478" s="2" t="str">
        <f>IFERROR(__xludf.DUMMYFUNCTION("IF('From Order'!$A1478=COLUMNS($A1478:A1497), LEFT(INDEX(FILTER(A$1:A1477, A$1:A1477&lt;&gt;""""),COUNTA(FILTER(A$1:A1477, A$1:A1477&lt;&gt;""""))), LEN(INDEX(FILTER(A$1:A1477, A$1:A1477&lt;&gt;""""),COUNTA(FILTER(A$1:A1477, A$1:A1477&lt;&gt;""""))))-1), IF('To Order'!$A1478=COL"&amp;"UMNS($A1478:A1497), A1477&amp;RIGHT(INDIRECT(ADDRESS(ROW(A1478)-1, 'From Order'!$A1478)), 1), A1477))"),"MDJDSBGZCSF")</f>
        <v>MDJDSBGZCSF</v>
      </c>
      <c r="B1478" s="2" t="str">
        <f>IFERROR(__xludf.DUMMYFUNCTION("IF('From Order'!$A1478=COLUMNS($A1478:B1497), LEFT(INDEX(FILTER(B$1:B1477, B$1:B1477&lt;&gt;""""),COUNTA(FILTER(B$1:B1477, B$1:B1477&lt;&gt;""""))), LEN(INDEX(FILTER(B$1:B1477, B$1:B1477&lt;&gt;""""),COUNTA(FILTER(B$1:B1477, B$1:B1477&lt;&gt;""""))))-1), IF('To Order'!$A1478=COL"&amp;"UMNS($A1478:B1497), B1477&amp;RIGHT(INDIRECT(ADDRESS(ROW(B1478)-1, 'From Order'!$A1478)), 1), B1477))"),"G")</f>
        <v>G</v>
      </c>
      <c r="C1478" s="2" t="str">
        <f>IFERROR(__xludf.DUMMYFUNCTION("IF('From Order'!$A1478=COLUMNS($A1478:C1497), LEFT(INDEX(FILTER(C$1:C1477, C$1:C1477&lt;&gt;""""),COUNTA(FILTER(C$1:C1477, C$1:C1477&lt;&gt;""""))), LEN(INDEX(FILTER(C$1:C1477, C$1:C1477&lt;&gt;""""),COUNTA(FILTER(C$1:C1477, C$1:C1477&lt;&gt;""""))))-1), IF('To Order'!$A1478=COL"&amp;"UMNS($A1478:C1497), C1477&amp;RIGHT(INDIRECT(ADDRESS(ROW(C1478)-1, 'From Order'!$A1478)), 1), C1477))"),"TQVQJPPLDTMZHRDC")</f>
        <v>TQVQJPPLDTMZHRDC</v>
      </c>
      <c r="D1478" s="2" t="str">
        <f>IFERROR(__xludf.DUMMYFUNCTION("IF('From Order'!$A1478=COLUMNS($A1478:D1497), LEFT(INDEX(FILTER(D$1:D1477, D$1:D1477&lt;&gt;""""),COUNTA(FILTER(D$1:D1477, D$1:D1477&lt;&gt;""""))), LEN(INDEX(FILTER(D$1:D1477, D$1:D1477&lt;&gt;""""),COUNTA(FILTER(D$1:D1477, D$1:D1477&lt;&gt;""""))))-1), IF('To Order'!$A1478=COL"&amp;"UMNS($A1478:D1497), D1477&amp;RIGHT(INDIRECT(ADDRESS(ROW(D1478)-1, 'From Order'!$A1478)), 1), D1477))"),"C")</f>
        <v>C</v>
      </c>
      <c r="E1478" s="2" t="str">
        <f>IFERROR(__xludf.DUMMYFUNCTION("IF('From Order'!$A1478=COLUMNS($A1478:E1497), LEFT(INDEX(FILTER(E$1:E1477, E$1:E1477&lt;&gt;""""),COUNTA(FILTER(E$1:E1477, E$1:E1477&lt;&gt;""""))), LEN(INDEX(FILTER(E$1:E1477, E$1:E1477&lt;&gt;""""),COUNTA(FILTER(E$1:E1477, E$1:E1477&lt;&gt;""""))))-1), IF('To Order'!$A1478=COL"&amp;"UMNS($A1478:E1497), E1477&amp;RIGHT(INDIRECT(ADDRESS(ROW(E1478)-1, 'From Order'!$A1478)), 1), E1477))"),"H")</f>
        <v>H</v>
      </c>
      <c r="F1478" s="2" t="str">
        <f>IFERROR(__xludf.DUMMYFUNCTION("IF('From Order'!$A1478=COLUMNS($A1478:F1497), LEFT(INDEX(FILTER(F$1:F1477, F$1:F1477&lt;&gt;""""),COUNTA(FILTER(F$1:F1477, F$1:F1477&lt;&gt;""""))), LEN(INDEX(FILTER(F$1:F1477, F$1:F1477&lt;&gt;""""),COUNTA(FILTER(F$1:F1477, F$1:F1477&lt;&gt;""""))))-1), IF('To Order'!$A1478=COL"&amp;"UMNS($A1478:F1497), F1477&amp;RIGHT(INDIRECT(ADDRESS(ROW(F1478)-1, 'From Order'!$A1478)), 1), F1477))"),"ZRLBWLDDTSSTV")</f>
        <v>ZRLBWLDDTSSTV</v>
      </c>
      <c r="G1478" s="2" t="str">
        <f>IFERROR(__xludf.DUMMYFUNCTION("IF('From Order'!$A1478=COLUMNS($A1478:G1497), LEFT(INDEX(FILTER(G$1:G1477, G$1:G1477&lt;&gt;""""),COUNTA(FILTER(G$1:G1477, G$1:G1477&lt;&gt;""""))), LEN(INDEX(FILTER(G$1:G1477, G$1:G1477&lt;&gt;""""),COUNTA(FILTER(G$1:G1477, G$1:G1477&lt;&gt;""""))))-1), IF('To Order'!$A1478=COL"&amp;"UMNS($A1478:G1497), G1477&amp;RIGHT(INDIRECT(ADDRESS(ROW(G1478)-1, 'From Order'!$A1478)), 1), G1477))"),"WRMBVTTJ")</f>
        <v>WRMBVTTJ</v>
      </c>
      <c r="H1478" s="2" t="str">
        <f>IFERROR(__xludf.DUMMYFUNCTION("IF('From Order'!$A1478=COLUMNS($A1478:H1497), LEFT(INDEX(FILTER(H$1:H1477, H$1:H1477&lt;&gt;""""),COUNTA(FILTER(H$1:H1477, H$1:H1477&lt;&gt;""""))), LEN(INDEX(FILTER(H$1:H1477, H$1:H1477&lt;&gt;""""),COUNTA(FILTER(H$1:H1477, H$1:H1477&lt;&gt;""""))))-1), IF('To Order'!$A1478=COL"&amp;"UMNS($A1478:H1497), H1477&amp;RIGHT(INDIRECT(ADDRESS(ROW(H1478)-1, 'From Order'!$A1478)), 1), H1477))"),"FBPRR")</f>
        <v>FBPRR</v>
      </c>
      <c r="I1478" s="2" t="str">
        <f>IFERROR(__xludf.DUMMYFUNCTION("IF('From Order'!$A1478=COLUMNS($A1478:I1497), LEFT(INDEX(FILTER(I$1:I1477, I$1:I1477&lt;&gt;""""),COUNTA(FILTER(I$1:I1477, I$1:I1477&lt;&gt;""""))), LEN(INDEX(FILTER(I$1:I1477, I$1:I1477&lt;&gt;""""),COUNTA(FILTER(I$1:I1477, I$1:I1477&lt;&gt;""""))))-1), IF('To Order'!$A1478=COL"&amp;"UMNS($A1478:I1497), I1477&amp;RIGHT(INDIRECT(ADDRESS(ROW(I1478)-1, 'From Order'!$A1478)), 1), I1477))"),"")</f>
        <v/>
      </c>
    </row>
    <row r="1479">
      <c r="A1479" s="2" t="str">
        <f>IFERROR(__xludf.DUMMYFUNCTION("IF('From Order'!$A1479=COLUMNS($A1479:A1498), LEFT(INDEX(FILTER(A$1:A1478, A$1:A1478&lt;&gt;""""),COUNTA(FILTER(A$1:A1478, A$1:A1478&lt;&gt;""""))), LEN(INDEX(FILTER(A$1:A1478, A$1:A1478&lt;&gt;""""),COUNTA(FILTER(A$1:A1478, A$1:A1478&lt;&gt;""""))))-1), IF('To Order'!$A1479=COL"&amp;"UMNS($A1479:A1498), A1478&amp;RIGHT(INDIRECT(ADDRESS(ROW(A1479)-1, 'From Order'!$A1479)), 1), A1478))"),"MDJDSBGZCS")</f>
        <v>MDJDSBGZCS</v>
      </c>
      <c r="B1479" s="2" t="str">
        <f>IFERROR(__xludf.DUMMYFUNCTION("IF('From Order'!$A1479=COLUMNS($A1479:B1498), LEFT(INDEX(FILTER(B$1:B1478, B$1:B1478&lt;&gt;""""),COUNTA(FILTER(B$1:B1478, B$1:B1478&lt;&gt;""""))), LEN(INDEX(FILTER(B$1:B1478, B$1:B1478&lt;&gt;""""),COUNTA(FILTER(B$1:B1478, B$1:B1478&lt;&gt;""""))))-1), IF('To Order'!$A1479=COL"&amp;"UMNS($A1479:B1498), B1478&amp;RIGHT(INDIRECT(ADDRESS(ROW(B1479)-1, 'From Order'!$A1479)), 1), B1478))"),"G")</f>
        <v>G</v>
      </c>
      <c r="C1479" s="2" t="str">
        <f>IFERROR(__xludf.DUMMYFUNCTION("IF('From Order'!$A1479=COLUMNS($A1479:C1498), LEFT(INDEX(FILTER(C$1:C1478, C$1:C1478&lt;&gt;""""),COUNTA(FILTER(C$1:C1478, C$1:C1478&lt;&gt;""""))), LEN(INDEX(FILTER(C$1:C1478, C$1:C1478&lt;&gt;""""),COUNTA(FILTER(C$1:C1478, C$1:C1478&lt;&gt;""""))))-1), IF('To Order'!$A1479=COL"&amp;"UMNS($A1479:C1498), C1478&amp;RIGHT(INDIRECT(ADDRESS(ROW(C1479)-1, 'From Order'!$A1479)), 1), C1478))"),"TQVQJPPLDTMZHRDC")</f>
        <v>TQVQJPPLDTMZHRDC</v>
      </c>
      <c r="D1479" s="2" t="str">
        <f>IFERROR(__xludf.DUMMYFUNCTION("IF('From Order'!$A1479=COLUMNS($A1479:D1498), LEFT(INDEX(FILTER(D$1:D1478, D$1:D1478&lt;&gt;""""),COUNTA(FILTER(D$1:D1478, D$1:D1478&lt;&gt;""""))), LEN(INDEX(FILTER(D$1:D1478, D$1:D1478&lt;&gt;""""),COUNTA(FILTER(D$1:D1478, D$1:D1478&lt;&gt;""""))))-1), IF('To Order'!$A1479=COL"&amp;"UMNS($A1479:D1498), D1478&amp;RIGHT(INDIRECT(ADDRESS(ROW(D1479)-1, 'From Order'!$A1479)), 1), D1478))"),"C")</f>
        <v>C</v>
      </c>
      <c r="E1479" s="2" t="str">
        <f>IFERROR(__xludf.DUMMYFUNCTION("IF('From Order'!$A1479=COLUMNS($A1479:E1498), LEFT(INDEX(FILTER(E$1:E1478, E$1:E1478&lt;&gt;""""),COUNTA(FILTER(E$1:E1478, E$1:E1478&lt;&gt;""""))), LEN(INDEX(FILTER(E$1:E1478, E$1:E1478&lt;&gt;""""),COUNTA(FILTER(E$1:E1478, E$1:E1478&lt;&gt;""""))))-1), IF('To Order'!$A1479=COL"&amp;"UMNS($A1479:E1498), E1478&amp;RIGHT(INDIRECT(ADDRESS(ROW(E1479)-1, 'From Order'!$A1479)), 1), E1478))"),"H")</f>
        <v>H</v>
      </c>
      <c r="F1479" s="2" t="str">
        <f>IFERROR(__xludf.DUMMYFUNCTION("IF('From Order'!$A1479=COLUMNS($A1479:F1498), LEFT(INDEX(FILTER(F$1:F1478, F$1:F1478&lt;&gt;""""),COUNTA(FILTER(F$1:F1478, F$1:F1478&lt;&gt;""""))), LEN(INDEX(FILTER(F$1:F1478, F$1:F1478&lt;&gt;""""),COUNTA(FILTER(F$1:F1478, F$1:F1478&lt;&gt;""""))))-1), IF('To Order'!$A1479=COL"&amp;"UMNS($A1479:F1498), F1478&amp;RIGHT(INDIRECT(ADDRESS(ROW(F1479)-1, 'From Order'!$A1479)), 1), F1478))"),"ZRLBWLDDTSSTVF")</f>
        <v>ZRLBWLDDTSSTVF</v>
      </c>
      <c r="G1479" s="2" t="str">
        <f>IFERROR(__xludf.DUMMYFUNCTION("IF('From Order'!$A1479=COLUMNS($A1479:G1498), LEFT(INDEX(FILTER(G$1:G1478, G$1:G1478&lt;&gt;""""),COUNTA(FILTER(G$1:G1478, G$1:G1478&lt;&gt;""""))), LEN(INDEX(FILTER(G$1:G1478, G$1:G1478&lt;&gt;""""),COUNTA(FILTER(G$1:G1478, G$1:G1478&lt;&gt;""""))))-1), IF('To Order'!$A1479=COL"&amp;"UMNS($A1479:G1498), G1478&amp;RIGHT(INDIRECT(ADDRESS(ROW(G1479)-1, 'From Order'!$A1479)), 1), G1478))"),"WRMBVTTJ")</f>
        <v>WRMBVTTJ</v>
      </c>
      <c r="H1479" s="2" t="str">
        <f>IFERROR(__xludf.DUMMYFUNCTION("IF('From Order'!$A1479=COLUMNS($A1479:H1498), LEFT(INDEX(FILTER(H$1:H1478, H$1:H1478&lt;&gt;""""),COUNTA(FILTER(H$1:H1478, H$1:H1478&lt;&gt;""""))), LEN(INDEX(FILTER(H$1:H1478, H$1:H1478&lt;&gt;""""),COUNTA(FILTER(H$1:H1478, H$1:H1478&lt;&gt;""""))))-1), IF('To Order'!$A1479=COL"&amp;"UMNS($A1479:H1498), H1478&amp;RIGHT(INDIRECT(ADDRESS(ROW(H1479)-1, 'From Order'!$A1479)), 1), H1478))"),"FBPRR")</f>
        <v>FBPRR</v>
      </c>
      <c r="I1479" s="2" t="str">
        <f>IFERROR(__xludf.DUMMYFUNCTION("IF('From Order'!$A1479=COLUMNS($A1479:I1498), LEFT(INDEX(FILTER(I$1:I1478, I$1:I1478&lt;&gt;""""),COUNTA(FILTER(I$1:I1478, I$1:I1478&lt;&gt;""""))), LEN(INDEX(FILTER(I$1:I1478, I$1:I1478&lt;&gt;""""),COUNTA(FILTER(I$1:I1478, I$1:I1478&lt;&gt;""""))))-1), IF('To Order'!$A1479=COL"&amp;"UMNS($A1479:I1498), I1478&amp;RIGHT(INDIRECT(ADDRESS(ROW(I1479)-1, 'From Order'!$A1479)), 1), I1478))"),"")</f>
        <v/>
      </c>
    </row>
    <row r="1480">
      <c r="A1480" s="2" t="str">
        <f>IFERROR(__xludf.DUMMYFUNCTION("IF('From Order'!$A1480=COLUMNS($A1480:A1499), LEFT(INDEX(FILTER(A$1:A1479, A$1:A1479&lt;&gt;""""),COUNTA(FILTER(A$1:A1479, A$1:A1479&lt;&gt;""""))), LEN(INDEX(FILTER(A$1:A1479, A$1:A1479&lt;&gt;""""),COUNTA(FILTER(A$1:A1479, A$1:A1479&lt;&gt;""""))))-1), IF('To Order'!$A1480=COL"&amp;"UMNS($A1480:A1499), A1479&amp;RIGHT(INDIRECT(ADDRESS(ROW(A1480)-1, 'From Order'!$A1480)), 1), A1479))"),"MDJDSBGZC")</f>
        <v>MDJDSBGZC</v>
      </c>
      <c r="B1480" s="2" t="str">
        <f>IFERROR(__xludf.DUMMYFUNCTION("IF('From Order'!$A1480=COLUMNS($A1480:B1499), LEFT(INDEX(FILTER(B$1:B1479, B$1:B1479&lt;&gt;""""),COUNTA(FILTER(B$1:B1479, B$1:B1479&lt;&gt;""""))), LEN(INDEX(FILTER(B$1:B1479, B$1:B1479&lt;&gt;""""),COUNTA(FILTER(B$1:B1479, B$1:B1479&lt;&gt;""""))))-1), IF('To Order'!$A1480=COL"&amp;"UMNS($A1480:B1499), B1479&amp;RIGHT(INDIRECT(ADDRESS(ROW(B1480)-1, 'From Order'!$A1480)), 1), B1479))"),"G")</f>
        <v>G</v>
      </c>
      <c r="C1480" s="2" t="str">
        <f>IFERROR(__xludf.DUMMYFUNCTION("IF('From Order'!$A1480=COLUMNS($A1480:C1499), LEFT(INDEX(FILTER(C$1:C1479, C$1:C1479&lt;&gt;""""),COUNTA(FILTER(C$1:C1479, C$1:C1479&lt;&gt;""""))), LEN(INDEX(FILTER(C$1:C1479, C$1:C1479&lt;&gt;""""),COUNTA(FILTER(C$1:C1479, C$1:C1479&lt;&gt;""""))))-1), IF('To Order'!$A1480=COL"&amp;"UMNS($A1480:C1499), C1479&amp;RIGHT(INDIRECT(ADDRESS(ROW(C1480)-1, 'From Order'!$A1480)), 1), C1479))"),"TQVQJPPLDTMZHRDC")</f>
        <v>TQVQJPPLDTMZHRDC</v>
      </c>
      <c r="D1480" s="2" t="str">
        <f>IFERROR(__xludf.DUMMYFUNCTION("IF('From Order'!$A1480=COLUMNS($A1480:D1499), LEFT(INDEX(FILTER(D$1:D1479, D$1:D1479&lt;&gt;""""),COUNTA(FILTER(D$1:D1479, D$1:D1479&lt;&gt;""""))), LEN(INDEX(FILTER(D$1:D1479, D$1:D1479&lt;&gt;""""),COUNTA(FILTER(D$1:D1479, D$1:D1479&lt;&gt;""""))))-1), IF('To Order'!$A1480=COL"&amp;"UMNS($A1480:D1499), D1479&amp;RIGHT(INDIRECT(ADDRESS(ROW(D1480)-1, 'From Order'!$A1480)), 1), D1479))"),"C")</f>
        <v>C</v>
      </c>
      <c r="E1480" s="2" t="str">
        <f>IFERROR(__xludf.DUMMYFUNCTION("IF('From Order'!$A1480=COLUMNS($A1480:E1499), LEFT(INDEX(FILTER(E$1:E1479, E$1:E1479&lt;&gt;""""),COUNTA(FILTER(E$1:E1479, E$1:E1479&lt;&gt;""""))), LEN(INDEX(FILTER(E$1:E1479, E$1:E1479&lt;&gt;""""),COUNTA(FILTER(E$1:E1479, E$1:E1479&lt;&gt;""""))))-1), IF('To Order'!$A1480=COL"&amp;"UMNS($A1480:E1499), E1479&amp;RIGHT(INDIRECT(ADDRESS(ROW(E1480)-1, 'From Order'!$A1480)), 1), E1479))"),"H")</f>
        <v>H</v>
      </c>
      <c r="F1480" s="2" t="str">
        <f>IFERROR(__xludf.DUMMYFUNCTION("IF('From Order'!$A1480=COLUMNS($A1480:F1499), LEFT(INDEX(FILTER(F$1:F1479, F$1:F1479&lt;&gt;""""),COUNTA(FILTER(F$1:F1479, F$1:F1479&lt;&gt;""""))), LEN(INDEX(FILTER(F$1:F1479, F$1:F1479&lt;&gt;""""),COUNTA(FILTER(F$1:F1479, F$1:F1479&lt;&gt;""""))))-1), IF('To Order'!$A1480=COL"&amp;"UMNS($A1480:F1499), F1479&amp;RIGHT(INDIRECT(ADDRESS(ROW(F1480)-1, 'From Order'!$A1480)), 1), F1479))"),"ZRLBWLDDTSSTVFS")</f>
        <v>ZRLBWLDDTSSTVFS</v>
      </c>
      <c r="G1480" s="2" t="str">
        <f>IFERROR(__xludf.DUMMYFUNCTION("IF('From Order'!$A1480=COLUMNS($A1480:G1499), LEFT(INDEX(FILTER(G$1:G1479, G$1:G1479&lt;&gt;""""),COUNTA(FILTER(G$1:G1479, G$1:G1479&lt;&gt;""""))), LEN(INDEX(FILTER(G$1:G1479, G$1:G1479&lt;&gt;""""),COUNTA(FILTER(G$1:G1479, G$1:G1479&lt;&gt;""""))))-1), IF('To Order'!$A1480=COL"&amp;"UMNS($A1480:G1499), G1479&amp;RIGHT(INDIRECT(ADDRESS(ROW(G1480)-1, 'From Order'!$A1480)), 1), G1479))"),"WRMBVTTJ")</f>
        <v>WRMBVTTJ</v>
      </c>
      <c r="H1480" s="2" t="str">
        <f>IFERROR(__xludf.DUMMYFUNCTION("IF('From Order'!$A1480=COLUMNS($A1480:H1499), LEFT(INDEX(FILTER(H$1:H1479, H$1:H1479&lt;&gt;""""),COUNTA(FILTER(H$1:H1479, H$1:H1479&lt;&gt;""""))), LEN(INDEX(FILTER(H$1:H1479, H$1:H1479&lt;&gt;""""),COUNTA(FILTER(H$1:H1479, H$1:H1479&lt;&gt;""""))))-1), IF('To Order'!$A1480=COL"&amp;"UMNS($A1480:H1499), H1479&amp;RIGHT(INDIRECT(ADDRESS(ROW(H1480)-1, 'From Order'!$A1480)), 1), H1479))"),"FBPRR")</f>
        <v>FBPRR</v>
      </c>
      <c r="I1480" s="2" t="str">
        <f>IFERROR(__xludf.DUMMYFUNCTION("IF('From Order'!$A1480=COLUMNS($A1480:I1499), LEFT(INDEX(FILTER(I$1:I1479, I$1:I1479&lt;&gt;""""),COUNTA(FILTER(I$1:I1479, I$1:I1479&lt;&gt;""""))), LEN(INDEX(FILTER(I$1:I1479, I$1:I1479&lt;&gt;""""),COUNTA(FILTER(I$1:I1479, I$1:I1479&lt;&gt;""""))))-1), IF('To Order'!$A1480=COL"&amp;"UMNS($A1480:I1499), I1479&amp;RIGHT(INDIRECT(ADDRESS(ROW(I1480)-1, 'From Order'!$A1480)), 1), I1479))"),"")</f>
        <v/>
      </c>
    </row>
    <row r="1481">
      <c r="A1481" s="2" t="str">
        <f>IFERROR(__xludf.DUMMYFUNCTION("IF('From Order'!$A1481=COLUMNS($A1481:A1500), LEFT(INDEX(FILTER(A$1:A1480, A$1:A1480&lt;&gt;""""),COUNTA(FILTER(A$1:A1480, A$1:A1480&lt;&gt;""""))), LEN(INDEX(FILTER(A$1:A1480, A$1:A1480&lt;&gt;""""),COUNTA(FILTER(A$1:A1480, A$1:A1480&lt;&gt;""""))))-1), IF('To Order'!$A1481=COL"&amp;"UMNS($A1481:A1500), A1480&amp;RIGHT(INDIRECT(ADDRESS(ROW(A1481)-1, 'From Order'!$A1481)), 1), A1480))"),"MDJDSBGZ")</f>
        <v>MDJDSBGZ</v>
      </c>
      <c r="B1481" s="2" t="str">
        <f>IFERROR(__xludf.DUMMYFUNCTION("IF('From Order'!$A1481=COLUMNS($A1481:B1500), LEFT(INDEX(FILTER(B$1:B1480, B$1:B1480&lt;&gt;""""),COUNTA(FILTER(B$1:B1480, B$1:B1480&lt;&gt;""""))), LEN(INDEX(FILTER(B$1:B1480, B$1:B1480&lt;&gt;""""),COUNTA(FILTER(B$1:B1480, B$1:B1480&lt;&gt;""""))))-1), IF('To Order'!$A1481=COL"&amp;"UMNS($A1481:B1500), B1480&amp;RIGHT(INDIRECT(ADDRESS(ROW(B1481)-1, 'From Order'!$A1481)), 1), B1480))"),"G")</f>
        <v>G</v>
      </c>
      <c r="C1481" s="2" t="str">
        <f>IFERROR(__xludf.DUMMYFUNCTION("IF('From Order'!$A1481=COLUMNS($A1481:C1500), LEFT(INDEX(FILTER(C$1:C1480, C$1:C1480&lt;&gt;""""),COUNTA(FILTER(C$1:C1480, C$1:C1480&lt;&gt;""""))), LEN(INDEX(FILTER(C$1:C1480, C$1:C1480&lt;&gt;""""),COUNTA(FILTER(C$1:C1480, C$1:C1480&lt;&gt;""""))))-1), IF('To Order'!$A1481=COL"&amp;"UMNS($A1481:C1500), C1480&amp;RIGHT(INDIRECT(ADDRESS(ROW(C1481)-1, 'From Order'!$A1481)), 1), C1480))"),"TQVQJPPLDTMZHRDC")</f>
        <v>TQVQJPPLDTMZHRDC</v>
      </c>
      <c r="D1481" s="2" t="str">
        <f>IFERROR(__xludf.DUMMYFUNCTION("IF('From Order'!$A1481=COLUMNS($A1481:D1500), LEFT(INDEX(FILTER(D$1:D1480, D$1:D1480&lt;&gt;""""),COUNTA(FILTER(D$1:D1480, D$1:D1480&lt;&gt;""""))), LEN(INDEX(FILTER(D$1:D1480, D$1:D1480&lt;&gt;""""),COUNTA(FILTER(D$1:D1480, D$1:D1480&lt;&gt;""""))))-1), IF('To Order'!$A1481=COL"&amp;"UMNS($A1481:D1500), D1480&amp;RIGHT(INDIRECT(ADDRESS(ROW(D1481)-1, 'From Order'!$A1481)), 1), D1480))"),"C")</f>
        <v>C</v>
      </c>
      <c r="E1481" s="2" t="str">
        <f>IFERROR(__xludf.DUMMYFUNCTION("IF('From Order'!$A1481=COLUMNS($A1481:E1500), LEFT(INDEX(FILTER(E$1:E1480, E$1:E1480&lt;&gt;""""),COUNTA(FILTER(E$1:E1480, E$1:E1480&lt;&gt;""""))), LEN(INDEX(FILTER(E$1:E1480, E$1:E1480&lt;&gt;""""),COUNTA(FILTER(E$1:E1480, E$1:E1480&lt;&gt;""""))))-1), IF('To Order'!$A1481=COL"&amp;"UMNS($A1481:E1500), E1480&amp;RIGHT(INDIRECT(ADDRESS(ROW(E1481)-1, 'From Order'!$A1481)), 1), E1480))"),"H")</f>
        <v>H</v>
      </c>
      <c r="F1481" s="2" t="str">
        <f>IFERROR(__xludf.DUMMYFUNCTION("IF('From Order'!$A1481=COLUMNS($A1481:F1500), LEFT(INDEX(FILTER(F$1:F1480, F$1:F1480&lt;&gt;""""),COUNTA(FILTER(F$1:F1480, F$1:F1480&lt;&gt;""""))), LEN(INDEX(FILTER(F$1:F1480, F$1:F1480&lt;&gt;""""),COUNTA(FILTER(F$1:F1480, F$1:F1480&lt;&gt;""""))))-1), IF('To Order'!$A1481=COL"&amp;"UMNS($A1481:F1500), F1480&amp;RIGHT(INDIRECT(ADDRESS(ROW(F1481)-1, 'From Order'!$A1481)), 1), F1480))"),"ZRLBWLDDTSSTVFSC")</f>
        <v>ZRLBWLDDTSSTVFSC</v>
      </c>
      <c r="G1481" s="2" t="str">
        <f>IFERROR(__xludf.DUMMYFUNCTION("IF('From Order'!$A1481=COLUMNS($A1481:G1500), LEFT(INDEX(FILTER(G$1:G1480, G$1:G1480&lt;&gt;""""),COUNTA(FILTER(G$1:G1480, G$1:G1480&lt;&gt;""""))), LEN(INDEX(FILTER(G$1:G1480, G$1:G1480&lt;&gt;""""),COUNTA(FILTER(G$1:G1480, G$1:G1480&lt;&gt;""""))))-1), IF('To Order'!$A1481=COL"&amp;"UMNS($A1481:G1500), G1480&amp;RIGHT(INDIRECT(ADDRESS(ROW(G1481)-1, 'From Order'!$A1481)), 1), G1480))"),"WRMBVTTJ")</f>
        <v>WRMBVTTJ</v>
      </c>
      <c r="H1481" s="2" t="str">
        <f>IFERROR(__xludf.DUMMYFUNCTION("IF('From Order'!$A1481=COLUMNS($A1481:H1500), LEFT(INDEX(FILTER(H$1:H1480, H$1:H1480&lt;&gt;""""),COUNTA(FILTER(H$1:H1480, H$1:H1480&lt;&gt;""""))), LEN(INDEX(FILTER(H$1:H1480, H$1:H1480&lt;&gt;""""),COUNTA(FILTER(H$1:H1480, H$1:H1480&lt;&gt;""""))))-1), IF('To Order'!$A1481=COL"&amp;"UMNS($A1481:H1500), H1480&amp;RIGHT(INDIRECT(ADDRESS(ROW(H1481)-1, 'From Order'!$A1481)), 1), H1480))"),"FBPRR")</f>
        <v>FBPRR</v>
      </c>
      <c r="I1481" s="2" t="str">
        <f>IFERROR(__xludf.DUMMYFUNCTION("IF('From Order'!$A1481=COLUMNS($A1481:I1500), LEFT(INDEX(FILTER(I$1:I1480, I$1:I1480&lt;&gt;""""),COUNTA(FILTER(I$1:I1480, I$1:I1480&lt;&gt;""""))), LEN(INDEX(FILTER(I$1:I1480, I$1:I1480&lt;&gt;""""),COUNTA(FILTER(I$1:I1480, I$1:I1480&lt;&gt;""""))))-1), IF('To Order'!$A1481=COL"&amp;"UMNS($A1481:I1500), I1480&amp;RIGHT(INDIRECT(ADDRESS(ROW(I1481)-1, 'From Order'!$A1481)), 1), I1480))"),"")</f>
        <v/>
      </c>
    </row>
    <row r="1482">
      <c r="A1482" s="2" t="str">
        <f>IFERROR(__xludf.DUMMYFUNCTION("IF('From Order'!$A1482=COLUMNS($A1482:A1501), LEFT(INDEX(FILTER(A$1:A1481, A$1:A1481&lt;&gt;""""),COUNTA(FILTER(A$1:A1481, A$1:A1481&lt;&gt;""""))), LEN(INDEX(FILTER(A$1:A1481, A$1:A1481&lt;&gt;""""),COUNTA(FILTER(A$1:A1481, A$1:A1481&lt;&gt;""""))))-1), IF('To Order'!$A1482=COL"&amp;"UMNS($A1482:A1501), A1481&amp;RIGHT(INDIRECT(ADDRESS(ROW(A1482)-1, 'From Order'!$A1482)), 1), A1481))"),"MDJDSBG")</f>
        <v>MDJDSBG</v>
      </c>
      <c r="B1482" s="2" t="str">
        <f>IFERROR(__xludf.DUMMYFUNCTION("IF('From Order'!$A1482=COLUMNS($A1482:B1501), LEFT(INDEX(FILTER(B$1:B1481, B$1:B1481&lt;&gt;""""),COUNTA(FILTER(B$1:B1481, B$1:B1481&lt;&gt;""""))), LEN(INDEX(FILTER(B$1:B1481, B$1:B1481&lt;&gt;""""),COUNTA(FILTER(B$1:B1481, B$1:B1481&lt;&gt;""""))))-1), IF('To Order'!$A1482=COL"&amp;"UMNS($A1482:B1501), B1481&amp;RIGHT(INDIRECT(ADDRESS(ROW(B1482)-1, 'From Order'!$A1482)), 1), B1481))"),"G")</f>
        <v>G</v>
      </c>
      <c r="C1482" s="2" t="str">
        <f>IFERROR(__xludf.DUMMYFUNCTION("IF('From Order'!$A1482=COLUMNS($A1482:C1501), LEFT(INDEX(FILTER(C$1:C1481, C$1:C1481&lt;&gt;""""),COUNTA(FILTER(C$1:C1481, C$1:C1481&lt;&gt;""""))), LEN(INDEX(FILTER(C$1:C1481, C$1:C1481&lt;&gt;""""),COUNTA(FILTER(C$1:C1481, C$1:C1481&lt;&gt;""""))))-1), IF('To Order'!$A1482=COL"&amp;"UMNS($A1482:C1501), C1481&amp;RIGHT(INDIRECT(ADDRESS(ROW(C1482)-1, 'From Order'!$A1482)), 1), C1481))"),"TQVQJPPLDTMZHRDC")</f>
        <v>TQVQJPPLDTMZHRDC</v>
      </c>
      <c r="D1482" s="2" t="str">
        <f>IFERROR(__xludf.DUMMYFUNCTION("IF('From Order'!$A1482=COLUMNS($A1482:D1501), LEFT(INDEX(FILTER(D$1:D1481, D$1:D1481&lt;&gt;""""),COUNTA(FILTER(D$1:D1481, D$1:D1481&lt;&gt;""""))), LEN(INDEX(FILTER(D$1:D1481, D$1:D1481&lt;&gt;""""),COUNTA(FILTER(D$1:D1481, D$1:D1481&lt;&gt;""""))))-1), IF('To Order'!$A1482=COL"&amp;"UMNS($A1482:D1501), D1481&amp;RIGHT(INDIRECT(ADDRESS(ROW(D1482)-1, 'From Order'!$A1482)), 1), D1481))"),"C")</f>
        <v>C</v>
      </c>
      <c r="E1482" s="2" t="str">
        <f>IFERROR(__xludf.DUMMYFUNCTION("IF('From Order'!$A1482=COLUMNS($A1482:E1501), LEFT(INDEX(FILTER(E$1:E1481, E$1:E1481&lt;&gt;""""),COUNTA(FILTER(E$1:E1481, E$1:E1481&lt;&gt;""""))), LEN(INDEX(FILTER(E$1:E1481, E$1:E1481&lt;&gt;""""),COUNTA(FILTER(E$1:E1481, E$1:E1481&lt;&gt;""""))))-1), IF('To Order'!$A1482=COL"&amp;"UMNS($A1482:E1501), E1481&amp;RIGHT(INDIRECT(ADDRESS(ROW(E1482)-1, 'From Order'!$A1482)), 1), E1481))"),"H")</f>
        <v>H</v>
      </c>
      <c r="F1482" s="2" t="str">
        <f>IFERROR(__xludf.DUMMYFUNCTION("IF('From Order'!$A1482=COLUMNS($A1482:F1501), LEFT(INDEX(FILTER(F$1:F1481, F$1:F1481&lt;&gt;""""),COUNTA(FILTER(F$1:F1481, F$1:F1481&lt;&gt;""""))), LEN(INDEX(FILTER(F$1:F1481, F$1:F1481&lt;&gt;""""),COUNTA(FILTER(F$1:F1481, F$1:F1481&lt;&gt;""""))))-1), IF('To Order'!$A1482=COL"&amp;"UMNS($A1482:F1501), F1481&amp;RIGHT(INDIRECT(ADDRESS(ROW(F1482)-1, 'From Order'!$A1482)), 1), F1481))"),"ZRLBWLDDTSSTVFSCZ")</f>
        <v>ZRLBWLDDTSSTVFSCZ</v>
      </c>
      <c r="G1482" s="2" t="str">
        <f>IFERROR(__xludf.DUMMYFUNCTION("IF('From Order'!$A1482=COLUMNS($A1482:G1501), LEFT(INDEX(FILTER(G$1:G1481, G$1:G1481&lt;&gt;""""),COUNTA(FILTER(G$1:G1481, G$1:G1481&lt;&gt;""""))), LEN(INDEX(FILTER(G$1:G1481, G$1:G1481&lt;&gt;""""),COUNTA(FILTER(G$1:G1481, G$1:G1481&lt;&gt;""""))))-1), IF('To Order'!$A1482=COL"&amp;"UMNS($A1482:G1501), G1481&amp;RIGHT(INDIRECT(ADDRESS(ROW(G1482)-1, 'From Order'!$A1482)), 1), G1481))"),"WRMBVTTJ")</f>
        <v>WRMBVTTJ</v>
      </c>
      <c r="H1482" s="2" t="str">
        <f>IFERROR(__xludf.DUMMYFUNCTION("IF('From Order'!$A1482=COLUMNS($A1482:H1501), LEFT(INDEX(FILTER(H$1:H1481, H$1:H1481&lt;&gt;""""),COUNTA(FILTER(H$1:H1481, H$1:H1481&lt;&gt;""""))), LEN(INDEX(FILTER(H$1:H1481, H$1:H1481&lt;&gt;""""),COUNTA(FILTER(H$1:H1481, H$1:H1481&lt;&gt;""""))))-1), IF('To Order'!$A1482=COL"&amp;"UMNS($A1482:H1501), H1481&amp;RIGHT(INDIRECT(ADDRESS(ROW(H1482)-1, 'From Order'!$A1482)), 1), H1481))"),"FBPRR")</f>
        <v>FBPRR</v>
      </c>
      <c r="I1482" s="2" t="str">
        <f>IFERROR(__xludf.DUMMYFUNCTION("IF('From Order'!$A1482=COLUMNS($A1482:I1501), LEFT(INDEX(FILTER(I$1:I1481, I$1:I1481&lt;&gt;""""),COUNTA(FILTER(I$1:I1481, I$1:I1481&lt;&gt;""""))), LEN(INDEX(FILTER(I$1:I1481, I$1:I1481&lt;&gt;""""),COUNTA(FILTER(I$1:I1481, I$1:I1481&lt;&gt;""""))))-1), IF('To Order'!$A1482=COL"&amp;"UMNS($A1482:I1501), I1481&amp;RIGHT(INDIRECT(ADDRESS(ROW(I1482)-1, 'From Order'!$A1482)), 1), I1481))"),"")</f>
        <v/>
      </c>
    </row>
    <row r="1483">
      <c r="A1483" s="2" t="str">
        <f>IFERROR(__xludf.DUMMYFUNCTION("IF('From Order'!$A1483=COLUMNS($A1483:A1502), LEFT(INDEX(FILTER(A$1:A1482, A$1:A1482&lt;&gt;""""),COUNTA(FILTER(A$1:A1482, A$1:A1482&lt;&gt;""""))), LEN(INDEX(FILTER(A$1:A1482, A$1:A1482&lt;&gt;""""),COUNTA(FILTER(A$1:A1482, A$1:A1482&lt;&gt;""""))))-1), IF('To Order'!$A1483=COL"&amp;"UMNS($A1483:A1502), A1482&amp;RIGHT(INDIRECT(ADDRESS(ROW(A1483)-1, 'From Order'!$A1483)), 1), A1482))"),"MDJDSBG")</f>
        <v>MDJDSBG</v>
      </c>
      <c r="B1483" s="2" t="str">
        <f>IFERROR(__xludf.DUMMYFUNCTION("IF('From Order'!$A1483=COLUMNS($A1483:B1502), LEFT(INDEX(FILTER(B$1:B1482, B$1:B1482&lt;&gt;""""),COUNTA(FILTER(B$1:B1482, B$1:B1482&lt;&gt;""""))), LEN(INDEX(FILTER(B$1:B1482, B$1:B1482&lt;&gt;""""),COUNTA(FILTER(B$1:B1482, B$1:B1482&lt;&gt;""""))))-1), IF('To Order'!$A1483=COL"&amp;"UMNS($A1483:B1502), B1482&amp;RIGHT(INDIRECT(ADDRESS(ROW(B1483)-1, 'From Order'!$A1483)), 1), B1482))"),"")</f>
        <v/>
      </c>
      <c r="C1483" s="2" t="str">
        <f>IFERROR(__xludf.DUMMYFUNCTION("IF('From Order'!$A1483=COLUMNS($A1483:C1502), LEFT(INDEX(FILTER(C$1:C1482, C$1:C1482&lt;&gt;""""),COUNTA(FILTER(C$1:C1482, C$1:C1482&lt;&gt;""""))), LEN(INDEX(FILTER(C$1:C1482, C$1:C1482&lt;&gt;""""),COUNTA(FILTER(C$1:C1482, C$1:C1482&lt;&gt;""""))))-1), IF('To Order'!$A1483=COL"&amp;"UMNS($A1483:C1502), C1482&amp;RIGHT(INDIRECT(ADDRESS(ROW(C1483)-1, 'From Order'!$A1483)), 1), C1482))"),"TQVQJPPLDTMZHRDC")</f>
        <v>TQVQJPPLDTMZHRDC</v>
      </c>
      <c r="D1483" s="2" t="str">
        <f>IFERROR(__xludf.DUMMYFUNCTION("IF('From Order'!$A1483=COLUMNS($A1483:D1502), LEFT(INDEX(FILTER(D$1:D1482, D$1:D1482&lt;&gt;""""),COUNTA(FILTER(D$1:D1482, D$1:D1482&lt;&gt;""""))), LEN(INDEX(FILTER(D$1:D1482, D$1:D1482&lt;&gt;""""),COUNTA(FILTER(D$1:D1482, D$1:D1482&lt;&gt;""""))))-1), IF('To Order'!$A1483=COL"&amp;"UMNS($A1483:D1502), D1482&amp;RIGHT(INDIRECT(ADDRESS(ROW(D1483)-1, 'From Order'!$A1483)), 1), D1482))"),"CG")</f>
        <v>CG</v>
      </c>
      <c r="E1483" s="2" t="str">
        <f>IFERROR(__xludf.DUMMYFUNCTION("IF('From Order'!$A1483=COLUMNS($A1483:E1502), LEFT(INDEX(FILTER(E$1:E1482, E$1:E1482&lt;&gt;""""),COUNTA(FILTER(E$1:E1482, E$1:E1482&lt;&gt;""""))), LEN(INDEX(FILTER(E$1:E1482, E$1:E1482&lt;&gt;""""),COUNTA(FILTER(E$1:E1482, E$1:E1482&lt;&gt;""""))))-1), IF('To Order'!$A1483=COL"&amp;"UMNS($A1483:E1502), E1482&amp;RIGHT(INDIRECT(ADDRESS(ROW(E1483)-1, 'From Order'!$A1483)), 1), E1482))"),"H")</f>
        <v>H</v>
      </c>
      <c r="F1483" s="2" t="str">
        <f>IFERROR(__xludf.DUMMYFUNCTION("IF('From Order'!$A1483=COLUMNS($A1483:F1502), LEFT(INDEX(FILTER(F$1:F1482, F$1:F1482&lt;&gt;""""),COUNTA(FILTER(F$1:F1482, F$1:F1482&lt;&gt;""""))), LEN(INDEX(FILTER(F$1:F1482, F$1:F1482&lt;&gt;""""),COUNTA(FILTER(F$1:F1482, F$1:F1482&lt;&gt;""""))))-1), IF('To Order'!$A1483=COL"&amp;"UMNS($A1483:F1502), F1482&amp;RIGHT(INDIRECT(ADDRESS(ROW(F1483)-1, 'From Order'!$A1483)), 1), F1482))"),"ZRLBWLDDTSSTVFSCZ")</f>
        <v>ZRLBWLDDTSSTVFSCZ</v>
      </c>
      <c r="G1483" s="2" t="str">
        <f>IFERROR(__xludf.DUMMYFUNCTION("IF('From Order'!$A1483=COLUMNS($A1483:G1502), LEFT(INDEX(FILTER(G$1:G1482, G$1:G1482&lt;&gt;""""),COUNTA(FILTER(G$1:G1482, G$1:G1482&lt;&gt;""""))), LEN(INDEX(FILTER(G$1:G1482, G$1:G1482&lt;&gt;""""),COUNTA(FILTER(G$1:G1482, G$1:G1482&lt;&gt;""""))))-1), IF('To Order'!$A1483=COL"&amp;"UMNS($A1483:G1502), G1482&amp;RIGHT(INDIRECT(ADDRESS(ROW(G1483)-1, 'From Order'!$A1483)), 1), G1482))"),"WRMBVTTJ")</f>
        <v>WRMBVTTJ</v>
      </c>
      <c r="H1483" s="2" t="str">
        <f>IFERROR(__xludf.DUMMYFUNCTION("IF('From Order'!$A1483=COLUMNS($A1483:H1502), LEFT(INDEX(FILTER(H$1:H1482, H$1:H1482&lt;&gt;""""),COUNTA(FILTER(H$1:H1482, H$1:H1482&lt;&gt;""""))), LEN(INDEX(FILTER(H$1:H1482, H$1:H1482&lt;&gt;""""),COUNTA(FILTER(H$1:H1482, H$1:H1482&lt;&gt;""""))))-1), IF('To Order'!$A1483=COL"&amp;"UMNS($A1483:H1502), H1482&amp;RIGHT(INDIRECT(ADDRESS(ROW(H1483)-1, 'From Order'!$A1483)), 1), H1482))"),"FBPRR")</f>
        <v>FBPRR</v>
      </c>
      <c r="I1483" s="2" t="str">
        <f>IFERROR(__xludf.DUMMYFUNCTION("IF('From Order'!$A1483=COLUMNS($A1483:I1502), LEFT(INDEX(FILTER(I$1:I1482, I$1:I1482&lt;&gt;""""),COUNTA(FILTER(I$1:I1482, I$1:I1482&lt;&gt;""""))), LEN(INDEX(FILTER(I$1:I1482, I$1:I1482&lt;&gt;""""),COUNTA(FILTER(I$1:I1482, I$1:I1482&lt;&gt;""""))))-1), IF('To Order'!$A1483=COL"&amp;"UMNS($A1483:I1502), I1482&amp;RIGHT(INDIRECT(ADDRESS(ROW(I1483)-1, 'From Order'!$A1483)), 1), I1482))"),"")</f>
        <v/>
      </c>
    </row>
    <row r="1484">
      <c r="A1484" s="2" t="str">
        <f>IFERROR(__xludf.DUMMYFUNCTION("IF('From Order'!$A1484=COLUMNS($A1484:A1503), LEFT(INDEX(FILTER(A$1:A1483, A$1:A1483&lt;&gt;""""),COUNTA(FILTER(A$1:A1483, A$1:A1483&lt;&gt;""""))), LEN(INDEX(FILTER(A$1:A1483, A$1:A1483&lt;&gt;""""),COUNTA(FILTER(A$1:A1483, A$1:A1483&lt;&gt;""""))))-1), IF('To Order'!$A1484=COL"&amp;"UMNS($A1484:A1503), A1483&amp;RIGHT(INDIRECT(ADDRESS(ROW(A1484)-1, 'From Order'!$A1484)), 1), A1483))"),"MDJDSBG")</f>
        <v>MDJDSBG</v>
      </c>
      <c r="B1484" s="2" t="str">
        <f>IFERROR(__xludf.DUMMYFUNCTION("IF('From Order'!$A1484=COLUMNS($A1484:B1503), LEFT(INDEX(FILTER(B$1:B1483, B$1:B1483&lt;&gt;""""),COUNTA(FILTER(B$1:B1483, B$1:B1483&lt;&gt;""""))), LEN(INDEX(FILTER(B$1:B1483, B$1:B1483&lt;&gt;""""),COUNTA(FILTER(B$1:B1483, B$1:B1483&lt;&gt;""""))))-1), IF('To Order'!$A1484=COL"&amp;"UMNS($A1484:B1503), B1483&amp;RIGHT(INDIRECT(ADDRESS(ROW(B1484)-1, 'From Order'!$A1484)), 1), B1483))"),"")</f>
        <v/>
      </c>
      <c r="C1484" s="2" t="str">
        <f>IFERROR(__xludf.DUMMYFUNCTION("IF('From Order'!$A1484=COLUMNS($A1484:C1503), LEFT(INDEX(FILTER(C$1:C1483, C$1:C1483&lt;&gt;""""),COUNTA(FILTER(C$1:C1483, C$1:C1483&lt;&gt;""""))), LEN(INDEX(FILTER(C$1:C1483, C$1:C1483&lt;&gt;""""),COUNTA(FILTER(C$1:C1483, C$1:C1483&lt;&gt;""""))))-1), IF('To Order'!$A1484=COL"&amp;"UMNS($A1484:C1503), C1483&amp;RIGHT(INDIRECT(ADDRESS(ROW(C1484)-1, 'From Order'!$A1484)), 1), C1483))"),"TQVQJPPLDTMZHRDC")</f>
        <v>TQVQJPPLDTMZHRDC</v>
      </c>
      <c r="D1484" s="2" t="str">
        <f>IFERROR(__xludf.DUMMYFUNCTION("IF('From Order'!$A1484=COLUMNS($A1484:D1503), LEFT(INDEX(FILTER(D$1:D1483, D$1:D1483&lt;&gt;""""),COUNTA(FILTER(D$1:D1483, D$1:D1483&lt;&gt;""""))), LEN(INDEX(FILTER(D$1:D1483, D$1:D1483&lt;&gt;""""),COUNTA(FILTER(D$1:D1483, D$1:D1483&lt;&gt;""""))))-1), IF('To Order'!$A1484=COL"&amp;"UMNS($A1484:D1503), D1483&amp;RIGHT(INDIRECT(ADDRESS(ROW(D1484)-1, 'From Order'!$A1484)), 1), D1483))"),"CGZ")</f>
        <v>CGZ</v>
      </c>
      <c r="E1484" s="2" t="str">
        <f>IFERROR(__xludf.DUMMYFUNCTION("IF('From Order'!$A1484=COLUMNS($A1484:E1503), LEFT(INDEX(FILTER(E$1:E1483, E$1:E1483&lt;&gt;""""),COUNTA(FILTER(E$1:E1483, E$1:E1483&lt;&gt;""""))), LEN(INDEX(FILTER(E$1:E1483, E$1:E1483&lt;&gt;""""),COUNTA(FILTER(E$1:E1483, E$1:E1483&lt;&gt;""""))))-1), IF('To Order'!$A1484=COL"&amp;"UMNS($A1484:E1503), E1483&amp;RIGHT(INDIRECT(ADDRESS(ROW(E1484)-1, 'From Order'!$A1484)), 1), E1483))"),"H")</f>
        <v>H</v>
      </c>
      <c r="F1484" s="2" t="str">
        <f>IFERROR(__xludf.DUMMYFUNCTION("IF('From Order'!$A1484=COLUMNS($A1484:F1503), LEFT(INDEX(FILTER(F$1:F1483, F$1:F1483&lt;&gt;""""),COUNTA(FILTER(F$1:F1483, F$1:F1483&lt;&gt;""""))), LEN(INDEX(FILTER(F$1:F1483, F$1:F1483&lt;&gt;""""),COUNTA(FILTER(F$1:F1483, F$1:F1483&lt;&gt;""""))))-1), IF('To Order'!$A1484=COL"&amp;"UMNS($A1484:F1503), F1483&amp;RIGHT(INDIRECT(ADDRESS(ROW(F1484)-1, 'From Order'!$A1484)), 1), F1483))"),"ZRLBWLDDTSSTVFSC")</f>
        <v>ZRLBWLDDTSSTVFSC</v>
      </c>
      <c r="G1484" s="2" t="str">
        <f>IFERROR(__xludf.DUMMYFUNCTION("IF('From Order'!$A1484=COLUMNS($A1484:G1503), LEFT(INDEX(FILTER(G$1:G1483, G$1:G1483&lt;&gt;""""),COUNTA(FILTER(G$1:G1483, G$1:G1483&lt;&gt;""""))), LEN(INDEX(FILTER(G$1:G1483, G$1:G1483&lt;&gt;""""),COUNTA(FILTER(G$1:G1483, G$1:G1483&lt;&gt;""""))))-1), IF('To Order'!$A1484=COL"&amp;"UMNS($A1484:G1503), G1483&amp;RIGHT(INDIRECT(ADDRESS(ROW(G1484)-1, 'From Order'!$A1484)), 1), G1483))"),"WRMBVTTJ")</f>
        <v>WRMBVTTJ</v>
      </c>
      <c r="H1484" s="2" t="str">
        <f>IFERROR(__xludf.DUMMYFUNCTION("IF('From Order'!$A1484=COLUMNS($A1484:H1503), LEFT(INDEX(FILTER(H$1:H1483, H$1:H1483&lt;&gt;""""),COUNTA(FILTER(H$1:H1483, H$1:H1483&lt;&gt;""""))), LEN(INDEX(FILTER(H$1:H1483, H$1:H1483&lt;&gt;""""),COUNTA(FILTER(H$1:H1483, H$1:H1483&lt;&gt;""""))))-1), IF('To Order'!$A1484=COL"&amp;"UMNS($A1484:H1503), H1483&amp;RIGHT(INDIRECT(ADDRESS(ROW(H1484)-1, 'From Order'!$A1484)), 1), H1483))"),"FBPRR")</f>
        <v>FBPRR</v>
      </c>
      <c r="I1484" s="2" t="str">
        <f>IFERROR(__xludf.DUMMYFUNCTION("IF('From Order'!$A1484=COLUMNS($A1484:I1503), LEFT(INDEX(FILTER(I$1:I1483, I$1:I1483&lt;&gt;""""),COUNTA(FILTER(I$1:I1483, I$1:I1483&lt;&gt;""""))), LEN(INDEX(FILTER(I$1:I1483, I$1:I1483&lt;&gt;""""),COUNTA(FILTER(I$1:I1483, I$1:I1483&lt;&gt;""""))))-1), IF('To Order'!$A1484=COL"&amp;"UMNS($A1484:I1503), I1483&amp;RIGHT(INDIRECT(ADDRESS(ROW(I1484)-1, 'From Order'!$A1484)), 1), I1483))"),"")</f>
        <v/>
      </c>
    </row>
    <row r="1485">
      <c r="A1485" s="2" t="str">
        <f>IFERROR(__xludf.DUMMYFUNCTION("IF('From Order'!$A1485=COLUMNS($A1485:A1504), LEFT(INDEX(FILTER(A$1:A1484, A$1:A1484&lt;&gt;""""),COUNTA(FILTER(A$1:A1484, A$1:A1484&lt;&gt;""""))), LEN(INDEX(FILTER(A$1:A1484, A$1:A1484&lt;&gt;""""),COUNTA(FILTER(A$1:A1484, A$1:A1484&lt;&gt;""""))))-1), IF('To Order'!$A1485=COL"&amp;"UMNS($A1485:A1504), A1484&amp;RIGHT(INDIRECT(ADDRESS(ROW(A1485)-1, 'From Order'!$A1485)), 1), A1484))"),"MDJDSBG")</f>
        <v>MDJDSBG</v>
      </c>
      <c r="B1485" s="2" t="str">
        <f>IFERROR(__xludf.DUMMYFUNCTION("IF('From Order'!$A1485=COLUMNS($A1485:B1504), LEFT(INDEX(FILTER(B$1:B1484, B$1:B1484&lt;&gt;""""),COUNTA(FILTER(B$1:B1484, B$1:B1484&lt;&gt;""""))), LEN(INDEX(FILTER(B$1:B1484, B$1:B1484&lt;&gt;""""),COUNTA(FILTER(B$1:B1484, B$1:B1484&lt;&gt;""""))))-1), IF('To Order'!$A1485=COL"&amp;"UMNS($A1485:B1504), B1484&amp;RIGHT(INDIRECT(ADDRESS(ROW(B1485)-1, 'From Order'!$A1485)), 1), B1484))"),"")</f>
        <v/>
      </c>
      <c r="C1485" s="2" t="str">
        <f>IFERROR(__xludf.DUMMYFUNCTION("IF('From Order'!$A1485=COLUMNS($A1485:C1504), LEFT(INDEX(FILTER(C$1:C1484, C$1:C1484&lt;&gt;""""),COUNTA(FILTER(C$1:C1484, C$1:C1484&lt;&gt;""""))), LEN(INDEX(FILTER(C$1:C1484, C$1:C1484&lt;&gt;""""),COUNTA(FILTER(C$1:C1484, C$1:C1484&lt;&gt;""""))))-1), IF('To Order'!$A1485=COL"&amp;"UMNS($A1485:C1504), C1484&amp;RIGHT(INDIRECT(ADDRESS(ROW(C1485)-1, 'From Order'!$A1485)), 1), C1484))"),"TQVQJPPLDTMZHRDC")</f>
        <v>TQVQJPPLDTMZHRDC</v>
      </c>
      <c r="D1485" s="2" t="str">
        <f>IFERROR(__xludf.DUMMYFUNCTION("IF('From Order'!$A1485=COLUMNS($A1485:D1504), LEFT(INDEX(FILTER(D$1:D1484, D$1:D1484&lt;&gt;""""),COUNTA(FILTER(D$1:D1484, D$1:D1484&lt;&gt;""""))), LEN(INDEX(FILTER(D$1:D1484, D$1:D1484&lt;&gt;""""),COUNTA(FILTER(D$1:D1484, D$1:D1484&lt;&gt;""""))))-1), IF('To Order'!$A1485=COL"&amp;"UMNS($A1485:D1504), D1484&amp;RIGHT(INDIRECT(ADDRESS(ROW(D1485)-1, 'From Order'!$A1485)), 1), D1484))"),"CGZC")</f>
        <v>CGZC</v>
      </c>
      <c r="E1485" s="2" t="str">
        <f>IFERROR(__xludf.DUMMYFUNCTION("IF('From Order'!$A1485=COLUMNS($A1485:E1504), LEFT(INDEX(FILTER(E$1:E1484, E$1:E1484&lt;&gt;""""),COUNTA(FILTER(E$1:E1484, E$1:E1484&lt;&gt;""""))), LEN(INDEX(FILTER(E$1:E1484, E$1:E1484&lt;&gt;""""),COUNTA(FILTER(E$1:E1484, E$1:E1484&lt;&gt;""""))))-1), IF('To Order'!$A1485=COL"&amp;"UMNS($A1485:E1504), E1484&amp;RIGHT(INDIRECT(ADDRESS(ROW(E1485)-1, 'From Order'!$A1485)), 1), E1484))"),"H")</f>
        <v>H</v>
      </c>
      <c r="F1485" s="2" t="str">
        <f>IFERROR(__xludf.DUMMYFUNCTION("IF('From Order'!$A1485=COLUMNS($A1485:F1504), LEFT(INDEX(FILTER(F$1:F1484, F$1:F1484&lt;&gt;""""),COUNTA(FILTER(F$1:F1484, F$1:F1484&lt;&gt;""""))), LEN(INDEX(FILTER(F$1:F1484, F$1:F1484&lt;&gt;""""),COUNTA(FILTER(F$1:F1484, F$1:F1484&lt;&gt;""""))))-1), IF('To Order'!$A1485=COL"&amp;"UMNS($A1485:F1504), F1484&amp;RIGHT(INDIRECT(ADDRESS(ROW(F1485)-1, 'From Order'!$A1485)), 1), F1484))"),"ZRLBWLDDTSSTVFS")</f>
        <v>ZRLBWLDDTSSTVFS</v>
      </c>
      <c r="G1485" s="2" t="str">
        <f>IFERROR(__xludf.DUMMYFUNCTION("IF('From Order'!$A1485=COLUMNS($A1485:G1504), LEFT(INDEX(FILTER(G$1:G1484, G$1:G1484&lt;&gt;""""),COUNTA(FILTER(G$1:G1484, G$1:G1484&lt;&gt;""""))), LEN(INDEX(FILTER(G$1:G1484, G$1:G1484&lt;&gt;""""),COUNTA(FILTER(G$1:G1484, G$1:G1484&lt;&gt;""""))))-1), IF('To Order'!$A1485=COL"&amp;"UMNS($A1485:G1504), G1484&amp;RIGHT(INDIRECT(ADDRESS(ROW(G1485)-1, 'From Order'!$A1485)), 1), G1484))"),"WRMBVTTJ")</f>
        <v>WRMBVTTJ</v>
      </c>
      <c r="H1485" s="2" t="str">
        <f>IFERROR(__xludf.DUMMYFUNCTION("IF('From Order'!$A1485=COLUMNS($A1485:H1504), LEFT(INDEX(FILTER(H$1:H1484, H$1:H1484&lt;&gt;""""),COUNTA(FILTER(H$1:H1484, H$1:H1484&lt;&gt;""""))), LEN(INDEX(FILTER(H$1:H1484, H$1:H1484&lt;&gt;""""),COUNTA(FILTER(H$1:H1484, H$1:H1484&lt;&gt;""""))))-1), IF('To Order'!$A1485=COL"&amp;"UMNS($A1485:H1504), H1484&amp;RIGHT(INDIRECT(ADDRESS(ROW(H1485)-1, 'From Order'!$A1485)), 1), H1484))"),"FBPRR")</f>
        <v>FBPRR</v>
      </c>
      <c r="I1485" s="2" t="str">
        <f>IFERROR(__xludf.DUMMYFUNCTION("IF('From Order'!$A1485=COLUMNS($A1485:I1504), LEFT(INDEX(FILTER(I$1:I1484, I$1:I1484&lt;&gt;""""),COUNTA(FILTER(I$1:I1484, I$1:I1484&lt;&gt;""""))), LEN(INDEX(FILTER(I$1:I1484, I$1:I1484&lt;&gt;""""),COUNTA(FILTER(I$1:I1484, I$1:I1484&lt;&gt;""""))))-1), IF('To Order'!$A1485=COL"&amp;"UMNS($A1485:I1504), I1484&amp;RIGHT(INDIRECT(ADDRESS(ROW(I1485)-1, 'From Order'!$A1485)), 1), I1484))"),"")</f>
        <v/>
      </c>
    </row>
    <row r="1486">
      <c r="A1486" s="2" t="str">
        <f>IFERROR(__xludf.DUMMYFUNCTION("IF('From Order'!$A1486=COLUMNS($A1486:A1505), LEFT(INDEX(FILTER(A$1:A1485, A$1:A1485&lt;&gt;""""),COUNTA(FILTER(A$1:A1485, A$1:A1485&lt;&gt;""""))), LEN(INDEX(FILTER(A$1:A1485, A$1:A1485&lt;&gt;""""),COUNTA(FILTER(A$1:A1485, A$1:A1485&lt;&gt;""""))))-1), IF('To Order'!$A1486=COL"&amp;"UMNS($A1486:A1505), A1485&amp;RIGHT(INDIRECT(ADDRESS(ROW(A1486)-1, 'From Order'!$A1486)), 1), A1485))"),"MDJDSBG")</f>
        <v>MDJDSBG</v>
      </c>
      <c r="B1486" s="2" t="str">
        <f>IFERROR(__xludf.DUMMYFUNCTION("IF('From Order'!$A1486=COLUMNS($A1486:B1505), LEFT(INDEX(FILTER(B$1:B1485, B$1:B1485&lt;&gt;""""),COUNTA(FILTER(B$1:B1485, B$1:B1485&lt;&gt;""""))), LEN(INDEX(FILTER(B$1:B1485, B$1:B1485&lt;&gt;""""),COUNTA(FILTER(B$1:B1485, B$1:B1485&lt;&gt;""""))))-1), IF('To Order'!$A1486=COL"&amp;"UMNS($A1486:B1505), B1485&amp;RIGHT(INDIRECT(ADDRESS(ROW(B1486)-1, 'From Order'!$A1486)), 1), B1485))"),"")</f>
        <v/>
      </c>
      <c r="C1486" s="2" t="str">
        <f>IFERROR(__xludf.DUMMYFUNCTION("IF('From Order'!$A1486=COLUMNS($A1486:C1505), LEFT(INDEX(FILTER(C$1:C1485, C$1:C1485&lt;&gt;""""),COUNTA(FILTER(C$1:C1485, C$1:C1485&lt;&gt;""""))), LEN(INDEX(FILTER(C$1:C1485, C$1:C1485&lt;&gt;""""),COUNTA(FILTER(C$1:C1485, C$1:C1485&lt;&gt;""""))))-1), IF('To Order'!$A1486=COL"&amp;"UMNS($A1486:C1505), C1485&amp;RIGHT(INDIRECT(ADDRESS(ROW(C1486)-1, 'From Order'!$A1486)), 1), C1485))"),"TQVQJPPLDTMZHRDC")</f>
        <v>TQVQJPPLDTMZHRDC</v>
      </c>
      <c r="D1486" s="2" t="str">
        <f>IFERROR(__xludf.DUMMYFUNCTION("IF('From Order'!$A1486=COLUMNS($A1486:D1505), LEFT(INDEX(FILTER(D$1:D1485, D$1:D1485&lt;&gt;""""),COUNTA(FILTER(D$1:D1485, D$1:D1485&lt;&gt;""""))), LEN(INDEX(FILTER(D$1:D1485, D$1:D1485&lt;&gt;""""),COUNTA(FILTER(D$1:D1485, D$1:D1485&lt;&gt;""""))))-1), IF('To Order'!$A1486=COL"&amp;"UMNS($A1486:D1505), D1485&amp;RIGHT(INDIRECT(ADDRESS(ROW(D1486)-1, 'From Order'!$A1486)), 1), D1485))"),"CGZCS")</f>
        <v>CGZCS</v>
      </c>
      <c r="E1486" s="2" t="str">
        <f>IFERROR(__xludf.DUMMYFUNCTION("IF('From Order'!$A1486=COLUMNS($A1486:E1505), LEFT(INDEX(FILTER(E$1:E1485, E$1:E1485&lt;&gt;""""),COUNTA(FILTER(E$1:E1485, E$1:E1485&lt;&gt;""""))), LEN(INDEX(FILTER(E$1:E1485, E$1:E1485&lt;&gt;""""),COUNTA(FILTER(E$1:E1485, E$1:E1485&lt;&gt;""""))))-1), IF('To Order'!$A1486=COL"&amp;"UMNS($A1486:E1505), E1485&amp;RIGHT(INDIRECT(ADDRESS(ROW(E1486)-1, 'From Order'!$A1486)), 1), E1485))"),"H")</f>
        <v>H</v>
      </c>
      <c r="F1486" s="2" t="str">
        <f>IFERROR(__xludf.DUMMYFUNCTION("IF('From Order'!$A1486=COLUMNS($A1486:F1505), LEFT(INDEX(FILTER(F$1:F1485, F$1:F1485&lt;&gt;""""),COUNTA(FILTER(F$1:F1485, F$1:F1485&lt;&gt;""""))), LEN(INDEX(FILTER(F$1:F1485, F$1:F1485&lt;&gt;""""),COUNTA(FILTER(F$1:F1485, F$1:F1485&lt;&gt;""""))))-1), IF('To Order'!$A1486=COL"&amp;"UMNS($A1486:F1505), F1485&amp;RIGHT(INDIRECT(ADDRESS(ROW(F1486)-1, 'From Order'!$A1486)), 1), F1485))"),"ZRLBWLDDTSSTVF")</f>
        <v>ZRLBWLDDTSSTVF</v>
      </c>
      <c r="G1486" s="2" t="str">
        <f>IFERROR(__xludf.DUMMYFUNCTION("IF('From Order'!$A1486=COLUMNS($A1486:G1505), LEFT(INDEX(FILTER(G$1:G1485, G$1:G1485&lt;&gt;""""),COUNTA(FILTER(G$1:G1485, G$1:G1485&lt;&gt;""""))), LEN(INDEX(FILTER(G$1:G1485, G$1:G1485&lt;&gt;""""),COUNTA(FILTER(G$1:G1485, G$1:G1485&lt;&gt;""""))))-1), IF('To Order'!$A1486=COL"&amp;"UMNS($A1486:G1505), G1485&amp;RIGHT(INDIRECT(ADDRESS(ROW(G1486)-1, 'From Order'!$A1486)), 1), G1485))"),"WRMBVTTJ")</f>
        <v>WRMBVTTJ</v>
      </c>
      <c r="H1486" s="2" t="str">
        <f>IFERROR(__xludf.DUMMYFUNCTION("IF('From Order'!$A1486=COLUMNS($A1486:H1505), LEFT(INDEX(FILTER(H$1:H1485, H$1:H1485&lt;&gt;""""),COUNTA(FILTER(H$1:H1485, H$1:H1485&lt;&gt;""""))), LEN(INDEX(FILTER(H$1:H1485, H$1:H1485&lt;&gt;""""),COUNTA(FILTER(H$1:H1485, H$1:H1485&lt;&gt;""""))))-1), IF('To Order'!$A1486=COL"&amp;"UMNS($A1486:H1505), H1485&amp;RIGHT(INDIRECT(ADDRESS(ROW(H1486)-1, 'From Order'!$A1486)), 1), H1485))"),"FBPRR")</f>
        <v>FBPRR</v>
      </c>
      <c r="I1486" s="2" t="str">
        <f>IFERROR(__xludf.DUMMYFUNCTION("IF('From Order'!$A1486=COLUMNS($A1486:I1505), LEFT(INDEX(FILTER(I$1:I1485, I$1:I1485&lt;&gt;""""),COUNTA(FILTER(I$1:I1485, I$1:I1485&lt;&gt;""""))), LEN(INDEX(FILTER(I$1:I1485, I$1:I1485&lt;&gt;""""),COUNTA(FILTER(I$1:I1485, I$1:I1485&lt;&gt;""""))))-1), IF('To Order'!$A1486=COL"&amp;"UMNS($A1486:I1505), I1485&amp;RIGHT(INDIRECT(ADDRESS(ROW(I1486)-1, 'From Order'!$A1486)), 1), I1485))"),"")</f>
        <v/>
      </c>
    </row>
    <row r="1487">
      <c r="A1487" s="2" t="str">
        <f>IFERROR(__xludf.DUMMYFUNCTION("IF('From Order'!$A1487=COLUMNS($A1487:A1506), LEFT(INDEX(FILTER(A$1:A1486, A$1:A1486&lt;&gt;""""),COUNTA(FILTER(A$1:A1486, A$1:A1486&lt;&gt;""""))), LEN(INDEX(FILTER(A$1:A1486, A$1:A1486&lt;&gt;""""),COUNTA(FILTER(A$1:A1486, A$1:A1486&lt;&gt;""""))))-1), IF('To Order'!$A1487=COL"&amp;"UMNS($A1487:A1506), A1486&amp;RIGHT(INDIRECT(ADDRESS(ROW(A1487)-1, 'From Order'!$A1487)), 1), A1486))"),"MDJDSBG")</f>
        <v>MDJDSBG</v>
      </c>
      <c r="B1487" s="2" t="str">
        <f>IFERROR(__xludf.DUMMYFUNCTION("IF('From Order'!$A1487=COLUMNS($A1487:B1506), LEFT(INDEX(FILTER(B$1:B1486, B$1:B1486&lt;&gt;""""),COUNTA(FILTER(B$1:B1486, B$1:B1486&lt;&gt;""""))), LEN(INDEX(FILTER(B$1:B1486, B$1:B1486&lt;&gt;""""),COUNTA(FILTER(B$1:B1486, B$1:B1486&lt;&gt;""""))))-1), IF('To Order'!$A1487=COL"&amp;"UMNS($A1487:B1506), B1486&amp;RIGHT(INDIRECT(ADDRESS(ROW(B1487)-1, 'From Order'!$A1487)), 1), B1486))"),"")</f>
        <v/>
      </c>
      <c r="C1487" s="2" t="str">
        <f>IFERROR(__xludf.DUMMYFUNCTION("IF('From Order'!$A1487=COLUMNS($A1487:C1506), LEFT(INDEX(FILTER(C$1:C1486, C$1:C1486&lt;&gt;""""),COUNTA(FILTER(C$1:C1486, C$1:C1486&lt;&gt;""""))), LEN(INDEX(FILTER(C$1:C1486, C$1:C1486&lt;&gt;""""),COUNTA(FILTER(C$1:C1486, C$1:C1486&lt;&gt;""""))))-1), IF('To Order'!$A1487=COL"&amp;"UMNS($A1487:C1506), C1486&amp;RIGHT(INDIRECT(ADDRESS(ROW(C1487)-1, 'From Order'!$A1487)), 1), C1486))"),"TQVQJPPLDTMZHRDC")</f>
        <v>TQVQJPPLDTMZHRDC</v>
      </c>
      <c r="D1487" s="2" t="str">
        <f>IFERROR(__xludf.DUMMYFUNCTION("IF('From Order'!$A1487=COLUMNS($A1487:D1506), LEFT(INDEX(FILTER(D$1:D1486, D$1:D1486&lt;&gt;""""),COUNTA(FILTER(D$1:D1486, D$1:D1486&lt;&gt;""""))), LEN(INDEX(FILTER(D$1:D1486, D$1:D1486&lt;&gt;""""),COUNTA(FILTER(D$1:D1486, D$1:D1486&lt;&gt;""""))))-1), IF('To Order'!$A1487=COL"&amp;"UMNS($A1487:D1506), D1486&amp;RIGHT(INDIRECT(ADDRESS(ROW(D1487)-1, 'From Order'!$A1487)), 1), D1486))"),"CGZCSF")</f>
        <v>CGZCSF</v>
      </c>
      <c r="E1487" s="2" t="str">
        <f>IFERROR(__xludf.DUMMYFUNCTION("IF('From Order'!$A1487=COLUMNS($A1487:E1506), LEFT(INDEX(FILTER(E$1:E1486, E$1:E1486&lt;&gt;""""),COUNTA(FILTER(E$1:E1486, E$1:E1486&lt;&gt;""""))), LEN(INDEX(FILTER(E$1:E1486, E$1:E1486&lt;&gt;""""),COUNTA(FILTER(E$1:E1486, E$1:E1486&lt;&gt;""""))))-1), IF('To Order'!$A1487=COL"&amp;"UMNS($A1487:E1506), E1486&amp;RIGHT(INDIRECT(ADDRESS(ROW(E1487)-1, 'From Order'!$A1487)), 1), E1486))"),"H")</f>
        <v>H</v>
      </c>
      <c r="F1487" s="2" t="str">
        <f>IFERROR(__xludf.DUMMYFUNCTION("IF('From Order'!$A1487=COLUMNS($A1487:F1506), LEFT(INDEX(FILTER(F$1:F1486, F$1:F1486&lt;&gt;""""),COUNTA(FILTER(F$1:F1486, F$1:F1486&lt;&gt;""""))), LEN(INDEX(FILTER(F$1:F1486, F$1:F1486&lt;&gt;""""),COUNTA(FILTER(F$1:F1486, F$1:F1486&lt;&gt;""""))))-1), IF('To Order'!$A1487=COL"&amp;"UMNS($A1487:F1506), F1486&amp;RIGHT(INDIRECT(ADDRESS(ROW(F1487)-1, 'From Order'!$A1487)), 1), F1486))"),"ZRLBWLDDTSSTV")</f>
        <v>ZRLBWLDDTSSTV</v>
      </c>
      <c r="G1487" s="2" t="str">
        <f>IFERROR(__xludf.DUMMYFUNCTION("IF('From Order'!$A1487=COLUMNS($A1487:G1506), LEFT(INDEX(FILTER(G$1:G1486, G$1:G1486&lt;&gt;""""),COUNTA(FILTER(G$1:G1486, G$1:G1486&lt;&gt;""""))), LEN(INDEX(FILTER(G$1:G1486, G$1:G1486&lt;&gt;""""),COUNTA(FILTER(G$1:G1486, G$1:G1486&lt;&gt;""""))))-1), IF('To Order'!$A1487=COL"&amp;"UMNS($A1487:G1506), G1486&amp;RIGHT(INDIRECT(ADDRESS(ROW(G1487)-1, 'From Order'!$A1487)), 1), G1486))"),"WRMBVTTJ")</f>
        <v>WRMBVTTJ</v>
      </c>
      <c r="H1487" s="2" t="str">
        <f>IFERROR(__xludf.DUMMYFUNCTION("IF('From Order'!$A1487=COLUMNS($A1487:H1506), LEFT(INDEX(FILTER(H$1:H1486, H$1:H1486&lt;&gt;""""),COUNTA(FILTER(H$1:H1486, H$1:H1486&lt;&gt;""""))), LEN(INDEX(FILTER(H$1:H1486, H$1:H1486&lt;&gt;""""),COUNTA(FILTER(H$1:H1486, H$1:H1486&lt;&gt;""""))))-1), IF('To Order'!$A1487=COL"&amp;"UMNS($A1487:H1506), H1486&amp;RIGHT(INDIRECT(ADDRESS(ROW(H1487)-1, 'From Order'!$A1487)), 1), H1486))"),"FBPRR")</f>
        <v>FBPRR</v>
      </c>
      <c r="I1487" s="2" t="str">
        <f>IFERROR(__xludf.DUMMYFUNCTION("IF('From Order'!$A1487=COLUMNS($A1487:I1506), LEFT(INDEX(FILTER(I$1:I1486, I$1:I1486&lt;&gt;""""),COUNTA(FILTER(I$1:I1486, I$1:I1486&lt;&gt;""""))), LEN(INDEX(FILTER(I$1:I1486, I$1:I1486&lt;&gt;""""),COUNTA(FILTER(I$1:I1486, I$1:I1486&lt;&gt;""""))))-1), IF('To Order'!$A1487=COL"&amp;"UMNS($A1487:I1506), I1486&amp;RIGHT(INDIRECT(ADDRESS(ROW(I1487)-1, 'From Order'!$A1487)), 1), I1486))"),"")</f>
        <v/>
      </c>
    </row>
    <row r="1488">
      <c r="A1488" s="2" t="str">
        <f>IFERROR(__xludf.DUMMYFUNCTION("IF('From Order'!$A1488=COLUMNS($A1488:A1507), LEFT(INDEX(FILTER(A$1:A1487, A$1:A1487&lt;&gt;""""),COUNTA(FILTER(A$1:A1487, A$1:A1487&lt;&gt;""""))), LEN(INDEX(FILTER(A$1:A1487, A$1:A1487&lt;&gt;""""),COUNTA(FILTER(A$1:A1487, A$1:A1487&lt;&gt;""""))))-1), IF('To Order'!$A1488=COL"&amp;"UMNS($A1488:A1507), A1487&amp;RIGHT(INDIRECT(ADDRESS(ROW(A1488)-1, 'From Order'!$A1488)), 1), A1487))"),"MDJDSBG")</f>
        <v>MDJDSBG</v>
      </c>
      <c r="B1488" s="2" t="str">
        <f>IFERROR(__xludf.DUMMYFUNCTION("IF('From Order'!$A1488=COLUMNS($A1488:B1507), LEFT(INDEX(FILTER(B$1:B1487, B$1:B1487&lt;&gt;""""),COUNTA(FILTER(B$1:B1487, B$1:B1487&lt;&gt;""""))), LEN(INDEX(FILTER(B$1:B1487, B$1:B1487&lt;&gt;""""),COUNTA(FILTER(B$1:B1487, B$1:B1487&lt;&gt;""""))))-1), IF('To Order'!$A1488=COL"&amp;"UMNS($A1488:B1507), B1487&amp;RIGHT(INDIRECT(ADDRESS(ROW(B1488)-1, 'From Order'!$A1488)), 1), B1487))"),"")</f>
        <v/>
      </c>
      <c r="C1488" s="2" t="str">
        <f>IFERROR(__xludf.DUMMYFUNCTION("IF('From Order'!$A1488=COLUMNS($A1488:C1507), LEFT(INDEX(FILTER(C$1:C1487, C$1:C1487&lt;&gt;""""),COUNTA(FILTER(C$1:C1487, C$1:C1487&lt;&gt;""""))), LEN(INDEX(FILTER(C$1:C1487, C$1:C1487&lt;&gt;""""),COUNTA(FILTER(C$1:C1487, C$1:C1487&lt;&gt;""""))))-1), IF('To Order'!$A1488=COL"&amp;"UMNS($A1488:C1507), C1487&amp;RIGHT(INDIRECT(ADDRESS(ROW(C1488)-1, 'From Order'!$A1488)), 1), C1487))"),"TQVQJPPLDTMZHRDC")</f>
        <v>TQVQJPPLDTMZHRDC</v>
      </c>
      <c r="D1488" s="2" t="str">
        <f>IFERROR(__xludf.DUMMYFUNCTION("IF('From Order'!$A1488=COLUMNS($A1488:D1507), LEFT(INDEX(FILTER(D$1:D1487, D$1:D1487&lt;&gt;""""),COUNTA(FILTER(D$1:D1487, D$1:D1487&lt;&gt;""""))), LEN(INDEX(FILTER(D$1:D1487, D$1:D1487&lt;&gt;""""),COUNTA(FILTER(D$1:D1487, D$1:D1487&lt;&gt;""""))))-1), IF('To Order'!$A1488=COL"&amp;"UMNS($A1488:D1507), D1487&amp;RIGHT(INDIRECT(ADDRESS(ROW(D1488)-1, 'From Order'!$A1488)), 1), D1487))"),"CGZCSFH")</f>
        <v>CGZCSFH</v>
      </c>
      <c r="E1488" s="2" t="str">
        <f>IFERROR(__xludf.DUMMYFUNCTION("IF('From Order'!$A1488=COLUMNS($A1488:E1507), LEFT(INDEX(FILTER(E$1:E1487, E$1:E1487&lt;&gt;""""),COUNTA(FILTER(E$1:E1487, E$1:E1487&lt;&gt;""""))), LEN(INDEX(FILTER(E$1:E1487, E$1:E1487&lt;&gt;""""),COUNTA(FILTER(E$1:E1487, E$1:E1487&lt;&gt;""""))))-1), IF('To Order'!$A1488=COL"&amp;"UMNS($A1488:E1507), E1487&amp;RIGHT(INDIRECT(ADDRESS(ROW(E1488)-1, 'From Order'!$A1488)), 1), E1487))"),"")</f>
        <v/>
      </c>
      <c r="F1488" s="2" t="str">
        <f>IFERROR(__xludf.DUMMYFUNCTION("IF('From Order'!$A1488=COLUMNS($A1488:F1507), LEFT(INDEX(FILTER(F$1:F1487, F$1:F1487&lt;&gt;""""),COUNTA(FILTER(F$1:F1487, F$1:F1487&lt;&gt;""""))), LEN(INDEX(FILTER(F$1:F1487, F$1:F1487&lt;&gt;""""),COUNTA(FILTER(F$1:F1487, F$1:F1487&lt;&gt;""""))))-1), IF('To Order'!$A1488=COL"&amp;"UMNS($A1488:F1507), F1487&amp;RIGHT(INDIRECT(ADDRESS(ROW(F1488)-1, 'From Order'!$A1488)), 1), F1487))"),"ZRLBWLDDTSSTV")</f>
        <v>ZRLBWLDDTSSTV</v>
      </c>
      <c r="G1488" s="2" t="str">
        <f>IFERROR(__xludf.DUMMYFUNCTION("IF('From Order'!$A1488=COLUMNS($A1488:G1507), LEFT(INDEX(FILTER(G$1:G1487, G$1:G1487&lt;&gt;""""),COUNTA(FILTER(G$1:G1487, G$1:G1487&lt;&gt;""""))), LEN(INDEX(FILTER(G$1:G1487, G$1:G1487&lt;&gt;""""),COUNTA(FILTER(G$1:G1487, G$1:G1487&lt;&gt;""""))))-1), IF('To Order'!$A1488=COL"&amp;"UMNS($A1488:G1507), G1487&amp;RIGHT(INDIRECT(ADDRESS(ROW(G1488)-1, 'From Order'!$A1488)), 1), G1487))"),"WRMBVTTJ")</f>
        <v>WRMBVTTJ</v>
      </c>
      <c r="H1488" s="2" t="str">
        <f>IFERROR(__xludf.DUMMYFUNCTION("IF('From Order'!$A1488=COLUMNS($A1488:H1507), LEFT(INDEX(FILTER(H$1:H1487, H$1:H1487&lt;&gt;""""),COUNTA(FILTER(H$1:H1487, H$1:H1487&lt;&gt;""""))), LEN(INDEX(FILTER(H$1:H1487, H$1:H1487&lt;&gt;""""),COUNTA(FILTER(H$1:H1487, H$1:H1487&lt;&gt;""""))))-1), IF('To Order'!$A1488=COL"&amp;"UMNS($A1488:H1507), H1487&amp;RIGHT(INDIRECT(ADDRESS(ROW(H1488)-1, 'From Order'!$A1488)), 1), H1487))"),"FBPRR")</f>
        <v>FBPRR</v>
      </c>
      <c r="I1488" s="2" t="str">
        <f>IFERROR(__xludf.DUMMYFUNCTION("IF('From Order'!$A1488=COLUMNS($A1488:I1507), LEFT(INDEX(FILTER(I$1:I1487, I$1:I1487&lt;&gt;""""),COUNTA(FILTER(I$1:I1487, I$1:I1487&lt;&gt;""""))), LEN(INDEX(FILTER(I$1:I1487, I$1:I1487&lt;&gt;""""),COUNTA(FILTER(I$1:I1487, I$1:I1487&lt;&gt;""""))))-1), IF('To Order'!$A1488=COL"&amp;"UMNS($A1488:I1507), I1487&amp;RIGHT(INDIRECT(ADDRESS(ROW(I1488)-1, 'From Order'!$A1488)), 1), I1487))"),"")</f>
        <v/>
      </c>
    </row>
    <row r="1489">
      <c r="A1489" s="2" t="str">
        <f>IFERROR(__xludf.DUMMYFUNCTION("IF('From Order'!$A1489=COLUMNS($A1489:A1508), LEFT(INDEX(FILTER(A$1:A1488, A$1:A1488&lt;&gt;""""),COUNTA(FILTER(A$1:A1488, A$1:A1488&lt;&gt;""""))), LEN(INDEX(FILTER(A$1:A1488, A$1:A1488&lt;&gt;""""),COUNTA(FILTER(A$1:A1488, A$1:A1488&lt;&gt;""""))))-1), IF('To Order'!$A1489=COL"&amp;"UMNS($A1489:A1508), A1488&amp;RIGHT(INDIRECT(ADDRESS(ROW(A1489)-1, 'From Order'!$A1489)), 1), A1488))"),"MDJDSB")</f>
        <v>MDJDSB</v>
      </c>
      <c r="B1489" s="2" t="str">
        <f>IFERROR(__xludf.DUMMYFUNCTION("IF('From Order'!$A1489=COLUMNS($A1489:B1508), LEFT(INDEX(FILTER(B$1:B1488, B$1:B1488&lt;&gt;""""),COUNTA(FILTER(B$1:B1488, B$1:B1488&lt;&gt;""""))), LEN(INDEX(FILTER(B$1:B1488, B$1:B1488&lt;&gt;""""),COUNTA(FILTER(B$1:B1488, B$1:B1488&lt;&gt;""""))))-1), IF('To Order'!$A1489=COL"&amp;"UMNS($A1489:B1508), B1488&amp;RIGHT(INDIRECT(ADDRESS(ROW(B1489)-1, 'From Order'!$A1489)), 1), B1488))"),"")</f>
        <v/>
      </c>
      <c r="C1489" s="2" t="str">
        <f>IFERROR(__xludf.DUMMYFUNCTION("IF('From Order'!$A1489=COLUMNS($A1489:C1508), LEFT(INDEX(FILTER(C$1:C1488, C$1:C1488&lt;&gt;""""),COUNTA(FILTER(C$1:C1488, C$1:C1488&lt;&gt;""""))), LEN(INDEX(FILTER(C$1:C1488, C$1:C1488&lt;&gt;""""),COUNTA(FILTER(C$1:C1488, C$1:C1488&lt;&gt;""""))))-1), IF('To Order'!$A1489=COL"&amp;"UMNS($A1489:C1508), C1488&amp;RIGHT(INDIRECT(ADDRESS(ROW(C1489)-1, 'From Order'!$A1489)), 1), C1488))"),"TQVQJPPLDTMZHRDC")</f>
        <v>TQVQJPPLDTMZHRDC</v>
      </c>
      <c r="D1489" s="2" t="str">
        <f>IFERROR(__xludf.DUMMYFUNCTION("IF('From Order'!$A1489=COLUMNS($A1489:D1508), LEFT(INDEX(FILTER(D$1:D1488, D$1:D1488&lt;&gt;""""),COUNTA(FILTER(D$1:D1488, D$1:D1488&lt;&gt;""""))), LEN(INDEX(FILTER(D$1:D1488, D$1:D1488&lt;&gt;""""),COUNTA(FILTER(D$1:D1488, D$1:D1488&lt;&gt;""""))))-1), IF('To Order'!$A1489=COL"&amp;"UMNS($A1489:D1508), D1488&amp;RIGHT(INDIRECT(ADDRESS(ROW(D1489)-1, 'From Order'!$A1489)), 1), D1488))"),"CGZCSFH")</f>
        <v>CGZCSFH</v>
      </c>
      <c r="E1489" s="2" t="str">
        <f>IFERROR(__xludf.DUMMYFUNCTION("IF('From Order'!$A1489=COLUMNS($A1489:E1508), LEFT(INDEX(FILTER(E$1:E1488, E$1:E1488&lt;&gt;""""),COUNTA(FILTER(E$1:E1488, E$1:E1488&lt;&gt;""""))), LEN(INDEX(FILTER(E$1:E1488, E$1:E1488&lt;&gt;""""),COUNTA(FILTER(E$1:E1488, E$1:E1488&lt;&gt;""""))))-1), IF('To Order'!$A1489=COL"&amp;"UMNS($A1489:E1508), E1488&amp;RIGHT(INDIRECT(ADDRESS(ROW(E1489)-1, 'From Order'!$A1489)), 1), E1488))"),"")</f>
        <v/>
      </c>
      <c r="F1489" s="2" t="str">
        <f>IFERROR(__xludf.DUMMYFUNCTION("IF('From Order'!$A1489=COLUMNS($A1489:F1508), LEFT(INDEX(FILTER(F$1:F1488, F$1:F1488&lt;&gt;""""),COUNTA(FILTER(F$1:F1488, F$1:F1488&lt;&gt;""""))), LEN(INDEX(FILTER(F$1:F1488, F$1:F1488&lt;&gt;""""),COUNTA(FILTER(F$1:F1488, F$1:F1488&lt;&gt;""""))))-1), IF('To Order'!$A1489=COL"&amp;"UMNS($A1489:F1508), F1488&amp;RIGHT(INDIRECT(ADDRESS(ROW(F1489)-1, 'From Order'!$A1489)), 1), F1488))"),"ZRLBWLDDTSSTV")</f>
        <v>ZRLBWLDDTSSTV</v>
      </c>
      <c r="G1489" s="2" t="str">
        <f>IFERROR(__xludf.DUMMYFUNCTION("IF('From Order'!$A1489=COLUMNS($A1489:G1508), LEFT(INDEX(FILTER(G$1:G1488, G$1:G1488&lt;&gt;""""),COUNTA(FILTER(G$1:G1488, G$1:G1488&lt;&gt;""""))), LEN(INDEX(FILTER(G$1:G1488, G$1:G1488&lt;&gt;""""),COUNTA(FILTER(G$1:G1488, G$1:G1488&lt;&gt;""""))))-1), IF('To Order'!$A1489=COL"&amp;"UMNS($A1489:G1508), G1488&amp;RIGHT(INDIRECT(ADDRESS(ROW(G1489)-1, 'From Order'!$A1489)), 1), G1488))"),"WRMBVTTJ")</f>
        <v>WRMBVTTJ</v>
      </c>
      <c r="H1489" s="2" t="str">
        <f>IFERROR(__xludf.DUMMYFUNCTION("IF('From Order'!$A1489=COLUMNS($A1489:H1508), LEFT(INDEX(FILTER(H$1:H1488, H$1:H1488&lt;&gt;""""),COUNTA(FILTER(H$1:H1488, H$1:H1488&lt;&gt;""""))), LEN(INDEX(FILTER(H$1:H1488, H$1:H1488&lt;&gt;""""),COUNTA(FILTER(H$1:H1488, H$1:H1488&lt;&gt;""""))))-1), IF('To Order'!$A1489=COL"&amp;"UMNS($A1489:H1508), H1488&amp;RIGHT(INDIRECT(ADDRESS(ROW(H1489)-1, 'From Order'!$A1489)), 1), H1488))"),"FBPRR")</f>
        <v>FBPRR</v>
      </c>
      <c r="I1489" s="2" t="str">
        <f>IFERROR(__xludf.DUMMYFUNCTION("IF('From Order'!$A1489=COLUMNS($A1489:I1508), LEFT(INDEX(FILTER(I$1:I1488, I$1:I1488&lt;&gt;""""),COUNTA(FILTER(I$1:I1488, I$1:I1488&lt;&gt;""""))), LEN(INDEX(FILTER(I$1:I1488, I$1:I1488&lt;&gt;""""),COUNTA(FILTER(I$1:I1488, I$1:I1488&lt;&gt;""""))))-1), IF('To Order'!$A1489=COL"&amp;"UMNS($A1489:I1508), I1488&amp;RIGHT(INDIRECT(ADDRESS(ROW(I1489)-1, 'From Order'!$A1489)), 1), I1488))"),"G")</f>
        <v>G</v>
      </c>
    </row>
    <row r="1490">
      <c r="A1490" s="2" t="str">
        <f>IFERROR(__xludf.DUMMYFUNCTION("IF('From Order'!$A1490=COLUMNS($A1490:A1509), LEFT(INDEX(FILTER(A$1:A1489, A$1:A1489&lt;&gt;""""),COUNTA(FILTER(A$1:A1489, A$1:A1489&lt;&gt;""""))), LEN(INDEX(FILTER(A$1:A1489, A$1:A1489&lt;&gt;""""),COUNTA(FILTER(A$1:A1489, A$1:A1489&lt;&gt;""""))))-1), IF('To Order'!$A1490=COL"&amp;"UMNS($A1490:A1509), A1489&amp;RIGHT(INDIRECT(ADDRESS(ROW(A1490)-1, 'From Order'!$A1490)), 1), A1489))"),"MDJDS")</f>
        <v>MDJDS</v>
      </c>
      <c r="B1490" s="2" t="str">
        <f>IFERROR(__xludf.DUMMYFUNCTION("IF('From Order'!$A1490=COLUMNS($A1490:B1509), LEFT(INDEX(FILTER(B$1:B1489, B$1:B1489&lt;&gt;""""),COUNTA(FILTER(B$1:B1489, B$1:B1489&lt;&gt;""""))), LEN(INDEX(FILTER(B$1:B1489, B$1:B1489&lt;&gt;""""),COUNTA(FILTER(B$1:B1489, B$1:B1489&lt;&gt;""""))))-1), IF('To Order'!$A1490=COL"&amp;"UMNS($A1490:B1509), B1489&amp;RIGHT(INDIRECT(ADDRESS(ROW(B1490)-1, 'From Order'!$A1490)), 1), B1489))"),"")</f>
        <v/>
      </c>
      <c r="C1490" s="2" t="str">
        <f>IFERROR(__xludf.DUMMYFUNCTION("IF('From Order'!$A1490=COLUMNS($A1490:C1509), LEFT(INDEX(FILTER(C$1:C1489, C$1:C1489&lt;&gt;""""),COUNTA(FILTER(C$1:C1489, C$1:C1489&lt;&gt;""""))), LEN(INDEX(FILTER(C$1:C1489, C$1:C1489&lt;&gt;""""),COUNTA(FILTER(C$1:C1489, C$1:C1489&lt;&gt;""""))))-1), IF('To Order'!$A1490=COL"&amp;"UMNS($A1490:C1509), C1489&amp;RIGHT(INDIRECT(ADDRESS(ROW(C1490)-1, 'From Order'!$A1490)), 1), C1489))"),"TQVQJPPLDTMZHRDC")</f>
        <v>TQVQJPPLDTMZHRDC</v>
      </c>
      <c r="D1490" s="2" t="str">
        <f>IFERROR(__xludf.DUMMYFUNCTION("IF('From Order'!$A1490=COLUMNS($A1490:D1509), LEFT(INDEX(FILTER(D$1:D1489, D$1:D1489&lt;&gt;""""),COUNTA(FILTER(D$1:D1489, D$1:D1489&lt;&gt;""""))), LEN(INDEX(FILTER(D$1:D1489, D$1:D1489&lt;&gt;""""),COUNTA(FILTER(D$1:D1489, D$1:D1489&lt;&gt;""""))))-1), IF('To Order'!$A1490=COL"&amp;"UMNS($A1490:D1509), D1489&amp;RIGHT(INDIRECT(ADDRESS(ROW(D1490)-1, 'From Order'!$A1490)), 1), D1489))"),"CGZCSFH")</f>
        <v>CGZCSFH</v>
      </c>
      <c r="E1490" s="2" t="str">
        <f>IFERROR(__xludf.DUMMYFUNCTION("IF('From Order'!$A1490=COLUMNS($A1490:E1509), LEFT(INDEX(FILTER(E$1:E1489, E$1:E1489&lt;&gt;""""),COUNTA(FILTER(E$1:E1489, E$1:E1489&lt;&gt;""""))), LEN(INDEX(FILTER(E$1:E1489, E$1:E1489&lt;&gt;""""),COUNTA(FILTER(E$1:E1489, E$1:E1489&lt;&gt;""""))))-1), IF('To Order'!$A1490=COL"&amp;"UMNS($A1490:E1509), E1489&amp;RIGHT(INDIRECT(ADDRESS(ROW(E1490)-1, 'From Order'!$A1490)), 1), E1489))"),"")</f>
        <v/>
      </c>
      <c r="F1490" s="2" t="str">
        <f>IFERROR(__xludf.DUMMYFUNCTION("IF('From Order'!$A1490=COLUMNS($A1490:F1509), LEFT(INDEX(FILTER(F$1:F1489, F$1:F1489&lt;&gt;""""),COUNTA(FILTER(F$1:F1489, F$1:F1489&lt;&gt;""""))), LEN(INDEX(FILTER(F$1:F1489, F$1:F1489&lt;&gt;""""),COUNTA(FILTER(F$1:F1489, F$1:F1489&lt;&gt;""""))))-1), IF('To Order'!$A1490=COL"&amp;"UMNS($A1490:F1509), F1489&amp;RIGHT(INDIRECT(ADDRESS(ROW(F1490)-1, 'From Order'!$A1490)), 1), F1489))"),"ZRLBWLDDTSSTV")</f>
        <v>ZRLBWLDDTSSTV</v>
      </c>
      <c r="G1490" s="2" t="str">
        <f>IFERROR(__xludf.DUMMYFUNCTION("IF('From Order'!$A1490=COLUMNS($A1490:G1509), LEFT(INDEX(FILTER(G$1:G1489, G$1:G1489&lt;&gt;""""),COUNTA(FILTER(G$1:G1489, G$1:G1489&lt;&gt;""""))), LEN(INDEX(FILTER(G$1:G1489, G$1:G1489&lt;&gt;""""),COUNTA(FILTER(G$1:G1489, G$1:G1489&lt;&gt;""""))))-1), IF('To Order'!$A1490=COL"&amp;"UMNS($A1490:G1509), G1489&amp;RIGHT(INDIRECT(ADDRESS(ROW(G1490)-1, 'From Order'!$A1490)), 1), G1489))"),"WRMBVTTJ")</f>
        <v>WRMBVTTJ</v>
      </c>
      <c r="H1490" s="2" t="str">
        <f>IFERROR(__xludf.DUMMYFUNCTION("IF('From Order'!$A1490=COLUMNS($A1490:H1509), LEFT(INDEX(FILTER(H$1:H1489, H$1:H1489&lt;&gt;""""),COUNTA(FILTER(H$1:H1489, H$1:H1489&lt;&gt;""""))), LEN(INDEX(FILTER(H$1:H1489, H$1:H1489&lt;&gt;""""),COUNTA(FILTER(H$1:H1489, H$1:H1489&lt;&gt;""""))))-1), IF('To Order'!$A1490=COL"&amp;"UMNS($A1490:H1509), H1489&amp;RIGHT(INDIRECT(ADDRESS(ROW(H1490)-1, 'From Order'!$A1490)), 1), H1489))"),"FBPRR")</f>
        <v>FBPRR</v>
      </c>
      <c r="I1490" s="2" t="str">
        <f>IFERROR(__xludf.DUMMYFUNCTION("IF('From Order'!$A1490=COLUMNS($A1490:I1509), LEFT(INDEX(FILTER(I$1:I1489, I$1:I1489&lt;&gt;""""),COUNTA(FILTER(I$1:I1489, I$1:I1489&lt;&gt;""""))), LEN(INDEX(FILTER(I$1:I1489, I$1:I1489&lt;&gt;""""),COUNTA(FILTER(I$1:I1489, I$1:I1489&lt;&gt;""""))))-1), IF('To Order'!$A1490=COL"&amp;"UMNS($A1490:I1509), I1489&amp;RIGHT(INDIRECT(ADDRESS(ROW(I1490)-1, 'From Order'!$A1490)), 1), I1489))"),"GB")</f>
        <v>GB</v>
      </c>
    </row>
    <row r="1491">
      <c r="A1491" s="2" t="str">
        <f>IFERROR(__xludf.DUMMYFUNCTION("IF('From Order'!$A1491=COLUMNS($A1491:A1510), LEFT(INDEX(FILTER(A$1:A1490, A$1:A1490&lt;&gt;""""),COUNTA(FILTER(A$1:A1490, A$1:A1490&lt;&gt;""""))), LEN(INDEX(FILTER(A$1:A1490, A$1:A1490&lt;&gt;""""),COUNTA(FILTER(A$1:A1490, A$1:A1490&lt;&gt;""""))))-1), IF('To Order'!$A1491=COL"&amp;"UMNS($A1491:A1510), A1490&amp;RIGHT(INDIRECT(ADDRESS(ROW(A1491)-1, 'From Order'!$A1491)), 1), A1490))"),"MDJDS")</f>
        <v>MDJDS</v>
      </c>
      <c r="B1491" s="2" t="str">
        <f>IFERROR(__xludf.DUMMYFUNCTION("IF('From Order'!$A1491=COLUMNS($A1491:B1510), LEFT(INDEX(FILTER(B$1:B1490, B$1:B1490&lt;&gt;""""),COUNTA(FILTER(B$1:B1490, B$1:B1490&lt;&gt;""""))), LEN(INDEX(FILTER(B$1:B1490, B$1:B1490&lt;&gt;""""),COUNTA(FILTER(B$1:B1490, B$1:B1490&lt;&gt;""""))))-1), IF('To Order'!$A1491=COL"&amp;"UMNS($A1491:B1510), B1490&amp;RIGHT(INDIRECT(ADDRESS(ROW(B1491)-1, 'From Order'!$A1491)), 1), B1490))"),"")</f>
        <v/>
      </c>
      <c r="C1491" s="2" t="str">
        <f>IFERROR(__xludf.DUMMYFUNCTION("IF('From Order'!$A1491=COLUMNS($A1491:C1510), LEFT(INDEX(FILTER(C$1:C1490, C$1:C1490&lt;&gt;""""),COUNTA(FILTER(C$1:C1490, C$1:C1490&lt;&gt;""""))), LEN(INDEX(FILTER(C$1:C1490, C$1:C1490&lt;&gt;""""),COUNTA(FILTER(C$1:C1490, C$1:C1490&lt;&gt;""""))))-1), IF('To Order'!$A1491=COL"&amp;"UMNS($A1491:C1510), C1490&amp;RIGHT(INDIRECT(ADDRESS(ROW(C1491)-1, 'From Order'!$A1491)), 1), C1490))"),"TQVQJPPLDTMZHRDC")</f>
        <v>TQVQJPPLDTMZHRDC</v>
      </c>
      <c r="D1491" s="2" t="str">
        <f>IFERROR(__xludf.DUMMYFUNCTION("IF('From Order'!$A1491=COLUMNS($A1491:D1510), LEFT(INDEX(FILTER(D$1:D1490, D$1:D1490&lt;&gt;""""),COUNTA(FILTER(D$1:D1490, D$1:D1490&lt;&gt;""""))), LEN(INDEX(FILTER(D$1:D1490, D$1:D1490&lt;&gt;""""),COUNTA(FILTER(D$1:D1490, D$1:D1490&lt;&gt;""""))))-1), IF('To Order'!$A1491=COL"&amp;"UMNS($A1491:D1510), D1490&amp;RIGHT(INDIRECT(ADDRESS(ROW(D1491)-1, 'From Order'!$A1491)), 1), D1490))"),"CGZCSFHB")</f>
        <v>CGZCSFHB</v>
      </c>
      <c r="E1491" s="2" t="str">
        <f>IFERROR(__xludf.DUMMYFUNCTION("IF('From Order'!$A1491=COLUMNS($A1491:E1510), LEFT(INDEX(FILTER(E$1:E1490, E$1:E1490&lt;&gt;""""),COUNTA(FILTER(E$1:E1490, E$1:E1490&lt;&gt;""""))), LEN(INDEX(FILTER(E$1:E1490, E$1:E1490&lt;&gt;""""),COUNTA(FILTER(E$1:E1490, E$1:E1490&lt;&gt;""""))))-1), IF('To Order'!$A1491=COL"&amp;"UMNS($A1491:E1510), E1490&amp;RIGHT(INDIRECT(ADDRESS(ROW(E1491)-1, 'From Order'!$A1491)), 1), E1490))"),"")</f>
        <v/>
      </c>
      <c r="F1491" s="2" t="str">
        <f>IFERROR(__xludf.DUMMYFUNCTION("IF('From Order'!$A1491=COLUMNS($A1491:F1510), LEFT(INDEX(FILTER(F$1:F1490, F$1:F1490&lt;&gt;""""),COUNTA(FILTER(F$1:F1490, F$1:F1490&lt;&gt;""""))), LEN(INDEX(FILTER(F$1:F1490, F$1:F1490&lt;&gt;""""),COUNTA(FILTER(F$1:F1490, F$1:F1490&lt;&gt;""""))))-1), IF('To Order'!$A1491=COL"&amp;"UMNS($A1491:F1510), F1490&amp;RIGHT(INDIRECT(ADDRESS(ROW(F1491)-1, 'From Order'!$A1491)), 1), F1490))"),"ZRLBWLDDTSSTV")</f>
        <v>ZRLBWLDDTSSTV</v>
      </c>
      <c r="G1491" s="2" t="str">
        <f>IFERROR(__xludf.DUMMYFUNCTION("IF('From Order'!$A1491=COLUMNS($A1491:G1510), LEFT(INDEX(FILTER(G$1:G1490, G$1:G1490&lt;&gt;""""),COUNTA(FILTER(G$1:G1490, G$1:G1490&lt;&gt;""""))), LEN(INDEX(FILTER(G$1:G1490, G$1:G1490&lt;&gt;""""),COUNTA(FILTER(G$1:G1490, G$1:G1490&lt;&gt;""""))))-1), IF('To Order'!$A1491=COL"&amp;"UMNS($A1491:G1510), G1490&amp;RIGHT(INDIRECT(ADDRESS(ROW(G1491)-1, 'From Order'!$A1491)), 1), G1490))"),"WRMBVTTJ")</f>
        <v>WRMBVTTJ</v>
      </c>
      <c r="H1491" s="2" t="str">
        <f>IFERROR(__xludf.DUMMYFUNCTION("IF('From Order'!$A1491=COLUMNS($A1491:H1510), LEFT(INDEX(FILTER(H$1:H1490, H$1:H1490&lt;&gt;""""),COUNTA(FILTER(H$1:H1490, H$1:H1490&lt;&gt;""""))), LEN(INDEX(FILTER(H$1:H1490, H$1:H1490&lt;&gt;""""),COUNTA(FILTER(H$1:H1490, H$1:H1490&lt;&gt;""""))))-1), IF('To Order'!$A1491=COL"&amp;"UMNS($A1491:H1510), H1490&amp;RIGHT(INDIRECT(ADDRESS(ROW(H1491)-1, 'From Order'!$A1491)), 1), H1490))"),"FBPRR")</f>
        <v>FBPRR</v>
      </c>
      <c r="I1491" s="2" t="str">
        <f>IFERROR(__xludf.DUMMYFUNCTION("IF('From Order'!$A1491=COLUMNS($A1491:I1510), LEFT(INDEX(FILTER(I$1:I1490, I$1:I1490&lt;&gt;""""),COUNTA(FILTER(I$1:I1490, I$1:I1490&lt;&gt;""""))), LEN(INDEX(FILTER(I$1:I1490, I$1:I1490&lt;&gt;""""),COUNTA(FILTER(I$1:I1490, I$1:I1490&lt;&gt;""""))))-1), IF('To Order'!$A1491=COL"&amp;"UMNS($A1491:I1510), I1490&amp;RIGHT(INDIRECT(ADDRESS(ROW(I1491)-1, 'From Order'!$A1491)), 1), I1490))"),"G")</f>
        <v>G</v>
      </c>
    </row>
    <row r="1492">
      <c r="A1492" s="2" t="str">
        <f>IFERROR(__xludf.DUMMYFUNCTION("IF('From Order'!$A1492=COLUMNS($A1492:A1511), LEFT(INDEX(FILTER(A$1:A1491, A$1:A1491&lt;&gt;""""),COUNTA(FILTER(A$1:A1491, A$1:A1491&lt;&gt;""""))), LEN(INDEX(FILTER(A$1:A1491, A$1:A1491&lt;&gt;""""),COUNTA(FILTER(A$1:A1491, A$1:A1491&lt;&gt;""""))))-1), IF('To Order'!$A1492=COL"&amp;"UMNS($A1492:A1511), A1491&amp;RIGHT(INDIRECT(ADDRESS(ROW(A1492)-1, 'From Order'!$A1492)), 1), A1491))"),"MDJDS")</f>
        <v>MDJDS</v>
      </c>
      <c r="B1492" s="2" t="str">
        <f>IFERROR(__xludf.DUMMYFUNCTION("IF('From Order'!$A1492=COLUMNS($A1492:B1511), LEFT(INDEX(FILTER(B$1:B1491, B$1:B1491&lt;&gt;""""),COUNTA(FILTER(B$1:B1491, B$1:B1491&lt;&gt;""""))), LEN(INDEX(FILTER(B$1:B1491, B$1:B1491&lt;&gt;""""),COUNTA(FILTER(B$1:B1491, B$1:B1491&lt;&gt;""""))))-1), IF('To Order'!$A1492=COL"&amp;"UMNS($A1492:B1511), B1491&amp;RIGHT(INDIRECT(ADDRESS(ROW(B1492)-1, 'From Order'!$A1492)), 1), B1491))"),"")</f>
        <v/>
      </c>
      <c r="C1492" s="2" t="str">
        <f>IFERROR(__xludf.DUMMYFUNCTION("IF('From Order'!$A1492=COLUMNS($A1492:C1511), LEFT(INDEX(FILTER(C$1:C1491, C$1:C1491&lt;&gt;""""),COUNTA(FILTER(C$1:C1491, C$1:C1491&lt;&gt;""""))), LEN(INDEX(FILTER(C$1:C1491, C$1:C1491&lt;&gt;""""),COUNTA(FILTER(C$1:C1491, C$1:C1491&lt;&gt;""""))))-1), IF('To Order'!$A1492=COL"&amp;"UMNS($A1492:C1511), C1491&amp;RIGHT(INDIRECT(ADDRESS(ROW(C1492)-1, 'From Order'!$A1492)), 1), C1491))"),"TQVQJPPLDTMZHRDC")</f>
        <v>TQVQJPPLDTMZHRDC</v>
      </c>
      <c r="D1492" s="2" t="str">
        <f>IFERROR(__xludf.DUMMYFUNCTION("IF('From Order'!$A1492=COLUMNS($A1492:D1511), LEFT(INDEX(FILTER(D$1:D1491, D$1:D1491&lt;&gt;""""),COUNTA(FILTER(D$1:D1491, D$1:D1491&lt;&gt;""""))), LEN(INDEX(FILTER(D$1:D1491, D$1:D1491&lt;&gt;""""),COUNTA(FILTER(D$1:D1491, D$1:D1491&lt;&gt;""""))))-1), IF('To Order'!$A1492=COL"&amp;"UMNS($A1492:D1511), D1491&amp;RIGHT(INDIRECT(ADDRESS(ROW(D1492)-1, 'From Order'!$A1492)), 1), D1491))"),"CGZCSFHBG")</f>
        <v>CGZCSFHBG</v>
      </c>
      <c r="E1492" s="2" t="str">
        <f>IFERROR(__xludf.DUMMYFUNCTION("IF('From Order'!$A1492=COLUMNS($A1492:E1511), LEFT(INDEX(FILTER(E$1:E1491, E$1:E1491&lt;&gt;""""),COUNTA(FILTER(E$1:E1491, E$1:E1491&lt;&gt;""""))), LEN(INDEX(FILTER(E$1:E1491, E$1:E1491&lt;&gt;""""),COUNTA(FILTER(E$1:E1491, E$1:E1491&lt;&gt;""""))))-1), IF('To Order'!$A1492=COL"&amp;"UMNS($A1492:E1511), E1491&amp;RIGHT(INDIRECT(ADDRESS(ROW(E1492)-1, 'From Order'!$A1492)), 1), E1491))"),"")</f>
        <v/>
      </c>
      <c r="F1492" s="2" t="str">
        <f>IFERROR(__xludf.DUMMYFUNCTION("IF('From Order'!$A1492=COLUMNS($A1492:F1511), LEFT(INDEX(FILTER(F$1:F1491, F$1:F1491&lt;&gt;""""),COUNTA(FILTER(F$1:F1491, F$1:F1491&lt;&gt;""""))), LEN(INDEX(FILTER(F$1:F1491, F$1:F1491&lt;&gt;""""),COUNTA(FILTER(F$1:F1491, F$1:F1491&lt;&gt;""""))))-1), IF('To Order'!$A1492=COL"&amp;"UMNS($A1492:F1511), F1491&amp;RIGHT(INDIRECT(ADDRESS(ROW(F1492)-1, 'From Order'!$A1492)), 1), F1491))"),"ZRLBWLDDTSSTV")</f>
        <v>ZRLBWLDDTSSTV</v>
      </c>
      <c r="G1492" s="2" t="str">
        <f>IFERROR(__xludf.DUMMYFUNCTION("IF('From Order'!$A1492=COLUMNS($A1492:G1511), LEFT(INDEX(FILTER(G$1:G1491, G$1:G1491&lt;&gt;""""),COUNTA(FILTER(G$1:G1491, G$1:G1491&lt;&gt;""""))), LEN(INDEX(FILTER(G$1:G1491, G$1:G1491&lt;&gt;""""),COUNTA(FILTER(G$1:G1491, G$1:G1491&lt;&gt;""""))))-1), IF('To Order'!$A1492=COL"&amp;"UMNS($A1492:G1511), G1491&amp;RIGHT(INDIRECT(ADDRESS(ROW(G1492)-1, 'From Order'!$A1492)), 1), G1491))"),"WRMBVTTJ")</f>
        <v>WRMBVTTJ</v>
      </c>
      <c r="H1492" s="2" t="str">
        <f>IFERROR(__xludf.DUMMYFUNCTION("IF('From Order'!$A1492=COLUMNS($A1492:H1511), LEFT(INDEX(FILTER(H$1:H1491, H$1:H1491&lt;&gt;""""),COUNTA(FILTER(H$1:H1491, H$1:H1491&lt;&gt;""""))), LEN(INDEX(FILTER(H$1:H1491, H$1:H1491&lt;&gt;""""),COUNTA(FILTER(H$1:H1491, H$1:H1491&lt;&gt;""""))))-1), IF('To Order'!$A1492=COL"&amp;"UMNS($A1492:H1511), H1491&amp;RIGHT(INDIRECT(ADDRESS(ROW(H1492)-1, 'From Order'!$A1492)), 1), H1491))"),"FBPRR")</f>
        <v>FBPRR</v>
      </c>
      <c r="I1492" s="2" t="str">
        <f>IFERROR(__xludf.DUMMYFUNCTION("IF('From Order'!$A1492=COLUMNS($A1492:I1511), LEFT(INDEX(FILTER(I$1:I1491, I$1:I1491&lt;&gt;""""),COUNTA(FILTER(I$1:I1491, I$1:I1491&lt;&gt;""""))), LEN(INDEX(FILTER(I$1:I1491, I$1:I1491&lt;&gt;""""),COUNTA(FILTER(I$1:I1491, I$1:I1491&lt;&gt;""""))))-1), IF('To Order'!$A1492=COL"&amp;"UMNS($A1492:I1511), I1491&amp;RIGHT(INDIRECT(ADDRESS(ROW(I1492)-1, 'From Order'!$A1492)), 1), I1491))"),"")</f>
        <v/>
      </c>
    </row>
    <row r="1493">
      <c r="A1493" s="2" t="str">
        <f>IFERROR(__xludf.DUMMYFUNCTION("IF('From Order'!$A1493=COLUMNS($A1493:A1512), LEFT(INDEX(FILTER(A$1:A1492, A$1:A1492&lt;&gt;""""),COUNTA(FILTER(A$1:A1492, A$1:A1492&lt;&gt;""""))), LEN(INDEX(FILTER(A$1:A1492, A$1:A1492&lt;&gt;""""),COUNTA(FILTER(A$1:A1492, A$1:A1492&lt;&gt;""""))))-1), IF('To Order'!$A1493=COL"&amp;"UMNS($A1493:A1512), A1492&amp;RIGHT(INDIRECT(ADDRESS(ROW(A1493)-1, 'From Order'!$A1493)), 1), A1492))"),"MDJD")</f>
        <v>MDJD</v>
      </c>
      <c r="B1493" s="2" t="str">
        <f>IFERROR(__xludf.DUMMYFUNCTION("IF('From Order'!$A1493=COLUMNS($A1493:B1512), LEFT(INDEX(FILTER(B$1:B1492, B$1:B1492&lt;&gt;""""),COUNTA(FILTER(B$1:B1492, B$1:B1492&lt;&gt;""""))), LEN(INDEX(FILTER(B$1:B1492, B$1:B1492&lt;&gt;""""),COUNTA(FILTER(B$1:B1492, B$1:B1492&lt;&gt;""""))))-1), IF('To Order'!$A1493=COL"&amp;"UMNS($A1493:B1512), B1492&amp;RIGHT(INDIRECT(ADDRESS(ROW(B1493)-1, 'From Order'!$A1493)), 1), B1492))"),"")</f>
        <v/>
      </c>
      <c r="C1493" s="2" t="str">
        <f>IFERROR(__xludf.DUMMYFUNCTION("IF('From Order'!$A1493=COLUMNS($A1493:C1512), LEFT(INDEX(FILTER(C$1:C1492, C$1:C1492&lt;&gt;""""),COUNTA(FILTER(C$1:C1492, C$1:C1492&lt;&gt;""""))), LEN(INDEX(FILTER(C$1:C1492, C$1:C1492&lt;&gt;""""),COUNTA(FILTER(C$1:C1492, C$1:C1492&lt;&gt;""""))))-1), IF('To Order'!$A1493=COL"&amp;"UMNS($A1493:C1512), C1492&amp;RIGHT(INDIRECT(ADDRESS(ROW(C1493)-1, 'From Order'!$A1493)), 1), C1492))"),"TQVQJPPLDTMZHRDC")</f>
        <v>TQVQJPPLDTMZHRDC</v>
      </c>
      <c r="D1493" s="2" t="str">
        <f>IFERROR(__xludf.DUMMYFUNCTION("IF('From Order'!$A1493=COLUMNS($A1493:D1512), LEFT(INDEX(FILTER(D$1:D1492, D$1:D1492&lt;&gt;""""),COUNTA(FILTER(D$1:D1492, D$1:D1492&lt;&gt;""""))), LEN(INDEX(FILTER(D$1:D1492, D$1:D1492&lt;&gt;""""),COUNTA(FILTER(D$1:D1492, D$1:D1492&lt;&gt;""""))))-1), IF('To Order'!$A1493=COL"&amp;"UMNS($A1493:D1512), D1492&amp;RIGHT(INDIRECT(ADDRESS(ROW(D1493)-1, 'From Order'!$A1493)), 1), D1492))"),"CGZCSFHBG")</f>
        <v>CGZCSFHBG</v>
      </c>
      <c r="E1493" s="2" t="str">
        <f>IFERROR(__xludf.DUMMYFUNCTION("IF('From Order'!$A1493=COLUMNS($A1493:E1512), LEFT(INDEX(FILTER(E$1:E1492, E$1:E1492&lt;&gt;""""),COUNTA(FILTER(E$1:E1492, E$1:E1492&lt;&gt;""""))), LEN(INDEX(FILTER(E$1:E1492, E$1:E1492&lt;&gt;""""),COUNTA(FILTER(E$1:E1492, E$1:E1492&lt;&gt;""""))))-1), IF('To Order'!$A1493=COL"&amp;"UMNS($A1493:E1512), E1492&amp;RIGHT(INDIRECT(ADDRESS(ROW(E1493)-1, 'From Order'!$A1493)), 1), E1492))"),"")</f>
        <v/>
      </c>
      <c r="F1493" s="2" t="str">
        <f>IFERROR(__xludf.DUMMYFUNCTION("IF('From Order'!$A1493=COLUMNS($A1493:F1512), LEFT(INDEX(FILTER(F$1:F1492, F$1:F1492&lt;&gt;""""),COUNTA(FILTER(F$1:F1492, F$1:F1492&lt;&gt;""""))), LEN(INDEX(FILTER(F$1:F1492, F$1:F1492&lt;&gt;""""),COUNTA(FILTER(F$1:F1492, F$1:F1492&lt;&gt;""""))))-1), IF('To Order'!$A1493=COL"&amp;"UMNS($A1493:F1512), F1492&amp;RIGHT(INDIRECT(ADDRESS(ROW(F1493)-1, 'From Order'!$A1493)), 1), F1492))"),"ZRLBWLDDTSSTV")</f>
        <v>ZRLBWLDDTSSTV</v>
      </c>
      <c r="G1493" s="2" t="str">
        <f>IFERROR(__xludf.DUMMYFUNCTION("IF('From Order'!$A1493=COLUMNS($A1493:G1512), LEFT(INDEX(FILTER(G$1:G1492, G$1:G1492&lt;&gt;""""),COUNTA(FILTER(G$1:G1492, G$1:G1492&lt;&gt;""""))), LEN(INDEX(FILTER(G$1:G1492, G$1:G1492&lt;&gt;""""),COUNTA(FILTER(G$1:G1492, G$1:G1492&lt;&gt;""""))))-1), IF('To Order'!$A1493=COL"&amp;"UMNS($A1493:G1512), G1492&amp;RIGHT(INDIRECT(ADDRESS(ROW(G1493)-1, 'From Order'!$A1493)), 1), G1492))"),"WRMBVTTJ")</f>
        <v>WRMBVTTJ</v>
      </c>
      <c r="H1493" s="2" t="str">
        <f>IFERROR(__xludf.DUMMYFUNCTION("IF('From Order'!$A1493=COLUMNS($A1493:H1512), LEFT(INDEX(FILTER(H$1:H1492, H$1:H1492&lt;&gt;""""),COUNTA(FILTER(H$1:H1492, H$1:H1492&lt;&gt;""""))), LEN(INDEX(FILTER(H$1:H1492, H$1:H1492&lt;&gt;""""),COUNTA(FILTER(H$1:H1492, H$1:H1492&lt;&gt;""""))))-1), IF('To Order'!$A1493=COL"&amp;"UMNS($A1493:H1512), H1492&amp;RIGHT(INDIRECT(ADDRESS(ROW(H1493)-1, 'From Order'!$A1493)), 1), H1492))"),"FBPRRS")</f>
        <v>FBPRRS</v>
      </c>
      <c r="I1493" s="2" t="str">
        <f>IFERROR(__xludf.DUMMYFUNCTION("IF('From Order'!$A1493=COLUMNS($A1493:I1512), LEFT(INDEX(FILTER(I$1:I1492, I$1:I1492&lt;&gt;""""),COUNTA(FILTER(I$1:I1492, I$1:I1492&lt;&gt;""""))), LEN(INDEX(FILTER(I$1:I1492, I$1:I1492&lt;&gt;""""),COUNTA(FILTER(I$1:I1492, I$1:I1492&lt;&gt;""""))))-1), IF('To Order'!$A1493=COL"&amp;"UMNS($A1493:I1512), I1492&amp;RIGHT(INDIRECT(ADDRESS(ROW(I1493)-1, 'From Order'!$A1493)), 1), I1492))"),"")</f>
        <v/>
      </c>
    </row>
    <row r="1494">
      <c r="A1494" s="2" t="str">
        <f>IFERROR(__xludf.DUMMYFUNCTION("IF('From Order'!$A1494=COLUMNS($A1494:A1513), LEFT(INDEX(FILTER(A$1:A1493, A$1:A1493&lt;&gt;""""),COUNTA(FILTER(A$1:A1493, A$1:A1493&lt;&gt;""""))), LEN(INDEX(FILTER(A$1:A1493, A$1:A1493&lt;&gt;""""),COUNTA(FILTER(A$1:A1493, A$1:A1493&lt;&gt;""""))))-1), IF('To Order'!$A1494=COL"&amp;"UMNS($A1494:A1513), A1493&amp;RIGHT(INDIRECT(ADDRESS(ROW(A1494)-1, 'From Order'!$A1494)), 1), A1493))"),"MDJ")</f>
        <v>MDJ</v>
      </c>
      <c r="B1494" s="2" t="str">
        <f>IFERROR(__xludf.DUMMYFUNCTION("IF('From Order'!$A1494=COLUMNS($A1494:B1513), LEFT(INDEX(FILTER(B$1:B1493, B$1:B1493&lt;&gt;""""),COUNTA(FILTER(B$1:B1493, B$1:B1493&lt;&gt;""""))), LEN(INDEX(FILTER(B$1:B1493, B$1:B1493&lt;&gt;""""),COUNTA(FILTER(B$1:B1493, B$1:B1493&lt;&gt;""""))))-1), IF('To Order'!$A1494=COL"&amp;"UMNS($A1494:B1513), B1493&amp;RIGHT(INDIRECT(ADDRESS(ROW(B1494)-1, 'From Order'!$A1494)), 1), B1493))"),"")</f>
        <v/>
      </c>
      <c r="C1494" s="2" t="str">
        <f>IFERROR(__xludf.DUMMYFUNCTION("IF('From Order'!$A1494=COLUMNS($A1494:C1513), LEFT(INDEX(FILTER(C$1:C1493, C$1:C1493&lt;&gt;""""),COUNTA(FILTER(C$1:C1493, C$1:C1493&lt;&gt;""""))), LEN(INDEX(FILTER(C$1:C1493, C$1:C1493&lt;&gt;""""),COUNTA(FILTER(C$1:C1493, C$1:C1493&lt;&gt;""""))))-1), IF('To Order'!$A1494=COL"&amp;"UMNS($A1494:C1513), C1493&amp;RIGHT(INDIRECT(ADDRESS(ROW(C1494)-1, 'From Order'!$A1494)), 1), C1493))"),"TQVQJPPLDTMZHRDC")</f>
        <v>TQVQJPPLDTMZHRDC</v>
      </c>
      <c r="D1494" s="2" t="str">
        <f>IFERROR(__xludf.DUMMYFUNCTION("IF('From Order'!$A1494=COLUMNS($A1494:D1513), LEFT(INDEX(FILTER(D$1:D1493, D$1:D1493&lt;&gt;""""),COUNTA(FILTER(D$1:D1493, D$1:D1493&lt;&gt;""""))), LEN(INDEX(FILTER(D$1:D1493, D$1:D1493&lt;&gt;""""),COUNTA(FILTER(D$1:D1493, D$1:D1493&lt;&gt;""""))))-1), IF('To Order'!$A1494=COL"&amp;"UMNS($A1494:D1513), D1493&amp;RIGHT(INDIRECT(ADDRESS(ROW(D1494)-1, 'From Order'!$A1494)), 1), D1493))"),"CGZCSFHBG")</f>
        <v>CGZCSFHBG</v>
      </c>
      <c r="E1494" s="2" t="str">
        <f>IFERROR(__xludf.DUMMYFUNCTION("IF('From Order'!$A1494=COLUMNS($A1494:E1513), LEFT(INDEX(FILTER(E$1:E1493, E$1:E1493&lt;&gt;""""),COUNTA(FILTER(E$1:E1493, E$1:E1493&lt;&gt;""""))), LEN(INDEX(FILTER(E$1:E1493, E$1:E1493&lt;&gt;""""),COUNTA(FILTER(E$1:E1493, E$1:E1493&lt;&gt;""""))))-1), IF('To Order'!$A1494=COL"&amp;"UMNS($A1494:E1513), E1493&amp;RIGHT(INDIRECT(ADDRESS(ROW(E1494)-1, 'From Order'!$A1494)), 1), E1493))"),"")</f>
        <v/>
      </c>
      <c r="F1494" s="2" t="str">
        <f>IFERROR(__xludf.DUMMYFUNCTION("IF('From Order'!$A1494=COLUMNS($A1494:F1513), LEFT(INDEX(FILTER(F$1:F1493, F$1:F1493&lt;&gt;""""),COUNTA(FILTER(F$1:F1493, F$1:F1493&lt;&gt;""""))), LEN(INDEX(FILTER(F$1:F1493, F$1:F1493&lt;&gt;""""),COUNTA(FILTER(F$1:F1493, F$1:F1493&lt;&gt;""""))))-1), IF('To Order'!$A1494=COL"&amp;"UMNS($A1494:F1513), F1493&amp;RIGHT(INDIRECT(ADDRESS(ROW(F1494)-1, 'From Order'!$A1494)), 1), F1493))"),"ZRLBWLDDTSSTV")</f>
        <v>ZRLBWLDDTSSTV</v>
      </c>
      <c r="G1494" s="2" t="str">
        <f>IFERROR(__xludf.DUMMYFUNCTION("IF('From Order'!$A1494=COLUMNS($A1494:G1513), LEFT(INDEX(FILTER(G$1:G1493, G$1:G1493&lt;&gt;""""),COUNTA(FILTER(G$1:G1493, G$1:G1493&lt;&gt;""""))), LEN(INDEX(FILTER(G$1:G1493, G$1:G1493&lt;&gt;""""),COUNTA(FILTER(G$1:G1493, G$1:G1493&lt;&gt;""""))))-1), IF('To Order'!$A1494=COL"&amp;"UMNS($A1494:G1513), G1493&amp;RIGHT(INDIRECT(ADDRESS(ROW(G1494)-1, 'From Order'!$A1494)), 1), G1493))"),"WRMBVTTJ")</f>
        <v>WRMBVTTJ</v>
      </c>
      <c r="H1494" s="2" t="str">
        <f>IFERROR(__xludf.DUMMYFUNCTION("IF('From Order'!$A1494=COLUMNS($A1494:H1513), LEFT(INDEX(FILTER(H$1:H1493, H$1:H1493&lt;&gt;""""),COUNTA(FILTER(H$1:H1493, H$1:H1493&lt;&gt;""""))), LEN(INDEX(FILTER(H$1:H1493, H$1:H1493&lt;&gt;""""),COUNTA(FILTER(H$1:H1493, H$1:H1493&lt;&gt;""""))))-1), IF('To Order'!$A1494=COL"&amp;"UMNS($A1494:H1513), H1493&amp;RIGHT(INDIRECT(ADDRESS(ROW(H1494)-1, 'From Order'!$A1494)), 1), H1493))"),"FBPRRSD")</f>
        <v>FBPRRSD</v>
      </c>
      <c r="I1494" s="2" t="str">
        <f>IFERROR(__xludf.DUMMYFUNCTION("IF('From Order'!$A1494=COLUMNS($A1494:I1513), LEFT(INDEX(FILTER(I$1:I1493, I$1:I1493&lt;&gt;""""),COUNTA(FILTER(I$1:I1493, I$1:I1493&lt;&gt;""""))), LEN(INDEX(FILTER(I$1:I1493, I$1:I1493&lt;&gt;""""),COUNTA(FILTER(I$1:I1493, I$1:I1493&lt;&gt;""""))))-1), IF('To Order'!$A1494=COL"&amp;"UMNS($A1494:I1513), I1493&amp;RIGHT(INDIRECT(ADDRESS(ROW(I1494)-1, 'From Order'!$A1494)), 1), I1493))"),"")</f>
        <v/>
      </c>
    </row>
    <row r="1495">
      <c r="A1495" s="2" t="str">
        <f>IFERROR(__xludf.DUMMYFUNCTION("IF('From Order'!$A1495=COLUMNS($A1495:A1514), LEFT(INDEX(FILTER(A$1:A1494, A$1:A1494&lt;&gt;""""),COUNTA(FILTER(A$1:A1494, A$1:A1494&lt;&gt;""""))), LEN(INDEX(FILTER(A$1:A1494, A$1:A1494&lt;&gt;""""),COUNTA(FILTER(A$1:A1494, A$1:A1494&lt;&gt;""""))))-1), IF('To Order'!$A1495=COL"&amp;"UMNS($A1495:A1514), A1494&amp;RIGHT(INDIRECT(ADDRESS(ROW(A1495)-1, 'From Order'!$A1495)), 1), A1494))"),"MDJ")</f>
        <v>MDJ</v>
      </c>
      <c r="B1495" s="2" t="str">
        <f>IFERROR(__xludf.DUMMYFUNCTION("IF('From Order'!$A1495=COLUMNS($A1495:B1514), LEFT(INDEX(FILTER(B$1:B1494, B$1:B1494&lt;&gt;""""),COUNTA(FILTER(B$1:B1494, B$1:B1494&lt;&gt;""""))), LEN(INDEX(FILTER(B$1:B1494, B$1:B1494&lt;&gt;""""),COUNTA(FILTER(B$1:B1494, B$1:B1494&lt;&gt;""""))))-1), IF('To Order'!$A1495=COL"&amp;"UMNS($A1495:B1514), B1494&amp;RIGHT(INDIRECT(ADDRESS(ROW(B1495)-1, 'From Order'!$A1495)), 1), B1494))"),"")</f>
        <v/>
      </c>
      <c r="C1495" s="2" t="str">
        <f>IFERROR(__xludf.DUMMYFUNCTION("IF('From Order'!$A1495=COLUMNS($A1495:C1514), LEFT(INDEX(FILTER(C$1:C1494, C$1:C1494&lt;&gt;""""),COUNTA(FILTER(C$1:C1494, C$1:C1494&lt;&gt;""""))), LEN(INDEX(FILTER(C$1:C1494, C$1:C1494&lt;&gt;""""),COUNTA(FILTER(C$1:C1494, C$1:C1494&lt;&gt;""""))))-1), IF('To Order'!$A1495=COL"&amp;"UMNS($A1495:C1514), C1494&amp;RIGHT(INDIRECT(ADDRESS(ROW(C1495)-1, 'From Order'!$A1495)), 1), C1494))"),"TQVQJPPLDTMZHRD")</f>
        <v>TQVQJPPLDTMZHRD</v>
      </c>
      <c r="D1495" s="2" t="str">
        <f>IFERROR(__xludf.DUMMYFUNCTION("IF('From Order'!$A1495=COLUMNS($A1495:D1514), LEFT(INDEX(FILTER(D$1:D1494, D$1:D1494&lt;&gt;""""),COUNTA(FILTER(D$1:D1494, D$1:D1494&lt;&gt;""""))), LEN(INDEX(FILTER(D$1:D1494, D$1:D1494&lt;&gt;""""),COUNTA(FILTER(D$1:D1494, D$1:D1494&lt;&gt;""""))))-1), IF('To Order'!$A1495=COL"&amp;"UMNS($A1495:D1514), D1494&amp;RIGHT(INDIRECT(ADDRESS(ROW(D1495)-1, 'From Order'!$A1495)), 1), D1494))"),"CGZCSFHBG")</f>
        <v>CGZCSFHBG</v>
      </c>
      <c r="E1495" s="2" t="str">
        <f>IFERROR(__xludf.DUMMYFUNCTION("IF('From Order'!$A1495=COLUMNS($A1495:E1514), LEFT(INDEX(FILTER(E$1:E1494, E$1:E1494&lt;&gt;""""),COUNTA(FILTER(E$1:E1494, E$1:E1494&lt;&gt;""""))), LEN(INDEX(FILTER(E$1:E1494, E$1:E1494&lt;&gt;""""),COUNTA(FILTER(E$1:E1494, E$1:E1494&lt;&gt;""""))))-1), IF('To Order'!$A1495=COL"&amp;"UMNS($A1495:E1514), E1494&amp;RIGHT(INDIRECT(ADDRESS(ROW(E1495)-1, 'From Order'!$A1495)), 1), E1494))"),"")</f>
        <v/>
      </c>
      <c r="F1495" s="2" t="str">
        <f>IFERROR(__xludf.DUMMYFUNCTION("IF('From Order'!$A1495=COLUMNS($A1495:F1514), LEFT(INDEX(FILTER(F$1:F1494, F$1:F1494&lt;&gt;""""),COUNTA(FILTER(F$1:F1494, F$1:F1494&lt;&gt;""""))), LEN(INDEX(FILTER(F$1:F1494, F$1:F1494&lt;&gt;""""),COUNTA(FILTER(F$1:F1494, F$1:F1494&lt;&gt;""""))))-1), IF('To Order'!$A1495=COL"&amp;"UMNS($A1495:F1514), F1494&amp;RIGHT(INDIRECT(ADDRESS(ROW(F1495)-1, 'From Order'!$A1495)), 1), F1494))"),"ZRLBWLDDTSSTVC")</f>
        <v>ZRLBWLDDTSSTVC</v>
      </c>
      <c r="G1495" s="2" t="str">
        <f>IFERROR(__xludf.DUMMYFUNCTION("IF('From Order'!$A1495=COLUMNS($A1495:G1514), LEFT(INDEX(FILTER(G$1:G1494, G$1:G1494&lt;&gt;""""),COUNTA(FILTER(G$1:G1494, G$1:G1494&lt;&gt;""""))), LEN(INDEX(FILTER(G$1:G1494, G$1:G1494&lt;&gt;""""),COUNTA(FILTER(G$1:G1494, G$1:G1494&lt;&gt;""""))))-1), IF('To Order'!$A1495=COL"&amp;"UMNS($A1495:G1514), G1494&amp;RIGHT(INDIRECT(ADDRESS(ROW(G1495)-1, 'From Order'!$A1495)), 1), G1494))"),"WRMBVTTJ")</f>
        <v>WRMBVTTJ</v>
      </c>
      <c r="H1495" s="2" t="str">
        <f>IFERROR(__xludf.DUMMYFUNCTION("IF('From Order'!$A1495=COLUMNS($A1495:H1514), LEFT(INDEX(FILTER(H$1:H1494, H$1:H1494&lt;&gt;""""),COUNTA(FILTER(H$1:H1494, H$1:H1494&lt;&gt;""""))), LEN(INDEX(FILTER(H$1:H1494, H$1:H1494&lt;&gt;""""),COUNTA(FILTER(H$1:H1494, H$1:H1494&lt;&gt;""""))))-1), IF('To Order'!$A1495=COL"&amp;"UMNS($A1495:H1514), H1494&amp;RIGHT(INDIRECT(ADDRESS(ROW(H1495)-1, 'From Order'!$A1495)), 1), H1494))"),"FBPRRSD")</f>
        <v>FBPRRSD</v>
      </c>
      <c r="I1495" s="2" t="str">
        <f>IFERROR(__xludf.DUMMYFUNCTION("IF('From Order'!$A1495=COLUMNS($A1495:I1514), LEFT(INDEX(FILTER(I$1:I1494, I$1:I1494&lt;&gt;""""),COUNTA(FILTER(I$1:I1494, I$1:I1494&lt;&gt;""""))), LEN(INDEX(FILTER(I$1:I1494, I$1:I1494&lt;&gt;""""),COUNTA(FILTER(I$1:I1494, I$1:I1494&lt;&gt;""""))))-1), IF('To Order'!$A1495=COL"&amp;"UMNS($A1495:I1514), I1494&amp;RIGHT(INDIRECT(ADDRESS(ROW(I1495)-1, 'From Order'!$A1495)), 1), I1494))"),"")</f>
        <v/>
      </c>
    </row>
    <row r="1496">
      <c r="A1496" s="2" t="str">
        <f>IFERROR(__xludf.DUMMYFUNCTION("IF('From Order'!$A1496=COLUMNS($A1496:A1515), LEFT(INDEX(FILTER(A$1:A1495, A$1:A1495&lt;&gt;""""),COUNTA(FILTER(A$1:A1495, A$1:A1495&lt;&gt;""""))), LEN(INDEX(FILTER(A$1:A1495, A$1:A1495&lt;&gt;""""),COUNTA(FILTER(A$1:A1495, A$1:A1495&lt;&gt;""""))))-1), IF('To Order'!$A1496=COL"&amp;"UMNS($A1496:A1515), A1495&amp;RIGHT(INDIRECT(ADDRESS(ROW(A1496)-1, 'From Order'!$A1496)), 1), A1495))"),"MDJ")</f>
        <v>MDJ</v>
      </c>
      <c r="B1496" s="2" t="str">
        <f>IFERROR(__xludf.DUMMYFUNCTION("IF('From Order'!$A1496=COLUMNS($A1496:B1515), LEFT(INDEX(FILTER(B$1:B1495, B$1:B1495&lt;&gt;""""),COUNTA(FILTER(B$1:B1495, B$1:B1495&lt;&gt;""""))), LEN(INDEX(FILTER(B$1:B1495, B$1:B1495&lt;&gt;""""),COUNTA(FILTER(B$1:B1495, B$1:B1495&lt;&gt;""""))))-1), IF('To Order'!$A1496=COL"&amp;"UMNS($A1496:B1515), B1495&amp;RIGHT(INDIRECT(ADDRESS(ROW(B1496)-1, 'From Order'!$A1496)), 1), B1495))"),"")</f>
        <v/>
      </c>
      <c r="C1496" s="2" t="str">
        <f>IFERROR(__xludf.DUMMYFUNCTION("IF('From Order'!$A1496=COLUMNS($A1496:C1515), LEFT(INDEX(FILTER(C$1:C1495, C$1:C1495&lt;&gt;""""),COUNTA(FILTER(C$1:C1495, C$1:C1495&lt;&gt;""""))), LEN(INDEX(FILTER(C$1:C1495, C$1:C1495&lt;&gt;""""),COUNTA(FILTER(C$1:C1495, C$1:C1495&lt;&gt;""""))))-1), IF('To Order'!$A1496=COL"&amp;"UMNS($A1496:C1515), C1495&amp;RIGHT(INDIRECT(ADDRESS(ROW(C1496)-1, 'From Order'!$A1496)), 1), C1495))"),"TQVQJPPLDTMZHR")</f>
        <v>TQVQJPPLDTMZHR</v>
      </c>
      <c r="D1496" s="2" t="str">
        <f>IFERROR(__xludf.DUMMYFUNCTION("IF('From Order'!$A1496=COLUMNS($A1496:D1515), LEFT(INDEX(FILTER(D$1:D1495, D$1:D1495&lt;&gt;""""),COUNTA(FILTER(D$1:D1495, D$1:D1495&lt;&gt;""""))), LEN(INDEX(FILTER(D$1:D1495, D$1:D1495&lt;&gt;""""),COUNTA(FILTER(D$1:D1495, D$1:D1495&lt;&gt;""""))))-1), IF('To Order'!$A1496=COL"&amp;"UMNS($A1496:D1515), D1495&amp;RIGHT(INDIRECT(ADDRESS(ROW(D1496)-1, 'From Order'!$A1496)), 1), D1495))"),"CGZCSFHBG")</f>
        <v>CGZCSFHBG</v>
      </c>
      <c r="E1496" s="2" t="str">
        <f>IFERROR(__xludf.DUMMYFUNCTION("IF('From Order'!$A1496=COLUMNS($A1496:E1515), LEFT(INDEX(FILTER(E$1:E1495, E$1:E1495&lt;&gt;""""),COUNTA(FILTER(E$1:E1495, E$1:E1495&lt;&gt;""""))), LEN(INDEX(FILTER(E$1:E1495, E$1:E1495&lt;&gt;""""),COUNTA(FILTER(E$1:E1495, E$1:E1495&lt;&gt;""""))))-1), IF('To Order'!$A1496=COL"&amp;"UMNS($A1496:E1515), E1495&amp;RIGHT(INDIRECT(ADDRESS(ROW(E1496)-1, 'From Order'!$A1496)), 1), E1495))"),"")</f>
        <v/>
      </c>
      <c r="F1496" s="2" t="str">
        <f>IFERROR(__xludf.DUMMYFUNCTION("IF('From Order'!$A1496=COLUMNS($A1496:F1515), LEFT(INDEX(FILTER(F$1:F1495, F$1:F1495&lt;&gt;""""),COUNTA(FILTER(F$1:F1495, F$1:F1495&lt;&gt;""""))), LEN(INDEX(FILTER(F$1:F1495, F$1:F1495&lt;&gt;""""),COUNTA(FILTER(F$1:F1495, F$1:F1495&lt;&gt;""""))))-1), IF('To Order'!$A1496=COL"&amp;"UMNS($A1496:F1515), F1495&amp;RIGHT(INDIRECT(ADDRESS(ROW(F1496)-1, 'From Order'!$A1496)), 1), F1495))"),"ZRLBWLDDTSSTVCD")</f>
        <v>ZRLBWLDDTSSTVCD</v>
      </c>
      <c r="G1496" s="2" t="str">
        <f>IFERROR(__xludf.DUMMYFUNCTION("IF('From Order'!$A1496=COLUMNS($A1496:G1515), LEFT(INDEX(FILTER(G$1:G1495, G$1:G1495&lt;&gt;""""),COUNTA(FILTER(G$1:G1495, G$1:G1495&lt;&gt;""""))), LEN(INDEX(FILTER(G$1:G1495, G$1:G1495&lt;&gt;""""),COUNTA(FILTER(G$1:G1495, G$1:G1495&lt;&gt;""""))))-1), IF('To Order'!$A1496=COL"&amp;"UMNS($A1496:G1515), G1495&amp;RIGHT(INDIRECT(ADDRESS(ROW(G1496)-1, 'From Order'!$A1496)), 1), G1495))"),"WRMBVTTJ")</f>
        <v>WRMBVTTJ</v>
      </c>
      <c r="H1496" s="2" t="str">
        <f>IFERROR(__xludf.DUMMYFUNCTION("IF('From Order'!$A1496=COLUMNS($A1496:H1515), LEFT(INDEX(FILTER(H$1:H1495, H$1:H1495&lt;&gt;""""),COUNTA(FILTER(H$1:H1495, H$1:H1495&lt;&gt;""""))), LEN(INDEX(FILTER(H$1:H1495, H$1:H1495&lt;&gt;""""),COUNTA(FILTER(H$1:H1495, H$1:H1495&lt;&gt;""""))))-1), IF('To Order'!$A1496=COL"&amp;"UMNS($A1496:H1515), H1495&amp;RIGHT(INDIRECT(ADDRESS(ROW(H1496)-1, 'From Order'!$A1496)), 1), H1495))"),"FBPRRSD")</f>
        <v>FBPRRSD</v>
      </c>
      <c r="I1496" s="2" t="str">
        <f>IFERROR(__xludf.DUMMYFUNCTION("IF('From Order'!$A1496=COLUMNS($A1496:I1515), LEFT(INDEX(FILTER(I$1:I1495, I$1:I1495&lt;&gt;""""),COUNTA(FILTER(I$1:I1495, I$1:I1495&lt;&gt;""""))), LEN(INDEX(FILTER(I$1:I1495, I$1:I1495&lt;&gt;""""),COUNTA(FILTER(I$1:I1495, I$1:I1495&lt;&gt;""""))))-1), IF('To Order'!$A1496=COL"&amp;"UMNS($A1496:I1515), I1495&amp;RIGHT(INDIRECT(ADDRESS(ROW(I1496)-1, 'From Order'!$A1496)), 1), I1495))"),"")</f>
        <v/>
      </c>
    </row>
    <row r="1497">
      <c r="A1497" s="2" t="str">
        <f>IFERROR(__xludf.DUMMYFUNCTION("IF('From Order'!$A1497=COLUMNS($A1497:A1516), LEFT(INDEX(FILTER(A$1:A1496, A$1:A1496&lt;&gt;""""),COUNTA(FILTER(A$1:A1496, A$1:A1496&lt;&gt;""""))), LEN(INDEX(FILTER(A$1:A1496, A$1:A1496&lt;&gt;""""),COUNTA(FILTER(A$1:A1496, A$1:A1496&lt;&gt;""""))))-1), IF('To Order'!$A1497=COL"&amp;"UMNS($A1497:A1516), A1496&amp;RIGHT(INDIRECT(ADDRESS(ROW(A1497)-1, 'From Order'!$A1497)), 1), A1496))"),"MDJ")</f>
        <v>MDJ</v>
      </c>
      <c r="B1497" s="2" t="str">
        <f>IFERROR(__xludf.DUMMYFUNCTION("IF('From Order'!$A1497=COLUMNS($A1497:B1516), LEFT(INDEX(FILTER(B$1:B1496, B$1:B1496&lt;&gt;""""),COUNTA(FILTER(B$1:B1496, B$1:B1496&lt;&gt;""""))), LEN(INDEX(FILTER(B$1:B1496, B$1:B1496&lt;&gt;""""),COUNTA(FILTER(B$1:B1496, B$1:B1496&lt;&gt;""""))))-1), IF('To Order'!$A1497=COL"&amp;"UMNS($A1497:B1516), B1496&amp;RIGHT(INDIRECT(ADDRESS(ROW(B1497)-1, 'From Order'!$A1497)), 1), B1496))"),"")</f>
        <v/>
      </c>
      <c r="C1497" s="2" t="str">
        <f>IFERROR(__xludf.DUMMYFUNCTION("IF('From Order'!$A1497=COLUMNS($A1497:C1516), LEFT(INDEX(FILTER(C$1:C1496, C$1:C1496&lt;&gt;""""),COUNTA(FILTER(C$1:C1496, C$1:C1496&lt;&gt;""""))), LEN(INDEX(FILTER(C$1:C1496, C$1:C1496&lt;&gt;""""),COUNTA(FILTER(C$1:C1496, C$1:C1496&lt;&gt;""""))))-1), IF('To Order'!$A1497=COL"&amp;"UMNS($A1497:C1516), C1496&amp;RIGHT(INDIRECT(ADDRESS(ROW(C1497)-1, 'From Order'!$A1497)), 1), C1496))"),"TQVQJPPLDTMZH")</f>
        <v>TQVQJPPLDTMZH</v>
      </c>
      <c r="D1497" s="2" t="str">
        <f>IFERROR(__xludf.DUMMYFUNCTION("IF('From Order'!$A1497=COLUMNS($A1497:D1516), LEFT(INDEX(FILTER(D$1:D1496, D$1:D1496&lt;&gt;""""),COUNTA(FILTER(D$1:D1496, D$1:D1496&lt;&gt;""""))), LEN(INDEX(FILTER(D$1:D1496, D$1:D1496&lt;&gt;""""),COUNTA(FILTER(D$1:D1496, D$1:D1496&lt;&gt;""""))))-1), IF('To Order'!$A1497=COL"&amp;"UMNS($A1497:D1516), D1496&amp;RIGHT(INDIRECT(ADDRESS(ROW(D1497)-1, 'From Order'!$A1497)), 1), D1496))"),"CGZCSFHBG")</f>
        <v>CGZCSFHBG</v>
      </c>
      <c r="E1497" s="2" t="str">
        <f>IFERROR(__xludf.DUMMYFUNCTION("IF('From Order'!$A1497=COLUMNS($A1497:E1516), LEFT(INDEX(FILTER(E$1:E1496, E$1:E1496&lt;&gt;""""),COUNTA(FILTER(E$1:E1496, E$1:E1496&lt;&gt;""""))), LEN(INDEX(FILTER(E$1:E1496, E$1:E1496&lt;&gt;""""),COUNTA(FILTER(E$1:E1496, E$1:E1496&lt;&gt;""""))))-1), IF('To Order'!$A1497=COL"&amp;"UMNS($A1497:E1516), E1496&amp;RIGHT(INDIRECT(ADDRESS(ROW(E1497)-1, 'From Order'!$A1497)), 1), E1496))"),"")</f>
        <v/>
      </c>
      <c r="F1497" s="2" t="str">
        <f>IFERROR(__xludf.DUMMYFUNCTION("IF('From Order'!$A1497=COLUMNS($A1497:F1516), LEFT(INDEX(FILTER(F$1:F1496, F$1:F1496&lt;&gt;""""),COUNTA(FILTER(F$1:F1496, F$1:F1496&lt;&gt;""""))), LEN(INDEX(FILTER(F$1:F1496, F$1:F1496&lt;&gt;""""),COUNTA(FILTER(F$1:F1496, F$1:F1496&lt;&gt;""""))))-1), IF('To Order'!$A1497=COL"&amp;"UMNS($A1497:F1516), F1496&amp;RIGHT(INDIRECT(ADDRESS(ROW(F1497)-1, 'From Order'!$A1497)), 1), F1496))"),"ZRLBWLDDTSSTVCDR")</f>
        <v>ZRLBWLDDTSSTVCDR</v>
      </c>
      <c r="G1497" s="2" t="str">
        <f>IFERROR(__xludf.DUMMYFUNCTION("IF('From Order'!$A1497=COLUMNS($A1497:G1516), LEFT(INDEX(FILTER(G$1:G1496, G$1:G1496&lt;&gt;""""),COUNTA(FILTER(G$1:G1496, G$1:G1496&lt;&gt;""""))), LEN(INDEX(FILTER(G$1:G1496, G$1:G1496&lt;&gt;""""),COUNTA(FILTER(G$1:G1496, G$1:G1496&lt;&gt;""""))))-1), IF('To Order'!$A1497=COL"&amp;"UMNS($A1497:G1516), G1496&amp;RIGHT(INDIRECT(ADDRESS(ROW(G1497)-1, 'From Order'!$A1497)), 1), G1496))"),"WRMBVTTJ")</f>
        <v>WRMBVTTJ</v>
      </c>
      <c r="H1497" s="2" t="str">
        <f>IFERROR(__xludf.DUMMYFUNCTION("IF('From Order'!$A1497=COLUMNS($A1497:H1516), LEFT(INDEX(FILTER(H$1:H1496, H$1:H1496&lt;&gt;""""),COUNTA(FILTER(H$1:H1496, H$1:H1496&lt;&gt;""""))), LEN(INDEX(FILTER(H$1:H1496, H$1:H1496&lt;&gt;""""),COUNTA(FILTER(H$1:H1496, H$1:H1496&lt;&gt;""""))))-1), IF('To Order'!$A1497=COL"&amp;"UMNS($A1497:H1516), H1496&amp;RIGHT(INDIRECT(ADDRESS(ROW(H1497)-1, 'From Order'!$A1497)), 1), H1496))"),"FBPRRSD")</f>
        <v>FBPRRSD</v>
      </c>
      <c r="I1497" s="2" t="str">
        <f>IFERROR(__xludf.DUMMYFUNCTION("IF('From Order'!$A1497=COLUMNS($A1497:I1516), LEFT(INDEX(FILTER(I$1:I1496, I$1:I1496&lt;&gt;""""),COUNTA(FILTER(I$1:I1496, I$1:I1496&lt;&gt;""""))), LEN(INDEX(FILTER(I$1:I1496, I$1:I1496&lt;&gt;""""),COUNTA(FILTER(I$1:I1496, I$1:I1496&lt;&gt;""""))))-1), IF('To Order'!$A1497=COL"&amp;"UMNS($A1497:I1516), I1496&amp;RIGHT(INDIRECT(ADDRESS(ROW(I1497)-1, 'From Order'!$A1497)), 1), I1496))"),"")</f>
        <v/>
      </c>
    </row>
    <row r="1498">
      <c r="A1498" s="2" t="str">
        <f>IFERROR(__xludf.DUMMYFUNCTION("IF('From Order'!$A1498=COLUMNS($A1498:A1517), LEFT(INDEX(FILTER(A$1:A1497, A$1:A1497&lt;&gt;""""),COUNTA(FILTER(A$1:A1497, A$1:A1497&lt;&gt;""""))), LEN(INDEX(FILTER(A$1:A1497, A$1:A1497&lt;&gt;""""),COUNTA(FILTER(A$1:A1497, A$1:A1497&lt;&gt;""""))))-1), IF('To Order'!$A1498=COL"&amp;"UMNS($A1498:A1517), A1497&amp;RIGHT(INDIRECT(ADDRESS(ROW(A1498)-1, 'From Order'!$A1498)), 1), A1497))"),"MDJ")</f>
        <v>MDJ</v>
      </c>
      <c r="B1498" s="2" t="str">
        <f>IFERROR(__xludf.DUMMYFUNCTION("IF('From Order'!$A1498=COLUMNS($A1498:B1517), LEFT(INDEX(FILTER(B$1:B1497, B$1:B1497&lt;&gt;""""),COUNTA(FILTER(B$1:B1497, B$1:B1497&lt;&gt;""""))), LEN(INDEX(FILTER(B$1:B1497, B$1:B1497&lt;&gt;""""),COUNTA(FILTER(B$1:B1497, B$1:B1497&lt;&gt;""""))))-1), IF('To Order'!$A1498=COL"&amp;"UMNS($A1498:B1517), B1497&amp;RIGHT(INDIRECT(ADDRESS(ROW(B1498)-1, 'From Order'!$A1498)), 1), B1497))"),"")</f>
        <v/>
      </c>
      <c r="C1498" s="2" t="str">
        <f>IFERROR(__xludf.DUMMYFUNCTION("IF('From Order'!$A1498=COLUMNS($A1498:C1517), LEFT(INDEX(FILTER(C$1:C1497, C$1:C1497&lt;&gt;""""),COUNTA(FILTER(C$1:C1497, C$1:C1497&lt;&gt;""""))), LEN(INDEX(FILTER(C$1:C1497, C$1:C1497&lt;&gt;""""),COUNTA(FILTER(C$1:C1497, C$1:C1497&lt;&gt;""""))))-1), IF('To Order'!$A1498=COL"&amp;"UMNS($A1498:C1517), C1497&amp;RIGHT(INDIRECT(ADDRESS(ROW(C1498)-1, 'From Order'!$A1498)), 1), C1497))"),"TQVQJPPLDTMZ")</f>
        <v>TQVQJPPLDTMZ</v>
      </c>
      <c r="D1498" s="2" t="str">
        <f>IFERROR(__xludf.DUMMYFUNCTION("IF('From Order'!$A1498=COLUMNS($A1498:D1517), LEFT(INDEX(FILTER(D$1:D1497, D$1:D1497&lt;&gt;""""),COUNTA(FILTER(D$1:D1497, D$1:D1497&lt;&gt;""""))), LEN(INDEX(FILTER(D$1:D1497, D$1:D1497&lt;&gt;""""),COUNTA(FILTER(D$1:D1497, D$1:D1497&lt;&gt;""""))))-1), IF('To Order'!$A1498=COL"&amp;"UMNS($A1498:D1517), D1497&amp;RIGHT(INDIRECT(ADDRESS(ROW(D1498)-1, 'From Order'!$A1498)), 1), D1497))"),"CGZCSFHBG")</f>
        <v>CGZCSFHBG</v>
      </c>
      <c r="E1498" s="2" t="str">
        <f>IFERROR(__xludf.DUMMYFUNCTION("IF('From Order'!$A1498=COLUMNS($A1498:E1517), LEFT(INDEX(FILTER(E$1:E1497, E$1:E1497&lt;&gt;""""),COUNTA(FILTER(E$1:E1497, E$1:E1497&lt;&gt;""""))), LEN(INDEX(FILTER(E$1:E1497, E$1:E1497&lt;&gt;""""),COUNTA(FILTER(E$1:E1497, E$1:E1497&lt;&gt;""""))))-1), IF('To Order'!$A1498=COL"&amp;"UMNS($A1498:E1517), E1497&amp;RIGHT(INDIRECT(ADDRESS(ROW(E1498)-1, 'From Order'!$A1498)), 1), E1497))"),"")</f>
        <v/>
      </c>
      <c r="F1498" s="2" t="str">
        <f>IFERROR(__xludf.DUMMYFUNCTION("IF('From Order'!$A1498=COLUMNS($A1498:F1517), LEFT(INDEX(FILTER(F$1:F1497, F$1:F1497&lt;&gt;""""),COUNTA(FILTER(F$1:F1497, F$1:F1497&lt;&gt;""""))), LEN(INDEX(FILTER(F$1:F1497, F$1:F1497&lt;&gt;""""),COUNTA(FILTER(F$1:F1497, F$1:F1497&lt;&gt;""""))))-1), IF('To Order'!$A1498=COL"&amp;"UMNS($A1498:F1517), F1497&amp;RIGHT(INDIRECT(ADDRESS(ROW(F1498)-1, 'From Order'!$A1498)), 1), F1497))"),"ZRLBWLDDTSSTVCDRH")</f>
        <v>ZRLBWLDDTSSTVCDRH</v>
      </c>
      <c r="G1498" s="2" t="str">
        <f>IFERROR(__xludf.DUMMYFUNCTION("IF('From Order'!$A1498=COLUMNS($A1498:G1517), LEFT(INDEX(FILTER(G$1:G1497, G$1:G1497&lt;&gt;""""),COUNTA(FILTER(G$1:G1497, G$1:G1497&lt;&gt;""""))), LEN(INDEX(FILTER(G$1:G1497, G$1:G1497&lt;&gt;""""),COUNTA(FILTER(G$1:G1497, G$1:G1497&lt;&gt;""""))))-1), IF('To Order'!$A1498=COL"&amp;"UMNS($A1498:G1517), G1497&amp;RIGHT(INDIRECT(ADDRESS(ROW(G1498)-1, 'From Order'!$A1498)), 1), G1497))"),"WRMBVTTJ")</f>
        <v>WRMBVTTJ</v>
      </c>
      <c r="H1498" s="2" t="str">
        <f>IFERROR(__xludf.DUMMYFUNCTION("IF('From Order'!$A1498=COLUMNS($A1498:H1517), LEFT(INDEX(FILTER(H$1:H1497, H$1:H1497&lt;&gt;""""),COUNTA(FILTER(H$1:H1497, H$1:H1497&lt;&gt;""""))), LEN(INDEX(FILTER(H$1:H1497, H$1:H1497&lt;&gt;""""),COUNTA(FILTER(H$1:H1497, H$1:H1497&lt;&gt;""""))))-1), IF('To Order'!$A1498=COL"&amp;"UMNS($A1498:H1517), H1497&amp;RIGHT(INDIRECT(ADDRESS(ROW(H1498)-1, 'From Order'!$A1498)), 1), H1497))"),"FBPRRSD")</f>
        <v>FBPRRSD</v>
      </c>
      <c r="I1498" s="2" t="str">
        <f>IFERROR(__xludf.DUMMYFUNCTION("IF('From Order'!$A1498=COLUMNS($A1498:I1517), LEFT(INDEX(FILTER(I$1:I1497, I$1:I1497&lt;&gt;""""),COUNTA(FILTER(I$1:I1497, I$1:I1497&lt;&gt;""""))), LEN(INDEX(FILTER(I$1:I1497, I$1:I1497&lt;&gt;""""),COUNTA(FILTER(I$1:I1497, I$1:I1497&lt;&gt;""""))))-1), IF('To Order'!$A1498=COL"&amp;"UMNS($A1498:I1517), I1497&amp;RIGHT(INDIRECT(ADDRESS(ROW(I1498)-1, 'From Order'!$A1498)), 1), I1497))"),"")</f>
        <v/>
      </c>
    </row>
    <row r="1499">
      <c r="A1499" s="2" t="str">
        <f>IFERROR(__xludf.DUMMYFUNCTION("IF('From Order'!$A1499=COLUMNS($A1499:A1518), LEFT(INDEX(FILTER(A$1:A1498, A$1:A1498&lt;&gt;""""),COUNTA(FILTER(A$1:A1498, A$1:A1498&lt;&gt;""""))), LEN(INDEX(FILTER(A$1:A1498, A$1:A1498&lt;&gt;""""),COUNTA(FILTER(A$1:A1498, A$1:A1498&lt;&gt;""""))))-1), IF('To Order'!$A1499=COL"&amp;"UMNS($A1499:A1518), A1498&amp;RIGHT(INDIRECT(ADDRESS(ROW(A1499)-1, 'From Order'!$A1499)), 1), A1498))"),"MDJ")</f>
        <v>MDJ</v>
      </c>
      <c r="B1499" s="2" t="str">
        <f>IFERROR(__xludf.DUMMYFUNCTION("IF('From Order'!$A1499=COLUMNS($A1499:B1518), LEFT(INDEX(FILTER(B$1:B1498, B$1:B1498&lt;&gt;""""),COUNTA(FILTER(B$1:B1498, B$1:B1498&lt;&gt;""""))), LEN(INDEX(FILTER(B$1:B1498, B$1:B1498&lt;&gt;""""),COUNTA(FILTER(B$1:B1498, B$1:B1498&lt;&gt;""""))))-1), IF('To Order'!$A1499=COL"&amp;"UMNS($A1499:B1518), B1498&amp;RIGHT(INDIRECT(ADDRESS(ROW(B1499)-1, 'From Order'!$A1499)), 1), B1498))"),"")</f>
        <v/>
      </c>
      <c r="C1499" s="2" t="str">
        <f>IFERROR(__xludf.DUMMYFUNCTION("IF('From Order'!$A1499=COLUMNS($A1499:C1518), LEFT(INDEX(FILTER(C$1:C1498, C$1:C1498&lt;&gt;""""),COUNTA(FILTER(C$1:C1498, C$1:C1498&lt;&gt;""""))), LEN(INDEX(FILTER(C$1:C1498, C$1:C1498&lt;&gt;""""),COUNTA(FILTER(C$1:C1498, C$1:C1498&lt;&gt;""""))))-1), IF('To Order'!$A1499=COL"&amp;"UMNS($A1499:C1518), C1498&amp;RIGHT(INDIRECT(ADDRESS(ROW(C1499)-1, 'From Order'!$A1499)), 1), C1498))"),"TQVQJPPLDTM")</f>
        <v>TQVQJPPLDTM</v>
      </c>
      <c r="D1499" s="2" t="str">
        <f>IFERROR(__xludf.DUMMYFUNCTION("IF('From Order'!$A1499=COLUMNS($A1499:D1518), LEFT(INDEX(FILTER(D$1:D1498, D$1:D1498&lt;&gt;""""),COUNTA(FILTER(D$1:D1498, D$1:D1498&lt;&gt;""""))), LEN(INDEX(FILTER(D$1:D1498, D$1:D1498&lt;&gt;""""),COUNTA(FILTER(D$1:D1498, D$1:D1498&lt;&gt;""""))))-1), IF('To Order'!$A1499=COL"&amp;"UMNS($A1499:D1518), D1498&amp;RIGHT(INDIRECT(ADDRESS(ROW(D1499)-1, 'From Order'!$A1499)), 1), D1498))"),"CGZCSFHBG")</f>
        <v>CGZCSFHBG</v>
      </c>
      <c r="E1499" s="2" t="str">
        <f>IFERROR(__xludf.DUMMYFUNCTION("IF('From Order'!$A1499=COLUMNS($A1499:E1518), LEFT(INDEX(FILTER(E$1:E1498, E$1:E1498&lt;&gt;""""),COUNTA(FILTER(E$1:E1498, E$1:E1498&lt;&gt;""""))), LEN(INDEX(FILTER(E$1:E1498, E$1:E1498&lt;&gt;""""),COUNTA(FILTER(E$1:E1498, E$1:E1498&lt;&gt;""""))))-1), IF('To Order'!$A1499=COL"&amp;"UMNS($A1499:E1518), E1498&amp;RIGHT(INDIRECT(ADDRESS(ROW(E1499)-1, 'From Order'!$A1499)), 1), E1498))"),"")</f>
        <v/>
      </c>
      <c r="F1499" s="2" t="str">
        <f>IFERROR(__xludf.DUMMYFUNCTION("IF('From Order'!$A1499=COLUMNS($A1499:F1518), LEFT(INDEX(FILTER(F$1:F1498, F$1:F1498&lt;&gt;""""),COUNTA(FILTER(F$1:F1498, F$1:F1498&lt;&gt;""""))), LEN(INDEX(FILTER(F$1:F1498, F$1:F1498&lt;&gt;""""),COUNTA(FILTER(F$1:F1498, F$1:F1498&lt;&gt;""""))))-1), IF('To Order'!$A1499=COL"&amp;"UMNS($A1499:F1518), F1498&amp;RIGHT(INDIRECT(ADDRESS(ROW(F1499)-1, 'From Order'!$A1499)), 1), F1498))"),"ZRLBWLDDTSSTVCDRHZ")</f>
        <v>ZRLBWLDDTSSTVCDRHZ</v>
      </c>
      <c r="G1499" s="2" t="str">
        <f>IFERROR(__xludf.DUMMYFUNCTION("IF('From Order'!$A1499=COLUMNS($A1499:G1518), LEFT(INDEX(FILTER(G$1:G1498, G$1:G1498&lt;&gt;""""),COUNTA(FILTER(G$1:G1498, G$1:G1498&lt;&gt;""""))), LEN(INDEX(FILTER(G$1:G1498, G$1:G1498&lt;&gt;""""),COUNTA(FILTER(G$1:G1498, G$1:G1498&lt;&gt;""""))))-1), IF('To Order'!$A1499=COL"&amp;"UMNS($A1499:G1518), G1498&amp;RIGHT(INDIRECT(ADDRESS(ROW(G1499)-1, 'From Order'!$A1499)), 1), G1498))"),"WRMBVTTJ")</f>
        <v>WRMBVTTJ</v>
      </c>
      <c r="H1499" s="2" t="str">
        <f>IFERROR(__xludf.DUMMYFUNCTION("IF('From Order'!$A1499=COLUMNS($A1499:H1518), LEFT(INDEX(FILTER(H$1:H1498, H$1:H1498&lt;&gt;""""),COUNTA(FILTER(H$1:H1498, H$1:H1498&lt;&gt;""""))), LEN(INDEX(FILTER(H$1:H1498, H$1:H1498&lt;&gt;""""),COUNTA(FILTER(H$1:H1498, H$1:H1498&lt;&gt;""""))))-1), IF('To Order'!$A1499=COL"&amp;"UMNS($A1499:H1518), H1498&amp;RIGHT(INDIRECT(ADDRESS(ROW(H1499)-1, 'From Order'!$A1499)), 1), H1498))"),"FBPRRSD")</f>
        <v>FBPRRSD</v>
      </c>
      <c r="I1499" s="2" t="str">
        <f>IFERROR(__xludf.DUMMYFUNCTION("IF('From Order'!$A1499=COLUMNS($A1499:I1518), LEFT(INDEX(FILTER(I$1:I1498, I$1:I1498&lt;&gt;""""),COUNTA(FILTER(I$1:I1498, I$1:I1498&lt;&gt;""""))), LEN(INDEX(FILTER(I$1:I1498, I$1:I1498&lt;&gt;""""),COUNTA(FILTER(I$1:I1498, I$1:I1498&lt;&gt;""""))))-1), IF('To Order'!$A1499=COL"&amp;"UMNS($A1499:I1518), I1498&amp;RIGHT(INDIRECT(ADDRESS(ROW(I1499)-1, 'From Order'!$A1499)), 1), I1498))"),"")</f>
        <v/>
      </c>
    </row>
    <row r="1500">
      <c r="A1500" s="2" t="str">
        <f>IFERROR(__xludf.DUMMYFUNCTION("IF('From Order'!$A1500=COLUMNS($A1500:A1519), LEFT(INDEX(FILTER(A$1:A1499, A$1:A1499&lt;&gt;""""),COUNTA(FILTER(A$1:A1499, A$1:A1499&lt;&gt;""""))), LEN(INDEX(FILTER(A$1:A1499, A$1:A1499&lt;&gt;""""),COUNTA(FILTER(A$1:A1499, A$1:A1499&lt;&gt;""""))))-1), IF('To Order'!$A1500=COL"&amp;"UMNS($A1500:A1519), A1499&amp;RIGHT(INDIRECT(ADDRESS(ROW(A1500)-1, 'From Order'!$A1500)), 1), A1499))"),"MDJ")</f>
        <v>MDJ</v>
      </c>
      <c r="B1500" s="2" t="str">
        <f>IFERROR(__xludf.DUMMYFUNCTION("IF('From Order'!$A1500=COLUMNS($A1500:B1519), LEFT(INDEX(FILTER(B$1:B1499, B$1:B1499&lt;&gt;""""),COUNTA(FILTER(B$1:B1499, B$1:B1499&lt;&gt;""""))), LEN(INDEX(FILTER(B$1:B1499, B$1:B1499&lt;&gt;""""),COUNTA(FILTER(B$1:B1499, B$1:B1499&lt;&gt;""""))))-1), IF('To Order'!$A1500=COL"&amp;"UMNS($A1500:B1519), B1499&amp;RIGHT(INDIRECT(ADDRESS(ROW(B1500)-1, 'From Order'!$A1500)), 1), B1499))"),"")</f>
        <v/>
      </c>
      <c r="C1500" s="2" t="str">
        <f>IFERROR(__xludf.DUMMYFUNCTION("IF('From Order'!$A1500=COLUMNS($A1500:C1519), LEFT(INDEX(FILTER(C$1:C1499, C$1:C1499&lt;&gt;""""),COUNTA(FILTER(C$1:C1499, C$1:C1499&lt;&gt;""""))), LEN(INDEX(FILTER(C$1:C1499, C$1:C1499&lt;&gt;""""),COUNTA(FILTER(C$1:C1499, C$1:C1499&lt;&gt;""""))))-1), IF('To Order'!$A1500=COL"&amp;"UMNS($A1500:C1519), C1499&amp;RIGHT(INDIRECT(ADDRESS(ROW(C1500)-1, 'From Order'!$A1500)), 1), C1499))"),"TQVQJPPLDT")</f>
        <v>TQVQJPPLDT</v>
      </c>
      <c r="D1500" s="2" t="str">
        <f>IFERROR(__xludf.DUMMYFUNCTION("IF('From Order'!$A1500=COLUMNS($A1500:D1519), LEFT(INDEX(FILTER(D$1:D1499, D$1:D1499&lt;&gt;""""),COUNTA(FILTER(D$1:D1499, D$1:D1499&lt;&gt;""""))), LEN(INDEX(FILTER(D$1:D1499, D$1:D1499&lt;&gt;""""),COUNTA(FILTER(D$1:D1499, D$1:D1499&lt;&gt;""""))))-1), IF('To Order'!$A1500=COL"&amp;"UMNS($A1500:D1519), D1499&amp;RIGHT(INDIRECT(ADDRESS(ROW(D1500)-1, 'From Order'!$A1500)), 1), D1499))"),"CGZCSFHBG")</f>
        <v>CGZCSFHBG</v>
      </c>
      <c r="E1500" s="2" t="str">
        <f>IFERROR(__xludf.DUMMYFUNCTION("IF('From Order'!$A1500=COLUMNS($A1500:E1519), LEFT(INDEX(FILTER(E$1:E1499, E$1:E1499&lt;&gt;""""),COUNTA(FILTER(E$1:E1499, E$1:E1499&lt;&gt;""""))), LEN(INDEX(FILTER(E$1:E1499, E$1:E1499&lt;&gt;""""),COUNTA(FILTER(E$1:E1499, E$1:E1499&lt;&gt;""""))))-1), IF('To Order'!$A1500=COL"&amp;"UMNS($A1500:E1519), E1499&amp;RIGHT(INDIRECT(ADDRESS(ROW(E1500)-1, 'From Order'!$A1500)), 1), E1499))"),"")</f>
        <v/>
      </c>
      <c r="F1500" s="2" t="str">
        <f>IFERROR(__xludf.DUMMYFUNCTION("IF('From Order'!$A1500=COLUMNS($A1500:F1519), LEFT(INDEX(FILTER(F$1:F1499, F$1:F1499&lt;&gt;""""),COUNTA(FILTER(F$1:F1499, F$1:F1499&lt;&gt;""""))), LEN(INDEX(FILTER(F$1:F1499, F$1:F1499&lt;&gt;""""),COUNTA(FILTER(F$1:F1499, F$1:F1499&lt;&gt;""""))))-1), IF('To Order'!$A1500=COL"&amp;"UMNS($A1500:F1519), F1499&amp;RIGHT(INDIRECT(ADDRESS(ROW(F1500)-1, 'From Order'!$A1500)), 1), F1499))"),"ZRLBWLDDTSSTVCDRHZM")</f>
        <v>ZRLBWLDDTSSTVCDRHZM</v>
      </c>
      <c r="G1500" s="2" t="str">
        <f>IFERROR(__xludf.DUMMYFUNCTION("IF('From Order'!$A1500=COLUMNS($A1500:G1519), LEFT(INDEX(FILTER(G$1:G1499, G$1:G1499&lt;&gt;""""),COUNTA(FILTER(G$1:G1499, G$1:G1499&lt;&gt;""""))), LEN(INDEX(FILTER(G$1:G1499, G$1:G1499&lt;&gt;""""),COUNTA(FILTER(G$1:G1499, G$1:G1499&lt;&gt;""""))))-1), IF('To Order'!$A1500=COL"&amp;"UMNS($A1500:G1519), G1499&amp;RIGHT(INDIRECT(ADDRESS(ROW(G1500)-1, 'From Order'!$A1500)), 1), G1499))"),"WRMBVTTJ")</f>
        <v>WRMBVTTJ</v>
      </c>
      <c r="H1500" s="2" t="str">
        <f>IFERROR(__xludf.DUMMYFUNCTION("IF('From Order'!$A1500=COLUMNS($A1500:H1519), LEFT(INDEX(FILTER(H$1:H1499, H$1:H1499&lt;&gt;""""),COUNTA(FILTER(H$1:H1499, H$1:H1499&lt;&gt;""""))), LEN(INDEX(FILTER(H$1:H1499, H$1:H1499&lt;&gt;""""),COUNTA(FILTER(H$1:H1499, H$1:H1499&lt;&gt;""""))))-1), IF('To Order'!$A1500=COL"&amp;"UMNS($A1500:H1519), H1499&amp;RIGHT(INDIRECT(ADDRESS(ROW(H1500)-1, 'From Order'!$A1500)), 1), H1499))"),"FBPRRSD")</f>
        <v>FBPRRSD</v>
      </c>
      <c r="I1500" s="2" t="str">
        <f>IFERROR(__xludf.DUMMYFUNCTION("IF('From Order'!$A1500=COLUMNS($A1500:I1519), LEFT(INDEX(FILTER(I$1:I1499, I$1:I1499&lt;&gt;""""),COUNTA(FILTER(I$1:I1499, I$1:I1499&lt;&gt;""""))), LEN(INDEX(FILTER(I$1:I1499, I$1:I1499&lt;&gt;""""),COUNTA(FILTER(I$1:I1499, I$1:I1499&lt;&gt;""""))))-1), IF('To Order'!$A1500=COL"&amp;"UMNS($A1500:I1519), I1499&amp;RIGHT(INDIRECT(ADDRESS(ROW(I1500)-1, 'From Order'!$A1500)), 1), I1499))"),"")</f>
        <v/>
      </c>
    </row>
    <row r="1501">
      <c r="A1501" s="2" t="str">
        <f>IFERROR(__xludf.DUMMYFUNCTION("IF('From Order'!$A1501=COLUMNS($A1501:A1520), LEFT(INDEX(FILTER(A$1:A1500, A$1:A1500&lt;&gt;""""),COUNTA(FILTER(A$1:A1500, A$1:A1500&lt;&gt;""""))), LEN(INDEX(FILTER(A$1:A1500, A$1:A1500&lt;&gt;""""),COUNTA(FILTER(A$1:A1500, A$1:A1500&lt;&gt;""""))))-1), IF('To Order'!$A1501=COL"&amp;"UMNS($A1501:A1520), A1500&amp;RIGHT(INDIRECT(ADDRESS(ROW(A1501)-1, 'From Order'!$A1501)), 1), A1500))"),"MDJ")</f>
        <v>MDJ</v>
      </c>
      <c r="B1501" s="2" t="str">
        <f>IFERROR(__xludf.DUMMYFUNCTION("IF('From Order'!$A1501=COLUMNS($A1501:B1520), LEFT(INDEX(FILTER(B$1:B1500, B$1:B1500&lt;&gt;""""),COUNTA(FILTER(B$1:B1500, B$1:B1500&lt;&gt;""""))), LEN(INDEX(FILTER(B$1:B1500, B$1:B1500&lt;&gt;""""),COUNTA(FILTER(B$1:B1500, B$1:B1500&lt;&gt;""""))))-1), IF('To Order'!$A1501=COL"&amp;"UMNS($A1501:B1520), B1500&amp;RIGHT(INDIRECT(ADDRESS(ROW(B1501)-1, 'From Order'!$A1501)), 1), B1500))"),"")</f>
        <v/>
      </c>
      <c r="C1501" s="2" t="str">
        <f>IFERROR(__xludf.DUMMYFUNCTION("IF('From Order'!$A1501=COLUMNS($A1501:C1520), LEFT(INDEX(FILTER(C$1:C1500, C$1:C1500&lt;&gt;""""),COUNTA(FILTER(C$1:C1500, C$1:C1500&lt;&gt;""""))), LEN(INDEX(FILTER(C$1:C1500, C$1:C1500&lt;&gt;""""),COUNTA(FILTER(C$1:C1500, C$1:C1500&lt;&gt;""""))))-1), IF('To Order'!$A1501=COL"&amp;"UMNS($A1501:C1520), C1500&amp;RIGHT(INDIRECT(ADDRESS(ROW(C1501)-1, 'From Order'!$A1501)), 1), C1500))"),"TQVQJPPLD")</f>
        <v>TQVQJPPLD</v>
      </c>
      <c r="D1501" s="2" t="str">
        <f>IFERROR(__xludf.DUMMYFUNCTION("IF('From Order'!$A1501=COLUMNS($A1501:D1520), LEFT(INDEX(FILTER(D$1:D1500, D$1:D1500&lt;&gt;""""),COUNTA(FILTER(D$1:D1500, D$1:D1500&lt;&gt;""""))), LEN(INDEX(FILTER(D$1:D1500, D$1:D1500&lt;&gt;""""),COUNTA(FILTER(D$1:D1500, D$1:D1500&lt;&gt;""""))))-1), IF('To Order'!$A1501=COL"&amp;"UMNS($A1501:D1520), D1500&amp;RIGHT(INDIRECT(ADDRESS(ROW(D1501)-1, 'From Order'!$A1501)), 1), D1500))"),"CGZCSFHBG")</f>
        <v>CGZCSFHBG</v>
      </c>
      <c r="E1501" s="2" t="str">
        <f>IFERROR(__xludf.DUMMYFUNCTION("IF('From Order'!$A1501=COLUMNS($A1501:E1520), LEFT(INDEX(FILTER(E$1:E1500, E$1:E1500&lt;&gt;""""),COUNTA(FILTER(E$1:E1500, E$1:E1500&lt;&gt;""""))), LEN(INDEX(FILTER(E$1:E1500, E$1:E1500&lt;&gt;""""),COUNTA(FILTER(E$1:E1500, E$1:E1500&lt;&gt;""""))))-1), IF('To Order'!$A1501=COL"&amp;"UMNS($A1501:E1520), E1500&amp;RIGHT(INDIRECT(ADDRESS(ROW(E1501)-1, 'From Order'!$A1501)), 1), E1500))"),"")</f>
        <v/>
      </c>
      <c r="F1501" s="2" t="str">
        <f>IFERROR(__xludf.DUMMYFUNCTION("IF('From Order'!$A1501=COLUMNS($A1501:F1520), LEFT(INDEX(FILTER(F$1:F1500, F$1:F1500&lt;&gt;""""),COUNTA(FILTER(F$1:F1500, F$1:F1500&lt;&gt;""""))), LEN(INDEX(FILTER(F$1:F1500, F$1:F1500&lt;&gt;""""),COUNTA(FILTER(F$1:F1500, F$1:F1500&lt;&gt;""""))))-1), IF('To Order'!$A1501=COL"&amp;"UMNS($A1501:F1520), F1500&amp;RIGHT(INDIRECT(ADDRESS(ROW(F1501)-1, 'From Order'!$A1501)), 1), F1500))"),"ZRLBWLDDTSSTVCDRHZMT")</f>
        <v>ZRLBWLDDTSSTVCDRHZMT</v>
      </c>
      <c r="G1501" s="2" t="str">
        <f>IFERROR(__xludf.DUMMYFUNCTION("IF('From Order'!$A1501=COLUMNS($A1501:G1520), LEFT(INDEX(FILTER(G$1:G1500, G$1:G1500&lt;&gt;""""),COUNTA(FILTER(G$1:G1500, G$1:G1500&lt;&gt;""""))), LEN(INDEX(FILTER(G$1:G1500, G$1:G1500&lt;&gt;""""),COUNTA(FILTER(G$1:G1500, G$1:G1500&lt;&gt;""""))))-1), IF('To Order'!$A1501=COL"&amp;"UMNS($A1501:G1520), G1500&amp;RIGHT(INDIRECT(ADDRESS(ROW(G1501)-1, 'From Order'!$A1501)), 1), G1500))"),"WRMBVTTJ")</f>
        <v>WRMBVTTJ</v>
      </c>
      <c r="H1501" s="2" t="str">
        <f>IFERROR(__xludf.DUMMYFUNCTION("IF('From Order'!$A1501=COLUMNS($A1501:H1520), LEFT(INDEX(FILTER(H$1:H1500, H$1:H1500&lt;&gt;""""),COUNTA(FILTER(H$1:H1500, H$1:H1500&lt;&gt;""""))), LEN(INDEX(FILTER(H$1:H1500, H$1:H1500&lt;&gt;""""),COUNTA(FILTER(H$1:H1500, H$1:H1500&lt;&gt;""""))))-1), IF('To Order'!$A1501=COL"&amp;"UMNS($A1501:H1520), H1500&amp;RIGHT(INDIRECT(ADDRESS(ROW(H1501)-1, 'From Order'!$A1501)), 1), H1500))"),"FBPRRSD")</f>
        <v>FBPRRSD</v>
      </c>
      <c r="I1501" s="2" t="str">
        <f>IFERROR(__xludf.DUMMYFUNCTION("IF('From Order'!$A1501=COLUMNS($A1501:I1520), LEFT(INDEX(FILTER(I$1:I1500, I$1:I1500&lt;&gt;""""),COUNTA(FILTER(I$1:I1500, I$1:I1500&lt;&gt;""""))), LEN(INDEX(FILTER(I$1:I1500, I$1:I1500&lt;&gt;""""),COUNTA(FILTER(I$1:I1500, I$1:I1500&lt;&gt;""""))))-1), IF('To Order'!$A1501=COL"&amp;"UMNS($A1501:I1520), I1500&amp;RIGHT(INDIRECT(ADDRESS(ROW(I1501)-1, 'From Order'!$A1501)), 1), I1500))"),"")</f>
        <v/>
      </c>
    </row>
    <row r="1502">
      <c r="A1502" s="2" t="str">
        <f>IFERROR(__xludf.DUMMYFUNCTION("IF('From Order'!$A1502=COLUMNS($A1502:A1521), LEFT(INDEX(FILTER(A$1:A1501, A$1:A1501&lt;&gt;""""),COUNTA(FILTER(A$1:A1501, A$1:A1501&lt;&gt;""""))), LEN(INDEX(FILTER(A$1:A1501, A$1:A1501&lt;&gt;""""),COUNTA(FILTER(A$1:A1501, A$1:A1501&lt;&gt;""""))))-1), IF('To Order'!$A1502=COL"&amp;"UMNS($A1502:A1521), A1501&amp;RIGHT(INDIRECT(ADDRESS(ROW(A1502)-1, 'From Order'!$A1502)), 1), A1501))"),"MDJ")</f>
        <v>MDJ</v>
      </c>
      <c r="B1502" s="2" t="str">
        <f>IFERROR(__xludf.DUMMYFUNCTION("IF('From Order'!$A1502=COLUMNS($A1502:B1521), LEFT(INDEX(FILTER(B$1:B1501, B$1:B1501&lt;&gt;""""),COUNTA(FILTER(B$1:B1501, B$1:B1501&lt;&gt;""""))), LEN(INDEX(FILTER(B$1:B1501, B$1:B1501&lt;&gt;""""),COUNTA(FILTER(B$1:B1501, B$1:B1501&lt;&gt;""""))))-1), IF('To Order'!$A1502=COL"&amp;"UMNS($A1502:B1521), B1501&amp;RIGHT(INDIRECT(ADDRESS(ROW(B1502)-1, 'From Order'!$A1502)), 1), B1501))"),"")</f>
        <v/>
      </c>
      <c r="C1502" s="2" t="str">
        <f>IFERROR(__xludf.DUMMYFUNCTION("IF('From Order'!$A1502=COLUMNS($A1502:C1521), LEFT(INDEX(FILTER(C$1:C1501, C$1:C1501&lt;&gt;""""),COUNTA(FILTER(C$1:C1501, C$1:C1501&lt;&gt;""""))), LEN(INDEX(FILTER(C$1:C1501, C$1:C1501&lt;&gt;""""),COUNTA(FILTER(C$1:C1501, C$1:C1501&lt;&gt;""""))))-1), IF('To Order'!$A1502=COL"&amp;"UMNS($A1502:C1521), C1501&amp;RIGHT(INDIRECT(ADDRESS(ROW(C1502)-1, 'From Order'!$A1502)), 1), C1501))"),"TQVQJPPL")</f>
        <v>TQVQJPPL</v>
      </c>
      <c r="D1502" s="2" t="str">
        <f>IFERROR(__xludf.DUMMYFUNCTION("IF('From Order'!$A1502=COLUMNS($A1502:D1521), LEFT(INDEX(FILTER(D$1:D1501, D$1:D1501&lt;&gt;""""),COUNTA(FILTER(D$1:D1501, D$1:D1501&lt;&gt;""""))), LEN(INDEX(FILTER(D$1:D1501, D$1:D1501&lt;&gt;""""),COUNTA(FILTER(D$1:D1501, D$1:D1501&lt;&gt;""""))))-1), IF('To Order'!$A1502=COL"&amp;"UMNS($A1502:D1521), D1501&amp;RIGHT(INDIRECT(ADDRESS(ROW(D1502)-1, 'From Order'!$A1502)), 1), D1501))"),"CGZCSFHBG")</f>
        <v>CGZCSFHBG</v>
      </c>
      <c r="E1502" s="2" t="str">
        <f>IFERROR(__xludf.DUMMYFUNCTION("IF('From Order'!$A1502=COLUMNS($A1502:E1521), LEFT(INDEX(FILTER(E$1:E1501, E$1:E1501&lt;&gt;""""),COUNTA(FILTER(E$1:E1501, E$1:E1501&lt;&gt;""""))), LEN(INDEX(FILTER(E$1:E1501, E$1:E1501&lt;&gt;""""),COUNTA(FILTER(E$1:E1501, E$1:E1501&lt;&gt;""""))))-1), IF('To Order'!$A1502=COL"&amp;"UMNS($A1502:E1521), E1501&amp;RIGHT(INDIRECT(ADDRESS(ROW(E1502)-1, 'From Order'!$A1502)), 1), E1501))"),"")</f>
        <v/>
      </c>
      <c r="F1502" s="2" t="str">
        <f>IFERROR(__xludf.DUMMYFUNCTION("IF('From Order'!$A1502=COLUMNS($A1502:F1521), LEFT(INDEX(FILTER(F$1:F1501, F$1:F1501&lt;&gt;""""),COUNTA(FILTER(F$1:F1501, F$1:F1501&lt;&gt;""""))), LEN(INDEX(FILTER(F$1:F1501, F$1:F1501&lt;&gt;""""),COUNTA(FILTER(F$1:F1501, F$1:F1501&lt;&gt;""""))))-1), IF('To Order'!$A1502=COL"&amp;"UMNS($A1502:F1521), F1501&amp;RIGHT(INDIRECT(ADDRESS(ROW(F1502)-1, 'From Order'!$A1502)), 1), F1501))"),"ZRLBWLDDTSSTVCDRHZMTD")</f>
        <v>ZRLBWLDDTSSTVCDRHZMTD</v>
      </c>
      <c r="G1502" s="2" t="str">
        <f>IFERROR(__xludf.DUMMYFUNCTION("IF('From Order'!$A1502=COLUMNS($A1502:G1521), LEFT(INDEX(FILTER(G$1:G1501, G$1:G1501&lt;&gt;""""),COUNTA(FILTER(G$1:G1501, G$1:G1501&lt;&gt;""""))), LEN(INDEX(FILTER(G$1:G1501, G$1:G1501&lt;&gt;""""),COUNTA(FILTER(G$1:G1501, G$1:G1501&lt;&gt;""""))))-1), IF('To Order'!$A1502=COL"&amp;"UMNS($A1502:G1521), G1501&amp;RIGHT(INDIRECT(ADDRESS(ROW(G1502)-1, 'From Order'!$A1502)), 1), G1501))"),"WRMBVTTJ")</f>
        <v>WRMBVTTJ</v>
      </c>
      <c r="H1502" s="2" t="str">
        <f>IFERROR(__xludf.DUMMYFUNCTION("IF('From Order'!$A1502=COLUMNS($A1502:H1521), LEFT(INDEX(FILTER(H$1:H1501, H$1:H1501&lt;&gt;""""),COUNTA(FILTER(H$1:H1501, H$1:H1501&lt;&gt;""""))), LEN(INDEX(FILTER(H$1:H1501, H$1:H1501&lt;&gt;""""),COUNTA(FILTER(H$1:H1501, H$1:H1501&lt;&gt;""""))))-1), IF('To Order'!$A1502=COL"&amp;"UMNS($A1502:H1521), H1501&amp;RIGHT(INDIRECT(ADDRESS(ROW(H1502)-1, 'From Order'!$A1502)), 1), H1501))"),"FBPRRSD")</f>
        <v>FBPRRSD</v>
      </c>
      <c r="I1502" s="2" t="str">
        <f>IFERROR(__xludf.DUMMYFUNCTION("IF('From Order'!$A1502=COLUMNS($A1502:I1521), LEFT(INDEX(FILTER(I$1:I1501, I$1:I1501&lt;&gt;""""),COUNTA(FILTER(I$1:I1501, I$1:I1501&lt;&gt;""""))), LEN(INDEX(FILTER(I$1:I1501, I$1:I1501&lt;&gt;""""),COUNTA(FILTER(I$1:I1501, I$1:I1501&lt;&gt;""""))))-1), IF('To Order'!$A1502=COL"&amp;"UMNS($A1502:I1521), I1501&amp;RIGHT(INDIRECT(ADDRESS(ROW(I1502)-1, 'From Order'!$A1502)), 1), I1501))"),"")</f>
        <v/>
      </c>
    </row>
    <row r="1503">
      <c r="A1503" s="2" t="str">
        <f>IFERROR(__xludf.DUMMYFUNCTION("IF('From Order'!$A1503=COLUMNS($A1503:A1522), LEFT(INDEX(FILTER(A$1:A1502, A$1:A1502&lt;&gt;""""),COUNTA(FILTER(A$1:A1502, A$1:A1502&lt;&gt;""""))), LEN(INDEX(FILTER(A$1:A1502, A$1:A1502&lt;&gt;""""),COUNTA(FILTER(A$1:A1502, A$1:A1502&lt;&gt;""""))))-1), IF('To Order'!$A1503=COL"&amp;"UMNS($A1503:A1522), A1502&amp;RIGHT(INDIRECT(ADDRESS(ROW(A1503)-1, 'From Order'!$A1503)), 1), A1502))"),"MDJ")</f>
        <v>MDJ</v>
      </c>
      <c r="B1503" s="2" t="str">
        <f>IFERROR(__xludf.DUMMYFUNCTION("IF('From Order'!$A1503=COLUMNS($A1503:B1522), LEFT(INDEX(FILTER(B$1:B1502, B$1:B1502&lt;&gt;""""),COUNTA(FILTER(B$1:B1502, B$1:B1502&lt;&gt;""""))), LEN(INDEX(FILTER(B$1:B1502, B$1:B1502&lt;&gt;""""),COUNTA(FILTER(B$1:B1502, B$1:B1502&lt;&gt;""""))))-1), IF('To Order'!$A1503=COL"&amp;"UMNS($A1503:B1522), B1502&amp;RIGHT(INDIRECT(ADDRESS(ROW(B1503)-1, 'From Order'!$A1503)), 1), B1502))"),"")</f>
        <v/>
      </c>
      <c r="C1503" s="2" t="str">
        <f>IFERROR(__xludf.DUMMYFUNCTION("IF('From Order'!$A1503=COLUMNS($A1503:C1522), LEFT(INDEX(FILTER(C$1:C1502, C$1:C1502&lt;&gt;""""),COUNTA(FILTER(C$1:C1502, C$1:C1502&lt;&gt;""""))), LEN(INDEX(FILTER(C$1:C1502, C$1:C1502&lt;&gt;""""),COUNTA(FILTER(C$1:C1502, C$1:C1502&lt;&gt;""""))))-1), IF('To Order'!$A1503=COL"&amp;"UMNS($A1503:C1522), C1502&amp;RIGHT(INDIRECT(ADDRESS(ROW(C1503)-1, 'From Order'!$A1503)), 1), C1502))"),"TQVQJPP")</f>
        <v>TQVQJPP</v>
      </c>
      <c r="D1503" s="2" t="str">
        <f>IFERROR(__xludf.DUMMYFUNCTION("IF('From Order'!$A1503=COLUMNS($A1503:D1522), LEFT(INDEX(FILTER(D$1:D1502, D$1:D1502&lt;&gt;""""),COUNTA(FILTER(D$1:D1502, D$1:D1502&lt;&gt;""""))), LEN(INDEX(FILTER(D$1:D1502, D$1:D1502&lt;&gt;""""),COUNTA(FILTER(D$1:D1502, D$1:D1502&lt;&gt;""""))))-1), IF('To Order'!$A1503=COL"&amp;"UMNS($A1503:D1522), D1502&amp;RIGHT(INDIRECT(ADDRESS(ROW(D1503)-1, 'From Order'!$A1503)), 1), D1502))"),"CGZCSFHBG")</f>
        <v>CGZCSFHBG</v>
      </c>
      <c r="E1503" s="2" t="str">
        <f>IFERROR(__xludf.DUMMYFUNCTION("IF('From Order'!$A1503=COLUMNS($A1503:E1522), LEFT(INDEX(FILTER(E$1:E1502, E$1:E1502&lt;&gt;""""),COUNTA(FILTER(E$1:E1502, E$1:E1502&lt;&gt;""""))), LEN(INDEX(FILTER(E$1:E1502, E$1:E1502&lt;&gt;""""),COUNTA(FILTER(E$1:E1502, E$1:E1502&lt;&gt;""""))))-1), IF('To Order'!$A1503=COL"&amp;"UMNS($A1503:E1522), E1502&amp;RIGHT(INDIRECT(ADDRESS(ROW(E1503)-1, 'From Order'!$A1503)), 1), E1502))"),"")</f>
        <v/>
      </c>
      <c r="F1503" s="2" t="str">
        <f>IFERROR(__xludf.DUMMYFUNCTION("IF('From Order'!$A1503=COLUMNS($A1503:F1522), LEFT(INDEX(FILTER(F$1:F1502, F$1:F1502&lt;&gt;""""),COUNTA(FILTER(F$1:F1502, F$1:F1502&lt;&gt;""""))), LEN(INDEX(FILTER(F$1:F1502, F$1:F1502&lt;&gt;""""),COUNTA(FILTER(F$1:F1502, F$1:F1502&lt;&gt;""""))))-1), IF('To Order'!$A1503=COL"&amp;"UMNS($A1503:F1522), F1502&amp;RIGHT(INDIRECT(ADDRESS(ROW(F1503)-1, 'From Order'!$A1503)), 1), F1502))"),"ZRLBWLDDTSSTVCDRHZMTDL")</f>
        <v>ZRLBWLDDTSSTVCDRHZMTDL</v>
      </c>
      <c r="G1503" s="2" t="str">
        <f>IFERROR(__xludf.DUMMYFUNCTION("IF('From Order'!$A1503=COLUMNS($A1503:G1522), LEFT(INDEX(FILTER(G$1:G1502, G$1:G1502&lt;&gt;""""),COUNTA(FILTER(G$1:G1502, G$1:G1502&lt;&gt;""""))), LEN(INDEX(FILTER(G$1:G1502, G$1:G1502&lt;&gt;""""),COUNTA(FILTER(G$1:G1502, G$1:G1502&lt;&gt;""""))))-1), IF('To Order'!$A1503=COL"&amp;"UMNS($A1503:G1522), G1502&amp;RIGHT(INDIRECT(ADDRESS(ROW(G1503)-1, 'From Order'!$A1503)), 1), G1502))"),"WRMBVTTJ")</f>
        <v>WRMBVTTJ</v>
      </c>
      <c r="H1503" s="2" t="str">
        <f>IFERROR(__xludf.DUMMYFUNCTION("IF('From Order'!$A1503=COLUMNS($A1503:H1522), LEFT(INDEX(FILTER(H$1:H1502, H$1:H1502&lt;&gt;""""),COUNTA(FILTER(H$1:H1502, H$1:H1502&lt;&gt;""""))), LEN(INDEX(FILTER(H$1:H1502, H$1:H1502&lt;&gt;""""),COUNTA(FILTER(H$1:H1502, H$1:H1502&lt;&gt;""""))))-1), IF('To Order'!$A1503=COL"&amp;"UMNS($A1503:H1522), H1502&amp;RIGHT(INDIRECT(ADDRESS(ROW(H1503)-1, 'From Order'!$A1503)), 1), H1502))"),"FBPRRSD")</f>
        <v>FBPRRSD</v>
      </c>
      <c r="I1503" s="2" t="str">
        <f>IFERROR(__xludf.DUMMYFUNCTION("IF('From Order'!$A1503=COLUMNS($A1503:I1522), LEFT(INDEX(FILTER(I$1:I1502, I$1:I1502&lt;&gt;""""),COUNTA(FILTER(I$1:I1502, I$1:I1502&lt;&gt;""""))), LEN(INDEX(FILTER(I$1:I1502, I$1:I1502&lt;&gt;""""),COUNTA(FILTER(I$1:I1502, I$1:I1502&lt;&gt;""""))))-1), IF('To Order'!$A1503=COL"&amp;"UMNS($A1503:I1522), I1502&amp;RIGHT(INDIRECT(ADDRESS(ROW(I1503)-1, 'From Order'!$A1503)), 1), I1502))"),"")</f>
        <v/>
      </c>
    </row>
    <row r="1504">
      <c r="A1504" s="2" t="str">
        <f>IFERROR(__xludf.DUMMYFUNCTION("IF('From Order'!$A1504=COLUMNS($A1504:A1523), LEFT(INDEX(FILTER(A$1:A1503, A$1:A1503&lt;&gt;""""),COUNTA(FILTER(A$1:A1503, A$1:A1503&lt;&gt;""""))), LEN(INDEX(FILTER(A$1:A1503, A$1:A1503&lt;&gt;""""),COUNTA(FILTER(A$1:A1503, A$1:A1503&lt;&gt;""""))))-1), IF('To Order'!$A1504=COL"&amp;"UMNS($A1504:A1523), A1503&amp;RIGHT(INDIRECT(ADDRESS(ROW(A1504)-1, 'From Order'!$A1504)), 1), A1503))"),"MDJ")</f>
        <v>MDJ</v>
      </c>
      <c r="B1504" s="2" t="str">
        <f>IFERROR(__xludf.DUMMYFUNCTION("IF('From Order'!$A1504=COLUMNS($A1504:B1523), LEFT(INDEX(FILTER(B$1:B1503, B$1:B1503&lt;&gt;""""),COUNTA(FILTER(B$1:B1503, B$1:B1503&lt;&gt;""""))), LEN(INDEX(FILTER(B$1:B1503, B$1:B1503&lt;&gt;""""),COUNTA(FILTER(B$1:B1503, B$1:B1503&lt;&gt;""""))))-1), IF('To Order'!$A1504=COL"&amp;"UMNS($A1504:B1523), B1503&amp;RIGHT(INDIRECT(ADDRESS(ROW(B1504)-1, 'From Order'!$A1504)), 1), B1503))"),"")</f>
        <v/>
      </c>
      <c r="C1504" s="2" t="str">
        <f>IFERROR(__xludf.DUMMYFUNCTION("IF('From Order'!$A1504=COLUMNS($A1504:C1523), LEFT(INDEX(FILTER(C$1:C1503, C$1:C1503&lt;&gt;""""),COUNTA(FILTER(C$1:C1503, C$1:C1503&lt;&gt;""""))), LEN(INDEX(FILTER(C$1:C1503, C$1:C1503&lt;&gt;""""),COUNTA(FILTER(C$1:C1503, C$1:C1503&lt;&gt;""""))))-1), IF('To Order'!$A1504=COL"&amp;"UMNS($A1504:C1523), C1503&amp;RIGHT(INDIRECT(ADDRESS(ROW(C1504)-1, 'From Order'!$A1504)), 1), C1503))"),"TQVQJPP")</f>
        <v>TQVQJPP</v>
      </c>
      <c r="D1504" s="2" t="str">
        <f>IFERROR(__xludf.DUMMYFUNCTION("IF('From Order'!$A1504=COLUMNS($A1504:D1523), LEFT(INDEX(FILTER(D$1:D1503, D$1:D1503&lt;&gt;""""),COUNTA(FILTER(D$1:D1503, D$1:D1503&lt;&gt;""""))), LEN(INDEX(FILTER(D$1:D1503, D$1:D1503&lt;&gt;""""),COUNTA(FILTER(D$1:D1503, D$1:D1503&lt;&gt;""""))))-1), IF('To Order'!$A1504=COL"&amp;"UMNS($A1504:D1523), D1503&amp;RIGHT(INDIRECT(ADDRESS(ROW(D1504)-1, 'From Order'!$A1504)), 1), D1503))"),"CGZCSFHBGJ")</f>
        <v>CGZCSFHBGJ</v>
      </c>
      <c r="E1504" s="2" t="str">
        <f>IFERROR(__xludf.DUMMYFUNCTION("IF('From Order'!$A1504=COLUMNS($A1504:E1523), LEFT(INDEX(FILTER(E$1:E1503, E$1:E1503&lt;&gt;""""),COUNTA(FILTER(E$1:E1503, E$1:E1503&lt;&gt;""""))), LEN(INDEX(FILTER(E$1:E1503, E$1:E1503&lt;&gt;""""),COUNTA(FILTER(E$1:E1503, E$1:E1503&lt;&gt;""""))))-1), IF('To Order'!$A1504=COL"&amp;"UMNS($A1504:E1523), E1503&amp;RIGHT(INDIRECT(ADDRESS(ROW(E1504)-1, 'From Order'!$A1504)), 1), E1503))"),"")</f>
        <v/>
      </c>
      <c r="F1504" s="2" t="str">
        <f>IFERROR(__xludf.DUMMYFUNCTION("IF('From Order'!$A1504=COLUMNS($A1504:F1523), LEFT(INDEX(FILTER(F$1:F1503, F$1:F1503&lt;&gt;""""),COUNTA(FILTER(F$1:F1503, F$1:F1503&lt;&gt;""""))), LEN(INDEX(FILTER(F$1:F1503, F$1:F1503&lt;&gt;""""),COUNTA(FILTER(F$1:F1503, F$1:F1503&lt;&gt;""""))))-1), IF('To Order'!$A1504=COL"&amp;"UMNS($A1504:F1523), F1503&amp;RIGHT(INDIRECT(ADDRESS(ROW(F1504)-1, 'From Order'!$A1504)), 1), F1503))"),"ZRLBWLDDTSSTVCDRHZMTDL")</f>
        <v>ZRLBWLDDTSSTVCDRHZMTDL</v>
      </c>
      <c r="G1504" s="2" t="str">
        <f>IFERROR(__xludf.DUMMYFUNCTION("IF('From Order'!$A1504=COLUMNS($A1504:G1523), LEFT(INDEX(FILTER(G$1:G1503, G$1:G1503&lt;&gt;""""),COUNTA(FILTER(G$1:G1503, G$1:G1503&lt;&gt;""""))), LEN(INDEX(FILTER(G$1:G1503, G$1:G1503&lt;&gt;""""),COUNTA(FILTER(G$1:G1503, G$1:G1503&lt;&gt;""""))))-1), IF('To Order'!$A1504=COL"&amp;"UMNS($A1504:G1523), G1503&amp;RIGHT(INDIRECT(ADDRESS(ROW(G1504)-1, 'From Order'!$A1504)), 1), G1503))"),"WRMBVTT")</f>
        <v>WRMBVTT</v>
      </c>
      <c r="H1504" s="2" t="str">
        <f>IFERROR(__xludf.DUMMYFUNCTION("IF('From Order'!$A1504=COLUMNS($A1504:H1523), LEFT(INDEX(FILTER(H$1:H1503, H$1:H1503&lt;&gt;""""),COUNTA(FILTER(H$1:H1503, H$1:H1503&lt;&gt;""""))), LEN(INDEX(FILTER(H$1:H1503, H$1:H1503&lt;&gt;""""),COUNTA(FILTER(H$1:H1503, H$1:H1503&lt;&gt;""""))))-1), IF('To Order'!$A1504=COL"&amp;"UMNS($A1504:H1523), H1503&amp;RIGHT(INDIRECT(ADDRESS(ROW(H1504)-1, 'From Order'!$A1504)), 1), H1503))"),"FBPRRSD")</f>
        <v>FBPRRSD</v>
      </c>
      <c r="I1504" s="2" t="str">
        <f>IFERROR(__xludf.DUMMYFUNCTION("IF('From Order'!$A1504=COLUMNS($A1504:I1523), LEFT(INDEX(FILTER(I$1:I1503, I$1:I1503&lt;&gt;""""),COUNTA(FILTER(I$1:I1503, I$1:I1503&lt;&gt;""""))), LEN(INDEX(FILTER(I$1:I1503, I$1:I1503&lt;&gt;""""),COUNTA(FILTER(I$1:I1503, I$1:I1503&lt;&gt;""""))))-1), IF('To Order'!$A1504=COL"&amp;"UMNS($A1504:I1523), I1503&amp;RIGHT(INDIRECT(ADDRESS(ROW(I1504)-1, 'From Order'!$A1504)), 1), I1503))"),"")</f>
        <v/>
      </c>
    </row>
    <row r="1505">
      <c r="A1505" s="2" t="str">
        <f>IFERROR(__xludf.DUMMYFUNCTION("IF('From Order'!$A1505=COLUMNS($A1505:A1524), LEFT(INDEX(FILTER(A$1:A1504, A$1:A1504&lt;&gt;""""),COUNTA(FILTER(A$1:A1504, A$1:A1504&lt;&gt;""""))), LEN(INDEX(FILTER(A$1:A1504, A$1:A1504&lt;&gt;""""),COUNTA(FILTER(A$1:A1504, A$1:A1504&lt;&gt;""""))))-1), IF('To Order'!$A1505=COL"&amp;"UMNS($A1505:A1524), A1504&amp;RIGHT(INDIRECT(ADDRESS(ROW(A1505)-1, 'From Order'!$A1505)), 1), A1504))"),"MDJ")</f>
        <v>MDJ</v>
      </c>
      <c r="B1505" s="2" t="str">
        <f>IFERROR(__xludf.DUMMYFUNCTION("IF('From Order'!$A1505=COLUMNS($A1505:B1524), LEFT(INDEX(FILTER(B$1:B1504, B$1:B1504&lt;&gt;""""),COUNTA(FILTER(B$1:B1504, B$1:B1504&lt;&gt;""""))), LEN(INDEX(FILTER(B$1:B1504, B$1:B1504&lt;&gt;""""),COUNTA(FILTER(B$1:B1504, B$1:B1504&lt;&gt;""""))))-1), IF('To Order'!$A1505=COL"&amp;"UMNS($A1505:B1524), B1504&amp;RIGHT(INDIRECT(ADDRESS(ROW(B1505)-1, 'From Order'!$A1505)), 1), B1504))"),"")</f>
        <v/>
      </c>
      <c r="C1505" s="2" t="str">
        <f>IFERROR(__xludf.DUMMYFUNCTION("IF('From Order'!$A1505=COLUMNS($A1505:C1524), LEFT(INDEX(FILTER(C$1:C1504, C$1:C1504&lt;&gt;""""),COUNTA(FILTER(C$1:C1504, C$1:C1504&lt;&gt;""""))), LEN(INDEX(FILTER(C$1:C1504, C$1:C1504&lt;&gt;""""),COUNTA(FILTER(C$1:C1504, C$1:C1504&lt;&gt;""""))))-1), IF('To Order'!$A1505=COL"&amp;"UMNS($A1505:C1524), C1504&amp;RIGHT(INDIRECT(ADDRESS(ROW(C1505)-1, 'From Order'!$A1505)), 1), C1504))"),"TQVQJPP")</f>
        <v>TQVQJPP</v>
      </c>
      <c r="D1505" s="2" t="str">
        <f>IFERROR(__xludf.DUMMYFUNCTION("IF('From Order'!$A1505=COLUMNS($A1505:D1524), LEFT(INDEX(FILTER(D$1:D1504, D$1:D1504&lt;&gt;""""),COUNTA(FILTER(D$1:D1504, D$1:D1504&lt;&gt;""""))), LEN(INDEX(FILTER(D$1:D1504, D$1:D1504&lt;&gt;""""),COUNTA(FILTER(D$1:D1504, D$1:D1504&lt;&gt;""""))))-1), IF('To Order'!$A1505=COL"&amp;"UMNS($A1505:D1524), D1504&amp;RIGHT(INDIRECT(ADDRESS(ROW(D1505)-1, 'From Order'!$A1505)), 1), D1504))"),"CGZCSFHBGJT")</f>
        <v>CGZCSFHBGJT</v>
      </c>
      <c r="E1505" s="2" t="str">
        <f>IFERROR(__xludf.DUMMYFUNCTION("IF('From Order'!$A1505=COLUMNS($A1505:E1524), LEFT(INDEX(FILTER(E$1:E1504, E$1:E1504&lt;&gt;""""),COUNTA(FILTER(E$1:E1504, E$1:E1504&lt;&gt;""""))), LEN(INDEX(FILTER(E$1:E1504, E$1:E1504&lt;&gt;""""),COUNTA(FILTER(E$1:E1504, E$1:E1504&lt;&gt;""""))))-1), IF('To Order'!$A1505=COL"&amp;"UMNS($A1505:E1524), E1504&amp;RIGHT(INDIRECT(ADDRESS(ROW(E1505)-1, 'From Order'!$A1505)), 1), E1504))"),"")</f>
        <v/>
      </c>
      <c r="F1505" s="2" t="str">
        <f>IFERROR(__xludf.DUMMYFUNCTION("IF('From Order'!$A1505=COLUMNS($A1505:F1524), LEFT(INDEX(FILTER(F$1:F1504, F$1:F1504&lt;&gt;""""),COUNTA(FILTER(F$1:F1504, F$1:F1504&lt;&gt;""""))), LEN(INDEX(FILTER(F$1:F1504, F$1:F1504&lt;&gt;""""),COUNTA(FILTER(F$1:F1504, F$1:F1504&lt;&gt;""""))))-1), IF('To Order'!$A1505=COL"&amp;"UMNS($A1505:F1524), F1504&amp;RIGHT(INDIRECT(ADDRESS(ROW(F1505)-1, 'From Order'!$A1505)), 1), F1504))"),"ZRLBWLDDTSSTVCDRHZMTDL")</f>
        <v>ZRLBWLDDTSSTVCDRHZMTDL</v>
      </c>
      <c r="G1505" s="2" t="str">
        <f>IFERROR(__xludf.DUMMYFUNCTION("IF('From Order'!$A1505=COLUMNS($A1505:G1524), LEFT(INDEX(FILTER(G$1:G1504, G$1:G1504&lt;&gt;""""),COUNTA(FILTER(G$1:G1504, G$1:G1504&lt;&gt;""""))), LEN(INDEX(FILTER(G$1:G1504, G$1:G1504&lt;&gt;""""),COUNTA(FILTER(G$1:G1504, G$1:G1504&lt;&gt;""""))))-1), IF('To Order'!$A1505=COL"&amp;"UMNS($A1505:G1524), G1504&amp;RIGHT(INDIRECT(ADDRESS(ROW(G1505)-1, 'From Order'!$A1505)), 1), G1504))"),"WRMBVT")</f>
        <v>WRMBVT</v>
      </c>
      <c r="H1505" s="2" t="str">
        <f>IFERROR(__xludf.DUMMYFUNCTION("IF('From Order'!$A1505=COLUMNS($A1505:H1524), LEFT(INDEX(FILTER(H$1:H1504, H$1:H1504&lt;&gt;""""),COUNTA(FILTER(H$1:H1504, H$1:H1504&lt;&gt;""""))), LEN(INDEX(FILTER(H$1:H1504, H$1:H1504&lt;&gt;""""),COUNTA(FILTER(H$1:H1504, H$1:H1504&lt;&gt;""""))))-1), IF('To Order'!$A1505=COL"&amp;"UMNS($A1505:H1524), H1504&amp;RIGHT(INDIRECT(ADDRESS(ROW(H1505)-1, 'From Order'!$A1505)), 1), H1504))"),"FBPRRSD")</f>
        <v>FBPRRSD</v>
      </c>
      <c r="I1505" s="2" t="str">
        <f>IFERROR(__xludf.DUMMYFUNCTION("IF('From Order'!$A1505=COLUMNS($A1505:I1524), LEFT(INDEX(FILTER(I$1:I1504, I$1:I1504&lt;&gt;""""),COUNTA(FILTER(I$1:I1504, I$1:I1504&lt;&gt;""""))), LEN(INDEX(FILTER(I$1:I1504, I$1:I1504&lt;&gt;""""),COUNTA(FILTER(I$1:I1504, I$1:I1504&lt;&gt;""""))))-1), IF('To Order'!$A1505=COL"&amp;"UMNS($A1505:I1524), I1504&amp;RIGHT(INDIRECT(ADDRESS(ROW(I1505)-1, 'From Order'!$A1505)), 1), I1504))"),"")</f>
        <v/>
      </c>
    </row>
    <row r="1506">
      <c r="A1506" s="2" t="str">
        <f>IFERROR(__xludf.DUMMYFUNCTION("IF('From Order'!$A1506=COLUMNS($A1506:A1525), LEFT(INDEX(FILTER(A$1:A1505, A$1:A1505&lt;&gt;""""),COUNTA(FILTER(A$1:A1505, A$1:A1505&lt;&gt;""""))), LEN(INDEX(FILTER(A$1:A1505, A$1:A1505&lt;&gt;""""),COUNTA(FILTER(A$1:A1505, A$1:A1505&lt;&gt;""""))))-1), IF('To Order'!$A1506=COL"&amp;"UMNS($A1506:A1525), A1505&amp;RIGHT(INDIRECT(ADDRESS(ROW(A1506)-1, 'From Order'!$A1506)), 1), A1505))"),"MDJ")</f>
        <v>MDJ</v>
      </c>
      <c r="B1506" s="2" t="str">
        <f>IFERROR(__xludf.DUMMYFUNCTION("IF('From Order'!$A1506=COLUMNS($A1506:B1525), LEFT(INDEX(FILTER(B$1:B1505, B$1:B1505&lt;&gt;""""),COUNTA(FILTER(B$1:B1505, B$1:B1505&lt;&gt;""""))), LEN(INDEX(FILTER(B$1:B1505, B$1:B1505&lt;&gt;""""),COUNTA(FILTER(B$1:B1505, B$1:B1505&lt;&gt;""""))))-1), IF('To Order'!$A1506=COL"&amp;"UMNS($A1506:B1525), B1505&amp;RIGHT(INDIRECT(ADDRESS(ROW(B1506)-1, 'From Order'!$A1506)), 1), B1505))"),"")</f>
        <v/>
      </c>
      <c r="C1506" s="2" t="str">
        <f>IFERROR(__xludf.DUMMYFUNCTION("IF('From Order'!$A1506=COLUMNS($A1506:C1525), LEFT(INDEX(FILTER(C$1:C1505, C$1:C1505&lt;&gt;""""),COUNTA(FILTER(C$1:C1505, C$1:C1505&lt;&gt;""""))), LEN(INDEX(FILTER(C$1:C1505, C$1:C1505&lt;&gt;""""),COUNTA(FILTER(C$1:C1505, C$1:C1505&lt;&gt;""""))))-1), IF('To Order'!$A1506=COL"&amp;"UMNS($A1506:C1525), C1505&amp;RIGHT(INDIRECT(ADDRESS(ROW(C1506)-1, 'From Order'!$A1506)), 1), C1505))"),"TQVQJPP")</f>
        <v>TQVQJPP</v>
      </c>
      <c r="D1506" s="2" t="str">
        <f>IFERROR(__xludf.DUMMYFUNCTION("IF('From Order'!$A1506=COLUMNS($A1506:D1525), LEFT(INDEX(FILTER(D$1:D1505, D$1:D1505&lt;&gt;""""),COUNTA(FILTER(D$1:D1505, D$1:D1505&lt;&gt;""""))), LEN(INDEX(FILTER(D$1:D1505, D$1:D1505&lt;&gt;""""),COUNTA(FILTER(D$1:D1505, D$1:D1505&lt;&gt;""""))))-1), IF('To Order'!$A1506=COL"&amp;"UMNS($A1506:D1525), D1505&amp;RIGHT(INDIRECT(ADDRESS(ROW(D1506)-1, 'From Order'!$A1506)), 1), D1505))"),"CGZCSFHBGJTT")</f>
        <v>CGZCSFHBGJTT</v>
      </c>
      <c r="E1506" s="2" t="str">
        <f>IFERROR(__xludf.DUMMYFUNCTION("IF('From Order'!$A1506=COLUMNS($A1506:E1525), LEFT(INDEX(FILTER(E$1:E1505, E$1:E1505&lt;&gt;""""),COUNTA(FILTER(E$1:E1505, E$1:E1505&lt;&gt;""""))), LEN(INDEX(FILTER(E$1:E1505, E$1:E1505&lt;&gt;""""),COUNTA(FILTER(E$1:E1505, E$1:E1505&lt;&gt;""""))))-1), IF('To Order'!$A1506=COL"&amp;"UMNS($A1506:E1525), E1505&amp;RIGHT(INDIRECT(ADDRESS(ROW(E1506)-1, 'From Order'!$A1506)), 1), E1505))"),"")</f>
        <v/>
      </c>
      <c r="F1506" s="2" t="str">
        <f>IFERROR(__xludf.DUMMYFUNCTION("IF('From Order'!$A1506=COLUMNS($A1506:F1525), LEFT(INDEX(FILTER(F$1:F1505, F$1:F1505&lt;&gt;""""),COUNTA(FILTER(F$1:F1505, F$1:F1505&lt;&gt;""""))), LEN(INDEX(FILTER(F$1:F1505, F$1:F1505&lt;&gt;""""),COUNTA(FILTER(F$1:F1505, F$1:F1505&lt;&gt;""""))))-1), IF('To Order'!$A1506=COL"&amp;"UMNS($A1506:F1525), F1505&amp;RIGHT(INDIRECT(ADDRESS(ROW(F1506)-1, 'From Order'!$A1506)), 1), F1505))"),"ZRLBWLDDTSSTVCDRHZMTDL")</f>
        <v>ZRLBWLDDTSSTVCDRHZMTDL</v>
      </c>
      <c r="G1506" s="2" t="str">
        <f>IFERROR(__xludf.DUMMYFUNCTION("IF('From Order'!$A1506=COLUMNS($A1506:G1525), LEFT(INDEX(FILTER(G$1:G1505, G$1:G1505&lt;&gt;""""),COUNTA(FILTER(G$1:G1505, G$1:G1505&lt;&gt;""""))), LEN(INDEX(FILTER(G$1:G1505, G$1:G1505&lt;&gt;""""),COUNTA(FILTER(G$1:G1505, G$1:G1505&lt;&gt;""""))))-1), IF('To Order'!$A1506=COL"&amp;"UMNS($A1506:G1525), G1505&amp;RIGHT(INDIRECT(ADDRESS(ROW(G1506)-1, 'From Order'!$A1506)), 1), G1505))"),"WRMBV")</f>
        <v>WRMBV</v>
      </c>
      <c r="H1506" s="2" t="str">
        <f>IFERROR(__xludf.DUMMYFUNCTION("IF('From Order'!$A1506=COLUMNS($A1506:H1525), LEFT(INDEX(FILTER(H$1:H1505, H$1:H1505&lt;&gt;""""),COUNTA(FILTER(H$1:H1505, H$1:H1505&lt;&gt;""""))), LEN(INDEX(FILTER(H$1:H1505, H$1:H1505&lt;&gt;""""),COUNTA(FILTER(H$1:H1505, H$1:H1505&lt;&gt;""""))))-1), IF('To Order'!$A1506=COL"&amp;"UMNS($A1506:H1525), H1505&amp;RIGHT(INDIRECT(ADDRESS(ROW(H1506)-1, 'From Order'!$A1506)), 1), H1505))"),"FBPRRSD")</f>
        <v>FBPRRSD</v>
      </c>
      <c r="I1506" s="2" t="str">
        <f>IFERROR(__xludf.DUMMYFUNCTION("IF('From Order'!$A1506=COLUMNS($A1506:I1525), LEFT(INDEX(FILTER(I$1:I1505, I$1:I1505&lt;&gt;""""),COUNTA(FILTER(I$1:I1505, I$1:I1505&lt;&gt;""""))), LEN(INDEX(FILTER(I$1:I1505, I$1:I1505&lt;&gt;""""),COUNTA(FILTER(I$1:I1505, I$1:I1505&lt;&gt;""""))))-1), IF('To Order'!$A1506=COL"&amp;"UMNS($A1506:I1525), I1505&amp;RIGHT(INDIRECT(ADDRESS(ROW(I1506)-1, 'From Order'!$A1506)), 1), I1505))"),"")</f>
        <v/>
      </c>
    </row>
    <row r="1507">
      <c r="A1507" s="2" t="str">
        <f>IFERROR(__xludf.DUMMYFUNCTION("IF('From Order'!$A1507=COLUMNS($A1507:A1526), LEFT(INDEX(FILTER(A$1:A1506, A$1:A1506&lt;&gt;""""),COUNTA(FILTER(A$1:A1506, A$1:A1506&lt;&gt;""""))), LEN(INDEX(FILTER(A$1:A1506, A$1:A1506&lt;&gt;""""),COUNTA(FILTER(A$1:A1506, A$1:A1506&lt;&gt;""""))))-1), IF('To Order'!$A1507=COL"&amp;"UMNS($A1507:A1526), A1506&amp;RIGHT(INDIRECT(ADDRESS(ROW(A1507)-1, 'From Order'!$A1507)), 1), A1506))"),"MDJ")</f>
        <v>MDJ</v>
      </c>
      <c r="B1507" s="2" t="str">
        <f>IFERROR(__xludf.DUMMYFUNCTION("IF('From Order'!$A1507=COLUMNS($A1507:B1526), LEFT(INDEX(FILTER(B$1:B1506, B$1:B1506&lt;&gt;""""),COUNTA(FILTER(B$1:B1506, B$1:B1506&lt;&gt;""""))), LEN(INDEX(FILTER(B$1:B1506, B$1:B1506&lt;&gt;""""),COUNTA(FILTER(B$1:B1506, B$1:B1506&lt;&gt;""""))))-1), IF('To Order'!$A1507=COL"&amp;"UMNS($A1507:B1526), B1506&amp;RIGHT(INDIRECT(ADDRESS(ROW(B1507)-1, 'From Order'!$A1507)), 1), B1506))"),"")</f>
        <v/>
      </c>
      <c r="C1507" s="2" t="str">
        <f>IFERROR(__xludf.DUMMYFUNCTION("IF('From Order'!$A1507=COLUMNS($A1507:C1526), LEFT(INDEX(FILTER(C$1:C1506, C$1:C1506&lt;&gt;""""),COUNTA(FILTER(C$1:C1506, C$1:C1506&lt;&gt;""""))), LEN(INDEX(FILTER(C$1:C1506, C$1:C1506&lt;&gt;""""),COUNTA(FILTER(C$1:C1506, C$1:C1506&lt;&gt;""""))))-1), IF('To Order'!$A1507=COL"&amp;"UMNS($A1507:C1526), C1506&amp;RIGHT(INDIRECT(ADDRESS(ROW(C1507)-1, 'From Order'!$A1507)), 1), C1506))"),"TQVQJPP")</f>
        <v>TQVQJPP</v>
      </c>
      <c r="D1507" s="2" t="str">
        <f>IFERROR(__xludf.DUMMYFUNCTION("IF('From Order'!$A1507=COLUMNS($A1507:D1526), LEFT(INDEX(FILTER(D$1:D1506, D$1:D1506&lt;&gt;""""),COUNTA(FILTER(D$1:D1506, D$1:D1506&lt;&gt;""""))), LEN(INDEX(FILTER(D$1:D1506, D$1:D1506&lt;&gt;""""),COUNTA(FILTER(D$1:D1506, D$1:D1506&lt;&gt;""""))))-1), IF('To Order'!$A1507=COL"&amp;"UMNS($A1507:D1526), D1506&amp;RIGHT(INDIRECT(ADDRESS(ROW(D1507)-1, 'From Order'!$A1507)), 1), D1506))"),"CGZCSFHBGJTT")</f>
        <v>CGZCSFHBGJTT</v>
      </c>
      <c r="E1507" s="2" t="str">
        <f>IFERROR(__xludf.DUMMYFUNCTION("IF('From Order'!$A1507=COLUMNS($A1507:E1526), LEFT(INDEX(FILTER(E$1:E1506, E$1:E1506&lt;&gt;""""),COUNTA(FILTER(E$1:E1506, E$1:E1506&lt;&gt;""""))), LEN(INDEX(FILTER(E$1:E1506, E$1:E1506&lt;&gt;""""),COUNTA(FILTER(E$1:E1506, E$1:E1506&lt;&gt;""""))))-1), IF('To Order'!$A1507=COL"&amp;"UMNS($A1507:E1526), E1506&amp;RIGHT(INDIRECT(ADDRESS(ROW(E1507)-1, 'From Order'!$A1507)), 1), E1506))"),"")</f>
        <v/>
      </c>
      <c r="F1507" s="2" t="str">
        <f>IFERROR(__xludf.DUMMYFUNCTION("IF('From Order'!$A1507=COLUMNS($A1507:F1526), LEFT(INDEX(FILTER(F$1:F1506, F$1:F1506&lt;&gt;""""),COUNTA(FILTER(F$1:F1506, F$1:F1506&lt;&gt;""""))), LEN(INDEX(FILTER(F$1:F1506, F$1:F1506&lt;&gt;""""),COUNTA(FILTER(F$1:F1506, F$1:F1506&lt;&gt;""""))))-1), IF('To Order'!$A1507=COL"&amp;"UMNS($A1507:F1526), F1506&amp;RIGHT(INDIRECT(ADDRESS(ROW(F1507)-1, 'From Order'!$A1507)), 1), F1506))"),"ZRLBWLDDTSSTVCDRHZMTDLD")</f>
        <v>ZRLBWLDDTSSTVCDRHZMTDLD</v>
      </c>
      <c r="G1507" s="2" t="str">
        <f>IFERROR(__xludf.DUMMYFUNCTION("IF('From Order'!$A1507=COLUMNS($A1507:G1526), LEFT(INDEX(FILTER(G$1:G1506, G$1:G1506&lt;&gt;""""),COUNTA(FILTER(G$1:G1506, G$1:G1506&lt;&gt;""""))), LEN(INDEX(FILTER(G$1:G1506, G$1:G1506&lt;&gt;""""),COUNTA(FILTER(G$1:G1506, G$1:G1506&lt;&gt;""""))))-1), IF('To Order'!$A1507=COL"&amp;"UMNS($A1507:G1526), G1506&amp;RIGHT(INDIRECT(ADDRESS(ROW(G1507)-1, 'From Order'!$A1507)), 1), G1506))"),"WRMBV")</f>
        <v>WRMBV</v>
      </c>
      <c r="H1507" s="2" t="str">
        <f>IFERROR(__xludf.DUMMYFUNCTION("IF('From Order'!$A1507=COLUMNS($A1507:H1526), LEFT(INDEX(FILTER(H$1:H1506, H$1:H1506&lt;&gt;""""),COUNTA(FILTER(H$1:H1506, H$1:H1506&lt;&gt;""""))), LEN(INDEX(FILTER(H$1:H1506, H$1:H1506&lt;&gt;""""),COUNTA(FILTER(H$1:H1506, H$1:H1506&lt;&gt;""""))))-1), IF('To Order'!$A1507=COL"&amp;"UMNS($A1507:H1526), H1506&amp;RIGHT(INDIRECT(ADDRESS(ROW(H1507)-1, 'From Order'!$A1507)), 1), H1506))"),"FBPRRS")</f>
        <v>FBPRRS</v>
      </c>
      <c r="I1507" s="2" t="str">
        <f>IFERROR(__xludf.DUMMYFUNCTION("IF('From Order'!$A1507=COLUMNS($A1507:I1526), LEFT(INDEX(FILTER(I$1:I1506, I$1:I1506&lt;&gt;""""),COUNTA(FILTER(I$1:I1506, I$1:I1506&lt;&gt;""""))), LEN(INDEX(FILTER(I$1:I1506, I$1:I1506&lt;&gt;""""),COUNTA(FILTER(I$1:I1506, I$1:I1506&lt;&gt;""""))))-1), IF('To Order'!$A1507=COL"&amp;"UMNS($A1507:I1526), I1506&amp;RIGHT(INDIRECT(ADDRESS(ROW(I1507)-1, 'From Order'!$A1507)), 1), I1506))"),"")</f>
        <v/>
      </c>
    </row>
    <row r="1508">
      <c r="A1508" s="2" t="str">
        <f>IFERROR(__xludf.DUMMYFUNCTION("IF('From Order'!$A1508=COLUMNS($A1508:A1527), LEFT(INDEX(FILTER(A$1:A1507, A$1:A1507&lt;&gt;""""),COUNTA(FILTER(A$1:A1507, A$1:A1507&lt;&gt;""""))), LEN(INDEX(FILTER(A$1:A1507, A$1:A1507&lt;&gt;""""),COUNTA(FILTER(A$1:A1507, A$1:A1507&lt;&gt;""""))))-1), IF('To Order'!$A1508=COL"&amp;"UMNS($A1508:A1527), A1507&amp;RIGHT(INDIRECT(ADDRESS(ROW(A1508)-1, 'From Order'!$A1508)), 1), A1507))"),"MDJ")</f>
        <v>MDJ</v>
      </c>
      <c r="B1508" s="2" t="str">
        <f>IFERROR(__xludf.DUMMYFUNCTION("IF('From Order'!$A1508=COLUMNS($A1508:B1527), LEFT(INDEX(FILTER(B$1:B1507, B$1:B1507&lt;&gt;""""),COUNTA(FILTER(B$1:B1507, B$1:B1507&lt;&gt;""""))), LEN(INDEX(FILTER(B$1:B1507, B$1:B1507&lt;&gt;""""),COUNTA(FILTER(B$1:B1507, B$1:B1507&lt;&gt;""""))))-1), IF('To Order'!$A1508=COL"&amp;"UMNS($A1508:B1527), B1507&amp;RIGHT(INDIRECT(ADDRESS(ROW(B1508)-1, 'From Order'!$A1508)), 1), B1507))"),"")</f>
        <v/>
      </c>
      <c r="C1508" s="2" t="str">
        <f>IFERROR(__xludf.DUMMYFUNCTION("IF('From Order'!$A1508=COLUMNS($A1508:C1527), LEFT(INDEX(FILTER(C$1:C1507, C$1:C1507&lt;&gt;""""),COUNTA(FILTER(C$1:C1507, C$1:C1507&lt;&gt;""""))), LEN(INDEX(FILTER(C$1:C1507, C$1:C1507&lt;&gt;""""),COUNTA(FILTER(C$1:C1507, C$1:C1507&lt;&gt;""""))))-1), IF('To Order'!$A1508=COL"&amp;"UMNS($A1508:C1527), C1507&amp;RIGHT(INDIRECT(ADDRESS(ROW(C1508)-1, 'From Order'!$A1508)), 1), C1507))"),"TQVQJPP")</f>
        <v>TQVQJPP</v>
      </c>
      <c r="D1508" s="2" t="str">
        <f>IFERROR(__xludf.DUMMYFUNCTION("IF('From Order'!$A1508=COLUMNS($A1508:D1527), LEFT(INDEX(FILTER(D$1:D1507, D$1:D1507&lt;&gt;""""),COUNTA(FILTER(D$1:D1507, D$1:D1507&lt;&gt;""""))), LEN(INDEX(FILTER(D$1:D1507, D$1:D1507&lt;&gt;""""),COUNTA(FILTER(D$1:D1507, D$1:D1507&lt;&gt;""""))))-1), IF('To Order'!$A1508=COL"&amp;"UMNS($A1508:D1527), D1507&amp;RIGHT(INDIRECT(ADDRESS(ROW(D1508)-1, 'From Order'!$A1508)), 1), D1507))"),"CGZCSFHBGJTT")</f>
        <v>CGZCSFHBGJTT</v>
      </c>
      <c r="E1508" s="2" t="str">
        <f>IFERROR(__xludf.DUMMYFUNCTION("IF('From Order'!$A1508=COLUMNS($A1508:E1527), LEFT(INDEX(FILTER(E$1:E1507, E$1:E1507&lt;&gt;""""),COUNTA(FILTER(E$1:E1507, E$1:E1507&lt;&gt;""""))), LEN(INDEX(FILTER(E$1:E1507, E$1:E1507&lt;&gt;""""),COUNTA(FILTER(E$1:E1507, E$1:E1507&lt;&gt;""""))))-1), IF('To Order'!$A1508=COL"&amp;"UMNS($A1508:E1527), E1507&amp;RIGHT(INDIRECT(ADDRESS(ROW(E1508)-1, 'From Order'!$A1508)), 1), E1507))"),"")</f>
        <v/>
      </c>
      <c r="F1508" s="2" t="str">
        <f>IFERROR(__xludf.DUMMYFUNCTION("IF('From Order'!$A1508=COLUMNS($A1508:F1527), LEFT(INDEX(FILTER(F$1:F1507, F$1:F1507&lt;&gt;""""),COUNTA(FILTER(F$1:F1507, F$1:F1507&lt;&gt;""""))), LEN(INDEX(FILTER(F$1:F1507, F$1:F1507&lt;&gt;""""),COUNTA(FILTER(F$1:F1507, F$1:F1507&lt;&gt;""""))))-1), IF('To Order'!$A1508=COL"&amp;"UMNS($A1508:F1527), F1507&amp;RIGHT(INDIRECT(ADDRESS(ROW(F1508)-1, 'From Order'!$A1508)), 1), F1507))"),"ZRLBWLDDTSSTVCDRHZMTDLDS")</f>
        <v>ZRLBWLDDTSSTVCDRHZMTDLDS</v>
      </c>
      <c r="G1508" s="2" t="str">
        <f>IFERROR(__xludf.DUMMYFUNCTION("IF('From Order'!$A1508=COLUMNS($A1508:G1527), LEFT(INDEX(FILTER(G$1:G1507, G$1:G1507&lt;&gt;""""),COUNTA(FILTER(G$1:G1507, G$1:G1507&lt;&gt;""""))), LEN(INDEX(FILTER(G$1:G1507, G$1:G1507&lt;&gt;""""),COUNTA(FILTER(G$1:G1507, G$1:G1507&lt;&gt;""""))))-1), IF('To Order'!$A1508=COL"&amp;"UMNS($A1508:G1527), G1507&amp;RIGHT(INDIRECT(ADDRESS(ROW(G1508)-1, 'From Order'!$A1508)), 1), G1507))"),"WRMBV")</f>
        <v>WRMBV</v>
      </c>
      <c r="H1508" s="2" t="str">
        <f>IFERROR(__xludf.DUMMYFUNCTION("IF('From Order'!$A1508=COLUMNS($A1508:H1527), LEFT(INDEX(FILTER(H$1:H1507, H$1:H1507&lt;&gt;""""),COUNTA(FILTER(H$1:H1507, H$1:H1507&lt;&gt;""""))), LEN(INDEX(FILTER(H$1:H1507, H$1:H1507&lt;&gt;""""),COUNTA(FILTER(H$1:H1507, H$1:H1507&lt;&gt;""""))))-1), IF('To Order'!$A1508=COL"&amp;"UMNS($A1508:H1527), H1507&amp;RIGHT(INDIRECT(ADDRESS(ROW(H1508)-1, 'From Order'!$A1508)), 1), H1507))"),"FBPRR")</f>
        <v>FBPRR</v>
      </c>
      <c r="I1508" s="2" t="str">
        <f>IFERROR(__xludf.DUMMYFUNCTION("IF('From Order'!$A1508=COLUMNS($A1508:I1527), LEFT(INDEX(FILTER(I$1:I1507, I$1:I1507&lt;&gt;""""),COUNTA(FILTER(I$1:I1507, I$1:I1507&lt;&gt;""""))), LEN(INDEX(FILTER(I$1:I1507, I$1:I1507&lt;&gt;""""),COUNTA(FILTER(I$1:I1507, I$1:I1507&lt;&gt;""""))))-1), IF('To Order'!$A1508=COL"&amp;"UMNS($A1508:I1527), I1507&amp;RIGHT(INDIRECT(ADDRESS(ROW(I1508)-1, 'From Order'!$A1508)), 1), I1507))"),"")</f>
        <v/>
      </c>
    </row>
    <row r="1509">
      <c r="A1509" s="2" t="str">
        <f>IFERROR(__xludf.DUMMYFUNCTION("IF('From Order'!$A1509=COLUMNS($A1509:A1528), LEFT(INDEX(FILTER(A$1:A1508, A$1:A1508&lt;&gt;""""),COUNTA(FILTER(A$1:A1508, A$1:A1508&lt;&gt;""""))), LEN(INDEX(FILTER(A$1:A1508, A$1:A1508&lt;&gt;""""),COUNTA(FILTER(A$1:A1508, A$1:A1508&lt;&gt;""""))))-1), IF('To Order'!$A1509=COL"&amp;"UMNS($A1509:A1528), A1508&amp;RIGHT(INDIRECT(ADDRESS(ROW(A1509)-1, 'From Order'!$A1509)), 1), A1508))"),"MDJ")</f>
        <v>MDJ</v>
      </c>
      <c r="B1509" s="2" t="str">
        <f>IFERROR(__xludf.DUMMYFUNCTION("IF('From Order'!$A1509=COLUMNS($A1509:B1528), LEFT(INDEX(FILTER(B$1:B1508, B$1:B1508&lt;&gt;""""),COUNTA(FILTER(B$1:B1508, B$1:B1508&lt;&gt;""""))), LEN(INDEX(FILTER(B$1:B1508, B$1:B1508&lt;&gt;""""),COUNTA(FILTER(B$1:B1508, B$1:B1508&lt;&gt;""""))))-1), IF('To Order'!$A1509=COL"&amp;"UMNS($A1509:B1528), B1508&amp;RIGHT(INDIRECT(ADDRESS(ROW(B1509)-1, 'From Order'!$A1509)), 1), B1508))"),"")</f>
        <v/>
      </c>
      <c r="C1509" s="2" t="str">
        <f>IFERROR(__xludf.DUMMYFUNCTION("IF('From Order'!$A1509=COLUMNS($A1509:C1528), LEFT(INDEX(FILTER(C$1:C1508, C$1:C1508&lt;&gt;""""),COUNTA(FILTER(C$1:C1508, C$1:C1508&lt;&gt;""""))), LEN(INDEX(FILTER(C$1:C1508, C$1:C1508&lt;&gt;""""),COUNTA(FILTER(C$1:C1508, C$1:C1508&lt;&gt;""""))))-1), IF('To Order'!$A1509=COL"&amp;"UMNS($A1509:C1528), C1508&amp;RIGHT(INDIRECT(ADDRESS(ROW(C1509)-1, 'From Order'!$A1509)), 1), C1508))"),"TQVQJPP")</f>
        <v>TQVQJPP</v>
      </c>
      <c r="D1509" s="2" t="str">
        <f>IFERROR(__xludf.DUMMYFUNCTION("IF('From Order'!$A1509=COLUMNS($A1509:D1528), LEFT(INDEX(FILTER(D$1:D1508, D$1:D1508&lt;&gt;""""),COUNTA(FILTER(D$1:D1508, D$1:D1508&lt;&gt;""""))), LEN(INDEX(FILTER(D$1:D1508, D$1:D1508&lt;&gt;""""),COUNTA(FILTER(D$1:D1508, D$1:D1508&lt;&gt;""""))))-1), IF('To Order'!$A1509=COL"&amp;"UMNS($A1509:D1528), D1508&amp;RIGHT(INDIRECT(ADDRESS(ROW(D1509)-1, 'From Order'!$A1509)), 1), D1508))"),"CGZCSFHBGJTT")</f>
        <v>CGZCSFHBGJTT</v>
      </c>
      <c r="E1509" s="2" t="str">
        <f>IFERROR(__xludf.DUMMYFUNCTION("IF('From Order'!$A1509=COLUMNS($A1509:E1528), LEFT(INDEX(FILTER(E$1:E1508, E$1:E1508&lt;&gt;""""),COUNTA(FILTER(E$1:E1508, E$1:E1508&lt;&gt;""""))), LEN(INDEX(FILTER(E$1:E1508, E$1:E1508&lt;&gt;""""),COUNTA(FILTER(E$1:E1508, E$1:E1508&lt;&gt;""""))))-1), IF('To Order'!$A1509=COL"&amp;"UMNS($A1509:E1528), E1508&amp;RIGHT(INDIRECT(ADDRESS(ROW(E1509)-1, 'From Order'!$A1509)), 1), E1508))"),"")</f>
        <v/>
      </c>
      <c r="F1509" s="2" t="str">
        <f>IFERROR(__xludf.DUMMYFUNCTION("IF('From Order'!$A1509=COLUMNS($A1509:F1528), LEFT(INDEX(FILTER(F$1:F1508, F$1:F1508&lt;&gt;""""),COUNTA(FILTER(F$1:F1508, F$1:F1508&lt;&gt;""""))), LEN(INDEX(FILTER(F$1:F1508, F$1:F1508&lt;&gt;""""),COUNTA(FILTER(F$1:F1508, F$1:F1508&lt;&gt;""""))))-1), IF('To Order'!$A1509=COL"&amp;"UMNS($A1509:F1528), F1508&amp;RIGHT(INDIRECT(ADDRESS(ROW(F1509)-1, 'From Order'!$A1509)), 1), F1508))"),"ZRLBWLDDTSSTVCDRHZMTDLDSR")</f>
        <v>ZRLBWLDDTSSTVCDRHZMTDLDSR</v>
      </c>
      <c r="G1509" s="2" t="str">
        <f>IFERROR(__xludf.DUMMYFUNCTION("IF('From Order'!$A1509=COLUMNS($A1509:G1528), LEFT(INDEX(FILTER(G$1:G1508, G$1:G1508&lt;&gt;""""),COUNTA(FILTER(G$1:G1508, G$1:G1508&lt;&gt;""""))), LEN(INDEX(FILTER(G$1:G1508, G$1:G1508&lt;&gt;""""),COUNTA(FILTER(G$1:G1508, G$1:G1508&lt;&gt;""""))))-1), IF('To Order'!$A1509=COL"&amp;"UMNS($A1509:G1528), G1508&amp;RIGHT(INDIRECT(ADDRESS(ROW(G1509)-1, 'From Order'!$A1509)), 1), G1508))"),"WRMBV")</f>
        <v>WRMBV</v>
      </c>
      <c r="H1509" s="2" t="str">
        <f>IFERROR(__xludf.DUMMYFUNCTION("IF('From Order'!$A1509=COLUMNS($A1509:H1528), LEFT(INDEX(FILTER(H$1:H1508, H$1:H1508&lt;&gt;""""),COUNTA(FILTER(H$1:H1508, H$1:H1508&lt;&gt;""""))), LEN(INDEX(FILTER(H$1:H1508, H$1:H1508&lt;&gt;""""),COUNTA(FILTER(H$1:H1508, H$1:H1508&lt;&gt;""""))))-1), IF('To Order'!$A1509=COL"&amp;"UMNS($A1509:H1528), H1508&amp;RIGHT(INDIRECT(ADDRESS(ROW(H1509)-1, 'From Order'!$A1509)), 1), H1508))"),"FBPR")</f>
        <v>FBPR</v>
      </c>
      <c r="I1509" s="2" t="str">
        <f>IFERROR(__xludf.DUMMYFUNCTION("IF('From Order'!$A1509=COLUMNS($A1509:I1528), LEFT(INDEX(FILTER(I$1:I1508, I$1:I1508&lt;&gt;""""),COUNTA(FILTER(I$1:I1508, I$1:I1508&lt;&gt;""""))), LEN(INDEX(FILTER(I$1:I1508, I$1:I1508&lt;&gt;""""),COUNTA(FILTER(I$1:I1508, I$1:I1508&lt;&gt;""""))))-1), IF('To Order'!$A1509=COL"&amp;"UMNS($A1509:I1528), I1508&amp;RIGHT(INDIRECT(ADDRESS(ROW(I1509)-1, 'From Order'!$A1509)), 1), I1508))"),"")</f>
        <v/>
      </c>
    </row>
    <row r="1510">
      <c r="A1510" s="2" t="str">
        <f>IFERROR(__xludf.DUMMYFUNCTION("IF('From Order'!$A1510=COLUMNS($A1510:A1529), LEFT(INDEX(FILTER(A$1:A1509, A$1:A1509&lt;&gt;""""),COUNTA(FILTER(A$1:A1509, A$1:A1509&lt;&gt;""""))), LEN(INDEX(FILTER(A$1:A1509, A$1:A1509&lt;&gt;""""),COUNTA(FILTER(A$1:A1509, A$1:A1509&lt;&gt;""""))))-1), IF('To Order'!$A1510=COL"&amp;"UMNS($A1510:A1529), A1509&amp;RIGHT(INDIRECT(ADDRESS(ROW(A1510)-1, 'From Order'!$A1510)), 1), A1509))"),"MDJ")</f>
        <v>MDJ</v>
      </c>
      <c r="B1510" s="2" t="str">
        <f>IFERROR(__xludf.DUMMYFUNCTION("IF('From Order'!$A1510=COLUMNS($A1510:B1529), LEFT(INDEX(FILTER(B$1:B1509, B$1:B1509&lt;&gt;""""),COUNTA(FILTER(B$1:B1509, B$1:B1509&lt;&gt;""""))), LEN(INDEX(FILTER(B$1:B1509, B$1:B1509&lt;&gt;""""),COUNTA(FILTER(B$1:B1509, B$1:B1509&lt;&gt;""""))))-1), IF('To Order'!$A1510=COL"&amp;"UMNS($A1510:B1529), B1509&amp;RIGHT(INDIRECT(ADDRESS(ROW(B1510)-1, 'From Order'!$A1510)), 1), B1509))"),"")</f>
        <v/>
      </c>
      <c r="C1510" s="2" t="str">
        <f>IFERROR(__xludf.DUMMYFUNCTION("IF('From Order'!$A1510=COLUMNS($A1510:C1529), LEFT(INDEX(FILTER(C$1:C1509, C$1:C1509&lt;&gt;""""),COUNTA(FILTER(C$1:C1509, C$1:C1509&lt;&gt;""""))), LEN(INDEX(FILTER(C$1:C1509, C$1:C1509&lt;&gt;""""),COUNTA(FILTER(C$1:C1509, C$1:C1509&lt;&gt;""""))))-1), IF('To Order'!$A1510=COL"&amp;"UMNS($A1510:C1529), C1509&amp;RIGHT(INDIRECT(ADDRESS(ROW(C1510)-1, 'From Order'!$A1510)), 1), C1509))"),"TQVQJPP")</f>
        <v>TQVQJPP</v>
      </c>
      <c r="D1510" s="2" t="str">
        <f>IFERROR(__xludf.DUMMYFUNCTION("IF('From Order'!$A1510=COLUMNS($A1510:D1529), LEFT(INDEX(FILTER(D$1:D1509, D$1:D1509&lt;&gt;""""),COUNTA(FILTER(D$1:D1509, D$1:D1509&lt;&gt;""""))), LEN(INDEX(FILTER(D$1:D1509, D$1:D1509&lt;&gt;""""),COUNTA(FILTER(D$1:D1509, D$1:D1509&lt;&gt;""""))))-1), IF('To Order'!$A1510=COL"&amp;"UMNS($A1510:D1529), D1509&amp;RIGHT(INDIRECT(ADDRESS(ROW(D1510)-1, 'From Order'!$A1510)), 1), D1509))"),"CGZCSFHBGJTT")</f>
        <v>CGZCSFHBGJTT</v>
      </c>
      <c r="E1510" s="2" t="str">
        <f>IFERROR(__xludf.DUMMYFUNCTION("IF('From Order'!$A1510=COLUMNS($A1510:E1529), LEFT(INDEX(FILTER(E$1:E1509, E$1:E1509&lt;&gt;""""),COUNTA(FILTER(E$1:E1509, E$1:E1509&lt;&gt;""""))), LEN(INDEX(FILTER(E$1:E1509, E$1:E1509&lt;&gt;""""),COUNTA(FILTER(E$1:E1509, E$1:E1509&lt;&gt;""""))))-1), IF('To Order'!$A1510=COL"&amp;"UMNS($A1510:E1529), E1509&amp;RIGHT(INDIRECT(ADDRESS(ROW(E1510)-1, 'From Order'!$A1510)), 1), E1509))"),"")</f>
        <v/>
      </c>
      <c r="F1510" s="2" t="str">
        <f>IFERROR(__xludf.DUMMYFUNCTION("IF('From Order'!$A1510=COLUMNS($A1510:F1529), LEFT(INDEX(FILTER(F$1:F1509, F$1:F1509&lt;&gt;""""),COUNTA(FILTER(F$1:F1509, F$1:F1509&lt;&gt;""""))), LEN(INDEX(FILTER(F$1:F1509, F$1:F1509&lt;&gt;""""),COUNTA(FILTER(F$1:F1509, F$1:F1509&lt;&gt;""""))))-1), IF('To Order'!$A1510=COL"&amp;"UMNS($A1510:F1529), F1509&amp;RIGHT(INDIRECT(ADDRESS(ROW(F1510)-1, 'From Order'!$A1510)), 1), F1509))"),"ZRLBWLDDTSSTVCDRHZMTDLDSRR")</f>
        <v>ZRLBWLDDTSSTVCDRHZMTDLDSRR</v>
      </c>
      <c r="G1510" s="2" t="str">
        <f>IFERROR(__xludf.DUMMYFUNCTION("IF('From Order'!$A1510=COLUMNS($A1510:G1529), LEFT(INDEX(FILTER(G$1:G1509, G$1:G1509&lt;&gt;""""),COUNTA(FILTER(G$1:G1509, G$1:G1509&lt;&gt;""""))), LEN(INDEX(FILTER(G$1:G1509, G$1:G1509&lt;&gt;""""),COUNTA(FILTER(G$1:G1509, G$1:G1509&lt;&gt;""""))))-1), IF('To Order'!$A1510=COL"&amp;"UMNS($A1510:G1529), G1509&amp;RIGHT(INDIRECT(ADDRESS(ROW(G1510)-1, 'From Order'!$A1510)), 1), G1509))"),"WRMBV")</f>
        <v>WRMBV</v>
      </c>
      <c r="H1510" s="2" t="str">
        <f>IFERROR(__xludf.DUMMYFUNCTION("IF('From Order'!$A1510=COLUMNS($A1510:H1529), LEFT(INDEX(FILTER(H$1:H1509, H$1:H1509&lt;&gt;""""),COUNTA(FILTER(H$1:H1509, H$1:H1509&lt;&gt;""""))), LEN(INDEX(FILTER(H$1:H1509, H$1:H1509&lt;&gt;""""),COUNTA(FILTER(H$1:H1509, H$1:H1509&lt;&gt;""""))))-1), IF('To Order'!$A1510=COL"&amp;"UMNS($A1510:H1529), H1509&amp;RIGHT(INDIRECT(ADDRESS(ROW(H1510)-1, 'From Order'!$A1510)), 1), H1509))"),"FBP")</f>
        <v>FBP</v>
      </c>
      <c r="I1510" s="2" t="str">
        <f>IFERROR(__xludf.DUMMYFUNCTION("IF('From Order'!$A1510=COLUMNS($A1510:I1529), LEFT(INDEX(FILTER(I$1:I1509, I$1:I1509&lt;&gt;""""),COUNTA(FILTER(I$1:I1509, I$1:I1509&lt;&gt;""""))), LEN(INDEX(FILTER(I$1:I1509, I$1:I1509&lt;&gt;""""),COUNTA(FILTER(I$1:I1509, I$1:I1509&lt;&gt;""""))))-1), IF('To Order'!$A1510=COL"&amp;"UMNS($A1510:I1529), I1509&amp;RIGHT(INDIRECT(ADDRESS(ROW(I1510)-1, 'From Order'!$A1510)), 1), I1509))"),"")</f>
        <v/>
      </c>
    </row>
    <row r="1511">
      <c r="A1511" s="2" t="str">
        <f>IFERROR(__xludf.DUMMYFUNCTION("IF('From Order'!$A1511=COLUMNS($A1511:A1530), LEFT(INDEX(FILTER(A$1:A1510, A$1:A1510&lt;&gt;""""),COUNTA(FILTER(A$1:A1510, A$1:A1510&lt;&gt;""""))), LEN(INDEX(FILTER(A$1:A1510, A$1:A1510&lt;&gt;""""),COUNTA(FILTER(A$1:A1510, A$1:A1510&lt;&gt;""""))))-1), IF('To Order'!$A1511=COL"&amp;"UMNS($A1511:A1530), A1510&amp;RIGHT(INDIRECT(ADDRESS(ROW(A1511)-1, 'From Order'!$A1511)), 1), A1510))"),"MDJ")</f>
        <v>MDJ</v>
      </c>
      <c r="B1511" s="2" t="str">
        <f>IFERROR(__xludf.DUMMYFUNCTION("IF('From Order'!$A1511=COLUMNS($A1511:B1530), LEFT(INDEX(FILTER(B$1:B1510, B$1:B1510&lt;&gt;""""),COUNTA(FILTER(B$1:B1510, B$1:B1510&lt;&gt;""""))), LEN(INDEX(FILTER(B$1:B1510, B$1:B1510&lt;&gt;""""),COUNTA(FILTER(B$1:B1510, B$1:B1510&lt;&gt;""""))))-1), IF('To Order'!$A1511=COL"&amp;"UMNS($A1511:B1530), B1510&amp;RIGHT(INDIRECT(ADDRESS(ROW(B1511)-1, 'From Order'!$A1511)), 1), B1510))"),"")</f>
        <v/>
      </c>
      <c r="C1511" s="2" t="str">
        <f>IFERROR(__xludf.DUMMYFUNCTION("IF('From Order'!$A1511=COLUMNS($A1511:C1530), LEFT(INDEX(FILTER(C$1:C1510, C$1:C1510&lt;&gt;""""),COUNTA(FILTER(C$1:C1510, C$1:C1510&lt;&gt;""""))), LEN(INDEX(FILTER(C$1:C1510, C$1:C1510&lt;&gt;""""),COUNTA(FILTER(C$1:C1510, C$1:C1510&lt;&gt;""""))))-1), IF('To Order'!$A1511=COL"&amp;"UMNS($A1511:C1530), C1510&amp;RIGHT(INDIRECT(ADDRESS(ROW(C1511)-1, 'From Order'!$A1511)), 1), C1510))"),"TQVQJPP")</f>
        <v>TQVQJPP</v>
      </c>
      <c r="D1511" s="2" t="str">
        <f>IFERROR(__xludf.DUMMYFUNCTION("IF('From Order'!$A1511=COLUMNS($A1511:D1530), LEFT(INDEX(FILTER(D$1:D1510, D$1:D1510&lt;&gt;""""),COUNTA(FILTER(D$1:D1510, D$1:D1510&lt;&gt;""""))), LEN(INDEX(FILTER(D$1:D1510, D$1:D1510&lt;&gt;""""),COUNTA(FILTER(D$1:D1510, D$1:D1510&lt;&gt;""""))))-1), IF('To Order'!$A1511=COL"&amp;"UMNS($A1511:D1530), D1510&amp;RIGHT(INDIRECT(ADDRESS(ROW(D1511)-1, 'From Order'!$A1511)), 1), D1510))"),"CGZCSFHBGJTT")</f>
        <v>CGZCSFHBGJTT</v>
      </c>
      <c r="E1511" s="2" t="str">
        <f>IFERROR(__xludf.DUMMYFUNCTION("IF('From Order'!$A1511=COLUMNS($A1511:E1530), LEFT(INDEX(FILTER(E$1:E1510, E$1:E1510&lt;&gt;""""),COUNTA(FILTER(E$1:E1510, E$1:E1510&lt;&gt;""""))), LEN(INDEX(FILTER(E$1:E1510, E$1:E1510&lt;&gt;""""),COUNTA(FILTER(E$1:E1510, E$1:E1510&lt;&gt;""""))))-1), IF('To Order'!$A1511=COL"&amp;"UMNS($A1511:E1530), E1510&amp;RIGHT(INDIRECT(ADDRESS(ROW(E1511)-1, 'From Order'!$A1511)), 1), E1510))"),"")</f>
        <v/>
      </c>
      <c r="F1511" s="2" t="str">
        <f>IFERROR(__xludf.DUMMYFUNCTION("IF('From Order'!$A1511=COLUMNS($A1511:F1530), LEFT(INDEX(FILTER(F$1:F1510, F$1:F1510&lt;&gt;""""),COUNTA(FILTER(F$1:F1510, F$1:F1510&lt;&gt;""""))), LEN(INDEX(FILTER(F$1:F1510, F$1:F1510&lt;&gt;""""),COUNTA(FILTER(F$1:F1510, F$1:F1510&lt;&gt;""""))))-1), IF('To Order'!$A1511=COL"&amp;"UMNS($A1511:F1530), F1510&amp;RIGHT(INDIRECT(ADDRESS(ROW(F1511)-1, 'From Order'!$A1511)), 1), F1510))"),"ZRLBWLDDTSSTVCDRHZMTDLDSRRV")</f>
        <v>ZRLBWLDDTSSTVCDRHZMTDLDSRRV</v>
      </c>
      <c r="G1511" s="2" t="str">
        <f>IFERROR(__xludf.DUMMYFUNCTION("IF('From Order'!$A1511=COLUMNS($A1511:G1530), LEFT(INDEX(FILTER(G$1:G1510, G$1:G1510&lt;&gt;""""),COUNTA(FILTER(G$1:G1510, G$1:G1510&lt;&gt;""""))), LEN(INDEX(FILTER(G$1:G1510, G$1:G1510&lt;&gt;""""),COUNTA(FILTER(G$1:G1510, G$1:G1510&lt;&gt;""""))))-1), IF('To Order'!$A1511=COL"&amp;"UMNS($A1511:G1530), G1510&amp;RIGHT(INDIRECT(ADDRESS(ROW(G1511)-1, 'From Order'!$A1511)), 1), G1510))"),"WRMB")</f>
        <v>WRMB</v>
      </c>
      <c r="H1511" s="2" t="str">
        <f>IFERROR(__xludf.DUMMYFUNCTION("IF('From Order'!$A1511=COLUMNS($A1511:H1530), LEFT(INDEX(FILTER(H$1:H1510, H$1:H1510&lt;&gt;""""),COUNTA(FILTER(H$1:H1510, H$1:H1510&lt;&gt;""""))), LEN(INDEX(FILTER(H$1:H1510, H$1:H1510&lt;&gt;""""),COUNTA(FILTER(H$1:H1510, H$1:H1510&lt;&gt;""""))))-1), IF('To Order'!$A1511=COL"&amp;"UMNS($A1511:H1530), H1510&amp;RIGHT(INDIRECT(ADDRESS(ROW(H1511)-1, 'From Order'!$A1511)), 1), H1510))"),"FBP")</f>
        <v>FBP</v>
      </c>
      <c r="I1511" s="2" t="str">
        <f>IFERROR(__xludf.DUMMYFUNCTION("IF('From Order'!$A1511=COLUMNS($A1511:I1530), LEFT(INDEX(FILTER(I$1:I1510, I$1:I1510&lt;&gt;""""),COUNTA(FILTER(I$1:I1510, I$1:I1510&lt;&gt;""""))), LEN(INDEX(FILTER(I$1:I1510, I$1:I1510&lt;&gt;""""),COUNTA(FILTER(I$1:I1510, I$1:I1510&lt;&gt;""""))))-1), IF('To Order'!$A1511=COL"&amp;"UMNS($A1511:I1530), I1510&amp;RIGHT(INDIRECT(ADDRESS(ROW(I1511)-1, 'From Order'!$A1511)), 1), I1510))"),"")</f>
        <v/>
      </c>
    </row>
    <row r="1512">
      <c r="A1512" s="2" t="str">
        <f>IFERROR(__xludf.DUMMYFUNCTION("IF('From Order'!$A1512=COLUMNS($A1512:A1531), LEFT(INDEX(FILTER(A$1:A1511, A$1:A1511&lt;&gt;""""),COUNTA(FILTER(A$1:A1511, A$1:A1511&lt;&gt;""""))), LEN(INDEX(FILTER(A$1:A1511, A$1:A1511&lt;&gt;""""),COUNTA(FILTER(A$1:A1511, A$1:A1511&lt;&gt;""""))))-1), IF('To Order'!$A1512=COL"&amp;"UMNS($A1512:A1531), A1511&amp;RIGHT(INDIRECT(ADDRESS(ROW(A1512)-1, 'From Order'!$A1512)), 1), A1511))"),"MDJ")</f>
        <v>MDJ</v>
      </c>
      <c r="B1512" s="2" t="str">
        <f>IFERROR(__xludf.DUMMYFUNCTION("IF('From Order'!$A1512=COLUMNS($A1512:B1531), LEFT(INDEX(FILTER(B$1:B1511, B$1:B1511&lt;&gt;""""),COUNTA(FILTER(B$1:B1511, B$1:B1511&lt;&gt;""""))), LEN(INDEX(FILTER(B$1:B1511, B$1:B1511&lt;&gt;""""),COUNTA(FILTER(B$1:B1511, B$1:B1511&lt;&gt;""""))))-1), IF('To Order'!$A1512=COL"&amp;"UMNS($A1512:B1531), B1511&amp;RIGHT(INDIRECT(ADDRESS(ROW(B1512)-1, 'From Order'!$A1512)), 1), B1511))"),"")</f>
        <v/>
      </c>
      <c r="C1512" s="2" t="str">
        <f>IFERROR(__xludf.DUMMYFUNCTION("IF('From Order'!$A1512=COLUMNS($A1512:C1531), LEFT(INDEX(FILTER(C$1:C1511, C$1:C1511&lt;&gt;""""),COUNTA(FILTER(C$1:C1511, C$1:C1511&lt;&gt;""""))), LEN(INDEX(FILTER(C$1:C1511, C$1:C1511&lt;&gt;""""),COUNTA(FILTER(C$1:C1511, C$1:C1511&lt;&gt;""""))))-1), IF('To Order'!$A1512=COL"&amp;"UMNS($A1512:C1531), C1511&amp;RIGHT(INDIRECT(ADDRESS(ROW(C1512)-1, 'From Order'!$A1512)), 1), C1511))"),"TQVQJPP")</f>
        <v>TQVQJPP</v>
      </c>
      <c r="D1512" s="2" t="str">
        <f>IFERROR(__xludf.DUMMYFUNCTION("IF('From Order'!$A1512=COLUMNS($A1512:D1531), LEFT(INDEX(FILTER(D$1:D1511, D$1:D1511&lt;&gt;""""),COUNTA(FILTER(D$1:D1511, D$1:D1511&lt;&gt;""""))), LEN(INDEX(FILTER(D$1:D1511, D$1:D1511&lt;&gt;""""),COUNTA(FILTER(D$1:D1511, D$1:D1511&lt;&gt;""""))))-1), IF('To Order'!$A1512=COL"&amp;"UMNS($A1512:D1531), D1511&amp;RIGHT(INDIRECT(ADDRESS(ROW(D1512)-1, 'From Order'!$A1512)), 1), D1511))"),"CGZCSFHBGJTT")</f>
        <v>CGZCSFHBGJTT</v>
      </c>
      <c r="E1512" s="2" t="str">
        <f>IFERROR(__xludf.DUMMYFUNCTION("IF('From Order'!$A1512=COLUMNS($A1512:E1531), LEFT(INDEX(FILTER(E$1:E1511, E$1:E1511&lt;&gt;""""),COUNTA(FILTER(E$1:E1511, E$1:E1511&lt;&gt;""""))), LEN(INDEX(FILTER(E$1:E1511, E$1:E1511&lt;&gt;""""),COUNTA(FILTER(E$1:E1511, E$1:E1511&lt;&gt;""""))))-1), IF('To Order'!$A1512=COL"&amp;"UMNS($A1512:E1531), E1511&amp;RIGHT(INDIRECT(ADDRESS(ROW(E1512)-1, 'From Order'!$A1512)), 1), E1511))"),"")</f>
        <v/>
      </c>
      <c r="F1512" s="2" t="str">
        <f>IFERROR(__xludf.DUMMYFUNCTION("IF('From Order'!$A1512=COLUMNS($A1512:F1531), LEFT(INDEX(FILTER(F$1:F1511, F$1:F1511&lt;&gt;""""),COUNTA(FILTER(F$1:F1511, F$1:F1511&lt;&gt;""""))), LEN(INDEX(FILTER(F$1:F1511, F$1:F1511&lt;&gt;""""),COUNTA(FILTER(F$1:F1511, F$1:F1511&lt;&gt;""""))))-1), IF('To Order'!$A1512=COL"&amp;"UMNS($A1512:F1531), F1511&amp;RIGHT(INDIRECT(ADDRESS(ROW(F1512)-1, 'From Order'!$A1512)), 1), F1511))"),"ZRLBWLDDTSSTVCDRHZMTDLDSRRVB")</f>
        <v>ZRLBWLDDTSSTVCDRHZMTDLDSRRVB</v>
      </c>
      <c r="G1512" s="2" t="str">
        <f>IFERROR(__xludf.DUMMYFUNCTION("IF('From Order'!$A1512=COLUMNS($A1512:G1531), LEFT(INDEX(FILTER(G$1:G1511, G$1:G1511&lt;&gt;""""),COUNTA(FILTER(G$1:G1511, G$1:G1511&lt;&gt;""""))), LEN(INDEX(FILTER(G$1:G1511, G$1:G1511&lt;&gt;""""),COUNTA(FILTER(G$1:G1511, G$1:G1511&lt;&gt;""""))))-1), IF('To Order'!$A1512=COL"&amp;"UMNS($A1512:G1531), G1511&amp;RIGHT(INDIRECT(ADDRESS(ROW(G1512)-1, 'From Order'!$A1512)), 1), G1511))"),"WRM")</f>
        <v>WRM</v>
      </c>
      <c r="H1512" s="2" t="str">
        <f>IFERROR(__xludf.DUMMYFUNCTION("IF('From Order'!$A1512=COLUMNS($A1512:H1531), LEFT(INDEX(FILTER(H$1:H1511, H$1:H1511&lt;&gt;""""),COUNTA(FILTER(H$1:H1511, H$1:H1511&lt;&gt;""""))), LEN(INDEX(FILTER(H$1:H1511, H$1:H1511&lt;&gt;""""),COUNTA(FILTER(H$1:H1511, H$1:H1511&lt;&gt;""""))))-1), IF('To Order'!$A1512=COL"&amp;"UMNS($A1512:H1531), H1511&amp;RIGHT(INDIRECT(ADDRESS(ROW(H1512)-1, 'From Order'!$A1512)), 1), H1511))"),"FBP")</f>
        <v>FBP</v>
      </c>
      <c r="I1512" s="2" t="str">
        <f>IFERROR(__xludf.DUMMYFUNCTION("IF('From Order'!$A1512=COLUMNS($A1512:I1531), LEFT(INDEX(FILTER(I$1:I1511, I$1:I1511&lt;&gt;""""),COUNTA(FILTER(I$1:I1511, I$1:I1511&lt;&gt;""""))), LEN(INDEX(FILTER(I$1:I1511, I$1:I1511&lt;&gt;""""),COUNTA(FILTER(I$1:I1511, I$1:I1511&lt;&gt;""""))))-1), IF('To Order'!$A1512=COL"&amp;"UMNS($A1512:I1531), I1511&amp;RIGHT(INDIRECT(ADDRESS(ROW(I1512)-1, 'From Order'!$A1512)), 1), I1511))"),"")</f>
        <v/>
      </c>
    </row>
    <row r="1513">
      <c r="A1513" s="2" t="str">
        <f>IFERROR(__xludf.DUMMYFUNCTION("IF('From Order'!$A1513=COLUMNS($A1513:A1532), LEFT(INDEX(FILTER(A$1:A1512, A$1:A1512&lt;&gt;""""),COUNTA(FILTER(A$1:A1512, A$1:A1512&lt;&gt;""""))), LEN(INDEX(FILTER(A$1:A1512, A$1:A1512&lt;&gt;""""),COUNTA(FILTER(A$1:A1512, A$1:A1512&lt;&gt;""""))))-1), IF('To Order'!$A1513=COL"&amp;"UMNS($A1513:A1532), A1512&amp;RIGHT(INDIRECT(ADDRESS(ROW(A1513)-1, 'From Order'!$A1513)), 1), A1512))"),"MDJ")</f>
        <v>MDJ</v>
      </c>
      <c r="B1513" s="2" t="str">
        <f>IFERROR(__xludf.DUMMYFUNCTION("IF('From Order'!$A1513=COLUMNS($A1513:B1532), LEFT(INDEX(FILTER(B$1:B1512, B$1:B1512&lt;&gt;""""),COUNTA(FILTER(B$1:B1512, B$1:B1512&lt;&gt;""""))), LEN(INDEX(FILTER(B$1:B1512, B$1:B1512&lt;&gt;""""),COUNTA(FILTER(B$1:B1512, B$1:B1512&lt;&gt;""""))))-1), IF('To Order'!$A1513=COL"&amp;"UMNS($A1513:B1532), B1512&amp;RIGHT(INDIRECT(ADDRESS(ROW(B1513)-1, 'From Order'!$A1513)), 1), B1512))"),"")</f>
        <v/>
      </c>
      <c r="C1513" s="2" t="str">
        <f>IFERROR(__xludf.DUMMYFUNCTION("IF('From Order'!$A1513=COLUMNS($A1513:C1532), LEFT(INDEX(FILTER(C$1:C1512, C$1:C1512&lt;&gt;""""),COUNTA(FILTER(C$1:C1512, C$1:C1512&lt;&gt;""""))), LEN(INDEX(FILTER(C$1:C1512, C$1:C1512&lt;&gt;""""),COUNTA(FILTER(C$1:C1512, C$1:C1512&lt;&gt;""""))))-1), IF('To Order'!$A1513=COL"&amp;"UMNS($A1513:C1532), C1512&amp;RIGHT(INDIRECT(ADDRESS(ROW(C1513)-1, 'From Order'!$A1513)), 1), C1512))"),"TQVQJPP")</f>
        <v>TQVQJPP</v>
      </c>
      <c r="D1513" s="2" t="str">
        <f>IFERROR(__xludf.DUMMYFUNCTION("IF('From Order'!$A1513=COLUMNS($A1513:D1532), LEFT(INDEX(FILTER(D$1:D1512, D$1:D1512&lt;&gt;""""),COUNTA(FILTER(D$1:D1512, D$1:D1512&lt;&gt;""""))), LEN(INDEX(FILTER(D$1:D1512, D$1:D1512&lt;&gt;""""),COUNTA(FILTER(D$1:D1512, D$1:D1512&lt;&gt;""""))))-1), IF('To Order'!$A1513=COL"&amp;"UMNS($A1513:D1532), D1512&amp;RIGHT(INDIRECT(ADDRESS(ROW(D1513)-1, 'From Order'!$A1513)), 1), D1512))"),"CGZCSFHBGJTT")</f>
        <v>CGZCSFHBGJTT</v>
      </c>
      <c r="E1513" s="2" t="str">
        <f>IFERROR(__xludf.DUMMYFUNCTION("IF('From Order'!$A1513=COLUMNS($A1513:E1532), LEFT(INDEX(FILTER(E$1:E1512, E$1:E1512&lt;&gt;""""),COUNTA(FILTER(E$1:E1512, E$1:E1512&lt;&gt;""""))), LEN(INDEX(FILTER(E$1:E1512, E$1:E1512&lt;&gt;""""),COUNTA(FILTER(E$1:E1512, E$1:E1512&lt;&gt;""""))))-1), IF('To Order'!$A1513=COL"&amp;"UMNS($A1513:E1532), E1512&amp;RIGHT(INDIRECT(ADDRESS(ROW(E1513)-1, 'From Order'!$A1513)), 1), E1512))"),"")</f>
        <v/>
      </c>
      <c r="F1513" s="2" t="str">
        <f>IFERROR(__xludf.DUMMYFUNCTION("IF('From Order'!$A1513=COLUMNS($A1513:F1532), LEFT(INDEX(FILTER(F$1:F1512, F$1:F1512&lt;&gt;""""),COUNTA(FILTER(F$1:F1512, F$1:F1512&lt;&gt;""""))), LEN(INDEX(FILTER(F$1:F1512, F$1:F1512&lt;&gt;""""),COUNTA(FILTER(F$1:F1512, F$1:F1512&lt;&gt;""""))))-1), IF('To Order'!$A1513=COL"&amp;"UMNS($A1513:F1532), F1512&amp;RIGHT(INDIRECT(ADDRESS(ROW(F1513)-1, 'From Order'!$A1513)), 1), F1512))"),"ZRLBWLDDTSSTVCDRHZMTDLDSRRVBM")</f>
        <v>ZRLBWLDDTSSTVCDRHZMTDLDSRRVBM</v>
      </c>
      <c r="G1513" s="2" t="str">
        <f>IFERROR(__xludf.DUMMYFUNCTION("IF('From Order'!$A1513=COLUMNS($A1513:G1532), LEFT(INDEX(FILTER(G$1:G1512, G$1:G1512&lt;&gt;""""),COUNTA(FILTER(G$1:G1512, G$1:G1512&lt;&gt;""""))), LEN(INDEX(FILTER(G$1:G1512, G$1:G1512&lt;&gt;""""),COUNTA(FILTER(G$1:G1512, G$1:G1512&lt;&gt;""""))))-1), IF('To Order'!$A1513=COL"&amp;"UMNS($A1513:G1532), G1512&amp;RIGHT(INDIRECT(ADDRESS(ROW(G1513)-1, 'From Order'!$A1513)), 1), G1512))"),"WR")</f>
        <v>WR</v>
      </c>
      <c r="H1513" s="2" t="str">
        <f>IFERROR(__xludf.DUMMYFUNCTION("IF('From Order'!$A1513=COLUMNS($A1513:H1532), LEFT(INDEX(FILTER(H$1:H1512, H$1:H1512&lt;&gt;""""),COUNTA(FILTER(H$1:H1512, H$1:H1512&lt;&gt;""""))), LEN(INDEX(FILTER(H$1:H1512, H$1:H1512&lt;&gt;""""),COUNTA(FILTER(H$1:H1512, H$1:H1512&lt;&gt;""""))))-1), IF('To Order'!$A1513=COL"&amp;"UMNS($A1513:H1532), H1512&amp;RIGHT(INDIRECT(ADDRESS(ROW(H1513)-1, 'From Order'!$A1513)), 1), H1512))"),"FBP")</f>
        <v>FBP</v>
      </c>
      <c r="I1513" s="2" t="str">
        <f>IFERROR(__xludf.DUMMYFUNCTION("IF('From Order'!$A1513=COLUMNS($A1513:I1532), LEFT(INDEX(FILTER(I$1:I1512, I$1:I1512&lt;&gt;""""),COUNTA(FILTER(I$1:I1512, I$1:I1512&lt;&gt;""""))), LEN(INDEX(FILTER(I$1:I1512, I$1:I1512&lt;&gt;""""),COUNTA(FILTER(I$1:I1512, I$1:I1512&lt;&gt;""""))))-1), IF('To Order'!$A1513=COL"&amp;"UMNS($A1513:I1532), I1512&amp;RIGHT(INDIRECT(ADDRESS(ROW(I1513)-1, 'From Order'!$A1513)), 1), I1512))"),"")</f>
        <v/>
      </c>
    </row>
    <row r="1514">
      <c r="A1514" s="2" t="str">
        <f>IFERROR(__xludf.DUMMYFUNCTION("IF('From Order'!$A1514=COLUMNS($A1514:A1533), LEFT(INDEX(FILTER(A$1:A1513, A$1:A1513&lt;&gt;""""),COUNTA(FILTER(A$1:A1513, A$1:A1513&lt;&gt;""""))), LEN(INDEX(FILTER(A$1:A1513, A$1:A1513&lt;&gt;""""),COUNTA(FILTER(A$1:A1513, A$1:A1513&lt;&gt;""""))))-1), IF('To Order'!$A1514=COL"&amp;"UMNS($A1514:A1533), A1513&amp;RIGHT(INDIRECT(ADDRESS(ROW(A1514)-1, 'From Order'!$A1514)), 1), A1513))"),"MDJ")</f>
        <v>MDJ</v>
      </c>
      <c r="B1514" s="2" t="str">
        <f>IFERROR(__xludf.DUMMYFUNCTION("IF('From Order'!$A1514=COLUMNS($A1514:B1533), LEFT(INDEX(FILTER(B$1:B1513, B$1:B1513&lt;&gt;""""),COUNTA(FILTER(B$1:B1513, B$1:B1513&lt;&gt;""""))), LEN(INDEX(FILTER(B$1:B1513, B$1:B1513&lt;&gt;""""),COUNTA(FILTER(B$1:B1513, B$1:B1513&lt;&gt;""""))))-1), IF('To Order'!$A1514=COL"&amp;"UMNS($A1514:B1533), B1513&amp;RIGHT(INDIRECT(ADDRESS(ROW(B1514)-1, 'From Order'!$A1514)), 1), B1513))"),"R")</f>
        <v>R</v>
      </c>
      <c r="C1514" s="2" t="str">
        <f>IFERROR(__xludf.DUMMYFUNCTION("IF('From Order'!$A1514=COLUMNS($A1514:C1533), LEFT(INDEX(FILTER(C$1:C1513, C$1:C1513&lt;&gt;""""),COUNTA(FILTER(C$1:C1513, C$1:C1513&lt;&gt;""""))), LEN(INDEX(FILTER(C$1:C1513, C$1:C1513&lt;&gt;""""),COUNTA(FILTER(C$1:C1513, C$1:C1513&lt;&gt;""""))))-1), IF('To Order'!$A1514=COL"&amp;"UMNS($A1514:C1533), C1513&amp;RIGHT(INDIRECT(ADDRESS(ROW(C1514)-1, 'From Order'!$A1514)), 1), C1513))"),"TQVQJPP")</f>
        <v>TQVQJPP</v>
      </c>
      <c r="D1514" s="2" t="str">
        <f>IFERROR(__xludf.DUMMYFUNCTION("IF('From Order'!$A1514=COLUMNS($A1514:D1533), LEFT(INDEX(FILTER(D$1:D1513, D$1:D1513&lt;&gt;""""),COUNTA(FILTER(D$1:D1513, D$1:D1513&lt;&gt;""""))), LEN(INDEX(FILTER(D$1:D1513, D$1:D1513&lt;&gt;""""),COUNTA(FILTER(D$1:D1513, D$1:D1513&lt;&gt;""""))))-1), IF('To Order'!$A1514=COL"&amp;"UMNS($A1514:D1533), D1513&amp;RIGHT(INDIRECT(ADDRESS(ROW(D1514)-1, 'From Order'!$A1514)), 1), D1513))"),"CGZCSFHBGJTT")</f>
        <v>CGZCSFHBGJTT</v>
      </c>
      <c r="E1514" s="2" t="str">
        <f>IFERROR(__xludf.DUMMYFUNCTION("IF('From Order'!$A1514=COLUMNS($A1514:E1533), LEFT(INDEX(FILTER(E$1:E1513, E$1:E1513&lt;&gt;""""),COUNTA(FILTER(E$1:E1513, E$1:E1513&lt;&gt;""""))), LEN(INDEX(FILTER(E$1:E1513, E$1:E1513&lt;&gt;""""),COUNTA(FILTER(E$1:E1513, E$1:E1513&lt;&gt;""""))))-1), IF('To Order'!$A1514=COL"&amp;"UMNS($A1514:E1533), E1513&amp;RIGHT(INDIRECT(ADDRESS(ROW(E1514)-1, 'From Order'!$A1514)), 1), E1513))"),"")</f>
        <v/>
      </c>
      <c r="F1514" s="2" t="str">
        <f>IFERROR(__xludf.DUMMYFUNCTION("IF('From Order'!$A1514=COLUMNS($A1514:F1533), LEFT(INDEX(FILTER(F$1:F1513, F$1:F1513&lt;&gt;""""),COUNTA(FILTER(F$1:F1513, F$1:F1513&lt;&gt;""""))), LEN(INDEX(FILTER(F$1:F1513, F$1:F1513&lt;&gt;""""),COUNTA(FILTER(F$1:F1513, F$1:F1513&lt;&gt;""""))))-1), IF('To Order'!$A1514=COL"&amp;"UMNS($A1514:F1533), F1513&amp;RIGHT(INDIRECT(ADDRESS(ROW(F1514)-1, 'From Order'!$A1514)), 1), F1513))"),"ZRLBWLDDTSSTVCDRHZMTDLDSRRVBM")</f>
        <v>ZRLBWLDDTSSTVCDRHZMTDLDSRRVBM</v>
      </c>
      <c r="G1514" s="2" t="str">
        <f>IFERROR(__xludf.DUMMYFUNCTION("IF('From Order'!$A1514=COLUMNS($A1514:G1533), LEFT(INDEX(FILTER(G$1:G1513, G$1:G1513&lt;&gt;""""),COUNTA(FILTER(G$1:G1513, G$1:G1513&lt;&gt;""""))), LEN(INDEX(FILTER(G$1:G1513, G$1:G1513&lt;&gt;""""),COUNTA(FILTER(G$1:G1513, G$1:G1513&lt;&gt;""""))))-1), IF('To Order'!$A1514=COL"&amp;"UMNS($A1514:G1533), G1513&amp;RIGHT(INDIRECT(ADDRESS(ROW(G1514)-1, 'From Order'!$A1514)), 1), G1513))"),"W")</f>
        <v>W</v>
      </c>
      <c r="H1514" s="2" t="str">
        <f>IFERROR(__xludf.DUMMYFUNCTION("IF('From Order'!$A1514=COLUMNS($A1514:H1533), LEFT(INDEX(FILTER(H$1:H1513, H$1:H1513&lt;&gt;""""),COUNTA(FILTER(H$1:H1513, H$1:H1513&lt;&gt;""""))), LEN(INDEX(FILTER(H$1:H1513, H$1:H1513&lt;&gt;""""),COUNTA(FILTER(H$1:H1513, H$1:H1513&lt;&gt;""""))))-1), IF('To Order'!$A1514=COL"&amp;"UMNS($A1514:H1533), H1513&amp;RIGHT(INDIRECT(ADDRESS(ROW(H1514)-1, 'From Order'!$A1514)), 1), H1513))"),"FBP")</f>
        <v>FBP</v>
      </c>
      <c r="I1514" s="2" t="str">
        <f>IFERROR(__xludf.DUMMYFUNCTION("IF('From Order'!$A1514=COLUMNS($A1514:I1533), LEFT(INDEX(FILTER(I$1:I1513, I$1:I1513&lt;&gt;""""),COUNTA(FILTER(I$1:I1513, I$1:I1513&lt;&gt;""""))), LEN(INDEX(FILTER(I$1:I1513, I$1:I1513&lt;&gt;""""),COUNTA(FILTER(I$1:I1513, I$1:I1513&lt;&gt;""""))))-1), IF('To Order'!$A1514=COL"&amp;"UMNS($A1514:I1533), I1513&amp;RIGHT(INDIRECT(ADDRESS(ROW(I1514)-1, 'From Order'!$A1514)), 1), I1513))"),"")</f>
        <v/>
      </c>
    </row>
    <row r="1515">
      <c r="A1515" s="2" t="str">
        <f>IFERROR(__xludf.DUMMYFUNCTION("IF('From Order'!$A1515=COLUMNS($A1515:A1534), LEFT(INDEX(FILTER(A$1:A1514, A$1:A1514&lt;&gt;""""),COUNTA(FILTER(A$1:A1514, A$1:A1514&lt;&gt;""""))), LEN(INDEX(FILTER(A$1:A1514, A$1:A1514&lt;&gt;""""),COUNTA(FILTER(A$1:A1514, A$1:A1514&lt;&gt;""""))))-1), IF('To Order'!$A1515=COL"&amp;"UMNS($A1515:A1534), A1514&amp;RIGHT(INDIRECT(ADDRESS(ROW(A1515)-1, 'From Order'!$A1515)), 1), A1514))"),"MDJ")</f>
        <v>MDJ</v>
      </c>
      <c r="B1515" s="2" t="str">
        <f>IFERROR(__xludf.DUMMYFUNCTION("IF('From Order'!$A1515=COLUMNS($A1515:B1534), LEFT(INDEX(FILTER(B$1:B1514, B$1:B1514&lt;&gt;""""),COUNTA(FILTER(B$1:B1514, B$1:B1514&lt;&gt;""""))), LEN(INDEX(FILTER(B$1:B1514, B$1:B1514&lt;&gt;""""),COUNTA(FILTER(B$1:B1514, B$1:B1514&lt;&gt;""""))))-1), IF('To Order'!$A1515=COL"&amp;"UMNS($A1515:B1534), B1514&amp;RIGHT(INDIRECT(ADDRESS(ROW(B1515)-1, 'From Order'!$A1515)), 1), B1514))"),"R")</f>
        <v>R</v>
      </c>
      <c r="C1515" s="2" t="str">
        <f>IFERROR(__xludf.DUMMYFUNCTION("IF('From Order'!$A1515=COLUMNS($A1515:C1534), LEFT(INDEX(FILTER(C$1:C1514, C$1:C1514&lt;&gt;""""),COUNTA(FILTER(C$1:C1514, C$1:C1514&lt;&gt;""""))), LEN(INDEX(FILTER(C$1:C1514, C$1:C1514&lt;&gt;""""),COUNTA(FILTER(C$1:C1514, C$1:C1514&lt;&gt;""""))))-1), IF('To Order'!$A1515=COL"&amp;"UMNS($A1515:C1534), C1514&amp;RIGHT(INDIRECT(ADDRESS(ROW(C1515)-1, 'From Order'!$A1515)), 1), C1514))"),"TQVQJPP")</f>
        <v>TQVQJPP</v>
      </c>
      <c r="D1515" s="2" t="str">
        <f>IFERROR(__xludf.DUMMYFUNCTION("IF('From Order'!$A1515=COLUMNS($A1515:D1534), LEFT(INDEX(FILTER(D$1:D1514, D$1:D1514&lt;&gt;""""),COUNTA(FILTER(D$1:D1514, D$1:D1514&lt;&gt;""""))), LEN(INDEX(FILTER(D$1:D1514, D$1:D1514&lt;&gt;""""),COUNTA(FILTER(D$1:D1514, D$1:D1514&lt;&gt;""""))))-1), IF('To Order'!$A1515=COL"&amp;"UMNS($A1515:D1534), D1514&amp;RIGHT(INDIRECT(ADDRESS(ROW(D1515)-1, 'From Order'!$A1515)), 1), D1514))"),"CGZCSFHBGJTT")</f>
        <v>CGZCSFHBGJTT</v>
      </c>
      <c r="E1515" s="2" t="str">
        <f>IFERROR(__xludf.DUMMYFUNCTION("IF('From Order'!$A1515=COLUMNS($A1515:E1534), LEFT(INDEX(FILTER(E$1:E1514, E$1:E1514&lt;&gt;""""),COUNTA(FILTER(E$1:E1514, E$1:E1514&lt;&gt;""""))), LEN(INDEX(FILTER(E$1:E1514, E$1:E1514&lt;&gt;""""),COUNTA(FILTER(E$1:E1514, E$1:E1514&lt;&gt;""""))))-1), IF('To Order'!$A1515=COL"&amp;"UMNS($A1515:E1534), E1514&amp;RIGHT(INDIRECT(ADDRESS(ROW(E1515)-1, 'From Order'!$A1515)), 1), E1514))"),"W")</f>
        <v>W</v>
      </c>
      <c r="F1515" s="2" t="str">
        <f>IFERROR(__xludf.DUMMYFUNCTION("IF('From Order'!$A1515=COLUMNS($A1515:F1534), LEFT(INDEX(FILTER(F$1:F1514, F$1:F1514&lt;&gt;""""),COUNTA(FILTER(F$1:F1514, F$1:F1514&lt;&gt;""""))), LEN(INDEX(FILTER(F$1:F1514, F$1:F1514&lt;&gt;""""),COUNTA(FILTER(F$1:F1514, F$1:F1514&lt;&gt;""""))))-1), IF('To Order'!$A1515=COL"&amp;"UMNS($A1515:F1534), F1514&amp;RIGHT(INDIRECT(ADDRESS(ROW(F1515)-1, 'From Order'!$A1515)), 1), F1514))"),"ZRLBWLDDTSSTVCDRHZMTDLDSRRVBM")</f>
        <v>ZRLBWLDDTSSTVCDRHZMTDLDSRRVBM</v>
      </c>
      <c r="G1515" s="2" t="str">
        <f>IFERROR(__xludf.DUMMYFUNCTION("IF('From Order'!$A1515=COLUMNS($A1515:G1534), LEFT(INDEX(FILTER(G$1:G1514, G$1:G1514&lt;&gt;""""),COUNTA(FILTER(G$1:G1514, G$1:G1514&lt;&gt;""""))), LEN(INDEX(FILTER(G$1:G1514, G$1:G1514&lt;&gt;""""),COUNTA(FILTER(G$1:G1514, G$1:G1514&lt;&gt;""""))))-1), IF('To Order'!$A1515=COL"&amp;"UMNS($A1515:G1534), G1514&amp;RIGHT(INDIRECT(ADDRESS(ROW(G1515)-1, 'From Order'!$A1515)), 1), G1514))"),"")</f>
        <v/>
      </c>
      <c r="H1515" s="2" t="str">
        <f>IFERROR(__xludf.DUMMYFUNCTION("IF('From Order'!$A1515=COLUMNS($A1515:H1534), LEFT(INDEX(FILTER(H$1:H1514, H$1:H1514&lt;&gt;""""),COUNTA(FILTER(H$1:H1514, H$1:H1514&lt;&gt;""""))), LEN(INDEX(FILTER(H$1:H1514, H$1:H1514&lt;&gt;""""),COUNTA(FILTER(H$1:H1514, H$1:H1514&lt;&gt;""""))))-1), IF('To Order'!$A1515=COL"&amp;"UMNS($A1515:H1534), H1514&amp;RIGHT(INDIRECT(ADDRESS(ROW(H1515)-1, 'From Order'!$A1515)), 1), H1514))"),"FBP")</f>
        <v>FBP</v>
      </c>
      <c r="I1515" s="2" t="str">
        <f>IFERROR(__xludf.DUMMYFUNCTION("IF('From Order'!$A1515=COLUMNS($A1515:I1534), LEFT(INDEX(FILTER(I$1:I1514, I$1:I1514&lt;&gt;""""),COUNTA(FILTER(I$1:I1514, I$1:I1514&lt;&gt;""""))), LEN(INDEX(FILTER(I$1:I1514, I$1:I1514&lt;&gt;""""),COUNTA(FILTER(I$1:I1514, I$1:I1514&lt;&gt;""""))))-1), IF('To Order'!$A1515=COL"&amp;"UMNS($A1515:I1534), I1514&amp;RIGHT(INDIRECT(ADDRESS(ROW(I1515)-1, 'From Order'!$A1515)), 1), I1514))"),"")</f>
        <v/>
      </c>
    </row>
    <row r="1516">
      <c r="A1516" s="2" t="str">
        <f>IFERROR(__xludf.DUMMYFUNCTION("IF('From Order'!$A1516=COLUMNS($A1516:A1535), LEFT(INDEX(FILTER(A$1:A1515, A$1:A1515&lt;&gt;""""),COUNTA(FILTER(A$1:A1515, A$1:A1515&lt;&gt;""""))), LEN(INDEX(FILTER(A$1:A1515, A$1:A1515&lt;&gt;""""),COUNTA(FILTER(A$1:A1515, A$1:A1515&lt;&gt;""""))))-1), IF('To Order'!$A1516=COL"&amp;"UMNS($A1516:A1535), A1515&amp;RIGHT(INDIRECT(ADDRESS(ROW(A1516)-1, 'From Order'!$A1516)), 1), A1515))"),"MDJ")</f>
        <v>MDJ</v>
      </c>
      <c r="B1516" s="2" t="str">
        <f>IFERROR(__xludf.DUMMYFUNCTION("IF('From Order'!$A1516=COLUMNS($A1516:B1535), LEFT(INDEX(FILTER(B$1:B1515, B$1:B1515&lt;&gt;""""),COUNTA(FILTER(B$1:B1515, B$1:B1515&lt;&gt;""""))), LEN(INDEX(FILTER(B$1:B1515, B$1:B1515&lt;&gt;""""),COUNTA(FILTER(B$1:B1515, B$1:B1515&lt;&gt;""""))))-1), IF('To Order'!$A1516=COL"&amp;"UMNS($A1516:B1535), B1515&amp;RIGHT(INDIRECT(ADDRESS(ROW(B1516)-1, 'From Order'!$A1516)), 1), B1515))"),"R")</f>
        <v>R</v>
      </c>
      <c r="C1516" s="2" t="str">
        <f>IFERROR(__xludf.DUMMYFUNCTION("IF('From Order'!$A1516=COLUMNS($A1516:C1535), LEFT(INDEX(FILTER(C$1:C1515, C$1:C1515&lt;&gt;""""),COUNTA(FILTER(C$1:C1515, C$1:C1515&lt;&gt;""""))), LEN(INDEX(FILTER(C$1:C1515, C$1:C1515&lt;&gt;""""),COUNTA(FILTER(C$1:C1515, C$1:C1515&lt;&gt;""""))))-1), IF('To Order'!$A1516=COL"&amp;"UMNS($A1516:C1535), C1515&amp;RIGHT(INDIRECT(ADDRESS(ROW(C1516)-1, 'From Order'!$A1516)), 1), C1515))"),"TQVQJPP")</f>
        <v>TQVQJPP</v>
      </c>
      <c r="D1516" s="2" t="str">
        <f>IFERROR(__xludf.DUMMYFUNCTION("IF('From Order'!$A1516=COLUMNS($A1516:D1535), LEFT(INDEX(FILTER(D$1:D1515, D$1:D1515&lt;&gt;""""),COUNTA(FILTER(D$1:D1515, D$1:D1515&lt;&gt;""""))), LEN(INDEX(FILTER(D$1:D1515, D$1:D1515&lt;&gt;""""),COUNTA(FILTER(D$1:D1515, D$1:D1515&lt;&gt;""""))))-1), IF('To Order'!$A1516=COL"&amp;"UMNS($A1516:D1535), D1515&amp;RIGHT(INDIRECT(ADDRESS(ROW(D1516)-1, 'From Order'!$A1516)), 1), D1515))"),"CGZCSFHBGJTTP")</f>
        <v>CGZCSFHBGJTTP</v>
      </c>
      <c r="E1516" s="2" t="str">
        <f>IFERROR(__xludf.DUMMYFUNCTION("IF('From Order'!$A1516=COLUMNS($A1516:E1535), LEFT(INDEX(FILTER(E$1:E1515, E$1:E1515&lt;&gt;""""),COUNTA(FILTER(E$1:E1515, E$1:E1515&lt;&gt;""""))), LEN(INDEX(FILTER(E$1:E1515, E$1:E1515&lt;&gt;""""),COUNTA(FILTER(E$1:E1515, E$1:E1515&lt;&gt;""""))))-1), IF('To Order'!$A1516=COL"&amp;"UMNS($A1516:E1535), E1515&amp;RIGHT(INDIRECT(ADDRESS(ROW(E1516)-1, 'From Order'!$A1516)), 1), E1515))"),"W")</f>
        <v>W</v>
      </c>
      <c r="F1516" s="2" t="str">
        <f>IFERROR(__xludf.DUMMYFUNCTION("IF('From Order'!$A1516=COLUMNS($A1516:F1535), LEFT(INDEX(FILTER(F$1:F1515, F$1:F1515&lt;&gt;""""),COUNTA(FILTER(F$1:F1515, F$1:F1515&lt;&gt;""""))), LEN(INDEX(FILTER(F$1:F1515, F$1:F1515&lt;&gt;""""),COUNTA(FILTER(F$1:F1515, F$1:F1515&lt;&gt;""""))))-1), IF('To Order'!$A1516=COL"&amp;"UMNS($A1516:F1535), F1515&amp;RIGHT(INDIRECT(ADDRESS(ROW(F1516)-1, 'From Order'!$A1516)), 1), F1515))"),"ZRLBWLDDTSSTVCDRHZMTDLDSRRVBM")</f>
        <v>ZRLBWLDDTSSTVCDRHZMTDLDSRRVBM</v>
      </c>
      <c r="G1516" s="2" t="str">
        <f>IFERROR(__xludf.DUMMYFUNCTION("IF('From Order'!$A1516=COLUMNS($A1516:G1535), LEFT(INDEX(FILTER(G$1:G1515, G$1:G1515&lt;&gt;""""),COUNTA(FILTER(G$1:G1515, G$1:G1515&lt;&gt;""""))), LEN(INDEX(FILTER(G$1:G1515, G$1:G1515&lt;&gt;""""),COUNTA(FILTER(G$1:G1515, G$1:G1515&lt;&gt;""""))))-1), IF('To Order'!$A1516=COL"&amp;"UMNS($A1516:G1535), G1515&amp;RIGHT(INDIRECT(ADDRESS(ROW(G1516)-1, 'From Order'!$A1516)), 1), G1515))"),"")</f>
        <v/>
      </c>
      <c r="H1516" s="2" t="str">
        <f>IFERROR(__xludf.DUMMYFUNCTION("IF('From Order'!$A1516=COLUMNS($A1516:H1535), LEFT(INDEX(FILTER(H$1:H1515, H$1:H1515&lt;&gt;""""),COUNTA(FILTER(H$1:H1515, H$1:H1515&lt;&gt;""""))), LEN(INDEX(FILTER(H$1:H1515, H$1:H1515&lt;&gt;""""),COUNTA(FILTER(H$1:H1515, H$1:H1515&lt;&gt;""""))))-1), IF('To Order'!$A1516=COL"&amp;"UMNS($A1516:H1535), H1515&amp;RIGHT(INDIRECT(ADDRESS(ROW(H1516)-1, 'From Order'!$A1516)), 1), H1515))"),"FB")</f>
        <v>FB</v>
      </c>
      <c r="I1516" s="2" t="str">
        <f>IFERROR(__xludf.DUMMYFUNCTION("IF('From Order'!$A1516=COLUMNS($A1516:I1535), LEFT(INDEX(FILTER(I$1:I1515, I$1:I1515&lt;&gt;""""),COUNTA(FILTER(I$1:I1515, I$1:I1515&lt;&gt;""""))), LEN(INDEX(FILTER(I$1:I1515, I$1:I1515&lt;&gt;""""),COUNTA(FILTER(I$1:I1515, I$1:I1515&lt;&gt;""""))))-1), IF('To Order'!$A1516=COL"&amp;"UMNS($A1516:I1535), I1515&amp;RIGHT(INDIRECT(ADDRESS(ROW(I1516)-1, 'From Order'!$A1516)), 1), I1515))"),"")</f>
        <v/>
      </c>
    </row>
    <row r="1517">
      <c r="A1517" s="2" t="str">
        <f>IFERROR(__xludf.DUMMYFUNCTION("IF('From Order'!$A1517=COLUMNS($A1517:A1536), LEFT(INDEX(FILTER(A$1:A1516, A$1:A1516&lt;&gt;""""),COUNTA(FILTER(A$1:A1516, A$1:A1516&lt;&gt;""""))), LEN(INDEX(FILTER(A$1:A1516, A$1:A1516&lt;&gt;""""),COUNTA(FILTER(A$1:A1516, A$1:A1516&lt;&gt;""""))))-1), IF('To Order'!$A1517=COL"&amp;"UMNS($A1517:A1536), A1516&amp;RIGHT(INDIRECT(ADDRESS(ROW(A1517)-1, 'From Order'!$A1517)), 1), A1516))"),"MDJ")</f>
        <v>MDJ</v>
      </c>
      <c r="B1517" s="2" t="str">
        <f>IFERROR(__xludf.DUMMYFUNCTION("IF('From Order'!$A1517=COLUMNS($A1517:B1536), LEFT(INDEX(FILTER(B$1:B1516, B$1:B1516&lt;&gt;""""),COUNTA(FILTER(B$1:B1516, B$1:B1516&lt;&gt;""""))), LEN(INDEX(FILTER(B$1:B1516, B$1:B1516&lt;&gt;""""),COUNTA(FILTER(B$1:B1516, B$1:B1516&lt;&gt;""""))))-1), IF('To Order'!$A1517=COL"&amp;"UMNS($A1517:B1536), B1516&amp;RIGHT(INDIRECT(ADDRESS(ROW(B1517)-1, 'From Order'!$A1517)), 1), B1516))"),"R")</f>
        <v>R</v>
      </c>
      <c r="C1517" s="2" t="str">
        <f>IFERROR(__xludf.DUMMYFUNCTION("IF('From Order'!$A1517=COLUMNS($A1517:C1536), LEFT(INDEX(FILTER(C$1:C1516, C$1:C1516&lt;&gt;""""),COUNTA(FILTER(C$1:C1516, C$1:C1516&lt;&gt;""""))), LEN(INDEX(FILTER(C$1:C1516, C$1:C1516&lt;&gt;""""),COUNTA(FILTER(C$1:C1516, C$1:C1516&lt;&gt;""""))))-1), IF('To Order'!$A1517=COL"&amp;"UMNS($A1517:C1536), C1516&amp;RIGHT(INDIRECT(ADDRESS(ROW(C1517)-1, 'From Order'!$A1517)), 1), C1516))"),"TQVQJPP")</f>
        <v>TQVQJPP</v>
      </c>
      <c r="D1517" s="2" t="str">
        <f>IFERROR(__xludf.DUMMYFUNCTION("IF('From Order'!$A1517=COLUMNS($A1517:D1536), LEFT(INDEX(FILTER(D$1:D1516, D$1:D1516&lt;&gt;""""),COUNTA(FILTER(D$1:D1516, D$1:D1516&lt;&gt;""""))), LEN(INDEX(FILTER(D$1:D1516, D$1:D1516&lt;&gt;""""),COUNTA(FILTER(D$1:D1516, D$1:D1516&lt;&gt;""""))))-1), IF('To Order'!$A1517=COL"&amp;"UMNS($A1517:D1536), D1516&amp;RIGHT(INDIRECT(ADDRESS(ROW(D1517)-1, 'From Order'!$A1517)), 1), D1516))"),"CGZCSFHBGJTTPB")</f>
        <v>CGZCSFHBGJTTPB</v>
      </c>
      <c r="E1517" s="2" t="str">
        <f>IFERROR(__xludf.DUMMYFUNCTION("IF('From Order'!$A1517=COLUMNS($A1517:E1536), LEFT(INDEX(FILTER(E$1:E1516, E$1:E1516&lt;&gt;""""),COUNTA(FILTER(E$1:E1516, E$1:E1516&lt;&gt;""""))), LEN(INDEX(FILTER(E$1:E1516, E$1:E1516&lt;&gt;""""),COUNTA(FILTER(E$1:E1516, E$1:E1516&lt;&gt;""""))))-1), IF('To Order'!$A1517=COL"&amp;"UMNS($A1517:E1536), E1516&amp;RIGHT(INDIRECT(ADDRESS(ROW(E1517)-1, 'From Order'!$A1517)), 1), E1516))"),"W")</f>
        <v>W</v>
      </c>
      <c r="F1517" s="2" t="str">
        <f>IFERROR(__xludf.DUMMYFUNCTION("IF('From Order'!$A1517=COLUMNS($A1517:F1536), LEFT(INDEX(FILTER(F$1:F1516, F$1:F1516&lt;&gt;""""),COUNTA(FILTER(F$1:F1516, F$1:F1516&lt;&gt;""""))), LEN(INDEX(FILTER(F$1:F1516, F$1:F1516&lt;&gt;""""),COUNTA(FILTER(F$1:F1516, F$1:F1516&lt;&gt;""""))))-1), IF('To Order'!$A1517=COL"&amp;"UMNS($A1517:F1536), F1516&amp;RIGHT(INDIRECT(ADDRESS(ROW(F1517)-1, 'From Order'!$A1517)), 1), F1516))"),"ZRLBWLDDTSSTVCDRHZMTDLDSRRVBM")</f>
        <v>ZRLBWLDDTSSTVCDRHZMTDLDSRRVBM</v>
      </c>
      <c r="G1517" s="2" t="str">
        <f>IFERROR(__xludf.DUMMYFUNCTION("IF('From Order'!$A1517=COLUMNS($A1517:G1536), LEFT(INDEX(FILTER(G$1:G1516, G$1:G1516&lt;&gt;""""),COUNTA(FILTER(G$1:G1516, G$1:G1516&lt;&gt;""""))), LEN(INDEX(FILTER(G$1:G1516, G$1:G1516&lt;&gt;""""),COUNTA(FILTER(G$1:G1516, G$1:G1516&lt;&gt;""""))))-1), IF('To Order'!$A1517=COL"&amp;"UMNS($A1517:G1536), G1516&amp;RIGHT(INDIRECT(ADDRESS(ROW(G1517)-1, 'From Order'!$A1517)), 1), G1516))"),"")</f>
        <v/>
      </c>
      <c r="H1517" s="2" t="str">
        <f>IFERROR(__xludf.DUMMYFUNCTION("IF('From Order'!$A1517=COLUMNS($A1517:H1536), LEFT(INDEX(FILTER(H$1:H1516, H$1:H1516&lt;&gt;""""),COUNTA(FILTER(H$1:H1516, H$1:H1516&lt;&gt;""""))), LEN(INDEX(FILTER(H$1:H1516, H$1:H1516&lt;&gt;""""),COUNTA(FILTER(H$1:H1516, H$1:H1516&lt;&gt;""""))))-1), IF('To Order'!$A1517=COL"&amp;"UMNS($A1517:H1536), H1516&amp;RIGHT(INDIRECT(ADDRESS(ROW(H1517)-1, 'From Order'!$A1517)), 1), H1516))"),"F")</f>
        <v>F</v>
      </c>
      <c r="I1517" s="2" t="str">
        <f>IFERROR(__xludf.DUMMYFUNCTION("IF('From Order'!$A1517=COLUMNS($A1517:I1536), LEFT(INDEX(FILTER(I$1:I1516, I$1:I1516&lt;&gt;""""),COUNTA(FILTER(I$1:I1516, I$1:I1516&lt;&gt;""""))), LEN(INDEX(FILTER(I$1:I1516, I$1:I1516&lt;&gt;""""),COUNTA(FILTER(I$1:I1516, I$1:I1516&lt;&gt;""""))))-1), IF('To Order'!$A1517=COL"&amp;"UMNS($A1517:I1536), I1516&amp;RIGHT(INDIRECT(ADDRESS(ROW(I1517)-1, 'From Order'!$A1517)), 1), I1516))"),"")</f>
        <v/>
      </c>
    </row>
    <row r="1518">
      <c r="A1518" s="2" t="str">
        <f>IFERROR(__xludf.DUMMYFUNCTION("IF('From Order'!$A1518=COLUMNS($A1518:A1537), LEFT(INDEX(FILTER(A$1:A1517, A$1:A1517&lt;&gt;""""),COUNTA(FILTER(A$1:A1517, A$1:A1517&lt;&gt;""""))), LEN(INDEX(FILTER(A$1:A1517, A$1:A1517&lt;&gt;""""),COUNTA(FILTER(A$1:A1517, A$1:A1517&lt;&gt;""""))))-1), IF('To Order'!$A1518=COL"&amp;"UMNS($A1518:A1537), A1517&amp;RIGHT(INDIRECT(ADDRESS(ROW(A1518)-1, 'From Order'!$A1518)), 1), A1517))"),"MDJ")</f>
        <v>MDJ</v>
      </c>
      <c r="B1518" s="2" t="str">
        <f>IFERROR(__xludf.DUMMYFUNCTION("IF('From Order'!$A1518=COLUMNS($A1518:B1537), LEFT(INDEX(FILTER(B$1:B1517, B$1:B1517&lt;&gt;""""),COUNTA(FILTER(B$1:B1517, B$1:B1517&lt;&gt;""""))), LEN(INDEX(FILTER(B$1:B1517, B$1:B1517&lt;&gt;""""),COUNTA(FILTER(B$1:B1517, B$1:B1517&lt;&gt;""""))))-1), IF('To Order'!$A1518=COL"&amp;"UMNS($A1518:B1537), B1517&amp;RIGHT(INDIRECT(ADDRESS(ROW(B1518)-1, 'From Order'!$A1518)), 1), B1517))"),"R")</f>
        <v>R</v>
      </c>
      <c r="C1518" s="2" t="str">
        <f>IFERROR(__xludf.DUMMYFUNCTION("IF('From Order'!$A1518=COLUMNS($A1518:C1537), LEFT(INDEX(FILTER(C$1:C1517, C$1:C1517&lt;&gt;""""),COUNTA(FILTER(C$1:C1517, C$1:C1517&lt;&gt;""""))), LEN(INDEX(FILTER(C$1:C1517, C$1:C1517&lt;&gt;""""),COUNTA(FILTER(C$1:C1517, C$1:C1517&lt;&gt;""""))))-1), IF('To Order'!$A1518=COL"&amp;"UMNS($A1518:C1537), C1517&amp;RIGHT(INDIRECT(ADDRESS(ROW(C1518)-1, 'From Order'!$A1518)), 1), C1517))"),"TQVQJPP")</f>
        <v>TQVQJPP</v>
      </c>
      <c r="D1518" s="2" t="str">
        <f>IFERROR(__xludf.DUMMYFUNCTION("IF('From Order'!$A1518=COLUMNS($A1518:D1537), LEFT(INDEX(FILTER(D$1:D1517, D$1:D1517&lt;&gt;""""),COUNTA(FILTER(D$1:D1517, D$1:D1517&lt;&gt;""""))), LEN(INDEX(FILTER(D$1:D1517, D$1:D1517&lt;&gt;""""),COUNTA(FILTER(D$1:D1517, D$1:D1517&lt;&gt;""""))))-1), IF('To Order'!$A1518=COL"&amp;"UMNS($A1518:D1537), D1517&amp;RIGHT(INDIRECT(ADDRESS(ROW(D1518)-1, 'From Order'!$A1518)), 1), D1517))"),"CGZCSFHBGJTTPBF")</f>
        <v>CGZCSFHBGJTTPBF</v>
      </c>
      <c r="E1518" s="2" t="str">
        <f>IFERROR(__xludf.DUMMYFUNCTION("IF('From Order'!$A1518=COLUMNS($A1518:E1537), LEFT(INDEX(FILTER(E$1:E1517, E$1:E1517&lt;&gt;""""),COUNTA(FILTER(E$1:E1517, E$1:E1517&lt;&gt;""""))), LEN(INDEX(FILTER(E$1:E1517, E$1:E1517&lt;&gt;""""),COUNTA(FILTER(E$1:E1517, E$1:E1517&lt;&gt;""""))))-1), IF('To Order'!$A1518=COL"&amp;"UMNS($A1518:E1537), E1517&amp;RIGHT(INDIRECT(ADDRESS(ROW(E1518)-1, 'From Order'!$A1518)), 1), E1517))"),"W")</f>
        <v>W</v>
      </c>
      <c r="F1518" s="2" t="str">
        <f>IFERROR(__xludf.DUMMYFUNCTION("IF('From Order'!$A1518=COLUMNS($A1518:F1537), LEFT(INDEX(FILTER(F$1:F1517, F$1:F1517&lt;&gt;""""),COUNTA(FILTER(F$1:F1517, F$1:F1517&lt;&gt;""""))), LEN(INDEX(FILTER(F$1:F1517, F$1:F1517&lt;&gt;""""),COUNTA(FILTER(F$1:F1517, F$1:F1517&lt;&gt;""""))))-1), IF('To Order'!$A1518=COL"&amp;"UMNS($A1518:F1537), F1517&amp;RIGHT(INDIRECT(ADDRESS(ROW(F1518)-1, 'From Order'!$A1518)), 1), F1517))"),"ZRLBWLDDTSSTVCDRHZMTDLDSRRVBM")</f>
        <v>ZRLBWLDDTSSTVCDRHZMTDLDSRRVBM</v>
      </c>
      <c r="G1518" s="2" t="str">
        <f>IFERROR(__xludf.DUMMYFUNCTION("IF('From Order'!$A1518=COLUMNS($A1518:G1537), LEFT(INDEX(FILTER(G$1:G1517, G$1:G1517&lt;&gt;""""),COUNTA(FILTER(G$1:G1517, G$1:G1517&lt;&gt;""""))), LEN(INDEX(FILTER(G$1:G1517, G$1:G1517&lt;&gt;""""),COUNTA(FILTER(G$1:G1517, G$1:G1517&lt;&gt;""""))))-1), IF('To Order'!$A1518=COL"&amp;"UMNS($A1518:G1537), G1517&amp;RIGHT(INDIRECT(ADDRESS(ROW(G1518)-1, 'From Order'!$A1518)), 1), G1517))"),"")</f>
        <v/>
      </c>
      <c r="H1518" s="2" t="str">
        <f>IFERROR(__xludf.DUMMYFUNCTION("IF('From Order'!$A1518=COLUMNS($A1518:H1537), LEFT(INDEX(FILTER(H$1:H1517, H$1:H1517&lt;&gt;""""),COUNTA(FILTER(H$1:H1517, H$1:H1517&lt;&gt;""""))), LEN(INDEX(FILTER(H$1:H1517, H$1:H1517&lt;&gt;""""),COUNTA(FILTER(H$1:H1517, H$1:H1517&lt;&gt;""""))))-1), IF('To Order'!$A1518=COL"&amp;"UMNS($A1518:H1537), H1517&amp;RIGHT(INDIRECT(ADDRESS(ROW(H1518)-1, 'From Order'!$A1518)), 1), H1517))"),"")</f>
        <v/>
      </c>
      <c r="I1518" s="2" t="str">
        <f>IFERROR(__xludf.DUMMYFUNCTION("IF('From Order'!$A1518=COLUMNS($A1518:I1537), LEFT(INDEX(FILTER(I$1:I1517, I$1:I1517&lt;&gt;""""),COUNTA(FILTER(I$1:I1517, I$1:I1517&lt;&gt;""""))), LEN(INDEX(FILTER(I$1:I1517, I$1:I1517&lt;&gt;""""),COUNTA(FILTER(I$1:I1517, I$1:I1517&lt;&gt;""""))))-1), IF('To Order'!$A1518=COL"&amp;"UMNS($A1518:I1537), I1517&amp;RIGHT(INDIRECT(ADDRESS(ROW(I1518)-1, 'From Order'!$A1518)), 1), I1517))"),"")</f>
        <v/>
      </c>
    </row>
    <row r="1519">
      <c r="A1519" s="2" t="str">
        <f>IFERROR(__xludf.DUMMYFUNCTION("IF('From Order'!$A1519=COLUMNS($A1519:A1538), LEFT(INDEX(FILTER(A$1:A1518, A$1:A1518&lt;&gt;""""),COUNTA(FILTER(A$1:A1518, A$1:A1518&lt;&gt;""""))), LEN(INDEX(FILTER(A$1:A1518, A$1:A1518&lt;&gt;""""),COUNTA(FILTER(A$1:A1518, A$1:A1518&lt;&gt;""""))))-1), IF('To Order'!$A1519=COL"&amp;"UMNS($A1519:A1538), A1518&amp;RIGHT(INDIRECT(ADDRESS(ROW(A1519)-1, 'From Order'!$A1519)), 1), A1518))"),"MDJM")</f>
        <v>MDJM</v>
      </c>
      <c r="B1519" s="2" t="str">
        <f>IFERROR(__xludf.DUMMYFUNCTION("IF('From Order'!$A1519=COLUMNS($A1519:B1538), LEFT(INDEX(FILTER(B$1:B1518, B$1:B1518&lt;&gt;""""),COUNTA(FILTER(B$1:B1518, B$1:B1518&lt;&gt;""""))), LEN(INDEX(FILTER(B$1:B1518, B$1:B1518&lt;&gt;""""),COUNTA(FILTER(B$1:B1518, B$1:B1518&lt;&gt;""""))))-1), IF('To Order'!$A1519=COL"&amp;"UMNS($A1519:B1538), B1518&amp;RIGHT(INDIRECT(ADDRESS(ROW(B1519)-1, 'From Order'!$A1519)), 1), B1518))"),"R")</f>
        <v>R</v>
      </c>
      <c r="C1519" s="2" t="str">
        <f>IFERROR(__xludf.DUMMYFUNCTION("IF('From Order'!$A1519=COLUMNS($A1519:C1538), LEFT(INDEX(FILTER(C$1:C1518, C$1:C1518&lt;&gt;""""),COUNTA(FILTER(C$1:C1518, C$1:C1518&lt;&gt;""""))), LEN(INDEX(FILTER(C$1:C1518, C$1:C1518&lt;&gt;""""),COUNTA(FILTER(C$1:C1518, C$1:C1518&lt;&gt;""""))))-1), IF('To Order'!$A1519=COL"&amp;"UMNS($A1519:C1538), C1518&amp;RIGHT(INDIRECT(ADDRESS(ROW(C1519)-1, 'From Order'!$A1519)), 1), C1518))"),"TQVQJPP")</f>
        <v>TQVQJPP</v>
      </c>
      <c r="D1519" s="2" t="str">
        <f>IFERROR(__xludf.DUMMYFUNCTION("IF('From Order'!$A1519=COLUMNS($A1519:D1538), LEFT(INDEX(FILTER(D$1:D1518, D$1:D1518&lt;&gt;""""),COUNTA(FILTER(D$1:D1518, D$1:D1518&lt;&gt;""""))), LEN(INDEX(FILTER(D$1:D1518, D$1:D1518&lt;&gt;""""),COUNTA(FILTER(D$1:D1518, D$1:D1518&lt;&gt;""""))))-1), IF('To Order'!$A1519=COL"&amp;"UMNS($A1519:D1538), D1518&amp;RIGHT(INDIRECT(ADDRESS(ROW(D1519)-1, 'From Order'!$A1519)), 1), D1518))"),"CGZCSFHBGJTTPBF")</f>
        <v>CGZCSFHBGJTTPBF</v>
      </c>
      <c r="E1519" s="2" t="str">
        <f>IFERROR(__xludf.DUMMYFUNCTION("IF('From Order'!$A1519=COLUMNS($A1519:E1538), LEFT(INDEX(FILTER(E$1:E1518, E$1:E1518&lt;&gt;""""),COUNTA(FILTER(E$1:E1518, E$1:E1518&lt;&gt;""""))), LEN(INDEX(FILTER(E$1:E1518, E$1:E1518&lt;&gt;""""),COUNTA(FILTER(E$1:E1518, E$1:E1518&lt;&gt;""""))))-1), IF('To Order'!$A1519=COL"&amp;"UMNS($A1519:E1538), E1518&amp;RIGHT(INDIRECT(ADDRESS(ROW(E1519)-1, 'From Order'!$A1519)), 1), E1518))"),"W")</f>
        <v>W</v>
      </c>
      <c r="F1519" s="2" t="str">
        <f>IFERROR(__xludf.DUMMYFUNCTION("IF('From Order'!$A1519=COLUMNS($A1519:F1538), LEFT(INDEX(FILTER(F$1:F1518, F$1:F1518&lt;&gt;""""),COUNTA(FILTER(F$1:F1518, F$1:F1518&lt;&gt;""""))), LEN(INDEX(FILTER(F$1:F1518, F$1:F1518&lt;&gt;""""),COUNTA(FILTER(F$1:F1518, F$1:F1518&lt;&gt;""""))))-1), IF('To Order'!$A1519=COL"&amp;"UMNS($A1519:F1538), F1518&amp;RIGHT(INDIRECT(ADDRESS(ROW(F1519)-1, 'From Order'!$A1519)), 1), F1518))"),"ZRLBWLDDTSSTVCDRHZMTDLDSRRVB")</f>
        <v>ZRLBWLDDTSSTVCDRHZMTDLDSRRVB</v>
      </c>
      <c r="G1519" s="2" t="str">
        <f>IFERROR(__xludf.DUMMYFUNCTION("IF('From Order'!$A1519=COLUMNS($A1519:G1538), LEFT(INDEX(FILTER(G$1:G1518, G$1:G1518&lt;&gt;""""),COUNTA(FILTER(G$1:G1518, G$1:G1518&lt;&gt;""""))), LEN(INDEX(FILTER(G$1:G1518, G$1:G1518&lt;&gt;""""),COUNTA(FILTER(G$1:G1518, G$1:G1518&lt;&gt;""""))))-1), IF('To Order'!$A1519=COL"&amp;"UMNS($A1519:G1538), G1518&amp;RIGHT(INDIRECT(ADDRESS(ROW(G1519)-1, 'From Order'!$A1519)), 1), G1518))"),"")</f>
        <v/>
      </c>
      <c r="H1519" s="2" t="str">
        <f>IFERROR(__xludf.DUMMYFUNCTION("IF('From Order'!$A1519=COLUMNS($A1519:H1538), LEFT(INDEX(FILTER(H$1:H1518, H$1:H1518&lt;&gt;""""),COUNTA(FILTER(H$1:H1518, H$1:H1518&lt;&gt;""""))), LEN(INDEX(FILTER(H$1:H1518, H$1:H1518&lt;&gt;""""),COUNTA(FILTER(H$1:H1518, H$1:H1518&lt;&gt;""""))))-1), IF('To Order'!$A1519=COL"&amp;"UMNS($A1519:H1538), H1518&amp;RIGHT(INDIRECT(ADDRESS(ROW(H1519)-1, 'From Order'!$A1519)), 1), H1518))"),"")</f>
        <v/>
      </c>
      <c r="I1519" s="2" t="str">
        <f>IFERROR(__xludf.DUMMYFUNCTION("IF('From Order'!$A1519=COLUMNS($A1519:I1538), LEFT(INDEX(FILTER(I$1:I1518, I$1:I1518&lt;&gt;""""),COUNTA(FILTER(I$1:I1518, I$1:I1518&lt;&gt;""""))), LEN(INDEX(FILTER(I$1:I1518, I$1:I1518&lt;&gt;""""),COUNTA(FILTER(I$1:I1518, I$1:I1518&lt;&gt;""""))))-1), IF('To Order'!$A1519=COL"&amp;"UMNS($A1519:I1538), I1518&amp;RIGHT(INDIRECT(ADDRESS(ROW(I1519)-1, 'From Order'!$A1519)), 1), I1518))"),"")</f>
        <v/>
      </c>
    </row>
    <row r="1520">
      <c r="A1520" s="2" t="str">
        <f>IFERROR(__xludf.DUMMYFUNCTION("IF('From Order'!$A1520=COLUMNS($A1520:A1539), LEFT(INDEX(FILTER(A$1:A1519, A$1:A1519&lt;&gt;""""),COUNTA(FILTER(A$1:A1519, A$1:A1519&lt;&gt;""""))), LEN(INDEX(FILTER(A$1:A1519, A$1:A1519&lt;&gt;""""),COUNTA(FILTER(A$1:A1519, A$1:A1519&lt;&gt;""""))))-1), IF('To Order'!$A1520=COL"&amp;"UMNS($A1520:A1539), A1519&amp;RIGHT(INDIRECT(ADDRESS(ROW(A1520)-1, 'From Order'!$A1520)), 1), A1519))"),"MDJMB")</f>
        <v>MDJMB</v>
      </c>
      <c r="B1520" s="2" t="str">
        <f>IFERROR(__xludf.DUMMYFUNCTION("IF('From Order'!$A1520=COLUMNS($A1520:B1539), LEFT(INDEX(FILTER(B$1:B1519, B$1:B1519&lt;&gt;""""),COUNTA(FILTER(B$1:B1519, B$1:B1519&lt;&gt;""""))), LEN(INDEX(FILTER(B$1:B1519, B$1:B1519&lt;&gt;""""),COUNTA(FILTER(B$1:B1519, B$1:B1519&lt;&gt;""""))))-1), IF('To Order'!$A1520=COL"&amp;"UMNS($A1520:B1539), B1519&amp;RIGHT(INDIRECT(ADDRESS(ROW(B1520)-1, 'From Order'!$A1520)), 1), B1519))"),"R")</f>
        <v>R</v>
      </c>
      <c r="C1520" s="2" t="str">
        <f>IFERROR(__xludf.DUMMYFUNCTION("IF('From Order'!$A1520=COLUMNS($A1520:C1539), LEFT(INDEX(FILTER(C$1:C1519, C$1:C1519&lt;&gt;""""),COUNTA(FILTER(C$1:C1519, C$1:C1519&lt;&gt;""""))), LEN(INDEX(FILTER(C$1:C1519, C$1:C1519&lt;&gt;""""),COUNTA(FILTER(C$1:C1519, C$1:C1519&lt;&gt;""""))))-1), IF('To Order'!$A1520=COL"&amp;"UMNS($A1520:C1539), C1519&amp;RIGHT(INDIRECT(ADDRESS(ROW(C1520)-1, 'From Order'!$A1520)), 1), C1519))"),"TQVQJPP")</f>
        <v>TQVQJPP</v>
      </c>
      <c r="D1520" s="2" t="str">
        <f>IFERROR(__xludf.DUMMYFUNCTION("IF('From Order'!$A1520=COLUMNS($A1520:D1539), LEFT(INDEX(FILTER(D$1:D1519, D$1:D1519&lt;&gt;""""),COUNTA(FILTER(D$1:D1519, D$1:D1519&lt;&gt;""""))), LEN(INDEX(FILTER(D$1:D1519, D$1:D1519&lt;&gt;""""),COUNTA(FILTER(D$1:D1519, D$1:D1519&lt;&gt;""""))))-1), IF('To Order'!$A1520=COL"&amp;"UMNS($A1520:D1539), D1519&amp;RIGHT(INDIRECT(ADDRESS(ROW(D1520)-1, 'From Order'!$A1520)), 1), D1519))"),"CGZCSFHBGJTTPBF")</f>
        <v>CGZCSFHBGJTTPBF</v>
      </c>
      <c r="E1520" s="2" t="str">
        <f>IFERROR(__xludf.DUMMYFUNCTION("IF('From Order'!$A1520=COLUMNS($A1520:E1539), LEFT(INDEX(FILTER(E$1:E1519, E$1:E1519&lt;&gt;""""),COUNTA(FILTER(E$1:E1519, E$1:E1519&lt;&gt;""""))), LEN(INDEX(FILTER(E$1:E1519, E$1:E1519&lt;&gt;""""),COUNTA(FILTER(E$1:E1519, E$1:E1519&lt;&gt;""""))))-1), IF('To Order'!$A1520=COL"&amp;"UMNS($A1520:E1539), E1519&amp;RIGHT(INDIRECT(ADDRESS(ROW(E1520)-1, 'From Order'!$A1520)), 1), E1519))"),"W")</f>
        <v>W</v>
      </c>
      <c r="F1520" s="2" t="str">
        <f>IFERROR(__xludf.DUMMYFUNCTION("IF('From Order'!$A1520=COLUMNS($A1520:F1539), LEFT(INDEX(FILTER(F$1:F1519, F$1:F1519&lt;&gt;""""),COUNTA(FILTER(F$1:F1519, F$1:F1519&lt;&gt;""""))), LEN(INDEX(FILTER(F$1:F1519, F$1:F1519&lt;&gt;""""),COUNTA(FILTER(F$1:F1519, F$1:F1519&lt;&gt;""""))))-1), IF('To Order'!$A1520=COL"&amp;"UMNS($A1520:F1539), F1519&amp;RIGHT(INDIRECT(ADDRESS(ROW(F1520)-1, 'From Order'!$A1520)), 1), F1519))"),"ZRLBWLDDTSSTVCDRHZMTDLDSRRV")</f>
        <v>ZRLBWLDDTSSTVCDRHZMTDLDSRRV</v>
      </c>
      <c r="G1520" s="2" t="str">
        <f>IFERROR(__xludf.DUMMYFUNCTION("IF('From Order'!$A1520=COLUMNS($A1520:G1539), LEFT(INDEX(FILTER(G$1:G1519, G$1:G1519&lt;&gt;""""),COUNTA(FILTER(G$1:G1519, G$1:G1519&lt;&gt;""""))), LEN(INDEX(FILTER(G$1:G1519, G$1:G1519&lt;&gt;""""),COUNTA(FILTER(G$1:G1519, G$1:G1519&lt;&gt;""""))))-1), IF('To Order'!$A1520=COL"&amp;"UMNS($A1520:G1539), G1519&amp;RIGHT(INDIRECT(ADDRESS(ROW(G1520)-1, 'From Order'!$A1520)), 1), G1519))"),"")</f>
        <v/>
      </c>
      <c r="H1520" s="2" t="str">
        <f>IFERROR(__xludf.DUMMYFUNCTION("IF('From Order'!$A1520=COLUMNS($A1520:H1539), LEFT(INDEX(FILTER(H$1:H1519, H$1:H1519&lt;&gt;""""),COUNTA(FILTER(H$1:H1519, H$1:H1519&lt;&gt;""""))), LEN(INDEX(FILTER(H$1:H1519, H$1:H1519&lt;&gt;""""),COUNTA(FILTER(H$1:H1519, H$1:H1519&lt;&gt;""""))))-1), IF('To Order'!$A1520=COL"&amp;"UMNS($A1520:H1539), H1519&amp;RIGHT(INDIRECT(ADDRESS(ROW(H1520)-1, 'From Order'!$A1520)), 1), H1519))"),"")</f>
        <v/>
      </c>
      <c r="I1520" s="2" t="str">
        <f>IFERROR(__xludf.DUMMYFUNCTION("IF('From Order'!$A1520=COLUMNS($A1520:I1539), LEFT(INDEX(FILTER(I$1:I1519, I$1:I1519&lt;&gt;""""),COUNTA(FILTER(I$1:I1519, I$1:I1519&lt;&gt;""""))), LEN(INDEX(FILTER(I$1:I1519, I$1:I1519&lt;&gt;""""),COUNTA(FILTER(I$1:I1519, I$1:I1519&lt;&gt;""""))))-1), IF('To Order'!$A1520=COL"&amp;"UMNS($A1520:I1539), I1519&amp;RIGHT(INDIRECT(ADDRESS(ROW(I1520)-1, 'From Order'!$A1520)), 1), I1519))"),"")</f>
        <v/>
      </c>
    </row>
    <row r="1521">
      <c r="A1521" s="2" t="str">
        <f>IFERROR(__xludf.DUMMYFUNCTION("IF('From Order'!$A1521=COLUMNS($A1521:A1540), LEFT(INDEX(FILTER(A$1:A1520, A$1:A1520&lt;&gt;""""),COUNTA(FILTER(A$1:A1520, A$1:A1520&lt;&gt;""""))), LEN(INDEX(FILTER(A$1:A1520, A$1:A1520&lt;&gt;""""),COUNTA(FILTER(A$1:A1520, A$1:A1520&lt;&gt;""""))))-1), IF('To Order'!$A1521=COL"&amp;"UMNS($A1521:A1540), A1520&amp;RIGHT(INDIRECT(ADDRESS(ROW(A1521)-1, 'From Order'!$A1521)), 1), A1520))"),"MDJMBV")</f>
        <v>MDJMBV</v>
      </c>
      <c r="B1521" s="2" t="str">
        <f>IFERROR(__xludf.DUMMYFUNCTION("IF('From Order'!$A1521=COLUMNS($A1521:B1540), LEFT(INDEX(FILTER(B$1:B1520, B$1:B1520&lt;&gt;""""),COUNTA(FILTER(B$1:B1520, B$1:B1520&lt;&gt;""""))), LEN(INDEX(FILTER(B$1:B1520, B$1:B1520&lt;&gt;""""),COUNTA(FILTER(B$1:B1520, B$1:B1520&lt;&gt;""""))))-1), IF('To Order'!$A1521=COL"&amp;"UMNS($A1521:B1540), B1520&amp;RIGHT(INDIRECT(ADDRESS(ROW(B1521)-1, 'From Order'!$A1521)), 1), B1520))"),"R")</f>
        <v>R</v>
      </c>
      <c r="C1521" s="2" t="str">
        <f>IFERROR(__xludf.DUMMYFUNCTION("IF('From Order'!$A1521=COLUMNS($A1521:C1540), LEFT(INDEX(FILTER(C$1:C1520, C$1:C1520&lt;&gt;""""),COUNTA(FILTER(C$1:C1520, C$1:C1520&lt;&gt;""""))), LEN(INDEX(FILTER(C$1:C1520, C$1:C1520&lt;&gt;""""),COUNTA(FILTER(C$1:C1520, C$1:C1520&lt;&gt;""""))))-1), IF('To Order'!$A1521=COL"&amp;"UMNS($A1521:C1540), C1520&amp;RIGHT(INDIRECT(ADDRESS(ROW(C1521)-1, 'From Order'!$A1521)), 1), C1520))"),"TQVQJPP")</f>
        <v>TQVQJPP</v>
      </c>
      <c r="D1521" s="2" t="str">
        <f>IFERROR(__xludf.DUMMYFUNCTION("IF('From Order'!$A1521=COLUMNS($A1521:D1540), LEFT(INDEX(FILTER(D$1:D1520, D$1:D1520&lt;&gt;""""),COUNTA(FILTER(D$1:D1520, D$1:D1520&lt;&gt;""""))), LEN(INDEX(FILTER(D$1:D1520, D$1:D1520&lt;&gt;""""),COUNTA(FILTER(D$1:D1520, D$1:D1520&lt;&gt;""""))))-1), IF('To Order'!$A1521=COL"&amp;"UMNS($A1521:D1540), D1520&amp;RIGHT(INDIRECT(ADDRESS(ROW(D1521)-1, 'From Order'!$A1521)), 1), D1520))"),"CGZCSFHBGJTTPBF")</f>
        <v>CGZCSFHBGJTTPBF</v>
      </c>
      <c r="E1521" s="2" t="str">
        <f>IFERROR(__xludf.DUMMYFUNCTION("IF('From Order'!$A1521=COLUMNS($A1521:E1540), LEFT(INDEX(FILTER(E$1:E1520, E$1:E1520&lt;&gt;""""),COUNTA(FILTER(E$1:E1520, E$1:E1520&lt;&gt;""""))), LEN(INDEX(FILTER(E$1:E1520, E$1:E1520&lt;&gt;""""),COUNTA(FILTER(E$1:E1520, E$1:E1520&lt;&gt;""""))))-1), IF('To Order'!$A1521=COL"&amp;"UMNS($A1521:E1540), E1520&amp;RIGHT(INDIRECT(ADDRESS(ROW(E1521)-1, 'From Order'!$A1521)), 1), E1520))"),"W")</f>
        <v>W</v>
      </c>
      <c r="F1521" s="2" t="str">
        <f>IFERROR(__xludf.DUMMYFUNCTION("IF('From Order'!$A1521=COLUMNS($A1521:F1540), LEFT(INDEX(FILTER(F$1:F1520, F$1:F1520&lt;&gt;""""),COUNTA(FILTER(F$1:F1520, F$1:F1520&lt;&gt;""""))), LEN(INDEX(FILTER(F$1:F1520, F$1:F1520&lt;&gt;""""),COUNTA(FILTER(F$1:F1520, F$1:F1520&lt;&gt;""""))))-1), IF('To Order'!$A1521=COL"&amp;"UMNS($A1521:F1540), F1520&amp;RIGHT(INDIRECT(ADDRESS(ROW(F1521)-1, 'From Order'!$A1521)), 1), F1520))"),"ZRLBWLDDTSSTVCDRHZMTDLDSRR")</f>
        <v>ZRLBWLDDTSSTVCDRHZMTDLDSRR</v>
      </c>
      <c r="G1521" s="2" t="str">
        <f>IFERROR(__xludf.DUMMYFUNCTION("IF('From Order'!$A1521=COLUMNS($A1521:G1540), LEFT(INDEX(FILTER(G$1:G1520, G$1:G1520&lt;&gt;""""),COUNTA(FILTER(G$1:G1520, G$1:G1520&lt;&gt;""""))), LEN(INDEX(FILTER(G$1:G1520, G$1:G1520&lt;&gt;""""),COUNTA(FILTER(G$1:G1520, G$1:G1520&lt;&gt;""""))))-1), IF('To Order'!$A1521=COL"&amp;"UMNS($A1521:G1540), G1520&amp;RIGHT(INDIRECT(ADDRESS(ROW(G1521)-1, 'From Order'!$A1521)), 1), G1520))"),"")</f>
        <v/>
      </c>
      <c r="H1521" s="2" t="str">
        <f>IFERROR(__xludf.DUMMYFUNCTION("IF('From Order'!$A1521=COLUMNS($A1521:H1540), LEFT(INDEX(FILTER(H$1:H1520, H$1:H1520&lt;&gt;""""),COUNTA(FILTER(H$1:H1520, H$1:H1520&lt;&gt;""""))), LEN(INDEX(FILTER(H$1:H1520, H$1:H1520&lt;&gt;""""),COUNTA(FILTER(H$1:H1520, H$1:H1520&lt;&gt;""""))))-1), IF('To Order'!$A1521=COL"&amp;"UMNS($A1521:H1540), H1520&amp;RIGHT(INDIRECT(ADDRESS(ROW(H1521)-1, 'From Order'!$A1521)), 1), H1520))"),"")</f>
        <v/>
      </c>
      <c r="I1521" s="2" t="str">
        <f>IFERROR(__xludf.DUMMYFUNCTION("IF('From Order'!$A1521=COLUMNS($A1521:I1540), LEFT(INDEX(FILTER(I$1:I1520, I$1:I1520&lt;&gt;""""),COUNTA(FILTER(I$1:I1520, I$1:I1520&lt;&gt;""""))), LEN(INDEX(FILTER(I$1:I1520, I$1:I1520&lt;&gt;""""),COUNTA(FILTER(I$1:I1520, I$1:I1520&lt;&gt;""""))))-1), IF('To Order'!$A1521=COL"&amp;"UMNS($A1521:I1540), I1520&amp;RIGHT(INDIRECT(ADDRESS(ROW(I1521)-1, 'From Order'!$A1521)), 1), I1520))"),"")</f>
        <v/>
      </c>
    </row>
    <row r="1522">
      <c r="A1522" s="2" t="str">
        <f>IFERROR(__xludf.DUMMYFUNCTION("IF('From Order'!$A1522=COLUMNS($A1522:A1541), LEFT(INDEX(FILTER(A$1:A1521, A$1:A1521&lt;&gt;""""),COUNTA(FILTER(A$1:A1521, A$1:A1521&lt;&gt;""""))), LEN(INDEX(FILTER(A$1:A1521, A$1:A1521&lt;&gt;""""),COUNTA(FILTER(A$1:A1521, A$1:A1521&lt;&gt;""""))))-1), IF('To Order'!$A1522=COL"&amp;"UMNS($A1522:A1541), A1521&amp;RIGHT(INDIRECT(ADDRESS(ROW(A1522)-1, 'From Order'!$A1522)), 1), A1521))"),"MDJMBVR")</f>
        <v>MDJMBVR</v>
      </c>
      <c r="B1522" s="2" t="str">
        <f>IFERROR(__xludf.DUMMYFUNCTION("IF('From Order'!$A1522=COLUMNS($A1522:B1541), LEFT(INDEX(FILTER(B$1:B1521, B$1:B1521&lt;&gt;""""),COUNTA(FILTER(B$1:B1521, B$1:B1521&lt;&gt;""""))), LEN(INDEX(FILTER(B$1:B1521, B$1:B1521&lt;&gt;""""),COUNTA(FILTER(B$1:B1521, B$1:B1521&lt;&gt;""""))))-1), IF('To Order'!$A1522=COL"&amp;"UMNS($A1522:B1541), B1521&amp;RIGHT(INDIRECT(ADDRESS(ROW(B1522)-1, 'From Order'!$A1522)), 1), B1521))"),"R")</f>
        <v>R</v>
      </c>
      <c r="C1522" s="2" t="str">
        <f>IFERROR(__xludf.DUMMYFUNCTION("IF('From Order'!$A1522=COLUMNS($A1522:C1541), LEFT(INDEX(FILTER(C$1:C1521, C$1:C1521&lt;&gt;""""),COUNTA(FILTER(C$1:C1521, C$1:C1521&lt;&gt;""""))), LEN(INDEX(FILTER(C$1:C1521, C$1:C1521&lt;&gt;""""),COUNTA(FILTER(C$1:C1521, C$1:C1521&lt;&gt;""""))))-1), IF('To Order'!$A1522=COL"&amp;"UMNS($A1522:C1541), C1521&amp;RIGHT(INDIRECT(ADDRESS(ROW(C1522)-1, 'From Order'!$A1522)), 1), C1521))"),"TQVQJPP")</f>
        <v>TQVQJPP</v>
      </c>
      <c r="D1522" s="2" t="str">
        <f>IFERROR(__xludf.DUMMYFUNCTION("IF('From Order'!$A1522=COLUMNS($A1522:D1541), LEFT(INDEX(FILTER(D$1:D1521, D$1:D1521&lt;&gt;""""),COUNTA(FILTER(D$1:D1521, D$1:D1521&lt;&gt;""""))), LEN(INDEX(FILTER(D$1:D1521, D$1:D1521&lt;&gt;""""),COUNTA(FILTER(D$1:D1521, D$1:D1521&lt;&gt;""""))))-1), IF('To Order'!$A1522=COL"&amp;"UMNS($A1522:D1541), D1521&amp;RIGHT(INDIRECT(ADDRESS(ROW(D1522)-1, 'From Order'!$A1522)), 1), D1521))"),"CGZCSFHBGJTTPBF")</f>
        <v>CGZCSFHBGJTTPBF</v>
      </c>
      <c r="E1522" s="2" t="str">
        <f>IFERROR(__xludf.DUMMYFUNCTION("IF('From Order'!$A1522=COLUMNS($A1522:E1541), LEFT(INDEX(FILTER(E$1:E1521, E$1:E1521&lt;&gt;""""),COUNTA(FILTER(E$1:E1521, E$1:E1521&lt;&gt;""""))), LEN(INDEX(FILTER(E$1:E1521, E$1:E1521&lt;&gt;""""),COUNTA(FILTER(E$1:E1521, E$1:E1521&lt;&gt;""""))))-1), IF('To Order'!$A1522=COL"&amp;"UMNS($A1522:E1541), E1521&amp;RIGHT(INDIRECT(ADDRESS(ROW(E1522)-1, 'From Order'!$A1522)), 1), E1521))"),"W")</f>
        <v>W</v>
      </c>
      <c r="F1522" s="2" t="str">
        <f>IFERROR(__xludf.DUMMYFUNCTION("IF('From Order'!$A1522=COLUMNS($A1522:F1541), LEFT(INDEX(FILTER(F$1:F1521, F$1:F1521&lt;&gt;""""),COUNTA(FILTER(F$1:F1521, F$1:F1521&lt;&gt;""""))), LEN(INDEX(FILTER(F$1:F1521, F$1:F1521&lt;&gt;""""),COUNTA(FILTER(F$1:F1521, F$1:F1521&lt;&gt;""""))))-1), IF('To Order'!$A1522=COL"&amp;"UMNS($A1522:F1541), F1521&amp;RIGHT(INDIRECT(ADDRESS(ROW(F1522)-1, 'From Order'!$A1522)), 1), F1521))"),"ZRLBWLDDTSSTVCDRHZMTDLDSR")</f>
        <v>ZRLBWLDDTSSTVCDRHZMTDLDSR</v>
      </c>
      <c r="G1522" s="2" t="str">
        <f>IFERROR(__xludf.DUMMYFUNCTION("IF('From Order'!$A1522=COLUMNS($A1522:G1541), LEFT(INDEX(FILTER(G$1:G1521, G$1:G1521&lt;&gt;""""),COUNTA(FILTER(G$1:G1521, G$1:G1521&lt;&gt;""""))), LEN(INDEX(FILTER(G$1:G1521, G$1:G1521&lt;&gt;""""),COUNTA(FILTER(G$1:G1521, G$1:G1521&lt;&gt;""""))))-1), IF('To Order'!$A1522=COL"&amp;"UMNS($A1522:G1541), G1521&amp;RIGHT(INDIRECT(ADDRESS(ROW(G1522)-1, 'From Order'!$A1522)), 1), G1521))"),"")</f>
        <v/>
      </c>
      <c r="H1522" s="2" t="str">
        <f>IFERROR(__xludf.DUMMYFUNCTION("IF('From Order'!$A1522=COLUMNS($A1522:H1541), LEFT(INDEX(FILTER(H$1:H1521, H$1:H1521&lt;&gt;""""),COUNTA(FILTER(H$1:H1521, H$1:H1521&lt;&gt;""""))), LEN(INDEX(FILTER(H$1:H1521, H$1:H1521&lt;&gt;""""),COUNTA(FILTER(H$1:H1521, H$1:H1521&lt;&gt;""""))))-1), IF('To Order'!$A1522=COL"&amp;"UMNS($A1522:H1541), H1521&amp;RIGHT(INDIRECT(ADDRESS(ROW(H1522)-1, 'From Order'!$A1522)), 1), H1521))"),"")</f>
        <v/>
      </c>
      <c r="I1522" s="2" t="str">
        <f>IFERROR(__xludf.DUMMYFUNCTION("IF('From Order'!$A1522=COLUMNS($A1522:I1541), LEFT(INDEX(FILTER(I$1:I1521, I$1:I1521&lt;&gt;""""),COUNTA(FILTER(I$1:I1521, I$1:I1521&lt;&gt;""""))), LEN(INDEX(FILTER(I$1:I1521, I$1:I1521&lt;&gt;""""),COUNTA(FILTER(I$1:I1521, I$1:I1521&lt;&gt;""""))))-1), IF('To Order'!$A1522=COL"&amp;"UMNS($A1522:I1541), I1521&amp;RIGHT(INDIRECT(ADDRESS(ROW(I1522)-1, 'From Order'!$A1522)), 1), I1521))"),"")</f>
        <v/>
      </c>
    </row>
    <row r="1523">
      <c r="A1523" s="2" t="str">
        <f>IFERROR(__xludf.DUMMYFUNCTION("IF('From Order'!$A1523=COLUMNS($A1523:A1542), LEFT(INDEX(FILTER(A$1:A1522, A$1:A1522&lt;&gt;""""),COUNTA(FILTER(A$1:A1522, A$1:A1522&lt;&gt;""""))), LEN(INDEX(FILTER(A$1:A1522, A$1:A1522&lt;&gt;""""),COUNTA(FILTER(A$1:A1522, A$1:A1522&lt;&gt;""""))))-1), IF('To Order'!$A1523=COL"&amp;"UMNS($A1523:A1542), A1522&amp;RIGHT(INDIRECT(ADDRESS(ROW(A1523)-1, 'From Order'!$A1523)), 1), A1522))"),"MDJMBVRR")</f>
        <v>MDJMBVRR</v>
      </c>
      <c r="B1523" s="2" t="str">
        <f>IFERROR(__xludf.DUMMYFUNCTION("IF('From Order'!$A1523=COLUMNS($A1523:B1542), LEFT(INDEX(FILTER(B$1:B1522, B$1:B1522&lt;&gt;""""),COUNTA(FILTER(B$1:B1522, B$1:B1522&lt;&gt;""""))), LEN(INDEX(FILTER(B$1:B1522, B$1:B1522&lt;&gt;""""),COUNTA(FILTER(B$1:B1522, B$1:B1522&lt;&gt;""""))))-1), IF('To Order'!$A1523=COL"&amp;"UMNS($A1523:B1542), B1522&amp;RIGHT(INDIRECT(ADDRESS(ROW(B1523)-1, 'From Order'!$A1523)), 1), B1522))"),"R")</f>
        <v>R</v>
      </c>
      <c r="C1523" s="2" t="str">
        <f>IFERROR(__xludf.DUMMYFUNCTION("IF('From Order'!$A1523=COLUMNS($A1523:C1542), LEFT(INDEX(FILTER(C$1:C1522, C$1:C1522&lt;&gt;""""),COUNTA(FILTER(C$1:C1522, C$1:C1522&lt;&gt;""""))), LEN(INDEX(FILTER(C$1:C1522, C$1:C1522&lt;&gt;""""),COUNTA(FILTER(C$1:C1522, C$1:C1522&lt;&gt;""""))))-1), IF('To Order'!$A1523=COL"&amp;"UMNS($A1523:C1542), C1522&amp;RIGHT(INDIRECT(ADDRESS(ROW(C1523)-1, 'From Order'!$A1523)), 1), C1522))"),"TQVQJPP")</f>
        <v>TQVQJPP</v>
      </c>
      <c r="D1523" s="2" t="str">
        <f>IFERROR(__xludf.DUMMYFUNCTION("IF('From Order'!$A1523=COLUMNS($A1523:D1542), LEFT(INDEX(FILTER(D$1:D1522, D$1:D1522&lt;&gt;""""),COUNTA(FILTER(D$1:D1522, D$1:D1522&lt;&gt;""""))), LEN(INDEX(FILTER(D$1:D1522, D$1:D1522&lt;&gt;""""),COUNTA(FILTER(D$1:D1522, D$1:D1522&lt;&gt;""""))))-1), IF('To Order'!$A1523=COL"&amp;"UMNS($A1523:D1542), D1522&amp;RIGHT(INDIRECT(ADDRESS(ROW(D1523)-1, 'From Order'!$A1523)), 1), D1522))"),"CGZCSFHBGJTTPBF")</f>
        <v>CGZCSFHBGJTTPBF</v>
      </c>
      <c r="E1523" s="2" t="str">
        <f>IFERROR(__xludf.DUMMYFUNCTION("IF('From Order'!$A1523=COLUMNS($A1523:E1542), LEFT(INDEX(FILTER(E$1:E1522, E$1:E1522&lt;&gt;""""),COUNTA(FILTER(E$1:E1522, E$1:E1522&lt;&gt;""""))), LEN(INDEX(FILTER(E$1:E1522, E$1:E1522&lt;&gt;""""),COUNTA(FILTER(E$1:E1522, E$1:E1522&lt;&gt;""""))))-1), IF('To Order'!$A1523=COL"&amp;"UMNS($A1523:E1542), E1522&amp;RIGHT(INDIRECT(ADDRESS(ROW(E1523)-1, 'From Order'!$A1523)), 1), E1522))"),"W")</f>
        <v>W</v>
      </c>
      <c r="F1523" s="2" t="str">
        <f>IFERROR(__xludf.DUMMYFUNCTION("IF('From Order'!$A1523=COLUMNS($A1523:F1542), LEFT(INDEX(FILTER(F$1:F1522, F$1:F1522&lt;&gt;""""),COUNTA(FILTER(F$1:F1522, F$1:F1522&lt;&gt;""""))), LEN(INDEX(FILTER(F$1:F1522, F$1:F1522&lt;&gt;""""),COUNTA(FILTER(F$1:F1522, F$1:F1522&lt;&gt;""""))))-1), IF('To Order'!$A1523=COL"&amp;"UMNS($A1523:F1542), F1522&amp;RIGHT(INDIRECT(ADDRESS(ROW(F1523)-1, 'From Order'!$A1523)), 1), F1522))"),"ZRLBWLDDTSSTVCDRHZMTDLDS")</f>
        <v>ZRLBWLDDTSSTVCDRHZMTDLDS</v>
      </c>
      <c r="G1523" s="2" t="str">
        <f>IFERROR(__xludf.DUMMYFUNCTION("IF('From Order'!$A1523=COLUMNS($A1523:G1542), LEFT(INDEX(FILTER(G$1:G1522, G$1:G1522&lt;&gt;""""),COUNTA(FILTER(G$1:G1522, G$1:G1522&lt;&gt;""""))), LEN(INDEX(FILTER(G$1:G1522, G$1:G1522&lt;&gt;""""),COUNTA(FILTER(G$1:G1522, G$1:G1522&lt;&gt;""""))))-1), IF('To Order'!$A1523=COL"&amp;"UMNS($A1523:G1542), G1522&amp;RIGHT(INDIRECT(ADDRESS(ROW(G1523)-1, 'From Order'!$A1523)), 1), G1522))"),"")</f>
        <v/>
      </c>
      <c r="H1523" s="2" t="str">
        <f>IFERROR(__xludf.DUMMYFUNCTION("IF('From Order'!$A1523=COLUMNS($A1523:H1542), LEFT(INDEX(FILTER(H$1:H1522, H$1:H1522&lt;&gt;""""),COUNTA(FILTER(H$1:H1522, H$1:H1522&lt;&gt;""""))), LEN(INDEX(FILTER(H$1:H1522, H$1:H1522&lt;&gt;""""),COUNTA(FILTER(H$1:H1522, H$1:H1522&lt;&gt;""""))))-1), IF('To Order'!$A1523=COL"&amp;"UMNS($A1523:H1542), H1522&amp;RIGHT(INDIRECT(ADDRESS(ROW(H1523)-1, 'From Order'!$A1523)), 1), H1522))"),"")</f>
        <v/>
      </c>
      <c r="I1523" s="2" t="str">
        <f>IFERROR(__xludf.DUMMYFUNCTION("IF('From Order'!$A1523=COLUMNS($A1523:I1542), LEFT(INDEX(FILTER(I$1:I1522, I$1:I1522&lt;&gt;""""),COUNTA(FILTER(I$1:I1522, I$1:I1522&lt;&gt;""""))), LEN(INDEX(FILTER(I$1:I1522, I$1:I1522&lt;&gt;""""),COUNTA(FILTER(I$1:I1522, I$1:I1522&lt;&gt;""""))))-1), IF('To Order'!$A1523=COL"&amp;"UMNS($A1523:I1542), I1522&amp;RIGHT(INDIRECT(ADDRESS(ROW(I1523)-1, 'From Order'!$A1523)), 1), I1522))"),"")</f>
        <v/>
      </c>
    </row>
    <row r="1524">
      <c r="A1524" s="2" t="str">
        <f>IFERROR(__xludf.DUMMYFUNCTION("IF('From Order'!$A1524=COLUMNS($A1524:A1543), LEFT(INDEX(FILTER(A$1:A1523, A$1:A1523&lt;&gt;""""),COUNTA(FILTER(A$1:A1523, A$1:A1523&lt;&gt;""""))), LEN(INDEX(FILTER(A$1:A1523, A$1:A1523&lt;&gt;""""),COUNTA(FILTER(A$1:A1523, A$1:A1523&lt;&gt;""""))))-1), IF('To Order'!$A1524=COL"&amp;"UMNS($A1524:A1543), A1523&amp;RIGHT(INDIRECT(ADDRESS(ROW(A1524)-1, 'From Order'!$A1524)), 1), A1523))"),"MDJMBVRRS")</f>
        <v>MDJMBVRRS</v>
      </c>
      <c r="B1524" s="2" t="str">
        <f>IFERROR(__xludf.DUMMYFUNCTION("IF('From Order'!$A1524=COLUMNS($A1524:B1543), LEFT(INDEX(FILTER(B$1:B1523, B$1:B1523&lt;&gt;""""),COUNTA(FILTER(B$1:B1523, B$1:B1523&lt;&gt;""""))), LEN(INDEX(FILTER(B$1:B1523, B$1:B1523&lt;&gt;""""),COUNTA(FILTER(B$1:B1523, B$1:B1523&lt;&gt;""""))))-1), IF('To Order'!$A1524=COL"&amp;"UMNS($A1524:B1543), B1523&amp;RIGHT(INDIRECT(ADDRESS(ROW(B1524)-1, 'From Order'!$A1524)), 1), B1523))"),"R")</f>
        <v>R</v>
      </c>
      <c r="C1524" s="2" t="str">
        <f>IFERROR(__xludf.DUMMYFUNCTION("IF('From Order'!$A1524=COLUMNS($A1524:C1543), LEFT(INDEX(FILTER(C$1:C1523, C$1:C1523&lt;&gt;""""),COUNTA(FILTER(C$1:C1523, C$1:C1523&lt;&gt;""""))), LEN(INDEX(FILTER(C$1:C1523, C$1:C1523&lt;&gt;""""),COUNTA(FILTER(C$1:C1523, C$1:C1523&lt;&gt;""""))))-1), IF('To Order'!$A1524=COL"&amp;"UMNS($A1524:C1543), C1523&amp;RIGHT(INDIRECT(ADDRESS(ROW(C1524)-1, 'From Order'!$A1524)), 1), C1523))"),"TQVQJPP")</f>
        <v>TQVQJPP</v>
      </c>
      <c r="D1524" s="2" t="str">
        <f>IFERROR(__xludf.DUMMYFUNCTION("IF('From Order'!$A1524=COLUMNS($A1524:D1543), LEFT(INDEX(FILTER(D$1:D1523, D$1:D1523&lt;&gt;""""),COUNTA(FILTER(D$1:D1523, D$1:D1523&lt;&gt;""""))), LEN(INDEX(FILTER(D$1:D1523, D$1:D1523&lt;&gt;""""),COUNTA(FILTER(D$1:D1523, D$1:D1523&lt;&gt;""""))))-1), IF('To Order'!$A1524=COL"&amp;"UMNS($A1524:D1543), D1523&amp;RIGHT(INDIRECT(ADDRESS(ROW(D1524)-1, 'From Order'!$A1524)), 1), D1523))"),"CGZCSFHBGJTTPBF")</f>
        <v>CGZCSFHBGJTTPBF</v>
      </c>
      <c r="E1524" s="2" t="str">
        <f>IFERROR(__xludf.DUMMYFUNCTION("IF('From Order'!$A1524=COLUMNS($A1524:E1543), LEFT(INDEX(FILTER(E$1:E1523, E$1:E1523&lt;&gt;""""),COUNTA(FILTER(E$1:E1523, E$1:E1523&lt;&gt;""""))), LEN(INDEX(FILTER(E$1:E1523, E$1:E1523&lt;&gt;""""),COUNTA(FILTER(E$1:E1523, E$1:E1523&lt;&gt;""""))))-1), IF('To Order'!$A1524=COL"&amp;"UMNS($A1524:E1543), E1523&amp;RIGHT(INDIRECT(ADDRESS(ROW(E1524)-1, 'From Order'!$A1524)), 1), E1523))"),"W")</f>
        <v>W</v>
      </c>
      <c r="F1524" s="2" t="str">
        <f>IFERROR(__xludf.DUMMYFUNCTION("IF('From Order'!$A1524=COLUMNS($A1524:F1543), LEFT(INDEX(FILTER(F$1:F1523, F$1:F1523&lt;&gt;""""),COUNTA(FILTER(F$1:F1523, F$1:F1523&lt;&gt;""""))), LEN(INDEX(FILTER(F$1:F1523, F$1:F1523&lt;&gt;""""),COUNTA(FILTER(F$1:F1523, F$1:F1523&lt;&gt;""""))))-1), IF('To Order'!$A1524=COL"&amp;"UMNS($A1524:F1543), F1523&amp;RIGHT(INDIRECT(ADDRESS(ROW(F1524)-1, 'From Order'!$A1524)), 1), F1523))"),"ZRLBWLDDTSSTVCDRHZMTDLD")</f>
        <v>ZRLBWLDDTSSTVCDRHZMTDLD</v>
      </c>
      <c r="G1524" s="2" t="str">
        <f>IFERROR(__xludf.DUMMYFUNCTION("IF('From Order'!$A1524=COLUMNS($A1524:G1543), LEFT(INDEX(FILTER(G$1:G1523, G$1:G1523&lt;&gt;""""),COUNTA(FILTER(G$1:G1523, G$1:G1523&lt;&gt;""""))), LEN(INDEX(FILTER(G$1:G1523, G$1:G1523&lt;&gt;""""),COUNTA(FILTER(G$1:G1523, G$1:G1523&lt;&gt;""""))))-1), IF('To Order'!$A1524=COL"&amp;"UMNS($A1524:G1543), G1523&amp;RIGHT(INDIRECT(ADDRESS(ROW(G1524)-1, 'From Order'!$A1524)), 1), G1523))"),"")</f>
        <v/>
      </c>
      <c r="H1524" s="2" t="str">
        <f>IFERROR(__xludf.DUMMYFUNCTION("IF('From Order'!$A1524=COLUMNS($A1524:H1543), LEFT(INDEX(FILTER(H$1:H1523, H$1:H1523&lt;&gt;""""),COUNTA(FILTER(H$1:H1523, H$1:H1523&lt;&gt;""""))), LEN(INDEX(FILTER(H$1:H1523, H$1:H1523&lt;&gt;""""),COUNTA(FILTER(H$1:H1523, H$1:H1523&lt;&gt;""""))))-1), IF('To Order'!$A1524=COL"&amp;"UMNS($A1524:H1543), H1523&amp;RIGHT(INDIRECT(ADDRESS(ROW(H1524)-1, 'From Order'!$A1524)), 1), H1523))"),"")</f>
        <v/>
      </c>
      <c r="I1524" s="2" t="str">
        <f>IFERROR(__xludf.DUMMYFUNCTION("IF('From Order'!$A1524=COLUMNS($A1524:I1543), LEFT(INDEX(FILTER(I$1:I1523, I$1:I1523&lt;&gt;""""),COUNTA(FILTER(I$1:I1523, I$1:I1523&lt;&gt;""""))), LEN(INDEX(FILTER(I$1:I1523, I$1:I1523&lt;&gt;""""),COUNTA(FILTER(I$1:I1523, I$1:I1523&lt;&gt;""""))))-1), IF('To Order'!$A1524=COL"&amp;"UMNS($A1524:I1543), I1523&amp;RIGHT(INDIRECT(ADDRESS(ROW(I1524)-1, 'From Order'!$A1524)), 1), I1523))"),"")</f>
        <v/>
      </c>
    </row>
    <row r="1525">
      <c r="A1525" s="2" t="str">
        <f>IFERROR(__xludf.DUMMYFUNCTION("IF('From Order'!$A1525=COLUMNS($A1525:A1544), LEFT(INDEX(FILTER(A$1:A1524, A$1:A1524&lt;&gt;""""),COUNTA(FILTER(A$1:A1524, A$1:A1524&lt;&gt;""""))), LEN(INDEX(FILTER(A$1:A1524, A$1:A1524&lt;&gt;""""),COUNTA(FILTER(A$1:A1524, A$1:A1524&lt;&gt;""""))))-1), IF('To Order'!$A1525=COL"&amp;"UMNS($A1525:A1544), A1524&amp;RIGHT(INDIRECT(ADDRESS(ROW(A1525)-1, 'From Order'!$A1525)), 1), A1524))"),"MDJMBVRRSD")</f>
        <v>MDJMBVRRSD</v>
      </c>
      <c r="B1525" s="2" t="str">
        <f>IFERROR(__xludf.DUMMYFUNCTION("IF('From Order'!$A1525=COLUMNS($A1525:B1544), LEFT(INDEX(FILTER(B$1:B1524, B$1:B1524&lt;&gt;""""),COUNTA(FILTER(B$1:B1524, B$1:B1524&lt;&gt;""""))), LEN(INDEX(FILTER(B$1:B1524, B$1:B1524&lt;&gt;""""),COUNTA(FILTER(B$1:B1524, B$1:B1524&lt;&gt;""""))))-1), IF('To Order'!$A1525=COL"&amp;"UMNS($A1525:B1544), B1524&amp;RIGHT(INDIRECT(ADDRESS(ROW(B1525)-1, 'From Order'!$A1525)), 1), B1524))"),"R")</f>
        <v>R</v>
      </c>
      <c r="C1525" s="2" t="str">
        <f>IFERROR(__xludf.DUMMYFUNCTION("IF('From Order'!$A1525=COLUMNS($A1525:C1544), LEFT(INDEX(FILTER(C$1:C1524, C$1:C1524&lt;&gt;""""),COUNTA(FILTER(C$1:C1524, C$1:C1524&lt;&gt;""""))), LEN(INDEX(FILTER(C$1:C1524, C$1:C1524&lt;&gt;""""),COUNTA(FILTER(C$1:C1524, C$1:C1524&lt;&gt;""""))))-1), IF('To Order'!$A1525=COL"&amp;"UMNS($A1525:C1544), C1524&amp;RIGHT(INDIRECT(ADDRESS(ROW(C1525)-1, 'From Order'!$A1525)), 1), C1524))"),"TQVQJPP")</f>
        <v>TQVQJPP</v>
      </c>
      <c r="D1525" s="2" t="str">
        <f>IFERROR(__xludf.DUMMYFUNCTION("IF('From Order'!$A1525=COLUMNS($A1525:D1544), LEFT(INDEX(FILTER(D$1:D1524, D$1:D1524&lt;&gt;""""),COUNTA(FILTER(D$1:D1524, D$1:D1524&lt;&gt;""""))), LEN(INDEX(FILTER(D$1:D1524, D$1:D1524&lt;&gt;""""),COUNTA(FILTER(D$1:D1524, D$1:D1524&lt;&gt;""""))))-1), IF('To Order'!$A1525=COL"&amp;"UMNS($A1525:D1544), D1524&amp;RIGHT(INDIRECT(ADDRESS(ROW(D1525)-1, 'From Order'!$A1525)), 1), D1524))"),"CGZCSFHBGJTTPBF")</f>
        <v>CGZCSFHBGJTTPBF</v>
      </c>
      <c r="E1525" s="2" t="str">
        <f>IFERROR(__xludf.DUMMYFUNCTION("IF('From Order'!$A1525=COLUMNS($A1525:E1544), LEFT(INDEX(FILTER(E$1:E1524, E$1:E1524&lt;&gt;""""),COUNTA(FILTER(E$1:E1524, E$1:E1524&lt;&gt;""""))), LEN(INDEX(FILTER(E$1:E1524, E$1:E1524&lt;&gt;""""),COUNTA(FILTER(E$1:E1524, E$1:E1524&lt;&gt;""""))))-1), IF('To Order'!$A1525=COL"&amp;"UMNS($A1525:E1544), E1524&amp;RIGHT(INDIRECT(ADDRESS(ROW(E1525)-1, 'From Order'!$A1525)), 1), E1524))"),"W")</f>
        <v>W</v>
      </c>
      <c r="F1525" s="2" t="str">
        <f>IFERROR(__xludf.DUMMYFUNCTION("IF('From Order'!$A1525=COLUMNS($A1525:F1544), LEFT(INDEX(FILTER(F$1:F1524, F$1:F1524&lt;&gt;""""),COUNTA(FILTER(F$1:F1524, F$1:F1524&lt;&gt;""""))), LEN(INDEX(FILTER(F$1:F1524, F$1:F1524&lt;&gt;""""),COUNTA(FILTER(F$1:F1524, F$1:F1524&lt;&gt;""""))))-1), IF('To Order'!$A1525=COL"&amp;"UMNS($A1525:F1544), F1524&amp;RIGHT(INDIRECT(ADDRESS(ROW(F1525)-1, 'From Order'!$A1525)), 1), F1524))"),"ZRLBWLDDTSSTVCDRHZMTDL")</f>
        <v>ZRLBWLDDTSSTVCDRHZMTDL</v>
      </c>
      <c r="G1525" s="2" t="str">
        <f>IFERROR(__xludf.DUMMYFUNCTION("IF('From Order'!$A1525=COLUMNS($A1525:G1544), LEFT(INDEX(FILTER(G$1:G1524, G$1:G1524&lt;&gt;""""),COUNTA(FILTER(G$1:G1524, G$1:G1524&lt;&gt;""""))), LEN(INDEX(FILTER(G$1:G1524, G$1:G1524&lt;&gt;""""),COUNTA(FILTER(G$1:G1524, G$1:G1524&lt;&gt;""""))))-1), IF('To Order'!$A1525=COL"&amp;"UMNS($A1525:G1544), G1524&amp;RIGHT(INDIRECT(ADDRESS(ROW(G1525)-1, 'From Order'!$A1525)), 1), G1524))"),"")</f>
        <v/>
      </c>
      <c r="H1525" s="2" t="str">
        <f>IFERROR(__xludf.DUMMYFUNCTION("IF('From Order'!$A1525=COLUMNS($A1525:H1544), LEFT(INDEX(FILTER(H$1:H1524, H$1:H1524&lt;&gt;""""),COUNTA(FILTER(H$1:H1524, H$1:H1524&lt;&gt;""""))), LEN(INDEX(FILTER(H$1:H1524, H$1:H1524&lt;&gt;""""),COUNTA(FILTER(H$1:H1524, H$1:H1524&lt;&gt;""""))))-1), IF('To Order'!$A1525=COL"&amp;"UMNS($A1525:H1544), H1524&amp;RIGHT(INDIRECT(ADDRESS(ROW(H1525)-1, 'From Order'!$A1525)), 1), H1524))"),"")</f>
        <v/>
      </c>
      <c r="I1525" s="2" t="str">
        <f>IFERROR(__xludf.DUMMYFUNCTION("IF('From Order'!$A1525=COLUMNS($A1525:I1544), LEFT(INDEX(FILTER(I$1:I1524, I$1:I1524&lt;&gt;""""),COUNTA(FILTER(I$1:I1524, I$1:I1524&lt;&gt;""""))), LEN(INDEX(FILTER(I$1:I1524, I$1:I1524&lt;&gt;""""),COUNTA(FILTER(I$1:I1524, I$1:I1524&lt;&gt;""""))))-1), IF('To Order'!$A1525=COL"&amp;"UMNS($A1525:I1544), I1524&amp;RIGHT(INDIRECT(ADDRESS(ROW(I1525)-1, 'From Order'!$A1525)), 1), I1524))"),"")</f>
        <v/>
      </c>
    </row>
    <row r="1526">
      <c r="A1526" s="2" t="str">
        <f>IFERROR(__xludf.DUMMYFUNCTION("IF('From Order'!$A1526=COLUMNS($A1526:A1545), LEFT(INDEX(FILTER(A$1:A1525, A$1:A1525&lt;&gt;""""),COUNTA(FILTER(A$1:A1525, A$1:A1525&lt;&gt;""""))), LEN(INDEX(FILTER(A$1:A1525, A$1:A1525&lt;&gt;""""),COUNTA(FILTER(A$1:A1525, A$1:A1525&lt;&gt;""""))))-1), IF('To Order'!$A1526=COL"&amp;"UMNS($A1526:A1545), A1525&amp;RIGHT(INDIRECT(ADDRESS(ROW(A1526)-1, 'From Order'!$A1526)), 1), A1525))"),"MDJMBVRRSDL")</f>
        <v>MDJMBVRRSDL</v>
      </c>
      <c r="B1526" s="2" t="str">
        <f>IFERROR(__xludf.DUMMYFUNCTION("IF('From Order'!$A1526=COLUMNS($A1526:B1545), LEFT(INDEX(FILTER(B$1:B1525, B$1:B1525&lt;&gt;""""),COUNTA(FILTER(B$1:B1525, B$1:B1525&lt;&gt;""""))), LEN(INDEX(FILTER(B$1:B1525, B$1:B1525&lt;&gt;""""),COUNTA(FILTER(B$1:B1525, B$1:B1525&lt;&gt;""""))))-1), IF('To Order'!$A1526=COL"&amp;"UMNS($A1526:B1545), B1525&amp;RIGHT(INDIRECT(ADDRESS(ROW(B1526)-1, 'From Order'!$A1526)), 1), B1525))"),"R")</f>
        <v>R</v>
      </c>
      <c r="C1526" s="2" t="str">
        <f>IFERROR(__xludf.DUMMYFUNCTION("IF('From Order'!$A1526=COLUMNS($A1526:C1545), LEFT(INDEX(FILTER(C$1:C1525, C$1:C1525&lt;&gt;""""),COUNTA(FILTER(C$1:C1525, C$1:C1525&lt;&gt;""""))), LEN(INDEX(FILTER(C$1:C1525, C$1:C1525&lt;&gt;""""),COUNTA(FILTER(C$1:C1525, C$1:C1525&lt;&gt;""""))))-1), IF('To Order'!$A1526=COL"&amp;"UMNS($A1526:C1545), C1525&amp;RIGHT(INDIRECT(ADDRESS(ROW(C1526)-1, 'From Order'!$A1526)), 1), C1525))"),"TQVQJPP")</f>
        <v>TQVQJPP</v>
      </c>
      <c r="D1526" s="2" t="str">
        <f>IFERROR(__xludf.DUMMYFUNCTION("IF('From Order'!$A1526=COLUMNS($A1526:D1545), LEFT(INDEX(FILTER(D$1:D1525, D$1:D1525&lt;&gt;""""),COUNTA(FILTER(D$1:D1525, D$1:D1525&lt;&gt;""""))), LEN(INDEX(FILTER(D$1:D1525, D$1:D1525&lt;&gt;""""),COUNTA(FILTER(D$1:D1525, D$1:D1525&lt;&gt;""""))))-1), IF('To Order'!$A1526=COL"&amp;"UMNS($A1526:D1545), D1525&amp;RIGHT(INDIRECT(ADDRESS(ROW(D1526)-1, 'From Order'!$A1526)), 1), D1525))"),"CGZCSFHBGJTTPBF")</f>
        <v>CGZCSFHBGJTTPBF</v>
      </c>
      <c r="E1526" s="2" t="str">
        <f>IFERROR(__xludf.DUMMYFUNCTION("IF('From Order'!$A1526=COLUMNS($A1526:E1545), LEFT(INDEX(FILTER(E$1:E1525, E$1:E1525&lt;&gt;""""),COUNTA(FILTER(E$1:E1525, E$1:E1525&lt;&gt;""""))), LEN(INDEX(FILTER(E$1:E1525, E$1:E1525&lt;&gt;""""),COUNTA(FILTER(E$1:E1525, E$1:E1525&lt;&gt;""""))))-1), IF('To Order'!$A1526=COL"&amp;"UMNS($A1526:E1545), E1525&amp;RIGHT(INDIRECT(ADDRESS(ROW(E1526)-1, 'From Order'!$A1526)), 1), E1525))"),"W")</f>
        <v>W</v>
      </c>
      <c r="F1526" s="2" t="str">
        <f>IFERROR(__xludf.DUMMYFUNCTION("IF('From Order'!$A1526=COLUMNS($A1526:F1545), LEFT(INDEX(FILTER(F$1:F1525, F$1:F1525&lt;&gt;""""),COUNTA(FILTER(F$1:F1525, F$1:F1525&lt;&gt;""""))), LEN(INDEX(FILTER(F$1:F1525, F$1:F1525&lt;&gt;""""),COUNTA(FILTER(F$1:F1525, F$1:F1525&lt;&gt;""""))))-1), IF('To Order'!$A1526=COL"&amp;"UMNS($A1526:F1545), F1525&amp;RIGHT(INDIRECT(ADDRESS(ROW(F1526)-1, 'From Order'!$A1526)), 1), F1525))"),"ZRLBWLDDTSSTVCDRHZMTD")</f>
        <v>ZRLBWLDDTSSTVCDRHZMTD</v>
      </c>
      <c r="G1526" s="2" t="str">
        <f>IFERROR(__xludf.DUMMYFUNCTION("IF('From Order'!$A1526=COLUMNS($A1526:G1545), LEFT(INDEX(FILTER(G$1:G1525, G$1:G1525&lt;&gt;""""),COUNTA(FILTER(G$1:G1525, G$1:G1525&lt;&gt;""""))), LEN(INDEX(FILTER(G$1:G1525, G$1:G1525&lt;&gt;""""),COUNTA(FILTER(G$1:G1525, G$1:G1525&lt;&gt;""""))))-1), IF('To Order'!$A1526=COL"&amp;"UMNS($A1526:G1545), G1525&amp;RIGHT(INDIRECT(ADDRESS(ROW(G1526)-1, 'From Order'!$A1526)), 1), G1525))"),"")</f>
        <v/>
      </c>
      <c r="H1526" s="2" t="str">
        <f>IFERROR(__xludf.DUMMYFUNCTION("IF('From Order'!$A1526=COLUMNS($A1526:H1545), LEFT(INDEX(FILTER(H$1:H1525, H$1:H1525&lt;&gt;""""),COUNTA(FILTER(H$1:H1525, H$1:H1525&lt;&gt;""""))), LEN(INDEX(FILTER(H$1:H1525, H$1:H1525&lt;&gt;""""),COUNTA(FILTER(H$1:H1525, H$1:H1525&lt;&gt;""""))))-1), IF('To Order'!$A1526=COL"&amp;"UMNS($A1526:H1545), H1525&amp;RIGHT(INDIRECT(ADDRESS(ROW(H1526)-1, 'From Order'!$A1526)), 1), H1525))"),"")</f>
        <v/>
      </c>
      <c r="I1526" s="2" t="str">
        <f>IFERROR(__xludf.DUMMYFUNCTION("IF('From Order'!$A1526=COLUMNS($A1526:I1545), LEFT(INDEX(FILTER(I$1:I1525, I$1:I1525&lt;&gt;""""),COUNTA(FILTER(I$1:I1525, I$1:I1525&lt;&gt;""""))), LEN(INDEX(FILTER(I$1:I1525, I$1:I1525&lt;&gt;""""),COUNTA(FILTER(I$1:I1525, I$1:I1525&lt;&gt;""""))))-1), IF('To Order'!$A1526=COL"&amp;"UMNS($A1526:I1545), I1525&amp;RIGHT(INDIRECT(ADDRESS(ROW(I1526)-1, 'From Order'!$A1526)), 1), I1525))"),"")</f>
        <v/>
      </c>
    </row>
    <row r="1527">
      <c r="A1527" s="2" t="str">
        <f>IFERROR(__xludf.DUMMYFUNCTION("IF('From Order'!$A1527=COLUMNS($A1527:A1546), LEFT(INDEX(FILTER(A$1:A1526, A$1:A1526&lt;&gt;""""),COUNTA(FILTER(A$1:A1526, A$1:A1526&lt;&gt;""""))), LEN(INDEX(FILTER(A$1:A1526, A$1:A1526&lt;&gt;""""),COUNTA(FILTER(A$1:A1526, A$1:A1526&lt;&gt;""""))))-1), IF('To Order'!$A1527=COL"&amp;"UMNS($A1527:A1546), A1526&amp;RIGHT(INDIRECT(ADDRESS(ROW(A1527)-1, 'From Order'!$A1527)), 1), A1526))"),"MDJMBVRRSDLD")</f>
        <v>MDJMBVRRSDLD</v>
      </c>
      <c r="B1527" s="2" t="str">
        <f>IFERROR(__xludf.DUMMYFUNCTION("IF('From Order'!$A1527=COLUMNS($A1527:B1546), LEFT(INDEX(FILTER(B$1:B1526, B$1:B1526&lt;&gt;""""),COUNTA(FILTER(B$1:B1526, B$1:B1526&lt;&gt;""""))), LEN(INDEX(FILTER(B$1:B1526, B$1:B1526&lt;&gt;""""),COUNTA(FILTER(B$1:B1526, B$1:B1526&lt;&gt;""""))))-1), IF('To Order'!$A1527=COL"&amp;"UMNS($A1527:B1546), B1526&amp;RIGHT(INDIRECT(ADDRESS(ROW(B1527)-1, 'From Order'!$A1527)), 1), B1526))"),"R")</f>
        <v>R</v>
      </c>
      <c r="C1527" s="2" t="str">
        <f>IFERROR(__xludf.DUMMYFUNCTION("IF('From Order'!$A1527=COLUMNS($A1527:C1546), LEFT(INDEX(FILTER(C$1:C1526, C$1:C1526&lt;&gt;""""),COUNTA(FILTER(C$1:C1526, C$1:C1526&lt;&gt;""""))), LEN(INDEX(FILTER(C$1:C1526, C$1:C1526&lt;&gt;""""),COUNTA(FILTER(C$1:C1526, C$1:C1526&lt;&gt;""""))))-1), IF('To Order'!$A1527=COL"&amp;"UMNS($A1527:C1546), C1526&amp;RIGHT(INDIRECT(ADDRESS(ROW(C1527)-1, 'From Order'!$A1527)), 1), C1526))"),"TQVQJPP")</f>
        <v>TQVQJPP</v>
      </c>
      <c r="D1527" s="2" t="str">
        <f>IFERROR(__xludf.DUMMYFUNCTION("IF('From Order'!$A1527=COLUMNS($A1527:D1546), LEFT(INDEX(FILTER(D$1:D1526, D$1:D1526&lt;&gt;""""),COUNTA(FILTER(D$1:D1526, D$1:D1526&lt;&gt;""""))), LEN(INDEX(FILTER(D$1:D1526, D$1:D1526&lt;&gt;""""),COUNTA(FILTER(D$1:D1526, D$1:D1526&lt;&gt;""""))))-1), IF('To Order'!$A1527=COL"&amp;"UMNS($A1527:D1546), D1526&amp;RIGHT(INDIRECT(ADDRESS(ROW(D1527)-1, 'From Order'!$A1527)), 1), D1526))"),"CGZCSFHBGJTTPBF")</f>
        <v>CGZCSFHBGJTTPBF</v>
      </c>
      <c r="E1527" s="2" t="str">
        <f>IFERROR(__xludf.DUMMYFUNCTION("IF('From Order'!$A1527=COLUMNS($A1527:E1546), LEFT(INDEX(FILTER(E$1:E1526, E$1:E1526&lt;&gt;""""),COUNTA(FILTER(E$1:E1526, E$1:E1526&lt;&gt;""""))), LEN(INDEX(FILTER(E$1:E1526, E$1:E1526&lt;&gt;""""),COUNTA(FILTER(E$1:E1526, E$1:E1526&lt;&gt;""""))))-1), IF('To Order'!$A1527=COL"&amp;"UMNS($A1527:E1546), E1526&amp;RIGHT(INDIRECT(ADDRESS(ROW(E1527)-1, 'From Order'!$A1527)), 1), E1526))"),"W")</f>
        <v>W</v>
      </c>
      <c r="F1527" s="2" t="str">
        <f>IFERROR(__xludf.DUMMYFUNCTION("IF('From Order'!$A1527=COLUMNS($A1527:F1546), LEFT(INDEX(FILTER(F$1:F1526, F$1:F1526&lt;&gt;""""),COUNTA(FILTER(F$1:F1526, F$1:F1526&lt;&gt;""""))), LEN(INDEX(FILTER(F$1:F1526, F$1:F1526&lt;&gt;""""),COUNTA(FILTER(F$1:F1526, F$1:F1526&lt;&gt;""""))))-1), IF('To Order'!$A1527=COL"&amp;"UMNS($A1527:F1546), F1526&amp;RIGHT(INDIRECT(ADDRESS(ROW(F1527)-1, 'From Order'!$A1527)), 1), F1526))"),"ZRLBWLDDTSSTVCDRHZMT")</f>
        <v>ZRLBWLDDTSSTVCDRHZMT</v>
      </c>
      <c r="G1527" s="2" t="str">
        <f>IFERROR(__xludf.DUMMYFUNCTION("IF('From Order'!$A1527=COLUMNS($A1527:G1546), LEFT(INDEX(FILTER(G$1:G1526, G$1:G1526&lt;&gt;""""),COUNTA(FILTER(G$1:G1526, G$1:G1526&lt;&gt;""""))), LEN(INDEX(FILTER(G$1:G1526, G$1:G1526&lt;&gt;""""),COUNTA(FILTER(G$1:G1526, G$1:G1526&lt;&gt;""""))))-1), IF('To Order'!$A1527=COL"&amp;"UMNS($A1527:G1546), G1526&amp;RIGHT(INDIRECT(ADDRESS(ROW(G1527)-1, 'From Order'!$A1527)), 1), G1526))"),"")</f>
        <v/>
      </c>
      <c r="H1527" s="2" t="str">
        <f>IFERROR(__xludf.DUMMYFUNCTION("IF('From Order'!$A1527=COLUMNS($A1527:H1546), LEFT(INDEX(FILTER(H$1:H1526, H$1:H1526&lt;&gt;""""),COUNTA(FILTER(H$1:H1526, H$1:H1526&lt;&gt;""""))), LEN(INDEX(FILTER(H$1:H1526, H$1:H1526&lt;&gt;""""),COUNTA(FILTER(H$1:H1526, H$1:H1526&lt;&gt;""""))))-1), IF('To Order'!$A1527=COL"&amp;"UMNS($A1527:H1546), H1526&amp;RIGHT(INDIRECT(ADDRESS(ROW(H1527)-1, 'From Order'!$A1527)), 1), H1526))"),"")</f>
        <v/>
      </c>
      <c r="I1527" s="2" t="str">
        <f>IFERROR(__xludf.DUMMYFUNCTION("IF('From Order'!$A1527=COLUMNS($A1527:I1546), LEFT(INDEX(FILTER(I$1:I1526, I$1:I1526&lt;&gt;""""),COUNTA(FILTER(I$1:I1526, I$1:I1526&lt;&gt;""""))), LEN(INDEX(FILTER(I$1:I1526, I$1:I1526&lt;&gt;""""),COUNTA(FILTER(I$1:I1526, I$1:I1526&lt;&gt;""""))))-1), IF('To Order'!$A1527=COL"&amp;"UMNS($A1527:I1546), I1526&amp;RIGHT(INDIRECT(ADDRESS(ROW(I1527)-1, 'From Order'!$A1527)), 1), I1526))"),"")</f>
        <v/>
      </c>
    </row>
    <row r="1528">
      <c r="A1528" s="2" t="str">
        <f>IFERROR(__xludf.DUMMYFUNCTION("IF('From Order'!$A1528=COLUMNS($A1528:A1547), LEFT(INDEX(FILTER(A$1:A1527, A$1:A1527&lt;&gt;""""),COUNTA(FILTER(A$1:A1527, A$1:A1527&lt;&gt;""""))), LEN(INDEX(FILTER(A$1:A1527, A$1:A1527&lt;&gt;""""),COUNTA(FILTER(A$1:A1527, A$1:A1527&lt;&gt;""""))))-1), IF('To Order'!$A1528=COL"&amp;"UMNS($A1528:A1547), A1527&amp;RIGHT(INDIRECT(ADDRESS(ROW(A1528)-1, 'From Order'!$A1528)), 1), A1527))"),"MDJMBVRRSDLDT")</f>
        <v>MDJMBVRRSDLDT</v>
      </c>
      <c r="B1528" s="2" t="str">
        <f>IFERROR(__xludf.DUMMYFUNCTION("IF('From Order'!$A1528=COLUMNS($A1528:B1547), LEFT(INDEX(FILTER(B$1:B1527, B$1:B1527&lt;&gt;""""),COUNTA(FILTER(B$1:B1527, B$1:B1527&lt;&gt;""""))), LEN(INDEX(FILTER(B$1:B1527, B$1:B1527&lt;&gt;""""),COUNTA(FILTER(B$1:B1527, B$1:B1527&lt;&gt;""""))))-1), IF('To Order'!$A1528=COL"&amp;"UMNS($A1528:B1547), B1527&amp;RIGHT(INDIRECT(ADDRESS(ROW(B1528)-1, 'From Order'!$A1528)), 1), B1527))"),"R")</f>
        <v>R</v>
      </c>
      <c r="C1528" s="2" t="str">
        <f>IFERROR(__xludf.DUMMYFUNCTION("IF('From Order'!$A1528=COLUMNS($A1528:C1547), LEFT(INDEX(FILTER(C$1:C1527, C$1:C1527&lt;&gt;""""),COUNTA(FILTER(C$1:C1527, C$1:C1527&lt;&gt;""""))), LEN(INDEX(FILTER(C$1:C1527, C$1:C1527&lt;&gt;""""),COUNTA(FILTER(C$1:C1527, C$1:C1527&lt;&gt;""""))))-1), IF('To Order'!$A1528=COL"&amp;"UMNS($A1528:C1547), C1527&amp;RIGHT(INDIRECT(ADDRESS(ROW(C1528)-1, 'From Order'!$A1528)), 1), C1527))"),"TQVQJPP")</f>
        <v>TQVQJPP</v>
      </c>
      <c r="D1528" s="2" t="str">
        <f>IFERROR(__xludf.DUMMYFUNCTION("IF('From Order'!$A1528=COLUMNS($A1528:D1547), LEFT(INDEX(FILTER(D$1:D1527, D$1:D1527&lt;&gt;""""),COUNTA(FILTER(D$1:D1527, D$1:D1527&lt;&gt;""""))), LEN(INDEX(FILTER(D$1:D1527, D$1:D1527&lt;&gt;""""),COUNTA(FILTER(D$1:D1527, D$1:D1527&lt;&gt;""""))))-1), IF('To Order'!$A1528=COL"&amp;"UMNS($A1528:D1547), D1527&amp;RIGHT(INDIRECT(ADDRESS(ROW(D1528)-1, 'From Order'!$A1528)), 1), D1527))"),"CGZCSFHBGJTTPBF")</f>
        <v>CGZCSFHBGJTTPBF</v>
      </c>
      <c r="E1528" s="2" t="str">
        <f>IFERROR(__xludf.DUMMYFUNCTION("IF('From Order'!$A1528=COLUMNS($A1528:E1547), LEFT(INDEX(FILTER(E$1:E1527, E$1:E1527&lt;&gt;""""),COUNTA(FILTER(E$1:E1527, E$1:E1527&lt;&gt;""""))), LEN(INDEX(FILTER(E$1:E1527, E$1:E1527&lt;&gt;""""),COUNTA(FILTER(E$1:E1527, E$1:E1527&lt;&gt;""""))))-1), IF('To Order'!$A1528=COL"&amp;"UMNS($A1528:E1547), E1527&amp;RIGHT(INDIRECT(ADDRESS(ROW(E1528)-1, 'From Order'!$A1528)), 1), E1527))"),"W")</f>
        <v>W</v>
      </c>
      <c r="F1528" s="2" t="str">
        <f>IFERROR(__xludf.DUMMYFUNCTION("IF('From Order'!$A1528=COLUMNS($A1528:F1547), LEFT(INDEX(FILTER(F$1:F1527, F$1:F1527&lt;&gt;""""),COUNTA(FILTER(F$1:F1527, F$1:F1527&lt;&gt;""""))), LEN(INDEX(FILTER(F$1:F1527, F$1:F1527&lt;&gt;""""),COUNTA(FILTER(F$1:F1527, F$1:F1527&lt;&gt;""""))))-1), IF('To Order'!$A1528=COL"&amp;"UMNS($A1528:F1547), F1527&amp;RIGHT(INDIRECT(ADDRESS(ROW(F1528)-1, 'From Order'!$A1528)), 1), F1527))"),"ZRLBWLDDTSSTVCDRHZM")</f>
        <v>ZRLBWLDDTSSTVCDRHZM</v>
      </c>
      <c r="G1528" s="2" t="str">
        <f>IFERROR(__xludf.DUMMYFUNCTION("IF('From Order'!$A1528=COLUMNS($A1528:G1547), LEFT(INDEX(FILTER(G$1:G1527, G$1:G1527&lt;&gt;""""),COUNTA(FILTER(G$1:G1527, G$1:G1527&lt;&gt;""""))), LEN(INDEX(FILTER(G$1:G1527, G$1:G1527&lt;&gt;""""),COUNTA(FILTER(G$1:G1527, G$1:G1527&lt;&gt;""""))))-1), IF('To Order'!$A1528=COL"&amp;"UMNS($A1528:G1547), G1527&amp;RIGHT(INDIRECT(ADDRESS(ROW(G1528)-1, 'From Order'!$A1528)), 1), G1527))"),"")</f>
        <v/>
      </c>
      <c r="H1528" s="2" t="str">
        <f>IFERROR(__xludf.DUMMYFUNCTION("IF('From Order'!$A1528=COLUMNS($A1528:H1547), LEFT(INDEX(FILTER(H$1:H1527, H$1:H1527&lt;&gt;""""),COUNTA(FILTER(H$1:H1527, H$1:H1527&lt;&gt;""""))), LEN(INDEX(FILTER(H$1:H1527, H$1:H1527&lt;&gt;""""),COUNTA(FILTER(H$1:H1527, H$1:H1527&lt;&gt;""""))))-1), IF('To Order'!$A1528=COL"&amp;"UMNS($A1528:H1547), H1527&amp;RIGHT(INDIRECT(ADDRESS(ROW(H1528)-1, 'From Order'!$A1528)), 1), H1527))"),"")</f>
        <v/>
      </c>
      <c r="I1528" s="2" t="str">
        <f>IFERROR(__xludf.DUMMYFUNCTION("IF('From Order'!$A1528=COLUMNS($A1528:I1547), LEFT(INDEX(FILTER(I$1:I1527, I$1:I1527&lt;&gt;""""),COUNTA(FILTER(I$1:I1527, I$1:I1527&lt;&gt;""""))), LEN(INDEX(FILTER(I$1:I1527, I$1:I1527&lt;&gt;""""),COUNTA(FILTER(I$1:I1527, I$1:I1527&lt;&gt;""""))))-1), IF('To Order'!$A1528=COL"&amp;"UMNS($A1528:I1547), I1527&amp;RIGHT(INDIRECT(ADDRESS(ROW(I1528)-1, 'From Order'!$A1528)), 1), I1527))"),"")</f>
        <v/>
      </c>
    </row>
    <row r="1529">
      <c r="A1529" s="2" t="str">
        <f>IFERROR(__xludf.DUMMYFUNCTION("IF('From Order'!$A1529=COLUMNS($A1529:A1548), LEFT(INDEX(FILTER(A$1:A1528, A$1:A1528&lt;&gt;""""),COUNTA(FILTER(A$1:A1528, A$1:A1528&lt;&gt;""""))), LEN(INDEX(FILTER(A$1:A1528, A$1:A1528&lt;&gt;""""),COUNTA(FILTER(A$1:A1528, A$1:A1528&lt;&gt;""""))))-1), IF('To Order'!$A1529=COL"&amp;"UMNS($A1529:A1548), A1528&amp;RIGHT(INDIRECT(ADDRESS(ROW(A1529)-1, 'From Order'!$A1529)), 1), A1528))"),"MDJMBVRRSDLDTM")</f>
        <v>MDJMBVRRSDLDTM</v>
      </c>
      <c r="B1529" s="2" t="str">
        <f>IFERROR(__xludf.DUMMYFUNCTION("IF('From Order'!$A1529=COLUMNS($A1529:B1548), LEFT(INDEX(FILTER(B$1:B1528, B$1:B1528&lt;&gt;""""),COUNTA(FILTER(B$1:B1528, B$1:B1528&lt;&gt;""""))), LEN(INDEX(FILTER(B$1:B1528, B$1:B1528&lt;&gt;""""),COUNTA(FILTER(B$1:B1528, B$1:B1528&lt;&gt;""""))))-1), IF('To Order'!$A1529=COL"&amp;"UMNS($A1529:B1548), B1528&amp;RIGHT(INDIRECT(ADDRESS(ROW(B1529)-1, 'From Order'!$A1529)), 1), B1528))"),"R")</f>
        <v>R</v>
      </c>
      <c r="C1529" s="2" t="str">
        <f>IFERROR(__xludf.DUMMYFUNCTION("IF('From Order'!$A1529=COLUMNS($A1529:C1548), LEFT(INDEX(FILTER(C$1:C1528, C$1:C1528&lt;&gt;""""),COUNTA(FILTER(C$1:C1528, C$1:C1528&lt;&gt;""""))), LEN(INDEX(FILTER(C$1:C1528, C$1:C1528&lt;&gt;""""),COUNTA(FILTER(C$1:C1528, C$1:C1528&lt;&gt;""""))))-1), IF('To Order'!$A1529=COL"&amp;"UMNS($A1529:C1548), C1528&amp;RIGHT(INDIRECT(ADDRESS(ROW(C1529)-1, 'From Order'!$A1529)), 1), C1528))"),"TQVQJPP")</f>
        <v>TQVQJPP</v>
      </c>
      <c r="D1529" s="2" t="str">
        <f>IFERROR(__xludf.DUMMYFUNCTION("IF('From Order'!$A1529=COLUMNS($A1529:D1548), LEFT(INDEX(FILTER(D$1:D1528, D$1:D1528&lt;&gt;""""),COUNTA(FILTER(D$1:D1528, D$1:D1528&lt;&gt;""""))), LEN(INDEX(FILTER(D$1:D1528, D$1:D1528&lt;&gt;""""),COUNTA(FILTER(D$1:D1528, D$1:D1528&lt;&gt;""""))))-1), IF('To Order'!$A1529=COL"&amp;"UMNS($A1529:D1548), D1528&amp;RIGHT(INDIRECT(ADDRESS(ROW(D1529)-1, 'From Order'!$A1529)), 1), D1528))"),"CGZCSFHBGJTTPBF")</f>
        <v>CGZCSFHBGJTTPBF</v>
      </c>
      <c r="E1529" s="2" t="str">
        <f>IFERROR(__xludf.DUMMYFUNCTION("IF('From Order'!$A1529=COLUMNS($A1529:E1548), LEFT(INDEX(FILTER(E$1:E1528, E$1:E1528&lt;&gt;""""),COUNTA(FILTER(E$1:E1528, E$1:E1528&lt;&gt;""""))), LEN(INDEX(FILTER(E$1:E1528, E$1:E1528&lt;&gt;""""),COUNTA(FILTER(E$1:E1528, E$1:E1528&lt;&gt;""""))))-1), IF('To Order'!$A1529=COL"&amp;"UMNS($A1529:E1548), E1528&amp;RIGHT(INDIRECT(ADDRESS(ROW(E1529)-1, 'From Order'!$A1529)), 1), E1528))"),"W")</f>
        <v>W</v>
      </c>
      <c r="F1529" s="2" t="str">
        <f>IFERROR(__xludf.DUMMYFUNCTION("IF('From Order'!$A1529=COLUMNS($A1529:F1548), LEFT(INDEX(FILTER(F$1:F1528, F$1:F1528&lt;&gt;""""),COUNTA(FILTER(F$1:F1528, F$1:F1528&lt;&gt;""""))), LEN(INDEX(FILTER(F$1:F1528, F$1:F1528&lt;&gt;""""),COUNTA(FILTER(F$1:F1528, F$1:F1528&lt;&gt;""""))))-1), IF('To Order'!$A1529=COL"&amp;"UMNS($A1529:F1548), F1528&amp;RIGHT(INDIRECT(ADDRESS(ROW(F1529)-1, 'From Order'!$A1529)), 1), F1528))"),"ZRLBWLDDTSSTVCDRHZ")</f>
        <v>ZRLBWLDDTSSTVCDRHZ</v>
      </c>
      <c r="G1529" s="2" t="str">
        <f>IFERROR(__xludf.DUMMYFUNCTION("IF('From Order'!$A1529=COLUMNS($A1529:G1548), LEFT(INDEX(FILTER(G$1:G1528, G$1:G1528&lt;&gt;""""),COUNTA(FILTER(G$1:G1528, G$1:G1528&lt;&gt;""""))), LEN(INDEX(FILTER(G$1:G1528, G$1:G1528&lt;&gt;""""),COUNTA(FILTER(G$1:G1528, G$1:G1528&lt;&gt;""""))))-1), IF('To Order'!$A1529=COL"&amp;"UMNS($A1529:G1548), G1528&amp;RIGHT(INDIRECT(ADDRESS(ROW(G1529)-1, 'From Order'!$A1529)), 1), G1528))"),"")</f>
        <v/>
      </c>
      <c r="H1529" s="2" t="str">
        <f>IFERROR(__xludf.DUMMYFUNCTION("IF('From Order'!$A1529=COLUMNS($A1529:H1548), LEFT(INDEX(FILTER(H$1:H1528, H$1:H1528&lt;&gt;""""),COUNTA(FILTER(H$1:H1528, H$1:H1528&lt;&gt;""""))), LEN(INDEX(FILTER(H$1:H1528, H$1:H1528&lt;&gt;""""),COUNTA(FILTER(H$1:H1528, H$1:H1528&lt;&gt;""""))))-1), IF('To Order'!$A1529=COL"&amp;"UMNS($A1529:H1548), H1528&amp;RIGHT(INDIRECT(ADDRESS(ROW(H1529)-1, 'From Order'!$A1529)), 1), H1528))"),"")</f>
        <v/>
      </c>
      <c r="I1529" s="2" t="str">
        <f>IFERROR(__xludf.DUMMYFUNCTION("IF('From Order'!$A1529=COLUMNS($A1529:I1548), LEFT(INDEX(FILTER(I$1:I1528, I$1:I1528&lt;&gt;""""),COUNTA(FILTER(I$1:I1528, I$1:I1528&lt;&gt;""""))), LEN(INDEX(FILTER(I$1:I1528, I$1:I1528&lt;&gt;""""),COUNTA(FILTER(I$1:I1528, I$1:I1528&lt;&gt;""""))))-1), IF('To Order'!$A1529=COL"&amp;"UMNS($A1529:I1548), I1528&amp;RIGHT(INDIRECT(ADDRESS(ROW(I1529)-1, 'From Order'!$A1529)), 1), I1528))"),"")</f>
        <v/>
      </c>
    </row>
    <row r="1530">
      <c r="A1530" s="2" t="str">
        <f>IFERROR(__xludf.DUMMYFUNCTION("IF('From Order'!$A1530=COLUMNS($A1530:A1549), LEFT(INDEX(FILTER(A$1:A1529, A$1:A1529&lt;&gt;""""),COUNTA(FILTER(A$1:A1529, A$1:A1529&lt;&gt;""""))), LEN(INDEX(FILTER(A$1:A1529, A$1:A1529&lt;&gt;""""),COUNTA(FILTER(A$1:A1529, A$1:A1529&lt;&gt;""""))))-1), IF('To Order'!$A1530=COL"&amp;"UMNS($A1530:A1549), A1529&amp;RIGHT(INDIRECT(ADDRESS(ROW(A1530)-1, 'From Order'!$A1530)), 1), A1529))"),"MDJMBVRRSDLDTMZ")</f>
        <v>MDJMBVRRSDLDTMZ</v>
      </c>
      <c r="B1530" s="2" t="str">
        <f>IFERROR(__xludf.DUMMYFUNCTION("IF('From Order'!$A1530=COLUMNS($A1530:B1549), LEFT(INDEX(FILTER(B$1:B1529, B$1:B1529&lt;&gt;""""),COUNTA(FILTER(B$1:B1529, B$1:B1529&lt;&gt;""""))), LEN(INDEX(FILTER(B$1:B1529, B$1:B1529&lt;&gt;""""),COUNTA(FILTER(B$1:B1529, B$1:B1529&lt;&gt;""""))))-1), IF('To Order'!$A1530=COL"&amp;"UMNS($A1530:B1549), B1529&amp;RIGHT(INDIRECT(ADDRESS(ROW(B1530)-1, 'From Order'!$A1530)), 1), B1529))"),"R")</f>
        <v>R</v>
      </c>
      <c r="C1530" s="2" t="str">
        <f>IFERROR(__xludf.DUMMYFUNCTION("IF('From Order'!$A1530=COLUMNS($A1530:C1549), LEFT(INDEX(FILTER(C$1:C1529, C$1:C1529&lt;&gt;""""),COUNTA(FILTER(C$1:C1529, C$1:C1529&lt;&gt;""""))), LEN(INDEX(FILTER(C$1:C1529, C$1:C1529&lt;&gt;""""),COUNTA(FILTER(C$1:C1529, C$1:C1529&lt;&gt;""""))))-1), IF('To Order'!$A1530=COL"&amp;"UMNS($A1530:C1549), C1529&amp;RIGHT(INDIRECT(ADDRESS(ROW(C1530)-1, 'From Order'!$A1530)), 1), C1529))"),"TQVQJPP")</f>
        <v>TQVQJPP</v>
      </c>
      <c r="D1530" s="2" t="str">
        <f>IFERROR(__xludf.DUMMYFUNCTION("IF('From Order'!$A1530=COLUMNS($A1530:D1549), LEFT(INDEX(FILTER(D$1:D1529, D$1:D1529&lt;&gt;""""),COUNTA(FILTER(D$1:D1529, D$1:D1529&lt;&gt;""""))), LEN(INDEX(FILTER(D$1:D1529, D$1:D1529&lt;&gt;""""),COUNTA(FILTER(D$1:D1529, D$1:D1529&lt;&gt;""""))))-1), IF('To Order'!$A1530=COL"&amp;"UMNS($A1530:D1549), D1529&amp;RIGHT(INDIRECT(ADDRESS(ROW(D1530)-1, 'From Order'!$A1530)), 1), D1529))"),"CGZCSFHBGJTTPBF")</f>
        <v>CGZCSFHBGJTTPBF</v>
      </c>
      <c r="E1530" s="2" t="str">
        <f>IFERROR(__xludf.DUMMYFUNCTION("IF('From Order'!$A1530=COLUMNS($A1530:E1549), LEFT(INDEX(FILTER(E$1:E1529, E$1:E1529&lt;&gt;""""),COUNTA(FILTER(E$1:E1529, E$1:E1529&lt;&gt;""""))), LEN(INDEX(FILTER(E$1:E1529, E$1:E1529&lt;&gt;""""),COUNTA(FILTER(E$1:E1529, E$1:E1529&lt;&gt;""""))))-1), IF('To Order'!$A1530=COL"&amp;"UMNS($A1530:E1549), E1529&amp;RIGHT(INDIRECT(ADDRESS(ROW(E1530)-1, 'From Order'!$A1530)), 1), E1529))"),"W")</f>
        <v>W</v>
      </c>
      <c r="F1530" s="2" t="str">
        <f>IFERROR(__xludf.DUMMYFUNCTION("IF('From Order'!$A1530=COLUMNS($A1530:F1549), LEFT(INDEX(FILTER(F$1:F1529, F$1:F1529&lt;&gt;""""),COUNTA(FILTER(F$1:F1529, F$1:F1529&lt;&gt;""""))), LEN(INDEX(FILTER(F$1:F1529, F$1:F1529&lt;&gt;""""),COUNTA(FILTER(F$1:F1529, F$1:F1529&lt;&gt;""""))))-1), IF('To Order'!$A1530=COL"&amp;"UMNS($A1530:F1549), F1529&amp;RIGHT(INDIRECT(ADDRESS(ROW(F1530)-1, 'From Order'!$A1530)), 1), F1529))"),"ZRLBWLDDTSSTVCDRH")</f>
        <v>ZRLBWLDDTSSTVCDRH</v>
      </c>
      <c r="G1530" s="2" t="str">
        <f>IFERROR(__xludf.DUMMYFUNCTION("IF('From Order'!$A1530=COLUMNS($A1530:G1549), LEFT(INDEX(FILTER(G$1:G1529, G$1:G1529&lt;&gt;""""),COUNTA(FILTER(G$1:G1529, G$1:G1529&lt;&gt;""""))), LEN(INDEX(FILTER(G$1:G1529, G$1:G1529&lt;&gt;""""),COUNTA(FILTER(G$1:G1529, G$1:G1529&lt;&gt;""""))))-1), IF('To Order'!$A1530=COL"&amp;"UMNS($A1530:G1549), G1529&amp;RIGHT(INDIRECT(ADDRESS(ROW(G1530)-1, 'From Order'!$A1530)), 1), G1529))"),"")</f>
        <v/>
      </c>
      <c r="H1530" s="2" t="str">
        <f>IFERROR(__xludf.DUMMYFUNCTION("IF('From Order'!$A1530=COLUMNS($A1530:H1549), LEFT(INDEX(FILTER(H$1:H1529, H$1:H1529&lt;&gt;""""),COUNTA(FILTER(H$1:H1529, H$1:H1529&lt;&gt;""""))), LEN(INDEX(FILTER(H$1:H1529, H$1:H1529&lt;&gt;""""),COUNTA(FILTER(H$1:H1529, H$1:H1529&lt;&gt;""""))))-1), IF('To Order'!$A1530=COL"&amp;"UMNS($A1530:H1549), H1529&amp;RIGHT(INDIRECT(ADDRESS(ROW(H1530)-1, 'From Order'!$A1530)), 1), H1529))"),"")</f>
        <v/>
      </c>
      <c r="I1530" s="2" t="str">
        <f>IFERROR(__xludf.DUMMYFUNCTION("IF('From Order'!$A1530=COLUMNS($A1530:I1549), LEFT(INDEX(FILTER(I$1:I1529, I$1:I1529&lt;&gt;""""),COUNTA(FILTER(I$1:I1529, I$1:I1529&lt;&gt;""""))), LEN(INDEX(FILTER(I$1:I1529, I$1:I1529&lt;&gt;""""),COUNTA(FILTER(I$1:I1529, I$1:I1529&lt;&gt;""""))))-1), IF('To Order'!$A1530=COL"&amp;"UMNS($A1530:I1549), I1529&amp;RIGHT(INDIRECT(ADDRESS(ROW(I1530)-1, 'From Order'!$A1530)), 1), I1529))"),"")</f>
        <v/>
      </c>
    </row>
    <row r="1531">
      <c r="A1531" s="2" t="str">
        <f>IFERROR(__xludf.DUMMYFUNCTION("IF('From Order'!$A1531=COLUMNS($A1531:A1550), LEFT(INDEX(FILTER(A$1:A1530, A$1:A1530&lt;&gt;""""),COUNTA(FILTER(A$1:A1530, A$1:A1530&lt;&gt;""""))), LEN(INDEX(FILTER(A$1:A1530, A$1:A1530&lt;&gt;""""),COUNTA(FILTER(A$1:A1530, A$1:A1530&lt;&gt;""""))))-1), IF('To Order'!$A1531=COL"&amp;"UMNS($A1531:A1550), A1530&amp;RIGHT(INDIRECT(ADDRESS(ROW(A1531)-1, 'From Order'!$A1531)), 1), A1530))"),"MDJMBVRRSDLDTMZH")</f>
        <v>MDJMBVRRSDLDTMZH</v>
      </c>
      <c r="B1531" s="2" t="str">
        <f>IFERROR(__xludf.DUMMYFUNCTION("IF('From Order'!$A1531=COLUMNS($A1531:B1550), LEFT(INDEX(FILTER(B$1:B1530, B$1:B1530&lt;&gt;""""),COUNTA(FILTER(B$1:B1530, B$1:B1530&lt;&gt;""""))), LEN(INDEX(FILTER(B$1:B1530, B$1:B1530&lt;&gt;""""),COUNTA(FILTER(B$1:B1530, B$1:B1530&lt;&gt;""""))))-1), IF('To Order'!$A1531=COL"&amp;"UMNS($A1531:B1550), B1530&amp;RIGHT(INDIRECT(ADDRESS(ROW(B1531)-1, 'From Order'!$A1531)), 1), B1530))"),"R")</f>
        <v>R</v>
      </c>
      <c r="C1531" s="2" t="str">
        <f>IFERROR(__xludf.DUMMYFUNCTION("IF('From Order'!$A1531=COLUMNS($A1531:C1550), LEFT(INDEX(FILTER(C$1:C1530, C$1:C1530&lt;&gt;""""),COUNTA(FILTER(C$1:C1530, C$1:C1530&lt;&gt;""""))), LEN(INDEX(FILTER(C$1:C1530, C$1:C1530&lt;&gt;""""),COUNTA(FILTER(C$1:C1530, C$1:C1530&lt;&gt;""""))))-1), IF('To Order'!$A1531=COL"&amp;"UMNS($A1531:C1550), C1530&amp;RIGHT(INDIRECT(ADDRESS(ROW(C1531)-1, 'From Order'!$A1531)), 1), C1530))"),"TQVQJPP")</f>
        <v>TQVQJPP</v>
      </c>
      <c r="D1531" s="2" t="str">
        <f>IFERROR(__xludf.DUMMYFUNCTION("IF('From Order'!$A1531=COLUMNS($A1531:D1550), LEFT(INDEX(FILTER(D$1:D1530, D$1:D1530&lt;&gt;""""),COUNTA(FILTER(D$1:D1530, D$1:D1530&lt;&gt;""""))), LEN(INDEX(FILTER(D$1:D1530, D$1:D1530&lt;&gt;""""),COUNTA(FILTER(D$1:D1530, D$1:D1530&lt;&gt;""""))))-1), IF('To Order'!$A1531=COL"&amp;"UMNS($A1531:D1550), D1530&amp;RIGHT(INDIRECT(ADDRESS(ROW(D1531)-1, 'From Order'!$A1531)), 1), D1530))"),"CGZCSFHBGJTTPBF")</f>
        <v>CGZCSFHBGJTTPBF</v>
      </c>
      <c r="E1531" s="2" t="str">
        <f>IFERROR(__xludf.DUMMYFUNCTION("IF('From Order'!$A1531=COLUMNS($A1531:E1550), LEFT(INDEX(FILTER(E$1:E1530, E$1:E1530&lt;&gt;""""),COUNTA(FILTER(E$1:E1530, E$1:E1530&lt;&gt;""""))), LEN(INDEX(FILTER(E$1:E1530, E$1:E1530&lt;&gt;""""),COUNTA(FILTER(E$1:E1530, E$1:E1530&lt;&gt;""""))))-1), IF('To Order'!$A1531=COL"&amp;"UMNS($A1531:E1550), E1530&amp;RIGHT(INDIRECT(ADDRESS(ROW(E1531)-1, 'From Order'!$A1531)), 1), E1530))"),"W")</f>
        <v>W</v>
      </c>
      <c r="F1531" s="2" t="str">
        <f>IFERROR(__xludf.DUMMYFUNCTION("IF('From Order'!$A1531=COLUMNS($A1531:F1550), LEFT(INDEX(FILTER(F$1:F1530, F$1:F1530&lt;&gt;""""),COUNTA(FILTER(F$1:F1530, F$1:F1530&lt;&gt;""""))), LEN(INDEX(FILTER(F$1:F1530, F$1:F1530&lt;&gt;""""),COUNTA(FILTER(F$1:F1530, F$1:F1530&lt;&gt;""""))))-1), IF('To Order'!$A1531=COL"&amp;"UMNS($A1531:F1550), F1530&amp;RIGHT(INDIRECT(ADDRESS(ROW(F1531)-1, 'From Order'!$A1531)), 1), F1530))"),"ZRLBWLDDTSSTVCDR")</f>
        <v>ZRLBWLDDTSSTVCDR</v>
      </c>
      <c r="G1531" s="2" t="str">
        <f>IFERROR(__xludf.DUMMYFUNCTION("IF('From Order'!$A1531=COLUMNS($A1531:G1550), LEFT(INDEX(FILTER(G$1:G1530, G$1:G1530&lt;&gt;""""),COUNTA(FILTER(G$1:G1530, G$1:G1530&lt;&gt;""""))), LEN(INDEX(FILTER(G$1:G1530, G$1:G1530&lt;&gt;""""),COUNTA(FILTER(G$1:G1530, G$1:G1530&lt;&gt;""""))))-1), IF('To Order'!$A1531=COL"&amp;"UMNS($A1531:G1550), G1530&amp;RIGHT(INDIRECT(ADDRESS(ROW(G1531)-1, 'From Order'!$A1531)), 1), G1530))"),"")</f>
        <v/>
      </c>
      <c r="H1531" s="2" t="str">
        <f>IFERROR(__xludf.DUMMYFUNCTION("IF('From Order'!$A1531=COLUMNS($A1531:H1550), LEFT(INDEX(FILTER(H$1:H1530, H$1:H1530&lt;&gt;""""),COUNTA(FILTER(H$1:H1530, H$1:H1530&lt;&gt;""""))), LEN(INDEX(FILTER(H$1:H1530, H$1:H1530&lt;&gt;""""),COUNTA(FILTER(H$1:H1530, H$1:H1530&lt;&gt;""""))))-1), IF('To Order'!$A1531=COL"&amp;"UMNS($A1531:H1550), H1530&amp;RIGHT(INDIRECT(ADDRESS(ROW(H1531)-1, 'From Order'!$A1531)), 1), H1530))"),"")</f>
        <v/>
      </c>
      <c r="I1531" s="2" t="str">
        <f>IFERROR(__xludf.DUMMYFUNCTION("IF('From Order'!$A1531=COLUMNS($A1531:I1550), LEFT(INDEX(FILTER(I$1:I1530, I$1:I1530&lt;&gt;""""),COUNTA(FILTER(I$1:I1530, I$1:I1530&lt;&gt;""""))), LEN(INDEX(FILTER(I$1:I1530, I$1:I1530&lt;&gt;""""),COUNTA(FILTER(I$1:I1530, I$1:I1530&lt;&gt;""""))))-1), IF('To Order'!$A1531=COL"&amp;"UMNS($A1531:I1550), I1530&amp;RIGHT(INDIRECT(ADDRESS(ROW(I1531)-1, 'From Order'!$A1531)), 1), I1530))"),"")</f>
        <v/>
      </c>
    </row>
    <row r="1532">
      <c r="A1532" s="2" t="str">
        <f>IFERROR(__xludf.DUMMYFUNCTION("IF('From Order'!$A1532=COLUMNS($A1532:A1551), LEFT(INDEX(FILTER(A$1:A1531, A$1:A1531&lt;&gt;""""),COUNTA(FILTER(A$1:A1531, A$1:A1531&lt;&gt;""""))), LEN(INDEX(FILTER(A$1:A1531, A$1:A1531&lt;&gt;""""),COUNTA(FILTER(A$1:A1531, A$1:A1531&lt;&gt;""""))))-1), IF('To Order'!$A1532=COL"&amp;"UMNS($A1532:A1551), A1531&amp;RIGHT(INDIRECT(ADDRESS(ROW(A1532)-1, 'From Order'!$A1532)), 1), A1531))"),"MDJMBVRRSDLDTMZHR")</f>
        <v>MDJMBVRRSDLDTMZHR</v>
      </c>
      <c r="B1532" s="2" t="str">
        <f>IFERROR(__xludf.DUMMYFUNCTION("IF('From Order'!$A1532=COLUMNS($A1532:B1551), LEFT(INDEX(FILTER(B$1:B1531, B$1:B1531&lt;&gt;""""),COUNTA(FILTER(B$1:B1531, B$1:B1531&lt;&gt;""""))), LEN(INDEX(FILTER(B$1:B1531, B$1:B1531&lt;&gt;""""),COUNTA(FILTER(B$1:B1531, B$1:B1531&lt;&gt;""""))))-1), IF('To Order'!$A1532=COL"&amp;"UMNS($A1532:B1551), B1531&amp;RIGHT(INDIRECT(ADDRESS(ROW(B1532)-1, 'From Order'!$A1532)), 1), B1531))"),"R")</f>
        <v>R</v>
      </c>
      <c r="C1532" s="2" t="str">
        <f>IFERROR(__xludf.DUMMYFUNCTION("IF('From Order'!$A1532=COLUMNS($A1532:C1551), LEFT(INDEX(FILTER(C$1:C1531, C$1:C1531&lt;&gt;""""),COUNTA(FILTER(C$1:C1531, C$1:C1531&lt;&gt;""""))), LEN(INDEX(FILTER(C$1:C1531, C$1:C1531&lt;&gt;""""),COUNTA(FILTER(C$1:C1531, C$1:C1531&lt;&gt;""""))))-1), IF('To Order'!$A1532=COL"&amp;"UMNS($A1532:C1551), C1531&amp;RIGHT(INDIRECT(ADDRESS(ROW(C1532)-1, 'From Order'!$A1532)), 1), C1531))"),"TQVQJPP")</f>
        <v>TQVQJPP</v>
      </c>
      <c r="D1532" s="2" t="str">
        <f>IFERROR(__xludf.DUMMYFUNCTION("IF('From Order'!$A1532=COLUMNS($A1532:D1551), LEFT(INDEX(FILTER(D$1:D1531, D$1:D1531&lt;&gt;""""),COUNTA(FILTER(D$1:D1531, D$1:D1531&lt;&gt;""""))), LEN(INDEX(FILTER(D$1:D1531, D$1:D1531&lt;&gt;""""),COUNTA(FILTER(D$1:D1531, D$1:D1531&lt;&gt;""""))))-1), IF('To Order'!$A1532=COL"&amp;"UMNS($A1532:D1551), D1531&amp;RIGHT(INDIRECT(ADDRESS(ROW(D1532)-1, 'From Order'!$A1532)), 1), D1531))"),"CGZCSFHBGJTTPBF")</f>
        <v>CGZCSFHBGJTTPBF</v>
      </c>
      <c r="E1532" s="2" t="str">
        <f>IFERROR(__xludf.DUMMYFUNCTION("IF('From Order'!$A1532=COLUMNS($A1532:E1551), LEFT(INDEX(FILTER(E$1:E1531, E$1:E1531&lt;&gt;""""),COUNTA(FILTER(E$1:E1531, E$1:E1531&lt;&gt;""""))), LEN(INDEX(FILTER(E$1:E1531, E$1:E1531&lt;&gt;""""),COUNTA(FILTER(E$1:E1531, E$1:E1531&lt;&gt;""""))))-1), IF('To Order'!$A1532=COL"&amp;"UMNS($A1532:E1551), E1531&amp;RIGHT(INDIRECT(ADDRESS(ROW(E1532)-1, 'From Order'!$A1532)), 1), E1531))"),"W")</f>
        <v>W</v>
      </c>
      <c r="F1532" s="2" t="str">
        <f>IFERROR(__xludf.DUMMYFUNCTION("IF('From Order'!$A1532=COLUMNS($A1532:F1551), LEFT(INDEX(FILTER(F$1:F1531, F$1:F1531&lt;&gt;""""),COUNTA(FILTER(F$1:F1531, F$1:F1531&lt;&gt;""""))), LEN(INDEX(FILTER(F$1:F1531, F$1:F1531&lt;&gt;""""),COUNTA(FILTER(F$1:F1531, F$1:F1531&lt;&gt;""""))))-1), IF('To Order'!$A1532=COL"&amp;"UMNS($A1532:F1551), F1531&amp;RIGHT(INDIRECT(ADDRESS(ROW(F1532)-1, 'From Order'!$A1532)), 1), F1531))"),"ZRLBWLDDTSSTVCD")</f>
        <v>ZRLBWLDDTSSTVCD</v>
      </c>
      <c r="G1532" s="2" t="str">
        <f>IFERROR(__xludf.DUMMYFUNCTION("IF('From Order'!$A1532=COLUMNS($A1532:G1551), LEFT(INDEX(FILTER(G$1:G1531, G$1:G1531&lt;&gt;""""),COUNTA(FILTER(G$1:G1531, G$1:G1531&lt;&gt;""""))), LEN(INDEX(FILTER(G$1:G1531, G$1:G1531&lt;&gt;""""),COUNTA(FILTER(G$1:G1531, G$1:G1531&lt;&gt;""""))))-1), IF('To Order'!$A1532=COL"&amp;"UMNS($A1532:G1551), G1531&amp;RIGHT(INDIRECT(ADDRESS(ROW(G1532)-1, 'From Order'!$A1532)), 1), G1531))"),"")</f>
        <v/>
      </c>
      <c r="H1532" s="2" t="str">
        <f>IFERROR(__xludf.DUMMYFUNCTION("IF('From Order'!$A1532=COLUMNS($A1532:H1551), LEFT(INDEX(FILTER(H$1:H1531, H$1:H1531&lt;&gt;""""),COUNTA(FILTER(H$1:H1531, H$1:H1531&lt;&gt;""""))), LEN(INDEX(FILTER(H$1:H1531, H$1:H1531&lt;&gt;""""),COUNTA(FILTER(H$1:H1531, H$1:H1531&lt;&gt;""""))))-1), IF('To Order'!$A1532=COL"&amp;"UMNS($A1532:H1551), H1531&amp;RIGHT(INDIRECT(ADDRESS(ROW(H1532)-1, 'From Order'!$A1532)), 1), H1531))"),"")</f>
        <v/>
      </c>
      <c r="I1532" s="2" t="str">
        <f>IFERROR(__xludf.DUMMYFUNCTION("IF('From Order'!$A1532=COLUMNS($A1532:I1551), LEFT(INDEX(FILTER(I$1:I1531, I$1:I1531&lt;&gt;""""),COUNTA(FILTER(I$1:I1531, I$1:I1531&lt;&gt;""""))), LEN(INDEX(FILTER(I$1:I1531, I$1:I1531&lt;&gt;""""),COUNTA(FILTER(I$1:I1531, I$1:I1531&lt;&gt;""""))))-1), IF('To Order'!$A1532=COL"&amp;"UMNS($A1532:I1551), I1531&amp;RIGHT(INDIRECT(ADDRESS(ROW(I1532)-1, 'From Order'!$A1532)), 1), I1531))"),"")</f>
        <v/>
      </c>
    </row>
    <row r="1533">
      <c r="A1533" s="2" t="str">
        <f>IFERROR(__xludf.DUMMYFUNCTION("IF('From Order'!$A1533=COLUMNS($A1533:A1552), LEFT(INDEX(FILTER(A$1:A1532, A$1:A1532&lt;&gt;""""),COUNTA(FILTER(A$1:A1532, A$1:A1532&lt;&gt;""""))), LEN(INDEX(FILTER(A$1:A1532, A$1:A1532&lt;&gt;""""),COUNTA(FILTER(A$1:A1532, A$1:A1532&lt;&gt;""""))))-1), IF('To Order'!$A1533=COL"&amp;"UMNS($A1533:A1552), A1532&amp;RIGHT(INDIRECT(ADDRESS(ROW(A1533)-1, 'From Order'!$A1533)), 1), A1532))"),"MDJMBVRRSDLDTMZHRD")</f>
        <v>MDJMBVRRSDLDTMZHRD</v>
      </c>
      <c r="B1533" s="2" t="str">
        <f>IFERROR(__xludf.DUMMYFUNCTION("IF('From Order'!$A1533=COLUMNS($A1533:B1552), LEFT(INDEX(FILTER(B$1:B1532, B$1:B1532&lt;&gt;""""),COUNTA(FILTER(B$1:B1532, B$1:B1532&lt;&gt;""""))), LEN(INDEX(FILTER(B$1:B1532, B$1:B1532&lt;&gt;""""),COUNTA(FILTER(B$1:B1532, B$1:B1532&lt;&gt;""""))))-1), IF('To Order'!$A1533=COL"&amp;"UMNS($A1533:B1552), B1532&amp;RIGHT(INDIRECT(ADDRESS(ROW(B1533)-1, 'From Order'!$A1533)), 1), B1532))"),"R")</f>
        <v>R</v>
      </c>
      <c r="C1533" s="2" t="str">
        <f>IFERROR(__xludf.DUMMYFUNCTION("IF('From Order'!$A1533=COLUMNS($A1533:C1552), LEFT(INDEX(FILTER(C$1:C1532, C$1:C1532&lt;&gt;""""),COUNTA(FILTER(C$1:C1532, C$1:C1532&lt;&gt;""""))), LEN(INDEX(FILTER(C$1:C1532, C$1:C1532&lt;&gt;""""),COUNTA(FILTER(C$1:C1532, C$1:C1532&lt;&gt;""""))))-1), IF('To Order'!$A1533=COL"&amp;"UMNS($A1533:C1552), C1532&amp;RIGHT(INDIRECT(ADDRESS(ROW(C1533)-1, 'From Order'!$A1533)), 1), C1532))"),"TQVQJPP")</f>
        <v>TQVQJPP</v>
      </c>
      <c r="D1533" s="2" t="str">
        <f>IFERROR(__xludf.DUMMYFUNCTION("IF('From Order'!$A1533=COLUMNS($A1533:D1552), LEFT(INDEX(FILTER(D$1:D1532, D$1:D1532&lt;&gt;""""),COUNTA(FILTER(D$1:D1532, D$1:D1532&lt;&gt;""""))), LEN(INDEX(FILTER(D$1:D1532, D$1:D1532&lt;&gt;""""),COUNTA(FILTER(D$1:D1532, D$1:D1532&lt;&gt;""""))))-1), IF('To Order'!$A1533=COL"&amp;"UMNS($A1533:D1552), D1532&amp;RIGHT(INDIRECT(ADDRESS(ROW(D1533)-1, 'From Order'!$A1533)), 1), D1532))"),"CGZCSFHBGJTTPBF")</f>
        <v>CGZCSFHBGJTTPBF</v>
      </c>
      <c r="E1533" s="2" t="str">
        <f>IFERROR(__xludf.DUMMYFUNCTION("IF('From Order'!$A1533=COLUMNS($A1533:E1552), LEFT(INDEX(FILTER(E$1:E1532, E$1:E1532&lt;&gt;""""),COUNTA(FILTER(E$1:E1532, E$1:E1532&lt;&gt;""""))), LEN(INDEX(FILTER(E$1:E1532, E$1:E1532&lt;&gt;""""),COUNTA(FILTER(E$1:E1532, E$1:E1532&lt;&gt;""""))))-1), IF('To Order'!$A1533=COL"&amp;"UMNS($A1533:E1552), E1532&amp;RIGHT(INDIRECT(ADDRESS(ROW(E1533)-1, 'From Order'!$A1533)), 1), E1532))"),"W")</f>
        <v>W</v>
      </c>
      <c r="F1533" s="2" t="str">
        <f>IFERROR(__xludf.DUMMYFUNCTION("IF('From Order'!$A1533=COLUMNS($A1533:F1552), LEFT(INDEX(FILTER(F$1:F1532, F$1:F1532&lt;&gt;""""),COUNTA(FILTER(F$1:F1532, F$1:F1532&lt;&gt;""""))), LEN(INDEX(FILTER(F$1:F1532, F$1:F1532&lt;&gt;""""),COUNTA(FILTER(F$1:F1532, F$1:F1532&lt;&gt;""""))))-1), IF('To Order'!$A1533=COL"&amp;"UMNS($A1533:F1552), F1532&amp;RIGHT(INDIRECT(ADDRESS(ROW(F1533)-1, 'From Order'!$A1533)), 1), F1532))"),"ZRLBWLDDTSSTVC")</f>
        <v>ZRLBWLDDTSSTVC</v>
      </c>
      <c r="G1533" s="2" t="str">
        <f>IFERROR(__xludf.DUMMYFUNCTION("IF('From Order'!$A1533=COLUMNS($A1533:G1552), LEFT(INDEX(FILTER(G$1:G1532, G$1:G1532&lt;&gt;""""),COUNTA(FILTER(G$1:G1532, G$1:G1532&lt;&gt;""""))), LEN(INDEX(FILTER(G$1:G1532, G$1:G1532&lt;&gt;""""),COUNTA(FILTER(G$1:G1532, G$1:G1532&lt;&gt;""""))))-1), IF('To Order'!$A1533=COL"&amp;"UMNS($A1533:G1552), G1532&amp;RIGHT(INDIRECT(ADDRESS(ROW(G1533)-1, 'From Order'!$A1533)), 1), G1532))"),"")</f>
        <v/>
      </c>
      <c r="H1533" s="2" t="str">
        <f>IFERROR(__xludf.DUMMYFUNCTION("IF('From Order'!$A1533=COLUMNS($A1533:H1552), LEFT(INDEX(FILTER(H$1:H1532, H$1:H1532&lt;&gt;""""),COUNTA(FILTER(H$1:H1532, H$1:H1532&lt;&gt;""""))), LEN(INDEX(FILTER(H$1:H1532, H$1:H1532&lt;&gt;""""),COUNTA(FILTER(H$1:H1532, H$1:H1532&lt;&gt;""""))))-1), IF('To Order'!$A1533=COL"&amp;"UMNS($A1533:H1552), H1532&amp;RIGHT(INDIRECT(ADDRESS(ROW(H1533)-1, 'From Order'!$A1533)), 1), H1532))"),"")</f>
        <v/>
      </c>
      <c r="I1533" s="2" t="str">
        <f>IFERROR(__xludf.DUMMYFUNCTION("IF('From Order'!$A1533=COLUMNS($A1533:I1552), LEFT(INDEX(FILTER(I$1:I1532, I$1:I1532&lt;&gt;""""),COUNTA(FILTER(I$1:I1532, I$1:I1532&lt;&gt;""""))), LEN(INDEX(FILTER(I$1:I1532, I$1:I1532&lt;&gt;""""),COUNTA(FILTER(I$1:I1532, I$1:I1532&lt;&gt;""""))))-1), IF('To Order'!$A1533=COL"&amp;"UMNS($A1533:I1552), I1532&amp;RIGHT(INDIRECT(ADDRESS(ROW(I1533)-1, 'From Order'!$A1533)), 1), I1532))"),"")</f>
        <v/>
      </c>
    </row>
    <row r="1534">
      <c r="A1534" s="2" t="str">
        <f>IFERROR(__xludf.DUMMYFUNCTION("IF('From Order'!$A1534=COLUMNS($A1534:A1553), LEFT(INDEX(FILTER(A$1:A1533, A$1:A1533&lt;&gt;""""),COUNTA(FILTER(A$1:A1533, A$1:A1533&lt;&gt;""""))), LEN(INDEX(FILTER(A$1:A1533, A$1:A1533&lt;&gt;""""),COUNTA(FILTER(A$1:A1533, A$1:A1533&lt;&gt;""""))))-1), IF('To Order'!$A1534=COL"&amp;"UMNS($A1534:A1553), A1533&amp;RIGHT(INDIRECT(ADDRESS(ROW(A1534)-1, 'From Order'!$A1534)), 1), A1533))"),"MDJMBVRRSDLDTMZHRDC")</f>
        <v>MDJMBVRRSDLDTMZHRDC</v>
      </c>
      <c r="B1534" s="2" t="str">
        <f>IFERROR(__xludf.DUMMYFUNCTION("IF('From Order'!$A1534=COLUMNS($A1534:B1553), LEFT(INDEX(FILTER(B$1:B1533, B$1:B1533&lt;&gt;""""),COUNTA(FILTER(B$1:B1533, B$1:B1533&lt;&gt;""""))), LEN(INDEX(FILTER(B$1:B1533, B$1:B1533&lt;&gt;""""),COUNTA(FILTER(B$1:B1533, B$1:B1533&lt;&gt;""""))))-1), IF('To Order'!$A1534=COL"&amp;"UMNS($A1534:B1553), B1533&amp;RIGHT(INDIRECT(ADDRESS(ROW(B1534)-1, 'From Order'!$A1534)), 1), B1533))"),"R")</f>
        <v>R</v>
      </c>
      <c r="C1534" s="2" t="str">
        <f>IFERROR(__xludf.DUMMYFUNCTION("IF('From Order'!$A1534=COLUMNS($A1534:C1553), LEFT(INDEX(FILTER(C$1:C1533, C$1:C1533&lt;&gt;""""),COUNTA(FILTER(C$1:C1533, C$1:C1533&lt;&gt;""""))), LEN(INDEX(FILTER(C$1:C1533, C$1:C1533&lt;&gt;""""),COUNTA(FILTER(C$1:C1533, C$1:C1533&lt;&gt;""""))))-1), IF('To Order'!$A1534=COL"&amp;"UMNS($A1534:C1553), C1533&amp;RIGHT(INDIRECT(ADDRESS(ROW(C1534)-1, 'From Order'!$A1534)), 1), C1533))"),"TQVQJPP")</f>
        <v>TQVQJPP</v>
      </c>
      <c r="D1534" s="2" t="str">
        <f>IFERROR(__xludf.DUMMYFUNCTION("IF('From Order'!$A1534=COLUMNS($A1534:D1553), LEFT(INDEX(FILTER(D$1:D1533, D$1:D1533&lt;&gt;""""),COUNTA(FILTER(D$1:D1533, D$1:D1533&lt;&gt;""""))), LEN(INDEX(FILTER(D$1:D1533, D$1:D1533&lt;&gt;""""),COUNTA(FILTER(D$1:D1533, D$1:D1533&lt;&gt;""""))))-1), IF('To Order'!$A1534=COL"&amp;"UMNS($A1534:D1553), D1533&amp;RIGHT(INDIRECT(ADDRESS(ROW(D1534)-1, 'From Order'!$A1534)), 1), D1533))"),"CGZCSFHBGJTTPBF")</f>
        <v>CGZCSFHBGJTTPBF</v>
      </c>
      <c r="E1534" s="2" t="str">
        <f>IFERROR(__xludf.DUMMYFUNCTION("IF('From Order'!$A1534=COLUMNS($A1534:E1553), LEFT(INDEX(FILTER(E$1:E1533, E$1:E1533&lt;&gt;""""),COUNTA(FILTER(E$1:E1533, E$1:E1533&lt;&gt;""""))), LEN(INDEX(FILTER(E$1:E1533, E$1:E1533&lt;&gt;""""),COUNTA(FILTER(E$1:E1533, E$1:E1533&lt;&gt;""""))))-1), IF('To Order'!$A1534=COL"&amp;"UMNS($A1534:E1553), E1533&amp;RIGHT(INDIRECT(ADDRESS(ROW(E1534)-1, 'From Order'!$A1534)), 1), E1533))"),"W")</f>
        <v>W</v>
      </c>
      <c r="F1534" s="2" t="str">
        <f>IFERROR(__xludf.DUMMYFUNCTION("IF('From Order'!$A1534=COLUMNS($A1534:F1553), LEFT(INDEX(FILTER(F$1:F1533, F$1:F1533&lt;&gt;""""),COUNTA(FILTER(F$1:F1533, F$1:F1533&lt;&gt;""""))), LEN(INDEX(FILTER(F$1:F1533, F$1:F1533&lt;&gt;""""),COUNTA(FILTER(F$1:F1533, F$1:F1533&lt;&gt;""""))))-1), IF('To Order'!$A1534=COL"&amp;"UMNS($A1534:F1553), F1533&amp;RIGHT(INDIRECT(ADDRESS(ROW(F1534)-1, 'From Order'!$A1534)), 1), F1533))"),"ZRLBWLDDTSSTV")</f>
        <v>ZRLBWLDDTSSTV</v>
      </c>
      <c r="G1534" s="2" t="str">
        <f>IFERROR(__xludf.DUMMYFUNCTION("IF('From Order'!$A1534=COLUMNS($A1534:G1553), LEFT(INDEX(FILTER(G$1:G1533, G$1:G1533&lt;&gt;""""),COUNTA(FILTER(G$1:G1533, G$1:G1533&lt;&gt;""""))), LEN(INDEX(FILTER(G$1:G1533, G$1:G1533&lt;&gt;""""),COUNTA(FILTER(G$1:G1533, G$1:G1533&lt;&gt;""""))))-1), IF('To Order'!$A1534=COL"&amp;"UMNS($A1534:G1553), G1533&amp;RIGHT(INDIRECT(ADDRESS(ROW(G1534)-1, 'From Order'!$A1534)), 1), G1533))"),"")</f>
        <v/>
      </c>
      <c r="H1534" s="2" t="str">
        <f>IFERROR(__xludf.DUMMYFUNCTION("IF('From Order'!$A1534=COLUMNS($A1534:H1553), LEFT(INDEX(FILTER(H$1:H1533, H$1:H1533&lt;&gt;""""),COUNTA(FILTER(H$1:H1533, H$1:H1533&lt;&gt;""""))), LEN(INDEX(FILTER(H$1:H1533, H$1:H1533&lt;&gt;""""),COUNTA(FILTER(H$1:H1533, H$1:H1533&lt;&gt;""""))))-1), IF('To Order'!$A1534=COL"&amp;"UMNS($A1534:H1553), H1533&amp;RIGHT(INDIRECT(ADDRESS(ROW(H1534)-1, 'From Order'!$A1534)), 1), H1533))"),"")</f>
        <v/>
      </c>
      <c r="I1534" s="2" t="str">
        <f>IFERROR(__xludf.DUMMYFUNCTION("IF('From Order'!$A1534=COLUMNS($A1534:I1553), LEFT(INDEX(FILTER(I$1:I1533, I$1:I1533&lt;&gt;""""),COUNTA(FILTER(I$1:I1533, I$1:I1533&lt;&gt;""""))), LEN(INDEX(FILTER(I$1:I1533, I$1:I1533&lt;&gt;""""),COUNTA(FILTER(I$1:I1533, I$1:I1533&lt;&gt;""""))))-1), IF('To Order'!$A1534=COL"&amp;"UMNS($A1534:I1553), I1533&amp;RIGHT(INDIRECT(ADDRESS(ROW(I1534)-1, 'From Order'!$A1534)), 1), I1533))"),"")</f>
        <v/>
      </c>
    </row>
    <row r="1535">
      <c r="A1535" s="2" t="str">
        <f>IFERROR(__xludf.DUMMYFUNCTION("IF('From Order'!$A1535=COLUMNS($A1535:A1554), LEFT(INDEX(FILTER(A$1:A1534, A$1:A1534&lt;&gt;""""),COUNTA(FILTER(A$1:A1534, A$1:A1534&lt;&gt;""""))), LEN(INDEX(FILTER(A$1:A1534, A$1:A1534&lt;&gt;""""),COUNTA(FILTER(A$1:A1534, A$1:A1534&lt;&gt;""""))))-1), IF('To Order'!$A1535=COL"&amp;"UMNS($A1535:A1554), A1534&amp;RIGHT(INDIRECT(ADDRESS(ROW(A1535)-1, 'From Order'!$A1535)), 1), A1534))"),"MDJMBVRRSDLDTMZHRDCV")</f>
        <v>MDJMBVRRSDLDTMZHRDCV</v>
      </c>
      <c r="B1535" s="2" t="str">
        <f>IFERROR(__xludf.DUMMYFUNCTION("IF('From Order'!$A1535=COLUMNS($A1535:B1554), LEFT(INDEX(FILTER(B$1:B1534, B$1:B1534&lt;&gt;""""),COUNTA(FILTER(B$1:B1534, B$1:B1534&lt;&gt;""""))), LEN(INDEX(FILTER(B$1:B1534, B$1:B1534&lt;&gt;""""),COUNTA(FILTER(B$1:B1534, B$1:B1534&lt;&gt;""""))))-1), IF('To Order'!$A1535=COL"&amp;"UMNS($A1535:B1554), B1534&amp;RIGHT(INDIRECT(ADDRESS(ROW(B1535)-1, 'From Order'!$A1535)), 1), B1534))"),"R")</f>
        <v>R</v>
      </c>
      <c r="C1535" s="2" t="str">
        <f>IFERROR(__xludf.DUMMYFUNCTION("IF('From Order'!$A1535=COLUMNS($A1535:C1554), LEFT(INDEX(FILTER(C$1:C1534, C$1:C1534&lt;&gt;""""),COUNTA(FILTER(C$1:C1534, C$1:C1534&lt;&gt;""""))), LEN(INDEX(FILTER(C$1:C1534, C$1:C1534&lt;&gt;""""),COUNTA(FILTER(C$1:C1534, C$1:C1534&lt;&gt;""""))))-1), IF('To Order'!$A1535=COL"&amp;"UMNS($A1535:C1554), C1534&amp;RIGHT(INDIRECT(ADDRESS(ROW(C1535)-1, 'From Order'!$A1535)), 1), C1534))"),"TQVQJPP")</f>
        <v>TQVQJPP</v>
      </c>
      <c r="D1535" s="2" t="str">
        <f>IFERROR(__xludf.DUMMYFUNCTION("IF('From Order'!$A1535=COLUMNS($A1535:D1554), LEFT(INDEX(FILTER(D$1:D1534, D$1:D1534&lt;&gt;""""),COUNTA(FILTER(D$1:D1534, D$1:D1534&lt;&gt;""""))), LEN(INDEX(FILTER(D$1:D1534, D$1:D1534&lt;&gt;""""),COUNTA(FILTER(D$1:D1534, D$1:D1534&lt;&gt;""""))))-1), IF('To Order'!$A1535=COL"&amp;"UMNS($A1535:D1554), D1534&amp;RIGHT(INDIRECT(ADDRESS(ROW(D1535)-1, 'From Order'!$A1535)), 1), D1534))"),"CGZCSFHBGJTTPBF")</f>
        <v>CGZCSFHBGJTTPBF</v>
      </c>
      <c r="E1535" s="2" t="str">
        <f>IFERROR(__xludf.DUMMYFUNCTION("IF('From Order'!$A1535=COLUMNS($A1535:E1554), LEFT(INDEX(FILTER(E$1:E1534, E$1:E1534&lt;&gt;""""),COUNTA(FILTER(E$1:E1534, E$1:E1534&lt;&gt;""""))), LEN(INDEX(FILTER(E$1:E1534, E$1:E1534&lt;&gt;""""),COUNTA(FILTER(E$1:E1534, E$1:E1534&lt;&gt;""""))))-1), IF('To Order'!$A1535=COL"&amp;"UMNS($A1535:E1554), E1534&amp;RIGHT(INDIRECT(ADDRESS(ROW(E1535)-1, 'From Order'!$A1535)), 1), E1534))"),"W")</f>
        <v>W</v>
      </c>
      <c r="F1535" s="2" t="str">
        <f>IFERROR(__xludf.DUMMYFUNCTION("IF('From Order'!$A1535=COLUMNS($A1535:F1554), LEFT(INDEX(FILTER(F$1:F1534, F$1:F1534&lt;&gt;""""),COUNTA(FILTER(F$1:F1534, F$1:F1534&lt;&gt;""""))), LEN(INDEX(FILTER(F$1:F1534, F$1:F1534&lt;&gt;""""),COUNTA(FILTER(F$1:F1534, F$1:F1534&lt;&gt;""""))))-1), IF('To Order'!$A1535=COL"&amp;"UMNS($A1535:F1554), F1534&amp;RIGHT(INDIRECT(ADDRESS(ROW(F1535)-1, 'From Order'!$A1535)), 1), F1534))"),"ZRLBWLDDTSST")</f>
        <v>ZRLBWLDDTSST</v>
      </c>
      <c r="G1535" s="2" t="str">
        <f>IFERROR(__xludf.DUMMYFUNCTION("IF('From Order'!$A1535=COLUMNS($A1535:G1554), LEFT(INDEX(FILTER(G$1:G1534, G$1:G1534&lt;&gt;""""),COUNTA(FILTER(G$1:G1534, G$1:G1534&lt;&gt;""""))), LEN(INDEX(FILTER(G$1:G1534, G$1:G1534&lt;&gt;""""),COUNTA(FILTER(G$1:G1534, G$1:G1534&lt;&gt;""""))))-1), IF('To Order'!$A1535=COL"&amp;"UMNS($A1535:G1554), G1534&amp;RIGHT(INDIRECT(ADDRESS(ROW(G1535)-1, 'From Order'!$A1535)), 1), G1534))"),"")</f>
        <v/>
      </c>
      <c r="H1535" s="2" t="str">
        <f>IFERROR(__xludf.DUMMYFUNCTION("IF('From Order'!$A1535=COLUMNS($A1535:H1554), LEFT(INDEX(FILTER(H$1:H1534, H$1:H1534&lt;&gt;""""),COUNTA(FILTER(H$1:H1534, H$1:H1534&lt;&gt;""""))), LEN(INDEX(FILTER(H$1:H1534, H$1:H1534&lt;&gt;""""),COUNTA(FILTER(H$1:H1534, H$1:H1534&lt;&gt;""""))))-1), IF('To Order'!$A1535=COL"&amp;"UMNS($A1535:H1554), H1534&amp;RIGHT(INDIRECT(ADDRESS(ROW(H1535)-1, 'From Order'!$A1535)), 1), H1534))"),"")</f>
        <v/>
      </c>
      <c r="I1535" s="2" t="str">
        <f>IFERROR(__xludf.DUMMYFUNCTION("IF('From Order'!$A1535=COLUMNS($A1535:I1554), LEFT(INDEX(FILTER(I$1:I1534, I$1:I1534&lt;&gt;""""),COUNTA(FILTER(I$1:I1534, I$1:I1534&lt;&gt;""""))), LEN(INDEX(FILTER(I$1:I1534, I$1:I1534&lt;&gt;""""),COUNTA(FILTER(I$1:I1534, I$1:I1534&lt;&gt;""""))))-1), IF('To Order'!$A1535=COL"&amp;"UMNS($A1535:I1554), I1534&amp;RIGHT(INDIRECT(ADDRESS(ROW(I1535)-1, 'From Order'!$A1535)), 1), I1534))"),"")</f>
        <v/>
      </c>
    </row>
    <row r="1536">
      <c r="A1536" s="2" t="str">
        <f>IFERROR(__xludf.DUMMYFUNCTION("IF('From Order'!$A1536=COLUMNS($A1536:A1555), LEFT(INDEX(FILTER(A$1:A1535, A$1:A1535&lt;&gt;""""),COUNTA(FILTER(A$1:A1535, A$1:A1535&lt;&gt;""""))), LEN(INDEX(FILTER(A$1:A1535, A$1:A1535&lt;&gt;""""),COUNTA(FILTER(A$1:A1535, A$1:A1535&lt;&gt;""""))))-1), IF('To Order'!$A1536=COL"&amp;"UMNS($A1536:A1555), A1535&amp;RIGHT(INDIRECT(ADDRESS(ROW(A1536)-1, 'From Order'!$A1536)), 1), A1535))"),"MDJMBVRRSDLDTMZHRDCVT")</f>
        <v>MDJMBVRRSDLDTMZHRDCVT</v>
      </c>
      <c r="B1536" s="2" t="str">
        <f>IFERROR(__xludf.DUMMYFUNCTION("IF('From Order'!$A1536=COLUMNS($A1536:B1555), LEFT(INDEX(FILTER(B$1:B1535, B$1:B1535&lt;&gt;""""),COUNTA(FILTER(B$1:B1535, B$1:B1535&lt;&gt;""""))), LEN(INDEX(FILTER(B$1:B1535, B$1:B1535&lt;&gt;""""),COUNTA(FILTER(B$1:B1535, B$1:B1535&lt;&gt;""""))))-1), IF('To Order'!$A1536=COL"&amp;"UMNS($A1536:B1555), B1535&amp;RIGHT(INDIRECT(ADDRESS(ROW(B1536)-1, 'From Order'!$A1536)), 1), B1535))"),"R")</f>
        <v>R</v>
      </c>
      <c r="C1536" s="2" t="str">
        <f>IFERROR(__xludf.DUMMYFUNCTION("IF('From Order'!$A1536=COLUMNS($A1536:C1555), LEFT(INDEX(FILTER(C$1:C1535, C$1:C1535&lt;&gt;""""),COUNTA(FILTER(C$1:C1535, C$1:C1535&lt;&gt;""""))), LEN(INDEX(FILTER(C$1:C1535, C$1:C1535&lt;&gt;""""),COUNTA(FILTER(C$1:C1535, C$1:C1535&lt;&gt;""""))))-1), IF('To Order'!$A1536=COL"&amp;"UMNS($A1536:C1555), C1535&amp;RIGHT(INDIRECT(ADDRESS(ROW(C1536)-1, 'From Order'!$A1536)), 1), C1535))"),"TQVQJPP")</f>
        <v>TQVQJPP</v>
      </c>
      <c r="D1536" s="2" t="str">
        <f>IFERROR(__xludf.DUMMYFUNCTION("IF('From Order'!$A1536=COLUMNS($A1536:D1555), LEFT(INDEX(FILTER(D$1:D1535, D$1:D1535&lt;&gt;""""),COUNTA(FILTER(D$1:D1535, D$1:D1535&lt;&gt;""""))), LEN(INDEX(FILTER(D$1:D1535, D$1:D1535&lt;&gt;""""),COUNTA(FILTER(D$1:D1535, D$1:D1535&lt;&gt;""""))))-1), IF('To Order'!$A1536=COL"&amp;"UMNS($A1536:D1555), D1535&amp;RIGHT(INDIRECT(ADDRESS(ROW(D1536)-1, 'From Order'!$A1536)), 1), D1535))"),"CGZCSFHBGJTTPBF")</f>
        <v>CGZCSFHBGJTTPBF</v>
      </c>
      <c r="E1536" s="2" t="str">
        <f>IFERROR(__xludf.DUMMYFUNCTION("IF('From Order'!$A1536=COLUMNS($A1536:E1555), LEFT(INDEX(FILTER(E$1:E1535, E$1:E1535&lt;&gt;""""),COUNTA(FILTER(E$1:E1535, E$1:E1535&lt;&gt;""""))), LEN(INDEX(FILTER(E$1:E1535, E$1:E1535&lt;&gt;""""),COUNTA(FILTER(E$1:E1535, E$1:E1535&lt;&gt;""""))))-1), IF('To Order'!$A1536=COL"&amp;"UMNS($A1536:E1555), E1535&amp;RIGHT(INDIRECT(ADDRESS(ROW(E1536)-1, 'From Order'!$A1536)), 1), E1535))"),"W")</f>
        <v>W</v>
      </c>
      <c r="F1536" s="2" t="str">
        <f>IFERROR(__xludf.DUMMYFUNCTION("IF('From Order'!$A1536=COLUMNS($A1536:F1555), LEFT(INDEX(FILTER(F$1:F1535, F$1:F1535&lt;&gt;""""),COUNTA(FILTER(F$1:F1535, F$1:F1535&lt;&gt;""""))), LEN(INDEX(FILTER(F$1:F1535, F$1:F1535&lt;&gt;""""),COUNTA(FILTER(F$1:F1535, F$1:F1535&lt;&gt;""""))))-1), IF('To Order'!$A1536=COL"&amp;"UMNS($A1536:F1555), F1535&amp;RIGHT(INDIRECT(ADDRESS(ROW(F1536)-1, 'From Order'!$A1536)), 1), F1535))"),"ZRLBWLDDTSS")</f>
        <v>ZRLBWLDDTSS</v>
      </c>
      <c r="G1536" s="2" t="str">
        <f>IFERROR(__xludf.DUMMYFUNCTION("IF('From Order'!$A1536=COLUMNS($A1536:G1555), LEFT(INDEX(FILTER(G$1:G1535, G$1:G1535&lt;&gt;""""),COUNTA(FILTER(G$1:G1535, G$1:G1535&lt;&gt;""""))), LEN(INDEX(FILTER(G$1:G1535, G$1:G1535&lt;&gt;""""),COUNTA(FILTER(G$1:G1535, G$1:G1535&lt;&gt;""""))))-1), IF('To Order'!$A1536=COL"&amp;"UMNS($A1536:G1555), G1535&amp;RIGHT(INDIRECT(ADDRESS(ROW(G1536)-1, 'From Order'!$A1536)), 1), G1535))"),"")</f>
        <v/>
      </c>
      <c r="H1536" s="2" t="str">
        <f>IFERROR(__xludf.DUMMYFUNCTION("IF('From Order'!$A1536=COLUMNS($A1536:H1555), LEFT(INDEX(FILTER(H$1:H1535, H$1:H1535&lt;&gt;""""),COUNTA(FILTER(H$1:H1535, H$1:H1535&lt;&gt;""""))), LEN(INDEX(FILTER(H$1:H1535, H$1:H1535&lt;&gt;""""),COUNTA(FILTER(H$1:H1535, H$1:H1535&lt;&gt;""""))))-1), IF('To Order'!$A1536=COL"&amp;"UMNS($A1536:H1555), H1535&amp;RIGHT(INDIRECT(ADDRESS(ROW(H1536)-1, 'From Order'!$A1536)), 1), H1535))"),"")</f>
        <v/>
      </c>
      <c r="I1536" s="2" t="str">
        <f>IFERROR(__xludf.DUMMYFUNCTION("IF('From Order'!$A1536=COLUMNS($A1536:I1555), LEFT(INDEX(FILTER(I$1:I1535, I$1:I1535&lt;&gt;""""),COUNTA(FILTER(I$1:I1535, I$1:I1535&lt;&gt;""""))), LEN(INDEX(FILTER(I$1:I1535, I$1:I1535&lt;&gt;""""),COUNTA(FILTER(I$1:I1535, I$1:I1535&lt;&gt;""""))))-1), IF('To Order'!$A1536=COL"&amp;"UMNS($A1536:I1555), I1535&amp;RIGHT(INDIRECT(ADDRESS(ROW(I1536)-1, 'From Order'!$A1536)), 1), I1535))"),"")</f>
        <v/>
      </c>
    </row>
    <row r="1537">
      <c r="A1537" s="2" t="str">
        <f>IFERROR(__xludf.DUMMYFUNCTION("IF('From Order'!$A1537=COLUMNS($A1537:A1556), LEFT(INDEX(FILTER(A$1:A1536, A$1:A1536&lt;&gt;""""),COUNTA(FILTER(A$1:A1536, A$1:A1536&lt;&gt;""""))), LEN(INDEX(FILTER(A$1:A1536, A$1:A1536&lt;&gt;""""),COUNTA(FILTER(A$1:A1536, A$1:A1536&lt;&gt;""""))))-1), IF('To Order'!$A1537=COL"&amp;"UMNS($A1537:A1556), A1536&amp;RIGHT(INDIRECT(ADDRESS(ROW(A1537)-1, 'From Order'!$A1537)), 1), A1536))"),"MDJMBVRRSDLDTMZHRDCVTS")</f>
        <v>MDJMBVRRSDLDTMZHRDCVTS</v>
      </c>
      <c r="B1537" s="2" t="str">
        <f>IFERROR(__xludf.DUMMYFUNCTION("IF('From Order'!$A1537=COLUMNS($A1537:B1556), LEFT(INDEX(FILTER(B$1:B1536, B$1:B1536&lt;&gt;""""),COUNTA(FILTER(B$1:B1536, B$1:B1536&lt;&gt;""""))), LEN(INDEX(FILTER(B$1:B1536, B$1:B1536&lt;&gt;""""),COUNTA(FILTER(B$1:B1536, B$1:B1536&lt;&gt;""""))))-1), IF('To Order'!$A1537=COL"&amp;"UMNS($A1537:B1556), B1536&amp;RIGHT(INDIRECT(ADDRESS(ROW(B1537)-1, 'From Order'!$A1537)), 1), B1536))"),"R")</f>
        <v>R</v>
      </c>
      <c r="C1537" s="2" t="str">
        <f>IFERROR(__xludf.DUMMYFUNCTION("IF('From Order'!$A1537=COLUMNS($A1537:C1556), LEFT(INDEX(FILTER(C$1:C1536, C$1:C1536&lt;&gt;""""),COUNTA(FILTER(C$1:C1536, C$1:C1536&lt;&gt;""""))), LEN(INDEX(FILTER(C$1:C1536, C$1:C1536&lt;&gt;""""),COUNTA(FILTER(C$1:C1536, C$1:C1536&lt;&gt;""""))))-1), IF('To Order'!$A1537=COL"&amp;"UMNS($A1537:C1556), C1536&amp;RIGHT(INDIRECT(ADDRESS(ROW(C1537)-1, 'From Order'!$A1537)), 1), C1536))"),"TQVQJPP")</f>
        <v>TQVQJPP</v>
      </c>
      <c r="D1537" s="2" t="str">
        <f>IFERROR(__xludf.DUMMYFUNCTION("IF('From Order'!$A1537=COLUMNS($A1537:D1556), LEFT(INDEX(FILTER(D$1:D1536, D$1:D1536&lt;&gt;""""),COUNTA(FILTER(D$1:D1536, D$1:D1536&lt;&gt;""""))), LEN(INDEX(FILTER(D$1:D1536, D$1:D1536&lt;&gt;""""),COUNTA(FILTER(D$1:D1536, D$1:D1536&lt;&gt;""""))))-1), IF('To Order'!$A1537=COL"&amp;"UMNS($A1537:D1556), D1536&amp;RIGHT(INDIRECT(ADDRESS(ROW(D1537)-1, 'From Order'!$A1537)), 1), D1536))"),"CGZCSFHBGJTTPBF")</f>
        <v>CGZCSFHBGJTTPBF</v>
      </c>
      <c r="E1537" s="2" t="str">
        <f>IFERROR(__xludf.DUMMYFUNCTION("IF('From Order'!$A1537=COLUMNS($A1537:E1556), LEFT(INDEX(FILTER(E$1:E1536, E$1:E1536&lt;&gt;""""),COUNTA(FILTER(E$1:E1536, E$1:E1536&lt;&gt;""""))), LEN(INDEX(FILTER(E$1:E1536, E$1:E1536&lt;&gt;""""),COUNTA(FILTER(E$1:E1536, E$1:E1536&lt;&gt;""""))))-1), IF('To Order'!$A1537=COL"&amp;"UMNS($A1537:E1556), E1536&amp;RIGHT(INDIRECT(ADDRESS(ROW(E1537)-1, 'From Order'!$A1537)), 1), E1536))"),"W")</f>
        <v>W</v>
      </c>
      <c r="F1537" s="2" t="str">
        <f>IFERROR(__xludf.DUMMYFUNCTION("IF('From Order'!$A1537=COLUMNS($A1537:F1556), LEFT(INDEX(FILTER(F$1:F1536, F$1:F1536&lt;&gt;""""),COUNTA(FILTER(F$1:F1536, F$1:F1536&lt;&gt;""""))), LEN(INDEX(FILTER(F$1:F1536, F$1:F1536&lt;&gt;""""),COUNTA(FILTER(F$1:F1536, F$1:F1536&lt;&gt;""""))))-1), IF('To Order'!$A1537=COL"&amp;"UMNS($A1537:F1556), F1536&amp;RIGHT(INDIRECT(ADDRESS(ROW(F1537)-1, 'From Order'!$A1537)), 1), F1536))"),"ZRLBWLDDTS")</f>
        <v>ZRLBWLDDTS</v>
      </c>
      <c r="G1537" s="2" t="str">
        <f>IFERROR(__xludf.DUMMYFUNCTION("IF('From Order'!$A1537=COLUMNS($A1537:G1556), LEFT(INDEX(FILTER(G$1:G1536, G$1:G1536&lt;&gt;""""),COUNTA(FILTER(G$1:G1536, G$1:G1536&lt;&gt;""""))), LEN(INDEX(FILTER(G$1:G1536, G$1:G1536&lt;&gt;""""),COUNTA(FILTER(G$1:G1536, G$1:G1536&lt;&gt;""""))))-1), IF('To Order'!$A1537=COL"&amp;"UMNS($A1537:G1556), G1536&amp;RIGHT(INDIRECT(ADDRESS(ROW(G1537)-1, 'From Order'!$A1537)), 1), G1536))"),"")</f>
        <v/>
      </c>
      <c r="H1537" s="2" t="str">
        <f>IFERROR(__xludf.DUMMYFUNCTION("IF('From Order'!$A1537=COLUMNS($A1537:H1556), LEFT(INDEX(FILTER(H$1:H1536, H$1:H1536&lt;&gt;""""),COUNTA(FILTER(H$1:H1536, H$1:H1536&lt;&gt;""""))), LEN(INDEX(FILTER(H$1:H1536, H$1:H1536&lt;&gt;""""),COUNTA(FILTER(H$1:H1536, H$1:H1536&lt;&gt;""""))))-1), IF('To Order'!$A1537=COL"&amp;"UMNS($A1537:H1556), H1536&amp;RIGHT(INDIRECT(ADDRESS(ROW(H1537)-1, 'From Order'!$A1537)), 1), H1536))"),"")</f>
        <v/>
      </c>
      <c r="I1537" s="2" t="str">
        <f>IFERROR(__xludf.DUMMYFUNCTION("IF('From Order'!$A1537=COLUMNS($A1537:I1556), LEFT(INDEX(FILTER(I$1:I1536, I$1:I1536&lt;&gt;""""),COUNTA(FILTER(I$1:I1536, I$1:I1536&lt;&gt;""""))), LEN(INDEX(FILTER(I$1:I1536, I$1:I1536&lt;&gt;""""),COUNTA(FILTER(I$1:I1536, I$1:I1536&lt;&gt;""""))))-1), IF('To Order'!$A1537=COL"&amp;"UMNS($A1537:I1556), I1536&amp;RIGHT(INDIRECT(ADDRESS(ROW(I1537)-1, 'From Order'!$A1537)), 1), I1536))"),"")</f>
        <v/>
      </c>
    </row>
    <row r="1538">
      <c r="A1538" s="2" t="str">
        <f>IFERROR(__xludf.DUMMYFUNCTION("IF('From Order'!$A1538=COLUMNS($A1538:A1557), LEFT(INDEX(FILTER(A$1:A1537, A$1:A1537&lt;&gt;""""),COUNTA(FILTER(A$1:A1537, A$1:A1537&lt;&gt;""""))), LEN(INDEX(FILTER(A$1:A1537, A$1:A1537&lt;&gt;""""),COUNTA(FILTER(A$1:A1537, A$1:A1537&lt;&gt;""""))))-1), IF('To Order'!$A1538=COL"&amp;"UMNS($A1538:A1557), A1537&amp;RIGHT(INDIRECT(ADDRESS(ROW(A1538)-1, 'From Order'!$A1538)), 1), A1537))"),"MDJMBVRRSDLDTMZHRDCVTSS")</f>
        <v>MDJMBVRRSDLDTMZHRDCVTSS</v>
      </c>
      <c r="B1538" s="2" t="str">
        <f>IFERROR(__xludf.DUMMYFUNCTION("IF('From Order'!$A1538=COLUMNS($A1538:B1557), LEFT(INDEX(FILTER(B$1:B1537, B$1:B1537&lt;&gt;""""),COUNTA(FILTER(B$1:B1537, B$1:B1537&lt;&gt;""""))), LEN(INDEX(FILTER(B$1:B1537, B$1:B1537&lt;&gt;""""),COUNTA(FILTER(B$1:B1537, B$1:B1537&lt;&gt;""""))))-1), IF('To Order'!$A1538=COL"&amp;"UMNS($A1538:B1557), B1537&amp;RIGHT(INDIRECT(ADDRESS(ROW(B1538)-1, 'From Order'!$A1538)), 1), B1537))"),"R")</f>
        <v>R</v>
      </c>
      <c r="C1538" s="2" t="str">
        <f>IFERROR(__xludf.DUMMYFUNCTION("IF('From Order'!$A1538=COLUMNS($A1538:C1557), LEFT(INDEX(FILTER(C$1:C1537, C$1:C1537&lt;&gt;""""),COUNTA(FILTER(C$1:C1537, C$1:C1537&lt;&gt;""""))), LEN(INDEX(FILTER(C$1:C1537, C$1:C1537&lt;&gt;""""),COUNTA(FILTER(C$1:C1537, C$1:C1537&lt;&gt;""""))))-1), IF('To Order'!$A1538=COL"&amp;"UMNS($A1538:C1557), C1537&amp;RIGHT(INDIRECT(ADDRESS(ROW(C1538)-1, 'From Order'!$A1538)), 1), C1537))"),"TQVQJPP")</f>
        <v>TQVQJPP</v>
      </c>
      <c r="D1538" s="2" t="str">
        <f>IFERROR(__xludf.DUMMYFUNCTION("IF('From Order'!$A1538=COLUMNS($A1538:D1557), LEFT(INDEX(FILTER(D$1:D1537, D$1:D1537&lt;&gt;""""),COUNTA(FILTER(D$1:D1537, D$1:D1537&lt;&gt;""""))), LEN(INDEX(FILTER(D$1:D1537, D$1:D1537&lt;&gt;""""),COUNTA(FILTER(D$1:D1537, D$1:D1537&lt;&gt;""""))))-1), IF('To Order'!$A1538=COL"&amp;"UMNS($A1538:D1557), D1537&amp;RIGHT(INDIRECT(ADDRESS(ROW(D1538)-1, 'From Order'!$A1538)), 1), D1537))"),"CGZCSFHBGJTTPBF")</f>
        <v>CGZCSFHBGJTTPBF</v>
      </c>
      <c r="E1538" s="2" t="str">
        <f>IFERROR(__xludf.DUMMYFUNCTION("IF('From Order'!$A1538=COLUMNS($A1538:E1557), LEFT(INDEX(FILTER(E$1:E1537, E$1:E1537&lt;&gt;""""),COUNTA(FILTER(E$1:E1537, E$1:E1537&lt;&gt;""""))), LEN(INDEX(FILTER(E$1:E1537, E$1:E1537&lt;&gt;""""),COUNTA(FILTER(E$1:E1537, E$1:E1537&lt;&gt;""""))))-1), IF('To Order'!$A1538=COL"&amp;"UMNS($A1538:E1557), E1537&amp;RIGHT(INDIRECT(ADDRESS(ROW(E1538)-1, 'From Order'!$A1538)), 1), E1537))"),"W")</f>
        <v>W</v>
      </c>
      <c r="F1538" s="2" t="str">
        <f>IFERROR(__xludf.DUMMYFUNCTION("IF('From Order'!$A1538=COLUMNS($A1538:F1557), LEFT(INDEX(FILTER(F$1:F1537, F$1:F1537&lt;&gt;""""),COUNTA(FILTER(F$1:F1537, F$1:F1537&lt;&gt;""""))), LEN(INDEX(FILTER(F$1:F1537, F$1:F1537&lt;&gt;""""),COUNTA(FILTER(F$1:F1537, F$1:F1537&lt;&gt;""""))))-1), IF('To Order'!$A1538=COL"&amp;"UMNS($A1538:F1557), F1537&amp;RIGHT(INDIRECT(ADDRESS(ROW(F1538)-1, 'From Order'!$A1538)), 1), F1537))"),"ZRLBWLDDT")</f>
        <v>ZRLBWLDDT</v>
      </c>
      <c r="G1538" s="2" t="str">
        <f>IFERROR(__xludf.DUMMYFUNCTION("IF('From Order'!$A1538=COLUMNS($A1538:G1557), LEFT(INDEX(FILTER(G$1:G1537, G$1:G1537&lt;&gt;""""),COUNTA(FILTER(G$1:G1537, G$1:G1537&lt;&gt;""""))), LEN(INDEX(FILTER(G$1:G1537, G$1:G1537&lt;&gt;""""),COUNTA(FILTER(G$1:G1537, G$1:G1537&lt;&gt;""""))))-1), IF('To Order'!$A1538=COL"&amp;"UMNS($A1538:G1557), G1537&amp;RIGHT(INDIRECT(ADDRESS(ROW(G1538)-1, 'From Order'!$A1538)), 1), G1537))"),"")</f>
        <v/>
      </c>
      <c r="H1538" s="2" t="str">
        <f>IFERROR(__xludf.DUMMYFUNCTION("IF('From Order'!$A1538=COLUMNS($A1538:H1557), LEFT(INDEX(FILTER(H$1:H1537, H$1:H1537&lt;&gt;""""),COUNTA(FILTER(H$1:H1537, H$1:H1537&lt;&gt;""""))), LEN(INDEX(FILTER(H$1:H1537, H$1:H1537&lt;&gt;""""),COUNTA(FILTER(H$1:H1537, H$1:H1537&lt;&gt;""""))))-1), IF('To Order'!$A1538=COL"&amp;"UMNS($A1538:H1557), H1537&amp;RIGHT(INDIRECT(ADDRESS(ROW(H1538)-1, 'From Order'!$A1538)), 1), H1537))"),"")</f>
        <v/>
      </c>
      <c r="I1538" s="2" t="str">
        <f>IFERROR(__xludf.DUMMYFUNCTION("IF('From Order'!$A1538=COLUMNS($A1538:I1557), LEFT(INDEX(FILTER(I$1:I1537, I$1:I1537&lt;&gt;""""),COUNTA(FILTER(I$1:I1537, I$1:I1537&lt;&gt;""""))), LEN(INDEX(FILTER(I$1:I1537, I$1:I1537&lt;&gt;""""),COUNTA(FILTER(I$1:I1537, I$1:I1537&lt;&gt;""""))))-1), IF('To Order'!$A1538=COL"&amp;"UMNS($A1538:I1557), I1537&amp;RIGHT(INDIRECT(ADDRESS(ROW(I1538)-1, 'From Order'!$A1538)), 1), I1537))"),"")</f>
        <v/>
      </c>
    </row>
    <row r="1539">
      <c r="A1539" s="2" t="str">
        <f>IFERROR(__xludf.DUMMYFUNCTION("IF('From Order'!$A1539=COLUMNS($A1539:A1558), LEFT(INDEX(FILTER(A$1:A1538, A$1:A1538&lt;&gt;""""),COUNTA(FILTER(A$1:A1538, A$1:A1538&lt;&gt;""""))), LEN(INDEX(FILTER(A$1:A1538, A$1:A1538&lt;&gt;""""),COUNTA(FILTER(A$1:A1538, A$1:A1538&lt;&gt;""""))))-1), IF('To Order'!$A1539=COL"&amp;"UMNS($A1539:A1558), A1538&amp;RIGHT(INDIRECT(ADDRESS(ROW(A1539)-1, 'From Order'!$A1539)), 1), A1538))"),"MDJMBVRRSDLDTMZHRDCVTSST")</f>
        <v>MDJMBVRRSDLDTMZHRDCVTSST</v>
      </c>
      <c r="B1539" s="2" t="str">
        <f>IFERROR(__xludf.DUMMYFUNCTION("IF('From Order'!$A1539=COLUMNS($A1539:B1558), LEFT(INDEX(FILTER(B$1:B1538, B$1:B1538&lt;&gt;""""),COUNTA(FILTER(B$1:B1538, B$1:B1538&lt;&gt;""""))), LEN(INDEX(FILTER(B$1:B1538, B$1:B1538&lt;&gt;""""),COUNTA(FILTER(B$1:B1538, B$1:B1538&lt;&gt;""""))))-1), IF('To Order'!$A1539=COL"&amp;"UMNS($A1539:B1558), B1538&amp;RIGHT(INDIRECT(ADDRESS(ROW(B1539)-1, 'From Order'!$A1539)), 1), B1538))"),"R")</f>
        <v>R</v>
      </c>
      <c r="C1539" s="2" t="str">
        <f>IFERROR(__xludf.DUMMYFUNCTION("IF('From Order'!$A1539=COLUMNS($A1539:C1558), LEFT(INDEX(FILTER(C$1:C1538, C$1:C1538&lt;&gt;""""),COUNTA(FILTER(C$1:C1538, C$1:C1538&lt;&gt;""""))), LEN(INDEX(FILTER(C$1:C1538, C$1:C1538&lt;&gt;""""),COUNTA(FILTER(C$1:C1538, C$1:C1538&lt;&gt;""""))))-1), IF('To Order'!$A1539=COL"&amp;"UMNS($A1539:C1558), C1538&amp;RIGHT(INDIRECT(ADDRESS(ROW(C1539)-1, 'From Order'!$A1539)), 1), C1538))"),"TQVQJPP")</f>
        <v>TQVQJPP</v>
      </c>
      <c r="D1539" s="2" t="str">
        <f>IFERROR(__xludf.DUMMYFUNCTION("IF('From Order'!$A1539=COLUMNS($A1539:D1558), LEFT(INDEX(FILTER(D$1:D1538, D$1:D1538&lt;&gt;""""),COUNTA(FILTER(D$1:D1538, D$1:D1538&lt;&gt;""""))), LEN(INDEX(FILTER(D$1:D1538, D$1:D1538&lt;&gt;""""),COUNTA(FILTER(D$1:D1538, D$1:D1538&lt;&gt;""""))))-1), IF('To Order'!$A1539=COL"&amp;"UMNS($A1539:D1558), D1538&amp;RIGHT(INDIRECT(ADDRESS(ROW(D1539)-1, 'From Order'!$A1539)), 1), D1538))"),"CGZCSFHBGJTTPBF")</f>
        <v>CGZCSFHBGJTTPBF</v>
      </c>
      <c r="E1539" s="2" t="str">
        <f>IFERROR(__xludf.DUMMYFUNCTION("IF('From Order'!$A1539=COLUMNS($A1539:E1558), LEFT(INDEX(FILTER(E$1:E1538, E$1:E1538&lt;&gt;""""),COUNTA(FILTER(E$1:E1538, E$1:E1538&lt;&gt;""""))), LEN(INDEX(FILTER(E$1:E1538, E$1:E1538&lt;&gt;""""),COUNTA(FILTER(E$1:E1538, E$1:E1538&lt;&gt;""""))))-1), IF('To Order'!$A1539=COL"&amp;"UMNS($A1539:E1558), E1538&amp;RIGHT(INDIRECT(ADDRESS(ROW(E1539)-1, 'From Order'!$A1539)), 1), E1538))"),"W")</f>
        <v>W</v>
      </c>
      <c r="F1539" s="2" t="str">
        <f>IFERROR(__xludf.DUMMYFUNCTION("IF('From Order'!$A1539=COLUMNS($A1539:F1558), LEFT(INDEX(FILTER(F$1:F1538, F$1:F1538&lt;&gt;""""),COUNTA(FILTER(F$1:F1538, F$1:F1538&lt;&gt;""""))), LEN(INDEX(FILTER(F$1:F1538, F$1:F1538&lt;&gt;""""),COUNTA(FILTER(F$1:F1538, F$1:F1538&lt;&gt;""""))))-1), IF('To Order'!$A1539=COL"&amp;"UMNS($A1539:F1558), F1538&amp;RIGHT(INDIRECT(ADDRESS(ROW(F1539)-1, 'From Order'!$A1539)), 1), F1538))"),"ZRLBWLDD")</f>
        <v>ZRLBWLDD</v>
      </c>
      <c r="G1539" s="2" t="str">
        <f>IFERROR(__xludf.DUMMYFUNCTION("IF('From Order'!$A1539=COLUMNS($A1539:G1558), LEFT(INDEX(FILTER(G$1:G1538, G$1:G1538&lt;&gt;""""),COUNTA(FILTER(G$1:G1538, G$1:G1538&lt;&gt;""""))), LEN(INDEX(FILTER(G$1:G1538, G$1:G1538&lt;&gt;""""),COUNTA(FILTER(G$1:G1538, G$1:G1538&lt;&gt;""""))))-1), IF('To Order'!$A1539=COL"&amp;"UMNS($A1539:G1558), G1538&amp;RIGHT(INDIRECT(ADDRESS(ROW(G1539)-1, 'From Order'!$A1539)), 1), G1538))"),"")</f>
        <v/>
      </c>
      <c r="H1539" s="2" t="str">
        <f>IFERROR(__xludf.DUMMYFUNCTION("IF('From Order'!$A1539=COLUMNS($A1539:H1558), LEFT(INDEX(FILTER(H$1:H1538, H$1:H1538&lt;&gt;""""),COUNTA(FILTER(H$1:H1538, H$1:H1538&lt;&gt;""""))), LEN(INDEX(FILTER(H$1:H1538, H$1:H1538&lt;&gt;""""),COUNTA(FILTER(H$1:H1538, H$1:H1538&lt;&gt;""""))))-1), IF('To Order'!$A1539=COL"&amp;"UMNS($A1539:H1558), H1538&amp;RIGHT(INDIRECT(ADDRESS(ROW(H1539)-1, 'From Order'!$A1539)), 1), H1538))"),"")</f>
        <v/>
      </c>
      <c r="I1539" s="2" t="str">
        <f>IFERROR(__xludf.DUMMYFUNCTION("IF('From Order'!$A1539=COLUMNS($A1539:I1558), LEFT(INDEX(FILTER(I$1:I1538, I$1:I1538&lt;&gt;""""),COUNTA(FILTER(I$1:I1538, I$1:I1538&lt;&gt;""""))), LEN(INDEX(FILTER(I$1:I1538, I$1:I1538&lt;&gt;""""),COUNTA(FILTER(I$1:I1538, I$1:I1538&lt;&gt;""""))))-1), IF('To Order'!$A1539=COL"&amp;"UMNS($A1539:I1558), I1538&amp;RIGHT(INDIRECT(ADDRESS(ROW(I1539)-1, 'From Order'!$A1539)), 1), I1538))"),"")</f>
        <v/>
      </c>
    </row>
    <row r="1540">
      <c r="A1540" s="2" t="str">
        <f>IFERROR(__xludf.DUMMYFUNCTION("IF('From Order'!$A1540=COLUMNS($A1540:A1559), LEFT(INDEX(FILTER(A$1:A1539, A$1:A1539&lt;&gt;""""),COUNTA(FILTER(A$1:A1539, A$1:A1539&lt;&gt;""""))), LEN(INDEX(FILTER(A$1:A1539, A$1:A1539&lt;&gt;""""),COUNTA(FILTER(A$1:A1539, A$1:A1539&lt;&gt;""""))))-1), IF('To Order'!$A1540=COL"&amp;"UMNS($A1540:A1559), A1539&amp;RIGHT(INDIRECT(ADDRESS(ROW(A1540)-1, 'From Order'!$A1540)), 1), A1539))"),"MDJMBVRRSDLDTMZHRDCVTSSTD")</f>
        <v>MDJMBVRRSDLDTMZHRDCVTSSTD</v>
      </c>
      <c r="B1540" s="2" t="str">
        <f>IFERROR(__xludf.DUMMYFUNCTION("IF('From Order'!$A1540=COLUMNS($A1540:B1559), LEFT(INDEX(FILTER(B$1:B1539, B$1:B1539&lt;&gt;""""),COUNTA(FILTER(B$1:B1539, B$1:B1539&lt;&gt;""""))), LEN(INDEX(FILTER(B$1:B1539, B$1:B1539&lt;&gt;""""),COUNTA(FILTER(B$1:B1539, B$1:B1539&lt;&gt;""""))))-1), IF('To Order'!$A1540=COL"&amp;"UMNS($A1540:B1559), B1539&amp;RIGHT(INDIRECT(ADDRESS(ROW(B1540)-1, 'From Order'!$A1540)), 1), B1539))"),"R")</f>
        <v>R</v>
      </c>
      <c r="C1540" s="2" t="str">
        <f>IFERROR(__xludf.DUMMYFUNCTION("IF('From Order'!$A1540=COLUMNS($A1540:C1559), LEFT(INDEX(FILTER(C$1:C1539, C$1:C1539&lt;&gt;""""),COUNTA(FILTER(C$1:C1539, C$1:C1539&lt;&gt;""""))), LEN(INDEX(FILTER(C$1:C1539, C$1:C1539&lt;&gt;""""),COUNTA(FILTER(C$1:C1539, C$1:C1539&lt;&gt;""""))))-1), IF('To Order'!$A1540=COL"&amp;"UMNS($A1540:C1559), C1539&amp;RIGHT(INDIRECT(ADDRESS(ROW(C1540)-1, 'From Order'!$A1540)), 1), C1539))"),"TQVQJPP")</f>
        <v>TQVQJPP</v>
      </c>
      <c r="D1540" s="2" t="str">
        <f>IFERROR(__xludf.DUMMYFUNCTION("IF('From Order'!$A1540=COLUMNS($A1540:D1559), LEFT(INDEX(FILTER(D$1:D1539, D$1:D1539&lt;&gt;""""),COUNTA(FILTER(D$1:D1539, D$1:D1539&lt;&gt;""""))), LEN(INDEX(FILTER(D$1:D1539, D$1:D1539&lt;&gt;""""),COUNTA(FILTER(D$1:D1539, D$1:D1539&lt;&gt;""""))))-1), IF('To Order'!$A1540=COL"&amp;"UMNS($A1540:D1559), D1539&amp;RIGHT(INDIRECT(ADDRESS(ROW(D1540)-1, 'From Order'!$A1540)), 1), D1539))"),"CGZCSFHBGJTTPBF")</f>
        <v>CGZCSFHBGJTTPBF</v>
      </c>
      <c r="E1540" s="2" t="str">
        <f>IFERROR(__xludf.DUMMYFUNCTION("IF('From Order'!$A1540=COLUMNS($A1540:E1559), LEFT(INDEX(FILTER(E$1:E1539, E$1:E1539&lt;&gt;""""),COUNTA(FILTER(E$1:E1539, E$1:E1539&lt;&gt;""""))), LEN(INDEX(FILTER(E$1:E1539, E$1:E1539&lt;&gt;""""),COUNTA(FILTER(E$1:E1539, E$1:E1539&lt;&gt;""""))))-1), IF('To Order'!$A1540=COL"&amp;"UMNS($A1540:E1559), E1539&amp;RIGHT(INDIRECT(ADDRESS(ROW(E1540)-1, 'From Order'!$A1540)), 1), E1539))"),"W")</f>
        <v>W</v>
      </c>
      <c r="F1540" s="2" t="str">
        <f>IFERROR(__xludf.DUMMYFUNCTION("IF('From Order'!$A1540=COLUMNS($A1540:F1559), LEFT(INDEX(FILTER(F$1:F1539, F$1:F1539&lt;&gt;""""),COUNTA(FILTER(F$1:F1539, F$1:F1539&lt;&gt;""""))), LEN(INDEX(FILTER(F$1:F1539, F$1:F1539&lt;&gt;""""),COUNTA(FILTER(F$1:F1539, F$1:F1539&lt;&gt;""""))))-1), IF('To Order'!$A1540=COL"&amp;"UMNS($A1540:F1559), F1539&amp;RIGHT(INDIRECT(ADDRESS(ROW(F1540)-1, 'From Order'!$A1540)), 1), F1539))"),"ZRLBWLD")</f>
        <v>ZRLBWLD</v>
      </c>
      <c r="G1540" s="2" t="str">
        <f>IFERROR(__xludf.DUMMYFUNCTION("IF('From Order'!$A1540=COLUMNS($A1540:G1559), LEFT(INDEX(FILTER(G$1:G1539, G$1:G1539&lt;&gt;""""),COUNTA(FILTER(G$1:G1539, G$1:G1539&lt;&gt;""""))), LEN(INDEX(FILTER(G$1:G1539, G$1:G1539&lt;&gt;""""),COUNTA(FILTER(G$1:G1539, G$1:G1539&lt;&gt;""""))))-1), IF('To Order'!$A1540=COL"&amp;"UMNS($A1540:G1559), G1539&amp;RIGHT(INDIRECT(ADDRESS(ROW(G1540)-1, 'From Order'!$A1540)), 1), G1539))"),"")</f>
        <v/>
      </c>
      <c r="H1540" s="2" t="str">
        <f>IFERROR(__xludf.DUMMYFUNCTION("IF('From Order'!$A1540=COLUMNS($A1540:H1559), LEFT(INDEX(FILTER(H$1:H1539, H$1:H1539&lt;&gt;""""),COUNTA(FILTER(H$1:H1539, H$1:H1539&lt;&gt;""""))), LEN(INDEX(FILTER(H$1:H1539, H$1:H1539&lt;&gt;""""),COUNTA(FILTER(H$1:H1539, H$1:H1539&lt;&gt;""""))))-1), IF('To Order'!$A1540=COL"&amp;"UMNS($A1540:H1559), H1539&amp;RIGHT(INDIRECT(ADDRESS(ROW(H1540)-1, 'From Order'!$A1540)), 1), H1539))"),"")</f>
        <v/>
      </c>
      <c r="I1540" s="2" t="str">
        <f>IFERROR(__xludf.DUMMYFUNCTION("IF('From Order'!$A1540=COLUMNS($A1540:I1559), LEFT(INDEX(FILTER(I$1:I1539, I$1:I1539&lt;&gt;""""),COUNTA(FILTER(I$1:I1539, I$1:I1539&lt;&gt;""""))), LEN(INDEX(FILTER(I$1:I1539, I$1:I1539&lt;&gt;""""),COUNTA(FILTER(I$1:I1539, I$1:I1539&lt;&gt;""""))))-1), IF('To Order'!$A1540=COL"&amp;"UMNS($A1540:I1559), I1539&amp;RIGHT(INDIRECT(ADDRESS(ROW(I1540)-1, 'From Order'!$A1540)), 1), I1539))"),"")</f>
        <v/>
      </c>
    </row>
    <row r="1541">
      <c r="A1541" s="2" t="str">
        <f>IFERROR(__xludf.DUMMYFUNCTION("IF('From Order'!$A1541=COLUMNS($A1541:A1560), LEFT(INDEX(FILTER(A$1:A1540, A$1:A1540&lt;&gt;""""),COUNTA(FILTER(A$1:A1540, A$1:A1540&lt;&gt;""""))), LEN(INDEX(FILTER(A$1:A1540, A$1:A1540&lt;&gt;""""),COUNTA(FILTER(A$1:A1540, A$1:A1540&lt;&gt;""""))))-1), IF('To Order'!$A1541=COL"&amp;"UMNS($A1541:A1560), A1540&amp;RIGHT(INDIRECT(ADDRESS(ROW(A1541)-1, 'From Order'!$A1541)), 1), A1540))"),"MDJMBVRRSDLDTMZHRDCVTSSTDD")</f>
        <v>MDJMBVRRSDLDTMZHRDCVTSSTDD</v>
      </c>
      <c r="B1541" s="2" t="str">
        <f>IFERROR(__xludf.DUMMYFUNCTION("IF('From Order'!$A1541=COLUMNS($A1541:B1560), LEFT(INDEX(FILTER(B$1:B1540, B$1:B1540&lt;&gt;""""),COUNTA(FILTER(B$1:B1540, B$1:B1540&lt;&gt;""""))), LEN(INDEX(FILTER(B$1:B1540, B$1:B1540&lt;&gt;""""),COUNTA(FILTER(B$1:B1540, B$1:B1540&lt;&gt;""""))))-1), IF('To Order'!$A1541=COL"&amp;"UMNS($A1541:B1560), B1540&amp;RIGHT(INDIRECT(ADDRESS(ROW(B1541)-1, 'From Order'!$A1541)), 1), B1540))"),"R")</f>
        <v>R</v>
      </c>
      <c r="C1541" s="2" t="str">
        <f>IFERROR(__xludf.DUMMYFUNCTION("IF('From Order'!$A1541=COLUMNS($A1541:C1560), LEFT(INDEX(FILTER(C$1:C1540, C$1:C1540&lt;&gt;""""),COUNTA(FILTER(C$1:C1540, C$1:C1540&lt;&gt;""""))), LEN(INDEX(FILTER(C$1:C1540, C$1:C1540&lt;&gt;""""),COUNTA(FILTER(C$1:C1540, C$1:C1540&lt;&gt;""""))))-1), IF('To Order'!$A1541=COL"&amp;"UMNS($A1541:C1560), C1540&amp;RIGHT(INDIRECT(ADDRESS(ROW(C1541)-1, 'From Order'!$A1541)), 1), C1540))"),"TQVQJPP")</f>
        <v>TQVQJPP</v>
      </c>
      <c r="D1541" s="2" t="str">
        <f>IFERROR(__xludf.DUMMYFUNCTION("IF('From Order'!$A1541=COLUMNS($A1541:D1560), LEFT(INDEX(FILTER(D$1:D1540, D$1:D1540&lt;&gt;""""),COUNTA(FILTER(D$1:D1540, D$1:D1540&lt;&gt;""""))), LEN(INDEX(FILTER(D$1:D1540, D$1:D1540&lt;&gt;""""),COUNTA(FILTER(D$1:D1540, D$1:D1540&lt;&gt;""""))))-1), IF('To Order'!$A1541=COL"&amp;"UMNS($A1541:D1560), D1540&amp;RIGHT(INDIRECT(ADDRESS(ROW(D1541)-1, 'From Order'!$A1541)), 1), D1540))"),"CGZCSFHBGJTTPBF")</f>
        <v>CGZCSFHBGJTTPBF</v>
      </c>
      <c r="E1541" s="2" t="str">
        <f>IFERROR(__xludf.DUMMYFUNCTION("IF('From Order'!$A1541=COLUMNS($A1541:E1560), LEFT(INDEX(FILTER(E$1:E1540, E$1:E1540&lt;&gt;""""),COUNTA(FILTER(E$1:E1540, E$1:E1540&lt;&gt;""""))), LEN(INDEX(FILTER(E$1:E1540, E$1:E1540&lt;&gt;""""),COUNTA(FILTER(E$1:E1540, E$1:E1540&lt;&gt;""""))))-1), IF('To Order'!$A1541=COL"&amp;"UMNS($A1541:E1560), E1540&amp;RIGHT(INDIRECT(ADDRESS(ROW(E1541)-1, 'From Order'!$A1541)), 1), E1540))"),"W")</f>
        <v>W</v>
      </c>
      <c r="F1541" s="2" t="str">
        <f>IFERROR(__xludf.DUMMYFUNCTION("IF('From Order'!$A1541=COLUMNS($A1541:F1560), LEFT(INDEX(FILTER(F$1:F1540, F$1:F1540&lt;&gt;""""),COUNTA(FILTER(F$1:F1540, F$1:F1540&lt;&gt;""""))), LEN(INDEX(FILTER(F$1:F1540, F$1:F1540&lt;&gt;""""),COUNTA(FILTER(F$1:F1540, F$1:F1540&lt;&gt;""""))))-1), IF('To Order'!$A1541=COL"&amp;"UMNS($A1541:F1560), F1540&amp;RIGHT(INDIRECT(ADDRESS(ROW(F1541)-1, 'From Order'!$A1541)), 1), F1540))"),"ZRLBWL")</f>
        <v>ZRLBWL</v>
      </c>
      <c r="G1541" s="2" t="str">
        <f>IFERROR(__xludf.DUMMYFUNCTION("IF('From Order'!$A1541=COLUMNS($A1541:G1560), LEFT(INDEX(FILTER(G$1:G1540, G$1:G1540&lt;&gt;""""),COUNTA(FILTER(G$1:G1540, G$1:G1540&lt;&gt;""""))), LEN(INDEX(FILTER(G$1:G1540, G$1:G1540&lt;&gt;""""),COUNTA(FILTER(G$1:G1540, G$1:G1540&lt;&gt;""""))))-1), IF('To Order'!$A1541=COL"&amp;"UMNS($A1541:G1560), G1540&amp;RIGHT(INDIRECT(ADDRESS(ROW(G1541)-1, 'From Order'!$A1541)), 1), G1540))"),"")</f>
        <v/>
      </c>
      <c r="H1541" s="2" t="str">
        <f>IFERROR(__xludf.DUMMYFUNCTION("IF('From Order'!$A1541=COLUMNS($A1541:H1560), LEFT(INDEX(FILTER(H$1:H1540, H$1:H1540&lt;&gt;""""),COUNTA(FILTER(H$1:H1540, H$1:H1540&lt;&gt;""""))), LEN(INDEX(FILTER(H$1:H1540, H$1:H1540&lt;&gt;""""),COUNTA(FILTER(H$1:H1540, H$1:H1540&lt;&gt;""""))))-1), IF('To Order'!$A1541=COL"&amp;"UMNS($A1541:H1560), H1540&amp;RIGHT(INDIRECT(ADDRESS(ROW(H1541)-1, 'From Order'!$A1541)), 1), H1540))"),"")</f>
        <v/>
      </c>
      <c r="I1541" s="2" t="str">
        <f>IFERROR(__xludf.DUMMYFUNCTION("IF('From Order'!$A1541=COLUMNS($A1541:I1560), LEFT(INDEX(FILTER(I$1:I1540, I$1:I1540&lt;&gt;""""),COUNTA(FILTER(I$1:I1540, I$1:I1540&lt;&gt;""""))), LEN(INDEX(FILTER(I$1:I1540, I$1:I1540&lt;&gt;""""),COUNTA(FILTER(I$1:I1540, I$1:I1540&lt;&gt;""""))))-1), IF('To Order'!$A1541=COL"&amp;"UMNS($A1541:I1560), I1540&amp;RIGHT(INDIRECT(ADDRESS(ROW(I1541)-1, 'From Order'!$A1541)), 1), I1540))"),"")</f>
        <v/>
      </c>
    </row>
    <row r="1542">
      <c r="A1542" s="2" t="str">
        <f>IFERROR(__xludf.DUMMYFUNCTION("IF('From Order'!$A1542=COLUMNS($A1542:A1561), LEFT(INDEX(FILTER(A$1:A1541, A$1:A1541&lt;&gt;""""),COUNTA(FILTER(A$1:A1541, A$1:A1541&lt;&gt;""""))), LEN(INDEX(FILTER(A$1:A1541, A$1:A1541&lt;&gt;""""),COUNTA(FILTER(A$1:A1541, A$1:A1541&lt;&gt;""""))))-1), IF('To Order'!$A1542=COL"&amp;"UMNS($A1542:A1561), A1541&amp;RIGHT(INDIRECT(ADDRESS(ROW(A1542)-1, 'From Order'!$A1542)), 1), A1541))"),"MDJMBVRRSDLDTMZHRDCVTSSTDDL")</f>
        <v>MDJMBVRRSDLDTMZHRDCVTSSTDDL</v>
      </c>
      <c r="B1542" s="2" t="str">
        <f>IFERROR(__xludf.DUMMYFUNCTION("IF('From Order'!$A1542=COLUMNS($A1542:B1561), LEFT(INDEX(FILTER(B$1:B1541, B$1:B1541&lt;&gt;""""),COUNTA(FILTER(B$1:B1541, B$1:B1541&lt;&gt;""""))), LEN(INDEX(FILTER(B$1:B1541, B$1:B1541&lt;&gt;""""),COUNTA(FILTER(B$1:B1541, B$1:B1541&lt;&gt;""""))))-1), IF('To Order'!$A1542=COL"&amp;"UMNS($A1542:B1561), B1541&amp;RIGHT(INDIRECT(ADDRESS(ROW(B1542)-1, 'From Order'!$A1542)), 1), B1541))"),"R")</f>
        <v>R</v>
      </c>
      <c r="C1542" s="2" t="str">
        <f>IFERROR(__xludf.DUMMYFUNCTION("IF('From Order'!$A1542=COLUMNS($A1542:C1561), LEFT(INDEX(FILTER(C$1:C1541, C$1:C1541&lt;&gt;""""),COUNTA(FILTER(C$1:C1541, C$1:C1541&lt;&gt;""""))), LEN(INDEX(FILTER(C$1:C1541, C$1:C1541&lt;&gt;""""),COUNTA(FILTER(C$1:C1541, C$1:C1541&lt;&gt;""""))))-1), IF('To Order'!$A1542=COL"&amp;"UMNS($A1542:C1561), C1541&amp;RIGHT(INDIRECT(ADDRESS(ROW(C1542)-1, 'From Order'!$A1542)), 1), C1541))"),"TQVQJPP")</f>
        <v>TQVQJPP</v>
      </c>
      <c r="D1542" s="2" t="str">
        <f>IFERROR(__xludf.DUMMYFUNCTION("IF('From Order'!$A1542=COLUMNS($A1542:D1561), LEFT(INDEX(FILTER(D$1:D1541, D$1:D1541&lt;&gt;""""),COUNTA(FILTER(D$1:D1541, D$1:D1541&lt;&gt;""""))), LEN(INDEX(FILTER(D$1:D1541, D$1:D1541&lt;&gt;""""),COUNTA(FILTER(D$1:D1541, D$1:D1541&lt;&gt;""""))))-1), IF('To Order'!$A1542=COL"&amp;"UMNS($A1542:D1561), D1541&amp;RIGHT(INDIRECT(ADDRESS(ROW(D1542)-1, 'From Order'!$A1542)), 1), D1541))"),"CGZCSFHBGJTTPBF")</f>
        <v>CGZCSFHBGJTTPBF</v>
      </c>
      <c r="E1542" s="2" t="str">
        <f>IFERROR(__xludf.DUMMYFUNCTION("IF('From Order'!$A1542=COLUMNS($A1542:E1561), LEFT(INDEX(FILTER(E$1:E1541, E$1:E1541&lt;&gt;""""),COUNTA(FILTER(E$1:E1541, E$1:E1541&lt;&gt;""""))), LEN(INDEX(FILTER(E$1:E1541, E$1:E1541&lt;&gt;""""),COUNTA(FILTER(E$1:E1541, E$1:E1541&lt;&gt;""""))))-1), IF('To Order'!$A1542=COL"&amp;"UMNS($A1542:E1561), E1541&amp;RIGHT(INDIRECT(ADDRESS(ROW(E1542)-1, 'From Order'!$A1542)), 1), E1541))"),"W")</f>
        <v>W</v>
      </c>
      <c r="F1542" s="2" t="str">
        <f>IFERROR(__xludf.DUMMYFUNCTION("IF('From Order'!$A1542=COLUMNS($A1542:F1561), LEFT(INDEX(FILTER(F$1:F1541, F$1:F1541&lt;&gt;""""),COUNTA(FILTER(F$1:F1541, F$1:F1541&lt;&gt;""""))), LEN(INDEX(FILTER(F$1:F1541, F$1:F1541&lt;&gt;""""),COUNTA(FILTER(F$1:F1541, F$1:F1541&lt;&gt;""""))))-1), IF('To Order'!$A1542=COL"&amp;"UMNS($A1542:F1561), F1541&amp;RIGHT(INDIRECT(ADDRESS(ROW(F1542)-1, 'From Order'!$A1542)), 1), F1541))"),"ZRLBW")</f>
        <v>ZRLBW</v>
      </c>
      <c r="G1542" s="2" t="str">
        <f>IFERROR(__xludf.DUMMYFUNCTION("IF('From Order'!$A1542=COLUMNS($A1542:G1561), LEFT(INDEX(FILTER(G$1:G1541, G$1:G1541&lt;&gt;""""),COUNTA(FILTER(G$1:G1541, G$1:G1541&lt;&gt;""""))), LEN(INDEX(FILTER(G$1:G1541, G$1:G1541&lt;&gt;""""),COUNTA(FILTER(G$1:G1541, G$1:G1541&lt;&gt;""""))))-1), IF('To Order'!$A1542=COL"&amp;"UMNS($A1542:G1561), G1541&amp;RIGHT(INDIRECT(ADDRESS(ROW(G1542)-1, 'From Order'!$A1542)), 1), G1541))"),"")</f>
        <v/>
      </c>
      <c r="H1542" s="2" t="str">
        <f>IFERROR(__xludf.DUMMYFUNCTION("IF('From Order'!$A1542=COLUMNS($A1542:H1561), LEFT(INDEX(FILTER(H$1:H1541, H$1:H1541&lt;&gt;""""),COUNTA(FILTER(H$1:H1541, H$1:H1541&lt;&gt;""""))), LEN(INDEX(FILTER(H$1:H1541, H$1:H1541&lt;&gt;""""),COUNTA(FILTER(H$1:H1541, H$1:H1541&lt;&gt;""""))))-1), IF('To Order'!$A1542=COL"&amp;"UMNS($A1542:H1561), H1541&amp;RIGHT(INDIRECT(ADDRESS(ROW(H1542)-1, 'From Order'!$A1542)), 1), H1541))"),"")</f>
        <v/>
      </c>
      <c r="I1542" s="2" t="str">
        <f>IFERROR(__xludf.DUMMYFUNCTION("IF('From Order'!$A1542=COLUMNS($A1542:I1561), LEFT(INDEX(FILTER(I$1:I1541, I$1:I1541&lt;&gt;""""),COUNTA(FILTER(I$1:I1541, I$1:I1541&lt;&gt;""""))), LEN(INDEX(FILTER(I$1:I1541, I$1:I1541&lt;&gt;""""),COUNTA(FILTER(I$1:I1541, I$1:I1541&lt;&gt;""""))))-1), IF('To Order'!$A1542=COL"&amp;"UMNS($A1542:I1561), I1541&amp;RIGHT(INDIRECT(ADDRESS(ROW(I1542)-1, 'From Order'!$A1542)), 1), I1541))"),"")</f>
        <v/>
      </c>
    </row>
    <row r="1543">
      <c r="A1543" s="2" t="str">
        <f>IFERROR(__xludf.DUMMYFUNCTION("IF('From Order'!$A1543=COLUMNS($A1543:A1562), LEFT(INDEX(FILTER(A$1:A1542, A$1:A1542&lt;&gt;""""),COUNTA(FILTER(A$1:A1542, A$1:A1542&lt;&gt;""""))), LEN(INDEX(FILTER(A$1:A1542, A$1:A1542&lt;&gt;""""),COUNTA(FILTER(A$1:A1542, A$1:A1542&lt;&gt;""""))))-1), IF('To Order'!$A1543=COL"&amp;"UMNS($A1543:A1562), A1542&amp;RIGHT(INDIRECT(ADDRESS(ROW(A1543)-1, 'From Order'!$A1543)), 1), A1542))"),"MDJMBVRRSDLDTMZHRDCVTSSTDDLW")</f>
        <v>MDJMBVRRSDLDTMZHRDCVTSSTDDLW</v>
      </c>
      <c r="B1543" s="2" t="str">
        <f>IFERROR(__xludf.DUMMYFUNCTION("IF('From Order'!$A1543=COLUMNS($A1543:B1562), LEFT(INDEX(FILTER(B$1:B1542, B$1:B1542&lt;&gt;""""),COUNTA(FILTER(B$1:B1542, B$1:B1542&lt;&gt;""""))), LEN(INDEX(FILTER(B$1:B1542, B$1:B1542&lt;&gt;""""),COUNTA(FILTER(B$1:B1542, B$1:B1542&lt;&gt;""""))))-1), IF('To Order'!$A1543=COL"&amp;"UMNS($A1543:B1562), B1542&amp;RIGHT(INDIRECT(ADDRESS(ROW(B1543)-1, 'From Order'!$A1543)), 1), B1542))"),"R")</f>
        <v>R</v>
      </c>
      <c r="C1543" s="2" t="str">
        <f>IFERROR(__xludf.DUMMYFUNCTION("IF('From Order'!$A1543=COLUMNS($A1543:C1562), LEFT(INDEX(FILTER(C$1:C1542, C$1:C1542&lt;&gt;""""),COUNTA(FILTER(C$1:C1542, C$1:C1542&lt;&gt;""""))), LEN(INDEX(FILTER(C$1:C1542, C$1:C1542&lt;&gt;""""),COUNTA(FILTER(C$1:C1542, C$1:C1542&lt;&gt;""""))))-1), IF('To Order'!$A1543=COL"&amp;"UMNS($A1543:C1562), C1542&amp;RIGHT(INDIRECT(ADDRESS(ROW(C1543)-1, 'From Order'!$A1543)), 1), C1542))"),"TQVQJPP")</f>
        <v>TQVQJPP</v>
      </c>
      <c r="D1543" s="2" t="str">
        <f>IFERROR(__xludf.DUMMYFUNCTION("IF('From Order'!$A1543=COLUMNS($A1543:D1562), LEFT(INDEX(FILTER(D$1:D1542, D$1:D1542&lt;&gt;""""),COUNTA(FILTER(D$1:D1542, D$1:D1542&lt;&gt;""""))), LEN(INDEX(FILTER(D$1:D1542, D$1:D1542&lt;&gt;""""),COUNTA(FILTER(D$1:D1542, D$1:D1542&lt;&gt;""""))))-1), IF('To Order'!$A1543=COL"&amp;"UMNS($A1543:D1562), D1542&amp;RIGHT(INDIRECT(ADDRESS(ROW(D1543)-1, 'From Order'!$A1543)), 1), D1542))"),"CGZCSFHBGJTTPBF")</f>
        <v>CGZCSFHBGJTTPBF</v>
      </c>
      <c r="E1543" s="2" t="str">
        <f>IFERROR(__xludf.DUMMYFUNCTION("IF('From Order'!$A1543=COLUMNS($A1543:E1562), LEFT(INDEX(FILTER(E$1:E1542, E$1:E1542&lt;&gt;""""),COUNTA(FILTER(E$1:E1542, E$1:E1542&lt;&gt;""""))), LEN(INDEX(FILTER(E$1:E1542, E$1:E1542&lt;&gt;""""),COUNTA(FILTER(E$1:E1542, E$1:E1542&lt;&gt;""""))))-1), IF('To Order'!$A1543=COL"&amp;"UMNS($A1543:E1562), E1542&amp;RIGHT(INDIRECT(ADDRESS(ROW(E1543)-1, 'From Order'!$A1543)), 1), E1542))"),"W")</f>
        <v>W</v>
      </c>
      <c r="F1543" s="2" t="str">
        <f>IFERROR(__xludf.DUMMYFUNCTION("IF('From Order'!$A1543=COLUMNS($A1543:F1562), LEFT(INDEX(FILTER(F$1:F1542, F$1:F1542&lt;&gt;""""),COUNTA(FILTER(F$1:F1542, F$1:F1542&lt;&gt;""""))), LEN(INDEX(FILTER(F$1:F1542, F$1:F1542&lt;&gt;""""),COUNTA(FILTER(F$1:F1542, F$1:F1542&lt;&gt;""""))))-1), IF('To Order'!$A1543=COL"&amp;"UMNS($A1543:F1562), F1542&amp;RIGHT(INDIRECT(ADDRESS(ROW(F1543)-1, 'From Order'!$A1543)), 1), F1542))"),"ZRLB")</f>
        <v>ZRLB</v>
      </c>
      <c r="G1543" s="2" t="str">
        <f>IFERROR(__xludf.DUMMYFUNCTION("IF('From Order'!$A1543=COLUMNS($A1543:G1562), LEFT(INDEX(FILTER(G$1:G1542, G$1:G1542&lt;&gt;""""),COUNTA(FILTER(G$1:G1542, G$1:G1542&lt;&gt;""""))), LEN(INDEX(FILTER(G$1:G1542, G$1:G1542&lt;&gt;""""),COUNTA(FILTER(G$1:G1542, G$1:G1542&lt;&gt;""""))))-1), IF('To Order'!$A1543=COL"&amp;"UMNS($A1543:G1562), G1542&amp;RIGHT(INDIRECT(ADDRESS(ROW(G1543)-1, 'From Order'!$A1543)), 1), G1542))"),"")</f>
        <v/>
      </c>
      <c r="H1543" s="2" t="str">
        <f>IFERROR(__xludf.DUMMYFUNCTION("IF('From Order'!$A1543=COLUMNS($A1543:H1562), LEFT(INDEX(FILTER(H$1:H1542, H$1:H1542&lt;&gt;""""),COUNTA(FILTER(H$1:H1542, H$1:H1542&lt;&gt;""""))), LEN(INDEX(FILTER(H$1:H1542, H$1:H1542&lt;&gt;""""),COUNTA(FILTER(H$1:H1542, H$1:H1542&lt;&gt;""""))))-1), IF('To Order'!$A1543=COL"&amp;"UMNS($A1543:H1562), H1542&amp;RIGHT(INDIRECT(ADDRESS(ROW(H1543)-1, 'From Order'!$A1543)), 1), H1542))"),"")</f>
        <v/>
      </c>
      <c r="I1543" s="2" t="str">
        <f>IFERROR(__xludf.DUMMYFUNCTION("IF('From Order'!$A1543=COLUMNS($A1543:I1562), LEFT(INDEX(FILTER(I$1:I1542, I$1:I1542&lt;&gt;""""),COUNTA(FILTER(I$1:I1542, I$1:I1542&lt;&gt;""""))), LEN(INDEX(FILTER(I$1:I1542, I$1:I1542&lt;&gt;""""),COUNTA(FILTER(I$1:I1542, I$1:I1542&lt;&gt;""""))))-1), IF('To Order'!$A1543=COL"&amp;"UMNS($A1543:I1562), I1542&amp;RIGHT(INDIRECT(ADDRESS(ROW(I1543)-1, 'From Order'!$A1543)), 1), I1542))"),"")</f>
        <v/>
      </c>
    </row>
    <row r="1544">
      <c r="A1544" s="2" t="str">
        <f>IFERROR(__xludf.DUMMYFUNCTION("IF('From Order'!$A1544=COLUMNS($A1544:A1563), LEFT(INDEX(FILTER(A$1:A1543, A$1:A1543&lt;&gt;""""),COUNTA(FILTER(A$1:A1543, A$1:A1543&lt;&gt;""""))), LEN(INDEX(FILTER(A$1:A1543, A$1:A1543&lt;&gt;""""),COUNTA(FILTER(A$1:A1543, A$1:A1543&lt;&gt;""""))))-1), IF('To Order'!$A1544=COL"&amp;"UMNS($A1544:A1563), A1543&amp;RIGHT(INDIRECT(ADDRESS(ROW(A1544)-1, 'From Order'!$A1544)), 1), A1543))"),"MDJMBVRRSDLDTMZHRDCVTSSTDDLWB")</f>
        <v>MDJMBVRRSDLDTMZHRDCVTSSTDDLWB</v>
      </c>
      <c r="B1544" s="2" t="str">
        <f>IFERROR(__xludf.DUMMYFUNCTION("IF('From Order'!$A1544=COLUMNS($A1544:B1563), LEFT(INDEX(FILTER(B$1:B1543, B$1:B1543&lt;&gt;""""),COUNTA(FILTER(B$1:B1543, B$1:B1543&lt;&gt;""""))), LEN(INDEX(FILTER(B$1:B1543, B$1:B1543&lt;&gt;""""),COUNTA(FILTER(B$1:B1543, B$1:B1543&lt;&gt;""""))))-1), IF('To Order'!$A1544=COL"&amp;"UMNS($A1544:B1563), B1543&amp;RIGHT(INDIRECT(ADDRESS(ROW(B1544)-1, 'From Order'!$A1544)), 1), B1543))"),"R")</f>
        <v>R</v>
      </c>
      <c r="C1544" s="2" t="str">
        <f>IFERROR(__xludf.DUMMYFUNCTION("IF('From Order'!$A1544=COLUMNS($A1544:C1563), LEFT(INDEX(FILTER(C$1:C1543, C$1:C1543&lt;&gt;""""),COUNTA(FILTER(C$1:C1543, C$1:C1543&lt;&gt;""""))), LEN(INDEX(FILTER(C$1:C1543, C$1:C1543&lt;&gt;""""),COUNTA(FILTER(C$1:C1543, C$1:C1543&lt;&gt;""""))))-1), IF('To Order'!$A1544=COL"&amp;"UMNS($A1544:C1563), C1543&amp;RIGHT(INDIRECT(ADDRESS(ROW(C1544)-1, 'From Order'!$A1544)), 1), C1543))"),"TQVQJPP")</f>
        <v>TQVQJPP</v>
      </c>
      <c r="D1544" s="2" t="str">
        <f>IFERROR(__xludf.DUMMYFUNCTION("IF('From Order'!$A1544=COLUMNS($A1544:D1563), LEFT(INDEX(FILTER(D$1:D1543, D$1:D1543&lt;&gt;""""),COUNTA(FILTER(D$1:D1543, D$1:D1543&lt;&gt;""""))), LEN(INDEX(FILTER(D$1:D1543, D$1:D1543&lt;&gt;""""),COUNTA(FILTER(D$1:D1543, D$1:D1543&lt;&gt;""""))))-1), IF('To Order'!$A1544=COL"&amp;"UMNS($A1544:D1563), D1543&amp;RIGHT(INDIRECT(ADDRESS(ROW(D1544)-1, 'From Order'!$A1544)), 1), D1543))"),"CGZCSFHBGJTTPBF")</f>
        <v>CGZCSFHBGJTTPBF</v>
      </c>
      <c r="E1544" s="2" t="str">
        <f>IFERROR(__xludf.DUMMYFUNCTION("IF('From Order'!$A1544=COLUMNS($A1544:E1563), LEFT(INDEX(FILTER(E$1:E1543, E$1:E1543&lt;&gt;""""),COUNTA(FILTER(E$1:E1543, E$1:E1543&lt;&gt;""""))), LEN(INDEX(FILTER(E$1:E1543, E$1:E1543&lt;&gt;""""),COUNTA(FILTER(E$1:E1543, E$1:E1543&lt;&gt;""""))))-1), IF('To Order'!$A1544=COL"&amp;"UMNS($A1544:E1563), E1543&amp;RIGHT(INDIRECT(ADDRESS(ROW(E1544)-1, 'From Order'!$A1544)), 1), E1543))"),"W")</f>
        <v>W</v>
      </c>
      <c r="F1544" s="2" t="str">
        <f>IFERROR(__xludf.DUMMYFUNCTION("IF('From Order'!$A1544=COLUMNS($A1544:F1563), LEFT(INDEX(FILTER(F$1:F1543, F$1:F1543&lt;&gt;""""),COUNTA(FILTER(F$1:F1543, F$1:F1543&lt;&gt;""""))), LEN(INDEX(FILTER(F$1:F1543, F$1:F1543&lt;&gt;""""),COUNTA(FILTER(F$1:F1543, F$1:F1543&lt;&gt;""""))))-1), IF('To Order'!$A1544=COL"&amp;"UMNS($A1544:F1563), F1543&amp;RIGHT(INDIRECT(ADDRESS(ROW(F1544)-1, 'From Order'!$A1544)), 1), F1543))"),"ZRL")</f>
        <v>ZRL</v>
      </c>
      <c r="G1544" s="2" t="str">
        <f>IFERROR(__xludf.DUMMYFUNCTION("IF('From Order'!$A1544=COLUMNS($A1544:G1563), LEFT(INDEX(FILTER(G$1:G1543, G$1:G1543&lt;&gt;""""),COUNTA(FILTER(G$1:G1543, G$1:G1543&lt;&gt;""""))), LEN(INDEX(FILTER(G$1:G1543, G$1:G1543&lt;&gt;""""),COUNTA(FILTER(G$1:G1543, G$1:G1543&lt;&gt;""""))))-1), IF('To Order'!$A1544=COL"&amp;"UMNS($A1544:G1563), G1543&amp;RIGHT(INDIRECT(ADDRESS(ROW(G1544)-1, 'From Order'!$A1544)), 1), G1543))"),"")</f>
        <v/>
      </c>
      <c r="H1544" s="2" t="str">
        <f>IFERROR(__xludf.DUMMYFUNCTION("IF('From Order'!$A1544=COLUMNS($A1544:H1563), LEFT(INDEX(FILTER(H$1:H1543, H$1:H1543&lt;&gt;""""),COUNTA(FILTER(H$1:H1543, H$1:H1543&lt;&gt;""""))), LEN(INDEX(FILTER(H$1:H1543, H$1:H1543&lt;&gt;""""),COUNTA(FILTER(H$1:H1543, H$1:H1543&lt;&gt;""""))))-1), IF('To Order'!$A1544=COL"&amp;"UMNS($A1544:H1563), H1543&amp;RIGHT(INDIRECT(ADDRESS(ROW(H1544)-1, 'From Order'!$A1544)), 1), H1543))"),"")</f>
        <v/>
      </c>
      <c r="I1544" s="2" t="str">
        <f>IFERROR(__xludf.DUMMYFUNCTION("IF('From Order'!$A1544=COLUMNS($A1544:I1563), LEFT(INDEX(FILTER(I$1:I1543, I$1:I1543&lt;&gt;""""),COUNTA(FILTER(I$1:I1543, I$1:I1543&lt;&gt;""""))), LEN(INDEX(FILTER(I$1:I1543, I$1:I1543&lt;&gt;""""),COUNTA(FILTER(I$1:I1543, I$1:I1543&lt;&gt;""""))))-1), IF('To Order'!$A1544=COL"&amp;"UMNS($A1544:I1563), I1543&amp;RIGHT(INDIRECT(ADDRESS(ROW(I1544)-1, 'From Order'!$A1544)), 1), I1543))"),"")</f>
        <v/>
      </c>
    </row>
    <row r="1545">
      <c r="A1545" s="2" t="str">
        <f>IFERROR(__xludf.DUMMYFUNCTION("IF('From Order'!$A1545=COLUMNS($A1545:A1564), LEFT(INDEX(FILTER(A$1:A1544, A$1:A1544&lt;&gt;""""),COUNTA(FILTER(A$1:A1544, A$1:A1544&lt;&gt;""""))), LEN(INDEX(FILTER(A$1:A1544, A$1:A1544&lt;&gt;""""),COUNTA(FILTER(A$1:A1544, A$1:A1544&lt;&gt;""""))))-1), IF('To Order'!$A1545=COL"&amp;"UMNS($A1545:A1564), A1544&amp;RIGHT(INDIRECT(ADDRESS(ROW(A1545)-1, 'From Order'!$A1545)), 1), A1544))"),"MDJMBVRRSDLDTMZHRDCVTSSTDDLW")</f>
        <v>MDJMBVRRSDLDTMZHRDCVTSSTDDLW</v>
      </c>
      <c r="B1545" s="2" t="str">
        <f>IFERROR(__xludf.DUMMYFUNCTION("IF('From Order'!$A1545=COLUMNS($A1545:B1564), LEFT(INDEX(FILTER(B$1:B1544, B$1:B1544&lt;&gt;""""),COUNTA(FILTER(B$1:B1544, B$1:B1544&lt;&gt;""""))), LEN(INDEX(FILTER(B$1:B1544, B$1:B1544&lt;&gt;""""),COUNTA(FILTER(B$1:B1544, B$1:B1544&lt;&gt;""""))))-1), IF('To Order'!$A1545=COL"&amp;"UMNS($A1545:B1564), B1544&amp;RIGHT(INDIRECT(ADDRESS(ROW(B1545)-1, 'From Order'!$A1545)), 1), B1544))"),"RB")</f>
        <v>RB</v>
      </c>
      <c r="C1545" s="2" t="str">
        <f>IFERROR(__xludf.DUMMYFUNCTION("IF('From Order'!$A1545=COLUMNS($A1545:C1564), LEFT(INDEX(FILTER(C$1:C1544, C$1:C1544&lt;&gt;""""),COUNTA(FILTER(C$1:C1544, C$1:C1544&lt;&gt;""""))), LEN(INDEX(FILTER(C$1:C1544, C$1:C1544&lt;&gt;""""),COUNTA(FILTER(C$1:C1544, C$1:C1544&lt;&gt;""""))))-1), IF('To Order'!$A1545=COL"&amp;"UMNS($A1545:C1564), C1544&amp;RIGHT(INDIRECT(ADDRESS(ROW(C1545)-1, 'From Order'!$A1545)), 1), C1544))"),"TQVQJPP")</f>
        <v>TQVQJPP</v>
      </c>
      <c r="D1545" s="2" t="str">
        <f>IFERROR(__xludf.DUMMYFUNCTION("IF('From Order'!$A1545=COLUMNS($A1545:D1564), LEFT(INDEX(FILTER(D$1:D1544, D$1:D1544&lt;&gt;""""),COUNTA(FILTER(D$1:D1544, D$1:D1544&lt;&gt;""""))), LEN(INDEX(FILTER(D$1:D1544, D$1:D1544&lt;&gt;""""),COUNTA(FILTER(D$1:D1544, D$1:D1544&lt;&gt;""""))))-1), IF('To Order'!$A1545=COL"&amp;"UMNS($A1545:D1564), D1544&amp;RIGHT(INDIRECT(ADDRESS(ROW(D1545)-1, 'From Order'!$A1545)), 1), D1544))"),"CGZCSFHBGJTTPBF")</f>
        <v>CGZCSFHBGJTTPBF</v>
      </c>
      <c r="E1545" s="2" t="str">
        <f>IFERROR(__xludf.DUMMYFUNCTION("IF('From Order'!$A1545=COLUMNS($A1545:E1564), LEFT(INDEX(FILTER(E$1:E1544, E$1:E1544&lt;&gt;""""),COUNTA(FILTER(E$1:E1544, E$1:E1544&lt;&gt;""""))), LEN(INDEX(FILTER(E$1:E1544, E$1:E1544&lt;&gt;""""),COUNTA(FILTER(E$1:E1544, E$1:E1544&lt;&gt;""""))))-1), IF('To Order'!$A1545=COL"&amp;"UMNS($A1545:E1564), E1544&amp;RIGHT(INDIRECT(ADDRESS(ROW(E1545)-1, 'From Order'!$A1545)), 1), E1544))"),"W")</f>
        <v>W</v>
      </c>
      <c r="F1545" s="2" t="str">
        <f>IFERROR(__xludf.DUMMYFUNCTION("IF('From Order'!$A1545=COLUMNS($A1545:F1564), LEFT(INDEX(FILTER(F$1:F1544, F$1:F1544&lt;&gt;""""),COUNTA(FILTER(F$1:F1544, F$1:F1544&lt;&gt;""""))), LEN(INDEX(FILTER(F$1:F1544, F$1:F1544&lt;&gt;""""),COUNTA(FILTER(F$1:F1544, F$1:F1544&lt;&gt;""""))))-1), IF('To Order'!$A1545=COL"&amp;"UMNS($A1545:F1564), F1544&amp;RIGHT(INDIRECT(ADDRESS(ROW(F1545)-1, 'From Order'!$A1545)), 1), F1544))"),"ZRL")</f>
        <v>ZRL</v>
      </c>
      <c r="G1545" s="2" t="str">
        <f>IFERROR(__xludf.DUMMYFUNCTION("IF('From Order'!$A1545=COLUMNS($A1545:G1564), LEFT(INDEX(FILTER(G$1:G1544, G$1:G1544&lt;&gt;""""),COUNTA(FILTER(G$1:G1544, G$1:G1544&lt;&gt;""""))), LEN(INDEX(FILTER(G$1:G1544, G$1:G1544&lt;&gt;""""),COUNTA(FILTER(G$1:G1544, G$1:G1544&lt;&gt;""""))))-1), IF('To Order'!$A1545=COL"&amp;"UMNS($A1545:G1564), G1544&amp;RIGHT(INDIRECT(ADDRESS(ROW(G1545)-1, 'From Order'!$A1545)), 1), G1544))"),"")</f>
        <v/>
      </c>
      <c r="H1545" s="2" t="str">
        <f>IFERROR(__xludf.DUMMYFUNCTION("IF('From Order'!$A1545=COLUMNS($A1545:H1564), LEFT(INDEX(FILTER(H$1:H1544, H$1:H1544&lt;&gt;""""),COUNTA(FILTER(H$1:H1544, H$1:H1544&lt;&gt;""""))), LEN(INDEX(FILTER(H$1:H1544, H$1:H1544&lt;&gt;""""),COUNTA(FILTER(H$1:H1544, H$1:H1544&lt;&gt;""""))))-1), IF('To Order'!$A1545=COL"&amp;"UMNS($A1545:H1564), H1544&amp;RIGHT(INDIRECT(ADDRESS(ROW(H1545)-1, 'From Order'!$A1545)), 1), H1544))"),"")</f>
        <v/>
      </c>
      <c r="I1545" s="2" t="str">
        <f>IFERROR(__xludf.DUMMYFUNCTION("IF('From Order'!$A1545=COLUMNS($A1545:I1564), LEFT(INDEX(FILTER(I$1:I1544, I$1:I1544&lt;&gt;""""),COUNTA(FILTER(I$1:I1544, I$1:I1544&lt;&gt;""""))), LEN(INDEX(FILTER(I$1:I1544, I$1:I1544&lt;&gt;""""),COUNTA(FILTER(I$1:I1544, I$1:I1544&lt;&gt;""""))))-1), IF('To Order'!$A1545=COL"&amp;"UMNS($A1545:I1564), I1544&amp;RIGHT(INDIRECT(ADDRESS(ROW(I1545)-1, 'From Order'!$A1545)), 1), I1544))"),"")</f>
        <v/>
      </c>
    </row>
    <row r="1546">
      <c r="A1546" s="2" t="str">
        <f>IFERROR(__xludf.DUMMYFUNCTION("IF('From Order'!$A1546=COLUMNS($A1546:A1565), LEFT(INDEX(FILTER(A$1:A1545, A$1:A1545&lt;&gt;""""),COUNTA(FILTER(A$1:A1545, A$1:A1545&lt;&gt;""""))), LEN(INDEX(FILTER(A$1:A1545, A$1:A1545&lt;&gt;""""),COUNTA(FILTER(A$1:A1545, A$1:A1545&lt;&gt;""""))))-1), IF('To Order'!$A1546=COL"&amp;"UMNS($A1546:A1565), A1545&amp;RIGHT(INDIRECT(ADDRESS(ROW(A1546)-1, 'From Order'!$A1546)), 1), A1545))"),"MDJMBVRRSDLDTMZHRDCVTSSTDDL")</f>
        <v>MDJMBVRRSDLDTMZHRDCVTSSTDDL</v>
      </c>
      <c r="B1546" s="2" t="str">
        <f>IFERROR(__xludf.DUMMYFUNCTION("IF('From Order'!$A1546=COLUMNS($A1546:B1565), LEFT(INDEX(FILTER(B$1:B1545, B$1:B1545&lt;&gt;""""),COUNTA(FILTER(B$1:B1545, B$1:B1545&lt;&gt;""""))), LEN(INDEX(FILTER(B$1:B1545, B$1:B1545&lt;&gt;""""),COUNTA(FILTER(B$1:B1545, B$1:B1545&lt;&gt;""""))))-1), IF('To Order'!$A1546=COL"&amp;"UMNS($A1546:B1565), B1545&amp;RIGHT(INDIRECT(ADDRESS(ROW(B1546)-1, 'From Order'!$A1546)), 1), B1545))"),"RBW")</f>
        <v>RBW</v>
      </c>
      <c r="C1546" s="2" t="str">
        <f>IFERROR(__xludf.DUMMYFUNCTION("IF('From Order'!$A1546=COLUMNS($A1546:C1565), LEFT(INDEX(FILTER(C$1:C1545, C$1:C1545&lt;&gt;""""),COUNTA(FILTER(C$1:C1545, C$1:C1545&lt;&gt;""""))), LEN(INDEX(FILTER(C$1:C1545, C$1:C1545&lt;&gt;""""),COUNTA(FILTER(C$1:C1545, C$1:C1545&lt;&gt;""""))))-1), IF('To Order'!$A1546=COL"&amp;"UMNS($A1546:C1565), C1545&amp;RIGHT(INDIRECT(ADDRESS(ROW(C1546)-1, 'From Order'!$A1546)), 1), C1545))"),"TQVQJPP")</f>
        <v>TQVQJPP</v>
      </c>
      <c r="D1546" s="2" t="str">
        <f>IFERROR(__xludf.DUMMYFUNCTION("IF('From Order'!$A1546=COLUMNS($A1546:D1565), LEFT(INDEX(FILTER(D$1:D1545, D$1:D1545&lt;&gt;""""),COUNTA(FILTER(D$1:D1545, D$1:D1545&lt;&gt;""""))), LEN(INDEX(FILTER(D$1:D1545, D$1:D1545&lt;&gt;""""),COUNTA(FILTER(D$1:D1545, D$1:D1545&lt;&gt;""""))))-1), IF('To Order'!$A1546=COL"&amp;"UMNS($A1546:D1565), D1545&amp;RIGHT(INDIRECT(ADDRESS(ROW(D1546)-1, 'From Order'!$A1546)), 1), D1545))"),"CGZCSFHBGJTTPBF")</f>
        <v>CGZCSFHBGJTTPBF</v>
      </c>
      <c r="E1546" s="2" t="str">
        <f>IFERROR(__xludf.DUMMYFUNCTION("IF('From Order'!$A1546=COLUMNS($A1546:E1565), LEFT(INDEX(FILTER(E$1:E1545, E$1:E1545&lt;&gt;""""),COUNTA(FILTER(E$1:E1545, E$1:E1545&lt;&gt;""""))), LEN(INDEX(FILTER(E$1:E1545, E$1:E1545&lt;&gt;""""),COUNTA(FILTER(E$1:E1545, E$1:E1545&lt;&gt;""""))))-1), IF('To Order'!$A1546=COL"&amp;"UMNS($A1546:E1565), E1545&amp;RIGHT(INDIRECT(ADDRESS(ROW(E1546)-1, 'From Order'!$A1546)), 1), E1545))"),"W")</f>
        <v>W</v>
      </c>
      <c r="F1546" s="2" t="str">
        <f>IFERROR(__xludf.DUMMYFUNCTION("IF('From Order'!$A1546=COLUMNS($A1546:F1565), LEFT(INDEX(FILTER(F$1:F1545, F$1:F1545&lt;&gt;""""),COUNTA(FILTER(F$1:F1545, F$1:F1545&lt;&gt;""""))), LEN(INDEX(FILTER(F$1:F1545, F$1:F1545&lt;&gt;""""),COUNTA(FILTER(F$1:F1545, F$1:F1545&lt;&gt;""""))))-1), IF('To Order'!$A1546=COL"&amp;"UMNS($A1546:F1565), F1545&amp;RIGHT(INDIRECT(ADDRESS(ROW(F1546)-1, 'From Order'!$A1546)), 1), F1545))"),"ZRL")</f>
        <v>ZRL</v>
      </c>
      <c r="G1546" s="2" t="str">
        <f>IFERROR(__xludf.DUMMYFUNCTION("IF('From Order'!$A1546=COLUMNS($A1546:G1565), LEFT(INDEX(FILTER(G$1:G1545, G$1:G1545&lt;&gt;""""),COUNTA(FILTER(G$1:G1545, G$1:G1545&lt;&gt;""""))), LEN(INDEX(FILTER(G$1:G1545, G$1:G1545&lt;&gt;""""),COUNTA(FILTER(G$1:G1545, G$1:G1545&lt;&gt;""""))))-1), IF('To Order'!$A1546=COL"&amp;"UMNS($A1546:G1565), G1545&amp;RIGHT(INDIRECT(ADDRESS(ROW(G1546)-1, 'From Order'!$A1546)), 1), G1545))"),"")</f>
        <v/>
      </c>
      <c r="H1546" s="2" t="str">
        <f>IFERROR(__xludf.DUMMYFUNCTION("IF('From Order'!$A1546=COLUMNS($A1546:H1565), LEFT(INDEX(FILTER(H$1:H1545, H$1:H1545&lt;&gt;""""),COUNTA(FILTER(H$1:H1545, H$1:H1545&lt;&gt;""""))), LEN(INDEX(FILTER(H$1:H1545, H$1:H1545&lt;&gt;""""),COUNTA(FILTER(H$1:H1545, H$1:H1545&lt;&gt;""""))))-1), IF('To Order'!$A1546=COL"&amp;"UMNS($A1546:H1565), H1545&amp;RIGHT(INDIRECT(ADDRESS(ROW(H1546)-1, 'From Order'!$A1546)), 1), H1545))"),"")</f>
        <v/>
      </c>
      <c r="I1546" s="2" t="str">
        <f>IFERROR(__xludf.DUMMYFUNCTION("IF('From Order'!$A1546=COLUMNS($A1546:I1565), LEFT(INDEX(FILTER(I$1:I1545, I$1:I1545&lt;&gt;""""),COUNTA(FILTER(I$1:I1545, I$1:I1545&lt;&gt;""""))), LEN(INDEX(FILTER(I$1:I1545, I$1:I1545&lt;&gt;""""),COUNTA(FILTER(I$1:I1545, I$1:I1545&lt;&gt;""""))))-1), IF('To Order'!$A1546=COL"&amp;"UMNS($A1546:I1565), I1545&amp;RIGHT(INDIRECT(ADDRESS(ROW(I1546)-1, 'From Order'!$A1546)), 1), I1545))"),"")</f>
        <v/>
      </c>
    </row>
    <row r="1547">
      <c r="A1547" s="2" t="str">
        <f>IFERROR(__xludf.DUMMYFUNCTION("IF('From Order'!$A1547=COLUMNS($A1547:A1566), LEFT(INDEX(FILTER(A$1:A1546, A$1:A1546&lt;&gt;""""),COUNTA(FILTER(A$1:A1546, A$1:A1546&lt;&gt;""""))), LEN(INDEX(FILTER(A$1:A1546, A$1:A1546&lt;&gt;""""),COUNTA(FILTER(A$1:A1546, A$1:A1546&lt;&gt;""""))))-1), IF('To Order'!$A1547=COL"&amp;"UMNS($A1547:A1566), A1546&amp;RIGHT(INDIRECT(ADDRESS(ROW(A1547)-1, 'From Order'!$A1547)), 1), A1546))"),"MDJMBVRRSDLDTMZHRDCVTSSTDD")</f>
        <v>MDJMBVRRSDLDTMZHRDCVTSSTDD</v>
      </c>
      <c r="B1547" s="2" t="str">
        <f>IFERROR(__xludf.DUMMYFUNCTION("IF('From Order'!$A1547=COLUMNS($A1547:B1566), LEFT(INDEX(FILTER(B$1:B1546, B$1:B1546&lt;&gt;""""),COUNTA(FILTER(B$1:B1546, B$1:B1546&lt;&gt;""""))), LEN(INDEX(FILTER(B$1:B1546, B$1:B1546&lt;&gt;""""),COUNTA(FILTER(B$1:B1546, B$1:B1546&lt;&gt;""""))))-1), IF('To Order'!$A1547=COL"&amp;"UMNS($A1547:B1566), B1546&amp;RIGHT(INDIRECT(ADDRESS(ROW(B1547)-1, 'From Order'!$A1547)), 1), B1546))"),"RBWL")</f>
        <v>RBWL</v>
      </c>
      <c r="C1547" s="2" t="str">
        <f>IFERROR(__xludf.DUMMYFUNCTION("IF('From Order'!$A1547=COLUMNS($A1547:C1566), LEFT(INDEX(FILTER(C$1:C1546, C$1:C1546&lt;&gt;""""),COUNTA(FILTER(C$1:C1546, C$1:C1546&lt;&gt;""""))), LEN(INDEX(FILTER(C$1:C1546, C$1:C1546&lt;&gt;""""),COUNTA(FILTER(C$1:C1546, C$1:C1546&lt;&gt;""""))))-1), IF('To Order'!$A1547=COL"&amp;"UMNS($A1547:C1566), C1546&amp;RIGHT(INDIRECT(ADDRESS(ROW(C1547)-1, 'From Order'!$A1547)), 1), C1546))"),"TQVQJPP")</f>
        <v>TQVQJPP</v>
      </c>
      <c r="D1547" s="2" t="str">
        <f>IFERROR(__xludf.DUMMYFUNCTION("IF('From Order'!$A1547=COLUMNS($A1547:D1566), LEFT(INDEX(FILTER(D$1:D1546, D$1:D1546&lt;&gt;""""),COUNTA(FILTER(D$1:D1546, D$1:D1546&lt;&gt;""""))), LEN(INDEX(FILTER(D$1:D1546, D$1:D1546&lt;&gt;""""),COUNTA(FILTER(D$1:D1546, D$1:D1546&lt;&gt;""""))))-1), IF('To Order'!$A1547=COL"&amp;"UMNS($A1547:D1566), D1546&amp;RIGHT(INDIRECT(ADDRESS(ROW(D1547)-1, 'From Order'!$A1547)), 1), D1546))"),"CGZCSFHBGJTTPBF")</f>
        <v>CGZCSFHBGJTTPBF</v>
      </c>
      <c r="E1547" s="2" t="str">
        <f>IFERROR(__xludf.DUMMYFUNCTION("IF('From Order'!$A1547=COLUMNS($A1547:E1566), LEFT(INDEX(FILTER(E$1:E1546, E$1:E1546&lt;&gt;""""),COUNTA(FILTER(E$1:E1546, E$1:E1546&lt;&gt;""""))), LEN(INDEX(FILTER(E$1:E1546, E$1:E1546&lt;&gt;""""),COUNTA(FILTER(E$1:E1546, E$1:E1546&lt;&gt;""""))))-1), IF('To Order'!$A1547=COL"&amp;"UMNS($A1547:E1566), E1546&amp;RIGHT(INDIRECT(ADDRESS(ROW(E1547)-1, 'From Order'!$A1547)), 1), E1546))"),"W")</f>
        <v>W</v>
      </c>
      <c r="F1547" s="2" t="str">
        <f>IFERROR(__xludf.DUMMYFUNCTION("IF('From Order'!$A1547=COLUMNS($A1547:F1566), LEFT(INDEX(FILTER(F$1:F1546, F$1:F1546&lt;&gt;""""),COUNTA(FILTER(F$1:F1546, F$1:F1546&lt;&gt;""""))), LEN(INDEX(FILTER(F$1:F1546, F$1:F1546&lt;&gt;""""),COUNTA(FILTER(F$1:F1546, F$1:F1546&lt;&gt;""""))))-1), IF('To Order'!$A1547=COL"&amp;"UMNS($A1547:F1566), F1546&amp;RIGHT(INDIRECT(ADDRESS(ROW(F1547)-1, 'From Order'!$A1547)), 1), F1546))"),"ZRL")</f>
        <v>ZRL</v>
      </c>
      <c r="G1547" s="2" t="str">
        <f>IFERROR(__xludf.DUMMYFUNCTION("IF('From Order'!$A1547=COLUMNS($A1547:G1566), LEFT(INDEX(FILTER(G$1:G1546, G$1:G1546&lt;&gt;""""),COUNTA(FILTER(G$1:G1546, G$1:G1546&lt;&gt;""""))), LEN(INDEX(FILTER(G$1:G1546, G$1:G1546&lt;&gt;""""),COUNTA(FILTER(G$1:G1546, G$1:G1546&lt;&gt;""""))))-1), IF('To Order'!$A1547=COL"&amp;"UMNS($A1547:G1566), G1546&amp;RIGHT(INDIRECT(ADDRESS(ROW(G1547)-1, 'From Order'!$A1547)), 1), G1546))"),"")</f>
        <v/>
      </c>
      <c r="H1547" s="2" t="str">
        <f>IFERROR(__xludf.DUMMYFUNCTION("IF('From Order'!$A1547=COLUMNS($A1547:H1566), LEFT(INDEX(FILTER(H$1:H1546, H$1:H1546&lt;&gt;""""),COUNTA(FILTER(H$1:H1546, H$1:H1546&lt;&gt;""""))), LEN(INDEX(FILTER(H$1:H1546, H$1:H1546&lt;&gt;""""),COUNTA(FILTER(H$1:H1546, H$1:H1546&lt;&gt;""""))))-1), IF('To Order'!$A1547=COL"&amp;"UMNS($A1547:H1566), H1546&amp;RIGHT(INDIRECT(ADDRESS(ROW(H1547)-1, 'From Order'!$A1547)), 1), H1546))"),"")</f>
        <v/>
      </c>
      <c r="I1547" s="2" t="str">
        <f>IFERROR(__xludf.DUMMYFUNCTION("IF('From Order'!$A1547=COLUMNS($A1547:I1566), LEFT(INDEX(FILTER(I$1:I1546, I$1:I1546&lt;&gt;""""),COUNTA(FILTER(I$1:I1546, I$1:I1546&lt;&gt;""""))), LEN(INDEX(FILTER(I$1:I1546, I$1:I1546&lt;&gt;""""),COUNTA(FILTER(I$1:I1546, I$1:I1546&lt;&gt;""""))))-1), IF('To Order'!$A1547=COL"&amp;"UMNS($A1547:I1566), I1546&amp;RIGHT(INDIRECT(ADDRESS(ROW(I1547)-1, 'From Order'!$A1547)), 1), I1546))"),"")</f>
        <v/>
      </c>
    </row>
    <row r="1548">
      <c r="A1548" s="2" t="str">
        <f>IFERROR(__xludf.DUMMYFUNCTION("IF('From Order'!$A1548=COLUMNS($A1548:A1567), LEFT(INDEX(FILTER(A$1:A1547, A$1:A1547&lt;&gt;""""),COUNTA(FILTER(A$1:A1547, A$1:A1547&lt;&gt;""""))), LEN(INDEX(FILTER(A$1:A1547, A$1:A1547&lt;&gt;""""),COUNTA(FILTER(A$1:A1547, A$1:A1547&lt;&gt;""""))))-1), IF('To Order'!$A1548=COL"&amp;"UMNS($A1548:A1567), A1547&amp;RIGHT(INDIRECT(ADDRESS(ROW(A1548)-1, 'From Order'!$A1548)), 1), A1547))"),"MDJMBVRRSDLDTMZHRDCVTSSTD")</f>
        <v>MDJMBVRRSDLDTMZHRDCVTSSTD</v>
      </c>
      <c r="B1548" s="2" t="str">
        <f>IFERROR(__xludf.DUMMYFUNCTION("IF('From Order'!$A1548=COLUMNS($A1548:B1567), LEFT(INDEX(FILTER(B$1:B1547, B$1:B1547&lt;&gt;""""),COUNTA(FILTER(B$1:B1547, B$1:B1547&lt;&gt;""""))), LEN(INDEX(FILTER(B$1:B1547, B$1:B1547&lt;&gt;""""),COUNTA(FILTER(B$1:B1547, B$1:B1547&lt;&gt;""""))))-1), IF('To Order'!$A1548=COL"&amp;"UMNS($A1548:B1567), B1547&amp;RIGHT(INDIRECT(ADDRESS(ROW(B1548)-1, 'From Order'!$A1548)), 1), B1547))"),"RBWLD")</f>
        <v>RBWLD</v>
      </c>
      <c r="C1548" s="2" t="str">
        <f>IFERROR(__xludf.DUMMYFUNCTION("IF('From Order'!$A1548=COLUMNS($A1548:C1567), LEFT(INDEX(FILTER(C$1:C1547, C$1:C1547&lt;&gt;""""),COUNTA(FILTER(C$1:C1547, C$1:C1547&lt;&gt;""""))), LEN(INDEX(FILTER(C$1:C1547, C$1:C1547&lt;&gt;""""),COUNTA(FILTER(C$1:C1547, C$1:C1547&lt;&gt;""""))))-1), IF('To Order'!$A1548=COL"&amp;"UMNS($A1548:C1567), C1547&amp;RIGHT(INDIRECT(ADDRESS(ROW(C1548)-1, 'From Order'!$A1548)), 1), C1547))"),"TQVQJPP")</f>
        <v>TQVQJPP</v>
      </c>
      <c r="D1548" s="2" t="str">
        <f>IFERROR(__xludf.DUMMYFUNCTION("IF('From Order'!$A1548=COLUMNS($A1548:D1567), LEFT(INDEX(FILTER(D$1:D1547, D$1:D1547&lt;&gt;""""),COUNTA(FILTER(D$1:D1547, D$1:D1547&lt;&gt;""""))), LEN(INDEX(FILTER(D$1:D1547, D$1:D1547&lt;&gt;""""),COUNTA(FILTER(D$1:D1547, D$1:D1547&lt;&gt;""""))))-1), IF('To Order'!$A1548=COL"&amp;"UMNS($A1548:D1567), D1547&amp;RIGHT(INDIRECT(ADDRESS(ROW(D1548)-1, 'From Order'!$A1548)), 1), D1547))"),"CGZCSFHBGJTTPBF")</f>
        <v>CGZCSFHBGJTTPBF</v>
      </c>
      <c r="E1548" s="2" t="str">
        <f>IFERROR(__xludf.DUMMYFUNCTION("IF('From Order'!$A1548=COLUMNS($A1548:E1567), LEFT(INDEX(FILTER(E$1:E1547, E$1:E1547&lt;&gt;""""),COUNTA(FILTER(E$1:E1547, E$1:E1547&lt;&gt;""""))), LEN(INDEX(FILTER(E$1:E1547, E$1:E1547&lt;&gt;""""),COUNTA(FILTER(E$1:E1547, E$1:E1547&lt;&gt;""""))))-1), IF('To Order'!$A1548=COL"&amp;"UMNS($A1548:E1567), E1547&amp;RIGHT(INDIRECT(ADDRESS(ROW(E1548)-1, 'From Order'!$A1548)), 1), E1547))"),"W")</f>
        <v>W</v>
      </c>
      <c r="F1548" s="2" t="str">
        <f>IFERROR(__xludf.DUMMYFUNCTION("IF('From Order'!$A1548=COLUMNS($A1548:F1567), LEFT(INDEX(FILTER(F$1:F1547, F$1:F1547&lt;&gt;""""),COUNTA(FILTER(F$1:F1547, F$1:F1547&lt;&gt;""""))), LEN(INDEX(FILTER(F$1:F1547, F$1:F1547&lt;&gt;""""),COUNTA(FILTER(F$1:F1547, F$1:F1547&lt;&gt;""""))))-1), IF('To Order'!$A1548=COL"&amp;"UMNS($A1548:F1567), F1547&amp;RIGHT(INDIRECT(ADDRESS(ROW(F1548)-1, 'From Order'!$A1548)), 1), F1547))"),"ZRL")</f>
        <v>ZRL</v>
      </c>
      <c r="G1548" s="2" t="str">
        <f>IFERROR(__xludf.DUMMYFUNCTION("IF('From Order'!$A1548=COLUMNS($A1548:G1567), LEFT(INDEX(FILTER(G$1:G1547, G$1:G1547&lt;&gt;""""),COUNTA(FILTER(G$1:G1547, G$1:G1547&lt;&gt;""""))), LEN(INDEX(FILTER(G$1:G1547, G$1:G1547&lt;&gt;""""),COUNTA(FILTER(G$1:G1547, G$1:G1547&lt;&gt;""""))))-1), IF('To Order'!$A1548=COL"&amp;"UMNS($A1548:G1567), G1547&amp;RIGHT(INDIRECT(ADDRESS(ROW(G1548)-1, 'From Order'!$A1548)), 1), G1547))"),"")</f>
        <v/>
      </c>
      <c r="H1548" s="2" t="str">
        <f>IFERROR(__xludf.DUMMYFUNCTION("IF('From Order'!$A1548=COLUMNS($A1548:H1567), LEFT(INDEX(FILTER(H$1:H1547, H$1:H1547&lt;&gt;""""),COUNTA(FILTER(H$1:H1547, H$1:H1547&lt;&gt;""""))), LEN(INDEX(FILTER(H$1:H1547, H$1:H1547&lt;&gt;""""),COUNTA(FILTER(H$1:H1547, H$1:H1547&lt;&gt;""""))))-1), IF('To Order'!$A1548=COL"&amp;"UMNS($A1548:H1567), H1547&amp;RIGHT(INDIRECT(ADDRESS(ROW(H1548)-1, 'From Order'!$A1548)), 1), H1547))"),"")</f>
        <v/>
      </c>
      <c r="I1548" s="2" t="str">
        <f>IFERROR(__xludf.DUMMYFUNCTION("IF('From Order'!$A1548=COLUMNS($A1548:I1567), LEFT(INDEX(FILTER(I$1:I1547, I$1:I1547&lt;&gt;""""),COUNTA(FILTER(I$1:I1547, I$1:I1547&lt;&gt;""""))), LEN(INDEX(FILTER(I$1:I1547, I$1:I1547&lt;&gt;""""),COUNTA(FILTER(I$1:I1547, I$1:I1547&lt;&gt;""""))))-1), IF('To Order'!$A1548=COL"&amp;"UMNS($A1548:I1567), I1547&amp;RIGHT(INDIRECT(ADDRESS(ROW(I1548)-1, 'From Order'!$A1548)), 1), I1547))"),"")</f>
        <v/>
      </c>
    </row>
    <row r="1549">
      <c r="A1549" s="2" t="str">
        <f>IFERROR(__xludf.DUMMYFUNCTION("IF('From Order'!$A1549=COLUMNS($A1549:A1568), LEFT(INDEX(FILTER(A$1:A1548, A$1:A1548&lt;&gt;""""),COUNTA(FILTER(A$1:A1548, A$1:A1548&lt;&gt;""""))), LEN(INDEX(FILTER(A$1:A1548, A$1:A1548&lt;&gt;""""),COUNTA(FILTER(A$1:A1548, A$1:A1548&lt;&gt;""""))))-1), IF('To Order'!$A1549=COL"&amp;"UMNS($A1549:A1568), A1548&amp;RIGHT(INDIRECT(ADDRESS(ROW(A1549)-1, 'From Order'!$A1549)), 1), A1548))"),"MDJMBVRRSDLDTMZHRDCVTSST")</f>
        <v>MDJMBVRRSDLDTMZHRDCVTSST</v>
      </c>
      <c r="B1549" s="2" t="str">
        <f>IFERROR(__xludf.DUMMYFUNCTION("IF('From Order'!$A1549=COLUMNS($A1549:B1568), LEFT(INDEX(FILTER(B$1:B1548, B$1:B1548&lt;&gt;""""),COUNTA(FILTER(B$1:B1548, B$1:B1548&lt;&gt;""""))), LEN(INDEX(FILTER(B$1:B1548, B$1:B1548&lt;&gt;""""),COUNTA(FILTER(B$1:B1548, B$1:B1548&lt;&gt;""""))))-1), IF('To Order'!$A1549=COL"&amp;"UMNS($A1549:B1568), B1548&amp;RIGHT(INDIRECT(ADDRESS(ROW(B1549)-1, 'From Order'!$A1549)), 1), B1548))"),"RBWLDD")</f>
        <v>RBWLDD</v>
      </c>
      <c r="C1549" s="2" t="str">
        <f>IFERROR(__xludf.DUMMYFUNCTION("IF('From Order'!$A1549=COLUMNS($A1549:C1568), LEFT(INDEX(FILTER(C$1:C1548, C$1:C1548&lt;&gt;""""),COUNTA(FILTER(C$1:C1548, C$1:C1548&lt;&gt;""""))), LEN(INDEX(FILTER(C$1:C1548, C$1:C1548&lt;&gt;""""),COUNTA(FILTER(C$1:C1548, C$1:C1548&lt;&gt;""""))))-1), IF('To Order'!$A1549=COL"&amp;"UMNS($A1549:C1568), C1548&amp;RIGHT(INDIRECT(ADDRESS(ROW(C1549)-1, 'From Order'!$A1549)), 1), C1548))"),"TQVQJPP")</f>
        <v>TQVQJPP</v>
      </c>
      <c r="D1549" s="2" t="str">
        <f>IFERROR(__xludf.DUMMYFUNCTION("IF('From Order'!$A1549=COLUMNS($A1549:D1568), LEFT(INDEX(FILTER(D$1:D1548, D$1:D1548&lt;&gt;""""),COUNTA(FILTER(D$1:D1548, D$1:D1548&lt;&gt;""""))), LEN(INDEX(FILTER(D$1:D1548, D$1:D1548&lt;&gt;""""),COUNTA(FILTER(D$1:D1548, D$1:D1548&lt;&gt;""""))))-1), IF('To Order'!$A1549=COL"&amp;"UMNS($A1549:D1568), D1548&amp;RIGHT(INDIRECT(ADDRESS(ROW(D1549)-1, 'From Order'!$A1549)), 1), D1548))"),"CGZCSFHBGJTTPBF")</f>
        <v>CGZCSFHBGJTTPBF</v>
      </c>
      <c r="E1549" s="2" t="str">
        <f>IFERROR(__xludf.DUMMYFUNCTION("IF('From Order'!$A1549=COLUMNS($A1549:E1568), LEFT(INDEX(FILTER(E$1:E1548, E$1:E1548&lt;&gt;""""),COUNTA(FILTER(E$1:E1548, E$1:E1548&lt;&gt;""""))), LEN(INDEX(FILTER(E$1:E1548, E$1:E1548&lt;&gt;""""),COUNTA(FILTER(E$1:E1548, E$1:E1548&lt;&gt;""""))))-1), IF('To Order'!$A1549=COL"&amp;"UMNS($A1549:E1568), E1548&amp;RIGHT(INDIRECT(ADDRESS(ROW(E1549)-1, 'From Order'!$A1549)), 1), E1548))"),"W")</f>
        <v>W</v>
      </c>
      <c r="F1549" s="2" t="str">
        <f>IFERROR(__xludf.DUMMYFUNCTION("IF('From Order'!$A1549=COLUMNS($A1549:F1568), LEFT(INDEX(FILTER(F$1:F1548, F$1:F1548&lt;&gt;""""),COUNTA(FILTER(F$1:F1548, F$1:F1548&lt;&gt;""""))), LEN(INDEX(FILTER(F$1:F1548, F$1:F1548&lt;&gt;""""),COUNTA(FILTER(F$1:F1548, F$1:F1548&lt;&gt;""""))))-1), IF('To Order'!$A1549=COL"&amp;"UMNS($A1549:F1568), F1548&amp;RIGHT(INDIRECT(ADDRESS(ROW(F1549)-1, 'From Order'!$A1549)), 1), F1548))"),"ZRL")</f>
        <v>ZRL</v>
      </c>
      <c r="G1549" s="2" t="str">
        <f>IFERROR(__xludf.DUMMYFUNCTION("IF('From Order'!$A1549=COLUMNS($A1549:G1568), LEFT(INDEX(FILTER(G$1:G1548, G$1:G1548&lt;&gt;""""),COUNTA(FILTER(G$1:G1548, G$1:G1548&lt;&gt;""""))), LEN(INDEX(FILTER(G$1:G1548, G$1:G1548&lt;&gt;""""),COUNTA(FILTER(G$1:G1548, G$1:G1548&lt;&gt;""""))))-1), IF('To Order'!$A1549=COL"&amp;"UMNS($A1549:G1568), G1548&amp;RIGHT(INDIRECT(ADDRESS(ROW(G1549)-1, 'From Order'!$A1549)), 1), G1548))"),"")</f>
        <v/>
      </c>
      <c r="H1549" s="2" t="str">
        <f>IFERROR(__xludf.DUMMYFUNCTION("IF('From Order'!$A1549=COLUMNS($A1549:H1568), LEFT(INDEX(FILTER(H$1:H1548, H$1:H1548&lt;&gt;""""),COUNTA(FILTER(H$1:H1548, H$1:H1548&lt;&gt;""""))), LEN(INDEX(FILTER(H$1:H1548, H$1:H1548&lt;&gt;""""),COUNTA(FILTER(H$1:H1548, H$1:H1548&lt;&gt;""""))))-1), IF('To Order'!$A1549=COL"&amp;"UMNS($A1549:H1568), H1548&amp;RIGHT(INDIRECT(ADDRESS(ROW(H1549)-1, 'From Order'!$A1549)), 1), H1548))"),"")</f>
        <v/>
      </c>
      <c r="I1549" s="2" t="str">
        <f>IFERROR(__xludf.DUMMYFUNCTION("IF('From Order'!$A1549=COLUMNS($A1549:I1568), LEFT(INDEX(FILTER(I$1:I1548, I$1:I1548&lt;&gt;""""),COUNTA(FILTER(I$1:I1548, I$1:I1548&lt;&gt;""""))), LEN(INDEX(FILTER(I$1:I1548, I$1:I1548&lt;&gt;""""),COUNTA(FILTER(I$1:I1548, I$1:I1548&lt;&gt;""""))))-1), IF('To Order'!$A1549=COL"&amp;"UMNS($A1549:I1568), I1548&amp;RIGHT(INDIRECT(ADDRESS(ROW(I1549)-1, 'From Order'!$A1549)), 1), I1548))"),"")</f>
        <v/>
      </c>
    </row>
    <row r="1550">
      <c r="A1550" s="2" t="str">
        <f>IFERROR(__xludf.DUMMYFUNCTION("IF('From Order'!$A1550=COLUMNS($A1550:A1569), LEFT(INDEX(FILTER(A$1:A1549, A$1:A1549&lt;&gt;""""),COUNTA(FILTER(A$1:A1549, A$1:A1549&lt;&gt;""""))), LEN(INDEX(FILTER(A$1:A1549, A$1:A1549&lt;&gt;""""),COUNTA(FILTER(A$1:A1549, A$1:A1549&lt;&gt;""""))))-1), IF('To Order'!$A1550=COL"&amp;"UMNS($A1550:A1569), A1549&amp;RIGHT(INDIRECT(ADDRESS(ROW(A1550)-1, 'From Order'!$A1550)), 1), A1549))"),"MDJMBVRRSDLDTMZHRDCVTSS")</f>
        <v>MDJMBVRRSDLDTMZHRDCVTSS</v>
      </c>
      <c r="B1550" s="2" t="str">
        <f>IFERROR(__xludf.DUMMYFUNCTION("IF('From Order'!$A1550=COLUMNS($A1550:B1569), LEFT(INDEX(FILTER(B$1:B1549, B$1:B1549&lt;&gt;""""),COUNTA(FILTER(B$1:B1549, B$1:B1549&lt;&gt;""""))), LEN(INDEX(FILTER(B$1:B1549, B$1:B1549&lt;&gt;""""),COUNTA(FILTER(B$1:B1549, B$1:B1549&lt;&gt;""""))))-1), IF('To Order'!$A1550=COL"&amp;"UMNS($A1550:B1569), B1549&amp;RIGHT(INDIRECT(ADDRESS(ROW(B1550)-1, 'From Order'!$A1550)), 1), B1549))"),"RBWLDDT")</f>
        <v>RBWLDDT</v>
      </c>
      <c r="C1550" s="2" t="str">
        <f>IFERROR(__xludf.DUMMYFUNCTION("IF('From Order'!$A1550=COLUMNS($A1550:C1569), LEFT(INDEX(FILTER(C$1:C1549, C$1:C1549&lt;&gt;""""),COUNTA(FILTER(C$1:C1549, C$1:C1549&lt;&gt;""""))), LEN(INDEX(FILTER(C$1:C1549, C$1:C1549&lt;&gt;""""),COUNTA(FILTER(C$1:C1549, C$1:C1549&lt;&gt;""""))))-1), IF('To Order'!$A1550=COL"&amp;"UMNS($A1550:C1569), C1549&amp;RIGHT(INDIRECT(ADDRESS(ROW(C1550)-1, 'From Order'!$A1550)), 1), C1549))"),"TQVQJPP")</f>
        <v>TQVQJPP</v>
      </c>
      <c r="D1550" s="2" t="str">
        <f>IFERROR(__xludf.DUMMYFUNCTION("IF('From Order'!$A1550=COLUMNS($A1550:D1569), LEFT(INDEX(FILTER(D$1:D1549, D$1:D1549&lt;&gt;""""),COUNTA(FILTER(D$1:D1549, D$1:D1549&lt;&gt;""""))), LEN(INDEX(FILTER(D$1:D1549, D$1:D1549&lt;&gt;""""),COUNTA(FILTER(D$1:D1549, D$1:D1549&lt;&gt;""""))))-1), IF('To Order'!$A1550=COL"&amp;"UMNS($A1550:D1569), D1549&amp;RIGHT(INDIRECT(ADDRESS(ROW(D1550)-1, 'From Order'!$A1550)), 1), D1549))"),"CGZCSFHBGJTTPBF")</f>
        <v>CGZCSFHBGJTTPBF</v>
      </c>
      <c r="E1550" s="2" t="str">
        <f>IFERROR(__xludf.DUMMYFUNCTION("IF('From Order'!$A1550=COLUMNS($A1550:E1569), LEFT(INDEX(FILTER(E$1:E1549, E$1:E1549&lt;&gt;""""),COUNTA(FILTER(E$1:E1549, E$1:E1549&lt;&gt;""""))), LEN(INDEX(FILTER(E$1:E1549, E$1:E1549&lt;&gt;""""),COUNTA(FILTER(E$1:E1549, E$1:E1549&lt;&gt;""""))))-1), IF('To Order'!$A1550=COL"&amp;"UMNS($A1550:E1569), E1549&amp;RIGHT(INDIRECT(ADDRESS(ROW(E1550)-1, 'From Order'!$A1550)), 1), E1549))"),"W")</f>
        <v>W</v>
      </c>
      <c r="F1550" s="2" t="str">
        <f>IFERROR(__xludf.DUMMYFUNCTION("IF('From Order'!$A1550=COLUMNS($A1550:F1569), LEFT(INDEX(FILTER(F$1:F1549, F$1:F1549&lt;&gt;""""),COUNTA(FILTER(F$1:F1549, F$1:F1549&lt;&gt;""""))), LEN(INDEX(FILTER(F$1:F1549, F$1:F1549&lt;&gt;""""),COUNTA(FILTER(F$1:F1549, F$1:F1549&lt;&gt;""""))))-1), IF('To Order'!$A1550=COL"&amp;"UMNS($A1550:F1569), F1549&amp;RIGHT(INDIRECT(ADDRESS(ROW(F1550)-1, 'From Order'!$A1550)), 1), F1549))"),"ZRL")</f>
        <v>ZRL</v>
      </c>
      <c r="G1550" s="2" t="str">
        <f>IFERROR(__xludf.DUMMYFUNCTION("IF('From Order'!$A1550=COLUMNS($A1550:G1569), LEFT(INDEX(FILTER(G$1:G1549, G$1:G1549&lt;&gt;""""),COUNTA(FILTER(G$1:G1549, G$1:G1549&lt;&gt;""""))), LEN(INDEX(FILTER(G$1:G1549, G$1:G1549&lt;&gt;""""),COUNTA(FILTER(G$1:G1549, G$1:G1549&lt;&gt;""""))))-1), IF('To Order'!$A1550=COL"&amp;"UMNS($A1550:G1569), G1549&amp;RIGHT(INDIRECT(ADDRESS(ROW(G1550)-1, 'From Order'!$A1550)), 1), G1549))"),"")</f>
        <v/>
      </c>
      <c r="H1550" s="2" t="str">
        <f>IFERROR(__xludf.DUMMYFUNCTION("IF('From Order'!$A1550=COLUMNS($A1550:H1569), LEFT(INDEX(FILTER(H$1:H1549, H$1:H1549&lt;&gt;""""),COUNTA(FILTER(H$1:H1549, H$1:H1549&lt;&gt;""""))), LEN(INDEX(FILTER(H$1:H1549, H$1:H1549&lt;&gt;""""),COUNTA(FILTER(H$1:H1549, H$1:H1549&lt;&gt;""""))))-1), IF('To Order'!$A1550=COL"&amp;"UMNS($A1550:H1569), H1549&amp;RIGHT(INDIRECT(ADDRESS(ROW(H1550)-1, 'From Order'!$A1550)), 1), H1549))"),"")</f>
        <v/>
      </c>
      <c r="I1550" s="2" t="str">
        <f>IFERROR(__xludf.DUMMYFUNCTION("IF('From Order'!$A1550=COLUMNS($A1550:I1569), LEFT(INDEX(FILTER(I$1:I1549, I$1:I1549&lt;&gt;""""),COUNTA(FILTER(I$1:I1549, I$1:I1549&lt;&gt;""""))), LEN(INDEX(FILTER(I$1:I1549, I$1:I1549&lt;&gt;""""),COUNTA(FILTER(I$1:I1549, I$1:I1549&lt;&gt;""""))))-1), IF('To Order'!$A1550=COL"&amp;"UMNS($A1550:I1569), I1549&amp;RIGHT(INDIRECT(ADDRESS(ROW(I1550)-1, 'From Order'!$A1550)), 1), I1549))"),"")</f>
        <v/>
      </c>
    </row>
    <row r="1551">
      <c r="A1551" s="2" t="str">
        <f>IFERROR(__xludf.DUMMYFUNCTION("IF('From Order'!$A1551=COLUMNS($A1551:A1570), LEFT(INDEX(FILTER(A$1:A1550, A$1:A1550&lt;&gt;""""),COUNTA(FILTER(A$1:A1550, A$1:A1550&lt;&gt;""""))), LEN(INDEX(FILTER(A$1:A1550, A$1:A1550&lt;&gt;""""),COUNTA(FILTER(A$1:A1550, A$1:A1550&lt;&gt;""""))))-1), IF('To Order'!$A1551=COL"&amp;"UMNS($A1551:A1570), A1550&amp;RIGHT(INDIRECT(ADDRESS(ROW(A1551)-1, 'From Order'!$A1551)), 1), A1550))"),"MDJMBVRRSDLDTMZHRDCVTS")</f>
        <v>MDJMBVRRSDLDTMZHRDCVTS</v>
      </c>
      <c r="B1551" s="2" t="str">
        <f>IFERROR(__xludf.DUMMYFUNCTION("IF('From Order'!$A1551=COLUMNS($A1551:B1570), LEFT(INDEX(FILTER(B$1:B1550, B$1:B1550&lt;&gt;""""),COUNTA(FILTER(B$1:B1550, B$1:B1550&lt;&gt;""""))), LEN(INDEX(FILTER(B$1:B1550, B$1:B1550&lt;&gt;""""),COUNTA(FILTER(B$1:B1550, B$1:B1550&lt;&gt;""""))))-1), IF('To Order'!$A1551=COL"&amp;"UMNS($A1551:B1570), B1550&amp;RIGHT(INDIRECT(ADDRESS(ROW(B1551)-1, 'From Order'!$A1551)), 1), B1550))"),"RBWLDDTS")</f>
        <v>RBWLDDTS</v>
      </c>
      <c r="C1551" s="2" t="str">
        <f>IFERROR(__xludf.DUMMYFUNCTION("IF('From Order'!$A1551=COLUMNS($A1551:C1570), LEFT(INDEX(FILTER(C$1:C1550, C$1:C1550&lt;&gt;""""),COUNTA(FILTER(C$1:C1550, C$1:C1550&lt;&gt;""""))), LEN(INDEX(FILTER(C$1:C1550, C$1:C1550&lt;&gt;""""),COUNTA(FILTER(C$1:C1550, C$1:C1550&lt;&gt;""""))))-1), IF('To Order'!$A1551=COL"&amp;"UMNS($A1551:C1570), C1550&amp;RIGHT(INDIRECT(ADDRESS(ROW(C1551)-1, 'From Order'!$A1551)), 1), C1550))"),"TQVQJPP")</f>
        <v>TQVQJPP</v>
      </c>
      <c r="D1551" s="2" t="str">
        <f>IFERROR(__xludf.DUMMYFUNCTION("IF('From Order'!$A1551=COLUMNS($A1551:D1570), LEFT(INDEX(FILTER(D$1:D1550, D$1:D1550&lt;&gt;""""),COUNTA(FILTER(D$1:D1550, D$1:D1550&lt;&gt;""""))), LEN(INDEX(FILTER(D$1:D1550, D$1:D1550&lt;&gt;""""),COUNTA(FILTER(D$1:D1550, D$1:D1550&lt;&gt;""""))))-1), IF('To Order'!$A1551=COL"&amp;"UMNS($A1551:D1570), D1550&amp;RIGHT(INDIRECT(ADDRESS(ROW(D1551)-1, 'From Order'!$A1551)), 1), D1550))"),"CGZCSFHBGJTTPBF")</f>
        <v>CGZCSFHBGJTTPBF</v>
      </c>
      <c r="E1551" s="2" t="str">
        <f>IFERROR(__xludf.DUMMYFUNCTION("IF('From Order'!$A1551=COLUMNS($A1551:E1570), LEFT(INDEX(FILTER(E$1:E1550, E$1:E1550&lt;&gt;""""),COUNTA(FILTER(E$1:E1550, E$1:E1550&lt;&gt;""""))), LEN(INDEX(FILTER(E$1:E1550, E$1:E1550&lt;&gt;""""),COUNTA(FILTER(E$1:E1550, E$1:E1550&lt;&gt;""""))))-1), IF('To Order'!$A1551=COL"&amp;"UMNS($A1551:E1570), E1550&amp;RIGHT(INDIRECT(ADDRESS(ROW(E1551)-1, 'From Order'!$A1551)), 1), E1550))"),"W")</f>
        <v>W</v>
      </c>
      <c r="F1551" s="2" t="str">
        <f>IFERROR(__xludf.DUMMYFUNCTION("IF('From Order'!$A1551=COLUMNS($A1551:F1570), LEFT(INDEX(FILTER(F$1:F1550, F$1:F1550&lt;&gt;""""),COUNTA(FILTER(F$1:F1550, F$1:F1550&lt;&gt;""""))), LEN(INDEX(FILTER(F$1:F1550, F$1:F1550&lt;&gt;""""),COUNTA(FILTER(F$1:F1550, F$1:F1550&lt;&gt;""""))))-1), IF('To Order'!$A1551=COL"&amp;"UMNS($A1551:F1570), F1550&amp;RIGHT(INDIRECT(ADDRESS(ROW(F1551)-1, 'From Order'!$A1551)), 1), F1550))"),"ZRL")</f>
        <v>ZRL</v>
      </c>
      <c r="G1551" s="2" t="str">
        <f>IFERROR(__xludf.DUMMYFUNCTION("IF('From Order'!$A1551=COLUMNS($A1551:G1570), LEFT(INDEX(FILTER(G$1:G1550, G$1:G1550&lt;&gt;""""),COUNTA(FILTER(G$1:G1550, G$1:G1550&lt;&gt;""""))), LEN(INDEX(FILTER(G$1:G1550, G$1:G1550&lt;&gt;""""),COUNTA(FILTER(G$1:G1550, G$1:G1550&lt;&gt;""""))))-1), IF('To Order'!$A1551=COL"&amp;"UMNS($A1551:G1570), G1550&amp;RIGHT(INDIRECT(ADDRESS(ROW(G1551)-1, 'From Order'!$A1551)), 1), G1550))"),"")</f>
        <v/>
      </c>
      <c r="H1551" s="2" t="str">
        <f>IFERROR(__xludf.DUMMYFUNCTION("IF('From Order'!$A1551=COLUMNS($A1551:H1570), LEFT(INDEX(FILTER(H$1:H1550, H$1:H1550&lt;&gt;""""),COUNTA(FILTER(H$1:H1550, H$1:H1550&lt;&gt;""""))), LEN(INDEX(FILTER(H$1:H1550, H$1:H1550&lt;&gt;""""),COUNTA(FILTER(H$1:H1550, H$1:H1550&lt;&gt;""""))))-1), IF('To Order'!$A1551=COL"&amp;"UMNS($A1551:H1570), H1550&amp;RIGHT(INDIRECT(ADDRESS(ROW(H1551)-1, 'From Order'!$A1551)), 1), H1550))"),"")</f>
        <v/>
      </c>
      <c r="I1551" s="2" t="str">
        <f>IFERROR(__xludf.DUMMYFUNCTION("IF('From Order'!$A1551=COLUMNS($A1551:I1570), LEFT(INDEX(FILTER(I$1:I1550, I$1:I1550&lt;&gt;""""),COUNTA(FILTER(I$1:I1550, I$1:I1550&lt;&gt;""""))), LEN(INDEX(FILTER(I$1:I1550, I$1:I1550&lt;&gt;""""),COUNTA(FILTER(I$1:I1550, I$1:I1550&lt;&gt;""""))))-1), IF('To Order'!$A1551=COL"&amp;"UMNS($A1551:I1570), I1550&amp;RIGHT(INDIRECT(ADDRESS(ROW(I1551)-1, 'From Order'!$A1551)), 1), I1550))"),"")</f>
        <v/>
      </c>
    </row>
    <row r="1552">
      <c r="A1552" s="2" t="str">
        <f>IFERROR(__xludf.DUMMYFUNCTION("IF('From Order'!$A1552=COLUMNS($A1552:A1571), LEFT(INDEX(FILTER(A$1:A1551, A$1:A1551&lt;&gt;""""),COUNTA(FILTER(A$1:A1551, A$1:A1551&lt;&gt;""""))), LEN(INDEX(FILTER(A$1:A1551, A$1:A1551&lt;&gt;""""),COUNTA(FILTER(A$1:A1551, A$1:A1551&lt;&gt;""""))))-1), IF('To Order'!$A1552=COL"&amp;"UMNS($A1552:A1571), A1551&amp;RIGHT(INDIRECT(ADDRESS(ROW(A1552)-1, 'From Order'!$A1552)), 1), A1551))"),"MDJMBVRRSDLDTMZHRDCVT")</f>
        <v>MDJMBVRRSDLDTMZHRDCVT</v>
      </c>
      <c r="B1552" s="2" t="str">
        <f>IFERROR(__xludf.DUMMYFUNCTION("IF('From Order'!$A1552=COLUMNS($A1552:B1571), LEFT(INDEX(FILTER(B$1:B1551, B$1:B1551&lt;&gt;""""),COUNTA(FILTER(B$1:B1551, B$1:B1551&lt;&gt;""""))), LEN(INDEX(FILTER(B$1:B1551, B$1:B1551&lt;&gt;""""),COUNTA(FILTER(B$1:B1551, B$1:B1551&lt;&gt;""""))))-1), IF('To Order'!$A1552=COL"&amp;"UMNS($A1552:B1571), B1551&amp;RIGHT(INDIRECT(ADDRESS(ROW(B1552)-1, 'From Order'!$A1552)), 1), B1551))"),"RBWLDDTSS")</f>
        <v>RBWLDDTSS</v>
      </c>
      <c r="C1552" s="2" t="str">
        <f>IFERROR(__xludf.DUMMYFUNCTION("IF('From Order'!$A1552=COLUMNS($A1552:C1571), LEFT(INDEX(FILTER(C$1:C1551, C$1:C1551&lt;&gt;""""),COUNTA(FILTER(C$1:C1551, C$1:C1551&lt;&gt;""""))), LEN(INDEX(FILTER(C$1:C1551, C$1:C1551&lt;&gt;""""),COUNTA(FILTER(C$1:C1551, C$1:C1551&lt;&gt;""""))))-1), IF('To Order'!$A1552=COL"&amp;"UMNS($A1552:C1571), C1551&amp;RIGHT(INDIRECT(ADDRESS(ROW(C1552)-1, 'From Order'!$A1552)), 1), C1551))"),"TQVQJPP")</f>
        <v>TQVQJPP</v>
      </c>
      <c r="D1552" s="2" t="str">
        <f>IFERROR(__xludf.DUMMYFUNCTION("IF('From Order'!$A1552=COLUMNS($A1552:D1571), LEFT(INDEX(FILTER(D$1:D1551, D$1:D1551&lt;&gt;""""),COUNTA(FILTER(D$1:D1551, D$1:D1551&lt;&gt;""""))), LEN(INDEX(FILTER(D$1:D1551, D$1:D1551&lt;&gt;""""),COUNTA(FILTER(D$1:D1551, D$1:D1551&lt;&gt;""""))))-1), IF('To Order'!$A1552=COL"&amp;"UMNS($A1552:D1571), D1551&amp;RIGHT(INDIRECT(ADDRESS(ROW(D1552)-1, 'From Order'!$A1552)), 1), D1551))"),"CGZCSFHBGJTTPBF")</f>
        <v>CGZCSFHBGJTTPBF</v>
      </c>
      <c r="E1552" s="2" t="str">
        <f>IFERROR(__xludf.DUMMYFUNCTION("IF('From Order'!$A1552=COLUMNS($A1552:E1571), LEFT(INDEX(FILTER(E$1:E1551, E$1:E1551&lt;&gt;""""),COUNTA(FILTER(E$1:E1551, E$1:E1551&lt;&gt;""""))), LEN(INDEX(FILTER(E$1:E1551, E$1:E1551&lt;&gt;""""),COUNTA(FILTER(E$1:E1551, E$1:E1551&lt;&gt;""""))))-1), IF('To Order'!$A1552=COL"&amp;"UMNS($A1552:E1571), E1551&amp;RIGHT(INDIRECT(ADDRESS(ROW(E1552)-1, 'From Order'!$A1552)), 1), E1551))"),"W")</f>
        <v>W</v>
      </c>
      <c r="F1552" s="2" t="str">
        <f>IFERROR(__xludf.DUMMYFUNCTION("IF('From Order'!$A1552=COLUMNS($A1552:F1571), LEFT(INDEX(FILTER(F$1:F1551, F$1:F1551&lt;&gt;""""),COUNTA(FILTER(F$1:F1551, F$1:F1551&lt;&gt;""""))), LEN(INDEX(FILTER(F$1:F1551, F$1:F1551&lt;&gt;""""),COUNTA(FILTER(F$1:F1551, F$1:F1551&lt;&gt;""""))))-1), IF('To Order'!$A1552=COL"&amp;"UMNS($A1552:F1571), F1551&amp;RIGHT(INDIRECT(ADDRESS(ROW(F1552)-1, 'From Order'!$A1552)), 1), F1551))"),"ZRL")</f>
        <v>ZRL</v>
      </c>
      <c r="G1552" s="2" t="str">
        <f>IFERROR(__xludf.DUMMYFUNCTION("IF('From Order'!$A1552=COLUMNS($A1552:G1571), LEFT(INDEX(FILTER(G$1:G1551, G$1:G1551&lt;&gt;""""),COUNTA(FILTER(G$1:G1551, G$1:G1551&lt;&gt;""""))), LEN(INDEX(FILTER(G$1:G1551, G$1:G1551&lt;&gt;""""),COUNTA(FILTER(G$1:G1551, G$1:G1551&lt;&gt;""""))))-1), IF('To Order'!$A1552=COL"&amp;"UMNS($A1552:G1571), G1551&amp;RIGHT(INDIRECT(ADDRESS(ROW(G1552)-1, 'From Order'!$A1552)), 1), G1551))"),"")</f>
        <v/>
      </c>
      <c r="H1552" s="2" t="str">
        <f>IFERROR(__xludf.DUMMYFUNCTION("IF('From Order'!$A1552=COLUMNS($A1552:H1571), LEFT(INDEX(FILTER(H$1:H1551, H$1:H1551&lt;&gt;""""),COUNTA(FILTER(H$1:H1551, H$1:H1551&lt;&gt;""""))), LEN(INDEX(FILTER(H$1:H1551, H$1:H1551&lt;&gt;""""),COUNTA(FILTER(H$1:H1551, H$1:H1551&lt;&gt;""""))))-1), IF('To Order'!$A1552=COL"&amp;"UMNS($A1552:H1571), H1551&amp;RIGHT(INDIRECT(ADDRESS(ROW(H1552)-1, 'From Order'!$A1552)), 1), H1551))"),"")</f>
        <v/>
      </c>
      <c r="I1552" s="2" t="str">
        <f>IFERROR(__xludf.DUMMYFUNCTION("IF('From Order'!$A1552=COLUMNS($A1552:I1571), LEFT(INDEX(FILTER(I$1:I1551, I$1:I1551&lt;&gt;""""),COUNTA(FILTER(I$1:I1551, I$1:I1551&lt;&gt;""""))), LEN(INDEX(FILTER(I$1:I1551, I$1:I1551&lt;&gt;""""),COUNTA(FILTER(I$1:I1551, I$1:I1551&lt;&gt;""""))))-1), IF('To Order'!$A1552=COL"&amp;"UMNS($A1552:I1571), I1551&amp;RIGHT(INDIRECT(ADDRESS(ROW(I1552)-1, 'From Order'!$A1552)), 1), I1551))"),"")</f>
        <v/>
      </c>
    </row>
    <row r="1553">
      <c r="A1553" s="2" t="str">
        <f>IFERROR(__xludf.DUMMYFUNCTION("IF('From Order'!$A1553=COLUMNS($A1553:A1572), LEFT(INDEX(FILTER(A$1:A1552, A$1:A1552&lt;&gt;""""),COUNTA(FILTER(A$1:A1552, A$1:A1552&lt;&gt;""""))), LEN(INDEX(FILTER(A$1:A1552, A$1:A1552&lt;&gt;""""),COUNTA(FILTER(A$1:A1552, A$1:A1552&lt;&gt;""""))))-1), IF('To Order'!$A1553=COL"&amp;"UMNS($A1553:A1572), A1552&amp;RIGHT(INDIRECT(ADDRESS(ROW(A1553)-1, 'From Order'!$A1553)), 1), A1552))"),"MDJMBVRRSDLDTMZHRDCVT")</f>
        <v>MDJMBVRRSDLDTMZHRDCVT</v>
      </c>
      <c r="B1553" s="2" t="str">
        <f>IFERROR(__xludf.DUMMYFUNCTION("IF('From Order'!$A1553=COLUMNS($A1553:B1572), LEFT(INDEX(FILTER(B$1:B1552, B$1:B1552&lt;&gt;""""),COUNTA(FILTER(B$1:B1552, B$1:B1552&lt;&gt;""""))), LEN(INDEX(FILTER(B$1:B1552, B$1:B1552&lt;&gt;""""),COUNTA(FILTER(B$1:B1552, B$1:B1552&lt;&gt;""""))))-1), IF('To Order'!$A1553=COL"&amp;"UMNS($A1553:B1572), B1552&amp;RIGHT(INDIRECT(ADDRESS(ROW(B1553)-1, 'From Order'!$A1553)), 1), B1552))"),"RBWLDDTSS")</f>
        <v>RBWLDDTSS</v>
      </c>
      <c r="C1553" s="2" t="str">
        <f>IFERROR(__xludf.DUMMYFUNCTION("IF('From Order'!$A1553=COLUMNS($A1553:C1572), LEFT(INDEX(FILTER(C$1:C1552, C$1:C1552&lt;&gt;""""),COUNTA(FILTER(C$1:C1552, C$1:C1552&lt;&gt;""""))), LEN(INDEX(FILTER(C$1:C1552, C$1:C1552&lt;&gt;""""),COUNTA(FILTER(C$1:C1552, C$1:C1552&lt;&gt;""""))))-1), IF('To Order'!$A1553=COL"&amp;"UMNS($A1553:C1572), C1552&amp;RIGHT(INDIRECT(ADDRESS(ROW(C1553)-1, 'From Order'!$A1553)), 1), C1552))"),"TQVQJPP")</f>
        <v>TQVQJPP</v>
      </c>
      <c r="D1553" s="2" t="str">
        <f>IFERROR(__xludf.DUMMYFUNCTION("IF('From Order'!$A1553=COLUMNS($A1553:D1572), LEFT(INDEX(FILTER(D$1:D1552, D$1:D1552&lt;&gt;""""),COUNTA(FILTER(D$1:D1552, D$1:D1552&lt;&gt;""""))), LEN(INDEX(FILTER(D$1:D1552, D$1:D1552&lt;&gt;""""),COUNTA(FILTER(D$1:D1552, D$1:D1552&lt;&gt;""""))))-1), IF('To Order'!$A1553=COL"&amp;"UMNS($A1553:D1572), D1552&amp;RIGHT(INDIRECT(ADDRESS(ROW(D1553)-1, 'From Order'!$A1553)), 1), D1552))"),"CGZCSFHBGJTTPBFL")</f>
        <v>CGZCSFHBGJTTPBFL</v>
      </c>
      <c r="E1553" s="2" t="str">
        <f>IFERROR(__xludf.DUMMYFUNCTION("IF('From Order'!$A1553=COLUMNS($A1553:E1572), LEFT(INDEX(FILTER(E$1:E1552, E$1:E1552&lt;&gt;""""),COUNTA(FILTER(E$1:E1552, E$1:E1552&lt;&gt;""""))), LEN(INDEX(FILTER(E$1:E1552, E$1:E1552&lt;&gt;""""),COUNTA(FILTER(E$1:E1552, E$1:E1552&lt;&gt;""""))))-1), IF('To Order'!$A1553=COL"&amp;"UMNS($A1553:E1572), E1552&amp;RIGHT(INDIRECT(ADDRESS(ROW(E1553)-1, 'From Order'!$A1553)), 1), E1552))"),"W")</f>
        <v>W</v>
      </c>
      <c r="F1553" s="2" t="str">
        <f>IFERROR(__xludf.DUMMYFUNCTION("IF('From Order'!$A1553=COLUMNS($A1553:F1572), LEFT(INDEX(FILTER(F$1:F1552, F$1:F1552&lt;&gt;""""),COUNTA(FILTER(F$1:F1552, F$1:F1552&lt;&gt;""""))), LEN(INDEX(FILTER(F$1:F1552, F$1:F1552&lt;&gt;""""),COUNTA(FILTER(F$1:F1552, F$1:F1552&lt;&gt;""""))))-1), IF('To Order'!$A1553=COL"&amp;"UMNS($A1553:F1572), F1552&amp;RIGHT(INDIRECT(ADDRESS(ROW(F1553)-1, 'From Order'!$A1553)), 1), F1552))"),"ZR")</f>
        <v>ZR</v>
      </c>
      <c r="G1553" s="2" t="str">
        <f>IFERROR(__xludf.DUMMYFUNCTION("IF('From Order'!$A1553=COLUMNS($A1553:G1572), LEFT(INDEX(FILTER(G$1:G1552, G$1:G1552&lt;&gt;""""),COUNTA(FILTER(G$1:G1552, G$1:G1552&lt;&gt;""""))), LEN(INDEX(FILTER(G$1:G1552, G$1:G1552&lt;&gt;""""),COUNTA(FILTER(G$1:G1552, G$1:G1552&lt;&gt;""""))))-1), IF('To Order'!$A1553=COL"&amp;"UMNS($A1553:G1572), G1552&amp;RIGHT(INDIRECT(ADDRESS(ROW(G1553)-1, 'From Order'!$A1553)), 1), G1552))"),"")</f>
        <v/>
      </c>
      <c r="H1553" s="2" t="str">
        <f>IFERROR(__xludf.DUMMYFUNCTION("IF('From Order'!$A1553=COLUMNS($A1553:H1572), LEFT(INDEX(FILTER(H$1:H1552, H$1:H1552&lt;&gt;""""),COUNTA(FILTER(H$1:H1552, H$1:H1552&lt;&gt;""""))), LEN(INDEX(FILTER(H$1:H1552, H$1:H1552&lt;&gt;""""),COUNTA(FILTER(H$1:H1552, H$1:H1552&lt;&gt;""""))))-1), IF('To Order'!$A1553=COL"&amp;"UMNS($A1553:H1572), H1552&amp;RIGHT(INDIRECT(ADDRESS(ROW(H1553)-1, 'From Order'!$A1553)), 1), H1552))"),"")</f>
        <v/>
      </c>
      <c r="I1553" s="2" t="str">
        <f>IFERROR(__xludf.DUMMYFUNCTION("IF('From Order'!$A1553=COLUMNS($A1553:I1572), LEFT(INDEX(FILTER(I$1:I1552, I$1:I1552&lt;&gt;""""),COUNTA(FILTER(I$1:I1552, I$1:I1552&lt;&gt;""""))), LEN(INDEX(FILTER(I$1:I1552, I$1:I1552&lt;&gt;""""),COUNTA(FILTER(I$1:I1552, I$1:I1552&lt;&gt;""""))))-1), IF('To Order'!$A1553=COL"&amp;"UMNS($A1553:I1572), I1552&amp;RIGHT(INDIRECT(ADDRESS(ROW(I1553)-1, 'From Order'!$A1553)), 1), I1552))"),"")</f>
        <v/>
      </c>
    </row>
    <row r="1554">
      <c r="A1554" s="2" t="str">
        <f>IFERROR(__xludf.DUMMYFUNCTION("IF('From Order'!$A1554=COLUMNS($A1554:A1573), LEFT(INDEX(FILTER(A$1:A1553, A$1:A1553&lt;&gt;""""),COUNTA(FILTER(A$1:A1553, A$1:A1553&lt;&gt;""""))), LEN(INDEX(FILTER(A$1:A1553, A$1:A1553&lt;&gt;""""),COUNTA(FILTER(A$1:A1553, A$1:A1553&lt;&gt;""""))))-1), IF('To Order'!$A1554=COL"&amp;"UMNS($A1554:A1573), A1553&amp;RIGHT(INDIRECT(ADDRESS(ROW(A1554)-1, 'From Order'!$A1554)), 1), A1553))"),"MDJMBVRRSDLDTMZHRDCVT")</f>
        <v>MDJMBVRRSDLDTMZHRDCVT</v>
      </c>
      <c r="B1554" s="2" t="str">
        <f>IFERROR(__xludf.DUMMYFUNCTION("IF('From Order'!$A1554=COLUMNS($A1554:B1573), LEFT(INDEX(FILTER(B$1:B1553, B$1:B1553&lt;&gt;""""),COUNTA(FILTER(B$1:B1553, B$1:B1553&lt;&gt;""""))), LEN(INDEX(FILTER(B$1:B1553, B$1:B1553&lt;&gt;""""),COUNTA(FILTER(B$1:B1553, B$1:B1553&lt;&gt;""""))))-1), IF('To Order'!$A1554=COL"&amp;"UMNS($A1554:B1573), B1553&amp;RIGHT(INDIRECT(ADDRESS(ROW(B1554)-1, 'From Order'!$A1554)), 1), B1553))"),"RBWLDDTS")</f>
        <v>RBWLDDTS</v>
      </c>
      <c r="C1554" s="2" t="str">
        <f>IFERROR(__xludf.DUMMYFUNCTION("IF('From Order'!$A1554=COLUMNS($A1554:C1573), LEFT(INDEX(FILTER(C$1:C1553, C$1:C1553&lt;&gt;""""),COUNTA(FILTER(C$1:C1553, C$1:C1553&lt;&gt;""""))), LEN(INDEX(FILTER(C$1:C1553, C$1:C1553&lt;&gt;""""),COUNTA(FILTER(C$1:C1553, C$1:C1553&lt;&gt;""""))))-1), IF('To Order'!$A1554=COL"&amp;"UMNS($A1554:C1573), C1553&amp;RIGHT(INDIRECT(ADDRESS(ROW(C1554)-1, 'From Order'!$A1554)), 1), C1553))"),"TQVQJPP")</f>
        <v>TQVQJPP</v>
      </c>
      <c r="D1554" s="2" t="str">
        <f>IFERROR(__xludf.DUMMYFUNCTION("IF('From Order'!$A1554=COLUMNS($A1554:D1573), LEFT(INDEX(FILTER(D$1:D1553, D$1:D1553&lt;&gt;""""),COUNTA(FILTER(D$1:D1553, D$1:D1553&lt;&gt;""""))), LEN(INDEX(FILTER(D$1:D1553, D$1:D1553&lt;&gt;""""),COUNTA(FILTER(D$1:D1553, D$1:D1553&lt;&gt;""""))))-1), IF('To Order'!$A1554=COL"&amp;"UMNS($A1554:D1573), D1553&amp;RIGHT(INDIRECT(ADDRESS(ROW(D1554)-1, 'From Order'!$A1554)), 1), D1553))"),"CGZCSFHBGJTTPBFL")</f>
        <v>CGZCSFHBGJTTPBFL</v>
      </c>
      <c r="E1554" s="2" t="str">
        <f>IFERROR(__xludf.DUMMYFUNCTION("IF('From Order'!$A1554=COLUMNS($A1554:E1573), LEFT(INDEX(FILTER(E$1:E1553, E$1:E1553&lt;&gt;""""),COUNTA(FILTER(E$1:E1553, E$1:E1553&lt;&gt;""""))), LEN(INDEX(FILTER(E$1:E1553, E$1:E1553&lt;&gt;""""),COUNTA(FILTER(E$1:E1553, E$1:E1553&lt;&gt;""""))))-1), IF('To Order'!$A1554=COL"&amp;"UMNS($A1554:E1573), E1553&amp;RIGHT(INDIRECT(ADDRESS(ROW(E1554)-1, 'From Order'!$A1554)), 1), E1553))"),"W")</f>
        <v>W</v>
      </c>
      <c r="F1554" s="2" t="str">
        <f>IFERROR(__xludf.DUMMYFUNCTION("IF('From Order'!$A1554=COLUMNS($A1554:F1573), LEFT(INDEX(FILTER(F$1:F1553, F$1:F1553&lt;&gt;""""),COUNTA(FILTER(F$1:F1553, F$1:F1553&lt;&gt;""""))), LEN(INDEX(FILTER(F$1:F1553, F$1:F1553&lt;&gt;""""),COUNTA(FILTER(F$1:F1553, F$1:F1553&lt;&gt;""""))))-1), IF('To Order'!$A1554=COL"&amp;"UMNS($A1554:F1573), F1553&amp;RIGHT(INDIRECT(ADDRESS(ROW(F1554)-1, 'From Order'!$A1554)), 1), F1553))"),"ZR")</f>
        <v>ZR</v>
      </c>
      <c r="G1554" s="2" t="str">
        <f>IFERROR(__xludf.DUMMYFUNCTION("IF('From Order'!$A1554=COLUMNS($A1554:G1573), LEFT(INDEX(FILTER(G$1:G1553, G$1:G1553&lt;&gt;""""),COUNTA(FILTER(G$1:G1553, G$1:G1553&lt;&gt;""""))), LEN(INDEX(FILTER(G$1:G1553, G$1:G1553&lt;&gt;""""),COUNTA(FILTER(G$1:G1553, G$1:G1553&lt;&gt;""""))))-1), IF('To Order'!$A1554=COL"&amp;"UMNS($A1554:G1573), G1553&amp;RIGHT(INDIRECT(ADDRESS(ROW(G1554)-1, 'From Order'!$A1554)), 1), G1553))"),"S")</f>
        <v>S</v>
      </c>
      <c r="H1554" s="2" t="str">
        <f>IFERROR(__xludf.DUMMYFUNCTION("IF('From Order'!$A1554=COLUMNS($A1554:H1573), LEFT(INDEX(FILTER(H$1:H1553, H$1:H1553&lt;&gt;""""),COUNTA(FILTER(H$1:H1553, H$1:H1553&lt;&gt;""""))), LEN(INDEX(FILTER(H$1:H1553, H$1:H1553&lt;&gt;""""),COUNTA(FILTER(H$1:H1553, H$1:H1553&lt;&gt;""""))))-1), IF('To Order'!$A1554=COL"&amp;"UMNS($A1554:H1573), H1553&amp;RIGHT(INDIRECT(ADDRESS(ROW(H1554)-1, 'From Order'!$A1554)), 1), H1553))"),"")</f>
        <v/>
      </c>
      <c r="I1554" s="2" t="str">
        <f>IFERROR(__xludf.DUMMYFUNCTION("IF('From Order'!$A1554=COLUMNS($A1554:I1573), LEFT(INDEX(FILTER(I$1:I1553, I$1:I1553&lt;&gt;""""),COUNTA(FILTER(I$1:I1553, I$1:I1553&lt;&gt;""""))), LEN(INDEX(FILTER(I$1:I1553, I$1:I1553&lt;&gt;""""),COUNTA(FILTER(I$1:I1553, I$1:I1553&lt;&gt;""""))))-1), IF('To Order'!$A1554=COL"&amp;"UMNS($A1554:I1573), I1553&amp;RIGHT(INDIRECT(ADDRESS(ROW(I1554)-1, 'From Order'!$A1554)), 1), I1553))"),"")</f>
        <v/>
      </c>
    </row>
    <row r="1555">
      <c r="A1555" s="2" t="str">
        <f>IFERROR(__xludf.DUMMYFUNCTION("IF('From Order'!$A1555=COLUMNS($A1555:A1574), LEFT(INDEX(FILTER(A$1:A1554, A$1:A1554&lt;&gt;""""),COUNTA(FILTER(A$1:A1554, A$1:A1554&lt;&gt;""""))), LEN(INDEX(FILTER(A$1:A1554, A$1:A1554&lt;&gt;""""),COUNTA(FILTER(A$1:A1554, A$1:A1554&lt;&gt;""""))))-1), IF('To Order'!$A1555=COL"&amp;"UMNS($A1555:A1574), A1554&amp;RIGHT(INDIRECT(ADDRESS(ROW(A1555)-1, 'From Order'!$A1555)), 1), A1554))"),"MDJMBVRRSDLDTMZHRDCVT")</f>
        <v>MDJMBVRRSDLDTMZHRDCVT</v>
      </c>
      <c r="B1555" s="2" t="str">
        <f>IFERROR(__xludf.DUMMYFUNCTION("IF('From Order'!$A1555=COLUMNS($A1555:B1574), LEFT(INDEX(FILTER(B$1:B1554, B$1:B1554&lt;&gt;""""),COUNTA(FILTER(B$1:B1554, B$1:B1554&lt;&gt;""""))), LEN(INDEX(FILTER(B$1:B1554, B$1:B1554&lt;&gt;""""),COUNTA(FILTER(B$1:B1554, B$1:B1554&lt;&gt;""""))))-1), IF('To Order'!$A1555=COL"&amp;"UMNS($A1555:B1574), B1554&amp;RIGHT(INDIRECT(ADDRESS(ROW(B1555)-1, 'From Order'!$A1555)), 1), B1554))"),"RBWLDDT")</f>
        <v>RBWLDDT</v>
      </c>
      <c r="C1555" s="2" t="str">
        <f>IFERROR(__xludf.DUMMYFUNCTION("IF('From Order'!$A1555=COLUMNS($A1555:C1574), LEFT(INDEX(FILTER(C$1:C1554, C$1:C1554&lt;&gt;""""),COUNTA(FILTER(C$1:C1554, C$1:C1554&lt;&gt;""""))), LEN(INDEX(FILTER(C$1:C1554, C$1:C1554&lt;&gt;""""),COUNTA(FILTER(C$1:C1554, C$1:C1554&lt;&gt;""""))))-1), IF('To Order'!$A1555=COL"&amp;"UMNS($A1555:C1574), C1554&amp;RIGHT(INDIRECT(ADDRESS(ROW(C1555)-1, 'From Order'!$A1555)), 1), C1554))"),"TQVQJPP")</f>
        <v>TQVQJPP</v>
      </c>
      <c r="D1555" s="2" t="str">
        <f>IFERROR(__xludf.DUMMYFUNCTION("IF('From Order'!$A1555=COLUMNS($A1555:D1574), LEFT(INDEX(FILTER(D$1:D1554, D$1:D1554&lt;&gt;""""),COUNTA(FILTER(D$1:D1554, D$1:D1554&lt;&gt;""""))), LEN(INDEX(FILTER(D$1:D1554, D$1:D1554&lt;&gt;""""),COUNTA(FILTER(D$1:D1554, D$1:D1554&lt;&gt;""""))))-1), IF('To Order'!$A1555=COL"&amp;"UMNS($A1555:D1574), D1554&amp;RIGHT(INDIRECT(ADDRESS(ROW(D1555)-1, 'From Order'!$A1555)), 1), D1554))"),"CGZCSFHBGJTTPBFL")</f>
        <v>CGZCSFHBGJTTPBFL</v>
      </c>
      <c r="E1555" s="2" t="str">
        <f>IFERROR(__xludf.DUMMYFUNCTION("IF('From Order'!$A1555=COLUMNS($A1555:E1574), LEFT(INDEX(FILTER(E$1:E1554, E$1:E1554&lt;&gt;""""),COUNTA(FILTER(E$1:E1554, E$1:E1554&lt;&gt;""""))), LEN(INDEX(FILTER(E$1:E1554, E$1:E1554&lt;&gt;""""),COUNTA(FILTER(E$1:E1554, E$1:E1554&lt;&gt;""""))))-1), IF('To Order'!$A1555=COL"&amp;"UMNS($A1555:E1574), E1554&amp;RIGHT(INDIRECT(ADDRESS(ROW(E1555)-1, 'From Order'!$A1555)), 1), E1554))"),"W")</f>
        <v>W</v>
      </c>
      <c r="F1555" s="2" t="str">
        <f>IFERROR(__xludf.DUMMYFUNCTION("IF('From Order'!$A1555=COLUMNS($A1555:F1574), LEFT(INDEX(FILTER(F$1:F1554, F$1:F1554&lt;&gt;""""),COUNTA(FILTER(F$1:F1554, F$1:F1554&lt;&gt;""""))), LEN(INDEX(FILTER(F$1:F1554, F$1:F1554&lt;&gt;""""),COUNTA(FILTER(F$1:F1554, F$1:F1554&lt;&gt;""""))))-1), IF('To Order'!$A1555=COL"&amp;"UMNS($A1555:F1574), F1554&amp;RIGHT(INDIRECT(ADDRESS(ROW(F1555)-1, 'From Order'!$A1555)), 1), F1554))"),"ZR")</f>
        <v>ZR</v>
      </c>
      <c r="G1555" s="2" t="str">
        <f>IFERROR(__xludf.DUMMYFUNCTION("IF('From Order'!$A1555=COLUMNS($A1555:G1574), LEFT(INDEX(FILTER(G$1:G1554, G$1:G1554&lt;&gt;""""),COUNTA(FILTER(G$1:G1554, G$1:G1554&lt;&gt;""""))), LEN(INDEX(FILTER(G$1:G1554, G$1:G1554&lt;&gt;""""),COUNTA(FILTER(G$1:G1554, G$1:G1554&lt;&gt;""""))))-1), IF('To Order'!$A1555=COL"&amp;"UMNS($A1555:G1574), G1554&amp;RIGHT(INDIRECT(ADDRESS(ROW(G1555)-1, 'From Order'!$A1555)), 1), G1554))"),"SS")</f>
        <v>SS</v>
      </c>
      <c r="H1555" s="2" t="str">
        <f>IFERROR(__xludf.DUMMYFUNCTION("IF('From Order'!$A1555=COLUMNS($A1555:H1574), LEFT(INDEX(FILTER(H$1:H1554, H$1:H1554&lt;&gt;""""),COUNTA(FILTER(H$1:H1554, H$1:H1554&lt;&gt;""""))), LEN(INDEX(FILTER(H$1:H1554, H$1:H1554&lt;&gt;""""),COUNTA(FILTER(H$1:H1554, H$1:H1554&lt;&gt;""""))))-1), IF('To Order'!$A1555=COL"&amp;"UMNS($A1555:H1574), H1554&amp;RIGHT(INDIRECT(ADDRESS(ROW(H1555)-1, 'From Order'!$A1555)), 1), H1554))"),"")</f>
        <v/>
      </c>
      <c r="I1555" s="2" t="str">
        <f>IFERROR(__xludf.DUMMYFUNCTION("IF('From Order'!$A1555=COLUMNS($A1555:I1574), LEFT(INDEX(FILTER(I$1:I1554, I$1:I1554&lt;&gt;""""),COUNTA(FILTER(I$1:I1554, I$1:I1554&lt;&gt;""""))), LEN(INDEX(FILTER(I$1:I1554, I$1:I1554&lt;&gt;""""),COUNTA(FILTER(I$1:I1554, I$1:I1554&lt;&gt;""""))))-1), IF('To Order'!$A1555=COL"&amp;"UMNS($A1555:I1574), I1554&amp;RIGHT(INDIRECT(ADDRESS(ROW(I1555)-1, 'From Order'!$A1555)), 1), I1554))"),"")</f>
        <v/>
      </c>
    </row>
    <row r="1556">
      <c r="A1556" s="2" t="str">
        <f>IFERROR(__xludf.DUMMYFUNCTION("IF('From Order'!$A1556=COLUMNS($A1556:A1575), LEFT(INDEX(FILTER(A$1:A1555, A$1:A1555&lt;&gt;""""),COUNTA(FILTER(A$1:A1555, A$1:A1555&lt;&gt;""""))), LEN(INDEX(FILTER(A$1:A1555, A$1:A1555&lt;&gt;""""),COUNTA(FILTER(A$1:A1555, A$1:A1555&lt;&gt;""""))))-1), IF('To Order'!$A1556=COL"&amp;"UMNS($A1556:A1575), A1555&amp;RIGHT(INDIRECT(ADDRESS(ROW(A1556)-1, 'From Order'!$A1556)), 1), A1555))"),"MDJMBVRRSDLDTMZHRDCVT")</f>
        <v>MDJMBVRRSDLDTMZHRDCVT</v>
      </c>
      <c r="B1556" s="2" t="str">
        <f>IFERROR(__xludf.DUMMYFUNCTION("IF('From Order'!$A1556=COLUMNS($A1556:B1575), LEFT(INDEX(FILTER(B$1:B1555, B$1:B1555&lt;&gt;""""),COUNTA(FILTER(B$1:B1555, B$1:B1555&lt;&gt;""""))), LEN(INDEX(FILTER(B$1:B1555, B$1:B1555&lt;&gt;""""),COUNTA(FILTER(B$1:B1555, B$1:B1555&lt;&gt;""""))))-1), IF('To Order'!$A1556=COL"&amp;"UMNS($A1556:B1575), B1555&amp;RIGHT(INDIRECT(ADDRESS(ROW(B1556)-1, 'From Order'!$A1556)), 1), B1555))"),"RBWLDD")</f>
        <v>RBWLDD</v>
      </c>
      <c r="C1556" s="2" t="str">
        <f>IFERROR(__xludf.DUMMYFUNCTION("IF('From Order'!$A1556=COLUMNS($A1556:C1575), LEFT(INDEX(FILTER(C$1:C1555, C$1:C1555&lt;&gt;""""),COUNTA(FILTER(C$1:C1555, C$1:C1555&lt;&gt;""""))), LEN(INDEX(FILTER(C$1:C1555, C$1:C1555&lt;&gt;""""),COUNTA(FILTER(C$1:C1555, C$1:C1555&lt;&gt;""""))))-1), IF('To Order'!$A1556=COL"&amp;"UMNS($A1556:C1575), C1555&amp;RIGHT(INDIRECT(ADDRESS(ROW(C1556)-1, 'From Order'!$A1556)), 1), C1555))"),"TQVQJPP")</f>
        <v>TQVQJPP</v>
      </c>
      <c r="D1556" s="2" t="str">
        <f>IFERROR(__xludf.DUMMYFUNCTION("IF('From Order'!$A1556=COLUMNS($A1556:D1575), LEFT(INDEX(FILTER(D$1:D1555, D$1:D1555&lt;&gt;""""),COUNTA(FILTER(D$1:D1555, D$1:D1555&lt;&gt;""""))), LEN(INDEX(FILTER(D$1:D1555, D$1:D1555&lt;&gt;""""),COUNTA(FILTER(D$1:D1555, D$1:D1555&lt;&gt;""""))))-1), IF('To Order'!$A1556=COL"&amp;"UMNS($A1556:D1575), D1555&amp;RIGHT(INDIRECT(ADDRESS(ROW(D1556)-1, 'From Order'!$A1556)), 1), D1555))"),"CGZCSFHBGJTTPBFL")</f>
        <v>CGZCSFHBGJTTPBFL</v>
      </c>
      <c r="E1556" s="2" t="str">
        <f>IFERROR(__xludf.DUMMYFUNCTION("IF('From Order'!$A1556=COLUMNS($A1556:E1575), LEFT(INDEX(FILTER(E$1:E1555, E$1:E1555&lt;&gt;""""),COUNTA(FILTER(E$1:E1555, E$1:E1555&lt;&gt;""""))), LEN(INDEX(FILTER(E$1:E1555, E$1:E1555&lt;&gt;""""),COUNTA(FILTER(E$1:E1555, E$1:E1555&lt;&gt;""""))))-1), IF('To Order'!$A1556=COL"&amp;"UMNS($A1556:E1575), E1555&amp;RIGHT(INDIRECT(ADDRESS(ROW(E1556)-1, 'From Order'!$A1556)), 1), E1555))"),"W")</f>
        <v>W</v>
      </c>
      <c r="F1556" s="2" t="str">
        <f>IFERROR(__xludf.DUMMYFUNCTION("IF('From Order'!$A1556=COLUMNS($A1556:F1575), LEFT(INDEX(FILTER(F$1:F1555, F$1:F1555&lt;&gt;""""),COUNTA(FILTER(F$1:F1555, F$1:F1555&lt;&gt;""""))), LEN(INDEX(FILTER(F$1:F1555, F$1:F1555&lt;&gt;""""),COUNTA(FILTER(F$1:F1555, F$1:F1555&lt;&gt;""""))))-1), IF('To Order'!$A1556=COL"&amp;"UMNS($A1556:F1575), F1555&amp;RIGHT(INDIRECT(ADDRESS(ROW(F1556)-1, 'From Order'!$A1556)), 1), F1555))"),"ZR")</f>
        <v>ZR</v>
      </c>
      <c r="G1556" s="2" t="str">
        <f>IFERROR(__xludf.DUMMYFUNCTION("IF('From Order'!$A1556=COLUMNS($A1556:G1575), LEFT(INDEX(FILTER(G$1:G1555, G$1:G1555&lt;&gt;""""),COUNTA(FILTER(G$1:G1555, G$1:G1555&lt;&gt;""""))), LEN(INDEX(FILTER(G$1:G1555, G$1:G1555&lt;&gt;""""),COUNTA(FILTER(G$1:G1555, G$1:G1555&lt;&gt;""""))))-1), IF('To Order'!$A1556=COL"&amp;"UMNS($A1556:G1575), G1555&amp;RIGHT(INDIRECT(ADDRESS(ROW(G1556)-1, 'From Order'!$A1556)), 1), G1555))"),"SST")</f>
        <v>SST</v>
      </c>
      <c r="H1556" s="2" t="str">
        <f>IFERROR(__xludf.DUMMYFUNCTION("IF('From Order'!$A1556=COLUMNS($A1556:H1575), LEFT(INDEX(FILTER(H$1:H1555, H$1:H1555&lt;&gt;""""),COUNTA(FILTER(H$1:H1555, H$1:H1555&lt;&gt;""""))), LEN(INDEX(FILTER(H$1:H1555, H$1:H1555&lt;&gt;""""),COUNTA(FILTER(H$1:H1555, H$1:H1555&lt;&gt;""""))))-1), IF('To Order'!$A1556=COL"&amp;"UMNS($A1556:H1575), H1555&amp;RIGHT(INDIRECT(ADDRESS(ROW(H1556)-1, 'From Order'!$A1556)), 1), H1555))"),"")</f>
        <v/>
      </c>
      <c r="I1556" s="2" t="str">
        <f>IFERROR(__xludf.DUMMYFUNCTION("IF('From Order'!$A1556=COLUMNS($A1556:I1575), LEFT(INDEX(FILTER(I$1:I1555, I$1:I1555&lt;&gt;""""),COUNTA(FILTER(I$1:I1555, I$1:I1555&lt;&gt;""""))), LEN(INDEX(FILTER(I$1:I1555, I$1:I1555&lt;&gt;""""),COUNTA(FILTER(I$1:I1555, I$1:I1555&lt;&gt;""""))))-1), IF('To Order'!$A1556=COL"&amp;"UMNS($A1556:I1575), I1555&amp;RIGHT(INDIRECT(ADDRESS(ROW(I1556)-1, 'From Order'!$A1556)), 1), I1555))"),"")</f>
        <v/>
      </c>
    </row>
    <row r="1557">
      <c r="A1557" s="2" t="str">
        <f>IFERROR(__xludf.DUMMYFUNCTION("IF('From Order'!$A1557=COLUMNS($A1557:A1576), LEFT(INDEX(FILTER(A$1:A1556, A$1:A1556&lt;&gt;""""),COUNTA(FILTER(A$1:A1556, A$1:A1556&lt;&gt;""""))), LEN(INDEX(FILTER(A$1:A1556, A$1:A1556&lt;&gt;""""),COUNTA(FILTER(A$1:A1556, A$1:A1556&lt;&gt;""""))))-1), IF('To Order'!$A1557=COL"&amp;"UMNS($A1557:A1576), A1556&amp;RIGHT(INDIRECT(ADDRESS(ROW(A1557)-1, 'From Order'!$A1557)), 1), A1556))"),"MDJMBVRRSDLDTMZHRDCVT")</f>
        <v>MDJMBVRRSDLDTMZHRDCVT</v>
      </c>
      <c r="B1557" s="2" t="str">
        <f>IFERROR(__xludf.DUMMYFUNCTION("IF('From Order'!$A1557=COLUMNS($A1557:B1576), LEFT(INDEX(FILTER(B$1:B1556, B$1:B1556&lt;&gt;""""),COUNTA(FILTER(B$1:B1556, B$1:B1556&lt;&gt;""""))), LEN(INDEX(FILTER(B$1:B1556, B$1:B1556&lt;&gt;""""),COUNTA(FILTER(B$1:B1556, B$1:B1556&lt;&gt;""""))))-1), IF('To Order'!$A1557=COL"&amp;"UMNS($A1557:B1576), B1556&amp;RIGHT(INDIRECT(ADDRESS(ROW(B1557)-1, 'From Order'!$A1557)), 1), B1556))"),"RBWLD")</f>
        <v>RBWLD</v>
      </c>
      <c r="C1557" s="2" t="str">
        <f>IFERROR(__xludf.DUMMYFUNCTION("IF('From Order'!$A1557=COLUMNS($A1557:C1576), LEFT(INDEX(FILTER(C$1:C1556, C$1:C1556&lt;&gt;""""),COUNTA(FILTER(C$1:C1556, C$1:C1556&lt;&gt;""""))), LEN(INDEX(FILTER(C$1:C1556, C$1:C1556&lt;&gt;""""),COUNTA(FILTER(C$1:C1556, C$1:C1556&lt;&gt;""""))))-1), IF('To Order'!$A1557=COL"&amp;"UMNS($A1557:C1576), C1556&amp;RIGHT(INDIRECT(ADDRESS(ROW(C1557)-1, 'From Order'!$A1557)), 1), C1556))"),"TQVQJPP")</f>
        <v>TQVQJPP</v>
      </c>
      <c r="D1557" s="2" t="str">
        <f>IFERROR(__xludf.DUMMYFUNCTION("IF('From Order'!$A1557=COLUMNS($A1557:D1576), LEFT(INDEX(FILTER(D$1:D1556, D$1:D1556&lt;&gt;""""),COUNTA(FILTER(D$1:D1556, D$1:D1556&lt;&gt;""""))), LEN(INDEX(FILTER(D$1:D1556, D$1:D1556&lt;&gt;""""),COUNTA(FILTER(D$1:D1556, D$1:D1556&lt;&gt;""""))))-1), IF('To Order'!$A1557=COL"&amp;"UMNS($A1557:D1576), D1556&amp;RIGHT(INDIRECT(ADDRESS(ROW(D1557)-1, 'From Order'!$A1557)), 1), D1556))"),"CGZCSFHBGJTTPBFL")</f>
        <v>CGZCSFHBGJTTPBFL</v>
      </c>
      <c r="E1557" s="2" t="str">
        <f>IFERROR(__xludf.DUMMYFUNCTION("IF('From Order'!$A1557=COLUMNS($A1557:E1576), LEFT(INDEX(FILTER(E$1:E1556, E$1:E1556&lt;&gt;""""),COUNTA(FILTER(E$1:E1556, E$1:E1556&lt;&gt;""""))), LEN(INDEX(FILTER(E$1:E1556, E$1:E1556&lt;&gt;""""),COUNTA(FILTER(E$1:E1556, E$1:E1556&lt;&gt;""""))))-1), IF('To Order'!$A1557=COL"&amp;"UMNS($A1557:E1576), E1556&amp;RIGHT(INDIRECT(ADDRESS(ROW(E1557)-1, 'From Order'!$A1557)), 1), E1556))"),"W")</f>
        <v>W</v>
      </c>
      <c r="F1557" s="2" t="str">
        <f>IFERROR(__xludf.DUMMYFUNCTION("IF('From Order'!$A1557=COLUMNS($A1557:F1576), LEFT(INDEX(FILTER(F$1:F1556, F$1:F1556&lt;&gt;""""),COUNTA(FILTER(F$1:F1556, F$1:F1556&lt;&gt;""""))), LEN(INDEX(FILTER(F$1:F1556, F$1:F1556&lt;&gt;""""),COUNTA(FILTER(F$1:F1556, F$1:F1556&lt;&gt;""""))))-1), IF('To Order'!$A1557=COL"&amp;"UMNS($A1557:F1576), F1556&amp;RIGHT(INDIRECT(ADDRESS(ROW(F1557)-1, 'From Order'!$A1557)), 1), F1556))"),"ZR")</f>
        <v>ZR</v>
      </c>
      <c r="G1557" s="2" t="str">
        <f>IFERROR(__xludf.DUMMYFUNCTION("IF('From Order'!$A1557=COLUMNS($A1557:G1576), LEFT(INDEX(FILTER(G$1:G1556, G$1:G1556&lt;&gt;""""),COUNTA(FILTER(G$1:G1556, G$1:G1556&lt;&gt;""""))), LEN(INDEX(FILTER(G$1:G1556, G$1:G1556&lt;&gt;""""),COUNTA(FILTER(G$1:G1556, G$1:G1556&lt;&gt;""""))))-1), IF('To Order'!$A1557=COL"&amp;"UMNS($A1557:G1576), G1556&amp;RIGHT(INDIRECT(ADDRESS(ROW(G1557)-1, 'From Order'!$A1557)), 1), G1556))"),"SSTD")</f>
        <v>SSTD</v>
      </c>
      <c r="H1557" s="2" t="str">
        <f>IFERROR(__xludf.DUMMYFUNCTION("IF('From Order'!$A1557=COLUMNS($A1557:H1576), LEFT(INDEX(FILTER(H$1:H1556, H$1:H1556&lt;&gt;""""),COUNTA(FILTER(H$1:H1556, H$1:H1556&lt;&gt;""""))), LEN(INDEX(FILTER(H$1:H1556, H$1:H1556&lt;&gt;""""),COUNTA(FILTER(H$1:H1556, H$1:H1556&lt;&gt;""""))))-1), IF('To Order'!$A1557=COL"&amp;"UMNS($A1557:H1576), H1556&amp;RIGHT(INDIRECT(ADDRESS(ROW(H1557)-1, 'From Order'!$A1557)), 1), H1556))"),"")</f>
        <v/>
      </c>
      <c r="I1557" s="2" t="str">
        <f>IFERROR(__xludf.DUMMYFUNCTION("IF('From Order'!$A1557=COLUMNS($A1557:I1576), LEFT(INDEX(FILTER(I$1:I1556, I$1:I1556&lt;&gt;""""),COUNTA(FILTER(I$1:I1556, I$1:I1556&lt;&gt;""""))), LEN(INDEX(FILTER(I$1:I1556, I$1:I1556&lt;&gt;""""),COUNTA(FILTER(I$1:I1556, I$1:I1556&lt;&gt;""""))))-1), IF('To Order'!$A1557=COL"&amp;"UMNS($A1557:I1576), I1556&amp;RIGHT(INDIRECT(ADDRESS(ROW(I1557)-1, 'From Order'!$A1557)), 1), I1556))"),"")</f>
        <v/>
      </c>
    </row>
    <row r="1558">
      <c r="A1558" s="2" t="str">
        <f>IFERROR(__xludf.DUMMYFUNCTION("IF('From Order'!$A1558=COLUMNS($A1558:A1577), LEFT(INDEX(FILTER(A$1:A1557, A$1:A1557&lt;&gt;""""),COUNTA(FILTER(A$1:A1557, A$1:A1557&lt;&gt;""""))), LEN(INDEX(FILTER(A$1:A1557, A$1:A1557&lt;&gt;""""),COUNTA(FILTER(A$1:A1557, A$1:A1557&lt;&gt;""""))))-1), IF('To Order'!$A1558=COL"&amp;"UMNS($A1558:A1577), A1557&amp;RIGHT(INDIRECT(ADDRESS(ROW(A1558)-1, 'From Order'!$A1558)), 1), A1557))"),"MDJMBVRRSDLDTMZHRDCVT")</f>
        <v>MDJMBVRRSDLDTMZHRDCVT</v>
      </c>
      <c r="B1558" s="2" t="str">
        <f>IFERROR(__xludf.DUMMYFUNCTION("IF('From Order'!$A1558=COLUMNS($A1558:B1577), LEFT(INDEX(FILTER(B$1:B1557, B$1:B1557&lt;&gt;""""),COUNTA(FILTER(B$1:B1557, B$1:B1557&lt;&gt;""""))), LEN(INDEX(FILTER(B$1:B1557, B$1:B1557&lt;&gt;""""),COUNTA(FILTER(B$1:B1557, B$1:B1557&lt;&gt;""""))))-1), IF('To Order'!$A1558=COL"&amp;"UMNS($A1558:B1577), B1557&amp;RIGHT(INDIRECT(ADDRESS(ROW(B1558)-1, 'From Order'!$A1558)), 1), B1557))"),"RBWL")</f>
        <v>RBWL</v>
      </c>
      <c r="C1558" s="2" t="str">
        <f>IFERROR(__xludf.DUMMYFUNCTION("IF('From Order'!$A1558=COLUMNS($A1558:C1577), LEFT(INDEX(FILTER(C$1:C1557, C$1:C1557&lt;&gt;""""),COUNTA(FILTER(C$1:C1557, C$1:C1557&lt;&gt;""""))), LEN(INDEX(FILTER(C$1:C1557, C$1:C1557&lt;&gt;""""),COUNTA(FILTER(C$1:C1557, C$1:C1557&lt;&gt;""""))))-1), IF('To Order'!$A1558=COL"&amp;"UMNS($A1558:C1577), C1557&amp;RIGHT(INDIRECT(ADDRESS(ROW(C1558)-1, 'From Order'!$A1558)), 1), C1557))"),"TQVQJPP")</f>
        <v>TQVQJPP</v>
      </c>
      <c r="D1558" s="2" t="str">
        <f>IFERROR(__xludf.DUMMYFUNCTION("IF('From Order'!$A1558=COLUMNS($A1558:D1577), LEFT(INDEX(FILTER(D$1:D1557, D$1:D1557&lt;&gt;""""),COUNTA(FILTER(D$1:D1557, D$1:D1557&lt;&gt;""""))), LEN(INDEX(FILTER(D$1:D1557, D$1:D1557&lt;&gt;""""),COUNTA(FILTER(D$1:D1557, D$1:D1557&lt;&gt;""""))))-1), IF('To Order'!$A1558=COL"&amp;"UMNS($A1558:D1577), D1557&amp;RIGHT(INDIRECT(ADDRESS(ROW(D1558)-1, 'From Order'!$A1558)), 1), D1557))"),"CGZCSFHBGJTTPBFL")</f>
        <v>CGZCSFHBGJTTPBFL</v>
      </c>
      <c r="E1558" s="2" t="str">
        <f>IFERROR(__xludf.DUMMYFUNCTION("IF('From Order'!$A1558=COLUMNS($A1558:E1577), LEFT(INDEX(FILTER(E$1:E1557, E$1:E1557&lt;&gt;""""),COUNTA(FILTER(E$1:E1557, E$1:E1557&lt;&gt;""""))), LEN(INDEX(FILTER(E$1:E1557, E$1:E1557&lt;&gt;""""),COUNTA(FILTER(E$1:E1557, E$1:E1557&lt;&gt;""""))))-1), IF('To Order'!$A1558=COL"&amp;"UMNS($A1558:E1577), E1557&amp;RIGHT(INDIRECT(ADDRESS(ROW(E1558)-1, 'From Order'!$A1558)), 1), E1557))"),"W")</f>
        <v>W</v>
      </c>
      <c r="F1558" s="2" t="str">
        <f>IFERROR(__xludf.DUMMYFUNCTION("IF('From Order'!$A1558=COLUMNS($A1558:F1577), LEFT(INDEX(FILTER(F$1:F1557, F$1:F1557&lt;&gt;""""),COUNTA(FILTER(F$1:F1557, F$1:F1557&lt;&gt;""""))), LEN(INDEX(FILTER(F$1:F1557, F$1:F1557&lt;&gt;""""),COUNTA(FILTER(F$1:F1557, F$1:F1557&lt;&gt;""""))))-1), IF('To Order'!$A1558=COL"&amp;"UMNS($A1558:F1577), F1557&amp;RIGHT(INDIRECT(ADDRESS(ROW(F1558)-1, 'From Order'!$A1558)), 1), F1557))"),"ZR")</f>
        <v>ZR</v>
      </c>
      <c r="G1558" s="2" t="str">
        <f>IFERROR(__xludf.DUMMYFUNCTION("IF('From Order'!$A1558=COLUMNS($A1558:G1577), LEFT(INDEX(FILTER(G$1:G1557, G$1:G1557&lt;&gt;""""),COUNTA(FILTER(G$1:G1557, G$1:G1557&lt;&gt;""""))), LEN(INDEX(FILTER(G$1:G1557, G$1:G1557&lt;&gt;""""),COUNTA(FILTER(G$1:G1557, G$1:G1557&lt;&gt;""""))))-1), IF('To Order'!$A1558=COL"&amp;"UMNS($A1558:G1577), G1557&amp;RIGHT(INDIRECT(ADDRESS(ROW(G1558)-1, 'From Order'!$A1558)), 1), G1557))"),"SSTDD")</f>
        <v>SSTDD</v>
      </c>
      <c r="H1558" s="2" t="str">
        <f>IFERROR(__xludf.DUMMYFUNCTION("IF('From Order'!$A1558=COLUMNS($A1558:H1577), LEFT(INDEX(FILTER(H$1:H1557, H$1:H1557&lt;&gt;""""),COUNTA(FILTER(H$1:H1557, H$1:H1557&lt;&gt;""""))), LEN(INDEX(FILTER(H$1:H1557, H$1:H1557&lt;&gt;""""),COUNTA(FILTER(H$1:H1557, H$1:H1557&lt;&gt;""""))))-1), IF('To Order'!$A1558=COL"&amp;"UMNS($A1558:H1577), H1557&amp;RIGHT(INDIRECT(ADDRESS(ROW(H1558)-1, 'From Order'!$A1558)), 1), H1557))"),"")</f>
        <v/>
      </c>
      <c r="I1558" s="2" t="str">
        <f>IFERROR(__xludf.DUMMYFUNCTION("IF('From Order'!$A1558=COLUMNS($A1558:I1577), LEFT(INDEX(FILTER(I$1:I1557, I$1:I1557&lt;&gt;""""),COUNTA(FILTER(I$1:I1557, I$1:I1557&lt;&gt;""""))), LEN(INDEX(FILTER(I$1:I1557, I$1:I1557&lt;&gt;""""),COUNTA(FILTER(I$1:I1557, I$1:I1557&lt;&gt;""""))))-1), IF('To Order'!$A1558=COL"&amp;"UMNS($A1558:I1577), I1557&amp;RIGHT(INDIRECT(ADDRESS(ROW(I1558)-1, 'From Order'!$A1558)), 1), I1557))"),"")</f>
        <v/>
      </c>
    </row>
    <row r="1559">
      <c r="A1559" s="2" t="str">
        <f>IFERROR(__xludf.DUMMYFUNCTION("IF('From Order'!$A1559=COLUMNS($A1559:A1578), LEFT(INDEX(FILTER(A$1:A1558, A$1:A1558&lt;&gt;""""),COUNTA(FILTER(A$1:A1558, A$1:A1558&lt;&gt;""""))), LEN(INDEX(FILTER(A$1:A1558, A$1:A1558&lt;&gt;""""),COUNTA(FILTER(A$1:A1558, A$1:A1558&lt;&gt;""""))))-1), IF('To Order'!$A1559=COL"&amp;"UMNS($A1559:A1578), A1558&amp;RIGHT(INDIRECT(ADDRESS(ROW(A1559)-1, 'From Order'!$A1559)), 1), A1558))"),"MDJMBVRRSDLDTMZHRDCVT")</f>
        <v>MDJMBVRRSDLDTMZHRDCVT</v>
      </c>
      <c r="B1559" s="2" t="str">
        <f>IFERROR(__xludf.DUMMYFUNCTION("IF('From Order'!$A1559=COLUMNS($A1559:B1578), LEFT(INDEX(FILTER(B$1:B1558, B$1:B1558&lt;&gt;""""),COUNTA(FILTER(B$1:B1558, B$1:B1558&lt;&gt;""""))), LEN(INDEX(FILTER(B$1:B1558, B$1:B1558&lt;&gt;""""),COUNTA(FILTER(B$1:B1558, B$1:B1558&lt;&gt;""""))))-1), IF('To Order'!$A1559=COL"&amp;"UMNS($A1559:B1578), B1558&amp;RIGHT(INDIRECT(ADDRESS(ROW(B1559)-1, 'From Order'!$A1559)), 1), B1558))"),"RBW")</f>
        <v>RBW</v>
      </c>
      <c r="C1559" s="2" t="str">
        <f>IFERROR(__xludf.DUMMYFUNCTION("IF('From Order'!$A1559=COLUMNS($A1559:C1578), LEFT(INDEX(FILTER(C$1:C1558, C$1:C1558&lt;&gt;""""),COUNTA(FILTER(C$1:C1558, C$1:C1558&lt;&gt;""""))), LEN(INDEX(FILTER(C$1:C1558, C$1:C1558&lt;&gt;""""),COUNTA(FILTER(C$1:C1558, C$1:C1558&lt;&gt;""""))))-1), IF('To Order'!$A1559=COL"&amp;"UMNS($A1559:C1578), C1558&amp;RIGHT(INDIRECT(ADDRESS(ROW(C1559)-1, 'From Order'!$A1559)), 1), C1558))"),"TQVQJPP")</f>
        <v>TQVQJPP</v>
      </c>
      <c r="D1559" s="2" t="str">
        <f>IFERROR(__xludf.DUMMYFUNCTION("IF('From Order'!$A1559=COLUMNS($A1559:D1578), LEFT(INDEX(FILTER(D$1:D1558, D$1:D1558&lt;&gt;""""),COUNTA(FILTER(D$1:D1558, D$1:D1558&lt;&gt;""""))), LEN(INDEX(FILTER(D$1:D1558, D$1:D1558&lt;&gt;""""),COUNTA(FILTER(D$1:D1558, D$1:D1558&lt;&gt;""""))))-1), IF('To Order'!$A1559=COL"&amp;"UMNS($A1559:D1578), D1558&amp;RIGHT(INDIRECT(ADDRESS(ROW(D1559)-1, 'From Order'!$A1559)), 1), D1558))"),"CGZCSFHBGJTTPBFLL")</f>
        <v>CGZCSFHBGJTTPBFLL</v>
      </c>
      <c r="E1559" s="2" t="str">
        <f>IFERROR(__xludf.DUMMYFUNCTION("IF('From Order'!$A1559=COLUMNS($A1559:E1578), LEFT(INDEX(FILTER(E$1:E1558, E$1:E1558&lt;&gt;""""),COUNTA(FILTER(E$1:E1558, E$1:E1558&lt;&gt;""""))), LEN(INDEX(FILTER(E$1:E1558, E$1:E1558&lt;&gt;""""),COUNTA(FILTER(E$1:E1558, E$1:E1558&lt;&gt;""""))))-1), IF('To Order'!$A1559=COL"&amp;"UMNS($A1559:E1578), E1558&amp;RIGHT(INDIRECT(ADDRESS(ROW(E1559)-1, 'From Order'!$A1559)), 1), E1558))"),"W")</f>
        <v>W</v>
      </c>
      <c r="F1559" s="2" t="str">
        <f>IFERROR(__xludf.DUMMYFUNCTION("IF('From Order'!$A1559=COLUMNS($A1559:F1578), LEFT(INDEX(FILTER(F$1:F1558, F$1:F1558&lt;&gt;""""),COUNTA(FILTER(F$1:F1558, F$1:F1558&lt;&gt;""""))), LEN(INDEX(FILTER(F$1:F1558, F$1:F1558&lt;&gt;""""),COUNTA(FILTER(F$1:F1558, F$1:F1558&lt;&gt;""""))))-1), IF('To Order'!$A1559=COL"&amp;"UMNS($A1559:F1578), F1558&amp;RIGHT(INDIRECT(ADDRESS(ROW(F1559)-1, 'From Order'!$A1559)), 1), F1558))"),"ZR")</f>
        <v>ZR</v>
      </c>
      <c r="G1559" s="2" t="str">
        <f>IFERROR(__xludf.DUMMYFUNCTION("IF('From Order'!$A1559=COLUMNS($A1559:G1578), LEFT(INDEX(FILTER(G$1:G1558, G$1:G1558&lt;&gt;""""),COUNTA(FILTER(G$1:G1558, G$1:G1558&lt;&gt;""""))), LEN(INDEX(FILTER(G$1:G1558, G$1:G1558&lt;&gt;""""),COUNTA(FILTER(G$1:G1558, G$1:G1558&lt;&gt;""""))))-1), IF('To Order'!$A1559=COL"&amp;"UMNS($A1559:G1578), G1558&amp;RIGHT(INDIRECT(ADDRESS(ROW(G1559)-1, 'From Order'!$A1559)), 1), G1558))"),"SSTDD")</f>
        <v>SSTDD</v>
      </c>
      <c r="H1559" s="2" t="str">
        <f>IFERROR(__xludf.DUMMYFUNCTION("IF('From Order'!$A1559=COLUMNS($A1559:H1578), LEFT(INDEX(FILTER(H$1:H1558, H$1:H1558&lt;&gt;""""),COUNTA(FILTER(H$1:H1558, H$1:H1558&lt;&gt;""""))), LEN(INDEX(FILTER(H$1:H1558, H$1:H1558&lt;&gt;""""),COUNTA(FILTER(H$1:H1558, H$1:H1558&lt;&gt;""""))))-1), IF('To Order'!$A1559=COL"&amp;"UMNS($A1559:H1578), H1558&amp;RIGHT(INDIRECT(ADDRESS(ROW(H1559)-1, 'From Order'!$A1559)), 1), H1558))"),"")</f>
        <v/>
      </c>
      <c r="I1559" s="2" t="str">
        <f>IFERROR(__xludf.DUMMYFUNCTION("IF('From Order'!$A1559=COLUMNS($A1559:I1578), LEFT(INDEX(FILTER(I$1:I1558, I$1:I1558&lt;&gt;""""),COUNTA(FILTER(I$1:I1558, I$1:I1558&lt;&gt;""""))), LEN(INDEX(FILTER(I$1:I1558, I$1:I1558&lt;&gt;""""),COUNTA(FILTER(I$1:I1558, I$1:I1558&lt;&gt;""""))))-1), IF('To Order'!$A1559=COL"&amp;"UMNS($A1559:I1578), I1558&amp;RIGHT(INDIRECT(ADDRESS(ROW(I1559)-1, 'From Order'!$A1559)), 1), I1558))"),"")</f>
        <v/>
      </c>
    </row>
    <row r="1560">
      <c r="A1560" s="2" t="str">
        <f>IFERROR(__xludf.DUMMYFUNCTION("IF('From Order'!$A1560=COLUMNS($A1560:A1579), LEFT(INDEX(FILTER(A$1:A1559, A$1:A1559&lt;&gt;""""),COUNTA(FILTER(A$1:A1559, A$1:A1559&lt;&gt;""""))), LEN(INDEX(FILTER(A$1:A1559, A$1:A1559&lt;&gt;""""),COUNTA(FILTER(A$1:A1559, A$1:A1559&lt;&gt;""""))))-1), IF('To Order'!$A1560=COL"&amp;"UMNS($A1560:A1579), A1559&amp;RIGHT(INDIRECT(ADDRESS(ROW(A1560)-1, 'From Order'!$A1560)), 1), A1559))"),"MDJMBVRRSDLDTMZHRDCVT")</f>
        <v>MDJMBVRRSDLDTMZHRDCVT</v>
      </c>
      <c r="B1560" s="2" t="str">
        <f>IFERROR(__xludf.DUMMYFUNCTION("IF('From Order'!$A1560=COLUMNS($A1560:B1579), LEFT(INDEX(FILTER(B$1:B1559, B$1:B1559&lt;&gt;""""),COUNTA(FILTER(B$1:B1559, B$1:B1559&lt;&gt;""""))), LEN(INDEX(FILTER(B$1:B1559, B$1:B1559&lt;&gt;""""),COUNTA(FILTER(B$1:B1559, B$1:B1559&lt;&gt;""""))))-1), IF('To Order'!$A1560=COL"&amp;"UMNS($A1560:B1579), B1559&amp;RIGHT(INDIRECT(ADDRESS(ROW(B1560)-1, 'From Order'!$A1560)), 1), B1559))"),"RB")</f>
        <v>RB</v>
      </c>
      <c r="C1560" s="2" t="str">
        <f>IFERROR(__xludf.DUMMYFUNCTION("IF('From Order'!$A1560=COLUMNS($A1560:C1579), LEFT(INDEX(FILTER(C$1:C1559, C$1:C1559&lt;&gt;""""),COUNTA(FILTER(C$1:C1559, C$1:C1559&lt;&gt;""""))), LEN(INDEX(FILTER(C$1:C1559, C$1:C1559&lt;&gt;""""),COUNTA(FILTER(C$1:C1559, C$1:C1559&lt;&gt;""""))))-1), IF('To Order'!$A1560=COL"&amp;"UMNS($A1560:C1579), C1559&amp;RIGHT(INDIRECT(ADDRESS(ROW(C1560)-1, 'From Order'!$A1560)), 1), C1559))"),"TQVQJPP")</f>
        <v>TQVQJPP</v>
      </c>
      <c r="D1560" s="2" t="str">
        <f>IFERROR(__xludf.DUMMYFUNCTION("IF('From Order'!$A1560=COLUMNS($A1560:D1579), LEFT(INDEX(FILTER(D$1:D1559, D$1:D1559&lt;&gt;""""),COUNTA(FILTER(D$1:D1559, D$1:D1559&lt;&gt;""""))), LEN(INDEX(FILTER(D$1:D1559, D$1:D1559&lt;&gt;""""),COUNTA(FILTER(D$1:D1559, D$1:D1559&lt;&gt;""""))))-1), IF('To Order'!$A1560=COL"&amp;"UMNS($A1560:D1579), D1559&amp;RIGHT(INDIRECT(ADDRESS(ROW(D1560)-1, 'From Order'!$A1560)), 1), D1559))"),"CGZCSFHBGJTTPBFLLW")</f>
        <v>CGZCSFHBGJTTPBFLLW</v>
      </c>
      <c r="E1560" s="2" t="str">
        <f>IFERROR(__xludf.DUMMYFUNCTION("IF('From Order'!$A1560=COLUMNS($A1560:E1579), LEFT(INDEX(FILTER(E$1:E1559, E$1:E1559&lt;&gt;""""),COUNTA(FILTER(E$1:E1559, E$1:E1559&lt;&gt;""""))), LEN(INDEX(FILTER(E$1:E1559, E$1:E1559&lt;&gt;""""),COUNTA(FILTER(E$1:E1559, E$1:E1559&lt;&gt;""""))))-1), IF('To Order'!$A1560=COL"&amp;"UMNS($A1560:E1579), E1559&amp;RIGHT(INDIRECT(ADDRESS(ROW(E1560)-1, 'From Order'!$A1560)), 1), E1559))"),"W")</f>
        <v>W</v>
      </c>
      <c r="F1560" s="2" t="str">
        <f>IFERROR(__xludf.DUMMYFUNCTION("IF('From Order'!$A1560=COLUMNS($A1560:F1579), LEFT(INDEX(FILTER(F$1:F1559, F$1:F1559&lt;&gt;""""),COUNTA(FILTER(F$1:F1559, F$1:F1559&lt;&gt;""""))), LEN(INDEX(FILTER(F$1:F1559, F$1:F1559&lt;&gt;""""),COUNTA(FILTER(F$1:F1559, F$1:F1559&lt;&gt;""""))))-1), IF('To Order'!$A1560=COL"&amp;"UMNS($A1560:F1579), F1559&amp;RIGHT(INDIRECT(ADDRESS(ROW(F1560)-1, 'From Order'!$A1560)), 1), F1559))"),"ZR")</f>
        <v>ZR</v>
      </c>
      <c r="G1560" s="2" t="str">
        <f>IFERROR(__xludf.DUMMYFUNCTION("IF('From Order'!$A1560=COLUMNS($A1560:G1579), LEFT(INDEX(FILTER(G$1:G1559, G$1:G1559&lt;&gt;""""),COUNTA(FILTER(G$1:G1559, G$1:G1559&lt;&gt;""""))), LEN(INDEX(FILTER(G$1:G1559, G$1:G1559&lt;&gt;""""),COUNTA(FILTER(G$1:G1559, G$1:G1559&lt;&gt;""""))))-1), IF('To Order'!$A1560=COL"&amp;"UMNS($A1560:G1579), G1559&amp;RIGHT(INDIRECT(ADDRESS(ROW(G1560)-1, 'From Order'!$A1560)), 1), G1559))"),"SSTDD")</f>
        <v>SSTDD</v>
      </c>
      <c r="H1560" s="2" t="str">
        <f>IFERROR(__xludf.DUMMYFUNCTION("IF('From Order'!$A1560=COLUMNS($A1560:H1579), LEFT(INDEX(FILTER(H$1:H1559, H$1:H1559&lt;&gt;""""),COUNTA(FILTER(H$1:H1559, H$1:H1559&lt;&gt;""""))), LEN(INDEX(FILTER(H$1:H1559, H$1:H1559&lt;&gt;""""),COUNTA(FILTER(H$1:H1559, H$1:H1559&lt;&gt;""""))))-1), IF('To Order'!$A1560=COL"&amp;"UMNS($A1560:H1579), H1559&amp;RIGHT(INDIRECT(ADDRESS(ROW(H1560)-1, 'From Order'!$A1560)), 1), H1559))"),"")</f>
        <v/>
      </c>
      <c r="I1560" s="2" t="str">
        <f>IFERROR(__xludf.DUMMYFUNCTION("IF('From Order'!$A1560=COLUMNS($A1560:I1579), LEFT(INDEX(FILTER(I$1:I1559, I$1:I1559&lt;&gt;""""),COUNTA(FILTER(I$1:I1559, I$1:I1559&lt;&gt;""""))), LEN(INDEX(FILTER(I$1:I1559, I$1:I1559&lt;&gt;""""),COUNTA(FILTER(I$1:I1559, I$1:I1559&lt;&gt;""""))))-1), IF('To Order'!$A1560=COL"&amp;"UMNS($A1560:I1579), I1559&amp;RIGHT(INDIRECT(ADDRESS(ROW(I1560)-1, 'From Order'!$A1560)), 1), I1559))"),"")</f>
        <v/>
      </c>
    </row>
    <row r="1561">
      <c r="A1561" s="2" t="str">
        <f>IFERROR(__xludf.DUMMYFUNCTION("IF('From Order'!$A1561=COLUMNS($A1561:A1580), LEFT(INDEX(FILTER(A$1:A1560, A$1:A1560&lt;&gt;""""),COUNTA(FILTER(A$1:A1560, A$1:A1560&lt;&gt;""""))), LEN(INDEX(FILTER(A$1:A1560, A$1:A1560&lt;&gt;""""),COUNTA(FILTER(A$1:A1560, A$1:A1560&lt;&gt;""""))))-1), IF('To Order'!$A1561=COL"&amp;"UMNS($A1561:A1580), A1560&amp;RIGHT(INDIRECT(ADDRESS(ROW(A1561)-1, 'From Order'!$A1561)), 1), A1560))"),"MDJMBVRRSDLDTMZHRDCVT")</f>
        <v>MDJMBVRRSDLDTMZHRDCVT</v>
      </c>
      <c r="B1561" s="2" t="str">
        <f>IFERROR(__xludf.DUMMYFUNCTION("IF('From Order'!$A1561=COLUMNS($A1561:B1580), LEFT(INDEX(FILTER(B$1:B1560, B$1:B1560&lt;&gt;""""),COUNTA(FILTER(B$1:B1560, B$1:B1560&lt;&gt;""""))), LEN(INDEX(FILTER(B$1:B1560, B$1:B1560&lt;&gt;""""),COUNTA(FILTER(B$1:B1560, B$1:B1560&lt;&gt;""""))))-1), IF('To Order'!$A1561=COL"&amp;"UMNS($A1561:B1580), B1560&amp;RIGHT(INDIRECT(ADDRESS(ROW(B1561)-1, 'From Order'!$A1561)), 1), B1560))"),"RB")</f>
        <v>RB</v>
      </c>
      <c r="C1561" s="2" t="str">
        <f>IFERROR(__xludf.DUMMYFUNCTION("IF('From Order'!$A1561=COLUMNS($A1561:C1580), LEFT(INDEX(FILTER(C$1:C1560, C$1:C1560&lt;&gt;""""),COUNTA(FILTER(C$1:C1560, C$1:C1560&lt;&gt;""""))), LEN(INDEX(FILTER(C$1:C1560, C$1:C1560&lt;&gt;""""),COUNTA(FILTER(C$1:C1560, C$1:C1560&lt;&gt;""""))))-1), IF('To Order'!$A1561=COL"&amp;"UMNS($A1561:C1580), C1560&amp;RIGHT(INDIRECT(ADDRESS(ROW(C1561)-1, 'From Order'!$A1561)), 1), C1560))"),"TQVQJPP")</f>
        <v>TQVQJPP</v>
      </c>
      <c r="D1561" s="2" t="str">
        <f>IFERROR(__xludf.DUMMYFUNCTION("IF('From Order'!$A1561=COLUMNS($A1561:D1580), LEFT(INDEX(FILTER(D$1:D1560, D$1:D1560&lt;&gt;""""),COUNTA(FILTER(D$1:D1560, D$1:D1560&lt;&gt;""""))), LEN(INDEX(FILTER(D$1:D1560, D$1:D1560&lt;&gt;""""),COUNTA(FILTER(D$1:D1560, D$1:D1560&lt;&gt;""""))))-1), IF('To Order'!$A1561=COL"&amp;"UMNS($A1561:D1580), D1560&amp;RIGHT(INDIRECT(ADDRESS(ROW(D1561)-1, 'From Order'!$A1561)), 1), D1560))"),"CGZCSFHBGJTTPBFLL")</f>
        <v>CGZCSFHBGJTTPBFLL</v>
      </c>
      <c r="E1561" s="2" t="str">
        <f>IFERROR(__xludf.DUMMYFUNCTION("IF('From Order'!$A1561=COLUMNS($A1561:E1580), LEFT(INDEX(FILTER(E$1:E1560, E$1:E1560&lt;&gt;""""),COUNTA(FILTER(E$1:E1560, E$1:E1560&lt;&gt;""""))), LEN(INDEX(FILTER(E$1:E1560, E$1:E1560&lt;&gt;""""),COUNTA(FILTER(E$1:E1560, E$1:E1560&lt;&gt;""""))))-1), IF('To Order'!$A1561=COL"&amp;"UMNS($A1561:E1580), E1560&amp;RIGHT(INDIRECT(ADDRESS(ROW(E1561)-1, 'From Order'!$A1561)), 1), E1560))"),"W")</f>
        <v>W</v>
      </c>
      <c r="F1561" s="2" t="str">
        <f>IFERROR(__xludf.DUMMYFUNCTION("IF('From Order'!$A1561=COLUMNS($A1561:F1580), LEFT(INDEX(FILTER(F$1:F1560, F$1:F1560&lt;&gt;""""),COUNTA(FILTER(F$1:F1560, F$1:F1560&lt;&gt;""""))), LEN(INDEX(FILTER(F$1:F1560, F$1:F1560&lt;&gt;""""),COUNTA(FILTER(F$1:F1560, F$1:F1560&lt;&gt;""""))))-1), IF('To Order'!$A1561=COL"&amp;"UMNS($A1561:F1580), F1560&amp;RIGHT(INDIRECT(ADDRESS(ROW(F1561)-1, 'From Order'!$A1561)), 1), F1560))"),"ZR")</f>
        <v>ZR</v>
      </c>
      <c r="G1561" s="2" t="str">
        <f>IFERROR(__xludf.DUMMYFUNCTION("IF('From Order'!$A1561=COLUMNS($A1561:G1580), LEFT(INDEX(FILTER(G$1:G1560, G$1:G1560&lt;&gt;""""),COUNTA(FILTER(G$1:G1560, G$1:G1560&lt;&gt;""""))), LEN(INDEX(FILTER(G$1:G1560, G$1:G1560&lt;&gt;""""),COUNTA(FILTER(G$1:G1560, G$1:G1560&lt;&gt;""""))))-1), IF('To Order'!$A1561=COL"&amp;"UMNS($A1561:G1580), G1560&amp;RIGHT(INDIRECT(ADDRESS(ROW(G1561)-1, 'From Order'!$A1561)), 1), G1560))"),"SSTDDW")</f>
        <v>SSTDDW</v>
      </c>
      <c r="H1561" s="2" t="str">
        <f>IFERROR(__xludf.DUMMYFUNCTION("IF('From Order'!$A1561=COLUMNS($A1561:H1580), LEFT(INDEX(FILTER(H$1:H1560, H$1:H1560&lt;&gt;""""),COUNTA(FILTER(H$1:H1560, H$1:H1560&lt;&gt;""""))), LEN(INDEX(FILTER(H$1:H1560, H$1:H1560&lt;&gt;""""),COUNTA(FILTER(H$1:H1560, H$1:H1560&lt;&gt;""""))))-1), IF('To Order'!$A1561=COL"&amp;"UMNS($A1561:H1580), H1560&amp;RIGHT(INDIRECT(ADDRESS(ROW(H1561)-1, 'From Order'!$A1561)), 1), H1560))"),"")</f>
        <v/>
      </c>
      <c r="I1561" s="2" t="str">
        <f>IFERROR(__xludf.DUMMYFUNCTION("IF('From Order'!$A1561=COLUMNS($A1561:I1580), LEFT(INDEX(FILTER(I$1:I1560, I$1:I1560&lt;&gt;""""),COUNTA(FILTER(I$1:I1560, I$1:I1560&lt;&gt;""""))), LEN(INDEX(FILTER(I$1:I1560, I$1:I1560&lt;&gt;""""),COUNTA(FILTER(I$1:I1560, I$1:I1560&lt;&gt;""""))))-1), IF('To Order'!$A1561=COL"&amp;"UMNS($A1561:I1580), I1560&amp;RIGHT(INDIRECT(ADDRESS(ROW(I1561)-1, 'From Order'!$A1561)), 1), I1560))"),"")</f>
        <v/>
      </c>
    </row>
    <row r="1562">
      <c r="A1562" s="2" t="str">
        <f>IFERROR(__xludf.DUMMYFUNCTION("IF('From Order'!$A1562=COLUMNS($A1562:A1581), LEFT(INDEX(FILTER(A$1:A1561, A$1:A1561&lt;&gt;""""),COUNTA(FILTER(A$1:A1561, A$1:A1561&lt;&gt;""""))), LEN(INDEX(FILTER(A$1:A1561, A$1:A1561&lt;&gt;""""),COUNTA(FILTER(A$1:A1561, A$1:A1561&lt;&gt;""""))))-1), IF('To Order'!$A1562=COL"&amp;"UMNS($A1562:A1581), A1561&amp;RIGHT(INDIRECT(ADDRESS(ROW(A1562)-1, 'From Order'!$A1562)), 1), A1561))"),"MDJMBVRRSDLDTMZHRDCVT")</f>
        <v>MDJMBVRRSDLDTMZHRDCVT</v>
      </c>
      <c r="B1562" s="2" t="str">
        <f>IFERROR(__xludf.DUMMYFUNCTION("IF('From Order'!$A1562=COLUMNS($A1562:B1581), LEFT(INDEX(FILTER(B$1:B1561, B$1:B1561&lt;&gt;""""),COUNTA(FILTER(B$1:B1561, B$1:B1561&lt;&gt;""""))), LEN(INDEX(FILTER(B$1:B1561, B$1:B1561&lt;&gt;""""),COUNTA(FILTER(B$1:B1561, B$1:B1561&lt;&gt;""""))))-1), IF('To Order'!$A1562=COL"&amp;"UMNS($A1562:B1581), B1561&amp;RIGHT(INDIRECT(ADDRESS(ROW(B1562)-1, 'From Order'!$A1562)), 1), B1561))"),"RB")</f>
        <v>RB</v>
      </c>
      <c r="C1562" s="2" t="str">
        <f>IFERROR(__xludf.DUMMYFUNCTION("IF('From Order'!$A1562=COLUMNS($A1562:C1581), LEFT(INDEX(FILTER(C$1:C1561, C$1:C1561&lt;&gt;""""),COUNTA(FILTER(C$1:C1561, C$1:C1561&lt;&gt;""""))), LEN(INDEX(FILTER(C$1:C1561, C$1:C1561&lt;&gt;""""),COUNTA(FILTER(C$1:C1561, C$1:C1561&lt;&gt;""""))))-1), IF('To Order'!$A1562=COL"&amp;"UMNS($A1562:C1581), C1561&amp;RIGHT(INDIRECT(ADDRESS(ROW(C1562)-1, 'From Order'!$A1562)), 1), C1561))"),"TQVQJPP")</f>
        <v>TQVQJPP</v>
      </c>
      <c r="D1562" s="2" t="str">
        <f>IFERROR(__xludf.DUMMYFUNCTION("IF('From Order'!$A1562=COLUMNS($A1562:D1581), LEFT(INDEX(FILTER(D$1:D1561, D$1:D1561&lt;&gt;""""),COUNTA(FILTER(D$1:D1561, D$1:D1561&lt;&gt;""""))), LEN(INDEX(FILTER(D$1:D1561, D$1:D1561&lt;&gt;""""),COUNTA(FILTER(D$1:D1561, D$1:D1561&lt;&gt;""""))))-1), IF('To Order'!$A1562=COL"&amp;"UMNS($A1562:D1581), D1561&amp;RIGHT(INDIRECT(ADDRESS(ROW(D1562)-1, 'From Order'!$A1562)), 1), D1561))"),"CGZCSFHBGJTTPBFL")</f>
        <v>CGZCSFHBGJTTPBFL</v>
      </c>
      <c r="E1562" s="2" t="str">
        <f>IFERROR(__xludf.DUMMYFUNCTION("IF('From Order'!$A1562=COLUMNS($A1562:E1581), LEFT(INDEX(FILTER(E$1:E1561, E$1:E1561&lt;&gt;""""),COUNTA(FILTER(E$1:E1561, E$1:E1561&lt;&gt;""""))), LEN(INDEX(FILTER(E$1:E1561, E$1:E1561&lt;&gt;""""),COUNTA(FILTER(E$1:E1561, E$1:E1561&lt;&gt;""""))))-1), IF('To Order'!$A1562=COL"&amp;"UMNS($A1562:E1581), E1561&amp;RIGHT(INDIRECT(ADDRESS(ROW(E1562)-1, 'From Order'!$A1562)), 1), E1561))"),"W")</f>
        <v>W</v>
      </c>
      <c r="F1562" s="2" t="str">
        <f>IFERROR(__xludf.DUMMYFUNCTION("IF('From Order'!$A1562=COLUMNS($A1562:F1581), LEFT(INDEX(FILTER(F$1:F1561, F$1:F1561&lt;&gt;""""),COUNTA(FILTER(F$1:F1561, F$1:F1561&lt;&gt;""""))), LEN(INDEX(FILTER(F$1:F1561, F$1:F1561&lt;&gt;""""),COUNTA(FILTER(F$1:F1561, F$1:F1561&lt;&gt;""""))))-1), IF('To Order'!$A1562=COL"&amp;"UMNS($A1562:F1581), F1561&amp;RIGHT(INDIRECT(ADDRESS(ROW(F1562)-1, 'From Order'!$A1562)), 1), F1561))"),"ZR")</f>
        <v>ZR</v>
      </c>
      <c r="G1562" s="2" t="str">
        <f>IFERROR(__xludf.DUMMYFUNCTION("IF('From Order'!$A1562=COLUMNS($A1562:G1581), LEFT(INDEX(FILTER(G$1:G1561, G$1:G1561&lt;&gt;""""),COUNTA(FILTER(G$1:G1561, G$1:G1561&lt;&gt;""""))), LEN(INDEX(FILTER(G$1:G1561, G$1:G1561&lt;&gt;""""),COUNTA(FILTER(G$1:G1561, G$1:G1561&lt;&gt;""""))))-1), IF('To Order'!$A1562=COL"&amp;"UMNS($A1562:G1581), G1561&amp;RIGHT(INDIRECT(ADDRESS(ROW(G1562)-1, 'From Order'!$A1562)), 1), G1561))"),"SSTDDWL")</f>
        <v>SSTDDWL</v>
      </c>
      <c r="H1562" s="2" t="str">
        <f>IFERROR(__xludf.DUMMYFUNCTION("IF('From Order'!$A1562=COLUMNS($A1562:H1581), LEFT(INDEX(FILTER(H$1:H1561, H$1:H1561&lt;&gt;""""),COUNTA(FILTER(H$1:H1561, H$1:H1561&lt;&gt;""""))), LEN(INDEX(FILTER(H$1:H1561, H$1:H1561&lt;&gt;""""),COUNTA(FILTER(H$1:H1561, H$1:H1561&lt;&gt;""""))))-1), IF('To Order'!$A1562=COL"&amp;"UMNS($A1562:H1581), H1561&amp;RIGHT(INDIRECT(ADDRESS(ROW(H1562)-1, 'From Order'!$A1562)), 1), H1561))"),"")</f>
        <v/>
      </c>
      <c r="I1562" s="2" t="str">
        <f>IFERROR(__xludf.DUMMYFUNCTION("IF('From Order'!$A1562=COLUMNS($A1562:I1581), LEFT(INDEX(FILTER(I$1:I1561, I$1:I1561&lt;&gt;""""),COUNTA(FILTER(I$1:I1561, I$1:I1561&lt;&gt;""""))), LEN(INDEX(FILTER(I$1:I1561, I$1:I1561&lt;&gt;""""),COUNTA(FILTER(I$1:I1561, I$1:I1561&lt;&gt;""""))))-1), IF('To Order'!$A1562=COL"&amp;"UMNS($A1562:I1581), I1561&amp;RIGHT(INDIRECT(ADDRESS(ROW(I1562)-1, 'From Order'!$A1562)), 1), I1561))"),"")</f>
        <v/>
      </c>
    </row>
    <row r="1563">
      <c r="A1563" s="2" t="str">
        <f>IFERROR(__xludf.DUMMYFUNCTION("IF('From Order'!$A1563=COLUMNS($A1563:A1582), LEFT(INDEX(FILTER(A$1:A1562, A$1:A1562&lt;&gt;""""),COUNTA(FILTER(A$1:A1562, A$1:A1562&lt;&gt;""""))), LEN(INDEX(FILTER(A$1:A1562, A$1:A1562&lt;&gt;""""),COUNTA(FILTER(A$1:A1562, A$1:A1562&lt;&gt;""""))))-1), IF('To Order'!$A1563=COL"&amp;"UMNS($A1563:A1582), A1562&amp;RIGHT(INDIRECT(ADDRESS(ROW(A1563)-1, 'From Order'!$A1563)), 1), A1562))"),"MDJMBVRRSDLDTMZHRDCVT")</f>
        <v>MDJMBVRRSDLDTMZHRDCVT</v>
      </c>
      <c r="B1563" s="2" t="str">
        <f>IFERROR(__xludf.DUMMYFUNCTION("IF('From Order'!$A1563=COLUMNS($A1563:B1582), LEFT(INDEX(FILTER(B$1:B1562, B$1:B1562&lt;&gt;""""),COUNTA(FILTER(B$1:B1562, B$1:B1562&lt;&gt;""""))), LEN(INDEX(FILTER(B$1:B1562, B$1:B1562&lt;&gt;""""),COUNTA(FILTER(B$1:B1562, B$1:B1562&lt;&gt;""""))))-1), IF('To Order'!$A1563=COL"&amp;"UMNS($A1563:B1582), B1562&amp;RIGHT(INDIRECT(ADDRESS(ROW(B1563)-1, 'From Order'!$A1563)), 1), B1562))"),"RB")</f>
        <v>RB</v>
      </c>
      <c r="C1563" s="2" t="str">
        <f>IFERROR(__xludf.DUMMYFUNCTION("IF('From Order'!$A1563=COLUMNS($A1563:C1582), LEFT(INDEX(FILTER(C$1:C1562, C$1:C1562&lt;&gt;""""),COUNTA(FILTER(C$1:C1562, C$1:C1562&lt;&gt;""""))), LEN(INDEX(FILTER(C$1:C1562, C$1:C1562&lt;&gt;""""),COUNTA(FILTER(C$1:C1562, C$1:C1562&lt;&gt;""""))))-1), IF('To Order'!$A1563=COL"&amp;"UMNS($A1563:C1582), C1562&amp;RIGHT(INDIRECT(ADDRESS(ROW(C1563)-1, 'From Order'!$A1563)), 1), C1562))"),"TQVQJPP")</f>
        <v>TQVQJPP</v>
      </c>
      <c r="D1563" s="2" t="str">
        <f>IFERROR(__xludf.DUMMYFUNCTION("IF('From Order'!$A1563=COLUMNS($A1563:D1582), LEFT(INDEX(FILTER(D$1:D1562, D$1:D1562&lt;&gt;""""),COUNTA(FILTER(D$1:D1562, D$1:D1562&lt;&gt;""""))), LEN(INDEX(FILTER(D$1:D1562, D$1:D1562&lt;&gt;""""),COUNTA(FILTER(D$1:D1562, D$1:D1562&lt;&gt;""""))))-1), IF('To Order'!$A1563=COL"&amp;"UMNS($A1563:D1582), D1562&amp;RIGHT(INDIRECT(ADDRESS(ROW(D1563)-1, 'From Order'!$A1563)), 1), D1562))"),"CGZCSFHBGJTTPBF")</f>
        <v>CGZCSFHBGJTTPBF</v>
      </c>
      <c r="E1563" s="2" t="str">
        <f>IFERROR(__xludf.DUMMYFUNCTION("IF('From Order'!$A1563=COLUMNS($A1563:E1582), LEFT(INDEX(FILTER(E$1:E1562, E$1:E1562&lt;&gt;""""),COUNTA(FILTER(E$1:E1562, E$1:E1562&lt;&gt;""""))), LEN(INDEX(FILTER(E$1:E1562, E$1:E1562&lt;&gt;""""),COUNTA(FILTER(E$1:E1562, E$1:E1562&lt;&gt;""""))))-1), IF('To Order'!$A1563=COL"&amp;"UMNS($A1563:E1582), E1562&amp;RIGHT(INDIRECT(ADDRESS(ROW(E1563)-1, 'From Order'!$A1563)), 1), E1562))"),"W")</f>
        <v>W</v>
      </c>
      <c r="F1563" s="2" t="str">
        <f>IFERROR(__xludf.DUMMYFUNCTION("IF('From Order'!$A1563=COLUMNS($A1563:F1582), LEFT(INDEX(FILTER(F$1:F1562, F$1:F1562&lt;&gt;""""),COUNTA(FILTER(F$1:F1562, F$1:F1562&lt;&gt;""""))), LEN(INDEX(FILTER(F$1:F1562, F$1:F1562&lt;&gt;""""),COUNTA(FILTER(F$1:F1562, F$1:F1562&lt;&gt;""""))))-1), IF('To Order'!$A1563=COL"&amp;"UMNS($A1563:F1582), F1562&amp;RIGHT(INDIRECT(ADDRESS(ROW(F1563)-1, 'From Order'!$A1563)), 1), F1562))"),"ZR")</f>
        <v>ZR</v>
      </c>
      <c r="G1563" s="2" t="str">
        <f>IFERROR(__xludf.DUMMYFUNCTION("IF('From Order'!$A1563=COLUMNS($A1563:G1582), LEFT(INDEX(FILTER(G$1:G1562, G$1:G1562&lt;&gt;""""),COUNTA(FILTER(G$1:G1562, G$1:G1562&lt;&gt;""""))), LEN(INDEX(FILTER(G$1:G1562, G$1:G1562&lt;&gt;""""),COUNTA(FILTER(G$1:G1562, G$1:G1562&lt;&gt;""""))))-1), IF('To Order'!$A1563=COL"&amp;"UMNS($A1563:G1582), G1562&amp;RIGHT(INDIRECT(ADDRESS(ROW(G1563)-1, 'From Order'!$A1563)), 1), G1562))"),"SSTDDWLL")</f>
        <v>SSTDDWLL</v>
      </c>
      <c r="H1563" s="2" t="str">
        <f>IFERROR(__xludf.DUMMYFUNCTION("IF('From Order'!$A1563=COLUMNS($A1563:H1582), LEFT(INDEX(FILTER(H$1:H1562, H$1:H1562&lt;&gt;""""),COUNTA(FILTER(H$1:H1562, H$1:H1562&lt;&gt;""""))), LEN(INDEX(FILTER(H$1:H1562, H$1:H1562&lt;&gt;""""),COUNTA(FILTER(H$1:H1562, H$1:H1562&lt;&gt;""""))))-1), IF('To Order'!$A1563=COL"&amp;"UMNS($A1563:H1582), H1562&amp;RIGHT(INDIRECT(ADDRESS(ROW(H1563)-1, 'From Order'!$A1563)), 1), H1562))"),"")</f>
        <v/>
      </c>
      <c r="I1563" s="2" t="str">
        <f>IFERROR(__xludf.DUMMYFUNCTION("IF('From Order'!$A1563=COLUMNS($A1563:I1582), LEFT(INDEX(FILTER(I$1:I1562, I$1:I1562&lt;&gt;""""),COUNTA(FILTER(I$1:I1562, I$1:I1562&lt;&gt;""""))), LEN(INDEX(FILTER(I$1:I1562, I$1:I1562&lt;&gt;""""),COUNTA(FILTER(I$1:I1562, I$1:I1562&lt;&gt;""""))))-1), IF('To Order'!$A1563=COL"&amp;"UMNS($A1563:I1582), I1562&amp;RIGHT(INDIRECT(ADDRESS(ROW(I1563)-1, 'From Order'!$A1563)), 1), I1562))"),"")</f>
        <v/>
      </c>
    </row>
    <row r="1564">
      <c r="A1564" s="2" t="str">
        <f>IFERROR(__xludf.DUMMYFUNCTION("IF('From Order'!$A1564=COLUMNS($A1564:A1583), LEFT(INDEX(FILTER(A$1:A1563, A$1:A1563&lt;&gt;""""),COUNTA(FILTER(A$1:A1563, A$1:A1563&lt;&gt;""""))), LEN(INDEX(FILTER(A$1:A1563, A$1:A1563&lt;&gt;""""),COUNTA(FILTER(A$1:A1563, A$1:A1563&lt;&gt;""""))))-1), IF('To Order'!$A1564=COL"&amp;"UMNS($A1564:A1583), A1563&amp;RIGHT(INDIRECT(ADDRESS(ROW(A1564)-1, 'From Order'!$A1564)), 1), A1563))"),"MDJMBVRRSDLDTMZHRDCVT")</f>
        <v>MDJMBVRRSDLDTMZHRDCVT</v>
      </c>
      <c r="B1564" s="2" t="str">
        <f>IFERROR(__xludf.DUMMYFUNCTION("IF('From Order'!$A1564=COLUMNS($A1564:B1583), LEFT(INDEX(FILTER(B$1:B1563, B$1:B1563&lt;&gt;""""),COUNTA(FILTER(B$1:B1563, B$1:B1563&lt;&gt;""""))), LEN(INDEX(FILTER(B$1:B1563, B$1:B1563&lt;&gt;""""),COUNTA(FILTER(B$1:B1563, B$1:B1563&lt;&gt;""""))))-1), IF('To Order'!$A1564=COL"&amp;"UMNS($A1564:B1583), B1563&amp;RIGHT(INDIRECT(ADDRESS(ROW(B1564)-1, 'From Order'!$A1564)), 1), B1563))"),"RB")</f>
        <v>RB</v>
      </c>
      <c r="C1564" s="2" t="str">
        <f>IFERROR(__xludf.DUMMYFUNCTION("IF('From Order'!$A1564=COLUMNS($A1564:C1583), LEFT(INDEX(FILTER(C$1:C1563, C$1:C1563&lt;&gt;""""),COUNTA(FILTER(C$1:C1563, C$1:C1563&lt;&gt;""""))), LEN(INDEX(FILTER(C$1:C1563, C$1:C1563&lt;&gt;""""),COUNTA(FILTER(C$1:C1563, C$1:C1563&lt;&gt;""""))))-1), IF('To Order'!$A1564=COL"&amp;"UMNS($A1564:C1583), C1563&amp;RIGHT(INDIRECT(ADDRESS(ROW(C1564)-1, 'From Order'!$A1564)), 1), C1563))"),"TQVQJPP")</f>
        <v>TQVQJPP</v>
      </c>
      <c r="D1564" s="2" t="str">
        <f>IFERROR(__xludf.DUMMYFUNCTION("IF('From Order'!$A1564=COLUMNS($A1564:D1583), LEFT(INDEX(FILTER(D$1:D1563, D$1:D1563&lt;&gt;""""),COUNTA(FILTER(D$1:D1563, D$1:D1563&lt;&gt;""""))), LEN(INDEX(FILTER(D$1:D1563, D$1:D1563&lt;&gt;""""),COUNTA(FILTER(D$1:D1563, D$1:D1563&lt;&gt;""""))))-1), IF('To Order'!$A1564=COL"&amp;"UMNS($A1564:D1583), D1563&amp;RIGHT(INDIRECT(ADDRESS(ROW(D1564)-1, 'From Order'!$A1564)), 1), D1563))"),"CGZCSFHBGJTTPB")</f>
        <v>CGZCSFHBGJTTPB</v>
      </c>
      <c r="E1564" s="2" t="str">
        <f>IFERROR(__xludf.DUMMYFUNCTION("IF('From Order'!$A1564=COLUMNS($A1564:E1583), LEFT(INDEX(FILTER(E$1:E1563, E$1:E1563&lt;&gt;""""),COUNTA(FILTER(E$1:E1563, E$1:E1563&lt;&gt;""""))), LEN(INDEX(FILTER(E$1:E1563, E$1:E1563&lt;&gt;""""),COUNTA(FILTER(E$1:E1563, E$1:E1563&lt;&gt;""""))))-1), IF('To Order'!$A1564=COL"&amp;"UMNS($A1564:E1583), E1563&amp;RIGHT(INDIRECT(ADDRESS(ROW(E1564)-1, 'From Order'!$A1564)), 1), E1563))"),"W")</f>
        <v>W</v>
      </c>
      <c r="F1564" s="2" t="str">
        <f>IFERROR(__xludf.DUMMYFUNCTION("IF('From Order'!$A1564=COLUMNS($A1564:F1583), LEFT(INDEX(FILTER(F$1:F1563, F$1:F1563&lt;&gt;""""),COUNTA(FILTER(F$1:F1563, F$1:F1563&lt;&gt;""""))), LEN(INDEX(FILTER(F$1:F1563, F$1:F1563&lt;&gt;""""),COUNTA(FILTER(F$1:F1563, F$1:F1563&lt;&gt;""""))))-1), IF('To Order'!$A1564=COL"&amp;"UMNS($A1564:F1583), F1563&amp;RIGHT(INDIRECT(ADDRESS(ROW(F1564)-1, 'From Order'!$A1564)), 1), F1563))"),"ZR")</f>
        <v>ZR</v>
      </c>
      <c r="G1564" s="2" t="str">
        <f>IFERROR(__xludf.DUMMYFUNCTION("IF('From Order'!$A1564=COLUMNS($A1564:G1583), LEFT(INDEX(FILTER(G$1:G1563, G$1:G1563&lt;&gt;""""),COUNTA(FILTER(G$1:G1563, G$1:G1563&lt;&gt;""""))), LEN(INDEX(FILTER(G$1:G1563, G$1:G1563&lt;&gt;""""),COUNTA(FILTER(G$1:G1563, G$1:G1563&lt;&gt;""""))))-1), IF('To Order'!$A1564=COL"&amp;"UMNS($A1564:G1583), G1563&amp;RIGHT(INDIRECT(ADDRESS(ROW(G1564)-1, 'From Order'!$A1564)), 1), G1563))"),"SSTDDWLLF")</f>
        <v>SSTDDWLLF</v>
      </c>
      <c r="H1564" s="2" t="str">
        <f>IFERROR(__xludf.DUMMYFUNCTION("IF('From Order'!$A1564=COLUMNS($A1564:H1583), LEFT(INDEX(FILTER(H$1:H1563, H$1:H1563&lt;&gt;""""),COUNTA(FILTER(H$1:H1563, H$1:H1563&lt;&gt;""""))), LEN(INDEX(FILTER(H$1:H1563, H$1:H1563&lt;&gt;""""),COUNTA(FILTER(H$1:H1563, H$1:H1563&lt;&gt;""""))))-1), IF('To Order'!$A1564=COL"&amp;"UMNS($A1564:H1583), H1563&amp;RIGHT(INDIRECT(ADDRESS(ROW(H1564)-1, 'From Order'!$A1564)), 1), H1563))"),"")</f>
        <v/>
      </c>
      <c r="I1564" s="2" t="str">
        <f>IFERROR(__xludf.DUMMYFUNCTION("IF('From Order'!$A1564=COLUMNS($A1564:I1583), LEFT(INDEX(FILTER(I$1:I1563, I$1:I1563&lt;&gt;""""),COUNTA(FILTER(I$1:I1563, I$1:I1563&lt;&gt;""""))), LEN(INDEX(FILTER(I$1:I1563, I$1:I1563&lt;&gt;""""),COUNTA(FILTER(I$1:I1563, I$1:I1563&lt;&gt;""""))))-1), IF('To Order'!$A1564=COL"&amp;"UMNS($A1564:I1583), I1563&amp;RIGHT(INDIRECT(ADDRESS(ROW(I1564)-1, 'From Order'!$A1564)), 1), I1563))"),"")</f>
        <v/>
      </c>
    </row>
    <row r="1565">
      <c r="A1565" s="2" t="str">
        <f>IFERROR(__xludf.DUMMYFUNCTION("IF('From Order'!$A1565=COLUMNS($A1565:A1584), LEFT(INDEX(FILTER(A$1:A1564, A$1:A1564&lt;&gt;""""),COUNTA(FILTER(A$1:A1564, A$1:A1564&lt;&gt;""""))), LEN(INDEX(FILTER(A$1:A1564, A$1:A1564&lt;&gt;""""),COUNTA(FILTER(A$1:A1564, A$1:A1564&lt;&gt;""""))))-1), IF('To Order'!$A1565=COL"&amp;"UMNS($A1565:A1584), A1564&amp;RIGHT(INDIRECT(ADDRESS(ROW(A1565)-1, 'From Order'!$A1565)), 1), A1564))"),"MDJMBVRRSDLDTMZHRDCVT")</f>
        <v>MDJMBVRRSDLDTMZHRDCVT</v>
      </c>
      <c r="B1565" s="2" t="str">
        <f>IFERROR(__xludf.DUMMYFUNCTION("IF('From Order'!$A1565=COLUMNS($A1565:B1584), LEFT(INDEX(FILTER(B$1:B1564, B$1:B1564&lt;&gt;""""),COUNTA(FILTER(B$1:B1564, B$1:B1564&lt;&gt;""""))), LEN(INDEX(FILTER(B$1:B1564, B$1:B1564&lt;&gt;""""),COUNTA(FILTER(B$1:B1564, B$1:B1564&lt;&gt;""""))))-1), IF('To Order'!$A1565=COL"&amp;"UMNS($A1565:B1584), B1564&amp;RIGHT(INDIRECT(ADDRESS(ROW(B1565)-1, 'From Order'!$A1565)), 1), B1564))"),"RB")</f>
        <v>RB</v>
      </c>
      <c r="C1565" s="2" t="str">
        <f>IFERROR(__xludf.DUMMYFUNCTION("IF('From Order'!$A1565=COLUMNS($A1565:C1584), LEFT(INDEX(FILTER(C$1:C1564, C$1:C1564&lt;&gt;""""),COUNTA(FILTER(C$1:C1564, C$1:C1564&lt;&gt;""""))), LEN(INDEX(FILTER(C$1:C1564, C$1:C1564&lt;&gt;""""),COUNTA(FILTER(C$1:C1564, C$1:C1564&lt;&gt;""""))))-1), IF('To Order'!$A1565=COL"&amp;"UMNS($A1565:C1584), C1564&amp;RIGHT(INDIRECT(ADDRESS(ROW(C1565)-1, 'From Order'!$A1565)), 1), C1564))"),"TQVQJPP")</f>
        <v>TQVQJPP</v>
      </c>
      <c r="D1565" s="2" t="str">
        <f>IFERROR(__xludf.DUMMYFUNCTION("IF('From Order'!$A1565=COLUMNS($A1565:D1584), LEFT(INDEX(FILTER(D$1:D1564, D$1:D1564&lt;&gt;""""),COUNTA(FILTER(D$1:D1564, D$1:D1564&lt;&gt;""""))), LEN(INDEX(FILTER(D$1:D1564, D$1:D1564&lt;&gt;""""),COUNTA(FILTER(D$1:D1564, D$1:D1564&lt;&gt;""""))))-1), IF('To Order'!$A1565=COL"&amp;"UMNS($A1565:D1584), D1564&amp;RIGHT(INDIRECT(ADDRESS(ROW(D1565)-1, 'From Order'!$A1565)), 1), D1564))"),"CGZCSFHBGJTTP")</f>
        <v>CGZCSFHBGJTTP</v>
      </c>
      <c r="E1565" s="2" t="str">
        <f>IFERROR(__xludf.DUMMYFUNCTION("IF('From Order'!$A1565=COLUMNS($A1565:E1584), LEFT(INDEX(FILTER(E$1:E1564, E$1:E1564&lt;&gt;""""),COUNTA(FILTER(E$1:E1564, E$1:E1564&lt;&gt;""""))), LEN(INDEX(FILTER(E$1:E1564, E$1:E1564&lt;&gt;""""),COUNTA(FILTER(E$1:E1564, E$1:E1564&lt;&gt;""""))))-1), IF('To Order'!$A1565=COL"&amp;"UMNS($A1565:E1584), E1564&amp;RIGHT(INDIRECT(ADDRESS(ROW(E1565)-1, 'From Order'!$A1565)), 1), E1564))"),"W")</f>
        <v>W</v>
      </c>
      <c r="F1565" s="2" t="str">
        <f>IFERROR(__xludf.DUMMYFUNCTION("IF('From Order'!$A1565=COLUMNS($A1565:F1584), LEFT(INDEX(FILTER(F$1:F1564, F$1:F1564&lt;&gt;""""),COUNTA(FILTER(F$1:F1564, F$1:F1564&lt;&gt;""""))), LEN(INDEX(FILTER(F$1:F1564, F$1:F1564&lt;&gt;""""),COUNTA(FILTER(F$1:F1564, F$1:F1564&lt;&gt;""""))))-1), IF('To Order'!$A1565=COL"&amp;"UMNS($A1565:F1584), F1564&amp;RIGHT(INDIRECT(ADDRESS(ROW(F1565)-1, 'From Order'!$A1565)), 1), F1564))"),"ZR")</f>
        <v>ZR</v>
      </c>
      <c r="G1565" s="2" t="str">
        <f>IFERROR(__xludf.DUMMYFUNCTION("IF('From Order'!$A1565=COLUMNS($A1565:G1584), LEFT(INDEX(FILTER(G$1:G1564, G$1:G1564&lt;&gt;""""),COUNTA(FILTER(G$1:G1564, G$1:G1564&lt;&gt;""""))), LEN(INDEX(FILTER(G$1:G1564, G$1:G1564&lt;&gt;""""),COUNTA(FILTER(G$1:G1564, G$1:G1564&lt;&gt;""""))))-1), IF('To Order'!$A1565=COL"&amp;"UMNS($A1565:G1584), G1564&amp;RIGHT(INDIRECT(ADDRESS(ROW(G1565)-1, 'From Order'!$A1565)), 1), G1564))"),"SSTDDWLLFB")</f>
        <v>SSTDDWLLFB</v>
      </c>
      <c r="H1565" s="2" t="str">
        <f>IFERROR(__xludf.DUMMYFUNCTION("IF('From Order'!$A1565=COLUMNS($A1565:H1584), LEFT(INDEX(FILTER(H$1:H1564, H$1:H1564&lt;&gt;""""),COUNTA(FILTER(H$1:H1564, H$1:H1564&lt;&gt;""""))), LEN(INDEX(FILTER(H$1:H1564, H$1:H1564&lt;&gt;""""),COUNTA(FILTER(H$1:H1564, H$1:H1564&lt;&gt;""""))))-1), IF('To Order'!$A1565=COL"&amp;"UMNS($A1565:H1584), H1564&amp;RIGHT(INDIRECT(ADDRESS(ROW(H1565)-1, 'From Order'!$A1565)), 1), H1564))"),"")</f>
        <v/>
      </c>
      <c r="I1565" s="2" t="str">
        <f>IFERROR(__xludf.DUMMYFUNCTION("IF('From Order'!$A1565=COLUMNS($A1565:I1584), LEFT(INDEX(FILTER(I$1:I1564, I$1:I1564&lt;&gt;""""),COUNTA(FILTER(I$1:I1564, I$1:I1564&lt;&gt;""""))), LEN(INDEX(FILTER(I$1:I1564, I$1:I1564&lt;&gt;""""),COUNTA(FILTER(I$1:I1564, I$1:I1564&lt;&gt;""""))))-1), IF('To Order'!$A1565=COL"&amp;"UMNS($A1565:I1584), I1564&amp;RIGHT(INDIRECT(ADDRESS(ROW(I1565)-1, 'From Order'!$A1565)), 1), I1564))"),"")</f>
        <v/>
      </c>
    </row>
    <row r="1566">
      <c r="A1566" s="2" t="str">
        <f>IFERROR(__xludf.DUMMYFUNCTION("IF('From Order'!$A1566=COLUMNS($A1566:A1585), LEFT(INDEX(FILTER(A$1:A1565, A$1:A1565&lt;&gt;""""),COUNTA(FILTER(A$1:A1565, A$1:A1565&lt;&gt;""""))), LEN(INDEX(FILTER(A$1:A1565, A$1:A1565&lt;&gt;""""),COUNTA(FILTER(A$1:A1565, A$1:A1565&lt;&gt;""""))))-1), IF('To Order'!$A1566=COL"&amp;"UMNS($A1566:A1585), A1565&amp;RIGHT(INDIRECT(ADDRESS(ROW(A1566)-1, 'From Order'!$A1566)), 1), A1565))"),"MDJMBVRRSDLDTMZHRDCVT")</f>
        <v>MDJMBVRRSDLDTMZHRDCVT</v>
      </c>
      <c r="B1566" s="2" t="str">
        <f>IFERROR(__xludf.DUMMYFUNCTION("IF('From Order'!$A1566=COLUMNS($A1566:B1585), LEFT(INDEX(FILTER(B$1:B1565, B$1:B1565&lt;&gt;""""),COUNTA(FILTER(B$1:B1565, B$1:B1565&lt;&gt;""""))), LEN(INDEX(FILTER(B$1:B1565, B$1:B1565&lt;&gt;""""),COUNTA(FILTER(B$1:B1565, B$1:B1565&lt;&gt;""""))))-1), IF('To Order'!$A1566=COL"&amp;"UMNS($A1566:B1585), B1565&amp;RIGHT(INDIRECT(ADDRESS(ROW(B1566)-1, 'From Order'!$A1566)), 1), B1565))"),"RB")</f>
        <v>RB</v>
      </c>
      <c r="C1566" s="2" t="str">
        <f>IFERROR(__xludf.DUMMYFUNCTION("IF('From Order'!$A1566=COLUMNS($A1566:C1585), LEFT(INDEX(FILTER(C$1:C1565, C$1:C1565&lt;&gt;""""),COUNTA(FILTER(C$1:C1565, C$1:C1565&lt;&gt;""""))), LEN(INDEX(FILTER(C$1:C1565, C$1:C1565&lt;&gt;""""),COUNTA(FILTER(C$1:C1565, C$1:C1565&lt;&gt;""""))))-1), IF('To Order'!$A1566=COL"&amp;"UMNS($A1566:C1585), C1565&amp;RIGHT(INDIRECT(ADDRESS(ROW(C1566)-1, 'From Order'!$A1566)), 1), C1565))"),"TQVQJPP")</f>
        <v>TQVQJPP</v>
      </c>
      <c r="D1566" s="2" t="str">
        <f>IFERROR(__xludf.DUMMYFUNCTION("IF('From Order'!$A1566=COLUMNS($A1566:D1585), LEFT(INDEX(FILTER(D$1:D1565, D$1:D1565&lt;&gt;""""),COUNTA(FILTER(D$1:D1565, D$1:D1565&lt;&gt;""""))), LEN(INDEX(FILTER(D$1:D1565, D$1:D1565&lt;&gt;""""),COUNTA(FILTER(D$1:D1565, D$1:D1565&lt;&gt;""""))))-1), IF('To Order'!$A1566=COL"&amp;"UMNS($A1566:D1585), D1565&amp;RIGHT(INDIRECT(ADDRESS(ROW(D1566)-1, 'From Order'!$A1566)), 1), D1565))"),"CGZCSFHBGJTT")</f>
        <v>CGZCSFHBGJTT</v>
      </c>
      <c r="E1566" s="2" t="str">
        <f>IFERROR(__xludf.DUMMYFUNCTION("IF('From Order'!$A1566=COLUMNS($A1566:E1585), LEFT(INDEX(FILTER(E$1:E1565, E$1:E1565&lt;&gt;""""),COUNTA(FILTER(E$1:E1565, E$1:E1565&lt;&gt;""""))), LEN(INDEX(FILTER(E$1:E1565, E$1:E1565&lt;&gt;""""),COUNTA(FILTER(E$1:E1565, E$1:E1565&lt;&gt;""""))))-1), IF('To Order'!$A1566=COL"&amp;"UMNS($A1566:E1585), E1565&amp;RIGHT(INDIRECT(ADDRESS(ROW(E1566)-1, 'From Order'!$A1566)), 1), E1565))"),"W")</f>
        <v>W</v>
      </c>
      <c r="F1566" s="2" t="str">
        <f>IFERROR(__xludf.DUMMYFUNCTION("IF('From Order'!$A1566=COLUMNS($A1566:F1585), LEFT(INDEX(FILTER(F$1:F1565, F$1:F1565&lt;&gt;""""),COUNTA(FILTER(F$1:F1565, F$1:F1565&lt;&gt;""""))), LEN(INDEX(FILTER(F$1:F1565, F$1:F1565&lt;&gt;""""),COUNTA(FILTER(F$1:F1565, F$1:F1565&lt;&gt;""""))))-1), IF('To Order'!$A1566=COL"&amp;"UMNS($A1566:F1585), F1565&amp;RIGHT(INDIRECT(ADDRESS(ROW(F1566)-1, 'From Order'!$A1566)), 1), F1565))"),"ZR")</f>
        <v>ZR</v>
      </c>
      <c r="G1566" s="2" t="str">
        <f>IFERROR(__xludf.DUMMYFUNCTION("IF('From Order'!$A1566=COLUMNS($A1566:G1585), LEFT(INDEX(FILTER(G$1:G1565, G$1:G1565&lt;&gt;""""),COUNTA(FILTER(G$1:G1565, G$1:G1565&lt;&gt;""""))), LEN(INDEX(FILTER(G$1:G1565, G$1:G1565&lt;&gt;""""),COUNTA(FILTER(G$1:G1565, G$1:G1565&lt;&gt;""""))))-1), IF('To Order'!$A1566=COL"&amp;"UMNS($A1566:G1585), G1565&amp;RIGHT(INDIRECT(ADDRESS(ROW(G1566)-1, 'From Order'!$A1566)), 1), G1565))"),"SSTDDWLLFBP")</f>
        <v>SSTDDWLLFBP</v>
      </c>
      <c r="H1566" s="2" t="str">
        <f>IFERROR(__xludf.DUMMYFUNCTION("IF('From Order'!$A1566=COLUMNS($A1566:H1585), LEFT(INDEX(FILTER(H$1:H1565, H$1:H1565&lt;&gt;""""),COUNTA(FILTER(H$1:H1565, H$1:H1565&lt;&gt;""""))), LEN(INDEX(FILTER(H$1:H1565, H$1:H1565&lt;&gt;""""),COUNTA(FILTER(H$1:H1565, H$1:H1565&lt;&gt;""""))))-1), IF('To Order'!$A1566=COL"&amp;"UMNS($A1566:H1585), H1565&amp;RIGHT(INDIRECT(ADDRESS(ROW(H1566)-1, 'From Order'!$A1566)), 1), H1565))"),"")</f>
        <v/>
      </c>
      <c r="I1566" s="2" t="str">
        <f>IFERROR(__xludf.DUMMYFUNCTION("IF('From Order'!$A1566=COLUMNS($A1566:I1585), LEFT(INDEX(FILTER(I$1:I1565, I$1:I1565&lt;&gt;""""),COUNTA(FILTER(I$1:I1565, I$1:I1565&lt;&gt;""""))), LEN(INDEX(FILTER(I$1:I1565, I$1:I1565&lt;&gt;""""),COUNTA(FILTER(I$1:I1565, I$1:I1565&lt;&gt;""""))))-1), IF('To Order'!$A1566=COL"&amp;"UMNS($A1566:I1585), I1565&amp;RIGHT(INDIRECT(ADDRESS(ROW(I1566)-1, 'From Order'!$A1566)), 1), I1565))"),"")</f>
        <v/>
      </c>
    </row>
    <row r="1567">
      <c r="A1567" s="2" t="str">
        <f>IFERROR(__xludf.DUMMYFUNCTION("IF('From Order'!$A1567=COLUMNS($A1567:A1586), LEFT(INDEX(FILTER(A$1:A1566, A$1:A1566&lt;&gt;""""),COUNTA(FILTER(A$1:A1566, A$1:A1566&lt;&gt;""""))), LEN(INDEX(FILTER(A$1:A1566, A$1:A1566&lt;&gt;""""),COUNTA(FILTER(A$1:A1566, A$1:A1566&lt;&gt;""""))))-1), IF('To Order'!$A1567=COL"&amp;"UMNS($A1567:A1586), A1566&amp;RIGHT(INDIRECT(ADDRESS(ROW(A1567)-1, 'From Order'!$A1567)), 1), A1566))"),"MDJMBVRRSDLDTMZHRDCVT")</f>
        <v>MDJMBVRRSDLDTMZHRDCVT</v>
      </c>
      <c r="B1567" s="2" t="str">
        <f>IFERROR(__xludf.DUMMYFUNCTION("IF('From Order'!$A1567=COLUMNS($A1567:B1586), LEFT(INDEX(FILTER(B$1:B1566, B$1:B1566&lt;&gt;""""),COUNTA(FILTER(B$1:B1566, B$1:B1566&lt;&gt;""""))), LEN(INDEX(FILTER(B$1:B1566, B$1:B1566&lt;&gt;""""),COUNTA(FILTER(B$1:B1566, B$1:B1566&lt;&gt;""""))))-1), IF('To Order'!$A1567=COL"&amp;"UMNS($A1567:B1586), B1566&amp;RIGHT(INDIRECT(ADDRESS(ROW(B1567)-1, 'From Order'!$A1567)), 1), B1566))"),"RB")</f>
        <v>RB</v>
      </c>
      <c r="C1567" s="2" t="str">
        <f>IFERROR(__xludf.DUMMYFUNCTION("IF('From Order'!$A1567=COLUMNS($A1567:C1586), LEFT(INDEX(FILTER(C$1:C1566, C$1:C1566&lt;&gt;""""),COUNTA(FILTER(C$1:C1566, C$1:C1566&lt;&gt;""""))), LEN(INDEX(FILTER(C$1:C1566, C$1:C1566&lt;&gt;""""),COUNTA(FILTER(C$1:C1566, C$1:C1566&lt;&gt;""""))))-1), IF('To Order'!$A1567=COL"&amp;"UMNS($A1567:C1586), C1566&amp;RIGHT(INDIRECT(ADDRESS(ROW(C1567)-1, 'From Order'!$A1567)), 1), C1566))"),"TQVQJPP")</f>
        <v>TQVQJPP</v>
      </c>
      <c r="D1567" s="2" t="str">
        <f>IFERROR(__xludf.DUMMYFUNCTION("IF('From Order'!$A1567=COLUMNS($A1567:D1586), LEFT(INDEX(FILTER(D$1:D1566, D$1:D1566&lt;&gt;""""),COUNTA(FILTER(D$1:D1566, D$1:D1566&lt;&gt;""""))), LEN(INDEX(FILTER(D$1:D1566, D$1:D1566&lt;&gt;""""),COUNTA(FILTER(D$1:D1566, D$1:D1566&lt;&gt;""""))))-1), IF('To Order'!$A1567=COL"&amp;"UMNS($A1567:D1586), D1566&amp;RIGHT(INDIRECT(ADDRESS(ROW(D1567)-1, 'From Order'!$A1567)), 1), D1566))"),"CGZCSFHBGJT")</f>
        <v>CGZCSFHBGJT</v>
      </c>
      <c r="E1567" s="2" t="str">
        <f>IFERROR(__xludf.DUMMYFUNCTION("IF('From Order'!$A1567=COLUMNS($A1567:E1586), LEFT(INDEX(FILTER(E$1:E1566, E$1:E1566&lt;&gt;""""),COUNTA(FILTER(E$1:E1566, E$1:E1566&lt;&gt;""""))), LEN(INDEX(FILTER(E$1:E1566, E$1:E1566&lt;&gt;""""),COUNTA(FILTER(E$1:E1566, E$1:E1566&lt;&gt;""""))))-1), IF('To Order'!$A1567=COL"&amp;"UMNS($A1567:E1586), E1566&amp;RIGHT(INDIRECT(ADDRESS(ROW(E1567)-1, 'From Order'!$A1567)), 1), E1566))"),"W")</f>
        <v>W</v>
      </c>
      <c r="F1567" s="2" t="str">
        <f>IFERROR(__xludf.DUMMYFUNCTION("IF('From Order'!$A1567=COLUMNS($A1567:F1586), LEFT(INDEX(FILTER(F$1:F1566, F$1:F1566&lt;&gt;""""),COUNTA(FILTER(F$1:F1566, F$1:F1566&lt;&gt;""""))), LEN(INDEX(FILTER(F$1:F1566, F$1:F1566&lt;&gt;""""),COUNTA(FILTER(F$1:F1566, F$1:F1566&lt;&gt;""""))))-1), IF('To Order'!$A1567=COL"&amp;"UMNS($A1567:F1586), F1566&amp;RIGHT(INDIRECT(ADDRESS(ROW(F1567)-1, 'From Order'!$A1567)), 1), F1566))"),"ZR")</f>
        <v>ZR</v>
      </c>
      <c r="G1567" s="2" t="str">
        <f>IFERROR(__xludf.DUMMYFUNCTION("IF('From Order'!$A1567=COLUMNS($A1567:G1586), LEFT(INDEX(FILTER(G$1:G1566, G$1:G1566&lt;&gt;""""),COUNTA(FILTER(G$1:G1566, G$1:G1566&lt;&gt;""""))), LEN(INDEX(FILTER(G$1:G1566, G$1:G1566&lt;&gt;""""),COUNTA(FILTER(G$1:G1566, G$1:G1566&lt;&gt;""""))))-1), IF('To Order'!$A1567=COL"&amp;"UMNS($A1567:G1586), G1566&amp;RIGHT(INDIRECT(ADDRESS(ROW(G1567)-1, 'From Order'!$A1567)), 1), G1566))"),"SSTDDWLLFBPT")</f>
        <v>SSTDDWLLFBPT</v>
      </c>
      <c r="H1567" s="2" t="str">
        <f>IFERROR(__xludf.DUMMYFUNCTION("IF('From Order'!$A1567=COLUMNS($A1567:H1586), LEFT(INDEX(FILTER(H$1:H1566, H$1:H1566&lt;&gt;""""),COUNTA(FILTER(H$1:H1566, H$1:H1566&lt;&gt;""""))), LEN(INDEX(FILTER(H$1:H1566, H$1:H1566&lt;&gt;""""),COUNTA(FILTER(H$1:H1566, H$1:H1566&lt;&gt;""""))))-1), IF('To Order'!$A1567=COL"&amp;"UMNS($A1567:H1586), H1566&amp;RIGHT(INDIRECT(ADDRESS(ROW(H1567)-1, 'From Order'!$A1567)), 1), H1566))"),"")</f>
        <v/>
      </c>
      <c r="I1567" s="2" t="str">
        <f>IFERROR(__xludf.DUMMYFUNCTION("IF('From Order'!$A1567=COLUMNS($A1567:I1586), LEFT(INDEX(FILTER(I$1:I1566, I$1:I1566&lt;&gt;""""),COUNTA(FILTER(I$1:I1566, I$1:I1566&lt;&gt;""""))), LEN(INDEX(FILTER(I$1:I1566, I$1:I1566&lt;&gt;""""),COUNTA(FILTER(I$1:I1566, I$1:I1566&lt;&gt;""""))))-1), IF('To Order'!$A1567=COL"&amp;"UMNS($A1567:I1586), I1566&amp;RIGHT(INDIRECT(ADDRESS(ROW(I1567)-1, 'From Order'!$A1567)), 1), I1566))"),"")</f>
        <v/>
      </c>
    </row>
    <row r="1568">
      <c r="A1568" s="2" t="str">
        <f>IFERROR(__xludf.DUMMYFUNCTION("IF('From Order'!$A1568=COLUMNS($A1568:A1587), LEFT(INDEX(FILTER(A$1:A1567, A$1:A1567&lt;&gt;""""),COUNTA(FILTER(A$1:A1567, A$1:A1567&lt;&gt;""""))), LEN(INDEX(FILTER(A$1:A1567, A$1:A1567&lt;&gt;""""),COUNTA(FILTER(A$1:A1567, A$1:A1567&lt;&gt;""""))))-1), IF('To Order'!$A1568=COL"&amp;"UMNS($A1568:A1587), A1567&amp;RIGHT(INDIRECT(ADDRESS(ROW(A1568)-1, 'From Order'!$A1568)), 1), A1567))"),"MDJMBVRRSDLDTMZHRDCVT")</f>
        <v>MDJMBVRRSDLDTMZHRDCVT</v>
      </c>
      <c r="B1568" s="2" t="str">
        <f>IFERROR(__xludf.DUMMYFUNCTION("IF('From Order'!$A1568=COLUMNS($A1568:B1587), LEFT(INDEX(FILTER(B$1:B1567, B$1:B1567&lt;&gt;""""),COUNTA(FILTER(B$1:B1567, B$1:B1567&lt;&gt;""""))), LEN(INDEX(FILTER(B$1:B1567, B$1:B1567&lt;&gt;""""),COUNTA(FILTER(B$1:B1567, B$1:B1567&lt;&gt;""""))))-1), IF('To Order'!$A1568=COL"&amp;"UMNS($A1568:B1587), B1567&amp;RIGHT(INDIRECT(ADDRESS(ROW(B1568)-1, 'From Order'!$A1568)), 1), B1567))"),"RB")</f>
        <v>RB</v>
      </c>
      <c r="C1568" s="2" t="str">
        <f>IFERROR(__xludf.DUMMYFUNCTION("IF('From Order'!$A1568=COLUMNS($A1568:C1587), LEFT(INDEX(FILTER(C$1:C1567, C$1:C1567&lt;&gt;""""),COUNTA(FILTER(C$1:C1567, C$1:C1567&lt;&gt;""""))), LEN(INDEX(FILTER(C$1:C1567, C$1:C1567&lt;&gt;""""),COUNTA(FILTER(C$1:C1567, C$1:C1567&lt;&gt;""""))))-1), IF('To Order'!$A1568=COL"&amp;"UMNS($A1568:C1587), C1567&amp;RIGHT(INDIRECT(ADDRESS(ROW(C1568)-1, 'From Order'!$A1568)), 1), C1567))"),"TQVQJPP")</f>
        <v>TQVQJPP</v>
      </c>
      <c r="D1568" s="2" t="str">
        <f>IFERROR(__xludf.DUMMYFUNCTION("IF('From Order'!$A1568=COLUMNS($A1568:D1587), LEFT(INDEX(FILTER(D$1:D1567, D$1:D1567&lt;&gt;""""),COUNTA(FILTER(D$1:D1567, D$1:D1567&lt;&gt;""""))), LEN(INDEX(FILTER(D$1:D1567, D$1:D1567&lt;&gt;""""),COUNTA(FILTER(D$1:D1567, D$1:D1567&lt;&gt;""""))))-1), IF('To Order'!$A1568=COL"&amp;"UMNS($A1568:D1587), D1567&amp;RIGHT(INDIRECT(ADDRESS(ROW(D1568)-1, 'From Order'!$A1568)), 1), D1567))"),"CGZCSFHBGJ")</f>
        <v>CGZCSFHBGJ</v>
      </c>
      <c r="E1568" s="2" t="str">
        <f>IFERROR(__xludf.DUMMYFUNCTION("IF('From Order'!$A1568=COLUMNS($A1568:E1587), LEFT(INDEX(FILTER(E$1:E1567, E$1:E1567&lt;&gt;""""),COUNTA(FILTER(E$1:E1567, E$1:E1567&lt;&gt;""""))), LEN(INDEX(FILTER(E$1:E1567, E$1:E1567&lt;&gt;""""),COUNTA(FILTER(E$1:E1567, E$1:E1567&lt;&gt;""""))))-1), IF('To Order'!$A1568=COL"&amp;"UMNS($A1568:E1587), E1567&amp;RIGHT(INDIRECT(ADDRESS(ROW(E1568)-1, 'From Order'!$A1568)), 1), E1567))"),"W")</f>
        <v>W</v>
      </c>
      <c r="F1568" s="2" t="str">
        <f>IFERROR(__xludf.DUMMYFUNCTION("IF('From Order'!$A1568=COLUMNS($A1568:F1587), LEFT(INDEX(FILTER(F$1:F1567, F$1:F1567&lt;&gt;""""),COUNTA(FILTER(F$1:F1567, F$1:F1567&lt;&gt;""""))), LEN(INDEX(FILTER(F$1:F1567, F$1:F1567&lt;&gt;""""),COUNTA(FILTER(F$1:F1567, F$1:F1567&lt;&gt;""""))))-1), IF('To Order'!$A1568=COL"&amp;"UMNS($A1568:F1587), F1567&amp;RIGHT(INDIRECT(ADDRESS(ROW(F1568)-1, 'From Order'!$A1568)), 1), F1567))"),"ZR")</f>
        <v>ZR</v>
      </c>
      <c r="G1568" s="2" t="str">
        <f>IFERROR(__xludf.DUMMYFUNCTION("IF('From Order'!$A1568=COLUMNS($A1568:G1587), LEFT(INDEX(FILTER(G$1:G1567, G$1:G1567&lt;&gt;""""),COUNTA(FILTER(G$1:G1567, G$1:G1567&lt;&gt;""""))), LEN(INDEX(FILTER(G$1:G1567, G$1:G1567&lt;&gt;""""),COUNTA(FILTER(G$1:G1567, G$1:G1567&lt;&gt;""""))))-1), IF('To Order'!$A1568=COL"&amp;"UMNS($A1568:G1587), G1567&amp;RIGHT(INDIRECT(ADDRESS(ROW(G1568)-1, 'From Order'!$A1568)), 1), G1567))"),"SSTDDWLLFBPTT")</f>
        <v>SSTDDWLLFBPTT</v>
      </c>
      <c r="H1568" s="2" t="str">
        <f>IFERROR(__xludf.DUMMYFUNCTION("IF('From Order'!$A1568=COLUMNS($A1568:H1587), LEFT(INDEX(FILTER(H$1:H1567, H$1:H1567&lt;&gt;""""),COUNTA(FILTER(H$1:H1567, H$1:H1567&lt;&gt;""""))), LEN(INDEX(FILTER(H$1:H1567, H$1:H1567&lt;&gt;""""),COUNTA(FILTER(H$1:H1567, H$1:H1567&lt;&gt;""""))))-1), IF('To Order'!$A1568=COL"&amp;"UMNS($A1568:H1587), H1567&amp;RIGHT(INDIRECT(ADDRESS(ROW(H1568)-1, 'From Order'!$A1568)), 1), H1567))"),"")</f>
        <v/>
      </c>
      <c r="I1568" s="2" t="str">
        <f>IFERROR(__xludf.DUMMYFUNCTION("IF('From Order'!$A1568=COLUMNS($A1568:I1587), LEFT(INDEX(FILTER(I$1:I1567, I$1:I1567&lt;&gt;""""),COUNTA(FILTER(I$1:I1567, I$1:I1567&lt;&gt;""""))), LEN(INDEX(FILTER(I$1:I1567, I$1:I1567&lt;&gt;""""),COUNTA(FILTER(I$1:I1567, I$1:I1567&lt;&gt;""""))))-1), IF('To Order'!$A1568=COL"&amp;"UMNS($A1568:I1587), I1567&amp;RIGHT(INDIRECT(ADDRESS(ROW(I1568)-1, 'From Order'!$A1568)), 1), I1567))"),"")</f>
        <v/>
      </c>
    </row>
    <row r="1569">
      <c r="A1569" s="2" t="str">
        <f>IFERROR(__xludf.DUMMYFUNCTION("IF('From Order'!$A1569=COLUMNS($A1569:A1588), LEFT(INDEX(FILTER(A$1:A1568, A$1:A1568&lt;&gt;""""),COUNTA(FILTER(A$1:A1568, A$1:A1568&lt;&gt;""""))), LEN(INDEX(FILTER(A$1:A1568, A$1:A1568&lt;&gt;""""),COUNTA(FILTER(A$1:A1568, A$1:A1568&lt;&gt;""""))))-1), IF('To Order'!$A1569=COL"&amp;"UMNS($A1569:A1588), A1568&amp;RIGHT(INDIRECT(ADDRESS(ROW(A1569)-1, 'From Order'!$A1569)), 1), A1568))"),"MDJMBVRRSDLDTMZHRDCVT")</f>
        <v>MDJMBVRRSDLDTMZHRDCVT</v>
      </c>
      <c r="B1569" s="2" t="str">
        <f>IFERROR(__xludf.DUMMYFUNCTION("IF('From Order'!$A1569=COLUMNS($A1569:B1588), LEFT(INDEX(FILTER(B$1:B1568, B$1:B1568&lt;&gt;""""),COUNTA(FILTER(B$1:B1568, B$1:B1568&lt;&gt;""""))), LEN(INDEX(FILTER(B$1:B1568, B$1:B1568&lt;&gt;""""),COUNTA(FILTER(B$1:B1568, B$1:B1568&lt;&gt;""""))))-1), IF('To Order'!$A1569=COL"&amp;"UMNS($A1569:B1588), B1568&amp;RIGHT(INDIRECT(ADDRESS(ROW(B1569)-1, 'From Order'!$A1569)), 1), B1568))"),"RB")</f>
        <v>RB</v>
      </c>
      <c r="C1569" s="2" t="str">
        <f>IFERROR(__xludf.DUMMYFUNCTION("IF('From Order'!$A1569=COLUMNS($A1569:C1588), LEFT(INDEX(FILTER(C$1:C1568, C$1:C1568&lt;&gt;""""),COUNTA(FILTER(C$1:C1568, C$1:C1568&lt;&gt;""""))), LEN(INDEX(FILTER(C$1:C1568, C$1:C1568&lt;&gt;""""),COUNTA(FILTER(C$1:C1568, C$1:C1568&lt;&gt;""""))))-1), IF('To Order'!$A1569=COL"&amp;"UMNS($A1569:C1588), C1568&amp;RIGHT(INDIRECT(ADDRESS(ROW(C1569)-1, 'From Order'!$A1569)), 1), C1568))"),"TQVQJPP")</f>
        <v>TQVQJPP</v>
      </c>
      <c r="D1569" s="2" t="str">
        <f>IFERROR(__xludf.DUMMYFUNCTION("IF('From Order'!$A1569=COLUMNS($A1569:D1588), LEFT(INDEX(FILTER(D$1:D1568, D$1:D1568&lt;&gt;""""),COUNTA(FILTER(D$1:D1568, D$1:D1568&lt;&gt;""""))), LEN(INDEX(FILTER(D$1:D1568, D$1:D1568&lt;&gt;""""),COUNTA(FILTER(D$1:D1568, D$1:D1568&lt;&gt;""""))))-1), IF('To Order'!$A1569=COL"&amp;"UMNS($A1569:D1588), D1568&amp;RIGHT(INDIRECT(ADDRESS(ROW(D1569)-1, 'From Order'!$A1569)), 1), D1568))"),"CGZCSFHBG")</f>
        <v>CGZCSFHBG</v>
      </c>
      <c r="E1569" s="2" t="str">
        <f>IFERROR(__xludf.DUMMYFUNCTION("IF('From Order'!$A1569=COLUMNS($A1569:E1588), LEFT(INDEX(FILTER(E$1:E1568, E$1:E1568&lt;&gt;""""),COUNTA(FILTER(E$1:E1568, E$1:E1568&lt;&gt;""""))), LEN(INDEX(FILTER(E$1:E1568, E$1:E1568&lt;&gt;""""),COUNTA(FILTER(E$1:E1568, E$1:E1568&lt;&gt;""""))))-1), IF('To Order'!$A1569=COL"&amp;"UMNS($A1569:E1588), E1568&amp;RIGHT(INDIRECT(ADDRESS(ROW(E1569)-1, 'From Order'!$A1569)), 1), E1568))"),"W")</f>
        <v>W</v>
      </c>
      <c r="F1569" s="2" t="str">
        <f>IFERROR(__xludf.DUMMYFUNCTION("IF('From Order'!$A1569=COLUMNS($A1569:F1588), LEFT(INDEX(FILTER(F$1:F1568, F$1:F1568&lt;&gt;""""),COUNTA(FILTER(F$1:F1568, F$1:F1568&lt;&gt;""""))), LEN(INDEX(FILTER(F$1:F1568, F$1:F1568&lt;&gt;""""),COUNTA(FILTER(F$1:F1568, F$1:F1568&lt;&gt;""""))))-1), IF('To Order'!$A1569=COL"&amp;"UMNS($A1569:F1588), F1568&amp;RIGHT(INDIRECT(ADDRESS(ROW(F1569)-1, 'From Order'!$A1569)), 1), F1568))"),"ZR")</f>
        <v>ZR</v>
      </c>
      <c r="G1569" s="2" t="str">
        <f>IFERROR(__xludf.DUMMYFUNCTION("IF('From Order'!$A1569=COLUMNS($A1569:G1588), LEFT(INDEX(FILTER(G$1:G1568, G$1:G1568&lt;&gt;""""),COUNTA(FILTER(G$1:G1568, G$1:G1568&lt;&gt;""""))), LEN(INDEX(FILTER(G$1:G1568, G$1:G1568&lt;&gt;""""),COUNTA(FILTER(G$1:G1568, G$1:G1568&lt;&gt;""""))))-1), IF('To Order'!$A1569=COL"&amp;"UMNS($A1569:G1588), G1568&amp;RIGHT(INDIRECT(ADDRESS(ROW(G1569)-1, 'From Order'!$A1569)), 1), G1568))"),"SSTDDWLLFBPTTJ")</f>
        <v>SSTDDWLLFBPTTJ</v>
      </c>
      <c r="H1569" s="2" t="str">
        <f>IFERROR(__xludf.DUMMYFUNCTION("IF('From Order'!$A1569=COLUMNS($A1569:H1588), LEFT(INDEX(FILTER(H$1:H1568, H$1:H1568&lt;&gt;""""),COUNTA(FILTER(H$1:H1568, H$1:H1568&lt;&gt;""""))), LEN(INDEX(FILTER(H$1:H1568, H$1:H1568&lt;&gt;""""),COUNTA(FILTER(H$1:H1568, H$1:H1568&lt;&gt;""""))))-1), IF('To Order'!$A1569=COL"&amp;"UMNS($A1569:H1588), H1568&amp;RIGHT(INDIRECT(ADDRESS(ROW(H1569)-1, 'From Order'!$A1569)), 1), H1568))"),"")</f>
        <v/>
      </c>
      <c r="I1569" s="2" t="str">
        <f>IFERROR(__xludf.DUMMYFUNCTION("IF('From Order'!$A1569=COLUMNS($A1569:I1588), LEFT(INDEX(FILTER(I$1:I1568, I$1:I1568&lt;&gt;""""),COUNTA(FILTER(I$1:I1568, I$1:I1568&lt;&gt;""""))), LEN(INDEX(FILTER(I$1:I1568, I$1:I1568&lt;&gt;""""),COUNTA(FILTER(I$1:I1568, I$1:I1568&lt;&gt;""""))))-1), IF('To Order'!$A1569=COL"&amp;"UMNS($A1569:I1588), I1568&amp;RIGHT(INDIRECT(ADDRESS(ROW(I1569)-1, 'From Order'!$A1569)), 1), I1568))"),"")</f>
        <v/>
      </c>
    </row>
    <row r="1570">
      <c r="A1570" s="2" t="str">
        <f>IFERROR(__xludf.DUMMYFUNCTION("IF('From Order'!$A1570=COLUMNS($A1570:A1589), LEFT(INDEX(FILTER(A$1:A1569, A$1:A1569&lt;&gt;""""),COUNTA(FILTER(A$1:A1569, A$1:A1569&lt;&gt;""""))), LEN(INDEX(FILTER(A$1:A1569, A$1:A1569&lt;&gt;""""),COUNTA(FILTER(A$1:A1569, A$1:A1569&lt;&gt;""""))))-1), IF('To Order'!$A1570=COL"&amp;"UMNS($A1570:A1589), A1569&amp;RIGHT(INDIRECT(ADDRESS(ROW(A1570)-1, 'From Order'!$A1570)), 1), A1569))"),"MDJMBVRRSDLDTMZHRDCVT")</f>
        <v>MDJMBVRRSDLDTMZHRDCVT</v>
      </c>
      <c r="B1570" s="2" t="str">
        <f>IFERROR(__xludf.DUMMYFUNCTION("IF('From Order'!$A1570=COLUMNS($A1570:B1589), LEFT(INDEX(FILTER(B$1:B1569, B$1:B1569&lt;&gt;""""),COUNTA(FILTER(B$1:B1569, B$1:B1569&lt;&gt;""""))), LEN(INDEX(FILTER(B$1:B1569, B$1:B1569&lt;&gt;""""),COUNTA(FILTER(B$1:B1569, B$1:B1569&lt;&gt;""""))))-1), IF('To Order'!$A1570=COL"&amp;"UMNS($A1570:B1589), B1569&amp;RIGHT(INDIRECT(ADDRESS(ROW(B1570)-1, 'From Order'!$A1570)), 1), B1569))"),"RB")</f>
        <v>RB</v>
      </c>
      <c r="C1570" s="2" t="str">
        <f>IFERROR(__xludf.DUMMYFUNCTION("IF('From Order'!$A1570=COLUMNS($A1570:C1589), LEFT(INDEX(FILTER(C$1:C1569, C$1:C1569&lt;&gt;""""),COUNTA(FILTER(C$1:C1569, C$1:C1569&lt;&gt;""""))), LEN(INDEX(FILTER(C$1:C1569, C$1:C1569&lt;&gt;""""),COUNTA(FILTER(C$1:C1569, C$1:C1569&lt;&gt;""""))))-1), IF('To Order'!$A1570=COL"&amp;"UMNS($A1570:C1589), C1569&amp;RIGHT(INDIRECT(ADDRESS(ROW(C1570)-1, 'From Order'!$A1570)), 1), C1569))"),"TQVQJPP")</f>
        <v>TQVQJPP</v>
      </c>
      <c r="D1570" s="2" t="str">
        <f>IFERROR(__xludf.DUMMYFUNCTION("IF('From Order'!$A1570=COLUMNS($A1570:D1589), LEFT(INDEX(FILTER(D$1:D1569, D$1:D1569&lt;&gt;""""),COUNTA(FILTER(D$1:D1569, D$1:D1569&lt;&gt;""""))), LEN(INDEX(FILTER(D$1:D1569, D$1:D1569&lt;&gt;""""),COUNTA(FILTER(D$1:D1569, D$1:D1569&lt;&gt;""""))))-1), IF('To Order'!$A1570=COL"&amp;"UMNS($A1570:D1589), D1569&amp;RIGHT(INDIRECT(ADDRESS(ROW(D1570)-1, 'From Order'!$A1570)), 1), D1569))"),"CGZCSFHB")</f>
        <v>CGZCSFHB</v>
      </c>
      <c r="E1570" s="2" t="str">
        <f>IFERROR(__xludf.DUMMYFUNCTION("IF('From Order'!$A1570=COLUMNS($A1570:E1589), LEFT(INDEX(FILTER(E$1:E1569, E$1:E1569&lt;&gt;""""),COUNTA(FILTER(E$1:E1569, E$1:E1569&lt;&gt;""""))), LEN(INDEX(FILTER(E$1:E1569, E$1:E1569&lt;&gt;""""),COUNTA(FILTER(E$1:E1569, E$1:E1569&lt;&gt;""""))))-1), IF('To Order'!$A1570=COL"&amp;"UMNS($A1570:E1589), E1569&amp;RIGHT(INDIRECT(ADDRESS(ROW(E1570)-1, 'From Order'!$A1570)), 1), E1569))"),"W")</f>
        <v>W</v>
      </c>
      <c r="F1570" s="2" t="str">
        <f>IFERROR(__xludf.DUMMYFUNCTION("IF('From Order'!$A1570=COLUMNS($A1570:F1589), LEFT(INDEX(FILTER(F$1:F1569, F$1:F1569&lt;&gt;""""),COUNTA(FILTER(F$1:F1569, F$1:F1569&lt;&gt;""""))), LEN(INDEX(FILTER(F$1:F1569, F$1:F1569&lt;&gt;""""),COUNTA(FILTER(F$1:F1569, F$1:F1569&lt;&gt;""""))))-1), IF('To Order'!$A1570=COL"&amp;"UMNS($A1570:F1589), F1569&amp;RIGHT(INDIRECT(ADDRESS(ROW(F1570)-1, 'From Order'!$A1570)), 1), F1569))"),"ZR")</f>
        <v>ZR</v>
      </c>
      <c r="G1570" s="2" t="str">
        <f>IFERROR(__xludf.DUMMYFUNCTION("IF('From Order'!$A1570=COLUMNS($A1570:G1589), LEFT(INDEX(FILTER(G$1:G1569, G$1:G1569&lt;&gt;""""),COUNTA(FILTER(G$1:G1569, G$1:G1569&lt;&gt;""""))), LEN(INDEX(FILTER(G$1:G1569, G$1:G1569&lt;&gt;""""),COUNTA(FILTER(G$1:G1569, G$1:G1569&lt;&gt;""""))))-1), IF('To Order'!$A1570=COL"&amp;"UMNS($A1570:G1589), G1569&amp;RIGHT(INDIRECT(ADDRESS(ROW(G1570)-1, 'From Order'!$A1570)), 1), G1569))"),"SSTDDWLLFBPTTJG")</f>
        <v>SSTDDWLLFBPTTJG</v>
      </c>
      <c r="H1570" s="2" t="str">
        <f>IFERROR(__xludf.DUMMYFUNCTION("IF('From Order'!$A1570=COLUMNS($A1570:H1589), LEFT(INDEX(FILTER(H$1:H1569, H$1:H1569&lt;&gt;""""),COUNTA(FILTER(H$1:H1569, H$1:H1569&lt;&gt;""""))), LEN(INDEX(FILTER(H$1:H1569, H$1:H1569&lt;&gt;""""),COUNTA(FILTER(H$1:H1569, H$1:H1569&lt;&gt;""""))))-1), IF('To Order'!$A1570=COL"&amp;"UMNS($A1570:H1589), H1569&amp;RIGHT(INDIRECT(ADDRESS(ROW(H1570)-1, 'From Order'!$A1570)), 1), H1569))"),"")</f>
        <v/>
      </c>
      <c r="I1570" s="2" t="str">
        <f>IFERROR(__xludf.DUMMYFUNCTION("IF('From Order'!$A1570=COLUMNS($A1570:I1589), LEFT(INDEX(FILTER(I$1:I1569, I$1:I1569&lt;&gt;""""),COUNTA(FILTER(I$1:I1569, I$1:I1569&lt;&gt;""""))), LEN(INDEX(FILTER(I$1:I1569, I$1:I1569&lt;&gt;""""),COUNTA(FILTER(I$1:I1569, I$1:I1569&lt;&gt;""""))))-1), IF('To Order'!$A1570=COL"&amp;"UMNS($A1570:I1589), I1569&amp;RIGHT(INDIRECT(ADDRESS(ROW(I1570)-1, 'From Order'!$A1570)), 1), I1569))"),"")</f>
        <v/>
      </c>
    </row>
    <row r="1571">
      <c r="A1571" s="2" t="str">
        <f>IFERROR(__xludf.DUMMYFUNCTION("IF('From Order'!$A1571=COLUMNS($A1571:A1590), LEFT(INDEX(FILTER(A$1:A1570, A$1:A1570&lt;&gt;""""),COUNTA(FILTER(A$1:A1570, A$1:A1570&lt;&gt;""""))), LEN(INDEX(FILTER(A$1:A1570, A$1:A1570&lt;&gt;""""),COUNTA(FILTER(A$1:A1570, A$1:A1570&lt;&gt;""""))))-1), IF('To Order'!$A1571=COL"&amp;"UMNS($A1571:A1590), A1570&amp;RIGHT(INDIRECT(ADDRESS(ROW(A1571)-1, 'From Order'!$A1571)), 1), A1570))"),"MDJMBVRRSDLDTMZHRDCVTR")</f>
        <v>MDJMBVRRSDLDTMZHRDCVTR</v>
      </c>
      <c r="B1571" s="2" t="str">
        <f>IFERROR(__xludf.DUMMYFUNCTION("IF('From Order'!$A1571=COLUMNS($A1571:B1590), LEFT(INDEX(FILTER(B$1:B1570, B$1:B1570&lt;&gt;""""),COUNTA(FILTER(B$1:B1570, B$1:B1570&lt;&gt;""""))), LEN(INDEX(FILTER(B$1:B1570, B$1:B1570&lt;&gt;""""),COUNTA(FILTER(B$1:B1570, B$1:B1570&lt;&gt;""""))))-1), IF('To Order'!$A1571=COL"&amp;"UMNS($A1571:B1590), B1570&amp;RIGHT(INDIRECT(ADDRESS(ROW(B1571)-1, 'From Order'!$A1571)), 1), B1570))"),"RB")</f>
        <v>RB</v>
      </c>
      <c r="C1571" s="2" t="str">
        <f>IFERROR(__xludf.DUMMYFUNCTION("IF('From Order'!$A1571=COLUMNS($A1571:C1590), LEFT(INDEX(FILTER(C$1:C1570, C$1:C1570&lt;&gt;""""),COUNTA(FILTER(C$1:C1570, C$1:C1570&lt;&gt;""""))), LEN(INDEX(FILTER(C$1:C1570, C$1:C1570&lt;&gt;""""),COUNTA(FILTER(C$1:C1570, C$1:C1570&lt;&gt;""""))))-1), IF('To Order'!$A1571=COL"&amp;"UMNS($A1571:C1590), C1570&amp;RIGHT(INDIRECT(ADDRESS(ROW(C1571)-1, 'From Order'!$A1571)), 1), C1570))"),"TQVQJPP")</f>
        <v>TQVQJPP</v>
      </c>
      <c r="D1571" s="2" t="str">
        <f>IFERROR(__xludf.DUMMYFUNCTION("IF('From Order'!$A1571=COLUMNS($A1571:D1590), LEFT(INDEX(FILTER(D$1:D1570, D$1:D1570&lt;&gt;""""),COUNTA(FILTER(D$1:D1570, D$1:D1570&lt;&gt;""""))), LEN(INDEX(FILTER(D$1:D1570, D$1:D1570&lt;&gt;""""),COUNTA(FILTER(D$1:D1570, D$1:D1570&lt;&gt;""""))))-1), IF('To Order'!$A1571=COL"&amp;"UMNS($A1571:D1590), D1570&amp;RIGHT(INDIRECT(ADDRESS(ROW(D1571)-1, 'From Order'!$A1571)), 1), D1570))"),"CGZCSFHB")</f>
        <v>CGZCSFHB</v>
      </c>
      <c r="E1571" s="2" t="str">
        <f>IFERROR(__xludf.DUMMYFUNCTION("IF('From Order'!$A1571=COLUMNS($A1571:E1590), LEFT(INDEX(FILTER(E$1:E1570, E$1:E1570&lt;&gt;""""),COUNTA(FILTER(E$1:E1570, E$1:E1570&lt;&gt;""""))), LEN(INDEX(FILTER(E$1:E1570, E$1:E1570&lt;&gt;""""),COUNTA(FILTER(E$1:E1570, E$1:E1570&lt;&gt;""""))))-1), IF('To Order'!$A1571=COL"&amp;"UMNS($A1571:E1590), E1570&amp;RIGHT(INDIRECT(ADDRESS(ROW(E1571)-1, 'From Order'!$A1571)), 1), E1570))"),"W")</f>
        <v>W</v>
      </c>
      <c r="F1571" s="2" t="str">
        <f>IFERROR(__xludf.DUMMYFUNCTION("IF('From Order'!$A1571=COLUMNS($A1571:F1590), LEFT(INDEX(FILTER(F$1:F1570, F$1:F1570&lt;&gt;""""),COUNTA(FILTER(F$1:F1570, F$1:F1570&lt;&gt;""""))), LEN(INDEX(FILTER(F$1:F1570, F$1:F1570&lt;&gt;""""),COUNTA(FILTER(F$1:F1570, F$1:F1570&lt;&gt;""""))))-1), IF('To Order'!$A1571=COL"&amp;"UMNS($A1571:F1590), F1570&amp;RIGHT(INDIRECT(ADDRESS(ROW(F1571)-1, 'From Order'!$A1571)), 1), F1570))"),"Z")</f>
        <v>Z</v>
      </c>
      <c r="G1571" s="2" t="str">
        <f>IFERROR(__xludf.DUMMYFUNCTION("IF('From Order'!$A1571=COLUMNS($A1571:G1590), LEFT(INDEX(FILTER(G$1:G1570, G$1:G1570&lt;&gt;""""),COUNTA(FILTER(G$1:G1570, G$1:G1570&lt;&gt;""""))), LEN(INDEX(FILTER(G$1:G1570, G$1:G1570&lt;&gt;""""),COUNTA(FILTER(G$1:G1570, G$1:G1570&lt;&gt;""""))))-1), IF('To Order'!$A1571=COL"&amp;"UMNS($A1571:G1590), G1570&amp;RIGHT(INDIRECT(ADDRESS(ROW(G1571)-1, 'From Order'!$A1571)), 1), G1570))"),"SSTDDWLLFBPTTJG")</f>
        <v>SSTDDWLLFBPTTJG</v>
      </c>
      <c r="H1571" s="2" t="str">
        <f>IFERROR(__xludf.DUMMYFUNCTION("IF('From Order'!$A1571=COLUMNS($A1571:H1590), LEFT(INDEX(FILTER(H$1:H1570, H$1:H1570&lt;&gt;""""),COUNTA(FILTER(H$1:H1570, H$1:H1570&lt;&gt;""""))), LEN(INDEX(FILTER(H$1:H1570, H$1:H1570&lt;&gt;""""),COUNTA(FILTER(H$1:H1570, H$1:H1570&lt;&gt;""""))))-1), IF('To Order'!$A1571=COL"&amp;"UMNS($A1571:H1590), H1570&amp;RIGHT(INDIRECT(ADDRESS(ROW(H1571)-1, 'From Order'!$A1571)), 1), H1570))"),"")</f>
        <v/>
      </c>
      <c r="I1571" s="2" t="str">
        <f>IFERROR(__xludf.DUMMYFUNCTION("IF('From Order'!$A1571=COLUMNS($A1571:I1590), LEFT(INDEX(FILTER(I$1:I1570, I$1:I1570&lt;&gt;""""),COUNTA(FILTER(I$1:I1570, I$1:I1570&lt;&gt;""""))), LEN(INDEX(FILTER(I$1:I1570, I$1:I1570&lt;&gt;""""),COUNTA(FILTER(I$1:I1570, I$1:I1570&lt;&gt;""""))))-1), IF('To Order'!$A1571=COL"&amp;"UMNS($A1571:I1590), I1570&amp;RIGHT(INDIRECT(ADDRESS(ROW(I1571)-1, 'From Order'!$A1571)), 1), I1570))"),"")</f>
        <v/>
      </c>
    </row>
    <row r="1572">
      <c r="A1572" s="2" t="str">
        <f>IFERROR(__xludf.DUMMYFUNCTION("IF('From Order'!$A1572=COLUMNS($A1572:A1591), LEFT(INDEX(FILTER(A$1:A1571, A$1:A1571&lt;&gt;""""),COUNTA(FILTER(A$1:A1571, A$1:A1571&lt;&gt;""""))), LEN(INDEX(FILTER(A$1:A1571, A$1:A1571&lt;&gt;""""),COUNTA(FILTER(A$1:A1571, A$1:A1571&lt;&gt;""""))))-1), IF('To Order'!$A1572=COL"&amp;"UMNS($A1572:A1591), A1571&amp;RIGHT(INDIRECT(ADDRESS(ROW(A1572)-1, 'From Order'!$A1572)), 1), A1571))"),"MDJMBVRRSDLDTMZHRDCVT")</f>
        <v>MDJMBVRRSDLDTMZHRDCVT</v>
      </c>
      <c r="B1572" s="2" t="str">
        <f>IFERROR(__xludf.DUMMYFUNCTION("IF('From Order'!$A1572=COLUMNS($A1572:B1591), LEFT(INDEX(FILTER(B$1:B1571, B$1:B1571&lt;&gt;""""),COUNTA(FILTER(B$1:B1571, B$1:B1571&lt;&gt;""""))), LEN(INDEX(FILTER(B$1:B1571, B$1:B1571&lt;&gt;""""),COUNTA(FILTER(B$1:B1571, B$1:B1571&lt;&gt;""""))))-1), IF('To Order'!$A1572=COL"&amp;"UMNS($A1572:B1591), B1571&amp;RIGHT(INDIRECT(ADDRESS(ROW(B1572)-1, 'From Order'!$A1572)), 1), B1571))"),"RBR")</f>
        <v>RBR</v>
      </c>
      <c r="C1572" s="2" t="str">
        <f>IFERROR(__xludf.DUMMYFUNCTION("IF('From Order'!$A1572=COLUMNS($A1572:C1591), LEFT(INDEX(FILTER(C$1:C1571, C$1:C1571&lt;&gt;""""),COUNTA(FILTER(C$1:C1571, C$1:C1571&lt;&gt;""""))), LEN(INDEX(FILTER(C$1:C1571, C$1:C1571&lt;&gt;""""),COUNTA(FILTER(C$1:C1571, C$1:C1571&lt;&gt;""""))))-1), IF('To Order'!$A1572=COL"&amp;"UMNS($A1572:C1591), C1571&amp;RIGHT(INDIRECT(ADDRESS(ROW(C1572)-1, 'From Order'!$A1572)), 1), C1571))"),"TQVQJPP")</f>
        <v>TQVQJPP</v>
      </c>
      <c r="D1572" s="2" t="str">
        <f>IFERROR(__xludf.DUMMYFUNCTION("IF('From Order'!$A1572=COLUMNS($A1572:D1591), LEFT(INDEX(FILTER(D$1:D1571, D$1:D1571&lt;&gt;""""),COUNTA(FILTER(D$1:D1571, D$1:D1571&lt;&gt;""""))), LEN(INDEX(FILTER(D$1:D1571, D$1:D1571&lt;&gt;""""),COUNTA(FILTER(D$1:D1571, D$1:D1571&lt;&gt;""""))))-1), IF('To Order'!$A1572=COL"&amp;"UMNS($A1572:D1591), D1571&amp;RIGHT(INDIRECT(ADDRESS(ROW(D1572)-1, 'From Order'!$A1572)), 1), D1571))"),"CGZCSFHB")</f>
        <v>CGZCSFHB</v>
      </c>
      <c r="E1572" s="2" t="str">
        <f>IFERROR(__xludf.DUMMYFUNCTION("IF('From Order'!$A1572=COLUMNS($A1572:E1591), LEFT(INDEX(FILTER(E$1:E1571, E$1:E1571&lt;&gt;""""),COUNTA(FILTER(E$1:E1571, E$1:E1571&lt;&gt;""""))), LEN(INDEX(FILTER(E$1:E1571, E$1:E1571&lt;&gt;""""),COUNTA(FILTER(E$1:E1571, E$1:E1571&lt;&gt;""""))))-1), IF('To Order'!$A1572=COL"&amp;"UMNS($A1572:E1591), E1571&amp;RIGHT(INDIRECT(ADDRESS(ROW(E1572)-1, 'From Order'!$A1572)), 1), E1571))"),"W")</f>
        <v>W</v>
      </c>
      <c r="F1572" s="2" t="str">
        <f>IFERROR(__xludf.DUMMYFUNCTION("IF('From Order'!$A1572=COLUMNS($A1572:F1591), LEFT(INDEX(FILTER(F$1:F1571, F$1:F1571&lt;&gt;""""),COUNTA(FILTER(F$1:F1571, F$1:F1571&lt;&gt;""""))), LEN(INDEX(FILTER(F$1:F1571, F$1:F1571&lt;&gt;""""),COUNTA(FILTER(F$1:F1571, F$1:F1571&lt;&gt;""""))))-1), IF('To Order'!$A1572=COL"&amp;"UMNS($A1572:F1591), F1571&amp;RIGHT(INDIRECT(ADDRESS(ROW(F1572)-1, 'From Order'!$A1572)), 1), F1571))"),"Z")</f>
        <v>Z</v>
      </c>
      <c r="G1572" s="2" t="str">
        <f>IFERROR(__xludf.DUMMYFUNCTION("IF('From Order'!$A1572=COLUMNS($A1572:G1591), LEFT(INDEX(FILTER(G$1:G1571, G$1:G1571&lt;&gt;""""),COUNTA(FILTER(G$1:G1571, G$1:G1571&lt;&gt;""""))), LEN(INDEX(FILTER(G$1:G1571, G$1:G1571&lt;&gt;""""),COUNTA(FILTER(G$1:G1571, G$1:G1571&lt;&gt;""""))))-1), IF('To Order'!$A1572=COL"&amp;"UMNS($A1572:G1591), G1571&amp;RIGHT(INDIRECT(ADDRESS(ROW(G1572)-1, 'From Order'!$A1572)), 1), G1571))"),"SSTDDWLLFBPTTJG")</f>
        <v>SSTDDWLLFBPTTJG</v>
      </c>
      <c r="H1572" s="2" t="str">
        <f>IFERROR(__xludf.DUMMYFUNCTION("IF('From Order'!$A1572=COLUMNS($A1572:H1591), LEFT(INDEX(FILTER(H$1:H1571, H$1:H1571&lt;&gt;""""),COUNTA(FILTER(H$1:H1571, H$1:H1571&lt;&gt;""""))), LEN(INDEX(FILTER(H$1:H1571, H$1:H1571&lt;&gt;""""),COUNTA(FILTER(H$1:H1571, H$1:H1571&lt;&gt;""""))))-1), IF('To Order'!$A1572=COL"&amp;"UMNS($A1572:H1591), H1571&amp;RIGHT(INDIRECT(ADDRESS(ROW(H1572)-1, 'From Order'!$A1572)), 1), H1571))"),"")</f>
        <v/>
      </c>
      <c r="I1572" s="2" t="str">
        <f>IFERROR(__xludf.DUMMYFUNCTION("IF('From Order'!$A1572=COLUMNS($A1572:I1591), LEFT(INDEX(FILTER(I$1:I1571, I$1:I1571&lt;&gt;""""),COUNTA(FILTER(I$1:I1571, I$1:I1571&lt;&gt;""""))), LEN(INDEX(FILTER(I$1:I1571, I$1:I1571&lt;&gt;""""),COUNTA(FILTER(I$1:I1571, I$1:I1571&lt;&gt;""""))))-1), IF('To Order'!$A1572=COL"&amp;"UMNS($A1572:I1591), I1571&amp;RIGHT(INDIRECT(ADDRESS(ROW(I1572)-1, 'From Order'!$A1572)), 1), I1571))"),"")</f>
        <v/>
      </c>
    </row>
    <row r="1573">
      <c r="A1573" s="2" t="str">
        <f>IFERROR(__xludf.DUMMYFUNCTION("IF('From Order'!$A1573=COLUMNS($A1573:A1592), LEFT(INDEX(FILTER(A$1:A1572, A$1:A1572&lt;&gt;""""),COUNTA(FILTER(A$1:A1572, A$1:A1572&lt;&gt;""""))), LEN(INDEX(FILTER(A$1:A1572, A$1:A1572&lt;&gt;""""),COUNTA(FILTER(A$1:A1572, A$1:A1572&lt;&gt;""""))))-1), IF('To Order'!$A1573=COL"&amp;"UMNS($A1573:A1592), A1572&amp;RIGHT(INDIRECT(ADDRESS(ROW(A1573)-1, 'From Order'!$A1573)), 1), A1572))"),"MDJMBVRRSDLDTMZHRDCV")</f>
        <v>MDJMBVRRSDLDTMZHRDCV</v>
      </c>
      <c r="B1573" s="2" t="str">
        <f>IFERROR(__xludf.DUMMYFUNCTION("IF('From Order'!$A1573=COLUMNS($A1573:B1592), LEFT(INDEX(FILTER(B$1:B1572, B$1:B1572&lt;&gt;""""),COUNTA(FILTER(B$1:B1572, B$1:B1572&lt;&gt;""""))), LEN(INDEX(FILTER(B$1:B1572, B$1:B1572&lt;&gt;""""),COUNTA(FILTER(B$1:B1572, B$1:B1572&lt;&gt;""""))))-1), IF('To Order'!$A1573=COL"&amp;"UMNS($A1573:B1592), B1572&amp;RIGHT(INDIRECT(ADDRESS(ROW(B1573)-1, 'From Order'!$A1573)), 1), B1572))"),"RBRT")</f>
        <v>RBRT</v>
      </c>
      <c r="C1573" s="2" t="str">
        <f>IFERROR(__xludf.DUMMYFUNCTION("IF('From Order'!$A1573=COLUMNS($A1573:C1592), LEFT(INDEX(FILTER(C$1:C1572, C$1:C1572&lt;&gt;""""),COUNTA(FILTER(C$1:C1572, C$1:C1572&lt;&gt;""""))), LEN(INDEX(FILTER(C$1:C1572, C$1:C1572&lt;&gt;""""),COUNTA(FILTER(C$1:C1572, C$1:C1572&lt;&gt;""""))))-1), IF('To Order'!$A1573=COL"&amp;"UMNS($A1573:C1592), C1572&amp;RIGHT(INDIRECT(ADDRESS(ROW(C1573)-1, 'From Order'!$A1573)), 1), C1572))"),"TQVQJPP")</f>
        <v>TQVQJPP</v>
      </c>
      <c r="D1573" s="2" t="str">
        <f>IFERROR(__xludf.DUMMYFUNCTION("IF('From Order'!$A1573=COLUMNS($A1573:D1592), LEFT(INDEX(FILTER(D$1:D1572, D$1:D1572&lt;&gt;""""),COUNTA(FILTER(D$1:D1572, D$1:D1572&lt;&gt;""""))), LEN(INDEX(FILTER(D$1:D1572, D$1:D1572&lt;&gt;""""),COUNTA(FILTER(D$1:D1572, D$1:D1572&lt;&gt;""""))))-1), IF('To Order'!$A1573=COL"&amp;"UMNS($A1573:D1592), D1572&amp;RIGHT(INDIRECT(ADDRESS(ROW(D1573)-1, 'From Order'!$A1573)), 1), D1572))"),"CGZCSFHB")</f>
        <v>CGZCSFHB</v>
      </c>
      <c r="E1573" s="2" t="str">
        <f>IFERROR(__xludf.DUMMYFUNCTION("IF('From Order'!$A1573=COLUMNS($A1573:E1592), LEFT(INDEX(FILTER(E$1:E1572, E$1:E1572&lt;&gt;""""),COUNTA(FILTER(E$1:E1572, E$1:E1572&lt;&gt;""""))), LEN(INDEX(FILTER(E$1:E1572, E$1:E1572&lt;&gt;""""),COUNTA(FILTER(E$1:E1572, E$1:E1572&lt;&gt;""""))))-1), IF('To Order'!$A1573=COL"&amp;"UMNS($A1573:E1592), E1572&amp;RIGHT(INDIRECT(ADDRESS(ROW(E1573)-1, 'From Order'!$A1573)), 1), E1572))"),"W")</f>
        <v>W</v>
      </c>
      <c r="F1573" s="2" t="str">
        <f>IFERROR(__xludf.DUMMYFUNCTION("IF('From Order'!$A1573=COLUMNS($A1573:F1592), LEFT(INDEX(FILTER(F$1:F1572, F$1:F1572&lt;&gt;""""),COUNTA(FILTER(F$1:F1572, F$1:F1572&lt;&gt;""""))), LEN(INDEX(FILTER(F$1:F1572, F$1:F1572&lt;&gt;""""),COUNTA(FILTER(F$1:F1572, F$1:F1572&lt;&gt;""""))))-1), IF('To Order'!$A1573=COL"&amp;"UMNS($A1573:F1592), F1572&amp;RIGHT(INDIRECT(ADDRESS(ROW(F1573)-1, 'From Order'!$A1573)), 1), F1572))"),"Z")</f>
        <v>Z</v>
      </c>
      <c r="G1573" s="2" t="str">
        <f>IFERROR(__xludf.DUMMYFUNCTION("IF('From Order'!$A1573=COLUMNS($A1573:G1592), LEFT(INDEX(FILTER(G$1:G1572, G$1:G1572&lt;&gt;""""),COUNTA(FILTER(G$1:G1572, G$1:G1572&lt;&gt;""""))), LEN(INDEX(FILTER(G$1:G1572, G$1:G1572&lt;&gt;""""),COUNTA(FILTER(G$1:G1572, G$1:G1572&lt;&gt;""""))))-1), IF('To Order'!$A1573=COL"&amp;"UMNS($A1573:G1592), G1572&amp;RIGHT(INDIRECT(ADDRESS(ROW(G1573)-1, 'From Order'!$A1573)), 1), G1572))"),"SSTDDWLLFBPTTJG")</f>
        <v>SSTDDWLLFBPTTJG</v>
      </c>
      <c r="H1573" s="2" t="str">
        <f>IFERROR(__xludf.DUMMYFUNCTION("IF('From Order'!$A1573=COLUMNS($A1573:H1592), LEFT(INDEX(FILTER(H$1:H1572, H$1:H1572&lt;&gt;""""),COUNTA(FILTER(H$1:H1572, H$1:H1572&lt;&gt;""""))), LEN(INDEX(FILTER(H$1:H1572, H$1:H1572&lt;&gt;""""),COUNTA(FILTER(H$1:H1572, H$1:H1572&lt;&gt;""""))))-1), IF('To Order'!$A1573=COL"&amp;"UMNS($A1573:H1592), H1572&amp;RIGHT(INDIRECT(ADDRESS(ROW(H1573)-1, 'From Order'!$A1573)), 1), H1572))"),"")</f>
        <v/>
      </c>
      <c r="I1573" s="2" t="str">
        <f>IFERROR(__xludf.DUMMYFUNCTION("IF('From Order'!$A1573=COLUMNS($A1573:I1592), LEFT(INDEX(FILTER(I$1:I1572, I$1:I1572&lt;&gt;""""),COUNTA(FILTER(I$1:I1572, I$1:I1572&lt;&gt;""""))), LEN(INDEX(FILTER(I$1:I1572, I$1:I1572&lt;&gt;""""),COUNTA(FILTER(I$1:I1572, I$1:I1572&lt;&gt;""""))))-1), IF('To Order'!$A1573=COL"&amp;"UMNS($A1573:I1592), I1572&amp;RIGHT(INDIRECT(ADDRESS(ROW(I1573)-1, 'From Order'!$A1573)), 1), I1572))"),"")</f>
        <v/>
      </c>
    </row>
    <row r="1574">
      <c r="A1574" s="2" t="str">
        <f>IFERROR(__xludf.DUMMYFUNCTION("IF('From Order'!$A1574=COLUMNS($A1574:A1593), LEFT(INDEX(FILTER(A$1:A1573, A$1:A1573&lt;&gt;""""),COUNTA(FILTER(A$1:A1573, A$1:A1573&lt;&gt;""""))), LEN(INDEX(FILTER(A$1:A1573, A$1:A1573&lt;&gt;""""),COUNTA(FILTER(A$1:A1573, A$1:A1573&lt;&gt;""""))))-1), IF('To Order'!$A1574=COL"&amp;"UMNS($A1574:A1593), A1573&amp;RIGHT(INDIRECT(ADDRESS(ROW(A1574)-1, 'From Order'!$A1574)), 1), A1573))"),"MDJMBVRRSDLDTMZHRDC")</f>
        <v>MDJMBVRRSDLDTMZHRDC</v>
      </c>
      <c r="B1574" s="2" t="str">
        <f>IFERROR(__xludf.DUMMYFUNCTION("IF('From Order'!$A1574=COLUMNS($A1574:B1593), LEFT(INDEX(FILTER(B$1:B1573, B$1:B1573&lt;&gt;""""),COUNTA(FILTER(B$1:B1573, B$1:B1573&lt;&gt;""""))), LEN(INDEX(FILTER(B$1:B1573, B$1:B1573&lt;&gt;""""),COUNTA(FILTER(B$1:B1573, B$1:B1573&lt;&gt;""""))))-1), IF('To Order'!$A1574=COL"&amp;"UMNS($A1574:B1593), B1573&amp;RIGHT(INDIRECT(ADDRESS(ROW(B1574)-1, 'From Order'!$A1574)), 1), B1573))"),"RBRTV")</f>
        <v>RBRTV</v>
      </c>
      <c r="C1574" s="2" t="str">
        <f>IFERROR(__xludf.DUMMYFUNCTION("IF('From Order'!$A1574=COLUMNS($A1574:C1593), LEFT(INDEX(FILTER(C$1:C1573, C$1:C1573&lt;&gt;""""),COUNTA(FILTER(C$1:C1573, C$1:C1573&lt;&gt;""""))), LEN(INDEX(FILTER(C$1:C1573, C$1:C1573&lt;&gt;""""),COUNTA(FILTER(C$1:C1573, C$1:C1573&lt;&gt;""""))))-1), IF('To Order'!$A1574=COL"&amp;"UMNS($A1574:C1593), C1573&amp;RIGHT(INDIRECT(ADDRESS(ROW(C1574)-1, 'From Order'!$A1574)), 1), C1573))"),"TQVQJPP")</f>
        <v>TQVQJPP</v>
      </c>
      <c r="D1574" s="2" t="str">
        <f>IFERROR(__xludf.DUMMYFUNCTION("IF('From Order'!$A1574=COLUMNS($A1574:D1593), LEFT(INDEX(FILTER(D$1:D1573, D$1:D1573&lt;&gt;""""),COUNTA(FILTER(D$1:D1573, D$1:D1573&lt;&gt;""""))), LEN(INDEX(FILTER(D$1:D1573, D$1:D1573&lt;&gt;""""),COUNTA(FILTER(D$1:D1573, D$1:D1573&lt;&gt;""""))))-1), IF('To Order'!$A1574=COL"&amp;"UMNS($A1574:D1593), D1573&amp;RIGHT(INDIRECT(ADDRESS(ROW(D1574)-1, 'From Order'!$A1574)), 1), D1573))"),"CGZCSFHB")</f>
        <v>CGZCSFHB</v>
      </c>
      <c r="E1574" s="2" t="str">
        <f>IFERROR(__xludf.DUMMYFUNCTION("IF('From Order'!$A1574=COLUMNS($A1574:E1593), LEFT(INDEX(FILTER(E$1:E1573, E$1:E1573&lt;&gt;""""),COUNTA(FILTER(E$1:E1573, E$1:E1573&lt;&gt;""""))), LEN(INDEX(FILTER(E$1:E1573, E$1:E1573&lt;&gt;""""),COUNTA(FILTER(E$1:E1573, E$1:E1573&lt;&gt;""""))))-1), IF('To Order'!$A1574=COL"&amp;"UMNS($A1574:E1593), E1573&amp;RIGHT(INDIRECT(ADDRESS(ROW(E1574)-1, 'From Order'!$A1574)), 1), E1573))"),"W")</f>
        <v>W</v>
      </c>
      <c r="F1574" s="2" t="str">
        <f>IFERROR(__xludf.DUMMYFUNCTION("IF('From Order'!$A1574=COLUMNS($A1574:F1593), LEFT(INDEX(FILTER(F$1:F1573, F$1:F1573&lt;&gt;""""),COUNTA(FILTER(F$1:F1573, F$1:F1573&lt;&gt;""""))), LEN(INDEX(FILTER(F$1:F1573, F$1:F1573&lt;&gt;""""),COUNTA(FILTER(F$1:F1573, F$1:F1573&lt;&gt;""""))))-1), IF('To Order'!$A1574=COL"&amp;"UMNS($A1574:F1593), F1573&amp;RIGHT(INDIRECT(ADDRESS(ROW(F1574)-1, 'From Order'!$A1574)), 1), F1573))"),"Z")</f>
        <v>Z</v>
      </c>
      <c r="G1574" s="2" t="str">
        <f>IFERROR(__xludf.DUMMYFUNCTION("IF('From Order'!$A1574=COLUMNS($A1574:G1593), LEFT(INDEX(FILTER(G$1:G1573, G$1:G1573&lt;&gt;""""),COUNTA(FILTER(G$1:G1573, G$1:G1573&lt;&gt;""""))), LEN(INDEX(FILTER(G$1:G1573, G$1:G1573&lt;&gt;""""),COUNTA(FILTER(G$1:G1573, G$1:G1573&lt;&gt;""""))))-1), IF('To Order'!$A1574=COL"&amp;"UMNS($A1574:G1593), G1573&amp;RIGHT(INDIRECT(ADDRESS(ROW(G1574)-1, 'From Order'!$A1574)), 1), G1573))"),"SSTDDWLLFBPTTJG")</f>
        <v>SSTDDWLLFBPTTJG</v>
      </c>
      <c r="H1574" s="2" t="str">
        <f>IFERROR(__xludf.DUMMYFUNCTION("IF('From Order'!$A1574=COLUMNS($A1574:H1593), LEFT(INDEX(FILTER(H$1:H1573, H$1:H1573&lt;&gt;""""),COUNTA(FILTER(H$1:H1573, H$1:H1573&lt;&gt;""""))), LEN(INDEX(FILTER(H$1:H1573, H$1:H1573&lt;&gt;""""),COUNTA(FILTER(H$1:H1573, H$1:H1573&lt;&gt;""""))))-1), IF('To Order'!$A1574=COL"&amp;"UMNS($A1574:H1593), H1573&amp;RIGHT(INDIRECT(ADDRESS(ROW(H1574)-1, 'From Order'!$A1574)), 1), H1573))"),"")</f>
        <v/>
      </c>
      <c r="I1574" s="2" t="str">
        <f>IFERROR(__xludf.DUMMYFUNCTION("IF('From Order'!$A1574=COLUMNS($A1574:I1593), LEFT(INDEX(FILTER(I$1:I1573, I$1:I1573&lt;&gt;""""),COUNTA(FILTER(I$1:I1573, I$1:I1573&lt;&gt;""""))), LEN(INDEX(FILTER(I$1:I1573, I$1:I1573&lt;&gt;""""),COUNTA(FILTER(I$1:I1573, I$1:I1573&lt;&gt;""""))))-1), IF('To Order'!$A1574=COL"&amp;"UMNS($A1574:I1593), I1573&amp;RIGHT(INDIRECT(ADDRESS(ROW(I1574)-1, 'From Order'!$A1574)), 1), I1573))"),"")</f>
        <v/>
      </c>
    </row>
    <row r="1575">
      <c r="A1575" s="2" t="str">
        <f>IFERROR(__xludf.DUMMYFUNCTION("IF('From Order'!$A1575=COLUMNS($A1575:A1594), LEFT(INDEX(FILTER(A$1:A1574, A$1:A1574&lt;&gt;""""),COUNTA(FILTER(A$1:A1574, A$1:A1574&lt;&gt;""""))), LEN(INDEX(FILTER(A$1:A1574, A$1:A1574&lt;&gt;""""),COUNTA(FILTER(A$1:A1574, A$1:A1574&lt;&gt;""""))))-1), IF('To Order'!$A1575=COL"&amp;"UMNS($A1575:A1594), A1574&amp;RIGHT(INDIRECT(ADDRESS(ROW(A1575)-1, 'From Order'!$A1575)), 1), A1574))"),"MDJMBVRRSDLDTMZHRD")</f>
        <v>MDJMBVRRSDLDTMZHRD</v>
      </c>
      <c r="B1575" s="2" t="str">
        <f>IFERROR(__xludf.DUMMYFUNCTION("IF('From Order'!$A1575=COLUMNS($A1575:B1594), LEFT(INDEX(FILTER(B$1:B1574, B$1:B1574&lt;&gt;""""),COUNTA(FILTER(B$1:B1574, B$1:B1574&lt;&gt;""""))), LEN(INDEX(FILTER(B$1:B1574, B$1:B1574&lt;&gt;""""),COUNTA(FILTER(B$1:B1574, B$1:B1574&lt;&gt;""""))))-1), IF('To Order'!$A1575=COL"&amp;"UMNS($A1575:B1594), B1574&amp;RIGHT(INDIRECT(ADDRESS(ROW(B1575)-1, 'From Order'!$A1575)), 1), B1574))"),"RBRTVC")</f>
        <v>RBRTVC</v>
      </c>
      <c r="C1575" s="2" t="str">
        <f>IFERROR(__xludf.DUMMYFUNCTION("IF('From Order'!$A1575=COLUMNS($A1575:C1594), LEFT(INDEX(FILTER(C$1:C1574, C$1:C1574&lt;&gt;""""),COUNTA(FILTER(C$1:C1574, C$1:C1574&lt;&gt;""""))), LEN(INDEX(FILTER(C$1:C1574, C$1:C1574&lt;&gt;""""),COUNTA(FILTER(C$1:C1574, C$1:C1574&lt;&gt;""""))))-1), IF('To Order'!$A1575=COL"&amp;"UMNS($A1575:C1594), C1574&amp;RIGHT(INDIRECT(ADDRESS(ROW(C1575)-1, 'From Order'!$A1575)), 1), C1574))"),"TQVQJPP")</f>
        <v>TQVQJPP</v>
      </c>
      <c r="D1575" s="2" t="str">
        <f>IFERROR(__xludf.DUMMYFUNCTION("IF('From Order'!$A1575=COLUMNS($A1575:D1594), LEFT(INDEX(FILTER(D$1:D1574, D$1:D1574&lt;&gt;""""),COUNTA(FILTER(D$1:D1574, D$1:D1574&lt;&gt;""""))), LEN(INDEX(FILTER(D$1:D1574, D$1:D1574&lt;&gt;""""),COUNTA(FILTER(D$1:D1574, D$1:D1574&lt;&gt;""""))))-1), IF('To Order'!$A1575=COL"&amp;"UMNS($A1575:D1594), D1574&amp;RIGHT(INDIRECT(ADDRESS(ROW(D1575)-1, 'From Order'!$A1575)), 1), D1574))"),"CGZCSFHB")</f>
        <v>CGZCSFHB</v>
      </c>
      <c r="E1575" s="2" t="str">
        <f>IFERROR(__xludf.DUMMYFUNCTION("IF('From Order'!$A1575=COLUMNS($A1575:E1594), LEFT(INDEX(FILTER(E$1:E1574, E$1:E1574&lt;&gt;""""),COUNTA(FILTER(E$1:E1574, E$1:E1574&lt;&gt;""""))), LEN(INDEX(FILTER(E$1:E1574, E$1:E1574&lt;&gt;""""),COUNTA(FILTER(E$1:E1574, E$1:E1574&lt;&gt;""""))))-1), IF('To Order'!$A1575=COL"&amp;"UMNS($A1575:E1594), E1574&amp;RIGHT(INDIRECT(ADDRESS(ROW(E1575)-1, 'From Order'!$A1575)), 1), E1574))"),"W")</f>
        <v>W</v>
      </c>
      <c r="F1575" s="2" t="str">
        <f>IFERROR(__xludf.DUMMYFUNCTION("IF('From Order'!$A1575=COLUMNS($A1575:F1594), LEFT(INDEX(FILTER(F$1:F1574, F$1:F1574&lt;&gt;""""),COUNTA(FILTER(F$1:F1574, F$1:F1574&lt;&gt;""""))), LEN(INDEX(FILTER(F$1:F1574, F$1:F1574&lt;&gt;""""),COUNTA(FILTER(F$1:F1574, F$1:F1574&lt;&gt;""""))))-1), IF('To Order'!$A1575=COL"&amp;"UMNS($A1575:F1594), F1574&amp;RIGHT(INDIRECT(ADDRESS(ROW(F1575)-1, 'From Order'!$A1575)), 1), F1574))"),"Z")</f>
        <v>Z</v>
      </c>
      <c r="G1575" s="2" t="str">
        <f>IFERROR(__xludf.DUMMYFUNCTION("IF('From Order'!$A1575=COLUMNS($A1575:G1594), LEFT(INDEX(FILTER(G$1:G1574, G$1:G1574&lt;&gt;""""),COUNTA(FILTER(G$1:G1574, G$1:G1574&lt;&gt;""""))), LEN(INDEX(FILTER(G$1:G1574, G$1:G1574&lt;&gt;""""),COUNTA(FILTER(G$1:G1574, G$1:G1574&lt;&gt;""""))))-1), IF('To Order'!$A1575=COL"&amp;"UMNS($A1575:G1594), G1574&amp;RIGHT(INDIRECT(ADDRESS(ROW(G1575)-1, 'From Order'!$A1575)), 1), G1574))"),"SSTDDWLLFBPTTJG")</f>
        <v>SSTDDWLLFBPTTJG</v>
      </c>
      <c r="H1575" s="2" t="str">
        <f>IFERROR(__xludf.DUMMYFUNCTION("IF('From Order'!$A1575=COLUMNS($A1575:H1594), LEFT(INDEX(FILTER(H$1:H1574, H$1:H1574&lt;&gt;""""),COUNTA(FILTER(H$1:H1574, H$1:H1574&lt;&gt;""""))), LEN(INDEX(FILTER(H$1:H1574, H$1:H1574&lt;&gt;""""),COUNTA(FILTER(H$1:H1574, H$1:H1574&lt;&gt;""""))))-1), IF('To Order'!$A1575=COL"&amp;"UMNS($A1575:H1594), H1574&amp;RIGHT(INDIRECT(ADDRESS(ROW(H1575)-1, 'From Order'!$A1575)), 1), H1574))"),"")</f>
        <v/>
      </c>
      <c r="I1575" s="2" t="str">
        <f>IFERROR(__xludf.DUMMYFUNCTION("IF('From Order'!$A1575=COLUMNS($A1575:I1594), LEFT(INDEX(FILTER(I$1:I1574, I$1:I1574&lt;&gt;""""),COUNTA(FILTER(I$1:I1574, I$1:I1574&lt;&gt;""""))), LEN(INDEX(FILTER(I$1:I1574, I$1:I1574&lt;&gt;""""),COUNTA(FILTER(I$1:I1574, I$1:I1574&lt;&gt;""""))))-1), IF('To Order'!$A1575=COL"&amp;"UMNS($A1575:I1594), I1574&amp;RIGHT(INDIRECT(ADDRESS(ROW(I1575)-1, 'From Order'!$A1575)), 1), I1574))"),"")</f>
        <v/>
      </c>
    </row>
    <row r="1576">
      <c r="A1576" s="2" t="str">
        <f>IFERROR(__xludf.DUMMYFUNCTION("IF('From Order'!$A1576=COLUMNS($A1576:A1595), LEFT(INDEX(FILTER(A$1:A1575, A$1:A1575&lt;&gt;""""),COUNTA(FILTER(A$1:A1575, A$1:A1575&lt;&gt;""""))), LEN(INDEX(FILTER(A$1:A1575, A$1:A1575&lt;&gt;""""),COUNTA(FILTER(A$1:A1575, A$1:A1575&lt;&gt;""""))))-1), IF('To Order'!$A1576=COL"&amp;"UMNS($A1576:A1595), A1575&amp;RIGHT(INDIRECT(ADDRESS(ROW(A1576)-1, 'From Order'!$A1576)), 1), A1575))"),"MDJMBVRRSDLDTMZHR")</f>
        <v>MDJMBVRRSDLDTMZHR</v>
      </c>
      <c r="B1576" s="2" t="str">
        <f>IFERROR(__xludf.DUMMYFUNCTION("IF('From Order'!$A1576=COLUMNS($A1576:B1595), LEFT(INDEX(FILTER(B$1:B1575, B$1:B1575&lt;&gt;""""),COUNTA(FILTER(B$1:B1575, B$1:B1575&lt;&gt;""""))), LEN(INDEX(FILTER(B$1:B1575, B$1:B1575&lt;&gt;""""),COUNTA(FILTER(B$1:B1575, B$1:B1575&lt;&gt;""""))))-1), IF('To Order'!$A1576=COL"&amp;"UMNS($A1576:B1595), B1575&amp;RIGHT(INDIRECT(ADDRESS(ROW(B1576)-1, 'From Order'!$A1576)), 1), B1575))"),"RBRTVCD")</f>
        <v>RBRTVCD</v>
      </c>
      <c r="C1576" s="2" t="str">
        <f>IFERROR(__xludf.DUMMYFUNCTION("IF('From Order'!$A1576=COLUMNS($A1576:C1595), LEFT(INDEX(FILTER(C$1:C1575, C$1:C1575&lt;&gt;""""),COUNTA(FILTER(C$1:C1575, C$1:C1575&lt;&gt;""""))), LEN(INDEX(FILTER(C$1:C1575, C$1:C1575&lt;&gt;""""),COUNTA(FILTER(C$1:C1575, C$1:C1575&lt;&gt;""""))))-1), IF('To Order'!$A1576=COL"&amp;"UMNS($A1576:C1595), C1575&amp;RIGHT(INDIRECT(ADDRESS(ROW(C1576)-1, 'From Order'!$A1576)), 1), C1575))"),"TQVQJPP")</f>
        <v>TQVQJPP</v>
      </c>
      <c r="D1576" s="2" t="str">
        <f>IFERROR(__xludf.DUMMYFUNCTION("IF('From Order'!$A1576=COLUMNS($A1576:D1595), LEFT(INDEX(FILTER(D$1:D1575, D$1:D1575&lt;&gt;""""),COUNTA(FILTER(D$1:D1575, D$1:D1575&lt;&gt;""""))), LEN(INDEX(FILTER(D$1:D1575, D$1:D1575&lt;&gt;""""),COUNTA(FILTER(D$1:D1575, D$1:D1575&lt;&gt;""""))))-1), IF('To Order'!$A1576=COL"&amp;"UMNS($A1576:D1595), D1575&amp;RIGHT(INDIRECT(ADDRESS(ROW(D1576)-1, 'From Order'!$A1576)), 1), D1575))"),"CGZCSFHB")</f>
        <v>CGZCSFHB</v>
      </c>
      <c r="E1576" s="2" t="str">
        <f>IFERROR(__xludf.DUMMYFUNCTION("IF('From Order'!$A1576=COLUMNS($A1576:E1595), LEFT(INDEX(FILTER(E$1:E1575, E$1:E1575&lt;&gt;""""),COUNTA(FILTER(E$1:E1575, E$1:E1575&lt;&gt;""""))), LEN(INDEX(FILTER(E$1:E1575, E$1:E1575&lt;&gt;""""),COUNTA(FILTER(E$1:E1575, E$1:E1575&lt;&gt;""""))))-1), IF('To Order'!$A1576=COL"&amp;"UMNS($A1576:E1595), E1575&amp;RIGHT(INDIRECT(ADDRESS(ROW(E1576)-1, 'From Order'!$A1576)), 1), E1575))"),"W")</f>
        <v>W</v>
      </c>
      <c r="F1576" s="2" t="str">
        <f>IFERROR(__xludf.DUMMYFUNCTION("IF('From Order'!$A1576=COLUMNS($A1576:F1595), LEFT(INDEX(FILTER(F$1:F1575, F$1:F1575&lt;&gt;""""),COUNTA(FILTER(F$1:F1575, F$1:F1575&lt;&gt;""""))), LEN(INDEX(FILTER(F$1:F1575, F$1:F1575&lt;&gt;""""),COUNTA(FILTER(F$1:F1575, F$1:F1575&lt;&gt;""""))))-1), IF('To Order'!$A1576=COL"&amp;"UMNS($A1576:F1595), F1575&amp;RIGHT(INDIRECT(ADDRESS(ROW(F1576)-1, 'From Order'!$A1576)), 1), F1575))"),"Z")</f>
        <v>Z</v>
      </c>
      <c r="G1576" s="2" t="str">
        <f>IFERROR(__xludf.DUMMYFUNCTION("IF('From Order'!$A1576=COLUMNS($A1576:G1595), LEFT(INDEX(FILTER(G$1:G1575, G$1:G1575&lt;&gt;""""),COUNTA(FILTER(G$1:G1575, G$1:G1575&lt;&gt;""""))), LEN(INDEX(FILTER(G$1:G1575, G$1:G1575&lt;&gt;""""),COUNTA(FILTER(G$1:G1575, G$1:G1575&lt;&gt;""""))))-1), IF('To Order'!$A1576=COL"&amp;"UMNS($A1576:G1595), G1575&amp;RIGHT(INDIRECT(ADDRESS(ROW(G1576)-1, 'From Order'!$A1576)), 1), G1575))"),"SSTDDWLLFBPTTJG")</f>
        <v>SSTDDWLLFBPTTJG</v>
      </c>
      <c r="H1576" s="2" t="str">
        <f>IFERROR(__xludf.DUMMYFUNCTION("IF('From Order'!$A1576=COLUMNS($A1576:H1595), LEFT(INDEX(FILTER(H$1:H1575, H$1:H1575&lt;&gt;""""),COUNTA(FILTER(H$1:H1575, H$1:H1575&lt;&gt;""""))), LEN(INDEX(FILTER(H$1:H1575, H$1:H1575&lt;&gt;""""),COUNTA(FILTER(H$1:H1575, H$1:H1575&lt;&gt;""""))))-1), IF('To Order'!$A1576=COL"&amp;"UMNS($A1576:H1595), H1575&amp;RIGHT(INDIRECT(ADDRESS(ROW(H1576)-1, 'From Order'!$A1576)), 1), H1575))"),"")</f>
        <v/>
      </c>
      <c r="I1576" s="2" t="str">
        <f>IFERROR(__xludf.DUMMYFUNCTION("IF('From Order'!$A1576=COLUMNS($A1576:I1595), LEFT(INDEX(FILTER(I$1:I1575, I$1:I1575&lt;&gt;""""),COUNTA(FILTER(I$1:I1575, I$1:I1575&lt;&gt;""""))), LEN(INDEX(FILTER(I$1:I1575, I$1:I1575&lt;&gt;""""),COUNTA(FILTER(I$1:I1575, I$1:I1575&lt;&gt;""""))))-1), IF('To Order'!$A1576=COL"&amp;"UMNS($A1576:I1595), I1575&amp;RIGHT(INDIRECT(ADDRESS(ROW(I1576)-1, 'From Order'!$A1576)), 1), I1575))"),"")</f>
        <v/>
      </c>
    </row>
    <row r="1577">
      <c r="A1577" s="2" t="str">
        <f>IFERROR(__xludf.DUMMYFUNCTION("IF('From Order'!$A1577=COLUMNS($A1577:A1596), LEFT(INDEX(FILTER(A$1:A1576, A$1:A1576&lt;&gt;""""),COUNTA(FILTER(A$1:A1576, A$1:A1576&lt;&gt;""""))), LEN(INDEX(FILTER(A$1:A1576, A$1:A1576&lt;&gt;""""),COUNTA(FILTER(A$1:A1576, A$1:A1576&lt;&gt;""""))))-1), IF('To Order'!$A1577=COL"&amp;"UMNS($A1577:A1596), A1576&amp;RIGHT(INDIRECT(ADDRESS(ROW(A1577)-1, 'From Order'!$A1577)), 1), A1576))"),"MDJMBVRRSDLDTMZH")</f>
        <v>MDJMBVRRSDLDTMZH</v>
      </c>
      <c r="B1577" s="2" t="str">
        <f>IFERROR(__xludf.DUMMYFUNCTION("IF('From Order'!$A1577=COLUMNS($A1577:B1596), LEFT(INDEX(FILTER(B$1:B1576, B$1:B1576&lt;&gt;""""),COUNTA(FILTER(B$1:B1576, B$1:B1576&lt;&gt;""""))), LEN(INDEX(FILTER(B$1:B1576, B$1:B1576&lt;&gt;""""),COUNTA(FILTER(B$1:B1576, B$1:B1576&lt;&gt;""""))))-1), IF('To Order'!$A1577=COL"&amp;"UMNS($A1577:B1596), B1576&amp;RIGHT(INDIRECT(ADDRESS(ROW(B1577)-1, 'From Order'!$A1577)), 1), B1576))"),"RBRTVCDR")</f>
        <v>RBRTVCDR</v>
      </c>
      <c r="C1577" s="2" t="str">
        <f>IFERROR(__xludf.DUMMYFUNCTION("IF('From Order'!$A1577=COLUMNS($A1577:C1596), LEFT(INDEX(FILTER(C$1:C1576, C$1:C1576&lt;&gt;""""),COUNTA(FILTER(C$1:C1576, C$1:C1576&lt;&gt;""""))), LEN(INDEX(FILTER(C$1:C1576, C$1:C1576&lt;&gt;""""),COUNTA(FILTER(C$1:C1576, C$1:C1576&lt;&gt;""""))))-1), IF('To Order'!$A1577=COL"&amp;"UMNS($A1577:C1596), C1576&amp;RIGHT(INDIRECT(ADDRESS(ROW(C1577)-1, 'From Order'!$A1577)), 1), C1576))"),"TQVQJPP")</f>
        <v>TQVQJPP</v>
      </c>
      <c r="D1577" s="2" t="str">
        <f>IFERROR(__xludf.DUMMYFUNCTION("IF('From Order'!$A1577=COLUMNS($A1577:D1596), LEFT(INDEX(FILTER(D$1:D1576, D$1:D1576&lt;&gt;""""),COUNTA(FILTER(D$1:D1576, D$1:D1576&lt;&gt;""""))), LEN(INDEX(FILTER(D$1:D1576, D$1:D1576&lt;&gt;""""),COUNTA(FILTER(D$1:D1576, D$1:D1576&lt;&gt;""""))))-1), IF('To Order'!$A1577=COL"&amp;"UMNS($A1577:D1596), D1576&amp;RIGHT(INDIRECT(ADDRESS(ROW(D1577)-1, 'From Order'!$A1577)), 1), D1576))"),"CGZCSFHB")</f>
        <v>CGZCSFHB</v>
      </c>
      <c r="E1577" s="2" t="str">
        <f>IFERROR(__xludf.DUMMYFUNCTION("IF('From Order'!$A1577=COLUMNS($A1577:E1596), LEFT(INDEX(FILTER(E$1:E1576, E$1:E1576&lt;&gt;""""),COUNTA(FILTER(E$1:E1576, E$1:E1576&lt;&gt;""""))), LEN(INDEX(FILTER(E$1:E1576, E$1:E1576&lt;&gt;""""),COUNTA(FILTER(E$1:E1576, E$1:E1576&lt;&gt;""""))))-1), IF('To Order'!$A1577=COL"&amp;"UMNS($A1577:E1596), E1576&amp;RIGHT(INDIRECT(ADDRESS(ROW(E1577)-1, 'From Order'!$A1577)), 1), E1576))"),"W")</f>
        <v>W</v>
      </c>
      <c r="F1577" s="2" t="str">
        <f>IFERROR(__xludf.DUMMYFUNCTION("IF('From Order'!$A1577=COLUMNS($A1577:F1596), LEFT(INDEX(FILTER(F$1:F1576, F$1:F1576&lt;&gt;""""),COUNTA(FILTER(F$1:F1576, F$1:F1576&lt;&gt;""""))), LEN(INDEX(FILTER(F$1:F1576, F$1:F1576&lt;&gt;""""),COUNTA(FILTER(F$1:F1576, F$1:F1576&lt;&gt;""""))))-1), IF('To Order'!$A1577=COL"&amp;"UMNS($A1577:F1596), F1576&amp;RIGHT(INDIRECT(ADDRESS(ROW(F1577)-1, 'From Order'!$A1577)), 1), F1576))"),"Z")</f>
        <v>Z</v>
      </c>
      <c r="G1577" s="2" t="str">
        <f>IFERROR(__xludf.DUMMYFUNCTION("IF('From Order'!$A1577=COLUMNS($A1577:G1596), LEFT(INDEX(FILTER(G$1:G1576, G$1:G1576&lt;&gt;""""),COUNTA(FILTER(G$1:G1576, G$1:G1576&lt;&gt;""""))), LEN(INDEX(FILTER(G$1:G1576, G$1:G1576&lt;&gt;""""),COUNTA(FILTER(G$1:G1576, G$1:G1576&lt;&gt;""""))))-1), IF('To Order'!$A1577=COL"&amp;"UMNS($A1577:G1596), G1576&amp;RIGHT(INDIRECT(ADDRESS(ROW(G1577)-1, 'From Order'!$A1577)), 1), G1576))"),"SSTDDWLLFBPTTJG")</f>
        <v>SSTDDWLLFBPTTJG</v>
      </c>
      <c r="H1577" s="2" t="str">
        <f>IFERROR(__xludf.DUMMYFUNCTION("IF('From Order'!$A1577=COLUMNS($A1577:H1596), LEFT(INDEX(FILTER(H$1:H1576, H$1:H1576&lt;&gt;""""),COUNTA(FILTER(H$1:H1576, H$1:H1576&lt;&gt;""""))), LEN(INDEX(FILTER(H$1:H1576, H$1:H1576&lt;&gt;""""),COUNTA(FILTER(H$1:H1576, H$1:H1576&lt;&gt;""""))))-1), IF('To Order'!$A1577=COL"&amp;"UMNS($A1577:H1596), H1576&amp;RIGHT(INDIRECT(ADDRESS(ROW(H1577)-1, 'From Order'!$A1577)), 1), H1576))"),"")</f>
        <v/>
      </c>
      <c r="I1577" s="2" t="str">
        <f>IFERROR(__xludf.DUMMYFUNCTION("IF('From Order'!$A1577=COLUMNS($A1577:I1596), LEFT(INDEX(FILTER(I$1:I1576, I$1:I1576&lt;&gt;""""),COUNTA(FILTER(I$1:I1576, I$1:I1576&lt;&gt;""""))), LEN(INDEX(FILTER(I$1:I1576, I$1:I1576&lt;&gt;""""),COUNTA(FILTER(I$1:I1576, I$1:I1576&lt;&gt;""""))))-1), IF('To Order'!$A1577=COL"&amp;"UMNS($A1577:I1596), I1576&amp;RIGHT(INDIRECT(ADDRESS(ROW(I1577)-1, 'From Order'!$A1577)), 1), I1576))"),"")</f>
        <v/>
      </c>
    </row>
    <row r="1578">
      <c r="A1578" s="2" t="str">
        <f>IFERROR(__xludf.DUMMYFUNCTION("IF('From Order'!$A1578=COLUMNS($A1578:A1597), LEFT(INDEX(FILTER(A$1:A1577, A$1:A1577&lt;&gt;""""),COUNTA(FILTER(A$1:A1577, A$1:A1577&lt;&gt;""""))), LEN(INDEX(FILTER(A$1:A1577, A$1:A1577&lt;&gt;""""),COUNTA(FILTER(A$1:A1577, A$1:A1577&lt;&gt;""""))))-1), IF('To Order'!$A1578=COL"&amp;"UMNS($A1578:A1597), A1577&amp;RIGHT(INDIRECT(ADDRESS(ROW(A1578)-1, 'From Order'!$A1578)), 1), A1577))"),"MDJMBVRRSDLDTMZ")</f>
        <v>MDJMBVRRSDLDTMZ</v>
      </c>
      <c r="B1578" s="2" t="str">
        <f>IFERROR(__xludf.DUMMYFUNCTION("IF('From Order'!$A1578=COLUMNS($A1578:B1597), LEFT(INDEX(FILTER(B$1:B1577, B$1:B1577&lt;&gt;""""),COUNTA(FILTER(B$1:B1577, B$1:B1577&lt;&gt;""""))), LEN(INDEX(FILTER(B$1:B1577, B$1:B1577&lt;&gt;""""),COUNTA(FILTER(B$1:B1577, B$1:B1577&lt;&gt;""""))))-1), IF('To Order'!$A1578=COL"&amp;"UMNS($A1578:B1597), B1577&amp;RIGHT(INDIRECT(ADDRESS(ROW(B1578)-1, 'From Order'!$A1578)), 1), B1577))"),"RBRTVCDRH")</f>
        <v>RBRTVCDRH</v>
      </c>
      <c r="C1578" s="2" t="str">
        <f>IFERROR(__xludf.DUMMYFUNCTION("IF('From Order'!$A1578=COLUMNS($A1578:C1597), LEFT(INDEX(FILTER(C$1:C1577, C$1:C1577&lt;&gt;""""),COUNTA(FILTER(C$1:C1577, C$1:C1577&lt;&gt;""""))), LEN(INDEX(FILTER(C$1:C1577, C$1:C1577&lt;&gt;""""),COUNTA(FILTER(C$1:C1577, C$1:C1577&lt;&gt;""""))))-1), IF('To Order'!$A1578=COL"&amp;"UMNS($A1578:C1597), C1577&amp;RIGHT(INDIRECT(ADDRESS(ROW(C1578)-1, 'From Order'!$A1578)), 1), C1577))"),"TQVQJPP")</f>
        <v>TQVQJPP</v>
      </c>
      <c r="D1578" s="2" t="str">
        <f>IFERROR(__xludf.DUMMYFUNCTION("IF('From Order'!$A1578=COLUMNS($A1578:D1597), LEFT(INDEX(FILTER(D$1:D1577, D$1:D1577&lt;&gt;""""),COUNTA(FILTER(D$1:D1577, D$1:D1577&lt;&gt;""""))), LEN(INDEX(FILTER(D$1:D1577, D$1:D1577&lt;&gt;""""),COUNTA(FILTER(D$1:D1577, D$1:D1577&lt;&gt;""""))))-1), IF('To Order'!$A1578=COL"&amp;"UMNS($A1578:D1597), D1577&amp;RIGHT(INDIRECT(ADDRESS(ROW(D1578)-1, 'From Order'!$A1578)), 1), D1577))"),"CGZCSFHB")</f>
        <v>CGZCSFHB</v>
      </c>
      <c r="E1578" s="2" t="str">
        <f>IFERROR(__xludf.DUMMYFUNCTION("IF('From Order'!$A1578=COLUMNS($A1578:E1597), LEFT(INDEX(FILTER(E$1:E1577, E$1:E1577&lt;&gt;""""),COUNTA(FILTER(E$1:E1577, E$1:E1577&lt;&gt;""""))), LEN(INDEX(FILTER(E$1:E1577, E$1:E1577&lt;&gt;""""),COUNTA(FILTER(E$1:E1577, E$1:E1577&lt;&gt;""""))))-1), IF('To Order'!$A1578=COL"&amp;"UMNS($A1578:E1597), E1577&amp;RIGHT(INDIRECT(ADDRESS(ROW(E1578)-1, 'From Order'!$A1578)), 1), E1577))"),"W")</f>
        <v>W</v>
      </c>
      <c r="F1578" s="2" t="str">
        <f>IFERROR(__xludf.DUMMYFUNCTION("IF('From Order'!$A1578=COLUMNS($A1578:F1597), LEFT(INDEX(FILTER(F$1:F1577, F$1:F1577&lt;&gt;""""),COUNTA(FILTER(F$1:F1577, F$1:F1577&lt;&gt;""""))), LEN(INDEX(FILTER(F$1:F1577, F$1:F1577&lt;&gt;""""),COUNTA(FILTER(F$1:F1577, F$1:F1577&lt;&gt;""""))))-1), IF('To Order'!$A1578=COL"&amp;"UMNS($A1578:F1597), F1577&amp;RIGHT(INDIRECT(ADDRESS(ROW(F1578)-1, 'From Order'!$A1578)), 1), F1577))"),"Z")</f>
        <v>Z</v>
      </c>
      <c r="G1578" s="2" t="str">
        <f>IFERROR(__xludf.DUMMYFUNCTION("IF('From Order'!$A1578=COLUMNS($A1578:G1597), LEFT(INDEX(FILTER(G$1:G1577, G$1:G1577&lt;&gt;""""),COUNTA(FILTER(G$1:G1577, G$1:G1577&lt;&gt;""""))), LEN(INDEX(FILTER(G$1:G1577, G$1:G1577&lt;&gt;""""),COUNTA(FILTER(G$1:G1577, G$1:G1577&lt;&gt;""""))))-1), IF('To Order'!$A1578=COL"&amp;"UMNS($A1578:G1597), G1577&amp;RIGHT(INDIRECT(ADDRESS(ROW(G1578)-1, 'From Order'!$A1578)), 1), G1577))"),"SSTDDWLLFBPTTJG")</f>
        <v>SSTDDWLLFBPTTJG</v>
      </c>
      <c r="H1578" s="2" t="str">
        <f>IFERROR(__xludf.DUMMYFUNCTION("IF('From Order'!$A1578=COLUMNS($A1578:H1597), LEFT(INDEX(FILTER(H$1:H1577, H$1:H1577&lt;&gt;""""),COUNTA(FILTER(H$1:H1577, H$1:H1577&lt;&gt;""""))), LEN(INDEX(FILTER(H$1:H1577, H$1:H1577&lt;&gt;""""),COUNTA(FILTER(H$1:H1577, H$1:H1577&lt;&gt;""""))))-1), IF('To Order'!$A1578=COL"&amp;"UMNS($A1578:H1597), H1577&amp;RIGHT(INDIRECT(ADDRESS(ROW(H1578)-1, 'From Order'!$A1578)), 1), H1577))"),"")</f>
        <v/>
      </c>
      <c r="I1578" s="2" t="str">
        <f>IFERROR(__xludf.DUMMYFUNCTION("IF('From Order'!$A1578=COLUMNS($A1578:I1597), LEFT(INDEX(FILTER(I$1:I1577, I$1:I1577&lt;&gt;""""),COUNTA(FILTER(I$1:I1577, I$1:I1577&lt;&gt;""""))), LEN(INDEX(FILTER(I$1:I1577, I$1:I1577&lt;&gt;""""),COUNTA(FILTER(I$1:I1577, I$1:I1577&lt;&gt;""""))))-1), IF('To Order'!$A1578=COL"&amp;"UMNS($A1578:I1597), I1577&amp;RIGHT(INDIRECT(ADDRESS(ROW(I1578)-1, 'From Order'!$A1578)), 1), I1577))"),"")</f>
        <v/>
      </c>
    </row>
    <row r="1579">
      <c r="A1579" s="2" t="str">
        <f>IFERROR(__xludf.DUMMYFUNCTION("IF('From Order'!$A1579=COLUMNS($A1579:A1598), LEFT(INDEX(FILTER(A$1:A1578, A$1:A1578&lt;&gt;""""),COUNTA(FILTER(A$1:A1578, A$1:A1578&lt;&gt;""""))), LEN(INDEX(FILTER(A$1:A1578, A$1:A1578&lt;&gt;""""),COUNTA(FILTER(A$1:A1578, A$1:A1578&lt;&gt;""""))))-1), IF('To Order'!$A1579=COL"&amp;"UMNS($A1579:A1598), A1578&amp;RIGHT(INDIRECT(ADDRESS(ROW(A1579)-1, 'From Order'!$A1579)), 1), A1578))"),"MDJMBVRRSDLDTM")</f>
        <v>MDJMBVRRSDLDTM</v>
      </c>
      <c r="B1579" s="2" t="str">
        <f>IFERROR(__xludf.DUMMYFUNCTION("IF('From Order'!$A1579=COLUMNS($A1579:B1598), LEFT(INDEX(FILTER(B$1:B1578, B$1:B1578&lt;&gt;""""),COUNTA(FILTER(B$1:B1578, B$1:B1578&lt;&gt;""""))), LEN(INDEX(FILTER(B$1:B1578, B$1:B1578&lt;&gt;""""),COUNTA(FILTER(B$1:B1578, B$1:B1578&lt;&gt;""""))))-1), IF('To Order'!$A1579=COL"&amp;"UMNS($A1579:B1598), B1578&amp;RIGHT(INDIRECT(ADDRESS(ROW(B1579)-1, 'From Order'!$A1579)), 1), B1578))"),"RBRTVCDRHZ")</f>
        <v>RBRTVCDRHZ</v>
      </c>
      <c r="C1579" s="2" t="str">
        <f>IFERROR(__xludf.DUMMYFUNCTION("IF('From Order'!$A1579=COLUMNS($A1579:C1598), LEFT(INDEX(FILTER(C$1:C1578, C$1:C1578&lt;&gt;""""),COUNTA(FILTER(C$1:C1578, C$1:C1578&lt;&gt;""""))), LEN(INDEX(FILTER(C$1:C1578, C$1:C1578&lt;&gt;""""),COUNTA(FILTER(C$1:C1578, C$1:C1578&lt;&gt;""""))))-1), IF('To Order'!$A1579=COL"&amp;"UMNS($A1579:C1598), C1578&amp;RIGHT(INDIRECT(ADDRESS(ROW(C1579)-1, 'From Order'!$A1579)), 1), C1578))"),"TQVQJPP")</f>
        <v>TQVQJPP</v>
      </c>
      <c r="D1579" s="2" t="str">
        <f>IFERROR(__xludf.DUMMYFUNCTION("IF('From Order'!$A1579=COLUMNS($A1579:D1598), LEFT(INDEX(FILTER(D$1:D1578, D$1:D1578&lt;&gt;""""),COUNTA(FILTER(D$1:D1578, D$1:D1578&lt;&gt;""""))), LEN(INDEX(FILTER(D$1:D1578, D$1:D1578&lt;&gt;""""),COUNTA(FILTER(D$1:D1578, D$1:D1578&lt;&gt;""""))))-1), IF('To Order'!$A1579=COL"&amp;"UMNS($A1579:D1598), D1578&amp;RIGHT(INDIRECT(ADDRESS(ROW(D1579)-1, 'From Order'!$A1579)), 1), D1578))"),"CGZCSFHB")</f>
        <v>CGZCSFHB</v>
      </c>
      <c r="E1579" s="2" t="str">
        <f>IFERROR(__xludf.DUMMYFUNCTION("IF('From Order'!$A1579=COLUMNS($A1579:E1598), LEFT(INDEX(FILTER(E$1:E1578, E$1:E1578&lt;&gt;""""),COUNTA(FILTER(E$1:E1578, E$1:E1578&lt;&gt;""""))), LEN(INDEX(FILTER(E$1:E1578, E$1:E1578&lt;&gt;""""),COUNTA(FILTER(E$1:E1578, E$1:E1578&lt;&gt;""""))))-1), IF('To Order'!$A1579=COL"&amp;"UMNS($A1579:E1598), E1578&amp;RIGHT(INDIRECT(ADDRESS(ROW(E1579)-1, 'From Order'!$A1579)), 1), E1578))"),"W")</f>
        <v>W</v>
      </c>
      <c r="F1579" s="2" t="str">
        <f>IFERROR(__xludf.DUMMYFUNCTION("IF('From Order'!$A1579=COLUMNS($A1579:F1598), LEFT(INDEX(FILTER(F$1:F1578, F$1:F1578&lt;&gt;""""),COUNTA(FILTER(F$1:F1578, F$1:F1578&lt;&gt;""""))), LEN(INDEX(FILTER(F$1:F1578, F$1:F1578&lt;&gt;""""),COUNTA(FILTER(F$1:F1578, F$1:F1578&lt;&gt;""""))))-1), IF('To Order'!$A1579=COL"&amp;"UMNS($A1579:F1598), F1578&amp;RIGHT(INDIRECT(ADDRESS(ROW(F1579)-1, 'From Order'!$A1579)), 1), F1578))"),"Z")</f>
        <v>Z</v>
      </c>
      <c r="G1579" s="2" t="str">
        <f>IFERROR(__xludf.DUMMYFUNCTION("IF('From Order'!$A1579=COLUMNS($A1579:G1598), LEFT(INDEX(FILTER(G$1:G1578, G$1:G1578&lt;&gt;""""),COUNTA(FILTER(G$1:G1578, G$1:G1578&lt;&gt;""""))), LEN(INDEX(FILTER(G$1:G1578, G$1:G1578&lt;&gt;""""),COUNTA(FILTER(G$1:G1578, G$1:G1578&lt;&gt;""""))))-1), IF('To Order'!$A1579=COL"&amp;"UMNS($A1579:G1598), G1578&amp;RIGHT(INDIRECT(ADDRESS(ROW(G1579)-1, 'From Order'!$A1579)), 1), G1578))"),"SSTDDWLLFBPTTJG")</f>
        <v>SSTDDWLLFBPTTJG</v>
      </c>
      <c r="H1579" s="2" t="str">
        <f>IFERROR(__xludf.DUMMYFUNCTION("IF('From Order'!$A1579=COLUMNS($A1579:H1598), LEFT(INDEX(FILTER(H$1:H1578, H$1:H1578&lt;&gt;""""),COUNTA(FILTER(H$1:H1578, H$1:H1578&lt;&gt;""""))), LEN(INDEX(FILTER(H$1:H1578, H$1:H1578&lt;&gt;""""),COUNTA(FILTER(H$1:H1578, H$1:H1578&lt;&gt;""""))))-1), IF('To Order'!$A1579=COL"&amp;"UMNS($A1579:H1598), H1578&amp;RIGHT(INDIRECT(ADDRESS(ROW(H1579)-1, 'From Order'!$A1579)), 1), H1578))"),"")</f>
        <v/>
      </c>
      <c r="I1579" s="2" t="str">
        <f>IFERROR(__xludf.DUMMYFUNCTION("IF('From Order'!$A1579=COLUMNS($A1579:I1598), LEFT(INDEX(FILTER(I$1:I1578, I$1:I1578&lt;&gt;""""),COUNTA(FILTER(I$1:I1578, I$1:I1578&lt;&gt;""""))), LEN(INDEX(FILTER(I$1:I1578, I$1:I1578&lt;&gt;""""),COUNTA(FILTER(I$1:I1578, I$1:I1578&lt;&gt;""""))))-1), IF('To Order'!$A1579=COL"&amp;"UMNS($A1579:I1598), I1578&amp;RIGHT(INDIRECT(ADDRESS(ROW(I1579)-1, 'From Order'!$A1579)), 1), I1578))"),"")</f>
        <v/>
      </c>
    </row>
    <row r="1580">
      <c r="A1580" s="2" t="str">
        <f>IFERROR(__xludf.DUMMYFUNCTION("IF('From Order'!$A1580=COLUMNS($A1580:A1599), LEFT(INDEX(FILTER(A$1:A1579, A$1:A1579&lt;&gt;""""),COUNTA(FILTER(A$1:A1579, A$1:A1579&lt;&gt;""""))), LEN(INDEX(FILTER(A$1:A1579, A$1:A1579&lt;&gt;""""),COUNTA(FILTER(A$1:A1579, A$1:A1579&lt;&gt;""""))))-1), IF('To Order'!$A1580=COL"&amp;"UMNS($A1580:A1599), A1579&amp;RIGHT(INDIRECT(ADDRESS(ROW(A1580)-1, 'From Order'!$A1580)), 1), A1579))"),"MDJMBVRRSDLDT")</f>
        <v>MDJMBVRRSDLDT</v>
      </c>
      <c r="B1580" s="2" t="str">
        <f>IFERROR(__xludf.DUMMYFUNCTION("IF('From Order'!$A1580=COLUMNS($A1580:B1599), LEFT(INDEX(FILTER(B$1:B1579, B$1:B1579&lt;&gt;""""),COUNTA(FILTER(B$1:B1579, B$1:B1579&lt;&gt;""""))), LEN(INDEX(FILTER(B$1:B1579, B$1:B1579&lt;&gt;""""),COUNTA(FILTER(B$1:B1579, B$1:B1579&lt;&gt;""""))))-1), IF('To Order'!$A1580=COL"&amp;"UMNS($A1580:B1599), B1579&amp;RIGHT(INDIRECT(ADDRESS(ROW(B1580)-1, 'From Order'!$A1580)), 1), B1579))"),"RBRTVCDRHZM")</f>
        <v>RBRTVCDRHZM</v>
      </c>
      <c r="C1580" s="2" t="str">
        <f>IFERROR(__xludf.DUMMYFUNCTION("IF('From Order'!$A1580=COLUMNS($A1580:C1599), LEFT(INDEX(FILTER(C$1:C1579, C$1:C1579&lt;&gt;""""),COUNTA(FILTER(C$1:C1579, C$1:C1579&lt;&gt;""""))), LEN(INDEX(FILTER(C$1:C1579, C$1:C1579&lt;&gt;""""),COUNTA(FILTER(C$1:C1579, C$1:C1579&lt;&gt;""""))))-1), IF('To Order'!$A1580=COL"&amp;"UMNS($A1580:C1599), C1579&amp;RIGHT(INDIRECT(ADDRESS(ROW(C1580)-1, 'From Order'!$A1580)), 1), C1579))"),"TQVQJPP")</f>
        <v>TQVQJPP</v>
      </c>
      <c r="D1580" s="2" t="str">
        <f>IFERROR(__xludf.DUMMYFUNCTION("IF('From Order'!$A1580=COLUMNS($A1580:D1599), LEFT(INDEX(FILTER(D$1:D1579, D$1:D1579&lt;&gt;""""),COUNTA(FILTER(D$1:D1579, D$1:D1579&lt;&gt;""""))), LEN(INDEX(FILTER(D$1:D1579, D$1:D1579&lt;&gt;""""),COUNTA(FILTER(D$1:D1579, D$1:D1579&lt;&gt;""""))))-1), IF('To Order'!$A1580=COL"&amp;"UMNS($A1580:D1599), D1579&amp;RIGHT(INDIRECT(ADDRESS(ROW(D1580)-1, 'From Order'!$A1580)), 1), D1579))"),"CGZCSFHB")</f>
        <v>CGZCSFHB</v>
      </c>
      <c r="E1580" s="2" t="str">
        <f>IFERROR(__xludf.DUMMYFUNCTION("IF('From Order'!$A1580=COLUMNS($A1580:E1599), LEFT(INDEX(FILTER(E$1:E1579, E$1:E1579&lt;&gt;""""),COUNTA(FILTER(E$1:E1579, E$1:E1579&lt;&gt;""""))), LEN(INDEX(FILTER(E$1:E1579, E$1:E1579&lt;&gt;""""),COUNTA(FILTER(E$1:E1579, E$1:E1579&lt;&gt;""""))))-1), IF('To Order'!$A1580=COL"&amp;"UMNS($A1580:E1599), E1579&amp;RIGHT(INDIRECT(ADDRESS(ROW(E1580)-1, 'From Order'!$A1580)), 1), E1579))"),"W")</f>
        <v>W</v>
      </c>
      <c r="F1580" s="2" t="str">
        <f>IFERROR(__xludf.DUMMYFUNCTION("IF('From Order'!$A1580=COLUMNS($A1580:F1599), LEFT(INDEX(FILTER(F$1:F1579, F$1:F1579&lt;&gt;""""),COUNTA(FILTER(F$1:F1579, F$1:F1579&lt;&gt;""""))), LEN(INDEX(FILTER(F$1:F1579, F$1:F1579&lt;&gt;""""),COUNTA(FILTER(F$1:F1579, F$1:F1579&lt;&gt;""""))))-1), IF('To Order'!$A1580=COL"&amp;"UMNS($A1580:F1599), F1579&amp;RIGHT(INDIRECT(ADDRESS(ROW(F1580)-1, 'From Order'!$A1580)), 1), F1579))"),"Z")</f>
        <v>Z</v>
      </c>
      <c r="G1580" s="2" t="str">
        <f>IFERROR(__xludf.DUMMYFUNCTION("IF('From Order'!$A1580=COLUMNS($A1580:G1599), LEFT(INDEX(FILTER(G$1:G1579, G$1:G1579&lt;&gt;""""),COUNTA(FILTER(G$1:G1579, G$1:G1579&lt;&gt;""""))), LEN(INDEX(FILTER(G$1:G1579, G$1:G1579&lt;&gt;""""),COUNTA(FILTER(G$1:G1579, G$1:G1579&lt;&gt;""""))))-1), IF('To Order'!$A1580=COL"&amp;"UMNS($A1580:G1599), G1579&amp;RIGHT(INDIRECT(ADDRESS(ROW(G1580)-1, 'From Order'!$A1580)), 1), G1579))"),"SSTDDWLLFBPTTJG")</f>
        <v>SSTDDWLLFBPTTJG</v>
      </c>
      <c r="H1580" s="2" t="str">
        <f>IFERROR(__xludf.DUMMYFUNCTION("IF('From Order'!$A1580=COLUMNS($A1580:H1599), LEFT(INDEX(FILTER(H$1:H1579, H$1:H1579&lt;&gt;""""),COUNTA(FILTER(H$1:H1579, H$1:H1579&lt;&gt;""""))), LEN(INDEX(FILTER(H$1:H1579, H$1:H1579&lt;&gt;""""),COUNTA(FILTER(H$1:H1579, H$1:H1579&lt;&gt;""""))))-1), IF('To Order'!$A1580=COL"&amp;"UMNS($A1580:H1599), H1579&amp;RIGHT(INDIRECT(ADDRESS(ROW(H1580)-1, 'From Order'!$A1580)), 1), H1579))"),"")</f>
        <v/>
      </c>
      <c r="I1580" s="2" t="str">
        <f>IFERROR(__xludf.DUMMYFUNCTION("IF('From Order'!$A1580=COLUMNS($A1580:I1599), LEFT(INDEX(FILTER(I$1:I1579, I$1:I1579&lt;&gt;""""),COUNTA(FILTER(I$1:I1579, I$1:I1579&lt;&gt;""""))), LEN(INDEX(FILTER(I$1:I1579, I$1:I1579&lt;&gt;""""),COUNTA(FILTER(I$1:I1579, I$1:I1579&lt;&gt;""""))))-1), IF('To Order'!$A1580=COL"&amp;"UMNS($A1580:I1599), I1579&amp;RIGHT(INDIRECT(ADDRESS(ROW(I1580)-1, 'From Order'!$A1580)), 1), I1579))"),"")</f>
        <v/>
      </c>
    </row>
    <row r="1581">
      <c r="A1581" s="2" t="str">
        <f>IFERROR(__xludf.DUMMYFUNCTION("IF('From Order'!$A1581=COLUMNS($A1581:A1600), LEFT(INDEX(FILTER(A$1:A1580, A$1:A1580&lt;&gt;""""),COUNTA(FILTER(A$1:A1580, A$1:A1580&lt;&gt;""""))), LEN(INDEX(FILTER(A$1:A1580, A$1:A1580&lt;&gt;""""),COUNTA(FILTER(A$1:A1580, A$1:A1580&lt;&gt;""""))))-1), IF('To Order'!$A1581=COL"&amp;"UMNS($A1581:A1600), A1580&amp;RIGHT(INDIRECT(ADDRESS(ROW(A1581)-1, 'From Order'!$A1581)), 1), A1580))"),"MDJMBVRRSDLD")</f>
        <v>MDJMBVRRSDLD</v>
      </c>
      <c r="B1581" s="2" t="str">
        <f>IFERROR(__xludf.DUMMYFUNCTION("IF('From Order'!$A1581=COLUMNS($A1581:B1600), LEFT(INDEX(FILTER(B$1:B1580, B$1:B1580&lt;&gt;""""),COUNTA(FILTER(B$1:B1580, B$1:B1580&lt;&gt;""""))), LEN(INDEX(FILTER(B$1:B1580, B$1:B1580&lt;&gt;""""),COUNTA(FILTER(B$1:B1580, B$1:B1580&lt;&gt;""""))))-1), IF('To Order'!$A1581=COL"&amp;"UMNS($A1581:B1600), B1580&amp;RIGHT(INDIRECT(ADDRESS(ROW(B1581)-1, 'From Order'!$A1581)), 1), B1580))"),"RBRTVCDRHZMT")</f>
        <v>RBRTVCDRHZMT</v>
      </c>
      <c r="C1581" s="2" t="str">
        <f>IFERROR(__xludf.DUMMYFUNCTION("IF('From Order'!$A1581=COLUMNS($A1581:C1600), LEFT(INDEX(FILTER(C$1:C1580, C$1:C1580&lt;&gt;""""),COUNTA(FILTER(C$1:C1580, C$1:C1580&lt;&gt;""""))), LEN(INDEX(FILTER(C$1:C1580, C$1:C1580&lt;&gt;""""),COUNTA(FILTER(C$1:C1580, C$1:C1580&lt;&gt;""""))))-1), IF('To Order'!$A1581=COL"&amp;"UMNS($A1581:C1600), C1580&amp;RIGHT(INDIRECT(ADDRESS(ROW(C1581)-1, 'From Order'!$A1581)), 1), C1580))"),"TQVQJPP")</f>
        <v>TQVQJPP</v>
      </c>
      <c r="D1581" s="2" t="str">
        <f>IFERROR(__xludf.DUMMYFUNCTION("IF('From Order'!$A1581=COLUMNS($A1581:D1600), LEFT(INDEX(FILTER(D$1:D1580, D$1:D1580&lt;&gt;""""),COUNTA(FILTER(D$1:D1580, D$1:D1580&lt;&gt;""""))), LEN(INDEX(FILTER(D$1:D1580, D$1:D1580&lt;&gt;""""),COUNTA(FILTER(D$1:D1580, D$1:D1580&lt;&gt;""""))))-1), IF('To Order'!$A1581=COL"&amp;"UMNS($A1581:D1600), D1580&amp;RIGHT(INDIRECT(ADDRESS(ROW(D1581)-1, 'From Order'!$A1581)), 1), D1580))"),"CGZCSFHB")</f>
        <v>CGZCSFHB</v>
      </c>
      <c r="E1581" s="2" t="str">
        <f>IFERROR(__xludf.DUMMYFUNCTION("IF('From Order'!$A1581=COLUMNS($A1581:E1600), LEFT(INDEX(FILTER(E$1:E1580, E$1:E1580&lt;&gt;""""),COUNTA(FILTER(E$1:E1580, E$1:E1580&lt;&gt;""""))), LEN(INDEX(FILTER(E$1:E1580, E$1:E1580&lt;&gt;""""),COUNTA(FILTER(E$1:E1580, E$1:E1580&lt;&gt;""""))))-1), IF('To Order'!$A1581=COL"&amp;"UMNS($A1581:E1600), E1580&amp;RIGHT(INDIRECT(ADDRESS(ROW(E1581)-1, 'From Order'!$A1581)), 1), E1580))"),"W")</f>
        <v>W</v>
      </c>
      <c r="F1581" s="2" t="str">
        <f>IFERROR(__xludf.DUMMYFUNCTION("IF('From Order'!$A1581=COLUMNS($A1581:F1600), LEFT(INDEX(FILTER(F$1:F1580, F$1:F1580&lt;&gt;""""),COUNTA(FILTER(F$1:F1580, F$1:F1580&lt;&gt;""""))), LEN(INDEX(FILTER(F$1:F1580, F$1:F1580&lt;&gt;""""),COUNTA(FILTER(F$1:F1580, F$1:F1580&lt;&gt;""""))))-1), IF('To Order'!$A1581=COL"&amp;"UMNS($A1581:F1600), F1580&amp;RIGHT(INDIRECT(ADDRESS(ROW(F1581)-1, 'From Order'!$A1581)), 1), F1580))"),"Z")</f>
        <v>Z</v>
      </c>
      <c r="G1581" s="2" t="str">
        <f>IFERROR(__xludf.DUMMYFUNCTION("IF('From Order'!$A1581=COLUMNS($A1581:G1600), LEFT(INDEX(FILTER(G$1:G1580, G$1:G1580&lt;&gt;""""),COUNTA(FILTER(G$1:G1580, G$1:G1580&lt;&gt;""""))), LEN(INDEX(FILTER(G$1:G1580, G$1:G1580&lt;&gt;""""),COUNTA(FILTER(G$1:G1580, G$1:G1580&lt;&gt;""""))))-1), IF('To Order'!$A1581=COL"&amp;"UMNS($A1581:G1600), G1580&amp;RIGHT(INDIRECT(ADDRESS(ROW(G1581)-1, 'From Order'!$A1581)), 1), G1580))"),"SSTDDWLLFBPTTJG")</f>
        <v>SSTDDWLLFBPTTJG</v>
      </c>
      <c r="H1581" s="2" t="str">
        <f>IFERROR(__xludf.DUMMYFUNCTION("IF('From Order'!$A1581=COLUMNS($A1581:H1600), LEFT(INDEX(FILTER(H$1:H1580, H$1:H1580&lt;&gt;""""),COUNTA(FILTER(H$1:H1580, H$1:H1580&lt;&gt;""""))), LEN(INDEX(FILTER(H$1:H1580, H$1:H1580&lt;&gt;""""),COUNTA(FILTER(H$1:H1580, H$1:H1580&lt;&gt;""""))))-1), IF('To Order'!$A1581=COL"&amp;"UMNS($A1581:H1600), H1580&amp;RIGHT(INDIRECT(ADDRESS(ROW(H1581)-1, 'From Order'!$A1581)), 1), H1580))"),"")</f>
        <v/>
      </c>
      <c r="I1581" s="2" t="str">
        <f>IFERROR(__xludf.DUMMYFUNCTION("IF('From Order'!$A1581=COLUMNS($A1581:I1600), LEFT(INDEX(FILTER(I$1:I1580, I$1:I1580&lt;&gt;""""),COUNTA(FILTER(I$1:I1580, I$1:I1580&lt;&gt;""""))), LEN(INDEX(FILTER(I$1:I1580, I$1:I1580&lt;&gt;""""),COUNTA(FILTER(I$1:I1580, I$1:I1580&lt;&gt;""""))))-1), IF('To Order'!$A1581=COL"&amp;"UMNS($A1581:I1600), I1580&amp;RIGHT(INDIRECT(ADDRESS(ROW(I1581)-1, 'From Order'!$A1581)), 1), I1580))"),"")</f>
        <v/>
      </c>
    </row>
    <row r="1582">
      <c r="A1582" s="2" t="str">
        <f>IFERROR(__xludf.DUMMYFUNCTION("IF('From Order'!$A1582=COLUMNS($A1582:A1601), LEFT(INDEX(FILTER(A$1:A1581, A$1:A1581&lt;&gt;""""),COUNTA(FILTER(A$1:A1581, A$1:A1581&lt;&gt;""""))), LEN(INDEX(FILTER(A$1:A1581, A$1:A1581&lt;&gt;""""),COUNTA(FILTER(A$1:A1581, A$1:A1581&lt;&gt;""""))))-1), IF('To Order'!$A1582=COL"&amp;"UMNS($A1582:A1601), A1581&amp;RIGHT(INDIRECT(ADDRESS(ROW(A1582)-1, 'From Order'!$A1582)), 1), A1581))"),"MDJMBVRRSDL")</f>
        <v>MDJMBVRRSDL</v>
      </c>
      <c r="B1582" s="2" t="str">
        <f>IFERROR(__xludf.DUMMYFUNCTION("IF('From Order'!$A1582=COLUMNS($A1582:B1601), LEFT(INDEX(FILTER(B$1:B1581, B$1:B1581&lt;&gt;""""),COUNTA(FILTER(B$1:B1581, B$1:B1581&lt;&gt;""""))), LEN(INDEX(FILTER(B$1:B1581, B$1:B1581&lt;&gt;""""),COUNTA(FILTER(B$1:B1581, B$1:B1581&lt;&gt;""""))))-1), IF('To Order'!$A1582=COL"&amp;"UMNS($A1582:B1601), B1581&amp;RIGHT(INDIRECT(ADDRESS(ROW(B1582)-1, 'From Order'!$A1582)), 1), B1581))"),"RBRTVCDRHZMTD")</f>
        <v>RBRTVCDRHZMTD</v>
      </c>
      <c r="C1582" s="2" t="str">
        <f>IFERROR(__xludf.DUMMYFUNCTION("IF('From Order'!$A1582=COLUMNS($A1582:C1601), LEFT(INDEX(FILTER(C$1:C1581, C$1:C1581&lt;&gt;""""),COUNTA(FILTER(C$1:C1581, C$1:C1581&lt;&gt;""""))), LEN(INDEX(FILTER(C$1:C1581, C$1:C1581&lt;&gt;""""),COUNTA(FILTER(C$1:C1581, C$1:C1581&lt;&gt;""""))))-1), IF('To Order'!$A1582=COL"&amp;"UMNS($A1582:C1601), C1581&amp;RIGHT(INDIRECT(ADDRESS(ROW(C1582)-1, 'From Order'!$A1582)), 1), C1581))"),"TQVQJPP")</f>
        <v>TQVQJPP</v>
      </c>
      <c r="D1582" s="2" t="str">
        <f>IFERROR(__xludf.DUMMYFUNCTION("IF('From Order'!$A1582=COLUMNS($A1582:D1601), LEFT(INDEX(FILTER(D$1:D1581, D$1:D1581&lt;&gt;""""),COUNTA(FILTER(D$1:D1581, D$1:D1581&lt;&gt;""""))), LEN(INDEX(FILTER(D$1:D1581, D$1:D1581&lt;&gt;""""),COUNTA(FILTER(D$1:D1581, D$1:D1581&lt;&gt;""""))))-1), IF('To Order'!$A1582=COL"&amp;"UMNS($A1582:D1601), D1581&amp;RIGHT(INDIRECT(ADDRESS(ROW(D1582)-1, 'From Order'!$A1582)), 1), D1581))"),"CGZCSFHB")</f>
        <v>CGZCSFHB</v>
      </c>
      <c r="E1582" s="2" t="str">
        <f>IFERROR(__xludf.DUMMYFUNCTION("IF('From Order'!$A1582=COLUMNS($A1582:E1601), LEFT(INDEX(FILTER(E$1:E1581, E$1:E1581&lt;&gt;""""),COUNTA(FILTER(E$1:E1581, E$1:E1581&lt;&gt;""""))), LEN(INDEX(FILTER(E$1:E1581, E$1:E1581&lt;&gt;""""),COUNTA(FILTER(E$1:E1581, E$1:E1581&lt;&gt;""""))))-1), IF('To Order'!$A1582=COL"&amp;"UMNS($A1582:E1601), E1581&amp;RIGHT(INDIRECT(ADDRESS(ROW(E1582)-1, 'From Order'!$A1582)), 1), E1581))"),"W")</f>
        <v>W</v>
      </c>
      <c r="F1582" s="2" t="str">
        <f>IFERROR(__xludf.DUMMYFUNCTION("IF('From Order'!$A1582=COLUMNS($A1582:F1601), LEFT(INDEX(FILTER(F$1:F1581, F$1:F1581&lt;&gt;""""),COUNTA(FILTER(F$1:F1581, F$1:F1581&lt;&gt;""""))), LEN(INDEX(FILTER(F$1:F1581, F$1:F1581&lt;&gt;""""),COUNTA(FILTER(F$1:F1581, F$1:F1581&lt;&gt;""""))))-1), IF('To Order'!$A1582=COL"&amp;"UMNS($A1582:F1601), F1581&amp;RIGHT(INDIRECT(ADDRESS(ROW(F1582)-1, 'From Order'!$A1582)), 1), F1581))"),"Z")</f>
        <v>Z</v>
      </c>
      <c r="G1582" s="2" t="str">
        <f>IFERROR(__xludf.DUMMYFUNCTION("IF('From Order'!$A1582=COLUMNS($A1582:G1601), LEFT(INDEX(FILTER(G$1:G1581, G$1:G1581&lt;&gt;""""),COUNTA(FILTER(G$1:G1581, G$1:G1581&lt;&gt;""""))), LEN(INDEX(FILTER(G$1:G1581, G$1:G1581&lt;&gt;""""),COUNTA(FILTER(G$1:G1581, G$1:G1581&lt;&gt;""""))))-1), IF('To Order'!$A1582=COL"&amp;"UMNS($A1582:G1601), G1581&amp;RIGHT(INDIRECT(ADDRESS(ROW(G1582)-1, 'From Order'!$A1582)), 1), G1581))"),"SSTDDWLLFBPTTJG")</f>
        <v>SSTDDWLLFBPTTJG</v>
      </c>
      <c r="H1582" s="2" t="str">
        <f>IFERROR(__xludf.DUMMYFUNCTION("IF('From Order'!$A1582=COLUMNS($A1582:H1601), LEFT(INDEX(FILTER(H$1:H1581, H$1:H1581&lt;&gt;""""),COUNTA(FILTER(H$1:H1581, H$1:H1581&lt;&gt;""""))), LEN(INDEX(FILTER(H$1:H1581, H$1:H1581&lt;&gt;""""),COUNTA(FILTER(H$1:H1581, H$1:H1581&lt;&gt;""""))))-1), IF('To Order'!$A1582=COL"&amp;"UMNS($A1582:H1601), H1581&amp;RIGHT(INDIRECT(ADDRESS(ROW(H1582)-1, 'From Order'!$A1582)), 1), H1581))"),"")</f>
        <v/>
      </c>
      <c r="I1582" s="2" t="str">
        <f>IFERROR(__xludf.DUMMYFUNCTION("IF('From Order'!$A1582=COLUMNS($A1582:I1601), LEFT(INDEX(FILTER(I$1:I1581, I$1:I1581&lt;&gt;""""),COUNTA(FILTER(I$1:I1581, I$1:I1581&lt;&gt;""""))), LEN(INDEX(FILTER(I$1:I1581, I$1:I1581&lt;&gt;""""),COUNTA(FILTER(I$1:I1581, I$1:I1581&lt;&gt;""""))))-1), IF('To Order'!$A1582=COL"&amp;"UMNS($A1582:I1601), I1581&amp;RIGHT(INDIRECT(ADDRESS(ROW(I1582)-1, 'From Order'!$A1582)), 1), I1581))"),"")</f>
        <v/>
      </c>
    </row>
    <row r="1583">
      <c r="A1583" s="2" t="str">
        <f>IFERROR(__xludf.DUMMYFUNCTION("IF('From Order'!$A1583=COLUMNS($A1583:A1602), LEFT(INDEX(FILTER(A$1:A1582, A$1:A1582&lt;&gt;""""),COUNTA(FILTER(A$1:A1582, A$1:A1582&lt;&gt;""""))), LEN(INDEX(FILTER(A$1:A1582, A$1:A1582&lt;&gt;""""),COUNTA(FILTER(A$1:A1582, A$1:A1582&lt;&gt;""""))))-1), IF('To Order'!$A1583=COL"&amp;"UMNS($A1583:A1602), A1582&amp;RIGHT(INDIRECT(ADDRESS(ROW(A1583)-1, 'From Order'!$A1583)), 1), A1582))"),"MDJMBVRRSD")</f>
        <v>MDJMBVRRSD</v>
      </c>
      <c r="B1583" s="2" t="str">
        <f>IFERROR(__xludf.DUMMYFUNCTION("IF('From Order'!$A1583=COLUMNS($A1583:B1602), LEFT(INDEX(FILTER(B$1:B1582, B$1:B1582&lt;&gt;""""),COUNTA(FILTER(B$1:B1582, B$1:B1582&lt;&gt;""""))), LEN(INDEX(FILTER(B$1:B1582, B$1:B1582&lt;&gt;""""),COUNTA(FILTER(B$1:B1582, B$1:B1582&lt;&gt;""""))))-1), IF('To Order'!$A1583=COL"&amp;"UMNS($A1583:B1602), B1582&amp;RIGHT(INDIRECT(ADDRESS(ROW(B1583)-1, 'From Order'!$A1583)), 1), B1582))"),"RBRTVCDRHZMTDL")</f>
        <v>RBRTVCDRHZMTDL</v>
      </c>
      <c r="C1583" s="2" t="str">
        <f>IFERROR(__xludf.DUMMYFUNCTION("IF('From Order'!$A1583=COLUMNS($A1583:C1602), LEFT(INDEX(FILTER(C$1:C1582, C$1:C1582&lt;&gt;""""),COUNTA(FILTER(C$1:C1582, C$1:C1582&lt;&gt;""""))), LEN(INDEX(FILTER(C$1:C1582, C$1:C1582&lt;&gt;""""),COUNTA(FILTER(C$1:C1582, C$1:C1582&lt;&gt;""""))))-1), IF('To Order'!$A1583=COL"&amp;"UMNS($A1583:C1602), C1582&amp;RIGHT(INDIRECT(ADDRESS(ROW(C1583)-1, 'From Order'!$A1583)), 1), C1582))"),"TQVQJPP")</f>
        <v>TQVQJPP</v>
      </c>
      <c r="D1583" s="2" t="str">
        <f>IFERROR(__xludf.DUMMYFUNCTION("IF('From Order'!$A1583=COLUMNS($A1583:D1602), LEFT(INDEX(FILTER(D$1:D1582, D$1:D1582&lt;&gt;""""),COUNTA(FILTER(D$1:D1582, D$1:D1582&lt;&gt;""""))), LEN(INDEX(FILTER(D$1:D1582, D$1:D1582&lt;&gt;""""),COUNTA(FILTER(D$1:D1582, D$1:D1582&lt;&gt;""""))))-1), IF('To Order'!$A1583=COL"&amp;"UMNS($A1583:D1602), D1582&amp;RIGHT(INDIRECT(ADDRESS(ROW(D1583)-1, 'From Order'!$A1583)), 1), D1582))"),"CGZCSFHB")</f>
        <v>CGZCSFHB</v>
      </c>
      <c r="E1583" s="2" t="str">
        <f>IFERROR(__xludf.DUMMYFUNCTION("IF('From Order'!$A1583=COLUMNS($A1583:E1602), LEFT(INDEX(FILTER(E$1:E1582, E$1:E1582&lt;&gt;""""),COUNTA(FILTER(E$1:E1582, E$1:E1582&lt;&gt;""""))), LEN(INDEX(FILTER(E$1:E1582, E$1:E1582&lt;&gt;""""),COUNTA(FILTER(E$1:E1582, E$1:E1582&lt;&gt;""""))))-1), IF('To Order'!$A1583=COL"&amp;"UMNS($A1583:E1602), E1582&amp;RIGHT(INDIRECT(ADDRESS(ROW(E1583)-1, 'From Order'!$A1583)), 1), E1582))"),"W")</f>
        <v>W</v>
      </c>
      <c r="F1583" s="2" t="str">
        <f>IFERROR(__xludf.DUMMYFUNCTION("IF('From Order'!$A1583=COLUMNS($A1583:F1602), LEFT(INDEX(FILTER(F$1:F1582, F$1:F1582&lt;&gt;""""),COUNTA(FILTER(F$1:F1582, F$1:F1582&lt;&gt;""""))), LEN(INDEX(FILTER(F$1:F1582, F$1:F1582&lt;&gt;""""),COUNTA(FILTER(F$1:F1582, F$1:F1582&lt;&gt;""""))))-1), IF('To Order'!$A1583=COL"&amp;"UMNS($A1583:F1602), F1582&amp;RIGHT(INDIRECT(ADDRESS(ROW(F1583)-1, 'From Order'!$A1583)), 1), F1582))"),"Z")</f>
        <v>Z</v>
      </c>
      <c r="G1583" s="2" t="str">
        <f>IFERROR(__xludf.DUMMYFUNCTION("IF('From Order'!$A1583=COLUMNS($A1583:G1602), LEFT(INDEX(FILTER(G$1:G1582, G$1:G1582&lt;&gt;""""),COUNTA(FILTER(G$1:G1582, G$1:G1582&lt;&gt;""""))), LEN(INDEX(FILTER(G$1:G1582, G$1:G1582&lt;&gt;""""),COUNTA(FILTER(G$1:G1582, G$1:G1582&lt;&gt;""""))))-1), IF('To Order'!$A1583=COL"&amp;"UMNS($A1583:G1602), G1582&amp;RIGHT(INDIRECT(ADDRESS(ROW(G1583)-1, 'From Order'!$A1583)), 1), G1582))"),"SSTDDWLLFBPTTJG")</f>
        <v>SSTDDWLLFBPTTJG</v>
      </c>
      <c r="H1583" s="2" t="str">
        <f>IFERROR(__xludf.DUMMYFUNCTION("IF('From Order'!$A1583=COLUMNS($A1583:H1602), LEFT(INDEX(FILTER(H$1:H1582, H$1:H1582&lt;&gt;""""),COUNTA(FILTER(H$1:H1582, H$1:H1582&lt;&gt;""""))), LEN(INDEX(FILTER(H$1:H1582, H$1:H1582&lt;&gt;""""),COUNTA(FILTER(H$1:H1582, H$1:H1582&lt;&gt;""""))))-1), IF('To Order'!$A1583=COL"&amp;"UMNS($A1583:H1602), H1582&amp;RIGHT(INDIRECT(ADDRESS(ROW(H1583)-1, 'From Order'!$A1583)), 1), H1582))"),"")</f>
        <v/>
      </c>
      <c r="I1583" s="2" t="str">
        <f>IFERROR(__xludf.DUMMYFUNCTION("IF('From Order'!$A1583=COLUMNS($A1583:I1602), LEFT(INDEX(FILTER(I$1:I1582, I$1:I1582&lt;&gt;""""),COUNTA(FILTER(I$1:I1582, I$1:I1582&lt;&gt;""""))), LEN(INDEX(FILTER(I$1:I1582, I$1:I1582&lt;&gt;""""),COUNTA(FILTER(I$1:I1582, I$1:I1582&lt;&gt;""""))))-1), IF('To Order'!$A1583=COL"&amp;"UMNS($A1583:I1602), I1582&amp;RIGHT(INDIRECT(ADDRESS(ROW(I1583)-1, 'From Order'!$A1583)), 1), I1582))"),"")</f>
        <v/>
      </c>
    </row>
    <row r="1584">
      <c r="A1584" s="2" t="str">
        <f>IFERROR(__xludf.DUMMYFUNCTION("IF('From Order'!$A1584=COLUMNS($A1584:A1603), LEFT(INDEX(FILTER(A$1:A1583, A$1:A1583&lt;&gt;""""),COUNTA(FILTER(A$1:A1583, A$1:A1583&lt;&gt;""""))), LEN(INDEX(FILTER(A$1:A1583, A$1:A1583&lt;&gt;""""),COUNTA(FILTER(A$1:A1583, A$1:A1583&lt;&gt;""""))))-1), IF('To Order'!$A1584=COL"&amp;"UMNS($A1584:A1603), A1583&amp;RIGHT(INDIRECT(ADDRESS(ROW(A1584)-1, 'From Order'!$A1584)), 1), A1583))"),"MDJMBVRRS")</f>
        <v>MDJMBVRRS</v>
      </c>
      <c r="B1584" s="2" t="str">
        <f>IFERROR(__xludf.DUMMYFUNCTION("IF('From Order'!$A1584=COLUMNS($A1584:B1603), LEFT(INDEX(FILTER(B$1:B1583, B$1:B1583&lt;&gt;""""),COUNTA(FILTER(B$1:B1583, B$1:B1583&lt;&gt;""""))), LEN(INDEX(FILTER(B$1:B1583, B$1:B1583&lt;&gt;""""),COUNTA(FILTER(B$1:B1583, B$1:B1583&lt;&gt;""""))))-1), IF('To Order'!$A1584=COL"&amp;"UMNS($A1584:B1603), B1583&amp;RIGHT(INDIRECT(ADDRESS(ROW(B1584)-1, 'From Order'!$A1584)), 1), B1583))"),"RBRTVCDRHZMTDLD")</f>
        <v>RBRTVCDRHZMTDLD</v>
      </c>
      <c r="C1584" s="2" t="str">
        <f>IFERROR(__xludf.DUMMYFUNCTION("IF('From Order'!$A1584=COLUMNS($A1584:C1603), LEFT(INDEX(FILTER(C$1:C1583, C$1:C1583&lt;&gt;""""),COUNTA(FILTER(C$1:C1583, C$1:C1583&lt;&gt;""""))), LEN(INDEX(FILTER(C$1:C1583, C$1:C1583&lt;&gt;""""),COUNTA(FILTER(C$1:C1583, C$1:C1583&lt;&gt;""""))))-1), IF('To Order'!$A1584=COL"&amp;"UMNS($A1584:C1603), C1583&amp;RIGHT(INDIRECT(ADDRESS(ROW(C1584)-1, 'From Order'!$A1584)), 1), C1583))"),"TQVQJPP")</f>
        <v>TQVQJPP</v>
      </c>
      <c r="D1584" s="2" t="str">
        <f>IFERROR(__xludf.DUMMYFUNCTION("IF('From Order'!$A1584=COLUMNS($A1584:D1603), LEFT(INDEX(FILTER(D$1:D1583, D$1:D1583&lt;&gt;""""),COUNTA(FILTER(D$1:D1583, D$1:D1583&lt;&gt;""""))), LEN(INDEX(FILTER(D$1:D1583, D$1:D1583&lt;&gt;""""),COUNTA(FILTER(D$1:D1583, D$1:D1583&lt;&gt;""""))))-1), IF('To Order'!$A1584=COL"&amp;"UMNS($A1584:D1603), D1583&amp;RIGHT(INDIRECT(ADDRESS(ROW(D1584)-1, 'From Order'!$A1584)), 1), D1583))"),"CGZCSFHB")</f>
        <v>CGZCSFHB</v>
      </c>
      <c r="E1584" s="2" t="str">
        <f>IFERROR(__xludf.DUMMYFUNCTION("IF('From Order'!$A1584=COLUMNS($A1584:E1603), LEFT(INDEX(FILTER(E$1:E1583, E$1:E1583&lt;&gt;""""),COUNTA(FILTER(E$1:E1583, E$1:E1583&lt;&gt;""""))), LEN(INDEX(FILTER(E$1:E1583, E$1:E1583&lt;&gt;""""),COUNTA(FILTER(E$1:E1583, E$1:E1583&lt;&gt;""""))))-1), IF('To Order'!$A1584=COL"&amp;"UMNS($A1584:E1603), E1583&amp;RIGHT(INDIRECT(ADDRESS(ROW(E1584)-1, 'From Order'!$A1584)), 1), E1583))"),"W")</f>
        <v>W</v>
      </c>
      <c r="F1584" s="2" t="str">
        <f>IFERROR(__xludf.DUMMYFUNCTION("IF('From Order'!$A1584=COLUMNS($A1584:F1603), LEFT(INDEX(FILTER(F$1:F1583, F$1:F1583&lt;&gt;""""),COUNTA(FILTER(F$1:F1583, F$1:F1583&lt;&gt;""""))), LEN(INDEX(FILTER(F$1:F1583, F$1:F1583&lt;&gt;""""),COUNTA(FILTER(F$1:F1583, F$1:F1583&lt;&gt;""""))))-1), IF('To Order'!$A1584=COL"&amp;"UMNS($A1584:F1603), F1583&amp;RIGHT(INDIRECT(ADDRESS(ROW(F1584)-1, 'From Order'!$A1584)), 1), F1583))"),"Z")</f>
        <v>Z</v>
      </c>
      <c r="G1584" s="2" t="str">
        <f>IFERROR(__xludf.DUMMYFUNCTION("IF('From Order'!$A1584=COLUMNS($A1584:G1603), LEFT(INDEX(FILTER(G$1:G1583, G$1:G1583&lt;&gt;""""),COUNTA(FILTER(G$1:G1583, G$1:G1583&lt;&gt;""""))), LEN(INDEX(FILTER(G$1:G1583, G$1:G1583&lt;&gt;""""),COUNTA(FILTER(G$1:G1583, G$1:G1583&lt;&gt;""""))))-1), IF('To Order'!$A1584=COL"&amp;"UMNS($A1584:G1603), G1583&amp;RIGHT(INDIRECT(ADDRESS(ROW(G1584)-1, 'From Order'!$A1584)), 1), G1583))"),"SSTDDWLLFBPTTJG")</f>
        <v>SSTDDWLLFBPTTJG</v>
      </c>
      <c r="H1584" s="2" t="str">
        <f>IFERROR(__xludf.DUMMYFUNCTION("IF('From Order'!$A1584=COLUMNS($A1584:H1603), LEFT(INDEX(FILTER(H$1:H1583, H$1:H1583&lt;&gt;""""),COUNTA(FILTER(H$1:H1583, H$1:H1583&lt;&gt;""""))), LEN(INDEX(FILTER(H$1:H1583, H$1:H1583&lt;&gt;""""),COUNTA(FILTER(H$1:H1583, H$1:H1583&lt;&gt;""""))))-1), IF('To Order'!$A1584=COL"&amp;"UMNS($A1584:H1603), H1583&amp;RIGHT(INDIRECT(ADDRESS(ROW(H1584)-1, 'From Order'!$A1584)), 1), H1583))"),"")</f>
        <v/>
      </c>
      <c r="I1584" s="2" t="str">
        <f>IFERROR(__xludf.DUMMYFUNCTION("IF('From Order'!$A1584=COLUMNS($A1584:I1603), LEFT(INDEX(FILTER(I$1:I1583, I$1:I1583&lt;&gt;""""),COUNTA(FILTER(I$1:I1583, I$1:I1583&lt;&gt;""""))), LEN(INDEX(FILTER(I$1:I1583, I$1:I1583&lt;&gt;""""),COUNTA(FILTER(I$1:I1583, I$1:I1583&lt;&gt;""""))))-1), IF('To Order'!$A1584=COL"&amp;"UMNS($A1584:I1603), I1583&amp;RIGHT(INDIRECT(ADDRESS(ROW(I1584)-1, 'From Order'!$A1584)), 1), I1583))"),"")</f>
        <v/>
      </c>
    </row>
    <row r="1585">
      <c r="A1585" s="2" t="str">
        <f>IFERROR(__xludf.DUMMYFUNCTION("IF('From Order'!$A1585=COLUMNS($A1585:A1604), LEFT(INDEX(FILTER(A$1:A1584, A$1:A1584&lt;&gt;""""),COUNTA(FILTER(A$1:A1584, A$1:A1584&lt;&gt;""""))), LEN(INDEX(FILTER(A$1:A1584, A$1:A1584&lt;&gt;""""),COUNTA(FILTER(A$1:A1584, A$1:A1584&lt;&gt;""""))))-1), IF('To Order'!$A1585=COL"&amp;"UMNS($A1585:A1604), A1584&amp;RIGHT(INDIRECT(ADDRESS(ROW(A1585)-1, 'From Order'!$A1585)), 1), A1584))"),"MDJMBVRR")</f>
        <v>MDJMBVRR</v>
      </c>
      <c r="B1585" s="2" t="str">
        <f>IFERROR(__xludf.DUMMYFUNCTION("IF('From Order'!$A1585=COLUMNS($A1585:B1604), LEFT(INDEX(FILTER(B$1:B1584, B$1:B1584&lt;&gt;""""),COUNTA(FILTER(B$1:B1584, B$1:B1584&lt;&gt;""""))), LEN(INDEX(FILTER(B$1:B1584, B$1:B1584&lt;&gt;""""),COUNTA(FILTER(B$1:B1584, B$1:B1584&lt;&gt;""""))))-1), IF('To Order'!$A1585=COL"&amp;"UMNS($A1585:B1604), B1584&amp;RIGHT(INDIRECT(ADDRESS(ROW(B1585)-1, 'From Order'!$A1585)), 1), B1584))"),"RBRTVCDRHZMTDLDS")</f>
        <v>RBRTVCDRHZMTDLDS</v>
      </c>
      <c r="C1585" s="2" t="str">
        <f>IFERROR(__xludf.DUMMYFUNCTION("IF('From Order'!$A1585=COLUMNS($A1585:C1604), LEFT(INDEX(FILTER(C$1:C1584, C$1:C1584&lt;&gt;""""),COUNTA(FILTER(C$1:C1584, C$1:C1584&lt;&gt;""""))), LEN(INDEX(FILTER(C$1:C1584, C$1:C1584&lt;&gt;""""),COUNTA(FILTER(C$1:C1584, C$1:C1584&lt;&gt;""""))))-1), IF('To Order'!$A1585=COL"&amp;"UMNS($A1585:C1604), C1584&amp;RIGHT(INDIRECT(ADDRESS(ROW(C1585)-1, 'From Order'!$A1585)), 1), C1584))"),"TQVQJPP")</f>
        <v>TQVQJPP</v>
      </c>
      <c r="D1585" s="2" t="str">
        <f>IFERROR(__xludf.DUMMYFUNCTION("IF('From Order'!$A1585=COLUMNS($A1585:D1604), LEFT(INDEX(FILTER(D$1:D1584, D$1:D1584&lt;&gt;""""),COUNTA(FILTER(D$1:D1584, D$1:D1584&lt;&gt;""""))), LEN(INDEX(FILTER(D$1:D1584, D$1:D1584&lt;&gt;""""),COUNTA(FILTER(D$1:D1584, D$1:D1584&lt;&gt;""""))))-1), IF('To Order'!$A1585=COL"&amp;"UMNS($A1585:D1604), D1584&amp;RIGHT(INDIRECT(ADDRESS(ROW(D1585)-1, 'From Order'!$A1585)), 1), D1584))"),"CGZCSFHB")</f>
        <v>CGZCSFHB</v>
      </c>
      <c r="E1585" s="2" t="str">
        <f>IFERROR(__xludf.DUMMYFUNCTION("IF('From Order'!$A1585=COLUMNS($A1585:E1604), LEFT(INDEX(FILTER(E$1:E1584, E$1:E1584&lt;&gt;""""),COUNTA(FILTER(E$1:E1584, E$1:E1584&lt;&gt;""""))), LEN(INDEX(FILTER(E$1:E1584, E$1:E1584&lt;&gt;""""),COUNTA(FILTER(E$1:E1584, E$1:E1584&lt;&gt;""""))))-1), IF('To Order'!$A1585=COL"&amp;"UMNS($A1585:E1604), E1584&amp;RIGHT(INDIRECT(ADDRESS(ROW(E1585)-1, 'From Order'!$A1585)), 1), E1584))"),"W")</f>
        <v>W</v>
      </c>
      <c r="F1585" s="2" t="str">
        <f>IFERROR(__xludf.DUMMYFUNCTION("IF('From Order'!$A1585=COLUMNS($A1585:F1604), LEFT(INDEX(FILTER(F$1:F1584, F$1:F1584&lt;&gt;""""),COUNTA(FILTER(F$1:F1584, F$1:F1584&lt;&gt;""""))), LEN(INDEX(FILTER(F$1:F1584, F$1:F1584&lt;&gt;""""),COUNTA(FILTER(F$1:F1584, F$1:F1584&lt;&gt;""""))))-1), IF('To Order'!$A1585=COL"&amp;"UMNS($A1585:F1604), F1584&amp;RIGHT(INDIRECT(ADDRESS(ROW(F1585)-1, 'From Order'!$A1585)), 1), F1584))"),"Z")</f>
        <v>Z</v>
      </c>
      <c r="G1585" s="2" t="str">
        <f>IFERROR(__xludf.DUMMYFUNCTION("IF('From Order'!$A1585=COLUMNS($A1585:G1604), LEFT(INDEX(FILTER(G$1:G1584, G$1:G1584&lt;&gt;""""),COUNTA(FILTER(G$1:G1584, G$1:G1584&lt;&gt;""""))), LEN(INDEX(FILTER(G$1:G1584, G$1:G1584&lt;&gt;""""),COUNTA(FILTER(G$1:G1584, G$1:G1584&lt;&gt;""""))))-1), IF('To Order'!$A1585=COL"&amp;"UMNS($A1585:G1604), G1584&amp;RIGHT(INDIRECT(ADDRESS(ROW(G1585)-1, 'From Order'!$A1585)), 1), G1584))"),"SSTDDWLLFBPTTJG")</f>
        <v>SSTDDWLLFBPTTJG</v>
      </c>
      <c r="H1585" s="2" t="str">
        <f>IFERROR(__xludf.DUMMYFUNCTION("IF('From Order'!$A1585=COLUMNS($A1585:H1604), LEFT(INDEX(FILTER(H$1:H1584, H$1:H1584&lt;&gt;""""),COUNTA(FILTER(H$1:H1584, H$1:H1584&lt;&gt;""""))), LEN(INDEX(FILTER(H$1:H1584, H$1:H1584&lt;&gt;""""),COUNTA(FILTER(H$1:H1584, H$1:H1584&lt;&gt;""""))))-1), IF('To Order'!$A1585=COL"&amp;"UMNS($A1585:H1604), H1584&amp;RIGHT(INDIRECT(ADDRESS(ROW(H1585)-1, 'From Order'!$A1585)), 1), H1584))"),"")</f>
        <v/>
      </c>
      <c r="I1585" s="2" t="str">
        <f>IFERROR(__xludf.DUMMYFUNCTION("IF('From Order'!$A1585=COLUMNS($A1585:I1604), LEFT(INDEX(FILTER(I$1:I1584, I$1:I1584&lt;&gt;""""),COUNTA(FILTER(I$1:I1584, I$1:I1584&lt;&gt;""""))), LEN(INDEX(FILTER(I$1:I1584, I$1:I1584&lt;&gt;""""),COUNTA(FILTER(I$1:I1584, I$1:I1584&lt;&gt;""""))))-1), IF('To Order'!$A1585=COL"&amp;"UMNS($A1585:I1604), I1584&amp;RIGHT(INDIRECT(ADDRESS(ROW(I1585)-1, 'From Order'!$A1585)), 1), I1584))"),"")</f>
        <v/>
      </c>
    </row>
    <row r="1586">
      <c r="A1586" s="2" t="str">
        <f>IFERROR(__xludf.DUMMYFUNCTION("IF('From Order'!$A1586=COLUMNS($A1586:A1605), LEFT(INDEX(FILTER(A$1:A1585, A$1:A1585&lt;&gt;""""),COUNTA(FILTER(A$1:A1585, A$1:A1585&lt;&gt;""""))), LEN(INDEX(FILTER(A$1:A1585, A$1:A1585&lt;&gt;""""),COUNTA(FILTER(A$1:A1585, A$1:A1585&lt;&gt;""""))))-1), IF('To Order'!$A1586=COL"&amp;"UMNS($A1586:A1605), A1585&amp;RIGHT(INDIRECT(ADDRESS(ROW(A1586)-1, 'From Order'!$A1586)), 1), A1585))"),"MDJMBVR")</f>
        <v>MDJMBVR</v>
      </c>
      <c r="B1586" s="2" t="str">
        <f>IFERROR(__xludf.DUMMYFUNCTION("IF('From Order'!$A1586=COLUMNS($A1586:B1605), LEFT(INDEX(FILTER(B$1:B1585, B$1:B1585&lt;&gt;""""),COUNTA(FILTER(B$1:B1585, B$1:B1585&lt;&gt;""""))), LEN(INDEX(FILTER(B$1:B1585, B$1:B1585&lt;&gt;""""),COUNTA(FILTER(B$1:B1585, B$1:B1585&lt;&gt;""""))))-1), IF('To Order'!$A1586=COL"&amp;"UMNS($A1586:B1605), B1585&amp;RIGHT(INDIRECT(ADDRESS(ROW(B1586)-1, 'From Order'!$A1586)), 1), B1585))"),"RBRTVCDRHZMTDLDSR")</f>
        <v>RBRTVCDRHZMTDLDSR</v>
      </c>
      <c r="C1586" s="2" t="str">
        <f>IFERROR(__xludf.DUMMYFUNCTION("IF('From Order'!$A1586=COLUMNS($A1586:C1605), LEFT(INDEX(FILTER(C$1:C1585, C$1:C1585&lt;&gt;""""),COUNTA(FILTER(C$1:C1585, C$1:C1585&lt;&gt;""""))), LEN(INDEX(FILTER(C$1:C1585, C$1:C1585&lt;&gt;""""),COUNTA(FILTER(C$1:C1585, C$1:C1585&lt;&gt;""""))))-1), IF('To Order'!$A1586=COL"&amp;"UMNS($A1586:C1605), C1585&amp;RIGHT(INDIRECT(ADDRESS(ROW(C1586)-1, 'From Order'!$A1586)), 1), C1585))"),"TQVQJPP")</f>
        <v>TQVQJPP</v>
      </c>
      <c r="D1586" s="2" t="str">
        <f>IFERROR(__xludf.DUMMYFUNCTION("IF('From Order'!$A1586=COLUMNS($A1586:D1605), LEFT(INDEX(FILTER(D$1:D1585, D$1:D1585&lt;&gt;""""),COUNTA(FILTER(D$1:D1585, D$1:D1585&lt;&gt;""""))), LEN(INDEX(FILTER(D$1:D1585, D$1:D1585&lt;&gt;""""),COUNTA(FILTER(D$1:D1585, D$1:D1585&lt;&gt;""""))))-1), IF('To Order'!$A1586=COL"&amp;"UMNS($A1586:D1605), D1585&amp;RIGHT(INDIRECT(ADDRESS(ROW(D1586)-1, 'From Order'!$A1586)), 1), D1585))"),"CGZCSFHB")</f>
        <v>CGZCSFHB</v>
      </c>
      <c r="E1586" s="2" t="str">
        <f>IFERROR(__xludf.DUMMYFUNCTION("IF('From Order'!$A1586=COLUMNS($A1586:E1605), LEFT(INDEX(FILTER(E$1:E1585, E$1:E1585&lt;&gt;""""),COUNTA(FILTER(E$1:E1585, E$1:E1585&lt;&gt;""""))), LEN(INDEX(FILTER(E$1:E1585, E$1:E1585&lt;&gt;""""),COUNTA(FILTER(E$1:E1585, E$1:E1585&lt;&gt;""""))))-1), IF('To Order'!$A1586=COL"&amp;"UMNS($A1586:E1605), E1585&amp;RIGHT(INDIRECT(ADDRESS(ROW(E1586)-1, 'From Order'!$A1586)), 1), E1585))"),"W")</f>
        <v>W</v>
      </c>
      <c r="F1586" s="2" t="str">
        <f>IFERROR(__xludf.DUMMYFUNCTION("IF('From Order'!$A1586=COLUMNS($A1586:F1605), LEFT(INDEX(FILTER(F$1:F1585, F$1:F1585&lt;&gt;""""),COUNTA(FILTER(F$1:F1585, F$1:F1585&lt;&gt;""""))), LEN(INDEX(FILTER(F$1:F1585, F$1:F1585&lt;&gt;""""),COUNTA(FILTER(F$1:F1585, F$1:F1585&lt;&gt;""""))))-1), IF('To Order'!$A1586=COL"&amp;"UMNS($A1586:F1605), F1585&amp;RIGHT(INDIRECT(ADDRESS(ROW(F1586)-1, 'From Order'!$A1586)), 1), F1585))"),"Z")</f>
        <v>Z</v>
      </c>
      <c r="G1586" s="2" t="str">
        <f>IFERROR(__xludf.DUMMYFUNCTION("IF('From Order'!$A1586=COLUMNS($A1586:G1605), LEFT(INDEX(FILTER(G$1:G1585, G$1:G1585&lt;&gt;""""),COUNTA(FILTER(G$1:G1585, G$1:G1585&lt;&gt;""""))), LEN(INDEX(FILTER(G$1:G1585, G$1:G1585&lt;&gt;""""),COUNTA(FILTER(G$1:G1585, G$1:G1585&lt;&gt;""""))))-1), IF('To Order'!$A1586=COL"&amp;"UMNS($A1586:G1605), G1585&amp;RIGHT(INDIRECT(ADDRESS(ROW(G1586)-1, 'From Order'!$A1586)), 1), G1585))"),"SSTDDWLLFBPTTJG")</f>
        <v>SSTDDWLLFBPTTJG</v>
      </c>
      <c r="H1586" s="2" t="str">
        <f>IFERROR(__xludf.DUMMYFUNCTION("IF('From Order'!$A1586=COLUMNS($A1586:H1605), LEFT(INDEX(FILTER(H$1:H1585, H$1:H1585&lt;&gt;""""),COUNTA(FILTER(H$1:H1585, H$1:H1585&lt;&gt;""""))), LEN(INDEX(FILTER(H$1:H1585, H$1:H1585&lt;&gt;""""),COUNTA(FILTER(H$1:H1585, H$1:H1585&lt;&gt;""""))))-1), IF('To Order'!$A1586=COL"&amp;"UMNS($A1586:H1605), H1585&amp;RIGHT(INDIRECT(ADDRESS(ROW(H1586)-1, 'From Order'!$A1586)), 1), H1585))"),"")</f>
        <v/>
      </c>
      <c r="I1586" s="2" t="str">
        <f>IFERROR(__xludf.DUMMYFUNCTION("IF('From Order'!$A1586=COLUMNS($A1586:I1605), LEFT(INDEX(FILTER(I$1:I1585, I$1:I1585&lt;&gt;""""),COUNTA(FILTER(I$1:I1585, I$1:I1585&lt;&gt;""""))), LEN(INDEX(FILTER(I$1:I1585, I$1:I1585&lt;&gt;""""),COUNTA(FILTER(I$1:I1585, I$1:I1585&lt;&gt;""""))))-1), IF('To Order'!$A1586=COL"&amp;"UMNS($A1586:I1605), I1585&amp;RIGHT(INDIRECT(ADDRESS(ROW(I1586)-1, 'From Order'!$A1586)), 1), I1585))"),"")</f>
        <v/>
      </c>
    </row>
    <row r="1587">
      <c r="A1587" s="2" t="str">
        <f>IFERROR(__xludf.DUMMYFUNCTION("IF('From Order'!$A1587=COLUMNS($A1587:A1606), LEFT(INDEX(FILTER(A$1:A1586, A$1:A1586&lt;&gt;""""),COUNTA(FILTER(A$1:A1586, A$1:A1586&lt;&gt;""""))), LEN(INDEX(FILTER(A$1:A1586, A$1:A1586&lt;&gt;""""),COUNTA(FILTER(A$1:A1586, A$1:A1586&lt;&gt;""""))))-1), IF('To Order'!$A1587=COL"&amp;"UMNS($A1587:A1606), A1586&amp;RIGHT(INDIRECT(ADDRESS(ROW(A1587)-1, 'From Order'!$A1587)), 1), A1586))"),"MDJMBV")</f>
        <v>MDJMBV</v>
      </c>
      <c r="B1587" s="2" t="str">
        <f>IFERROR(__xludf.DUMMYFUNCTION("IF('From Order'!$A1587=COLUMNS($A1587:B1606), LEFT(INDEX(FILTER(B$1:B1586, B$1:B1586&lt;&gt;""""),COUNTA(FILTER(B$1:B1586, B$1:B1586&lt;&gt;""""))), LEN(INDEX(FILTER(B$1:B1586, B$1:B1586&lt;&gt;""""),COUNTA(FILTER(B$1:B1586, B$1:B1586&lt;&gt;""""))))-1), IF('To Order'!$A1587=COL"&amp;"UMNS($A1587:B1606), B1586&amp;RIGHT(INDIRECT(ADDRESS(ROW(B1587)-1, 'From Order'!$A1587)), 1), B1586))"),"RBRTVCDRHZMTDLDSRR")</f>
        <v>RBRTVCDRHZMTDLDSRR</v>
      </c>
      <c r="C1587" s="2" t="str">
        <f>IFERROR(__xludf.DUMMYFUNCTION("IF('From Order'!$A1587=COLUMNS($A1587:C1606), LEFT(INDEX(FILTER(C$1:C1586, C$1:C1586&lt;&gt;""""),COUNTA(FILTER(C$1:C1586, C$1:C1586&lt;&gt;""""))), LEN(INDEX(FILTER(C$1:C1586, C$1:C1586&lt;&gt;""""),COUNTA(FILTER(C$1:C1586, C$1:C1586&lt;&gt;""""))))-1), IF('To Order'!$A1587=COL"&amp;"UMNS($A1587:C1606), C1586&amp;RIGHT(INDIRECT(ADDRESS(ROW(C1587)-1, 'From Order'!$A1587)), 1), C1586))"),"TQVQJPP")</f>
        <v>TQVQJPP</v>
      </c>
      <c r="D1587" s="2" t="str">
        <f>IFERROR(__xludf.DUMMYFUNCTION("IF('From Order'!$A1587=COLUMNS($A1587:D1606), LEFT(INDEX(FILTER(D$1:D1586, D$1:D1586&lt;&gt;""""),COUNTA(FILTER(D$1:D1586, D$1:D1586&lt;&gt;""""))), LEN(INDEX(FILTER(D$1:D1586, D$1:D1586&lt;&gt;""""),COUNTA(FILTER(D$1:D1586, D$1:D1586&lt;&gt;""""))))-1), IF('To Order'!$A1587=COL"&amp;"UMNS($A1587:D1606), D1586&amp;RIGHT(INDIRECT(ADDRESS(ROW(D1587)-1, 'From Order'!$A1587)), 1), D1586))"),"CGZCSFHB")</f>
        <v>CGZCSFHB</v>
      </c>
      <c r="E1587" s="2" t="str">
        <f>IFERROR(__xludf.DUMMYFUNCTION("IF('From Order'!$A1587=COLUMNS($A1587:E1606), LEFT(INDEX(FILTER(E$1:E1586, E$1:E1586&lt;&gt;""""),COUNTA(FILTER(E$1:E1586, E$1:E1586&lt;&gt;""""))), LEN(INDEX(FILTER(E$1:E1586, E$1:E1586&lt;&gt;""""),COUNTA(FILTER(E$1:E1586, E$1:E1586&lt;&gt;""""))))-1), IF('To Order'!$A1587=COL"&amp;"UMNS($A1587:E1606), E1586&amp;RIGHT(INDIRECT(ADDRESS(ROW(E1587)-1, 'From Order'!$A1587)), 1), E1586))"),"W")</f>
        <v>W</v>
      </c>
      <c r="F1587" s="2" t="str">
        <f>IFERROR(__xludf.DUMMYFUNCTION("IF('From Order'!$A1587=COLUMNS($A1587:F1606), LEFT(INDEX(FILTER(F$1:F1586, F$1:F1586&lt;&gt;""""),COUNTA(FILTER(F$1:F1586, F$1:F1586&lt;&gt;""""))), LEN(INDEX(FILTER(F$1:F1586, F$1:F1586&lt;&gt;""""),COUNTA(FILTER(F$1:F1586, F$1:F1586&lt;&gt;""""))))-1), IF('To Order'!$A1587=COL"&amp;"UMNS($A1587:F1606), F1586&amp;RIGHT(INDIRECT(ADDRESS(ROW(F1587)-1, 'From Order'!$A1587)), 1), F1586))"),"Z")</f>
        <v>Z</v>
      </c>
      <c r="G1587" s="2" t="str">
        <f>IFERROR(__xludf.DUMMYFUNCTION("IF('From Order'!$A1587=COLUMNS($A1587:G1606), LEFT(INDEX(FILTER(G$1:G1586, G$1:G1586&lt;&gt;""""),COUNTA(FILTER(G$1:G1586, G$1:G1586&lt;&gt;""""))), LEN(INDEX(FILTER(G$1:G1586, G$1:G1586&lt;&gt;""""),COUNTA(FILTER(G$1:G1586, G$1:G1586&lt;&gt;""""))))-1), IF('To Order'!$A1587=COL"&amp;"UMNS($A1587:G1606), G1586&amp;RIGHT(INDIRECT(ADDRESS(ROW(G1587)-1, 'From Order'!$A1587)), 1), G1586))"),"SSTDDWLLFBPTTJG")</f>
        <v>SSTDDWLLFBPTTJG</v>
      </c>
      <c r="H1587" s="2" t="str">
        <f>IFERROR(__xludf.DUMMYFUNCTION("IF('From Order'!$A1587=COLUMNS($A1587:H1606), LEFT(INDEX(FILTER(H$1:H1586, H$1:H1586&lt;&gt;""""),COUNTA(FILTER(H$1:H1586, H$1:H1586&lt;&gt;""""))), LEN(INDEX(FILTER(H$1:H1586, H$1:H1586&lt;&gt;""""),COUNTA(FILTER(H$1:H1586, H$1:H1586&lt;&gt;""""))))-1), IF('To Order'!$A1587=COL"&amp;"UMNS($A1587:H1606), H1586&amp;RIGHT(INDIRECT(ADDRESS(ROW(H1587)-1, 'From Order'!$A1587)), 1), H1586))"),"")</f>
        <v/>
      </c>
      <c r="I1587" s="2" t="str">
        <f>IFERROR(__xludf.DUMMYFUNCTION("IF('From Order'!$A1587=COLUMNS($A1587:I1606), LEFT(INDEX(FILTER(I$1:I1586, I$1:I1586&lt;&gt;""""),COUNTA(FILTER(I$1:I1586, I$1:I1586&lt;&gt;""""))), LEN(INDEX(FILTER(I$1:I1586, I$1:I1586&lt;&gt;""""),COUNTA(FILTER(I$1:I1586, I$1:I1586&lt;&gt;""""))))-1), IF('To Order'!$A1587=COL"&amp;"UMNS($A1587:I1606), I1586&amp;RIGHT(INDIRECT(ADDRESS(ROW(I1587)-1, 'From Order'!$A1587)), 1), I1586))"),"")</f>
        <v/>
      </c>
    </row>
    <row r="1588">
      <c r="A1588" s="2" t="str">
        <f>IFERROR(__xludf.DUMMYFUNCTION("IF('From Order'!$A1588=COLUMNS($A1588:A1607), LEFT(INDEX(FILTER(A$1:A1587, A$1:A1587&lt;&gt;""""),COUNTA(FILTER(A$1:A1587, A$1:A1587&lt;&gt;""""))), LEN(INDEX(FILTER(A$1:A1587, A$1:A1587&lt;&gt;""""),COUNTA(FILTER(A$1:A1587, A$1:A1587&lt;&gt;""""))))-1), IF('To Order'!$A1588=COL"&amp;"UMNS($A1588:A1607), A1587&amp;RIGHT(INDIRECT(ADDRESS(ROW(A1588)-1, 'From Order'!$A1588)), 1), A1587))"),"MDJMB")</f>
        <v>MDJMB</v>
      </c>
      <c r="B1588" s="2" t="str">
        <f>IFERROR(__xludf.DUMMYFUNCTION("IF('From Order'!$A1588=COLUMNS($A1588:B1607), LEFT(INDEX(FILTER(B$1:B1587, B$1:B1587&lt;&gt;""""),COUNTA(FILTER(B$1:B1587, B$1:B1587&lt;&gt;""""))), LEN(INDEX(FILTER(B$1:B1587, B$1:B1587&lt;&gt;""""),COUNTA(FILTER(B$1:B1587, B$1:B1587&lt;&gt;""""))))-1), IF('To Order'!$A1588=COL"&amp;"UMNS($A1588:B1607), B1587&amp;RIGHT(INDIRECT(ADDRESS(ROW(B1588)-1, 'From Order'!$A1588)), 1), B1587))"),"RBRTVCDRHZMTDLDSRRV")</f>
        <v>RBRTVCDRHZMTDLDSRRV</v>
      </c>
      <c r="C1588" s="2" t="str">
        <f>IFERROR(__xludf.DUMMYFUNCTION("IF('From Order'!$A1588=COLUMNS($A1588:C1607), LEFT(INDEX(FILTER(C$1:C1587, C$1:C1587&lt;&gt;""""),COUNTA(FILTER(C$1:C1587, C$1:C1587&lt;&gt;""""))), LEN(INDEX(FILTER(C$1:C1587, C$1:C1587&lt;&gt;""""),COUNTA(FILTER(C$1:C1587, C$1:C1587&lt;&gt;""""))))-1), IF('To Order'!$A1588=COL"&amp;"UMNS($A1588:C1607), C1587&amp;RIGHT(INDIRECT(ADDRESS(ROW(C1588)-1, 'From Order'!$A1588)), 1), C1587))"),"TQVQJPP")</f>
        <v>TQVQJPP</v>
      </c>
      <c r="D1588" s="2" t="str">
        <f>IFERROR(__xludf.DUMMYFUNCTION("IF('From Order'!$A1588=COLUMNS($A1588:D1607), LEFT(INDEX(FILTER(D$1:D1587, D$1:D1587&lt;&gt;""""),COUNTA(FILTER(D$1:D1587, D$1:D1587&lt;&gt;""""))), LEN(INDEX(FILTER(D$1:D1587, D$1:D1587&lt;&gt;""""),COUNTA(FILTER(D$1:D1587, D$1:D1587&lt;&gt;""""))))-1), IF('To Order'!$A1588=COL"&amp;"UMNS($A1588:D1607), D1587&amp;RIGHT(INDIRECT(ADDRESS(ROW(D1588)-1, 'From Order'!$A1588)), 1), D1587))"),"CGZCSFHB")</f>
        <v>CGZCSFHB</v>
      </c>
      <c r="E1588" s="2" t="str">
        <f>IFERROR(__xludf.DUMMYFUNCTION("IF('From Order'!$A1588=COLUMNS($A1588:E1607), LEFT(INDEX(FILTER(E$1:E1587, E$1:E1587&lt;&gt;""""),COUNTA(FILTER(E$1:E1587, E$1:E1587&lt;&gt;""""))), LEN(INDEX(FILTER(E$1:E1587, E$1:E1587&lt;&gt;""""),COUNTA(FILTER(E$1:E1587, E$1:E1587&lt;&gt;""""))))-1), IF('To Order'!$A1588=COL"&amp;"UMNS($A1588:E1607), E1587&amp;RIGHT(INDIRECT(ADDRESS(ROW(E1588)-1, 'From Order'!$A1588)), 1), E1587))"),"W")</f>
        <v>W</v>
      </c>
      <c r="F1588" s="2" t="str">
        <f>IFERROR(__xludf.DUMMYFUNCTION("IF('From Order'!$A1588=COLUMNS($A1588:F1607), LEFT(INDEX(FILTER(F$1:F1587, F$1:F1587&lt;&gt;""""),COUNTA(FILTER(F$1:F1587, F$1:F1587&lt;&gt;""""))), LEN(INDEX(FILTER(F$1:F1587, F$1:F1587&lt;&gt;""""),COUNTA(FILTER(F$1:F1587, F$1:F1587&lt;&gt;""""))))-1), IF('To Order'!$A1588=COL"&amp;"UMNS($A1588:F1607), F1587&amp;RIGHT(INDIRECT(ADDRESS(ROW(F1588)-1, 'From Order'!$A1588)), 1), F1587))"),"Z")</f>
        <v>Z</v>
      </c>
      <c r="G1588" s="2" t="str">
        <f>IFERROR(__xludf.DUMMYFUNCTION("IF('From Order'!$A1588=COLUMNS($A1588:G1607), LEFT(INDEX(FILTER(G$1:G1587, G$1:G1587&lt;&gt;""""),COUNTA(FILTER(G$1:G1587, G$1:G1587&lt;&gt;""""))), LEN(INDEX(FILTER(G$1:G1587, G$1:G1587&lt;&gt;""""),COUNTA(FILTER(G$1:G1587, G$1:G1587&lt;&gt;""""))))-1), IF('To Order'!$A1588=COL"&amp;"UMNS($A1588:G1607), G1587&amp;RIGHT(INDIRECT(ADDRESS(ROW(G1588)-1, 'From Order'!$A1588)), 1), G1587))"),"SSTDDWLLFBPTTJG")</f>
        <v>SSTDDWLLFBPTTJG</v>
      </c>
      <c r="H1588" s="2" t="str">
        <f>IFERROR(__xludf.DUMMYFUNCTION("IF('From Order'!$A1588=COLUMNS($A1588:H1607), LEFT(INDEX(FILTER(H$1:H1587, H$1:H1587&lt;&gt;""""),COUNTA(FILTER(H$1:H1587, H$1:H1587&lt;&gt;""""))), LEN(INDEX(FILTER(H$1:H1587, H$1:H1587&lt;&gt;""""),COUNTA(FILTER(H$1:H1587, H$1:H1587&lt;&gt;""""))))-1), IF('To Order'!$A1588=COL"&amp;"UMNS($A1588:H1607), H1587&amp;RIGHT(INDIRECT(ADDRESS(ROW(H1588)-1, 'From Order'!$A1588)), 1), H1587))"),"")</f>
        <v/>
      </c>
      <c r="I1588" s="2" t="str">
        <f>IFERROR(__xludf.DUMMYFUNCTION("IF('From Order'!$A1588=COLUMNS($A1588:I1607), LEFT(INDEX(FILTER(I$1:I1587, I$1:I1587&lt;&gt;""""),COUNTA(FILTER(I$1:I1587, I$1:I1587&lt;&gt;""""))), LEN(INDEX(FILTER(I$1:I1587, I$1:I1587&lt;&gt;""""),COUNTA(FILTER(I$1:I1587, I$1:I1587&lt;&gt;""""))))-1), IF('To Order'!$A1588=COL"&amp;"UMNS($A1588:I1607), I1587&amp;RIGHT(INDIRECT(ADDRESS(ROW(I1588)-1, 'From Order'!$A1588)), 1), I1587))"),"")</f>
        <v/>
      </c>
    </row>
    <row r="1589">
      <c r="A1589" s="2" t="str">
        <f>IFERROR(__xludf.DUMMYFUNCTION("IF('From Order'!$A1589=COLUMNS($A1589:A1608), LEFT(INDEX(FILTER(A$1:A1588, A$1:A1588&lt;&gt;""""),COUNTA(FILTER(A$1:A1588, A$1:A1588&lt;&gt;""""))), LEN(INDEX(FILTER(A$1:A1588, A$1:A1588&lt;&gt;""""),COUNTA(FILTER(A$1:A1588, A$1:A1588&lt;&gt;""""))))-1), IF('To Order'!$A1589=COL"&amp;"UMNS($A1589:A1608), A1588&amp;RIGHT(INDIRECT(ADDRESS(ROW(A1589)-1, 'From Order'!$A1589)), 1), A1588))"),"MDJM")</f>
        <v>MDJM</v>
      </c>
      <c r="B1589" s="2" t="str">
        <f>IFERROR(__xludf.DUMMYFUNCTION("IF('From Order'!$A1589=COLUMNS($A1589:B1608), LEFT(INDEX(FILTER(B$1:B1588, B$1:B1588&lt;&gt;""""),COUNTA(FILTER(B$1:B1588, B$1:B1588&lt;&gt;""""))), LEN(INDEX(FILTER(B$1:B1588, B$1:B1588&lt;&gt;""""),COUNTA(FILTER(B$1:B1588, B$1:B1588&lt;&gt;""""))))-1), IF('To Order'!$A1589=COL"&amp;"UMNS($A1589:B1608), B1588&amp;RIGHT(INDIRECT(ADDRESS(ROW(B1589)-1, 'From Order'!$A1589)), 1), B1588))"),"RBRTVCDRHZMTDLDSRRVB")</f>
        <v>RBRTVCDRHZMTDLDSRRVB</v>
      </c>
      <c r="C1589" s="2" t="str">
        <f>IFERROR(__xludf.DUMMYFUNCTION("IF('From Order'!$A1589=COLUMNS($A1589:C1608), LEFT(INDEX(FILTER(C$1:C1588, C$1:C1588&lt;&gt;""""),COUNTA(FILTER(C$1:C1588, C$1:C1588&lt;&gt;""""))), LEN(INDEX(FILTER(C$1:C1588, C$1:C1588&lt;&gt;""""),COUNTA(FILTER(C$1:C1588, C$1:C1588&lt;&gt;""""))))-1), IF('To Order'!$A1589=COL"&amp;"UMNS($A1589:C1608), C1588&amp;RIGHT(INDIRECT(ADDRESS(ROW(C1589)-1, 'From Order'!$A1589)), 1), C1588))"),"TQVQJPP")</f>
        <v>TQVQJPP</v>
      </c>
      <c r="D1589" s="2" t="str">
        <f>IFERROR(__xludf.DUMMYFUNCTION("IF('From Order'!$A1589=COLUMNS($A1589:D1608), LEFT(INDEX(FILTER(D$1:D1588, D$1:D1588&lt;&gt;""""),COUNTA(FILTER(D$1:D1588, D$1:D1588&lt;&gt;""""))), LEN(INDEX(FILTER(D$1:D1588, D$1:D1588&lt;&gt;""""),COUNTA(FILTER(D$1:D1588, D$1:D1588&lt;&gt;""""))))-1), IF('To Order'!$A1589=COL"&amp;"UMNS($A1589:D1608), D1588&amp;RIGHT(INDIRECT(ADDRESS(ROW(D1589)-1, 'From Order'!$A1589)), 1), D1588))"),"CGZCSFHB")</f>
        <v>CGZCSFHB</v>
      </c>
      <c r="E1589" s="2" t="str">
        <f>IFERROR(__xludf.DUMMYFUNCTION("IF('From Order'!$A1589=COLUMNS($A1589:E1608), LEFT(INDEX(FILTER(E$1:E1588, E$1:E1588&lt;&gt;""""),COUNTA(FILTER(E$1:E1588, E$1:E1588&lt;&gt;""""))), LEN(INDEX(FILTER(E$1:E1588, E$1:E1588&lt;&gt;""""),COUNTA(FILTER(E$1:E1588, E$1:E1588&lt;&gt;""""))))-1), IF('To Order'!$A1589=COL"&amp;"UMNS($A1589:E1608), E1588&amp;RIGHT(INDIRECT(ADDRESS(ROW(E1589)-1, 'From Order'!$A1589)), 1), E1588))"),"W")</f>
        <v>W</v>
      </c>
      <c r="F1589" s="2" t="str">
        <f>IFERROR(__xludf.DUMMYFUNCTION("IF('From Order'!$A1589=COLUMNS($A1589:F1608), LEFT(INDEX(FILTER(F$1:F1588, F$1:F1588&lt;&gt;""""),COUNTA(FILTER(F$1:F1588, F$1:F1588&lt;&gt;""""))), LEN(INDEX(FILTER(F$1:F1588, F$1:F1588&lt;&gt;""""),COUNTA(FILTER(F$1:F1588, F$1:F1588&lt;&gt;""""))))-1), IF('To Order'!$A1589=COL"&amp;"UMNS($A1589:F1608), F1588&amp;RIGHT(INDIRECT(ADDRESS(ROW(F1589)-1, 'From Order'!$A1589)), 1), F1588))"),"Z")</f>
        <v>Z</v>
      </c>
      <c r="G1589" s="2" t="str">
        <f>IFERROR(__xludf.DUMMYFUNCTION("IF('From Order'!$A1589=COLUMNS($A1589:G1608), LEFT(INDEX(FILTER(G$1:G1588, G$1:G1588&lt;&gt;""""),COUNTA(FILTER(G$1:G1588, G$1:G1588&lt;&gt;""""))), LEN(INDEX(FILTER(G$1:G1588, G$1:G1588&lt;&gt;""""),COUNTA(FILTER(G$1:G1588, G$1:G1588&lt;&gt;""""))))-1), IF('To Order'!$A1589=COL"&amp;"UMNS($A1589:G1608), G1588&amp;RIGHT(INDIRECT(ADDRESS(ROW(G1589)-1, 'From Order'!$A1589)), 1), G1588))"),"SSTDDWLLFBPTTJG")</f>
        <v>SSTDDWLLFBPTTJG</v>
      </c>
      <c r="H1589" s="2" t="str">
        <f>IFERROR(__xludf.DUMMYFUNCTION("IF('From Order'!$A1589=COLUMNS($A1589:H1608), LEFT(INDEX(FILTER(H$1:H1588, H$1:H1588&lt;&gt;""""),COUNTA(FILTER(H$1:H1588, H$1:H1588&lt;&gt;""""))), LEN(INDEX(FILTER(H$1:H1588, H$1:H1588&lt;&gt;""""),COUNTA(FILTER(H$1:H1588, H$1:H1588&lt;&gt;""""))))-1), IF('To Order'!$A1589=COL"&amp;"UMNS($A1589:H1608), H1588&amp;RIGHT(INDIRECT(ADDRESS(ROW(H1589)-1, 'From Order'!$A1589)), 1), H1588))"),"")</f>
        <v/>
      </c>
      <c r="I1589" s="2" t="str">
        <f>IFERROR(__xludf.DUMMYFUNCTION("IF('From Order'!$A1589=COLUMNS($A1589:I1608), LEFT(INDEX(FILTER(I$1:I1588, I$1:I1588&lt;&gt;""""),COUNTA(FILTER(I$1:I1588, I$1:I1588&lt;&gt;""""))), LEN(INDEX(FILTER(I$1:I1588, I$1:I1588&lt;&gt;""""),COUNTA(FILTER(I$1:I1588, I$1:I1588&lt;&gt;""""))))-1), IF('To Order'!$A1589=COL"&amp;"UMNS($A1589:I1608), I1588&amp;RIGHT(INDIRECT(ADDRESS(ROW(I1589)-1, 'From Order'!$A1589)), 1), I1588))"),"")</f>
        <v/>
      </c>
    </row>
    <row r="1590">
      <c r="A1590" s="2" t="str">
        <f>IFERROR(__xludf.DUMMYFUNCTION("IF('From Order'!$A1590=COLUMNS($A1590:A1609), LEFT(INDEX(FILTER(A$1:A1589, A$1:A1589&lt;&gt;""""),COUNTA(FILTER(A$1:A1589, A$1:A1589&lt;&gt;""""))), LEN(INDEX(FILTER(A$1:A1589, A$1:A1589&lt;&gt;""""),COUNTA(FILTER(A$1:A1589, A$1:A1589&lt;&gt;""""))))-1), IF('To Order'!$A1590=COL"&amp;"UMNS($A1590:A1609), A1589&amp;RIGHT(INDIRECT(ADDRESS(ROW(A1590)-1, 'From Order'!$A1590)), 1), A1589))"),"MDJ")</f>
        <v>MDJ</v>
      </c>
      <c r="B1590" s="2" t="str">
        <f>IFERROR(__xludf.DUMMYFUNCTION("IF('From Order'!$A1590=COLUMNS($A1590:B1609), LEFT(INDEX(FILTER(B$1:B1589, B$1:B1589&lt;&gt;""""),COUNTA(FILTER(B$1:B1589, B$1:B1589&lt;&gt;""""))), LEN(INDEX(FILTER(B$1:B1589, B$1:B1589&lt;&gt;""""),COUNTA(FILTER(B$1:B1589, B$1:B1589&lt;&gt;""""))))-1), IF('To Order'!$A1590=COL"&amp;"UMNS($A1590:B1609), B1589&amp;RIGHT(INDIRECT(ADDRESS(ROW(B1590)-1, 'From Order'!$A1590)), 1), B1589))"),"RBRTVCDRHZMTDLDSRRVBM")</f>
        <v>RBRTVCDRHZMTDLDSRRVBM</v>
      </c>
      <c r="C1590" s="2" t="str">
        <f>IFERROR(__xludf.DUMMYFUNCTION("IF('From Order'!$A1590=COLUMNS($A1590:C1609), LEFT(INDEX(FILTER(C$1:C1589, C$1:C1589&lt;&gt;""""),COUNTA(FILTER(C$1:C1589, C$1:C1589&lt;&gt;""""))), LEN(INDEX(FILTER(C$1:C1589, C$1:C1589&lt;&gt;""""),COUNTA(FILTER(C$1:C1589, C$1:C1589&lt;&gt;""""))))-1), IF('To Order'!$A1590=COL"&amp;"UMNS($A1590:C1609), C1589&amp;RIGHT(INDIRECT(ADDRESS(ROW(C1590)-1, 'From Order'!$A1590)), 1), C1589))"),"TQVQJPP")</f>
        <v>TQVQJPP</v>
      </c>
      <c r="D1590" s="2" t="str">
        <f>IFERROR(__xludf.DUMMYFUNCTION("IF('From Order'!$A1590=COLUMNS($A1590:D1609), LEFT(INDEX(FILTER(D$1:D1589, D$1:D1589&lt;&gt;""""),COUNTA(FILTER(D$1:D1589, D$1:D1589&lt;&gt;""""))), LEN(INDEX(FILTER(D$1:D1589, D$1:D1589&lt;&gt;""""),COUNTA(FILTER(D$1:D1589, D$1:D1589&lt;&gt;""""))))-1), IF('To Order'!$A1590=COL"&amp;"UMNS($A1590:D1609), D1589&amp;RIGHT(INDIRECT(ADDRESS(ROW(D1590)-1, 'From Order'!$A1590)), 1), D1589))"),"CGZCSFHB")</f>
        <v>CGZCSFHB</v>
      </c>
      <c r="E1590" s="2" t="str">
        <f>IFERROR(__xludf.DUMMYFUNCTION("IF('From Order'!$A1590=COLUMNS($A1590:E1609), LEFT(INDEX(FILTER(E$1:E1589, E$1:E1589&lt;&gt;""""),COUNTA(FILTER(E$1:E1589, E$1:E1589&lt;&gt;""""))), LEN(INDEX(FILTER(E$1:E1589, E$1:E1589&lt;&gt;""""),COUNTA(FILTER(E$1:E1589, E$1:E1589&lt;&gt;""""))))-1), IF('To Order'!$A1590=COL"&amp;"UMNS($A1590:E1609), E1589&amp;RIGHT(INDIRECT(ADDRESS(ROW(E1590)-1, 'From Order'!$A1590)), 1), E1589))"),"W")</f>
        <v>W</v>
      </c>
      <c r="F1590" s="2" t="str">
        <f>IFERROR(__xludf.DUMMYFUNCTION("IF('From Order'!$A1590=COLUMNS($A1590:F1609), LEFT(INDEX(FILTER(F$1:F1589, F$1:F1589&lt;&gt;""""),COUNTA(FILTER(F$1:F1589, F$1:F1589&lt;&gt;""""))), LEN(INDEX(FILTER(F$1:F1589, F$1:F1589&lt;&gt;""""),COUNTA(FILTER(F$1:F1589, F$1:F1589&lt;&gt;""""))))-1), IF('To Order'!$A1590=COL"&amp;"UMNS($A1590:F1609), F1589&amp;RIGHT(INDIRECT(ADDRESS(ROW(F1590)-1, 'From Order'!$A1590)), 1), F1589))"),"Z")</f>
        <v>Z</v>
      </c>
      <c r="G1590" s="2" t="str">
        <f>IFERROR(__xludf.DUMMYFUNCTION("IF('From Order'!$A1590=COLUMNS($A1590:G1609), LEFT(INDEX(FILTER(G$1:G1589, G$1:G1589&lt;&gt;""""),COUNTA(FILTER(G$1:G1589, G$1:G1589&lt;&gt;""""))), LEN(INDEX(FILTER(G$1:G1589, G$1:G1589&lt;&gt;""""),COUNTA(FILTER(G$1:G1589, G$1:G1589&lt;&gt;""""))))-1), IF('To Order'!$A1590=COL"&amp;"UMNS($A1590:G1609), G1589&amp;RIGHT(INDIRECT(ADDRESS(ROW(G1590)-1, 'From Order'!$A1590)), 1), G1589))"),"SSTDDWLLFBPTTJG")</f>
        <v>SSTDDWLLFBPTTJG</v>
      </c>
      <c r="H1590" s="2" t="str">
        <f>IFERROR(__xludf.DUMMYFUNCTION("IF('From Order'!$A1590=COLUMNS($A1590:H1609), LEFT(INDEX(FILTER(H$1:H1589, H$1:H1589&lt;&gt;""""),COUNTA(FILTER(H$1:H1589, H$1:H1589&lt;&gt;""""))), LEN(INDEX(FILTER(H$1:H1589, H$1:H1589&lt;&gt;""""),COUNTA(FILTER(H$1:H1589, H$1:H1589&lt;&gt;""""))))-1), IF('To Order'!$A1590=COL"&amp;"UMNS($A1590:H1609), H1589&amp;RIGHT(INDIRECT(ADDRESS(ROW(H1590)-1, 'From Order'!$A1590)), 1), H1589))"),"")</f>
        <v/>
      </c>
      <c r="I1590" s="2" t="str">
        <f>IFERROR(__xludf.DUMMYFUNCTION("IF('From Order'!$A1590=COLUMNS($A1590:I1609), LEFT(INDEX(FILTER(I$1:I1589, I$1:I1589&lt;&gt;""""),COUNTA(FILTER(I$1:I1589, I$1:I1589&lt;&gt;""""))), LEN(INDEX(FILTER(I$1:I1589, I$1:I1589&lt;&gt;""""),COUNTA(FILTER(I$1:I1589, I$1:I1589&lt;&gt;""""))))-1), IF('To Order'!$A1590=COL"&amp;"UMNS($A1590:I1609), I1589&amp;RIGHT(INDIRECT(ADDRESS(ROW(I1590)-1, 'From Order'!$A1590)), 1), I1589))"),"")</f>
        <v/>
      </c>
    </row>
    <row r="1591">
      <c r="A1591" s="2" t="str">
        <f>IFERROR(__xludf.DUMMYFUNCTION("IF('From Order'!$A1591=COLUMNS($A1591:A1610), LEFT(INDEX(FILTER(A$1:A1590, A$1:A1590&lt;&gt;""""),COUNTA(FILTER(A$1:A1590, A$1:A1590&lt;&gt;""""))), LEN(INDEX(FILTER(A$1:A1590, A$1:A1590&lt;&gt;""""),COUNTA(FILTER(A$1:A1590, A$1:A1590&lt;&gt;""""))))-1), IF('To Order'!$A1591=COL"&amp;"UMNS($A1591:A1610), A1590&amp;RIGHT(INDIRECT(ADDRESS(ROW(A1591)-1, 'From Order'!$A1591)), 1), A1590))"),"MD")</f>
        <v>MD</v>
      </c>
      <c r="B1591" s="2" t="str">
        <f>IFERROR(__xludf.DUMMYFUNCTION("IF('From Order'!$A1591=COLUMNS($A1591:B1610), LEFT(INDEX(FILTER(B$1:B1590, B$1:B1590&lt;&gt;""""),COUNTA(FILTER(B$1:B1590, B$1:B1590&lt;&gt;""""))), LEN(INDEX(FILTER(B$1:B1590, B$1:B1590&lt;&gt;""""),COUNTA(FILTER(B$1:B1590, B$1:B1590&lt;&gt;""""))))-1), IF('To Order'!$A1591=COL"&amp;"UMNS($A1591:B1610), B1590&amp;RIGHT(INDIRECT(ADDRESS(ROW(B1591)-1, 'From Order'!$A1591)), 1), B1590))"),"RBRTVCDRHZMTDLDSRRVBMJ")</f>
        <v>RBRTVCDRHZMTDLDSRRVBMJ</v>
      </c>
      <c r="C1591" s="2" t="str">
        <f>IFERROR(__xludf.DUMMYFUNCTION("IF('From Order'!$A1591=COLUMNS($A1591:C1610), LEFT(INDEX(FILTER(C$1:C1590, C$1:C1590&lt;&gt;""""),COUNTA(FILTER(C$1:C1590, C$1:C1590&lt;&gt;""""))), LEN(INDEX(FILTER(C$1:C1590, C$1:C1590&lt;&gt;""""),COUNTA(FILTER(C$1:C1590, C$1:C1590&lt;&gt;""""))))-1), IF('To Order'!$A1591=COL"&amp;"UMNS($A1591:C1610), C1590&amp;RIGHT(INDIRECT(ADDRESS(ROW(C1591)-1, 'From Order'!$A1591)), 1), C1590))"),"TQVQJPP")</f>
        <v>TQVQJPP</v>
      </c>
      <c r="D1591" s="2" t="str">
        <f>IFERROR(__xludf.DUMMYFUNCTION("IF('From Order'!$A1591=COLUMNS($A1591:D1610), LEFT(INDEX(FILTER(D$1:D1590, D$1:D1590&lt;&gt;""""),COUNTA(FILTER(D$1:D1590, D$1:D1590&lt;&gt;""""))), LEN(INDEX(FILTER(D$1:D1590, D$1:D1590&lt;&gt;""""),COUNTA(FILTER(D$1:D1590, D$1:D1590&lt;&gt;""""))))-1), IF('To Order'!$A1591=COL"&amp;"UMNS($A1591:D1610), D1590&amp;RIGHT(INDIRECT(ADDRESS(ROW(D1591)-1, 'From Order'!$A1591)), 1), D1590))"),"CGZCSFHB")</f>
        <v>CGZCSFHB</v>
      </c>
      <c r="E1591" s="2" t="str">
        <f>IFERROR(__xludf.DUMMYFUNCTION("IF('From Order'!$A1591=COLUMNS($A1591:E1610), LEFT(INDEX(FILTER(E$1:E1590, E$1:E1590&lt;&gt;""""),COUNTA(FILTER(E$1:E1590, E$1:E1590&lt;&gt;""""))), LEN(INDEX(FILTER(E$1:E1590, E$1:E1590&lt;&gt;""""),COUNTA(FILTER(E$1:E1590, E$1:E1590&lt;&gt;""""))))-1), IF('To Order'!$A1591=COL"&amp;"UMNS($A1591:E1610), E1590&amp;RIGHT(INDIRECT(ADDRESS(ROW(E1591)-1, 'From Order'!$A1591)), 1), E1590))"),"W")</f>
        <v>W</v>
      </c>
      <c r="F1591" s="2" t="str">
        <f>IFERROR(__xludf.DUMMYFUNCTION("IF('From Order'!$A1591=COLUMNS($A1591:F1610), LEFT(INDEX(FILTER(F$1:F1590, F$1:F1590&lt;&gt;""""),COUNTA(FILTER(F$1:F1590, F$1:F1590&lt;&gt;""""))), LEN(INDEX(FILTER(F$1:F1590, F$1:F1590&lt;&gt;""""),COUNTA(FILTER(F$1:F1590, F$1:F1590&lt;&gt;""""))))-1), IF('To Order'!$A1591=COL"&amp;"UMNS($A1591:F1610), F1590&amp;RIGHT(INDIRECT(ADDRESS(ROW(F1591)-1, 'From Order'!$A1591)), 1), F1590))"),"Z")</f>
        <v>Z</v>
      </c>
      <c r="G1591" s="2" t="str">
        <f>IFERROR(__xludf.DUMMYFUNCTION("IF('From Order'!$A1591=COLUMNS($A1591:G1610), LEFT(INDEX(FILTER(G$1:G1590, G$1:G1590&lt;&gt;""""),COUNTA(FILTER(G$1:G1590, G$1:G1590&lt;&gt;""""))), LEN(INDEX(FILTER(G$1:G1590, G$1:G1590&lt;&gt;""""),COUNTA(FILTER(G$1:G1590, G$1:G1590&lt;&gt;""""))))-1), IF('To Order'!$A1591=COL"&amp;"UMNS($A1591:G1610), G1590&amp;RIGHT(INDIRECT(ADDRESS(ROW(G1591)-1, 'From Order'!$A1591)), 1), G1590))"),"SSTDDWLLFBPTTJG")</f>
        <v>SSTDDWLLFBPTTJG</v>
      </c>
      <c r="H1591" s="2" t="str">
        <f>IFERROR(__xludf.DUMMYFUNCTION("IF('From Order'!$A1591=COLUMNS($A1591:H1610), LEFT(INDEX(FILTER(H$1:H1590, H$1:H1590&lt;&gt;""""),COUNTA(FILTER(H$1:H1590, H$1:H1590&lt;&gt;""""))), LEN(INDEX(FILTER(H$1:H1590, H$1:H1590&lt;&gt;""""),COUNTA(FILTER(H$1:H1590, H$1:H1590&lt;&gt;""""))))-1), IF('To Order'!$A1591=COL"&amp;"UMNS($A1591:H1610), H1590&amp;RIGHT(INDIRECT(ADDRESS(ROW(H1591)-1, 'From Order'!$A1591)), 1), H1590))"),"")</f>
        <v/>
      </c>
      <c r="I1591" s="2" t="str">
        <f>IFERROR(__xludf.DUMMYFUNCTION("IF('From Order'!$A1591=COLUMNS($A1591:I1610), LEFT(INDEX(FILTER(I$1:I1590, I$1:I1590&lt;&gt;""""),COUNTA(FILTER(I$1:I1590, I$1:I1590&lt;&gt;""""))), LEN(INDEX(FILTER(I$1:I1590, I$1:I1590&lt;&gt;""""),COUNTA(FILTER(I$1:I1590, I$1:I1590&lt;&gt;""""))))-1), IF('To Order'!$A1591=COL"&amp;"UMNS($A1591:I1610), I1590&amp;RIGHT(INDIRECT(ADDRESS(ROW(I1591)-1, 'From Order'!$A1591)), 1), I1590))"),"")</f>
        <v/>
      </c>
    </row>
    <row r="1592">
      <c r="A1592" s="2" t="str">
        <f>IFERROR(__xludf.DUMMYFUNCTION("IF('From Order'!$A1592=COLUMNS($A1592:A1611), LEFT(INDEX(FILTER(A$1:A1591, A$1:A1591&lt;&gt;""""),COUNTA(FILTER(A$1:A1591, A$1:A1591&lt;&gt;""""))), LEN(INDEX(FILTER(A$1:A1591, A$1:A1591&lt;&gt;""""),COUNTA(FILTER(A$1:A1591, A$1:A1591&lt;&gt;""""))))-1), IF('To Order'!$A1592=COL"&amp;"UMNS($A1592:A1611), A1591&amp;RIGHT(INDIRECT(ADDRESS(ROW(A1592)-1, 'From Order'!$A1592)), 1), A1591))"),"M")</f>
        <v>M</v>
      </c>
      <c r="B1592" s="2" t="str">
        <f>IFERROR(__xludf.DUMMYFUNCTION("IF('From Order'!$A1592=COLUMNS($A1592:B1611), LEFT(INDEX(FILTER(B$1:B1591, B$1:B1591&lt;&gt;""""),COUNTA(FILTER(B$1:B1591, B$1:B1591&lt;&gt;""""))), LEN(INDEX(FILTER(B$1:B1591, B$1:B1591&lt;&gt;""""),COUNTA(FILTER(B$1:B1591, B$1:B1591&lt;&gt;""""))))-1), IF('To Order'!$A1592=COL"&amp;"UMNS($A1592:B1611), B1591&amp;RIGHT(INDIRECT(ADDRESS(ROW(B1592)-1, 'From Order'!$A1592)), 1), B1591))"),"RBRTVCDRHZMTDLDSRRVBMJD")</f>
        <v>RBRTVCDRHZMTDLDSRRVBMJD</v>
      </c>
      <c r="C1592" s="2" t="str">
        <f>IFERROR(__xludf.DUMMYFUNCTION("IF('From Order'!$A1592=COLUMNS($A1592:C1611), LEFT(INDEX(FILTER(C$1:C1591, C$1:C1591&lt;&gt;""""),COUNTA(FILTER(C$1:C1591, C$1:C1591&lt;&gt;""""))), LEN(INDEX(FILTER(C$1:C1591, C$1:C1591&lt;&gt;""""),COUNTA(FILTER(C$1:C1591, C$1:C1591&lt;&gt;""""))))-1), IF('To Order'!$A1592=COL"&amp;"UMNS($A1592:C1611), C1591&amp;RIGHT(INDIRECT(ADDRESS(ROW(C1592)-1, 'From Order'!$A1592)), 1), C1591))"),"TQVQJPP")</f>
        <v>TQVQJPP</v>
      </c>
      <c r="D1592" s="2" t="str">
        <f>IFERROR(__xludf.DUMMYFUNCTION("IF('From Order'!$A1592=COLUMNS($A1592:D1611), LEFT(INDEX(FILTER(D$1:D1591, D$1:D1591&lt;&gt;""""),COUNTA(FILTER(D$1:D1591, D$1:D1591&lt;&gt;""""))), LEN(INDEX(FILTER(D$1:D1591, D$1:D1591&lt;&gt;""""),COUNTA(FILTER(D$1:D1591, D$1:D1591&lt;&gt;""""))))-1), IF('To Order'!$A1592=COL"&amp;"UMNS($A1592:D1611), D1591&amp;RIGHT(INDIRECT(ADDRESS(ROW(D1592)-1, 'From Order'!$A1592)), 1), D1591))"),"CGZCSFHB")</f>
        <v>CGZCSFHB</v>
      </c>
      <c r="E1592" s="2" t="str">
        <f>IFERROR(__xludf.DUMMYFUNCTION("IF('From Order'!$A1592=COLUMNS($A1592:E1611), LEFT(INDEX(FILTER(E$1:E1591, E$1:E1591&lt;&gt;""""),COUNTA(FILTER(E$1:E1591, E$1:E1591&lt;&gt;""""))), LEN(INDEX(FILTER(E$1:E1591, E$1:E1591&lt;&gt;""""),COUNTA(FILTER(E$1:E1591, E$1:E1591&lt;&gt;""""))))-1), IF('To Order'!$A1592=COL"&amp;"UMNS($A1592:E1611), E1591&amp;RIGHT(INDIRECT(ADDRESS(ROW(E1592)-1, 'From Order'!$A1592)), 1), E1591))"),"W")</f>
        <v>W</v>
      </c>
      <c r="F1592" s="2" t="str">
        <f>IFERROR(__xludf.DUMMYFUNCTION("IF('From Order'!$A1592=COLUMNS($A1592:F1611), LEFT(INDEX(FILTER(F$1:F1591, F$1:F1591&lt;&gt;""""),COUNTA(FILTER(F$1:F1591, F$1:F1591&lt;&gt;""""))), LEN(INDEX(FILTER(F$1:F1591, F$1:F1591&lt;&gt;""""),COUNTA(FILTER(F$1:F1591, F$1:F1591&lt;&gt;""""))))-1), IF('To Order'!$A1592=COL"&amp;"UMNS($A1592:F1611), F1591&amp;RIGHT(INDIRECT(ADDRESS(ROW(F1592)-1, 'From Order'!$A1592)), 1), F1591))"),"Z")</f>
        <v>Z</v>
      </c>
      <c r="G1592" s="2" t="str">
        <f>IFERROR(__xludf.DUMMYFUNCTION("IF('From Order'!$A1592=COLUMNS($A1592:G1611), LEFT(INDEX(FILTER(G$1:G1591, G$1:G1591&lt;&gt;""""),COUNTA(FILTER(G$1:G1591, G$1:G1591&lt;&gt;""""))), LEN(INDEX(FILTER(G$1:G1591, G$1:G1591&lt;&gt;""""),COUNTA(FILTER(G$1:G1591, G$1:G1591&lt;&gt;""""))))-1), IF('To Order'!$A1592=COL"&amp;"UMNS($A1592:G1611), G1591&amp;RIGHT(INDIRECT(ADDRESS(ROW(G1592)-1, 'From Order'!$A1592)), 1), G1591))"),"SSTDDWLLFBPTTJG")</f>
        <v>SSTDDWLLFBPTTJG</v>
      </c>
      <c r="H1592" s="2" t="str">
        <f>IFERROR(__xludf.DUMMYFUNCTION("IF('From Order'!$A1592=COLUMNS($A1592:H1611), LEFT(INDEX(FILTER(H$1:H1591, H$1:H1591&lt;&gt;""""),COUNTA(FILTER(H$1:H1591, H$1:H1591&lt;&gt;""""))), LEN(INDEX(FILTER(H$1:H1591, H$1:H1591&lt;&gt;""""),COUNTA(FILTER(H$1:H1591, H$1:H1591&lt;&gt;""""))))-1), IF('To Order'!$A1592=COL"&amp;"UMNS($A1592:H1611), H1591&amp;RIGHT(INDIRECT(ADDRESS(ROW(H1592)-1, 'From Order'!$A1592)), 1), H1591))"),"")</f>
        <v/>
      </c>
      <c r="I1592" s="2" t="str">
        <f>IFERROR(__xludf.DUMMYFUNCTION("IF('From Order'!$A1592=COLUMNS($A1592:I1611), LEFT(INDEX(FILTER(I$1:I1591, I$1:I1591&lt;&gt;""""),COUNTA(FILTER(I$1:I1591, I$1:I1591&lt;&gt;""""))), LEN(INDEX(FILTER(I$1:I1591, I$1:I1591&lt;&gt;""""),COUNTA(FILTER(I$1:I1591, I$1:I1591&lt;&gt;""""))))-1), IF('To Order'!$A1592=COL"&amp;"UMNS($A1592:I1611), I1591&amp;RIGHT(INDIRECT(ADDRESS(ROW(I1592)-1, 'From Order'!$A1592)), 1), I1591))"),"")</f>
        <v/>
      </c>
    </row>
    <row r="1593">
      <c r="A1593" s="2" t="str">
        <f>IFERROR(__xludf.DUMMYFUNCTION("IF('From Order'!$A1593=COLUMNS($A1593:A1612), LEFT(INDEX(FILTER(A$1:A1592, A$1:A1592&lt;&gt;""""),COUNTA(FILTER(A$1:A1592, A$1:A1592&lt;&gt;""""))), LEN(INDEX(FILTER(A$1:A1592, A$1:A1592&lt;&gt;""""),COUNTA(FILTER(A$1:A1592, A$1:A1592&lt;&gt;""""))))-1), IF('To Order'!$A1593=COL"&amp;"UMNS($A1593:A1612), A1592&amp;RIGHT(INDIRECT(ADDRESS(ROW(A1593)-1, 'From Order'!$A1593)), 1), A1592))"),"")</f>
        <v/>
      </c>
      <c r="B1593" s="2" t="str">
        <f>IFERROR(__xludf.DUMMYFUNCTION("IF('From Order'!$A1593=COLUMNS($A1593:B1612), LEFT(INDEX(FILTER(B$1:B1592, B$1:B1592&lt;&gt;""""),COUNTA(FILTER(B$1:B1592, B$1:B1592&lt;&gt;""""))), LEN(INDEX(FILTER(B$1:B1592, B$1:B1592&lt;&gt;""""),COUNTA(FILTER(B$1:B1592, B$1:B1592&lt;&gt;""""))))-1), IF('To Order'!$A1593=COL"&amp;"UMNS($A1593:B1612), B1592&amp;RIGHT(INDIRECT(ADDRESS(ROW(B1593)-1, 'From Order'!$A1593)), 1), B1592))"),"RBRTVCDRHZMTDLDSRRVBMJDM")</f>
        <v>RBRTVCDRHZMTDLDSRRVBMJDM</v>
      </c>
      <c r="C1593" s="2" t="str">
        <f>IFERROR(__xludf.DUMMYFUNCTION("IF('From Order'!$A1593=COLUMNS($A1593:C1612), LEFT(INDEX(FILTER(C$1:C1592, C$1:C1592&lt;&gt;""""),COUNTA(FILTER(C$1:C1592, C$1:C1592&lt;&gt;""""))), LEN(INDEX(FILTER(C$1:C1592, C$1:C1592&lt;&gt;""""),COUNTA(FILTER(C$1:C1592, C$1:C1592&lt;&gt;""""))))-1), IF('To Order'!$A1593=COL"&amp;"UMNS($A1593:C1612), C1592&amp;RIGHT(INDIRECT(ADDRESS(ROW(C1593)-1, 'From Order'!$A1593)), 1), C1592))"),"TQVQJPP")</f>
        <v>TQVQJPP</v>
      </c>
      <c r="D1593" s="2" t="str">
        <f>IFERROR(__xludf.DUMMYFUNCTION("IF('From Order'!$A1593=COLUMNS($A1593:D1612), LEFT(INDEX(FILTER(D$1:D1592, D$1:D1592&lt;&gt;""""),COUNTA(FILTER(D$1:D1592, D$1:D1592&lt;&gt;""""))), LEN(INDEX(FILTER(D$1:D1592, D$1:D1592&lt;&gt;""""),COUNTA(FILTER(D$1:D1592, D$1:D1592&lt;&gt;""""))))-1), IF('To Order'!$A1593=COL"&amp;"UMNS($A1593:D1612), D1592&amp;RIGHT(INDIRECT(ADDRESS(ROW(D1593)-1, 'From Order'!$A1593)), 1), D1592))"),"CGZCSFHB")</f>
        <v>CGZCSFHB</v>
      </c>
      <c r="E1593" s="2" t="str">
        <f>IFERROR(__xludf.DUMMYFUNCTION("IF('From Order'!$A1593=COLUMNS($A1593:E1612), LEFT(INDEX(FILTER(E$1:E1592, E$1:E1592&lt;&gt;""""),COUNTA(FILTER(E$1:E1592, E$1:E1592&lt;&gt;""""))), LEN(INDEX(FILTER(E$1:E1592, E$1:E1592&lt;&gt;""""),COUNTA(FILTER(E$1:E1592, E$1:E1592&lt;&gt;""""))))-1), IF('To Order'!$A1593=COL"&amp;"UMNS($A1593:E1612), E1592&amp;RIGHT(INDIRECT(ADDRESS(ROW(E1593)-1, 'From Order'!$A1593)), 1), E1592))"),"W")</f>
        <v>W</v>
      </c>
      <c r="F1593" s="2" t="str">
        <f>IFERROR(__xludf.DUMMYFUNCTION("IF('From Order'!$A1593=COLUMNS($A1593:F1612), LEFT(INDEX(FILTER(F$1:F1592, F$1:F1592&lt;&gt;""""),COUNTA(FILTER(F$1:F1592, F$1:F1592&lt;&gt;""""))), LEN(INDEX(FILTER(F$1:F1592, F$1:F1592&lt;&gt;""""),COUNTA(FILTER(F$1:F1592, F$1:F1592&lt;&gt;""""))))-1), IF('To Order'!$A1593=COL"&amp;"UMNS($A1593:F1612), F1592&amp;RIGHT(INDIRECT(ADDRESS(ROW(F1593)-1, 'From Order'!$A1593)), 1), F1592))"),"Z")</f>
        <v>Z</v>
      </c>
      <c r="G1593" s="2" t="str">
        <f>IFERROR(__xludf.DUMMYFUNCTION("IF('From Order'!$A1593=COLUMNS($A1593:G1612), LEFT(INDEX(FILTER(G$1:G1592, G$1:G1592&lt;&gt;""""),COUNTA(FILTER(G$1:G1592, G$1:G1592&lt;&gt;""""))), LEN(INDEX(FILTER(G$1:G1592, G$1:G1592&lt;&gt;""""),COUNTA(FILTER(G$1:G1592, G$1:G1592&lt;&gt;""""))))-1), IF('To Order'!$A1593=COL"&amp;"UMNS($A1593:G1612), G1592&amp;RIGHT(INDIRECT(ADDRESS(ROW(G1593)-1, 'From Order'!$A1593)), 1), G1592))"),"SSTDDWLLFBPTTJG")</f>
        <v>SSTDDWLLFBPTTJG</v>
      </c>
      <c r="H1593" s="2" t="str">
        <f>IFERROR(__xludf.DUMMYFUNCTION("IF('From Order'!$A1593=COLUMNS($A1593:H1612), LEFT(INDEX(FILTER(H$1:H1592, H$1:H1592&lt;&gt;""""),COUNTA(FILTER(H$1:H1592, H$1:H1592&lt;&gt;""""))), LEN(INDEX(FILTER(H$1:H1592, H$1:H1592&lt;&gt;""""),COUNTA(FILTER(H$1:H1592, H$1:H1592&lt;&gt;""""))))-1), IF('To Order'!$A1593=COL"&amp;"UMNS($A1593:H1612), H1592&amp;RIGHT(INDIRECT(ADDRESS(ROW(H1593)-1, 'From Order'!$A1593)), 1), H1592))"),"")</f>
        <v/>
      </c>
      <c r="I1593" s="2" t="str">
        <f>IFERROR(__xludf.DUMMYFUNCTION("IF('From Order'!$A1593=COLUMNS($A1593:I1612), LEFT(INDEX(FILTER(I$1:I1592, I$1:I1592&lt;&gt;""""),COUNTA(FILTER(I$1:I1592, I$1:I1592&lt;&gt;""""))), LEN(INDEX(FILTER(I$1:I1592, I$1:I1592&lt;&gt;""""),COUNTA(FILTER(I$1:I1592, I$1:I1592&lt;&gt;""""))))-1), IF('To Order'!$A1593=COL"&amp;"UMNS($A1593:I1612), I1592&amp;RIGHT(INDIRECT(ADDRESS(ROW(I1593)-1, 'From Order'!$A1593)), 1), I1592))"),"")</f>
        <v/>
      </c>
    </row>
    <row r="1594">
      <c r="A1594" s="2" t="str">
        <f>IFERROR(__xludf.DUMMYFUNCTION("IF('From Order'!$A1594=COLUMNS($A1594:A1613), LEFT(INDEX(FILTER(A$1:A1593, A$1:A1593&lt;&gt;""""),COUNTA(FILTER(A$1:A1593, A$1:A1593&lt;&gt;""""))), LEN(INDEX(FILTER(A$1:A1593, A$1:A1593&lt;&gt;""""),COUNTA(FILTER(A$1:A1593, A$1:A1593&lt;&gt;""""))))-1), IF('To Order'!$A1594=COL"&amp;"UMNS($A1594:A1613), A1593&amp;RIGHT(INDIRECT(ADDRESS(ROW(A1594)-1, 'From Order'!$A1594)), 1), A1593))"),"Z")</f>
        <v>Z</v>
      </c>
      <c r="B1594" s="2" t="str">
        <f>IFERROR(__xludf.DUMMYFUNCTION("IF('From Order'!$A1594=COLUMNS($A1594:B1613), LEFT(INDEX(FILTER(B$1:B1593, B$1:B1593&lt;&gt;""""),COUNTA(FILTER(B$1:B1593, B$1:B1593&lt;&gt;""""))), LEN(INDEX(FILTER(B$1:B1593, B$1:B1593&lt;&gt;""""),COUNTA(FILTER(B$1:B1593, B$1:B1593&lt;&gt;""""))))-1), IF('To Order'!$A1594=COL"&amp;"UMNS($A1594:B1613), B1593&amp;RIGHT(INDIRECT(ADDRESS(ROW(B1594)-1, 'From Order'!$A1594)), 1), B1593))"),"RBRTVCDRHZMTDLDSRRVBMJDM")</f>
        <v>RBRTVCDRHZMTDLDSRRVBMJDM</v>
      </c>
      <c r="C1594" s="2" t="str">
        <f>IFERROR(__xludf.DUMMYFUNCTION("IF('From Order'!$A1594=COLUMNS($A1594:C1613), LEFT(INDEX(FILTER(C$1:C1593, C$1:C1593&lt;&gt;""""),COUNTA(FILTER(C$1:C1593, C$1:C1593&lt;&gt;""""))), LEN(INDEX(FILTER(C$1:C1593, C$1:C1593&lt;&gt;""""),COUNTA(FILTER(C$1:C1593, C$1:C1593&lt;&gt;""""))))-1), IF('To Order'!$A1594=COL"&amp;"UMNS($A1594:C1613), C1593&amp;RIGHT(INDIRECT(ADDRESS(ROW(C1594)-1, 'From Order'!$A1594)), 1), C1593))"),"TQVQJPP")</f>
        <v>TQVQJPP</v>
      </c>
      <c r="D1594" s="2" t="str">
        <f>IFERROR(__xludf.DUMMYFUNCTION("IF('From Order'!$A1594=COLUMNS($A1594:D1613), LEFT(INDEX(FILTER(D$1:D1593, D$1:D1593&lt;&gt;""""),COUNTA(FILTER(D$1:D1593, D$1:D1593&lt;&gt;""""))), LEN(INDEX(FILTER(D$1:D1593, D$1:D1593&lt;&gt;""""),COUNTA(FILTER(D$1:D1593, D$1:D1593&lt;&gt;""""))))-1), IF('To Order'!$A1594=COL"&amp;"UMNS($A1594:D1613), D1593&amp;RIGHT(INDIRECT(ADDRESS(ROW(D1594)-1, 'From Order'!$A1594)), 1), D1593))"),"CGZCSFHB")</f>
        <v>CGZCSFHB</v>
      </c>
      <c r="E1594" s="2" t="str">
        <f>IFERROR(__xludf.DUMMYFUNCTION("IF('From Order'!$A1594=COLUMNS($A1594:E1613), LEFT(INDEX(FILTER(E$1:E1593, E$1:E1593&lt;&gt;""""),COUNTA(FILTER(E$1:E1593, E$1:E1593&lt;&gt;""""))), LEN(INDEX(FILTER(E$1:E1593, E$1:E1593&lt;&gt;""""),COUNTA(FILTER(E$1:E1593, E$1:E1593&lt;&gt;""""))))-1), IF('To Order'!$A1594=COL"&amp;"UMNS($A1594:E1613), E1593&amp;RIGHT(INDIRECT(ADDRESS(ROW(E1594)-1, 'From Order'!$A1594)), 1), E1593))"),"W")</f>
        <v>W</v>
      </c>
      <c r="F1594" s="2" t="str">
        <f>IFERROR(__xludf.DUMMYFUNCTION("IF('From Order'!$A1594=COLUMNS($A1594:F1613), LEFT(INDEX(FILTER(F$1:F1593, F$1:F1593&lt;&gt;""""),COUNTA(FILTER(F$1:F1593, F$1:F1593&lt;&gt;""""))), LEN(INDEX(FILTER(F$1:F1593, F$1:F1593&lt;&gt;""""),COUNTA(FILTER(F$1:F1593, F$1:F1593&lt;&gt;""""))))-1), IF('To Order'!$A1594=COL"&amp;"UMNS($A1594:F1613), F1593&amp;RIGHT(INDIRECT(ADDRESS(ROW(F1594)-1, 'From Order'!$A1594)), 1), F1593))"),"")</f>
        <v/>
      </c>
      <c r="G1594" s="2" t="str">
        <f>IFERROR(__xludf.DUMMYFUNCTION("IF('From Order'!$A1594=COLUMNS($A1594:G1613), LEFT(INDEX(FILTER(G$1:G1593, G$1:G1593&lt;&gt;""""),COUNTA(FILTER(G$1:G1593, G$1:G1593&lt;&gt;""""))), LEN(INDEX(FILTER(G$1:G1593, G$1:G1593&lt;&gt;""""),COUNTA(FILTER(G$1:G1593, G$1:G1593&lt;&gt;""""))))-1), IF('To Order'!$A1594=COL"&amp;"UMNS($A1594:G1613), G1593&amp;RIGHT(INDIRECT(ADDRESS(ROW(G1594)-1, 'From Order'!$A1594)), 1), G1593))"),"SSTDDWLLFBPTTJG")</f>
        <v>SSTDDWLLFBPTTJG</v>
      </c>
      <c r="H1594" s="2" t="str">
        <f>IFERROR(__xludf.DUMMYFUNCTION("IF('From Order'!$A1594=COLUMNS($A1594:H1613), LEFT(INDEX(FILTER(H$1:H1593, H$1:H1593&lt;&gt;""""),COUNTA(FILTER(H$1:H1593, H$1:H1593&lt;&gt;""""))), LEN(INDEX(FILTER(H$1:H1593, H$1:H1593&lt;&gt;""""),COUNTA(FILTER(H$1:H1593, H$1:H1593&lt;&gt;""""))))-1), IF('To Order'!$A1594=COL"&amp;"UMNS($A1594:H1613), H1593&amp;RIGHT(INDIRECT(ADDRESS(ROW(H1594)-1, 'From Order'!$A1594)), 1), H1593))"),"")</f>
        <v/>
      </c>
      <c r="I1594" s="2" t="str">
        <f>IFERROR(__xludf.DUMMYFUNCTION("IF('From Order'!$A1594=COLUMNS($A1594:I1613), LEFT(INDEX(FILTER(I$1:I1593, I$1:I1593&lt;&gt;""""),COUNTA(FILTER(I$1:I1593, I$1:I1593&lt;&gt;""""))), LEN(INDEX(FILTER(I$1:I1593, I$1:I1593&lt;&gt;""""),COUNTA(FILTER(I$1:I1593, I$1:I1593&lt;&gt;""""))))-1), IF('To Order'!$A1594=COL"&amp;"UMNS($A1594:I1613), I1593&amp;RIGHT(INDIRECT(ADDRESS(ROW(I1594)-1, 'From Order'!$A1594)), 1), I1593))"),"")</f>
        <v/>
      </c>
    </row>
    <row r="1595">
      <c r="A1595" s="2" t="str">
        <f>IFERROR(__xludf.DUMMYFUNCTION("IF('From Order'!$A1595=COLUMNS($A1595:A1614), LEFT(INDEX(FILTER(A$1:A1594, A$1:A1594&lt;&gt;""""),COUNTA(FILTER(A$1:A1594, A$1:A1594&lt;&gt;""""))), LEN(INDEX(FILTER(A$1:A1594, A$1:A1594&lt;&gt;""""),COUNTA(FILTER(A$1:A1594, A$1:A1594&lt;&gt;""""))))-1), IF('To Order'!$A1595=COL"&amp;"UMNS($A1595:A1614), A1594&amp;RIGHT(INDIRECT(ADDRESS(ROW(A1595)-1, 'From Order'!$A1595)), 1), A1594))"),"Z")</f>
        <v>Z</v>
      </c>
      <c r="B1595" s="2" t="str">
        <f>IFERROR(__xludf.DUMMYFUNCTION("IF('From Order'!$A1595=COLUMNS($A1595:B1614), LEFT(INDEX(FILTER(B$1:B1594, B$1:B1594&lt;&gt;""""),COUNTA(FILTER(B$1:B1594, B$1:B1594&lt;&gt;""""))), LEN(INDEX(FILTER(B$1:B1594, B$1:B1594&lt;&gt;""""),COUNTA(FILTER(B$1:B1594, B$1:B1594&lt;&gt;""""))))-1), IF('To Order'!$A1595=COL"&amp;"UMNS($A1595:B1614), B1594&amp;RIGHT(INDIRECT(ADDRESS(ROW(B1595)-1, 'From Order'!$A1595)), 1), B1594))"),"RBRTVCDRHZMTDLDSRRVBMJDM")</f>
        <v>RBRTVCDRHZMTDLDSRRVBMJDM</v>
      </c>
      <c r="C1595" s="2" t="str">
        <f>IFERROR(__xludf.DUMMYFUNCTION("IF('From Order'!$A1595=COLUMNS($A1595:C1614), LEFT(INDEX(FILTER(C$1:C1594, C$1:C1594&lt;&gt;""""),COUNTA(FILTER(C$1:C1594, C$1:C1594&lt;&gt;""""))), LEN(INDEX(FILTER(C$1:C1594, C$1:C1594&lt;&gt;""""),COUNTA(FILTER(C$1:C1594, C$1:C1594&lt;&gt;""""))))-1), IF('To Order'!$A1595=COL"&amp;"UMNS($A1595:C1614), C1594&amp;RIGHT(INDIRECT(ADDRESS(ROW(C1595)-1, 'From Order'!$A1595)), 1), C1594))"),"TQVQJPP")</f>
        <v>TQVQJPP</v>
      </c>
      <c r="D1595" s="2" t="str">
        <f>IFERROR(__xludf.DUMMYFUNCTION("IF('From Order'!$A1595=COLUMNS($A1595:D1614), LEFT(INDEX(FILTER(D$1:D1594, D$1:D1594&lt;&gt;""""),COUNTA(FILTER(D$1:D1594, D$1:D1594&lt;&gt;""""))), LEN(INDEX(FILTER(D$1:D1594, D$1:D1594&lt;&gt;""""),COUNTA(FILTER(D$1:D1594, D$1:D1594&lt;&gt;""""))))-1), IF('To Order'!$A1595=COL"&amp;"UMNS($A1595:D1614), D1594&amp;RIGHT(INDIRECT(ADDRESS(ROW(D1595)-1, 'From Order'!$A1595)), 1), D1594))"),"CGZCSFH")</f>
        <v>CGZCSFH</v>
      </c>
      <c r="E1595" s="2" t="str">
        <f>IFERROR(__xludf.DUMMYFUNCTION("IF('From Order'!$A1595=COLUMNS($A1595:E1614), LEFT(INDEX(FILTER(E$1:E1594, E$1:E1594&lt;&gt;""""),COUNTA(FILTER(E$1:E1594, E$1:E1594&lt;&gt;""""))), LEN(INDEX(FILTER(E$1:E1594, E$1:E1594&lt;&gt;""""),COUNTA(FILTER(E$1:E1594, E$1:E1594&lt;&gt;""""))))-1), IF('To Order'!$A1595=COL"&amp;"UMNS($A1595:E1614), E1594&amp;RIGHT(INDIRECT(ADDRESS(ROW(E1595)-1, 'From Order'!$A1595)), 1), E1594))"),"W")</f>
        <v>W</v>
      </c>
      <c r="F1595" s="2" t="str">
        <f>IFERROR(__xludf.DUMMYFUNCTION("IF('From Order'!$A1595=COLUMNS($A1595:F1614), LEFT(INDEX(FILTER(F$1:F1594, F$1:F1594&lt;&gt;""""),COUNTA(FILTER(F$1:F1594, F$1:F1594&lt;&gt;""""))), LEN(INDEX(FILTER(F$1:F1594, F$1:F1594&lt;&gt;""""),COUNTA(FILTER(F$1:F1594, F$1:F1594&lt;&gt;""""))))-1), IF('To Order'!$A1595=COL"&amp;"UMNS($A1595:F1614), F1594&amp;RIGHT(INDIRECT(ADDRESS(ROW(F1595)-1, 'From Order'!$A1595)), 1), F1594))"),"")</f>
        <v/>
      </c>
      <c r="G1595" s="2" t="str">
        <f>IFERROR(__xludf.DUMMYFUNCTION("IF('From Order'!$A1595=COLUMNS($A1595:G1614), LEFT(INDEX(FILTER(G$1:G1594, G$1:G1594&lt;&gt;""""),COUNTA(FILTER(G$1:G1594, G$1:G1594&lt;&gt;""""))), LEN(INDEX(FILTER(G$1:G1594, G$1:G1594&lt;&gt;""""),COUNTA(FILTER(G$1:G1594, G$1:G1594&lt;&gt;""""))))-1), IF('To Order'!$A1595=COL"&amp;"UMNS($A1595:G1614), G1594&amp;RIGHT(INDIRECT(ADDRESS(ROW(G1595)-1, 'From Order'!$A1595)), 1), G1594))"),"SSTDDWLLFBPTTJGB")</f>
        <v>SSTDDWLLFBPTTJGB</v>
      </c>
      <c r="H1595" s="2" t="str">
        <f>IFERROR(__xludf.DUMMYFUNCTION("IF('From Order'!$A1595=COLUMNS($A1595:H1614), LEFT(INDEX(FILTER(H$1:H1594, H$1:H1594&lt;&gt;""""),COUNTA(FILTER(H$1:H1594, H$1:H1594&lt;&gt;""""))), LEN(INDEX(FILTER(H$1:H1594, H$1:H1594&lt;&gt;""""),COUNTA(FILTER(H$1:H1594, H$1:H1594&lt;&gt;""""))))-1), IF('To Order'!$A1595=COL"&amp;"UMNS($A1595:H1614), H1594&amp;RIGHT(INDIRECT(ADDRESS(ROW(H1595)-1, 'From Order'!$A1595)), 1), H1594))"),"")</f>
        <v/>
      </c>
      <c r="I1595" s="2" t="str">
        <f>IFERROR(__xludf.DUMMYFUNCTION("IF('From Order'!$A1595=COLUMNS($A1595:I1614), LEFT(INDEX(FILTER(I$1:I1594, I$1:I1594&lt;&gt;""""),COUNTA(FILTER(I$1:I1594, I$1:I1594&lt;&gt;""""))), LEN(INDEX(FILTER(I$1:I1594, I$1:I1594&lt;&gt;""""),COUNTA(FILTER(I$1:I1594, I$1:I1594&lt;&gt;""""))))-1), IF('To Order'!$A1595=COL"&amp;"UMNS($A1595:I1614), I1594&amp;RIGHT(INDIRECT(ADDRESS(ROW(I1595)-1, 'From Order'!$A1595)), 1), I1594))"),"")</f>
        <v/>
      </c>
    </row>
    <row r="1596">
      <c r="A1596" s="2" t="str">
        <f>IFERROR(__xludf.DUMMYFUNCTION("IF('From Order'!$A1596=COLUMNS($A1596:A1615), LEFT(INDEX(FILTER(A$1:A1595, A$1:A1595&lt;&gt;""""),COUNTA(FILTER(A$1:A1595, A$1:A1595&lt;&gt;""""))), LEN(INDEX(FILTER(A$1:A1595, A$1:A1595&lt;&gt;""""),COUNTA(FILTER(A$1:A1595, A$1:A1595&lt;&gt;""""))))-1), IF('To Order'!$A1596=COL"&amp;"UMNS($A1596:A1615), A1595&amp;RIGHT(INDIRECT(ADDRESS(ROW(A1596)-1, 'From Order'!$A1596)), 1), A1595))"),"Z")</f>
        <v>Z</v>
      </c>
      <c r="B1596" s="2" t="str">
        <f>IFERROR(__xludf.DUMMYFUNCTION("IF('From Order'!$A1596=COLUMNS($A1596:B1615), LEFT(INDEX(FILTER(B$1:B1595, B$1:B1595&lt;&gt;""""),COUNTA(FILTER(B$1:B1595, B$1:B1595&lt;&gt;""""))), LEN(INDEX(FILTER(B$1:B1595, B$1:B1595&lt;&gt;""""),COUNTA(FILTER(B$1:B1595, B$1:B1595&lt;&gt;""""))))-1), IF('To Order'!$A1596=COL"&amp;"UMNS($A1596:B1615), B1595&amp;RIGHT(INDIRECT(ADDRESS(ROW(B1596)-1, 'From Order'!$A1596)), 1), B1595))"),"RBRTVCDRHZMTDLDSRRVBMJDM")</f>
        <v>RBRTVCDRHZMTDLDSRRVBMJDM</v>
      </c>
      <c r="C1596" s="2" t="str">
        <f>IFERROR(__xludf.DUMMYFUNCTION("IF('From Order'!$A1596=COLUMNS($A1596:C1615), LEFT(INDEX(FILTER(C$1:C1595, C$1:C1595&lt;&gt;""""),COUNTA(FILTER(C$1:C1595, C$1:C1595&lt;&gt;""""))), LEN(INDEX(FILTER(C$1:C1595, C$1:C1595&lt;&gt;""""),COUNTA(FILTER(C$1:C1595, C$1:C1595&lt;&gt;""""))))-1), IF('To Order'!$A1596=COL"&amp;"UMNS($A1596:C1615), C1595&amp;RIGHT(INDIRECT(ADDRESS(ROW(C1596)-1, 'From Order'!$A1596)), 1), C1595))"),"TQVQJPP")</f>
        <v>TQVQJPP</v>
      </c>
      <c r="D1596" s="2" t="str">
        <f>IFERROR(__xludf.DUMMYFUNCTION("IF('From Order'!$A1596=COLUMNS($A1596:D1615), LEFT(INDEX(FILTER(D$1:D1595, D$1:D1595&lt;&gt;""""),COUNTA(FILTER(D$1:D1595, D$1:D1595&lt;&gt;""""))), LEN(INDEX(FILTER(D$1:D1595, D$1:D1595&lt;&gt;""""),COUNTA(FILTER(D$1:D1595, D$1:D1595&lt;&gt;""""))))-1), IF('To Order'!$A1596=COL"&amp;"UMNS($A1596:D1615), D1595&amp;RIGHT(INDIRECT(ADDRESS(ROW(D1596)-1, 'From Order'!$A1596)), 1), D1595))"),"CGZCSF")</f>
        <v>CGZCSF</v>
      </c>
      <c r="E1596" s="2" t="str">
        <f>IFERROR(__xludf.DUMMYFUNCTION("IF('From Order'!$A1596=COLUMNS($A1596:E1615), LEFT(INDEX(FILTER(E$1:E1595, E$1:E1595&lt;&gt;""""),COUNTA(FILTER(E$1:E1595, E$1:E1595&lt;&gt;""""))), LEN(INDEX(FILTER(E$1:E1595, E$1:E1595&lt;&gt;""""),COUNTA(FILTER(E$1:E1595, E$1:E1595&lt;&gt;""""))))-1), IF('To Order'!$A1596=COL"&amp;"UMNS($A1596:E1615), E1595&amp;RIGHT(INDIRECT(ADDRESS(ROW(E1596)-1, 'From Order'!$A1596)), 1), E1595))"),"W")</f>
        <v>W</v>
      </c>
      <c r="F1596" s="2" t="str">
        <f>IFERROR(__xludf.DUMMYFUNCTION("IF('From Order'!$A1596=COLUMNS($A1596:F1615), LEFT(INDEX(FILTER(F$1:F1595, F$1:F1595&lt;&gt;""""),COUNTA(FILTER(F$1:F1595, F$1:F1595&lt;&gt;""""))), LEN(INDEX(FILTER(F$1:F1595, F$1:F1595&lt;&gt;""""),COUNTA(FILTER(F$1:F1595, F$1:F1595&lt;&gt;""""))))-1), IF('To Order'!$A1596=COL"&amp;"UMNS($A1596:F1615), F1595&amp;RIGHT(INDIRECT(ADDRESS(ROW(F1596)-1, 'From Order'!$A1596)), 1), F1595))"),"")</f>
        <v/>
      </c>
      <c r="G1596" s="2" t="str">
        <f>IFERROR(__xludf.DUMMYFUNCTION("IF('From Order'!$A1596=COLUMNS($A1596:G1615), LEFT(INDEX(FILTER(G$1:G1595, G$1:G1595&lt;&gt;""""),COUNTA(FILTER(G$1:G1595, G$1:G1595&lt;&gt;""""))), LEN(INDEX(FILTER(G$1:G1595, G$1:G1595&lt;&gt;""""),COUNTA(FILTER(G$1:G1595, G$1:G1595&lt;&gt;""""))))-1), IF('To Order'!$A1596=COL"&amp;"UMNS($A1596:G1615), G1595&amp;RIGHT(INDIRECT(ADDRESS(ROW(G1596)-1, 'From Order'!$A1596)), 1), G1595))"),"SSTDDWLLFBPTTJGBH")</f>
        <v>SSTDDWLLFBPTTJGBH</v>
      </c>
      <c r="H1596" s="2" t="str">
        <f>IFERROR(__xludf.DUMMYFUNCTION("IF('From Order'!$A1596=COLUMNS($A1596:H1615), LEFT(INDEX(FILTER(H$1:H1595, H$1:H1595&lt;&gt;""""),COUNTA(FILTER(H$1:H1595, H$1:H1595&lt;&gt;""""))), LEN(INDEX(FILTER(H$1:H1595, H$1:H1595&lt;&gt;""""),COUNTA(FILTER(H$1:H1595, H$1:H1595&lt;&gt;""""))))-1), IF('To Order'!$A1596=COL"&amp;"UMNS($A1596:H1615), H1595&amp;RIGHT(INDIRECT(ADDRESS(ROW(H1596)-1, 'From Order'!$A1596)), 1), H1595))"),"")</f>
        <v/>
      </c>
      <c r="I1596" s="2" t="str">
        <f>IFERROR(__xludf.DUMMYFUNCTION("IF('From Order'!$A1596=COLUMNS($A1596:I1615), LEFT(INDEX(FILTER(I$1:I1595, I$1:I1595&lt;&gt;""""),COUNTA(FILTER(I$1:I1595, I$1:I1595&lt;&gt;""""))), LEN(INDEX(FILTER(I$1:I1595, I$1:I1595&lt;&gt;""""),COUNTA(FILTER(I$1:I1595, I$1:I1595&lt;&gt;""""))))-1), IF('To Order'!$A1596=COL"&amp;"UMNS($A1596:I1615), I1595&amp;RIGHT(INDIRECT(ADDRESS(ROW(I1596)-1, 'From Order'!$A1596)), 1), I1595))"),"")</f>
        <v/>
      </c>
    </row>
    <row r="1597">
      <c r="A1597" s="2" t="str">
        <f>IFERROR(__xludf.DUMMYFUNCTION("IF('From Order'!$A1597=COLUMNS($A1597:A1616), LEFT(INDEX(FILTER(A$1:A1596, A$1:A1596&lt;&gt;""""),COUNTA(FILTER(A$1:A1596, A$1:A1596&lt;&gt;""""))), LEN(INDEX(FILTER(A$1:A1596, A$1:A1596&lt;&gt;""""),COUNTA(FILTER(A$1:A1596, A$1:A1596&lt;&gt;""""))))-1), IF('To Order'!$A1597=COL"&amp;"UMNS($A1597:A1616), A1596&amp;RIGHT(INDIRECT(ADDRESS(ROW(A1597)-1, 'From Order'!$A1597)), 1), A1596))"),"Z")</f>
        <v>Z</v>
      </c>
      <c r="B1597" s="2" t="str">
        <f>IFERROR(__xludf.DUMMYFUNCTION("IF('From Order'!$A1597=COLUMNS($A1597:B1616), LEFT(INDEX(FILTER(B$1:B1596, B$1:B1596&lt;&gt;""""),COUNTA(FILTER(B$1:B1596, B$1:B1596&lt;&gt;""""))), LEN(INDEX(FILTER(B$1:B1596, B$1:B1596&lt;&gt;""""),COUNTA(FILTER(B$1:B1596, B$1:B1596&lt;&gt;""""))))-1), IF('To Order'!$A1597=COL"&amp;"UMNS($A1597:B1616), B1596&amp;RIGHT(INDIRECT(ADDRESS(ROW(B1597)-1, 'From Order'!$A1597)), 1), B1596))"),"RBRTVCDRHZMTDLDSRRVBMJDM")</f>
        <v>RBRTVCDRHZMTDLDSRRVBMJDM</v>
      </c>
      <c r="C1597" s="2" t="str">
        <f>IFERROR(__xludf.DUMMYFUNCTION("IF('From Order'!$A1597=COLUMNS($A1597:C1616), LEFT(INDEX(FILTER(C$1:C1596, C$1:C1596&lt;&gt;""""),COUNTA(FILTER(C$1:C1596, C$1:C1596&lt;&gt;""""))), LEN(INDEX(FILTER(C$1:C1596, C$1:C1596&lt;&gt;""""),COUNTA(FILTER(C$1:C1596, C$1:C1596&lt;&gt;""""))))-1), IF('To Order'!$A1597=COL"&amp;"UMNS($A1597:C1616), C1596&amp;RIGHT(INDIRECT(ADDRESS(ROW(C1597)-1, 'From Order'!$A1597)), 1), C1596))"),"TQVQJPP")</f>
        <v>TQVQJPP</v>
      </c>
      <c r="D1597" s="2" t="str">
        <f>IFERROR(__xludf.DUMMYFUNCTION("IF('From Order'!$A1597=COLUMNS($A1597:D1616), LEFT(INDEX(FILTER(D$1:D1596, D$1:D1596&lt;&gt;""""),COUNTA(FILTER(D$1:D1596, D$1:D1596&lt;&gt;""""))), LEN(INDEX(FILTER(D$1:D1596, D$1:D1596&lt;&gt;""""),COUNTA(FILTER(D$1:D1596, D$1:D1596&lt;&gt;""""))))-1), IF('To Order'!$A1597=COL"&amp;"UMNS($A1597:D1616), D1596&amp;RIGHT(INDIRECT(ADDRESS(ROW(D1597)-1, 'From Order'!$A1597)), 1), D1596))"),"CGZCS")</f>
        <v>CGZCS</v>
      </c>
      <c r="E1597" s="2" t="str">
        <f>IFERROR(__xludf.DUMMYFUNCTION("IF('From Order'!$A1597=COLUMNS($A1597:E1616), LEFT(INDEX(FILTER(E$1:E1596, E$1:E1596&lt;&gt;""""),COUNTA(FILTER(E$1:E1596, E$1:E1596&lt;&gt;""""))), LEN(INDEX(FILTER(E$1:E1596, E$1:E1596&lt;&gt;""""),COUNTA(FILTER(E$1:E1596, E$1:E1596&lt;&gt;""""))))-1), IF('To Order'!$A1597=COL"&amp;"UMNS($A1597:E1616), E1596&amp;RIGHT(INDIRECT(ADDRESS(ROW(E1597)-1, 'From Order'!$A1597)), 1), E1596))"),"W")</f>
        <v>W</v>
      </c>
      <c r="F1597" s="2" t="str">
        <f>IFERROR(__xludf.DUMMYFUNCTION("IF('From Order'!$A1597=COLUMNS($A1597:F1616), LEFT(INDEX(FILTER(F$1:F1596, F$1:F1596&lt;&gt;""""),COUNTA(FILTER(F$1:F1596, F$1:F1596&lt;&gt;""""))), LEN(INDEX(FILTER(F$1:F1596, F$1:F1596&lt;&gt;""""),COUNTA(FILTER(F$1:F1596, F$1:F1596&lt;&gt;""""))))-1), IF('To Order'!$A1597=COL"&amp;"UMNS($A1597:F1616), F1596&amp;RIGHT(INDIRECT(ADDRESS(ROW(F1597)-1, 'From Order'!$A1597)), 1), F1596))"),"")</f>
        <v/>
      </c>
      <c r="G1597" s="2" t="str">
        <f>IFERROR(__xludf.DUMMYFUNCTION("IF('From Order'!$A1597=COLUMNS($A1597:G1616), LEFT(INDEX(FILTER(G$1:G1596, G$1:G1596&lt;&gt;""""),COUNTA(FILTER(G$1:G1596, G$1:G1596&lt;&gt;""""))), LEN(INDEX(FILTER(G$1:G1596, G$1:G1596&lt;&gt;""""),COUNTA(FILTER(G$1:G1596, G$1:G1596&lt;&gt;""""))))-1), IF('To Order'!$A1597=COL"&amp;"UMNS($A1597:G1616), G1596&amp;RIGHT(INDIRECT(ADDRESS(ROW(G1597)-1, 'From Order'!$A1597)), 1), G1596))"),"SSTDDWLLFBPTTJGBHF")</f>
        <v>SSTDDWLLFBPTTJGBHF</v>
      </c>
      <c r="H1597" s="2" t="str">
        <f>IFERROR(__xludf.DUMMYFUNCTION("IF('From Order'!$A1597=COLUMNS($A1597:H1616), LEFT(INDEX(FILTER(H$1:H1596, H$1:H1596&lt;&gt;""""),COUNTA(FILTER(H$1:H1596, H$1:H1596&lt;&gt;""""))), LEN(INDEX(FILTER(H$1:H1596, H$1:H1596&lt;&gt;""""),COUNTA(FILTER(H$1:H1596, H$1:H1596&lt;&gt;""""))))-1), IF('To Order'!$A1597=COL"&amp;"UMNS($A1597:H1616), H1596&amp;RIGHT(INDIRECT(ADDRESS(ROW(H1597)-1, 'From Order'!$A1597)), 1), H1596))"),"")</f>
        <v/>
      </c>
      <c r="I1597" s="2" t="str">
        <f>IFERROR(__xludf.DUMMYFUNCTION("IF('From Order'!$A1597=COLUMNS($A1597:I1616), LEFT(INDEX(FILTER(I$1:I1596, I$1:I1596&lt;&gt;""""),COUNTA(FILTER(I$1:I1596, I$1:I1596&lt;&gt;""""))), LEN(INDEX(FILTER(I$1:I1596, I$1:I1596&lt;&gt;""""),COUNTA(FILTER(I$1:I1596, I$1:I1596&lt;&gt;""""))))-1), IF('To Order'!$A1597=COL"&amp;"UMNS($A1597:I1616), I1596&amp;RIGHT(INDIRECT(ADDRESS(ROW(I1597)-1, 'From Order'!$A1597)), 1), I1596))"),"")</f>
        <v/>
      </c>
    </row>
    <row r="1598">
      <c r="A1598" s="2" t="str">
        <f>IFERROR(__xludf.DUMMYFUNCTION("IF('From Order'!$A1598=COLUMNS($A1598:A1617), LEFT(INDEX(FILTER(A$1:A1597, A$1:A1597&lt;&gt;""""),COUNTA(FILTER(A$1:A1597, A$1:A1597&lt;&gt;""""))), LEN(INDEX(FILTER(A$1:A1597, A$1:A1597&lt;&gt;""""),COUNTA(FILTER(A$1:A1597, A$1:A1597&lt;&gt;""""))))-1), IF('To Order'!$A1598=COL"&amp;"UMNS($A1598:A1617), A1597&amp;RIGHT(INDIRECT(ADDRESS(ROW(A1598)-1, 'From Order'!$A1598)), 1), A1597))"),"Z")</f>
        <v>Z</v>
      </c>
      <c r="B1598" s="2" t="str">
        <f>IFERROR(__xludf.DUMMYFUNCTION("IF('From Order'!$A1598=COLUMNS($A1598:B1617), LEFT(INDEX(FILTER(B$1:B1597, B$1:B1597&lt;&gt;""""),COUNTA(FILTER(B$1:B1597, B$1:B1597&lt;&gt;""""))), LEN(INDEX(FILTER(B$1:B1597, B$1:B1597&lt;&gt;""""),COUNTA(FILTER(B$1:B1597, B$1:B1597&lt;&gt;""""))))-1), IF('To Order'!$A1598=COL"&amp;"UMNS($A1598:B1617), B1597&amp;RIGHT(INDIRECT(ADDRESS(ROW(B1598)-1, 'From Order'!$A1598)), 1), B1597))"),"RBRTVCDRHZMTDLDSRRVBMJDM")</f>
        <v>RBRTVCDRHZMTDLDSRRVBMJDM</v>
      </c>
      <c r="C1598" s="2" t="str">
        <f>IFERROR(__xludf.DUMMYFUNCTION("IF('From Order'!$A1598=COLUMNS($A1598:C1617), LEFT(INDEX(FILTER(C$1:C1597, C$1:C1597&lt;&gt;""""),COUNTA(FILTER(C$1:C1597, C$1:C1597&lt;&gt;""""))), LEN(INDEX(FILTER(C$1:C1597, C$1:C1597&lt;&gt;""""),COUNTA(FILTER(C$1:C1597, C$1:C1597&lt;&gt;""""))))-1), IF('To Order'!$A1598=COL"&amp;"UMNS($A1598:C1617), C1597&amp;RIGHT(INDIRECT(ADDRESS(ROW(C1598)-1, 'From Order'!$A1598)), 1), C1597))"),"TQVQJPP")</f>
        <v>TQVQJPP</v>
      </c>
      <c r="D1598" s="2" t="str">
        <f>IFERROR(__xludf.DUMMYFUNCTION("IF('From Order'!$A1598=COLUMNS($A1598:D1617), LEFT(INDEX(FILTER(D$1:D1597, D$1:D1597&lt;&gt;""""),COUNTA(FILTER(D$1:D1597, D$1:D1597&lt;&gt;""""))), LEN(INDEX(FILTER(D$1:D1597, D$1:D1597&lt;&gt;""""),COUNTA(FILTER(D$1:D1597, D$1:D1597&lt;&gt;""""))))-1), IF('To Order'!$A1598=COL"&amp;"UMNS($A1598:D1617), D1597&amp;RIGHT(INDIRECT(ADDRESS(ROW(D1598)-1, 'From Order'!$A1598)), 1), D1597))"),"CGZC")</f>
        <v>CGZC</v>
      </c>
      <c r="E1598" s="2" t="str">
        <f>IFERROR(__xludf.DUMMYFUNCTION("IF('From Order'!$A1598=COLUMNS($A1598:E1617), LEFT(INDEX(FILTER(E$1:E1597, E$1:E1597&lt;&gt;""""),COUNTA(FILTER(E$1:E1597, E$1:E1597&lt;&gt;""""))), LEN(INDEX(FILTER(E$1:E1597, E$1:E1597&lt;&gt;""""),COUNTA(FILTER(E$1:E1597, E$1:E1597&lt;&gt;""""))))-1), IF('To Order'!$A1598=COL"&amp;"UMNS($A1598:E1617), E1597&amp;RIGHT(INDIRECT(ADDRESS(ROW(E1598)-1, 'From Order'!$A1598)), 1), E1597))"),"W")</f>
        <v>W</v>
      </c>
      <c r="F1598" s="2" t="str">
        <f>IFERROR(__xludf.DUMMYFUNCTION("IF('From Order'!$A1598=COLUMNS($A1598:F1617), LEFT(INDEX(FILTER(F$1:F1597, F$1:F1597&lt;&gt;""""),COUNTA(FILTER(F$1:F1597, F$1:F1597&lt;&gt;""""))), LEN(INDEX(FILTER(F$1:F1597, F$1:F1597&lt;&gt;""""),COUNTA(FILTER(F$1:F1597, F$1:F1597&lt;&gt;""""))))-1), IF('To Order'!$A1598=COL"&amp;"UMNS($A1598:F1617), F1597&amp;RIGHT(INDIRECT(ADDRESS(ROW(F1598)-1, 'From Order'!$A1598)), 1), F1597))"),"")</f>
        <v/>
      </c>
      <c r="G1598" s="2" t="str">
        <f>IFERROR(__xludf.DUMMYFUNCTION("IF('From Order'!$A1598=COLUMNS($A1598:G1617), LEFT(INDEX(FILTER(G$1:G1597, G$1:G1597&lt;&gt;""""),COUNTA(FILTER(G$1:G1597, G$1:G1597&lt;&gt;""""))), LEN(INDEX(FILTER(G$1:G1597, G$1:G1597&lt;&gt;""""),COUNTA(FILTER(G$1:G1597, G$1:G1597&lt;&gt;""""))))-1), IF('To Order'!$A1598=COL"&amp;"UMNS($A1598:G1617), G1597&amp;RIGHT(INDIRECT(ADDRESS(ROW(G1598)-1, 'From Order'!$A1598)), 1), G1597))"),"SSTDDWLLFBPTTJGBHFS")</f>
        <v>SSTDDWLLFBPTTJGBHFS</v>
      </c>
      <c r="H1598" s="2" t="str">
        <f>IFERROR(__xludf.DUMMYFUNCTION("IF('From Order'!$A1598=COLUMNS($A1598:H1617), LEFT(INDEX(FILTER(H$1:H1597, H$1:H1597&lt;&gt;""""),COUNTA(FILTER(H$1:H1597, H$1:H1597&lt;&gt;""""))), LEN(INDEX(FILTER(H$1:H1597, H$1:H1597&lt;&gt;""""),COUNTA(FILTER(H$1:H1597, H$1:H1597&lt;&gt;""""))))-1), IF('To Order'!$A1598=COL"&amp;"UMNS($A1598:H1617), H1597&amp;RIGHT(INDIRECT(ADDRESS(ROW(H1598)-1, 'From Order'!$A1598)), 1), H1597))"),"")</f>
        <v/>
      </c>
      <c r="I1598" s="2" t="str">
        <f>IFERROR(__xludf.DUMMYFUNCTION("IF('From Order'!$A1598=COLUMNS($A1598:I1617), LEFT(INDEX(FILTER(I$1:I1597, I$1:I1597&lt;&gt;""""),COUNTA(FILTER(I$1:I1597, I$1:I1597&lt;&gt;""""))), LEN(INDEX(FILTER(I$1:I1597, I$1:I1597&lt;&gt;""""),COUNTA(FILTER(I$1:I1597, I$1:I1597&lt;&gt;""""))))-1), IF('To Order'!$A1598=COL"&amp;"UMNS($A1598:I1617), I1597&amp;RIGHT(INDIRECT(ADDRESS(ROW(I1598)-1, 'From Order'!$A1598)), 1), I1597))"),"")</f>
        <v/>
      </c>
    </row>
    <row r="1599">
      <c r="A1599" s="2" t="str">
        <f>IFERROR(__xludf.DUMMYFUNCTION("IF('From Order'!$A1599=COLUMNS($A1599:A1618), LEFT(INDEX(FILTER(A$1:A1598, A$1:A1598&lt;&gt;""""),COUNTA(FILTER(A$1:A1598, A$1:A1598&lt;&gt;""""))), LEN(INDEX(FILTER(A$1:A1598, A$1:A1598&lt;&gt;""""),COUNTA(FILTER(A$1:A1598, A$1:A1598&lt;&gt;""""))))-1), IF('To Order'!$A1599=COL"&amp;"UMNS($A1599:A1618), A1598&amp;RIGHT(INDIRECT(ADDRESS(ROW(A1599)-1, 'From Order'!$A1599)), 1), A1598))"),"Z")</f>
        <v>Z</v>
      </c>
      <c r="B1599" s="2" t="str">
        <f>IFERROR(__xludf.DUMMYFUNCTION("IF('From Order'!$A1599=COLUMNS($A1599:B1618), LEFT(INDEX(FILTER(B$1:B1598, B$1:B1598&lt;&gt;""""),COUNTA(FILTER(B$1:B1598, B$1:B1598&lt;&gt;""""))), LEN(INDEX(FILTER(B$1:B1598, B$1:B1598&lt;&gt;""""),COUNTA(FILTER(B$1:B1598, B$1:B1598&lt;&gt;""""))))-1), IF('To Order'!$A1599=COL"&amp;"UMNS($A1599:B1618), B1598&amp;RIGHT(INDIRECT(ADDRESS(ROW(B1599)-1, 'From Order'!$A1599)), 1), B1598))"),"RBRTVCDRHZMTDLDSRRVBMJDM")</f>
        <v>RBRTVCDRHZMTDLDSRRVBMJDM</v>
      </c>
      <c r="C1599" s="2" t="str">
        <f>IFERROR(__xludf.DUMMYFUNCTION("IF('From Order'!$A1599=COLUMNS($A1599:C1618), LEFT(INDEX(FILTER(C$1:C1598, C$1:C1598&lt;&gt;""""),COUNTA(FILTER(C$1:C1598, C$1:C1598&lt;&gt;""""))), LEN(INDEX(FILTER(C$1:C1598, C$1:C1598&lt;&gt;""""),COUNTA(FILTER(C$1:C1598, C$1:C1598&lt;&gt;""""))))-1), IF('To Order'!$A1599=COL"&amp;"UMNS($A1599:C1618), C1598&amp;RIGHT(INDIRECT(ADDRESS(ROW(C1599)-1, 'From Order'!$A1599)), 1), C1598))"),"TQVQJPP")</f>
        <v>TQVQJPP</v>
      </c>
      <c r="D1599" s="2" t="str">
        <f>IFERROR(__xludf.DUMMYFUNCTION("IF('From Order'!$A1599=COLUMNS($A1599:D1618), LEFT(INDEX(FILTER(D$1:D1598, D$1:D1598&lt;&gt;""""),COUNTA(FILTER(D$1:D1598, D$1:D1598&lt;&gt;""""))), LEN(INDEX(FILTER(D$1:D1598, D$1:D1598&lt;&gt;""""),COUNTA(FILTER(D$1:D1598, D$1:D1598&lt;&gt;""""))))-1), IF('To Order'!$A1599=COL"&amp;"UMNS($A1599:D1618), D1598&amp;RIGHT(INDIRECT(ADDRESS(ROW(D1599)-1, 'From Order'!$A1599)), 1), D1598))"),"CGZ")</f>
        <v>CGZ</v>
      </c>
      <c r="E1599" s="2" t="str">
        <f>IFERROR(__xludf.DUMMYFUNCTION("IF('From Order'!$A1599=COLUMNS($A1599:E1618), LEFT(INDEX(FILTER(E$1:E1598, E$1:E1598&lt;&gt;""""),COUNTA(FILTER(E$1:E1598, E$1:E1598&lt;&gt;""""))), LEN(INDEX(FILTER(E$1:E1598, E$1:E1598&lt;&gt;""""),COUNTA(FILTER(E$1:E1598, E$1:E1598&lt;&gt;""""))))-1), IF('To Order'!$A1599=COL"&amp;"UMNS($A1599:E1618), E1598&amp;RIGHT(INDIRECT(ADDRESS(ROW(E1599)-1, 'From Order'!$A1599)), 1), E1598))"),"W")</f>
        <v>W</v>
      </c>
      <c r="F1599" s="2" t="str">
        <f>IFERROR(__xludf.DUMMYFUNCTION("IF('From Order'!$A1599=COLUMNS($A1599:F1618), LEFT(INDEX(FILTER(F$1:F1598, F$1:F1598&lt;&gt;""""),COUNTA(FILTER(F$1:F1598, F$1:F1598&lt;&gt;""""))), LEN(INDEX(FILTER(F$1:F1598, F$1:F1598&lt;&gt;""""),COUNTA(FILTER(F$1:F1598, F$1:F1598&lt;&gt;""""))))-1), IF('To Order'!$A1599=COL"&amp;"UMNS($A1599:F1618), F1598&amp;RIGHT(INDIRECT(ADDRESS(ROW(F1599)-1, 'From Order'!$A1599)), 1), F1598))"),"")</f>
        <v/>
      </c>
      <c r="G1599" s="2" t="str">
        <f>IFERROR(__xludf.DUMMYFUNCTION("IF('From Order'!$A1599=COLUMNS($A1599:G1618), LEFT(INDEX(FILTER(G$1:G1598, G$1:G1598&lt;&gt;""""),COUNTA(FILTER(G$1:G1598, G$1:G1598&lt;&gt;""""))), LEN(INDEX(FILTER(G$1:G1598, G$1:G1598&lt;&gt;""""),COUNTA(FILTER(G$1:G1598, G$1:G1598&lt;&gt;""""))))-1), IF('To Order'!$A1599=COL"&amp;"UMNS($A1599:G1618), G1598&amp;RIGHT(INDIRECT(ADDRESS(ROW(G1599)-1, 'From Order'!$A1599)), 1), G1598))"),"SSTDDWLLFBPTTJGBHFSC")</f>
        <v>SSTDDWLLFBPTTJGBHFSC</v>
      </c>
      <c r="H1599" s="2" t="str">
        <f>IFERROR(__xludf.DUMMYFUNCTION("IF('From Order'!$A1599=COLUMNS($A1599:H1618), LEFT(INDEX(FILTER(H$1:H1598, H$1:H1598&lt;&gt;""""),COUNTA(FILTER(H$1:H1598, H$1:H1598&lt;&gt;""""))), LEN(INDEX(FILTER(H$1:H1598, H$1:H1598&lt;&gt;""""),COUNTA(FILTER(H$1:H1598, H$1:H1598&lt;&gt;""""))))-1), IF('To Order'!$A1599=COL"&amp;"UMNS($A1599:H1618), H1598&amp;RIGHT(INDIRECT(ADDRESS(ROW(H1599)-1, 'From Order'!$A1599)), 1), H1598))"),"")</f>
        <v/>
      </c>
      <c r="I1599" s="2" t="str">
        <f>IFERROR(__xludf.DUMMYFUNCTION("IF('From Order'!$A1599=COLUMNS($A1599:I1618), LEFT(INDEX(FILTER(I$1:I1598, I$1:I1598&lt;&gt;""""),COUNTA(FILTER(I$1:I1598, I$1:I1598&lt;&gt;""""))), LEN(INDEX(FILTER(I$1:I1598, I$1:I1598&lt;&gt;""""),COUNTA(FILTER(I$1:I1598, I$1:I1598&lt;&gt;""""))))-1), IF('To Order'!$A1599=COL"&amp;"UMNS($A1599:I1618), I1598&amp;RIGHT(INDIRECT(ADDRESS(ROW(I1599)-1, 'From Order'!$A1599)), 1), I1598))"),"")</f>
        <v/>
      </c>
    </row>
    <row r="1600">
      <c r="A1600" s="2" t="str">
        <f>IFERROR(__xludf.DUMMYFUNCTION("IF('From Order'!$A1600=COLUMNS($A1600:A1619), LEFT(INDEX(FILTER(A$1:A1599, A$1:A1599&lt;&gt;""""),COUNTA(FILTER(A$1:A1599, A$1:A1599&lt;&gt;""""))), LEN(INDEX(FILTER(A$1:A1599, A$1:A1599&lt;&gt;""""),COUNTA(FILTER(A$1:A1599, A$1:A1599&lt;&gt;""""))))-1), IF('To Order'!$A1600=COL"&amp;"UMNS($A1600:A1619), A1599&amp;RIGHT(INDIRECT(ADDRESS(ROW(A1600)-1, 'From Order'!$A1600)), 1), A1599))"),"Z")</f>
        <v>Z</v>
      </c>
      <c r="B1600" s="2" t="str">
        <f>IFERROR(__xludf.DUMMYFUNCTION("IF('From Order'!$A1600=COLUMNS($A1600:B1619), LEFT(INDEX(FILTER(B$1:B1599, B$1:B1599&lt;&gt;""""),COUNTA(FILTER(B$1:B1599, B$1:B1599&lt;&gt;""""))), LEN(INDEX(FILTER(B$1:B1599, B$1:B1599&lt;&gt;""""),COUNTA(FILTER(B$1:B1599, B$1:B1599&lt;&gt;""""))))-1), IF('To Order'!$A1600=COL"&amp;"UMNS($A1600:B1619), B1599&amp;RIGHT(INDIRECT(ADDRESS(ROW(B1600)-1, 'From Order'!$A1600)), 1), B1599))"),"RBRTVCDRHZMTDLDSRRVBMJDM")</f>
        <v>RBRTVCDRHZMTDLDSRRVBMJDM</v>
      </c>
      <c r="C1600" s="2" t="str">
        <f>IFERROR(__xludf.DUMMYFUNCTION("IF('From Order'!$A1600=COLUMNS($A1600:C1619), LEFT(INDEX(FILTER(C$1:C1599, C$1:C1599&lt;&gt;""""),COUNTA(FILTER(C$1:C1599, C$1:C1599&lt;&gt;""""))), LEN(INDEX(FILTER(C$1:C1599, C$1:C1599&lt;&gt;""""),COUNTA(FILTER(C$1:C1599, C$1:C1599&lt;&gt;""""))))-1), IF('To Order'!$A1600=COL"&amp;"UMNS($A1600:C1619), C1599&amp;RIGHT(INDIRECT(ADDRESS(ROW(C1600)-1, 'From Order'!$A1600)), 1), C1599))"),"TQVQJPP")</f>
        <v>TQVQJPP</v>
      </c>
      <c r="D1600" s="2" t="str">
        <f>IFERROR(__xludf.DUMMYFUNCTION("IF('From Order'!$A1600=COLUMNS($A1600:D1619), LEFT(INDEX(FILTER(D$1:D1599, D$1:D1599&lt;&gt;""""),COUNTA(FILTER(D$1:D1599, D$1:D1599&lt;&gt;""""))), LEN(INDEX(FILTER(D$1:D1599, D$1:D1599&lt;&gt;""""),COUNTA(FILTER(D$1:D1599, D$1:D1599&lt;&gt;""""))))-1), IF('To Order'!$A1600=COL"&amp;"UMNS($A1600:D1619), D1599&amp;RIGHT(INDIRECT(ADDRESS(ROW(D1600)-1, 'From Order'!$A1600)), 1), D1599))"),"CG")</f>
        <v>CG</v>
      </c>
      <c r="E1600" s="2" t="str">
        <f>IFERROR(__xludf.DUMMYFUNCTION("IF('From Order'!$A1600=COLUMNS($A1600:E1619), LEFT(INDEX(FILTER(E$1:E1599, E$1:E1599&lt;&gt;""""),COUNTA(FILTER(E$1:E1599, E$1:E1599&lt;&gt;""""))), LEN(INDEX(FILTER(E$1:E1599, E$1:E1599&lt;&gt;""""),COUNTA(FILTER(E$1:E1599, E$1:E1599&lt;&gt;""""))))-1), IF('To Order'!$A1600=COL"&amp;"UMNS($A1600:E1619), E1599&amp;RIGHT(INDIRECT(ADDRESS(ROW(E1600)-1, 'From Order'!$A1600)), 1), E1599))"),"W")</f>
        <v>W</v>
      </c>
      <c r="F1600" s="2" t="str">
        <f>IFERROR(__xludf.DUMMYFUNCTION("IF('From Order'!$A1600=COLUMNS($A1600:F1619), LEFT(INDEX(FILTER(F$1:F1599, F$1:F1599&lt;&gt;""""),COUNTA(FILTER(F$1:F1599, F$1:F1599&lt;&gt;""""))), LEN(INDEX(FILTER(F$1:F1599, F$1:F1599&lt;&gt;""""),COUNTA(FILTER(F$1:F1599, F$1:F1599&lt;&gt;""""))))-1), IF('To Order'!$A1600=COL"&amp;"UMNS($A1600:F1619), F1599&amp;RIGHT(INDIRECT(ADDRESS(ROW(F1600)-1, 'From Order'!$A1600)), 1), F1599))"),"")</f>
        <v/>
      </c>
      <c r="G1600" s="2" t="str">
        <f>IFERROR(__xludf.DUMMYFUNCTION("IF('From Order'!$A1600=COLUMNS($A1600:G1619), LEFT(INDEX(FILTER(G$1:G1599, G$1:G1599&lt;&gt;""""),COUNTA(FILTER(G$1:G1599, G$1:G1599&lt;&gt;""""))), LEN(INDEX(FILTER(G$1:G1599, G$1:G1599&lt;&gt;""""),COUNTA(FILTER(G$1:G1599, G$1:G1599&lt;&gt;""""))))-1), IF('To Order'!$A1600=COL"&amp;"UMNS($A1600:G1619), G1599&amp;RIGHT(INDIRECT(ADDRESS(ROW(G1600)-1, 'From Order'!$A1600)), 1), G1599))"),"SSTDDWLLFBPTTJGBHFSCZ")</f>
        <v>SSTDDWLLFBPTTJGBHFSCZ</v>
      </c>
      <c r="H1600" s="2" t="str">
        <f>IFERROR(__xludf.DUMMYFUNCTION("IF('From Order'!$A1600=COLUMNS($A1600:H1619), LEFT(INDEX(FILTER(H$1:H1599, H$1:H1599&lt;&gt;""""),COUNTA(FILTER(H$1:H1599, H$1:H1599&lt;&gt;""""))), LEN(INDEX(FILTER(H$1:H1599, H$1:H1599&lt;&gt;""""),COUNTA(FILTER(H$1:H1599, H$1:H1599&lt;&gt;""""))))-1), IF('To Order'!$A1600=COL"&amp;"UMNS($A1600:H1619), H1599&amp;RIGHT(INDIRECT(ADDRESS(ROW(H1600)-1, 'From Order'!$A1600)), 1), H1599))"),"")</f>
        <v/>
      </c>
      <c r="I1600" s="2" t="str">
        <f>IFERROR(__xludf.DUMMYFUNCTION("IF('From Order'!$A1600=COLUMNS($A1600:I1619), LEFT(INDEX(FILTER(I$1:I1599, I$1:I1599&lt;&gt;""""),COUNTA(FILTER(I$1:I1599, I$1:I1599&lt;&gt;""""))), LEN(INDEX(FILTER(I$1:I1599, I$1:I1599&lt;&gt;""""),COUNTA(FILTER(I$1:I1599, I$1:I1599&lt;&gt;""""))))-1), IF('To Order'!$A1600=COL"&amp;"UMNS($A1600:I1619), I1599&amp;RIGHT(INDIRECT(ADDRESS(ROW(I1600)-1, 'From Order'!$A1600)), 1), I1599))"),"")</f>
        <v/>
      </c>
    </row>
    <row r="1601">
      <c r="A1601" s="2" t="str">
        <f>IFERROR(__xludf.DUMMYFUNCTION("IF('From Order'!$A1601=COLUMNS($A1601:A1620), LEFT(INDEX(FILTER(A$1:A1600, A$1:A1600&lt;&gt;""""),COUNTA(FILTER(A$1:A1600, A$1:A1600&lt;&gt;""""))), LEN(INDEX(FILTER(A$1:A1600, A$1:A1600&lt;&gt;""""),COUNTA(FILTER(A$1:A1600, A$1:A1600&lt;&gt;""""))))-1), IF('To Order'!$A1601=COL"&amp;"UMNS($A1601:A1620), A1600&amp;RIGHT(INDIRECT(ADDRESS(ROW(A1601)-1, 'From Order'!$A1601)), 1), A1600))"),"ZW")</f>
        <v>ZW</v>
      </c>
      <c r="B1601" s="2" t="str">
        <f>IFERROR(__xludf.DUMMYFUNCTION("IF('From Order'!$A1601=COLUMNS($A1601:B1620), LEFT(INDEX(FILTER(B$1:B1600, B$1:B1600&lt;&gt;""""),COUNTA(FILTER(B$1:B1600, B$1:B1600&lt;&gt;""""))), LEN(INDEX(FILTER(B$1:B1600, B$1:B1600&lt;&gt;""""),COUNTA(FILTER(B$1:B1600, B$1:B1600&lt;&gt;""""))))-1), IF('To Order'!$A1601=COL"&amp;"UMNS($A1601:B1620), B1600&amp;RIGHT(INDIRECT(ADDRESS(ROW(B1601)-1, 'From Order'!$A1601)), 1), B1600))"),"RBRTVCDRHZMTDLDSRRVBMJDM")</f>
        <v>RBRTVCDRHZMTDLDSRRVBMJDM</v>
      </c>
      <c r="C1601" s="2" t="str">
        <f>IFERROR(__xludf.DUMMYFUNCTION("IF('From Order'!$A1601=COLUMNS($A1601:C1620), LEFT(INDEX(FILTER(C$1:C1600, C$1:C1600&lt;&gt;""""),COUNTA(FILTER(C$1:C1600, C$1:C1600&lt;&gt;""""))), LEN(INDEX(FILTER(C$1:C1600, C$1:C1600&lt;&gt;""""),COUNTA(FILTER(C$1:C1600, C$1:C1600&lt;&gt;""""))))-1), IF('To Order'!$A1601=COL"&amp;"UMNS($A1601:C1620), C1600&amp;RIGHT(INDIRECT(ADDRESS(ROW(C1601)-1, 'From Order'!$A1601)), 1), C1600))"),"TQVQJPP")</f>
        <v>TQVQJPP</v>
      </c>
      <c r="D1601" s="2" t="str">
        <f>IFERROR(__xludf.DUMMYFUNCTION("IF('From Order'!$A1601=COLUMNS($A1601:D1620), LEFT(INDEX(FILTER(D$1:D1600, D$1:D1600&lt;&gt;""""),COUNTA(FILTER(D$1:D1600, D$1:D1600&lt;&gt;""""))), LEN(INDEX(FILTER(D$1:D1600, D$1:D1600&lt;&gt;""""),COUNTA(FILTER(D$1:D1600, D$1:D1600&lt;&gt;""""))))-1), IF('To Order'!$A1601=COL"&amp;"UMNS($A1601:D1620), D1600&amp;RIGHT(INDIRECT(ADDRESS(ROW(D1601)-1, 'From Order'!$A1601)), 1), D1600))"),"CG")</f>
        <v>CG</v>
      </c>
      <c r="E1601" s="2" t="str">
        <f>IFERROR(__xludf.DUMMYFUNCTION("IF('From Order'!$A1601=COLUMNS($A1601:E1620), LEFT(INDEX(FILTER(E$1:E1600, E$1:E1600&lt;&gt;""""),COUNTA(FILTER(E$1:E1600, E$1:E1600&lt;&gt;""""))), LEN(INDEX(FILTER(E$1:E1600, E$1:E1600&lt;&gt;""""),COUNTA(FILTER(E$1:E1600, E$1:E1600&lt;&gt;""""))))-1), IF('To Order'!$A1601=COL"&amp;"UMNS($A1601:E1620), E1600&amp;RIGHT(INDIRECT(ADDRESS(ROW(E1601)-1, 'From Order'!$A1601)), 1), E1600))"),"")</f>
        <v/>
      </c>
      <c r="F1601" s="2" t="str">
        <f>IFERROR(__xludf.DUMMYFUNCTION("IF('From Order'!$A1601=COLUMNS($A1601:F1620), LEFT(INDEX(FILTER(F$1:F1600, F$1:F1600&lt;&gt;""""),COUNTA(FILTER(F$1:F1600, F$1:F1600&lt;&gt;""""))), LEN(INDEX(FILTER(F$1:F1600, F$1:F1600&lt;&gt;""""),COUNTA(FILTER(F$1:F1600, F$1:F1600&lt;&gt;""""))))-1), IF('To Order'!$A1601=COL"&amp;"UMNS($A1601:F1620), F1600&amp;RIGHT(INDIRECT(ADDRESS(ROW(F1601)-1, 'From Order'!$A1601)), 1), F1600))"),"")</f>
        <v/>
      </c>
      <c r="G1601" s="2" t="str">
        <f>IFERROR(__xludf.DUMMYFUNCTION("IF('From Order'!$A1601=COLUMNS($A1601:G1620), LEFT(INDEX(FILTER(G$1:G1600, G$1:G1600&lt;&gt;""""),COUNTA(FILTER(G$1:G1600, G$1:G1600&lt;&gt;""""))), LEN(INDEX(FILTER(G$1:G1600, G$1:G1600&lt;&gt;""""),COUNTA(FILTER(G$1:G1600, G$1:G1600&lt;&gt;""""))))-1), IF('To Order'!$A1601=COL"&amp;"UMNS($A1601:G1620), G1600&amp;RIGHT(INDIRECT(ADDRESS(ROW(G1601)-1, 'From Order'!$A1601)), 1), G1600))"),"SSTDDWLLFBPTTJGBHFSCZ")</f>
        <v>SSTDDWLLFBPTTJGBHFSCZ</v>
      </c>
      <c r="H1601" s="2" t="str">
        <f>IFERROR(__xludf.DUMMYFUNCTION("IF('From Order'!$A1601=COLUMNS($A1601:H1620), LEFT(INDEX(FILTER(H$1:H1600, H$1:H1600&lt;&gt;""""),COUNTA(FILTER(H$1:H1600, H$1:H1600&lt;&gt;""""))), LEN(INDEX(FILTER(H$1:H1600, H$1:H1600&lt;&gt;""""),COUNTA(FILTER(H$1:H1600, H$1:H1600&lt;&gt;""""))))-1), IF('To Order'!$A1601=COL"&amp;"UMNS($A1601:H1620), H1600&amp;RIGHT(INDIRECT(ADDRESS(ROW(H1601)-1, 'From Order'!$A1601)), 1), H1600))"),"")</f>
        <v/>
      </c>
      <c r="I1601" s="2" t="str">
        <f>IFERROR(__xludf.DUMMYFUNCTION("IF('From Order'!$A1601=COLUMNS($A1601:I1620), LEFT(INDEX(FILTER(I$1:I1600, I$1:I1600&lt;&gt;""""),COUNTA(FILTER(I$1:I1600, I$1:I1600&lt;&gt;""""))), LEN(INDEX(FILTER(I$1:I1600, I$1:I1600&lt;&gt;""""),COUNTA(FILTER(I$1:I1600, I$1:I1600&lt;&gt;""""))))-1), IF('To Order'!$A1601=COL"&amp;"UMNS($A1601:I1620), I1600&amp;RIGHT(INDIRECT(ADDRESS(ROW(I1601)-1, 'From Order'!$A1601)), 1), I1600))"),"")</f>
        <v/>
      </c>
    </row>
    <row r="1602">
      <c r="A1602" s="2" t="str">
        <f>IFERROR(__xludf.DUMMYFUNCTION("IF('From Order'!$A1602=COLUMNS($A1602:A1621), LEFT(INDEX(FILTER(A$1:A1601, A$1:A1601&lt;&gt;""""),COUNTA(FILTER(A$1:A1601, A$1:A1601&lt;&gt;""""))), LEN(INDEX(FILTER(A$1:A1601, A$1:A1601&lt;&gt;""""),COUNTA(FILTER(A$1:A1601, A$1:A1601&lt;&gt;""""))))-1), IF('To Order'!$A1602=COL"&amp;"UMNS($A1602:A1621), A1601&amp;RIGHT(INDIRECT(ADDRESS(ROW(A1602)-1, 'From Order'!$A1602)), 1), A1601))"),"Z")</f>
        <v>Z</v>
      </c>
      <c r="B1602" s="2" t="str">
        <f>IFERROR(__xludf.DUMMYFUNCTION("IF('From Order'!$A1602=COLUMNS($A1602:B1621), LEFT(INDEX(FILTER(B$1:B1601, B$1:B1601&lt;&gt;""""),COUNTA(FILTER(B$1:B1601, B$1:B1601&lt;&gt;""""))), LEN(INDEX(FILTER(B$1:B1601, B$1:B1601&lt;&gt;""""),COUNTA(FILTER(B$1:B1601, B$1:B1601&lt;&gt;""""))))-1), IF('To Order'!$A1602=COL"&amp;"UMNS($A1602:B1621), B1601&amp;RIGHT(INDIRECT(ADDRESS(ROW(B1602)-1, 'From Order'!$A1602)), 1), B1601))"),"RBRTVCDRHZMTDLDSRRVBMJDMW")</f>
        <v>RBRTVCDRHZMTDLDSRRVBMJDMW</v>
      </c>
      <c r="C1602" s="2" t="str">
        <f>IFERROR(__xludf.DUMMYFUNCTION("IF('From Order'!$A1602=COLUMNS($A1602:C1621), LEFT(INDEX(FILTER(C$1:C1601, C$1:C1601&lt;&gt;""""),COUNTA(FILTER(C$1:C1601, C$1:C1601&lt;&gt;""""))), LEN(INDEX(FILTER(C$1:C1601, C$1:C1601&lt;&gt;""""),COUNTA(FILTER(C$1:C1601, C$1:C1601&lt;&gt;""""))))-1), IF('To Order'!$A1602=COL"&amp;"UMNS($A1602:C1621), C1601&amp;RIGHT(INDIRECT(ADDRESS(ROW(C1602)-1, 'From Order'!$A1602)), 1), C1601))"),"TQVQJPP")</f>
        <v>TQVQJPP</v>
      </c>
      <c r="D1602" s="2" t="str">
        <f>IFERROR(__xludf.DUMMYFUNCTION("IF('From Order'!$A1602=COLUMNS($A1602:D1621), LEFT(INDEX(FILTER(D$1:D1601, D$1:D1601&lt;&gt;""""),COUNTA(FILTER(D$1:D1601, D$1:D1601&lt;&gt;""""))), LEN(INDEX(FILTER(D$1:D1601, D$1:D1601&lt;&gt;""""),COUNTA(FILTER(D$1:D1601, D$1:D1601&lt;&gt;""""))))-1), IF('To Order'!$A1602=COL"&amp;"UMNS($A1602:D1621), D1601&amp;RIGHT(INDIRECT(ADDRESS(ROW(D1602)-1, 'From Order'!$A1602)), 1), D1601))"),"CG")</f>
        <v>CG</v>
      </c>
      <c r="E1602" s="2" t="str">
        <f>IFERROR(__xludf.DUMMYFUNCTION("IF('From Order'!$A1602=COLUMNS($A1602:E1621), LEFT(INDEX(FILTER(E$1:E1601, E$1:E1601&lt;&gt;""""),COUNTA(FILTER(E$1:E1601, E$1:E1601&lt;&gt;""""))), LEN(INDEX(FILTER(E$1:E1601, E$1:E1601&lt;&gt;""""),COUNTA(FILTER(E$1:E1601, E$1:E1601&lt;&gt;""""))))-1), IF('To Order'!$A1602=COL"&amp;"UMNS($A1602:E1621), E1601&amp;RIGHT(INDIRECT(ADDRESS(ROW(E1602)-1, 'From Order'!$A1602)), 1), E1601))"),"")</f>
        <v/>
      </c>
      <c r="F1602" s="2" t="str">
        <f>IFERROR(__xludf.DUMMYFUNCTION("IF('From Order'!$A1602=COLUMNS($A1602:F1621), LEFT(INDEX(FILTER(F$1:F1601, F$1:F1601&lt;&gt;""""),COUNTA(FILTER(F$1:F1601, F$1:F1601&lt;&gt;""""))), LEN(INDEX(FILTER(F$1:F1601, F$1:F1601&lt;&gt;""""),COUNTA(FILTER(F$1:F1601, F$1:F1601&lt;&gt;""""))))-1), IF('To Order'!$A1602=COL"&amp;"UMNS($A1602:F1621), F1601&amp;RIGHT(INDIRECT(ADDRESS(ROW(F1602)-1, 'From Order'!$A1602)), 1), F1601))"),"")</f>
        <v/>
      </c>
      <c r="G1602" s="2" t="str">
        <f>IFERROR(__xludf.DUMMYFUNCTION("IF('From Order'!$A1602=COLUMNS($A1602:G1621), LEFT(INDEX(FILTER(G$1:G1601, G$1:G1601&lt;&gt;""""),COUNTA(FILTER(G$1:G1601, G$1:G1601&lt;&gt;""""))), LEN(INDEX(FILTER(G$1:G1601, G$1:G1601&lt;&gt;""""),COUNTA(FILTER(G$1:G1601, G$1:G1601&lt;&gt;""""))))-1), IF('To Order'!$A1602=COL"&amp;"UMNS($A1602:G1621), G1601&amp;RIGHT(INDIRECT(ADDRESS(ROW(G1602)-1, 'From Order'!$A1602)), 1), G1601))"),"SSTDDWLLFBPTTJGBHFSCZ")</f>
        <v>SSTDDWLLFBPTTJGBHFSCZ</v>
      </c>
      <c r="H1602" s="2" t="str">
        <f>IFERROR(__xludf.DUMMYFUNCTION("IF('From Order'!$A1602=COLUMNS($A1602:H1621), LEFT(INDEX(FILTER(H$1:H1601, H$1:H1601&lt;&gt;""""),COUNTA(FILTER(H$1:H1601, H$1:H1601&lt;&gt;""""))), LEN(INDEX(FILTER(H$1:H1601, H$1:H1601&lt;&gt;""""),COUNTA(FILTER(H$1:H1601, H$1:H1601&lt;&gt;""""))))-1), IF('To Order'!$A1602=COL"&amp;"UMNS($A1602:H1621), H1601&amp;RIGHT(INDIRECT(ADDRESS(ROW(H1602)-1, 'From Order'!$A1602)), 1), H1601))"),"")</f>
        <v/>
      </c>
      <c r="I1602" s="2" t="str">
        <f>IFERROR(__xludf.DUMMYFUNCTION("IF('From Order'!$A1602=COLUMNS($A1602:I1621), LEFT(INDEX(FILTER(I$1:I1601, I$1:I1601&lt;&gt;""""),COUNTA(FILTER(I$1:I1601, I$1:I1601&lt;&gt;""""))), LEN(INDEX(FILTER(I$1:I1601, I$1:I1601&lt;&gt;""""),COUNTA(FILTER(I$1:I1601, I$1:I1601&lt;&gt;""""))))-1), IF('To Order'!$A1602=COL"&amp;"UMNS($A1602:I1621), I1601&amp;RIGHT(INDIRECT(ADDRESS(ROW(I1602)-1, 'From Order'!$A1602)), 1), I1601))"),"")</f>
        <v/>
      </c>
    </row>
    <row r="1603">
      <c r="A1603" s="2" t="str">
        <f>IFERROR(__xludf.DUMMYFUNCTION("IF('From Order'!$A1603=COLUMNS($A1603:A1622), LEFT(INDEX(FILTER(A$1:A1602, A$1:A1602&lt;&gt;""""),COUNTA(FILTER(A$1:A1602, A$1:A1602&lt;&gt;""""))), LEN(INDEX(FILTER(A$1:A1602, A$1:A1602&lt;&gt;""""),COUNTA(FILTER(A$1:A1602, A$1:A1602&lt;&gt;""""))))-1), IF('To Order'!$A1603=COL"&amp;"UMNS($A1603:A1622), A1602&amp;RIGHT(INDIRECT(ADDRESS(ROW(A1603)-1, 'From Order'!$A1603)), 1), A1602))"),"Z")</f>
        <v>Z</v>
      </c>
      <c r="B1603" s="2" t="str">
        <f>IFERROR(__xludf.DUMMYFUNCTION("IF('From Order'!$A1603=COLUMNS($A1603:B1622), LEFT(INDEX(FILTER(B$1:B1602, B$1:B1602&lt;&gt;""""),COUNTA(FILTER(B$1:B1602, B$1:B1602&lt;&gt;""""))), LEN(INDEX(FILTER(B$1:B1602, B$1:B1602&lt;&gt;""""),COUNTA(FILTER(B$1:B1602, B$1:B1602&lt;&gt;""""))))-1), IF('To Order'!$A1603=COL"&amp;"UMNS($A1603:B1622), B1602&amp;RIGHT(INDIRECT(ADDRESS(ROW(B1603)-1, 'From Order'!$A1603)), 1), B1602))"),"RBRTVCDRHZMTDLDSRRVBMJDMWZ")</f>
        <v>RBRTVCDRHZMTDLDSRRVBMJDMWZ</v>
      </c>
      <c r="C1603" s="2" t="str">
        <f>IFERROR(__xludf.DUMMYFUNCTION("IF('From Order'!$A1603=COLUMNS($A1603:C1622), LEFT(INDEX(FILTER(C$1:C1602, C$1:C1602&lt;&gt;""""),COUNTA(FILTER(C$1:C1602, C$1:C1602&lt;&gt;""""))), LEN(INDEX(FILTER(C$1:C1602, C$1:C1602&lt;&gt;""""),COUNTA(FILTER(C$1:C1602, C$1:C1602&lt;&gt;""""))))-1), IF('To Order'!$A1603=COL"&amp;"UMNS($A1603:C1622), C1602&amp;RIGHT(INDIRECT(ADDRESS(ROW(C1603)-1, 'From Order'!$A1603)), 1), C1602))"),"TQVQJPP")</f>
        <v>TQVQJPP</v>
      </c>
      <c r="D1603" s="2" t="str">
        <f>IFERROR(__xludf.DUMMYFUNCTION("IF('From Order'!$A1603=COLUMNS($A1603:D1622), LEFT(INDEX(FILTER(D$1:D1602, D$1:D1602&lt;&gt;""""),COUNTA(FILTER(D$1:D1602, D$1:D1602&lt;&gt;""""))), LEN(INDEX(FILTER(D$1:D1602, D$1:D1602&lt;&gt;""""),COUNTA(FILTER(D$1:D1602, D$1:D1602&lt;&gt;""""))))-1), IF('To Order'!$A1603=COL"&amp;"UMNS($A1603:D1622), D1602&amp;RIGHT(INDIRECT(ADDRESS(ROW(D1603)-1, 'From Order'!$A1603)), 1), D1602))"),"CG")</f>
        <v>CG</v>
      </c>
      <c r="E1603" s="2" t="str">
        <f>IFERROR(__xludf.DUMMYFUNCTION("IF('From Order'!$A1603=COLUMNS($A1603:E1622), LEFT(INDEX(FILTER(E$1:E1602, E$1:E1602&lt;&gt;""""),COUNTA(FILTER(E$1:E1602, E$1:E1602&lt;&gt;""""))), LEN(INDEX(FILTER(E$1:E1602, E$1:E1602&lt;&gt;""""),COUNTA(FILTER(E$1:E1602, E$1:E1602&lt;&gt;""""))))-1), IF('To Order'!$A1603=COL"&amp;"UMNS($A1603:E1622), E1602&amp;RIGHT(INDIRECT(ADDRESS(ROW(E1603)-1, 'From Order'!$A1603)), 1), E1602))"),"")</f>
        <v/>
      </c>
      <c r="F1603" s="2" t="str">
        <f>IFERROR(__xludf.DUMMYFUNCTION("IF('From Order'!$A1603=COLUMNS($A1603:F1622), LEFT(INDEX(FILTER(F$1:F1602, F$1:F1602&lt;&gt;""""),COUNTA(FILTER(F$1:F1602, F$1:F1602&lt;&gt;""""))), LEN(INDEX(FILTER(F$1:F1602, F$1:F1602&lt;&gt;""""),COUNTA(FILTER(F$1:F1602, F$1:F1602&lt;&gt;""""))))-1), IF('To Order'!$A1603=COL"&amp;"UMNS($A1603:F1622), F1602&amp;RIGHT(INDIRECT(ADDRESS(ROW(F1603)-1, 'From Order'!$A1603)), 1), F1602))"),"")</f>
        <v/>
      </c>
      <c r="G1603" s="2" t="str">
        <f>IFERROR(__xludf.DUMMYFUNCTION("IF('From Order'!$A1603=COLUMNS($A1603:G1622), LEFT(INDEX(FILTER(G$1:G1602, G$1:G1602&lt;&gt;""""),COUNTA(FILTER(G$1:G1602, G$1:G1602&lt;&gt;""""))), LEN(INDEX(FILTER(G$1:G1602, G$1:G1602&lt;&gt;""""),COUNTA(FILTER(G$1:G1602, G$1:G1602&lt;&gt;""""))))-1), IF('To Order'!$A1603=COL"&amp;"UMNS($A1603:G1622), G1602&amp;RIGHT(INDIRECT(ADDRESS(ROW(G1603)-1, 'From Order'!$A1603)), 1), G1602))"),"SSTDDWLLFBPTTJGBHFSC")</f>
        <v>SSTDDWLLFBPTTJGBHFSC</v>
      </c>
      <c r="H1603" s="2" t="str">
        <f>IFERROR(__xludf.DUMMYFUNCTION("IF('From Order'!$A1603=COLUMNS($A1603:H1622), LEFT(INDEX(FILTER(H$1:H1602, H$1:H1602&lt;&gt;""""),COUNTA(FILTER(H$1:H1602, H$1:H1602&lt;&gt;""""))), LEN(INDEX(FILTER(H$1:H1602, H$1:H1602&lt;&gt;""""),COUNTA(FILTER(H$1:H1602, H$1:H1602&lt;&gt;""""))))-1), IF('To Order'!$A1603=COL"&amp;"UMNS($A1603:H1622), H1602&amp;RIGHT(INDIRECT(ADDRESS(ROW(H1603)-1, 'From Order'!$A1603)), 1), H1602))"),"")</f>
        <v/>
      </c>
      <c r="I1603" s="2" t="str">
        <f>IFERROR(__xludf.DUMMYFUNCTION("IF('From Order'!$A1603=COLUMNS($A1603:I1622), LEFT(INDEX(FILTER(I$1:I1602, I$1:I1602&lt;&gt;""""),COUNTA(FILTER(I$1:I1602, I$1:I1602&lt;&gt;""""))), LEN(INDEX(FILTER(I$1:I1602, I$1:I1602&lt;&gt;""""),COUNTA(FILTER(I$1:I1602, I$1:I1602&lt;&gt;""""))))-1), IF('To Order'!$A1603=COL"&amp;"UMNS($A1603:I1622), I1602&amp;RIGHT(INDIRECT(ADDRESS(ROW(I1603)-1, 'From Order'!$A1603)), 1), I1602))"),"")</f>
        <v/>
      </c>
    </row>
    <row r="1604">
      <c r="A1604" s="2" t="str">
        <f>IFERROR(__xludf.DUMMYFUNCTION("IF('From Order'!$A1604=COLUMNS($A1604:A1623), LEFT(INDEX(FILTER(A$1:A1603, A$1:A1603&lt;&gt;""""),COUNTA(FILTER(A$1:A1603, A$1:A1603&lt;&gt;""""))), LEN(INDEX(FILTER(A$1:A1603, A$1:A1603&lt;&gt;""""),COUNTA(FILTER(A$1:A1603, A$1:A1603&lt;&gt;""""))))-1), IF('To Order'!$A1604=COL"&amp;"UMNS($A1604:A1623), A1603&amp;RIGHT(INDIRECT(ADDRESS(ROW(A1604)-1, 'From Order'!$A1604)), 1), A1603))"),"Z")</f>
        <v>Z</v>
      </c>
      <c r="B1604" s="2" t="str">
        <f>IFERROR(__xludf.DUMMYFUNCTION("IF('From Order'!$A1604=COLUMNS($A1604:B1623), LEFT(INDEX(FILTER(B$1:B1603, B$1:B1603&lt;&gt;""""),COUNTA(FILTER(B$1:B1603, B$1:B1603&lt;&gt;""""))), LEN(INDEX(FILTER(B$1:B1603, B$1:B1603&lt;&gt;""""),COUNTA(FILTER(B$1:B1603, B$1:B1603&lt;&gt;""""))))-1), IF('To Order'!$A1604=COL"&amp;"UMNS($A1604:B1623), B1603&amp;RIGHT(INDIRECT(ADDRESS(ROW(B1604)-1, 'From Order'!$A1604)), 1), B1603))"),"RBRTVCDRHZMTDLDSRRVBMJDMWZC")</f>
        <v>RBRTVCDRHZMTDLDSRRVBMJDMWZC</v>
      </c>
      <c r="C1604" s="2" t="str">
        <f>IFERROR(__xludf.DUMMYFUNCTION("IF('From Order'!$A1604=COLUMNS($A1604:C1623), LEFT(INDEX(FILTER(C$1:C1603, C$1:C1603&lt;&gt;""""),COUNTA(FILTER(C$1:C1603, C$1:C1603&lt;&gt;""""))), LEN(INDEX(FILTER(C$1:C1603, C$1:C1603&lt;&gt;""""),COUNTA(FILTER(C$1:C1603, C$1:C1603&lt;&gt;""""))))-1), IF('To Order'!$A1604=COL"&amp;"UMNS($A1604:C1623), C1603&amp;RIGHT(INDIRECT(ADDRESS(ROW(C1604)-1, 'From Order'!$A1604)), 1), C1603))"),"TQVQJPP")</f>
        <v>TQVQJPP</v>
      </c>
      <c r="D1604" s="2" t="str">
        <f>IFERROR(__xludf.DUMMYFUNCTION("IF('From Order'!$A1604=COLUMNS($A1604:D1623), LEFT(INDEX(FILTER(D$1:D1603, D$1:D1603&lt;&gt;""""),COUNTA(FILTER(D$1:D1603, D$1:D1603&lt;&gt;""""))), LEN(INDEX(FILTER(D$1:D1603, D$1:D1603&lt;&gt;""""),COUNTA(FILTER(D$1:D1603, D$1:D1603&lt;&gt;""""))))-1), IF('To Order'!$A1604=COL"&amp;"UMNS($A1604:D1623), D1603&amp;RIGHT(INDIRECT(ADDRESS(ROW(D1604)-1, 'From Order'!$A1604)), 1), D1603))"),"CG")</f>
        <v>CG</v>
      </c>
      <c r="E1604" s="2" t="str">
        <f>IFERROR(__xludf.DUMMYFUNCTION("IF('From Order'!$A1604=COLUMNS($A1604:E1623), LEFT(INDEX(FILTER(E$1:E1603, E$1:E1603&lt;&gt;""""),COUNTA(FILTER(E$1:E1603, E$1:E1603&lt;&gt;""""))), LEN(INDEX(FILTER(E$1:E1603, E$1:E1603&lt;&gt;""""),COUNTA(FILTER(E$1:E1603, E$1:E1603&lt;&gt;""""))))-1), IF('To Order'!$A1604=COL"&amp;"UMNS($A1604:E1623), E1603&amp;RIGHT(INDIRECT(ADDRESS(ROW(E1604)-1, 'From Order'!$A1604)), 1), E1603))"),"")</f>
        <v/>
      </c>
      <c r="F1604" s="2" t="str">
        <f>IFERROR(__xludf.DUMMYFUNCTION("IF('From Order'!$A1604=COLUMNS($A1604:F1623), LEFT(INDEX(FILTER(F$1:F1603, F$1:F1603&lt;&gt;""""),COUNTA(FILTER(F$1:F1603, F$1:F1603&lt;&gt;""""))), LEN(INDEX(FILTER(F$1:F1603, F$1:F1603&lt;&gt;""""),COUNTA(FILTER(F$1:F1603, F$1:F1603&lt;&gt;""""))))-1), IF('To Order'!$A1604=COL"&amp;"UMNS($A1604:F1623), F1603&amp;RIGHT(INDIRECT(ADDRESS(ROW(F1604)-1, 'From Order'!$A1604)), 1), F1603))"),"")</f>
        <v/>
      </c>
      <c r="G1604" s="2" t="str">
        <f>IFERROR(__xludf.DUMMYFUNCTION("IF('From Order'!$A1604=COLUMNS($A1604:G1623), LEFT(INDEX(FILTER(G$1:G1603, G$1:G1603&lt;&gt;""""),COUNTA(FILTER(G$1:G1603, G$1:G1603&lt;&gt;""""))), LEN(INDEX(FILTER(G$1:G1603, G$1:G1603&lt;&gt;""""),COUNTA(FILTER(G$1:G1603, G$1:G1603&lt;&gt;""""))))-1), IF('To Order'!$A1604=COL"&amp;"UMNS($A1604:G1623), G1603&amp;RIGHT(INDIRECT(ADDRESS(ROW(G1604)-1, 'From Order'!$A1604)), 1), G1603))"),"SSTDDWLLFBPTTJGBHFS")</f>
        <v>SSTDDWLLFBPTTJGBHFS</v>
      </c>
      <c r="H1604" s="2" t="str">
        <f>IFERROR(__xludf.DUMMYFUNCTION("IF('From Order'!$A1604=COLUMNS($A1604:H1623), LEFT(INDEX(FILTER(H$1:H1603, H$1:H1603&lt;&gt;""""),COUNTA(FILTER(H$1:H1603, H$1:H1603&lt;&gt;""""))), LEN(INDEX(FILTER(H$1:H1603, H$1:H1603&lt;&gt;""""),COUNTA(FILTER(H$1:H1603, H$1:H1603&lt;&gt;""""))))-1), IF('To Order'!$A1604=COL"&amp;"UMNS($A1604:H1623), H1603&amp;RIGHT(INDIRECT(ADDRESS(ROW(H1604)-1, 'From Order'!$A1604)), 1), H1603))"),"")</f>
        <v/>
      </c>
      <c r="I1604" s="2" t="str">
        <f>IFERROR(__xludf.DUMMYFUNCTION("IF('From Order'!$A1604=COLUMNS($A1604:I1623), LEFT(INDEX(FILTER(I$1:I1603, I$1:I1603&lt;&gt;""""),COUNTA(FILTER(I$1:I1603, I$1:I1603&lt;&gt;""""))), LEN(INDEX(FILTER(I$1:I1603, I$1:I1603&lt;&gt;""""),COUNTA(FILTER(I$1:I1603, I$1:I1603&lt;&gt;""""))))-1), IF('To Order'!$A1604=COL"&amp;"UMNS($A1604:I1623), I1603&amp;RIGHT(INDIRECT(ADDRESS(ROW(I1604)-1, 'From Order'!$A1604)), 1), I1603))"),"")</f>
        <v/>
      </c>
    </row>
    <row r="1605">
      <c r="A1605" s="2" t="str">
        <f>IFERROR(__xludf.DUMMYFUNCTION("IF('From Order'!$A1605=COLUMNS($A1605:A1624), LEFT(INDEX(FILTER(A$1:A1604, A$1:A1604&lt;&gt;""""),COUNTA(FILTER(A$1:A1604, A$1:A1604&lt;&gt;""""))), LEN(INDEX(FILTER(A$1:A1604, A$1:A1604&lt;&gt;""""),COUNTA(FILTER(A$1:A1604, A$1:A1604&lt;&gt;""""))))-1), IF('To Order'!$A1605=COL"&amp;"UMNS($A1605:A1624), A1604&amp;RIGHT(INDIRECT(ADDRESS(ROW(A1605)-1, 'From Order'!$A1605)), 1), A1604))"),"Z")</f>
        <v>Z</v>
      </c>
      <c r="B1605" s="2" t="str">
        <f>IFERROR(__xludf.DUMMYFUNCTION("IF('From Order'!$A1605=COLUMNS($A1605:B1624), LEFT(INDEX(FILTER(B$1:B1604, B$1:B1604&lt;&gt;""""),COUNTA(FILTER(B$1:B1604, B$1:B1604&lt;&gt;""""))), LEN(INDEX(FILTER(B$1:B1604, B$1:B1604&lt;&gt;""""),COUNTA(FILTER(B$1:B1604, B$1:B1604&lt;&gt;""""))))-1), IF('To Order'!$A1605=COL"&amp;"UMNS($A1605:B1624), B1604&amp;RIGHT(INDIRECT(ADDRESS(ROW(B1605)-1, 'From Order'!$A1605)), 1), B1604))"),"RBRTVCDRHZMTDLDSRRVBMJDMWZCS")</f>
        <v>RBRTVCDRHZMTDLDSRRVBMJDMWZCS</v>
      </c>
      <c r="C1605" s="2" t="str">
        <f>IFERROR(__xludf.DUMMYFUNCTION("IF('From Order'!$A1605=COLUMNS($A1605:C1624), LEFT(INDEX(FILTER(C$1:C1604, C$1:C1604&lt;&gt;""""),COUNTA(FILTER(C$1:C1604, C$1:C1604&lt;&gt;""""))), LEN(INDEX(FILTER(C$1:C1604, C$1:C1604&lt;&gt;""""),COUNTA(FILTER(C$1:C1604, C$1:C1604&lt;&gt;""""))))-1), IF('To Order'!$A1605=COL"&amp;"UMNS($A1605:C1624), C1604&amp;RIGHT(INDIRECT(ADDRESS(ROW(C1605)-1, 'From Order'!$A1605)), 1), C1604))"),"TQVQJPP")</f>
        <v>TQVQJPP</v>
      </c>
      <c r="D1605" s="2" t="str">
        <f>IFERROR(__xludf.DUMMYFUNCTION("IF('From Order'!$A1605=COLUMNS($A1605:D1624), LEFT(INDEX(FILTER(D$1:D1604, D$1:D1604&lt;&gt;""""),COUNTA(FILTER(D$1:D1604, D$1:D1604&lt;&gt;""""))), LEN(INDEX(FILTER(D$1:D1604, D$1:D1604&lt;&gt;""""),COUNTA(FILTER(D$1:D1604, D$1:D1604&lt;&gt;""""))))-1), IF('To Order'!$A1605=COL"&amp;"UMNS($A1605:D1624), D1604&amp;RIGHT(INDIRECT(ADDRESS(ROW(D1605)-1, 'From Order'!$A1605)), 1), D1604))"),"CG")</f>
        <v>CG</v>
      </c>
      <c r="E1605" s="2" t="str">
        <f>IFERROR(__xludf.DUMMYFUNCTION("IF('From Order'!$A1605=COLUMNS($A1605:E1624), LEFT(INDEX(FILTER(E$1:E1604, E$1:E1604&lt;&gt;""""),COUNTA(FILTER(E$1:E1604, E$1:E1604&lt;&gt;""""))), LEN(INDEX(FILTER(E$1:E1604, E$1:E1604&lt;&gt;""""),COUNTA(FILTER(E$1:E1604, E$1:E1604&lt;&gt;""""))))-1), IF('To Order'!$A1605=COL"&amp;"UMNS($A1605:E1624), E1604&amp;RIGHT(INDIRECT(ADDRESS(ROW(E1605)-1, 'From Order'!$A1605)), 1), E1604))"),"")</f>
        <v/>
      </c>
      <c r="F1605" s="2" t="str">
        <f>IFERROR(__xludf.DUMMYFUNCTION("IF('From Order'!$A1605=COLUMNS($A1605:F1624), LEFT(INDEX(FILTER(F$1:F1604, F$1:F1604&lt;&gt;""""),COUNTA(FILTER(F$1:F1604, F$1:F1604&lt;&gt;""""))), LEN(INDEX(FILTER(F$1:F1604, F$1:F1604&lt;&gt;""""),COUNTA(FILTER(F$1:F1604, F$1:F1604&lt;&gt;""""))))-1), IF('To Order'!$A1605=COL"&amp;"UMNS($A1605:F1624), F1604&amp;RIGHT(INDIRECT(ADDRESS(ROW(F1605)-1, 'From Order'!$A1605)), 1), F1604))"),"")</f>
        <v/>
      </c>
      <c r="G1605" s="2" t="str">
        <f>IFERROR(__xludf.DUMMYFUNCTION("IF('From Order'!$A1605=COLUMNS($A1605:G1624), LEFT(INDEX(FILTER(G$1:G1604, G$1:G1604&lt;&gt;""""),COUNTA(FILTER(G$1:G1604, G$1:G1604&lt;&gt;""""))), LEN(INDEX(FILTER(G$1:G1604, G$1:G1604&lt;&gt;""""),COUNTA(FILTER(G$1:G1604, G$1:G1604&lt;&gt;""""))))-1), IF('To Order'!$A1605=COL"&amp;"UMNS($A1605:G1624), G1604&amp;RIGHT(INDIRECT(ADDRESS(ROW(G1605)-1, 'From Order'!$A1605)), 1), G1604))"),"SSTDDWLLFBPTTJGBHF")</f>
        <v>SSTDDWLLFBPTTJGBHF</v>
      </c>
      <c r="H1605" s="2" t="str">
        <f>IFERROR(__xludf.DUMMYFUNCTION("IF('From Order'!$A1605=COLUMNS($A1605:H1624), LEFT(INDEX(FILTER(H$1:H1604, H$1:H1604&lt;&gt;""""),COUNTA(FILTER(H$1:H1604, H$1:H1604&lt;&gt;""""))), LEN(INDEX(FILTER(H$1:H1604, H$1:H1604&lt;&gt;""""),COUNTA(FILTER(H$1:H1604, H$1:H1604&lt;&gt;""""))))-1), IF('To Order'!$A1605=COL"&amp;"UMNS($A1605:H1624), H1604&amp;RIGHT(INDIRECT(ADDRESS(ROW(H1605)-1, 'From Order'!$A1605)), 1), H1604))"),"")</f>
        <v/>
      </c>
      <c r="I1605" s="2" t="str">
        <f>IFERROR(__xludf.DUMMYFUNCTION("IF('From Order'!$A1605=COLUMNS($A1605:I1624), LEFT(INDEX(FILTER(I$1:I1604, I$1:I1604&lt;&gt;""""),COUNTA(FILTER(I$1:I1604, I$1:I1604&lt;&gt;""""))), LEN(INDEX(FILTER(I$1:I1604, I$1:I1604&lt;&gt;""""),COUNTA(FILTER(I$1:I1604, I$1:I1604&lt;&gt;""""))))-1), IF('To Order'!$A1605=COL"&amp;"UMNS($A1605:I1624), I1604&amp;RIGHT(INDIRECT(ADDRESS(ROW(I1605)-1, 'From Order'!$A1605)), 1), I1604))"),"")</f>
        <v/>
      </c>
    </row>
    <row r="1606">
      <c r="A1606" s="2" t="str">
        <f>IFERROR(__xludf.DUMMYFUNCTION("IF('From Order'!$A1606=COLUMNS($A1606:A1625), LEFT(INDEX(FILTER(A$1:A1605, A$1:A1605&lt;&gt;""""),COUNTA(FILTER(A$1:A1605, A$1:A1605&lt;&gt;""""))), LEN(INDEX(FILTER(A$1:A1605, A$1:A1605&lt;&gt;""""),COUNTA(FILTER(A$1:A1605, A$1:A1605&lt;&gt;""""))))-1), IF('To Order'!$A1606=COL"&amp;"UMNS($A1606:A1625), A1605&amp;RIGHT(INDIRECT(ADDRESS(ROW(A1606)-1, 'From Order'!$A1606)), 1), A1605))"),"Z")</f>
        <v>Z</v>
      </c>
      <c r="B1606" s="2" t="str">
        <f>IFERROR(__xludf.DUMMYFUNCTION("IF('From Order'!$A1606=COLUMNS($A1606:B1625), LEFT(INDEX(FILTER(B$1:B1605, B$1:B1605&lt;&gt;""""),COUNTA(FILTER(B$1:B1605, B$1:B1605&lt;&gt;""""))), LEN(INDEX(FILTER(B$1:B1605, B$1:B1605&lt;&gt;""""),COUNTA(FILTER(B$1:B1605, B$1:B1605&lt;&gt;""""))))-1), IF('To Order'!$A1606=COL"&amp;"UMNS($A1606:B1625), B1605&amp;RIGHT(INDIRECT(ADDRESS(ROW(B1606)-1, 'From Order'!$A1606)), 1), B1605))"),"RBRTVCDRHZMTDLDSRRVBMJDMWZCSF")</f>
        <v>RBRTVCDRHZMTDLDSRRVBMJDMWZCSF</v>
      </c>
      <c r="C1606" s="2" t="str">
        <f>IFERROR(__xludf.DUMMYFUNCTION("IF('From Order'!$A1606=COLUMNS($A1606:C1625), LEFT(INDEX(FILTER(C$1:C1605, C$1:C1605&lt;&gt;""""),COUNTA(FILTER(C$1:C1605, C$1:C1605&lt;&gt;""""))), LEN(INDEX(FILTER(C$1:C1605, C$1:C1605&lt;&gt;""""),COUNTA(FILTER(C$1:C1605, C$1:C1605&lt;&gt;""""))))-1), IF('To Order'!$A1606=COL"&amp;"UMNS($A1606:C1625), C1605&amp;RIGHT(INDIRECT(ADDRESS(ROW(C1606)-1, 'From Order'!$A1606)), 1), C1605))"),"TQVQJPP")</f>
        <v>TQVQJPP</v>
      </c>
      <c r="D1606" s="2" t="str">
        <f>IFERROR(__xludf.DUMMYFUNCTION("IF('From Order'!$A1606=COLUMNS($A1606:D1625), LEFT(INDEX(FILTER(D$1:D1605, D$1:D1605&lt;&gt;""""),COUNTA(FILTER(D$1:D1605, D$1:D1605&lt;&gt;""""))), LEN(INDEX(FILTER(D$1:D1605, D$1:D1605&lt;&gt;""""),COUNTA(FILTER(D$1:D1605, D$1:D1605&lt;&gt;""""))))-1), IF('To Order'!$A1606=COL"&amp;"UMNS($A1606:D1625), D1605&amp;RIGHT(INDIRECT(ADDRESS(ROW(D1606)-1, 'From Order'!$A1606)), 1), D1605))"),"CG")</f>
        <v>CG</v>
      </c>
      <c r="E1606" s="2" t="str">
        <f>IFERROR(__xludf.DUMMYFUNCTION("IF('From Order'!$A1606=COLUMNS($A1606:E1625), LEFT(INDEX(FILTER(E$1:E1605, E$1:E1605&lt;&gt;""""),COUNTA(FILTER(E$1:E1605, E$1:E1605&lt;&gt;""""))), LEN(INDEX(FILTER(E$1:E1605, E$1:E1605&lt;&gt;""""),COUNTA(FILTER(E$1:E1605, E$1:E1605&lt;&gt;""""))))-1), IF('To Order'!$A1606=COL"&amp;"UMNS($A1606:E1625), E1605&amp;RIGHT(INDIRECT(ADDRESS(ROW(E1606)-1, 'From Order'!$A1606)), 1), E1605))"),"")</f>
        <v/>
      </c>
      <c r="F1606" s="2" t="str">
        <f>IFERROR(__xludf.DUMMYFUNCTION("IF('From Order'!$A1606=COLUMNS($A1606:F1625), LEFT(INDEX(FILTER(F$1:F1605, F$1:F1605&lt;&gt;""""),COUNTA(FILTER(F$1:F1605, F$1:F1605&lt;&gt;""""))), LEN(INDEX(FILTER(F$1:F1605, F$1:F1605&lt;&gt;""""),COUNTA(FILTER(F$1:F1605, F$1:F1605&lt;&gt;""""))))-1), IF('To Order'!$A1606=COL"&amp;"UMNS($A1606:F1625), F1605&amp;RIGHT(INDIRECT(ADDRESS(ROW(F1606)-1, 'From Order'!$A1606)), 1), F1605))"),"")</f>
        <v/>
      </c>
      <c r="G1606" s="2" t="str">
        <f>IFERROR(__xludf.DUMMYFUNCTION("IF('From Order'!$A1606=COLUMNS($A1606:G1625), LEFT(INDEX(FILTER(G$1:G1605, G$1:G1605&lt;&gt;""""),COUNTA(FILTER(G$1:G1605, G$1:G1605&lt;&gt;""""))), LEN(INDEX(FILTER(G$1:G1605, G$1:G1605&lt;&gt;""""),COUNTA(FILTER(G$1:G1605, G$1:G1605&lt;&gt;""""))))-1), IF('To Order'!$A1606=COL"&amp;"UMNS($A1606:G1625), G1605&amp;RIGHT(INDIRECT(ADDRESS(ROW(G1606)-1, 'From Order'!$A1606)), 1), G1605))"),"SSTDDWLLFBPTTJGBH")</f>
        <v>SSTDDWLLFBPTTJGBH</v>
      </c>
      <c r="H1606" s="2" t="str">
        <f>IFERROR(__xludf.DUMMYFUNCTION("IF('From Order'!$A1606=COLUMNS($A1606:H1625), LEFT(INDEX(FILTER(H$1:H1605, H$1:H1605&lt;&gt;""""),COUNTA(FILTER(H$1:H1605, H$1:H1605&lt;&gt;""""))), LEN(INDEX(FILTER(H$1:H1605, H$1:H1605&lt;&gt;""""),COUNTA(FILTER(H$1:H1605, H$1:H1605&lt;&gt;""""))))-1), IF('To Order'!$A1606=COL"&amp;"UMNS($A1606:H1625), H1605&amp;RIGHT(INDIRECT(ADDRESS(ROW(H1606)-1, 'From Order'!$A1606)), 1), H1605))"),"")</f>
        <v/>
      </c>
      <c r="I1606" s="2" t="str">
        <f>IFERROR(__xludf.DUMMYFUNCTION("IF('From Order'!$A1606=COLUMNS($A1606:I1625), LEFT(INDEX(FILTER(I$1:I1605, I$1:I1605&lt;&gt;""""),COUNTA(FILTER(I$1:I1605, I$1:I1605&lt;&gt;""""))), LEN(INDEX(FILTER(I$1:I1605, I$1:I1605&lt;&gt;""""),COUNTA(FILTER(I$1:I1605, I$1:I1605&lt;&gt;""""))))-1), IF('To Order'!$A1606=COL"&amp;"UMNS($A1606:I1625), I1605&amp;RIGHT(INDIRECT(ADDRESS(ROW(I1606)-1, 'From Order'!$A1606)), 1), I1605))"),"")</f>
        <v/>
      </c>
    </row>
    <row r="1607">
      <c r="A1607" s="2" t="str">
        <f>IFERROR(__xludf.DUMMYFUNCTION("IF('From Order'!$A1607=COLUMNS($A1607:A1626), LEFT(INDEX(FILTER(A$1:A1606, A$1:A1606&lt;&gt;""""),COUNTA(FILTER(A$1:A1606, A$1:A1606&lt;&gt;""""))), LEN(INDEX(FILTER(A$1:A1606, A$1:A1606&lt;&gt;""""),COUNTA(FILTER(A$1:A1606, A$1:A1606&lt;&gt;""""))))-1), IF('To Order'!$A1607=COL"&amp;"UMNS($A1607:A1626), A1606&amp;RIGHT(INDIRECT(ADDRESS(ROW(A1607)-1, 'From Order'!$A1607)), 1), A1606))"),"Z")</f>
        <v>Z</v>
      </c>
      <c r="B1607" s="2" t="str">
        <f>IFERROR(__xludf.DUMMYFUNCTION("IF('From Order'!$A1607=COLUMNS($A1607:B1626), LEFT(INDEX(FILTER(B$1:B1606, B$1:B1606&lt;&gt;""""),COUNTA(FILTER(B$1:B1606, B$1:B1606&lt;&gt;""""))), LEN(INDEX(FILTER(B$1:B1606, B$1:B1606&lt;&gt;""""),COUNTA(FILTER(B$1:B1606, B$1:B1606&lt;&gt;""""))))-1), IF('To Order'!$A1607=COL"&amp;"UMNS($A1607:B1626), B1606&amp;RIGHT(INDIRECT(ADDRESS(ROW(B1607)-1, 'From Order'!$A1607)), 1), B1606))"),"RBRTVCDRHZMTDLDSRRVBMJDMWZCSFH")</f>
        <v>RBRTVCDRHZMTDLDSRRVBMJDMWZCSFH</v>
      </c>
      <c r="C1607" s="2" t="str">
        <f>IFERROR(__xludf.DUMMYFUNCTION("IF('From Order'!$A1607=COLUMNS($A1607:C1626), LEFT(INDEX(FILTER(C$1:C1606, C$1:C1606&lt;&gt;""""),COUNTA(FILTER(C$1:C1606, C$1:C1606&lt;&gt;""""))), LEN(INDEX(FILTER(C$1:C1606, C$1:C1606&lt;&gt;""""),COUNTA(FILTER(C$1:C1606, C$1:C1606&lt;&gt;""""))))-1), IF('To Order'!$A1607=COL"&amp;"UMNS($A1607:C1626), C1606&amp;RIGHT(INDIRECT(ADDRESS(ROW(C1607)-1, 'From Order'!$A1607)), 1), C1606))"),"TQVQJPP")</f>
        <v>TQVQJPP</v>
      </c>
      <c r="D1607" s="2" t="str">
        <f>IFERROR(__xludf.DUMMYFUNCTION("IF('From Order'!$A1607=COLUMNS($A1607:D1626), LEFT(INDEX(FILTER(D$1:D1606, D$1:D1606&lt;&gt;""""),COUNTA(FILTER(D$1:D1606, D$1:D1606&lt;&gt;""""))), LEN(INDEX(FILTER(D$1:D1606, D$1:D1606&lt;&gt;""""),COUNTA(FILTER(D$1:D1606, D$1:D1606&lt;&gt;""""))))-1), IF('To Order'!$A1607=COL"&amp;"UMNS($A1607:D1626), D1606&amp;RIGHT(INDIRECT(ADDRESS(ROW(D1607)-1, 'From Order'!$A1607)), 1), D1606))"),"CG")</f>
        <v>CG</v>
      </c>
      <c r="E1607" s="2" t="str">
        <f>IFERROR(__xludf.DUMMYFUNCTION("IF('From Order'!$A1607=COLUMNS($A1607:E1626), LEFT(INDEX(FILTER(E$1:E1606, E$1:E1606&lt;&gt;""""),COUNTA(FILTER(E$1:E1606, E$1:E1606&lt;&gt;""""))), LEN(INDEX(FILTER(E$1:E1606, E$1:E1606&lt;&gt;""""),COUNTA(FILTER(E$1:E1606, E$1:E1606&lt;&gt;""""))))-1), IF('To Order'!$A1607=COL"&amp;"UMNS($A1607:E1626), E1606&amp;RIGHT(INDIRECT(ADDRESS(ROW(E1607)-1, 'From Order'!$A1607)), 1), E1606))"),"")</f>
        <v/>
      </c>
      <c r="F1607" s="2" t="str">
        <f>IFERROR(__xludf.DUMMYFUNCTION("IF('From Order'!$A1607=COLUMNS($A1607:F1626), LEFT(INDEX(FILTER(F$1:F1606, F$1:F1606&lt;&gt;""""),COUNTA(FILTER(F$1:F1606, F$1:F1606&lt;&gt;""""))), LEN(INDEX(FILTER(F$1:F1606, F$1:F1606&lt;&gt;""""),COUNTA(FILTER(F$1:F1606, F$1:F1606&lt;&gt;""""))))-1), IF('To Order'!$A1607=COL"&amp;"UMNS($A1607:F1626), F1606&amp;RIGHT(INDIRECT(ADDRESS(ROW(F1607)-1, 'From Order'!$A1607)), 1), F1606))"),"")</f>
        <v/>
      </c>
      <c r="G1607" s="2" t="str">
        <f>IFERROR(__xludf.DUMMYFUNCTION("IF('From Order'!$A1607=COLUMNS($A1607:G1626), LEFT(INDEX(FILTER(G$1:G1606, G$1:G1606&lt;&gt;""""),COUNTA(FILTER(G$1:G1606, G$1:G1606&lt;&gt;""""))), LEN(INDEX(FILTER(G$1:G1606, G$1:G1606&lt;&gt;""""),COUNTA(FILTER(G$1:G1606, G$1:G1606&lt;&gt;""""))))-1), IF('To Order'!$A1607=COL"&amp;"UMNS($A1607:G1626), G1606&amp;RIGHT(INDIRECT(ADDRESS(ROW(G1607)-1, 'From Order'!$A1607)), 1), G1606))"),"SSTDDWLLFBPTTJGB")</f>
        <v>SSTDDWLLFBPTTJGB</v>
      </c>
      <c r="H1607" s="2" t="str">
        <f>IFERROR(__xludf.DUMMYFUNCTION("IF('From Order'!$A1607=COLUMNS($A1607:H1626), LEFT(INDEX(FILTER(H$1:H1606, H$1:H1606&lt;&gt;""""),COUNTA(FILTER(H$1:H1606, H$1:H1606&lt;&gt;""""))), LEN(INDEX(FILTER(H$1:H1606, H$1:H1606&lt;&gt;""""),COUNTA(FILTER(H$1:H1606, H$1:H1606&lt;&gt;""""))))-1), IF('To Order'!$A1607=COL"&amp;"UMNS($A1607:H1626), H1606&amp;RIGHT(INDIRECT(ADDRESS(ROW(H1607)-1, 'From Order'!$A1607)), 1), H1606))"),"")</f>
        <v/>
      </c>
      <c r="I1607" s="2" t="str">
        <f>IFERROR(__xludf.DUMMYFUNCTION("IF('From Order'!$A1607=COLUMNS($A1607:I1626), LEFT(INDEX(FILTER(I$1:I1606, I$1:I1606&lt;&gt;""""),COUNTA(FILTER(I$1:I1606, I$1:I1606&lt;&gt;""""))), LEN(INDEX(FILTER(I$1:I1606, I$1:I1606&lt;&gt;""""),COUNTA(FILTER(I$1:I1606, I$1:I1606&lt;&gt;""""))))-1), IF('To Order'!$A1607=COL"&amp;"UMNS($A1607:I1626), I1606&amp;RIGHT(INDIRECT(ADDRESS(ROW(I1607)-1, 'From Order'!$A1607)), 1), I1606))"),"")</f>
        <v/>
      </c>
    </row>
    <row r="1608">
      <c r="A1608" s="2" t="str">
        <f>IFERROR(__xludf.DUMMYFUNCTION("IF('From Order'!$A1608=COLUMNS($A1608:A1627), LEFT(INDEX(FILTER(A$1:A1607, A$1:A1607&lt;&gt;""""),COUNTA(FILTER(A$1:A1607, A$1:A1607&lt;&gt;""""))), LEN(INDEX(FILTER(A$1:A1607, A$1:A1607&lt;&gt;""""),COUNTA(FILTER(A$1:A1607, A$1:A1607&lt;&gt;""""))))-1), IF('To Order'!$A1608=COL"&amp;"UMNS($A1608:A1627), A1607&amp;RIGHT(INDIRECT(ADDRESS(ROW(A1608)-1, 'From Order'!$A1608)), 1), A1607))"),"Z")</f>
        <v>Z</v>
      </c>
      <c r="B1608" s="2" t="str">
        <f>IFERROR(__xludf.DUMMYFUNCTION("IF('From Order'!$A1608=COLUMNS($A1608:B1627), LEFT(INDEX(FILTER(B$1:B1607, B$1:B1607&lt;&gt;""""),COUNTA(FILTER(B$1:B1607, B$1:B1607&lt;&gt;""""))), LEN(INDEX(FILTER(B$1:B1607, B$1:B1607&lt;&gt;""""),COUNTA(FILTER(B$1:B1607, B$1:B1607&lt;&gt;""""))))-1), IF('To Order'!$A1608=COL"&amp;"UMNS($A1608:B1627), B1607&amp;RIGHT(INDIRECT(ADDRESS(ROW(B1608)-1, 'From Order'!$A1608)), 1), B1607))"),"RBRTVCDRHZMTDLDSRRVBMJDMWZCSFHB")</f>
        <v>RBRTVCDRHZMTDLDSRRVBMJDMWZCSFHB</v>
      </c>
      <c r="C1608" s="2" t="str">
        <f>IFERROR(__xludf.DUMMYFUNCTION("IF('From Order'!$A1608=COLUMNS($A1608:C1627), LEFT(INDEX(FILTER(C$1:C1607, C$1:C1607&lt;&gt;""""),COUNTA(FILTER(C$1:C1607, C$1:C1607&lt;&gt;""""))), LEN(INDEX(FILTER(C$1:C1607, C$1:C1607&lt;&gt;""""),COUNTA(FILTER(C$1:C1607, C$1:C1607&lt;&gt;""""))))-1), IF('To Order'!$A1608=COL"&amp;"UMNS($A1608:C1627), C1607&amp;RIGHT(INDIRECT(ADDRESS(ROW(C1608)-1, 'From Order'!$A1608)), 1), C1607))"),"TQVQJPP")</f>
        <v>TQVQJPP</v>
      </c>
      <c r="D1608" s="2" t="str">
        <f>IFERROR(__xludf.DUMMYFUNCTION("IF('From Order'!$A1608=COLUMNS($A1608:D1627), LEFT(INDEX(FILTER(D$1:D1607, D$1:D1607&lt;&gt;""""),COUNTA(FILTER(D$1:D1607, D$1:D1607&lt;&gt;""""))), LEN(INDEX(FILTER(D$1:D1607, D$1:D1607&lt;&gt;""""),COUNTA(FILTER(D$1:D1607, D$1:D1607&lt;&gt;""""))))-1), IF('To Order'!$A1608=COL"&amp;"UMNS($A1608:D1627), D1607&amp;RIGHT(INDIRECT(ADDRESS(ROW(D1608)-1, 'From Order'!$A1608)), 1), D1607))"),"CG")</f>
        <v>CG</v>
      </c>
      <c r="E1608" s="2" t="str">
        <f>IFERROR(__xludf.DUMMYFUNCTION("IF('From Order'!$A1608=COLUMNS($A1608:E1627), LEFT(INDEX(FILTER(E$1:E1607, E$1:E1607&lt;&gt;""""),COUNTA(FILTER(E$1:E1607, E$1:E1607&lt;&gt;""""))), LEN(INDEX(FILTER(E$1:E1607, E$1:E1607&lt;&gt;""""),COUNTA(FILTER(E$1:E1607, E$1:E1607&lt;&gt;""""))))-1), IF('To Order'!$A1608=COL"&amp;"UMNS($A1608:E1627), E1607&amp;RIGHT(INDIRECT(ADDRESS(ROW(E1608)-1, 'From Order'!$A1608)), 1), E1607))"),"")</f>
        <v/>
      </c>
      <c r="F1608" s="2" t="str">
        <f>IFERROR(__xludf.DUMMYFUNCTION("IF('From Order'!$A1608=COLUMNS($A1608:F1627), LEFT(INDEX(FILTER(F$1:F1607, F$1:F1607&lt;&gt;""""),COUNTA(FILTER(F$1:F1607, F$1:F1607&lt;&gt;""""))), LEN(INDEX(FILTER(F$1:F1607, F$1:F1607&lt;&gt;""""),COUNTA(FILTER(F$1:F1607, F$1:F1607&lt;&gt;""""))))-1), IF('To Order'!$A1608=COL"&amp;"UMNS($A1608:F1627), F1607&amp;RIGHT(INDIRECT(ADDRESS(ROW(F1608)-1, 'From Order'!$A1608)), 1), F1607))"),"")</f>
        <v/>
      </c>
      <c r="G1608" s="2" t="str">
        <f>IFERROR(__xludf.DUMMYFUNCTION("IF('From Order'!$A1608=COLUMNS($A1608:G1627), LEFT(INDEX(FILTER(G$1:G1607, G$1:G1607&lt;&gt;""""),COUNTA(FILTER(G$1:G1607, G$1:G1607&lt;&gt;""""))), LEN(INDEX(FILTER(G$1:G1607, G$1:G1607&lt;&gt;""""),COUNTA(FILTER(G$1:G1607, G$1:G1607&lt;&gt;""""))))-1), IF('To Order'!$A1608=COL"&amp;"UMNS($A1608:G1627), G1607&amp;RIGHT(INDIRECT(ADDRESS(ROW(G1608)-1, 'From Order'!$A1608)), 1), G1607))"),"SSTDDWLLFBPTTJG")</f>
        <v>SSTDDWLLFBPTTJG</v>
      </c>
      <c r="H1608" s="2" t="str">
        <f>IFERROR(__xludf.DUMMYFUNCTION("IF('From Order'!$A1608=COLUMNS($A1608:H1627), LEFT(INDEX(FILTER(H$1:H1607, H$1:H1607&lt;&gt;""""),COUNTA(FILTER(H$1:H1607, H$1:H1607&lt;&gt;""""))), LEN(INDEX(FILTER(H$1:H1607, H$1:H1607&lt;&gt;""""),COUNTA(FILTER(H$1:H1607, H$1:H1607&lt;&gt;""""))))-1), IF('To Order'!$A1608=COL"&amp;"UMNS($A1608:H1627), H1607&amp;RIGHT(INDIRECT(ADDRESS(ROW(H1608)-1, 'From Order'!$A1608)), 1), H1607))"),"")</f>
        <v/>
      </c>
      <c r="I1608" s="2" t="str">
        <f>IFERROR(__xludf.DUMMYFUNCTION("IF('From Order'!$A1608=COLUMNS($A1608:I1627), LEFT(INDEX(FILTER(I$1:I1607, I$1:I1607&lt;&gt;""""),COUNTA(FILTER(I$1:I1607, I$1:I1607&lt;&gt;""""))), LEN(INDEX(FILTER(I$1:I1607, I$1:I1607&lt;&gt;""""),COUNTA(FILTER(I$1:I1607, I$1:I1607&lt;&gt;""""))))-1), IF('To Order'!$A1608=COL"&amp;"UMNS($A1608:I1627), I1607&amp;RIGHT(INDIRECT(ADDRESS(ROW(I1608)-1, 'From Order'!$A1608)), 1), I1607))"),"")</f>
        <v/>
      </c>
    </row>
    <row r="1609">
      <c r="A1609" s="2" t="str">
        <f>IFERROR(__xludf.DUMMYFUNCTION("IF('From Order'!$A1609=COLUMNS($A1609:A1628), LEFT(INDEX(FILTER(A$1:A1608, A$1:A1608&lt;&gt;""""),COUNTA(FILTER(A$1:A1608, A$1:A1608&lt;&gt;""""))), LEN(INDEX(FILTER(A$1:A1608, A$1:A1608&lt;&gt;""""),COUNTA(FILTER(A$1:A1608, A$1:A1608&lt;&gt;""""))))-1), IF('To Order'!$A1609=COL"&amp;"UMNS($A1609:A1628), A1608&amp;RIGHT(INDIRECT(ADDRESS(ROW(A1609)-1, 'From Order'!$A1609)), 1), A1608))"),"Z")</f>
        <v>Z</v>
      </c>
      <c r="B1609" s="2" t="str">
        <f>IFERROR(__xludf.DUMMYFUNCTION("IF('From Order'!$A1609=COLUMNS($A1609:B1628), LEFT(INDEX(FILTER(B$1:B1608, B$1:B1608&lt;&gt;""""),COUNTA(FILTER(B$1:B1608, B$1:B1608&lt;&gt;""""))), LEN(INDEX(FILTER(B$1:B1608, B$1:B1608&lt;&gt;""""),COUNTA(FILTER(B$1:B1608, B$1:B1608&lt;&gt;""""))))-1), IF('To Order'!$A1609=COL"&amp;"UMNS($A1609:B1628), B1608&amp;RIGHT(INDIRECT(ADDRESS(ROW(B1609)-1, 'From Order'!$A1609)), 1), B1608))"),"RBRTVCDRHZMTDLDSRRVBMJDMWZCSFHBG")</f>
        <v>RBRTVCDRHZMTDLDSRRVBMJDMWZCSFHBG</v>
      </c>
      <c r="C1609" s="2" t="str">
        <f>IFERROR(__xludf.DUMMYFUNCTION("IF('From Order'!$A1609=COLUMNS($A1609:C1628), LEFT(INDEX(FILTER(C$1:C1608, C$1:C1608&lt;&gt;""""),COUNTA(FILTER(C$1:C1608, C$1:C1608&lt;&gt;""""))), LEN(INDEX(FILTER(C$1:C1608, C$1:C1608&lt;&gt;""""),COUNTA(FILTER(C$1:C1608, C$1:C1608&lt;&gt;""""))))-1), IF('To Order'!$A1609=COL"&amp;"UMNS($A1609:C1628), C1608&amp;RIGHT(INDIRECT(ADDRESS(ROW(C1609)-1, 'From Order'!$A1609)), 1), C1608))"),"TQVQJPP")</f>
        <v>TQVQJPP</v>
      </c>
      <c r="D1609" s="2" t="str">
        <f>IFERROR(__xludf.DUMMYFUNCTION("IF('From Order'!$A1609=COLUMNS($A1609:D1628), LEFT(INDEX(FILTER(D$1:D1608, D$1:D1608&lt;&gt;""""),COUNTA(FILTER(D$1:D1608, D$1:D1608&lt;&gt;""""))), LEN(INDEX(FILTER(D$1:D1608, D$1:D1608&lt;&gt;""""),COUNTA(FILTER(D$1:D1608, D$1:D1608&lt;&gt;""""))))-1), IF('To Order'!$A1609=COL"&amp;"UMNS($A1609:D1628), D1608&amp;RIGHT(INDIRECT(ADDRESS(ROW(D1609)-1, 'From Order'!$A1609)), 1), D1608))"),"CG")</f>
        <v>CG</v>
      </c>
      <c r="E1609" s="2" t="str">
        <f>IFERROR(__xludf.DUMMYFUNCTION("IF('From Order'!$A1609=COLUMNS($A1609:E1628), LEFT(INDEX(FILTER(E$1:E1608, E$1:E1608&lt;&gt;""""),COUNTA(FILTER(E$1:E1608, E$1:E1608&lt;&gt;""""))), LEN(INDEX(FILTER(E$1:E1608, E$1:E1608&lt;&gt;""""),COUNTA(FILTER(E$1:E1608, E$1:E1608&lt;&gt;""""))))-1), IF('To Order'!$A1609=COL"&amp;"UMNS($A1609:E1628), E1608&amp;RIGHT(INDIRECT(ADDRESS(ROW(E1609)-1, 'From Order'!$A1609)), 1), E1608))"),"")</f>
        <v/>
      </c>
      <c r="F1609" s="2" t="str">
        <f>IFERROR(__xludf.DUMMYFUNCTION("IF('From Order'!$A1609=COLUMNS($A1609:F1628), LEFT(INDEX(FILTER(F$1:F1608, F$1:F1608&lt;&gt;""""),COUNTA(FILTER(F$1:F1608, F$1:F1608&lt;&gt;""""))), LEN(INDEX(FILTER(F$1:F1608, F$1:F1608&lt;&gt;""""),COUNTA(FILTER(F$1:F1608, F$1:F1608&lt;&gt;""""))))-1), IF('To Order'!$A1609=COL"&amp;"UMNS($A1609:F1628), F1608&amp;RIGHT(INDIRECT(ADDRESS(ROW(F1609)-1, 'From Order'!$A1609)), 1), F1608))"),"")</f>
        <v/>
      </c>
      <c r="G1609" s="2" t="str">
        <f>IFERROR(__xludf.DUMMYFUNCTION("IF('From Order'!$A1609=COLUMNS($A1609:G1628), LEFT(INDEX(FILTER(G$1:G1608, G$1:G1608&lt;&gt;""""),COUNTA(FILTER(G$1:G1608, G$1:G1608&lt;&gt;""""))), LEN(INDEX(FILTER(G$1:G1608, G$1:G1608&lt;&gt;""""),COUNTA(FILTER(G$1:G1608, G$1:G1608&lt;&gt;""""))))-1), IF('To Order'!$A1609=COL"&amp;"UMNS($A1609:G1628), G1608&amp;RIGHT(INDIRECT(ADDRESS(ROW(G1609)-1, 'From Order'!$A1609)), 1), G1608))"),"SSTDDWLLFBPTTJ")</f>
        <v>SSTDDWLLFBPTTJ</v>
      </c>
      <c r="H1609" s="2" t="str">
        <f>IFERROR(__xludf.DUMMYFUNCTION("IF('From Order'!$A1609=COLUMNS($A1609:H1628), LEFT(INDEX(FILTER(H$1:H1608, H$1:H1608&lt;&gt;""""),COUNTA(FILTER(H$1:H1608, H$1:H1608&lt;&gt;""""))), LEN(INDEX(FILTER(H$1:H1608, H$1:H1608&lt;&gt;""""),COUNTA(FILTER(H$1:H1608, H$1:H1608&lt;&gt;""""))))-1), IF('To Order'!$A1609=COL"&amp;"UMNS($A1609:H1628), H1608&amp;RIGHT(INDIRECT(ADDRESS(ROW(H1609)-1, 'From Order'!$A1609)), 1), H1608))"),"")</f>
        <v/>
      </c>
      <c r="I1609" s="2" t="str">
        <f>IFERROR(__xludf.DUMMYFUNCTION("IF('From Order'!$A1609=COLUMNS($A1609:I1628), LEFT(INDEX(FILTER(I$1:I1608, I$1:I1608&lt;&gt;""""),COUNTA(FILTER(I$1:I1608, I$1:I1608&lt;&gt;""""))), LEN(INDEX(FILTER(I$1:I1608, I$1:I1608&lt;&gt;""""),COUNTA(FILTER(I$1:I1608, I$1:I1608&lt;&gt;""""))))-1), IF('To Order'!$A1609=COL"&amp;"UMNS($A1609:I1628), I1608&amp;RIGHT(INDIRECT(ADDRESS(ROW(I1609)-1, 'From Order'!$A1609)), 1), I1608))"),"")</f>
        <v/>
      </c>
    </row>
    <row r="1610">
      <c r="A1610" s="2" t="str">
        <f>IFERROR(__xludf.DUMMYFUNCTION("IF('From Order'!$A1610=COLUMNS($A1610:A1629), LEFT(INDEX(FILTER(A$1:A1609, A$1:A1609&lt;&gt;""""),COUNTA(FILTER(A$1:A1609, A$1:A1609&lt;&gt;""""))), LEN(INDEX(FILTER(A$1:A1609, A$1:A1609&lt;&gt;""""),COUNTA(FILTER(A$1:A1609, A$1:A1609&lt;&gt;""""))))-1), IF('To Order'!$A1610=COL"&amp;"UMNS($A1610:A1629), A1609&amp;RIGHT(INDIRECT(ADDRESS(ROW(A1610)-1, 'From Order'!$A1610)), 1), A1609))"),"Z")</f>
        <v>Z</v>
      </c>
      <c r="B1610" s="2" t="str">
        <f>IFERROR(__xludf.DUMMYFUNCTION("IF('From Order'!$A1610=COLUMNS($A1610:B1629), LEFT(INDEX(FILTER(B$1:B1609, B$1:B1609&lt;&gt;""""),COUNTA(FILTER(B$1:B1609, B$1:B1609&lt;&gt;""""))), LEN(INDEX(FILTER(B$1:B1609, B$1:B1609&lt;&gt;""""),COUNTA(FILTER(B$1:B1609, B$1:B1609&lt;&gt;""""))))-1), IF('To Order'!$A1610=COL"&amp;"UMNS($A1610:B1629), B1609&amp;RIGHT(INDIRECT(ADDRESS(ROW(B1610)-1, 'From Order'!$A1610)), 1), B1609))"),"RBRTVCDRHZMTDLDSRRVBMJDMWZCSFHBGJ")</f>
        <v>RBRTVCDRHZMTDLDSRRVBMJDMWZCSFHBGJ</v>
      </c>
      <c r="C1610" s="2" t="str">
        <f>IFERROR(__xludf.DUMMYFUNCTION("IF('From Order'!$A1610=COLUMNS($A1610:C1629), LEFT(INDEX(FILTER(C$1:C1609, C$1:C1609&lt;&gt;""""),COUNTA(FILTER(C$1:C1609, C$1:C1609&lt;&gt;""""))), LEN(INDEX(FILTER(C$1:C1609, C$1:C1609&lt;&gt;""""),COUNTA(FILTER(C$1:C1609, C$1:C1609&lt;&gt;""""))))-1), IF('To Order'!$A1610=COL"&amp;"UMNS($A1610:C1629), C1609&amp;RIGHT(INDIRECT(ADDRESS(ROW(C1610)-1, 'From Order'!$A1610)), 1), C1609))"),"TQVQJPP")</f>
        <v>TQVQJPP</v>
      </c>
      <c r="D1610" s="2" t="str">
        <f>IFERROR(__xludf.DUMMYFUNCTION("IF('From Order'!$A1610=COLUMNS($A1610:D1629), LEFT(INDEX(FILTER(D$1:D1609, D$1:D1609&lt;&gt;""""),COUNTA(FILTER(D$1:D1609, D$1:D1609&lt;&gt;""""))), LEN(INDEX(FILTER(D$1:D1609, D$1:D1609&lt;&gt;""""),COUNTA(FILTER(D$1:D1609, D$1:D1609&lt;&gt;""""))))-1), IF('To Order'!$A1610=COL"&amp;"UMNS($A1610:D1629), D1609&amp;RIGHT(INDIRECT(ADDRESS(ROW(D1610)-1, 'From Order'!$A1610)), 1), D1609))"),"CG")</f>
        <v>CG</v>
      </c>
      <c r="E1610" s="2" t="str">
        <f>IFERROR(__xludf.DUMMYFUNCTION("IF('From Order'!$A1610=COLUMNS($A1610:E1629), LEFT(INDEX(FILTER(E$1:E1609, E$1:E1609&lt;&gt;""""),COUNTA(FILTER(E$1:E1609, E$1:E1609&lt;&gt;""""))), LEN(INDEX(FILTER(E$1:E1609, E$1:E1609&lt;&gt;""""),COUNTA(FILTER(E$1:E1609, E$1:E1609&lt;&gt;""""))))-1), IF('To Order'!$A1610=COL"&amp;"UMNS($A1610:E1629), E1609&amp;RIGHT(INDIRECT(ADDRESS(ROW(E1610)-1, 'From Order'!$A1610)), 1), E1609))"),"")</f>
        <v/>
      </c>
      <c r="F1610" s="2" t="str">
        <f>IFERROR(__xludf.DUMMYFUNCTION("IF('From Order'!$A1610=COLUMNS($A1610:F1629), LEFT(INDEX(FILTER(F$1:F1609, F$1:F1609&lt;&gt;""""),COUNTA(FILTER(F$1:F1609, F$1:F1609&lt;&gt;""""))), LEN(INDEX(FILTER(F$1:F1609, F$1:F1609&lt;&gt;""""),COUNTA(FILTER(F$1:F1609, F$1:F1609&lt;&gt;""""))))-1), IF('To Order'!$A1610=COL"&amp;"UMNS($A1610:F1629), F1609&amp;RIGHT(INDIRECT(ADDRESS(ROW(F1610)-1, 'From Order'!$A1610)), 1), F1609))"),"")</f>
        <v/>
      </c>
      <c r="G1610" s="2" t="str">
        <f>IFERROR(__xludf.DUMMYFUNCTION("IF('From Order'!$A1610=COLUMNS($A1610:G1629), LEFT(INDEX(FILTER(G$1:G1609, G$1:G1609&lt;&gt;""""),COUNTA(FILTER(G$1:G1609, G$1:G1609&lt;&gt;""""))), LEN(INDEX(FILTER(G$1:G1609, G$1:G1609&lt;&gt;""""),COUNTA(FILTER(G$1:G1609, G$1:G1609&lt;&gt;""""))))-1), IF('To Order'!$A1610=COL"&amp;"UMNS($A1610:G1629), G1609&amp;RIGHT(INDIRECT(ADDRESS(ROW(G1610)-1, 'From Order'!$A1610)), 1), G1609))"),"SSTDDWLLFBPTT")</f>
        <v>SSTDDWLLFBPTT</v>
      </c>
      <c r="H1610" s="2" t="str">
        <f>IFERROR(__xludf.DUMMYFUNCTION("IF('From Order'!$A1610=COLUMNS($A1610:H1629), LEFT(INDEX(FILTER(H$1:H1609, H$1:H1609&lt;&gt;""""),COUNTA(FILTER(H$1:H1609, H$1:H1609&lt;&gt;""""))), LEN(INDEX(FILTER(H$1:H1609, H$1:H1609&lt;&gt;""""),COUNTA(FILTER(H$1:H1609, H$1:H1609&lt;&gt;""""))))-1), IF('To Order'!$A1610=COL"&amp;"UMNS($A1610:H1629), H1609&amp;RIGHT(INDIRECT(ADDRESS(ROW(H1610)-1, 'From Order'!$A1610)), 1), H1609))"),"")</f>
        <v/>
      </c>
      <c r="I1610" s="2" t="str">
        <f>IFERROR(__xludf.DUMMYFUNCTION("IF('From Order'!$A1610=COLUMNS($A1610:I1629), LEFT(INDEX(FILTER(I$1:I1609, I$1:I1609&lt;&gt;""""),COUNTA(FILTER(I$1:I1609, I$1:I1609&lt;&gt;""""))), LEN(INDEX(FILTER(I$1:I1609, I$1:I1609&lt;&gt;""""),COUNTA(FILTER(I$1:I1609, I$1:I1609&lt;&gt;""""))))-1), IF('To Order'!$A1610=COL"&amp;"UMNS($A1610:I1629), I1609&amp;RIGHT(INDIRECT(ADDRESS(ROW(I1610)-1, 'From Order'!$A1610)), 1), I1609))"),"")</f>
        <v/>
      </c>
    </row>
    <row r="1611">
      <c r="A1611" s="2" t="str">
        <f>IFERROR(__xludf.DUMMYFUNCTION("IF('From Order'!$A1611=COLUMNS($A1611:A1630), LEFT(INDEX(FILTER(A$1:A1610, A$1:A1610&lt;&gt;""""),COUNTA(FILTER(A$1:A1610, A$1:A1610&lt;&gt;""""))), LEN(INDEX(FILTER(A$1:A1610, A$1:A1610&lt;&gt;""""),COUNTA(FILTER(A$1:A1610, A$1:A1610&lt;&gt;""""))))-1), IF('To Order'!$A1611=COL"&amp;"UMNS($A1611:A1630), A1610&amp;RIGHT(INDIRECT(ADDRESS(ROW(A1611)-1, 'From Order'!$A1611)), 1), A1610))"),"Z")</f>
        <v>Z</v>
      </c>
      <c r="B1611" s="2" t="str">
        <f>IFERROR(__xludf.DUMMYFUNCTION("IF('From Order'!$A1611=COLUMNS($A1611:B1630), LEFT(INDEX(FILTER(B$1:B1610, B$1:B1610&lt;&gt;""""),COUNTA(FILTER(B$1:B1610, B$1:B1610&lt;&gt;""""))), LEN(INDEX(FILTER(B$1:B1610, B$1:B1610&lt;&gt;""""),COUNTA(FILTER(B$1:B1610, B$1:B1610&lt;&gt;""""))))-1), IF('To Order'!$A1611=COL"&amp;"UMNS($A1611:B1630), B1610&amp;RIGHT(INDIRECT(ADDRESS(ROW(B1611)-1, 'From Order'!$A1611)), 1), B1610))"),"RBRTVCDRHZMTDLDSRRVBMJDMWZCSFHBGJT")</f>
        <v>RBRTVCDRHZMTDLDSRRVBMJDMWZCSFHBGJT</v>
      </c>
      <c r="C1611" s="2" t="str">
        <f>IFERROR(__xludf.DUMMYFUNCTION("IF('From Order'!$A1611=COLUMNS($A1611:C1630), LEFT(INDEX(FILTER(C$1:C1610, C$1:C1610&lt;&gt;""""),COUNTA(FILTER(C$1:C1610, C$1:C1610&lt;&gt;""""))), LEN(INDEX(FILTER(C$1:C1610, C$1:C1610&lt;&gt;""""),COUNTA(FILTER(C$1:C1610, C$1:C1610&lt;&gt;""""))))-1), IF('To Order'!$A1611=COL"&amp;"UMNS($A1611:C1630), C1610&amp;RIGHT(INDIRECT(ADDRESS(ROW(C1611)-1, 'From Order'!$A1611)), 1), C1610))"),"TQVQJPP")</f>
        <v>TQVQJPP</v>
      </c>
      <c r="D1611" s="2" t="str">
        <f>IFERROR(__xludf.DUMMYFUNCTION("IF('From Order'!$A1611=COLUMNS($A1611:D1630), LEFT(INDEX(FILTER(D$1:D1610, D$1:D1610&lt;&gt;""""),COUNTA(FILTER(D$1:D1610, D$1:D1610&lt;&gt;""""))), LEN(INDEX(FILTER(D$1:D1610, D$1:D1610&lt;&gt;""""),COUNTA(FILTER(D$1:D1610, D$1:D1610&lt;&gt;""""))))-1), IF('To Order'!$A1611=COL"&amp;"UMNS($A1611:D1630), D1610&amp;RIGHT(INDIRECT(ADDRESS(ROW(D1611)-1, 'From Order'!$A1611)), 1), D1610))"),"CG")</f>
        <v>CG</v>
      </c>
      <c r="E1611" s="2" t="str">
        <f>IFERROR(__xludf.DUMMYFUNCTION("IF('From Order'!$A1611=COLUMNS($A1611:E1630), LEFT(INDEX(FILTER(E$1:E1610, E$1:E1610&lt;&gt;""""),COUNTA(FILTER(E$1:E1610, E$1:E1610&lt;&gt;""""))), LEN(INDEX(FILTER(E$1:E1610, E$1:E1610&lt;&gt;""""),COUNTA(FILTER(E$1:E1610, E$1:E1610&lt;&gt;""""))))-1), IF('To Order'!$A1611=COL"&amp;"UMNS($A1611:E1630), E1610&amp;RIGHT(INDIRECT(ADDRESS(ROW(E1611)-1, 'From Order'!$A1611)), 1), E1610))"),"")</f>
        <v/>
      </c>
      <c r="F1611" s="2" t="str">
        <f>IFERROR(__xludf.DUMMYFUNCTION("IF('From Order'!$A1611=COLUMNS($A1611:F1630), LEFT(INDEX(FILTER(F$1:F1610, F$1:F1610&lt;&gt;""""),COUNTA(FILTER(F$1:F1610, F$1:F1610&lt;&gt;""""))), LEN(INDEX(FILTER(F$1:F1610, F$1:F1610&lt;&gt;""""),COUNTA(FILTER(F$1:F1610, F$1:F1610&lt;&gt;""""))))-1), IF('To Order'!$A1611=COL"&amp;"UMNS($A1611:F1630), F1610&amp;RIGHT(INDIRECT(ADDRESS(ROW(F1611)-1, 'From Order'!$A1611)), 1), F1610))"),"")</f>
        <v/>
      </c>
      <c r="G1611" s="2" t="str">
        <f>IFERROR(__xludf.DUMMYFUNCTION("IF('From Order'!$A1611=COLUMNS($A1611:G1630), LEFT(INDEX(FILTER(G$1:G1610, G$1:G1610&lt;&gt;""""),COUNTA(FILTER(G$1:G1610, G$1:G1610&lt;&gt;""""))), LEN(INDEX(FILTER(G$1:G1610, G$1:G1610&lt;&gt;""""),COUNTA(FILTER(G$1:G1610, G$1:G1610&lt;&gt;""""))))-1), IF('To Order'!$A1611=COL"&amp;"UMNS($A1611:G1630), G1610&amp;RIGHT(INDIRECT(ADDRESS(ROW(G1611)-1, 'From Order'!$A1611)), 1), G1610))"),"SSTDDWLLFBPT")</f>
        <v>SSTDDWLLFBPT</v>
      </c>
      <c r="H1611" s="2" t="str">
        <f>IFERROR(__xludf.DUMMYFUNCTION("IF('From Order'!$A1611=COLUMNS($A1611:H1630), LEFT(INDEX(FILTER(H$1:H1610, H$1:H1610&lt;&gt;""""),COUNTA(FILTER(H$1:H1610, H$1:H1610&lt;&gt;""""))), LEN(INDEX(FILTER(H$1:H1610, H$1:H1610&lt;&gt;""""),COUNTA(FILTER(H$1:H1610, H$1:H1610&lt;&gt;""""))))-1), IF('To Order'!$A1611=COL"&amp;"UMNS($A1611:H1630), H1610&amp;RIGHT(INDIRECT(ADDRESS(ROW(H1611)-1, 'From Order'!$A1611)), 1), H1610))"),"")</f>
        <v/>
      </c>
      <c r="I1611" s="2" t="str">
        <f>IFERROR(__xludf.DUMMYFUNCTION("IF('From Order'!$A1611=COLUMNS($A1611:I1630), LEFT(INDEX(FILTER(I$1:I1610, I$1:I1610&lt;&gt;""""),COUNTA(FILTER(I$1:I1610, I$1:I1610&lt;&gt;""""))), LEN(INDEX(FILTER(I$1:I1610, I$1:I1610&lt;&gt;""""),COUNTA(FILTER(I$1:I1610, I$1:I1610&lt;&gt;""""))))-1), IF('To Order'!$A1611=COL"&amp;"UMNS($A1611:I1630), I1610&amp;RIGHT(INDIRECT(ADDRESS(ROW(I1611)-1, 'From Order'!$A1611)), 1), I1610))"),"")</f>
        <v/>
      </c>
    </row>
    <row r="1612">
      <c r="A1612" s="2" t="str">
        <f>IFERROR(__xludf.DUMMYFUNCTION("IF('From Order'!$A1612=COLUMNS($A1612:A1631), LEFT(INDEX(FILTER(A$1:A1611, A$1:A1611&lt;&gt;""""),COUNTA(FILTER(A$1:A1611, A$1:A1611&lt;&gt;""""))), LEN(INDEX(FILTER(A$1:A1611, A$1:A1611&lt;&gt;""""),COUNTA(FILTER(A$1:A1611, A$1:A1611&lt;&gt;""""))))-1), IF('To Order'!$A1612=COL"&amp;"UMNS($A1612:A1631), A1611&amp;RIGHT(INDIRECT(ADDRESS(ROW(A1612)-1, 'From Order'!$A1612)), 1), A1611))"),"Z")</f>
        <v>Z</v>
      </c>
      <c r="B1612" s="2" t="str">
        <f>IFERROR(__xludf.DUMMYFUNCTION("IF('From Order'!$A1612=COLUMNS($A1612:B1631), LEFT(INDEX(FILTER(B$1:B1611, B$1:B1611&lt;&gt;""""),COUNTA(FILTER(B$1:B1611, B$1:B1611&lt;&gt;""""))), LEN(INDEX(FILTER(B$1:B1611, B$1:B1611&lt;&gt;""""),COUNTA(FILTER(B$1:B1611, B$1:B1611&lt;&gt;""""))))-1), IF('To Order'!$A1612=COL"&amp;"UMNS($A1612:B1631), B1611&amp;RIGHT(INDIRECT(ADDRESS(ROW(B1612)-1, 'From Order'!$A1612)), 1), B1611))"),"RBRTVCDRHZMTDLDSRRVBMJDMWZCSFHBGJTT")</f>
        <v>RBRTVCDRHZMTDLDSRRVBMJDMWZCSFHBGJTT</v>
      </c>
      <c r="C1612" s="2" t="str">
        <f>IFERROR(__xludf.DUMMYFUNCTION("IF('From Order'!$A1612=COLUMNS($A1612:C1631), LEFT(INDEX(FILTER(C$1:C1611, C$1:C1611&lt;&gt;""""),COUNTA(FILTER(C$1:C1611, C$1:C1611&lt;&gt;""""))), LEN(INDEX(FILTER(C$1:C1611, C$1:C1611&lt;&gt;""""),COUNTA(FILTER(C$1:C1611, C$1:C1611&lt;&gt;""""))))-1), IF('To Order'!$A1612=COL"&amp;"UMNS($A1612:C1631), C1611&amp;RIGHT(INDIRECT(ADDRESS(ROW(C1612)-1, 'From Order'!$A1612)), 1), C1611))"),"TQVQJPP")</f>
        <v>TQVQJPP</v>
      </c>
      <c r="D1612" s="2" t="str">
        <f>IFERROR(__xludf.DUMMYFUNCTION("IF('From Order'!$A1612=COLUMNS($A1612:D1631), LEFT(INDEX(FILTER(D$1:D1611, D$1:D1611&lt;&gt;""""),COUNTA(FILTER(D$1:D1611, D$1:D1611&lt;&gt;""""))), LEN(INDEX(FILTER(D$1:D1611, D$1:D1611&lt;&gt;""""),COUNTA(FILTER(D$1:D1611, D$1:D1611&lt;&gt;""""))))-1), IF('To Order'!$A1612=COL"&amp;"UMNS($A1612:D1631), D1611&amp;RIGHT(INDIRECT(ADDRESS(ROW(D1612)-1, 'From Order'!$A1612)), 1), D1611))"),"CG")</f>
        <v>CG</v>
      </c>
      <c r="E1612" s="2" t="str">
        <f>IFERROR(__xludf.DUMMYFUNCTION("IF('From Order'!$A1612=COLUMNS($A1612:E1631), LEFT(INDEX(FILTER(E$1:E1611, E$1:E1611&lt;&gt;""""),COUNTA(FILTER(E$1:E1611, E$1:E1611&lt;&gt;""""))), LEN(INDEX(FILTER(E$1:E1611, E$1:E1611&lt;&gt;""""),COUNTA(FILTER(E$1:E1611, E$1:E1611&lt;&gt;""""))))-1), IF('To Order'!$A1612=COL"&amp;"UMNS($A1612:E1631), E1611&amp;RIGHT(INDIRECT(ADDRESS(ROW(E1612)-1, 'From Order'!$A1612)), 1), E1611))"),"")</f>
        <v/>
      </c>
      <c r="F1612" s="2" t="str">
        <f>IFERROR(__xludf.DUMMYFUNCTION("IF('From Order'!$A1612=COLUMNS($A1612:F1631), LEFT(INDEX(FILTER(F$1:F1611, F$1:F1611&lt;&gt;""""),COUNTA(FILTER(F$1:F1611, F$1:F1611&lt;&gt;""""))), LEN(INDEX(FILTER(F$1:F1611, F$1:F1611&lt;&gt;""""),COUNTA(FILTER(F$1:F1611, F$1:F1611&lt;&gt;""""))))-1), IF('To Order'!$A1612=COL"&amp;"UMNS($A1612:F1631), F1611&amp;RIGHT(INDIRECT(ADDRESS(ROW(F1612)-1, 'From Order'!$A1612)), 1), F1611))"),"")</f>
        <v/>
      </c>
      <c r="G1612" s="2" t="str">
        <f>IFERROR(__xludf.DUMMYFUNCTION("IF('From Order'!$A1612=COLUMNS($A1612:G1631), LEFT(INDEX(FILTER(G$1:G1611, G$1:G1611&lt;&gt;""""),COUNTA(FILTER(G$1:G1611, G$1:G1611&lt;&gt;""""))), LEN(INDEX(FILTER(G$1:G1611, G$1:G1611&lt;&gt;""""),COUNTA(FILTER(G$1:G1611, G$1:G1611&lt;&gt;""""))))-1), IF('To Order'!$A1612=COL"&amp;"UMNS($A1612:G1631), G1611&amp;RIGHT(INDIRECT(ADDRESS(ROW(G1612)-1, 'From Order'!$A1612)), 1), G1611))"),"SSTDDWLLFBP")</f>
        <v>SSTDDWLLFBP</v>
      </c>
      <c r="H1612" s="2" t="str">
        <f>IFERROR(__xludf.DUMMYFUNCTION("IF('From Order'!$A1612=COLUMNS($A1612:H1631), LEFT(INDEX(FILTER(H$1:H1611, H$1:H1611&lt;&gt;""""),COUNTA(FILTER(H$1:H1611, H$1:H1611&lt;&gt;""""))), LEN(INDEX(FILTER(H$1:H1611, H$1:H1611&lt;&gt;""""),COUNTA(FILTER(H$1:H1611, H$1:H1611&lt;&gt;""""))))-1), IF('To Order'!$A1612=COL"&amp;"UMNS($A1612:H1631), H1611&amp;RIGHT(INDIRECT(ADDRESS(ROW(H1612)-1, 'From Order'!$A1612)), 1), H1611))"),"")</f>
        <v/>
      </c>
      <c r="I1612" s="2" t="str">
        <f>IFERROR(__xludf.DUMMYFUNCTION("IF('From Order'!$A1612=COLUMNS($A1612:I1631), LEFT(INDEX(FILTER(I$1:I1611, I$1:I1611&lt;&gt;""""),COUNTA(FILTER(I$1:I1611, I$1:I1611&lt;&gt;""""))), LEN(INDEX(FILTER(I$1:I1611, I$1:I1611&lt;&gt;""""),COUNTA(FILTER(I$1:I1611, I$1:I1611&lt;&gt;""""))))-1), IF('To Order'!$A1612=COL"&amp;"UMNS($A1612:I1631), I1611&amp;RIGHT(INDIRECT(ADDRESS(ROW(I1612)-1, 'From Order'!$A1612)), 1), I1611))"),"")</f>
        <v/>
      </c>
    </row>
    <row r="1613">
      <c r="A1613" s="2" t="str">
        <f>IFERROR(__xludf.DUMMYFUNCTION("IF('From Order'!$A1613=COLUMNS($A1613:A1632), LEFT(INDEX(FILTER(A$1:A1612, A$1:A1612&lt;&gt;""""),COUNTA(FILTER(A$1:A1612, A$1:A1612&lt;&gt;""""))), LEN(INDEX(FILTER(A$1:A1612, A$1:A1612&lt;&gt;""""),COUNTA(FILTER(A$1:A1612, A$1:A1612&lt;&gt;""""))))-1), IF('To Order'!$A1613=COL"&amp;"UMNS($A1613:A1632), A1612&amp;RIGHT(INDIRECT(ADDRESS(ROW(A1613)-1, 'From Order'!$A1613)), 1), A1612))"),"Z")</f>
        <v>Z</v>
      </c>
      <c r="B1613" s="2" t="str">
        <f>IFERROR(__xludf.DUMMYFUNCTION("IF('From Order'!$A1613=COLUMNS($A1613:B1632), LEFT(INDEX(FILTER(B$1:B1612, B$1:B1612&lt;&gt;""""),COUNTA(FILTER(B$1:B1612, B$1:B1612&lt;&gt;""""))), LEN(INDEX(FILTER(B$1:B1612, B$1:B1612&lt;&gt;""""),COUNTA(FILTER(B$1:B1612, B$1:B1612&lt;&gt;""""))))-1), IF('To Order'!$A1613=COL"&amp;"UMNS($A1613:B1632), B1612&amp;RIGHT(INDIRECT(ADDRESS(ROW(B1613)-1, 'From Order'!$A1613)), 1), B1612))"),"RBRTVCDRHZMTDLDSRRVBMJDMWZCSFHBGJTTP")</f>
        <v>RBRTVCDRHZMTDLDSRRVBMJDMWZCSFHBGJTTP</v>
      </c>
      <c r="C1613" s="2" t="str">
        <f>IFERROR(__xludf.DUMMYFUNCTION("IF('From Order'!$A1613=COLUMNS($A1613:C1632), LEFT(INDEX(FILTER(C$1:C1612, C$1:C1612&lt;&gt;""""),COUNTA(FILTER(C$1:C1612, C$1:C1612&lt;&gt;""""))), LEN(INDEX(FILTER(C$1:C1612, C$1:C1612&lt;&gt;""""),COUNTA(FILTER(C$1:C1612, C$1:C1612&lt;&gt;""""))))-1), IF('To Order'!$A1613=COL"&amp;"UMNS($A1613:C1632), C1612&amp;RIGHT(INDIRECT(ADDRESS(ROW(C1613)-1, 'From Order'!$A1613)), 1), C1612))"),"TQVQJPP")</f>
        <v>TQVQJPP</v>
      </c>
      <c r="D1613" s="2" t="str">
        <f>IFERROR(__xludf.DUMMYFUNCTION("IF('From Order'!$A1613=COLUMNS($A1613:D1632), LEFT(INDEX(FILTER(D$1:D1612, D$1:D1612&lt;&gt;""""),COUNTA(FILTER(D$1:D1612, D$1:D1612&lt;&gt;""""))), LEN(INDEX(FILTER(D$1:D1612, D$1:D1612&lt;&gt;""""),COUNTA(FILTER(D$1:D1612, D$1:D1612&lt;&gt;""""))))-1), IF('To Order'!$A1613=COL"&amp;"UMNS($A1613:D1632), D1612&amp;RIGHT(INDIRECT(ADDRESS(ROW(D1613)-1, 'From Order'!$A1613)), 1), D1612))"),"CG")</f>
        <v>CG</v>
      </c>
      <c r="E1613" s="2" t="str">
        <f>IFERROR(__xludf.DUMMYFUNCTION("IF('From Order'!$A1613=COLUMNS($A1613:E1632), LEFT(INDEX(FILTER(E$1:E1612, E$1:E1612&lt;&gt;""""),COUNTA(FILTER(E$1:E1612, E$1:E1612&lt;&gt;""""))), LEN(INDEX(FILTER(E$1:E1612, E$1:E1612&lt;&gt;""""),COUNTA(FILTER(E$1:E1612, E$1:E1612&lt;&gt;""""))))-1), IF('To Order'!$A1613=COL"&amp;"UMNS($A1613:E1632), E1612&amp;RIGHT(INDIRECT(ADDRESS(ROW(E1613)-1, 'From Order'!$A1613)), 1), E1612))"),"")</f>
        <v/>
      </c>
      <c r="F1613" s="2" t="str">
        <f>IFERROR(__xludf.DUMMYFUNCTION("IF('From Order'!$A1613=COLUMNS($A1613:F1632), LEFT(INDEX(FILTER(F$1:F1612, F$1:F1612&lt;&gt;""""),COUNTA(FILTER(F$1:F1612, F$1:F1612&lt;&gt;""""))), LEN(INDEX(FILTER(F$1:F1612, F$1:F1612&lt;&gt;""""),COUNTA(FILTER(F$1:F1612, F$1:F1612&lt;&gt;""""))))-1), IF('To Order'!$A1613=COL"&amp;"UMNS($A1613:F1632), F1612&amp;RIGHT(INDIRECT(ADDRESS(ROW(F1613)-1, 'From Order'!$A1613)), 1), F1612))"),"")</f>
        <v/>
      </c>
      <c r="G1613" s="2" t="str">
        <f>IFERROR(__xludf.DUMMYFUNCTION("IF('From Order'!$A1613=COLUMNS($A1613:G1632), LEFT(INDEX(FILTER(G$1:G1612, G$1:G1612&lt;&gt;""""),COUNTA(FILTER(G$1:G1612, G$1:G1612&lt;&gt;""""))), LEN(INDEX(FILTER(G$1:G1612, G$1:G1612&lt;&gt;""""),COUNTA(FILTER(G$1:G1612, G$1:G1612&lt;&gt;""""))))-1), IF('To Order'!$A1613=COL"&amp;"UMNS($A1613:G1632), G1612&amp;RIGHT(INDIRECT(ADDRESS(ROW(G1613)-1, 'From Order'!$A1613)), 1), G1612))"),"SSTDDWLLFB")</f>
        <v>SSTDDWLLFB</v>
      </c>
      <c r="H1613" s="2" t="str">
        <f>IFERROR(__xludf.DUMMYFUNCTION("IF('From Order'!$A1613=COLUMNS($A1613:H1632), LEFT(INDEX(FILTER(H$1:H1612, H$1:H1612&lt;&gt;""""),COUNTA(FILTER(H$1:H1612, H$1:H1612&lt;&gt;""""))), LEN(INDEX(FILTER(H$1:H1612, H$1:H1612&lt;&gt;""""),COUNTA(FILTER(H$1:H1612, H$1:H1612&lt;&gt;""""))))-1), IF('To Order'!$A1613=COL"&amp;"UMNS($A1613:H1632), H1612&amp;RIGHT(INDIRECT(ADDRESS(ROW(H1613)-1, 'From Order'!$A1613)), 1), H1612))"),"")</f>
        <v/>
      </c>
      <c r="I1613" s="2" t="str">
        <f>IFERROR(__xludf.DUMMYFUNCTION("IF('From Order'!$A1613=COLUMNS($A1613:I1632), LEFT(INDEX(FILTER(I$1:I1612, I$1:I1612&lt;&gt;""""),COUNTA(FILTER(I$1:I1612, I$1:I1612&lt;&gt;""""))), LEN(INDEX(FILTER(I$1:I1612, I$1:I1612&lt;&gt;""""),COUNTA(FILTER(I$1:I1612, I$1:I1612&lt;&gt;""""))))-1), IF('To Order'!$A1613=COL"&amp;"UMNS($A1613:I1632), I1612&amp;RIGHT(INDIRECT(ADDRESS(ROW(I1613)-1, 'From Order'!$A1613)), 1), I1612))"),"")</f>
        <v/>
      </c>
    </row>
    <row r="1614">
      <c r="A1614" s="2" t="str">
        <f>IFERROR(__xludf.DUMMYFUNCTION("IF('From Order'!$A1614=COLUMNS($A1614:A1633), LEFT(INDEX(FILTER(A$1:A1613, A$1:A1613&lt;&gt;""""),COUNTA(FILTER(A$1:A1613, A$1:A1613&lt;&gt;""""))), LEN(INDEX(FILTER(A$1:A1613, A$1:A1613&lt;&gt;""""),COUNTA(FILTER(A$1:A1613, A$1:A1613&lt;&gt;""""))))-1), IF('To Order'!$A1614=COL"&amp;"UMNS($A1614:A1633), A1613&amp;RIGHT(INDIRECT(ADDRESS(ROW(A1614)-1, 'From Order'!$A1614)), 1), A1613))"),"Z")</f>
        <v>Z</v>
      </c>
      <c r="B1614" s="2" t="str">
        <f>IFERROR(__xludf.DUMMYFUNCTION("IF('From Order'!$A1614=COLUMNS($A1614:B1633), LEFT(INDEX(FILTER(B$1:B1613, B$1:B1613&lt;&gt;""""),COUNTA(FILTER(B$1:B1613, B$1:B1613&lt;&gt;""""))), LEN(INDEX(FILTER(B$1:B1613, B$1:B1613&lt;&gt;""""),COUNTA(FILTER(B$1:B1613, B$1:B1613&lt;&gt;""""))))-1), IF('To Order'!$A1614=COL"&amp;"UMNS($A1614:B1633), B1613&amp;RIGHT(INDIRECT(ADDRESS(ROW(B1614)-1, 'From Order'!$A1614)), 1), B1613))"),"RBRTVCDRHZMTDLDSRRVBMJDMWZCSFHBGJTTPB")</f>
        <v>RBRTVCDRHZMTDLDSRRVBMJDMWZCSFHBGJTTPB</v>
      </c>
      <c r="C1614" s="2" t="str">
        <f>IFERROR(__xludf.DUMMYFUNCTION("IF('From Order'!$A1614=COLUMNS($A1614:C1633), LEFT(INDEX(FILTER(C$1:C1613, C$1:C1613&lt;&gt;""""),COUNTA(FILTER(C$1:C1613, C$1:C1613&lt;&gt;""""))), LEN(INDEX(FILTER(C$1:C1613, C$1:C1613&lt;&gt;""""),COUNTA(FILTER(C$1:C1613, C$1:C1613&lt;&gt;""""))))-1), IF('To Order'!$A1614=COL"&amp;"UMNS($A1614:C1633), C1613&amp;RIGHT(INDIRECT(ADDRESS(ROW(C1614)-1, 'From Order'!$A1614)), 1), C1613))"),"TQVQJPP")</f>
        <v>TQVQJPP</v>
      </c>
      <c r="D1614" s="2" t="str">
        <f>IFERROR(__xludf.DUMMYFUNCTION("IF('From Order'!$A1614=COLUMNS($A1614:D1633), LEFT(INDEX(FILTER(D$1:D1613, D$1:D1613&lt;&gt;""""),COUNTA(FILTER(D$1:D1613, D$1:D1613&lt;&gt;""""))), LEN(INDEX(FILTER(D$1:D1613, D$1:D1613&lt;&gt;""""),COUNTA(FILTER(D$1:D1613, D$1:D1613&lt;&gt;""""))))-1), IF('To Order'!$A1614=COL"&amp;"UMNS($A1614:D1633), D1613&amp;RIGHT(INDIRECT(ADDRESS(ROW(D1614)-1, 'From Order'!$A1614)), 1), D1613))"),"CG")</f>
        <v>CG</v>
      </c>
      <c r="E1614" s="2" t="str">
        <f>IFERROR(__xludf.DUMMYFUNCTION("IF('From Order'!$A1614=COLUMNS($A1614:E1633), LEFT(INDEX(FILTER(E$1:E1613, E$1:E1613&lt;&gt;""""),COUNTA(FILTER(E$1:E1613, E$1:E1613&lt;&gt;""""))), LEN(INDEX(FILTER(E$1:E1613, E$1:E1613&lt;&gt;""""),COUNTA(FILTER(E$1:E1613, E$1:E1613&lt;&gt;""""))))-1), IF('To Order'!$A1614=COL"&amp;"UMNS($A1614:E1633), E1613&amp;RIGHT(INDIRECT(ADDRESS(ROW(E1614)-1, 'From Order'!$A1614)), 1), E1613))"),"")</f>
        <v/>
      </c>
      <c r="F1614" s="2" t="str">
        <f>IFERROR(__xludf.DUMMYFUNCTION("IF('From Order'!$A1614=COLUMNS($A1614:F1633), LEFT(INDEX(FILTER(F$1:F1613, F$1:F1613&lt;&gt;""""),COUNTA(FILTER(F$1:F1613, F$1:F1613&lt;&gt;""""))), LEN(INDEX(FILTER(F$1:F1613, F$1:F1613&lt;&gt;""""),COUNTA(FILTER(F$1:F1613, F$1:F1613&lt;&gt;""""))))-1), IF('To Order'!$A1614=COL"&amp;"UMNS($A1614:F1633), F1613&amp;RIGHT(INDIRECT(ADDRESS(ROW(F1614)-1, 'From Order'!$A1614)), 1), F1613))"),"")</f>
        <v/>
      </c>
      <c r="G1614" s="2" t="str">
        <f>IFERROR(__xludf.DUMMYFUNCTION("IF('From Order'!$A1614=COLUMNS($A1614:G1633), LEFT(INDEX(FILTER(G$1:G1613, G$1:G1613&lt;&gt;""""),COUNTA(FILTER(G$1:G1613, G$1:G1613&lt;&gt;""""))), LEN(INDEX(FILTER(G$1:G1613, G$1:G1613&lt;&gt;""""),COUNTA(FILTER(G$1:G1613, G$1:G1613&lt;&gt;""""))))-1), IF('To Order'!$A1614=COL"&amp;"UMNS($A1614:G1633), G1613&amp;RIGHT(INDIRECT(ADDRESS(ROW(G1614)-1, 'From Order'!$A1614)), 1), G1613))"),"SSTDDWLLF")</f>
        <v>SSTDDWLLF</v>
      </c>
      <c r="H1614" s="2" t="str">
        <f>IFERROR(__xludf.DUMMYFUNCTION("IF('From Order'!$A1614=COLUMNS($A1614:H1633), LEFT(INDEX(FILTER(H$1:H1613, H$1:H1613&lt;&gt;""""),COUNTA(FILTER(H$1:H1613, H$1:H1613&lt;&gt;""""))), LEN(INDEX(FILTER(H$1:H1613, H$1:H1613&lt;&gt;""""),COUNTA(FILTER(H$1:H1613, H$1:H1613&lt;&gt;""""))))-1), IF('To Order'!$A1614=COL"&amp;"UMNS($A1614:H1633), H1613&amp;RIGHT(INDIRECT(ADDRESS(ROW(H1614)-1, 'From Order'!$A1614)), 1), H1613))"),"")</f>
        <v/>
      </c>
      <c r="I1614" s="2" t="str">
        <f>IFERROR(__xludf.DUMMYFUNCTION("IF('From Order'!$A1614=COLUMNS($A1614:I1633), LEFT(INDEX(FILTER(I$1:I1613, I$1:I1613&lt;&gt;""""),COUNTA(FILTER(I$1:I1613, I$1:I1613&lt;&gt;""""))), LEN(INDEX(FILTER(I$1:I1613, I$1:I1613&lt;&gt;""""),COUNTA(FILTER(I$1:I1613, I$1:I1613&lt;&gt;""""))))-1), IF('To Order'!$A1614=COL"&amp;"UMNS($A1614:I1633), I1613&amp;RIGHT(INDIRECT(ADDRESS(ROW(I1614)-1, 'From Order'!$A1614)), 1), I1613))"),"")</f>
        <v/>
      </c>
    </row>
    <row r="1615">
      <c r="A1615" s="2" t="str">
        <f>IFERROR(__xludf.DUMMYFUNCTION("IF('From Order'!$A1615=COLUMNS($A1615:A1634), LEFT(INDEX(FILTER(A$1:A1614, A$1:A1614&lt;&gt;""""),COUNTA(FILTER(A$1:A1614, A$1:A1614&lt;&gt;""""))), LEN(INDEX(FILTER(A$1:A1614, A$1:A1614&lt;&gt;""""),COUNTA(FILTER(A$1:A1614, A$1:A1614&lt;&gt;""""))))-1), IF('To Order'!$A1615=COL"&amp;"UMNS($A1615:A1634), A1614&amp;RIGHT(INDIRECT(ADDRESS(ROW(A1615)-1, 'From Order'!$A1615)), 1), A1614))"),"Z")</f>
        <v>Z</v>
      </c>
      <c r="B1615" s="2" t="str">
        <f>IFERROR(__xludf.DUMMYFUNCTION("IF('From Order'!$A1615=COLUMNS($A1615:B1634), LEFT(INDEX(FILTER(B$1:B1614, B$1:B1614&lt;&gt;""""),COUNTA(FILTER(B$1:B1614, B$1:B1614&lt;&gt;""""))), LEN(INDEX(FILTER(B$1:B1614, B$1:B1614&lt;&gt;""""),COUNTA(FILTER(B$1:B1614, B$1:B1614&lt;&gt;""""))))-1), IF('To Order'!$A1615=COL"&amp;"UMNS($A1615:B1634), B1614&amp;RIGHT(INDIRECT(ADDRESS(ROW(B1615)-1, 'From Order'!$A1615)), 1), B1614))"),"RBRTVCDRHZMTDLDSRRVBMJDMWZCSFHBGJTTPBF")</f>
        <v>RBRTVCDRHZMTDLDSRRVBMJDMWZCSFHBGJTTPBF</v>
      </c>
      <c r="C1615" s="2" t="str">
        <f>IFERROR(__xludf.DUMMYFUNCTION("IF('From Order'!$A1615=COLUMNS($A1615:C1634), LEFT(INDEX(FILTER(C$1:C1614, C$1:C1614&lt;&gt;""""),COUNTA(FILTER(C$1:C1614, C$1:C1614&lt;&gt;""""))), LEN(INDEX(FILTER(C$1:C1614, C$1:C1614&lt;&gt;""""),COUNTA(FILTER(C$1:C1614, C$1:C1614&lt;&gt;""""))))-1), IF('To Order'!$A1615=COL"&amp;"UMNS($A1615:C1634), C1614&amp;RIGHT(INDIRECT(ADDRESS(ROW(C1615)-1, 'From Order'!$A1615)), 1), C1614))"),"TQVQJPP")</f>
        <v>TQVQJPP</v>
      </c>
      <c r="D1615" s="2" t="str">
        <f>IFERROR(__xludf.DUMMYFUNCTION("IF('From Order'!$A1615=COLUMNS($A1615:D1634), LEFT(INDEX(FILTER(D$1:D1614, D$1:D1614&lt;&gt;""""),COUNTA(FILTER(D$1:D1614, D$1:D1614&lt;&gt;""""))), LEN(INDEX(FILTER(D$1:D1614, D$1:D1614&lt;&gt;""""),COUNTA(FILTER(D$1:D1614, D$1:D1614&lt;&gt;""""))))-1), IF('To Order'!$A1615=COL"&amp;"UMNS($A1615:D1634), D1614&amp;RIGHT(INDIRECT(ADDRESS(ROW(D1615)-1, 'From Order'!$A1615)), 1), D1614))"),"CG")</f>
        <v>CG</v>
      </c>
      <c r="E1615" s="2" t="str">
        <f>IFERROR(__xludf.DUMMYFUNCTION("IF('From Order'!$A1615=COLUMNS($A1615:E1634), LEFT(INDEX(FILTER(E$1:E1614, E$1:E1614&lt;&gt;""""),COUNTA(FILTER(E$1:E1614, E$1:E1614&lt;&gt;""""))), LEN(INDEX(FILTER(E$1:E1614, E$1:E1614&lt;&gt;""""),COUNTA(FILTER(E$1:E1614, E$1:E1614&lt;&gt;""""))))-1), IF('To Order'!$A1615=COL"&amp;"UMNS($A1615:E1634), E1614&amp;RIGHT(INDIRECT(ADDRESS(ROW(E1615)-1, 'From Order'!$A1615)), 1), E1614))"),"")</f>
        <v/>
      </c>
      <c r="F1615" s="2" t="str">
        <f>IFERROR(__xludf.DUMMYFUNCTION("IF('From Order'!$A1615=COLUMNS($A1615:F1634), LEFT(INDEX(FILTER(F$1:F1614, F$1:F1614&lt;&gt;""""),COUNTA(FILTER(F$1:F1614, F$1:F1614&lt;&gt;""""))), LEN(INDEX(FILTER(F$1:F1614, F$1:F1614&lt;&gt;""""),COUNTA(FILTER(F$1:F1614, F$1:F1614&lt;&gt;""""))))-1), IF('To Order'!$A1615=COL"&amp;"UMNS($A1615:F1634), F1614&amp;RIGHT(INDIRECT(ADDRESS(ROW(F1615)-1, 'From Order'!$A1615)), 1), F1614))"),"")</f>
        <v/>
      </c>
      <c r="G1615" s="2" t="str">
        <f>IFERROR(__xludf.DUMMYFUNCTION("IF('From Order'!$A1615=COLUMNS($A1615:G1634), LEFT(INDEX(FILTER(G$1:G1614, G$1:G1614&lt;&gt;""""),COUNTA(FILTER(G$1:G1614, G$1:G1614&lt;&gt;""""))), LEN(INDEX(FILTER(G$1:G1614, G$1:G1614&lt;&gt;""""),COUNTA(FILTER(G$1:G1614, G$1:G1614&lt;&gt;""""))))-1), IF('To Order'!$A1615=COL"&amp;"UMNS($A1615:G1634), G1614&amp;RIGHT(INDIRECT(ADDRESS(ROW(G1615)-1, 'From Order'!$A1615)), 1), G1614))"),"SSTDDWLL")</f>
        <v>SSTDDWLL</v>
      </c>
      <c r="H1615" s="2" t="str">
        <f>IFERROR(__xludf.DUMMYFUNCTION("IF('From Order'!$A1615=COLUMNS($A1615:H1634), LEFT(INDEX(FILTER(H$1:H1614, H$1:H1614&lt;&gt;""""),COUNTA(FILTER(H$1:H1614, H$1:H1614&lt;&gt;""""))), LEN(INDEX(FILTER(H$1:H1614, H$1:H1614&lt;&gt;""""),COUNTA(FILTER(H$1:H1614, H$1:H1614&lt;&gt;""""))))-1), IF('To Order'!$A1615=COL"&amp;"UMNS($A1615:H1634), H1614&amp;RIGHT(INDIRECT(ADDRESS(ROW(H1615)-1, 'From Order'!$A1615)), 1), H1614))"),"")</f>
        <v/>
      </c>
      <c r="I1615" s="2" t="str">
        <f>IFERROR(__xludf.DUMMYFUNCTION("IF('From Order'!$A1615=COLUMNS($A1615:I1634), LEFT(INDEX(FILTER(I$1:I1614, I$1:I1614&lt;&gt;""""),COUNTA(FILTER(I$1:I1614, I$1:I1614&lt;&gt;""""))), LEN(INDEX(FILTER(I$1:I1614, I$1:I1614&lt;&gt;""""),COUNTA(FILTER(I$1:I1614, I$1:I1614&lt;&gt;""""))))-1), IF('To Order'!$A1615=COL"&amp;"UMNS($A1615:I1634), I1614&amp;RIGHT(INDIRECT(ADDRESS(ROW(I1615)-1, 'From Order'!$A1615)), 1), I1614))"),"")</f>
        <v/>
      </c>
    </row>
    <row r="1616">
      <c r="A1616" s="2" t="str">
        <f>IFERROR(__xludf.DUMMYFUNCTION("IF('From Order'!$A1616=COLUMNS($A1616:A1635), LEFT(INDEX(FILTER(A$1:A1615, A$1:A1615&lt;&gt;""""),COUNTA(FILTER(A$1:A1615, A$1:A1615&lt;&gt;""""))), LEN(INDEX(FILTER(A$1:A1615, A$1:A1615&lt;&gt;""""),COUNTA(FILTER(A$1:A1615, A$1:A1615&lt;&gt;""""))))-1), IF('To Order'!$A1616=COL"&amp;"UMNS($A1616:A1635), A1615&amp;RIGHT(INDIRECT(ADDRESS(ROW(A1616)-1, 'From Order'!$A1616)), 1), A1615))"),"Z")</f>
        <v>Z</v>
      </c>
      <c r="B1616" s="2" t="str">
        <f>IFERROR(__xludf.DUMMYFUNCTION("IF('From Order'!$A1616=COLUMNS($A1616:B1635), LEFT(INDEX(FILTER(B$1:B1615, B$1:B1615&lt;&gt;""""),COUNTA(FILTER(B$1:B1615, B$1:B1615&lt;&gt;""""))), LEN(INDEX(FILTER(B$1:B1615, B$1:B1615&lt;&gt;""""),COUNTA(FILTER(B$1:B1615, B$1:B1615&lt;&gt;""""))))-1), IF('To Order'!$A1616=COL"&amp;"UMNS($A1616:B1635), B1615&amp;RIGHT(INDIRECT(ADDRESS(ROW(B1616)-1, 'From Order'!$A1616)), 1), B1615))"),"RBRTVCDRHZMTDLDSRRVBMJDMWZCSFHBGJTTPBFL")</f>
        <v>RBRTVCDRHZMTDLDSRRVBMJDMWZCSFHBGJTTPBFL</v>
      </c>
      <c r="C1616" s="2" t="str">
        <f>IFERROR(__xludf.DUMMYFUNCTION("IF('From Order'!$A1616=COLUMNS($A1616:C1635), LEFT(INDEX(FILTER(C$1:C1615, C$1:C1615&lt;&gt;""""),COUNTA(FILTER(C$1:C1615, C$1:C1615&lt;&gt;""""))), LEN(INDEX(FILTER(C$1:C1615, C$1:C1615&lt;&gt;""""),COUNTA(FILTER(C$1:C1615, C$1:C1615&lt;&gt;""""))))-1), IF('To Order'!$A1616=COL"&amp;"UMNS($A1616:C1635), C1615&amp;RIGHT(INDIRECT(ADDRESS(ROW(C1616)-1, 'From Order'!$A1616)), 1), C1615))"),"TQVQJPP")</f>
        <v>TQVQJPP</v>
      </c>
      <c r="D1616" s="2" t="str">
        <f>IFERROR(__xludf.DUMMYFUNCTION("IF('From Order'!$A1616=COLUMNS($A1616:D1635), LEFT(INDEX(FILTER(D$1:D1615, D$1:D1615&lt;&gt;""""),COUNTA(FILTER(D$1:D1615, D$1:D1615&lt;&gt;""""))), LEN(INDEX(FILTER(D$1:D1615, D$1:D1615&lt;&gt;""""),COUNTA(FILTER(D$1:D1615, D$1:D1615&lt;&gt;""""))))-1), IF('To Order'!$A1616=COL"&amp;"UMNS($A1616:D1635), D1615&amp;RIGHT(INDIRECT(ADDRESS(ROW(D1616)-1, 'From Order'!$A1616)), 1), D1615))"),"CG")</f>
        <v>CG</v>
      </c>
      <c r="E1616" s="2" t="str">
        <f>IFERROR(__xludf.DUMMYFUNCTION("IF('From Order'!$A1616=COLUMNS($A1616:E1635), LEFT(INDEX(FILTER(E$1:E1615, E$1:E1615&lt;&gt;""""),COUNTA(FILTER(E$1:E1615, E$1:E1615&lt;&gt;""""))), LEN(INDEX(FILTER(E$1:E1615, E$1:E1615&lt;&gt;""""),COUNTA(FILTER(E$1:E1615, E$1:E1615&lt;&gt;""""))))-1), IF('To Order'!$A1616=COL"&amp;"UMNS($A1616:E1635), E1615&amp;RIGHT(INDIRECT(ADDRESS(ROW(E1616)-1, 'From Order'!$A1616)), 1), E1615))"),"")</f>
        <v/>
      </c>
      <c r="F1616" s="2" t="str">
        <f>IFERROR(__xludf.DUMMYFUNCTION("IF('From Order'!$A1616=COLUMNS($A1616:F1635), LEFT(INDEX(FILTER(F$1:F1615, F$1:F1615&lt;&gt;""""),COUNTA(FILTER(F$1:F1615, F$1:F1615&lt;&gt;""""))), LEN(INDEX(FILTER(F$1:F1615, F$1:F1615&lt;&gt;""""),COUNTA(FILTER(F$1:F1615, F$1:F1615&lt;&gt;""""))))-1), IF('To Order'!$A1616=COL"&amp;"UMNS($A1616:F1635), F1615&amp;RIGHT(INDIRECT(ADDRESS(ROW(F1616)-1, 'From Order'!$A1616)), 1), F1615))"),"")</f>
        <v/>
      </c>
      <c r="G1616" s="2" t="str">
        <f>IFERROR(__xludf.DUMMYFUNCTION("IF('From Order'!$A1616=COLUMNS($A1616:G1635), LEFT(INDEX(FILTER(G$1:G1615, G$1:G1615&lt;&gt;""""),COUNTA(FILTER(G$1:G1615, G$1:G1615&lt;&gt;""""))), LEN(INDEX(FILTER(G$1:G1615, G$1:G1615&lt;&gt;""""),COUNTA(FILTER(G$1:G1615, G$1:G1615&lt;&gt;""""))))-1), IF('To Order'!$A1616=COL"&amp;"UMNS($A1616:G1635), G1615&amp;RIGHT(INDIRECT(ADDRESS(ROW(G1616)-1, 'From Order'!$A1616)), 1), G1615))"),"SSTDDWL")</f>
        <v>SSTDDWL</v>
      </c>
      <c r="H1616" s="2" t="str">
        <f>IFERROR(__xludf.DUMMYFUNCTION("IF('From Order'!$A1616=COLUMNS($A1616:H1635), LEFT(INDEX(FILTER(H$1:H1615, H$1:H1615&lt;&gt;""""),COUNTA(FILTER(H$1:H1615, H$1:H1615&lt;&gt;""""))), LEN(INDEX(FILTER(H$1:H1615, H$1:H1615&lt;&gt;""""),COUNTA(FILTER(H$1:H1615, H$1:H1615&lt;&gt;""""))))-1), IF('To Order'!$A1616=COL"&amp;"UMNS($A1616:H1635), H1615&amp;RIGHT(INDIRECT(ADDRESS(ROW(H1616)-1, 'From Order'!$A1616)), 1), H1615))"),"")</f>
        <v/>
      </c>
      <c r="I1616" s="2" t="str">
        <f>IFERROR(__xludf.DUMMYFUNCTION("IF('From Order'!$A1616=COLUMNS($A1616:I1635), LEFT(INDEX(FILTER(I$1:I1615, I$1:I1615&lt;&gt;""""),COUNTA(FILTER(I$1:I1615, I$1:I1615&lt;&gt;""""))), LEN(INDEX(FILTER(I$1:I1615, I$1:I1615&lt;&gt;""""),COUNTA(FILTER(I$1:I1615, I$1:I1615&lt;&gt;""""))))-1), IF('To Order'!$A1616=COL"&amp;"UMNS($A1616:I1635), I1615&amp;RIGHT(INDIRECT(ADDRESS(ROW(I1616)-1, 'From Order'!$A1616)), 1), I1615))"),"")</f>
        <v/>
      </c>
    </row>
    <row r="1617">
      <c r="A1617" s="2" t="str">
        <f>IFERROR(__xludf.DUMMYFUNCTION("IF('From Order'!$A1617=COLUMNS($A1617:A1636), LEFT(INDEX(FILTER(A$1:A1616, A$1:A1616&lt;&gt;""""),COUNTA(FILTER(A$1:A1616, A$1:A1616&lt;&gt;""""))), LEN(INDEX(FILTER(A$1:A1616, A$1:A1616&lt;&gt;""""),COUNTA(FILTER(A$1:A1616, A$1:A1616&lt;&gt;""""))))-1), IF('To Order'!$A1617=COL"&amp;"UMNS($A1617:A1636), A1616&amp;RIGHT(INDIRECT(ADDRESS(ROW(A1617)-1, 'From Order'!$A1617)), 1), A1616))"),"Z")</f>
        <v>Z</v>
      </c>
      <c r="B1617" s="2" t="str">
        <f>IFERROR(__xludf.DUMMYFUNCTION("IF('From Order'!$A1617=COLUMNS($A1617:B1636), LEFT(INDEX(FILTER(B$1:B1616, B$1:B1616&lt;&gt;""""),COUNTA(FILTER(B$1:B1616, B$1:B1616&lt;&gt;""""))), LEN(INDEX(FILTER(B$1:B1616, B$1:B1616&lt;&gt;""""),COUNTA(FILTER(B$1:B1616, B$1:B1616&lt;&gt;""""))))-1), IF('To Order'!$A1617=COL"&amp;"UMNS($A1617:B1636), B1616&amp;RIGHT(INDIRECT(ADDRESS(ROW(B1617)-1, 'From Order'!$A1617)), 1), B1616))"),"RBRTVCDRHZMTDLDSRRVBMJDMWZCSFHBGJTTPBFLL")</f>
        <v>RBRTVCDRHZMTDLDSRRVBMJDMWZCSFHBGJTTPBFLL</v>
      </c>
      <c r="C1617" s="2" t="str">
        <f>IFERROR(__xludf.DUMMYFUNCTION("IF('From Order'!$A1617=COLUMNS($A1617:C1636), LEFT(INDEX(FILTER(C$1:C1616, C$1:C1616&lt;&gt;""""),COUNTA(FILTER(C$1:C1616, C$1:C1616&lt;&gt;""""))), LEN(INDEX(FILTER(C$1:C1616, C$1:C1616&lt;&gt;""""),COUNTA(FILTER(C$1:C1616, C$1:C1616&lt;&gt;""""))))-1), IF('To Order'!$A1617=COL"&amp;"UMNS($A1617:C1636), C1616&amp;RIGHT(INDIRECT(ADDRESS(ROW(C1617)-1, 'From Order'!$A1617)), 1), C1616))"),"TQVQJPP")</f>
        <v>TQVQJPP</v>
      </c>
      <c r="D1617" s="2" t="str">
        <f>IFERROR(__xludf.DUMMYFUNCTION("IF('From Order'!$A1617=COLUMNS($A1617:D1636), LEFT(INDEX(FILTER(D$1:D1616, D$1:D1616&lt;&gt;""""),COUNTA(FILTER(D$1:D1616, D$1:D1616&lt;&gt;""""))), LEN(INDEX(FILTER(D$1:D1616, D$1:D1616&lt;&gt;""""),COUNTA(FILTER(D$1:D1616, D$1:D1616&lt;&gt;""""))))-1), IF('To Order'!$A1617=COL"&amp;"UMNS($A1617:D1636), D1616&amp;RIGHT(INDIRECT(ADDRESS(ROW(D1617)-1, 'From Order'!$A1617)), 1), D1616))"),"CG")</f>
        <v>CG</v>
      </c>
      <c r="E1617" s="2" t="str">
        <f>IFERROR(__xludf.DUMMYFUNCTION("IF('From Order'!$A1617=COLUMNS($A1617:E1636), LEFT(INDEX(FILTER(E$1:E1616, E$1:E1616&lt;&gt;""""),COUNTA(FILTER(E$1:E1616, E$1:E1616&lt;&gt;""""))), LEN(INDEX(FILTER(E$1:E1616, E$1:E1616&lt;&gt;""""),COUNTA(FILTER(E$1:E1616, E$1:E1616&lt;&gt;""""))))-1), IF('To Order'!$A1617=COL"&amp;"UMNS($A1617:E1636), E1616&amp;RIGHT(INDIRECT(ADDRESS(ROW(E1617)-1, 'From Order'!$A1617)), 1), E1616))"),"")</f>
        <v/>
      </c>
      <c r="F1617" s="2" t="str">
        <f>IFERROR(__xludf.DUMMYFUNCTION("IF('From Order'!$A1617=COLUMNS($A1617:F1636), LEFT(INDEX(FILTER(F$1:F1616, F$1:F1616&lt;&gt;""""),COUNTA(FILTER(F$1:F1616, F$1:F1616&lt;&gt;""""))), LEN(INDEX(FILTER(F$1:F1616, F$1:F1616&lt;&gt;""""),COUNTA(FILTER(F$1:F1616, F$1:F1616&lt;&gt;""""))))-1), IF('To Order'!$A1617=COL"&amp;"UMNS($A1617:F1636), F1616&amp;RIGHT(INDIRECT(ADDRESS(ROW(F1617)-1, 'From Order'!$A1617)), 1), F1616))"),"")</f>
        <v/>
      </c>
      <c r="G1617" s="2" t="str">
        <f>IFERROR(__xludf.DUMMYFUNCTION("IF('From Order'!$A1617=COLUMNS($A1617:G1636), LEFT(INDEX(FILTER(G$1:G1616, G$1:G1616&lt;&gt;""""),COUNTA(FILTER(G$1:G1616, G$1:G1616&lt;&gt;""""))), LEN(INDEX(FILTER(G$1:G1616, G$1:G1616&lt;&gt;""""),COUNTA(FILTER(G$1:G1616, G$1:G1616&lt;&gt;""""))))-1), IF('To Order'!$A1617=COL"&amp;"UMNS($A1617:G1636), G1616&amp;RIGHT(INDIRECT(ADDRESS(ROW(G1617)-1, 'From Order'!$A1617)), 1), G1616))"),"SSTDDW")</f>
        <v>SSTDDW</v>
      </c>
      <c r="H1617" s="2" t="str">
        <f>IFERROR(__xludf.DUMMYFUNCTION("IF('From Order'!$A1617=COLUMNS($A1617:H1636), LEFT(INDEX(FILTER(H$1:H1616, H$1:H1616&lt;&gt;""""),COUNTA(FILTER(H$1:H1616, H$1:H1616&lt;&gt;""""))), LEN(INDEX(FILTER(H$1:H1616, H$1:H1616&lt;&gt;""""),COUNTA(FILTER(H$1:H1616, H$1:H1616&lt;&gt;""""))))-1), IF('To Order'!$A1617=COL"&amp;"UMNS($A1617:H1636), H1616&amp;RIGHT(INDIRECT(ADDRESS(ROW(H1617)-1, 'From Order'!$A1617)), 1), H1616))"),"")</f>
        <v/>
      </c>
      <c r="I1617" s="2" t="str">
        <f>IFERROR(__xludf.DUMMYFUNCTION("IF('From Order'!$A1617=COLUMNS($A1617:I1636), LEFT(INDEX(FILTER(I$1:I1616, I$1:I1616&lt;&gt;""""),COUNTA(FILTER(I$1:I1616, I$1:I1616&lt;&gt;""""))), LEN(INDEX(FILTER(I$1:I1616, I$1:I1616&lt;&gt;""""),COUNTA(FILTER(I$1:I1616, I$1:I1616&lt;&gt;""""))))-1), IF('To Order'!$A1617=COL"&amp;"UMNS($A1617:I1636), I1616&amp;RIGHT(INDIRECT(ADDRESS(ROW(I1617)-1, 'From Order'!$A1617)), 1), I1616))"),"")</f>
        <v/>
      </c>
    </row>
    <row r="1618">
      <c r="A1618" s="2" t="str">
        <f>IFERROR(__xludf.DUMMYFUNCTION("IF('From Order'!$A1618=COLUMNS($A1618:A1637), LEFT(INDEX(FILTER(A$1:A1617, A$1:A1617&lt;&gt;""""),COUNTA(FILTER(A$1:A1617, A$1:A1617&lt;&gt;""""))), LEN(INDEX(FILTER(A$1:A1617, A$1:A1617&lt;&gt;""""),COUNTA(FILTER(A$1:A1617, A$1:A1617&lt;&gt;""""))))-1), IF('To Order'!$A1618=COL"&amp;"UMNS($A1618:A1637), A1617&amp;RIGHT(INDIRECT(ADDRESS(ROW(A1618)-1, 'From Order'!$A1618)), 1), A1617))"),"Z")</f>
        <v>Z</v>
      </c>
      <c r="B1618" s="2" t="str">
        <f>IFERROR(__xludf.DUMMYFUNCTION("IF('From Order'!$A1618=COLUMNS($A1618:B1637), LEFT(INDEX(FILTER(B$1:B1617, B$1:B1617&lt;&gt;""""),COUNTA(FILTER(B$1:B1617, B$1:B1617&lt;&gt;""""))), LEN(INDEX(FILTER(B$1:B1617, B$1:B1617&lt;&gt;""""),COUNTA(FILTER(B$1:B1617, B$1:B1617&lt;&gt;""""))))-1), IF('To Order'!$A1618=COL"&amp;"UMNS($A1618:B1637), B1617&amp;RIGHT(INDIRECT(ADDRESS(ROW(B1618)-1, 'From Order'!$A1618)), 1), B1617))"),"RBRTVCDRHZMTDLDSRRVBMJDMWZCSFHBGJTTPBFLLW")</f>
        <v>RBRTVCDRHZMTDLDSRRVBMJDMWZCSFHBGJTTPBFLLW</v>
      </c>
      <c r="C1618" s="2" t="str">
        <f>IFERROR(__xludf.DUMMYFUNCTION("IF('From Order'!$A1618=COLUMNS($A1618:C1637), LEFT(INDEX(FILTER(C$1:C1617, C$1:C1617&lt;&gt;""""),COUNTA(FILTER(C$1:C1617, C$1:C1617&lt;&gt;""""))), LEN(INDEX(FILTER(C$1:C1617, C$1:C1617&lt;&gt;""""),COUNTA(FILTER(C$1:C1617, C$1:C1617&lt;&gt;""""))))-1), IF('To Order'!$A1618=COL"&amp;"UMNS($A1618:C1637), C1617&amp;RIGHT(INDIRECT(ADDRESS(ROW(C1618)-1, 'From Order'!$A1618)), 1), C1617))"),"TQVQJPP")</f>
        <v>TQVQJPP</v>
      </c>
      <c r="D1618" s="2" t="str">
        <f>IFERROR(__xludf.DUMMYFUNCTION("IF('From Order'!$A1618=COLUMNS($A1618:D1637), LEFT(INDEX(FILTER(D$1:D1617, D$1:D1617&lt;&gt;""""),COUNTA(FILTER(D$1:D1617, D$1:D1617&lt;&gt;""""))), LEN(INDEX(FILTER(D$1:D1617, D$1:D1617&lt;&gt;""""),COUNTA(FILTER(D$1:D1617, D$1:D1617&lt;&gt;""""))))-1), IF('To Order'!$A1618=COL"&amp;"UMNS($A1618:D1637), D1617&amp;RIGHT(INDIRECT(ADDRESS(ROW(D1618)-1, 'From Order'!$A1618)), 1), D1617))"),"CG")</f>
        <v>CG</v>
      </c>
      <c r="E1618" s="2" t="str">
        <f>IFERROR(__xludf.DUMMYFUNCTION("IF('From Order'!$A1618=COLUMNS($A1618:E1637), LEFT(INDEX(FILTER(E$1:E1617, E$1:E1617&lt;&gt;""""),COUNTA(FILTER(E$1:E1617, E$1:E1617&lt;&gt;""""))), LEN(INDEX(FILTER(E$1:E1617, E$1:E1617&lt;&gt;""""),COUNTA(FILTER(E$1:E1617, E$1:E1617&lt;&gt;""""))))-1), IF('To Order'!$A1618=COL"&amp;"UMNS($A1618:E1637), E1617&amp;RIGHT(INDIRECT(ADDRESS(ROW(E1618)-1, 'From Order'!$A1618)), 1), E1617))"),"")</f>
        <v/>
      </c>
      <c r="F1618" s="2" t="str">
        <f>IFERROR(__xludf.DUMMYFUNCTION("IF('From Order'!$A1618=COLUMNS($A1618:F1637), LEFT(INDEX(FILTER(F$1:F1617, F$1:F1617&lt;&gt;""""),COUNTA(FILTER(F$1:F1617, F$1:F1617&lt;&gt;""""))), LEN(INDEX(FILTER(F$1:F1617, F$1:F1617&lt;&gt;""""),COUNTA(FILTER(F$1:F1617, F$1:F1617&lt;&gt;""""))))-1), IF('To Order'!$A1618=COL"&amp;"UMNS($A1618:F1637), F1617&amp;RIGHT(INDIRECT(ADDRESS(ROW(F1618)-1, 'From Order'!$A1618)), 1), F1617))"),"")</f>
        <v/>
      </c>
      <c r="G1618" s="2" t="str">
        <f>IFERROR(__xludf.DUMMYFUNCTION("IF('From Order'!$A1618=COLUMNS($A1618:G1637), LEFT(INDEX(FILTER(G$1:G1617, G$1:G1617&lt;&gt;""""),COUNTA(FILTER(G$1:G1617, G$1:G1617&lt;&gt;""""))), LEN(INDEX(FILTER(G$1:G1617, G$1:G1617&lt;&gt;""""),COUNTA(FILTER(G$1:G1617, G$1:G1617&lt;&gt;""""))))-1), IF('To Order'!$A1618=COL"&amp;"UMNS($A1618:G1637), G1617&amp;RIGHT(INDIRECT(ADDRESS(ROW(G1618)-1, 'From Order'!$A1618)), 1), G1617))"),"SSTDD")</f>
        <v>SSTDD</v>
      </c>
      <c r="H1618" s="2" t="str">
        <f>IFERROR(__xludf.DUMMYFUNCTION("IF('From Order'!$A1618=COLUMNS($A1618:H1637), LEFT(INDEX(FILTER(H$1:H1617, H$1:H1617&lt;&gt;""""),COUNTA(FILTER(H$1:H1617, H$1:H1617&lt;&gt;""""))), LEN(INDEX(FILTER(H$1:H1617, H$1:H1617&lt;&gt;""""),COUNTA(FILTER(H$1:H1617, H$1:H1617&lt;&gt;""""))))-1), IF('To Order'!$A1618=COL"&amp;"UMNS($A1618:H1637), H1617&amp;RIGHT(INDIRECT(ADDRESS(ROW(H1618)-1, 'From Order'!$A1618)), 1), H1617))"),"")</f>
        <v/>
      </c>
      <c r="I1618" s="2" t="str">
        <f>IFERROR(__xludf.DUMMYFUNCTION("IF('From Order'!$A1618=COLUMNS($A1618:I1637), LEFT(INDEX(FILTER(I$1:I1617, I$1:I1617&lt;&gt;""""),COUNTA(FILTER(I$1:I1617, I$1:I1617&lt;&gt;""""))), LEN(INDEX(FILTER(I$1:I1617, I$1:I1617&lt;&gt;""""),COUNTA(FILTER(I$1:I1617, I$1:I1617&lt;&gt;""""))))-1), IF('To Order'!$A1618=COL"&amp;"UMNS($A1618:I1637), I1617&amp;RIGHT(INDIRECT(ADDRESS(ROW(I1618)-1, 'From Order'!$A1618)), 1), I1617))"),"")</f>
        <v/>
      </c>
    </row>
    <row r="1619">
      <c r="A1619" s="2" t="str">
        <f>IFERROR(__xludf.DUMMYFUNCTION("IF('From Order'!$A1619=COLUMNS($A1619:A1638), LEFT(INDEX(FILTER(A$1:A1618, A$1:A1618&lt;&gt;""""),COUNTA(FILTER(A$1:A1618, A$1:A1618&lt;&gt;""""))), LEN(INDEX(FILTER(A$1:A1618, A$1:A1618&lt;&gt;""""),COUNTA(FILTER(A$1:A1618, A$1:A1618&lt;&gt;""""))))-1), IF('To Order'!$A1619=COL"&amp;"UMNS($A1619:A1638), A1618&amp;RIGHT(INDIRECT(ADDRESS(ROW(A1619)-1, 'From Order'!$A1619)), 1), A1618))"),"Z")</f>
        <v>Z</v>
      </c>
      <c r="B1619" s="2" t="str">
        <f>IFERROR(__xludf.DUMMYFUNCTION("IF('From Order'!$A1619=COLUMNS($A1619:B1638), LEFT(INDEX(FILTER(B$1:B1618, B$1:B1618&lt;&gt;""""),COUNTA(FILTER(B$1:B1618, B$1:B1618&lt;&gt;""""))), LEN(INDEX(FILTER(B$1:B1618, B$1:B1618&lt;&gt;""""),COUNTA(FILTER(B$1:B1618, B$1:B1618&lt;&gt;""""))))-1), IF('To Order'!$A1619=COL"&amp;"UMNS($A1619:B1638), B1618&amp;RIGHT(INDIRECT(ADDRESS(ROW(B1619)-1, 'From Order'!$A1619)), 1), B1618))"),"RBRTVCDRHZMTDLDSRRVBMJDMWZCSFHBGJTTPBFLLWD")</f>
        <v>RBRTVCDRHZMTDLDSRRVBMJDMWZCSFHBGJTTPBFLLWD</v>
      </c>
      <c r="C1619" s="2" t="str">
        <f>IFERROR(__xludf.DUMMYFUNCTION("IF('From Order'!$A1619=COLUMNS($A1619:C1638), LEFT(INDEX(FILTER(C$1:C1618, C$1:C1618&lt;&gt;""""),COUNTA(FILTER(C$1:C1618, C$1:C1618&lt;&gt;""""))), LEN(INDEX(FILTER(C$1:C1618, C$1:C1618&lt;&gt;""""),COUNTA(FILTER(C$1:C1618, C$1:C1618&lt;&gt;""""))))-1), IF('To Order'!$A1619=COL"&amp;"UMNS($A1619:C1638), C1618&amp;RIGHT(INDIRECT(ADDRESS(ROW(C1619)-1, 'From Order'!$A1619)), 1), C1618))"),"TQVQJPP")</f>
        <v>TQVQJPP</v>
      </c>
      <c r="D1619" s="2" t="str">
        <f>IFERROR(__xludf.DUMMYFUNCTION("IF('From Order'!$A1619=COLUMNS($A1619:D1638), LEFT(INDEX(FILTER(D$1:D1618, D$1:D1618&lt;&gt;""""),COUNTA(FILTER(D$1:D1618, D$1:D1618&lt;&gt;""""))), LEN(INDEX(FILTER(D$1:D1618, D$1:D1618&lt;&gt;""""),COUNTA(FILTER(D$1:D1618, D$1:D1618&lt;&gt;""""))))-1), IF('To Order'!$A1619=COL"&amp;"UMNS($A1619:D1638), D1618&amp;RIGHT(INDIRECT(ADDRESS(ROW(D1619)-1, 'From Order'!$A1619)), 1), D1618))"),"CG")</f>
        <v>CG</v>
      </c>
      <c r="E1619" s="2" t="str">
        <f>IFERROR(__xludf.DUMMYFUNCTION("IF('From Order'!$A1619=COLUMNS($A1619:E1638), LEFT(INDEX(FILTER(E$1:E1618, E$1:E1618&lt;&gt;""""),COUNTA(FILTER(E$1:E1618, E$1:E1618&lt;&gt;""""))), LEN(INDEX(FILTER(E$1:E1618, E$1:E1618&lt;&gt;""""),COUNTA(FILTER(E$1:E1618, E$1:E1618&lt;&gt;""""))))-1), IF('To Order'!$A1619=COL"&amp;"UMNS($A1619:E1638), E1618&amp;RIGHT(INDIRECT(ADDRESS(ROW(E1619)-1, 'From Order'!$A1619)), 1), E1618))"),"")</f>
        <v/>
      </c>
      <c r="F1619" s="2" t="str">
        <f>IFERROR(__xludf.DUMMYFUNCTION("IF('From Order'!$A1619=COLUMNS($A1619:F1638), LEFT(INDEX(FILTER(F$1:F1618, F$1:F1618&lt;&gt;""""),COUNTA(FILTER(F$1:F1618, F$1:F1618&lt;&gt;""""))), LEN(INDEX(FILTER(F$1:F1618, F$1:F1618&lt;&gt;""""),COUNTA(FILTER(F$1:F1618, F$1:F1618&lt;&gt;""""))))-1), IF('To Order'!$A1619=COL"&amp;"UMNS($A1619:F1638), F1618&amp;RIGHT(INDIRECT(ADDRESS(ROW(F1619)-1, 'From Order'!$A1619)), 1), F1618))"),"")</f>
        <v/>
      </c>
      <c r="G1619" s="2" t="str">
        <f>IFERROR(__xludf.DUMMYFUNCTION("IF('From Order'!$A1619=COLUMNS($A1619:G1638), LEFT(INDEX(FILTER(G$1:G1618, G$1:G1618&lt;&gt;""""),COUNTA(FILTER(G$1:G1618, G$1:G1618&lt;&gt;""""))), LEN(INDEX(FILTER(G$1:G1618, G$1:G1618&lt;&gt;""""),COUNTA(FILTER(G$1:G1618, G$1:G1618&lt;&gt;""""))))-1), IF('To Order'!$A1619=COL"&amp;"UMNS($A1619:G1638), G1618&amp;RIGHT(INDIRECT(ADDRESS(ROW(G1619)-1, 'From Order'!$A1619)), 1), G1618))"),"SSTD")</f>
        <v>SSTD</v>
      </c>
      <c r="H1619" s="2" t="str">
        <f>IFERROR(__xludf.DUMMYFUNCTION("IF('From Order'!$A1619=COLUMNS($A1619:H1638), LEFT(INDEX(FILTER(H$1:H1618, H$1:H1618&lt;&gt;""""),COUNTA(FILTER(H$1:H1618, H$1:H1618&lt;&gt;""""))), LEN(INDEX(FILTER(H$1:H1618, H$1:H1618&lt;&gt;""""),COUNTA(FILTER(H$1:H1618, H$1:H1618&lt;&gt;""""))))-1), IF('To Order'!$A1619=COL"&amp;"UMNS($A1619:H1638), H1618&amp;RIGHT(INDIRECT(ADDRESS(ROW(H1619)-1, 'From Order'!$A1619)), 1), H1618))"),"")</f>
        <v/>
      </c>
      <c r="I1619" s="2" t="str">
        <f>IFERROR(__xludf.DUMMYFUNCTION("IF('From Order'!$A1619=COLUMNS($A1619:I1638), LEFT(INDEX(FILTER(I$1:I1618, I$1:I1618&lt;&gt;""""),COUNTA(FILTER(I$1:I1618, I$1:I1618&lt;&gt;""""))), LEN(INDEX(FILTER(I$1:I1618, I$1:I1618&lt;&gt;""""),COUNTA(FILTER(I$1:I1618, I$1:I1618&lt;&gt;""""))))-1), IF('To Order'!$A1619=COL"&amp;"UMNS($A1619:I1638), I1618&amp;RIGHT(INDIRECT(ADDRESS(ROW(I1619)-1, 'From Order'!$A1619)), 1), I1618))"),"")</f>
        <v/>
      </c>
    </row>
    <row r="1620">
      <c r="A1620" s="2" t="str">
        <f>IFERROR(__xludf.DUMMYFUNCTION("IF('From Order'!$A1620=COLUMNS($A1620:A1639), LEFT(INDEX(FILTER(A$1:A1619, A$1:A1619&lt;&gt;""""),COUNTA(FILTER(A$1:A1619, A$1:A1619&lt;&gt;""""))), LEN(INDEX(FILTER(A$1:A1619, A$1:A1619&lt;&gt;""""),COUNTA(FILTER(A$1:A1619, A$1:A1619&lt;&gt;""""))))-1), IF('To Order'!$A1620=COL"&amp;"UMNS($A1620:A1639), A1619&amp;RIGHT(INDIRECT(ADDRESS(ROW(A1620)-1, 'From Order'!$A1620)), 1), A1619))"),"Z")</f>
        <v>Z</v>
      </c>
      <c r="B1620" s="2" t="str">
        <f>IFERROR(__xludf.DUMMYFUNCTION("IF('From Order'!$A1620=COLUMNS($A1620:B1639), LEFT(INDEX(FILTER(B$1:B1619, B$1:B1619&lt;&gt;""""),COUNTA(FILTER(B$1:B1619, B$1:B1619&lt;&gt;""""))), LEN(INDEX(FILTER(B$1:B1619, B$1:B1619&lt;&gt;""""),COUNTA(FILTER(B$1:B1619, B$1:B1619&lt;&gt;""""))))-1), IF('To Order'!$A1620=COL"&amp;"UMNS($A1620:B1639), B1619&amp;RIGHT(INDIRECT(ADDRESS(ROW(B1620)-1, 'From Order'!$A1620)), 1), B1619))"),"RBRTVCDRHZMTDLDSRRVBMJDMWZCSFHBGJTTPBFLLWDD")</f>
        <v>RBRTVCDRHZMTDLDSRRVBMJDMWZCSFHBGJTTPBFLLWDD</v>
      </c>
      <c r="C1620" s="2" t="str">
        <f>IFERROR(__xludf.DUMMYFUNCTION("IF('From Order'!$A1620=COLUMNS($A1620:C1639), LEFT(INDEX(FILTER(C$1:C1619, C$1:C1619&lt;&gt;""""),COUNTA(FILTER(C$1:C1619, C$1:C1619&lt;&gt;""""))), LEN(INDEX(FILTER(C$1:C1619, C$1:C1619&lt;&gt;""""),COUNTA(FILTER(C$1:C1619, C$1:C1619&lt;&gt;""""))))-1), IF('To Order'!$A1620=COL"&amp;"UMNS($A1620:C1639), C1619&amp;RIGHT(INDIRECT(ADDRESS(ROW(C1620)-1, 'From Order'!$A1620)), 1), C1619))"),"TQVQJPP")</f>
        <v>TQVQJPP</v>
      </c>
      <c r="D1620" s="2" t="str">
        <f>IFERROR(__xludf.DUMMYFUNCTION("IF('From Order'!$A1620=COLUMNS($A1620:D1639), LEFT(INDEX(FILTER(D$1:D1619, D$1:D1619&lt;&gt;""""),COUNTA(FILTER(D$1:D1619, D$1:D1619&lt;&gt;""""))), LEN(INDEX(FILTER(D$1:D1619, D$1:D1619&lt;&gt;""""),COUNTA(FILTER(D$1:D1619, D$1:D1619&lt;&gt;""""))))-1), IF('To Order'!$A1620=COL"&amp;"UMNS($A1620:D1639), D1619&amp;RIGHT(INDIRECT(ADDRESS(ROW(D1620)-1, 'From Order'!$A1620)), 1), D1619))"),"CG")</f>
        <v>CG</v>
      </c>
      <c r="E1620" s="2" t="str">
        <f>IFERROR(__xludf.DUMMYFUNCTION("IF('From Order'!$A1620=COLUMNS($A1620:E1639), LEFT(INDEX(FILTER(E$1:E1619, E$1:E1619&lt;&gt;""""),COUNTA(FILTER(E$1:E1619, E$1:E1619&lt;&gt;""""))), LEN(INDEX(FILTER(E$1:E1619, E$1:E1619&lt;&gt;""""),COUNTA(FILTER(E$1:E1619, E$1:E1619&lt;&gt;""""))))-1), IF('To Order'!$A1620=COL"&amp;"UMNS($A1620:E1639), E1619&amp;RIGHT(INDIRECT(ADDRESS(ROW(E1620)-1, 'From Order'!$A1620)), 1), E1619))"),"")</f>
        <v/>
      </c>
      <c r="F1620" s="2" t="str">
        <f>IFERROR(__xludf.DUMMYFUNCTION("IF('From Order'!$A1620=COLUMNS($A1620:F1639), LEFT(INDEX(FILTER(F$1:F1619, F$1:F1619&lt;&gt;""""),COUNTA(FILTER(F$1:F1619, F$1:F1619&lt;&gt;""""))), LEN(INDEX(FILTER(F$1:F1619, F$1:F1619&lt;&gt;""""),COUNTA(FILTER(F$1:F1619, F$1:F1619&lt;&gt;""""))))-1), IF('To Order'!$A1620=COL"&amp;"UMNS($A1620:F1639), F1619&amp;RIGHT(INDIRECT(ADDRESS(ROW(F1620)-1, 'From Order'!$A1620)), 1), F1619))"),"")</f>
        <v/>
      </c>
      <c r="G1620" s="2" t="str">
        <f>IFERROR(__xludf.DUMMYFUNCTION("IF('From Order'!$A1620=COLUMNS($A1620:G1639), LEFT(INDEX(FILTER(G$1:G1619, G$1:G1619&lt;&gt;""""),COUNTA(FILTER(G$1:G1619, G$1:G1619&lt;&gt;""""))), LEN(INDEX(FILTER(G$1:G1619, G$1:G1619&lt;&gt;""""),COUNTA(FILTER(G$1:G1619, G$1:G1619&lt;&gt;""""))))-1), IF('To Order'!$A1620=COL"&amp;"UMNS($A1620:G1639), G1619&amp;RIGHT(INDIRECT(ADDRESS(ROW(G1620)-1, 'From Order'!$A1620)), 1), G1619))"),"SST")</f>
        <v>SST</v>
      </c>
      <c r="H1620" s="2" t="str">
        <f>IFERROR(__xludf.DUMMYFUNCTION("IF('From Order'!$A1620=COLUMNS($A1620:H1639), LEFT(INDEX(FILTER(H$1:H1619, H$1:H1619&lt;&gt;""""),COUNTA(FILTER(H$1:H1619, H$1:H1619&lt;&gt;""""))), LEN(INDEX(FILTER(H$1:H1619, H$1:H1619&lt;&gt;""""),COUNTA(FILTER(H$1:H1619, H$1:H1619&lt;&gt;""""))))-1), IF('To Order'!$A1620=COL"&amp;"UMNS($A1620:H1639), H1619&amp;RIGHT(INDIRECT(ADDRESS(ROW(H1620)-1, 'From Order'!$A1620)), 1), H1619))"),"")</f>
        <v/>
      </c>
      <c r="I1620" s="2" t="str">
        <f>IFERROR(__xludf.DUMMYFUNCTION("IF('From Order'!$A1620=COLUMNS($A1620:I1639), LEFT(INDEX(FILTER(I$1:I1619, I$1:I1619&lt;&gt;""""),COUNTA(FILTER(I$1:I1619, I$1:I1619&lt;&gt;""""))), LEN(INDEX(FILTER(I$1:I1619, I$1:I1619&lt;&gt;""""),COUNTA(FILTER(I$1:I1619, I$1:I1619&lt;&gt;""""))))-1), IF('To Order'!$A1620=COL"&amp;"UMNS($A1620:I1639), I1619&amp;RIGHT(INDIRECT(ADDRESS(ROW(I1620)-1, 'From Order'!$A1620)), 1), I1619))"),"")</f>
        <v/>
      </c>
    </row>
    <row r="1621">
      <c r="A1621" s="2" t="str">
        <f>IFERROR(__xludf.DUMMYFUNCTION("IF('From Order'!$A1621=COLUMNS($A1621:A1640), LEFT(INDEX(FILTER(A$1:A1620, A$1:A1620&lt;&gt;""""),COUNTA(FILTER(A$1:A1620, A$1:A1620&lt;&gt;""""))), LEN(INDEX(FILTER(A$1:A1620, A$1:A1620&lt;&gt;""""),COUNTA(FILTER(A$1:A1620, A$1:A1620&lt;&gt;""""))))-1), IF('To Order'!$A1621=COL"&amp;"UMNS($A1621:A1640), A1620&amp;RIGHT(INDIRECT(ADDRESS(ROW(A1621)-1, 'From Order'!$A1621)), 1), A1620))"),"Z")</f>
        <v>Z</v>
      </c>
      <c r="B1621" s="2" t="str">
        <f>IFERROR(__xludf.DUMMYFUNCTION("IF('From Order'!$A1621=COLUMNS($A1621:B1640), LEFT(INDEX(FILTER(B$1:B1620, B$1:B1620&lt;&gt;""""),COUNTA(FILTER(B$1:B1620, B$1:B1620&lt;&gt;""""))), LEN(INDEX(FILTER(B$1:B1620, B$1:B1620&lt;&gt;""""),COUNTA(FILTER(B$1:B1620, B$1:B1620&lt;&gt;""""))))-1), IF('To Order'!$A1621=COL"&amp;"UMNS($A1621:B1640), B1620&amp;RIGHT(INDIRECT(ADDRESS(ROW(B1621)-1, 'From Order'!$A1621)), 1), B1620))"),"RBRTVCDRHZMTDLDSRRVBMJDMWZCSFHBGJTTPBFLLWDDT")</f>
        <v>RBRTVCDRHZMTDLDSRRVBMJDMWZCSFHBGJTTPBFLLWDDT</v>
      </c>
      <c r="C1621" s="2" t="str">
        <f>IFERROR(__xludf.DUMMYFUNCTION("IF('From Order'!$A1621=COLUMNS($A1621:C1640), LEFT(INDEX(FILTER(C$1:C1620, C$1:C1620&lt;&gt;""""),COUNTA(FILTER(C$1:C1620, C$1:C1620&lt;&gt;""""))), LEN(INDEX(FILTER(C$1:C1620, C$1:C1620&lt;&gt;""""),COUNTA(FILTER(C$1:C1620, C$1:C1620&lt;&gt;""""))))-1), IF('To Order'!$A1621=COL"&amp;"UMNS($A1621:C1640), C1620&amp;RIGHT(INDIRECT(ADDRESS(ROW(C1621)-1, 'From Order'!$A1621)), 1), C1620))"),"TQVQJPP")</f>
        <v>TQVQJPP</v>
      </c>
      <c r="D1621" s="2" t="str">
        <f>IFERROR(__xludf.DUMMYFUNCTION("IF('From Order'!$A1621=COLUMNS($A1621:D1640), LEFT(INDEX(FILTER(D$1:D1620, D$1:D1620&lt;&gt;""""),COUNTA(FILTER(D$1:D1620, D$1:D1620&lt;&gt;""""))), LEN(INDEX(FILTER(D$1:D1620, D$1:D1620&lt;&gt;""""),COUNTA(FILTER(D$1:D1620, D$1:D1620&lt;&gt;""""))))-1), IF('To Order'!$A1621=COL"&amp;"UMNS($A1621:D1640), D1620&amp;RIGHT(INDIRECT(ADDRESS(ROW(D1621)-1, 'From Order'!$A1621)), 1), D1620))"),"CG")</f>
        <v>CG</v>
      </c>
      <c r="E1621" s="2" t="str">
        <f>IFERROR(__xludf.DUMMYFUNCTION("IF('From Order'!$A1621=COLUMNS($A1621:E1640), LEFT(INDEX(FILTER(E$1:E1620, E$1:E1620&lt;&gt;""""),COUNTA(FILTER(E$1:E1620, E$1:E1620&lt;&gt;""""))), LEN(INDEX(FILTER(E$1:E1620, E$1:E1620&lt;&gt;""""),COUNTA(FILTER(E$1:E1620, E$1:E1620&lt;&gt;""""))))-1), IF('To Order'!$A1621=COL"&amp;"UMNS($A1621:E1640), E1620&amp;RIGHT(INDIRECT(ADDRESS(ROW(E1621)-1, 'From Order'!$A1621)), 1), E1620))"),"")</f>
        <v/>
      </c>
      <c r="F1621" s="2" t="str">
        <f>IFERROR(__xludf.DUMMYFUNCTION("IF('From Order'!$A1621=COLUMNS($A1621:F1640), LEFT(INDEX(FILTER(F$1:F1620, F$1:F1620&lt;&gt;""""),COUNTA(FILTER(F$1:F1620, F$1:F1620&lt;&gt;""""))), LEN(INDEX(FILTER(F$1:F1620, F$1:F1620&lt;&gt;""""),COUNTA(FILTER(F$1:F1620, F$1:F1620&lt;&gt;""""))))-1), IF('To Order'!$A1621=COL"&amp;"UMNS($A1621:F1640), F1620&amp;RIGHT(INDIRECT(ADDRESS(ROW(F1621)-1, 'From Order'!$A1621)), 1), F1620))"),"")</f>
        <v/>
      </c>
      <c r="G1621" s="2" t="str">
        <f>IFERROR(__xludf.DUMMYFUNCTION("IF('From Order'!$A1621=COLUMNS($A1621:G1640), LEFT(INDEX(FILTER(G$1:G1620, G$1:G1620&lt;&gt;""""),COUNTA(FILTER(G$1:G1620, G$1:G1620&lt;&gt;""""))), LEN(INDEX(FILTER(G$1:G1620, G$1:G1620&lt;&gt;""""),COUNTA(FILTER(G$1:G1620, G$1:G1620&lt;&gt;""""))))-1), IF('To Order'!$A1621=COL"&amp;"UMNS($A1621:G1640), G1620&amp;RIGHT(INDIRECT(ADDRESS(ROW(G1621)-1, 'From Order'!$A1621)), 1), G1620))"),"SS")</f>
        <v>SS</v>
      </c>
      <c r="H1621" s="2" t="str">
        <f>IFERROR(__xludf.DUMMYFUNCTION("IF('From Order'!$A1621=COLUMNS($A1621:H1640), LEFT(INDEX(FILTER(H$1:H1620, H$1:H1620&lt;&gt;""""),COUNTA(FILTER(H$1:H1620, H$1:H1620&lt;&gt;""""))), LEN(INDEX(FILTER(H$1:H1620, H$1:H1620&lt;&gt;""""),COUNTA(FILTER(H$1:H1620, H$1:H1620&lt;&gt;""""))))-1), IF('To Order'!$A1621=COL"&amp;"UMNS($A1621:H1640), H1620&amp;RIGHT(INDIRECT(ADDRESS(ROW(H1621)-1, 'From Order'!$A1621)), 1), H1620))"),"")</f>
        <v/>
      </c>
      <c r="I1621" s="2" t="str">
        <f>IFERROR(__xludf.DUMMYFUNCTION("IF('From Order'!$A1621=COLUMNS($A1621:I1640), LEFT(INDEX(FILTER(I$1:I1620, I$1:I1620&lt;&gt;""""),COUNTA(FILTER(I$1:I1620, I$1:I1620&lt;&gt;""""))), LEN(INDEX(FILTER(I$1:I1620, I$1:I1620&lt;&gt;""""),COUNTA(FILTER(I$1:I1620, I$1:I1620&lt;&gt;""""))))-1), IF('To Order'!$A1621=COL"&amp;"UMNS($A1621:I1640), I1620&amp;RIGHT(INDIRECT(ADDRESS(ROW(I1621)-1, 'From Order'!$A1621)), 1), I1620))"),"")</f>
        <v/>
      </c>
    </row>
    <row r="1622">
      <c r="A1622" s="2" t="str">
        <f>IFERROR(__xludf.DUMMYFUNCTION("IF('From Order'!$A1622=COLUMNS($A1622:A1641), LEFT(INDEX(FILTER(A$1:A1621, A$1:A1621&lt;&gt;""""),COUNTA(FILTER(A$1:A1621, A$1:A1621&lt;&gt;""""))), LEN(INDEX(FILTER(A$1:A1621, A$1:A1621&lt;&gt;""""),COUNTA(FILTER(A$1:A1621, A$1:A1621&lt;&gt;""""))))-1), IF('To Order'!$A1622=COL"&amp;"UMNS($A1622:A1641), A1621&amp;RIGHT(INDIRECT(ADDRESS(ROW(A1622)-1, 'From Order'!$A1622)), 1), A1621))"),"Z")</f>
        <v>Z</v>
      </c>
      <c r="B1622" s="2" t="str">
        <f>IFERROR(__xludf.DUMMYFUNCTION("IF('From Order'!$A1622=COLUMNS($A1622:B1641), LEFT(INDEX(FILTER(B$1:B1621, B$1:B1621&lt;&gt;""""),COUNTA(FILTER(B$1:B1621, B$1:B1621&lt;&gt;""""))), LEN(INDEX(FILTER(B$1:B1621, B$1:B1621&lt;&gt;""""),COUNTA(FILTER(B$1:B1621, B$1:B1621&lt;&gt;""""))))-1), IF('To Order'!$A1622=COL"&amp;"UMNS($A1622:B1641), B1621&amp;RIGHT(INDIRECT(ADDRESS(ROW(B1622)-1, 'From Order'!$A1622)), 1), B1621))"),"RBRTVCDRHZMTDLDSRRVBMJDMWZCSFHBGJTTPBFLLWDDTS")</f>
        <v>RBRTVCDRHZMTDLDSRRVBMJDMWZCSFHBGJTTPBFLLWDDTS</v>
      </c>
      <c r="C1622" s="2" t="str">
        <f>IFERROR(__xludf.DUMMYFUNCTION("IF('From Order'!$A1622=COLUMNS($A1622:C1641), LEFT(INDEX(FILTER(C$1:C1621, C$1:C1621&lt;&gt;""""),COUNTA(FILTER(C$1:C1621, C$1:C1621&lt;&gt;""""))), LEN(INDEX(FILTER(C$1:C1621, C$1:C1621&lt;&gt;""""),COUNTA(FILTER(C$1:C1621, C$1:C1621&lt;&gt;""""))))-1), IF('To Order'!$A1622=COL"&amp;"UMNS($A1622:C1641), C1621&amp;RIGHT(INDIRECT(ADDRESS(ROW(C1622)-1, 'From Order'!$A1622)), 1), C1621))"),"TQVQJPP")</f>
        <v>TQVQJPP</v>
      </c>
      <c r="D1622" s="2" t="str">
        <f>IFERROR(__xludf.DUMMYFUNCTION("IF('From Order'!$A1622=COLUMNS($A1622:D1641), LEFT(INDEX(FILTER(D$1:D1621, D$1:D1621&lt;&gt;""""),COUNTA(FILTER(D$1:D1621, D$1:D1621&lt;&gt;""""))), LEN(INDEX(FILTER(D$1:D1621, D$1:D1621&lt;&gt;""""),COUNTA(FILTER(D$1:D1621, D$1:D1621&lt;&gt;""""))))-1), IF('To Order'!$A1622=COL"&amp;"UMNS($A1622:D1641), D1621&amp;RIGHT(INDIRECT(ADDRESS(ROW(D1622)-1, 'From Order'!$A1622)), 1), D1621))"),"CG")</f>
        <v>CG</v>
      </c>
      <c r="E1622" s="2" t="str">
        <f>IFERROR(__xludf.DUMMYFUNCTION("IF('From Order'!$A1622=COLUMNS($A1622:E1641), LEFT(INDEX(FILTER(E$1:E1621, E$1:E1621&lt;&gt;""""),COUNTA(FILTER(E$1:E1621, E$1:E1621&lt;&gt;""""))), LEN(INDEX(FILTER(E$1:E1621, E$1:E1621&lt;&gt;""""),COUNTA(FILTER(E$1:E1621, E$1:E1621&lt;&gt;""""))))-1), IF('To Order'!$A1622=COL"&amp;"UMNS($A1622:E1641), E1621&amp;RIGHT(INDIRECT(ADDRESS(ROW(E1622)-1, 'From Order'!$A1622)), 1), E1621))"),"")</f>
        <v/>
      </c>
      <c r="F1622" s="2" t="str">
        <f>IFERROR(__xludf.DUMMYFUNCTION("IF('From Order'!$A1622=COLUMNS($A1622:F1641), LEFT(INDEX(FILTER(F$1:F1621, F$1:F1621&lt;&gt;""""),COUNTA(FILTER(F$1:F1621, F$1:F1621&lt;&gt;""""))), LEN(INDEX(FILTER(F$1:F1621, F$1:F1621&lt;&gt;""""),COUNTA(FILTER(F$1:F1621, F$1:F1621&lt;&gt;""""))))-1), IF('To Order'!$A1622=COL"&amp;"UMNS($A1622:F1641), F1621&amp;RIGHT(INDIRECT(ADDRESS(ROW(F1622)-1, 'From Order'!$A1622)), 1), F1621))"),"")</f>
        <v/>
      </c>
      <c r="G1622" s="2" t="str">
        <f>IFERROR(__xludf.DUMMYFUNCTION("IF('From Order'!$A1622=COLUMNS($A1622:G1641), LEFT(INDEX(FILTER(G$1:G1621, G$1:G1621&lt;&gt;""""),COUNTA(FILTER(G$1:G1621, G$1:G1621&lt;&gt;""""))), LEN(INDEX(FILTER(G$1:G1621, G$1:G1621&lt;&gt;""""),COUNTA(FILTER(G$1:G1621, G$1:G1621&lt;&gt;""""))))-1), IF('To Order'!$A1622=COL"&amp;"UMNS($A1622:G1641), G1621&amp;RIGHT(INDIRECT(ADDRESS(ROW(G1622)-1, 'From Order'!$A1622)), 1), G1621))"),"S")</f>
        <v>S</v>
      </c>
      <c r="H1622" s="2" t="str">
        <f>IFERROR(__xludf.DUMMYFUNCTION("IF('From Order'!$A1622=COLUMNS($A1622:H1641), LEFT(INDEX(FILTER(H$1:H1621, H$1:H1621&lt;&gt;""""),COUNTA(FILTER(H$1:H1621, H$1:H1621&lt;&gt;""""))), LEN(INDEX(FILTER(H$1:H1621, H$1:H1621&lt;&gt;""""),COUNTA(FILTER(H$1:H1621, H$1:H1621&lt;&gt;""""))))-1), IF('To Order'!$A1622=COL"&amp;"UMNS($A1622:H1641), H1621&amp;RIGHT(INDIRECT(ADDRESS(ROW(H1622)-1, 'From Order'!$A1622)), 1), H1621))"),"")</f>
        <v/>
      </c>
      <c r="I1622" s="2" t="str">
        <f>IFERROR(__xludf.DUMMYFUNCTION("IF('From Order'!$A1622=COLUMNS($A1622:I1641), LEFT(INDEX(FILTER(I$1:I1621, I$1:I1621&lt;&gt;""""),COUNTA(FILTER(I$1:I1621, I$1:I1621&lt;&gt;""""))), LEN(INDEX(FILTER(I$1:I1621, I$1:I1621&lt;&gt;""""),COUNTA(FILTER(I$1:I1621, I$1:I1621&lt;&gt;""""))))-1), IF('To Order'!$A1622=COL"&amp;"UMNS($A1622:I1641), I1621&amp;RIGHT(INDIRECT(ADDRESS(ROW(I1622)-1, 'From Order'!$A1622)), 1), I1621))"),"")</f>
        <v/>
      </c>
    </row>
    <row r="1623">
      <c r="A1623" s="2" t="str">
        <f>IFERROR(__xludf.DUMMYFUNCTION("IF('From Order'!$A1623=COLUMNS($A1623:A1642), LEFT(INDEX(FILTER(A$1:A1622, A$1:A1622&lt;&gt;""""),COUNTA(FILTER(A$1:A1622, A$1:A1622&lt;&gt;""""))), LEN(INDEX(FILTER(A$1:A1622, A$1:A1622&lt;&gt;""""),COUNTA(FILTER(A$1:A1622, A$1:A1622&lt;&gt;""""))))-1), IF('To Order'!$A1623=COL"&amp;"UMNS($A1623:A1642), A1622&amp;RIGHT(INDIRECT(ADDRESS(ROW(A1623)-1, 'From Order'!$A1623)), 1), A1622))"),"Z")</f>
        <v>Z</v>
      </c>
      <c r="B1623" s="2" t="str">
        <f>IFERROR(__xludf.DUMMYFUNCTION("IF('From Order'!$A1623=COLUMNS($A1623:B1642), LEFT(INDEX(FILTER(B$1:B1622, B$1:B1622&lt;&gt;""""),COUNTA(FILTER(B$1:B1622, B$1:B1622&lt;&gt;""""))), LEN(INDEX(FILTER(B$1:B1622, B$1:B1622&lt;&gt;""""),COUNTA(FILTER(B$1:B1622, B$1:B1622&lt;&gt;""""))))-1), IF('To Order'!$A1623=COL"&amp;"UMNS($A1623:B1642), B1622&amp;RIGHT(INDIRECT(ADDRESS(ROW(B1623)-1, 'From Order'!$A1623)), 1), B1622))"),"RBRTVCDRHZMTDLDSRRVBMJDMWZCSFHBGJTTPBFLLWDDTSS")</f>
        <v>RBRTVCDRHZMTDLDSRRVBMJDMWZCSFHBGJTTPBFLLWDDTSS</v>
      </c>
      <c r="C1623" s="2" t="str">
        <f>IFERROR(__xludf.DUMMYFUNCTION("IF('From Order'!$A1623=COLUMNS($A1623:C1642), LEFT(INDEX(FILTER(C$1:C1622, C$1:C1622&lt;&gt;""""),COUNTA(FILTER(C$1:C1622, C$1:C1622&lt;&gt;""""))), LEN(INDEX(FILTER(C$1:C1622, C$1:C1622&lt;&gt;""""),COUNTA(FILTER(C$1:C1622, C$1:C1622&lt;&gt;""""))))-1), IF('To Order'!$A1623=COL"&amp;"UMNS($A1623:C1642), C1622&amp;RIGHT(INDIRECT(ADDRESS(ROW(C1623)-1, 'From Order'!$A1623)), 1), C1622))"),"TQVQJPP")</f>
        <v>TQVQJPP</v>
      </c>
      <c r="D1623" s="2" t="str">
        <f>IFERROR(__xludf.DUMMYFUNCTION("IF('From Order'!$A1623=COLUMNS($A1623:D1642), LEFT(INDEX(FILTER(D$1:D1622, D$1:D1622&lt;&gt;""""),COUNTA(FILTER(D$1:D1622, D$1:D1622&lt;&gt;""""))), LEN(INDEX(FILTER(D$1:D1622, D$1:D1622&lt;&gt;""""),COUNTA(FILTER(D$1:D1622, D$1:D1622&lt;&gt;""""))))-1), IF('To Order'!$A1623=COL"&amp;"UMNS($A1623:D1642), D1622&amp;RIGHT(INDIRECT(ADDRESS(ROW(D1623)-1, 'From Order'!$A1623)), 1), D1622))"),"CG")</f>
        <v>CG</v>
      </c>
      <c r="E1623" s="2" t="str">
        <f>IFERROR(__xludf.DUMMYFUNCTION("IF('From Order'!$A1623=COLUMNS($A1623:E1642), LEFT(INDEX(FILTER(E$1:E1622, E$1:E1622&lt;&gt;""""),COUNTA(FILTER(E$1:E1622, E$1:E1622&lt;&gt;""""))), LEN(INDEX(FILTER(E$1:E1622, E$1:E1622&lt;&gt;""""),COUNTA(FILTER(E$1:E1622, E$1:E1622&lt;&gt;""""))))-1), IF('To Order'!$A1623=COL"&amp;"UMNS($A1623:E1642), E1622&amp;RIGHT(INDIRECT(ADDRESS(ROW(E1623)-1, 'From Order'!$A1623)), 1), E1622))"),"")</f>
        <v/>
      </c>
      <c r="F1623" s="2" t="str">
        <f>IFERROR(__xludf.DUMMYFUNCTION("IF('From Order'!$A1623=COLUMNS($A1623:F1642), LEFT(INDEX(FILTER(F$1:F1622, F$1:F1622&lt;&gt;""""),COUNTA(FILTER(F$1:F1622, F$1:F1622&lt;&gt;""""))), LEN(INDEX(FILTER(F$1:F1622, F$1:F1622&lt;&gt;""""),COUNTA(FILTER(F$1:F1622, F$1:F1622&lt;&gt;""""))))-1), IF('To Order'!$A1623=COL"&amp;"UMNS($A1623:F1642), F1622&amp;RIGHT(INDIRECT(ADDRESS(ROW(F1623)-1, 'From Order'!$A1623)), 1), F1622))"),"")</f>
        <v/>
      </c>
      <c r="G1623" s="2" t="str">
        <f>IFERROR(__xludf.DUMMYFUNCTION("IF('From Order'!$A1623=COLUMNS($A1623:G1642), LEFT(INDEX(FILTER(G$1:G1622, G$1:G1622&lt;&gt;""""),COUNTA(FILTER(G$1:G1622, G$1:G1622&lt;&gt;""""))), LEN(INDEX(FILTER(G$1:G1622, G$1:G1622&lt;&gt;""""),COUNTA(FILTER(G$1:G1622, G$1:G1622&lt;&gt;""""))))-1), IF('To Order'!$A1623=COL"&amp;"UMNS($A1623:G1642), G1622&amp;RIGHT(INDIRECT(ADDRESS(ROW(G1623)-1, 'From Order'!$A1623)), 1), G1622))"),"")</f>
        <v/>
      </c>
      <c r="H1623" s="2" t="str">
        <f>IFERROR(__xludf.DUMMYFUNCTION("IF('From Order'!$A1623=COLUMNS($A1623:H1642), LEFT(INDEX(FILTER(H$1:H1622, H$1:H1622&lt;&gt;""""),COUNTA(FILTER(H$1:H1622, H$1:H1622&lt;&gt;""""))), LEN(INDEX(FILTER(H$1:H1622, H$1:H1622&lt;&gt;""""),COUNTA(FILTER(H$1:H1622, H$1:H1622&lt;&gt;""""))))-1), IF('To Order'!$A1623=COL"&amp;"UMNS($A1623:H1642), H1622&amp;RIGHT(INDIRECT(ADDRESS(ROW(H1623)-1, 'From Order'!$A1623)), 1), H1622))"),"")</f>
        <v/>
      </c>
      <c r="I1623" s="2" t="str">
        <f>IFERROR(__xludf.DUMMYFUNCTION("IF('From Order'!$A1623=COLUMNS($A1623:I1642), LEFT(INDEX(FILTER(I$1:I1622, I$1:I1622&lt;&gt;""""),COUNTA(FILTER(I$1:I1622, I$1:I1622&lt;&gt;""""))), LEN(INDEX(FILTER(I$1:I1622, I$1:I1622&lt;&gt;""""),COUNTA(FILTER(I$1:I1622, I$1:I1622&lt;&gt;""""))))-1), IF('To Order'!$A1623=COL"&amp;"UMNS($A1623:I1642), I1622&amp;RIGHT(INDIRECT(ADDRESS(ROW(I1623)-1, 'From Order'!$A1623)), 1), I1622))"),"")</f>
        <v/>
      </c>
    </row>
    <row r="1624">
      <c r="A1624" s="2" t="str">
        <f>IFERROR(__xludf.DUMMYFUNCTION("IF('From Order'!$A1624=COLUMNS($A1624:A1643), LEFT(INDEX(FILTER(A$1:A1623, A$1:A1623&lt;&gt;""""),COUNTA(FILTER(A$1:A1623, A$1:A1623&lt;&gt;""""))), LEN(INDEX(FILTER(A$1:A1623, A$1:A1623&lt;&gt;""""),COUNTA(FILTER(A$1:A1623, A$1:A1623&lt;&gt;""""))))-1), IF('To Order'!$A1624=COL"&amp;"UMNS($A1624:A1643), A1623&amp;RIGHT(INDIRECT(ADDRESS(ROW(A1624)-1, 'From Order'!$A1624)), 1), A1623))"),"Z")</f>
        <v>Z</v>
      </c>
      <c r="B1624" s="2" t="str">
        <f>IFERROR(__xludf.DUMMYFUNCTION("IF('From Order'!$A1624=COLUMNS($A1624:B1643), LEFT(INDEX(FILTER(B$1:B1623, B$1:B1623&lt;&gt;""""),COUNTA(FILTER(B$1:B1623, B$1:B1623&lt;&gt;""""))), LEN(INDEX(FILTER(B$1:B1623, B$1:B1623&lt;&gt;""""),COUNTA(FILTER(B$1:B1623, B$1:B1623&lt;&gt;""""))))-1), IF('To Order'!$A1624=COL"&amp;"UMNS($A1624:B1643), B1623&amp;RIGHT(INDIRECT(ADDRESS(ROW(B1624)-1, 'From Order'!$A1624)), 1), B1623))"),"RBRTVCDRHZMTDLDSRRVBMJDMWZCSFHBGJTTPBFLLWDDTS")</f>
        <v>RBRTVCDRHZMTDLDSRRVBMJDMWZCSFHBGJTTPBFLLWDDTS</v>
      </c>
      <c r="C1624" s="2" t="str">
        <f>IFERROR(__xludf.DUMMYFUNCTION("IF('From Order'!$A1624=COLUMNS($A1624:C1643), LEFT(INDEX(FILTER(C$1:C1623, C$1:C1623&lt;&gt;""""),COUNTA(FILTER(C$1:C1623, C$1:C1623&lt;&gt;""""))), LEN(INDEX(FILTER(C$1:C1623, C$1:C1623&lt;&gt;""""),COUNTA(FILTER(C$1:C1623, C$1:C1623&lt;&gt;""""))))-1), IF('To Order'!$A1624=COL"&amp;"UMNS($A1624:C1643), C1623&amp;RIGHT(INDIRECT(ADDRESS(ROW(C1624)-1, 'From Order'!$A1624)), 1), C1623))"),"TQVQJPPS")</f>
        <v>TQVQJPPS</v>
      </c>
      <c r="D1624" s="2" t="str">
        <f>IFERROR(__xludf.DUMMYFUNCTION("IF('From Order'!$A1624=COLUMNS($A1624:D1643), LEFT(INDEX(FILTER(D$1:D1623, D$1:D1623&lt;&gt;""""),COUNTA(FILTER(D$1:D1623, D$1:D1623&lt;&gt;""""))), LEN(INDEX(FILTER(D$1:D1623, D$1:D1623&lt;&gt;""""),COUNTA(FILTER(D$1:D1623, D$1:D1623&lt;&gt;""""))))-1), IF('To Order'!$A1624=COL"&amp;"UMNS($A1624:D1643), D1623&amp;RIGHT(INDIRECT(ADDRESS(ROW(D1624)-1, 'From Order'!$A1624)), 1), D1623))"),"CG")</f>
        <v>CG</v>
      </c>
      <c r="E1624" s="2" t="str">
        <f>IFERROR(__xludf.DUMMYFUNCTION("IF('From Order'!$A1624=COLUMNS($A1624:E1643), LEFT(INDEX(FILTER(E$1:E1623, E$1:E1623&lt;&gt;""""),COUNTA(FILTER(E$1:E1623, E$1:E1623&lt;&gt;""""))), LEN(INDEX(FILTER(E$1:E1623, E$1:E1623&lt;&gt;""""),COUNTA(FILTER(E$1:E1623, E$1:E1623&lt;&gt;""""))))-1), IF('To Order'!$A1624=COL"&amp;"UMNS($A1624:E1643), E1623&amp;RIGHT(INDIRECT(ADDRESS(ROW(E1624)-1, 'From Order'!$A1624)), 1), E1623))"),"")</f>
        <v/>
      </c>
      <c r="F1624" s="2" t="str">
        <f>IFERROR(__xludf.DUMMYFUNCTION("IF('From Order'!$A1624=COLUMNS($A1624:F1643), LEFT(INDEX(FILTER(F$1:F1623, F$1:F1623&lt;&gt;""""),COUNTA(FILTER(F$1:F1623, F$1:F1623&lt;&gt;""""))), LEN(INDEX(FILTER(F$1:F1623, F$1:F1623&lt;&gt;""""),COUNTA(FILTER(F$1:F1623, F$1:F1623&lt;&gt;""""))))-1), IF('To Order'!$A1624=COL"&amp;"UMNS($A1624:F1643), F1623&amp;RIGHT(INDIRECT(ADDRESS(ROW(F1624)-1, 'From Order'!$A1624)), 1), F1623))"),"")</f>
        <v/>
      </c>
      <c r="G1624" s="2" t="str">
        <f>IFERROR(__xludf.DUMMYFUNCTION("IF('From Order'!$A1624=COLUMNS($A1624:G1643), LEFT(INDEX(FILTER(G$1:G1623, G$1:G1623&lt;&gt;""""),COUNTA(FILTER(G$1:G1623, G$1:G1623&lt;&gt;""""))), LEN(INDEX(FILTER(G$1:G1623, G$1:G1623&lt;&gt;""""),COUNTA(FILTER(G$1:G1623, G$1:G1623&lt;&gt;""""))))-1), IF('To Order'!$A1624=COL"&amp;"UMNS($A1624:G1643), G1623&amp;RIGHT(INDIRECT(ADDRESS(ROW(G1624)-1, 'From Order'!$A1624)), 1), G1623))"),"")</f>
        <v/>
      </c>
      <c r="H1624" s="2" t="str">
        <f>IFERROR(__xludf.DUMMYFUNCTION("IF('From Order'!$A1624=COLUMNS($A1624:H1643), LEFT(INDEX(FILTER(H$1:H1623, H$1:H1623&lt;&gt;""""),COUNTA(FILTER(H$1:H1623, H$1:H1623&lt;&gt;""""))), LEN(INDEX(FILTER(H$1:H1623, H$1:H1623&lt;&gt;""""),COUNTA(FILTER(H$1:H1623, H$1:H1623&lt;&gt;""""))))-1), IF('To Order'!$A1624=COL"&amp;"UMNS($A1624:H1643), H1623&amp;RIGHT(INDIRECT(ADDRESS(ROW(H1624)-1, 'From Order'!$A1624)), 1), H1623))"),"")</f>
        <v/>
      </c>
      <c r="I1624" s="2" t="str">
        <f>IFERROR(__xludf.DUMMYFUNCTION("IF('From Order'!$A1624=COLUMNS($A1624:I1643), LEFT(INDEX(FILTER(I$1:I1623, I$1:I1623&lt;&gt;""""),COUNTA(FILTER(I$1:I1623, I$1:I1623&lt;&gt;""""))), LEN(INDEX(FILTER(I$1:I1623, I$1:I1623&lt;&gt;""""),COUNTA(FILTER(I$1:I1623, I$1:I1623&lt;&gt;""""))))-1), IF('To Order'!$A1624=COL"&amp;"UMNS($A1624:I1643), I1623&amp;RIGHT(INDIRECT(ADDRESS(ROW(I1624)-1, 'From Order'!$A1624)), 1), I1623))"),"")</f>
        <v/>
      </c>
    </row>
    <row r="1625">
      <c r="A1625" s="2" t="str">
        <f>IFERROR(__xludf.DUMMYFUNCTION("IF('From Order'!$A1625=COLUMNS($A1625:A1644), LEFT(INDEX(FILTER(A$1:A1624, A$1:A1624&lt;&gt;""""),COUNTA(FILTER(A$1:A1624, A$1:A1624&lt;&gt;""""))), LEN(INDEX(FILTER(A$1:A1624, A$1:A1624&lt;&gt;""""),COUNTA(FILTER(A$1:A1624, A$1:A1624&lt;&gt;""""))))-1), IF('To Order'!$A1625=COL"&amp;"UMNS($A1625:A1644), A1624&amp;RIGHT(INDIRECT(ADDRESS(ROW(A1625)-1, 'From Order'!$A1625)), 1), A1624))"),"Z")</f>
        <v>Z</v>
      </c>
      <c r="B1625" s="2" t="str">
        <f>IFERROR(__xludf.DUMMYFUNCTION("IF('From Order'!$A1625=COLUMNS($A1625:B1644), LEFT(INDEX(FILTER(B$1:B1624, B$1:B1624&lt;&gt;""""),COUNTA(FILTER(B$1:B1624, B$1:B1624&lt;&gt;""""))), LEN(INDEX(FILTER(B$1:B1624, B$1:B1624&lt;&gt;""""),COUNTA(FILTER(B$1:B1624, B$1:B1624&lt;&gt;""""))))-1), IF('To Order'!$A1625=COL"&amp;"UMNS($A1625:B1644), B1624&amp;RIGHT(INDIRECT(ADDRESS(ROW(B1625)-1, 'From Order'!$A1625)), 1), B1624))"),"RBRTVCDRHZMTDLDSRRVBMJDMWZCSFHBGJTTPBFLLWDDT")</f>
        <v>RBRTVCDRHZMTDLDSRRVBMJDMWZCSFHBGJTTPBFLLWDDT</v>
      </c>
      <c r="C1625" s="2" t="str">
        <f>IFERROR(__xludf.DUMMYFUNCTION("IF('From Order'!$A1625=COLUMNS($A1625:C1644), LEFT(INDEX(FILTER(C$1:C1624, C$1:C1624&lt;&gt;""""),COUNTA(FILTER(C$1:C1624, C$1:C1624&lt;&gt;""""))), LEN(INDEX(FILTER(C$1:C1624, C$1:C1624&lt;&gt;""""),COUNTA(FILTER(C$1:C1624, C$1:C1624&lt;&gt;""""))))-1), IF('To Order'!$A1625=COL"&amp;"UMNS($A1625:C1644), C1624&amp;RIGHT(INDIRECT(ADDRESS(ROW(C1625)-1, 'From Order'!$A1625)), 1), C1624))"),"TQVQJPPSS")</f>
        <v>TQVQJPPSS</v>
      </c>
      <c r="D1625" s="2" t="str">
        <f>IFERROR(__xludf.DUMMYFUNCTION("IF('From Order'!$A1625=COLUMNS($A1625:D1644), LEFT(INDEX(FILTER(D$1:D1624, D$1:D1624&lt;&gt;""""),COUNTA(FILTER(D$1:D1624, D$1:D1624&lt;&gt;""""))), LEN(INDEX(FILTER(D$1:D1624, D$1:D1624&lt;&gt;""""),COUNTA(FILTER(D$1:D1624, D$1:D1624&lt;&gt;""""))))-1), IF('To Order'!$A1625=COL"&amp;"UMNS($A1625:D1644), D1624&amp;RIGHT(INDIRECT(ADDRESS(ROW(D1625)-1, 'From Order'!$A1625)), 1), D1624))"),"CG")</f>
        <v>CG</v>
      </c>
      <c r="E1625" s="2" t="str">
        <f>IFERROR(__xludf.DUMMYFUNCTION("IF('From Order'!$A1625=COLUMNS($A1625:E1644), LEFT(INDEX(FILTER(E$1:E1624, E$1:E1624&lt;&gt;""""),COUNTA(FILTER(E$1:E1624, E$1:E1624&lt;&gt;""""))), LEN(INDEX(FILTER(E$1:E1624, E$1:E1624&lt;&gt;""""),COUNTA(FILTER(E$1:E1624, E$1:E1624&lt;&gt;""""))))-1), IF('To Order'!$A1625=COL"&amp;"UMNS($A1625:E1644), E1624&amp;RIGHT(INDIRECT(ADDRESS(ROW(E1625)-1, 'From Order'!$A1625)), 1), E1624))"),"")</f>
        <v/>
      </c>
      <c r="F1625" s="2" t="str">
        <f>IFERROR(__xludf.DUMMYFUNCTION("IF('From Order'!$A1625=COLUMNS($A1625:F1644), LEFT(INDEX(FILTER(F$1:F1624, F$1:F1624&lt;&gt;""""),COUNTA(FILTER(F$1:F1624, F$1:F1624&lt;&gt;""""))), LEN(INDEX(FILTER(F$1:F1624, F$1:F1624&lt;&gt;""""),COUNTA(FILTER(F$1:F1624, F$1:F1624&lt;&gt;""""))))-1), IF('To Order'!$A1625=COL"&amp;"UMNS($A1625:F1644), F1624&amp;RIGHT(INDIRECT(ADDRESS(ROW(F1625)-1, 'From Order'!$A1625)), 1), F1624))"),"")</f>
        <v/>
      </c>
      <c r="G1625" s="2" t="str">
        <f>IFERROR(__xludf.DUMMYFUNCTION("IF('From Order'!$A1625=COLUMNS($A1625:G1644), LEFT(INDEX(FILTER(G$1:G1624, G$1:G1624&lt;&gt;""""),COUNTA(FILTER(G$1:G1624, G$1:G1624&lt;&gt;""""))), LEN(INDEX(FILTER(G$1:G1624, G$1:G1624&lt;&gt;""""),COUNTA(FILTER(G$1:G1624, G$1:G1624&lt;&gt;""""))))-1), IF('To Order'!$A1625=COL"&amp;"UMNS($A1625:G1644), G1624&amp;RIGHT(INDIRECT(ADDRESS(ROW(G1625)-1, 'From Order'!$A1625)), 1), G1624))"),"")</f>
        <v/>
      </c>
      <c r="H1625" s="2" t="str">
        <f>IFERROR(__xludf.DUMMYFUNCTION("IF('From Order'!$A1625=COLUMNS($A1625:H1644), LEFT(INDEX(FILTER(H$1:H1624, H$1:H1624&lt;&gt;""""),COUNTA(FILTER(H$1:H1624, H$1:H1624&lt;&gt;""""))), LEN(INDEX(FILTER(H$1:H1624, H$1:H1624&lt;&gt;""""),COUNTA(FILTER(H$1:H1624, H$1:H1624&lt;&gt;""""))))-1), IF('To Order'!$A1625=COL"&amp;"UMNS($A1625:H1644), H1624&amp;RIGHT(INDIRECT(ADDRESS(ROW(H1625)-1, 'From Order'!$A1625)), 1), H1624))"),"")</f>
        <v/>
      </c>
      <c r="I1625" s="2" t="str">
        <f>IFERROR(__xludf.DUMMYFUNCTION("IF('From Order'!$A1625=COLUMNS($A1625:I1644), LEFT(INDEX(FILTER(I$1:I1624, I$1:I1624&lt;&gt;""""),COUNTA(FILTER(I$1:I1624, I$1:I1624&lt;&gt;""""))), LEN(INDEX(FILTER(I$1:I1624, I$1:I1624&lt;&gt;""""),COUNTA(FILTER(I$1:I1624, I$1:I1624&lt;&gt;""""))))-1), IF('To Order'!$A1625=COL"&amp;"UMNS($A1625:I1644), I1624&amp;RIGHT(INDIRECT(ADDRESS(ROW(I1625)-1, 'From Order'!$A1625)), 1), I1624))"),"")</f>
        <v/>
      </c>
    </row>
    <row r="1626">
      <c r="A1626" s="2" t="str">
        <f>IFERROR(__xludf.DUMMYFUNCTION("IF('From Order'!$A1626=COLUMNS($A1626:A1645), LEFT(INDEX(FILTER(A$1:A1625, A$1:A1625&lt;&gt;""""),COUNTA(FILTER(A$1:A1625, A$1:A1625&lt;&gt;""""))), LEN(INDEX(FILTER(A$1:A1625, A$1:A1625&lt;&gt;""""),COUNTA(FILTER(A$1:A1625, A$1:A1625&lt;&gt;""""))))-1), IF('To Order'!$A1626=COL"&amp;"UMNS($A1626:A1645), A1625&amp;RIGHT(INDIRECT(ADDRESS(ROW(A1626)-1, 'From Order'!$A1626)), 1), A1625))"),"Z")</f>
        <v>Z</v>
      </c>
      <c r="B1626" s="2" t="str">
        <f>IFERROR(__xludf.DUMMYFUNCTION("IF('From Order'!$A1626=COLUMNS($A1626:B1645), LEFT(INDEX(FILTER(B$1:B1625, B$1:B1625&lt;&gt;""""),COUNTA(FILTER(B$1:B1625, B$1:B1625&lt;&gt;""""))), LEN(INDEX(FILTER(B$1:B1625, B$1:B1625&lt;&gt;""""),COUNTA(FILTER(B$1:B1625, B$1:B1625&lt;&gt;""""))))-1), IF('To Order'!$A1626=COL"&amp;"UMNS($A1626:B1645), B1625&amp;RIGHT(INDIRECT(ADDRESS(ROW(B1626)-1, 'From Order'!$A1626)), 1), B1625))"),"RBRTVCDRHZMTDLDSRRVBMJDMWZCSFHBGJTTPBFLLWDD")</f>
        <v>RBRTVCDRHZMTDLDSRRVBMJDMWZCSFHBGJTTPBFLLWDD</v>
      </c>
      <c r="C1626" s="2" t="str">
        <f>IFERROR(__xludf.DUMMYFUNCTION("IF('From Order'!$A1626=COLUMNS($A1626:C1645), LEFT(INDEX(FILTER(C$1:C1625, C$1:C1625&lt;&gt;""""),COUNTA(FILTER(C$1:C1625, C$1:C1625&lt;&gt;""""))), LEN(INDEX(FILTER(C$1:C1625, C$1:C1625&lt;&gt;""""),COUNTA(FILTER(C$1:C1625, C$1:C1625&lt;&gt;""""))))-1), IF('To Order'!$A1626=COL"&amp;"UMNS($A1626:C1645), C1625&amp;RIGHT(INDIRECT(ADDRESS(ROW(C1626)-1, 'From Order'!$A1626)), 1), C1625))"),"TQVQJPPSST")</f>
        <v>TQVQJPPSST</v>
      </c>
      <c r="D1626" s="2" t="str">
        <f>IFERROR(__xludf.DUMMYFUNCTION("IF('From Order'!$A1626=COLUMNS($A1626:D1645), LEFT(INDEX(FILTER(D$1:D1625, D$1:D1625&lt;&gt;""""),COUNTA(FILTER(D$1:D1625, D$1:D1625&lt;&gt;""""))), LEN(INDEX(FILTER(D$1:D1625, D$1:D1625&lt;&gt;""""),COUNTA(FILTER(D$1:D1625, D$1:D1625&lt;&gt;""""))))-1), IF('To Order'!$A1626=COL"&amp;"UMNS($A1626:D1645), D1625&amp;RIGHT(INDIRECT(ADDRESS(ROW(D1626)-1, 'From Order'!$A1626)), 1), D1625))"),"CG")</f>
        <v>CG</v>
      </c>
      <c r="E1626" s="2" t="str">
        <f>IFERROR(__xludf.DUMMYFUNCTION("IF('From Order'!$A1626=COLUMNS($A1626:E1645), LEFT(INDEX(FILTER(E$1:E1625, E$1:E1625&lt;&gt;""""),COUNTA(FILTER(E$1:E1625, E$1:E1625&lt;&gt;""""))), LEN(INDEX(FILTER(E$1:E1625, E$1:E1625&lt;&gt;""""),COUNTA(FILTER(E$1:E1625, E$1:E1625&lt;&gt;""""))))-1), IF('To Order'!$A1626=COL"&amp;"UMNS($A1626:E1645), E1625&amp;RIGHT(INDIRECT(ADDRESS(ROW(E1626)-1, 'From Order'!$A1626)), 1), E1625))"),"")</f>
        <v/>
      </c>
      <c r="F1626" s="2" t="str">
        <f>IFERROR(__xludf.DUMMYFUNCTION("IF('From Order'!$A1626=COLUMNS($A1626:F1645), LEFT(INDEX(FILTER(F$1:F1625, F$1:F1625&lt;&gt;""""),COUNTA(FILTER(F$1:F1625, F$1:F1625&lt;&gt;""""))), LEN(INDEX(FILTER(F$1:F1625, F$1:F1625&lt;&gt;""""),COUNTA(FILTER(F$1:F1625, F$1:F1625&lt;&gt;""""))))-1), IF('To Order'!$A1626=COL"&amp;"UMNS($A1626:F1645), F1625&amp;RIGHT(INDIRECT(ADDRESS(ROW(F1626)-1, 'From Order'!$A1626)), 1), F1625))"),"")</f>
        <v/>
      </c>
      <c r="G1626" s="2" t="str">
        <f>IFERROR(__xludf.DUMMYFUNCTION("IF('From Order'!$A1626=COLUMNS($A1626:G1645), LEFT(INDEX(FILTER(G$1:G1625, G$1:G1625&lt;&gt;""""),COUNTA(FILTER(G$1:G1625, G$1:G1625&lt;&gt;""""))), LEN(INDEX(FILTER(G$1:G1625, G$1:G1625&lt;&gt;""""),COUNTA(FILTER(G$1:G1625, G$1:G1625&lt;&gt;""""))))-1), IF('To Order'!$A1626=COL"&amp;"UMNS($A1626:G1645), G1625&amp;RIGHT(INDIRECT(ADDRESS(ROW(G1626)-1, 'From Order'!$A1626)), 1), G1625))"),"")</f>
        <v/>
      </c>
      <c r="H1626" s="2" t="str">
        <f>IFERROR(__xludf.DUMMYFUNCTION("IF('From Order'!$A1626=COLUMNS($A1626:H1645), LEFT(INDEX(FILTER(H$1:H1625, H$1:H1625&lt;&gt;""""),COUNTA(FILTER(H$1:H1625, H$1:H1625&lt;&gt;""""))), LEN(INDEX(FILTER(H$1:H1625, H$1:H1625&lt;&gt;""""),COUNTA(FILTER(H$1:H1625, H$1:H1625&lt;&gt;""""))))-1), IF('To Order'!$A1626=COL"&amp;"UMNS($A1626:H1645), H1625&amp;RIGHT(INDIRECT(ADDRESS(ROW(H1626)-1, 'From Order'!$A1626)), 1), H1625))"),"")</f>
        <v/>
      </c>
      <c r="I1626" s="2" t="str">
        <f>IFERROR(__xludf.DUMMYFUNCTION("IF('From Order'!$A1626=COLUMNS($A1626:I1645), LEFT(INDEX(FILTER(I$1:I1625, I$1:I1625&lt;&gt;""""),COUNTA(FILTER(I$1:I1625, I$1:I1625&lt;&gt;""""))), LEN(INDEX(FILTER(I$1:I1625, I$1:I1625&lt;&gt;""""),COUNTA(FILTER(I$1:I1625, I$1:I1625&lt;&gt;""""))))-1), IF('To Order'!$A1626=COL"&amp;"UMNS($A1626:I1645), I1625&amp;RIGHT(INDIRECT(ADDRESS(ROW(I1626)-1, 'From Order'!$A1626)), 1), I1625))"),"")</f>
        <v/>
      </c>
    </row>
    <row r="1627">
      <c r="A1627" s="2" t="str">
        <f>IFERROR(__xludf.DUMMYFUNCTION("IF('From Order'!$A1627=COLUMNS($A1627:A1646), LEFT(INDEX(FILTER(A$1:A1626, A$1:A1626&lt;&gt;""""),COUNTA(FILTER(A$1:A1626, A$1:A1626&lt;&gt;""""))), LEN(INDEX(FILTER(A$1:A1626, A$1:A1626&lt;&gt;""""),COUNTA(FILTER(A$1:A1626, A$1:A1626&lt;&gt;""""))))-1), IF('To Order'!$A1627=COL"&amp;"UMNS($A1627:A1646), A1626&amp;RIGHT(INDIRECT(ADDRESS(ROW(A1627)-1, 'From Order'!$A1627)), 1), A1626))"),"Z")</f>
        <v>Z</v>
      </c>
      <c r="B1627" s="2" t="str">
        <f>IFERROR(__xludf.DUMMYFUNCTION("IF('From Order'!$A1627=COLUMNS($A1627:B1646), LEFT(INDEX(FILTER(B$1:B1626, B$1:B1626&lt;&gt;""""),COUNTA(FILTER(B$1:B1626, B$1:B1626&lt;&gt;""""))), LEN(INDEX(FILTER(B$1:B1626, B$1:B1626&lt;&gt;""""),COUNTA(FILTER(B$1:B1626, B$1:B1626&lt;&gt;""""))))-1), IF('To Order'!$A1627=COL"&amp;"UMNS($A1627:B1646), B1626&amp;RIGHT(INDIRECT(ADDRESS(ROW(B1627)-1, 'From Order'!$A1627)), 1), B1626))"),"RBRTVCDRHZMTDLDSRRVBMJDMWZCSFHBGJTTPBFLLWD")</f>
        <v>RBRTVCDRHZMTDLDSRRVBMJDMWZCSFHBGJTTPBFLLWD</v>
      </c>
      <c r="C1627" s="2" t="str">
        <f>IFERROR(__xludf.DUMMYFUNCTION("IF('From Order'!$A1627=COLUMNS($A1627:C1646), LEFT(INDEX(FILTER(C$1:C1626, C$1:C1626&lt;&gt;""""),COUNTA(FILTER(C$1:C1626, C$1:C1626&lt;&gt;""""))), LEN(INDEX(FILTER(C$1:C1626, C$1:C1626&lt;&gt;""""),COUNTA(FILTER(C$1:C1626, C$1:C1626&lt;&gt;""""))))-1), IF('To Order'!$A1627=COL"&amp;"UMNS($A1627:C1646), C1626&amp;RIGHT(INDIRECT(ADDRESS(ROW(C1627)-1, 'From Order'!$A1627)), 1), C1626))"),"TQVQJPPSSTD")</f>
        <v>TQVQJPPSSTD</v>
      </c>
      <c r="D1627" s="2" t="str">
        <f>IFERROR(__xludf.DUMMYFUNCTION("IF('From Order'!$A1627=COLUMNS($A1627:D1646), LEFT(INDEX(FILTER(D$1:D1626, D$1:D1626&lt;&gt;""""),COUNTA(FILTER(D$1:D1626, D$1:D1626&lt;&gt;""""))), LEN(INDEX(FILTER(D$1:D1626, D$1:D1626&lt;&gt;""""),COUNTA(FILTER(D$1:D1626, D$1:D1626&lt;&gt;""""))))-1), IF('To Order'!$A1627=COL"&amp;"UMNS($A1627:D1646), D1626&amp;RIGHT(INDIRECT(ADDRESS(ROW(D1627)-1, 'From Order'!$A1627)), 1), D1626))"),"CG")</f>
        <v>CG</v>
      </c>
      <c r="E1627" s="2" t="str">
        <f>IFERROR(__xludf.DUMMYFUNCTION("IF('From Order'!$A1627=COLUMNS($A1627:E1646), LEFT(INDEX(FILTER(E$1:E1626, E$1:E1626&lt;&gt;""""),COUNTA(FILTER(E$1:E1626, E$1:E1626&lt;&gt;""""))), LEN(INDEX(FILTER(E$1:E1626, E$1:E1626&lt;&gt;""""),COUNTA(FILTER(E$1:E1626, E$1:E1626&lt;&gt;""""))))-1), IF('To Order'!$A1627=COL"&amp;"UMNS($A1627:E1646), E1626&amp;RIGHT(INDIRECT(ADDRESS(ROW(E1627)-1, 'From Order'!$A1627)), 1), E1626))"),"")</f>
        <v/>
      </c>
      <c r="F1627" s="2" t="str">
        <f>IFERROR(__xludf.DUMMYFUNCTION("IF('From Order'!$A1627=COLUMNS($A1627:F1646), LEFT(INDEX(FILTER(F$1:F1626, F$1:F1626&lt;&gt;""""),COUNTA(FILTER(F$1:F1626, F$1:F1626&lt;&gt;""""))), LEN(INDEX(FILTER(F$1:F1626, F$1:F1626&lt;&gt;""""),COUNTA(FILTER(F$1:F1626, F$1:F1626&lt;&gt;""""))))-1), IF('To Order'!$A1627=COL"&amp;"UMNS($A1627:F1646), F1626&amp;RIGHT(INDIRECT(ADDRESS(ROW(F1627)-1, 'From Order'!$A1627)), 1), F1626))"),"")</f>
        <v/>
      </c>
      <c r="G1627" s="2" t="str">
        <f>IFERROR(__xludf.DUMMYFUNCTION("IF('From Order'!$A1627=COLUMNS($A1627:G1646), LEFT(INDEX(FILTER(G$1:G1626, G$1:G1626&lt;&gt;""""),COUNTA(FILTER(G$1:G1626, G$1:G1626&lt;&gt;""""))), LEN(INDEX(FILTER(G$1:G1626, G$1:G1626&lt;&gt;""""),COUNTA(FILTER(G$1:G1626, G$1:G1626&lt;&gt;""""))))-1), IF('To Order'!$A1627=COL"&amp;"UMNS($A1627:G1646), G1626&amp;RIGHT(INDIRECT(ADDRESS(ROW(G1627)-1, 'From Order'!$A1627)), 1), G1626))"),"")</f>
        <v/>
      </c>
      <c r="H1627" s="2" t="str">
        <f>IFERROR(__xludf.DUMMYFUNCTION("IF('From Order'!$A1627=COLUMNS($A1627:H1646), LEFT(INDEX(FILTER(H$1:H1626, H$1:H1626&lt;&gt;""""),COUNTA(FILTER(H$1:H1626, H$1:H1626&lt;&gt;""""))), LEN(INDEX(FILTER(H$1:H1626, H$1:H1626&lt;&gt;""""),COUNTA(FILTER(H$1:H1626, H$1:H1626&lt;&gt;""""))))-1), IF('To Order'!$A1627=COL"&amp;"UMNS($A1627:H1646), H1626&amp;RIGHT(INDIRECT(ADDRESS(ROW(H1627)-1, 'From Order'!$A1627)), 1), H1626))"),"")</f>
        <v/>
      </c>
      <c r="I1627" s="2" t="str">
        <f>IFERROR(__xludf.DUMMYFUNCTION("IF('From Order'!$A1627=COLUMNS($A1627:I1646), LEFT(INDEX(FILTER(I$1:I1626, I$1:I1626&lt;&gt;""""),COUNTA(FILTER(I$1:I1626, I$1:I1626&lt;&gt;""""))), LEN(INDEX(FILTER(I$1:I1626, I$1:I1626&lt;&gt;""""),COUNTA(FILTER(I$1:I1626, I$1:I1626&lt;&gt;""""))))-1), IF('To Order'!$A1627=COL"&amp;"UMNS($A1627:I1646), I1626&amp;RIGHT(INDIRECT(ADDRESS(ROW(I1627)-1, 'From Order'!$A1627)), 1), I1626))"),"")</f>
        <v/>
      </c>
    </row>
    <row r="1628">
      <c r="A1628" s="2" t="str">
        <f>IFERROR(__xludf.DUMMYFUNCTION("IF('From Order'!$A1628=COLUMNS($A1628:A1647), LEFT(INDEX(FILTER(A$1:A1627, A$1:A1627&lt;&gt;""""),COUNTA(FILTER(A$1:A1627, A$1:A1627&lt;&gt;""""))), LEN(INDEX(FILTER(A$1:A1627, A$1:A1627&lt;&gt;""""),COUNTA(FILTER(A$1:A1627, A$1:A1627&lt;&gt;""""))))-1), IF('To Order'!$A1628=COL"&amp;"UMNS($A1628:A1647), A1627&amp;RIGHT(INDIRECT(ADDRESS(ROW(A1628)-1, 'From Order'!$A1628)), 1), A1627))"),"Z")</f>
        <v>Z</v>
      </c>
      <c r="B1628" s="2" t="str">
        <f>IFERROR(__xludf.DUMMYFUNCTION("IF('From Order'!$A1628=COLUMNS($A1628:B1647), LEFT(INDEX(FILTER(B$1:B1627, B$1:B1627&lt;&gt;""""),COUNTA(FILTER(B$1:B1627, B$1:B1627&lt;&gt;""""))), LEN(INDEX(FILTER(B$1:B1627, B$1:B1627&lt;&gt;""""),COUNTA(FILTER(B$1:B1627, B$1:B1627&lt;&gt;""""))))-1), IF('To Order'!$A1628=COL"&amp;"UMNS($A1628:B1647), B1627&amp;RIGHT(INDIRECT(ADDRESS(ROW(B1628)-1, 'From Order'!$A1628)), 1), B1627))"),"RBRTVCDRHZMTDLDSRRVBMJDMWZCSFHBGJTTPBFLLW")</f>
        <v>RBRTVCDRHZMTDLDSRRVBMJDMWZCSFHBGJTTPBFLLW</v>
      </c>
      <c r="C1628" s="2" t="str">
        <f>IFERROR(__xludf.DUMMYFUNCTION("IF('From Order'!$A1628=COLUMNS($A1628:C1647), LEFT(INDEX(FILTER(C$1:C1627, C$1:C1627&lt;&gt;""""),COUNTA(FILTER(C$1:C1627, C$1:C1627&lt;&gt;""""))), LEN(INDEX(FILTER(C$1:C1627, C$1:C1627&lt;&gt;""""),COUNTA(FILTER(C$1:C1627, C$1:C1627&lt;&gt;""""))))-1), IF('To Order'!$A1628=COL"&amp;"UMNS($A1628:C1647), C1627&amp;RIGHT(INDIRECT(ADDRESS(ROW(C1628)-1, 'From Order'!$A1628)), 1), C1627))"),"TQVQJPPSSTDD")</f>
        <v>TQVQJPPSSTDD</v>
      </c>
      <c r="D1628" s="2" t="str">
        <f>IFERROR(__xludf.DUMMYFUNCTION("IF('From Order'!$A1628=COLUMNS($A1628:D1647), LEFT(INDEX(FILTER(D$1:D1627, D$1:D1627&lt;&gt;""""),COUNTA(FILTER(D$1:D1627, D$1:D1627&lt;&gt;""""))), LEN(INDEX(FILTER(D$1:D1627, D$1:D1627&lt;&gt;""""),COUNTA(FILTER(D$1:D1627, D$1:D1627&lt;&gt;""""))))-1), IF('To Order'!$A1628=COL"&amp;"UMNS($A1628:D1647), D1627&amp;RIGHT(INDIRECT(ADDRESS(ROW(D1628)-1, 'From Order'!$A1628)), 1), D1627))"),"CG")</f>
        <v>CG</v>
      </c>
      <c r="E1628" s="2" t="str">
        <f>IFERROR(__xludf.DUMMYFUNCTION("IF('From Order'!$A1628=COLUMNS($A1628:E1647), LEFT(INDEX(FILTER(E$1:E1627, E$1:E1627&lt;&gt;""""),COUNTA(FILTER(E$1:E1627, E$1:E1627&lt;&gt;""""))), LEN(INDEX(FILTER(E$1:E1627, E$1:E1627&lt;&gt;""""),COUNTA(FILTER(E$1:E1627, E$1:E1627&lt;&gt;""""))))-1), IF('To Order'!$A1628=COL"&amp;"UMNS($A1628:E1647), E1627&amp;RIGHT(INDIRECT(ADDRESS(ROW(E1628)-1, 'From Order'!$A1628)), 1), E1627))"),"")</f>
        <v/>
      </c>
      <c r="F1628" s="2" t="str">
        <f>IFERROR(__xludf.DUMMYFUNCTION("IF('From Order'!$A1628=COLUMNS($A1628:F1647), LEFT(INDEX(FILTER(F$1:F1627, F$1:F1627&lt;&gt;""""),COUNTA(FILTER(F$1:F1627, F$1:F1627&lt;&gt;""""))), LEN(INDEX(FILTER(F$1:F1627, F$1:F1627&lt;&gt;""""),COUNTA(FILTER(F$1:F1627, F$1:F1627&lt;&gt;""""))))-1), IF('To Order'!$A1628=COL"&amp;"UMNS($A1628:F1647), F1627&amp;RIGHT(INDIRECT(ADDRESS(ROW(F1628)-1, 'From Order'!$A1628)), 1), F1627))"),"")</f>
        <v/>
      </c>
      <c r="G1628" s="2" t="str">
        <f>IFERROR(__xludf.DUMMYFUNCTION("IF('From Order'!$A1628=COLUMNS($A1628:G1647), LEFT(INDEX(FILTER(G$1:G1627, G$1:G1627&lt;&gt;""""),COUNTA(FILTER(G$1:G1627, G$1:G1627&lt;&gt;""""))), LEN(INDEX(FILTER(G$1:G1627, G$1:G1627&lt;&gt;""""),COUNTA(FILTER(G$1:G1627, G$1:G1627&lt;&gt;""""))))-1), IF('To Order'!$A1628=COL"&amp;"UMNS($A1628:G1647), G1627&amp;RIGHT(INDIRECT(ADDRESS(ROW(G1628)-1, 'From Order'!$A1628)), 1), G1627))"),"")</f>
        <v/>
      </c>
      <c r="H1628" s="2" t="str">
        <f>IFERROR(__xludf.DUMMYFUNCTION("IF('From Order'!$A1628=COLUMNS($A1628:H1647), LEFT(INDEX(FILTER(H$1:H1627, H$1:H1627&lt;&gt;""""),COUNTA(FILTER(H$1:H1627, H$1:H1627&lt;&gt;""""))), LEN(INDEX(FILTER(H$1:H1627, H$1:H1627&lt;&gt;""""),COUNTA(FILTER(H$1:H1627, H$1:H1627&lt;&gt;""""))))-1), IF('To Order'!$A1628=COL"&amp;"UMNS($A1628:H1647), H1627&amp;RIGHT(INDIRECT(ADDRESS(ROW(H1628)-1, 'From Order'!$A1628)), 1), H1627))"),"")</f>
        <v/>
      </c>
      <c r="I1628" s="2" t="str">
        <f>IFERROR(__xludf.DUMMYFUNCTION("IF('From Order'!$A1628=COLUMNS($A1628:I1647), LEFT(INDEX(FILTER(I$1:I1627, I$1:I1627&lt;&gt;""""),COUNTA(FILTER(I$1:I1627, I$1:I1627&lt;&gt;""""))), LEN(INDEX(FILTER(I$1:I1627, I$1:I1627&lt;&gt;""""),COUNTA(FILTER(I$1:I1627, I$1:I1627&lt;&gt;""""))))-1), IF('To Order'!$A1628=COL"&amp;"UMNS($A1628:I1647), I1627&amp;RIGHT(INDIRECT(ADDRESS(ROW(I1628)-1, 'From Order'!$A1628)), 1), I1627))"),"")</f>
        <v/>
      </c>
    </row>
    <row r="1629">
      <c r="A1629" s="2" t="str">
        <f>IFERROR(__xludf.DUMMYFUNCTION("IF('From Order'!$A1629=COLUMNS($A1629:A1648), LEFT(INDEX(FILTER(A$1:A1628, A$1:A1628&lt;&gt;""""),COUNTA(FILTER(A$1:A1628, A$1:A1628&lt;&gt;""""))), LEN(INDEX(FILTER(A$1:A1628, A$1:A1628&lt;&gt;""""),COUNTA(FILTER(A$1:A1628, A$1:A1628&lt;&gt;""""))))-1), IF('To Order'!$A1629=COL"&amp;"UMNS($A1629:A1648), A1628&amp;RIGHT(INDIRECT(ADDRESS(ROW(A1629)-1, 'From Order'!$A1629)), 1), A1628))"),"Z")</f>
        <v>Z</v>
      </c>
      <c r="B1629" s="2" t="str">
        <f>IFERROR(__xludf.DUMMYFUNCTION("IF('From Order'!$A1629=COLUMNS($A1629:B1648), LEFT(INDEX(FILTER(B$1:B1628, B$1:B1628&lt;&gt;""""),COUNTA(FILTER(B$1:B1628, B$1:B1628&lt;&gt;""""))), LEN(INDEX(FILTER(B$1:B1628, B$1:B1628&lt;&gt;""""),COUNTA(FILTER(B$1:B1628, B$1:B1628&lt;&gt;""""))))-1), IF('To Order'!$A1629=COL"&amp;"UMNS($A1629:B1648), B1628&amp;RIGHT(INDIRECT(ADDRESS(ROW(B1629)-1, 'From Order'!$A1629)), 1), B1628))"),"RBRTVCDRHZMTDLDSRRVBMJDMWZCSFHBGJTTPBFLL")</f>
        <v>RBRTVCDRHZMTDLDSRRVBMJDMWZCSFHBGJTTPBFLL</v>
      </c>
      <c r="C1629" s="2" t="str">
        <f>IFERROR(__xludf.DUMMYFUNCTION("IF('From Order'!$A1629=COLUMNS($A1629:C1648), LEFT(INDEX(FILTER(C$1:C1628, C$1:C1628&lt;&gt;""""),COUNTA(FILTER(C$1:C1628, C$1:C1628&lt;&gt;""""))), LEN(INDEX(FILTER(C$1:C1628, C$1:C1628&lt;&gt;""""),COUNTA(FILTER(C$1:C1628, C$1:C1628&lt;&gt;""""))))-1), IF('To Order'!$A1629=COL"&amp;"UMNS($A1629:C1648), C1628&amp;RIGHT(INDIRECT(ADDRESS(ROW(C1629)-1, 'From Order'!$A1629)), 1), C1628))"),"TQVQJPPSSTDDW")</f>
        <v>TQVQJPPSSTDDW</v>
      </c>
      <c r="D1629" s="2" t="str">
        <f>IFERROR(__xludf.DUMMYFUNCTION("IF('From Order'!$A1629=COLUMNS($A1629:D1648), LEFT(INDEX(FILTER(D$1:D1628, D$1:D1628&lt;&gt;""""),COUNTA(FILTER(D$1:D1628, D$1:D1628&lt;&gt;""""))), LEN(INDEX(FILTER(D$1:D1628, D$1:D1628&lt;&gt;""""),COUNTA(FILTER(D$1:D1628, D$1:D1628&lt;&gt;""""))))-1), IF('To Order'!$A1629=COL"&amp;"UMNS($A1629:D1648), D1628&amp;RIGHT(INDIRECT(ADDRESS(ROW(D1629)-1, 'From Order'!$A1629)), 1), D1628))"),"CG")</f>
        <v>CG</v>
      </c>
      <c r="E1629" s="2" t="str">
        <f>IFERROR(__xludf.DUMMYFUNCTION("IF('From Order'!$A1629=COLUMNS($A1629:E1648), LEFT(INDEX(FILTER(E$1:E1628, E$1:E1628&lt;&gt;""""),COUNTA(FILTER(E$1:E1628, E$1:E1628&lt;&gt;""""))), LEN(INDEX(FILTER(E$1:E1628, E$1:E1628&lt;&gt;""""),COUNTA(FILTER(E$1:E1628, E$1:E1628&lt;&gt;""""))))-1), IF('To Order'!$A1629=COL"&amp;"UMNS($A1629:E1648), E1628&amp;RIGHT(INDIRECT(ADDRESS(ROW(E1629)-1, 'From Order'!$A1629)), 1), E1628))"),"")</f>
        <v/>
      </c>
      <c r="F1629" s="2" t="str">
        <f>IFERROR(__xludf.DUMMYFUNCTION("IF('From Order'!$A1629=COLUMNS($A1629:F1648), LEFT(INDEX(FILTER(F$1:F1628, F$1:F1628&lt;&gt;""""),COUNTA(FILTER(F$1:F1628, F$1:F1628&lt;&gt;""""))), LEN(INDEX(FILTER(F$1:F1628, F$1:F1628&lt;&gt;""""),COUNTA(FILTER(F$1:F1628, F$1:F1628&lt;&gt;""""))))-1), IF('To Order'!$A1629=COL"&amp;"UMNS($A1629:F1648), F1628&amp;RIGHT(INDIRECT(ADDRESS(ROW(F1629)-1, 'From Order'!$A1629)), 1), F1628))"),"")</f>
        <v/>
      </c>
      <c r="G1629" s="2" t="str">
        <f>IFERROR(__xludf.DUMMYFUNCTION("IF('From Order'!$A1629=COLUMNS($A1629:G1648), LEFT(INDEX(FILTER(G$1:G1628, G$1:G1628&lt;&gt;""""),COUNTA(FILTER(G$1:G1628, G$1:G1628&lt;&gt;""""))), LEN(INDEX(FILTER(G$1:G1628, G$1:G1628&lt;&gt;""""),COUNTA(FILTER(G$1:G1628, G$1:G1628&lt;&gt;""""))))-1), IF('To Order'!$A1629=COL"&amp;"UMNS($A1629:G1648), G1628&amp;RIGHT(INDIRECT(ADDRESS(ROW(G1629)-1, 'From Order'!$A1629)), 1), G1628))"),"")</f>
        <v/>
      </c>
      <c r="H1629" s="2" t="str">
        <f>IFERROR(__xludf.DUMMYFUNCTION("IF('From Order'!$A1629=COLUMNS($A1629:H1648), LEFT(INDEX(FILTER(H$1:H1628, H$1:H1628&lt;&gt;""""),COUNTA(FILTER(H$1:H1628, H$1:H1628&lt;&gt;""""))), LEN(INDEX(FILTER(H$1:H1628, H$1:H1628&lt;&gt;""""),COUNTA(FILTER(H$1:H1628, H$1:H1628&lt;&gt;""""))))-1), IF('To Order'!$A1629=COL"&amp;"UMNS($A1629:H1648), H1628&amp;RIGHT(INDIRECT(ADDRESS(ROW(H1629)-1, 'From Order'!$A1629)), 1), H1628))"),"")</f>
        <v/>
      </c>
      <c r="I1629" s="2" t="str">
        <f>IFERROR(__xludf.DUMMYFUNCTION("IF('From Order'!$A1629=COLUMNS($A1629:I1648), LEFT(INDEX(FILTER(I$1:I1628, I$1:I1628&lt;&gt;""""),COUNTA(FILTER(I$1:I1628, I$1:I1628&lt;&gt;""""))), LEN(INDEX(FILTER(I$1:I1628, I$1:I1628&lt;&gt;""""),COUNTA(FILTER(I$1:I1628, I$1:I1628&lt;&gt;""""))))-1), IF('To Order'!$A1629=COL"&amp;"UMNS($A1629:I1648), I1628&amp;RIGHT(INDIRECT(ADDRESS(ROW(I1629)-1, 'From Order'!$A1629)), 1), I1628))"),"")</f>
        <v/>
      </c>
    </row>
    <row r="1630">
      <c r="A1630" s="2" t="str">
        <f>IFERROR(__xludf.DUMMYFUNCTION("IF('From Order'!$A1630=COLUMNS($A1630:A1649), LEFT(INDEX(FILTER(A$1:A1629, A$1:A1629&lt;&gt;""""),COUNTA(FILTER(A$1:A1629, A$1:A1629&lt;&gt;""""))), LEN(INDEX(FILTER(A$1:A1629, A$1:A1629&lt;&gt;""""),COUNTA(FILTER(A$1:A1629, A$1:A1629&lt;&gt;""""))))-1), IF('To Order'!$A1630=COL"&amp;"UMNS($A1630:A1649), A1629&amp;RIGHT(INDIRECT(ADDRESS(ROW(A1630)-1, 'From Order'!$A1630)), 1), A1629))"),"Z")</f>
        <v>Z</v>
      </c>
      <c r="B1630" s="2" t="str">
        <f>IFERROR(__xludf.DUMMYFUNCTION("IF('From Order'!$A1630=COLUMNS($A1630:B1649), LEFT(INDEX(FILTER(B$1:B1629, B$1:B1629&lt;&gt;""""),COUNTA(FILTER(B$1:B1629, B$1:B1629&lt;&gt;""""))), LEN(INDEX(FILTER(B$1:B1629, B$1:B1629&lt;&gt;""""),COUNTA(FILTER(B$1:B1629, B$1:B1629&lt;&gt;""""))))-1), IF('To Order'!$A1630=COL"&amp;"UMNS($A1630:B1649), B1629&amp;RIGHT(INDIRECT(ADDRESS(ROW(B1630)-1, 'From Order'!$A1630)), 1), B1629))"),"RBRTVCDRHZMTDLDSRRVBMJDMWZCSFHBGJTTPBFL")</f>
        <v>RBRTVCDRHZMTDLDSRRVBMJDMWZCSFHBGJTTPBFL</v>
      </c>
      <c r="C1630" s="2" t="str">
        <f>IFERROR(__xludf.DUMMYFUNCTION("IF('From Order'!$A1630=COLUMNS($A1630:C1649), LEFT(INDEX(FILTER(C$1:C1629, C$1:C1629&lt;&gt;""""),COUNTA(FILTER(C$1:C1629, C$1:C1629&lt;&gt;""""))), LEN(INDEX(FILTER(C$1:C1629, C$1:C1629&lt;&gt;""""),COUNTA(FILTER(C$1:C1629, C$1:C1629&lt;&gt;""""))))-1), IF('To Order'!$A1630=COL"&amp;"UMNS($A1630:C1649), C1629&amp;RIGHT(INDIRECT(ADDRESS(ROW(C1630)-1, 'From Order'!$A1630)), 1), C1629))"),"TQVQJPPSSTDDWL")</f>
        <v>TQVQJPPSSTDDWL</v>
      </c>
      <c r="D1630" s="2" t="str">
        <f>IFERROR(__xludf.DUMMYFUNCTION("IF('From Order'!$A1630=COLUMNS($A1630:D1649), LEFT(INDEX(FILTER(D$1:D1629, D$1:D1629&lt;&gt;""""),COUNTA(FILTER(D$1:D1629, D$1:D1629&lt;&gt;""""))), LEN(INDEX(FILTER(D$1:D1629, D$1:D1629&lt;&gt;""""),COUNTA(FILTER(D$1:D1629, D$1:D1629&lt;&gt;""""))))-1), IF('To Order'!$A1630=COL"&amp;"UMNS($A1630:D1649), D1629&amp;RIGHT(INDIRECT(ADDRESS(ROW(D1630)-1, 'From Order'!$A1630)), 1), D1629))"),"CG")</f>
        <v>CG</v>
      </c>
      <c r="E1630" s="2" t="str">
        <f>IFERROR(__xludf.DUMMYFUNCTION("IF('From Order'!$A1630=COLUMNS($A1630:E1649), LEFT(INDEX(FILTER(E$1:E1629, E$1:E1629&lt;&gt;""""),COUNTA(FILTER(E$1:E1629, E$1:E1629&lt;&gt;""""))), LEN(INDEX(FILTER(E$1:E1629, E$1:E1629&lt;&gt;""""),COUNTA(FILTER(E$1:E1629, E$1:E1629&lt;&gt;""""))))-1), IF('To Order'!$A1630=COL"&amp;"UMNS($A1630:E1649), E1629&amp;RIGHT(INDIRECT(ADDRESS(ROW(E1630)-1, 'From Order'!$A1630)), 1), E1629))"),"")</f>
        <v/>
      </c>
      <c r="F1630" s="2" t="str">
        <f>IFERROR(__xludf.DUMMYFUNCTION("IF('From Order'!$A1630=COLUMNS($A1630:F1649), LEFT(INDEX(FILTER(F$1:F1629, F$1:F1629&lt;&gt;""""),COUNTA(FILTER(F$1:F1629, F$1:F1629&lt;&gt;""""))), LEN(INDEX(FILTER(F$1:F1629, F$1:F1629&lt;&gt;""""),COUNTA(FILTER(F$1:F1629, F$1:F1629&lt;&gt;""""))))-1), IF('To Order'!$A1630=COL"&amp;"UMNS($A1630:F1649), F1629&amp;RIGHT(INDIRECT(ADDRESS(ROW(F1630)-1, 'From Order'!$A1630)), 1), F1629))"),"")</f>
        <v/>
      </c>
      <c r="G1630" s="2" t="str">
        <f>IFERROR(__xludf.DUMMYFUNCTION("IF('From Order'!$A1630=COLUMNS($A1630:G1649), LEFT(INDEX(FILTER(G$1:G1629, G$1:G1629&lt;&gt;""""),COUNTA(FILTER(G$1:G1629, G$1:G1629&lt;&gt;""""))), LEN(INDEX(FILTER(G$1:G1629, G$1:G1629&lt;&gt;""""),COUNTA(FILTER(G$1:G1629, G$1:G1629&lt;&gt;""""))))-1), IF('To Order'!$A1630=COL"&amp;"UMNS($A1630:G1649), G1629&amp;RIGHT(INDIRECT(ADDRESS(ROW(G1630)-1, 'From Order'!$A1630)), 1), G1629))"),"")</f>
        <v/>
      </c>
      <c r="H1630" s="2" t="str">
        <f>IFERROR(__xludf.DUMMYFUNCTION("IF('From Order'!$A1630=COLUMNS($A1630:H1649), LEFT(INDEX(FILTER(H$1:H1629, H$1:H1629&lt;&gt;""""),COUNTA(FILTER(H$1:H1629, H$1:H1629&lt;&gt;""""))), LEN(INDEX(FILTER(H$1:H1629, H$1:H1629&lt;&gt;""""),COUNTA(FILTER(H$1:H1629, H$1:H1629&lt;&gt;""""))))-1), IF('To Order'!$A1630=COL"&amp;"UMNS($A1630:H1649), H1629&amp;RIGHT(INDIRECT(ADDRESS(ROW(H1630)-1, 'From Order'!$A1630)), 1), H1629))"),"")</f>
        <v/>
      </c>
      <c r="I1630" s="2" t="str">
        <f>IFERROR(__xludf.DUMMYFUNCTION("IF('From Order'!$A1630=COLUMNS($A1630:I1649), LEFT(INDEX(FILTER(I$1:I1629, I$1:I1629&lt;&gt;""""),COUNTA(FILTER(I$1:I1629, I$1:I1629&lt;&gt;""""))), LEN(INDEX(FILTER(I$1:I1629, I$1:I1629&lt;&gt;""""),COUNTA(FILTER(I$1:I1629, I$1:I1629&lt;&gt;""""))))-1), IF('To Order'!$A1630=COL"&amp;"UMNS($A1630:I1649), I1629&amp;RIGHT(INDIRECT(ADDRESS(ROW(I1630)-1, 'From Order'!$A1630)), 1), I1629))"),"")</f>
        <v/>
      </c>
    </row>
    <row r="1631">
      <c r="A1631" s="2" t="str">
        <f>IFERROR(__xludf.DUMMYFUNCTION("IF('From Order'!$A1631=COLUMNS($A1631:A1650), LEFT(INDEX(FILTER(A$1:A1630, A$1:A1630&lt;&gt;""""),COUNTA(FILTER(A$1:A1630, A$1:A1630&lt;&gt;""""))), LEN(INDEX(FILTER(A$1:A1630, A$1:A1630&lt;&gt;""""),COUNTA(FILTER(A$1:A1630, A$1:A1630&lt;&gt;""""))))-1), IF('To Order'!$A1631=COL"&amp;"UMNS($A1631:A1650), A1630&amp;RIGHT(INDIRECT(ADDRESS(ROW(A1631)-1, 'From Order'!$A1631)), 1), A1630))"),"Z")</f>
        <v>Z</v>
      </c>
      <c r="B1631" s="2" t="str">
        <f>IFERROR(__xludf.DUMMYFUNCTION("IF('From Order'!$A1631=COLUMNS($A1631:B1650), LEFT(INDEX(FILTER(B$1:B1630, B$1:B1630&lt;&gt;""""),COUNTA(FILTER(B$1:B1630, B$1:B1630&lt;&gt;""""))), LEN(INDEX(FILTER(B$1:B1630, B$1:B1630&lt;&gt;""""),COUNTA(FILTER(B$1:B1630, B$1:B1630&lt;&gt;""""))))-1), IF('To Order'!$A1631=COL"&amp;"UMNS($A1631:B1650), B1630&amp;RIGHT(INDIRECT(ADDRESS(ROW(B1631)-1, 'From Order'!$A1631)), 1), B1630))"),"RBRTVCDRHZMTDLDSRRVBMJDMWZCSFHBGJTTPBF")</f>
        <v>RBRTVCDRHZMTDLDSRRVBMJDMWZCSFHBGJTTPBF</v>
      </c>
      <c r="C1631" s="2" t="str">
        <f>IFERROR(__xludf.DUMMYFUNCTION("IF('From Order'!$A1631=COLUMNS($A1631:C1650), LEFT(INDEX(FILTER(C$1:C1630, C$1:C1630&lt;&gt;""""),COUNTA(FILTER(C$1:C1630, C$1:C1630&lt;&gt;""""))), LEN(INDEX(FILTER(C$1:C1630, C$1:C1630&lt;&gt;""""),COUNTA(FILTER(C$1:C1630, C$1:C1630&lt;&gt;""""))))-1), IF('To Order'!$A1631=COL"&amp;"UMNS($A1631:C1650), C1630&amp;RIGHT(INDIRECT(ADDRESS(ROW(C1631)-1, 'From Order'!$A1631)), 1), C1630))"),"TQVQJPPSSTDDWLL")</f>
        <v>TQVQJPPSSTDDWLL</v>
      </c>
      <c r="D1631" s="2" t="str">
        <f>IFERROR(__xludf.DUMMYFUNCTION("IF('From Order'!$A1631=COLUMNS($A1631:D1650), LEFT(INDEX(FILTER(D$1:D1630, D$1:D1630&lt;&gt;""""),COUNTA(FILTER(D$1:D1630, D$1:D1630&lt;&gt;""""))), LEN(INDEX(FILTER(D$1:D1630, D$1:D1630&lt;&gt;""""),COUNTA(FILTER(D$1:D1630, D$1:D1630&lt;&gt;""""))))-1), IF('To Order'!$A1631=COL"&amp;"UMNS($A1631:D1650), D1630&amp;RIGHT(INDIRECT(ADDRESS(ROW(D1631)-1, 'From Order'!$A1631)), 1), D1630))"),"CG")</f>
        <v>CG</v>
      </c>
      <c r="E1631" s="2" t="str">
        <f>IFERROR(__xludf.DUMMYFUNCTION("IF('From Order'!$A1631=COLUMNS($A1631:E1650), LEFT(INDEX(FILTER(E$1:E1630, E$1:E1630&lt;&gt;""""),COUNTA(FILTER(E$1:E1630, E$1:E1630&lt;&gt;""""))), LEN(INDEX(FILTER(E$1:E1630, E$1:E1630&lt;&gt;""""),COUNTA(FILTER(E$1:E1630, E$1:E1630&lt;&gt;""""))))-1), IF('To Order'!$A1631=COL"&amp;"UMNS($A1631:E1650), E1630&amp;RIGHT(INDIRECT(ADDRESS(ROW(E1631)-1, 'From Order'!$A1631)), 1), E1630))"),"")</f>
        <v/>
      </c>
      <c r="F1631" s="2" t="str">
        <f>IFERROR(__xludf.DUMMYFUNCTION("IF('From Order'!$A1631=COLUMNS($A1631:F1650), LEFT(INDEX(FILTER(F$1:F1630, F$1:F1630&lt;&gt;""""),COUNTA(FILTER(F$1:F1630, F$1:F1630&lt;&gt;""""))), LEN(INDEX(FILTER(F$1:F1630, F$1:F1630&lt;&gt;""""),COUNTA(FILTER(F$1:F1630, F$1:F1630&lt;&gt;""""))))-1), IF('To Order'!$A1631=COL"&amp;"UMNS($A1631:F1650), F1630&amp;RIGHT(INDIRECT(ADDRESS(ROW(F1631)-1, 'From Order'!$A1631)), 1), F1630))"),"")</f>
        <v/>
      </c>
      <c r="G1631" s="2" t="str">
        <f>IFERROR(__xludf.DUMMYFUNCTION("IF('From Order'!$A1631=COLUMNS($A1631:G1650), LEFT(INDEX(FILTER(G$1:G1630, G$1:G1630&lt;&gt;""""),COUNTA(FILTER(G$1:G1630, G$1:G1630&lt;&gt;""""))), LEN(INDEX(FILTER(G$1:G1630, G$1:G1630&lt;&gt;""""),COUNTA(FILTER(G$1:G1630, G$1:G1630&lt;&gt;""""))))-1), IF('To Order'!$A1631=COL"&amp;"UMNS($A1631:G1650), G1630&amp;RIGHT(INDIRECT(ADDRESS(ROW(G1631)-1, 'From Order'!$A1631)), 1), G1630))"),"")</f>
        <v/>
      </c>
      <c r="H1631" s="2" t="str">
        <f>IFERROR(__xludf.DUMMYFUNCTION("IF('From Order'!$A1631=COLUMNS($A1631:H1650), LEFT(INDEX(FILTER(H$1:H1630, H$1:H1630&lt;&gt;""""),COUNTA(FILTER(H$1:H1630, H$1:H1630&lt;&gt;""""))), LEN(INDEX(FILTER(H$1:H1630, H$1:H1630&lt;&gt;""""),COUNTA(FILTER(H$1:H1630, H$1:H1630&lt;&gt;""""))))-1), IF('To Order'!$A1631=COL"&amp;"UMNS($A1631:H1650), H1630&amp;RIGHT(INDIRECT(ADDRESS(ROW(H1631)-1, 'From Order'!$A1631)), 1), H1630))"),"")</f>
        <v/>
      </c>
      <c r="I1631" s="2" t="str">
        <f>IFERROR(__xludf.DUMMYFUNCTION("IF('From Order'!$A1631=COLUMNS($A1631:I1650), LEFT(INDEX(FILTER(I$1:I1630, I$1:I1630&lt;&gt;""""),COUNTA(FILTER(I$1:I1630, I$1:I1630&lt;&gt;""""))), LEN(INDEX(FILTER(I$1:I1630, I$1:I1630&lt;&gt;""""),COUNTA(FILTER(I$1:I1630, I$1:I1630&lt;&gt;""""))))-1), IF('To Order'!$A1631=COL"&amp;"UMNS($A1631:I1650), I1630&amp;RIGHT(INDIRECT(ADDRESS(ROW(I1631)-1, 'From Order'!$A1631)), 1), I1630))"),"")</f>
        <v/>
      </c>
    </row>
    <row r="1632">
      <c r="A1632" s="2" t="str">
        <f>IFERROR(__xludf.DUMMYFUNCTION("IF('From Order'!$A1632=COLUMNS($A1632:A1651), LEFT(INDEX(FILTER(A$1:A1631, A$1:A1631&lt;&gt;""""),COUNTA(FILTER(A$1:A1631, A$1:A1631&lt;&gt;""""))), LEN(INDEX(FILTER(A$1:A1631, A$1:A1631&lt;&gt;""""),COUNTA(FILTER(A$1:A1631, A$1:A1631&lt;&gt;""""))))-1), IF('To Order'!$A1632=COL"&amp;"UMNS($A1632:A1651), A1631&amp;RIGHT(INDIRECT(ADDRESS(ROW(A1632)-1, 'From Order'!$A1632)), 1), A1631))"),"Z")</f>
        <v>Z</v>
      </c>
      <c r="B1632" s="2" t="str">
        <f>IFERROR(__xludf.DUMMYFUNCTION("IF('From Order'!$A1632=COLUMNS($A1632:B1651), LEFT(INDEX(FILTER(B$1:B1631, B$1:B1631&lt;&gt;""""),COUNTA(FILTER(B$1:B1631, B$1:B1631&lt;&gt;""""))), LEN(INDEX(FILTER(B$1:B1631, B$1:B1631&lt;&gt;""""),COUNTA(FILTER(B$1:B1631, B$1:B1631&lt;&gt;""""))))-1), IF('To Order'!$A1632=COL"&amp;"UMNS($A1632:B1651), B1631&amp;RIGHT(INDIRECT(ADDRESS(ROW(B1632)-1, 'From Order'!$A1632)), 1), B1631))"),"RBRTVCDRHZMTDLDSRRVBMJDMWZCSFHBGJTTPB")</f>
        <v>RBRTVCDRHZMTDLDSRRVBMJDMWZCSFHBGJTTPB</v>
      </c>
      <c r="C1632" s="2" t="str">
        <f>IFERROR(__xludf.DUMMYFUNCTION("IF('From Order'!$A1632=COLUMNS($A1632:C1651), LEFT(INDEX(FILTER(C$1:C1631, C$1:C1631&lt;&gt;""""),COUNTA(FILTER(C$1:C1631, C$1:C1631&lt;&gt;""""))), LEN(INDEX(FILTER(C$1:C1631, C$1:C1631&lt;&gt;""""),COUNTA(FILTER(C$1:C1631, C$1:C1631&lt;&gt;""""))))-1), IF('To Order'!$A1632=COL"&amp;"UMNS($A1632:C1651), C1631&amp;RIGHT(INDIRECT(ADDRESS(ROW(C1632)-1, 'From Order'!$A1632)), 1), C1631))"),"TQVQJPPSSTDDWLLF")</f>
        <v>TQVQJPPSSTDDWLLF</v>
      </c>
      <c r="D1632" s="2" t="str">
        <f>IFERROR(__xludf.DUMMYFUNCTION("IF('From Order'!$A1632=COLUMNS($A1632:D1651), LEFT(INDEX(FILTER(D$1:D1631, D$1:D1631&lt;&gt;""""),COUNTA(FILTER(D$1:D1631, D$1:D1631&lt;&gt;""""))), LEN(INDEX(FILTER(D$1:D1631, D$1:D1631&lt;&gt;""""),COUNTA(FILTER(D$1:D1631, D$1:D1631&lt;&gt;""""))))-1), IF('To Order'!$A1632=COL"&amp;"UMNS($A1632:D1651), D1631&amp;RIGHT(INDIRECT(ADDRESS(ROW(D1632)-1, 'From Order'!$A1632)), 1), D1631))"),"CG")</f>
        <v>CG</v>
      </c>
      <c r="E1632" s="2" t="str">
        <f>IFERROR(__xludf.DUMMYFUNCTION("IF('From Order'!$A1632=COLUMNS($A1632:E1651), LEFT(INDEX(FILTER(E$1:E1631, E$1:E1631&lt;&gt;""""),COUNTA(FILTER(E$1:E1631, E$1:E1631&lt;&gt;""""))), LEN(INDEX(FILTER(E$1:E1631, E$1:E1631&lt;&gt;""""),COUNTA(FILTER(E$1:E1631, E$1:E1631&lt;&gt;""""))))-1), IF('To Order'!$A1632=COL"&amp;"UMNS($A1632:E1651), E1631&amp;RIGHT(INDIRECT(ADDRESS(ROW(E1632)-1, 'From Order'!$A1632)), 1), E1631))"),"")</f>
        <v/>
      </c>
      <c r="F1632" s="2" t="str">
        <f>IFERROR(__xludf.DUMMYFUNCTION("IF('From Order'!$A1632=COLUMNS($A1632:F1651), LEFT(INDEX(FILTER(F$1:F1631, F$1:F1631&lt;&gt;""""),COUNTA(FILTER(F$1:F1631, F$1:F1631&lt;&gt;""""))), LEN(INDEX(FILTER(F$1:F1631, F$1:F1631&lt;&gt;""""),COUNTA(FILTER(F$1:F1631, F$1:F1631&lt;&gt;""""))))-1), IF('To Order'!$A1632=COL"&amp;"UMNS($A1632:F1651), F1631&amp;RIGHT(INDIRECT(ADDRESS(ROW(F1632)-1, 'From Order'!$A1632)), 1), F1631))"),"")</f>
        <v/>
      </c>
      <c r="G1632" s="2" t="str">
        <f>IFERROR(__xludf.DUMMYFUNCTION("IF('From Order'!$A1632=COLUMNS($A1632:G1651), LEFT(INDEX(FILTER(G$1:G1631, G$1:G1631&lt;&gt;""""),COUNTA(FILTER(G$1:G1631, G$1:G1631&lt;&gt;""""))), LEN(INDEX(FILTER(G$1:G1631, G$1:G1631&lt;&gt;""""),COUNTA(FILTER(G$1:G1631, G$1:G1631&lt;&gt;""""))))-1), IF('To Order'!$A1632=COL"&amp;"UMNS($A1632:G1651), G1631&amp;RIGHT(INDIRECT(ADDRESS(ROW(G1632)-1, 'From Order'!$A1632)), 1), G1631))"),"")</f>
        <v/>
      </c>
      <c r="H1632" s="2" t="str">
        <f>IFERROR(__xludf.DUMMYFUNCTION("IF('From Order'!$A1632=COLUMNS($A1632:H1651), LEFT(INDEX(FILTER(H$1:H1631, H$1:H1631&lt;&gt;""""),COUNTA(FILTER(H$1:H1631, H$1:H1631&lt;&gt;""""))), LEN(INDEX(FILTER(H$1:H1631, H$1:H1631&lt;&gt;""""),COUNTA(FILTER(H$1:H1631, H$1:H1631&lt;&gt;""""))))-1), IF('To Order'!$A1632=COL"&amp;"UMNS($A1632:H1651), H1631&amp;RIGHT(INDIRECT(ADDRESS(ROW(H1632)-1, 'From Order'!$A1632)), 1), H1631))"),"")</f>
        <v/>
      </c>
      <c r="I1632" s="2" t="str">
        <f>IFERROR(__xludf.DUMMYFUNCTION("IF('From Order'!$A1632=COLUMNS($A1632:I1651), LEFT(INDEX(FILTER(I$1:I1631, I$1:I1631&lt;&gt;""""),COUNTA(FILTER(I$1:I1631, I$1:I1631&lt;&gt;""""))), LEN(INDEX(FILTER(I$1:I1631, I$1:I1631&lt;&gt;""""),COUNTA(FILTER(I$1:I1631, I$1:I1631&lt;&gt;""""))))-1), IF('To Order'!$A1632=COL"&amp;"UMNS($A1632:I1651), I1631&amp;RIGHT(INDIRECT(ADDRESS(ROW(I1632)-1, 'From Order'!$A1632)), 1), I1631))"),"")</f>
        <v/>
      </c>
    </row>
    <row r="1633">
      <c r="A1633" s="2" t="str">
        <f>IFERROR(__xludf.DUMMYFUNCTION("IF('From Order'!$A1633=COLUMNS($A1633:A1652), LEFT(INDEX(FILTER(A$1:A1632, A$1:A1632&lt;&gt;""""),COUNTA(FILTER(A$1:A1632, A$1:A1632&lt;&gt;""""))), LEN(INDEX(FILTER(A$1:A1632, A$1:A1632&lt;&gt;""""),COUNTA(FILTER(A$1:A1632, A$1:A1632&lt;&gt;""""))))-1), IF('To Order'!$A1633=COL"&amp;"UMNS($A1633:A1652), A1632&amp;RIGHT(INDIRECT(ADDRESS(ROW(A1633)-1, 'From Order'!$A1633)), 1), A1632))"),"Z")</f>
        <v>Z</v>
      </c>
      <c r="B1633" s="2" t="str">
        <f>IFERROR(__xludf.DUMMYFUNCTION("IF('From Order'!$A1633=COLUMNS($A1633:B1652), LEFT(INDEX(FILTER(B$1:B1632, B$1:B1632&lt;&gt;""""),COUNTA(FILTER(B$1:B1632, B$1:B1632&lt;&gt;""""))), LEN(INDEX(FILTER(B$1:B1632, B$1:B1632&lt;&gt;""""),COUNTA(FILTER(B$1:B1632, B$1:B1632&lt;&gt;""""))))-1), IF('To Order'!$A1633=COL"&amp;"UMNS($A1633:B1652), B1632&amp;RIGHT(INDIRECT(ADDRESS(ROW(B1633)-1, 'From Order'!$A1633)), 1), B1632))"),"RBRTVCDRHZMTDLDSRRVBMJDMWZCSFHBGJTTP")</f>
        <v>RBRTVCDRHZMTDLDSRRVBMJDMWZCSFHBGJTTP</v>
      </c>
      <c r="C1633" s="2" t="str">
        <f>IFERROR(__xludf.DUMMYFUNCTION("IF('From Order'!$A1633=COLUMNS($A1633:C1652), LEFT(INDEX(FILTER(C$1:C1632, C$1:C1632&lt;&gt;""""),COUNTA(FILTER(C$1:C1632, C$1:C1632&lt;&gt;""""))), LEN(INDEX(FILTER(C$1:C1632, C$1:C1632&lt;&gt;""""),COUNTA(FILTER(C$1:C1632, C$1:C1632&lt;&gt;""""))))-1), IF('To Order'!$A1633=COL"&amp;"UMNS($A1633:C1652), C1632&amp;RIGHT(INDIRECT(ADDRESS(ROW(C1633)-1, 'From Order'!$A1633)), 1), C1632))"),"TQVQJPPSSTDDWLLFB")</f>
        <v>TQVQJPPSSTDDWLLFB</v>
      </c>
      <c r="D1633" s="2" t="str">
        <f>IFERROR(__xludf.DUMMYFUNCTION("IF('From Order'!$A1633=COLUMNS($A1633:D1652), LEFT(INDEX(FILTER(D$1:D1632, D$1:D1632&lt;&gt;""""),COUNTA(FILTER(D$1:D1632, D$1:D1632&lt;&gt;""""))), LEN(INDEX(FILTER(D$1:D1632, D$1:D1632&lt;&gt;""""),COUNTA(FILTER(D$1:D1632, D$1:D1632&lt;&gt;""""))))-1), IF('To Order'!$A1633=COL"&amp;"UMNS($A1633:D1652), D1632&amp;RIGHT(INDIRECT(ADDRESS(ROW(D1633)-1, 'From Order'!$A1633)), 1), D1632))"),"CG")</f>
        <v>CG</v>
      </c>
      <c r="E1633" s="2" t="str">
        <f>IFERROR(__xludf.DUMMYFUNCTION("IF('From Order'!$A1633=COLUMNS($A1633:E1652), LEFT(INDEX(FILTER(E$1:E1632, E$1:E1632&lt;&gt;""""),COUNTA(FILTER(E$1:E1632, E$1:E1632&lt;&gt;""""))), LEN(INDEX(FILTER(E$1:E1632, E$1:E1632&lt;&gt;""""),COUNTA(FILTER(E$1:E1632, E$1:E1632&lt;&gt;""""))))-1), IF('To Order'!$A1633=COL"&amp;"UMNS($A1633:E1652), E1632&amp;RIGHT(INDIRECT(ADDRESS(ROW(E1633)-1, 'From Order'!$A1633)), 1), E1632))"),"")</f>
        <v/>
      </c>
      <c r="F1633" s="2" t="str">
        <f>IFERROR(__xludf.DUMMYFUNCTION("IF('From Order'!$A1633=COLUMNS($A1633:F1652), LEFT(INDEX(FILTER(F$1:F1632, F$1:F1632&lt;&gt;""""),COUNTA(FILTER(F$1:F1632, F$1:F1632&lt;&gt;""""))), LEN(INDEX(FILTER(F$1:F1632, F$1:F1632&lt;&gt;""""),COUNTA(FILTER(F$1:F1632, F$1:F1632&lt;&gt;""""))))-1), IF('To Order'!$A1633=COL"&amp;"UMNS($A1633:F1652), F1632&amp;RIGHT(INDIRECT(ADDRESS(ROW(F1633)-1, 'From Order'!$A1633)), 1), F1632))"),"")</f>
        <v/>
      </c>
      <c r="G1633" s="2" t="str">
        <f>IFERROR(__xludf.DUMMYFUNCTION("IF('From Order'!$A1633=COLUMNS($A1633:G1652), LEFT(INDEX(FILTER(G$1:G1632, G$1:G1632&lt;&gt;""""),COUNTA(FILTER(G$1:G1632, G$1:G1632&lt;&gt;""""))), LEN(INDEX(FILTER(G$1:G1632, G$1:G1632&lt;&gt;""""),COUNTA(FILTER(G$1:G1632, G$1:G1632&lt;&gt;""""))))-1), IF('To Order'!$A1633=COL"&amp;"UMNS($A1633:G1652), G1632&amp;RIGHT(INDIRECT(ADDRESS(ROW(G1633)-1, 'From Order'!$A1633)), 1), G1632))"),"")</f>
        <v/>
      </c>
      <c r="H1633" s="2" t="str">
        <f>IFERROR(__xludf.DUMMYFUNCTION("IF('From Order'!$A1633=COLUMNS($A1633:H1652), LEFT(INDEX(FILTER(H$1:H1632, H$1:H1632&lt;&gt;""""),COUNTA(FILTER(H$1:H1632, H$1:H1632&lt;&gt;""""))), LEN(INDEX(FILTER(H$1:H1632, H$1:H1632&lt;&gt;""""),COUNTA(FILTER(H$1:H1632, H$1:H1632&lt;&gt;""""))))-1), IF('To Order'!$A1633=COL"&amp;"UMNS($A1633:H1652), H1632&amp;RIGHT(INDIRECT(ADDRESS(ROW(H1633)-1, 'From Order'!$A1633)), 1), H1632))"),"")</f>
        <v/>
      </c>
      <c r="I1633" s="2" t="str">
        <f>IFERROR(__xludf.DUMMYFUNCTION("IF('From Order'!$A1633=COLUMNS($A1633:I1652), LEFT(INDEX(FILTER(I$1:I1632, I$1:I1632&lt;&gt;""""),COUNTA(FILTER(I$1:I1632, I$1:I1632&lt;&gt;""""))), LEN(INDEX(FILTER(I$1:I1632, I$1:I1632&lt;&gt;""""),COUNTA(FILTER(I$1:I1632, I$1:I1632&lt;&gt;""""))))-1), IF('To Order'!$A1633=COL"&amp;"UMNS($A1633:I1652), I1632&amp;RIGHT(INDIRECT(ADDRESS(ROW(I1633)-1, 'From Order'!$A1633)), 1), I1632))"),"")</f>
        <v/>
      </c>
    </row>
    <row r="1634">
      <c r="A1634" s="2" t="str">
        <f>IFERROR(__xludf.DUMMYFUNCTION("IF('From Order'!$A1634=COLUMNS($A1634:A1653), LEFT(INDEX(FILTER(A$1:A1633, A$1:A1633&lt;&gt;""""),COUNTA(FILTER(A$1:A1633, A$1:A1633&lt;&gt;""""))), LEN(INDEX(FILTER(A$1:A1633, A$1:A1633&lt;&gt;""""),COUNTA(FILTER(A$1:A1633, A$1:A1633&lt;&gt;""""))))-1), IF('To Order'!$A1634=COL"&amp;"UMNS($A1634:A1653), A1633&amp;RIGHT(INDIRECT(ADDRESS(ROW(A1634)-1, 'From Order'!$A1634)), 1), A1633))"),"Z")</f>
        <v>Z</v>
      </c>
      <c r="B1634" s="2" t="str">
        <f>IFERROR(__xludf.DUMMYFUNCTION("IF('From Order'!$A1634=COLUMNS($A1634:B1653), LEFT(INDEX(FILTER(B$1:B1633, B$1:B1633&lt;&gt;""""),COUNTA(FILTER(B$1:B1633, B$1:B1633&lt;&gt;""""))), LEN(INDEX(FILTER(B$1:B1633, B$1:B1633&lt;&gt;""""),COUNTA(FILTER(B$1:B1633, B$1:B1633&lt;&gt;""""))))-1), IF('To Order'!$A1634=COL"&amp;"UMNS($A1634:B1653), B1633&amp;RIGHT(INDIRECT(ADDRESS(ROW(B1634)-1, 'From Order'!$A1634)), 1), B1633))"),"RBRTVCDRHZMTDLDSRRVBMJDMWZCSFHBGJTT")</f>
        <v>RBRTVCDRHZMTDLDSRRVBMJDMWZCSFHBGJTT</v>
      </c>
      <c r="C1634" s="2" t="str">
        <f>IFERROR(__xludf.DUMMYFUNCTION("IF('From Order'!$A1634=COLUMNS($A1634:C1653), LEFT(INDEX(FILTER(C$1:C1633, C$1:C1633&lt;&gt;""""),COUNTA(FILTER(C$1:C1633, C$1:C1633&lt;&gt;""""))), LEN(INDEX(FILTER(C$1:C1633, C$1:C1633&lt;&gt;""""),COUNTA(FILTER(C$1:C1633, C$1:C1633&lt;&gt;""""))))-1), IF('To Order'!$A1634=COL"&amp;"UMNS($A1634:C1653), C1633&amp;RIGHT(INDIRECT(ADDRESS(ROW(C1634)-1, 'From Order'!$A1634)), 1), C1633))"),"TQVQJPPSSTDDWLLFBP")</f>
        <v>TQVQJPPSSTDDWLLFBP</v>
      </c>
      <c r="D1634" s="2" t="str">
        <f>IFERROR(__xludf.DUMMYFUNCTION("IF('From Order'!$A1634=COLUMNS($A1634:D1653), LEFT(INDEX(FILTER(D$1:D1633, D$1:D1633&lt;&gt;""""),COUNTA(FILTER(D$1:D1633, D$1:D1633&lt;&gt;""""))), LEN(INDEX(FILTER(D$1:D1633, D$1:D1633&lt;&gt;""""),COUNTA(FILTER(D$1:D1633, D$1:D1633&lt;&gt;""""))))-1), IF('To Order'!$A1634=COL"&amp;"UMNS($A1634:D1653), D1633&amp;RIGHT(INDIRECT(ADDRESS(ROW(D1634)-1, 'From Order'!$A1634)), 1), D1633))"),"CG")</f>
        <v>CG</v>
      </c>
      <c r="E1634" s="2" t="str">
        <f>IFERROR(__xludf.DUMMYFUNCTION("IF('From Order'!$A1634=COLUMNS($A1634:E1653), LEFT(INDEX(FILTER(E$1:E1633, E$1:E1633&lt;&gt;""""),COUNTA(FILTER(E$1:E1633, E$1:E1633&lt;&gt;""""))), LEN(INDEX(FILTER(E$1:E1633, E$1:E1633&lt;&gt;""""),COUNTA(FILTER(E$1:E1633, E$1:E1633&lt;&gt;""""))))-1), IF('To Order'!$A1634=COL"&amp;"UMNS($A1634:E1653), E1633&amp;RIGHT(INDIRECT(ADDRESS(ROW(E1634)-1, 'From Order'!$A1634)), 1), E1633))"),"")</f>
        <v/>
      </c>
      <c r="F1634" s="2" t="str">
        <f>IFERROR(__xludf.DUMMYFUNCTION("IF('From Order'!$A1634=COLUMNS($A1634:F1653), LEFT(INDEX(FILTER(F$1:F1633, F$1:F1633&lt;&gt;""""),COUNTA(FILTER(F$1:F1633, F$1:F1633&lt;&gt;""""))), LEN(INDEX(FILTER(F$1:F1633, F$1:F1633&lt;&gt;""""),COUNTA(FILTER(F$1:F1633, F$1:F1633&lt;&gt;""""))))-1), IF('To Order'!$A1634=COL"&amp;"UMNS($A1634:F1653), F1633&amp;RIGHT(INDIRECT(ADDRESS(ROW(F1634)-1, 'From Order'!$A1634)), 1), F1633))"),"")</f>
        <v/>
      </c>
      <c r="G1634" s="2" t="str">
        <f>IFERROR(__xludf.DUMMYFUNCTION("IF('From Order'!$A1634=COLUMNS($A1634:G1653), LEFT(INDEX(FILTER(G$1:G1633, G$1:G1633&lt;&gt;""""),COUNTA(FILTER(G$1:G1633, G$1:G1633&lt;&gt;""""))), LEN(INDEX(FILTER(G$1:G1633, G$1:G1633&lt;&gt;""""),COUNTA(FILTER(G$1:G1633, G$1:G1633&lt;&gt;""""))))-1), IF('To Order'!$A1634=COL"&amp;"UMNS($A1634:G1653), G1633&amp;RIGHT(INDIRECT(ADDRESS(ROW(G1634)-1, 'From Order'!$A1634)), 1), G1633))"),"")</f>
        <v/>
      </c>
      <c r="H1634" s="2" t="str">
        <f>IFERROR(__xludf.DUMMYFUNCTION("IF('From Order'!$A1634=COLUMNS($A1634:H1653), LEFT(INDEX(FILTER(H$1:H1633, H$1:H1633&lt;&gt;""""),COUNTA(FILTER(H$1:H1633, H$1:H1633&lt;&gt;""""))), LEN(INDEX(FILTER(H$1:H1633, H$1:H1633&lt;&gt;""""),COUNTA(FILTER(H$1:H1633, H$1:H1633&lt;&gt;""""))))-1), IF('To Order'!$A1634=COL"&amp;"UMNS($A1634:H1653), H1633&amp;RIGHT(INDIRECT(ADDRESS(ROW(H1634)-1, 'From Order'!$A1634)), 1), H1633))"),"")</f>
        <v/>
      </c>
      <c r="I1634" s="2" t="str">
        <f>IFERROR(__xludf.DUMMYFUNCTION("IF('From Order'!$A1634=COLUMNS($A1634:I1653), LEFT(INDEX(FILTER(I$1:I1633, I$1:I1633&lt;&gt;""""),COUNTA(FILTER(I$1:I1633, I$1:I1633&lt;&gt;""""))), LEN(INDEX(FILTER(I$1:I1633, I$1:I1633&lt;&gt;""""),COUNTA(FILTER(I$1:I1633, I$1:I1633&lt;&gt;""""))))-1), IF('To Order'!$A1634=COL"&amp;"UMNS($A1634:I1653), I1633&amp;RIGHT(INDIRECT(ADDRESS(ROW(I1634)-1, 'From Order'!$A1634)), 1), I1633))"),"")</f>
        <v/>
      </c>
    </row>
    <row r="1635">
      <c r="A1635" s="2" t="str">
        <f>IFERROR(__xludf.DUMMYFUNCTION("IF('From Order'!$A1635=COLUMNS($A1635:A1654), LEFT(INDEX(FILTER(A$1:A1634, A$1:A1634&lt;&gt;""""),COUNTA(FILTER(A$1:A1634, A$1:A1634&lt;&gt;""""))), LEN(INDEX(FILTER(A$1:A1634, A$1:A1634&lt;&gt;""""),COUNTA(FILTER(A$1:A1634, A$1:A1634&lt;&gt;""""))))-1), IF('To Order'!$A1635=COL"&amp;"UMNS($A1635:A1654), A1634&amp;RIGHT(INDIRECT(ADDRESS(ROW(A1635)-1, 'From Order'!$A1635)), 1), A1634))"),"Z")</f>
        <v>Z</v>
      </c>
      <c r="B1635" s="2" t="str">
        <f>IFERROR(__xludf.DUMMYFUNCTION("IF('From Order'!$A1635=COLUMNS($A1635:B1654), LEFT(INDEX(FILTER(B$1:B1634, B$1:B1634&lt;&gt;""""),COUNTA(FILTER(B$1:B1634, B$1:B1634&lt;&gt;""""))), LEN(INDEX(FILTER(B$1:B1634, B$1:B1634&lt;&gt;""""),COUNTA(FILTER(B$1:B1634, B$1:B1634&lt;&gt;""""))))-1), IF('To Order'!$A1635=COL"&amp;"UMNS($A1635:B1654), B1634&amp;RIGHT(INDIRECT(ADDRESS(ROW(B1635)-1, 'From Order'!$A1635)), 1), B1634))"),"RBRTVCDRHZMTDLDSRRVBMJDMWZCSFHBGJT")</f>
        <v>RBRTVCDRHZMTDLDSRRVBMJDMWZCSFHBGJT</v>
      </c>
      <c r="C1635" s="2" t="str">
        <f>IFERROR(__xludf.DUMMYFUNCTION("IF('From Order'!$A1635=COLUMNS($A1635:C1654), LEFT(INDEX(FILTER(C$1:C1634, C$1:C1634&lt;&gt;""""),COUNTA(FILTER(C$1:C1634, C$1:C1634&lt;&gt;""""))), LEN(INDEX(FILTER(C$1:C1634, C$1:C1634&lt;&gt;""""),COUNTA(FILTER(C$1:C1634, C$1:C1634&lt;&gt;""""))))-1), IF('To Order'!$A1635=COL"&amp;"UMNS($A1635:C1654), C1634&amp;RIGHT(INDIRECT(ADDRESS(ROW(C1635)-1, 'From Order'!$A1635)), 1), C1634))"),"TQVQJPPSSTDDWLLFBPT")</f>
        <v>TQVQJPPSSTDDWLLFBPT</v>
      </c>
      <c r="D1635" s="2" t="str">
        <f>IFERROR(__xludf.DUMMYFUNCTION("IF('From Order'!$A1635=COLUMNS($A1635:D1654), LEFT(INDEX(FILTER(D$1:D1634, D$1:D1634&lt;&gt;""""),COUNTA(FILTER(D$1:D1634, D$1:D1634&lt;&gt;""""))), LEN(INDEX(FILTER(D$1:D1634, D$1:D1634&lt;&gt;""""),COUNTA(FILTER(D$1:D1634, D$1:D1634&lt;&gt;""""))))-1), IF('To Order'!$A1635=COL"&amp;"UMNS($A1635:D1654), D1634&amp;RIGHT(INDIRECT(ADDRESS(ROW(D1635)-1, 'From Order'!$A1635)), 1), D1634))"),"CG")</f>
        <v>CG</v>
      </c>
      <c r="E1635" s="2" t="str">
        <f>IFERROR(__xludf.DUMMYFUNCTION("IF('From Order'!$A1635=COLUMNS($A1635:E1654), LEFT(INDEX(FILTER(E$1:E1634, E$1:E1634&lt;&gt;""""),COUNTA(FILTER(E$1:E1634, E$1:E1634&lt;&gt;""""))), LEN(INDEX(FILTER(E$1:E1634, E$1:E1634&lt;&gt;""""),COUNTA(FILTER(E$1:E1634, E$1:E1634&lt;&gt;""""))))-1), IF('To Order'!$A1635=COL"&amp;"UMNS($A1635:E1654), E1634&amp;RIGHT(INDIRECT(ADDRESS(ROW(E1635)-1, 'From Order'!$A1635)), 1), E1634))"),"")</f>
        <v/>
      </c>
      <c r="F1635" s="2" t="str">
        <f>IFERROR(__xludf.DUMMYFUNCTION("IF('From Order'!$A1635=COLUMNS($A1635:F1654), LEFT(INDEX(FILTER(F$1:F1634, F$1:F1634&lt;&gt;""""),COUNTA(FILTER(F$1:F1634, F$1:F1634&lt;&gt;""""))), LEN(INDEX(FILTER(F$1:F1634, F$1:F1634&lt;&gt;""""),COUNTA(FILTER(F$1:F1634, F$1:F1634&lt;&gt;""""))))-1), IF('To Order'!$A1635=COL"&amp;"UMNS($A1635:F1654), F1634&amp;RIGHT(INDIRECT(ADDRESS(ROW(F1635)-1, 'From Order'!$A1635)), 1), F1634))"),"")</f>
        <v/>
      </c>
      <c r="G1635" s="2" t="str">
        <f>IFERROR(__xludf.DUMMYFUNCTION("IF('From Order'!$A1635=COLUMNS($A1635:G1654), LEFT(INDEX(FILTER(G$1:G1634, G$1:G1634&lt;&gt;""""),COUNTA(FILTER(G$1:G1634, G$1:G1634&lt;&gt;""""))), LEN(INDEX(FILTER(G$1:G1634, G$1:G1634&lt;&gt;""""),COUNTA(FILTER(G$1:G1634, G$1:G1634&lt;&gt;""""))))-1), IF('To Order'!$A1635=COL"&amp;"UMNS($A1635:G1654), G1634&amp;RIGHT(INDIRECT(ADDRESS(ROW(G1635)-1, 'From Order'!$A1635)), 1), G1634))"),"")</f>
        <v/>
      </c>
      <c r="H1635" s="2" t="str">
        <f>IFERROR(__xludf.DUMMYFUNCTION("IF('From Order'!$A1635=COLUMNS($A1635:H1654), LEFT(INDEX(FILTER(H$1:H1634, H$1:H1634&lt;&gt;""""),COUNTA(FILTER(H$1:H1634, H$1:H1634&lt;&gt;""""))), LEN(INDEX(FILTER(H$1:H1634, H$1:H1634&lt;&gt;""""),COUNTA(FILTER(H$1:H1634, H$1:H1634&lt;&gt;""""))))-1), IF('To Order'!$A1635=COL"&amp;"UMNS($A1635:H1654), H1634&amp;RIGHT(INDIRECT(ADDRESS(ROW(H1635)-1, 'From Order'!$A1635)), 1), H1634))"),"")</f>
        <v/>
      </c>
      <c r="I1635" s="2" t="str">
        <f>IFERROR(__xludf.DUMMYFUNCTION("IF('From Order'!$A1635=COLUMNS($A1635:I1654), LEFT(INDEX(FILTER(I$1:I1634, I$1:I1634&lt;&gt;""""),COUNTA(FILTER(I$1:I1634, I$1:I1634&lt;&gt;""""))), LEN(INDEX(FILTER(I$1:I1634, I$1:I1634&lt;&gt;""""),COUNTA(FILTER(I$1:I1634, I$1:I1634&lt;&gt;""""))))-1), IF('To Order'!$A1635=COL"&amp;"UMNS($A1635:I1654), I1634&amp;RIGHT(INDIRECT(ADDRESS(ROW(I1635)-1, 'From Order'!$A1635)), 1), I1634))"),"")</f>
        <v/>
      </c>
    </row>
    <row r="1636">
      <c r="A1636" s="2" t="str">
        <f>IFERROR(__xludf.DUMMYFUNCTION("IF('From Order'!$A1636=COLUMNS($A1636:A1655), LEFT(INDEX(FILTER(A$1:A1635, A$1:A1635&lt;&gt;""""),COUNTA(FILTER(A$1:A1635, A$1:A1635&lt;&gt;""""))), LEN(INDEX(FILTER(A$1:A1635, A$1:A1635&lt;&gt;""""),COUNTA(FILTER(A$1:A1635, A$1:A1635&lt;&gt;""""))))-1), IF('To Order'!$A1636=COL"&amp;"UMNS($A1636:A1655), A1635&amp;RIGHT(INDIRECT(ADDRESS(ROW(A1636)-1, 'From Order'!$A1636)), 1), A1635))"),"Z")</f>
        <v>Z</v>
      </c>
      <c r="B1636" s="2" t="str">
        <f>IFERROR(__xludf.DUMMYFUNCTION("IF('From Order'!$A1636=COLUMNS($A1636:B1655), LEFT(INDEX(FILTER(B$1:B1635, B$1:B1635&lt;&gt;""""),COUNTA(FILTER(B$1:B1635, B$1:B1635&lt;&gt;""""))), LEN(INDEX(FILTER(B$1:B1635, B$1:B1635&lt;&gt;""""),COUNTA(FILTER(B$1:B1635, B$1:B1635&lt;&gt;""""))))-1), IF('To Order'!$A1636=COL"&amp;"UMNS($A1636:B1655), B1635&amp;RIGHT(INDIRECT(ADDRESS(ROW(B1636)-1, 'From Order'!$A1636)), 1), B1635))"),"RBRTVCDRHZMTDLDSRRVBMJDMWZCSFHBGJ")</f>
        <v>RBRTVCDRHZMTDLDSRRVBMJDMWZCSFHBGJ</v>
      </c>
      <c r="C1636" s="2" t="str">
        <f>IFERROR(__xludf.DUMMYFUNCTION("IF('From Order'!$A1636=COLUMNS($A1636:C1655), LEFT(INDEX(FILTER(C$1:C1635, C$1:C1635&lt;&gt;""""),COUNTA(FILTER(C$1:C1635, C$1:C1635&lt;&gt;""""))), LEN(INDEX(FILTER(C$1:C1635, C$1:C1635&lt;&gt;""""),COUNTA(FILTER(C$1:C1635, C$1:C1635&lt;&gt;""""))))-1), IF('To Order'!$A1636=COL"&amp;"UMNS($A1636:C1655), C1635&amp;RIGHT(INDIRECT(ADDRESS(ROW(C1636)-1, 'From Order'!$A1636)), 1), C1635))"),"TQVQJPPSSTDDWLLFBPTT")</f>
        <v>TQVQJPPSSTDDWLLFBPTT</v>
      </c>
      <c r="D1636" s="2" t="str">
        <f>IFERROR(__xludf.DUMMYFUNCTION("IF('From Order'!$A1636=COLUMNS($A1636:D1655), LEFT(INDEX(FILTER(D$1:D1635, D$1:D1635&lt;&gt;""""),COUNTA(FILTER(D$1:D1635, D$1:D1635&lt;&gt;""""))), LEN(INDEX(FILTER(D$1:D1635, D$1:D1635&lt;&gt;""""),COUNTA(FILTER(D$1:D1635, D$1:D1635&lt;&gt;""""))))-1), IF('To Order'!$A1636=COL"&amp;"UMNS($A1636:D1655), D1635&amp;RIGHT(INDIRECT(ADDRESS(ROW(D1636)-1, 'From Order'!$A1636)), 1), D1635))"),"CG")</f>
        <v>CG</v>
      </c>
      <c r="E1636" s="2" t="str">
        <f>IFERROR(__xludf.DUMMYFUNCTION("IF('From Order'!$A1636=COLUMNS($A1636:E1655), LEFT(INDEX(FILTER(E$1:E1635, E$1:E1635&lt;&gt;""""),COUNTA(FILTER(E$1:E1635, E$1:E1635&lt;&gt;""""))), LEN(INDEX(FILTER(E$1:E1635, E$1:E1635&lt;&gt;""""),COUNTA(FILTER(E$1:E1635, E$1:E1635&lt;&gt;""""))))-1), IF('To Order'!$A1636=COL"&amp;"UMNS($A1636:E1655), E1635&amp;RIGHT(INDIRECT(ADDRESS(ROW(E1636)-1, 'From Order'!$A1636)), 1), E1635))"),"")</f>
        <v/>
      </c>
      <c r="F1636" s="2" t="str">
        <f>IFERROR(__xludf.DUMMYFUNCTION("IF('From Order'!$A1636=COLUMNS($A1636:F1655), LEFT(INDEX(FILTER(F$1:F1635, F$1:F1635&lt;&gt;""""),COUNTA(FILTER(F$1:F1635, F$1:F1635&lt;&gt;""""))), LEN(INDEX(FILTER(F$1:F1635, F$1:F1635&lt;&gt;""""),COUNTA(FILTER(F$1:F1635, F$1:F1635&lt;&gt;""""))))-1), IF('To Order'!$A1636=COL"&amp;"UMNS($A1636:F1655), F1635&amp;RIGHT(INDIRECT(ADDRESS(ROW(F1636)-1, 'From Order'!$A1636)), 1), F1635))"),"")</f>
        <v/>
      </c>
      <c r="G1636" s="2" t="str">
        <f>IFERROR(__xludf.DUMMYFUNCTION("IF('From Order'!$A1636=COLUMNS($A1636:G1655), LEFT(INDEX(FILTER(G$1:G1635, G$1:G1635&lt;&gt;""""),COUNTA(FILTER(G$1:G1635, G$1:G1635&lt;&gt;""""))), LEN(INDEX(FILTER(G$1:G1635, G$1:G1635&lt;&gt;""""),COUNTA(FILTER(G$1:G1635, G$1:G1635&lt;&gt;""""))))-1), IF('To Order'!$A1636=COL"&amp;"UMNS($A1636:G1655), G1635&amp;RIGHT(INDIRECT(ADDRESS(ROW(G1636)-1, 'From Order'!$A1636)), 1), G1635))"),"")</f>
        <v/>
      </c>
      <c r="H1636" s="2" t="str">
        <f>IFERROR(__xludf.DUMMYFUNCTION("IF('From Order'!$A1636=COLUMNS($A1636:H1655), LEFT(INDEX(FILTER(H$1:H1635, H$1:H1635&lt;&gt;""""),COUNTA(FILTER(H$1:H1635, H$1:H1635&lt;&gt;""""))), LEN(INDEX(FILTER(H$1:H1635, H$1:H1635&lt;&gt;""""),COUNTA(FILTER(H$1:H1635, H$1:H1635&lt;&gt;""""))))-1), IF('To Order'!$A1636=COL"&amp;"UMNS($A1636:H1655), H1635&amp;RIGHT(INDIRECT(ADDRESS(ROW(H1636)-1, 'From Order'!$A1636)), 1), H1635))"),"")</f>
        <v/>
      </c>
      <c r="I1636" s="2" t="str">
        <f>IFERROR(__xludf.DUMMYFUNCTION("IF('From Order'!$A1636=COLUMNS($A1636:I1655), LEFT(INDEX(FILTER(I$1:I1635, I$1:I1635&lt;&gt;""""),COUNTA(FILTER(I$1:I1635, I$1:I1635&lt;&gt;""""))), LEN(INDEX(FILTER(I$1:I1635, I$1:I1635&lt;&gt;""""),COUNTA(FILTER(I$1:I1635, I$1:I1635&lt;&gt;""""))))-1), IF('To Order'!$A1636=COL"&amp;"UMNS($A1636:I1655), I1635&amp;RIGHT(INDIRECT(ADDRESS(ROW(I1636)-1, 'From Order'!$A1636)), 1), I1635))"),"")</f>
        <v/>
      </c>
    </row>
    <row r="1637">
      <c r="A1637" s="2" t="str">
        <f>IFERROR(__xludf.DUMMYFUNCTION("IF('From Order'!$A1637=COLUMNS($A1637:A1656), LEFT(INDEX(FILTER(A$1:A1636, A$1:A1636&lt;&gt;""""),COUNTA(FILTER(A$1:A1636, A$1:A1636&lt;&gt;""""))), LEN(INDEX(FILTER(A$1:A1636, A$1:A1636&lt;&gt;""""),COUNTA(FILTER(A$1:A1636, A$1:A1636&lt;&gt;""""))))-1), IF('To Order'!$A1637=COL"&amp;"UMNS($A1637:A1656), A1636&amp;RIGHT(INDIRECT(ADDRESS(ROW(A1637)-1, 'From Order'!$A1637)), 1), A1636))"),"Z")</f>
        <v>Z</v>
      </c>
      <c r="B1637" s="2" t="str">
        <f>IFERROR(__xludf.DUMMYFUNCTION("IF('From Order'!$A1637=COLUMNS($A1637:B1656), LEFT(INDEX(FILTER(B$1:B1636, B$1:B1636&lt;&gt;""""),COUNTA(FILTER(B$1:B1636, B$1:B1636&lt;&gt;""""))), LEN(INDEX(FILTER(B$1:B1636, B$1:B1636&lt;&gt;""""),COUNTA(FILTER(B$1:B1636, B$1:B1636&lt;&gt;""""))))-1), IF('To Order'!$A1637=COL"&amp;"UMNS($A1637:B1656), B1636&amp;RIGHT(INDIRECT(ADDRESS(ROW(B1637)-1, 'From Order'!$A1637)), 1), B1636))"),"RBRTVCDRHZMTDLDSRRVBMJDMWZCSFHBG")</f>
        <v>RBRTVCDRHZMTDLDSRRVBMJDMWZCSFHBG</v>
      </c>
      <c r="C1637" s="2" t="str">
        <f>IFERROR(__xludf.DUMMYFUNCTION("IF('From Order'!$A1637=COLUMNS($A1637:C1656), LEFT(INDEX(FILTER(C$1:C1636, C$1:C1636&lt;&gt;""""),COUNTA(FILTER(C$1:C1636, C$1:C1636&lt;&gt;""""))), LEN(INDEX(FILTER(C$1:C1636, C$1:C1636&lt;&gt;""""),COUNTA(FILTER(C$1:C1636, C$1:C1636&lt;&gt;""""))))-1), IF('To Order'!$A1637=COL"&amp;"UMNS($A1637:C1656), C1636&amp;RIGHT(INDIRECT(ADDRESS(ROW(C1637)-1, 'From Order'!$A1637)), 1), C1636))"),"TQVQJPPSSTDDWLLFBPTTJ")</f>
        <v>TQVQJPPSSTDDWLLFBPTTJ</v>
      </c>
      <c r="D1637" s="2" t="str">
        <f>IFERROR(__xludf.DUMMYFUNCTION("IF('From Order'!$A1637=COLUMNS($A1637:D1656), LEFT(INDEX(FILTER(D$1:D1636, D$1:D1636&lt;&gt;""""),COUNTA(FILTER(D$1:D1636, D$1:D1636&lt;&gt;""""))), LEN(INDEX(FILTER(D$1:D1636, D$1:D1636&lt;&gt;""""),COUNTA(FILTER(D$1:D1636, D$1:D1636&lt;&gt;""""))))-1), IF('To Order'!$A1637=COL"&amp;"UMNS($A1637:D1656), D1636&amp;RIGHT(INDIRECT(ADDRESS(ROW(D1637)-1, 'From Order'!$A1637)), 1), D1636))"),"CG")</f>
        <v>CG</v>
      </c>
      <c r="E1637" s="2" t="str">
        <f>IFERROR(__xludf.DUMMYFUNCTION("IF('From Order'!$A1637=COLUMNS($A1637:E1656), LEFT(INDEX(FILTER(E$1:E1636, E$1:E1636&lt;&gt;""""),COUNTA(FILTER(E$1:E1636, E$1:E1636&lt;&gt;""""))), LEN(INDEX(FILTER(E$1:E1636, E$1:E1636&lt;&gt;""""),COUNTA(FILTER(E$1:E1636, E$1:E1636&lt;&gt;""""))))-1), IF('To Order'!$A1637=COL"&amp;"UMNS($A1637:E1656), E1636&amp;RIGHT(INDIRECT(ADDRESS(ROW(E1637)-1, 'From Order'!$A1637)), 1), E1636))"),"")</f>
        <v/>
      </c>
      <c r="F1637" s="2" t="str">
        <f>IFERROR(__xludf.DUMMYFUNCTION("IF('From Order'!$A1637=COLUMNS($A1637:F1656), LEFT(INDEX(FILTER(F$1:F1636, F$1:F1636&lt;&gt;""""),COUNTA(FILTER(F$1:F1636, F$1:F1636&lt;&gt;""""))), LEN(INDEX(FILTER(F$1:F1636, F$1:F1636&lt;&gt;""""),COUNTA(FILTER(F$1:F1636, F$1:F1636&lt;&gt;""""))))-1), IF('To Order'!$A1637=COL"&amp;"UMNS($A1637:F1656), F1636&amp;RIGHT(INDIRECT(ADDRESS(ROW(F1637)-1, 'From Order'!$A1637)), 1), F1636))"),"")</f>
        <v/>
      </c>
      <c r="G1637" s="2" t="str">
        <f>IFERROR(__xludf.DUMMYFUNCTION("IF('From Order'!$A1637=COLUMNS($A1637:G1656), LEFT(INDEX(FILTER(G$1:G1636, G$1:G1636&lt;&gt;""""),COUNTA(FILTER(G$1:G1636, G$1:G1636&lt;&gt;""""))), LEN(INDEX(FILTER(G$1:G1636, G$1:G1636&lt;&gt;""""),COUNTA(FILTER(G$1:G1636, G$1:G1636&lt;&gt;""""))))-1), IF('To Order'!$A1637=COL"&amp;"UMNS($A1637:G1656), G1636&amp;RIGHT(INDIRECT(ADDRESS(ROW(G1637)-1, 'From Order'!$A1637)), 1), G1636))"),"")</f>
        <v/>
      </c>
      <c r="H1637" s="2" t="str">
        <f>IFERROR(__xludf.DUMMYFUNCTION("IF('From Order'!$A1637=COLUMNS($A1637:H1656), LEFT(INDEX(FILTER(H$1:H1636, H$1:H1636&lt;&gt;""""),COUNTA(FILTER(H$1:H1636, H$1:H1636&lt;&gt;""""))), LEN(INDEX(FILTER(H$1:H1636, H$1:H1636&lt;&gt;""""),COUNTA(FILTER(H$1:H1636, H$1:H1636&lt;&gt;""""))))-1), IF('To Order'!$A1637=COL"&amp;"UMNS($A1637:H1656), H1636&amp;RIGHT(INDIRECT(ADDRESS(ROW(H1637)-1, 'From Order'!$A1637)), 1), H1636))"),"")</f>
        <v/>
      </c>
      <c r="I1637" s="2" t="str">
        <f>IFERROR(__xludf.DUMMYFUNCTION("IF('From Order'!$A1637=COLUMNS($A1637:I1656), LEFT(INDEX(FILTER(I$1:I1636, I$1:I1636&lt;&gt;""""),COUNTA(FILTER(I$1:I1636, I$1:I1636&lt;&gt;""""))), LEN(INDEX(FILTER(I$1:I1636, I$1:I1636&lt;&gt;""""),COUNTA(FILTER(I$1:I1636, I$1:I1636&lt;&gt;""""))))-1), IF('To Order'!$A1637=COL"&amp;"UMNS($A1637:I1656), I1636&amp;RIGHT(INDIRECT(ADDRESS(ROW(I1637)-1, 'From Order'!$A1637)), 1), I1636))"),"")</f>
        <v/>
      </c>
    </row>
    <row r="1638">
      <c r="A1638" s="2" t="str">
        <f>IFERROR(__xludf.DUMMYFUNCTION("IF('From Order'!$A1638=COLUMNS($A1638:A1657), LEFT(INDEX(FILTER(A$1:A1637, A$1:A1637&lt;&gt;""""),COUNTA(FILTER(A$1:A1637, A$1:A1637&lt;&gt;""""))), LEN(INDEX(FILTER(A$1:A1637, A$1:A1637&lt;&gt;""""),COUNTA(FILTER(A$1:A1637, A$1:A1637&lt;&gt;""""))))-1), IF('To Order'!$A1638=COL"&amp;"UMNS($A1638:A1657), A1637&amp;RIGHT(INDIRECT(ADDRESS(ROW(A1638)-1, 'From Order'!$A1638)), 1), A1637))"),"Z")</f>
        <v>Z</v>
      </c>
      <c r="B1638" s="2" t="str">
        <f>IFERROR(__xludf.DUMMYFUNCTION("IF('From Order'!$A1638=COLUMNS($A1638:B1657), LEFT(INDEX(FILTER(B$1:B1637, B$1:B1637&lt;&gt;""""),COUNTA(FILTER(B$1:B1637, B$1:B1637&lt;&gt;""""))), LEN(INDEX(FILTER(B$1:B1637, B$1:B1637&lt;&gt;""""),COUNTA(FILTER(B$1:B1637, B$1:B1637&lt;&gt;""""))))-1), IF('To Order'!$A1638=COL"&amp;"UMNS($A1638:B1657), B1637&amp;RIGHT(INDIRECT(ADDRESS(ROW(B1638)-1, 'From Order'!$A1638)), 1), B1637))"),"RBRTVCDRHZMTDLDSRRVBMJDMWZCSFHB")</f>
        <v>RBRTVCDRHZMTDLDSRRVBMJDMWZCSFHB</v>
      </c>
      <c r="C1638" s="2" t="str">
        <f>IFERROR(__xludf.DUMMYFUNCTION("IF('From Order'!$A1638=COLUMNS($A1638:C1657), LEFT(INDEX(FILTER(C$1:C1637, C$1:C1637&lt;&gt;""""),COUNTA(FILTER(C$1:C1637, C$1:C1637&lt;&gt;""""))), LEN(INDEX(FILTER(C$1:C1637, C$1:C1637&lt;&gt;""""),COUNTA(FILTER(C$1:C1637, C$1:C1637&lt;&gt;""""))))-1), IF('To Order'!$A1638=COL"&amp;"UMNS($A1638:C1657), C1637&amp;RIGHT(INDIRECT(ADDRESS(ROW(C1638)-1, 'From Order'!$A1638)), 1), C1637))"),"TQVQJPPSSTDDWLLFBPTTJG")</f>
        <v>TQVQJPPSSTDDWLLFBPTTJG</v>
      </c>
      <c r="D1638" s="2" t="str">
        <f>IFERROR(__xludf.DUMMYFUNCTION("IF('From Order'!$A1638=COLUMNS($A1638:D1657), LEFT(INDEX(FILTER(D$1:D1637, D$1:D1637&lt;&gt;""""),COUNTA(FILTER(D$1:D1637, D$1:D1637&lt;&gt;""""))), LEN(INDEX(FILTER(D$1:D1637, D$1:D1637&lt;&gt;""""),COUNTA(FILTER(D$1:D1637, D$1:D1637&lt;&gt;""""))))-1), IF('To Order'!$A1638=COL"&amp;"UMNS($A1638:D1657), D1637&amp;RIGHT(INDIRECT(ADDRESS(ROW(D1638)-1, 'From Order'!$A1638)), 1), D1637))"),"CG")</f>
        <v>CG</v>
      </c>
      <c r="E1638" s="2" t="str">
        <f>IFERROR(__xludf.DUMMYFUNCTION("IF('From Order'!$A1638=COLUMNS($A1638:E1657), LEFT(INDEX(FILTER(E$1:E1637, E$1:E1637&lt;&gt;""""),COUNTA(FILTER(E$1:E1637, E$1:E1637&lt;&gt;""""))), LEN(INDEX(FILTER(E$1:E1637, E$1:E1637&lt;&gt;""""),COUNTA(FILTER(E$1:E1637, E$1:E1637&lt;&gt;""""))))-1), IF('To Order'!$A1638=COL"&amp;"UMNS($A1638:E1657), E1637&amp;RIGHT(INDIRECT(ADDRESS(ROW(E1638)-1, 'From Order'!$A1638)), 1), E1637))"),"")</f>
        <v/>
      </c>
      <c r="F1638" s="2" t="str">
        <f>IFERROR(__xludf.DUMMYFUNCTION("IF('From Order'!$A1638=COLUMNS($A1638:F1657), LEFT(INDEX(FILTER(F$1:F1637, F$1:F1637&lt;&gt;""""),COUNTA(FILTER(F$1:F1637, F$1:F1637&lt;&gt;""""))), LEN(INDEX(FILTER(F$1:F1637, F$1:F1637&lt;&gt;""""),COUNTA(FILTER(F$1:F1637, F$1:F1637&lt;&gt;""""))))-1), IF('To Order'!$A1638=COL"&amp;"UMNS($A1638:F1657), F1637&amp;RIGHT(INDIRECT(ADDRESS(ROW(F1638)-1, 'From Order'!$A1638)), 1), F1637))"),"")</f>
        <v/>
      </c>
      <c r="G1638" s="2" t="str">
        <f>IFERROR(__xludf.DUMMYFUNCTION("IF('From Order'!$A1638=COLUMNS($A1638:G1657), LEFT(INDEX(FILTER(G$1:G1637, G$1:G1637&lt;&gt;""""),COUNTA(FILTER(G$1:G1637, G$1:G1637&lt;&gt;""""))), LEN(INDEX(FILTER(G$1:G1637, G$1:G1637&lt;&gt;""""),COUNTA(FILTER(G$1:G1637, G$1:G1637&lt;&gt;""""))))-1), IF('To Order'!$A1638=COL"&amp;"UMNS($A1638:G1657), G1637&amp;RIGHT(INDIRECT(ADDRESS(ROW(G1638)-1, 'From Order'!$A1638)), 1), G1637))"),"")</f>
        <v/>
      </c>
      <c r="H1638" s="2" t="str">
        <f>IFERROR(__xludf.DUMMYFUNCTION("IF('From Order'!$A1638=COLUMNS($A1638:H1657), LEFT(INDEX(FILTER(H$1:H1637, H$1:H1637&lt;&gt;""""),COUNTA(FILTER(H$1:H1637, H$1:H1637&lt;&gt;""""))), LEN(INDEX(FILTER(H$1:H1637, H$1:H1637&lt;&gt;""""),COUNTA(FILTER(H$1:H1637, H$1:H1637&lt;&gt;""""))))-1), IF('To Order'!$A1638=COL"&amp;"UMNS($A1638:H1657), H1637&amp;RIGHT(INDIRECT(ADDRESS(ROW(H1638)-1, 'From Order'!$A1638)), 1), H1637))"),"")</f>
        <v/>
      </c>
      <c r="I1638" s="2" t="str">
        <f>IFERROR(__xludf.DUMMYFUNCTION("IF('From Order'!$A1638=COLUMNS($A1638:I1657), LEFT(INDEX(FILTER(I$1:I1637, I$1:I1637&lt;&gt;""""),COUNTA(FILTER(I$1:I1637, I$1:I1637&lt;&gt;""""))), LEN(INDEX(FILTER(I$1:I1637, I$1:I1637&lt;&gt;""""),COUNTA(FILTER(I$1:I1637, I$1:I1637&lt;&gt;""""))))-1), IF('To Order'!$A1638=COL"&amp;"UMNS($A1638:I1657), I1637&amp;RIGHT(INDIRECT(ADDRESS(ROW(I1638)-1, 'From Order'!$A1638)), 1), I1637))"),"")</f>
        <v/>
      </c>
    </row>
    <row r="1639">
      <c r="A1639" s="2" t="str">
        <f>IFERROR(__xludf.DUMMYFUNCTION("IF('From Order'!$A1639=COLUMNS($A1639:A1658), LEFT(INDEX(FILTER(A$1:A1638, A$1:A1638&lt;&gt;""""),COUNTA(FILTER(A$1:A1638, A$1:A1638&lt;&gt;""""))), LEN(INDEX(FILTER(A$1:A1638, A$1:A1638&lt;&gt;""""),COUNTA(FILTER(A$1:A1638, A$1:A1638&lt;&gt;""""))))-1), IF('To Order'!$A1639=COL"&amp;"UMNS($A1639:A1658), A1638&amp;RIGHT(INDIRECT(ADDRESS(ROW(A1639)-1, 'From Order'!$A1639)), 1), A1638))"),"Z")</f>
        <v>Z</v>
      </c>
      <c r="B1639" s="2" t="str">
        <f>IFERROR(__xludf.DUMMYFUNCTION("IF('From Order'!$A1639=COLUMNS($A1639:B1658), LEFT(INDEX(FILTER(B$1:B1638, B$1:B1638&lt;&gt;""""),COUNTA(FILTER(B$1:B1638, B$1:B1638&lt;&gt;""""))), LEN(INDEX(FILTER(B$1:B1638, B$1:B1638&lt;&gt;""""),COUNTA(FILTER(B$1:B1638, B$1:B1638&lt;&gt;""""))))-1), IF('To Order'!$A1639=COL"&amp;"UMNS($A1639:B1658), B1638&amp;RIGHT(INDIRECT(ADDRESS(ROW(B1639)-1, 'From Order'!$A1639)), 1), B1638))"),"RBRTVCDRHZMTDLDSRRVBMJDMWZCSFH")</f>
        <v>RBRTVCDRHZMTDLDSRRVBMJDMWZCSFH</v>
      </c>
      <c r="C1639" s="2" t="str">
        <f>IFERROR(__xludf.DUMMYFUNCTION("IF('From Order'!$A1639=COLUMNS($A1639:C1658), LEFT(INDEX(FILTER(C$1:C1638, C$1:C1638&lt;&gt;""""),COUNTA(FILTER(C$1:C1638, C$1:C1638&lt;&gt;""""))), LEN(INDEX(FILTER(C$1:C1638, C$1:C1638&lt;&gt;""""),COUNTA(FILTER(C$1:C1638, C$1:C1638&lt;&gt;""""))))-1), IF('To Order'!$A1639=COL"&amp;"UMNS($A1639:C1658), C1638&amp;RIGHT(INDIRECT(ADDRESS(ROW(C1639)-1, 'From Order'!$A1639)), 1), C1638))"),"TQVQJPPSSTDDWLLFBPTTJGB")</f>
        <v>TQVQJPPSSTDDWLLFBPTTJGB</v>
      </c>
      <c r="D1639" s="2" t="str">
        <f>IFERROR(__xludf.DUMMYFUNCTION("IF('From Order'!$A1639=COLUMNS($A1639:D1658), LEFT(INDEX(FILTER(D$1:D1638, D$1:D1638&lt;&gt;""""),COUNTA(FILTER(D$1:D1638, D$1:D1638&lt;&gt;""""))), LEN(INDEX(FILTER(D$1:D1638, D$1:D1638&lt;&gt;""""),COUNTA(FILTER(D$1:D1638, D$1:D1638&lt;&gt;""""))))-1), IF('To Order'!$A1639=COL"&amp;"UMNS($A1639:D1658), D1638&amp;RIGHT(INDIRECT(ADDRESS(ROW(D1639)-1, 'From Order'!$A1639)), 1), D1638))"),"CG")</f>
        <v>CG</v>
      </c>
      <c r="E1639" s="2" t="str">
        <f>IFERROR(__xludf.DUMMYFUNCTION("IF('From Order'!$A1639=COLUMNS($A1639:E1658), LEFT(INDEX(FILTER(E$1:E1638, E$1:E1638&lt;&gt;""""),COUNTA(FILTER(E$1:E1638, E$1:E1638&lt;&gt;""""))), LEN(INDEX(FILTER(E$1:E1638, E$1:E1638&lt;&gt;""""),COUNTA(FILTER(E$1:E1638, E$1:E1638&lt;&gt;""""))))-1), IF('To Order'!$A1639=COL"&amp;"UMNS($A1639:E1658), E1638&amp;RIGHT(INDIRECT(ADDRESS(ROW(E1639)-1, 'From Order'!$A1639)), 1), E1638))"),"")</f>
        <v/>
      </c>
      <c r="F1639" s="2" t="str">
        <f>IFERROR(__xludf.DUMMYFUNCTION("IF('From Order'!$A1639=COLUMNS($A1639:F1658), LEFT(INDEX(FILTER(F$1:F1638, F$1:F1638&lt;&gt;""""),COUNTA(FILTER(F$1:F1638, F$1:F1638&lt;&gt;""""))), LEN(INDEX(FILTER(F$1:F1638, F$1:F1638&lt;&gt;""""),COUNTA(FILTER(F$1:F1638, F$1:F1638&lt;&gt;""""))))-1), IF('To Order'!$A1639=COL"&amp;"UMNS($A1639:F1658), F1638&amp;RIGHT(INDIRECT(ADDRESS(ROW(F1639)-1, 'From Order'!$A1639)), 1), F1638))"),"")</f>
        <v/>
      </c>
      <c r="G1639" s="2" t="str">
        <f>IFERROR(__xludf.DUMMYFUNCTION("IF('From Order'!$A1639=COLUMNS($A1639:G1658), LEFT(INDEX(FILTER(G$1:G1638, G$1:G1638&lt;&gt;""""),COUNTA(FILTER(G$1:G1638, G$1:G1638&lt;&gt;""""))), LEN(INDEX(FILTER(G$1:G1638, G$1:G1638&lt;&gt;""""),COUNTA(FILTER(G$1:G1638, G$1:G1638&lt;&gt;""""))))-1), IF('To Order'!$A1639=COL"&amp;"UMNS($A1639:G1658), G1638&amp;RIGHT(INDIRECT(ADDRESS(ROW(G1639)-1, 'From Order'!$A1639)), 1), G1638))"),"")</f>
        <v/>
      </c>
      <c r="H1639" s="2" t="str">
        <f>IFERROR(__xludf.DUMMYFUNCTION("IF('From Order'!$A1639=COLUMNS($A1639:H1658), LEFT(INDEX(FILTER(H$1:H1638, H$1:H1638&lt;&gt;""""),COUNTA(FILTER(H$1:H1638, H$1:H1638&lt;&gt;""""))), LEN(INDEX(FILTER(H$1:H1638, H$1:H1638&lt;&gt;""""),COUNTA(FILTER(H$1:H1638, H$1:H1638&lt;&gt;""""))))-1), IF('To Order'!$A1639=COL"&amp;"UMNS($A1639:H1658), H1638&amp;RIGHT(INDIRECT(ADDRESS(ROW(H1639)-1, 'From Order'!$A1639)), 1), H1638))"),"")</f>
        <v/>
      </c>
      <c r="I1639" s="2" t="str">
        <f>IFERROR(__xludf.DUMMYFUNCTION("IF('From Order'!$A1639=COLUMNS($A1639:I1658), LEFT(INDEX(FILTER(I$1:I1638, I$1:I1638&lt;&gt;""""),COUNTA(FILTER(I$1:I1638, I$1:I1638&lt;&gt;""""))), LEN(INDEX(FILTER(I$1:I1638, I$1:I1638&lt;&gt;""""),COUNTA(FILTER(I$1:I1638, I$1:I1638&lt;&gt;""""))))-1), IF('To Order'!$A1639=COL"&amp;"UMNS($A1639:I1658), I1638&amp;RIGHT(INDIRECT(ADDRESS(ROW(I1639)-1, 'From Order'!$A1639)), 1), I1638))"),"")</f>
        <v/>
      </c>
    </row>
    <row r="1640">
      <c r="A1640" s="2" t="str">
        <f>IFERROR(__xludf.DUMMYFUNCTION("IF('From Order'!$A1640=COLUMNS($A1640:A1659), LEFT(INDEX(FILTER(A$1:A1639, A$1:A1639&lt;&gt;""""),COUNTA(FILTER(A$1:A1639, A$1:A1639&lt;&gt;""""))), LEN(INDEX(FILTER(A$1:A1639, A$1:A1639&lt;&gt;""""),COUNTA(FILTER(A$1:A1639, A$1:A1639&lt;&gt;""""))))-1), IF('To Order'!$A1640=COL"&amp;"UMNS($A1640:A1659), A1639&amp;RIGHT(INDIRECT(ADDRESS(ROW(A1640)-1, 'From Order'!$A1640)), 1), A1639))"),"Z")</f>
        <v>Z</v>
      </c>
      <c r="B1640" s="2" t="str">
        <f>IFERROR(__xludf.DUMMYFUNCTION("IF('From Order'!$A1640=COLUMNS($A1640:B1659), LEFT(INDEX(FILTER(B$1:B1639, B$1:B1639&lt;&gt;""""),COUNTA(FILTER(B$1:B1639, B$1:B1639&lt;&gt;""""))), LEN(INDEX(FILTER(B$1:B1639, B$1:B1639&lt;&gt;""""),COUNTA(FILTER(B$1:B1639, B$1:B1639&lt;&gt;""""))))-1), IF('To Order'!$A1640=COL"&amp;"UMNS($A1640:B1659), B1639&amp;RIGHT(INDIRECT(ADDRESS(ROW(B1640)-1, 'From Order'!$A1640)), 1), B1639))"),"RBRTVCDRHZMTDLDSRRVBMJDMWZCSF")</f>
        <v>RBRTVCDRHZMTDLDSRRVBMJDMWZCSF</v>
      </c>
      <c r="C1640" s="2" t="str">
        <f>IFERROR(__xludf.DUMMYFUNCTION("IF('From Order'!$A1640=COLUMNS($A1640:C1659), LEFT(INDEX(FILTER(C$1:C1639, C$1:C1639&lt;&gt;""""),COUNTA(FILTER(C$1:C1639, C$1:C1639&lt;&gt;""""))), LEN(INDEX(FILTER(C$1:C1639, C$1:C1639&lt;&gt;""""),COUNTA(FILTER(C$1:C1639, C$1:C1639&lt;&gt;""""))))-1), IF('To Order'!$A1640=COL"&amp;"UMNS($A1640:C1659), C1639&amp;RIGHT(INDIRECT(ADDRESS(ROW(C1640)-1, 'From Order'!$A1640)), 1), C1639))"),"TQVQJPPSSTDDWLLFBPTTJGBH")</f>
        <v>TQVQJPPSSTDDWLLFBPTTJGBH</v>
      </c>
      <c r="D1640" s="2" t="str">
        <f>IFERROR(__xludf.DUMMYFUNCTION("IF('From Order'!$A1640=COLUMNS($A1640:D1659), LEFT(INDEX(FILTER(D$1:D1639, D$1:D1639&lt;&gt;""""),COUNTA(FILTER(D$1:D1639, D$1:D1639&lt;&gt;""""))), LEN(INDEX(FILTER(D$1:D1639, D$1:D1639&lt;&gt;""""),COUNTA(FILTER(D$1:D1639, D$1:D1639&lt;&gt;""""))))-1), IF('To Order'!$A1640=COL"&amp;"UMNS($A1640:D1659), D1639&amp;RIGHT(INDIRECT(ADDRESS(ROW(D1640)-1, 'From Order'!$A1640)), 1), D1639))"),"CG")</f>
        <v>CG</v>
      </c>
      <c r="E1640" s="2" t="str">
        <f>IFERROR(__xludf.DUMMYFUNCTION("IF('From Order'!$A1640=COLUMNS($A1640:E1659), LEFT(INDEX(FILTER(E$1:E1639, E$1:E1639&lt;&gt;""""),COUNTA(FILTER(E$1:E1639, E$1:E1639&lt;&gt;""""))), LEN(INDEX(FILTER(E$1:E1639, E$1:E1639&lt;&gt;""""),COUNTA(FILTER(E$1:E1639, E$1:E1639&lt;&gt;""""))))-1), IF('To Order'!$A1640=COL"&amp;"UMNS($A1640:E1659), E1639&amp;RIGHT(INDIRECT(ADDRESS(ROW(E1640)-1, 'From Order'!$A1640)), 1), E1639))"),"")</f>
        <v/>
      </c>
      <c r="F1640" s="2" t="str">
        <f>IFERROR(__xludf.DUMMYFUNCTION("IF('From Order'!$A1640=COLUMNS($A1640:F1659), LEFT(INDEX(FILTER(F$1:F1639, F$1:F1639&lt;&gt;""""),COUNTA(FILTER(F$1:F1639, F$1:F1639&lt;&gt;""""))), LEN(INDEX(FILTER(F$1:F1639, F$1:F1639&lt;&gt;""""),COUNTA(FILTER(F$1:F1639, F$1:F1639&lt;&gt;""""))))-1), IF('To Order'!$A1640=COL"&amp;"UMNS($A1640:F1659), F1639&amp;RIGHT(INDIRECT(ADDRESS(ROW(F1640)-1, 'From Order'!$A1640)), 1), F1639))"),"")</f>
        <v/>
      </c>
      <c r="G1640" s="2" t="str">
        <f>IFERROR(__xludf.DUMMYFUNCTION("IF('From Order'!$A1640=COLUMNS($A1640:G1659), LEFT(INDEX(FILTER(G$1:G1639, G$1:G1639&lt;&gt;""""),COUNTA(FILTER(G$1:G1639, G$1:G1639&lt;&gt;""""))), LEN(INDEX(FILTER(G$1:G1639, G$1:G1639&lt;&gt;""""),COUNTA(FILTER(G$1:G1639, G$1:G1639&lt;&gt;""""))))-1), IF('To Order'!$A1640=COL"&amp;"UMNS($A1640:G1659), G1639&amp;RIGHT(INDIRECT(ADDRESS(ROW(G1640)-1, 'From Order'!$A1640)), 1), G1639))"),"")</f>
        <v/>
      </c>
      <c r="H1640" s="2" t="str">
        <f>IFERROR(__xludf.DUMMYFUNCTION("IF('From Order'!$A1640=COLUMNS($A1640:H1659), LEFT(INDEX(FILTER(H$1:H1639, H$1:H1639&lt;&gt;""""),COUNTA(FILTER(H$1:H1639, H$1:H1639&lt;&gt;""""))), LEN(INDEX(FILTER(H$1:H1639, H$1:H1639&lt;&gt;""""),COUNTA(FILTER(H$1:H1639, H$1:H1639&lt;&gt;""""))))-1), IF('To Order'!$A1640=COL"&amp;"UMNS($A1640:H1659), H1639&amp;RIGHT(INDIRECT(ADDRESS(ROW(H1640)-1, 'From Order'!$A1640)), 1), H1639))"),"")</f>
        <v/>
      </c>
      <c r="I1640" s="2" t="str">
        <f>IFERROR(__xludf.DUMMYFUNCTION("IF('From Order'!$A1640=COLUMNS($A1640:I1659), LEFT(INDEX(FILTER(I$1:I1639, I$1:I1639&lt;&gt;""""),COUNTA(FILTER(I$1:I1639, I$1:I1639&lt;&gt;""""))), LEN(INDEX(FILTER(I$1:I1639, I$1:I1639&lt;&gt;""""),COUNTA(FILTER(I$1:I1639, I$1:I1639&lt;&gt;""""))))-1), IF('To Order'!$A1640=COL"&amp;"UMNS($A1640:I1659), I1639&amp;RIGHT(INDIRECT(ADDRESS(ROW(I1640)-1, 'From Order'!$A1640)), 1), I1639))"),"")</f>
        <v/>
      </c>
    </row>
    <row r="1641">
      <c r="A1641" s="2" t="str">
        <f>IFERROR(__xludf.DUMMYFUNCTION("IF('From Order'!$A1641=COLUMNS($A1641:A1660), LEFT(INDEX(FILTER(A$1:A1640, A$1:A1640&lt;&gt;""""),COUNTA(FILTER(A$1:A1640, A$1:A1640&lt;&gt;""""))), LEN(INDEX(FILTER(A$1:A1640, A$1:A1640&lt;&gt;""""),COUNTA(FILTER(A$1:A1640, A$1:A1640&lt;&gt;""""))))-1), IF('To Order'!$A1641=COL"&amp;"UMNS($A1641:A1660), A1640&amp;RIGHT(INDIRECT(ADDRESS(ROW(A1641)-1, 'From Order'!$A1641)), 1), A1640))"),"Z")</f>
        <v>Z</v>
      </c>
      <c r="B1641" s="2" t="str">
        <f>IFERROR(__xludf.DUMMYFUNCTION("IF('From Order'!$A1641=COLUMNS($A1641:B1660), LEFT(INDEX(FILTER(B$1:B1640, B$1:B1640&lt;&gt;""""),COUNTA(FILTER(B$1:B1640, B$1:B1640&lt;&gt;""""))), LEN(INDEX(FILTER(B$1:B1640, B$1:B1640&lt;&gt;""""),COUNTA(FILTER(B$1:B1640, B$1:B1640&lt;&gt;""""))))-1), IF('To Order'!$A1641=COL"&amp;"UMNS($A1641:B1660), B1640&amp;RIGHT(INDIRECT(ADDRESS(ROW(B1641)-1, 'From Order'!$A1641)), 1), B1640))"),"RBRTVCDRHZMTDLDSRRVBMJDMWZCS")</f>
        <v>RBRTVCDRHZMTDLDSRRVBMJDMWZCS</v>
      </c>
      <c r="C1641" s="2" t="str">
        <f>IFERROR(__xludf.DUMMYFUNCTION("IF('From Order'!$A1641=COLUMNS($A1641:C1660), LEFT(INDEX(FILTER(C$1:C1640, C$1:C1640&lt;&gt;""""),COUNTA(FILTER(C$1:C1640, C$1:C1640&lt;&gt;""""))), LEN(INDEX(FILTER(C$1:C1640, C$1:C1640&lt;&gt;""""),COUNTA(FILTER(C$1:C1640, C$1:C1640&lt;&gt;""""))))-1), IF('To Order'!$A1641=COL"&amp;"UMNS($A1641:C1660), C1640&amp;RIGHT(INDIRECT(ADDRESS(ROW(C1641)-1, 'From Order'!$A1641)), 1), C1640))"),"TQVQJPPSSTDDWLLFBPTTJGBHF")</f>
        <v>TQVQJPPSSTDDWLLFBPTTJGBHF</v>
      </c>
      <c r="D1641" s="2" t="str">
        <f>IFERROR(__xludf.DUMMYFUNCTION("IF('From Order'!$A1641=COLUMNS($A1641:D1660), LEFT(INDEX(FILTER(D$1:D1640, D$1:D1640&lt;&gt;""""),COUNTA(FILTER(D$1:D1640, D$1:D1640&lt;&gt;""""))), LEN(INDEX(FILTER(D$1:D1640, D$1:D1640&lt;&gt;""""),COUNTA(FILTER(D$1:D1640, D$1:D1640&lt;&gt;""""))))-1), IF('To Order'!$A1641=COL"&amp;"UMNS($A1641:D1660), D1640&amp;RIGHT(INDIRECT(ADDRESS(ROW(D1641)-1, 'From Order'!$A1641)), 1), D1640))"),"CG")</f>
        <v>CG</v>
      </c>
      <c r="E1641" s="2" t="str">
        <f>IFERROR(__xludf.DUMMYFUNCTION("IF('From Order'!$A1641=COLUMNS($A1641:E1660), LEFT(INDEX(FILTER(E$1:E1640, E$1:E1640&lt;&gt;""""),COUNTA(FILTER(E$1:E1640, E$1:E1640&lt;&gt;""""))), LEN(INDEX(FILTER(E$1:E1640, E$1:E1640&lt;&gt;""""),COUNTA(FILTER(E$1:E1640, E$1:E1640&lt;&gt;""""))))-1), IF('To Order'!$A1641=COL"&amp;"UMNS($A1641:E1660), E1640&amp;RIGHT(INDIRECT(ADDRESS(ROW(E1641)-1, 'From Order'!$A1641)), 1), E1640))"),"")</f>
        <v/>
      </c>
      <c r="F1641" s="2" t="str">
        <f>IFERROR(__xludf.DUMMYFUNCTION("IF('From Order'!$A1641=COLUMNS($A1641:F1660), LEFT(INDEX(FILTER(F$1:F1640, F$1:F1640&lt;&gt;""""),COUNTA(FILTER(F$1:F1640, F$1:F1640&lt;&gt;""""))), LEN(INDEX(FILTER(F$1:F1640, F$1:F1640&lt;&gt;""""),COUNTA(FILTER(F$1:F1640, F$1:F1640&lt;&gt;""""))))-1), IF('To Order'!$A1641=COL"&amp;"UMNS($A1641:F1660), F1640&amp;RIGHT(INDIRECT(ADDRESS(ROW(F1641)-1, 'From Order'!$A1641)), 1), F1640))"),"")</f>
        <v/>
      </c>
      <c r="G1641" s="2" t="str">
        <f>IFERROR(__xludf.DUMMYFUNCTION("IF('From Order'!$A1641=COLUMNS($A1641:G1660), LEFT(INDEX(FILTER(G$1:G1640, G$1:G1640&lt;&gt;""""),COUNTA(FILTER(G$1:G1640, G$1:G1640&lt;&gt;""""))), LEN(INDEX(FILTER(G$1:G1640, G$1:G1640&lt;&gt;""""),COUNTA(FILTER(G$1:G1640, G$1:G1640&lt;&gt;""""))))-1), IF('To Order'!$A1641=COL"&amp;"UMNS($A1641:G1660), G1640&amp;RIGHT(INDIRECT(ADDRESS(ROW(G1641)-1, 'From Order'!$A1641)), 1), G1640))"),"")</f>
        <v/>
      </c>
      <c r="H1641" s="2" t="str">
        <f>IFERROR(__xludf.DUMMYFUNCTION("IF('From Order'!$A1641=COLUMNS($A1641:H1660), LEFT(INDEX(FILTER(H$1:H1640, H$1:H1640&lt;&gt;""""),COUNTA(FILTER(H$1:H1640, H$1:H1640&lt;&gt;""""))), LEN(INDEX(FILTER(H$1:H1640, H$1:H1640&lt;&gt;""""),COUNTA(FILTER(H$1:H1640, H$1:H1640&lt;&gt;""""))))-1), IF('To Order'!$A1641=COL"&amp;"UMNS($A1641:H1660), H1640&amp;RIGHT(INDIRECT(ADDRESS(ROW(H1641)-1, 'From Order'!$A1641)), 1), H1640))"),"")</f>
        <v/>
      </c>
      <c r="I1641" s="2" t="str">
        <f>IFERROR(__xludf.DUMMYFUNCTION("IF('From Order'!$A1641=COLUMNS($A1641:I1660), LEFT(INDEX(FILTER(I$1:I1640, I$1:I1640&lt;&gt;""""),COUNTA(FILTER(I$1:I1640, I$1:I1640&lt;&gt;""""))), LEN(INDEX(FILTER(I$1:I1640, I$1:I1640&lt;&gt;""""),COUNTA(FILTER(I$1:I1640, I$1:I1640&lt;&gt;""""))))-1), IF('To Order'!$A1641=COL"&amp;"UMNS($A1641:I1660), I1640&amp;RIGHT(INDIRECT(ADDRESS(ROW(I1641)-1, 'From Order'!$A1641)), 1), I1640))"),"")</f>
        <v/>
      </c>
    </row>
    <row r="1642">
      <c r="A1642" s="2" t="str">
        <f>IFERROR(__xludf.DUMMYFUNCTION("IF('From Order'!$A1642=COLUMNS($A1642:A1661), LEFT(INDEX(FILTER(A$1:A1641, A$1:A1641&lt;&gt;""""),COUNTA(FILTER(A$1:A1641, A$1:A1641&lt;&gt;""""))), LEN(INDEX(FILTER(A$1:A1641, A$1:A1641&lt;&gt;""""),COUNTA(FILTER(A$1:A1641, A$1:A1641&lt;&gt;""""))))-1), IF('To Order'!$A1642=COL"&amp;"UMNS($A1642:A1661), A1641&amp;RIGHT(INDIRECT(ADDRESS(ROW(A1642)-1, 'From Order'!$A1642)), 1), A1641))"),"Z")</f>
        <v>Z</v>
      </c>
      <c r="B1642" s="2" t="str">
        <f>IFERROR(__xludf.DUMMYFUNCTION("IF('From Order'!$A1642=COLUMNS($A1642:B1661), LEFT(INDEX(FILTER(B$1:B1641, B$1:B1641&lt;&gt;""""),COUNTA(FILTER(B$1:B1641, B$1:B1641&lt;&gt;""""))), LEN(INDEX(FILTER(B$1:B1641, B$1:B1641&lt;&gt;""""),COUNTA(FILTER(B$1:B1641, B$1:B1641&lt;&gt;""""))))-1), IF('To Order'!$A1642=COL"&amp;"UMNS($A1642:B1661), B1641&amp;RIGHT(INDIRECT(ADDRESS(ROW(B1642)-1, 'From Order'!$A1642)), 1), B1641))"),"RBRTVCDRHZMTDLDSRRVBMJDMWZC")</f>
        <v>RBRTVCDRHZMTDLDSRRVBMJDMWZC</v>
      </c>
      <c r="C1642" s="2" t="str">
        <f>IFERROR(__xludf.DUMMYFUNCTION("IF('From Order'!$A1642=COLUMNS($A1642:C1661), LEFT(INDEX(FILTER(C$1:C1641, C$1:C1641&lt;&gt;""""),COUNTA(FILTER(C$1:C1641, C$1:C1641&lt;&gt;""""))), LEN(INDEX(FILTER(C$1:C1641, C$1:C1641&lt;&gt;""""),COUNTA(FILTER(C$1:C1641, C$1:C1641&lt;&gt;""""))))-1), IF('To Order'!$A1642=COL"&amp;"UMNS($A1642:C1661), C1641&amp;RIGHT(INDIRECT(ADDRESS(ROW(C1642)-1, 'From Order'!$A1642)), 1), C1641))"),"TQVQJPPSSTDDWLLFBPTTJGBHFS")</f>
        <v>TQVQJPPSSTDDWLLFBPTTJGBHFS</v>
      </c>
      <c r="D1642" s="2" t="str">
        <f>IFERROR(__xludf.DUMMYFUNCTION("IF('From Order'!$A1642=COLUMNS($A1642:D1661), LEFT(INDEX(FILTER(D$1:D1641, D$1:D1641&lt;&gt;""""),COUNTA(FILTER(D$1:D1641, D$1:D1641&lt;&gt;""""))), LEN(INDEX(FILTER(D$1:D1641, D$1:D1641&lt;&gt;""""),COUNTA(FILTER(D$1:D1641, D$1:D1641&lt;&gt;""""))))-1), IF('To Order'!$A1642=COL"&amp;"UMNS($A1642:D1661), D1641&amp;RIGHT(INDIRECT(ADDRESS(ROW(D1642)-1, 'From Order'!$A1642)), 1), D1641))"),"CG")</f>
        <v>CG</v>
      </c>
      <c r="E1642" s="2" t="str">
        <f>IFERROR(__xludf.DUMMYFUNCTION("IF('From Order'!$A1642=COLUMNS($A1642:E1661), LEFT(INDEX(FILTER(E$1:E1641, E$1:E1641&lt;&gt;""""),COUNTA(FILTER(E$1:E1641, E$1:E1641&lt;&gt;""""))), LEN(INDEX(FILTER(E$1:E1641, E$1:E1641&lt;&gt;""""),COUNTA(FILTER(E$1:E1641, E$1:E1641&lt;&gt;""""))))-1), IF('To Order'!$A1642=COL"&amp;"UMNS($A1642:E1661), E1641&amp;RIGHT(INDIRECT(ADDRESS(ROW(E1642)-1, 'From Order'!$A1642)), 1), E1641))"),"")</f>
        <v/>
      </c>
      <c r="F1642" s="2" t="str">
        <f>IFERROR(__xludf.DUMMYFUNCTION("IF('From Order'!$A1642=COLUMNS($A1642:F1661), LEFT(INDEX(FILTER(F$1:F1641, F$1:F1641&lt;&gt;""""),COUNTA(FILTER(F$1:F1641, F$1:F1641&lt;&gt;""""))), LEN(INDEX(FILTER(F$1:F1641, F$1:F1641&lt;&gt;""""),COUNTA(FILTER(F$1:F1641, F$1:F1641&lt;&gt;""""))))-1), IF('To Order'!$A1642=COL"&amp;"UMNS($A1642:F1661), F1641&amp;RIGHT(INDIRECT(ADDRESS(ROW(F1642)-1, 'From Order'!$A1642)), 1), F1641))"),"")</f>
        <v/>
      </c>
      <c r="G1642" s="2" t="str">
        <f>IFERROR(__xludf.DUMMYFUNCTION("IF('From Order'!$A1642=COLUMNS($A1642:G1661), LEFT(INDEX(FILTER(G$1:G1641, G$1:G1641&lt;&gt;""""),COUNTA(FILTER(G$1:G1641, G$1:G1641&lt;&gt;""""))), LEN(INDEX(FILTER(G$1:G1641, G$1:G1641&lt;&gt;""""),COUNTA(FILTER(G$1:G1641, G$1:G1641&lt;&gt;""""))))-1), IF('To Order'!$A1642=COL"&amp;"UMNS($A1642:G1661), G1641&amp;RIGHT(INDIRECT(ADDRESS(ROW(G1642)-1, 'From Order'!$A1642)), 1), G1641))"),"")</f>
        <v/>
      </c>
      <c r="H1642" s="2" t="str">
        <f>IFERROR(__xludf.DUMMYFUNCTION("IF('From Order'!$A1642=COLUMNS($A1642:H1661), LEFT(INDEX(FILTER(H$1:H1641, H$1:H1641&lt;&gt;""""),COUNTA(FILTER(H$1:H1641, H$1:H1641&lt;&gt;""""))), LEN(INDEX(FILTER(H$1:H1641, H$1:H1641&lt;&gt;""""),COUNTA(FILTER(H$1:H1641, H$1:H1641&lt;&gt;""""))))-1), IF('To Order'!$A1642=COL"&amp;"UMNS($A1642:H1661), H1641&amp;RIGHT(INDIRECT(ADDRESS(ROW(H1642)-1, 'From Order'!$A1642)), 1), H1641))"),"")</f>
        <v/>
      </c>
      <c r="I1642" s="2" t="str">
        <f>IFERROR(__xludf.DUMMYFUNCTION("IF('From Order'!$A1642=COLUMNS($A1642:I1661), LEFT(INDEX(FILTER(I$1:I1641, I$1:I1641&lt;&gt;""""),COUNTA(FILTER(I$1:I1641, I$1:I1641&lt;&gt;""""))), LEN(INDEX(FILTER(I$1:I1641, I$1:I1641&lt;&gt;""""),COUNTA(FILTER(I$1:I1641, I$1:I1641&lt;&gt;""""))))-1), IF('To Order'!$A1642=COL"&amp;"UMNS($A1642:I1661), I1641&amp;RIGHT(INDIRECT(ADDRESS(ROW(I1642)-1, 'From Order'!$A1642)), 1), I1641))"),"")</f>
        <v/>
      </c>
    </row>
    <row r="1643">
      <c r="A1643" s="2" t="str">
        <f>IFERROR(__xludf.DUMMYFUNCTION("IF('From Order'!$A1643=COLUMNS($A1643:A1662), LEFT(INDEX(FILTER(A$1:A1642, A$1:A1642&lt;&gt;""""),COUNTA(FILTER(A$1:A1642, A$1:A1642&lt;&gt;""""))), LEN(INDEX(FILTER(A$1:A1642, A$1:A1642&lt;&gt;""""),COUNTA(FILTER(A$1:A1642, A$1:A1642&lt;&gt;""""))))-1), IF('To Order'!$A1643=COL"&amp;"UMNS($A1643:A1662), A1642&amp;RIGHT(INDIRECT(ADDRESS(ROW(A1643)-1, 'From Order'!$A1643)), 1), A1642))"),"Z")</f>
        <v>Z</v>
      </c>
      <c r="B1643" s="2" t="str">
        <f>IFERROR(__xludf.DUMMYFUNCTION("IF('From Order'!$A1643=COLUMNS($A1643:B1662), LEFT(INDEX(FILTER(B$1:B1642, B$1:B1642&lt;&gt;""""),COUNTA(FILTER(B$1:B1642, B$1:B1642&lt;&gt;""""))), LEN(INDEX(FILTER(B$1:B1642, B$1:B1642&lt;&gt;""""),COUNTA(FILTER(B$1:B1642, B$1:B1642&lt;&gt;""""))))-1), IF('To Order'!$A1643=COL"&amp;"UMNS($A1643:B1662), B1642&amp;RIGHT(INDIRECT(ADDRESS(ROW(B1643)-1, 'From Order'!$A1643)), 1), B1642))"),"RBRTVCDRHZMTDLDSRRVBMJDMWZ")</f>
        <v>RBRTVCDRHZMTDLDSRRVBMJDMWZ</v>
      </c>
      <c r="C1643" s="2" t="str">
        <f>IFERROR(__xludf.DUMMYFUNCTION("IF('From Order'!$A1643=COLUMNS($A1643:C1662), LEFT(INDEX(FILTER(C$1:C1642, C$1:C1642&lt;&gt;""""),COUNTA(FILTER(C$1:C1642, C$1:C1642&lt;&gt;""""))), LEN(INDEX(FILTER(C$1:C1642, C$1:C1642&lt;&gt;""""),COUNTA(FILTER(C$1:C1642, C$1:C1642&lt;&gt;""""))))-1), IF('To Order'!$A1643=COL"&amp;"UMNS($A1643:C1662), C1642&amp;RIGHT(INDIRECT(ADDRESS(ROW(C1643)-1, 'From Order'!$A1643)), 1), C1642))"),"TQVQJPPSSTDDWLLFBPTTJGBHFSC")</f>
        <v>TQVQJPPSSTDDWLLFBPTTJGBHFSC</v>
      </c>
      <c r="D1643" s="2" t="str">
        <f>IFERROR(__xludf.DUMMYFUNCTION("IF('From Order'!$A1643=COLUMNS($A1643:D1662), LEFT(INDEX(FILTER(D$1:D1642, D$1:D1642&lt;&gt;""""),COUNTA(FILTER(D$1:D1642, D$1:D1642&lt;&gt;""""))), LEN(INDEX(FILTER(D$1:D1642, D$1:D1642&lt;&gt;""""),COUNTA(FILTER(D$1:D1642, D$1:D1642&lt;&gt;""""))))-1), IF('To Order'!$A1643=COL"&amp;"UMNS($A1643:D1662), D1642&amp;RIGHT(INDIRECT(ADDRESS(ROW(D1643)-1, 'From Order'!$A1643)), 1), D1642))"),"CG")</f>
        <v>CG</v>
      </c>
      <c r="E1643" s="2" t="str">
        <f>IFERROR(__xludf.DUMMYFUNCTION("IF('From Order'!$A1643=COLUMNS($A1643:E1662), LEFT(INDEX(FILTER(E$1:E1642, E$1:E1642&lt;&gt;""""),COUNTA(FILTER(E$1:E1642, E$1:E1642&lt;&gt;""""))), LEN(INDEX(FILTER(E$1:E1642, E$1:E1642&lt;&gt;""""),COUNTA(FILTER(E$1:E1642, E$1:E1642&lt;&gt;""""))))-1), IF('To Order'!$A1643=COL"&amp;"UMNS($A1643:E1662), E1642&amp;RIGHT(INDIRECT(ADDRESS(ROW(E1643)-1, 'From Order'!$A1643)), 1), E1642))"),"")</f>
        <v/>
      </c>
      <c r="F1643" s="2" t="str">
        <f>IFERROR(__xludf.DUMMYFUNCTION("IF('From Order'!$A1643=COLUMNS($A1643:F1662), LEFT(INDEX(FILTER(F$1:F1642, F$1:F1642&lt;&gt;""""),COUNTA(FILTER(F$1:F1642, F$1:F1642&lt;&gt;""""))), LEN(INDEX(FILTER(F$1:F1642, F$1:F1642&lt;&gt;""""),COUNTA(FILTER(F$1:F1642, F$1:F1642&lt;&gt;""""))))-1), IF('To Order'!$A1643=COL"&amp;"UMNS($A1643:F1662), F1642&amp;RIGHT(INDIRECT(ADDRESS(ROW(F1643)-1, 'From Order'!$A1643)), 1), F1642))"),"")</f>
        <v/>
      </c>
      <c r="G1643" s="2" t="str">
        <f>IFERROR(__xludf.DUMMYFUNCTION("IF('From Order'!$A1643=COLUMNS($A1643:G1662), LEFT(INDEX(FILTER(G$1:G1642, G$1:G1642&lt;&gt;""""),COUNTA(FILTER(G$1:G1642, G$1:G1642&lt;&gt;""""))), LEN(INDEX(FILTER(G$1:G1642, G$1:G1642&lt;&gt;""""),COUNTA(FILTER(G$1:G1642, G$1:G1642&lt;&gt;""""))))-1), IF('To Order'!$A1643=COL"&amp;"UMNS($A1643:G1662), G1642&amp;RIGHT(INDIRECT(ADDRESS(ROW(G1643)-1, 'From Order'!$A1643)), 1), G1642))"),"")</f>
        <v/>
      </c>
      <c r="H1643" s="2" t="str">
        <f>IFERROR(__xludf.DUMMYFUNCTION("IF('From Order'!$A1643=COLUMNS($A1643:H1662), LEFT(INDEX(FILTER(H$1:H1642, H$1:H1642&lt;&gt;""""),COUNTA(FILTER(H$1:H1642, H$1:H1642&lt;&gt;""""))), LEN(INDEX(FILTER(H$1:H1642, H$1:H1642&lt;&gt;""""),COUNTA(FILTER(H$1:H1642, H$1:H1642&lt;&gt;""""))))-1), IF('To Order'!$A1643=COL"&amp;"UMNS($A1643:H1662), H1642&amp;RIGHT(INDIRECT(ADDRESS(ROW(H1643)-1, 'From Order'!$A1643)), 1), H1642))"),"")</f>
        <v/>
      </c>
      <c r="I1643" s="2" t="str">
        <f>IFERROR(__xludf.DUMMYFUNCTION("IF('From Order'!$A1643=COLUMNS($A1643:I1662), LEFT(INDEX(FILTER(I$1:I1642, I$1:I1642&lt;&gt;""""),COUNTA(FILTER(I$1:I1642, I$1:I1642&lt;&gt;""""))), LEN(INDEX(FILTER(I$1:I1642, I$1:I1642&lt;&gt;""""),COUNTA(FILTER(I$1:I1642, I$1:I1642&lt;&gt;""""))))-1), IF('To Order'!$A1643=COL"&amp;"UMNS($A1643:I1662), I1642&amp;RIGHT(INDIRECT(ADDRESS(ROW(I1643)-1, 'From Order'!$A1643)), 1), I1642))"),"")</f>
        <v/>
      </c>
    </row>
    <row r="1644">
      <c r="A1644" s="2" t="str">
        <f>IFERROR(__xludf.DUMMYFUNCTION("IF('From Order'!$A1644=COLUMNS($A1644:A1663), LEFT(INDEX(FILTER(A$1:A1643, A$1:A1643&lt;&gt;""""),COUNTA(FILTER(A$1:A1643, A$1:A1643&lt;&gt;""""))), LEN(INDEX(FILTER(A$1:A1643, A$1:A1643&lt;&gt;""""),COUNTA(FILTER(A$1:A1643, A$1:A1643&lt;&gt;""""))))-1), IF('To Order'!$A1644=COL"&amp;"UMNS($A1644:A1663), A1643&amp;RIGHT(INDIRECT(ADDRESS(ROW(A1644)-1, 'From Order'!$A1644)), 1), A1643))"),"Z")</f>
        <v>Z</v>
      </c>
      <c r="B1644" s="2" t="str">
        <f>IFERROR(__xludf.DUMMYFUNCTION("IF('From Order'!$A1644=COLUMNS($A1644:B1663), LEFT(INDEX(FILTER(B$1:B1643, B$1:B1643&lt;&gt;""""),COUNTA(FILTER(B$1:B1643, B$1:B1643&lt;&gt;""""))), LEN(INDEX(FILTER(B$1:B1643, B$1:B1643&lt;&gt;""""),COUNTA(FILTER(B$1:B1643, B$1:B1643&lt;&gt;""""))))-1), IF('To Order'!$A1644=COL"&amp;"UMNS($A1644:B1663), B1643&amp;RIGHT(INDIRECT(ADDRESS(ROW(B1644)-1, 'From Order'!$A1644)), 1), B1643))"),"RBRTVCDRHZMTDLDSRRVBMJDMW")</f>
        <v>RBRTVCDRHZMTDLDSRRVBMJDMW</v>
      </c>
      <c r="C1644" s="2" t="str">
        <f>IFERROR(__xludf.DUMMYFUNCTION("IF('From Order'!$A1644=COLUMNS($A1644:C1663), LEFT(INDEX(FILTER(C$1:C1643, C$1:C1643&lt;&gt;""""),COUNTA(FILTER(C$1:C1643, C$1:C1643&lt;&gt;""""))), LEN(INDEX(FILTER(C$1:C1643, C$1:C1643&lt;&gt;""""),COUNTA(FILTER(C$1:C1643, C$1:C1643&lt;&gt;""""))))-1), IF('To Order'!$A1644=COL"&amp;"UMNS($A1644:C1663), C1643&amp;RIGHT(INDIRECT(ADDRESS(ROW(C1644)-1, 'From Order'!$A1644)), 1), C1643))"),"TQVQJPPSSTDDWLLFBPTTJGBHFSCZ")</f>
        <v>TQVQJPPSSTDDWLLFBPTTJGBHFSCZ</v>
      </c>
      <c r="D1644" s="2" t="str">
        <f>IFERROR(__xludf.DUMMYFUNCTION("IF('From Order'!$A1644=COLUMNS($A1644:D1663), LEFT(INDEX(FILTER(D$1:D1643, D$1:D1643&lt;&gt;""""),COUNTA(FILTER(D$1:D1643, D$1:D1643&lt;&gt;""""))), LEN(INDEX(FILTER(D$1:D1643, D$1:D1643&lt;&gt;""""),COUNTA(FILTER(D$1:D1643, D$1:D1643&lt;&gt;""""))))-1), IF('To Order'!$A1644=COL"&amp;"UMNS($A1644:D1663), D1643&amp;RIGHT(INDIRECT(ADDRESS(ROW(D1644)-1, 'From Order'!$A1644)), 1), D1643))"),"CG")</f>
        <v>CG</v>
      </c>
      <c r="E1644" s="2" t="str">
        <f>IFERROR(__xludf.DUMMYFUNCTION("IF('From Order'!$A1644=COLUMNS($A1644:E1663), LEFT(INDEX(FILTER(E$1:E1643, E$1:E1643&lt;&gt;""""),COUNTA(FILTER(E$1:E1643, E$1:E1643&lt;&gt;""""))), LEN(INDEX(FILTER(E$1:E1643, E$1:E1643&lt;&gt;""""),COUNTA(FILTER(E$1:E1643, E$1:E1643&lt;&gt;""""))))-1), IF('To Order'!$A1644=COL"&amp;"UMNS($A1644:E1663), E1643&amp;RIGHT(INDIRECT(ADDRESS(ROW(E1644)-1, 'From Order'!$A1644)), 1), E1643))"),"")</f>
        <v/>
      </c>
      <c r="F1644" s="2" t="str">
        <f>IFERROR(__xludf.DUMMYFUNCTION("IF('From Order'!$A1644=COLUMNS($A1644:F1663), LEFT(INDEX(FILTER(F$1:F1643, F$1:F1643&lt;&gt;""""),COUNTA(FILTER(F$1:F1643, F$1:F1643&lt;&gt;""""))), LEN(INDEX(FILTER(F$1:F1643, F$1:F1643&lt;&gt;""""),COUNTA(FILTER(F$1:F1643, F$1:F1643&lt;&gt;""""))))-1), IF('To Order'!$A1644=COL"&amp;"UMNS($A1644:F1663), F1643&amp;RIGHT(INDIRECT(ADDRESS(ROW(F1644)-1, 'From Order'!$A1644)), 1), F1643))"),"")</f>
        <v/>
      </c>
      <c r="G1644" s="2" t="str">
        <f>IFERROR(__xludf.DUMMYFUNCTION("IF('From Order'!$A1644=COLUMNS($A1644:G1663), LEFT(INDEX(FILTER(G$1:G1643, G$1:G1643&lt;&gt;""""),COUNTA(FILTER(G$1:G1643, G$1:G1643&lt;&gt;""""))), LEN(INDEX(FILTER(G$1:G1643, G$1:G1643&lt;&gt;""""),COUNTA(FILTER(G$1:G1643, G$1:G1643&lt;&gt;""""))))-1), IF('To Order'!$A1644=COL"&amp;"UMNS($A1644:G1663), G1643&amp;RIGHT(INDIRECT(ADDRESS(ROW(G1644)-1, 'From Order'!$A1644)), 1), G1643))"),"")</f>
        <v/>
      </c>
      <c r="H1644" s="2" t="str">
        <f>IFERROR(__xludf.DUMMYFUNCTION("IF('From Order'!$A1644=COLUMNS($A1644:H1663), LEFT(INDEX(FILTER(H$1:H1643, H$1:H1643&lt;&gt;""""),COUNTA(FILTER(H$1:H1643, H$1:H1643&lt;&gt;""""))), LEN(INDEX(FILTER(H$1:H1643, H$1:H1643&lt;&gt;""""),COUNTA(FILTER(H$1:H1643, H$1:H1643&lt;&gt;""""))))-1), IF('To Order'!$A1644=COL"&amp;"UMNS($A1644:H1663), H1643&amp;RIGHT(INDIRECT(ADDRESS(ROW(H1644)-1, 'From Order'!$A1644)), 1), H1643))"),"")</f>
        <v/>
      </c>
      <c r="I1644" s="2" t="str">
        <f>IFERROR(__xludf.DUMMYFUNCTION("IF('From Order'!$A1644=COLUMNS($A1644:I1663), LEFT(INDEX(FILTER(I$1:I1643, I$1:I1643&lt;&gt;""""),COUNTA(FILTER(I$1:I1643, I$1:I1643&lt;&gt;""""))), LEN(INDEX(FILTER(I$1:I1643, I$1:I1643&lt;&gt;""""),COUNTA(FILTER(I$1:I1643, I$1:I1643&lt;&gt;""""))))-1), IF('To Order'!$A1644=COL"&amp;"UMNS($A1644:I1663), I1643&amp;RIGHT(INDIRECT(ADDRESS(ROW(I1644)-1, 'From Order'!$A1644)), 1), I1643))"),"")</f>
        <v/>
      </c>
    </row>
    <row r="1645">
      <c r="A1645" s="2" t="str">
        <f>IFERROR(__xludf.DUMMYFUNCTION("IF('From Order'!$A1645=COLUMNS($A1645:A1664), LEFT(INDEX(FILTER(A$1:A1644, A$1:A1644&lt;&gt;""""),COUNTA(FILTER(A$1:A1644, A$1:A1644&lt;&gt;""""))), LEN(INDEX(FILTER(A$1:A1644, A$1:A1644&lt;&gt;""""),COUNTA(FILTER(A$1:A1644, A$1:A1644&lt;&gt;""""))))-1), IF('To Order'!$A1645=COL"&amp;"UMNS($A1645:A1664), A1644&amp;RIGHT(INDIRECT(ADDRESS(ROW(A1645)-1, 'From Order'!$A1645)), 1), A1644))"),"Z")</f>
        <v>Z</v>
      </c>
      <c r="B1645" s="2" t="str">
        <f>IFERROR(__xludf.DUMMYFUNCTION("IF('From Order'!$A1645=COLUMNS($A1645:B1664), LEFT(INDEX(FILTER(B$1:B1644, B$1:B1644&lt;&gt;""""),COUNTA(FILTER(B$1:B1644, B$1:B1644&lt;&gt;""""))), LEN(INDEX(FILTER(B$1:B1644, B$1:B1644&lt;&gt;""""),COUNTA(FILTER(B$1:B1644, B$1:B1644&lt;&gt;""""))))-1), IF('To Order'!$A1645=COL"&amp;"UMNS($A1645:B1664), B1644&amp;RIGHT(INDIRECT(ADDRESS(ROW(B1645)-1, 'From Order'!$A1645)), 1), B1644))"),"RBRTVCDRHZMTDLDSRRVBMJDM")</f>
        <v>RBRTVCDRHZMTDLDSRRVBMJDM</v>
      </c>
      <c r="C1645" s="2" t="str">
        <f>IFERROR(__xludf.DUMMYFUNCTION("IF('From Order'!$A1645=COLUMNS($A1645:C1664), LEFT(INDEX(FILTER(C$1:C1644, C$1:C1644&lt;&gt;""""),COUNTA(FILTER(C$1:C1644, C$1:C1644&lt;&gt;""""))), LEN(INDEX(FILTER(C$1:C1644, C$1:C1644&lt;&gt;""""),COUNTA(FILTER(C$1:C1644, C$1:C1644&lt;&gt;""""))))-1), IF('To Order'!$A1645=COL"&amp;"UMNS($A1645:C1664), C1644&amp;RIGHT(INDIRECT(ADDRESS(ROW(C1645)-1, 'From Order'!$A1645)), 1), C1644))"),"TQVQJPPSSTDDWLLFBPTTJGBHFSCZW")</f>
        <v>TQVQJPPSSTDDWLLFBPTTJGBHFSCZW</v>
      </c>
      <c r="D1645" s="2" t="str">
        <f>IFERROR(__xludf.DUMMYFUNCTION("IF('From Order'!$A1645=COLUMNS($A1645:D1664), LEFT(INDEX(FILTER(D$1:D1644, D$1:D1644&lt;&gt;""""),COUNTA(FILTER(D$1:D1644, D$1:D1644&lt;&gt;""""))), LEN(INDEX(FILTER(D$1:D1644, D$1:D1644&lt;&gt;""""),COUNTA(FILTER(D$1:D1644, D$1:D1644&lt;&gt;""""))))-1), IF('To Order'!$A1645=COL"&amp;"UMNS($A1645:D1664), D1644&amp;RIGHT(INDIRECT(ADDRESS(ROW(D1645)-1, 'From Order'!$A1645)), 1), D1644))"),"CG")</f>
        <v>CG</v>
      </c>
      <c r="E1645" s="2" t="str">
        <f>IFERROR(__xludf.DUMMYFUNCTION("IF('From Order'!$A1645=COLUMNS($A1645:E1664), LEFT(INDEX(FILTER(E$1:E1644, E$1:E1644&lt;&gt;""""),COUNTA(FILTER(E$1:E1644, E$1:E1644&lt;&gt;""""))), LEN(INDEX(FILTER(E$1:E1644, E$1:E1644&lt;&gt;""""),COUNTA(FILTER(E$1:E1644, E$1:E1644&lt;&gt;""""))))-1), IF('To Order'!$A1645=COL"&amp;"UMNS($A1645:E1664), E1644&amp;RIGHT(INDIRECT(ADDRESS(ROW(E1645)-1, 'From Order'!$A1645)), 1), E1644))"),"")</f>
        <v/>
      </c>
      <c r="F1645" s="2" t="str">
        <f>IFERROR(__xludf.DUMMYFUNCTION("IF('From Order'!$A1645=COLUMNS($A1645:F1664), LEFT(INDEX(FILTER(F$1:F1644, F$1:F1644&lt;&gt;""""),COUNTA(FILTER(F$1:F1644, F$1:F1644&lt;&gt;""""))), LEN(INDEX(FILTER(F$1:F1644, F$1:F1644&lt;&gt;""""),COUNTA(FILTER(F$1:F1644, F$1:F1644&lt;&gt;""""))))-1), IF('To Order'!$A1645=COL"&amp;"UMNS($A1645:F1664), F1644&amp;RIGHT(INDIRECT(ADDRESS(ROW(F1645)-1, 'From Order'!$A1645)), 1), F1644))"),"")</f>
        <v/>
      </c>
      <c r="G1645" s="2" t="str">
        <f>IFERROR(__xludf.DUMMYFUNCTION("IF('From Order'!$A1645=COLUMNS($A1645:G1664), LEFT(INDEX(FILTER(G$1:G1644, G$1:G1644&lt;&gt;""""),COUNTA(FILTER(G$1:G1644, G$1:G1644&lt;&gt;""""))), LEN(INDEX(FILTER(G$1:G1644, G$1:G1644&lt;&gt;""""),COUNTA(FILTER(G$1:G1644, G$1:G1644&lt;&gt;""""))))-1), IF('To Order'!$A1645=COL"&amp;"UMNS($A1645:G1664), G1644&amp;RIGHT(INDIRECT(ADDRESS(ROW(G1645)-1, 'From Order'!$A1645)), 1), G1644))"),"")</f>
        <v/>
      </c>
      <c r="H1645" s="2" t="str">
        <f>IFERROR(__xludf.DUMMYFUNCTION("IF('From Order'!$A1645=COLUMNS($A1645:H1664), LEFT(INDEX(FILTER(H$1:H1644, H$1:H1644&lt;&gt;""""),COUNTA(FILTER(H$1:H1644, H$1:H1644&lt;&gt;""""))), LEN(INDEX(FILTER(H$1:H1644, H$1:H1644&lt;&gt;""""),COUNTA(FILTER(H$1:H1644, H$1:H1644&lt;&gt;""""))))-1), IF('To Order'!$A1645=COL"&amp;"UMNS($A1645:H1664), H1644&amp;RIGHT(INDIRECT(ADDRESS(ROW(H1645)-1, 'From Order'!$A1645)), 1), H1644))"),"")</f>
        <v/>
      </c>
      <c r="I1645" s="2" t="str">
        <f>IFERROR(__xludf.DUMMYFUNCTION("IF('From Order'!$A1645=COLUMNS($A1645:I1664), LEFT(INDEX(FILTER(I$1:I1644, I$1:I1644&lt;&gt;""""),COUNTA(FILTER(I$1:I1644, I$1:I1644&lt;&gt;""""))), LEN(INDEX(FILTER(I$1:I1644, I$1:I1644&lt;&gt;""""),COUNTA(FILTER(I$1:I1644, I$1:I1644&lt;&gt;""""))))-1), IF('To Order'!$A1645=COL"&amp;"UMNS($A1645:I1664), I1644&amp;RIGHT(INDIRECT(ADDRESS(ROW(I1645)-1, 'From Order'!$A1645)), 1), I1644))"),"")</f>
        <v/>
      </c>
    </row>
    <row r="1646">
      <c r="A1646" s="2" t="str">
        <f>IFERROR(__xludf.DUMMYFUNCTION("IF('From Order'!$A1646=COLUMNS($A1646:A1665), LEFT(INDEX(FILTER(A$1:A1645, A$1:A1645&lt;&gt;""""),COUNTA(FILTER(A$1:A1645, A$1:A1645&lt;&gt;""""))), LEN(INDEX(FILTER(A$1:A1645, A$1:A1645&lt;&gt;""""),COUNTA(FILTER(A$1:A1645, A$1:A1645&lt;&gt;""""))))-1), IF('To Order'!$A1646=COL"&amp;"UMNS($A1646:A1665), A1645&amp;RIGHT(INDIRECT(ADDRESS(ROW(A1646)-1, 'From Order'!$A1646)), 1), A1645))"),"Z")</f>
        <v>Z</v>
      </c>
      <c r="B1646" s="2" t="str">
        <f>IFERROR(__xludf.DUMMYFUNCTION("IF('From Order'!$A1646=COLUMNS($A1646:B1665), LEFT(INDEX(FILTER(B$1:B1645, B$1:B1645&lt;&gt;""""),COUNTA(FILTER(B$1:B1645, B$1:B1645&lt;&gt;""""))), LEN(INDEX(FILTER(B$1:B1645, B$1:B1645&lt;&gt;""""),COUNTA(FILTER(B$1:B1645, B$1:B1645&lt;&gt;""""))))-1), IF('To Order'!$A1646=COL"&amp;"UMNS($A1646:B1665), B1645&amp;RIGHT(INDIRECT(ADDRESS(ROW(B1646)-1, 'From Order'!$A1646)), 1), B1645))"),"RBRTVCDRHZMTDLDSRRVBMJD")</f>
        <v>RBRTVCDRHZMTDLDSRRVBMJD</v>
      </c>
      <c r="C1646" s="2" t="str">
        <f>IFERROR(__xludf.DUMMYFUNCTION("IF('From Order'!$A1646=COLUMNS($A1646:C1665), LEFT(INDEX(FILTER(C$1:C1645, C$1:C1645&lt;&gt;""""),COUNTA(FILTER(C$1:C1645, C$1:C1645&lt;&gt;""""))), LEN(INDEX(FILTER(C$1:C1645, C$1:C1645&lt;&gt;""""),COUNTA(FILTER(C$1:C1645, C$1:C1645&lt;&gt;""""))))-1), IF('To Order'!$A1646=COL"&amp;"UMNS($A1646:C1665), C1645&amp;RIGHT(INDIRECT(ADDRESS(ROW(C1646)-1, 'From Order'!$A1646)), 1), C1645))"),"TQVQJPPSSTDDWLLFBPTTJGBHFSCZWM")</f>
        <v>TQVQJPPSSTDDWLLFBPTTJGBHFSCZWM</v>
      </c>
      <c r="D1646" s="2" t="str">
        <f>IFERROR(__xludf.DUMMYFUNCTION("IF('From Order'!$A1646=COLUMNS($A1646:D1665), LEFT(INDEX(FILTER(D$1:D1645, D$1:D1645&lt;&gt;""""),COUNTA(FILTER(D$1:D1645, D$1:D1645&lt;&gt;""""))), LEN(INDEX(FILTER(D$1:D1645, D$1:D1645&lt;&gt;""""),COUNTA(FILTER(D$1:D1645, D$1:D1645&lt;&gt;""""))))-1), IF('To Order'!$A1646=COL"&amp;"UMNS($A1646:D1665), D1645&amp;RIGHT(INDIRECT(ADDRESS(ROW(D1646)-1, 'From Order'!$A1646)), 1), D1645))"),"CG")</f>
        <v>CG</v>
      </c>
      <c r="E1646" s="2" t="str">
        <f>IFERROR(__xludf.DUMMYFUNCTION("IF('From Order'!$A1646=COLUMNS($A1646:E1665), LEFT(INDEX(FILTER(E$1:E1645, E$1:E1645&lt;&gt;""""),COUNTA(FILTER(E$1:E1645, E$1:E1645&lt;&gt;""""))), LEN(INDEX(FILTER(E$1:E1645, E$1:E1645&lt;&gt;""""),COUNTA(FILTER(E$1:E1645, E$1:E1645&lt;&gt;""""))))-1), IF('To Order'!$A1646=COL"&amp;"UMNS($A1646:E1665), E1645&amp;RIGHT(INDIRECT(ADDRESS(ROW(E1646)-1, 'From Order'!$A1646)), 1), E1645))"),"")</f>
        <v/>
      </c>
      <c r="F1646" s="2" t="str">
        <f>IFERROR(__xludf.DUMMYFUNCTION("IF('From Order'!$A1646=COLUMNS($A1646:F1665), LEFT(INDEX(FILTER(F$1:F1645, F$1:F1645&lt;&gt;""""),COUNTA(FILTER(F$1:F1645, F$1:F1645&lt;&gt;""""))), LEN(INDEX(FILTER(F$1:F1645, F$1:F1645&lt;&gt;""""),COUNTA(FILTER(F$1:F1645, F$1:F1645&lt;&gt;""""))))-1), IF('To Order'!$A1646=COL"&amp;"UMNS($A1646:F1665), F1645&amp;RIGHT(INDIRECT(ADDRESS(ROW(F1646)-1, 'From Order'!$A1646)), 1), F1645))"),"")</f>
        <v/>
      </c>
      <c r="G1646" s="2" t="str">
        <f>IFERROR(__xludf.DUMMYFUNCTION("IF('From Order'!$A1646=COLUMNS($A1646:G1665), LEFT(INDEX(FILTER(G$1:G1645, G$1:G1645&lt;&gt;""""),COUNTA(FILTER(G$1:G1645, G$1:G1645&lt;&gt;""""))), LEN(INDEX(FILTER(G$1:G1645, G$1:G1645&lt;&gt;""""),COUNTA(FILTER(G$1:G1645, G$1:G1645&lt;&gt;""""))))-1), IF('To Order'!$A1646=COL"&amp;"UMNS($A1646:G1665), G1645&amp;RIGHT(INDIRECT(ADDRESS(ROW(G1646)-1, 'From Order'!$A1646)), 1), G1645))"),"")</f>
        <v/>
      </c>
      <c r="H1646" s="2" t="str">
        <f>IFERROR(__xludf.DUMMYFUNCTION("IF('From Order'!$A1646=COLUMNS($A1646:H1665), LEFT(INDEX(FILTER(H$1:H1645, H$1:H1645&lt;&gt;""""),COUNTA(FILTER(H$1:H1645, H$1:H1645&lt;&gt;""""))), LEN(INDEX(FILTER(H$1:H1645, H$1:H1645&lt;&gt;""""),COUNTA(FILTER(H$1:H1645, H$1:H1645&lt;&gt;""""))))-1), IF('To Order'!$A1646=COL"&amp;"UMNS($A1646:H1665), H1645&amp;RIGHT(INDIRECT(ADDRESS(ROW(H1646)-1, 'From Order'!$A1646)), 1), H1645))"),"")</f>
        <v/>
      </c>
      <c r="I1646" s="2" t="str">
        <f>IFERROR(__xludf.DUMMYFUNCTION("IF('From Order'!$A1646=COLUMNS($A1646:I1665), LEFT(INDEX(FILTER(I$1:I1645, I$1:I1645&lt;&gt;""""),COUNTA(FILTER(I$1:I1645, I$1:I1645&lt;&gt;""""))), LEN(INDEX(FILTER(I$1:I1645, I$1:I1645&lt;&gt;""""),COUNTA(FILTER(I$1:I1645, I$1:I1645&lt;&gt;""""))))-1), IF('To Order'!$A1646=COL"&amp;"UMNS($A1646:I1665), I1645&amp;RIGHT(INDIRECT(ADDRESS(ROW(I1646)-1, 'From Order'!$A1646)), 1), I1645))"),"")</f>
        <v/>
      </c>
    </row>
    <row r="1647">
      <c r="A1647" s="2" t="str">
        <f>IFERROR(__xludf.DUMMYFUNCTION("IF('From Order'!$A1647=COLUMNS($A1647:A1666), LEFT(INDEX(FILTER(A$1:A1646, A$1:A1646&lt;&gt;""""),COUNTA(FILTER(A$1:A1646, A$1:A1646&lt;&gt;""""))), LEN(INDEX(FILTER(A$1:A1646, A$1:A1646&lt;&gt;""""),COUNTA(FILTER(A$1:A1646, A$1:A1646&lt;&gt;""""))))-1), IF('To Order'!$A1647=COL"&amp;"UMNS($A1647:A1666), A1646&amp;RIGHT(INDIRECT(ADDRESS(ROW(A1647)-1, 'From Order'!$A1647)), 1), A1646))"),"Z")</f>
        <v>Z</v>
      </c>
      <c r="B1647" s="2" t="str">
        <f>IFERROR(__xludf.DUMMYFUNCTION("IF('From Order'!$A1647=COLUMNS($A1647:B1666), LEFT(INDEX(FILTER(B$1:B1646, B$1:B1646&lt;&gt;""""),COUNTA(FILTER(B$1:B1646, B$1:B1646&lt;&gt;""""))), LEN(INDEX(FILTER(B$1:B1646, B$1:B1646&lt;&gt;""""),COUNTA(FILTER(B$1:B1646, B$1:B1646&lt;&gt;""""))))-1), IF('To Order'!$A1647=COL"&amp;"UMNS($A1647:B1666), B1646&amp;RIGHT(INDIRECT(ADDRESS(ROW(B1647)-1, 'From Order'!$A1647)), 1), B1646))"),"RBRTVCDRHZMTDLDSRRVBMJ")</f>
        <v>RBRTVCDRHZMTDLDSRRVBMJ</v>
      </c>
      <c r="C1647" s="2" t="str">
        <f>IFERROR(__xludf.DUMMYFUNCTION("IF('From Order'!$A1647=COLUMNS($A1647:C1666), LEFT(INDEX(FILTER(C$1:C1646, C$1:C1646&lt;&gt;""""),COUNTA(FILTER(C$1:C1646, C$1:C1646&lt;&gt;""""))), LEN(INDEX(FILTER(C$1:C1646, C$1:C1646&lt;&gt;""""),COUNTA(FILTER(C$1:C1646, C$1:C1646&lt;&gt;""""))))-1), IF('To Order'!$A1647=COL"&amp;"UMNS($A1647:C1666), C1646&amp;RIGHT(INDIRECT(ADDRESS(ROW(C1647)-1, 'From Order'!$A1647)), 1), C1646))"),"TQVQJPPSSTDDWLLFBPTTJGBHFSCZWMD")</f>
        <v>TQVQJPPSSTDDWLLFBPTTJGBHFSCZWMD</v>
      </c>
      <c r="D1647" s="2" t="str">
        <f>IFERROR(__xludf.DUMMYFUNCTION("IF('From Order'!$A1647=COLUMNS($A1647:D1666), LEFT(INDEX(FILTER(D$1:D1646, D$1:D1646&lt;&gt;""""),COUNTA(FILTER(D$1:D1646, D$1:D1646&lt;&gt;""""))), LEN(INDEX(FILTER(D$1:D1646, D$1:D1646&lt;&gt;""""),COUNTA(FILTER(D$1:D1646, D$1:D1646&lt;&gt;""""))))-1), IF('To Order'!$A1647=COL"&amp;"UMNS($A1647:D1666), D1646&amp;RIGHT(INDIRECT(ADDRESS(ROW(D1647)-1, 'From Order'!$A1647)), 1), D1646))"),"CG")</f>
        <v>CG</v>
      </c>
      <c r="E1647" s="2" t="str">
        <f>IFERROR(__xludf.DUMMYFUNCTION("IF('From Order'!$A1647=COLUMNS($A1647:E1666), LEFT(INDEX(FILTER(E$1:E1646, E$1:E1646&lt;&gt;""""),COUNTA(FILTER(E$1:E1646, E$1:E1646&lt;&gt;""""))), LEN(INDEX(FILTER(E$1:E1646, E$1:E1646&lt;&gt;""""),COUNTA(FILTER(E$1:E1646, E$1:E1646&lt;&gt;""""))))-1), IF('To Order'!$A1647=COL"&amp;"UMNS($A1647:E1666), E1646&amp;RIGHT(INDIRECT(ADDRESS(ROW(E1647)-1, 'From Order'!$A1647)), 1), E1646))"),"")</f>
        <v/>
      </c>
      <c r="F1647" s="2" t="str">
        <f>IFERROR(__xludf.DUMMYFUNCTION("IF('From Order'!$A1647=COLUMNS($A1647:F1666), LEFT(INDEX(FILTER(F$1:F1646, F$1:F1646&lt;&gt;""""),COUNTA(FILTER(F$1:F1646, F$1:F1646&lt;&gt;""""))), LEN(INDEX(FILTER(F$1:F1646, F$1:F1646&lt;&gt;""""),COUNTA(FILTER(F$1:F1646, F$1:F1646&lt;&gt;""""))))-1), IF('To Order'!$A1647=COL"&amp;"UMNS($A1647:F1666), F1646&amp;RIGHT(INDIRECT(ADDRESS(ROW(F1647)-1, 'From Order'!$A1647)), 1), F1646))"),"")</f>
        <v/>
      </c>
      <c r="G1647" s="2" t="str">
        <f>IFERROR(__xludf.DUMMYFUNCTION("IF('From Order'!$A1647=COLUMNS($A1647:G1666), LEFT(INDEX(FILTER(G$1:G1646, G$1:G1646&lt;&gt;""""),COUNTA(FILTER(G$1:G1646, G$1:G1646&lt;&gt;""""))), LEN(INDEX(FILTER(G$1:G1646, G$1:G1646&lt;&gt;""""),COUNTA(FILTER(G$1:G1646, G$1:G1646&lt;&gt;""""))))-1), IF('To Order'!$A1647=COL"&amp;"UMNS($A1647:G1666), G1646&amp;RIGHT(INDIRECT(ADDRESS(ROW(G1647)-1, 'From Order'!$A1647)), 1), G1646))"),"")</f>
        <v/>
      </c>
      <c r="H1647" s="2" t="str">
        <f>IFERROR(__xludf.DUMMYFUNCTION("IF('From Order'!$A1647=COLUMNS($A1647:H1666), LEFT(INDEX(FILTER(H$1:H1646, H$1:H1646&lt;&gt;""""),COUNTA(FILTER(H$1:H1646, H$1:H1646&lt;&gt;""""))), LEN(INDEX(FILTER(H$1:H1646, H$1:H1646&lt;&gt;""""),COUNTA(FILTER(H$1:H1646, H$1:H1646&lt;&gt;""""))))-1), IF('To Order'!$A1647=COL"&amp;"UMNS($A1647:H1666), H1646&amp;RIGHT(INDIRECT(ADDRESS(ROW(H1647)-1, 'From Order'!$A1647)), 1), H1646))"),"")</f>
        <v/>
      </c>
      <c r="I1647" s="2" t="str">
        <f>IFERROR(__xludf.DUMMYFUNCTION("IF('From Order'!$A1647=COLUMNS($A1647:I1666), LEFT(INDEX(FILTER(I$1:I1646, I$1:I1646&lt;&gt;""""),COUNTA(FILTER(I$1:I1646, I$1:I1646&lt;&gt;""""))), LEN(INDEX(FILTER(I$1:I1646, I$1:I1646&lt;&gt;""""),COUNTA(FILTER(I$1:I1646, I$1:I1646&lt;&gt;""""))))-1), IF('To Order'!$A1647=COL"&amp;"UMNS($A1647:I1666), I1646&amp;RIGHT(INDIRECT(ADDRESS(ROW(I1647)-1, 'From Order'!$A1647)), 1), I1646))"),"")</f>
        <v/>
      </c>
    </row>
    <row r="1648">
      <c r="A1648" s="2" t="str">
        <f>IFERROR(__xludf.DUMMYFUNCTION("IF('From Order'!$A1648=COLUMNS($A1648:A1667), LEFT(INDEX(FILTER(A$1:A1647, A$1:A1647&lt;&gt;""""),COUNTA(FILTER(A$1:A1647, A$1:A1647&lt;&gt;""""))), LEN(INDEX(FILTER(A$1:A1647, A$1:A1647&lt;&gt;""""),COUNTA(FILTER(A$1:A1647, A$1:A1647&lt;&gt;""""))))-1), IF('To Order'!$A1648=COL"&amp;"UMNS($A1648:A1667), A1647&amp;RIGHT(INDIRECT(ADDRESS(ROW(A1648)-1, 'From Order'!$A1648)), 1), A1647))"),"Z")</f>
        <v>Z</v>
      </c>
      <c r="B1648" s="2" t="str">
        <f>IFERROR(__xludf.DUMMYFUNCTION("IF('From Order'!$A1648=COLUMNS($A1648:B1667), LEFT(INDEX(FILTER(B$1:B1647, B$1:B1647&lt;&gt;""""),COUNTA(FILTER(B$1:B1647, B$1:B1647&lt;&gt;""""))), LEN(INDEX(FILTER(B$1:B1647, B$1:B1647&lt;&gt;""""),COUNTA(FILTER(B$1:B1647, B$1:B1647&lt;&gt;""""))))-1), IF('To Order'!$A1648=COL"&amp;"UMNS($A1648:B1667), B1647&amp;RIGHT(INDIRECT(ADDRESS(ROW(B1648)-1, 'From Order'!$A1648)), 1), B1647))"),"RBRTVCDRHZMTDLDSRRVBM")</f>
        <v>RBRTVCDRHZMTDLDSRRVBM</v>
      </c>
      <c r="C1648" s="2" t="str">
        <f>IFERROR(__xludf.DUMMYFUNCTION("IF('From Order'!$A1648=COLUMNS($A1648:C1667), LEFT(INDEX(FILTER(C$1:C1647, C$1:C1647&lt;&gt;""""),COUNTA(FILTER(C$1:C1647, C$1:C1647&lt;&gt;""""))), LEN(INDEX(FILTER(C$1:C1647, C$1:C1647&lt;&gt;""""),COUNTA(FILTER(C$1:C1647, C$1:C1647&lt;&gt;""""))))-1), IF('To Order'!$A1648=COL"&amp;"UMNS($A1648:C1667), C1647&amp;RIGHT(INDIRECT(ADDRESS(ROW(C1648)-1, 'From Order'!$A1648)), 1), C1647))"),"TQVQJPPSSTDDWLLFBPTTJGBHFSCZWMDJ")</f>
        <v>TQVQJPPSSTDDWLLFBPTTJGBHFSCZWMDJ</v>
      </c>
      <c r="D1648" s="2" t="str">
        <f>IFERROR(__xludf.DUMMYFUNCTION("IF('From Order'!$A1648=COLUMNS($A1648:D1667), LEFT(INDEX(FILTER(D$1:D1647, D$1:D1647&lt;&gt;""""),COUNTA(FILTER(D$1:D1647, D$1:D1647&lt;&gt;""""))), LEN(INDEX(FILTER(D$1:D1647, D$1:D1647&lt;&gt;""""),COUNTA(FILTER(D$1:D1647, D$1:D1647&lt;&gt;""""))))-1), IF('To Order'!$A1648=COL"&amp;"UMNS($A1648:D1667), D1647&amp;RIGHT(INDIRECT(ADDRESS(ROW(D1648)-1, 'From Order'!$A1648)), 1), D1647))"),"CG")</f>
        <v>CG</v>
      </c>
      <c r="E1648" s="2" t="str">
        <f>IFERROR(__xludf.DUMMYFUNCTION("IF('From Order'!$A1648=COLUMNS($A1648:E1667), LEFT(INDEX(FILTER(E$1:E1647, E$1:E1647&lt;&gt;""""),COUNTA(FILTER(E$1:E1647, E$1:E1647&lt;&gt;""""))), LEN(INDEX(FILTER(E$1:E1647, E$1:E1647&lt;&gt;""""),COUNTA(FILTER(E$1:E1647, E$1:E1647&lt;&gt;""""))))-1), IF('To Order'!$A1648=COL"&amp;"UMNS($A1648:E1667), E1647&amp;RIGHT(INDIRECT(ADDRESS(ROW(E1648)-1, 'From Order'!$A1648)), 1), E1647))"),"")</f>
        <v/>
      </c>
      <c r="F1648" s="2" t="str">
        <f>IFERROR(__xludf.DUMMYFUNCTION("IF('From Order'!$A1648=COLUMNS($A1648:F1667), LEFT(INDEX(FILTER(F$1:F1647, F$1:F1647&lt;&gt;""""),COUNTA(FILTER(F$1:F1647, F$1:F1647&lt;&gt;""""))), LEN(INDEX(FILTER(F$1:F1647, F$1:F1647&lt;&gt;""""),COUNTA(FILTER(F$1:F1647, F$1:F1647&lt;&gt;""""))))-1), IF('To Order'!$A1648=COL"&amp;"UMNS($A1648:F1667), F1647&amp;RIGHT(INDIRECT(ADDRESS(ROW(F1648)-1, 'From Order'!$A1648)), 1), F1647))"),"")</f>
        <v/>
      </c>
      <c r="G1648" s="2" t="str">
        <f>IFERROR(__xludf.DUMMYFUNCTION("IF('From Order'!$A1648=COLUMNS($A1648:G1667), LEFT(INDEX(FILTER(G$1:G1647, G$1:G1647&lt;&gt;""""),COUNTA(FILTER(G$1:G1647, G$1:G1647&lt;&gt;""""))), LEN(INDEX(FILTER(G$1:G1647, G$1:G1647&lt;&gt;""""),COUNTA(FILTER(G$1:G1647, G$1:G1647&lt;&gt;""""))))-1), IF('To Order'!$A1648=COL"&amp;"UMNS($A1648:G1667), G1647&amp;RIGHT(INDIRECT(ADDRESS(ROW(G1648)-1, 'From Order'!$A1648)), 1), G1647))"),"")</f>
        <v/>
      </c>
      <c r="H1648" s="2" t="str">
        <f>IFERROR(__xludf.DUMMYFUNCTION("IF('From Order'!$A1648=COLUMNS($A1648:H1667), LEFT(INDEX(FILTER(H$1:H1647, H$1:H1647&lt;&gt;""""),COUNTA(FILTER(H$1:H1647, H$1:H1647&lt;&gt;""""))), LEN(INDEX(FILTER(H$1:H1647, H$1:H1647&lt;&gt;""""),COUNTA(FILTER(H$1:H1647, H$1:H1647&lt;&gt;""""))))-1), IF('To Order'!$A1648=COL"&amp;"UMNS($A1648:H1667), H1647&amp;RIGHT(INDIRECT(ADDRESS(ROW(H1648)-1, 'From Order'!$A1648)), 1), H1647))"),"")</f>
        <v/>
      </c>
      <c r="I1648" s="2" t="str">
        <f>IFERROR(__xludf.DUMMYFUNCTION("IF('From Order'!$A1648=COLUMNS($A1648:I1667), LEFT(INDEX(FILTER(I$1:I1647, I$1:I1647&lt;&gt;""""),COUNTA(FILTER(I$1:I1647, I$1:I1647&lt;&gt;""""))), LEN(INDEX(FILTER(I$1:I1647, I$1:I1647&lt;&gt;""""),COUNTA(FILTER(I$1:I1647, I$1:I1647&lt;&gt;""""))))-1), IF('To Order'!$A1648=COL"&amp;"UMNS($A1648:I1667), I1647&amp;RIGHT(INDIRECT(ADDRESS(ROW(I1648)-1, 'From Order'!$A1648)), 1), I1647))"),"")</f>
        <v/>
      </c>
    </row>
    <row r="1649">
      <c r="A1649" s="2" t="str">
        <f>IFERROR(__xludf.DUMMYFUNCTION("IF('From Order'!$A1649=COLUMNS($A1649:A1668), LEFT(INDEX(FILTER(A$1:A1648, A$1:A1648&lt;&gt;""""),COUNTA(FILTER(A$1:A1648, A$1:A1648&lt;&gt;""""))), LEN(INDEX(FILTER(A$1:A1648, A$1:A1648&lt;&gt;""""),COUNTA(FILTER(A$1:A1648, A$1:A1648&lt;&gt;""""))))-1), IF('To Order'!$A1649=COL"&amp;"UMNS($A1649:A1668), A1648&amp;RIGHT(INDIRECT(ADDRESS(ROW(A1649)-1, 'From Order'!$A1649)), 1), A1648))"),"Z")</f>
        <v>Z</v>
      </c>
      <c r="B1649" s="2" t="str">
        <f>IFERROR(__xludf.DUMMYFUNCTION("IF('From Order'!$A1649=COLUMNS($A1649:B1668), LEFT(INDEX(FILTER(B$1:B1648, B$1:B1648&lt;&gt;""""),COUNTA(FILTER(B$1:B1648, B$1:B1648&lt;&gt;""""))), LEN(INDEX(FILTER(B$1:B1648, B$1:B1648&lt;&gt;""""),COUNTA(FILTER(B$1:B1648, B$1:B1648&lt;&gt;""""))))-1), IF('To Order'!$A1649=COL"&amp;"UMNS($A1649:B1668), B1648&amp;RIGHT(INDIRECT(ADDRESS(ROW(B1649)-1, 'From Order'!$A1649)), 1), B1648))"),"RBRTVCDRHZMTDLDSRRVB")</f>
        <v>RBRTVCDRHZMTDLDSRRVB</v>
      </c>
      <c r="C1649" s="2" t="str">
        <f>IFERROR(__xludf.DUMMYFUNCTION("IF('From Order'!$A1649=COLUMNS($A1649:C1668), LEFT(INDEX(FILTER(C$1:C1648, C$1:C1648&lt;&gt;""""),COUNTA(FILTER(C$1:C1648, C$1:C1648&lt;&gt;""""))), LEN(INDEX(FILTER(C$1:C1648, C$1:C1648&lt;&gt;""""),COUNTA(FILTER(C$1:C1648, C$1:C1648&lt;&gt;""""))))-1), IF('To Order'!$A1649=COL"&amp;"UMNS($A1649:C1668), C1648&amp;RIGHT(INDIRECT(ADDRESS(ROW(C1649)-1, 'From Order'!$A1649)), 1), C1648))"),"TQVQJPPSSTDDWLLFBPTTJGBHFSCZWMDJM")</f>
        <v>TQVQJPPSSTDDWLLFBPTTJGBHFSCZWMDJM</v>
      </c>
      <c r="D1649" s="2" t="str">
        <f>IFERROR(__xludf.DUMMYFUNCTION("IF('From Order'!$A1649=COLUMNS($A1649:D1668), LEFT(INDEX(FILTER(D$1:D1648, D$1:D1648&lt;&gt;""""),COUNTA(FILTER(D$1:D1648, D$1:D1648&lt;&gt;""""))), LEN(INDEX(FILTER(D$1:D1648, D$1:D1648&lt;&gt;""""),COUNTA(FILTER(D$1:D1648, D$1:D1648&lt;&gt;""""))))-1), IF('To Order'!$A1649=COL"&amp;"UMNS($A1649:D1668), D1648&amp;RIGHT(INDIRECT(ADDRESS(ROW(D1649)-1, 'From Order'!$A1649)), 1), D1648))"),"CG")</f>
        <v>CG</v>
      </c>
      <c r="E1649" s="2" t="str">
        <f>IFERROR(__xludf.DUMMYFUNCTION("IF('From Order'!$A1649=COLUMNS($A1649:E1668), LEFT(INDEX(FILTER(E$1:E1648, E$1:E1648&lt;&gt;""""),COUNTA(FILTER(E$1:E1648, E$1:E1648&lt;&gt;""""))), LEN(INDEX(FILTER(E$1:E1648, E$1:E1648&lt;&gt;""""),COUNTA(FILTER(E$1:E1648, E$1:E1648&lt;&gt;""""))))-1), IF('To Order'!$A1649=COL"&amp;"UMNS($A1649:E1668), E1648&amp;RIGHT(INDIRECT(ADDRESS(ROW(E1649)-1, 'From Order'!$A1649)), 1), E1648))"),"")</f>
        <v/>
      </c>
      <c r="F1649" s="2" t="str">
        <f>IFERROR(__xludf.DUMMYFUNCTION("IF('From Order'!$A1649=COLUMNS($A1649:F1668), LEFT(INDEX(FILTER(F$1:F1648, F$1:F1648&lt;&gt;""""),COUNTA(FILTER(F$1:F1648, F$1:F1648&lt;&gt;""""))), LEN(INDEX(FILTER(F$1:F1648, F$1:F1648&lt;&gt;""""),COUNTA(FILTER(F$1:F1648, F$1:F1648&lt;&gt;""""))))-1), IF('To Order'!$A1649=COL"&amp;"UMNS($A1649:F1668), F1648&amp;RIGHT(INDIRECT(ADDRESS(ROW(F1649)-1, 'From Order'!$A1649)), 1), F1648))"),"")</f>
        <v/>
      </c>
      <c r="G1649" s="2" t="str">
        <f>IFERROR(__xludf.DUMMYFUNCTION("IF('From Order'!$A1649=COLUMNS($A1649:G1668), LEFT(INDEX(FILTER(G$1:G1648, G$1:G1648&lt;&gt;""""),COUNTA(FILTER(G$1:G1648, G$1:G1648&lt;&gt;""""))), LEN(INDEX(FILTER(G$1:G1648, G$1:G1648&lt;&gt;""""),COUNTA(FILTER(G$1:G1648, G$1:G1648&lt;&gt;""""))))-1), IF('To Order'!$A1649=COL"&amp;"UMNS($A1649:G1668), G1648&amp;RIGHT(INDIRECT(ADDRESS(ROW(G1649)-1, 'From Order'!$A1649)), 1), G1648))"),"")</f>
        <v/>
      </c>
      <c r="H1649" s="2" t="str">
        <f>IFERROR(__xludf.DUMMYFUNCTION("IF('From Order'!$A1649=COLUMNS($A1649:H1668), LEFT(INDEX(FILTER(H$1:H1648, H$1:H1648&lt;&gt;""""),COUNTA(FILTER(H$1:H1648, H$1:H1648&lt;&gt;""""))), LEN(INDEX(FILTER(H$1:H1648, H$1:H1648&lt;&gt;""""),COUNTA(FILTER(H$1:H1648, H$1:H1648&lt;&gt;""""))))-1), IF('To Order'!$A1649=COL"&amp;"UMNS($A1649:H1668), H1648&amp;RIGHT(INDIRECT(ADDRESS(ROW(H1649)-1, 'From Order'!$A1649)), 1), H1648))"),"")</f>
        <v/>
      </c>
      <c r="I1649" s="2" t="str">
        <f>IFERROR(__xludf.DUMMYFUNCTION("IF('From Order'!$A1649=COLUMNS($A1649:I1668), LEFT(INDEX(FILTER(I$1:I1648, I$1:I1648&lt;&gt;""""),COUNTA(FILTER(I$1:I1648, I$1:I1648&lt;&gt;""""))), LEN(INDEX(FILTER(I$1:I1648, I$1:I1648&lt;&gt;""""),COUNTA(FILTER(I$1:I1648, I$1:I1648&lt;&gt;""""))))-1), IF('To Order'!$A1649=COL"&amp;"UMNS($A1649:I1668), I1648&amp;RIGHT(INDIRECT(ADDRESS(ROW(I1649)-1, 'From Order'!$A1649)), 1), I1648))"),"")</f>
        <v/>
      </c>
    </row>
    <row r="1650">
      <c r="A1650" s="2" t="str">
        <f>IFERROR(__xludf.DUMMYFUNCTION("IF('From Order'!$A1650=COLUMNS($A1650:A1669), LEFT(INDEX(FILTER(A$1:A1649, A$1:A1649&lt;&gt;""""),COUNTA(FILTER(A$1:A1649, A$1:A1649&lt;&gt;""""))), LEN(INDEX(FILTER(A$1:A1649, A$1:A1649&lt;&gt;""""),COUNTA(FILTER(A$1:A1649, A$1:A1649&lt;&gt;""""))))-1), IF('To Order'!$A1650=COL"&amp;"UMNS($A1650:A1669), A1649&amp;RIGHT(INDIRECT(ADDRESS(ROW(A1650)-1, 'From Order'!$A1650)), 1), A1649))"),"Z")</f>
        <v>Z</v>
      </c>
      <c r="B1650" s="2" t="str">
        <f>IFERROR(__xludf.DUMMYFUNCTION("IF('From Order'!$A1650=COLUMNS($A1650:B1669), LEFT(INDEX(FILTER(B$1:B1649, B$1:B1649&lt;&gt;""""),COUNTA(FILTER(B$1:B1649, B$1:B1649&lt;&gt;""""))), LEN(INDEX(FILTER(B$1:B1649, B$1:B1649&lt;&gt;""""),COUNTA(FILTER(B$1:B1649, B$1:B1649&lt;&gt;""""))))-1), IF('To Order'!$A1650=COL"&amp;"UMNS($A1650:B1669), B1649&amp;RIGHT(INDIRECT(ADDRESS(ROW(B1650)-1, 'From Order'!$A1650)), 1), B1649))"),"RBRTVCDRHZMTDLDSRRV")</f>
        <v>RBRTVCDRHZMTDLDSRRV</v>
      </c>
      <c r="C1650" s="2" t="str">
        <f>IFERROR(__xludf.DUMMYFUNCTION("IF('From Order'!$A1650=COLUMNS($A1650:C1669), LEFT(INDEX(FILTER(C$1:C1649, C$1:C1649&lt;&gt;""""),COUNTA(FILTER(C$1:C1649, C$1:C1649&lt;&gt;""""))), LEN(INDEX(FILTER(C$1:C1649, C$1:C1649&lt;&gt;""""),COUNTA(FILTER(C$1:C1649, C$1:C1649&lt;&gt;""""))))-1), IF('To Order'!$A1650=COL"&amp;"UMNS($A1650:C1669), C1649&amp;RIGHT(INDIRECT(ADDRESS(ROW(C1650)-1, 'From Order'!$A1650)), 1), C1649))"),"TQVQJPPSSTDDWLLFBPTTJGBHFSCZWMDJMB")</f>
        <v>TQVQJPPSSTDDWLLFBPTTJGBHFSCZWMDJMB</v>
      </c>
      <c r="D1650" s="2" t="str">
        <f>IFERROR(__xludf.DUMMYFUNCTION("IF('From Order'!$A1650=COLUMNS($A1650:D1669), LEFT(INDEX(FILTER(D$1:D1649, D$1:D1649&lt;&gt;""""),COUNTA(FILTER(D$1:D1649, D$1:D1649&lt;&gt;""""))), LEN(INDEX(FILTER(D$1:D1649, D$1:D1649&lt;&gt;""""),COUNTA(FILTER(D$1:D1649, D$1:D1649&lt;&gt;""""))))-1), IF('To Order'!$A1650=COL"&amp;"UMNS($A1650:D1669), D1649&amp;RIGHT(INDIRECT(ADDRESS(ROW(D1650)-1, 'From Order'!$A1650)), 1), D1649))"),"CG")</f>
        <v>CG</v>
      </c>
      <c r="E1650" s="2" t="str">
        <f>IFERROR(__xludf.DUMMYFUNCTION("IF('From Order'!$A1650=COLUMNS($A1650:E1669), LEFT(INDEX(FILTER(E$1:E1649, E$1:E1649&lt;&gt;""""),COUNTA(FILTER(E$1:E1649, E$1:E1649&lt;&gt;""""))), LEN(INDEX(FILTER(E$1:E1649, E$1:E1649&lt;&gt;""""),COUNTA(FILTER(E$1:E1649, E$1:E1649&lt;&gt;""""))))-1), IF('To Order'!$A1650=COL"&amp;"UMNS($A1650:E1669), E1649&amp;RIGHT(INDIRECT(ADDRESS(ROW(E1650)-1, 'From Order'!$A1650)), 1), E1649))"),"")</f>
        <v/>
      </c>
      <c r="F1650" s="2" t="str">
        <f>IFERROR(__xludf.DUMMYFUNCTION("IF('From Order'!$A1650=COLUMNS($A1650:F1669), LEFT(INDEX(FILTER(F$1:F1649, F$1:F1649&lt;&gt;""""),COUNTA(FILTER(F$1:F1649, F$1:F1649&lt;&gt;""""))), LEN(INDEX(FILTER(F$1:F1649, F$1:F1649&lt;&gt;""""),COUNTA(FILTER(F$1:F1649, F$1:F1649&lt;&gt;""""))))-1), IF('To Order'!$A1650=COL"&amp;"UMNS($A1650:F1669), F1649&amp;RIGHT(INDIRECT(ADDRESS(ROW(F1650)-1, 'From Order'!$A1650)), 1), F1649))"),"")</f>
        <v/>
      </c>
      <c r="G1650" s="2" t="str">
        <f>IFERROR(__xludf.DUMMYFUNCTION("IF('From Order'!$A1650=COLUMNS($A1650:G1669), LEFT(INDEX(FILTER(G$1:G1649, G$1:G1649&lt;&gt;""""),COUNTA(FILTER(G$1:G1649, G$1:G1649&lt;&gt;""""))), LEN(INDEX(FILTER(G$1:G1649, G$1:G1649&lt;&gt;""""),COUNTA(FILTER(G$1:G1649, G$1:G1649&lt;&gt;""""))))-1), IF('To Order'!$A1650=COL"&amp;"UMNS($A1650:G1669), G1649&amp;RIGHT(INDIRECT(ADDRESS(ROW(G1650)-1, 'From Order'!$A1650)), 1), G1649))"),"")</f>
        <v/>
      </c>
      <c r="H1650" s="2" t="str">
        <f>IFERROR(__xludf.DUMMYFUNCTION("IF('From Order'!$A1650=COLUMNS($A1650:H1669), LEFT(INDEX(FILTER(H$1:H1649, H$1:H1649&lt;&gt;""""),COUNTA(FILTER(H$1:H1649, H$1:H1649&lt;&gt;""""))), LEN(INDEX(FILTER(H$1:H1649, H$1:H1649&lt;&gt;""""),COUNTA(FILTER(H$1:H1649, H$1:H1649&lt;&gt;""""))))-1), IF('To Order'!$A1650=COL"&amp;"UMNS($A1650:H1669), H1649&amp;RIGHT(INDIRECT(ADDRESS(ROW(H1650)-1, 'From Order'!$A1650)), 1), H1649))"),"")</f>
        <v/>
      </c>
      <c r="I1650" s="2" t="str">
        <f>IFERROR(__xludf.DUMMYFUNCTION("IF('From Order'!$A1650=COLUMNS($A1650:I1669), LEFT(INDEX(FILTER(I$1:I1649, I$1:I1649&lt;&gt;""""),COUNTA(FILTER(I$1:I1649, I$1:I1649&lt;&gt;""""))), LEN(INDEX(FILTER(I$1:I1649, I$1:I1649&lt;&gt;""""),COUNTA(FILTER(I$1:I1649, I$1:I1649&lt;&gt;""""))))-1), IF('To Order'!$A1650=COL"&amp;"UMNS($A1650:I1669), I1649&amp;RIGHT(INDIRECT(ADDRESS(ROW(I1650)-1, 'From Order'!$A1650)), 1), I1649))"),"")</f>
        <v/>
      </c>
    </row>
    <row r="1651">
      <c r="A1651" s="2" t="str">
        <f>IFERROR(__xludf.DUMMYFUNCTION("IF('From Order'!$A1651=COLUMNS($A1651:A1670), LEFT(INDEX(FILTER(A$1:A1650, A$1:A1650&lt;&gt;""""),COUNTA(FILTER(A$1:A1650, A$1:A1650&lt;&gt;""""))), LEN(INDEX(FILTER(A$1:A1650, A$1:A1650&lt;&gt;""""),COUNTA(FILTER(A$1:A1650, A$1:A1650&lt;&gt;""""))))-1), IF('To Order'!$A1651=COL"&amp;"UMNS($A1651:A1670), A1650&amp;RIGHT(INDIRECT(ADDRESS(ROW(A1651)-1, 'From Order'!$A1651)), 1), A1650))"),"Z")</f>
        <v>Z</v>
      </c>
      <c r="B1651" s="2" t="str">
        <f>IFERROR(__xludf.DUMMYFUNCTION("IF('From Order'!$A1651=COLUMNS($A1651:B1670), LEFT(INDEX(FILTER(B$1:B1650, B$1:B1650&lt;&gt;""""),COUNTA(FILTER(B$1:B1650, B$1:B1650&lt;&gt;""""))), LEN(INDEX(FILTER(B$1:B1650, B$1:B1650&lt;&gt;""""),COUNTA(FILTER(B$1:B1650, B$1:B1650&lt;&gt;""""))))-1), IF('To Order'!$A1651=COL"&amp;"UMNS($A1651:B1670), B1650&amp;RIGHT(INDIRECT(ADDRESS(ROW(B1651)-1, 'From Order'!$A1651)), 1), B1650))"),"RBRTVCDRHZMTDLDSRR")</f>
        <v>RBRTVCDRHZMTDLDSRR</v>
      </c>
      <c r="C1651" s="2" t="str">
        <f>IFERROR(__xludf.DUMMYFUNCTION("IF('From Order'!$A1651=COLUMNS($A1651:C1670), LEFT(INDEX(FILTER(C$1:C1650, C$1:C1650&lt;&gt;""""),COUNTA(FILTER(C$1:C1650, C$1:C1650&lt;&gt;""""))), LEN(INDEX(FILTER(C$1:C1650, C$1:C1650&lt;&gt;""""),COUNTA(FILTER(C$1:C1650, C$1:C1650&lt;&gt;""""))))-1), IF('To Order'!$A1651=COL"&amp;"UMNS($A1651:C1670), C1650&amp;RIGHT(INDIRECT(ADDRESS(ROW(C1651)-1, 'From Order'!$A1651)), 1), C1650))"),"TQVQJPPSSTDDWLLFBPTTJGBHFSCZWMDJMBV")</f>
        <v>TQVQJPPSSTDDWLLFBPTTJGBHFSCZWMDJMBV</v>
      </c>
      <c r="D1651" s="2" t="str">
        <f>IFERROR(__xludf.DUMMYFUNCTION("IF('From Order'!$A1651=COLUMNS($A1651:D1670), LEFT(INDEX(FILTER(D$1:D1650, D$1:D1650&lt;&gt;""""),COUNTA(FILTER(D$1:D1650, D$1:D1650&lt;&gt;""""))), LEN(INDEX(FILTER(D$1:D1650, D$1:D1650&lt;&gt;""""),COUNTA(FILTER(D$1:D1650, D$1:D1650&lt;&gt;""""))))-1), IF('To Order'!$A1651=COL"&amp;"UMNS($A1651:D1670), D1650&amp;RIGHT(INDIRECT(ADDRESS(ROW(D1651)-1, 'From Order'!$A1651)), 1), D1650))"),"CG")</f>
        <v>CG</v>
      </c>
      <c r="E1651" s="2" t="str">
        <f>IFERROR(__xludf.DUMMYFUNCTION("IF('From Order'!$A1651=COLUMNS($A1651:E1670), LEFT(INDEX(FILTER(E$1:E1650, E$1:E1650&lt;&gt;""""),COUNTA(FILTER(E$1:E1650, E$1:E1650&lt;&gt;""""))), LEN(INDEX(FILTER(E$1:E1650, E$1:E1650&lt;&gt;""""),COUNTA(FILTER(E$1:E1650, E$1:E1650&lt;&gt;""""))))-1), IF('To Order'!$A1651=COL"&amp;"UMNS($A1651:E1670), E1650&amp;RIGHT(INDIRECT(ADDRESS(ROW(E1651)-1, 'From Order'!$A1651)), 1), E1650))"),"")</f>
        <v/>
      </c>
      <c r="F1651" s="2" t="str">
        <f>IFERROR(__xludf.DUMMYFUNCTION("IF('From Order'!$A1651=COLUMNS($A1651:F1670), LEFT(INDEX(FILTER(F$1:F1650, F$1:F1650&lt;&gt;""""),COUNTA(FILTER(F$1:F1650, F$1:F1650&lt;&gt;""""))), LEN(INDEX(FILTER(F$1:F1650, F$1:F1650&lt;&gt;""""),COUNTA(FILTER(F$1:F1650, F$1:F1650&lt;&gt;""""))))-1), IF('To Order'!$A1651=COL"&amp;"UMNS($A1651:F1670), F1650&amp;RIGHT(INDIRECT(ADDRESS(ROW(F1651)-1, 'From Order'!$A1651)), 1), F1650))"),"")</f>
        <v/>
      </c>
      <c r="G1651" s="2" t="str">
        <f>IFERROR(__xludf.DUMMYFUNCTION("IF('From Order'!$A1651=COLUMNS($A1651:G1670), LEFT(INDEX(FILTER(G$1:G1650, G$1:G1650&lt;&gt;""""),COUNTA(FILTER(G$1:G1650, G$1:G1650&lt;&gt;""""))), LEN(INDEX(FILTER(G$1:G1650, G$1:G1650&lt;&gt;""""),COUNTA(FILTER(G$1:G1650, G$1:G1650&lt;&gt;""""))))-1), IF('To Order'!$A1651=COL"&amp;"UMNS($A1651:G1670), G1650&amp;RIGHT(INDIRECT(ADDRESS(ROW(G1651)-1, 'From Order'!$A1651)), 1), G1650))"),"")</f>
        <v/>
      </c>
      <c r="H1651" s="2" t="str">
        <f>IFERROR(__xludf.DUMMYFUNCTION("IF('From Order'!$A1651=COLUMNS($A1651:H1670), LEFT(INDEX(FILTER(H$1:H1650, H$1:H1650&lt;&gt;""""),COUNTA(FILTER(H$1:H1650, H$1:H1650&lt;&gt;""""))), LEN(INDEX(FILTER(H$1:H1650, H$1:H1650&lt;&gt;""""),COUNTA(FILTER(H$1:H1650, H$1:H1650&lt;&gt;""""))))-1), IF('To Order'!$A1651=COL"&amp;"UMNS($A1651:H1670), H1650&amp;RIGHT(INDIRECT(ADDRESS(ROW(H1651)-1, 'From Order'!$A1651)), 1), H1650))"),"")</f>
        <v/>
      </c>
      <c r="I1651" s="2" t="str">
        <f>IFERROR(__xludf.DUMMYFUNCTION("IF('From Order'!$A1651=COLUMNS($A1651:I1670), LEFT(INDEX(FILTER(I$1:I1650, I$1:I1650&lt;&gt;""""),COUNTA(FILTER(I$1:I1650, I$1:I1650&lt;&gt;""""))), LEN(INDEX(FILTER(I$1:I1650, I$1:I1650&lt;&gt;""""),COUNTA(FILTER(I$1:I1650, I$1:I1650&lt;&gt;""""))))-1), IF('To Order'!$A1651=COL"&amp;"UMNS($A1651:I1670), I1650&amp;RIGHT(INDIRECT(ADDRESS(ROW(I1651)-1, 'From Order'!$A1651)), 1), I1650))"),"")</f>
        <v/>
      </c>
    </row>
    <row r="1652">
      <c r="A1652" s="2" t="str">
        <f>IFERROR(__xludf.DUMMYFUNCTION("IF('From Order'!$A1652=COLUMNS($A1652:A1671), LEFT(INDEX(FILTER(A$1:A1651, A$1:A1651&lt;&gt;""""),COUNTA(FILTER(A$1:A1651, A$1:A1651&lt;&gt;""""))), LEN(INDEX(FILTER(A$1:A1651, A$1:A1651&lt;&gt;""""),COUNTA(FILTER(A$1:A1651, A$1:A1651&lt;&gt;""""))))-1), IF('To Order'!$A1652=COL"&amp;"UMNS($A1652:A1671), A1651&amp;RIGHT(INDIRECT(ADDRESS(ROW(A1652)-1, 'From Order'!$A1652)), 1), A1651))"),"Z")</f>
        <v>Z</v>
      </c>
      <c r="B1652" s="2" t="str">
        <f>IFERROR(__xludf.DUMMYFUNCTION("IF('From Order'!$A1652=COLUMNS($A1652:B1671), LEFT(INDEX(FILTER(B$1:B1651, B$1:B1651&lt;&gt;""""),COUNTA(FILTER(B$1:B1651, B$1:B1651&lt;&gt;""""))), LEN(INDEX(FILTER(B$1:B1651, B$1:B1651&lt;&gt;""""),COUNTA(FILTER(B$1:B1651, B$1:B1651&lt;&gt;""""))))-1), IF('To Order'!$A1652=COL"&amp;"UMNS($A1652:B1671), B1651&amp;RIGHT(INDIRECT(ADDRESS(ROW(B1652)-1, 'From Order'!$A1652)), 1), B1651))"),"RBRTVCDRHZMTDLDSR")</f>
        <v>RBRTVCDRHZMTDLDSR</v>
      </c>
      <c r="C1652" s="2" t="str">
        <f>IFERROR(__xludf.DUMMYFUNCTION("IF('From Order'!$A1652=COLUMNS($A1652:C1671), LEFT(INDEX(FILTER(C$1:C1651, C$1:C1651&lt;&gt;""""),COUNTA(FILTER(C$1:C1651, C$1:C1651&lt;&gt;""""))), LEN(INDEX(FILTER(C$1:C1651, C$1:C1651&lt;&gt;""""),COUNTA(FILTER(C$1:C1651, C$1:C1651&lt;&gt;""""))))-1), IF('To Order'!$A1652=COL"&amp;"UMNS($A1652:C1671), C1651&amp;RIGHT(INDIRECT(ADDRESS(ROW(C1652)-1, 'From Order'!$A1652)), 1), C1651))"),"TQVQJPPSSTDDWLLFBPTTJGBHFSCZWMDJMBVR")</f>
        <v>TQVQJPPSSTDDWLLFBPTTJGBHFSCZWMDJMBVR</v>
      </c>
      <c r="D1652" s="2" t="str">
        <f>IFERROR(__xludf.DUMMYFUNCTION("IF('From Order'!$A1652=COLUMNS($A1652:D1671), LEFT(INDEX(FILTER(D$1:D1651, D$1:D1651&lt;&gt;""""),COUNTA(FILTER(D$1:D1651, D$1:D1651&lt;&gt;""""))), LEN(INDEX(FILTER(D$1:D1651, D$1:D1651&lt;&gt;""""),COUNTA(FILTER(D$1:D1651, D$1:D1651&lt;&gt;""""))))-1), IF('To Order'!$A1652=COL"&amp;"UMNS($A1652:D1671), D1651&amp;RIGHT(INDIRECT(ADDRESS(ROW(D1652)-1, 'From Order'!$A1652)), 1), D1651))"),"CG")</f>
        <v>CG</v>
      </c>
      <c r="E1652" s="2" t="str">
        <f>IFERROR(__xludf.DUMMYFUNCTION("IF('From Order'!$A1652=COLUMNS($A1652:E1671), LEFT(INDEX(FILTER(E$1:E1651, E$1:E1651&lt;&gt;""""),COUNTA(FILTER(E$1:E1651, E$1:E1651&lt;&gt;""""))), LEN(INDEX(FILTER(E$1:E1651, E$1:E1651&lt;&gt;""""),COUNTA(FILTER(E$1:E1651, E$1:E1651&lt;&gt;""""))))-1), IF('To Order'!$A1652=COL"&amp;"UMNS($A1652:E1671), E1651&amp;RIGHT(INDIRECT(ADDRESS(ROW(E1652)-1, 'From Order'!$A1652)), 1), E1651))"),"")</f>
        <v/>
      </c>
      <c r="F1652" s="2" t="str">
        <f>IFERROR(__xludf.DUMMYFUNCTION("IF('From Order'!$A1652=COLUMNS($A1652:F1671), LEFT(INDEX(FILTER(F$1:F1651, F$1:F1651&lt;&gt;""""),COUNTA(FILTER(F$1:F1651, F$1:F1651&lt;&gt;""""))), LEN(INDEX(FILTER(F$1:F1651, F$1:F1651&lt;&gt;""""),COUNTA(FILTER(F$1:F1651, F$1:F1651&lt;&gt;""""))))-1), IF('To Order'!$A1652=COL"&amp;"UMNS($A1652:F1671), F1651&amp;RIGHT(INDIRECT(ADDRESS(ROW(F1652)-1, 'From Order'!$A1652)), 1), F1651))"),"")</f>
        <v/>
      </c>
      <c r="G1652" s="2" t="str">
        <f>IFERROR(__xludf.DUMMYFUNCTION("IF('From Order'!$A1652=COLUMNS($A1652:G1671), LEFT(INDEX(FILTER(G$1:G1651, G$1:G1651&lt;&gt;""""),COUNTA(FILTER(G$1:G1651, G$1:G1651&lt;&gt;""""))), LEN(INDEX(FILTER(G$1:G1651, G$1:G1651&lt;&gt;""""),COUNTA(FILTER(G$1:G1651, G$1:G1651&lt;&gt;""""))))-1), IF('To Order'!$A1652=COL"&amp;"UMNS($A1652:G1671), G1651&amp;RIGHT(INDIRECT(ADDRESS(ROW(G1652)-1, 'From Order'!$A1652)), 1), G1651))"),"")</f>
        <v/>
      </c>
      <c r="H1652" s="2" t="str">
        <f>IFERROR(__xludf.DUMMYFUNCTION("IF('From Order'!$A1652=COLUMNS($A1652:H1671), LEFT(INDEX(FILTER(H$1:H1651, H$1:H1651&lt;&gt;""""),COUNTA(FILTER(H$1:H1651, H$1:H1651&lt;&gt;""""))), LEN(INDEX(FILTER(H$1:H1651, H$1:H1651&lt;&gt;""""),COUNTA(FILTER(H$1:H1651, H$1:H1651&lt;&gt;""""))))-1), IF('To Order'!$A1652=COL"&amp;"UMNS($A1652:H1671), H1651&amp;RIGHT(INDIRECT(ADDRESS(ROW(H1652)-1, 'From Order'!$A1652)), 1), H1651))"),"")</f>
        <v/>
      </c>
      <c r="I1652" s="2" t="str">
        <f>IFERROR(__xludf.DUMMYFUNCTION("IF('From Order'!$A1652=COLUMNS($A1652:I1671), LEFT(INDEX(FILTER(I$1:I1651, I$1:I1651&lt;&gt;""""),COUNTA(FILTER(I$1:I1651, I$1:I1651&lt;&gt;""""))), LEN(INDEX(FILTER(I$1:I1651, I$1:I1651&lt;&gt;""""),COUNTA(FILTER(I$1:I1651, I$1:I1651&lt;&gt;""""))))-1), IF('To Order'!$A1652=COL"&amp;"UMNS($A1652:I1671), I1651&amp;RIGHT(INDIRECT(ADDRESS(ROW(I1652)-1, 'From Order'!$A1652)), 1), I1651))"),"")</f>
        <v/>
      </c>
    </row>
    <row r="1653">
      <c r="A1653" s="2" t="str">
        <f>IFERROR(__xludf.DUMMYFUNCTION("IF('From Order'!$A1653=COLUMNS($A1653:A1672), LEFT(INDEX(FILTER(A$1:A1652, A$1:A1652&lt;&gt;""""),COUNTA(FILTER(A$1:A1652, A$1:A1652&lt;&gt;""""))), LEN(INDEX(FILTER(A$1:A1652, A$1:A1652&lt;&gt;""""),COUNTA(FILTER(A$1:A1652, A$1:A1652&lt;&gt;""""))))-1), IF('To Order'!$A1653=COL"&amp;"UMNS($A1653:A1672), A1652&amp;RIGHT(INDIRECT(ADDRESS(ROW(A1653)-1, 'From Order'!$A1653)), 1), A1652))"),"Z")</f>
        <v>Z</v>
      </c>
      <c r="B1653" s="2" t="str">
        <f>IFERROR(__xludf.DUMMYFUNCTION("IF('From Order'!$A1653=COLUMNS($A1653:B1672), LEFT(INDEX(FILTER(B$1:B1652, B$1:B1652&lt;&gt;""""),COUNTA(FILTER(B$1:B1652, B$1:B1652&lt;&gt;""""))), LEN(INDEX(FILTER(B$1:B1652, B$1:B1652&lt;&gt;""""),COUNTA(FILTER(B$1:B1652, B$1:B1652&lt;&gt;""""))))-1), IF('To Order'!$A1653=COL"&amp;"UMNS($A1653:B1672), B1652&amp;RIGHT(INDIRECT(ADDRESS(ROW(B1653)-1, 'From Order'!$A1653)), 1), B1652))"),"RBRTVCDRHZMTDLDS")</f>
        <v>RBRTVCDRHZMTDLDS</v>
      </c>
      <c r="C1653" s="2" t="str">
        <f>IFERROR(__xludf.DUMMYFUNCTION("IF('From Order'!$A1653=COLUMNS($A1653:C1672), LEFT(INDEX(FILTER(C$1:C1652, C$1:C1652&lt;&gt;""""),COUNTA(FILTER(C$1:C1652, C$1:C1652&lt;&gt;""""))), LEN(INDEX(FILTER(C$1:C1652, C$1:C1652&lt;&gt;""""),COUNTA(FILTER(C$1:C1652, C$1:C1652&lt;&gt;""""))))-1), IF('To Order'!$A1653=COL"&amp;"UMNS($A1653:C1672), C1652&amp;RIGHT(INDIRECT(ADDRESS(ROW(C1653)-1, 'From Order'!$A1653)), 1), C1652))"),"TQVQJPPSSTDDWLLFBPTTJGBHFSCZWMDJMBVRR")</f>
        <v>TQVQJPPSSTDDWLLFBPTTJGBHFSCZWMDJMBVRR</v>
      </c>
      <c r="D1653" s="2" t="str">
        <f>IFERROR(__xludf.DUMMYFUNCTION("IF('From Order'!$A1653=COLUMNS($A1653:D1672), LEFT(INDEX(FILTER(D$1:D1652, D$1:D1652&lt;&gt;""""),COUNTA(FILTER(D$1:D1652, D$1:D1652&lt;&gt;""""))), LEN(INDEX(FILTER(D$1:D1652, D$1:D1652&lt;&gt;""""),COUNTA(FILTER(D$1:D1652, D$1:D1652&lt;&gt;""""))))-1), IF('To Order'!$A1653=COL"&amp;"UMNS($A1653:D1672), D1652&amp;RIGHT(INDIRECT(ADDRESS(ROW(D1653)-1, 'From Order'!$A1653)), 1), D1652))"),"CG")</f>
        <v>CG</v>
      </c>
      <c r="E1653" s="2" t="str">
        <f>IFERROR(__xludf.DUMMYFUNCTION("IF('From Order'!$A1653=COLUMNS($A1653:E1672), LEFT(INDEX(FILTER(E$1:E1652, E$1:E1652&lt;&gt;""""),COUNTA(FILTER(E$1:E1652, E$1:E1652&lt;&gt;""""))), LEN(INDEX(FILTER(E$1:E1652, E$1:E1652&lt;&gt;""""),COUNTA(FILTER(E$1:E1652, E$1:E1652&lt;&gt;""""))))-1), IF('To Order'!$A1653=COL"&amp;"UMNS($A1653:E1672), E1652&amp;RIGHT(INDIRECT(ADDRESS(ROW(E1653)-1, 'From Order'!$A1653)), 1), E1652))"),"")</f>
        <v/>
      </c>
      <c r="F1653" s="2" t="str">
        <f>IFERROR(__xludf.DUMMYFUNCTION("IF('From Order'!$A1653=COLUMNS($A1653:F1672), LEFT(INDEX(FILTER(F$1:F1652, F$1:F1652&lt;&gt;""""),COUNTA(FILTER(F$1:F1652, F$1:F1652&lt;&gt;""""))), LEN(INDEX(FILTER(F$1:F1652, F$1:F1652&lt;&gt;""""),COUNTA(FILTER(F$1:F1652, F$1:F1652&lt;&gt;""""))))-1), IF('To Order'!$A1653=COL"&amp;"UMNS($A1653:F1672), F1652&amp;RIGHT(INDIRECT(ADDRESS(ROW(F1653)-1, 'From Order'!$A1653)), 1), F1652))"),"")</f>
        <v/>
      </c>
      <c r="G1653" s="2" t="str">
        <f>IFERROR(__xludf.DUMMYFUNCTION("IF('From Order'!$A1653=COLUMNS($A1653:G1672), LEFT(INDEX(FILTER(G$1:G1652, G$1:G1652&lt;&gt;""""),COUNTA(FILTER(G$1:G1652, G$1:G1652&lt;&gt;""""))), LEN(INDEX(FILTER(G$1:G1652, G$1:G1652&lt;&gt;""""),COUNTA(FILTER(G$1:G1652, G$1:G1652&lt;&gt;""""))))-1), IF('To Order'!$A1653=COL"&amp;"UMNS($A1653:G1672), G1652&amp;RIGHT(INDIRECT(ADDRESS(ROW(G1653)-1, 'From Order'!$A1653)), 1), G1652))"),"")</f>
        <v/>
      </c>
      <c r="H1653" s="2" t="str">
        <f>IFERROR(__xludf.DUMMYFUNCTION("IF('From Order'!$A1653=COLUMNS($A1653:H1672), LEFT(INDEX(FILTER(H$1:H1652, H$1:H1652&lt;&gt;""""),COUNTA(FILTER(H$1:H1652, H$1:H1652&lt;&gt;""""))), LEN(INDEX(FILTER(H$1:H1652, H$1:H1652&lt;&gt;""""),COUNTA(FILTER(H$1:H1652, H$1:H1652&lt;&gt;""""))))-1), IF('To Order'!$A1653=COL"&amp;"UMNS($A1653:H1672), H1652&amp;RIGHT(INDIRECT(ADDRESS(ROW(H1653)-1, 'From Order'!$A1653)), 1), H1652))"),"")</f>
        <v/>
      </c>
      <c r="I1653" s="2" t="str">
        <f>IFERROR(__xludf.DUMMYFUNCTION("IF('From Order'!$A1653=COLUMNS($A1653:I1672), LEFT(INDEX(FILTER(I$1:I1652, I$1:I1652&lt;&gt;""""),COUNTA(FILTER(I$1:I1652, I$1:I1652&lt;&gt;""""))), LEN(INDEX(FILTER(I$1:I1652, I$1:I1652&lt;&gt;""""),COUNTA(FILTER(I$1:I1652, I$1:I1652&lt;&gt;""""))))-1), IF('To Order'!$A1653=COL"&amp;"UMNS($A1653:I1672), I1652&amp;RIGHT(INDIRECT(ADDRESS(ROW(I1653)-1, 'From Order'!$A1653)), 1), I1652))"),"")</f>
        <v/>
      </c>
    </row>
    <row r="1654">
      <c r="A1654" s="2" t="str">
        <f>IFERROR(__xludf.DUMMYFUNCTION("IF('From Order'!$A1654=COLUMNS($A1654:A1673), LEFT(INDEX(FILTER(A$1:A1653, A$1:A1653&lt;&gt;""""),COUNTA(FILTER(A$1:A1653, A$1:A1653&lt;&gt;""""))), LEN(INDEX(FILTER(A$1:A1653, A$1:A1653&lt;&gt;""""),COUNTA(FILTER(A$1:A1653, A$1:A1653&lt;&gt;""""))))-1), IF('To Order'!$A1654=COL"&amp;"UMNS($A1654:A1673), A1653&amp;RIGHT(INDIRECT(ADDRESS(ROW(A1654)-1, 'From Order'!$A1654)), 1), A1653))"),"Z")</f>
        <v>Z</v>
      </c>
      <c r="B1654" s="2" t="str">
        <f>IFERROR(__xludf.DUMMYFUNCTION("IF('From Order'!$A1654=COLUMNS($A1654:B1673), LEFT(INDEX(FILTER(B$1:B1653, B$1:B1653&lt;&gt;""""),COUNTA(FILTER(B$1:B1653, B$1:B1653&lt;&gt;""""))), LEN(INDEX(FILTER(B$1:B1653, B$1:B1653&lt;&gt;""""),COUNTA(FILTER(B$1:B1653, B$1:B1653&lt;&gt;""""))))-1), IF('To Order'!$A1654=COL"&amp;"UMNS($A1654:B1673), B1653&amp;RIGHT(INDIRECT(ADDRESS(ROW(B1654)-1, 'From Order'!$A1654)), 1), B1653))"),"RBRTVCDRHZMTDLD")</f>
        <v>RBRTVCDRHZMTDLD</v>
      </c>
      <c r="C1654" s="2" t="str">
        <f>IFERROR(__xludf.DUMMYFUNCTION("IF('From Order'!$A1654=COLUMNS($A1654:C1673), LEFT(INDEX(FILTER(C$1:C1653, C$1:C1653&lt;&gt;""""),COUNTA(FILTER(C$1:C1653, C$1:C1653&lt;&gt;""""))), LEN(INDEX(FILTER(C$1:C1653, C$1:C1653&lt;&gt;""""),COUNTA(FILTER(C$1:C1653, C$1:C1653&lt;&gt;""""))))-1), IF('To Order'!$A1654=COL"&amp;"UMNS($A1654:C1673), C1653&amp;RIGHT(INDIRECT(ADDRESS(ROW(C1654)-1, 'From Order'!$A1654)), 1), C1653))"),"TQVQJPPSSTDDWLLFBPTTJGBHFSCZWMDJMBVRRS")</f>
        <v>TQVQJPPSSTDDWLLFBPTTJGBHFSCZWMDJMBVRRS</v>
      </c>
      <c r="D1654" s="2" t="str">
        <f>IFERROR(__xludf.DUMMYFUNCTION("IF('From Order'!$A1654=COLUMNS($A1654:D1673), LEFT(INDEX(FILTER(D$1:D1653, D$1:D1653&lt;&gt;""""),COUNTA(FILTER(D$1:D1653, D$1:D1653&lt;&gt;""""))), LEN(INDEX(FILTER(D$1:D1653, D$1:D1653&lt;&gt;""""),COUNTA(FILTER(D$1:D1653, D$1:D1653&lt;&gt;""""))))-1), IF('To Order'!$A1654=COL"&amp;"UMNS($A1654:D1673), D1653&amp;RIGHT(INDIRECT(ADDRESS(ROW(D1654)-1, 'From Order'!$A1654)), 1), D1653))"),"CG")</f>
        <v>CG</v>
      </c>
      <c r="E1654" s="2" t="str">
        <f>IFERROR(__xludf.DUMMYFUNCTION("IF('From Order'!$A1654=COLUMNS($A1654:E1673), LEFT(INDEX(FILTER(E$1:E1653, E$1:E1653&lt;&gt;""""),COUNTA(FILTER(E$1:E1653, E$1:E1653&lt;&gt;""""))), LEN(INDEX(FILTER(E$1:E1653, E$1:E1653&lt;&gt;""""),COUNTA(FILTER(E$1:E1653, E$1:E1653&lt;&gt;""""))))-1), IF('To Order'!$A1654=COL"&amp;"UMNS($A1654:E1673), E1653&amp;RIGHT(INDIRECT(ADDRESS(ROW(E1654)-1, 'From Order'!$A1654)), 1), E1653))"),"")</f>
        <v/>
      </c>
      <c r="F1654" s="2" t="str">
        <f>IFERROR(__xludf.DUMMYFUNCTION("IF('From Order'!$A1654=COLUMNS($A1654:F1673), LEFT(INDEX(FILTER(F$1:F1653, F$1:F1653&lt;&gt;""""),COUNTA(FILTER(F$1:F1653, F$1:F1653&lt;&gt;""""))), LEN(INDEX(FILTER(F$1:F1653, F$1:F1653&lt;&gt;""""),COUNTA(FILTER(F$1:F1653, F$1:F1653&lt;&gt;""""))))-1), IF('To Order'!$A1654=COL"&amp;"UMNS($A1654:F1673), F1653&amp;RIGHT(INDIRECT(ADDRESS(ROW(F1654)-1, 'From Order'!$A1654)), 1), F1653))"),"")</f>
        <v/>
      </c>
      <c r="G1654" s="2" t="str">
        <f>IFERROR(__xludf.DUMMYFUNCTION("IF('From Order'!$A1654=COLUMNS($A1654:G1673), LEFT(INDEX(FILTER(G$1:G1653, G$1:G1653&lt;&gt;""""),COUNTA(FILTER(G$1:G1653, G$1:G1653&lt;&gt;""""))), LEN(INDEX(FILTER(G$1:G1653, G$1:G1653&lt;&gt;""""),COUNTA(FILTER(G$1:G1653, G$1:G1653&lt;&gt;""""))))-1), IF('To Order'!$A1654=COL"&amp;"UMNS($A1654:G1673), G1653&amp;RIGHT(INDIRECT(ADDRESS(ROW(G1654)-1, 'From Order'!$A1654)), 1), G1653))"),"")</f>
        <v/>
      </c>
      <c r="H1654" s="2" t="str">
        <f>IFERROR(__xludf.DUMMYFUNCTION("IF('From Order'!$A1654=COLUMNS($A1654:H1673), LEFT(INDEX(FILTER(H$1:H1653, H$1:H1653&lt;&gt;""""),COUNTA(FILTER(H$1:H1653, H$1:H1653&lt;&gt;""""))), LEN(INDEX(FILTER(H$1:H1653, H$1:H1653&lt;&gt;""""),COUNTA(FILTER(H$1:H1653, H$1:H1653&lt;&gt;""""))))-1), IF('To Order'!$A1654=COL"&amp;"UMNS($A1654:H1673), H1653&amp;RIGHT(INDIRECT(ADDRESS(ROW(H1654)-1, 'From Order'!$A1654)), 1), H1653))"),"")</f>
        <v/>
      </c>
      <c r="I1654" s="2" t="str">
        <f>IFERROR(__xludf.DUMMYFUNCTION("IF('From Order'!$A1654=COLUMNS($A1654:I1673), LEFT(INDEX(FILTER(I$1:I1653, I$1:I1653&lt;&gt;""""),COUNTA(FILTER(I$1:I1653, I$1:I1653&lt;&gt;""""))), LEN(INDEX(FILTER(I$1:I1653, I$1:I1653&lt;&gt;""""),COUNTA(FILTER(I$1:I1653, I$1:I1653&lt;&gt;""""))))-1), IF('To Order'!$A1654=COL"&amp;"UMNS($A1654:I1673), I1653&amp;RIGHT(INDIRECT(ADDRESS(ROW(I1654)-1, 'From Order'!$A1654)), 1), I1653))"),"")</f>
        <v/>
      </c>
    </row>
    <row r="1655">
      <c r="A1655" s="2" t="str">
        <f>IFERROR(__xludf.DUMMYFUNCTION("IF('From Order'!$A1655=COLUMNS($A1655:A1674), LEFT(INDEX(FILTER(A$1:A1654, A$1:A1654&lt;&gt;""""),COUNTA(FILTER(A$1:A1654, A$1:A1654&lt;&gt;""""))), LEN(INDEX(FILTER(A$1:A1654, A$1:A1654&lt;&gt;""""),COUNTA(FILTER(A$1:A1654, A$1:A1654&lt;&gt;""""))))-1), IF('To Order'!$A1655=COL"&amp;"UMNS($A1655:A1674), A1654&amp;RIGHT(INDIRECT(ADDRESS(ROW(A1655)-1, 'From Order'!$A1655)), 1), A1654))"),"Z")</f>
        <v>Z</v>
      </c>
      <c r="B1655" s="2" t="str">
        <f>IFERROR(__xludf.DUMMYFUNCTION("IF('From Order'!$A1655=COLUMNS($A1655:B1674), LEFT(INDEX(FILTER(B$1:B1654, B$1:B1654&lt;&gt;""""),COUNTA(FILTER(B$1:B1654, B$1:B1654&lt;&gt;""""))), LEN(INDEX(FILTER(B$1:B1654, B$1:B1654&lt;&gt;""""),COUNTA(FILTER(B$1:B1654, B$1:B1654&lt;&gt;""""))))-1), IF('To Order'!$A1655=COL"&amp;"UMNS($A1655:B1674), B1654&amp;RIGHT(INDIRECT(ADDRESS(ROW(B1655)-1, 'From Order'!$A1655)), 1), B1654))"),"RBRTVCDRHZMTDL")</f>
        <v>RBRTVCDRHZMTDL</v>
      </c>
      <c r="C1655" s="2" t="str">
        <f>IFERROR(__xludf.DUMMYFUNCTION("IF('From Order'!$A1655=COLUMNS($A1655:C1674), LEFT(INDEX(FILTER(C$1:C1654, C$1:C1654&lt;&gt;""""),COUNTA(FILTER(C$1:C1654, C$1:C1654&lt;&gt;""""))), LEN(INDEX(FILTER(C$1:C1654, C$1:C1654&lt;&gt;""""),COUNTA(FILTER(C$1:C1654, C$1:C1654&lt;&gt;""""))))-1), IF('To Order'!$A1655=COL"&amp;"UMNS($A1655:C1674), C1654&amp;RIGHT(INDIRECT(ADDRESS(ROW(C1655)-1, 'From Order'!$A1655)), 1), C1654))"),"TQVQJPPSSTDDWLLFBPTTJGBHFSCZWMDJMBVRRSD")</f>
        <v>TQVQJPPSSTDDWLLFBPTTJGBHFSCZWMDJMBVRRSD</v>
      </c>
      <c r="D1655" s="2" t="str">
        <f>IFERROR(__xludf.DUMMYFUNCTION("IF('From Order'!$A1655=COLUMNS($A1655:D1674), LEFT(INDEX(FILTER(D$1:D1654, D$1:D1654&lt;&gt;""""),COUNTA(FILTER(D$1:D1654, D$1:D1654&lt;&gt;""""))), LEN(INDEX(FILTER(D$1:D1654, D$1:D1654&lt;&gt;""""),COUNTA(FILTER(D$1:D1654, D$1:D1654&lt;&gt;""""))))-1), IF('To Order'!$A1655=COL"&amp;"UMNS($A1655:D1674), D1654&amp;RIGHT(INDIRECT(ADDRESS(ROW(D1655)-1, 'From Order'!$A1655)), 1), D1654))"),"CG")</f>
        <v>CG</v>
      </c>
      <c r="E1655" s="2" t="str">
        <f>IFERROR(__xludf.DUMMYFUNCTION("IF('From Order'!$A1655=COLUMNS($A1655:E1674), LEFT(INDEX(FILTER(E$1:E1654, E$1:E1654&lt;&gt;""""),COUNTA(FILTER(E$1:E1654, E$1:E1654&lt;&gt;""""))), LEN(INDEX(FILTER(E$1:E1654, E$1:E1654&lt;&gt;""""),COUNTA(FILTER(E$1:E1654, E$1:E1654&lt;&gt;""""))))-1), IF('To Order'!$A1655=COL"&amp;"UMNS($A1655:E1674), E1654&amp;RIGHT(INDIRECT(ADDRESS(ROW(E1655)-1, 'From Order'!$A1655)), 1), E1654))"),"")</f>
        <v/>
      </c>
      <c r="F1655" s="2" t="str">
        <f>IFERROR(__xludf.DUMMYFUNCTION("IF('From Order'!$A1655=COLUMNS($A1655:F1674), LEFT(INDEX(FILTER(F$1:F1654, F$1:F1654&lt;&gt;""""),COUNTA(FILTER(F$1:F1654, F$1:F1654&lt;&gt;""""))), LEN(INDEX(FILTER(F$1:F1654, F$1:F1654&lt;&gt;""""),COUNTA(FILTER(F$1:F1654, F$1:F1654&lt;&gt;""""))))-1), IF('To Order'!$A1655=COL"&amp;"UMNS($A1655:F1674), F1654&amp;RIGHT(INDIRECT(ADDRESS(ROW(F1655)-1, 'From Order'!$A1655)), 1), F1654))"),"")</f>
        <v/>
      </c>
      <c r="G1655" s="2" t="str">
        <f>IFERROR(__xludf.DUMMYFUNCTION("IF('From Order'!$A1655=COLUMNS($A1655:G1674), LEFT(INDEX(FILTER(G$1:G1654, G$1:G1654&lt;&gt;""""),COUNTA(FILTER(G$1:G1654, G$1:G1654&lt;&gt;""""))), LEN(INDEX(FILTER(G$1:G1654, G$1:G1654&lt;&gt;""""),COUNTA(FILTER(G$1:G1654, G$1:G1654&lt;&gt;""""))))-1), IF('To Order'!$A1655=COL"&amp;"UMNS($A1655:G1674), G1654&amp;RIGHT(INDIRECT(ADDRESS(ROW(G1655)-1, 'From Order'!$A1655)), 1), G1654))"),"")</f>
        <v/>
      </c>
      <c r="H1655" s="2" t="str">
        <f>IFERROR(__xludf.DUMMYFUNCTION("IF('From Order'!$A1655=COLUMNS($A1655:H1674), LEFT(INDEX(FILTER(H$1:H1654, H$1:H1654&lt;&gt;""""),COUNTA(FILTER(H$1:H1654, H$1:H1654&lt;&gt;""""))), LEN(INDEX(FILTER(H$1:H1654, H$1:H1654&lt;&gt;""""),COUNTA(FILTER(H$1:H1654, H$1:H1654&lt;&gt;""""))))-1), IF('To Order'!$A1655=COL"&amp;"UMNS($A1655:H1674), H1654&amp;RIGHT(INDIRECT(ADDRESS(ROW(H1655)-1, 'From Order'!$A1655)), 1), H1654))"),"")</f>
        <v/>
      </c>
      <c r="I1655" s="2" t="str">
        <f>IFERROR(__xludf.DUMMYFUNCTION("IF('From Order'!$A1655=COLUMNS($A1655:I1674), LEFT(INDEX(FILTER(I$1:I1654, I$1:I1654&lt;&gt;""""),COUNTA(FILTER(I$1:I1654, I$1:I1654&lt;&gt;""""))), LEN(INDEX(FILTER(I$1:I1654, I$1:I1654&lt;&gt;""""),COUNTA(FILTER(I$1:I1654, I$1:I1654&lt;&gt;""""))))-1), IF('To Order'!$A1655=COL"&amp;"UMNS($A1655:I1674), I1654&amp;RIGHT(INDIRECT(ADDRESS(ROW(I1655)-1, 'From Order'!$A1655)), 1), I1654))"),"")</f>
        <v/>
      </c>
    </row>
    <row r="1656">
      <c r="A1656" s="2" t="str">
        <f>IFERROR(__xludf.DUMMYFUNCTION("IF('From Order'!$A1656=COLUMNS($A1656:A1675), LEFT(INDEX(FILTER(A$1:A1655, A$1:A1655&lt;&gt;""""),COUNTA(FILTER(A$1:A1655, A$1:A1655&lt;&gt;""""))), LEN(INDEX(FILTER(A$1:A1655, A$1:A1655&lt;&gt;""""),COUNTA(FILTER(A$1:A1655, A$1:A1655&lt;&gt;""""))))-1), IF('To Order'!$A1656=COL"&amp;"UMNS($A1656:A1675), A1655&amp;RIGHT(INDIRECT(ADDRESS(ROW(A1656)-1, 'From Order'!$A1656)), 1), A1655))"),"Z")</f>
        <v>Z</v>
      </c>
      <c r="B1656" s="2" t="str">
        <f>IFERROR(__xludf.DUMMYFUNCTION("IF('From Order'!$A1656=COLUMNS($A1656:B1675), LEFT(INDEX(FILTER(B$1:B1655, B$1:B1655&lt;&gt;""""),COUNTA(FILTER(B$1:B1655, B$1:B1655&lt;&gt;""""))), LEN(INDEX(FILTER(B$1:B1655, B$1:B1655&lt;&gt;""""),COUNTA(FILTER(B$1:B1655, B$1:B1655&lt;&gt;""""))))-1), IF('To Order'!$A1656=COL"&amp;"UMNS($A1656:B1675), B1655&amp;RIGHT(INDIRECT(ADDRESS(ROW(B1656)-1, 'From Order'!$A1656)), 1), B1655))"),"RBRTVCDRHZMTD")</f>
        <v>RBRTVCDRHZMTD</v>
      </c>
      <c r="C1656" s="2" t="str">
        <f>IFERROR(__xludf.DUMMYFUNCTION("IF('From Order'!$A1656=COLUMNS($A1656:C1675), LEFT(INDEX(FILTER(C$1:C1655, C$1:C1655&lt;&gt;""""),COUNTA(FILTER(C$1:C1655, C$1:C1655&lt;&gt;""""))), LEN(INDEX(FILTER(C$1:C1655, C$1:C1655&lt;&gt;""""),COUNTA(FILTER(C$1:C1655, C$1:C1655&lt;&gt;""""))))-1), IF('To Order'!$A1656=COL"&amp;"UMNS($A1656:C1675), C1655&amp;RIGHT(INDIRECT(ADDRESS(ROW(C1656)-1, 'From Order'!$A1656)), 1), C1655))"),"TQVQJPPSSTDDWLLFBPTTJGBHFSCZWMDJMBVRRSDL")</f>
        <v>TQVQJPPSSTDDWLLFBPTTJGBHFSCZWMDJMBVRRSDL</v>
      </c>
      <c r="D1656" s="2" t="str">
        <f>IFERROR(__xludf.DUMMYFUNCTION("IF('From Order'!$A1656=COLUMNS($A1656:D1675), LEFT(INDEX(FILTER(D$1:D1655, D$1:D1655&lt;&gt;""""),COUNTA(FILTER(D$1:D1655, D$1:D1655&lt;&gt;""""))), LEN(INDEX(FILTER(D$1:D1655, D$1:D1655&lt;&gt;""""),COUNTA(FILTER(D$1:D1655, D$1:D1655&lt;&gt;""""))))-1), IF('To Order'!$A1656=COL"&amp;"UMNS($A1656:D1675), D1655&amp;RIGHT(INDIRECT(ADDRESS(ROW(D1656)-1, 'From Order'!$A1656)), 1), D1655))"),"CG")</f>
        <v>CG</v>
      </c>
      <c r="E1656" s="2" t="str">
        <f>IFERROR(__xludf.DUMMYFUNCTION("IF('From Order'!$A1656=COLUMNS($A1656:E1675), LEFT(INDEX(FILTER(E$1:E1655, E$1:E1655&lt;&gt;""""),COUNTA(FILTER(E$1:E1655, E$1:E1655&lt;&gt;""""))), LEN(INDEX(FILTER(E$1:E1655, E$1:E1655&lt;&gt;""""),COUNTA(FILTER(E$1:E1655, E$1:E1655&lt;&gt;""""))))-1), IF('To Order'!$A1656=COL"&amp;"UMNS($A1656:E1675), E1655&amp;RIGHT(INDIRECT(ADDRESS(ROW(E1656)-1, 'From Order'!$A1656)), 1), E1655))"),"")</f>
        <v/>
      </c>
      <c r="F1656" s="2" t="str">
        <f>IFERROR(__xludf.DUMMYFUNCTION("IF('From Order'!$A1656=COLUMNS($A1656:F1675), LEFT(INDEX(FILTER(F$1:F1655, F$1:F1655&lt;&gt;""""),COUNTA(FILTER(F$1:F1655, F$1:F1655&lt;&gt;""""))), LEN(INDEX(FILTER(F$1:F1655, F$1:F1655&lt;&gt;""""),COUNTA(FILTER(F$1:F1655, F$1:F1655&lt;&gt;""""))))-1), IF('To Order'!$A1656=COL"&amp;"UMNS($A1656:F1675), F1655&amp;RIGHT(INDIRECT(ADDRESS(ROW(F1656)-1, 'From Order'!$A1656)), 1), F1655))"),"")</f>
        <v/>
      </c>
      <c r="G1656" s="2" t="str">
        <f>IFERROR(__xludf.DUMMYFUNCTION("IF('From Order'!$A1656=COLUMNS($A1656:G1675), LEFT(INDEX(FILTER(G$1:G1655, G$1:G1655&lt;&gt;""""),COUNTA(FILTER(G$1:G1655, G$1:G1655&lt;&gt;""""))), LEN(INDEX(FILTER(G$1:G1655, G$1:G1655&lt;&gt;""""),COUNTA(FILTER(G$1:G1655, G$1:G1655&lt;&gt;""""))))-1), IF('To Order'!$A1656=COL"&amp;"UMNS($A1656:G1675), G1655&amp;RIGHT(INDIRECT(ADDRESS(ROW(G1656)-1, 'From Order'!$A1656)), 1), G1655))"),"")</f>
        <v/>
      </c>
      <c r="H1656" s="2" t="str">
        <f>IFERROR(__xludf.DUMMYFUNCTION("IF('From Order'!$A1656=COLUMNS($A1656:H1675), LEFT(INDEX(FILTER(H$1:H1655, H$1:H1655&lt;&gt;""""),COUNTA(FILTER(H$1:H1655, H$1:H1655&lt;&gt;""""))), LEN(INDEX(FILTER(H$1:H1655, H$1:H1655&lt;&gt;""""),COUNTA(FILTER(H$1:H1655, H$1:H1655&lt;&gt;""""))))-1), IF('To Order'!$A1656=COL"&amp;"UMNS($A1656:H1675), H1655&amp;RIGHT(INDIRECT(ADDRESS(ROW(H1656)-1, 'From Order'!$A1656)), 1), H1655))"),"")</f>
        <v/>
      </c>
      <c r="I1656" s="2" t="str">
        <f>IFERROR(__xludf.DUMMYFUNCTION("IF('From Order'!$A1656=COLUMNS($A1656:I1675), LEFT(INDEX(FILTER(I$1:I1655, I$1:I1655&lt;&gt;""""),COUNTA(FILTER(I$1:I1655, I$1:I1655&lt;&gt;""""))), LEN(INDEX(FILTER(I$1:I1655, I$1:I1655&lt;&gt;""""),COUNTA(FILTER(I$1:I1655, I$1:I1655&lt;&gt;""""))))-1), IF('To Order'!$A1656=COL"&amp;"UMNS($A1656:I1675), I1655&amp;RIGHT(INDIRECT(ADDRESS(ROW(I1656)-1, 'From Order'!$A1656)), 1), I1655))"),"")</f>
        <v/>
      </c>
    </row>
    <row r="1657">
      <c r="A1657" s="2" t="str">
        <f>IFERROR(__xludf.DUMMYFUNCTION("IF('From Order'!$A1657=COLUMNS($A1657:A1676), LEFT(INDEX(FILTER(A$1:A1656, A$1:A1656&lt;&gt;""""),COUNTA(FILTER(A$1:A1656, A$1:A1656&lt;&gt;""""))), LEN(INDEX(FILTER(A$1:A1656, A$1:A1656&lt;&gt;""""),COUNTA(FILTER(A$1:A1656, A$1:A1656&lt;&gt;""""))))-1), IF('To Order'!$A1657=COL"&amp;"UMNS($A1657:A1676), A1656&amp;RIGHT(INDIRECT(ADDRESS(ROW(A1657)-1, 'From Order'!$A1657)), 1), A1656))"),"Z")</f>
        <v>Z</v>
      </c>
      <c r="B1657" s="2" t="str">
        <f>IFERROR(__xludf.DUMMYFUNCTION("IF('From Order'!$A1657=COLUMNS($A1657:B1676), LEFT(INDEX(FILTER(B$1:B1656, B$1:B1656&lt;&gt;""""),COUNTA(FILTER(B$1:B1656, B$1:B1656&lt;&gt;""""))), LEN(INDEX(FILTER(B$1:B1656, B$1:B1656&lt;&gt;""""),COUNTA(FILTER(B$1:B1656, B$1:B1656&lt;&gt;""""))))-1), IF('To Order'!$A1657=COL"&amp;"UMNS($A1657:B1676), B1656&amp;RIGHT(INDIRECT(ADDRESS(ROW(B1657)-1, 'From Order'!$A1657)), 1), B1656))"),"RBRTVCDRHZMT")</f>
        <v>RBRTVCDRHZMT</v>
      </c>
      <c r="C1657" s="2" t="str">
        <f>IFERROR(__xludf.DUMMYFUNCTION("IF('From Order'!$A1657=COLUMNS($A1657:C1676), LEFT(INDEX(FILTER(C$1:C1656, C$1:C1656&lt;&gt;""""),COUNTA(FILTER(C$1:C1656, C$1:C1656&lt;&gt;""""))), LEN(INDEX(FILTER(C$1:C1656, C$1:C1656&lt;&gt;""""),COUNTA(FILTER(C$1:C1656, C$1:C1656&lt;&gt;""""))))-1), IF('To Order'!$A1657=COL"&amp;"UMNS($A1657:C1676), C1656&amp;RIGHT(INDIRECT(ADDRESS(ROW(C1657)-1, 'From Order'!$A1657)), 1), C1656))"),"TQVQJPPSSTDDWLLFBPTTJGBHFSCZWMDJMBVRRSDLD")</f>
        <v>TQVQJPPSSTDDWLLFBPTTJGBHFSCZWMDJMBVRRSDLD</v>
      </c>
      <c r="D1657" s="2" t="str">
        <f>IFERROR(__xludf.DUMMYFUNCTION("IF('From Order'!$A1657=COLUMNS($A1657:D1676), LEFT(INDEX(FILTER(D$1:D1656, D$1:D1656&lt;&gt;""""),COUNTA(FILTER(D$1:D1656, D$1:D1656&lt;&gt;""""))), LEN(INDEX(FILTER(D$1:D1656, D$1:D1656&lt;&gt;""""),COUNTA(FILTER(D$1:D1656, D$1:D1656&lt;&gt;""""))))-1), IF('To Order'!$A1657=COL"&amp;"UMNS($A1657:D1676), D1656&amp;RIGHT(INDIRECT(ADDRESS(ROW(D1657)-1, 'From Order'!$A1657)), 1), D1656))"),"CG")</f>
        <v>CG</v>
      </c>
      <c r="E1657" s="2" t="str">
        <f>IFERROR(__xludf.DUMMYFUNCTION("IF('From Order'!$A1657=COLUMNS($A1657:E1676), LEFT(INDEX(FILTER(E$1:E1656, E$1:E1656&lt;&gt;""""),COUNTA(FILTER(E$1:E1656, E$1:E1656&lt;&gt;""""))), LEN(INDEX(FILTER(E$1:E1656, E$1:E1656&lt;&gt;""""),COUNTA(FILTER(E$1:E1656, E$1:E1656&lt;&gt;""""))))-1), IF('To Order'!$A1657=COL"&amp;"UMNS($A1657:E1676), E1656&amp;RIGHT(INDIRECT(ADDRESS(ROW(E1657)-1, 'From Order'!$A1657)), 1), E1656))"),"")</f>
        <v/>
      </c>
      <c r="F1657" s="2" t="str">
        <f>IFERROR(__xludf.DUMMYFUNCTION("IF('From Order'!$A1657=COLUMNS($A1657:F1676), LEFT(INDEX(FILTER(F$1:F1656, F$1:F1656&lt;&gt;""""),COUNTA(FILTER(F$1:F1656, F$1:F1656&lt;&gt;""""))), LEN(INDEX(FILTER(F$1:F1656, F$1:F1656&lt;&gt;""""),COUNTA(FILTER(F$1:F1656, F$1:F1656&lt;&gt;""""))))-1), IF('To Order'!$A1657=COL"&amp;"UMNS($A1657:F1676), F1656&amp;RIGHT(INDIRECT(ADDRESS(ROW(F1657)-1, 'From Order'!$A1657)), 1), F1656))"),"")</f>
        <v/>
      </c>
      <c r="G1657" s="2" t="str">
        <f>IFERROR(__xludf.DUMMYFUNCTION("IF('From Order'!$A1657=COLUMNS($A1657:G1676), LEFT(INDEX(FILTER(G$1:G1656, G$1:G1656&lt;&gt;""""),COUNTA(FILTER(G$1:G1656, G$1:G1656&lt;&gt;""""))), LEN(INDEX(FILTER(G$1:G1656, G$1:G1656&lt;&gt;""""),COUNTA(FILTER(G$1:G1656, G$1:G1656&lt;&gt;""""))))-1), IF('To Order'!$A1657=COL"&amp;"UMNS($A1657:G1676), G1656&amp;RIGHT(INDIRECT(ADDRESS(ROW(G1657)-1, 'From Order'!$A1657)), 1), G1656))"),"")</f>
        <v/>
      </c>
      <c r="H1657" s="2" t="str">
        <f>IFERROR(__xludf.DUMMYFUNCTION("IF('From Order'!$A1657=COLUMNS($A1657:H1676), LEFT(INDEX(FILTER(H$1:H1656, H$1:H1656&lt;&gt;""""),COUNTA(FILTER(H$1:H1656, H$1:H1656&lt;&gt;""""))), LEN(INDEX(FILTER(H$1:H1656, H$1:H1656&lt;&gt;""""),COUNTA(FILTER(H$1:H1656, H$1:H1656&lt;&gt;""""))))-1), IF('To Order'!$A1657=COL"&amp;"UMNS($A1657:H1676), H1656&amp;RIGHT(INDIRECT(ADDRESS(ROW(H1657)-1, 'From Order'!$A1657)), 1), H1656))"),"")</f>
        <v/>
      </c>
      <c r="I1657" s="2" t="str">
        <f>IFERROR(__xludf.DUMMYFUNCTION("IF('From Order'!$A1657=COLUMNS($A1657:I1676), LEFT(INDEX(FILTER(I$1:I1656, I$1:I1656&lt;&gt;""""),COUNTA(FILTER(I$1:I1656, I$1:I1656&lt;&gt;""""))), LEN(INDEX(FILTER(I$1:I1656, I$1:I1656&lt;&gt;""""),COUNTA(FILTER(I$1:I1656, I$1:I1656&lt;&gt;""""))))-1), IF('To Order'!$A1657=COL"&amp;"UMNS($A1657:I1676), I1656&amp;RIGHT(INDIRECT(ADDRESS(ROW(I1657)-1, 'From Order'!$A1657)), 1), I1656))"),"")</f>
        <v/>
      </c>
    </row>
    <row r="1658">
      <c r="A1658" s="2" t="str">
        <f>IFERROR(__xludf.DUMMYFUNCTION("IF('From Order'!$A1658=COLUMNS($A1658:A1677), LEFT(INDEX(FILTER(A$1:A1657, A$1:A1657&lt;&gt;""""),COUNTA(FILTER(A$1:A1657, A$1:A1657&lt;&gt;""""))), LEN(INDEX(FILTER(A$1:A1657, A$1:A1657&lt;&gt;""""),COUNTA(FILTER(A$1:A1657, A$1:A1657&lt;&gt;""""))))-1), IF('To Order'!$A1658=COL"&amp;"UMNS($A1658:A1677), A1657&amp;RIGHT(INDIRECT(ADDRESS(ROW(A1658)-1, 'From Order'!$A1658)), 1), A1657))"),"Z")</f>
        <v>Z</v>
      </c>
      <c r="B1658" s="2" t="str">
        <f>IFERROR(__xludf.DUMMYFUNCTION("IF('From Order'!$A1658=COLUMNS($A1658:B1677), LEFT(INDEX(FILTER(B$1:B1657, B$1:B1657&lt;&gt;""""),COUNTA(FILTER(B$1:B1657, B$1:B1657&lt;&gt;""""))), LEN(INDEX(FILTER(B$1:B1657, B$1:B1657&lt;&gt;""""),COUNTA(FILTER(B$1:B1657, B$1:B1657&lt;&gt;""""))))-1), IF('To Order'!$A1658=COL"&amp;"UMNS($A1658:B1677), B1657&amp;RIGHT(INDIRECT(ADDRESS(ROW(B1658)-1, 'From Order'!$A1658)), 1), B1657))"),"RBRTVCDRHZM")</f>
        <v>RBRTVCDRHZM</v>
      </c>
      <c r="C1658" s="2" t="str">
        <f>IFERROR(__xludf.DUMMYFUNCTION("IF('From Order'!$A1658=COLUMNS($A1658:C1677), LEFT(INDEX(FILTER(C$1:C1657, C$1:C1657&lt;&gt;""""),COUNTA(FILTER(C$1:C1657, C$1:C1657&lt;&gt;""""))), LEN(INDEX(FILTER(C$1:C1657, C$1:C1657&lt;&gt;""""),COUNTA(FILTER(C$1:C1657, C$1:C1657&lt;&gt;""""))))-1), IF('To Order'!$A1658=COL"&amp;"UMNS($A1658:C1677), C1657&amp;RIGHT(INDIRECT(ADDRESS(ROW(C1658)-1, 'From Order'!$A1658)), 1), C1657))"),"TQVQJPPSSTDDWLLFBPTTJGBHFSCZWMDJMBVRRSDLDT")</f>
        <v>TQVQJPPSSTDDWLLFBPTTJGBHFSCZWMDJMBVRRSDLDT</v>
      </c>
      <c r="D1658" s="2" t="str">
        <f>IFERROR(__xludf.DUMMYFUNCTION("IF('From Order'!$A1658=COLUMNS($A1658:D1677), LEFT(INDEX(FILTER(D$1:D1657, D$1:D1657&lt;&gt;""""),COUNTA(FILTER(D$1:D1657, D$1:D1657&lt;&gt;""""))), LEN(INDEX(FILTER(D$1:D1657, D$1:D1657&lt;&gt;""""),COUNTA(FILTER(D$1:D1657, D$1:D1657&lt;&gt;""""))))-1), IF('To Order'!$A1658=COL"&amp;"UMNS($A1658:D1677), D1657&amp;RIGHT(INDIRECT(ADDRESS(ROW(D1658)-1, 'From Order'!$A1658)), 1), D1657))"),"CG")</f>
        <v>CG</v>
      </c>
      <c r="E1658" s="2" t="str">
        <f>IFERROR(__xludf.DUMMYFUNCTION("IF('From Order'!$A1658=COLUMNS($A1658:E1677), LEFT(INDEX(FILTER(E$1:E1657, E$1:E1657&lt;&gt;""""),COUNTA(FILTER(E$1:E1657, E$1:E1657&lt;&gt;""""))), LEN(INDEX(FILTER(E$1:E1657, E$1:E1657&lt;&gt;""""),COUNTA(FILTER(E$1:E1657, E$1:E1657&lt;&gt;""""))))-1), IF('To Order'!$A1658=COL"&amp;"UMNS($A1658:E1677), E1657&amp;RIGHT(INDIRECT(ADDRESS(ROW(E1658)-1, 'From Order'!$A1658)), 1), E1657))"),"")</f>
        <v/>
      </c>
      <c r="F1658" s="2" t="str">
        <f>IFERROR(__xludf.DUMMYFUNCTION("IF('From Order'!$A1658=COLUMNS($A1658:F1677), LEFT(INDEX(FILTER(F$1:F1657, F$1:F1657&lt;&gt;""""),COUNTA(FILTER(F$1:F1657, F$1:F1657&lt;&gt;""""))), LEN(INDEX(FILTER(F$1:F1657, F$1:F1657&lt;&gt;""""),COUNTA(FILTER(F$1:F1657, F$1:F1657&lt;&gt;""""))))-1), IF('To Order'!$A1658=COL"&amp;"UMNS($A1658:F1677), F1657&amp;RIGHT(INDIRECT(ADDRESS(ROW(F1658)-1, 'From Order'!$A1658)), 1), F1657))"),"")</f>
        <v/>
      </c>
      <c r="G1658" s="2" t="str">
        <f>IFERROR(__xludf.DUMMYFUNCTION("IF('From Order'!$A1658=COLUMNS($A1658:G1677), LEFT(INDEX(FILTER(G$1:G1657, G$1:G1657&lt;&gt;""""),COUNTA(FILTER(G$1:G1657, G$1:G1657&lt;&gt;""""))), LEN(INDEX(FILTER(G$1:G1657, G$1:G1657&lt;&gt;""""),COUNTA(FILTER(G$1:G1657, G$1:G1657&lt;&gt;""""))))-1), IF('To Order'!$A1658=COL"&amp;"UMNS($A1658:G1677), G1657&amp;RIGHT(INDIRECT(ADDRESS(ROW(G1658)-1, 'From Order'!$A1658)), 1), G1657))"),"")</f>
        <v/>
      </c>
      <c r="H1658" s="2" t="str">
        <f>IFERROR(__xludf.DUMMYFUNCTION("IF('From Order'!$A1658=COLUMNS($A1658:H1677), LEFT(INDEX(FILTER(H$1:H1657, H$1:H1657&lt;&gt;""""),COUNTA(FILTER(H$1:H1657, H$1:H1657&lt;&gt;""""))), LEN(INDEX(FILTER(H$1:H1657, H$1:H1657&lt;&gt;""""),COUNTA(FILTER(H$1:H1657, H$1:H1657&lt;&gt;""""))))-1), IF('To Order'!$A1658=COL"&amp;"UMNS($A1658:H1677), H1657&amp;RIGHT(INDIRECT(ADDRESS(ROW(H1658)-1, 'From Order'!$A1658)), 1), H1657))"),"")</f>
        <v/>
      </c>
      <c r="I1658" s="2" t="str">
        <f>IFERROR(__xludf.DUMMYFUNCTION("IF('From Order'!$A1658=COLUMNS($A1658:I1677), LEFT(INDEX(FILTER(I$1:I1657, I$1:I1657&lt;&gt;""""),COUNTA(FILTER(I$1:I1657, I$1:I1657&lt;&gt;""""))), LEN(INDEX(FILTER(I$1:I1657, I$1:I1657&lt;&gt;""""),COUNTA(FILTER(I$1:I1657, I$1:I1657&lt;&gt;""""))))-1), IF('To Order'!$A1658=COL"&amp;"UMNS($A1658:I1677), I1657&amp;RIGHT(INDIRECT(ADDRESS(ROW(I1658)-1, 'From Order'!$A1658)), 1), I1657))"),"")</f>
        <v/>
      </c>
    </row>
    <row r="1659">
      <c r="A1659" s="2" t="str">
        <f>IFERROR(__xludf.DUMMYFUNCTION("IF('From Order'!$A1659=COLUMNS($A1659:A1678), LEFT(INDEX(FILTER(A$1:A1658, A$1:A1658&lt;&gt;""""),COUNTA(FILTER(A$1:A1658, A$1:A1658&lt;&gt;""""))), LEN(INDEX(FILTER(A$1:A1658, A$1:A1658&lt;&gt;""""),COUNTA(FILTER(A$1:A1658, A$1:A1658&lt;&gt;""""))))-1), IF('To Order'!$A1659=COL"&amp;"UMNS($A1659:A1678), A1658&amp;RIGHT(INDIRECT(ADDRESS(ROW(A1659)-1, 'From Order'!$A1659)), 1), A1658))"),"Z")</f>
        <v>Z</v>
      </c>
      <c r="B1659" s="2" t="str">
        <f>IFERROR(__xludf.DUMMYFUNCTION("IF('From Order'!$A1659=COLUMNS($A1659:B1678), LEFT(INDEX(FILTER(B$1:B1658, B$1:B1658&lt;&gt;""""),COUNTA(FILTER(B$1:B1658, B$1:B1658&lt;&gt;""""))), LEN(INDEX(FILTER(B$1:B1658, B$1:B1658&lt;&gt;""""),COUNTA(FILTER(B$1:B1658, B$1:B1658&lt;&gt;""""))))-1), IF('To Order'!$A1659=COL"&amp;"UMNS($A1659:B1678), B1658&amp;RIGHT(INDIRECT(ADDRESS(ROW(B1659)-1, 'From Order'!$A1659)), 1), B1658))"),"RBRTVCDRHZ")</f>
        <v>RBRTVCDRHZ</v>
      </c>
      <c r="C1659" s="2" t="str">
        <f>IFERROR(__xludf.DUMMYFUNCTION("IF('From Order'!$A1659=COLUMNS($A1659:C1678), LEFT(INDEX(FILTER(C$1:C1658, C$1:C1658&lt;&gt;""""),COUNTA(FILTER(C$1:C1658, C$1:C1658&lt;&gt;""""))), LEN(INDEX(FILTER(C$1:C1658, C$1:C1658&lt;&gt;""""),COUNTA(FILTER(C$1:C1658, C$1:C1658&lt;&gt;""""))))-1), IF('To Order'!$A1659=COL"&amp;"UMNS($A1659:C1678), C1658&amp;RIGHT(INDIRECT(ADDRESS(ROW(C1659)-1, 'From Order'!$A1659)), 1), C1658))"),"TQVQJPPSSTDDWLLFBPTTJGBHFSCZWMDJMBVRRSDLDTM")</f>
        <v>TQVQJPPSSTDDWLLFBPTTJGBHFSCZWMDJMBVRRSDLDTM</v>
      </c>
      <c r="D1659" s="2" t="str">
        <f>IFERROR(__xludf.DUMMYFUNCTION("IF('From Order'!$A1659=COLUMNS($A1659:D1678), LEFT(INDEX(FILTER(D$1:D1658, D$1:D1658&lt;&gt;""""),COUNTA(FILTER(D$1:D1658, D$1:D1658&lt;&gt;""""))), LEN(INDEX(FILTER(D$1:D1658, D$1:D1658&lt;&gt;""""),COUNTA(FILTER(D$1:D1658, D$1:D1658&lt;&gt;""""))))-1), IF('To Order'!$A1659=COL"&amp;"UMNS($A1659:D1678), D1658&amp;RIGHT(INDIRECT(ADDRESS(ROW(D1659)-1, 'From Order'!$A1659)), 1), D1658))"),"CG")</f>
        <v>CG</v>
      </c>
      <c r="E1659" s="2" t="str">
        <f>IFERROR(__xludf.DUMMYFUNCTION("IF('From Order'!$A1659=COLUMNS($A1659:E1678), LEFT(INDEX(FILTER(E$1:E1658, E$1:E1658&lt;&gt;""""),COUNTA(FILTER(E$1:E1658, E$1:E1658&lt;&gt;""""))), LEN(INDEX(FILTER(E$1:E1658, E$1:E1658&lt;&gt;""""),COUNTA(FILTER(E$1:E1658, E$1:E1658&lt;&gt;""""))))-1), IF('To Order'!$A1659=COL"&amp;"UMNS($A1659:E1678), E1658&amp;RIGHT(INDIRECT(ADDRESS(ROW(E1659)-1, 'From Order'!$A1659)), 1), E1658))"),"")</f>
        <v/>
      </c>
      <c r="F1659" s="2" t="str">
        <f>IFERROR(__xludf.DUMMYFUNCTION("IF('From Order'!$A1659=COLUMNS($A1659:F1678), LEFT(INDEX(FILTER(F$1:F1658, F$1:F1658&lt;&gt;""""),COUNTA(FILTER(F$1:F1658, F$1:F1658&lt;&gt;""""))), LEN(INDEX(FILTER(F$1:F1658, F$1:F1658&lt;&gt;""""),COUNTA(FILTER(F$1:F1658, F$1:F1658&lt;&gt;""""))))-1), IF('To Order'!$A1659=COL"&amp;"UMNS($A1659:F1678), F1658&amp;RIGHT(INDIRECT(ADDRESS(ROW(F1659)-1, 'From Order'!$A1659)), 1), F1658))"),"")</f>
        <v/>
      </c>
      <c r="G1659" s="2" t="str">
        <f>IFERROR(__xludf.DUMMYFUNCTION("IF('From Order'!$A1659=COLUMNS($A1659:G1678), LEFT(INDEX(FILTER(G$1:G1658, G$1:G1658&lt;&gt;""""),COUNTA(FILTER(G$1:G1658, G$1:G1658&lt;&gt;""""))), LEN(INDEX(FILTER(G$1:G1658, G$1:G1658&lt;&gt;""""),COUNTA(FILTER(G$1:G1658, G$1:G1658&lt;&gt;""""))))-1), IF('To Order'!$A1659=COL"&amp;"UMNS($A1659:G1678), G1658&amp;RIGHT(INDIRECT(ADDRESS(ROW(G1659)-1, 'From Order'!$A1659)), 1), G1658))"),"")</f>
        <v/>
      </c>
      <c r="H1659" s="2" t="str">
        <f>IFERROR(__xludf.DUMMYFUNCTION("IF('From Order'!$A1659=COLUMNS($A1659:H1678), LEFT(INDEX(FILTER(H$1:H1658, H$1:H1658&lt;&gt;""""),COUNTA(FILTER(H$1:H1658, H$1:H1658&lt;&gt;""""))), LEN(INDEX(FILTER(H$1:H1658, H$1:H1658&lt;&gt;""""),COUNTA(FILTER(H$1:H1658, H$1:H1658&lt;&gt;""""))))-1), IF('To Order'!$A1659=COL"&amp;"UMNS($A1659:H1678), H1658&amp;RIGHT(INDIRECT(ADDRESS(ROW(H1659)-1, 'From Order'!$A1659)), 1), H1658))"),"")</f>
        <v/>
      </c>
      <c r="I1659" s="2" t="str">
        <f>IFERROR(__xludf.DUMMYFUNCTION("IF('From Order'!$A1659=COLUMNS($A1659:I1678), LEFT(INDEX(FILTER(I$1:I1658, I$1:I1658&lt;&gt;""""),COUNTA(FILTER(I$1:I1658, I$1:I1658&lt;&gt;""""))), LEN(INDEX(FILTER(I$1:I1658, I$1:I1658&lt;&gt;""""),COUNTA(FILTER(I$1:I1658, I$1:I1658&lt;&gt;""""))))-1), IF('To Order'!$A1659=COL"&amp;"UMNS($A1659:I1678), I1658&amp;RIGHT(INDIRECT(ADDRESS(ROW(I1659)-1, 'From Order'!$A1659)), 1), I1658))"),"")</f>
        <v/>
      </c>
    </row>
    <row r="1660">
      <c r="A1660" s="2" t="str">
        <f>IFERROR(__xludf.DUMMYFUNCTION("IF('From Order'!$A1660=COLUMNS($A1660:A1679), LEFT(INDEX(FILTER(A$1:A1659, A$1:A1659&lt;&gt;""""),COUNTA(FILTER(A$1:A1659, A$1:A1659&lt;&gt;""""))), LEN(INDEX(FILTER(A$1:A1659, A$1:A1659&lt;&gt;""""),COUNTA(FILTER(A$1:A1659, A$1:A1659&lt;&gt;""""))))-1), IF('To Order'!$A1660=COL"&amp;"UMNS($A1660:A1679), A1659&amp;RIGHT(INDIRECT(ADDRESS(ROW(A1660)-1, 'From Order'!$A1660)), 1), A1659))"),"Z")</f>
        <v>Z</v>
      </c>
      <c r="B1660" s="2" t="str">
        <f>IFERROR(__xludf.DUMMYFUNCTION("IF('From Order'!$A1660=COLUMNS($A1660:B1679), LEFT(INDEX(FILTER(B$1:B1659, B$1:B1659&lt;&gt;""""),COUNTA(FILTER(B$1:B1659, B$1:B1659&lt;&gt;""""))), LEN(INDEX(FILTER(B$1:B1659, B$1:B1659&lt;&gt;""""),COUNTA(FILTER(B$1:B1659, B$1:B1659&lt;&gt;""""))))-1), IF('To Order'!$A1660=COL"&amp;"UMNS($A1660:B1679), B1659&amp;RIGHT(INDIRECT(ADDRESS(ROW(B1660)-1, 'From Order'!$A1660)), 1), B1659))"),"RBRTVCDRH")</f>
        <v>RBRTVCDRH</v>
      </c>
      <c r="C1660" s="2" t="str">
        <f>IFERROR(__xludf.DUMMYFUNCTION("IF('From Order'!$A1660=COLUMNS($A1660:C1679), LEFT(INDEX(FILTER(C$1:C1659, C$1:C1659&lt;&gt;""""),COUNTA(FILTER(C$1:C1659, C$1:C1659&lt;&gt;""""))), LEN(INDEX(FILTER(C$1:C1659, C$1:C1659&lt;&gt;""""),COUNTA(FILTER(C$1:C1659, C$1:C1659&lt;&gt;""""))))-1), IF('To Order'!$A1660=COL"&amp;"UMNS($A1660:C1679), C1659&amp;RIGHT(INDIRECT(ADDRESS(ROW(C1660)-1, 'From Order'!$A1660)), 1), C1659))"),"TQVQJPPSSTDDWLLFBPTTJGBHFSCZWMDJMBVRRSDLDTMZ")</f>
        <v>TQVQJPPSSTDDWLLFBPTTJGBHFSCZWMDJMBVRRSDLDTMZ</v>
      </c>
      <c r="D1660" s="2" t="str">
        <f>IFERROR(__xludf.DUMMYFUNCTION("IF('From Order'!$A1660=COLUMNS($A1660:D1679), LEFT(INDEX(FILTER(D$1:D1659, D$1:D1659&lt;&gt;""""),COUNTA(FILTER(D$1:D1659, D$1:D1659&lt;&gt;""""))), LEN(INDEX(FILTER(D$1:D1659, D$1:D1659&lt;&gt;""""),COUNTA(FILTER(D$1:D1659, D$1:D1659&lt;&gt;""""))))-1), IF('To Order'!$A1660=COL"&amp;"UMNS($A1660:D1679), D1659&amp;RIGHT(INDIRECT(ADDRESS(ROW(D1660)-1, 'From Order'!$A1660)), 1), D1659))"),"CG")</f>
        <v>CG</v>
      </c>
      <c r="E1660" s="2" t="str">
        <f>IFERROR(__xludf.DUMMYFUNCTION("IF('From Order'!$A1660=COLUMNS($A1660:E1679), LEFT(INDEX(FILTER(E$1:E1659, E$1:E1659&lt;&gt;""""),COUNTA(FILTER(E$1:E1659, E$1:E1659&lt;&gt;""""))), LEN(INDEX(FILTER(E$1:E1659, E$1:E1659&lt;&gt;""""),COUNTA(FILTER(E$1:E1659, E$1:E1659&lt;&gt;""""))))-1), IF('To Order'!$A1660=COL"&amp;"UMNS($A1660:E1679), E1659&amp;RIGHT(INDIRECT(ADDRESS(ROW(E1660)-1, 'From Order'!$A1660)), 1), E1659))"),"")</f>
        <v/>
      </c>
      <c r="F1660" s="2" t="str">
        <f>IFERROR(__xludf.DUMMYFUNCTION("IF('From Order'!$A1660=COLUMNS($A1660:F1679), LEFT(INDEX(FILTER(F$1:F1659, F$1:F1659&lt;&gt;""""),COUNTA(FILTER(F$1:F1659, F$1:F1659&lt;&gt;""""))), LEN(INDEX(FILTER(F$1:F1659, F$1:F1659&lt;&gt;""""),COUNTA(FILTER(F$1:F1659, F$1:F1659&lt;&gt;""""))))-1), IF('To Order'!$A1660=COL"&amp;"UMNS($A1660:F1679), F1659&amp;RIGHT(INDIRECT(ADDRESS(ROW(F1660)-1, 'From Order'!$A1660)), 1), F1659))"),"")</f>
        <v/>
      </c>
      <c r="G1660" s="2" t="str">
        <f>IFERROR(__xludf.DUMMYFUNCTION("IF('From Order'!$A1660=COLUMNS($A1660:G1679), LEFT(INDEX(FILTER(G$1:G1659, G$1:G1659&lt;&gt;""""),COUNTA(FILTER(G$1:G1659, G$1:G1659&lt;&gt;""""))), LEN(INDEX(FILTER(G$1:G1659, G$1:G1659&lt;&gt;""""),COUNTA(FILTER(G$1:G1659, G$1:G1659&lt;&gt;""""))))-1), IF('To Order'!$A1660=COL"&amp;"UMNS($A1660:G1679), G1659&amp;RIGHT(INDIRECT(ADDRESS(ROW(G1660)-1, 'From Order'!$A1660)), 1), G1659))"),"")</f>
        <v/>
      </c>
      <c r="H1660" s="2" t="str">
        <f>IFERROR(__xludf.DUMMYFUNCTION("IF('From Order'!$A1660=COLUMNS($A1660:H1679), LEFT(INDEX(FILTER(H$1:H1659, H$1:H1659&lt;&gt;""""),COUNTA(FILTER(H$1:H1659, H$1:H1659&lt;&gt;""""))), LEN(INDEX(FILTER(H$1:H1659, H$1:H1659&lt;&gt;""""),COUNTA(FILTER(H$1:H1659, H$1:H1659&lt;&gt;""""))))-1), IF('To Order'!$A1660=COL"&amp;"UMNS($A1660:H1679), H1659&amp;RIGHT(INDIRECT(ADDRESS(ROW(H1660)-1, 'From Order'!$A1660)), 1), H1659))"),"")</f>
        <v/>
      </c>
      <c r="I1660" s="2" t="str">
        <f>IFERROR(__xludf.DUMMYFUNCTION("IF('From Order'!$A1660=COLUMNS($A1660:I1679), LEFT(INDEX(FILTER(I$1:I1659, I$1:I1659&lt;&gt;""""),COUNTA(FILTER(I$1:I1659, I$1:I1659&lt;&gt;""""))), LEN(INDEX(FILTER(I$1:I1659, I$1:I1659&lt;&gt;""""),COUNTA(FILTER(I$1:I1659, I$1:I1659&lt;&gt;""""))))-1), IF('To Order'!$A1660=COL"&amp;"UMNS($A1660:I1679), I1659&amp;RIGHT(INDIRECT(ADDRESS(ROW(I1660)-1, 'From Order'!$A1660)), 1), I1659))"),"")</f>
        <v/>
      </c>
    </row>
    <row r="1661">
      <c r="A1661" s="2" t="str">
        <f>IFERROR(__xludf.DUMMYFUNCTION("IF('From Order'!$A1661=COLUMNS($A1661:A1680), LEFT(INDEX(FILTER(A$1:A1660, A$1:A1660&lt;&gt;""""),COUNTA(FILTER(A$1:A1660, A$1:A1660&lt;&gt;""""))), LEN(INDEX(FILTER(A$1:A1660, A$1:A1660&lt;&gt;""""),COUNTA(FILTER(A$1:A1660, A$1:A1660&lt;&gt;""""))))-1), IF('To Order'!$A1661=COL"&amp;"UMNS($A1661:A1680), A1660&amp;RIGHT(INDIRECT(ADDRESS(ROW(A1661)-1, 'From Order'!$A1661)), 1), A1660))"),"Z")</f>
        <v>Z</v>
      </c>
      <c r="B1661" s="2" t="str">
        <f>IFERROR(__xludf.DUMMYFUNCTION("IF('From Order'!$A1661=COLUMNS($A1661:B1680), LEFT(INDEX(FILTER(B$1:B1660, B$1:B1660&lt;&gt;""""),COUNTA(FILTER(B$1:B1660, B$1:B1660&lt;&gt;""""))), LEN(INDEX(FILTER(B$1:B1660, B$1:B1660&lt;&gt;""""),COUNTA(FILTER(B$1:B1660, B$1:B1660&lt;&gt;""""))))-1), IF('To Order'!$A1661=COL"&amp;"UMNS($A1661:B1680), B1660&amp;RIGHT(INDIRECT(ADDRESS(ROW(B1661)-1, 'From Order'!$A1661)), 1), B1660))"),"RBRTVCDR")</f>
        <v>RBRTVCDR</v>
      </c>
      <c r="C1661" s="2" t="str">
        <f>IFERROR(__xludf.DUMMYFUNCTION("IF('From Order'!$A1661=COLUMNS($A1661:C1680), LEFT(INDEX(FILTER(C$1:C1660, C$1:C1660&lt;&gt;""""),COUNTA(FILTER(C$1:C1660, C$1:C1660&lt;&gt;""""))), LEN(INDEX(FILTER(C$1:C1660, C$1:C1660&lt;&gt;""""),COUNTA(FILTER(C$1:C1660, C$1:C1660&lt;&gt;""""))))-1), IF('To Order'!$A1661=COL"&amp;"UMNS($A1661:C1680), C1660&amp;RIGHT(INDIRECT(ADDRESS(ROW(C1661)-1, 'From Order'!$A1661)), 1), C1660))"),"TQVQJPPSSTDDWLLFBPTTJGBHFSCZWMDJMBVRRSDLDTMZH")</f>
        <v>TQVQJPPSSTDDWLLFBPTTJGBHFSCZWMDJMBVRRSDLDTMZH</v>
      </c>
      <c r="D1661" s="2" t="str">
        <f>IFERROR(__xludf.DUMMYFUNCTION("IF('From Order'!$A1661=COLUMNS($A1661:D1680), LEFT(INDEX(FILTER(D$1:D1660, D$1:D1660&lt;&gt;""""),COUNTA(FILTER(D$1:D1660, D$1:D1660&lt;&gt;""""))), LEN(INDEX(FILTER(D$1:D1660, D$1:D1660&lt;&gt;""""),COUNTA(FILTER(D$1:D1660, D$1:D1660&lt;&gt;""""))))-1), IF('To Order'!$A1661=COL"&amp;"UMNS($A1661:D1680), D1660&amp;RIGHT(INDIRECT(ADDRESS(ROW(D1661)-1, 'From Order'!$A1661)), 1), D1660))"),"CG")</f>
        <v>CG</v>
      </c>
      <c r="E1661" s="2" t="str">
        <f>IFERROR(__xludf.DUMMYFUNCTION("IF('From Order'!$A1661=COLUMNS($A1661:E1680), LEFT(INDEX(FILTER(E$1:E1660, E$1:E1660&lt;&gt;""""),COUNTA(FILTER(E$1:E1660, E$1:E1660&lt;&gt;""""))), LEN(INDEX(FILTER(E$1:E1660, E$1:E1660&lt;&gt;""""),COUNTA(FILTER(E$1:E1660, E$1:E1660&lt;&gt;""""))))-1), IF('To Order'!$A1661=COL"&amp;"UMNS($A1661:E1680), E1660&amp;RIGHT(INDIRECT(ADDRESS(ROW(E1661)-1, 'From Order'!$A1661)), 1), E1660))"),"")</f>
        <v/>
      </c>
      <c r="F1661" s="2" t="str">
        <f>IFERROR(__xludf.DUMMYFUNCTION("IF('From Order'!$A1661=COLUMNS($A1661:F1680), LEFT(INDEX(FILTER(F$1:F1660, F$1:F1660&lt;&gt;""""),COUNTA(FILTER(F$1:F1660, F$1:F1660&lt;&gt;""""))), LEN(INDEX(FILTER(F$1:F1660, F$1:F1660&lt;&gt;""""),COUNTA(FILTER(F$1:F1660, F$1:F1660&lt;&gt;""""))))-1), IF('To Order'!$A1661=COL"&amp;"UMNS($A1661:F1680), F1660&amp;RIGHT(INDIRECT(ADDRESS(ROW(F1661)-1, 'From Order'!$A1661)), 1), F1660))"),"")</f>
        <v/>
      </c>
      <c r="G1661" s="2" t="str">
        <f>IFERROR(__xludf.DUMMYFUNCTION("IF('From Order'!$A1661=COLUMNS($A1661:G1680), LEFT(INDEX(FILTER(G$1:G1660, G$1:G1660&lt;&gt;""""),COUNTA(FILTER(G$1:G1660, G$1:G1660&lt;&gt;""""))), LEN(INDEX(FILTER(G$1:G1660, G$1:G1660&lt;&gt;""""),COUNTA(FILTER(G$1:G1660, G$1:G1660&lt;&gt;""""))))-1), IF('To Order'!$A1661=COL"&amp;"UMNS($A1661:G1680), G1660&amp;RIGHT(INDIRECT(ADDRESS(ROW(G1661)-1, 'From Order'!$A1661)), 1), G1660))"),"")</f>
        <v/>
      </c>
      <c r="H1661" s="2" t="str">
        <f>IFERROR(__xludf.DUMMYFUNCTION("IF('From Order'!$A1661=COLUMNS($A1661:H1680), LEFT(INDEX(FILTER(H$1:H1660, H$1:H1660&lt;&gt;""""),COUNTA(FILTER(H$1:H1660, H$1:H1660&lt;&gt;""""))), LEN(INDEX(FILTER(H$1:H1660, H$1:H1660&lt;&gt;""""),COUNTA(FILTER(H$1:H1660, H$1:H1660&lt;&gt;""""))))-1), IF('To Order'!$A1661=COL"&amp;"UMNS($A1661:H1680), H1660&amp;RIGHT(INDIRECT(ADDRESS(ROW(H1661)-1, 'From Order'!$A1661)), 1), H1660))"),"")</f>
        <v/>
      </c>
      <c r="I1661" s="2" t="str">
        <f>IFERROR(__xludf.DUMMYFUNCTION("IF('From Order'!$A1661=COLUMNS($A1661:I1680), LEFT(INDEX(FILTER(I$1:I1660, I$1:I1660&lt;&gt;""""),COUNTA(FILTER(I$1:I1660, I$1:I1660&lt;&gt;""""))), LEN(INDEX(FILTER(I$1:I1660, I$1:I1660&lt;&gt;""""),COUNTA(FILTER(I$1:I1660, I$1:I1660&lt;&gt;""""))))-1), IF('To Order'!$A1661=COL"&amp;"UMNS($A1661:I1680), I1660&amp;RIGHT(INDIRECT(ADDRESS(ROW(I1661)-1, 'From Order'!$A1661)), 1), I1660))"),"")</f>
        <v/>
      </c>
    </row>
    <row r="1662">
      <c r="A1662" s="2" t="str">
        <f>IFERROR(__xludf.DUMMYFUNCTION("IF('From Order'!$A1662=COLUMNS($A1662:A1681), LEFT(INDEX(FILTER(A$1:A1661, A$1:A1661&lt;&gt;""""),COUNTA(FILTER(A$1:A1661, A$1:A1661&lt;&gt;""""))), LEN(INDEX(FILTER(A$1:A1661, A$1:A1661&lt;&gt;""""),COUNTA(FILTER(A$1:A1661, A$1:A1661&lt;&gt;""""))))-1), IF('To Order'!$A1662=COL"&amp;"UMNS($A1662:A1681), A1661&amp;RIGHT(INDIRECT(ADDRESS(ROW(A1662)-1, 'From Order'!$A1662)), 1), A1661))"),"Z")</f>
        <v>Z</v>
      </c>
      <c r="B1662" s="2" t="str">
        <f>IFERROR(__xludf.DUMMYFUNCTION("IF('From Order'!$A1662=COLUMNS($A1662:B1681), LEFT(INDEX(FILTER(B$1:B1661, B$1:B1661&lt;&gt;""""),COUNTA(FILTER(B$1:B1661, B$1:B1661&lt;&gt;""""))), LEN(INDEX(FILTER(B$1:B1661, B$1:B1661&lt;&gt;""""),COUNTA(FILTER(B$1:B1661, B$1:B1661&lt;&gt;""""))))-1), IF('To Order'!$A1662=COL"&amp;"UMNS($A1662:B1681), B1661&amp;RIGHT(INDIRECT(ADDRESS(ROW(B1662)-1, 'From Order'!$A1662)), 1), B1661))"),"RBRTVCD")</f>
        <v>RBRTVCD</v>
      </c>
      <c r="C1662" s="2" t="str">
        <f>IFERROR(__xludf.DUMMYFUNCTION("IF('From Order'!$A1662=COLUMNS($A1662:C1681), LEFT(INDEX(FILTER(C$1:C1661, C$1:C1661&lt;&gt;""""),COUNTA(FILTER(C$1:C1661, C$1:C1661&lt;&gt;""""))), LEN(INDEX(FILTER(C$1:C1661, C$1:C1661&lt;&gt;""""),COUNTA(FILTER(C$1:C1661, C$1:C1661&lt;&gt;""""))))-1), IF('To Order'!$A1662=COL"&amp;"UMNS($A1662:C1681), C1661&amp;RIGHT(INDIRECT(ADDRESS(ROW(C1662)-1, 'From Order'!$A1662)), 1), C1661))"),"TQVQJPPSSTDDWLLFBPTTJGBHFSCZWMDJMBVRRSDLDTMZH")</f>
        <v>TQVQJPPSSTDDWLLFBPTTJGBHFSCZWMDJMBVRRSDLDTMZH</v>
      </c>
      <c r="D1662" s="2" t="str">
        <f>IFERROR(__xludf.DUMMYFUNCTION("IF('From Order'!$A1662=COLUMNS($A1662:D1681), LEFT(INDEX(FILTER(D$1:D1661, D$1:D1661&lt;&gt;""""),COUNTA(FILTER(D$1:D1661, D$1:D1661&lt;&gt;""""))), LEN(INDEX(FILTER(D$1:D1661, D$1:D1661&lt;&gt;""""),COUNTA(FILTER(D$1:D1661, D$1:D1661&lt;&gt;""""))))-1), IF('To Order'!$A1662=COL"&amp;"UMNS($A1662:D1681), D1661&amp;RIGHT(INDIRECT(ADDRESS(ROW(D1662)-1, 'From Order'!$A1662)), 1), D1661))"),"CG")</f>
        <v>CG</v>
      </c>
      <c r="E1662" s="2" t="str">
        <f>IFERROR(__xludf.DUMMYFUNCTION("IF('From Order'!$A1662=COLUMNS($A1662:E1681), LEFT(INDEX(FILTER(E$1:E1661, E$1:E1661&lt;&gt;""""),COUNTA(FILTER(E$1:E1661, E$1:E1661&lt;&gt;""""))), LEN(INDEX(FILTER(E$1:E1661, E$1:E1661&lt;&gt;""""),COUNTA(FILTER(E$1:E1661, E$1:E1661&lt;&gt;""""))))-1), IF('To Order'!$A1662=COL"&amp;"UMNS($A1662:E1681), E1661&amp;RIGHT(INDIRECT(ADDRESS(ROW(E1662)-1, 'From Order'!$A1662)), 1), E1661))"),"")</f>
        <v/>
      </c>
      <c r="F1662" s="2" t="str">
        <f>IFERROR(__xludf.DUMMYFUNCTION("IF('From Order'!$A1662=COLUMNS($A1662:F1681), LEFT(INDEX(FILTER(F$1:F1661, F$1:F1661&lt;&gt;""""),COUNTA(FILTER(F$1:F1661, F$1:F1661&lt;&gt;""""))), LEN(INDEX(FILTER(F$1:F1661, F$1:F1661&lt;&gt;""""),COUNTA(FILTER(F$1:F1661, F$1:F1661&lt;&gt;""""))))-1), IF('To Order'!$A1662=COL"&amp;"UMNS($A1662:F1681), F1661&amp;RIGHT(INDIRECT(ADDRESS(ROW(F1662)-1, 'From Order'!$A1662)), 1), F1661))"),"R")</f>
        <v>R</v>
      </c>
      <c r="G1662" s="2" t="str">
        <f>IFERROR(__xludf.DUMMYFUNCTION("IF('From Order'!$A1662=COLUMNS($A1662:G1681), LEFT(INDEX(FILTER(G$1:G1661, G$1:G1661&lt;&gt;""""),COUNTA(FILTER(G$1:G1661, G$1:G1661&lt;&gt;""""))), LEN(INDEX(FILTER(G$1:G1661, G$1:G1661&lt;&gt;""""),COUNTA(FILTER(G$1:G1661, G$1:G1661&lt;&gt;""""))))-1), IF('To Order'!$A1662=COL"&amp;"UMNS($A1662:G1681), G1661&amp;RIGHT(INDIRECT(ADDRESS(ROW(G1662)-1, 'From Order'!$A1662)), 1), G1661))"),"")</f>
        <v/>
      </c>
      <c r="H1662" s="2" t="str">
        <f>IFERROR(__xludf.DUMMYFUNCTION("IF('From Order'!$A1662=COLUMNS($A1662:H1681), LEFT(INDEX(FILTER(H$1:H1661, H$1:H1661&lt;&gt;""""),COUNTA(FILTER(H$1:H1661, H$1:H1661&lt;&gt;""""))), LEN(INDEX(FILTER(H$1:H1661, H$1:H1661&lt;&gt;""""),COUNTA(FILTER(H$1:H1661, H$1:H1661&lt;&gt;""""))))-1), IF('To Order'!$A1662=COL"&amp;"UMNS($A1662:H1681), H1661&amp;RIGHT(INDIRECT(ADDRESS(ROW(H1662)-1, 'From Order'!$A1662)), 1), H1661))"),"")</f>
        <v/>
      </c>
      <c r="I1662" s="2" t="str">
        <f>IFERROR(__xludf.DUMMYFUNCTION("IF('From Order'!$A1662=COLUMNS($A1662:I1681), LEFT(INDEX(FILTER(I$1:I1661, I$1:I1661&lt;&gt;""""),COUNTA(FILTER(I$1:I1661, I$1:I1661&lt;&gt;""""))), LEN(INDEX(FILTER(I$1:I1661, I$1:I1661&lt;&gt;""""),COUNTA(FILTER(I$1:I1661, I$1:I1661&lt;&gt;""""))))-1), IF('To Order'!$A1662=COL"&amp;"UMNS($A1662:I1681), I1661&amp;RIGHT(INDIRECT(ADDRESS(ROW(I1662)-1, 'From Order'!$A1662)), 1), I1661))"),"")</f>
        <v/>
      </c>
    </row>
    <row r="1663">
      <c r="A1663" s="2" t="str">
        <f>IFERROR(__xludf.DUMMYFUNCTION("IF('From Order'!$A1663=COLUMNS($A1663:A1682), LEFT(INDEX(FILTER(A$1:A1662, A$1:A1662&lt;&gt;""""),COUNTA(FILTER(A$1:A1662, A$1:A1662&lt;&gt;""""))), LEN(INDEX(FILTER(A$1:A1662, A$1:A1662&lt;&gt;""""),COUNTA(FILTER(A$1:A1662, A$1:A1662&lt;&gt;""""))))-1), IF('To Order'!$A1663=COL"&amp;"UMNS($A1663:A1682), A1662&amp;RIGHT(INDIRECT(ADDRESS(ROW(A1663)-1, 'From Order'!$A1663)), 1), A1662))"),"Z")</f>
        <v>Z</v>
      </c>
      <c r="B1663" s="2" t="str">
        <f>IFERROR(__xludf.DUMMYFUNCTION("IF('From Order'!$A1663=COLUMNS($A1663:B1682), LEFT(INDEX(FILTER(B$1:B1662, B$1:B1662&lt;&gt;""""),COUNTA(FILTER(B$1:B1662, B$1:B1662&lt;&gt;""""))), LEN(INDEX(FILTER(B$1:B1662, B$1:B1662&lt;&gt;""""),COUNTA(FILTER(B$1:B1662, B$1:B1662&lt;&gt;""""))))-1), IF('To Order'!$A1663=COL"&amp;"UMNS($A1663:B1682), B1662&amp;RIGHT(INDIRECT(ADDRESS(ROW(B1663)-1, 'From Order'!$A1663)), 1), B1662))"),"RBRTVC")</f>
        <v>RBRTVC</v>
      </c>
      <c r="C1663" s="2" t="str">
        <f>IFERROR(__xludf.DUMMYFUNCTION("IF('From Order'!$A1663=COLUMNS($A1663:C1682), LEFT(INDEX(FILTER(C$1:C1662, C$1:C1662&lt;&gt;""""),COUNTA(FILTER(C$1:C1662, C$1:C1662&lt;&gt;""""))), LEN(INDEX(FILTER(C$1:C1662, C$1:C1662&lt;&gt;""""),COUNTA(FILTER(C$1:C1662, C$1:C1662&lt;&gt;""""))))-1), IF('To Order'!$A1663=COL"&amp;"UMNS($A1663:C1682), C1662&amp;RIGHT(INDIRECT(ADDRESS(ROW(C1663)-1, 'From Order'!$A1663)), 1), C1662))"),"TQVQJPPSSTDDWLLFBPTTJGBHFSCZWMDJMBVRRSDLDTMZH")</f>
        <v>TQVQJPPSSTDDWLLFBPTTJGBHFSCZWMDJMBVRRSDLDTMZH</v>
      </c>
      <c r="D1663" s="2" t="str">
        <f>IFERROR(__xludf.DUMMYFUNCTION("IF('From Order'!$A1663=COLUMNS($A1663:D1682), LEFT(INDEX(FILTER(D$1:D1662, D$1:D1662&lt;&gt;""""),COUNTA(FILTER(D$1:D1662, D$1:D1662&lt;&gt;""""))), LEN(INDEX(FILTER(D$1:D1662, D$1:D1662&lt;&gt;""""),COUNTA(FILTER(D$1:D1662, D$1:D1662&lt;&gt;""""))))-1), IF('To Order'!$A1663=COL"&amp;"UMNS($A1663:D1682), D1662&amp;RIGHT(INDIRECT(ADDRESS(ROW(D1663)-1, 'From Order'!$A1663)), 1), D1662))"),"CG")</f>
        <v>CG</v>
      </c>
      <c r="E1663" s="2" t="str">
        <f>IFERROR(__xludf.DUMMYFUNCTION("IF('From Order'!$A1663=COLUMNS($A1663:E1682), LEFT(INDEX(FILTER(E$1:E1662, E$1:E1662&lt;&gt;""""),COUNTA(FILTER(E$1:E1662, E$1:E1662&lt;&gt;""""))), LEN(INDEX(FILTER(E$1:E1662, E$1:E1662&lt;&gt;""""),COUNTA(FILTER(E$1:E1662, E$1:E1662&lt;&gt;""""))))-1), IF('To Order'!$A1663=COL"&amp;"UMNS($A1663:E1682), E1662&amp;RIGHT(INDIRECT(ADDRESS(ROW(E1663)-1, 'From Order'!$A1663)), 1), E1662))"),"")</f>
        <v/>
      </c>
      <c r="F1663" s="2" t="str">
        <f>IFERROR(__xludf.DUMMYFUNCTION("IF('From Order'!$A1663=COLUMNS($A1663:F1682), LEFT(INDEX(FILTER(F$1:F1662, F$1:F1662&lt;&gt;""""),COUNTA(FILTER(F$1:F1662, F$1:F1662&lt;&gt;""""))), LEN(INDEX(FILTER(F$1:F1662, F$1:F1662&lt;&gt;""""),COUNTA(FILTER(F$1:F1662, F$1:F1662&lt;&gt;""""))))-1), IF('To Order'!$A1663=COL"&amp;"UMNS($A1663:F1682), F1662&amp;RIGHT(INDIRECT(ADDRESS(ROW(F1663)-1, 'From Order'!$A1663)), 1), F1662))"),"RD")</f>
        <v>RD</v>
      </c>
      <c r="G1663" s="2" t="str">
        <f>IFERROR(__xludf.DUMMYFUNCTION("IF('From Order'!$A1663=COLUMNS($A1663:G1682), LEFT(INDEX(FILTER(G$1:G1662, G$1:G1662&lt;&gt;""""),COUNTA(FILTER(G$1:G1662, G$1:G1662&lt;&gt;""""))), LEN(INDEX(FILTER(G$1:G1662, G$1:G1662&lt;&gt;""""),COUNTA(FILTER(G$1:G1662, G$1:G1662&lt;&gt;""""))))-1), IF('To Order'!$A1663=COL"&amp;"UMNS($A1663:G1682), G1662&amp;RIGHT(INDIRECT(ADDRESS(ROW(G1663)-1, 'From Order'!$A1663)), 1), G1662))"),"")</f>
        <v/>
      </c>
      <c r="H1663" s="2" t="str">
        <f>IFERROR(__xludf.DUMMYFUNCTION("IF('From Order'!$A1663=COLUMNS($A1663:H1682), LEFT(INDEX(FILTER(H$1:H1662, H$1:H1662&lt;&gt;""""),COUNTA(FILTER(H$1:H1662, H$1:H1662&lt;&gt;""""))), LEN(INDEX(FILTER(H$1:H1662, H$1:H1662&lt;&gt;""""),COUNTA(FILTER(H$1:H1662, H$1:H1662&lt;&gt;""""))))-1), IF('To Order'!$A1663=COL"&amp;"UMNS($A1663:H1682), H1662&amp;RIGHT(INDIRECT(ADDRESS(ROW(H1663)-1, 'From Order'!$A1663)), 1), H1662))"),"")</f>
        <v/>
      </c>
      <c r="I1663" s="2" t="str">
        <f>IFERROR(__xludf.DUMMYFUNCTION("IF('From Order'!$A1663=COLUMNS($A1663:I1682), LEFT(INDEX(FILTER(I$1:I1662, I$1:I1662&lt;&gt;""""),COUNTA(FILTER(I$1:I1662, I$1:I1662&lt;&gt;""""))), LEN(INDEX(FILTER(I$1:I1662, I$1:I1662&lt;&gt;""""),COUNTA(FILTER(I$1:I1662, I$1:I1662&lt;&gt;""""))))-1), IF('To Order'!$A1663=COL"&amp;"UMNS($A1663:I1682), I1662&amp;RIGHT(INDIRECT(ADDRESS(ROW(I1663)-1, 'From Order'!$A1663)), 1), I1662))"),"")</f>
        <v/>
      </c>
    </row>
    <row r="1664">
      <c r="A1664" s="2" t="str">
        <f>IFERROR(__xludf.DUMMYFUNCTION("IF('From Order'!$A1664=COLUMNS($A1664:A1683), LEFT(INDEX(FILTER(A$1:A1663, A$1:A1663&lt;&gt;""""),COUNTA(FILTER(A$1:A1663, A$1:A1663&lt;&gt;""""))), LEN(INDEX(FILTER(A$1:A1663, A$1:A1663&lt;&gt;""""),COUNTA(FILTER(A$1:A1663, A$1:A1663&lt;&gt;""""))))-1), IF('To Order'!$A1664=COL"&amp;"UMNS($A1664:A1683), A1663&amp;RIGHT(INDIRECT(ADDRESS(ROW(A1664)-1, 'From Order'!$A1664)), 1), A1663))"),"Z")</f>
        <v>Z</v>
      </c>
      <c r="B1664" s="2" t="str">
        <f>IFERROR(__xludf.DUMMYFUNCTION("IF('From Order'!$A1664=COLUMNS($A1664:B1683), LEFT(INDEX(FILTER(B$1:B1663, B$1:B1663&lt;&gt;""""),COUNTA(FILTER(B$1:B1663, B$1:B1663&lt;&gt;""""))), LEN(INDEX(FILTER(B$1:B1663, B$1:B1663&lt;&gt;""""),COUNTA(FILTER(B$1:B1663, B$1:B1663&lt;&gt;""""))))-1), IF('To Order'!$A1664=COL"&amp;"UMNS($A1664:B1683), B1663&amp;RIGHT(INDIRECT(ADDRESS(ROW(B1664)-1, 'From Order'!$A1664)), 1), B1663))"),"RBRTV")</f>
        <v>RBRTV</v>
      </c>
      <c r="C1664" s="2" t="str">
        <f>IFERROR(__xludf.DUMMYFUNCTION("IF('From Order'!$A1664=COLUMNS($A1664:C1683), LEFT(INDEX(FILTER(C$1:C1663, C$1:C1663&lt;&gt;""""),COUNTA(FILTER(C$1:C1663, C$1:C1663&lt;&gt;""""))), LEN(INDEX(FILTER(C$1:C1663, C$1:C1663&lt;&gt;""""),COUNTA(FILTER(C$1:C1663, C$1:C1663&lt;&gt;""""))))-1), IF('To Order'!$A1664=COL"&amp;"UMNS($A1664:C1683), C1663&amp;RIGHT(INDIRECT(ADDRESS(ROW(C1664)-1, 'From Order'!$A1664)), 1), C1663))"),"TQVQJPPSSTDDWLLFBPTTJGBHFSCZWMDJMBVRRSDLDTMZH")</f>
        <v>TQVQJPPSSTDDWLLFBPTTJGBHFSCZWMDJMBVRRSDLDTMZH</v>
      </c>
      <c r="D1664" s="2" t="str">
        <f>IFERROR(__xludf.DUMMYFUNCTION("IF('From Order'!$A1664=COLUMNS($A1664:D1683), LEFT(INDEX(FILTER(D$1:D1663, D$1:D1663&lt;&gt;""""),COUNTA(FILTER(D$1:D1663, D$1:D1663&lt;&gt;""""))), LEN(INDEX(FILTER(D$1:D1663, D$1:D1663&lt;&gt;""""),COUNTA(FILTER(D$1:D1663, D$1:D1663&lt;&gt;""""))))-1), IF('To Order'!$A1664=COL"&amp;"UMNS($A1664:D1683), D1663&amp;RIGHT(INDIRECT(ADDRESS(ROW(D1664)-1, 'From Order'!$A1664)), 1), D1663))"),"CG")</f>
        <v>CG</v>
      </c>
      <c r="E1664" s="2" t="str">
        <f>IFERROR(__xludf.DUMMYFUNCTION("IF('From Order'!$A1664=COLUMNS($A1664:E1683), LEFT(INDEX(FILTER(E$1:E1663, E$1:E1663&lt;&gt;""""),COUNTA(FILTER(E$1:E1663, E$1:E1663&lt;&gt;""""))), LEN(INDEX(FILTER(E$1:E1663, E$1:E1663&lt;&gt;""""),COUNTA(FILTER(E$1:E1663, E$1:E1663&lt;&gt;""""))))-1), IF('To Order'!$A1664=COL"&amp;"UMNS($A1664:E1683), E1663&amp;RIGHT(INDIRECT(ADDRESS(ROW(E1664)-1, 'From Order'!$A1664)), 1), E1663))"),"")</f>
        <v/>
      </c>
      <c r="F1664" s="2" t="str">
        <f>IFERROR(__xludf.DUMMYFUNCTION("IF('From Order'!$A1664=COLUMNS($A1664:F1683), LEFT(INDEX(FILTER(F$1:F1663, F$1:F1663&lt;&gt;""""),COUNTA(FILTER(F$1:F1663, F$1:F1663&lt;&gt;""""))), LEN(INDEX(FILTER(F$1:F1663, F$1:F1663&lt;&gt;""""),COUNTA(FILTER(F$1:F1663, F$1:F1663&lt;&gt;""""))))-1), IF('To Order'!$A1664=COL"&amp;"UMNS($A1664:F1683), F1663&amp;RIGHT(INDIRECT(ADDRESS(ROW(F1664)-1, 'From Order'!$A1664)), 1), F1663))"),"RDC")</f>
        <v>RDC</v>
      </c>
      <c r="G1664" s="2" t="str">
        <f>IFERROR(__xludf.DUMMYFUNCTION("IF('From Order'!$A1664=COLUMNS($A1664:G1683), LEFT(INDEX(FILTER(G$1:G1663, G$1:G1663&lt;&gt;""""),COUNTA(FILTER(G$1:G1663, G$1:G1663&lt;&gt;""""))), LEN(INDEX(FILTER(G$1:G1663, G$1:G1663&lt;&gt;""""),COUNTA(FILTER(G$1:G1663, G$1:G1663&lt;&gt;""""))))-1), IF('To Order'!$A1664=COL"&amp;"UMNS($A1664:G1683), G1663&amp;RIGHT(INDIRECT(ADDRESS(ROW(G1664)-1, 'From Order'!$A1664)), 1), G1663))"),"")</f>
        <v/>
      </c>
      <c r="H1664" s="2" t="str">
        <f>IFERROR(__xludf.DUMMYFUNCTION("IF('From Order'!$A1664=COLUMNS($A1664:H1683), LEFT(INDEX(FILTER(H$1:H1663, H$1:H1663&lt;&gt;""""),COUNTA(FILTER(H$1:H1663, H$1:H1663&lt;&gt;""""))), LEN(INDEX(FILTER(H$1:H1663, H$1:H1663&lt;&gt;""""),COUNTA(FILTER(H$1:H1663, H$1:H1663&lt;&gt;""""))))-1), IF('To Order'!$A1664=COL"&amp;"UMNS($A1664:H1683), H1663&amp;RIGHT(INDIRECT(ADDRESS(ROW(H1664)-1, 'From Order'!$A1664)), 1), H1663))"),"")</f>
        <v/>
      </c>
      <c r="I1664" s="2" t="str">
        <f>IFERROR(__xludf.DUMMYFUNCTION("IF('From Order'!$A1664=COLUMNS($A1664:I1683), LEFT(INDEX(FILTER(I$1:I1663, I$1:I1663&lt;&gt;""""),COUNTA(FILTER(I$1:I1663, I$1:I1663&lt;&gt;""""))), LEN(INDEX(FILTER(I$1:I1663, I$1:I1663&lt;&gt;""""),COUNTA(FILTER(I$1:I1663, I$1:I1663&lt;&gt;""""))))-1), IF('To Order'!$A1664=COL"&amp;"UMNS($A1664:I1683), I1663&amp;RIGHT(INDIRECT(ADDRESS(ROW(I1664)-1, 'From Order'!$A1664)), 1), I1663))"),"")</f>
        <v/>
      </c>
    </row>
    <row r="1665">
      <c r="A1665" s="2" t="str">
        <f>IFERROR(__xludf.DUMMYFUNCTION("IF('From Order'!$A1665=COLUMNS($A1665:A1684), LEFT(INDEX(FILTER(A$1:A1664, A$1:A1664&lt;&gt;""""),COUNTA(FILTER(A$1:A1664, A$1:A1664&lt;&gt;""""))), LEN(INDEX(FILTER(A$1:A1664, A$1:A1664&lt;&gt;""""),COUNTA(FILTER(A$1:A1664, A$1:A1664&lt;&gt;""""))))-1), IF('To Order'!$A1665=COL"&amp;"UMNS($A1665:A1684), A1664&amp;RIGHT(INDIRECT(ADDRESS(ROW(A1665)-1, 'From Order'!$A1665)), 1), A1664))"),"Z")</f>
        <v>Z</v>
      </c>
      <c r="B1665" s="2" t="str">
        <f>IFERROR(__xludf.DUMMYFUNCTION("IF('From Order'!$A1665=COLUMNS($A1665:B1684), LEFT(INDEX(FILTER(B$1:B1664, B$1:B1664&lt;&gt;""""),COUNTA(FILTER(B$1:B1664, B$1:B1664&lt;&gt;""""))), LEN(INDEX(FILTER(B$1:B1664, B$1:B1664&lt;&gt;""""),COUNTA(FILTER(B$1:B1664, B$1:B1664&lt;&gt;""""))))-1), IF('To Order'!$A1665=COL"&amp;"UMNS($A1665:B1684), B1664&amp;RIGHT(INDIRECT(ADDRESS(ROW(B1665)-1, 'From Order'!$A1665)), 1), B1664))"),"RBRT")</f>
        <v>RBRT</v>
      </c>
      <c r="C1665" s="2" t="str">
        <f>IFERROR(__xludf.DUMMYFUNCTION("IF('From Order'!$A1665=COLUMNS($A1665:C1684), LEFT(INDEX(FILTER(C$1:C1664, C$1:C1664&lt;&gt;""""),COUNTA(FILTER(C$1:C1664, C$1:C1664&lt;&gt;""""))), LEN(INDEX(FILTER(C$1:C1664, C$1:C1664&lt;&gt;""""),COUNTA(FILTER(C$1:C1664, C$1:C1664&lt;&gt;""""))))-1), IF('To Order'!$A1665=COL"&amp;"UMNS($A1665:C1684), C1664&amp;RIGHT(INDIRECT(ADDRESS(ROW(C1665)-1, 'From Order'!$A1665)), 1), C1664))"),"TQVQJPPSSTDDWLLFBPTTJGBHFSCZWMDJMBVRRSDLDTMZH")</f>
        <v>TQVQJPPSSTDDWLLFBPTTJGBHFSCZWMDJMBVRRSDLDTMZH</v>
      </c>
      <c r="D1665" s="2" t="str">
        <f>IFERROR(__xludf.DUMMYFUNCTION("IF('From Order'!$A1665=COLUMNS($A1665:D1684), LEFT(INDEX(FILTER(D$1:D1664, D$1:D1664&lt;&gt;""""),COUNTA(FILTER(D$1:D1664, D$1:D1664&lt;&gt;""""))), LEN(INDEX(FILTER(D$1:D1664, D$1:D1664&lt;&gt;""""),COUNTA(FILTER(D$1:D1664, D$1:D1664&lt;&gt;""""))))-1), IF('To Order'!$A1665=COL"&amp;"UMNS($A1665:D1684), D1664&amp;RIGHT(INDIRECT(ADDRESS(ROW(D1665)-1, 'From Order'!$A1665)), 1), D1664))"),"CG")</f>
        <v>CG</v>
      </c>
      <c r="E1665" s="2" t="str">
        <f>IFERROR(__xludf.DUMMYFUNCTION("IF('From Order'!$A1665=COLUMNS($A1665:E1684), LEFT(INDEX(FILTER(E$1:E1664, E$1:E1664&lt;&gt;""""),COUNTA(FILTER(E$1:E1664, E$1:E1664&lt;&gt;""""))), LEN(INDEX(FILTER(E$1:E1664, E$1:E1664&lt;&gt;""""),COUNTA(FILTER(E$1:E1664, E$1:E1664&lt;&gt;""""))))-1), IF('To Order'!$A1665=COL"&amp;"UMNS($A1665:E1684), E1664&amp;RIGHT(INDIRECT(ADDRESS(ROW(E1665)-1, 'From Order'!$A1665)), 1), E1664))"),"")</f>
        <v/>
      </c>
      <c r="F1665" s="2" t="str">
        <f>IFERROR(__xludf.DUMMYFUNCTION("IF('From Order'!$A1665=COLUMNS($A1665:F1684), LEFT(INDEX(FILTER(F$1:F1664, F$1:F1664&lt;&gt;""""),COUNTA(FILTER(F$1:F1664, F$1:F1664&lt;&gt;""""))), LEN(INDEX(FILTER(F$1:F1664, F$1:F1664&lt;&gt;""""),COUNTA(FILTER(F$1:F1664, F$1:F1664&lt;&gt;""""))))-1), IF('To Order'!$A1665=COL"&amp;"UMNS($A1665:F1684), F1664&amp;RIGHT(INDIRECT(ADDRESS(ROW(F1665)-1, 'From Order'!$A1665)), 1), F1664))"),"RDCV")</f>
        <v>RDCV</v>
      </c>
      <c r="G1665" s="2" t="str">
        <f>IFERROR(__xludf.DUMMYFUNCTION("IF('From Order'!$A1665=COLUMNS($A1665:G1684), LEFT(INDEX(FILTER(G$1:G1664, G$1:G1664&lt;&gt;""""),COUNTA(FILTER(G$1:G1664, G$1:G1664&lt;&gt;""""))), LEN(INDEX(FILTER(G$1:G1664, G$1:G1664&lt;&gt;""""),COUNTA(FILTER(G$1:G1664, G$1:G1664&lt;&gt;""""))))-1), IF('To Order'!$A1665=COL"&amp;"UMNS($A1665:G1684), G1664&amp;RIGHT(INDIRECT(ADDRESS(ROW(G1665)-1, 'From Order'!$A1665)), 1), G1664))"),"")</f>
        <v/>
      </c>
      <c r="H1665" s="2" t="str">
        <f>IFERROR(__xludf.DUMMYFUNCTION("IF('From Order'!$A1665=COLUMNS($A1665:H1684), LEFT(INDEX(FILTER(H$1:H1664, H$1:H1664&lt;&gt;""""),COUNTA(FILTER(H$1:H1664, H$1:H1664&lt;&gt;""""))), LEN(INDEX(FILTER(H$1:H1664, H$1:H1664&lt;&gt;""""),COUNTA(FILTER(H$1:H1664, H$1:H1664&lt;&gt;""""))))-1), IF('To Order'!$A1665=COL"&amp;"UMNS($A1665:H1684), H1664&amp;RIGHT(INDIRECT(ADDRESS(ROW(H1665)-1, 'From Order'!$A1665)), 1), H1664))"),"")</f>
        <v/>
      </c>
      <c r="I1665" s="2" t="str">
        <f>IFERROR(__xludf.DUMMYFUNCTION("IF('From Order'!$A1665=COLUMNS($A1665:I1684), LEFT(INDEX(FILTER(I$1:I1664, I$1:I1664&lt;&gt;""""),COUNTA(FILTER(I$1:I1664, I$1:I1664&lt;&gt;""""))), LEN(INDEX(FILTER(I$1:I1664, I$1:I1664&lt;&gt;""""),COUNTA(FILTER(I$1:I1664, I$1:I1664&lt;&gt;""""))))-1), IF('To Order'!$A1665=COL"&amp;"UMNS($A1665:I1684), I1664&amp;RIGHT(INDIRECT(ADDRESS(ROW(I1665)-1, 'From Order'!$A1665)), 1), I1664))"),"")</f>
        <v/>
      </c>
    </row>
    <row r="1666">
      <c r="A1666" s="2" t="str">
        <f>IFERROR(__xludf.DUMMYFUNCTION("IF('From Order'!$A1666=COLUMNS($A1666:A1685), LEFT(INDEX(FILTER(A$1:A1665, A$1:A1665&lt;&gt;""""),COUNTA(FILTER(A$1:A1665, A$1:A1665&lt;&gt;""""))), LEN(INDEX(FILTER(A$1:A1665, A$1:A1665&lt;&gt;""""),COUNTA(FILTER(A$1:A1665, A$1:A1665&lt;&gt;""""))))-1), IF('To Order'!$A1666=COL"&amp;"UMNS($A1666:A1685), A1665&amp;RIGHT(INDIRECT(ADDRESS(ROW(A1666)-1, 'From Order'!$A1666)), 1), A1665))"),"Z")</f>
        <v>Z</v>
      </c>
      <c r="B1666" s="2" t="str">
        <f>IFERROR(__xludf.DUMMYFUNCTION("IF('From Order'!$A1666=COLUMNS($A1666:B1685), LEFT(INDEX(FILTER(B$1:B1665, B$1:B1665&lt;&gt;""""),COUNTA(FILTER(B$1:B1665, B$1:B1665&lt;&gt;""""))), LEN(INDEX(FILTER(B$1:B1665, B$1:B1665&lt;&gt;""""),COUNTA(FILTER(B$1:B1665, B$1:B1665&lt;&gt;""""))))-1), IF('To Order'!$A1666=COL"&amp;"UMNS($A1666:B1685), B1665&amp;RIGHT(INDIRECT(ADDRESS(ROW(B1666)-1, 'From Order'!$A1666)), 1), B1665))"),"RBR")</f>
        <v>RBR</v>
      </c>
      <c r="C1666" s="2" t="str">
        <f>IFERROR(__xludf.DUMMYFUNCTION("IF('From Order'!$A1666=COLUMNS($A1666:C1685), LEFT(INDEX(FILTER(C$1:C1665, C$1:C1665&lt;&gt;""""),COUNTA(FILTER(C$1:C1665, C$1:C1665&lt;&gt;""""))), LEN(INDEX(FILTER(C$1:C1665, C$1:C1665&lt;&gt;""""),COUNTA(FILTER(C$1:C1665, C$1:C1665&lt;&gt;""""))))-1), IF('To Order'!$A1666=COL"&amp;"UMNS($A1666:C1685), C1665&amp;RIGHT(INDIRECT(ADDRESS(ROW(C1666)-1, 'From Order'!$A1666)), 1), C1665))"),"TQVQJPPSSTDDWLLFBPTTJGBHFSCZWMDJMBVRRSDLDTMZH")</f>
        <v>TQVQJPPSSTDDWLLFBPTTJGBHFSCZWMDJMBVRRSDLDTMZH</v>
      </c>
      <c r="D1666" s="2" t="str">
        <f>IFERROR(__xludf.DUMMYFUNCTION("IF('From Order'!$A1666=COLUMNS($A1666:D1685), LEFT(INDEX(FILTER(D$1:D1665, D$1:D1665&lt;&gt;""""),COUNTA(FILTER(D$1:D1665, D$1:D1665&lt;&gt;""""))), LEN(INDEX(FILTER(D$1:D1665, D$1:D1665&lt;&gt;""""),COUNTA(FILTER(D$1:D1665, D$1:D1665&lt;&gt;""""))))-1), IF('To Order'!$A1666=COL"&amp;"UMNS($A1666:D1685), D1665&amp;RIGHT(INDIRECT(ADDRESS(ROW(D1666)-1, 'From Order'!$A1666)), 1), D1665))"),"CG")</f>
        <v>CG</v>
      </c>
      <c r="E1666" s="2" t="str">
        <f>IFERROR(__xludf.DUMMYFUNCTION("IF('From Order'!$A1666=COLUMNS($A1666:E1685), LEFT(INDEX(FILTER(E$1:E1665, E$1:E1665&lt;&gt;""""),COUNTA(FILTER(E$1:E1665, E$1:E1665&lt;&gt;""""))), LEN(INDEX(FILTER(E$1:E1665, E$1:E1665&lt;&gt;""""),COUNTA(FILTER(E$1:E1665, E$1:E1665&lt;&gt;""""))))-1), IF('To Order'!$A1666=COL"&amp;"UMNS($A1666:E1685), E1665&amp;RIGHT(INDIRECT(ADDRESS(ROW(E1666)-1, 'From Order'!$A1666)), 1), E1665))"),"")</f>
        <v/>
      </c>
      <c r="F1666" s="2" t="str">
        <f>IFERROR(__xludf.DUMMYFUNCTION("IF('From Order'!$A1666=COLUMNS($A1666:F1685), LEFT(INDEX(FILTER(F$1:F1665, F$1:F1665&lt;&gt;""""),COUNTA(FILTER(F$1:F1665, F$1:F1665&lt;&gt;""""))), LEN(INDEX(FILTER(F$1:F1665, F$1:F1665&lt;&gt;""""),COUNTA(FILTER(F$1:F1665, F$1:F1665&lt;&gt;""""))))-1), IF('To Order'!$A1666=COL"&amp;"UMNS($A1666:F1685), F1665&amp;RIGHT(INDIRECT(ADDRESS(ROW(F1666)-1, 'From Order'!$A1666)), 1), F1665))"),"RDCVT")</f>
        <v>RDCVT</v>
      </c>
      <c r="G1666" s="2" t="str">
        <f>IFERROR(__xludf.DUMMYFUNCTION("IF('From Order'!$A1666=COLUMNS($A1666:G1685), LEFT(INDEX(FILTER(G$1:G1665, G$1:G1665&lt;&gt;""""),COUNTA(FILTER(G$1:G1665, G$1:G1665&lt;&gt;""""))), LEN(INDEX(FILTER(G$1:G1665, G$1:G1665&lt;&gt;""""),COUNTA(FILTER(G$1:G1665, G$1:G1665&lt;&gt;""""))))-1), IF('To Order'!$A1666=COL"&amp;"UMNS($A1666:G1685), G1665&amp;RIGHT(INDIRECT(ADDRESS(ROW(G1666)-1, 'From Order'!$A1666)), 1), G1665))"),"")</f>
        <v/>
      </c>
      <c r="H1666" s="2" t="str">
        <f>IFERROR(__xludf.DUMMYFUNCTION("IF('From Order'!$A1666=COLUMNS($A1666:H1685), LEFT(INDEX(FILTER(H$1:H1665, H$1:H1665&lt;&gt;""""),COUNTA(FILTER(H$1:H1665, H$1:H1665&lt;&gt;""""))), LEN(INDEX(FILTER(H$1:H1665, H$1:H1665&lt;&gt;""""),COUNTA(FILTER(H$1:H1665, H$1:H1665&lt;&gt;""""))))-1), IF('To Order'!$A1666=COL"&amp;"UMNS($A1666:H1685), H1665&amp;RIGHT(INDIRECT(ADDRESS(ROW(H1666)-1, 'From Order'!$A1666)), 1), H1665))"),"")</f>
        <v/>
      </c>
      <c r="I1666" s="2" t="str">
        <f>IFERROR(__xludf.DUMMYFUNCTION("IF('From Order'!$A1666=COLUMNS($A1666:I1685), LEFT(INDEX(FILTER(I$1:I1665, I$1:I1665&lt;&gt;""""),COUNTA(FILTER(I$1:I1665, I$1:I1665&lt;&gt;""""))), LEN(INDEX(FILTER(I$1:I1665, I$1:I1665&lt;&gt;""""),COUNTA(FILTER(I$1:I1665, I$1:I1665&lt;&gt;""""))))-1), IF('To Order'!$A1666=COL"&amp;"UMNS($A1666:I1685), I1665&amp;RIGHT(INDIRECT(ADDRESS(ROW(I1666)-1, 'From Order'!$A1666)), 1), I1665))"),"")</f>
        <v/>
      </c>
    </row>
    <row r="1667">
      <c r="A1667" s="2" t="str">
        <f>IFERROR(__xludf.DUMMYFUNCTION("IF('From Order'!$A1667=COLUMNS($A1667:A1686), LEFT(INDEX(FILTER(A$1:A1666, A$1:A1666&lt;&gt;""""),COUNTA(FILTER(A$1:A1666, A$1:A1666&lt;&gt;""""))), LEN(INDEX(FILTER(A$1:A1666, A$1:A1666&lt;&gt;""""),COUNTA(FILTER(A$1:A1666, A$1:A1666&lt;&gt;""""))))-1), IF('To Order'!$A1667=COL"&amp;"UMNS($A1667:A1686), A1666&amp;RIGHT(INDIRECT(ADDRESS(ROW(A1667)-1, 'From Order'!$A1667)), 1), A1666))"),"Z")</f>
        <v>Z</v>
      </c>
      <c r="B1667" s="2" t="str">
        <f>IFERROR(__xludf.DUMMYFUNCTION("IF('From Order'!$A1667=COLUMNS($A1667:B1686), LEFT(INDEX(FILTER(B$1:B1666, B$1:B1666&lt;&gt;""""),COUNTA(FILTER(B$1:B1666, B$1:B1666&lt;&gt;""""))), LEN(INDEX(FILTER(B$1:B1666, B$1:B1666&lt;&gt;""""),COUNTA(FILTER(B$1:B1666, B$1:B1666&lt;&gt;""""))))-1), IF('To Order'!$A1667=COL"&amp;"UMNS($A1667:B1686), B1666&amp;RIGHT(INDIRECT(ADDRESS(ROW(B1667)-1, 'From Order'!$A1667)), 1), B1666))"),"RB")</f>
        <v>RB</v>
      </c>
      <c r="C1667" s="2" t="str">
        <f>IFERROR(__xludf.DUMMYFUNCTION("IF('From Order'!$A1667=COLUMNS($A1667:C1686), LEFT(INDEX(FILTER(C$1:C1666, C$1:C1666&lt;&gt;""""),COUNTA(FILTER(C$1:C1666, C$1:C1666&lt;&gt;""""))), LEN(INDEX(FILTER(C$1:C1666, C$1:C1666&lt;&gt;""""),COUNTA(FILTER(C$1:C1666, C$1:C1666&lt;&gt;""""))))-1), IF('To Order'!$A1667=COL"&amp;"UMNS($A1667:C1686), C1666&amp;RIGHT(INDIRECT(ADDRESS(ROW(C1667)-1, 'From Order'!$A1667)), 1), C1666))"),"TQVQJPPSSTDDWLLFBPTTJGBHFSCZWMDJMBVRRSDLDTMZH")</f>
        <v>TQVQJPPSSTDDWLLFBPTTJGBHFSCZWMDJMBVRRSDLDTMZH</v>
      </c>
      <c r="D1667" s="2" t="str">
        <f>IFERROR(__xludf.DUMMYFUNCTION("IF('From Order'!$A1667=COLUMNS($A1667:D1686), LEFT(INDEX(FILTER(D$1:D1666, D$1:D1666&lt;&gt;""""),COUNTA(FILTER(D$1:D1666, D$1:D1666&lt;&gt;""""))), LEN(INDEX(FILTER(D$1:D1666, D$1:D1666&lt;&gt;""""),COUNTA(FILTER(D$1:D1666, D$1:D1666&lt;&gt;""""))))-1), IF('To Order'!$A1667=COL"&amp;"UMNS($A1667:D1686), D1666&amp;RIGHT(INDIRECT(ADDRESS(ROW(D1667)-1, 'From Order'!$A1667)), 1), D1666))"),"CG")</f>
        <v>CG</v>
      </c>
      <c r="E1667" s="2" t="str">
        <f>IFERROR(__xludf.DUMMYFUNCTION("IF('From Order'!$A1667=COLUMNS($A1667:E1686), LEFT(INDEX(FILTER(E$1:E1666, E$1:E1666&lt;&gt;""""),COUNTA(FILTER(E$1:E1666, E$1:E1666&lt;&gt;""""))), LEN(INDEX(FILTER(E$1:E1666, E$1:E1666&lt;&gt;""""),COUNTA(FILTER(E$1:E1666, E$1:E1666&lt;&gt;""""))))-1), IF('To Order'!$A1667=COL"&amp;"UMNS($A1667:E1686), E1666&amp;RIGHT(INDIRECT(ADDRESS(ROW(E1667)-1, 'From Order'!$A1667)), 1), E1666))"),"")</f>
        <v/>
      </c>
      <c r="F1667" s="2" t="str">
        <f>IFERROR(__xludf.DUMMYFUNCTION("IF('From Order'!$A1667=COLUMNS($A1667:F1686), LEFT(INDEX(FILTER(F$1:F1666, F$1:F1666&lt;&gt;""""),COUNTA(FILTER(F$1:F1666, F$1:F1666&lt;&gt;""""))), LEN(INDEX(FILTER(F$1:F1666, F$1:F1666&lt;&gt;""""),COUNTA(FILTER(F$1:F1666, F$1:F1666&lt;&gt;""""))))-1), IF('To Order'!$A1667=COL"&amp;"UMNS($A1667:F1686), F1666&amp;RIGHT(INDIRECT(ADDRESS(ROW(F1667)-1, 'From Order'!$A1667)), 1), F1666))"),"RDCVTR")</f>
        <v>RDCVTR</v>
      </c>
      <c r="G1667" s="2" t="str">
        <f>IFERROR(__xludf.DUMMYFUNCTION("IF('From Order'!$A1667=COLUMNS($A1667:G1686), LEFT(INDEX(FILTER(G$1:G1666, G$1:G1666&lt;&gt;""""),COUNTA(FILTER(G$1:G1666, G$1:G1666&lt;&gt;""""))), LEN(INDEX(FILTER(G$1:G1666, G$1:G1666&lt;&gt;""""),COUNTA(FILTER(G$1:G1666, G$1:G1666&lt;&gt;""""))))-1), IF('To Order'!$A1667=COL"&amp;"UMNS($A1667:G1686), G1666&amp;RIGHT(INDIRECT(ADDRESS(ROW(G1667)-1, 'From Order'!$A1667)), 1), G1666))"),"")</f>
        <v/>
      </c>
      <c r="H1667" s="2" t="str">
        <f>IFERROR(__xludf.DUMMYFUNCTION("IF('From Order'!$A1667=COLUMNS($A1667:H1686), LEFT(INDEX(FILTER(H$1:H1666, H$1:H1666&lt;&gt;""""),COUNTA(FILTER(H$1:H1666, H$1:H1666&lt;&gt;""""))), LEN(INDEX(FILTER(H$1:H1666, H$1:H1666&lt;&gt;""""),COUNTA(FILTER(H$1:H1666, H$1:H1666&lt;&gt;""""))))-1), IF('To Order'!$A1667=COL"&amp;"UMNS($A1667:H1686), H1666&amp;RIGHT(INDIRECT(ADDRESS(ROW(H1667)-1, 'From Order'!$A1667)), 1), H1666))"),"")</f>
        <v/>
      </c>
      <c r="I1667" s="2" t="str">
        <f>IFERROR(__xludf.DUMMYFUNCTION("IF('From Order'!$A1667=COLUMNS($A1667:I1686), LEFT(INDEX(FILTER(I$1:I1666, I$1:I1666&lt;&gt;""""),COUNTA(FILTER(I$1:I1666, I$1:I1666&lt;&gt;""""))), LEN(INDEX(FILTER(I$1:I1666, I$1:I1666&lt;&gt;""""),COUNTA(FILTER(I$1:I1666, I$1:I1666&lt;&gt;""""))))-1), IF('To Order'!$A1667=COL"&amp;"UMNS($A1667:I1686), I1666&amp;RIGHT(INDIRECT(ADDRESS(ROW(I1667)-1, 'From Order'!$A1667)), 1), I1666))"),"")</f>
        <v/>
      </c>
    </row>
    <row r="1668">
      <c r="A1668" s="2" t="str">
        <f>IFERROR(__xludf.DUMMYFUNCTION("IF('From Order'!$A1668=COLUMNS($A1668:A1687), LEFT(INDEX(FILTER(A$1:A1667, A$1:A1667&lt;&gt;""""),COUNTA(FILTER(A$1:A1667, A$1:A1667&lt;&gt;""""))), LEN(INDEX(FILTER(A$1:A1667, A$1:A1667&lt;&gt;""""),COUNTA(FILTER(A$1:A1667, A$1:A1667&lt;&gt;""""))))-1), IF('To Order'!$A1668=COL"&amp;"UMNS($A1668:A1687), A1667&amp;RIGHT(INDIRECT(ADDRESS(ROW(A1668)-1, 'From Order'!$A1668)), 1), A1667))"),"Z")</f>
        <v>Z</v>
      </c>
      <c r="B1668" s="2" t="str">
        <f>IFERROR(__xludf.DUMMYFUNCTION("IF('From Order'!$A1668=COLUMNS($A1668:B1687), LEFT(INDEX(FILTER(B$1:B1667, B$1:B1667&lt;&gt;""""),COUNTA(FILTER(B$1:B1667, B$1:B1667&lt;&gt;""""))), LEN(INDEX(FILTER(B$1:B1667, B$1:B1667&lt;&gt;""""),COUNTA(FILTER(B$1:B1667, B$1:B1667&lt;&gt;""""))))-1), IF('To Order'!$A1668=COL"&amp;"UMNS($A1668:B1687), B1667&amp;RIGHT(INDIRECT(ADDRESS(ROW(B1668)-1, 'From Order'!$A1668)), 1), B1667))"),"R")</f>
        <v>R</v>
      </c>
      <c r="C1668" s="2" t="str">
        <f>IFERROR(__xludf.DUMMYFUNCTION("IF('From Order'!$A1668=COLUMNS($A1668:C1687), LEFT(INDEX(FILTER(C$1:C1667, C$1:C1667&lt;&gt;""""),COUNTA(FILTER(C$1:C1667, C$1:C1667&lt;&gt;""""))), LEN(INDEX(FILTER(C$1:C1667, C$1:C1667&lt;&gt;""""),COUNTA(FILTER(C$1:C1667, C$1:C1667&lt;&gt;""""))))-1), IF('To Order'!$A1668=COL"&amp;"UMNS($A1668:C1687), C1667&amp;RIGHT(INDIRECT(ADDRESS(ROW(C1668)-1, 'From Order'!$A1668)), 1), C1667))"),"TQVQJPPSSTDDWLLFBPTTJGBHFSCZWMDJMBVRRSDLDTMZH")</f>
        <v>TQVQJPPSSTDDWLLFBPTTJGBHFSCZWMDJMBVRRSDLDTMZH</v>
      </c>
      <c r="D1668" s="2" t="str">
        <f>IFERROR(__xludf.DUMMYFUNCTION("IF('From Order'!$A1668=COLUMNS($A1668:D1687), LEFT(INDEX(FILTER(D$1:D1667, D$1:D1667&lt;&gt;""""),COUNTA(FILTER(D$1:D1667, D$1:D1667&lt;&gt;""""))), LEN(INDEX(FILTER(D$1:D1667, D$1:D1667&lt;&gt;""""),COUNTA(FILTER(D$1:D1667, D$1:D1667&lt;&gt;""""))))-1), IF('To Order'!$A1668=COL"&amp;"UMNS($A1668:D1687), D1667&amp;RIGHT(INDIRECT(ADDRESS(ROW(D1668)-1, 'From Order'!$A1668)), 1), D1667))"),"CG")</f>
        <v>CG</v>
      </c>
      <c r="E1668" s="2" t="str">
        <f>IFERROR(__xludf.DUMMYFUNCTION("IF('From Order'!$A1668=COLUMNS($A1668:E1687), LEFT(INDEX(FILTER(E$1:E1667, E$1:E1667&lt;&gt;""""),COUNTA(FILTER(E$1:E1667, E$1:E1667&lt;&gt;""""))), LEN(INDEX(FILTER(E$1:E1667, E$1:E1667&lt;&gt;""""),COUNTA(FILTER(E$1:E1667, E$1:E1667&lt;&gt;""""))))-1), IF('To Order'!$A1668=COL"&amp;"UMNS($A1668:E1687), E1667&amp;RIGHT(INDIRECT(ADDRESS(ROW(E1668)-1, 'From Order'!$A1668)), 1), E1667))"),"")</f>
        <v/>
      </c>
      <c r="F1668" s="2" t="str">
        <f>IFERROR(__xludf.DUMMYFUNCTION("IF('From Order'!$A1668=COLUMNS($A1668:F1687), LEFT(INDEX(FILTER(F$1:F1667, F$1:F1667&lt;&gt;""""),COUNTA(FILTER(F$1:F1667, F$1:F1667&lt;&gt;""""))), LEN(INDEX(FILTER(F$1:F1667, F$1:F1667&lt;&gt;""""),COUNTA(FILTER(F$1:F1667, F$1:F1667&lt;&gt;""""))))-1), IF('To Order'!$A1668=COL"&amp;"UMNS($A1668:F1687), F1667&amp;RIGHT(INDIRECT(ADDRESS(ROW(F1668)-1, 'From Order'!$A1668)), 1), F1667))"),"RDCVTRB")</f>
        <v>RDCVTRB</v>
      </c>
      <c r="G1668" s="2" t="str">
        <f>IFERROR(__xludf.DUMMYFUNCTION("IF('From Order'!$A1668=COLUMNS($A1668:G1687), LEFT(INDEX(FILTER(G$1:G1667, G$1:G1667&lt;&gt;""""),COUNTA(FILTER(G$1:G1667, G$1:G1667&lt;&gt;""""))), LEN(INDEX(FILTER(G$1:G1667, G$1:G1667&lt;&gt;""""),COUNTA(FILTER(G$1:G1667, G$1:G1667&lt;&gt;""""))))-1), IF('To Order'!$A1668=COL"&amp;"UMNS($A1668:G1687), G1667&amp;RIGHT(INDIRECT(ADDRESS(ROW(G1668)-1, 'From Order'!$A1668)), 1), G1667))"),"")</f>
        <v/>
      </c>
      <c r="H1668" s="2" t="str">
        <f>IFERROR(__xludf.DUMMYFUNCTION("IF('From Order'!$A1668=COLUMNS($A1668:H1687), LEFT(INDEX(FILTER(H$1:H1667, H$1:H1667&lt;&gt;""""),COUNTA(FILTER(H$1:H1667, H$1:H1667&lt;&gt;""""))), LEN(INDEX(FILTER(H$1:H1667, H$1:H1667&lt;&gt;""""),COUNTA(FILTER(H$1:H1667, H$1:H1667&lt;&gt;""""))))-1), IF('To Order'!$A1668=COL"&amp;"UMNS($A1668:H1687), H1667&amp;RIGHT(INDIRECT(ADDRESS(ROW(H1668)-1, 'From Order'!$A1668)), 1), H1667))"),"")</f>
        <v/>
      </c>
      <c r="I1668" s="2" t="str">
        <f>IFERROR(__xludf.DUMMYFUNCTION("IF('From Order'!$A1668=COLUMNS($A1668:I1687), LEFT(INDEX(FILTER(I$1:I1667, I$1:I1667&lt;&gt;""""),COUNTA(FILTER(I$1:I1667, I$1:I1667&lt;&gt;""""))), LEN(INDEX(FILTER(I$1:I1667, I$1:I1667&lt;&gt;""""),COUNTA(FILTER(I$1:I1667, I$1:I1667&lt;&gt;""""))))-1), IF('To Order'!$A1668=COL"&amp;"UMNS($A1668:I1687), I1667&amp;RIGHT(INDIRECT(ADDRESS(ROW(I1668)-1, 'From Order'!$A1668)), 1), I1667))"),"")</f>
        <v/>
      </c>
    </row>
    <row r="1669">
      <c r="A1669" s="2" t="str">
        <f>IFERROR(__xludf.DUMMYFUNCTION("IF('From Order'!$A1669=COLUMNS($A1669:A1688), LEFT(INDEX(FILTER(A$1:A1668, A$1:A1668&lt;&gt;""""),COUNTA(FILTER(A$1:A1668, A$1:A1668&lt;&gt;""""))), LEN(INDEX(FILTER(A$1:A1668, A$1:A1668&lt;&gt;""""),COUNTA(FILTER(A$1:A1668, A$1:A1668&lt;&gt;""""))))-1), IF('To Order'!$A1669=COL"&amp;"UMNS($A1669:A1688), A1668&amp;RIGHT(INDIRECT(ADDRESS(ROW(A1669)-1, 'From Order'!$A1669)), 1), A1668))"),"Z")</f>
        <v>Z</v>
      </c>
      <c r="B1669" s="2" t="str">
        <f>IFERROR(__xludf.DUMMYFUNCTION("IF('From Order'!$A1669=COLUMNS($A1669:B1688), LEFT(INDEX(FILTER(B$1:B1668, B$1:B1668&lt;&gt;""""),COUNTA(FILTER(B$1:B1668, B$1:B1668&lt;&gt;""""))), LEN(INDEX(FILTER(B$1:B1668, B$1:B1668&lt;&gt;""""),COUNTA(FILTER(B$1:B1668, B$1:B1668&lt;&gt;""""))))-1), IF('To Order'!$A1669=COL"&amp;"UMNS($A1669:B1688), B1668&amp;RIGHT(INDIRECT(ADDRESS(ROW(B1669)-1, 'From Order'!$A1669)), 1), B1668))"),"")</f>
        <v/>
      </c>
      <c r="C1669" s="2" t="str">
        <f>IFERROR(__xludf.DUMMYFUNCTION("IF('From Order'!$A1669=COLUMNS($A1669:C1688), LEFT(INDEX(FILTER(C$1:C1668, C$1:C1668&lt;&gt;""""),COUNTA(FILTER(C$1:C1668, C$1:C1668&lt;&gt;""""))), LEN(INDEX(FILTER(C$1:C1668, C$1:C1668&lt;&gt;""""),COUNTA(FILTER(C$1:C1668, C$1:C1668&lt;&gt;""""))))-1), IF('To Order'!$A1669=COL"&amp;"UMNS($A1669:C1688), C1668&amp;RIGHT(INDIRECT(ADDRESS(ROW(C1669)-1, 'From Order'!$A1669)), 1), C1668))"),"TQVQJPPSSTDDWLLFBPTTJGBHFSCZWMDJMBVRRSDLDTMZH")</f>
        <v>TQVQJPPSSTDDWLLFBPTTJGBHFSCZWMDJMBVRRSDLDTMZH</v>
      </c>
      <c r="D1669" s="2" t="str">
        <f>IFERROR(__xludf.DUMMYFUNCTION("IF('From Order'!$A1669=COLUMNS($A1669:D1688), LEFT(INDEX(FILTER(D$1:D1668, D$1:D1668&lt;&gt;""""),COUNTA(FILTER(D$1:D1668, D$1:D1668&lt;&gt;""""))), LEN(INDEX(FILTER(D$1:D1668, D$1:D1668&lt;&gt;""""),COUNTA(FILTER(D$1:D1668, D$1:D1668&lt;&gt;""""))))-1), IF('To Order'!$A1669=COL"&amp;"UMNS($A1669:D1688), D1668&amp;RIGHT(INDIRECT(ADDRESS(ROW(D1669)-1, 'From Order'!$A1669)), 1), D1668))"),"CG")</f>
        <v>CG</v>
      </c>
      <c r="E1669" s="2" t="str">
        <f>IFERROR(__xludf.DUMMYFUNCTION("IF('From Order'!$A1669=COLUMNS($A1669:E1688), LEFT(INDEX(FILTER(E$1:E1668, E$1:E1668&lt;&gt;""""),COUNTA(FILTER(E$1:E1668, E$1:E1668&lt;&gt;""""))), LEN(INDEX(FILTER(E$1:E1668, E$1:E1668&lt;&gt;""""),COUNTA(FILTER(E$1:E1668, E$1:E1668&lt;&gt;""""))))-1), IF('To Order'!$A1669=COL"&amp;"UMNS($A1669:E1688), E1668&amp;RIGHT(INDIRECT(ADDRESS(ROW(E1669)-1, 'From Order'!$A1669)), 1), E1668))"),"")</f>
        <v/>
      </c>
      <c r="F1669" s="2" t="str">
        <f>IFERROR(__xludf.DUMMYFUNCTION("IF('From Order'!$A1669=COLUMNS($A1669:F1688), LEFT(INDEX(FILTER(F$1:F1668, F$1:F1668&lt;&gt;""""),COUNTA(FILTER(F$1:F1668, F$1:F1668&lt;&gt;""""))), LEN(INDEX(FILTER(F$1:F1668, F$1:F1668&lt;&gt;""""),COUNTA(FILTER(F$1:F1668, F$1:F1668&lt;&gt;""""))))-1), IF('To Order'!$A1669=COL"&amp;"UMNS($A1669:F1688), F1668&amp;RIGHT(INDIRECT(ADDRESS(ROW(F1669)-1, 'From Order'!$A1669)), 1), F1668))"),"RDCVTRBR")</f>
        <v>RDCVTRBR</v>
      </c>
      <c r="G1669" s="2" t="str">
        <f>IFERROR(__xludf.DUMMYFUNCTION("IF('From Order'!$A1669=COLUMNS($A1669:G1688), LEFT(INDEX(FILTER(G$1:G1668, G$1:G1668&lt;&gt;""""),COUNTA(FILTER(G$1:G1668, G$1:G1668&lt;&gt;""""))), LEN(INDEX(FILTER(G$1:G1668, G$1:G1668&lt;&gt;""""),COUNTA(FILTER(G$1:G1668, G$1:G1668&lt;&gt;""""))))-1), IF('To Order'!$A1669=COL"&amp;"UMNS($A1669:G1688), G1668&amp;RIGHT(INDIRECT(ADDRESS(ROW(G1669)-1, 'From Order'!$A1669)), 1), G1668))"),"")</f>
        <v/>
      </c>
      <c r="H1669" s="2" t="str">
        <f>IFERROR(__xludf.DUMMYFUNCTION("IF('From Order'!$A1669=COLUMNS($A1669:H1688), LEFT(INDEX(FILTER(H$1:H1668, H$1:H1668&lt;&gt;""""),COUNTA(FILTER(H$1:H1668, H$1:H1668&lt;&gt;""""))), LEN(INDEX(FILTER(H$1:H1668, H$1:H1668&lt;&gt;""""),COUNTA(FILTER(H$1:H1668, H$1:H1668&lt;&gt;""""))))-1), IF('To Order'!$A1669=COL"&amp;"UMNS($A1669:H1688), H1668&amp;RIGHT(INDIRECT(ADDRESS(ROW(H1669)-1, 'From Order'!$A1669)), 1), H1668))"),"")</f>
        <v/>
      </c>
      <c r="I1669" s="2" t="str">
        <f>IFERROR(__xludf.DUMMYFUNCTION("IF('From Order'!$A1669=COLUMNS($A1669:I1688), LEFT(INDEX(FILTER(I$1:I1668, I$1:I1668&lt;&gt;""""),COUNTA(FILTER(I$1:I1668, I$1:I1668&lt;&gt;""""))), LEN(INDEX(FILTER(I$1:I1668, I$1:I1668&lt;&gt;""""),COUNTA(FILTER(I$1:I1668, I$1:I1668&lt;&gt;""""))))-1), IF('To Order'!$A1669=COL"&amp;"UMNS($A1669:I1688), I1668&amp;RIGHT(INDIRECT(ADDRESS(ROW(I1669)-1, 'From Order'!$A1669)), 1), I1668))"),"")</f>
        <v/>
      </c>
    </row>
    <row r="1670">
      <c r="A1670" s="2" t="str">
        <f>IFERROR(__xludf.DUMMYFUNCTION("IF('From Order'!$A1670=COLUMNS($A1670:A1689), LEFT(INDEX(FILTER(A$1:A1669, A$1:A1669&lt;&gt;""""),COUNTA(FILTER(A$1:A1669, A$1:A1669&lt;&gt;""""))), LEN(INDEX(FILTER(A$1:A1669, A$1:A1669&lt;&gt;""""),COUNTA(FILTER(A$1:A1669, A$1:A1669&lt;&gt;""""))))-1), IF('To Order'!$A1670=COL"&amp;"UMNS($A1670:A1689), A1669&amp;RIGHT(INDIRECT(ADDRESS(ROW(A1670)-1, 'From Order'!$A1670)), 1), A1669))"),"Z")</f>
        <v>Z</v>
      </c>
      <c r="B1670" s="2" t="str">
        <f>IFERROR(__xludf.DUMMYFUNCTION("IF('From Order'!$A1670=COLUMNS($A1670:B1689), LEFT(INDEX(FILTER(B$1:B1669, B$1:B1669&lt;&gt;""""),COUNTA(FILTER(B$1:B1669, B$1:B1669&lt;&gt;""""))), LEN(INDEX(FILTER(B$1:B1669, B$1:B1669&lt;&gt;""""),COUNTA(FILTER(B$1:B1669, B$1:B1669&lt;&gt;""""))))-1), IF('To Order'!$A1670=COL"&amp;"UMNS($A1670:B1689), B1669&amp;RIGHT(INDIRECT(ADDRESS(ROW(B1670)-1, 'From Order'!$A1670)), 1), B1669))"),"")</f>
        <v/>
      </c>
      <c r="C1670" s="2" t="str">
        <f>IFERROR(__xludf.DUMMYFUNCTION("IF('From Order'!$A1670=COLUMNS($A1670:C1689), LEFT(INDEX(FILTER(C$1:C1669, C$1:C1669&lt;&gt;""""),COUNTA(FILTER(C$1:C1669, C$1:C1669&lt;&gt;""""))), LEN(INDEX(FILTER(C$1:C1669, C$1:C1669&lt;&gt;""""),COUNTA(FILTER(C$1:C1669, C$1:C1669&lt;&gt;""""))))-1), IF('To Order'!$A1670=COL"&amp;"UMNS($A1670:C1689), C1669&amp;RIGHT(INDIRECT(ADDRESS(ROW(C1670)-1, 'From Order'!$A1670)), 1), C1669))"),"TQVQJPPSSTDDWLLFBPTTJGBHFSCZWMDJMBVRRSDLDTMZH")</f>
        <v>TQVQJPPSSTDDWLLFBPTTJGBHFSCZWMDJMBVRRSDLDTMZH</v>
      </c>
      <c r="D1670" s="2" t="str">
        <f>IFERROR(__xludf.DUMMYFUNCTION("IF('From Order'!$A1670=COLUMNS($A1670:D1689), LEFT(INDEX(FILTER(D$1:D1669, D$1:D1669&lt;&gt;""""),COUNTA(FILTER(D$1:D1669, D$1:D1669&lt;&gt;""""))), LEN(INDEX(FILTER(D$1:D1669, D$1:D1669&lt;&gt;""""),COUNTA(FILTER(D$1:D1669, D$1:D1669&lt;&gt;""""))))-1), IF('To Order'!$A1670=COL"&amp;"UMNS($A1670:D1689), D1669&amp;RIGHT(INDIRECT(ADDRESS(ROW(D1670)-1, 'From Order'!$A1670)), 1), D1669))"),"C")</f>
        <v>C</v>
      </c>
      <c r="E1670" s="2" t="str">
        <f>IFERROR(__xludf.DUMMYFUNCTION("IF('From Order'!$A1670=COLUMNS($A1670:E1689), LEFT(INDEX(FILTER(E$1:E1669, E$1:E1669&lt;&gt;""""),COUNTA(FILTER(E$1:E1669, E$1:E1669&lt;&gt;""""))), LEN(INDEX(FILTER(E$1:E1669, E$1:E1669&lt;&gt;""""),COUNTA(FILTER(E$1:E1669, E$1:E1669&lt;&gt;""""))))-1), IF('To Order'!$A1670=COL"&amp;"UMNS($A1670:E1689), E1669&amp;RIGHT(INDIRECT(ADDRESS(ROW(E1670)-1, 'From Order'!$A1670)), 1), E1669))"),"")</f>
        <v/>
      </c>
      <c r="F1670" s="2" t="str">
        <f>IFERROR(__xludf.DUMMYFUNCTION("IF('From Order'!$A1670=COLUMNS($A1670:F1689), LEFT(INDEX(FILTER(F$1:F1669, F$1:F1669&lt;&gt;""""),COUNTA(FILTER(F$1:F1669, F$1:F1669&lt;&gt;""""))), LEN(INDEX(FILTER(F$1:F1669, F$1:F1669&lt;&gt;""""),COUNTA(FILTER(F$1:F1669, F$1:F1669&lt;&gt;""""))))-1), IF('To Order'!$A1670=COL"&amp;"UMNS($A1670:F1689), F1669&amp;RIGHT(INDIRECT(ADDRESS(ROW(F1670)-1, 'From Order'!$A1670)), 1), F1669))"),"RDCVTRBR")</f>
        <v>RDCVTRBR</v>
      </c>
      <c r="G1670" s="2" t="str">
        <f>IFERROR(__xludf.DUMMYFUNCTION("IF('From Order'!$A1670=COLUMNS($A1670:G1689), LEFT(INDEX(FILTER(G$1:G1669, G$1:G1669&lt;&gt;""""),COUNTA(FILTER(G$1:G1669, G$1:G1669&lt;&gt;""""))), LEN(INDEX(FILTER(G$1:G1669, G$1:G1669&lt;&gt;""""),COUNTA(FILTER(G$1:G1669, G$1:G1669&lt;&gt;""""))))-1), IF('To Order'!$A1670=COL"&amp;"UMNS($A1670:G1689), G1669&amp;RIGHT(INDIRECT(ADDRESS(ROW(G1670)-1, 'From Order'!$A1670)), 1), G1669))"),"")</f>
        <v/>
      </c>
      <c r="H1670" s="2" t="str">
        <f>IFERROR(__xludf.DUMMYFUNCTION("IF('From Order'!$A1670=COLUMNS($A1670:H1689), LEFT(INDEX(FILTER(H$1:H1669, H$1:H1669&lt;&gt;""""),COUNTA(FILTER(H$1:H1669, H$1:H1669&lt;&gt;""""))), LEN(INDEX(FILTER(H$1:H1669, H$1:H1669&lt;&gt;""""),COUNTA(FILTER(H$1:H1669, H$1:H1669&lt;&gt;""""))))-1), IF('To Order'!$A1670=COL"&amp;"UMNS($A1670:H1689), H1669&amp;RIGHT(INDIRECT(ADDRESS(ROW(H1670)-1, 'From Order'!$A1670)), 1), H1669))"),"G")</f>
        <v>G</v>
      </c>
      <c r="I1670" s="2" t="str">
        <f>IFERROR(__xludf.DUMMYFUNCTION("IF('From Order'!$A1670=COLUMNS($A1670:I1689), LEFT(INDEX(FILTER(I$1:I1669, I$1:I1669&lt;&gt;""""),COUNTA(FILTER(I$1:I1669, I$1:I1669&lt;&gt;""""))), LEN(INDEX(FILTER(I$1:I1669, I$1:I1669&lt;&gt;""""),COUNTA(FILTER(I$1:I1669, I$1:I1669&lt;&gt;""""))))-1), IF('To Order'!$A1670=COL"&amp;"UMNS($A1670:I1689), I1669&amp;RIGHT(INDIRECT(ADDRESS(ROW(I1670)-1, 'From Order'!$A1670)), 1), I1669))"),"")</f>
        <v/>
      </c>
    </row>
    <row r="1671">
      <c r="A1671" s="2" t="str">
        <f>IFERROR(__xludf.DUMMYFUNCTION("IF('From Order'!$A1671=COLUMNS($A1671:A1690), LEFT(INDEX(FILTER(A$1:A1670, A$1:A1670&lt;&gt;""""),COUNTA(FILTER(A$1:A1670, A$1:A1670&lt;&gt;""""))), LEN(INDEX(FILTER(A$1:A1670, A$1:A1670&lt;&gt;""""),COUNTA(FILTER(A$1:A1670, A$1:A1670&lt;&gt;""""))))-1), IF('To Order'!$A1671=COL"&amp;"UMNS($A1671:A1690), A1670&amp;RIGHT(INDIRECT(ADDRESS(ROW(A1671)-1, 'From Order'!$A1671)), 1), A1670))"),"Z")</f>
        <v>Z</v>
      </c>
      <c r="B1671" s="2" t="str">
        <f>IFERROR(__xludf.DUMMYFUNCTION("IF('From Order'!$A1671=COLUMNS($A1671:B1690), LEFT(INDEX(FILTER(B$1:B1670, B$1:B1670&lt;&gt;""""),COUNTA(FILTER(B$1:B1670, B$1:B1670&lt;&gt;""""))), LEN(INDEX(FILTER(B$1:B1670, B$1:B1670&lt;&gt;""""),COUNTA(FILTER(B$1:B1670, B$1:B1670&lt;&gt;""""))))-1), IF('To Order'!$A1671=COL"&amp;"UMNS($A1671:B1690), B1670&amp;RIGHT(INDIRECT(ADDRESS(ROW(B1671)-1, 'From Order'!$A1671)), 1), B1670))"),"")</f>
        <v/>
      </c>
      <c r="C1671" s="2" t="str">
        <f>IFERROR(__xludf.DUMMYFUNCTION("IF('From Order'!$A1671=COLUMNS($A1671:C1690), LEFT(INDEX(FILTER(C$1:C1670, C$1:C1670&lt;&gt;""""),COUNTA(FILTER(C$1:C1670, C$1:C1670&lt;&gt;""""))), LEN(INDEX(FILTER(C$1:C1670, C$1:C1670&lt;&gt;""""),COUNTA(FILTER(C$1:C1670, C$1:C1670&lt;&gt;""""))))-1), IF('To Order'!$A1671=COL"&amp;"UMNS($A1671:C1690), C1670&amp;RIGHT(INDIRECT(ADDRESS(ROW(C1671)-1, 'From Order'!$A1671)), 1), C1670))"),"TQVQJPPSSTDDWLLFBPTTJGBHFSCZWMDJMBVRRSDLDTMZH")</f>
        <v>TQVQJPPSSTDDWLLFBPTTJGBHFSCZWMDJMBVRRSDLDTMZH</v>
      </c>
      <c r="D1671" s="2" t="str">
        <f>IFERROR(__xludf.DUMMYFUNCTION("IF('From Order'!$A1671=COLUMNS($A1671:D1690), LEFT(INDEX(FILTER(D$1:D1670, D$1:D1670&lt;&gt;""""),COUNTA(FILTER(D$1:D1670, D$1:D1670&lt;&gt;""""))), LEN(INDEX(FILTER(D$1:D1670, D$1:D1670&lt;&gt;""""),COUNTA(FILTER(D$1:D1670, D$1:D1670&lt;&gt;""""))))-1), IF('To Order'!$A1671=COL"&amp;"UMNS($A1671:D1690), D1670&amp;RIGHT(INDIRECT(ADDRESS(ROW(D1671)-1, 'From Order'!$A1671)), 1), D1670))"),"")</f>
        <v/>
      </c>
      <c r="E1671" s="2" t="str">
        <f>IFERROR(__xludf.DUMMYFUNCTION("IF('From Order'!$A1671=COLUMNS($A1671:E1690), LEFT(INDEX(FILTER(E$1:E1670, E$1:E1670&lt;&gt;""""),COUNTA(FILTER(E$1:E1670, E$1:E1670&lt;&gt;""""))), LEN(INDEX(FILTER(E$1:E1670, E$1:E1670&lt;&gt;""""),COUNTA(FILTER(E$1:E1670, E$1:E1670&lt;&gt;""""))))-1), IF('To Order'!$A1671=COL"&amp;"UMNS($A1671:E1690), E1670&amp;RIGHT(INDIRECT(ADDRESS(ROW(E1671)-1, 'From Order'!$A1671)), 1), E1670))"),"")</f>
        <v/>
      </c>
      <c r="F1671" s="2" t="str">
        <f>IFERROR(__xludf.DUMMYFUNCTION("IF('From Order'!$A1671=COLUMNS($A1671:F1690), LEFT(INDEX(FILTER(F$1:F1670, F$1:F1670&lt;&gt;""""),COUNTA(FILTER(F$1:F1670, F$1:F1670&lt;&gt;""""))), LEN(INDEX(FILTER(F$1:F1670, F$1:F1670&lt;&gt;""""),COUNTA(FILTER(F$1:F1670, F$1:F1670&lt;&gt;""""))))-1), IF('To Order'!$A1671=COL"&amp;"UMNS($A1671:F1690), F1670&amp;RIGHT(INDIRECT(ADDRESS(ROW(F1671)-1, 'From Order'!$A1671)), 1), F1670))"),"RDCVTRBR")</f>
        <v>RDCVTRBR</v>
      </c>
      <c r="G1671" s="2" t="str">
        <f>IFERROR(__xludf.DUMMYFUNCTION("IF('From Order'!$A1671=COLUMNS($A1671:G1690), LEFT(INDEX(FILTER(G$1:G1670, G$1:G1670&lt;&gt;""""),COUNTA(FILTER(G$1:G1670, G$1:G1670&lt;&gt;""""))), LEN(INDEX(FILTER(G$1:G1670, G$1:G1670&lt;&gt;""""),COUNTA(FILTER(G$1:G1670, G$1:G1670&lt;&gt;""""))))-1), IF('To Order'!$A1671=COL"&amp;"UMNS($A1671:G1690), G1670&amp;RIGHT(INDIRECT(ADDRESS(ROW(G1671)-1, 'From Order'!$A1671)), 1), G1670))"),"")</f>
        <v/>
      </c>
      <c r="H1671" s="2" t="str">
        <f>IFERROR(__xludf.DUMMYFUNCTION("IF('From Order'!$A1671=COLUMNS($A1671:H1690), LEFT(INDEX(FILTER(H$1:H1670, H$1:H1670&lt;&gt;""""),COUNTA(FILTER(H$1:H1670, H$1:H1670&lt;&gt;""""))), LEN(INDEX(FILTER(H$1:H1670, H$1:H1670&lt;&gt;""""),COUNTA(FILTER(H$1:H1670, H$1:H1670&lt;&gt;""""))))-1), IF('To Order'!$A1671=COL"&amp;"UMNS($A1671:H1690), H1670&amp;RIGHT(INDIRECT(ADDRESS(ROW(H1671)-1, 'From Order'!$A1671)), 1), H1670))"),"GC")</f>
        <v>GC</v>
      </c>
      <c r="I1671" s="2" t="str">
        <f>IFERROR(__xludf.DUMMYFUNCTION("IF('From Order'!$A1671=COLUMNS($A1671:I1690), LEFT(INDEX(FILTER(I$1:I1670, I$1:I1670&lt;&gt;""""),COUNTA(FILTER(I$1:I1670, I$1:I1670&lt;&gt;""""))), LEN(INDEX(FILTER(I$1:I1670, I$1:I1670&lt;&gt;""""),COUNTA(FILTER(I$1:I1670, I$1:I1670&lt;&gt;""""))))-1), IF('To Order'!$A1671=COL"&amp;"UMNS($A1671:I1690), I1670&amp;RIGHT(INDIRECT(ADDRESS(ROW(I1671)-1, 'From Order'!$A1671)), 1), I1670))"),"")</f>
        <v/>
      </c>
    </row>
    <row r="1672">
      <c r="A1672" s="2" t="str">
        <f>IFERROR(__xludf.DUMMYFUNCTION("IF('From Order'!$A1672=COLUMNS($A1672:A1691), LEFT(INDEX(FILTER(A$1:A1671, A$1:A1671&lt;&gt;""""),COUNTA(FILTER(A$1:A1671, A$1:A1671&lt;&gt;""""))), LEN(INDEX(FILTER(A$1:A1671, A$1:A1671&lt;&gt;""""),COUNTA(FILTER(A$1:A1671, A$1:A1671&lt;&gt;""""))))-1), IF('To Order'!$A1672=COL"&amp;"UMNS($A1672:A1691), A1671&amp;RIGHT(INDIRECT(ADDRESS(ROW(A1672)-1, 'From Order'!$A1672)), 1), A1671))"),"Z")</f>
        <v>Z</v>
      </c>
      <c r="B1672" s="2" t="str">
        <f>IFERROR(__xludf.DUMMYFUNCTION("IF('From Order'!$A1672=COLUMNS($A1672:B1691), LEFT(INDEX(FILTER(B$1:B1671, B$1:B1671&lt;&gt;""""),COUNTA(FILTER(B$1:B1671, B$1:B1671&lt;&gt;""""))), LEN(INDEX(FILTER(B$1:B1671, B$1:B1671&lt;&gt;""""),COUNTA(FILTER(B$1:B1671, B$1:B1671&lt;&gt;""""))))-1), IF('To Order'!$A1672=COL"&amp;"UMNS($A1672:B1691), B1671&amp;RIGHT(INDIRECT(ADDRESS(ROW(B1672)-1, 'From Order'!$A1672)), 1), B1671))"),"C")</f>
        <v>C</v>
      </c>
      <c r="C1672" s="2" t="str">
        <f>IFERROR(__xludf.DUMMYFUNCTION("IF('From Order'!$A1672=COLUMNS($A1672:C1691), LEFT(INDEX(FILTER(C$1:C1671, C$1:C1671&lt;&gt;""""),COUNTA(FILTER(C$1:C1671, C$1:C1671&lt;&gt;""""))), LEN(INDEX(FILTER(C$1:C1671, C$1:C1671&lt;&gt;""""),COUNTA(FILTER(C$1:C1671, C$1:C1671&lt;&gt;""""))))-1), IF('To Order'!$A1672=COL"&amp;"UMNS($A1672:C1691), C1671&amp;RIGHT(INDIRECT(ADDRESS(ROW(C1672)-1, 'From Order'!$A1672)), 1), C1671))"),"TQVQJPPSSTDDWLLFBPTTJGBHFSCZWMDJMBVRRSDLDTMZH")</f>
        <v>TQVQJPPSSTDDWLLFBPTTJGBHFSCZWMDJMBVRRSDLDTMZH</v>
      </c>
      <c r="D1672" s="2" t="str">
        <f>IFERROR(__xludf.DUMMYFUNCTION("IF('From Order'!$A1672=COLUMNS($A1672:D1691), LEFT(INDEX(FILTER(D$1:D1671, D$1:D1671&lt;&gt;""""),COUNTA(FILTER(D$1:D1671, D$1:D1671&lt;&gt;""""))), LEN(INDEX(FILTER(D$1:D1671, D$1:D1671&lt;&gt;""""),COUNTA(FILTER(D$1:D1671, D$1:D1671&lt;&gt;""""))))-1), IF('To Order'!$A1672=COL"&amp;"UMNS($A1672:D1691), D1671&amp;RIGHT(INDIRECT(ADDRESS(ROW(D1672)-1, 'From Order'!$A1672)), 1), D1671))"),"")</f>
        <v/>
      </c>
      <c r="E1672" s="2" t="str">
        <f>IFERROR(__xludf.DUMMYFUNCTION("IF('From Order'!$A1672=COLUMNS($A1672:E1691), LEFT(INDEX(FILTER(E$1:E1671, E$1:E1671&lt;&gt;""""),COUNTA(FILTER(E$1:E1671, E$1:E1671&lt;&gt;""""))), LEN(INDEX(FILTER(E$1:E1671, E$1:E1671&lt;&gt;""""),COUNTA(FILTER(E$1:E1671, E$1:E1671&lt;&gt;""""))))-1), IF('To Order'!$A1672=COL"&amp;"UMNS($A1672:E1691), E1671&amp;RIGHT(INDIRECT(ADDRESS(ROW(E1672)-1, 'From Order'!$A1672)), 1), E1671))"),"")</f>
        <v/>
      </c>
      <c r="F1672" s="2" t="str">
        <f>IFERROR(__xludf.DUMMYFUNCTION("IF('From Order'!$A1672=COLUMNS($A1672:F1691), LEFT(INDEX(FILTER(F$1:F1671, F$1:F1671&lt;&gt;""""),COUNTA(FILTER(F$1:F1671, F$1:F1671&lt;&gt;""""))), LEN(INDEX(FILTER(F$1:F1671, F$1:F1671&lt;&gt;""""),COUNTA(FILTER(F$1:F1671, F$1:F1671&lt;&gt;""""))))-1), IF('To Order'!$A1672=COL"&amp;"UMNS($A1672:F1691), F1671&amp;RIGHT(INDIRECT(ADDRESS(ROW(F1672)-1, 'From Order'!$A1672)), 1), F1671))"),"RDCVTRBR")</f>
        <v>RDCVTRBR</v>
      </c>
      <c r="G1672" s="2" t="str">
        <f>IFERROR(__xludf.DUMMYFUNCTION("IF('From Order'!$A1672=COLUMNS($A1672:G1691), LEFT(INDEX(FILTER(G$1:G1671, G$1:G1671&lt;&gt;""""),COUNTA(FILTER(G$1:G1671, G$1:G1671&lt;&gt;""""))), LEN(INDEX(FILTER(G$1:G1671, G$1:G1671&lt;&gt;""""),COUNTA(FILTER(G$1:G1671, G$1:G1671&lt;&gt;""""))))-1), IF('To Order'!$A1672=COL"&amp;"UMNS($A1672:G1691), G1671&amp;RIGHT(INDIRECT(ADDRESS(ROW(G1672)-1, 'From Order'!$A1672)), 1), G1671))"),"")</f>
        <v/>
      </c>
      <c r="H1672" s="2" t="str">
        <f>IFERROR(__xludf.DUMMYFUNCTION("IF('From Order'!$A1672=COLUMNS($A1672:H1691), LEFT(INDEX(FILTER(H$1:H1671, H$1:H1671&lt;&gt;""""),COUNTA(FILTER(H$1:H1671, H$1:H1671&lt;&gt;""""))), LEN(INDEX(FILTER(H$1:H1671, H$1:H1671&lt;&gt;""""),COUNTA(FILTER(H$1:H1671, H$1:H1671&lt;&gt;""""))))-1), IF('To Order'!$A1672=COL"&amp;"UMNS($A1672:H1691), H1671&amp;RIGHT(INDIRECT(ADDRESS(ROW(H1672)-1, 'From Order'!$A1672)), 1), H1671))"),"G")</f>
        <v>G</v>
      </c>
      <c r="I1672" s="2" t="str">
        <f>IFERROR(__xludf.DUMMYFUNCTION("IF('From Order'!$A1672=COLUMNS($A1672:I1691), LEFT(INDEX(FILTER(I$1:I1671, I$1:I1671&lt;&gt;""""),COUNTA(FILTER(I$1:I1671, I$1:I1671&lt;&gt;""""))), LEN(INDEX(FILTER(I$1:I1671, I$1:I1671&lt;&gt;""""),COUNTA(FILTER(I$1:I1671, I$1:I1671&lt;&gt;""""))))-1), IF('To Order'!$A1672=COL"&amp;"UMNS($A1672:I1691), I1671&amp;RIGHT(INDIRECT(ADDRESS(ROW(I1672)-1, 'From Order'!$A1672)), 1), I1671))"),"")</f>
        <v/>
      </c>
    </row>
    <row r="1673">
      <c r="A1673" s="2" t="str">
        <f>IFERROR(__xludf.DUMMYFUNCTION("IF('From Order'!$A1673=COLUMNS($A1673:A1692), LEFT(INDEX(FILTER(A$1:A1672, A$1:A1672&lt;&gt;""""),COUNTA(FILTER(A$1:A1672, A$1:A1672&lt;&gt;""""))), LEN(INDEX(FILTER(A$1:A1672, A$1:A1672&lt;&gt;""""),COUNTA(FILTER(A$1:A1672, A$1:A1672&lt;&gt;""""))))-1), IF('To Order'!$A1673=COL"&amp;"UMNS($A1673:A1692), A1672&amp;RIGHT(INDIRECT(ADDRESS(ROW(A1673)-1, 'From Order'!$A1673)), 1), A1672))"),"Z")</f>
        <v>Z</v>
      </c>
      <c r="B1673" s="2" t="str">
        <f>IFERROR(__xludf.DUMMYFUNCTION("IF('From Order'!$A1673=COLUMNS($A1673:B1692), LEFT(INDEX(FILTER(B$1:B1672, B$1:B1672&lt;&gt;""""),COUNTA(FILTER(B$1:B1672, B$1:B1672&lt;&gt;""""))), LEN(INDEX(FILTER(B$1:B1672, B$1:B1672&lt;&gt;""""),COUNTA(FILTER(B$1:B1672, B$1:B1672&lt;&gt;""""))))-1), IF('To Order'!$A1673=COL"&amp;"UMNS($A1673:B1692), B1672&amp;RIGHT(INDIRECT(ADDRESS(ROW(B1673)-1, 'From Order'!$A1673)), 1), B1672))"),"CG")</f>
        <v>CG</v>
      </c>
      <c r="C1673" s="2" t="str">
        <f>IFERROR(__xludf.DUMMYFUNCTION("IF('From Order'!$A1673=COLUMNS($A1673:C1692), LEFT(INDEX(FILTER(C$1:C1672, C$1:C1672&lt;&gt;""""),COUNTA(FILTER(C$1:C1672, C$1:C1672&lt;&gt;""""))), LEN(INDEX(FILTER(C$1:C1672, C$1:C1672&lt;&gt;""""),COUNTA(FILTER(C$1:C1672, C$1:C1672&lt;&gt;""""))))-1), IF('To Order'!$A1673=COL"&amp;"UMNS($A1673:C1692), C1672&amp;RIGHT(INDIRECT(ADDRESS(ROW(C1673)-1, 'From Order'!$A1673)), 1), C1672))"),"TQVQJPPSSTDDWLLFBPTTJGBHFSCZWMDJMBVRRSDLDTMZH")</f>
        <v>TQVQJPPSSTDDWLLFBPTTJGBHFSCZWMDJMBVRRSDLDTMZH</v>
      </c>
      <c r="D1673" s="2" t="str">
        <f>IFERROR(__xludf.DUMMYFUNCTION("IF('From Order'!$A1673=COLUMNS($A1673:D1692), LEFT(INDEX(FILTER(D$1:D1672, D$1:D1672&lt;&gt;""""),COUNTA(FILTER(D$1:D1672, D$1:D1672&lt;&gt;""""))), LEN(INDEX(FILTER(D$1:D1672, D$1:D1672&lt;&gt;""""),COUNTA(FILTER(D$1:D1672, D$1:D1672&lt;&gt;""""))))-1), IF('To Order'!$A1673=COL"&amp;"UMNS($A1673:D1692), D1672&amp;RIGHT(INDIRECT(ADDRESS(ROW(D1673)-1, 'From Order'!$A1673)), 1), D1672))"),"")</f>
        <v/>
      </c>
      <c r="E1673" s="2" t="str">
        <f>IFERROR(__xludf.DUMMYFUNCTION("IF('From Order'!$A1673=COLUMNS($A1673:E1692), LEFT(INDEX(FILTER(E$1:E1672, E$1:E1672&lt;&gt;""""),COUNTA(FILTER(E$1:E1672, E$1:E1672&lt;&gt;""""))), LEN(INDEX(FILTER(E$1:E1672, E$1:E1672&lt;&gt;""""),COUNTA(FILTER(E$1:E1672, E$1:E1672&lt;&gt;""""))))-1), IF('To Order'!$A1673=COL"&amp;"UMNS($A1673:E1692), E1672&amp;RIGHT(INDIRECT(ADDRESS(ROW(E1673)-1, 'From Order'!$A1673)), 1), E1672))"),"")</f>
        <v/>
      </c>
      <c r="F1673" s="2" t="str">
        <f>IFERROR(__xludf.DUMMYFUNCTION("IF('From Order'!$A1673=COLUMNS($A1673:F1692), LEFT(INDEX(FILTER(F$1:F1672, F$1:F1672&lt;&gt;""""),COUNTA(FILTER(F$1:F1672, F$1:F1672&lt;&gt;""""))), LEN(INDEX(FILTER(F$1:F1672, F$1:F1672&lt;&gt;""""),COUNTA(FILTER(F$1:F1672, F$1:F1672&lt;&gt;""""))))-1), IF('To Order'!$A1673=COL"&amp;"UMNS($A1673:F1692), F1672&amp;RIGHT(INDIRECT(ADDRESS(ROW(F1673)-1, 'From Order'!$A1673)), 1), F1672))"),"RDCVTRBR")</f>
        <v>RDCVTRBR</v>
      </c>
      <c r="G1673" s="2" t="str">
        <f>IFERROR(__xludf.DUMMYFUNCTION("IF('From Order'!$A1673=COLUMNS($A1673:G1692), LEFT(INDEX(FILTER(G$1:G1672, G$1:G1672&lt;&gt;""""),COUNTA(FILTER(G$1:G1672, G$1:G1672&lt;&gt;""""))), LEN(INDEX(FILTER(G$1:G1672, G$1:G1672&lt;&gt;""""),COUNTA(FILTER(G$1:G1672, G$1:G1672&lt;&gt;""""))))-1), IF('To Order'!$A1673=COL"&amp;"UMNS($A1673:G1692), G1672&amp;RIGHT(INDIRECT(ADDRESS(ROW(G1673)-1, 'From Order'!$A1673)), 1), G1672))"),"")</f>
        <v/>
      </c>
      <c r="H1673" s="2" t="str">
        <f>IFERROR(__xludf.DUMMYFUNCTION("IF('From Order'!$A1673=COLUMNS($A1673:H1692), LEFT(INDEX(FILTER(H$1:H1672, H$1:H1672&lt;&gt;""""),COUNTA(FILTER(H$1:H1672, H$1:H1672&lt;&gt;""""))), LEN(INDEX(FILTER(H$1:H1672, H$1:H1672&lt;&gt;""""),COUNTA(FILTER(H$1:H1672, H$1:H1672&lt;&gt;""""))))-1), IF('To Order'!$A1673=COL"&amp;"UMNS($A1673:H1692), H1672&amp;RIGHT(INDIRECT(ADDRESS(ROW(H1673)-1, 'From Order'!$A1673)), 1), H1672))"),"")</f>
        <v/>
      </c>
      <c r="I1673" s="2" t="str">
        <f>IFERROR(__xludf.DUMMYFUNCTION("IF('From Order'!$A1673=COLUMNS($A1673:I1692), LEFT(INDEX(FILTER(I$1:I1672, I$1:I1672&lt;&gt;""""),COUNTA(FILTER(I$1:I1672, I$1:I1672&lt;&gt;""""))), LEN(INDEX(FILTER(I$1:I1672, I$1:I1672&lt;&gt;""""),COUNTA(FILTER(I$1:I1672, I$1:I1672&lt;&gt;""""))))-1), IF('To Order'!$A1673=COL"&amp;"UMNS($A1673:I1692), I1672&amp;RIGHT(INDIRECT(ADDRESS(ROW(I1673)-1, 'From Order'!$A1673)), 1), I1672))"),"")</f>
        <v/>
      </c>
    </row>
    <row r="1674">
      <c r="A1674" s="2" t="str">
        <f>IFERROR(__xludf.DUMMYFUNCTION("IF('From Order'!$A1674=COLUMNS($A1674:A1693), LEFT(INDEX(FILTER(A$1:A1673, A$1:A1673&lt;&gt;""""),COUNTA(FILTER(A$1:A1673, A$1:A1673&lt;&gt;""""))), LEN(INDEX(FILTER(A$1:A1673, A$1:A1673&lt;&gt;""""),COUNTA(FILTER(A$1:A1673, A$1:A1673&lt;&gt;""""))))-1), IF('To Order'!$A1674=COL"&amp;"UMNS($A1674:A1693), A1673&amp;RIGHT(INDIRECT(ADDRESS(ROW(A1674)-1, 'From Order'!$A1674)), 1), A1673))"),"")</f>
        <v/>
      </c>
      <c r="B1674" s="2" t="str">
        <f>IFERROR(__xludf.DUMMYFUNCTION("IF('From Order'!$A1674=COLUMNS($A1674:B1693), LEFT(INDEX(FILTER(B$1:B1673, B$1:B1673&lt;&gt;""""),COUNTA(FILTER(B$1:B1673, B$1:B1673&lt;&gt;""""))), LEN(INDEX(FILTER(B$1:B1673, B$1:B1673&lt;&gt;""""),COUNTA(FILTER(B$1:B1673, B$1:B1673&lt;&gt;""""))))-1), IF('To Order'!$A1674=COL"&amp;"UMNS($A1674:B1693), B1673&amp;RIGHT(INDIRECT(ADDRESS(ROW(B1674)-1, 'From Order'!$A1674)), 1), B1673))"),"CG")</f>
        <v>CG</v>
      </c>
      <c r="C1674" s="2" t="str">
        <f>IFERROR(__xludf.DUMMYFUNCTION("IF('From Order'!$A1674=COLUMNS($A1674:C1693), LEFT(INDEX(FILTER(C$1:C1673, C$1:C1673&lt;&gt;""""),COUNTA(FILTER(C$1:C1673, C$1:C1673&lt;&gt;""""))), LEN(INDEX(FILTER(C$1:C1673, C$1:C1673&lt;&gt;""""),COUNTA(FILTER(C$1:C1673, C$1:C1673&lt;&gt;""""))))-1), IF('To Order'!$A1674=COL"&amp;"UMNS($A1674:C1693), C1673&amp;RIGHT(INDIRECT(ADDRESS(ROW(C1674)-1, 'From Order'!$A1674)), 1), C1673))"),"TQVQJPPSSTDDWLLFBPTTJGBHFSCZWMDJMBVRRSDLDTMZHZ")</f>
        <v>TQVQJPPSSTDDWLLFBPTTJGBHFSCZWMDJMBVRRSDLDTMZHZ</v>
      </c>
      <c r="D1674" s="2" t="str">
        <f>IFERROR(__xludf.DUMMYFUNCTION("IF('From Order'!$A1674=COLUMNS($A1674:D1693), LEFT(INDEX(FILTER(D$1:D1673, D$1:D1673&lt;&gt;""""),COUNTA(FILTER(D$1:D1673, D$1:D1673&lt;&gt;""""))), LEN(INDEX(FILTER(D$1:D1673, D$1:D1673&lt;&gt;""""),COUNTA(FILTER(D$1:D1673, D$1:D1673&lt;&gt;""""))))-1), IF('To Order'!$A1674=COL"&amp;"UMNS($A1674:D1693), D1673&amp;RIGHT(INDIRECT(ADDRESS(ROW(D1674)-1, 'From Order'!$A1674)), 1), D1673))"),"")</f>
        <v/>
      </c>
      <c r="E1674" s="2" t="str">
        <f>IFERROR(__xludf.DUMMYFUNCTION("IF('From Order'!$A1674=COLUMNS($A1674:E1693), LEFT(INDEX(FILTER(E$1:E1673, E$1:E1673&lt;&gt;""""),COUNTA(FILTER(E$1:E1673, E$1:E1673&lt;&gt;""""))), LEN(INDEX(FILTER(E$1:E1673, E$1:E1673&lt;&gt;""""),COUNTA(FILTER(E$1:E1673, E$1:E1673&lt;&gt;""""))))-1), IF('To Order'!$A1674=COL"&amp;"UMNS($A1674:E1693), E1673&amp;RIGHT(INDIRECT(ADDRESS(ROW(E1674)-1, 'From Order'!$A1674)), 1), E1673))"),"")</f>
        <v/>
      </c>
      <c r="F1674" s="2" t="str">
        <f>IFERROR(__xludf.DUMMYFUNCTION("IF('From Order'!$A1674=COLUMNS($A1674:F1693), LEFT(INDEX(FILTER(F$1:F1673, F$1:F1673&lt;&gt;""""),COUNTA(FILTER(F$1:F1673, F$1:F1673&lt;&gt;""""))), LEN(INDEX(FILTER(F$1:F1673, F$1:F1673&lt;&gt;""""),COUNTA(FILTER(F$1:F1673, F$1:F1673&lt;&gt;""""))))-1), IF('To Order'!$A1674=COL"&amp;"UMNS($A1674:F1693), F1673&amp;RIGHT(INDIRECT(ADDRESS(ROW(F1674)-1, 'From Order'!$A1674)), 1), F1673))"),"RDCVTRBR")</f>
        <v>RDCVTRBR</v>
      </c>
      <c r="G1674" s="2" t="str">
        <f>IFERROR(__xludf.DUMMYFUNCTION("IF('From Order'!$A1674=COLUMNS($A1674:G1693), LEFT(INDEX(FILTER(G$1:G1673, G$1:G1673&lt;&gt;""""),COUNTA(FILTER(G$1:G1673, G$1:G1673&lt;&gt;""""))), LEN(INDEX(FILTER(G$1:G1673, G$1:G1673&lt;&gt;""""),COUNTA(FILTER(G$1:G1673, G$1:G1673&lt;&gt;""""))))-1), IF('To Order'!$A1674=COL"&amp;"UMNS($A1674:G1693), G1673&amp;RIGHT(INDIRECT(ADDRESS(ROW(G1674)-1, 'From Order'!$A1674)), 1), G1673))"),"")</f>
        <v/>
      </c>
      <c r="H1674" s="2" t="str">
        <f>IFERROR(__xludf.DUMMYFUNCTION("IF('From Order'!$A1674=COLUMNS($A1674:H1693), LEFT(INDEX(FILTER(H$1:H1673, H$1:H1673&lt;&gt;""""),COUNTA(FILTER(H$1:H1673, H$1:H1673&lt;&gt;""""))), LEN(INDEX(FILTER(H$1:H1673, H$1:H1673&lt;&gt;""""),COUNTA(FILTER(H$1:H1673, H$1:H1673&lt;&gt;""""))))-1), IF('To Order'!$A1674=COL"&amp;"UMNS($A1674:H1693), H1673&amp;RIGHT(INDIRECT(ADDRESS(ROW(H1674)-1, 'From Order'!$A1674)), 1), H1673))"),"")</f>
        <v/>
      </c>
      <c r="I1674" s="2" t="str">
        <f>IFERROR(__xludf.DUMMYFUNCTION("IF('From Order'!$A1674=COLUMNS($A1674:I1693), LEFT(INDEX(FILTER(I$1:I1673, I$1:I1673&lt;&gt;""""),COUNTA(FILTER(I$1:I1673, I$1:I1673&lt;&gt;""""))), LEN(INDEX(FILTER(I$1:I1673, I$1:I1673&lt;&gt;""""),COUNTA(FILTER(I$1:I1673, I$1:I1673&lt;&gt;""""))))-1), IF('To Order'!$A1674=COL"&amp;"UMNS($A1674:I1693), I1673&amp;RIGHT(INDIRECT(ADDRESS(ROW(I1674)-1, 'From Order'!$A1674)), 1), I1673))"),"")</f>
        <v/>
      </c>
    </row>
    <row r="1675">
      <c r="A1675" s="2" t="str">
        <f>IFERROR(__xludf.DUMMYFUNCTION("IF('From Order'!$A1675=COLUMNS($A1675:A1694), LEFT(INDEX(FILTER(A$1:A1674, A$1:A1674&lt;&gt;""""),COUNTA(FILTER(A$1:A1674, A$1:A1674&lt;&gt;""""))), LEN(INDEX(FILTER(A$1:A1674, A$1:A1674&lt;&gt;""""),COUNTA(FILTER(A$1:A1674, A$1:A1674&lt;&gt;""""))))-1), IF('To Order'!$A1675=COL"&amp;"UMNS($A1675:A1694), A1674&amp;RIGHT(INDIRECT(ADDRESS(ROW(A1675)-1, 'From Order'!$A1675)), 1), A1674))"),"")</f>
        <v/>
      </c>
      <c r="B1675" s="2" t="str">
        <f>IFERROR(__xludf.DUMMYFUNCTION("IF('From Order'!$A1675=COLUMNS($A1675:B1694), LEFT(INDEX(FILTER(B$1:B1674, B$1:B1674&lt;&gt;""""),COUNTA(FILTER(B$1:B1674, B$1:B1674&lt;&gt;""""))), LEN(INDEX(FILTER(B$1:B1674, B$1:B1674&lt;&gt;""""),COUNTA(FILTER(B$1:B1674, B$1:B1674&lt;&gt;""""))))-1), IF('To Order'!$A1675=COL"&amp;"UMNS($A1675:B1694), B1674&amp;RIGHT(INDIRECT(ADDRESS(ROW(B1675)-1, 'From Order'!$A1675)), 1), B1674))"),"C")</f>
        <v>C</v>
      </c>
      <c r="C1675" s="2" t="str">
        <f>IFERROR(__xludf.DUMMYFUNCTION("IF('From Order'!$A1675=COLUMNS($A1675:C1694), LEFT(INDEX(FILTER(C$1:C1674, C$1:C1674&lt;&gt;""""),COUNTA(FILTER(C$1:C1674, C$1:C1674&lt;&gt;""""))), LEN(INDEX(FILTER(C$1:C1674, C$1:C1674&lt;&gt;""""),COUNTA(FILTER(C$1:C1674, C$1:C1674&lt;&gt;""""))))-1), IF('To Order'!$A1675=COL"&amp;"UMNS($A1675:C1694), C1674&amp;RIGHT(INDIRECT(ADDRESS(ROW(C1675)-1, 'From Order'!$A1675)), 1), C1674))"),"TQVQJPPSSTDDWLLFBPTTJGBHFSCZWMDJMBVRRSDLDTMZHZ")</f>
        <v>TQVQJPPSSTDDWLLFBPTTJGBHFSCZWMDJMBVRRSDLDTMZHZ</v>
      </c>
      <c r="D1675" s="2" t="str">
        <f>IFERROR(__xludf.DUMMYFUNCTION("IF('From Order'!$A1675=COLUMNS($A1675:D1694), LEFT(INDEX(FILTER(D$1:D1674, D$1:D1674&lt;&gt;""""),COUNTA(FILTER(D$1:D1674, D$1:D1674&lt;&gt;""""))), LEN(INDEX(FILTER(D$1:D1674, D$1:D1674&lt;&gt;""""),COUNTA(FILTER(D$1:D1674, D$1:D1674&lt;&gt;""""))))-1), IF('To Order'!$A1675=COL"&amp;"UMNS($A1675:D1694), D1674&amp;RIGHT(INDIRECT(ADDRESS(ROW(D1675)-1, 'From Order'!$A1675)), 1), D1674))"),"")</f>
        <v/>
      </c>
      <c r="E1675" s="2" t="str">
        <f>IFERROR(__xludf.DUMMYFUNCTION("IF('From Order'!$A1675=COLUMNS($A1675:E1694), LEFT(INDEX(FILTER(E$1:E1674, E$1:E1674&lt;&gt;""""),COUNTA(FILTER(E$1:E1674, E$1:E1674&lt;&gt;""""))), LEN(INDEX(FILTER(E$1:E1674, E$1:E1674&lt;&gt;""""),COUNTA(FILTER(E$1:E1674, E$1:E1674&lt;&gt;""""))))-1), IF('To Order'!$A1675=COL"&amp;"UMNS($A1675:E1694), E1674&amp;RIGHT(INDIRECT(ADDRESS(ROW(E1675)-1, 'From Order'!$A1675)), 1), E1674))"),"")</f>
        <v/>
      </c>
      <c r="F1675" s="2" t="str">
        <f>IFERROR(__xludf.DUMMYFUNCTION("IF('From Order'!$A1675=COLUMNS($A1675:F1694), LEFT(INDEX(FILTER(F$1:F1674, F$1:F1674&lt;&gt;""""),COUNTA(FILTER(F$1:F1674, F$1:F1674&lt;&gt;""""))), LEN(INDEX(FILTER(F$1:F1674, F$1:F1674&lt;&gt;""""),COUNTA(FILTER(F$1:F1674, F$1:F1674&lt;&gt;""""))))-1), IF('To Order'!$A1675=COL"&amp;"UMNS($A1675:F1694), F1674&amp;RIGHT(INDIRECT(ADDRESS(ROW(F1675)-1, 'From Order'!$A1675)), 1), F1674))"),"RDCVTRBR")</f>
        <v>RDCVTRBR</v>
      </c>
      <c r="G1675" s="2" t="str">
        <f>IFERROR(__xludf.DUMMYFUNCTION("IF('From Order'!$A1675=COLUMNS($A1675:G1694), LEFT(INDEX(FILTER(G$1:G1674, G$1:G1674&lt;&gt;""""),COUNTA(FILTER(G$1:G1674, G$1:G1674&lt;&gt;""""))), LEN(INDEX(FILTER(G$1:G1674, G$1:G1674&lt;&gt;""""),COUNTA(FILTER(G$1:G1674, G$1:G1674&lt;&gt;""""))))-1), IF('To Order'!$A1675=COL"&amp;"UMNS($A1675:G1694), G1674&amp;RIGHT(INDIRECT(ADDRESS(ROW(G1675)-1, 'From Order'!$A1675)), 1), G1674))"),"")</f>
        <v/>
      </c>
      <c r="H1675" s="2" t="str">
        <f>IFERROR(__xludf.DUMMYFUNCTION("IF('From Order'!$A1675=COLUMNS($A1675:H1694), LEFT(INDEX(FILTER(H$1:H1674, H$1:H1674&lt;&gt;""""),COUNTA(FILTER(H$1:H1674, H$1:H1674&lt;&gt;""""))), LEN(INDEX(FILTER(H$1:H1674, H$1:H1674&lt;&gt;""""),COUNTA(FILTER(H$1:H1674, H$1:H1674&lt;&gt;""""))))-1), IF('To Order'!$A1675=COL"&amp;"UMNS($A1675:H1694), H1674&amp;RIGHT(INDIRECT(ADDRESS(ROW(H1675)-1, 'From Order'!$A1675)), 1), H1674))"),"G")</f>
        <v>G</v>
      </c>
      <c r="I1675" s="2" t="str">
        <f>IFERROR(__xludf.DUMMYFUNCTION("IF('From Order'!$A1675=COLUMNS($A1675:I1694), LEFT(INDEX(FILTER(I$1:I1674, I$1:I1674&lt;&gt;""""),COUNTA(FILTER(I$1:I1674, I$1:I1674&lt;&gt;""""))), LEN(INDEX(FILTER(I$1:I1674, I$1:I1674&lt;&gt;""""),COUNTA(FILTER(I$1:I1674, I$1:I1674&lt;&gt;""""))))-1), IF('To Order'!$A1675=COL"&amp;"UMNS($A1675:I1694), I1674&amp;RIGHT(INDIRECT(ADDRESS(ROW(I1675)-1, 'From Order'!$A1675)), 1), I1674))"),"")</f>
        <v/>
      </c>
    </row>
    <row r="1676">
      <c r="A1676" s="2" t="str">
        <f>IFERROR(__xludf.DUMMYFUNCTION("IF('From Order'!$A1676=COLUMNS($A1676:A1695), LEFT(INDEX(FILTER(A$1:A1675, A$1:A1675&lt;&gt;""""),COUNTA(FILTER(A$1:A1675, A$1:A1675&lt;&gt;""""))), LEN(INDEX(FILTER(A$1:A1675, A$1:A1675&lt;&gt;""""),COUNTA(FILTER(A$1:A1675, A$1:A1675&lt;&gt;""""))))-1), IF('To Order'!$A1676=COL"&amp;"UMNS($A1676:A1695), A1675&amp;RIGHT(INDIRECT(ADDRESS(ROW(A1676)-1, 'From Order'!$A1676)), 1), A1675))"),"")</f>
        <v/>
      </c>
      <c r="B1676" s="2" t="str">
        <f>IFERROR(__xludf.DUMMYFUNCTION("IF('From Order'!$A1676=COLUMNS($A1676:B1695), LEFT(INDEX(FILTER(B$1:B1675, B$1:B1675&lt;&gt;""""),COUNTA(FILTER(B$1:B1675, B$1:B1675&lt;&gt;""""))), LEN(INDEX(FILTER(B$1:B1675, B$1:B1675&lt;&gt;""""),COUNTA(FILTER(B$1:B1675, B$1:B1675&lt;&gt;""""))))-1), IF('To Order'!$A1676=COL"&amp;"UMNS($A1676:B1695), B1675&amp;RIGHT(INDIRECT(ADDRESS(ROW(B1676)-1, 'From Order'!$A1676)), 1), B1675))"),"")</f>
        <v/>
      </c>
      <c r="C1676" s="2" t="str">
        <f>IFERROR(__xludf.DUMMYFUNCTION("IF('From Order'!$A1676=COLUMNS($A1676:C1695), LEFT(INDEX(FILTER(C$1:C1675, C$1:C1675&lt;&gt;""""),COUNTA(FILTER(C$1:C1675, C$1:C1675&lt;&gt;""""))), LEN(INDEX(FILTER(C$1:C1675, C$1:C1675&lt;&gt;""""),COUNTA(FILTER(C$1:C1675, C$1:C1675&lt;&gt;""""))))-1), IF('To Order'!$A1676=COL"&amp;"UMNS($A1676:C1695), C1675&amp;RIGHT(INDIRECT(ADDRESS(ROW(C1676)-1, 'From Order'!$A1676)), 1), C1675))"),"TQVQJPPSSTDDWLLFBPTTJGBHFSCZWMDJMBVRRSDLDTMZHZ")</f>
        <v>TQVQJPPSSTDDWLLFBPTTJGBHFSCZWMDJMBVRRSDLDTMZHZ</v>
      </c>
      <c r="D1676" s="2" t="str">
        <f>IFERROR(__xludf.DUMMYFUNCTION("IF('From Order'!$A1676=COLUMNS($A1676:D1695), LEFT(INDEX(FILTER(D$1:D1675, D$1:D1675&lt;&gt;""""),COUNTA(FILTER(D$1:D1675, D$1:D1675&lt;&gt;""""))), LEN(INDEX(FILTER(D$1:D1675, D$1:D1675&lt;&gt;""""),COUNTA(FILTER(D$1:D1675, D$1:D1675&lt;&gt;""""))))-1), IF('To Order'!$A1676=COL"&amp;"UMNS($A1676:D1695), D1675&amp;RIGHT(INDIRECT(ADDRESS(ROW(D1676)-1, 'From Order'!$A1676)), 1), D1675))"),"")</f>
        <v/>
      </c>
      <c r="E1676" s="2" t="str">
        <f>IFERROR(__xludf.DUMMYFUNCTION("IF('From Order'!$A1676=COLUMNS($A1676:E1695), LEFT(INDEX(FILTER(E$1:E1675, E$1:E1675&lt;&gt;""""),COUNTA(FILTER(E$1:E1675, E$1:E1675&lt;&gt;""""))), LEN(INDEX(FILTER(E$1:E1675, E$1:E1675&lt;&gt;""""),COUNTA(FILTER(E$1:E1675, E$1:E1675&lt;&gt;""""))))-1), IF('To Order'!$A1676=COL"&amp;"UMNS($A1676:E1695), E1675&amp;RIGHT(INDIRECT(ADDRESS(ROW(E1676)-1, 'From Order'!$A1676)), 1), E1675))"),"C")</f>
        <v>C</v>
      </c>
      <c r="F1676" s="2" t="str">
        <f>IFERROR(__xludf.DUMMYFUNCTION("IF('From Order'!$A1676=COLUMNS($A1676:F1695), LEFT(INDEX(FILTER(F$1:F1675, F$1:F1675&lt;&gt;""""),COUNTA(FILTER(F$1:F1675, F$1:F1675&lt;&gt;""""))), LEN(INDEX(FILTER(F$1:F1675, F$1:F1675&lt;&gt;""""),COUNTA(FILTER(F$1:F1675, F$1:F1675&lt;&gt;""""))))-1), IF('To Order'!$A1676=COL"&amp;"UMNS($A1676:F1695), F1675&amp;RIGHT(INDIRECT(ADDRESS(ROW(F1676)-1, 'From Order'!$A1676)), 1), F1675))"),"RDCVTRBR")</f>
        <v>RDCVTRBR</v>
      </c>
      <c r="G1676" s="2" t="str">
        <f>IFERROR(__xludf.DUMMYFUNCTION("IF('From Order'!$A1676=COLUMNS($A1676:G1695), LEFT(INDEX(FILTER(G$1:G1675, G$1:G1675&lt;&gt;""""),COUNTA(FILTER(G$1:G1675, G$1:G1675&lt;&gt;""""))), LEN(INDEX(FILTER(G$1:G1675, G$1:G1675&lt;&gt;""""),COUNTA(FILTER(G$1:G1675, G$1:G1675&lt;&gt;""""))))-1), IF('To Order'!$A1676=COL"&amp;"UMNS($A1676:G1695), G1675&amp;RIGHT(INDIRECT(ADDRESS(ROW(G1676)-1, 'From Order'!$A1676)), 1), G1675))"),"")</f>
        <v/>
      </c>
      <c r="H1676" s="2" t="str">
        <f>IFERROR(__xludf.DUMMYFUNCTION("IF('From Order'!$A1676=COLUMNS($A1676:H1695), LEFT(INDEX(FILTER(H$1:H1675, H$1:H1675&lt;&gt;""""),COUNTA(FILTER(H$1:H1675, H$1:H1675&lt;&gt;""""))), LEN(INDEX(FILTER(H$1:H1675, H$1:H1675&lt;&gt;""""),COUNTA(FILTER(H$1:H1675, H$1:H1675&lt;&gt;""""))))-1), IF('To Order'!$A1676=COL"&amp;"UMNS($A1676:H1695), H1675&amp;RIGHT(INDIRECT(ADDRESS(ROW(H1676)-1, 'From Order'!$A1676)), 1), H1675))"),"G")</f>
        <v>G</v>
      </c>
      <c r="I1676" s="2" t="str">
        <f>IFERROR(__xludf.DUMMYFUNCTION("IF('From Order'!$A1676=COLUMNS($A1676:I1695), LEFT(INDEX(FILTER(I$1:I1675, I$1:I1675&lt;&gt;""""),COUNTA(FILTER(I$1:I1675, I$1:I1675&lt;&gt;""""))), LEN(INDEX(FILTER(I$1:I1675, I$1:I1675&lt;&gt;""""),COUNTA(FILTER(I$1:I1675, I$1:I1675&lt;&gt;""""))))-1), IF('To Order'!$A1676=COL"&amp;"UMNS($A1676:I1695), I1675&amp;RIGHT(INDIRECT(ADDRESS(ROW(I1676)-1, 'From Order'!$A1676)), 1), I1675))"),"")</f>
        <v/>
      </c>
    </row>
    <row r="1677">
      <c r="A1677" s="2" t="str">
        <f>IFERROR(__xludf.DUMMYFUNCTION("IF('From Order'!$A1677=COLUMNS($A1677:A1696), LEFT(INDEX(FILTER(A$1:A1676, A$1:A1676&lt;&gt;""""),COUNTA(FILTER(A$1:A1676, A$1:A1676&lt;&gt;""""))), LEN(INDEX(FILTER(A$1:A1676, A$1:A1676&lt;&gt;""""),COUNTA(FILTER(A$1:A1676, A$1:A1676&lt;&gt;""""))))-1), IF('To Order'!$A1677=COL"&amp;"UMNS($A1677:A1696), A1676&amp;RIGHT(INDIRECT(ADDRESS(ROW(A1677)-1, 'From Order'!$A1677)), 1), A1676))"),"")</f>
        <v/>
      </c>
      <c r="B1677" s="2" t="str">
        <f>IFERROR(__xludf.DUMMYFUNCTION("IF('From Order'!$A1677=COLUMNS($A1677:B1696), LEFT(INDEX(FILTER(B$1:B1676, B$1:B1676&lt;&gt;""""),COUNTA(FILTER(B$1:B1676, B$1:B1676&lt;&gt;""""))), LEN(INDEX(FILTER(B$1:B1676, B$1:B1676&lt;&gt;""""),COUNTA(FILTER(B$1:B1676, B$1:B1676&lt;&gt;""""))))-1), IF('To Order'!$A1677=COL"&amp;"UMNS($A1677:B1696), B1676&amp;RIGHT(INDIRECT(ADDRESS(ROW(B1677)-1, 'From Order'!$A1677)), 1), B1676))"),"")</f>
        <v/>
      </c>
      <c r="C1677" s="2" t="str">
        <f>IFERROR(__xludf.DUMMYFUNCTION("IF('From Order'!$A1677=COLUMNS($A1677:C1696), LEFT(INDEX(FILTER(C$1:C1676, C$1:C1676&lt;&gt;""""),COUNTA(FILTER(C$1:C1676, C$1:C1676&lt;&gt;""""))), LEN(INDEX(FILTER(C$1:C1676, C$1:C1676&lt;&gt;""""),COUNTA(FILTER(C$1:C1676, C$1:C1676&lt;&gt;""""))))-1), IF('To Order'!$A1677=COL"&amp;"UMNS($A1677:C1696), C1676&amp;RIGHT(INDIRECT(ADDRESS(ROW(C1677)-1, 'From Order'!$A1677)), 1), C1676))"),"TQVQJPPSSTDDWLLFBPTTJGBHFSCZWMDJMBVRRSDLDTMZHZ")</f>
        <v>TQVQJPPSSTDDWLLFBPTTJGBHFSCZWMDJMBVRRSDLDTMZHZ</v>
      </c>
      <c r="D1677" s="2" t="str">
        <f>IFERROR(__xludf.DUMMYFUNCTION("IF('From Order'!$A1677=COLUMNS($A1677:D1696), LEFT(INDEX(FILTER(D$1:D1676, D$1:D1676&lt;&gt;""""),COUNTA(FILTER(D$1:D1676, D$1:D1676&lt;&gt;""""))), LEN(INDEX(FILTER(D$1:D1676, D$1:D1676&lt;&gt;""""),COUNTA(FILTER(D$1:D1676, D$1:D1676&lt;&gt;""""))))-1), IF('To Order'!$A1677=COL"&amp;"UMNS($A1677:D1696), D1676&amp;RIGHT(INDIRECT(ADDRESS(ROW(D1677)-1, 'From Order'!$A1677)), 1), D1676))"),"R")</f>
        <v>R</v>
      </c>
      <c r="E1677" s="2" t="str">
        <f>IFERROR(__xludf.DUMMYFUNCTION("IF('From Order'!$A1677=COLUMNS($A1677:E1696), LEFT(INDEX(FILTER(E$1:E1676, E$1:E1676&lt;&gt;""""),COUNTA(FILTER(E$1:E1676, E$1:E1676&lt;&gt;""""))), LEN(INDEX(FILTER(E$1:E1676, E$1:E1676&lt;&gt;""""),COUNTA(FILTER(E$1:E1676, E$1:E1676&lt;&gt;""""))))-1), IF('To Order'!$A1677=COL"&amp;"UMNS($A1677:E1696), E1676&amp;RIGHT(INDIRECT(ADDRESS(ROW(E1677)-1, 'From Order'!$A1677)), 1), E1676))"),"C")</f>
        <v>C</v>
      </c>
      <c r="F1677" s="2" t="str">
        <f>IFERROR(__xludf.DUMMYFUNCTION("IF('From Order'!$A1677=COLUMNS($A1677:F1696), LEFT(INDEX(FILTER(F$1:F1676, F$1:F1676&lt;&gt;""""),COUNTA(FILTER(F$1:F1676, F$1:F1676&lt;&gt;""""))), LEN(INDEX(FILTER(F$1:F1676, F$1:F1676&lt;&gt;""""),COUNTA(FILTER(F$1:F1676, F$1:F1676&lt;&gt;""""))))-1), IF('To Order'!$A1677=COL"&amp;"UMNS($A1677:F1696), F1676&amp;RIGHT(INDIRECT(ADDRESS(ROW(F1677)-1, 'From Order'!$A1677)), 1), F1676))"),"RDCVTRB")</f>
        <v>RDCVTRB</v>
      </c>
      <c r="G1677" s="2" t="str">
        <f>IFERROR(__xludf.DUMMYFUNCTION("IF('From Order'!$A1677=COLUMNS($A1677:G1696), LEFT(INDEX(FILTER(G$1:G1676, G$1:G1676&lt;&gt;""""),COUNTA(FILTER(G$1:G1676, G$1:G1676&lt;&gt;""""))), LEN(INDEX(FILTER(G$1:G1676, G$1:G1676&lt;&gt;""""),COUNTA(FILTER(G$1:G1676, G$1:G1676&lt;&gt;""""))))-1), IF('To Order'!$A1677=COL"&amp;"UMNS($A1677:G1696), G1676&amp;RIGHT(INDIRECT(ADDRESS(ROW(G1677)-1, 'From Order'!$A1677)), 1), G1676))"),"")</f>
        <v/>
      </c>
      <c r="H1677" s="2" t="str">
        <f>IFERROR(__xludf.DUMMYFUNCTION("IF('From Order'!$A1677=COLUMNS($A1677:H1696), LEFT(INDEX(FILTER(H$1:H1676, H$1:H1676&lt;&gt;""""),COUNTA(FILTER(H$1:H1676, H$1:H1676&lt;&gt;""""))), LEN(INDEX(FILTER(H$1:H1676, H$1:H1676&lt;&gt;""""),COUNTA(FILTER(H$1:H1676, H$1:H1676&lt;&gt;""""))))-1), IF('To Order'!$A1677=COL"&amp;"UMNS($A1677:H1696), H1676&amp;RIGHT(INDIRECT(ADDRESS(ROW(H1677)-1, 'From Order'!$A1677)), 1), H1676))"),"G")</f>
        <v>G</v>
      </c>
      <c r="I1677" s="2" t="str">
        <f>IFERROR(__xludf.DUMMYFUNCTION("IF('From Order'!$A1677=COLUMNS($A1677:I1696), LEFT(INDEX(FILTER(I$1:I1676, I$1:I1676&lt;&gt;""""),COUNTA(FILTER(I$1:I1676, I$1:I1676&lt;&gt;""""))), LEN(INDEX(FILTER(I$1:I1676, I$1:I1676&lt;&gt;""""),COUNTA(FILTER(I$1:I1676, I$1:I1676&lt;&gt;""""))))-1), IF('To Order'!$A1677=COL"&amp;"UMNS($A1677:I1696), I1676&amp;RIGHT(INDIRECT(ADDRESS(ROW(I1677)-1, 'From Order'!$A1677)), 1), I1676))"),"")</f>
        <v/>
      </c>
    </row>
    <row r="1678">
      <c r="A1678" s="2" t="str">
        <f>IFERROR(__xludf.DUMMYFUNCTION("IF('From Order'!$A1678=COLUMNS($A1678:A1697), LEFT(INDEX(FILTER(A$1:A1677, A$1:A1677&lt;&gt;""""),COUNTA(FILTER(A$1:A1677, A$1:A1677&lt;&gt;""""))), LEN(INDEX(FILTER(A$1:A1677, A$1:A1677&lt;&gt;""""),COUNTA(FILTER(A$1:A1677, A$1:A1677&lt;&gt;""""))))-1), IF('To Order'!$A1678=COL"&amp;"UMNS($A1678:A1697), A1677&amp;RIGHT(INDIRECT(ADDRESS(ROW(A1678)-1, 'From Order'!$A1678)), 1), A1677))"),"")</f>
        <v/>
      </c>
      <c r="B1678" s="2" t="str">
        <f>IFERROR(__xludf.DUMMYFUNCTION("IF('From Order'!$A1678=COLUMNS($A1678:B1697), LEFT(INDEX(FILTER(B$1:B1677, B$1:B1677&lt;&gt;""""),COUNTA(FILTER(B$1:B1677, B$1:B1677&lt;&gt;""""))), LEN(INDEX(FILTER(B$1:B1677, B$1:B1677&lt;&gt;""""),COUNTA(FILTER(B$1:B1677, B$1:B1677&lt;&gt;""""))))-1), IF('To Order'!$A1678=COL"&amp;"UMNS($A1678:B1697), B1677&amp;RIGHT(INDIRECT(ADDRESS(ROW(B1678)-1, 'From Order'!$A1678)), 1), B1677))"),"")</f>
        <v/>
      </c>
      <c r="C1678" s="2" t="str">
        <f>IFERROR(__xludf.DUMMYFUNCTION("IF('From Order'!$A1678=COLUMNS($A1678:C1697), LEFT(INDEX(FILTER(C$1:C1677, C$1:C1677&lt;&gt;""""),COUNTA(FILTER(C$1:C1677, C$1:C1677&lt;&gt;""""))), LEN(INDEX(FILTER(C$1:C1677, C$1:C1677&lt;&gt;""""),COUNTA(FILTER(C$1:C1677, C$1:C1677&lt;&gt;""""))))-1), IF('To Order'!$A1678=COL"&amp;"UMNS($A1678:C1697), C1677&amp;RIGHT(INDIRECT(ADDRESS(ROW(C1678)-1, 'From Order'!$A1678)), 1), C1677))"),"TQVQJPPSSTDDWLLFBPTTJGBHFSCZWMDJMBVRRSDLDTMZHZ")</f>
        <v>TQVQJPPSSTDDWLLFBPTTJGBHFSCZWMDJMBVRRSDLDTMZHZ</v>
      </c>
      <c r="D1678" s="2" t="str">
        <f>IFERROR(__xludf.DUMMYFUNCTION("IF('From Order'!$A1678=COLUMNS($A1678:D1697), LEFT(INDEX(FILTER(D$1:D1677, D$1:D1677&lt;&gt;""""),COUNTA(FILTER(D$1:D1677, D$1:D1677&lt;&gt;""""))), LEN(INDEX(FILTER(D$1:D1677, D$1:D1677&lt;&gt;""""),COUNTA(FILTER(D$1:D1677, D$1:D1677&lt;&gt;""""))))-1), IF('To Order'!$A1678=COL"&amp;"UMNS($A1678:D1697), D1677&amp;RIGHT(INDIRECT(ADDRESS(ROW(D1678)-1, 'From Order'!$A1678)), 1), D1677))"),"RB")</f>
        <v>RB</v>
      </c>
      <c r="E1678" s="2" t="str">
        <f>IFERROR(__xludf.DUMMYFUNCTION("IF('From Order'!$A1678=COLUMNS($A1678:E1697), LEFT(INDEX(FILTER(E$1:E1677, E$1:E1677&lt;&gt;""""),COUNTA(FILTER(E$1:E1677, E$1:E1677&lt;&gt;""""))), LEN(INDEX(FILTER(E$1:E1677, E$1:E1677&lt;&gt;""""),COUNTA(FILTER(E$1:E1677, E$1:E1677&lt;&gt;""""))))-1), IF('To Order'!$A1678=COL"&amp;"UMNS($A1678:E1697), E1677&amp;RIGHT(INDIRECT(ADDRESS(ROW(E1678)-1, 'From Order'!$A1678)), 1), E1677))"),"C")</f>
        <v>C</v>
      </c>
      <c r="F1678" s="2" t="str">
        <f>IFERROR(__xludf.DUMMYFUNCTION("IF('From Order'!$A1678=COLUMNS($A1678:F1697), LEFT(INDEX(FILTER(F$1:F1677, F$1:F1677&lt;&gt;""""),COUNTA(FILTER(F$1:F1677, F$1:F1677&lt;&gt;""""))), LEN(INDEX(FILTER(F$1:F1677, F$1:F1677&lt;&gt;""""),COUNTA(FILTER(F$1:F1677, F$1:F1677&lt;&gt;""""))))-1), IF('To Order'!$A1678=COL"&amp;"UMNS($A1678:F1697), F1677&amp;RIGHT(INDIRECT(ADDRESS(ROW(F1678)-1, 'From Order'!$A1678)), 1), F1677))"),"RDCVTR")</f>
        <v>RDCVTR</v>
      </c>
      <c r="G1678" s="2" t="str">
        <f>IFERROR(__xludf.DUMMYFUNCTION("IF('From Order'!$A1678=COLUMNS($A1678:G1697), LEFT(INDEX(FILTER(G$1:G1677, G$1:G1677&lt;&gt;""""),COUNTA(FILTER(G$1:G1677, G$1:G1677&lt;&gt;""""))), LEN(INDEX(FILTER(G$1:G1677, G$1:G1677&lt;&gt;""""),COUNTA(FILTER(G$1:G1677, G$1:G1677&lt;&gt;""""))))-1), IF('To Order'!$A1678=COL"&amp;"UMNS($A1678:G1697), G1677&amp;RIGHT(INDIRECT(ADDRESS(ROW(G1678)-1, 'From Order'!$A1678)), 1), G1677))"),"")</f>
        <v/>
      </c>
      <c r="H1678" s="2" t="str">
        <f>IFERROR(__xludf.DUMMYFUNCTION("IF('From Order'!$A1678=COLUMNS($A1678:H1697), LEFT(INDEX(FILTER(H$1:H1677, H$1:H1677&lt;&gt;""""),COUNTA(FILTER(H$1:H1677, H$1:H1677&lt;&gt;""""))), LEN(INDEX(FILTER(H$1:H1677, H$1:H1677&lt;&gt;""""),COUNTA(FILTER(H$1:H1677, H$1:H1677&lt;&gt;""""))))-1), IF('To Order'!$A1678=COL"&amp;"UMNS($A1678:H1697), H1677&amp;RIGHT(INDIRECT(ADDRESS(ROW(H1678)-1, 'From Order'!$A1678)), 1), H1677))"),"G")</f>
        <v>G</v>
      </c>
      <c r="I1678" s="2" t="str">
        <f>IFERROR(__xludf.DUMMYFUNCTION("IF('From Order'!$A1678=COLUMNS($A1678:I1697), LEFT(INDEX(FILTER(I$1:I1677, I$1:I1677&lt;&gt;""""),COUNTA(FILTER(I$1:I1677, I$1:I1677&lt;&gt;""""))), LEN(INDEX(FILTER(I$1:I1677, I$1:I1677&lt;&gt;""""),COUNTA(FILTER(I$1:I1677, I$1:I1677&lt;&gt;""""))))-1), IF('To Order'!$A1678=COL"&amp;"UMNS($A1678:I1697), I1677&amp;RIGHT(INDIRECT(ADDRESS(ROW(I1678)-1, 'From Order'!$A1678)), 1), I1677))"),"")</f>
        <v/>
      </c>
    </row>
    <row r="1679">
      <c r="A1679" s="2" t="str">
        <f>IFERROR(__xludf.DUMMYFUNCTION("IF('From Order'!$A1679=COLUMNS($A1679:A1698), LEFT(INDEX(FILTER(A$1:A1678, A$1:A1678&lt;&gt;""""),COUNTA(FILTER(A$1:A1678, A$1:A1678&lt;&gt;""""))), LEN(INDEX(FILTER(A$1:A1678, A$1:A1678&lt;&gt;""""),COUNTA(FILTER(A$1:A1678, A$1:A1678&lt;&gt;""""))))-1), IF('To Order'!$A1679=COL"&amp;"UMNS($A1679:A1698), A1678&amp;RIGHT(INDIRECT(ADDRESS(ROW(A1679)-1, 'From Order'!$A1679)), 1), A1678))"),"")</f>
        <v/>
      </c>
      <c r="B1679" s="2" t="str">
        <f>IFERROR(__xludf.DUMMYFUNCTION("IF('From Order'!$A1679=COLUMNS($A1679:B1698), LEFT(INDEX(FILTER(B$1:B1678, B$1:B1678&lt;&gt;""""),COUNTA(FILTER(B$1:B1678, B$1:B1678&lt;&gt;""""))), LEN(INDEX(FILTER(B$1:B1678, B$1:B1678&lt;&gt;""""),COUNTA(FILTER(B$1:B1678, B$1:B1678&lt;&gt;""""))))-1), IF('To Order'!$A1679=COL"&amp;"UMNS($A1679:B1698), B1678&amp;RIGHT(INDIRECT(ADDRESS(ROW(B1679)-1, 'From Order'!$A1679)), 1), B1678))"),"")</f>
        <v/>
      </c>
      <c r="C1679" s="2" t="str">
        <f>IFERROR(__xludf.DUMMYFUNCTION("IF('From Order'!$A1679=COLUMNS($A1679:C1698), LEFT(INDEX(FILTER(C$1:C1678, C$1:C1678&lt;&gt;""""),COUNTA(FILTER(C$1:C1678, C$1:C1678&lt;&gt;""""))), LEN(INDEX(FILTER(C$1:C1678, C$1:C1678&lt;&gt;""""),COUNTA(FILTER(C$1:C1678, C$1:C1678&lt;&gt;""""))))-1), IF('To Order'!$A1679=COL"&amp;"UMNS($A1679:C1698), C1678&amp;RIGHT(INDIRECT(ADDRESS(ROW(C1679)-1, 'From Order'!$A1679)), 1), C1678))"),"TQVQJPPSSTDDWLLFBPTTJGBHFSCZWMDJMBVRRSDLDTMZHZ")</f>
        <v>TQVQJPPSSTDDWLLFBPTTJGBHFSCZWMDJMBVRRSDLDTMZHZ</v>
      </c>
      <c r="D1679" s="2" t="str">
        <f>IFERROR(__xludf.DUMMYFUNCTION("IF('From Order'!$A1679=COLUMNS($A1679:D1698), LEFT(INDEX(FILTER(D$1:D1678, D$1:D1678&lt;&gt;""""),COUNTA(FILTER(D$1:D1678, D$1:D1678&lt;&gt;""""))), LEN(INDEX(FILTER(D$1:D1678, D$1:D1678&lt;&gt;""""),COUNTA(FILTER(D$1:D1678, D$1:D1678&lt;&gt;""""))))-1), IF('To Order'!$A1679=COL"&amp;"UMNS($A1679:D1698), D1678&amp;RIGHT(INDIRECT(ADDRESS(ROW(D1679)-1, 'From Order'!$A1679)), 1), D1678))"),"RBR")</f>
        <v>RBR</v>
      </c>
      <c r="E1679" s="2" t="str">
        <f>IFERROR(__xludf.DUMMYFUNCTION("IF('From Order'!$A1679=COLUMNS($A1679:E1698), LEFT(INDEX(FILTER(E$1:E1678, E$1:E1678&lt;&gt;""""),COUNTA(FILTER(E$1:E1678, E$1:E1678&lt;&gt;""""))), LEN(INDEX(FILTER(E$1:E1678, E$1:E1678&lt;&gt;""""),COUNTA(FILTER(E$1:E1678, E$1:E1678&lt;&gt;""""))))-1), IF('To Order'!$A1679=COL"&amp;"UMNS($A1679:E1698), E1678&amp;RIGHT(INDIRECT(ADDRESS(ROW(E1679)-1, 'From Order'!$A1679)), 1), E1678))"),"C")</f>
        <v>C</v>
      </c>
      <c r="F1679" s="2" t="str">
        <f>IFERROR(__xludf.DUMMYFUNCTION("IF('From Order'!$A1679=COLUMNS($A1679:F1698), LEFT(INDEX(FILTER(F$1:F1678, F$1:F1678&lt;&gt;""""),COUNTA(FILTER(F$1:F1678, F$1:F1678&lt;&gt;""""))), LEN(INDEX(FILTER(F$1:F1678, F$1:F1678&lt;&gt;""""),COUNTA(FILTER(F$1:F1678, F$1:F1678&lt;&gt;""""))))-1), IF('To Order'!$A1679=COL"&amp;"UMNS($A1679:F1698), F1678&amp;RIGHT(INDIRECT(ADDRESS(ROW(F1679)-1, 'From Order'!$A1679)), 1), F1678))"),"RDCVT")</f>
        <v>RDCVT</v>
      </c>
      <c r="G1679" s="2" t="str">
        <f>IFERROR(__xludf.DUMMYFUNCTION("IF('From Order'!$A1679=COLUMNS($A1679:G1698), LEFT(INDEX(FILTER(G$1:G1678, G$1:G1678&lt;&gt;""""),COUNTA(FILTER(G$1:G1678, G$1:G1678&lt;&gt;""""))), LEN(INDEX(FILTER(G$1:G1678, G$1:G1678&lt;&gt;""""),COUNTA(FILTER(G$1:G1678, G$1:G1678&lt;&gt;""""))))-1), IF('To Order'!$A1679=COL"&amp;"UMNS($A1679:G1698), G1678&amp;RIGHT(INDIRECT(ADDRESS(ROW(G1679)-1, 'From Order'!$A1679)), 1), G1678))"),"")</f>
        <v/>
      </c>
      <c r="H1679" s="2" t="str">
        <f>IFERROR(__xludf.DUMMYFUNCTION("IF('From Order'!$A1679=COLUMNS($A1679:H1698), LEFT(INDEX(FILTER(H$1:H1678, H$1:H1678&lt;&gt;""""),COUNTA(FILTER(H$1:H1678, H$1:H1678&lt;&gt;""""))), LEN(INDEX(FILTER(H$1:H1678, H$1:H1678&lt;&gt;""""),COUNTA(FILTER(H$1:H1678, H$1:H1678&lt;&gt;""""))))-1), IF('To Order'!$A1679=COL"&amp;"UMNS($A1679:H1698), H1678&amp;RIGHT(INDIRECT(ADDRESS(ROW(H1679)-1, 'From Order'!$A1679)), 1), H1678))"),"G")</f>
        <v>G</v>
      </c>
      <c r="I1679" s="2" t="str">
        <f>IFERROR(__xludf.DUMMYFUNCTION("IF('From Order'!$A1679=COLUMNS($A1679:I1698), LEFT(INDEX(FILTER(I$1:I1678, I$1:I1678&lt;&gt;""""),COUNTA(FILTER(I$1:I1678, I$1:I1678&lt;&gt;""""))), LEN(INDEX(FILTER(I$1:I1678, I$1:I1678&lt;&gt;""""),COUNTA(FILTER(I$1:I1678, I$1:I1678&lt;&gt;""""))))-1), IF('To Order'!$A1679=COL"&amp;"UMNS($A1679:I1698), I1678&amp;RIGHT(INDIRECT(ADDRESS(ROW(I1679)-1, 'From Order'!$A1679)), 1), I1678))"),"")</f>
        <v/>
      </c>
    </row>
    <row r="1680">
      <c r="A1680" s="2" t="str">
        <f>IFERROR(__xludf.DUMMYFUNCTION("IF('From Order'!$A1680=COLUMNS($A1680:A1699), LEFT(INDEX(FILTER(A$1:A1679, A$1:A1679&lt;&gt;""""),COUNTA(FILTER(A$1:A1679, A$1:A1679&lt;&gt;""""))), LEN(INDEX(FILTER(A$1:A1679, A$1:A1679&lt;&gt;""""),COUNTA(FILTER(A$1:A1679, A$1:A1679&lt;&gt;""""))))-1), IF('To Order'!$A1680=COL"&amp;"UMNS($A1680:A1699), A1679&amp;RIGHT(INDIRECT(ADDRESS(ROW(A1680)-1, 'From Order'!$A1680)), 1), A1679))"),"")</f>
        <v/>
      </c>
      <c r="B1680" s="2" t="str">
        <f>IFERROR(__xludf.DUMMYFUNCTION("IF('From Order'!$A1680=COLUMNS($A1680:B1699), LEFT(INDEX(FILTER(B$1:B1679, B$1:B1679&lt;&gt;""""),COUNTA(FILTER(B$1:B1679, B$1:B1679&lt;&gt;""""))), LEN(INDEX(FILTER(B$1:B1679, B$1:B1679&lt;&gt;""""),COUNTA(FILTER(B$1:B1679, B$1:B1679&lt;&gt;""""))))-1), IF('To Order'!$A1680=COL"&amp;"UMNS($A1680:B1699), B1679&amp;RIGHT(INDIRECT(ADDRESS(ROW(B1680)-1, 'From Order'!$A1680)), 1), B1679))"),"")</f>
        <v/>
      </c>
      <c r="C1680" s="2" t="str">
        <f>IFERROR(__xludf.DUMMYFUNCTION("IF('From Order'!$A1680=COLUMNS($A1680:C1699), LEFT(INDEX(FILTER(C$1:C1679, C$1:C1679&lt;&gt;""""),COUNTA(FILTER(C$1:C1679, C$1:C1679&lt;&gt;""""))), LEN(INDEX(FILTER(C$1:C1679, C$1:C1679&lt;&gt;""""),COUNTA(FILTER(C$1:C1679, C$1:C1679&lt;&gt;""""))))-1), IF('To Order'!$A1680=COL"&amp;"UMNS($A1680:C1699), C1679&amp;RIGHT(INDIRECT(ADDRESS(ROW(C1680)-1, 'From Order'!$A1680)), 1), C1679))"),"TQVQJPPSSTDDWLLFBPTTJGBHFSCZWMDJMBVRRSDLDTMZHZ")</f>
        <v>TQVQJPPSSTDDWLLFBPTTJGBHFSCZWMDJMBVRRSDLDTMZHZ</v>
      </c>
      <c r="D1680" s="2" t="str">
        <f>IFERROR(__xludf.DUMMYFUNCTION("IF('From Order'!$A1680=COLUMNS($A1680:D1699), LEFT(INDEX(FILTER(D$1:D1679, D$1:D1679&lt;&gt;""""),COUNTA(FILTER(D$1:D1679, D$1:D1679&lt;&gt;""""))), LEN(INDEX(FILTER(D$1:D1679, D$1:D1679&lt;&gt;""""),COUNTA(FILTER(D$1:D1679, D$1:D1679&lt;&gt;""""))))-1), IF('To Order'!$A1680=COL"&amp;"UMNS($A1680:D1699), D1679&amp;RIGHT(INDIRECT(ADDRESS(ROW(D1680)-1, 'From Order'!$A1680)), 1), D1679))"),"RBRT")</f>
        <v>RBRT</v>
      </c>
      <c r="E1680" s="2" t="str">
        <f>IFERROR(__xludf.DUMMYFUNCTION("IF('From Order'!$A1680=COLUMNS($A1680:E1699), LEFT(INDEX(FILTER(E$1:E1679, E$1:E1679&lt;&gt;""""),COUNTA(FILTER(E$1:E1679, E$1:E1679&lt;&gt;""""))), LEN(INDEX(FILTER(E$1:E1679, E$1:E1679&lt;&gt;""""),COUNTA(FILTER(E$1:E1679, E$1:E1679&lt;&gt;""""))))-1), IF('To Order'!$A1680=COL"&amp;"UMNS($A1680:E1699), E1679&amp;RIGHT(INDIRECT(ADDRESS(ROW(E1680)-1, 'From Order'!$A1680)), 1), E1679))"),"C")</f>
        <v>C</v>
      </c>
      <c r="F1680" s="2" t="str">
        <f>IFERROR(__xludf.DUMMYFUNCTION("IF('From Order'!$A1680=COLUMNS($A1680:F1699), LEFT(INDEX(FILTER(F$1:F1679, F$1:F1679&lt;&gt;""""),COUNTA(FILTER(F$1:F1679, F$1:F1679&lt;&gt;""""))), LEN(INDEX(FILTER(F$1:F1679, F$1:F1679&lt;&gt;""""),COUNTA(FILTER(F$1:F1679, F$1:F1679&lt;&gt;""""))))-1), IF('To Order'!$A1680=COL"&amp;"UMNS($A1680:F1699), F1679&amp;RIGHT(INDIRECT(ADDRESS(ROW(F1680)-1, 'From Order'!$A1680)), 1), F1679))"),"RDCV")</f>
        <v>RDCV</v>
      </c>
      <c r="G1680" s="2" t="str">
        <f>IFERROR(__xludf.DUMMYFUNCTION("IF('From Order'!$A1680=COLUMNS($A1680:G1699), LEFT(INDEX(FILTER(G$1:G1679, G$1:G1679&lt;&gt;""""),COUNTA(FILTER(G$1:G1679, G$1:G1679&lt;&gt;""""))), LEN(INDEX(FILTER(G$1:G1679, G$1:G1679&lt;&gt;""""),COUNTA(FILTER(G$1:G1679, G$1:G1679&lt;&gt;""""))))-1), IF('To Order'!$A1680=COL"&amp;"UMNS($A1680:G1699), G1679&amp;RIGHT(INDIRECT(ADDRESS(ROW(G1680)-1, 'From Order'!$A1680)), 1), G1679))"),"")</f>
        <v/>
      </c>
      <c r="H1680" s="2" t="str">
        <f>IFERROR(__xludf.DUMMYFUNCTION("IF('From Order'!$A1680=COLUMNS($A1680:H1699), LEFT(INDEX(FILTER(H$1:H1679, H$1:H1679&lt;&gt;""""),COUNTA(FILTER(H$1:H1679, H$1:H1679&lt;&gt;""""))), LEN(INDEX(FILTER(H$1:H1679, H$1:H1679&lt;&gt;""""),COUNTA(FILTER(H$1:H1679, H$1:H1679&lt;&gt;""""))))-1), IF('To Order'!$A1680=COL"&amp;"UMNS($A1680:H1699), H1679&amp;RIGHT(INDIRECT(ADDRESS(ROW(H1680)-1, 'From Order'!$A1680)), 1), H1679))"),"G")</f>
        <v>G</v>
      </c>
      <c r="I1680" s="2" t="str">
        <f>IFERROR(__xludf.DUMMYFUNCTION("IF('From Order'!$A1680=COLUMNS($A1680:I1699), LEFT(INDEX(FILTER(I$1:I1679, I$1:I1679&lt;&gt;""""),COUNTA(FILTER(I$1:I1679, I$1:I1679&lt;&gt;""""))), LEN(INDEX(FILTER(I$1:I1679, I$1:I1679&lt;&gt;""""),COUNTA(FILTER(I$1:I1679, I$1:I1679&lt;&gt;""""))))-1), IF('To Order'!$A1680=COL"&amp;"UMNS($A1680:I1699), I1679&amp;RIGHT(INDIRECT(ADDRESS(ROW(I1680)-1, 'From Order'!$A1680)), 1), I1679))"),"")</f>
        <v/>
      </c>
    </row>
    <row r="1681">
      <c r="A1681" s="2" t="str">
        <f>IFERROR(__xludf.DUMMYFUNCTION("IF('From Order'!$A1681=COLUMNS($A1681:A1700), LEFT(INDEX(FILTER(A$1:A1680, A$1:A1680&lt;&gt;""""),COUNTA(FILTER(A$1:A1680, A$1:A1680&lt;&gt;""""))), LEN(INDEX(FILTER(A$1:A1680, A$1:A1680&lt;&gt;""""),COUNTA(FILTER(A$1:A1680, A$1:A1680&lt;&gt;""""))))-1), IF('To Order'!$A1681=COL"&amp;"UMNS($A1681:A1700), A1680&amp;RIGHT(INDIRECT(ADDRESS(ROW(A1681)-1, 'From Order'!$A1681)), 1), A1680))"),"")</f>
        <v/>
      </c>
      <c r="B1681" s="2" t="str">
        <f>IFERROR(__xludf.DUMMYFUNCTION("IF('From Order'!$A1681=COLUMNS($A1681:B1700), LEFT(INDEX(FILTER(B$1:B1680, B$1:B1680&lt;&gt;""""),COUNTA(FILTER(B$1:B1680, B$1:B1680&lt;&gt;""""))), LEN(INDEX(FILTER(B$1:B1680, B$1:B1680&lt;&gt;""""),COUNTA(FILTER(B$1:B1680, B$1:B1680&lt;&gt;""""))))-1), IF('To Order'!$A1681=COL"&amp;"UMNS($A1681:B1700), B1680&amp;RIGHT(INDIRECT(ADDRESS(ROW(B1681)-1, 'From Order'!$A1681)), 1), B1680))"),"")</f>
        <v/>
      </c>
      <c r="C1681" s="2" t="str">
        <f>IFERROR(__xludf.DUMMYFUNCTION("IF('From Order'!$A1681=COLUMNS($A1681:C1700), LEFT(INDEX(FILTER(C$1:C1680, C$1:C1680&lt;&gt;""""),COUNTA(FILTER(C$1:C1680, C$1:C1680&lt;&gt;""""))), LEN(INDEX(FILTER(C$1:C1680, C$1:C1680&lt;&gt;""""),COUNTA(FILTER(C$1:C1680, C$1:C1680&lt;&gt;""""))))-1), IF('To Order'!$A1681=COL"&amp;"UMNS($A1681:C1700), C1680&amp;RIGHT(INDIRECT(ADDRESS(ROW(C1681)-1, 'From Order'!$A1681)), 1), C1680))"),"TQVQJPPSSTDDWLLFBPTTJGBHFSCZWMDJMBVRRSDLDTMZHZ")</f>
        <v>TQVQJPPSSTDDWLLFBPTTJGBHFSCZWMDJMBVRRSDLDTMZHZ</v>
      </c>
      <c r="D1681" s="2" t="str">
        <f>IFERROR(__xludf.DUMMYFUNCTION("IF('From Order'!$A1681=COLUMNS($A1681:D1700), LEFT(INDEX(FILTER(D$1:D1680, D$1:D1680&lt;&gt;""""),COUNTA(FILTER(D$1:D1680, D$1:D1680&lt;&gt;""""))), LEN(INDEX(FILTER(D$1:D1680, D$1:D1680&lt;&gt;""""),COUNTA(FILTER(D$1:D1680, D$1:D1680&lt;&gt;""""))))-1), IF('To Order'!$A1681=COL"&amp;"UMNS($A1681:D1700), D1680&amp;RIGHT(INDIRECT(ADDRESS(ROW(D1681)-1, 'From Order'!$A1681)), 1), D1680))"),"RBRTV")</f>
        <v>RBRTV</v>
      </c>
      <c r="E1681" s="2" t="str">
        <f>IFERROR(__xludf.DUMMYFUNCTION("IF('From Order'!$A1681=COLUMNS($A1681:E1700), LEFT(INDEX(FILTER(E$1:E1680, E$1:E1680&lt;&gt;""""),COUNTA(FILTER(E$1:E1680, E$1:E1680&lt;&gt;""""))), LEN(INDEX(FILTER(E$1:E1680, E$1:E1680&lt;&gt;""""),COUNTA(FILTER(E$1:E1680, E$1:E1680&lt;&gt;""""))))-1), IF('To Order'!$A1681=COL"&amp;"UMNS($A1681:E1700), E1680&amp;RIGHT(INDIRECT(ADDRESS(ROW(E1681)-1, 'From Order'!$A1681)), 1), E1680))"),"C")</f>
        <v>C</v>
      </c>
      <c r="F1681" s="2" t="str">
        <f>IFERROR(__xludf.DUMMYFUNCTION("IF('From Order'!$A1681=COLUMNS($A1681:F1700), LEFT(INDEX(FILTER(F$1:F1680, F$1:F1680&lt;&gt;""""),COUNTA(FILTER(F$1:F1680, F$1:F1680&lt;&gt;""""))), LEN(INDEX(FILTER(F$1:F1680, F$1:F1680&lt;&gt;""""),COUNTA(FILTER(F$1:F1680, F$1:F1680&lt;&gt;""""))))-1), IF('To Order'!$A1681=COL"&amp;"UMNS($A1681:F1700), F1680&amp;RIGHT(INDIRECT(ADDRESS(ROW(F1681)-1, 'From Order'!$A1681)), 1), F1680))"),"RDC")</f>
        <v>RDC</v>
      </c>
      <c r="G1681" s="2" t="str">
        <f>IFERROR(__xludf.DUMMYFUNCTION("IF('From Order'!$A1681=COLUMNS($A1681:G1700), LEFT(INDEX(FILTER(G$1:G1680, G$1:G1680&lt;&gt;""""),COUNTA(FILTER(G$1:G1680, G$1:G1680&lt;&gt;""""))), LEN(INDEX(FILTER(G$1:G1680, G$1:G1680&lt;&gt;""""),COUNTA(FILTER(G$1:G1680, G$1:G1680&lt;&gt;""""))))-1), IF('To Order'!$A1681=COL"&amp;"UMNS($A1681:G1700), G1680&amp;RIGHT(INDIRECT(ADDRESS(ROW(G1681)-1, 'From Order'!$A1681)), 1), G1680))"),"")</f>
        <v/>
      </c>
      <c r="H1681" s="2" t="str">
        <f>IFERROR(__xludf.DUMMYFUNCTION("IF('From Order'!$A1681=COLUMNS($A1681:H1700), LEFT(INDEX(FILTER(H$1:H1680, H$1:H1680&lt;&gt;""""),COUNTA(FILTER(H$1:H1680, H$1:H1680&lt;&gt;""""))), LEN(INDEX(FILTER(H$1:H1680, H$1:H1680&lt;&gt;""""),COUNTA(FILTER(H$1:H1680, H$1:H1680&lt;&gt;""""))))-1), IF('To Order'!$A1681=COL"&amp;"UMNS($A1681:H1700), H1680&amp;RIGHT(INDIRECT(ADDRESS(ROW(H1681)-1, 'From Order'!$A1681)), 1), H1680))"),"G")</f>
        <v>G</v>
      </c>
      <c r="I1681" s="2" t="str">
        <f>IFERROR(__xludf.DUMMYFUNCTION("IF('From Order'!$A1681=COLUMNS($A1681:I1700), LEFT(INDEX(FILTER(I$1:I1680, I$1:I1680&lt;&gt;""""),COUNTA(FILTER(I$1:I1680, I$1:I1680&lt;&gt;""""))), LEN(INDEX(FILTER(I$1:I1680, I$1:I1680&lt;&gt;""""),COUNTA(FILTER(I$1:I1680, I$1:I1680&lt;&gt;""""))))-1), IF('To Order'!$A1681=COL"&amp;"UMNS($A1681:I1700), I1680&amp;RIGHT(INDIRECT(ADDRESS(ROW(I1681)-1, 'From Order'!$A1681)), 1), I1680))"),"")</f>
        <v/>
      </c>
    </row>
    <row r="1682">
      <c r="A1682" s="2" t="str">
        <f>IFERROR(__xludf.DUMMYFUNCTION("IF('From Order'!$A1682=COLUMNS($A1682:A1701), LEFT(INDEX(FILTER(A$1:A1681, A$1:A1681&lt;&gt;""""),COUNTA(FILTER(A$1:A1681, A$1:A1681&lt;&gt;""""))), LEN(INDEX(FILTER(A$1:A1681, A$1:A1681&lt;&gt;""""),COUNTA(FILTER(A$1:A1681, A$1:A1681&lt;&gt;""""))))-1), IF('To Order'!$A1682=COL"&amp;"UMNS($A1682:A1701), A1681&amp;RIGHT(INDIRECT(ADDRESS(ROW(A1682)-1, 'From Order'!$A1682)), 1), A1681))"),"")</f>
        <v/>
      </c>
      <c r="B1682" s="2" t="str">
        <f>IFERROR(__xludf.DUMMYFUNCTION("IF('From Order'!$A1682=COLUMNS($A1682:B1701), LEFT(INDEX(FILTER(B$1:B1681, B$1:B1681&lt;&gt;""""),COUNTA(FILTER(B$1:B1681, B$1:B1681&lt;&gt;""""))), LEN(INDEX(FILTER(B$1:B1681, B$1:B1681&lt;&gt;""""),COUNTA(FILTER(B$1:B1681, B$1:B1681&lt;&gt;""""))))-1), IF('To Order'!$A1682=COL"&amp;"UMNS($A1682:B1701), B1681&amp;RIGHT(INDIRECT(ADDRESS(ROW(B1682)-1, 'From Order'!$A1682)), 1), B1681))"),"")</f>
        <v/>
      </c>
      <c r="C1682" s="2" t="str">
        <f>IFERROR(__xludf.DUMMYFUNCTION("IF('From Order'!$A1682=COLUMNS($A1682:C1701), LEFT(INDEX(FILTER(C$1:C1681, C$1:C1681&lt;&gt;""""),COUNTA(FILTER(C$1:C1681, C$1:C1681&lt;&gt;""""))), LEN(INDEX(FILTER(C$1:C1681, C$1:C1681&lt;&gt;""""),COUNTA(FILTER(C$1:C1681, C$1:C1681&lt;&gt;""""))))-1), IF('To Order'!$A1682=COL"&amp;"UMNS($A1682:C1701), C1681&amp;RIGHT(INDIRECT(ADDRESS(ROW(C1682)-1, 'From Order'!$A1682)), 1), C1681))"),"TQVQJPPSSTDDWLLFBPTTJGBHFSCZWMDJMBVRRSDLDTMZHZ")</f>
        <v>TQVQJPPSSTDDWLLFBPTTJGBHFSCZWMDJMBVRRSDLDTMZHZ</v>
      </c>
      <c r="D1682" s="2" t="str">
        <f>IFERROR(__xludf.DUMMYFUNCTION("IF('From Order'!$A1682=COLUMNS($A1682:D1701), LEFT(INDEX(FILTER(D$1:D1681, D$1:D1681&lt;&gt;""""),COUNTA(FILTER(D$1:D1681, D$1:D1681&lt;&gt;""""))), LEN(INDEX(FILTER(D$1:D1681, D$1:D1681&lt;&gt;""""),COUNTA(FILTER(D$1:D1681, D$1:D1681&lt;&gt;""""))))-1), IF('To Order'!$A1682=COL"&amp;"UMNS($A1682:D1701), D1681&amp;RIGHT(INDIRECT(ADDRESS(ROW(D1682)-1, 'From Order'!$A1682)), 1), D1681))"),"RBRTVC")</f>
        <v>RBRTVC</v>
      </c>
      <c r="E1682" s="2" t="str">
        <f>IFERROR(__xludf.DUMMYFUNCTION("IF('From Order'!$A1682=COLUMNS($A1682:E1701), LEFT(INDEX(FILTER(E$1:E1681, E$1:E1681&lt;&gt;""""),COUNTA(FILTER(E$1:E1681, E$1:E1681&lt;&gt;""""))), LEN(INDEX(FILTER(E$1:E1681, E$1:E1681&lt;&gt;""""),COUNTA(FILTER(E$1:E1681, E$1:E1681&lt;&gt;""""))))-1), IF('To Order'!$A1682=COL"&amp;"UMNS($A1682:E1701), E1681&amp;RIGHT(INDIRECT(ADDRESS(ROW(E1682)-1, 'From Order'!$A1682)), 1), E1681))"),"C")</f>
        <v>C</v>
      </c>
      <c r="F1682" s="2" t="str">
        <f>IFERROR(__xludf.DUMMYFUNCTION("IF('From Order'!$A1682=COLUMNS($A1682:F1701), LEFT(INDEX(FILTER(F$1:F1681, F$1:F1681&lt;&gt;""""),COUNTA(FILTER(F$1:F1681, F$1:F1681&lt;&gt;""""))), LEN(INDEX(FILTER(F$1:F1681, F$1:F1681&lt;&gt;""""),COUNTA(FILTER(F$1:F1681, F$1:F1681&lt;&gt;""""))))-1), IF('To Order'!$A1682=COL"&amp;"UMNS($A1682:F1701), F1681&amp;RIGHT(INDIRECT(ADDRESS(ROW(F1682)-1, 'From Order'!$A1682)), 1), F1681))"),"RD")</f>
        <v>RD</v>
      </c>
      <c r="G1682" s="2" t="str">
        <f>IFERROR(__xludf.DUMMYFUNCTION("IF('From Order'!$A1682=COLUMNS($A1682:G1701), LEFT(INDEX(FILTER(G$1:G1681, G$1:G1681&lt;&gt;""""),COUNTA(FILTER(G$1:G1681, G$1:G1681&lt;&gt;""""))), LEN(INDEX(FILTER(G$1:G1681, G$1:G1681&lt;&gt;""""),COUNTA(FILTER(G$1:G1681, G$1:G1681&lt;&gt;""""))))-1), IF('To Order'!$A1682=COL"&amp;"UMNS($A1682:G1701), G1681&amp;RIGHT(INDIRECT(ADDRESS(ROW(G1682)-1, 'From Order'!$A1682)), 1), G1681))"),"")</f>
        <v/>
      </c>
      <c r="H1682" s="2" t="str">
        <f>IFERROR(__xludf.DUMMYFUNCTION("IF('From Order'!$A1682=COLUMNS($A1682:H1701), LEFT(INDEX(FILTER(H$1:H1681, H$1:H1681&lt;&gt;""""),COUNTA(FILTER(H$1:H1681, H$1:H1681&lt;&gt;""""))), LEN(INDEX(FILTER(H$1:H1681, H$1:H1681&lt;&gt;""""),COUNTA(FILTER(H$1:H1681, H$1:H1681&lt;&gt;""""))))-1), IF('To Order'!$A1682=COL"&amp;"UMNS($A1682:H1701), H1681&amp;RIGHT(INDIRECT(ADDRESS(ROW(H1682)-1, 'From Order'!$A1682)), 1), H1681))"),"G")</f>
        <v>G</v>
      </c>
      <c r="I1682" s="2" t="str">
        <f>IFERROR(__xludf.DUMMYFUNCTION("IF('From Order'!$A1682=COLUMNS($A1682:I1701), LEFT(INDEX(FILTER(I$1:I1681, I$1:I1681&lt;&gt;""""),COUNTA(FILTER(I$1:I1681, I$1:I1681&lt;&gt;""""))), LEN(INDEX(FILTER(I$1:I1681, I$1:I1681&lt;&gt;""""),COUNTA(FILTER(I$1:I1681, I$1:I1681&lt;&gt;""""))))-1), IF('To Order'!$A1682=COL"&amp;"UMNS($A1682:I1701), I1681&amp;RIGHT(INDIRECT(ADDRESS(ROW(I1682)-1, 'From Order'!$A1682)), 1), I1681))"),"")</f>
        <v/>
      </c>
    </row>
    <row r="1683">
      <c r="A1683" s="2" t="str">
        <f>IFERROR(__xludf.DUMMYFUNCTION("IF('From Order'!$A1683=COLUMNS($A1683:A1702), LEFT(INDEX(FILTER(A$1:A1682, A$1:A1682&lt;&gt;""""),COUNTA(FILTER(A$1:A1682, A$1:A1682&lt;&gt;""""))), LEN(INDEX(FILTER(A$1:A1682, A$1:A1682&lt;&gt;""""),COUNTA(FILTER(A$1:A1682, A$1:A1682&lt;&gt;""""))))-1), IF('To Order'!$A1683=COL"&amp;"UMNS($A1683:A1702), A1682&amp;RIGHT(INDIRECT(ADDRESS(ROW(A1683)-1, 'From Order'!$A1683)), 1), A1682))"),"")</f>
        <v/>
      </c>
      <c r="B1683" s="2" t="str">
        <f>IFERROR(__xludf.DUMMYFUNCTION("IF('From Order'!$A1683=COLUMNS($A1683:B1702), LEFT(INDEX(FILTER(B$1:B1682, B$1:B1682&lt;&gt;""""),COUNTA(FILTER(B$1:B1682, B$1:B1682&lt;&gt;""""))), LEN(INDEX(FILTER(B$1:B1682, B$1:B1682&lt;&gt;""""),COUNTA(FILTER(B$1:B1682, B$1:B1682&lt;&gt;""""))))-1), IF('To Order'!$A1683=COL"&amp;"UMNS($A1683:B1702), B1682&amp;RIGHT(INDIRECT(ADDRESS(ROW(B1683)-1, 'From Order'!$A1683)), 1), B1682))"),"C")</f>
        <v>C</v>
      </c>
      <c r="C1683" s="2" t="str">
        <f>IFERROR(__xludf.DUMMYFUNCTION("IF('From Order'!$A1683=COLUMNS($A1683:C1702), LEFT(INDEX(FILTER(C$1:C1682, C$1:C1682&lt;&gt;""""),COUNTA(FILTER(C$1:C1682, C$1:C1682&lt;&gt;""""))), LEN(INDEX(FILTER(C$1:C1682, C$1:C1682&lt;&gt;""""),COUNTA(FILTER(C$1:C1682, C$1:C1682&lt;&gt;""""))))-1), IF('To Order'!$A1683=COL"&amp;"UMNS($A1683:C1702), C1682&amp;RIGHT(INDIRECT(ADDRESS(ROW(C1683)-1, 'From Order'!$A1683)), 1), C1682))"),"TQVQJPPSSTDDWLLFBPTTJGBHFSCZWMDJMBVRRSDLDTMZHZ")</f>
        <v>TQVQJPPSSTDDWLLFBPTTJGBHFSCZWMDJMBVRRSDLDTMZHZ</v>
      </c>
      <c r="D1683" s="2" t="str">
        <f>IFERROR(__xludf.DUMMYFUNCTION("IF('From Order'!$A1683=COLUMNS($A1683:D1702), LEFT(INDEX(FILTER(D$1:D1682, D$1:D1682&lt;&gt;""""),COUNTA(FILTER(D$1:D1682, D$1:D1682&lt;&gt;""""))), LEN(INDEX(FILTER(D$1:D1682, D$1:D1682&lt;&gt;""""),COUNTA(FILTER(D$1:D1682, D$1:D1682&lt;&gt;""""))))-1), IF('To Order'!$A1683=COL"&amp;"UMNS($A1683:D1702), D1682&amp;RIGHT(INDIRECT(ADDRESS(ROW(D1683)-1, 'From Order'!$A1683)), 1), D1682))"),"RBRTV")</f>
        <v>RBRTV</v>
      </c>
      <c r="E1683" s="2" t="str">
        <f>IFERROR(__xludf.DUMMYFUNCTION("IF('From Order'!$A1683=COLUMNS($A1683:E1702), LEFT(INDEX(FILTER(E$1:E1682, E$1:E1682&lt;&gt;""""),COUNTA(FILTER(E$1:E1682, E$1:E1682&lt;&gt;""""))), LEN(INDEX(FILTER(E$1:E1682, E$1:E1682&lt;&gt;""""),COUNTA(FILTER(E$1:E1682, E$1:E1682&lt;&gt;""""))))-1), IF('To Order'!$A1683=COL"&amp;"UMNS($A1683:E1702), E1682&amp;RIGHT(INDIRECT(ADDRESS(ROW(E1683)-1, 'From Order'!$A1683)), 1), E1682))"),"C")</f>
        <v>C</v>
      </c>
      <c r="F1683" s="2" t="str">
        <f>IFERROR(__xludf.DUMMYFUNCTION("IF('From Order'!$A1683=COLUMNS($A1683:F1702), LEFT(INDEX(FILTER(F$1:F1682, F$1:F1682&lt;&gt;""""),COUNTA(FILTER(F$1:F1682, F$1:F1682&lt;&gt;""""))), LEN(INDEX(FILTER(F$1:F1682, F$1:F1682&lt;&gt;""""),COUNTA(FILTER(F$1:F1682, F$1:F1682&lt;&gt;""""))))-1), IF('To Order'!$A1683=COL"&amp;"UMNS($A1683:F1702), F1682&amp;RIGHT(INDIRECT(ADDRESS(ROW(F1683)-1, 'From Order'!$A1683)), 1), F1682))"),"RD")</f>
        <v>RD</v>
      </c>
      <c r="G1683" s="2" t="str">
        <f>IFERROR(__xludf.DUMMYFUNCTION("IF('From Order'!$A1683=COLUMNS($A1683:G1702), LEFT(INDEX(FILTER(G$1:G1682, G$1:G1682&lt;&gt;""""),COUNTA(FILTER(G$1:G1682, G$1:G1682&lt;&gt;""""))), LEN(INDEX(FILTER(G$1:G1682, G$1:G1682&lt;&gt;""""),COUNTA(FILTER(G$1:G1682, G$1:G1682&lt;&gt;""""))))-1), IF('To Order'!$A1683=COL"&amp;"UMNS($A1683:G1702), G1682&amp;RIGHT(INDIRECT(ADDRESS(ROW(G1683)-1, 'From Order'!$A1683)), 1), G1682))"),"")</f>
        <v/>
      </c>
      <c r="H1683" s="2" t="str">
        <f>IFERROR(__xludf.DUMMYFUNCTION("IF('From Order'!$A1683=COLUMNS($A1683:H1702), LEFT(INDEX(FILTER(H$1:H1682, H$1:H1682&lt;&gt;""""),COUNTA(FILTER(H$1:H1682, H$1:H1682&lt;&gt;""""))), LEN(INDEX(FILTER(H$1:H1682, H$1:H1682&lt;&gt;""""),COUNTA(FILTER(H$1:H1682, H$1:H1682&lt;&gt;""""))))-1), IF('To Order'!$A1683=COL"&amp;"UMNS($A1683:H1702), H1682&amp;RIGHT(INDIRECT(ADDRESS(ROW(H1683)-1, 'From Order'!$A1683)), 1), H1682))"),"G")</f>
        <v>G</v>
      </c>
      <c r="I1683" s="2" t="str">
        <f>IFERROR(__xludf.DUMMYFUNCTION("IF('From Order'!$A1683=COLUMNS($A1683:I1702), LEFT(INDEX(FILTER(I$1:I1682, I$1:I1682&lt;&gt;""""),COUNTA(FILTER(I$1:I1682, I$1:I1682&lt;&gt;""""))), LEN(INDEX(FILTER(I$1:I1682, I$1:I1682&lt;&gt;""""),COUNTA(FILTER(I$1:I1682, I$1:I1682&lt;&gt;""""))))-1), IF('To Order'!$A1683=COL"&amp;"UMNS($A1683:I1702), I1682&amp;RIGHT(INDIRECT(ADDRESS(ROW(I1683)-1, 'From Order'!$A1683)), 1), I1682))"),"")</f>
        <v/>
      </c>
    </row>
    <row r="1684">
      <c r="A1684" s="2" t="str">
        <f>IFERROR(__xludf.DUMMYFUNCTION("IF('From Order'!$A1684=COLUMNS($A1684:A1703), LEFT(INDEX(FILTER(A$1:A1683, A$1:A1683&lt;&gt;""""),COUNTA(FILTER(A$1:A1683, A$1:A1683&lt;&gt;""""))), LEN(INDEX(FILTER(A$1:A1683, A$1:A1683&lt;&gt;""""),COUNTA(FILTER(A$1:A1683, A$1:A1683&lt;&gt;""""))))-1), IF('To Order'!$A1684=COL"&amp;"UMNS($A1684:A1703), A1683&amp;RIGHT(INDIRECT(ADDRESS(ROW(A1684)-1, 'From Order'!$A1684)), 1), A1683))"),"")</f>
        <v/>
      </c>
      <c r="B1684" s="2" t="str">
        <f>IFERROR(__xludf.DUMMYFUNCTION("IF('From Order'!$A1684=COLUMNS($A1684:B1703), LEFT(INDEX(FILTER(B$1:B1683, B$1:B1683&lt;&gt;""""),COUNTA(FILTER(B$1:B1683, B$1:B1683&lt;&gt;""""))), LEN(INDEX(FILTER(B$1:B1683, B$1:B1683&lt;&gt;""""),COUNTA(FILTER(B$1:B1683, B$1:B1683&lt;&gt;""""))))-1), IF('To Order'!$A1684=COL"&amp;"UMNS($A1684:B1703), B1683&amp;RIGHT(INDIRECT(ADDRESS(ROW(B1684)-1, 'From Order'!$A1684)), 1), B1683))"),"CV")</f>
        <v>CV</v>
      </c>
      <c r="C1684" s="2" t="str">
        <f>IFERROR(__xludf.DUMMYFUNCTION("IF('From Order'!$A1684=COLUMNS($A1684:C1703), LEFT(INDEX(FILTER(C$1:C1683, C$1:C1683&lt;&gt;""""),COUNTA(FILTER(C$1:C1683, C$1:C1683&lt;&gt;""""))), LEN(INDEX(FILTER(C$1:C1683, C$1:C1683&lt;&gt;""""),COUNTA(FILTER(C$1:C1683, C$1:C1683&lt;&gt;""""))))-1), IF('To Order'!$A1684=COL"&amp;"UMNS($A1684:C1703), C1683&amp;RIGHT(INDIRECT(ADDRESS(ROW(C1684)-1, 'From Order'!$A1684)), 1), C1683))"),"TQVQJPPSSTDDWLLFBPTTJGBHFSCZWMDJMBVRRSDLDTMZHZ")</f>
        <v>TQVQJPPSSTDDWLLFBPTTJGBHFSCZWMDJMBVRRSDLDTMZHZ</v>
      </c>
      <c r="D1684" s="2" t="str">
        <f>IFERROR(__xludf.DUMMYFUNCTION("IF('From Order'!$A1684=COLUMNS($A1684:D1703), LEFT(INDEX(FILTER(D$1:D1683, D$1:D1683&lt;&gt;""""),COUNTA(FILTER(D$1:D1683, D$1:D1683&lt;&gt;""""))), LEN(INDEX(FILTER(D$1:D1683, D$1:D1683&lt;&gt;""""),COUNTA(FILTER(D$1:D1683, D$1:D1683&lt;&gt;""""))))-1), IF('To Order'!$A1684=COL"&amp;"UMNS($A1684:D1703), D1683&amp;RIGHT(INDIRECT(ADDRESS(ROW(D1684)-1, 'From Order'!$A1684)), 1), D1683))"),"RBRT")</f>
        <v>RBRT</v>
      </c>
      <c r="E1684" s="2" t="str">
        <f>IFERROR(__xludf.DUMMYFUNCTION("IF('From Order'!$A1684=COLUMNS($A1684:E1703), LEFT(INDEX(FILTER(E$1:E1683, E$1:E1683&lt;&gt;""""),COUNTA(FILTER(E$1:E1683, E$1:E1683&lt;&gt;""""))), LEN(INDEX(FILTER(E$1:E1683, E$1:E1683&lt;&gt;""""),COUNTA(FILTER(E$1:E1683, E$1:E1683&lt;&gt;""""))))-1), IF('To Order'!$A1684=COL"&amp;"UMNS($A1684:E1703), E1683&amp;RIGHT(INDIRECT(ADDRESS(ROW(E1684)-1, 'From Order'!$A1684)), 1), E1683))"),"C")</f>
        <v>C</v>
      </c>
      <c r="F1684" s="2" t="str">
        <f>IFERROR(__xludf.DUMMYFUNCTION("IF('From Order'!$A1684=COLUMNS($A1684:F1703), LEFT(INDEX(FILTER(F$1:F1683, F$1:F1683&lt;&gt;""""),COUNTA(FILTER(F$1:F1683, F$1:F1683&lt;&gt;""""))), LEN(INDEX(FILTER(F$1:F1683, F$1:F1683&lt;&gt;""""),COUNTA(FILTER(F$1:F1683, F$1:F1683&lt;&gt;""""))))-1), IF('To Order'!$A1684=COL"&amp;"UMNS($A1684:F1703), F1683&amp;RIGHT(INDIRECT(ADDRESS(ROW(F1684)-1, 'From Order'!$A1684)), 1), F1683))"),"RD")</f>
        <v>RD</v>
      </c>
      <c r="G1684" s="2" t="str">
        <f>IFERROR(__xludf.DUMMYFUNCTION("IF('From Order'!$A1684=COLUMNS($A1684:G1703), LEFT(INDEX(FILTER(G$1:G1683, G$1:G1683&lt;&gt;""""),COUNTA(FILTER(G$1:G1683, G$1:G1683&lt;&gt;""""))), LEN(INDEX(FILTER(G$1:G1683, G$1:G1683&lt;&gt;""""),COUNTA(FILTER(G$1:G1683, G$1:G1683&lt;&gt;""""))))-1), IF('To Order'!$A1684=COL"&amp;"UMNS($A1684:G1703), G1683&amp;RIGHT(INDIRECT(ADDRESS(ROW(G1684)-1, 'From Order'!$A1684)), 1), G1683))"),"")</f>
        <v/>
      </c>
      <c r="H1684" s="2" t="str">
        <f>IFERROR(__xludf.DUMMYFUNCTION("IF('From Order'!$A1684=COLUMNS($A1684:H1703), LEFT(INDEX(FILTER(H$1:H1683, H$1:H1683&lt;&gt;""""),COUNTA(FILTER(H$1:H1683, H$1:H1683&lt;&gt;""""))), LEN(INDEX(FILTER(H$1:H1683, H$1:H1683&lt;&gt;""""),COUNTA(FILTER(H$1:H1683, H$1:H1683&lt;&gt;""""))))-1), IF('To Order'!$A1684=COL"&amp;"UMNS($A1684:H1703), H1683&amp;RIGHT(INDIRECT(ADDRESS(ROW(H1684)-1, 'From Order'!$A1684)), 1), H1683))"),"G")</f>
        <v>G</v>
      </c>
      <c r="I1684" s="2" t="str">
        <f>IFERROR(__xludf.DUMMYFUNCTION("IF('From Order'!$A1684=COLUMNS($A1684:I1703), LEFT(INDEX(FILTER(I$1:I1683, I$1:I1683&lt;&gt;""""),COUNTA(FILTER(I$1:I1683, I$1:I1683&lt;&gt;""""))), LEN(INDEX(FILTER(I$1:I1683, I$1:I1683&lt;&gt;""""),COUNTA(FILTER(I$1:I1683, I$1:I1683&lt;&gt;""""))))-1), IF('To Order'!$A1684=COL"&amp;"UMNS($A1684:I1703), I1683&amp;RIGHT(INDIRECT(ADDRESS(ROW(I1684)-1, 'From Order'!$A1684)), 1), I1683))"),"")</f>
        <v/>
      </c>
    </row>
    <row r="1685">
      <c r="A1685" s="2" t="str">
        <f>IFERROR(__xludf.DUMMYFUNCTION("IF('From Order'!$A1685=COLUMNS($A1685:A1704), LEFT(INDEX(FILTER(A$1:A1684, A$1:A1684&lt;&gt;""""),COUNTA(FILTER(A$1:A1684, A$1:A1684&lt;&gt;""""))), LEN(INDEX(FILTER(A$1:A1684, A$1:A1684&lt;&gt;""""),COUNTA(FILTER(A$1:A1684, A$1:A1684&lt;&gt;""""))))-1), IF('To Order'!$A1685=COL"&amp;"UMNS($A1685:A1704), A1684&amp;RIGHT(INDIRECT(ADDRESS(ROW(A1685)-1, 'From Order'!$A1685)), 1), A1684))"),"")</f>
        <v/>
      </c>
      <c r="B1685" s="2" t="str">
        <f>IFERROR(__xludf.DUMMYFUNCTION("IF('From Order'!$A1685=COLUMNS($A1685:B1704), LEFT(INDEX(FILTER(B$1:B1684, B$1:B1684&lt;&gt;""""),COUNTA(FILTER(B$1:B1684, B$1:B1684&lt;&gt;""""))), LEN(INDEX(FILTER(B$1:B1684, B$1:B1684&lt;&gt;""""),COUNTA(FILTER(B$1:B1684, B$1:B1684&lt;&gt;""""))))-1), IF('To Order'!$A1685=COL"&amp;"UMNS($A1685:B1704), B1684&amp;RIGHT(INDIRECT(ADDRESS(ROW(B1685)-1, 'From Order'!$A1685)), 1), B1684))"),"C")</f>
        <v>C</v>
      </c>
      <c r="C1685" s="2" t="str">
        <f>IFERROR(__xludf.DUMMYFUNCTION("IF('From Order'!$A1685=COLUMNS($A1685:C1704), LEFT(INDEX(FILTER(C$1:C1684, C$1:C1684&lt;&gt;""""),COUNTA(FILTER(C$1:C1684, C$1:C1684&lt;&gt;""""))), LEN(INDEX(FILTER(C$1:C1684, C$1:C1684&lt;&gt;""""),COUNTA(FILTER(C$1:C1684, C$1:C1684&lt;&gt;""""))))-1), IF('To Order'!$A1685=COL"&amp;"UMNS($A1685:C1704), C1684&amp;RIGHT(INDIRECT(ADDRESS(ROW(C1685)-1, 'From Order'!$A1685)), 1), C1684))"),"TQVQJPPSSTDDWLLFBPTTJGBHFSCZWMDJMBVRRSDLDTMZHZ")</f>
        <v>TQVQJPPSSTDDWLLFBPTTJGBHFSCZWMDJMBVRRSDLDTMZHZ</v>
      </c>
      <c r="D1685" s="2" t="str">
        <f>IFERROR(__xludf.DUMMYFUNCTION("IF('From Order'!$A1685=COLUMNS($A1685:D1704), LEFT(INDEX(FILTER(D$1:D1684, D$1:D1684&lt;&gt;""""),COUNTA(FILTER(D$1:D1684, D$1:D1684&lt;&gt;""""))), LEN(INDEX(FILTER(D$1:D1684, D$1:D1684&lt;&gt;""""),COUNTA(FILTER(D$1:D1684, D$1:D1684&lt;&gt;""""))))-1), IF('To Order'!$A1685=COL"&amp;"UMNS($A1685:D1704), D1684&amp;RIGHT(INDIRECT(ADDRESS(ROW(D1685)-1, 'From Order'!$A1685)), 1), D1684))"),"RBRT")</f>
        <v>RBRT</v>
      </c>
      <c r="E1685" s="2" t="str">
        <f>IFERROR(__xludf.DUMMYFUNCTION("IF('From Order'!$A1685=COLUMNS($A1685:E1704), LEFT(INDEX(FILTER(E$1:E1684, E$1:E1684&lt;&gt;""""),COUNTA(FILTER(E$1:E1684, E$1:E1684&lt;&gt;""""))), LEN(INDEX(FILTER(E$1:E1684, E$1:E1684&lt;&gt;""""),COUNTA(FILTER(E$1:E1684, E$1:E1684&lt;&gt;""""))))-1), IF('To Order'!$A1685=COL"&amp;"UMNS($A1685:E1704), E1684&amp;RIGHT(INDIRECT(ADDRESS(ROW(E1685)-1, 'From Order'!$A1685)), 1), E1684))"),"C")</f>
        <v>C</v>
      </c>
      <c r="F1685" s="2" t="str">
        <f>IFERROR(__xludf.DUMMYFUNCTION("IF('From Order'!$A1685=COLUMNS($A1685:F1704), LEFT(INDEX(FILTER(F$1:F1684, F$1:F1684&lt;&gt;""""),COUNTA(FILTER(F$1:F1684, F$1:F1684&lt;&gt;""""))), LEN(INDEX(FILTER(F$1:F1684, F$1:F1684&lt;&gt;""""),COUNTA(FILTER(F$1:F1684, F$1:F1684&lt;&gt;""""))))-1), IF('To Order'!$A1685=COL"&amp;"UMNS($A1685:F1704), F1684&amp;RIGHT(INDIRECT(ADDRESS(ROW(F1685)-1, 'From Order'!$A1685)), 1), F1684))"),"RDV")</f>
        <v>RDV</v>
      </c>
      <c r="G1685" s="2" t="str">
        <f>IFERROR(__xludf.DUMMYFUNCTION("IF('From Order'!$A1685=COLUMNS($A1685:G1704), LEFT(INDEX(FILTER(G$1:G1684, G$1:G1684&lt;&gt;""""),COUNTA(FILTER(G$1:G1684, G$1:G1684&lt;&gt;""""))), LEN(INDEX(FILTER(G$1:G1684, G$1:G1684&lt;&gt;""""),COUNTA(FILTER(G$1:G1684, G$1:G1684&lt;&gt;""""))))-1), IF('To Order'!$A1685=COL"&amp;"UMNS($A1685:G1704), G1684&amp;RIGHT(INDIRECT(ADDRESS(ROW(G1685)-1, 'From Order'!$A1685)), 1), G1684))"),"")</f>
        <v/>
      </c>
      <c r="H1685" s="2" t="str">
        <f>IFERROR(__xludf.DUMMYFUNCTION("IF('From Order'!$A1685=COLUMNS($A1685:H1704), LEFT(INDEX(FILTER(H$1:H1684, H$1:H1684&lt;&gt;""""),COUNTA(FILTER(H$1:H1684, H$1:H1684&lt;&gt;""""))), LEN(INDEX(FILTER(H$1:H1684, H$1:H1684&lt;&gt;""""),COUNTA(FILTER(H$1:H1684, H$1:H1684&lt;&gt;""""))))-1), IF('To Order'!$A1685=COL"&amp;"UMNS($A1685:H1704), H1684&amp;RIGHT(INDIRECT(ADDRESS(ROW(H1685)-1, 'From Order'!$A1685)), 1), H1684))"),"G")</f>
        <v>G</v>
      </c>
      <c r="I1685" s="2" t="str">
        <f>IFERROR(__xludf.DUMMYFUNCTION("IF('From Order'!$A1685=COLUMNS($A1685:I1704), LEFT(INDEX(FILTER(I$1:I1684, I$1:I1684&lt;&gt;""""),COUNTA(FILTER(I$1:I1684, I$1:I1684&lt;&gt;""""))), LEN(INDEX(FILTER(I$1:I1684, I$1:I1684&lt;&gt;""""),COUNTA(FILTER(I$1:I1684, I$1:I1684&lt;&gt;""""))))-1), IF('To Order'!$A1685=COL"&amp;"UMNS($A1685:I1704), I1684&amp;RIGHT(INDIRECT(ADDRESS(ROW(I1685)-1, 'From Order'!$A1685)), 1), I1684))"),"")</f>
        <v/>
      </c>
    </row>
    <row r="1686">
      <c r="A1686" s="2" t="str">
        <f>IFERROR(__xludf.DUMMYFUNCTION("IF('From Order'!$A1686=COLUMNS($A1686:A1705), LEFT(INDEX(FILTER(A$1:A1685, A$1:A1685&lt;&gt;""""),COUNTA(FILTER(A$1:A1685, A$1:A1685&lt;&gt;""""))), LEN(INDEX(FILTER(A$1:A1685, A$1:A1685&lt;&gt;""""),COUNTA(FILTER(A$1:A1685, A$1:A1685&lt;&gt;""""))))-1), IF('To Order'!$A1686=COL"&amp;"UMNS($A1686:A1705), A1685&amp;RIGHT(INDIRECT(ADDRESS(ROW(A1686)-1, 'From Order'!$A1686)), 1), A1685))"),"")</f>
        <v/>
      </c>
      <c r="B1686" s="2" t="str">
        <f>IFERROR(__xludf.DUMMYFUNCTION("IF('From Order'!$A1686=COLUMNS($A1686:B1705), LEFT(INDEX(FILTER(B$1:B1685, B$1:B1685&lt;&gt;""""),COUNTA(FILTER(B$1:B1685, B$1:B1685&lt;&gt;""""))), LEN(INDEX(FILTER(B$1:B1685, B$1:B1685&lt;&gt;""""),COUNTA(FILTER(B$1:B1685, B$1:B1685&lt;&gt;""""))))-1), IF('To Order'!$A1686=COL"&amp;"UMNS($A1686:B1705), B1685&amp;RIGHT(INDIRECT(ADDRESS(ROW(B1686)-1, 'From Order'!$A1686)), 1), B1685))"),"")</f>
        <v/>
      </c>
      <c r="C1686" s="2" t="str">
        <f>IFERROR(__xludf.DUMMYFUNCTION("IF('From Order'!$A1686=COLUMNS($A1686:C1705), LEFT(INDEX(FILTER(C$1:C1685, C$1:C1685&lt;&gt;""""),COUNTA(FILTER(C$1:C1685, C$1:C1685&lt;&gt;""""))), LEN(INDEX(FILTER(C$1:C1685, C$1:C1685&lt;&gt;""""),COUNTA(FILTER(C$1:C1685, C$1:C1685&lt;&gt;""""))))-1), IF('To Order'!$A1686=COL"&amp;"UMNS($A1686:C1705), C1685&amp;RIGHT(INDIRECT(ADDRESS(ROW(C1686)-1, 'From Order'!$A1686)), 1), C1685))"),"TQVQJPPSSTDDWLLFBPTTJGBHFSCZWMDJMBVRRSDLDTMZHZ")</f>
        <v>TQVQJPPSSTDDWLLFBPTTJGBHFSCZWMDJMBVRRSDLDTMZHZ</v>
      </c>
      <c r="D1686" s="2" t="str">
        <f>IFERROR(__xludf.DUMMYFUNCTION("IF('From Order'!$A1686=COLUMNS($A1686:D1705), LEFT(INDEX(FILTER(D$1:D1685, D$1:D1685&lt;&gt;""""),COUNTA(FILTER(D$1:D1685, D$1:D1685&lt;&gt;""""))), LEN(INDEX(FILTER(D$1:D1685, D$1:D1685&lt;&gt;""""),COUNTA(FILTER(D$1:D1685, D$1:D1685&lt;&gt;""""))))-1), IF('To Order'!$A1686=COL"&amp;"UMNS($A1686:D1705), D1685&amp;RIGHT(INDIRECT(ADDRESS(ROW(D1686)-1, 'From Order'!$A1686)), 1), D1685))"),"RBRT")</f>
        <v>RBRT</v>
      </c>
      <c r="E1686" s="2" t="str">
        <f>IFERROR(__xludf.DUMMYFUNCTION("IF('From Order'!$A1686=COLUMNS($A1686:E1705), LEFT(INDEX(FILTER(E$1:E1685, E$1:E1685&lt;&gt;""""),COUNTA(FILTER(E$1:E1685, E$1:E1685&lt;&gt;""""))), LEN(INDEX(FILTER(E$1:E1685, E$1:E1685&lt;&gt;""""),COUNTA(FILTER(E$1:E1685, E$1:E1685&lt;&gt;""""))))-1), IF('To Order'!$A1686=COL"&amp;"UMNS($A1686:E1705), E1685&amp;RIGHT(INDIRECT(ADDRESS(ROW(E1686)-1, 'From Order'!$A1686)), 1), E1685))"),"C")</f>
        <v>C</v>
      </c>
      <c r="F1686" s="2" t="str">
        <f>IFERROR(__xludf.DUMMYFUNCTION("IF('From Order'!$A1686=COLUMNS($A1686:F1705), LEFT(INDEX(FILTER(F$1:F1685, F$1:F1685&lt;&gt;""""),COUNTA(FILTER(F$1:F1685, F$1:F1685&lt;&gt;""""))), LEN(INDEX(FILTER(F$1:F1685, F$1:F1685&lt;&gt;""""),COUNTA(FILTER(F$1:F1685, F$1:F1685&lt;&gt;""""))))-1), IF('To Order'!$A1686=COL"&amp;"UMNS($A1686:F1705), F1685&amp;RIGHT(INDIRECT(ADDRESS(ROW(F1686)-1, 'From Order'!$A1686)), 1), F1685))"),"RDVC")</f>
        <v>RDVC</v>
      </c>
      <c r="G1686" s="2" t="str">
        <f>IFERROR(__xludf.DUMMYFUNCTION("IF('From Order'!$A1686=COLUMNS($A1686:G1705), LEFT(INDEX(FILTER(G$1:G1685, G$1:G1685&lt;&gt;""""),COUNTA(FILTER(G$1:G1685, G$1:G1685&lt;&gt;""""))), LEN(INDEX(FILTER(G$1:G1685, G$1:G1685&lt;&gt;""""),COUNTA(FILTER(G$1:G1685, G$1:G1685&lt;&gt;""""))))-1), IF('To Order'!$A1686=COL"&amp;"UMNS($A1686:G1705), G1685&amp;RIGHT(INDIRECT(ADDRESS(ROW(G1686)-1, 'From Order'!$A1686)), 1), G1685))"),"")</f>
        <v/>
      </c>
      <c r="H1686" s="2" t="str">
        <f>IFERROR(__xludf.DUMMYFUNCTION("IF('From Order'!$A1686=COLUMNS($A1686:H1705), LEFT(INDEX(FILTER(H$1:H1685, H$1:H1685&lt;&gt;""""),COUNTA(FILTER(H$1:H1685, H$1:H1685&lt;&gt;""""))), LEN(INDEX(FILTER(H$1:H1685, H$1:H1685&lt;&gt;""""),COUNTA(FILTER(H$1:H1685, H$1:H1685&lt;&gt;""""))))-1), IF('To Order'!$A1686=COL"&amp;"UMNS($A1686:H1705), H1685&amp;RIGHT(INDIRECT(ADDRESS(ROW(H1686)-1, 'From Order'!$A1686)), 1), H1685))"),"G")</f>
        <v>G</v>
      </c>
      <c r="I1686" s="2" t="str">
        <f>IFERROR(__xludf.DUMMYFUNCTION("IF('From Order'!$A1686=COLUMNS($A1686:I1705), LEFT(INDEX(FILTER(I$1:I1685, I$1:I1685&lt;&gt;""""),COUNTA(FILTER(I$1:I1685, I$1:I1685&lt;&gt;""""))), LEN(INDEX(FILTER(I$1:I1685, I$1:I1685&lt;&gt;""""),COUNTA(FILTER(I$1:I1685, I$1:I1685&lt;&gt;""""))))-1), IF('To Order'!$A1686=COL"&amp;"UMNS($A1686:I1705), I1685&amp;RIGHT(INDIRECT(ADDRESS(ROW(I1686)-1, 'From Order'!$A1686)), 1), I1685))"),"")</f>
        <v/>
      </c>
    </row>
    <row r="1687">
      <c r="A1687" s="2" t="str">
        <f>IFERROR(__xludf.DUMMYFUNCTION("IF('From Order'!$A1687=COLUMNS($A1687:A1706), LEFT(INDEX(FILTER(A$1:A1686, A$1:A1686&lt;&gt;""""),COUNTA(FILTER(A$1:A1686, A$1:A1686&lt;&gt;""""))), LEN(INDEX(FILTER(A$1:A1686, A$1:A1686&lt;&gt;""""),COUNTA(FILTER(A$1:A1686, A$1:A1686&lt;&gt;""""))))-1), IF('To Order'!$A1687=COL"&amp;"UMNS($A1687:A1706), A1686&amp;RIGHT(INDIRECT(ADDRESS(ROW(A1687)-1, 'From Order'!$A1687)), 1), A1686))"),"")</f>
        <v/>
      </c>
      <c r="B1687" s="2" t="str">
        <f>IFERROR(__xludf.DUMMYFUNCTION("IF('From Order'!$A1687=COLUMNS($A1687:B1706), LEFT(INDEX(FILTER(B$1:B1686, B$1:B1686&lt;&gt;""""),COUNTA(FILTER(B$1:B1686, B$1:B1686&lt;&gt;""""))), LEN(INDEX(FILTER(B$1:B1686, B$1:B1686&lt;&gt;""""),COUNTA(FILTER(B$1:B1686, B$1:B1686&lt;&gt;""""))))-1), IF('To Order'!$A1687=COL"&amp;"UMNS($A1687:B1706), B1686&amp;RIGHT(INDIRECT(ADDRESS(ROW(B1687)-1, 'From Order'!$A1687)), 1), B1686))"),"G")</f>
        <v>G</v>
      </c>
      <c r="C1687" s="2" t="str">
        <f>IFERROR(__xludf.DUMMYFUNCTION("IF('From Order'!$A1687=COLUMNS($A1687:C1706), LEFT(INDEX(FILTER(C$1:C1686, C$1:C1686&lt;&gt;""""),COUNTA(FILTER(C$1:C1686, C$1:C1686&lt;&gt;""""))), LEN(INDEX(FILTER(C$1:C1686, C$1:C1686&lt;&gt;""""),COUNTA(FILTER(C$1:C1686, C$1:C1686&lt;&gt;""""))))-1), IF('To Order'!$A1687=COL"&amp;"UMNS($A1687:C1706), C1686&amp;RIGHT(INDIRECT(ADDRESS(ROW(C1687)-1, 'From Order'!$A1687)), 1), C1686))"),"TQVQJPPSSTDDWLLFBPTTJGBHFSCZWMDJMBVRRSDLDTMZHZ")</f>
        <v>TQVQJPPSSTDDWLLFBPTTJGBHFSCZWMDJMBVRRSDLDTMZHZ</v>
      </c>
      <c r="D1687" s="2" t="str">
        <f>IFERROR(__xludf.DUMMYFUNCTION("IF('From Order'!$A1687=COLUMNS($A1687:D1706), LEFT(INDEX(FILTER(D$1:D1686, D$1:D1686&lt;&gt;""""),COUNTA(FILTER(D$1:D1686, D$1:D1686&lt;&gt;""""))), LEN(INDEX(FILTER(D$1:D1686, D$1:D1686&lt;&gt;""""),COUNTA(FILTER(D$1:D1686, D$1:D1686&lt;&gt;""""))))-1), IF('To Order'!$A1687=COL"&amp;"UMNS($A1687:D1706), D1686&amp;RIGHT(INDIRECT(ADDRESS(ROW(D1687)-1, 'From Order'!$A1687)), 1), D1686))"),"RBRT")</f>
        <v>RBRT</v>
      </c>
      <c r="E1687" s="2" t="str">
        <f>IFERROR(__xludf.DUMMYFUNCTION("IF('From Order'!$A1687=COLUMNS($A1687:E1706), LEFT(INDEX(FILTER(E$1:E1686, E$1:E1686&lt;&gt;""""),COUNTA(FILTER(E$1:E1686, E$1:E1686&lt;&gt;""""))), LEN(INDEX(FILTER(E$1:E1686, E$1:E1686&lt;&gt;""""),COUNTA(FILTER(E$1:E1686, E$1:E1686&lt;&gt;""""))))-1), IF('To Order'!$A1687=COL"&amp;"UMNS($A1687:E1706), E1686&amp;RIGHT(INDIRECT(ADDRESS(ROW(E1687)-1, 'From Order'!$A1687)), 1), E1686))"),"C")</f>
        <v>C</v>
      </c>
      <c r="F1687" s="2" t="str">
        <f>IFERROR(__xludf.DUMMYFUNCTION("IF('From Order'!$A1687=COLUMNS($A1687:F1706), LEFT(INDEX(FILTER(F$1:F1686, F$1:F1686&lt;&gt;""""),COUNTA(FILTER(F$1:F1686, F$1:F1686&lt;&gt;""""))), LEN(INDEX(FILTER(F$1:F1686, F$1:F1686&lt;&gt;""""),COUNTA(FILTER(F$1:F1686, F$1:F1686&lt;&gt;""""))))-1), IF('To Order'!$A1687=COL"&amp;"UMNS($A1687:F1706), F1686&amp;RIGHT(INDIRECT(ADDRESS(ROW(F1687)-1, 'From Order'!$A1687)), 1), F1686))"),"RDVC")</f>
        <v>RDVC</v>
      </c>
      <c r="G1687" s="2" t="str">
        <f>IFERROR(__xludf.DUMMYFUNCTION("IF('From Order'!$A1687=COLUMNS($A1687:G1706), LEFT(INDEX(FILTER(G$1:G1686, G$1:G1686&lt;&gt;""""),COUNTA(FILTER(G$1:G1686, G$1:G1686&lt;&gt;""""))), LEN(INDEX(FILTER(G$1:G1686, G$1:G1686&lt;&gt;""""),COUNTA(FILTER(G$1:G1686, G$1:G1686&lt;&gt;""""))))-1), IF('To Order'!$A1687=COL"&amp;"UMNS($A1687:G1706), G1686&amp;RIGHT(INDIRECT(ADDRESS(ROW(G1687)-1, 'From Order'!$A1687)), 1), G1686))"),"")</f>
        <v/>
      </c>
      <c r="H1687" s="2" t="str">
        <f>IFERROR(__xludf.DUMMYFUNCTION("IF('From Order'!$A1687=COLUMNS($A1687:H1706), LEFT(INDEX(FILTER(H$1:H1686, H$1:H1686&lt;&gt;""""),COUNTA(FILTER(H$1:H1686, H$1:H1686&lt;&gt;""""))), LEN(INDEX(FILTER(H$1:H1686, H$1:H1686&lt;&gt;""""),COUNTA(FILTER(H$1:H1686, H$1:H1686&lt;&gt;""""))))-1), IF('To Order'!$A1687=COL"&amp;"UMNS($A1687:H1706), H1686&amp;RIGHT(INDIRECT(ADDRESS(ROW(H1687)-1, 'From Order'!$A1687)), 1), H1686))"),"")</f>
        <v/>
      </c>
      <c r="I1687" s="2" t="str">
        <f>IFERROR(__xludf.DUMMYFUNCTION("IF('From Order'!$A1687=COLUMNS($A1687:I1706), LEFT(INDEX(FILTER(I$1:I1686, I$1:I1686&lt;&gt;""""),COUNTA(FILTER(I$1:I1686, I$1:I1686&lt;&gt;""""))), LEN(INDEX(FILTER(I$1:I1686, I$1:I1686&lt;&gt;""""),COUNTA(FILTER(I$1:I1686, I$1:I1686&lt;&gt;""""))))-1), IF('To Order'!$A1687=COL"&amp;"UMNS($A1687:I1706), I1686&amp;RIGHT(INDIRECT(ADDRESS(ROW(I1687)-1, 'From Order'!$A1687)), 1), I1686))"),"")</f>
        <v/>
      </c>
    </row>
    <row r="1688">
      <c r="A1688" s="2" t="str">
        <f>IFERROR(__xludf.DUMMYFUNCTION("IF('From Order'!$A1688=COLUMNS($A1688:A1707), LEFT(INDEX(FILTER(A$1:A1687, A$1:A1687&lt;&gt;""""),COUNTA(FILTER(A$1:A1687, A$1:A1687&lt;&gt;""""))), LEN(INDEX(FILTER(A$1:A1687, A$1:A1687&lt;&gt;""""),COUNTA(FILTER(A$1:A1687, A$1:A1687&lt;&gt;""""))))-1), IF('To Order'!$A1688=COL"&amp;"UMNS($A1688:A1707), A1687&amp;RIGHT(INDIRECT(ADDRESS(ROW(A1688)-1, 'From Order'!$A1688)), 1), A1687))"),"Z")</f>
        <v>Z</v>
      </c>
      <c r="B1688" s="2" t="str">
        <f>IFERROR(__xludf.DUMMYFUNCTION("IF('From Order'!$A1688=COLUMNS($A1688:B1707), LEFT(INDEX(FILTER(B$1:B1687, B$1:B1687&lt;&gt;""""),COUNTA(FILTER(B$1:B1687, B$1:B1687&lt;&gt;""""))), LEN(INDEX(FILTER(B$1:B1687, B$1:B1687&lt;&gt;""""),COUNTA(FILTER(B$1:B1687, B$1:B1687&lt;&gt;""""))))-1), IF('To Order'!$A1688=COL"&amp;"UMNS($A1688:B1707), B1687&amp;RIGHT(INDIRECT(ADDRESS(ROW(B1688)-1, 'From Order'!$A1688)), 1), B1687))"),"G")</f>
        <v>G</v>
      </c>
      <c r="C1688" s="2" t="str">
        <f>IFERROR(__xludf.DUMMYFUNCTION("IF('From Order'!$A1688=COLUMNS($A1688:C1707), LEFT(INDEX(FILTER(C$1:C1687, C$1:C1687&lt;&gt;""""),COUNTA(FILTER(C$1:C1687, C$1:C1687&lt;&gt;""""))), LEN(INDEX(FILTER(C$1:C1687, C$1:C1687&lt;&gt;""""),COUNTA(FILTER(C$1:C1687, C$1:C1687&lt;&gt;""""))))-1), IF('To Order'!$A1688=COL"&amp;"UMNS($A1688:C1707), C1687&amp;RIGHT(INDIRECT(ADDRESS(ROW(C1688)-1, 'From Order'!$A1688)), 1), C1687))"),"TQVQJPPSSTDDWLLFBPTTJGBHFSCZWMDJMBVRRSDLDTMZH")</f>
        <v>TQVQJPPSSTDDWLLFBPTTJGBHFSCZWMDJMBVRRSDLDTMZH</v>
      </c>
      <c r="D1688" s="2" t="str">
        <f>IFERROR(__xludf.DUMMYFUNCTION("IF('From Order'!$A1688=COLUMNS($A1688:D1707), LEFT(INDEX(FILTER(D$1:D1687, D$1:D1687&lt;&gt;""""),COUNTA(FILTER(D$1:D1687, D$1:D1687&lt;&gt;""""))), LEN(INDEX(FILTER(D$1:D1687, D$1:D1687&lt;&gt;""""),COUNTA(FILTER(D$1:D1687, D$1:D1687&lt;&gt;""""))))-1), IF('To Order'!$A1688=COL"&amp;"UMNS($A1688:D1707), D1687&amp;RIGHT(INDIRECT(ADDRESS(ROW(D1688)-1, 'From Order'!$A1688)), 1), D1687))"),"RBRT")</f>
        <v>RBRT</v>
      </c>
      <c r="E1688" s="2" t="str">
        <f>IFERROR(__xludf.DUMMYFUNCTION("IF('From Order'!$A1688=COLUMNS($A1688:E1707), LEFT(INDEX(FILTER(E$1:E1687, E$1:E1687&lt;&gt;""""),COUNTA(FILTER(E$1:E1687, E$1:E1687&lt;&gt;""""))), LEN(INDEX(FILTER(E$1:E1687, E$1:E1687&lt;&gt;""""),COUNTA(FILTER(E$1:E1687, E$1:E1687&lt;&gt;""""))))-1), IF('To Order'!$A1688=COL"&amp;"UMNS($A1688:E1707), E1687&amp;RIGHT(INDIRECT(ADDRESS(ROW(E1688)-1, 'From Order'!$A1688)), 1), E1687))"),"C")</f>
        <v>C</v>
      </c>
      <c r="F1688" s="2" t="str">
        <f>IFERROR(__xludf.DUMMYFUNCTION("IF('From Order'!$A1688=COLUMNS($A1688:F1707), LEFT(INDEX(FILTER(F$1:F1687, F$1:F1687&lt;&gt;""""),COUNTA(FILTER(F$1:F1687, F$1:F1687&lt;&gt;""""))), LEN(INDEX(FILTER(F$1:F1687, F$1:F1687&lt;&gt;""""),COUNTA(FILTER(F$1:F1687, F$1:F1687&lt;&gt;""""))))-1), IF('To Order'!$A1688=COL"&amp;"UMNS($A1688:F1707), F1687&amp;RIGHT(INDIRECT(ADDRESS(ROW(F1688)-1, 'From Order'!$A1688)), 1), F1687))"),"RDVC")</f>
        <v>RDVC</v>
      </c>
      <c r="G1688" s="2" t="str">
        <f>IFERROR(__xludf.DUMMYFUNCTION("IF('From Order'!$A1688=COLUMNS($A1688:G1707), LEFT(INDEX(FILTER(G$1:G1687, G$1:G1687&lt;&gt;""""),COUNTA(FILTER(G$1:G1687, G$1:G1687&lt;&gt;""""))), LEN(INDEX(FILTER(G$1:G1687, G$1:G1687&lt;&gt;""""),COUNTA(FILTER(G$1:G1687, G$1:G1687&lt;&gt;""""))))-1), IF('To Order'!$A1688=COL"&amp;"UMNS($A1688:G1707), G1687&amp;RIGHT(INDIRECT(ADDRESS(ROW(G1688)-1, 'From Order'!$A1688)), 1), G1687))"),"")</f>
        <v/>
      </c>
      <c r="H1688" s="2" t="str">
        <f>IFERROR(__xludf.DUMMYFUNCTION("IF('From Order'!$A1688=COLUMNS($A1688:H1707), LEFT(INDEX(FILTER(H$1:H1687, H$1:H1687&lt;&gt;""""),COUNTA(FILTER(H$1:H1687, H$1:H1687&lt;&gt;""""))), LEN(INDEX(FILTER(H$1:H1687, H$1:H1687&lt;&gt;""""),COUNTA(FILTER(H$1:H1687, H$1:H1687&lt;&gt;""""))))-1), IF('To Order'!$A1688=COL"&amp;"UMNS($A1688:H1707), H1687&amp;RIGHT(INDIRECT(ADDRESS(ROW(H1688)-1, 'From Order'!$A1688)), 1), H1687))"),"")</f>
        <v/>
      </c>
      <c r="I1688" s="2" t="str">
        <f>IFERROR(__xludf.DUMMYFUNCTION("IF('From Order'!$A1688=COLUMNS($A1688:I1707), LEFT(INDEX(FILTER(I$1:I1687, I$1:I1687&lt;&gt;""""),COUNTA(FILTER(I$1:I1687, I$1:I1687&lt;&gt;""""))), LEN(INDEX(FILTER(I$1:I1687, I$1:I1687&lt;&gt;""""),COUNTA(FILTER(I$1:I1687, I$1:I1687&lt;&gt;""""))))-1), IF('To Order'!$A1688=COL"&amp;"UMNS($A1688:I1707), I1687&amp;RIGHT(INDIRECT(ADDRESS(ROW(I1688)-1, 'From Order'!$A1688)), 1), I1687))"),"")</f>
        <v/>
      </c>
    </row>
    <row r="1689">
      <c r="A1689" s="2" t="str">
        <f>IFERROR(__xludf.DUMMYFUNCTION("IF('From Order'!$A1689=COLUMNS($A1689:A1708), LEFT(INDEX(FILTER(A$1:A1688, A$1:A1688&lt;&gt;""""),COUNTA(FILTER(A$1:A1688, A$1:A1688&lt;&gt;""""))), LEN(INDEX(FILTER(A$1:A1688, A$1:A1688&lt;&gt;""""),COUNTA(FILTER(A$1:A1688, A$1:A1688&lt;&gt;""""))))-1), IF('To Order'!$A1689=COL"&amp;"UMNS($A1689:A1708), A1688&amp;RIGHT(INDIRECT(ADDRESS(ROW(A1689)-1, 'From Order'!$A1689)), 1), A1688))"),"ZH")</f>
        <v>ZH</v>
      </c>
      <c r="B1689" s="2" t="str">
        <f>IFERROR(__xludf.DUMMYFUNCTION("IF('From Order'!$A1689=COLUMNS($A1689:B1708), LEFT(INDEX(FILTER(B$1:B1688, B$1:B1688&lt;&gt;""""),COUNTA(FILTER(B$1:B1688, B$1:B1688&lt;&gt;""""))), LEN(INDEX(FILTER(B$1:B1688, B$1:B1688&lt;&gt;""""),COUNTA(FILTER(B$1:B1688, B$1:B1688&lt;&gt;""""))))-1), IF('To Order'!$A1689=COL"&amp;"UMNS($A1689:B1708), B1688&amp;RIGHT(INDIRECT(ADDRESS(ROW(B1689)-1, 'From Order'!$A1689)), 1), B1688))"),"G")</f>
        <v>G</v>
      </c>
      <c r="C1689" s="2" t="str">
        <f>IFERROR(__xludf.DUMMYFUNCTION("IF('From Order'!$A1689=COLUMNS($A1689:C1708), LEFT(INDEX(FILTER(C$1:C1688, C$1:C1688&lt;&gt;""""),COUNTA(FILTER(C$1:C1688, C$1:C1688&lt;&gt;""""))), LEN(INDEX(FILTER(C$1:C1688, C$1:C1688&lt;&gt;""""),COUNTA(FILTER(C$1:C1688, C$1:C1688&lt;&gt;""""))))-1), IF('To Order'!$A1689=COL"&amp;"UMNS($A1689:C1708), C1688&amp;RIGHT(INDIRECT(ADDRESS(ROW(C1689)-1, 'From Order'!$A1689)), 1), C1688))"),"TQVQJPPSSTDDWLLFBPTTJGBHFSCZWMDJMBVRRSDLDTMZ")</f>
        <v>TQVQJPPSSTDDWLLFBPTTJGBHFSCZWMDJMBVRRSDLDTMZ</v>
      </c>
      <c r="D1689" s="2" t="str">
        <f>IFERROR(__xludf.DUMMYFUNCTION("IF('From Order'!$A1689=COLUMNS($A1689:D1708), LEFT(INDEX(FILTER(D$1:D1688, D$1:D1688&lt;&gt;""""),COUNTA(FILTER(D$1:D1688, D$1:D1688&lt;&gt;""""))), LEN(INDEX(FILTER(D$1:D1688, D$1:D1688&lt;&gt;""""),COUNTA(FILTER(D$1:D1688, D$1:D1688&lt;&gt;""""))))-1), IF('To Order'!$A1689=COL"&amp;"UMNS($A1689:D1708), D1688&amp;RIGHT(INDIRECT(ADDRESS(ROW(D1689)-1, 'From Order'!$A1689)), 1), D1688))"),"RBRT")</f>
        <v>RBRT</v>
      </c>
      <c r="E1689" s="2" t="str">
        <f>IFERROR(__xludf.DUMMYFUNCTION("IF('From Order'!$A1689=COLUMNS($A1689:E1708), LEFT(INDEX(FILTER(E$1:E1688, E$1:E1688&lt;&gt;""""),COUNTA(FILTER(E$1:E1688, E$1:E1688&lt;&gt;""""))), LEN(INDEX(FILTER(E$1:E1688, E$1:E1688&lt;&gt;""""),COUNTA(FILTER(E$1:E1688, E$1:E1688&lt;&gt;""""))))-1), IF('To Order'!$A1689=COL"&amp;"UMNS($A1689:E1708), E1688&amp;RIGHT(INDIRECT(ADDRESS(ROW(E1689)-1, 'From Order'!$A1689)), 1), E1688))"),"C")</f>
        <v>C</v>
      </c>
      <c r="F1689" s="2" t="str">
        <f>IFERROR(__xludf.DUMMYFUNCTION("IF('From Order'!$A1689=COLUMNS($A1689:F1708), LEFT(INDEX(FILTER(F$1:F1688, F$1:F1688&lt;&gt;""""),COUNTA(FILTER(F$1:F1688, F$1:F1688&lt;&gt;""""))), LEN(INDEX(FILTER(F$1:F1688, F$1:F1688&lt;&gt;""""),COUNTA(FILTER(F$1:F1688, F$1:F1688&lt;&gt;""""))))-1), IF('To Order'!$A1689=COL"&amp;"UMNS($A1689:F1708), F1688&amp;RIGHT(INDIRECT(ADDRESS(ROW(F1689)-1, 'From Order'!$A1689)), 1), F1688))"),"RDVC")</f>
        <v>RDVC</v>
      </c>
      <c r="G1689" s="2" t="str">
        <f>IFERROR(__xludf.DUMMYFUNCTION("IF('From Order'!$A1689=COLUMNS($A1689:G1708), LEFT(INDEX(FILTER(G$1:G1688, G$1:G1688&lt;&gt;""""),COUNTA(FILTER(G$1:G1688, G$1:G1688&lt;&gt;""""))), LEN(INDEX(FILTER(G$1:G1688, G$1:G1688&lt;&gt;""""),COUNTA(FILTER(G$1:G1688, G$1:G1688&lt;&gt;""""))))-1), IF('To Order'!$A1689=COL"&amp;"UMNS($A1689:G1708), G1688&amp;RIGHT(INDIRECT(ADDRESS(ROW(G1689)-1, 'From Order'!$A1689)), 1), G1688))"),"")</f>
        <v/>
      </c>
      <c r="H1689" s="2" t="str">
        <f>IFERROR(__xludf.DUMMYFUNCTION("IF('From Order'!$A1689=COLUMNS($A1689:H1708), LEFT(INDEX(FILTER(H$1:H1688, H$1:H1688&lt;&gt;""""),COUNTA(FILTER(H$1:H1688, H$1:H1688&lt;&gt;""""))), LEN(INDEX(FILTER(H$1:H1688, H$1:H1688&lt;&gt;""""),COUNTA(FILTER(H$1:H1688, H$1:H1688&lt;&gt;""""))))-1), IF('To Order'!$A1689=COL"&amp;"UMNS($A1689:H1708), H1688&amp;RIGHT(INDIRECT(ADDRESS(ROW(H1689)-1, 'From Order'!$A1689)), 1), H1688))"),"")</f>
        <v/>
      </c>
      <c r="I1689" s="2" t="str">
        <f>IFERROR(__xludf.DUMMYFUNCTION("IF('From Order'!$A1689=COLUMNS($A1689:I1708), LEFT(INDEX(FILTER(I$1:I1688, I$1:I1688&lt;&gt;""""),COUNTA(FILTER(I$1:I1688, I$1:I1688&lt;&gt;""""))), LEN(INDEX(FILTER(I$1:I1688, I$1:I1688&lt;&gt;""""),COUNTA(FILTER(I$1:I1688, I$1:I1688&lt;&gt;""""))))-1), IF('To Order'!$A1689=COL"&amp;"UMNS($A1689:I1708), I1688&amp;RIGHT(INDIRECT(ADDRESS(ROW(I1689)-1, 'From Order'!$A1689)), 1), I1688))"),"")</f>
        <v/>
      </c>
    </row>
    <row r="1690">
      <c r="A1690" s="2" t="str">
        <f>IFERROR(__xludf.DUMMYFUNCTION("IF('From Order'!$A1690=COLUMNS($A1690:A1709), LEFT(INDEX(FILTER(A$1:A1689, A$1:A1689&lt;&gt;""""),COUNTA(FILTER(A$1:A1689, A$1:A1689&lt;&gt;""""))), LEN(INDEX(FILTER(A$1:A1689, A$1:A1689&lt;&gt;""""),COUNTA(FILTER(A$1:A1689, A$1:A1689&lt;&gt;""""))))-1), IF('To Order'!$A1690=COL"&amp;"UMNS($A1690:A1709), A1689&amp;RIGHT(INDIRECT(ADDRESS(ROW(A1690)-1, 'From Order'!$A1690)), 1), A1689))"),"ZHZ")</f>
        <v>ZHZ</v>
      </c>
      <c r="B1690" s="2" t="str">
        <f>IFERROR(__xludf.DUMMYFUNCTION("IF('From Order'!$A1690=COLUMNS($A1690:B1709), LEFT(INDEX(FILTER(B$1:B1689, B$1:B1689&lt;&gt;""""),COUNTA(FILTER(B$1:B1689, B$1:B1689&lt;&gt;""""))), LEN(INDEX(FILTER(B$1:B1689, B$1:B1689&lt;&gt;""""),COUNTA(FILTER(B$1:B1689, B$1:B1689&lt;&gt;""""))))-1), IF('To Order'!$A1690=COL"&amp;"UMNS($A1690:B1709), B1689&amp;RIGHT(INDIRECT(ADDRESS(ROW(B1690)-1, 'From Order'!$A1690)), 1), B1689))"),"G")</f>
        <v>G</v>
      </c>
      <c r="C1690" s="2" t="str">
        <f>IFERROR(__xludf.DUMMYFUNCTION("IF('From Order'!$A1690=COLUMNS($A1690:C1709), LEFT(INDEX(FILTER(C$1:C1689, C$1:C1689&lt;&gt;""""),COUNTA(FILTER(C$1:C1689, C$1:C1689&lt;&gt;""""))), LEN(INDEX(FILTER(C$1:C1689, C$1:C1689&lt;&gt;""""),COUNTA(FILTER(C$1:C1689, C$1:C1689&lt;&gt;""""))))-1), IF('To Order'!$A1690=COL"&amp;"UMNS($A1690:C1709), C1689&amp;RIGHT(INDIRECT(ADDRESS(ROW(C1690)-1, 'From Order'!$A1690)), 1), C1689))"),"TQVQJPPSSTDDWLLFBPTTJGBHFSCZWMDJMBVRRSDLDTM")</f>
        <v>TQVQJPPSSTDDWLLFBPTTJGBHFSCZWMDJMBVRRSDLDTM</v>
      </c>
      <c r="D1690" s="2" t="str">
        <f>IFERROR(__xludf.DUMMYFUNCTION("IF('From Order'!$A1690=COLUMNS($A1690:D1709), LEFT(INDEX(FILTER(D$1:D1689, D$1:D1689&lt;&gt;""""),COUNTA(FILTER(D$1:D1689, D$1:D1689&lt;&gt;""""))), LEN(INDEX(FILTER(D$1:D1689, D$1:D1689&lt;&gt;""""),COUNTA(FILTER(D$1:D1689, D$1:D1689&lt;&gt;""""))))-1), IF('To Order'!$A1690=COL"&amp;"UMNS($A1690:D1709), D1689&amp;RIGHT(INDIRECT(ADDRESS(ROW(D1690)-1, 'From Order'!$A1690)), 1), D1689))"),"RBRT")</f>
        <v>RBRT</v>
      </c>
      <c r="E1690" s="2" t="str">
        <f>IFERROR(__xludf.DUMMYFUNCTION("IF('From Order'!$A1690=COLUMNS($A1690:E1709), LEFT(INDEX(FILTER(E$1:E1689, E$1:E1689&lt;&gt;""""),COUNTA(FILTER(E$1:E1689, E$1:E1689&lt;&gt;""""))), LEN(INDEX(FILTER(E$1:E1689, E$1:E1689&lt;&gt;""""),COUNTA(FILTER(E$1:E1689, E$1:E1689&lt;&gt;""""))))-1), IF('To Order'!$A1690=COL"&amp;"UMNS($A1690:E1709), E1689&amp;RIGHT(INDIRECT(ADDRESS(ROW(E1690)-1, 'From Order'!$A1690)), 1), E1689))"),"C")</f>
        <v>C</v>
      </c>
      <c r="F1690" s="2" t="str">
        <f>IFERROR(__xludf.DUMMYFUNCTION("IF('From Order'!$A1690=COLUMNS($A1690:F1709), LEFT(INDEX(FILTER(F$1:F1689, F$1:F1689&lt;&gt;""""),COUNTA(FILTER(F$1:F1689, F$1:F1689&lt;&gt;""""))), LEN(INDEX(FILTER(F$1:F1689, F$1:F1689&lt;&gt;""""),COUNTA(FILTER(F$1:F1689, F$1:F1689&lt;&gt;""""))))-1), IF('To Order'!$A1690=COL"&amp;"UMNS($A1690:F1709), F1689&amp;RIGHT(INDIRECT(ADDRESS(ROW(F1690)-1, 'From Order'!$A1690)), 1), F1689))"),"RDVC")</f>
        <v>RDVC</v>
      </c>
      <c r="G1690" s="2" t="str">
        <f>IFERROR(__xludf.DUMMYFUNCTION("IF('From Order'!$A1690=COLUMNS($A1690:G1709), LEFT(INDEX(FILTER(G$1:G1689, G$1:G1689&lt;&gt;""""),COUNTA(FILTER(G$1:G1689, G$1:G1689&lt;&gt;""""))), LEN(INDEX(FILTER(G$1:G1689, G$1:G1689&lt;&gt;""""),COUNTA(FILTER(G$1:G1689, G$1:G1689&lt;&gt;""""))))-1), IF('To Order'!$A1690=COL"&amp;"UMNS($A1690:G1709), G1689&amp;RIGHT(INDIRECT(ADDRESS(ROW(G1690)-1, 'From Order'!$A1690)), 1), G1689))"),"")</f>
        <v/>
      </c>
      <c r="H1690" s="2" t="str">
        <f>IFERROR(__xludf.DUMMYFUNCTION("IF('From Order'!$A1690=COLUMNS($A1690:H1709), LEFT(INDEX(FILTER(H$1:H1689, H$1:H1689&lt;&gt;""""),COUNTA(FILTER(H$1:H1689, H$1:H1689&lt;&gt;""""))), LEN(INDEX(FILTER(H$1:H1689, H$1:H1689&lt;&gt;""""),COUNTA(FILTER(H$1:H1689, H$1:H1689&lt;&gt;""""))))-1), IF('To Order'!$A1690=COL"&amp;"UMNS($A1690:H1709), H1689&amp;RIGHT(INDIRECT(ADDRESS(ROW(H1690)-1, 'From Order'!$A1690)), 1), H1689))"),"")</f>
        <v/>
      </c>
      <c r="I1690" s="2" t="str">
        <f>IFERROR(__xludf.DUMMYFUNCTION("IF('From Order'!$A1690=COLUMNS($A1690:I1709), LEFT(INDEX(FILTER(I$1:I1689, I$1:I1689&lt;&gt;""""),COUNTA(FILTER(I$1:I1689, I$1:I1689&lt;&gt;""""))), LEN(INDEX(FILTER(I$1:I1689, I$1:I1689&lt;&gt;""""),COUNTA(FILTER(I$1:I1689, I$1:I1689&lt;&gt;""""))))-1), IF('To Order'!$A1690=COL"&amp;"UMNS($A1690:I1709), I1689&amp;RIGHT(INDIRECT(ADDRESS(ROW(I1690)-1, 'From Order'!$A1690)), 1), I1689))"),"")</f>
        <v/>
      </c>
    </row>
    <row r="1691">
      <c r="A1691" s="2" t="str">
        <f>IFERROR(__xludf.DUMMYFUNCTION("IF('From Order'!$A1691=COLUMNS($A1691:A1710), LEFT(INDEX(FILTER(A$1:A1690, A$1:A1690&lt;&gt;""""),COUNTA(FILTER(A$1:A1690, A$1:A1690&lt;&gt;""""))), LEN(INDEX(FILTER(A$1:A1690, A$1:A1690&lt;&gt;""""),COUNTA(FILTER(A$1:A1690, A$1:A1690&lt;&gt;""""))))-1), IF('To Order'!$A1691=COL"&amp;"UMNS($A1691:A1710), A1690&amp;RIGHT(INDIRECT(ADDRESS(ROW(A1691)-1, 'From Order'!$A1691)), 1), A1690))"),"ZHZM")</f>
        <v>ZHZM</v>
      </c>
      <c r="B1691" s="2" t="str">
        <f>IFERROR(__xludf.DUMMYFUNCTION("IF('From Order'!$A1691=COLUMNS($A1691:B1710), LEFT(INDEX(FILTER(B$1:B1690, B$1:B1690&lt;&gt;""""),COUNTA(FILTER(B$1:B1690, B$1:B1690&lt;&gt;""""))), LEN(INDEX(FILTER(B$1:B1690, B$1:B1690&lt;&gt;""""),COUNTA(FILTER(B$1:B1690, B$1:B1690&lt;&gt;""""))))-1), IF('To Order'!$A1691=COL"&amp;"UMNS($A1691:B1710), B1690&amp;RIGHT(INDIRECT(ADDRESS(ROW(B1691)-1, 'From Order'!$A1691)), 1), B1690))"),"G")</f>
        <v>G</v>
      </c>
      <c r="C1691" s="2" t="str">
        <f>IFERROR(__xludf.DUMMYFUNCTION("IF('From Order'!$A1691=COLUMNS($A1691:C1710), LEFT(INDEX(FILTER(C$1:C1690, C$1:C1690&lt;&gt;""""),COUNTA(FILTER(C$1:C1690, C$1:C1690&lt;&gt;""""))), LEN(INDEX(FILTER(C$1:C1690, C$1:C1690&lt;&gt;""""),COUNTA(FILTER(C$1:C1690, C$1:C1690&lt;&gt;""""))))-1), IF('To Order'!$A1691=COL"&amp;"UMNS($A1691:C1710), C1690&amp;RIGHT(INDIRECT(ADDRESS(ROW(C1691)-1, 'From Order'!$A1691)), 1), C1690))"),"TQVQJPPSSTDDWLLFBPTTJGBHFSCZWMDJMBVRRSDLDT")</f>
        <v>TQVQJPPSSTDDWLLFBPTTJGBHFSCZWMDJMBVRRSDLDT</v>
      </c>
      <c r="D1691" s="2" t="str">
        <f>IFERROR(__xludf.DUMMYFUNCTION("IF('From Order'!$A1691=COLUMNS($A1691:D1710), LEFT(INDEX(FILTER(D$1:D1690, D$1:D1690&lt;&gt;""""),COUNTA(FILTER(D$1:D1690, D$1:D1690&lt;&gt;""""))), LEN(INDEX(FILTER(D$1:D1690, D$1:D1690&lt;&gt;""""),COUNTA(FILTER(D$1:D1690, D$1:D1690&lt;&gt;""""))))-1), IF('To Order'!$A1691=COL"&amp;"UMNS($A1691:D1710), D1690&amp;RIGHT(INDIRECT(ADDRESS(ROW(D1691)-1, 'From Order'!$A1691)), 1), D1690))"),"RBRT")</f>
        <v>RBRT</v>
      </c>
      <c r="E1691" s="2" t="str">
        <f>IFERROR(__xludf.DUMMYFUNCTION("IF('From Order'!$A1691=COLUMNS($A1691:E1710), LEFT(INDEX(FILTER(E$1:E1690, E$1:E1690&lt;&gt;""""),COUNTA(FILTER(E$1:E1690, E$1:E1690&lt;&gt;""""))), LEN(INDEX(FILTER(E$1:E1690, E$1:E1690&lt;&gt;""""),COUNTA(FILTER(E$1:E1690, E$1:E1690&lt;&gt;""""))))-1), IF('To Order'!$A1691=COL"&amp;"UMNS($A1691:E1710), E1690&amp;RIGHT(INDIRECT(ADDRESS(ROW(E1691)-1, 'From Order'!$A1691)), 1), E1690))"),"C")</f>
        <v>C</v>
      </c>
      <c r="F1691" s="2" t="str">
        <f>IFERROR(__xludf.DUMMYFUNCTION("IF('From Order'!$A1691=COLUMNS($A1691:F1710), LEFT(INDEX(FILTER(F$1:F1690, F$1:F1690&lt;&gt;""""),COUNTA(FILTER(F$1:F1690, F$1:F1690&lt;&gt;""""))), LEN(INDEX(FILTER(F$1:F1690, F$1:F1690&lt;&gt;""""),COUNTA(FILTER(F$1:F1690, F$1:F1690&lt;&gt;""""))))-1), IF('To Order'!$A1691=COL"&amp;"UMNS($A1691:F1710), F1690&amp;RIGHT(INDIRECT(ADDRESS(ROW(F1691)-1, 'From Order'!$A1691)), 1), F1690))"),"RDVC")</f>
        <v>RDVC</v>
      </c>
      <c r="G1691" s="2" t="str">
        <f>IFERROR(__xludf.DUMMYFUNCTION("IF('From Order'!$A1691=COLUMNS($A1691:G1710), LEFT(INDEX(FILTER(G$1:G1690, G$1:G1690&lt;&gt;""""),COUNTA(FILTER(G$1:G1690, G$1:G1690&lt;&gt;""""))), LEN(INDEX(FILTER(G$1:G1690, G$1:G1690&lt;&gt;""""),COUNTA(FILTER(G$1:G1690, G$1:G1690&lt;&gt;""""))))-1), IF('To Order'!$A1691=COL"&amp;"UMNS($A1691:G1710), G1690&amp;RIGHT(INDIRECT(ADDRESS(ROW(G1691)-1, 'From Order'!$A1691)), 1), G1690))"),"")</f>
        <v/>
      </c>
      <c r="H1691" s="2" t="str">
        <f>IFERROR(__xludf.DUMMYFUNCTION("IF('From Order'!$A1691=COLUMNS($A1691:H1710), LEFT(INDEX(FILTER(H$1:H1690, H$1:H1690&lt;&gt;""""),COUNTA(FILTER(H$1:H1690, H$1:H1690&lt;&gt;""""))), LEN(INDEX(FILTER(H$1:H1690, H$1:H1690&lt;&gt;""""),COUNTA(FILTER(H$1:H1690, H$1:H1690&lt;&gt;""""))))-1), IF('To Order'!$A1691=COL"&amp;"UMNS($A1691:H1710), H1690&amp;RIGHT(INDIRECT(ADDRESS(ROW(H1691)-1, 'From Order'!$A1691)), 1), H1690))"),"")</f>
        <v/>
      </c>
      <c r="I1691" s="2" t="str">
        <f>IFERROR(__xludf.DUMMYFUNCTION("IF('From Order'!$A1691=COLUMNS($A1691:I1710), LEFT(INDEX(FILTER(I$1:I1690, I$1:I1690&lt;&gt;""""),COUNTA(FILTER(I$1:I1690, I$1:I1690&lt;&gt;""""))), LEN(INDEX(FILTER(I$1:I1690, I$1:I1690&lt;&gt;""""),COUNTA(FILTER(I$1:I1690, I$1:I1690&lt;&gt;""""))))-1), IF('To Order'!$A1691=COL"&amp;"UMNS($A1691:I1710), I1690&amp;RIGHT(INDIRECT(ADDRESS(ROW(I1691)-1, 'From Order'!$A1691)), 1), I1690))"),"")</f>
        <v/>
      </c>
    </row>
    <row r="1692">
      <c r="A1692" s="2" t="str">
        <f>IFERROR(__xludf.DUMMYFUNCTION("IF('From Order'!$A1692=COLUMNS($A1692:A1711), LEFT(INDEX(FILTER(A$1:A1691, A$1:A1691&lt;&gt;""""),COUNTA(FILTER(A$1:A1691, A$1:A1691&lt;&gt;""""))), LEN(INDEX(FILTER(A$1:A1691, A$1:A1691&lt;&gt;""""),COUNTA(FILTER(A$1:A1691, A$1:A1691&lt;&gt;""""))))-1), IF('To Order'!$A1692=COL"&amp;"UMNS($A1692:A1711), A1691&amp;RIGHT(INDIRECT(ADDRESS(ROW(A1692)-1, 'From Order'!$A1692)), 1), A1691))"),"ZHZMT")</f>
        <v>ZHZMT</v>
      </c>
      <c r="B1692" s="2" t="str">
        <f>IFERROR(__xludf.DUMMYFUNCTION("IF('From Order'!$A1692=COLUMNS($A1692:B1711), LEFT(INDEX(FILTER(B$1:B1691, B$1:B1691&lt;&gt;""""),COUNTA(FILTER(B$1:B1691, B$1:B1691&lt;&gt;""""))), LEN(INDEX(FILTER(B$1:B1691, B$1:B1691&lt;&gt;""""),COUNTA(FILTER(B$1:B1691, B$1:B1691&lt;&gt;""""))))-1), IF('To Order'!$A1692=COL"&amp;"UMNS($A1692:B1711), B1691&amp;RIGHT(INDIRECT(ADDRESS(ROW(B1692)-1, 'From Order'!$A1692)), 1), B1691))"),"G")</f>
        <v>G</v>
      </c>
      <c r="C1692" s="2" t="str">
        <f>IFERROR(__xludf.DUMMYFUNCTION("IF('From Order'!$A1692=COLUMNS($A1692:C1711), LEFT(INDEX(FILTER(C$1:C1691, C$1:C1691&lt;&gt;""""),COUNTA(FILTER(C$1:C1691, C$1:C1691&lt;&gt;""""))), LEN(INDEX(FILTER(C$1:C1691, C$1:C1691&lt;&gt;""""),COUNTA(FILTER(C$1:C1691, C$1:C1691&lt;&gt;""""))))-1), IF('To Order'!$A1692=COL"&amp;"UMNS($A1692:C1711), C1691&amp;RIGHT(INDIRECT(ADDRESS(ROW(C1692)-1, 'From Order'!$A1692)), 1), C1691))"),"TQVQJPPSSTDDWLLFBPTTJGBHFSCZWMDJMBVRRSDLD")</f>
        <v>TQVQJPPSSTDDWLLFBPTTJGBHFSCZWMDJMBVRRSDLD</v>
      </c>
      <c r="D1692" s="2" t="str">
        <f>IFERROR(__xludf.DUMMYFUNCTION("IF('From Order'!$A1692=COLUMNS($A1692:D1711), LEFT(INDEX(FILTER(D$1:D1691, D$1:D1691&lt;&gt;""""),COUNTA(FILTER(D$1:D1691, D$1:D1691&lt;&gt;""""))), LEN(INDEX(FILTER(D$1:D1691, D$1:D1691&lt;&gt;""""),COUNTA(FILTER(D$1:D1691, D$1:D1691&lt;&gt;""""))))-1), IF('To Order'!$A1692=COL"&amp;"UMNS($A1692:D1711), D1691&amp;RIGHT(INDIRECT(ADDRESS(ROW(D1692)-1, 'From Order'!$A1692)), 1), D1691))"),"RBRT")</f>
        <v>RBRT</v>
      </c>
      <c r="E1692" s="2" t="str">
        <f>IFERROR(__xludf.DUMMYFUNCTION("IF('From Order'!$A1692=COLUMNS($A1692:E1711), LEFT(INDEX(FILTER(E$1:E1691, E$1:E1691&lt;&gt;""""),COUNTA(FILTER(E$1:E1691, E$1:E1691&lt;&gt;""""))), LEN(INDEX(FILTER(E$1:E1691, E$1:E1691&lt;&gt;""""),COUNTA(FILTER(E$1:E1691, E$1:E1691&lt;&gt;""""))))-1), IF('To Order'!$A1692=COL"&amp;"UMNS($A1692:E1711), E1691&amp;RIGHT(INDIRECT(ADDRESS(ROW(E1692)-1, 'From Order'!$A1692)), 1), E1691))"),"C")</f>
        <v>C</v>
      </c>
      <c r="F1692" s="2" t="str">
        <f>IFERROR(__xludf.DUMMYFUNCTION("IF('From Order'!$A1692=COLUMNS($A1692:F1711), LEFT(INDEX(FILTER(F$1:F1691, F$1:F1691&lt;&gt;""""),COUNTA(FILTER(F$1:F1691, F$1:F1691&lt;&gt;""""))), LEN(INDEX(FILTER(F$1:F1691, F$1:F1691&lt;&gt;""""),COUNTA(FILTER(F$1:F1691, F$1:F1691&lt;&gt;""""))))-1), IF('To Order'!$A1692=COL"&amp;"UMNS($A1692:F1711), F1691&amp;RIGHT(INDIRECT(ADDRESS(ROW(F1692)-1, 'From Order'!$A1692)), 1), F1691))"),"RDVC")</f>
        <v>RDVC</v>
      </c>
      <c r="G1692" s="2" t="str">
        <f>IFERROR(__xludf.DUMMYFUNCTION("IF('From Order'!$A1692=COLUMNS($A1692:G1711), LEFT(INDEX(FILTER(G$1:G1691, G$1:G1691&lt;&gt;""""),COUNTA(FILTER(G$1:G1691, G$1:G1691&lt;&gt;""""))), LEN(INDEX(FILTER(G$1:G1691, G$1:G1691&lt;&gt;""""),COUNTA(FILTER(G$1:G1691, G$1:G1691&lt;&gt;""""))))-1), IF('To Order'!$A1692=COL"&amp;"UMNS($A1692:G1711), G1691&amp;RIGHT(INDIRECT(ADDRESS(ROW(G1692)-1, 'From Order'!$A1692)), 1), G1691))"),"")</f>
        <v/>
      </c>
      <c r="H1692" s="2" t="str">
        <f>IFERROR(__xludf.DUMMYFUNCTION("IF('From Order'!$A1692=COLUMNS($A1692:H1711), LEFT(INDEX(FILTER(H$1:H1691, H$1:H1691&lt;&gt;""""),COUNTA(FILTER(H$1:H1691, H$1:H1691&lt;&gt;""""))), LEN(INDEX(FILTER(H$1:H1691, H$1:H1691&lt;&gt;""""),COUNTA(FILTER(H$1:H1691, H$1:H1691&lt;&gt;""""))))-1), IF('To Order'!$A1692=COL"&amp;"UMNS($A1692:H1711), H1691&amp;RIGHT(INDIRECT(ADDRESS(ROW(H1692)-1, 'From Order'!$A1692)), 1), H1691))"),"")</f>
        <v/>
      </c>
      <c r="I1692" s="2" t="str">
        <f>IFERROR(__xludf.DUMMYFUNCTION("IF('From Order'!$A1692=COLUMNS($A1692:I1711), LEFT(INDEX(FILTER(I$1:I1691, I$1:I1691&lt;&gt;""""),COUNTA(FILTER(I$1:I1691, I$1:I1691&lt;&gt;""""))), LEN(INDEX(FILTER(I$1:I1691, I$1:I1691&lt;&gt;""""),COUNTA(FILTER(I$1:I1691, I$1:I1691&lt;&gt;""""))))-1), IF('To Order'!$A1692=COL"&amp;"UMNS($A1692:I1711), I1691&amp;RIGHT(INDIRECT(ADDRESS(ROW(I1692)-1, 'From Order'!$A1692)), 1), I1691))"),"")</f>
        <v/>
      </c>
    </row>
    <row r="1693">
      <c r="A1693" s="2" t="str">
        <f>IFERROR(__xludf.DUMMYFUNCTION("IF('From Order'!$A1693=COLUMNS($A1693:A1712), LEFT(INDEX(FILTER(A$1:A1692, A$1:A1692&lt;&gt;""""),COUNTA(FILTER(A$1:A1692, A$1:A1692&lt;&gt;""""))), LEN(INDEX(FILTER(A$1:A1692, A$1:A1692&lt;&gt;""""),COUNTA(FILTER(A$1:A1692, A$1:A1692&lt;&gt;""""))))-1), IF('To Order'!$A1693=COL"&amp;"UMNS($A1693:A1712), A1692&amp;RIGHT(INDIRECT(ADDRESS(ROW(A1693)-1, 'From Order'!$A1693)), 1), A1692))"),"ZHZMTD")</f>
        <v>ZHZMTD</v>
      </c>
      <c r="B1693" s="2" t="str">
        <f>IFERROR(__xludf.DUMMYFUNCTION("IF('From Order'!$A1693=COLUMNS($A1693:B1712), LEFT(INDEX(FILTER(B$1:B1692, B$1:B1692&lt;&gt;""""),COUNTA(FILTER(B$1:B1692, B$1:B1692&lt;&gt;""""))), LEN(INDEX(FILTER(B$1:B1692, B$1:B1692&lt;&gt;""""),COUNTA(FILTER(B$1:B1692, B$1:B1692&lt;&gt;""""))))-1), IF('To Order'!$A1693=COL"&amp;"UMNS($A1693:B1712), B1692&amp;RIGHT(INDIRECT(ADDRESS(ROW(B1693)-1, 'From Order'!$A1693)), 1), B1692))"),"G")</f>
        <v>G</v>
      </c>
      <c r="C1693" s="2" t="str">
        <f>IFERROR(__xludf.DUMMYFUNCTION("IF('From Order'!$A1693=COLUMNS($A1693:C1712), LEFT(INDEX(FILTER(C$1:C1692, C$1:C1692&lt;&gt;""""),COUNTA(FILTER(C$1:C1692, C$1:C1692&lt;&gt;""""))), LEN(INDEX(FILTER(C$1:C1692, C$1:C1692&lt;&gt;""""),COUNTA(FILTER(C$1:C1692, C$1:C1692&lt;&gt;""""))))-1), IF('To Order'!$A1693=COL"&amp;"UMNS($A1693:C1712), C1692&amp;RIGHT(INDIRECT(ADDRESS(ROW(C1693)-1, 'From Order'!$A1693)), 1), C1692))"),"TQVQJPPSSTDDWLLFBPTTJGBHFSCZWMDJMBVRRSDL")</f>
        <v>TQVQJPPSSTDDWLLFBPTTJGBHFSCZWMDJMBVRRSDL</v>
      </c>
      <c r="D1693" s="2" t="str">
        <f>IFERROR(__xludf.DUMMYFUNCTION("IF('From Order'!$A1693=COLUMNS($A1693:D1712), LEFT(INDEX(FILTER(D$1:D1692, D$1:D1692&lt;&gt;""""),COUNTA(FILTER(D$1:D1692, D$1:D1692&lt;&gt;""""))), LEN(INDEX(FILTER(D$1:D1692, D$1:D1692&lt;&gt;""""),COUNTA(FILTER(D$1:D1692, D$1:D1692&lt;&gt;""""))))-1), IF('To Order'!$A1693=COL"&amp;"UMNS($A1693:D1712), D1692&amp;RIGHT(INDIRECT(ADDRESS(ROW(D1693)-1, 'From Order'!$A1693)), 1), D1692))"),"RBRT")</f>
        <v>RBRT</v>
      </c>
      <c r="E1693" s="2" t="str">
        <f>IFERROR(__xludf.DUMMYFUNCTION("IF('From Order'!$A1693=COLUMNS($A1693:E1712), LEFT(INDEX(FILTER(E$1:E1692, E$1:E1692&lt;&gt;""""),COUNTA(FILTER(E$1:E1692, E$1:E1692&lt;&gt;""""))), LEN(INDEX(FILTER(E$1:E1692, E$1:E1692&lt;&gt;""""),COUNTA(FILTER(E$1:E1692, E$1:E1692&lt;&gt;""""))))-1), IF('To Order'!$A1693=COL"&amp;"UMNS($A1693:E1712), E1692&amp;RIGHT(INDIRECT(ADDRESS(ROW(E1693)-1, 'From Order'!$A1693)), 1), E1692))"),"C")</f>
        <v>C</v>
      </c>
      <c r="F1693" s="2" t="str">
        <f>IFERROR(__xludf.DUMMYFUNCTION("IF('From Order'!$A1693=COLUMNS($A1693:F1712), LEFT(INDEX(FILTER(F$1:F1692, F$1:F1692&lt;&gt;""""),COUNTA(FILTER(F$1:F1692, F$1:F1692&lt;&gt;""""))), LEN(INDEX(FILTER(F$1:F1692, F$1:F1692&lt;&gt;""""),COUNTA(FILTER(F$1:F1692, F$1:F1692&lt;&gt;""""))))-1), IF('To Order'!$A1693=COL"&amp;"UMNS($A1693:F1712), F1692&amp;RIGHT(INDIRECT(ADDRESS(ROW(F1693)-1, 'From Order'!$A1693)), 1), F1692))"),"RDVC")</f>
        <v>RDVC</v>
      </c>
      <c r="G1693" s="2" t="str">
        <f>IFERROR(__xludf.DUMMYFUNCTION("IF('From Order'!$A1693=COLUMNS($A1693:G1712), LEFT(INDEX(FILTER(G$1:G1692, G$1:G1692&lt;&gt;""""),COUNTA(FILTER(G$1:G1692, G$1:G1692&lt;&gt;""""))), LEN(INDEX(FILTER(G$1:G1692, G$1:G1692&lt;&gt;""""),COUNTA(FILTER(G$1:G1692, G$1:G1692&lt;&gt;""""))))-1), IF('To Order'!$A1693=COL"&amp;"UMNS($A1693:G1712), G1692&amp;RIGHT(INDIRECT(ADDRESS(ROW(G1693)-1, 'From Order'!$A1693)), 1), G1692))"),"")</f>
        <v/>
      </c>
      <c r="H1693" s="2" t="str">
        <f>IFERROR(__xludf.DUMMYFUNCTION("IF('From Order'!$A1693=COLUMNS($A1693:H1712), LEFT(INDEX(FILTER(H$1:H1692, H$1:H1692&lt;&gt;""""),COUNTA(FILTER(H$1:H1692, H$1:H1692&lt;&gt;""""))), LEN(INDEX(FILTER(H$1:H1692, H$1:H1692&lt;&gt;""""),COUNTA(FILTER(H$1:H1692, H$1:H1692&lt;&gt;""""))))-1), IF('To Order'!$A1693=COL"&amp;"UMNS($A1693:H1712), H1692&amp;RIGHT(INDIRECT(ADDRESS(ROW(H1693)-1, 'From Order'!$A1693)), 1), H1692))"),"")</f>
        <v/>
      </c>
      <c r="I1693" s="2" t="str">
        <f>IFERROR(__xludf.DUMMYFUNCTION("IF('From Order'!$A1693=COLUMNS($A1693:I1712), LEFT(INDEX(FILTER(I$1:I1692, I$1:I1692&lt;&gt;""""),COUNTA(FILTER(I$1:I1692, I$1:I1692&lt;&gt;""""))), LEN(INDEX(FILTER(I$1:I1692, I$1:I1692&lt;&gt;""""),COUNTA(FILTER(I$1:I1692, I$1:I1692&lt;&gt;""""))))-1), IF('To Order'!$A1693=COL"&amp;"UMNS($A1693:I1712), I1692&amp;RIGHT(INDIRECT(ADDRESS(ROW(I1693)-1, 'From Order'!$A1693)), 1), I1692))"),"")</f>
        <v/>
      </c>
    </row>
    <row r="1694">
      <c r="A1694" s="2" t="str">
        <f>IFERROR(__xludf.DUMMYFUNCTION("IF('From Order'!$A1694=COLUMNS($A1694:A1713), LEFT(INDEX(FILTER(A$1:A1693, A$1:A1693&lt;&gt;""""),COUNTA(FILTER(A$1:A1693, A$1:A1693&lt;&gt;""""))), LEN(INDEX(FILTER(A$1:A1693, A$1:A1693&lt;&gt;""""),COUNTA(FILTER(A$1:A1693, A$1:A1693&lt;&gt;""""))))-1), IF('To Order'!$A1694=COL"&amp;"UMNS($A1694:A1713), A1693&amp;RIGHT(INDIRECT(ADDRESS(ROW(A1694)-1, 'From Order'!$A1694)), 1), A1693))"),"ZHZMTDL")</f>
        <v>ZHZMTDL</v>
      </c>
      <c r="B1694" s="2" t="str">
        <f>IFERROR(__xludf.DUMMYFUNCTION("IF('From Order'!$A1694=COLUMNS($A1694:B1713), LEFT(INDEX(FILTER(B$1:B1693, B$1:B1693&lt;&gt;""""),COUNTA(FILTER(B$1:B1693, B$1:B1693&lt;&gt;""""))), LEN(INDEX(FILTER(B$1:B1693, B$1:B1693&lt;&gt;""""),COUNTA(FILTER(B$1:B1693, B$1:B1693&lt;&gt;""""))))-1), IF('To Order'!$A1694=COL"&amp;"UMNS($A1694:B1713), B1693&amp;RIGHT(INDIRECT(ADDRESS(ROW(B1694)-1, 'From Order'!$A1694)), 1), B1693))"),"G")</f>
        <v>G</v>
      </c>
      <c r="C1694" s="2" t="str">
        <f>IFERROR(__xludf.DUMMYFUNCTION("IF('From Order'!$A1694=COLUMNS($A1694:C1713), LEFT(INDEX(FILTER(C$1:C1693, C$1:C1693&lt;&gt;""""),COUNTA(FILTER(C$1:C1693, C$1:C1693&lt;&gt;""""))), LEN(INDEX(FILTER(C$1:C1693, C$1:C1693&lt;&gt;""""),COUNTA(FILTER(C$1:C1693, C$1:C1693&lt;&gt;""""))))-1), IF('To Order'!$A1694=COL"&amp;"UMNS($A1694:C1713), C1693&amp;RIGHT(INDIRECT(ADDRESS(ROW(C1694)-1, 'From Order'!$A1694)), 1), C1693))"),"TQVQJPPSSTDDWLLFBPTTJGBHFSCZWMDJMBVRRSD")</f>
        <v>TQVQJPPSSTDDWLLFBPTTJGBHFSCZWMDJMBVRRSD</v>
      </c>
      <c r="D1694" s="2" t="str">
        <f>IFERROR(__xludf.DUMMYFUNCTION("IF('From Order'!$A1694=COLUMNS($A1694:D1713), LEFT(INDEX(FILTER(D$1:D1693, D$1:D1693&lt;&gt;""""),COUNTA(FILTER(D$1:D1693, D$1:D1693&lt;&gt;""""))), LEN(INDEX(FILTER(D$1:D1693, D$1:D1693&lt;&gt;""""),COUNTA(FILTER(D$1:D1693, D$1:D1693&lt;&gt;""""))))-1), IF('To Order'!$A1694=COL"&amp;"UMNS($A1694:D1713), D1693&amp;RIGHT(INDIRECT(ADDRESS(ROW(D1694)-1, 'From Order'!$A1694)), 1), D1693))"),"RBRT")</f>
        <v>RBRT</v>
      </c>
      <c r="E1694" s="2" t="str">
        <f>IFERROR(__xludf.DUMMYFUNCTION("IF('From Order'!$A1694=COLUMNS($A1694:E1713), LEFT(INDEX(FILTER(E$1:E1693, E$1:E1693&lt;&gt;""""),COUNTA(FILTER(E$1:E1693, E$1:E1693&lt;&gt;""""))), LEN(INDEX(FILTER(E$1:E1693, E$1:E1693&lt;&gt;""""),COUNTA(FILTER(E$1:E1693, E$1:E1693&lt;&gt;""""))))-1), IF('To Order'!$A1694=COL"&amp;"UMNS($A1694:E1713), E1693&amp;RIGHT(INDIRECT(ADDRESS(ROW(E1694)-1, 'From Order'!$A1694)), 1), E1693))"),"C")</f>
        <v>C</v>
      </c>
      <c r="F1694" s="2" t="str">
        <f>IFERROR(__xludf.DUMMYFUNCTION("IF('From Order'!$A1694=COLUMNS($A1694:F1713), LEFT(INDEX(FILTER(F$1:F1693, F$1:F1693&lt;&gt;""""),COUNTA(FILTER(F$1:F1693, F$1:F1693&lt;&gt;""""))), LEN(INDEX(FILTER(F$1:F1693, F$1:F1693&lt;&gt;""""),COUNTA(FILTER(F$1:F1693, F$1:F1693&lt;&gt;""""))))-1), IF('To Order'!$A1694=COL"&amp;"UMNS($A1694:F1713), F1693&amp;RIGHT(INDIRECT(ADDRESS(ROW(F1694)-1, 'From Order'!$A1694)), 1), F1693))"),"RDVC")</f>
        <v>RDVC</v>
      </c>
      <c r="G1694" s="2" t="str">
        <f>IFERROR(__xludf.DUMMYFUNCTION("IF('From Order'!$A1694=COLUMNS($A1694:G1713), LEFT(INDEX(FILTER(G$1:G1693, G$1:G1693&lt;&gt;""""),COUNTA(FILTER(G$1:G1693, G$1:G1693&lt;&gt;""""))), LEN(INDEX(FILTER(G$1:G1693, G$1:G1693&lt;&gt;""""),COUNTA(FILTER(G$1:G1693, G$1:G1693&lt;&gt;""""))))-1), IF('To Order'!$A1694=COL"&amp;"UMNS($A1694:G1713), G1693&amp;RIGHT(INDIRECT(ADDRESS(ROW(G1694)-1, 'From Order'!$A1694)), 1), G1693))"),"")</f>
        <v/>
      </c>
      <c r="H1694" s="2" t="str">
        <f>IFERROR(__xludf.DUMMYFUNCTION("IF('From Order'!$A1694=COLUMNS($A1694:H1713), LEFT(INDEX(FILTER(H$1:H1693, H$1:H1693&lt;&gt;""""),COUNTA(FILTER(H$1:H1693, H$1:H1693&lt;&gt;""""))), LEN(INDEX(FILTER(H$1:H1693, H$1:H1693&lt;&gt;""""),COUNTA(FILTER(H$1:H1693, H$1:H1693&lt;&gt;""""))))-1), IF('To Order'!$A1694=COL"&amp;"UMNS($A1694:H1713), H1693&amp;RIGHT(INDIRECT(ADDRESS(ROW(H1694)-1, 'From Order'!$A1694)), 1), H1693))"),"")</f>
        <v/>
      </c>
      <c r="I1694" s="2" t="str">
        <f>IFERROR(__xludf.DUMMYFUNCTION("IF('From Order'!$A1694=COLUMNS($A1694:I1713), LEFT(INDEX(FILTER(I$1:I1693, I$1:I1693&lt;&gt;""""),COUNTA(FILTER(I$1:I1693, I$1:I1693&lt;&gt;""""))), LEN(INDEX(FILTER(I$1:I1693, I$1:I1693&lt;&gt;""""),COUNTA(FILTER(I$1:I1693, I$1:I1693&lt;&gt;""""))))-1), IF('To Order'!$A1694=COL"&amp;"UMNS($A1694:I1713), I1693&amp;RIGHT(INDIRECT(ADDRESS(ROW(I1694)-1, 'From Order'!$A1694)), 1), I1693))"),"")</f>
        <v/>
      </c>
    </row>
    <row r="1695">
      <c r="A1695" s="2" t="str">
        <f>IFERROR(__xludf.DUMMYFUNCTION("IF('From Order'!$A1695=COLUMNS($A1695:A1714), LEFT(INDEX(FILTER(A$1:A1694, A$1:A1694&lt;&gt;""""),COUNTA(FILTER(A$1:A1694, A$1:A1694&lt;&gt;""""))), LEN(INDEX(FILTER(A$1:A1694, A$1:A1694&lt;&gt;""""),COUNTA(FILTER(A$1:A1694, A$1:A1694&lt;&gt;""""))))-1), IF('To Order'!$A1695=COL"&amp;"UMNS($A1695:A1714), A1694&amp;RIGHT(INDIRECT(ADDRESS(ROW(A1695)-1, 'From Order'!$A1695)), 1), A1694))"),"ZHZMTDLD")</f>
        <v>ZHZMTDLD</v>
      </c>
      <c r="B1695" s="2" t="str">
        <f>IFERROR(__xludf.DUMMYFUNCTION("IF('From Order'!$A1695=COLUMNS($A1695:B1714), LEFT(INDEX(FILTER(B$1:B1694, B$1:B1694&lt;&gt;""""),COUNTA(FILTER(B$1:B1694, B$1:B1694&lt;&gt;""""))), LEN(INDEX(FILTER(B$1:B1694, B$1:B1694&lt;&gt;""""),COUNTA(FILTER(B$1:B1694, B$1:B1694&lt;&gt;""""))))-1), IF('To Order'!$A1695=COL"&amp;"UMNS($A1695:B1714), B1694&amp;RIGHT(INDIRECT(ADDRESS(ROW(B1695)-1, 'From Order'!$A1695)), 1), B1694))"),"G")</f>
        <v>G</v>
      </c>
      <c r="C1695" s="2" t="str">
        <f>IFERROR(__xludf.DUMMYFUNCTION("IF('From Order'!$A1695=COLUMNS($A1695:C1714), LEFT(INDEX(FILTER(C$1:C1694, C$1:C1694&lt;&gt;""""),COUNTA(FILTER(C$1:C1694, C$1:C1694&lt;&gt;""""))), LEN(INDEX(FILTER(C$1:C1694, C$1:C1694&lt;&gt;""""),COUNTA(FILTER(C$1:C1694, C$1:C1694&lt;&gt;""""))))-1), IF('To Order'!$A1695=COL"&amp;"UMNS($A1695:C1714), C1694&amp;RIGHT(INDIRECT(ADDRESS(ROW(C1695)-1, 'From Order'!$A1695)), 1), C1694))"),"TQVQJPPSSTDDWLLFBPTTJGBHFSCZWMDJMBVRRS")</f>
        <v>TQVQJPPSSTDDWLLFBPTTJGBHFSCZWMDJMBVRRS</v>
      </c>
      <c r="D1695" s="2" t="str">
        <f>IFERROR(__xludf.DUMMYFUNCTION("IF('From Order'!$A1695=COLUMNS($A1695:D1714), LEFT(INDEX(FILTER(D$1:D1694, D$1:D1694&lt;&gt;""""),COUNTA(FILTER(D$1:D1694, D$1:D1694&lt;&gt;""""))), LEN(INDEX(FILTER(D$1:D1694, D$1:D1694&lt;&gt;""""),COUNTA(FILTER(D$1:D1694, D$1:D1694&lt;&gt;""""))))-1), IF('To Order'!$A1695=COL"&amp;"UMNS($A1695:D1714), D1694&amp;RIGHT(INDIRECT(ADDRESS(ROW(D1695)-1, 'From Order'!$A1695)), 1), D1694))"),"RBRT")</f>
        <v>RBRT</v>
      </c>
      <c r="E1695" s="2" t="str">
        <f>IFERROR(__xludf.DUMMYFUNCTION("IF('From Order'!$A1695=COLUMNS($A1695:E1714), LEFT(INDEX(FILTER(E$1:E1694, E$1:E1694&lt;&gt;""""),COUNTA(FILTER(E$1:E1694, E$1:E1694&lt;&gt;""""))), LEN(INDEX(FILTER(E$1:E1694, E$1:E1694&lt;&gt;""""),COUNTA(FILTER(E$1:E1694, E$1:E1694&lt;&gt;""""))))-1), IF('To Order'!$A1695=COL"&amp;"UMNS($A1695:E1714), E1694&amp;RIGHT(INDIRECT(ADDRESS(ROW(E1695)-1, 'From Order'!$A1695)), 1), E1694))"),"C")</f>
        <v>C</v>
      </c>
      <c r="F1695" s="2" t="str">
        <f>IFERROR(__xludf.DUMMYFUNCTION("IF('From Order'!$A1695=COLUMNS($A1695:F1714), LEFT(INDEX(FILTER(F$1:F1694, F$1:F1694&lt;&gt;""""),COUNTA(FILTER(F$1:F1694, F$1:F1694&lt;&gt;""""))), LEN(INDEX(FILTER(F$1:F1694, F$1:F1694&lt;&gt;""""),COUNTA(FILTER(F$1:F1694, F$1:F1694&lt;&gt;""""))))-1), IF('To Order'!$A1695=COL"&amp;"UMNS($A1695:F1714), F1694&amp;RIGHT(INDIRECT(ADDRESS(ROW(F1695)-1, 'From Order'!$A1695)), 1), F1694))"),"RDVC")</f>
        <v>RDVC</v>
      </c>
      <c r="G1695" s="2" t="str">
        <f>IFERROR(__xludf.DUMMYFUNCTION("IF('From Order'!$A1695=COLUMNS($A1695:G1714), LEFT(INDEX(FILTER(G$1:G1694, G$1:G1694&lt;&gt;""""),COUNTA(FILTER(G$1:G1694, G$1:G1694&lt;&gt;""""))), LEN(INDEX(FILTER(G$1:G1694, G$1:G1694&lt;&gt;""""),COUNTA(FILTER(G$1:G1694, G$1:G1694&lt;&gt;""""))))-1), IF('To Order'!$A1695=COL"&amp;"UMNS($A1695:G1714), G1694&amp;RIGHT(INDIRECT(ADDRESS(ROW(G1695)-1, 'From Order'!$A1695)), 1), G1694))"),"")</f>
        <v/>
      </c>
      <c r="H1695" s="2" t="str">
        <f>IFERROR(__xludf.DUMMYFUNCTION("IF('From Order'!$A1695=COLUMNS($A1695:H1714), LEFT(INDEX(FILTER(H$1:H1694, H$1:H1694&lt;&gt;""""),COUNTA(FILTER(H$1:H1694, H$1:H1694&lt;&gt;""""))), LEN(INDEX(FILTER(H$1:H1694, H$1:H1694&lt;&gt;""""),COUNTA(FILTER(H$1:H1694, H$1:H1694&lt;&gt;""""))))-1), IF('To Order'!$A1695=COL"&amp;"UMNS($A1695:H1714), H1694&amp;RIGHT(INDIRECT(ADDRESS(ROW(H1695)-1, 'From Order'!$A1695)), 1), H1694))"),"")</f>
        <v/>
      </c>
      <c r="I1695" s="2" t="str">
        <f>IFERROR(__xludf.DUMMYFUNCTION("IF('From Order'!$A1695=COLUMNS($A1695:I1714), LEFT(INDEX(FILTER(I$1:I1694, I$1:I1694&lt;&gt;""""),COUNTA(FILTER(I$1:I1694, I$1:I1694&lt;&gt;""""))), LEN(INDEX(FILTER(I$1:I1694, I$1:I1694&lt;&gt;""""),COUNTA(FILTER(I$1:I1694, I$1:I1694&lt;&gt;""""))))-1), IF('To Order'!$A1695=COL"&amp;"UMNS($A1695:I1714), I1694&amp;RIGHT(INDIRECT(ADDRESS(ROW(I1695)-1, 'From Order'!$A1695)), 1), I1694))"),"")</f>
        <v/>
      </c>
    </row>
    <row r="1696">
      <c r="A1696" s="2" t="str">
        <f>IFERROR(__xludf.DUMMYFUNCTION("IF('From Order'!$A1696=COLUMNS($A1696:A1715), LEFT(INDEX(FILTER(A$1:A1695, A$1:A1695&lt;&gt;""""),COUNTA(FILTER(A$1:A1695, A$1:A1695&lt;&gt;""""))), LEN(INDEX(FILTER(A$1:A1695, A$1:A1695&lt;&gt;""""),COUNTA(FILTER(A$1:A1695, A$1:A1695&lt;&gt;""""))))-1), IF('To Order'!$A1696=COL"&amp;"UMNS($A1696:A1715), A1695&amp;RIGHT(INDIRECT(ADDRESS(ROW(A1696)-1, 'From Order'!$A1696)), 1), A1695))"),"ZHZMTDLDS")</f>
        <v>ZHZMTDLDS</v>
      </c>
      <c r="B1696" s="2" t="str">
        <f>IFERROR(__xludf.DUMMYFUNCTION("IF('From Order'!$A1696=COLUMNS($A1696:B1715), LEFT(INDEX(FILTER(B$1:B1695, B$1:B1695&lt;&gt;""""),COUNTA(FILTER(B$1:B1695, B$1:B1695&lt;&gt;""""))), LEN(INDEX(FILTER(B$1:B1695, B$1:B1695&lt;&gt;""""),COUNTA(FILTER(B$1:B1695, B$1:B1695&lt;&gt;""""))))-1), IF('To Order'!$A1696=COL"&amp;"UMNS($A1696:B1715), B1695&amp;RIGHT(INDIRECT(ADDRESS(ROW(B1696)-1, 'From Order'!$A1696)), 1), B1695))"),"G")</f>
        <v>G</v>
      </c>
      <c r="C1696" s="2" t="str">
        <f>IFERROR(__xludf.DUMMYFUNCTION("IF('From Order'!$A1696=COLUMNS($A1696:C1715), LEFT(INDEX(FILTER(C$1:C1695, C$1:C1695&lt;&gt;""""),COUNTA(FILTER(C$1:C1695, C$1:C1695&lt;&gt;""""))), LEN(INDEX(FILTER(C$1:C1695, C$1:C1695&lt;&gt;""""),COUNTA(FILTER(C$1:C1695, C$1:C1695&lt;&gt;""""))))-1), IF('To Order'!$A1696=COL"&amp;"UMNS($A1696:C1715), C1695&amp;RIGHT(INDIRECT(ADDRESS(ROW(C1696)-1, 'From Order'!$A1696)), 1), C1695))"),"TQVQJPPSSTDDWLLFBPTTJGBHFSCZWMDJMBVRR")</f>
        <v>TQVQJPPSSTDDWLLFBPTTJGBHFSCZWMDJMBVRR</v>
      </c>
      <c r="D1696" s="2" t="str">
        <f>IFERROR(__xludf.DUMMYFUNCTION("IF('From Order'!$A1696=COLUMNS($A1696:D1715), LEFT(INDEX(FILTER(D$1:D1695, D$1:D1695&lt;&gt;""""),COUNTA(FILTER(D$1:D1695, D$1:D1695&lt;&gt;""""))), LEN(INDEX(FILTER(D$1:D1695, D$1:D1695&lt;&gt;""""),COUNTA(FILTER(D$1:D1695, D$1:D1695&lt;&gt;""""))))-1), IF('To Order'!$A1696=COL"&amp;"UMNS($A1696:D1715), D1695&amp;RIGHT(INDIRECT(ADDRESS(ROW(D1696)-1, 'From Order'!$A1696)), 1), D1695))"),"RBRT")</f>
        <v>RBRT</v>
      </c>
      <c r="E1696" s="2" t="str">
        <f>IFERROR(__xludf.DUMMYFUNCTION("IF('From Order'!$A1696=COLUMNS($A1696:E1715), LEFT(INDEX(FILTER(E$1:E1695, E$1:E1695&lt;&gt;""""),COUNTA(FILTER(E$1:E1695, E$1:E1695&lt;&gt;""""))), LEN(INDEX(FILTER(E$1:E1695, E$1:E1695&lt;&gt;""""),COUNTA(FILTER(E$1:E1695, E$1:E1695&lt;&gt;""""))))-1), IF('To Order'!$A1696=COL"&amp;"UMNS($A1696:E1715), E1695&amp;RIGHT(INDIRECT(ADDRESS(ROW(E1696)-1, 'From Order'!$A1696)), 1), E1695))"),"C")</f>
        <v>C</v>
      </c>
      <c r="F1696" s="2" t="str">
        <f>IFERROR(__xludf.DUMMYFUNCTION("IF('From Order'!$A1696=COLUMNS($A1696:F1715), LEFT(INDEX(FILTER(F$1:F1695, F$1:F1695&lt;&gt;""""),COUNTA(FILTER(F$1:F1695, F$1:F1695&lt;&gt;""""))), LEN(INDEX(FILTER(F$1:F1695, F$1:F1695&lt;&gt;""""),COUNTA(FILTER(F$1:F1695, F$1:F1695&lt;&gt;""""))))-1), IF('To Order'!$A1696=COL"&amp;"UMNS($A1696:F1715), F1695&amp;RIGHT(INDIRECT(ADDRESS(ROW(F1696)-1, 'From Order'!$A1696)), 1), F1695))"),"RDVC")</f>
        <v>RDVC</v>
      </c>
      <c r="G1696" s="2" t="str">
        <f>IFERROR(__xludf.DUMMYFUNCTION("IF('From Order'!$A1696=COLUMNS($A1696:G1715), LEFT(INDEX(FILTER(G$1:G1695, G$1:G1695&lt;&gt;""""),COUNTA(FILTER(G$1:G1695, G$1:G1695&lt;&gt;""""))), LEN(INDEX(FILTER(G$1:G1695, G$1:G1695&lt;&gt;""""),COUNTA(FILTER(G$1:G1695, G$1:G1695&lt;&gt;""""))))-1), IF('To Order'!$A1696=COL"&amp;"UMNS($A1696:G1715), G1695&amp;RIGHT(INDIRECT(ADDRESS(ROW(G1696)-1, 'From Order'!$A1696)), 1), G1695))"),"")</f>
        <v/>
      </c>
      <c r="H1696" s="2" t="str">
        <f>IFERROR(__xludf.DUMMYFUNCTION("IF('From Order'!$A1696=COLUMNS($A1696:H1715), LEFT(INDEX(FILTER(H$1:H1695, H$1:H1695&lt;&gt;""""),COUNTA(FILTER(H$1:H1695, H$1:H1695&lt;&gt;""""))), LEN(INDEX(FILTER(H$1:H1695, H$1:H1695&lt;&gt;""""),COUNTA(FILTER(H$1:H1695, H$1:H1695&lt;&gt;""""))))-1), IF('To Order'!$A1696=COL"&amp;"UMNS($A1696:H1715), H1695&amp;RIGHT(INDIRECT(ADDRESS(ROW(H1696)-1, 'From Order'!$A1696)), 1), H1695))"),"")</f>
        <v/>
      </c>
      <c r="I1696" s="2" t="str">
        <f>IFERROR(__xludf.DUMMYFUNCTION("IF('From Order'!$A1696=COLUMNS($A1696:I1715), LEFT(INDEX(FILTER(I$1:I1695, I$1:I1695&lt;&gt;""""),COUNTA(FILTER(I$1:I1695, I$1:I1695&lt;&gt;""""))), LEN(INDEX(FILTER(I$1:I1695, I$1:I1695&lt;&gt;""""),COUNTA(FILTER(I$1:I1695, I$1:I1695&lt;&gt;""""))))-1), IF('To Order'!$A1696=COL"&amp;"UMNS($A1696:I1715), I1695&amp;RIGHT(INDIRECT(ADDRESS(ROW(I1696)-1, 'From Order'!$A1696)), 1), I1695))"),"")</f>
        <v/>
      </c>
    </row>
    <row r="1697">
      <c r="A1697" s="2" t="str">
        <f>IFERROR(__xludf.DUMMYFUNCTION("IF('From Order'!$A1697=COLUMNS($A1697:A1716), LEFT(INDEX(FILTER(A$1:A1696, A$1:A1696&lt;&gt;""""),COUNTA(FILTER(A$1:A1696, A$1:A1696&lt;&gt;""""))), LEN(INDEX(FILTER(A$1:A1696, A$1:A1696&lt;&gt;""""),COUNTA(FILTER(A$1:A1696, A$1:A1696&lt;&gt;""""))))-1), IF('To Order'!$A1697=COL"&amp;"UMNS($A1697:A1716), A1696&amp;RIGHT(INDIRECT(ADDRESS(ROW(A1697)-1, 'From Order'!$A1697)), 1), A1696))"),"ZHZMTDLDSR")</f>
        <v>ZHZMTDLDSR</v>
      </c>
      <c r="B1697" s="2" t="str">
        <f>IFERROR(__xludf.DUMMYFUNCTION("IF('From Order'!$A1697=COLUMNS($A1697:B1716), LEFT(INDEX(FILTER(B$1:B1696, B$1:B1696&lt;&gt;""""),COUNTA(FILTER(B$1:B1696, B$1:B1696&lt;&gt;""""))), LEN(INDEX(FILTER(B$1:B1696, B$1:B1696&lt;&gt;""""),COUNTA(FILTER(B$1:B1696, B$1:B1696&lt;&gt;""""))))-1), IF('To Order'!$A1697=COL"&amp;"UMNS($A1697:B1716), B1696&amp;RIGHT(INDIRECT(ADDRESS(ROW(B1697)-1, 'From Order'!$A1697)), 1), B1696))"),"G")</f>
        <v>G</v>
      </c>
      <c r="C1697" s="2" t="str">
        <f>IFERROR(__xludf.DUMMYFUNCTION("IF('From Order'!$A1697=COLUMNS($A1697:C1716), LEFT(INDEX(FILTER(C$1:C1696, C$1:C1696&lt;&gt;""""),COUNTA(FILTER(C$1:C1696, C$1:C1696&lt;&gt;""""))), LEN(INDEX(FILTER(C$1:C1696, C$1:C1696&lt;&gt;""""),COUNTA(FILTER(C$1:C1696, C$1:C1696&lt;&gt;""""))))-1), IF('To Order'!$A1697=COL"&amp;"UMNS($A1697:C1716), C1696&amp;RIGHT(INDIRECT(ADDRESS(ROW(C1697)-1, 'From Order'!$A1697)), 1), C1696))"),"TQVQJPPSSTDDWLLFBPTTJGBHFSCZWMDJMBVR")</f>
        <v>TQVQJPPSSTDDWLLFBPTTJGBHFSCZWMDJMBVR</v>
      </c>
      <c r="D1697" s="2" t="str">
        <f>IFERROR(__xludf.DUMMYFUNCTION("IF('From Order'!$A1697=COLUMNS($A1697:D1716), LEFT(INDEX(FILTER(D$1:D1696, D$1:D1696&lt;&gt;""""),COUNTA(FILTER(D$1:D1696, D$1:D1696&lt;&gt;""""))), LEN(INDEX(FILTER(D$1:D1696, D$1:D1696&lt;&gt;""""),COUNTA(FILTER(D$1:D1696, D$1:D1696&lt;&gt;""""))))-1), IF('To Order'!$A1697=COL"&amp;"UMNS($A1697:D1716), D1696&amp;RIGHT(INDIRECT(ADDRESS(ROW(D1697)-1, 'From Order'!$A1697)), 1), D1696))"),"RBRT")</f>
        <v>RBRT</v>
      </c>
      <c r="E1697" s="2" t="str">
        <f>IFERROR(__xludf.DUMMYFUNCTION("IF('From Order'!$A1697=COLUMNS($A1697:E1716), LEFT(INDEX(FILTER(E$1:E1696, E$1:E1696&lt;&gt;""""),COUNTA(FILTER(E$1:E1696, E$1:E1696&lt;&gt;""""))), LEN(INDEX(FILTER(E$1:E1696, E$1:E1696&lt;&gt;""""),COUNTA(FILTER(E$1:E1696, E$1:E1696&lt;&gt;""""))))-1), IF('To Order'!$A1697=COL"&amp;"UMNS($A1697:E1716), E1696&amp;RIGHT(INDIRECT(ADDRESS(ROW(E1697)-1, 'From Order'!$A1697)), 1), E1696))"),"C")</f>
        <v>C</v>
      </c>
      <c r="F1697" s="2" t="str">
        <f>IFERROR(__xludf.DUMMYFUNCTION("IF('From Order'!$A1697=COLUMNS($A1697:F1716), LEFT(INDEX(FILTER(F$1:F1696, F$1:F1696&lt;&gt;""""),COUNTA(FILTER(F$1:F1696, F$1:F1696&lt;&gt;""""))), LEN(INDEX(FILTER(F$1:F1696, F$1:F1696&lt;&gt;""""),COUNTA(FILTER(F$1:F1696, F$1:F1696&lt;&gt;""""))))-1), IF('To Order'!$A1697=COL"&amp;"UMNS($A1697:F1716), F1696&amp;RIGHT(INDIRECT(ADDRESS(ROW(F1697)-1, 'From Order'!$A1697)), 1), F1696))"),"RDVC")</f>
        <v>RDVC</v>
      </c>
      <c r="G1697" s="2" t="str">
        <f>IFERROR(__xludf.DUMMYFUNCTION("IF('From Order'!$A1697=COLUMNS($A1697:G1716), LEFT(INDEX(FILTER(G$1:G1696, G$1:G1696&lt;&gt;""""),COUNTA(FILTER(G$1:G1696, G$1:G1696&lt;&gt;""""))), LEN(INDEX(FILTER(G$1:G1696, G$1:G1696&lt;&gt;""""),COUNTA(FILTER(G$1:G1696, G$1:G1696&lt;&gt;""""))))-1), IF('To Order'!$A1697=COL"&amp;"UMNS($A1697:G1716), G1696&amp;RIGHT(INDIRECT(ADDRESS(ROW(G1697)-1, 'From Order'!$A1697)), 1), G1696))"),"")</f>
        <v/>
      </c>
      <c r="H1697" s="2" t="str">
        <f>IFERROR(__xludf.DUMMYFUNCTION("IF('From Order'!$A1697=COLUMNS($A1697:H1716), LEFT(INDEX(FILTER(H$1:H1696, H$1:H1696&lt;&gt;""""),COUNTA(FILTER(H$1:H1696, H$1:H1696&lt;&gt;""""))), LEN(INDEX(FILTER(H$1:H1696, H$1:H1696&lt;&gt;""""),COUNTA(FILTER(H$1:H1696, H$1:H1696&lt;&gt;""""))))-1), IF('To Order'!$A1697=COL"&amp;"UMNS($A1697:H1716), H1696&amp;RIGHT(INDIRECT(ADDRESS(ROW(H1697)-1, 'From Order'!$A1697)), 1), H1696))"),"")</f>
        <v/>
      </c>
      <c r="I1697" s="2" t="str">
        <f>IFERROR(__xludf.DUMMYFUNCTION("IF('From Order'!$A1697=COLUMNS($A1697:I1716), LEFT(INDEX(FILTER(I$1:I1696, I$1:I1696&lt;&gt;""""),COUNTA(FILTER(I$1:I1696, I$1:I1696&lt;&gt;""""))), LEN(INDEX(FILTER(I$1:I1696, I$1:I1696&lt;&gt;""""),COUNTA(FILTER(I$1:I1696, I$1:I1696&lt;&gt;""""))))-1), IF('To Order'!$A1697=COL"&amp;"UMNS($A1697:I1716), I1696&amp;RIGHT(INDIRECT(ADDRESS(ROW(I1697)-1, 'From Order'!$A1697)), 1), I1696))"),"")</f>
        <v/>
      </c>
    </row>
    <row r="1698">
      <c r="A1698" s="2" t="str">
        <f>IFERROR(__xludf.DUMMYFUNCTION("IF('From Order'!$A1698=COLUMNS($A1698:A1717), LEFT(INDEX(FILTER(A$1:A1697, A$1:A1697&lt;&gt;""""),COUNTA(FILTER(A$1:A1697, A$1:A1697&lt;&gt;""""))), LEN(INDEX(FILTER(A$1:A1697, A$1:A1697&lt;&gt;""""),COUNTA(FILTER(A$1:A1697, A$1:A1697&lt;&gt;""""))))-1), IF('To Order'!$A1698=COL"&amp;"UMNS($A1698:A1717), A1697&amp;RIGHT(INDIRECT(ADDRESS(ROW(A1698)-1, 'From Order'!$A1698)), 1), A1697))"),"ZHZMTDLDSRR")</f>
        <v>ZHZMTDLDSRR</v>
      </c>
      <c r="B1698" s="2" t="str">
        <f>IFERROR(__xludf.DUMMYFUNCTION("IF('From Order'!$A1698=COLUMNS($A1698:B1717), LEFT(INDEX(FILTER(B$1:B1697, B$1:B1697&lt;&gt;""""),COUNTA(FILTER(B$1:B1697, B$1:B1697&lt;&gt;""""))), LEN(INDEX(FILTER(B$1:B1697, B$1:B1697&lt;&gt;""""),COUNTA(FILTER(B$1:B1697, B$1:B1697&lt;&gt;""""))))-1), IF('To Order'!$A1698=COL"&amp;"UMNS($A1698:B1717), B1697&amp;RIGHT(INDIRECT(ADDRESS(ROW(B1698)-1, 'From Order'!$A1698)), 1), B1697))"),"G")</f>
        <v>G</v>
      </c>
      <c r="C1698" s="2" t="str">
        <f>IFERROR(__xludf.DUMMYFUNCTION("IF('From Order'!$A1698=COLUMNS($A1698:C1717), LEFT(INDEX(FILTER(C$1:C1697, C$1:C1697&lt;&gt;""""),COUNTA(FILTER(C$1:C1697, C$1:C1697&lt;&gt;""""))), LEN(INDEX(FILTER(C$1:C1697, C$1:C1697&lt;&gt;""""),COUNTA(FILTER(C$1:C1697, C$1:C1697&lt;&gt;""""))))-1), IF('To Order'!$A1698=COL"&amp;"UMNS($A1698:C1717), C1697&amp;RIGHT(INDIRECT(ADDRESS(ROW(C1698)-1, 'From Order'!$A1698)), 1), C1697))"),"TQVQJPPSSTDDWLLFBPTTJGBHFSCZWMDJMBV")</f>
        <v>TQVQJPPSSTDDWLLFBPTTJGBHFSCZWMDJMBV</v>
      </c>
      <c r="D1698" s="2" t="str">
        <f>IFERROR(__xludf.DUMMYFUNCTION("IF('From Order'!$A1698=COLUMNS($A1698:D1717), LEFT(INDEX(FILTER(D$1:D1697, D$1:D1697&lt;&gt;""""),COUNTA(FILTER(D$1:D1697, D$1:D1697&lt;&gt;""""))), LEN(INDEX(FILTER(D$1:D1697, D$1:D1697&lt;&gt;""""),COUNTA(FILTER(D$1:D1697, D$1:D1697&lt;&gt;""""))))-1), IF('To Order'!$A1698=COL"&amp;"UMNS($A1698:D1717), D1697&amp;RIGHT(INDIRECT(ADDRESS(ROW(D1698)-1, 'From Order'!$A1698)), 1), D1697))"),"RBRT")</f>
        <v>RBRT</v>
      </c>
      <c r="E1698" s="2" t="str">
        <f>IFERROR(__xludf.DUMMYFUNCTION("IF('From Order'!$A1698=COLUMNS($A1698:E1717), LEFT(INDEX(FILTER(E$1:E1697, E$1:E1697&lt;&gt;""""),COUNTA(FILTER(E$1:E1697, E$1:E1697&lt;&gt;""""))), LEN(INDEX(FILTER(E$1:E1697, E$1:E1697&lt;&gt;""""),COUNTA(FILTER(E$1:E1697, E$1:E1697&lt;&gt;""""))))-1), IF('To Order'!$A1698=COL"&amp;"UMNS($A1698:E1717), E1697&amp;RIGHT(INDIRECT(ADDRESS(ROW(E1698)-1, 'From Order'!$A1698)), 1), E1697))"),"C")</f>
        <v>C</v>
      </c>
      <c r="F1698" s="2" t="str">
        <f>IFERROR(__xludf.DUMMYFUNCTION("IF('From Order'!$A1698=COLUMNS($A1698:F1717), LEFT(INDEX(FILTER(F$1:F1697, F$1:F1697&lt;&gt;""""),COUNTA(FILTER(F$1:F1697, F$1:F1697&lt;&gt;""""))), LEN(INDEX(FILTER(F$1:F1697, F$1:F1697&lt;&gt;""""),COUNTA(FILTER(F$1:F1697, F$1:F1697&lt;&gt;""""))))-1), IF('To Order'!$A1698=COL"&amp;"UMNS($A1698:F1717), F1697&amp;RIGHT(INDIRECT(ADDRESS(ROW(F1698)-1, 'From Order'!$A1698)), 1), F1697))"),"RDVC")</f>
        <v>RDVC</v>
      </c>
      <c r="G1698" s="2" t="str">
        <f>IFERROR(__xludf.DUMMYFUNCTION("IF('From Order'!$A1698=COLUMNS($A1698:G1717), LEFT(INDEX(FILTER(G$1:G1697, G$1:G1697&lt;&gt;""""),COUNTA(FILTER(G$1:G1697, G$1:G1697&lt;&gt;""""))), LEN(INDEX(FILTER(G$1:G1697, G$1:G1697&lt;&gt;""""),COUNTA(FILTER(G$1:G1697, G$1:G1697&lt;&gt;""""))))-1), IF('To Order'!$A1698=COL"&amp;"UMNS($A1698:G1717), G1697&amp;RIGHT(INDIRECT(ADDRESS(ROW(G1698)-1, 'From Order'!$A1698)), 1), G1697))"),"")</f>
        <v/>
      </c>
      <c r="H1698" s="2" t="str">
        <f>IFERROR(__xludf.DUMMYFUNCTION("IF('From Order'!$A1698=COLUMNS($A1698:H1717), LEFT(INDEX(FILTER(H$1:H1697, H$1:H1697&lt;&gt;""""),COUNTA(FILTER(H$1:H1697, H$1:H1697&lt;&gt;""""))), LEN(INDEX(FILTER(H$1:H1697, H$1:H1697&lt;&gt;""""),COUNTA(FILTER(H$1:H1697, H$1:H1697&lt;&gt;""""))))-1), IF('To Order'!$A1698=COL"&amp;"UMNS($A1698:H1717), H1697&amp;RIGHT(INDIRECT(ADDRESS(ROW(H1698)-1, 'From Order'!$A1698)), 1), H1697))"),"")</f>
        <v/>
      </c>
      <c r="I1698" s="2" t="str">
        <f>IFERROR(__xludf.DUMMYFUNCTION("IF('From Order'!$A1698=COLUMNS($A1698:I1717), LEFT(INDEX(FILTER(I$1:I1697, I$1:I1697&lt;&gt;""""),COUNTA(FILTER(I$1:I1697, I$1:I1697&lt;&gt;""""))), LEN(INDEX(FILTER(I$1:I1697, I$1:I1697&lt;&gt;""""),COUNTA(FILTER(I$1:I1697, I$1:I1697&lt;&gt;""""))))-1), IF('To Order'!$A1698=COL"&amp;"UMNS($A1698:I1717), I1697&amp;RIGHT(INDIRECT(ADDRESS(ROW(I1698)-1, 'From Order'!$A1698)), 1), I1697))"),"")</f>
        <v/>
      </c>
    </row>
    <row r="1699">
      <c r="A1699" s="2" t="str">
        <f>IFERROR(__xludf.DUMMYFUNCTION("IF('From Order'!$A1699=COLUMNS($A1699:A1718), LEFT(INDEX(FILTER(A$1:A1698, A$1:A1698&lt;&gt;""""),COUNTA(FILTER(A$1:A1698, A$1:A1698&lt;&gt;""""))), LEN(INDEX(FILTER(A$1:A1698, A$1:A1698&lt;&gt;""""),COUNTA(FILTER(A$1:A1698, A$1:A1698&lt;&gt;""""))))-1), IF('To Order'!$A1699=COL"&amp;"UMNS($A1699:A1718), A1698&amp;RIGHT(INDIRECT(ADDRESS(ROW(A1699)-1, 'From Order'!$A1699)), 1), A1698))"),"ZHZMTDLDSRRV")</f>
        <v>ZHZMTDLDSRRV</v>
      </c>
      <c r="B1699" s="2" t="str">
        <f>IFERROR(__xludf.DUMMYFUNCTION("IF('From Order'!$A1699=COLUMNS($A1699:B1718), LEFT(INDEX(FILTER(B$1:B1698, B$1:B1698&lt;&gt;""""),COUNTA(FILTER(B$1:B1698, B$1:B1698&lt;&gt;""""))), LEN(INDEX(FILTER(B$1:B1698, B$1:B1698&lt;&gt;""""),COUNTA(FILTER(B$1:B1698, B$1:B1698&lt;&gt;""""))))-1), IF('To Order'!$A1699=COL"&amp;"UMNS($A1699:B1718), B1698&amp;RIGHT(INDIRECT(ADDRESS(ROW(B1699)-1, 'From Order'!$A1699)), 1), B1698))"),"G")</f>
        <v>G</v>
      </c>
      <c r="C1699" s="2" t="str">
        <f>IFERROR(__xludf.DUMMYFUNCTION("IF('From Order'!$A1699=COLUMNS($A1699:C1718), LEFT(INDEX(FILTER(C$1:C1698, C$1:C1698&lt;&gt;""""),COUNTA(FILTER(C$1:C1698, C$1:C1698&lt;&gt;""""))), LEN(INDEX(FILTER(C$1:C1698, C$1:C1698&lt;&gt;""""),COUNTA(FILTER(C$1:C1698, C$1:C1698&lt;&gt;""""))))-1), IF('To Order'!$A1699=COL"&amp;"UMNS($A1699:C1718), C1698&amp;RIGHT(INDIRECT(ADDRESS(ROW(C1699)-1, 'From Order'!$A1699)), 1), C1698))"),"TQVQJPPSSTDDWLLFBPTTJGBHFSCZWMDJMB")</f>
        <v>TQVQJPPSSTDDWLLFBPTTJGBHFSCZWMDJMB</v>
      </c>
      <c r="D1699" s="2" t="str">
        <f>IFERROR(__xludf.DUMMYFUNCTION("IF('From Order'!$A1699=COLUMNS($A1699:D1718), LEFT(INDEX(FILTER(D$1:D1698, D$1:D1698&lt;&gt;""""),COUNTA(FILTER(D$1:D1698, D$1:D1698&lt;&gt;""""))), LEN(INDEX(FILTER(D$1:D1698, D$1:D1698&lt;&gt;""""),COUNTA(FILTER(D$1:D1698, D$1:D1698&lt;&gt;""""))))-1), IF('To Order'!$A1699=COL"&amp;"UMNS($A1699:D1718), D1698&amp;RIGHT(INDIRECT(ADDRESS(ROW(D1699)-1, 'From Order'!$A1699)), 1), D1698))"),"RBRT")</f>
        <v>RBRT</v>
      </c>
      <c r="E1699" s="2" t="str">
        <f>IFERROR(__xludf.DUMMYFUNCTION("IF('From Order'!$A1699=COLUMNS($A1699:E1718), LEFT(INDEX(FILTER(E$1:E1698, E$1:E1698&lt;&gt;""""),COUNTA(FILTER(E$1:E1698, E$1:E1698&lt;&gt;""""))), LEN(INDEX(FILTER(E$1:E1698, E$1:E1698&lt;&gt;""""),COUNTA(FILTER(E$1:E1698, E$1:E1698&lt;&gt;""""))))-1), IF('To Order'!$A1699=COL"&amp;"UMNS($A1699:E1718), E1698&amp;RIGHT(INDIRECT(ADDRESS(ROW(E1699)-1, 'From Order'!$A1699)), 1), E1698))"),"C")</f>
        <v>C</v>
      </c>
      <c r="F1699" s="2" t="str">
        <f>IFERROR(__xludf.DUMMYFUNCTION("IF('From Order'!$A1699=COLUMNS($A1699:F1718), LEFT(INDEX(FILTER(F$1:F1698, F$1:F1698&lt;&gt;""""),COUNTA(FILTER(F$1:F1698, F$1:F1698&lt;&gt;""""))), LEN(INDEX(FILTER(F$1:F1698, F$1:F1698&lt;&gt;""""),COUNTA(FILTER(F$1:F1698, F$1:F1698&lt;&gt;""""))))-1), IF('To Order'!$A1699=COL"&amp;"UMNS($A1699:F1718), F1698&amp;RIGHT(INDIRECT(ADDRESS(ROW(F1699)-1, 'From Order'!$A1699)), 1), F1698))"),"RDVC")</f>
        <v>RDVC</v>
      </c>
      <c r="G1699" s="2" t="str">
        <f>IFERROR(__xludf.DUMMYFUNCTION("IF('From Order'!$A1699=COLUMNS($A1699:G1718), LEFT(INDEX(FILTER(G$1:G1698, G$1:G1698&lt;&gt;""""),COUNTA(FILTER(G$1:G1698, G$1:G1698&lt;&gt;""""))), LEN(INDEX(FILTER(G$1:G1698, G$1:G1698&lt;&gt;""""),COUNTA(FILTER(G$1:G1698, G$1:G1698&lt;&gt;""""))))-1), IF('To Order'!$A1699=COL"&amp;"UMNS($A1699:G1718), G1698&amp;RIGHT(INDIRECT(ADDRESS(ROW(G1699)-1, 'From Order'!$A1699)), 1), G1698))"),"")</f>
        <v/>
      </c>
      <c r="H1699" s="2" t="str">
        <f>IFERROR(__xludf.DUMMYFUNCTION("IF('From Order'!$A1699=COLUMNS($A1699:H1718), LEFT(INDEX(FILTER(H$1:H1698, H$1:H1698&lt;&gt;""""),COUNTA(FILTER(H$1:H1698, H$1:H1698&lt;&gt;""""))), LEN(INDEX(FILTER(H$1:H1698, H$1:H1698&lt;&gt;""""),COUNTA(FILTER(H$1:H1698, H$1:H1698&lt;&gt;""""))))-1), IF('To Order'!$A1699=COL"&amp;"UMNS($A1699:H1718), H1698&amp;RIGHT(INDIRECT(ADDRESS(ROW(H1699)-1, 'From Order'!$A1699)), 1), H1698))"),"")</f>
        <v/>
      </c>
      <c r="I1699" s="2" t="str">
        <f>IFERROR(__xludf.DUMMYFUNCTION("IF('From Order'!$A1699=COLUMNS($A1699:I1718), LEFT(INDEX(FILTER(I$1:I1698, I$1:I1698&lt;&gt;""""),COUNTA(FILTER(I$1:I1698, I$1:I1698&lt;&gt;""""))), LEN(INDEX(FILTER(I$1:I1698, I$1:I1698&lt;&gt;""""),COUNTA(FILTER(I$1:I1698, I$1:I1698&lt;&gt;""""))))-1), IF('To Order'!$A1699=COL"&amp;"UMNS($A1699:I1718), I1698&amp;RIGHT(INDIRECT(ADDRESS(ROW(I1699)-1, 'From Order'!$A1699)), 1), I1698))"),"")</f>
        <v/>
      </c>
    </row>
    <row r="1700">
      <c r="A1700" s="2" t="str">
        <f>IFERROR(__xludf.DUMMYFUNCTION("IF('From Order'!$A1700=COLUMNS($A1700:A1719), LEFT(INDEX(FILTER(A$1:A1699, A$1:A1699&lt;&gt;""""),COUNTA(FILTER(A$1:A1699, A$1:A1699&lt;&gt;""""))), LEN(INDEX(FILTER(A$1:A1699, A$1:A1699&lt;&gt;""""),COUNTA(FILTER(A$1:A1699, A$1:A1699&lt;&gt;""""))))-1), IF('To Order'!$A1700=COL"&amp;"UMNS($A1700:A1719), A1699&amp;RIGHT(INDIRECT(ADDRESS(ROW(A1700)-1, 'From Order'!$A1700)), 1), A1699))"),"ZHZMTDLDSRRVB")</f>
        <v>ZHZMTDLDSRRVB</v>
      </c>
      <c r="B1700" s="2" t="str">
        <f>IFERROR(__xludf.DUMMYFUNCTION("IF('From Order'!$A1700=COLUMNS($A1700:B1719), LEFT(INDEX(FILTER(B$1:B1699, B$1:B1699&lt;&gt;""""),COUNTA(FILTER(B$1:B1699, B$1:B1699&lt;&gt;""""))), LEN(INDEX(FILTER(B$1:B1699, B$1:B1699&lt;&gt;""""),COUNTA(FILTER(B$1:B1699, B$1:B1699&lt;&gt;""""))))-1), IF('To Order'!$A1700=COL"&amp;"UMNS($A1700:B1719), B1699&amp;RIGHT(INDIRECT(ADDRESS(ROW(B1700)-1, 'From Order'!$A1700)), 1), B1699))"),"G")</f>
        <v>G</v>
      </c>
      <c r="C1700" s="2" t="str">
        <f>IFERROR(__xludf.DUMMYFUNCTION("IF('From Order'!$A1700=COLUMNS($A1700:C1719), LEFT(INDEX(FILTER(C$1:C1699, C$1:C1699&lt;&gt;""""),COUNTA(FILTER(C$1:C1699, C$1:C1699&lt;&gt;""""))), LEN(INDEX(FILTER(C$1:C1699, C$1:C1699&lt;&gt;""""),COUNTA(FILTER(C$1:C1699, C$1:C1699&lt;&gt;""""))))-1), IF('To Order'!$A1700=COL"&amp;"UMNS($A1700:C1719), C1699&amp;RIGHT(INDIRECT(ADDRESS(ROW(C1700)-1, 'From Order'!$A1700)), 1), C1699))"),"TQVQJPPSSTDDWLLFBPTTJGBHFSCZWMDJM")</f>
        <v>TQVQJPPSSTDDWLLFBPTTJGBHFSCZWMDJM</v>
      </c>
      <c r="D1700" s="2" t="str">
        <f>IFERROR(__xludf.DUMMYFUNCTION("IF('From Order'!$A1700=COLUMNS($A1700:D1719), LEFT(INDEX(FILTER(D$1:D1699, D$1:D1699&lt;&gt;""""),COUNTA(FILTER(D$1:D1699, D$1:D1699&lt;&gt;""""))), LEN(INDEX(FILTER(D$1:D1699, D$1:D1699&lt;&gt;""""),COUNTA(FILTER(D$1:D1699, D$1:D1699&lt;&gt;""""))))-1), IF('To Order'!$A1700=COL"&amp;"UMNS($A1700:D1719), D1699&amp;RIGHT(INDIRECT(ADDRESS(ROW(D1700)-1, 'From Order'!$A1700)), 1), D1699))"),"RBRT")</f>
        <v>RBRT</v>
      </c>
      <c r="E1700" s="2" t="str">
        <f>IFERROR(__xludf.DUMMYFUNCTION("IF('From Order'!$A1700=COLUMNS($A1700:E1719), LEFT(INDEX(FILTER(E$1:E1699, E$1:E1699&lt;&gt;""""),COUNTA(FILTER(E$1:E1699, E$1:E1699&lt;&gt;""""))), LEN(INDEX(FILTER(E$1:E1699, E$1:E1699&lt;&gt;""""),COUNTA(FILTER(E$1:E1699, E$1:E1699&lt;&gt;""""))))-1), IF('To Order'!$A1700=COL"&amp;"UMNS($A1700:E1719), E1699&amp;RIGHT(INDIRECT(ADDRESS(ROW(E1700)-1, 'From Order'!$A1700)), 1), E1699))"),"C")</f>
        <v>C</v>
      </c>
      <c r="F1700" s="2" t="str">
        <f>IFERROR(__xludf.DUMMYFUNCTION("IF('From Order'!$A1700=COLUMNS($A1700:F1719), LEFT(INDEX(FILTER(F$1:F1699, F$1:F1699&lt;&gt;""""),COUNTA(FILTER(F$1:F1699, F$1:F1699&lt;&gt;""""))), LEN(INDEX(FILTER(F$1:F1699, F$1:F1699&lt;&gt;""""),COUNTA(FILTER(F$1:F1699, F$1:F1699&lt;&gt;""""))))-1), IF('To Order'!$A1700=COL"&amp;"UMNS($A1700:F1719), F1699&amp;RIGHT(INDIRECT(ADDRESS(ROW(F1700)-1, 'From Order'!$A1700)), 1), F1699))"),"RDVC")</f>
        <v>RDVC</v>
      </c>
      <c r="G1700" s="2" t="str">
        <f>IFERROR(__xludf.DUMMYFUNCTION("IF('From Order'!$A1700=COLUMNS($A1700:G1719), LEFT(INDEX(FILTER(G$1:G1699, G$1:G1699&lt;&gt;""""),COUNTA(FILTER(G$1:G1699, G$1:G1699&lt;&gt;""""))), LEN(INDEX(FILTER(G$1:G1699, G$1:G1699&lt;&gt;""""),COUNTA(FILTER(G$1:G1699, G$1:G1699&lt;&gt;""""))))-1), IF('To Order'!$A1700=COL"&amp;"UMNS($A1700:G1719), G1699&amp;RIGHT(INDIRECT(ADDRESS(ROW(G1700)-1, 'From Order'!$A1700)), 1), G1699))"),"")</f>
        <v/>
      </c>
      <c r="H1700" s="2" t="str">
        <f>IFERROR(__xludf.DUMMYFUNCTION("IF('From Order'!$A1700=COLUMNS($A1700:H1719), LEFT(INDEX(FILTER(H$1:H1699, H$1:H1699&lt;&gt;""""),COUNTA(FILTER(H$1:H1699, H$1:H1699&lt;&gt;""""))), LEN(INDEX(FILTER(H$1:H1699, H$1:H1699&lt;&gt;""""),COUNTA(FILTER(H$1:H1699, H$1:H1699&lt;&gt;""""))))-1), IF('To Order'!$A1700=COL"&amp;"UMNS($A1700:H1719), H1699&amp;RIGHT(INDIRECT(ADDRESS(ROW(H1700)-1, 'From Order'!$A1700)), 1), H1699))"),"")</f>
        <v/>
      </c>
      <c r="I1700" s="2" t="str">
        <f>IFERROR(__xludf.DUMMYFUNCTION("IF('From Order'!$A1700=COLUMNS($A1700:I1719), LEFT(INDEX(FILTER(I$1:I1699, I$1:I1699&lt;&gt;""""),COUNTA(FILTER(I$1:I1699, I$1:I1699&lt;&gt;""""))), LEN(INDEX(FILTER(I$1:I1699, I$1:I1699&lt;&gt;""""),COUNTA(FILTER(I$1:I1699, I$1:I1699&lt;&gt;""""))))-1), IF('To Order'!$A1700=COL"&amp;"UMNS($A1700:I1719), I1699&amp;RIGHT(INDIRECT(ADDRESS(ROW(I1700)-1, 'From Order'!$A1700)), 1), I1699))"),"")</f>
        <v/>
      </c>
    </row>
    <row r="1701">
      <c r="A1701" s="2" t="str">
        <f>IFERROR(__xludf.DUMMYFUNCTION("IF('From Order'!$A1701=COLUMNS($A1701:A1720), LEFT(INDEX(FILTER(A$1:A1700, A$1:A1700&lt;&gt;""""),COUNTA(FILTER(A$1:A1700, A$1:A1700&lt;&gt;""""))), LEN(INDEX(FILTER(A$1:A1700, A$1:A1700&lt;&gt;""""),COUNTA(FILTER(A$1:A1700, A$1:A1700&lt;&gt;""""))))-1), IF('To Order'!$A1701=COL"&amp;"UMNS($A1701:A1720), A1700&amp;RIGHT(INDIRECT(ADDRESS(ROW(A1701)-1, 'From Order'!$A1701)), 1), A1700))"),"ZHZMTDLDSRRVBM")</f>
        <v>ZHZMTDLDSRRVBM</v>
      </c>
      <c r="B1701" s="2" t="str">
        <f>IFERROR(__xludf.DUMMYFUNCTION("IF('From Order'!$A1701=COLUMNS($A1701:B1720), LEFT(INDEX(FILTER(B$1:B1700, B$1:B1700&lt;&gt;""""),COUNTA(FILTER(B$1:B1700, B$1:B1700&lt;&gt;""""))), LEN(INDEX(FILTER(B$1:B1700, B$1:B1700&lt;&gt;""""),COUNTA(FILTER(B$1:B1700, B$1:B1700&lt;&gt;""""))))-1), IF('To Order'!$A1701=COL"&amp;"UMNS($A1701:B1720), B1700&amp;RIGHT(INDIRECT(ADDRESS(ROW(B1701)-1, 'From Order'!$A1701)), 1), B1700))"),"G")</f>
        <v>G</v>
      </c>
      <c r="C1701" s="2" t="str">
        <f>IFERROR(__xludf.DUMMYFUNCTION("IF('From Order'!$A1701=COLUMNS($A1701:C1720), LEFT(INDEX(FILTER(C$1:C1700, C$1:C1700&lt;&gt;""""),COUNTA(FILTER(C$1:C1700, C$1:C1700&lt;&gt;""""))), LEN(INDEX(FILTER(C$1:C1700, C$1:C1700&lt;&gt;""""),COUNTA(FILTER(C$1:C1700, C$1:C1700&lt;&gt;""""))))-1), IF('To Order'!$A1701=COL"&amp;"UMNS($A1701:C1720), C1700&amp;RIGHT(INDIRECT(ADDRESS(ROW(C1701)-1, 'From Order'!$A1701)), 1), C1700))"),"TQVQJPPSSTDDWLLFBPTTJGBHFSCZWMDJ")</f>
        <v>TQVQJPPSSTDDWLLFBPTTJGBHFSCZWMDJ</v>
      </c>
      <c r="D1701" s="2" t="str">
        <f>IFERROR(__xludf.DUMMYFUNCTION("IF('From Order'!$A1701=COLUMNS($A1701:D1720), LEFT(INDEX(FILTER(D$1:D1700, D$1:D1700&lt;&gt;""""),COUNTA(FILTER(D$1:D1700, D$1:D1700&lt;&gt;""""))), LEN(INDEX(FILTER(D$1:D1700, D$1:D1700&lt;&gt;""""),COUNTA(FILTER(D$1:D1700, D$1:D1700&lt;&gt;""""))))-1), IF('To Order'!$A1701=COL"&amp;"UMNS($A1701:D1720), D1700&amp;RIGHT(INDIRECT(ADDRESS(ROW(D1701)-1, 'From Order'!$A1701)), 1), D1700))"),"RBRT")</f>
        <v>RBRT</v>
      </c>
      <c r="E1701" s="2" t="str">
        <f>IFERROR(__xludf.DUMMYFUNCTION("IF('From Order'!$A1701=COLUMNS($A1701:E1720), LEFT(INDEX(FILTER(E$1:E1700, E$1:E1700&lt;&gt;""""),COUNTA(FILTER(E$1:E1700, E$1:E1700&lt;&gt;""""))), LEN(INDEX(FILTER(E$1:E1700, E$1:E1700&lt;&gt;""""),COUNTA(FILTER(E$1:E1700, E$1:E1700&lt;&gt;""""))))-1), IF('To Order'!$A1701=COL"&amp;"UMNS($A1701:E1720), E1700&amp;RIGHT(INDIRECT(ADDRESS(ROW(E1701)-1, 'From Order'!$A1701)), 1), E1700))"),"C")</f>
        <v>C</v>
      </c>
      <c r="F1701" s="2" t="str">
        <f>IFERROR(__xludf.DUMMYFUNCTION("IF('From Order'!$A1701=COLUMNS($A1701:F1720), LEFT(INDEX(FILTER(F$1:F1700, F$1:F1700&lt;&gt;""""),COUNTA(FILTER(F$1:F1700, F$1:F1700&lt;&gt;""""))), LEN(INDEX(FILTER(F$1:F1700, F$1:F1700&lt;&gt;""""),COUNTA(FILTER(F$1:F1700, F$1:F1700&lt;&gt;""""))))-1), IF('To Order'!$A1701=COL"&amp;"UMNS($A1701:F1720), F1700&amp;RIGHT(INDIRECT(ADDRESS(ROW(F1701)-1, 'From Order'!$A1701)), 1), F1700))"),"RDVC")</f>
        <v>RDVC</v>
      </c>
      <c r="G1701" s="2" t="str">
        <f>IFERROR(__xludf.DUMMYFUNCTION("IF('From Order'!$A1701=COLUMNS($A1701:G1720), LEFT(INDEX(FILTER(G$1:G1700, G$1:G1700&lt;&gt;""""),COUNTA(FILTER(G$1:G1700, G$1:G1700&lt;&gt;""""))), LEN(INDEX(FILTER(G$1:G1700, G$1:G1700&lt;&gt;""""),COUNTA(FILTER(G$1:G1700, G$1:G1700&lt;&gt;""""))))-1), IF('To Order'!$A1701=COL"&amp;"UMNS($A1701:G1720), G1700&amp;RIGHT(INDIRECT(ADDRESS(ROW(G1701)-1, 'From Order'!$A1701)), 1), G1700))"),"")</f>
        <v/>
      </c>
      <c r="H1701" s="2" t="str">
        <f>IFERROR(__xludf.DUMMYFUNCTION("IF('From Order'!$A1701=COLUMNS($A1701:H1720), LEFT(INDEX(FILTER(H$1:H1700, H$1:H1700&lt;&gt;""""),COUNTA(FILTER(H$1:H1700, H$1:H1700&lt;&gt;""""))), LEN(INDEX(FILTER(H$1:H1700, H$1:H1700&lt;&gt;""""),COUNTA(FILTER(H$1:H1700, H$1:H1700&lt;&gt;""""))))-1), IF('To Order'!$A1701=COL"&amp;"UMNS($A1701:H1720), H1700&amp;RIGHT(INDIRECT(ADDRESS(ROW(H1701)-1, 'From Order'!$A1701)), 1), H1700))"),"")</f>
        <v/>
      </c>
      <c r="I1701" s="2" t="str">
        <f>IFERROR(__xludf.DUMMYFUNCTION("IF('From Order'!$A1701=COLUMNS($A1701:I1720), LEFT(INDEX(FILTER(I$1:I1700, I$1:I1700&lt;&gt;""""),COUNTA(FILTER(I$1:I1700, I$1:I1700&lt;&gt;""""))), LEN(INDEX(FILTER(I$1:I1700, I$1:I1700&lt;&gt;""""),COUNTA(FILTER(I$1:I1700, I$1:I1700&lt;&gt;""""))))-1), IF('To Order'!$A1701=COL"&amp;"UMNS($A1701:I1720), I1700&amp;RIGHT(INDIRECT(ADDRESS(ROW(I1701)-1, 'From Order'!$A1701)), 1), I1700))"),"")</f>
        <v/>
      </c>
    </row>
    <row r="1702">
      <c r="A1702" s="2" t="str">
        <f>IFERROR(__xludf.DUMMYFUNCTION("IF('From Order'!$A1702=COLUMNS($A1702:A1721), LEFT(INDEX(FILTER(A$1:A1701, A$1:A1701&lt;&gt;""""),COUNTA(FILTER(A$1:A1701, A$1:A1701&lt;&gt;""""))), LEN(INDEX(FILTER(A$1:A1701, A$1:A1701&lt;&gt;""""),COUNTA(FILTER(A$1:A1701, A$1:A1701&lt;&gt;""""))))-1), IF('To Order'!$A1702=COL"&amp;"UMNS($A1702:A1721), A1701&amp;RIGHT(INDIRECT(ADDRESS(ROW(A1702)-1, 'From Order'!$A1702)), 1), A1701))"),"ZHZMTDLDSRRVBMJ")</f>
        <v>ZHZMTDLDSRRVBMJ</v>
      </c>
      <c r="B1702" s="2" t="str">
        <f>IFERROR(__xludf.DUMMYFUNCTION("IF('From Order'!$A1702=COLUMNS($A1702:B1721), LEFT(INDEX(FILTER(B$1:B1701, B$1:B1701&lt;&gt;""""),COUNTA(FILTER(B$1:B1701, B$1:B1701&lt;&gt;""""))), LEN(INDEX(FILTER(B$1:B1701, B$1:B1701&lt;&gt;""""),COUNTA(FILTER(B$1:B1701, B$1:B1701&lt;&gt;""""))))-1), IF('To Order'!$A1702=COL"&amp;"UMNS($A1702:B1721), B1701&amp;RIGHT(INDIRECT(ADDRESS(ROW(B1702)-1, 'From Order'!$A1702)), 1), B1701))"),"G")</f>
        <v>G</v>
      </c>
      <c r="C1702" s="2" t="str">
        <f>IFERROR(__xludf.DUMMYFUNCTION("IF('From Order'!$A1702=COLUMNS($A1702:C1721), LEFT(INDEX(FILTER(C$1:C1701, C$1:C1701&lt;&gt;""""),COUNTA(FILTER(C$1:C1701, C$1:C1701&lt;&gt;""""))), LEN(INDEX(FILTER(C$1:C1701, C$1:C1701&lt;&gt;""""),COUNTA(FILTER(C$1:C1701, C$1:C1701&lt;&gt;""""))))-1), IF('To Order'!$A1702=COL"&amp;"UMNS($A1702:C1721), C1701&amp;RIGHT(INDIRECT(ADDRESS(ROW(C1702)-1, 'From Order'!$A1702)), 1), C1701))"),"TQVQJPPSSTDDWLLFBPTTJGBHFSCZWMD")</f>
        <v>TQVQJPPSSTDDWLLFBPTTJGBHFSCZWMD</v>
      </c>
      <c r="D1702" s="2" t="str">
        <f>IFERROR(__xludf.DUMMYFUNCTION("IF('From Order'!$A1702=COLUMNS($A1702:D1721), LEFT(INDEX(FILTER(D$1:D1701, D$1:D1701&lt;&gt;""""),COUNTA(FILTER(D$1:D1701, D$1:D1701&lt;&gt;""""))), LEN(INDEX(FILTER(D$1:D1701, D$1:D1701&lt;&gt;""""),COUNTA(FILTER(D$1:D1701, D$1:D1701&lt;&gt;""""))))-1), IF('To Order'!$A1702=COL"&amp;"UMNS($A1702:D1721), D1701&amp;RIGHT(INDIRECT(ADDRESS(ROW(D1702)-1, 'From Order'!$A1702)), 1), D1701))"),"RBRT")</f>
        <v>RBRT</v>
      </c>
      <c r="E1702" s="2" t="str">
        <f>IFERROR(__xludf.DUMMYFUNCTION("IF('From Order'!$A1702=COLUMNS($A1702:E1721), LEFT(INDEX(FILTER(E$1:E1701, E$1:E1701&lt;&gt;""""),COUNTA(FILTER(E$1:E1701, E$1:E1701&lt;&gt;""""))), LEN(INDEX(FILTER(E$1:E1701, E$1:E1701&lt;&gt;""""),COUNTA(FILTER(E$1:E1701, E$1:E1701&lt;&gt;""""))))-1), IF('To Order'!$A1702=COL"&amp;"UMNS($A1702:E1721), E1701&amp;RIGHT(INDIRECT(ADDRESS(ROW(E1702)-1, 'From Order'!$A1702)), 1), E1701))"),"C")</f>
        <v>C</v>
      </c>
      <c r="F1702" s="2" t="str">
        <f>IFERROR(__xludf.DUMMYFUNCTION("IF('From Order'!$A1702=COLUMNS($A1702:F1721), LEFT(INDEX(FILTER(F$1:F1701, F$1:F1701&lt;&gt;""""),COUNTA(FILTER(F$1:F1701, F$1:F1701&lt;&gt;""""))), LEN(INDEX(FILTER(F$1:F1701, F$1:F1701&lt;&gt;""""),COUNTA(FILTER(F$1:F1701, F$1:F1701&lt;&gt;""""))))-1), IF('To Order'!$A1702=COL"&amp;"UMNS($A1702:F1721), F1701&amp;RIGHT(INDIRECT(ADDRESS(ROW(F1702)-1, 'From Order'!$A1702)), 1), F1701))"),"RDVC")</f>
        <v>RDVC</v>
      </c>
      <c r="G1702" s="2" t="str">
        <f>IFERROR(__xludf.DUMMYFUNCTION("IF('From Order'!$A1702=COLUMNS($A1702:G1721), LEFT(INDEX(FILTER(G$1:G1701, G$1:G1701&lt;&gt;""""),COUNTA(FILTER(G$1:G1701, G$1:G1701&lt;&gt;""""))), LEN(INDEX(FILTER(G$1:G1701, G$1:G1701&lt;&gt;""""),COUNTA(FILTER(G$1:G1701, G$1:G1701&lt;&gt;""""))))-1), IF('To Order'!$A1702=COL"&amp;"UMNS($A1702:G1721), G1701&amp;RIGHT(INDIRECT(ADDRESS(ROW(G1702)-1, 'From Order'!$A1702)), 1), G1701))"),"")</f>
        <v/>
      </c>
      <c r="H1702" s="2" t="str">
        <f>IFERROR(__xludf.DUMMYFUNCTION("IF('From Order'!$A1702=COLUMNS($A1702:H1721), LEFT(INDEX(FILTER(H$1:H1701, H$1:H1701&lt;&gt;""""),COUNTA(FILTER(H$1:H1701, H$1:H1701&lt;&gt;""""))), LEN(INDEX(FILTER(H$1:H1701, H$1:H1701&lt;&gt;""""),COUNTA(FILTER(H$1:H1701, H$1:H1701&lt;&gt;""""))))-1), IF('To Order'!$A1702=COL"&amp;"UMNS($A1702:H1721), H1701&amp;RIGHT(INDIRECT(ADDRESS(ROW(H1702)-1, 'From Order'!$A1702)), 1), H1701))"),"")</f>
        <v/>
      </c>
      <c r="I1702" s="2" t="str">
        <f>IFERROR(__xludf.DUMMYFUNCTION("IF('From Order'!$A1702=COLUMNS($A1702:I1721), LEFT(INDEX(FILTER(I$1:I1701, I$1:I1701&lt;&gt;""""),COUNTA(FILTER(I$1:I1701, I$1:I1701&lt;&gt;""""))), LEN(INDEX(FILTER(I$1:I1701, I$1:I1701&lt;&gt;""""),COUNTA(FILTER(I$1:I1701, I$1:I1701&lt;&gt;""""))))-1), IF('To Order'!$A1702=COL"&amp;"UMNS($A1702:I1721), I1701&amp;RIGHT(INDIRECT(ADDRESS(ROW(I1702)-1, 'From Order'!$A1702)), 1), I1701))"),"")</f>
        <v/>
      </c>
    </row>
    <row r="1703">
      <c r="A1703" s="2" t="str">
        <f>IFERROR(__xludf.DUMMYFUNCTION("IF('From Order'!$A1703=COLUMNS($A1703:A1722), LEFT(INDEX(FILTER(A$1:A1702, A$1:A1702&lt;&gt;""""),COUNTA(FILTER(A$1:A1702, A$1:A1702&lt;&gt;""""))), LEN(INDEX(FILTER(A$1:A1702, A$1:A1702&lt;&gt;""""),COUNTA(FILTER(A$1:A1702, A$1:A1702&lt;&gt;""""))))-1), IF('To Order'!$A1703=COL"&amp;"UMNS($A1703:A1722), A1702&amp;RIGHT(INDIRECT(ADDRESS(ROW(A1703)-1, 'From Order'!$A1703)), 1), A1702))"),"ZHZMTDLDSRRVBMJD")</f>
        <v>ZHZMTDLDSRRVBMJD</v>
      </c>
      <c r="B1703" s="2" t="str">
        <f>IFERROR(__xludf.DUMMYFUNCTION("IF('From Order'!$A1703=COLUMNS($A1703:B1722), LEFT(INDEX(FILTER(B$1:B1702, B$1:B1702&lt;&gt;""""),COUNTA(FILTER(B$1:B1702, B$1:B1702&lt;&gt;""""))), LEN(INDEX(FILTER(B$1:B1702, B$1:B1702&lt;&gt;""""),COUNTA(FILTER(B$1:B1702, B$1:B1702&lt;&gt;""""))))-1), IF('To Order'!$A1703=COL"&amp;"UMNS($A1703:B1722), B1702&amp;RIGHT(INDIRECT(ADDRESS(ROW(B1703)-1, 'From Order'!$A1703)), 1), B1702))"),"G")</f>
        <v>G</v>
      </c>
      <c r="C1703" s="2" t="str">
        <f>IFERROR(__xludf.DUMMYFUNCTION("IF('From Order'!$A1703=COLUMNS($A1703:C1722), LEFT(INDEX(FILTER(C$1:C1702, C$1:C1702&lt;&gt;""""),COUNTA(FILTER(C$1:C1702, C$1:C1702&lt;&gt;""""))), LEN(INDEX(FILTER(C$1:C1702, C$1:C1702&lt;&gt;""""),COUNTA(FILTER(C$1:C1702, C$1:C1702&lt;&gt;""""))))-1), IF('To Order'!$A1703=COL"&amp;"UMNS($A1703:C1722), C1702&amp;RIGHT(INDIRECT(ADDRESS(ROW(C1703)-1, 'From Order'!$A1703)), 1), C1702))"),"TQVQJPPSSTDDWLLFBPTTJGBHFSCZWM")</f>
        <v>TQVQJPPSSTDDWLLFBPTTJGBHFSCZWM</v>
      </c>
      <c r="D1703" s="2" t="str">
        <f>IFERROR(__xludf.DUMMYFUNCTION("IF('From Order'!$A1703=COLUMNS($A1703:D1722), LEFT(INDEX(FILTER(D$1:D1702, D$1:D1702&lt;&gt;""""),COUNTA(FILTER(D$1:D1702, D$1:D1702&lt;&gt;""""))), LEN(INDEX(FILTER(D$1:D1702, D$1:D1702&lt;&gt;""""),COUNTA(FILTER(D$1:D1702, D$1:D1702&lt;&gt;""""))))-1), IF('To Order'!$A1703=COL"&amp;"UMNS($A1703:D1722), D1702&amp;RIGHT(INDIRECT(ADDRESS(ROW(D1703)-1, 'From Order'!$A1703)), 1), D1702))"),"RBRT")</f>
        <v>RBRT</v>
      </c>
      <c r="E1703" s="2" t="str">
        <f>IFERROR(__xludf.DUMMYFUNCTION("IF('From Order'!$A1703=COLUMNS($A1703:E1722), LEFT(INDEX(FILTER(E$1:E1702, E$1:E1702&lt;&gt;""""),COUNTA(FILTER(E$1:E1702, E$1:E1702&lt;&gt;""""))), LEN(INDEX(FILTER(E$1:E1702, E$1:E1702&lt;&gt;""""),COUNTA(FILTER(E$1:E1702, E$1:E1702&lt;&gt;""""))))-1), IF('To Order'!$A1703=COL"&amp;"UMNS($A1703:E1722), E1702&amp;RIGHT(INDIRECT(ADDRESS(ROW(E1703)-1, 'From Order'!$A1703)), 1), E1702))"),"C")</f>
        <v>C</v>
      </c>
      <c r="F1703" s="2" t="str">
        <f>IFERROR(__xludf.DUMMYFUNCTION("IF('From Order'!$A1703=COLUMNS($A1703:F1722), LEFT(INDEX(FILTER(F$1:F1702, F$1:F1702&lt;&gt;""""),COUNTA(FILTER(F$1:F1702, F$1:F1702&lt;&gt;""""))), LEN(INDEX(FILTER(F$1:F1702, F$1:F1702&lt;&gt;""""),COUNTA(FILTER(F$1:F1702, F$1:F1702&lt;&gt;""""))))-1), IF('To Order'!$A1703=COL"&amp;"UMNS($A1703:F1722), F1702&amp;RIGHT(INDIRECT(ADDRESS(ROW(F1703)-1, 'From Order'!$A1703)), 1), F1702))"),"RDVC")</f>
        <v>RDVC</v>
      </c>
      <c r="G1703" s="2" t="str">
        <f>IFERROR(__xludf.DUMMYFUNCTION("IF('From Order'!$A1703=COLUMNS($A1703:G1722), LEFT(INDEX(FILTER(G$1:G1702, G$1:G1702&lt;&gt;""""),COUNTA(FILTER(G$1:G1702, G$1:G1702&lt;&gt;""""))), LEN(INDEX(FILTER(G$1:G1702, G$1:G1702&lt;&gt;""""),COUNTA(FILTER(G$1:G1702, G$1:G1702&lt;&gt;""""))))-1), IF('To Order'!$A1703=COL"&amp;"UMNS($A1703:G1722), G1702&amp;RIGHT(INDIRECT(ADDRESS(ROW(G1703)-1, 'From Order'!$A1703)), 1), G1702))"),"")</f>
        <v/>
      </c>
      <c r="H1703" s="2" t="str">
        <f>IFERROR(__xludf.DUMMYFUNCTION("IF('From Order'!$A1703=COLUMNS($A1703:H1722), LEFT(INDEX(FILTER(H$1:H1702, H$1:H1702&lt;&gt;""""),COUNTA(FILTER(H$1:H1702, H$1:H1702&lt;&gt;""""))), LEN(INDEX(FILTER(H$1:H1702, H$1:H1702&lt;&gt;""""),COUNTA(FILTER(H$1:H1702, H$1:H1702&lt;&gt;""""))))-1), IF('To Order'!$A1703=COL"&amp;"UMNS($A1703:H1722), H1702&amp;RIGHT(INDIRECT(ADDRESS(ROW(H1703)-1, 'From Order'!$A1703)), 1), H1702))"),"")</f>
        <v/>
      </c>
      <c r="I1703" s="2" t="str">
        <f>IFERROR(__xludf.DUMMYFUNCTION("IF('From Order'!$A1703=COLUMNS($A1703:I1722), LEFT(INDEX(FILTER(I$1:I1702, I$1:I1702&lt;&gt;""""),COUNTA(FILTER(I$1:I1702, I$1:I1702&lt;&gt;""""))), LEN(INDEX(FILTER(I$1:I1702, I$1:I1702&lt;&gt;""""),COUNTA(FILTER(I$1:I1702, I$1:I1702&lt;&gt;""""))))-1), IF('To Order'!$A1703=COL"&amp;"UMNS($A1703:I1722), I1702&amp;RIGHT(INDIRECT(ADDRESS(ROW(I1703)-1, 'From Order'!$A1703)), 1), I1702))"),"")</f>
        <v/>
      </c>
    </row>
    <row r="1704">
      <c r="A1704" s="2" t="str">
        <f>IFERROR(__xludf.DUMMYFUNCTION("IF('From Order'!$A1704=COLUMNS($A1704:A1723), LEFT(INDEX(FILTER(A$1:A1703, A$1:A1703&lt;&gt;""""),COUNTA(FILTER(A$1:A1703, A$1:A1703&lt;&gt;""""))), LEN(INDEX(FILTER(A$1:A1703, A$1:A1703&lt;&gt;""""),COUNTA(FILTER(A$1:A1703, A$1:A1703&lt;&gt;""""))))-1), IF('To Order'!$A1704=COL"&amp;"UMNS($A1704:A1723), A1703&amp;RIGHT(INDIRECT(ADDRESS(ROW(A1704)-1, 'From Order'!$A1704)), 1), A1703))"),"ZHZMTDLDSRRVBMJDM")</f>
        <v>ZHZMTDLDSRRVBMJDM</v>
      </c>
      <c r="B1704" s="2" t="str">
        <f>IFERROR(__xludf.DUMMYFUNCTION("IF('From Order'!$A1704=COLUMNS($A1704:B1723), LEFT(INDEX(FILTER(B$1:B1703, B$1:B1703&lt;&gt;""""),COUNTA(FILTER(B$1:B1703, B$1:B1703&lt;&gt;""""))), LEN(INDEX(FILTER(B$1:B1703, B$1:B1703&lt;&gt;""""),COUNTA(FILTER(B$1:B1703, B$1:B1703&lt;&gt;""""))))-1), IF('To Order'!$A1704=COL"&amp;"UMNS($A1704:B1723), B1703&amp;RIGHT(INDIRECT(ADDRESS(ROW(B1704)-1, 'From Order'!$A1704)), 1), B1703))"),"G")</f>
        <v>G</v>
      </c>
      <c r="C1704" s="2" t="str">
        <f>IFERROR(__xludf.DUMMYFUNCTION("IF('From Order'!$A1704=COLUMNS($A1704:C1723), LEFT(INDEX(FILTER(C$1:C1703, C$1:C1703&lt;&gt;""""),COUNTA(FILTER(C$1:C1703, C$1:C1703&lt;&gt;""""))), LEN(INDEX(FILTER(C$1:C1703, C$1:C1703&lt;&gt;""""),COUNTA(FILTER(C$1:C1703, C$1:C1703&lt;&gt;""""))))-1), IF('To Order'!$A1704=COL"&amp;"UMNS($A1704:C1723), C1703&amp;RIGHT(INDIRECT(ADDRESS(ROW(C1704)-1, 'From Order'!$A1704)), 1), C1703))"),"TQVQJPPSSTDDWLLFBPTTJGBHFSCZW")</f>
        <v>TQVQJPPSSTDDWLLFBPTTJGBHFSCZW</v>
      </c>
      <c r="D1704" s="2" t="str">
        <f>IFERROR(__xludf.DUMMYFUNCTION("IF('From Order'!$A1704=COLUMNS($A1704:D1723), LEFT(INDEX(FILTER(D$1:D1703, D$1:D1703&lt;&gt;""""),COUNTA(FILTER(D$1:D1703, D$1:D1703&lt;&gt;""""))), LEN(INDEX(FILTER(D$1:D1703, D$1:D1703&lt;&gt;""""),COUNTA(FILTER(D$1:D1703, D$1:D1703&lt;&gt;""""))))-1), IF('To Order'!$A1704=COL"&amp;"UMNS($A1704:D1723), D1703&amp;RIGHT(INDIRECT(ADDRESS(ROW(D1704)-1, 'From Order'!$A1704)), 1), D1703))"),"RBRT")</f>
        <v>RBRT</v>
      </c>
      <c r="E1704" s="2" t="str">
        <f>IFERROR(__xludf.DUMMYFUNCTION("IF('From Order'!$A1704=COLUMNS($A1704:E1723), LEFT(INDEX(FILTER(E$1:E1703, E$1:E1703&lt;&gt;""""),COUNTA(FILTER(E$1:E1703, E$1:E1703&lt;&gt;""""))), LEN(INDEX(FILTER(E$1:E1703, E$1:E1703&lt;&gt;""""),COUNTA(FILTER(E$1:E1703, E$1:E1703&lt;&gt;""""))))-1), IF('To Order'!$A1704=COL"&amp;"UMNS($A1704:E1723), E1703&amp;RIGHT(INDIRECT(ADDRESS(ROW(E1704)-1, 'From Order'!$A1704)), 1), E1703))"),"C")</f>
        <v>C</v>
      </c>
      <c r="F1704" s="2" t="str">
        <f>IFERROR(__xludf.DUMMYFUNCTION("IF('From Order'!$A1704=COLUMNS($A1704:F1723), LEFT(INDEX(FILTER(F$1:F1703, F$1:F1703&lt;&gt;""""),COUNTA(FILTER(F$1:F1703, F$1:F1703&lt;&gt;""""))), LEN(INDEX(FILTER(F$1:F1703, F$1:F1703&lt;&gt;""""),COUNTA(FILTER(F$1:F1703, F$1:F1703&lt;&gt;""""))))-1), IF('To Order'!$A1704=COL"&amp;"UMNS($A1704:F1723), F1703&amp;RIGHT(INDIRECT(ADDRESS(ROW(F1704)-1, 'From Order'!$A1704)), 1), F1703))"),"RDVC")</f>
        <v>RDVC</v>
      </c>
      <c r="G1704" s="2" t="str">
        <f>IFERROR(__xludf.DUMMYFUNCTION("IF('From Order'!$A1704=COLUMNS($A1704:G1723), LEFT(INDEX(FILTER(G$1:G1703, G$1:G1703&lt;&gt;""""),COUNTA(FILTER(G$1:G1703, G$1:G1703&lt;&gt;""""))), LEN(INDEX(FILTER(G$1:G1703, G$1:G1703&lt;&gt;""""),COUNTA(FILTER(G$1:G1703, G$1:G1703&lt;&gt;""""))))-1), IF('To Order'!$A1704=COL"&amp;"UMNS($A1704:G1723), G1703&amp;RIGHT(INDIRECT(ADDRESS(ROW(G1704)-1, 'From Order'!$A1704)), 1), G1703))"),"")</f>
        <v/>
      </c>
      <c r="H1704" s="2" t="str">
        <f>IFERROR(__xludf.DUMMYFUNCTION("IF('From Order'!$A1704=COLUMNS($A1704:H1723), LEFT(INDEX(FILTER(H$1:H1703, H$1:H1703&lt;&gt;""""),COUNTA(FILTER(H$1:H1703, H$1:H1703&lt;&gt;""""))), LEN(INDEX(FILTER(H$1:H1703, H$1:H1703&lt;&gt;""""),COUNTA(FILTER(H$1:H1703, H$1:H1703&lt;&gt;""""))))-1), IF('To Order'!$A1704=COL"&amp;"UMNS($A1704:H1723), H1703&amp;RIGHT(INDIRECT(ADDRESS(ROW(H1704)-1, 'From Order'!$A1704)), 1), H1703))"),"")</f>
        <v/>
      </c>
      <c r="I1704" s="2" t="str">
        <f>IFERROR(__xludf.DUMMYFUNCTION("IF('From Order'!$A1704=COLUMNS($A1704:I1723), LEFT(INDEX(FILTER(I$1:I1703, I$1:I1703&lt;&gt;""""),COUNTA(FILTER(I$1:I1703, I$1:I1703&lt;&gt;""""))), LEN(INDEX(FILTER(I$1:I1703, I$1:I1703&lt;&gt;""""),COUNTA(FILTER(I$1:I1703, I$1:I1703&lt;&gt;""""))))-1), IF('To Order'!$A1704=COL"&amp;"UMNS($A1704:I1723), I1703&amp;RIGHT(INDIRECT(ADDRESS(ROW(I1704)-1, 'From Order'!$A1704)), 1), I1703))"),"")</f>
        <v/>
      </c>
    </row>
    <row r="1705">
      <c r="A1705" s="2" t="str">
        <f>IFERROR(__xludf.DUMMYFUNCTION("IF('From Order'!$A1705=COLUMNS($A1705:A1724), LEFT(INDEX(FILTER(A$1:A1704, A$1:A1704&lt;&gt;""""),COUNTA(FILTER(A$1:A1704, A$1:A1704&lt;&gt;""""))), LEN(INDEX(FILTER(A$1:A1704, A$1:A1704&lt;&gt;""""),COUNTA(FILTER(A$1:A1704, A$1:A1704&lt;&gt;""""))))-1), IF('To Order'!$A1705=COL"&amp;"UMNS($A1705:A1724), A1704&amp;RIGHT(INDIRECT(ADDRESS(ROW(A1705)-1, 'From Order'!$A1705)), 1), A1704))"),"ZHZMTDLDSRRVBMJDMW")</f>
        <v>ZHZMTDLDSRRVBMJDMW</v>
      </c>
      <c r="B1705" s="2" t="str">
        <f>IFERROR(__xludf.DUMMYFUNCTION("IF('From Order'!$A1705=COLUMNS($A1705:B1724), LEFT(INDEX(FILTER(B$1:B1704, B$1:B1704&lt;&gt;""""),COUNTA(FILTER(B$1:B1704, B$1:B1704&lt;&gt;""""))), LEN(INDEX(FILTER(B$1:B1704, B$1:B1704&lt;&gt;""""),COUNTA(FILTER(B$1:B1704, B$1:B1704&lt;&gt;""""))))-1), IF('To Order'!$A1705=COL"&amp;"UMNS($A1705:B1724), B1704&amp;RIGHT(INDIRECT(ADDRESS(ROW(B1705)-1, 'From Order'!$A1705)), 1), B1704))"),"G")</f>
        <v>G</v>
      </c>
      <c r="C1705" s="2" t="str">
        <f>IFERROR(__xludf.DUMMYFUNCTION("IF('From Order'!$A1705=COLUMNS($A1705:C1724), LEFT(INDEX(FILTER(C$1:C1704, C$1:C1704&lt;&gt;""""),COUNTA(FILTER(C$1:C1704, C$1:C1704&lt;&gt;""""))), LEN(INDEX(FILTER(C$1:C1704, C$1:C1704&lt;&gt;""""),COUNTA(FILTER(C$1:C1704, C$1:C1704&lt;&gt;""""))))-1), IF('To Order'!$A1705=COL"&amp;"UMNS($A1705:C1724), C1704&amp;RIGHT(INDIRECT(ADDRESS(ROW(C1705)-1, 'From Order'!$A1705)), 1), C1704))"),"TQVQJPPSSTDDWLLFBPTTJGBHFSCZ")</f>
        <v>TQVQJPPSSTDDWLLFBPTTJGBHFSCZ</v>
      </c>
      <c r="D1705" s="2" t="str">
        <f>IFERROR(__xludf.DUMMYFUNCTION("IF('From Order'!$A1705=COLUMNS($A1705:D1724), LEFT(INDEX(FILTER(D$1:D1704, D$1:D1704&lt;&gt;""""),COUNTA(FILTER(D$1:D1704, D$1:D1704&lt;&gt;""""))), LEN(INDEX(FILTER(D$1:D1704, D$1:D1704&lt;&gt;""""),COUNTA(FILTER(D$1:D1704, D$1:D1704&lt;&gt;""""))))-1), IF('To Order'!$A1705=COL"&amp;"UMNS($A1705:D1724), D1704&amp;RIGHT(INDIRECT(ADDRESS(ROW(D1705)-1, 'From Order'!$A1705)), 1), D1704))"),"RBRT")</f>
        <v>RBRT</v>
      </c>
      <c r="E1705" s="2" t="str">
        <f>IFERROR(__xludf.DUMMYFUNCTION("IF('From Order'!$A1705=COLUMNS($A1705:E1724), LEFT(INDEX(FILTER(E$1:E1704, E$1:E1704&lt;&gt;""""),COUNTA(FILTER(E$1:E1704, E$1:E1704&lt;&gt;""""))), LEN(INDEX(FILTER(E$1:E1704, E$1:E1704&lt;&gt;""""),COUNTA(FILTER(E$1:E1704, E$1:E1704&lt;&gt;""""))))-1), IF('To Order'!$A1705=COL"&amp;"UMNS($A1705:E1724), E1704&amp;RIGHT(INDIRECT(ADDRESS(ROW(E1705)-1, 'From Order'!$A1705)), 1), E1704))"),"C")</f>
        <v>C</v>
      </c>
      <c r="F1705" s="2" t="str">
        <f>IFERROR(__xludf.DUMMYFUNCTION("IF('From Order'!$A1705=COLUMNS($A1705:F1724), LEFT(INDEX(FILTER(F$1:F1704, F$1:F1704&lt;&gt;""""),COUNTA(FILTER(F$1:F1704, F$1:F1704&lt;&gt;""""))), LEN(INDEX(FILTER(F$1:F1704, F$1:F1704&lt;&gt;""""),COUNTA(FILTER(F$1:F1704, F$1:F1704&lt;&gt;""""))))-1), IF('To Order'!$A1705=COL"&amp;"UMNS($A1705:F1724), F1704&amp;RIGHT(INDIRECT(ADDRESS(ROW(F1705)-1, 'From Order'!$A1705)), 1), F1704))"),"RDVC")</f>
        <v>RDVC</v>
      </c>
      <c r="G1705" s="2" t="str">
        <f>IFERROR(__xludf.DUMMYFUNCTION("IF('From Order'!$A1705=COLUMNS($A1705:G1724), LEFT(INDEX(FILTER(G$1:G1704, G$1:G1704&lt;&gt;""""),COUNTA(FILTER(G$1:G1704, G$1:G1704&lt;&gt;""""))), LEN(INDEX(FILTER(G$1:G1704, G$1:G1704&lt;&gt;""""),COUNTA(FILTER(G$1:G1704, G$1:G1704&lt;&gt;""""))))-1), IF('To Order'!$A1705=COL"&amp;"UMNS($A1705:G1724), G1704&amp;RIGHT(INDIRECT(ADDRESS(ROW(G1705)-1, 'From Order'!$A1705)), 1), G1704))"),"")</f>
        <v/>
      </c>
      <c r="H1705" s="2" t="str">
        <f>IFERROR(__xludf.DUMMYFUNCTION("IF('From Order'!$A1705=COLUMNS($A1705:H1724), LEFT(INDEX(FILTER(H$1:H1704, H$1:H1704&lt;&gt;""""),COUNTA(FILTER(H$1:H1704, H$1:H1704&lt;&gt;""""))), LEN(INDEX(FILTER(H$1:H1704, H$1:H1704&lt;&gt;""""),COUNTA(FILTER(H$1:H1704, H$1:H1704&lt;&gt;""""))))-1), IF('To Order'!$A1705=COL"&amp;"UMNS($A1705:H1724), H1704&amp;RIGHT(INDIRECT(ADDRESS(ROW(H1705)-1, 'From Order'!$A1705)), 1), H1704))"),"")</f>
        <v/>
      </c>
      <c r="I1705" s="2" t="str">
        <f>IFERROR(__xludf.DUMMYFUNCTION("IF('From Order'!$A1705=COLUMNS($A1705:I1724), LEFT(INDEX(FILTER(I$1:I1704, I$1:I1704&lt;&gt;""""),COUNTA(FILTER(I$1:I1704, I$1:I1704&lt;&gt;""""))), LEN(INDEX(FILTER(I$1:I1704, I$1:I1704&lt;&gt;""""),COUNTA(FILTER(I$1:I1704, I$1:I1704&lt;&gt;""""))))-1), IF('To Order'!$A1705=COL"&amp;"UMNS($A1705:I1724), I1704&amp;RIGHT(INDIRECT(ADDRESS(ROW(I1705)-1, 'From Order'!$A1705)), 1), I1704))"),"")</f>
        <v/>
      </c>
    </row>
    <row r="1706">
      <c r="A1706" s="2" t="str">
        <f>IFERROR(__xludf.DUMMYFUNCTION("IF('From Order'!$A1706=COLUMNS($A1706:A1725), LEFT(INDEX(FILTER(A$1:A1705, A$1:A1705&lt;&gt;""""),COUNTA(FILTER(A$1:A1705, A$1:A1705&lt;&gt;""""))), LEN(INDEX(FILTER(A$1:A1705, A$1:A1705&lt;&gt;""""),COUNTA(FILTER(A$1:A1705, A$1:A1705&lt;&gt;""""))))-1), IF('To Order'!$A1706=COL"&amp;"UMNS($A1706:A1725), A1705&amp;RIGHT(INDIRECT(ADDRESS(ROW(A1706)-1, 'From Order'!$A1706)), 1), A1705))"),"ZHZMTDLDSRRVBMJDMWZ")</f>
        <v>ZHZMTDLDSRRVBMJDMWZ</v>
      </c>
      <c r="B1706" s="2" t="str">
        <f>IFERROR(__xludf.DUMMYFUNCTION("IF('From Order'!$A1706=COLUMNS($A1706:B1725), LEFT(INDEX(FILTER(B$1:B1705, B$1:B1705&lt;&gt;""""),COUNTA(FILTER(B$1:B1705, B$1:B1705&lt;&gt;""""))), LEN(INDEX(FILTER(B$1:B1705, B$1:B1705&lt;&gt;""""),COUNTA(FILTER(B$1:B1705, B$1:B1705&lt;&gt;""""))))-1), IF('To Order'!$A1706=COL"&amp;"UMNS($A1706:B1725), B1705&amp;RIGHT(INDIRECT(ADDRESS(ROW(B1706)-1, 'From Order'!$A1706)), 1), B1705))"),"G")</f>
        <v>G</v>
      </c>
      <c r="C1706" s="2" t="str">
        <f>IFERROR(__xludf.DUMMYFUNCTION("IF('From Order'!$A1706=COLUMNS($A1706:C1725), LEFT(INDEX(FILTER(C$1:C1705, C$1:C1705&lt;&gt;""""),COUNTA(FILTER(C$1:C1705, C$1:C1705&lt;&gt;""""))), LEN(INDEX(FILTER(C$1:C1705, C$1:C1705&lt;&gt;""""),COUNTA(FILTER(C$1:C1705, C$1:C1705&lt;&gt;""""))))-1), IF('To Order'!$A1706=COL"&amp;"UMNS($A1706:C1725), C1705&amp;RIGHT(INDIRECT(ADDRESS(ROW(C1706)-1, 'From Order'!$A1706)), 1), C1705))"),"TQVQJPPSSTDDWLLFBPTTJGBHFSC")</f>
        <v>TQVQJPPSSTDDWLLFBPTTJGBHFSC</v>
      </c>
      <c r="D1706" s="2" t="str">
        <f>IFERROR(__xludf.DUMMYFUNCTION("IF('From Order'!$A1706=COLUMNS($A1706:D1725), LEFT(INDEX(FILTER(D$1:D1705, D$1:D1705&lt;&gt;""""),COUNTA(FILTER(D$1:D1705, D$1:D1705&lt;&gt;""""))), LEN(INDEX(FILTER(D$1:D1705, D$1:D1705&lt;&gt;""""),COUNTA(FILTER(D$1:D1705, D$1:D1705&lt;&gt;""""))))-1), IF('To Order'!$A1706=COL"&amp;"UMNS($A1706:D1725), D1705&amp;RIGHT(INDIRECT(ADDRESS(ROW(D1706)-1, 'From Order'!$A1706)), 1), D1705))"),"RBRT")</f>
        <v>RBRT</v>
      </c>
      <c r="E1706" s="2" t="str">
        <f>IFERROR(__xludf.DUMMYFUNCTION("IF('From Order'!$A1706=COLUMNS($A1706:E1725), LEFT(INDEX(FILTER(E$1:E1705, E$1:E1705&lt;&gt;""""),COUNTA(FILTER(E$1:E1705, E$1:E1705&lt;&gt;""""))), LEN(INDEX(FILTER(E$1:E1705, E$1:E1705&lt;&gt;""""),COUNTA(FILTER(E$1:E1705, E$1:E1705&lt;&gt;""""))))-1), IF('To Order'!$A1706=COL"&amp;"UMNS($A1706:E1725), E1705&amp;RIGHT(INDIRECT(ADDRESS(ROW(E1706)-1, 'From Order'!$A1706)), 1), E1705))"),"C")</f>
        <v>C</v>
      </c>
      <c r="F1706" s="2" t="str">
        <f>IFERROR(__xludf.DUMMYFUNCTION("IF('From Order'!$A1706=COLUMNS($A1706:F1725), LEFT(INDEX(FILTER(F$1:F1705, F$1:F1705&lt;&gt;""""),COUNTA(FILTER(F$1:F1705, F$1:F1705&lt;&gt;""""))), LEN(INDEX(FILTER(F$1:F1705, F$1:F1705&lt;&gt;""""),COUNTA(FILTER(F$1:F1705, F$1:F1705&lt;&gt;""""))))-1), IF('To Order'!$A1706=COL"&amp;"UMNS($A1706:F1725), F1705&amp;RIGHT(INDIRECT(ADDRESS(ROW(F1706)-1, 'From Order'!$A1706)), 1), F1705))"),"RDVC")</f>
        <v>RDVC</v>
      </c>
      <c r="G1706" s="2" t="str">
        <f>IFERROR(__xludf.DUMMYFUNCTION("IF('From Order'!$A1706=COLUMNS($A1706:G1725), LEFT(INDEX(FILTER(G$1:G1705, G$1:G1705&lt;&gt;""""),COUNTA(FILTER(G$1:G1705, G$1:G1705&lt;&gt;""""))), LEN(INDEX(FILTER(G$1:G1705, G$1:G1705&lt;&gt;""""),COUNTA(FILTER(G$1:G1705, G$1:G1705&lt;&gt;""""))))-1), IF('To Order'!$A1706=COL"&amp;"UMNS($A1706:G1725), G1705&amp;RIGHT(INDIRECT(ADDRESS(ROW(G1706)-1, 'From Order'!$A1706)), 1), G1705))"),"")</f>
        <v/>
      </c>
      <c r="H1706" s="2" t="str">
        <f>IFERROR(__xludf.DUMMYFUNCTION("IF('From Order'!$A1706=COLUMNS($A1706:H1725), LEFT(INDEX(FILTER(H$1:H1705, H$1:H1705&lt;&gt;""""),COUNTA(FILTER(H$1:H1705, H$1:H1705&lt;&gt;""""))), LEN(INDEX(FILTER(H$1:H1705, H$1:H1705&lt;&gt;""""),COUNTA(FILTER(H$1:H1705, H$1:H1705&lt;&gt;""""))))-1), IF('To Order'!$A1706=COL"&amp;"UMNS($A1706:H1725), H1705&amp;RIGHT(INDIRECT(ADDRESS(ROW(H1706)-1, 'From Order'!$A1706)), 1), H1705))"),"")</f>
        <v/>
      </c>
      <c r="I1706" s="2" t="str">
        <f>IFERROR(__xludf.DUMMYFUNCTION("IF('From Order'!$A1706=COLUMNS($A1706:I1725), LEFT(INDEX(FILTER(I$1:I1705, I$1:I1705&lt;&gt;""""),COUNTA(FILTER(I$1:I1705, I$1:I1705&lt;&gt;""""))), LEN(INDEX(FILTER(I$1:I1705, I$1:I1705&lt;&gt;""""),COUNTA(FILTER(I$1:I1705, I$1:I1705&lt;&gt;""""))))-1), IF('To Order'!$A1706=COL"&amp;"UMNS($A1706:I1725), I1705&amp;RIGHT(INDIRECT(ADDRESS(ROW(I1706)-1, 'From Order'!$A1706)), 1), I1705))"),"")</f>
        <v/>
      </c>
    </row>
    <row r="1707">
      <c r="A1707" s="2" t="str">
        <f>IFERROR(__xludf.DUMMYFUNCTION("IF('From Order'!$A1707=COLUMNS($A1707:A1726), LEFT(INDEX(FILTER(A$1:A1706, A$1:A1706&lt;&gt;""""),COUNTA(FILTER(A$1:A1706, A$1:A1706&lt;&gt;""""))), LEN(INDEX(FILTER(A$1:A1706, A$1:A1706&lt;&gt;""""),COUNTA(FILTER(A$1:A1706, A$1:A1706&lt;&gt;""""))))-1), IF('To Order'!$A1707=COL"&amp;"UMNS($A1707:A1726), A1706&amp;RIGHT(INDIRECT(ADDRESS(ROW(A1707)-1, 'From Order'!$A1707)), 1), A1706))"),"ZHZMTDLDSRRVBMJDMWZC")</f>
        <v>ZHZMTDLDSRRVBMJDMWZC</v>
      </c>
      <c r="B1707" s="2" t="str">
        <f>IFERROR(__xludf.DUMMYFUNCTION("IF('From Order'!$A1707=COLUMNS($A1707:B1726), LEFT(INDEX(FILTER(B$1:B1706, B$1:B1706&lt;&gt;""""),COUNTA(FILTER(B$1:B1706, B$1:B1706&lt;&gt;""""))), LEN(INDEX(FILTER(B$1:B1706, B$1:B1706&lt;&gt;""""),COUNTA(FILTER(B$1:B1706, B$1:B1706&lt;&gt;""""))))-1), IF('To Order'!$A1707=COL"&amp;"UMNS($A1707:B1726), B1706&amp;RIGHT(INDIRECT(ADDRESS(ROW(B1707)-1, 'From Order'!$A1707)), 1), B1706))"),"G")</f>
        <v>G</v>
      </c>
      <c r="C1707" s="2" t="str">
        <f>IFERROR(__xludf.DUMMYFUNCTION("IF('From Order'!$A1707=COLUMNS($A1707:C1726), LEFT(INDEX(FILTER(C$1:C1706, C$1:C1706&lt;&gt;""""),COUNTA(FILTER(C$1:C1706, C$1:C1706&lt;&gt;""""))), LEN(INDEX(FILTER(C$1:C1706, C$1:C1706&lt;&gt;""""),COUNTA(FILTER(C$1:C1706, C$1:C1706&lt;&gt;""""))))-1), IF('To Order'!$A1707=COL"&amp;"UMNS($A1707:C1726), C1706&amp;RIGHT(INDIRECT(ADDRESS(ROW(C1707)-1, 'From Order'!$A1707)), 1), C1706))"),"TQVQJPPSSTDDWLLFBPTTJGBHFS")</f>
        <v>TQVQJPPSSTDDWLLFBPTTJGBHFS</v>
      </c>
      <c r="D1707" s="2" t="str">
        <f>IFERROR(__xludf.DUMMYFUNCTION("IF('From Order'!$A1707=COLUMNS($A1707:D1726), LEFT(INDEX(FILTER(D$1:D1706, D$1:D1706&lt;&gt;""""),COUNTA(FILTER(D$1:D1706, D$1:D1706&lt;&gt;""""))), LEN(INDEX(FILTER(D$1:D1706, D$1:D1706&lt;&gt;""""),COUNTA(FILTER(D$1:D1706, D$1:D1706&lt;&gt;""""))))-1), IF('To Order'!$A1707=COL"&amp;"UMNS($A1707:D1726), D1706&amp;RIGHT(INDIRECT(ADDRESS(ROW(D1707)-1, 'From Order'!$A1707)), 1), D1706))"),"RBRT")</f>
        <v>RBRT</v>
      </c>
      <c r="E1707" s="2" t="str">
        <f>IFERROR(__xludf.DUMMYFUNCTION("IF('From Order'!$A1707=COLUMNS($A1707:E1726), LEFT(INDEX(FILTER(E$1:E1706, E$1:E1706&lt;&gt;""""),COUNTA(FILTER(E$1:E1706, E$1:E1706&lt;&gt;""""))), LEN(INDEX(FILTER(E$1:E1706, E$1:E1706&lt;&gt;""""),COUNTA(FILTER(E$1:E1706, E$1:E1706&lt;&gt;""""))))-1), IF('To Order'!$A1707=COL"&amp;"UMNS($A1707:E1726), E1706&amp;RIGHT(INDIRECT(ADDRESS(ROW(E1707)-1, 'From Order'!$A1707)), 1), E1706))"),"C")</f>
        <v>C</v>
      </c>
      <c r="F1707" s="2" t="str">
        <f>IFERROR(__xludf.DUMMYFUNCTION("IF('From Order'!$A1707=COLUMNS($A1707:F1726), LEFT(INDEX(FILTER(F$1:F1706, F$1:F1706&lt;&gt;""""),COUNTA(FILTER(F$1:F1706, F$1:F1706&lt;&gt;""""))), LEN(INDEX(FILTER(F$1:F1706, F$1:F1706&lt;&gt;""""),COUNTA(FILTER(F$1:F1706, F$1:F1706&lt;&gt;""""))))-1), IF('To Order'!$A1707=COL"&amp;"UMNS($A1707:F1726), F1706&amp;RIGHT(INDIRECT(ADDRESS(ROW(F1707)-1, 'From Order'!$A1707)), 1), F1706))"),"RDVC")</f>
        <v>RDVC</v>
      </c>
      <c r="G1707" s="2" t="str">
        <f>IFERROR(__xludf.DUMMYFUNCTION("IF('From Order'!$A1707=COLUMNS($A1707:G1726), LEFT(INDEX(FILTER(G$1:G1706, G$1:G1706&lt;&gt;""""),COUNTA(FILTER(G$1:G1706, G$1:G1706&lt;&gt;""""))), LEN(INDEX(FILTER(G$1:G1706, G$1:G1706&lt;&gt;""""),COUNTA(FILTER(G$1:G1706, G$1:G1706&lt;&gt;""""))))-1), IF('To Order'!$A1707=COL"&amp;"UMNS($A1707:G1726), G1706&amp;RIGHT(INDIRECT(ADDRESS(ROW(G1707)-1, 'From Order'!$A1707)), 1), G1706))"),"")</f>
        <v/>
      </c>
      <c r="H1707" s="2" t="str">
        <f>IFERROR(__xludf.DUMMYFUNCTION("IF('From Order'!$A1707=COLUMNS($A1707:H1726), LEFT(INDEX(FILTER(H$1:H1706, H$1:H1706&lt;&gt;""""),COUNTA(FILTER(H$1:H1706, H$1:H1706&lt;&gt;""""))), LEN(INDEX(FILTER(H$1:H1706, H$1:H1706&lt;&gt;""""),COUNTA(FILTER(H$1:H1706, H$1:H1706&lt;&gt;""""))))-1), IF('To Order'!$A1707=COL"&amp;"UMNS($A1707:H1726), H1706&amp;RIGHT(INDIRECT(ADDRESS(ROW(H1707)-1, 'From Order'!$A1707)), 1), H1706))"),"")</f>
        <v/>
      </c>
      <c r="I1707" s="2" t="str">
        <f>IFERROR(__xludf.DUMMYFUNCTION("IF('From Order'!$A1707=COLUMNS($A1707:I1726), LEFT(INDEX(FILTER(I$1:I1706, I$1:I1706&lt;&gt;""""),COUNTA(FILTER(I$1:I1706, I$1:I1706&lt;&gt;""""))), LEN(INDEX(FILTER(I$1:I1706, I$1:I1706&lt;&gt;""""),COUNTA(FILTER(I$1:I1706, I$1:I1706&lt;&gt;""""))))-1), IF('To Order'!$A1707=COL"&amp;"UMNS($A1707:I1726), I1706&amp;RIGHT(INDIRECT(ADDRESS(ROW(I1707)-1, 'From Order'!$A1707)), 1), I1706))"),"")</f>
        <v/>
      </c>
    </row>
    <row r="1708">
      <c r="A1708" s="2" t="str">
        <f>IFERROR(__xludf.DUMMYFUNCTION("IF('From Order'!$A1708=COLUMNS($A1708:A1727), LEFT(INDEX(FILTER(A$1:A1707, A$1:A1707&lt;&gt;""""),COUNTA(FILTER(A$1:A1707, A$1:A1707&lt;&gt;""""))), LEN(INDEX(FILTER(A$1:A1707, A$1:A1707&lt;&gt;""""),COUNTA(FILTER(A$1:A1707, A$1:A1707&lt;&gt;""""))))-1), IF('To Order'!$A1708=COL"&amp;"UMNS($A1708:A1727), A1707&amp;RIGHT(INDIRECT(ADDRESS(ROW(A1708)-1, 'From Order'!$A1708)), 1), A1707))"),"ZHZMTDLDSRRVBMJDMWZCS")</f>
        <v>ZHZMTDLDSRRVBMJDMWZCS</v>
      </c>
      <c r="B1708" s="2" t="str">
        <f>IFERROR(__xludf.DUMMYFUNCTION("IF('From Order'!$A1708=COLUMNS($A1708:B1727), LEFT(INDEX(FILTER(B$1:B1707, B$1:B1707&lt;&gt;""""),COUNTA(FILTER(B$1:B1707, B$1:B1707&lt;&gt;""""))), LEN(INDEX(FILTER(B$1:B1707, B$1:B1707&lt;&gt;""""),COUNTA(FILTER(B$1:B1707, B$1:B1707&lt;&gt;""""))))-1), IF('To Order'!$A1708=COL"&amp;"UMNS($A1708:B1727), B1707&amp;RIGHT(INDIRECT(ADDRESS(ROW(B1708)-1, 'From Order'!$A1708)), 1), B1707))"),"G")</f>
        <v>G</v>
      </c>
      <c r="C1708" s="2" t="str">
        <f>IFERROR(__xludf.DUMMYFUNCTION("IF('From Order'!$A1708=COLUMNS($A1708:C1727), LEFT(INDEX(FILTER(C$1:C1707, C$1:C1707&lt;&gt;""""),COUNTA(FILTER(C$1:C1707, C$1:C1707&lt;&gt;""""))), LEN(INDEX(FILTER(C$1:C1707, C$1:C1707&lt;&gt;""""),COUNTA(FILTER(C$1:C1707, C$1:C1707&lt;&gt;""""))))-1), IF('To Order'!$A1708=COL"&amp;"UMNS($A1708:C1727), C1707&amp;RIGHT(INDIRECT(ADDRESS(ROW(C1708)-1, 'From Order'!$A1708)), 1), C1707))"),"TQVQJPPSSTDDWLLFBPTTJGBHF")</f>
        <v>TQVQJPPSSTDDWLLFBPTTJGBHF</v>
      </c>
      <c r="D1708" s="2" t="str">
        <f>IFERROR(__xludf.DUMMYFUNCTION("IF('From Order'!$A1708=COLUMNS($A1708:D1727), LEFT(INDEX(FILTER(D$1:D1707, D$1:D1707&lt;&gt;""""),COUNTA(FILTER(D$1:D1707, D$1:D1707&lt;&gt;""""))), LEN(INDEX(FILTER(D$1:D1707, D$1:D1707&lt;&gt;""""),COUNTA(FILTER(D$1:D1707, D$1:D1707&lt;&gt;""""))))-1), IF('To Order'!$A1708=COL"&amp;"UMNS($A1708:D1727), D1707&amp;RIGHT(INDIRECT(ADDRESS(ROW(D1708)-1, 'From Order'!$A1708)), 1), D1707))"),"RBRT")</f>
        <v>RBRT</v>
      </c>
      <c r="E1708" s="2" t="str">
        <f>IFERROR(__xludf.DUMMYFUNCTION("IF('From Order'!$A1708=COLUMNS($A1708:E1727), LEFT(INDEX(FILTER(E$1:E1707, E$1:E1707&lt;&gt;""""),COUNTA(FILTER(E$1:E1707, E$1:E1707&lt;&gt;""""))), LEN(INDEX(FILTER(E$1:E1707, E$1:E1707&lt;&gt;""""),COUNTA(FILTER(E$1:E1707, E$1:E1707&lt;&gt;""""))))-1), IF('To Order'!$A1708=COL"&amp;"UMNS($A1708:E1727), E1707&amp;RIGHT(INDIRECT(ADDRESS(ROW(E1708)-1, 'From Order'!$A1708)), 1), E1707))"),"C")</f>
        <v>C</v>
      </c>
      <c r="F1708" s="2" t="str">
        <f>IFERROR(__xludf.DUMMYFUNCTION("IF('From Order'!$A1708=COLUMNS($A1708:F1727), LEFT(INDEX(FILTER(F$1:F1707, F$1:F1707&lt;&gt;""""),COUNTA(FILTER(F$1:F1707, F$1:F1707&lt;&gt;""""))), LEN(INDEX(FILTER(F$1:F1707, F$1:F1707&lt;&gt;""""),COUNTA(FILTER(F$1:F1707, F$1:F1707&lt;&gt;""""))))-1), IF('To Order'!$A1708=COL"&amp;"UMNS($A1708:F1727), F1707&amp;RIGHT(INDIRECT(ADDRESS(ROW(F1708)-1, 'From Order'!$A1708)), 1), F1707))"),"RDVC")</f>
        <v>RDVC</v>
      </c>
      <c r="G1708" s="2" t="str">
        <f>IFERROR(__xludf.DUMMYFUNCTION("IF('From Order'!$A1708=COLUMNS($A1708:G1727), LEFT(INDEX(FILTER(G$1:G1707, G$1:G1707&lt;&gt;""""),COUNTA(FILTER(G$1:G1707, G$1:G1707&lt;&gt;""""))), LEN(INDEX(FILTER(G$1:G1707, G$1:G1707&lt;&gt;""""),COUNTA(FILTER(G$1:G1707, G$1:G1707&lt;&gt;""""))))-1), IF('To Order'!$A1708=COL"&amp;"UMNS($A1708:G1727), G1707&amp;RIGHT(INDIRECT(ADDRESS(ROW(G1708)-1, 'From Order'!$A1708)), 1), G1707))"),"")</f>
        <v/>
      </c>
      <c r="H1708" s="2" t="str">
        <f>IFERROR(__xludf.DUMMYFUNCTION("IF('From Order'!$A1708=COLUMNS($A1708:H1727), LEFT(INDEX(FILTER(H$1:H1707, H$1:H1707&lt;&gt;""""),COUNTA(FILTER(H$1:H1707, H$1:H1707&lt;&gt;""""))), LEN(INDEX(FILTER(H$1:H1707, H$1:H1707&lt;&gt;""""),COUNTA(FILTER(H$1:H1707, H$1:H1707&lt;&gt;""""))))-1), IF('To Order'!$A1708=COL"&amp;"UMNS($A1708:H1727), H1707&amp;RIGHT(INDIRECT(ADDRESS(ROW(H1708)-1, 'From Order'!$A1708)), 1), H1707))"),"")</f>
        <v/>
      </c>
      <c r="I1708" s="2" t="str">
        <f>IFERROR(__xludf.DUMMYFUNCTION("IF('From Order'!$A1708=COLUMNS($A1708:I1727), LEFT(INDEX(FILTER(I$1:I1707, I$1:I1707&lt;&gt;""""),COUNTA(FILTER(I$1:I1707, I$1:I1707&lt;&gt;""""))), LEN(INDEX(FILTER(I$1:I1707, I$1:I1707&lt;&gt;""""),COUNTA(FILTER(I$1:I1707, I$1:I1707&lt;&gt;""""))))-1), IF('To Order'!$A1708=COL"&amp;"UMNS($A1708:I1727), I1707&amp;RIGHT(INDIRECT(ADDRESS(ROW(I1708)-1, 'From Order'!$A1708)), 1), I1707))"),"")</f>
        <v/>
      </c>
    </row>
    <row r="1709">
      <c r="A1709" s="2" t="str">
        <f>IFERROR(__xludf.DUMMYFUNCTION("IF('From Order'!$A1709=COLUMNS($A1709:A1728), LEFT(INDEX(FILTER(A$1:A1708, A$1:A1708&lt;&gt;""""),COUNTA(FILTER(A$1:A1708, A$1:A1708&lt;&gt;""""))), LEN(INDEX(FILTER(A$1:A1708, A$1:A1708&lt;&gt;""""),COUNTA(FILTER(A$1:A1708, A$1:A1708&lt;&gt;""""))))-1), IF('To Order'!$A1709=COL"&amp;"UMNS($A1709:A1728), A1708&amp;RIGHT(INDIRECT(ADDRESS(ROW(A1709)-1, 'From Order'!$A1709)), 1), A1708))"),"ZHZMTDLDSRRVBMJDMWZCSF")</f>
        <v>ZHZMTDLDSRRVBMJDMWZCSF</v>
      </c>
      <c r="B1709" s="2" t="str">
        <f>IFERROR(__xludf.DUMMYFUNCTION("IF('From Order'!$A1709=COLUMNS($A1709:B1728), LEFT(INDEX(FILTER(B$1:B1708, B$1:B1708&lt;&gt;""""),COUNTA(FILTER(B$1:B1708, B$1:B1708&lt;&gt;""""))), LEN(INDEX(FILTER(B$1:B1708, B$1:B1708&lt;&gt;""""),COUNTA(FILTER(B$1:B1708, B$1:B1708&lt;&gt;""""))))-1), IF('To Order'!$A1709=COL"&amp;"UMNS($A1709:B1728), B1708&amp;RIGHT(INDIRECT(ADDRESS(ROW(B1709)-1, 'From Order'!$A1709)), 1), B1708))"),"G")</f>
        <v>G</v>
      </c>
      <c r="C1709" s="2" t="str">
        <f>IFERROR(__xludf.DUMMYFUNCTION("IF('From Order'!$A1709=COLUMNS($A1709:C1728), LEFT(INDEX(FILTER(C$1:C1708, C$1:C1708&lt;&gt;""""),COUNTA(FILTER(C$1:C1708, C$1:C1708&lt;&gt;""""))), LEN(INDEX(FILTER(C$1:C1708, C$1:C1708&lt;&gt;""""),COUNTA(FILTER(C$1:C1708, C$1:C1708&lt;&gt;""""))))-1), IF('To Order'!$A1709=COL"&amp;"UMNS($A1709:C1728), C1708&amp;RIGHT(INDIRECT(ADDRESS(ROW(C1709)-1, 'From Order'!$A1709)), 1), C1708))"),"TQVQJPPSSTDDWLLFBPTTJGBH")</f>
        <v>TQVQJPPSSTDDWLLFBPTTJGBH</v>
      </c>
      <c r="D1709" s="2" t="str">
        <f>IFERROR(__xludf.DUMMYFUNCTION("IF('From Order'!$A1709=COLUMNS($A1709:D1728), LEFT(INDEX(FILTER(D$1:D1708, D$1:D1708&lt;&gt;""""),COUNTA(FILTER(D$1:D1708, D$1:D1708&lt;&gt;""""))), LEN(INDEX(FILTER(D$1:D1708, D$1:D1708&lt;&gt;""""),COUNTA(FILTER(D$1:D1708, D$1:D1708&lt;&gt;""""))))-1), IF('To Order'!$A1709=COL"&amp;"UMNS($A1709:D1728), D1708&amp;RIGHT(INDIRECT(ADDRESS(ROW(D1709)-1, 'From Order'!$A1709)), 1), D1708))"),"RBRT")</f>
        <v>RBRT</v>
      </c>
      <c r="E1709" s="2" t="str">
        <f>IFERROR(__xludf.DUMMYFUNCTION("IF('From Order'!$A1709=COLUMNS($A1709:E1728), LEFT(INDEX(FILTER(E$1:E1708, E$1:E1708&lt;&gt;""""),COUNTA(FILTER(E$1:E1708, E$1:E1708&lt;&gt;""""))), LEN(INDEX(FILTER(E$1:E1708, E$1:E1708&lt;&gt;""""),COUNTA(FILTER(E$1:E1708, E$1:E1708&lt;&gt;""""))))-1), IF('To Order'!$A1709=COL"&amp;"UMNS($A1709:E1728), E1708&amp;RIGHT(INDIRECT(ADDRESS(ROW(E1709)-1, 'From Order'!$A1709)), 1), E1708))"),"C")</f>
        <v>C</v>
      </c>
      <c r="F1709" s="2" t="str">
        <f>IFERROR(__xludf.DUMMYFUNCTION("IF('From Order'!$A1709=COLUMNS($A1709:F1728), LEFT(INDEX(FILTER(F$1:F1708, F$1:F1708&lt;&gt;""""),COUNTA(FILTER(F$1:F1708, F$1:F1708&lt;&gt;""""))), LEN(INDEX(FILTER(F$1:F1708, F$1:F1708&lt;&gt;""""),COUNTA(FILTER(F$1:F1708, F$1:F1708&lt;&gt;""""))))-1), IF('To Order'!$A1709=COL"&amp;"UMNS($A1709:F1728), F1708&amp;RIGHT(INDIRECT(ADDRESS(ROW(F1709)-1, 'From Order'!$A1709)), 1), F1708))"),"RDVC")</f>
        <v>RDVC</v>
      </c>
      <c r="G1709" s="2" t="str">
        <f>IFERROR(__xludf.DUMMYFUNCTION("IF('From Order'!$A1709=COLUMNS($A1709:G1728), LEFT(INDEX(FILTER(G$1:G1708, G$1:G1708&lt;&gt;""""),COUNTA(FILTER(G$1:G1708, G$1:G1708&lt;&gt;""""))), LEN(INDEX(FILTER(G$1:G1708, G$1:G1708&lt;&gt;""""),COUNTA(FILTER(G$1:G1708, G$1:G1708&lt;&gt;""""))))-1), IF('To Order'!$A1709=COL"&amp;"UMNS($A1709:G1728), G1708&amp;RIGHT(INDIRECT(ADDRESS(ROW(G1709)-1, 'From Order'!$A1709)), 1), G1708))"),"")</f>
        <v/>
      </c>
      <c r="H1709" s="2" t="str">
        <f>IFERROR(__xludf.DUMMYFUNCTION("IF('From Order'!$A1709=COLUMNS($A1709:H1728), LEFT(INDEX(FILTER(H$1:H1708, H$1:H1708&lt;&gt;""""),COUNTA(FILTER(H$1:H1708, H$1:H1708&lt;&gt;""""))), LEN(INDEX(FILTER(H$1:H1708, H$1:H1708&lt;&gt;""""),COUNTA(FILTER(H$1:H1708, H$1:H1708&lt;&gt;""""))))-1), IF('To Order'!$A1709=COL"&amp;"UMNS($A1709:H1728), H1708&amp;RIGHT(INDIRECT(ADDRESS(ROW(H1709)-1, 'From Order'!$A1709)), 1), H1708))"),"")</f>
        <v/>
      </c>
      <c r="I1709" s="2" t="str">
        <f>IFERROR(__xludf.DUMMYFUNCTION("IF('From Order'!$A1709=COLUMNS($A1709:I1728), LEFT(INDEX(FILTER(I$1:I1708, I$1:I1708&lt;&gt;""""),COUNTA(FILTER(I$1:I1708, I$1:I1708&lt;&gt;""""))), LEN(INDEX(FILTER(I$1:I1708, I$1:I1708&lt;&gt;""""),COUNTA(FILTER(I$1:I1708, I$1:I1708&lt;&gt;""""))))-1), IF('To Order'!$A1709=COL"&amp;"UMNS($A1709:I1728), I1708&amp;RIGHT(INDIRECT(ADDRESS(ROW(I1709)-1, 'From Order'!$A1709)), 1), I1708))"),"")</f>
        <v/>
      </c>
    </row>
    <row r="1710">
      <c r="A1710" s="2" t="str">
        <f>IFERROR(__xludf.DUMMYFUNCTION("IF('From Order'!$A1710=COLUMNS($A1710:A1729), LEFT(INDEX(FILTER(A$1:A1709, A$1:A1709&lt;&gt;""""),COUNTA(FILTER(A$1:A1709, A$1:A1709&lt;&gt;""""))), LEN(INDEX(FILTER(A$1:A1709, A$1:A1709&lt;&gt;""""),COUNTA(FILTER(A$1:A1709, A$1:A1709&lt;&gt;""""))))-1), IF('To Order'!$A1710=COL"&amp;"UMNS($A1710:A1729), A1709&amp;RIGHT(INDIRECT(ADDRESS(ROW(A1710)-1, 'From Order'!$A1710)), 1), A1709))"),"ZHZMTDLDSRRVBMJDMWZCSFH")</f>
        <v>ZHZMTDLDSRRVBMJDMWZCSFH</v>
      </c>
      <c r="B1710" s="2" t="str">
        <f>IFERROR(__xludf.DUMMYFUNCTION("IF('From Order'!$A1710=COLUMNS($A1710:B1729), LEFT(INDEX(FILTER(B$1:B1709, B$1:B1709&lt;&gt;""""),COUNTA(FILTER(B$1:B1709, B$1:B1709&lt;&gt;""""))), LEN(INDEX(FILTER(B$1:B1709, B$1:B1709&lt;&gt;""""),COUNTA(FILTER(B$1:B1709, B$1:B1709&lt;&gt;""""))))-1), IF('To Order'!$A1710=COL"&amp;"UMNS($A1710:B1729), B1709&amp;RIGHT(INDIRECT(ADDRESS(ROW(B1710)-1, 'From Order'!$A1710)), 1), B1709))"),"G")</f>
        <v>G</v>
      </c>
      <c r="C1710" s="2" t="str">
        <f>IFERROR(__xludf.DUMMYFUNCTION("IF('From Order'!$A1710=COLUMNS($A1710:C1729), LEFT(INDEX(FILTER(C$1:C1709, C$1:C1709&lt;&gt;""""),COUNTA(FILTER(C$1:C1709, C$1:C1709&lt;&gt;""""))), LEN(INDEX(FILTER(C$1:C1709, C$1:C1709&lt;&gt;""""),COUNTA(FILTER(C$1:C1709, C$1:C1709&lt;&gt;""""))))-1), IF('To Order'!$A1710=COL"&amp;"UMNS($A1710:C1729), C1709&amp;RIGHT(INDIRECT(ADDRESS(ROW(C1710)-1, 'From Order'!$A1710)), 1), C1709))"),"TQVQJPPSSTDDWLLFBPTTJGB")</f>
        <v>TQVQJPPSSTDDWLLFBPTTJGB</v>
      </c>
      <c r="D1710" s="2" t="str">
        <f>IFERROR(__xludf.DUMMYFUNCTION("IF('From Order'!$A1710=COLUMNS($A1710:D1729), LEFT(INDEX(FILTER(D$1:D1709, D$1:D1709&lt;&gt;""""),COUNTA(FILTER(D$1:D1709, D$1:D1709&lt;&gt;""""))), LEN(INDEX(FILTER(D$1:D1709, D$1:D1709&lt;&gt;""""),COUNTA(FILTER(D$1:D1709, D$1:D1709&lt;&gt;""""))))-1), IF('To Order'!$A1710=COL"&amp;"UMNS($A1710:D1729), D1709&amp;RIGHT(INDIRECT(ADDRESS(ROW(D1710)-1, 'From Order'!$A1710)), 1), D1709))"),"RBRT")</f>
        <v>RBRT</v>
      </c>
      <c r="E1710" s="2" t="str">
        <f>IFERROR(__xludf.DUMMYFUNCTION("IF('From Order'!$A1710=COLUMNS($A1710:E1729), LEFT(INDEX(FILTER(E$1:E1709, E$1:E1709&lt;&gt;""""),COUNTA(FILTER(E$1:E1709, E$1:E1709&lt;&gt;""""))), LEN(INDEX(FILTER(E$1:E1709, E$1:E1709&lt;&gt;""""),COUNTA(FILTER(E$1:E1709, E$1:E1709&lt;&gt;""""))))-1), IF('To Order'!$A1710=COL"&amp;"UMNS($A1710:E1729), E1709&amp;RIGHT(INDIRECT(ADDRESS(ROW(E1710)-1, 'From Order'!$A1710)), 1), E1709))"),"C")</f>
        <v>C</v>
      </c>
      <c r="F1710" s="2" t="str">
        <f>IFERROR(__xludf.DUMMYFUNCTION("IF('From Order'!$A1710=COLUMNS($A1710:F1729), LEFT(INDEX(FILTER(F$1:F1709, F$1:F1709&lt;&gt;""""),COUNTA(FILTER(F$1:F1709, F$1:F1709&lt;&gt;""""))), LEN(INDEX(FILTER(F$1:F1709, F$1:F1709&lt;&gt;""""),COUNTA(FILTER(F$1:F1709, F$1:F1709&lt;&gt;""""))))-1), IF('To Order'!$A1710=COL"&amp;"UMNS($A1710:F1729), F1709&amp;RIGHT(INDIRECT(ADDRESS(ROW(F1710)-1, 'From Order'!$A1710)), 1), F1709))"),"RDVC")</f>
        <v>RDVC</v>
      </c>
      <c r="G1710" s="2" t="str">
        <f>IFERROR(__xludf.DUMMYFUNCTION("IF('From Order'!$A1710=COLUMNS($A1710:G1729), LEFT(INDEX(FILTER(G$1:G1709, G$1:G1709&lt;&gt;""""),COUNTA(FILTER(G$1:G1709, G$1:G1709&lt;&gt;""""))), LEN(INDEX(FILTER(G$1:G1709, G$1:G1709&lt;&gt;""""),COUNTA(FILTER(G$1:G1709, G$1:G1709&lt;&gt;""""))))-1), IF('To Order'!$A1710=COL"&amp;"UMNS($A1710:G1729), G1709&amp;RIGHT(INDIRECT(ADDRESS(ROW(G1710)-1, 'From Order'!$A1710)), 1), G1709))"),"")</f>
        <v/>
      </c>
      <c r="H1710" s="2" t="str">
        <f>IFERROR(__xludf.DUMMYFUNCTION("IF('From Order'!$A1710=COLUMNS($A1710:H1729), LEFT(INDEX(FILTER(H$1:H1709, H$1:H1709&lt;&gt;""""),COUNTA(FILTER(H$1:H1709, H$1:H1709&lt;&gt;""""))), LEN(INDEX(FILTER(H$1:H1709, H$1:H1709&lt;&gt;""""),COUNTA(FILTER(H$1:H1709, H$1:H1709&lt;&gt;""""))))-1), IF('To Order'!$A1710=COL"&amp;"UMNS($A1710:H1729), H1709&amp;RIGHT(INDIRECT(ADDRESS(ROW(H1710)-1, 'From Order'!$A1710)), 1), H1709))"),"")</f>
        <v/>
      </c>
      <c r="I1710" s="2" t="str">
        <f>IFERROR(__xludf.DUMMYFUNCTION("IF('From Order'!$A1710=COLUMNS($A1710:I1729), LEFT(INDEX(FILTER(I$1:I1709, I$1:I1709&lt;&gt;""""),COUNTA(FILTER(I$1:I1709, I$1:I1709&lt;&gt;""""))), LEN(INDEX(FILTER(I$1:I1709, I$1:I1709&lt;&gt;""""),COUNTA(FILTER(I$1:I1709, I$1:I1709&lt;&gt;""""))))-1), IF('To Order'!$A1710=COL"&amp;"UMNS($A1710:I1729), I1709&amp;RIGHT(INDIRECT(ADDRESS(ROW(I1710)-1, 'From Order'!$A1710)), 1), I1709))"),"")</f>
        <v/>
      </c>
    </row>
    <row r="1711">
      <c r="A1711" s="2" t="str">
        <f>IFERROR(__xludf.DUMMYFUNCTION("IF('From Order'!$A1711=COLUMNS($A1711:A1730), LEFT(INDEX(FILTER(A$1:A1710, A$1:A1710&lt;&gt;""""),COUNTA(FILTER(A$1:A1710, A$1:A1710&lt;&gt;""""))), LEN(INDEX(FILTER(A$1:A1710, A$1:A1710&lt;&gt;""""),COUNTA(FILTER(A$1:A1710, A$1:A1710&lt;&gt;""""))))-1), IF('To Order'!$A1711=COL"&amp;"UMNS($A1711:A1730), A1710&amp;RIGHT(INDIRECT(ADDRESS(ROW(A1711)-1, 'From Order'!$A1711)), 1), A1710))"),"ZHZMTDLDSRRVBMJDMWZCSFHB")</f>
        <v>ZHZMTDLDSRRVBMJDMWZCSFHB</v>
      </c>
      <c r="B1711" s="2" t="str">
        <f>IFERROR(__xludf.DUMMYFUNCTION("IF('From Order'!$A1711=COLUMNS($A1711:B1730), LEFT(INDEX(FILTER(B$1:B1710, B$1:B1710&lt;&gt;""""),COUNTA(FILTER(B$1:B1710, B$1:B1710&lt;&gt;""""))), LEN(INDEX(FILTER(B$1:B1710, B$1:B1710&lt;&gt;""""),COUNTA(FILTER(B$1:B1710, B$1:B1710&lt;&gt;""""))))-1), IF('To Order'!$A1711=COL"&amp;"UMNS($A1711:B1730), B1710&amp;RIGHT(INDIRECT(ADDRESS(ROW(B1711)-1, 'From Order'!$A1711)), 1), B1710))"),"G")</f>
        <v>G</v>
      </c>
      <c r="C1711" s="2" t="str">
        <f>IFERROR(__xludf.DUMMYFUNCTION("IF('From Order'!$A1711=COLUMNS($A1711:C1730), LEFT(INDEX(FILTER(C$1:C1710, C$1:C1710&lt;&gt;""""),COUNTA(FILTER(C$1:C1710, C$1:C1710&lt;&gt;""""))), LEN(INDEX(FILTER(C$1:C1710, C$1:C1710&lt;&gt;""""),COUNTA(FILTER(C$1:C1710, C$1:C1710&lt;&gt;""""))))-1), IF('To Order'!$A1711=COL"&amp;"UMNS($A1711:C1730), C1710&amp;RIGHT(INDIRECT(ADDRESS(ROW(C1711)-1, 'From Order'!$A1711)), 1), C1710))"),"TQVQJPPSSTDDWLLFBPTTJG")</f>
        <v>TQVQJPPSSTDDWLLFBPTTJG</v>
      </c>
      <c r="D1711" s="2" t="str">
        <f>IFERROR(__xludf.DUMMYFUNCTION("IF('From Order'!$A1711=COLUMNS($A1711:D1730), LEFT(INDEX(FILTER(D$1:D1710, D$1:D1710&lt;&gt;""""),COUNTA(FILTER(D$1:D1710, D$1:D1710&lt;&gt;""""))), LEN(INDEX(FILTER(D$1:D1710, D$1:D1710&lt;&gt;""""),COUNTA(FILTER(D$1:D1710, D$1:D1710&lt;&gt;""""))))-1), IF('To Order'!$A1711=COL"&amp;"UMNS($A1711:D1730), D1710&amp;RIGHT(INDIRECT(ADDRESS(ROW(D1711)-1, 'From Order'!$A1711)), 1), D1710))"),"RBRT")</f>
        <v>RBRT</v>
      </c>
      <c r="E1711" s="2" t="str">
        <f>IFERROR(__xludf.DUMMYFUNCTION("IF('From Order'!$A1711=COLUMNS($A1711:E1730), LEFT(INDEX(FILTER(E$1:E1710, E$1:E1710&lt;&gt;""""),COUNTA(FILTER(E$1:E1710, E$1:E1710&lt;&gt;""""))), LEN(INDEX(FILTER(E$1:E1710, E$1:E1710&lt;&gt;""""),COUNTA(FILTER(E$1:E1710, E$1:E1710&lt;&gt;""""))))-1), IF('To Order'!$A1711=COL"&amp;"UMNS($A1711:E1730), E1710&amp;RIGHT(INDIRECT(ADDRESS(ROW(E1711)-1, 'From Order'!$A1711)), 1), E1710))"),"C")</f>
        <v>C</v>
      </c>
      <c r="F1711" s="2" t="str">
        <f>IFERROR(__xludf.DUMMYFUNCTION("IF('From Order'!$A1711=COLUMNS($A1711:F1730), LEFT(INDEX(FILTER(F$1:F1710, F$1:F1710&lt;&gt;""""),COUNTA(FILTER(F$1:F1710, F$1:F1710&lt;&gt;""""))), LEN(INDEX(FILTER(F$1:F1710, F$1:F1710&lt;&gt;""""),COUNTA(FILTER(F$1:F1710, F$1:F1710&lt;&gt;""""))))-1), IF('To Order'!$A1711=COL"&amp;"UMNS($A1711:F1730), F1710&amp;RIGHT(INDIRECT(ADDRESS(ROW(F1711)-1, 'From Order'!$A1711)), 1), F1710))"),"RDVC")</f>
        <v>RDVC</v>
      </c>
      <c r="G1711" s="2" t="str">
        <f>IFERROR(__xludf.DUMMYFUNCTION("IF('From Order'!$A1711=COLUMNS($A1711:G1730), LEFT(INDEX(FILTER(G$1:G1710, G$1:G1710&lt;&gt;""""),COUNTA(FILTER(G$1:G1710, G$1:G1710&lt;&gt;""""))), LEN(INDEX(FILTER(G$1:G1710, G$1:G1710&lt;&gt;""""),COUNTA(FILTER(G$1:G1710, G$1:G1710&lt;&gt;""""))))-1), IF('To Order'!$A1711=COL"&amp;"UMNS($A1711:G1730), G1710&amp;RIGHT(INDIRECT(ADDRESS(ROW(G1711)-1, 'From Order'!$A1711)), 1), G1710))"),"")</f>
        <v/>
      </c>
      <c r="H1711" s="2" t="str">
        <f>IFERROR(__xludf.DUMMYFUNCTION("IF('From Order'!$A1711=COLUMNS($A1711:H1730), LEFT(INDEX(FILTER(H$1:H1710, H$1:H1710&lt;&gt;""""),COUNTA(FILTER(H$1:H1710, H$1:H1710&lt;&gt;""""))), LEN(INDEX(FILTER(H$1:H1710, H$1:H1710&lt;&gt;""""),COUNTA(FILTER(H$1:H1710, H$1:H1710&lt;&gt;""""))))-1), IF('To Order'!$A1711=COL"&amp;"UMNS($A1711:H1730), H1710&amp;RIGHT(INDIRECT(ADDRESS(ROW(H1711)-1, 'From Order'!$A1711)), 1), H1710))"),"")</f>
        <v/>
      </c>
      <c r="I1711" s="2" t="str">
        <f>IFERROR(__xludf.DUMMYFUNCTION("IF('From Order'!$A1711=COLUMNS($A1711:I1730), LEFT(INDEX(FILTER(I$1:I1710, I$1:I1710&lt;&gt;""""),COUNTA(FILTER(I$1:I1710, I$1:I1710&lt;&gt;""""))), LEN(INDEX(FILTER(I$1:I1710, I$1:I1710&lt;&gt;""""),COUNTA(FILTER(I$1:I1710, I$1:I1710&lt;&gt;""""))))-1), IF('To Order'!$A1711=COL"&amp;"UMNS($A1711:I1730), I1710&amp;RIGHT(INDIRECT(ADDRESS(ROW(I1711)-1, 'From Order'!$A1711)), 1), I1710))"),"")</f>
        <v/>
      </c>
    </row>
    <row r="1712">
      <c r="A1712" s="2" t="str">
        <f>IFERROR(__xludf.DUMMYFUNCTION("IF('From Order'!$A1712=COLUMNS($A1712:A1731), LEFT(INDEX(FILTER(A$1:A1711, A$1:A1711&lt;&gt;""""),COUNTA(FILTER(A$1:A1711, A$1:A1711&lt;&gt;""""))), LEN(INDEX(FILTER(A$1:A1711, A$1:A1711&lt;&gt;""""),COUNTA(FILTER(A$1:A1711, A$1:A1711&lt;&gt;""""))))-1), IF('To Order'!$A1712=COL"&amp;"UMNS($A1712:A1731), A1711&amp;RIGHT(INDIRECT(ADDRESS(ROW(A1712)-1, 'From Order'!$A1712)), 1), A1711))"),"ZHZMTDLDSRRVBMJDMWZCSFHBG")</f>
        <v>ZHZMTDLDSRRVBMJDMWZCSFHBG</v>
      </c>
      <c r="B1712" s="2" t="str">
        <f>IFERROR(__xludf.DUMMYFUNCTION("IF('From Order'!$A1712=COLUMNS($A1712:B1731), LEFT(INDEX(FILTER(B$1:B1711, B$1:B1711&lt;&gt;""""),COUNTA(FILTER(B$1:B1711, B$1:B1711&lt;&gt;""""))), LEN(INDEX(FILTER(B$1:B1711, B$1:B1711&lt;&gt;""""),COUNTA(FILTER(B$1:B1711, B$1:B1711&lt;&gt;""""))))-1), IF('To Order'!$A1712=COL"&amp;"UMNS($A1712:B1731), B1711&amp;RIGHT(INDIRECT(ADDRESS(ROW(B1712)-1, 'From Order'!$A1712)), 1), B1711))"),"G")</f>
        <v>G</v>
      </c>
      <c r="C1712" s="2" t="str">
        <f>IFERROR(__xludf.DUMMYFUNCTION("IF('From Order'!$A1712=COLUMNS($A1712:C1731), LEFT(INDEX(FILTER(C$1:C1711, C$1:C1711&lt;&gt;""""),COUNTA(FILTER(C$1:C1711, C$1:C1711&lt;&gt;""""))), LEN(INDEX(FILTER(C$1:C1711, C$1:C1711&lt;&gt;""""),COUNTA(FILTER(C$1:C1711, C$1:C1711&lt;&gt;""""))))-1), IF('To Order'!$A1712=COL"&amp;"UMNS($A1712:C1731), C1711&amp;RIGHT(INDIRECT(ADDRESS(ROW(C1712)-1, 'From Order'!$A1712)), 1), C1711))"),"TQVQJPPSSTDDWLLFBPTTJ")</f>
        <v>TQVQJPPSSTDDWLLFBPTTJ</v>
      </c>
      <c r="D1712" s="2" t="str">
        <f>IFERROR(__xludf.DUMMYFUNCTION("IF('From Order'!$A1712=COLUMNS($A1712:D1731), LEFT(INDEX(FILTER(D$1:D1711, D$1:D1711&lt;&gt;""""),COUNTA(FILTER(D$1:D1711, D$1:D1711&lt;&gt;""""))), LEN(INDEX(FILTER(D$1:D1711, D$1:D1711&lt;&gt;""""),COUNTA(FILTER(D$1:D1711, D$1:D1711&lt;&gt;""""))))-1), IF('To Order'!$A1712=COL"&amp;"UMNS($A1712:D1731), D1711&amp;RIGHT(INDIRECT(ADDRESS(ROW(D1712)-1, 'From Order'!$A1712)), 1), D1711))"),"RBRT")</f>
        <v>RBRT</v>
      </c>
      <c r="E1712" s="2" t="str">
        <f>IFERROR(__xludf.DUMMYFUNCTION("IF('From Order'!$A1712=COLUMNS($A1712:E1731), LEFT(INDEX(FILTER(E$1:E1711, E$1:E1711&lt;&gt;""""),COUNTA(FILTER(E$1:E1711, E$1:E1711&lt;&gt;""""))), LEN(INDEX(FILTER(E$1:E1711, E$1:E1711&lt;&gt;""""),COUNTA(FILTER(E$1:E1711, E$1:E1711&lt;&gt;""""))))-1), IF('To Order'!$A1712=COL"&amp;"UMNS($A1712:E1731), E1711&amp;RIGHT(INDIRECT(ADDRESS(ROW(E1712)-1, 'From Order'!$A1712)), 1), E1711))"),"C")</f>
        <v>C</v>
      </c>
      <c r="F1712" s="2" t="str">
        <f>IFERROR(__xludf.DUMMYFUNCTION("IF('From Order'!$A1712=COLUMNS($A1712:F1731), LEFT(INDEX(FILTER(F$1:F1711, F$1:F1711&lt;&gt;""""),COUNTA(FILTER(F$1:F1711, F$1:F1711&lt;&gt;""""))), LEN(INDEX(FILTER(F$1:F1711, F$1:F1711&lt;&gt;""""),COUNTA(FILTER(F$1:F1711, F$1:F1711&lt;&gt;""""))))-1), IF('To Order'!$A1712=COL"&amp;"UMNS($A1712:F1731), F1711&amp;RIGHT(INDIRECT(ADDRESS(ROW(F1712)-1, 'From Order'!$A1712)), 1), F1711))"),"RDVC")</f>
        <v>RDVC</v>
      </c>
      <c r="G1712" s="2" t="str">
        <f>IFERROR(__xludf.DUMMYFUNCTION("IF('From Order'!$A1712=COLUMNS($A1712:G1731), LEFT(INDEX(FILTER(G$1:G1711, G$1:G1711&lt;&gt;""""),COUNTA(FILTER(G$1:G1711, G$1:G1711&lt;&gt;""""))), LEN(INDEX(FILTER(G$1:G1711, G$1:G1711&lt;&gt;""""),COUNTA(FILTER(G$1:G1711, G$1:G1711&lt;&gt;""""))))-1), IF('To Order'!$A1712=COL"&amp;"UMNS($A1712:G1731), G1711&amp;RIGHT(INDIRECT(ADDRESS(ROW(G1712)-1, 'From Order'!$A1712)), 1), G1711))"),"")</f>
        <v/>
      </c>
      <c r="H1712" s="2" t="str">
        <f>IFERROR(__xludf.DUMMYFUNCTION("IF('From Order'!$A1712=COLUMNS($A1712:H1731), LEFT(INDEX(FILTER(H$1:H1711, H$1:H1711&lt;&gt;""""),COUNTA(FILTER(H$1:H1711, H$1:H1711&lt;&gt;""""))), LEN(INDEX(FILTER(H$1:H1711, H$1:H1711&lt;&gt;""""),COUNTA(FILTER(H$1:H1711, H$1:H1711&lt;&gt;""""))))-1), IF('To Order'!$A1712=COL"&amp;"UMNS($A1712:H1731), H1711&amp;RIGHT(INDIRECT(ADDRESS(ROW(H1712)-1, 'From Order'!$A1712)), 1), H1711))"),"")</f>
        <v/>
      </c>
      <c r="I1712" s="2" t="str">
        <f>IFERROR(__xludf.DUMMYFUNCTION("IF('From Order'!$A1712=COLUMNS($A1712:I1731), LEFT(INDEX(FILTER(I$1:I1711, I$1:I1711&lt;&gt;""""),COUNTA(FILTER(I$1:I1711, I$1:I1711&lt;&gt;""""))), LEN(INDEX(FILTER(I$1:I1711, I$1:I1711&lt;&gt;""""),COUNTA(FILTER(I$1:I1711, I$1:I1711&lt;&gt;""""))))-1), IF('To Order'!$A1712=COL"&amp;"UMNS($A1712:I1731), I1711&amp;RIGHT(INDIRECT(ADDRESS(ROW(I1712)-1, 'From Order'!$A1712)), 1), I1711))"),"")</f>
        <v/>
      </c>
    </row>
    <row r="1713">
      <c r="A1713" s="2" t="str">
        <f>IFERROR(__xludf.DUMMYFUNCTION("IF('From Order'!$A1713=COLUMNS($A1713:A1732), LEFT(INDEX(FILTER(A$1:A1712, A$1:A1712&lt;&gt;""""),COUNTA(FILTER(A$1:A1712, A$1:A1712&lt;&gt;""""))), LEN(INDEX(FILTER(A$1:A1712, A$1:A1712&lt;&gt;""""),COUNTA(FILTER(A$1:A1712, A$1:A1712&lt;&gt;""""))))-1), IF('To Order'!$A1713=COL"&amp;"UMNS($A1713:A1732), A1712&amp;RIGHT(INDIRECT(ADDRESS(ROW(A1713)-1, 'From Order'!$A1713)), 1), A1712))"),"ZHZMTDLDSRRVBMJDMWZCSFHBGJ")</f>
        <v>ZHZMTDLDSRRVBMJDMWZCSFHBGJ</v>
      </c>
      <c r="B1713" s="2" t="str">
        <f>IFERROR(__xludf.DUMMYFUNCTION("IF('From Order'!$A1713=COLUMNS($A1713:B1732), LEFT(INDEX(FILTER(B$1:B1712, B$1:B1712&lt;&gt;""""),COUNTA(FILTER(B$1:B1712, B$1:B1712&lt;&gt;""""))), LEN(INDEX(FILTER(B$1:B1712, B$1:B1712&lt;&gt;""""),COUNTA(FILTER(B$1:B1712, B$1:B1712&lt;&gt;""""))))-1), IF('To Order'!$A1713=COL"&amp;"UMNS($A1713:B1732), B1712&amp;RIGHT(INDIRECT(ADDRESS(ROW(B1713)-1, 'From Order'!$A1713)), 1), B1712))"),"G")</f>
        <v>G</v>
      </c>
      <c r="C1713" s="2" t="str">
        <f>IFERROR(__xludf.DUMMYFUNCTION("IF('From Order'!$A1713=COLUMNS($A1713:C1732), LEFT(INDEX(FILTER(C$1:C1712, C$1:C1712&lt;&gt;""""),COUNTA(FILTER(C$1:C1712, C$1:C1712&lt;&gt;""""))), LEN(INDEX(FILTER(C$1:C1712, C$1:C1712&lt;&gt;""""),COUNTA(FILTER(C$1:C1712, C$1:C1712&lt;&gt;""""))))-1), IF('To Order'!$A1713=COL"&amp;"UMNS($A1713:C1732), C1712&amp;RIGHT(INDIRECT(ADDRESS(ROW(C1713)-1, 'From Order'!$A1713)), 1), C1712))"),"TQVQJPPSSTDDWLLFBPTT")</f>
        <v>TQVQJPPSSTDDWLLFBPTT</v>
      </c>
      <c r="D1713" s="2" t="str">
        <f>IFERROR(__xludf.DUMMYFUNCTION("IF('From Order'!$A1713=COLUMNS($A1713:D1732), LEFT(INDEX(FILTER(D$1:D1712, D$1:D1712&lt;&gt;""""),COUNTA(FILTER(D$1:D1712, D$1:D1712&lt;&gt;""""))), LEN(INDEX(FILTER(D$1:D1712, D$1:D1712&lt;&gt;""""),COUNTA(FILTER(D$1:D1712, D$1:D1712&lt;&gt;""""))))-1), IF('To Order'!$A1713=COL"&amp;"UMNS($A1713:D1732), D1712&amp;RIGHT(INDIRECT(ADDRESS(ROW(D1713)-1, 'From Order'!$A1713)), 1), D1712))"),"RBRT")</f>
        <v>RBRT</v>
      </c>
      <c r="E1713" s="2" t="str">
        <f>IFERROR(__xludf.DUMMYFUNCTION("IF('From Order'!$A1713=COLUMNS($A1713:E1732), LEFT(INDEX(FILTER(E$1:E1712, E$1:E1712&lt;&gt;""""),COUNTA(FILTER(E$1:E1712, E$1:E1712&lt;&gt;""""))), LEN(INDEX(FILTER(E$1:E1712, E$1:E1712&lt;&gt;""""),COUNTA(FILTER(E$1:E1712, E$1:E1712&lt;&gt;""""))))-1), IF('To Order'!$A1713=COL"&amp;"UMNS($A1713:E1732), E1712&amp;RIGHT(INDIRECT(ADDRESS(ROW(E1713)-1, 'From Order'!$A1713)), 1), E1712))"),"C")</f>
        <v>C</v>
      </c>
      <c r="F1713" s="2" t="str">
        <f>IFERROR(__xludf.DUMMYFUNCTION("IF('From Order'!$A1713=COLUMNS($A1713:F1732), LEFT(INDEX(FILTER(F$1:F1712, F$1:F1712&lt;&gt;""""),COUNTA(FILTER(F$1:F1712, F$1:F1712&lt;&gt;""""))), LEN(INDEX(FILTER(F$1:F1712, F$1:F1712&lt;&gt;""""),COUNTA(FILTER(F$1:F1712, F$1:F1712&lt;&gt;""""))))-1), IF('To Order'!$A1713=COL"&amp;"UMNS($A1713:F1732), F1712&amp;RIGHT(INDIRECT(ADDRESS(ROW(F1713)-1, 'From Order'!$A1713)), 1), F1712))"),"RDVC")</f>
        <v>RDVC</v>
      </c>
      <c r="G1713" s="2" t="str">
        <f>IFERROR(__xludf.DUMMYFUNCTION("IF('From Order'!$A1713=COLUMNS($A1713:G1732), LEFT(INDEX(FILTER(G$1:G1712, G$1:G1712&lt;&gt;""""),COUNTA(FILTER(G$1:G1712, G$1:G1712&lt;&gt;""""))), LEN(INDEX(FILTER(G$1:G1712, G$1:G1712&lt;&gt;""""),COUNTA(FILTER(G$1:G1712, G$1:G1712&lt;&gt;""""))))-1), IF('To Order'!$A1713=COL"&amp;"UMNS($A1713:G1732), G1712&amp;RIGHT(INDIRECT(ADDRESS(ROW(G1713)-1, 'From Order'!$A1713)), 1), G1712))"),"")</f>
        <v/>
      </c>
      <c r="H1713" s="2" t="str">
        <f>IFERROR(__xludf.DUMMYFUNCTION("IF('From Order'!$A1713=COLUMNS($A1713:H1732), LEFT(INDEX(FILTER(H$1:H1712, H$1:H1712&lt;&gt;""""),COUNTA(FILTER(H$1:H1712, H$1:H1712&lt;&gt;""""))), LEN(INDEX(FILTER(H$1:H1712, H$1:H1712&lt;&gt;""""),COUNTA(FILTER(H$1:H1712, H$1:H1712&lt;&gt;""""))))-1), IF('To Order'!$A1713=COL"&amp;"UMNS($A1713:H1732), H1712&amp;RIGHT(INDIRECT(ADDRESS(ROW(H1713)-1, 'From Order'!$A1713)), 1), H1712))"),"")</f>
        <v/>
      </c>
      <c r="I1713" s="2" t="str">
        <f>IFERROR(__xludf.DUMMYFUNCTION("IF('From Order'!$A1713=COLUMNS($A1713:I1732), LEFT(INDEX(FILTER(I$1:I1712, I$1:I1712&lt;&gt;""""),COUNTA(FILTER(I$1:I1712, I$1:I1712&lt;&gt;""""))), LEN(INDEX(FILTER(I$1:I1712, I$1:I1712&lt;&gt;""""),COUNTA(FILTER(I$1:I1712, I$1:I1712&lt;&gt;""""))))-1), IF('To Order'!$A1713=COL"&amp;"UMNS($A1713:I1732), I1712&amp;RIGHT(INDIRECT(ADDRESS(ROW(I1713)-1, 'From Order'!$A1713)), 1), I1712))"),"")</f>
        <v/>
      </c>
    </row>
    <row r="1714">
      <c r="A1714" s="2" t="str">
        <f>IFERROR(__xludf.DUMMYFUNCTION("IF('From Order'!$A1714=COLUMNS($A1714:A1733), LEFT(INDEX(FILTER(A$1:A1713, A$1:A1713&lt;&gt;""""),COUNTA(FILTER(A$1:A1713, A$1:A1713&lt;&gt;""""))), LEN(INDEX(FILTER(A$1:A1713, A$1:A1713&lt;&gt;""""),COUNTA(FILTER(A$1:A1713, A$1:A1713&lt;&gt;""""))))-1), IF('To Order'!$A1714=COL"&amp;"UMNS($A1714:A1733), A1713&amp;RIGHT(INDIRECT(ADDRESS(ROW(A1714)-1, 'From Order'!$A1714)), 1), A1713))"),"ZHZMTDLDSRRVBMJDMWZCSFHBGJT")</f>
        <v>ZHZMTDLDSRRVBMJDMWZCSFHBGJT</v>
      </c>
      <c r="B1714" s="2" t="str">
        <f>IFERROR(__xludf.DUMMYFUNCTION("IF('From Order'!$A1714=COLUMNS($A1714:B1733), LEFT(INDEX(FILTER(B$1:B1713, B$1:B1713&lt;&gt;""""),COUNTA(FILTER(B$1:B1713, B$1:B1713&lt;&gt;""""))), LEN(INDEX(FILTER(B$1:B1713, B$1:B1713&lt;&gt;""""),COUNTA(FILTER(B$1:B1713, B$1:B1713&lt;&gt;""""))))-1), IF('To Order'!$A1714=COL"&amp;"UMNS($A1714:B1733), B1713&amp;RIGHT(INDIRECT(ADDRESS(ROW(B1714)-1, 'From Order'!$A1714)), 1), B1713))"),"G")</f>
        <v>G</v>
      </c>
      <c r="C1714" s="2" t="str">
        <f>IFERROR(__xludf.DUMMYFUNCTION("IF('From Order'!$A1714=COLUMNS($A1714:C1733), LEFT(INDEX(FILTER(C$1:C1713, C$1:C1713&lt;&gt;""""),COUNTA(FILTER(C$1:C1713, C$1:C1713&lt;&gt;""""))), LEN(INDEX(FILTER(C$1:C1713, C$1:C1713&lt;&gt;""""),COUNTA(FILTER(C$1:C1713, C$1:C1713&lt;&gt;""""))))-1), IF('To Order'!$A1714=COL"&amp;"UMNS($A1714:C1733), C1713&amp;RIGHT(INDIRECT(ADDRESS(ROW(C1714)-1, 'From Order'!$A1714)), 1), C1713))"),"TQVQJPPSSTDDWLLFBPT")</f>
        <v>TQVQJPPSSTDDWLLFBPT</v>
      </c>
      <c r="D1714" s="2" t="str">
        <f>IFERROR(__xludf.DUMMYFUNCTION("IF('From Order'!$A1714=COLUMNS($A1714:D1733), LEFT(INDEX(FILTER(D$1:D1713, D$1:D1713&lt;&gt;""""),COUNTA(FILTER(D$1:D1713, D$1:D1713&lt;&gt;""""))), LEN(INDEX(FILTER(D$1:D1713, D$1:D1713&lt;&gt;""""),COUNTA(FILTER(D$1:D1713, D$1:D1713&lt;&gt;""""))))-1), IF('To Order'!$A1714=COL"&amp;"UMNS($A1714:D1733), D1713&amp;RIGHT(INDIRECT(ADDRESS(ROW(D1714)-1, 'From Order'!$A1714)), 1), D1713))"),"RBRT")</f>
        <v>RBRT</v>
      </c>
      <c r="E1714" s="2" t="str">
        <f>IFERROR(__xludf.DUMMYFUNCTION("IF('From Order'!$A1714=COLUMNS($A1714:E1733), LEFT(INDEX(FILTER(E$1:E1713, E$1:E1713&lt;&gt;""""),COUNTA(FILTER(E$1:E1713, E$1:E1713&lt;&gt;""""))), LEN(INDEX(FILTER(E$1:E1713, E$1:E1713&lt;&gt;""""),COUNTA(FILTER(E$1:E1713, E$1:E1713&lt;&gt;""""))))-1), IF('To Order'!$A1714=COL"&amp;"UMNS($A1714:E1733), E1713&amp;RIGHT(INDIRECT(ADDRESS(ROW(E1714)-1, 'From Order'!$A1714)), 1), E1713))"),"C")</f>
        <v>C</v>
      </c>
      <c r="F1714" s="2" t="str">
        <f>IFERROR(__xludf.DUMMYFUNCTION("IF('From Order'!$A1714=COLUMNS($A1714:F1733), LEFT(INDEX(FILTER(F$1:F1713, F$1:F1713&lt;&gt;""""),COUNTA(FILTER(F$1:F1713, F$1:F1713&lt;&gt;""""))), LEN(INDEX(FILTER(F$1:F1713, F$1:F1713&lt;&gt;""""),COUNTA(FILTER(F$1:F1713, F$1:F1713&lt;&gt;""""))))-1), IF('To Order'!$A1714=COL"&amp;"UMNS($A1714:F1733), F1713&amp;RIGHT(INDIRECT(ADDRESS(ROW(F1714)-1, 'From Order'!$A1714)), 1), F1713))"),"RDVC")</f>
        <v>RDVC</v>
      </c>
      <c r="G1714" s="2" t="str">
        <f>IFERROR(__xludf.DUMMYFUNCTION("IF('From Order'!$A1714=COLUMNS($A1714:G1733), LEFT(INDEX(FILTER(G$1:G1713, G$1:G1713&lt;&gt;""""),COUNTA(FILTER(G$1:G1713, G$1:G1713&lt;&gt;""""))), LEN(INDEX(FILTER(G$1:G1713, G$1:G1713&lt;&gt;""""),COUNTA(FILTER(G$1:G1713, G$1:G1713&lt;&gt;""""))))-1), IF('To Order'!$A1714=COL"&amp;"UMNS($A1714:G1733), G1713&amp;RIGHT(INDIRECT(ADDRESS(ROW(G1714)-1, 'From Order'!$A1714)), 1), G1713))"),"")</f>
        <v/>
      </c>
      <c r="H1714" s="2" t="str">
        <f>IFERROR(__xludf.DUMMYFUNCTION("IF('From Order'!$A1714=COLUMNS($A1714:H1733), LEFT(INDEX(FILTER(H$1:H1713, H$1:H1713&lt;&gt;""""),COUNTA(FILTER(H$1:H1713, H$1:H1713&lt;&gt;""""))), LEN(INDEX(FILTER(H$1:H1713, H$1:H1713&lt;&gt;""""),COUNTA(FILTER(H$1:H1713, H$1:H1713&lt;&gt;""""))))-1), IF('To Order'!$A1714=COL"&amp;"UMNS($A1714:H1733), H1713&amp;RIGHT(INDIRECT(ADDRESS(ROW(H1714)-1, 'From Order'!$A1714)), 1), H1713))"),"")</f>
        <v/>
      </c>
      <c r="I1714" s="2" t="str">
        <f>IFERROR(__xludf.DUMMYFUNCTION("IF('From Order'!$A1714=COLUMNS($A1714:I1733), LEFT(INDEX(FILTER(I$1:I1713, I$1:I1713&lt;&gt;""""),COUNTA(FILTER(I$1:I1713, I$1:I1713&lt;&gt;""""))), LEN(INDEX(FILTER(I$1:I1713, I$1:I1713&lt;&gt;""""),COUNTA(FILTER(I$1:I1713, I$1:I1713&lt;&gt;""""))))-1), IF('To Order'!$A1714=COL"&amp;"UMNS($A1714:I1733), I1713&amp;RIGHT(INDIRECT(ADDRESS(ROW(I1714)-1, 'From Order'!$A1714)), 1), I1713))"),"")</f>
        <v/>
      </c>
    </row>
    <row r="1715">
      <c r="A1715" s="2" t="str">
        <f>IFERROR(__xludf.DUMMYFUNCTION("IF('From Order'!$A1715=COLUMNS($A1715:A1734), LEFT(INDEX(FILTER(A$1:A1714, A$1:A1714&lt;&gt;""""),COUNTA(FILTER(A$1:A1714, A$1:A1714&lt;&gt;""""))), LEN(INDEX(FILTER(A$1:A1714, A$1:A1714&lt;&gt;""""),COUNTA(FILTER(A$1:A1714, A$1:A1714&lt;&gt;""""))))-1), IF('To Order'!$A1715=COL"&amp;"UMNS($A1715:A1734), A1714&amp;RIGHT(INDIRECT(ADDRESS(ROW(A1715)-1, 'From Order'!$A1715)), 1), A1714))"),"ZHZMTDLDSRRVBMJDMWZCSFHBGJTT")</f>
        <v>ZHZMTDLDSRRVBMJDMWZCSFHBGJTT</v>
      </c>
      <c r="B1715" s="2" t="str">
        <f>IFERROR(__xludf.DUMMYFUNCTION("IF('From Order'!$A1715=COLUMNS($A1715:B1734), LEFT(INDEX(FILTER(B$1:B1714, B$1:B1714&lt;&gt;""""),COUNTA(FILTER(B$1:B1714, B$1:B1714&lt;&gt;""""))), LEN(INDEX(FILTER(B$1:B1714, B$1:B1714&lt;&gt;""""),COUNTA(FILTER(B$1:B1714, B$1:B1714&lt;&gt;""""))))-1), IF('To Order'!$A1715=COL"&amp;"UMNS($A1715:B1734), B1714&amp;RIGHT(INDIRECT(ADDRESS(ROW(B1715)-1, 'From Order'!$A1715)), 1), B1714))"),"G")</f>
        <v>G</v>
      </c>
      <c r="C1715" s="2" t="str">
        <f>IFERROR(__xludf.DUMMYFUNCTION("IF('From Order'!$A1715=COLUMNS($A1715:C1734), LEFT(INDEX(FILTER(C$1:C1714, C$1:C1714&lt;&gt;""""),COUNTA(FILTER(C$1:C1714, C$1:C1714&lt;&gt;""""))), LEN(INDEX(FILTER(C$1:C1714, C$1:C1714&lt;&gt;""""),COUNTA(FILTER(C$1:C1714, C$1:C1714&lt;&gt;""""))))-1), IF('To Order'!$A1715=COL"&amp;"UMNS($A1715:C1734), C1714&amp;RIGHT(INDIRECT(ADDRESS(ROW(C1715)-1, 'From Order'!$A1715)), 1), C1714))"),"TQVQJPPSSTDDWLLFBP")</f>
        <v>TQVQJPPSSTDDWLLFBP</v>
      </c>
      <c r="D1715" s="2" t="str">
        <f>IFERROR(__xludf.DUMMYFUNCTION("IF('From Order'!$A1715=COLUMNS($A1715:D1734), LEFT(INDEX(FILTER(D$1:D1714, D$1:D1714&lt;&gt;""""),COUNTA(FILTER(D$1:D1714, D$1:D1714&lt;&gt;""""))), LEN(INDEX(FILTER(D$1:D1714, D$1:D1714&lt;&gt;""""),COUNTA(FILTER(D$1:D1714, D$1:D1714&lt;&gt;""""))))-1), IF('To Order'!$A1715=COL"&amp;"UMNS($A1715:D1734), D1714&amp;RIGHT(INDIRECT(ADDRESS(ROW(D1715)-1, 'From Order'!$A1715)), 1), D1714))"),"RBRT")</f>
        <v>RBRT</v>
      </c>
      <c r="E1715" s="2" t="str">
        <f>IFERROR(__xludf.DUMMYFUNCTION("IF('From Order'!$A1715=COLUMNS($A1715:E1734), LEFT(INDEX(FILTER(E$1:E1714, E$1:E1714&lt;&gt;""""),COUNTA(FILTER(E$1:E1714, E$1:E1714&lt;&gt;""""))), LEN(INDEX(FILTER(E$1:E1714, E$1:E1714&lt;&gt;""""),COUNTA(FILTER(E$1:E1714, E$1:E1714&lt;&gt;""""))))-1), IF('To Order'!$A1715=COL"&amp;"UMNS($A1715:E1734), E1714&amp;RIGHT(INDIRECT(ADDRESS(ROW(E1715)-1, 'From Order'!$A1715)), 1), E1714))"),"C")</f>
        <v>C</v>
      </c>
      <c r="F1715" s="2" t="str">
        <f>IFERROR(__xludf.DUMMYFUNCTION("IF('From Order'!$A1715=COLUMNS($A1715:F1734), LEFT(INDEX(FILTER(F$1:F1714, F$1:F1714&lt;&gt;""""),COUNTA(FILTER(F$1:F1714, F$1:F1714&lt;&gt;""""))), LEN(INDEX(FILTER(F$1:F1714, F$1:F1714&lt;&gt;""""),COUNTA(FILTER(F$1:F1714, F$1:F1714&lt;&gt;""""))))-1), IF('To Order'!$A1715=COL"&amp;"UMNS($A1715:F1734), F1714&amp;RIGHT(INDIRECT(ADDRESS(ROW(F1715)-1, 'From Order'!$A1715)), 1), F1714))"),"RDVC")</f>
        <v>RDVC</v>
      </c>
      <c r="G1715" s="2" t="str">
        <f>IFERROR(__xludf.DUMMYFUNCTION("IF('From Order'!$A1715=COLUMNS($A1715:G1734), LEFT(INDEX(FILTER(G$1:G1714, G$1:G1714&lt;&gt;""""),COUNTA(FILTER(G$1:G1714, G$1:G1714&lt;&gt;""""))), LEN(INDEX(FILTER(G$1:G1714, G$1:G1714&lt;&gt;""""),COUNTA(FILTER(G$1:G1714, G$1:G1714&lt;&gt;""""))))-1), IF('To Order'!$A1715=COL"&amp;"UMNS($A1715:G1734), G1714&amp;RIGHT(INDIRECT(ADDRESS(ROW(G1715)-1, 'From Order'!$A1715)), 1), G1714))"),"")</f>
        <v/>
      </c>
      <c r="H1715" s="2" t="str">
        <f>IFERROR(__xludf.DUMMYFUNCTION("IF('From Order'!$A1715=COLUMNS($A1715:H1734), LEFT(INDEX(FILTER(H$1:H1714, H$1:H1714&lt;&gt;""""),COUNTA(FILTER(H$1:H1714, H$1:H1714&lt;&gt;""""))), LEN(INDEX(FILTER(H$1:H1714, H$1:H1714&lt;&gt;""""),COUNTA(FILTER(H$1:H1714, H$1:H1714&lt;&gt;""""))))-1), IF('To Order'!$A1715=COL"&amp;"UMNS($A1715:H1734), H1714&amp;RIGHT(INDIRECT(ADDRESS(ROW(H1715)-1, 'From Order'!$A1715)), 1), H1714))"),"")</f>
        <v/>
      </c>
      <c r="I1715" s="2" t="str">
        <f>IFERROR(__xludf.DUMMYFUNCTION("IF('From Order'!$A1715=COLUMNS($A1715:I1734), LEFT(INDEX(FILTER(I$1:I1714, I$1:I1714&lt;&gt;""""),COUNTA(FILTER(I$1:I1714, I$1:I1714&lt;&gt;""""))), LEN(INDEX(FILTER(I$1:I1714, I$1:I1714&lt;&gt;""""),COUNTA(FILTER(I$1:I1714, I$1:I1714&lt;&gt;""""))))-1), IF('To Order'!$A1715=COL"&amp;"UMNS($A1715:I1734), I1714&amp;RIGHT(INDIRECT(ADDRESS(ROW(I1715)-1, 'From Order'!$A1715)), 1), I1714))"),"")</f>
        <v/>
      </c>
    </row>
    <row r="1716">
      <c r="A1716" s="2" t="str">
        <f>IFERROR(__xludf.DUMMYFUNCTION("IF('From Order'!$A1716=COLUMNS($A1716:A1735), LEFT(INDEX(FILTER(A$1:A1715, A$1:A1715&lt;&gt;""""),COUNTA(FILTER(A$1:A1715, A$1:A1715&lt;&gt;""""))), LEN(INDEX(FILTER(A$1:A1715, A$1:A1715&lt;&gt;""""),COUNTA(FILTER(A$1:A1715, A$1:A1715&lt;&gt;""""))))-1), IF('To Order'!$A1716=COL"&amp;"UMNS($A1716:A1735), A1715&amp;RIGHT(INDIRECT(ADDRESS(ROW(A1716)-1, 'From Order'!$A1716)), 1), A1715))"),"ZHZMTDLDSRRVBMJDMWZCSFHBGJT")</f>
        <v>ZHZMTDLDSRRVBMJDMWZCSFHBGJT</v>
      </c>
      <c r="B1716" s="2" t="str">
        <f>IFERROR(__xludf.DUMMYFUNCTION("IF('From Order'!$A1716=COLUMNS($A1716:B1735), LEFT(INDEX(FILTER(B$1:B1715, B$1:B1715&lt;&gt;""""),COUNTA(FILTER(B$1:B1715, B$1:B1715&lt;&gt;""""))), LEN(INDEX(FILTER(B$1:B1715, B$1:B1715&lt;&gt;""""),COUNTA(FILTER(B$1:B1715, B$1:B1715&lt;&gt;""""))))-1), IF('To Order'!$A1716=COL"&amp;"UMNS($A1716:B1735), B1715&amp;RIGHT(INDIRECT(ADDRESS(ROW(B1716)-1, 'From Order'!$A1716)), 1), B1715))"),"GT")</f>
        <v>GT</v>
      </c>
      <c r="C1716" s="2" t="str">
        <f>IFERROR(__xludf.DUMMYFUNCTION("IF('From Order'!$A1716=COLUMNS($A1716:C1735), LEFT(INDEX(FILTER(C$1:C1715, C$1:C1715&lt;&gt;""""),COUNTA(FILTER(C$1:C1715, C$1:C1715&lt;&gt;""""))), LEN(INDEX(FILTER(C$1:C1715, C$1:C1715&lt;&gt;""""),COUNTA(FILTER(C$1:C1715, C$1:C1715&lt;&gt;""""))))-1), IF('To Order'!$A1716=COL"&amp;"UMNS($A1716:C1735), C1715&amp;RIGHT(INDIRECT(ADDRESS(ROW(C1716)-1, 'From Order'!$A1716)), 1), C1715))"),"TQVQJPPSSTDDWLLFBP")</f>
        <v>TQVQJPPSSTDDWLLFBP</v>
      </c>
      <c r="D1716" s="2" t="str">
        <f>IFERROR(__xludf.DUMMYFUNCTION("IF('From Order'!$A1716=COLUMNS($A1716:D1735), LEFT(INDEX(FILTER(D$1:D1715, D$1:D1715&lt;&gt;""""),COUNTA(FILTER(D$1:D1715, D$1:D1715&lt;&gt;""""))), LEN(INDEX(FILTER(D$1:D1715, D$1:D1715&lt;&gt;""""),COUNTA(FILTER(D$1:D1715, D$1:D1715&lt;&gt;""""))))-1), IF('To Order'!$A1716=COL"&amp;"UMNS($A1716:D1735), D1715&amp;RIGHT(INDIRECT(ADDRESS(ROW(D1716)-1, 'From Order'!$A1716)), 1), D1715))"),"RBRT")</f>
        <v>RBRT</v>
      </c>
      <c r="E1716" s="2" t="str">
        <f>IFERROR(__xludf.DUMMYFUNCTION("IF('From Order'!$A1716=COLUMNS($A1716:E1735), LEFT(INDEX(FILTER(E$1:E1715, E$1:E1715&lt;&gt;""""),COUNTA(FILTER(E$1:E1715, E$1:E1715&lt;&gt;""""))), LEN(INDEX(FILTER(E$1:E1715, E$1:E1715&lt;&gt;""""),COUNTA(FILTER(E$1:E1715, E$1:E1715&lt;&gt;""""))))-1), IF('To Order'!$A1716=COL"&amp;"UMNS($A1716:E1735), E1715&amp;RIGHT(INDIRECT(ADDRESS(ROW(E1716)-1, 'From Order'!$A1716)), 1), E1715))"),"C")</f>
        <v>C</v>
      </c>
      <c r="F1716" s="2" t="str">
        <f>IFERROR(__xludf.DUMMYFUNCTION("IF('From Order'!$A1716=COLUMNS($A1716:F1735), LEFT(INDEX(FILTER(F$1:F1715, F$1:F1715&lt;&gt;""""),COUNTA(FILTER(F$1:F1715, F$1:F1715&lt;&gt;""""))), LEN(INDEX(FILTER(F$1:F1715, F$1:F1715&lt;&gt;""""),COUNTA(FILTER(F$1:F1715, F$1:F1715&lt;&gt;""""))))-1), IF('To Order'!$A1716=COL"&amp;"UMNS($A1716:F1735), F1715&amp;RIGHT(INDIRECT(ADDRESS(ROW(F1716)-1, 'From Order'!$A1716)), 1), F1715))"),"RDVC")</f>
        <v>RDVC</v>
      </c>
      <c r="G1716" s="2" t="str">
        <f>IFERROR(__xludf.DUMMYFUNCTION("IF('From Order'!$A1716=COLUMNS($A1716:G1735), LEFT(INDEX(FILTER(G$1:G1715, G$1:G1715&lt;&gt;""""),COUNTA(FILTER(G$1:G1715, G$1:G1715&lt;&gt;""""))), LEN(INDEX(FILTER(G$1:G1715, G$1:G1715&lt;&gt;""""),COUNTA(FILTER(G$1:G1715, G$1:G1715&lt;&gt;""""))))-1), IF('To Order'!$A1716=COL"&amp;"UMNS($A1716:G1735), G1715&amp;RIGHT(INDIRECT(ADDRESS(ROW(G1716)-1, 'From Order'!$A1716)), 1), G1715))"),"")</f>
        <v/>
      </c>
      <c r="H1716" s="2" t="str">
        <f>IFERROR(__xludf.DUMMYFUNCTION("IF('From Order'!$A1716=COLUMNS($A1716:H1735), LEFT(INDEX(FILTER(H$1:H1715, H$1:H1715&lt;&gt;""""),COUNTA(FILTER(H$1:H1715, H$1:H1715&lt;&gt;""""))), LEN(INDEX(FILTER(H$1:H1715, H$1:H1715&lt;&gt;""""),COUNTA(FILTER(H$1:H1715, H$1:H1715&lt;&gt;""""))))-1), IF('To Order'!$A1716=COL"&amp;"UMNS($A1716:H1735), H1715&amp;RIGHT(INDIRECT(ADDRESS(ROW(H1716)-1, 'From Order'!$A1716)), 1), H1715))"),"")</f>
        <v/>
      </c>
      <c r="I1716" s="2" t="str">
        <f>IFERROR(__xludf.DUMMYFUNCTION("IF('From Order'!$A1716=COLUMNS($A1716:I1735), LEFT(INDEX(FILTER(I$1:I1715, I$1:I1715&lt;&gt;""""),COUNTA(FILTER(I$1:I1715, I$1:I1715&lt;&gt;""""))), LEN(INDEX(FILTER(I$1:I1715, I$1:I1715&lt;&gt;""""),COUNTA(FILTER(I$1:I1715, I$1:I1715&lt;&gt;""""))))-1), IF('To Order'!$A1716=COL"&amp;"UMNS($A1716:I1735), I1715&amp;RIGHT(INDIRECT(ADDRESS(ROW(I1716)-1, 'From Order'!$A1716)), 1), I1715))"),"")</f>
        <v/>
      </c>
    </row>
    <row r="1717">
      <c r="A1717" s="2" t="str">
        <f>IFERROR(__xludf.DUMMYFUNCTION("IF('From Order'!$A1717=COLUMNS($A1717:A1736), LEFT(INDEX(FILTER(A$1:A1716, A$1:A1716&lt;&gt;""""),COUNTA(FILTER(A$1:A1716, A$1:A1716&lt;&gt;""""))), LEN(INDEX(FILTER(A$1:A1716, A$1:A1716&lt;&gt;""""),COUNTA(FILTER(A$1:A1716, A$1:A1716&lt;&gt;""""))))-1), IF('To Order'!$A1717=COL"&amp;"UMNS($A1717:A1736), A1716&amp;RIGHT(INDIRECT(ADDRESS(ROW(A1717)-1, 'From Order'!$A1717)), 1), A1716))"),"ZHZMTDLDSRRVBMJDMWZCSFHBGJ")</f>
        <v>ZHZMTDLDSRRVBMJDMWZCSFHBGJ</v>
      </c>
      <c r="B1717" s="2" t="str">
        <f>IFERROR(__xludf.DUMMYFUNCTION("IF('From Order'!$A1717=COLUMNS($A1717:B1736), LEFT(INDEX(FILTER(B$1:B1716, B$1:B1716&lt;&gt;""""),COUNTA(FILTER(B$1:B1716, B$1:B1716&lt;&gt;""""))), LEN(INDEX(FILTER(B$1:B1716, B$1:B1716&lt;&gt;""""),COUNTA(FILTER(B$1:B1716, B$1:B1716&lt;&gt;""""))))-1), IF('To Order'!$A1717=COL"&amp;"UMNS($A1717:B1736), B1716&amp;RIGHT(INDIRECT(ADDRESS(ROW(B1717)-1, 'From Order'!$A1717)), 1), B1716))"),"GTT")</f>
        <v>GTT</v>
      </c>
      <c r="C1717" s="2" t="str">
        <f>IFERROR(__xludf.DUMMYFUNCTION("IF('From Order'!$A1717=COLUMNS($A1717:C1736), LEFT(INDEX(FILTER(C$1:C1716, C$1:C1716&lt;&gt;""""),COUNTA(FILTER(C$1:C1716, C$1:C1716&lt;&gt;""""))), LEN(INDEX(FILTER(C$1:C1716, C$1:C1716&lt;&gt;""""),COUNTA(FILTER(C$1:C1716, C$1:C1716&lt;&gt;""""))))-1), IF('To Order'!$A1717=COL"&amp;"UMNS($A1717:C1736), C1716&amp;RIGHT(INDIRECT(ADDRESS(ROW(C1717)-1, 'From Order'!$A1717)), 1), C1716))"),"TQVQJPPSSTDDWLLFBP")</f>
        <v>TQVQJPPSSTDDWLLFBP</v>
      </c>
      <c r="D1717" s="2" t="str">
        <f>IFERROR(__xludf.DUMMYFUNCTION("IF('From Order'!$A1717=COLUMNS($A1717:D1736), LEFT(INDEX(FILTER(D$1:D1716, D$1:D1716&lt;&gt;""""),COUNTA(FILTER(D$1:D1716, D$1:D1716&lt;&gt;""""))), LEN(INDEX(FILTER(D$1:D1716, D$1:D1716&lt;&gt;""""),COUNTA(FILTER(D$1:D1716, D$1:D1716&lt;&gt;""""))))-1), IF('To Order'!$A1717=COL"&amp;"UMNS($A1717:D1736), D1716&amp;RIGHT(INDIRECT(ADDRESS(ROW(D1717)-1, 'From Order'!$A1717)), 1), D1716))"),"RBRT")</f>
        <v>RBRT</v>
      </c>
      <c r="E1717" s="2" t="str">
        <f>IFERROR(__xludf.DUMMYFUNCTION("IF('From Order'!$A1717=COLUMNS($A1717:E1736), LEFT(INDEX(FILTER(E$1:E1716, E$1:E1716&lt;&gt;""""),COUNTA(FILTER(E$1:E1716, E$1:E1716&lt;&gt;""""))), LEN(INDEX(FILTER(E$1:E1716, E$1:E1716&lt;&gt;""""),COUNTA(FILTER(E$1:E1716, E$1:E1716&lt;&gt;""""))))-1), IF('To Order'!$A1717=COL"&amp;"UMNS($A1717:E1736), E1716&amp;RIGHT(INDIRECT(ADDRESS(ROW(E1717)-1, 'From Order'!$A1717)), 1), E1716))"),"C")</f>
        <v>C</v>
      </c>
      <c r="F1717" s="2" t="str">
        <f>IFERROR(__xludf.DUMMYFUNCTION("IF('From Order'!$A1717=COLUMNS($A1717:F1736), LEFT(INDEX(FILTER(F$1:F1716, F$1:F1716&lt;&gt;""""),COUNTA(FILTER(F$1:F1716, F$1:F1716&lt;&gt;""""))), LEN(INDEX(FILTER(F$1:F1716, F$1:F1716&lt;&gt;""""),COUNTA(FILTER(F$1:F1716, F$1:F1716&lt;&gt;""""))))-1), IF('To Order'!$A1717=COL"&amp;"UMNS($A1717:F1736), F1716&amp;RIGHT(INDIRECT(ADDRESS(ROW(F1717)-1, 'From Order'!$A1717)), 1), F1716))"),"RDVC")</f>
        <v>RDVC</v>
      </c>
      <c r="G1717" s="2" t="str">
        <f>IFERROR(__xludf.DUMMYFUNCTION("IF('From Order'!$A1717=COLUMNS($A1717:G1736), LEFT(INDEX(FILTER(G$1:G1716, G$1:G1716&lt;&gt;""""),COUNTA(FILTER(G$1:G1716, G$1:G1716&lt;&gt;""""))), LEN(INDEX(FILTER(G$1:G1716, G$1:G1716&lt;&gt;""""),COUNTA(FILTER(G$1:G1716, G$1:G1716&lt;&gt;""""))))-1), IF('To Order'!$A1717=COL"&amp;"UMNS($A1717:G1736), G1716&amp;RIGHT(INDIRECT(ADDRESS(ROW(G1717)-1, 'From Order'!$A1717)), 1), G1716))"),"")</f>
        <v/>
      </c>
      <c r="H1717" s="2" t="str">
        <f>IFERROR(__xludf.DUMMYFUNCTION("IF('From Order'!$A1717=COLUMNS($A1717:H1736), LEFT(INDEX(FILTER(H$1:H1716, H$1:H1716&lt;&gt;""""),COUNTA(FILTER(H$1:H1716, H$1:H1716&lt;&gt;""""))), LEN(INDEX(FILTER(H$1:H1716, H$1:H1716&lt;&gt;""""),COUNTA(FILTER(H$1:H1716, H$1:H1716&lt;&gt;""""))))-1), IF('To Order'!$A1717=COL"&amp;"UMNS($A1717:H1736), H1716&amp;RIGHT(INDIRECT(ADDRESS(ROW(H1717)-1, 'From Order'!$A1717)), 1), H1716))"),"")</f>
        <v/>
      </c>
      <c r="I1717" s="2" t="str">
        <f>IFERROR(__xludf.DUMMYFUNCTION("IF('From Order'!$A1717=COLUMNS($A1717:I1736), LEFT(INDEX(FILTER(I$1:I1716, I$1:I1716&lt;&gt;""""),COUNTA(FILTER(I$1:I1716, I$1:I1716&lt;&gt;""""))), LEN(INDEX(FILTER(I$1:I1716, I$1:I1716&lt;&gt;""""),COUNTA(FILTER(I$1:I1716, I$1:I1716&lt;&gt;""""))))-1), IF('To Order'!$A1717=COL"&amp;"UMNS($A1717:I1736), I1716&amp;RIGHT(INDIRECT(ADDRESS(ROW(I1717)-1, 'From Order'!$A1717)), 1), I1716))"),"")</f>
        <v/>
      </c>
    </row>
    <row r="1718">
      <c r="A1718" s="2" t="str">
        <f>IFERROR(__xludf.DUMMYFUNCTION("IF('From Order'!$A1718=COLUMNS($A1718:A1737), LEFT(INDEX(FILTER(A$1:A1717, A$1:A1717&lt;&gt;""""),COUNTA(FILTER(A$1:A1717, A$1:A1717&lt;&gt;""""))), LEN(INDEX(FILTER(A$1:A1717, A$1:A1717&lt;&gt;""""),COUNTA(FILTER(A$1:A1717, A$1:A1717&lt;&gt;""""))))-1), IF('To Order'!$A1718=COL"&amp;"UMNS($A1718:A1737), A1717&amp;RIGHT(INDIRECT(ADDRESS(ROW(A1718)-1, 'From Order'!$A1718)), 1), A1717))"),"ZHZMTDLDSRRVBMJDMWZCSFHBG")</f>
        <v>ZHZMTDLDSRRVBMJDMWZCSFHBG</v>
      </c>
      <c r="B1718" s="2" t="str">
        <f>IFERROR(__xludf.DUMMYFUNCTION("IF('From Order'!$A1718=COLUMNS($A1718:B1737), LEFT(INDEX(FILTER(B$1:B1717, B$1:B1717&lt;&gt;""""),COUNTA(FILTER(B$1:B1717, B$1:B1717&lt;&gt;""""))), LEN(INDEX(FILTER(B$1:B1717, B$1:B1717&lt;&gt;""""),COUNTA(FILTER(B$1:B1717, B$1:B1717&lt;&gt;""""))))-1), IF('To Order'!$A1718=COL"&amp;"UMNS($A1718:B1737), B1717&amp;RIGHT(INDIRECT(ADDRESS(ROW(B1718)-1, 'From Order'!$A1718)), 1), B1717))"),"GTTJ")</f>
        <v>GTTJ</v>
      </c>
      <c r="C1718" s="2" t="str">
        <f>IFERROR(__xludf.DUMMYFUNCTION("IF('From Order'!$A1718=COLUMNS($A1718:C1737), LEFT(INDEX(FILTER(C$1:C1717, C$1:C1717&lt;&gt;""""),COUNTA(FILTER(C$1:C1717, C$1:C1717&lt;&gt;""""))), LEN(INDEX(FILTER(C$1:C1717, C$1:C1717&lt;&gt;""""),COUNTA(FILTER(C$1:C1717, C$1:C1717&lt;&gt;""""))))-1), IF('To Order'!$A1718=COL"&amp;"UMNS($A1718:C1737), C1717&amp;RIGHT(INDIRECT(ADDRESS(ROW(C1718)-1, 'From Order'!$A1718)), 1), C1717))"),"TQVQJPPSSTDDWLLFBP")</f>
        <v>TQVQJPPSSTDDWLLFBP</v>
      </c>
      <c r="D1718" s="2" t="str">
        <f>IFERROR(__xludf.DUMMYFUNCTION("IF('From Order'!$A1718=COLUMNS($A1718:D1737), LEFT(INDEX(FILTER(D$1:D1717, D$1:D1717&lt;&gt;""""),COUNTA(FILTER(D$1:D1717, D$1:D1717&lt;&gt;""""))), LEN(INDEX(FILTER(D$1:D1717, D$1:D1717&lt;&gt;""""),COUNTA(FILTER(D$1:D1717, D$1:D1717&lt;&gt;""""))))-1), IF('To Order'!$A1718=COL"&amp;"UMNS($A1718:D1737), D1717&amp;RIGHT(INDIRECT(ADDRESS(ROW(D1718)-1, 'From Order'!$A1718)), 1), D1717))"),"RBRT")</f>
        <v>RBRT</v>
      </c>
      <c r="E1718" s="2" t="str">
        <f>IFERROR(__xludf.DUMMYFUNCTION("IF('From Order'!$A1718=COLUMNS($A1718:E1737), LEFT(INDEX(FILTER(E$1:E1717, E$1:E1717&lt;&gt;""""),COUNTA(FILTER(E$1:E1717, E$1:E1717&lt;&gt;""""))), LEN(INDEX(FILTER(E$1:E1717, E$1:E1717&lt;&gt;""""),COUNTA(FILTER(E$1:E1717, E$1:E1717&lt;&gt;""""))))-1), IF('To Order'!$A1718=COL"&amp;"UMNS($A1718:E1737), E1717&amp;RIGHT(INDIRECT(ADDRESS(ROW(E1718)-1, 'From Order'!$A1718)), 1), E1717))"),"C")</f>
        <v>C</v>
      </c>
      <c r="F1718" s="2" t="str">
        <f>IFERROR(__xludf.DUMMYFUNCTION("IF('From Order'!$A1718=COLUMNS($A1718:F1737), LEFT(INDEX(FILTER(F$1:F1717, F$1:F1717&lt;&gt;""""),COUNTA(FILTER(F$1:F1717, F$1:F1717&lt;&gt;""""))), LEN(INDEX(FILTER(F$1:F1717, F$1:F1717&lt;&gt;""""),COUNTA(FILTER(F$1:F1717, F$1:F1717&lt;&gt;""""))))-1), IF('To Order'!$A1718=COL"&amp;"UMNS($A1718:F1737), F1717&amp;RIGHT(INDIRECT(ADDRESS(ROW(F1718)-1, 'From Order'!$A1718)), 1), F1717))"),"RDVC")</f>
        <v>RDVC</v>
      </c>
      <c r="G1718" s="2" t="str">
        <f>IFERROR(__xludf.DUMMYFUNCTION("IF('From Order'!$A1718=COLUMNS($A1718:G1737), LEFT(INDEX(FILTER(G$1:G1717, G$1:G1717&lt;&gt;""""),COUNTA(FILTER(G$1:G1717, G$1:G1717&lt;&gt;""""))), LEN(INDEX(FILTER(G$1:G1717, G$1:G1717&lt;&gt;""""),COUNTA(FILTER(G$1:G1717, G$1:G1717&lt;&gt;""""))))-1), IF('To Order'!$A1718=COL"&amp;"UMNS($A1718:G1737), G1717&amp;RIGHT(INDIRECT(ADDRESS(ROW(G1718)-1, 'From Order'!$A1718)), 1), G1717))"),"")</f>
        <v/>
      </c>
      <c r="H1718" s="2" t="str">
        <f>IFERROR(__xludf.DUMMYFUNCTION("IF('From Order'!$A1718=COLUMNS($A1718:H1737), LEFT(INDEX(FILTER(H$1:H1717, H$1:H1717&lt;&gt;""""),COUNTA(FILTER(H$1:H1717, H$1:H1717&lt;&gt;""""))), LEN(INDEX(FILTER(H$1:H1717, H$1:H1717&lt;&gt;""""),COUNTA(FILTER(H$1:H1717, H$1:H1717&lt;&gt;""""))))-1), IF('To Order'!$A1718=COL"&amp;"UMNS($A1718:H1737), H1717&amp;RIGHT(INDIRECT(ADDRESS(ROW(H1718)-1, 'From Order'!$A1718)), 1), H1717))"),"")</f>
        <v/>
      </c>
      <c r="I1718" s="2" t="str">
        <f>IFERROR(__xludf.DUMMYFUNCTION("IF('From Order'!$A1718=COLUMNS($A1718:I1737), LEFT(INDEX(FILTER(I$1:I1717, I$1:I1717&lt;&gt;""""),COUNTA(FILTER(I$1:I1717, I$1:I1717&lt;&gt;""""))), LEN(INDEX(FILTER(I$1:I1717, I$1:I1717&lt;&gt;""""),COUNTA(FILTER(I$1:I1717, I$1:I1717&lt;&gt;""""))))-1), IF('To Order'!$A1718=COL"&amp;"UMNS($A1718:I1737), I1717&amp;RIGHT(INDIRECT(ADDRESS(ROW(I1718)-1, 'From Order'!$A1718)), 1), I1717))"),"")</f>
        <v/>
      </c>
    </row>
    <row r="1719">
      <c r="A1719" s="2" t="str">
        <f>IFERROR(__xludf.DUMMYFUNCTION("IF('From Order'!$A1719=COLUMNS($A1719:A1738), LEFT(INDEX(FILTER(A$1:A1718, A$1:A1718&lt;&gt;""""),COUNTA(FILTER(A$1:A1718, A$1:A1718&lt;&gt;""""))), LEN(INDEX(FILTER(A$1:A1718, A$1:A1718&lt;&gt;""""),COUNTA(FILTER(A$1:A1718, A$1:A1718&lt;&gt;""""))))-1), IF('To Order'!$A1719=COL"&amp;"UMNS($A1719:A1738), A1718&amp;RIGHT(INDIRECT(ADDRESS(ROW(A1719)-1, 'From Order'!$A1719)), 1), A1718))"),"ZHZMTDLDSRRVBMJDMWZCSFHB")</f>
        <v>ZHZMTDLDSRRVBMJDMWZCSFHB</v>
      </c>
      <c r="B1719" s="2" t="str">
        <f>IFERROR(__xludf.DUMMYFUNCTION("IF('From Order'!$A1719=COLUMNS($A1719:B1738), LEFT(INDEX(FILTER(B$1:B1718, B$1:B1718&lt;&gt;""""),COUNTA(FILTER(B$1:B1718, B$1:B1718&lt;&gt;""""))), LEN(INDEX(FILTER(B$1:B1718, B$1:B1718&lt;&gt;""""),COUNTA(FILTER(B$1:B1718, B$1:B1718&lt;&gt;""""))))-1), IF('To Order'!$A1719=COL"&amp;"UMNS($A1719:B1738), B1718&amp;RIGHT(INDIRECT(ADDRESS(ROW(B1719)-1, 'From Order'!$A1719)), 1), B1718))"),"GTTJG")</f>
        <v>GTTJG</v>
      </c>
      <c r="C1719" s="2" t="str">
        <f>IFERROR(__xludf.DUMMYFUNCTION("IF('From Order'!$A1719=COLUMNS($A1719:C1738), LEFT(INDEX(FILTER(C$1:C1718, C$1:C1718&lt;&gt;""""),COUNTA(FILTER(C$1:C1718, C$1:C1718&lt;&gt;""""))), LEN(INDEX(FILTER(C$1:C1718, C$1:C1718&lt;&gt;""""),COUNTA(FILTER(C$1:C1718, C$1:C1718&lt;&gt;""""))))-1), IF('To Order'!$A1719=COL"&amp;"UMNS($A1719:C1738), C1718&amp;RIGHT(INDIRECT(ADDRESS(ROW(C1719)-1, 'From Order'!$A1719)), 1), C1718))"),"TQVQJPPSSTDDWLLFBP")</f>
        <v>TQVQJPPSSTDDWLLFBP</v>
      </c>
      <c r="D1719" s="2" t="str">
        <f>IFERROR(__xludf.DUMMYFUNCTION("IF('From Order'!$A1719=COLUMNS($A1719:D1738), LEFT(INDEX(FILTER(D$1:D1718, D$1:D1718&lt;&gt;""""),COUNTA(FILTER(D$1:D1718, D$1:D1718&lt;&gt;""""))), LEN(INDEX(FILTER(D$1:D1718, D$1:D1718&lt;&gt;""""),COUNTA(FILTER(D$1:D1718, D$1:D1718&lt;&gt;""""))))-1), IF('To Order'!$A1719=COL"&amp;"UMNS($A1719:D1738), D1718&amp;RIGHT(INDIRECT(ADDRESS(ROW(D1719)-1, 'From Order'!$A1719)), 1), D1718))"),"RBRT")</f>
        <v>RBRT</v>
      </c>
      <c r="E1719" s="2" t="str">
        <f>IFERROR(__xludf.DUMMYFUNCTION("IF('From Order'!$A1719=COLUMNS($A1719:E1738), LEFT(INDEX(FILTER(E$1:E1718, E$1:E1718&lt;&gt;""""),COUNTA(FILTER(E$1:E1718, E$1:E1718&lt;&gt;""""))), LEN(INDEX(FILTER(E$1:E1718, E$1:E1718&lt;&gt;""""),COUNTA(FILTER(E$1:E1718, E$1:E1718&lt;&gt;""""))))-1), IF('To Order'!$A1719=COL"&amp;"UMNS($A1719:E1738), E1718&amp;RIGHT(INDIRECT(ADDRESS(ROW(E1719)-1, 'From Order'!$A1719)), 1), E1718))"),"C")</f>
        <v>C</v>
      </c>
      <c r="F1719" s="2" t="str">
        <f>IFERROR(__xludf.DUMMYFUNCTION("IF('From Order'!$A1719=COLUMNS($A1719:F1738), LEFT(INDEX(FILTER(F$1:F1718, F$1:F1718&lt;&gt;""""),COUNTA(FILTER(F$1:F1718, F$1:F1718&lt;&gt;""""))), LEN(INDEX(FILTER(F$1:F1718, F$1:F1718&lt;&gt;""""),COUNTA(FILTER(F$1:F1718, F$1:F1718&lt;&gt;""""))))-1), IF('To Order'!$A1719=COL"&amp;"UMNS($A1719:F1738), F1718&amp;RIGHT(INDIRECT(ADDRESS(ROW(F1719)-1, 'From Order'!$A1719)), 1), F1718))"),"RDVC")</f>
        <v>RDVC</v>
      </c>
      <c r="G1719" s="2" t="str">
        <f>IFERROR(__xludf.DUMMYFUNCTION("IF('From Order'!$A1719=COLUMNS($A1719:G1738), LEFT(INDEX(FILTER(G$1:G1718, G$1:G1718&lt;&gt;""""),COUNTA(FILTER(G$1:G1718, G$1:G1718&lt;&gt;""""))), LEN(INDEX(FILTER(G$1:G1718, G$1:G1718&lt;&gt;""""),COUNTA(FILTER(G$1:G1718, G$1:G1718&lt;&gt;""""))))-1), IF('To Order'!$A1719=COL"&amp;"UMNS($A1719:G1738), G1718&amp;RIGHT(INDIRECT(ADDRESS(ROW(G1719)-1, 'From Order'!$A1719)), 1), G1718))"),"")</f>
        <v/>
      </c>
      <c r="H1719" s="2" t="str">
        <f>IFERROR(__xludf.DUMMYFUNCTION("IF('From Order'!$A1719=COLUMNS($A1719:H1738), LEFT(INDEX(FILTER(H$1:H1718, H$1:H1718&lt;&gt;""""),COUNTA(FILTER(H$1:H1718, H$1:H1718&lt;&gt;""""))), LEN(INDEX(FILTER(H$1:H1718, H$1:H1718&lt;&gt;""""),COUNTA(FILTER(H$1:H1718, H$1:H1718&lt;&gt;""""))))-1), IF('To Order'!$A1719=COL"&amp;"UMNS($A1719:H1738), H1718&amp;RIGHT(INDIRECT(ADDRESS(ROW(H1719)-1, 'From Order'!$A1719)), 1), H1718))"),"")</f>
        <v/>
      </c>
      <c r="I1719" s="2" t="str">
        <f>IFERROR(__xludf.DUMMYFUNCTION("IF('From Order'!$A1719=COLUMNS($A1719:I1738), LEFT(INDEX(FILTER(I$1:I1718, I$1:I1718&lt;&gt;""""),COUNTA(FILTER(I$1:I1718, I$1:I1718&lt;&gt;""""))), LEN(INDEX(FILTER(I$1:I1718, I$1:I1718&lt;&gt;""""),COUNTA(FILTER(I$1:I1718, I$1:I1718&lt;&gt;""""))))-1), IF('To Order'!$A1719=COL"&amp;"UMNS($A1719:I1738), I1718&amp;RIGHT(INDIRECT(ADDRESS(ROW(I1719)-1, 'From Order'!$A1719)), 1), I1718))"),"")</f>
        <v/>
      </c>
    </row>
    <row r="1720">
      <c r="A1720" s="2" t="str">
        <f>IFERROR(__xludf.DUMMYFUNCTION("IF('From Order'!$A1720=COLUMNS($A1720:A1739), LEFT(INDEX(FILTER(A$1:A1719, A$1:A1719&lt;&gt;""""),COUNTA(FILTER(A$1:A1719, A$1:A1719&lt;&gt;""""))), LEN(INDEX(FILTER(A$1:A1719, A$1:A1719&lt;&gt;""""),COUNTA(FILTER(A$1:A1719, A$1:A1719&lt;&gt;""""))))-1), IF('To Order'!$A1720=COL"&amp;"UMNS($A1720:A1739), A1719&amp;RIGHT(INDIRECT(ADDRESS(ROW(A1720)-1, 'From Order'!$A1720)), 1), A1719))"),"ZHZMTDLDSRRVBMJDMWZCSFH")</f>
        <v>ZHZMTDLDSRRVBMJDMWZCSFH</v>
      </c>
      <c r="B1720" s="2" t="str">
        <f>IFERROR(__xludf.DUMMYFUNCTION("IF('From Order'!$A1720=COLUMNS($A1720:B1739), LEFT(INDEX(FILTER(B$1:B1719, B$1:B1719&lt;&gt;""""),COUNTA(FILTER(B$1:B1719, B$1:B1719&lt;&gt;""""))), LEN(INDEX(FILTER(B$1:B1719, B$1:B1719&lt;&gt;""""),COUNTA(FILTER(B$1:B1719, B$1:B1719&lt;&gt;""""))))-1), IF('To Order'!$A1720=COL"&amp;"UMNS($A1720:B1739), B1719&amp;RIGHT(INDIRECT(ADDRESS(ROW(B1720)-1, 'From Order'!$A1720)), 1), B1719))"),"GTTJGB")</f>
        <v>GTTJGB</v>
      </c>
      <c r="C1720" s="2" t="str">
        <f>IFERROR(__xludf.DUMMYFUNCTION("IF('From Order'!$A1720=COLUMNS($A1720:C1739), LEFT(INDEX(FILTER(C$1:C1719, C$1:C1719&lt;&gt;""""),COUNTA(FILTER(C$1:C1719, C$1:C1719&lt;&gt;""""))), LEN(INDEX(FILTER(C$1:C1719, C$1:C1719&lt;&gt;""""),COUNTA(FILTER(C$1:C1719, C$1:C1719&lt;&gt;""""))))-1), IF('To Order'!$A1720=COL"&amp;"UMNS($A1720:C1739), C1719&amp;RIGHT(INDIRECT(ADDRESS(ROW(C1720)-1, 'From Order'!$A1720)), 1), C1719))"),"TQVQJPPSSTDDWLLFBP")</f>
        <v>TQVQJPPSSTDDWLLFBP</v>
      </c>
      <c r="D1720" s="2" t="str">
        <f>IFERROR(__xludf.DUMMYFUNCTION("IF('From Order'!$A1720=COLUMNS($A1720:D1739), LEFT(INDEX(FILTER(D$1:D1719, D$1:D1719&lt;&gt;""""),COUNTA(FILTER(D$1:D1719, D$1:D1719&lt;&gt;""""))), LEN(INDEX(FILTER(D$1:D1719, D$1:D1719&lt;&gt;""""),COUNTA(FILTER(D$1:D1719, D$1:D1719&lt;&gt;""""))))-1), IF('To Order'!$A1720=COL"&amp;"UMNS($A1720:D1739), D1719&amp;RIGHT(INDIRECT(ADDRESS(ROW(D1720)-1, 'From Order'!$A1720)), 1), D1719))"),"RBRT")</f>
        <v>RBRT</v>
      </c>
      <c r="E1720" s="2" t="str">
        <f>IFERROR(__xludf.DUMMYFUNCTION("IF('From Order'!$A1720=COLUMNS($A1720:E1739), LEFT(INDEX(FILTER(E$1:E1719, E$1:E1719&lt;&gt;""""),COUNTA(FILTER(E$1:E1719, E$1:E1719&lt;&gt;""""))), LEN(INDEX(FILTER(E$1:E1719, E$1:E1719&lt;&gt;""""),COUNTA(FILTER(E$1:E1719, E$1:E1719&lt;&gt;""""))))-1), IF('To Order'!$A1720=COL"&amp;"UMNS($A1720:E1739), E1719&amp;RIGHT(INDIRECT(ADDRESS(ROW(E1720)-1, 'From Order'!$A1720)), 1), E1719))"),"C")</f>
        <v>C</v>
      </c>
      <c r="F1720" s="2" t="str">
        <f>IFERROR(__xludf.DUMMYFUNCTION("IF('From Order'!$A1720=COLUMNS($A1720:F1739), LEFT(INDEX(FILTER(F$1:F1719, F$1:F1719&lt;&gt;""""),COUNTA(FILTER(F$1:F1719, F$1:F1719&lt;&gt;""""))), LEN(INDEX(FILTER(F$1:F1719, F$1:F1719&lt;&gt;""""),COUNTA(FILTER(F$1:F1719, F$1:F1719&lt;&gt;""""))))-1), IF('To Order'!$A1720=COL"&amp;"UMNS($A1720:F1739), F1719&amp;RIGHT(INDIRECT(ADDRESS(ROW(F1720)-1, 'From Order'!$A1720)), 1), F1719))"),"RDVC")</f>
        <v>RDVC</v>
      </c>
      <c r="G1720" s="2" t="str">
        <f>IFERROR(__xludf.DUMMYFUNCTION("IF('From Order'!$A1720=COLUMNS($A1720:G1739), LEFT(INDEX(FILTER(G$1:G1719, G$1:G1719&lt;&gt;""""),COUNTA(FILTER(G$1:G1719, G$1:G1719&lt;&gt;""""))), LEN(INDEX(FILTER(G$1:G1719, G$1:G1719&lt;&gt;""""),COUNTA(FILTER(G$1:G1719, G$1:G1719&lt;&gt;""""))))-1), IF('To Order'!$A1720=COL"&amp;"UMNS($A1720:G1739), G1719&amp;RIGHT(INDIRECT(ADDRESS(ROW(G1720)-1, 'From Order'!$A1720)), 1), G1719))"),"")</f>
        <v/>
      </c>
      <c r="H1720" s="2" t="str">
        <f>IFERROR(__xludf.DUMMYFUNCTION("IF('From Order'!$A1720=COLUMNS($A1720:H1739), LEFT(INDEX(FILTER(H$1:H1719, H$1:H1719&lt;&gt;""""),COUNTA(FILTER(H$1:H1719, H$1:H1719&lt;&gt;""""))), LEN(INDEX(FILTER(H$1:H1719, H$1:H1719&lt;&gt;""""),COUNTA(FILTER(H$1:H1719, H$1:H1719&lt;&gt;""""))))-1), IF('To Order'!$A1720=COL"&amp;"UMNS($A1720:H1739), H1719&amp;RIGHT(INDIRECT(ADDRESS(ROW(H1720)-1, 'From Order'!$A1720)), 1), H1719))"),"")</f>
        <v/>
      </c>
      <c r="I1720" s="2" t="str">
        <f>IFERROR(__xludf.DUMMYFUNCTION("IF('From Order'!$A1720=COLUMNS($A1720:I1739), LEFT(INDEX(FILTER(I$1:I1719, I$1:I1719&lt;&gt;""""),COUNTA(FILTER(I$1:I1719, I$1:I1719&lt;&gt;""""))), LEN(INDEX(FILTER(I$1:I1719, I$1:I1719&lt;&gt;""""),COUNTA(FILTER(I$1:I1719, I$1:I1719&lt;&gt;""""))))-1), IF('To Order'!$A1720=COL"&amp;"UMNS($A1720:I1739), I1719&amp;RIGHT(INDIRECT(ADDRESS(ROW(I1720)-1, 'From Order'!$A1720)), 1), I1719))"),"")</f>
        <v/>
      </c>
    </row>
    <row r="1721">
      <c r="A1721" s="2" t="str">
        <f>IFERROR(__xludf.DUMMYFUNCTION("IF('From Order'!$A1721=COLUMNS($A1721:A1740), LEFT(INDEX(FILTER(A$1:A1720, A$1:A1720&lt;&gt;""""),COUNTA(FILTER(A$1:A1720, A$1:A1720&lt;&gt;""""))), LEN(INDEX(FILTER(A$1:A1720, A$1:A1720&lt;&gt;""""),COUNTA(FILTER(A$1:A1720, A$1:A1720&lt;&gt;""""))))-1), IF('To Order'!$A1721=COL"&amp;"UMNS($A1721:A1740), A1720&amp;RIGHT(INDIRECT(ADDRESS(ROW(A1721)-1, 'From Order'!$A1721)), 1), A1720))"),"ZHZMTDLDSRRVBMJDMWZCSF")</f>
        <v>ZHZMTDLDSRRVBMJDMWZCSF</v>
      </c>
      <c r="B1721" s="2" t="str">
        <f>IFERROR(__xludf.DUMMYFUNCTION("IF('From Order'!$A1721=COLUMNS($A1721:B1740), LEFT(INDEX(FILTER(B$1:B1720, B$1:B1720&lt;&gt;""""),COUNTA(FILTER(B$1:B1720, B$1:B1720&lt;&gt;""""))), LEN(INDEX(FILTER(B$1:B1720, B$1:B1720&lt;&gt;""""),COUNTA(FILTER(B$1:B1720, B$1:B1720&lt;&gt;""""))))-1), IF('To Order'!$A1721=COL"&amp;"UMNS($A1721:B1740), B1720&amp;RIGHT(INDIRECT(ADDRESS(ROW(B1721)-1, 'From Order'!$A1721)), 1), B1720))"),"GTTJGBH")</f>
        <v>GTTJGBH</v>
      </c>
      <c r="C1721" s="2" t="str">
        <f>IFERROR(__xludf.DUMMYFUNCTION("IF('From Order'!$A1721=COLUMNS($A1721:C1740), LEFT(INDEX(FILTER(C$1:C1720, C$1:C1720&lt;&gt;""""),COUNTA(FILTER(C$1:C1720, C$1:C1720&lt;&gt;""""))), LEN(INDEX(FILTER(C$1:C1720, C$1:C1720&lt;&gt;""""),COUNTA(FILTER(C$1:C1720, C$1:C1720&lt;&gt;""""))))-1), IF('To Order'!$A1721=COL"&amp;"UMNS($A1721:C1740), C1720&amp;RIGHT(INDIRECT(ADDRESS(ROW(C1721)-1, 'From Order'!$A1721)), 1), C1720))"),"TQVQJPPSSTDDWLLFBP")</f>
        <v>TQVQJPPSSTDDWLLFBP</v>
      </c>
      <c r="D1721" s="2" t="str">
        <f>IFERROR(__xludf.DUMMYFUNCTION("IF('From Order'!$A1721=COLUMNS($A1721:D1740), LEFT(INDEX(FILTER(D$1:D1720, D$1:D1720&lt;&gt;""""),COUNTA(FILTER(D$1:D1720, D$1:D1720&lt;&gt;""""))), LEN(INDEX(FILTER(D$1:D1720, D$1:D1720&lt;&gt;""""),COUNTA(FILTER(D$1:D1720, D$1:D1720&lt;&gt;""""))))-1), IF('To Order'!$A1721=COL"&amp;"UMNS($A1721:D1740), D1720&amp;RIGHT(INDIRECT(ADDRESS(ROW(D1721)-1, 'From Order'!$A1721)), 1), D1720))"),"RBRT")</f>
        <v>RBRT</v>
      </c>
      <c r="E1721" s="2" t="str">
        <f>IFERROR(__xludf.DUMMYFUNCTION("IF('From Order'!$A1721=COLUMNS($A1721:E1740), LEFT(INDEX(FILTER(E$1:E1720, E$1:E1720&lt;&gt;""""),COUNTA(FILTER(E$1:E1720, E$1:E1720&lt;&gt;""""))), LEN(INDEX(FILTER(E$1:E1720, E$1:E1720&lt;&gt;""""),COUNTA(FILTER(E$1:E1720, E$1:E1720&lt;&gt;""""))))-1), IF('To Order'!$A1721=COL"&amp;"UMNS($A1721:E1740), E1720&amp;RIGHT(INDIRECT(ADDRESS(ROW(E1721)-1, 'From Order'!$A1721)), 1), E1720))"),"C")</f>
        <v>C</v>
      </c>
      <c r="F1721" s="2" t="str">
        <f>IFERROR(__xludf.DUMMYFUNCTION("IF('From Order'!$A1721=COLUMNS($A1721:F1740), LEFT(INDEX(FILTER(F$1:F1720, F$1:F1720&lt;&gt;""""),COUNTA(FILTER(F$1:F1720, F$1:F1720&lt;&gt;""""))), LEN(INDEX(FILTER(F$1:F1720, F$1:F1720&lt;&gt;""""),COUNTA(FILTER(F$1:F1720, F$1:F1720&lt;&gt;""""))))-1), IF('To Order'!$A1721=COL"&amp;"UMNS($A1721:F1740), F1720&amp;RIGHT(INDIRECT(ADDRESS(ROW(F1721)-1, 'From Order'!$A1721)), 1), F1720))"),"RDVC")</f>
        <v>RDVC</v>
      </c>
      <c r="G1721" s="2" t="str">
        <f>IFERROR(__xludf.DUMMYFUNCTION("IF('From Order'!$A1721=COLUMNS($A1721:G1740), LEFT(INDEX(FILTER(G$1:G1720, G$1:G1720&lt;&gt;""""),COUNTA(FILTER(G$1:G1720, G$1:G1720&lt;&gt;""""))), LEN(INDEX(FILTER(G$1:G1720, G$1:G1720&lt;&gt;""""),COUNTA(FILTER(G$1:G1720, G$1:G1720&lt;&gt;""""))))-1), IF('To Order'!$A1721=COL"&amp;"UMNS($A1721:G1740), G1720&amp;RIGHT(INDIRECT(ADDRESS(ROW(G1721)-1, 'From Order'!$A1721)), 1), G1720))"),"")</f>
        <v/>
      </c>
      <c r="H1721" s="2" t="str">
        <f>IFERROR(__xludf.DUMMYFUNCTION("IF('From Order'!$A1721=COLUMNS($A1721:H1740), LEFT(INDEX(FILTER(H$1:H1720, H$1:H1720&lt;&gt;""""),COUNTA(FILTER(H$1:H1720, H$1:H1720&lt;&gt;""""))), LEN(INDEX(FILTER(H$1:H1720, H$1:H1720&lt;&gt;""""),COUNTA(FILTER(H$1:H1720, H$1:H1720&lt;&gt;""""))))-1), IF('To Order'!$A1721=COL"&amp;"UMNS($A1721:H1740), H1720&amp;RIGHT(INDIRECT(ADDRESS(ROW(H1721)-1, 'From Order'!$A1721)), 1), H1720))"),"")</f>
        <v/>
      </c>
      <c r="I1721" s="2" t="str">
        <f>IFERROR(__xludf.DUMMYFUNCTION("IF('From Order'!$A1721=COLUMNS($A1721:I1740), LEFT(INDEX(FILTER(I$1:I1720, I$1:I1720&lt;&gt;""""),COUNTA(FILTER(I$1:I1720, I$1:I1720&lt;&gt;""""))), LEN(INDEX(FILTER(I$1:I1720, I$1:I1720&lt;&gt;""""),COUNTA(FILTER(I$1:I1720, I$1:I1720&lt;&gt;""""))))-1), IF('To Order'!$A1721=COL"&amp;"UMNS($A1721:I1740), I1720&amp;RIGHT(INDIRECT(ADDRESS(ROW(I1721)-1, 'From Order'!$A1721)), 1), I1720))"),"")</f>
        <v/>
      </c>
    </row>
    <row r="1722">
      <c r="A1722" s="2" t="str">
        <f>IFERROR(__xludf.DUMMYFUNCTION("IF('From Order'!$A1722=COLUMNS($A1722:A1741), LEFT(INDEX(FILTER(A$1:A1721, A$1:A1721&lt;&gt;""""),COUNTA(FILTER(A$1:A1721, A$1:A1721&lt;&gt;""""))), LEN(INDEX(FILTER(A$1:A1721, A$1:A1721&lt;&gt;""""),COUNTA(FILTER(A$1:A1721, A$1:A1721&lt;&gt;""""))))-1), IF('To Order'!$A1722=COL"&amp;"UMNS($A1722:A1741), A1721&amp;RIGHT(INDIRECT(ADDRESS(ROW(A1722)-1, 'From Order'!$A1722)), 1), A1721))"),"ZHZMTDLDSRRVBMJDMWZCS")</f>
        <v>ZHZMTDLDSRRVBMJDMWZCS</v>
      </c>
      <c r="B1722" s="2" t="str">
        <f>IFERROR(__xludf.DUMMYFUNCTION("IF('From Order'!$A1722=COLUMNS($A1722:B1741), LEFT(INDEX(FILTER(B$1:B1721, B$1:B1721&lt;&gt;""""),COUNTA(FILTER(B$1:B1721, B$1:B1721&lt;&gt;""""))), LEN(INDEX(FILTER(B$1:B1721, B$1:B1721&lt;&gt;""""),COUNTA(FILTER(B$1:B1721, B$1:B1721&lt;&gt;""""))))-1), IF('To Order'!$A1722=COL"&amp;"UMNS($A1722:B1741), B1721&amp;RIGHT(INDIRECT(ADDRESS(ROW(B1722)-1, 'From Order'!$A1722)), 1), B1721))"),"GTTJGBHF")</f>
        <v>GTTJGBHF</v>
      </c>
      <c r="C1722" s="2" t="str">
        <f>IFERROR(__xludf.DUMMYFUNCTION("IF('From Order'!$A1722=COLUMNS($A1722:C1741), LEFT(INDEX(FILTER(C$1:C1721, C$1:C1721&lt;&gt;""""),COUNTA(FILTER(C$1:C1721, C$1:C1721&lt;&gt;""""))), LEN(INDEX(FILTER(C$1:C1721, C$1:C1721&lt;&gt;""""),COUNTA(FILTER(C$1:C1721, C$1:C1721&lt;&gt;""""))))-1), IF('To Order'!$A1722=COL"&amp;"UMNS($A1722:C1741), C1721&amp;RIGHT(INDIRECT(ADDRESS(ROW(C1722)-1, 'From Order'!$A1722)), 1), C1721))"),"TQVQJPPSSTDDWLLFBP")</f>
        <v>TQVQJPPSSTDDWLLFBP</v>
      </c>
      <c r="D1722" s="2" t="str">
        <f>IFERROR(__xludf.DUMMYFUNCTION("IF('From Order'!$A1722=COLUMNS($A1722:D1741), LEFT(INDEX(FILTER(D$1:D1721, D$1:D1721&lt;&gt;""""),COUNTA(FILTER(D$1:D1721, D$1:D1721&lt;&gt;""""))), LEN(INDEX(FILTER(D$1:D1721, D$1:D1721&lt;&gt;""""),COUNTA(FILTER(D$1:D1721, D$1:D1721&lt;&gt;""""))))-1), IF('To Order'!$A1722=COL"&amp;"UMNS($A1722:D1741), D1721&amp;RIGHT(INDIRECT(ADDRESS(ROW(D1722)-1, 'From Order'!$A1722)), 1), D1721))"),"RBRT")</f>
        <v>RBRT</v>
      </c>
      <c r="E1722" s="2" t="str">
        <f>IFERROR(__xludf.DUMMYFUNCTION("IF('From Order'!$A1722=COLUMNS($A1722:E1741), LEFT(INDEX(FILTER(E$1:E1721, E$1:E1721&lt;&gt;""""),COUNTA(FILTER(E$1:E1721, E$1:E1721&lt;&gt;""""))), LEN(INDEX(FILTER(E$1:E1721, E$1:E1721&lt;&gt;""""),COUNTA(FILTER(E$1:E1721, E$1:E1721&lt;&gt;""""))))-1), IF('To Order'!$A1722=COL"&amp;"UMNS($A1722:E1741), E1721&amp;RIGHT(INDIRECT(ADDRESS(ROW(E1722)-1, 'From Order'!$A1722)), 1), E1721))"),"C")</f>
        <v>C</v>
      </c>
      <c r="F1722" s="2" t="str">
        <f>IFERROR(__xludf.DUMMYFUNCTION("IF('From Order'!$A1722=COLUMNS($A1722:F1741), LEFT(INDEX(FILTER(F$1:F1721, F$1:F1721&lt;&gt;""""),COUNTA(FILTER(F$1:F1721, F$1:F1721&lt;&gt;""""))), LEN(INDEX(FILTER(F$1:F1721, F$1:F1721&lt;&gt;""""),COUNTA(FILTER(F$1:F1721, F$1:F1721&lt;&gt;""""))))-1), IF('To Order'!$A1722=COL"&amp;"UMNS($A1722:F1741), F1721&amp;RIGHT(INDIRECT(ADDRESS(ROW(F1722)-1, 'From Order'!$A1722)), 1), F1721))"),"RDVC")</f>
        <v>RDVC</v>
      </c>
      <c r="G1722" s="2" t="str">
        <f>IFERROR(__xludf.DUMMYFUNCTION("IF('From Order'!$A1722=COLUMNS($A1722:G1741), LEFT(INDEX(FILTER(G$1:G1721, G$1:G1721&lt;&gt;""""),COUNTA(FILTER(G$1:G1721, G$1:G1721&lt;&gt;""""))), LEN(INDEX(FILTER(G$1:G1721, G$1:G1721&lt;&gt;""""),COUNTA(FILTER(G$1:G1721, G$1:G1721&lt;&gt;""""))))-1), IF('To Order'!$A1722=COL"&amp;"UMNS($A1722:G1741), G1721&amp;RIGHT(INDIRECT(ADDRESS(ROW(G1722)-1, 'From Order'!$A1722)), 1), G1721))"),"")</f>
        <v/>
      </c>
      <c r="H1722" s="2" t="str">
        <f>IFERROR(__xludf.DUMMYFUNCTION("IF('From Order'!$A1722=COLUMNS($A1722:H1741), LEFT(INDEX(FILTER(H$1:H1721, H$1:H1721&lt;&gt;""""),COUNTA(FILTER(H$1:H1721, H$1:H1721&lt;&gt;""""))), LEN(INDEX(FILTER(H$1:H1721, H$1:H1721&lt;&gt;""""),COUNTA(FILTER(H$1:H1721, H$1:H1721&lt;&gt;""""))))-1), IF('To Order'!$A1722=COL"&amp;"UMNS($A1722:H1741), H1721&amp;RIGHT(INDIRECT(ADDRESS(ROW(H1722)-1, 'From Order'!$A1722)), 1), H1721))"),"")</f>
        <v/>
      </c>
      <c r="I1722" s="2" t="str">
        <f>IFERROR(__xludf.DUMMYFUNCTION("IF('From Order'!$A1722=COLUMNS($A1722:I1741), LEFT(INDEX(FILTER(I$1:I1721, I$1:I1721&lt;&gt;""""),COUNTA(FILTER(I$1:I1721, I$1:I1721&lt;&gt;""""))), LEN(INDEX(FILTER(I$1:I1721, I$1:I1721&lt;&gt;""""),COUNTA(FILTER(I$1:I1721, I$1:I1721&lt;&gt;""""))))-1), IF('To Order'!$A1722=COL"&amp;"UMNS($A1722:I1741), I1721&amp;RIGHT(INDIRECT(ADDRESS(ROW(I1722)-1, 'From Order'!$A1722)), 1), I1721))"),"")</f>
        <v/>
      </c>
    </row>
    <row r="1723">
      <c r="A1723" s="2" t="str">
        <f>IFERROR(__xludf.DUMMYFUNCTION("IF('From Order'!$A1723=COLUMNS($A1723:A1742), LEFT(INDEX(FILTER(A$1:A1722, A$1:A1722&lt;&gt;""""),COUNTA(FILTER(A$1:A1722, A$1:A1722&lt;&gt;""""))), LEN(INDEX(FILTER(A$1:A1722, A$1:A1722&lt;&gt;""""),COUNTA(FILTER(A$1:A1722, A$1:A1722&lt;&gt;""""))))-1), IF('To Order'!$A1723=COL"&amp;"UMNS($A1723:A1742), A1722&amp;RIGHT(INDIRECT(ADDRESS(ROW(A1723)-1, 'From Order'!$A1723)), 1), A1722))"),"ZHZMTDLDSRRVBMJDMWZC")</f>
        <v>ZHZMTDLDSRRVBMJDMWZC</v>
      </c>
      <c r="B1723" s="2" t="str">
        <f>IFERROR(__xludf.DUMMYFUNCTION("IF('From Order'!$A1723=COLUMNS($A1723:B1742), LEFT(INDEX(FILTER(B$1:B1722, B$1:B1722&lt;&gt;""""),COUNTA(FILTER(B$1:B1722, B$1:B1722&lt;&gt;""""))), LEN(INDEX(FILTER(B$1:B1722, B$1:B1722&lt;&gt;""""),COUNTA(FILTER(B$1:B1722, B$1:B1722&lt;&gt;""""))))-1), IF('To Order'!$A1723=COL"&amp;"UMNS($A1723:B1742), B1722&amp;RIGHT(INDIRECT(ADDRESS(ROW(B1723)-1, 'From Order'!$A1723)), 1), B1722))"),"GTTJGBHFS")</f>
        <v>GTTJGBHFS</v>
      </c>
      <c r="C1723" s="2" t="str">
        <f>IFERROR(__xludf.DUMMYFUNCTION("IF('From Order'!$A1723=COLUMNS($A1723:C1742), LEFT(INDEX(FILTER(C$1:C1722, C$1:C1722&lt;&gt;""""),COUNTA(FILTER(C$1:C1722, C$1:C1722&lt;&gt;""""))), LEN(INDEX(FILTER(C$1:C1722, C$1:C1722&lt;&gt;""""),COUNTA(FILTER(C$1:C1722, C$1:C1722&lt;&gt;""""))))-1), IF('To Order'!$A1723=COL"&amp;"UMNS($A1723:C1742), C1722&amp;RIGHT(INDIRECT(ADDRESS(ROW(C1723)-1, 'From Order'!$A1723)), 1), C1722))"),"TQVQJPPSSTDDWLLFBP")</f>
        <v>TQVQJPPSSTDDWLLFBP</v>
      </c>
      <c r="D1723" s="2" t="str">
        <f>IFERROR(__xludf.DUMMYFUNCTION("IF('From Order'!$A1723=COLUMNS($A1723:D1742), LEFT(INDEX(FILTER(D$1:D1722, D$1:D1722&lt;&gt;""""),COUNTA(FILTER(D$1:D1722, D$1:D1722&lt;&gt;""""))), LEN(INDEX(FILTER(D$1:D1722, D$1:D1722&lt;&gt;""""),COUNTA(FILTER(D$1:D1722, D$1:D1722&lt;&gt;""""))))-1), IF('To Order'!$A1723=COL"&amp;"UMNS($A1723:D1742), D1722&amp;RIGHT(INDIRECT(ADDRESS(ROW(D1723)-1, 'From Order'!$A1723)), 1), D1722))"),"RBRT")</f>
        <v>RBRT</v>
      </c>
      <c r="E1723" s="2" t="str">
        <f>IFERROR(__xludf.DUMMYFUNCTION("IF('From Order'!$A1723=COLUMNS($A1723:E1742), LEFT(INDEX(FILTER(E$1:E1722, E$1:E1722&lt;&gt;""""),COUNTA(FILTER(E$1:E1722, E$1:E1722&lt;&gt;""""))), LEN(INDEX(FILTER(E$1:E1722, E$1:E1722&lt;&gt;""""),COUNTA(FILTER(E$1:E1722, E$1:E1722&lt;&gt;""""))))-1), IF('To Order'!$A1723=COL"&amp;"UMNS($A1723:E1742), E1722&amp;RIGHT(INDIRECT(ADDRESS(ROW(E1723)-1, 'From Order'!$A1723)), 1), E1722))"),"C")</f>
        <v>C</v>
      </c>
      <c r="F1723" s="2" t="str">
        <f>IFERROR(__xludf.DUMMYFUNCTION("IF('From Order'!$A1723=COLUMNS($A1723:F1742), LEFT(INDEX(FILTER(F$1:F1722, F$1:F1722&lt;&gt;""""),COUNTA(FILTER(F$1:F1722, F$1:F1722&lt;&gt;""""))), LEN(INDEX(FILTER(F$1:F1722, F$1:F1722&lt;&gt;""""),COUNTA(FILTER(F$1:F1722, F$1:F1722&lt;&gt;""""))))-1), IF('To Order'!$A1723=COL"&amp;"UMNS($A1723:F1742), F1722&amp;RIGHT(INDIRECT(ADDRESS(ROW(F1723)-1, 'From Order'!$A1723)), 1), F1722))"),"RDVC")</f>
        <v>RDVC</v>
      </c>
      <c r="G1723" s="2" t="str">
        <f>IFERROR(__xludf.DUMMYFUNCTION("IF('From Order'!$A1723=COLUMNS($A1723:G1742), LEFT(INDEX(FILTER(G$1:G1722, G$1:G1722&lt;&gt;""""),COUNTA(FILTER(G$1:G1722, G$1:G1722&lt;&gt;""""))), LEN(INDEX(FILTER(G$1:G1722, G$1:G1722&lt;&gt;""""),COUNTA(FILTER(G$1:G1722, G$1:G1722&lt;&gt;""""))))-1), IF('To Order'!$A1723=COL"&amp;"UMNS($A1723:G1742), G1722&amp;RIGHT(INDIRECT(ADDRESS(ROW(G1723)-1, 'From Order'!$A1723)), 1), G1722))"),"")</f>
        <v/>
      </c>
      <c r="H1723" s="2" t="str">
        <f>IFERROR(__xludf.DUMMYFUNCTION("IF('From Order'!$A1723=COLUMNS($A1723:H1742), LEFT(INDEX(FILTER(H$1:H1722, H$1:H1722&lt;&gt;""""),COUNTA(FILTER(H$1:H1722, H$1:H1722&lt;&gt;""""))), LEN(INDEX(FILTER(H$1:H1722, H$1:H1722&lt;&gt;""""),COUNTA(FILTER(H$1:H1722, H$1:H1722&lt;&gt;""""))))-1), IF('To Order'!$A1723=COL"&amp;"UMNS($A1723:H1742), H1722&amp;RIGHT(INDIRECT(ADDRESS(ROW(H1723)-1, 'From Order'!$A1723)), 1), H1722))"),"")</f>
        <v/>
      </c>
      <c r="I1723" s="2" t="str">
        <f>IFERROR(__xludf.DUMMYFUNCTION("IF('From Order'!$A1723=COLUMNS($A1723:I1742), LEFT(INDEX(FILTER(I$1:I1722, I$1:I1722&lt;&gt;""""),COUNTA(FILTER(I$1:I1722, I$1:I1722&lt;&gt;""""))), LEN(INDEX(FILTER(I$1:I1722, I$1:I1722&lt;&gt;""""),COUNTA(FILTER(I$1:I1722, I$1:I1722&lt;&gt;""""))))-1), IF('To Order'!$A1723=COL"&amp;"UMNS($A1723:I1742), I1722&amp;RIGHT(INDIRECT(ADDRESS(ROW(I1723)-1, 'From Order'!$A1723)), 1), I1722))"),"")</f>
        <v/>
      </c>
    </row>
    <row r="1724">
      <c r="A1724" s="2" t="str">
        <f>IFERROR(__xludf.DUMMYFUNCTION("IF('From Order'!$A1724=COLUMNS($A1724:A1743), LEFT(INDEX(FILTER(A$1:A1723, A$1:A1723&lt;&gt;""""),COUNTA(FILTER(A$1:A1723, A$1:A1723&lt;&gt;""""))), LEN(INDEX(FILTER(A$1:A1723, A$1:A1723&lt;&gt;""""),COUNTA(FILTER(A$1:A1723, A$1:A1723&lt;&gt;""""))))-1), IF('To Order'!$A1724=COL"&amp;"UMNS($A1724:A1743), A1723&amp;RIGHT(INDIRECT(ADDRESS(ROW(A1724)-1, 'From Order'!$A1724)), 1), A1723))"),"ZHZMTDLDSRRVBMJDMWZ")</f>
        <v>ZHZMTDLDSRRVBMJDMWZ</v>
      </c>
      <c r="B1724" s="2" t="str">
        <f>IFERROR(__xludf.DUMMYFUNCTION("IF('From Order'!$A1724=COLUMNS($A1724:B1743), LEFT(INDEX(FILTER(B$1:B1723, B$1:B1723&lt;&gt;""""),COUNTA(FILTER(B$1:B1723, B$1:B1723&lt;&gt;""""))), LEN(INDEX(FILTER(B$1:B1723, B$1:B1723&lt;&gt;""""),COUNTA(FILTER(B$1:B1723, B$1:B1723&lt;&gt;""""))))-1), IF('To Order'!$A1724=COL"&amp;"UMNS($A1724:B1743), B1723&amp;RIGHT(INDIRECT(ADDRESS(ROW(B1724)-1, 'From Order'!$A1724)), 1), B1723))"),"GTTJGBHFSC")</f>
        <v>GTTJGBHFSC</v>
      </c>
      <c r="C1724" s="2" t="str">
        <f>IFERROR(__xludf.DUMMYFUNCTION("IF('From Order'!$A1724=COLUMNS($A1724:C1743), LEFT(INDEX(FILTER(C$1:C1723, C$1:C1723&lt;&gt;""""),COUNTA(FILTER(C$1:C1723, C$1:C1723&lt;&gt;""""))), LEN(INDEX(FILTER(C$1:C1723, C$1:C1723&lt;&gt;""""),COUNTA(FILTER(C$1:C1723, C$1:C1723&lt;&gt;""""))))-1), IF('To Order'!$A1724=COL"&amp;"UMNS($A1724:C1743), C1723&amp;RIGHT(INDIRECT(ADDRESS(ROW(C1724)-1, 'From Order'!$A1724)), 1), C1723))"),"TQVQJPPSSTDDWLLFBP")</f>
        <v>TQVQJPPSSTDDWLLFBP</v>
      </c>
      <c r="D1724" s="2" t="str">
        <f>IFERROR(__xludf.DUMMYFUNCTION("IF('From Order'!$A1724=COLUMNS($A1724:D1743), LEFT(INDEX(FILTER(D$1:D1723, D$1:D1723&lt;&gt;""""),COUNTA(FILTER(D$1:D1723, D$1:D1723&lt;&gt;""""))), LEN(INDEX(FILTER(D$1:D1723, D$1:D1723&lt;&gt;""""),COUNTA(FILTER(D$1:D1723, D$1:D1723&lt;&gt;""""))))-1), IF('To Order'!$A1724=COL"&amp;"UMNS($A1724:D1743), D1723&amp;RIGHT(INDIRECT(ADDRESS(ROW(D1724)-1, 'From Order'!$A1724)), 1), D1723))"),"RBRT")</f>
        <v>RBRT</v>
      </c>
      <c r="E1724" s="2" t="str">
        <f>IFERROR(__xludf.DUMMYFUNCTION("IF('From Order'!$A1724=COLUMNS($A1724:E1743), LEFT(INDEX(FILTER(E$1:E1723, E$1:E1723&lt;&gt;""""),COUNTA(FILTER(E$1:E1723, E$1:E1723&lt;&gt;""""))), LEN(INDEX(FILTER(E$1:E1723, E$1:E1723&lt;&gt;""""),COUNTA(FILTER(E$1:E1723, E$1:E1723&lt;&gt;""""))))-1), IF('To Order'!$A1724=COL"&amp;"UMNS($A1724:E1743), E1723&amp;RIGHT(INDIRECT(ADDRESS(ROW(E1724)-1, 'From Order'!$A1724)), 1), E1723))"),"C")</f>
        <v>C</v>
      </c>
      <c r="F1724" s="2" t="str">
        <f>IFERROR(__xludf.DUMMYFUNCTION("IF('From Order'!$A1724=COLUMNS($A1724:F1743), LEFT(INDEX(FILTER(F$1:F1723, F$1:F1723&lt;&gt;""""),COUNTA(FILTER(F$1:F1723, F$1:F1723&lt;&gt;""""))), LEN(INDEX(FILTER(F$1:F1723, F$1:F1723&lt;&gt;""""),COUNTA(FILTER(F$1:F1723, F$1:F1723&lt;&gt;""""))))-1), IF('To Order'!$A1724=COL"&amp;"UMNS($A1724:F1743), F1723&amp;RIGHT(INDIRECT(ADDRESS(ROW(F1724)-1, 'From Order'!$A1724)), 1), F1723))"),"RDVC")</f>
        <v>RDVC</v>
      </c>
      <c r="G1724" s="2" t="str">
        <f>IFERROR(__xludf.DUMMYFUNCTION("IF('From Order'!$A1724=COLUMNS($A1724:G1743), LEFT(INDEX(FILTER(G$1:G1723, G$1:G1723&lt;&gt;""""),COUNTA(FILTER(G$1:G1723, G$1:G1723&lt;&gt;""""))), LEN(INDEX(FILTER(G$1:G1723, G$1:G1723&lt;&gt;""""),COUNTA(FILTER(G$1:G1723, G$1:G1723&lt;&gt;""""))))-1), IF('To Order'!$A1724=COL"&amp;"UMNS($A1724:G1743), G1723&amp;RIGHT(INDIRECT(ADDRESS(ROW(G1724)-1, 'From Order'!$A1724)), 1), G1723))"),"")</f>
        <v/>
      </c>
      <c r="H1724" s="2" t="str">
        <f>IFERROR(__xludf.DUMMYFUNCTION("IF('From Order'!$A1724=COLUMNS($A1724:H1743), LEFT(INDEX(FILTER(H$1:H1723, H$1:H1723&lt;&gt;""""),COUNTA(FILTER(H$1:H1723, H$1:H1723&lt;&gt;""""))), LEN(INDEX(FILTER(H$1:H1723, H$1:H1723&lt;&gt;""""),COUNTA(FILTER(H$1:H1723, H$1:H1723&lt;&gt;""""))))-1), IF('To Order'!$A1724=COL"&amp;"UMNS($A1724:H1743), H1723&amp;RIGHT(INDIRECT(ADDRESS(ROW(H1724)-1, 'From Order'!$A1724)), 1), H1723))"),"")</f>
        <v/>
      </c>
      <c r="I1724" s="2" t="str">
        <f>IFERROR(__xludf.DUMMYFUNCTION("IF('From Order'!$A1724=COLUMNS($A1724:I1743), LEFT(INDEX(FILTER(I$1:I1723, I$1:I1723&lt;&gt;""""),COUNTA(FILTER(I$1:I1723, I$1:I1723&lt;&gt;""""))), LEN(INDEX(FILTER(I$1:I1723, I$1:I1723&lt;&gt;""""),COUNTA(FILTER(I$1:I1723, I$1:I1723&lt;&gt;""""))))-1), IF('To Order'!$A1724=COL"&amp;"UMNS($A1724:I1743), I1723&amp;RIGHT(INDIRECT(ADDRESS(ROW(I1724)-1, 'From Order'!$A1724)), 1), I1723))"),"")</f>
        <v/>
      </c>
    </row>
    <row r="1725">
      <c r="A1725" s="2" t="str">
        <f>IFERROR(__xludf.DUMMYFUNCTION("IF('From Order'!$A1725=COLUMNS($A1725:A1744), LEFT(INDEX(FILTER(A$1:A1724, A$1:A1724&lt;&gt;""""),COUNTA(FILTER(A$1:A1724, A$1:A1724&lt;&gt;""""))), LEN(INDEX(FILTER(A$1:A1724, A$1:A1724&lt;&gt;""""),COUNTA(FILTER(A$1:A1724, A$1:A1724&lt;&gt;""""))))-1), IF('To Order'!$A1725=COL"&amp;"UMNS($A1725:A1744), A1724&amp;RIGHT(INDIRECT(ADDRESS(ROW(A1725)-1, 'From Order'!$A1725)), 1), A1724))"),"ZHZMTDLDSRRVBMJDMW")</f>
        <v>ZHZMTDLDSRRVBMJDMW</v>
      </c>
      <c r="B1725" s="2" t="str">
        <f>IFERROR(__xludf.DUMMYFUNCTION("IF('From Order'!$A1725=COLUMNS($A1725:B1744), LEFT(INDEX(FILTER(B$1:B1724, B$1:B1724&lt;&gt;""""),COUNTA(FILTER(B$1:B1724, B$1:B1724&lt;&gt;""""))), LEN(INDEX(FILTER(B$1:B1724, B$1:B1724&lt;&gt;""""),COUNTA(FILTER(B$1:B1724, B$1:B1724&lt;&gt;""""))))-1), IF('To Order'!$A1725=COL"&amp;"UMNS($A1725:B1744), B1724&amp;RIGHT(INDIRECT(ADDRESS(ROW(B1725)-1, 'From Order'!$A1725)), 1), B1724))"),"GTTJGBHFSCZ")</f>
        <v>GTTJGBHFSCZ</v>
      </c>
      <c r="C1725" s="2" t="str">
        <f>IFERROR(__xludf.DUMMYFUNCTION("IF('From Order'!$A1725=COLUMNS($A1725:C1744), LEFT(INDEX(FILTER(C$1:C1724, C$1:C1724&lt;&gt;""""),COUNTA(FILTER(C$1:C1724, C$1:C1724&lt;&gt;""""))), LEN(INDEX(FILTER(C$1:C1724, C$1:C1724&lt;&gt;""""),COUNTA(FILTER(C$1:C1724, C$1:C1724&lt;&gt;""""))))-1), IF('To Order'!$A1725=COL"&amp;"UMNS($A1725:C1744), C1724&amp;RIGHT(INDIRECT(ADDRESS(ROW(C1725)-1, 'From Order'!$A1725)), 1), C1724))"),"TQVQJPPSSTDDWLLFBP")</f>
        <v>TQVQJPPSSTDDWLLFBP</v>
      </c>
      <c r="D1725" s="2" t="str">
        <f>IFERROR(__xludf.DUMMYFUNCTION("IF('From Order'!$A1725=COLUMNS($A1725:D1744), LEFT(INDEX(FILTER(D$1:D1724, D$1:D1724&lt;&gt;""""),COUNTA(FILTER(D$1:D1724, D$1:D1724&lt;&gt;""""))), LEN(INDEX(FILTER(D$1:D1724, D$1:D1724&lt;&gt;""""),COUNTA(FILTER(D$1:D1724, D$1:D1724&lt;&gt;""""))))-1), IF('To Order'!$A1725=COL"&amp;"UMNS($A1725:D1744), D1724&amp;RIGHT(INDIRECT(ADDRESS(ROW(D1725)-1, 'From Order'!$A1725)), 1), D1724))"),"RBRT")</f>
        <v>RBRT</v>
      </c>
      <c r="E1725" s="2" t="str">
        <f>IFERROR(__xludf.DUMMYFUNCTION("IF('From Order'!$A1725=COLUMNS($A1725:E1744), LEFT(INDEX(FILTER(E$1:E1724, E$1:E1724&lt;&gt;""""),COUNTA(FILTER(E$1:E1724, E$1:E1724&lt;&gt;""""))), LEN(INDEX(FILTER(E$1:E1724, E$1:E1724&lt;&gt;""""),COUNTA(FILTER(E$1:E1724, E$1:E1724&lt;&gt;""""))))-1), IF('To Order'!$A1725=COL"&amp;"UMNS($A1725:E1744), E1724&amp;RIGHT(INDIRECT(ADDRESS(ROW(E1725)-1, 'From Order'!$A1725)), 1), E1724))"),"C")</f>
        <v>C</v>
      </c>
      <c r="F1725" s="2" t="str">
        <f>IFERROR(__xludf.DUMMYFUNCTION("IF('From Order'!$A1725=COLUMNS($A1725:F1744), LEFT(INDEX(FILTER(F$1:F1724, F$1:F1724&lt;&gt;""""),COUNTA(FILTER(F$1:F1724, F$1:F1724&lt;&gt;""""))), LEN(INDEX(FILTER(F$1:F1724, F$1:F1724&lt;&gt;""""),COUNTA(FILTER(F$1:F1724, F$1:F1724&lt;&gt;""""))))-1), IF('To Order'!$A1725=COL"&amp;"UMNS($A1725:F1744), F1724&amp;RIGHT(INDIRECT(ADDRESS(ROW(F1725)-1, 'From Order'!$A1725)), 1), F1724))"),"RDVC")</f>
        <v>RDVC</v>
      </c>
      <c r="G1725" s="2" t="str">
        <f>IFERROR(__xludf.DUMMYFUNCTION("IF('From Order'!$A1725=COLUMNS($A1725:G1744), LEFT(INDEX(FILTER(G$1:G1724, G$1:G1724&lt;&gt;""""),COUNTA(FILTER(G$1:G1724, G$1:G1724&lt;&gt;""""))), LEN(INDEX(FILTER(G$1:G1724, G$1:G1724&lt;&gt;""""),COUNTA(FILTER(G$1:G1724, G$1:G1724&lt;&gt;""""))))-1), IF('To Order'!$A1725=COL"&amp;"UMNS($A1725:G1744), G1724&amp;RIGHT(INDIRECT(ADDRESS(ROW(G1725)-1, 'From Order'!$A1725)), 1), G1724))"),"")</f>
        <v/>
      </c>
      <c r="H1725" s="2" t="str">
        <f>IFERROR(__xludf.DUMMYFUNCTION("IF('From Order'!$A1725=COLUMNS($A1725:H1744), LEFT(INDEX(FILTER(H$1:H1724, H$1:H1724&lt;&gt;""""),COUNTA(FILTER(H$1:H1724, H$1:H1724&lt;&gt;""""))), LEN(INDEX(FILTER(H$1:H1724, H$1:H1724&lt;&gt;""""),COUNTA(FILTER(H$1:H1724, H$1:H1724&lt;&gt;""""))))-1), IF('To Order'!$A1725=COL"&amp;"UMNS($A1725:H1744), H1724&amp;RIGHT(INDIRECT(ADDRESS(ROW(H1725)-1, 'From Order'!$A1725)), 1), H1724))"),"")</f>
        <v/>
      </c>
      <c r="I1725" s="2" t="str">
        <f>IFERROR(__xludf.DUMMYFUNCTION("IF('From Order'!$A1725=COLUMNS($A1725:I1744), LEFT(INDEX(FILTER(I$1:I1724, I$1:I1724&lt;&gt;""""),COUNTA(FILTER(I$1:I1724, I$1:I1724&lt;&gt;""""))), LEN(INDEX(FILTER(I$1:I1724, I$1:I1724&lt;&gt;""""),COUNTA(FILTER(I$1:I1724, I$1:I1724&lt;&gt;""""))))-1), IF('To Order'!$A1725=COL"&amp;"UMNS($A1725:I1744), I1724&amp;RIGHT(INDIRECT(ADDRESS(ROW(I1725)-1, 'From Order'!$A1725)), 1), I1724))"),"")</f>
        <v/>
      </c>
    </row>
    <row r="1726">
      <c r="A1726" s="2" t="str">
        <f>IFERROR(__xludf.DUMMYFUNCTION("IF('From Order'!$A1726=COLUMNS($A1726:A1745), LEFT(INDEX(FILTER(A$1:A1725, A$1:A1725&lt;&gt;""""),COUNTA(FILTER(A$1:A1725, A$1:A1725&lt;&gt;""""))), LEN(INDEX(FILTER(A$1:A1725, A$1:A1725&lt;&gt;""""),COUNTA(FILTER(A$1:A1725, A$1:A1725&lt;&gt;""""))))-1), IF('To Order'!$A1726=COL"&amp;"UMNS($A1726:A1745), A1725&amp;RIGHT(INDIRECT(ADDRESS(ROW(A1726)-1, 'From Order'!$A1726)), 1), A1725))"),"ZHZMTDLDSRRVBMJDM")</f>
        <v>ZHZMTDLDSRRVBMJDM</v>
      </c>
      <c r="B1726" s="2" t="str">
        <f>IFERROR(__xludf.DUMMYFUNCTION("IF('From Order'!$A1726=COLUMNS($A1726:B1745), LEFT(INDEX(FILTER(B$1:B1725, B$1:B1725&lt;&gt;""""),COUNTA(FILTER(B$1:B1725, B$1:B1725&lt;&gt;""""))), LEN(INDEX(FILTER(B$1:B1725, B$1:B1725&lt;&gt;""""),COUNTA(FILTER(B$1:B1725, B$1:B1725&lt;&gt;""""))))-1), IF('To Order'!$A1726=COL"&amp;"UMNS($A1726:B1745), B1725&amp;RIGHT(INDIRECT(ADDRESS(ROW(B1726)-1, 'From Order'!$A1726)), 1), B1725))"),"GTTJGBHFSCZW")</f>
        <v>GTTJGBHFSCZW</v>
      </c>
      <c r="C1726" s="2" t="str">
        <f>IFERROR(__xludf.DUMMYFUNCTION("IF('From Order'!$A1726=COLUMNS($A1726:C1745), LEFT(INDEX(FILTER(C$1:C1725, C$1:C1725&lt;&gt;""""),COUNTA(FILTER(C$1:C1725, C$1:C1725&lt;&gt;""""))), LEN(INDEX(FILTER(C$1:C1725, C$1:C1725&lt;&gt;""""),COUNTA(FILTER(C$1:C1725, C$1:C1725&lt;&gt;""""))))-1), IF('To Order'!$A1726=COL"&amp;"UMNS($A1726:C1745), C1725&amp;RIGHT(INDIRECT(ADDRESS(ROW(C1726)-1, 'From Order'!$A1726)), 1), C1725))"),"TQVQJPPSSTDDWLLFBP")</f>
        <v>TQVQJPPSSTDDWLLFBP</v>
      </c>
      <c r="D1726" s="2" t="str">
        <f>IFERROR(__xludf.DUMMYFUNCTION("IF('From Order'!$A1726=COLUMNS($A1726:D1745), LEFT(INDEX(FILTER(D$1:D1725, D$1:D1725&lt;&gt;""""),COUNTA(FILTER(D$1:D1725, D$1:D1725&lt;&gt;""""))), LEN(INDEX(FILTER(D$1:D1725, D$1:D1725&lt;&gt;""""),COUNTA(FILTER(D$1:D1725, D$1:D1725&lt;&gt;""""))))-1), IF('To Order'!$A1726=COL"&amp;"UMNS($A1726:D1745), D1725&amp;RIGHT(INDIRECT(ADDRESS(ROW(D1726)-1, 'From Order'!$A1726)), 1), D1725))"),"RBRT")</f>
        <v>RBRT</v>
      </c>
      <c r="E1726" s="2" t="str">
        <f>IFERROR(__xludf.DUMMYFUNCTION("IF('From Order'!$A1726=COLUMNS($A1726:E1745), LEFT(INDEX(FILTER(E$1:E1725, E$1:E1725&lt;&gt;""""),COUNTA(FILTER(E$1:E1725, E$1:E1725&lt;&gt;""""))), LEN(INDEX(FILTER(E$1:E1725, E$1:E1725&lt;&gt;""""),COUNTA(FILTER(E$1:E1725, E$1:E1725&lt;&gt;""""))))-1), IF('To Order'!$A1726=COL"&amp;"UMNS($A1726:E1745), E1725&amp;RIGHT(INDIRECT(ADDRESS(ROW(E1726)-1, 'From Order'!$A1726)), 1), E1725))"),"C")</f>
        <v>C</v>
      </c>
      <c r="F1726" s="2" t="str">
        <f>IFERROR(__xludf.DUMMYFUNCTION("IF('From Order'!$A1726=COLUMNS($A1726:F1745), LEFT(INDEX(FILTER(F$1:F1725, F$1:F1725&lt;&gt;""""),COUNTA(FILTER(F$1:F1725, F$1:F1725&lt;&gt;""""))), LEN(INDEX(FILTER(F$1:F1725, F$1:F1725&lt;&gt;""""),COUNTA(FILTER(F$1:F1725, F$1:F1725&lt;&gt;""""))))-1), IF('To Order'!$A1726=COL"&amp;"UMNS($A1726:F1745), F1725&amp;RIGHT(INDIRECT(ADDRESS(ROW(F1726)-1, 'From Order'!$A1726)), 1), F1725))"),"RDVC")</f>
        <v>RDVC</v>
      </c>
      <c r="G1726" s="2" t="str">
        <f>IFERROR(__xludf.DUMMYFUNCTION("IF('From Order'!$A1726=COLUMNS($A1726:G1745), LEFT(INDEX(FILTER(G$1:G1725, G$1:G1725&lt;&gt;""""),COUNTA(FILTER(G$1:G1725, G$1:G1725&lt;&gt;""""))), LEN(INDEX(FILTER(G$1:G1725, G$1:G1725&lt;&gt;""""),COUNTA(FILTER(G$1:G1725, G$1:G1725&lt;&gt;""""))))-1), IF('To Order'!$A1726=COL"&amp;"UMNS($A1726:G1745), G1725&amp;RIGHT(INDIRECT(ADDRESS(ROW(G1726)-1, 'From Order'!$A1726)), 1), G1725))"),"")</f>
        <v/>
      </c>
      <c r="H1726" s="2" t="str">
        <f>IFERROR(__xludf.DUMMYFUNCTION("IF('From Order'!$A1726=COLUMNS($A1726:H1745), LEFT(INDEX(FILTER(H$1:H1725, H$1:H1725&lt;&gt;""""),COUNTA(FILTER(H$1:H1725, H$1:H1725&lt;&gt;""""))), LEN(INDEX(FILTER(H$1:H1725, H$1:H1725&lt;&gt;""""),COUNTA(FILTER(H$1:H1725, H$1:H1725&lt;&gt;""""))))-1), IF('To Order'!$A1726=COL"&amp;"UMNS($A1726:H1745), H1725&amp;RIGHT(INDIRECT(ADDRESS(ROW(H1726)-1, 'From Order'!$A1726)), 1), H1725))"),"")</f>
        <v/>
      </c>
      <c r="I1726" s="2" t="str">
        <f>IFERROR(__xludf.DUMMYFUNCTION("IF('From Order'!$A1726=COLUMNS($A1726:I1745), LEFT(INDEX(FILTER(I$1:I1725, I$1:I1725&lt;&gt;""""),COUNTA(FILTER(I$1:I1725, I$1:I1725&lt;&gt;""""))), LEN(INDEX(FILTER(I$1:I1725, I$1:I1725&lt;&gt;""""),COUNTA(FILTER(I$1:I1725, I$1:I1725&lt;&gt;""""))))-1), IF('To Order'!$A1726=COL"&amp;"UMNS($A1726:I1745), I1725&amp;RIGHT(INDIRECT(ADDRESS(ROW(I1726)-1, 'From Order'!$A1726)), 1), I1725))"),"")</f>
        <v/>
      </c>
    </row>
    <row r="1727">
      <c r="A1727" s="2" t="str">
        <f>IFERROR(__xludf.DUMMYFUNCTION("IF('From Order'!$A1727=COLUMNS($A1727:A1746), LEFT(INDEX(FILTER(A$1:A1726, A$1:A1726&lt;&gt;""""),COUNTA(FILTER(A$1:A1726, A$1:A1726&lt;&gt;""""))), LEN(INDEX(FILTER(A$1:A1726, A$1:A1726&lt;&gt;""""),COUNTA(FILTER(A$1:A1726, A$1:A1726&lt;&gt;""""))))-1), IF('To Order'!$A1727=COL"&amp;"UMNS($A1727:A1746), A1726&amp;RIGHT(INDIRECT(ADDRESS(ROW(A1727)-1, 'From Order'!$A1727)), 1), A1726))"),"ZHZMTDLDSRRVBMJD")</f>
        <v>ZHZMTDLDSRRVBMJD</v>
      </c>
      <c r="B1727" s="2" t="str">
        <f>IFERROR(__xludf.DUMMYFUNCTION("IF('From Order'!$A1727=COLUMNS($A1727:B1746), LEFT(INDEX(FILTER(B$1:B1726, B$1:B1726&lt;&gt;""""),COUNTA(FILTER(B$1:B1726, B$1:B1726&lt;&gt;""""))), LEN(INDEX(FILTER(B$1:B1726, B$1:B1726&lt;&gt;""""),COUNTA(FILTER(B$1:B1726, B$1:B1726&lt;&gt;""""))))-1), IF('To Order'!$A1727=COL"&amp;"UMNS($A1727:B1746), B1726&amp;RIGHT(INDIRECT(ADDRESS(ROW(B1727)-1, 'From Order'!$A1727)), 1), B1726))"),"GTTJGBHFSCZW")</f>
        <v>GTTJGBHFSCZW</v>
      </c>
      <c r="C1727" s="2" t="str">
        <f>IFERROR(__xludf.DUMMYFUNCTION("IF('From Order'!$A1727=COLUMNS($A1727:C1746), LEFT(INDEX(FILTER(C$1:C1726, C$1:C1726&lt;&gt;""""),COUNTA(FILTER(C$1:C1726, C$1:C1726&lt;&gt;""""))), LEN(INDEX(FILTER(C$1:C1726, C$1:C1726&lt;&gt;""""),COUNTA(FILTER(C$1:C1726, C$1:C1726&lt;&gt;""""))))-1), IF('To Order'!$A1727=COL"&amp;"UMNS($A1727:C1746), C1726&amp;RIGHT(INDIRECT(ADDRESS(ROW(C1727)-1, 'From Order'!$A1727)), 1), C1726))"),"TQVQJPPSSTDDWLLFBP")</f>
        <v>TQVQJPPSSTDDWLLFBP</v>
      </c>
      <c r="D1727" s="2" t="str">
        <f>IFERROR(__xludf.DUMMYFUNCTION("IF('From Order'!$A1727=COLUMNS($A1727:D1746), LEFT(INDEX(FILTER(D$1:D1726, D$1:D1726&lt;&gt;""""),COUNTA(FILTER(D$1:D1726, D$1:D1726&lt;&gt;""""))), LEN(INDEX(FILTER(D$1:D1726, D$1:D1726&lt;&gt;""""),COUNTA(FILTER(D$1:D1726, D$1:D1726&lt;&gt;""""))))-1), IF('To Order'!$A1727=COL"&amp;"UMNS($A1727:D1746), D1726&amp;RIGHT(INDIRECT(ADDRESS(ROW(D1727)-1, 'From Order'!$A1727)), 1), D1726))"),"RBRT")</f>
        <v>RBRT</v>
      </c>
      <c r="E1727" s="2" t="str">
        <f>IFERROR(__xludf.DUMMYFUNCTION("IF('From Order'!$A1727=COLUMNS($A1727:E1746), LEFT(INDEX(FILTER(E$1:E1726, E$1:E1726&lt;&gt;""""),COUNTA(FILTER(E$1:E1726, E$1:E1726&lt;&gt;""""))), LEN(INDEX(FILTER(E$1:E1726, E$1:E1726&lt;&gt;""""),COUNTA(FILTER(E$1:E1726, E$1:E1726&lt;&gt;""""))))-1), IF('To Order'!$A1727=COL"&amp;"UMNS($A1727:E1746), E1726&amp;RIGHT(INDIRECT(ADDRESS(ROW(E1727)-1, 'From Order'!$A1727)), 1), E1726))"),"C")</f>
        <v>C</v>
      </c>
      <c r="F1727" s="2" t="str">
        <f>IFERROR(__xludf.DUMMYFUNCTION("IF('From Order'!$A1727=COLUMNS($A1727:F1746), LEFT(INDEX(FILTER(F$1:F1726, F$1:F1726&lt;&gt;""""),COUNTA(FILTER(F$1:F1726, F$1:F1726&lt;&gt;""""))), LEN(INDEX(FILTER(F$1:F1726, F$1:F1726&lt;&gt;""""),COUNTA(FILTER(F$1:F1726, F$1:F1726&lt;&gt;""""))))-1), IF('To Order'!$A1727=COL"&amp;"UMNS($A1727:F1746), F1726&amp;RIGHT(INDIRECT(ADDRESS(ROW(F1727)-1, 'From Order'!$A1727)), 1), F1726))"),"RDVC")</f>
        <v>RDVC</v>
      </c>
      <c r="G1727" s="2" t="str">
        <f>IFERROR(__xludf.DUMMYFUNCTION("IF('From Order'!$A1727=COLUMNS($A1727:G1746), LEFT(INDEX(FILTER(G$1:G1726, G$1:G1726&lt;&gt;""""),COUNTA(FILTER(G$1:G1726, G$1:G1726&lt;&gt;""""))), LEN(INDEX(FILTER(G$1:G1726, G$1:G1726&lt;&gt;""""),COUNTA(FILTER(G$1:G1726, G$1:G1726&lt;&gt;""""))))-1), IF('To Order'!$A1727=COL"&amp;"UMNS($A1727:G1746), G1726&amp;RIGHT(INDIRECT(ADDRESS(ROW(G1727)-1, 'From Order'!$A1727)), 1), G1726))"),"M")</f>
        <v>M</v>
      </c>
      <c r="H1727" s="2" t="str">
        <f>IFERROR(__xludf.DUMMYFUNCTION("IF('From Order'!$A1727=COLUMNS($A1727:H1746), LEFT(INDEX(FILTER(H$1:H1726, H$1:H1726&lt;&gt;""""),COUNTA(FILTER(H$1:H1726, H$1:H1726&lt;&gt;""""))), LEN(INDEX(FILTER(H$1:H1726, H$1:H1726&lt;&gt;""""),COUNTA(FILTER(H$1:H1726, H$1:H1726&lt;&gt;""""))))-1), IF('To Order'!$A1727=COL"&amp;"UMNS($A1727:H1746), H1726&amp;RIGHT(INDIRECT(ADDRESS(ROW(H1727)-1, 'From Order'!$A1727)), 1), H1726))"),"")</f>
        <v/>
      </c>
      <c r="I1727" s="2" t="str">
        <f>IFERROR(__xludf.DUMMYFUNCTION("IF('From Order'!$A1727=COLUMNS($A1727:I1746), LEFT(INDEX(FILTER(I$1:I1726, I$1:I1726&lt;&gt;""""),COUNTA(FILTER(I$1:I1726, I$1:I1726&lt;&gt;""""))), LEN(INDEX(FILTER(I$1:I1726, I$1:I1726&lt;&gt;""""),COUNTA(FILTER(I$1:I1726, I$1:I1726&lt;&gt;""""))))-1), IF('To Order'!$A1727=COL"&amp;"UMNS($A1727:I1746), I1726&amp;RIGHT(INDIRECT(ADDRESS(ROW(I1727)-1, 'From Order'!$A1727)), 1), I1726))"),"")</f>
        <v/>
      </c>
    </row>
    <row r="1728">
      <c r="A1728" s="2" t="str">
        <f>IFERROR(__xludf.DUMMYFUNCTION("IF('From Order'!$A1728=COLUMNS($A1728:A1747), LEFT(INDEX(FILTER(A$1:A1727, A$1:A1727&lt;&gt;""""),COUNTA(FILTER(A$1:A1727, A$1:A1727&lt;&gt;""""))), LEN(INDEX(FILTER(A$1:A1727, A$1:A1727&lt;&gt;""""),COUNTA(FILTER(A$1:A1727, A$1:A1727&lt;&gt;""""))))-1), IF('To Order'!$A1728=COL"&amp;"UMNS($A1728:A1747), A1727&amp;RIGHT(INDIRECT(ADDRESS(ROW(A1728)-1, 'From Order'!$A1728)), 1), A1727))"),"ZHZMTDLDSRRVBMJ")</f>
        <v>ZHZMTDLDSRRVBMJ</v>
      </c>
      <c r="B1728" s="2" t="str">
        <f>IFERROR(__xludf.DUMMYFUNCTION("IF('From Order'!$A1728=COLUMNS($A1728:B1747), LEFT(INDEX(FILTER(B$1:B1727, B$1:B1727&lt;&gt;""""),COUNTA(FILTER(B$1:B1727, B$1:B1727&lt;&gt;""""))), LEN(INDEX(FILTER(B$1:B1727, B$1:B1727&lt;&gt;""""),COUNTA(FILTER(B$1:B1727, B$1:B1727&lt;&gt;""""))))-1), IF('To Order'!$A1728=COL"&amp;"UMNS($A1728:B1747), B1727&amp;RIGHT(INDIRECT(ADDRESS(ROW(B1728)-1, 'From Order'!$A1728)), 1), B1727))"),"GTTJGBHFSCZW")</f>
        <v>GTTJGBHFSCZW</v>
      </c>
      <c r="C1728" s="2" t="str">
        <f>IFERROR(__xludf.DUMMYFUNCTION("IF('From Order'!$A1728=COLUMNS($A1728:C1747), LEFT(INDEX(FILTER(C$1:C1727, C$1:C1727&lt;&gt;""""),COUNTA(FILTER(C$1:C1727, C$1:C1727&lt;&gt;""""))), LEN(INDEX(FILTER(C$1:C1727, C$1:C1727&lt;&gt;""""),COUNTA(FILTER(C$1:C1727, C$1:C1727&lt;&gt;""""))))-1), IF('To Order'!$A1728=COL"&amp;"UMNS($A1728:C1747), C1727&amp;RIGHT(INDIRECT(ADDRESS(ROW(C1728)-1, 'From Order'!$A1728)), 1), C1727))"),"TQVQJPPSSTDDWLLFBP")</f>
        <v>TQVQJPPSSTDDWLLFBP</v>
      </c>
      <c r="D1728" s="2" t="str">
        <f>IFERROR(__xludf.DUMMYFUNCTION("IF('From Order'!$A1728=COLUMNS($A1728:D1747), LEFT(INDEX(FILTER(D$1:D1727, D$1:D1727&lt;&gt;""""),COUNTA(FILTER(D$1:D1727, D$1:D1727&lt;&gt;""""))), LEN(INDEX(FILTER(D$1:D1727, D$1:D1727&lt;&gt;""""),COUNTA(FILTER(D$1:D1727, D$1:D1727&lt;&gt;""""))))-1), IF('To Order'!$A1728=COL"&amp;"UMNS($A1728:D1747), D1727&amp;RIGHT(INDIRECT(ADDRESS(ROW(D1728)-1, 'From Order'!$A1728)), 1), D1727))"),"RBRT")</f>
        <v>RBRT</v>
      </c>
      <c r="E1728" s="2" t="str">
        <f>IFERROR(__xludf.DUMMYFUNCTION("IF('From Order'!$A1728=COLUMNS($A1728:E1747), LEFT(INDEX(FILTER(E$1:E1727, E$1:E1727&lt;&gt;""""),COUNTA(FILTER(E$1:E1727, E$1:E1727&lt;&gt;""""))), LEN(INDEX(FILTER(E$1:E1727, E$1:E1727&lt;&gt;""""),COUNTA(FILTER(E$1:E1727, E$1:E1727&lt;&gt;""""))))-1), IF('To Order'!$A1728=COL"&amp;"UMNS($A1728:E1747), E1727&amp;RIGHT(INDIRECT(ADDRESS(ROW(E1728)-1, 'From Order'!$A1728)), 1), E1727))"),"C")</f>
        <v>C</v>
      </c>
      <c r="F1728" s="2" t="str">
        <f>IFERROR(__xludf.DUMMYFUNCTION("IF('From Order'!$A1728=COLUMNS($A1728:F1747), LEFT(INDEX(FILTER(F$1:F1727, F$1:F1727&lt;&gt;""""),COUNTA(FILTER(F$1:F1727, F$1:F1727&lt;&gt;""""))), LEN(INDEX(FILTER(F$1:F1727, F$1:F1727&lt;&gt;""""),COUNTA(FILTER(F$1:F1727, F$1:F1727&lt;&gt;""""))))-1), IF('To Order'!$A1728=COL"&amp;"UMNS($A1728:F1747), F1727&amp;RIGHT(INDIRECT(ADDRESS(ROW(F1728)-1, 'From Order'!$A1728)), 1), F1727))"),"RDVC")</f>
        <v>RDVC</v>
      </c>
      <c r="G1728" s="2" t="str">
        <f>IFERROR(__xludf.DUMMYFUNCTION("IF('From Order'!$A1728=COLUMNS($A1728:G1747), LEFT(INDEX(FILTER(G$1:G1727, G$1:G1727&lt;&gt;""""),COUNTA(FILTER(G$1:G1727, G$1:G1727&lt;&gt;""""))), LEN(INDEX(FILTER(G$1:G1727, G$1:G1727&lt;&gt;""""),COUNTA(FILTER(G$1:G1727, G$1:G1727&lt;&gt;""""))))-1), IF('To Order'!$A1728=COL"&amp;"UMNS($A1728:G1747), G1727&amp;RIGHT(INDIRECT(ADDRESS(ROW(G1728)-1, 'From Order'!$A1728)), 1), G1727))"),"MD")</f>
        <v>MD</v>
      </c>
      <c r="H1728" s="2" t="str">
        <f>IFERROR(__xludf.DUMMYFUNCTION("IF('From Order'!$A1728=COLUMNS($A1728:H1747), LEFT(INDEX(FILTER(H$1:H1727, H$1:H1727&lt;&gt;""""),COUNTA(FILTER(H$1:H1727, H$1:H1727&lt;&gt;""""))), LEN(INDEX(FILTER(H$1:H1727, H$1:H1727&lt;&gt;""""),COUNTA(FILTER(H$1:H1727, H$1:H1727&lt;&gt;""""))))-1), IF('To Order'!$A1728=COL"&amp;"UMNS($A1728:H1747), H1727&amp;RIGHT(INDIRECT(ADDRESS(ROW(H1728)-1, 'From Order'!$A1728)), 1), H1727))"),"")</f>
        <v/>
      </c>
      <c r="I1728" s="2" t="str">
        <f>IFERROR(__xludf.DUMMYFUNCTION("IF('From Order'!$A1728=COLUMNS($A1728:I1747), LEFT(INDEX(FILTER(I$1:I1727, I$1:I1727&lt;&gt;""""),COUNTA(FILTER(I$1:I1727, I$1:I1727&lt;&gt;""""))), LEN(INDEX(FILTER(I$1:I1727, I$1:I1727&lt;&gt;""""),COUNTA(FILTER(I$1:I1727, I$1:I1727&lt;&gt;""""))))-1), IF('To Order'!$A1728=COL"&amp;"UMNS($A1728:I1747), I1727&amp;RIGHT(INDIRECT(ADDRESS(ROW(I1728)-1, 'From Order'!$A1728)), 1), I1727))"),"")</f>
        <v/>
      </c>
    </row>
    <row r="1729">
      <c r="A1729" s="2" t="str">
        <f>IFERROR(__xludf.DUMMYFUNCTION("IF('From Order'!$A1729=COLUMNS($A1729:A1748), LEFT(INDEX(FILTER(A$1:A1728, A$1:A1728&lt;&gt;""""),COUNTA(FILTER(A$1:A1728, A$1:A1728&lt;&gt;""""))), LEN(INDEX(FILTER(A$1:A1728, A$1:A1728&lt;&gt;""""),COUNTA(FILTER(A$1:A1728, A$1:A1728&lt;&gt;""""))))-1), IF('To Order'!$A1729=COL"&amp;"UMNS($A1729:A1748), A1728&amp;RIGHT(INDIRECT(ADDRESS(ROW(A1729)-1, 'From Order'!$A1729)), 1), A1728))"),"ZHZMTDLDSRRVBM")</f>
        <v>ZHZMTDLDSRRVBM</v>
      </c>
      <c r="B1729" s="2" t="str">
        <f>IFERROR(__xludf.DUMMYFUNCTION("IF('From Order'!$A1729=COLUMNS($A1729:B1748), LEFT(INDEX(FILTER(B$1:B1728, B$1:B1728&lt;&gt;""""),COUNTA(FILTER(B$1:B1728, B$1:B1728&lt;&gt;""""))), LEN(INDEX(FILTER(B$1:B1728, B$1:B1728&lt;&gt;""""),COUNTA(FILTER(B$1:B1728, B$1:B1728&lt;&gt;""""))))-1), IF('To Order'!$A1729=COL"&amp;"UMNS($A1729:B1748), B1728&amp;RIGHT(INDIRECT(ADDRESS(ROW(B1729)-1, 'From Order'!$A1729)), 1), B1728))"),"GTTJGBHFSCZW")</f>
        <v>GTTJGBHFSCZW</v>
      </c>
      <c r="C1729" s="2" t="str">
        <f>IFERROR(__xludf.DUMMYFUNCTION("IF('From Order'!$A1729=COLUMNS($A1729:C1748), LEFT(INDEX(FILTER(C$1:C1728, C$1:C1728&lt;&gt;""""),COUNTA(FILTER(C$1:C1728, C$1:C1728&lt;&gt;""""))), LEN(INDEX(FILTER(C$1:C1728, C$1:C1728&lt;&gt;""""),COUNTA(FILTER(C$1:C1728, C$1:C1728&lt;&gt;""""))))-1), IF('To Order'!$A1729=COL"&amp;"UMNS($A1729:C1748), C1728&amp;RIGHT(INDIRECT(ADDRESS(ROW(C1729)-1, 'From Order'!$A1729)), 1), C1728))"),"TQVQJPPSSTDDWLLFBP")</f>
        <v>TQVQJPPSSTDDWLLFBP</v>
      </c>
      <c r="D1729" s="2" t="str">
        <f>IFERROR(__xludf.DUMMYFUNCTION("IF('From Order'!$A1729=COLUMNS($A1729:D1748), LEFT(INDEX(FILTER(D$1:D1728, D$1:D1728&lt;&gt;""""),COUNTA(FILTER(D$1:D1728, D$1:D1728&lt;&gt;""""))), LEN(INDEX(FILTER(D$1:D1728, D$1:D1728&lt;&gt;""""),COUNTA(FILTER(D$1:D1728, D$1:D1728&lt;&gt;""""))))-1), IF('To Order'!$A1729=COL"&amp;"UMNS($A1729:D1748), D1728&amp;RIGHT(INDIRECT(ADDRESS(ROW(D1729)-1, 'From Order'!$A1729)), 1), D1728))"),"RBRT")</f>
        <v>RBRT</v>
      </c>
      <c r="E1729" s="2" t="str">
        <f>IFERROR(__xludf.DUMMYFUNCTION("IF('From Order'!$A1729=COLUMNS($A1729:E1748), LEFT(INDEX(FILTER(E$1:E1728, E$1:E1728&lt;&gt;""""),COUNTA(FILTER(E$1:E1728, E$1:E1728&lt;&gt;""""))), LEN(INDEX(FILTER(E$1:E1728, E$1:E1728&lt;&gt;""""),COUNTA(FILTER(E$1:E1728, E$1:E1728&lt;&gt;""""))))-1), IF('To Order'!$A1729=COL"&amp;"UMNS($A1729:E1748), E1728&amp;RIGHT(INDIRECT(ADDRESS(ROW(E1729)-1, 'From Order'!$A1729)), 1), E1728))"),"C")</f>
        <v>C</v>
      </c>
      <c r="F1729" s="2" t="str">
        <f>IFERROR(__xludf.DUMMYFUNCTION("IF('From Order'!$A1729=COLUMNS($A1729:F1748), LEFT(INDEX(FILTER(F$1:F1728, F$1:F1728&lt;&gt;""""),COUNTA(FILTER(F$1:F1728, F$1:F1728&lt;&gt;""""))), LEN(INDEX(FILTER(F$1:F1728, F$1:F1728&lt;&gt;""""),COUNTA(FILTER(F$1:F1728, F$1:F1728&lt;&gt;""""))))-1), IF('To Order'!$A1729=COL"&amp;"UMNS($A1729:F1748), F1728&amp;RIGHT(INDIRECT(ADDRESS(ROW(F1729)-1, 'From Order'!$A1729)), 1), F1728))"),"RDVC")</f>
        <v>RDVC</v>
      </c>
      <c r="G1729" s="2" t="str">
        <f>IFERROR(__xludf.DUMMYFUNCTION("IF('From Order'!$A1729=COLUMNS($A1729:G1748), LEFT(INDEX(FILTER(G$1:G1728, G$1:G1728&lt;&gt;""""),COUNTA(FILTER(G$1:G1728, G$1:G1728&lt;&gt;""""))), LEN(INDEX(FILTER(G$1:G1728, G$1:G1728&lt;&gt;""""),COUNTA(FILTER(G$1:G1728, G$1:G1728&lt;&gt;""""))))-1), IF('To Order'!$A1729=COL"&amp;"UMNS($A1729:G1748), G1728&amp;RIGHT(INDIRECT(ADDRESS(ROW(G1729)-1, 'From Order'!$A1729)), 1), G1728))"),"MDJ")</f>
        <v>MDJ</v>
      </c>
      <c r="H1729" s="2" t="str">
        <f>IFERROR(__xludf.DUMMYFUNCTION("IF('From Order'!$A1729=COLUMNS($A1729:H1748), LEFT(INDEX(FILTER(H$1:H1728, H$1:H1728&lt;&gt;""""),COUNTA(FILTER(H$1:H1728, H$1:H1728&lt;&gt;""""))), LEN(INDEX(FILTER(H$1:H1728, H$1:H1728&lt;&gt;""""),COUNTA(FILTER(H$1:H1728, H$1:H1728&lt;&gt;""""))))-1), IF('To Order'!$A1729=COL"&amp;"UMNS($A1729:H1748), H1728&amp;RIGHT(INDIRECT(ADDRESS(ROW(H1729)-1, 'From Order'!$A1729)), 1), H1728))"),"")</f>
        <v/>
      </c>
      <c r="I1729" s="2" t="str">
        <f>IFERROR(__xludf.DUMMYFUNCTION("IF('From Order'!$A1729=COLUMNS($A1729:I1748), LEFT(INDEX(FILTER(I$1:I1728, I$1:I1728&lt;&gt;""""),COUNTA(FILTER(I$1:I1728, I$1:I1728&lt;&gt;""""))), LEN(INDEX(FILTER(I$1:I1728, I$1:I1728&lt;&gt;""""),COUNTA(FILTER(I$1:I1728, I$1:I1728&lt;&gt;""""))))-1), IF('To Order'!$A1729=COL"&amp;"UMNS($A1729:I1748), I1728&amp;RIGHT(INDIRECT(ADDRESS(ROW(I1729)-1, 'From Order'!$A1729)), 1), I1728))"),"")</f>
        <v/>
      </c>
    </row>
    <row r="1730">
      <c r="A1730" s="2" t="str">
        <f>IFERROR(__xludf.DUMMYFUNCTION("IF('From Order'!$A1730=COLUMNS($A1730:A1749), LEFT(INDEX(FILTER(A$1:A1729, A$1:A1729&lt;&gt;""""),COUNTA(FILTER(A$1:A1729, A$1:A1729&lt;&gt;""""))), LEN(INDEX(FILTER(A$1:A1729, A$1:A1729&lt;&gt;""""),COUNTA(FILTER(A$1:A1729, A$1:A1729&lt;&gt;""""))))-1), IF('To Order'!$A1730=COL"&amp;"UMNS($A1730:A1749), A1729&amp;RIGHT(INDIRECT(ADDRESS(ROW(A1730)-1, 'From Order'!$A1730)), 1), A1729))"),"ZHZMTDLDSRRVB")</f>
        <v>ZHZMTDLDSRRVB</v>
      </c>
      <c r="B1730" s="2" t="str">
        <f>IFERROR(__xludf.DUMMYFUNCTION("IF('From Order'!$A1730=COLUMNS($A1730:B1749), LEFT(INDEX(FILTER(B$1:B1729, B$1:B1729&lt;&gt;""""),COUNTA(FILTER(B$1:B1729, B$1:B1729&lt;&gt;""""))), LEN(INDEX(FILTER(B$1:B1729, B$1:B1729&lt;&gt;""""),COUNTA(FILTER(B$1:B1729, B$1:B1729&lt;&gt;""""))))-1), IF('To Order'!$A1730=COL"&amp;"UMNS($A1730:B1749), B1729&amp;RIGHT(INDIRECT(ADDRESS(ROW(B1730)-1, 'From Order'!$A1730)), 1), B1729))"),"GTTJGBHFSCZW")</f>
        <v>GTTJGBHFSCZW</v>
      </c>
      <c r="C1730" s="2" t="str">
        <f>IFERROR(__xludf.DUMMYFUNCTION("IF('From Order'!$A1730=COLUMNS($A1730:C1749), LEFT(INDEX(FILTER(C$1:C1729, C$1:C1729&lt;&gt;""""),COUNTA(FILTER(C$1:C1729, C$1:C1729&lt;&gt;""""))), LEN(INDEX(FILTER(C$1:C1729, C$1:C1729&lt;&gt;""""),COUNTA(FILTER(C$1:C1729, C$1:C1729&lt;&gt;""""))))-1), IF('To Order'!$A1730=COL"&amp;"UMNS($A1730:C1749), C1729&amp;RIGHT(INDIRECT(ADDRESS(ROW(C1730)-1, 'From Order'!$A1730)), 1), C1729))"),"TQVQJPPSSTDDWLLFBP")</f>
        <v>TQVQJPPSSTDDWLLFBP</v>
      </c>
      <c r="D1730" s="2" t="str">
        <f>IFERROR(__xludf.DUMMYFUNCTION("IF('From Order'!$A1730=COLUMNS($A1730:D1749), LEFT(INDEX(FILTER(D$1:D1729, D$1:D1729&lt;&gt;""""),COUNTA(FILTER(D$1:D1729, D$1:D1729&lt;&gt;""""))), LEN(INDEX(FILTER(D$1:D1729, D$1:D1729&lt;&gt;""""),COUNTA(FILTER(D$1:D1729, D$1:D1729&lt;&gt;""""))))-1), IF('To Order'!$A1730=COL"&amp;"UMNS($A1730:D1749), D1729&amp;RIGHT(INDIRECT(ADDRESS(ROW(D1730)-1, 'From Order'!$A1730)), 1), D1729))"),"RBRT")</f>
        <v>RBRT</v>
      </c>
      <c r="E1730" s="2" t="str">
        <f>IFERROR(__xludf.DUMMYFUNCTION("IF('From Order'!$A1730=COLUMNS($A1730:E1749), LEFT(INDEX(FILTER(E$1:E1729, E$1:E1729&lt;&gt;""""),COUNTA(FILTER(E$1:E1729, E$1:E1729&lt;&gt;""""))), LEN(INDEX(FILTER(E$1:E1729, E$1:E1729&lt;&gt;""""),COUNTA(FILTER(E$1:E1729, E$1:E1729&lt;&gt;""""))))-1), IF('To Order'!$A1730=COL"&amp;"UMNS($A1730:E1749), E1729&amp;RIGHT(INDIRECT(ADDRESS(ROW(E1730)-1, 'From Order'!$A1730)), 1), E1729))"),"C")</f>
        <v>C</v>
      </c>
      <c r="F1730" s="2" t="str">
        <f>IFERROR(__xludf.DUMMYFUNCTION("IF('From Order'!$A1730=COLUMNS($A1730:F1749), LEFT(INDEX(FILTER(F$1:F1729, F$1:F1729&lt;&gt;""""),COUNTA(FILTER(F$1:F1729, F$1:F1729&lt;&gt;""""))), LEN(INDEX(FILTER(F$1:F1729, F$1:F1729&lt;&gt;""""),COUNTA(FILTER(F$1:F1729, F$1:F1729&lt;&gt;""""))))-1), IF('To Order'!$A1730=COL"&amp;"UMNS($A1730:F1749), F1729&amp;RIGHT(INDIRECT(ADDRESS(ROW(F1730)-1, 'From Order'!$A1730)), 1), F1729))"),"RDVC")</f>
        <v>RDVC</v>
      </c>
      <c r="G1730" s="2" t="str">
        <f>IFERROR(__xludf.DUMMYFUNCTION("IF('From Order'!$A1730=COLUMNS($A1730:G1749), LEFT(INDEX(FILTER(G$1:G1729, G$1:G1729&lt;&gt;""""),COUNTA(FILTER(G$1:G1729, G$1:G1729&lt;&gt;""""))), LEN(INDEX(FILTER(G$1:G1729, G$1:G1729&lt;&gt;""""),COUNTA(FILTER(G$1:G1729, G$1:G1729&lt;&gt;""""))))-1), IF('To Order'!$A1730=COL"&amp;"UMNS($A1730:G1749), G1729&amp;RIGHT(INDIRECT(ADDRESS(ROW(G1730)-1, 'From Order'!$A1730)), 1), G1729))"),"MDJM")</f>
        <v>MDJM</v>
      </c>
      <c r="H1730" s="2" t="str">
        <f>IFERROR(__xludf.DUMMYFUNCTION("IF('From Order'!$A1730=COLUMNS($A1730:H1749), LEFT(INDEX(FILTER(H$1:H1729, H$1:H1729&lt;&gt;""""),COUNTA(FILTER(H$1:H1729, H$1:H1729&lt;&gt;""""))), LEN(INDEX(FILTER(H$1:H1729, H$1:H1729&lt;&gt;""""),COUNTA(FILTER(H$1:H1729, H$1:H1729&lt;&gt;""""))))-1), IF('To Order'!$A1730=COL"&amp;"UMNS($A1730:H1749), H1729&amp;RIGHT(INDIRECT(ADDRESS(ROW(H1730)-1, 'From Order'!$A1730)), 1), H1729))"),"")</f>
        <v/>
      </c>
      <c r="I1730" s="2" t="str">
        <f>IFERROR(__xludf.DUMMYFUNCTION("IF('From Order'!$A1730=COLUMNS($A1730:I1749), LEFT(INDEX(FILTER(I$1:I1729, I$1:I1729&lt;&gt;""""),COUNTA(FILTER(I$1:I1729, I$1:I1729&lt;&gt;""""))), LEN(INDEX(FILTER(I$1:I1729, I$1:I1729&lt;&gt;""""),COUNTA(FILTER(I$1:I1729, I$1:I1729&lt;&gt;""""))))-1), IF('To Order'!$A1730=COL"&amp;"UMNS($A1730:I1749), I1729&amp;RIGHT(INDIRECT(ADDRESS(ROW(I1730)-1, 'From Order'!$A1730)), 1), I1729))"),"")</f>
        <v/>
      </c>
    </row>
    <row r="1731">
      <c r="A1731" s="2" t="str">
        <f>IFERROR(__xludf.DUMMYFUNCTION("IF('From Order'!$A1731=COLUMNS($A1731:A1750), LEFT(INDEX(FILTER(A$1:A1730, A$1:A1730&lt;&gt;""""),COUNTA(FILTER(A$1:A1730, A$1:A1730&lt;&gt;""""))), LEN(INDEX(FILTER(A$1:A1730, A$1:A1730&lt;&gt;""""),COUNTA(FILTER(A$1:A1730, A$1:A1730&lt;&gt;""""))))-1), IF('To Order'!$A1731=COL"&amp;"UMNS($A1731:A1750), A1730&amp;RIGHT(INDIRECT(ADDRESS(ROW(A1731)-1, 'From Order'!$A1731)), 1), A1730))"),"ZHZMTDLDSRRV")</f>
        <v>ZHZMTDLDSRRV</v>
      </c>
      <c r="B1731" s="2" t="str">
        <f>IFERROR(__xludf.DUMMYFUNCTION("IF('From Order'!$A1731=COLUMNS($A1731:B1750), LEFT(INDEX(FILTER(B$1:B1730, B$1:B1730&lt;&gt;""""),COUNTA(FILTER(B$1:B1730, B$1:B1730&lt;&gt;""""))), LEN(INDEX(FILTER(B$1:B1730, B$1:B1730&lt;&gt;""""),COUNTA(FILTER(B$1:B1730, B$1:B1730&lt;&gt;""""))))-1), IF('To Order'!$A1731=COL"&amp;"UMNS($A1731:B1750), B1730&amp;RIGHT(INDIRECT(ADDRESS(ROW(B1731)-1, 'From Order'!$A1731)), 1), B1730))"),"GTTJGBHFSCZW")</f>
        <v>GTTJGBHFSCZW</v>
      </c>
      <c r="C1731" s="2" t="str">
        <f>IFERROR(__xludf.DUMMYFUNCTION("IF('From Order'!$A1731=COLUMNS($A1731:C1750), LEFT(INDEX(FILTER(C$1:C1730, C$1:C1730&lt;&gt;""""),COUNTA(FILTER(C$1:C1730, C$1:C1730&lt;&gt;""""))), LEN(INDEX(FILTER(C$1:C1730, C$1:C1730&lt;&gt;""""),COUNTA(FILTER(C$1:C1730, C$1:C1730&lt;&gt;""""))))-1), IF('To Order'!$A1731=COL"&amp;"UMNS($A1731:C1750), C1730&amp;RIGHT(INDIRECT(ADDRESS(ROW(C1731)-1, 'From Order'!$A1731)), 1), C1730))"),"TQVQJPPSSTDDWLLFBP")</f>
        <v>TQVQJPPSSTDDWLLFBP</v>
      </c>
      <c r="D1731" s="2" t="str">
        <f>IFERROR(__xludf.DUMMYFUNCTION("IF('From Order'!$A1731=COLUMNS($A1731:D1750), LEFT(INDEX(FILTER(D$1:D1730, D$1:D1730&lt;&gt;""""),COUNTA(FILTER(D$1:D1730, D$1:D1730&lt;&gt;""""))), LEN(INDEX(FILTER(D$1:D1730, D$1:D1730&lt;&gt;""""),COUNTA(FILTER(D$1:D1730, D$1:D1730&lt;&gt;""""))))-1), IF('To Order'!$A1731=COL"&amp;"UMNS($A1731:D1750), D1730&amp;RIGHT(INDIRECT(ADDRESS(ROW(D1731)-1, 'From Order'!$A1731)), 1), D1730))"),"RBRT")</f>
        <v>RBRT</v>
      </c>
      <c r="E1731" s="2" t="str">
        <f>IFERROR(__xludf.DUMMYFUNCTION("IF('From Order'!$A1731=COLUMNS($A1731:E1750), LEFT(INDEX(FILTER(E$1:E1730, E$1:E1730&lt;&gt;""""),COUNTA(FILTER(E$1:E1730, E$1:E1730&lt;&gt;""""))), LEN(INDEX(FILTER(E$1:E1730, E$1:E1730&lt;&gt;""""),COUNTA(FILTER(E$1:E1730, E$1:E1730&lt;&gt;""""))))-1), IF('To Order'!$A1731=COL"&amp;"UMNS($A1731:E1750), E1730&amp;RIGHT(INDIRECT(ADDRESS(ROW(E1731)-1, 'From Order'!$A1731)), 1), E1730))"),"C")</f>
        <v>C</v>
      </c>
      <c r="F1731" s="2" t="str">
        <f>IFERROR(__xludf.DUMMYFUNCTION("IF('From Order'!$A1731=COLUMNS($A1731:F1750), LEFT(INDEX(FILTER(F$1:F1730, F$1:F1730&lt;&gt;""""),COUNTA(FILTER(F$1:F1730, F$1:F1730&lt;&gt;""""))), LEN(INDEX(FILTER(F$1:F1730, F$1:F1730&lt;&gt;""""),COUNTA(FILTER(F$1:F1730, F$1:F1730&lt;&gt;""""))))-1), IF('To Order'!$A1731=COL"&amp;"UMNS($A1731:F1750), F1730&amp;RIGHT(INDIRECT(ADDRESS(ROW(F1731)-1, 'From Order'!$A1731)), 1), F1730))"),"RDVC")</f>
        <v>RDVC</v>
      </c>
      <c r="G1731" s="2" t="str">
        <f>IFERROR(__xludf.DUMMYFUNCTION("IF('From Order'!$A1731=COLUMNS($A1731:G1750), LEFT(INDEX(FILTER(G$1:G1730, G$1:G1730&lt;&gt;""""),COUNTA(FILTER(G$1:G1730, G$1:G1730&lt;&gt;""""))), LEN(INDEX(FILTER(G$1:G1730, G$1:G1730&lt;&gt;""""),COUNTA(FILTER(G$1:G1730, G$1:G1730&lt;&gt;""""))))-1), IF('To Order'!$A1731=COL"&amp;"UMNS($A1731:G1750), G1730&amp;RIGHT(INDIRECT(ADDRESS(ROW(G1731)-1, 'From Order'!$A1731)), 1), G1730))"),"MDJMB")</f>
        <v>MDJMB</v>
      </c>
      <c r="H1731" s="2" t="str">
        <f>IFERROR(__xludf.DUMMYFUNCTION("IF('From Order'!$A1731=COLUMNS($A1731:H1750), LEFT(INDEX(FILTER(H$1:H1730, H$1:H1730&lt;&gt;""""),COUNTA(FILTER(H$1:H1730, H$1:H1730&lt;&gt;""""))), LEN(INDEX(FILTER(H$1:H1730, H$1:H1730&lt;&gt;""""),COUNTA(FILTER(H$1:H1730, H$1:H1730&lt;&gt;""""))))-1), IF('To Order'!$A1731=COL"&amp;"UMNS($A1731:H1750), H1730&amp;RIGHT(INDIRECT(ADDRESS(ROW(H1731)-1, 'From Order'!$A1731)), 1), H1730))"),"")</f>
        <v/>
      </c>
      <c r="I1731" s="2" t="str">
        <f>IFERROR(__xludf.DUMMYFUNCTION("IF('From Order'!$A1731=COLUMNS($A1731:I1750), LEFT(INDEX(FILTER(I$1:I1730, I$1:I1730&lt;&gt;""""),COUNTA(FILTER(I$1:I1730, I$1:I1730&lt;&gt;""""))), LEN(INDEX(FILTER(I$1:I1730, I$1:I1730&lt;&gt;""""),COUNTA(FILTER(I$1:I1730, I$1:I1730&lt;&gt;""""))))-1), IF('To Order'!$A1731=COL"&amp;"UMNS($A1731:I1750), I1730&amp;RIGHT(INDIRECT(ADDRESS(ROW(I1731)-1, 'From Order'!$A1731)), 1), I1730))"),"")</f>
        <v/>
      </c>
    </row>
    <row r="1732">
      <c r="A1732" s="2" t="str">
        <f>IFERROR(__xludf.DUMMYFUNCTION("IF('From Order'!$A1732=COLUMNS($A1732:A1751), LEFT(INDEX(FILTER(A$1:A1731, A$1:A1731&lt;&gt;""""),COUNTA(FILTER(A$1:A1731, A$1:A1731&lt;&gt;""""))), LEN(INDEX(FILTER(A$1:A1731, A$1:A1731&lt;&gt;""""),COUNTA(FILTER(A$1:A1731, A$1:A1731&lt;&gt;""""))))-1), IF('To Order'!$A1732=COL"&amp;"UMNS($A1732:A1751), A1731&amp;RIGHT(INDIRECT(ADDRESS(ROW(A1732)-1, 'From Order'!$A1732)), 1), A1731))"),"ZHZMTDLDSRR")</f>
        <v>ZHZMTDLDSRR</v>
      </c>
      <c r="B1732" s="2" t="str">
        <f>IFERROR(__xludf.DUMMYFUNCTION("IF('From Order'!$A1732=COLUMNS($A1732:B1751), LEFT(INDEX(FILTER(B$1:B1731, B$1:B1731&lt;&gt;""""),COUNTA(FILTER(B$1:B1731, B$1:B1731&lt;&gt;""""))), LEN(INDEX(FILTER(B$1:B1731, B$1:B1731&lt;&gt;""""),COUNTA(FILTER(B$1:B1731, B$1:B1731&lt;&gt;""""))))-1), IF('To Order'!$A1732=COL"&amp;"UMNS($A1732:B1751), B1731&amp;RIGHT(INDIRECT(ADDRESS(ROW(B1732)-1, 'From Order'!$A1732)), 1), B1731))"),"GTTJGBHFSCZW")</f>
        <v>GTTJGBHFSCZW</v>
      </c>
      <c r="C1732" s="2" t="str">
        <f>IFERROR(__xludf.DUMMYFUNCTION("IF('From Order'!$A1732=COLUMNS($A1732:C1751), LEFT(INDEX(FILTER(C$1:C1731, C$1:C1731&lt;&gt;""""),COUNTA(FILTER(C$1:C1731, C$1:C1731&lt;&gt;""""))), LEN(INDEX(FILTER(C$1:C1731, C$1:C1731&lt;&gt;""""),COUNTA(FILTER(C$1:C1731, C$1:C1731&lt;&gt;""""))))-1), IF('To Order'!$A1732=COL"&amp;"UMNS($A1732:C1751), C1731&amp;RIGHT(INDIRECT(ADDRESS(ROW(C1732)-1, 'From Order'!$A1732)), 1), C1731))"),"TQVQJPPSSTDDWLLFBP")</f>
        <v>TQVQJPPSSTDDWLLFBP</v>
      </c>
      <c r="D1732" s="2" t="str">
        <f>IFERROR(__xludf.DUMMYFUNCTION("IF('From Order'!$A1732=COLUMNS($A1732:D1751), LEFT(INDEX(FILTER(D$1:D1731, D$1:D1731&lt;&gt;""""),COUNTA(FILTER(D$1:D1731, D$1:D1731&lt;&gt;""""))), LEN(INDEX(FILTER(D$1:D1731, D$1:D1731&lt;&gt;""""),COUNTA(FILTER(D$1:D1731, D$1:D1731&lt;&gt;""""))))-1), IF('To Order'!$A1732=COL"&amp;"UMNS($A1732:D1751), D1731&amp;RIGHT(INDIRECT(ADDRESS(ROW(D1732)-1, 'From Order'!$A1732)), 1), D1731))"),"RBRT")</f>
        <v>RBRT</v>
      </c>
      <c r="E1732" s="2" t="str">
        <f>IFERROR(__xludf.DUMMYFUNCTION("IF('From Order'!$A1732=COLUMNS($A1732:E1751), LEFT(INDEX(FILTER(E$1:E1731, E$1:E1731&lt;&gt;""""),COUNTA(FILTER(E$1:E1731, E$1:E1731&lt;&gt;""""))), LEN(INDEX(FILTER(E$1:E1731, E$1:E1731&lt;&gt;""""),COUNTA(FILTER(E$1:E1731, E$1:E1731&lt;&gt;""""))))-1), IF('To Order'!$A1732=COL"&amp;"UMNS($A1732:E1751), E1731&amp;RIGHT(INDIRECT(ADDRESS(ROW(E1732)-1, 'From Order'!$A1732)), 1), E1731))"),"C")</f>
        <v>C</v>
      </c>
      <c r="F1732" s="2" t="str">
        <f>IFERROR(__xludf.DUMMYFUNCTION("IF('From Order'!$A1732=COLUMNS($A1732:F1751), LEFT(INDEX(FILTER(F$1:F1731, F$1:F1731&lt;&gt;""""),COUNTA(FILTER(F$1:F1731, F$1:F1731&lt;&gt;""""))), LEN(INDEX(FILTER(F$1:F1731, F$1:F1731&lt;&gt;""""),COUNTA(FILTER(F$1:F1731, F$1:F1731&lt;&gt;""""))))-1), IF('To Order'!$A1732=COL"&amp;"UMNS($A1732:F1751), F1731&amp;RIGHT(INDIRECT(ADDRESS(ROW(F1732)-1, 'From Order'!$A1732)), 1), F1731))"),"RDVC")</f>
        <v>RDVC</v>
      </c>
      <c r="G1732" s="2" t="str">
        <f>IFERROR(__xludf.DUMMYFUNCTION("IF('From Order'!$A1732=COLUMNS($A1732:G1751), LEFT(INDEX(FILTER(G$1:G1731, G$1:G1731&lt;&gt;""""),COUNTA(FILTER(G$1:G1731, G$1:G1731&lt;&gt;""""))), LEN(INDEX(FILTER(G$1:G1731, G$1:G1731&lt;&gt;""""),COUNTA(FILTER(G$1:G1731, G$1:G1731&lt;&gt;""""))))-1), IF('To Order'!$A1732=COL"&amp;"UMNS($A1732:G1751), G1731&amp;RIGHT(INDIRECT(ADDRESS(ROW(G1732)-1, 'From Order'!$A1732)), 1), G1731))"),"MDJMBV")</f>
        <v>MDJMBV</v>
      </c>
      <c r="H1732" s="2" t="str">
        <f>IFERROR(__xludf.DUMMYFUNCTION("IF('From Order'!$A1732=COLUMNS($A1732:H1751), LEFT(INDEX(FILTER(H$1:H1731, H$1:H1731&lt;&gt;""""),COUNTA(FILTER(H$1:H1731, H$1:H1731&lt;&gt;""""))), LEN(INDEX(FILTER(H$1:H1731, H$1:H1731&lt;&gt;""""),COUNTA(FILTER(H$1:H1731, H$1:H1731&lt;&gt;""""))))-1), IF('To Order'!$A1732=COL"&amp;"UMNS($A1732:H1751), H1731&amp;RIGHT(INDIRECT(ADDRESS(ROW(H1732)-1, 'From Order'!$A1732)), 1), H1731))"),"")</f>
        <v/>
      </c>
      <c r="I1732" s="2" t="str">
        <f>IFERROR(__xludf.DUMMYFUNCTION("IF('From Order'!$A1732=COLUMNS($A1732:I1751), LEFT(INDEX(FILTER(I$1:I1731, I$1:I1731&lt;&gt;""""),COUNTA(FILTER(I$1:I1731, I$1:I1731&lt;&gt;""""))), LEN(INDEX(FILTER(I$1:I1731, I$1:I1731&lt;&gt;""""),COUNTA(FILTER(I$1:I1731, I$1:I1731&lt;&gt;""""))))-1), IF('To Order'!$A1732=COL"&amp;"UMNS($A1732:I1751), I1731&amp;RIGHT(INDIRECT(ADDRESS(ROW(I1732)-1, 'From Order'!$A1732)), 1), I1731))"),"")</f>
        <v/>
      </c>
    </row>
    <row r="1733">
      <c r="A1733" s="2" t="str">
        <f>IFERROR(__xludf.DUMMYFUNCTION("IF('From Order'!$A1733=COLUMNS($A1733:A1752), LEFT(INDEX(FILTER(A$1:A1732, A$1:A1732&lt;&gt;""""),COUNTA(FILTER(A$1:A1732, A$1:A1732&lt;&gt;""""))), LEN(INDEX(FILTER(A$1:A1732, A$1:A1732&lt;&gt;""""),COUNTA(FILTER(A$1:A1732, A$1:A1732&lt;&gt;""""))))-1), IF('To Order'!$A1733=COL"&amp;"UMNS($A1733:A1752), A1732&amp;RIGHT(INDIRECT(ADDRESS(ROW(A1733)-1, 'From Order'!$A1733)), 1), A1732))"),"ZHZMTDLDSR")</f>
        <v>ZHZMTDLDSR</v>
      </c>
      <c r="B1733" s="2" t="str">
        <f>IFERROR(__xludf.DUMMYFUNCTION("IF('From Order'!$A1733=COLUMNS($A1733:B1752), LEFT(INDEX(FILTER(B$1:B1732, B$1:B1732&lt;&gt;""""),COUNTA(FILTER(B$1:B1732, B$1:B1732&lt;&gt;""""))), LEN(INDEX(FILTER(B$1:B1732, B$1:B1732&lt;&gt;""""),COUNTA(FILTER(B$1:B1732, B$1:B1732&lt;&gt;""""))))-1), IF('To Order'!$A1733=COL"&amp;"UMNS($A1733:B1752), B1732&amp;RIGHT(INDIRECT(ADDRESS(ROW(B1733)-1, 'From Order'!$A1733)), 1), B1732))"),"GTTJGBHFSCZW")</f>
        <v>GTTJGBHFSCZW</v>
      </c>
      <c r="C1733" s="2" t="str">
        <f>IFERROR(__xludf.DUMMYFUNCTION("IF('From Order'!$A1733=COLUMNS($A1733:C1752), LEFT(INDEX(FILTER(C$1:C1732, C$1:C1732&lt;&gt;""""),COUNTA(FILTER(C$1:C1732, C$1:C1732&lt;&gt;""""))), LEN(INDEX(FILTER(C$1:C1732, C$1:C1732&lt;&gt;""""),COUNTA(FILTER(C$1:C1732, C$1:C1732&lt;&gt;""""))))-1), IF('To Order'!$A1733=COL"&amp;"UMNS($A1733:C1752), C1732&amp;RIGHT(INDIRECT(ADDRESS(ROW(C1733)-1, 'From Order'!$A1733)), 1), C1732))"),"TQVQJPPSSTDDWLLFBP")</f>
        <v>TQVQJPPSSTDDWLLFBP</v>
      </c>
      <c r="D1733" s="2" t="str">
        <f>IFERROR(__xludf.DUMMYFUNCTION("IF('From Order'!$A1733=COLUMNS($A1733:D1752), LEFT(INDEX(FILTER(D$1:D1732, D$1:D1732&lt;&gt;""""),COUNTA(FILTER(D$1:D1732, D$1:D1732&lt;&gt;""""))), LEN(INDEX(FILTER(D$1:D1732, D$1:D1732&lt;&gt;""""),COUNTA(FILTER(D$1:D1732, D$1:D1732&lt;&gt;""""))))-1), IF('To Order'!$A1733=COL"&amp;"UMNS($A1733:D1752), D1732&amp;RIGHT(INDIRECT(ADDRESS(ROW(D1733)-1, 'From Order'!$A1733)), 1), D1732))"),"RBRT")</f>
        <v>RBRT</v>
      </c>
      <c r="E1733" s="2" t="str">
        <f>IFERROR(__xludf.DUMMYFUNCTION("IF('From Order'!$A1733=COLUMNS($A1733:E1752), LEFT(INDEX(FILTER(E$1:E1732, E$1:E1732&lt;&gt;""""),COUNTA(FILTER(E$1:E1732, E$1:E1732&lt;&gt;""""))), LEN(INDEX(FILTER(E$1:E1732, E$1:E1732&lt;&gt;""""),COUNTA(FILTER(E$1:E1732, E$1:E1732&lt;&gt;""""))))-1), IF('To Order'!$A1733=COL"&amp;"UMNS($A1733:E1752), E1732&amp;RIGHT(INDIRECT(ADDRESS(ROW(E1733)-1, 'From Order'!$A1733)), 1), E1732))"),"C")</f>
        <v>C</v>
      </c>
      <c r="F1733" s="2" t="str">
        <f>IFERROR(__xludf.DUMMYFUNCTION("IF('From Order'!$A1733=COLUMNS($A1733:F1752), LEFT(INDEX(FILTER(F$1:F1732, F$1:F1732&lt;&gt;""""),COUNTA(FILTER(F$1:F1732, F$1:F1732&lt;&gt;""""))), LEN(INDEX(FILTER(F$1:F1732, F$1:F1732&lt;&gt;""""),COUNTA(FILTER(F$1:F1732, F$1:F1732&lt;&gt;""""))))-1), IF('To Order'!$A1733=COL"&amp;"UMNS($A1733:F1752), F1732&amp;RIGHT(INDIRECT(ADDRESS(ROW(F1733)-1, 'From Order'!$A1733)), 1), F1732))"),"RDVC")</f>
        <v>RDVC</v>
      </c>
      <c r="G1733" s="2" t="str">
        <f>IFERROR(__xludf.DUMMYFUNCTION("IF('From Order'!$A1733=COLUMNS($A1733:G1752), LEFT(INDEX(FILTER(G$1:G1732, G$1:G1732&lt;&gt;""""),COUNTA(FILTER(G$1:G1732, G$1:G1732&lt;&gt;""""))), LEN(INDEX(FILTER(G$1:G1732, G$1:G1732&lt;&gt;""""),COUNTA(FILTER(G$1:G1732, G$1:G1732&lt;&gt;""""))))-1), IF('To Order'!$A1733=COL"&amp;"UMNS($A1733:G1752), G1732&amp;RIGHT(INDIRECT(ADDRESS(ROW(G1733)-1, 'From Order'!$A1733)), 1), G1732))"),"MDJMBVR")</f>
        <v>MDJMBVR</v>
      </c>
      <c r="H1733" s="2" t="str">
        <f>IFERROR(__xludf.DUMMYFUNCTION("IF('From Order'!$A1733=COLUMNS($A1733:H1752), LEFT(INDEX(FILTER(H$1:H1732, H$1:H1732&lt;&gt;""""),COUNTA(FILTER(H$1:H1732, H$1:H1732&lt;&gt;""""))), LEN(INDEX(FILTER(H$1:H1732, H$1:H1732&lt;&gt;""""),COUNTA(FILTER(H$1:H1732, H$1:H1732&lt;&gt;""""))))-1), IF('To Order'!$A1733=COL"&amp;"UMNS($A1733:H1752), H1732&amp;RIGHT(INDIRECT(ADDRESS(ROW(H1733)-1, 'From Order'!$A1733)), 1), H1732))"),"")</f>
        <v/>
      </c>
      <c r="I1733" s="2" t="str">
        <f>IFERROR(__xludf.DUMMYFUNCTION("IF('From Order'!$A1733=COLUMNS($A1733:I1752), LEFT(INDEX(FILTER(I$1:I1732, I$1:I1732&lt;&gt;""""),COUNTA(FILTER(I$1:I1732, I$1:I1732&lt;&gt;""""))), LEN(INDEX(FILTER(I$1:I1732, I$1:I1732&lt;&gt;""""),COUNTA(FILTER(I$1:I1732, I$1:I1732&lt;&gt;""""))))-1), IF('To Order'!$A1733=COL"&amp;"UMNS($A1733:I1752), I1732&amp;RIGHT(INDIRECT(ADDRESS(ROW(I1733)-1, 'From Order'!$A1733)), 1), I1732))"),"")</f>
        <v/>
      </c>
    </row>
    <row r="1734">
      <c r="A1734" s="2" t="str">
        <f>IFERROR(__xludf.DUMMYFUNCTION("IF('From Order'!$A1734=COLUMNS($A1734:A1753), LEFT(INDEX(FILTER(A$1:A1733, A$1:A1733&lt;&gt;""""),COUNTA(FILTER(A$1:A1733, A$1:A1733&lt;&gt;""""))), LEN(INDEX(FILTER(A$1:A1733, A$1:A1733&lt;&gt;""""),COUNTA(FILTER(A$1:A1733, A$1:A1733&lt;&gt;""""))))-1), IF('To Order'!$A1734=COL"&amp;"UMNS($A1734:A1753), A1733&amp;RIGHT(INDIRECT(ADDRESS(ROW(A1734)-1, 'From Order'!$A1734)), 1), A1733))"),"ZHZMTDLDS")</f>
        <v>ZHZMTDLDS</v>
      </c>
      <c r="B1734" s="2" t="str">
        <f>IFERROR(__xludf.DUMMYFUNCTION("IF('From Order'!$A1734=COLUMNS($A1734:B1753), LEFT(INDEX(FILTER(B$1:B1733, B$1:B1733&lt;&gt;""""),COUNTA(FILTER(B$1:B1733, B$1:B1733&lt;&gt;""""))), LEN(INDEX(FILTER(B$1:B1733, B$1:B1733&lt;&gt;""""),COUNTA(FILTER(B$1:B1733, B$1:B1733&lt;&gt;""""))))-1), IF('To Order'!$A1734=COL"&amp;"UMNS($A1734:B1753), B1733&amp;RIGHT(INDIRECT(ADDRESS(ROW(B1734)-1, 'From Order'!$A1734)), 1), B1733))"),"GTTJGBHFSCZW")</f>
        <v>GTTJGBHFSCZW</v>
      </c>
      <c r="C1734" s="2" t="str">
        <f>IFERROR(__xludf.DUMMYFUNCTION("IF('From Order'!$A1734=COLUMNS($A1734:C1753), LEFT(INDEX(FILTER(C$1:C1733, C$1:C1733&lt;&gt;""""),COUNTA(FILTER(C$1:C1733, C$1:C1733&lt;&gt;""""))), LEN(INDEX(FILTER(C$1:C1733, C$1:C1733&lt;&gt;""""),COUNTA(FILTER(C$1:C1733, C$1:C1733&lt;&gt;""""))))-1), IF('To Order'!$A1734=COL"&amp;"UMNS($A1734:C1753), C1733&amp;RIGHT(INDIRECT(ADDRESS(ROW(C1734)-1, 'From Order'!$A1734)), 1), C1733))"),"TQVQJPPSSTDDWLLFBP")</f>
        <v>TQVQJPPSSTDDWLLFBP</v>
      </c>
      <c r="D1734" s="2" t="str">
        <f>IFERROR(__xludf.DUMMYFUNCTION("IF('From Order'!$A1734=COLUMNS($A1734:D1753), LEFT(INDEX(FILTER(D$1:D1733, D$1:D1733&lt;&gt;""""),COUNTA(FILTER(D$1:D1733, D$1:D1733&lt;&gt;""""))), LEN(INDEX(FILTER(D$1:D1733, D$1:D1733&lt;&gt;""""),COUNTA(FILTER(D$1:D1733, D$1:D1733&lt;&gt;""""))))-1), IF('To Order'!$A1734=COL"&amp;"UMNS($A1734:D1753), D1733&amp;RIGHT(INDIRECT(ADDRESS(ROW(D1734)-1, 'From Order'!$A1734)), 1), D1733))"),"RBRT")</f>
        <v>RBRT</v>
      </c>
      <c r="E1734" s="2" t="str">
        <f>IFERROR(__xludf.DUMMYFUNCTION("IF('From Order'!$A1734=COLUMNS($A1734:E1753), LEFT(INDEX(FILTER(E$1:E1733, E$1:E1733&lt;&gt;""""),COUNTA(FILTER(E$1:E1733, E$1:E1733&lt;&gt;""""))), LEN(INDEX(FILTER(E$1:E1733, E$1:E1733&lt;&gt;""""),COUNTA(FILTER(E$1:E1733, E$1:E1733&lt;&gt;""""))))-1), IF('To Order'!$A1734=COL"&amp;"UMNS($A1734:E1753), E1733&amp;RIGHT(INDIRECT(ADDRESS(ROW(E1734)-1, 'From Order'!$A1734)), 1), E1733))"),"C")</f>
        <v>C</v>
      </c>
      <c r="F1734" s="2" t="str">
        <f>IFERROR(__xludf.DUMMYFUNCTION("IF('From Order'!$A1734=COLUMNS($A1734:F1753), LEFT(INDEX(FILTER(F$1:F1733, F$1:F1733&lt;&gt;""""),COUNTA(FILTER(F$1:F1733, F$1:F1733&lt;&gt;""""))), LEN(INDEX(FILTER(F$1:F1733, F$1:F1733&lt;&gt;""""),COUNTA(FILTER(F$1:F1733, F$1:F1733&lt;&gt;""""))))-1), IF('To Order'!$A1734=COL"&amp;"UMNS($A1734:F1753), F1733&amp;RIGHT(INDIRECT(ADDRESS(ROW(F1734)-1, 'From Order'!$A1734)), 1), F1733))"),"RDVC")</f>
        <v>RDVC</v>
      </c>
      <c r="G1734" s="2" t="str">
        <f>IFERROR(__xludf.DUMMYFUNCTION("IF('From Order'!$A1734=COLUMNS($A1734:G1753), LEFT(INDEX(FILTER(G$1:G1733, G$1:G1733&lt;&gt;""""),COUNTA(FILTER(G$1:G1733, G$1:G1733&lt;&gt;""""))), LEN(INDEX(FILTER(G$1:G1733, G$1:G1733&lt;&gt;""""),COUNTA(FILTER(G$1:G1733, G$1:G1733&lt;&gt;""""))))-1), IF('To Order'!$A1734=COL"&amp;"UMNS($A1734:G1753), G1733&amp;RIGHT(INDIRECT(ADDRESS(ROW(G1734)-1, 'From Order'!$A1734)), 1), G1733))"),"MDJMBVRR")</f>
        <v>MDJMBVRR</v>
      </c>
      <c r="H1734" s="2" t="str">
        <f>IFERROR(__xludf.DUMMYFUNCTION("IF('From Order'!$A1734=COLUMNS($A1734:H1753), LEFT(INDEX(FILTER(H$1:H1733, H$1:H1733&lt;&gt;""""),COUNTA(FILTER(H$1:H1733, H$1:H1733&lt;&gt;""""))), LEN(INDEX(FILTER(H$1:H1733, H$1:H1733&lt;&gt;""""),COUNTA(FILTER(H$1:H1733, H$1:H1733&lt;&gt;""""))))-1), IF('To Order'!$A1734=COL"&amp;"UMNS($A1734:H1753), H1733&amp;RIGHT(INDIRECT(ADDRESS(ROW(H1734)-1, 'From Order'!$A1734)), 1), H1733))"),"")</f>
        <v/>
      </c>
      <c r="I1734" s="2" t="str">
        <f>IFERROR(__xludf.DUMMYFUNCTION("IF('From Order'!$A1734=COLUMNS($A1734:I1753), LEFT(INDEX(FILTER(I$1:I1733, I$1:I1733&lt;&gt;""""),COUNTA(FILTER(I$1:I1733, I$1:I1733&lt;&gt;""""))), LEN(INDEX(FILTER(I$1:I1733, I$1:I1733&lt;&gt;""""),COUNTA(FILTER(I$1:I1733, I$1:I1733&lt;&gt;""""))))-1), IF('To Order'!$A1734=COL"&amp;"UMNS($A1734:I1753), I1733&amp;RIGHT(INDIRECT(ADDRESS(ROW(I1734)-1, 'From Order'!$A1734)), 1), I1733))"),"")</f>
        <v/>
      </c>
    </row>
    <row r="1735">
      <c r="A1735" s="2" t="str">
        <f>IFERROR(__xludf.DUMMYFUNCTION("IF('From Order'!$A1735=COLUMNS($A1735:A1754), LEFT(INDEX(FILTER(A$1:A1734, A$1:A1734&lt;&gt;""""),COUNTA(FILTER(A$1:A1734, A$1:A1734&lt;&gt;""""))), LEN(INDEX(FILTER(A$1:A1734, A$1:A1734&lt;&gt;""""),COUNTA(FILTER(A$1:A1734, A$1:A1734&lt;&gt;""""))))-1), IF('To Order'!$A1735=COL"&amp;"UMNS($A1735:A1754), A1734&amp;RIGHT(INDIRECT(ADDRESS(ROW(A1735)-1, 'From Order'!$A1735)), 1), A1734))"),"ZHZMTDLDS")</f>
        <v>ZHZMTDLDS</v>
      </c>
      <c r="B1735" s="2" t="str">
        <f>IFERROR(__xludf.DUMMYFUNCTION("IF('From Order'!$A1735=COLUMNS($A1735:B1754), LEFT(INDEX(FILTER(B$1:B1734, B$1:B1734&lt;&gt;""""),COUNTA(FILTER(B$1:B1734, B$1:B1734&lt;&gt;""""))), LEN(INDEX(FILTER(B$1:B1734, B$1:B1734&lt;&gt;""""),COUNTA(FILTER(B$1:B1734, B$1:B1734&lt;&gt;""""))))-1), IF('To Order'!$A1735=COL"&amp;"UMNS($A1735:B1754), B1734&amp;RIGHT(INDIRECT(ADDRESS(ROW(B1735)-1, 'From Order'!$A1735)), 1), B1734))"),"GTTJGBHFSCZW")</f>
        <v>GTTJGBHFSCZW</v>
      </c>
      <c r="C1735" s="2" t="str">
        <f>IFERROR(__xludf.DUMMYFUNCTION("IF('From Order'!$A1735=COLUMNS($A1735:C1754), LEFT(INDEX(FILTER(C$1:C1734, C$1:C1734&lt;&gt;""""),COUNTA(FILTER(C$1:C1734, C$1:C1734&lt;&gt;""""))), LEN(INDEX(FILTER(C$1:C1734, C$1:C1734&lt;&gt;""""),COUNTA(FILTER(C$1:C1734, C$1:C1734&lt;&gt;""""))))-1), IF('To Order'!$A1735=COL"&amp;"UMNS($A1735:C1754), C1734&amp;RIGHT(INDIRECT(ADDRESS(ROW(C1735)-1, 'From Order'!$A1735)), 1), C1734))"),"TQVQJPPSSTDDWLLFBP")</f>
        <v>TQVQJPPSSTDDWLLFBP</v>
      </c>
      <c r="D1735" s="2" t="str">
        <f>IFERROR(__xludf.DUMMYFUNCTION("IF('From Order'!$A1735=COLUMNS($A1735:D1754), LEFT(INDEX(FILTER(D$1:D1734, D$1:D1734&lt;&gt;""""),COUNTA(FILTER(D$1:D1734, D$1:D1734&lt;&gt;""""))), LEN(INDEX(FILTER(D$1:D1734, D$1:D1734&lt;&gt;""""),COUNTA(FILTER(D$1:D1734, D$1:D1734&lt;&gt;""""))))-1), IF('To Order'!$A1735=COL"&amp;"UMNS($A1735:D1754), D1734&amp;RIGHT(INDIRECT(ADDRESS(ROW(D1735)-1, 'From Order'!$A1735)), 1), D1734))"),"RBRTC")</f>
        <v>RBRTC</v>
      </c>
      <c r="E1735" s="2" t="str">
        <f>IFERROR(__xludf.DUMMYFUNCTION("IF('From Order'!$A1735=COLUMNS($A1735:E1754), LEFT(INDEX(FILTER(E$1:E1734, E$1:E1734&lt;&gt;""""),COUNTA(FILTER(E$1:E1734, E$1:E1734&lt;&gt;""""))), LEN(INDEX(FILTER(E$1:E1734, E$1:E1734&lt;&gt;""""),COUNTA(FILTER(E$1:E1734, E$1:E1734&lt;&gt;""""))))-1), IF('To Order'!$A1735=COL"&amp;"UMNS($A1735:E1754), E1734&amp;RIGHT(INDIRECT(ADDRESS(ROW(E1735)-1, 'From Order'!$A1735)), 1), E1734))"),"C")</f>
        <v>C</v>
      </c>
      <c r="F1735" s="2" t="str">
        <f>IFERROR(__xludf.DUMMYFUNCTION("IF('From Order'!$A1735=COLUMNS($A1735:F1754), LEFT(INDEX(FILTER(F$1:F1734, F$1:F1734&lt;&gt;""""),COUNTA(FILTER(F$1:F1734, F$1:F1734&lt;&gt;""""))), LEN(INDEX(FILTER(F$1:F1734, F$1:F1734&lt;&gt;""""),COUNTA(FILTER(F$1:F1734, F$1:F1734&lt;&gt;""""))))-1), IF('To Order'!$A1735=COL"&amp;"UMNS($A1735:F1754), F1734&amp;RIGHT(INDIRECT(ADDRESS(ROW(F1735)-1, 'From Order'!$A1735)), 1), F1734))"),"RDV")</f>
        <v>RDV</v>
      </c>
      <c r="G1735" s="2" t="str">
        <f>IFERROR(__xludf.DUMMYFUNCTION("IF('From Order'!$A1735=COLUMNS($A1735:G1754), LEFT(INDEX(FILTER(G$1:G1734, G$1:G1734&lt;&gt;""""),COUNTA(FILTER(G$1:G1734, G$1:G1734&lt;&gt;""""))), LEN(INDEX(FILTER(G$1:G1734, G$1:G1734&lt;&gt;""""),COUNTA(FILTER(G$1:G1734, G$1:G1734&lt;&gt;""""))))-1), IF('To Order'!$A1735=COL"&amp;"UMNS($A1735:G1754), G1734&amp;RIGHT(INDIRECT(ADDRESS(ROW(G1735)-1, 'From Order'!$A1735)), 1), G1734))"),"MDJMBVRR")</f>
        <v>MDJMBVRR</v>
      </c>
      <c r="H1735" s="2" t="str">
        <f>IFERROR(__xludf.DUMMYFUNCTION("IF('From Order'!$A1735=COLUMNS($A1735:H1754), LEFT(INDEX(FILTER(H$1:H1734, H$1:H1734&lt;&gt;""""),COUNTA(FILTER(H$1:H1734, H$1:H1734&lt;&gt;""""))), LEN(INDEX(FILTER(H$1:H1734, H$1:H1734&lt;&gt;""""),COUNTA(FILTER(H$1:H1734, H$1:H1734&lt;&gt;""""))))-1), IF('To Order'!$A1735=COL"&amp;"UMNS($A1735:H1754), H1734&amp;RIGHT(INDIRECT(ADDRESS(ROW(H1735)-1, 'From Order'!$A1735)), 1), H1734))"),"")</f>
        <v/>
      </c>
      <c r="I1735" s="2" t="str">
        <f>IFERROR(__xludf.DUMMYFUNCTION("IF('From Order'!$A1735=COLUMNS($A1735:I1754), LEFT(INDEX(FILTER(I$1:I1734, I$1:I1734&lt;&gt;""""),COUNTA(FILTER(I$1:I1734, I$1:I1734&lt;&gt;""""))), LEN(INDEX(FILTER(I$1:I1734, I$1:I1734&lt;&gt;""""),COUNTA(FILTER(I$1:I1734, I$1:I1734&lt;&gt;""""))))-1), IF('To Order'!$A1735=COL"&amp;"UMNS($A1735:I1754), I1734&amp;RIGHT(INDIRECT(ADDRESS(ROW(I1735)-1, 'From Order'!$A1735)), 1), I1734))"),"")</f>
        <v/>
      </c>
    </row>
    <row r="1736">
      <c r="A1736" s="2" t="str">
        <f>IFERROR(__xludf.DUMMYFUNCTION("IF('From Order'!$A1736=COLUMNS($A1736:A1755), LEFT(INDEX(FILTER(A$1:A1735, A$1:A1735&lt;&gt;""""),COUNTA(FILTER(A$1:A1735, A$1:A1735&lt;&gt;""""))), LEN(INDEX(FILTER(A$1:A1735, A$1:A1735&lt;&gt;""""),COUNTA(FILTER(A$1:A1735, A$1:A1735&lt;&gt;""""))))-1), IF('To Order'!$A1736=COL"&amp;"UMNS($A1736:A1755), A1735&amp;RIGHT(INDIRECT(ADDRESS(ROW(A1736)-1, 'From Order'!$A1736)), 1), A1735))"),"ZHZMTDLDS")</f>
        <v>ZHZMTDLDS</v>
      </c>
      <c r="B1736" s="2" t="str">
        <f>IFERROR(__xludf.DUMMYFUNCTION("IF('From Order'!$A1736=COLUMNS($A1736:B1755), LEFT(INDEX(FILTER(B$1:B1735, B$1:B1735&lt;&gt;""""),COUNTA(FILTER(B$1:B1735, B$1:B1735&lt;&gt;""""))), LEN(INDEX(FILTER(B$1:B1735, B$1:B1735&lt;&gt;""""),COUNTA(FILTER(B$1:B1735, B$1:B1735&lt;&gt;""""))))-1), IF('To Order'!$A1736=COL"&amp;"UMNS($A1736:B1755), B1735&amp;RIGHT(INDIRECT(ADDRESS(ROW(B1736)-1, 'From Order'!$A1736)), 1), B1735))"),"GTTJGBHFSCZW")</f>
        <v>GTTJGBHFSCZW</v>
      </c>
      <c r="C1736" s="2" t="str">
        <f>IFERROR(__xludf.DUMMYFUNCTION("IF('From Order'!$A1736=COLUMNS($A1736:C1755), LEFT(INDEX(FILTER(C$1:C1735, C$1:C1735&lt;&gt;""""),COUNTA(FILTER(C$1:C1735, C$1:C1735&lt;&gt;""""))), LEN(INDEX(FILTER(C$1:C1735, C$1:C1735&lt;&gt;""""),COUNTA(FILTER(C$1:C1735, C$1:C1735&lt;&gt;""""))))-1), IF('To Order'!$A1736=COL"&amp;"UMNS($A1736:C1755), C1735&amp;RIGHT(INDIRECT(ADDRESS(ROW(C1736)-1, 'From Order'!$A1736)), 1), C1735))"),"TQVQJPPSSTDDWLLFBP")</f>
        <v>TQVQJPPSSTDDWLLFBP</v>
      </c>
      <c r="D1736" s="2" t="str">
        <f>IFERROR(__xludf.DUMMYFUNCTION("IF('From Order'!$A1736=COLUMNS($A1736:D1755), LEFT(INDEX(FILTER(D$1:D1735, D$1:D1735&lt;&gt;""""),COUNTA(FILTER(D$1:D1735, D$1:D1735&lt;&gt;""""))), LEN(INDEX(FILTER(D$1:D1735, D$1:D1735&lt;&gt;""""),COUNTA(FILTER(D$1:D1735, D$1:D1735&lt;&gt;""""))))-1), IF('To Order'!$A1736=COL"&amp;"UMNS($A1736:D1755), D1735&amp;RIGHT(INDIRECT(ADDRESS(ROW(D1736)-1, 'From Order'!$A1736)), 1), D1735))"),"RBRTCV")</f>
        <v>RBRTCV</v>
      </c>
      <c r="E1736" s="2" t="str">
        <f>IFERROR(__xludf.DUMMYFUNCTION("IF('From Order'!$A1736=COLUMNS($A1736:E1755), LEFT(INDEX(FILTER(E$1:E1735, E$1:E1735&lt;&gt;""""),COUNTA(FILTER(E$1:E1735, E$1:E1735&lt;&gt;""""))), LEN(INDEX(FILTER(E$1:E1735, E$1:E1735&lt;&gt;""""),COUNTA(FILTER(E$1:E1735, E$1:E1735&lt;&gt;""""))))-1), IF('To Order'!$A1736=COL"&amp;"UMNS($A1736:E1755), E1735&amp;RIGHT(INDIRECT(ADDRESS(ROW(E1736)-1, 'From Order'!$A1736)), 1), E1735))"),"C")</f>
        <v>C</v>
      </c>
      <c r="F1736" s="2" t="str">
        <f>IFERROR(__xludf.DUMMYFUNCTION("IF('From Order'!$A1736=COLUMNS($A1736:F1755), LEFT(INDEX(FILTER(F$1:F1735, F$1:F1735&lt;&gt;""""),COUNTA(FILTER(F$1:F1735, F$1:F1735&lt;&gt;""""))), LEN(INDEX(FILTER(F$1:F1735, F$1:F1735&lt;&gt;""""),COUNTA(FILTER(F$1:F1735, F$1:F1735&lt;&gt;""""))))-1), IF('To Order'!$A1736=COL"&amp;"UMNS($A1736:F1755), F1735&amp;RIGHT(INDIRECT(ADDRESS(ROW(F1736)-1, 'From Order'!$A1736)), 1), F1735))"),"RD")</f>
        <v>RD</v>
      </c>
      <c r="G1736" s="2" t="str">
        <f>IFERROR(__xludf.DUMMYFUNCTION("IF('From Order'!$A1736=COLUMNS($A1736:G1755), LEFT(INDEX(FILTER(G$1:G1735, G$1:G1735&lt;&gt;""""),COUNTA(FILTER(G$1:G1735, G$1:G1735&lt;&gt;""""))), LEN(INDEX(FILTER(G$1:G1735, G$1:G1735&lt;&gt;""""),COUNTA(FILTER(G$1:G1735, G$1:G1735&lt;&gt;""""))))-1), IF('To Order'!$A1736=COL"&amp;"UMNS($A1736:G1755), G1735&amp;RIGHT(INDIRECT(ADDRESS(ROW(G1736)-1, 'From Order'!$A1736)), 1), G1735))"),"MDJMBVRR")</f>
        <v>MDJMBVRR</v>
      </c>
      <c r="H1736" s="2" t="str">
        <f>IFERROR(__xludf.DUMMYFUNCTION("IF('From Order'!$A1736=COLUMNS($A1736:H1755), LEFT(INDEX(FILTER(H$1:H1735, H$1:H1735&lt;&gt;""""),COUNTA(FILTER(H$1:H1735, H$1:H1735&lt;&gt;""""))), LEN(INDEX(FILTER(H$1:H1735, H$1:H1735&lt;&gt;""""),COUNTA(FILTER(H$1:H1735, H$1:H1735&lt;&gt;""""))))-1), IF('To Order'!$A1736=COL"&amp;"UMNS($A1736:H1755), H1735&amp;RIGHT(INDIRECT(ADDRESS(ROW(H1736)-1, 'From Order'!$A1736)), 1), H1735))"),"")</f>
        <v/>
      </c>
      <c r="I1736" s="2" t="str">
        <f>IFERROR(__xludf.DUMMYFUNCTION("IF('From Order'!$A1736=COLUMNS($A1736:I1755), LEFT(INDEX(FILTER(I$1:I1735, I$1:I1735&lt;&gt;""""),COUNTA(FILTER(I$1:I1735, I$1:I1735&lt;&gt;""""))), LEN(INDEX(FILTER(I$1:I1735, I$1:I1735&lt;&gt;""""),COUNTA(FILTER(I$1:I1735, I$1:I1735&lt;&gt;""""))))-1), IF('To Order'!$A1736=COL"&amp;"UMNS($A1736:I1755), I1735&amp;RIGHT(INDIRECT(ADDRESS(ROW(I1736)-1, 'From Order'!$A1736)), 1), I1735))"),"")</f>
        <v/>
      </c>
    </row>
    <row r="1737">
      <c r="A1737" s="2" t="str">
        <f>IFERROR(__xludf.DUMMYFUNCTION("IF('From Order'!$A1737=COLUMNS($A1737:A1756), LEFT(INDEX(FILTER(A$1:A1736, A$1:A1736&lt;&gt;""""),COUNTA(FILTER(A$1:A1736, A$1:A1736&lt;&gt;""""))), LEN(INDEX(FILTER(A$1:A1736, A$1:A1736&lt;&gt;""""),COUNTA(FILTER(A$1:A1736, A$1:A1736&lt;&gt;""""))))-1), IF('To Order'!$A1737=COL"&amp;"UMNS($A1737:A1756), A1736&amp;RIGHT(INDIRECT(ADDRESS(ROW(A1737)-1, 'From Order'!$A1737)), 1), A1736))"),"ZHZMTDLDS")</f>
        <v>ZHZMTDLDS</v>
      </c>
      <c r="B1737" s="2" t="str">
        <f>IFERROR(__xludf.DUMMYFUNCTION("IF('From Order'!$A1737=COLUMNS($A1737:B1756), LEFT(INDEX(FILTER(B$1:B1736, B$1:B1736&lt;&gt;""""),COUNTA(FILTER(B$1:B1736, B$1:B1736&lt;&gt;""""))), LEN(INDEX(FILTER(B$1:B1736, B$1:B1736&lt;&gt;""""),COUNTA(FILTER(B$1:B1736, B$1:B1736&lt;&gt;""""))))-1), IF('To Order'!$A1737=COL"&amp;"UMNS($A1737:B1756), B1736&amp;RIGHT(INDIRECT(ADDRESS(ROW(B1737)-1, 'From Order'!$A1737)), 1), B1736))"),"GTTJGBHFSCZW")</f>
        <v>GTTJGBHFSCZW</v>
      </c>
      <c r="C1737" s="2" t="str">
        <f>IFERROR(__xludf.DUMMYFUNCTION("IF('From Order'!$A1737=COLUMNS($A1737:C1756), LEFT(INDEX(FILTER(C$1:C1736, C$1:C1736&lt;&gt;""""),COUNTA(FILTER(C$1:C1736, C$1:C1736&lt;&gt;""""))), LEN(INDEX(FILTER(C$1:C1736, C$1:C1736&lt;&gt;""""),COUNTA(FILTER(C$1:C1736, C$1:C1736&lt;&gt;""""))))-1), IF('To Order'!$A1737=COL"&amp;"UMNS($A1737:C1756), C1736&amp;RIGHT(INDIRECT(ADDRESS(ROW(C1737)-1, 'From Order'!$A1737)), 1), C1736))"),"TQVQJPPSSTDDWLLFBP")</f>
        <v>TQVQJPPSSTDDWLLFBP</v>
      </c>
      <c r="D1737" s="2" t="str">
        <f>IFERROR(__xludf.DUMMYFUNCTION("IF('From Order'!$A1737=COLUMNS($A1737:D1756), LEFT(INDEX(FILTER(D$1:D1736, D$1:D1736&lt;&gt;""""),COUNTA(FILTER(D$1:D1736, D$1:D1736&lt;&gt;""""))), LEN(INDEX(FILTER(D$1:D1736, D$1:D1736&lt;&gt;""""),COUNTA(FILTER(D$1:D1736, D$1:D1736&lt;&gt;""""))))-1), IF('To Order'!$A1737=COL"&amp;"UMNS($A1737:D1756), D1736&amp;RIGHT(INDIRECT(ADDRESS(ROW(D1737)-1, 'From Order'!$A1737)), 1), D1736))"),"RBRTCVD")</f>
        <v>RBRTCVD</v>
      </c>
      <c r="E1737" s="2" t="str">
        <f>IFERROR(__xludf.DUMMYFUNCTION("IF('From Order'!$A1737=COLUMNS($A1737:E1756), LEFT(INDEX(FILTER(E$1:E1736, E$1:E1736&lt;&gt;""""),COUNTA(FILTER(E$1:E1736, E$1:E1736&lt;&gt;""""))), LEN(INDEX(FILTER(E$1:E1736, E$1:E1736&lt;&gt;""""),COUNTA(FILTER(E$1:E1736, E$1:E1736&lt;&gt;""""))))-1), IF('To Order'!$A1737=COL"&amp;"UMNS($A1737:E1756), E1736&amp;RIGHT(INDIRECT(ADDRESS(ROW(E1737)-1, 'From Order'!$A1737)), 1), E1736))"),"C")</f>
        <v>C</v>
      </c>
      <c r="F1737" s="2" t="str">
        <f>IFERROR(__xludf.DUMMYFUNCTION("IF('From Order'!$A1737=COLUMNS($A1737:F1756), LEFT(INDEX(FILTER(F$1:F1736, F$1:F1736&lt;&gt;""""),COUNTA(FILTER(F$1:F1736, F$1:F1736&lt;&gt;""""))), LEN(INDEX(FILTER(F$1:F1736, F$1:F1736&lt;&gt;""""),COUNTA(FILTER(F$1:F1736, F$1:F1736&lt;&gt;""""))))-1), IF('To Order'!$A1737=COL"&amp;"UMNS($A1737:F1756), F1736&amp;RIGHT(INDIRECT(ADDRESS(ROW(F1737)-1, 'From Order'!$A1737)), 1), F1736))"),"R")</f>
        <v>R</v>
      </c>
      <c r="G1737" s="2" t="str">
        <f>IFERROR(__xludf.DUMMYFUNCTION("IF('From Order'!$A1737=COLUMNS($A1737:G1756), LEFT(INDEX(FILTER(G$1:G1736, G$1:G1736&lt;&gt;""""),COUNTA(FILTER(G$1:G1736, G$1:G1736&lt;&gt;""""))), LEN(INDEX(FILTER(G$1:G1736, G$1:G1736&lt;&gt;""""),COUNTA(FILTER(G$1:G1736, G$1:G1736&lt;&gt;""""))))-1), IF('To Order'!$A1737=COL"&amp;"UMNS($A1737:G1756), G1736&amp;RIGHT(INDIRECT(ADDRESS(ROW(G1737)-1, 'From Order'!$A1737)), 1), G1736))"),"MDJMBVRR")</f>
        <v>MDJMBVRR</v>
      </c>
      <c r="H1737" s="2" t="str">
        <f>IFERROR(__xludf.DUMMYFUNCTION("IF('From Order'!$A1737=COLUMNS($A1737:H1756), LEFT(INDEX(FILTER(H$1:H1736, H$1:H1736&lt;&gt;""""),COUNTA(FILTER(H$1:H1736, H$1:H1736&lt;&gt;""""))), LEN(INDEX(FILTER(H$1:H1736, H$1:H1736&lt;&gt;""""),COUNTA(FILTER(H$1:H1736, H$1:H1736&lt;&gt;""""))))-1), IF('To Order'!$A1737=COL"&amp;"UMNS($A1737:H1756), H1736&amp;RIGHT(INDIRECT(ADDRESS(ROW(H1737)-1, 'From Order'!$A1737)), 1), H1736))"),"")</f>
        <v/>
      </c>
      <c r="I1737" s="2" t="str">
        <f>IFERROR(__xludf.DUMMYFUNCTION("IF('From Order'!$A1737=COLUMNS($A1737:I1756), LEFT(INDEX(FILTER(I$1:I1736, I$1:I1736&lt;&gt;""""),COUNTA(FILTER(I$1:I1736, I$1:I1736&lt;&gt;""""))), LEN(INDEX(FILTER(I$1:I1736, I$1:I1736&lt;&gt;""""),COUNTA(FILTER(I$1:I1736, I$1:I1736&lt;&gt;""""))))-1), IF('To Order'!$A1737=COL"&amp;"UMNS($A1737:I1756), I1736&amp;RIGHT(INDIRECT(ADDRESS(ROW(I1737)-1, 'From Order'!$A1737)), 1), I1736))"),"")</f>
        <v/>
      </c>
    </row>
    <row r="1738">
      <c r="A1738" s="2" t="str">
        <f>IFERROR(__xludf.DUMMYFUNCTION("IF('From Order'!$A1738=COLUMNS($A1738:A1757), LEFT(INDEX(FILTER(A$1:A1737, A$1:A1737&lt;&gt;""""),COUNTA(FILTER(A$1:A1737, A$1:A1737&lt;&gt;""""))), LEN(INDEX(FILTER(A$1:A1737, A$1:A1737&lt;&gt;""""),COUNTA(FILTER(A$1:A1737, A$1:A1737&lt;&gt;""""))))-1), IF('To Order'!$A1738=COL"&amp;"UMNS($A1738:A1757), A1737&amp;RIGHT(INDIRECT(ADDRESS(ROW(A1738)-1, 'From Order'!$A1738)), 1), A1737))"),"ZHZMTDLDS")</f>
        <v>ZHZMTDLDS</v>
      </c>
      <c r="B1738" s="2" t="str">
        <f>IFERROR(__xludf.DUMMYFUNCTION("IF('From Order'!$A1738=COLUMNS($A1738:B1757), LEFT(INDEX(FILTER(B$1:B1737, B$1:B1737&lt;&gt;""""),COUNTA(FILTER(B$1:B1737, B$1:B1737&lt;&gt;""""))), LEN(INDEX(FILTER(B$1:B1737, B$1:B1737&lt;&gt;""""),COUNTA(FILTER(B$1:B1737, B$1:B1737&lt;&gt;""""))))-1), IF('To Order'!$A1738=COL"&amp;"UMNS($A1738:B1757), B1737&amp;RIGHT(INDIRECT(ADDRESS(ROW(B1738)-1, 'From Order'!$A1738)), 1), B1737))"),"GTTJGBHFSCZW")</f>
        <v>GTTJGBHFSCZW</v>
      </c>
      <c r="C1738" s="2" t="str">
        <f>IFERROR(__xludf.DUMMYFUNCTION("IF('From Order'!$A1738=COLUMNS($A1738:C1757), LEFT(INDEX(FILTER(C$1:C1737, C$1:C1737&lt;&gt;""""),COUNTA(FILTER(C$1:C1737, C$1:C1737&lt;&gt;""""))), LEN(INDEX(FILTER(C$1:C1737, C$1:C1737&lt;&gt;""""),COUNTA(FILTER(C$1:C1737, C$1:C1737&lt;&gt;""""))))-1), IF('To Order'!$A1738=COL"&amp;"UMNS($A1738:C1757), C1737&amp;RIGHT(INDIRECT(ADDRESS(ROW(C1738)-1, 'From Order'!$A1738)), 1), C1737))"),"TQVQJPPSSTDDWLLFBP")</f>
        <v>TQVQJPPSSTDDWLLFBP</v>
      </c>
      <c r="D1738" s="2" t="str">
        <f>IFERROR(__xludf.DUMMYFUNCTION("IF('From Order'!$A1738=COLUMNS($A1738:D1757), LEFT(INDEX(FILTER(D$1:D1737, D$1:D1737&lt;&gt;""""),COUNTA(FILTER(D$1:D1737, D$1:D1737&lt;&gt;""""))), LEN(INDEX(FILTER(D$1:D1737, D$1:D1737&lt;&gt;""""),COUNTA(FILTER(D$1:D1737, D$1:D1737&lt;&gt;""""))))-1), IF('To Order'!$A1738=COL"&amp;"UMNS($A1738:D1757), D1737&amp;RIGHT(INDIRECT(ADDRESS(ROW(D1738)-1, 'From Order'!$A1738)), 1), D1737))"),"RBRTCVDR")</f>
        <v>RBRTCVDR</v>
      </c>
      <c r="E1738" s="2" t="str">
        <f>IFERROR(__xludf.DUMMYFUNCTION("IF('From Order'!$A1738=COLUMNS($A1738:E1757), LEFT(INDEX(FILTER(E$1:E1737, E$1:E1737&lt;&gt;""""),COUNTA(FILTER(E$1:E1737, E$1:E1737&lt;&gt;""""))), LEN(INDEX(FILTER(E$1:E1737, E$1:E1737&lt;&gt;""""),COUNTA(FILTER(E$1:E1737, E$1:E1737&lt;&gt;""""))))-1), IF('To Order'!$A1738=COL"&amp;"UMNS($A1738:E1757), E1737&amp;RIGHT(INDIRECT(ADDRESS(ROW(E1738)-1, 'From Order'!$A1738)), 1), E1737))"),"C")</f>
        <v>C</v>
      </c>
      <c r="F1738" s="2" t="str">
        <f>IFERROR(__xludf.DUMMYFUNCTION("IF('From Order'!$A1738=COLUMNS($A1738:F1757), LEFT(INDEX(FILTER(F$1:F1737, F$1:F1737&lt;&gt;""""),COUNTA(FILTER(F$1:F1737, F$1:F1737&lt;&gt;""""))), LEN(INDEX(FILTER(F$1:F1737, F$1:F1737&lt;&gt;""""),COUNTA(FILTER(F$1:F1737, F$1:F1737&lt;&gt;""""))))-1), IF('To Order'!$A1738=COL"&amp;"UMNS($A1738:F1757), F1737&amp;RIGHT(INDIRECT(ADDRESS(ROW(F1738)-1, 'From Order'!$A1738)), 1), F1737))"),"")</f>
        <v/>
      </c>
      <c r="G1738" s="2" t="str">
        <f>IFERROR(__xludf.DUMMYFUNCTION("IF('From Order'!$A1738=COLUMNS($A1738:G1757), LEFT(INDEX(FILTER(G$1:G1737, G$1:G1737&lt;&gt;""""),COUNTA(FILTER(G$1:G1737, G$1:G1737&lt;&gt;""""))), LEN(INDEX(FILTER(G$1:G1737, G$1:G1737&lt;&gt;""""),COUNTA(FILTER(G$1:G1737, G$1:G1737&lt;&gt;""""))))-1), IF('To Order'!$A1738=COL"&amp;"UMNS($A1738:G1757), G1737&amp;RIGHT(INDIRECT(ADDRESS(ROW(G1738)-1, 'From Order'!$A1738)), 1), G1737))"),"MDJMBVRR")</f>
        <v>MDJMBVRR</v>
      </c>
      <c r="H1738" s="2" t="str">
        <f>IFERROR(__xludf.DUMMYFUNCTION("IF('From Order'!$A1738=COLUMNS($A1738:H1757), LEFT(INDEX(FILTER(H$1:H1737, H$1:H1737&lt;&gt;""""),COUNTA(FILTER(H$1:H1737, H$1:H1737&lt;&gt;""""))), LEN(INDEX(FILTER(H$1:H1737, H$1:H1737&lt;&gt;""""),COUNTA(FILTER(H$1:H1737, H$1:H1737&lt;&gt;""""))))-1), IF('To Order'!$A1738=COL"&amp;"UMNS($A1738:H1757), H1737&amp;RIGHT(INDIRECT(ADDRESS(ROW(H1738)-1, 'From Order'!$A1738)), 1), H1737))"),"")</f>
        <v/>
      </c>
      <c r="I1738" s="2" t="str">
        <f>IFERROR(__xludf.DUMMYFUNCTION("IF('From Order'!$A1738=COLUMNS($A1738:I1757), LEFT(INDEX(FILTER(I$1:I1737, I$1:I1737&lt;&gt;""""),COUNTA(FILTER(I$1:I1737, I$1:I1737&lt;&gt;""""))), LEN(INDEX(FILTER(I$1:I1737, I$1:I1737&lt;&gt;""""),COUNTA(FILTER(I$1:I1737, I$1:I1737&lt;&gt;""""))))-1), IF('To Order'!$A1738=COL"&amp;"UMNS($A1738:I1757), I1737&amp;RIGHT(INDIRECT(ADDRESS(ROW(I1738)-1, 'From Order'!$A1738)), 1), I1737))"),"")</f>
        <v/>
      </c>
    </row>
    <row r="1739">
      <c r="A1739" s="2" t="str">
        <f>IFERROR(__xludf.DUMMYFUNCTION("IF('From Order'!$A1739=COLUMNS($A1739:A1758), LEFT(INDEX(FILTER(A$1:A1738, A$1:A1738&lt;&gt;""""),COUNTA(FILTER(A$1:A1738, A$1:A1738&lt;&gt;""""))), LEN(INDEX(FILTER(A$1:A1738, A$1:A1738&lt;&gt;""""),COUNTA(FILTER(A$1:A1738, A$1:A1738&lt;&gt;""""))))-1), IF('To Order'!$A1739=COL"&amp;"UMNS($A1739:A1758), A1738&amp;RIGHT(INDIRECT(ADDRESS(ROW(A1739)-1, 'From Order'!$A1739)), 1), A1738))"),"ZHZMTDLDSP")</f>
        <v>ZHZMTDLDSP</v>
      </c>
      <c r="B1739" s="2" t="str">
        <f>IFERROR(__xludf.DUMMYFUNCTION("IF('From Order'!$A1739=COLUMNS($A1739:B1758), LEFT(INDEX(FILTER(B$1:B1738, B$1:B1738&lt;&gt;""""),COUNTA(FILTER(B$1:B1738, B$1:B1738&lt;&gt;""""))), LEN(INDEX(FILTER(B$1:B1738, B$1:B1738&lt;&gt;""""),COUNTA(FILTER(B$1:B1738, B$1:B1738&lt;&gt;""""))))-1), IF('To Order'!$A1739=COL"&amp;"UMNS($A1739:B1758), B1738&amp;RIGHT(INDIRECT(ADDRESS(ROW(B1739)-1, 'From Order'!$A1739)), 1), B1738))"),"GTTJGBHFSCZW")</f>
        <v>GTTJGBHFSCZW</v>
      </c>
      <c r="C1739" s="2" t="str">
        <f>IFERROR(__xludf.DUMMYFUNCTION("IF('From Order'!$A1739=COLUMNS($A1739:C1758), LEFT(INDEX(FILTER(C$1:C1738, C$1:C1738&lt;&gt;""""),COUNTA(FILTER(C$1:C1738, C$1:C1738&lt;&gt;""""))), LEN(INDEX(FILTER(C$1:C1738, C$1:C1738&lt;&gt;""""),COUNTA(FILTER(C$1:C1738, C$1:C1738&lt;&gt;""""))))-1), IF('To Order'!$A1739=COL"&amp;"UMNS($A1739:C1758), C1738&amp;RIGHT(INDIRECT(ADDRESS(ROW(C1739)-1, 'From Order'!$A1739)), 1), C1738))"),"TQVQJPPSSTDDWLLFB")</f>
        <v>TQVQJPPSSTDDWLLFB</v>
      </c>
      <c r="D1739" s="2" t="str">
        <f>IFERROR(__xludf.DUMMYFUNCTION("IF('From Order'!$A1739=COLUMNS($A1739:D1758), LEFT(INDEX(FILTER(D$1:D1738, D$1:D1738&lt;&gt;""""),COUNTA(FILTER(D$1:D1738, D$1:D1738&lt;&gt;""""))), LEN(INDEX(FILTER(D$1:D1738, D$1:D1738&lt;&gt;""""),COUNTA(FILTER(D$1:D1738, D$1:D1738&lt;&gt;""""))))-1), IF('To Order'!$A1739=COL"&amp;"UMNS($A1739:D1758), D1738&amp;RIGHT(INDIRECT(ADDRESS(ROW(D1739)-1, 'From Order'!$A1739)), 1), D1738))"),"RBRTCVDR")</f>
        <v>RBRTCVDR</v>
      </c>
      <c r="E1739" s="2" t="str">
        <f>IFERROR(__xludf.DUMMYFUNCTION("IF('From Order'!$A1739=COLUMNS($A1739:E1758), LEFT(INDEX(FILTER(E$1:E1738, E$1:E1738&lt;&gt;""""),COUNTA(FILTER(E$1:E1738, E$1:E1738&lt;&gt;""""))), LEN(INDEX(FILTER(E$1:E1738, E$1:E1738&lt;&gt;""""),COUNTA(FILTER(E$1:E1738, E$1:E1738&lt;&gt;""""))))-1), IF('To Order'!$A1739=COL"&amp;"UMNS($A1739:E1758), E1738&amp;RIGHT(INDIRECT(ADDRESS(ROW(E1739)-1, 'From Order'!$A1739)), 1), E1738))"),"C")</f>
        <v>C</v>
      </c>
      <c r="F1739" s="2" t="str">
        <f>IFERROR(__xludf.DUMMYFUNCTION("IF('From Order'!$A1739=COLUMNS($A1739:F1758), LEFT(INDEX(FILTER(F$1:F1738, F$1:F1738&lt;&gt;""""),COUNTA(FILTER(F$1:F1738, F$1:F1738&lt;&gt;""""))), LEN(INDEX(FILTER(F$1:F1738, F$1:F1738&lt;&gt;""""),COUNTA(FILTER(F$1:F1738, F$1:F1738&lt;&gt;""""))))-1), IF('To Order'!$A1739=COL"&amp;"UMNS($A1739:F1758), F1738&amp;RIGHT(INDIRECT(ADDRESS(ROW(F1739)-1, 'From Order'!$A1739)), 1), F1738))"),"")</f>
        <v/>
      </c>
      <c r="G1739" s="2" t="str">
        <f>IFERROR(__xludf.DUMMYFUNCTION("IF('From Order'!$A1739=COLUMNS($A1739:G1758), LEFT(INDEX(FILTER(G$1:G1738, G$1:G1738&lt;&gt;""""),COUNTA(FILTER(G$1:G1738, G$1:G1738&lt;&gt;""""))), LEN(INDEX(FILTER(G$1:G1738, G$1:G1738&lt;&gt;""""),COUNTA(FILTER(G$1:G1738, G$1:G1738&lt;&gt;""""))))-1), IF('To Order'!$A1739=COL"&amp;"UMNS($A1739:G1758), G1738&amp;RIGHT(INDIRECT(ADDRESS(ROW(G1739)-1, 'From Order'!$A1739)), 1), G1738))"),"MDJMBVRR")</f>
        <v>MDJMBVRR</v>
      </c>
      <c r="H1739" s="2" t="str">
        <f>IFERROR(__xludf.DUMMYFUNCTION("IF('From Order'!$A1739=COLUMNS($A1739:H1758), LEFT(INDEX(FILTER(H$1:H1738, H$1:H1738&lt;&gt;""""),COUNTA(FILTER(H$1:H1738, H$1:H1738&lt;&gt;""""))), LEN(INDEX(FILTER(H$1:H1738, H$1:H1738&lt;&gt;""""),COUNTA(FILTER(H$1:H1738, H$1:H1738&lt;&gt;""""))))-1), IF('To Order'!$A1739=COL"&amp;"UMNS($A1739:H1758), H1738&amp;RIGHT(INDIRECT(ADDRESS(ROW(H1739)-1, 'From Order'!$A1739)), 1), H1738))"),"")</f>
        <v/>
      </c>
      <c r="I1739" s="2" t="str">
        <f>IFERROR(__xludf.DUMMYFUNCTION("IF('From Order'!$A1739=COLUMNS($A1739:I1758), LEFT(INDEX(FILTER(I$1:I1738, I$1:I1738&lt;&gt;""""),COUNTA(FILTER(I$1:I1738, I$1:I1738&lt;&gt;""""))), LEN(INDEX(FILTER(I$1:I1738, I$1:I1738&lt;&gt;""""),COUNTA(FILTER(I$1:I1738, I$1:I1738&lt;&gt;""""))))-1), IF('To Order'!$A1739=COL"&amp;"UMNS($A1739:I1758), I1738&amp;RIGHT(INDIRECT(ADDRESS(ROW(I1739)-1, 'From Order'!$A1739)), 1), I1738))"),"")</f>
        <v/>
      </c>
    </row>
    <row r="1740">
      <c r="A1740" s="2" t="str">
        <f>IFERROR(__xludf.DUMMYFUNCTION("IF('From Order'!$A1740=COLUMNS($A1740:A1759), LEFT(INDEX(FILTER(A$1:A1739, A$1:A1739&lt;&gt;""""),COUNTA(FILTER(A$1:A1739, A$1:A1739&lt;&gt;""""))), LEN(INDEX(FILTER(A$1:A1739, A$1:A1739&lt;&gt;""""),COUNTA(FILTER(A$1:A1739, A$1:A1739&lt;&gt;""""))))-1), IF('To Order'!$A1740=COL"&amp;"UMNS($A1740:A1759), A1739&amp;RIGHT(INDIRECT(ADDRESS(ROW(A1740)-1, 'From Order'!$A1740)), 1), A1739))"),"ZHZMTDLDSPB")</f>
        <v>ZHZMTDLDSPB</v>
      </c>
      <c r="B1740" s="2" t="str">
        <f>IFERROR(__xludf.DUMMYFUNCTION("IF('From Order'!$A1740=COLUMNS($A1740:B1759), LEFT(INDEX(FILTER(B$1:B1739, B$1:B1739&lt;&gt;""""),COUNTA(FILTER(B$1:B1739, B$1:B1739&lt;&gt;""""))), LEN(INDEX(FILTER(B$1:B1739, B$1:B1739&lt;&gt;""""),COUNTA(FILTER(B$1:B1739, B$1:B1739&lt;&gt;""""))))-1), IF('To Order'!$A1740=COL"&amp;"UMNS($A1740:B1759), B1739&amp;RIGHT(INDIRECT(ADDRESS(ROW(B1740)-1, 'From Order'!$A1740)), 1), B1739))"),"GTTJGBHFSCZW")</f>
        <v>GTTJGBHFSCZW</v>
      </c>
      <c r="C1740" s="2" t="str">
        <f>IFERROR(__xludf.DUMMYFUNCTION("IF('From Order'!$A1740=COLUMNS($A1740:C1759), LEFT(INDEX(FILTER(C$1:C1739, C$1:C1739&lt;&gt;""""),COUNTA(FILTER(C$1:C1739, C$1:C1739&lt;&gt;""""))), LEN(INDEX(FILTER(C$1:C1739, C$1:C1739&lt;&gt;""""),COUNTA(FILTER(C$1:C1739, C$1:C1739&lt;&gt;""""))))-1), IF('To Order'!$A1740=COL"&amp;"UMNS($A1740:C1759), C1739&amp;RIGHT(INDIRECT(ADDRESS(ROW(C1740)-1, 'From Order'!$A1740)), 1), C1739))"),"TQVQJPPSSTDDWLLF")</f>
        <v>TQVQJPPSSTDDWLLF</v>
      </c>
      <c r="D1740" s="2" t="str">
        <f>IFERROR(__xludf.DUMMYFUNCTION("IF('From Order'!$A1740=COLUMNS($A1740:D1759), LEFT(INDEX(FILTER(D$1:D1739, D$1:D1739&lt;&gt;""""),COUNTA(FILTER(D$1:D1739, D$1:D1739&lt;&gt;""""))), LEN(INDEX(FILTER(D$1:D1739, D$1:D1739&lt;&gt;""""),COUNTA(FILTER(D$1:D1739, D$1:D1739&lt;&gt;""""))))-1), IF('To Order'!$A1740=COL"&amp;"UMNS($A1740:D1759), D1739&amp;RIGHT(INDIRECT(ADDRESS(ROW(D1740)-1, 'From Order'!$A1740)), 1), D1739))"),"RBRTCVDR")</f>
        <v>RBRTCVDR</v>
      </c>
      <c r="E1740" s="2" t="str">
        <f>IFERROR(__xludf.DUMMYFUNCTION("IF('From Order'!$A1740=COLUMNS($A1740:E1759), LEFT(INDEX(FILTER(E$1:E1739, E$1:E1739&lt;&gt;""""),COUNTA(FILTER(E$1:E1739, E$1:E1739&lt;&gt;""""))), LEN(INDEX(FILTER(E$1:E1739, E$1:E1739&lt;&gt;""""),COUNTA(FILTER(E$1:E1739, E$1:E1739&lt;&gt;""""))))-1), IF('To Order'!$A1740=COL"&amp;"UMNS($A1740:E1759), E1739&amp;RIGHT(INDIRECT(ADDRESS(ROW(E1740)-1, 'From Order'!$A1740)), 1), E1739))"),"C")</f>
        <v>C</v>
      </c>
      <c r="F1740" s="2" t="str">
        <f>IFERROR(__xludf.DUMMYFUNCTION("IF('From Order'!$A1740=COLUMNS($A1740:F1759), LEFT(INDEX(FILTER(F$1:F1739, F$1:F1739&lt;&gt;""""),COUNTA(FILTER(F$1:F1739, F$1:F1739&lt;&gt;""""))), LEN(INDEX(FILTER(F$1:F1739, F$1:F1739&lt;&gt;""""),COUNTA(FILTER(F$1:F1739, F$1:F1739&lt;&gt;""""))))-1), IF('To Order'!$A1740=COL"&amp;"UMNS($A1740:F1759), F1739&amp;RIGHT(INDIRECT(ADDRESS(ROW(F1740)-1, 'From Order'!$A1740)), 1), F1739))"),"")</f>
        <v/>
      </c>
      <c r="G1740" s="2" t="str">
        <f>IFERROR(__xludf.DUMMYFUNCTION("IF('From Order'!$A1740=COLUMNS($A1740:G1759), LEFT(INDEX(FILTER(G$1:G1739, G$1:G1739&lt;&gt;""""),COUNTA(FILTER(G$1:G1739, G$1:G1739&lt;&gt;""""))), LEN(INDEX(FILTER(G$1:G1739, G$1:G1739&lt;&gt;""""),COUNTA(FILTER(G$1:G1739, G$1:G1739&lt;&gt;""""))))-1), IF('To Order'!$A1740=COL"&amp;"UMNS($A1740:G1759), G1739&amp;RIGHT(INDIRECT(ADDRESS(ROW(G1740)-1, 'From Order'!$A1740)), 1), G1739))"),"MDJMBVRR")</f>
        <v>MDJMBVRR</v>
      </c>
      <c r="H1740" s="2" t="str">
        <f>IFERROR(__xludf.DUMMYFUNCTION("IF('From Order'!$A1740=COLUMNS($A1740:H1759), LEFT(INDEX(FILTER(H$1:H1739, H$1:H1739&lt;&gt;""""),COUNTA(FILTER(H$1:H1739, H$1:H1739&lt;&gt;""""))), LEN(INDEX(FILTER(H$1:H1739, H$1:H1739&lt;&gt;""""),COUNTA(FILTER(H$1:H1739, H$1:H1739&lt;&gt;""""))))-1), IF('To Order'!$A1740=COL"&amp;"UMNS($A1740:H1759), H1739&amp;RIGHT(INDIRECT(ADDRESS(ROW(H1740)-1, 'From Order'!$A1740)), 1), H1739))"),"")</f>
        <v/>
      </c>
      <c r="I1740" s="2" t="str">
        <f>IFERROR(__xludf.DUMMYFUNCTION("IF('From Order'!$A1740=COLUMNS($A1740:I1759), LEFT(INDEX(FILTER(I$1:I1739, I$1:I1739&lt;&gt;""""),COUNTA(FILTER(I$1:I1739, I$1:I1739&lt;&gt;""""))), LEN(INDEX(FILTER(I$1:I1739, I$1:I1739&lt;&gt;""""),COUNTA(FILTER(I$1:I1739, I$1:I1739&lt;&gt;""""))))-1), IF('To Order'!$A1740=COL"&amp;"UMNS($A1740:I1759), I1739&amp;RIGHT(INDIRECT(ADDRESS(ROW(I1740)-1, 'From Order'!$A1740)), 1), I1739))"),"")</f>
        <v/>
      </c>
    </row>
    <row r="1741">
      <c r="A1741" s="2" t="str">
        <f>IFERROR(__xludf.DUMMYFUNCTION("IF('From Order'!$A1741=COLUMNS($A1741:A1760), LEFT(INDEX(FILTER(A$1:A1740, A$1:A1740&lt;&gt;""""),COUNTA(FILTER(A$1:A1740, A$1:A1740&lt;&gt;""""))), LEN(INDEX(FILTER(A$1:A1740, A$1:A1740&lt;&gt;""""),COUNTA(FILTER(A$1:A1740, A$1:A1740&lt;&gt;""""))))-1), IF('To Order'!$A1741=COL"&amp;"UMNS($A1741:A1760), A1740&amp;RIGHT(INDIRECT(ADDRESS(ROW(A1741)-1, 'From Order'!$A1741)), 1), A1740))"),"ZHZMTDLDSPBF")</f>
        <v>ZHZMTDLDSPBF</v>
      </c>
      <c r="B1741" s="2" t="str">
        <f>IFERROR(__xludf.DUMMYFUNCTION("IF('From Order'!$A1741=COLUMNS($A1741:B1760), LEFT(INDEX(FILTER(B$1:B1740, B$1:B1740&lt;&gt;""""),COUNTA(FILTER(B$1:B1740, B$1:B1740&lt;&gt;""""))), LEN(INDEX(FILTER(B$1:B1740, B$1:B1740&lt;&gt;""""),COUNTA(FILTER(B$1:B1740, B$1:B1740&lt;&gt;""""))))-1), IF('To Order'!$A1741=COL"&amp;"UMNS($A1741:B1760), B1740&amp;RIGHT(INDIRECT(ADDRESS(ROW(B1741)-1, 'From Order'!$A1741)), 1), B1740))"),"GTTJGBHFSCZW")</f>
        <v>GTTJGBHFSCZW</v>
      </c>
      <c r="C1741" s="2" t="str">
        <f>IFERROR(__xludf.DUMMYFUNCTION("IF('From Order'!$A1741=COLUMNS($A1741:C1760), LEFT(INDEX(FILTER(C$1:C1740, C$1:C1740&lt;&gt;""""),COUNTA(FILTER(C$1:C1740, C$1:C1740&lt;&gt;""""))), LEN(INDEX(FILTER(C$1:C1740, C$1:C1740&lt;&gt;""""),COUNTA(FILTER(C$1:C1740, C$1:C1740&lt;&gt;""""))))-1), IF('To Order'!$A1741=COL"&amp;"UMNS($A1741:C1760), C1740&amp;RIGHT(INDIRECT(ADDRESS(ROW(C1741)-1, 'From Order'!$A1741)), 1), C1740))"),"TQVQJPPSSTDDWLL")</f>
        <v>TQVQJPPSSTDDWLL</v>
      </c>
      <c r="D1741" s="2" t="str">
        <f>IFERROR(__xludf.DUMMYFUNCTION("IF('From Order'!$A1741=COLUMNS($A1741:D1760), LEFT(INDEX(FILTER(D$1:D1740, D$1:D1740&lt;&gt;""""),COUNTA(FILTER(D$1:D1740, D$1:D1740&lt;&gt;""""))), LEN(INDEX(FILTER(D$1:D1740, D$1:D1740&lt;&gt;""""),COUNTA(FILTER(D$1:D1740, D$1:D1740&lt;&gt;""""))))-1), IF('To Order'!$A1741=COL"&amp;"UMNS($A1741:D1760), D1740&amp;RIGHT(INDIRECT(ADDRESS(ROW(D1741)-1, 'From Order'!$A1741)), 1), D1740))"),"RBRTCVDR")</f>
        <v>RBRTCVDR</v>
      </c>
      <c r="E1741" s="2" t="str">
        <f>IFERROR(__xludf.DUMMYFUNCTION("IF('From Order'!$A1741=COLUMNS($A1741:E1760), LEFT(INDEX(FILTER(E$1:E1740, E$1:E1740&lt;&gt;""""),COUNTA(FILTER(E$1:E1740, E$1:E1740&lt;&gt;""""))), LEN(INDEX(FILTER(E$1:E1740, E$1:E1740&lt;&gt;""""),COUNTA(FILTER(E$1:E1740, E$1:E1740&lt;&gt;""""))))-1), IF('To Order'!$A1741=COL"&amp;"UMNS($A1741:E1760), E1740&amp;RIGHT(INDIRECT(ADDRESS(ROW(E1741)-1, 'From Order'!$A1741)), 1), E1740))"),"C")</f>
        <v>C</v>
      </c>
      <c r="F1741" s="2" t="str">
        <f>IFERROR(__xludf.DUMMYFUNCTION("IF('From Order'!$A1741=COLUMNS($A1741:F1760), LEFT(INDEX(FILTER(F$1:F1740, F$1:F1740&lt;&gt;""""),COUNTA(FILTER(F$1:F1740, F$1:F1740&lt;&gt;""""))), LEN(INDEX(FILTER(F$1:F1740, F$1:F1740&lt;&gt;""""),COUNTA(FILTER(F$1:F1740, F$1:F1740&lt;&gt;""""))))-1), IF('To Order'!$A1741=COL"&amp;"UMNS($A1741:F1760), F1740&amp;RIGHT(INDIRECT(ADDRESS(ROW(F1741)-1, 'From Order'!$A1741)), 1), F1740))"),"")</f>
        <v/>
      </c>
      <c r="G1741" s="2" t="str">
        <f>IFERROR(__xludf.DUMMYFUNCTION("IF('From Order'!$A1741=COLUMNS($A1741:G1760), LEFT(INDEX(FILTER(G$1:G1740, G$1:G1740&lt;&gt;""""),COUNTA(FILTER(G$1:G1740, G$1:G1740&lt;&gt;""""))), LEN(INDEX(FILTER(G$1:G1740, G$1:G1740&lt;&gt;""""),COUNTA(FILTER(G$1:G1740, G$1:G1740&lt;&gt;""""))))-1), IF('To Order'!$A1741=COL"&amp;"UMNS($A1741:G1760), G1740&amp;RIGHT(INDIRECT(ADDRESS(ROW(G1741)-1, 'From Order'!$A1741)), 1), G1740))"),"MDJMBVRR")</f>
        <v>MDJMBVRR</v>
      </c>
      <c r="H1741" s="2" t="str">
        <f>IFERROR(__xludf.DUMMYFUNCTION("IF('From Order'!$A1741=COLUMNS($A1741:H1760), LEFT(INDEX(FILTER(H$1:H1740, H$1:H1740&lt;&gt;""""),COUNTA(FILTER(H$1:H1740, H$1:H1740&lt;&gt;""""))), LEN(INDEX(FILTER(H$1:H1740, H$1:H1740&lt;&gt;""""),COUNTA(FILTER(H$1:H1740, H$1:H1740&lt;&gt;""""))))-1), IF('To Order'!$A1741=COL"&amp;"UMNS($A1741:H1760), H1740&amp;RIGHT(INDIRECT(ADDRESS(ROW(H1741)-1, 'From Order'!$A1741)), 1), H1740))"),"")</f>
        <v/>
      </c>
      <c r="I1741" s="2" t="str">
        <f>IFERROR(__xludf.DUMMYFUNCTION("IF('From Order'!$A1741=COLUMNS($A1741:I1760), LEFT(INDEX(FILTER(I$1:I1740, I$1:I1740&lt;&gt;""""),COUNTA(FILTER(I$1:I1740, I$1:I1740&lt;&gt;""""))), LEN(INDEX(FILTER(I$1:I1740, I$1:I1740&lt;&gt;""""),COUNTA(FILTER(I$1:I1740, I$1:I1740&lt;&gt;""""))))-1), IF('To Order'!$A1741=COL"&amp;"UMNS($A1741:I1760), I1740&amp;RIGHT(INDIRECT(ADDRESS(ROW(I1741)-1, 'From Order'!$A1741)), 1), I1740))"),"")</f>
        <v/>
      </c>
    </row>
    <row r="1742">
      <c r="A1742" s="2" t="str">
        <f>IFERROR(__xludf.DUMMYFUNCTION("IF('From Order'!$A1742=COLUMNS($A1742:A1761), LEFT(INDEX(FILTER(A$1:A1741, A$1:A1741&lt;&gt;""""),COUNTA(FILTER(A$1:A1741, A$1:A1741&lt;&gt;""""))), LEN(INDEX(FILTER(A$1:A1741, A$1:A1741&lt;&gt;""""),COUNTA(FILTER(A$1:A1741, A$1:A1741&lt;&gt;""""))))-1), IF('To Order'!$A1742=COL"&amp;"UMNS($A1742:A1761), A1741&amp;RIGHT(INDIRECT(ADDRESS(ROW(A1742)-1, 'From Order'!$A1742)), 1), A1741))"),"ZHZMTDLDSPBFL")</f>
        <v>ZHZMTDLDSPBFL</v>
      </c>
      <c r="B1742" s="2" t="str">
        <f>IFERROR(__xludf.DUMMYFUNCTION("IF('From Order'!$A1742=COLUMNS($A1742:B1761), LEFT(INDEX(FILTER(B$1:B1741, B$1:B1741&lt;&gt;""""),COUNTA(FILTER(B$1:B1741, B$1:B1741&lt;&gt;""""))), LEN(INDEX(FILTER(B$1:B1741, B$1:B1741&lt;&gt;""""),COUNTA(FILTER(B$1:B1741, B$1:B1741&lt;&gt;""""))))-1), IF('To Order'!$A1742=COL"&amp;"UMNS($A1742:B1761), B1741&amp;RIGHT(INDIRECT(ADDRESS(ROW(B1742)-1, 'From Order'!$A1742)), 1), B1741))"),"GTTJGBHFSCZW")</f>
        <v>GTTJGBHFSCZW</v>
      </c>
      <c r="C1742" s="2" t="str">
        <f>IFERROR(__xludf.DUMMYFUNCTION("IF('From Order'!$A1742=COLUMNS($A1742:C1761), LEFT(INDEX(FILTER(C$1:C1741, C$1:C1741&lt;&gt;""""),COUNTA(FILTER(C$1:C1741, C$1:C1741&lt;&gt;""""))), LEN(INDEX(FILTER(C$1:C1741, C$1:C1741&lt;&gt;""""),COUNTA(FILTER(C$1:C1741, C$1:C1741&lt;&gt;""""))))-1), IF('To Order'!$A1742=COL"&amp;"UMNS($A1742:C1761), C1741&amp;RIGHT(INDIRECT(ADDRESS(ROW(C1742)-1, 'From Order'!$A1742)), 1), C1741))"),"TQVQJPPSSTDDWL")</f>
        <v>TQVQJPPSSTDDWL</v>
      </c>
      <c r="D1742" s="2" t="str">
        <f>IFERROR(__xludf.DUMMYFUNCTION("IF('From Order'!$A1742=COLUMNS($A1742:D1761), LEFT(INDEX(FILTER(D$1:D1741, D$1:D1741&lt;&gt;""""),COUNTA(FILTER(D$1:D1741, D$1:D1741&lt;&gt;""""))), LEN(INDEX(FILTER(D$1:D1741, D$1:D1741&lt;&gt;""""),COUNTA(FILTER(D$1:D1741, D$1:D1741&lt;&gt;""""))))-1), IF('To Order'!$A1742=COL"&amp;"UMNS($A1742:D1761), D1741&amp;RIGHT(INDIRECT(ADDRESS(ROW(D1742)-1, 'From Order'!$A1742)), 1), D1741))"),"RBRTCVDR")</f>
        <v>RBRTCVDR</v>
      </c>
      <c r="E1742" s="2" t="str">
        <f>IFERROR(__xludf.DUMMYFUNCTION("IF('From Order'!$A1742=COLUMNS($A1742:E1761), LEFT(INDEX(FILTER(E$1:E1741, E$1:E1741&lt;&gt;""""),COUNTA(FILTER(E$1:E1741, E$1:E1741&lt;&gt;""""))), LEN(INDEX(FILTER(E$1:E1741, E$1:E1741&lt;&gt;""""),COUNTA(FILTER(E$1:E1741, E$1:E1741&lt;&gt;""""))))-1), IF('To Order'!$A1742=COL"&amp;"UMNS($A1742:E1761), E1741&amp;RIGHT(INDIRECT(ADDRESS(ROW(E1742)-1, 'From Order'!$A1742)), 1), E1741))"),"C")</f>
        <v>C</v>
      </c>
      <c r="F1742" s="2" t="str">
        <f>IFERROR(__xludf.DUMMYFUNCTION("IF('From Order'!$A1742=COLUMNS($A1742:F1761), LEFT(INDEX(FILTER(F$1:F1741, F$1:F1741&lt;&gt;""""),COUNTA(FILTER(F$1:F1741, F$1:F1741&lt;&gt;""""))), LEN(INDEX(FILTER(F$1:F1741, F$1:F1741&lt;&gt;""""),COUNTA(FILTER(F$1:F1741, F$1:F1741&lt;&gt;""""))))-1), IF('To Order'!$A1742=COL"&amp;"UMNS($A1742:F1761), F1741&amp;RIGHT(INDIRECT(ADDRESS(ROW(F1742)-1, 'From Order'!$A1742)), 1), F1741))"),"")</f>
        <v/>
      </c>
      <c r="G1742" s="2" t="str">
        <f>IFERROR(__xludf.DUMMYFUNCTION("IF('From Order'!$A1742=COLUMNS($A1742:G1761), LEFT(INDEX(FILTER(G$1:G1741, G$1:G1741&lt;&gt;""""),COUNTA(FILTER(G$1:G1741, G$1:G1741&lt;&gt;""""))), LEN(INDEX(FILTER(G$1:G1741, G$1:G1741&lt;&gt;""""),COUNTA(FILTER(G$1:G1741, G$1:G1741&lt;&gt;""""))))-1), IF('To Order'!$A1742=COL"&amp;"UMNS($A1742:G1761), G1741&amp;RIGHT(INDIRECT(ADDRESS(ROW(G1742)-1, 'From Order'!$A1742)), 1), G1741))"),"MDJMBVRR")</f>
        <v>MDJMBVRR</v>
      </c>
      <c r="H1742" s="2" t="str">
        <f>IFERROR(__xludf.DUMMYFUNCTION("IF('From Order'!$A1742=COLUMNS($A1742:H1761), LEFT(INDEX(FILTER(H$1:H1741, H$1:H1741&lt;&gt;""""),COUNTA(FILTER(H$1:H1741, H$1:H1741&lt;&gt;""""))), LEN(INDEX(FILTER(H$1:H1741, H$1:H1741&lt;&gt;""""),COUNTA(FILTER(H$1:H1741, H$1:H1741&lt;&gt;""""))))-1), IF('To Order'!$A1742=COL"&amp;"UMNS($A1742:H1761), H1741&amp;RIGHT(INDIRECT(ADDRESS(ROW(H1742)-1, 'From Order'!$A1742)), 1), H1741))"),"")</f>
        <v/>
      </c>
      <c r="I1742" s="2" t="str">
        <f>IFERROR(__xludf.DUMMYFUNCTION("IF('From Order'!$A1742=COLUMNS($A1742:I1761), LEFT(INDEX(FILTER(I$1:I1741, I$1:I1741&lt;&gt;""""),COUNTA(FILTER(I$1:I1741, I$1:I1741&lt;&gt;""""))), LEN(INDEX(FILTER(I$1:I1741, I$1:I1741&lt;&gt;""""),COUNTA(FILTER(I$1:I1741, I$1:I1741&lt;&gt;""""))))-1), IF('To Order'!$A1742=COL"&amp;"UMNS($A1742:I1761), I1741&amp;RIGHT(INDIRECT(ADDRESS(ROW(I1742)-1, 'From Order'!$A1742)), 1), I1741))"),"")</f>
        <v/>
      </c>
    </row>
    <row r="1743">
      <c r="A1743" s="2" t="str">
        <f>IFERROR(__xludf.DUMMYFUNCTION("IF('From Order'!$A1743=COLUMNS($A1743:A1762), LEFT(INDEX(FILTER(A$1:A1742, A$1:A1742&lt;&gt;""""),COUNTA(FILTER(A$1:A1742, A$1:A1742&lt;&gt;""""))), LEN(INDEX(FILTER(A$1:A1742, A$1:A1742&lt;&gt;""""),COUNTA(FILTER(A$1:A1742, A$1:A1742&lt;&gt;""""))))-1), IF('To Order'!$A1743=COL"&amp;"UMNS($A1743:A1762), A1742&amp;RIGHT(INDIRECT(ADDRESS(ROW(A1743)-1, 'From Order'!$A1743)), 1), A1742))"),"ZHZMTDLDSPBFLL")</f>
        <v>ZHZMTDLDSPBFLL</v>
      </c>
      <c r="B1743" s="2" t="str">
        <f>IFERROR(__xludf.DUMMYFUNCTION("IF('From Order'!$A1743=COLUMNS($A1743:B1762), LEFT(INDEX(FILTER(B$1:B1742, B$1:B1742&lt;&gt;""""),COUNTA(FILTER(B$1:B1742, B$1:B1742&lt;&gt;""""))), LEN(INDEX(FILTER(B$1:B1742, B$1:B1742&lt;&gt;""""),COUNTA(FILTER(B$1:B1742, B$1:B1742&lt;&gt;""""))))-1), IF('To Order'!$A1743=COL"&amp;"UMNS($A1743:B1762), B1742&amp;RIGHT(INDIRECT(ADDRESS(ROW(B1743)-1, 'From Order'!$A1743)), 1), B1742))"),"GTTJGBHFSCZW")</f>
        <v>GTTJGBHFSCZW</v>
      </c>
      <c r="C1743" s="2" t="str">
        <f>IFERROR(__xludf.DUMMYFUNCTION("IF('From Order'!$A1743=COLUMNS($A1743:C1762), LEFT(INDEX(FILTER(C$1:C1742, C$1:C1742&lt;&gt;""""),COUNTA(FILTER(C$1:C1742, C$1:C1742&lt;&gt;""""))), LEN(INDEX(FILTER(C$1:C1742, C$1:C1742&lt;&gt;""""),COUNTA(FILTER(C$1:C1742, C$1:C1742&lt;&gt;""""))))-1), IF('To Order'!$A1743=COL"&amp;"UMNS($A1743:C1762), C1742&amp;RIGHT(INDIRECT(ADDRESS(ROW(C1743)-1, 'From Order'!$A1743)), 1), C1742))"),"TQVQJPPSSTDDW")</f>
        <v>TQVQJPPSSTDDW</v>
      </c>
      <c r="D1743" s="2" t="str">
        <f>IFERROR(__xludf.DUMMYFUNCTION("IF('From Order'!$A1743=COLUMNS($A1743:D1762), LEFT(INDEX(FILTER(D$1:D1742, D$1:D1742&lt;&gt;""""),COUNTA(FILTER(D$1:D1742, D$1:D1742&lt;&gt;""""))), LEN(INDEX(FILTER(D$1:D1742, D$1:D1742&lt;&gt;""""),COUNTA(FILTER(D$1:D1742, D$1:D1742&lt;&gt;""""))))-1), IF('To Order'!$A1743=COL"&amp;"UMNS($A1743:D1762), D1742&amp;RIGHT(INDIRECT(ADDRESS(ROW(D1743)-1, 'From Order'!$A1743)), 1), D1742))"),"RBRTCVDR")</f>
        <v>RBRTCVDR</v>
      </c>
      <c r="E1743" s="2" t="str">
        <f>IFERROR(__xludf.DUMMYFUNCTION("IF('From Order'!$A1743=COLUMNS($A1743:E1762), LEFT(INDEX(FILTER(E$1:E1742, E$1:E1742&lt;&gt;""""),COUNTA(FILTER(E$1:E1742, E$1:E1742&lt;&gt;""""))), LEN(INDEX(FILTER(E$1:E1742, E$1:E1742&lt;&gt;""""),COUNTA(FILTER(E$1:E1742, E$1:E1742&lt;&gt;""""))))-1), IF('To Order'!$A1743=COL"&amp;"UMNS($A1743:E1762), E1742&amp;RIGHT(INDIRECT(ADDRESS(ROW(E1743)-1, 'From Order'!$A1743)), 1), E1742))"),"C")</f>
        <v>C</v>
      </c>
      <c r="F1743" s="2" t="str">
        <f>IFERROR(__xludf.DUMMYFUNCTION("IF('From Order'!$A1743=COLUMNS($A1743:F1762), LEFT(INDEX(FILTER(F$1:F1742, F$1:F1742&lt;&gt;""""),COUNTA(FILTER(F$1:F1742, F$1:F1742&lt;&gt;""""))), LEN(INDEX(FILTER(F$1:F1742, F$1:F1742&lt;&gt;""""),COUNTA(FILTER(F$1:F1742, F$1:F1742&lt;&gt;""""))))-1), IF('To Order'!$A1743=COL"&amp;"UMNS($A1743:F1762), F1742&amp;RIGHT(INDIRECT(ADDRESS(ROW(F1743)-1, 'From Order'!$A1743)), 1), F1742))"),"")</f>
        <v/>
      </c>
      <c r="G1743" s="2" t="str">
        <f>IFERROR(__xludf.DUMMYFUNCTION("IF('From Order'!$A1743=COLUMNS($A1743:G1762), LEFT(INDEX(FILTER(G$1:G1742, G$1:G1742&lt;&gt;""""),COUNTA(FILTER(G$1:G1742, G$1:G1742&lt;&gt;""""))), LEN(INDEX(FILTER(G$1:G1742, G$1:G1742&lt;&gt;""""),COUNTA(FILTER(G$1:G1742, G$1:G1742&lt;&gt;""""))))-1), IF('To Order'!$A1743=COL"&amp;"UMNS($A1743:G1762), G1742&amp;RIGHT(INDIRECT(ADDRESS(ROW(G1743)-1, 'From Order'!$A1743)), 1), G1742))"),"MDJMBVRR")</f>
        <v>MDJMBVRR</v>
      </c>
      <c r="H1743" s="2" t="str">
        <f>IFERROR(__xludf.DUMMYFUNCTION("IF('From Order'!$A1743=COLUMNS($A1743:H1762), LEFT(INDEX(FILTER(H$1:H1742, H$1:H1742&lt;&gt;""""),COUNTA(FILTER(H$1:H1742, H$1:H1742&lt;&gt;""""))), LEN(INDEX(FILTER(H$1:H1742, H$1:H1742&lt;&gt;""""),COUNTA(FILTER(H$1:H1742, H$1:H1742&lt;&gt;""""))))-1), IF('To Order'!$A1743=COL"&amp;"UMNS($A1743:H1762), H1742&amp;RIGHT(INDIRECT(ADDRESS(ROW(H1743)-1, 'From Order'!$A1743)), 1), H1742))"),"")</f>
        <v/>
      </c>
      <c r="I1743" s="2" t="str">
        <f>IFERROR(__xludf.DUMMYFUNCTION("IF('From Order'!$A1743=COLUMNS($A1743:I1762), LEFT(INDEX(FILTER(I$1:I1742, I$1:I1742&lt;&gt;""""),COUNTA(FILTER(I$1:I1742, I$1:I1742&lt;&gt;""""))), LEN(INDEX(FILTER(I$1:I1742, I$1:I1742&lt;&gt;""""),COUNTA(FILTER(I$1:I1742, I$1:I1742&lt;&gt;""""))))-1), IF('To Order'!$A1743=COL"&amp;"UMNS($A1743:I1762), I1742&amp;RIGHT(INDIRECT(ADDRESS(ROW(I1743)-1, 'From Order'!$A1743)), 1), I1742))"),"")</f>
        <v/>
      </c>
    </row>
    <row r="1744">
      <c r="A1744" s="2" t="str">
        <f>IFERROR(__xludf.DUMMYFUNCTION("IF('From Order'!$A1744=COLUMNS($A1744:A1763), LEFT(INDEX(FILTER(A$1:A1743, A$1:A1743&lt;&gt;""""),COUNTA(FILTER(A$1:A1743, A$1:A1743&lt;&gt;""""))), LEN(INDEX(FILTER(A$1:A1743, A$1:A1743&lt;&gt;""""),COUNTA(FILTER(A$1:A1743, A$1:A1743&lt;&gt;""""))))-1), IF('To Order'!$A1744=COL"&amp;"UMNS($A1744:A1763), A1743&amp;RIGHT(INDIRECT(ADDRESS(ROW(A1744)-1, 'From Order'!$A1744)), 1), A1743))"),"ZHZMTDLDSPBFLLW")</f>
        <v>ZHZMTDLDSPBFLLW</v>
      </c>
      <c r="B1744" s="2" t="str">
        <f>IFERROR(__xludf.DUMMYFUNCTION("IF('From Order'!$A1744=COLUMNS($A1744:B1763), LEFT(INDEX(FILTER(B$1:B1743, B$1:B1743&lt;&gt;""""),COUNTA(FILTER(B$1:B1743, B$1:B1743&lt;&gt;""""))), LEN(INDEX(FILTER(B$1:B1743, B$1:B1743&lt;&gt;""""),COUNTA(FILTER(B$1:B1743, B$1:B1743&lt;&gt;""""))))-1), IF('To Order'!$A1744=COL"&amp;"UMNS($A1744:B1763), B1743&amp;RIGHT(INDIRECT(ADDRESS(ROW(B1744)-1, 'From Order'!$A1744)), 1), B1743))"),"GTTJGBHFSCZW")</f>
        <v>GTTJGBHFSCZW</v>
      </c>
      <c r="C1744" s="2" t="str">
        <f>IFERROR(__xludf.DUMMYFUNCTION("IF('From Order'!$A1744=COLUMNS($A1744:C1763), LEFT(INDEX(FILTER(C$1:C1743, C$1:C1743&lt;&gt;""""),COUNTA(FILTER(C$1:C1743, C$1:C1743&lt;&gt;""""))), LEN(INDEX(FILTER(C$1:C1743, C$1:C1743&lt;&gt;""""),COUNTA(FILTER(C$1:C1743, C$1:C1743&lt;&gt;""""))))-1), IF('To Order'!$A1744=COL"&amp;"UMNS($A1744:C1763), C1743&amp;RIGHT(INDIRECT(ADDRESS(ROW(C1744)-1, 'From Order'!$A1744)), 1), C1743))"),"TQVQJPPSSTDD")</f>
        <v>TQVQJPPSSTDD</v>
      </c>
      <c r="D1744" s="2" t="str">
        <f>IFERROR(__xludf.DUMMYFUNCTION("IF('From Order'!$A1744=COLUMNS($A1744:D1763), LEFT(INDEX(FILTER(D$1:D1743, D$1:D1743&lt;&gt;""""),COUNTA(FILTER(D$1:D1743, D$1:D1743&lt;&gt;""""))), LEN(INDEX(FILTER(D$1:D1743, D$1:D1743&lt;&gt;""""),COUNTA(FILTER(D$1:D1743, D$1:D1743&lt;&gt;""""))))-1), IF('To Order'!$A1744=COL"&amp;"UMNS($A1744:D1763), D1743&amp;RIGHT(INDIRECT(ADDRESS(ROW(D1744)-1, 'From Order'!$A1744)), 1), D1743))"),"RBRTCVDR")</f>
        <v>RBRTCVDR</v>
      </c>
      <c r="E1744" s="2" t="str">
        <f>IFERROR(__xludf.DUMMYFUNCTION("IF('From Order'!$A1744=COLUMNS($A1744:E1763), LEFT(INDEX(FILTER(E$1:E1743, E$1:E1743&lt;&gt;""""),COUNTA(FILTER(E$1:E1743, E$1:E1743&lt;&gt;""""))), LEN(INDEX(FILTER(E$1:E1743, E$1:E1743&lt;&gt;""""),COUNTA(FILTER(E$1:E1743, E$1:E1743&lt;&gt;""""))))-1), IF('To Order'!$A1744=COL"&amp;"UMNS($A1744:E1763), E1743&amp;RIGHT(INDIRECT(ADDRESS(ROW(E1744)-1, 'From Order'!$A1744)), 1), E1743))"),"C")</f>
        <v>C</v>
      </c>
      <c r="F1744" s="2" t="str">
        <f>IFERROR(__xludf.DUMMYFUNCTION("IF('From Order'!$A1744=COLUMNS($A1744:F1763), LEFT(INDEX(FILTER(F$1:F1743, F$1:F1743&lt;&gt;""""),COUNTA(FILTER(F$1:F1743, F$1:F1743&lt;&gt;""""))), LEN(INDEX(FILTER(F$1:F1743, F$1:F1743&lt;&gt;""""),COUNTA(FILTER(F$1:F1743, F$1:F1743&lt;&gt;""""))))-1), IF('To Order'!$A1744=COL"&amp;"UMNS($A1744:F1763), F1743&amp;RIGHT(INDIRECT(ADDRESS(ROW(F1744)-1, 'From Order'!$A1744)), 1), F1743))"),"")</f>
        <v/>
      </c>
      <c r="G1744" s="2" t="str">
        <f>IFERROR(__xludf.DUMMYFUNCTION("IF('From Order'!$A1744=COLUMNS($A1744:G1763), LEFT(INDEX(FILTER(G$1:G1743, G$1:G1743&lt;&gt;""""),COUNTA(FILTER(G$1:G1743, G$1:G1743&lt;&gt;""""))), LEN(INDEX(FILTER(G$1:G1743, G$1:G1743&lt;&gt;""""),COUNTA(FILTER(G$1:G1743, G$1:G1743&lt;&gt;""""))))-1), IF('To Order'!$A1744=COL"&amp;"UMNS($A1744:G1763), G1743&amp;RIGHT(INDIRECT(ADDRESS(ROW(G1744)-1, 'From Order'!$A1744)), 1), G1743))"),"MDJMBVRR")</f>
        <v>MDJMBVRR</v>
      </c>
      <c r="H1744" s="2" t="str">
        <f>IFERROR(__xludf.DUMMYFUNCTION("IF('From Order'!$A1744=COLUMNS($A1744:H1763), LEFT(INDEX(FILTER(H$1:H1743, H$1:H1743&lt;&gt;""""),COUNTA(FILTER(H$1:H1743, H$1:H1743&lt;&gt;""""))), LEN(INDEX(FILTER(H$1:H1743, H$1:H1743&lt;&gt;""""),COUNTA(FILTER(H$1:H1743, H$1:H1743&lt;&gt;""""))))-1), IF('To Order'!$A1744=COL"&amp;"UMNS($A1744:H1763), H1743&amp;RIGHT(INDIRECT(ADDRESS(ROW(H1744)-1, 'From Order'!$A1744)), 1), H1743))"),"")</f>
        <v/>
      </c>
      <c r="I1744" s="2" t="str">
        <f>IFERROR(__xludf.DUMMYFUNCTION("IF('From Order'!$A1744=COLUMNS($A1744:I1763), LEFT(INDEX(FILTER(I$1:I1743, I$1:I1743&lt;&gt;""""),COUNTA(FILTER(I$1:I1743, I$1:I1743&lt;&gt;""""))), LEN(INDEX(FILTER(I$1:I1743, I$1:I1743&lt;&gt;""""),COUNTA(FILTER(I$1:I1743, I$1:I1743&lt;&gt;""""))))-1), IF('To Order'!$A1744=COL"&amp;"UMNS($A1744:I1763), I1743&amp;RIGHT(INDIRECT(ADDRESS(ROW(I1744)-1, 'From Order'!$A1744)), 1), I1743))"),"")</f>
        <v/>
      </c>
    </row>
    <row r="1745">
      <c r="A1745" s="2" t="str">
        <f>IFERROR(__xludf.DUMMYFUNCTION("IF('From Order'!$A1745=COLUMNS($A1745:A1764), LEFT(INDEX(FILTER(A$1:A1744, A$1:A1744&lt;&gt;""""),COUNTA(FILTER(A$1:A1744, A$1:A1744&lt;&gt;""""))), LEN(INDEX(FILTER(A$1:A1744, A$1:A1744&lt;&gt;""""),COUNTA(FILTER(A$1:A1744, A$1:A1744&lt;&gt;""""))))-1), IF('To Order'!$A1745=COL"&amp;"UMNS($A1745:A1764), A1744&amp;RIGHT(INDIRECT(ADDRESS(ROW(A1745)-1, 'From Order'!$A1745)), 1), A1744))"),"ZHZMTDLDSPBFLLWD")</f>
        <v>ZHZMTDLDSPBFLLWD</v>
      </c>
      <c r="B1745" s="2" t="str">
        <f>IFERROR(__xludf.DUMMYFUNCTION("IF('From Order'!$A1745=COLUMNS($A1745:B1764), LEFT(INDEX(FILTER(B$1:B1744, B$1:B1744&lt;&gt;""""),COUNTA(FILTER(B$1:B1744, B$1:B1744&lt;&gt;""""))), LEN(INDEX(FILTER(B$1:B1744, B$1:B1744&lt;&gt;""""),COUNTA(FILTER(B$1:B1744, B$1:B1744&lt;&gt;""""))))-1), IF('To Order'!$A1745=COL"&amp;"UMNS($A1745:B1764), B1744&amp;RIGHT(INDIRECT(ADDRESS(ROW(B1745)-1, 'From Order'!$A1745)), 1), B1744))"),"GTTJGBHFSCZW")</f>
        <v>GTTJGBHFSCZW</v>
      </c>
      <c r="C1745" s="2" t="str">
        <f>IFERROR(__xludf.DUMMYFUNCTION("IF('From Order'!$A1745=COLUMNS($A1745:C1764), LEFT(INDEX(FILTER(C$1:C1744, C$1:C1744&lt;&gt;""""),COUNTA(FILTER(C$1:C1744, C$1:C1744&lt;&gt;""""))), LEN(INDEX(FILTER(C$1:C1744, C$1:C1744&lt;&gt;""""),COUNTA(FILTER(C$1:C1744, C$1:C1744&lt;&gt;""""))))-1), IF('To Order'!$A1745=COL"&amp;"UMNS($A1745:C1764), C1744&amp;RIGHT(INDIRECT(ADDRESS(ROW(C1745)-1, 'From Order'!$A1745)), 1), C1744))"),"TQVQJPPSSTD")</f>
        <v>TQVQJPPSSTD</v>
      </c>
      <c r="D1745" s="2" t="str">
        <f>IFERROR(__xludf.DUMMYFUNCTION("IF('From Order'!$A1745=COLUMNS($A1745:D1764), LEFT(INDEX(FILTER(D$1:D1744, D$1:D1744&lt;&gt;""""),COUNTA(FILTER(D$1:D1744, D$1:D1744&lt;&gt;""""))), LEN(INDEX(FILTER(D$1:D1744, D$1:D1744&lt;&gt;""""),COUNTA(FILTER(D$1:D1744, D$1:D1744&lt;&gt;""""))))-1), IF('To Order'!$A1745=COL"&amp;"UMNS($A1745:D1764), D1744&amp;RIGHT(INDIRECT(ADDRESS(ROW(D1745)-1, 'From Order'!$A1745)), 1), D1744))"),"RBRTCVDR")</f>
        <v>RBRTCVDR</v>
      </c>
      <c r="E1745" s="2" t="str">
        <f>IFERROR(__xludf.DUMMYFUNCTION("IF('From Order'!$A1745=COLUMNS($A1745:E1764), LEFT(INDEX(FILTER(E$1:E1744, E$1:E1744&lt;&gt;""""),COUNTA(FILTER(E$1:E1744, E$1:E1744&lt;&gt;""""))), LEN(INDEX(FILTER(E$1:E1744, E$1:E1744&lt;&gt;""""),COUNTA(FILTER(E$1:E1744, E$1:E1744&lt;&gt;""""))))-1), IF('To Order'!$A1745=COL"&amp;"UMNS($A1745:E1764), E1744&amp;RIGHT(INDIRECT(ADDRESS(ROW(E1745)-1, 'From Order'!$A1745)), 1), E1744))"),"C")</f>
        <v>C</v>
      </c>
      <c r="F1745" s="2" t="str">
        <f>IFERROR(__xludf.DUMMYFUNCTION("IF('From Order'!$A1745=COLUMNS($A1745:F1764), LEFT(INDEX(FILTER(F$1:F1744, F$1:F1744&lt;&gt;""""),COUNTA(FILTER(F$1:F1744, F$1:F1744&lt;&gt;""""))), LEN(INDEX(FILTER(F$1:F1744, F$1:F1744&lt;&gt;""""),COUNTA(FILTER(F$1:F1744, F$1:F1744&lt;&gt;""""))))-1), IF('To Order'!$A1745=COL"&amp;"UMNS($A1745:F1764), F1744&amp;RIGHT(INDIRECT(ADDRESS(ROW(F1745)-1, 'From Order'!$A1745)), 1), F1744))"),"")</f>
        <v/>
      </c>
      <c r="G1745" s="2" t="str">
        <f>IFERROR(__xludf.DUMMYFUNCTION("IF('From Order'!$A1745=COLUMNS($A1745:G1764), LEFT(INDEX(FILTER(G$1:G1744, G$1:G1744&lt;&gt;""""),COUNTA(FILTER(G$1:G1744, G$1:G1744&lt;&gt;""""))), LEN(INDEX(FILTER(G$1:G1744, G$1:G1744&lt;&gt;""""),COUNTA(FILTER(G$1:G1744, G$1:G1744&lt;&gt;""""))))-1), IF('To Order'!$A1745=COL"&amp;"UMNS($A1745:G1764), G1744&amp;RIGHT(INDIRECT(ADDRESS(ROW(G1745)-1, 'From Order'!$A1745)), 1), G1744))"),"MDJMBVRR")</f>
        <v>MDJMBVRR</v>
      </c>
      <c r="H1745" s="2" t="str">
        <f>IFERROR(__xludf.DUMMYFUNCTION("IF('From Order'!$A1745=COLUMNS($A1745:H1764), LEFT(INDEX(FILTER(H$1:H1744, H$1:H1744&lt;&gt;""""),COUNTA(FILTER(H$1:H1744, H$1:H1744&lt;&gt;""""))), LEN(INDEX(FILTER(H$1:H1744, H$1:H1744&lt;&gt;""""),COUNTA(FILTER(H$1:H1744, H$1:H1744&lt;&gt;""""))))-1), IF('To Order'!$A1745=COL"&amp;"UMNS($A1745:H1764), H1744&amp;RIGHT(INDIRECT(ADDRESS(ROW(H1745)-1, 'From Order'!$A1745)), 1), H1744))"),"")</f>
        <v/>
      </c>
      <c r="I1745" s="2" t="str">
        <f>IFERROR(__xludf.DUMMYFUNCTION("IF('From Order'!$A1745=COLUMNS($A1745:I1764), LEFT(INDEX(FILTER(I$1:I1744, I$1:I1744&lt;&gt;""""),COUNTA(FILTER(I$1:I1744, I$1:I1744&lt;&gt;""""))), LEN(INDEX(FILTER(I$1:I1744, I$1:I1744&lt;&gt;""""),COUNTA(FILTER(I$1:I1744, I$1:I1744&lt;&gt;""""))))-1), IF('To Order'!$A1745=COL"&amp;"UMNS($A1745:I1764), I1744&amp;RIGHT(INDIRECT(ADDRESS(ROW(I1745)-1, 'From Order'!$A1745)), 1), I1744))"),"")</f>
        <v/>
      </c>
    </row>
    <row r="1746">
      <c r="A1746" s="2" t="str">
        <f>IFERROR(__xludf.DUMMYFUNCTION("IF('From Order'!$A1746=COLUMNS($A1746:A1765), LEFT(INDEX(FILTER(A$1:A1745, A$1:A1745&lt;&gt;""""),COUNTA(FILTER(A$1:A1745, A$1:A1745&lt;&gt;""""))), LEN(INDEX(FILTER(A$1:A1745, A$1:A1745&lt;&gt;""""),COUNTA(FILTER(A$1:A1745, A$1:A1745&lt;&gt;""""))))-1), IF('To Order'!$A1746=COL"&amp;"UMNS($A1746:A1765), A1745&amp;RIGHT(INDIRECT(ADDRESS(ROW(A1746)-1, 'From Order'!$A1746)), 1), A1745))"),"ZHZMTDLDSPBFLLWDD")</f>
        <v>ZHZMTDLDSPBFLLWDD</v>
      </c>
      <c r="B1746" s="2" t="str">
        <f>IFERROR(__xludf.DUMMYFUNCTION("IF('From Order'!$A1746=COLUMNS($A1746:B1765), LEFT(INDEX(FILTER(B$1:B1745, B$1:B1745&lt;&gt;""""),COUNTA(FILTER(B$1:B1745, B$1:B1745&lt;&gt;""""))), LEN(INDEX(FILTER(B$1:B1745, B$1:B1745&lt;&gt;""""),COUNTA(FILTER(B$1:B1745, B$1:B1745&lt;&gt;""""))))-1), IF('To Order'!$A1746=COL"&amp;"UMNS($A1746:B1765), B1745&amp;RIGHT(INDIRECT(ADDRESS(ROW(B1746)-1, 'From Order'!$A1746)), 1), B1745))"),"GTTJGBHFSCZW")</f>
        <v>GTTJGBHFSCZW</v>
      </c>
      <c r="C1746" s="2" t="str">
        <f>IFERROR(__xludf.DUMMYFUNCTION("IF('From Order'!$A1746=COLUMNS($A1746:C1765), LEFT(INDEX(FILTER(C$1:C1745, C$1:C1745&lt;&gt;""""),COUNTA(FILTER(C$1:C1745, C$1:C1745&lt;&gt;""""))), LEN(INDEX(FILTER(C$1:C1745, C$1:C1745&lt;&gt;""""),COUNTA(FILTER(C$1:C1745, C$1:C1745&lt;&gt;""""))))-1), IF('To Order'!$A1746=COL"&amp;"UMNS($A1746:C1765), C1745&amp;RIGHT(INDIRECT(ADDRESS(ROW(C1746)-1, 'From Order'!$A1746)), 1), C1745))"),"TQVQJPPSST")</f>
        <v>TQVQJPPSST</v>
      </c>
      <c r="D1746" s="2" t="str">
        <f>IFERROR(__xludf.DUMMYFUNCTION("IF('From Order'!$A1746=COLUMNS($A1746:D1765), LEFT(INDEX(FILTER(D$1:D1745, D$1:D1745&lt;&gt;""""),COUNTA(FILTER(D$1:D1745, D$1:D1745&lt;&gt;""""))), LEN(INDEX(FILTER(D$1:D1745, D$1:D1745&lt;&gt;""""),COUNTA(FILTER(D$1:D1745, D$1:D1745&lt;&gt;""""))))-1), IF('To Order'!$A1746=COL"&amp;"UMNS($A1746:D1765), D1745&amp;RIGHT(INDIRECT(ADDRESS(ROW(D1746)-1, 'From Order'!$A1746)), 1), D1745))"),"RBRTCVDR")</f>
        <v>RBRTCVDR</v>
      </c>
      <c r="E1746" s="2" t="str">
        <f>IFERROR(__xludf.DUMMYFUNCTION("IF('From Order'!$A1746=COLUMNS($A1746:E1765), LEFT(INDEX(FILTER(E$1:E1745, E$1:E1745&lt;&gt;""""),COUNTA(FILTER(E$1:E1745, E$1:E1745&lt;&gt;""""))), LEN(INDEX(FILTER(E$1:E1745, E$1:E1745&lt;&gt;""""),COUNTA(FILTER(E$1:E1745, E$1:E1745&lt;&gt;""""))))-1), IF('To Order'!$A1746=COL"&amp;"UMNS($A1746:E1765), E1745&amp;RIGHT(INDIRECT(ADDRESS(ROW(E1746)-1, 'From Order'!$A1746)), 1), E1745))"),"C")</f>
        <v>C</v>
      </c>
      <c r="F1746" s="2" t="str">
        <f>IFERROR(__xludf.DUMMYFUNCTION("IF('From Order'!$A1746=COLUMNS($A1746:F1765), LEFT(INDEX(FILTER(F$1:F1745, F$1:F1745&lt;&gt;""""),COUNTA(FILTER(F$1:F1745, F$1:F1745&lt;&gt;""""))), LEN(INDEX(FILTER(F$1:F1745, F$1:F1745&lt;&gt;""""),COUNTA(FILTER(F$1:F1745, F$1:F1745&lt;&gt;""""))))-1), IF('To Order'!$A1746=COL"&amp;"UMNS($A1746:F1765), F1745&amp;RIGHT(INDIRECT(ADDRESS(ROW(F1746)-1, 'From Order'!$A1746)), 1), F1745))"),"")</f>
        <v/>
      </c>
      <c r="G1746" s="2" t="str">
        <f>IFERROR(__xludf.DUMMYFUNCTION("IF('From Order'!$A1746=COLUMNS($A1746:G1765), LEFT(INDEX(FILTER(G$1:G1745, G$1:G1745&lt;&gt;""""),COUNTA(FILTER(G$1:G1745, G$1:G1745&lt;&gt;""""))), LEN(INDEX(FILTER(G$1:G1745, G$1:G1745&lt;&gt;""""),COUNTA(FILTER(G$1:G1745, G$1:G1745&lt;&gt;""""))))-1), IF('To Order'!$A1746=COL"&amp;"UMNS($A1746:G1765), G1745&amp;RIGHT(INDIRECT(ADDRESS(ROW(G1746)-1, 'From Order'!$A1746)), 1), G1745))"),"MDJMBVRR")</f>
        <v>MDJMBVRR</v>
      </c>
      <c r="H1746" s="2" t="str">
        <f>IFERROR(__xludf.DUMMYFUNCTION("IF('From Order'!$A1746=COLUMNS($A1746:H1765), LEFT(INDEX(FILTER(H$1:H1745, H$1:H1745&lt;&gt;""""),COUNTA(FILTER(H$1:H1745, H$1:H1745&lt;&gt;""""))), LEN(INDEX(FILTER(H$1:H1745, H$1:H1745&lt;&gt;""""),COUNTA(FILTER(H$1:H1745, H$1:H1745&lt;&gt;""""))))-1), IF('To Order'!$A1746=COL"&amp;"UMNS($A1746:H1765), H1745&amp;RIGHT(INDIRECT(ADDRESS(ROW(H1746)-1, 'From Order'!$A1746)), 1), H1745))"),"")</f>
        <v/>
      </c>
      <c r="I1746" s="2" t="str">
        <f>IFERROR(__xludf.DUMMYFUNCTION("IF('From Order'!$A1746=COLUMNS($A1746:I1765), LEFT(INDEX(FILTER(I$1:I1745, I$1:I1745&lt;&gt;""""),COUNTA(FILTER(I$1:I1745, I$1:I1745&lt;&gt;""""))), LEN(INDEX(FILTER(I$1:I1745, I$1:I1745&lt;&gt;""""),COUNTA(FILTER(I$1:I1745, I$1:I1745&lt;&gt;""""))))-1), IF('To Order'!$A1746=COL"&amp;"UMNS($A1746:I1765), I1745&amp;RIGHT(INDIRECT(ADDRESS(ROW(I1746)-1, 'From Order'!$A1746)), 1), I1745))"),"")</f>
        <v/>
      </c>
    </row>
    <row r="1747">
      <c r="A1747" s="2" t="str">
        <f>IFERROR(__xludf.DUMMYFUNCTION("IF('From Order'!$A1747=COLUMNS($A1747:A1766), LEFT(INDEX(FILTER(A$1:A1746, A$1:A1746&lt;&gt;""""),COUNTA(FILTER(A$1:A1746, A$1:A1746&lt;&gt;""""))), LEN(INDEX(FILTER(A$1:A1746, A$1:A1746&lt;&gt;""""),COUNTA(FILTER(A$1:A1746, A$1:A1746&lt;&gt;""""))))-1), IF('To Order'!$A1747=COL"&amp;"UMNS($A1747:A1766), A1746&amp;RIGHT(INDIRECT(ADDRESS(ROW(A1747)-1, 'From Order'!$A1747)), 1), A1746))"),"ZHZMTDLDSPBFLLWDD")</f>
        <v>ZHZMTDLDSPBFLLWDD</v>
      </c>
      <c r="B1747" s="2" t="str">
        <f>IFERROR(__xludf.DUMMYFUNCTION("IF('From Order'!$A1747=COLUMNS($A1747:B1766), LEFT(INDEX(FILTER(B$1:B1746, B$1:B1746&lt;&gt;""""),COUNTA(FILTER(B$1:B1746, B$1:B1746&lt;&gt;""""))), LEN(INDEX(FILTER(B$1:B1746, B$1:B1746&lt;&gt;""""),COUNTA(FILTER(B$1:B1746, B$1:B1746&lt;&gt;""""))))-1), IF('To Order'!$A1747=COL"&amp;"UMNS($A1747:B1766), B1746&amp;RIGHT(INDIRECT(ADDRESS(ROW(B1747)-1, 'From Order'!$A1747)), 1), B1746))"),"GTTJGBHFSCZ")</f>
        <v>GTTJGBHFSCZ</v>
      </c>
      <c r="C1747" s="2" t="str">
        <f>IFERROR(__xludf.DUMMYFUNCTION("IF('From Order'!$A1747=COLUMNS($A1747:C1766), LEFT(INDEX(FILTER(C$1:C1746, C$1:C1746&lt;&gt;""""),COUNTA(FILTER(C$1:C1746, C$1:C1746&lt;&gt;""""))), LEN(INDEX(FILTER(C$1:C1746, C$1:C1746&lt;&gt;""""),COUNTA(FILTER(C$1:C1746, C$1:C1746&lt;&gt;""""))))-1), IF('To Order'!$A1747=COL"&amp;"UMNS($A1747:C1766), C1746&amp;RIGHT(INDIRECT(ADDRESS(ROW(C1747)-1, 'From Order'!$A1747)), 1), C1746))"),"TQVQJPPSST")</f>
        <v>TQVQJPPSST</v>
      </c>
      <c r="D1747" s="2" t="str">
        <f>IFERROR(__xludf.DUMMYFUNCTION("IF('From Order'!$A1747=COLUMNS($A1747:D1766), LEFT(INDEX(FILTER(D$1:D1746, D$1:D1746&lt;&gt;""""),COUNTA(FILTER(D$1:D1746, D$1:D1746&lt;&gt;""""))), LEN(INDEX(FILTER(D$1:D1746, D$1:D1746&lt;&gt;""""),COUNTA(FILTER(D$1:D1746, D$1:D1746&lt;&gt;""""))))-1), IF('To Order'!$A1747=COL"&amp;"UMNS($A1747:D1766), D1746&amp;RIGHT(INDIRECT(ADDRESS(ROW(D1747)-1, 'From Order'!$A1747)), 1), D1746))"),"RBRTCVDR")</f>
        <v>RBRTCVDR</v>
      </c>
      <c r="E1747" s="2" t="str">
        <f>IFERROR(__xludf.DUMMYFUNCTION("IF('From Order'!$A1747=COLUMNS($A1747:E1766), LEFT(INDEX(FILTER(E$1:E1746, E$1:E1746&lt;&gt;""""),COUNTA(FILTER(E$1:E1746, E$1:E1746&lt;&gt;""""))), LEN(INDEX(FILTER(E$1:E1746, E$1:E1746&lt;&gt;""""),COUNTA(FILTER(E$1:E1746, E$1:E1746&lt;&gt;""""))))-1), IF('To Order'!$A1747=COL"&amp;"UMNS($A1747:E1766), E1746&amp;RIGHT(INDIRECT(ADDRESS(ROW(E1747)-1, 'From Order'!$A1747)), 1), E1746))"),"CW")</f>
        <v>CW</v>
      </c>
      <c r="F1747" s="2" t="str">
        <f>IFERROR(__xludf.DUMMYFUNCTION("IF('From Order'!$A1747=COLUMNS($A1747:F1766), LEFT(INDEX(FILTER(F$1:F1746, F$1:F1746&lt;&gt;""""),COUNTA(FILTER(F$1:F1746, F$1:F1746&lt;&gt;""""))), LEN(INDEX(FILTER(F$1:F1746, F$1:F1746&lt;&gt;""""),COUNTA(FILTER(F$1:F1746, F$1:F1746&lt;&gt;""""))))-1), IF('To Order'!$A1747=COL"&amp;"UMNS($A1747:F1766), F1746&amp;RIGHT(INDIRECT(ADDRESS(ROW(F1747)-1, 'From Order'!$A1747)), 1), F1746))"),"")</f>
        <v/>
      </c>
      <c r="G1747" s="2" t="str">
        <f>IFERROR(__xludf.DUMMYFUNCTION("IF('From Order'!$A1747=COLUMNS($A1747:G1766), LEFT(INDEX(FILTER(G$1:G1746, G$1:G1746&lt;&gt;""""),COUNTA(FILTER(G$1:G1746, G$1:G1746&lt;&gt;""""))), LEN(INDEX(FILTER(G$1:G1746, G$1:G1746&lt;&gt;""""),COUNTA(FILTER(G$1:G1746, G$1:G1746&lt;&gt;""""))))-1), IF('To Order'!$A1747=COL"&amp;"UMNS($A1747:G1766), G1746&amp;RIGHT(INDIRECT(ADDRESS(ROW(G1747)-1, 'From Order'!$A1747)), 1), G1746))"),"MDJMBVRR")</f>
        <v>MDJMBVRR</v>
      </c>
      <c r="H1747" s="2" t="str">
        <f>IFERROR(__xludf.DUMMYFUNCTION("IF('From Order'!$A1747=COLUMNS($A1747:H1766), LEFT(INDEX(FILTER(H$1:H1746, H$1:H1746&lt;&gt;""""),COUNTA(FILTER(H$1:H1746, H$1:H1746&lt;&gt;""""))), LEN(INDEX(FILTER(H$1:H1746, H$1:H1746&lt;&gt;""""),COUNTA(FILTER(H$1:H1746, H$1:H1746&lt;&gt;""""))))-1), IF('To Order'!$A1747=COL"&amp;"UMNS($A1747:H1766), H1746&amp;RIGHT(INDIRECT(ADDRESS(ROW(H1747)-1, 'From Order'!$A1747)), 1), H1746))"),"")</f>
        <v/>
      </c>
      <c r="I1747" s="2" t="str">
        <f>IFERROR(__xludf.DUMMYFUNCTION("IF('From Order'!$A1747=COLUMNS($A1747:I1766), LEFT(INDEX(FILTER(I$1:I1746, I$1:I1746&lt;&gt;""""),COUNTA(FILTER(I$1:I1746, I$1:I1746&lt;&gt;""""))), LEN(INDEX(FILTER(I$1:I1746, I$1:I1746&lt;&gt;""""),COUNTA(FILTER(I$1:I1746, I$1:I1746&lt;&gt;""""))))-1), IF('To Order'!$A1747=COL"&amp;"UMNS($A1747:I1766), I1746&amp;RIGHT(INDIRECT(ADDRESS(ROW(I1747)-1, 'From Order'!$A1747)), 1), I1746))"),"")</f>
        <v/>
      </c>
    </row>
    <row r="1748">
      <c r="A1748" s="2" t="str">
        <f>IFERROR(__xludf.DUMMYFUNCTION("IF('From Order'!$A1748=COLUMNS($A1748:A1767), LEFT(INDEX(FILTER(A$1:A1747, A$1:A1747&lt;&gt;""""),COUNTA(FILTER(A$1:A1747, A$1:A1747&lt;&gt;""""))), LEN(INDEX(FILTER(A$1:A1747, A$1:A1747&lt;&gt;""""),COUNTA(FILTER(A$1:A1747, A$1:A1747&lt;&gt;""""))))-1), IF('To Order'!$A1748=COL"&amp;"UMNS($A1748:A1767), A1747&amp;RIGHT(INDIRECT(ADDRESS(ROW(A1748)-1, 'From Order'!$A1748)), 1), A1747))"),"ZHZMTDLDSPBFLLWDD")</f>
        <v>ZHZMTDLDSPBFLLWDD</v>
      </c>
      <c r="B1748" s="2" t="str">
        <f>IFERROR(__xludf.DUMMYFUNCTION("IF('From Order'!$A1748=COLUMNS($A1748:B1767), LEFT(INDEX(FILTER(B$1:B1747, B$1:B1747&lt;&gt;""""),COUNTA(FILTER(B$1:B1747, B$1:B1747&lt;&gt;""""))), LEN(INDEX(FILTER(B$1:B1747, B$1:B1747&lt;&gt;""""),COUNTA(FILTER(B$1:B1747, B$1:B1747&lt;&gt;""""))))-1), IF('To Order'!$A1748=COL"&amp;"UMNS($A1748:B1767), B1747&amp;RIGHT(INDIRECT(ADDRESS(ROW(B1748)-1, 'From Order'!$A1748)), 1), B1747))"),"GTTJGBHFSC")</f>
        <v>GTTJGBHFSC</v>
      </c>
      <c r="C1748" s="2" t="str">
        <f>IFERROR(__xludf.DUMMYFUNCTION("IF('From Order'!$A1748=COLUMNS($A1748:C1767), LEFT(INDEX(FILTER(C$1:C1747, C$1:C1747&lt;&gt;""""),COUNTA(FILTER(C$1:C1747, C$1:C1747&lt;&gt;""""))), LEN(INDEX(FILTER(C$1:C1747, C$1:C1747&lt;&gt;""""),COUNTA(FILTER(C$1:C1747, C$1:C1747&lt;&gt;""""))))-1), IF('To Order'!$A1748=COL"&amp;"UMNS($A1748:C1767), C1747&amp;RIGHT(INDIRECT(ADDRESS(ROW(C1748)-1, 'From Order'!$A1748)), 1), C1747))"),"TQVQJPPSST")</f>
        <v>TQVQJPPSST</v>
      </c>
      <c r="D1748" s="2" t="str">
        <f>IFERROR(__xludf.DUMMYFUNCTION("IF('From Order'!$A1748=COLUMNS($A1748:D1767), LEFT(INDEX(FILTER(D$1:D1747, D$1:D1747&lt;&gt;""""),COUNTA(FILTER(D$1:D1747, D$1:D1747&lt;&gt;""""))), LEN(INDEX(FILTER(D$1:D1747, D$1:D1747&lt;&gt;""""),COUNTA(FILTER(D$1:D1747, D$1:D1747&lt;&gt;""""))))-1), IF('To Order'!$A1748=COL"&amp;"UMNS($A1748:D1767), D1747&amp;RIGHT(INDIRECT(ADDRESS(ROW(D1748)-1, 'From Order'!$A1748)), 1), D1747))"),"RBRTCVDR")</f>
        <v>RBRTCVDR</v>
      </c>
      <c r="E1748" s="2" t="str">
        <f>IFERROR(__xludf.DUMMYFUNCTION("IF('From Order'!$A1748=COLUMNS($A1748:E1767), LEFT(INDEX(FILTER(E$1:E1747, E$1:E1747&lt;&gt;""""),COUNTA(FILTER(E$1:E1747, E$1:E1747&lt;&gt;""""))), LEN(INDEX(FILTER(E$1:E1747, E$1:E1747&lt;&gt;""""),COUNTA(FILTER(E$1:E1747, E$1:E1747&lt;&gt;""""))))-1), IF('To Order'!$A1748=COL"&amp;"UMNS($A1748:E1767), E1747&amp;RIGHT(INDIRECT(ADDRESS(ROW(E1748)-1, 'From Order'!$A1748)), 1), E1747))"),"CWZ")</f>
        <v>CWZ</v>
      </c>
      <c r="F1748" s="2" t="str">
        <f>IFERROR(__xludf.DUMMYFUNCTION("IF('From Order'!$A1748=COLUMNS($A1748:F1767), LEFT(INDEX(FILTER(F$1:F1747, F$1:F1747&lt;&gt;""""),COUNTA(FILTER(F$1:F1747, F$1:F1747&lt;&gt;""""))), LEN(INDEX(FILTER(F$1:F1747, F$1:F1747&lt;&gt;""""),COUNTA(FILTER(F$1:F1747, F$1:F1747&lt;&gt;""""))))-1), IF('To Order'!$A1748=COL"&amp;"UMNS($A1748:F1767), F1747&amp;RIGHT(INDIRECT(ADDRESS(ROW(F1748)-1, 'From Order'!$A1748)), 1), F1747))"),"")</f>
        <v/>
      </c>
      <c r="G1748" s="2" t="str">
        <f>IFERROR(__xludf.DUMMYFUNCTION("IF('From Order'!$A1748=COLUMNS($A1748:G1767), LEFT(INDEX(FILTER(G$1:G1747, G$1:G1747&lt;&gt;""""),COUNTA(FILTER(G$1:G1747, G$1:G1747&lt;&gt;""""))), LEN(INDEX(FILTER(G$1:G1747, G$1:G1747&lt;&gt;""""),COUNTA(FILTER(G$1:G1747, G$1:G1747&lt;&gt;""""))))-1), IF('To Order'!$A1748=COL"&amp;"UMNS($A1748:G1767), G1747&amp;RIGHT(INDIRECT(ADDRESS(ROW(G1748)-1, 'From Order'!$A1748)), 1), G1747))"),"MDJMBVRR")</f>
        <v>MDJMBVRR</v>
      </c>
      <c r="H1748" s="2" t="str">
        <f>IFERROR(__xludf.DUMMYFUNCTION("IF('From Order'!$A1748=COLUMNS($A1748:H1767), LEFT(INDEX(FILTER(H$1:H1747, H$1:H1747&lt;&gt;""""),COUNTA(FILTER(H$1:H1747, H$1:H1747&lt;&gt;""""))), LEN(INDEX(FILTER(H$1:H1747, H$1:H1747&lt;&gt;""""),COUNTA(FILTER(H$1:H1747, H$1:H1747&lt;&gt;""""))))-1), IF('To Order'!$A1748=COL"&amp;"UMNS($A1748:H1767), H1747&amp;RIGHT(INDIRECT(ADDRESS(ROW(H1748)-1, 'From Order'!$A1748)), 1), H1747))"),"")</f>
        <v/>
      </c>
      <c r="I1748" s="2" t="str">
        <f>IFERROR(__xludf.DUMMYFUNCTION("IF('From Order'!$A1748=COLUMNS($A1748:I1767), LEFT(INDEX(FILTER(I$1:I1747, I$1:I1747&lt;&gt;""""),COUNTA(FILTER(I$1:I1747, I$1:I1747&lt;&gt;""""))), LEN(INDEX(FILTER(I$1:I1747, I$1:I1747&lt;&gt;""""),COUNTA(FILTER(I$1:I1747, I$1:I1747&lt;&gt;""""))))-1), IF('To Order'!$A1748=COL"&amp;"UMNS($A1748:I1767), I1747&amp;RIGHT(INDIRECT(ADDRESS(ROW(I1748)-1, 'From Order'!$A1748)), 1), I1747))"),"")</f>
        <v/>
      </c>
    </row>
    <row r="1749">
      <c r="A1749" s="2" t="str">
        <f>IFERROR(__xludf.DUMMYFUNCTION("IF('From Order'!$A1749=COLUMNS($A1749:A1768), LEFT(INDEX(FILTER(A$1:A1748, A$1:A1748&lt;&gt;""""),COUNTA(FILTER(A$1:A1748, A$1:A1748&lt;&gt;""""))), LEN(INDEX(FILTER(A$1:A1748, A$1:A1748&lt;&gt;""""),COUNTA(FILTER(A$1:A1748, A$1:A1748&lt;&gt;""""))))-1), IF('To Order'!$A1749=COL"&amp;"UMNS($A1749:A1768), A1748&amp;RIGHT(INDIRECT(ADDRESS(ROW(A1749)-1, 'From Order'!$A1749)), 1), A1748))"),"ZHZMTDLDSPBFLLWDD")</f>
        <v>ZHZMTDLDSPBFLLWDD</v>
      </c>
      <c r="B1749" s="2" t="str">
        <f>IFERROR(__xludf.DUMMYFUNCTION("IF('From Order'!$A1749=COLUMNS($A1749:B1768), LEFT(INDEX(FILTER(B$1:B1748, B$1:B1748&lt;&gt;""""),COUNTA(FILTER(B$1:B1748, B$1:B1748&lt;&gt;""""))), LEN(INDEX(FILTER(B$1:B1748, B$1:B1748&lt;&gt;""""),COUNTA(FILTER(B$1:B1748, B$1:B1748&lt;&gt;""""))))-1), IF('To Order'!$A1749=COL"&amp;"UMNS($A1749:B1768), B1748&amp;RIGHT(INDIRECT(ADDRESS(ROW(B1749)-1, 'From Order'!$A1749)), 1), B1748))"),"GTTJGBHFS")</f>
        <v>GTTJGBHFS</v>
      </c>
      <c r="C1749" s="2" t="str">
        <f>IFERROR(__xludf.DUMMYFUNCTION("IF('From Order'!$A1749=COLUMNS($A1749:C1768), LEFT(INDEX(FILTER(C$1:C1748, C$1:C1748&lt;&gt;""""),COUNTA(FILTER(C$1:C1748, C$1:C1748&lt;&gt;""""))), LEN(INDEX(FILTER(C$1:C1748, C$1:C1748&lt;&gt;""""),COUNTA(FILTER(C$1:C1748, C$1:C1748&lt;&gt;""""))))-1), IF('To Order'!$A1749=COL"&amp;"UMNS($A1749:C1768), C1748&amp;RIGHT(INDIRECT(ADDRESS(ROW(C1749)-1, 'From Order'!$A1749)), 1), C1748))"),"TQVQJPPSST")</f>
        <v>TQVQJPPSST</v>
      </c>
      <c r="D1749" s="2" t="str">
        <f>IFERROR(__xludf.DUMMYFUNCTION("IF('From Order'!$A1749=COLUMNS($A1749:D1768), LEFT(INDEX(FILTER(D$1:D1748, D$1:D1748&lt;&gt;""""),COUNTA(FILTER(D$1:D1748, D$1:D1748&lt;&gt;""""))), LEN(INDEX(FILTER(D$1:D1748, D$1:D1748&lt;&gt;""""),COUNTA(FILTER(D$1:D1748, D$1:D1748&lt;&gt;""""))))-1), IF('To Order'!$A1749=COL"&amp;"UMNS($A1749:D1768), D1748&amp;RIGHT(INDIRECT(ADDRESS(ROW(D1749)-1, 'From Order'!$A1749)), 1), D1748))"),"RBRTCVDR")</f>
        <v>RBRTCVDR</v>
      </c>
      <c r="E1749" s="2" t="str">
        <f>IFERROR(__xludf.DUMMYFUNCTION("IF('From Order'!$A1749=COLUMNS($A1749:E1768), LEFT(INDEX(FILTER(E$1:E1748, E$1:E1748&lt;&gt;""""),COUNTA(FILTER(E$1:E1748, E$1:E1748&lt;&gt;""""))), LEN(INDEX(FILTER(E$1:E1748, E$1:E1748&lt;&gt;""""),COUNTA(FILTER(E$1:E1748, E$1:E1748&lt;&gt;""""))))-1), IF('To Order'!$A1749=COL"&amp;"UMNS($A1749:E1768), E1748&amp;RIGHT(INDIRECT(ADDRESS(ROW(E1749)-1, 'From Order'!$A1749)), 1), E1748))"),"CWZC")</f>
        <v>CWZC</v>
      </c>
      <c r="F1749" s="2" t="str">
        <f>IFERROR(__xludf.DUMMYFUNCTION("IF('From Order'!$A1749=COLUMNS($A1749:F1768), LEFT(INDEX(FILTER(F$1:F1748, F$1:F1748&lt;&gt;""""),COUNTA(FILTER(F$1:F1748, F$1:F1748&lt;&gt;""""))), LEN(INDEX(FILTER(F$1:F1748, F$1:F1748&lt;&gt;""""),COUNTA(FILTER(F$1:F1748, F$1:F1748&lt;&gt;""""))))-1), IF('To Order'!$A1749=COL"&amp;"UMNS($A1749:F1768), F1748&amp;RIGHT(INDIRECT(ADDRESS(ROW(F1749)-1, 'From Order'!$A1749)), 1), F1748))"),"")</f>
        <v/>
      </c>
      <c r="G1749" s="2" t="str">
        <f>IFERROR(__xludf.DUMMYFUNCTION("IF('From Order'!$A1749=COLUMNS($A1749:G1768), LEFT(INDEX(FILTER(G$1:G1748, G$1:G1748&lt;&gt;""""),COUNTA(FILTER(G$1:G1748, G$1:G1748&lt;&gt;""""))), LEN(INDEX(FILTER(G$1:G1748, G$1:G1748&lt;&gt;""""),COUNTA(FILTER(G$1:G1748, G$1:G1748&lt;&gt;""""))))-1), IF('To Order'!$A1749=COL"&amp;"UMNS($A1749:G1768), G1748&amp;RIGHT(INDIRECT(ADDRESS(ROW(G1749)-1, 'From Order'!$A1749)), 1), G1748))"),"MDJMBVRR")</f>
        <v>MDJMBVRR</v>
      </c>
      <c r="H1749" s="2" t="str">
        <f>IFERROR(__xludf.DUMMYFUNCTION("IF('From Order'!$A1749=COLUMNS($A1749:H1768), LEFT(INDEX(FILTER(H$1:H1748, H$1:H1748&lt;&gt;""""),COUNTA(FILTER(H$1:H1748, H$1:H1748&lt;&gt;""""))), LEN(INDEX(FILTER(H$1:H1748, H$1:H1748&lt;&gt;""""),COUNTA(FILTER(H$1:H1748, H$1:H1748&lt;&gt;""""))))-1), IF('To Order'!$A1749=COL"&amp;"UMNS($A1749:H1768), H1748&amp;RIGHT(INDIRECT(ADDRESS(ROW(H1749)-1, 'From Order'!$A1749)), 1), H1748))"),"")</f>
        <v/>
      </c>
      <c r="I1749" s="2" t="str">
        <f>IFERROR(__xludf.DUMMYFUNCTION("IF('From Order'!$A1749=COLUMNS($A1749:I1768), LEFT(INDEX(FILTER(I$1:I1748, I$1:I1748&lt;&gt;""""),COUNTA(FILTER(I$1:I1748, I$1:I1748&lt;&gt;""""))), LEN(INDEX(FILTER(I$1:I1748, I$1:I1748&lt;&gt;""""),COUNTA(FILTER(I$1:I1748, I$1:I1748&lt;&gt;""""))))-1), IF('To Order'!$A1749=COL"&amp;"UMNS($A1749:I1768), I1748&amp;RIGHT(INDIRECT(ADDRESS(ROW(I1749)-1, 'From Order'!$A1749)), 1), I1748))"),"")</f>
        <v/>
      </c>
    </row>
    <row r="1750">
      <c r="A1750" s="2" t="str">
        <f>IFERROR(__xludf.DUMMYFUNCTION("IF('From Order'!$A1750=COLUMNS($A1750:A1769), LEFT(INDEX(FILTER(A$1:A1749, A$1:A1749&lt;&gt;""""),COUNTA(FILTER(A$1:A1749, A$1:A1749&lt;&gt;""""))), LEN(INDEX(FILTER(A$1:A1749, A$1:A1749&lt;&gt;""""),COUNTA(FILTER(A$1:A1749, A$1:A1749&lt;&gt;""""))))-1), IF('To Order'!$A1750=COL"&amp;"UMNS($A1750:A1769), A1749&amp;RIGHT(INDIRECT(ADDRESS(ROW(A1750)-1, 'From Order'!$A1750)), 1), A1749))"),"ZHZMTDLDSPBFLLWDD")</f>
        <v>ZHZMTDLDSPBFLLWDD</v>
      </c>
      <c r="B1750" s="2" t="str">
        <f>IFERROR(__xludf.DUMMYFUNCTION("IF('From Order'!$A1750=COLUMNS($A1750:B1769), LEFT(INDEX(FILTER(B$1:B1749, B$1:B1749&lt;&gt;""""),COUNTA(FILTER(B$1:B1749, B$1:B1749&lt;&gt;""""))), LEN(INDEX(FILTER(B$1:B1749, B$1:B1749&lt;&gt;""""),COUNTA(FILTER(B$1:B1749, B$1:B1749&lt;&gt;""""))))-1), IF('To Order'!$A1750=COL"&amp;"UMNS($A1750:B1769), B1749&amp;RIGHT(INDIRECT(ADDRESS(ROW(B1750)-1, 'From Order'!$A1750)), 1), B1749))"),"GTTJGBHF")</f>
        <v>GTTJGBHF</v>
      </c>
      <c r="C1750" s="2" t="str">
        <f>IFERROR(__xludf.DUMMYFUNCTION("IF('From Order'!$A1750=COLUMNS($A1750:C1769), LEFT(INDEX(FILTER(C$1:C1749, C$1:C1749&lt;&gt;""""),COUNTA(FILTER(C$1:C1749, C$1:C1749&lt;&gt;""""))), LEN(INDEX(FILTER(C$1:C1749, C$1:C1749&lt;&gt;""""),COUNTA(FILTER(C$1:C1749, C$1:C1749&lt;&gt;""""))))-1), IF('To Order'!$A1750=COL"&amp;"UMNS($A1750:C1769), C1749&amp;RIGHT(INDIRECT(ADDRESS(ROW(C1750)-1, 'From Order'!$A1750)), 1), C1749))"),"TQVQJPPSST")</f>
        <v>TQVQJPPSST</v>
      </c>
      <c r="D1750" s="2" t="str">
        <f>IFERROR(__xludf.DUMMYFUNCTION("IF('From Order'!$A1750=COLUMNS($A1750:D1769), LEFT(INDEX(FILTER(D$1:D1749, D$1:D1749&lt;&gt;""""),COUNTA(FILTER(D$1:D1749, D$1:D1749&lt;&gt;""""))), LEN(INDEX(FILTER(D$1:D1749, D$1:D1749&lt;&gt;""""),COUNTA(FILTER(D$1:D1749, D$1:D1749&lt;&gt;""""))))-1), IF('To Order'!$A1750=COL"&amp;"UMNS($A1750:D1769), D1749&amp;RIGHT(INDIRECT(ADDRESS(ROW(D1750)-1, 'From Order'!$A1750)), 1), D1749))"),"RBRTCVDR")</f>
        <v>RBRTCVDR</v>
      </c>
      <c r="E1750" s="2" t="str">
        <f>IFERROR(__xludf.DUMMYFUNCTION("IF('From Order'!$A1750=COLUMNS($A1750:E1769), LEFT(INDEX(FILTER(E$1:E1749, E$1:E1749&lt;&gt;""""),COUNTA(FILTER(E$1:E1749, E$1:E1749&lt;&gt;""""))), LEN(INDEX(FILTER(E$1:E1749, E$1:E1749&lt;&gt;""""),COUNTA(FILTER(E$1:E1749, E$1:E1749&lt;&gt;""""))))-1), IF('To Order'!$A1750=COL"&amp;"UMNS($A1750:E1769), E1749&amp;RIGHT(INDIRECT(ADDRESS(ROW(E1750)-1, 'From Order'!$A1750)), 1), E1749))"),"CWZCS")</f>
        <v>CWZCS</v>
      </c>
      <c r="F1750" s="2" t="str">
        <f>IFERROR(__xludf.DUMMYFUNCTION("IF('From Order'!$A1750=COLUMNS($A1750:F1769), LEFT(INDEX(FILTER(F$1:F1749, F$1:F1749&lt;&gt;""""),COUNTA(FILTER(F$1:F1749, F$1:F1749&lt;&gt;""""))), LEN(INDEX(FILTER(F$1:F1749, F$1:F1749&lt;&gt;""""),COUNTA(FILTER(F$1:F1749, F$1:F1749&lt;&gt;""""))))-1), IF('To Order'!$A1750=COL"&amp;"UMNS($A1750:F1769), F1749&amp;RIGHT(INDIRECT(ADDRESS(ROW(F1750)-1, 'From Order'!$A1750)), 1), F1749))"),"")</f>
        <v/>
      </c>
      <c r="G1750" s="2" t="str">
        <f>IFERROR(__xludf.DUMMYFUNCTION("IF('From Order'!$A1750=COLUMNS($A1750:G1769), LEFT(INDEX(FILTER(G$1:G1749, G$1:G1749&lt;&gt;""""),COUNTA(FILTER(G$1:G1749, G$1:G1749&lt;&gt;""""))), LEN(INDEX(FILTER(G$1:G1749, G$1:G1749&lt;&gt;""""),COUNTA(FILTER(G$1:G1749, G$1:G1749&lt;&gt;""""))))-1), IF('To Order'!$A1750=COL"&amp;"UMNS($A1750:G1769), G1749&amp;RIGHT(INDIRECT(ADDRESS(ROW(G1750)-1, 'From Order'!$A1750)), 1), G1749))"),"MDJMBVRR")</f>
        <v>MDJMBVRR</v>
      </c>
      <c r="H1750" s="2" t="str">
        <f>IFERROR(__xludf.DUMMYFUNCTION("IF('From Order'!$A1750=COLUMNS($A1750:H1769), LEFT(INDEX(FILTER(H$1:H1749, H$1:H1749&lt;&gt;""""),COUNTA(FILTER(H$1:H1749, H$1:H1749&lt;&gt;""""))), LEN(INDEX(FILTER(H$1:H1749, H$1:H1749&lt;&gt;""""),COUNTA(FILTER(H$1:H1749, H$1:H1749&lt;&gt;""""))))-1), IF('To Order'!$A1750=COL"&amp;"UMNS($A1750:H1769), H1749&amp;RIGHT(INDIRECT(ADDRESS(ROW(H1750)-1, 'From Order'!$A1750)), 1), H1749))"),"")</f>
        <v/>
      </c>
      <c r="I1750" s="2" t="str">
        <f>IFERROR(__xludf.DUMMYFUNCTION("IF('From Order'!$A1750=COLUMNS($A1750:I1769), LEFT(INDEX(FILTER(I$1:I1749, I$1:I1749&lt;&gt;""""),COUNTA(FILTER(I$1:I1749, I$1:I1749&lt;&gt;""""))), LEN(INDEX(FILTER(I$1:I1749, I$1:I1749&lt;&gt;""""),COUNTA(FILTER(I$1:I1749, I$1:I1749&lt;&gt;""""))))-1), IF('To Order'!$A1750=COL"&amp;"UMNS($A1750:I1769), I1749&amp;RIGHT(INDIRECT(ADDRESS(ROW(I1750)-1, 'From Order'!$A1750)), 1), I1749))"),"")</f>
        <v/>
      </c>
    </row>
    <row r="1751">
      <c r="A1751" s="2" t="str">
        <f>IFERROR(__xludf.DUMMYFUNCTION("IF('From Order'!$A1751=COLUMNS($A1751:A1770), LEFT(INDEX(FILTER(A$1:A1750, A$1:A1750&lt;&gt;""""),COUNTA(FILTER(A$1:A1750, A$1:A1750&lt;&gt;""""))), LEN(INDEX(FILTER(A$1:A1750, A$1:A1750&lt;&gt;""""),COUNTA(FILTER(A$1:A1750, A$1:A1750&lt;&gt;""""))))-1), IF('To Order'!$A1751=COL"&amp;"UMNS($A1751:A1770), A1750&amp;RIGHT(INDIRECT(ADDRESS(ROW(A1751)-1, 'From Order'!$A1751)), 1), A1750))"),"ZHZMTDLDSPBFLLWDD")</f>
        <v>ZHZMTDLDSPBFLLWDD</v>
      </c>
      <c r="B1751" s="2" t="str">
        <f>IFERROR(__xludf.DUMMYFUNCTION("IF('From Order'!$A1751=COLUMNS($A1751:B1770), LEFT(INDEX(FILTER(B$1:B1750, B$1:B1750&lt;&gt;""""),COUNTA(FILTER(B$1:B1750, B$1:B1750&lt;&gt;""""))), LEN(INDEX(FILTER(B$1:B1750, B$1:B1750&lt;&gt;""""),COUNTA(FILTER(B$1:B1750, B$1:B1750&lt;&gt;""""))))-1), IF('To Order'!$A1751=COL"&amp;"UMNS($A1751:B1770), B1750&amp;RIGHT(INDIRECT(ADDRESS(ROW(B1751)-1, 'From Order'!$A1751)), 1), B1750))"),"GTTJGBH")</f>
        <v>GTTJGBH</v>
      </c>
      <c r="C1751" s="2" t="str">
        <f>IFERROR(__xludf.DUMMYFUNCTION("IF('From Order'!$A1751=COLUMNS($A1751:C1770), LEFT(INDEX(FILTER(C$1:C1750, C$1:C1750&lt;&gt;""""),COUNTA(FILTER(C$1:C1750, C$1:C1750&lt;&gt;""""))), LEN(INDEX(FILTER(C$1:C1750, C$1:C1750&lt;&gt;""""),COUNTA(FILTER(C$1:C1750, C$1:C1750&lt;&gt;""""))))-1), IF('To Order'!$A1751=COL"&amp;"UMNS($A1751:C1770), C1750&amp;RIGHT(INDIRECT(ADDRESS(ROW(C1751)-1, 'From Order'!$A1751)), 1), C1750))"),"TQVQJPPSST")</f>
        <v>TQVQJPPSST</v>
      </c>
      <c r="D1751" s="2" t="str">
        <f>IFERROR(__xludf.DUMMYFUNCTION("IF('From Order'!$A1751=COLUMNS($A1751:D1770), LEFT(INDEX(FILTER(D$1:D1750, D$1:D1750&lt;&gt;""""),COUNTA(FILTER(D$1:D1750, D$1:D1750&lt;&gt;""""))), LEN(INDEX(FILTER(D$1:D1750, D$1:D1750&lt;&gt;""""),COUNTA(FILTER(D$1:D1750, D$1:D1750&lt;&gt;""""))))-1), IF('To Order'!$A1751=COL"&amp;"UMNS($A1751:D1770), D1750&amp;RIGHT(INDIRECT(ADDRESS(ROW(D1751)-1, 'From Order'!$A1751)), 1), D1750))"),"RBRTCVDR")</f>
        <v>RBRTCVDR</v>
      </c>
      <c r="E1751" s="2" t="str">
        <f>IFERROR(__xludf.DUMMYFUNCTION("IF('From Order'!$A1751=COLUMNS($A1751:E1770), LEFT(INDEX(FILTER(E$1:E1750, E$1:E1750&lt;&gt;""""),COUNTA(FILTER(E$1:E1750, E$1:E1750&lt;&gt;""""))), LEN(INDEX(FILTER(E$1:E1750, E$1:E1750&lt;&gt;""""),COUNTA(FILTER(E$1:E1750, E$1:E1750&lt;&gt;""""))))-1), IF('To Order'!$A1751=COL"&amp;"UMNS($A1751:E1770), E1750&amp;RIGHT(INDIRECT(ADDRESS(ROW(E1751)-1, 'From Order'!$A1751)), 1), E1750))"),"CWZCSF")</f>
        <v>CWZCSF</v>
      </c>
      <c r="F1751" s="2" t="str">
        <f>IFERROR(__xludf.DUMMYFUNCTION("IF('From Order'!$A1751=COLUMNS($A1751:F1770), LEFT(INDEX(FILTER(F$1:F1750, F$1:F1750&lt;&gt;""""),COUNTA(FILTER(F$1:F1750, F$1:F1750&lt;&gt;""""))), LEN(INDEX(FILTER(F$1:F1750, F$1:F1750&lt;&gt;""""),COUNTA(FILTER(F$1:F1750, F$1:F1750&lt;&gt;""""))))-1), IF('To Order'!$A1751=COL"&amp;"UMNS($A1751:F1770), F1750&amp;RIGHT(INDIRECT(ADDRESS(ROW(F1751)-1, 'From Order'!$A1751)), 1), F1750))"),"")</f>
        <v/>
      </c>
      <c r="G1751" s="2" t="str">
        <f>IFERROR(__xludf.DUMMYFUNCTION("IF('From Order'!$A1751=COLUMNS($A1751:G1770), LEFT(INDEX(FILTER(G$1:G1750, G$1:G1750&lt;&gt;""""),COUNTA(FILTER(G$1:G1750, G$1:G1750&lt;&gt;""""))), LEN(INDEX(FILTER(G$1:G1750, G$1:G1750&lt;&gt;""""),COUNTA(FILTER(G$1:G1750, G$1:G1750&lt;&gt;""""))))-1), IF('To Order'!$A1751=COL"&amp;"UMNS($A1751:G1770), G1750&amp;RIGHT(INDIRECT(ADDRESS(ROW(G1751)-1, 'From Order'!$A1751)), 1), G1750))"),"MDJMBVRR")</f>
        <v>MDJMBVRR</v>
      </c>
      <c r="H1751" s="2" t="str">
        <f>IFERROR(__xludf.DUMMYFUNCTION("IF('From Order'!$A1751=COLUMNS($A1751:H1770), LEFT(INDEX(FILTER(H$1:H1750, H$1:H1750&lt;&gt;""""),COUNTA(FILTER(H$1:H1750, H$1:H1750&lt;&gt;""""))), LEN(INDEX(FILTER(H$1:H1750, H$1:H1750&lt;&gt;""""),COUNTA(FILTER(H$1:H1750, H$1:H1750&lt;&gt;""""))))-1), IF('To Order'!$A1751=COL"&amp;"UMNS($A1751:H1770), H1750&amp;RIGHT(INDIRECT(ADDRESS(ROW(H1751)-1, 'From Order'!$A1751)), 1), H1750))"),"")</f>
        <v/>
      </c>
      <c r="I1751" s="2" t="str">
        <f>IFERROR(__xludf.DUMMYFUNCTION("IF('From Order'!$A1751=COLUMNS($A1751:I1770), LEFT(INDEX(FILTER(I$1:I1750, I$1:I1750&lt;&gt;""""),COUNTA(FILTER(I$1:I1750, I$1:I1750&lt;&gt;""""))), LEN(INDEX(FILTER(I$1:I1750, I$1:I1750&lt;&gt;""""),COUNTA(FILTER(I$1:I1750, I$1:I1750&lt;&gt;""""))))-1), IF('To Order'!$A1751=COL"&amp;"UMNS($A1751:I1770), I1750&amp;RIGHT(INDIRECT(ADDRESS(ROW(I1751)-1, 'From Order'!$A1751)), 1), I1750))"),"")</f>
        <v/>
      </c>
    </row>
    <row r="1752">
      <c r="A1752" s="2" t="str">
        <f>IFERROR(__xludf.DUMMYFUNCTION("IF('From Order'!$A1752=COLUMNS($A1752:A1771), LEFT(INDEX(FILTER(A$1:A1751, A$1:A1751&lt;&gt;""""),COUNTA(FILTER(A$1:A1751, A$1:A1751&lt;&gt;""""))), LEN(INDEX(FILTER(A$1:A1751, A$1:A1751&lt;&gt;""""),COUNTA(FILTER(A$1:A1751, A$1:A1751&lt;&gt;""""))))-1), IF('To Order'!$A1752=COL"&amp;"UMNS($A1752:A1771), A1751&amp;RIGHT(INDIRECT(ADDRESS(ROW(A1752)-1, 'From Order'!$A1752)), 1), A1751))"),"ZHZMTDLDSPBFLLWDD")</f>
        <v>ZHZMTDLDSPBFLLWDD</v>
      </c>
      <c r="B1752" s="2" t="str">
        <f>IFERROR(__xludf.DUMMYFUNCTION("IF('From Order'!$A1752=COLUMNS($A1752:B1771), LEFT(INDEX(FILTER(B$1:B1751, B$1:B1751&lt;&gt;""""),COUNTA(FILTER(B$1:B1751, B$1:B1751&lt;&gt;""""))), LEN(INDEX(FILTER(B$1:B1751, B$1:B1751&lt;&gt;""""),COUNTA(FILTER(B$1:B1751, B$1:B1751&lt;&gt;""""))))-1), IF('To Order'!$A1752=COL"&amp;"UMNS($A1752:B1771), B1751&amp;RIGHT(INDIRECT(ADDRESS(ROW(B1752)-1, 'From Order'!$A1752)), 1), B1751))"),"GTTJGB")</f>
        <v>GTTJGB</v>
      </c>
      <c r="C1752" s="2" t="str">
        <f>IFERROR(__xludf.DUMMYFUNCTION("IF('From Order'!$A1752=COLUMNS($A1752:C1771), LEFT(INDEX(FILTER(C$1:C1751, C$1:C1751&lt;&gt;""""),COUNTA(FILTER(C$1:C1751, C$1:C1751&lt;&gt;""""))), LEN(INDEX(FILTER(C$1:C1751, C$1:C1751&lt;&gt;""""),COUNTA(FILTER(C$1:C1751, C$1:C1751&lt;&gt;""""))))-1), IF('To Order'!$A1752=COL"&amp;"UMNS($A1752:C1771), C1751&amp;RIGHT(INDIRECT(ADDRESS(ROW(C1752)-1, 'From Order'!$A1752)), 1), C1751))"),"TQVQJPPSST")</f>
        <v>TQVQJPPSST</v>
      </c>
      <c r="D1752" s="2" t="str">
        <f>IFERROR(__xludf.DUMMYFUNCTION("IF('From Order'!$A1752=COLUMNS($A1752:D1771), LEFT(INDEX(FILTER(D$1:D1751, D$1:D1751&lt;&gt;""""),COUNTA(FILTER(D$1:D1751, D$1:D1751&lt;&gt;""""))), LEN(INDEX(FILTER(D$1:D1751, D$1:D1751&lt;&gt;""""),COUNTA(FILTER(D$1:D1751, D$1:D1751&lt;&gt;""""))))-1), IF('To Order'!$A1752=COL"&amp;"UMNS($A1752:D1771), D1751&amp;RIGHT(INDIRECT(ADDRESS(ROW(D1752)-1, 'From Order'!$A1752)), 1), D1751))"),"RBRTCVDR")</f>
        <v>RBRTCVDR</v>
      </c>
      <c r="E1752" s="2" t="str">
        <f>IFERROR(__xludf.DUMMYFUNCTION("IF('From Order'!$A1752=COLUMNS($A1752:E1771), LEFT(INDEX(FILTER(E$1:E1751, E$1:E1751&lt;&gt;""""),COUNTA(FILTER(E$1:E1751, E$1:E1751&lt;&gt;""""))), LEN(INDEX(FILTER(E$1:E1751, E$1:E1751&lt;&gt;""""),COUNTA(FILTER(E$1:E1751, E$1:E1751&lt;&gt;""""))))-1), IF('To Order'!$A1752=COL"&amp;"UMNS($A1752:E1771), E1751&amp;RIGHT(INDIRECT(ADDRESS(ROW(E1752)-1, 'From Order'!$A1752)), 1), E1751))"),"CWZCSFH")</f>
        <v>CWZCSFH</v>
      </c>
      <c r="F1752" s="2" t="str">
        <f>IFERROR(__xludf.DUMMYFUNCTION("IF('From Order'!$A1752=COLUMNS($A1752:F1771), LEFT(INDEX(FILTER(F$1:F1751, F$1:F1751&lt;&gt;""""),COUNTA(FILTER(F$1:F1751, F$1:F1751&lt;&gt;""""))), LEN(INDEX(FILTER(F$1:F1751, F$1:F1751&lt;&gt;""""),COUNTA(FILTER(F$1:F1751, F$1:F1751&lt;&gt;""""))))-1), IF('To Order'!$A1752=COL"&amp;"UMNS($A1752:F1771), F1751&amp;RIGHT(INDIRECT(ADDRESS(ROW(F1752)-1, 'From Order'!$A1752)), 1), F1751))"),"")</f>
        <v/>
      </c>
      <c r="G1752" s="2" t="str">
        <f>IFERROR(__xludf.DUMMYFUNCTION("IF('From Order'!$A1752=COLUMNS($A1752:G1771), LEFT(INDEX(FILTER(G$1:G1751, G$1:G1751&lt;&gt;""""),COUNTA(FILTER(G$1:G1751, G$1:G1751&lt;&gt;""""))), LEN(INDEX(FILTER(G$1:G1751, G$1:G1751&lt;&gt;""""),COUNTA(FILTER(G$1:G1751, G$1:G1751&lt;&gt;""""))))-1), IF('To Order'!$A1752=COL"&amp;"UMNS($A1752:G1771), G1751&amp;RIGHT(INDIRECT(ADDRESS(ROW(G1752)-1, 'From Order'!$A1752)), 1), G1751))"),"MDJMBVRR")</f>
        <v>MDJMBVRR</v>
      </c>
      <c r="H1752" s="2" t="str">
        <f>IFERROR(__xludf.DUMMYFUNCTION("IF('From Order'!$A1752=COLUMNS($A1752:H1771), LEFT(INDEX(FILTER(H$1:H1751, H$1:H1751&lt;&gt;""""),COUNTA(FILTER(H$1:H1751, H$1:H1751&lt;&gt;""""))), LEN(INDEX(FILTER(H$1:H1751, H$1:H1751&lt;&gt;""""),COUNTA(FILTER(H$1:H1751, H$1:H1751&lt;&gt;""""))))-1), IF('To Order'!$A1752=COL"&amp;"UMNS($A1752:H1771), H1751&amp;RIGHT(INDIRECT(ADDRESS(ROW(H1752)-1, 'From Order'!$A1752)), 1), H1751))"),"")</f>
        <v/>
      </c>
      <c r="I1752" s="2" t="str">
        <f>IFERROR(__xludf.DUMMYFUNCTION("IF('From Order'!$A1752=COLUMNS($A1752:I1771), LEFT(INDEX(FILTER(I$1:I1751, I$1:I1751&lt;&gt;""""),COUNTA(FILTER(I$1:I1751, I$1:I1751&lt;&gt;""""))), LEN(INDEX(FILTER(I$1:I1751, I$1:I1751&lt;&gt;""""),COUNTA(FILTER(I$1:I1751, I$1:I1751&lt;&gt;""""))))-1), IF('To Order'!$A1752=COL"&amp;"UMNS($A1752:I1771), I1751&amp;RIGHT(INDIRECT(ADDRESS(ROW(I1752)-1, 'From Order'!$A1752)), 1), I1751))"),"")</f>
        <v/>
      </c>
    </row>
    <row r="1753">
      <c r="A1753" s="2" t="str">
        <f>IFERROR(__xludf.DUMMYFUNCTION("IF('From Order'!$A1753=COLUMNS($A1753:A1772), LEFT(INDEX(FILTER(A$1:A1752, A$1:A1752&lt;&gt;""""),COUNTA(FILTER(A$1:A1752, A$1:A1752&lt;&gt;""""))), LEN(INDEX(FILTER(A$1:A1752, A$1:A1752&lt;&gt;""""),COUNTA(FILTER(A$1:A1752, A$1:A1752&lt;&gt;""""))))-1), IF('To Order'!$A1753=COL"&amp;"UMNS($A1753:A1772), A1752&amp;RIGHT(INDIRECT(ADDRESS(ROW(A1753)-1, 'From Order'!$A1753)), 1), A1752))"),"ZHZMTDLDSPBFLLWDD")</f>
        <v>ZHZMTDLDSPBFLLWDD</v>
      </c>
      <c r="B1753" s="2" t="str">
        <f>IFERROR(__xludf.DUMMYFUNCTION("IF('From Order'!$A1753=COLUMNS($A1753:B1772), LEFT(INDEX(FILTER(B$1:B1752, B$1:B1752&lt;&gt;""""),COUNTA(FILTER(B$1:B1752, B$1:B1752&lt;&gt;""""))), LEN(INDEX(FILTER(B$1:B1752, B$1:B1752&lt;&gt;""""),COUNTA(FILTER(B$1:B1752, B$1:B1752&lt;&gt;""""))))-1), IF('To Order'!$A1753=COL"&amp;"UMNS($A1753:B1772), B1752&amp;RIGHT(INDIRECT(ADDRESS(ROW(B1753)-1, 'From Order'!$A1753)), 1), B1752))"),"GTTJG")</f>
        <v>GTTJG</v>
      </c>
      <c r="C1753" s="2" t="str">
        <f>IFERROR(__xludf.DUMMYFUNCTION("IF('From Order'!$A1753=COLUMNS($A1753:C1772), LEFT(INDEX(FILTER(C$1:C1752, C$1:C1752&lt;&gt;""""),COUNTA(FILTER(C$1:C1752, C$1:C1752&lt;&gt;""""))), LEN(INDEX(FILTER(C$1:C1752, C$1:C1752&lt;&gt;""""),COUNTA(FILTER(C$1:C1752, C$1:C1752&lt;&gt;""""))))-1), IF('To Order'!$A1753=COL"&amp;"UMNS($A1753:C1772), C1752&amp;RIGHT(INDIRECT(ADDRESS(ROW(C1753)-1, 'From Order'!$A1753)), 1), C1752))"),"TQVQJPPSST")</f>
        <v>TQVQJPPSST</v>
      </c>
      <c r="D1753" s="2" t="str">
        <f>IFERROR(__xludf.DUMMYFUNCTION("IF('From Order'!$A1753=COLUMNS($A1753:D1772), LEFT(INDEX(FILTER(D$1:D1752, D$1:D1752&lt;&gt;""""),COUNTA(FILTER(D$1:D1752, D$1:D1752&lt;&gt;""""))), LEN(INDEX(FILTER(D$1:D1752, D$1:D1752&lt;&gt;""""),COUNTA(FILTER(D$1:D1752, D$1:D1752&lt;&gt;""""))))-1), IF('To Order'!$A1753=COL"&amp;"UMNS($A1753:D1772), D1752&amp;RIGHT(INDIRECT(ADDRESS(ROW(D1753)-1, 'From Order'!$A1753)), 1), D1752))"),"RBRTCVDR")</f>
        <v>RBRTCVDR</v>
      </c>
      <c r="E1753" s="2" t="str">
        <f>IFERROR(__xludf.DUMMYFUNCTION("IF('From Order'!$A1753=COLUMNS($A1753:E1772), LEFT(INDEX(FILTER(E$1:E1752, E$1:E1752&lt;&gt;""""),COUNTA(FILTER(E$1:E1752, E$1:E1752&lt;&gt;""""))), LEN(INDEX(FILTER(E$1:E1752, E$1:E1752&lt;&gt;""""),COUNTA(FILTER(E$1:E1752, E$1:E1752&lt;&gt;""""))))-1), IF('To Order'!$A1753=COL"&amp;"UMNS($A1753:E1772), E1752&amp;RIGHT(INDIRECT(ADDRESS(ROW(E1753)-1, 'From Order'!$A1753)), 1), E1752))"),"CWZCSFHB")</f>
        <v>CWZCSFHB</v>
      </c>
      <c r="F1753" s="2" t="str">
        <f>IFERROR(__xludf.DUMMYFUNCTION("IF('From Order'!$A1753=COLUMNS($A1753:F1772), LEFT(INDEX(FILTER(F$1:F1752, F$1:F1752&lt;&gt;""""),COUNTA(FILTER(F$1:F1752, F$1:F1752&lt;&gt;""""))), LEN(INDEX(FILTER(F$1:F1752, F$1:F1752&lt;&gt;""""),COUNTA(FILTER(F$1:F1752, F$1:F1752&lt;&gt;""""))))-1), IF('To Order'!$A1753=COL"&amp;"UMNS($A1753:F1772), F1752&amp;RIGHT(INDIRECT(ADDRESS(ROW(F1753)-1, 'From Order'!$A1753)), 1), F1752))"),"")</f>
        <v/>
      </c>
      <c r="G1753" s="2" t="str">
        <f>IFERROR(__xludf.DUMMYFUNCTION("IF('From Order'!$A1753=COLUMNS($A1753:G1772), LEFT(INDEX(FILTER(G$1:G1752, G$1:G1752&lt;&gt;""""),COUNTA(FILTER(G$1:G1752, G$1:G1752&lt;&gt;""""))), LEN(INDEX(FILTER(G$1:G1752, G$1:G1752&lt;&gt;""""),COUNTA(FILTER(G$1:G1752, G$1:G1752&lt;&gt;""""))))-1), IF('To Order'!$A1753=COL"&amp;"UMNS($A1753:G1772), G1752&amp;RIGHT(INDIRECT(ADDRESS(ROW(G1753)-1, 'From Order'!$A1753)), 1), G1752))"),"MDJMBVRR")</f>
        <v>MDJMBVRR</v>
      </c>
      <c r="H1753" s="2" t="str">
        <f>IFERROR(__xludf.DUMMYFUNCTION("IF('From Order'!$A1753=COLUMNS($A1753:H1772), LEFT(INDEX(FILTER(H$1:H1752, H$1:H1752&lt;&gt;""""),COUNTA(FILTER(H$1:H1752, H$1:H1752&lt;&gt;""""))), LEN(INDEX(FILTER(H$1:H1752, H$1:H1752&lt;&gt;""""),COUNTA(FILTER(H$1:H1752, H$1:H1752&lt;&gt;""""))))-1), IF('To Order'!$A1753=COL"&amp;"UMNS($A1753:H1772), H1752&amp;RIGHT(INDIRECT(ADDRESS(ROW(H1753)-1, 'From Order'!$A1753)), 1), H1752))"),"")</f>
        <v/>
      </c>
      <c r="I1753" s="2" t="str">
        <f>IFERROR(__xludf.DUMMYFUNCTION("IF('From Order'!$A1753=COLUMNS($A1753:I1772), LEFT(INDEX(FILTER(I$1:I1752, I$1:I1752&lt;&gt;""""),COUNTA(FILTER(I$1:I1752, I$1:I1752&lt;&gt;""""))), LEN(INDEX(FILTER(I$1:I1752, I$1:I1752&lt;&gt;""""),COUNTA(FILTER(I$1:I1752, I$1:I1752&lt;&gt;""""))))-1), IF('To Order'!$A1753=COL"&amp;"UMNS($A1753:I1772), I1752&amp;RIGHT(INDIRECT(ADDRESS(ROW(I1753)-1, 'From Order'!$A1753)), 1), I1752))"),"")</f>
        <v/>
      </c>
    </row>
    <row r="1754">
      <c r="A1754" s="2" t="str">
        <f>IFERROR(__xludf.DUMMYFUNCTION("IF('From Order'!$A1754=COLUMNS($A1754:A1773), LEFT(INDEX(FILTER(A$1:A1753, A$1:A1753&lt;&gt;""""),COUNTA(FILTER(A$1:A1753, A$1:A1753&lt;&gt;""""))), LEN(INDEX(FILTER(A$1:A1753, A$1:A1753&lt;&gt;""""),COUNTA(FILTER(A$1:A1753, A$1:A1753&lt;&gt;""""))))-1), IF('To Order'!$A1754=COL"&amp;"UMNS($A1754:A1773), A1753&amp;RIGHT(INDIRECT(ADDRESS(ROW(A1754)-1, 'From Order'!$A1754)), 1), A1753))"),"ZHZMTDLDSPBFLLWDD")</f>
        <v>ZHZMTDLDSPBFLLWDD</v>
      </c>
      <c r="B1754" s="2" t="str">
        <f>IFERROR(__xludf.DUMMYFUNCTION("IF('From Order'!$A1754=COLUMNS($A1754:B1773), LEFT(INDEX(FILTER(B$1:B1753, B$1:B1753&lt;&gt;""""),COUNTA(FILTER(B$1:B1753, B$1:B1753&lt;&gt;""""))), LEN(INDEX(FILTER(B$1:B1753, B$1:B1753&lt;&gt;""""),COUNTA(FILTER(B$1:B1753, B$1:B1753&lt;&gt;""""))))-1), IF('To Order'!$A1754=COL"&amp;"UMNS($A1754:B1773), B1753&amp;RIGHT(INDIRECT(ADDRESS(ROW(B1754)-1, 'From Order'!$A1754)), 1), B1753))"),"GTTJ")</f>
        <v>GTTJ</v>
      </c>
      <c r="C1754" s="2" t="str">
        <f>IFERROR(__xludf.DUMMYFUNCTION("IF('From Order'!$A1754=COLUMNS($A1754:C1773), LEFT(INDEX(FILTER(C$1:C1753, C$1:C1753&lt;&gt;""""),COUNTA(FILTER(C$1:C1753, C$1:C1753&lt;&gt;""""))), LEN(INDEX(FILTER(C$1:C1753, C$1:C1753&lt;&gt;""""),COUNTA(FILTER(C$1:C1753, C$1:C1753&lt;&gt;""""))))-1), IF('To Order'!$A1754=COL"&amp;"UMNS($A1754:C1773), C1753&amp;RIGHT(INDIRECT(ADDRESS(ROW(C1754)-1, 'From Order'!$A1754)), 1), C1753))"),"TQVQJPPSST")</f>
        <v>TQVQJPPSST</v>
      </c>
      <c r="D1754" s="2" t="str">
        <f>IFERROR(__xludf.DUMMYFUNCTION("IF('From Order'!$A1754=COLUMNS($A1754:D1773), LEFT(INDEX(FILTER(D$1:D1753, D$1:D1753&lt;&gt;""""),COUNTA(FILTER(D$1:D1753, D$1:D1753&lt;&gt;""""))), LEN(INDEX(FILTER(D$1:D1753, D$1:D1753&lt;&gt;""""),COUNTA(FILTER(D$1:D1753, D$1:D1753&lt;&gt;""""))))-1), IF('To Order'!$A1754=COL"&amp;"UMNS($A1754:D1773), D1753&amp;RIGHT(INDIRECT(ADDRESS(ROW(D1754)-1, 'From Order'!$A1754)), 1), D1753))"),"RBRTCVDR")</f>
        <v>RBRTCVDR</v>
      </c>
      <c r="E1754" s="2" t="str">
        <f>IFERROR(__xludf.DUMMYFUNCTION("IF('From Order'!$A1754=COLUMNS($A1754:E1773), LEFT(INDEX(FILTER(E$1:E1753, E$1:E1753&lt;&gt;""""),COUNTA(FILTER(E$1:E1753, E$1:E1753&lt;&gt;""""))), LEN(INDEX(FILTER(E$1:E1753, E$1:E1753&lt;&gt;""""),COUNTA(FILTER(E$1:E1753, E$1:E1753&lt;&gt;""""))))-1), IF('To Order'!$A1754=COL"&amp;"UMNS($A1754:E1773), E1753&amp;RIGHT(INDIRECT(ADDRESS(ROW(E1754)-1, 'From Order'!$A1754)), 1), E1753))"),"CWZCSFHBG")</f>
        <v>CWZCSFHBG</v>
      </c>
      <c r="F1754" s="2" t="str">
        <f>IFERROR(__xludf.DUMMYFUNCTION("IF('From Order'!$A1754=COLUMNS($A1754:F1773), LEFT(INDEX(FILTER(F$1:F1753, F$1:F1753&lt;&gt;""""),COUNTA(FILTER(F$1:F1753, F$1:F1753&lt;&gt;""""))), LEN(INDEX(FILTER(F$1:F1753, F$1:F1753&lt;&gt;""""),COUNTA(FILTER(F$1:F1753, F$1:F1753&lt;&gt;""""))))-1), IF('To Order'!$A1754=COL"&amp;"UMNS($A1754:F1773), F1753&amp;RIGHT(INDIRECT(ADDRESS(ROW(F1754)-1, 'From Order'!$A1754)), 1), F1753))"),"")</f>
        <v/>
      </c>
      <c r="G1754" s="2" t="str">
        <f>IFERROR(__xludf.DUMMYFUNCTION("IF('From Order'!$A1754=COLUMNS($A1754:G1773), LEFT(INDEX(FILTER(G$1:G1753, G$1:G1753&lt;&gt;""""),COUNTA(FILTER(G$1:G1753, G$1:G1753&lt;&gt;""""))), LEN(INDEX(FILTER(G$1:G1753, G$1:G1753&lt;&gt;""""),COUNTA(FILTER(G$1:G1753, G$1:G1753&lt;&gt;""""))))-1), IF('To Order'!$A1754=COL"&amp;"UMNS($A1754:G1773), G1753&amp;RIGHT(INDIRECT(ADDRESS(ROW(G1754)-1, 'From Order'!$A1754)), 1), G1753))"),"MDJMBVRR")</f>
        <v>MDJMBVRR</v>
      </c>
      <c r="H1754" s="2" t="str">
        <f>IFERROR(__xludf.DUMMYFUNCTION("IF('From Order'!$A1754=COLUMNS($A1754:H1773), LEFT(INDEX(FILTER(H$1:H1753, H$1:H1753&lt;&gt;""""),COUNTA(FILTER(H$1:H1753, H$1:H1753&lt;&gt;""""))), LEN(INDEX(FILTER(H$1:H1753, H$1:H1753&lt;&gt;""""),COUNTA(FILTER(H$1:H1753, H$1:H1753&lt;&gt;""""))))-1), IF('To Order'!$A1754=COL"&amp;"UMNS($A1754:H1773), H1753&amp;RIGHT(INDIRECT(ADDRESS(ROW(H1754)-1, 'From Order'!$A1754)), 1), H1753))"),"")</f>
        <v/>
      </c>
      <c r="I1754" s="2" t="str">
        <f>IFERROR(__xludf.DUMMYFUNCTION("IF('From Order'!$A1754=COLUMNS($A1754:I1773), LEFT(INDEX(FILTER(I$1:I1753, I$1:I1753&lt;&gt;""""),COUNTA(FILTER(I$1:I1753, I$1:I1753&lt;&gt;""""))), LEN(INDEX(FILTER(I$1:I1753, I$1:I1753&lt;&gt;""""),COUNTA(FILTER(I$1:I1753, I$1:I1753&lt;&gt;""""))))-1), IF('To Order'!$A1754=COL"&amp;"UMNS($A1754:I1773), I1753&amp;RIGHT(INDIRECT(ADDRESS(ROW(I1754)-1, 'From Order'!$A1754)), 1), I1753))"),"")</f>
        <v/>
      </c>
    </row>
    <row r="1755">
      <c r="A1755" s="2" t="str">
        <f>IFERROR(__xludf.DUMMYFUNCTION("IF('From Order'!$A1755=COLUMNS($A1755:A1774), LEFT(INDEX(FILTER(A$1:A1754, A$1:A1754&lt;&gt;""""),COUNTA(FILTER(A$1:A1754, A$1:A1754&lt;&gt;""""))), LEN(INDEX(FILTER(A$1:A1754, A$1:A1754&lt;&gt;""""),COUNTA(FILTER(A$1:A1754, A$1:A1754&lt;&gt;""""))))-1), IF('To Order'!$A1755=COL"&amp;"UMNS($A1755:A1774), A1754&amp;RIGHT(INDIRECT(ADDRESS(ROW(A1755)-1, 'From Order'!$A1755)), 1), A1754))"),"ZHZMTDLDSPBFLLWDD")</f>
        <v>ZHZMTDLDSPBFLLWDD</v>
      </c>
      <c r="B1755" s="2" t="str">
        <f>IFERROR(__xludf.DUMMYFUNCTION("IF('From Order'!$A1755=COLUMNS($A1755:B1774), LEFT(INDEX(FILTER(B$1:B1754, B$1:B1754&lt;&gt;""""),COUNTA(FILTER(B$1:B1754, B$1:B1754&lt;&gt;""""))), LEN(INDEX(FILTER(B$1:B1754, B$1:B1754&lt;&gt;""""),COUNTA(FILTER(B$1:B1754, B$1:B1754&lt;&gt;""""))))-1), IF('To Order'!$A1755=COL"&amp;"UMNS($A1755:B1774), B1754&amp;RIGHT(INDIRECT(ADDRESS(ROW(B1755)-1, 'From Order'!$A1755)), 1), B1754))"),"GTTJ")</f>
        <v>GTTJ</v>
      </c>
      <c r="C1755" s="2" t="str">
        <f>IFERROR(__xludf.DUMMYFUNCTION("IF('From Order'!$A1755=COLUMNS($A1755:C1774), LEFT(INDEX(FILTER(C$1:C1754, C$1:C1754&lt;&gt;""""),COUNTA(FILTER(C$1:C1754, C$1:C1754&lt;&gt;""""))), LEN(INDEX(FILTER(C$1:C1754, C$1:C1754&lt;&gt;""""),COUNTA(FILTER(C$1:C1754, C$1:C1754&lt;&gt;""""))))-1), IF('To Order'!$A1755=COL"&amp;"UMNS($A1755:C1774), C1754&amp;RIGHT(INDIRECT(ADDRESS(ROW(C1755)-1, 'From Order'!$A1755)), 1), C1754))"),"TQVQJPPSST")</f>
        <v>TQVQJPPSST</v>
      </c>
      <c r="D1755" s="2" t="str">
        <f>IFERROR(__xludf.DUMMYFUNCTION("IF('From Order'!$A1755=COLUMNS($A1755:D1774), LEFT(INDEX(FILTER(D$1:D1754, D$1:D1754&lt;&gt;""""),COUNTA(FILTER(D$1:D1754, D$1:D1754&lt;&gt;""""))), LEN(INDEX(FILTER(D$1:D1754, D$1:D1754&lt;&gt;""""),COUNTA(FILTER(D$1:D1754, D$1:D1754&lt;&gt;""""))))-1), IF('To Order'!$A1755=COL"&amp;"UMNS($A1755:D1774), D1754&amp;RIGHT(INDIRECT(ADDRESS(ROW(D1755)-1, 'From Order'!$A1755)), 1), D1754))"),"RBRTCVDRG")</f>
        <v>RBRTCVDRG</v>
      </c>
      <c r="E1755" s="2" t="str">
        <f>IFERROR(__xludf.DUMMYFUNCTION("IF('From Order'!$A1755=COLUMNS($A1755:E1774), LEFT(INDEX(FILTER(E$1:E1754, E$1:E1754&lt;&gt;""""),COUNTA(FILTER(E$1:E1754, E$1:E1754&lt;&gt;""""))), LEN(INDEX(FILTER(E$1:E1754, E$1:E1754&lt;&gt;""""),COUNTA(FILTER(E$1:E1754, E$1:E1754&lt;&gt;""""))))-1), IF('To Order'!$A1755=COL"&amp;"UMNS($A1755:E1774), E1754&amp;RIGHT(INDIRECT(ADDRESS(ROW(E1755)-1, 'From Order'!$A1755)), 1), E1754))"),"CWZCSFHB")</f>
        <v>CWZCSFHB</v>
      </c>
      <c r="F1755" s="2" t="str">
        <f>IFERROR(__xludf.DUMMYFUNCTION("IF('From Order'!$A1755=COLUMNS($A1755:F1774), LEFT(INDEX(FILTER(F$1:F1754, F$1:F1754&lt;&gt;""""),COUNTA(FILTER(F$1:F1754, F$1:F1754&lt;&gt;""""))), LEN(INDEX(FILTER(F$1:F1754, F$1:F1754&lt;&gt;""""),COUNTA(FILTER(F$1:F1754, F$1:F1754&lt;&gt;""""))))-1), IF('To Order'!$A1755=COL"&amp;"UMNS($A1755:F1774), F1754&amp;RIGHT(INDIRECT(ADDRESS(ROW(F1755)-1, 'From Order'!$A1755)), 1), F1754))"),"")</f>
        <v/>
      </c>
      <c r="G1755" s="2" t="str">
        <f>IFERROR(__xludf.DUMMYFUNCTION("IF('From Order'!$A1755=COLUMNS($A1755:G1774), LEFT(INDEX(FILTER(G$1:G1754, G$1:G1754&lt;&gt;""""),COUNTA(FILTER(G$1:G1754, G$1:G1754&lt;&gt;""""))), LEN(INDEX(FILTER(G$1:G1754, G$1:G1754&lt;&gt;""""),COUNTA(FILTER(G$1:G1754, G$1:G1754&lt;&gt;""""))))-1), IF('To Order'!$A1755=COL"&amp;"UMNS($A1755:G1774), G1754&amp;RIGHT(INDIRECT(ADDRESS(ROW(G1755)-1, 'From Order'!$A1755)), 1), G1754))"),"MDJMBVRR")</f>
        <v>MDJMBVRR</v>
      </c>
      <c r="H1755" s="2" t="str">
        <f>IFERROR(__xludf.DUMMYFUNCTION("IF('From Order'!$A1755=COLUMNS($A1755:H1774), LEFT(INDEX(FILTER(H$1:H1754, H$1:H1754&lt;&gt;""""),COUNTA(FILTER(H$1:H1754, H$1:H1754&lt;&gt;""""))), LEN(INDEX(FILTER(H$1:H1754, H$1:H1754&lt;&gt;""""),COUNTA(FILTER(H$1:H1754, H$1:H1754&lt;&gt;""""))))-1), IF('To Order'!$A1755=COL"&amp;"UMNS($A1755:H1774), H1754&amp;RIGHT(INDIRECT(ADDRESS(ROW(H1755)-1, 'From Order'!$A1755)), 1), H1754))"),"")</f>
        <v/>
      </c>
      <c r="I1755" s="2" t="str">
        <f>IFERROR(__xludf.DUMMYFUNCTION("IF('From Order'!$A1755=COLUMNS($A1755:I1774), LEFT(INDEX(FILTER(I$1:I1754, I$1:I1754&lt;&gt;""""),COUNTA(FILTER(I$1:I1754, I$1:I1754&lt;&gt;""""))), LEN(INDEX(FILTER(I$1:I1754, I$1:I1754&lt;&gt;""""),COUNTA(FILTER(I$1:I1754, I$1:I1754&lt;&gt;""""))))-1), IF('To Order'!$A1755=COL"&amp;"UMNS($A1755:I1774), I1754&amp;RIGHT(INDIRECT(ADDRESS(ROW(I1755)-1, 'From Order'!$A1755)), 1), I1754))"),"")</f>
        <v/>
      </c>
    </row>
    <row r="1756">
      <c r="A1756" s="2" t="str">
        <f>IFERROR(__xludf.DUMMYFUNCTION("IF('From Order'!$A1756=COLUMNS($A1756:A1775), LEFT(INDEX(FILTER(A$1:A1755, A$1:A1755&lt;&gt;""""),COUNTA(FILTER(A$1:A1755, A$1:A1755&lt;&gt;""""))), LEN(INDEX(FILTER(A$1:A1755, A$1:A1755&lt;&gt;""""),COUNTA(FILTER(A$1:A1755, A$1:A1755&lt;&gt;""""))))-1), IF('To Order'!$A1756=COL"&amp;"UMNS($A1756:A1775), A1755&amp;RIGHT(INDIRECT(ADDRESS(ROW(A1756)-1, 'From Order'!$A1756)), 1), A1755))"),"ZHZMTDLDSPBFLLWDD")</f>
        <v>ZHZMTDLDSPBFLLWDD</v>
      </c>
      <c r="B1756" s="2" t="str">
        <f>IFERROR(__xludf.DUMMYFUNCTION("IF('From Order'!$A1756=COLUMNS($A1756:B1775), LEFT(INDEX(FILTER(B$1:B1755, B$1:B1755&lt;&gt;""""),COUNTA(FILTER(B$1:B1755, B$1:B1755&lt;&gt;""""))), LEN(INDEX(FILTER(B$1:B1755, B$1:B1755&lt;&gt;""""),COUNTA(FILTER(B$1:B1755, B$1:B1755&lt;&gt;""""))))-1), IF('To Order'!$A1756=COL"&amp;"UMNS($A1756:B1775), B1755&amp;RIGHT(INDIRECT(ADDRESS(ROW(B1756)-1, 'From Order'!$A1756)), 1), B1755))"),"GTTJ")</f>
        <v>GTTJ</v>
      </c>
      <c r="C1756" s="2" t="str">
        <f>IFERROR(__xludf.DUMMYFUNCTION("IF('From Order'!$A1756=COLUMNS($A1756:C1775), LEFT(INDEX(FILTER(C$1:C1755, C$1:C1755&lt;&gt;""""),COUNTA(FILTER(C$1:C1755, C$1:C1755&lt;&gt;""""))), LEN(INDEX(FILTER(C$1:C1755, C$1:C1755&lt;&gt;""""),COUNTA(FILTER(C$1:C1755, C$1:C1755&lt;&gt;""""))))-1), IF('To Order'!$A1756=COL"&amp;"UMNS($A1756:C1775), C1755&amp;RIGHT(INDIRECT(ADDRESS(ROW(C1756)-1, 'From Order'!$A1756)), 1), C1755))"),"TQVQJPPSST")</f>
        <v>TQVQJPPSST</v>
      </c>
      <c r="D1756" s="2" t="str">
        <f>IFERROR(__xludf.DUMMYFUNCTION("IF('From Order'!$A1756=COLUMNS($A1756:D1775), LEFT(INDEX(FILTER(D$1:D1755, D$1:D1755&lt;&gt;""""),COUNTA(FILTER(D$1:D1755, D$1:D1755&lt;&gt;""""))), LEN(INDEX(FILTER(D$1:D1755, D$1:D1755&lt;&gt;""""),COUNTA(FILTER(D$1:D1755, D$1:D1755&lt;&gt;""""))))-1), IF('To Order'!$A1756=COL"&amp;"UMNS($A1756:D1775), D1755&amp;RIGHT(INDIRECT(ADDRESS(ROW(D1756)-1, 'From Order'!$A1756)), 1), D1755))"),"RBRTCVDRGB")</f>
        <v>RBRTCVDRGB</v>
      </c>
      <c r="E1756" s="2" t="str">
        <f>IFERROR(__xludf.DUMMYFUNCTION("IF('From Order'!$A1756=COLUMNS($A1756:E1775), LEFT(INDEX(FILTER(E$1:E1755, E$1:E1755&lt;&gt;""""),COUNTA(FILTER(E$1:E1755, E$1:E1755&lt;&gt;""""))), LEN(INDEX(FILTER(E$1:E1755, E$1:E1755&lt;&gt;""""),COUNTA(FILTER(E$1:E1755, E$1:E1755&lt;&gt;""""))))-1), IF('To Order'!$A1756=COL"&amp;"UMNS($A1756:E1775), E1755&amp;RIGHT(INDIRECT(ADDRESS(ROW(E1756)-1, 'From Order'!$A1756)), 1), E1755))"),"CWZCSFH")</f>
        <v>CWZCSFH</v>
      </c>
      <c r="F1756" s="2" t="str">
        <f>IFERROR(__xludf.DUMMYFUNCTION("IF('From Order'!$A1756=COLUMNS($A1756:F1775), LEFT(INDEX(FILTER(F$1:F1755, F$1:F1755&lt;&gt;""""),COUNTA(FILTER(F$1:F1755, F$1:F1755&lt;&gt;""""))), LEN(INDEX(FILTER(F$1:F1755, F$1:F1755&lt;&gt;""""),COUNTA(FILTER(F$1:F1755, F$1:F1755&lt;&gt;""""))))-1), IF('To Order'!$A1756=COL"&amp;"UMNS($A1756:F1775), F1755&amp;RIGHT(INDIRECT(ADDRESS(ROW(F1756)-1, 'From Order'!$A1756)), 1), F1755))"),"")</f>
        <v/>
      </c>
      <c r="G1756" s="2" t="str">
        <f>IFERROR(__xludf.DUMMYFUNCTION("IF('From Order'!$A1756=COLUMNS($A1756:G1775), LEFT(INDEX(FILTER(G$1:G1755, G$1:G1755&lt;&gt;""""),COUNTA(FILTER(G$1:G1755, G$1:G1755&lt;&gt;""""))), LEN(INDEX(FILTER(G$1:G1755, G$1:G1755&lt;&gt;""""),COUNTA(FILTER(G$1:G1755, G$1:G1755&lt;&gt;""""))))-1), IF('To Order'!$A1756=COL"&amp;"UMNS($A1756:G1775), G1755&amp;RIGHT(INDIRECT(ADDRESS(ROW(G1756)-1, 'From Order'!$A1756)), 1), G1755))"),"MDJMBVRR")</f>
        <v>MDJMBVRR</v>
      </c>
      <c r="H1756" s="2" t="str">
        <f>IFERROR(__xludf.DUMMYFUNCTION("IF('From Order'!$A1756=COLUMNS($A1756:H1775), LEFT(INDEX(FILTER(H$1:H1755, H$1:H1755&lt;&gt;""""),COUNTA(FILTER(H$1:H1755, H$1:H1755&lt;&gt;""""))), LEN(INDEX(FILTER(H$1:H1755, H$1:H1755&lt;&gt;""""),COUNTA(FILTER(H$1:H1755, H$1:H1755&lt;&gt;""""))))-1), IF('To Order'!$A1756=COL"&amp;"UMNS($A1756:H1775), H1755&amp;RIGHT(INDIRECT(ADDRESS(ROW(H1756)-1, 'From Order'!$A1756)), 1), H1755))"),"")</f>
        <v/>
      </c>
      <c r="I1756" s="2" t="str">
        <f>IFERROR(__xludf.DUMMYFUNCTION("IF('From Order'!$A1756=COLUMNS($A1756:I1775), LEFT(INDEX(FILTER(I$1:I1755, I$1:I1755&lt;&gt;""""),COUNTA(FILTER(I$1:I1755, I$1:I1755&lt;&gt;""""))), LEN(INDEX(FILTER(I$1:I1755, I$1:I1755&lt;&gt;""""),COUNTA(FILTER(I$1:I1755, I$1:I1755&lt;&gt;""""))))-1), IF('To Order'!$A1756=COL"&amp;"UMNS($A1756:I1775), I1755&amp;RIGHT(INDIRECT(ADDRESS(ROW(I1756)-1, 'From Order'!$A1756)), 1), I1755))"),"")</f>
        <v/>
      </c>
    </row>
    <row r="1757">
      <c r="A1757" s="2" t="str">
        <f>IFERROR(__xludf.DUMMYFUNCTION("IF('From Order'!$A1757=COLUMNS($A1757:A1776), LEFT(INDEX(FILTER(A$1:A1756, A$1:A1756&lt;&gt;""""),COUNTA(FILTER(A$1:A1756, A$1:A1756&lt;&gt;""""))), LEN(INDEX(FILTER(A$1:A1756, A$1:A1756&lt;&gt;""""),COUNTA(FILTER(A$1:A1756, A$1:A1756&lt;&gt;""""))))-1), IF('To Order'!$A1757=COL"&amp;"UMNS($A1757:A1776), A1756&amp;RIGHT(INDIRECT(ADDRESS(ROW(A1757)-1, 'From Order'!$A1757)), 1), A1756))"),"ZHZMTDLDSPBFLLWDD")</f>
        <v>ZHZMTDLDSPBFLLWDD</v>
      </c>
      <c r="B1757" s="2" t="str">
        <f>IFERROR(__xludf.DUMMYFUNCTION("IF('From Order'!$A1757=COLUMNS($A1757:B1776), LEFT(INDEX(FILTER(B$1:B1756, B$1:B1756&lt;&gt;""""),COUNTA(FILTER(B$1:B1756, B$1:B1756&lt;&gt;""""))), LEN(INDEX(FILTER(B$1:B1756, B$1:B1756&lt;&gt;""""),COUNTA(FILTER(B$1:B1756, B$1:B1756&lt;&gt;""""))))-1), IF('To Order'!$A1757=COL"&amp;"UMNS($A1757:B1776), B1756&amp;RIGHT(INDIRECT(ADDRESS(ROW(B1757)-1, 'From Order'!$A1757)), 1), B1756))"),"GTTJ")</f>
        <v>GTTJ</v>
      </c>
      <c r="C1757" s="2" t="str">
        <f>IFERROR(__xludf.DUMMYFUNCTION("IF('From Order'!$A1757=COLUMNS($A1757:C1776), LEFT(INDEX(FILTER(C$1:C1756, C$1:C1756&lt;&gt;""""),COUNTA(FILTER(C$1:C1756, C$1:C1756&lt;&gt;""""))), LEN(INDEX(FILTER(C$1:C1756, C$1:C1756&lt;&gt;""""),COUNTA(FILTER(C$1:C1756, C$1:C1756&lt;&gt;""""))))-1), IF('To Order'!$A1757=COL"&amp;"UMNS($A1757:C1776), C1756&amp;RIGHT(INDIRECT(ADDRESS(ROW(C1757)-1, 'From Order'!$A1757)), 1), C1756))"),"TQVQJPPSST")</f>
        <v>TQVQJPPSST</v>
      </c>
      <c r="D1757" s="2" t="str">
        <f>IFERROR(__xludf.DUMMYFUNCTION("IF('From Order'!$A1757=COLUMNS($A1757:D1776), LEFT(INDEX(FILTER(D$1:D1756, D$1:D1756&lt;&gt;""""),COUNTA(FILTER(D$1:D1756, D$1:D1756&lt;&gt;""""))), LEN(INDEX(FILTER(D$1:D1756, D$1:D1756&lt;&gt;""""),COUNTA(FILTER(D$1:D1756, D$1:D1756&lt;&gt;""""))))-1), IF('To Order'!$A1757=COL"&amp;"UMNS($A1757:D1776), D1756&amp;RIGHT(INDIRECT(ADDRESS(ROW(D1757)-1, 'From Order'!$A1757)), 1), D1756))"),"RBRTCVDRGBH")</f>
        <v>RBRTCVDRGBH</v>
      </c>
      <c r="E1757" s="2" t="str">
        <f>IFERROR(__xludf.DUMMYFUNCTION("IF('From Order'!$A1757=COLUMNS($A1757:E1776), LEFT(INDEX(FILTER(E$1:E1756, E$1:E1756&lt;&gt;""""),COUNTA(FILTER(E$1:E1756, E$1:E1756&lt;&gt;""""))), LEN(INDEX(FILTER(E$1:E1756, E$1:E1756&lt;&gt;""""),COUNTA(FILTER(E$1:E1756, E$1:E1756&lt;&gt;""""))))-1), IF('To Order'!$A1757=COL"&amp;"UMNS($A1757:E1776), E1756&amp;RIGHT(INDIRECT(ADDRESS(ROW(E1757)-1, 'From Order'!$A1757)), 1), E1756))"),"CWZCSF")</f>
        <v>CWZCSF</v>
      </c>
      <c r="F1757" s="2" t="str">
        <f>IFERROR(__xludf.DUMMYFUNCTION("IF('From Order'!$A1757=COLUMNS($A1757:F1776), LEFT(INDEX(FILTER(F$1:F1756, F$1:F1756&lt;&gt;""""),COUNTA(FILTER(F$1:F1756, F$1:F1756&lt;&gt;""""))), LEN(INDEX(FILTER(F$1:F1756, F$1:F1756&lt;&gt;""""),COUNTA(FILTER(F$1:F1756, F$1:F1756&lt;&gt;""""))))-1), IF('To Order'!$A1757=COL"&amp;"UMNS($A1757:F1776), F1756&amp;RIGHT(INDIRECT(ADDRESS(ROW(F1757)-1, 'From Order'!$A1757)), 1), F1756))"),"")</f>
        <v/>
      </c>
      <c r="G1757" s="2" t="str">
        <f>IFERROR(__xludf.DUMMYFUNCTION("IF('From Order'!$A1757=COLUMNS($A1757:G1776), LEFT(INDEX(FILTER(G$1:G1756, G$1:G1756&lt;&gt;""""),COUNTA(FILTER(G$1:G1756, G$1:G1756&lt;&gt;""""))), LEN(INDEX(FILTER(G$1:G1756, G$1:G1756&lt;&gt;""""),COUNTA(FILTER(G$1:G1756, G$1:G1756&lt;&gt;""""))))-1), IF('To Order'!$A1757=COL"&amp;"UMNS($A1757:G1776), G1756&amp;RIGHT(INDIRECT(ADDRESS(ROW(G1757)-1, 'From Order'!$A1757)), 1), G1756))"),"MDJMBVRR")</f>
        <v>MDJMBVRR</v>
      </c>
      <c r="H1757" s="2" t="str">
        <f>IFERROR(__xludf.DUMMYFUNCTION("IF('From Order'!$A1757=COLUMNS($A1757:H1776), LEFT(INDEX(FILTER(H$1:H1756, H$1:H1756&lt;&gt;""""),COUNTA(FILTER(H$1:H1756, H$1:H1756&lt;&gt;""""))), LEN(INDEX(FILTER(H$1:H1756, H$1:H1756&lt;&gt;""""),COUNTA(FILTER(H$1:H1756, H$1:H1756&lt;&gt;""""))))-1), IF('To Order'!$A1757=COL"&amp;"UMNS($A1757:H1776), H1756&amp;RIGHT(INDIRECT(ADDRESS(ROW(H1757)-1, 'From Order'!$A1757)), 1), H1756))"),"")</f>
        <v/>
      </c>
      <c r="I1757" s="2" t="str">
        <f>IFERROR(__xludf.DUMMYFUNCTION("IF('From Order'!$A1757=COLUMNS($A1757:I1776), LEFT(INDEX(FILTER(I$1:I1756, I$1:I1756&lt;&gt;""""),COUNTA(FILTER(I$1:I1756, I$1:I1756&lt;&gt;""""))), LEN(INDEX(FILTER(I$1:I1756, I$1:I1756&lt;&gt;""""),COUNTA(FILTER(I$1:I1756, I$1:I1756&lt;&gt;""""))))-1), IF('To Order'!$A1757=COL"&amp;"UMNS($A1757:I1776), I1756&amp;RIGHT(INDIRECT(ADDRESS(ROW(I1757)-1, 'From Order'!$A1757)), 1), I1756))"),"")</f>
        <v/>
      </c>
    </row>
    <row r="1758">
      <c r="A1758" s="2" t="str">
        <f>IFERROR(__xludf.DUMMYFUNCTION("IF('From Order'!$A1758=COLUMNS($A1758:A1777), LEFT(INDEX(FILTER(A$1:A1757, A$1:A1757&lt;&gt;""""),COUNTA(FILTER(A$1:A1757, A$1:A1757&lt;&gt;""""))), LEN(INDEX(FILTER(A$1:A1757, A$1:A1757&lt;&gt;""""),COUNTA(FILTER(A$1:A1757, A$1:A1757&lt;&gt;""""))))-1), IF('To Order'!$A1758=COL"&amp;"UMNS($A1758:A1777), A1757&amp;RIGHT(INDIRECT(ADDRESS(ROW(A1758)-1, 'From Order'!$A1758)), 1), A1757))"),"ZHZMTDLDSPBFLLWDD")</f>
        <v>ZHZMTDLDSPBFLLWDD</v>
      </c>
      <c r="B1758" s="2" t="str">
        <f>IFERROR(__xludf.DUMMYFUNCTION("IF('From Order'!$A1758=COLUMNS($A1758:B1777), LEFT(INDEX(FILTER(B$1:B1757, B$1:B1757&lt;&gt;""""),COUNTA(FILTER(B$1:B1757, B$1:B1757&lt;&gt;""""))), LEN(INDEX(FILTER(B$1:B1757, B$1:B1757&lt;&gt;""""),COUNTA(FILTER(B$1:B1757, B$1:B1757&lt;&gt;""""))))-1), IF('To Order'!$A1758=COL"&amp;"UMNS($A1758:B1777), B1757&amp;RIGHT(INDIRECT(ADDRESS(ROW(B1758)-1, 'From Order'!$A1758)), 1), B1757))"),"GTTJ")</f>
        <v>GTTJ</v>
      </c>
      <c r="C1758" s="2" t="str">
        <f>IFERROR(__xludf.DUMMYFUNCTION("IF('From Order'!$A1758=COLUMNS($A1758:C1777), LEFT(INDEX(FILTER(C$1:C1757, C$1:C1757&lt;&gt;""""),COUNTA(FILTER(C$1:C1757, C$1:C1757&lt;&gt;""""))), LEN(INDEX(FILTER(C$1:C1757, C$1:C1757&lt;&gt;""""),COUNTA(FILTER(C$1:C1757, C$1:C1757&lt;&gt;""""))))-1), IF('To Order'!$A1758=COL"&amp;"UMNS($A1758:C1777), C1757&amp;RIGHT(INDIRECT(ADDRESS(ROW(C1758)-1, 'From Order'!$A1758)), 1), C1757))"),"TQVQJPPSST")</f>
        <v>TQVQJPPSST</v>
      </c>
      <c r="D1758" s="2" t="str">
        <f>IFERROR(__xludf.DUMMYFUNCTION("IF('From Order'!$A1758=COLUMNS($A1758:D1777), LEFT(INDEX(FILTER(D$1:D1757, D$1:D1757&lt;&gt;""""),COUNTA(FILTER(D$1:D1757, D$1:D1757&lt;&gt;""""))), LEN(INDEX(FILTER(D$1:D1757, D$1:D1757&lt;&gt;""""),COUNTA(FILTER(D$1:D1757, D$1:D1757&lt;&gt;""""))))-1), IF('To Order'!$A1758=COL"&amp;"UMNS($A1758:D1777), D1757&amp;RIGHT(INDIRECT(ADDRESS(ROW(D1758)-1, 'From Order'!$A1758)), 1), D1757))"),"RBRTCVDRGBHF")</f>
        <v>RBRTCVDRGBHF</v>
      </c>
      <c r="E1758" s="2" t="str">
        <f>IFERROR(__xludf.DUMMYFUNCTION("IF('From Order'!$A1758=COLUMNS($A1758:E1777), LEFT(INDEX(FILTER(E$1:E1757, E$1:E1757&lt;&gt;""""),COUNTA(FILTER(E$1:E1757, E$1:E1757&lt;&gt;""""))), LEN(INDEX(FILTER(E$1:E1757, E$1:E1757&lt;&gt;""""),COUNTA(FILTER(E$1:E1757, E$1:E1757&lt;&gt;""""))))-1), IF('To Order'!$A1758=COL"&amp;"UMNS($A1758:E1777), E1757&amp;RIGHT(INDIRECT(ADDRESS(ROW(E1758)-1, 'From Order'!$A1758)), 1), E1757))"),"CWZCS")</f>
        <v>CWZCS</v>
      </c>
      <c r="F1758" s="2" t="str">
        <f>IFERROR(__xludf.DUMMYFUNCTION("IF('From Order'!$A1758=COLUMNS($A1758:F1777), LEFT(INDEX(FILTER(F$1:F1757, F$1:F1757&lt;&gt;""""),COUNTA(FILTER(F$1:F1757, F$1:F1757&lt;&gt;""""))), LEN(INDEX(FILTER(F$1:F1757, F$1:F1757&lt;&gt;""""),COUNTA(FILTER(F$1:F1757, F$1:F1757&lt;&gt;""""))))-1), IF('To Order'!$A1758=COL"&amp;"UMNS($A1758:F1777), F1757&amp;RIGHT(INDIRECT(ADDRESS(ROW(F1758)-1, 'From Order'!$A1758)), 1), F1757))"),"")</f>
        <v/>
      </c>
      <c r="G1758" s="2" t="str">
        <f>IFERROR(__xludf.DUMMYFUNCTION("IF('From Order'!$A1758=COLUMNS($A1758:G1777), LEFT(INDEX(FILTER(G$1:G1757, G$1:G1757&lt;&gt;""""),COUNTA(FILTER(G$1:G1757, G$1:G1757&lt;&gt;""""))), LEN(INDEX(FILTER(G$1:G1757, G$1:G1757&lt;&gt;""""),COUNTA(FILTER(G$1:G1757, G$1:G1757&lt;&gt;""""))))-1), IF('To Order'!$A1758=COL"&amp;"UMNS($A1758:G1777), G1757&amp;RIGHT(INDIRECT(ADDRESS(ROW(G1758)-1, 'From Order'!$A1758)), 1), G1757))"),"MDJMBVRR")</f>
        <v>MDJMBVRR</v>
      </c>
      <c r="H1758" s="2" t="str">
        <f>IFERROR(__xludf.DUMMYFUNCTION("IF('From Order'!$A1758=COLUMNS($A1758:H1777), LEFT(INDEX(FILTER(H$1:H1757, H$1:H1757&lt;&gt;""""),COUNTA(FILTER(H$1:H1757, H$1:H1757&lt;&gt;""""))), LEN(INDEX(FILTER(H$1:H1757, H$1:H1757&lt;&gt;""""),COUNTA(FILTER(H$1:H1757, H$1:H1757&lt;&gt;""""))))-1), IF('To Order'!$A1758=COL"&amp;"UMNS($A1758:H1777), H1757&amp;RIGHT(INDIRECT(ADDRESS(ROW(H1758)-1, 'From Order'!$A1758)), 1), H1757))"),"")</f>
        <v/>
      </c>
      <c r="I1758" s="2" t="str">
        <f>IFERROR(__xludf.DUMMYFUNCTION("IF('From Order'!$A1758=COLUMNS($A1758:I1777), LEFT(INDEX(FILTER(I$1:I1757, I$1:I1757&lt;&gt;""""),COUNTA(FILTER(I$1:I1757, I$1:I1757&lt;&gt;""""))), LEN(INDEX(FILTER(I$1:I1757, I$1:I1757&lt;&gt;""""),COUNTA(FILTER(I$1:I1757, I$1:I1757&lt;&gt;""""))))-1), IF('To Order'!$A1758=COL"&amp;"UMNS($A1758:I1777), I1757&amp;RIGHT(INDIRECT(ADDRESS(ROW(I1758)-1, 'From Order'!$A1758)), 1), I1757))"),"")</f>
        <v/>
      </c>
    </row>
    <row r="1759">
      <c r="A1759" s="2" t="str">
        <f>IFERROR(__xludf.DUMMYFUNCTION("IF('From Order'!$A1759=COLUMNS($A1759:A1778), LEFT(INDEX(FILTER(A$1:A1758, A$1:A1758&lt;&gt;""""),COUNTA(FILTER(A$1:A1758, A$1:A1758&lt;&gt;""""))), LEN(INDEX(FILTER(A$1:A1758, A$1:A1758&lt;&gt;""""),COUNTA(FILTER(A$1:A1758, A$1:A1758&lt;&gt;""""))))-1), IF('To Order'!$A1759=COL"&amp;"UMNS($A1759:A1778), A1758&amp;RIGHT(INDIRECT(ADDRESS(ROW(A1759)-1, 'From Order'!$A1759)), 1), A1758))"),"ZHZMTDLDSPBFLLWDD")</f>
        <v>ZHZMTDLDSPBFLLWDD</v>
      </c>
      <c r="B1759" s="2" t="str">
        <f>IFERROR(__xludf.DUMMYFUNCTION("IF('From Order'!$A1759=COLUMNS($A1759:B1778), LEFT(INDEX(FILTER(B$1:B1758, B$1:B1758&lt;&gt;""""),COUNTA(FILTER(B$1:B1758, B$1:B1758&lt;&gt;""""))), LEN(INDEX(FILTER(B$1:B1758, B$1:B1758&lt;&gt;""""),COUNTA(FILTER(B$1:B1758, B$1:B1758&lt;&gt;""""))))-1), IF('To Order'!$A1759=COL"&amp;"UMNS($A1759:B1778), B1758&amp;RIGHT(INDIRECT(ADDRESS(ROW(B1759)-1, 'From Order'!$A1759)), 1), B1758))"),"GTTJ")</f>
        <v>GTTJ</v>
      </c>
      <c r="C1759" s="2" t="str">
        <f>IFERROR(__xludf.DUMMYFUNCTION("IF('From Order'!$A1759=COLUMNS($A1759:C1778), LEFT(INDEX(FILTER(C$1:C1758, C$1:C1758&lt;&gt;""""),COUNTA(FILTER(C$1:C1758, C$1:C1758&lt;&gt;""""))), LEN(INDEX(FILTER(C$1:C1758, C$1:C1758&lt;&gt;""""),COUNTA(FILTER(C$1:C1758, C$1:C1758&lt;&gt;""""))))-1), IF('To Order'!$A1759=COL"&amp;"UMNS($A1759:C1778), C1758&amp;RIGHT(INDIRECT(ADDRESS(ROW(C1759)-1, 'From Order'!$A1759)), 1), C1758))"),"TQVQJPPSST")</f>
        <v>TQVQJPPSST</v>
      </c>
      <c r="D1759" s="2" t="str">
        <f>IFERROR(__xludf.DUMMYFUNCTION("IF('From Order'!$A1759=COLUMNS($A1759:D1778), LEFT(INDEX(FILTER(D$1:D1758, D$1:D1758&lt;&gt;""""),COUNTA(FILTER(D$1:D1758, D$1:D1758&lt;&gt;""""))), LEN(INDEX(FILTER(D$1:D1758, D$1:D1758&lt;&gt;""""),COUNTA(FILTER(D$1:D1758, D$1:D1758&lt;&gt;""""))))-1), IF('To Order'!$A1759=COL"&amp;"UMNS($A1759:D1778), D1758&amp;RIGHT(INDIRECT(ADDRESS(ROW(D1759)-1, 'From Order'!$A1759)), 1), D1758))"),"RBRTCVDRGBHFS")</f>
        <v>RBRTCVDRGBHFS</v>
      </c>
      <c r="E1759" s="2" t="str">
        <f>IFERROR(__xludf.DUMMYFUNCTION("IF('From Order'!$A1759=COLUMNS($A1759:E1778), LEFT(INDEX(FILTER(E$1:E1758, E$1:E1758&lt;&gt;""""),COUNTA(FILTER(E$1:E1758, E$1:E1758&lt;&gt;""""))), LEN(INDEX(FILTER(E$1:E1758, E$1:E1758&lt;&gt;""""),COUNTA(FILTER(E$1:E1758, E$1:E1758&lt;&gt;""""))))-1), IF('To Order'!$A1759=COL"&amp;"UMNS($A1759:E1778), E1758&amp;RIGHT(INDIRECT(ADDRESS(ROW(E1759)-1, 'From Order'!$A1759)), 1), E1758))"),"CWZC")</f>
        <v>CWZC</v>
      </c>
      <c r="F1759" s="2" t="str">
        <f>IFERROR(__xludf.DUMMYFUNCTION("IF('From Order'!$A1759=COLUMNS($A1759:F1778), LEFT(INDEX(FILTER(F$1:F1758, F$1:F1758&lt;&gt;""""),COUNTA(FILTER(F$1:F1758, F$1:F1758&lt;&gt;""""))), LEN(INDEX(FILTER(F$1:F1758, F$1:F1758&lt;&gt;""""),COUNTA(FILTER(F$1:F1758, F$1:F1758&lt;&gt;""""))))-1), IF('To Order'!$A1759=COL"&amp;"UMNS($A1759:F1778), F1758&amp;RIGHT(INDIRECT(ADDRESS(ROW(F1759)-1, 'From Order'!$A1759)), 1), F1758))"),"")</f>
        <v/>
      </c>
      <c r="G1759" s="2" t="str">
        <f>IFERROR(__xludf.DUMMYFUNCTION("IF('From Order'!$A1759=COLUMNS($A1759:G1778), LEFT(INDEX(FILTER(G$1:G1758, G$1:G1758&lt;&gt;""""),COUNTA(FILTER(G$1:G1758, G$1:G1758&lt;&gt;""""))), LEN(INDEX(FILTER(G$1:G1758, G$1:G1758&lt;&gt;""""),COUNTA(FILTER(G$1:G1758, G$1:G1758&lt;&gt;""""))))-1), IF('To Order'!$A1759=COL"&amp;"UMNS($A1759:G1778), G1758&amp;RIGHT(INDIRECT(ADDRESS(ROW(G1759)-1, 'From Order'!$A1759)), 1), G1758))"),"MDJMBVRR")</f>
        <v>MDJMBVRR</v>
      </c>
      <c r="H1759" s="2" t="str">
        <f>IFERROR(__xludf.DUMMYFUNCTION("IF('From Order'!$A1759=COLUMNS($A1759:H1778), LEFT(INDEX(FILTER(H$1:H1758, H$1:H1758&lt;&gt;""""),COUNTA(FILTER(H$1:H1758, H$1:H1758&lt;&gt;""""))), LEN(INDEX(FILTER(H$1:H1758, H$1:H1758&lt;&gt;""""),COUNTA(FILTER(H$1:H1758, H$1:H1758&lt;&gt;""""))))-1), IF('To Order'!$A1759=COL"&amp;"UMNS($A1759:H1778), H1758&amp;RIGHT(INDIRECT(ADDRESS(ROW(H1759)-1, 'From Order'!$A1759)), 1), H1758))"),"")</f>
        <v/>
      </c>
      <c r="I1759" s="2" t="str">
        <f>IFERROR(__xludf.DUMMYFUNCTION("IF('From Order'!$A1759=COLUMNS($A1759:I1778), LEFT(INDEX(FILTER(I$1:I1758, I$1:I1758&lt;&gt;""""),COUNTA(FILTER(I$1:I1758, I$1:I1758&lt;&gt;""""))), LEN(INDEX(FILTER(I$1:I1758, I$1:I1758&lt;&gt;""""),COUNTA(FILTER(I$1:I1758, I$1:I1758&lt;&gt;""""))))-1), IF('To Order'!$A1759=COL"&amp;"UMNS($A1759:I1778), I1758&amp;RIGHT(INDIRECT(ADDRESS(ROW(I1759)-1, 'From Order'!$A1759)), 1), I1758))"),"")</f>
        <v/>
      </c>
    </row>
    <row r="1760">
      <c r="A1760" s="2" t="str">
        <f>IFERROR(__xludf.DUMMYFUNCTION("IF('From Order'!$A1760=COLUMNS($A1760:A1779), LEFT(INDEX(FILTER(A$1:A1759, A$1:A1759&lt;&gt;""""),COUNTA(FILTER(A$1:A1759, A$1:A1759&lt;&gt;""""))), LEN(INDEX(FILTER(A$1:A1759, A$1:A1759&lt;&gt;""""),COUNTA(FILTER(A$1:A1759, A$1:A1759&lt;&gt;""""))))-1), IF('To Order'!$A1760=COL"&amp;"UMNS($A1760:A1779), A1759&amp;RIGHT(INDIRECT(ADDRESS(ROW(A1760)-1, 'From Order'!$A1760)), 1), A1759))"),"ZHZMTDLDSPBFLLWDD")</f>
        <v>ZHZMTDLDSPBFLLWDD</v>
      </c>
      <c r="B1760" s="2" t="str">
        <f>IFERROR(__xludf.DUMMYFUNCTION("IF('From Order'!$A1760=COLUMNS($A1760:B1779), LEFT(INDEX(FILTER(B$1:B1759, B$1:B1759&lt;&gt;""""),COUNTA(FILTER(B$1:B1759, B$1:B1759&lt;&gt;""""))), LEN(INDEX(FILTER(B$1:B1759, B$1:B1759&lt;&gt;""""),COUNTA(FILTER(B$1:B1759, B$1:B1759&lt;&gt;""""))))-1), IF('To Order'!$A1760=COL"&amp;"UMNS($A1760:B1779), B1759&amp;RIGHT(INDIRECT(ADDRESS(ROW(B1760)-1, 'From Order'!$A1760)), 1), B1759))"),"GTTJ")</f>
        <v>GTTJ</v>
      </c>
      <c r="C1760" s="2" t="str">
        <f>IFERROR(__xludf.DUMMYFUNCTION("IF('From Order'!$A1760=COLUMNS($A1760:C1779), LEFT(INDEX(FILTER(C$1:C1759, C$1:C1759&lt;&gt;""""),COUNTA(FILTER(C$1:C1759, C$1:C1759&lt;&gt;""""))), LEN(INDEX(FILTER(C$1:C1759, C$1:C1759&lt;&gt;""""),COUNTA(FILTER(C$1:C1759, C$1:C1759&lt;&gt;""""))))-1), IF('To Order'!$A1760=COL"&amp;"UMNS($A1760:C1779), C1759&amp;RIGHT(INDIRECT(ADDRESS(ROW(C1760)-1, 'From Order'!$A1760)), 1), C1759))"),"TQVQJPPSST")</f>
        <v>TQVQJPPSST</v>
      </c>
      <c r="D1760" s="2" t="str">
        <f>IFERROR(__xludf.DUMMYFUNCTION("IF('From Order'!$A1760=COLUMNS($A1760:D1779), LEFT(INDEX(FILTER(D$1:D1759, D$1:D1759&lt;&gt;""""),COUNTA(FILTER(D$1:D1759, D$1:D1759&lt;&gt;""""))), LEN(INDEX(FILTER(D$1:D1759, D$1:D1759&lt;&gt;""""),COUNTA(FILTER(D$1:D1759, D$1:D1759&lt;&gt;""""))))-1), IF('To Order'!$A1760=COL"&amp;"UMNS($A1760:D1779), D1759&amp;RIGHT(INDIRECT(ADDRESS(ROW(D1760)-1, 'From Order'!$A1760)), 1), D1759))"),"RBRTCVDRGBHFSC")</f>
        <v>RBRTCVDRGBHFSC</v>
      </c>
      <c r="E1760" s="2" t="str">
        <f>IFERROR(__xludf.DUMMYFUNCTION("IF('From Order'!$A1760=COLUMNS($A1760:E1779), LEFT(INDEX(FILTER(E$1:E1759, E$1:E1759&lt;&gt;""""),COUNTA(FILTER(E$1:E1759, E$1:E1759&lt;&gt;""""))), LEN(INDEX(FILTER(E$1:E1759, E$1:E1759&lt;&gt;""""),COUNTA(FILTER(E$1:E1759, E$1:E1759&lt;&gt;""""))))-1), IF('To Order'!$A1760=COL"&amp;"UMNS($A1760:E1779), E1759&amp;RIGHT(INDIRECT(ADDRESS(ROW(E1760)-1, 'From Order'!$A1760)), 1), E1759))"),"CWZ")</f>
        <v>CWZ</v>
      </c>
      <c r="F1760" s="2" t="str">
        <f>IFERROR(__xludf.DUMMYFUNCTION("IF('From Order'!$A1760=COLUMNS($A1760:F1779), LEFT(INDEX(FILTER(F$1:F1759, F$1:F1759&lt;&gt;""""),COUNTA(FILTER(F$1:F1759, F$1:F1759&lt;&gt;""""))), LEN(INDEX(FILTER(F$1:F1759, F$1:F1759&lt;&gt;""""),COUNTA(FILTER(F$1:F1759, F$1:F1759&lt;&gt;""""))))-1), IF('To Order'!$A1760=COL"&amp;"UMNS($A1760:F1779), F1759&amp;RIGHT(INDIRECT(ADDRESS(ROW(F1760)-1, 'From Order'!$A1760)), 1), F1759))"),"")</f>
        <v/>
      </c>
      <c r="G1760" s="2" t="str">
        <f>IFERROR(__xludf.DUMMYFUNCTION("IF('From Order'!$A1760=COLUMNS($A1760:G1779), LEFT(INDEX(FILTER(G$1:G1759, G$1:G1759&lt;&gt;""""),COUNTA(FILTER(G$1:G1759, G$1:G1759&lt;&gt;""""))), LEN(INDEX(FILTER(G$1:G1759, G$1:G1759&lt;&gt;""""),COUNTA(FILTER(G$1:G1759, G$1:G1759&lt;&gt;""""))))-1), IF('To Order'!$A1760=COL"&amp;"UMNS($A1760:G1779), G1759&amp;RIGHT(INDIRECT(ADDRESS(ROW(G1760)-1, 'From Order'!$A1760)), 1), G1759))"),"MDJMBVRR")</f>
        <v>MDJMBVRR</v>
      </c>
      <c r="H1760" s="2" t="str">
        <f>IFERROR(__xludf.DUMMYFUNCTION("IF('From Order'!$A1760=COLUMNS($A1760:H1779), LEFT(INDEX(FILTER(H$1:H1759, H$1:H1759&lt;&gt;""""),COUNTA(FILTER(H$1:H1759, H$1:H1759&lt;&gt;""""))), LEN(INDEX(FILTER(H$1:H1759, H$1:H1759&lt;&gt;""""),COUNTA(FILTER(H$1:H1759, H$1:H1759&lt;&gt;""""))))-1), IF('To Order'!$A1760=COL"&amp;"UMNS($A1760:H1779), H1759&amp;RIGHT(INDIRECT(ADDRESS(ROW(H1760)-1, 'From Order'!$A1760)), 1), H1759))"),"")</f>
        <v/>
      </c>
      <c r="I1760" s="2" t="str">
        <f>IFERROR(__xludf.DUMMYFUNCTION("IF('From Order'!$A1760=COLUMNS($A1760:I1779), LEFT(INDEX(FILTER(I$1:I1759, I$1:I1759&lt;&gt;""""),COUNTA(FILTER(I$1:I1759, I$1:I1759&lt;&gt;""""))), LEN(INDEX(FILTER(I$1:I1759, I$1:I1759&lt;&gt;""""),COUNTA(FILTER(I$1:I1759, I$1:I1759&lt;&gt;""""))))-1), IF('To Order'!$A1760=COL"&amp;"UMNS($A1760:I1779), I1759&amp;RIGHT(INDIRECT(ADDRESS(ROW(I1760)-1, 'From Order'!$A1760)), 1), I1759))"),"")</f>
        <v/>
      </c>
    </row>
    <row r="1761">
      <c r="A1761" s="2" t="str">
        <f>IFERROR(__xludf.DUMMYFUNCTION("IF('From Order'!$A1761=COLUMNS($A1761:A1780), LEFT(INDEX(FILTER(A$1:A1760, A$1:A1760&lt;&gt;""""),COUNTA(FILTER(A$1:A1760, A$1:A1760&lt;&gt;""""))), LEN(INDEX(FILTER(A$1:A1760, A$1:A1760&lt;&gt;""""),COUNTA(FILTER(A$1:A1760, A$1:A1760&lt;&gt;""""))))-1), IF('To Order'!$A1761=COL"&amp;"UMNS($A1761:A1780), A1760&amp;RIGHT(INDIRECT(ADDRESS(ROW(A1761)-1, 'From Order'!$A1761)), 1), A1760))"),"ZHZMTDLDSPBFLLWDD")</f>
        <v>ZHZMTDLDSPBFLLWDD</v>
      </c>
      <c r="B1761" s="2" t="str">
        <f>IFERROR(__xludf.DUMMYFUNCTION("IF('From Order'!$A1761=COLUMNS($A1761:B1780), LEFT(INDEX(FILTER(B$1:B1760, B$1:B1760&lt;&gt;""""),COUNTA(FILTER(B$1:B1760, B$1:B1760&lt;&gt;""""))), LEN(INDEX(FILTER(B$1:B1760, B$1:B1760&lt;&gt;""""),COUNTA(FILTER(B$1:B1760, B$1:B1760&lt;&gt;""""))))-1), IF('To Order'!$A1761=COL"&amp;"UMNS($A1761:B1780), B1760&amp;RIGHT(INDIRECT(ADDRESS(ROW(B1761)-1, 'From Order'!$A1761)), 1), B1760))"),"GTTJ")</f>
        <v>GTTJ</v>
      </c>
      <c r="C1761" s="2" t="str">
        <f>IFERROR(__xludf.DUMMYFUNCTION("IF('From Order'!$A1761=COLUMNS($A1761:C1780), LEFT(INDEX(FILTER(C$1:C1760, C$1:C1760&lt;&gt;""""),COUNTA(FILTER(C$1:C1760, C$1:C1760&lt;&gt;""""))), LEN(INDEX(FILTER(C$1:C1760, C$1:C1760&lt;&gt;""""),COUNTA(FILTER(C$1:C1760, C$1:C1760&lt;&gt;""""))))-1), IF('To Order'!$A1761=COL"&amp;"UMNS($A1761:C1780), C1760&amp;RIGHT(INDIRECT(ADDRESS(ROW(C1761)-1, 'From Order'!$A1761)), 1), C1760))"),"TQVQJPPSST")</f>
        <v>TQVQJPPSST</v>
      </c>
      <c r="D1761" s="2" t="str">
        <f>IFERROR(__xludf.DUMMYFUNCTION("IF('From Order'!$A1761=COLUMNS($A1761:D1780), LEFT(INDEX(FILTER(D$1:D1760, D$1:D1760&lt;&gt;""""),COUNTA(FILTER(D$1:D1760, D$1:D1760&lt;&gt;""""))), LEN(INDEX(FILTER(D$1:D1760, D$1:D1760&lt;&gt;""""),COUNTA(FILTER(D$1:D1760, D$1:D1760&lt;&gt;""""))))-1), IF('To Order'!$A1761=COL"&amp;"UMNS($A1761:D1780), D1760&amp;RIGHT(INDIRECT(ADDRESS(ROW(D1761)-1, 'From Order'!$A1761)), 1), D1760))"),"RBRTCVDRGBHFSCZ")</f>
        <v>RBRTCVDRGBHFSCZ</v>
      </c>
      <c r="E1761" s="2" t="str">
        <f>IFERROR(__xludf.DUMMYFUNCTION("IF('From Order'!$A1761=COLUMNS($A1761:E1780), LEFT(INDEX(FILTER(E$1:E1760, E$1:E1760&lt;&gt;""""),COUNTA(FILTER(E$1:E1760, E$1:E1760&lt;&gt;""""))), LEN(INDEX(FILTER(E$1:E1760, E$1:E1760&lt;&gt;""""),COUNTA(FILTER(E$1:E1760, E$1:E1760&lt;&gt;""""))))-1), IF('To Order'!$A1761=COL"&amp;"UMNS($A1761:E1780), E1760&amp;RIGHT(INDIRECT(ADDRESS(ROW(E1761)-1, 'From Order'!$A1761)), 1), E1760))"),"CW")</f>
        <v>CW</v>
      </c>
      <c r="F1761" s="2" t="str">
        <f>IFERROR(__xludf.DUMMYFUNCTION("IF('From Order'!$A1761=COLUMNS($A1761:F1780), LEFT(INDEX(FILTER(F$1:F1760, F$1:F1760&lt;&gt;""""),COUNTA(FILTER(F$1:F1760, F$1:F1760&lt;&gt;""""))), LEN(INDEX(FILTER(F$1:F1760, F$1:F1760&lt;&gt;""""),COUNTA(FILTER(F$1:F1760, F$1:F1760&lt;&gt;""""))))-1), IF('To Order'!$A1761=COL"&amp;"UMNS($A1761:F1780), F1760&amp;RIGHT(INDIRECT(ADDRESS(ROW(F1761)-1, 'From Order'!$A1761)), 1), F1760))"),"")</f>
        <v/>
      </c>
      <c r="G1761" s="2" t="str">
        <f>IFERROR(__xludf.DUMMYFUNCTION("IF('From Order'!$A1761=COLUMNS($A1761:G1780), LEFT(INDEX(FILTER(G$1:G1760, G$1:G1760&lt;&gt;""""),COUNTA(FILTER(G$1:G1760, G$1:G1760&lt;&gt;""""))), LEN(INDEX(FILTER(G$1:G1760, G$1:G1760&lt;&gt;""""),COUNTA(FILTER(G$1:G1760, G$1:G1760&lt;&gt;""""))))-1), IF('To Order'!$A1761=COL"&amp;"UMNS($A1761:G1780), G1760&amp;RIGHT(INDIRECT(ADDRESS(ROW(G1761)-1, 'From Order'!$A1761)), 1), G1760))"),"MDJMBVRR")</f>
        <v>MDJMBVRR</v>
      </c>
      <c r="H1761" s="2" t="str">
        <f>IFERROR(__xludf.DUMMYFUNCTION("IF('From Order'!$A1761=COLUMNS($A1761:H1780), LEFT(INDEX(FILTER(H$1:H1760, H$1:H1760&lt;&gt;""""),COUNTA(FILTER(H$1:H1760, H$1:H1760&lt;&gt;""""))), LEN(INDEX(FILTER(H$1:H1760, H$1:H1760&lt;&gt;""""),COUNTA(FILTER(H$1:H1760, H$1:H1760&lt;&gt;""""))))-1), IF('To Order'!$A1761=COL"&amp;"UMNS($A1761:H1780), H1760&amp;RIGHT(INDIRECT(ADDRESS(ROW(H1761)-1, 'From Order'!$A1761)), 1), H1760))"),"")</f>
        <v/>
      </c>
      <c r="I1761" s="2" t="str">
        <f>IFERROR(__xludf.DUMMYFUNCTION("IF('From Order'!$A1761=COLUMNS($A1761:I1780), LEFT(INDEX(FILTER(I$1:I1760, I$1:I1760&lt;&gt;""""),COUNTA(FILTER(I$1:I1760, I$1:I1760&lt;&gt;""""))), LEN(INDEX(FILTER(I$1:I1760, I$1:I1760&lt;&gt;""""),COUNTA(FILTER(I$1:I1760, I$1:I1760&lt;&gt;""""))))-1), IF('To Order'!$A1761=COL"&amp;"UMNS($A1761:I1780), I1760&amp;RIGHT(INDIRECT(ADDRESS(ROW(I1761)-1, 'From Order'!$A1761)), 1), I1760))"),"")</f>
        <v/>
      </c>
    </row>
    <row r="1762">
      <c r="A1762" s="2" t="str">
        <f>IFERROR(__xludf.DUMMYFUNCTION("IF('From Order'!$A1762=COLUMNS($A1762:A1781), LEFT(INDEX(FILTER(A$1:A1761, A$1:A1761&lt;&gt;""""),COUNTA(FILTER(A$1:A1761, A$1:A1761&lt;&gt;""""))), LEN(INDEX(FILTER(A$1:A1761, A$1:A1761&lt;&gt;""""),COUNTA(FILTER(A$1:A1761, A$1:A1761&lt;&gt;""""))))-1), IF('To Order'!$A1762=COL"&amp;"UMNS($A1762:A1781), A1761&amp;RIGHT(INDIRECT(ADDRESS(ROW(A1762)-1, 'From Order'!$A1762)), 1), A1761))"),"ZHZMTDLDSPBFLLWDD")</f>
        <v>ZHZMTDLDSPBFLLWDD</v>
      </c>
      <c r="B1762" s="2" t="str">
        <f>IFERROR(__xludf.DUMMYFUNCTION("IF('From Order'!$A1762=COLUMNS($A1762:B1781), LEFT(INDEX(FILTER(B$1:B1761, B$1:B1761&lt;&gt;""""),COUNTA(FILTER(B$1:B1761, B$1:B1761&lt;&gt;""""))), LEN(INDEX(FILTER(B$1:B1761, B$1:B1761&lt;&gt;""""),COUNTA(FILTER(B$1:B1761, B$1:B1761&lt;&gt;""""))))-1), IF('To Order'!$A1762=COL"&amp;"UMNS($A1762:B1781), B1761&amp;RIGHT(INDIRECT(ADDRESS(ROW(B1762)-1, 'From Order'!$A1762)), 1), B1761))"),"GTTJ")</f>
        <v>GTTJ</v>
      </c>
      <c r="C1762" s="2" t="str">
        <f>IFERROR(__xludf.DUMMYFUNCTION("IF('From Order'!$A1762=COLUMNS($A1762:C1781), LEFT(INDEX(FILTER(C$1:C1761, C$1:C1761&lt;&gt;""""),COUNTA(FILTER(C$1:C1761, C$1:C1761&lt;&gt;""""))), LEN(INDEX(FILTER(C$1:C1761, C$1:C1761&lt;&gt;""""),COUNTA(FILTER(C$1:C1761, C$1:C1761&lt;&gt;""""))))-1), IF('To Order'!$A1762=COL"&amp;"UMNS($A1762:C1781), C1761&amp;RIGHT(INDIRECT(ADDRESS(ROW(C1762)-1, 'From Order'!$A1762)), 1), C1761))"),"TQVQJPPSST")</f>
        <v>TQVQJPPSST</v>
      </c>
      <c r="D1762" s="2" t="str">
        <f>IFERROR(__xludf.DUMMYFUNCTION("IF('From Order'!$A1762=COLUMNS($A1762:D1781), LEFT(INDEX(FILTER(D$1:D1761, D$1:D1761&lt;&gt;""""),COUNTA(FILTER(D$1:D1761, D$1:D1761&lt;&gt;""""))), LEN(INDEX(FILTER(D$1:D1761, D$1:D1761&lt;&gt;""""),COUNTA(FILTER(D$1:D1761, D$1:D1761&lt;&gt;""""))))-1), IF('To Order'!$A1762=COL"&amp;"UMNS($A1762:D1781), D1761&amp;RIGHT(INDIRECT(ADDRESS(ROW(D1762)-1, 'From Order'!$A1762)), 1), D1761))"),"RBRTCVDRGBHFSCZW")</f>
        <v>RBRTCVDRGBHFSCZW</v>
      </c>
      <c r="E1762" s="2" t="str">
        <f>IFERROR(__xludf.DUMMYFUNCTION("IF('From Order'!$A1762=COLUMNS($A1762:E1781), LEFT(INDEX(FILTER(E$1:E1761, E$1:E1761&lt;&gt;""""),COUNTA(FILTER(E$1:E1761, E$1:E1761&lt;&gt;""""))), LEN(INDEX(FILTER(E$1:E1761, E$1:E1761&lt;&gt;""""),COUNTA(FILTER(E$1:E1761, E$1:E1761&lt;&gt;""""))))-1), IF('To Order'!$A1762=COL"&amp;"UMNS($A1762:E1781), E1761&amp;RIGHT(INDIRECT(ADDRESS(ROW(E1762)-1, 'From Order'!$A1762)), 1), E1761))"),"C")</f>
        <v>C</v>
      </c>
      <c r="F1762" s="2" t="str">
        <f>IFERROR(__xludf.DUMMYFUNCTION("IF('From Order'!$A1762=COLUMNS($A1762:F1781), LEFT(INDEX(FILTER(F$1:F1761, F$1:F1761&lt;&gt;""""),COUNTA(FILTER(F$1:F1761, F$1:F1761&lt;&gt;""""))), LEN(INDEX(FILTER(F$1:F1761, F$1:F1761&lt;&gt;""""),COUNTA(FILTER(F$1:F1761, F$1:F1761&lt;&gt;""""))))-1), IF('To Order'!$A1762=COL"&amp;"UMNS($A1762:F1781), F1761&amp;RIGHT(INDIRECT(ADDRESS(ROW(F1762)-1, 'From Order'!$A1762)), 1), F1761))"),"")</f>
        <v/>
      </c>
      <c r="G1762" s="2" t="str">
        <f>IFERROR(__xludf.DUMMYFUNCTION("IF('From Order'!$A1762=COLUMNS($A1762:G1781), LEFT(INDEX(FILTER(G$1:G1761, G$1:G1761&lt;&gt;""""),COUNTA(FILTER(G$1:G1761, G$1:G1761&lt;&gt;""""))), LEN(INDEX(FILTER(G$1:G1761, G$1:G1761&lt;&gt;""""),COUNTA(FILTER(G$1:G1761, G$1:G1761&lt;&gt;""""))))-1), IF('To Order'!$A1762=COL"&amp;"UMNS($A1762:G1781), G1761&amp;RIGHT(INDIRECT(ADDRESS(ROW(G1762)-1, 'From Order'!$A1762)), 1), G1761))"),"MDJMBVRR")</f>
        <v>MDJMBVRR</v>
      </c>
      <c r="H1762" s="2" t="str">
        <f>IFERROR(__xludf.DUMMYFUNCTION("IF('From Order'!$A1762=COLUMNS($A1762:H1781), LEFT(INDEX(FILTER(H$1:H1761, H$1:H1761&lt;&gt;""""),COUNTA(FILTER(H$1:H1761, H$1:H1761&lt;&gt;""""))), LEN(INDEX(FILTER(H$1:H1761, H$1:H1761&lt;&gt;""""),COUNTA(FILTER(H$1:H1761, H$1:H1761&lt;&gt;""""))))-1), IF('To Order'!$A1762=COL"&amp;"UMNS($A1762:H1781), H1761&amp;RIGHT(INDIRECT(ADDRESS(ROW(H1762)-1, 'From Order'!$A1762)), 1), H1761))"),"")</f>
        <v/>
      </c>
      <c r="I1762" s="2" t="str">
        <f>IFERROR(__xludf.DUMMYFUNCTION("IF('From Order'!$A1762=COLUMNS($A1762:I1781), LEFT(INDEX(FILTER(I$1:I1761, I$1:I1761&lt;&gt;""""),COUNTA(FILTER(I$1:I1761, I$1:I1761&lt;&gt;""""))), LEN(INDEX(FILTER(I$1:I1761, I$1:I1761&lt;&gt;""""),COUNTA(FILTER(I$1:I1761, I$1:I1761&lt;&gt;""""))))-1), IF('To Order'!$A1762=COL"&amp;"UMNS($A1762:I1781), I1761&amp;RIGHT(INDIRECT(ADDRESS(ROW(I1762)-1, 'From Order'!$A1762)), 1), I1761))"),"")</f>
        <v/>
      </c>
    </row>
    <row r="1763">
      <c r="A1763" s="2" t="str">
        <f>IFERROR(__xludf.DUMMYFUNCTION("IF('From Order'!$A1763=COLUMNS($A1763:A1782), LEFT(INDEX(FILTER(A$1:A1762, A$1:A1762&lt;&gt;""""),COUNTA(FILTER(A$1:A1762, A$1:A1762&lt;&gt;""""))), LEN(INDEX(FILTER(A$1:A1762, A$1:A1762&lt;&gt;""""),COUNTA(FILTER(A$1:A1762, A$1:A1762&lt;&gt;""""))))-1), IF('To Order'!$A1763=COL"&amp;"UMNS($A1763:A1782), A1762&amp;RIGHT(INDIRECT(ADDRESS(ROW(A1763)-1, 'From Order'!$A1763)), 1), A1762))"),"ZHZMTDLDSPBFLLWDD")</f>
        <v>ZHZMTDLDSPBFLLWDD</v>
      </c>
      <c r="B1763" s="2" t="str">
        <f>IFERROR(__xludf.DUMMYFUNCTION("IF('From Order'!$A1763=COLUMNS($A1763:B1782), LEFT(INDEX(FILTER(B$1:B1762, B$1:B1762&lt;&gt;""""),COUNTA(FILTER(B$1:B1762, B$1:B1762&lt;&gt;""""))), LEN(INDEX(FILTER(B$1:B1762, B$1:B1762&lt;&gt;""""),COUNTA(FILTER(B$1:B1762, B$1:B1762&lt;&gt;""""))))-1), IF('To Order'!$A1763=COL"&amp;"UMNS($A1763:B1782), B1762&amp;RIGHT(INDIRECT(ADDRESS(ROW(B1763)-1, 'From Order'!$A1763)), 1), B1762))"),"GTTJ")</f>
        <v>GTTJ</v>
      </c>
      <c r="C1763" s="2" t="str">
        <f>IFERROR(__xludf.DUMMYFUNCTION("IF('From Order'!$A1763=COLUMNS($A1763:C1782), LEFT(INDEX(FILTER(C$1:C1762, C$1:C1762&lt;&gt;""""),COUNTA(FILTER(C$1:C1762, C$1:C1762&lt;&gt;""""))), LEN(INDEX(FILTER(C$1:C1762, C$1:C1762&lt;&gt;""""),COUNTA(FILTER(C$1:C1762, C$1:C1762&lt;&gt;""""))))-1), IF('To Order'!$A1763=COL"&amp;"UMNS($A1763:C1782), C1762&amp;RIGHT(INDIRECT(ADDRESS(ROW(C1763)-1, 'From Order'!$A1763)), 1), C1762))"),"TQVQJPPSS")</f>
        <v>TQVQJPPSS</v>
      </c>
      <c r="D1763" s="2" t="str">
        <f>IFERROR(__xludf.DUMMYFUNCTION("IF('From Order'!$A1763=COLUMNS($A1763:D1782), LEFT(INDEX(FILTER(D$1:D1762, D$1:D1762&lt;&gt;""""),COUNTA(FILTER(D$1:D1762, D$1:D1762&lt;&gt;""""))), LEN(INDEX(FILTER(D$1:D1762, D$1:D1762&lt;&gt;""""),COUNTA(FILTER(D$1:D1762, D$1:D1762&lt;&gt;""""))))-1), IF('To Order'!$A1763=COL"&amp;"UMNS($A1763:D1782), D1762&amp;RIGHT(INDIRECT(ADDRESS(ROW(D1763)-1, 'From Order'!$A1763)), 1), D1762))"),"RBRTCVDRGBHFSCZWT")</f>
        <v>RBRTCVDRGBHFSCZWT</v>
      </c>
      <c r="E1763" s="2" t="str">
        <f>IFERROR(__xludf.DUMMYFUNCTION("IF('From Order'!$A1763=COLUMNS($A1763:E1782), LEFT(INDEX(FILTER(E$1:E1762, E$1:E1762&lt;&gt;""""),COUNTA(FILTER(E$1:E1762, E$1:E1762&lt;&gt;""""))), LEN(INDEX(FILTER(E$1:E1762, E$1:E1762&lt;&gt;""""),COUNTA(FILTER(E$1:E1762, E$1:E1762&lt;&gt;""""))))-1), IF('To Order'!$A1763=COL"&amp;"UMNS($A1763:E1782), E1762&amp;RIGHT(INDIRECT(ADDRESS(ROW(E1763)-1, 'From Order'!$A1763)), 1), E1762))"),"C")</f>
        <v>C</v>
      </c>
      <c r="F1763" s="2" t="str">
        <f>IFERROR(__xludf.DUMMYFUNCTION("IF('From Order'!$A1763=COLUMNS($A1763:F1782), LEFT(INDEX(FILTER(F$1:F1762, F$1:F1762&lt;&gt;""""),COUNTA(FILTER(F$1:F1762, F$1:F1762&lt;&gt;""""))), LEN(INDEX(FILTER(F$1:F1762, F$1:F1762&lt;&gt;""""),COUNTA(FILTER(F$1:F1762, F$1:F1762&lt;&gt;""""))))-1), IF('To Order'!$A1763=COL"&amp;"UMNS($A1763:F1782), F1762&amp;RIGHT(INDIRECT(ADDRESS(ROW(F1763)-1, 'From Order'!$A1763)), 1), F1762))"),"")</f>
        <v/>
      </c>
      <c r="G1763" s="2" t="str">
        <f>IFERROR(__xludf.DUMMYFUNCTION("IF('From Order'!$A1763=COLUMNS($A1763:G1782), LEFT(INDEX(FILTER(G$1:G1762, G$1:G1762&lt;&gt;""""),COUNTA(FILTER(G$1:G1762, G$1:G1762&lt;&gt;""""))), LEN(INDEX(FILTER(G$1:G1762, G$1:G1762&lt;&gt;""""),COUNTA(FILTER(G$1:G1762, G$1:G1762&lt;&gt;""""))))-1), IF('To Order'!$A1763=COL"&amp;"UMNS($A1763:G1782), G1762&amp;RIGHT(INDIRECT(ADDRESS(ROW(G1763)-1, 'From Order'!$A1763)), 1), G1762))"),"MDJMBVRR")</f>
        <v>MDJMBVRR</v>
      </c>
      <c r="H1763" s="2" t="str">
        <f>IFERROR(__xludf.DUMMYFUNCTION("IF('From Order'!$A1763=COLUMNS($A1763:H1782), LEFT(INDEX(FILTER(H$1:H1762, H$1:H1762&lt;&gt;""""),COUNTA(FILTER(H$1:H1762, H$1:H1762&lt;&gt;""""))), LEN(INDEX(FILTER(H$1:H1762, H$1:H1762&lt;&gt;""""),COUNTA(FILTER(H$1:H1762, H$1:H1762&lt;&gt;""""))))-1), IF('To Order'!$A1763=COL"&amp;"UMNS($A1763:H1782), H1762&amp;RIGHT(INDIRECT(ADDRESS(ROW(H1763)-1, 'From Order'!$A1763)), 1), H1762))"),"")</f>
        <v/>
      </c>
      <c r="I1763" s="2" t="str">
        <f>IFERROR(__xludf.DUMMYFUNCTION("IF('From Order'!$A1763=COLUMNS($A1763:I1782), LEFT(INDEX(FILTER(I$1:I1762, I$1:I1762&lt;&gt;""""),COUNTA(FILTER(I$1:I1762, I$1:I1762&lt;&gt;""""))), LEN(INDEX(FILTER(I$1:I1762, I$1:I1762&lt;&gt;""""),COUNTA(FILTER(I$1:I1762, I$1:I1762&lt;&gt;""""))))-1), IF('To Order'!$A1763=COL"&amp;"UMNS($A1763:I1782), I1762&amp;RIGHT(INDIRECT(ADDRESS(ROW(I1763)-1, 'From Order'!$A1763)), 1), I1762))"),"")</f>
        <v/>
      </c>
    </row>
    <row r="1764">
      <c r="A1764" s="2" t="str">
        <f>IFERROR(__xludf.DUMMYFUNCTION("IF('From Order'!$A1764=COLUMNS($A1764:A1783), LEFT(INDEX(FILTER(A$1:A1763, A$1:A1763&lt;&gt;""""),COUNTA(FILTER(A$1:A1763, A$1:A1763&lt;&gt;""""))), LEN(INDEX(FILTER(A$1:A1763, A$1:A1763&lt;&gt;""""),COUNTA(FILTER(A$1:A1763, A$1:A1763&lt;&gt;""""))))-1), IF('To Order'!$A1764=COL"&amp;"UMNS($A1764:A1783), A1763&amp;RIGHT(INDIRECT(ADDRESS(ROW(A1764)-1, 'From Order'!$A1764)), 1), A1763))"),"ZHZMTDLDSPBFLLWDD")</f>
        <v>ZHZMTDLDSPBFLLWDD</v>
      </c>
      <c r="B1764" s="2" t="str">
        <f>IFERROR(__xludf.DUMMYFUNCTION("IF('From Order'!$A1764=COLUMNS($A1764:B1783), LEFT(INDEX(FILTER(B$1:B1763, B$1:B1763&lt;&gt;""""),COUNTA(FILTER(B$1:B1763, B$1:B1763&lt;&gt;""""))), LEN(INDEX(FILTER(B$1:B1763, B$1:B1763&lt;&gt;""""),COUNTA(FILTER(B$1:B1763, B$1:B1763&lt;&gt;""""))))-1), IF('To Order'!$A1764=COL"&amp;"UMNS($A1764:B1783), B1763&amp;RIGHT(INDIRECT(ADDRESS(ROW(B1764)-1, 'From Order'!$A1764)), 1), B1763))"),"GTTJ")</f>
        <v>GTTJ</v>
      </c>
      <c r="C1764" s="2" t="str">
        <f>IFERROR(__xludf.DUMMYFUNCTION("IF('From Order'!$A1764=COLUMNS($A1764:C1783), LEFT(INDEX(FILTER(C$1:C1763, C$1:C1763&lt;&gt;""""),COUNTA(FILTER(C$1:C1763, C$1:C1763&lt;&gt;""""))), LEN(INDEX(FILTER(C$1:C1763, C$1:C1763&lt;&gt;""""),COUNTA(FILTER(C$1:C1763, C$1:C1763&lt;&gt;""""))))-1), IF('To Order'!$A1764=COL"&amp;"UMNS($A1764:C1783), C1763&amp;RIGHT(INDIRECT(ADDRESS(ROW(C1764)-1, 'From Order'!$A1764)), 1), C1763))"),"TQVQJPPS")</f>
        <v>TQVQJPPS</v>
      </c>
      <c r="D1764" s="2" t="str">
        <f>IFERROR(__xludf.DUMMYFUNCTION("IF('From Order'!$A1764=COLUMNS($A1764:D1783), LEFT(INDEX(FILTER(D$1:D1763, D$1:D1763&lt;&gt;""""),COUNTA(FILTER(D$1:D1763, D$1:D1763&lt;&gt;""""))), LEN(INDEX(FILTER(D$1:D1763, D$1:D1763&lt;&gt;""""),COUNTA(FILTER(D$1:D1763, D$1:D1763&lt;&gt;""""))))-1), IF('To Order'!$A1764=COL"&amp;"UMNS($A1764:D1783), D1763&amp;RIGHT(INDIRECT(ADDRESS(ROW(D1764)-1, 'From Order'!$A1764)), 1), D1763))"),"RBRTCVDRGBHFSCZWTS")</f>
        <v>RBRTCVDRGBHFSCZWTS</v>
      </c>
      <c r="E1764" s="2" t="str">
        <f>IFERROR(__xludf.DUMMYFUNCTION("IF('From Order'!$A1764=COLUMNS($A1764:E1783), LEFT(INDEX(FILTER(E$1:E1763, E$1:E1763&lt;&gt;""""),COUNTA(FILTER(E$1:E1763, E$1:E1763&lt;&gt;""""))), LEN(INDEX(FILTER(E$1:E1763, E$1:E1763&lt;&gt;""""),COUNTA(FILTER(E$1:E1763, E$1:E1763&lt;&gt;""""))))-1), IF('To Order'!$A1764=COL"&amp;"UMNS($A1764:E1783), E1763&amp;RIGHT(INDIRECT(ADDRESS(ROW(E1764)-1, 'From Order'!$A1764)), 1), E1763))"),"C")</f>
        <v>C</v>
      </c>
      <c r="F1764" s="2" t="str">
        <f>IFERROR(__xludf.DUMMYFUNCTION("IF('From Order'!$A1764=COLUMNS($A1764:F1783), LEFT(INDEX(FILTER(F$1:F1763, F$1:F1763&lt;&gt;""""),COUNTA(FILTER(F$1:F1763, F$1:F1763&lt;&gt;""""))), LEN(INDEX(FILTER(F$1:F1763, F$1:F1763&lt;&gt;""""),COUNTA(FILTER(F$1:F1763, F$1:F1763&lt;&gt;""""))))-1), IF('To Order'!$A1764=COL"&amp;"UMNS($A1764:F1783), F1763&amp;RIGHT(INDIRECT(ADDRESS(ROW(F1764)-1, 'From Order'!$A1764)), 1), F1763))"),"")</f>
        <v/>
      </c>
      <c r="G1764" s="2" t="str">
        <f>IFERROR(__xludf.DUMMYFUNCTION("IF('From Order'!$A1764=COLUMNS($A1764:G1783), LEFT(INDEX(FILTER(G$1:G1763, G$1:G1763&lt;&gt;""""),COUNTA(FILTER(G$1:G1763, G$1:G1763&lt;&gt;""""))), LEN(INDEX(FILTER(G$1:G1763, G$1:G1763&lt;&gt;""""),COUNTA(FILTER(G$1:G1763, G$1:G1763&lt;&gt;""""))))-1), IF('To Order'!$A1764=COL"&amp;"UMNS($A1764:G1783), G1763&amp;RIGHT(INDIRECT(ADDRESS(ROW(G1764)-1, 'From Order'!$A1764)), 1), G1763))"),"MDJMBVRR")</f>
        <v>MDJMBVRR</v>
      </c>
      <c r="H1764" s="2" t="str">
        <f>IFERROR(__xludf.DUMMYFUNCTION("IF('From Order'!$A1764=COLUMNS($A1764:H1783), LEFT(INDEX(FILTER(H$1:H1763, H$1:H1763&lt;&gt;""""),COUNTA(FILTER(H$1:H1763, H$1:H1763&lt;&gt;""""))), LEN(INDEX(FILTER(H$1:H1763, H$1:H1763&lt;&gt;""""),COUNTA(FILTER(H$1:H1763, H$1:H1763&lt;&gt;""""))))-1), IF('To Order'!$A1764=COL"&amp;"UMNS($A1764:H1783), H1763&amp;RIGHT(INDIRECT(ADDRESS(ROW(H1764)-1, 'From Order'!$A1764)), 1), H1763))"),"")</f>
        <v/>
      </c>
      <c r="I1764" s="2" t="str">
        <f>IFERROR(__xludf.DUMMYFUNCTION("IF('From Order'!$A1764=COLUMNS($A1764:I1783), LEFT(INDEX(FILTER(I$1:I1763, I$1:I1763&lt;&gt;""""),COUNTA(FILTER(I$1:I1763, I$1:I1763&lt;&gt;""""))), LEN(INDEX(FILTER(I$1:I1763, I$1:I1763&lt;&gt;""""),COUNTA(FILTER(I$1:I1763, I$1:I1763&lt;&gt;""""))))-1), IF('To Order'!$A1764=COL"&amp;"UMNS($A1764:I1783), I1763&amp;RIGHT(INDIRECT(ADDRESS(ROW(I1764)-1, 'From Order'!$A1764)), 1), I1763))"),"")</f>
        <v/>
      </c>
    </row>
    <row r="1765">
      <c r="A1765" s="2" t="str">
        <f>IFERROR(__xludf.DUMMYFUNCTION("IF('From Order'!$A1765=COLUMNS($A1765:A1784), LEFT(INDEX(FILTER(A$1:A1764, A$1:A1764&lt;&gt;""""),COUNTA(FILTER(A$1:A1764, A$1:A1764&lt;&gt;""""))), LEN(INDEX(FILTER(A$1:A1764, A$1:A1764&lt;&gt;""""),COUNTA(FILTER(A$1:A1764, A$1:A1764&lt;&gt;""""))))-1), IF('To Order'!$A1765=COL"&amp;"UMNS($A1765:A1784), A1764&amp;RIGHT(INDIRECT(ADDRESS(ROW(A1765)-1, 'From Order'!$A1765)), 1), A1764))"),"ZHZMTDLDSPBFLLWDD")</f>
        <v>ZHZMTDLDSPBFLLWDD</v>
      </c>
      <c r="B1765" s="2" t="str">
        <f>IFERROR(__xludf.DUMMYFUNCTION("IF('From Order'!$A1765=COLUMNS($A1765:B1784), LEFT(INDEX(FILTER(B$1:B1764, B$1:B1764&lt;&gt;""""),COUNTA(FILTER(B$1:B1764, B$1:B1764&lt;&gt;""""))), LEN(INDEX(FILTER(B$1:B1764, B$1:B1764&lt;&gt;""""),COUNTA(FILTER(B$1:B1764, B$1:B1764&lt;&gt;""""))))-1), IF('To Order'!$A1765=COL"&amp;"UMNS($A1765:B1784), B1764&amp;RIGHT(INDIRECT(ADDRESS(ROW(B1765)-1, 'From Order'!$A1765)), 1), B1764))"),"GTTJ")</f>
        <v>GTTJ</v>
      </c>
      <c r="C1765" s="2" t="str">
        <f>IFERROR(__xludf.DUMMYFUNCTION("IF('From Order'!$A1765=COLUMNS($A1765:C1784), LEFT(INDEX(FILTER(C$1:C1764, C$1:C1764&lt;&gt;""""),COUNTA(FILTER(C$1:C1764, C$1:C1764&lt;&gt;""""))), LEN(INDEX(FILTER(C$1:C1764, C$1:C1764&lt;&gt;""""),COUNTA(FILTER(C$1:C1764, C$1:C1764&lt;&gt;""""))))-1), IF('To Order'!$A1765=COL"&amp;"UMNS($A1765:C1784), C1764&amp;RIGHT(INDIRECT(ADDRESS(ROW(C1765)-1, 'From Order'!$A1765)), 1), C1764))"),"TQVQJPP")</f>
        <v>TQVQJPP</v>
      </c>
      <c r="D1765" s="2" t="str">
        <f>IFERROR(__xludf.DUMMYFUNCTION("IF('From Order'!$A1765=COLUMNS($A1765:D1784), LEFT(INDEX(FILTER(D$1:D1764, D$1:D1764&lt;&gt;""""),COUNTA(FILTER(D$1:D1764, D$1:D1764&lt;&gt;""""))), LEN(INDEX(FILTER(D$1:D1764, D$1:D1764&lt;&gt;""""),COUNTA(FILTER(D$1:D1764, D$1:D1764&lt;&gt;""""))))-1), IF('To Order'!$A1765=COL"&amp;"UMNS($A1765:D1784), D1764&amp;RIGHT(INDIRECT(ADDRESS(ROW(D1765)-1, 'From Order'!$A1765)), 1), D1764))"),"RBRTCVDRGBHFSCZWTSS")</f>
        <v>RBRTCVDRGBHFSCZWTSS</v>
      </c>
      <c r="E1765" s="2" t="str">
        <f>IFERROR(__xludf.DUMMYFUNCTION("IF('From Order'!$A1765=COLUMNS($A1765:E1784), LEFT(INDEX(FILTER(E$1:E1764, E$1:E1764&lt;&gt;""""),COUNTA(FILTER(E$1:E1764, E$1:E1764&lt;&gt;""""))), LEN(INDEX(FILTER(E$1:E1764, E$1:E1764&lt;&gt;""""),COUNTA(FILTER(E$1:E1764, E$1:E1764&lt;&gt;""""))))-1), IF('To Order'!$A1765=COL"&amp;"UMNS($A1765:E1784), E1764&amp;RIGHT(INDIRECT(ADDRESS(ROW(E1765)-1, 'From Order'!$A1765)), 1), E1764))"),"C")</f>
        <v>C</v>
      </c>
      <c r="F1765" s="2" t="str">
        <f>IFERROR(__xludf.DUMMYFUNCTION("IF('From Order'!$A1765=COLUMNS($A1765:F1784), LEFT(INDEX(FILTER(F$1:F1764, F$1:F1764&lt;&gt;""""),COUNTA(FILTER(F$1:F1764, F$1:F1764&lt;&gt;""""))), LEN(INDEX(FILTER(F$1:F1764, F$1:F1764&lt;&gt;""""),COUNTA(FILTER(F$1:F1764, F$1:F1764&lt;&gt;""""))))-1), IF('To Order'!$A1765=COL"&amp;"UMNS($A1765:F1784), F1764&amp;RIGHT(INDIRECT(ADDRESS(ROW(F1765)-1, 'From Order'!$A1765)), 1), F1764))"),"")</f>
        <v/>
      </c>
      <c r="G1765" s="2" t="str">
        <f>IFERROR(__xludf.DUMMYFUNCTION("IF('From Order'!$A1765=COLUMNS($A1765:G1784), LEFT(INDEX(FILTER(G$1:G1764, G$1:G1764&lt;&gt;""""),COUNTA(FILTER(G$1:G1764, G$1:G1764&lt;&gt;""""))), LEN(INDEX(FILTER(G$1:G1764, G$1:G1764&lt;&gt;""""),COUNTA(FILTER(G$1:G1764, G$1:G1764&lt;&gt;""""))))-1), IF('To Order'!$A1765=COL"&amp;"UMNS($A1765:G1784), G1764&amp;RIGHT(INDIRECT(ADDRESS(ROW(G1765)-1, 'From Order'!$A1765)), 1), G1764))"),"MDJMBVRR")</f>
        <v>MDJMBVRR</v>
      </c>
      <c r="H1765" s="2" t="str">
        <f>IFERROR(__xludf.DUMMYFUNCTION("IF('From Order'!$A1765=COLUMNS($A1765:H1784), LEFT(INDEX(FILTER(H$1:H1764, H$1:H1764&lt;&gt;""""),COUNTA(FILTER(H$1:H1764, H$1:H1764&lt;&gt;""""))), LEN(INDEX(FILTER(H$1:H1764, H$1:H1764&lt;&gt;""""),COUNTA(FILTER(H$1:H1764, H$1:H1764&lt;&gt;""""))))-1), IF('To Order'!$A1765=COL"&amp;"UMNS($A1765:H1784), H1764&amp;RIGHT(INDIRECT(ADDRESS(ROW(H1765)-1, 'From Order'!$A1765)), 1), H1764))"),"")</f>
        <v/>
      </c>
      <c r="I1765" s="2" t="str">
        <f>IFERROR(__xludf.DUMMYFUNCTION("IF('From Order'!$A1765=COLUMNS($A1765:I1784), LEFT(INDEX(FILTER(I$1:I1764, I$1:I1764&lt;&gt;""""),COUNTA(FILTER(I$1:I1764, I$1:I1764&lt;&gt;""""))), LEN(INDEX(FILTER(I$1:I1764, I$1:I1764&lt;&gt;""""),COUNTA(FILTER(I$1:I1764, I$1:I1764&lt;&gt;""""))))-1), IF('To Order'!$A1765=COL"&amp;"UMNS($A1765:I1784), I1764&amp;RIGHT(INDIRECT(ADDRESS(ROW(I1765)-1, 'From Order'!$A1765)), 1), I1764))"),"")</f>
        <v/>
      </c>
    </row>
    <row r="1766">
      <c r="A1766" s="2" t="str">
        <f>IFERROR(__xludf.DUMMYFUNCTION("IF('From Order'!$A1766=COLUMNS($A1766:A1785), LEFT(INDEX(FILTER(A$1:A1765, A$1:A1765&lt;&gt;""""),COUNTA(FILTER(A$1:A1765, A$1:A1765&lt;&gt;""""))), LEN(INDEX(FILTER(A$1:A1765, A$1:A1765&lt;&gt;""""),COUNTA(FILTER(A$1:A1765, A$1:A1765&lt;&gt;""""))))-1), IF('To Order'!$A1766=COL"&amp;"UMNS($A1766:A1785), A1765&amp;RIGHT(INDIRECT(ADDRESS(ROW(A1766)-1, 'From Order'!$A1766)), 1), A1765))"),"ZHZMTDLDSPBFLLWDD")</f>
        <v>ZHZMTDLDSPBFLLWDD</v>
      </c>
      <c r="B1766" s="2" t="str">
        <f>IFERROR(__xludf.DUMMYFUNCTION("IF('From Order'!$A1766=COLUMNS($A1766:B1785), LEFT(INDEX(FILTER(B$1:B1765, B$1:B1765&lt;&gt;""""),COUNTA(FILTER(B$1:B1765, B$1:B1765&lt;&gt;""""))), LEN(INDEX(FILTER(B$1:B1765, B$1:B1765&lt;&gt;""""),COUNTA(FILTER(B$1:B1765, B$1:B1765&lt;&gt;""""))))-1), IF('To Order'!$A1766=COL"&amp;"UMNS($A1766:B1785), B1765&amp;RIGHT(INDIRECT(ADDRESS(ROW(B1766)-1, 'From Order'!$A1766)), 1), B1765))"),"GTTJ")</f>
        <v>GTTJ</v>
      </c>
      <c r="C1766" s="2" t="str">
        <f>IFERROR(__xludf.DUMMYFUNCTION("IF('From Order'!$A1766=COLUMNS($A1766:C1785), LEFT(INDEX(FILTER(C$1:C1765, C$1:C1765&lt;&gt;""""),COUNTA(FILTER(C$1:C1765, C$1:C1765&lt;&gt;""""))), LEN(INDEX(FILTER(C$1:C1765, C$1:C1765&lt;&gt;""""),COUNTA(FILTER(C$1:C1765, C$1:C1765&lt;&gt;""""))))-1), IF('To Order'!$A1766=COL"&amp;"UMNS($A1766:C1785), C1765&amp;RIGHT(INDIRECT(ADDRESS(ROW(C1766)-1, 'From Order'!$A1766)), 1), C1765))"),"TQVQJP")</f>
        <v>TQVQJP</v>
      </c>
      <c r="D1766" s="2" t="str">
        <f>IFERROR(__xludf.DUMMYFUNCTION("IF('From Order'!$A1766=COLUMNS($A1766:D1785), LEFT(INDEX(FILTER(D$1:D1765, D$1:D1765&lt;&gt;""""),COUNTA(FILTER(D$1:D1765, D$1:D1765&lt;&gt;""""))), LEN(INDEX(FILTER(D$1:D1765, D$1:D1765&lt;&gt;""""),COUNTA(FILTER(D$1:D1765, D$1:D1765&lt;&gt;""""))))-1), IF('To Order'!$A1766=COL"&amp;"UMNS($A1766:D1785), D1765&amp;RIGHT(INDIRECT(ADDRESS(ROW(D1766)-1, 'From Order'!$A1766)), 1), D1765))"),"RBRTCVDRGBHFSCZWTSSP")</f>
        <v>RBRTCVDRGBHFSCZWTSSP</v>
      </c>
      <c r="E1766" s="2" t="str">
        <f>IFERROR(__xludf.DUMMYFUNCTION("IF('From Order'!$A1766=COLUMNS($A1766:E1785), LEFT(INDEX(FILTER(E$1:E1765, E$1:E1765&lt;&gt;""""),COUNTA(FILTER(E$1:E1765, E$1:E1765&lt;&gt;""""))), LEN(INDEX(FILTER(E$1:E1765, E$1:E1765&lt;&gt;""""),COUNTA(FILTER(E$1:E1765, E$1:E1765&lt;&gt;""""))))-1), IF('To Order'!$A1766=COL"&amp;"UMNS($A1766:E1785), E1765&amp;RIGHT(INDIRECT(ADDRESS(ROW(E1766)-1, 'From Order'!$A1766)), 1), E1765))"),"C")</f>
        <v>C</v>
      </c>
      <c r="F1766" s="2" t="str">
        <f>IFERROR(__xludf.DUMMYFUNCTION("IF('From Order'!$A1766=COLUMNS($A1766:F1785), LEFT(INDEX(FILTER(F$1:F1765, F$1:F1765&lt;&gt;""""),COUNTA(FILTER(F$1:F1765, F$1:F1765&lt;&gt;""""))), LEN(INDEX(FILTER(F$1:F1765, F$1:F1765&lt;&gt;""""),COUNTA(FILTER(F$1:F1765, F$1:F1765&lt;&gt;""""))))-1), IF('To Order'!$A1766=COL"&amp;"UMNS($A1766:F1785), F1765&amp;RIGHT(INDIRECT(ADDRESS(ROW(F1766)-1, 'From Order'!$A1766)), 1), F1765))"),"")</f>
        <v/>
      </c>
      <c r="G1766" s="2" t="str">
        <f>IFERROR(__xludf.DUMMYFUNCTION("IF('From Order'!$A1766=COLUMNS($A1766:G1785), LEFT(INDEX(FILTER(G$1:G1765, G$1:G1765&lt;&gt;""""),COUNTA(FILTER(G$1:G1765, G$1:G1765&lt;&gt;""""))), LEN(INDEX(FILTER(G$1:G1765, G$1:G1765&lt;&gt;""""),COUNTA(FILTER(G$1:G1765, G$1:G1765&lt;&gt;""""))))-1), IF('To Order'!$A1766=COL"&amp;"UMNS($A1766:G1785), G1765&amp;RIGHT(INDIRECT(ADDRESS(ROW(G1766)-1, 'From Order'!$A1766)), 1), G1765))"),"MDJMBVRR")</f>
        <v>MDJMBVRR</v>
      </c>
      <c r="H1766" s="2" t="str">
        <f>IFERROR(__xludf.DUMMYFUNCTION("IF('From Order'!$A1766=COLUMNS($A1766:H1785), LEFT(INDEX(FILTER(H$1:H1765, H$1:H1765&lt;&gt;""""),COUNTA(FILTER(H$1:H1765, H$1:H1765&lt;&gt;""""))), LEN(INDEX(FILTER(H$1:H1765, H$1:H1765&lt;&gt;""""),COUNTA(FILTER(H$1:H1765, H$1:H1765&lt;&gt;""""))))-1), IF('To Order'!$A1766=COL"&amp;"UMNS($A1766:H1785), H1765&amp;RIGHT(INDIRECT(ADDRESS(ROW(H1766)-1, 'From Order'!$A1766)), 1), H1765))"),"")</f>
        <v/>
      </c>
      <c r="I1766" s="2" t="str">
        <f>IFERROR(__xludf.DUMMYFUNCTION("IF('From Order'!$A1766=COLUMNS($A1766:I1785), LEFT(INDEX(FILTER(I$1:I1765, I$1:I1765&lt;&gt;""""),COUNTA(FILTER(I$1:I1765, I$1:I1765&lt;&gt;""""))), LEN(INDEX(FILTER(I$1:I1765, I$1:I1765&lt;&gt;""""),COUNTA(FILTER(I$1:I1765, I$1:I1765&lt;&gt;""""))))-1), IF('To Order'!$A1766=COL"&amp;"UMNS($A1766:I1785), I1765&amp;RIGHT(INDIRECT(ADDRESS(ROW(I1766)-1, 'From Order'!$A1766)), 1), I1765))"),"")</f>
        <v/>
      </c>
    </row>
    <row r="1767">
      <c r="A1767" s="2" t="str">
        <f>IFERROR(__xludf.DUMMYFUNCTION("IF('From Order'!$A1767=COLUMNS($A1767:A1786), LEFT(INDEX(FILTER(A$1:A1766, A$1:A1766&lt;&gt;""""),COUNTA(FILTER(A$1:A1766, A$1:A1766&lt;&gt;""""))), LEN(INDEX(FILTER(A$1:A1766, A$1:A1766&lt;&gt;""""),COUNTA(FILTER(A$1:A1766, A$1:A1766&lt;&gt;""""))))-1), IF('To Order'!$A1767=COL"&amp;"UMNS($A1767:A1786), A1766&amp;RIGHT(INDIRECT(ADDRESS(ROW(A1767)-1, 'From Order'!$A1767)), 1), A1766))"),"ZHZMTDLDSPBFLLWDD")</f>
        <v>ZHZMTDLDSPBFLLWDD</v>
      </c>
      <c r="B1767" s="2" t="str">
        <f>IFERROR(__xludf.DUMMYFUNCTION("IF('From Order'!$A1767=COLUMNS($A1767:B1786), LEFT(INDEX(FILTER(B$1:B1766, B$1:B1766&lt;&gt;""""),COUNTA(FILTER(B$1:B1766, B$1:B1766&lt;&gt;""""))), LEN(INDEX(FILTER(B$1:B1766, B$1:B1766&lt;&gt;""""),COUNTA(FILTER(B$1:B1766, B$1:B1766&lt;&gt;""""))))-1), IF('To Order'!$A1767=COL"&amp;"UMNS($A1767:B1786), B1766&amp;RIGHT(INDIRECT(ADDRESS(ROW(B1767)-1, 'From Order'!$A1767)), 1), B1766))"),"GTTJ")</f>
        <v>GTTJ</v>
      </c>
      <c r="C1767" s="2" t="str">
        <f>IFERROR(__xludf.DUMMYFUNCTION("IF('From Order'!$A1767=COLUMNS($A1767:C1786), LEFT(INDEX(FILTER(C$1:C1766, C$1:C1766&lt;&gt;""""),COUNTA(FILTER(C$1:C1766, C$1:C1766&lt;&gt;""""))), LEN(INDEX(FILTER(C$1:C1766, C$1:C1766&lt;&gt;""""),COUNTA(FILTER(C$1:C1766, C$1:C1766&lt;&gt;""""))))-1), IF('To Order'!$A1767=COL"&amp;"UMNS($A1767:C1786), C1766&amp;RIGHT(INDIRECT(ADDRESS(ROW(C1767)-1, 'From Order'!$A1767)), 1), C1766))"),"TQVQJ")</f>
        <v>TQVQJ</v>
      </c>
      <c r="D1767" s="2" t="str">
        <f>IFERROR(__xludf.DUMMYFUNCTION("IF('From Order'!$A1767=COLUMNS($A1767:D1786), LEFT(INDEX(FILTER(D$1:D1766, D$1:D1766&lt;&gt;""""),COUNTA(FILTER(D$1:D1766, D$1:D1766&lt;&gt;""""))), LEN(INDEX(FILTER(D$1:D1766, D$1:D1766&lt;&gt;""""),COUNTA(FILTER(D$1:D1766, D$1:D1766&lt;&gt;""""))))-1), IF('To Order'!$A1767=COL"&amp;"UMNS($A1767:D1786), D1766&amp;RIGHT(INDIRECT(ADDRESS(ROW(D1767)-1, 'From Order'!$A1767)), 1), D1766))"),"RBRTCVDRGBHFSCZWTSSPP")</f>
        <v>RBRTCVDRGBHFSCZWTSSPP</v>
      </c>
      <c r="E1767" s="2" t="str">
        <f>IFERROR(__xludf.DUMMYFUNCTION("IF('From Order'!$A1767=COLUMNS($A1767:E1786), LEFT(INDEX(FILTER(E$1:E1766, E$1:E1766&lt;&gt;""""),COUNTA(FILTER(E$1:E1766, E$1:E1766&lt;&gt;""""))), LEN(INDEX(FILTER(E$1:E1766, E$1:E1766&lt;&gt;""""),COUNTA(FILTER(E$1:E1766, E$1:E1766&lt;&gt;""""))))-1), IF('To Order'!$A1767=COL"&amp;"UMNS($A1767:E1786), E1766&amp;RIGHT(INDIRECT(ADDRESS(ROW(E1767)-1, 'From Order'!$A1767)), 1), E1766))"),"C")</f>
        <v>C</v>
      </c>
      <c r="F1767" s="2" t="str">
        <f>IFERROR(__xludf.DUMMYFUNCTION("IF('From Order'!$A1767=COLUMNS($A1767:F1786), LEFT(INDEX(FILTER(F$1:F1766, F$1:F1766&lt;&gt;""""),COUNTA(FILTER(F$1:F1766, F$1:F1766&lt;&gt;""""))), LEN(INDEX(FILTER(F$1:F1766, F$1:F1766&lt;&gt;""""),COUNTA(FILTER(F$1:F1766, F$1:F1766&lt;&gt;""""))))-1), IF('To Order'!$A1767=COL"&amp;"UMNS($A1767:F1786), F1766&amp;RIGHT(INDIRECT(ADDRESS(ROW(F1767)-1, 'From Order'!$A1767)), 1), F1766))"),"")</f>
        <v/>
      </c>
      <c r="G1767" s="2" t="str">
        <f>IFERROR(__xludf.DUMMYFUNCTION("IF('From Order'!$A1767=COLUMNS($A1767:G1786), LEFT(INDEX(FILTER(G$1:G1766, G$1:G1766&lt;&gt;""""),COUNTA(FILTER(G$1:G1766, G$1:G1766&lt;&gt;""""))), LEN(INDEX(FILTER(G$1:G1766, G$1:G1766&lt;&gt;""""),COUNTA(FILTER(G$1:G1766, G$1:G1766&lt;&gt;""""))))-1), IF('To Order'!$A1767=COL"&amp;"UMNS($A1767:G1786), G1766&amp;RIGHT(INDIRECT(ADDRESS(ROW(G1767)-1, 'From Order'!$A1767)), 1), G1766))"),"MDJMBVRR")</f>
        <v>MDJMBVRR</v>
      </c>
      <c r="H1767" s="2" t="str">
        <f>IFERROR(__xludf.DUMMYFUNCTION("IF('From Order'!$A1767=COLUMNS($A1767:H1786), LEFT(INDEX(FILTER(H$1:H1766, H$1:H1766&lt;&gt;""""),COUNTA(FILTER(H$1:H1766, H$1:H1766&lt;&gt;""""))), LEN(INDEX(FILTER(H$1:H1766, H$1:H1766&lt;&gt;""""),COUNTA(FILTER(H$1:H1766, H$1:H1766&lt;&gt;""""))))-1), IF('To Order'!$A1767=COL"&amp;"UMNS($A1767:H1786), H1766&amp;RIGHT(INDIRECT(ADDRESS(ROW(H1767)-1, 'From Order'!$A1767)), 1), H1766))"),"")</f>
        <v/>
      </c>
      <c r="I1767" s="2" t="str">
        <f>IFERROR(__xludf.DUMMYFUNCTION("IF('From Order'!$A1767=COLUMNS($A1767:I1786), LEFT(INDEX(FILTER(I$1:I1766, I$1:I1766&lt;&gt;""""),COUNTA(FILTER(I$1:I1766, I$1:I1766&lt;&gt;""""))), LEN(INDEX(FILTER(I$1:I1766, I$1:I1766&lt;&gt;""""),COUNTA(FILTER(I$1:I1766, I$1:I1766&lt;&gt;""""))))-1), IF('To Order'!$A1767=COL"&amp;"UMNS($A1767:I1786), I1766&amp;RIGHT(INDIRECT(ADDRESS(ROW(I1767)-1, 'From Order'!$A1767)), 1), I1766))"),"")</f>
        <v/>
      </c>
    </row>
    <row r="1768">
      <c r="A1768" s="2" t="str">
        <f>IFERROR(__xludf.DUMMYFUNCTION("IF('From Order'!$A1768=COLUMNS($A1768:A1787), LEFT(INDEX(FILTER(A$1:A1767, A$1:A1767&lt;&gt;""""),COUNTA(FILTER(A$1:A1767, A$1:A1767&lt;&gt;""""))), LEN(INDEX(FILTER(A$1:A1767, A$1:A1767&lt;&gt;""""),COUNTA(FILTER(A$1:A1767, A$1:A1767&lt;&gt;""""))))-1), IF('To Order'!$A1768=COL"&amp;"UMNS($A1768:A1787), A1767&amp;RIGHT(INDIRECT(ADDRESS(ROW(A1768)-1, 'From Order'!$A1768)), 1), A1767))"),"ZHZMTDLDSPBFLLWDD")</f>
        <v>ZHZMTDLDSPBFLLWDD</v>
      </c>
      <c r="B1768" s="2" t="str">
        <f>IFERROR(__xludf.DUMMYFUNCTION("IF('From Order'!$A1768=COLUMNS($A1768:B1787), LEFT(INDEX(FILTER(B$1:B1767, B$1:B1767&lt;&gt;""""),COUNTA(FILTER(B$1:B1767, B$1:B1767&lt;&gt;""""))), LEN(INDEX(FILTER(B$1:B1767, B$1:B1767&lt;&gt;""""),COUNTA(FILTER(B$1:B1767, B$1:B1767&lt;&gt;""""))))-1), IF('To Order'!$A1768=COL"&amp;"UMNS($A1768:B1787), B1767&amp;RIGHT(INDIRECT(ADDRESS(ROW(B1768)-1, 'From Order'!$A1768)), 1), B1767))"),"GTTJ")</f>
        <v>GTTJ</v>
      </c>
      <c r="C1768" s="2" t="str">
        <f>IFERROR(__xludf.DUMMYFUNCTION("IF('From Order'!$A1768=COLUMNS($A1768:C1787), LEFT(INDEX(FILTER(C$1:C1767, C$1:C1767&lt;&gt;""""),COUNTA(FILTER(C$1:C1767, C$1:C1767&lt;&gt;""""))), LEN(INDEX(FILTER(C$1:C1767, C$1:C1767&lt;&gt;""""),COUNTA(FILTER(C$1:C1767, C$1:C1767&lt;&gt;""""))))-1), IF('To Order'!$A1768=COL"&amp;"UMNS($A1768:C1787), C1767&amp;RIGHT(INDIRECT(ADDRESS(ROW(C1768)-1, 'From Order'!$A1768)), 1), C1767))"),"TQVQ")</f>
        <v>TQVQ</v>
      </c>
      <c r="D1768" s="2" t="str">
        <f>IFERROR(__xludf.DUMMYFUNCTION("IF('From Order'!$A1768=COLUMNS($A1768:D1787), LEFT(INDEX(FILTER(D$1:D1767, D$1:D1767&lt;&gt;""""),COUNTA(FILTER(D$1:D1767, D$1:D1767&lt;&gt;""""))), LEN(INDEX(FILTER(D$1:D1767, D$1:D1767&lt;&gt;""""),COUNTA(FILTER(D$1:D1767, D$1:D1767&lt;&gt;""""))))-1), IF('To Order'!$A1768=COL"&amp;"UMNS($A1768:D1787), D1767&amp;RIGHT(INDIRECT(ADDRESS(ROW(D1768)-1, 'From Order'!$A1768)), 1), D1767))"),"RBRTCVDRGBHFSCZWTSSPPJ")</f>
        <v>RBRTCVDRGBHFSCZWTSSPPJ</v>
      </c>
      <c r="E1768" s="2" t="str">
        <f>IFERROR(__xludf.DUMMYFUNCTION("IF('From Order'!$A1768=COLUMNS($A1768:E1787), LEFT(INDEX(FILTER(E$1:E1767, E$1:E1767&lt;&gt;""""),COUNTA(FILTER(E$1:E1767, E$1:E1767&lt;&gt;""""))), LEN(INDEX(FILTER(E$1:E1767, E$1:E1767&lt;&gt;""""),COUNTA(FILTER(E$1:E1767, E$1:E1767&lt;&gt;""""))))-1), IF('To Order'!$A1768=COL"&amp;"UMNS($A1768:E1787), E1767&amp;RIGHT(INDIRECT(ADDRESS(ROW(E1768)-1, 'From Order'!$A1768)), 1), E1767))"),"C")</f>
        <v>C</v>
      </c>
      <c r="F1768" s="2" t="str">
        <f>IFERROR(__xludf.DUMMYFUNCTION("IF('From Order'!$A1768=COLUMNS($A1768:F1787), LEFT(INDEX(FILTER(F$1:F1767, F$1:F1767&lt;&gt;""""),COUNTA(FILTER(F$1:F1767, F$1:F1767&lt;&gt;""""))), LEN(INDEX(FILTER(F$1:F1767, F$1:F1767&lt;&gt;""""),COUNTA(FILTER(F$1:F1767, F$1:F1767&lt;&gt;""""))))-1), IF('To Order'!$A1768=COL"&amp;"UMNS($A1768:F1787), F1767&amp;RIGHT(INDIRECT(ADDRESS(ROW(F1768)-1, 'From Order'!$A1768)), 1), F1767))"),"")</f>
        <v/>
      </c>
      <c r="G1768" s="2" t="str">
        <f>IFERROR(__xludf.DUMMYFUNCTION("IF('From Order'!$A1768=COLUMNS($A1768:G1787), LEFT(INDEX(FILTER(G$1:G1767, G$1:G1767&lt;&gt;""""),COUNTA(FILTER(G$1:G1767, G$1:G1767&lt;&gt;""""))), LEN(INDEX(FILTER(G$1:G1767, G$1:G1767&lt;&gt;""""),COUNTA(FILTER(G$1:G1767, G$1:G1767&lt;&gt;""""))))-1), IF('To Order'!$A1768=COL"&amp;"UMNS($A1768:G1787), G1767&amp;RIGHT(INDIRECT(ADDRESS(ROW(G1768)-1, 'From Order'!$A1768)), 1), G1767))"),"MDJMBVRR")</f>
        <v>MDJMBVRR</v>
      </c>
      <c r="H1768" s="2" t="str">
        <f>IFERROR(__xludf.DUMMYFUNCTION("IF('From Order'!$A1768=COLUMNS($A1768:H1787), LEFT(INDEX(FILTER(H$1:H1767, H$1:H1767&lt;&gt;""""),COUNTA(FILTER(H$1:H1767, H$1:H1767&lt;&gt;""""))), LEN(INDEX(FILTER(H$1:H1767, H$1:H1767&lt;&gt;""""),COUNTA(FILTER(H$1:H1767, H$1:H1767&lt;&gt;""""))))-1), IF('To Order'!$A1768=COL"&amp;"UMNS($A1768:H1787), H1767&amp;RIGHT(INDIRECT(ADDRESS(ROW(H1768)-1, 'From Order'!$A1768)), 1), H1767))"),"")</f>
        <v/>
      </c>
      <c r="I1768" s="2" t="str">
        <f>IFERROR(__xludf.DUMMYFUNCTION("IF('From Order'!$A1768=COLUMNS($A1768:I1787), LEFT(INDEX(FILTER(I$1:I1767, I$1:I1767&lt;&gt;""""),COUNTA(FILTER(I$1:I1767, I$1:I1767&lt;&gt;""""))), LEN(INDEX(FILTER(I$1:I1767, I$1:I1767&lt;&gt;""""),COUNTA(FILTER(I$1:I1767, I$1:I1767&lt;&gt;""""))))-1), IF('To Order'!$A1768=COL"&amp;"UMNS($A1768:I1787), I1767&amp;RIGHT(INDIRECT(ADDRESS(ROW(I1768)-1, 'From Order'!$A1768)), 1), I1767))"),"")</f>
        <v/>
      </c>
    </row>
    <row r="1769">
      <c r="A1769" s="2" t="str">
        <f>IFERROR(__xludf.DUMMYFUNCTION("IF('From Order'!$A1769=COLUMNS($A1769:A1788), LEFT(INDEX(FILTER(A$1:A1768, A$1:A1768&lt;&gt;""""),COUNTA(FILTER(A$1:A1768, A$1:A1768&lt;&gt;""""))), LEN(INDEX(FILTER(A$1:A1768, A$1:A1768&lt;&gt;""""),COUNTA(FILTER(A$1:A1768, A$1:A1768&lt;&gt;""""))))-1), IF('To Order'!$A1769=COL"&amp;"UMNS($A1769:A1788), A1768&amp;RIGHT(INDIRECT(ADDRESS(ROW(A1769)-1, 'From Order'!$A1769)), 1), A1768))"),"ZHZMTDLDSPBFLLWDD")</f>
        <v>ZHZMTDLDSPBFLLWDD</v>
      </c>
      <c r="B1769" s="2" t="str">
        <f>IFERROR(__xludf.DUMMYFUNCTION("IF('From Order'!$A1769=COLUMNS($A1769:B1788), LEFT(INDEX(FILTER(B$1:B1768, B$1:B1768&lt;&gt;""""),COUNTA(FILTER(B$1:B1768, B$1:B1768&lt;&gt;""""))), LEN(INDEX(FILTER(B$1:B1768, B$1:B1768&lt;&gt;""""),COUNTA(FILTER(B$1:B1768, B$1:B1768&lt;&gt;""""))))-1), IF('To Order'!$A1769=COL"&amp;"UMNS($A1769:B1788), B1768&amp;RIGHT(INDIRECT(ADDRESS(ROW(B1769)-1, 'From Order'!$A1769)), 1), B1768))"),"GTTJ")</f>
        <v>GTTJ</v>
      </c>
      <c r="C1769" s="2" t="str">
        <f>IFERROR(__xludf.DUMMYFUNCTION("IF('From Order'!$A1769=COLUMNS($A1769:C1788), LEFT(INDEX(FILTER(C$1:C1768, C$1:C1768&lt;&gt;""""),COUNTA(FILTER(C$1:C1768, C$1:C1768&lt;&gt;""""))), LEN(INDEX(FILTER(C$1:C1768, C$1:C1768&lt;&gt;""""),COUNTA(FILTER(C$1:C1768, C$1:C1768&lt;&gt;""""))))-1), IF('To Order'!$A1769=COL"&amp;"UMNS($A1769:C1788), C1768&amp;RIGHT(INDIRECT(ADDRESS(ROW(C1769)-1, 'From Order'!$A1769)), 1), C1768))"),"TQV")</f>
        <v>TQV</v>
      </c>
      <c r="D1769" s="2" t="str">
        <f>IFERROR(__xludf.DUMMYFUNCTION("IF('From Order'!$A1769=COLUMNS($A1769:D1788), LEFT(INDEX(FILTER(D$1:D1768, D$1:D1768&lt;&gt;""""),COUNTA(FILTER(D$1:D1768, D$1:D1768&lt;&gt;""""))), LEN(INDEX(FILTER(D$1:D1768, D$1:D1768&lt;&gt;""""),COUNTA(FILTER(D$1:D1768, D$1:D1768&lt;&gt;""""))))-1), IF('To Order'!$A1769=COL"&amp;"UMNS($A1769:D1788), D1768&amp;RIGHT(INDIRECT(ADDRESS(ROW(D1769)-1, 'From Order'!$A1769)), 1), D1768))"),"RBRTCVDRGBHFSCZWTSSPPJQ")</f>
        <v>RBRTCVDRGBHFSCZWTSSPPJQ</v>
      </c>
      <c r="E1769" s="2" t="str">
        <f>IFERROR(__xludf.DUMMYFUNCTION("IF('From Order'!$A1769=COLUMNS($A1769:E1788), LEFT(INDEX(FILTER(E$1:E1768, E$1:E1768&lt;&gt;""""),COUNTA(FILTER(E$1:E1768, E$1:E1768&lt;&gt;""""))), LEN(INDEX(FILTER(E$1:E1768, E$1:E1768&lt;&gt;""""),COUNTA(FILTER(E$1:E1768, E$1:E1768&lt;&gt;""""))))-1), IF('To Order'!$A1769=COL"&amp;"UMNS($A1769:E1788), E1768&amp;RIGHT(INDIRECT(ADDRESS(ROW(E1769)-1, 'From Order'!$A1769)), 1), E1768))"),"C")</f>
        <v>C</v>
      </c>
      <c r="F1769" s="2" t="str">
        <f>IFERROR(__xludf.DUMMYFUNCTION("IF('From Order'!$A1769=COLUMNS($A1769:F1788), LEFT(INDEX(FILTER(F$1:F1768, F$1:F1768&lt;&gt;""""),COUNTA(FILTER(F$1:F1768, F$1:F1768&lt;&gt;""""))), LEN(INDEX(FILTER(F$1:F1768, F$1:F1768&lt;&gt;""""),COUNTA(FILTER(F$1:F1768, F$1:F1768&lt;&gt;""""))))-1), IF('To Order'!$A1769=COL"&amp;"UMNS($A1769:F1788), F1768&amp;RIGHT(INDIRECT(ADDRESS(ROW(F1769)-1, 'From Order'!$A1769)), 1), F1768))"),"")</f>
        <v/>
      </c>
      <c r="G1769" s="2" t="str">
        <f>IFERROR(__xludf.DUMMYFUNCTION("IF('From Order'!$A1769=COLUMNS($A1769:G1788), LEFT(INDEX(FILTER(G$1:G1768, G$1:G1768&lt;&gt;""""),COUNTA(FILTER(G$1:G1768, G$1:G1768&lt;&gt;""""))), LEN(INDEX(FILTER(G$1:G1768, G$1:G1768&lt;&gt;""""),COUNTA(FILTER(G$1:G1768, G$1:G1768&lt;&gt;""""))))-1), IF('To Order'!$A1769=COL"&amp;"UMNS($A1769:G1788), G1768&amp;RIGHT(INDIRECT(ADDRESS(ROW(G1769)-1, 'From Order'!$A1769)), 1), G1768))"),"MDJMBVRR")</f>
        <v>MDJMBVRR</v>
      </c>
      <c r="H1769" s="2" t="str">
        <f>IFERROR(__xludf.DUMMYFUNCTION("IF('From Order'!$A1769=COLUMNS($A1769:H1788), LEFT(INDEX(FILTER(H$1:H1768, H$1:H1768&lt;&gt;""""),COUNTA(FILTER(H$1:H1768, H$1:H1768&lt;&gt;""""))), LEN(INDEX(FILTER(H$1:H1768, H$1:H1768&lt;&gt;""""),COUNTA(FILTER(H$1:H1768, H$1:H1768&lt;&gt;""""))))-1), IF('To Order'!$A1769=COL"&amp;"UMNS($A1769:H1788), H1768&amp;RIGHT(INDIRECT(ADDRESS(ROW(H1769)-1, 'From Order'!$A1769)), 1), H1768))"),"")</f>
        <v/>
      </c>
      <c r="I1769" s="2" t="str">
        <f>IFERROR(__xludf.DUMMYFUNCTION("IF('From Order'!$A1769=COLUMNS($A1769:I1788), LEFT(INDEX(FILTER(I$1:I1768, I$1:I1768&lt;&gt;""""),COUNTA(FILTER(I$1:I1768, I$1:I1768&lt;&gt;""""))), LEN(INDEX(FILTER(I$1:I1768, I$1:I1768&lt;&gt;""""),COUNTA(FILTER(I$1:I1768, I$1:I1768&lt;&gt;""""))))-1), IF('To Order'!$A1769=COL"&amp;"UMNS($A1769:I1788), I1768&amp;RIGHT(INDIRECT(ADDRESS(ROW(I1769)-1, 'From Order'!$A1769)), 1), I1768))"),"")</f>
        <v/>
      </c>
    </row>
    <row r="1770">
      <c r="A1770" s="2" t="str">
        <f>IFERROR(__xludf.DUMMYFUNCTION("IF('From Order'!$A1770=COLUMNS($A1770:A1789), LEFT(INDEX(FILTER(A$1:A1769, A$1:A1769&lt;&gt;""""),COUNTA(FILTER(A$1:A1769, A$1:A1769&lt;&gt;""""))), LEN(INDEX(FILTER(A$1:A1769, A$1:A1769&lt;&gt;""""),COUNTA(FILTER(A$1:A1769, A$1:A1769&lt;&gt;""""))))-1), IF('To Order'!$A1770=COL"&amp;"UMNS($A1770:A1789), A1769&amp;RIGHT(INDIRECT(ADDRESS(ROW(A1770)-1, 'From Order'!$A1770)), 1), A1769))"),"ZHZMTDLDSPBFLLWDD")</f>
        <v>ZHZMTDLDSPBFLLWDD</v>
      </c>
      <c r="B1770" s="2" t="str">
        <f>IFERROR(__xludf.DUMMYFUNCTION("IF('From Order'!$A1770=COLUMNS($A1770:B1789), LEFT(INDEX(FILTER(B$1:B1769, B$1:B1769&lt;&gt;""""),COUNTA(FILTER(B$1:B1769, B$1:B1769&lt;&gt;""""))), LEN(INDEX(FILTER(B$1:B1769, B$1:B1769&lt;&gt;""""),COUNTA(FILTER(B$1:B1769, B$1:B1769&lt;&gt;""""))))-1), IF('To Order'!$A1770=COL"&amp;"UMNS($A1770:B1789), B1769&amp;RIGHT(INDIRECT(ADDRESS(ROW(B1770)-1, 'From Order'!$A1770)), 1), B1769))"),"GTTJ")</f>
        <v>GTTJ</v>
      </c>
      <c r="C1770" s="2" t="str">
        <f>IFERROR(__xludf.DUMMYFUNCTION("IF('From Order'!$A1770=COLUMNS($A1770:C1789), LEFT(INDEX(FILTER(C$1:C1769, C$1:C1769&lt;&gt;""""),COUNTA(FILTER(C$1:C1769, C$1:C1769&lt;&gt;""""))), LEN(INDEX(FILTER(C$1:C1769, C$1:C1769&lt;&gt;""""),COUNTA(FILTER(C$1:C1769, C$1:C1769&lt;&gt;""""))))-1), IF('To Order'!$A1770=COL"&amp;"UMNS($A1770:C1789), C1769&amp;RIGHT(INDIRECT(ADDRESS(ROW(C1770)-1, 'From Order'!$A1770)), 1), C1769))"),"TQ")</f>
        <v>TQ</v>
      </c>
      <c r="D1770" s="2" t="str">
        <f>IFERROR(__xludf.DUMMYFUNCTION("IF('From Order'!$A1770=COLUMNS($A1770:D1789), LEFT(INDEX(FILTER(D$1:D1769, D$1:D1769&lt;&gt;""""),COUNTA(FILTER(D$1:D1769, D$1:D1769&lt;&gt;""""))), LEN(INDEX(FILTER(D$1:D1769, D$1:D1769&lt;&gt;""""),COUNTA(FILTER(D$1:D1769, D$1:D1769&lt;&gt;""""))))-1), IF('To Order'!$A1770=COL"&amp;"UMNS($A1770:D1789), D1769&amp;RIGHT(INDIRECT(ADDRESS(ROW(D1770)-1, 'From Order'!$A1770)), 1), D1769))"),"RBRTCVDRGBHFSCZWTSSPPJQV")</f>
        <v>RBRTCVDRGBHFSCZWTSSPPJQV</v>
      </c>
      <c r="E1770" s="2" t="str">
        <f>IFERROR(__xludf.DUMMYFUNCTION("IF('From Order'!$A1770=COLUMNS($A1770:E1789), LEFT(INDEX(FILTER(E$1:E1769, E$1:E1769&lt;&gt;""""),COUNTA(FILTER(E$1:E1769, E$1:E1769&lt;&gt;""""))), LEN(INDEX(FILTER(E$1:E1769, E$1:E1769&lt;&gt;""""),COUNTA(FILTER(E$1:E1769, E$1:E1769&lt;&gt;""""))))-1), IF('To Order'!$A1770=COL"&amp;"UMNS($A1770:E1789), E1769&amp;RIGHT(INDIRECT(ADDRESS(ROW(E1770)-1, 'From Order'!$A1770)), 1), E1769))"),"C")</f>
        <v>C</v>
      </c>
      <c r="F1770" s="2" t="str">
        <f>IFERROR(__xludf.DUMMYFUNCTION("IF('From Order'!$A1770=COLUMNS($A1770:F1789), LEFT(INDEX(FILTER(F$1:F1769, F$1:F1769&lt;&gt;""""),COUNTA(FILTER(F$1:F1769, F$1:F1769&lt;&gt;""""))), LEN(INDEX(FILTER(F$1:F1769, F$1:F1769&lt;&gt;""""),COUNTA(FILTER(F$1:F1769, F$1:F1769&lt;&gt;""""))))-1), IF('To Order'!$A1770=COL"&amp;"UMNS($A1770:F1789), F1769&amp;RIGHT(INDIRECT(ADDRESS(ROW(F1770)-1, 'From Order'!$A1770)), 1), F1769))"),"")</f>
        <v/>
      </c>
      <c r="G1770" s="2" t="str">
        <f>IFERROR(__xludf.DUMMYFUNCTION("IF('From Order'!$A1770=COLUMNS($A1770:G1789), LEFT(INDEX(FILTER(G$1:G1769, G$1:G1769&lt;&gt;""""),COUNTA(FILTER(G$1:G1769, G$1:G1769&lt;&gt;""""))), LEN(INDEX(FILTER(G$1:G1769, G$1:G1769&lt;&gt;""""),COUNTA(FILTER(G$1:G1769, G$1:G1769&lt;&gt;""""))))-1), IF('To Order'!$A1770=COL"&amp;"UMNS($A1770:G1789), G1769&amp;RIGHT(INDIRECT(ADDRESS(ROW(G1770)-1, 'From Order'!$A1770)), 1), G1769))"),"MDJMBVRR")</f>
        <v>MDJMBVRR</v>
      </c>
      <c r="H1770" s="2" t="str">
        <f>IFERROR(__xludf.DUMMYFUNCTION("IF('From Order'!$A1770=COLUMNS($A1770:H1789), LEFT(INDEX(FILTER(H$1:H1769, H$1:H1769&lt;&gt;""""),COUNTA(FILTER(H$1:H1769, H$1:H1769&lt;&gt;""""))), LEN(INDEX(FILTER(H$1:H1769, H$1:H1769&lt;&gt;""""),COUNTA(FILTER(H$1:H1769, H$1:H1769&lt;&gt;""""))))-1), IF('To Order'!$A1770=COL"&amp;"UMNS($A1770:H1789), H1769&amp;RIGHT(INDIRECT(ADDRESS(ROW(H1770)-1, 'From Order'!$A1770)), 1), H1769))"),"")</f>
        <v/>
      </c>
      <c r="I1770" s="2" t="str">
        <f>IFERROR(__xludf.DUMMYFUNCTION("IF('From Order'!$A1770=COLUMNS($A1770:I1789), LEFT(INDEX(FILTER(I$1:I1769, I$1:I1769&lt;&gt;""""),COUNTA(FILTER(I$1:I1769, I$1:I1769&lt;&gt;""""))), LEN(INDEX(FILTER(I$1:I1769, I$1:I1769&lt;&gt;""""),COUNTA(FILTER(I$1:I1769, I$1:I1769&lt;&gt;""""))))-1), IF('To Order'!$A1770=COL"&amp;"UMNS($A1770:I1789), I1769&amp;RIGHT(INDIRECT(ADDRESS(ROW(I1770)-1, 'From Order'!$A1770)), 1), I1769))"),"")</f>
        <v/>
      </c>
    </row>
    <row r="1771">
      <c r="A1771" s="2" t="str">
        <f>IFERROR(__xludf.DUMMYFUNCTION("IF('From Order'!$A1771=COLUMNS($A1771:A1790), LEFT(INDEX(FILTER(A$1:A1770, A$1:A1770&lt;&gt;""""),COUNTA(FILTER(A$1:A1770, A$1:A1770&lt;&gt;""""))), LEN(INDEX(FILTER(A$1:A1770, A$1:A1770&lt;&gt;""""),COUNTA(FILTER(A$1:A1770, A$1:A1770&lt;&gt;""""))))-1), IF('To Order'!$A1771=COL"&amp;"UMNS($A1771:A1790), A1770&amp;RIGHT(INDIRECT(ADDRESS(ROW(A1771)-1, 'From Order'!$A1771)), 1), A1770))"),"ZHZMTDLDSPBFLLWDDV")</f>
        <v>ZHZMTDLDSPBFLLWDDV</v>
      </c>
      <c r="B1771" s="2" t="str">
        <f>IFERROR(__xludf.DUMMYFUNCTION("IF('From Order'!$A1771=COLUMNS($A1771:B1790), LEFT(INDEX(FILTER(B$1:B1770, B$1:B1770&lt;&gt;""""),COUNTA(FILTER(B$1:B1770, B$1:B1770&lt;&gt;""""))), LEN(INDEX(FILTER(B$1:B1770, B$1:B1770&lt;&gt;""""),COUNTA(FILTER(B$1:B1770, B$1:B1770&lt;&gt;""""))))-1), IF('To Order'!$A1771=COL"&amp;"UMNS($A1771:B1790), B1770&amp;RIGHT(INDIRECT(ADDRESS(ROW(B1771)-1, 'From Order'!$A1771)), 1), B1770))"),"GTTJ")</f>
        <v>GTTJ</v>
      </c>
      <c r="C1771" s="2" t="str">
        <f>IFERROR(__xludf.DUMMYFUNCTION("IF('From Order'!$A1771=COLUMNS($A1771:C1790), LEFT(INDEX(FILTER(C$1:C1770, C$1:C1770&lt;&gt;""""),COUNTA(FILTER(C$1:C1770, C$1:C1770&lt;&gt;""""))), LEN(INDEX(FILTER(C$1:C1770, C$1:C1770&lt;&gt;""""),COUNTA(FILTER(C$1:C1770, C$1:C1770&lt;&gt;""""))))-1), IF('To Order'!$A1771=COL"&amp;"UMNS($A1771:C1790), C1770&amp;RIGHT(INDIRECT(ADDRESS(ROW(C1771)-1, 'From Order'!$A1771)), 1), C1770))"),"TQ")</f>
        <v>TQ</v>
      </c>
      <c r="D1771" s="2" t="str">
        <f>IFERROR(__xludf.DUMMYFUNCTION("IF('From Order'!$A1771=COLUMNS($A1771:D1790), LEFT(INDEX(FILTER(D$1:D1770, D$1:D1770&lt;&gt;""""),COUNTA(FILTER(D$1:D1770, D$1:D1770&lt;&gt;""""))), LEN(INDEX(FILTER(D$1:D1770, D$1:D1770&lt;&gt;""""),COUNTA(FILTER(D$1:D1770, D$1:D1770&lt;&gt;""""))))-1), IF('To Order'!$A1771=COL"&amp;"UMNS($A1771:D1790), D1770&amp;RIGHT(INDIRECT(ADDRESS(ROW(D1771)-1, 'From Order'!$A1771)), 1), D1770))"),"RBRTCVDRGBHFSCZWTSSPPJQ")</f>
        <v>RBRTCVDRGBHFSCZWTSSPPJQ</v>
      </c>
      <c r="E1771" s="2" t="str">
        <f>IFERROR(__xludf.DUMMYFUNCTION("IF('From Order'!$A1771=COLUMNS($A1771:E1790), LEFT(INDEX(FILTER(E$1:E1770, E$1:E1770&lt;&gt;""""),COUNTA(FILTER(E$1:E1770, E$1:E1770&lt;&gt;""""))), LEN(INDEX(FILTER(E$1:E1770, E$1:E1770&lt;&gt;""""),COUNTA(FILTER(E$1:E1770, E$1:E1770&lt;&gt;""""))))-1), IF('To Order'!$A1771=COL"&amp;"UMNS($A1771:E1790), E1770&amp;RIGHT(INDIRECT(ADDRESS(ROW(E1771)-1, 'From Order'!$A1771)), 1), E1770))"),"C")</f>
        <v>C</v>
      </c>
      <c r="F1771" s="2" t="str">
        <f>IFERROR(__xludf.DUMMYFUNCTION("IF('From Order'!$A1771=COLUMNS($A1771:F1790), LEFT(INDEX(FILTER(F$1:F1770, F$1:F1770&lt;&gt;""""),COUNTA(FILTER(F$1:F1770, F$1:F1770&lt;&gt;""""))), LEN(INDEX(FILTER(F$1:F1770, F$1:F1770&lt;&gt;""""),COUNTA(FILTER(F$1:F1770, F$1:F1770&lt;&gt;""""))))-1), IF('To Order'!$A1771=COL"&amp;"UMNS($A1771:F1790), F1770&amp;RIGHT(INDIRECT(ADDRESS(ROW(F1771)-1, 'From Order'!$A1771)), 1), F1770))"),"")</f>
        <v/>
      </c>
      <c r="G1771" s="2" t="str">
        <f>IFERROR(__xludf.DUMMYFUNCTION("IF('From Order'!$A1771=COLUMNS($A1771:G1790), LEFT(INDEX(FILTER(G$1:G1770, G$1:G1770&lt;&gt;""""),COUNTA(FILTER(G$1:G1770, G$1:G1770&lt;&gt;""""))), LEN(INDEX(FILTER(G$1:G1770, G$1:G1770&lt;&gt;""""),COUNTA(FILTER(G$1:G1770, G$1:G1770&lt;&gt;""""))))-1), IF('To Order'!$A1771=COL"&amp;"UMNS($A1771:G1790), G1770&amp;RIGHT(INDIRECT(ADDRESS(ROW(G1771)-1, 'From Order'!$A1771)), 1), G1770))"),"MDJMBVRR")</f>
        <v>MDJMBVRR</v>
      </c>
      <c r="H1771" s="2" t="str">
        <f>IFERROR(__xludf.DUMMYFUNCTION("IF('From Order'!$A1771=COLUMNS($A1771:H1790), LEFT(INDEX(FILTER(H$1:H1770, H$1:H1770&lt;&gt;""""),COUNTA(FILTER(H$1:H1770, H$1:H1770&lt;&gt;""""))), LEN(INDEX(FILTER(H$1:H1770, H$1:H1770&lt;&gt;""""),COUNTA(FILTER(H$1:H1770, H$1:H1770&lt;&gt;""""))))-1), IF('To Order'!$A1771=COL"&amp;"UMNS($A1771:H1790), H1770&amp;RIGHT(INDIRECT(ADDRESS(ROW(H1771)-1, 'From Order'!$A1771)), 1), H1770))"),"")</f>
        <v/>
      </c>
      <c r="I1771" s="2" t="str">
        <f>IFERROR(__xludf.DUMMYFUNCTION("IF('From Order'!$A1771=COLUMNS($A1771:I1790), LEFT(INDEX(FILTER(I$1:I1770, I$1:I1770&lt;&gt;""""),COUNTA(FILTER(I$1:I1770, I$1:I1770&lt;&gt;""""))), LEN(INDEX(FILTER(I$1:I1770, I$1:I1770&lt;&gt;""""),COUNTA(FILTER(I$1:I1770, I$1:I1770&lt;&gt;""""))))-1), IF('To Order'!$A1771=COL"&amp;"UMNS($A1771:I1790), I1770&amp;RIGHT(INDIRECT(ADDRESS(ROW(I1771)-1, 'From Order'!$A1771)), 1), I1770))"),"")</f>
        <v/>
      </c>
    </row>
    <row r="1772">
      <c r="A1772" s="2" t="str">
        <f>IFERROR(__xludf.DUMMYFUNCTION("IF('From Order'!$A1772=COLUMNS($A1772:A1791), LEFT(INDEX(FILTER(A$1:A1771, A$1:A1771&lt;&gt;""""),COUNTA(FILTER(A$1:A1771, A$1:A1771&lt;&gt;""""))), LEN(INDEX(FILTER(A$1:A1771, A$1:A1771&lt;&gt;""""),COUNTA(FILTER(A$1:A1771, A$1:A1771&lt;&gt;""""))))-1), IF('To Order'!$A1772=COL"&amp;"UMNS($A1772:A1791), A1771&amp;RIGHT(INDIRECT(ADDRESS(ROW(A1772)-1, 'From Order'!$A1772)), 1), A1771))"),"ZHZMTDLDSPBFLLWDDVQ")</f>
        <v>ZHZMTDLDSPBFLLWDDVQ</v>
      </c>
      <c r="B1772" s="2" t="str">
        <f>IFERROR(__xludf.DUMMYFUNCTION("IF('From Order'!$A1772=COLUMNS($A1772:B1791), LEFT(INDEX(FILTER(B$1:B1771, B$1:B1771&lt;&gt;""""),COUNTA(FILTER(B$1:B1771, B$1:B1771&lt;&gt;""""))), LEN(INDEX(FILTER(B$1:B1771, B$1:B1771&lt;&gt;""""),COUNTA(FILTER(B$1:B1771, B$1:B1771&lt;&gt;""""))))-1), IF('To Order'!$A1772=COL"&amp;"UMNS($A1772:B1791), B1771&amp;RIGHT(INDIRECT(ADDRESS(ROW(B1772)-1, 'From Order'!$A1772)), 1), B1771))"),"GTTJ")</f>
        <v>GTTJ</v>
      </c>
      <c r="C1772" s="2" t="str">
        <f>IFERROR(__xludf.DUMMYFUNCTION("IF('From Order'!$A1772=COLUMNS($A1772:C1791), LEFT(INDEX(FILTER(C$1:C1771, C$1:C1771&lt;&gt;""""),COUNTA(FILTER(C$1:C1771, C$1:C1771&lt;&gt;""""))), LEN(INDEX(FILTER(C$1:C1771, C$1:C1771&lt;&gt;""""),COUNTA(FILTER(C$1:C1771, C$1:C1771&lt;&gt;""""))))-1), IF('To Order'!$A1772=COL"&amp;"UMNS($A1772:C1791), C1771&amp;RIGHT(INDIRECT(ADDRESS(ROW(C1772)-1, 'From Order'!$A1772)), 1), C1771))"),"TQ")</f>
        <v>TQ</v>
      </c>
      <c r="D1772" s="2" t="str">
        <f>IFERROR(__xludf.DUMMYFUNCTION("IF('From Order'!$A1772=COLUMNS($A1772:D1791), LEFT(INDEX(FILTER(D$1:D1771, D$1:D1771&lt;&gt;""""),COUNTA(FILTER(D$1:D1771, D$1:D1771&lt;&gt;""""))), LEN(INDEX(FILTER(D$1:D1771, D$1:D1771&lt;&gt;""""),COUNTA(FILTER(D$1:D1771, D$1:D1771&lt;&gt;""""))))-1), IF('To Order'!$A1772=COL"&amp;"UMNS($A1772:D1791), D1771&amp;RIGHT(INDIRECT(ADDRESS(ROW(D1772)-1, 'From Order'!$A1772)), 1), D1771))"),"RBRTCVDRGBHFSCZWTSSPPJ")</f>
        <v>RBRTCVDRGBHFSCZWTSSPPJ</v>
      </c>
      <c r="E1772" s="2" t="str">
        <f>IFERROR(__xludf.DUMMYFUNCTION("IF('From Order'!$A1772=COLUMNS($A1772:E1791), LEFT(INDEX(FILTER(E$1:E1771, E$1:E1771&lt;&gt;""""),COUNTA(FILTER(E$1:E1771, E$1:E1771&lt;&gt;""""))), LEN(INDEX(FILTER(E$1:E1771, E$1:E1771&lt;&gt;""""),COUNTA(FILTER(E$1:E1771, E$1:E1771&lt;&gt;""""))))-1), IF('To Order'!$A1772=COL"&amp;"UMNS($A1772:E1791), E1771&amp;RIGHT(INDIRECT(ADDRESS(ROW(E1772)-1, 'From Order'!$A1772)), 1), E1771))"),"C")</f>
        <v>C</v>
      </c>
      <c r="F1772" s="2" t="str">
        <f>IFERROR(__xludf.DUMMYFUNCTION("IF('From Order'!$A1772=COLUMNS($A1772:F1791), LEFT(INDEX(FILTER(F$1:F1771, F$1:F1771&lt;&gt;""""),COUNTA(FILTER(F$1:F1771, F$1:F1771&lt;&gt;""""))), LEN(INDEX(FILTER(F$1:F1771, F$1:F1771&lt;&gt;""""),COUNTA(FILTER(F$1:F1771, F$1:F1771&lt;&gt;""""))))-1), IF('To Order'!$A1772=COL"&amp;"UMNS($A1772:F1791), F1771&amp;RIGHT(INDIRECT(ADDRESS(ROW(F1772)-1, 'From Order'!$A1772)), 1), F1771))"),"")</f>
        <v/>
      </c>
      <c r="G1772" s="2" t="str">
        <f>IFERROR(__xludf.DUMMYFUNCTION("IF('From Order'!$A1772=COLUMNS($A1772:G1791), LEFT(INDEX(FILTER(G$1:G1771, G$1:G1771&lt;&gt;""""),COUNTA(FILTER(G$1:G1771, G$1:G1771&lt;&gt;""""))), LEN(INDEX(FILTER(G$1:G1771, G$1:G1771&lt;&gt;""""),COUNTA(FILTER(G$1:G1771, G$1:G1771&lt;&gt;""""))))-1), IF('To Order'!$A1772=COL"&amp;"UMNS($A1772:G1791), G1771&amp;RIGHT(INDIRECT(ADDRESS(ROW(G1772)-1, 'From Order'!$A1772)), 1), G1771))"),"MDJMBVRR")</f>
        <v>MDJMBVRR</v>
      </c>
      <c r="H1772" s="2" t="str">
        <f>IFERROR(__xludf.DUMMYFUNCTION("IF('From Order'!$A1772=COLUMNS($A1772:H1791), LEFT(INDEX(FILTER(H$1:H1771, H$1:H1771&lt;&gt;""""),COUNTA(FILTER(H$1:H1771, H$1:H1771&lt;&gt;""""))), LEN(INDEX(FILTER(H$1:H1771, H$1:H1771&lt;&gt;""""),COUNTA(FILTER(H$1:H1771, H$1:H1771&lt;&gt;""""))))-1), IF('To Order'!$A1772=COL"&amp;"UMNS($A1772:H1791), H1771&amp;RIGHT(INDIRECT(ADDRESS(ROW(H1772)-1, 'From Order'!$A1772)), 1), H1771))"),"")</f>
        <v/>
      </c>
      <c r="I1772" s="2" t="str">
        <f>IFERROR(__xludf.DUMMYFUNCTION("IF('From Order'!$A1772=COLUMNS($A1772:I1791), LEFT(INDEX(FILTER(I$1:I1771, I$1:I1771&lt;&gt;""""),COUNTA(FILTER(I$1:I1771, I$1:I1771&lt;&gt;""""))), LEN(INDEX(FILTER(I$1:I1771, I$1:I1771&lt;&gt;""""),COUNTA(FILTER(I$1:I1771, I$1:I1771&lt;&gt;""""))))-1), IF('To Order'!$A1772=COL"&amp;"UMNS($A1772:I1791), I1771&amp;RIGHT(INDIRECT(ADDRESS(ROW(I1772)-1, 'From Order'!$A1772)), 1), I1771))"),"")</f>
        <v/>
      </c>
    </row>
    <row r="1773">
      <c r="A1773" s="2" t="str">
        <f>IFERROR(__xludf.DUMMYFUNCTION("IF('From Order'!$A1773=COLUMNS($A1773:A1792), LEFT(INDEX(FILTER(A$1:A1772, A$1:A1772&lt;&gt;""""),COUNTA(FILTER(A$1:A1772, A$1:A1772&lt;&gt;""""))), LEN(INDEX(FILTER(A$1:A1772, A$1:A1772&lt;&gt;""""),COUNTA(FILTER(A$1:A1772, A$1:A1772&lt;&gt;""""))))-1), IF('To Order'!$A1773=COL"&amp;"UMNS($A1773:A1792), A1772&amp;RIGHT(INDIRECT(ADDRESS(ROW(A1773)-1, 'From Order'!$A1773)), 1), A1772))"),"ZHZMTDLDSPBFLLWDDVQJ")</f>
        <v>ZHZMTDLDSPBFLLWDDVQJ</v>
      </c>
      <c r="B1773" s="2" t="str">
        <f>IFERROR(__xludf.DUMMYFUNCTION("IF('From Order'!$A1773=COLUMNS($A1773:B1792), LEFT(INDEX(FILTER(B$1:B1772, B$1:B1772&lt;&gt;""""),COUNTA(FILTER(B$1:B1772, B$1:B1772&lt;&gt;""""))), LEN(INDEX(FILTER(B$1:B1772, B$1:B1772&lt;&gt;""""),COUNTA(FILTER(B$1:B1772, B$1:B1772&lt;&gt;""""))))-1), IF('To Order'!$A1773=COL"&amp;"UMNS($A1773:B1792), B1772&amp;RIGHT(INDIRECT(ADDRESS(ROW(B1773)-1, 'From Order'!$A1773)), 1), B1772))"),"GTTJ")</f>
        <v>GTTJ</v>
      </c>
      <c r="C1773" s="2" t="str">
        <f>IFERROR(__xludf.DUMMYFUNCTION("IF('From Order'!$A1773=COLUMNS($A1773:C1792), LEFT(INDEX(FILTER(C$1:C1772, C$1:C1772&lt;&gt;""""),COUNTA(FILTER(C$1:C1772, C$1:C1772&lt;&gt;""""))), LEN(INDEX(FILTER(C$1:C1772, C$1:C1772&lt;&gt;""""),COUNTA(FILTER(C$1:C1772, C$1:C1772&lt;&gt;""""))))-1), IF('To Order'!$A1773=COL"&amp;"UMNS($A1773:C1792), C1772&amp;RIGHT(INDIRECT(ADDRESS(ROW(C1773)-1, 'From Order'!$A1773)), 1), C1772))"),"TQ")</f>
        <v>TQ</v>
      </c>
      <c r="D1773" s="2" t="str">
        <f>IFERROR(__xludf.DUMMYFUNCTION("IF('From Order'!$A1773=COLUMNS($A1773:D1792), LEFT(INDEX(FILTER(D$1:D1772, D$1:D1772&lt;&gt;""""),COUNTA(FILTER(D$1:D1772, D$1:D1772&lt;&gt;""""))), LEN(INDEX(FILTER(D$1:D1772, D$1:D1772&lt;&gt;""""),COUNTA(FILTER(D$1:D1772, D$1:D1772&lt;&gt;""""))))-1), IF('To Order'!$A1773=COL"&amp;"UMNS($A1773:D1792), D1772&amp;RIGHT(INDIRECT(ADDRESS(ROW(D1773)-1, 'From Order'!$A1773)), 1), D1772))"),"RBRTCVDRGBHFSCZWTSSPP")</f>
        <v>RBRTCVDRGBHFSCZWTSSPP</v>
      </c>
      <c r="E1773" s="2" t="str">
        <f>IFERROR(__xludf.DUMMYFUNCTION("IF('From Order'!$A1773=COLUMNS($A1773:E1792), LEFT(INDEX(FILTER(E$1:E1772, E$1:E1772&lt;&gt;""""),COUNTA(FILTER(E$1:E1772, E$1:E1772&lt;&gt;""""))), LEN(INDEX(FILTER(E$1:E1772, E$1:E1772&lt;&gt;""""),COUNTA(FILTER(E$1:E1772, E$1:E1772&lt;&gt;""""))))-1), IF('To Order'!$A1773=COL"&amp;"UMNS($A1773:E1792), E1772&amp;RIGHT(INDIRECT(ADDRESS(ROW(E1773)-1, 'From Order'!$A1773)), 1), E1772))"),"C")</f>
        <v>C</v>
      </c>
      <c r="F1773" s="2" t="str">
        <f>IFERROR(__xludf.DUMMYFUNCTION("IF('From Order'!$A1773=COLUMNS($A1773:F1792), LEFT(INDEX(FILTER(F$1:F1772, F$1:F1772&lt;&gt;""""),COUNTA(FILTER(F$1:F1772, F$1:F1772&lt;&gt;""""))), LEN(INDEX(FILTER(F$1:F1772, F$1:F1772&lt;&gt;""""),COUNTA(FILTER(F$1:F1772, F$1:F1772&lt;&gt;""""))))-1), IF('To Order'!$A1773=COL"&amp;"UMNS($A1773:F1792), F1772&amp;RIGHT(INDIRECT(ADDRESS(ROW(F1773)-1, 'From Order'!$A1773)), 1), F1772))"),"")</f>
        <v/>
      </c>
      <c r="G1773" s="2" t="str">
        <f>IFERROR(__xludf.DUMMYFUNCTION("IF('From Order'!$A1773=COLUMNS($A1773:G1792), LEFT(INDEX(FILTER(G$1:G1772, G$1:G1772&lt;&gt;""""),COUNTA(FILTER(G$1:G1772, G$1:G1772&lt;&gt;""""))), LEN(INDEX(FILTER(G$1:G1772, G$1:G1772&lt;&gt;""""),COUNTA(FILTER(G$1:G1772, G$1:G1772&lt;&gt;""""))))-1), IF('To Order'!$A1773=COL"&amp;"UMNS($A1773:G1792), G1772&amp;RIGHT(INDIRECT(ADDRESS(ROW(G1773)-1, 'From Order'!$A1773)), 1), G1772))"),"MDJMBVRR")</f>
        <v>MDJMBVRR</v>
      </c>
      <c r="H1773" s="2" t="str">
        <f>IFERROR(__xludf.DUMMYFUNCTION("IF('From Order'!$A1773=COLUMNS($A1773:H1792), LEFT(INDEX(FILTER(H$1:H1772, H$1:H1772&lt;&gt;""""),COUNTA(FILTER(H$1:H1772, H$1:H1772&lt;&gt;""""))), LEN(INDEX(FILTER(H$1:H1772, H$1:H1772&lt;&gt;""""),COUNTA(FILTER(H$1:H1772, H$1:H1772&lt;&gt;""""))))-1), IF('To Order'!$A1773=COL"&amp;"UMNS($A1773:H1792), H1772&amp;RIGHT(INDIRECT(ADDRESS(ROW(H1773)-1, 'From Order'!$A1773)), 1), H1772))"),"")</f>
        <v/>
      </c>
      <c r="I1773" s="2" t="str">
        <f>IFERROR(__xludf.DUMMYFUNCTION("IF('From Order'!$A1773=COLUMNS($A1773:I1792), LEFT(INDEX(FILTER(I$1:I1772, I$1:I1772&lt;&gt;""""),COUNTA(FILTER(I$1:I1772, I$1:I1772&lt;&gt;""""))), LEN(INDEX(FILTER(I$1:I1772, I$1:I1772&lt;&gt;""""),COUNTA(FILTER(I$1:I1772, I$1:I1772&lt;&gt;""""))))-1), IF('To Order'!$A1773=COL"&amp;"UMNS($A1773:I1792), I1772&amp;RIGHT(INDIRECT(ADDRESS(ROW(I1773)-1, 'From Order'!$A1773)), 1), I1772))"),"")</f>
        <v/>
      </c>
    </row>
    <row r="1774">
      <c r="A1774" s="2" t="str">
        <f>IFERROR(__xludf.DUMMYFUNCTION("IF('From Order'!$A1774=COLUMNS($A1774:A1793), LEFT(INDEX(FILTER(A$1:A1773, A$1:A1773&lt;&gt;""""),COUNTA(FILTER(A$1:A1773, A$1:A1773&lt;&gt;""""))), LEN(INDEX(FILTER(A$1:A1773, A$1:A1773&lt;&gt;""""),COUNTA(FILTER(A$1:A1773, A$1:A1773&lt;&gt;""""))))-1), IF('To Order'!$A1774=COL"&amp;"UMNS($A1774:A1793), A1773&amp;RIGHT(INDIRECT(ADDRESS(ROW(A1774)-1, 'From Order'!$A1774)), 1), A1773))"),"ZHZMTDLDSPBFLLWDDVQJP")</f>
        <v>ZHZMTDLDSPBFLLWDDVQJP</v>
      </c>
      <c r="B1774" s="2" t="str">
        <f>IFERROR(__xludf.DUMMYFUNCTION("IF('From Order'!$A1774=COLUMNS($A1774:B1793), LEFT(INDEX(FILTER(B$1:B1773, B$1:B1773&lt;&gt;""""),COUNTA(FILTER(B$1:B1773, B$1:B1773&lt;&gt;""""))), LEN(INDEX(FILTER(B$1:B1773, B$1:B1773&lt;&gt;""""),COUNTA(FILTER(B$1:B1773, B$1:B1773&lt;&gt;""""))))-1), IF('To Order'!$A1774=COL"&amp;"UMNS($A1774:B1793), B1773&amp;RIGHT(INDIRECT(ADDRESS(ROW(B1774)-1, 'From Order'!$A1774)), 1), B1773))"),"GTTJ")</f>
        <v>GTTJ</v>
      </c>
      <c r="C1774" s="2" t="str">
        <f>IFERROR(__xludf.DUMMYFUNCTION("IF('From Order'!$A1774=COLUMNS($A1774:C1793), LEFT(INDEX(FILTER(C$1:C1773, C$1:C1773&lt;&gt;""""),COUNTA(FILTER(C$1:C1773, C$1:C1773&lt;&gt;""""))), LEN(INDEX(FILTER(C$1:C1773, C$1:C1773&lt;&gt;""""),COUNTA(FILTER(C$1:C1773, C$1:C1773&lt;&gt;""""))))-1), IF('To Order'!$A1774=COL"&amp;"UMNS($A1774:C1793), C1773&amp;RIGHT(INDIRECT(ADDRESS(ROW(C1774)-1, 'From Order'!$A1774)), 1), C1773))"),"TQ")</f>
        <v>TQ</v>
      </c>
      <c r="D1774" s="2" t="str">
        <f>IFERROR(__xludf.DUMMYFUNCTION("IF('From Order'!$A1774=COLUMNS($A1774:D1793), LEFT(INDEX(FILTER(D$1:D1773, D$1:D1773&lt;&gt;""""),COUNTA(FILTER(D$1:D1773, D$1:D1773&lt;&gt;""""))), LEN(INDEX(FILTER(D$1:D1773, D$1:D1773&lt;&gt;""""),COUNTA(FILTER(D$1:D1773, D$1:D1773&lt;&gt;""""))))-1), IF('To Order'!$A1774=COL"&amp;"UMNS($A1774:D1793), D1773&amp;RIGHT(INDIRECT(ADDRESS(ROW(D1774)-1, 'From Order'!$A1774)), 1), D1773))"),"RBRTCVDRGBHFSCZWTSSP")</f>
        <v>RBRTCVDRGBHFSCZWTSSP</v>
      </c>
      <c r="E1774" s="2" t="str">
        <f>IFERROR(__xludf.DUMMYFUNCTION("IF('From Order'!$A1774=COLUMNS($A1774:E1793), LEFT(INDEX(FILTER(E$1:E1773, E$1:E1773&lt;&gt;""""),COUNTA(FILTER(E$1:E1773, E$1:E1773&lt;&gt;""""))), LEN(INDEX(FILTER(E$1:E1773, E$1:E1773&lt;&gt;""""),COUNTA(FILTER(E$1:E1773, E$1:E1773&lt;&gt;""""))))-1), IF('To Order'!$A1774=COL"&amp;"UMNS($A1774:E1793), E1773&amp;RIGHT(INDIRECT(ADDRESS(ROW(E1774)-1, 'From Order'!$A1774)), 1), E1773))"),"C")</f>
        <v>C</v>
      </c>
      <c r="F1774" s="2" t="str">
        <f>IFERROR(__xludf.DUMMYFUNCTION("IF('From Order'!$A1774=COLUMNS($A1774:F1793), LEFT(INDEX(FILTER(F$1:F1773, F$1:F1773&lt;&gt;""""),COUNTA(FILTER(F$1:F1773, F$1:F1773&lt;&gt;""""))), LEN(INDEX(FILTER(F$1:F1773, F$1:F1773&lt;&gt;""""),COUNTA(FILTER(F$1:F1773, F$1:F1773&lt;&gt;""""))))-1), IF('To Order'!$A1774=COL"&amp;"UMNS($A1774:F1793), F1773&amp;RIGHT(INDIRECT(ADDRESS(ROW(F1774)-1, 'From Order'!$A1774)), 1), F1773))"),"")</f>
        <v/>
      </c>
      <c r="G1774" s="2" t="str">
        <f>IFERROR(__xludf.DUMMYFUNCTION("IF('From Order'!$A1774=COLUMNS($A1774:G1793), LEFT(INDEX(FILTER(G$1:G1773, G$1:G1773&lt;&gt;""""),COUNTA(FILTER(G$1:G1773, G$1:G1773&lt;&gt;""""))), LEN(INDEX(FILTER(G$1:G1773, G$1:G1773&lt;&gt;""""),COUNTA(FILTER(G$1:G1773, G$1:G1773&lt;&gt;""""))))-1), IF('To Order'!$A1774=COL"&amp;"UMNS($A1774:G1793), G1773&amp;RIGHT(INDIRECT(ADDRESS(ROW(G1774)-1, 'From Order'!$A1774)), 1), G1773))"),"MDJMBVRR")</f>
        <v>MDJMBVRR</v>
      </c>
      <c r="H1774" s="2" t="str">
        <f>IFERROR(__xludf.DUMMYFUNCTION("IF('From Order'!$A1774=COLUMNS($A1774:H1793), LEFT(INDEX(FILTER(H$1:H1773, H$1:H1773&lt;&gt;""""),COUNTA(FILTER(H$1:H1773, H$1:H1773&lt;&gt;""""))), LEN(INDEX(FILTER(H$1:H1773, H$1:H1773&lt;&gt;""""),COUNTA(FILTER(H$1:H1773, H$1:H1773&lt;&gt;""""))))-1), IF('To Order'!$A1774=COL"&amp;"UMNS($A1774:H1793), H1773&amp;RIGHT(INDIRECT(ADDRESS(ROW(H1774)-1, 'From Order'!$A1774)), 1), H1773))"),"")</f>
        <v/>
      </c>
      <c r="I1774" s="2" t="str">
        <f>IFERROR(__xludf.DUMMYFUNCTION("IF('From Order'!$A1774=COLUMNS($A1774:I1793), LEFT(INDEX(FILTER(I$1:I1773, I$1:I1773&lt;&gt;""""),COUNTA(FILTER(I$1:I1773, I$1:I1773&lt;&gt;""""))), LEN(INDEX(FILTER(I$1:I1773, I$1:I1773&lt;&gt;""""),COUNTA(FILTER(I$1:I1773, I$1:I1773&lt;&gt;""""))))-1), IF('To Order'!$A1774=COL"&amp;"UMNS($A1774:I1793), I1773&amp;RIGHT(INDIRECT(ADDRESS(ROW(I1774)-1, 'From Order'!$A1774)), 1), I1773))"),"")</f>
        <v/>
      </c>
    </row>
    <row r="1775">
      <c r="A1775" s="2" t="str">
        <f>IFERROR(__xludf.DUMMYFUNCTION("IF('From Order'!$A1775=COLUMNS($A1775:A1794), LEFT(INDEX(FILTER(A$1:A1774, A$1:A1774&lt;&gt;""""),COUNTA(FILTER(A$1:A1774, A$1:A1774&lt;&gt;""""))), LEN(INDEX(FILTER(A$1:A1774, A$1:A1774&lt;&gt;""""),COUNTA(FILTER(A$1:A1774, A$1:A1774&lt;&gt;""""))))-1), IF('To Order'!$A1775=COL"&amp;"UMNS($A1775:A1794), A1774&amp;RIGHT(INDIRECT(ADDRESS(ROW(A1775)-1, 'From Order'!$A1775)), 1), A1774))"),"ZHZMTDLDSPBFLLWDDVQJPP")</f>
        <v>ZHZMTDLDSPBFLLWDDVQJPP</v>
      </c>
      <c r="B1775" s="2" t="str">
        <f>IFERROR(__xludf.DUMMYFUNCTION("IF('From Order'!$A1775=COLUMNS($A1775:B1794), LEFT(INDEX(FILTER(B$1:B1774, B$1:B1774&lt;&gt;""""),COUNTA(FILTER(B$1:B1774, B$1:B1774&lt;&gt;""""))), LEN(INDEX(FILTER(B$1:B1774, B$1:B1774&lt;&gt;""""),COUNTA(FILTER(B$1:B1774, B$1:B1774&lt;&gt;""""))))-1), IF('To Order'!$A1775=COL"&amp;"UMNS($A1775:B1794), B1774&amp;RIGHT(INDIRECT(ADDRESS(ROW(B1775)-1, 'From Order'!$A1775)), 1), B1774))"),"GTTJ")</f>
        <v>GTTJ</v>
      </c>
      <c r="C1775" s="2" t="str">
        <f>IFERROR(__xludf.DUMMYFUNCTION("IF('From Order'!$A1775=COLUMNS($A1775:C1794), LEFT(INDEX(FILTER(C$1:C1774, C$1:C1774&lt;&gt;""""),COUNTA(FILTER(C$1:C1774, C$1:C1774&lt;&gt;""""))), LEN(INDEX(FILTER(C$1:C1774, C$1:C1774&lt;&gt;""""),COUNTA(FILTER(C$1:C1774, C$1:C1774&lt;&gt;""""))))-1), IF('To Order'!$A1775=COL"&amp;"UMNS($A1775:C1794), C1774&amp;RIGHT(INDIRECT(ADDRESS(ROW(C1775)-1, 'From Order'!$A1775)), 1), C1774))"),"TQ")</f>
        <v>TQ</v>
      </c>
      <c r="D1775" s="2" t="str">
        <f>IFERROR(__xludf.DUMMYFUNCTION("IF('From Order'!$A1775=COLUMNS($A1775:D1794), LEFT(INDEX(FILTER(D$1:D1774, D$1:D1774&lt;&gt;""""),COUNTA(FILTER(D$1:D1774, D$1:D1774&lt;&gt;""""))), LEN(INDEX(FILTER(D$1:D1774, D$1:D1774&lt;&gt;""""),COUNTA(FILTER(D$1:D1774, D$1:D1774&lt;&gt;""""))))-1), IF('To Order'!$A1775=COL"&amp;"UMNS($A1775:D1794), D1774&amp;RIGHT(INDIRECT(ADDRESS(ROW(D1775)-1, 'From Order'!$A1775)), 1), D1774))"),"RBRTCVDRGBHFSCZWTSS")</f>
        <v>RBRTCVDRGBHFSCZWTSS</v>
      </c>
      <c r="E1775" s="2" t="str">
        <f>IFERROR(__xludf.DUMMYFUNCTION("IF('From Order'!$A1775=COLUMNS($A1775:E1794), LEFT(INDEX(FILTER(E$1:E1774, E$1:E1774&lt;&gt;""""),COUNTA(FILTER(E$1:E1774, E$1:E1774&lt;&gt;""""))), LEN(INDEX(FILTER(E$1:E1774, E$1:E1774&lt;&gt;""""),COUNTA(FILTER(E$1:E1774, E$1:E1774&lt;&gt;""""))))-1), IF('To Order'!$A1775=COL"&amp;"UMNS($A1775:E1794), E1774&amp;RIGHT(INDIRECT(ADDRESS(ROW(E1775)-1, 'From Order'!$A1775)), 1), E1774))"),"C")</f>
        <v>C</v>
      </c>
      <c r="F1775" s="2" t="str">
        <f>IFERROR(__xludf.DUMMYFUNCTION("IF('From Order'!$A1775=COLUMNS($A1775:F1794), LEFT(INDEX(FILTER(F$1:F1774, F$1:F1774&lt;&gt;""""),COUNTA(FILTER(F$1:F1774, F$1:F1774&lt;&gt;""""))), LEN(INDEX(FILTER(F$1:F1774, F$1:F1774&lt;&gt;""""),COUNTA(FILTER(F$1:F1774, F$1:F1774&lt;&gt;""""))))-1), IF('To Order'!$A1775=COL"&amp;"UMNS($A1775:F1794), F1774&amp;RIGHT(INDIRECT(ADDRESS(ROW(F1775)-1, 'From Order'!$A1775)), 1), F1774))"),"")</f>
        <v/>
      </c>
      <c r="G1775" s="2" t="str">
        <f>IFERROR(__xludf.DUMMYFUNCTION("IF('From Order'!$A1775=COLUMNS($A1775:G1794), LEFT(INDEX(FILTER(G$1:G1774, G$1:G1774&lt;&gt;""""),COUNTA(FILTER(G$1:G1774, G$1:G1774&lt;&gt;""""))), LEN(INDEX(FILTER(G$1:G1774, G$1:G1774&lt;&gt;""""),COUNTA(FILTER(G$1:G1774, G$1:G1774&lt;&gt;""""))))-1), IF('To Order'!$A1775=COL"&amp;"UMNS($A1775:G1794), G1774&amp;RIGHT(INDIRECT(ADDRESS(ROW(G1775)-1, 'From Order'!$A1775)), 1), G1774))"),"MDJMBVRR")</f>
        <v>MDJMBVRR</v>
      </c>
      <c r="H1775" s="2" t="str">
        <f>IFERROR(__xludf.DUMMYFUNCTION("IF('From Order'!$A1775=COLUMNS($A1775:H1794), LEFT(INDEX(FILTER(H$1:H1774, H$1:H1774&lt;&gt;""""),COUNTA(FILTER(H$1:H1774, H$1:H1774&lt;&gt;""""))), LEN(INDEX(FILTER(H$1:H1774, H$1:H1774&lt;&gt;""""),COUNTA(FILTER(H$1:H1774, H$1:H1774&lt;&gt;""""))))-1), IF('To Order'!$A1775=COL"&amp;"UMNS($A1775:H1794), H1774&amp;RIGHT(INDIRECT(ADDRESS(ROW(H1775)-1, 'From Order'!$A1775)), 1), H1774))"),"")</f>
        <v/>
      </c>
      <c r="I1775" s="2" t="str">
        <f>IFERROR(__xludf.DUMMYFUNCTION("IF('From Order'!$A1775=COLUMNS($A1775:I1794), LEFT(INDEX(FILTER(I$1:I1774, I$1:I1774&lt;&gt;""""),COUNTA(FILTER(I$1:I1774, I$1:I1774&lt;&gt;""""))), LEN(INDEX(FILTER(I$1:I1774, I$1:I1774&lt;&gt;""""),COUNTA(FILTER(I$1:I1774, I$1:I1774&lt;&gt;""""))))-1), IF('To Order'!$A1775=COL"&amp;"UMNS($A1775:I1794), I1774&amp;RIGHT(INDIRECT(ADDRESS(ROW(I1775)-1, 'From Order'!$A1775)), 1), I1774))"),"")</f>
        <v/>
      </c>
    </row>
    <row r="1776">
      <c r="A1776" s="2" t="str">
        <f>IFERROR(__xludf.DUMMYFUNCTION("IF('From Order'!$A1776=COLUMNS($A1776:A1795), LEFT(INDEX(FILTER(A$1:A1775, A$1:A1775&lt;&gt;""""),COUNTA(FILTER(A$1:A1775, A$1:A1775&lt;&gt;""""))), LEN(INDEX(FILTER(A$1:A1775, A$1:A1775&lt;&gt;""""),COUNTA(FILTER(A$1:A1775, A$1:A1775&lt;&gt;""""))))-1), IF('To Order'!$A1776=COL"&amp;"UMNS($A1776:A1795), A1775&amp;RIGHT(INDIRECT(ADDRESS(ROW(A1776)-1, 'From Order'!$A1776)), 1), A1775))"),"ZHZMTDLDSPBFLLWDDVQJPPS")</f>
        <v>ZHZMTDLDSPBFLLWDDVQJPPS</v>
      </c>
      <c r="B1776" s="2" t="str">
        <f>IFERROR(__xludf.DUMMYFUNCTION("IF('From Order'!$A1776=COLUMNS($A1776:B1795), LEFT(INDEX(FILTER(B$1:B1775, B$1:B1775&lt;&gt;""""),COUNTA(FILTER(B$1:B1775, B$1:B1775&lt;&gt;""""))), LEN(INDEX(FILTER(B$1:B1775, B$1:B1775&lt;&gt;""""),COUNTA(FILTER(B$1:B1775, B$1:B1775&lt;&gt;""""))))-1), IF('To Order'!$A1776=COL"&amp;"UMNS($A1776:B1795), B1775&amp;RIGHT(INDIRECT(ADDRESS(ROW(B1776)-1, 'From Order'!$A1776)), 1), B1775))"),"GTTJ")</f>
        <v>GTTJ</v>
      </c>
      <c r="C1776" s="2" t="str">
        <f>IFERROR(__xludf.DUMMYFUNCTION("IF('From Order'!$A1776=COLUMNS($A1776:C1795), LEFT(INDEX(FILTER(C$1:C1775, C$1:C1775&lt;&gt;""""),COUNTA(FILTER(C$1:C1775, C$1:C1775&lt;&gt;""""))), LEN(INDEX(FILTER(C$1:C1775, C$1:C1775&lt;&gt;""""),COUNTA(FILTER(C$1:C1775, C$1:C1775&lt;&gt;""""))))-1), IF('To Order'!$A1776=COL"&amp;"UMNS($A1776:C1795), C1775&amp;RIGHT(INDIRECT(ADDRESS(ROW(C1776)-1, 'From Order'!$A1776)), 1), C1775))"),"TQ")</f>
        <v>TQ</v>
      </c>
      <c r="D1776" s="2" t="str">
        <f>IFERROR(__xludf.DUMMYFUNCTION("IF('From Order'!$A1776=COLUMNS($A1776:D1795), LEFT(INDEX(FILTER(D$1:D1775, D$1:D1775&lt;&gt;""""),COUNTA(FILTER(D$1:D1775, D$1:D1775&lt;&gt;""""))), LEN(INDEX(FILTER(D$1:D1775, D$1:D1775&lt;&gt;""""),COUNTA(FILTER(D$1:D1775, D$1:D1775&lt;&gt;""""))))-1), IF('To Order'!$A1776=COL"&amp;"UMNS($A1776:D1795), D1775&amp;RIGHT(INDIRECT(ADDRESS(ROW(D1776)-1, 'From Order'!$A1776)), 1), D1775))"),"RBRTCVDRGBHFSCZWTS")</f>
        <v>RBRTCVDRGBHFSCZWTS</v>
      </c>
      <c r="E1776" s="2" t="str">
        <f>IFERROR(__xludf.DUMMYFUNCTION("IF('From Order'!$A1776=COLUMNS($A1776:E1795), LEFT(INDEX(FILTER(E$1:E1775, E$1:E1775&lt;&gt;""""),COUNTA(FILTER(E$1:E1775, E$1:E1775&lt;&gt;""""))), LEN(INDEX(FILTER(E$1:E1775, E$1:E1775&lt;&gt;""""),COUNTA(FILTER(E$1:E1775, E$1:E1775&lt;&gt;""""))))-1), IF('To Order'!$A1776=COL"&amp;"UMNS($A1776:E1795), E1775&amp;RIGHT(INDIRECT(ADDRESS(ROW(E1776)-1, 'From Order'!$A1776)), 1), E1775))"),"C")</f>
        <v>C</v>
      </c>
      <c r="F1776" s="2" t="str">
        <f>IFERROR(__xludf.DUMMYFUNCTION("IF('From Order'!$A1776=COLUMNS($A1776:F1795), LEFT(INDEX(FILTER(F$1:F1775, F$1:F1775&lt;&gt;""""),COUNTA(FILTER(F$1:F1775, F$1:F1775&lt;&gt;""""))), LEN(INDEX(FILTER(F$1:F1775, F$1:F1775&lt;&gt;""""),COUNTA(FILTER(F$1:F1775, F$1:F1775&lt;&gt;""""))))-1), IF('To Order'!$A1776=COL"&amp;"UMNS($A1776:F1795), F1775&amp;RIGHT(INDIRECT(ADDRESS(ROW(F1776)-1, 'From Order'!$A1776)), 1), F1775))"),"")</f>
        <v/>
      </c>
      <c r="G1776" s="2" t="str">
        <f>IFERROR(__xludf.DUMMYFUNCTION("IF('From Order'!$A1776=COLUMNS($A1776:G1795), LEFT(INDEX(FILTER(G$1:G1775, G$1:G1775&lt;&gt;""""),COUNTA(FILTER(G$1:G1775, G$1:G1775&lt;&gt;""""))), LEN(INDEX(FILTER(G$1:G1775, G$1:G1775&lt;&gt;""""),COUNTA(FILTER(G$1:G1775, G$1:G1775&lt;&gt;""""))))-1), IF('To Order'!$A1776=COL"&amp;"UMNS($A1776:G1795), G1775&amp;RIGHT(INDIRECT(ADDRESS(ROW(G1776)-1, 'From Order'!$A1776)), 1), G1775))"),"MDJMBVRR")</f>
        <v>MDJMBVRR</v>
      </c>
      <c r="H1776" s="2" t="str">
        <f>IFERROR(__xludf.DUMMYFUNCTION("IF('From Order'!$A1776=COLUMNS($A1776:H1795), LEFT(INDEX(FILTER(H$1:H1775, H$1:H1775&lt;&gt;""""),COUNTA(FILTER(H$1:H1775, H$1:H1775&lt;&gt;""""))), LEN(INDEX(FILTER(H$1:H1775, H$1:H1775&lt;&gt;""""),COUNTA(FILTER(H$1:H1775, H$1:H1775&lt;&gt;""""))))-1), IF('To Order'!$A1776=COL"&amp;"UMNS($A1776:H1795), H1775&amp;RIGHT(INDIRECT(ADDRESS(ROW(H1776)-1, 'From Order'!$A1776)), 1), H1775))"),"")</f>
        <v/>
      </c>
      <c r="I1776" s="2" t="str">
        <f>IFERROR(__xludf.DUMMYFUNCTION("IF('From Order'!$A1776=COLUMNS($A1776:I1795), LEFT(INDEX(FILTER(I$1:I1775, I$1:I1775&lt;&gt;""""),COUNTA(FILTER(I$1:I1775, I$1:I1775&lt;&gt;""""))), LEN(INDEX(FILTER(I$1:I1775, I$1:I1775&lt;&gt;""""),COUNTA(FILTER(I$1:I1775, I$1:I1775&lt;&gt;""""))))-1), IF('To Order'!$A1776=COL"&amp;"UMNS($A1776:I1795), I1775&amp;RIGHT(INDIRECT(ADDRESS(ROW(I1776)-1, 'From Order'!$A1776)), 1), I1775))"),"")</f>
        <v/>
      </c>
    </row>
    <row r="1777">
      <c r="A1777" s="2" t="str">
        <f>IFERROR(__xludf.DUMMYFUNCTION("IF('From Order'!$A1777=COLUMNS($A1777:A1796), LEFT(INDEX(FILTER(A$1:A1776, A$1:A1776&lt;&gt;""""),COUNTA(FILTER(A$1:A1776, A$1:A1776&lt;&gt;""""))), LEN(INDEX(FILTER(A$1:A1776, A$1:A1776&lt;&gt;""""),COUNTA(FILTER(A$1:A1776, A$1:A1776&lt;&gt;""""))))-1), IF('To Order'!$A1777=COL"&amp;"UMNS($A1777:A1796), A1776&amp;RIGHT(INDIRECT(ADDRESS(ROW(A1777)-1, 'From Order'!$A1777)), 1), A1776))"),"ZHZMTDLDSPBFLLWDDVQJPPSS")</f>
        <v>ZHZMTDLDSPBFLLWDDVQJPPSS</v>
      </c>
      <c r="B1777" s="2" t="str">
        <f>IFERROR(__xludf.DUMMYFUNCTION("IF('From Order'!$A1777=COLUMNS($A1777:B1796), LEFT(INDEX(FILTER(B$1:B1776, B$1:B1776&lt;&gt;""""),COUNTA(FILTER(B$1:B1776, B$1:B1776&lt;&gt;""""))), LEN(INDEX(FILTER(B$1:B1776, B$1:B1776&lt;&gt;""""),COUNTA(FILTER(B$1:B1776, B$1:B1776&lt;&gt;""""))))-1), IF('To Order'!$A1777=COL"&amp;"UMNS($A1777:B1796), B1776&amp;RIGHT(INDIRECT(ADDRESS(ROW(B1777)-1, 'From Order'!$A1777)), 1), B1776))"),"GTTJ")</f>
        <v>GTTJ</v>
      </c>
      <c r="C1777" s="2" t="str">
        <f>IFERROR(__xludf.DUMMYFUNCTION("IF('From Order'!$A1777=COLUMNS($A1777:C1796), LEFT(INDEX(FILTER(C$1:C1776, C$1:C1776&lt;&gt;""""),COUNTA(FILTER(C$1:C1776, C$1:C1776&lt;&gt;""""))), LEN(INDEX(FILTER(C$1:C1776, C$1:C1776&lt;&gt;""""),COUNTA(FILTER(C$1:C1776, C$1:C1776&lt;&gt;""""))))-1), IF('To Order'!$A1777=COL"&amp;"UMNS($A1777:C1796), C1776&amp;RIGHT(INDIRECT(ADDRESS(ROW(C1777)-1, 'From Order'!$A1777)), 1), C1776))"),"TQ")</f>
        <v>TQ</v>
      </c>
      <c r="D1777" s="2" t="str">
        <f>IFERROR(__xludf.DUMMYFUNCTION("IF('From Order'!$A1777=COLUMNS($A1777:D1796), LEFT(INDEX(FILTER(D$1:D1776, D$1:D1776&lt;&gt;""""),COUNTA(FILTER(D$1:D1776, D$1:D1776&lt;&gt;""""))), LEN(INDEX(FILTER(D$1:D1776, D$1:D1776&lt;&gt;""""),COUNTA(FILTER(D$1:D1776, D$1:D1776&lt;&gt;""""))))-1), IF('To Order'!$A1777=COL"&amp;"UMNS($A1777:D1796), D1776&amp;RIGHT(INDIRECT(ADDRESS(ROW(D1777)-1, 'From Order'!$A1777)), 1), D1776))"),"RBRTCVDRGBHFSCZWT")</f>
        <v>RBRTCVDRGBHFSCZWT</v>
      </c>
      <c r="E1777" s="2" t="str">
        <f>IFERROR(__xludf.DUMMYFUNCTION("IF('From Order'!$A1777=COLUMNS($A1777:E1796), LEFT(INDEX(FILTER(E$1:E1776, E$1:E1776&lt;&gt;""""),COUNTA(FILTER(E$1:E1776, E$1:E1776&lt;&gt;""""))), LEN(INDEX(FILTER(E$1:E1776, E$1:E1776&lt;&gt;""""),COUNTA(FILTER(E$1:E1776, E$1:E1776&lt;&gt;""""))))-1), IF('To Order'!$A1777=COL"&amp;"UMNS($A1777:E1796), E1776&amp;RIGHT(INDIRECT(ADDRESS(ROW(E1777)-1, 'From Order'!$A1777)), 1), E1776))"),"C")</f>
        <v>C</v>
      </c>
      <c r="F1777" s="2" t="str">
        <f>IFERROR(__xludf.DUMMYFUNCTION("IF('From Order'!$A1777=COLUMNS($A1777:F1796), LEFT(INDEX(FILTER(F$1:F1776, F$1:F1776&lt;&gt;""""),COUNTA(FILTER(F$1:F1776, F$1:F1776&lt;&gt;""""))), LEN(INDEX(FILTER(F$1:F1776, F$1:F1776&lt;&gt;""""),COUNTA(FILTER(F$1:F1776, F$1:F1776&lt;&gt;""""))))-1), IF('To Order'!$A1777=COL"&amp;"UMNS($A1777:F1796), F1776&amp;RIGHT(INDIRECT(ADDRESS(ROW(F1777)-1, 'From Order'!$A1777)), 1), F1776))"),"")</f>
        <v/>
      </c>
      <c r="G1777" s="2" t="str">
        <f>IFERROR(__xludf.DUMMYFUNCTION("IF('From Order'!$A1777=COLUMNS($A1777:G1796), LEFT(INDEX(FILTER(G$1:G1776, G$1:G1776&lt;&gt;""""),COUNTA(FILTER(G$1:G1776, G$1:G1776&lt;&gt;""""))), LEN(INDEX(FILTER(G$1:G1776, G$1:G1776&lt;&gt;""""),COUNTA(FILTER(G$1:G1776, G$1:G1776&lt;&gt;""""))))-1), IF('To Order'!$A1777=COL"&amp;"UMNS($A1777:G1796), G1776&amp;RIGHT(INDIRECT(ADDRESS(ROW(G1777)-1, 'From Order'!$A1777)), 1), G1776))"),"MDJMBVRR")</f>
        <v>MDJMBVRR</v>
      </c>
      <c r="H1777" s="2" t="str">
        <f>IFERROR(__xludf.DUMMYFUNCTION("IF('From Order'!$A1777=COLUMNS($A1777:H1796), LEFT(INDEX(FILTER(H$1:H1776, H$1:H1776&lt;&gt;""""),COUNTA(FILTER(H$1:H1776, H$1:H1776&lt;&gt;""""))), LEN(INDEX(FILTER(H$1:H1776, H$1:H1776&lt;&gt;""""),COUNTA(FILTER(H$1:H1776, H$1:H1776&lt;&gt;""""))))-1), IF('To Order'!$A1777=COL"&amp;"UMNS($A1777:H1796), H1776&amp;RIGHT(INDIRECT(ADDRESS(ROW(H1777)-1, 'From Order'!$A1777)), 1), H1776))"),"")</f>
        <v/>
      </c>
      <c r="I1777" s="2" t="str">
        <f>IFERROR(__xludf.DUMMYFUNCTION("IF('From Order'!$A1777=COLUMNS($A1777:I1796), LEFT(INDEX(FILTER(I$1:I1776, I$1:I1776&lt;&gt;""""),COUNTA(FILTER(I$1:I1776, I$1:I1776&lt;&gt;""""))), LEN(INDEX(FILTER(I$1:I1776, I$1:I1776&lt;&gt;""""),COUNTA(FILTER(I$1:I1776, I$1:I1776&lt;&gt;""""))))-1), IF('To Order'!$A1777=COL"&amp;"UMNS($A1777:I1796), I1776&amp;RIGHT(INDIRECT(ADDRESS(ROW(I1777)-1, 'From Order'!$A1777)), 1), I1776))"),"")</f>
        <v/>
      </c>
    </row>
    <row r="1778">
      <c r="A1778" s="2" t="str">
        <f>IFERROR(__xludf.DUMMYFUNCTION("IF('From Order'!$A1778=COLUMNS($A1778:A1797), LEFT(INDEX(FILTER(A$1:A1777, A$1:A1777&lt;&gt;""""),COUNTA(FILTER(A$1:A1777, A$1:A1777&lt;&gt;""""))), LEN(INDEX(FILTER(A$1:A1777, A$1:A1777&lt;&gt;""""),COUNTA(FILTER(A$1:A1777, A$1:A1777&lt;&gt;""""))))-1), IF('To Order'!$A1778=COL"&amp;"UMNS($A1778:A1797), A1777&amp;RIGHT(INDIRECT(ADDRESS(ROW(A1778)-1, 'From Order'!$A1778)), 1), A1777))"),"ZHZMTDLDSPBFLLWDDVQJPPSST")</f>
        <v>ZHZMTDLDSPBFLLWDDVQJPPSST</v>
      </c>
      <c r="B1778" s="2" t="str">
        <f>IFERROR(__xludf.DUMMYFUNCTION("IF('From Order'!$A1778=COLUMNS($A1778:B1797), LEFT(INDEX(FILTER(B$1:B1777, B$1:B1777&lt;&gt;""""),COUNTA(FILTER(B$1:B1777, B$1:B1777&lt;&gt;""""))), LEN(INDEX(FILTER(B$1:B1777, B$1:B1777&lt;&gt;""""),COUNTA(FILTER(B$1:B1777, B$1:B1777&lt;&gt;""""))))-1), IF('To Order'!$A1778=COL"&amp;"UMNS($A1778:B1797), B1777&amp;RIGHT(INDIRECT(ADDRESS(ROW(B1778)-1, 'From Order'!$A1778)), 1), B1777))"),"GTTJ")</f>
        <v>GTTJ</v>
      </c>
      <c r="C1778" s="2" t="str">
        <f>IFERROR(__xludf.DUMMYFUNCTION("IF('From Order'!$A1778=COLUMNS($A1778:C1797), LEFT(INDEX(FILTER(C$1:C1777, C$1:C1777&lt;&gt;""""),COUNTA(FILTER(C$1:C1777, C$1:C1777&lt;&gt;""""))), LEN(INDEX(FILTER(C$1:C1777, C$1:C1777&lt;&gt;""""),COUNTA(FILTER(C$1:C1777, C$1:C1777&lt;&gt;""""))))-1), IF('To Order'!$A1778=COL"&amp;"UMNS($A1778:C1797), C1777&amp;RIGHT(INDIRECT(ADDRESS(ROW(C1778)-1, 'From Order'!$A1778)), 1), C1777))"),"TQ")</f>
        <v>TQ</v>
      </c>
      <c r="D1778" s="2" t="str">
        <f>IFERROR(__xludf.DUMMYFUNCTION("IF('From Order'!$A1778=COLUMNS($A1778:D1797), LEFT(INDEX(FILTER(D$1:D1777, D$1:D1777&lt;&gt;""""),COUNTA(FILTER(D$1:D1777, D$1:D1777&lt;&gt;""""))), LEN(INDEX(FILTER(D$1:D1777, D$1:D1777&lt;&gt;""""),COUNTA(FILTER(D$1:D1777, D$1:D1777&lt;&gt;""""))))-1), IF('To Order'!$A1778=COL"&amp;"UMNS($A1778:D1797), D1777&amp;RIGHT(INDIRECT(ADDRESS(ROW(D1778)-1, 'From Order'!$A1778)), 1), D1777))"),"RBRTCVDRGBHFSCZW")</f>
        <v>RBRTCVDRGBHFSCZW</v>
      </c>
      <c r="E1778" s="2" t="str">
        <f>IFERROR(__xludf.DUMMYFUNCTION("IF('From Order'!$A1778=COLUMNS($A1778:E1797), LEFT(INDEX(FILTER(E$1:E1777, E$1:E1777&lt;&gt;""""),COUNTA(FILTER(E$1:E1777, E$1:E1777&lt;&gt;""""))), LEN(INDEX(FILTER(E$1:E1777, E$1:E1777&lt;&gt;""""),COUNTA(FILTER(E$1:E1777, E$1:E1777&lt;&gt;""""))))-1), IF('To Order'!$A1778=COL"&amp;"UMNS($A1778:E1797), E1777&amp;RIGHT(INDIRECT(ADDRESS(ROW(E1778)-1, 'From Order'!$A1778)), 1), E1777))"),"C")</f>
        <v>C</v>
      </c>
      <c r="F1778" s="2" t="str">
        <f>IFERROR(__xludf.DUMMYFUNCTION("IF('From Order'!$A1778=COLUMNS($A1778:F1797), LEFT(INDEX(FILTER(F$1:F1777, F$1:F1777&lt;&gt;""""),COUNTA(FILTER(F$1:F1777, F$1:F1777&lt;&gt;""""))), LEN(INDEX(FILTER(F$1:F1777, F$1:F1777&lt;&gt;""""),COUNTA(FILTER(F$1:F1777, F$1:F1777&lt;&gt;""""))))-1), IF('To Order'!$A1778=COL"&amp;"UMNS($A1778:F1797), F1777&amp;RIGHT(INDIRECT(ADDRESS(ROW(F1778)-1, 'From Order'!$A1778)), 1), F1777))"),"")</f>
        <v/>
      </c>
      <c r="G1778" s="2" t="str">
        <f>IFERROR(__xludf.DUMMYFUNCTION("IF('From Order'!$A1778=COLUMNS($A1778:G1797), LEFT(INDEX(FILTER(G$1:G1777, G$1:G1777&lt;&gt;""""),COUNTA(FILTER(G$1:G1777, G$1:G1777&lt;&gt;""""))), LEN(INDEX(FILTER(G$1:G1777, G$1:G1777&lt;&gt;""""),COUNTA(FILTER(G$1:G1777, G$1:G1777&lt;&gt;""""))))-1), IF('To Order'!$A1778=COL"&amp;"UMNS($A1778:G1797), G1777&amp;RIGHT(INDIRECT(ADDRESS(ROW(G1778)-1, 'From Order'!$A1778)), 1), G1777))"),"MDJMBVRR")</f>
        <v>MDJMBVRR</v>
      </c>
      <c r="H1778" s="2" t="str">
        <f>IFERROR(__xludf.DUMMYFUNCTION("IF('From Order'!$A1778=COLUMNS($A1778:H1797), LEFT(INDEX(FILTER(H$1:H1777, H$1:H1777&lt;&gt;""""),COUNTA(FILTER(H$1:H1777, H$1:H1777&lt;&gt;""""))), LEN(INDEX(FILTER(H$1:H1777, H$1:H1777&lt;&gt;""""),COUNTA(FILTER(H$1:H1777, H$1:H1777&lt;&gt;""""))))-1), IF('To Order'!$A1778=COL"&amp;"UMNS($A1778:H1797), H1777&amp;RIGHT(INDIRECT(ADDRESS(ROW(H1778)-1, 'From Order'!$A1778)), 1), H1777))"),"")</f>
        <v/>
      </c>
      <c r="I1778" s="2" t="str">
        <f>IFERROR(__xludf.DUMMYFUNCTION("IF('From Order'!$A1778=COLUMNS($A1778:I1797), LEFT(INDEX(FILTER(I$1:I1777, I$1:I1777&lt;&gt;""""),COUNTA(FILTER(I$1:I1777, I$1:I1777&lt;&gt;""""))), LEN(INDEX(FILTER(I$1:I1777, I$1:I1777&lt;&gt;""""),COUNTA(FILTER(I$1:I1777, I$1:I1777&lt;&gt;""""))))-1), IF('To Order'!$A1778=COL"&amp;"UMNS($A1778:I1797), I1777&amp;RIGHT(INDIRECT(ADDRESS(ROW(I1778)-1, 'From Order'!$A1778)), 1), I1777))"),"")</f>
        <v/>
      </c>
    </row>
    <row r="1779">
      <c r="A1779" s="2" t="str">
        <f>IFERROR(__xludf.DUMMYFUNCTION("IF('From Order'!$A1779=COLUMNS($A1779:A1798), LEFT(INDEX(FILTER(A$1:A1778, A$1:A1778&lt;&gt;""""),COUNTA(FILTER(A$1:A1778, A$1:A1778&lt;&gt;""""))), LEN(INDEX(FILTER(A$1:A1778, A$1:A1778&lt;&gt;""""),COUNTA(FILTER(A$1:A1778, A$1:A1778&lt;&gt;""""))))-1), IF('To Order'!$A1779=COL"&amp;"UMNS($A1779:A1798), A1778&amp;RIGHT(INDIRECT(ADDRESS(ROW(A1779)-1, 'From Order'!$A1779)), 1), A1778))"),"ZHZMTDLDSPBFLLWDDVQJPPSSTW")</f>
        <v>ZHZMTDLDSPBFLLWDDVQJPPSSTW</v>
      </c>
      <c r="B1779" s="2" t="str">
        <f>IFERROR(__xludf.DUMMYFUNCTION("IF('From Order'!$A1779=COLUMNS($A1779:B1798), LEFT(INDEX(FILTER(B$1:B1778, B$1:B1778&lt;&gt;""""),COUNTA(FILTER(B$1:B1778, B$1:B1778&lt;&gt;""""))), LEN(INDEX(FILTER(B$1:B1778, B$1:B1778&lt;&gt;""""),COUNTA(FILTER(B$1:B1778, B$1:B1778&lt;&gt;""""))))-1), IF('To Order'!$A1779=COL"&amp;"UMNS($A1779:B1798), B1778&amp;RIGHT(INDIRECT(ADDRESS(ROW(B1779)-1, 'From Order'!$A1779)), 1), B1778))"),"GTTJ")</f>
        <v>GTTJ</v>
      </c>
      <c r="C1779" s="2" t="str">
        <f>IFERROR(__xludf.DUMMYFUNCTION("IF('From Order'!$A1779=COLUMNS($A1779:C1798), LEFT(INDEX(FILTER(C$1:C1778, C$1:C1778&lt;&gt;""""),COUNTA(FILTER(C$1:C1778, C$1:C1778&lt;&gt;""""))), LEN(INDEX(FILTER(C$1:C1778, C$1:C1778&lt;&gt;""""),COUNTA(FILTER(C$1:C1778, C$1:C1778&lt;&gt;""""))))-1), IF('To Order'!$A1779=COL"&amp;"UMNS($A1779:C1798), C1778&amp;RIGHT(INDIRECT(ADDRESS(ROW(C1779)-1, 'From Order'!$A1779)), 1), C1778))"),"TQ")</f>
        <v>TQ</v>
      </c>
      <c r="D1779" s="2" t="str">
        <f>IFERROR(__xludf.DUMMYFUNCTION("IF('From Order'!$A1779=COLUMNS($A1779:D1798), LEFT(INDEX(FILTER(D$1:D1778, D$1:D1778&lt;&gt;""""),COUNTA(FILTER(D$1:D1778, D$1:D1778&lt;&gt;""""))), LEN(INDEX(FILTER(D$1:D1778, D$1:D1778&lt;&gt;""""),COUNTA(FILTER(D$1:D1778, D$1:D1778&lt;&gt;""""))))-1), IF('To Order'!$A1779=COL"&amp;"UMNS($A1779:D1798), D1778&amp;RIGHT(INDIRECT(ADDRESS(ROW(D1779)-1, 'From Order'!$A1779)), 1), D1778))"),"RBRTCVDRGBHFSCZ")</f>
        <v>RBRTCVDRGBHFSCZ</v>
      </c>
      <c r="E1779" s="2" t="str">
        <f>IFERROR(__xludf.DUMMYFUNCTION("IF('From Order'!$A1779=COLUMNS($A1779:E1798), LEFT(INDEX(FILTER(E$1:E1778, E$1:E1778&lt;&gt;""""),COUNTA(FILTER(E$1:E1778, E$1:E1778&lt;&gt;""""))), LEN(INDEX(FILTER(E$1:E1778, E$1:E1778&lt;&gt;""""),COUNTA(FILTER(E$1:E1778, E$1:E1778&lt;&gt;""""))))-1), IF('To Order'!$A1779=COL"&amp;"UMNS($A1779:E1798), E1778&amp;RIGHT(INDIRECT(ADDRESS(ROW(E1779)-1, 'From Order'!$A1779)), 1), E1778))"),"C")</f>
        <v>C</v>
      </c>
      <c r="F1779" s="2" t="str">
        <f>IFERROR(__xludf.DUMMYFUNCTION("IF('From Order'!$A1779=COLUMNS($A1779:F1798), LEFT(INDEX(FILTER(F$1:F1778, F$1:F1778&lt;&gt;""""),COUNTA(FILTER(F$1:F1778, F$1:F1778&lt;&gt;""""))), LEN(INDEX(FILTER(F$1:F1778, F$1:F1778&lt;&gt;""""),COUNTA(FILTER(F$1:F1778, F$1:F1778&lt;&gt;""""))))-1), IF('To Order'!$A1779=COL"&amp;"UMNS($A1779:F1798), F1778&amp;RIGHT(INDIRECT(ADDRESS(ROW(F1779)-1, 'From Order'!$A1779)), 1), F1778))"),"")</f>
        <v/>
      </c>
      <c r="G1779" s="2" t="str">
        <f>IFERROR(__xludf.DUMMYFUNCTION("IF('From Order'!$A1779=COLUMNS($A1779:G1798), LEFT(INDEX(FILTER(G$1:G1778, G$1:G1778&lt;&gt;""""),COUNTA(FILTER(G$1:G1778, G$1:G1778&lt;&gt;""""))), LEN(INDEX(FILTER(G$1:G1778, G$1:G1778&lt;&gt;""""),COUNTA(FILTER(G$1:G1778, G$1:G1778&lt;&gt;""""))))-1), IF('To Order'!$A1779=COL"&amp;"UMNS($A1779:G1798), G1778&amp;RIGHT(INDIRECT(ADDRESS(ROW(G1779)-1, 'From Order'!$A1779)), 1), G1778))"),"MDJMBVRR")</f>
        <v>MDJMBVRR</v>
      </c>
      <c r="H1779" s="2" t="str">
        <f>IFERROR(__xludf.DUMMYFUNCTION("IF('From Order'!$A1779=COLUMNS($A1779:H1798), LEFT(INDEX(FILTER(H$1:H1778, H$1:H1778&lt;&gt;""""),COUNTA(FILTER(H$1:H1778, H$1:H1778&lt;&gt;""""))), LEN(INDEX(FILTER(H$1:H1778, H$1:H1778&lt;&gt;""""),COUNTA(FILTER(H$1:H1778, H$1:H1778&lt;&gt;""""))))-1), IF('To Order'!$A1779=COL"&amp;"UMNS($A1779:H1798), H1778&amp;RIGHT(INDIRECT(ADDRESS(ROW(H1779)-1, 'From Order'!$A1779)), 1), H1778))"),"")</f>
        <v/>
      </c>
      <c r="I1779" s="2" t="str">
        <f>IFERROR(__xludf.DUMMYFUNCTION("IF('From Order'!$A1779=COLUMNS($A1779:I1798), LEFT(INDEX(FILTER(I$1:I1778, I$1:I1778&lt;&gt;""""),COUNTA(FILTER(I$1:I1778, I$1:I1778&lt;&gt;""""))), LEN(INDEX(FILTER(I$1:I1778, I$1:I1778&lt;&gt;""""),COUNTA(FILTER(I$1:I1778, I$1:I1778&lt;&gt;""""))))-1), IF('To Order'!$A1779=COL"&amp;"UMNS($A1779:I1798), I1778&amp;RIGHT(INDIRECT(ADDRESS(ROW(I1779)-1, 'From Order'!$A1779)), 1), I1778))"),"")</f>
        <v/>
      </c>
    </row>
    <row r="1780">
      <c r="A1780" s="2" t="str">
        <f>IFERROR(__xludf.DUMMYFUNCTION("IF('From Order'!$A1780=COLUMNS($A1780:A1799), LEFT(INDEX(FILTER(A$1:A1779, A$1:A1779&lt;&gt;""""),COUNTA(FILTER(A$1:A1779, A$1:A1779&lt;&gt;""""))), LEN(INDEX(FILTER(A$1:A1779, A$1:A1779&lt;&gt;""""),COUNTA(FILTER(A$1:A1779, A$1:A1779&lt;&gt;""""))))-1), IF('To Order'!$A1780=COL"&amp;"UMNS($A1780:A1799), A1779&amp;RIGHT(INDIRECT(ADDRESS(ROW(A1780)-1, 'From Order'!$A1780)), 1), A1779))"),"ZHZMTDLDSPBFLLWDDVQJPPSSTWZ")</f>
        <v>ZHZMTDLDSPBFLLWDDVQJPPSSTWZ</v>
      </c>
      <c r="B1780" s="2" t="str">
        <f>IFERROR(__xludf.DUMMYFUNCTION("IF('From Order'!$A1780=COLUMNS($A1780:B1799), LEFT(INDEX(FILTER(B$1:B1779, B$1:B1779&lt;&gt;""""),COUNTA(FILTER(B$1:B1779, B$1:B1779&lt;&gt;""""))), LEN(INDEX(FILTER(B$1:B1779, B$1:B1779&lt;&gt;""""),COUNTA(FILTER(B$1:B1779, B$1:B1779&lt;&gt;""""))))-1), IF('To Order'!$A1780=COL"&amp;"UMNS($A1780:B1799), B1779&amp;RIGHT(INDIRECT(ADDRESS(ROW(B1780)-1, 'From Order'!$A1780)), 1), B1779))"),"GTTJ")</f>
        <v>GTTJ</v>
      </c>
      <c r="C1780" s="2" t="str">
        <f>IFERROR(__xludf.DUMMYFUNCTION("IF('From Order'!$A1780=COLUMNS($A1780:C1799), LEFT(INDEX(FILTER(C$1:C1779, C$1:C1779&lt;&gt;""""),COUNTA(FILTER(C$1:C1779, C$1:C1779&lt;&gt;""""))), LEN(INDEX(FILTER(C$1:C1779, C$1:C1779&lt;&gt;""""),COUNTA(FILTER(C$1:C1779, C$1:C1779&lt;&gt;""""))))-1), IF('To Order'!$A1780=COL"&amp;"UMNS($A1780:C1799), C1779&amp;RIGHT(INDIRECT(ADDRESS(ROW(C1780)-1, 'From Order'!$A1780)), 1), C1779))"),"TQ")</f>
        <v>TQ</v>
      </c>
      <c r="D1780" s="2" t="str">
        <f>IFERROR(__xludf.DUMMYFUNCTION("IF('From Order'!$A1780=COLUMNS($A1780:D1799), LEFT(INDEX(FILTER(D$1:D1779, D$1:D1779&lt;&gt;""""),COUNTA(FILTER(D$1:D1779, D$1:D1779&lt;&gt;""""))), LEN(INDEX(FILTER(D$1:D1779, D$1:D1779&lt;&gt;""""),COUNTA(FILTER(D$1:D1779, D$1:D1779&lt;&gt;""""))))-1), IF('To Order'!$A1780=COL"&amp;"UMNS($A1780:D1799), D1779&amp;RIGHT(INDIRECT(ADDRESS(ROW(D1780)-1, 'From Order'!$A1780)), 1), D1779))"),"RBRTCVDRGBHFSC")</f>
        <v>RBRTCVDRGBHFSC</v>
      </c>
      <c r="E1780" s="2" t="str">
        <f>IFERROR(__xludf.DUMMYFUNCTION("IF('From Order'!$A1780=COLUMNS($A1780:E1799), LEFT(INDEX(FILTER(E$1:E1779, E$1:E1779&lt;&gt;""""),COUNTA(FILTER(E$1:E1779, E$1:E1779&lt;&gt;""""))), LEN(INDEX(FILTER(E$1:E1779, E$1:E1779&lt;&gt;""""),COUNTA(FILTER(E$1:E1779, E$1:E1779&lt;&gt;""""))))-1), IF('To Order'!$A1780=COL"&amp;"UMNS($A1780:E1799), E1779&amp;RIGHT(INDIRECT(ADDRESS(ROW(E1780)-1, 'From Order'!$A1780)), 1), E1779))"),"C")</f>
        <v>C</v>
      </c>
      <c r="F1780" s="2" t="str">
        <f>IFERROR(__xludf.DUMMYFUNCTION("IF('From Order'!$A1780=COLUMNS($A1780:F1799), LEFT(INDEX(FILTER(F$1:F1779, F$1:F1779&lt;&gt;""""),COUNTA(FILTER(F$1:F1779, F$1:F1779&lt;&gt;""""))), LEN(INDEX(FILTER(F$1:F1779, F$1:F1779&lt;&gt;""""),COUNTA(FILTER(F$1:F1779, F$1:F1779&lt;&gt;""""))))-1), IF('To Order'!$A1780=COL"&amp;"UMNS($A1780:F1799), F1779&amp;RIGHT(INDIRECT(ADDRESS(ROW(F1780)-1, 'From Order'!$A1780)), 1), F1779))"),"")</f>
        <v/>
      </c>
      <c r="G1780" s="2" t="str">
        <f>IFERROR(__xludf.DUMMYFUNCTION("IF('From Order'!$A1780=COLUMNS($A1780:G1799), LEFT(INDEX(FILTER(G$1:G1779, G$1:G1779&lt;&gt;""""),COUNTA(FILTER(G$1:G1779, G$1:G1779&lt;&gt;""""))), LEN(INDEX(FILTER(G$1:G1779, G$1:G1779&lt;&gt;""""),COUNTA(FILTER(G$1:G1779, G$1:G1779&lt;&gt;""""))))-1), IF('To Order'!$A1780=COL"&amp;"UMNS($A1780:G1799), G1779&amp;RIGHT(INDIRECT(ADDRESS(ROW(G1780)-1, 'From Order'!$A1780)), 1), G1779))"),"MDJMBVRR")</f>
        <v>MDJMBVRR</v>
      </c>
      <c r="H1780" s="2" t="str">
        <f>IFERROR(__xludf.DUMMYFUNCTION("IF('From Order'!$A1780=COLUMNS($A1780:H1799), LEFT(INDEX(FILTER(H$1:H1779, H$1:H1779&lt;&gt;""""),COUNTA(FILTER(H$1:H1779, H$1:H1779&lt;&gt;""""))), LEN(INDEX(FILTER(H$1:H1779, H$1:H1779&lt;&gt;""""),COUNTA(FILTER(H$1:H1779, H$1:H1779&lt;&gt;""""))))-1), IF('To Order'!$A1780=COL"&amp;"UMNS($A1780:H1799), H1779&amp;RIGHT(INDIRECT(ADDRESS(ROW(H1780)-1, 'From Order'!$A1780)), 1), H1779))"),"")</f>
        <v/>
      </c>
      <c r="I1780" s="2" t="str">
        <f>IFERROR(__xludf.DUMMYFUNCTION("IF('From Order'!$A1780=COLUMNS($A1780:I1799), LEFT(INDEX(FILTER(I$1:I1779, I$1:I1779&lt;&gt;""""),COUNTA(FILTER(I$1:I1779, I$1:I1779&lt;&gt;""""))), LEN(INDEX(FILTER(I$1:I1779, I$1:I1779&lt;&gt;""""),COUNTA(FILTER(I$1:I1779, I$1:I1779&lt;&gt;""""))))-1), IF('To Order'!$A1780=COL"&amp;"UMNS($A1780:I1799), I1779&amp;RIGHT(INDIRECT(ADDRESS(ROW(I1780)-1, 'From Order'!$A1780)), 1), I1779))"),"")</f>
        <v/>
      </c>
    </row>
    <row r="1781">
      <c r="A1781" s="2" t="str">
        <f>IFERROR(__xludf.DUMMYFUNCTION("IF('From Order'!$A1781=COLUMNS($A1781:A1800), LEFT(INDEX(FILTER(A$1:A1780, A$1:A1780&lt;&gt;""""),COUNTA(FILTER(A$1:A1780, A$1:A1780&lt;&gt;""""))), LEN(INDEX(FILTER(A$1:A1780, A$1:A1780&lt;&gt;""""),COUNTA(FILTER(A$1:A1780, A$1:A1780&lt;&gt;""""))))-1), IF('To Order'!$A1781=COL"&amp;"UMNS($A1781:A1800), A1780&amp;RIGHT(INDIRECT(ADDRESS(ROW(A1781)-1, 'From Order'!$A1781)), 1), A1780))"),"ZHZMTDLDSPBFLLWDDVQJPPSSTWZC")</f>
        <v>ZHZMTDLDSPBFLLWDDVQJPPSSTWZC</v>
      </c>
      <c r="B1781" s="2" t="str">
        <f>IFERROR(__xludf.DUMMYFUNCTION("IF('From Order'!$A1781=COLUMNS($A1781:B1800), LEFT(INDEX(FILTER(B$1:B1780, B$1:B1780&lt;&gt;""""),COUNTA(FILTER(B$1:B1780, B$1:B1780&lt;&gt;""""))), LEN(INDEX(FILTER(B$1:B1780, B$1:B1780&lt;&gt;""""),COUNTA(FILTER(B$1:B1780, B$1:B1780&lt;&gt;""""))))-1), IF('To Order'!$A1781=COL"&amp;"UMNS($A1781:B1800), B1780&amp;RIGHT(INDIRECT(ADDRESS(ROW(B1781)-1, 'From Order'!$A1781)), 1), B1780))"),"GTTJ")</f>
        <v>GTTJ</v>
      </c>
      <c r="C1781" s="2" t="str">
        <f>IFERROR(__xludf.DUMMYFUNCTION("IF('From Order'!$A1781=COLUMNS($A1781:C1800), LEFT(INDEX(FILTER(C$1:C1780, C$1:C1780&lt;&gt;""""),COUNTA(FILTER(C$1:C1780, C$1:C1780&lt;&gt;""""))), LEN(INDEX(FILTER(C$1:C1780, C$1:C1780&lt;&gt;""""),COUNTA(FILTER(C$1:C1780, C$1:C1780&lt;&gt;""""))))-1), IF('To Order'!$A1781=COL"&amp;"UMNS($A1781:C1800), C1780&amp;RIGHT(INDIRECT(ADDRESS(ROW(C1781)-1, 'From Order'!$A1781)), 1), C1780))"),"TQ")</f>
        <v>TQ</v>
      </c>
      <c r="D1781" s="2" t="str">
        <f>IFERROR(__xludf.DUMMYFUNCTION("IF('From Order'!$A1781=COLUMNS($A1781:D1800), LEFT(INDEX(FILTER(D$1:D1780, D$1:D1780&lt;&gt;""""),COUNTA(FILTER(D$1:D1780, D$1:D1780&lt;&gt;""""))), LEN(INDEX(FILTER(D$1:D1780, D$1:D1780&lt;&gt;""""),COUNTA(FILTER(D$1:D1780, D$1:D1780&lt;&gt;""""))))-1), IF('To Order'!$A1781=COL"&amp;"UMNS($A1781:D1800), D1780&amp;RIGHT(INDIRECT(ADDRESS(ROW(D1781)-1, 'From Order'!$A1781)), 1), D1780))"),"RBRTCVDRGBHFS")</f>
        <v>RBRTCVDRGBHFS</v>
      </c>
      <c r="E1781" s="2" t="str">
        <f>IFERROR(__xludf.DUMMYFUNCTION("IF('From Order'!$A1781=COLUMNS($A1781:E1800), LEFT(INDEX(FILTER(E$1:E1780, E$1:E1780&lt;&gt;""""),COUNTA(FILTER(E$1:E1780, E$1:E1780&lt;&gt;""""))), LEN(INDEX(FILTER(E$1:E1780, E$1:E1780&lt;&gt;""""),COUNTA(FILTER(E$1:E1780, E$1:E1780&lt;&gt;""""))))-1), IF('To Order'!$A1781=COL"&amp;"UMNS($A1781:E1800), E1780&amp;RIGHT(INDIRECT(ADDRESS(ROW(E1781)-1, 'From Order'!$A1781)), 1), E1780))"),"C")</f>
        <v>C</v>
      </c>
      <c r="F1781" s="2" t="str">
        <f>IFERROR(__xludf.DUMMYFUNCTION("IF('From Order'!$A1781=COLUMNS($A1781:F1800), LEFT(INDEX(FILTER(F$1:F1780, F$1:F1780&lt;&gt;""""),COUNTA(FILTER(F$1:F1780, F$1:F1780&lt;&gt;""""))), LEN(INDEX(FILTER(F$1:F1780, F$1:F1780&lt;&gt;""""),COUNTA(FILTER(F$1:F1780, F$1:F1780&lt;&gt;""""))))-1), IF('To Order'!$A1781=COL"&amp;"UMNS($A1781:F1800), F1780&amp;RIGHT(INDIRECT(ADDRESS(ROW(F1781)-1, 'From Order'!$A1781)), 1), F1780))"),"")</f>
        <v/>
      </c>
      <c r="G1781" s="2" t="str">
        <f>IFERROR(__xludf.DUMMYFUNCTION("IF('From Order'!$A1781=COLUMNS($A1781:G1800), LEFT(INDEX(FILTER(G$1:G1780, G$1:G1780&lt;&gt;""""),COUNTA(FILTER(G$1:G1780, G$1:G1780&lt;&gt;""""))), LEN(INDEX(FILTER(G$1:G1780, G$1:G1780&lt;&gt;""""),COUNTA(FILTER(G$1:G1780, G$1:G1780&lt;&gt;""""))))-1), IF('To Order'!$A1781=COL"&amp;"UMNS($A1781:G1800), G1780&amp;RIGHT(INDIRECT(ADDRESS(ROW(G1781)-1, 'From Order'!$A1781)), 1), G1780))"),"MDJMBVRR")</f>
        <v>MDJMBVRR</v>
      </c>
      <c r="H1781" s="2" t="str">
        <f>IFERROR(__xludf.DUMMYFUNCTION("IF('From Order'!$A1781=COLUMNS($A1781:H1800), LEFT(INDEX(FILTER(H$1:H1780, H$1:H1780&lt;&gt;""""),COUNTA(FILTER(H$1:H1780, H$1:H1780&lt;&gt;""""))), LEN(INDEX(FILTER(H$1:H1780, H$1:H1780&lt;&gt;""""),COUNTA(FILTER(H$1:H1780, H$1:H1780&lt;&gt;""""))))-1), IF('To Order'!$A1781=COL"&amp;"UMNS($A1781:H1800), H1780&amp;RIGHT(INDIRECT(ADDRESS(ROW(H1781)-1, 'From Order'!$A1781)), 1), H1780))"),"")</f>
        <v/>
      </c>
      <c r="I1781" s="2" t="str">
        <f>IFERROR(__xludf.DUMMYFUNCTION("IF('From Order'!$A1781=COLUMNS($A1781:I1800), LEFT(INDEX(FILTER(I$1:I1780, I$1:I1780&lt;&gt;""""),COUNTA(FILTER(I$1:I1780, I$1:I1780&lt;&gt;""""))), LEN(INDEX(FILTER(I$1:I1780, I$1:I1780&lt;&gt;""""),COUNTA(FILTER(I$1:I1780, I$1:I1780&lt;&gt;""""))))-1), IF('To Order'!$A1781=COL"&amp;"UMNS($A1781:I1800), I1780&amp;RIGHT(INDIRECT(ADDRESS(ROW(I1781)-1, 'From Order'!$A1781)), 1), I1780))"),"")</f>
        <v/>
      </c>
    </row>
    <row r="1782">
      <c r="A1782" s="2" t="str">
        <f>IFERROR(__xludf.DUMMYFUNCTION("IF('From Order'!$A1782=COLUMNS($A1782:A1801), LEFT(INDEX(FILTER(A$1:A1781, A$1:A1781&lt;&gt;""""),COUNTA(FILTER(A$1:A1781, A$1:A1781&lt;&gt;""""))), LEN(INDEX(FILTER(A$1:A1781, A$1:A1781&lt;&gt;""""),COUNTA(FILTER(A$1:A1781, A$1:A1781&lt;&gt;""""))))-1), IF('To Order'!$A1782=COL"&amp;"UMNS($A1782:A1801), A1781&amp;RIGHT(INDIRECT(ADDRESS(ROW(A1782)-1, 'From Order'!$A1782)), 1), A1781))"),"ZHZMTDLDSPBFLLWDDVQJPPSSTWZCS")</f>
        <v>ZHZMTDLDSPBFLLWDDVQJPPSSTWZCS</v>
      </c>
      <c r="B1782" s="2" t="str">
        <f>IFERROR(__xludf.DUMMYFUNCTION("IF('From Order'!$A1782=COLUMNS($A1782:B1801), LEFT(INDEX(FILTER(B$1:B1781, B$1:B1781&lt;&gt;""""),COUNTA(FILTER(B$1:B1781, B$1:B1781&lt;&gt;""""))), LEN(INDEX(FILTER(B$1:B1781, B$1:B1781&lt;&gt;""""),COUNTA(FILTER(B$1:B1781, B$1:B1781&lt;&gt;""""))))-1), IF('To Order'!$A1782=COL"&amp;"UMNS($A1782:B1801), B1781&amp;RIGHT(INDIRECT(ADDRESS(ROW(B1782)-1, 'From Order'!$A1782)), 1), B1781))"),"GTTJ")</f>
        <v>GTTJ</v>
      </c>
      <c r="C1782" s="2" t="str">
        <f>IFERROR(__xludf.DUMMYFUNCTION("IF('From Order'!$A1782=COLUMNS($A1782:C1801), LEFT(INDEX(FILTER(C$1:C1781, C$1:C1781&lt;&gt;""""),COUNTA(FILTER(C$1:C1781, C$1:C1781&lt;&gt;""""))), LEN(INDEX(FILTER(C$1:C1781, C$1:C1781&lt;&gt;""""),COUNTA(FILTER(C$1:C1781, C$1:C1781&lt;&gt;""""))))-1), IF('To Order'!$A1782=COL"&amp;"UMNS($A1782:C1801), C1781&amp;RIGHT(INDIRECT(ADDRESS(ROW(C1782)-1, 'From Order'!$A1782)), 1), C1781))"),"TQ")</f>
        <v>TQ</v>
      </c>
      <c r="D1782" s="2" t="str">
        <f>IFERROR(__xludf.DUMMYFUNCTION("IF('From Order'!$A1782=COLUMNS($A1782:D1801), LEFT(INDEX(FILTER(D$1:D1781, D$1:D1781&lt;&gt;""""),COUNTA(FILTER(D$1:D1781, D$1:D1781&lt;&gt;""""))), LEN(INDEX(FILTER(D$1:D1781, D$1:D1781&lt;&gt;""""),COUNTA(FILTER(D$1:D1781, D$1:D1781&lt;&gt;""""))))-1), IF('To Order'!$A1782=COL"&amp;"UMNS($A1782:D1801), D1781&amp;RIGHT(INDIRECT(ADDRESS(ROW(D1782)-1, 'From Order'!$A1782)), 1), D1781))"),"RBRTCVDRGBHF")</f>
        <v>RBRTCVDRGBHF</v>
      </c>
      <c r="E1782" s="2" t="str">
        <f>IFERROR(__xludf.DUMMYFUNCTION("IF('From Order'!$A1782=COLUMNS($A1782:E1801), LEFT(INDEX(FILTER(E$1:E1781, E$1:E1781&lt;&gt;""""),COUNTA(FILTER(E$1:E1781, E$1:E1781&lt;&gt;""""))), LEN(INDEX(FILTER(E$1:E1781, E$1:E1781&lt;&gt;""""),COUNTA(FILTER(E$1:E1781, E$1:E1781&lt;&gt;""""))))-1), IF('To Order'!$A1782=COL"&amp;"UMNS($A1782:E1801), E1781&amp;RIGHT(INDIRECT(ADDRESS(ROW(E1782)-1, 'From Order'!$A1782)), 1), E1781))"),"C")</f>
        <v>C</v>
      </c>
      <c r="F1782" s="2" t="str">
        <f>IFERROR(__xludf.DUMMYFUNCTION("IF('From Order'!$A1782=COLUMNS($A1782:F1801), LEFT(INDEX(FILTER(F$1:F1781, F$1:F1781&lt;&gt;""""),COUNTA(FILTER(F$1:F1781, F$1:F1781&lt;&gt;""""))), LEN(INDEX(FILTER(F$1:F1781, F$1:F1781&lt;&gt;""""),COUNTA(FILTER(F$1:F1781, F$1:F1781&lt;&gt;""""))))-1), IF('To Order'!$A1782=COL"&amp;"UMNS($A1782:F1801), F1781&amp;RIGHT(INDIRECT(ADDRESS(ROW(F1782)-1, 'From Order'!$A1782)), 1), F1781))"),"")</f>
        <v/>
      </c>
      <c r="G1782" s="2" t="str">
        <f>IFERROR(__xludf.DUMMYFUNCTION("IF('From Order'!$A1782=COLUMNS($A1782:G1801), LEFT(INDEX(FILTER(G$1:G1781, G$1:G1781&lt;&gt;""""),COUNTA(FILTER(G$1:G1781, G$1:G1781&lt;&gt;""""))), LEN(INDEX(FILTER(G$1:G1781, G$1:G1781&lt;&gt;""""),COUNTA(FILTER(G$1:G1781, G$1:G1781&lt;&gt;""""))))-1), IF('To Order'!$A1782=COL"&amp;"UMNS($A1782:G1801), G1781&amp;RIGHT(INDIRECT(ADDRESS(ROW(G1782)-1, 'From Order'!$A1782)), 1), G1781))"),"MDJMBVRR")</f>
        <v>MDJMBVRR</v>
      </c>
      <c r="H1782" s="2" t="str">
        <f>IFERROR(__xludf.DUMMYFUNCTION("IF('From Order'!$A1782=COLUMNS($A1782:H1801), LEFT(INDEX(FILTER(H$1:H1781, H$1:H1781&lt;&gt;""""),COUNTA(FILTER(H$1:H1781, H$1:H1781&lt;&gt;""""))), LEN(INDEX(FILTER(H$1:H1781, H$1:H1781&lt;&gt;""""),COUNTA(FILTER(H$1:H1781, H$1:H1781&lt;&gt;""""))))-1), IF('To Order'!$A1782=COL"&amp;"UMNS($A1782:H1801), H1781&amp;RIGHT(INDIRECT(ADDRESS(ROW(H1782)-1, 'From Order'!$A1782)), 1), H1781))"),"")</f>
        <v/>
      </c>
      <c r="I1782" s="2" t="str">
        <f>IFERROR(__xludf.DUMMYFUNCTION("IF('From Order'!$A1782=COLUMNS($A1782:I1801), LEFT(INDEX(FILTER(I$1:I1781, I$1:I1781&lt;&gt;""""),COUNTA(FILTER(I$1:I1781, I$1:I1781&lt;&gt;""""))), LEN(INDEX(FILTER(I$1:I1781, I$1:I1781&lt;&gt;""""),COUNTA(FILTER(I$1:I1781, I$1:I1781&lt;&gt;""""))))-1), IF('To Order'!$A1782=COL"&amp;"UMNS($A1782:I1801), I1781&amp;RIGHT(INDIRECT(ADDRESS(ROW(I1782)-1, 'From Order'!$A1782)), 1), I1781))"),"")</f>
        <v/>
      </c>
    </row>
    <row r="1783">
      <c r="A1783" s="2" t="str">
        <f>IFERROR(__xludf.DUMMYFUNCTION("IF('From Order'!$A1783=COLUMNS($A1783:A1802), LEFT(INDEX(FILTER(A$1:A1782, A$1:A1782&lt;&gt;""""),COUNTA(FILTER(A$1:A1782, A$1:A1782&lt;&gt;""""))), LEN(INDEX(FILTER(A$1:A1782, A$1:A1782&lt;&gt;""""),COUNTA(FILTER(A$1:A1782, A$1:A1782&lt;&gt;""""))))-1), IF('To Order'!$A1783=COL"&amp;"UMNS($A1783:A1802), A1782&amp;RIGHT(INDIRECT(ADDRESS(ROW(A1783)-1, 'From Order'!$A1783)), 1), A1782))"),"ZHZMTDLDSPBFLLWDDVQJPPSSTWZCSF")</f>
        <v>ZHZMTDLDSPBFLLWDDVQJPPSSTWZCSF</v>
      </c>
      <c r="B1783" s="2" t="str">
        <f>IFERROR(__xludf.DUMMYFUNCTION("IF('From Order'!$A1783=COLUMNS($A1783:B1802), LEFT(INDEX(FILTER(B$1:B1782, B$1:B1782&lt;&gt;""""),COUNTA(FILTER(B$1:B1782, B$1:B1782&lt;&gt;""""))), LEN(INDEX(FILTER(B$1:B1782, B$1:B1782&lt;&gt;""""),COUNTA(FILTER(B$1:B1782, B$1:B1782&lt;&gt;""""))))-1), IF('To Order'!$A1783=COL"&amp;"UMNS($A1783:B1802), B1782&amp;RIGHT(INDIRECT(ADDRESS(ROW(B1783)-1, 'From Order'!$A1783)), 1), B1782))"),"GTTJ")</f>
        <v>GTTJ</v>
      </c>
      <c r="C1783" s="2" t="str">
        <f>IFERROR(__xludf.DUMMYFUNCTION("IF('From Order'!$A1783=COLUMNS($A1783:C1802), LEFT(INDEX(FILTER(C$1:C1782, C$1:C1782&lt;&gt;""""),COUNTA(FILTER(C$1:C1782, C$1:C1782&lt;&gt;""""))), LEN(INDEX(FILTER(C$1:C1782, C$1:C1782&lt;&gt;""""),COUNTA(FILTER(C$1:C1782, C$1:C1782&lt;&gt;""""))))-1), IF('To Order'!$A1783=COL"&amp;"UMNS($A1783:C1802), C1782&amp;RIGHT(INDIRECT(ADDRESS(ROW(C1783)-1, 'From Order'!$A1783)), 1), C1782))"),"TQ")</f>
        <v>TQ</v>
      </c>
      <c r="D1783" s="2" t="str">
        <f>IFERROR(__xludf.DUMMYFUNCTION("IF('From Order'!$A1783=COLUMNS($A1783:D1802), LEFT(INDEX(FILTER(D$1:D1782, D$1:D1782&lt;&gt;""""),COUNTA(FILTER(D$1:D1782, D$1:D1782&lt;&gt;""""))), LEN(INDEX(FILTER(D$1:D1782, D$1:D1782&lt;&gt;""""),COUNTA(FILTER(D$1:D1782, D$1:D1782&lt;&gt;""""))))-1), IF('To Order'!$A1783=COL"&amp;"UMNS($A1783:D1802), D1782&amp;RIGHT(INDIRECT(ADDRESS(ROW(D1783)-1, 'From Order'!$A1783)), 1), D1782))"),"RBRTCVDRGBH")</f>
        <v>RBRTCVDRGBH</v>
      </c>
      <c r="E1783" s="2" t="str">
        <f>IFERROR(__xludf.DUMMYFUNCTION("IF('From Order'!$A1783=COLUMNS($A1783:E1802), LEFT(INDEX(FILTER(E$1:E1782, E$1:E1782&lt;&gt;""""),COUNTA(FILTER(E$1:E1782, E$1:E1782&lt;&gt;""""))), LEN(INDEX(FILTER(E$1:E1782, E$1:E1782&lt;&gt;""""),COUNTA(FILTER(E$1:E1782, E$1:E1782&lt;&gt;""""))))-1), IF('To Order'!$A1783=COL"&amp;"UMNS($A1783:E1802), E1782&amp;RIGHT(INDIRECT(ADDRESS(ROW(E1783)-1, 'From Order'!$A1783)), 1), E1782))"),"C")</f>
        <v>C</v>
      </c>
      <c r="F1783" s="2" t="str">
        <f>IFERROR(__xludf.DUMMYFUNCTION("IF('From Order'!$A1783=COLUMNS($A1783:F1802), LEFT(INDEX(FILTER(F$1:F1782, F$1:F1782&lt;&gt;""""),COUNTA(FILTER(F$1:F1782, F$1:F1782&lt;&gt;""""))), LEN(INDEX(FILTER(F$1:F1782, F$1:F1782&lt;&gt;""""),COUNTA(FILTER(F$1:F1782, F$1:F1782&lt;&gt;""""))))-1), IF('To Order'!$A1783=COL"&amp;"UMNS($A1783:F1802), F1782&amp;RIGHT(INDIRECT(ADDRESS(ROW(F1783)-1, 'From Order'!$A1783)), 1), F1782))"),"")</f>
        <v/>
      </c>
      <c r="G1783" s="2" t="str">
        <f>IFERROR(__xludf.DUMMYFUNCTION("IF('From Order'!$A1783=COLUMNS($A1783:G1802), LEFT(INDEX(FILTER(G$1:G1782, G$1:G1782&lt;&gt;""""),COUNTA(FILTER(G$1:G1782, G$1:G1782&lt;&gt;""""))), LEN(INDEX(FILTER(G$1:G1782, G$1:G1782&lt;&gt;""""),COUNTA(FILTER(G$1:G1782, G$1:G1782&lt;&gt;""""))))-1), IF('To Order'!$A1783=COL"&amp;"UMNS($A1783:G1802), G1782&amp;RIGHT(INDIRECT(ADDRESS(ROW(G1783)-1, 'From Order'!$A1783)), 1), G1782))"),"MDJMBVRR")</f>
        <v>MDJMBVRR</v>
      </c>
      <c r="H1783" s="2" t="str">
        <f>IFERROR(__xludf.DUMMYFUNCTION("IF('From Order'!$A1783=COLUMNS($A1783:H1802), LEFT(INDEX(FILTER(H$1:H1782, H$1:H1782&lt;&gt;""""),COUNTA(FILTER(H$1:H1782, H$1:H1782&lt;&gt;""""))), LEN(INDEX(FILTER(H$1:H1782, H$1:H1782&lt;&gt;""""),COUNTA(FILTER(H$1:H1782, H$1:H1782&lt;&gt;""""))))-1), IF('To Order'!$A1783=COL"&amp;"UMNS($A1783:H1802), H1782&amp;RIGHT(INDIRECT(ADDRESS(ROW(H1783)-1, 'From Order'!$A1783)), 1), H1782))"),"")</f>
        <v/>
      </c>
      <c r="I1783" s="2" t="str">
        <f>IFERROR(__xludf.DUMMYFUNCTION("IF('From Order'!$A1783=COLUMNS($A1783:I1802), LEFT(INDEX(FILTER(I$1:I1782, I$1:I1782&lt;&gt;""""),COUNTA(FILTER(I$1:I1782, I$1:I1782&lt;&gt;""""))), LEN(INDEX(FILTER(I$1:I1782, I$1:I1782&lt;&gt;""""),COUNTA(FILTER(I$1:I1782, I$1:I1782&lt;&gt;""""))))-1), IF('To Order'!$A1783=COL"&amp;"UMNS($A1783:I1802), I1782&amp;RIGHT(INDIRECT(ADDRESS(ROW(I1783)-1, 'From Order'!$A1783)), 1), I1782))"),"")</f>
        <v/>
      </c>
    </row>
    <row r="1784">
      <c r="A1784" s="2" t="str">
        <f>IFERROR(__xludf.DUMMYFUNCTION("IF('From Order'!$A1784=COLUMNS($A1784:A1803), LEFT(INDEX(FILTER(A$1:A1783, A$1:A1783&lt;&gt;""""),COUNTA(FILTER(A$1:A1783, A$1:A1783&lt;&gt;""""))), LEN(INDEX(FILTER(A$1:A1783, A$1:A1783&lt;&gt;""""),COUNTA(FILTER(A$1:A1783, A$1:A1783&lt;&gt;""""))))-1), IF('To Order'!$A1784=COL"&amp;"UMNS($A1784:A1803), A1783&amp;RIGHT(INDIRECT(ADDRESS(ROW(A1784)-1, 'From Order'!$A1784)), 1), A1783))"),"ZHZMTDLDSPBFLLWDDVQJPPSSTWZCSFH")</f>
        <v>ZHZMTDLDSPBFLLWDDVQJPPSSTWZCSFH</v>
      </c>
      <c r="B1784" s="2" t="str">
        <f>IFERROR(__xludf.DUMMYFUNCTION("IF('From Order'!$A1784=COLUMNS($A1784:B1803), LEFT(INDEX(FILTER(B$1:B1783, B$1:B1783&lt;&gt;""""),COUNTA(FILTER(B$1:B1783, B$1:B1783&lt;&gt;""""))), LEN(INDEX(FILTER(B$1:B1783, B$1:B1783&lt;&gt;""""),COUNTA(FILTER(B$1:B1783, B$1:B1783&lt;&gt;""""))))-1), IF('To Order'!$A1784=COL"&amp;"UMNS($A1784:B1803), B1783&amp;RIGHT(INDIRECT(ADDRESS(ROW(B1784)-1, 'From Order'!$A1784)), 1), B1783))"),"GTTJ")</f>
        <v>GTTJ</v>
      </c>
      <c r="C1784" s="2" t="str">
        <f>IFERROR(__xludf.DUMMYFUNCTION("IF('From Order'!$A1784=COLUMNS($A1784:C1803), LEFT(INDEX(FILTER(C$1:C1783, C$1:C1783&lt;&gt;""""),COUNTA(FILTER(C$1:C1783, C$1:C1783&lt;&gt;""""))), LEN(INDEX(FILTER(C$1:C1783, C$1:C1783&lt;&gt;""""),COUNTA(FILTER(C$1:C1783, C$1:C1783&lt;&gt;""""))))-1), IF('To Order'!$A1784=COL"&amp;"UMNS($A1784:C1803), C1783&amp;RIGHT(INDIRECT(ADDRESS(ROW(C1784)-1, 'From Order'!$A1784)), 1), C1783))"),"TQ")</f>
        <v>TQ</v>
      </c>
      <c r="D1784" s="2" t="str">
        <f>IFERROR(__xludf.DUMMYFUNCTION("IF('From Order'!$A1784=COLUMNS($A1784:D1803), LEFT(INDEX(FILTER(D$1:D1783, D$1:D1783&lt;&gt;""""),COUNTA(FILTER(D$1:D1783, D$1:D1783&lt;&gt;""""))), LEN(INDEX(FILTER(D$1:D1783, D$1:D1783&lt;&gt;""""),COUNTA(FILTER(D$1:D1783, D$1:D1783&lt;&gt;""""))))-1), IF('To Order'!$A1784=COL"&amp;"UMNS($A1784:D1803), D1783&amp;RIGHT(INDIRECT(ADDRESS(ROW(D1784)-1, 'From Order'!$A1784)), 1), D1783))"),"RBRTCVDRGB")</f>
        <v>RBRTCVDRGB</v>
      </c>
      <c r="E1784" s="2" t="str">
        <f>IFERROR(__xludf.DUMMYFUNCTION("IF('From Order'!$A1784=COLUMNS($A1784:E1803), LEFT(INDEX(FILTER(E$1:E1783, E$1:E1783&lt;&gt;""""),COUNTA(FILTER(E$1:E1783, E$1:E1783&lt;&gt;""""))), LEN(INDEX(FILTER(E$1:E1783, E$1:E1783&lt;&gt;""""),COUNTA(FILTER(E$1:E1783, E$1:E1783&lt;&gt;""""))))-1), IF('To Order'!$A1784=COL"&amp;"UMNS($A1784:E1803), E1783&amp;RIGHT(INDIRECT(ADDRESS(ROW(E1784)-1, 'From Order'!$A1784)), 1), E1783))"),"C")</f>
        <v>C</v>
      </c>
      <c r="F1784" s="2" t="str">
        <f>IFERROR(__xludf.DUMMYFUNCTION("IF('From Order'!$A1784=COLUMNS($A1784:F1803), LEFT(INDEX(FILTER(F$1:F1783, F$1:F1783&lt;&gt;""""),COUNTA(FILTER(F$1:F1783, F$1:F1783&lt;&gt;""""))), LEN(INDEX(FILTER(F$1:F1783, F$1:F1783&lt;&gt;""""),COUNTA(FILTER(F$1:F1783, F$1:F1783&lt;&gt;""""))))-1), IF('To Order'!$A1784=COL"&amp;"UMNS($A1784:F1803), F1783&amp;RIGHT(INDIRECT(ADDRESS(ROW(F1784)-1, 'From Order'!$A1784)), 1), F1783))"),"")</f>
        <v/>
      </c>
      <c r="G1784" s="2" t="str">
        <f>IFERROR(__xludf.DUMMYFUNCTION("IF('From Order'!$A1784=COLUMNS($A1784:G1803), LEFT(INDEX(FILTER(G$1:G1783, G$1:G1783&lt;&gt;""""),COUNTA(FILTER(G$1:G1783, G$1:G1783&lt;&gt;""""))), LEN(INDEX(FILTER(G$1:G1783, G$1:G1783&lt;&gt;""""),COUNTA(FILTER(G$1:G1783, G$1:G1783&lt;&gt;""""))))-1), IF('To Order'!$A1784=COL"&amp;"UMNS($A1784:G1803), G1783&amp;RIGHT(INDIRECT(ADDRESS(ROW(G1784)-1, 'From Order'!$A1784)), 1), G1783))"),"MDJMBVRR")</f>
        <v>MDJMBVRR</v>
      </c>
      <c r="H1784" s="2" t="str">
        <f>IFERROR(__xludf.DUMMYFUNCTION("IF('From Order'!$A1784=COLUMNS($A1784:H1803), LEFT(INDEX(FILTER(H$1:H1783, H$1:H1783&lt;&gt;""""),COUNTA(FILTER(H$1:H1783, H$1:H1783&lt;&gt;""""))), LEN(INDEX(FILTER(H$1:H1783, H$1:H1783&lt;&gt;""""),COUNTA(FILTER(H$1:H1783, H$1:H1783&lt;&gt;""""))))-1), IF('To Order'!$A1784=COL"&amp;"UMNS($A1784:H1803), H1783&amp;RIGHT(INDIRECT(ADDRESS(ROW(H1784)-1, 'From Order'!$A1784)), 1), H1783))"),"")</f>
        <v/>
      </c>
      <c r="I1784" s="2" t="str">
        <f>IFERROR(__xludf.DUMMYFUNCTION("IF('From Order'!$A1784=COLUMNS($A1784:I1803), LEFT(INDEX(FILTER(I$1:I1783, I$1:I1783&lt;&gt;""""),COUNTA(FILTER(I$1:I1783, I$1:I1783&lt;&gt;""""))), LEN(INDEX(FILTER(I$1:I1783, I$1:I1783&lt;&gt;""""),COUNTA(FILTER(I$1:I1783, I$1:I1783&lt;&gt;""""))))-1), IF('To Order'!$A1784=COL"&amp;"UMNS($A1784:I1803), I1783&amp;RIGHT(INDIRECT(ADDRESS(ROW(I1784)-1, 'From Order'!$A1784)), 1), I1783))"),"")</f>
        <v/>
      </c>
    </row>
    <row r="1785">
      <c r="A1785" s="2" t="str">
        <f>IFERROR(__xludf.DUMMYFUNCTION("IF('From Order'!$A1785=COLUMNS($A1785:A1804), LEFT(INDEX(FILTER(A$1:A1784, A$1:A1784&lt;&gt;""""),COUNTA(FILTER(A$1:A1784, A$1:A1784&lt;&gt;""""))), LEN(INDEX(FILTER(A$1:A1784, A$1:A1784&lt;&gt;""""),COUNTA(FILTER(A$1:A1784, A$1:A1784&lt;&gt;""""))))-1), IF('To Order'!$A1785=COL"&amp;"UMNS($A1785:A1804), A1784&amp;RIGHT(INDIRECT(ADDRESS(ROW(A1785)-1, 'From Order'!$A1785)), 1), A1784))"),"ZHZMTDLDSPBFLLWDDVQJPPSSTWZCSFHB")</f>
        <v>ZHZMTDLDSPBFLLWDDVQJPPSSTWZCSFHB</v>
      </c>
      <c r="B1785" s="2" t="str">
        <f>IFERROR(__xludf.DUMMYFUNCTION("IF('From Order'!$A1785=COLUMNS($A1785:B1804), LEFT(INDEX(FILTER(B$1:B1784, B$1:B1784&lt;&gt;""""),COUNTA(FILTER(B$1:B1784, B$1:B1784&lt;&gt;""""))), LEN(INDEX(FILTER(B$1:B1784, B$1:B1784&lt;&gt;""""),COUNTA(FILTER(B$1:B1784, B$1:B1784&lt;&gt;""""))))-1), IF('To Order'!$A1785=COL"&amp;"UMNS($A1785:B1804), B1784&amp;RIGHT(INDIRECT(ADDRESS(ROW(B1785)-1, 'From Order'!$A1785)), 1), B1784))"),"GTTJ")</f>
        <v>GTTJ</v>
      </c>
      <c r="C1785" s="2" t="str">
        <f>IFERROR(__xludf.DUMMYFUNCTION("IF('From Order'!$A1785=COLUMNS($A1785:C1804), LEFT(INDEX(FILTER(C$1:C1784, C$1:C1784&lt;&gt;""""),COUNTA(FILTER(C$1:C1784, C$1:C1784&lt;&gt;""""))), LEN(INDEX(FILTER(C$1:C1784, C$1:C1784&lt;&gt;""""),COUNTA(FILTER(C$1:C1784, C$1:C1784&lt;&gt;""""))))-1), IF('To Order'!$A1785=COL"&amp;"UMNS($A1785:C1804), C1784&amp;RIGHT(INDIRECT(ADDRESS(ROW(C1785)-1, 'From Order'!$A1785)), 1), C1784))"),"TQ")</f>
        <v>TQ</v>
      </c>
      <c r="D1785" s="2" t="str">
        <f>IFERROR(__xludf.DUMMYFUNCTION("IF('From Order'!$A1785=COLUMNS($A1785:D1804), LEFT(INDEX(FILTER(D$1:D1784, D$1:D1784&lt;&gt;""""),COUNTA(FILTER(D$1:D1784, D$1:D1784&lt;&gt;""""))), LEN(INDEX(FILTER(D$1:D1784, D$1:D1784&lt;&gt;""""),COUNTA(FILTER(D$1:D1784, D$1:D1784&lt;&gt;""""))))-1), IF('To Order'!$A1785=COL"&amp;"UMNS($A1785:D1804), D1784&amp;RIGHT(INDIRECT(ADDRESS(ROW(D1785)-1, 'From Order'!$A1785)), 1), D1784))"),"RBRTCVDRG")</f>
        <v>RBRTCVDRG</v>
      </c>
      <c r="E1785" s="2" t="str">
        <f>IFERROR(__xludf.DUMMYFUNCTION("IF('From Order'!$A1785=COLUMNS($A1785:E1804), LEFT(INDEX(FILTER(E$1:E1784, E$1:E1784&lt;&gt;""""),COUNTA(FILTER(E$1:E1784, E$1:E1784&lt;&gt;""""))), LEN(INDEX(FILTER(E$1:E1784, E$1:E1784&lt;&gt;""""),COUNTA(FILTER(E$1:E1784, E$1:E1784&lt;&gt;""""))))-1), IF('To Order'!$A1785=COL"&amp;"UMNS($A1785:E1804), E1784&amp;RIGHT(INDIRECT(ADDRESS(ROW(E1785)-1, 'From Order'!$A1785)), 1), E1784))"),"C")</f>
        <v>C</v>
      </c>
      <c r="F1785" s="2" t="str">
        <f>IFERROR(__xludf.DUMMYFUNCTION("IF('From Order'!$A1785=COLUMNS($A1785:F1804), LEFT(INDEX(FILTER(F$1:F1784, F$1:F1784&lt;&gt;""""),COUNTA(FILTER(F$1:F1784, F$1:F1784&lt;&gt;""""))), LEN(INDEX(FILTER(F$1:F1784, F$1:F1784&lt;&gt;""""),COUNTA(FILTER(F$1:F1784, F$1:F1784&lt;&gt;""""))))-1), IF('To Order'!$A1785=COL"&amp;"UMNS($A1785:F1804), F1784&amp;RIGHT(INDIRECT(ADDRESS(ROW(F1785)-1, 'From Order'!$A1785)), 1), F1784))"),"")</f>
        <v/>
      </c>
      <c r="G1785" s="2" t="str">
        <f>IFERROR(__xludf.DUMMYFUNCTION("IF('From Order'!$A1785=COLUMNS($A1785:G1804), LEFT(INDEX(FILTER(G$1:G1784, G$1:G1784&lt;&gt;""""),COUNTA(FILTER(G$1:G1784, G$1:G1784&lt;&gt;""""))), LEN(INDEX(FILTER(G$1:G1784, G$1:G1784&lt;&gt;""""),COUNTA(FILTER(G$1:G1784, G$1:G1784&lt;&gt;""""))))-1), IF('To Order'!$A1785=COL"&amp;"UMNS($A1785:G1804), G1784&amp;RIGHT(INDIRECT(ADDRESS(ROW(G1785)-1, 'From Order'!$A1785)), 1), G1784))"),"MDJMBVRR")</f>
        <v>MDJMBVRR</v>
      </c>
      <c r="H1785" s="2" t="str">
        <f>IFERROR(__xludf.DUMMYFUNCTION("IF('From Order'!$A1785=COLUMNS($A1785:H1804), LEFT(INDEX(FILTER(H$1:H1784, H$1:H1784&lt;&gt;""""),COUNTA(FILTER(H$1:H1784, H$1:H1784&lt;&gt;""""))), LEN(INDEX(FILTER(H$1:H1784, H$1:H1784&lt;&gt;""""),COUNTA(FILTER(H$1:H1784, H$1:H1784&lt;&gt;""""))))-1), IF('To Order'!$A1785=COL"&amp;"UMNS($A1785:H1804), H1784&amp;RIGHT(INDIRECT(ADDRESS(ROW(H1785)-1, 'From Order'!$A1785)), 1), H1784))"),"")</f>
        <v/>
      </c>
      <c r="I1785" s="2" t="str">
        <f>IFERROR(__xludf.DUMMYFUNCTION("IF('From Order'!$A1785=COLUMNS($A1785:I1804), LEFT(INDEX(FILTER(I$1:I1784, I$1:I1784&lt;&gt;""""),COUNTA(FILTER(I$1:I1784, I$1:I1784&lt;&gt;""""))), LEN(INDEX(FILTER(I$1:I1784, I$1:I1784&lt;&gt;""""),COUNTA(FILTER(I$1:I1784, I$1:I1784&lt;&gt;""""))))-1), IF('To Order'!$A1785=COL"&amp;"UMNS($A1785:I1804), I1784&amp;RIGHT(INDIRECT(ADDRESS(ROW(I1785)-1, 'From Order'!$A1785)), 1), I1784))"),"")</f>
        <v/>
      </c>
    </row>
    <row r="1786">
      <c r="A1786" s="2" t="str">
        <f>IFERROR(__xludf.DUMMYFUNCTION("IF('From Order'!$A1786=COLUMNS($A1786:A1805), LEFT(INDEX(FILTER(A$1:A1785, A$1:A1785&lt;&gt;""""),COUNTA(FILTER(A$1:A1785, A$1:A1785&lt;&gt;""""))), LEN(INDEX(FILTER(A$1:A1785, A$1:A1785&lt;&gt;""""),COUNTA(FILTER(A$1:A1785, A$1:A1785&lt;&gt;""""))))-1), IF('To Order'!$A1786=COL"&amp;"UMNS($A1786:A1805), A1785&amp;RIGHT(INDIRECT(ADDRESS(ROW(A1786)-1, 'From Order'!$A1786)), 1), A1785))"),"ZHZMTDLDSPBFLLWDDVQJPPSSTWZCSFHBG")</f>
        <v>ZHZMTDLDSPBFLLWDDVQJPPSSTWZCSFHBG</v>
      </c>
      <c r="B1786" s="2" t="str">
        <f>IFERROR(__xludf.DUMMYFUNCTION("IF('From Order'!$A1786=COLUMNS($A1786:B1805), LEFT(INDEX(FILTER(B$1:B1785, B$1:B1785&lt;&gt;""""),COUNTA(FILTER(B$1:B1785, B$1:B1785&lt;&gt;""""))), LEN(INDEX(FILTER(B$1:B1785, B$1:B1785&lt;&gt;""""),COUNTA(FILTER(B$1:B1785, B$1:B1785&lt;&gt;""""))))-1), IF('To Order'!$A1786=COL"&amp;"UMNS($A1786:B1805), B1785&amp;RIGHT(INDIRECT(ADDRESS(ROW(B1786)-1, 'From Order'!$A1786)), 1), B1785))"),"GTTJ")</f>
        <v>GTTJ</v>
      </c>
      <c r="C1786" s="2" t="str">
        <f>IFERROR(__xludf.DUMMYFUNCTION("IF('From Order'!$A1786=COLUMNS($A1786:C1805), LEFT(INDEX(FILTER(C$1:C1785, C$1:C1785&lt;&gt;""""),COUNTA(FILTER(C$1:C1785, C$1:C1785&lt;&gt;""""))), LEN(INDEX(FILTER(C$1:C1785, C$1:C1785&lt;&gt;""""),COUNTA(FILTER(C$1:C1785, C$1:C1785&lt;&gt;""""))))-1), IF('To Order'!$A1786=COL"&amp;"UMNS($A1786:C1805), C1785&amp;RIGHT(INDIRECT(ADDRESS(ROW(C1786)-1, 'From Order'!$A1786)), 1), C1785))"),"TQ")</f>
        <v>TQ</v>
      </c>
      <c r="D1786" s="2" t="str">
        <f>IFERROR(__xludf.DUMMYFUNCTION("IF('From Order'!$A1786=COLUMNS($A1786:D1805), LEFT(INDEX(FILTER(D$1:D1785, D$1:D1785&lt;&gt;""""),COUNTA(FILTER(D$1:D1785, D$1:D1785&lt;&gt;""""))), LEN(INDEX(FILTER(D$1:D1785, D$1:D1785&lt;&gt;""""),COUNTA(FILTER(D$1:D1785, D$1:D1785&lt;&gt;""""))))-1), IF('To Order'!$A1786=COL"&amp;"UMNS($A1786:D1805), D1785&amp;RIGHT(INDIRECT(ADDRESS(ROW(D1786)-1, 'From Order'!$A1786)), 1), D1785))"),"RBRTCVDR")</f>
        <v>RBRTCVDR</v>
      </c>
      <c r="E1786" s="2" t="str">
        <f>IFERROR(__xludf.DUMMYFUNCTION("IF('From Order'!$A1786=COLUMNS($A1786:E1805), LEFT(INDEX(FILTER(E$1:E1785, E$1:E1785&lt;&gt;""""),COUNTA(FILTER(E$1:E1785, E$1:E1785&lt;&gt;""""))), LEN(INDEX(FILTER(E$1:E1785, E$1:E1785&lt;&gt;""""),COUNTA(FILTER(E$1:E1785, E$1:E1785&lt;&gt;""""))))-1), IF('To Order'!$A1786=COL"&amp;"UMNS($A1786:E1805), E1785&amp;RIGHT(INDIRECT(ADDRESS(ROW(E1786)-1, 'From Order'!$A1786)), 1), E1785))"),"C")</f>
        <v>C</v>
      </c>
      <c r="F1786" s="2" t="str">
        <f>IFERROR(__xludf.DUMMYFUNCTION("IF('From Order'!$A1786=COLUMNS($A1786:F1805), LEFT(INDEX(FILTER(F$1:F1785, F$1:F1785&lt;&gt;""""),COUNTA(FILTER(F$1:F1785, F$1:F1785&lt;&gt;""""))), LEN(INDEX(FILTER(F$1:F1785, F$1:F1785&lt;&gt;""""),COUNTA(FILTER(F$1:F1785, F$1:F1785&lt;&gt;""""))))-1), IF('To Order'!$A1786=COL"&amp;"UMNS($A1786:F1805), F1785&amp;RIGHT(INDIRECT(ADDRESS(ROW(F1786)-1, 'From Order'!$A1786)), 1), F1785))"),"")</f>
        <v/>
      </c>
      <c r="G1786" s="2" t="str">
        <f>IFERROR(__xludf.DUMMYFUNCTION("IF('From Order'!$A1786=COLUMNS($A1786:G1805), LEFT(INDEX(FILTER(G$1:G1785, G$1:G1785&lt;&gt;""""),COUNTA(FILTER(G$1:G1785, G$1:G1785&lt;&gt;""""))), LEN(INDEX(FILTER(G$1:G1785, G$1:G1785&lt;&gt;""""),COUNTA(FILTER(G$1:G1785, G$1:G1785&lt;&gt;""""))))-1), IF('To Order'!$A1786=COL"&amp;"UMNS($A1786:G1805), G1785&amp;RIGHT(INDIRECT(ADDRESS(ROW(G1786)-1, 'From Order'!$A1786)), 1), G1785))"),"MDJMBVRR")</f>
        <v>MDJMBVRR</v>
      </c>
      <c r="H1786" s="2" t="str">
        <f>IFERROR(__xludf.DUMMYFUNCTION("IF('From Order'!$A1786=COLUMNS($A1786:H1805), LEFT(INDEX(FILTER(H$1:H1785, H$1:H1785&lt;&gt;""""),COUNTA(FILTER(H$1:H1785, H$1:H1785&lt;&gt;""""))), LEN(INDEX(FILTER(H$1:H1785, H$1:H1785&lt;&gt;""""),COUNTA(FILTER(H$1:H1785, H$1:H1785&lt;&gt;""""))))-1), IF('To Order'!$A1786=COL"&amp;"UMNS($A1786:H1805), H1785&amp;RIGHT(INDIRECT(ADDRESS(ROW(H1786)-1, 'From Order'!$A1786)), 1), H1785))"),"")</f>
        <v/>
      </c>
      <c r="I1786" s="2" t="str">
        <f>IFERROR(__xludf.DUMMYFUNCTION("IF('From Order'!$A1786=COLUMNS($A1786:I1805), LEFT(INDEX(FILTER(I$1:I1785, I$1:I1785&lt;&gt;""""),COUNTA(FILTER(I$1:I1785, I$1:I1785&lt;&gt;""""))), LEN(INDEX(FILTER(I$1:I1785, I$1:I1785&lt;&gt;""""),COUNTA(FILTER(I$1:I1785, I$1:I1785&lt;&gt;""""))))-1), IF('To Order'!$A1786=COL"&amp;"UMNS($A1786:I1805), I1785&amp;RIGHT(INDIRECT(ADDRESS(ROW(I1786)-1, 'From Order'!$A1786)), 1), I1785))"),"")</f>
        <v/>
      </c>
    </row>
    <row r="1787">
      <c r="A1787" s="2" t="str">
        <f>IFERROR(__xludf.DUMMYFUNCTION("IF('From Order'!$A1787=COLUMNS($A1787:A1806), LEFT(INDEX(FILTER(A$1:A1786, A$1:A1786&lt;&gt;""""),COUNTA(FILTER(A$1:A1786, A$1:A1786&lt;&gt;""""))), LEN(INDEX(FILTER(A$1:A1786, A$1:A1786&lt;&gt;""""),COUNTA(FILTER(A$1:A1786, A$1:A1786&lt;&gt;""""))))-1), IF('To Order'!$A1787=COL"&amp;"UMNS($A1787:A1806), A1786&amp;RIGHT(INDIRECT(ADDRESS(ROW(A1787)-1, 'From Order'!$A1787)), 1), A1786))"),"ZHZMTDLDSPBFLLWDDVQJPPSSTWZCSFHBGR")</f>
        <v>ZHZMTDLDSPBFLLWDDVQJPPSSTWZCSFHBGR</v>
      </c>
      <c r="B1787" s="2" t="str">
        <f>IFERROR(__xludf.DUMMYFUNCTION("IF('From Order'!$A1787=COLUMNS($A1787:B1806), LEFT(INDEX(FILTER(B$1:B1786, B$1:B1786&lt;&gt;""""),COUNTA(FILTER(B$1:B1786, B$1:B1786&lt;&gt;""""))), LEN(INDEX(FILTER(B$1:B1786, B$1:B1786&lt;&gt;""""),COUNTA(FILTER(B$1:B1786, B$1:B1786&lt;&gt;""""))))-1), IF('To Order'!$A1787=COL"&amp;"UMNS($A1787:B1806), B1786&amp;RIGHT(INDIRECT(ADDRESS(ROW(B1787)-1, 'From Order'!$A1787)), 1), B1786))"),"GTTJ")</f>
        <v>GTTJ</v>
      </c>
      <c r="C1787" s="2" t="str">
        <f>IFERROR(__xludf.DUMMYFUNCTION("IF('From Order'!$A1787=COLUMNS($A1787:C1806), LEFT(INDEX(FILTER(C$1:C1786, C$1:C1786&lt;&gt;""""),COUNTA(FILTER(C$1:C1786, C$1:C1786&lt;&gt;""""))), LEN(INDEX(FILTER(C$1:C1786, C$1:C1786&lt;&gt;""""),COUNTA(FILTER(C$1:C1786, C$1:C1786&lt;&gt;""""))))-1), IF('To Order'!$A1787=COL"&amp;"UMNS($A1787:C1806), C1786&amp;RIGHT(INDIRECT(ADDRESS(ROW(C1787)-1, 'From Order'!$A1787)), 1), C1786))"),"TQ")</f>
        <v>TQ</v>
      </c>
      <c r="D1787" s="2" t="str">
        <f>IFERROR(__xludf.DUMMYFUNCTION("IF('From Order'!$A1787=COLUMNS($A1787:D1806), LEFT(INDEX(FILTER(D$1:D1786, D$1:D1786&lt;&gt;""""),COUNTA(FILTER(D$1:D1786, D$1:D1786&lt;&gt;""""))), LEN(INDEX(FILTER(D$1:D1786, D$1:D1786&lt;&gt;""""),COUNTA(FILTER(D$1:D1786, D$1:D1786&lt;&gt;""""))))-1), IF('To Order'!$A1787=COL"&amp;"UMNS($A1787:D1806), D1786&amp;RIGHT(INDIRECT(ADDRESS(ROW(D1787)-1, 'From Order'!$A1787)), 1), D1786))"),"RBRTCVD")</f>
        <v>RBRTCVD</v>
      </c>
      <c r="E1787" s="2" t="str">
        <f>IFERROR(__xludf.DUMMYFUNCTION("IF('From Order'!$A1787=COLUMNS($A1787:E1806), LEFT(INDEX(FILTER(E$1:E1786, E$1:E1786&lt;&gt;""""),COUNTA(FILTER(E$1:E1786, E$1:E1786&lt;&gt;""""))), LEN(INDEX(FILTER(E$1:E1786, E$1:E1786&lt;&gt;""""),COUNTA(FILTER(E$1:E1786, E$1:E1786&lt;&gt;""""))))-1), IF('To Order'!$A1787=COL"&amp;"UMNS($A1787:E1806), E1786&amp;RIGHT(INDIRECT(ADDRESS(ROW(E1787)-1, 'From Order'!$A1787)), 1), E1786))"),"C")</f>
        <v>C</v>
      </c>
      <c r="F1787" s="2" t="str">
        <f>IFERROR(__xludf.DUMMYFUNCTION("IF('From Order'!$A1787=COLUMNS($A1787:F1806), LEFT(INDEX(FILTER(F$1:F1786, F$1:F1786&lt;&gt;""""),COUNTA(FILTER(F$1:F1786, F$1:F1786&lt;&gt;""""))), LEN(INDEX(FILTER(F$1:F1786, F$1:F1786&lt;&gt;""""),COUNTA(FILTER(F$1:F1786, F$1:F1786&lt;&gt;""""))))-1), IF('To Order'!$A1787=COL"&amp;"UMNS($A1787:F1806), F1786&amp;RIGHT(INDIRECT(ADDRESS(ROW(F1787)-1, 'From Order'!$A1787)), 1), F1786))"),"")</f>
        <v/>
      </c>
      <c r="G1787" s="2" t="str">
        <f>IFERROR(__xludf.DUMMYFUNCTION("IF('From Order'!$A1787=COLUMNS($A1787:G1806), LEFT(INDEX(FILTER(G$1:G1786, G$1:G1786&lt;&gt;""""),COUNTA(FILTER(G$1:G1786, G$1:G1786&lt;&gt;""""))), LEN(INDEX(FILTER(G$1:G1786, G$1:G1786&lt;&gt;""""),COUNTA(FILTER(G$1:G1786, G$1:G1786&lt;&gt;""""))))-1), IF('To Order'!$A1787=COL"&amp;"UMNS($A1787:G1806), G1786&amp;RIGHT(INDIRECT(ADDRESS(ROW(G1787)-1, 'From Order'!$A1787)), 1), G1786))"),"MDJMBVRR")</f>
        <v>MDJMBVRR</v>
      </c>
      <c r="H1787" s="2" t="str">
        <f>IFERROR(__xludf.DUMMYFUNCTION("IF('From Order'!$A1787=COLUMNS($A1787:H1806), LEFT(INDEX(FILTER(H$1:H1786, H$1:H1786&lt;&gt;""""),COUNTA(FILTER(H$1:H1786, H$1:H1786&lt;&gt;""""))), LEN(INDEX(FILTER(H$1:H1786, H$1:H1786&lt;&gt;""""),COUNTA(FILTER(H$1:H1786, H$1:H1786&lt;&gt;""""))))-1), IF('To Order'!$A1787=COL"&amp;"UMNS($A1787:H1806), H1786&amp;RIGHT(INDIRECT(ADDRESS(ROW(H1787)-1, 'From Order'!$A1787)), 1), H1786))"),"")</f>
        <v/>
      </c>
      <c r="I1787" s="2" t="str">
        <f>IFERROR(__xludf.DUMMYFUNCTION("IF('From Order'!$A1787=COLUMNS($A1787:I1806), LEFT(INDEX(FILTER(I$1:I1786, I$1:I1786&lt;&gt;""""),COUNTA(FILTER(I$1:I1786, I$1:I1786&lt;&gt;""""))), LEN(INDEX(FILTER(I$1:I1786, I$1:I1786&lt;&gt;""""),COUNTA(FILTER(I$1:I1786, I$1:I1786&lt;&gt;""""))))-1), IF('To Order'!$A1787=COL"&amp;"UMNS($A1787:I1806), I1786&amp;RIGHT(INDIRECT(ADDRESS(ROW(I1787)-1, 'From Order'!$A1787)), 1), I1786))"),"")</f>
        <v/>
      </c>
    </row>
    <row r="1788">
      <c r="A1788" s="2" t="str">
        <f>IFERROR(__xludf.DUMMYFUNCTION("IF('From Order'!$A1788=COLUMNS($A1788:A1807), LEFT(INDEX(FILTER(A$1:A1787, A$1:A1787&lt;&gt;""""),COUNTA(FILTER(A$1:A1787, A$1:A1787&lt;&gt;""""))), LEN(INDEX(FILTER(A$1:A1787, A$1:A1787&lt;&gt;""""),COUNTA(FILTER(A$1:A1787, A$1:A1787&lt;&gt;""""))))-1), IF('To Order'!$A1788=COL"&amp;"UMNS($A1788:A1807), A1787&amp;RIGHT(INDIRECT(ADDRESS(ROW(A1788)-1, 'From Order'!$A1788)), 1), A1787))"),"ZHZMTDLDSPBFLLWDDVQJPPSSTWZCSFHBGRD")</f>
        <v>ZHZMTDLDSPBFLLWDDVQJPPSSTWZCSFHBGRD</v>
      </c>
      <c r="B1788" s="2" t="str">
        <f>IFERROR(__xludf.DUMMYFUNCTION("IF('From Order'!$A1788=COLUMNS($A1788:B1807), LEFT(INDEX(FILTER(B$1:B1787, B$1:B1787&lt;&gt;""""),COUNTA(FILTER(B$1:B1787, B$1:B1787&lt;&gt;""""))), LEN(INDEX(FILTER(B$1:B1787, B$1:B1787&lt;&gt;""""),COUNTA(FILTER(B$1:B1787, B$1:B1787&lt;&gt;""""))))-1), IF('To Order'!$A1788=COL"&amp;"UMNS($A1788:B1807), B1787&amp;RIGHT(INDIRECT(ADDRESS(ROW(B1788)-1, 'From Order'!$A1788)), 1), B1787))"),"GTTJ")</f>
        <v>GTTJ</v>
      </c>
      <c r="C1788" s="2" t="str">
        <f>IFERROR(__xludf.DUMMYFUNCTION("IF('From Order'!$A1788=COLUMNS($A1788:C1807), LEFT(INDEX(FILTER(C$1:C1787, C$1:C1787&lt;&gt;""""),COUNTA(FILTER(C$1:C1787, C$1:C1787&lt;&gt;""""))), LEN(INDEX(FILTER(C$1:C1787, C$1:C1787&lt;&gt;""""),COUNTA(FILTER(C$1:C1787, C$1:C1787&lt;&gt;""""))))-1), IF('To Order'!$A1788=COL"&amp;"UMNS($A1788:C1807), C1787&amp;RIGHT(INDIRECT(ADDRESS(ROW(C1788)-1, 'From Order'!$A1788)), 1), C1787))"),"TQ")</f>
        <v>TQ</v>
      </c>
      <c r="D1788" s="2" t="str">
        <f>IFERROR(__xludf.DUMMYFUNCTION("IF('From Order'!$A1788=COLUMNS($A1788:D1807), LEFT(INDEX(FILTER(D$1:D1787, D$1:D1787&lt;&gt;""""),COUNTA(FILTER(D$1:D1787, D$1:D1787&lt;&gt;""""))), LEN(INDEX(FILTER(D$1:D1787, D$1:D1787&lt;&gt;""""),COUNTA(FILTER(D$1:D1787, D$1:D1787&lt;&gt;""""))))-1), IF('To Order'!$A1788=COL"&amp;"UMNS($A1788:D1807), D1787&amp;RIGHT(INDIRECT(ADDRESS(ROW(D1788)-1, 'From Order'!$A1788)), 1), D1787))"),"RBRTCV")</f>
        <v>RBRTCV</v>
      </c>
      <c r="E1788" s="2" t="str">
        <f>IFERROR(__xludf.DUMMYFUNCTION("IF('From Order'!$A1788=COLUMNS($A1788:E1807), LEFT(INDEX(FILTER(E$1:E1787, E$1:E1787&lt;&gt;""""),COUNTA(FILTER(E$1:E1787, E$1:E1787&lt;&gt;""""))), LEN(INDEX(FILTER(E$1:E1787, E$1:E1787&lt;&gt;""""),COUNTA(FILTER(E$1:E1787, E$1:E1787&lt;&gt;""""))))-1), IF('To Order'!$A1788=COL"&amp;"UMNS($A1788:E1807), E1787&amp;RIGHT(INDIRECT(ADDRESS(ROW(E1788)-1, 'From Order'!$A1788)), 1), E1787))"),"C")</f>
        <v>C</v>
      </c>
      <c r="F1788" s="2" t="str">
        <f>IFERROR(__xludf.DUMMYFUNCTION("IF('From Order'!$A1788=COLUMNS($A1788:F1807), LEFT(INDEX(FILTER(F$1:F1787, F$1:F1787&lt;&gt;""""),COUNTA(FILTER(F$1:F1787, F$1:F1787&lt;&gt;""""))), LEN(INDEX(FILTER(F$1:F1787, F$1:F1787&lt;&gt;""""),COUNTA(FILTER(F$1:F1787, F$1:F1787&lt;&gt;""""))))-1), IF('To Order'!$A1788=COL"&amp;"UMNS($A1788:F1807), F1787&amp;RIGHT(INDIRECT(ADDRESS(ROW(F1788)-1, 'From Order'!$A1788)), 1), F1787))"),"")</f>
        <v/>
      </c>
      <c r="G1788" s="2" t="str">
        <f>IFERROR(__xludf.DUMMYFUNCTION("IF('From Order'!$A1788=COLUMNS($A1788:G1807), LEFT(INDEX(FILTER(G$1:G1787, G$1:G1787&lt;&gt;""""),COUNTA(FILTER(G$1:G1787, G$1:G1787&lt;&gt;""""))), LEN(INDEX(FILTER(G$1:G1787, G$1:G1787&lt;&gt;""""),COUNTA(FILTER(G$1:G1787, G$1:G1787&lt;&gt;""""))))-1), IF('To Order'!$A1788=COL"&amp;"UMNS($A1788:G1807), G1787&amp;RIGHT(INDIRECT(ADDRESS(ROW(G1788)-1, 'From Order'!$A1788)), 1), G1787))"),"MDJMBVRR")</f>
        <v>MDJMBVRR</v>
      </c>
      <c r="H1788" s="2" t="str">
        <f>IFERROR(__xludf.DUMMYFUNCTION("IF('From Order'!$A1788=COLUMNS($A1788:H1807), LEFT(INDEX(FILTER(H$1:H1787, H$1:H1787&lt;&gt;""""),COUNTA(FILTER(H$1:H1787, H$1:H1787&lt;&gt;""""))), LEN(INDEX(FILTER(H$1:H1787, H$1:H1787&lt;&gt;""""),COUNTA(FILTER(H$1:H1787, H$1:H1787&lt;&gt;""""))))-1), IF('To Order'!$A1788=COL"&amp;"UMNS($A1788:H1807), H1787&amp;RIGHT(INDIRECT(ADDRESS(ROW(H1788)-1, 'From Order'!$A1788)), 1), H1787))"),"")</f>
        <v/>
      </c>
      <c r="I1788" s="2" t="str">
        <f>IFERROR(__xludf.DUMMYFUNCTION("IF('From Order'!$A1788=COLUMNS($A1788:I1807), LEFT(INDEX(FILTER(I$1:I1787, I$1:I1787&lt;&gt;""""),COUNTA(FILTER(I$1:I1787, I$1:I1787&lt;&gt;""""))), LEN(INDEX(FILTER(I$1:I1787, I$1:I1787&lt;&gt;""""),COUNTA(FILTER(I$1:I1787, I$1:I1787&lt;&gt;""""))))-1), IF('To Order'!$A1788=COL"&amp;"UMNS($A1788:I1807), I1787&amp;RIGHT(INDIRECT(ADDRESS(ROW(I1788)-1, 'From Order'!$A1788)), 1), I1787))"),"")</f>
        <v/>
      </c>
    </row>
    <row r="1789">
      <c r="A1789" s="2" t="str">
        <f>IFERROR(__xludf.DUMMYFUNCTION("IF('From Order'!$A1789=COLUMNS($A1789:A1808), LEFT(INDEX(FILTER(A$1:A1788, A$1:A1788&lt;&gt;""""),COUNTA(FILTER(A$1:A1788, A$1:A1788&lt;&gt;""""))), LEN(INDEX(FILTER(A$1:A1788, A$1:A1788&lt;&gt;""""),COUNTA(FILTER(A$1:A1788, A$1:A1788&lt;&gt;""""))))-1), IF('To Order'!$A1789=COL"&amp;"UMNS($A1789:A1808), A1788&amp;RIGHT(INDIRECT(ADDRESS(ROW(A1789)-1, 'From Order'!$A1789)), 1), A1788))"),"ZHZMTDLDSPBFLLWDDVQJPPSSTWZCSFHBGRDV")</f>
        <v>ZHZMTDLDSPBFLLWDDVQJPPSSTWZCSFHBGRDV</v>
      </c>
      <c r="B1789" s="2" t="str">
        <f>IFERROR(__xludf.DUMMYFUNCTION("IF('From Order'!$A1789=COLUMNS($A1789:B1808), LEFT(INDEX(FILTER(B$1:B1788, B$1:B1788&lt;&gt;""""),COUNTA(FILTER(B$1:B1788, B$1:B1788&lt;&gt;""""))), LEN(INDEX(FILTER(B$1:B1788, B$1:B1788&lt;&gt;""""),COUNTA(FILTER(B$1:B1788, B$1:B1788&lt;&gt;""""))))-1), IF('To Order'!$A1789=COL"&amp;"UMNS($A1789:B1808), B1788&amp;RIGHT(INDIRECT(ADDRESS(ROW(B1789)-1, 'From Order'!$A1789)), 1), B1788))"),"GTTJ")</f>
        <v>GTTJ</v>
      </c>
      <c r="C1789" s="2" t="str">
        <f>IFERROR(__xludf.DUMMYFUNCTION("IF('From Order'!$A1789=COLUMNS($A1789:C1808), LEFT(INDEX(FILTER(C$1:C1788, C$1:C1788&lt;&gt;""""),COUNTA(FILTER(C$1:C1788, C$1:C1788&lt;&gt;""""))), LEN(INDEX(FILTER(C$1:C1788, C$1:C1788&lt;&gt;""""),COUNTA(FILTER(C$1:C1788, C$1:C1788&lt;&gt;""""))))-1), IF('To Order'!$A1789=COL"&amp;"UMNS($A1789:C1808), C1788&amp;RIGHT(INDIRECT(ADDRESS(ROW(C1789)-1, 'From Order'!$A1789)), 1), C1788))"),"TQ")</f>
        <v>TQ</v>
      </c>
      <c r="D1789" s="2" t="str">
        <f>IFERROR(__xludf.DUMMYFUNCTION("IF('From Order'!$A1789=COLUMNS($A1789:D1808), LEFT(INDEX(FILTER(D$1:D1788, D$1:D1788&lt;&gt;""""),COUNTA(FILTER(D$1:D1788, D$1:D1788&lt;&gt;""""))), LEN(INDEX(FILTER(D$1:D1788, D$1:D1788&lt;&gt;""""),COUNTA(FILTER(D$1:D1788, D$1:D1788&lt;&gt;""""))))-1), IF('To Order'!$A1789=COL"&amp;"UMNS($A1789:D1808), D1788&amp;RIGHT(INDIRECT(ADDRESS(ROW(D1789)-1, 'From Order'!$A1789)), 1), D1788))"),"RBRTC")</f>
        <v>RBRTC</v>
      </c>
      <c r="E1789" s="2" t="str">
        <f>IFERROR(__xludf.DUMMYFUNCTION("IF('From Order'!$A1789=COLUMNS($A1789:E1808), LEFT(INDEX(FILTER(E$1:E1788, E$1:E1788&lt;&gt;""""),COUNTA(FILTER(E$1:E1788, E$1:E1788&lt;&gt;""""))), LEN(INDEX(FILTER(E$1:E1788, E$1:E1788&lt;&gt;""""),COUNTA(FILTER(E$1:E1788, E$1:E1788&lt;&gt;""""))))-1), IF('To Order'!$A1789=COL"&amp;"UMNS($A1789:E1808), E1788&amp;RIGHT(INDIRECT(ADDRESS(ROW(E1789)-1, 'From Order'!$A1789)), 1), E1788))"),"C")</f>
        <v>C</v>
      </c>
      <c r="F1789" s="2" t="str">
        <f>IFERROR(__xludf.DUMMYFUNCTION("IF('From Order'!$A1789=COLUMNS($A1789:F1808), LEFT(INDEX(FILTER(F$1:F1788, F$1:F1788&lt;&gt;""""),COUNTA(FILTER(F$1:F1788, F$1:F1788&lt;&gt;""""))), LEN(INDEX(FILTER(F$1:F1788, F$1:F1788&lt;&gt;""""),COUNTA(FILTER(F$1:F1788, F$1:F1788&lt;&gt;""""))))-1), IF('To Order'!$A1789=COL"&amp;"UMNS($A1789:F1808), F1788&amp;RIGHT(INDIRECT(ADDRESS(ROW(F1789)-1, 'From Order'!$A1789)), 1), F1788))"),"")</f>
        <v/>
      </c>
      <c r="G1789" s="2" t="str">
        <f>IFERROR(__xludf.DUMMYFUNCTION("IF('From Order'!$A1789=COLUMNS($A1789:G1808), LEFT(INDEX(FILTER(G$1:G1788, G$1:G1788&lt;&gt;""""),COUNTA(FILTER(G$1:G1788, G$1:G1788&lt;&gt;""""))), LEN(INDEX(FILTER(G$1:G1788, G$1:G1788&lt;&gt;""""),COUNTA(FILTER(G$1:G1788, G$1:G1788&lt;&gt;""""))))-1), IF('To Order'!$A1789=COL"&amp;"UMNS($A1789:G1808), G1788&amp;RIGHT(INDIRECT(ADDRESS(ROW(G1789)-1, 'From Order'!$A1789)), 1), G1788))"),"MDJMBVRR")</f>
        <v>MDJMBVRR</v>
      </c>
      <c r="H1789" s="2" t="str">
        <f>IFERROR(__xludf.DUMMYFUNCTION("IF('From Order'!$A1789=COLUMNS($A1789:H1808), LEFT(INDEX(FILTER(H$1:H1788, H$1:H1788&lt;&gt;""""),COUNTA(FILTER(H$1:H1788, H$1:H1788&lt;&gt;""""))), LEN(INDEX(FILTER(H$1:H1788, H$1:H1788&lt;&gt;""""),COUNTA(FILTER(H$1:H1788, H$1:H1788&lt;&gt;""""))))-1), IF('To Order'!$A1789=COL"&amp;"UMNS($A1789:H1808), H1788&amp;RIGHT(INDIRECT(ADDRESS(ROW(H1789)-1, 'From Order'!$A1789)), 1), H1788))"),"")</f>
        <v/>
      </c>
      <c r="I1789" s="2" t="str">
        <f>IFERROR(__xludf.DUMMYFUNCTION("IF('From Order'!$A1789=COLUMNS($A1789:I1808), LEFT(INDEX(FILTER(I$1:I1788, I$1:I1788&lt;&gt;""""),COUNTA(FILTER(I$1:I1788, I$1:I1788&lt;&gt;""""))), LEN(INDEX(FILTER(I$1:I1788, I$1:I1788&lt;&gt;""""),COUNTA(FILTER(I$1:I1788, I$1:I1788&lt;&gt;""""))))-1), IF('To Order'!$A1789=COL"&amp;"UMNS($A1789:I1808), I1788&amp;RIGHT(INDIRECT(ADDRESS(ROW(I1789)-1, 'From Order'!$A1789)), 1), I1788))"),"")</f>
        <v/>
      </c>
    </row>
    <row r="1790">
      <c r="A1790" s="2" t="str">
        <f>IFERROR(__xludf.DUMMYFUNCTION("IF('From Order'!$A1790=COLUMNS($A1790:A1809), LEFT(INDEX(FILTER(A$1:A1789, A$1:A1789&lt;&gt;""""),COUNTA(FILTER(A$1:A1789, A$1:A1789&lt;&gt;""""))), LEN(INDEX(FILTER(A$1:A1789, A$1:A1789&lt;&gt;""""),COUNTA(FILTER(A$1:A1789, A$1:A1789&lt;&gt;""""))))-1), IF('To Order'!$A1790=COL"&amp;"UMNS($A1790:A1809), A1789&amp;RIGHT(INDIRECT(ADDRESS(ROW(A1790)-1, 'From Order'!$A1790)), 1), A1789))"),"ZHZMTDLDSPBFLLWDDVQJPPSSTWZCSFHBGRDVC")</f>
        <v>ZHZMTDLDSPBFLLWDDVQJPPSSTWZCSFHBGRDVC</v>
      </c>
      <c r="B1790" s="2" t="str">
        <f>IFERROR(__xludf.DUMMYFUNCTION("IF('From Order'!$A1790=COLUMNS($A1790:B1809), LEFT(INDEX(FILTER(B$1:B1789, B$1:B1789&lt;&gt;""""),COUNTA(FILTER(B$1:B1789, B$1:B1789&lt;&gt;""""))), LEN(INDEX(FILTER(B$1:B1789, B$1:B1789&lt;&gt;""""),COUNTA(FILTER(B$1:B1789, B$1:B1789&lt;&gt;""""))))-1), IF('To Order'!$A1790=COL"&amp;"UMNS($A1790:B1809), B1789&amp;RIGHT(INDIRECT(ADDRESS(ROW(B1790)-1, 'From Order'!$A1790)), 1), B1789))"),"GTTJ")</f>
        <v>GTTJ</v>
      </c>
      <c r="C1790" s="2" t="str">
        <f>IFERROR(__xludf.DUMMYFUNCTION("IF('From Order'!$A1790=COLUMNS($A1790:C1809), LEFT(INDEX(FILTER(C$1:C1789, C$1:C1789&lt;&gt;""""),COUNTA(FILTER(C$1:C1789, C$1:C1789&lt;&gt;""""))), LEN(INDEX(FILTER(C$1:C1789, C$1:C1789&lt;&gt;""""),COUNTA(FILTER(C$1:C1789, C$1:C1789&lt;&gt;""""))))-1), IF('To Order'!$A1790=COL"&amp;"UMNS($A1790:C1809), C1789&amp;RIGHT(INDIRECT(ADDRESS(ROW(C1790)-1, 'From Order'!$A1790)), 1), C1789))"),"TQ")</f>
        <v>TQ</v>
      </c>
      <c r="D1790" s="2" t="str">
        <f>IFERROR(__xludf.DUMMYFUNCTION("IF('From Order'!$A1790=COLUMNS($A1790:D1809), LEFT(INDEX(FILTER(D$1:D1789, D$1:D1789&lt;&gt;""""),COUNTA(FILTER(D$1:D1789, D$1:D1789&lt;&gt;""""))), LEN(INDEX(FILTER(D$1:D1789, D$1:D1789&lt;&gt;""""),COUNTA(FILTER(D$1:D1789, D$1:D1789&lt;&gt;""""))))-1), IF('To Order'!$A1790=COL"&amp;"UMNS($A1790:D1809), D1789&amp;RIGHT(INDIRECT(ADDRESS(ROW(D1790)-1, 'From Order'!$A1790)), 1), D1789))"),"RBRT")</f>
        <v>RBRT</v>
      </c>
      <c r="E1790" s="2" t="str">
        <f>IFERROR(__xludf.DUMMYFUNCTION("IF('From Order'!$A1790=COLUMNS($A1790:E1809), LEFT(INDEX(FILTER(E$1:E1789, E$1:E1789&lt;&gt;""""),COUNTA(FILTER(E$1:E1789, E$1:E1789&lt;&gt;""""))), LEN(INDEX(FILTER(E$1:E1789, E$1:E1789&lt;&gt;""""),COUNTA(FILTER(E$1:E1789, E$1:E1789&lt;&gt;""""))))-1), IF('To Order'!$A1790=COL"&amp;"UMNS($A1790:E1809), E1789&amp;RIGHT(INDIRECT(ADDRESS(ROW(E1790)-1, 'From Order'!$A1790)), 1), E1789))"),"C")</f>
        <v>C</v>
      </c>
      <c r="F1790" s="2" t="str">
        <f>IFERROR(__xludf.DUMMYFUNCTION("IF('From Order'!$A1790=COLUMNS($A1790:F1809), LEFT(INDEX(FILTER(F$1:F1789, F$1:F1789&lt;&gt;""""),COUNTA(FILTER(F$1:F1789, F$1:F1789&lt;&gt;""""))), LEN(INDEX(FILTER(F$1:F1789, F$1:F1789&lt;&gt;""""),COUNTA(FILTER(F$1:F1789, F$1:F1789&lt;&gt;""""))))-1), IF('To Order'!$A1790=COL"&amp;"UMNS($A1790:F1809), F1789&amp;RIGHT(INDIRECT(ADDRESS(ROW(F1790)-1, 'From Order'!$A1790)), 1), F1789))"),"")</f>
        <v/>
      </c>
      <c r="G1790" s="2" t="str">
        <f>IFERROR(__xludf.DUMMYFUNCTION("IF('From Order'!$A1790=COLUMNS($A1790:G1809), LEFT(INDEX(FILTER(G$1:G1789, G$1:G1789&lt;&gt;""""),COUNTA(FILTER(G$1:G1789, G$1:G1789&lt;&gt;""""))), LEN(INDEX(FILTER(G$1:G1789, G$1:G1789&lt;&gt;""""),COUNTA(FILTER(G$1:G1789, G$1:G1789&lt;&gt;""""))))-1), IF('To Order'!$A1790=COL"&amp;"UMNS($A1790:G1809), G1789&amp;RIGHT(INDIRECT(ADDRESS(ROW(G1790)-1, 'From Order'!$A1790)), 1), G1789))"),"MDJMBVRR")</f>
        <v>MDJMBVRR</v>
      </c>
      <c r="H1790" s="2" t="str">
        <f>IFERROR(__xludf.DUMMYFUNCTION("IF('From Order'!$A1790=COLUMNS($A1790:H1809), LEFT(INDEX(FILTER(H$1:H1789, H$1:H1789&lt;&gt;""""),COUNTA(FILTER(H$1:H1789, H$1:H1789&lt;&gt;""""))), LEN(INDEX(FILTER(H$1:H1789, H$1:H1789&lt;&gt;""""),COUNTA(FILTER(H$1:H1789, H$1:H1789&lt;&gt;""""))))-1), IF('To Order'!$A1790=COL"&amp;"UMNS($A1790:H1809), H1789&amp;RIGHT(INDIRECT(ADDRESS(ROW(H1790)-1, 'From Order'!$A1790)), 1), H1789))"),"")</f>
        <v/>
      </c>
      <c r="I1790" s="2" t="str">
        <f>IFERROR(__xludf.DUMMYFUNCTION("IF('From Order'!$A1790=COLUMNS($A1790:I1809), LEFT(INDEX(FILTER(I$1:I1789, I$1:I1789&lt;&gt;""""),COUNTA(FILTER(I$1:I1789, I$1:I1789&lt;&gt;""""))), LEN(INDEX(FILTER(I$1:I1789, I$1:I1789&lt;&gt;""""),COUNTA(FILTER(I$1:I1789, I$1:I1789&lt;&gt;""""))))-1), IF('To Order'!$A1790=COL"&amp;"UMNS($A1790:I1809), I1789&amp;RIGHT(INDIRECT(ADDRESS(ROW(I1790)-1, 'From Order'!$A1790)), 1), I1789))"),"")</f>
        <v/>
      </c>
    </row>
    <row r="1791">
      <c r="A1791" s="2" t="str">
        <f>IFERROR(__xludf.DUMMYFUNCTION("IF('From Order'!$A1791=COLUMNS($A1791:A1810), LEFT(INDEX(FILTER(A$1:A1790, A$1:A1790&lt;&gt;""""),COUNTA(FILTER(A$1:A1790, A$1:A1790&lt;&gt;""""))), LEN(INDEX(FILTER(A$1:A1790, A$1:A1790&lt;&gt;""""),COUNTA(FILTER(A$1:A1790, A$1:A1790&lt;&gt;""""))))-1), IF('To Order'!$A1791=COL"&amp;"UMNS($A1791:A1810), A1790&amp;RIGHT(INDIRECT(ADDRESS(ROW(A1791)-1, 'From Order'!$A1791)), 1), A1790))"),"ZHZMTDLDSPBFLLWDDVQJPPSSTWZCSFHBGRDVCT")</f>
        <v>ZHZMTDLDSPBFLLWDDVQJPPSSTWZCSFHBGRDVCT</v>
      </c>
      <c r="B1791" s="2" t="str">
        <f>IFERROR(__xludf.DUMMYFUNCTION("IF('From Order'!$A1791=COLUMNS($A1791:B1810), LEFT(INDEX(FILTER(B$1:B1790, B$1:B1790&lt;&gt;""""),COUNTA(FILTER(B$1:B1790, B$1:B1790&lt;&gt;""""))), LEN(INDEX(FILTER(B$1:B1790, B$1:B1790&lt;&gt;""""),COUNTA(FILTER(B$1:B1790, B$1:B1790&lt;&gt;""""))))-1), IF('To Order'!$A1791=COL"&amp;"UMNS($A1791:B1810), B1790&amp;RIGHT(INDIRECT(ADDRESS(ROW(B1791)-1, 'From Order'!$A1791)), 1), B1790))"),"GTTJ")</f>
        <v>GTTJ</v>
      </c>
      <c r="C1791" s="2" t="str">
        <f>IFERROR(__xludf.DUMMYFUNCTION("IF('From Order'!$A1791=COLUMNS($A1791:C1810), LEFT(INDEX(FILTER(C$1:C1790, C$1:C1790&lt;&gt;""""),COUNTA(FILTER(C$1:C1790, C$1:C1790&lt;&gt;""""))), LEN(INDEX(FILTER(C$1:C1790, C$1:C1790&lt;&gt;""""),COUNTA(FILTER(C$1:C1790, C$1:C1790&lt;&gt;""""))))-1), IF('To Order'!$A1791=COL"&amp;"UMNS($A1791:C1810), C1790&amp;RIGHT(INDIRECT(ADDRESS(ROW(C1791)-1, 'From Order'!$A1791)), 1), C1790))"),"TQ")</f>
        <v>TQ</v>
      </c>
      <c r="D1791" s="2" t="str">
        <f>IFERROR(__xludf.DUMMYFUNCTION("IF('From Order'!$A1791=COLUMNS($A1791:D1810), LEFT(INDEX(FILTER(D$1:D1790, D$1:D1790&lt;&gt;""""),COUNTA(FILTER(D$1:D1790, D$1:D1790&lt;&gt;""""))), LEN(INDEX(FILTER(D$1:D1790, D$1:D1790&lt;&gt;""""),COUNTA(FILTER(D$1:D1790, D$1:D1790&lt;&gt;""""))))-1), IF('To Order'!$A1791=COL"&amp;"UMNS($A1791:D1810), D1790&amp;RIGHT(INDIRECT(ADDRESS(ROW(D1791)-1, 'From Order'!$A1791)), 1), D1790))"),"RBR")</f>
        <v>RBR</v>
      </c>
      <c r="E1791" s="2" t="str">
        <f>IFERROR(__xludf.DUMMYFUNCTION("IF('From Order'!$A1791=COLUMNS($A1791:E1810), LEFT(INDEX(FILTER(E$1:E1790, E$1:E1790&lt;&gt;""""),COUNTA(FILTER(E$1:E1790, E$1:E1790&lt;&gt;""""))), LEN(INDEX(FILTER(E$1:E1790, E$1:E1790&lt;&gt;""""),COUNTA(FILTER(E$1:E1790, E$1:E1790&lt;&gt;""""))))-1), IF('To Order'!$A1791=COL"&amp;"UMNS($A1791:E1810), E1790&amp;RIGHT(INDIRECT(ADDRESS(ROW(E1791)-1, 'From Order'!$A1791)), 1), E1790))"),"C")</f>
        <v>C</v>
      </c>
      <c r="F1791" s="2" t="str">
        <f>IFERROR(__xludf.DUMMYFUNCTION("IF('From Order'!$A1791=COLUMNS($A1791:F1810), LEFT(INDEX(FILTER(F$1:F1790, F$1:F1790&lt;&gt;""""),COUNTA(FILTER(F$1:F1790, F$1:F1790&lt;&gt;""""))), LEN(INDEX(FILTER(F$1:F1790, F$1:F1790&lt;&gt;""""),COUNTA(FILTER(F$1:F1790, F$1:F1790&lt;&gt;""""))))-1), IF('To Order'!$A1791=COL"&amp;"UMNS($A1791:F1810), F1790&amp;RIGHT(INDIRECT(ADDRESS(ROW(F1791)-1, 'From Order'!$A1791)), 1), F1790))"),"")</f>
        <v/>
      </c>
      <c r="G1791" s="2" t="str">
        <f>IFERROR(__xludf.DUMMYFUNCTION("IF('From Order'!$A1791=COLUMNS($A1791:G1810), LEFT(INDEX(FILTER(G$1:G1790, G$1:G1790&lt;&gt;""""),COUNTA(FILTER(G$1:G1790, G$1:G1790&lt;&gt;""""))), LEN(INDEX(FILTER(G$1:G1790, G$1:G1790&lt;&gt;""""),COUNTA(FILTER(G$1:G1790, G$1:G1790&lt;&gt;""""))))-1), IF('To Order'!$A1791=COL"&amp;"UMNS($A1791:G1810), G1790&amp;RIGHT(INDIRECT(ADDRESS(ROW(G1791)-1, 'From Order'!$A1791)), 1), G1790))"),"MDJMBVRR")</f>
        <v>MDJMBVRR</v>
      </c>
      <c r="H1791" s="2" t="str">
        <f>IFERROR(__xludf.DUMMYFUNCTION("IF('From Order'!$A1791=COLUMNS($A1791:H1810), LEFT(INDEX(FILTER(H$1:H1790, H$1:H1790&lt;&gt;""""),COUNTA(FILTER(H$1:H1790, H$1:H1790&lt;&gt;""""))), LEN(INDEX(FILTER(H$1:H1790, H$1:H1790&lt;&gt;""""),COUNTA(FILTER(H$1:H1790, H$1:H1790&lt;&gt;""""))))-1), IF('To Order'!$A1791=COL"&amp;"UMNS($A1791:H1810), H1790&amp;RIGHT(INDIRECT(ADDRESS(ROW(H1791)-1, 'From Order'!$A1791)), 1), H1790))"),"")</f>
        <v/>
      </c>
      <c r="I1791" s="2" t="str">
        <f>IFERROR(__xludf.DUMMYFUNCTION("IF('From Order'!$A1791=COLUMNS($A1791:I1810), LEFT(INDEX(FILTER(I$1:I1790, I$1:I1790&lt;&gt;""""),COUNTA(FILTER(I$1:I1790, I$1:I1790&lt;&gt;""""))), LEN(INDEX(FILTER(I$1:I1790, I$1:I1790&lt;&gt;""""),COUNTA(FILTER(I$1:I1790, I$1:I1790&lt;&gt;""""))))-1), IF('To Order'!$A1791=COL"&amp;"UMNS($A1791:I1810), I1790&amp;RIGHT(INDIRECT(ADDRESS(ROW(I1791)-1, 'From Order'!$A1791)), 1), I1790))"),"")</f>
        <v/>
      </c>
    </row>
    <row r="1792">
      <c r="A1792" s="2" t="str">
        <f>IFERROR(__xludf.DUMMYFUNCTION("IF('From Order'!$A1792=COLUMNS($A1792:A1811), LEFT(INDEX(FILTER(A$1:A1791, A$1:A1791&lt;&gt;""""),COUNTA(FILTER(A$1:A1791, A$1:A1791&lt;&gt;""""))), LEN(INDEX(FILTER(A$1:A1791, A$1:A1791&lt;&gt;""""),COUNTA(FILTER(A$1:A1791, A$1:A1791&lt;&gt;""""))))-1), IF('To Order'!$A1792=COL"&amp;"UMNS($A1792:A1811), A1791&amp;RIGHT(INDIRECT(ADDRESS(ROW(A1792)-1, 'From Order'!$A1792)), 1), A1791))"),"ZHZMTDLDSPBFLLWDDVQJPPSSTWZCSFHBGRDVCTR")</f>
        <v>ZHZMTDLDSPBFLLWDDVQJPPSSTWZCSFHBGRDVCTR</v>
      </c>
      <c r="B1792" s="2" t="str">
        <f>IFERROR(__xludf.DUMMYFUNCTION("IF('From Order'!$A1792=COLUMNS($A1792:B1811), LEFT(INDEX(FILTER(B$1:B1791, B$1:B1791&lt;&gt;""""),COUNTA(FILTER(B$1:B1791, B$1:B1791&lt;&gt;""""))), LEN(INDEX(FILTER(B$1:B1791, B$1:B1791&lt;&gt;""""),COUNTA(FILTER(B$1:B1791, B$1:B1791&lt;&gt;""""))))-1), IF('To Order'!$A1792=COL"&amp;"UMNS($A1792:B1811), B1791&amp;RIGHT(INDIRECT(ADDRESS(ROW(B1792)-1, 'From Order'!$A1792)), 1), B1791))"),"GTTJ")</f>
        <v>GTTJ</v>
      </c>
      <c r="C1792" s="2" t="str">
        <f>IFERROR(__xludf.DUMMYFUNCTION("IF('From Order'!$A1792=COLUMNS($A1792:C1811), LEFT(INDEX(FILTER(C$1:C1791, C$1:C1791&lt;&gt;""""),COUNTA(FILTER(C$1:C1791, C$1:C1791&lt;&gt;""""))), LEN(INDEX(FILTER(C$1:C1791, C$1:C1791&lt;&gt;""""),COUNTA(FILTER(C$1:C1791, C$1:C1791&lt;&gt;""""))))-1), IF('To Order'!$A1792=COL"&amp;"UMNS($A1792:C1811), C1791&amp;RIGHT(INDIRECT(ADDRESS(ROW(C1792)-1, 'From Order'!$A1792)), 1), C1791))"),"TQ")</f>
        <v>TQ</v>
      </c>
      <c r="D1792" s="2" t="str">
        <f>IFERROR(__xludf.DUMMYFUNCTION("IF('From Order'!$A1792=COLUMNS($A1792:D1811), LEFT(INDEX(FILTER(D$1:D1791, D$1:D1791&lt;&gt;""""),COUNTA(FILTER(D$1:D1791, D$1:D1791&lt;&gt;""""))), LEN(INDEX(FILTER(D$1:D1791, D$1:D1791&lt;&gt;""""),COUNTA(FILTER(D$1:D1791, D$1:D1791&lt;&gt;""""))))-1), IF('To Order'!$A1792=COL"&amp;"UMNS($A1792:D1811), D1791&amp;RIGHT(INDIRECT(ADDRESS(ROW(D1792)-1, 'From Order'!$A1792)), 1), D1791))"),"RB")</f>
        <v>RB</v>
      </c>
      <c r="E1792" s="2" t="str">
        <f>IFERROR(__xludf.DUMMYFUNCTION("IF('From Order'!$A1792=COLUMNS($A1792:E1811), LEFT(INDEX(FILTER(E$1:E1791, E$1:E1791&lt;&gt;""""),COUNTA(FILTER(E$1:E1791, E$1:E1791&lt;&gt;""""))), LEN(INDEX(FILTER(E$1:E1791, E$1:E1791&lt;&gt;""""),COUNTA(FILTER(E$1:E1791, E$1:E1791&lt;&gt;""""))))-1), IF('To Order'!$A1792=COL"&amp;"UMNS($A1792:E1811), E1791&amp;RIGHT(INDIRECT(ADDRESS(ROW(E1792)-1, 'From Order'!$A1792)), 1), E1791))"),"C")</f>
        <v>C</v>
      </c>
      <c r="F1792" s="2" t="str">
        <f>IFERROR(__xludf.DUMMYFUNCTION("IF('From Order'!$A1792=COLUMNS($A1792:F1811), LEFT(INDEX(FILTER(F$1:F1791, F$1:F1791&lt;&gt;""""),COUNTA(FILTER(F$1:F1791, F$1:F1791&lt;&gt;""""))), LEN(INDEX(FILTER(F$1:F1791, F$1:F1791&lt;&gt;""""),COUNTA(FILTER(F$1:F1791, F$1:F1791&lt;&gt;""""))))-1), IF('To Order'!$A1792=COL"&amp;"UMNS($A1792:F1811), F1791&amp;RIGHT(INDIRECT(ADDRESS(ROW(F1792)-1, 'From Order'!$A1792)), 1), F1791))"),"")</f>
        <v/>
      </c>
      <c r="G1792" s="2" t="str">
        <f>IFERROR(__xludf.DUMMYFUNCTION("IF('From Order'!$A1792=COLUMNS($A1792:G1811), LEFT(INDEX(FILTER(G$1:G1791, G$1:G1791&lt;&gt;""""),COUNTA(FILTER(G$1:G1791, G$1:G1791&lt;&gt;""""))), LEN(INDEX(FILTER(G$1:G1791, G$1:G1791&lt;&gt;""""),COUNTA(FILTER(G$1:G1791, G$1:G1791&lt;&gt;""""))))-1), IF('To Order'!$A1792=COL"&amp;"UMNS($A1792:G1811), G1791&amp;RIGHT(INDIRECT(ADDRESS(ROW(G1792)-1, 'From Order'!$A1792)), 1), G1791))"),"MDJMBVRR")</f>
        <v>MDJMBVRR</v>
      </c>
      <c r="H1792" s="2" t="str">
        <f>IFERROR(__xludf.DUMMYFUNCTION("IF('From Order'!$A1792=COLUMNS($A1792:H1811), LEFT(INDEX(FILTER(H$1:H1791, H$1:H1791&lt;&gt;""""),COUNTA(FILTER(H$1:H1791, H$1:H1791&lt;&gt;""""))), LEN(INDEX(FILTER(H$1:H1791, H$1:H1791&lt;&gt;""""),COUNTA(FILTER(H$1:H1791, H$1:H1791&lt;&gt;""""))))-1), IF('To Order'!$A1792=COL"&amp;"UMNS($A1792:H1811), H1791&amp;RIGHT(INDIRECT(ADDRESS(ROW(H1792)-1, 'From Order'!$A1792)), 1), H1791))"),"")</f>
        <v/>
      </c>
      <c r="I1792" s="2" t="str">
        <f>IFERROR(__xludf.DUMMYFUNCTION("IF('From Order'!$A1792=COLUMNS($A1792:I1811), LEFT(INDEX(FILTER(I$1:I1791, I$1:I1791&lt;&gt;""""),COUNTA(FILTER(I$1:I1791, I$1:I1791&lt;&gt;""""))), LEN(INDEX(FILTER(I$1:I1791, I$1:I1791&lt;&gt;""""),COUNTA(FILTER(I$1:I1791, I$1:I1791&lt;&gt;""""))))-1), IF('To Order'!$A1792=COL"&amp;"UMNS($A1792:I1811), I1791&amp;RIGHT(INDIRECT(ADDRESS(ROW(I1792)-1, 'From Order'!$A1792)), 1), I1791))"),"")</f>
        <v/>
      </c>
    </row>
    <row r="1793">
      <c r="A1793" s="2" t="str">
        <f>IFERROR(__xludf.DUMMYFUNCTION("IF('From Order'!$A1793=COLUMNS($A1793:A1812), LEFT(INDEX(FILTER(A$1:A1792, A$1:A1792&lt;&gt;""""),COUNTA(FILTER(A$1:A1792, A$1:A1792&lt;&gt;""""))), LEN(INDEX(FILTER(A$1:A1792, A$1:A1792&lt;&gt;""""),COUNTA(FILTER(A$1:A1792, A$1:A1792&lt;&gt;""""))))-1), IF('To Order'!$A1793=COL"&amp;"UMNS($A1793:A1812), A1792&amp;RIGHT(INDIRECT(ADDRESS(ROW(A1793)-1, 'From Order'!$A1793)), 1), A1792))"),"ZHZMTDLDSPBFLLWDDVQJPPSSTWZCSFHBGRDVCTR")</f>
        <v>ZHZMTDLDSPBFLLWDDVQJPPSSTWZCSFHBGRDVCTR</v>
      </c>
      <c r="B1793" s="2" t="str">
        <f>IFERROR(__xludf.DUMMYFUNCTION("IF('From Order'!$A1793=COLUMNS($A1793:B1812), LEFT(INDEX(FILTER(B$1:B1792, B$1:B1792&lt;&gt;""""),COUNTA(FILTER(B$1:B1792, B$1:B1792&lt;&gt;""""))), LEN(INDEX(FILTER(B$1:B1792, B$1:B1792&lt;&gt;""""),COUNTA(FILTER(B$1:B1792, B$1:B1792&lt;&gt;""""))))-1), IF('To Order'!$A1793=COL"&amp;"UMNS($A1793:B1812), B1792&amp;RIGHT(INDIRECT(ADDRESS(ROW(B1793)-1, 'From Order'!$A1793)), 1), B1792))"),"GTTJ")</f>
        <v>GTTJ</v>
      </c>
      <c r="C1793" s="2" t="str">
        <f>IFERROR(__xludf.DUMMYFUNCTION("IF('From Order'!$A1793=COLUMNS($A1793:C1812), LEFT(INDEX(FILTER(C$1:C1792, C$1:C1792&lt;&gt;""""),COUNTA(FILTER(C$1:C1792, C$1:C1792&lt;&gt;""""))), LEN(INDEX(FILTER(C$1:C1792, C$1:C1792&lt;&gt;""""),COUNTA(FILTER(C$1:C1792, C$1:C1792&lt;&gt;""""))))-1), IF('To Order'!$A1793=COL"&amp;"UMNS($A1793:C1812), C1792&amp;RIGHT(INDIRECT(ADDRESS(ROW(C1793)-1, 'From Order'!$A1793)), 1), C1792))"),"T")</f>
        <v>T</v>
      </c>
      <c r="D1793" s="2" t="str">
        <f>IFERROR(__xludf.DUMMYFUNCTION("IF('From Order'!$A1793=COLUMNS($A1793:D1812), LEFT(INDEX(FILTER(D$1:D1792, D$1:D1792&lt;&gt;""""),COUNTA(FILTER(D$1:D1792, D$1:D1792&lt;&gt;""""))), LEN(INDEX(FILTER(D$1:D1792, D$1:D1792&lt;&gt;""""),COUNTA(FILTER(D$1:D1792, D$1:D1792&lt;&gt;""""))))-1), IF('To Order'!$A1793=COL"&amp;"UMNS($A1793:D1812), D1792&amp;RIGHT(INDIRECT(ADDRESS(ROW(D1793)-1, 'From Order'!$A1793)), 1), D1792))"),"RB")</f>
        <v>RB</v>
      </c>
      <c r="E1793" s="2" t="str">
        <f>IFERROR(__xludf.DUMMYFUNCTION("IF('From Order'!$A1793=COLUMNS($A1793:E1812), LEFT(INDEX(FILTER(E$1:E1792, E$1:E1792&lt;&gt;""""),COUNTA(FILTER(E$1:E1792, E$1:E1792&lt;&gt;""""))), LEN(INDEX(FILTER(E$1:E1792, E$1:E1792&lt;&gt;""""),COUNTA(FILTER(E$1:E1792, E$1:E1792&lt;&gt;""""))))-1), IF('To Order'!$A1793=COL"&amp;"UMNS($A1793:E1812), E1792&amp;RIGHT(INDIRECT(ADDRESS(ROW(E1793)-1, 'From Order'!$A1793)), 1), E1792))"),"CQ")</f>
        <v>CQ</v>
      </c>
      <c r="F1793" s="2" t="str">
        <f>IFERROR(__xludf.DUMMYFUNCTION("IF('From Order'!$A1793=COLUMNS($A1793:F1812), LEFT(INDEX(FILTER(F$1:F1792, F$1:F1792&lt;&gt;""""),COUNTA(FILTER(F$1:F1792, F$1:F1792&lt;&gt;""""))), LEN(INDEX(FILTER(F$1:F1792, F$1:F1792&lt;&gt;""""),COUNTA(FILTER(F$1:F1792, F$1:F1792&lt;&gt;""""))))-1), IF('To Order'!$A1793=COL"&amp;"UMNS($A1793:F1812), F1792&amp;RIGHT(INDIRECT(ADDRESS(ROW(F1793)-1, 'From Order'!$A1793)), 1), F1792))"),"")</f>
        <v/>
      </c>
      <c r="G1793" s="2" t="str">
        <f>IFERROR(__xludf.DUMMYFUNCTION("IF('From Order'!$A1793=COLUMNS($A1793:G1812), LEFT(INDEX(FILTER(G$1:G1792, G$1:G1792&lt;&gt;""""),COUNTA(FILTER(G$1:G1792, G$1:G1792&lt;&gt;""""))), LEN(INDEX(FILTER(G$1:G1792, G$1:G1792&lt;&gt;""""),COUNTA(FILTER(G$1:G1792, G$1:G1792&lt;&gt;""""))))-1), IF('To Order'!$A1793=COL"&amp;"UMNS($A1793:G1812), G1792&amp;RIGHT(INDIRECT(ADDRESS(ROW(G1793)-1, 'From Order'!$A1793)), 1), G1792))"),"MDJMBVRR")</f>
        <v>MDJMBVRR</v>
      </c>
      <c r="H1793" s="2" t="str">
        <f>IFERROR(__xludf.DUMMYFUNCTION("IF('From Order'!$A1793=COLUMNS($A1793:H1812), LEFT(INDEX(FILTER(H$1:H1792, H$1:H1792&lt;&gt;""""),COUNTA(FILTER(H$1:H1792, H$1:H1792&lt;&gt;""""))), LEN(INDEX(FILTER(H$1:H1792, H$1:H1792&lt;&gt;""""),COUNTA(FILTER(H$1:H1792, H$1:H1792&lt;&gt;""""))))-1), IF('To Order'!$A1793=COL"&amp;"UMNS($A1793:H1812), H1792&amp;RIGHT(INDIRECT(ADDRESS(ROW(H1793)-1, 'From Order'!$A1793)), 1), H1792))"),"")</f>
        <v/>
      </c>
      <c r="I1793" s="2" t="str">
        <f>IFERROR(__xludf.DUMMYFUNCTION("IF('From Order'!$A1793=COLUMNS($A1793:I1812), LEFT(INDEX(FILTER(I$1:I1792, I$1:I1792&lt;&gt;""""),COUNTA(FILTER(I$1:I1792, I$1:I1792&lt;&gt;""""))), LEN(INDEX(FILTER(I$1:I1792, I$1:I1792&lt;&gt;""""),COUNTA(FILTER(I$1:I1792, I$1:I1792&lt;&gt;""""))))-1), IF('To Order'!$A1793=COL"&amp;"UMNS($A1793:I1812), I1792&amp;RIGHT(INDIRECT(ADDRESS(ROW(I1793)-1, 'From Order'!$A1793)), 1), I1792))"),"")</f>
        <v/>
      </c>
    </row>
    <row r="1794">
      <c r="A1794" s="2" t="str">
        <f>IFERROR(__xludf.DUMMYFUNCTION("IF('From Order'!$A1794=COLUMNS($A1794:A1813), LEFT(INDEX(FILTER(A$1:A1793, A$1:A1793&lt;&gt;""""),COUNTA(FILTER(A$1:A1793, A$1:A1793&lt;&gt;""""))), LEN(INDEX(FILTER(A$1:A1793, A$1:A1793&lt;&gt;""""),COUNTA(FILTER(A$1:A1793, A$1:A1793&lt;&gt;""""))))-1), IF('To Order'!$A1794=COL"&amp;"UMNS($A1794:A1813), A1793&amp;RIGHT(INDIRECT(ADDRESS(ROW(A1794)-1, 'From Order'!$A1794)), 1), A1793))"),"ZHZMTDLDSPBFLLWDDVQJPPSSTWZCSFHBGRDVCTR")</f>
        <v>ZHZMTDLDSPBFLLWDDVQJPPSSTWZCSFHBGRDVCTR</v>
      </c>
      <c r="B1794" s="2" t="str">
        <f>IFERROR(__xludf.DUMMYFUNCTION("IF('From Order'!$A1794=COLUMNS($A1794:B1813), LEFT(INDEX(FILTER(B$1:B1793, B$1:B1793&lt;&gt;""""),COUNTA(FILTER(B$1:B1793, B$1:B1793&lt;&gt;""""))), LEN(INDEX(FILTER(B$1:B1793, B$1:B1793&lt;&gt;""""),COUNTA(FILTER(B$1:B1793, B$1:B1793&lt;&gt;""""))))-1), IF('To Order'!$A1794=COL"&amp;"UMNS($A1794:B1813), B1793&amp;RIGHT(INDIRECT(ADDRESS(ROW(B1794)-1, 'From Order'!$A1794)), 1), B1793))"),"GTTJ")</f>
        <v>GTTJ</v>
      </c>
      <c r="C1794" s="2" t="str">
        <f>IFERROR(__xludf.DUMMYFUNCTION("IF('From Order'!$A1794=COLUMNS($A1794:C1813), LEFT(INDEX(FILTER(C$1:C1793, C$1:C1793&lt;&gt;""""),COUNTA(FILTER(C$1:C1793, C$1:C1793&lt;&gt;""""))), LEN(INDEX(FILTER(C$1:C1793, C$1:C1793&lt;&gt;""""),COUNTA(FILTER(C$1:C1793, C$1:C1793&lt;&gt;""""))))-1), IF('To Order'!$A1794=COL"&amp;"UMNS($A1794:C1813), C1793&amp;RIGHT(INDIRECT(ADDRESS(ROW(C1794)-1, 'From Order'!$A1794)), 1), C1793))"),"")</f>
        <v/>
      </c>
      <c r="D1794" s="2" t="str">
        <f>IFERROR(__xludf.DUMMYFUNCTION("IF('From Order'!$A1794=COLUMNS($A1794:D1813), LEFT(INDEX(FILTER(D$1:D1793, D$1:D1793&lt;&gt;""""),COUNTA(FILTER(D$1:D1793, D$1:D1793&lt;&gt;""""))), LEN(INDEX(FILTER(D$1:D1793, D$1:D1793&lt;&gt;""""),COUNTA(FILTER(D$1:D1793, D$1:D1793&lt;&gt;""""))))-1), IF('To Order'!$A1794=COL"&amp;"UMNS($A1794:D1813), D1793&amp;RIGHT(INDIRECT(ADDRESS(ROW(D1794)-1, 'From Order'!$A1794)), 1), D1793))"),"RB")</f>
        <v>RB</v>
      </c>
      <c r="E1794" s="2" t="str">
        <f>IFERROR(__xludf.DUMMYFUNCTION("IF('From Order'!$A1794=COLUMNS($A1794:E1813), LEFT(INDEX(FILTER(E$1:E1793, E$1:E1793&lt;&gt;""""),COUNTA(FILTER(E$1:E1793, E$1:E1793&lt;&gt;""""))), LEN(INDEX(FILTER(E$1:E1793, E$1:E1793&lt;&gt;""""),COUNTA(FILTER(E$1:E1793, E$1:E1793&lt;&gt;""""))))-1), IF('To Order'!$A1794=COL"&amp;"UMNS($A1794:E1813), E1793&amp;RIGHT(INDIRECT(ADDRESS(ROW(E1794)-1, 'From Order'!$A1794)), 1), E1793))"),"CQT")</f>
        <v>CQT</v>
      </c>
      <c r="F1794" s="2" t="str">
        <f>IFERROR(__xludf.DUMMYFUNCTION("IF('From Order'!$A1794=COLUMNS($A1794:F1813), LEFT(INDEX(FILTER(F$1:F1793, F$1:F1793&lt;&gt;""""),COUNTA(FILTER(F$1:F1793, F$1:F1793&lt;&gt;""""))), LEN(INDEX(FILTER(F$1:F1793, F$1:F1793&lt;&gt;""""),COUNTA(FILTER(F$1:F1793, F$1:F1793&lt;&gt;""""))))-1), IF('To Order'!$A1794=COL"&amp;"UMNS($A1794:F1813), F1793&amp;RIGHT(INDIRECT(ADDRESS(ROW(F1794)-1, 'From Order'!$A1794)), 1), F1793))"),"")</f>
        <v/>
      </c>
      <c r="G1794" s="2" t="str">
        <f>IFERROR(__xludf.DUMMYFUNCTION("IF('From Order'!$A1794=COLUMNS($A1794:G1813), LEFT(INDEX(FILTER(G$1:G1793, G$1:G1793&lt;&gt;""""),COUNTA(FILTER(G$1:G1793, G$1:G1793&lt;&gt;""""))), LEN(INDEX(FILTER(G$1:G1793, G$1:G1793&lt;&gt;""""),COUNTA(FILTER(G$1:G1793, G$1:G1793&lt;&gt;""""))))-1), IF('To Order'!$A1794=COL"&amp;"UMNS($A1794:G1813), G1793&amp;RIGHT(INDIRECT(ADDRESS(ROW(G1794)-1, 'From Order'!$A1794)), 1), G1793))"),"MDJMBVRR")</f>
        <v>MDJMBVRR</v>
      </c>
      <c r="H1794" s="2" t="str">
        <f>IFERROR(__xludf.DUMMYFUNCTION("IF('From Order'!$A1794=COLUMNS($A1794:H1813), LEFT(INDEX(FILTER(H$1:H1793, H$1:H1793&lt;&gt;""""),COUNTA(FILTER(H$1:H1793, H$1:H1793&lt;&gt;""""))), LEN(INDEX(FILTER(H$1:H1793, H$1:H1793&lt;&gt;""""),COUNTA(FILTER(H$1:H1793, H$1:H1793&lt;&gt;""""))))-1), IF('To Order'!$A1794=COL"&amp;"UMNS($A1794:H1813), H1793&amp;RIGHT(INDIRECT(ADDRESS(ROW(H1794)-1, 'From Order'!$A1794)), 1), H1793))"),"")</f>
        <v/>
      </c>
      <c r="I1794" s="2" t="str">
        <f>IFERROR(__xludf.DUMMYFUNCTION("IF('From Order'!$A1794=COLUMNS($A1794:I1813), LEFT(INDEX(FILTER(I$1:I1793, I$1:I1793&lt;&gt;""""),COUNTA(FILTER(I$1:I1793, I$1:I1793&lt;&gt;""""))), LEN(INDEX(FILTER(I$1:I1793, I$1:I1793&lt;&gt;""""),COUNTA(FILTER(I$1:I1793, I$1:I1793&lt;&gt;""""))))-1), IF('To Order'!$A1794=COL"&amp;"UMNS($A1794:I1813), I1793&amp;RIGHT(INDIRECT(ADDRESS(ROW(I1794)-1, 'From Order'!$A1794)), 1), I1793))"),"")</f>
        <v/>
      </c>
    </row>
    <row r="1795">
      <c r="A1795" s="2" t="str">
        <f>IFERROR(__xludf.DUMMYFUNCTION("IF('From Order'!$A1795=COLUMNS($A1795:A1814), LEFT(INDEX(FILTER(A$1:A1794, A$1:A1794&lt;&gt;""""),COUNTA(FILTER(A$1:A1794, A$1:A1794&lt;&gt;""""))), LEN(INDEX(FILTER(A$1:A1794, A$1:A1794&lt;&gt;""""),COUNTA(FILTER(A$1:A1794, A$1:A1794&lt;&gt;""""))))-1), IF('To Order'!$A1795=COL"&amp;"UMNS($A1795:A1814), A1794&amp;RIGHT(INDIRECT(ADDRESS(ROW(A1795)-1, 'From Order'!$A1795)), 1), A1794))"),"ZHZMTDLDSPBFLLWDDVQJPPSSTWZCSFHBGRDVCT")</f>
        <v>ZHZMTDLDSPBFLLWDDVQJPPSSTWZCSFHBGRDVCT</v>
      </c>
      <c r="B1795" s="2" t="str">
        <f>IFERROR(__xludf.DUMMYFUNCTION("IF('From Order'!$A1795=COLUMNS($A1795:B1814), LEFT(INDEX(FILTER(B$1:B1794, B$1:B1794&lt;&gt;""""),COUNTA(FILTER(B$1:B1794, B$1:B1794&lt;&gt;""""))), LEN(INDEX(FILTER(B$1:B1794, B$1:B1794&lt;&gt;""""),COUNTA(FILTER(B$1:B1794, B$1:B1794&lt;&gt;""""))))-1), IF('To Order'!$A1795=COL"&amp;"UMNS($A1795:B1814), B1794&amp;RIGHT(INDIRECT(ADDRESS(ROW(B1795)-1, 'From Order'!$A1795)), 1), B1794))"),"GTTJ")</f>
        <v>GTTJ</v>
      </c>
      <c r="C1795" s="2" t="str">
        <f>IFERROR(__xludf.DUMMYFUNCTION("IF('From Order'!$A1795=COLUMNS($A1795:C1814), LEFT(INDEX(FILTER(C$1:C1794, C$1:C1794&lt;&gt;""""),COUNTA(FILTER(C$1:C1794, C$1:C1794&lt;&gt;""""))), LEN(INDEX(FILTER(C$1:C1794, C$1:C1794&lt;&gt;""""),COUNTA(FILTER(C$1:C1794, C$1:C1794&lt;&gt;""""))))-1), IF('To Order'!$A1795=COL"&amp;"UMNS($A1795:C1814), C1794&amp;RIGHT(INDIRECT(ADDRESS(ROW(C1795)-1, 'From Order'!$A1795)), 1), C1794))"),"")</f>
        <v/>
      </c>
      <c r="D1795" s="2" t="str">
        <f>IFERROR(__xludf.DUMMYFUNCTION("IF('From Order'!$A1795=COLUMNS($A1795:D1814), LEFT(INDEX(FILTER(D$1:D1794, D$1:D1794&lt;&gt;""""),COUNTA(FILTER(D$1:D1794, D$1:D1794&lt;&gt;""""))), LEN(INDEX(FILTER(D$1:D1794, D$1:D1794&lt;&gt;""""),COUNTA(FILTER(D$1:D1794, D$1:D1794&lt;&gt;""""))))-1), IF('To Order'!$A1795=COL"&amp;"UMNS($A1795:D1814), D1794&amp;RIGHT(INDIRECT(ADDRESS(ROW(D1795)-1, 'From Order'!$A1795)), 1), D1794))"),"RB")</f>
        <v>RB</v>
      </c>
      <c r="E1795" s="2" t="str">
        <f>IFERROR(__xludf.DUMMYFUNCTION("IF('From Order'!$A1795=COLUMNS($A1795:E1814), LEFT(INDEX(FILTER(E$1:E1794, E$1:E1794&lt;&gt;""""),COUNTA(FILTER(E$1:E1794, E$1:E1794&lt;&gt;""""))), LEN(INDEX(FILTER(E$1:E1794, E$1:E1794&lt;&gt;""""),COUNTA(FILTER(E$1:E1794, E$1:E1794&lt;&gt;""""))))-1), IF('To Order'!$A1795=COL"&amp;"UMNS($A1795:E1814), E1794&amp;RIGHT(INDIRECT(ADDRESS(ROW(E1795)-1, 'From Order'!$A1795)), 1), E1794))"),"CQTR")</f>
        <v>CQTR</v>
      </c>
      <c r="F1795" s="2" t="str">
        <f>IFERROR(__xludf.DUMMYFUNCTION("IF('From Order'!$A1795=COLUMNS($A1795:F1814), LEFT(INDEX(FILTER(F$1:F1794, F$1:F1794&lt;&gt;""""),COUNTA(FILTER(F$1:F1794, F$1:F1794&lt;&gt;""""))), LEN(INDEX(FILTER(F$1:F1794, F$1:F1794&lt;&gt;""""),COUNTA(FILTER(F$1:F1794, F$1:F1794&lt;&gt;""""))))-1), IF('To Order'!$A1795=COL"&amp;"UMNS($A1795:F1814), F1794&amp;RIGHT(INDIRECT(ADDRESS(ROW(F1795)-1, 'From Order'!$A1795)), 1), F1794))"),"")</f>
        <v/>
      </c>
      <c r="G1795" s="2" t="str">
        <f>IFERROR(__xludf.DUMMYFUNCTION("IF('From Order'!$A1795=COLUMNS($A1795:G1814), LEFT(INDEX(FILTER(G$1:G1794, G$1:G1794&lt;&gt;""""),COUNTA(FILTER(G$1:G1794, G$1:G1794&lt;&gt;""""))), LEN(INDEX(FILTER(G$1:G1794, G$1:G1794&lt;&gt;""""),COUNTA(FILTER(G$1:G1794, G$1:G1794&lt;&gt;""""))))-1), IF('To Order'!$A1795=COL"&amp;"UMNS($A1795:G1814), G1794&amp;RIGHT(INDIRECT(ADDRESS(ROW(G1795)-1, 'From Order'!$A1795)), 1), G1794))"),"MDJMBVRR")</f>
        <v>MDJMBVRR</v>
      </c>
      <c r="H1795" s="2" t="str">
        <f>IFERROR(__xludf.DUMMYFUNCTION("IF('From Order'!$A1795=COLUMNS($A1795:H1814), LEFT(INDEX(FILTER(H$1:H1794, H$1:H1794&lt;&gt;""""),COUNTA(FILTER(H$1:H1794, H$1:H1794&lt;&gt;""""))), LEN(INDEX(FILTER(H$1:H1794, H$1:H1794&lt;&gt;""""),COUNTA(FILTER(H$1:H1794, H$1:H1794&lt;&gt;""""))))-1), IF('To Order'!$A1795=COL"&amp;"UMNS($A1795:H1814), H1794&amp;RIGHT(INDIRECT(ADDRESS(ROW(H1795)-1, 'From Order'!$A1795)), 1), H1794))"),"")</f>
        <v/>
      </c>
      <c r="I1795" s="2" t="str">
        <f>IFERROR(__xludf.DUMMYFUNCTION("IF('From Order'!$A1795=COLUMNS($A1795:I1814), LEFT(INDEX(FILTER(I$1:I1794, I$1:I1794&lt;&gt;""""),COUNTA(FILTER(I$1:I1794, I$1:I1794&lt;&gt;""""))), LEN(INDEX(FILTER(I$1:I1794, I$1:I1794&lt;&gt;""""),COUNTA(FILTER(I$1:I1794, I$1:I1794&lt;&gt;""""))))-1), IF('To Order'!$A1795=COL"&amp;"UMNS($A1795:I1814), I1794&amp;RIGHT(INDIRECT(ADDRESS(ROW(I1795)-1, 'From Order'!$A1795)), 1), I1794))"),"")</f>
        <v/>
      </c>
    </row>
    <row r="1796">
      <c r="A1796" s="2" t="str">
        <f>IFERROR(__xludf.DUMMYFUNCTION("IF('From Order'!$A1796=COLUMNS($A1796:A1815), LEFT(INDEX(FILTER(A$1:A1795, A$1:A1795&lt;&gt;""""),COUNTA(FILTER(A$1:A1795, A$1:A1795&lt;&gt;""""))), LEN(INDEX(FILTER(A$1:A1795, A$1:A1795&lt;&gt;""""),COUNTA(FILTER(A$1:A1795, A$1:A1795&lt;&gt;""""))))-1), IF('To Order'!$A1796=COL"&amp;"UMNS($A1796:A1815), A1795&amp;RIGHT(INDIRECT(ADDRESS(ROW(A1796)-1, 'From Order'!$A1796)), 1), A1795))"),"ZHZMTDLDSPBFLLWDDVQJPPSSTWZCSFHBGRDVC")</f>
        <v>ZHZMTDLDSPBFLLWDDVQJPPSSTWZCSFHBGRDVC</v>
      </c>
      <c r="B1796" s="2" t="str">
        <f>IFERROR(__xludf.DUMMYFUNCTION("IF('From Order'!$A1796=COLUMNS($A1796:B1815), LEFT(INDEX(FILTER(B$1:B1795, B$1:B1795&lt;&gt;""""),COUNTA(FILTER(B$1:B1795, B$1:B1795&lt;&gt;""""))), LEN(INDEX(FILTER(B$1:B1795, B$1:B1795&lt;&gt;""""),COUNTA(FILTER(B$1:B1795, B$1:B1795&lt;&gt;""""))))-1), IF('To Order'!$A1796=COL"&amp;"UMNS($A1796:B1815), B1795&amp;RIGHT(INDIRECT(ADDRESS(ROW(B1796)-1, 'From Order'!$A1796)), 1), B1795))"),"GTTJ")</f>
        <v>GTTJ</v>
      </c>
      <c r="C1796" s="2" t="str">
        <f>IFERROR(__xludf.DUMMYFUNCTION("IF('From Order'!$A1796=COLUMNS($A1796:C1815), LEFT(INDEX(FILTER(C$1:C1795, C$1:C1795&lt;&gt;""""),COUNTA(FILTER(C$1:C1795, C$1:C1795&lt;&gt;""""))), LEN(INDEX(FILTER(C$1:C1795, C$1:C1795&lt;&gt;""""),COUNTA(FILTER(C$1:C1795, C$1:C1795&lt;&gt;""""))))-1), IF('To Order'!$A1796=COL"&amp;"UMNS($A1796:C1815), C1795&amp;RIGHT(INDIRECT(ADDRESS(ROW(C1796)-1, 'From Order'!$A1796)), 1), C1795))"),"")</f>
        <v/>
      </c>
      <c r="D1796" s="2" t="str">
        <f>IFERROR(__xludf.DUMMYFUNCTION("IF('From Order'!$A1796=COLUMNS($A1796:D1815), LEFT(INDEX(FILTER(D$1:D1795, D$1:D1795&lt;&gt;""""),COUNTA(FILTER(D$1:D1795, D$1:D1795&lt;&gt;""""))), LEN(INDEX(FILTER(D$1:D1795, D$1:D1795&lt;&gt;""""),COUNTA(FILTER(D$1:D1795, D$1:D1795&lt;&gt;""""))))-1), IF('To Order'!$A1796=COL"&amp;"UMNS($A1796:D1815), D1795&amp;RIGHT(INDIRECT(ADDRESS(ROW(D1796)-1, 'From Order'!$A1796)), 1), D1795))"),"RB")</f>
        <v>RB</v>
      </c>
      <c r="E1796" s="2" t="str">
        <f>IFERROR(__xludf.DUMMYFUNCTION("IF('From Order'!$A1796=COLUMNS($A1796:E1815), LEFT(INDEX(FILTER(E$1:E1795, E$1:E1795&lt;&gt;""""),COUNTA(FILTER(E$1:E1795, E$1:E1795&lt;&gt;""""))), LEN(INDEX(FILTER(E$1:E1795, E$1:E1795&lt;&gt;""""),COUNTA(FILTER(E$1:E1795, E$1:E1795&lt;&gt;""""))))-1), IF('To Order'!$A1796=COL"&amp;"UMNS($A1796:E1815), E1795&amp;RIGHT(INDIRECT(ADDRESS(ROW(E1796)-1, 'From Order'!$A1796)), 1), E1795))"),"CQTRT")</f>
        <v>CQTRT</v>
      </c>
      <c r="F1796" s="2" t="str">
        <f>IFERROR(__xludf.DUMMYFUNCTION("IF('From Order'!$A1796=COLUMNS($A1796:F1815), LEFT(INDEX(FILTER(F$1:F1795, F$1:F1795&lt;&gt;""""),COUNTA(FILTER(F$1:F1795, F$1:F1795&lt;&gt;""""))), LEN(INDEX(FILTER(F$1:F1795, F$1:F1795&lt;&gt;""""),COUNTA(FILTER(F$1:F1795, F$1:F1795&lt;&gt;""""))))-1), IF('To Order'!$A1796=COL"&amp;"UMNS($A1796:F1815), F1795&amp;RIGHT(INDIRECT(ADDRESS(ROW(F1796)-1, 'From Order'!$A1796)), 1), F1795))"),"")</f>
        <v/>
      </c>
      <c r="G1796" s="2" t="str">
        <f>IFERROR(__xludf.DUMMYFUNCTION("IF('From Order'!$A1796=COLUMNS($A1796:G1815), LEFT(INDEX(FILTER(G$1:G1795, G$1:G1795&lt;&gt;""""),COUNTA(FILTER(G$1:G1795, G$1:G1795&lt;&gt;""""))), LEN(INDEX(FILTER(G$1:G1795, G$1:G1795&lt;&gt;""""),COUNTA(FILTER(G$1:G1795, G$1:G1795&lt;&gt;""""))))-1), IF('To Order'!$A1796=COL"&amp;"UMNS($A1796:G1815), G1795&amp;RIGHT(INDIRECT(ADDRESS(ROW(G1796)-1, 'From Order'!$A1796)), 1), G1795))"),"MDJMBVRR")</f>
        <v>MDJMBVRR</v>
      </c>
      <c r="H1796" s="2" t="str">
        <f>IFERROR(__xludf.DUMMYFUNCTION("IF('From Order'!$A1796=COLUMNS($A1796:H1815), LEFT(INDEX(FILTER(H$1:H1795, H$1:H1795&lt;&gt;""""),COUNTA(FILTER(H$1:H1795, H$1:H1795&lt;&gt;""""))), LEN(INDEX(FILTER(H$1:H1795, H$1:H1795&lt;&gt;""""),COUNTA(FILTER(H$1:H1795, H$1:H1795&lt;&gt;""""))))-1), IF('To Order'!$A1796=COL"&amp;"UMNS($A1796:H1815), H1795&amp;RIGHT(INDIRECT(ADDRESS(ROW(H1796)-1, 'From Order'!$A1796)), 1), H1795))"),"")</f>
        <v/>
      </c>
      <c r="I1796" s="2" t="str">
        <f>IFERROR(__xludf.DUMMYFUNCTION("IF('From Order'!$A1796=COLUMNS($A1796:I1815), LEFT(INDEX(FILTER(I$1:I1795, I$1:I1795&lt;&gt;""""),COUNTA(FILTER(I$1:I1795, I$1:I1795&lt;&gt;""""))), LEN(INDEX(FILTER(I$1:I1795, I$1:I1795&lt;&gt;""""),COUNTA(FILTER(I$1:I1795, I$1:I1795&lt;&gt;""""))))-1), IF('To Order'!$A1796=COL"&amp;"UMNS($A1796:I1815), I1795&amp;RIGHT(INDIRECT(ADDRESS(ROW(I1796)-1, 'From Order'!$A1796)), 1), I1795))"),"")</f>
        <v/>
      </c>
    </row>
    <row r="1797">
      <c r="A1797" s="2" t="str">
        <f>IFERROR(__xludf.DUMMYFUNCTION("IF('From Order'!$A1797=COLUMNS($A1797:A1816), LEFT(INDEX(FILTER(A$1:A1796, A$1:A1796&lt;&gt;""""),COUNTA(FILTER(A$1:A1796, A$1:A1796&lt;&gt;""""))), LEN(INDEX(FILTER(A$1:A1796, A$1:A1796&lt;&gt;""""),COUNTA(FILTER(A$1:A1796, A$1:A1796&lt;&gt;""""))))-1), IF('To Order'!$A1797=COL"&amp;"UMNS($A1797:A1816), A1796&amp;RIGHT(INDIRECT(ADDRESS(ROW(A1797)-1, 'From Order'!$A1797)), 1), A1796))"),"ZHZMTDLDSPBFLLWDDVQJPPSSTWZCSFHBGRDV")</f>
        <v>ZHZMTDLDSPBFLLWDDVQJPPSSTWZCSFHBGRDV</v>
      </c>
      <c r="B1797" s="2" t="str">
        <f>IFERROR(__xludf.DUMMYFUNCTION("IF('From Order'!$A1797=COLUMNS($A1797:B1816), LEFT(INDEX(FILTER(B$1:B1796, B$1:B1796&lt;&gt;""""),COUNTA(FILTER(B$1:B1796, B$1:B1796&lt;&gt;""""))), LEN(INDEX(FILTER(B$1:B1796, B$1:B1796&lt;&gt;""""),COUNTA(FILTER(B$1:B1796, B$1:B1796&lt;&gt;""""))))-1), IF('To Order'!$A1797=COL"&amp;"UMNS($A1797:B1816), B1796&amp;RIGHT(INDIRECT(ADDRESS(ROW(B1797)-1, 'From Order'!$A1797)), 1), B1796))"),"GTTJ")</f>
        <v>GTTJ</v>
      </c>
      <c r="C1797" s="2" t="str">
        <f>IFERROR(__xludf.DUMMYFUNCTION("IF('From Order'!$A1797=COLUMNS($A1797:C1816), LEFT(INDEX(FILTER(C$1:C1796, C$1:C1796&lt;&gt;""""),COUNTA(FILTER(C$1:C1796, C$1:C1796&lt;&gt;""""))), LEN(INDEX(FILTER(C$1:C1796, C$1:C1796&lt;&gt;""""),COUNTA(FILTER(C$1:C1796, C$1:C1796&lt;&gt;""""))))-1), IF('To Order'!$A1797=COL"&amp;"UMNS($A1797:C1816), C1796&amp;RIGHT(INDIRECT(ADDRESS(ROW(C1797)-1, 'From Order'!$A1797)), 1), C1796))"),"")</f>
        <v/>
      </c>
      <c r="D1797" s="2" t="str">
        <f>IFERROR(__xludf.DUMMYFUNCTION("IF('From Order'!$A1797=COLUMNS($A1797:D1816), LEFT(INDEX(FILTER(D$1:D1796, D$1:D1796&lt;&gt;""""),COUNTA(FILTER(D$1:D1796, D$1:D1796&lt;&gt;""""))), LEN(INDEX(FILTER(D$1:D1796, D$1:D1796&lt;&gt;""""),COUNTA(FILTER(D$1:D1796, D$1:D1796&lt;&gt;""""))))-1), IF('To Order'!$A1797=COL"&amp;"UMNS($A1797:D1816), D1796&amp;RIGHT(INDIRECT(ADDRESS(ROW(D1797)-1, 'From Order'!$A1797)), 1), D1796))"),"RB")</f>
        <v>RB</v>
      </c>
      <c r="E1797" s="2" t="str">
        <f>IFERROR(__xludf.DUMMYFUNCTION("IF('From Order'!$A1797=COLUMNS($A1797:E1816), LEFT(INDEX(FILTER(E$1:E1796, E$1:E1796&lt;&gt;""""),COUNTA(FILTER(E$1:E1796, E$1:E1796&lt;&gt;""""))), LEN(INDEX(FILTER(E$1:E1796, E$1:E1796&lt;&gt;""""),COUNTA(FILTER(E$1:E1796, E$1:E1796&lt;&gt;""""))))-1), IF('To Order'!$A1797=COL"&amp;"UMNS($A1797:E1816), E1796&amp;RIGHT(INDIRECT(ADDRESS(ROW(E1797)-1, 'From Order'!$A1797)), 1), E1796))"),"CQTRTC")</f>
        <v>CQTRTC</v>
      </c>
      <c r="F1797" s="2" t="str">
        <f>IFERROR(__xludf.DUMMYFUNCTION("IF('From Order'!$A1797=COLUMNS($A1797:F1816), LEFT(INDEX(FILTER(F$1:F1796, F$1:F1796&lt;&gt;""""),COUNTA(FILTER(F$1:F1796, F$1:F1796&lt;&gt;""""))), LEN(INDEX(FILTER(F$1:F1796, F$1:F1796&lt;&gt;""""),COUNTA(FILTER(F$1:F1796, F$1:F1796&lt;&gt;""""))))-1), IF('To Order'!$A1797=COL"&amp;"UMNS($A1797:F1816), F1796&amp;RIGHT(INDIRECT(ADDRESS(ROW(F1797)-1, 'From Order'!$A1797)), 1), F1796))"),"")</f>
        <v/>
      </c>
      <c r="G1797" s="2" t="str">
        <f>IFERROR(__xludf.DUMMYFUNCTION("IF('From Order'!$A1797=COLUMNS($A1797:G1816), LEFT(INDEX(FILTER(G$1:G1796, G$1:G1796&lt;&gt;""""),COUNTA(FILTER(G$1:G1796, G$1:G1796&lt;&gt;""""))), LEN(INDEX(FILTER(G$1:G1796, G$1:G1796&lt;&gt;""""),COUNTA(FILTER(G$1:G1796, G$1:G1796&lt;&gt;""""))))-1), IF('To Order'!$A1797=COL"&amp;"UMNS($A1797:G1816), G1796&amp;RIGHT(INDIRECT(ADDRESS(ROW(G1797)-1, 'From Order'!$A1797)), 1), G1796))"),"MDJMBVRR")</f>
        <v>MDJMBVRR</v>
      </c>
      <c r="H1797" s="2" t="str">
        <f>IFERROR(__xludf.DUMMYFUNCTION("IF('From Order'!$A1797=COLUMNS($A1797:H1816), LEFT(INDEX(FILTER(H$1:H1796, H$1:H1796&lt;&gt;""""),COUNTA(FILTER(H$1:H1796, H$1:H1796&lt;&gt;""""))), LEN(INDEX(FILTER(H$1:H1796, H$1:H1796&lt;&gt;""""),COUNTA(FILTER(H$1:H1796, H$1:H1796&lt;&gt;""""))))-1), IF('To Order'!$A1797=COL"&amp;"UMNS($A1797:H1816), H1796&amp;RIGHT(INDIRECT(ADDRESS(ROW(H1797)-1, 'From Order'!$A1797)), 1), H1796))"),"")</f>
        <v/>
      </c>
      <c r="I1797" s="2" t="str">
        <f>IFERROR(__xludf.DUMMYFUNCTION("IF('From Order'!$A1797=COLUMNS($A1797:I1816), LEFT(INDEX(FILTER(I$1:I1796, I$1:I1796&lt;&gt;""""),COUNTA(FILTER(I$1:I1796, I$1:I1796&lt;&gt;""""))), LEN(INDEX(FILTER(I$1:I1796, I$1:I1796&lt;&gt;""""),COUNTA(FILTER(I$1:I1796, I$1:I1796&lt;&gt;""""))))-1), IF('To Order'!$A1797=COL"&amp;"UMNS($A1797:I1816), I1796&amp;RIGHT(INDIRECT(ADDRESS(ROW(I1797)-1, 'From Order'!$A1797)), 1), I1796))"),"")</f>
        <v/>
      </c>
    </row>
    <row r="1798">
      <c r="A1798" s="2" t="str">
        <f>IFERROR(__xludf.DUMMYFUNCTION("IF('From Order'!$A1798=COLUMNS($A1798:A1817), LEFT(INDEX(FILTER(A$1:A1797, A$1:A1797&lt;&gt;""""),COUNTA(FILTER(A$1:A1797, A$1:A1797&lt;&gt;""""))), LEN(INDEX(FILTER(A$1:A1797, A$1:A1797&lt;&gt;""""),COUNTA(FILTER(A$1:A1797, A$1:A1797&lt;&gt;""""))))-1), IF('To Order'!$A1798=COL"&amp;"UMNS($A1798:A1817), A1797&amp;RIGHT(INDIRECT(ADDRESS(ROW(A1798)-1, 'From Order'!$A1798)), 1), A1797))"),"ZHZMTDLDSPBFLLWDDVQJPPSSTWZCSFHBGRD")</f>
        <v>ZHZMTDLDSPBFLLWDDVQJPPSSTWZCSFHBGRD</v>
      </c>
      <c r="B1798" s="2" t="str">
        <f>IFERROR(__xludf.DUMMYFUNCTION("IF('From Order'!$A1798=COLUMNS($A1798:B1817), LEFT(INDEX(FILTER(B$1:B1797, B$1:B1797&lt;&gt;""""),COUNTA(FILTER(B$1:B1797, B$1:B1797&lt;&gt;""""))), LEN(INDEX(FILTER(B$1:B1797, B$1:B1797&lt;&gt;""""),COUNTA(FILTER(B$1:B1797, B$1:B1797&lt;&gt;""""))))-1), IF('To Order'!$A1798=COL"&amp;"UMNS($A1798:B1817), B1797&amp;RIGHT(INDIRECT(ADDRESS(ROW(B1798)-1, 'From Order'!$A1798)), 1), B1797))"),"GTTJ")</f>
        <v>GTTJ</v>
      </c>
      <c r="C1798" s="2" t="str">
        <f>IFERROR(__xludf.DUMMYFUNCTION("IF('From Order'!$A1798=COLUMNS($A1798:C1817), LEFT(INDEX(FILTER(C$1:C1797, C$1:C1797&lt;&gt;""""),COUNTA(FILTER(C$1:C1797, C$1:C1797&lt;&gt;""""))), LEN(INDEX(FILTER(C$1:C1797, C$1:C1797&lt;&gt;""""),COUNTA(FILTER(C$1:C1797, C$1:C1797&lt;&gt;""""))))-1), IF('To Order'!$A1798=COL"&amp;"UMNS($A1798:C1817), C1797&amp;RIGHT(INDIRECT(ADDRESS(ROW(C1798)-1, 'From Order'!$A1798)), 1), C1797))"),"")</f>
        <v/>
      </c>
      <c r="D1798" s="2" t="str">
        <f>IFERROR(__xludf.DUMMYFUNCTION("IF('From Order'!$A1798=COLUMNS($A1798:D1817), LEFT(INDEX(FILTER(D$1:D1797, D$1:D1797&lt;&gt;""""),COUNTA(FILTER(D$1:D1797, D$1:D1797&lt;&gt;""""))), LEN(INDEX(FILTER(D$1:D1797, D$1:D1797&lt;&gt;""""),COUNTA(FILTER(D$1:D1797, D$1:D1797&lt;&gt;""""))))-1), IF('To Order'!$A1798=COL"&amp;"UMNS($A1798:D1817), D1797&amp;RIGHT(INDIRECT(ADDRESS(ROW(D1798)-1, 'From Order'!$A1798)), 1), D1797))"),"RB")</f>
        <v>RB</v>
      </c>
      <c r="E1798" s="2" t="str">
        <f>IFERROR(__xludf.DUMMYFUNCTION("IF('From Order'!$A1798=COLUMNS($A1798:E1817), LEFT(INDEX(FILTER(E$1:E1797, E$1:E1797&lt;&gt;""""),COUNTA(FILTER(E$1:E1797, E$1:E1797&lt;&gt;""""))), LEN(INDEX(FILTER(E$1:E1797, E$1:E1797&lt;&gt;""""),COUNTA(FILTER(E$1:E1797, E$1:E1797&lt;&gt;""""))))-1), IF('To Order'!$A1798=COL"&amp;"UMNS($A1798:E1817), E1797&amp;RIGHT(INDIRECT(ADDRESS(ROW(E1798)-1, 'From Order'!$A1798)), 1), E1797))"),"CQTRTCV")</f>
        <v>CQTRTCV</v>
      </c>
      <c r="F1798" s="2" t="str">
        <f>IFERROR(__xludf.DUMMYFUNCTION("IF('From Order'!$A1798=COLUMNS($A1798:F1817), LEFT(INDEX(FILTER(F$1:F1797, F$1:F1797&lt;&gt;""""),COUNTA(FILTER(F$1:F1797, F$1:F1797&lt;&gt;""""))), LEN(INDEX(FILTER(F$1:F1797, F$1:F1797&lt;&gt;""""),COUNTA(FILTER(F$1:F1797, F$1:F1797&lt;&gt;""""))))-1), IF('To Order'!$A1798=COL"&amp;"UMNS($A1798:F1817), F1797&amp;RIGHT(INDIRECT(ADDRESS(ROW(F1798)-1, 'From Order'!$A1798)), 1), F1797))"),"")</f>
        <v/>
      </c>
      <c r="G1798" s="2" t="str">
        <f>IFERROR(__xludf.DUMMYFUNCTION("IF('From Order'!$A1798=COLUMNS($A1798:G1817), LEFT(INDEX(FILTER(G$1:G1797, G$1:G1797&lt;&gt;""""),COUNTA(FILTER(G$1:G1797, G$1:G1797&lt;&gt;""""))), LEN(INDEX(FILTER(G$1:G1797, G$1:G1797&lt;&gt;""""),COUNTA(FILTER(G$1:G1797, G$1:G1797&lt;&gt;""""))))-1), IF('To Order'!$A1798=COL"&amp;"UMNS($A1798:G1817), G1797&amp;RIGHT(INDIRECT(ADDRESS(ROW(G1798)-1, 'From Order'!$A1798)), 1), G1797))"),"MDJMBVRR")</f>
        <v>MDJMBVRR</v>
      </c>
      <c r="H1798" s="2" t="str">
        <f>IFERROR(__xludf.DUMMYFUNCTION("IF('From Order'!$A1798=COLUMNS($A1798:H1817), LEFT(INDEX(FILTER(H$1:H1797, H$1:H1797&lt;&gt;""""),COUNTA(FILTER(H$1:H1797, H$1:H1797&lt;&gt;""""))), LEN(INDEX(FILTER(H$1:H1797, H$1:H1797&lt;&gt;""""),COUNTA(FILTER(H$1:H1797, H$1:H1797&lt;&gt;""""))))-1), IF('To Order'!$A1798=COL"&amp;"UMNS($A1798:H1817), H1797&amp;RIGHT(INDIRECT(ADDRESS(ROW(H1798)-1, 'From Order'!$A1798)), 1), H1797))"),"")</f>
        <v/>
      </c>
      <c r="I1798" s="2" t="str">
        <f>IFERROR(__xludf.DUMMYFUNCTION("IF('From Order'!$A1798=COLUMNS($A1798:I1817), LEFT(INDEX(FILTER(I$1:I1797, I$1:I1797&lt;&gt;""""),COUNTA(FILTER(I$1:I1797, I$1:I1797&lt;&gt;""""))), LEN(INDEX(FILTER(I$1:I1797, I$1:I1797&lt;&gt;""""),COUNTA(FILTER(I$1:I1797, I$1:I1797&lt;&gt;""""))))-1), IF('To Order'!$A1798=COL"&amp;"UMNS($A1798:I1817), I1797&amp;RIGHT(INDIRECT(ADDRESS(ROW(I1798)-1, 'From Order'!$A1798)), 1), I1797))"),"")</f>
        <v/>
      </c>
    </row>
    <row r="1799">
      <c r="A1799" s="2" t="str">
        <f>IFERROR(__xludf.DUMMYFUNCTION("IF('From Order'!$A1799=COLUMNS($A1799:A1818), LEFT(INDEX(FILTER(A$1:A1798, A$1:A1798&lt;&gt;""""),COUNTA(FILTER(A$1:A1798, A$1:A1798&lt;&gt;""""))), LEN(INDEX(FILTER(A$1:A1798, A$1:A1798&lt;&gt;""""),COUNTA(FILTER(A$1:A1798, A$1:A1798&lt;&gt;""""))))-1), IF('To Order'!$A1799=COL"&amp;"UMNS($A1799:A1818), A1798&amp;RIGHT(INDIRECT(ADDRESS(ROW(A1799)-1, 'From Order'!$A1799)), 1), A1798))"),"ZHZMTDLDSPBFLLWDDVQJPPSSTWZCSFHBGR")</f>
        <v>ZHZMTDLDSPBFLLWDDVQJPPSSTWZCSFHBGR</v>
      </c>
      <c r="B1799" s="2" t="str">
        <f>IFERROR(__xludf.DUMMYFUNCTION("IF('From Order'!$A1799=COLUMNS($A1799:B1818), LEFT(INDEX(FILTER(B$1:B1798, B$1:B1798&lt;&gt;""""),COUNTA(FILTER(B$1:B1798, B$1:B1798&lt;&gt;""""))), LEN(INDEX(FILTER(B$1:B1798, B$1:B1798&lt;&gt;""""),COUNTA(FILTER(B$1:B1798, B$1:B1798&lt;&gt;""""))))-1), IF('To Order'!$A1799=COL"&amp;"UMNS($A1799:B1818), B1798&amp;RIGHT(INDIRECT(ADDRESS(ROW(B1799)-1, 'From Order'!$A1799)), 1), B1798))"),"GTTJ")</f>
        <v>GTTJ</v>
      </c>
      <c r="C1799" s="2" t="str">
        <f>IFERROR(__xludf.DUMMYFUNCTION("IF('From Order'!$A1799=COLUMNS($A1799:C1818), LEFT(INDEX(FILTER(C$1:C1798, C$1:C1798&lt;&gt;""""),COUNTA(FILTER(C$1:C1798, C$1:C1798&lt;&gt;""""))), LEN(INDEX(FILTER(C$1:C1798, C$1:C1798&lt;&gt;""""),COUNTA(FILTER(C$1:C1798, C$1:C1798&lt;&gt;""""))))-1), IF('To Order'!$A1799=COL"&amp;"UMNS($A1799:C1818), C1798&amp;RIGHT(INDIRECT(ADDRESS(ROW(C1799)-1, 'From Order'!$A1799)), 1), C1798))"),"")</f>
        <v/>
      </c>
      <c r="D1799" s="2" t="str">
        <f>IFERROR(__xludf.DUMMYFUNCTION("IF('From Order'!$A1799=COLUMNS($A1799:D1818), LEFT(INDEX(FILTER(D$1:D1798, D$1:D1798&lt;&gt;""""),COUNTA(FILTER(D$1:D1798, D$1:D1798&lt;&gt;""""))), LEN(INDEX(FILTER(D$1:D1798, D$1:D1798&lt;&gt;""""),COUNTA(FILTER(D$1:D1798, D$1:D1798&lt;&gt;""""))))-1), IF('To Order'!$A1799=COL"&amp;"UMNS($A1799:D1818), D1798&amp;RIGHT(INDIRECT(ADDRESS(ROW(D1799)-1, 'From Order'!$A1799)), 1), D1798))"),"RB")</f>
        <v>RB</v>
      </c>
      <c r="E1799" s="2" t="str">
        <f>IFERROR(__xludf.DUMMYFUNCTION("IF('From Order'!$A1799=COLUMNS($A1799:E1818), LEFT(INDEX(FILTER(E$1:E1798, E$1:E1798&lt;&gt;""""),COUNTA(FILTER(E$1:E1798, E$1:E1798&lt;&gt;""""))), LEN(INDEX(FILTER(E$1:E1798, E$1:E1798&lt;&gt;""""),COUNTA(FILTER(E$1:E1798, E$1:E1798&lt;&gt;""""))))-1), IF('To Order'!$A1799=COL"&amp;"UMNS($A1799:E1818), E1798&amp;RIGHT(INDIRECT(ADDRESS(ROW(E1799)-1, 'From Order'!$A1799)), 1), E1798))"),"CQTRTCVD")</f>
        <v>CQTRTCVD</v>
      </c>
      <c r="F1799" s="2" t="str">
        <f>IFERROR(__xludf.DUMMYFUNCTION("IF('From Order'!$A1799=COLUMNS($A1799:F1818), LEFT(INDEX(FILTER(F$1:F1798, F$1:F1798&lt;&gt;""""),COUNTA(FILTER(F$1:F1798, F$1:F1798&lt;&gt;""""))), LEN(INDEX(FILTER(F$1:F1798, F$1:F1798&lt;&gt;""""),COUNTA(FILTER(F$1:F1798, F$1:F1798&lt;&gt;""""))))-1), IF('To Order'!$A1799=COL"&amp;"UMNS($A1799:F1818), F1798&amp;RIGHT(INDIRECT(ADDRESS(ROW(F1799)-1, 'From Order'!$A1799)), 1), F1798))"),"")</f>
        <v/>
      </c>
      <c r="G1799" s="2" t="str">
        <f>IFERROR(__xludf.DUMMYFUNCTION("IF('From Order'!$A1799=COLUMNS($A1799:G1818), LEFT(INDEX(FILTER(G$1:G1798, G$1:G1798&lt;&gt;""""),COUNTA(FILTER(G$1:G1798, G$1:G1798&lt;&gt;""""))), LEN(INDEX(FILTER(G$1:G1798, G$1:G1798&lt;&gt;""""),COUNTA(FILTER(G$1:G1798, G$1:G1798&lt;&gt;""""))))-1), IF('To Order'!$A1799=COL"&amp;"UMNS($A1799:G1818), G1798&amp;RIGHT(INDIRECT(ADDRESS(ROW(G1799)-1, 'From Order'!$A1799)), 1), G1798))"),"MDJMBVRR")</f>
        <v>MDJMBVRR</v>
      </c>
      <c r="H1799" s="2" t="str">
        <f>IFERROR(__xludf.DUMMYFUNCTION("IF('From Order'!$A1799=COLUMNS($A1799:H1818), LEFT(INDEX(FILTER(H$1:H1798, H$1:H1798&lt;&gt;""""),COUNTA(FILTER(H$1:H1798, H$1:H1798&lt;&gt;""""))), LEN(INDEX(FILTER(H$1:H1798, H$1:H1798&lt;&gt;""""),COUNTA(FILTER(H$1:H1798, H$1:H1798&lt;&gt;""""))))-1), IF('To Order'!$A1799=COL"&amp;"UMNS($A1799:H1818), H1798&amp;RIGHT(INDIRECT(ADDRESS(ROW(H1799)-1, 'From Order'!$A1799)), 1), H1798))"),"")</f>
        <v/>
      </c>
      <c r="I1799" s="2" t="str">
        <f>IFERROR(__xludf.DUMMYFUNCTION("IF('From Order'!$A1799=COLUMNS($A1799:I1818), LEFT(INDEX(FILTER(I$1:I1798, I$1:I1798&lt;&gt;""""),COUNTA(FILTER(I$1:I1798, I$1:I1798&lt;&gt;""""))), LEN(INDEX(FILTER(I$1:I1798, I$1:I1798&lt;&gt;""""),COUNTA(FILTER(I$1:I1798, I$1:I1798&lt;&gt;""""))))-1), IF('To Order'!$A1799=COL"&amp;"UMNS($A1799:I1818), I1798&amp;RIGHT(INDIRECT(ADDRESS(ROW(I1799)-1, 'From Order'!$A1799)), 1), I1798))"),"")</f>
        <v/>
      </c>
    </row>
    <row r="1800">
      <c r="A1800" s="2" t="str">
        <f>IFERROR(__xludf.DUMMYFUNCTION("IF('From Order'!$A1800=COLUMNS($A1800:A1819), LEFT(INDEX(FILTER(A$1:A1799, A$1:A1799&lt;&gt;""""),COUNTA(FILTER(A$1:A1799, A$1:A1799&lt;&gt;""""))), LEN(INDEX(FILTER(A$1:A1799, A$1:A1799&lt;&gt;""""),COUNTA(FILTER(A$1:A1799, A$1:A1799&lt;&gt;""""))))-1), IF('To Order'!$A1800=COL"&amp;"UMNS($A1800:A1819), A1799&amp;RIGHT(INDIRECT(ADDRESS(ROW(A1800)-1, 'From Order'!$A1800)), 1), A1799))"),"ZHZMTDLDSPBFLLWDDVQJPPSSTWZCSFHBG")</f>
        <v>ZHZMTDLDSPBFLLWDDVQJPPSSTWZCSFHBG</v>
      </c>
      <c r="B1800" s="2" t="str">
        <f>IFERROR(__xludf.DUMMYFUNCTION("IF('From Order'!$A1800=COLUMNS($A1800:B1819), LEFT(INDEX(FILTER(B$1:B1799, B$1:B1799&lt;&gt;""""),COUNTA(FILTER(B$1:B1799, B$1:B1799&lt;&gt;""""))), LEN(INDEX(FILTER(B$1:B1799, B$1:B1799&lt;&gt;""""),COUNTA(FILTER(B$1:B1799, B$1:B1799&lt;&gt;""""))))-1), IF('To Order'!$A1800=COL"&amp;"UMNS($A1800:B1819), B1799&amp;RIGHT(INDIRECT(ADDRESS(ROW(B1800)-1, 'From Order'!$A1800)), 1), B1799))"),"GTTJ")</f>
        <v>GTTJ</v>
      </c>
      <c r="C1800" s="2" t="str">
        <f>IFERROR(__xludf.DUMMYFUNCTION("IF('From Order'!$A1800=COLUMNS($A1800:C1819), LEFT(INDEX(FILTER(C$1:C1799, C$1:C1799&lt;&gt;""""),COUNTA(FILTER(C$1:C1799, C$1:C1799&lt;&gt;""""))), LEN(INDEX(FILTER(C$1:C1799, C$1:C1799&lt;&gt;""""),COUNTA(FILTER(C$1:C1799, C$1:C1799&lt;&gt;""""))))-1), IF('To Order'!$A1800=COL"&amp;"UMNS($A1800:C1819), C1799&amp;RIGHT(INDIRECT(ADDRESS(ROW(C1800)-1, 'From Order'!$A1800)), 1), C1799))"),"")</f>
        <v/>
      </c>
      <c r="D1800" s="2" t="str">
        <f>IFERROR(__xludf.DUMMYFUNCTION("IF('From Order'!$A1800=COLUMNS($A1800:D1819), LEFT(INDEX(FILTER(D$1:D1799, D$1:D1799&lt;&gt;""""),COUNTA(FILTER(D$1:D1799, D$1:D1799&lt;&gt;""""))), LEN(INDEX(FILTER(D$1:D1799, D$1:D1799&lt;&gt;""""),COUNTA(FILTER(D$1:D1799, D$1:D1799&lt;&gt;""""))))-1), IF('To Order'!$A1800=COL"&amp;"UMNS($A1800:D1819), D1799&amp;RIGHT(INDIRECT(ADDRESS(ROW(D1800)-1, 'From Order'!$A1800)), 1), D1799))"),"RB")</f>
        <v>RB</v>
      </c>
      <c r="E1800" s="2" t="str">
        <f>IFERROR(__xludf.DUMMYFUNCTION("IF('From Order'!$A1800=COLUMNS($A1800:E1819), LEFT(INDEX(FILTER(E$1:E1799, E$1:E1799&lt;&gt;""""),COUNTA(FILTER(E$1:E1799, E$1:E1799&lt;&gt;""""))), LEN(INDEX(FILTER(E$1:E1799, E$1:E1799&lt;&gt;""""),COUNTA(FILTER(E$1:E1799, E$1:E1799&lt;&gt;""""))))-1), IF('To Order'!$A1800=COL"&amp;"UMNS($A1800:E1819), E1799&amp;RIGHT(INDIRECT(ADDRESS(ROW(E1800)-1, 'From Order'!$A1800)), 1), E1799))"),"CQTRTCVDR")</f>
        <v>CQTRTCVDR</v>
      </c>
      <c r="F1800" s="2" t="str">
        <f>IFERROR(__xludf.DUMMYFUNCTION("IF('From Order'!$A1800=COLUMNS($A1800:F1819), LEFT(INDEX(FILTER(F$1:F1799, F$1:F1799&lt;&gt;""""),COUNTA(FILTER(F$1:F1799, F$1:F1799&lt;&gt;""""))), LEN(INDEX(FILTER(F$1:F1799, F$1:F1799&lt;&gt;""""),COUNTA(FILTER(F$1:F1799, F$1:F1799&lt;&gt;""""))))-1), IF('To Order'!$A1800=COL"&amp;"UMNS($A1800:F1819), F1799&amp;RIGHT(INDIRECT(ADDRESS(ROW(F1800)-1, 'From Order'!$A1800)), 1), F1799))"),"")</f>
        <v/>
      </c>
      <c r="G1800" s="2" t="str">
        <f>IFERROR(__xludf.DUMMYFUNCTION("IF('From Order'!$A1800=COLUMNS($A1800:G1819), LEFT(INDEX(FILTER(G$1:G1799, G$1:G1799&lt;&gt;""""),COUNTA(FILTER(G$1:G1799, G$1:G1799&lt;&gt;""""))), LEN(INDEX(FILTER(G$1:G1799, G$1:G1799&lt;&gt;""""),COUNTA(FILTER(G$1:G1799, G$1:G1799&lt;&gt;""""))))-1), IF('To Order'!$A1800=COL"&amp;"UMNS($A1800:G1819), G1799&amp;RIGHT(INDIRECT(ADDRESS(ROW(G1800)-1, 'From Order'!$A1800)), 1), G1799))"),"MDJMBVRR")</f>
        <v>MDJMBVRR</v>
      </c>
      <c r="H1800" s="2" t="str">
        <f>IFERROR(__xludf.DUMMYFUNCTION("IF('From Order'!$A1800=COLUMNS($A1800:H1819), LEFT(INDEX(FILTER(H$1:H1799, H$1:H1799&lt;&gt;""""),COUNTA(FILTER(H$1:H1799, H$1:H1799&lt;&gt;""""))), LEN(INDEX(FILTER(H$1:H1799, H$1:H1799&lt;&gt;""""),COUNTA(FILTER(H$1:H1799, H$1:H1799&lt;&gt;""""))))-1), IF('To Order'!$A1800=COL"&amp;"UMNS($A1800:H1819), H1799&amp;RIGHT(INDIRECT(ADDRESS(ROW(H1800)-1, 'From Order'!$A1800)), 1), H1799))"),"")</f>
        <v/>
      </c>
      <c r="I1800" s="2" t="str">
        <f>IFERROR(__xludf.DUMMYFUNCTION("IF('From Order'!$A1800=COLUMNS($A1800:I1819), LEFT(INDEX(FILTER(I$1:I1799, I$1:I1799&lt;&gt;""""),COUNTA(FILTER(I$1:I1799, I$1:I1799&lt;&gt;""""))), LEN(INDEX(FILTER(I$1:I1799, I$1:I1799&lt;&gt;""""),COUNTA(FILTER(I$1:I1799, I$1:I1799&lt;&gt;""""))))-1), IF('To Order'!$A1800=COL"&amp;"UMNS($A1800:I1819), I1799&amp;RIGHT(INDIRECT(ADDRESS(ROW(I1800)-1, 'From Order'!$A1800)), 1), I1799))"),"")</f>
        <v/>
      </c>
    </row>
    <row r="1801">
      <c r="A1801" s="2" t="str">
        <f>IFERROR(__xludf.DUMMYFUNCTION("IF('From Order'!$A1801=COLUMNS($A1801:A1820), LEFT(INDEX(FILTER(A$1:A1800, A$1:A1800&lt;&gt;""""),COUNTA(FILTER(A$1:A1800, A$1:A1800&lt;&gt;""""))), LEN(INDEX(FILTER(A$1:A1800, A$1:A1800&lt;&gt;""""),COUNTA(FILTER(A$1:A1800, A$1:A1800&lt;&gt;""""))))-1), IF('To Order'!$A1801=COL"&amp;"UMNS($A1801:A1820), A1800&amp;RIGHT(INDIRECT(ADDRESS(ROW(A1801)-1, 'From Order'!$A1801)), 1), A1800))"),"ZHZMTDLDSPBFLLWDDVQJPPSSTWZCSFHB")</f>
        <v>ZHZMTDLDSPBFLLWDDVQJPPSSTWZCSFHB</v>
      </c>
      <c r="B1801" s="2" t="str">
        <f>IFERROR(__xludf.DUMMYFUNCTION("IF('From Order'!$A1801=COLUMNS($A1801:B1820), LEFT(INDEX(FILTER(B$1:B1800, B$1:B1800&lt;&gt;""""),COUNTA(FILTER(B$1:B1800, B$1:B1800&lt;&gt;""""))), LEN(INDEX(FILTER(B$1:B1800, B$1:B1800&lt;&gt;""""),COUNTA(FILTER(B$1:B1800, B$1:B1800&lt;&gt;""""))))-1), IF('To Order'!$A1801=COL"&amp;"UMNS($A1801:B1820), B1800&amp;RIGHT(INDIRECT(ADDRESS(ROW(B1801)-1, 'From Order'!$A1801)), 1), B1800))"),"GTTJ")</f>
        <v>GTTJ</v>
      </c>
      <c r="C1801" s="2" t="str">
        <f>IFERROR(__xludf.DUMMYFUNCTION("IF('From Order'!$A1801=COLUMNS($A1801:C1820), LEFT(INDEX(FILTER(C$1:C1800, C$1:C1800&lt;&gt;""""),COUNTA(FILTER(C$1:C1800, C$1:C1800&lt;&gt;""""))), LEN(INDEX(FILTER(C$1:C1800, C$1:C1800&lt;&gt;""""),COUNTA(FILTER(C$1:C1800, C$1:C1800&lt;&gt;""""))))-1), IF('To Order'!$A1801=COL"&amp;"UMNS($A1801:C1820), C1800&amp;RIGHT(INDIRECT(ADDRESS(ROW(C1801)-1, 'From Order'!$A1801)), 1), C1800))"),"")</f>
        <v/>
      </c>
      <c r="D1801" s="2" t="str">
        <f>IFERROR(__xludf.DUMMYFUNCTION("IF('From Order'!$A1801=COLUMNS($A1801:D1820), LEFT(INDEX(FILTER(D$1:D1800, D$1:D1800&lt;&gt;""""),COUNTA(FILTER(D$1:D1800, D$1:D1800&lt;&gt;""""))), LEN(INDEX(FILTER(D$1:D1800, D$1:D1800&lt;&gt;""""),COUNTA(FILTER(D$1:D1800, D$1:D1800&lt;&gt;""""))))-1), IF('To Order'!$A1801=COL"&amp;"UMNS($A1801:D1820), D1800&amp;RIGHT(INDIRECT(ADDRESS(ROW(D1801)-1, 'From Order'!$A1801)), 1), D1800))"),"RB")</f>
        <v>RB</v>
      </c>
      <c r="E1801" s="2" t="str">
        <f>IFERROR(__xludf.DUMMYFUNCTION("IF('From Order'!$A1801=COLUMNS($A1801:E1820), LEFT(INDEX(FILTER(E$1:E1800, E$1:E1800&lt;&gt;""""),COUNTA(FILTER(E$1:E1800, E$1:E1800&lt;&gt;""""))), LEN(INDEX(FILTER(E$1:E1800, E$1:E1800&lt;&gt;""""),COUNTA(FILTER(E$1:E1800, E$1:E1800&lt;&gt;""""))))-1), IF('To Order'!$A1801=COL"&amp;"UMNS($A1801:E1820), E1800&amp;RIGHT(INDIRECT(ADDRESS(ROW(E1801)-1, 'From Order'!$A1801)), 1), E1800))"),"CQTRTCVDRG")</f>
        <v>CQTRTCVDRG</v>
      </c>
      <c r="F1801" s="2" t="str">
        <f>IFERROR(__xludf.DUMMYFUNCTION("IF('From Order'!$A1801=COLUMNS($A1801:F1820), LEFT(INDEX(FILTER(F$1:F1800, F$1:F1800&lt;&gt;""""),COUNTA(FILTER(F$1:F1800, F$1:F1800&lt;&gt;""""))), LEN(INDEX(FILTER(F$1:F1800, F$1:F1800&lt;&gt;""""),COUNTA(FILTER(F$1:F1800, F$1:F1800&lt;&gt;""""))))-1), IF('To Order'!$A1801=COL"&amp;"UMNS($A1801:F1820), F1800&amp;RIGHT(INDIRECT(ADDRESS(ROW(F1801)-1, 'From Order'!$A1801)), 1), F1800))"),"")</f>
        <v/>
      </c>
      <c r="G1801" s="2" t="str">
        <f>IFERROR(__xludf.DUMMYFUNCTION("IF('From Order'!$A1801=COLUMNS($A1801:G1820), LEFT(INDEX(FILTER(G$1:G1800, G$1:G1800&lt;&gt;""""),COUNTA(FILTER(G$1:G1800, G$1:G1800&lt;&gt;""""))), LEN(INDEX(FILTER(G$1:G1800, G$1:G1800&lt;&gt;""""),COUNTA(FILTER(G$1:G1800, G$1:G1800&lt;&gt;""""))))-1), IF('To Order'!$A1801=COL"&amp;"UMNS($A1801:G1820), G1800&amp;RIGHT(INDIRECT(ADDRESS(ROW(G1801)-1, 'From Order'!$A1801)), 1), G1800))"),"MDJMBVRR")</f>
        <v>MDJMBVRR</v>
      </c>
      <c r="H1801" s="2" t="str">
        <f>IFERROR(__xludf.DUMMYFUNCTION("IF('From Order'!$A1801=COLUMNS($A1801:H1820), LEFT(INDEX(FILTER(H$1:H1800, H$1:H1800&lt;&gt;""""),COUNTA(FILTER(H$1:H1800, H$1:H1800&lt;&gt;""""))), LEN(INDEX(FILTER(H$1:H1800, H$1:H1800&lt;&gt;""""),COUNTA(FILTER(H$1:H1800, H$1:H1800&lt;&gt;""""))))-1), IF('To Order'!$A1801=COL"&amp;"UMNS($A1801:H1820), H1800&amp;RIGHT(INDIRECT(ADDRESS(ROW(H1801)-1, 'From Order'!$A1801)), 1), H1800))"),"")</f>
        <v/>
      </c>
      <c r="I1801" s="2" t="str">
        <f>IFERROR(__xludf.DUMMYFUNCTION("IF('From Order'!$A1801=COLUMNS($A1801:I1820), LEFT(INDEX(FILTER(I$1:I1800, I$1:I1800&lt;&gt;""""),COUNTA(FILTER(I$1:I1800, I$1:I1800&lt;&gt;""""))), LEN(INDEX(FILTER(I$1:I1800, I$1:I1800&lt;&gt;""""),COUNTA(FILTER(I$1:I1800, I$1:I1800&lt;&gt;""""))))-1), IF('To Order'!$A1801=COL"&amp;"UMNS($A1801:I1820), I1800&amp;RIGHT(INDIRECT(ADDRESS(ROW(I1801)-1, 'From Order'!$A1801)), 1), I1800))"),"")</f>
        <v/>
      </c>
    </row>
    <row r="1802">
      <c r="A1802" s="2" t="str">
        <f>IFERROR(__xludf.DUMMYFUNCTION("IF('From Order'!$A1802=COLUMNS($A1802:A1821), LEFT(INDEX(FILTER(A$1:A1801, A$1:A1801&lt;&gt;""""),COUNTA(FILTER(A$1:A1801, A$1:A1801&lt;&gt;""""))), LEN(INDEX(FILTER(A$1:A1801, A$1:A1801&lt;&gt;""""),COUNTA(FILTER(A$1:A1801, A$1:A1801&lt;&gt;""""))))-1), IF('To Order'!$A1802=COL"&amp;"UMNS($A1802:A1821), A1801&amp;RIGHT(INDIRECT(ADDRESS(ROW(A1802)-1, 'From Order'!$A1802)), 1), A1801))"),"ZHZMTDLDSPBFLLWDDVQJPPSSTWZCSFH")</f>
        <v>ZHZMTDLDSPBFLLWDDVQJPPSSTWZCSFH</v>
      </c>
      <c r="B1802" s="2" t="str">
        <f>IFERROR(__xludf.DUMMYFUNCTION("IF('From Order'!$A1802=COLUMNS($A1802:B1821), LEFT(INDEX(FILTER(B$1:B1801, B$1:B1801&lt;&gt;""""),COUNTA(FILTER(B$1:B1801, B$1:B1801&lt;&gt;""""))), LEN(INDEX(FILTER(B$1:B1801, B$1:B1801&lt;&gt;""""),COUNTA(FILTER(B$1:B1801, B$1:B1801&lt;&gt;""""))))-1), IF('To Order'!$A1802=COL"&amp;"UMNS($A1802:B1821), B1801&amp;RIGHT(INDIRECT(ADDRESS(ROW(B1802)-1, 'From Order'!$A1802)), 1), B1801))"),"GTTJ")</f>
        <v>GTTJ</v>
      </c>
      <c r="C1802" s="2" t="str">
        <f>IFERROR(__xludf.DUMMYFUNCTION("IF('From Order'!$A1802=COLUMNS($A1802:C1821), LEFT(INDEX(FILTER(C$1:C1801, C$1:C1801&lt;&gt;""""),COUNTA(FILTER(C$1:C1801, C$1:C1801&lt;&gt;""""))), LEN(INDEX(FILTER(C$1:C1801, C$1:C1801&lt;&gt;""""),COUNTA(FILTER(C$1:C1801, C$1:C1801&lt;&gt;""""))))-1), IF('To Order'!$A1802=COL"&amp;"UMNS($A1802:C1821), C1801&amp;RIGHT(INDIRECT(ADDRESS(ROW(C1802)-1, 'From Order'!$A1802)), 1), C1801))"),"")</f>
        <v/>
      </c>
      <c r="D1802" s="2" t="str">
        <f>IFERROR(__xludf.DUMMYFUNCTION("IF('From Order'!$A1802=COLUMNS($A1802:D1821), LEFT(INDEX(FILTER(D$1:D1801, D$1:D1801&lt;&gt;""""),COUNTA(FILTER(D$1:D1801, D$1:D1801&lt;&gt;""""))), LEN(INDEX(FILTER(D$1:D1801, D$1:D1801&lt;&gt;""""),COUNTA(FILTER(D$1:D1801, D$1:D1801&lt;&gt;""""))))-1), IF('To Order'!$A1802=COL"&amp;"UMNS($A1802:D1821), D1801&amp;RIGHT(INDIRECT(ADDRESS(ROW(D1802)-1, 'From Order'!$A1802)), 1), D1801))"),"RB")</f>
        <v>RB</v>
      </c>
      <c r="E1802" s="2" t="str">
        <f>IFERROR(__xludf.DUMMYFUNCTION("IF('From Order'!$A1802=COLUMNS($A1802:E1821), LEFT(INDEX(FILTER(E$1:E1801, E$1:E1801&lt;&gt;""""),COUNTA(FILTER(E$1:E1801, E$1:E1801&lt;&gt;""""))), LEN(INDEX(FILTER(E$1:E1801, E$1:E1801&lt;&gt;""""),COUNTA(FILTER(E$1:E1801, E$1:E1801&lt;&gt;""""))))-1), IF('To Order'!$A1802=COL"&amp;"UMNS($A1802:E1821), E1801&amp;RIGHT(INDIRECT(ADDRESS(ROW(E1802)-1, 'From Order'!$A1802)), 1), E1801))"),"CQTRTCVDRGB")</f>
        <v>CQTRTCVDRGB</v>
      </c>
      <c r="F1802" s="2" t="str">
        <f>IFERROR(__xludf.DUMMYFUNCTION("IF('From Order'!$A1802=COLUMNS($A1802:F1821), LEFT(INDEX(FILTER(F$1:F1801, F$1:F1801&lt;&gt;""""),COUNTA(FILTER(F$1:F1801, F$1:F1801&lt;&gt;""""))), LEN(INDEX(FILTER(F$1:F1801, F$1:F1801&lt;&gt;""""),COUNTA(FILTER(F$1:F1801, F$1:F1801&lt;&gt;""""))))-1), IF('To Order'!$A1802=COL"&amp;"UMNS($A1802:F1821), F1801&amp;RIGHT(INDIRECT(ADDRESS(ROW(F1802)-1, 'From Order'!$A1802)), 1), F1801))"),"")</f>
        <v/>
      </c>
      <c r="G1802" s="2" t="str">
        <f>IFERROR(__xludf.DUMMYFUNCTION("IF('From Order'!$A1802=COLUMNS($A1802:G1821), LEFT(INDEX(FILTER(G$1:G1801, G$1:G1801&lt;&gt;""""),COUNTA(FILTER(G$1:G1801, G$1:G1801&lt;&gt;""""))), LEN(INDEX(FILTER(G$1:G1801, G$1:G1801&lt;&gt;""""),COUNTA(FILTER(G$1:G1801, G$1:G1801&lt;&gt;""""))))-1), IF('To Order'!$A1802=COL"&amp;"UMNS($A1802:G1821), G1801&amp;RIGHT(INDIRECT(ADDRESS(ROW(G1802)-1, 'From Order'!$A1802)), 1), G1801))"),"MDJMBVRR")</f>
        <v>MDJMBVRR</v>
      </c>
      <c r="H1802" s="2" t="str">
        <f>IFERROR(__xludf.DUMMYFUNCTION("IF('From Order'!$A1802=COLUMNS($A1802:H1821), LEFT(INDEX(FILTER(H$1:H1801, H$1:H1801&lt;&gt;""""),COUNTA(FILTER(H$1:H1801, H$1:H1801&lt;&gt;""""))), LEN(INDEX(FILTER(H$1:H1801, H$1:H1801&lt;&gt;""""),COUNTA(FILTER(H$1:H1801, H$1:H1801&lt;&gt;""""))))-1), IF('To Order'!$A1802=COL"&amp;"UMNS($A1802:H1821), H1801&amp;RIGHT(INDIRECT(ADDRESS(ROW(H1802)-1, 'From Order'!$A1802)), 1), H1801))"),"")</f>
        <v/>
      </c>
      <c r="I1802" s="2" t="str">
        <f>IFERROR(__xludf.DUMMYFUNCTION("IF('From Order'!$A1802=COLUMNS($A1802:I1821), LEFT(INDEX(FILTER(I$1:I1801, I$1:I1801&lt;&gt;""""),COUNTA(FILTER(I$1:I1801, I$1:I1801&lt;&gt;""""))), LEN(INDEX(FILTER(I$1:I1801, I$1:I1801&lt;&gt;""""),COUNTA(FILTER(I$1:I1801, I$1:I1801&lt;&gt;""""))))-1), IF('To Order'!$A1802=COL"&amp;"UMNS($A1802:I1821), I1801&amp;RIGHT(INDIRECT(ADDRESS(ROW(I1802)-1, 'From Order'!$A1802)), 1), I1801))"),"")</f>
        <v/>
      </c>
    </row>
    <row r="1803">
      <c r="A1803" s="2" t="str">
        <f>IFERROR(__xludf.DUMMYFUNCTION("IF('From Order'!$A1803=COLUMNS($A1803:A1822), LEFT(INDEX(FILTER(A$1:A1802, A$1:A1802&lt;&gt;""""),COUNTA(FILTER(A$1:A1802, A$1:A1802&lt;&gt;""""))), LEN(INDEX(FILTER(A$1:A1802, A$1:A1802&lt;&gt;""""),COUNTA(FILTER(A$1:A1802, A$1:A1802&lt;&gt;""""))))-1), IF('To Order'!$A1803=COL"&amp;"UMNS($A1803:A1822), A1802&amp;RIGHT(INDIRECT(ADDRESS(ROW(A1803)-1, 'From Order'!$A1803)), 1), A1802))"),"ZHZMTDLDSPBFLLWDDVQJPPSSTWZCSF")</f>
        <v>ZHZMTDLDSPBFLLWDDVQJPPSSTWZCSF</v>
      </c>
      <c r="B1803" s="2" t="str">
        <f>IFERROR(__xludf.DUMMYFUNCTION("IF('From Order'!$A1803=COLUMNS($A1803:B1822), LEFT(INDEX(FILTER(B$1:B1802, B$1:B1802&lt;&gt;""""),COUNTA(FILTER(B$1:B1802, B$1:B1802&lt;&gt;""""))), LEN(INDEX(FILTER(B$1:B1802, B$1:B1802&lt;&gt;""""),COUNTA(FILTER(B$1:B1802, B$1:B1802&lt;&gt;""""))))-1), IF('To Order'!$A1803=COL"&amp;"UMNS($A1803:B1822), B1802&amp;RIGHT(INDIRECT(ADDRESS(ROW(B1803)-1, 'From Order'!$A1803)), 1), B1802))"),"GTTJ")</f>
        <v>GTTJ</v>
      </c>
      <c r="C1803" s="2" t="str">
        <f>IFERROR(__xludf.DUMMYFUNCTION("IF('From Order'!$A1803=COLUMNS($A1803:C1822), LEFT(INDEX(FILTER(C$1:C1802, C$1:C1802&lt;&gt;""""),COUNTA(FILTER(C$1:C1802, C$1:C1802&lt;&gt;""""))), LEN(INDEX(FILTER(C$1:C1802, C$1:C1802&lt;&gt;""""),COUNTA(FILTER(C$1:C1802, C$1:C1802&lt;&gt;""""))))-1), IF('To Order'!$A1803=COL"&amp;"UMNS($A1803:C1822), C1802&amp;RIGHT(INDIRECT(ADDRESS(ROW(C1803)-1, 'From Order'!$A1803)), 1), C1802))"),"")</f>
        <v/>
      </c>
      <c r="D1803" s="2" t="str">
        <f>IFERROR(__xludf.DUMMYFUNCTION("IF('From Order'!$A1803=COLUMNS($A1803:D1822), LEFT(INDEX(FILTER(D$1:D1802, D$1:D1802&lt;&gt;""""),COUNTA(FILTER(D$1:D1802, D$1:D1802&lt;&gt;""""))), LEN(INDEX(FILTER(D$1:D1802, D$1:D1802&lt;&gt;""""),COUNTA(FILTER(D$1:D1802, D$1:D1802&lt;&gt;""""))))-1), IF('To Order'!$A1803=COL"&amp;"UMNS($A1803:D1822), D1802&amp;RIGHT(INDIRECT(ADDRESS(ROW(D1803)-1, 'From Order'!$A1803)), 1), D1802))"),"RB")</f>
        <v>RB</v>
      </c>
      <c r="E1803" s="2" t="str">
        <f>IFERROR(__xludf.DUMMYFUNCTION("IF('From Order'!$A1803=COLUMNS($A1803:E1822), LEFT(INDEX(FILTER(E$1:E1802, E$1:E1802&lt;&gt;""""),COUNTA(FILTER(E$1:E1802, E$1:E1802&lt;&gt;""""))), LEN(INDEX(FILTER(E$1:E1802, E$1:E1802&lt;&gt;""""),COUNTA(FILTER(E$1:E1802, E$1:E1802&lt;&gt;""""))))-1), IF('To Order'!$A1803=COL"&amp;"UMNS($A1803:E1822), E1802&amp;RIGHT(INDIRECT(ADDRESS(ROW(E1803)-1, 'From Order'!$A1803)), 1), E1802))"),"CQTRTCVDRGBH")</f>
        <v>CQTRTCVDRGBH</v>
      </c>
      <c r="F1803" s="2" t="str">
        <f>IFERROR(__xludf.DUMMYFUNCTION("IF('From Order'!$A1803=COLUMNS($A1803:F1822), LEFT(INDEX(FILTER(F$1:F1802, F$1:F1802&lt;&gt;""""),COUNTA(FILTER(F$1:F1802, F$1:F1802&lt;&gt;""""))), LEN(INDEX(FILTER(F$1:F1802, F$1:F1802&lt;&gt;""""),COUNTA(FILTER(F$1:F1802, F$1:F1802&lt;&gt;""""))))-1), IF('To Order'!$A1803=COL"&amp;"UMNS($A1803:F1822), F1802&amp;RIGHT(INDIRECT(ADDRESS(ROW(F1803)-1, 'From Order'!$A1803)), 1), F1802))"),"")</f>
        <v/>
      </c>
      <c r="G1803" s="2" t="str">
        <f>IFERROR(__xludf.DUMMYFUNCTION("IF('From Order'!$A1803=COLUMNS($A1803:G1822), LEFT(INDEX(FILTER(G$1:G1802, G$1:G1802&lt;&gt;""""),COUNTA(FILTER(G$1:G1802, G$1:G1802&lt;&gt;""""))), LEN(INDEX(FILTER(G$1:G1802, G$1:G1802&lt;&gt;""""),COUNTA(FILTER(G$1:G1802, G$1:G1802&lt;&gt;""""))))-1), IF('To Order'!$A1803=COL"&amp;"UMNS($A1803:G1822), G1802&amp;RIGHT(INDIRECT(ADDRESS(ROW(G1803)-1, 'From Order'!$A1803)), 1), G1802))"),"MDJMBVRR")</f>
        <v>MDJMBVRR</v>
      </c>
      <c r="H1803" s="2" t="str">
        <f>IFERROR(__xludf.DUMMYFUNCTION("IF('From Order'!$A1803=COLUMNS($A1803:H1822), LEFT(INDEX(FILTER(H$1:H1802, H$1:H1802&lt;&gt;""""),COUNTA(FILTER(H$1:H1802, H$1:H1802&lt;&gt;""""))), LEN(INDEX(FILTER(H$1:H1802, H$1:H1802&lt;&gt;""""),COUNTA(FILTER(H$1:H1802, H$1:H1802&lt;&gt;""""))))-1), IF('To Order'!$A1803=COL"&amp;"UMNS($A1803:H1822), H1802&amp;RIGHT(INDIRECT(ADDRESS(ROW(H1803)-1, 'From Order'!$A1803)), 1), H1802))"),"")</f>
        <v/>
      </c>
      <c r="I1803" s="2" t="str">
        <f>IFERROR(__xludf.DUMMYFUNCTION("IF('From Order'!$A1803=COLUMNS($A1803:I1822), LEFT(INDEX(FILTER(I$1:I1802, I$1:I1802&lt;&gt;""""),COUNTA(FILTER(I$1:I1802, I$1:I1802&lt;&gt;""""))), LEN(INDEX(FILTER(I$1:I1802, I$1:I1802&lt;&gt;""""),COUNTA(FILTER(I$1:I1802, I$1:I1802&lt;&gt;""""))))-1), IF('To Order'!$A1803=COL"&amp;"UMNS($A1803:I1822), I1802&amp;RIGHT(INDIRECT(ADDRESS(ROW(I1803)-1, 'From Order'!$A1803)), 1), I1802))"),"")</f>
        <v/>
      </c>
    </row>
    <row r="1804">
      <c r="A1804" s="2" t="str">
        <f>IFERROR(__xludf.DUMMYFUNCTION("IF('From Order'!$A1804=COLUMNS($A1804:A1823), LEFT(INDEX(FILTER(A$1:A1803, A$1:A1803&lt;&gt;""""),COUNTA(FILTER(A$1:A1803, A$1:A1803&lt;&gt;""""))), LEN(INDEX(FILTER(A$1:A1803, A$1:A1803&lt;&gt;""""),COUNTA(FILTER(A$1:A1803, A$1:A1803&lt;&gt;""""))))-1), IF('To Order'!$A1804=COL"&amp;"UMNS($A1804:A1823), A1803&amp;RIGHT(INDIRECT(ADDRESS(ROW(A1804)-1, 'From Order'!$A1804)), 1), A1803))"),"ZHZMTDLDSPBFLLWDDVQJPPSSTWZCS")</f>
        <v>ZHZMTDLDSPBFLLWDDVQJPPSSTWZCS</v>
      </c>
      <c r="B1804" s="2" t="str">
        <f>IFERROR(__xludf.DUMMYFUNCTION("IF('From Order'!$A1804=COLUMNS($A1804:B1823), LEFT(INDEX(FILTER(B$1:B1803, B$1:B1803&lt;&gt;""""),COUNTA(FILTER(B$1:B1803, B$1:B1803&lt;&gt;""""))), LEN(INDEX(FILTER(B$1:B1803, B$1:B1803&lt;&gt;""""),COUNTA(FILTER(B$1:B1803, B$1:B1803&lt;&gt;""""))))-1), IF('To Order'!$A1804=COL"&amp;"UMNS($A1804:B1823), B1803&amp;RIGHT(INDIRECT(ADDRESS(ROW(B1804)-1, 'From Order'!$A1804)), 1), B1803))"),"GTTJ")</f>
        <v>GTTJ</v>
      </c>
      <c r="C1804" s="2" t="str">
        <f>IFERROR(__xludf.DUMMYFUNCTION("IF('From Order'!$A1804=COLUMNS($A1804:C1823), LEFT(INDEX(FILTER(C$1:C1803, C$1:C1803&lt;&gt;""""),COUNTA(FILTER(C$1:C1803, C$1:C1803&lt;&gt;""""))), LEN(INDEX(FILTER(C$1:C1803, C$1:C1803&lt;&gt;""""),COUNTA(FILTER(C$1:C1803, C$1:C1803&lt;&gt;""""))))-1), IF('To Order'!$A1804=COL"&amp;"UMNS($A1804:C1823), C1803&amp;RIGHT(INDIRECT(ADDRESS(ROW(C1804)-1, 'From Order'!$A1804)), 1), C1803))"),"")</f>
        <v/>
      </c>
      <c r="D1804" s="2" t="str">
        <f>IFERROR(__xludf.DUMMYFUNCTION("IF('From Order'!$A1804=COLUMNS($A1804:D1823), LEFT(INDEX(FILTER(D$1:D1803, D$1:D1803&lt;&gt;""""),COUNTA(FILTER(D$1:D1803, D$1:D1803&lt;&gt;""""))), LEN(INDEX(FILTER(D$1:D1803, D$1:D1803&lt;&gt;""""),COUNTA(FILTER(D$1:D1803, D$1:D1803&lt;&gt;""""))))-1), IF('To Order'!$A1804=COL"&amp;"UMNS($A1804:D1823), D1803&amp;RIGHT(INDIRECT(ADDRESS(ROW(D1804)-1, 'From Order'!$A1804)), 1), D1803))"),"RB")</f>
        <v>RB</v>
      </c>
      <c r="E1804" s="2" t="str">
        <f>IFERROR(__xludf.DUMMYFUNCTION("IF('From Order'!$A1804=COLUMNS($A1804:E1823), LEFT(INDEX(FILTER(E$1:E1803, E$1:E1803&lt;&gt;""""),COUNTA(FILTER(E$1:E1803, E$1:E1803&lt;&gt;""""))), LEN(INDEX(FILTER(E$1:E1803, E$1:E1803&lt;&gt;""""),COUNTA(FILTER(E$1:E1803, E$1:E1803&lt;&gt;""""))))-1), IF('To Order'!$A1804=COL"&amp;"UMNS($A1804:E1823), E1803&amp;RIGHT(INDIRECT(ADDRESS(ROW(E1804)-1, 'From Order'!$A1804)), 1), E1803))"),"CQTRTCVDRGBHF")</f>
        <v>CQTRTCVDRGBHF</v>
      </c>
      <c r="F1804" s="2" t="str">
        <f>IFERROR(__xludf.DUMMYFUNCTION("IF('From Order'!$A1804=COLUMNS($A1804:F1823), LEFT(INDEX(FILTER(F$1:F1803, F$1:F1803&lt;&gt;""""),COUNTA(FILTER(F$1:F1803, F$1:F1803&lt;&gt;""""))), LEN(INDEX(FILTER(F$1:F1803, F$1:F1803&lt;&gt;""""),COUNTA(FILTER(F$1:F1803, F$1:F1803&lt;&gt;""""))))-1), IF('To Order'!$A1804=COL"&amp;"UMNS($A1804:F1823), F1803&amp;RIGHT(INDIRECT(ADDRESS(ROW(F1804)-1, 'From Order'!$A1804)), 1), F1803))"),"")</f>
        <v/>
      </c>
      <c r="G1804" s="2" t="str">
        <f>IFERROR(__xludf.DUMMYFUNCTION("IF('From Order'!$A1804=COLUMNS($A1804:G1823), LEFT(INDEX(FILTER(G$1:G1803, G$1:G1803&lt;&gt;""""),COUNTA(FILTER(G$1:G1803, G$1:G1803&lt;&gt;""""))), LEN(INDEX(FILTER(G$1:G1803, G$1:G1803&lt;&gt;""""),COUNTA(FILTER(G$1:G1803, G$1:G1803&lt;&gt;""""))))-1), IF('To Order'!$A1804=COL"&amp;"UMNS($A1804:G1823), G1803&amp;RIGHT(INDIRECT(ADDRESS(ROW(G1804)-1, 'From Order'!$A1804)), 1), G1803))"),"MDJMBVRR")</f>
        <v>MDJMBVRR</v>
      </c>
      <c r="H1804" s="2" t="str">
        <f>IFERROR(__xludf.DUMMYFUNCTION("IF('From Order'!$A1804=COLUMNS($A1804:H1823), LEFT(INDEX(FILTER(H$1:H1803, H$1:H1803&lt;&gt;""""),COUNTA(FILTER(H$1:H1803, H$1:H1803&lt;&gt;""""))), LEN(INDEX(FILTER(H$1:H1803, H$1:H1803&lt;&gt;""""),COUNTA(FILTER(H$1:H1803, H$1:H1803&lt;&gt;""""))))-1), IF('To Order'!$A1804=COL"&amp;"UMNS($A1804:H1823), H1803&amp;RIGHT(INDIRECT(ADDRESS(ROW(H1804)-1, 'From Order'!$A1804)), 1), H1803))"),"")</f>
        <v/>
      </c>
      <c r="I1804" s="2" t="str">
        <f>IFERROR(__xludf.DUMMYFUNCTION("IF('From Order'!$A1804=COLUMNS($A1804:I1823), LEFT(INDEX(FILTER(I$1:I1803, I$1:I1803&lt;&gt;""""),COUNTA(FILTER(I$1:I1803, I$1:I1803&lt;&gt;""""))), LEN(INDEX(FILTER(I$1:I1803, I$1:I1803&lt;&gt;""""),COUNTA(FILTER(I$1:I1803, I$1:I1803&lt;&gt;""""))))-1), IF('To Order'!$A1804=COL"&amp;"UMNS($A1804:I1823), I1803&amp;RIGHT(INDIRECT(ADDRESS(ROW(I1804)-1, 'From Order'!$A1804)), 1), I1803))"),"")</f>
        <v/>
      </c>
    </row>
    <row r="1805">
      <c r="A1805" s="2" t="str">
        <f>IFERROR(__xludf.DUMMYFUNCTION("IF('From Order'!$A1805=COLUMNS($A1805:A1824), LEFT(INDEX(FILTER(A$1:A1804, A$1:A1804&lt;&gt;""""),COUNTA(FILTER(A$1:A1804, A$1:A1804&lt;&gt;""""))), LEN(INDEX(FILTER(A$1:A1804, A$1:A1804&lt;&gt;""""),COUNTA(FILTER(A$1:A1804, A$1:A1804&lt;&gt;""""))))-1), IF('To Order'!$A1805=COL"&amp;"UMNS($A1805:A1824), A1804&amp;RIGHT(INDIRECT(ADDRESS(ROW(A1805)-1, 'From Order'!$A1805)), 1), A1804))"),"ZHZMTDLDSPBFLLWDDVQJPPSSTWZC")</f>
        <v>ZHZMTDLDSPBFLLWDDVQJPPSSTWZC</v>
      </c>
      <c r="B1805" s="2" t="str">
        <f>IFERROR(__xludf.DUMMYFUNCTION("IF('From Order'!$A1805=COLUMNS($A1805:B1824), LEFT(INDEX(FILTER(B$1:B1804, B$1:B1804&lt;&gt;""""),COUNTA(FILTER(B$1:B1804, B$1:B1804&lt;&gt;""""))), LEN(INDEX(FILTER(B$1:B1804, B$1:B1804&lt;&gt;""""),COUNTA(FILTER(B$1:B1804, B$1:B1804&lt;&gt;""""))))-1), IF('To Order'!$A1805=COL"&amp;"UMNS($A1805:B1824), B1804&amp;RIGHT(INDIRECT(ADDRESS(ROW(B1805)-1, 'From Order'!$A1805)), 1), B1804))"),"GTTJ")</f>
        <v>GTTJ</v>
      </c>
      <c r="C1805" s="2" t="str">
        <f>IFERROR(__xludf.DUMMYFUNCTION("IF('From Order'!$A1805=COLUMNS($A1805:C1824), LEFT(INDEX(FILTER(C$1:C1804, C$1:C1804&lt;&gt;""""),COUNTA(FILTER(C$1:C1804, C$1:C1804&lt;&gt;""""))), LEN(INDEX(FILTER(C$1:C1804, C$1:C1804&lt;&gt;""""),COUNTA(FILTER(C$1:C1804, C$1:C1804&lt;&gt;""""))))-1), IF('To Order'!$A1805=COL"&amp;"UMNS($A1805:C1824), C1804&amp;RIGHT(INDIRECT(ADDRESS(ROW(C1805)-1, 'From Order'!$A1805)), 1), C1804))"),"")</f>
        <v/>
      </c>
      <c r="D1805" s="2" t="str">
        <f>IFERROR(__xludf.DUMMYFUNCTION("IF('From Order'!$A1805=COLUMNS($A1805:D1824), LEFT(INDEX(FILTER(D$1:D1804, D$1:D1804&lt;&gt;""""),COUNTA(FILTER(D$1:D1804, D$1:D1804&lt;&gt;""""))), LEN(INDEX(FILTER(D$1:D1804, D$1:D1804&lt;&gt;""""),COUNTA(FILTER(D$1:D1804, D$1:D1804&lt;&gt;""""))))-1), IF('To Order'!$A1805=COL"&amp;"UMNS($A1805:D1824), D1804&amp;RIGHT(INDIRECT(ADDRESS(ROW(D1805)-1, 'From Order'!$A1805)), 1), D1804))"),"RB")</f>
        <v>RB</v>
      </c>
      <c r="E1805" s="2" t="str">
        <f>IFERROR(__xludf.DUMMYFUNCTION("IF('From Order'!$A1805=COLUMNS($A1805:E1824), LEFT(INDEX(FILTER(E$1:E1804, E$1:E1804&lt;&gt;""""),COUNTA(FILTER(E$1:E1804, E$1:E1804&lt;&gt;""""))), LEN(INDEX(FILTER(E$1:E1804, E$1:E1804&lt;&gt;""""),COUNTA(FILTER(E$1:E1804, E$1:E1804&lt;&gt;""""))))-1), IF('To Order'!$A1805=COL"&amp;"UMNS($A1805:E1824), E1804&amp;RIGHT(INDIRECT(ADDRESS(ROW(E1805)-1, 'From Order'!$A1805)), 1), E1804))"),"CQTRTCVDRGBHFS")</f>
        <v>CQTRTCVDRGBHFS</v>
      </c>
      <c r="F1805" s="2" t="str">
        <f>IFERROR(__xludf.DUMMYFUNCTION("IF('From Order'!$A1805=COLUMNS($A1805:F1824), LEFT(INDEX(FILTER(F$1:F1804, F$1:F1804&lt;&gt;""""),COUNTA(FILTER(F$1:F1804, F$1:F1804&lt;&gt;""""))), LEN(INDEX(FILTER(F$1:F1804, F$1:F1804&lt;&gt;""""),COUNTA(FILTER(F$1:F1804, F$1:F1804&lt;&gt;""""))))-1), IF('To Order'!$A1805=COL"&amp;"UMNS($A1805:F1824), F1804&amp;RIGHT(INDIRECT(ADDRESS(ROW(F1805)-1, 'From Order'!$A1805)), 1), F1804))"),"")</f>
        <v/>
      </c>
      <c r="G1805" s="2" t="str">
        <f>IFERROR(__xludf.DUMMYFUNCTION("IF('From Order'!$A1805=COLUMNS($A1805:G1824), LEFT(INDEX(FILTER(G$1:G1804, G$1:G1804&lt;&gt;""""),COUNTA(FILTER(G$1:G1804, G$1:G1804&lt;&gt;""""))), LEN(INDEX(FILTER(G$1:G1804, G$1:G1804&lt;&gt;""""),COUNTA(FILTER(G$1:G1804, G$1:G1804&lt;&gt;""""))))-1), IF('To Order'!$A1805=COL"&amp;"UMNS($A1805:G1824), G1804&amp;RIGHT(INDIRECT(ADDRESS(ROW(G1805)-1, 'From Order'!$A1805)), 1), G1804))"),"MDJMBVRR")</f>
        <v>MDJMBVRR</v>
      </c>
      <c r="H1805" s="2" t="str">
        <f>IFERROR(__xludf.DUMMYFUNCTION("IF('From Order'!$A1805=COLUMNS($A1805:H1824), LEFT(INDEX(FILTER(H$1:H1804, H$1:H1804&lt;&gt;""""),COUNTA(FILTER(H$1:H1804, H$1:H1804&lt;&gt;""""))), LEN(INDEX(FILTER(H$1:H1804, H$1:H1804&lt;&gt;""""),COUNTA(FILTER(H$1:H1804, H$1:H1804&lt;&gt;""""))))-1), IF('To Order'!$A1805=COL"&amp;"UMNS($A1805:H1824), H1804&amp;RIGHT(INDIRECT(ADDRESS(ROW(H1805)-1, 'From Order'!$A1805)), 1), H1804))"),"")</f>
        <v/>
      </c>
      <c r="I1805" s="2" t="str">
        <f>IFERROR(__xludf.DUMMYFUNCTION("IF('From Order'!$A1805=COLUMNS($A1805:I1824), LEFT(INDEX(FILTER(I$1:I1804, I$1:I1804&lt;&gt;""""),COUNTA(FILTER(I$1:I1804, I$1:I1804&lt;&gt;""""))), LEN(INDEX(FILTER(I$1:I1804, I$1:I1804&lt;&gt;""""),COUNTA(FILTER(I$1:I1804, I$1:I1804&lt;&gt;""""))))-1), IF('To Order'!$A1805=COL"&amp;"UMNS($A1805:I1824), I1804&amp;RIGHT(INDIRECT(ADDRESS(ROW(I1805)-1, 'From Order'!$A1805)), 1), I1804))"),"")</f>
        <v/>
      </c>
    </row>
    <row r="1806">
      <c r="A1806" s="2" t="str">
        <f>IFERROR(__xludf.DUMMYFUNCTION("IF('From Order'!$A1806=COLUMNS($A1806:A1825), LEFT(INDEX(FILTER(A$1:A1805, A$1:A1805&lt;&gt;""""),COUNTA(FILTER(A$1:A1805, A$1:A1805&lt;&gt;""""))), LEN(INDEX(FILTER(A$1:A1805, A$1:A1805&lt;&gt;""""),COUNTA(FILTER(A$1:A1805, A$1:A1805&lt;&gt;""""))))-1), IF('To Order'!$A1806=COL"&amp;"UMNS($A1806:A1825), A1805&amp;RIGHT(INDIRECT(ADDRESS(ROW(A1806)-1, 'From Order'!$A1806)), 1), A1805))"),"ZHZMTDLDSPBFLLWDDVQJPPSSTWZ")</f>
        <v>ZHZMTDLDSPBFLLWDDVQJPPSSTWZ</v>
      </c>
      <c r="B1806" s="2" t="str">
        <f>IFERROR(__xludf.DUMMYFUNCTION("IF('From Order'!$A1806=COLUMNS($A1806:B1825), LEFT(INDEX(FILTER(B$1:B1805, B$1:B1805&lt;&gt;""""),COUNTA(FILTER(B$1:B1805, B$1:B1805&lt;&gt;""""))), LEN(INDEX(FILTER(B$1:B1805, B$1:B1805&lt;&gt;""""),COUNTA(FILTER(B$1:B1805, B$1:B1805&lt;&gt;""""))))-1), IF('To Order'!$A1806=COL"&amp;"UMNS($A1806:B1825), B1805&amp;RIGHT(INDIRECT(ADDRESS(ROW(B1806)-1, 'From Order'!$A1806)), 1), B1805))"),"GTTJ")</f>
        <v>GTTJ</v>
      </c>
      <c r="C1806" s="2" t="str">
        <f>IFERROR(__xludf.DUMMYFUNCTION("IF('From Order'!$A1806=COLUMNS($A1806:C1825), LEFT(INDEX(FILTER(C$1:C1805, C$1:C1805&lt;&gt;""""),COUNTA(FILTER(C$1:C1805, C$1:C1805&lt;&gt;""""))), LEN(INDEX(FILTER(C$1:C1805, C$1:C1805&lt;&gt;""""),COUNTA(FILTER(C$1:C1805, C$1:C1805&lt;&gt;""""))))-1), IF('To Order'!$A1806=COL"&amp;"UMNS($A1806:C1825), C1805&amp;RIGHT(INDIRECT(ADDRESS(ROW(C1806)-1, 'From Order'!$A1806)), 1), C1805))"),"")</f>
        <v/>
      </c>
      <c r="D1806" s="2" t="str">
        <f>IFERROR(__xludf.DUMMYFUNCTION("IF('From Order'!$A1806=COLUMNS($A1806:D1825), LEFT(INDEX(FILTER(D$1:D1805, D$1:D1805&lt;&gt;""""),COUNTA(FILTER(D$1:D1805, D$1:D1805&lt;&gt;""""))), LEN(INDEX(FILTER(D$1:D1805, D$1:D1805&lt;&gt;""""),COUNTA(FILTER(D$1:D1805, D$1:D1805&lt;&gt;""""))))-1), IF('To Order'!$A1806=COL"&amp;"UMNS($A1806:D1825), D1805&amp;RIGHT(INDIRECT(ADDRESS(ROW(D1806)-1, 'From Order'!$A1806)), 1), D1805))"),"RB")</f>
        <v>RB</v>
      </c>
      <c r="E1806" s="2" t="str">
        <f>IFERROR(__xludf.DUMMYFUNCTION("IF('From Order'!$A1806=COLUMNS($A1806:E1825), LEFT(INDEX(FILTER(E$1:E1805, E$1:E1805&lt;&gt;""""),COUNTA(FILTER(E$1:E1805, E$1:E1805&lt;&gt;""""))), LEN(INDEX(FILTER(E$1:E1805, E$1:E1805&lt;&gt;""""),COUNTA(FILTER(E$1:E1805, E$1:E1805&lt;&gt;""""))))-1), IF('To Order'!$A1806=COL"&amp;"UMNS($A1806:E1825), E1805&amp;RIGHT(INDIRECT(ADDRESS(ROW(E1806)-1, 'From Order'!$A1806)), 1), E1805))"),"CQTRTCVDRGBHFSC")</f>
        <v>CQTRTCVDRGBHFSC</v>
      </c>
      <c r="F1806" s="2" t="str">
        <f>IFERROR(__xludf.DUMMYFUNCTION("IF('From Order'!$A1806=COLUMNS($A1806:F1825), LEFT(INDEX(FILTER(F$1:F1805, F$1:F1805&lt;&gt;""""),COUNTA(FILTER(F$1:F1805, F$1:F1805&lt;&gt;""""))), LEN(INDEX(FILTER(F$1:F1805, F$1:F1805&lt;&gt;""""),COUNTA(FILTER(F$1:F1805, F$1:F1805&lt;&gt;""""))))-1), IF('To Order'!$A1806=COL"&amp;"UMNS($A1806:F1825), F1805&amp;RIGHT(INDIRECT(ADDRESS(ROW(F1806)-1, 'From Order'!$A1806)), 1), F1805))"),"")</f>
        <v/>
      </c>
      <c r="G1806" s="2" t="str">
        <f>IFERROR(__xludf.DUMMYFUNCTION("IF('From Order'!$A1806=COLUMNS($A1806:G1825), LEFT(INDEX(FILTER(G$1:G1805, G$1:G1805&lt;&gt;""""),COUNTA(FILTER(G$1:G1805, G$1:G1805&lt;&gt;""""))), LEN(INDEX(FILTER(G$1:G1805, G$1:G1805&lt;&gt;""""),COUNTA(FILTER(G$1:G1805, G$1:G1805&lt;&gt;""""))))-1), IF('To Order'!$A1806=COL"&amp;"UMNS($A1806:G1825), G1805&amp;RIGHT(INDIRECT(ADDRESS(ROW(G1806)-1, 'From Order'!$A1806)), 1), G1805))"),"MDJMBVRR")</f>
        <v>MDJMBVRR</v>
      </c>
      <c r="H1806" s="2" t="str">
        <f>IFERROR(__xludf.DUMMYFUNCTION("IF('From Order'!$A1806=COLUMNS($A1806:H1825), LEFT(INDEX(FILTER(H$1:H1805, H$1:H1805&lt;&gt;""""),COUNTA(FILTER(H$1:H1805, H$1:H1805&lt;&gt;""""))), LEN(INDEX(FILTER(H$1:H1805, H$1:H1805&lt;&gt;""""),COUNTA(FILTER(H$1:H1805, H$1:H1805&lt;&gt;""""))))-1), IF('To Order'!$A1806=COL"&amp;"UMNS($A1806:H1825), H1805&amp;RIGHT(INDIRECT(ADDRESS(ROW(H1806)-1, 'From Order'!$A1806)), 1), H1805))"),"")</f>
        <v/>
      </c>
      <c r="I1806" s="2" t="str">
        <f>IFERROR(__xludf.DUMMYFUNCTION("IF('From Order'!$A1806=COLUMNS($A1806:I1825), LEFT(INDEX(FILTER(I$1:I1805, I$1:I1805&lt;&gt;""""),COUNTA(FILTER(I$1:I1805, I$1:I1805&lt;&gt;""""))), LEN(INDEX(FILTER(I$1:I1805, I$1:I1805&lt;&gt;""""),COUNTA(FILTER(I$1:I1805, I$1:I1805&lt;&gt;""""))))-1), IF('To Order'!$A1806=COL"&amp;"UMNS($A1806:I1825), I1805&amp;RIGHT(INDIRECT(ADDRESS(ROW(I1806)-1, 'From Order'!$A1806)), 1), I1805))"),"")</f>
        <v/>
      </c>
    </row>
    <row r="1807">
      <c r="A1807" s="2" t="str">
        <f>IFERROR(__xludf.DUMMYFUNCTION("IF('From Order'!$A1807=COLUMNS($A1807:A1826), LEFT(INDEX(FILTER(A$1:A1806, A$1:A1806&lt;&gt;""""),COUNTA(FILTER(A$1:A1806, A$1:A1806&lt;&gt;""""))), LEN(INDEX(FILTER(A$1:A1806, A$1:A1806&lt;&gt;""""),COUNTA(FILTER(A$1:A1806, A$1:A1806&lt;&gt;""""))))-1), IF('To Order'!$A1807=COL"&amp;"UMNS($A1807:A1826), A1806&amp;RIGHT(INDIRECT(ADDRESS(ROW(A1807)-1, 'From Order'!$A1807)), 1), A1806))"),"ZHZMTDLDSPBFLLWDDVQJPPSSTW")</f>
        <v>ZHZMTDLDSPBFLLWDDVQJPPSSTW</v>
      </c>
      <c r="B1807" s="2" t="str">
        <f>IFERROR(__xludf.DUMMYFUNCTION("IF('From Order'!$A1807=COLUMNS($A1807:B1826), LEFT(INDEX(FILTER(B$1:B1806, B$1:B1806&lt;&gt;""""),COUNTA(FILTER(B$1:B1806, B$1:B1806&lt;&gt;""""))), LEN(INDEX(FILTER(B$1:B1806, B$1:B1806&lt;&gt;""""),COUNTA(FILTER(B$1:B1806, B$1:B1806&lt;&gt;""""))))-1), IF('To Order'!$A1807=COL"&amp;"UMNS($A1807:B1826), B1806&amp;RIGHT(INDIRECT(ADDRESS(ROW(B1807)-1, 'From Order'!$A1807)), 1), B1806))"),"GTTJ")</f>
        <v>GTTJ</v>
      </c>
      <c r="C1807" s="2" t="str">
        <f>IFERROR(__xludf.DUMMYFUNCTION("IF('From Order'!$A1807=COLUMNS($A1807:C1826), LEFT(INDEX(FILTER(C$1:C1806, C$1:C1806&lt;&gt;""""),COUNTA(FILTER(C$1:C1806, C$1:C1806&lt;&gt;""""))), LEN(INDEX(FILTER(C$1:C1806, C$1:C1806&lt;&gt;""""),COUNTA(FILTER(C$1:C1806, C$1:C1806&lt;&gt;""""))))-1), IF('To Order'!$A1807=COL"&amp;"UMNS($A1807:C1826), C1806&amp;RIGHT(INDIRECT(ADDRESS(ROW(C1807)-1, 'From Order'!$A1807)), 1), C1806))"),"")</f>
        <v/>
      </c>
      <c r="D1807" s="2" t="str">
        <f>IFERROR(__xludf.DUMMYFUNCTION("IF('From Order'!$A1807=COLUMNS($A1807:D1826), LEFT(INDEX(FILTER(D$1:D1806, D$1:D1806&lt;&gt;""""),COUNTA(FILTER(D$1:D1806, D$1:D1806&lt;&gt;""""))), LEN(INDEX(FILTER(D$1:D1806, D$1:D1806&lt;&gt;""""),COUNTA(FILTER(D$1:D1806, D$1:D1806&lt;&gt;""""))))-1), IF('To Order'!$A1807=COL"&amp;"UMNS($A1807:D1826), D1806&amp;RIGHT(INDIRECT(ADDRESS(ROW(D1807)-1, 'From Order'!$A1807)), 1), D1806))"),"RB")</f>
        <v>RB</v>
      </c>
      <c r="E1807" s="2" t="str">
        <f>IFERROR(__xludf.DUMMYFUNCTION("IF('From Order'!$A1807=COLUMNS($A1807:E1826), LEFT(INDEX(FILTER(E$1:E1806, E$1:E1806&lt;&gt;""""),COUNTA(FILTER(E$1:E1806, E$1:E1806&lt;&gt;""""))), LEN(INDEX(FILTER(E$1:E1806, E$1:E1806&lt;&gt;""""),COUNTA(FILTER(E$1:E1806, E$1:E1806&lt;&gt;""""))))-1), IF('To Order'!$A1807=COL"&amp;"UMNS($A1807:E1826), E1806&amp;RIGHT(INDIRECT(ADDRESS(ROW(E1807)-1, 'From Order'!$A1807)), 1), E1806))"),"CQTRTCVDRGBHFSCZ")</f>
        <v>CQTRTCVDRGBHFSCZ</v>
      </c>
      <c r="F1807" s="2" t="str">
        <f>IFERROR(__xludf.DUMMYFUNCTION("IF('From Order'!$A1807=COLUMNS($A1807:F1826), LEFT(INDEX(FILTER(F$1:F1806, F$1:F1806&lt;&gt;""""),COUNTA(FILTER(F$1:F1806, F$1:F1806&lt;&gt;""""))), LEN(INDEX(FILTER(F$1:F1806, F$1:F1806&lt;&gt;""""),COUNTA(FILTER(F$1:F1806, F$1:F1806&lt;&gt;""""))))-1), IF('To Order'!$A1807=COL"&amp;"UMNS($A1807:F1826), F1806&amp;RIGHT(INDIRECT(ADDRESS(ROW(F1807)-1, 'From Order'!$A1807)), 1), F1806))"),"")</f>
        <v/>
      </c>
      <c r="G1807" s="2" t="str">
        <f>IFERROR(__xludf.DUMMYFUNCTION("IF('From Order'!$A1807=COLUMNS($A1807:G1826), LEFT(INDEX(FILTER(G$1:G1806, G$1:G1806&lt;&gt;""""),COUNTA(FILTER(G$1:G1806, G$1:G1806&lt;&gt;""""))), LEN(INDEX(FILTER(G$1:G1806, G$1:G1806&lt;&gt;""""),COUNTA(FILTER(G$1:G1806, G$1:G1806&lt;&gt;""""))))-1), IF('To Order'!$A1807=COL"&amp;"UMNS($A1807:G1826), G1806&amp;RIGHT(INDIRECT(ADDRESS(ROW(G1807)-1, 'From Order'!$A1807)), 1), G1806))"),"MDJMBVRR")</f>
        <v>MDJMBVRR</v>
      </c>
      <c r="H1807" s="2" t="str">
        <f>IFERROR(__xludf.DUMMYFUNCTION("IF('From Order'!$A1807=COLUMNS($A1807:H1826), LEFT(INDEX(FILTER(H$1:H1806, H$1:H1806&lt;&gt;""""),COUNTA(FILTER(H$1:H1806, H$1:H1806&lt;&gt;""""))), LEN(INDEX(FILTER(H$1:H1806, H$1:H1806&lt;&gt;""""),COUNTA(FILTER(H$1:H1806, H$1:H1806&lt;&gt;""""))))-1), IF('To Order'!$A1807=COL"&amp;"UMNS($A1807:H1826), H1806&amp;RIGHT(INDIRECT(ADDRESS(ROW(H1807)-1, 'From Order'!$A1807)), 1), H1806))"),"")</f>
        <v/>
      </c>
      <c r="I1807" s="2" t="str">
        <f>IFERROR(__xludf.DUMMYFUNCTION("IF('From Order'!$A1807=COLUMNS($A1807:I1826), LEFT(INDEX(FILTER(I$1:I1806, I$1:I1806&lt;&gt;""""),COUNTA(FILTER(I$1:I1806, I$1:I1806&lt;&gt;""""))), LEN(INDEX(FILTER(I$1:I1806, I$1:I1806&lt;&gt;""""),COUNTA(FILTER(I$1:I1806, I$1:I1806&lt;&gt;""""))))-1), IF('To Order'!$A1807=COL"&amp;"UMNS($A1807:I1826), I1806&amp;RIGHT(INDIRECT(ADDRESS(ROW(I1807)-1, 'From Order'!$A1807)), 1), I1806))"),"")</f>
        <v/>
      </c>
    </row>
    <row r="1808">
      <c r="A1808" s="2" t="str">
        <f>IFERROR(__xludf.DUMMYFUNCTION("IF('From Order'!$A1808=COLUMNS($A1808:A1827), LEFT(INDEX(FILTER(A$1:A1807, A$1:A1807&lt;&gt;""""),COUNTA(FILTER(A$1:A1807, A$1:A1807&lt;&gt;""""))), LEN(INDEX(FILTER(A$1:A1807, A$1:A1807&lt;&gt;""""),COUNTA(FILTER(A$1:A1807, A$1:A1807&lt;&gt;""""))))-1), IF('To Order'!$A1808=COL"&amp;"UMNS($A1808:A1827), A1807&amp;RIGHT(INDIRECT(ADDRESS(ROW(A1808)-1, 'From Order'!$A1808)), 1), A1807))"),"ZHZMTDLDSPBFLLWDDVQJPPSST")</f>
        <v>ZHZMTDLDSPBFLLWDDVQJPPSST</v>
      </c>
      <c r="B1808" s="2" t="str">
        <f>IFERROR(__xludf.DUMMYFUNCTION("IF('From Order'!$A1808=COLUMNS($A1808:B1827), LEFT(INDEX(FILTER(B$1:B1807, B$1:B1807&lt;&gt;""""),COUNTA(FILTER(B$1:B1807, B$1:B1807&lt;&gt;""""))), LEN(INDEX(FILTER(B$1:B1807, B$1:B1807&lt;&gt;""""),COUNTA(FILTER(B$1:B1807, B$1:B1807&lt;&gt;""""))))-1), IF('To Order'!$A1808=COL"&amp;"UMNS($A1808:B1827), B1807&amp;RIGHT(INDIRECT(ADDRESS(ROW(B1808)-1, 'From Order'!$A1808)), 1), B1807))"),"GTTJ")</f>
        <v>GTTJ</v>
      </c>
      <c r="C1808" s="2" t="str">
        <f>IFERROR(__xludf.DUMMYFUNCTION("IF('From Order'!$A1808=COLUMNS($A1808:C1827), LEFT(INDEX(FILTER(C$1:C1807, C$1:C1807&lt;&gt;""""),COUNTA(FILTER(C$1:C1807, C$1:C1807&lt;&gt;""""))), LEN(INDEX(FILTER(C$1:C1807, C$1:C1807&lt;&gt;""""),COUNTA(FILTER(C$1:C1807, C$1:C1807&lt;&gt;""""))))-1), IF('To Order'!$A1808=COL"&amp;"UMNS($A1808:C1827), C1807&amp;RIGHT(INDIRECT(ADDRESS(ROW(C1808)-1, 'From Order'!$A1808)), 1), C1807))"),"")</f>
        <v/>
      </c>
      <c r="D1808" s="2" t="str">
        <f>IFERROR(__xludf.DUMMYFUNCTION("IF('From Order'!$A1808=COLUMNS($A1808:D1827), LEFT(INDEX(FILTER(D$1:D1807, D$1:D1807&lt;&gt;""""),COUNTA(FILTER(D$1:D1807, D$1:D1807&lt;&gt;""""))), LEN(INDEX(FILTER(D$1:D1807, D$1:D1807&lt;&gt;""""),COUNTA(FILTER(D$1:D1807, D$1:D1807&lt;&gt;""""))))-1), IF('To Order'!$A1808=COL"&amp;"UMNS($A1808:D1827), D1807&amp;RIGHT(INDIRECT(ADDRESS(ROW(D1808)-1, 'From Order'!$A1808)), 1), D1807))"),"RB")</f>
        <v>RB</v>
      </c>
      <c r="E1808" s="2" t="str">
        <f>IFERROR(__xludf.DUMMYFUNCTION("IF('From Order'!$A1808=COLUMNS($A1808:E1827), LEFT(INDEX(FILTER(E$1:E1807, E$1:E1807&lt;&gt;""""),COUNTA(FILTER(E$1:E1807, E$1:E1807&lt;&gt;""""))), LEN(INDEX(FILTER(E$1:E1807, E$1:E1807&lt;&gt;""""),COUNTA(FILTER(E$1:E1807, E$1:E1807&lt;&gt;""""))))-1), IF('To Order'!$A1808=COL"&amp;"UMNS($A1808:E1827), E1807&amp;RIGHT(INDIRECT(ADDRESS(ROW(E1808)-1, 'From Order'!$A1808)), 1), E1807))"),"CQTRTCVDRGBHFSCZW")</f>
        <v>CQTRTCVDRGBHFSCZW</v>
      </c>
      <c r="F1808" s="2" t="str">
        <f>IFERROR(__xludf.DUMMYFUNCTION("IF('From Order'!$A1808=COLUMNS($A1808:F1827), LEFT(INDEX(FILTER(F$1:F1807, F$1:F1807&lt;&gt;""""),COUNTA(FILTER(F$1:F1807, F$1:F1807&lt;&gt;""""))), LEN(INDEX(FILTER(F$1:F1807, F$1:F1807&lt;&gt;""""),COUNTA(FILTER(F$1:F1807, F$1:F1807&lt;&gt;""""))))-1), IF('To Order'!$A1808=COL"&amp;"UMNS($A1808:F1827), F1807&amp;RIGHT(INDIRECT(ADDRESS(ROW(F1808)-1, 'From Order'!$A1808)), 1), F1807))"),"")</f>
        <v/>
      </c>
      <c r="G1808" s="2" t="str">
        <f>IFERROR(__xludf.DUMMYFUNCTION("IF('From Order'!$A1808=COLUMNS($A1808:G1827), LEFT(INDEX(FILTER(G$1:G1807, G$1:G1807&lt;&gt;""""),COUNTA(FILTER(G$1:G1807, G$1:G1807&lt;&gt;""""))), LEN(INDEX(FILTER(G$1:G1807, G$1:G1807&lt;&gt;""""),COUNTA(FILTER(G$1:G1807, G$1:G1807&lt;&gt;""""))))-1), IF('To Order'!$A1808=COL"&amp;"UMNS($A1808:G1827), G1807&amp;RIGHT(INDIRECT(ADDRESS(ROW(G1808)-1, 'From Order'!$A1808)), 1), G1807))"),"MDJMBVRR")</f>
        <v>MDJMBVRR</v>
      </c>
      <c r="H1808" s="2" t="str">
        <f>IFERROR(__xludf.DUMMYFUNCTION("IF('From Order'!$A1808=COLUMNS($A1808:H1827), LEFT(INDEX(FILTER(H$1:H1807, H$1:H1807&lt;&gt;""""),COUNTA(FILTER(H$1:H1807, H$1:H1807&lt;&gt;""""))), LEN(INDEX(FILTER(H$1:H1807, H$1:H1807&lt;&gt;""""),COUNTA(FILTER(H$1:H1807, H$1:H1807&lt;&gt;""""))))-1), IF('To Order'!$A1808=COL"&amp;"UMNS($A1808:H1827), H1807&amp;RIGHT(INDIRECT(ADDRESS(ROW(H1808)-1, 'From Order'!$A1808)), 1), H1807))"),"")</f>
        <v/>
      </c>
      <c r="I1808" s="2" t="str">
        <f>IFERROR(__xludf.DUMMYFUNCTION("IF('From Order'!$A1808=COLUMNS($A1808:I1827), LEFT(INDEX(FILTER(I$1:I1807, I$1:I1807&lt;&gt;""""),COUNTA(FILTER(I$1:I1807, I$1:I1807&lt;&gt;""""))), LEN(INDEX(FILTER(I$1:I1807, I$1:I1807&lt;&gt;""""),COUNTA(FILTER(I$1:I1807, I$1:I1807&lt;&gt;""""))))-1), IF('To Order'!$A1808=COL"&amp;"UMNS($A1808:I1827), I1807&amp;RIGHT(INDIRECT(ADDRESS(ROW(I1808)-1, 'From Order'!$A1808)), 1), I1807))"),"")</f>
        <v/>
      </c>
    </row>
    <row r="1809">
      <c r="A1809" s="2" t="str">
        <f>IFERROR(__xludf.DUMMYFUNCTION("IF('From Order'!$A1809=COLUMNS($A1809:A1828), LEFT(INDEX(FILTER(A$1:A1808, A$1:A1808&lt;&gt;""""),COUNTA(FILTER(A$1:A1808, A$1:A1808&lt;&gt;""""))), LEN(INDEX(FILTER(A$1:A1808, A$1:A1808&lt;&gt;""""),COUNTA(FILTER(A$1:A1808, A$1:A1808&lt;&gt;""""))))-1), IF('To Order'!$A1809=COL"&amp;"UMNS($A1809:A1828), A1808&amp;RIGHT(INDIRECT(ADDRESS(ROW(A1809)-1, 'From Order'!$A1809)), 1), A1808))"),"ZHZMTDLDSPBFLLWDDVQJPPSS")</f>
        <v>ZHZMTDLDSPBFLLWDDVQJPPSS</v>
      </c>
      <c r="B1809" s="2" t="str">
        <f>IFERROR(__xludf.DUMMYFUNCTION("IF('From Order'!$A1809=COLUMNS($A1809:B1828), LEFT(INDEX(FILTER(B$1:B1808, B$1:B1808&lt;&gt;""""),COUNTA(FILTER(B$1:B1808, B$1:B1808&lt;&gt;""""))), LEN(INDEX(FILTER(B$1:B1808, B$1:B1808&lt;&gt;""""),COUNTA(FILTER(B$1:B1808, B$1:B1808&lt;&gt;""""))))-1), IF('To Order'!$A1809=COL"&amp;"UMNS($A1809:B1828), B1808&amp;RIGHT(INDIRECT(ADDRESS(ROW(B1809)-1, 'From Order'!$A1809)), 1), B1808))"),"GTTJ")</f>
        <v>GTTJ</v>
      </c>
      <c r="C1809" s="2" t="str">
        <f>IFERROR(__xludf.DUMMYFUNCTION("IF('From Order'!$A1809=COLUMNS($A1809:C1828), LEFT(INDEX(FILTER(C$1:C1808, C$1:C1808&lt;&gt;""""),COUNTA(FILTER(C$1:C1808, C$1:C1808&lt;&gt;""""))), LEN(INDEX(FILTER(C$1:C1808, C$1:C1808&lt;&gt;""""),COUNTA(FILTER(C$1:C1808, C$1:C1808&lt;&gt;""""))))-1), IF('To Order'!$A1809=COL"&amp;"UMNS($A1809:C1828), C1808&amp;RIGHT(INDIRECT(ADDRESS(ROW(C1809)-1, 'From Order'!$A1809)), 1), C1808))"),"")</f>
        <v/>
      </c>
      <c r="D1809" s="2" t="str">
        <f>IFERROR(__xludf.DUMMYFUNCTION("IF('From Order'!$A1809=COLUMNS($A1809:D1828), LEFT(INDEX(FILTER(D$1:D1808, D$1:D1808&lt;&gt;""""),COUNTA(FILTER(D$1:D1808, D$1:D1808&lt;&gt;""""))), LEN(INDEX(FILTER(D$1:D1808, D$1:D1808&lt;&gt;""""),COUNTA(FILTER(D$1:D1808, D$1:D1808&lt;&gt;""""))))-1), IF('To Order'!$A1809=COL"&amp;"UMNS($A1809:D1828), D1808&amp;RIGHT(INDIRECT(ADDRESS(ROW(D1809)-1, 'From Order'!$A1809)), 1), D1808))"),"RB")</f>
        <v>RB</v>
      </c>
      <c r="E1809" s="2" t="str">
        <f>IFERROR(__xludf.DUMMYFUNCTION("IF('From Order'!$A1809=COLUMNS($A1809:E1828), LEFT(INDEX(FILTER(E$1:E1808, E$1:E1808&lt;&gt;""""),COUNTA(FILTER(E$1:E1808, E$1:E1808&lt;&gt;""""))), LEN(INDEX(FILTER(E$1:E1808, E$1:E1808&lt;&gt;""""),COUNTA(FILTER(E$1:E1808, E$1:E1808&lt;&gt;""""))))-1), IF('To Order'!$A1809=COL"&amp;"UMNS($A1809:E1828), E1808&amp;RIGHT(INDIRECT(ADDRESS(ROW(E1809)-1, 'From Order'!$A1809)), 1), E1808))"),"CQTRTCVDRGBHFSCZWT")</f>
        <v>CQTRTCVDRGBHFSCZWT</v>
      </c>
      <c r="F1809" s="2" t="str">
        <f>IFERROR(__xludf.DUMMYFUNCTION("IF('From Order'!$A1809=COLUMNS($A1809:F1828), LEFT(INDEX(FILTER(F$1:F1808, F$1:F1808&lt;&gt;""""),COUNTA(FILTER(F$1:F1808, F$1:F1808&lt;&gt;""""))), LEN(INDEX(FILTER(F$1:F1808, F$1:F1808&lt;&gt;""""),COUNTA(FILTER(F$1:F1808, F$1:F1808&lt;&gt;""""))))-1), IF('To Order'!$A1809=COL"&amp;"UMNS($A1809:F1828), F1808&amp;RIGHT(INDIRECT(ADDRESS(ROW(F1809)-1, 'From Order'!$A1809)), 1), F1808))"),"")</f>
        <v/>
      </c>
      <c r="G1809" s="2" t="str">
        <f>IFERROR(__xludf.DUMMYFUNCTION("IF('From Order'!$A1809=COLUMNS($A1809:G1828), LEFT(INDEX(FILTER(G$1:G1808, G$1:G1808&lt;&gt;""""),COUNTA(FILTER(G$1:G1808, G$1:G1808&lt;&gt;""""))), LEN(INDEX(FILTER(G$1:G1808, G$1:G1808&lt;&gt;""""),COUNTA(FILTER(G$1:G1808, G$1:G1808&lt;&gt;""""))))-1), IF('To Order'!$A1809=COL"&amp;"UMNS($A1809:G1828), G1808&amp;RIGHT(INDIRECT(ADDRESS(ROW(G1809)-1, 'From Order'!$A1809)), 1), G1808))"),"MDJMBVRR")</f>
        <v>MDJMBVRR</v>
      </c>
      <c r="H1809" s="2" t="str">
        <f>IFERROR(__xludf.DUMMYFUNCTION("IF('From Order'!$A1809=COLUMNS($A1809:H1828), LEFT(INDEX(FILTER(H$1:H1808, H$1:H1808&lt;&gt;""""),COUNTA(FILTER(H$1:H1808, H$1:H1808&lt;&gt;""""))), LEN(INDEX(FILTER(H$1:H1808, H$1:H1808&lt;&gt;""""),COUNTA(FILTER(H$1:H1808, H$1:H1808&lt;&gt;""""))))-1), IF('To Order'!$A1809=COL"&amp;"UMNS($A1809:H1828), H1808&amp;RIGHT(INDIRECT(ADDRESS(ROW(H1809)-1, 'From Order'!$A1809)), 1), H1808))"),"")</f>
        <v/>
      </c>
      <c r="I1809" s="2" t="str">
        <f>IFERROR(__xludf.DUMMYFUNCTION("IF('From Order'!$A1809=COLUMNS($A1809:I1828), LEFT(INDEX(FILTER(I$1:I1808, I$1:I1808&lt;&gt;""""),COUNTA(FILTER(I$1:I1808, I$1:I1808&lt;&gt;""""))), LEN(INDEX(FILTER(I$1:I1808, I$1:I1808&lt;&gt;""""),COUNTA(FILTER(I$1:I1808, I$1:I1808&lt;&gt;""""))))-1), IF('To Order'!$A1809=COL"&amp;"UMNS($A1809:I1828), I1808&amp;RIGHT(INDIRECT(ADDRESS(ROW(I1809)-1, 'From Order'!$A1809)), 1), I1808))"),"")</f>
        <v/>
      </c>
    </row>
    <row r="1810">
      <c r="A1810" s="2" t="str">
        <f>IFERROR(__xludf.DUMMYFUNCTION("IF('From Order'!$A1810=COLUMNS($A1810:A1829), LEFT(INDEX(FILTER(A$1:A1809, A$1:A1809&lt;&gt;""""),COUNTA(FILTER(A$1:A1809, A$1:A1809&lt;&gt;""""))), LEN(INDEX(FILTER(A$1:A1809, A$1:A1809&lt;&gt;""""),COUNTA(FILTER(A$1:A1809, A$1:A1809&lt;&gt;""""))))-1), IF('To Order'!$A1810=COL"&amp;"UMNS($A1810:A1829), A1809&amp;RIGHT(INDIRECT(ADDRESS(ROW(A1810)-1, 'From Order'!$A1810)), 1), A1809))"),"ZHZMTDLDSPBFLLWDDVQJPPS")</f>
        <v>ZHZMTDLDSPBFLLWDDVQJPPS</v>
      </c>
      <c r="B1810" s="2" t="str">
        <f>IFERROR(__xludf.DUMMYFUNCTION("IF('From Order'!$A1810=COLUMNS($A1810:B1829), LEFT(INDEX(FILTER(B$1:B1809, B$1:B1809&lt;&gt;""""),COUNTA(FILTER(B$1:B1809, B$1:B1809&lt;&gt;""""))), LEN(INDEX(FILTER(B$1:B1809, B$1:B1809&lt;&gt;""""),COUNTA(FILTER(B$1:B1809, B$1:B1809&lt;&gt;""""))))-1), IF('To Order'!$A1810=COL"&amp;"UMNS($A1810:B1829), B1809&amp;RIGHT(INDIRECT(ADDRESS(ROW(B1810)-1, 'From Order'!$A1810)), 1), B1809))"),"GTTJ")</f>
        <v>GTTJ</v>
      </c>
      <c r="C1810" s="2" t="str">
        <f>IFERROR(__xludf.DUMMYFUNCTION("IF('From Order'!$A1810=COLUMNS($A1810:C1829), LEFT(INDEX(FILTER(C$1:C1809, C$1:C1809&lt;&gt;""""),COUNTA(FILTER(C$1:C1809, C$1:C1809&lt;&gt;""""))), LEN(INDEX(FILTER(C$1:C1809, C$1:C1809&lt;&gt;""""),COUNTA(FILTER(C$1:C1809, C$1:C1809&lt;&gt;""""))))-1), IF('To Order'!$A1810=COL"&amp;"UMNS($A1810:C1829), C1809&amp;RIGHT(INDIRECT(ADDRESS(ROW(C1810)-1, 'From Order'!$A1810)), 1), C1809))"),"")</f>
        <v/>
      </c>
      <c r="D1810" s="2" t="str">
        <f>IFERROR(__xludf.DUMMYFUNCTION("IF('From Order'!$A1810=COLUMNS($A1810:D1829), LEFT(INDEX(FILTER(D$1:D1809, D$1:D1809&lt;&gt;""""),COUNTA(FILTER(D$1:D1809, D$1:D1809&lt;&gt;""""))), LEN(INDEX(FILTER(D$1:D1809, D$1:D1809&lt;&gt;""""),COUNTA(FILTER(D$1:D1809, D$1:D1809&lt;&gt;""""))))-1), IF('To Order'!$A1810=COL"&amp;"UMNS($A1810:D1829), D1809&amp;RIGHT(INDIRECT(ADDRESS(ROW(D1810)-1, 'From Order'!$A1810)), 1), D1809))"),"RB")</f>
        <v>RB</v>
      </c>
      <c r="E1810" s="2" t="str">
        <f>IFERROR(__xludf.DUMMYFUNCTION("IF('From Order'!$A1810=COLUMNS($A1810:E1829), LEFT(INDEX(FILTER(E$1:E1809, E$1:E1809&lt;&gt;""""),COUNTA(FILTER(E$1:E1809, E$1:E1809&lt;&gt;""""))), LEN(INDEX(FILTER(E$1:E1809, E$1:E1809&lt;&gt;""""),COUNTA(FILTER(E$1:E1809, E$1:E1809&lt;&gt;""""))))-1), IF('To Order'!$A1810=COL"&amp;"UMNS($A1810:E1829), E1809&amp;RIGHT(INDIRECT(ADDRESS(ROW(E1810)-1, 'From Order'!$A1810)), 1), E1809))"),"CQTRTCVDRGBHFSCZWTS")</f>
        <v>CQTRTCVDRGBHFSCZWTS</v>
      </c>
      <c r="F1810" s="2" t="str">
        <f>IFERROR(__xludf.DUMMYFUNCTION("IF('From Order'!$A1810=COLUMNS($A1810:F1829), LEFT(INDEX(FILTER(F$1:F1809, F$1:F1809&lt;&gt;""""),COUNTA(FILTER(F$1:F1809, F$1:F1809&lt;&gt;""""))), LEN(INDEX(FILTER(F$1:F1809, F$1:F1809&lt;&gt;""""),COUNTA(FILTER(F$1:F1809, F$1:F1809&lt;&gt;""""))))-1), IF('To Order'!$A1810=COL"&amp;"UMNS($A1810:F1829), F1809&amp;RIGHT(INDIRECT(ADDRESS(ROW(F1810)-1, 'From Order'!$A1810)), 1), F1809))"),"")</f>
        <v/>
      </c>
      <c r="G1810" s="2" t="str">
        <f>IFERROR(__xludf.DUMMYFUNCTION("IF('From Order'!$A1810=COLUMNS($A1810:G1829), LEFT(INDEX(FILTER(G$1:G1809, G$1:G1809&lt;&gt;""""),COUNTA(FILTER(G$1:G1809, G$1:G1809&lt;&gt;""""))), LEN(INDEX(FILTER(G$1:G1809, G$1:G1809&lt;&gt;""""),COUNTA(FILTER(G$1:G1809, G$1:G1809&lt;&gt;""""))))-1), IF('To Order'!$A1810=COL"&amp;"UMNS($A1810:G1829), G1809&amp;RIGHT(INDIRECT(ADDRESS(ROW(G1810)-1, 'From Order'!$A1810)), 1), G1809))"),"MDJMBVRR")</f>
        <v>MDJMBVRR</v>
      </c>
      <c r="H1810" s="2" t="str">
        <f>IFERROR(__xludf.DUMMYFUNCTION("IF('From Order'!$A1810=COLUMNS($A1810:H1829), LEFT(INDEX(FILTER(H$1:H1809, H$1:H1809&lt;&gt;""""),COUNTA(FILTER(H$1:H1809, H$1:H1809&lt;&gt;""""))), LEN(INDEX(FILTER(H$1:H1809, H$1:H1809&lt;&gt;""""),COUNTA(FILTER(H$1:H1809, H$1:H1809&lt;&gt;""""))))-1), IF('To Order'!$A1810=COL"&amp;"UMNS($A1810:H1829), H1809&amp;RIGHT(INDIRECT(ADDRESS(ROW(H1810)-1, 'From Order'!$A1810)), 1), H1809))"),"")</f>
        <v/>
      </c>
      <c r="I1810" s="2" t="str">
        <f>IFERROR(__xludf.DUMMYFUNCTION("IF('From Order'!$A1810=COLUMNS($A1810:I1829), LEFT(INDEX(FILTER(I$1:I1809, I$1:I1809&lt;&gt;""""),COUNTA(FILTER(I$1:I1809, I$1:I1809&lt;&gt;""""))), LEN(INDEX(FILTER(I$1:I1809, I$1:I1809&lt;&gt;""""),COUNTA(FILTER(I$1:I1809, I$1:I1809&lt;&gt;""""))))-1), IF('To Order'!$A1810=COL"&amp;"UMNS($A1810:I1829), I1809&amp;RIGHT(INDIRECT(ADDRESS(ROW(I1810)-1, 'From Order'!$A1810)), 1), I1809))"),"")</f>
        <v/>
      </c>
    </row>
    <row r="1811">
      <c r="A1811" s="2" t="str">
        <f>IFERROR(__xludf.DUMMYFUNCTION("IF('From Order'!$A1811=COLUMNS($A1811:A1830), LEFT(INDEX(FILTER(A$1:A1810, A$1:A1810&lt;&gt;""""),COUNTA(FILTER(A$1:A1810, A$1:A1810&lt;&gt;""""))), LEN(INDEX(FILTER(A$1:A1810, A$1:A1810&lt;&gt;""""),COUNTA(FILTER(A$1:A1810, A$1:A1810&lt;&gt;""""))))-1), IF('To Order'!$A1811=COL"&amp;"UMNS($A1811:A1830), A1810&amp;RIGHT(INDIRECT(ADDRESS(ROW(A1811)-1, 'From Order'!$A1811)), 1), A1810))"),"ZHZMTDLDSPBFLLWDDVQJPP")</f>
        <v>ZHZMTDLDSPBFLLWDDVQJPP</v>
      </c>
      <c r="B1811" s="2" t="str">
        <f>IFERROR(__xludf.DUMMYFUNCTION("IF('From Order'!$A1811=COLUMNS($A1811:B1830), LEFT(INDEX(FILTER(B$1:B1810, B$1:B1810&lt;&gt;""""),COUNTA(FILTER(B$1:B1810, B$1:B1810&lt;&gt;""""))), LEN(INDEX(FILTER(B$1:B1810, B$1:B1810&lt;&gt;""""),COUNTA(FILTER(B$1:B1810, B$1:B1810&lt;&gt;""""))))-1), IF('To Order'!$A1811=COL"&amp;"UMNS($A1811:B1830), B1810&amp;RIGHT(INDIRECT(ADDRESS(ROW(B1811)-1, 'From Order'!$A1811)), 1), B1810))"),"GTTJ")</f>
        <v>GTTJ</v>
      </c>
      <c r="C1811" s="2" t="str">
        <f>IFERROR(__xludf.DUMMYFUNCTION("IF('From Order'!$A1811=COLUMNS($A1811:C1830), LEFT(INDEX(FILTER(C$1:C1810, C$1:C1810&lt;&gt;""""),COUNTA(FILTER(C$1:C1810, C$1:C1810&lt;&gt;""""))), LEN(INDEX(FILTER(C$1:C1810, C$1:C1810&lt;&gt;""""),COUNTA(FILTER(C$1:C1810, C$1:C1810&lt;&gt;""""))))-1), IF('To Order'!$A1811=COL"&amp;"UMNS($A1811:C1830), C1810&amp;RIGHT(INDIRECT(ADDRESS(ROW(C1811)-1, 'From Order'!$A1811)), 1), C1810))"),"")</f>
        <v/>
      </c>
      <c r="D1811" s="2" t="str">
        <f>IFERROR(__xludf.DUMMYFUNCTION("IF('From Order'!$A1811=COLUMNS($A1811:D1830), LEFT(INDEX(FILTER(D$1:D1810, D$1:D1810&lt;&gt;""""),COUNTA(FILTER(D$1:D1810, D$1:D1810&lt;&gt;""""))), LEN(INDEX(FILTER(D$1:D1810, D$1:D1810&lt;&gt;""""),COUNTA(FILTER(D$1:D1810, D$1:D1810&lt;&gt;""""))))-1), IF('To Order'!$A1811=COL"&amp;"UMNS($A1811:D1830), D1810&amp;RIGHT(INDIRECT(ADDRESS(ROW(D1811)-1, 'From Order'!$A1811)), 1), D1810))"),"RB")</f>
        <v>RB</v>
      </c>
      <c r="E1811" s="2" t="str">
        <f>IFERROR(__xludf.DUMMYFUNCTION("IF('From Order'!$A1811=COLUMNS($A1811:E1830), LEFT(INDEX(FILTER(E$1:E1810, E$1:E1810&lt;&gt;""""),COUNTA(FILTER(E$1:E1810, E$1:E1810&lt;&gt;""""))), LEN(INDEX(FILTER(E$1:E1810, E$1:E1810&lt;&gt;""""),COUNTA(FILTER(E$1:E1810, E$1:E1810&lt;&gt;""""))))-1), IF('To Order'!$A1811=COL"&amp;"UMNS($A1811:E1830), E1810&amp;RIGHT(INDIRECT(ADDRESS(ROW(E1811)-1, 'From Order'!$A1811)), 1), E1810))"),"CQTRTCVDRGBHFSCZWTSS")</f>
        <v>CQTRTCVDRGBHFSCZWTSS</v>
      </c>
      <c r="F1811" s="2" t="str">
        <f>IFERROR(__xludf.DUMMYFUNCTION("IF('From Order'!$A1811=COLUMNS($A1811:F1830), LEFT(INDEX(FILTER(F$1:F1810, F$1:F1810&lt;&gt;""""),COUNTA(FILTER(F$1:F1810, F$1:F1810&lt;&gt;""""))), LEN(INDEX(FILTER(F$1:F1810, F$1:F1810&lt;&gt;""""),COUNTA(FILTER(F$1:F1810, F$1:F1810&lt;&gt;""""))))-1), IF('To Order'!$A1811=COL"&amp;"UMNS($A1811:F1830), F1810&amp;RIGHT(INDIRECT(ADDRESS(ROW(F1811)-1, 'From Order'!$A1811)), 1), F1810))"),"")</f>
        <v/>
      </c>
      <c r="G1811" s="2" t="str">
        <f>IFERROR(__xludf.DUMMYFUNCTION("IF('From Order'!$A1811=COLUMNS($A1811:G1830), LEFT(INDEX(FILTER(G$1:G1810, G$1:G1810&lt;&gt;""""),COUNTA(FILTER(G$1:G1810, G$1:G1810&lt;&gt;""""))), LEN(INDEX(FILTER(G$1:G1810, G$1:G1810&lt;&gt;""""),COUNTA(FILTER(G$1:G1810, G$1:G1810&lt;&gt;""""))))-1), IF('To Order'!$A1811=COL"&amp;"UMNS($A1811:G1830), G1810&amp;RIGHT(INDIRECT(ADDRESS(ROW(G1811)-1, 'From Order'!$A1811)), 1), G1810))"),"MDJMBVRR")</f>
        <v>MDJMBVRR</v>
      </c>
      <c r="H1811" s="2" t="str">
        <f>IFERROR(__xludf.DUMMYFUNCTION("IF('From Order'!$A1811=COLUMNS($A1811:H1830), LEFT(INDEX(FILTER(H$1:H1810, H$1:H1810&lt;&gt;""""),COUNTA(FILTER(H$1:H1810, H$1:H1810&lt;&gt;""""))), LEN(INDEX(FILTER(H$1:H1810, H$1:H1810&lt;&gt;""""),COUNTA(FILTER(H$1:H1810, H$1:H1810&lt;&gt;""""))))-1), IF('To Order'!$A1811=COL"&amp;"UMNS($A1811:H1830), H1810&amp;RIGHT(INDIRECT(ADDRESS(ROW(H1811)-1, 'From Order'!$A1811)), 1), H1810))"),"")</f>
        <v/>
      </c>
      <c r="I1811" s="2" t="str">
        <f>IFERROR(__xludf.DUMMYFUNCTION("IF('From Order'!$A1811=COLUMNS($A1811:I1830), LEFT(INDEX(FILTER(I$1:I1810, I$1:I1810&lt;&gt;""""),COUNTA(FILTER(I$1:I1810, I$1:I1810&lt;&gt;""""))), LEN(INDEX(FILTER(I$1:I1810, I$1:I1810&lt;&gt;""""),COUNTA(FILTER(I$1:I1810, I$1:I1810&lt;&gt;""""))))-1), IF('To Order'!$A1811=COL"&amp;"UMNS($A1811:I1830), I1810&amp;RIGHT(INDIRECT(ADDRESS(ROW(I1811)-1, 'From Order'!$A1811)), 1), I1810))"),"")</f>
        <v/>
      </c>
    </row>
    <row r="1812">
      <c r="A1812" s="2" t="str">
        <f>IFERROR(__xludf.DUMMYFUNCTION("IF('From Order'!$A1812=COLUMNS($A1812:A1831), LEFT(INDEX(FILTER(A$1:A1811, A$1:A1811&lt;&gt;""""),COUNTA(FILTER(A$1:A1811, A$1:A1811&lt;&gt;""""))), LEN(INDEX(FILTER(A$1:A1811, A$1:A1811&lt;&gt;""""),COUNTA(FILTER(A$1:A1811, A$1:A1811&lt;&gt;""""))))-1), IF('To Order'!$A1812=COL"&amp;"UMNS($A1812:A1831), A1811&amp;RIGHT(INDIRECT(ADDRESS(ROW(A1812)-1, 'From Order'!$A1812)), 1), A1811))"),"ZHZMTDLDSPBFLLWDDVQJP")</f>
        <v>ZHZMTDLDSPBFLLWDDVQJP</v>
      </c>
      <c r="B1812" s="2" t="str">
        <f>IFERROR(__xludf.DUMMYFUNCTION("IF('From Order'!$A1812=COLUMNS($A1812:B1831), LEFT(INDEX(FILTER(B$1:B1811, B$1:B1811&lt;&gt;""""),COUNTA(FILTER(B$1:B1811, B$1:B1811&lt;&gt;""""))), LEN(INDEX(FILTER(B$1:B1811, B$1:B1811&lt;&gt;""""),COUNTA(FILTER(B$1:B1811, B$1:B1811&lt;&gt;""""))))-1), IF('To Order'!$A1812=COL"&amp;"UMNS($A1812:B1831), B1811&amp;RIGHT(INDIRECT(ADDRESS(ROW(B1812)-1, 'From Order'!$A1812)), 1), B1811))"),"GTTJ")</f>
        <v>GTTJ</v>
      </c>
      <c r="C1812" s="2" t="str">
        <f>IFERROR(__xludf.DUMMYFUNCTION("IF('From Order'!$A1812=COLUMNS($A1812:C1831), LEFT(INDEX(FILTER(C$1:C1811, C$1:C1811&lt;&gt;""""),COUNTA(FILTER(C$1:C1811, C$1:C1811&lt;&gt;""""))), LEN(INDEX(FILTER(C$1:C1811, C$1:C1811&lt;&gt;""""),COUNTA(FILTER(C$1:C1811, C$1:C1811&lt;&gt;""""))))-1), IF('To Order'!$A1812=COL"&amp;"UMNS($A1812:C1831), C1811&amp;RIGHT(INDIRECT(ADDRESS(ROW(C1812)-1, 'From Order'!$A1812)), 1), C1811))"),"")</f>
        <v/>
      </c>
      <c r="D1812" s="2" t="str">
        <f>IFERROR(__xludf.DUMMYFUNCTION("IF('From Order'!$A1812=COLUMNS($A1812:D1831), LEFT(INDEX(FILTER(D$1:D1811, D$1:D1811&lt;&gt;""""),COUNTA(FILTER(D$1:D1811, D$1:D1811&lt;&gt;""""))), LEN(INDEX(FILTER(D$1:D1811, D$1:D1811&lt;&gt;""""),COUNTA(FILTER(D$1:D1811, D$1:D1811&lt;&gt;""""))))-1), IF('To Order'!$A1812=COL"&amp;"UMNS($A1812:D1831), D1811&amp;RIGHT(INDIRECT(ADDRESS(ROW(D1812)-1, 'From Order'!$A1812)), 1), D1811))"),"RB")</f>
        <v>RB</v>
      </c>
      <c r="E1812" s="2" t="str">
        <f>IFERROR(__xludf.DUMMYFUNCTION("IF('From Order'!$A1812=COLUMNS($A1812:E1831), LEFT(INDEX(FILTER(E$1:E1811, E$1:E1811&lt;&gt;""""),COUNTA(FILTER(E$1:E1811, E$1:E1811&lt;&gt;""""))), LEN(INDEX(FILTER(E$1:E1811, E$1:E1811&lt;&gt;""""),COUNTA(FILTER(E$1:E1811, E$1:E1811&lt;&gt;""""))))-1), IF('To Order'!$A1812=COL"&amp;"UMNS($A1812:E1831), E1811&amp;RIGHT(INDIRECT(ADDRESS(ROW(E1812)-1, 'From Order'!$A1812)), 1), E1811))"),"CQTRTCVDRGBHFSCZWTSSP")</f>
        <v>CQTRTCVDRGBHFSCZWTSSP</v>
      </c>
      <c r="F1812" s="2" t="str">
        <f>IFERROR(__xludf.DUMMYFUNCTION("IF('From Order'!$A1812=COLUMNS($A1812:F1831), LEFT(INDEX(FILTER(F$1:F1811, F$1:F1811&lt;&gt;""""),COUNTA(FILTER(F$1:F1811, F$1:F1811&lt;&gt;""""))), LEN(INDEX(FILTER(F$1:F1811, F$1:F1811&lt;&gt;""""),COUNTA(FILTER(F$1:F1811, F$1:F1811&lt;&gt;""""))))-1), IF('To Order'!$A1812=COL"&amp;"UMNS($A1812:F1831), F1811&amp;RIGHT(INDIRECT(ADDRESS(ROW(F1812)-1, 'From Order'!$A1812)), 1), F1811))"),"")</f>
        <v/>
      </c>
      <c r="G1812" s="2" t="str">
        <f>IFERROR(__xludf.DUMMYFUNCTION("IF('From Order'!$A1812=COLUMNS($A1812:G1831), LEFT(INDEX(FILTER(G$1:G1811, G$1:G1811&lt;&gt;""""),COUNTA(FILTER(G$1:G1811, G$1:G1811&lt;&gt;""""))), LEN(INDEX(FILTER(G$1:G1811, G$1:G1811&lt;&gt;""""),COUNTA(FILTER(G$1:G1811, G$1:G1811&lt;&gt;""""))))-1), IF('To Order'!$A1812=COL"&amp;"UMNS($A1812:G1831), G1811&amp;RIGHT(INDIRECT(ADDRESS(ROW(G1812)-1, 'From Order'!$A1812)), 1), G1811))"),"MDJMBVRR")</f>
        <v>MDJMBVRR</v>
      </c>
      <c r="H1812" s="2" t="str">
        <f>IFERROR(__xludf.DUMMYFUNCTION("IF('From Order'!$A1812=COLUMNS($A1812:H1831), LEFT(INDEX(FILTER(H$1:H1811, H$1:H1811&lt;&gt;""""),COUNTA(FILTER(H$1:H1811, H$1:H1811&lt;&gt;""""))), LEN(INDEX(FILTER(H$1:H1811, H$1:H1811&lt;&gt;""""),COUNTA(FILTER(H$1:H1811, H$1:H1811&lt;&gt;""""))))-1), IF('To Order'!$A1812=COL"&amp;"UMNS($A1812:H1831), H1811&amp;RIGHT(INDIRECT(ADDRESS(ROW(H1812)-1, 'From Order'!$A1812)), 1), H1811))"),"")</f>
        <v/>
      </c>
      <c r="I1812" s="2" t="str">
        <f>IFERROR(__xludf.DUMMYFUNCTION("IF('From Order'!$A1812=COLUMNS($A1812:I1831), LEFT(INDEX(FILTER(I$1:I1811, I$1:I1811&lt;&gt;""""),COUNTA(FILTER(I$1:I1811, I$1:I1811&lt;&gt;""""))), LEN(INDEX(FILTER(I$1:I1811, I$1:I1811&lt;&gt;""""),COUNTA(FILTER(I$1:I1811, I$1:I1811&lt;&gt;""""))))-1), IF('To Order'!$A1812=COL"&amp;"UMNS($A1812:I1831), I1811&amp;RIGHT(INDIRECT(ADDRESS(ROW(I1812)-1, 'From Order'!$A1812)), 1), I1811))"),"")</f>
        <v/>
      </c>
    </row>
    <row r="1813">
      <c r="A1813" s="2" t="str">
        <f>IFERROR(__xludf.DUMMYFUNCTION("IF('From Order'!$A1813=COLUMNS($A1813:A1832), LEFT(INDEX(FILTER(A$1:A1812, A$1:A1812&lt;&gt;""""),COUNTA(FILTER(A$1:A1812, A$1:A1812&lt;&gt;""""))), LEN(INDEX(FILTER(A$1:A1812, A$1:A1812&lt;&gt;""""),COUNTA(FILTER(A$1:A1812, A$1:A1812&lt;&gt;""""))))-1), IF('To Order'!$A1813=COL"&amp;"UMNS($A1813:A1832), A1812&amp;RIGHT(INDIRECT(ADDRESS(ROW(A1813)-1, 'From Order'!$A1813)), 1), A1812))"),"ZHZMTDLDSPBFLLWDDVQJ")</f>
        <v>ZHZMTDLDSPBFLLWDDVQJ</v>
      </c>
      <c r="B1813" s="2" t="str">
        <f>IFERROR(__xludf.DUMMYFUNCTION("IF('From Order'!$A1813=COLUMNS($A1813:B1832), LEFT(INDEX(FILTER(B$1:B1812, B$1:B1812&lt;&gt;""""),COUNTA(FILTER(B$1:B1812, B$1:B1812&lt;&gt;""""))), LEN(INDEX(FILTER(B$1:B1812, B$1:B1812&lt;&gt;""""),COUNTA(FILTER(B$1:B1812, B$1:B1812&lt;&gt;""""))))-1), IF('To Order'!$A1813=COL"&amp;"UMNS($A1813:B1832), B1812&amp;RIGHT(INDIRECT(ADDRESS(ROW(B1813)-1, 'From Order'!$A1813)), 1), B1812))"),"GTTJ")</f>
        <v>GTTJ</v>
      </c>
      <c r="C1813" s="2" t="str">
        <f>IFERROR(__xludf.DUMMYFUNCTION("IF('From Order'!$A1813=COLUMNS($A1813:C1832), LEFT(INDEX(FILTER(C$1:C1812, C$1:C1812&lt;&gt;""""),COUNTA(FILTER(C$1:C1812, C$1:C1812&lt;&gt;""""))), LEN(INDEX(FILTER(C$1:C1812, C$1:C1812&lt;&gt;""""),COUNTA(FILTER(C$1:C1812, C$1:C1812&lt;&gt;""""))))-1), IF('To Order'!$A1813=COL"&amp;"UMNS($A1813:C1832), C1812&amp;RIGHT(INDIRECT(ADDRESS(ROW(C1813)-1, 'From Order'!$A1813)), 1), C1812))"),"")</f>
        <v/>
      </c>
      <c r="D1813" s="2" t="str">
        <f>IFERROR(__xludf.DUMMYFUNCTION("IF('From Order'!$A1813=COLUMNS($A1813:D1832), LEFT(INDEX(FILTER(D$1:D1812, D$1:D1812&lt;&gt;""""),COUNTA(FILTER(D$1:D1812, D$1:D1812&lt;&gt;""""))), LEN(INDEX(FILTER(D$1:D1812, D$1:D1812&lt;&gt;""""),COUNTA(FILTER(D$1:D1812, D$1:D1812&lt;&gt;""""))))-1), IF('To Order'!$A1813=COL"&amp;"UMNS($A1813:D1832), D1812&amp;RIGHT(INDIRECT(ADDRESS(ROW(D1813)-1, 'From Order'!$A1813)), 1), D1812))"),"RB")</f>
        <v>RB</v>
      </c>
      <c r="E1813" s="2" t="str">
        <f>IFERROR(__xludf.DUMMYFUNCTION("IF('From Order'!$A1813=COLUMNS($A1813:E1832), LEFT(INDEX(FILTER(E$1:E1812, E$1:E1812&lt;&gt;""""),COUNTA(FILTER(E$1:E1812, E$1:E1812&lt;&gt;""""))), LEN(INDEX(FILTER(E$1:E1812, E$1:E1812&lt;&gt;""""),COUNTA(FILTER(E$1:E1812, E$1:E1812&lt;&gt;""""))))-1), IF('To Order'!$A1813=COL"&amp;"UMNS($A1813:E1832), E1812&amp;RIGHT(INDIRECT(ADDRESS(ROW(E1813)-1, 'From Order'!$A1813)), 1), E1812))"),"CQTRTCVDRGBHFSCZWTSSPP")</f>
        <v>CQTRTCVDRGBHFSCZWTSSPP</v>
      </c>
      <c r="F1813" s="2" t="str">
        <f>IFERROR(__xludf.DUMMYFUNCTION("IF('From Order'!$A1813=COLUMNS($A1813:F1832), LEFT(INDEX(FILTER(F$1:F1812, F$1:F1812&lt;&gt;""""),COUNTA(FILTER(F$1:F1812, F$1:F1812&lt;&gt;""""))), LEN(INDEX(FILTER(F$1:F1812, F$1:F1812&lt;&gt;""""),COUNTA(FILTER(F$1:F1812, F$1:F1812&lt;&gt;""""))))-1), IF('To Order'!$A1813=COL"&amp;"UMNS($A1813:F1832), F1812&amp;RIGHT(INDIRECT(ADDRESS(ROW(F1813)-1, 'From Order'!$A1813)), 1), F1812))"),"")</f>
        <v/>
      </c>
      <c r="G1813" s="2" t="str">
        <f>IFERROR(__xludf.DUMMYFUNCTION("IF('From Order'!$A1813=COLUMNS($A1813:G1832), LEFT(INDEX(FILTER(G$1:G1812, G$1:G1812&lt;&gt;""""),COUNTA(FILTER(G$1:G1812, G$1:G1812&lt;&gt;""""))), LEN(INDEX(FILTER(G$1:G1812, G$1:G1812&lt;&gt;""""),COUNTA(FILTER(G$1:G1812, G$1:G1812&lt;&gt;""""))))-1), IF('To Order'!$A1813=COL"&amp;"UMNS($A1813:G1832), G1812&amp;RIGHT(INDIRECT(ADDRESS(ROW(G1813)-1, 'From Order'!$A1813)), 1), G1812))"),"MDJMBVRR")</f>
        <v>MDJMBVRR</v>
      </c>
      <c r="H1813" s="2" t="str">
        <f>IFERROR(__xludf.DUMMYFUNCTION("IF('From Order'!$A1813=COLUMNS($A1813:H1832), LEFT(INDEX(FILTER(H$1:H1812, H$1:H1812&lt;&gt;""""),COUNTA(FILTER(H$1:H1812, H$1:H1812&lt;&gt;""""))), LEN(INDEX(FILTER(H$1:H1812, H$1:H1812&lt;&gt;""""),COUNTA(FILTER(H$1:H1812, H$1:H1812&lt;&gt;""""))))-1), IF('To Order'!$A1813=COL"&amp;"UMNS($A1813:H1832), H1812&amp;RIGHT(INDIRECT(ADDRESS(ROW(H1813)-1, 'From Order'!$A1813)), 1), H1812))"),"")</f>
        <v/>
      </c>
      <c r="I1813" s="2" t="str">
        <f>IFERROR(__xludf.DUMMYFUNCTION("IF('From Order'!$A1813=COLUMNS($A1813:I1832), LEFT(INDEX(FILTER(I$1:I1812, I$1:I1812&lt;&gt;""""),COUNTA(FILTER(I$1:I1812, I$1:I1812&lt;&gt;""""))), LEN(INDEX(FILTER(I$1:I1812, I$1:I1812&lt;&gt;""""),COUNTA(FILTER(I$1:I1812, I$1:I1812&lt;&gt;""""))))-1), IF('To Order'!$A1813=COL"&amp;"UMNS($A1813:I1832), I1812&amp;RIGHT(INDIRECT(ADDRESS(ROW(I1813)-1, 'From Order'!$A1813)), 1), I1812))"),"")</f>
        <v/>
      </c>
    </row>
    <row r="1814">
      <c r="A1814" s="2" t="str">
        <f>IFERROR(__xludf.DUMMYFUNCTION("IF('From Order'!$A1814=COLUMNS($A1814:A1833), LEFT(INDEX(FILTER(A$1:A1813, A$1:A1813&lt;&gt;""""),COUNTA(FILTER(A$1:A1813, A$1:A1813&lt;&gt;""""))), LEN(INDEX(FILTER(A$1:A1813, A$1:A1813&lt;&gt;""""),COUNTA(FILTER(A$1:A1813, A$1:A1813&lt;&gt;""""))))-1), IF('To Order'!$A1814=COL"&amp;"UMNS($A1814:A1833), A1813&amp;RIGHT(INDIRECT(ADDRESS(ROW(A1814)-1, 'From Order'!$A1814)), 1), A1813))"),"ZHZMTDLDSPBFLLWDDVQ")</f>
        <v>ZHZMTDLDSPBFLLWDDVQ</v>
      </c>
      <c r="B1814" s="2" t="str">
        <f>IFERROR(__xludf.DUMMYFUNCTION("IF('From Order'!$A1814=COLUMNS($A1814:B1833), LEFT(INDEX(FILTER(B$1:B1813, B$1:B1813&lt;&gt;""""),COUNTA(FILTER(B$1:B1813, B$1:B1813&lt;&gt;""""))), LEN(INDEX(FILTER(B$1:B1813, B$1:B1813&lt;&gt;""""),COUNTA(FILTER(B$1:B1813, B$1:B1813&lt;&gt;""""))))-1), IF('To Order'!$A1814=COL"&amp;"UMNS($A1814:B1833), B1813&amp;RIGHT(INDIRECT(ADDRESS(ROW(B1814)-1, 'From Order'!$A1814)), 1), B1813))"),"GTTJ")</f>
        <v>GTTJ</v>
      </c>
      <c r="C1814" s="2" t="str">
        <f>IFERROR(__xludf.DUMMYFUNCTION("IF('From Order'!$A1814=COLUMNS($A1814:C1833), LEFT(INDEX(FILTER(C$1:C1813, C$1:C1813&lt;&gt;""""),COUNTA(FILTER(C$1:C1813, C$1:C1813&lt;&gt;""""))), LEN(INDEX(FILTER(C$1:C1813, C$1:C1813&lt;&gt;""""),COUNTA(FILTER(C$1:C1813, C$1:C1813&lt;&gt;""""))))-1), IF('To Order'!$A1814=COL"&amp;"UMNS($A1814:C1833), C1813&amp;RIGHT(INDIRECT(ADDRESS(ROW(C1814)-1, 'From Order'!$A1814)), 1), C1813))"),"")</f>
        <v/>
      </c>
      <c r="D1814" s="2" t="str">
        <f>IFERROR(__xludf.DUMMYFUNCTION("IF('From Order'!$A1814=COLUMNS($A1814:D1833), LEFT(INDEX(FILTER(D$1:D1813, D$1:D1813&lt;&gt;""""),COUNTA(FILTER(D$1:D1813, D$1:D1813&lt;&gt;""""))), LEN(INDEX(FILTER(D$1:D1813, D$1:D1813&lt;&gt;""""),COUNTA(FILTER(D$1:D1813, D$1:D1813&lt;&gt;""""))))-1), IF('To Order'!$A1814=COL"&amp;"UMNS($A1814:D1833), D1813&amp;RIGHT(INDIRECT(ADDRESS(ROW(D1814)-1, 'From Order'!$A1814)), 1), D1813))"),"RB")</f>
        <v>RB</v>
      </c>
      <c r="E1814" s="2" t="str">
        <f>IFERROR(__xludf.DUMMYFUNCTION("IF('From Order'!$A1814=COLUMNS($A1814:E1833), LEFT(INDEX(FILTER(E$1:E1813, E$1:E1813&lt;&gt;""""),COUNTA(FILTER(E$1:E1813, E$1:E1813&lt;&gt;""""))), LEN(INDEX(FILTER(E$1:E1813, E$1:E1813&lt;&gt;""""),COUNTA(FILTER(E$1:E1813, E$1:E1813&lt;&gt;""""))))-1), IF('To Order'!$A1814=COL"&amp;"UMNS($A1814:E1833), E1813&amp;RIGHT(INDIRECT(ADDRESS(ROW(E1814)-1, 'From Order'!$A1814)), 1), E1813))"),"CQTRTCVDRGBHFSCZWTSSPPJ")</f>
        <v>CQTRTCVDRGBHFSCZWTSSPPJ</v>
      </c>
      <c r="F1814" s="2" t="str">
        <f>IFERROR(__xludf.DUMMYFUNCTION("IF('From Order'!$A1814=COLUMNS($A1814:F1833), LEFT(INDEX(FILTER(F$1:F1813, F$1:F1813&lt;&gt;""""),COUNTA(FILTER(F$1:F1813, F$1:F1813&lt;&gt;""""))), LEN(INDEX(FILTER(F$1:F1813, F$1:F1813&lt;&gt;""""),COUNTA(FILTER(F$1:F1813, F$1:F1813&lt;&gt;""""))))-1), IF('To Order'!$A1814=COL"&amp;"UMNS($A1814:F1833), F1813&amp;RIGHT(INDIRECT(ADDRESS(ROW(F1814)-1, 'From Order'!$A1814)), 1), F1813))"),"")</f>
        <v/>
      </c>
      <c r="G1814" s="2" t="str">
        <f>IFERROR(__xludf.DUMMYFUNCTION("IF('From Order'!$A1814=COLUMNS($A1814:G1833), LEFT(INDEX(FILTER(G$1:G1813, G$1:G1813&lt;&gt;""""),COUNTA(FILTER(G$1:G1813, G$1:G1813&lt;&gt;""""))), LEN(INDEX(FILTER(G$1:G1813, G$1:G1813&lt;&gt;""""),COUNTA(FILTER(G$1:G1813, G$1:G1813&lt;&gt;""""))))-1), IF('To Order'!$A1814=COL"&amp;"UMNS($A1814:G1833), G1813&amp;RIGHT(INDIRECT(ADDRESS(ROW(G1814)-1, 'From Order'!$A1814)), 1), G1813))"),"MDJMBVRR")</f>
        <v>MDJMBVRR</v>
      </c>
      <c r="H1814" s="2" t="str">
        <f>IFERROR(__xludf.DUMMYFUNCTION("IF('From Order'!$A1814=COLUMNS($A1814:H1833), LEFT(INDEX(FILTER(H$1:H1813, H$1:H1813&lt;&gt;""""),COUNTA(FILTER(H$1:H1813, H$1:H1813&lt;&gt;""""))), LEN(INDEX(FILTER(H$1:H1813, H$1:H1813&lt;&gt;""""),COUNTA(FILTER(H$1:H1813, H$1:H1813&lt;&gt;""""))))-1), IF('To Order'!$A1814=COL"&amp;"UMNS($A1814:H1833), H1813&amp;RIGHT(INDIRECT(ADDRESS(ROW(H1814)-1, 'From Order'!$A1814)), 1), H1813))"),"")</f>
        <v/>
      </c>
      <c r="I1814" s="2" t="str">
        <f>IFERROR(__xludf.DUMMYFUNCTION("IF('From Order'!$A1814=COLUMNS($A1814:I1833), LEFT(INDEX(FILTER(I$1:I1813, I$1:I1813&lt;&gt;""""),COUNTA(FILTER(I$1:I1813, I$1:I1813&lt;&gt;""""))), LEN(INDEX(FILTER(I$1:I1813, I$1:I1813&lt;&gt;""""),COUNTA(FILTER(I$1:I1813, I$1:I1813&lt;&gt;""""))))-1), IF('To Order'!$A1814=COL"&amp;"UMNS($A1814:I1833), I1813&amp;RIGHT(INDIRECT(ADDRESS(ROW(I1814)-1, 'From Order'!$A1814)), 1), I1813))"),"")</f>
        <v/>
      </c>
    </row>
    <row r="1815">
      <c r="A1815" s="2" t="str">
        <f>IFERROR(__xludf.DUMMYFUNCTION("IF('From Order'!$A1815=COLUMNS($A1815:A1834), LEFT(INDEX(FILTER(A$1:A1814, A$1:A1814&lt;&gt;""""),COUNTA(FILTER(A$1:A1814, A$1:A1814&lt;&gt;""""))), LEN(INDEX(FILTER(A$1:A1814, A$1:A1814&lt;&gt;""""),COUNTA(FILTER(A$1:A1814, A$1:A1814&lt;&gt;""""))))-1), IF('To Order'!$A1815=COL"&amp;"UMNS($A1815:A1834), A1814&amp;RIGHT(INDIRECT(ADDRESS(ROW(A1815)-1, 'From Order'!$A1815)), 1), A1814))"),"ZHZMTDLDSPBFLLWDDV")</f>
        <v>ZHZMTDLDSPBFLLWDDV</v>
      </c>
      <c r="B1815" s="2" t="str">
        <f>IFERROR(__xludf.DUMMYFUNCTION("IF('From Order'!$A1815=COLUMNS($A1815:B1834), LEFT(INDEX(FILTER(B$1:B1814, B$1:B1814&lt;&gt;""""),COUNTA(FILTER(B$1:B1814, B$1:B1814&lt;&gt;""""))), LEN(INDEX(FILTER(B$1:B1814, B$1:B1814&lt;&gt;""""),COUNTA(FILTER(B$1:B1814, B$1:B1814&lt;&gt;""""))))-1), IF('To Order'!$A1815=COL"&amp;"UMNS($A1815:B1834), B1814&amp;RIGHT(INDIRECT(ADDRESS(ROW(B1815)-1, 'From Order'!$A1815)), 1), B1814))"),"GTTJ")</f>
        <v>GTTJ</v>
      </c>
      <c r="C1815" s="2" t="str">
        <f>IFERROR(__xludf.DUMMYFUNCTION("IF('From Order'!$A1815=COLUMNS($A1815:C1834), LEFT(INDEX(FILTER(C$1:C1814, C$1:C1814&lt;&gt;""""),COUNTA(FILTER(C$1:C1814, C$1:C1814&lt;&gt;""""))), LEN(INDEX(FILTER(C$1:C1814, C$1:C1814&lt;&gt;""""),COUNTA(FILTER(C$1:C1814, C$1:C1814&lt;&gt;""""))))-1), IF('To Order'!$A1815=COL"&amp;"UMNS($A1815:C1834), C1814&amp;RIGHT(INDIRECT(ADDRESS(ROW(C1815)-1, 'From Order'!$A1815)), 1), C1814))"),"")</f>
        <v/>
      </c>
      <c r="D1815" s="2" t="str">
        <f>IFERROR(__xludf.DUMMYFUNCTION("IF('From Order'!$A1815=COLUMNS($A1815:D1834), LEFT(INDEX(FILTER(D$1:D1814, D$1:D1814&lt;&gt;""""),COUNTA(FILTER(D$1:D1814, D$1:D1814&lt;&gt;""""))), LEN(INDEX(FILTER(D$1:D1814, D$1:D1814&lt;&gt;""""),COUNTA(FILTER(D$1:D1814, D$1:D1814&lt;&gt;""""))))-1), IF('To Order'!$A1815=COL"&amp;"UMNS($A1815:D1834), D1814&amp;RIGHT(INDIRECT(ADDRESS(ROW(D1815)-1, 'From Order'!$A1815)), 1), D1814))"),"RB")</f>
        <v>RB</v>
      </c>
      <c r="E1815" s="2" t="str">
        <f>IFERROR(__xludf.DUMMYFUNCTION("IF('From Order'!$A1815=COLUMNS($A1815:E1834), LEFT(INDEX(FILTER(E$1:E1814, E$1:E1814&lt;&gt;""""),COUNTA(FILTER(E$1:E1814, E$1:E1814&lt;&gt;""""))), LEN(INDEX(FILTER(E$1:E1814, E$1:E1814&lt;&gt;""""),COUNTA(FILTER(E$1:E1814, E$1:E1814&lt;&gt;""""))))-1), IF('To Order'!$A1815=COL"&amp;"UMNS($A1815:E1834), E1814&amp;RIGHT(INDIRECT(ADDRESS(ROW(E1815)-1, 'From Order'!$A1815)), 1), E1814))"),"CQTRTCVDRGBHFSCZWTSSPPJQ")</f>
        <v>CQTRTCVDRGBHFSCZWTSSPPJQ</v>
      </c>
      <c r="F1815" s="2" t="str">
        <f>IFERROR(__xludf.DUMMYFUNCTION("IF('From Order'!$A1815=COLUMNS($A1815:F1834), LEFT(INDEX(FILTER(F$1:F1814, F$1:F1814&lt;&gt;""""),COUNTA(FILTER(F$1:F1814, F$1:F1814&lt;&gt;""""))), LEN(INDEX(FILTER(F$1:F1814, F$1:F1814&lt;&gt;""""),COUNTA(FILTER(F$1:F1814, F$1:F1814&lt;&gt;""""))))-1), IF('To Order'!$A1815=COL"&amp;"UMNS($A1815:F1834), F1814&amp;RIGHT(INDIRECT(ADDRESS(ROW(F1815)-1, 'From Order'!$A1815)), 1), F1814))"),"")</f>
        <v/>
      </c>
      <c r="G1815" s="2" t="str">
        <f>IFERROR(__xludf.DUMMYFUNCTION("IF('From Order'!$A1815=COLUMNS($A1815:G1834), LEFT(INDEX(FILTER(G$1:G1814, G$1:G1814&lt;&gt;""""),COUNTA(FILTER(G$1:G1814, G$1:G1814&lt;&gt;""""))), LEN(INDEX(FILTER(G$1:G1814, G$1:G1814&lt;&gt;""""),COUNTA(FILTER(G$1:G1814, G$1:G1814&lt;&gt;""""))))-1), IF('To Order'!$A1815=COL"&amp;"UMNS($A1815:G1834), G1814&amp;RIGHT(INDIRECT(ADDRESS(ROW(G1815)-1, 'From Order'!$A1815)), 1), G1814))"),"MDJMBVRR")</f>
        <v>MDJMBVRR</v>
      </c>
      <c r="H1815" s="2" t="str">
        <f>IFERROR(__xludf.DUMMYFUNCTION("IF('From Order'!$A1815=COLUMNS($A1815:H1834), LEFT(INDEX(FILTER(H$1:H1814, H$1:H1814&lt;&gt;""""),COUNTA(FILTER(H$1:H1814, H$1:H1814&lt;&gt;""""))), LEN(INDEX(FILTER(H$1:H1814, H$1:H1814&lt;&gt;""""),COUNTA(FILTER(H$1:H1814, H$1:H1814&lt;&gt;""""))))-1), IF('To Order'!$A1815=COL"&amp;"UMNS($A1815:H1834), H1814&amp;RIGHT(INDIRECT(ADDRESS(ROW(H1815)-1, 'From Order'!$A1815)), 1), H1814))"),"")</f>
        <v/>
      </c>
      <c r="I1815" s="2" t="str">
        <f>IFERROR(__xludf.DUMMYFUNCTION("IF('From Order'!$A1815=COLUMNS($A1815:I1834), LEFT(INDEX(FILTER(I$1:I1814, I$1:I1814&lt;&gt;""""),COUNTA(FILTER(I$1:I1814, I$1:I1814&lt;&gt;""""))), LEN(INDEX(FILTER(I$1:I1814, I$1:I1814&lt;&gt;""""),COUNTA(FILTER(I$1:I1814, I$1:I1814&lt;&gt;""""))))-1), IF('To Order'!$A1815=COL"&amp;"UMNS($A1815:I1834), I1814&amp;RIGHT(INDIRECT(ADDRESS(ROW(I1815)-1, 'From Order'!$A1815)), 1), I1814))"),"")</f>
        <v/>
      </c>
    </row>
    <row r="1816">
      <c r="A1816" s="2" t="str">
        <f>IFERROR(__xludf.DUMMYFUNCTION("IF('From Order'!$A1816=COLUMNS($A1816:A1835), LEFT(INDEX(FILTER(A$1:A1815, A$1:A1815&lt;&gt;""""),COUNTA(FILTER(A$1:A1815, A$1:A1815&lt;&gt;""""))), LEN(INDEX(FILTER(A$1:A1815, A$1:A1815&lt;&gt;""""),COUNTA(FILTER(A$1:A1815, A$1:A1815&lt;&gt;""""))))-1), IF('To Order'!$A1816=COL"&amp;"UMNS($A1816:A1835), A1815&amp;RIGHT(INDIRECT(ADDRESS(ROW(A1816)-1, 'From Order'!$A1816)), 1), A1815))"),"ZHZMTDLDSPBFLLWDD")</f>
        <v>ZHZMTDLDSPBFLLWDD</v>
      </c>
      <c r="B1816" s="2" t="str">
        <f>IFERROR(__xludf.DUMMYFUNCTION("IF('From Order'!$A1816=COLUMNS($A1816:B1835), LEFT(INDEX(FILTER(B$1:B1815, B$1:B1815&lt;&gt;""""),COUNTA(FILTER(B$1:B1815, B$1:B1815&lt;&gt;""""))), LEN(INDEX(FILTER(B$1:B1815, B$1:B1815&lt;&gt;""""),COUNTA(FILTER(B$1:B1815, B$1:B1815&lt;&gt;""""))))-1), IF('To Order'!$A1816=COL"&amp;"UMNS($A1816:B1835), B1815&amp;RIGHT(INDIRECT(ADDRESS(ROW(B1816)-1, 'From Order'!$A1816)), 1), B1815))"),"GTTJ")</f>
        <v>GTTJ</v>
      </c>
      <c r="C1816" s="2" t="str">
        <f>IFERROR(__xludf.DUMMYFUNCTION("IF('From Order'!$A1816=COLUMNS($A1816:C1835), LEFT(INDEX(FILTER(C$1:C1815, C$1:C1815&lt;&gt;""""),COUNTA(FILTER(C$1:C1815, C$1:C1815&lt;&gt;""""))), LEN(INDEX(FILTER(C$1:C1815, C$1:C1815&lt;&gt;""""),COUNTA(FILTER(C$1:C1815, C$1:C1815&lt;&gt;""""))))-1), IF('To Order'!$A1816=COL"&amp;"UMNS($A1816:C1835), C1815&amp;RIGHT(INDIRECT(ADDRESS(ROW(C1816)-1, 'From Order'!$A1816)), 1), C1815))"),"")</f>
        <v/>
      </c>
      <c r="D1816" s="2" t="str">
        <f>IFERROR(__xludf.DUMMYFUNCTION("IF('From Order'!$A1816=COLUMNS($A1816:D1835), LEFT(INDEX(FILTER(D$1:D1815, D$1:D1815&lt;&gt;""""),COUNTA(FILTER(D$1:D1815, D$1:D1815&lt;&gt;""""))), LEN(INDEX(FILTER(D$1:D1815, D$1:D1815&lt;&gt;""""),COUNTA(FILTER(D$1:D1815, D$1:D1815&lt;&gt;""""))))-1), IF('To Order'!$A1816=COL"&amp;"UMNS($A1816:D1835), D1815&amp;RIGHT(INDIRECT(ADDRESS(ROW(D1816)-1, 'From Order'!$A1816)), 1), D1815))"),"RB")</f>
        <v>RB</v>
      </c>
      <c r="E1816" s="2" t="str">
        <f>IFERROR(__xludf.DUMMYFUNCTION("IF('From Order'!$A1816=COLUMNS($A1816:E1835), LEFT(INDEX(FILTER(E$1:E1815, E$1:E1815&lt;&gt;""""),COUNTA(FILTER(E$1:E1815, E$1:E1815&lt;&gt;""""))), LEN(INDEX(FILTER(E$1:E1815, E$1:E1815&lt;&gt;""""),COUNTA(FILTER(E$1:E1815, E$1:E1815&lt;&gt;""""))))-1), IF('To Order'!$A1816=COL"&amp;"UMNS($A1816:E1835), E1815&amp;RIGHT(INDIRECT(ADDRESS(ROW(E1816)-1, 'From Order'!$A1816)), 1), E1815))"),"CQTRTCVDRGBHFSCZWTSSPPJQV")</f>
        <v>CQTRTCVDRGBHFSCZWTSSPPJQV</v>
      </c>
      <c r="F1816" s="2" t="str">
        <f>IFERROR(__xludf.DUMMYFUNCTION("IF('From Order'!$A1816=COLUMNS($A1816:F1835), LEFT(INDEX(FILTER(F$1:F1815, F$1:F1815&lt;&gt;""""),COUNTA(FILTER(F$1:F1815, F$1:F1815&lt;&gt;""""))), LEN(INDEX(FILTER(F$1:F1815, F$1:F1815&lt;&gt;""""),COUNTA(FILTER(F$1:F1815, F$1:F1815&lt;&gt;""""))))-1), IF('To Order'!$A1816=COL"&amp;"UMNS($A1816:F1835), F1815&amp;RIGHT(INDIRECT(ADDRESS(ROW(F1816)-1, 'From Order'!$A1816)), 1), F1815))"),"")</f>
        <v/>
      </c>
      <c r="G1816" s="2" t="str">
        <f>IFERROR(__xludf.DUMMYFUNCTION("IF('From Order'!$A1816=COLUMNS($A1816:G1835), LEFT(INDEX(FILTER(G$1:G1815, G$1:G1815&lt;&gt;""""),COUNTA(FILTER(G$1:G1815, G$1:G1815&lt;&gt;""""))), LEN(INDEX(FILTER(G$1:G1815, G$1:G1815&lt;&gt;""""),COUNTA(FILTER(G$1:G1815, G$1:G1815&lt;&gt;""""))))-1), IF('To Order'!$A1816=COL"&amp;"UMNS($A1816:G1835), G1815&amp;RIGHT(INDIRECT(ADDRESS(ROW(G1816)-1, 'From Order'!$A1816)), 1), G1815))"),"MDJMBVRR")</f>
        <v>MDJMBVRR</v>
      </c>
      <c r="H1816" s="2" t="str">
        <f>IFERROR(__xludf.DUMMYFUNCTION("IF('From Order'!$A1816=COLUMNS($A1816:H1835), LEFT(INDEX(FILTER(H$1:H1815, H$1:H1815&lt;&gt;""""),COUNTA(FILTER(H$1:H1815, H$1:H1815&lt;&gt;""""))), LEN(INDEX(FILTER(H$1:H1815, H$1:H1815&lt;&gt;""""),COUNTA(FILTER(H$1:H1815, H$1:H1815&lt;&gt;""""))))-1), IF('To Order'!$A1816=COL"&amp;"UMNS($A1816:H1835), H1815&amp;RIGHT(INDIRECT(ADDRESS(ROW(H1816)-1, 'From Order'!$A1816)), 1), H1815))"),"")</f>
        <v/>
      </c>
      <c r="I1816" s="2" t="str">
        <f>IFERROR(__xludf.DUMMYFUNCTION("IF('From Order'!$A1816=COLUMNS($A1816:I1835), LEFT(INDEX(FILTER(I$1:I1815, I$1:I1815&lt;&gt;""""),COUNTA(FILTER(I$1:I1815, I$1:I1815&lt;&gt;""""))), LEN(INDEX(FILTER(I$1:I1815, I$1:I1815&lt;&gt;""""),COUNTA(FILTER(I$1:I1815, I$1:I1815&lt;&gt;""""))))-1), IF('To Order'!$A1816=COL"&amp;"UMNS($A1816:I1835), I1815&amp;RIGHT(INDIRECT(ADDRESS(ROW(I1816)-1, 'From Order'!$A1816)), 1), I1815))"),"")</f>
        <v/>
      </c>
    </row>
    <row r="1817">
      <c r="A1817" s="2" t="str">
        <f>IFERROR(__xludf.DUMMYFUNCTION("IF('From Order'!$A1817=COLUMNS($A1817:A1836), LEFT(INDEX(FILTER(A$1:A1816, A$1:A1816&lt;&gt;""""),COUNTA(FILTER(A$1:A1816, A$1:A1816&lt;&gt;""""))), LEN(INDEX(FILTER(A$1:A1816, A$1:A1816&lt;&gt;""""),COUNTA(FILTER(A$1:A1816, A$1:A1816&lt;&gt;""""))))-1), IF('To Order'!$A1817=COL"&amp;"UMNS($A1817:A1836), A1816&amp;RIGHT(INDIRECT(ADDRESS(ROW(A1817)-1, 'From Order'!$A1817)), 1), A1816))"),"ZHZMTDLDSPBFLLWD")</f>
        <v>ZHZMTDLDSPBFLLWD</v>
      </c>
      <c r="B1817" s="2" t="str">
        <f>IFERROR(__xludf.DUMMYFUNCTION("IF('From Order'!$A1817=COLUMNS($A1817:B1836), LEFT(INDEX(FILTER(B$1:B1816, B$1:B1816&lt;&gt;""""),COUNTA(FILTER(B$1:B1816, B$1:B1816&lt;&gt;""""))), LEN(INDEX(FILTER(B$1:B1816, B$1:B1816&lt;&gt;""""),COUNTA(FILTER(B$1:B1816, B$1:B1816&lt;&gt;""""))))-1), IF('To Order'!$A1817=COL"&amp;"UMNS($A1817:B1836), B1816&amp;RIGHT(INDIRECT(ADDRESS(ROW(B1817)-1, 'From Order'!$A1817)), 1), B1816))"),"GTTJ")</f>
        <v>GTTJ</v>
      </c>
      <c r="C1817" s="2" t="str">
        <f>IFERROR(__xludf.DUMMYFUNCTION("IF('From Order'!$A1817=COLUMNS($A1817:C1836), LEFT(INDEX(FILTER(C$1:C1816, C$1:C1816&lt;&gt;""""),COUNTA(FILTER(C$1:C1816, C$1:C1816&lt;&gt;""""))), LEN(INDEX(FILTER(C$1:C1816, C$1:C1816&lt;&gt;""""),COUNTA(FILTER(C$1:C1816, C$1:C1816&lt;&gt;""""))))-1), IF('To Order'!$A1817=COL"&amp;"UMNS($A1817:C1836), C1816&amp;RIGHT(INDIRECT(ADDRESS(ROW(C1817)-1, 'From Order'!$A1817)), 1), C1816))"),"")</f>
        <v/>
      </c>
      <c r="D1817" s="2" t="str">
        <f>IFERROR(__xludf.DUMMYFUNCTION("IF('From Order'!$A1817=COLUMNS($A1817:D1836), LEFT(INDEX(FILTER(D$1:D1816, D$1:D1816&lt;&gt;""""),COUNTA(FILTER(D$1:D1816, D$1:D1816&lt;&gt;""""))), LEN(INDEX(FILTER(D$1:D1816, D$1:D1816&lt;&gt;""""),COUNTA(FILTER(D$1:D1816, D$1:D1816&lt;&gt;""""))))-1), IF('To Order'!$A1817=COL"&amp;"UMNS($A1817:D1836), D1816&amp;RIGHT(INDIRECT(ADDRESS(ROW(D1817)-1, 'From Order'!$A1817)), 1), D1816))"),"RB")</f>
        <v>RB</v>
      </c>
      <c r="E1817" s="2" t="str">
        <f>IFERROR(__xludf.DUMMYFUNCTION("IF('From Order'!$A1817=COLUMNS($A1817:E1836), LEFT(INDEX(FILTER(E$1:E1816, E$1:E1816&lt;&gt;""""),COUNTA(FILTER(E$1:E1816, E$1:E1816&lt;&gt;""""))), LEN(INDEX(FILTER(E$1:E1816, E$1:E1816&lt;&gt;""""),COUNTA(FILTER(E$1:E1816, E$1:E1816&lt;&gt;""""))))-1), IF('To Order'!$A1817=COL"&amp;"UMNS($A1817:E1836), E1816&amp;RIGHT(INDIRECT(ADDRESS(ROW(E1817)-1, 'From Order'!$A1817)), 1), E1816))"),"CQTRTCVDRGBHFSCZWTSSPPJQVD")</f>
        <v>CQTRTCVDRGBHFSCZWTSSPPJQVD</v>
      </c>
      <c r="F1817" s="2" t="str">
        <f>IFERROR(__xludf.DUMMYFUNCTION("IF('From Order'!$A1817=COLUMNS($A1817:F1836), LEFT(INDEX(FILTER(F$1:F1816, F$1:F1816&lt;&gt;""""),COUNTA(FILTER(F$1:F1816, F$1:F1816&lt;&gt;""""))), LEN(INDEX(FILTER(F$1:F1816, F$1:F1816&lt;&gt;""""),COUNTA(FILTER(F$1:F1816, F$1:F1816&lt;&gt;""""))))-1), IF('To Order'!$A1817=COL"&amp;"UMNS($A1817:F1836), F1816&amp;RIGHT(INDIRECT(ADDRESS(ROW(F1817)-1, 'From Order'!$A1817)), 1), F1816))"),"")</f>
        <v/>
      </c>
      <c r="G1817" s="2" t="str">
        <f>IFERROR(__xludf.DUMMYFUNCTION("IF('From Order'!$A1817=COLUMNS($A1817:G1836), LEFT(INDEX(FILTER(G$1:G1816, G$1:G1816&lt;&gt;""""),COUNTA(FILTER(G$1:G1816, G$1:G1816&lt;&gt;""""))), LEN(INDEX(FILTER(G$1:G1816, G$1:G1816&lt;&gt;""""),COUNTA(FILTER(G$1:G1816, G$1:G1816&lt;&gt;""""))))-1), IF('To Order'!$A1817=COL"&amp;"UMNS($A1817:G1836), G1816&amp;RIGHT(INDIRECT(ADDRESS(ROW(G1817)-1, 'From Order'!$A1817)), 1), G1816))"),"MDJMBVRR")</f>
        <v>MDJMBVRR</v>
      </c>
      <c r="H1817" s="2" t="str">
        <f>IFERROR(__xludf.DUMMYFUNCTION("IF('From Order'!$A1817=COLUMNS($A1817:H1836), LEFT(INDEX(FILTER(H$1:H1816, H$1:H1816&lt;&gt;""""),COUNTA(FILTER(H$1:H1816, H$1:H1816&lt;&gt;""""))), LEN(INDEX(FILTER(H$1:H1816, H$1:H1816&lt;&gt;""""),COUNTA(FILTER(H$1:H1816, H$1:H1816&lt;&gt;""""))))-1), IF('To Order'!$A1817=COL"&amp;"UMNS($A1817:H1836), H1816&amp;RIGHT(INDIRECT(ADDRESS(ROW(H1817)-1, 'From Order'!$A1817)), 1), H1816))"),"")</f>
        <v/>
      </c>
      <c r="I1817" s="2" t="str">
        <f>IFERROR(__xludf.DUMMYFUNCTION("IF('From Order'!$A1817=COLUMNS($A1817:I1836), LEFT(INDEX(FILTER(I$1:I1816, I$1:I1816&lt;&gt;""""),COUNTA(FILTER(I$1:I1816, I$1:I1816&lt;&gt;""""))), LEN(INDEX(FILTER(I$1:I1816, I$1:I1816&lt;&gt;""""),COUNTA(FILTER(I$1:I1816, I$1:I1816&lt;&gt;""""))))-1), IF('To Order'!$A1817=COL"&amp;"UMNS($A1817:I1836), I1816&amp;RIGHT(INDIRECT(ADDRESS(ROW(I1817)-1, 'From Order'!$A1817)), 1), I1816))"),"")</f>
        <v/>
      </c>
    </row>
    <row r="1818">
      <c r="A1818" s="2" t="str">
        <f>IFERROR(__xludf.DUMMYFUNCTION("IF('From Order'!$A1818=COLUMNS($A1818:A1837), LEFT(INDEX(FILTER(A$1:A1817, A$1:A1817&lt;&gt;""""),COUNTA(FILTER(A$1:A1817, A$1:A1817&lt;&gt;""""))), LEN(INDEX(FILTER(A$1:A1817, A$1:A1817&lt;&gt;""""),COUNTA(FILTER(A$1:A1817, A$1:A1817&lt;&gt;""""))))-1), IF('To Order'!$A1818=COL"&amp;"UMNS($A1818:A1837), A1817&amp;RIGHT(INDIRECT(ADDRESS(ROW(A1818)-1, 'From Order'!$A1818)), 1), A1817))"),"ZHZMTDLDSPBFLLW")</f>
        <v>ZHZMTDLDSPBFLLW</v>
      </c>
      <c r="B1818" s="2" t="str">
        <f>IFERROR(__xludf.DUMMYFUNCTION("IF('From Order'!$A1818=COLUMNS($A1818:B1837), LEFT(INDEX(FILTER(B$1:B1817, B$1:B1817&lt;&gt;""""),COUNTA(FILTER(B$1:B1817, B$1:B1817&lt;&gt;""""))), LEN(INDEX(FILTER(B$1:B1817, B$1:B1817&lt;&gt;""""),COUNTA(FILTER(B$1:B1817, B$1:B1817&lt;&gt;""""))))-1), IF('To Order'!$A1818=COL"&amp;"UMNS($A1818:B1837), B1817&amp;RIGHT(INDIRECT(ADDRESS(ROW(B1818)-1, 'From Order'!$A1818)), 1), B1817))"),"GTTJ")</f>
        <v>GTTJ</v>
      </c>
      <c r="C1818" s="2" t="str">
        <f>IFERROR(__xludf.DUMMYFUNCTION("IF('From Order'!$A1818=COLUMNS($A1818:C1837), LEFT(INDEX(FILTER(C$1:C1817, C$1:C1817&lt;&gt;""""),COUNTA(FILTER(C$1:C1817, C$1:C1817&lt;&gt;""""))), LEN(INDEX(FILTER(C$1:C1817, C$1:C1817&lt;&gt;""""),COUNTA(FILTER(C$1:C1817, C$1:C1817&lt;&gt;""""))))-1), IF('To Order'!$A1818=COL"&amp;"UMNS($A1818:C1837), C1817&amp;RIGHT(INDIRECT(ADDRESS(ROW(C1818)-1, 'From Order'!$A1818)), 1), C1817))"),"")</f>
        <v/>
      </c>
      <c r="D1818" s="2" t="str">
        <f>IFERROR(__xludf.DUMMYFUNCTION("IF('From Order'!$A1818=COLUMNS($A1818:D1837), LEFT(INDEX(FILTER(D$1:D1817, D$1:D1817&lt;&gt;""""),COUNTA(FILTER(D$1:D1817, D$1:D1817&lt;&gt;""""))), LEN(INDEX(FILTER(D$1:D1817, D$1:D1817&lt;&gt;""""),COUNTA(FILTER(D$1:D1817, D$1:D1817&lt;&gt;""""))))-1), IF('To Order'!$A1818=COL"&amp;"UMNS($A1818:D1837), D1817&amp;RIGHT(INDIRECT(ADDRESS(ROW(D1818)-1, 'From Order'!$A1818)), 1), D1817))"),"RB")</f>
        <v>RB</v>
      </c>
      <c r="E1818" s="2" t="str">
        <f>IFERROR(__xludf.DUMMYFUNCTION("IF('From Order'!$A1818=COLUMNS($A1818:E1837), LEFT(INDEX(FILTER(E$1:E1817, E$1:E1817&lt;&gt;""""),COUNTA(FILTER(E$1:E1817, E$1:E1817&lt;&gt;""""))), LEN(INDEX(FILTER(E$1:E1817, E$1:E1817&lt;&gt;""""),COUNTA(FILTER(E$1:E1817, E$1:E1817&lt;&gt;""""))))-1), IF('To Order'!$A1818=COL"&amp;"UMNS($A1818:E1837), E1817&amp;RIGHT(INDIRECT(ADDRESS(ROW(E1818)-1, 'From Order'!$A1818)), 1), E1817))"),"CQTRTCVDRGBHFSCZWTSSPPJQVDD")</f>
        <v>CQTRTCVDRGBHFSCZWTSSPPJQVDD</v>
      </c>
      <c r="F1818" s="2" t="str">
        <f>IFERROR(__xludf.DUMMYFUNCTION("IF('From Order'!$A1818=COLUMNS($A1818:F1837), LEFT(INDEX(FILTER(F$1:F1817, F$1:F1817&lt;&gt;""""),COUNTA(FILTER(F$1:F1817, F$1:F1817&lt;&gt;""""))), LEN(INDEX(FILTER(F$1:F1817, F$1:F1817&lt;&gt;""""),COUNTA(FILTER(F$1:F1817, F$1:F1817&lt;&gt;""""))))-1), IF('To Order'!$A1818=COL"&amp;"UMNS($A1818:F1837), F1817&amp;RIGHT(INDIRECT(ADDRESS(ROW(F1818)-1, 'From Order'!$A1818)), 1), F1817))"),"")</f>
        <v/>
      </c>
      <c r="G1818" s="2" t="str">
        <f>IFERROR(__xludf.DUMMYFUNCTION("IF('From Order'!$A1818=COLUMNS($A1818:G1837), LEFT(INDEX(FILTER(G$1:G1817, G$1:G1817&lt;&gt;""""),COUNTA(FILTER(G$1:G1817, G$1:G1817&lt;&gt;""""))), LEN(INDEX(FILTER(G$1:G1817, G$1:G1817&lt;&gt;""""),COUNTA(FILTER(G$1:G1817, G$1:G1817&lt;&gt;""""))))-1), IF('To Order'!$A1818=COL"&amp;"UMNS($A1818:G1837), G1817&amp;RIGHT(INDIRECT(ADDRESS(ROW(G1818)-1, 'From Order'!$A1818)), 1), G1817))"),"MDJMBVRR")</f>
        <v>MDJMBVRR</v>
      </c>
      <c r="H1818" s="2" t="str">
        <f>IFERROR(__xludf.DUMMYFUNCTION("IF('From Order'!$A1818=COLUMNS($A1818:H1837), LEFT(INDEX(FILTER(H$1:H1817, H$1:H1817&lt;&gt;""""),COUNTA(FILTER(H$1:H1817, H$1:H1817&lt;&gt;""""))), LEN(INDEX(FILTER(H$1:H1817, H$1:H1817&lt;&gt;""""),COUNTA(FILTER(H$1:H1817, H$1:H1817&lt;&gt;""""))))-1), IF('To Order'!$A1818=COL"&amp;"UMNS($A1818:H1837), H1817&amp;RIGHT(INDIRECT(ADDRESS(ROW(H1818)-1, 'From Order'!$A1818)), 1), H1817))"),"")</f>
        <v/>
      </c>
      <c r="I1818" s="2" t="str">
        <f>IFERROR(__xludf.DUMMYFUNCTION("IF('From Order'!$A1818=COLUMNS($A1818:I1837), LEFT(INDEX(FILTER(I$1:I1817, I$1:I1817&lt;&gt;""""),COUNTA(FILTER(I$1:I1817, I$1:I1817&lt;&gt;""""))), LEN(INDEX(FILTER(I$1:I1817, I$1:I1817&lt;&gt;""""),COUNTA(FILTER(I$1:I1817, I$1:I1817&lt;&gt;""""))))-1), IF('To Order'!$A1818=COL"&amp;"UMNS($A1818:I1837), I1817&amp;RIGHT(INDIRECT(ADDRESS(ROW(I1818)-1, 'From Order'!$A1818)), 1), I1817))"),"")</f>
        <v/>
      </c>
    </row>
    <row r="1819">
      <c r="A1819" s="2" t="str">
        <f>IFERROR(__xludf.DUMMYFUNCTION("IF('From Order'!$A1819=COLUMNS($A1819:A1838), LEFT(INDEX(FILTER(A$1:A1818, A$1:A1818&lt;&gt;""""),COUNTA(FILTER(A$1:A1818, A$1:A1818&lt;&gt;""""))), LEN(INDEX(FILTER(A$1:A1818, A$1:A1818&lt;&gt;""""),COUNTA(FILTER(A$1:A1818, A$1:A1818&lt;&gt;""""))))-1), IF('To Order'!$A1819=COL"&amp;"UMNS($A1819:A1838), A1818&amp;RIGHT(INDIRECT(ADDRESS(ROW(A1819)-1, 'From Order'!$A1819)), 1), A1818))"),"ZHZMTDLDSPBFLL")</f>
        <v>ZHZMTDLDSPBFLL</v>
      </c>
      <c r="B1819" s="2" t="str">
        <f>IFERROR(__xludf.DUMMYFUNCTION("IF('From Order'!$A1819=COLUMNS($A1819:B1838), LEFT(INDEX(FILTER(B$1:B1818, B$1:B1818&lt;&gt;""""),COUNTA(FILTER(B$1:B1818, B$1:B1818&lt;&gt;""""))), LEN(INDEX(FILTER(B$1:B1818, B$1:B1818&lt;&gt;""""),COUNTA(FILTER(B$1:B1818, B$1:B1818&lt;&gt;""""))))-1), IF('To Order'!$A1819=COL"&amp;"UMNS($A1819:B1838), B1818&amp;RIGHT(INDIRECT(ADDRESS(ROW(B1819)-1, 'From Order'!$A1819)), 1), B1818))"),"GTTJ")</f>
        <v>GTTJ</v>
      </c>
      <c r="C1819" s="2" t="str">
        <f>IFERROR(__xludf.DUMMYFUNCTION("IF('From Order'!$A1819=COLUMNS($A1819:C1838), LEFT(INDEX(FILTER(C$1:C1818, C$1:C1818&lt;&gt;""""),COUNTA(FILTER(C$1:C1818, C$1:C1818&lt;&gt;""""))), LEN(INDEX(FILTER(C$1:C1818, C$1:C1818&lt;&gt;""""),COUNTA(FILTER(C$1:C1818, C$1:C1818&lt;&gt;""""))))-1), IF('To Order'!$A1819=COL"&amp;"UMNS($A1819:C1838), C1818&amp;RIGHT(INDIRECT(ADDRESS(ROW(C1819)-1, 'From Order'!$A1819)), 1), C1818))"),"")</f>
        <v/>
      </c>
      <c r="D1819" s="2" t="str">
        <f>IFERROR(__xludf.DUMMYFUNCTION("IF('From Order'!$A1819=COLUMNS($A1819:D1838), LEFT(INDEX(FILTER(D$1:D1818, D$1:D1818&lt;&gt;""""),COUNTA(FILTER(D$1:D1818, D$1:D1818&lt;&gt;""""))), LEN(INDEX(FILTER(D$1:D1818, D$1:D1818&lt;&gt;""""),COUNTA(FILTER(D$1:D1818, D$1:D1818&lt;&gt;""""))))-1), IF('To Order'!$A1819=COL"&amp;"UMNS($A1819:D1838), D1818&amp;RIGHT(INDIRECT(ADDRESS(ROW(D1819)-1, 'From Order'!$A1819)), 1), D1818))"),"RB")</f>
        <v>RB</v>
      </c>
      <c r="E1819" s="2" t="str">
        <f>IFERROR(__xludf.DUMMYFUNCTION("IF('From Order'!$A1819=COLUMNS($A1819:E1838), LEFT(INDEX(FILTER(E$1:E1818, E$1:E1818&lt;&gt;""""),COUNTA(FILTER(E$1:E1818, E$1:E1818&lt;&gt;""""))), LEN(INDEX(FILTER(E$1:E1818, E$1:E1818&lt;&gt;""""),COUNTA(FILTER(E$1:E1818, E$1:E1818&lt;&gt;""""))))-1), IF('To Order'!$A1819=COL"&amp;"UMNS($A1819:E1838), E1818&amp;RIGHT(INDIRECT(ADDRESS(ROW(E1819)-1, 'From Order'!$A1819)), 1), E1818))"),"CQTRTCVDRGBHFSCZWTSSPPJQVDDW")</f>
        <v>CQTRTCVDRGBHFSCZWTSSPPJQVDDW</v>
      </c>
      <c r="F1819" s="2" t="str">
        <f>IFERROR(__xludf.DUMMYFUNCTION("IF('From Order'!$A1819=COLUMNS($A1819:F1838), LEFT(INDEX(FILTER(F$1:F1818, F$1:F1818&lt;&gt;""""),COUNTA(FILTER(F$1:F1818, F$1:F1818&lt;&gt;""""))), LEN(INDEX(FILTER(F$1:F1818, F$1:F1818&lt;&gt;""""),COUNTA(FILTER(F$1:F1818, F$1:F1818&lt;&gt;""""))))-1), IF('To Order'!$A1819=COL"&amp;"UMNS($A1819:F1838), F1818&amp;RIGHT(INDIRECT(ADDRESS(ROW(F1819)-1, 'From Order'!$A1819)), 1), F1818))"),"")</f>
        <v/>
      </c>
      <c r="G1819" s="2" t="str">
        <f>IFERROR(__xludf.DUMMYFUNCTION("IF('From Order'!$A1819=COLUMNS($A1819:G1838), LEFT(INDEX(FILTER(G$1:G1818, G$1:G1818&lt;&gt;""""),COUNTA(FILTER(G$1:G1818, G$1:G1818&lt;&gt;""""))), LEN(INDEX(FILTER(G$1:G1818, G$1:G1818&lt;&gt;""""),COUNTA(FILTER(G$1:G1818, G$1:G1818&lt;&gt;""""))))-1), IF('To Order'!$A1819=COL"&amp;"UMNS($A1819:G1838), G1818&amp;RIGHT(INDIRECT(ADDRESS(ROW(G1819)-1, 'From Order'!$A1819)), 1), G1818))"),"MDJMBVRR")</f>
        <v>MDJMBVRR</v>
      </c>
      <c r="H1819" s="2" t="str">
        <f>IFERROR(__xludf.DUMMYFUNCTION("IF('From Order'!$A1819=COLUMNS($A1819:H1838), LEFT(INDEX(FILTER(H$1:H1818, H$1:H1818&lt;&gt;""""),COUNTA(FILTER(H$1:H1818, H$1:H1818&lt;&gt;""""))), LEN(INDEX(FILTER(H$1:H1818, H$1:H1818&lt;&gt;""""),COUNTA(FILTER(H$1:H1818, H$1:H1818&lt;&gt;""""))))-1), IF('To Order'!$A1819=COL"&amp;"UMNS($A1819:H1838), H1818&amp;RIGHT(INDIRECT(ADDRESS(ROW(H1819)-1, 'From Order'!$A1819)), 1), H1818))"),"")</f>
        <v/>
      </c>
      <c r="I1819" s="2" t="str">
        <f>IFERROR(__xludf.DUMMYFUNCTION("IF('From Order'!$A1819=COLUMNS($A1819:I1838), LEFT(INDEX(FILTER(I$1:I1818, I$1:I1818&lt;&gt;""""),COUNTA(FILTER(I$1:I1818, I$1:I1818&lt;&gt;""""))), LEN(INDEX(FILTER(I$1:I1818, I$1:I1818&lt;&gt;""""),COUNTA(FILTER(I$1:I1818, I$1:I1818&lt;&gt;""""))))-1), IF('To Order'!$A1819=COL"&amp;"UMNS($A1819:I1838), I1818&amp;RIGHT(INDIRECT(ADDRESS(ROW(I1819)-1, 'From Order'!$A1819)), 1), I1818))"),"")</f>
        <v/>
      </c>
    </row>
    <row r="1820">
      <c r="A1820" s="2" t="str">
        <f>IFERROR(__xludf.DUMMYFUNCTION("IF('From Order'!$A1820=COLUMNS($A1820:A1839), LEFT(INDEX(FILTER(A$1:A1819, A$1:A1819&lt;&gt;""""),COUNTA(FILTER(A$1:A1819, A$1:A1819&lt;&gt;""""))), LEN(INDEX(FILTER(A$1:A1819, A$1:A1819&lt;&gt;""""),COUNTA(FILTER(A$1:A1819, A$1:A1819&lt;&gt;""""))))-1), IF('To Order'!$A1820=COL"&amp;"UMNS($A1820:A1839), A1819&amp;RIGHT(INDIRECT(ADDRESS(ROW(A1820)-1, 'From Order'!$A1820)), 1), A1819))"),"ZHZMTDLDSPBFL")</f>
        <v>ZHZMTDLDSPBFL</v>
      </c>
      <c r="B1820" s="2" t="str">
        <f>IFERROR(__xludf.DUMMYFUNCTION("IF('From Order'!$A1820=COLUMNS($A1820:B1839), LEFT(INDEX(FILTER(B$1:B1819, B$1:B1819&lt;&gt;""""),COUNTA(FILTER(B$1:B1819, B$1:B1819&lt;&gt;""""))), LEN(INDEX(FILTER(B$1:B1819, B$1:B1819&lt;&gt;""""),COUNTA(FILTER(B$1:B1819, B$1:B1819&lt;&gt;""""))))-1), IF('To Order'!$A1820=COL"&amp;"UMNS($A1820:B1839), B1819&amp;RIGHT(INDIRECT(ADDRESS(ROW(B1820)-1, 'From Order'!$A1820)), 1), B1819))"),"GTTJ")</f>
        <v>GTTJ</v>
      </c>
      <c r="C1820" s="2" t="str">
        <f>IFERROR(__xludf.DUMMYFUNCTION("IF('From Order'!$A1820=COLUMNS($A1820:C1839), LEFT(INDEX(FILTER(C$1:C1819, C$1:C1819&lt;&gt;""""),COUNTA(FILTER(C$1:C1819, C$1:C1819&lt;&gt;""""))), LEN(INDEX(FILTER(C$1:C1819, C$1:C1819&lt;&gt;""""),COUNTA(FILTER(C$1:C1819, C$1:C1819&lt;&gt;""""))))-1), IF('To Order'!$A1820=COL"&amp;"UMNS($A1820:C1839), C1819&amp;RIGHT(INDIRECT(ADDRESS(ROW(C1820)-1, 'From Order'!$A1820)), 1), C1819))"),"")</f>
        <v/>
      </c>
      <c r="D1820" s="2" t="str">
        <f>IFERROR(__xludf.DUMMYFUNCTION("IF('From Order'!$A1820=COLUMNS($A1820:D1839), LEFT(INDEX(FILTER(D$1:D1819, D$1:D1819&lt;&gt;""""),COUNTA(FILTER(D$1:D1819, D$1:D1819&lt;&gt;""""))), LEN(INDEX(FILTER(D$1:D1819, D$1:D1819&lt;&gt;""""),COUNTA(FILTER(D$1:D1819, D$1:D1819&lt;&gt;""""))))-1), IF('To Order'!$A1820=COL"&amp;"UMNS($A1820:D1839), D1819&amp;RIGHT(INDIRECT(ADDRESS(ROW(D1820)-1, 'From Order'!$A1820)), 1), D1819))"),"RB")</f>
        <v>RB</v>
      </c>
      <c r="E1820" s="2" t="str">
        <f>IFERROR(__xludf.DUMMYFUNCTION("IF('From Order'!$A1820=COLUMNS($A1820:E1839), LEFT(INDEX(FILTER(E$1:E1819, E$1:E1819&lt;&gt;""""),COUNTA(FILTER(E$1:E1819, E$1:E1819&lt;&gt;""""))), LEN(INDEX(FILTER(E$1:E1819, E$1:E1819&lt;&gt;""""),COUNTA(FILTER(E$1:E1819, E$1:E1819&lt;&gt;""""))))-1), IF('To Order'!$A1820=COL"&amp;"UMNS($A1820:E1839), E1819&amp;RIGHT(INDIRECT(ADDRESS(ROW(E1820)-1, 'From Order'!$A1820)), 1), E1819))"),"CQTRTCVDRGBHFSCZWTSSPPJQVDDWL")</f>
        <v>CQTRTCVDRGBHFSCZWTSSPPJQVDDWL</v>
      </c>
      <c r="F1820" s="2" t="str">
        <f>IFERROR(__xludf.DUMMYFUNCTION("IF('From Order'!$A1820=COLUMNS($A1820:F1839), LEFT(INDEX(FILTER(F$1:F1819, F$1:F1819&lt;&gt;""""),COUNTA(FILTER(F$1:F1819, F$1:F1819&lt;&gt;""""))), LEN(INDEX(FILTER(F$1:F1819, F$1:F1819&lt;&gt;""""),COUNTA(FILTER(F$1:F1819, F$1:F1819&lt;&gt;""""))))-1), IF('To Order'!$A1820=COL"&amp;"UMNS($A1820:F1839), F1819&amp;RIGHT(INDIRECT(ADDRESS(ROW(F1820)-1, 'From Order'!$A1820)), 1), F1819))"),"")</f>
        <v/>
      </c>
      <c r="G1820" s="2" t="str">
        <f>IFERROR(__xludf.DUMMYFUNCTION("IF('From Order'!$A1820=COLUMNS($A1820:G1839), LEFT(INDEX(FILTER(G$1:G1819, G$1:G1819&lt;&gt;""""),COUNTA(FILTER(G$1:G1819, G$1:G1819&lt;&gt;""""))), LEN(INDEX(FILTER(G$1:G1819, G$1:G1819&lt;&gt;""""),COUNTA(FILTER(G$1:G1819, G$1:G1819&lt;&gt;""""))))-1), IF('To Order'!$A1820=COL"&amp;"UMNS($A1820:G1839), G1819&amp;RIGHT(INDIRECT(ADDRESS(ROW(G1820)-1, 'From Order'!$A1820)), 1), G1819))"),"MDJMBVRR")</f>
        <v>MDJMBVRR</v>
      </c>
      <c r="H1820" s="2" t="str">
        <f>IFERROR(__xludf.DUMMYFUNCTION("IF('From Order'!$A1820=COLUMNS($A1820:H1839), LEFT(INDEX(FILTER(H$1:H1819, H$1:H1819&lt;&gt;""""),COUNTA(FILTER(H$1:H1819, H$1:H1819&lt;&gt;""""))), LEN(INDEX(FILTER(H$1:H1819, H$1:H1819&lt;&gt;""""),COUNTA(FILTER(H$1:H1819, H$1:H1819&lt;&gt;""""))))-1), IF('To Order'!$A1820=COL"&amp;"UMNS($A1820:H1839), H1819&amp;RIGHT(INDIRECT(ADDRESS(ROW(H1820)-1, 'From Order'!$A1820)), 1), H1819))"),"")</f>
        <v/>
      </c>
      <c r="I1820" s="2" t="str">
        <f>IFERROR(__xludf.DUMMYFUNCTION("IF('From Order'!$A1820=COLUMNS($A1820:I1839), LEFT(INDEX(FILTER(I$1:I1819, I$1:I1819&lt;&gt;""""),COUNTA(FILTER(I$1:I1819, I$1:I1819&lt;&gt;""""))), LEN(INDEX(FILTER(I$1:I1819, I$1:I1819&lt;&gt;""""),COUNTA(FILTER(I$1:I1819, I$1:I1819&lt;&gt;""""))))-1), IF('To Order'!$A1820=COL"&amp;"UMNS($A1820:I1839), I1819&amp;RIGHT(INDIRECT(ADDRESS(ROW(I1820)-1, 'From Order'!$A1820)), 1), I1819))"),"")</f>
        <v/>
      </c>
    </row>
    <row r="1821">
      <c r="A1821" s="2" t="str">
        <f>IFERROR(__xludf.DUMMYFUNCTION("IF('From Order'!$A1821=COLUMNS($A1821:A1840), LEFT(INDEX(FILTER(A$1:A1820, A$1:A1820&lt;&gt;""""),COUNTA(FILTER(A$1:A1820, A$1:A1820&lt;&gt;""""))), LEN(INDEX(FILTER(A$1:A1820, A$1:A1820&lt;&gt;""""),COUNTA(FILTER(A$1:A1820, A$1:A1820&lt;&gt;""""))))-1), IF('To Order'!$A1821=COL"&amp;"UMNS($A1821:A1840), A1820&amp;RIGHT(INDIRECT(ADDRESS(ROW(A1821)-1, 'From Order'!$A1821)), 1), A1820))"),"ZHZMTDLDSPBF")</f>
        <v>ZHZMTDLDSPBF</v>
      </c>
      <c r="B1821" s="2" t="str">
        <f>IFERROR(__xludf.DUMMYFUNCTION("IF('From Order'!$A1821=COLUMNS($A1821:B1840), LEFT(INDEX(FILTER(B$1:B1820, B$1:B1820&lt;&gt;""""),COUNTA(FILTER(B$1:B1820, B$1:B1820&lt;&gt;""""))), LEN(INDEX(FILTER(B$1:B1820, B$1:B1820&lt;&gt;""""),COUNTA(FILTER(B$1:B1820, B$1:B1820&lt;&gt;""""))))-1), IF('To Order'!$A1821=COL"&amp;"UMNS($A1821:B1840), B1820&amp;RIGHT(INDIRECT(ADDRESS(ROW(B1821)-1, 'From Order'!$A1821)), 1), B1820))"),"GTTJ")</f>
        <v>GTTJ</v>
      </c>
      <c r="C1821" s="2" t="str">
        <f>IFERROR(__xludf.DUMMYFUNCTION("IF('From Order'!$A1821=COLUMNS($A1821:C1840), LEFT(INDEX(FILTER(C$1:C1820, C$1:C1820&lt;&gt;""""),COUNTA(FILTER(C$1:C1820, C$1:C1820&lt;&gt;""""))), LEN(INDEX(FILTER(C$1:C1820, C$1:C1820&lt;&gt;""""),COUNTA(FILTER(C$1:C1820, C$1:C1820&lt;&gt;""""))))-1), IF('To Order'!$A1821=COL"&amp;"UMNS($A1821:C1840), C1820&amp;RIGHT(INDIRECT(ADDRESS(ROW(C1821)-1, 'From Order'!$A1821)), 1), C1820))"),"")</f>
        <v/>
      </c>
      <c r="D1821" s="2" t="str">
        <f>IFERROR(__xludf.DUMMYFUNCTION("IF('From Order'!$A1821=COLUMNS($A1821:D1840), LEFT(INDEX(FILTER(D$1:D1820, D$1:D1820&lt;&gt;""""),COUNTA(FILTER(D$1:D1820, D$1:D1820&lt;&gt;""""))), LEN(INDEX(FILTER(D$1:D1820, D$1:D1820&lt;&gt;""""),COUNTA(FILTER(D$1:D1820, D$1:D1820&lt;&gt;""""))))-1), IF('To Order'!$A1821=COL"&amp;"UMNS($A1821:D1840), D1820&amp;RIGHT(INDIRECT(ADDRESS(ROW(D1821)-1, 'From Order'!$A1821)), 1), D1820))"),"RB")</f>
        <v>RB</v>
      </c>
      <c r="E1821" s="2" t="str">
        <f>IFERROR(__xludf.DUMMYFUNCTION("IF('From Order'!$A1821=COLUMNS($A1821:E1840), LEFT(INDEX(FILTER(E$1:E1820, E$1:E1820&lt;&gt;""""),COUNTA(FILTER(E$1:E1820, E$1:E1820&lt;&gt;""""))), LEN(INDEX(FILTER(E$1:E1820, E$1:E1820&lt;&gt;""""),COUNTA(FILTER(E$1:E1820, E$1:E1820&lt;&gt;""""))))-1), IF('To Order'!$A1821=COL"&amp;"UMNS($A1821:E1840), E1820&amp;RIGHT(INDIRECT(ADDRESS(ROW(E1821)-1, 'From Order'!$A1821)), 1), E1820))"),"CQTRTCVDRGBHFSCZWTSSPPJQVDDWLL")</f>
        <v>CQTRTCVDRGBHFSCZWTSSPPJQVDDWLL</v>
      </c>
      <c r="F1821" s="2" t="str">
        <f>IFERROR(__xludf.DUMMYFUNCTION("IF('From Order'!$A1821=COLUMNS($A1821:F1840), LEFT(INDEX(FILTER(F$1:F1820, F$1:F1820&lt;&gt;""""),COUNTA(FILTER(F$1:F1820, F$1:F1820&lt;&gt;""""))), LEN(INDEX(FILTER(F$1:F1820, F$1:F1820&lt;&gt;""""),COUNTA(FILTER(F$1:F1820, F$1:F1820&lt;&gt;""""))))-1), IF('To Order'!$A1821=COL"&amp;"UMNS($A1821:F1840), F1820&amp;RIGHT(INDIRECT(ADDRESS(ROW(F1821)-1, 'From Order'!$A1821)), 1), F1820))"),"")</f>
        <v/>
      </c>
      <c r="G1821" s="2" t="str">
        <f>IFERROR(__xludf.DUMMYFUNCTION("IF('From Order'!$A1821=COLUMNS($A1821:G1840), LEFT(INDEX(FILTER(G$1:G1820, G$1:G1820&lt;&gt;""""),COUNTA(FILTER(G$1:G1820, G$1:G1820&lt;&gt;""""))), LEN(INDEX(FILTER(G$1:G1820, G$1:G1820&lt;&gt;""""),COUNTA(FILTER(G$1:G1820, G$1:G1820&lt;&gt;""""))))-1), IF('To Order'!$A1821=COL"&amp;"UMNS($A1821:G1840), G1820&amp;RIGHT(INDIRECT(ADDRESS(ROW(G1821)-1, 'From Order'!$A1821)), 1), G1820))"),"MDJMBVRR")</f>
        <v>MDJMBVRR</v>
      </c>
      <c r="H1821" s="2" t="str">
        <f>IFERROR(__xludf.DUMMYFUNCTION("IF('From Order'!$A1821=COLUMNS($A1821:H1840), LEFT(INDEX(FILTER(H$1:H1820, H$1:H1820&lt;&gt;""""),COUNTA(FILTER(H$1:H1820, H$1:H1820&lt;&gt;""""))), LEN(INDEX(FILTER(H$1:H1820, H$1:H1820&lt;&gt;""""),COUNTA(FILTER(H$1:H1820, H$1:H1820&lt;&gt;""""))))-1), IF('To Order'!$A1821=COL"&amp;"UMNS($A1821:H1840), H1820&amp;RIGHT(INDIRECT(ADDRESS(ROW(H1821)-1, 'From Order'!$A1821)), 1), H1820))"),"")</f>
        <v/>
      </c>
      <c r="I1821" s="2" t="str">
        <f>IFERROR(__xludf.DUMMYFUNCTION("IF('From Order'!$A1821=COLUMNS($A1821:I1840), LEFT(INDEX(FILTER(I$1:I1820, I$1:I1820&lt;&gt;""""),COUNTA(FILTER(I$1:I1820, I$1:I1820&lt;&gt;""""))), LEN(INDEX(FILTER(I$1:I1820, I$1:I1820&lt;&gt;""""),COUNTA(FILTER(I$1:I1820, I$1:I1820&lt;&gt;""""))))-1), IF('To Order'!$A1821=COL"&amp;"UMNS($A1821:I1840), I1820&amp;RIGHT(INDIRECT(ADDRESS(ROW(I1821)-1, 'From Order'!$A1821)), 1), I1820))"),"")</f>
        <v/>
      </c>
    </row>
    <row r="1822">
      <c r="A1822" s="2" t="str">
        <f>IFERROR(__xludf.DUMMYFUNCTION("IF('From Order'!$A1822=COLUMNS($A1822:A1841), LEFT(INDEX(FILTER(A$1:A1821, A$1:A1821&lt;&gt;""""),COUNTA(FILTER(A$1:A1821, A$1:A1821&lt;&gt;""""))), LEN(INDEX(FILTER(A$1:A1821, A$1:A1821&lt;&gt;""""),COUNTA(FILTER(A$1:A1821, A$1:A1821&lt;&gt;""""))))-1), IF('To Order'!$A1822=COL"&amp;"UMNS($A1822:A1841), A1821&amp;RIGHT(INDIRECT(ADDRESS(ROW(A1822)-1, 'From Order'!$A1822)), 1), A1821))"),"ZHZMTDLDSPB")</f>
        <v>ZHZMTDLDSPB</v>
      </c>
      <c r="B1822" s="2" t="str">
        <f>IFERROR(__xludf.DUMMYFUNCTION("IF('From Order'!$A1822=COLUMNS($A1822:B1841), LEFT(INDEX(FILTER(B$1:B1821, B$1:B1821&lt;&gt;""""),COUNTA(FILTER(B$1:B1821, B$1:B1821&lt;&gt;""""))), LEN(INDEX(FILTER(B$1:B1821, B$1:B1821&lt;&gt;""""),COUNTA(FILTER(B$1:B1821, B$1:B1821&lt;&gt;""""))))-1), IF('To Order'!$A1822=COL"&amp;"UMNS($A1822:B1841), B1821&amp;RIGHT(INDIRECT(ADDRESS(ROW(B1822)-1, 'From Order'!$A1822)), 1), B1821))"),"GTTJ")</f>
        <v>GTTJ</v>
      </c>
      <c r="C1822" s="2" t="str">
        <f>IFERROR(__xludf.DUMMYFUNCTION("IF('From Order'!$A1822=COLUMNS($A1822:C1841), LEFT(INDEX(FILTER(C$1:C1821, C$1:C1821&lt;&gt;""""),COUNTA(FILTER(C$1:C1821, C$1:C1821&lt;&gt;""""))), LEN(INDEX(FILTER(C$1:C1821, C$1:C1821&lt;&gt;""""),COUNTA(FILTER(C$1:C1821, C$1:C1821&lt;&gt;""""))))-1), IF('To Order'!$A1822=COL"&amp;"UMNS($A1822:C1841), C1821&amp;RIGHT(INDIRECT(ADDRESS(ROW(C1822)-1, 'From Order'!$A1822)), 1), C1821))"),"")</f>
        <v/>
      </c>
      <c r="D1822" s="2" t="str">
        <f>IFERROR(__xludf.DUMMYFUNCTION("IF('From Order'!$A1822=COLUMNS($A1822:D1841), LEFT(INDEX(FILTER(D$1:D1821, D$1:D1821&lt;&gt;""""),COUNTA(FILTER(D$1:D1821, D$1:D1821&lt;&gt;""""))), LEN(INDEX(FILTER(D$1:D1821, D$1:D1821&lt;&gt;""""),COUNTA(FILTER(D$1:D1821, D$1:D1821&lt;&gt;""""))))-1), IF('To Order'!$A1822=COL"&amp;"UMNS($A1822:D1841), D1821&amp;RIGHT(INDIRECT(ADDRESS(ROW(D1822)-1, 'From Order'!$A1822)), 1), D1821))"),"RB")</f>
        <v>RB</v>
      </c>
      <c r="E1822" s="2" t="str">
        <f>IFERROR(__xludf.DUMMYFUNCTION("IF('From Order'!$A1822=COLUMNS($A1822:E1841), LEFT(INDEX(FILTER(E$1:E1821, E$1:E1821&lt;&gt;""""),COUNTA(FILTER(E$1:E1821, E$1:E1821&lt;&gt;""""))), LEN(INDEX(FILTER(E$1:E1821, E$1:E1821&lt;&gt;""""),COUNTA(FILTER(E$1:E1821, E$1:E1821&lt;&gt;""""))))-1), IF('To Order'!$A1822=COL"&amp;"UMNS($A1822:E1841), E1821&amp;RIGHT(INDIRECT(ADDRESS(ROW(E1822)-1, 'From Order'!$A1822)), 1), E1821))"),"CQTRTCVDRGBHFSCZWTSSPPJQVDDWLLF")</f>
        <v>CQTRTCVDRGBHFSCZWTSSPPJQVDDWLLF</v>
      </c>
      <c r="F1822" s="2" t="str">
        <f>IFERROR(__xludf.DUMMYFUNCTION("IF('From Order'!$A1822=COLUMNS($A1822:F1841), LEFT(INDEX(FILTER(F$1:F1821, F$1:F1821&lt;&gt;""""),COUNTA(FILTER(F$1:F1821, F$1:F1821&lt;&gt;""""))), LEN(INDEX(FILTER(F$1:F1821, F$1:F1821&lt;&gt;""""),COUNTA(FILTER(F$1:F1821, F$1:F1821&lt;&gt;""""))))-1), IF('To Order'!$A1822=COL"&amp;"UMNS($A1822:F1841), F1821&amp;RIGHT(INDIRECT(ADDRESS(ROW(F1822)-1, 'From Order'!$A1822)), 1), F1821))"),"")</f>
        <v/>
      </c>
      <c r="G1822" s="2" t="str">
        <f>IFERROR(__xludf.DUMMYFUNCTION("IF('From Order'!$A1822=COLUMNS($A1822:G1841), LEFT(INDEX(FILTER(G$1:G1821, G$1:G1821&lt;&gt;""""),COUNTA(FILTER(G$1:G1821, G$1:G1821&lt;&gt;""""))), LEN(INDEX(FILTER(G$1:G1821, G$1:G1821&lt;&gt;""""),COUNTA(FILTER(G$1:G1821, G$1:G1821&lt;&gt;""""))))-1), IF('To Order'!$A1822=COL"&amp;"UMNS($A1822:G1841), G1821&amp;RIGHT(INDIRECT(ADDRESS(ROW(G1822)-1, 'From Order'!$A1822)), 1), G1821))"),"MDJMBVRR")</f>
        <v>MDJMBVRR</v>
      </c>
      <c r="H1822" s="2" t="str">
        <f>IFERROR(__xludf.DUMMYFUNCTION("IF('From Order'!$A1822=COLUMNS($A1822:H1841), LEFT(INDEX(FILTER(H$1:H1821, H$1:H1821&lt;&gt;""""),COUNTA(FILTER(H$1:H1821, H$1:H1821&lt;&gt;""""))), LEN(INDEX(FILTER(H$1:H1821, H$1:H1821&lt;&gt;""""),COUNTA(FILTER(H$1:H1821, H$1:H1821&lt;&gt;""""))))-1), IF('To Order'!$A1822=COL"&amp;"UMNS($A1822:H1841), H1821&amp;RIGHT(INDIRECT(ADDRESS(ROW(H1822)-1, 'From Order'!$A1822)), 1), H1821))"),"")</f>
        <v/>
      </c>
      <c r="I1822" s="2" t="str">
        <f>IFERROR(__xludf.DUMMYFUNCTION("IF('From Order'!$A1822=COLUMNS($A1822:I1841), LEFT(INDEX(FILTER(I$1:I1821, I$1:I1821&lt;&gt;""""),COUNTA(FILTER(I$1:I1821, I$1:I1821&lt;&gt;""""))), LEN(INDEX(FILTER(I$1:I1821, I$1:I1821&lt;&gt;""""),COUNTA(FILTER(I$1:I1821, I$1:I1821&lt;&gt;""""))))-1), IF('To Order'!$A1822=COL"&amp;"UMNS($A1822:I1841), I1821&amp;RIGHT(INDIRECT(ADDRESS(ROW(I1822)-1, 'From Order'!$A1822)), 1), I1821))"),"")</f>
        <v/>
      </c>
    </row>
    <row r="1823">
      <c r="A1823" s="2" t="str">
        <f>IFERROR(__xludf.DUMMYFUNCTION("IF('From Order'!$A1823=COLUMNS($A1823:A1842), LEFT(INDEX(FILTER(A$1:A1822, A$1:A1822&lt;&gt;""""),COUNTA(FILTER(A$1:A1822, A$1:A1822&lt;&gt;""""))), LEN(INDEX(FILTER(A$1:A1822, A$1:A1822&lt;&gt;""""),COUNTA(FILTER(A$1:A1822, A$1:A1822&lt;&gt;""""))))-1), IF('To Order'!$A1823=COL"&amp;"UMNS($A1823:A1842), A1822&amp;RIGHT(INDIRECT(ADDRESS(ROW(A1823)-1, 'From Order'!$A1823)), 1), A1822))"),"ZHZMTDLDSP")</f>
        <v>ZHZMTDLDSP</v>
      </c>
      <c r="B1823" s="2" t="str">
        <f>IFERROR(__xludf.DUMMYFUNCTION("IF('From Order'!$A1823=COLUMNS($A1823:B1842), LEFT(INDEX(FILTER(B$1:B1822, B$1:B1822&lt;&gt;""""),COUNTA(FILTER(B$1:B1822, B$1:B1822&lt;&gt;""""))), LEN(INDEX(FILTER(B$1:B1822, B$1:B1822&lt;&gt;""""),COUNTA(FILTER(B$1:B1822, B$1:B1822&lt;&gt;""""))))-1), IF('To Order'!$A1823=COL"&amp;"UMNS($A1823:B1842), B1822&amp;RIGHT(INDIRECT(ADDRESS(ROW(B1823)-1, 'From Order'!$A1823)), 1), B1822))"),"GTTJ")</f>
        <v>GTTJ</v>
      </c>
      <c r="C1823" s="2" t="str">
        <f>IFERROR(__xludf.DUMMYFUNCTION("IF('From Order'!$A1823=COLUMNS($A1823:C1842), LEFT(INDEX(FILTER(C$1:C1822, C$1:C1822&lt;&gt;""""),COUNTA(FILTER(C$1:C1822, C$1:C1822&lt;&gt;""""))), LEN(INDEX(FILTER(C$1:C1822, C$1:C1822&lt;&gt;""""),COUNTA(FILTER(C$1:C1822, C$1:C1822&lt;&gt;""""))))-1), IF('To Order'!$A1823=COL"&amp;"UMNS($A1823:C1842), C1822&amp;RIGHT(INDIRECT(ADDRESS(ROW(C1823)-1, 'From Order'!$A1823)), 1), C1822))"),"")</f>
        <v/>
      </c>
      <c r="D1823" s="2" t="str">
        <f>IFERROR(__xludf.DUMMYFUNCTION("IF('From Order'!$A1823=COLUMNS($A1823:D1842), LEFT(INDEX(FILTER(D$1:D1822, D$1:D1822&lt;&gt;""""),COUNTA(FILTER(D$1:D1822, D$1:D1822&lt;&gt;""""))), LEN(INDEX(FILTER(D$1:D1822, D$1:D1822&lt;&gt;""""),COUNTA(FILTER(D$1:D1822, D$1:D1822&lt;&gt;""""))))-1), IF('To Order'!$A1823=COL"&amp;"UMNS($A1823:D1842), D1822&amp;RIGHT(INDIRECT(ADDRESS(ROW(D1823)-1, 'From Order'!$A1823)), 1), D1822))"),"RB")</f>
        <v>RB</v>
      </c>
      <c r="E1823" s="2" t="str">
        <f>IFERROR(__xludf.DUMMYFUNCTION("IF('From Order'!$A1823=COLUMNS($A1823:E1842), LEFT(INDEX(FILTER(E$1:E1822, E$1:E1822&lt;&gt;""""),COUNTA(FILTER(E$1:E1822, E$1:E1822&lt;&gt;""""))), LEN(INDEX(FILTER(E$1:E1822, E$1:E1822&lt;&gt;""""),COUNTA(FILTER(E$1:E1822, E$1:E1822&lt;&gt;""""))))-1), IF('To Order'!$A1823=COL"&amp;"UMNS($A1823:E1842), E1822&amp;RIGHT(INDIRECT(ADDRESS(ROW(E1823)-1, 'From Order'!$A1823)), 1), E1822))"),"CQTRTCVDRGBHFSCZWTSSPPJQVDDWLLFB")</f>
        <v>CQTRTCVDRGBHFSCZWTSSPPJQVDDWLLFB</v>
      </c>
      <c r="F1823" s="2" t="str">
        <f>IFERROR(__xludf.DUMMYFUNCTION("IF('From Order'!$A1823=COLUMNS($A1823:F1842), LEFT(INDEX(FILTER(F$1:F1822, F$1:F1822&lt;&gt;""""),COUNTA(FILTER(F$1:F1822, F$1:F1822&lt;&gt;""""))), LEN(INDEX(FILTER(F$1:F1822, F$1:F1822&lt;&gt;""""),COUNTA(FILTER(F$1:F1822, F$1:F1822&lt;&gt;""""))))-1), IF('To Order'!$A1823=COL"&amp;"UMNS($A1823:F1842), F1822&amp;RIGHT(INDIRECT(ADDRESS(ROW(F1823)-1, 'From Order'!$A1823)), 1), F1822))"),"")</f>
        <v/>
      </c>
      <c r="G1823" s="2" t="str">
        <f>IFERROR(__xludf.DUMMYFUNCTION("IF('From Order'!$A1823=COLUMNS($A1823:G1842), LEFT(INDEX(FILTER(G$1:G1822, G$1:G1822&lt;&gt;""""),COUNTA(FILTER(G$1:G1822, G$1:G1822&lt;&gt;""""))), LEN(INDEX(FILTER(G$1:G1822, G$1:G1822&lt;&gt;""""),COUNTA(FILTER(G$1:G1822, G$1:G1822&lt;&gt;""""))))-1), IF('To Order'!$A1823=COL"&amp;"UMNS($A1823:G1842), G1822&amp;RIGHT(INDIRECT(ADDRESS(ROW(G1823)-1, 'From Order'!$A1823)), 1), G1822))"),"MDJMBVRR")</f>
        <v>MDJMBVRR</v>
      </c>
      <c r="H1823" s="2" t="str">
        <f>IFERROR(__xludf.DUMMYFUNCTION("IF('From Order'!$A1823=COLUMNS($A1823:H1842), LEFT(INDEX(FILTER(H$1:H1822, H$1:H1822&lt;&gt;""""),COUNTA(FILTER(H$1:H1822, H$1:H1822&lt;&gt;""""))), LEN(INDEX(FILTER(H$1:H1822, H$1:H1822&lt;&gt;""""),COUNTA(FILTER(H$1:H1822, H$1:H1822&lt;&gt;""""))))-1), IF('To Order'!$A1823=COL"&amp;"UMNS($A1823:H1842), H1822&amp;RIGHT(INDIRECT(ADDRESS(ROW(H1823)-1, 'From Order'!$A1823)), 1), H1822))"),"")</f>
        <v/>
      </c>
      <c r="I1823" s="2" t="str">
        <f>IFERROR(__xludf.DUMMYFUNCTION("IF('From Order'!$A1823=COLUMNS($A1823:I1842), LEFT(INDEX(FILTER(I$1:I1822, I$1:I1822&lt;&gt;""""),COUNTA(FILTER(I$1:I1822, I$1:I1822&lt;&gt;""""))), LEN(INDEX(FILTER(I$1:I1822, I$1:I1822&lt;&gt;""""),COUNTA(FILTER(I$1:I1822, I$1:I1822&lt;&gt;""""))))-1), IF('To Order'!$A1823=COL"&amp;"UMNS($A1823:I1842), I1822&amp;RIGHT(INDIRECT(ADDRESS(ROW(I1823)-1, 'From Order'!$A1823)), 1), I1822))"),"")</f>
        <v/>
      </c>
    </row>
    <row r="1824">
      <c r="A1824" s="2" t="str">
        <f>IFERROR(__xludf.DUMMYFUNCTION("IF('From Order'!$A1824=COLUMNS($A1824:A1843), LEFT(INDEX(FILTER(A$1:A1823, A$1:A1823&lt;&gt;""""),COUNTA(FILTER(A$1:A1823, A$1:A1823&lt;&gt;""""))), LEN(INDEX(FILTER(A$1:A1823, A$1:A1823&lt;&gt;""""),COUNTA(FILTER(A$1:A1823, A$1:A1823&lt;&gt;""""))))-1), IF('To Order'!$A1824=COL"&amp;"UMNS($A1824:A1843), A1823&amp;RIGHT(INDIRECT(ADDRESS(ROW(A1824)-1, 'From Order'!$A1824)), 1), A1823))"),"ZHZMTDLDS")</f>
        <v>ZHZMTDLDS</v>
      </c>
      <c r="B1824" s="2" t="str">
        <f>IFERROR(__xludf.DUMMYFUNCTION("IF('From Order'!$A1824=COLUMNS($A1824:B1843), LEFT(INDEX(FILTER(B$1:B1823, B$1:B1823&lt;&gt;""""),COUNTA(FILTER(B$1:B1823, B$1:B1823&lt;&gt;""""))), LEN(INDEX(FILTER(B$1:B1823, B$1:B1823&lt;&gt;""""),COUNTA(FILTER(B$1:B1823, B$1:B1823&lt;&gt;""""))))-1), IF('To Order'!$A1824=COL"&amp;"UMNS($A1824:B1843), B1823&amp;RIGHT(INDIRECT(ADDRESS(ROW(B1824)-1, 'From Order'!$A1824)), 1), B1823))"),"GTTJ")</f>
        <v>GTTJ</v>
      </c>
      <c r="C1824" s="2" t="str">
        <f>IFERROR(__xludf.DUMMYFUNCTION("IF('From Order'!$A1824=COLUMNS($A1824:C1843), LEFT(INDEX(FILTER(C$1:C1823, C$1:C1823&lt;&gt;""""),COUNTA(FILTER(C$1:C1823, C$1:C1823&lt;&gt;""""))), LEN(INDEX(FILTER(C$1:C1823, C$1:C1823&lt;&gt;""""),COUNTA(FILTER(C$1:C1823, C$1:C1823&lt;&gt;""""))))-1), IF('To Order'!$A1824=COL"&amp;"UMNS($A1824:C1843), C1823&amp;RIGHT(INDIRECT(ADDRESS(ROW(C1824)-1, 'From Order'!$A1824)), 1), C1823))"),"")</f>
        <v/>
      </c>
      <c r="D1824" s="2" t="str">
        <f>IFERROR(__xludf.DUMMYFUNCTION("IF('From Order'!$A1824=COLUMNS($A1824:D1843), LEFT(INDEX(FILTER(D$1:D1823, D$1:D1823&lt;&gt;""""),COUNTA(FILTER(D$1:D1823, D$1:D1823&lt;&gt;""""))), LEN(INDEX(FILTER(D$1:D1823, D$1:D1823&lt;&gt;""""),COUNTA(FILTER(D$1:D1823, D$1:D1823&lt;&gt;""""))))-1), IF('To Order'!$A1824=COL"&amp;"UMNS($A1824:D1843), D1823&amp;RIGHT(INDIRECT(ADDRESS(ROW(D1824)-1, 'From Order'!$A1824)), 1), D1823))"),"RB")</f>
        <v>RB</v>
      </c>
      <c r="E1824" s="2" t="str">
        <f>IFERROR(__xludf.DUMMYFUNCTION("IF('From Order'!$A1824=COLUMNS($A1824:E1843), LEFT(INDEX(FILTER(E$1:E1823, E$1:E1823&lt;&gt;""""),COUNTA(FILTER(E$1:E1823, E$1:E1823&lt;&gt;""""))), LEN(INDEX(FILTER(E$1:E1823, E$1:E1823&lt;&gt;""""),COUNTA(FILTER(E$1:E1823, E$1:E1823&lt;&gt;""""))))-1), IF('To Order'!$A1824=COL"&amp;"UMNS($A1824:E1843), E1823&amp;RIGHT(INDIRECT(ADDRESS(ROW(E1824)-1, 'From Order'!$A1824)), 1), E1823))"),"CQTRTCVDRGBHFSCZWTSSPPJQVDDWLLFBP")</f>
        <v>CQTRTCVDRGBHFSCZWTSSPPJQVDDWLLFBP</v>
      </c>
      <c r="F1824" s="2" t="str">
        <f>IFERROR(__xludf.DUMMYFUNCTION("IF('From Order'!$A1824=COLUMNS($A1824:F1843), LEFT(INDEX(FILTER(F$1:F1823, F$1:F1823&lt;&gt;""""),COUNTA(FILTER(F$1:F1823, F$1:F1823&lt;&gt;""""))), LEN(INDEX(FILTER(F$1:F1823, F$1:F1823&lt;&gt;""""),COUNTA(FILTER(F$1:F1823, F$1:F1823&lt;&gt;""""))))-1), IF('To Order'!$A1824=COL"&amp;"UMNS($A1824:F1843), F1823&amp;RIGHT(INDIRECT(ADDRESS(ROW(F1824)-1, 'From Order'!$A1824)), 1), F1823))"),"")</f>
        <v/>
      </c>
      <c r="G1824" s="2" t="str">
        <f>IFERROR(__xludf.DUMMYFUNCTION("IF('From Order'!$A1824=COLUMNS($A1824:G1843), LEFT(INDEX(FILTER(G$1:G1823, G$1:G1823&lt;&gt;""""),COUNTA(FILTER(G$1:G1823, G$1:G1823&lt;&gt;""""))), LEN(INDEX(FILTER(G$1:G1823, G$1:G1823&lt;&gt;""""),COUNTA(FILTER(G$1:G1823, G$1:G1823&lt;&gt;""""))))-1), IF('To Order'!$A1824=COL"&amp;"UMNS($A1824:G1843), G1823&amp;RIGHT(INDIRECT(ADDRESS(ROW(G1824)-1, 'From Order'!$A1824)), 1), G1823))"),"MDJMBVRR")</f>
        <v>MDJMBVRR</v>
      </c>
      <c r="H1824" s="2" t="str">
        <f>IFERROR(__xludf.DUMMYFUNCTION("IF('From Order'!$A1824=COLUMNS($A1824:H1843), LEFT(INDEX(FILTER(H$1:H1823, H$1:H1823&lt;&gt;""""),COUNTA(FILTER(H$1:H1823, H$1:H1823&lt;&gt;""""))), LEN(INDEX(FILTER(H$1:H1823, H$1:H1823&lt;&gt;""""),COUNTA(FILTER(H$1:H1823, H$1:H1823&lt;&gt;""""))))-1), IF('To Order'!$A1824=COL"&amp;"UMNS($A1824:H1843), H1823&amp;RIGHT(INDIRECT(ADDRESS(ROW(H1824)-1, 'From Order'!$A1824)), 1), H1823))"),"")</f>
        <v/>
      </c>
      <c r="I1824" s="2" t="str">
        <f>IFERROR(__xludf.DUMMYFUNCTION("IF('From Order'!$A1824=COLUMNS($A1824:I1843), LEFT(INDEX(FILTER(I$1:I1823, I$1:I1823&lt;&gt;""""),COUNTA(FILTER(I$1:I1823, I$1:I1823&lt;&gt;""""))), LEN(INDEX(FILTER(I$1:I1823, I$1:I1823&lt;&gt;""""),COUNTA(FILTER(I$1:I1823, I$1:I1823&lt;&gt;""""))))-1), IF('To Order'!$A1824=COL"&amp;"UMNS($A1824:I1843), I1823&amp;RIGHT(INDIRECT(ADDRESS(ROW(I1824)-1, 'From Order'!$A1824)), 1), I1823))"),"")</f>
        <v/>
      </c>
    </row>
    <row r="1825">
      <c r="A1825" s="2" t="str">
        <f>IFERROR(__xludf.DUMMYFUNCTION("IF('From Order'!$A1825=COLUMNS($A1825:A1844), LEFT(INDEX(FILTER(A$1:A1824, A$1:A1824&lt;&gt;""""),COUNTA(FILTER(A$1:A1824, A$1:A1824&lt;&gt;""""))), LEN(INDEX(FILTER(A$1:A1824, A$1:A1824&lt;&gt;""""),COUNTA(FILTER(A$1:A1824, A$1:A1824&lt;&gt;""""))))-1), IF('To Order'!$A1825=COL"&amp;"UMNS($A1825:A1844), A1824&amp;RIGHT(INDIRECT(ADDRESS(ROW(A1825)-1, 'From Order'!$A1825)), 1), A1824))"),"ZHZMTDLD")</f>
        <v>ZHZMTDLD</v>
      </c>
      <c r="B1825" s="2" t="str">
        <f>IFERROR(__xludf.DUMMYFUNCTION("IF('From Order'!$A1825=COLUMNS($A1825:B1844), LEFT(INDEX(FILTER(B$1:B1824, B$1:B1824&lt;&gt;""""),COUNTA(FILTER(B$1:B1824, B$1:B1824&lt;&gt;""""))), LEN(INDEX(FILTER(B$1:B1824, B$1:B1824&lt;&gt;""""),COUNTA(FILTER(B$1:B1824, B$1:B1824&lt;&gt;""""))))-1), IF('To Order'!$A1825=COL"&amp;"UMNS($A1825:B1844), B1824&amp;RIGHT(INDIRECT(ADDRESS(ROW(B1825)-1, 'From Order'!$A1825)), 1), B1824))"),"GTTJ")</f>
        <v>GTTJ</v>
      </c>
      <c r="C1825" s="2" t="str">
        <f>IFERROR(__xludf.DUMMYFUNCTION("IF('From Order'!$A1825=COLUMNS($A1825:C1844), LEFT(INDEX(FILTER(C$1:C1824, C$1:C1824&lt;&gt;""""),COUNTA(FILTER(C$1:C1824, C$1:C1824&lt;&gt;""""))), LEN(INDEX(FILTER(C$1:C1824, C$1:C1824&lt;&gt;""""),COUNTA(FILTER(C$1:C1824, C$1:C1824&lt;&gt;""""))))-1), IF('To Order'!$A1825=COL"&amp;"UMNS($A1825:C1844), C1824&amp;RIGHT(INDIRECT(ADDRESS(ROW(C1825)-1, 'From Order'!$A1825)), 1), C1824))"),"")</f>
        <v/>
      </c>
      <c r="D1825" s="2" t="str">
        <f>IFERROR(__xludf.DUMMYFUNCTION("IF('From Order'!$A1825=COLUMNS($A1825:D1844), LEFT(INDEX(FILTER(D$1:D1824, D$1:D1824&lt;&gt;""""),COUNTA(FILTER(D$1:D1824, D$1:D1824&lt;&gt;""""))), LEN(INDEX(FILTER(D$1:D1824, D$1:D1824&lt;&gt;""""),COUNTA(FILTER(D$1:D1824, D$1:D1824&lt;&gt;""""))))-1), IF('To Order'!$A1825=COL"&amp;"UMNS($A1825:D1844), D1824&amp;RIGHT(INDIRECT(ADDRESS(ROW(D1825)-1, 'From Order'!$A1825)), 1), D1824))"),"RB")</f>
        <v>RB</v>
      </c>
      <c r="E1825" s="2" t="str">
        <f>IFERROR(__xludf.DUMMYFUNCTION("IF('From Order'!$A1825=COLUMNS($A1825:E1844), LEFT(INDEX(FILTER(E$1:E1824, E$1:E1824&lt;&gt;""""),COUNTA(FILTER(E$1:E1824, E$1:E1824&lt;&gt;""""))), LEN(INDEX(FILTER(E$1:E1824, E$1:E1824&lt;&gt;""""),COUNTA(FILTER(E$1:E1824, E$1:E1824&lt;&gt;""""))))-1), IF('To Order'!$A1825=COL"&amp;"UMNS($A1825:E1844), E1824&amp;RIGHT(INDIRECT(ADDRESS(ROW(E1825)-1, 'From Order'!$A1825)), 1), E1824))"),"CQTRTCVDRGBHFSCZWTSSPPJQVDDWLLFBPS")</f>
        <v>CQTRTCVDRGBHFSCZWTSSPPJQVDDWLLFBPS</v>
      </c>
      <c r="F1825" s="2" t="str">
        <f>IFERROR(__xludf.DUMMYFUNCTION("IF('From Order'!$A1825=COLUMNS($A1825:F1844), LEFT(INDEX(FILTER(F$1:F1824, F$1:F1824&lt;&gt;""""),COUNTA(FILTER(F$1:F1824, F$1:F1824&lt;&gt;""""))), LEN(INDEX(FILTER(F$1:F1824, F$1:F1824&lt;&gt;""""),COUNTA(FILTER(F$1:F1824, F$1:F1824&lt;&gt;""""))))-1), IF('To Order'!$A1825=COL"&amp;"UMNS($A1825:F1844), F1824&amp;RIGHT(INDIRECT(ADDRESS(ROW(F1825)-1, 'From Order'!$A1825)), 1), F1824))"),"")</f>
        <v/>
      </c>
      <c r="G1825" s="2" t="str">
        <f>IFERROR(__xludf.DUMMYFUNCTION("IF('From Order'!$A1825=COLUMNS($A1825:G1844), LEFT(INDEX(FILTER(G$1:G1824, G$1:G1824&lt;&gt;""""),COUNTA(FILTER(G$1:G1824, G$1:G1824&lt;&gt;""""))), LEN(INDEX(FILTER(G$1:G1824, G$1:G1824&lt;&gt;""""),COUNTA(FILTER(G$1:G1824, G$1:G1824&lt;&gt;""""))))-1), IF('To Order'!$A1825=COL"&amp;"UMNS($A1825:G1844), G1824&amp;RIGHT(INDIRECT(ADDRESS(ROW(G1825)-1, 'From Order'!$A1825)), 1), G1824))"),"MDJMBVRR")</f>
        <v>MDJMBVRR</v>
      </c>
      <c r="H1825" s="2" t="str">
        <f>IFERROR(__xludf.DUMMYFUNCTION("IF('From Order'!$A1825=COLUMNS($A1825:H1844), LEFT(INDEX(FILTER(H$1:H1824, H$1:H1824&lt;&gt;""""),COUNTA(FILTER(H$1:H1824, H$1:H1824&lt;&gt;""""))), LEN(INDEX(FILTER(H$1:H1824, H$1:H1824&lt;&gt;""""),COUNTA(FILTER(H$1:H1824, H$1:H1824&lt;&gt;""""))))-1), IF('To Order'!$A1825=COL"&amp;"UMNS($A1825:H1844), H1824&amp;RIGHT(INDIRECT(ADDRESS(ROW(H1825)-1, 'From Order'!$A1825)), 1), H1824))"),"")</f>
        <v/>
      </c>
      <c r="I1825" s="2" t="str">
        <f>IFERROR(__xludf.DUMMYFUNCTION("IF('From Order'!$A1825=COLUMNS($A1825:I1844), LEFT(INDEX(FILTER(I$1:I1824, I$1:I1824&lt;&gt;""""),COUNTA(FILTER(I$1:I1824, I$1:I1824&lt;&gt;""""))), LEN(INDEX(FILTER(I$1:I1824, I$1:I1824&lt;&gt;""""),COUNTA(FILTER(I$1:I1824, I$1:I1824&lt;&gt;""""))))-1), IF('To Order'!$A1825=COL"&amp;"UMNS($A1825:I1844), I1824&amp;RIGHT(INDIRECT(ADDRESS(ROW(I1825)-1, 'From Order'!$A1825)), 1), I1824))"),"")</f>
        <v/>
      </c>
    </row>
    <row r="1826">
      <c r="A1826" s="2" t="str">
        <f>IFERROR(__xludf.DUMMYFUNCTION("IF('From Order'!$A1826=COLUMNS($A1826:A1845), LEFT(INDEX(FILTER(A$1:A1825, A$1:A1825&lt;&gt;""""),COUNTA(FILTER(A$1:A1825, A$1:A1825&lt;&gt;""""))), LEN(INDEX(FILTER(A$1:A1825, A$1:A1825&lt;&gt;""""),COUNTA(FILTER(A$1:A1825, A$1:A1825&lt;&gt;""""))))-1), IF('To Order'!$A1826=COL"&amp;"UMNS($A1826:A1845), A1825&amp;RIGHT(INDIRECT(ADDRESS(ROW(A1826)-1, 'From Order'!$A1826)), 1), A1825))"),"ZHZMTDL")</f>
        <v>ZHZMTDL</v>
      </c>
      <c r="B1826" s="2" t="str">
        <f>IFERROR(__xludf.DUMMYFUNCTION("IF('From Order'!$A1826=COLUMNS($A1826:B1845), LEFT(INDEX(FILTER(B$1:B1825, B$1:B1825&lt;&gt;""""),COUNTA(FILTER(B$1:B1825, B$1:B1825&lt;&gt;""""))), LEN(INDEX(FILTER(B$1:B1825, B$1:B1825&lt;&gt;""""),COUNTA(FILTER(B$1:B1825, B$1:B1825&lt;&gt;""""))))-1), IF('To Order'!$A1826=COL"&amp;"UMNS($A1826:B1845), B1825&amp;RIGHT(INDIRECT(ADDRESS(ROW(B1826)-1, 'From Order'!$A1826)), 1), B1825))"),"GTTJ")</f>
        <v>GTTJ</v>
      </c>
      <c r="C1826" s="2" t="str">
        <f>IFERROR(__xludf.DUMMYFUNCTION("IF('From Order'!$A1826=COLUMNS($A1826:C1845), LEFT(INDEX(FILTER(C$1:C1825, C$1:C1825&lt;&gt;""""),COUNTA(FILTER(C$1:C1825, C$1:C1825&lt;&gt;""""))), LEN(INDEX(FILTER(C$1:C1825, C$1:C1825&lt;&gt;""""),COUNTA(FILTER(C$1:C1825, C$1:C1825&lt;&gt;""""))))-1), IF('To Order'!$A1826=COL"&amp;"UMNS($A1826:C1845), C1825&amp;RIGHT(INDIRECT(ADDRESS(ROW(C1826)-1, 'From Order'!$A1826)), 1), C1825))"),"")</f>
        <v/>
      </c>
      <c r="D1826" s="2" t="str">
        <f>IFERROR(__xludf.DUMMYFUNCTION("IF('From Order'!$A1826=COLUMNS($A1826:D1845), LEFT(INDEX(FILTER(D$1:D1825, D$1:D1825&lt;&gt;""""),COUNTA(FILTER(D$1:D1825, D$1:D1825&lt;&gt;""""))), LEN(INDEX(FILTER(D$1:D1825, D$1:D1825&lt;&gt;""""),COUNTA(FILTER(D$1:D1825, D$1:D1825&lt;&gt;""""))))-1), IF('To Order'!$A1826=COL"&amp;"UMNS($A1826:D1845), D1825&amp;RIGHT(INDIRECT(ADDRESS(ROW(D1826)-1, 'From Order'!$A1826)), 1), D1825))"),"RB")</f>
        <v>RB</v>
      </c>
      <c r="E1826" s="2" t="str">
        <f>IFERROR(__xludf.DUMMYFUNCTION("IF('From Order'!$A1826=COLUMNS($A1826:E1845), LEFT(INDEX(FILTER(E$1:E1825, E$1:E1825&lt;&gt;""""),COUNTA(FILTER(E$1:E1825, E$1:E1825&lt;&gt;""""))), LEN(INDEX(FILTER(E$1:E1825, E$1:E1825&lt;&gt;""""),COUNTA(FILTER(E$1:E1825, E$1:E1825&lt;&gt;""""))))-1), IF('To Order'!$A1826=COL"&amp;"UMNS($A1826:E1845), E1825&amp;RIGHT(INDIRECT(ADDRESS(ROW(E1826)-1, 'From Order'!$A1826)), 1), E1825))"),"CQTRTCVDRGBHFSCZWTSSPPJQVDDWLLFBPSD")</f>
        <v>CQTRTCVDRGBHFSCZWTSSPPJQVDDWLLFBPSD</v>
      </c>
      <c r="F1826" s="2" t="str">
        <f>IFERROR(__xludf.DUMMYFUNCTION("IF('From Order'!$A1826=COLUMNS($A1826:F1845), LEFT(INDEX(FILTER(F$1:F1825, F$1:F1825&lt;&gt;""""),COUNTA(FILTER(F$1:F1825, F$1:F1825&lt;&gt;""""))), LEN(INDEX(FILTER(F$1:F1825, F$1:F1825&lt;&gt;""""),COUNTA(FILTER(F$1:F1825, F$1:F1825&lt;&gt;""""))))-1), IF('To Order'!$A1826=COL"&amp;"UMNS($A1826:F1845), F1825&amp;RIGHT(INDIRECT(ADDRESS(ROW(F1826)-1, 'From Order'!$A1826)), 1), F1825))"),"")</f>
        <v/>
      </c>
      <c r="G1826" s="2" t="str">
        <f>IFERROR(__xludf.DUMMYFUNCTION("IF('From Order'!$A1826=COLUMNS($A1826:G1845), LEFT(INDEX(FILTER(G$1:G1825, G$1:G1825&lt;&gt;""""),COUNTA(FILTER(G$1:G1825, G$1:G1825&lt;&gt;""""))), LEN(INDEX(FILTER(G$1:G1825, G$1:G1825&lt;&gt;""""),COUNTA(FILTER(G$1:G1825, G$1:G1825&lt;&gt;""""))))-1), IF('To Order'!$A1826=COL"&amp;"UMNS($A1826:G1845), G1825&amp;RIGHT(INDIRECT(ADDRESS(ROW(G1826)-1, 'From Order'!$A1826)), 1), G1825))"),"MDJMBVRR")</f>
        <v>MDJMBVRR</v>
      </c>
      <c r="H1826" s="2" t="str">
        <f>IFERROR(__xludf.DUMMYFUNCTION("IF('From Order'!$A1826=COLUMNS($A1826:H1845), LEFT(INDEX(FILTER(H$1:H1825, H$1:H1825&lt;&gt;""""),COUNTA(FILTER(H$1:H1825, H$1:H1825&lt;&gt;""""))), LEN(INDEX(FILTER(H$1:H1825, H$1:H1825&lt;&gt;""""),COUNTA(FILTER(H$1:H1825, H$1:H1825&lt;&gt;""""))))-1), IF('To Order'!$A1826=COL"&amp;"UMNS($A1826:H1845), H1825&amp;RIGHT(INDIRECT(ADDRESS(ROW(H1826)-1, 'From Order'!$A1826)), 1), H1825))"),"")</f>
        <v/>
      </c>
      <c r="I1826" s="2" t="str">
        <f>IFERROR(__xludf.DUMMYFUNCTION("IF('From Order'!$A1826=COLUMNS($A1826:I1845), LEFT(INDEX(FILTER(I$1:I1825, I$1:I1825&lt;&gt;""""),COUNTA(FILTER(I$1:I1825, I$1:I1825&lt;&gt;""""))), LEN(INDEX(FILTER(I$1:I1825, I$1:I1825&lt;&gt;""""),COUNTA(FILTER(I$1:I1825, I$1:I1825&lt;&gt;""""))))-1), IF('To Order'!$A1826=COL"&amp;"UMNS($A1826:I1845), I1825&amp;RIGHT(INDIRECT(ADDRESS(ROW(I1826)-1, 'From Order'!$A1826)), 1), I1825))"),"")</f>
        <v/>
      </c>
    </row>
    <row r="1827">
      <c r="A1827" s="2" t="str">
        <f>IFERROR(__xludf.DUMMYFUNCTION("IF('From Order'!$A1827=COLUMNS($A1827:A1846), LEFT(INDEX(FILTER(A$1:A1826, A$1:A1826&lt;&gt;""""),COUNTA(FILTER(A$1:A1826, A$1:A1826&lt;&gt;""""))), LEN(INDEX(FILTER(A$1:A1826, A$1:A1826&lt;&gt;""""),COUNTA(FILTER(A$1:A1826, A$1:A1826&lt;&gt;""""))))-1), IF('To Order'!$A1827=COL"&amp;"UMNS($A1827:A1846), A1826&amp;RIGHT(INDIRECT(ADDRESS(ROW(A1827)-1, 'From Order'!$A1827)), 1), A1826))"),"ZHZMTD")</f>
        <v>ZHZMTD</v>
      </c>
      <c r="B1827" s="2" t="str">
        <f>IFERROR(__xludf.DUMMYFUNCTION("IF('From Order'!$A1827=COLUMNS($A1827:B1846), LEFT(INDEX(FILTER(B$1:B1826, B$1:B1826&lt;&gt;""""),COUNTA(FILTER(B$1:B1826, B$1:B1826&lt;&gt;""""))), LEN(INDEX(FILTER(B$1:B1826, B$1:B1826&lt;&gt;""""),COUNTA(FILTER(B$1:B1826, B$1:B1826&lt;&gt;""""))))-1), IF('To Order'!$A1827=COL"&amp;"UMNS($A1827:B1846), B1826&amp;RIGHT(INDIRECT(ADDRESS(ROW(B1827)-1, 'From Order'!$A1827)), 1), B1826))"),"GTTJ")</f>
        <v>GTTJ</v>
      </c>
      <c r="C1827" s="2" t="str">
        <f>IFERROR(__xludf.DUMMYFUNCTION("IF('From Order'!$A1827=COLUMNS($A1827:C1846), LEFT(INDEX(FILTER(C$1:C1826, C$1:C1826&lt;&gt;""""),COUNTA(FILTER(C$1:C1826, C$1:C1826&lt;&gt;""""))), LEN(INDEX(FILTER(C$1:C1826, C$1:C1826&lt;&gt;""""),COUNTA(FILTER(C$1:C1826, C$1:C1826&lt;&gt;""""))))-1), IF('To Order'!$A1827=COL"&amp;"UMNS($A1827:C1846), C1826&amp;RIGHT(INDIRECT(ADDRESS(ROW(C1827)-1, 'From Order'!$A1827)), 1), C1826))"),"")</f>
        <v/>
      </c>
      <c r="D1827" s="2" t="str">
        <f>IFERROR(__xludf.DUMMYFUNCTION("IF('From Order'!$A1827=COLUMNS($A1827:D1846), LEFT(INDEX(FILTER(D$1:D1826, D$1:D1826&lt;&gt;""""),COUNTA(FILTER(D$1:D1826, D$1:D1826&lt;&gt;""""))), LEN(INDEX(FILTER(D$1:D1826, D$1:D1826&lt;&gt;""""),COUNTA(FILTER(D$1:D1826, D$1:D1826&lt;&gt;""""))))-1), IF('To Order'!$A1827=COL"&amp;"UMNS($A1827:D1846), D1826&amp;RIGHT(INDIRECT(ADDRESS(ROW(D1827)-1, 'From Order'!$A1827)), 1), D1826))"),"RB")</f>
        <v>RB</v>
      </c>
      <c r="E1827" s="2" t="str">
        <f>IFERROR(__xludf.DUMMYFUNCTION("IF('From Order'!$A1827=COLUMNS($A1827:E1846), LEFT(INDEX(FILTER(E$1:E1826, E$1:E1826&lt;&gt;""""),COUNTA(FILTER(E$1:E1826, E$1:E1826&lt;&gt;""""))), LEN(INDEX(FILTER(E$1:E1826, E$1:E1826&lt;&gt;""""),COUNTA(FILTER(E$1:E1826, E$1:E1826&lt;&gt;""""))))-1), IF('To Order'!$A1827=COL"&amp;"UMNS($A1827:E1846), E1826&amp;RIGHT(INDIRECT(ADDRESS(ROW(E1827)-1, 'From Order'!$A1827)), 1), E1826))"),"CQTRTCVDRGBHFSCZWTSSPPJQVDDWLLFBPSDL")</f>
        <v>CQTRTCVDRGBHFSCZWTSSPPJQVDDWLLFBPSDL</v>
      </c>
      <c r="F1827" s="2" t="str">
        <f>IFERROR(__xludf.DUMMYFUNCTION("IF('From Order'!$A1827=COLUMNS($A1827:F1846), LEFT(INDEX(FILTER(F$1:F1826, F$1:F1826&lt;&gt;""""),COUNTA(FILTER(F$1:F1826, F$1:F1826&lt;&gt;""""))), LEN(INDEX(FILTER(F$1:F1826, F$1:F1826&lt;&gt;""""),COUNTA(FILTER(F$1:F1826, F$1:F1826&lt;&gt;""""))))-1), IF('To Order'!$A1827=COL"&amp;"UMNS($A1827:F1846), F1826&amp;RIGHT(INDIRECT(ADDRESS(ROW(F1827)-1, 'From Order'!$A1827)), 1), F1826))"),"")</f>
        <v/>
      </c>
      <c r="G1827" s="2" t="str">
        <f>IFERROR(__xludf.DUMMYFUNCTION("IF('From Order'!$A1827=COLUMNS($A1827:G1846), LEFT(INDEX(FILTER(G$1:G1826, G$1:G1826&lt;&gt;""""),COUNTA(FILTER(G$1:G1826, G$1:G1826&lt;&gt;""""))), LEN(INDEX(FILTER(G$1:G1826, G$1:G1826&lt;&gt;""""),COUNTA(FILTER(G$1:G1826, G$1:G1826&lt;&gt;""""))))-1), IF('To Order'!$A1827=COL"&amp;"UMNS($A1827:G1846), G1826&amp;RIGHT(INDIRECT(ADDRESS(ROW(G1827)-1, 'From Order'!$A1827)), 1), G1826))"),"MDJMBVRR")</f>
        <v>MDJMBVRR</v>
      </c>
      <c r="H1827" s="2" t="str">
        <f>IFERROR(__xludf.DUMMYFUNCTION("IF('From Order'!$A1827=COLUMNS($A1827:H1846), LEFT(INDEX(FILTER(H$1:H1826, H$1:H1826&lt;&gt;""""),COUNTA(FILTER(H$1:H1826, H$1:H1826&lt;&gt;""""))), LEN(INDEX(FILTER(H$1:H1826, H$1:H1826&lt;&gt;""""),COUNTA(FILTER(H$1:H1826, H$1:H1826&lt;&gt;""""))))-1), IF('To Order'!$A1827=COL"&amp;"UMNS($A1827:H1846), H1826&amp;RIGHT(INDIRECT(ADDRESS(ROW(H1827)-1, 'From Order'!$A1827)), 1), H1826))"),"")</f>
        <v/>
      </c>
      <c r="I1827" s="2" t="str">
        <f>IFERROR(__xludf.DUMMYFUNCTION("IF('From Order'!$A1827=COLUMNS($A1827:I1846), LEFT(INDEX(FILTER(I$1:I1826, I$1:I1826&lt;&gt;""""),COUNTA(FILTER(I$1:I1826, I$1:I1826&lt;&gt;""""))), LEN(INDEX(FILTER(I$1:I1826, I$1:I1826&lt;&gt;""""),COUNTA(FILTER(I$1:I1826, I$1:I1826&lt;&gt;""""))))-1), IF('To Order'!$A1827=COL"&amp;"UMNS($A1827:I1846), I1826&amp;RIGHT(INDIRECT(ADDRESS(ROW(I1827)-1, 'From Order'!$A1827)), 1), I1826))"),"")</f>
        <v/>
      </c>
    </row>
    <row r="1828">
      <c r="A1828" s="2" t="str">
        <f>IFERROR(__xludf.DUMMYFUNCTION("IF('From Order'!$A1828=COLUMNS($A1828:A1847), LEFT(INDEX(FILTER(A$1:A1827, A$1:A1827&lt;&gt;""""),COUNTA(FILTER(A$1:A1827, A$1:A1827&lt;&gt;""""))), LEN(INDEX(FILTER(A$1:A1827, A$1:A1827&lt;&gt;""""),COUNTA(FILTER(A$1:A1827, A$1:A1827&lt;&gt;""""))))-1), IF('To Order'!$A1828=COL"&amp;"UMNS($A1828:A1847), A1827&amp;RIGHT(INDIRECT(ADDRESS(ROW(A1828)-1, 'From Order'!$A1828)), 1), A1827))"),"ZHZMTD")</f>
        <v>ZHZMTD</v>
      </c>
      <c r="B1828" s="2" t="str">
        <f>IFERROR(__xludf.DUMMYFUNCTION("IF('From Order'!$A1828=COLUMNS($A1828:B1847), LEFT(INDEX(FILTER(B$1:B1827, B$1:B1827&lt;&gt;""""),COUNTA(FILTER(B$1:B1827, B$1:B1827&lt;&gt;""""))), LEN(INDEX(FILTER(B$1:B1827, B$1:B1827&lt;&gt;""""),COUNTA(FILTER(B$1:B1827, B$1:B1827&lt;&gt;""""))))-1), IF('To Order'!$A1828=COL"&amp;"UMNS($A1828:B1847), B1827&amp;RIGHT(INDIRECT(ADDRESS(ROW(B1828)-1, 'From Order'!$A1828)), 1), B1827))"),"GTTJ")</f>
        <v>GTTJ</v>
      </c>
      <c r="C1828" s="2" t="str">
        <f>IFERROR(__xludf.DUMMYFUNCTION("IF('From Order'!$A1828=COLUMNS($A1828:C1847), LEFT(INDEX(FILTER(C$1:C1827, C$1:C1827&lt;&gt;""""),COUNTA(FILTER(C$1:C1827, C$1:C1827&lt;&gt;""""))), LEN(INDEX(FILTER(C$1:C1827, C$1:C1827&lt;&gt;""""),COUNTA(FILTER(C$1:C1827, C$1:C1827&lt;&gt;""""))))-1), IF('To Order'!$A1828=COL"&amp;"UMNS($A1828:C1847), C1827&amp;RIGHT(INDIRECT(ADDRESS(ROW(C1828)-1, 'From Order'!$A1828)), 1), C1827))"),"")</f>
        <v/>
      </c>
      <c r="D1828" s="2" t="str">
        <f>IFERROR(__xludf.DUMMYFUNCTION("IF('From Order'!$A1828=COLUMNS($A1828:D1847), LEFT(INDEX(FILTER(D$1:D1827, D$1:D1827&lt;&gt;""""),COUNTA(FILTER(D$1:D1827, D$1:D1827&lt;&gt;""""))), LEN(INDEX(FILTER(D$1:D1827, D$1:D1827&lt;&gt;""""),COUNTA(FILTER(D$1:D1827, D$1:D1827&lt;&gt;""""))))-1), IF('To Order'!$A1828=COL"&amp;"UMNS($A1828:D1847), D1827&amp;RIGHT(INDIRECT(ADDRESS(ROW(D1828)-1, 'From Order'!$A1828)), 1), D1827))"),"RB")</f>
        <v>RB</v>
      </c>
      <c r="E1828" s="2" t="str">
        <f>IFERROR(__xludf.DUMMYFUNCTION("IF('From Order'!$A1828=COLUMNS($A1828:E1847), LEFT(INDEX(FILTER(E$1:E1827, E$1:E1827&lt;&gt;""""),COUNTA(FILTER(E$1:E1827, E$1:E1827&lt;&gt;""""))), LEN(INDEX(FILTER(E$1:E1827, E$1:E1827&lt;&gt;""""),COUNTA(FILTER(E$1:E1827, E$1:E1827&lt;&gt;""""))))-1), IF('To Order'!$A1828=COL"&amp;"UMNS($A1828:E1847), E1827&amp;RIGHT(INDIRECT(ADDRESS(ROW(E1828)-1, 'From Order'!$A1828)), 1), E1827))"),"CQTRTCVDRGBHFSCZWTSSPPJQVDDWLLFBPSD")</f>
        <v>CQTRTCVDRGBHFSCZWTSSPPJQVDDWLLFBPSD</v>
      </c>
      <c r="F1828" s="2" t="str">
        <f>IFERROR(__xludf.DUMMYFUNCTION("IF('From Order'!$A1828=COLUMNS($A1828:F1847), LEFT(INDEX(FILTER(F$1:F1827, F$1:F1827&lt;&gt;""""),COUNTA(FILTER(F$1:F1827, F$1:F1827&lt;&gt;""""))), LEN(INDEX(FILTER(F$1:F1827, F$1:F1827&lt;&gt;""""),COUNTA(FILTER(F$1:F1827, F$1:F1827&lt;&gt;""""))))-1), IF('To Order'!$A1828=COL"&amp;"UMNS($A1828:F1847), F1827&amp;RIGHT(INDIRECT(ADDRESS(ROW(F1828)-1, 'From Order'!$A1828)), 1), F1827))"),"L")</f>
        <v>L</v>
      </c>
      <c r="G1828" s="2" t="str">
        <f>IFERROR(__xludf.DUMMYFUNCTION("IF('From Order'!$A1828=COLUMNS($A1828:G1847), LEFT(INDEX(FILTER(G$1:G1827, G$1:G1827&lt;&gt;""""),COUNTA(FILTER(G$1:G1827, G$1:G1827&lt;&gt;""""))), LEN(INDEX(FILTER(G$1:G1827, G$1:G1827&lt;&gt;""""),COUNTA(FILTER(G$1:G1827, G$1:G1827&lt;&gt;""""))))-1), IF('To Order'!$A1828=COL"&amp;"UMNS($A1828:G1847), G1827&amp;RIGHT(INDIRECT(ADDRESS(ROW(G1828)-1, 'From Order'!$A1828)), 1), G1827))"),"MDJMBVRR")</f>
        <v>MDJMBVRR</v>
      </c>
      <c r="H1828" s="2" t="str">
        <f>IFERROR(__xludf.DUMMYFUNCTION("IF('From Order'!$A1828=COLUMNS($A1828:H1847), LEFT(INDEX(FILTER(H$1:H1827, H$1:H1827&lt;&gt;""""),COUNTA(FILTER(H$1:H1827, H$1:H1827&lt;&gt;""""))), LEN(INDEX(FILTER(H$1:H1827, H$1:H1827&lt;&gt;""""),COUNTA(FILTER(H$1:H1827, H$1:H1827&lt;&gt;""""))))-1), IF('To Order'!$A1828=COL"&amp;"UMNS($A1828:H1847), H1827&amp;RIGHT(INDIRECT(ADDRESS(ROW(H1828)-1, 'From Order'!$A1828)), 1), H1827))"),"")</f>
        <v/>
      </c>
      <c r="I1828" s="2" t="str">
        <f>IFERROR(__xludf.DUMMYFUNCTION("IF('From Order'!$A1828=COLUMNS($A1828:I1847), LEFT(INDEX(FILTER(I$1:I1827, I$1:I1827&lt;&gt;""""),COUNTA(FILTER(I$1:I1827, I$1:I1827&lt;&gt;""""))), LEN(INDEX(FILTER(I$1:I1827, I$1:I1827&lt;&gt;""""),COUNTA(FILTER(I$1:I1827, I$1:I1827&lt;&gt;""""))))-1), IF('To Order'!$A1828=COL"&amp;"UMNS($A1828:I1847), I1827&amp;RIGHT(INDIRECT(ADDRESS(ROW(I1828)-1, 'From Order'!$A1828)), 1), I1827))"),"")</f>
        <v/>
      </c>
    </row>
    <row r="1829">
      <c r="A1829" s="2" t="str">
        <f>IFERROR(__xludf.DUMMYFUNCTION("IF('From Order'!$A1829=COLUMNS($A1829:A1848), LEFT(INDEX(FILTER(A$1:A1828, A$1:A1828&lt;&gt;""""),COUNTA(FILTER(A$1:A1828, A$1:A1828&lt;&gt;""""))), LEN(INDEX(FILTER(A$1:A1828, A$1:A1828&lt;&gt;""""),COUNTA(FILTER(A$1:A1828, A$1:A1828&lt;&gt;""""))))-1), IF('To Order'!$A1829=COL"&amp;"UMNS($A1829:A1848), A1828&amp;RIGHT(INDIRECT(ADDRESS(ROW(A1829)-1, 'From Order'!$A1829)), 1), A1828))"),"ZHZMTD")</f>
        <v>ZHZMTD</v>
      </c>
      <c r="B1829" s="2" t="str">
        <f>IFERROR(__xludf.DUMMYFUNCTION("IF('From Order'!$A1829=COLUMNS($A1829:B1848), LEFT(INDEX(FILTER(B$1:B1828, B$1:B1828&lt;&gt;""""),COUNTA(FILTER(B$1:B1828, B$1:B1828&lt;&gt;""""))), LEN(INDEX(FILTER(B$1:B1828, B$1:B1828&lt;&gt;""""),COUNTA(FILTER(B$1:B1828, B$1:B1828&lt;&gt;""""))))-1), IF('To Order'!$A1829=COL"&amp;"UMNS($A1829:B1848), B1828&amp;RIGHT(INDIRECT(ADDRESS(ROW(B1829)-1, 'From Order'!$A1829)), 1), B1828))"),"GTTJ")</f>
        <v>GTTJ</v>
      </c>
      <c r="C1829" s="2" t="str">
        <f>IFERROR(__xludf.DUMMYFUNCTION("IF('From Order'!$A1829=COLUMNS($A1829:C1848), LEFT(INDEX(FILTER(C$1:C1828, C$1:C1828&lt;&gt;""""),COUNTA(FILTER(C$1:C1828, C$1:C1828&lt;&gt;""""))), LEN(INDEX(FILTER(C$1:C1828, C$1:C1828&lt;&gt;""""),COUNTA(FILTER(C$1:C1828, C$1:C1828&lt;&gt;""""))))-1), IF('To Order'!$A1829=COL"&amp;"UMNS($A1829:C1848), C1828&amp;RIGHT(INDIRECT(ADDRESS(ROW(C1829)-1, 'From Order'!$A1829)), 1), C1828))"),"")</f>
        <v/>
      </c>
      <c r="D1829" s="2" t="str">
        <f>IFERROR(__xludf.DUMMYFUNCTION("IF('From Order'!$A1829=COLUMNS($A1829:D1848), LEFT(INDEX(FILTER(D$1:D1828, D$1:D1828&lt;&gt;""""),COUNTA(FILTER(D$1:D1828, D$1:D1828&lt;&gt;""""))), LEN(INDEX(FILTER(D$1:D1828, D$1:D1828&lt;&gt;""""),COUNTA(FILTER(D$1:D1828, D$1:D1828&lt;&gt;""""))))-1), IF('To Order'!$A1829=COL"&amp;"UMNS($A1829:D1848), D1828&amp;RIGHT(INDIRECT(ADDRESS(ROW(D1829)-1, 'From Order'!$A1829)), 1), D1828))"),"RB")</f>
        <v>RB</v>
      </c>
      <c r="E1829" s="2" t="str">
        <f>IFERROR(__xludf.DUMMYFUNCTION("IF('From Order'!$A1829=COLUMNS($A1829:E1848), LEFT(INDEX(FILTER(E$1:E1828, E$1:E1828&lt;&gt;""""),COUNTA(FILTER(E$1:E1828, E$1:E1828&lt;&gt;""""))), LEN(INDEX(FILTER(E$1:E1828, E$1:E1828&lt;&gt;""""),COUNTA(FILTER(E$1:E1828, E$1:E1828&lt;&gt;""""))))-1), IF('To Order'!$A1829=COL"&amp;"UMNS($A1829:E1848), E1828&amp;RIGHT(INDIRECT(ADDRESS(ROW(E1829)-1, 'From Order'!$A1829)), 1), E1828))"),"CQTRTCVDRGBHFSCZWTSSPPJQVDDWLLFBPS")</f>
        <v>CQTRTCVDRGBHFSCZWTSSPPJQVDDWLLFBPS</v>
      </c>
      <c r="F1829" s="2" t="str">
        <f>IFERROR(__xludf.DUMMYFUNCTION("IF('From Order'!$A1829=COLUMNS($A1829:F1848), LEFT(INDEX(FILTER(F$1:F1828, F$1:F1828&lt;&gt;""""),COUNTA(FILTER(F$1:F1828, F$1:F1828&lt;&gt;""""))), LEN(INDEX(FILTER(F$1:F1828, F$1:F1828&lt;&gt;""""),COUNTA(FILTER(F$1:F1828, F$1:F1828&lt;&gt;""""))))-1), IF('To Order'!$A1829=COL"&amp;"UMNS($A1829:F1848), F1828&amp;RIGHT(INDIRECT(ADDRESS(ROW(F1829)-1, 'From Order'!$A1829)), 1), F1828))"),"LD")</f>
        <v>LD</v>
      </c>
      <c r="G1829" s="2" t="str">
        <f>IFERROR(__xludf.DUMMYFUNCTION("IF('From Order'!$A1829=COLUMNS($A1829:G1848), LEFT(INDEX(FILTER(G$1:G1828, G$1:G1828&lt;&gt;""""),COUNTA(FILTER(G$1:G1828, G$1:G1828&lt;&gt;""""))), LEN(INDEX(FILTER(G$1:G1828, G$1:G1828&lt;&gt;""""),COUNTA(FILTER(G$1:G1828, G$1:G1828&lt;&gt;""""))))-1), IF('To Order'!$A1829=COL"&amp;"UMNS($A1829:G1848), G1828&amp;RIGHT(INDIRECT(ADDRESS(ROW(G1829)-1, 'From Order'!$A1829)), 1), G1828))"),"MDJMBVRR")</f>
        <v>MDJMBVRR</v>
      </c>
      <c r="H1829" s="2" t="str">
        <f>IFERROR(__xludf.DUMMYFUNCTION("IF('From Order'!$A1829=COLUMNS($A1829:H1848), LEFT(INDEX(FILTER(H$1:H1828, H$1:H1828&lt;&gt;""""),COUNTA(FILTER(H$1:H1828, H$1:H1828&lt;&gt;""""))), LEN(INDEX(FILTER(H$1:H1828, H$1:H1828&lt;&gt;""""),COUNTA(FILTER(H$1:H1828, H$1:H1828&lt;&gt;""""))))-1), IF('To Order'!$A1829=COL"&amp;"UMNS($A1829:H1848), H1828&amp;RIGHT(INDIRECT(ADDRESS(ROW(H1829)-1, 'From Order'!$A1829)), 1), H1828))"),"")</f>
        <v/>
      </c>
      <c r="I1829" s="2" t="str">
        <f>IFERROR(__xludf.DUMMYFUNCTION("IF('From Order'!$A1829=COLUMNS($A1829:I1848), LEFT(INDEX(FILTER(I$1:I1828, I$1:I1828&lt;&gt;""""),COUNTA(FILTER(I$1:I1828, I$1:I1828&lt;&gt;""""))), LEN(INDEX(FILTER(I$1:I1828, I$1:I1828&lt;&gt;""""),COUNTA(FILTER(I$1:I1828, I$1:I1828&lt;&gt;""""))))-1), IF('To Order'!$A1829=COL"&amp;"UMNS($A1829:I1848), I1828&amp;RIGHT(INDIRECT(ADDRESS(ROW(I1829)-1, 'From Order'!$A1829)), 1), I1828))"),"")</f>
        <v/>
      </c>
    </row>
    <row r="1830">
      <c r="A1830" s="2" t="str">
        <f>IFERROR(__xludf.DUMMYFUNCTION("IF('From Order'!$A1830=COLUMNS($A1830:A1849), LEFT(INDEX(FILTER(A$1:A1829, A$1:A1829&lt;&gt;""""),COUNTA(FILTER(A$1:A1829, A$1:A1829&lt;&gt;""""))), LEN(INDEX(FILTER(A$1:A1829, A$1:A1829&lt;&gt;""""),COUNTA(FILTER(A$1:A1829, A$1:A1829&lt;&gt;""""))))-1), IF('To Order'!$A1830=COL"&amp;"UMNS($A1830:A1849), A1829&amp;RIGHT(INDIRECT(ADDRESS(ROW(A1830)-1, 'From Order'!$A1830)), 1), A1829))"),"ZHZMTD")</f>
        <v>ZHZMTD</v>
      </c>
      <c r="B1830" s="2" t="str">
        <f>IFERROR(__xludf.DUMMYFUNCTION("IF('From Order'!$A1830=COLUMNS($A1830:B1849), LEFT(INDEX(FILTER(B$1:B1829, B$1:B1829&lt;&gt;""""),COUNTA(FILTER(B$1:B1829, B$1:B1829&lt;&gt;""""))), LEN(INDEX(FILTER(B$1:B1829, B$1:B1829&lt;&gt;""""),COUNTA(FILTER(B$1:B1829, B$1:B1829&lt;&gt;""""))))-1), IF('To Order'!$A1830=COL"&amp;"UMNS($A1830:B1849), B1829&amp;RIGHT(INDIRECT(ADDRESS(ROW(B1830)-1, 'From Order'!$A1830)), 1), B1829))"),"GTTJ")</f>
        <v>GTTJ</v>
      </c>
      <c r="C1830" s="2" t="str">
        <f>IFERROR(__xludf.DUMMYFUNCTION("IF('From Order'!$A1830=COLUMNS($A1830:C1849), LEFT(INDEX(FILTER(C$1:C1829, C$1:C1829&lt;&gt;""""),COUNTA(FILTER(C$1:C1829, C$1:C1829&lt;&gt;""""))), LEN(INDEX(FILTER(C$1:C1829, C$1:C1829&lt;&gt;""""),COUNTA(FILTER(C$1:C1829, C$1:C1829&lt;&gt;""""))))-1), IF('To Order'!$A1830=COL"&amp;"UMNS($A1830:C1849), C1829&amp;RIGHT(INDIRECT(ADDRESS(ROW(C1830)-1, 'From Order'!$A1830)), 1), C1829))"),"")</f>
        <v/>
      </c>
      <c r="D1830" s="2" t="str">
        <f>IFERROR(__xludf.DUMMYFUNCTION("IF('From Order'!$A1830=COLUMNS($A1830:D1849), LEFT(INDEX(FILTER(D$1:D1829, D$1:D1829&lt;&gt;""""),COUNTA(FILTER(D$1:D1829, D$1:D1829&lt;&gt;""""))), LEN(INDEX(FILTER(D$1:D1829, D$1:D1829&lt;&gt;""""),COUNTA(FILTER(D$1:D1829, D$1:D1829&lt;&gt;""""))))-1), IF('To Order'!$A1830=COL"&amp;"UMNS($A1830:D1849), D1829&amp;RIGHT(INDIRECT(ADDRESS(ROW(D1830)-1, 'From Order'!$A1830)), 1), D1829))"),"RB")</f>
        <v>RB</v>
      </c>
      <c r="E1830" s="2" t="str">
        <f>IFERROR(__xludf.DUMMYFUNCTION("IF('From Order'!$A1830=COLUMNS($A1830:E1849), LEFT(INDEX(FILTER(E$1:E1829, E$1:E1829&lt;&gt;""""),COUNTA(FILTER(E$1:E1829, E$1:E1829&lt;&gt;""""))), LEN(INDEX(FILTER(E$1:E1829, E$1:E1829&lt;&gt;""""),COUNTA(FILTER(E$1:E1829, E$1:E1829&lt;&gt;""""))))-1), IF('To Order'!$A1830=COL"&amp;"UMNS($A1830:E1849), E1829&amp;RIGHT(INDIRECT(ADDRESS(ROW(E1830)-1, 'From Order'!$A1830)), 1), E1829))"),"CQTRTCVDRGBHFSCZWTSSPPJQVDDWLLFBP")</f>
        <v>CQTRTCVDRGBHFSCZWTSSPPJQVDDWLLFBP</v>
      </c>
      <c r="F1830" s="2" t="str">
        <f>IFERROR(__xludf.DUMMYFUNCTION("IF('From Order'!$A1830=COLUMNS($A1830:F1849), LEFT(INDEX(FILTER(F$1:F1829, F$1:F1829&lt;&gt;""""),COUNTA(FILTER(F$1:F1829, F$1:F1829&lt;&gt;""""))), LEN(INDEX(FILTER(F$1:F1829, F$1:F1829&lt;&gt;""""),COUNTA(FILTER(F$1:F1829, F$1:F1829&lt;&gt;""""))))-1), IF('To Order'!$A1830=COL"&amp;"UMNS($A1830:F1849), F1829&amp;RIGHT(INDIRECT(ADDRESS(ROW(F1830)-1, 'From Order'!$A1830)), 1), F1829))"),"LDS")</f>
        <v>LDS</v>
      </c>
      <c r="G1830" s="2" t="str">
        <f>IFERROR(__xludf.DUMMYFUNCTION("IF('From Order'!$A1830=COLUMNS($A1830:G1849), LEFT(INDEX(FILTER(G$1:G1829, G$1:G1829&lt;&gt;""""),COUNTA(FILTER(G$1:G1829, G$1:G1829&lt;&gt;""""))), LEN(INDEX(FILTER(G$1:G1829, G$1:G1829&lt;&gt;""""),COUNTA(FILTER(G$1:G1829, G$1:G1829&lt;&gt;""""))))-1), IF('To Order'!$A1830=COL"&amp;"UMNS($A1830:G1849), G1829&amp;RIGHT(INDIRECT(ADDRESS(ROW(G1830)-1, 'From Order'!$A1830)), 1), G1829))"),"MDJMBVRR")</f>
        <v>MDJMBVRR</v>
      </c>
      <c r="H1830" s="2" t="str">
        <f>IFERROR(__xludf.DUMMYFUNCTION("IF('From Order'!$A1830=COLUMNS($A1830:H1849), LEFT(INDEX(FILTER(H$1:H1829, H$1:H1829&lt;&gt;""""),COUNTA(FILTER(H$1:H1829, H$1:H1829&lt;&gt;""""))), LEN(INDEX(FILTER(H$1:H1829, H$1:H1829&lt;&gt;""""),COUNTA(FILTER(H$1:H1829, H$1:H1829&lt;&gt;""""))))-1), IF('To Order'!$A1830=COL"&amp;"UMNS($A1830:H1849), H1829&amp;RIGHT(INDIRECT(ADDRESS(ROW(H1830)-1, 'From Order'!$A1830)), 1), H1829))"),"")</f>
        <v/>
      </c>
      <c r="I1830" s="2" t="str">
        <f>IFERROR(__xludf.DUMMYFUNCTION("IF('From Order'!$A1830=COLUMNS($A1830:I1849), LEFT(INDEX(FILTER(I$1:I1829, I$1:I1829&lt;&gt;""""),COUNTA(FILTER(I$1:I1829, I$1:I1829&lt;&gt;""""))), LEN(INDEX(FILTER(I$1:I1829, I$1:I1829&lt;&gt;""""),COUNTA(FILTER(I$1:I1829, I$1:I1829&lt;&gt;""""))))-1), IF('To Order'!$A1830=COL"&amp;"UMNS($A1830:I1849), I1829&amp;RIGHT(INDIRECT(ADDRESS(ROW(I1830)-1, 'From Order'!$A1830)), 1), I1829))"),"")</f>
        <v/>
      </c>
    </row>
    <row r="1831">
      <c r="A1831" s="2" t="str">
        <f>IFERROR(__xludf.DUMMYFUNCTION("IF('From Order'!$A1831=COLUMNS($A1831:A1850), LEFT(INDEX(FILTER(A$1:A1830, A$1:A1830&lt;&gt;""""),COUNTA(FILTER(A$1:A1830, A$1:A1830&lt;&gt;""""))), LEN(INDEX(FILTER(A$1:A1830, A$1:A1830&lt;&gt;""""),COUNTA(FILTER(A$1:A1830, A$1:A1830&lt;&gt;""""))))-1), IF('To Order'!$A1831=COL"&amp;"UMNS($A1831:A1850), A1830&amp;RIGHT(INDIRECT(ADDRESS(ROW(A1831)-1, 'From Order'!$A1831)), 1), A1830))"),"ZHZMTD")</f>
        <v>ZHZMTD</v>
      </c>
      <c r="B1831" s="2" t="str">
        <f>IFERROR(__xludf.DUMMYFUNCTION("IF('From Order'!$A1831=COLUMNS($A1831:B1850), LEFT(INDEX(FILTER(B$1:B1830, B$1:B1830&lt;&gt;""""),COUNTA(FILTER(B$1:B1830, B$1:B1830&lt;&gt;""""))), LEN(INDEX(FILTER(B$1:B1830, B$1:B1830&lt;&gt;""""),COUNTA(FILTER(B$1:B1830, B$1:B1830&lt;&gt;""""))))-1), IF('To Order'!$A1831=COL"&amp;"UMNS($A1831:B1850), B1830&amp;RIGHT(INDIRECT(ADDRESS(ROW(B1831)-1, 'From Order'!$A1831)), 1), B1830))"),"GTTJ")</f>
        <v>GTTJ</v>
      </c>
      <c r="C1831" s="2" t="str">
        <f>IFERROR(__xludf.DUMMYFUNCTION("IF('From Order'!$A1831=COLUMNS($A1831:C1850), LEFT(INDEX(FILTER(C$1:C1830, C$1:C1830&lt;&gt;""""),COUNTA(FILTER(C$1:C1830, C$1:C1830&lt;&gt;""""))), LEN(INDEX(FILTER(C$1:C1830, C$1:C1830&lt;&gt;""""),COUNTA(FILTER(C$1:C1830, C$1:C1830&lt;&gt;""""))))-1), IF('To Order'!$A1831=COL"&amp;"UMNS($A1831:C1850), C1830&amp;RIGHT(INDIRECT(ADDRESS(ROW(C1831)-1, 'From Order'!$A1831)), 1), C1830))"),"")</f>
        <v/>
      </c>
      <c r="D1831" s="2" t="str">
        <f>IFERROR(__xludf.DUMMYFUNCTION("IF('From Order'!$A1831=COLUMNS($A1831:D1850), LEFT(INDEX(FILTER(D$1:D1830, D$1:D1830&lt;&gt;""""),COUNTA(FILTER(D$1:D1830, D$1:D1830&lt;&gt;""""))), LEN(INDEX(FILTER(D$1:D1830, D$1:D1830&lt;&gt;""""),COUNTA(FILTER(D$1:D1830, D$1:D1830&lt;&gt;""""))))-1), IF('To Order'!$A1831=COL"&amp;"UMNS($A1831:D1850), D1830&amp;RIGHT(INDIRECT(ADDRESS(ROW(D1831)-1, 'From Order'!$A1831)), 1), D1830))"),"RB")</f>
        <v>RB</v>
      </c>
      <c r="E1831" s="2" t="str">
        <f>IFERROR(__xludf.DUMMYFUNCTION("IF('From Order'!$A1831=COLUMNS($A1831:E1850), LEFT(INDEX(FILTER(E$1:E1830, E$1:E1830&lt;&gt;""""),COUNTA(FILTER(E$1:E1830, E$1:E1830&lt;&gt;""""))), LEN(INDEX(FILTER(E$1:E1830, E$1:E1830&lt;&gt;""""),COUNTA(FILTER(E$1:E1830, E$1:E1830&lt;&gt;""""))))-1), IF('To Order'!$A1831=COL"&amp;"UMNS($A1831:E1850), E1830&amp;RIGHT(INDIRECT(ADDRESS(ROW(E1831)-1, 'From Order'!$A1831)), 1), E1830))"),"CQTRTCVDRGBHFSCZWTSSPPJQVDDWLLFB")</f>
        <v>CQTRTCVDRGBHFSCZWTSSPPJQVDDWLLFB</v>
      </c>
      <c r="F1831" s="2" t="str">
        <f>IFERROR(__xludf.DUMMYFUNCTION("IF('From Order'!$A1831=COLUMNS($A1831:F1850), LEFT(INDEX(FILTER(F$1:F1830, F$1:F1830&lt;&gt;""""),COUNTA(FILTER(F$1:F1830, F$1:F1830&lt;&gt;""""))), LEN(INDEX(FILTER(F$1:F1830, F$1:F1830&lt;&gt;""""),COUNTA(FILTER(F$1:F1830, F$1:F1830&lt;&gt;""""))))-1), IF('To Order'!$A1831=COL"&amp;"UMNS($A1831:F1850), F1830&amp;RIGHT(INDIRECT(ADDRESS(ROW(F1831)-1, 'From Order'!$A1831)), 1), F1830))"),"LDSP")</f>
        <v>LDSP</v>
      </c>
      <c r="G1831" s="2" t="str">
        <f>IFERROR(__xludf.DUMMYFUNCTION("IF('From Order'!$A1831=COLUMNS($A1831:G1850), LEFT(INDEX(FILTER(G$1:G1830, G$1:G1830&lt;&gt;""""),COUNTA(FILTER(G$1:G1830, G$1:G1830&lt;&gt;""""))), LEN(INDEX(FILTER(G$1:G1830, G$1:G1830&lt;&gt;""""),COUNTA(FILTER(G$1:G1830, G$1:G1830&lt;&gt;""""))))-1), IF('To Order'!$A1831=COL"&amp;"UMNS($A1831:G1850), G1830&amp;RIGHT(INDIRECT(ADDRESS(ROW(G1831)-1, 'From Order'!$A1831)), 1), G1830))"),"MDJMBVRR")</f>
        <v>MDJMBVRR</v>
      </c>
      <c r="H1831" s="2" t="str">
        <f>IFERROR(__xludf.DUMMYFUNCTION("IF('From Order'!$A1831=COLUMNS($A1831:H1850), LEFT(INDEX(FILTER(H$1:H1830, H$1:H1830&lt;&gt;""""),COUNTA(FILTER(H$1:H1830, H$1:H1830&lt;&gt;""""))), LEN(INDEX(FILTER(H$1:H1830, H$1:H1830&lt;&gt;""""),COUNTA(FILTER(H$1:H1830, H$1:H1830&lt;&gt;""""))))-1), IF('To Order'!$A1831=COL"&amp;"UMNS($A1831:H1850), H1830&amp;RIGHT(INDIRECT(ADDRESS(ROW(H1831)-1, 'From Order'!$A1831)), 1), H1830))"),"")</f>
        <v/>
      </c>
      <c r="I1831" s="2" t="str">
        <f>IFERROR(__xludf.DUMMYFUNCTION("IF('From Order'!$A1831=COLUMNS($A1831:I1850), LEFT(INDEX(FILTER(I$1:I1830, I$1:I1830&lt;&gt;""""),COUNTA(FILTER(I$1:I1830, I$1:I1830&lt;&gt;""""))), LEN(INDEX(FILTER(I$1:I1830, I$1:I1830&lt;&gt;""""),COUNTA(FILTER(I$1:I1830, I$1:I1830&lt;&gt;""""))))-1), IF('To Order'!$A1831=COL"&amp;"UMNS($A1831:I1850), I1830&amp;RIGHT(INDIRECT(ADDRESS(ROW(I1831)-1, 'From Order'!$A1831)), 1), I1830))"),"")</f>
        <v/>
      </c>
    </row>
    <row r="1832">
      <c r="A1832" s="2" t="str">
        <f>IFERROR(__xludf.DUMMYFUNCTION("IF('From Order'!$A1832=COLUMNS($A1832:A1851), LEFT(INDEX(FILTER(A$1:A1831, A$1:A1831&lt;&gt;""""),COUNTA(FILTER(A$1:A1831, A$1:A1831&lt;&gt;""""))), LEN(INDEX(FILTER(A$1:A1831, A$1:A1831&lt;&gt;""""),COUNTA(FILTER(A$1:A1831, A$1:A1831&lt;&gt;""""))))-1), IF('To Order'!$A1832=COL"&amp;"UMNS($A1832:A1851), A1831&amp;RIGHT(INDIRECT(ADDRESS(ROW(A1832)-1, 'From Order'!$A1832)), 1), A1831))"),"ZHZMTD")</f>
        <v>ZHZMTD</v>
      </c>
      <c r="B1832" s="2" t="str">
        <f>IFERROR(__xludf.DUMMYFUNCTION("IF('From Order'!$A1832=COLUMNS($A1832:B1851), LEFT(INDEX(FILTER(B$1:B1831, B$1:B1831&lt;&gt;""""),COUNTA(FILTER(B$1:B1831, B$1:B1831&lt;&gt;""""))), LEN(INDEX(FILTER(B$1:B1831, B$1:B1831&lt;&gt;""""),COUNTA(FILTER(B$1:B1831, B$1:B1831&lt;&gt;""""))))-1), IF('To Order'!$A1832=COL"&amp;"UMNS($A1832:B1851), B1831&amp;RIGHT(INDIRECT(ADDRESS(ROW(B1832)-1, 'From Order'!$A1832)), 1), B1831))"),"GTTJ")</f>
        <v>GTTJ</v>
      </c>
      <c r="C1832" s="2" t="str">
        <f>IFERROR(__xludf.DUMMYFUNCTION("IF('From Order'!$A1832=COLUMNS($A1832:C1851), LEFT(INDEX(FILTER(C$1:C1831, C$1:C1831&lt;&gt;""""),COUNTA(FILTER(C$1:C1831, C$1:C1831&lt;&gt;""""))), LEN(INDEX(FILTER(C$1:C1831, C$1:C1831&lt;&gt;""""),COUNTA(FILTER(C$1:C1831, C$1:C1831&lt;&gt;""""))))-1), IF('To Order'!$A1832=COL"&amp;"UMNS($A1832:C1851), C1831&amp;RIGHT(INDIRECT(ADDRESS(ROW(C1832)-1, 'From Order'!$A1832)), 1), C1831))"),"")</f>
        <v/>
      </c>
      <c r="D1832" s="2" t="str">
        <f>IFERROR(__xludf.DUMMYFUNCTION("IF('From Order'!$A1832=COLUMNS($A1832:D1851), LEFT(INDEX(FILTER(D$1:D1831, D$1:D1831&lt;&gt;""""),COUNTA(FILTER(D$1:D1831, D$1:D1831&lt;&gt;""""))), LEN(INDEX(FILTER(D$1:D1831, D$1:D1831&lt;&gt;""""),COUNTA(FILTER(D$1:D1831, D$1:D1831&lt;&gt;""""))))-1), IF('To Order'!$A1832=COL"&amp;"UMNS($A1832:D1851), D1831&amp;RIGHT(INDIRECT(ADDRESS(ROW(D1832)-1, 'From Order'!$A1832)), 1), D1831))"),"RB")</f>
        <v>RB</v>
      </c>
      <c r="E1832" s="2" t="str">
        <f>IFERROR(__xludf.DUMMYFUNCTION("IF('From Order'!$A1832=COLUMNS($A1832:E1851), LEFT(INDEX(FILTER(E$1:E1831, E$1:E1831&lt;&gt;""""),COUNTA(FILTER(E$1:E1831, E$1:E1831&lt;&gt;""""))), LEN(INDEX(FILTER(E$1:E1831, E$1:E1831&lt;&gt;""""),COUNTA(FILTER(E$1:E1831, E$1:E1831&lt;&gt;""""))))-1), IF('To Order'!$A1832=COL"&amp;"UMNS($A1832:E1851), E1831&amp;RIGHT(INDIRECT(ADDRESS(ROW(E1832)-1, 'From Order'!$A1832)), 1), E1831))"),"CQTRTCVDRGBHFSCZWTSSPPJQVDDWLLF")</f>
        <v>CQTRTCVDRGBHFSCZWTSSPPJQVDDWLLF</v>
      </c>
      <c r="F1832" s="2" t="str">
        <f>IFERROR(__xludf.DUMMYFUNCTION("IF('From Order'!$A1832=COLUMNS($A1832:F1851), LEFT(INDEX(FILTER(F$1:F1831, F$1:F1831&lt;&gt;""""),COUNTA(FILTER(F$1:F1831, F$1:F1831&lt;&gt;""""))), LEN(INDEX(FILTER(F$1:F1831, F$1:F1831&lt;&gt;""""),COUNTA(FILTER(F$1:F1831, F$1:F1831&lt;&gt;""""))))-1), IF('To Order'!$A1832=COL"&amp;"UMNS($A1832:F1851), F1831&amp;RIGHT(INDIRECT(ADDRESS(ROW(F1832)-1, 'From Order'!$A1832)), 1), F1831))"),"LDSPB")</f>
        <v>LDSPB</v>
      </c>
      <c r="G1832" s="2" t="str">
        <f>IFERROR(__xludf.DUMMYFUNCTION("IF('From Order'!$A1832=COLUMNS($A1832:G1851), LEFT(INDEX(FILTER(G$1:G1831, G$1:G1831&lt;&gt;""""),COUNTA(FILTER(G$1:G1831, G$1:G1831&lt;&gt;""""))), LEN(INDEX(FILTER(G$1:G1831, G$1:G1831&lt;&gt;""""),COUNTA(FILTER(G$1:G1831, G$1:G1831&lt;&gt;""""))))-1), IF('To Order'!$A1832=COL"&amp;"UMNS($A1832:G1851), G1831&amp;RIGHT(INDIRECT(ADDRESS(ROW(G1832)-1, 'From Order'!$A1832)), 1), G1831))"),"MDJMBVRR")</f>
        <v>MDJMBVRR</v>
      </c>
      <c r="H1832" s="2" t="str">
        <f>IFERROR(__xludf.DUMMYFUNCTION("IF('From Order'!$A1832=COLUMNS($A1832:H1851), LEFT(INDEX(FILTER(H$1:H1831, H$1:H1831&lt;&gt;""""),COUNTA(FILTER(H$1:H1831, H$1:H1831&lt;&gt;""""))), LEN(INDEX(FILTER(H$1:H1831, H$1:H1831&lt;&gt;""""),COUNTA(FILTER(H$1:H1831, H$1:H1831&lt;&gt;""""))))-1), IF('To Order'!$A1832=COL"&amp;"UMNS($A1832:H1851), H1831&amp;RIGHT(INDIRECT(ADDRESS(ROW(H1832)-1, 'From Order'!$A1832)), 1), H1831))"),"")</f>
        <v/>
      </c>
      <c r="I1832" s="2" t="str">
        <f>IFERROR(__xludf.DUMMYFUNCTION("IF('From Order'!$A1832=COLUMNS($A1832:I1851), LEFT(INDEX(FILTER(I$1:I1831, I$1:I1831&lt;&gt;""""),COUNTA(FILTER(I$1:I1831, I$1:I1831&lt;&gt;""""))), LEN(INDEX(FILTER(I$1:I1831, I$1:I1831&lt;&gt;""""),COUNTA(FILTER(I$1:I1831, I$1:I1831&lt;&gt;""""))))-1), IF('To Order'!$A1832=COL"&amp;"UMNS($A1832:I1851), I1831&amp;RIGHT(INDIRECT(ADDRESS(ROW(I1832)-1, 'From Order'!$A1832)), 1), I1831))"),"")</f>
        <v/>
      </c>
    </row>
    <row r="1833">
      <c r="A1833" s="2" t="str">
        <f>IFERROR(__xludf.DUMMYFUNCTION("IF('From Order'!$A1833=COLUMNS($A1833:A1852), LEFT(INDEX(FILTER(A$1:A1832, A$1:A1832&lt;&gt;""""),COUNTA(FILTER(A$1:A1832, A$1:A1832&lt;&gt;""""))), LEN(INDEX(FILTER(A$1:A1832, A$1:A1832&lt;&gt;""""),COUNTA(FILTER(A$1:A1832, A$1:A1832&lt;&gt;""""))))-1), IF('To Order'!$A1833=COL"&amp;"UMNS($A1833:A1852), A1832&amp;RIGHT(INDIRECT(ADDRESS(ROW(A1833)-1, 'From Order'!$A1833)), 1), A1832))"),"ZHZMTD")</f>
        <v>ZHZMTD</v>
      </c>
      <c r="B1833" s="2" t="str">
        <f>IFERROR(__xludf.DUMMYFUNCTION("IF('From Order'!$A1833=COLUMNS($A1833:B1852), LEFT(INDEX(FILTER(B$1:B1832, B$1:B1832&lt;&gt;""""),COUNTA(FILTER(B$1:B1832, B$1:B1832&lt;&gt;""""))), LEN(INDEX(FILTER(B$1:B1832, B$1:B1832&lt;&gt;""""),COUNTA(FILTER(B$1:B1832, B$1:B1832&lt;&gt;""""))))-1), IF('To Order'!$A1833=COL"&amp;"UMNS($A1833:B1852), B1832&amp;RIGHT(INDIRECT(ADDRESS(ROW(B1833)-1, 'From Order'!$A1833)), 1), B1832))"),"GTTJ")</f>
        <v>GTTJ</v>
      </c>
      <c r="C1833" s="2" t="str">
        <f>IFERROR(__xludf.DUMMYFUNCTION("IF('From Order'!$A1833=COLUMNS($A1833:C1852), LEFT(INDEX(FILTER(C$1:C1832, C$1:C1832&lt;&gt;""""),COUNTA(FILTER(C$1:C1832, C$1:C1832&lt;&gt;""""))), LEN(INDEX(FILTER(C$1:C1832, C$1:C1832&lt;&gt;""""),COUNTA(FILTER(C$1:C1832, C$1:C1832&lt;&gt;""""))))-1), IF('To Order'!$A1833=COL"&amp;"UMNS($A1833:C1852), C1832&amp;RIGHT(INDIRECT(ADDRESS(ROW(C1833)-1, 'From Order'!$A1833)), 1), C1832))"),"")</f>
        <v/>
      </c>
      <c r="D1833" s="2" t="str">
        <f>IFERROR(__xludf.DUMMYFUNCTION("IF('From Order'!$A1833=COLUMNS($A1833:D1852), LEFT(INDEX(FILTER(D$1:D1832, D$1:D1832&lt;&gt;""""),COUNTA(FILTER(D$1:D1832, D$1:D1832&lt;&gt;""""))), LEN(INDEX(FILTER(D$1:D1832, D$1:D1832&lt;&gt;""""),COUNTA(FILTER(D$1:D1832, D$1:D1832&lt;&gt;""""))))-1), IF('To Order'!$A1833=COL"&amp;"UMNS($A1833:D1852), D1832&amp;RIGHT(INDIRECT(ADDRESS(ROW(D1833)-1, 'From Order'!$A1833)), 1), D1832))"),"RB")</f>
        <v>RB</v>
      </c>
      <c r="E1833" s="2" t="str">
        <f>IFERROR(__xludf.DUMMYFUNCTION("IF('From Order'!$A1833=COLUMNS($A1833:E1852), LEFT(INDEX(FILTER(E$1:E1832, E$1:E1832&lt;&gt;""""),COUNTA(FILTER(E$1:E1832, E$1:E1832&lt;&gt;""""))), LEN(INDEX(FILTER(E$1:E1832, E$1:E1832&lt;&gt;""""),COUNTA(FILTER(E$1:E1832, E$1:E1832&lt;&gt;""""))))-1), IF('To Order'!$A1833=COL"&amp;"UMNS($A1833:E1852), E1832&amp;RIGHT(INDIRECT(ADDRESS(ROW(E1833)-1, 'From Order'!$A1833)), 1), E1832))"),"CQTRTCVDRGBHFSCZWTSSPPJQVDDWLL")</f>
        <v>CQTRTCVDRGBHFSCZWTSSPPJQVDDWLL</v>
      </c>
      <c r="F1833" s="2" t="str">
        <f>IFERROR(__xludf.DUMMYFUNCTION("IF('From Order'!$A1833=COLUMNS($A1833:F1852), LEFT(INDEX(FILTER(F$1:F1832, F$1:F1832&lt;&gt;""""),COUNTA(FILTER(F$1:F1832, F$1:F1832&lt;&gt;""""))), LEN(INDEX(FILTER(F$1:F1832, F$1:F1832&lt;&gt;""""),COUNTA(FILTER(F$1:F1832, F$1:F1832&lt;&gt;""""))))-1), IF('To Order'!$A1833=COL"&amp;"UMNS($A1833:F1852), F1832&amp;RIGHT(INDIRECT(ADDRESS(ROW(F1833)-1, 'From Order'!$A1833)), 1), F1832))"),"LDSPBF")</f>
        <v>LDSPBF</v>
      </c>
      <c r="G1833" s="2" t="str">
        <f>IFERROR(__xludf.DUMMYFUNCTION("IF('From Order'!$A1833=COLUMNS($A1833:G1852), LEFT(INDEX(FILTER(G$1:G1832, G$1:G1832&lt;&gt;""""),COUNTA(FILTER(G$1:G1832, G$1:G1832&lt;&gt;""""))), LEN(INDEX(FILTER(G$1:G1832, G$1:G1832&lt;&gt;""""),COUNTA(FILTER(G$1:G1832, G$1:G1832&lt;&gt;""""))))-1), IF('To Order'!$A1833=COL"&amp;"UMNS($A1833:G1852), G1832&amp;RIGHT(INDIRECT(ADDRESS(ROW(G1833)-1, 'From Order'!$A1833)), 1), G1832))"),"MDJMBVRR")</f>
        <v>MDJMBVRR</v>
      </c>
      <c r="H1833" s="2" t="str">
        <f>IFERROR(__xludf.DUMMYFUNCTION("IF('From Order'!$A1833=COLUMNS($A1833:H1852), LEFT(INDEX(FILTER(H$1:H1832, H$1:H1832&lt;&gt;""""),COUNTA(FILTER(H$1:H1832, H$1:H1832&lt;&gt;""""))), LEN(INDEX(FILTER(H$1:H1832, H$1:H1832&lt;&gt;""""),COUNTA(FILTER(H$1:H1832, H$1:H1832&lt;&gt;""""))))-1), IF('To Order'!$A1833=COL"&amp;"UMNS($A1833:H1852), H1832&amp;RIGHT(INDIRECT(ADDRESS(ROW(H1833)-1, 'From Order'!$A1833)), 1), H1832))"),"")</f>
        <v/>
      </c>
      <c r="I1833" s="2" t="str">
        <f>IFERROR(__xludf.DUMMYFUNCTION("IF('From Order'!$A1833=COLUMNS($A1833:I1852), LEFT(INDEX(FILTER(I$1:I1832, I$1:I1832&lt;&gt;""""),COUNTA(FILTER(I$1:I1832, I$1:I1832&lt;&gt;""""))), LEN(INDEX(FILTER(I$1:I1832, I$1:I1832&lt;&gt;""""),COUNTA(FILTER(I$1:I1832, I$1:I1832&lt;&gt;""""))))-1), IF('To Order'!$A1833=COL"&amp;"UMNS($A1833:I1852), I1832&amp;RIGHT(INDIRECT(ADDRESS(ROW(I1833)-1, 'From Order'!$A1833)), 1), I1832))"),"")</f>
        <v/>
      </c>
    </row>
    <row r="1834">
      <c r="A1834" s="2" t="str">
        <f>IFERROR(__xludf.DUMMYFUNCTION("IF('From Order'!$A1834=COLUMNS($A1834:A1853), LEFT(INDEX(FILTER(A$1:A1833, A$1:A1833&lt;&gt;""""),COUNTA(FILTER(A$1:A1833, A$1:A1833&lt;&gt;""""))), LEN(INDEX(FILTER(A$1:A1833, A$1:A1833&lt;&gt;""""),COUNTA(FILTER(A$1:A1833, A$1:A1833&lt;&gt;""""))))-1), IF('To Order'!$A1834=COL"&amp;"UMNS($A1834:A1853), A1833&amp;RIGHT(INDIRECT(ADDRESS(ROW(A1834)-1, 'From Order'!$A1834)), 1), A1833))"),"ZHZMTD")</f>
        <v>ZHZMTD</v>
      </c>
      <c r="B1834" s="2" t="str">
        <f>IFERROR(__xludf.DUMMYFUNCTION("IF('From Order'!$A1834=COLUMNS($A1834:B1853), LEFT(INDEX(FILTER(B$1:B1833, B$1:B1833&lt;&gt;""""),COUNTA(FILTER(B$1:B1833, B$1:B1833&lt;&gt;""""))), LEN(INDEX(FILTER(B$1:B1833, B$1:B1833&lt;&gt;""""),COUNTA(FILTER(B$1:B1833, B$1:B1833&lt;&gt;""""))))-1), IF('To Order'!$A1834=COL"&amp;"UMNS($A1834:B1853), B1833&amp;RIGHT(INDIRECT(ADDRESS(ROW(B1834)-1, 'From Order'!$A1834)), 1), B1833))"),"GTTJ")</f>
        <v>GTTJ</v>
      </c>
      <c r="C1834" s="2" t="str">
        <f>IFERROR(__xludf.DUMMYFUNCTION("IF('From Order'!$A1834=COLUMNS($A1834:C1853), LEFT(INDEX(FILTER(C$1:C1833, C$1:C1833&lt;&gt;""""),COUNTA(FILTER(C$1:C1833, C$1:C1833&lt;&gt;""""))), LEN(INDEX(FILTER(C$1:C1833, C$1:C1833&lt;&gt;""""),COUNTA(FILTER(C$1:C1833, C$1:C1833&lt;&gt;""""))))-1), IF('To Order'!$A1834=COL"&amp;"UMNS($A1834:C1853), C1833&amp;RIGHT(INDIRECT(ADDRESS(ROW(C1834)-1, 'From Order'!$A1834)), 1), C1833))"),"")</f>
        <v/>
      </c>
      <c r="D1834" s="2" t="str">
        <f>IFERROR(__xludf.DUMMYFUNCTION("IF('From Order'!$A1834=COLUMNS($A1834:D1853), LEFT(INDEX(FILTER(D$1:D1833, D$1:D1833&lt;&gt;""""),COUNTA(FILTER(D$1:D1833, D$1:D1833&lt;&gt;""""))), LEN(INDEX(FILTER(D$1:D1833, D$1:D1833&lt;&gt;""""),COUNTA(FILTER(D$1:D1833, D$1:D1833&lt;&gt;""""))))-1), IF('To Order'!$A1834=COL"&amp;"UMNS($A1834:D1853), D1833&amp;RIGHT(INDIRECT(ADDRESS(ROW(D1834)-1, 'From Order'!$A1834)), 1), D1833))"),"RB")</f>
        <v>RB</v>
      </c>
      <c r="E1834" s="2" t="str">
        <f>IFERROR(__xludf.DUMMYFUNCTION("IF('From Order'!$A1834=COLUMNS($A1834:E1853), LEFT(INDEX(FILTER(E$1:E1833, E$1:E1833&lt;&gt;""""),COUNTA(FILTER(E$1:E1833, E$1:E1833&lt;&gt;""""))), LEN(INDEX(FILTER(E$1:E1833, E$1:E1833&lt;&gt;""""),COUNTA(FILTER(E$1:E1833, E$1:E1833&lt;&gt;""""))))-1), IF('To Order'!$A1834=COL"&amp;"UMNS($A1834:E1853), E1833&amp;RIGHT(INDIRECT(ADDRESS(ROW(E1834)-1, 'From Order'!$A1834)), 1), E1833))"),"CQTRTCVDRGBHFSCZWTSSPPJQVDDWL")</f>
        <v>CQTRTCVDRGBHFSCZWTSSPPJQVDDWL</v>
      </c>
      <c r="F1834" s="2" t="str">
        <f>IFERROR(__xludf.DUMMYFUNCTION("IF('From Order'!$A1834=COLUMNS($A1834:F1853), LEFT(INDEX(FILTER(F$1:F1833, F$1:F1833&lt;&gt;""""),COUNTA(FILTER(F$1:F1833, F$1:F1833&lt;&gt;""""))), LEN(INDEX(FILTER(F$1:F1833, F$1:F1833&lt;&gt;""""),COUNTA(FILTER(F$1:F1833, F$1:F1833&lt;&gt;""""))))-1), IF('To Order'!$A1834=COL"&amp;"UMNS($A1834:F1853), F1833&amp;RIGHT(INDIRECT(ADDRESS(ROW(F1834)-1, 'From Order'!$A1834)), 1), F1833))"),"LDSPBFL")</f>
        <v>LDSPBFL</v>
      </c>
      <c r="G1834" s="2" t="str">
        <f>IFERROR(__xludf.DUMMYFUNCTION("IF('From Order'!$A1834=COLUMNS($A1834:G1853), LEFT(INDEX(FILTER(G$1:G1833, G$1:G1833&lt;&gt;""""),COUNTA(FILTER(G$1:G1833, G$1:G1833&lt;&gt;""""))), LEN(INDEX(FILTER(G$1:G1833, G$1:G1833&lt;&gt;""""),COUNTA(FILTER(G$1:G1833, G$1:G1833&lt;&gt;""""))))-1), IF('To Order'!$A1834=COL"&amp;"UMNS($A1834:G1853), G1833&amp;RIGHT(INDIRECT(ADDRESS(ROW(G1834)-1, 'From Order'!$A1834)), 1), G1833))"),"MDJMBVRR")</f>
        <v>MDJMBVRR</v>
      </c>
      <c r="H1834" s="2" t="str">
        <f>IFERROR(__xludf.DUMMYFUNCTION("IF('From Order'!$A1834=COLUMNS($A1834:H1853), LEFT(INDEX(FILTER(H$1:H1833, H$1:H1833&lt;&gt;""""),COUNTA(FILTER(H$1:H1833, H$1:H1833&lt;&gt;""""))), LEN(INDEX(FILTER(H$1:H1833, H$1:H1833&lt;&gt;""""),COUNTA(FILTER(H$1:H1833, H$1:H1833&lt;&gt;""""))))-1), IF('To Order'!$A1834=COL"&amp;"UMNS($A1834:H1853), H1833&amp;RIGHT(INDIRECT(ADDRESS(ROW(H1834)-1, 'From Order'!$A1834)), 1), H1833))"),"")</f>
        <v/>
      </c>
      <c r="I1834" s="2" t="str">
        <f>IFERROR(__xludf.DUMMYFUNCTION("IF('From Order'!$A1834=COLUMNS($A1834:I1853), LEFT(INDEX(FILTER(I$1:I1833, I$1:I1833&lt;&gt;""""),COUNTA(FILTER(I$1:I1833, I$1:I1833&lt;&gt;""""))), LEN(INDEX(FILTER(I$1:I1833, I$1:I1833&lt;&gt;""""),COUNTA(FILTER(I$1:I1833, I$1:I1833&lt;&gt;""""))))-1), IF('To Order'!$A1834=COL"&amp;"UMNS($A1834:I1853), I1833&amp;RIGHT(INDIRECT(ADDRESS(ROW(I1834)-1, 'From Order'!$A1834)), 1), I1833))"),"")</f>
        <v/>
      </c>
    </row>
    <row r="1835">
      <c r="A1835" s="2" t="str">
        <f>IFERROR(__xludf.DUMMYFUNCTION("IF('From Order'!$A1835=COLUMNS($A1835:A1854), LEFT(INDEX(FILTER(A$1:A1834, A$1:A1834&lt;&gt;""""),COUNTA(FILTER(A$1:A1834, A$1:A1834&lt;&gt;""""))), LEN(INDEX(FILTER(A$1:A1834, A$1:A1834&lt;&gt;""""),COUNTA(FILTER(A$1:A1834, A$1:A1834&lt;&gt;""""))))-1), IF('To Order'!$A1835=COL"&amp;"UMNS($A1835:A1854), A1834&amp;RIGHT(INDIRECT(ADDRESS(ROW(A1835)-1, 'From Order'!$A1835)), 1), A1834))"),"ZHZMTD")</f>
        <v>ZHZMTD</v>
      </c>
      <c r="B1835" s="2" t="str">
        <f>IFERROR(__xludf.DUMMYFUNCTION("IF('From Order'!$A1835=COLUMNS($A1835:B1854), LEFT(INDEX(FILTER(B$1:B1834, B$1:B1834&lt;&gt;""""),COUNTA(FILTER(B$1:B1834, B$1:B1834&lt;&gt;""""))), LEN(INDEX(FILTER(B$1:B1834, B$1:B1834&lt;&gt;""""),COUNTA(FILTER(B$1:B1834, B$1:B1834&lt;&gt;""""))))-1), IF('To Order'!$A1835=COL"&amp;"UMNS($A1835:B1854), B1834&amp;RIGHT(INDIRECT(ADDRESS(ROW(B1835)-1, 'From Order'!$A1835)), 1), B1834))"),"GTTJ")</f>
        <v>GTTJ</v>
      </c>
      <c r="C1835" s="2" t="str">
        <f>IFERROR(__xludf.DUMMYFUNCTION("IF('From Order'!$A1835=COLUMNS($A1835:C1854), LEFT(INDEX(FILTER(C$1:C1834, C$1:C1834&lt;&gt;""""),COUNTA(FILTER(C$1:C1834, C$1:C1834&lt;&gt;""""))), LEN(INDEX(FILTER(C$1:C1834, C$1:C1834&lt;&gt;""""),COUNTA(FILTER(C$1:C1834, C$1:C1834&lt;&gt;""""))))-1), IF('To Order'!$A1835=COL"&amp;"UMNS($A1835:C1854), C1834&amp;RIGHT(INDIRECT(ADDRESS(ROW(C1835)-1, 'From Order'!$A1835)), 1), C1834))"),"")</f>
        <v/>
      </c>
      <c r="D1835" s="2" t="str">
        <f>IFERROR(__xludf.DUMMYFUNCTION("IF('From Order'!$A1835=COLUMNS($A1835:D1854), LEFT(INDEX(FILTER(D$1:D1834, D$1:D1834&lt;&gt;""""),COUNTA(FILTER(D$1:D1834, D$1:D1834&lt;&gt;""""))), LEN(INDEX(FILTER(D$1:D1834, D$1:D1834&lt;&gt;""""),COUNTA(FILTER(D$1:D1834, D$1:D1834&lt;&gt;""""))))-1), IF('To Order'!$A1835=COL"&amp;"UMNS($A1835:D1854), D1834&amp;RIGHT(INDIRECT(ADDRESS(ROW(D1835)-1, 'From Order'!$A1835)), 1), D1834))"),"RB")</f>
        <v>RB</v>
      </c>
      <c r="E1835" s="2" t="str">
        <f>IFERROR(__xludf.DUMMYFUNCTION("IF('From Order'!$A1835=COLUMNS($A1835:E1854), LEFT(INDEX(FILTER(E$1:E1834, E$1:E1834&lt;&gt;""""),COUNTA(FILTER(E$1:E1834, E$1:E1834&lt;&gt;""""))), LEN(INDEX(FILTER(E$1:E1834, E$1:E1834&lt;&gt;""""),COUNTA(FILTER(E$1:E1834, E$1:E1834&lt;&gt;""""))))-1), IF('To Order'!$A1835=COL"&amp;"UMNS($A1835:E1854), E1834&amp;RIGHT(INDIRECT(ADDRESS(ROW(E1835)-1, 'From Order'!$A1835)), 1), E1834))"),"CQTRTCVDRGBHFSCZWTSSPPJQVDDW")</f>
        <v>CQTRTCVDRGBHFSCZWTSSPPJQVDDW</v>
      </c>
      <c r="F1835" s="2" t="str">
        <f>IFERROR(__xludf.DUMMYFUNCTION("IF('From Order'!$A1835=COLUMNS($A1835:F1854), LEFT(INDEX(FILTER(F$1:F1834, F$1:F1834&lt;&gt;""""),COUNTA(FILTER(F$1:F1834, F$1:F1834&lt;&gt;""""))), LEN(INDEX(FILTER(F$1:F1834, F$1:F1834&lt;&gt;""""),COUNTA(FILTER(F$1:F1834, F$1:F1834&lt;&gt;""""))))-1), IF('To Order'!$A1835=COL"&amp;"UMNS($A1835:F1854), F1834&amp;RIGHT(INDIRECT(ADDRESS(ROW(F1835)-1, 'From Order'!$A1835)), 1), F1834))"),"LDSPBFLL")</f>
        <v>LDSPBFLL</v>
      </c>
      <c r="G1835" s="2" t="str">
        <f>IFERROR(__xludf.DUMMYFUNCTION("IF('From Order'!$A1835=COLUMNS($A1835:G1854), LEFT(INDEX(FILTER(G$1:G1834, G$1:G1834&lt;&gt;""""),COUNTA(FILTER(G$1:G1834, G$1:G1834&lt;&gt;""""))), LEN(INDEX(FILTER(G$1:G1834, G$1:G1834&lt;&gt;""""),COUNTA(FILTER(G$1:G1834, G$1:G1834&lt;&gt;""""))))-1), IF('To Order'!$A1835=COL"&amp;"UMNS($A1835:G1854), G1834&amp;RIGHT(INDIRECT(ADDRESS(ROW(G1835)-1, 'From Order'!$A1835)), 1), G1834))"),"MDJMBVRR")</f>
        <v>MDJMBVRR</v>
      </c>
      <c r="H1835" s="2" t="str">
        <f>IFERROR(__xludf.DUMMYFUNCTION("IF('From Order'!$A1835=COLUMNS($A1835:H1854), LEFT(INDEX(FILTER(H$1:H1834, H$1:H1834&lt;&gt;""""),COUNTA(FILTER(H$1:H1834, H$1:H1834&lt;&gt;""""))), LEN(INDEX(FILTER(H$1:H1834, H$1:H1834&lt;&gt;""""),COUNTA(FILTER(H$1:H1834, H$1:H1834&lt;&gt;""""))))-1), IF('To Order'!$A1835=COL"&amp;"UMNS($A1835:H1854), H1834&amp;RIGHT(INDIRECT(ADDRESS(ROW(H1835)-1, 'From Order'!$A1835)), 1), H1834))"),"")</f>
        <v/>
      </c>
      <c r="I1835" s="2" t="str">
        <f>IFERROR(__xludf.DUMMYFUNCTION("IF('From Order'!$A1835=COLUMNS($A1835:I1854), LEFT(INDEX(FILTER(I$1:I1834, I$1:I1834&lt;&gt;""""),COUNTA(FILTER(I$1:I1834, I$1:I1834&lt;&gt;""""))), LEN(INDEX(FILTER(I$1:I1834, I$1:I1834&lt;&gt;""""),COUNTA(FILTER(I$1:I1834, I$1:I1834&lt;&gt;""""))))-1), IF('To Order'!$A1835=COL"&amp;"UMNS($A1835:I1854), I1834&amp;RIGHT(INDIRECT(ADDRESS(ROW(I1835)-1, 'From Order'!$A1835)), 1), I1834))"),"")</f>
        <v/>
      </c>
    </row>
    <row r="1836">
      <c r="A1836" s="2" t="str">
        <f>IFERROR(__xludf.DUMMYFUNCTION("IF('From Order'!$A1836=COLUMNS($A1836:A1855), LEFT(INDEX(FILTER(A$1:A1835, A$1:A1835&lt;&gt;""""),COUNTA(FILTER(A$1:A1835, A$1:A1835&lt;&gt;""""))), LEN(INDEX(FILTER(A$1:A1835, A$1:A1835&lt;&gt;""""),COUNTA(FILTER(A$1:A1835, A$1:A1835&lt;&gt;""""))))-1), IF('To Order'!$A1836=COL"&amp;"UMNS($A1836:A1855), A1835&amp;RIGHT(INDIRECT(ADDRESS(ROW(A1836)-1, 'From Order'!$A1836)), 1), A1835))"),"ZHZMTD")</f>
        <v>ZHZMTD</v>
      </c>
      <c r="B1836" s="2" t="str">
        <f>IFERROR(__xludf.DUMMYFUNCTION("IF('From Order'!$A1836=COLUMNS($A1836:B1855), LEFT(INDEX(FILTER(B$1:B1835, B$1:B1835&lt;&gt;""""),COUNTA(FILTER(B$1:B1835, B$1:B1835&lt;&gt;""""))), LEN(INDEX(FILTER(B$1:B1835, B$1:B1835&lt;&gt;""""),COUNTA(FILTER(B$1:B1835, B$1:B1835&lt;&gt;""""))))-1), IF('To Order'!$A1836=COL"&amp;"UMNS($A1836:B1855), B1835&amp;RIGHT(INDIRECT(ADDRESS(ROW(B1836)-1, 'From Order'!$A1836)), 1), B1835))"),"GTTJ")</f>
        <v>GTTJ</v>
      </c>
      <c r="C1836" s="2" t="str">
        <f>IFERROR(__xludf.DUMMYFUNCTION("IF('From Order'!$A1836=COLUMNS($A1836:C1855), LEFT(INDEX(FILTER(C$1:C1835, C$1:C1835&lt;&gt;""""),COUNTA(FILTER(C$1:C1835, C$1:C1835&lt;&gt;""""))), LEN(INDEX(FILTER(C$1:C1835, C$1:C1835&lt;&gt;""""),COUNTA(FILTER(C$1:C1835, C$1:C1835&lt;&gt;""""))))-1), IF('To Order'!$A1836=COL"&amp;"UMNS($A1836:C1855), C1835&amp;RIGHT(INDIRECT(ADDRESS(ROW(C1836)-1, 'From Order'!$A1836)), 1), C1835))"),"")</f>
        <v/>
      </c>
      <c r="D1836" s="2" t="str">
        <f>IFERROR(__xludf.DUMMYFUNCTION("IF('From Order'!$A1836=COLUMNS($A1836:D1855), LEFT(INDEX(FILTER(D$1:D1835, D$1:D1835&lt;&gt;""""),COUNTA(FILTER(D$1:D1835, D$1:D1835&lt;&gt;""""))), LEN(INDEX(FILTER(D$1:D1835, D$1:D1835&lt;&gt;""""),COUNTA(FILTER(D$1:D1835, D$1:D1835&lt;&gt;""""))))-1), IF('To Order'!$A1836=COL"&amp;"UMNS($A1836:D1855), D1835&amp;RIGHT(INDIRECT(ADDRESS(ROW(D1836)-1, 'From Order'!$A1836)), 1), D1835))"),"RB")</f>
        <v>RB</v>
      </c>
      <c r="E1836" s="2" t="str">
        <f>IFERROR(__xludf.DUMMYFUNCTION("IF('From Order'!$A1836=COLUMNS($A1836:E1855), LEFT(INDEX(FILTER(E$1:E1835, E$1:E1835&lt;&gt;""""),COUNTA(FILTER(E$1:E1835, E$1:E1835&lt;&gt;""""))), LEN(INDEX(FILTER(E$1:E1835, E$1:E1835&lt;&gt;""""),COUNTA(FILTER(E$1:E1835, E$1:E1835&lt;&gt;""""))))-1), IF('To Order'!$A1836=COL"&amp;"UMNS($A1836:E1855), E1835&amp;RIGHT(INDIRECT(ADDRESS(ROW(E1836)-1, 'From Order'!$A1836)), 1), E1835))"),"CQTRTCVDRGBHFSCZWTSSPPJQVDD")</f>
        <v>CQTRTCVDRGBHFSCZWTSSPPJQVDD</v>
      </c>
      <c r="F1836" s="2" t="str">
        <f>IFERROR(__xludf.DUMMYFUNCTION("IF('From Order'!$A1836=COLUMNS($A1836:F1855), LEFT(INDEX(FILTER(F$1:F1835, F$1:F1835&lt;&gt;""""),COUNTA(FILTER(F$1:F1835, F$1:F1835&lt;&gt;""""))), LEN(INDEX(FILTER(F$1:F1835, F$1:F1835&lt;&gt;""""),COUNTA(FILTER(F$1:F1835, F$1:F1835&lt;&gt;""""))))-1), IF('To Order'!$A1836=COL"&amp;"UMNS($A1836:F1855), F1835&amp;RIGHT(INDIRECT(ADDRESS(ROW(F1836)-1, 'From Order'!$A1836)), 1), F1835))"),"LDSPBFLLW")</f>
        <v>LDSPBFLLW</v>
      </c>
      <c r="G1836" s="2" t="str">
        <f>IFERROR(__xludf.DUMMYFUNCTION("IF('From Order'!$A1836=COLUMNS($A1836:G1855), LEFT(INDEX(FILTER(G$1:G1835, G$1:G1835&lt;&gt;""""),COUNTA(FILTER(G$1:G1835, G$1:G1835&lt;&gt;""""))), LEN(INDEX(FILTER(G$1:G1835, G$1:G1835&lt;&gt;""""),COUNTA(FILTER(G$1:G1835, G$1:G1835&lt;&gt;""""))))-1), IF('To Order'!$A1836=COL"&amp;"UMNS($A1836:G1855), G1835&amp;RIGHT(INDIRECT(ADDRESS(ROW(G1836)-1, 'From Order'!$A1836)), 1), G1835))"),"MDJMBVRR")</f>
        <v>MDJMBVRR</v>
      </c>
      <c r="H1836" s="2" t="str">
        <f>IFERROR(__xludf.DUMMYFUNCTION("IF('From Order'!$A1836=COLUMNS($A1836:H1855), LEFT(INDEX(FILTER(H$1:H1835, H$1:H1835&lt;&gt;""""),COUNTA(FILTER(H$1:H1835, H$1:H1835&lt;&gt;""""))), LEN(INDEX(FILTER(H$1:H1835, H$1:H1835&lt;&gt;""""),COUNTA(FILTER(H$1:H1835, H$1:H1835&lt;&gt;""""))))-1), IF('To Order'!$A1836=COL"&amp;"UMNS($A1836:H1855), H1835&amp;RIGHT(INDIRECT(ADDRESS(ROW(H1836)-1, 'From Order'!$A1836)), 1), H1835))"),"")</f>
        <v/>
      </c>
      <c r="I1836" s="2" t="str">
        <f>IFERROR(__xludf.DUMMYFUNCTION("IF('From Order'!$A1836=COLUMNS($A1836:I1855), LEFT(INDEX(FILTER(I$1:I1835, I$1:I1835&lt;&gt;""""),COUNTA(FILTER(I$1:I1835, I$1:I1835&lt;&gt;""""))), LEN(INDEX(FILTER(I$1:I1835, I$1:I1835&lt;&gt;""""),COUNTA(FILTER(I$1:I1835, I$1:I1835&lt;&gt;""""))))-1), IF('To Order'!$A1836=COL"&amp;"UMNS($A1836:I1855), I1835&amp;RIGHT(INDIRECT(ADDRESS(ROW(I1836)-1, 'From Order'!$A1836)), 1), I1835))"),"")</f>
        <v/>
      </c>
    </row>
    <row r="1837">
      <c r="A1837" s="2" t="str">
        <f>IFERROR(__xludf.DUMMYFUNCTION("IF('From Order'!$A1837=COLUMNS($A1837:A1856), LEFT(INDEX(FILTER(A$1:A1836, A$1:A1836&lt;&gt;""""),COUNTA(FILTER(A$1:A1836, A$1:A1836&lt;&gt;""""))), LEN(INDEX(FILTER(A$1:A1836, A$1:A1836&lt;&gt;""""),COUNTA(FILTER(A$1:A1836, A$1:A1836&lt;&gt;""""))))-1), IF('To Order'!$A1837=COL"&amp;"UMNS($A1837:A1856), A1836&amp;RIGHT(INDIRECT(ADDRESS(ROW(A1837)-1, 'From Order'!$A1837)), 1), A1836))"),"ZHZMTD")</f>
        <v>ZHZMTD</v>
      </c>
      <c r="B1837" s="2" t="str">
        <f>IFERROR(__xludf.DUMMYFUNCTION("IF('From Order'!$A1837=COLUMNS($A1837:B1856), LEFT(INDEX(FILTER(B$1:B1836, B$1:B1836&lt;&gt;""""),COUNTA(FILTER(B$1:B1836, B$1:B1836&lt;&gt;""""))), LEN(INDEX(FILTER(B$1:B1836, B$1:B1836&lt;&gt;""""),COUNTA(FILTER(B$1:B1836, B$1:B1836&lt;&gt;""""))))-1), IF('To Order'!$A1837=COL"&amp;"UMNS($A1837:B1856), B1836&amp;RIGHT(INDIRECT(ADDRESS(ROW(B1837)-1, 'From Order'!$A1837)), 1), B1836))"),"GTTJ")</f>
        <v>GTTJ</v>
      </c>
      <c r="C1837" s="2" t="str">
        <f>IFERROR(__xludf.DUMMYFUNCTION("IF('From Order'!$A1837=COLUMNS($A1837:C1856), LEFT(INDEX(FILTER(C$1:C1836, C$1:C1836&lt;&gt;""""),COUNTA(FILTER(C$1:C1836, C$1:C1836&lt;&gt;""""))), LEN(INDEX(FILTER(C$1:C1836, C$1:C1836&lt;&gt;""""),COUNTA(FILTER(C$1:C1836, C$1:C1836&lt;&gt;""""))))-1), IF('To Order'!$A1837=COL"&amp;"UMNS($A1837:C1856), C1836&amp;RIGHT(INDIRECT(ADDRESS(ROW(C1837)-1, 'From Order'!$A1837)), 1), C1836))"),"")</f>
        <v/>
      </c>
      <c r="D1837" s="2" t="str">
        <f>IFERROR(__xludf.DUMMYFUNCTION("IF('From Order'!$A1837=COLUMNS($A1837:D1856), LEFT(INDEX(FILTER(D$1:D1836, D$1:D1836&lt;&gt;""""),COUNTA(FILTER(D$1:D1836, D$1:D1836&lt;&gt;""""))), LEN(INDEX(FILTER(D$1:D1836, D$1:D1836&lt;&gt;""""),COUNTA(FILTER(D$1:D1836, D$1:D1836&lt;&gt;""""))))-1), IF('To Order'!$A1837=COL"&amp;"UMNS($A1837:D1856), D1836&amp;RIGHT(INDIRECT(ADDRESS(ROW(D1837)-1, 'From Order'!$A1837)), 1), D1836))"),"RB")</f>
        <v>RB</v>
      </c>
      <c r="E1837" s="2" t="str">
        <f>IFERROR(__xludf.DUMMYFUNCTION("IF('From Order'!$A1837=COLUMNS($A1837:E1856), LEFT(INDEX(FILTER(E$1:E1836, E$1:E1836&lt;&gt;""""),COUNTA(FILTER(E$1:E1836, E$1:E1836&lt;&gt;""""))), LEN(INDEX(FILTER(E$1:E1836, E$1:E1836&lt;&gt;""""),COUNTA(FILTER(E$1:E1836, E$1:E1836&lt;&gt;""""))))-1), IF('To Order'!$A1837=COL"&amp;"UMNS($A1837:E1856), E1836&amp;RIGHT(INDIRECT(ADDRESS(ROW(E1837)-1, 'From Order'!$A1837)), 1), E1836))"),"CQTRTCVDRGBHFSCZWTSSPPJQVD")</f>
        <v>CQTRTCVDRGBHFSCZWTSSPPJQVD</v>
      </c>
      <c r="F1837" s="2" t="str">
        <f>IFERROR(__xludf.DUMMYFUNCTION("IF('From Order'!$A1837=COLUMNS($A1837:F1856), LEFT(INDEX(FILTER(F$1:F1836, F$1:F1836&lt;&gt;""""),COUNTA(FILTER(F$1:F1836, F$1:F1836&lt;&gt;""""))), LEN(INDEX(FILTER(F$1:F1836, F$1:F1836&lt;&gt;""""),COUNTA(FILTER(F$1:F1836, F$1:F1836&lt;&gt;""""))))-1), IF('To Order'!$A1837=COL"&amp;"UMNS($A1837:F1856), F1836&amp;RIGHT(INDIRECT(ADDRESS(ROW(F1837)-1, 'From Order'!$A1837)), 1), F1836))"),"LDSPBFLLWD")</f>
        <v>LDSPBFLLWD</v>
      </c>
      <c r="G1837" s="2" t="str">
        <f>IFERROR(__xludf.DUMMYFUNCTION("IF('From Order'!$A1837=COLUMNS($A1837:G1856), LEFT(INDEX(FILTER(G$1:G1836, G$1:G1836&lt;&gt;""""),COUNTA(FILTER(G$1:G1836, G$1:G1836&lt;&gt;""""))), LEN(INDEX(FILTER(G$1:G1836, G$1:G1836&lt;&gt;""""),COUNTA(FILTER(G$1:G1836, G$1:G1836&lt;&gt;""""))))-1), IF('To Order'!$A1837=COL"&amp;"UMNS($A1837:G1856), G1836&amp;RIGHT(INDIRECT(ADDRESS(ROW(G1837)-1, 'From Order'!$A1837)), 1), G1836))"),"MDJMBVRR")</f>
        <v>MDJMBVRR</v>
      </c>
      <c r="H1837" s="2" t="str">
        <f>IFERROR(__xludf.DUMMYFUNCTION("IF('From Order'!$A1837=COLUMNS($A1837:H1856), LEFT(INDEX(FILTER(H$1:H1836, H$1:H1836&lt;&gt;""""),COUNTA(FILTER(H$1:H1836, H$1:H1836&lt;&gt;""""))), LEN(INDEX(FILTER(H$1:H1836, H$1:H1836&lt;&gt;""""),COUNTA(FILTER(H$1:H1836, H$1:H1836&lt;&gt;""""))))-1), IF('To Order'!$A1837=COL"&amp;"UMNS($A1837:H1856), H1836&amp;RIGHT(INDIRECT(ADDRESS(ROW(H1837)-1, 'From Order'!$A1837)), 1), H1836))"),"")</f>
        <v/>
      </c>
      <c r="I1837" s="2" t="str">
        <f>IFERROR(__xludf.DUMMYFUNCTION("IF('From Order'!$A1837=COLUMNS($A1837:I1856), LEFT(INDEX(FILTER(I$1:I1836, I$1:I1836&lt;&gt;""""),COUNTA(FILTER(I$1:I1836, I$1:I1836&lt;&gt;""""))), LEN(INDEX(FILTER(I$1:I1836, I$1:I1836&lt;&gt;""""),COUNTA(FILTER(I$1:I1836, I$1:I1836&lt;&gt;""""))))-1), IF('To Order'!$A1837=COL"&amp;"UMNS($A1837:I1856), I1836&amp;RIGHT(INDIRECT(ADDRESS(ROW(I1837)-1, 'From Order'!$A1837)), 1), I1836))"),"")</f>
        <v/>
      </c>
    </row>
    <row r="1838">
      <c r="A1838" s="2" t="str">
        <f>IFERROR(__xludf.DUMMYFUNCTION("IF('From Order'!$A1838=COLUMNS($A1838:A1857), LEFT(INDEX(FILTER(A$1:A1837, A$1:A1837&lt;&gt;""""),COUNTA(FILTER(A$1:A1837, A$1:A1837&lt;&gt;""""))), LEN(INDEX(FILTER(A$1:A1837, A$1:A1837&lt;&gt;""""),COUNTA(FILTER(A$1:A1837, A$1:A1837&lt;&gt;""""))))-1), IF('To Order'!$A1838=COL"&amp;"UMNS($A1838:A1857), A1837&amp;RIGHT(INDIRECT(ADDRESS(ROW(A1838)-1, 'From Order'!$A1838)), 1), A1837))"),"ZHZMTD")</f>
        <v>ZHZMTD</v>
      </c>
      <c r="B1838" s="2" t="str">
        <f>IFERROR(__xludf.DUMMYFUNCTION("IF('From Order'!$A1838=COLUMNS($A1838:B1857), LEFT(INDEX(FILTER(B$1:B1837, B$1:B1837&lt;&gt;""""),COUNTA(FILTER(B$1:B1837, B$1:B1837&lt;&gt;""""))), LEN(INDEX(FILTER(B$1:B1837, B$1:B1837&lt;&gt;""""),COUNTA(FILTER(B$1:B1837, B$1:B1837&lt;&gt;""""))))-1), IF('To Order'!$A1838=COL"&amp;"UMNS($A1838:B1857), B1837&amp;RIGHT(INDIRECT(ADDRESS(ROW(B1838)-1, 'From Order'!$A1838)), 1), B1837))"),"GTTJ")</f>
        <v>GTTJ</v>
      </c>
      <c r="C1838" s="2" t="str">
        <f>IFERROR(__xludf.DUMMYFUNCTION("IF('From Order'!$A1838=COLUMNS($A1838:C1857), LEFT(INDEX(FILTER(C$1:C1837, C$1:C1837&lt;&gt;""""),COUNTA(FILTER(C$1:C1837, C$1:C1837&lt;&gt;""""))), LEN(INDEX(FILTER(C$1:C1837, C$1:C1837&lt;&gt;""""),COUNTA(FILTER(C$1:C1837, C$1:C1837&lt;&gt;""""))))-1), IF('To Order'!$A1838=COL"&amp;"UMNS($A1838:C1857), C1837&amp;RIGHT(INDIRECT(ADDRESS(ROW(C1838)-1, 'From Order'!$A1838)), 1), C1837))"),"")</f>
        <v/>
      </c>
      <c r="D1838" s="2" t="str">
        <f>IFERROR(__xludf.DUMMYFUNCTION("IF('From Order'!$A1838=COLUMNS($A1838:D1857), LEFT(INDEX(FILTER(D$1:D1837, D$1:D1837&lt;&gt;""""),COUNTA(FILTER(D$1:D1837, D$1:D1837&lt;&gt;""""))), LEN(INDEX(FILTER(D$1:D1837, D$1:D1837&lt;&gt;""""),COUNTA(FILTER(D$1:D1837, D$1:D1837&lt;&gt;""""))))-1), IF('To Order'!$A1838=COL"&amp;"UMNS($A1838:D1857), D1837&amp;RIGHT(INDIRECT(ADDRESS(ROW(D1838)-1, 'From Order'!$A1838)), 1), D1837))"),"RB")</f>
        <v>RB</v>
      </c>
      <c r="E1838" s="2" t="str">
        <f>IFERROR(__xludf.DUMMYFUNCTION("IF('From Order'!$A1838=COLUMNS($A1838:E1857), LEFT(INDEX(FILTER(E$1:E1837, E$1:E1837&lt;&gt;""""),COUNTA(FILTER(E$1:E1837, E$1:E1837&lt;&gt;""""))), LEN(INDEX(FILTER(E$1:E1837, E$1:E1837&lt;&gt;""""),COUNTA(FILTER(E$1:E1837, E$1:E1837&lt;&gt;""""))))-1), IF('To Order'!$A1838=COL"&amp;"UMNS($A1838:E1857), E1837&amp;RIGHT(INDIRECT(ADDRESS(ROW(E1838)-1, 'From Order'!$A1838)), 1), E1837))"),"CQTRTCVDRGBHFSCZWTSSPPJQV")</f>
        <v>CQTRTCVDRGBHFSCZWTSSPPJQV</v>
      </c>
      <c r="F1838" s="2" t="str">
        <f>IFERROR(__xludf.DUMMYFUNCTION("IF('From Order'!$A1838=COLUMNS($A1838:F1857), LEFT(INDEX(FILTER(F$1:F1837, F$1:F1837&lt;&gt;""""),COUNTA(FILTER(F$1:F1837, F$1:F1837&lt;&gt;""""))), LEN(INDEX(FILTER(F$1:F1837, F$1:F1837&lt;&gt;""""),COUNTA(FILTER(F$1:F1837, F$1:F1837&lt;&gt;""""))))-1), IF('To Order'!$A1838=COL"&amp;"UMNS($A1838:F1857), F1837&amp;RIGHT(INDIRECT(ADDRESS(ROW(F1838)-1, 'From Order'!$A1838)), 1), F1837))"),"LDSPBFLLWDD")</f>
        <v>LDSPBFLLWDD</v>
      </c>
      <c r="G1838" s="2" t="str">
        <f>IFERROR(__xludf.DUMMYFUNCTION("IF('From Order'!$A1838=COLUMNS($A1838:G1857), LEFT(INDEX(FILTER(G$1:G1837, G$1:G1837&lt;&gt;""""),COUNTA(FILTER(G$1:G1837, G$1:G1837&lt;&gt;""""))), LEN(INDEX(FILTER(G$1:G1837, G$1:G1837&lt;&gt;""""),COUNTA(FILTER(G$1:G1837, G$1:G1837&lt;&gt;""""))))-1), IF('To Order'!$A1838=COL"&amp;"UMNS($A1838:G1857), G1837&amp;RIGHT(INDIRECT(ADDRESS(ROW(G1838)-1, 'From Order'!$A1838)), 1), G1837))"),"MDJMBVRR")</f>
        <v>MDJMBVRR</v>
      </c>
      <c r="H1838" s="2" t="str">
        <f>IFERROR(__xludf.DUMMYFUNCTION("IF('From Order'!$A1838=COLUMNS($A1838:H1857), LEFT(INDEX(FILTER(H$1:H1837, H$1:H1837&lt;&gt;""""),COUNTA(FILTER(H$1:H1837, H$1:H1837&lt;&gt;""""))), LEN(INDEX(FILTER(H$1:H1837, H$1:H1837&lt;&gt;""""),COUNTA(FILTER(H$1:H1837, H$1:H1837&lt;&gt;""""))))-1), IF('To Order'!$A1838=COL"&amp;"UMNS($A1838:H1857), H1837&amp;RIGHT(INDIRECT(ADDRESS(ROW(H1838)-1, 'From Order'!$A1838)), 1), H1837))"),"")</f>
        <v/>
      </c>
      <c r="I1838" s="2" t="str">
        <f>IFERROR(__xludf.DUMMYFUNCTION("IF('From Order'!$A1838=COLUMNS($A1838:I1857), LEFT(INDEX(FILTER(I$1:I1837, I$1:I1837&lt;&gt;""""),COUNTA(FILTER(I$1:I1837, I$1:I1837&lt;&gt;""""))), LEN(INDEX(FILTER(I$1:I1837, I$1:I1837&lt;&gt;""""),COUNTA(FILTER(I$1:I1837, I$1:I1837&lt;&gt;""""))))-1), IF('To Order'!$A1838=COL"&amp;"UMNS($A1838:I1857), I1837&amp;RIGHT(INDIRECT(ADDRESS(ROW(I1838)-1, 'From Order'!$A1838)), 1), I1837))"),"")</f>
        <v/>
      </c>
    </row>
    <row r="1839">
      <c r="A1839" s="2" t="str">
        <f>IFERROR(__xludf.DUMMYFUNCTION("IF('From Order'!$A1839=COLUMNS($A1839:A1858), LEFT(INDEX(FILTER(A$1:A1838, A$1:A1838&lt;&gt;""""),COUNTA(FILTER(A$1:A1838, A$1:A1838&lt;&gt;""""))), LEN(INDEX(FILTER(A$1:A1838, A$1:A1838&lt;&gt;""""),COUNTA(FILTER(A$1:A1838, A$1:A1838&lt;&gt;""""))))-1), IF('To Order'!$A1839=COL"&amp;"UMNS($A1839:A1858), A1838&amp;RIGHT(INDIRECT(ADDRESS(ROW(A1839)-1, 'From Order'!$A1839)), 1), A1838))"),"ZHZMTD")</f>
        <v>ZHZMTD</v>
      </c>
      <c r="B1839" s="2" t="str">
        <f>IFERROR(__xludf.DUMMYFUNCTION("IF('From Order'!$A1839=COLUMNS($A1839:B1858), LEFT(INDEX(FILTER(B$1:B1838, B$1:B1838&lt;&gt;""""),COUNTA(FILTER(B$1:B1838, B$1:B1838&lt;&gt;""""))), LEN(INDEX(FILTER(B$1:B1838, B$1:B1838&lt;&gt;""""),COUNTA(FILTER(B$1:B1838, B$1:B1838&lt;&gt;""""))))-1), IF('To Order'!$A1839=COL"&amp;"UMNS($A1839:B1858), B1838&amp;RIGHT(INDIRECT(ADDRESS(ROW(B1839)-1, 'From Order'!$A1839)), 1), B1838))"),"GTTJ")</f>
        <v>GTTJ</v>
      </c>
      <c r="C1839" s="2" t="str">
        <f>IFERROR(__xludf.DUMMYFUNCTION("IF('From Order'!$A1839=COLUMNS($A1839:C1858), LEFT(INDEX(FILTER(C$1:C1838, C$1:C1838&lt;&gt;""""),COUNTA(FILTER(C$1:C1838, C$1:C1838&lt;&gt;""""))), LEN(INDEX(FILTER(C$1:C1838, C$1:C1838&lt;&gt;""""),COUNTA(FILTER(C$1:C1838, C$1:C1838&lt;&gt;""""))))-1), IF('To Order'!$A1839=COL"&amp;"UMNS($A1839:C1858), C1838&amp;RIGHT(INDIRECT(ADDRESS(ROW(C1839)-1, 'From Order'!$A1839)), 1), C1838))"),"")</f>
        <v/>
      </c>
      <c r="D1839" s="2" t="str">
        <f>IFERROR(__xludf.DUMMYFUNCTION("IF('From Order'!$A1839=COLUMNS($A1839:D1858), LEFT(INDEX(FILTER(D$1:D1838, D$1:D1838&lt;&gt;""""),COUNTA(FILTER(D$1:D1838, D$1:D1838&lt;&gt;""""))), LEN(INDEX(FILTER(D$1:D1838, D$1:D1838&lt;&gt;""""),COUNTA(FILTER(D$1:D1838, D$1:D1838&lt;&gt;""""))))-1), IF('To Order'!$A1839=COL"&amp;"UMNS($A1839:D1858), D1838&amp;RIGHT(INDIRECT(ADDRESS(ROW(D1839)-1, 'From Order'!$A1839)), 1), D1838))"),"RB")</f>
        <v>RB</v>
      </c>
      <c r="E1839" s="2" t="str">
        <f>IFERROR(__xludf.DUMMYFUNCTION("IF('From Order'!$A1839=COLUMNS($A1839:E1858), LEFT(INDEX(FILTER(E$1:E1838, E$1:E1838&lt;&gt;""""),COUNTA(FILTER(E$1:E1838, E$1:E1838&lt;&gt;""""))), LEN(INDEX(FILTER(E$1:E1838, E$1:E1838&lt;&gt;""""),COUNTA(FILTER(E$1:E1838, E$1:E1838&lt;&gt;""""))))-1), IF('To Order'!$A1839=COL"&amp;"UMNS($A1839:E1858), E1838&amp;RIGHT(INDIRECT(ADDRESS(ROW(E1839)-1, 'From Order'!$A1839)), 1), E1838))"),"CQTRTCVDRGBHFSCZWTSSPPJQ")</f>
        <v>CQTRTCVDRGBHFSCZWTSSPPJQ</v>
      </c>
      <c r="F1839" s="2" t="str">
        <f>IFERROR(__xludf.DUMMYFUNCTION("IF('From Order'!$A1839=COLUMNS($A1839:F1858), LEFT(INDEX(FILTER(F$1:F1838, F$1:F1838&lt;&gt;""""),COUNTA(FILTER(F$1:F1838, F$1:F1838&lt;&gt;""""))), LEN(INDEX(FILTER(F$1:F1838, F$1:F1838&lt;&gt;""""),COUNTA(FILTER(F$1:F1838, F$1:F1838&lt;&gt;""""))))-1), IF('To Order'!$A1839=COL"&amp;"UMNS($A1839:F1858), F1838&amp;RIGHT(INDIRECT(ADDRESS(ROW(F1839)-1, 'From Order'!$A1839)), 1), F1838))"),"LDSPBFLLWDDV")</f>
        <v>LDSPBFLLWDDV</v>
      </c>
      <c r="G1839" s="2" t="str">
        <f>IFERROR(__xludf.DUMMYFUNCTION("IF('From Order'!$A1839=COLUMNS($A1839:G1858), LEFT(INDEX(FILTER(G$1:G1838, G$1:G1838&lt;&gt;""""),COUNTA(FILTER(G$1:G1838, G$1:G1838&lt;&gt;""""))), LEN(INDEX(FILTER(G$1:G1838, G$1:G1838&lt;&gt;""""),COUNTA(FILTER(G$1:G1838, G$1:G1838&lt;&gt;""""))))-1), IF('To Order'!$A1839=COL"&amp;"UMNS($A1839:G1858), G1838&amp;RIGHT(INDIRECT(ADDRESS(ROW(G1839)-1, 'From Order'!$A1839)), 1), G1838))"),"MDJMBVRR")</f>
        <v>MDJMBVRR</v>
      </c>
      <c r="H1839" s="2" t="str">
        <f>IFERROR(__xludf.DUMMYFUNCTION("IF('From Order'!$A1839=COLUMNS($A1839:H1858), LEFT(INDEX(FILTER(H$1:H1838, H$1:H1838&lt;&gt;""""),COUNTA(FILTER(H$1:H1838, H$1:H1838&lt;&gt;""""))), LEN(INDEX(FILTER(H$1:H1838, H$1:H1838&lt;&gt;""""),COUNTA(FILTER(H$1:H1838, H$1:H1838&lt;&gt;""""))))-1), IF('To Order'!$A1839=COL"&amp;"UMNS($A1839:H1858), H1838&amp;RIGHT(INDIRECT(ADDRESS(ROW(H1839)-1, 'From Order'!$A1839)), 1), H1838))"),"")</f>
        <v/>
      </c>
      <c r="I1839" s="2" t="str">
        <f>IFERROR(__xludf.DUMMYFUNCTION("IF('From Order'!$A1839=COLUMNS($A1839:I1858), LEFT(INDEX(FILTER(I$1:I1838, I$1:I1838&lt;&gt;""""),COUNTA(FILTER(I$1:I1838, I$1:I1838&lt;&gt;""""))), LEN(INDEX(FILTER(I$1:I1838, I$1:I1838&lt;&gt;""""),COUNTA(FILTER(I$1:I1838, I$1:I1838&lt;&gt;""""))))-1), IF('To Order'!$A1839=COL"&amp;"UMNS($A1839:I1858), I1838&amp;RIGHT(INDIRECT(ADDRESS(ROW(I1839)-1, 'From Order'!$A1839)), 1), I1838))"),"")</f>
        <v/>
      </c>
    </row>
    <row r="1840">
      <c r="A1840" s="2" t="str">
        <f>IFERROR(__xludf.DUMMYFUNCTION("IF('From Order'!$A1840=COLUMNS($A1840:A1859), LEFT(INDEX(FILTER(A$1:A1839, A$1:A1839&lt;&gt;""""),COUNTA(FILTER(A$1:A1839, A$1:A1839&lt;&gt;""""))), LEN(INDEX(FILTER(A$1:A1839, A$1:A1839&lt;&gt;""""),COUNTA(FILTER(A$1:A1839, A$1:A1839&lt;&gt;""""))))-1), IF('To Order'!$A1840=COL"&amp;"UMNS($A1840:A1859), A1839&amp;RIGHT(INDIRECT(ADDRESS(ROW(A1840)-1, 'From Order'!$A1840)), 1), A1839))"),"ZHZMTD")</f>
        <v>ZHZMTD</v>
      </c>
      <c r="B1840" s="2" t="str">
        <f>IFERROR(__xludf.DUMMYFUNCTION("IF('From Order'!$A1840=COLUMNS($A1840:B1859), LEFT(INDEX(FILTER(B$1:B1839, B$1:B1839&lt;&gt;""""),COUNTA(FILTER(B$1:B1839, B$1:B1839&lt;&gt;""""))), LEN(INDEX(FILTER(B$1:B1839, B$1:B1839&lt;&gt;""""),COUNTA(FILTER(B$1:B1839, B$1:B1839&lt;&gt;""""))))-1), IF('To Order'!$A1840=COL"&amp;"UMNS($A1840:B1859), B1839&amp;RIGHT(INDIRECT(ADDRESS(ROW(B1840)-1, 'From Order'!$A1840)), 1), B1839))"),"GTTJ")</f>
        <v>GTTJ</v>
      </c>
      <c r="C1840" s="2" t="str">
        <f>IFERROR(__xludf.DUMMYFUNCTION("IF('From Order'!$A1840=COLUMNS($A1840:C1859), LEFT(INDEX(FILTER(C$1:C1839, C$1:C1839&lt;&gt;""""),COUNTA(FILTER(C$1:C1839, C$1:C1839&lt;&gt;""""))), LEN(INDEX(FILTER(C$1:C1839, C$1:C1839&lt;&gt;""""),COUNTA(FILTER(C$1:C1839, C$1:C1839&lt;&gt;""""))))-1), IF('To Order'!$A1840=COL"&amp;"UMNS($A1840:C1859), C1839&amp;RIGHT(INDIRECT(ADDRESS(ROW(C1840)-1, 'From Order'!$A1840)), 1), C1839))"),"")</f>
        <v/>
      </c>
      <c r="D1840" s="2" t="str">
        <f>IFERROR(__xludf.DUMMYFUNCTION("IF('From Order'!$A1840=COLUMNS($A1840:D1859), LEFT(INDEX(FILTER(D$1:D1839, D$1:D1839&lt;&gt;""""),COUNTA(FILTER(D$1:D1839, D$1:D1839&lt;&gt;""""))), LEN(INDEX(FILTER(D$1:D1839, D$1:D1839&lt;&gt;""""),COUNTA(FILTER(D$1:D1839, D$1:D1839&lt;&gt;""""))))-1), IF('To Order'!$A1840=COL"&amp;"UMNS($A1840:D1859), D1839&amp;RIGHT(INDIRECT(ADDRESS(ROW(D1840)-1, 'From Order'!$A1840)), 1), D1839))"),"RB")</f>
        <v>RB</v>
      </c>
      <c r="E1840" s="2" t="str">
        <f>IFERROR(__xludf.DUMMYFUNCTION("IF('From Order'!$A1840=COLUMNS($A1840:E1859), LEFT(INDEX(FILTER(E$1:E1839, E$1:E1839&lt;&gt;""""),COUNTA(FILTER(E$1:E1839, E$1:E1839&lt;&gt;""""))), LEN(INDEX(FILTER(E$1:E1839, E$1:E1839&lt;&gt;""""),COUNTA(FILTER(E$1:E1839, E$1:E1839&lt;&gt;""""))))-1), IF('To Order'!$A1840=COL"&amp;"UMNS($A1840:E1859), E1839&amp;RIGHT(INDIRECT(ADDRESS(ROW(E1840)-1, 'From Order'!$A1840)), 1), E1839))"),"CQTRTCVDRGBHFSCZWTSSPPJ")</f>
        <v>CQTRTCVDRGBHFSCZWTSSPPJ</v>
      </c>
      <c r="F1840" s="2" t="str">
        <f>IFERROR(__xludf.DUMMYFUNCTION("IF('From Order'!$A1840=COLUMNS($A1840:F1859), LEFT(INDEX(FILTER(F$1:F1839, F$1:F1839&lt;&gt;""""),COUNTA(FILTER(F$1:F1839, F$1:F1839&lt;&gt;""""))), LEN(INDEX(FILTER(F$1:F1839, F$1:F1839&lt;&gt;""""),COUNTA(FILTER(F$1:F1839, F$1:F1839&lt;&gt;""""))))-1), IF('To Order'!$A1840=COL"&amp;"UMNS($A1840:F1859), F1839&amp;RIGHT(INDIRECT(ADDRESS(ROW(F1840)-1, 'From Order'!$A1840)), 1), F1839))"),"LDSPBFLLWDDVQ")</f>
        <v>LDSPBFLLWDDVQ</v>
      </c>
      <c r="G1840" s="2" t="str">
        <f>IFERROR(__xludf.DUMMYFUNCTION("IF('From Order'!$A1840=COLUMNS($A1840:G1859), LEFT(INDEX(FILTER(G$1:G1839, G$1:G1839&lt;&gt;""""),COUNTA(FILTER(G$1:G1839, G$1:G1839&lt;&gt;""""))), LEN(INDEX(FILTER(G$1:G1839, G$1:G1839&lt;&gt;""""),COUNTA(FILTER(G$1:G1839, G$1:G1839&lt;&gt;""""))))-1), IF('To Order'!$A1840=COL"&amp;"UMNS($A1840:G1859), G1839&amp;RIGHT(INDIRECT(ADDRESS(ROW(G1840)-1, 'From Order'!$A1840)), 1), G1839))"),"MDJMBVRR")</f>
        <v>MDJMBVRR</v>
      </c>
      <c r="H1840" s="2" t="str">
        <f>IFERROR(__xludf.DUMMYFUNCTION("IF('From Order'!$A1840=COLUMNS($A1840:H1859), LEFT(INDEX(FILTER(H$1:H1839, H$1:H1839&lt;&gt;""""),COUNTA(FILTER(H$1:H1839, H$1:H1839&lt;&gt;""""))), LEN(INDEX(FILTER(H$1:H1839, H$1:H1839&lt;&gt;""""),COUNTA(FILTER(H$1:H1839, H$1:H1839&lt;&gt;""""))))-1), IF('To Order'!$A1840=COL"&amp;"UMNS($A1840:H1859), H1839&amp;RIGHT(INDIRECT(ADDRESS(ROW(H1840)-1, 'From Order'!$A1840)), 1), H1839))"),"")</f>
        <v/>
      </c>
      <c r="I1840" s="2" t="str">
        <f>IFERROR(__xludf.DUMMYFUNCTION("IF('From Order'!$A1840=COLUMNS($A1840:I1859), LEFT(INDEX(FILTER(I$1:I1839, I$1:I1839&lt;&gt;""""),COUNTA(FILTER(I$1:I1839, I$1:I1839&lt;&gt;""""))), LEN(INDEX(FILTER(I$1:I1839, I$1:I1839&lt;&gt;""""),COUNTA(FILTER(I$1:I1839, I$1:I1839&lt;&gt;""""))))-1), IF('To Order'!$A1840=COL"&amp;"UMNS($A1840:I1859), I1839&amp;RIGHT(INDIRECT(ADDRESS(ROW(I1840)-1, 'From Order'!$A1840)), 1), I1839))"),"")</f>
        <v/>
      </c>
    </row>
    <row r="1841">
      <c r="A1841" s="2" t="str">
        <f>IFERROR(__xludf.DUMMYFUNCTION("IF('From Order'!$A1841=COLUMNS($A1841:A1860), LEFT(INDEX(FILTER(A$1:A1840, A$1:A1840&lt;&gt;""""),COUNTA(FILTER(A$1:A1840, A$1:A1840&lt;&gt;""""))), LEN(INDEX(FILTER(A$1:A1840, A$1:A1840&lt;&gt;""""),COUNTA(FILTER(A$1:A1840, A$1:A1840&lt;&gt;""""))))-1), IF('To Order'!$A1841=COL"&amp;"UMNS($A1841:A1860), A1840&amp;RIGHT(INDIRECT(ADDRESS(ROW(A1841)-1, 'From Order'!$A1841)), 1), A1840))"),"ZHZMTD")</f>
        <v>ZHZMTD</v>
      </c>
      <c r="B1841" s="2" t="str">
        <f>IFERROR(__xludf.DUMMYFUNCTION("IF('From Order'!$A1841=COLUMNS($A1841:B1860), LEFT(INDEX(FILTER(B$1:B1840, B$1:B1840&lt;&gt;""""),COUNTA(FILTER(B$1:B1840, B$1:B1840&lt;&gt;""""))), LEN(INDEX(FILTER(B$1:B1840, B$1:B1840&lt;&gt;""""),COUNTA(FILTER(B$1:B1840, B$1:B1840&lt;&gt;""""))))-1), IF('To Order'!$A1841=COL"&amp;"UMNS($A1841:B1860), B1840&amp;RIGHT(INDIRECT(ADDRESS(ROW(B1841)-1, 'From Order'!$A1841)), 1), B1840))"),"GTTJ")</f>
        <v>GTTJ</v>
      </c>
      <c r="C1841" s="2" t="str">
        <f>IFERROR(__xludf.DUMMYFUNCTION("IF('From Order'!$A1841=COLUMNS($A1841:C1860), LEFT(INDEX(FILTER(C$1:C1840, C$1:C1840&lt;&gt;""""),COUNTA(FILTER(C$1:C1840, C$1:C1840&lt;&gt;""""))), LEN(INDEX(FILTER(C$1:C1840, C$1:C1840&lt;&gt;""""),COUNTA(FILTER(C$1:C1840, C$1:C1840&lt;&gt;""""))))-1), IF('To Order'!$A1841=COL"&amp;"UMNS($A1841:C1860), C1840&amp;RIGHT(INDIRECT(ADDRESS(ROW(C1841)-1, 'From Order'!$A1841)), 1), C1840))"),"")</f>
        <v/>
      </c>
      <c r="D1841" s="2" t="str">
        <f>IFERROR(__xludf.DUMMYFUNCTION("IF('From Order'!$A1841=COLUMNS($A1841:D1860), LEFT(INDEX(FILTER(D$1:D1840, D$1:D1840&lt;&gt;""""),COUNTA(FILTER(D$1:D1840, D$1:D1840&lt;&gt;""""))), LEN(INDEX(FILTER(D$1:D1840, D$1:D1840&lt;&gt;""""),COUNTA(FILTER(D$1:D1840, D$1:D1840&lt;&gt;""""))))-1), IF('To Order'!$A1841=COL"&amp;"UMNS($A1841:D1860), D1840&amp;RIGHT(INDIRECT(ADDRESS(ROW(D1841)-1, 'From Order'!$A1841)), 1), D1840))"),"RB")</f>
        <v>RB</v>
      </c>
      <c r="E1841" s="2" t="str">
        <f>IFERROR(__xludf.DUMMYFUNCTION("IF('From Order'!$A1841=COLUMNS($A1841:E1860), LEFT(INDEX(FILTER(E$1:E1840, E$1:E1840&lt;&gt;""""),COUNTA(FILTER(E$1:E1840, E$1:E1840&lt;&gt;""""))), LEN(INDEX(FILTER(E$1:E1840, E$1:E1840&lt;&gt;""""),COUNTA(FILTER(E$1:E1840, E$1:E1840&lt;&gt;""""))))-1), IF('To Order'!$A1841=COL"&amp;"UMNS($A1841:E1860), E1840&amp;RIGHT(INDIRECT(ADDRESS(ROW(E1841)-1, 'From Order'!$A1841)), 1), E1840))"),"CQTRTCVDRGBHFSCZWTSSPP")</f>
        <v>CQTRTCVDRGBHFSCZWTSSPP</v>
      </c>
      <c r="F1841" s="2" t="str">
        <f>IFERROR(__xludf.DUMMYFUNCTION("IF('From Order'!$A1841=COLUMNS($A1841:F1860), LEFT(INDEX(FILTER(F$1:F1840, F$1:F1840&lt;&gt;""""),COUNTA(FILTER(F$1:F1840, F$1:F1840&lt;&gt;""""))), LEN(INDEX(FILTER(F$1:F1840, F$1:F1840&lt;&gt;""""),COUNTA(FILTER(F$1:F1840, F$1:F1840&lt;&gt;""""))))-1), IF('To Order'!$A1841=COL"&amp;"UMNS($A1841:F1860), F1840&amp;RIGHT(INDIRECT(ADDRESS(ROW(F1841)-1, 'From Order'!$A1841)), 1), F1840))"),"LDSPBFLLWDDVQJ")</f>
        <v>LDSPBFLLWDDVQJ</v>
      </c>
      <c r="G1841" s="2" t="str">
        <f>IFERROR(__xludf.DUMMYFUNCTION("IF('From Order'!$A1841=COLUMNS($A1841:G1860), LEFT(INDEX(FILTER(G$1:G1840, G$1:G1840&lt;&gt;""""),COUNTA(FILTER(G$1:G1840, G$1:G1840&lt;&gt;""""))), LEN(INDEX(FILTER(G$1:G1840, G$1:G1840&lt;&gt;""""),COUNTA(FILTER(G$1:G1840, G$1:G1840&lt;&gt;""""))))-1), IF('To Order'!$A1841=COL"&amp;"UMNS($A1841:G1860), G1840&amp;RIGHT(INDIRECT(ADDRESS(ROW(G1841)-1, 'From Order'!$A1841)), 1), G1840))"),"MDJMBVRR")</f>
        <v>MDJMBVRR</v>
      </c>
      <c r="H1841" s="2" t="str">
        <f>IFERROR(__xludf.DUMMYFUNCTION("IF('From Order'!$A1841=COLUMNS($A1841:H1860), LEFT(INDEX(FILTER(H$1:H1840, H$1:H1840&lt;&gt;""""),COUNTA(FILTER(H$1:H1840, H$1:H1840&lt;&gt;""""))), LEN(INDEX(FILTER(H$1:H1840, H$1:H1840&lt;&gt;""""),COUNTA(FILTER(H$1:H1840, H$1:H1840&lt;&gt;""""))))-1), IF('To Order'!$A1841=COL"&amp;"UMNS($A1841:H1860), H1840&amp;RIGHT(INDIRECT(ADDRESS(ROW(H1841)-1, 'From Order'!$A1841)), 1), H1840))"),"")</f>
        <v/>
      </c>
      <c r="I1841" s="2" t="str">
        <f>IFERROR(__xludf.DUMMYFUNCTION("IF('From Order'!$A1841=COLUMNS($A1841:I1860), LEFT(INDEX(FILTER(I$1:I1840, I$1:I1840&lt;&gt;""""),COUNTA(FILTER(I$1:I1840, I$1:I1840&lt;&gt;""""))), LEN(INDEX(FILTER(I$1:I1840, I$1:I1840&lt;&gt;""""),COUNTA(FILTER(I$1:I1840, I$1:I1840&lt;&gt;""""))))-1), IF('To Order'!$A1841=COL"&amp;"UMNS($A1841:I1860), I1840&amp;RIGHT(INDIRECT(ADDRESS(ROW(I1841)-1, 'From Order'!$A1841)), 1), I1840))"),"")</f>
        <v/>
      </c>
    </row>
    <row r="1842">
      <c r="A1842" s="2" t="str">
        <f>IFERROR(__xludf.DUMMYFUNCTION("IF('From Order'!$A1842=COLUMNS($A1842:A1861), LEFT(INDEX(FILTER(A$1:A1841, A$1:A1841&lt;&gt;""""),COUNTA(FILTER(A$1:A1841, A$1:A1841&lt;&gt;""""))), LEN(INDEX(FILTER(A$1:A1841, A$1:A1841&lt;&gt;""""),COUNTA(FILTER(A$1:A1841, A$1:A1841&lt;&gt;""""))))-1), IF('To Order'!$A1842=COL"&amp;"UMNS($A1842:A1861), A1841&amp;RIGHT(INDIRECT(ADDRESS(ROW(A1842)-1, 'From Order'!$A1842)), 1), A1841))"),"ZHZMTD")</f>
        <v>ZHZMTD</v>
      </c>
      <c r="B1842" s="2" t="str">
        <f>IFERROR(__xludf.DUMMYFUNCTION("IF('From Order'!$A1842=COLUMNS($A1842:B1861), LEFT(INDEX(FILTER(B$1:B1841, B$1:B1841&lt;&gt;""""),COUNTA(FILTER(B$1:B1841, B$1:B1841&lt;&gt;""""))), LEN(INDEX(FILTER(B$1:B1841, B$1:B1841&lt;&gt;""""),COUNTA(FILTER(B$1:B1841, B$1:B1841&lt;&gt;""""))))-1), IF('To Order'!$A1842=COL"&amp;"UMNS($A1842:B1861), B1841&amp;RIGHT(INDIRECT(ADDRESS(ROW(B1842)-1, 'From Order'!$A1842)), 1), B1841))"),"GTTJ")</f>
        <v>GTTJ</v>
      </c>
      <c r="C1842" s="2" t="str">
        <f>IFERROR(__xludf.DUMMYFUNCTION("IF('From Order'!$A1842=COLUMNS($A1842:C1861), LEFT(INDEX(FILTER(C$1:C1841, C$1:C1841&lt;&gt;""""),COUNTA(FILTER(C$1:C1841, C$1:C1841&lt;&gt;""""))), LEN(INDEX(FILTER(C$1:C1841, C$1:C1841&lt;&gt;""""),COUNTA(FILTER(C$1:C1841, C$1:C1841&lt;&gt;""""))))-1), IF('To Order'!$A1842=COL"&amp;"UMNS($A1842:C1861), C1841&amp;RIGHT(INDIRECT(ADDRESS(ROW(C1842)-1, 'From Order'!$A1842)), 1), C1841))"),"")</f>
        <v/>
      </c>
      <c r="D1842" s="2" t="str">
        <f>IFERROR(__xludf.DUMMYFUNCTION("IF('From Order'!$A1842=COLUMNS($A1842:D1861), LEFT(INDEX(FILTER(D$1:D1841, D$1:D1841&lt;&gt;""""),COUNTA(FILTER(D$1:D1841, D$1:D1841&lt;&gt;""""))), LEN(INDEX(FILTER(D$1:D1841, D$1:D1841&lt;&gt;""""),COUNTA(FILTER(D$1:D1841, D$1:D1841&lt;&gt;""""))))-1), IF('To Order'!$A1842=COL"&amp;"UMNS($A1842:D1861), D1841&amp;RIGHT(INDIRECT(ADDRESS(ROW(D1842)-1, 'From Order'!$A1842)), 1), D1841))"),"RB")</f>
        <v>RB</v>
      </c>
      <c r="E1842" s="2" t="str">
        <f>IFERROR(__xludf.DUMMYFUNCTION("IF('From Order'!$A1842=COLUMNS($A1842:E1861), LEFT(INDEX(FILTER(E$1:E1841, E$1:E1841&lt;&gt;""""),COUNTA(FILTER(E$1:E1841, E$1:E1841&lt;&gt;""""))), LEN(INDEX(FILTER(E$1:E1841, E$1:E1841&lt;&gt;""""),COUNTA(FILTER(E$1:E1841, E$1:E1841&lt;&gt;""""))))-1), IF('To Order'!$A1842=COL"&amp;"UMNS($A1842:E1861), E1841&amp;RIGHT(INDIRECT(ADDRESS(ROW(E1842)-1, 'From Order'!$A1842)), 1), E1841))"),"CQTRTCVDRGBHFSCZWTSSP")</f>
        <v>CQTRTCVDRGBHFSCZWTSSP</v>
      </c>
      <c r="F1842" s="2" t="str">
        <f>IFERROR(__xludf.DUMMYFUNCTION("IF('From Order'!$A1842=COLUMNS($A1842:F1861), LEFT(INDEX(FILTER(F$1:F1841, F$1:F1841&lt;&gt;""""),COUNTA(FILTER(F$1:F1841, F$1:F1841&lt;&gt;""""))), LEN(INDEX(FILTER(F$1:F1841, F$1:F1841&lt;&gt;""""),COUNTA(FILTER(F$1:F1841, F$1:F1841&lt;&gt;""""))))-1), IF('To Order'!$A1842=COL"&amp;"UMNS($A1842:F1861), F1841&amp;RIGHT(INDIRECT(ADDRESS(ROW(F1842)-1, 'From Order'!$A1842)), 1), F1841))"),"LDSPBFLLWDDVQJP")</f>
        <v>LDSPBFLLWDDVQJP</v>
      </c>
      <c r="G1842" s="2" t="str">
        <f>IFERROR(__xludf.DUMMYFUNCTION("IF('From Order'!$A1842=COLUMNS($A1842:G1861), LEFT(INDEX(FILTER(G$1:G1841, G$1:G1841&lt;&gt;""""),COUNTA(FILTER(G$1:G1841, G$1:G1841&lt;&gt;""""))), LEN(INDEX(FILTER(G$1:G1841, G$1:G1841&lt;&gt;""""),COUNTA(FILTER(G$1:G1841, G$1:G1841&lt;&gt;""""))))-1), IF('To Order'!$A1842=COL"&amp;"UMNS($A1842:G1861), G1841&amp;RIGHT(INDIRECT(ADDRESS(ROW(G1842)-1, 'From Order'!$A1842)), 1), G1841))"),"MDJMBVRR")</f>
        <v>MDJMBVRR</v>
      </c>
      <c r="H1842" s="2" t="str">
        <f>IFERROR(__xludf.DUMMYFUNCTION("IF('From Order'!$A1842=COLUMNS($A1842:H1861), LEFT(INDEX(FILTER(H$1:H1841, H$1:H1841&lt;&gt;""""),COUNTA(FILTER(H$1:H1841, H$1:H1841&lt;&gt;""""))), LEN(INDEX(FILTER(H$1:H1841, H$1:H1841&lt;&gt;""""),COUNTA(FILTER(H$1:H1841, H$1:H1841&lt;&gt;""""))))-1), IF('To Order'!$A1842=COL"&amp;"UMNS($A1842:H1861), H1841&amp;RIGHT(INDIRECT(ADDRESS(ROW(H1842)-1, 'From Order'!$A1842)), 1), H1841))"),"")</f>
        <v/>
      </c>
      <c r="I1842" s="2" t="str">
        <f>IFERROR(__xludf.DUMMYFUNCTION("IF('From Order'!$A1842=COLUMNS($A1842:I1861), LEFT(INDEX(FILTER(I$1:I1841, I$1:I1841&lt;&gt;""""),COUNTA(FILTER(I$1:I1841, I$1:I1841&lt;&gt;""""))), LEN(INDEX(FILTER(I$1:I1841, I$1:I1841&lt;&gt;""""),COUNTA(FILTER(I$1:I1841, I$1:I1841&lt;&gt;""""))))-1), IF('To Order'!$A1842=COL"&amp;"UMNS($A1842:I1861), I1841&amp;RIGHT(INDIRECT(ADDRESS(ROW(I1842)-1, 'From Order'!$A1842)), 1), I1841))"),"")</f>
        <v/>
      </c>
    </row>
    <row r="1843">
      <c r="A1843" s="2" t="str">
        <f>IFERROR(__xludf.DUMMYFUNCTION("IF('From Order'!$A1843=COLUMNS($A1843:A1862), LEFT(INDEX(FILTER(A$1:A1842, A$1:A1842&lt;&gt;""""),COUNTA(FILTER(A$1:A1842, A$1:A1842&lt;&gt;""""))), LEN(INDEX(FILTER(A$1:A1842, A$1:A1842&lt;&gt;""""),COUNTA(FILTER(A$1:A1842, A$1:A1842&lt;&gt;""""))))-1), IF('To Order'!$A1843=COL"&amp;"UMNS($A1843:A1862), A1842&amp;RIGHT(INDIRECT(ADDRESS(ROW(A1843)-1, 'From Order'!$A1843)), 1), A1842))"),"ZHZMTD")</f>
        <v>ZHZMTD</v>
      </c>
      <c r="B1843" s="2" t="str">
        <f>IFERROR(__xludf.DUMMYFUNCTION("IF('From Order'!$A1843=COLUMNS($A1843:B1862), LEFT(INDEX(FILTER(B$1:B1842, B$1:B1842&lt;&gt;""""),COUNTA(FILTER(B$1:B1842, B$1:B1842&lt;&gt;""""))), LEN(INDEX(FILTER(B$1:B1842, B$1:B1842&lt;&gt;""""),COUNTA(FILTER(B$1:B1842, B$1:B1842&lt;&gt;""""))))-1), IF('To Order'!$A1843=COL"&amp;"UMNS($A1843:B1862), B1842&amp;RIGHT(INDIRECT(ADDRESS(ROW(B1843)-1, 'From Order'!$A1843)), 1), B1842))"),"GTTJ")</f>
        <v>GTTJ</v>
      </c>
      <c r="C1843" s="2" t="str">
        <f>IFERROR(__xludf.DUMMYFUNCTION("IF('From Order'!$A1843=COLUMNS($A1843:C1862), LEFT(INDEX(FILTER(C$1:C1842, C$1:C1842&lt;&gt;""""),COUNTA(FILTER(C$1:C1842, C$1:C1842&lt;&gt;""""))), LEN(INDEX(FILTER(C$1:C1842, C$1:C1842&lt;&gt;""""),COUNTA(FILTER(C$1:C1842, C$1:C1842&lt;&gt;""""))))-1), IF('To Order'!$A1843=COL"&amp;"UMNS($A1843:C1862), C1842&amp;RIGHT(INDIRECT(ADDRESS(ROW(C1843)-1, 'From Order'!$A1843)), 1), C1842))"),"")</f>
        <v/>
      </c>
      <c r="D1843" s="2" t="str">
        <f>IFERROR(__xludf.DUMMYFUNCTION("IF('From Order'!$A1843=COLUMNS($A1843:D1862), LEFT(INDEX(FILTER(D$1:D1842, D$1:D1842&lt;&gt;""""),COUNTA(FILTER(D$1:D1842, D$1:D1842&lt;&gt;""""))), LEN(INDEX(FILTER(D$1:D1842, D$1:D1842&lt;&gt;""""),COUNTA(FILTER(D$1:D1842, D$1:D1842&lt;&gt;""""))))-1), IF('To Order'!$A1843=COL"&amp;"UMNS($A1843:D1862), D1842&amp;RIGHT(INDIRECT(ADDRESS(ROW(D1843)-1, 'From Order'!$A1843)), 1), D1842))"),"RB")</f>
        <v>RB</v>
      </c>
      <c r="E1843" s="2" t="str">
        <f>IFERROR(__xludf.DUMMYFUNCTION("IF('From Order'!$A1843=COLUMNS($A1843:E1862), LEFT(INDEX(FILTER(E$1:E1842, E$1:E1842&lt;&gt;""""),COUNTA(FILTER(E$1:E1842, E$1:E1842&lt;&gt;""""))), LEN(INDEX(FILTER(E$1:E1842, E$1:E1842&lt;&gt;""""),COUNTA(FILTER(E$1:E1842, E$1:E1842&lt;&gt;""""))))-1), IF('To Order'!$A1843=COL"&amp;"UMNS($A1843:E1862), E1842&amp;RIGHT(INDIRECT(ADDRESS(ROW(E1843)-1, 'From Order'!$A1843)), 1), E1842))"),"CQTRTCVDRGBHFSCZWTSS")</f>
        <v>CQTRTCVDRGBHFSCZWTSS</v>
      </c>
      <c r="F1843" s="2" t="str">
        <f>IFERROR(__xludf.DUMMYFUNCTION("IF('From Order'!$A1843=COLUMNS($A1843:F1862), LEFT(INDEX(FILTER(F$1:F1842, F$1:F1842&lt;&gt;""""),COUNTA(FILTER(F$1:F1842, F$1:F1842&lt;&gt;""""))), LEN(INDEX(FILTER(F$1:F1842, F$1:F1842&lt;&gt;""""),COUNTA(FILTER(F$1:F1842, F$1:F1842&lt;&gt;""""))))-1), IF('To Order'!$A1843=COL"&amp;"UMNS($A1843:F1862), F1842&amp;RIGHT(INDIRECT(ADDRESS(ROW(F1843)-1, 'From Order'!$A1843)), 1), F1842))"),"LDSPBFLLWDDVQJPP")</f>
        <v>LDSPBFLLWDDVQJPP</v>
      </c>
      <c r="G1843" s="2" t="str">
        <f>IFERROR(__xludf.DUMMYFUNCTION("IF('From Order'!$A1843=COLUMNS($A1843:G1862), LEFT(INDEX(FILTER(G$1:G1842, G$1:G1842&lt;&gt;""""),COUNTA(FILTER(G$1:G1842, G$1:G1842&lt;&gt;""""))), LEN(INDEX(FILTER(G$1:G1842, G$1:G1842&lt;&gt;""""),COUNTA(FILTER(G$1:G1842, G$1:G1842&lt;&gt;""""))))-1), IF('To Order'!$A1843=COL"&amp;"UMNS($A1843:G1862), G1842&amp;RIGHT(INDIRECT(ADDRESS(ROW(G1843)-1, 'From Order'!$A1843)), 1), G1842))"),"MDJMBVRR")</f>
        <v>MDJMBVRR</v>
      </c>
      <c r="H1843" s="2" t="str">
        <f>IFERROR(__xludf.DUMMYFUNCTION("IF('From Order'!$A1843=COLUMNS($A1843:H1862), LEFT(INDEX(FILTER(H$1:H1842, H$1:H1842&lt;&gt;""""),COUNTA(FILTER(H$1:H1842, H$1:H1842&lt;&gt;""""))), LEN(INDEX(FILTER(H$1:H1842, H$1:H1842&lt;&gt;""""),COUNTA(FILTER(H$1:H1842, H$1:H1842&lt;&gt;""""))))-1), IF('To Order'!$A1843=COL"&amp;"UMNS($A1843:H1862), H1842&amp;RIGHT(INDIRECT(ADDRESS(ROW(H1843)-1, 'From Order'!$A1843)), 1), H1842))"),"")</f>
        <v/>
      </c>
      <c r="I1843" s="2" t="str">
        <f>IFERROR(__xludf.DUMMYFUNCTION("IF('From Order'!$A1843=COLUMNS($A1843:I1862), LEFT(INDEX(FILTER(I$1:I1842, I$1:I1842&lt;&gt;""""),COUNTA(FILTER(I$1:I1842, I$1:I1842&lt;&gt;""""))), LEN(INDEX(FILTER(I$1:I1842, I$1:I1842&lt;&gt;""""),COUNTA(FILTER(I$1:I1842, I$1:I1842&lt;&gt;""""))))-1), IF('To Order'!$A1843=COL"&amp;"UMNS($A1843:I1862), I1842&amp;RIGHT(INDIRECT(ADDRESS(ROW(I1843)-1, 'From Order'!$A1843)), 1), I1842))"),"")</f>
        <v/>
      </c>
    </row>
    <row r="1844">
      <c r="A1844" s="2" t="str">
        <f>IFERROR(__xludf.DUMMYFUNCTION("IF('From Order'!$A1844=COLUMNS($A1844:A1863), LEFT(INDEX(FILTER(A$1:A1843, A$1:A1843&lt;&gt;""""),COUNTA(FILTER(A$1:A1843, A$1:A1843&lt;&gt;""""))), LEN(INDEX(FILTER(A$1:A1843, A$1:A1843&lt;&gt;""""),COUNTA(FILTER(A$1:A1843, A$1:A1843&lt;&gt;""""))))-1), IF('To Order'!$A1844=COL"&amp;"UMNS($A1844:A1863), A1843&amp;RIGHT(INDIRECT(ADDRESS(ROW(A1844)-1, 'From Order'!$A1844)), 1), A1843))"),"ZHZMTD")</f>
        <v>ZHZMTD</v>
      </c>
      <c r="B1844" s="2" t="str">
        <f>IFERROR(__xludf.DUMMYFUNCTION("IF('From Order'!$A1844=COLUMNS($A1844:B1863), LEFT(INDEX(FILTER(B$1:B1843, B$1:B1843&lt;&gt;""""),COUNTA(FILTER(B$1:B1843, B$1:B1843&lt;&gt;""""))), LEN(INDEX(FILTER(B$1:B1843, B$1:B1843&lt;&gt;""""),COUNTA(FILTER(B$1:B1843, B$1:B1843&lt;&gt;""""))))-1), IF('To Order'!$A1844=COL"&amp;"UMNS($A1844:B1863), B1843&amp;RIGHT(INDIRECT(ADDRESS(ROW(B1844)-1, 'From Order'!$A1844)), 1), B1843))"),"GTTJ")</f>
        <v>GTTJ</v>
      </c>
      <c r="C1844" s="2" t="str">
        <f>IFERROR(__xludf.DUMMYFUNCTION("IF('From Order'!$A1844=COLUMNS($A1844:C1863), LEFT(INDEX(FILTER(C$1:C1843, C$1:C1843&lt;&gt;""""),COUNTA(FILTER(C$1:C1843, C$1:C1843&lt;&gt;""""))), LEN(INDEX(FILTER(C$1:C1843, C$1:C1843&lt;&gt;""""),COUNTA(FILTER(C$1:C1843, C$1:C1843&lt;&gt;""""))))-1), IF('To Order'!$A1844=COL"&amp;"UMNS($A1844:C1863), C1843&amp;RIGHT(INDIRECT(ADDRESS(ROW(C1844)-1, 'From Order'!$A1844)), 1), C1843))"),"")</f>
        <v/>
      </c>
      <c r="D1844" s="2" t="str">
        <f>IFERROR(__xludf.DUMMYFUNCTION("IF('From Order'!$A1844=COLUMNS($A1844:D1863), LEFT(INDEX(FILTER(D$1:D1843, D$1:D1843&lt;&gt;""""),COUNTA(FILTER(D$1:D1843, D$1:D1843&lt;&gt;""""))), LEN(INDEX(FILTER(D$1:D1843, D$1:D1843&lt;&gt;""""),COUNTA(FILTER(D$1:D1843, D$1:D1843&lt;&gt;""""))))-1), IF('To Order'!$A1844=COL"&amp;"UMNS($A1844:D1863), D1843&amp;RIGHT(INDIRECT(ADDRESS(ROW(D1844)-1, 'From Order'!$A1844)), 1), D1843))"),"RB")</f>
        <v>RB</v>
      </c>
      <c r="E1844" s="2" t="str">
        <f>IFERROR(__xludf.DUMMYFUNCTION("IF('From Order'!$A1844=COLUMNS($A1844:E1863), LEFT(INDEX(FILTER(E$1:E1843, E$1:E1843&lt;&gt;""""),COUNTA(FILTER(E$1:E1843, E$1:E1843&lt;&gt;""""))), LEN(INDEX(FILTER(E$1:E1843, E$1:E1843&lt;&gt;""""),COUNTA(FILTER(E$1:E1843, E$1:E1843&lt;&gt;""""))))-1), IF('To Order'!$A1844=COL"&amp;"UMNS($A1844:E1863), E1843&amp;RIGHT(INDIRECT(ADDRESS(ROW(E1844)-1, 'From Order'!$A1844)), 1), E1843))"),"CQTRTCVDRGBHFSCZWTS")</f>
        <v>CQTRTCVDRGBHFSCZWTS</v>
      </c>
      <c r="F1844" s="2" t="str">
        <f>IFERROR(__xludf.DUMMYFUNCTION("IF('From Order'!$A1844=COLUMNS($A1844:F1863), LEFT(INDEX(FILTER(F$1:F1843, F$1:F1843&lt;&gt;""""),COUNTA(FILTER(F$1:F1843, F$1:F1843&lt;&gt;""""))), LEN(INDEX(FILTER(F$1:F1843, F$1:F1843&lt;&gt;""""),COUNTA(FILTER(F$1:F1843, F$1:F1843&lt;&gt;""""))))-1), IF('To Order'!$A1844=COL"&amp;"UMNS($A1844:F1863), F1843&amp;RIGHT(INDIRECT(ADDRESS(ROW(F1844)-1, 'From Order'!$A1844)), 1), F1843))"),"LDSPBFLLWDDVQJPPS")</f>
        <v>LDSPBFLLWDDVQJPPS</v>
      </c>
      <c r="G1844" s="2" t="str">
        <f>IFERROR(__xludf.DUMMYFUNCTION("IF('From Order'!$A1844=COLUMNS($A1844:G1863), LEFT(INDEX(FILTER(G$1:G1843, G$1:G1843&lt;&gt;""""),COUNTA(FILTER(G$1:G1843, G$1:G1843&lt;&gt;""""))), LEN(INDEX(FILTER(G$1:G1843, G$1:G1843&lt;&gt;""""),COUNTA(FILTER(G$1:G1843, G$1:G1843&lt;&gt;""""))))-1), IF('To Order'!$A1844=COL"&amp;"UMNS($A1844:G1863), G1843&amp;RIGHT(INDIRECT(ADDRESS(ROW(G1844)-1, 'From Order'!$A1844)), 1), G1843))"),"MDJMBVRR")</f>
        <v>MDJMBVRR</v>
      </c>
      <c r="H1844" s="2" t="str">
        <f>IFERROR(__xludf.DUMMYFUNCTION("IF('From Order'!$A1844=COLUMNS($A1844:H1863), LEFT(INDEX(FILTER(H$1:H1843, H$1:H1843&lt;&gt;""""),COUNTA(FILTER(H$1:H1843, H$1:H1843&lt;&gt;""""))), LEN(INDEX(FILTER(H$1:H1843, H$1:H1843&lt;&gt;""""),COUNTA(FILTER(H$1:H1843, H$1:H1843&lt;&gt;""""))))-1), IF('To Order'!$A1844=COL"&amp;"UMNS($A1844:H1863), H1843&amp;RIGHT(INDIRECT(ADDRESS(ROW(H1844)-1, 'From Order'!$A1844)), 1), H1843))"),"")</f>
        <v/>
      </c>
      <c r="I1844" s="2" t="str">
        <f>IFERROR(__xludf.DUMMYFUNCTION("IF('From Order'!$A1844=COLUMNS($A1844:I1863), LEFT(INDEX(FILTER(I$1:I1843, I$1:I1843&lt;&gt;""""),COUNTA(FILTER(I$1:I1843, I$1:I1843&lt;&gt;""""))), LEN(INDEX(FILTER(I$1:I1843, I$1:I1843&lt;&gt;""""),COUNTA(FILTER(I$1:I1843, I$1:I1843&lt;&gt;""""))))-1), IF('To Order'!$A1844=COL"&amp;"UMNS($A1844:I1863), I1843&amp;RIGHT(INDIRECT(ADDRESS(ROW(I1844)-1, 'From Order'!$A1844)), 1), I1843))"),"")</f>
        <v/>
      </c>
    </row>
    <row r="1845">
      <c r="A1845" s="2" t="str">
        <f>IFERROR(__xludf.DUMMYFUNCTION("IF('From Order'!$A1845=COLUMNS($A1845:A1864), LEFT(INDEX(FILTER(A$1:A1844, A$1:A1844&lt;&gt;""""),COUNTA(FILTER(A$1:A1844, A$1:A1844&lt;&gt;""""))), LEN(INDEX(FILTER(A$1:A1844, A$1:A1844&lt;&gt;""""),COUNTA(FILTER(A$1:A1844, A$1:A1844&lt;&gt;""""))))-1), IF('To Order'!$A1845=COL"&amp;"UMNS($A1845:A1864), A1844&amp;RIGHT(INDIRECT(ADDRESS(ROW(A1845)-1, 'From Order'!$A1845)), 1), A1844))"),"ZHZMTD")</f>
        <v>ZHZMTD</v>
      </c>
      <c r="B1845" s="2" t="str">
        <f>IFERROR(__xludf.DUMMYFUNCTION("IF('From Order'!$A1845=COLUMNS($A1845:B1864), LEFT(INDEX(FILTER(B$1:B1844, B$1:B1844&lt;&gt;""""),COUNTA(FILTER(B$1:B1844, B$1:B1844&lt;&gt;""""))), LEN(INDEX(FILTER(B$1:B1844, B$1:B1844&lt;&gt;""""),COUNTA(FILTER(B$1:B1844, B$1:B1844&lt;&gt;""""))))-1), IF('To Order'!$A1845=COL"&amp;"UMNS($A1845:B1864), B1844&amp;RIGHT(INDIRECT(ADDRESS(ROW(B1845)-1, 'From Order'!$A1845)), 1), B1844))"),"GTTJ")</f>
        <v>GTTJ</v>
      </c>
      <c r="C1845" s="2" t="str">
        <f>IFERROR(__xludf.DUMMYFUNCTION("IF('From Order'!$A1845=COLUMNS($A1845:C1864), LEFT(INDEX(FILTER(C$1:C1844, C$1:C1844&lt;&gt;""""),COUNTA(FILTER(C$1:C1844, C$1:C1844&lt;&gt;""""))), LEN(INDEX(FILTER(C$1:C1844, C$1:C1844&lt;&gt;""""),COUNTA(FILTER(C$1:C1844, C$1:C1844&lt;&gt;""""))))-1), IF('To Order'!$A1845=COL"&amp;"UMNS($A1845:C1864), C1844&amp;RIGHT(INDIRECT(ADDRESS(ROW(C1845)-1, 'From Order'!$A1845)), 1), C1844))"),"")</f>
        <v/>
      </c>
      <c r="D1845" s="2" t="str">
        <f>IFERROR(__xludf.DUMMYFUNCTION("IF('From Order'!$A1845=COLUMNS($A1845:D1864), LEFT(INDEX(FILTER(D$1:D1844, D$1:D1844&lt;&gt;""""),COUNTA(FILTER(D$1:D1844, D$1:D1844&lt;&gt;""""))), LEN(INDEX(FILTER(D$1:D1844, D$1:D1844&lt;&gt;""""),COUNTA(FILTER(D$1:D1844, D$1:D1844&lt;&gt;""""))))-1), IF('To Order'!$A1845=COL"&amp;"UMNS($A1845:D1864), D1844&amp;RIGHT(INDIRECT(ADDRESS(ROW(D1845)-1, 'From Order'!$A1845)), 1), D1844))"),"RB")</f>
        <v>RB</v>
      </c>
      <c r="E1845" s="2" t="str">
        <f>IFERROR(__xludf.DUMMYFUNCTION("IF('From Order'!$A1845=COLUMNS($A1845:E1864), LEFT(INDEX(FILTER(E$1:E1844, E$1:E1844&lt;&gt;""""),COUNTA(FILTER(E$1:E1844, E$1:E1844&lt;&gt;""""))), LEN(INDEX(FILTER(E$1:E1844, E$1:E1844&lt;&gt;""""),COUNTA(FILTER(E$1:E1844, E$1:E1844&lt;&gt;""""))))-1), IF('To Order'!$A1845=COL"&amp;"UMNS($A1845:E1864), E1844&amp;RIGHT(INDIRECT(ADDRESS(ROW(E1845)-1, 'From Order'!$A1845)), 1), E1844))"),"CQTRTCVDRGBHFSCZWT")</f>
        <v>CQTRTCVDRGBHFSCZWT</v>
      </c>
      <c r="F1845" s="2" t="str">
        <f>IFERROR(__xludf.DUMMYFUNCTION("IF('From Order'!$A1845=COLUMNS($A1845:F1864), LEFT(INDEX(FILTER(F$1:F1844, F$1:F1844&lt;&gt;""""),COUNTA(FILTER(F$1:F1844, F$1:F1844&lt;&gt;""""))), LEN(INDEX(FILTER(F$1:F1844, F$1:F1844&lt;&gt;""""),COUNTA(FILTER(F$1:F1844, F$1:F1844&lt;&gt;""""))))-1), IF('To Order'!$A1845=COL"&amp;"UMNS($A1845:F1864), F1844&amp;RIGHT(INDIRECT(ADDRESS(ROW(F1845)-1, 'From Order'!$A1845)), 1), F1844))"),"LDSPBFLLWDDVQJPPSS")</f>
        <v>LDSPBFLLWDDVQJPPSS</v>
      </c>
      <c r="G1845" s="2" t="str">
        <f>IFERROR(__xludf.DUMMYFUNCTION("IF('From Order'!$A1845=COLUMNS($A1845:G1864), LEFT(INDEX(FILTER(G$1:G1844, G$1:G1844&lt;&gt;""""),COUNTA(FILTER(G$1:G1844, G$1:G1844&lt;&gt;""""))), LEN(INDEX(FILTER(G$1:G1844, G$1:G1844&lt;&gt;""""),COUNTA(FILTER(G$1:G1844, G$1:G1844&lt;&gt;""""))))-1), IF('To Order'!$A1845=COL"&amp;"UMNS($A1845:G1864), G1844&amp;RIGHT(INDIRECT(ADDRESS(ROW(G1845)-1, 'From Order'!$A1845)), 1), G1844))"),"MDJMBVRR")</f>
        <v>MDJMBVRR</v>
      </c>
      <c r="H1845" s="2" t="str">
        <f>IFERROR(__xludf.DUMMYFUNCTION("IF('From Order'!$A1845=COLUMNS($A1845:H1864), LEFT(INDEX(FILTER(H$1:H1844, H$1:H1844&lt;&gt;""""),COUNTA(FILTER(H$1:H1844, H$1:H1844&lt;&gt;""""))), LEN(INDEX(FILTER(H$1:H1844, H$1:H1844&lt;&gt;""""),COUNTA(FILTER(H$1:H1844, H$1:H1844&lt;&gt;""""))))-1), IF('To Order'!$A1845=COL"&amp;"UMNS($A1845:H1864), H1844&amp;RIGHT(INDIRECT(ADDRESS(ROW(H1845)-1, 'From Order'!$A1845)), 1), H1844))"),"")</f>
        <v/>
      </c>
      <c r="I1845" s="2" t="str">
        <f>IFERROR(__xludf.DUMMYFUNCTION("IF('From Order'!$A1845=COLUMNS($A1845:I1864), LEFT(INDEX(FILTER(I$1:I1844, I$1:I1844&lt;&gt;""""),COUNTA(FILTER(I$1:I1844, I$1:I1844&lt;&gt;""""))), LEN(INDEX(FILTER(I$1:I1844, I$1:I1844&lt;&gt;""""),COUNTA(FILTER(I$1:I1844, I$1:I1844&lt;&gt;""""))))-1), IF('To Order'!$A1845=COL"&amp;"UMNS($A1845:I1864), I1844&amp;RIGHT(INDIRECT(ADDRESS(ROW(I1845)-1, 'From Order'!$A1845)), 1), I1844))"),"")</f>
        <v/>
      </c>
    </row>
    <row r="1846">
      <c r="A1846" s="2" t="str">
        <f>IFERROR(__xludf.DUMMYFUNCTION("IF('From Order'!$A1846=COLUMNS($A1846:A1865), LEFT(INDEX(FILTER(A$1:A1845, A$1:A1845&lt;&gt;""""),COUNTA(FILTER(A$1:A1845, A$1:A1845&lt;&gt;""""))), LEN(INDEX(FILTER(A$1:A1845, A$1:A1845&lt;&gt;""""),COUNTA(FILTER(A$1:A1845, A$1:A1845&lt;&gt;""""))))-1), IF('To Order'!$A1846=COL"&amp;"UMNS($A1846:A1865), A1845&amp;RIGHT(INDIRECT(ADDRESS(ROW(A1846)-1, 'From Order'!$A1846)), 1), A1845))"),"ZHZMTD")</f>
        <v>ZHZMTD</v>
      </c>
      <c r="B1846" s="2" t="str">
        <f>IFERROR(__xludf.DUMMYFUNCTION("IF('From Order'!$A1846=COLUMNS($A1846:B1865), LEFT(INDEX(FILTER(B$1:B1845, B$1:B1845&lt;&gt;""""),COUNTA(FILTER(B$1:B1845, B$1:B1845&lt;&gt;""""))), LEN(INDEX(FILTER(B$1:B1845, B$1:B1845&lt;&gt;""""),COUNTA(FILTER(B$1:B1845, B$1:B1845&lt;&gt;""""))))-1), IF('To Order'!$A1846=COL"&amp;"UMNS($A1846:B1865), B1845&amp;RIGHT(INDIRECT(ADDRESS(ROW(B1846)-1, 'From Order'!$A1846)), 1), B1845))"),"GTTJ")</f>
        <v>GTTJ</v>
      </c>
      <c r="C1846" s="2" t="str">
        <f>IFERROR(__xludf.DUMMYFUNCTION("IF('From Order'!$A1846=COLUMNS($A1846:C1865), LEFT(INDEX(FILTER(C$1:C1845, C$1:C1845&lt;&gt;""""),COUNTA(FILTER(C$1:C1845, C$1:C1845&lt;&gt;""""))), LEN(INDEX(FILTER(C$1:C1845, C$1:C1845&lt;&gt;""""),COUNTA(FILTER(C$1:C1845, C$1:C1845&lt;&gt;""""))))-1), IF('To Order'!$A1846=COL"&amp;"UMNS($A1846:C1865), C1845&amp;RIGHT(INDIRECT(ADDRESS(ROW(C1846)-1, 'From Order'!$A1846)), 1), C1845))"),"")</f>
        <v/>
      </c>
      <c r="D1846" s="2" t="str">
        <f>IFERROR(__xludf.DUMMYFUNCTION("IF('From Order'!$A1846=COLUMNS($A1846:D1865), LEFT(INDEX(FILTER(D$1:D1845, D$1:D1845&lt;&gt;""""),COUNTA(FILTER(D$1:D1845, D$1:D1845&lt;&gt;""""))), LEN(INDEX(FILTER(D$1:D1845, D$1:D1845&lt;&gt;""""),COUNTA(FILTER(D$1:D1845, D$1:D1845&lt;&gt;""""))))-1), IF('To Order'!$A1846=COL"&amp;"UMNS($A1846:D1865), D1845&amp;RIGHT(INDIRECT(ADDRESS(ROW(D1846)-1, 'From Order'!$A1846)), 1), D1845))"),"RB")</f>
        <v>RB</v>
      </c>
      <c r="E1846" s="2" t="str">
        <f>IFERROR(__xludf.DUMMYFUNCTION("IF('From Order'!$A1846=COLUMNS($A1846:E1865), LEFT(INDEX(FILTER(E$1:E1845, E$1:E1845&lt;&gt;""""),COUNTA(FILTER(E$1:E1845, E$1:E1845&lt;&gt;""""))), LEN(INDEX(FILTER(E$1:E1845, E$1:E1845&lt;&gt;""""),COUNTA(FILTER(E$1:E1845, E$1:E1845&lt;&gt;""""))))-1), IF('To Order'!$A1846=COL"&amp;"UMNS($A1846:E1865), E1845&amp;RIGHT(INDIRECT(ADDRESS(ROW(E1846)-1, 'From Order'!$A1846)), 1), E1845))"),"CQTRTCVDRGBHFSCZW")</f>
        <v>CQTRTCVDRGBHFSCZW</v>
      </c>
      <c r="F1846" s="2" t="str">
        <f>IFERROR(__xludf.DUMMYFUNCTION("IF('From Order'!$A1846=COLUMNS($A1846:F1865), LEFT(INDEX(FILTER(F$1:F1845, F$1:F1845&lt;&gt;""""),COUNTA(FILTER(F$1:F1845, F$1:F1845&lt;&gt;""""))), LEN(INDEX(FILTER(F$1:F1845, F$1:F1845&lt;&gt;""""),COUNTA(FILTER(F$1:F1845, F$1:F1845&lt;&gt;""""))))-1), IF('To Order'!$A1846=COL"&amp;"UMNS($A1846:F1865), F1845&amp;RIGHT(INDIRECT(ADDRESS(ROW(F1846)-1, 'From Order'!$A1846)), 1), F1845))"),"LDSPBFLLWDDVQJPPSST")</f>
        <v>LDSPBFLLWDDVQJPPSST</v>
      </c>
      <c r="G1846" s="2" t="str">
        <f>IFERROR(__xludf.DUMMYFUNCTION("IF('From Order'!$A1846=COLUMNS($A1846:G1865), LEFT(INDEX(FILTER(G$1:G1845, G$1:G1845&lt;&gt;""""),COUNTA(FILTER(G$1:G1845, G$1:G1845&lt;&gt;""""))), LEN(INDEX(FILTER(G$1:G1845, G$1:G1845&lt;&gt;""""),COUNTA(FILTER(G$1:G1845, G$1:G1845&lt;&gt;""""))))-1), IF('To Order'!$A1846=COL"&amp;"UMNS($A1846:G1865), G1845&amp;RIGHT(INDIRECT(ADDRESS(ROW(G1846)-1, 'From Order'!$A1846)), 1), G1845))"),"MDJMBVRR")</f>
        <v>MDJMBVRR</v>
      </c>
      <c r="H1846" s="2" t="str">
        <f>IFERROR(__xludf.DUMMYFUNCTION("IF('From Order'!$A1846=COLUMNS($A1846:H1865), LEFT(INDEX(FILTER(H$1:H1845, H$1:H1845&lt;&gt;""""),COUNTA(FILTER(H$1:H1845, H$1:H1845&lt;&gt;""""))), LEN(INDEX(FILTER(H$1:H1845, H$1:H1845&lt;&gt;""""),COUNTA(FILTER(H$1:H1845, H$1:H1845&lt;&gt;""""))))-1), IF('To Order'!$A1846=COL"&amp;"UMNS($A1846:H1865), H1845&amp;RIGHT(INDIRECT(ADDRESS(ROW(H1846)-1, 'From Order'!$A1846)), 1), H1845))"),"")</f>
        <v/>
      </c>
      <c r="I1846" s="2" t="str">
        <f>IFERROR(__xludf.DUMMYFUNCTION("IF('From Order'!$A1846=COLUMNS($A1846:I1865), LEFT(INDEX(FILTER(I$1:I1845, I$1:I1845&lt;&gt;""""),COUNTA(FILTER(I$1:I1845, I$1:I1845&lt;&gt;""""))), LEN(INDEX(FILTER(I$1:I1845, I$1:I1845&lt;&gt;""""),COUNTA(FILTER(I$1:I1845, I$1:I1845&lt;&gt;""""))))-1), IF('To Order'!$A1846=COL"&amp;"UMNS($A1846:I1865), I1845&amp;RIGHT(INDIRECT(ADDRESS(ROW(I1846)-1, 'From Order'!$A1846)), 1), I1845))"),"")</f>
        <v/>
      </c>
    </row>
    <row r="1847">
      <c r="A1847" s="2" t="str">
        <f>IFERROR(__xludf.DUMMYFUNCTION("IF('From Order'!$A1847=COLUMNS($A1847:A1866), LEFT(INDEX(FILTER(A$1:A1846, A$1:A1846&lt;&gt;""""),COUNTA(FILTER(A$1:A1846, A$1:A1846&lt;&gt;""""))), LEN(INDEX(FILTER(A$1:A1846, A$1:A1846&lt;&gt;""""),COUNTA(FILTER(A$1:A1846, A$1:A1846&lt;&gt;""""))))-1), IF('To Order'!$A1847=COL"&amp;"UMNS($A1847:A1866), A1846&amp;RIGHT(INDIRECT(ADDRESS(ROW(A1847)-1, 'From Order'!$A1847)), 1), A1846))"),"ZHZMTD")</f>
        <v>ZHZMTD</v>
      </c>
      <c r="B1847" s="2" t="str">
        <f>IFERROR(__xludf.DUMMYFUNCTION("IF('From Order'!$A1847=COLUMNS($A1847:B1866), LEFT(INDEX(FILTER(B$1:B1846, B$1:B1846&lt;&gt;""""),COUNTA(FILTER(B$1:B1846, B$1:B1846&lt;&gt;""""))), LEN(INDEX(FILTER(B$1:B1846, B$1:B1846&lt;&gt;""""),COUNTA(FILTER(B$1:B1846, B$1:B1846&lt;&gt;""""))))-1), IF('To Order'!$A1847=COL"&amp;"UMNS($A1847:B1866), B1846&amp;RIGHT(INDIRECT(ADDRESS(ROW(B1847)-1, 'From Order'!$A1847)), 1), B1846))"),"GTTJ")</f>
        <v>GTTJ</v>
      </c>
      <c r="C1847" s="2" t="str">
        <f>IFERROR(__xludf.DUMMYFUNCTION("IF('From Order'!$A1847=COLUMNS($A1847:C1866), LEFT(INDEX(FILTER(C$1:C1846, C$1:C1846&lt;&gt;""""),COUNTA(FILTER(C$1:C1846, C$1:C1846&lt;&gt;""""))), LEN(INDEX(FILTER(C$1:C1846, C$1:C1846&lt;&gt;""""),COUNTA(FILTER(C$1:C1846, C$1:C1846&lt;&gt;""""))))-1), IF('To Order'!$A1847=COL"&amp;"UMNS($A1847:C1866), C1846&amp;RIGHT(INDIRECT(ADDRESS(ROW(C1847)-1, 'From Order'!$A1847)), 1), C1846))"),"")</f>
        <v/>
      </c>
      <c r="D1847" s="2" t="str">
        <f>IFERROR(__xludf.DUMMYFUNCTION("IF('From Order'!$A1847=COLUMNS($A1847:D1866), LEFT(INDEX(FILTER(D$1:D1846, D$1:D1846&lt;&gt;""""),COUNTA(FILTER(D$1:D1846, D$1:D1846&lt;&gt;""""))), LEN(INDEX(FILTER(D$1:D1846, D$1:D1846&lt;&gt;""""),COUNTA(FILTER(D$1:D1846, D$1:D1846&lt;&gt;""""))))-1), IF('To Order'!$A1847=COL"&amp;"UMNS($A1847:D1866), D1846&amp;RIGHT(INDIRECT(ADDRESS(ROW(D1847)-1, 'From Order'!$A1847)), 1), D1846))"),"RB")</f>
        <v>RB</v>
      </c>
      <c r="E1847" s="2" t="str">
        <f>IFERROR(__xludf.DUMMYFUNCTION("IF('From Order'!$A1847=COLUMNS($A1847:E1866), LEFT(INDEX(FILTER(E$1:E1846, E$1:E1846&lt;&gt;""""),COUNTA(FILTER(E$1:E1846, E$1:E1846&lt;&gt;""""))), LEN(INDEX(FILTER(E$1:E1846, E$1:E1846&lt;&gt;""""),COUNTA(FILTER(E$1:E1846, E$1:E1846&lt;&gt;""""))))-1), IF('To Order'!$A1847=COL"&amp;"UMNS($A1847:E1866), E1846&amp;RIGHT(INDIRECT(ADDRESS(ROW(E1847)-1, 'From Order'!$A1847)), 1), E1846))"),"CQTRTCVDRGBHFSCZ")</f>
        <v>CQTRTCVDRGBHFSCZ</v>
      </c>
      <c r="F1847" s="2" t="str">
        <f>IFERROR(__xludf.DUMMYFUNCTION("IF('From Order'!$A1847=COLUMNS($A1847:F1866), LEFT(INDEX(FILTER(F$1:F1846, F$1:F1846&lt;&gt;""""),COUNTA(FILTER(F$1:F1846, F$1:F1846&lt;&gt;""""))), LEN(INDEX(FILTER(F$1:F1846, F$1:F1846&lt;&gt;""""),COUNTA(FILTER(F$1:F1846, F$1:F1846&lt;&gt;""""))))-1), IF('To Order'!$A1847=COL"&amp;"UMNS($A1847:F1866), F1846&amp;RIGHT(INDIRECT(ADDRESS(ROW(F1847)-1, 'From Order'!$A1847)), 1), F1846))"),"LDSPBFLLWDDVQJPPSSTW")</f>
        <v>LDSPBFLLWDDVQJPPSSTW</v>
      </c>
      <c r="G1847" s="2" t="str">
        <f>IFERROR(__xludf.DUMMYFUNCTION("IF('From Order'!$A1847=COLUMNS($A1847:G1866), LEFT(INDEX(FILTER(G$1:G1846, G$1:G1846&lt;&gt;""""),COUNTA(FILTER(G$1:G1846, G$1:G1846&lt;&gt;""""))), LEN(INDEX(FILTER(G$1:G1846, G$1:G1846&lt;&gt;""""),COUNTA(FILTER(G$1:G1846, G$1:G1846&lt;&gt;""""))))-1), IF('To Order'!$A1847=COL"&amp;"UMNS($A1847:G1866), G1846&amp;RIGHT(INDIRECT(ADDRESS(ROW(G1847)-1, 'From Order'!$A1847)), 1), G1846))"),"MDJMBVRR")</f>
        <v>MDJMBVRR</v>
      </c>
      <c r="H1847" s="2" t="str">
        <f>IFERROR(__xludf.DUMMYFUNCTION("IF('From Order'!$A1847=COLUMNS($A1847:H1866), LEFT(INDEX(FILTER(H$1:H1846, H$1:H1846&lt;&gt;""""),COUNTA(FILTER(H$1:H1846, H$1:H1846&lt;&gt;""""))), LEN(INDEX(FILTER(H$1:H1846, H$1:H1846&lt;&gt;""""),COUNTA(FILTER(H$1:H1846, H$1:H1846&lt;&gt;""""))))-1), IF('To Order'!$A1847=COL"&amp;"UMNS($A1847:H1866), H1846&amp;RIGHT(INDIRECT(ADDRESS(ROW(H1847)-1, 'From Order'!$A1847)), 1), H1846))"),"")</f>
        <v/>
      </c>
      <c r="I1847" s="2" t="str">
        <f>IFERROR(__xludf.DUMMYFUNCTION("IF('From Order'!$A1847=COLUMNS($A1847:I1866), LEFT(INDEX(FILTER(I$1:I1846, I$1:I1846&lt;&gt;""""),COUNTA(FILTER(I$1:I1846, I$1:I1846&lt;&gt;""""))), LEN(INDEX(FILTER(I$1:I1846, I$1:I1846&lt;&gt;""""),COUNTA(FILTER(I$1:I1846, I$1:I1846&lt;&gt;""""))))-1), IF('To Order'!$A1847=COL"&amp;"UMNS($A1847:I1866), I1846&amp;RIGHT(INDIRECT(ADDRESS(ROW(I1847)-1, 'From Order'!$A1847)), 1), I1846))"),"")</f>
        <v/>
      </c>
    </row>
    <row r="1848">
      <c r="A1848" s="2" t="str">
        <f>IFERROR(__xludf.DUMMYFUNCTION("IF('From Order'!$A1848=COLUMNS($A1848:A1867), LEFT(INDEX(FILTER(A$1:A1847, A$1:A1847&lt;&gt;""""),COUNTA(FILTER(A$1:A1847, A$1:A1847&lt;&gt;""""))), LEN(INDEX(FILTER(A$1:A1847, A$1:A1847&lt;&gt;""""),COUNTA(FILTER(A$1:A1847, A$1:A1847&lt;&gt;""""))))-1), IF('To Order'!$A1848=COL"&amp;"UMNS($A1848:A1867), A1847&amp;RIGHT(INDIRECT(ADDRESS(ROW(A1848)-1, 'From Order'!$A1848)), 1), A1847))"),"ZHZMTD")</f>
        <v>ZHZMTD</v>
      </c>
      <c r="B1848" s="2" t="str">
        <f>IFERROR(__xludf.DUMMYFUNCTION("IF('From Order'!$A1848=COLUMNS($A1848:B1867), LEFT(INDEX(FILTER(B$1:B1847, B$1:B1847&lt;&gt;""""),COUNTA(FILTER(B$1:B1847, B$1:B1847&lt;&gt;""""))), LEN(INDEX(FILTER(B$1:B1847, B$1:B1847&lt;&gt;""""),COUNTA(FILTER(B$1:B1847, B$1:B1847&lt;&gt;""""))))-1), IF('To Order'!$A1848=COL"&amp;"UMNS($A1848:B1867), B1847&amp;RIGHT(INDIRECT(ADDRESS(ROW(B1848)-1, 'From Order'!$A1848)), 1), B1847))"),"GTTJ")</f>
        <v>GTTJ</v>
      </c>
      <c r="C1848" s="2" t="str">
        <f>IFERROR(__xludf.DUMMYFUNCTION("IF('From Order'!$A1848=COLUMNS($A1848:C1867), LEFT(INDEX(FILTER(C$1:C1847, C$1:C1847&lt;&gt;""""),COUNTA(FILTER(C$1:C1847, C$1:C1847&lt;&gt;""""))), LEN(INDEX(FILTER(C$1:C1847, C$1:C1847&lt;&gt;""""),COUNTA(FILTER(C$1:C1847, C$1:C1847&lt;&gt;""""))))-1), IF('To Order'!$A1848=COL"&amp;"UMNS($A1848:C1867), C1847&amp;RIGHT(INDIRECT(ADDRESS(ROW(C1848)-1, 'From Order'!$A1848)), 1), C1847))"),"")</f>
        <v/>
      </c>
      <c r="D1848" s="2" t="str">
        <f>IFERROR(__xludf.DUMMYFUNCTION("IF('From Order'!$A1848=COLUMNS($A1848:D1867), LEFT(INDEX(FILTER(D$1:D1847, D$1:D1847&lt;&gt;""""),COUNTA(FILTER(D$1:D1847, D$1:D1847&lt;&gt;""""))), LEN(INDEX(FILTER(D$1:D1847, D$1:D1847&lt;&gt;""""),COUNTA(FILTER(D$1:D1847, D$1:D1847&lt;&gt;""""))))-1), IF('To Order'!$A1848=COL"&amp;"UMNS($A1848:D1867), D1847&amp;RIGHT(INDIRECT(ADDRESS(ROW(D1848)-1, 'From Order'!$A1848)), 1), D1847))"),"RB")</f>
        <v>RB</v>
      </c>
      <c r="E1848" s="2" t="str">
        <f>IFERROR(__xludf.DUMMYFUNCTION("IF('From Order'!$A1848=COLUMNS($A1848:E1867), LEFT(INDEX(FILTER(E$1:E1847, E$1:E1847&lt;&gt;""""),COUNTA(FILTER(E$1:E1847, E$1:E1847&lt;&gt;""""))), LEN(INDEX(FILTER(E$1:E1847, E$1:E1847&lt;&gt;""""),COUNTA(FILTER(E$1:E1847, E$1:E1847&lt;&gt;""""))))-1), IF('To Order'!$A1848=COL"&amp;"UMNS($A1848:E1867), E1847&amp;RIGHT(INDIRECT(ADDRESS(ROW(E1848)-1, 'From Order'!$A1848)), 1), E1847))"),"CQTRTCVDRGBHFSC")</f>
        <v>CQTRTCVDRGBHFSC</v>
      </c>
      <c r="F1848" s="2" t="str">
        <f>IFERROR(__xludf.DUMMYFUNCTION("IF('From Order'!$A1848=COLUMNS($A1848:F1867), LEFT(INDEX(FILTER(F$1:F1847, F$1:F1847&lt;&gt;""""),COUNTA(FILTER(F$1:F1847, F$1:F1847&lt;&gt;""""))), LEN(INDEX(FILTER(F$1:F1847, F$1:F1847&lt;&gt;""""),COUNTA(FILTER(F$1:F1847, F$1:F1847&lt;&gt;""""))))-1), IF('To Order'!$A1848=COL"&amp;"UMNS($A1848:F1867), F1847&amp;RIGHT(INDIRECT(ADDRESS(ROW(F1848)-1, 'From Order'!$A1848)), 1), F1847))"),"LDSPBFLLWDDVQJPPSSTWZ")</f>
        <v>LDSPBFLLWDDVQJPPSSTWZ</v>
      </c>
      <c r="G1848" s="2" t="str">
        <f>IFERROR(__xludf.DUMMYFUNCTION("IF('From Order'!$A1848=COLUMNS($A1848:G1867), LEFT(INDEX(FILTER(G$1:G1847, G$1:G1847&lt;&gt;""""),COUNTA(FILTER(G$1:G1847, G$1:G1847&lt;&gt;""""))), LEN(INDEX(FILTER(G$1:G1847, G$1:G1847&lt;&gt;""""),COUNTA(FILTER(G$1:G1847, G$1:G1847&lt;&gt;""""))))-1), IF('To Order'!$A1848=COL"&amp;"UMNS($A1848:G1867), G1847&amp;RIGHT(INDIRECT(ADDRESS(ROW(G1848)-1, 'From Order'!$A1848)), 1), G1847))"),"MDJMBVRR")</f>
        <v>MDJMBVRR</v>
      </c>
      <c r="H1848" s="2" t="str">
        <f>IFERROR(__xludf.DUMMYFUNCTION("IF('From Order'!$A1848=COLUMNS($A1848:H1867), LEFT(INDEX(FILTER(H$1:H1847, H$1:H1847&lt;&gt;""""),COUNTA(FILTER(H$1:H1847, H$1:H1847&lt;&gt;""""))), LEN(INDEX(FILTER(H$1:H1847, H$1:H1847&lt;&gt;""""),COUNTA(FILTER(H$1:H1847, H$1:H1847&lt;&gt;""""))))-1), IF('To Order'!$A1848=COL"&amp;"UMNS($A1848:H1867), H1847&amp;RIGHT(INDIRECT(ADDRESS(ROW(H1848)-1, 'From Order'!$A1848)), 1), H1847))"),"")</f>
        <v/>
      </c>
      <c r="I1848" s="2" t="str">
        <f>IFERROR(__xludf.DUMMYFUNCTION("IF('From Order'!$A1848=COLUMNS($A1848:I1867), LEFT(INDEX(FILTER(I$1:I1847, I$1:I1847&lt;&gt;""""),COUNTA(FILTER(I$1:I1847, I$1:I1847&lt;&gt;""""))), LEN(INDEX(FILTER(I$1:I1847, I$1:I1847&lt;&gt;""""),COUNTA(FILTER(I$1:I1847, I$1:I1847&lt;&gt;""""))))-1), IF('To Order'!$A1848=COL"&amp;"UMNS($A1848:I1867), I1847&amp;RIGHT(INDIRECT(ADDRESS(ROW(I1848)-1, 'From Order'!$A1848)), 1), I1847))"),"")</f>
        <v/>
      </c>
    </row>
    <row r="1849">
      <c r="A1849" s="2" t="str">
        <f>IFERROR(__xludf.DUMMYFUNCTION("IF('From Order'!$A1849=COLUMNS($A1849:A1868), LEFT(INDEX(FILTER(A$1:A1848, A$1:A1848&lt;&gt;""""),COUNTA(FILTER(A$1:A1848, A$1:A1848&lt;&gt;""""))), LEN(INDEX(FILTER(A$1:A1848, A$1:A1848&lt;&gt;""""),COUNTA(FILTER(A$1:A1848, A$1:A1848&lt;&gt;""""))))-1), IF('To Order'!$A1849=COL"&amp;"UMNS($A1849:A1868), A1848&amp;RIGHT(INDIRECT(ADDRESS(ROW(A1849)-1, 'From Order'!$A1849)), 1), A1848))"),"ZHZMTD")</f>
        <v>ZHZMTD</v>
      </c>
      <c r="B1849" s="2" t="str">
        <f>IFERROR(__xludf.DUMMYFUNCTION("IF('From Order'!$A1849=COLUMNS($A1849:B1868), LEFT(INDEX(FILTER(B$1:B1848, B$1:B1848&lt;&gt;""""),COUNTA(FILTER(B$1:B1848, B$1:B1848&lt;&gt;""""))), LEN(INDEX(FILTER(B$1:B1848, B$1:B1848&lt;&gt;""""),COUNTA(FILTER(B$1:B1848, B$1:B1848&lt;&gt;""""))))-1), IF('To Order'!$A1849=COL"&amp;"UMNS($A1849:B1868), B1848&amp;RIGHT(INDIRECT(ADDRESS(ROW(B1849)-1, 'From Order'!$A1849)), 1), B1848))"),"GTTJ")</f>
        <v>GTTJ</v>
      </c>
      <c r="C1849" s="2" t="str">
        <f>IFERROR(__xludf.DUMMYFUNCTION("IF('From Order'!$A1849=COLUMNS($A1849:C1868), LEFT(INDEX(FILTER(C$1:C1848, C$1:C1848&lt;&gt;""""),COUNTA(FILTER(C$1:C1848, C$1:C1848&lt;&gt;""""))), LEN(INDEX(FILTER(C$1:C1848, C$1:C1848&lt;&gt;""""),COUNTA(FILTER(C$1:C1848, C$1:C1848&lt;&gt;""""))))-1), IF('To Order'!$A1849=COL"&amp;"UMNS($A1849:C1868), C1848&amp;RIGHT(INDIRECT(ADDRESS(ROW(C1849)-1, 'From Order'!$A1849)), 1), C1848))"),"")</f>
        <v/>
      </c>
      <c r="D1849" s="2" t="str">
        <f>IFERROR(__xludf.DUMMYFUNCTION("IF('From Order'!$A1849=COLUMNS($A1849:D1868), LEFT(INDEX(FILTER(D$1:D1848, D$1:D1848&lt;&gt;""""),COUNTA(FILTER(D$1:D1848, D$1:D1848&lt;&gt;""""))), LEN(INDEX(FILTER(D$1:D1848, D$1:D1848&lt;&gt;""""),COUNTA(FILTER(D$1:D1848, D$1:D1848&lt;&gt;""""))))-1), IF('To Order'!$A1849=COL"&amp;"UMNS($A1849:D1868), D1848&amp;RIGHT(INDIRECT(ADDRESS(ROW(D1849)-1, 'From Order'!$A1849)), 1), D1848))"),"RB")</f>
        <v>RB</v>
      </c>
      <c r="E1849" s="2" t="str">
        <f>IFERROR(__xludf.DUMMYFUNCTION("IF('From Order'!$A1849=COLUMNS($A1849:E1868), LEFT(INDEX(FILTER(E$1:E1848, E$1:E1848&lt;&gt;""""),COUNTA(FILTER(E$1:E1848, E$1:E1848&lt;&gt;""""))), LEN(INDEX(FILTER(E$1:E1848, E$1:E1848&lt;&gt;""""),COUNTA(FILTER(E$1:E1848, E$1:E1848&lt;&gt;""""))))-1), IF('To Order'!$A1849=COL"&amp;"UMNS($A1849:E1868), E1848&amp;RIGHT(INDIRECT(ADDRESS(ROW(E1849)-1, 'From Order'!$A1849)), 1), E1848))"),"CQTRTCVDRGBHFS")</f>
        <v>CQTRTCVDRGBHFS</v>
      </c>
      <c r="F1849" s="2" t="str">
        <f>IFERROR(__xludf.DUMMYFUNCTION("IF('From Order'!$A1849=COLUMNS($A1849:F1868), LEFT(INDEX(FILTER(F$1:F1848, F$1:F1848&lt;&gt;""""),COUNTA(FILTER(F$1:F1848, F$1:F1848&lt;&gt;""""))), LEN(INDEX(FILTER(F$1:F1848, F$1:F1848&lt;&gt;""""),COUNTA(FILTER(F$1:F1848, F$1:F1848&lt;&gt;""""))))-1), IF('To Order'!$A1849=COL"&amp;"UMNS($A1849:F1868), F1848&amp;RIGHT(INDIRECT(ADDRESS(ROW(F1849)-1, 'From Order'!$A1849)), 1), F1848))"),"LDSPBFLLWDDVQJPPSSTWZC")</f>
        <v>LDSPBFLLWDDVQJPPSSTWZC</v>
      </c>
      <c r="G1849" s="2" t="str">
        <f>IFERROR(__xludf.DUMMYFUNCTION("IF('From Order'!$A1849=COLUMNS($A1849:G1868), LEFT(INDEX(FILTER(G$1:G1848, G$1:G1848&lt;&gt;""""),COUNTA(FILTER(G$1:G1848, G$1:G1848&lt;&gt;""""))), LEN(INDEX(FILTER(G$1:G1848, G$1:G1848&lt;&gt;""""),COUNTA(FILTER(G$1:G1848, G$1:G1848&lt;&gt;""""))))-1), IF('To Order'!$A1849=COL"&amp;"UMNS($A1849:G1868), G1848&amp;RIGHT(INDIRECT(ADDRESS(ROW(G1849)-1, 'From Order'!$A1849)), 1), G1848))"),"MDJMBVRR")</f>
        <v>MDJMBVRR</v>
      </c>
      <c r="H1849" s="2" t="str">
        <f>IFERROR(__xludf.DUMMYFUNCTION("IF('From Order'!$A1849=COLUMNS($A1849:H1868), LEFT(INDEX(FILTER(H$1:H1848, H$1:H1848&lt;&gt;""""),COUNTA(FILTER(H$1:H1848, H$1:H1848&lt;&gt;""""))), LEN(INDEX(FILTER(H$1:H1848, H$1:H1848&lt;&gt;""""),COUNTA(FILTER(H$1:H1848, H$1:H1848&lt;&gt;""""))))-1), IF('To Order'!$A1849=COL"&amp;"UMNS($A1849:H1868), H1848&amp;RIGHT(INDIRECT(ADDRESS(ROW(H1849)-1, 'From Order'!$A1849)), 1), H1848))"),"")</f>
        <v/>
      </c>
      <c r="I1849" s="2" t="str">
        <f>IFERROR(__xludf.DUMMYFUNCTION("IF('From Order'!$A1849=COLUMNS($A1849:I1868), LEFT(INDEX(FILTER(I$1:I1848, I$1:I1848&lt;&gt;""""),COUNTA(FILTER(I$1:I1848, I$1:I1848&lt;&gt;""""))), LEN(INDEX(FILTER(I$1:I1848, I$1:I1848&lt;&gt;""""),COUNTA(FILTER(I$1:I1848, I$1:I1848&lt;&gt;""""))))-1), IF('To Order'!$A1849=COL"&amp;"UMNS($A1849:I1868), I1848&amp;RIGHT(INDIRECT(ADDRESS(ROW(I1849)-1, 'From Order'!$A1849)), 1), I1848))"),"")</f>
        <v/>
      </c>
    </row>
    <row r="1850">
      <c r="A1850" s="2" t="str">
        <f>IFERROR(__xludf.DUMMYFUNCTION("IF('From Order'!$A1850=COLUMNS($A1850:A1869), LEFT(INDEX(FILTER(A$1:A1849, A$1:A1849&lt;&gt;""""),COUNTA(FILTER(A$1:A1849, A$1:A1849&lt;&gt;""""))), LEN(INDEX(FILTER(A$1:A1849, A$1:A1849&lt;&gt;""""),COUNTA(FILTER(A$1:A1849, A$1:A1849&lt;&gt;""""))))-1), IF('To Order'!$A1850=COL"&amp;"UMNS($A1850:A1869), A1849&amp;RIGHT(INDIRECT(ADDRESS(ROW(A1850)-1, 'From Order'!$A1850)), 1), A1849))"),"ZHZMTD")</f>
        <v>ZHZMTD</v>
      </c>
      <c r="B1850" s="2" t="str">
        <f>IFERROR(__xludf.DUMMYFUNCTION("IF('From Order'!$A1850=COLUMNS($A1850:B1869), LEFT(INDEX(FILTER(B$1:B1849, B$1:B1849&lt;&gt;""""),COUNTA(FILTER(B$1:B1849, B$1:B1849&lt;&gt;""""))), LEN(INDEX(FILTER(B$1:B1849, B$1:B1849&lt;&gt;""""),COUNTA(FILTER(B$1:B1849, B$1:B1849&lt;&gt;""""))))-1), IF('To Order'!$A1850=COL"&amp;"UMNS($A1850:B1869), B1849&amp;RIGHT(INDIRECT(ADDRESS(ROW(B1850)-1, 'From Order'!$A1850)), 1), B1849))"),"GTTJ")</f>
        <v>GTTJ</v>
      </c>
      <c r="C1850" s="2" t="str">
        <f>IFERROR(__xludf.DUMMYFUNCTION("IF('From Order'!$A1850=COLUMNS($A1850:C1869), LEFT(INDEX(FILTER(C$1:C1849, C$1:C1849&lt;&gt;""""),COUNTA(FILTER(C$1:C1849, C$1:C1849&lt;&gt;""""))), LEN(INDEX(FILTER(C$1:C1849, C$1:C1849&lt;&gt;""""),COUNTA(FILTER(C$1:C1849, C$1:C1849&lt;&gt;""""))))-1), IF('To Order'!$A1850=COL"&amp;"UMNS($A1850:C1869), C1849&amp;RIGHT(INDIRECT(ADDRESS(ROW(C1850)-1, 'From Order'!$A1850)), 1), C1849))"),"")</f>
        <v/>
      </c>
      <c r="D1850" s="2" t="str">
        <f>IFERROR(__xludf.DUMMYFUNCTION("IF('From Order'!$A1850=COLUMNS($A1850:D1869), LEFT(INDEX(FILTER(D$1:D1849, D$1:D1849&lt;&gt;""""),COUNTA(FILTER(D$1:D1849, D$1:D1849&lt;&gt;""""))), LEN(INDEX(FILTER(D$1:D1849, D$1:D1849&lt;&gt;""""),COUNTA(FILTER(D$1:D1849, D$1:D1849&lt;&gt;""""))))-1), IF('To Order'!$A1850=COL"&amp;"UMNS($A1850:D1869), D1849&amp;RIGHT(INDIRECT(ADDRESS(ROW(D1850)-1, 'From Order'!$A1850)), 1), D1849))"),"RB")</f>
        <v>RB</v>
      </c>
      <c r="E1850" s="2" t="str">
        <f>IFERROR(__xludf.DUMMYFUNCTION("IF('From Order'!$A1850=COLUMNS($A1850:E1869), LEFT(INDEX(FILTER(E$1:E1849, E$1:E1849&lt;&gt;""""),COUNTA(FILTER(E$1:E1849, E$1:E1849&lt;&gt;""""))), LEN(INDEX(FILTER(E$1:E1849, E$1:E1849&lt;&gt;""""),COUNTA(FILTER(E$1:E1849, E$1:E1849&lt;&gt;""""))))-1), IF('To Order'!$A1850=COL"&amp;"UMNS($A1850:E1869), E1849&amp;RIGHT(INDIRECT(ADDRESS(ROW(E1850)-1, 'From Order'!$A1850)), 1), E1849))"),"CQTRTCVDRGBHF")</f>
        <v>CQTRTCVDRGBHF</v>
      </c>
      <c r="F1850" s="2" t="str">
        <f>IFERROR(__xludf.DUMMYFUNCTION("IF('From Order'!$A1850=COLUMNS($A1850:F1869), LEFT(INDEX(FILTER(F$1:F1849, F$1:F1849&lt;&gt;""""),COUNTA(FILTER(F$1:F1849, F$1:F1849&lt;&gt;""""))), LEN(INDEX(FILTER(F$1:F1849, F$1:F1849&lt;&gt;""""),COUNTA(FILTER(F$1:F1849, F$1:F1849&lt;&gt;""""))))-1), IF('To Order'!$A1850=COL"&amp;"UMNS($A1850:F1869), F1849&amp;RIGHT(INDIRECT(ADDRESS(ROW(F1850)-1, 'From Order'!$A1850)), 1), F1849))"),"LDSPBFLLWDDVQJPPSSTWZCS")</f>
        <v>LDSPBFLLWDDVQJPPSSTWZCS</v>
      </c>
      <c r="G1850" s="2" t="str">
        <f>IFERROR(__xludf.DUMMYFUNCTION("IF('From Order'!$A1850=COLUMNS($A1850:G1869), LEFT(INDEX(FILTER(G$1:G1849, G$1:G1849&lt;&gt;""""),COUNTA(FILTER(G$1:G1849, G$1:G1849&lt;&gt;""""))), LEN(INDEX(FILTER(G$1:G1849, G$1:G1849&lt;&gt;""""),COUNTA(FILTER(G$1:G1849, G$1:G1849&lt;&gt;""""))))-1), IF('To Order'!$A1850=COL"&amp;"UMNS($A1850:G1869), G1849&amp;RIGHT(INDIRECT(ADDRESS(ROW(G1850)-1, 'From Order'!$A1850)), 1), G1849))"),"MDJMBVRR")</f>
        <v>MDJMBVRR</v>
      </c>
      <c r="H1850" s="2" t="str">
        <f>IFERROR(__xludf.DUMMYFUNCTION("IF('From Order'!$A1850=COLUMNS($A1850:H1869), LEFT(INDEX(FILTER(H$1:H1849, H$1:H1849&lt;&gt;""""),COUNTA(FILTER(H$1:H1849, H$1:H1849&lt;&gt;""""))), LEN(INDEX(FILTER(H$1:H1849, H$1:H1849&lt;&gt;""""),COUNTA(FILTER(H$1:H1849, H$1:H1849&lt;&gt;""""))))-1), IF('To Order'!$A1850=COL"&amp;"UMNS($A1850:H1869), H1849&amp;RIGHT(INDIRECT(ADDRESS(ROW(H1850)-1, 'From Order'!$A1850)), 1), H1849))"),"")</f>
        <v/>
      </c>
      <c r="I1850" s="2" t="str">
        <f>IFERROR(__xludf.DUMMYFUNCTION("IF('From Order'!$A1850=COLUMNS($A1850:I1869), LEFT(INDEX(FILTER(I$1:I1849, I$1:I1849&lt;&gt;""""),COUNTA(FILTER(I$1:I1849, I$1:I1849&lt;&gt;""""))), LEN(INDEX(FILTER(I$1:I1849, I$1:I1849&lt;&gt;""""),COUNTA(FILTER(I$1:I1849, I$1:I1849&lt;&gt;""""))))-1), IF('To Order'!$A1850=COL"&amp;"UMNS($A1850:I1869), I1849&amp;RIGHT(INDIRECT(ADDRESS(ROW(I1850)-1, 'From Order'!$A1850)), 1), I1849))"),"")</f>
        <v/>
      </c>
    </row>
    <row r="1851">
      <c r="A1851" s="2" t="str">
        <f>IFERROR(__xludf.DUMMYFUNCTION("IF('From Order'!$A1851=COLUMNS($A1851:A1870), LEFT(INDEX(FILTER(A$1:A1850, A$1:A1850&lt;&gt;""""),COUNTA(FILTER(A$1:A1850, A$1:A1850&lt;&gt;""""))), LEN(INDEX(FILTER(A$1:A1850, A$1:A1850&lt;&gt;""""),COUNTA(FILTER(A$1:A1850, A$1:A1850&lt;&gt;""""))))-1), IF('To Order'!$A1851=COL"&amp;"UMNS($A1851:A1870), A1850&amp;RIGHT(INDIRECT(ADDRESS(ROW(A1851)-1, 'From Order'!$A1851)), 1), A1850))"),"ZHZMTD")</f>
        <v>ZHZMTD</v>
      </c>
      <c r="B1851" s="2" t="str">
        <f>IFERROR(__xludf.DUMMYFUNCTION("IF('From Order'!$A1851=COLUMNS($A1851:B1870), LEFT(INDEX(FILTER(B$1:B1850, B$1:B1850&lt;&gt;""""),COUNTA(FILTER(B$1:B1850, B$1:B1850&lt;&gt;""""))), LEN(INDEX(FILTER(B$1:B1850, B$1:B1850&lt;&gt;""""),COUNTA(FILTER(B$1:B1850, B$1:B1850&lt;&gt;""""))))-1), IF('To Order'!$A1851=COL"&amp;"UMNS($A1851:B1870), B1850&amp;RIGHT(INDIRECT(ADDRESS(ROW(B1851)-1, 'From Order'!$A1851)), 1), B1850))"),"GTTJ")</f>
        <v>GTTJ</v>
      </c>
      <c r="C1851" s="2" t="str">
        <f>IFERROR(__xludf.DUMMYFUNCTION("IF('From Order'!$A1851=COLUMNS($A1851:C1870), LEFT(INDEX(FILTER(C$1:C1850, C$1:C1850&lt;&gt;""""),COUNTA(FILTER(C$1:C1850, C$1:C1850&lt;&gt;""""))), LEN(INDEX(FILTER(C$1:C1850, C$1:C1850&lt;&gt;""""),COUNTA(FILTER(C$1:C1850, C$1:C1850&lt;&gt;""""))))-1), IF('To Order'!$A1851=COL"&amp;"UMNS($A1851:C1870), C1850&amp;RIGHT(INDIRECT(ADDRESS(ROW(C1851)-1, 'From Order'!$A1851)), 1), C1850))"),"")</f>
        <v/>
      </c>
      <c r="D1851" s="2" t="str">
        <f>IFERROR(__xludf.DUMMYFUNCTION("IF('From Order'!$A1851=COLUMNS($A1851:D1870), LEFT(INDEX(FILTER(D$1:D1850, D$1:D1850&lt;&gt;""""),COUNTA(FILTER(D$1:D1850, D$1:D1850&lt;&gt;""""))), LEN(INDEX(FILTER(D$1:D1850, D$1:D1850&lt;&gt;""""),COUNTA(FILTER(D$1:D1850, D$1:D1850&lt;&gt;""""))))-1), IF('To Order'!$A1851=COL"&amp;"UMNS($A1851:D1870), D1850&amp;RIGHT(INDIRECT(ADDRESS(ROW(D1851)-1, 'From Order'!$A1851)), 1), D1850))"),"RB")</f>
        <v>RB</v>
      </c>
      <c r="E1851" s="2" t="str">
        <f>IFERROR(__xludf.DUMMYFUNCTION("IF('From Order'!$A1851=COLUMNS($A1851:E1870), LEFT(INDEX(FILTER(E$1:E1850, E$1:E1850&lt;&gt;""""),COUNTA(FILTER(E$1:E1850, E$1:E1850&lt;&gt;""""))), LEN(INDEX(FILTER(E$1:E1850, E$1:E1850&lt;&gt;""""),COUNTA(FILTER(E$1:E1850, E$1:E1850&lt;&gt;""""))))-1), IF('To Order'!$A1851=COL"&amp;"UMNS($A1851:E1870), E1850&amp;RIGHT(INDIRECT(ADDRESS(ROW(E1851)-1, 'From Order'!$A1851)), 1), E1850))"),"CQTRTCVDRGBH")</f>
        <v>CQTRTCVDRGBH</v>
      </c>
      <c r="F1851" s="2" t="str">
        <f>IFERROR(__xludf.DUMMYFUNCTION("IF('From Order'!$A1851=COLUMNS($A1851:F1870), LEFT(INDEX(FILTER(F$1:F1850, F$1:F1850&lt;&gt;""""),COUNTA(FILTER(F$1:F1850, F$1:F1850&lt;&gt;""""))), LEN(INDEX(FILTER(F$1:F1850, F$1:F1850&lt;&gt;""""),COUNTA(FILTER(F$1:F1850, F$1:F1850&lt;&gt;""""))))-1), IF('To Order'!$A1851=COL"&amp;"UMNS($A1851:F1870), F1850&amp;RIGHT(INDIRECT(ADDRESS(ROW(F1851)-1, 'From Order'!$A1851)), 1), F1850))"),"LDSPBFLLWDDVQJPPSSTWZCSF")</f>
        <v>LDSPBFLLWDDVQJPPSSTWZCSF</v>
      </c>
      <c r="G1851" s="2" t="str">
        <f>IFERROR(__xludf.DUMMYFUNCTION("IF('From Order'!$A1851=COLUMNS($A1851:G1870), LEFT(INDEX(FILTER(G$1:G1850, G$1:G1850&lt;&gt;""""),COUNTA(FILTER(G$1:G1850, G$1:G1850&lt;&gt;""""))), LEN(INDEX(FILTER(G$1:G1850, G$1:G1850&lt;&gt;""""),COUNTA(FILTER(G$1:G1850, G$1:G1850&lt;&gt;""""))))-1), IF('To Order'!$A1851=COL"&amp;"UMNS($A1851:G1870), G1850&amp;RIGHT(INDIRECT(ADDRESS(ROW(G1851)-1, 'From Order'!$A1851)), 1), G1850))"),"MDJMBVRR")</f>
        <v>MDJMBVRR</v>
      </c>
      <c r="H1851" s="2" t="str">
        <f>IFERROR(__xludf.DUMMYFUNCTION("IF('From Order'!$A1851=COLUMNS($A1851:H1870), LEFT(INDEX(FILTER(H$1:H1850, H$1:H1850&lt;&gt;""""),COUNTA(FILTER(H$1:H1850, H$1:H1850&lt;&gt;""""))), LEN(INDEX(FILTER(H$1:H1850, H$1:H1850&lt;&gt;""""),COUNTA(FILTER(H$1:H1850, H$1:H1850&lt;&gt;""""))))-1), IF('To Order'!$A1851=COL"&amp;"UMNS($A1851:H1870), H1850&amp;RIGHT(INDIRECT(ADDRESS(ROW(H1851)-1, 'From Order'!$A1851)), 1), H1850))"),"")</f>
        <v/>
      </c>
      <c r="I1851" s="2" t="str">
        <f>IFERROR(__xludf.DUMMYFUNCTION("IF('From Order'!$A1851=COLUMNS($A1851:I1870), LEFT(INDEX(FILTER(I$1:I1850, I$1:I1850&lt;&gt;""""),COUNTA(FILTER(I$1:I1850, I$1:I1850&lt;&gt;""""))), LEN(INDEX(FILTER(I$1:I1850, I$1:I1850&lt;&gt;""""),COUNTA(FILTER(I$1:I1850, I$1:I1850&lt;&gt;""""))))-1), IF('To Order'!$A1851=COL"&amp;"UMNS($A1851:I1870), I1850&amp;RIGHT(INDIRECT(ADDRESS(ROW(I1851)-1, 'From Order'!$A1851)), 1), I1850))"),"")</f>
        <v/>
      </c>
    </row>
    <row r="1852">
      <c r="A1852" s="2" t="str">
        <f>IFERROR(__xludf.DUMMYFUNCTION("IF('From Order'!$A1852=COLUMNS($A1852:A1871), LEFT(INDEX(FILTER(A$1:A1851, A$1:A1851&lt;&gt;""""),COUNTA(FILTER(A$1:A1851, A$1:A1851&lt;&gt;""""))), LEN(INDEX(FILTER(A$1:A1851, A$1:A1851&lt;&gt;""""),COUNTA(FILTER(A$1:A1851, A$1:A1851&lt;&gt;""""))))-1), IF('To Order'!$A1852=COL"&amp;"UMNS($A1852:A1871), A1851&amp;RIGHT(INDIRECT(ADDRESS(ROW(A1852)-1, 'From Order'!$A1852)), 1), A1851))"),"ZHZMTD")</f>
        <v>ZHZMTD</v>
      </c>
      <c r="B1852" s="2" t="str">
        <f>IFERROR(__xludf.DUMMYFUNCTION("IF('From Order'!$A1852=COLUMNS($A1852:B1871), LEFT(INDEX(FILTER(B$1:B1851, B$1:B1851&lt;&gt;""""),COUNTA(FILTER(B$1:B1851, B$1:B1851&lt;&gt;""""))), LEN(INDEX(FILTER(B$1:B1851, B$1:B1851&lt;&gt;""""),COUNTA(FILTER(B$1:B1851, B$1:B1851&lt;&gt;""""))))-1), IF('To Order'!$A1852=COL"&amp;"UMNS($A1852:B1871), B1851&amp;RIGHT(INDIRECT(ADDRESS(ROW(B1852)-1, 'From Order'!$A1852)), 1), B1851))"),"GTTJ")</f>
        <v>GTTJ</v>
      </c>
      <c r="C1852" s="2" t="str">
        <f>IFERROR(__xludf.DUMMYFUNCTION("IF('From Order'!$A1852=COLUMNS($A1852:C1871), LEFT(INDEX(FILTER(C$1:C1851, C$1:C1851&lt;&gt;""""),COUNTA(FILTER(C$1:C1851, C$1:C1851&lt;&gt;""""))), LEN(INDEX(FILTER(C$1:C1851, C$1:C1851&lt;&gt;""""),COUNTA(FILTER(C$1:C1851, C$1:C1851&lt;&gt;""""))))-1), IF('To Order'!$A1852=COL"&amp;"UMNS($A1852:C1871), C1851&amp;RIGHT(INDIRECT(ADDRESS(ROW(C1852)-1, 'From Order'!$A1852)), 1), C1851))"),"")</f>
        <v/>
      </c>
      <c r="D1852" s="2" t="str">
        <f>IFERROR(__xludf.DUMMYFUNCTION("IF('From Order'!$A1852=COLUMNS($A1852:D1871), LEFT(INDEX(FILTER(D$1:D1851, D$1:D1851&lt;&gt;""""),COUNTA(FILTER(D$1:D1851, D$1:D1851&lt;&gt;""""))), LEN(INDEX(FILTER(D$1:D1851, D$1:D1851&lt;&gt;""""),COUNTA(FILTER(D$1:D1851, D$1:D1851&lt;&gt;""""))))-1), IF('To Order'!$A1852=COL"&amp;"UMNS($A1852:D1871), D1851&amp;RIGHT(INDIRECT(ADDRESS(ROW(D1852)-1, 'From Order'!$A1852)), 1), D1851))"),"RB")</f>
        <v>RB</v>
      </c>
      <c r="E1852" s="2" t="str">
        <f>IFERROR(__xludf.DUMMYFUNCTION("IF('From Order'!$A1852=COLUMNS($A1852:E1871), LEFT(INDEX(FILTER(E$1:E1851, E$1:E1851&lt;&gt;""""),COUNTA(FILTER(E$1:E1851, E$1:E1851&lt;&gt;""""))), LEN(INDEX(FILTER(E$1:E1851, E$1:E1851&lt;&gt;""""),COUNTA(FILTER(E$1:E1851, E$1:E1851&lt;&gt;""""))))-1), IF('To Order'!$A1852=COL"&amp;"UMNS($A1852:E1871), E1851&amp;RIGHT(INDIRECT(ADDRESS(ROW(E1852)-1, 'From Order'!$A1852)), 1), E1851))"),"CQTRTCVDRGB")</f>
        <v>CQTRTCVDRGB</v>
      </c>
      <c r="F1852" s="2" t="str">
        <f>IFERROR(__xludf.DUMMYFUNCTION("IF('From Order'!$A1852=COLUMNS($A1852:F1871), LEFT(INDEX(FILTER(F$1:F1851, F$1:F1851&lt;&gt;""""),COUNTA(FILTER(F$1:F1851, F$1:F1851&lt;&gt;""""))), LEN(INDEX(FILTER(F$1:F1851, F$1:F1851&lt;&gt;""""),COUNTA(FILTER(F$1:F1851, F$1:F1851&lt;&gt;""""))))-1), IF('To Order'!$A1852=COL"&amp;"UMNS($A1852:F1871), F1851&amp;RIGHT(INDIRECT(ADDRESS(ROW(F1852)-1, 'From Order'!$A1852)), 1), F1851))"),"LDSPBFLLWDDVQJPPSSTWZCSFH")</f>
        <v>LDSPBFLLWDDVQJPPSSTWZCSFH</v>
      </c>
      <c r="G1852" s="2" t="str">
        <f>IFERROR(__xludf.DUMMYFUNCTION("IF('From Order'!$A1852=COLUMNS($A1852:G1871), LEFT(INDEX(FILTER(G$1:G1851, G$1:G1851&lt;&gt;""""),COUNTA(FILTER(G$1:G1851, G$1:G1851&lt;&gt;""""))), LEN(INDEX(FILTER(G$1:G1851, G$1:G1851&lt;&gt;""""),COUNTA(FILTER(G$1:G1851, G$1:G1851&lt;&gt;""""))))-1), IF('To Order'!$A1852=COL"&amp;"UMNS($A1852:G1871), G1851&amp;RIGHT(INDIRECT(ADDRESS(ROW(G1852)-1, 'From Order'!$A1852)), 1), G1851))"),"MDJMBVRR")</f>
        <v>MDJMBVRR</v>
      </c>
      <c r="H1852" s="2" t="str">
        <f>IFERROR(__xludf.DUMMYFUNCTION("IF('From Order'!$A1852=COLUMNS($A1852:H1871), LEFT(INDEX(FILTER(H$1:H1851, H$1:H1851&lt;&gt;""""),COUNTA(FILTER(H$1:H1851, H$1:H1851&lt;&gt;""""))), LEN(INDEX(FILTER(H$1:H1851, H$1:H1851&lt;&gt;""""),COUNTA(FILTER(H$1:H1851, H$1:H1851&lt;&gt;""""))))-1), IF('To Order'!$A1852=COL"&amp;"UMNS($A1852:H1871), H1851&amp;RIGHT(INDIRECT(ADDRESS(ROW(H1852)-1, 'From Order'!$A1852)), 1), H1851))"),"")</f>
        <v/>
      </c>
      <c r="I1852" s="2" t="str">
        <f>IFERROR(__xludf.DUMMYFUNCTION("IF('From Order'!$A1852=COLUMNS($A1852:I1871), LEFT(INDEX(FILTER(I$1:I1851, I$1:I1851&lt;&gt;""""),COUNTA(FILTER(I$1:I1851, I$1:I1851&lt;&gt;""""))), LEN(INDEX(FILTER(I$1:I1851, I$1:I1851&lt;&gt;""""),COUNTA(FILTER(I$1:I1851, I$1:I1851&lt;&gt;""""))))-1), IF('To Order'!$A1852=COL"&amp;"UMNS($A1852:I1871), I1851&amp;RIGHT(INDIRECT(ADDRESS(ROW(I1852)-1, 'From Order'!$A1852)), 1), I1851))"),"")</f>
        <v/>
      </c>
    </row>
    <row r="1853">
      <c r="A1853" s="2" t="str">
        <f>IFERROR(__xludf.DUMMYFUNCTION("IF('From Order'!$A1853=COLUMNS($A1853:A1872), LEFT(INDEX(FILTER(A$1:A1852, A$1:A1852&lt;&gt;""""),COUNTA(FILTER(A$1:A1852, A$1:A1852&lt;&gt;""""))), LEN(INDEX(FILTER(A$1:A1852, A$1:A1852&lt;&gt;""""),COUNTA(FILTER(A$1:A1852, A$1:A1852&lt;&gt;""""))))-1), IF('To Order'!$A1853=COL"&amp;"UMNS($A1853:A1872), A1852&amp;RIGHT(INDIRECT(ADDRESS(ROW(A1853)-1, 'From Order'!$A1853)), 1), A1852))"),"ZHZMTD")</f>
        <v>ZHZMTD</v>
      </c>
      <c r="B1853" s="2" t="str">
        <f>IFERROR(__xludf.DUMMYFUNCTION("IF('From Order'!$A1853=COLUMNS($A1853:B1872), LEFT(INDEX(FILTER(B$1:B1852, B$1:B1852&lt;&gt;""""),COUNTA(FILTER(B$1:B1852, B$1:B1852&lt;&gt;""""))), LEN(INDEX(FILTER(B$1:B1852, B$1:B1852&lt;&gt;""""),COUNTA(FILTER(B$1:B1852, B$1:B1852&lt;&gt;""""))))-1), IF('To Order'!$A1853=COL"&amp;"UMNS($A1853:B1872), B1852&amp;RIGHT(INDIRECT(ADDRESS(ROW(B1853)-1, 'From Order'!$A1853)), 1), B1852))"),"GTTJ")</f>
        <v>GTTJ</v>
      </c>
      <c r="C1853" s="2" t="str">
        <f>IFERROR(__xludf.DUMMYFUNCTION("IF('From Order'!$A1853=COLUMNS($A1853:C1872), LEFT(INDEX(FILTER(C$1:C1852, C$1:C1852&lt;&gt;""""),COUNTA(FILTER(C$1:C1852, C$1:C1852&lt;&gt;""""))), LEN(INDEX(FILTER(C$1:C1852, C$1:C1852&lt;&gt;""""),COUNTA(FILTER(C$1:C1852, C$1:C1852&lt;&gt;""""))))-1), IF('To Order'!$A1853=COL"&amp;"UMNS($A1853:C1872), C1852&amp;RIGHT(INDIRECT(ADDRESS(ROW(C1853)-1, 'From Order'!$A1853)), 1), C1852))"),"")</f>
        <v/>
      </c>
      <c r="D1853" s="2" t="str">
        <f>IFERROR(__xludf.DUMMYFUNCTION("IF('From Order'!$A1853=COLUMNS($A1853:D1872), LEFT(INDEX(FILTER(D$1:D1852, D$1:D1852&lt;&gt;""""),COUNTA(FILTER(D$1:D1852, D$1:D1852&lt;&gt;""""))), LEN(INDEX(FILTER(D$1:D1852, D$1:D1852&lt;&gt;""""),COUNTA(FILTER(D$1:D1852, D$1:D1852&lt;&gt;""""))))-1), IF('To Order'!$A1853=COL"&amp;"UMNS($A1853:D1872), D1852&amp;RIGHT(INDIRECT(ADDRESS(ROW(D1853)-1, 'From Order'!$A1853)), 1), D1852))"),"RB")</f>
        <v>RB</v>
      </c>
      <c r="E1853" s="2" t="str">
        <f>IFERROR(__xludf.DUMMYFUNCTION("IF('From Order'!$A1853=COLUMNS($A1853:E1872), LEFT(INDEX(FILTER(E$1:E1852, E$1:E1852&lt;&gt;""""),COUNTA(FILTER(E$1:E1852, E$1:E1852&lt;&gt;""""))), LEN(INDEX(FILTER(E$1:E1852, E$1:E1852&lt;&gt;""""),COUNTA(FILTER(E$1:E1852, E$1:E1852&lt;&gt;""""))))-1), IF('To Order'!$A1853=COL"&amp;"UMNS($A1853:E1872), E1852&amp;RIGHT(INDIRECT(ADDRESS(ROW(E1853)-1, 'From Order'!$A1853)), 1), E1852))"),"CQTRTCVDRG")</f>
        <v>CQTRTCVDRG</v>
      </c>
      <c r="F1853" s="2" t="str">
        <f>IFERROR(__xludf.DUMMYFUNCTION("IF('From Order'!$A1853=COLUMNS($A1853:F1872), LEFT(INDEX(FILTER(F$1:F1852, F$1:F1852&lt;&gt;""""),COUNTA(FILTER(F$1:F1852, F$1:F1852&lt;&gt;""""))), LEN(INDEX(FILTER(F$1:F1852, F$1:F1852&lt;&gt;""""),COUNTA(FILTER(F$1:F1852, F$1:F1852&lt;&gt;""""))))-1), IF('To Order'!$A1853=COL"&amp;"UMNS($A1853:F1872), F1852&amp;RIGHT(INDIRECT(ADDRESS(ROW(F1853)-1, 'From Order'!$A1853)), 1), F1852))"),"LDSPBFLLWDDVQJPPSSTWZCSFHB")</f>
        <v>LDSPBFLLWDDVQJPPSSTWZCSFHB</v>
      </c>
      <c r="G1853" s="2" t="str">
        <f>IFERROR(__xludf.DUMMYFUNCTION("IF('From Order'!$A1853=COLUMNS($A1853:G1872), LEFT(INDEX(FILTER(G$1:G1852, G$1:G1852&lt;&gt;""""),COUNTA(FILTER(G$1:G1852, G$1:G1852&lt;&gt;""""))), LEN(INDEX(FILTER(G$1:G1852, G$1:G1852&lt;&gt;""""),COUNTA(FILTER(G$1:G1852, G$1:G1852&lt;&gt;""""))))-1), IF('To Order'!$A1853=COL"&amp;"UMNS($A1853:G1872), G1852&amp;RIGHT(INDIRECT(ADDRESS(ROW(G1853)-1, 'From Order'!$A1853)), 1), G1852))"),"MDJMBVRR")</f>
        <v>MDJMBVRR</v>
      </c>
      <c r="H1853" s="2" t="str">
        <f>IFERROR(__xludf.DUMMYFUNCTION("IF('From Order'!$A1853=COLUMNS($A1853:H1872), LEFT(INDEX(FILTER(H$1:H1852, H$1:H1852&lt;&gt;""""),COUNTA(FILTER(H$1:H1852, H$1:H1852&lt;&gt;""""))), LEN(INDEX(FILTER(H$1:H1852, H$1:H1852&lt;&gt;""""),COUNTA(FILTER(H$1:H1852, H$1:H1852&lt;&gt;""""))))-1), IF('To Order'!$A1853=COL"&amp;"UMNS($A1853:H1872), H1852&amp;RIGHT(INDIRECT(ADDRESS(ROW(H1853)-1, 'From Order'!$A1853)), 1), H1852))"),"")</f>
        <v/>
      </c>
      <c r="I1853" s="2" t="str">
        <f>IFERROR(__xludf.DUMMYFUNCTION("IF('From Order'!$A1853=COLUMNS($A1853:I1872), LEFT(INDEX(FILTER(I$1:I1852, I$1:I1852&lt;&gt;""""),COUNTA(FILTER(I$1:I1852, I$1:I1852&lt;&gt;""""))), LEN(INDEX(FILTER(I$1:I1852, I$1:I1852&lt;&gt;""""),COUNTA(FILTER(I$1:I1852, I$1:I1852&lt;&gt;""""))))-1), IF('To Order'!$A1853=COL"&amp;"UMNS($A1853:I1872), I1852&amp;RIGHT(INDIRECT(ADDRESS(ROW(I1853)-1, 'From Order'!$A1853)), 1), I1852))"),"")</f>
        <v/>
      </c>
    </row>
    <row r="1854">
      <c r="A1854" s="2" t="str">
        <f>IFERROR(__xludf.DUMMYFUNCTION("IF('From Order'!$A1854=COLUMNS($A1854:A1873), LEFT(INDEX(FILTER(A$1:A1853, A$1:A1853&lt;&gt;""""),COUNTA(FILTER(A$1:A1853, A$1:A1853&lt;&gt;""""))), LEN(INDEX(FILTER(A$1:A1853, A$1:A1853&lt;&gt;""""),COUNTA(FILTER(A$1:A1853, A$1:A1853&lt;&gt;""""))))-1), IF('To Order'!$A1854=COL"&amp;"UMNS($A1854:A1873), A1853&amp;RIGHT(INDIRECT(ADDRESS(ROW(A1854)-1, 'From Order'!$A1854)), 1), A1853))"),"ZHZMTD")</f>
        <v>ZHZMTD</v>
      </c>
      <c r="B1854" s="2" t="str">
        <f>IFERROR(__xludf.DUMMYFUNCTION("IF('From Order'!$A1854=COLUMNS($A1854:B1873), LEFT(INDEX(FILTER(B$1:B1853, B$1:B1853&lt;&gt;""""),COUNTA(FILTER(B$1:B1853, B$1:B1853&lt;&gt;""""))), LEN(INDEX(FILTER(B$1:B1853, B$1:B1853&lt;&gt;""""),COUNTA(FILTER(B$1:B1853, B$1:B1853&lt;&gt;""""))))-1), IF('To Order'!$A1854=COL"&amp;"UMNS($A1854:B1873), B1853&amp;RIGHT(INDIRECT(ADDRESS(ROW(B1854)-1, 'From Order'!$A1854)), 1), B1853))"),"GTTJ")</f>
        <v>GTTJ</v>
      </c>
      <c r="C1854" s="2" t="str">
        <f>IFERROR(__xludf.DUMMYFUNCTION("IF('From Order'!$A1854=COLUMNS($A1854:C1873), LEFT(INDEX(FILTER(C$1:C1853, C$1:C1853&lt;&gt;""""),COUNTA(FILTER(C$1:C1853, C$1:C1853&lt;&gt;""""))), LEN(INDEX(FILTER(C$1:C1853, C$1:C1853&lt;&gt;""""),COUNTA(FILTER(C$1:C1853, C$1:C1853&lt;&gt;""""))))-1), IF('To Order'!$A1854=COL"&amp;"UMNS($A1854:C1873), C1853&amp;RIGHT(INDIRECT(ADDRESS(ROW(C1854)-1, 'From Order'!$A1854)), 1), C1853))"),"")</f>
        <v/>
      </c>
      <c r="D1854" s="2" t="str">
        <f>IFERROR(__xludf.DUMMYFUNCTION("IF('From Order'!$A1854=COLUMNS($A1854:D1873), LEFT(INDEX(FILTER(D$1:D1853, D$1:D1853&lt;&gt;""""),COUNTA(FILTER(D$1:D1853, D$1:D1853&lt;&gt;""""))), LEN(INDEX(FILTER(D$1:D1853, D$1:D1853&lt;&gt;""""),COUNTA(FILTER(D$1:D1853, D$1:D1853&lt;&gt;""""))))-1), IF('To Order'!$A1854=COL"&amp;"UMNS($A1854:D1873), D1853&amp;RIGHT(INDIRECT(ADDRESS(ROW(D1854)-1, 'From Order'!$A1854)), 1), D1853))"),"RB")</f>
        <v>RB</v>
      </c>
      <c r="E1854" s="2" t="str">
        <f>IFERROR(__xludf.DUMMYFUNCTION("IF('From Order'!$A1854=COLUMNS($A1854:E1873), LEFT(INDEX(FILTER(E$1:E1853, E$1:E1853&lt;&gt;""""),COUNTA(FILTER(E$1:E1853, E$1:E1853&lt;&gt;""""))), LEN(INDEX(FILTER(E$1:E1853, E$1:E1853&lt;&gt;""""),COUNTA(FILTER(E$1:E1853, E$1:E1853&lt;&gt;""""))))-1), IF('To Order'!$A1854=COL"&amp;"UMNS($A1854:E1873), E1853&amp;RIGHT(INDIRECT(ADDRESS(ROW(E1854)-1, 'From Order'!$A1854)), 1), E1853))"),"CQTRTCVDR")</f>
        <v>CQTRTCVDR</v>
      </c>
      <c r="F1854" s="2" t="str">
        <f>IFERROR(__xludf.DUMMYFUNCTION("IF('From Order'!$A1854=COLUMNS($A1854:F1873), LEFT(INDEX(FILTER(F$1:F1853, F$1:F1853&lt;&gt;""""),COUNTA(FILTER(F$1:F1853, F$1:F1853&lt;&gt;""""))), LEN(INDEX(FILTER(F$1:F1853, F$1:F1853&lt;&gt;""""),COUNTA(FILTER(F$1:F1853, F$1:F1853&lt;&gt;""""))))-1), IF('To Order'!$A1854=COL"&amp;"UMNS($A1854:F1873), F1853&amp;RIGHT(INDIRECT(ADDRESS(ROW(F1854)-1, 'From Order'!$A1854)), 1), F1853))"),"LDSPBFLLWDDVQJPPSSTWZCSFHB")</f>
        <v>LDSPBFLLWDDVQJPPSSTWZCSFHB</v>
      </c>
      <c r="G1854" s="2" t="str">
        <f>IFERROR(__xludf.DUMMYFUNCTION("IF('From Order'!$A1854=COLUMNS($A1854:G1873), LEFT(INDEX(FILTER(G$1:G1853, G$1:G1853&lt;&gt;""""),COUNTA(FILTER(G$1:G1853, G$1:G1853&lt;&gt;""""))), LEN(INDEX(FILTER(G$1:G1853, G$1:G1853&lt;&gt;""""),COUNTA(FILTER(G$1:G1853, G$1:G1853&lt;&gt;""""))))-1), IF('To Order'!$A1854=COL"&amp;"UMNS($A1854:G1873), G1853&amp;RIGHT(INDIRECT(ADDRESS(ROW(G1854)-1, 'From Order'!$A1854)), 1), G1853))"),"MDJMBVRRG")</f>
        <v>MDJMBVRRG</v>
      </c>
      <c r="H1854" s="2" t="str">
        <f>IFERROR(__xludf.DUMMYFUNCTION("IF('From Order'!$A1854=COLUMNS($A1854:H1873), LEFT(INDEX(FILTER(H$1:H1853, H$1:H1853&lt;&gt;""""),COUNTA(FILTER(H$1:H1853, H$1:H1853&lt;&gt;""""))), LEN(INDEX(FILTER(H$1:H1853, H$1:H1853&lt;&gt;""""),COUNTA(FILTER(H$1:H1853, H$1:H1853&lt;&gt;""""))))-1), IF('To Order'!$A1854=COL"&amp;"UMNS($A1854:H1873), H1853&amp;RIGHT(INDIRECT(ADDRESS(ROW(H1854)-1, 'From Order'!$A1854)), 1), H1853))"),"")</f>
        <v/>
      </c>
      <c r="I1854" s="2" t="str">
        <f>IFERROR(__xludf.DUMMYFUNCTION("IF('From Order'!$A1854=COLUMNS($A1854:I1873), LEFT(INDEX(FILTER(I$1:I1853, I$1:I1853&lt;&gt;""""),COUNTA(FILTER(I$1:I1853, I$1:I1853&lt;&gt;""""))), LEN(INDEX(FILTER(I$1:I1853, I$1:I1853&lt;&gt;""""),COUNTA(FILTER(I$1:I1853, I$1:I1853&lt;&gt;""""))))-1), IF('To Order'!$A1854=COL"&amp;"UMNS($A1854:I1873), I1853&amp;RIGHT(INDIRECT(ADDRESS(ROW(I1854)-1, 'From Order'!$A1854)), 1), I1853))"),"")</f>
        <v/>
      </c>
    </row>
    <row r="1855">
      <c r="A1855" s="2" t="str">
        <f>IFERROR(__xludf.DUMMYFUNCTION("IF('From Order'!$A1855=COLUMNS($A1855:A1874), LEFT(INDEX(FILTER(A$1:A1854, A$1:A1854&lt;&gt;""""),COUNTA(FILTER(A$1:A1854, A$1:A1854&lt;&gt;""""))), LEN(INDEX(FILTER(A$1:A1854, A$1:A1854&lt;&gt;""""),COUNTA(FILTER(A$1:A1854, A$1:A1854&lt;&gt;""""))))-1), IF('To Order'!$A1855=COL"&amp;"UMNS($A1855:A1874), A1854&amp;RIGHT(INDIRECT(ADDRESS(ROW(A1855)-1, 'From Order'!$A1855)), 1), A1854))"),"ZHZMTD")</f>
        <v>ZHZMTD</v>
      </c>
      <c r="B1855" s="2" t="str">
        <f>IFERROR(__xludf.DUMMYFUNCTION("IF('From Order'!$A1855=COLUMNS($A1855:B1874), LEFT(INDEX(FILTER(B$1:B1854, B$1:B1854&lt;&gt;""""),COUNTA(FILTER(B$1:B1854, B$1:B1854&lt;&gt;""""))), LEN(INDEX(FILTER(B$1:B1854, B$1:B1854&lt;&gt;""""),COUNTA(FILTER(B$1:B1854, B$1:B1854&lt;&gt;""""))))-1), IF('To Order'!$A1855=COL"&amp;"UMNS($A1855:B1874), B1854&amp;RIGHT(INDIRECT(ADDRESS(ROW(B1855)-1, 'From Order'!$A1855)), 1), B1854))"),"GTTJ")</f>
        <v>GTTJ</v>
      </c>
      <c r="C1855" s="2" t="str">
        <f>IFERROR(__xludf.DUMMYFUNCTION("IF('From Order'!$A1855=COLUMNS($A1855:C1874), LEFT(INDEX(FILTER(C$1:C1854, C$1:C1854&lt;&gt;""""),COUNTA(FILTER(C$1:C1854, C$1:C1854&lt;&gt;""""))), LEN(INDEX(FILTER(C$1:C1854, C$1:C1854&lt;&gt;""""),COUNTA(FILTER(C$1:C1854, C$1:C1854&lt;&gt;""""))))-1), IF('To Order'!$A1855=COL"&amp;"UMNS($A1855:C1874), C1854&amp;RIGHT(INDIRECT(ADDRESS(ROW(C1855)-1, 'From Order'!$A1855)), 1), C1854))"),"")</f>
        <v/>
      </c>
      <c r="D1855" s="2" t="str">
        <f>IFERROR(__xludf.DUMMYFUNCTION("IF('From Order'!$A1855=COLUMNS($A1855:D1874), LEFT(INDEX(FILTER(D$1:D1854, D$1:D1854&lt;&gt;""""),COUNTA(FILTER(D$1:D1854, D$1:D1854&lt;&gt;""""))), LEN(INDEX(FILTER(D$1:D1854, D$1:D1854&lt;&gt;""""),COUNTA(FILTER(D$1:D1854, D$1:D1854&lt;&gt;""""))))-1), IF('To Order'!$A1855=COL"&amp;"UMNS($A1855:D1874), D1854&amp;RIGHT(INDIRECT(ADDRESS(ROW(D1855)-1, 'From Order'!$A1855)), 1), D1854))"),"RB")</f>
        <v>RB</v>
      </c>
      <c r="E1855" s="2" t="str">
        <f>IFERROR(__xludf.DUMMYFUNCTION("IF('From Order'!$A1855=COLUMNS($A1855:E1874), LEFT(INDEX(FILTER(E$1:E1854, E$1:E1854&lt;&gt;""""),COUNTA(FILTER(E$1:E1854, E$1:E1854&lt;&gt;""""))), LEN(INDEX(FILTER(E$1:E1854, E$1:E1854&lt;&gt;""""),COUNTA(FILTER(E$1:E1854, E$1:E1854&lt;&gt;""""))))-1), IF('To Order'!$A1855=COL"&amp;"UMNS($A1855:E1874), E1854&amp;RIGHT(INDIRECT(ADDRESS(ROW(E1855)-1, 'From Order'!$A1855)), 1), E1854))"),"CQTRTCVD")</f>
        <v>CQTRTCVD</v>
      </c>
      <c r="F1855" s="2" t="str">
        <f>IFERROR(__xludf.DUMMYFUNCTION("IF('From Order'!$A1855=COLUMNS($A1855:F1874), LEFT(INDEX(FILTER(F$1:F1854, F$1:F1854&lt;&gt;""""),COUNTA(FILTER(F$1:F1854, F$1:F1854&lt;&gt;""""))), LEN(INDEX(FILTER(F$1:F1854, F$1:F1854&lt;&gt;""""),COUNTA(FILTER(F$1:F1854, F$1:F1854&lt;&gt;""""))))-1), IF('To Order'!$A1855=COL"&amp;"UMNS($A1855:F1874), F1854&amp;RIGHT(INDIRECT(ADDRESS(ROW(F1855)-1, 'From Order'!$A1855)), 1), F1854))"),"LDSPBFLLWDDVQJPPSSTWZCSFHB")</f>
        <v>LDSPBFLLWDDVQJPPSSTWZCSFHB</v>
      </c>
      <c r="G1855" s="2" t="str">
        <f>IFERROR(__xludf.DUMMYFUNCTION("IF('From Order'!$A1855=COLUMNS($A1855:G1874), LEFT(INDEX(FILTER(G$1:G1854, G$1:G1854&lt;&gt;""""),COUNTA(FILTER(G$1:G1854, G$1:G1854&lt;&gt;""""))), LEN(INDEX(FILTER(G$1:G1854, G$1:G1854&lt;&gt;""""),COUNTA(FILTER(G$1:G1854, G$1:G1854&lt;&gt;""""))))-1), IF('To Order'!$A1855=COL"&amp;"UMNS($A1855:G1874), G1854&amp;RIGHT(INDIRECT(ADDRESS(ROW(G1855)-1, 'From Order'!$A1855)), 1), G1854))"),"MDJMBVRRGR")</f>
        <v>MDJMBVRRGR</v>
      </c>
      <c r="H1855" s="2" t="str">
        <f>IFERROR(__xludf.DUMMYFUNCTION("IF('From Order'!$A1855=COLUMNS($A1855:H1874), LEFT(INDEX(FILTER(H$1:H1854, H$1:H1854&lt;&gt;""""),COUNTA(FILTER(H$1:H1854, H$1:H1854&lt;&gt;""""))), LEN(INDEX(FILTER(H$1:H1854, H$1:H1854&lt;&gt;""""),COUNTA(FILTER(H$1:H1854, H$1:H1854&lt;&gt;""""))))-1), IF('To Order'!$A1855=COL"&amp;"UMNS($A1855:H1874), H1854&amp;RIGHT(INDIRECT(ADDRESS(ROW(H1855)-1, 'From Order'!$A1855)), 1), H1854))"),"")</f>
        <v/>
      </c>
      <c r="I1855" s="2" t="str">
        <f>IFERROR(__xludf.DUMMYFUNCTION("IF('From Order'!$A1855=COLUMNS($A1855:I1874), LEFT(INDEX(FILTER(I$1:I1854, I$1:I1854&lt;&gt;""""),COUNTA(FILTER(I$1:I1854, I$1:I1854&lt;&gt;""""))), LEN(INDEX(FILTER(I$1:I1854, I$1:I1854&lt;&gt;""""),COUNTA(FILTER(I$1:I1854, I$1:I1854&lt;&gt;""""))))-1), IF('To Order'!$A1855=COL"&amp;"UMNS($A1855:I1874), I1854&amp;RIGHT(INDIRECT(ADDRESS(ROW(I1855)-1, 'From Order'!$A1855)), 1), I1854))"),"")</f>
        <v/>
      </c>
    </row>
    <row r="1856">
      <c r="A1856" s="2" t="str">
        <f>IFERROR(__xludf.DUMMYFUNCTION("IF('From Order'!$A1856=COLUMNS($A1856:A1875), LEFT(INDEX(FILTER(A$1:A1855, A$1:A1855&lt;&gt;""""),COUNTA(FILTER(A$1:A1855, A$1:A1855&lt;&gt;""""))), LEN(INDEX(FILTER(A$1:A1855, A$1:A1855&lt;&gt;""""),COUNTA(FILTER(A$1:A1855, A$1:A1855&lt;&gt;""""))))-1), IF('To Order'!$A1856=COL"&amp;"UMNS($A1856:A1875), A1855&amp;RIGHT(INDIRECT(ADDRESS(ROW(A1856)-1, 'From Order'!$A1856)), 1), A1855))"),"ZHZMTD")</f>
        <v>ZHZMTD</v>
      </c>
      <c r="B1856" s="2" t="str">
        <f>IFERROR(__xludf.DUMMYFUNCTION("IF('From Order'!$A1856=COLUMNS($A1856:B1875), LEFT(INDEX(FILTER(B$1:B1855, B$1:B1855&lt;&gt;""""),COUNTA(FILTER(B$1:B1855, B$1:B1855&lt;&gt;""""))), LEN(INDEX(FILTER(B$1:B1855, B$1:B1855&lt;&gt;""""),COUNTA(FILTER(B$1:B1855, B$1:B1855&lt;&gt;""""))))-1), IF('To Order'!$A1856=COL"&amp;"UMNS($A1856:B1875), B1855&amp;RIGHT(INDIRECT(ADDRESS(ROW(B1856)-1, 'From Order'!$A1856)), 1), B1855))"),"GTTJ")</f>
        <v>GTTJ</v>
      </c>
      <c r="C1856" s="2" t="str">
        <f>IFERROR(__xludf.DUMMYFUNCTION("IF('From Order'!$A1856=COLUMNS($A1856:C1875), LEFT(INDEX(FILTER(C$1:C1855, C$1:C1855&lt;&gt;""""),COUNTA(FILTER(C$1:C1855, C$1:C1855&lt;&gt;""""))), LEN(INDEX(FILTER(C$1:C1855, C$1:C1855&lt;&gt;""""),COUNTA(FILTER(C$1:C1855, C$1:C1855&lt;&gt;""""))))-1), IF('To Order'!$A1856=COL"&amp;"UMNS($A1856:C1875), C1855&amp;RIGHT(INDIRECT(ADDRESS(ROW(C1856)-1, 'From Order'!$A1856)), 1), C1855))"),"")</f>
        <v/>
      </c>
      <c r="D1856" s="2" t="str">
        <f>IFERROR(__xludf.DUMMYFUNCTION("IF('From Order'!$A1856=COLUMNS($A1856:D1875), LEFT(INDEX(FILTER(D$1:D1855, D$1:D1855&lt;&gt;""""),COUNTA(FILTER(D$1:D1855, D$1:D1855&lt;&gt;""""))), LEN(INDEX(FILTER(D$1:D1855, D$1:D1855&lt;&gt;""""),COUNTA(FILTER(D$1:D1855, D$1:D1855&lt;&gt;""""))))-1), IF('To Order'!$A1856=COL"&amp;"UMNS($A1856:D1875), D1855&amp;RIGHT(INDIRECT(ADDRESS(ROW(D1856)-1, 'From Order'!$A1856)), 1), D1855))"),"RB")</f>
        <v>RB</v>
      </c>
      <c r="E1856" s="2" t="str">
        <f>IFERROR(__xludf.DUMMYFUNCTION("IF('From Order'!$A1856=COLUMNS($A1856:E1875), LEFT(INDEX(FILTER(E$1:E1855, E$1:E1855&lt;&gt;""""),COUNTA(FILTER(E$1:E1855, E$1:E1855&lt;&gt;""""))), LEN(INDEX(FILTER(E$1:E1855, E$1:E1855&lt;&gt;""""),COUNTA(FILTER(E$1:E1855, E$1:E1855&lt;&gt;""""))))-1), IF('To Order'!$A1856=COL"&amp;"UMNS($A1856:E1875), E1855&amp;RIGHT(INDIRECT(ADDRESS(ROW(E1856)-1, 'From Order'!$A1856)), 1), E1855))"),"CQTRTCV")</f>
        <v>CQTRTCV</v>
      </c>
      <c r="F1856" s="2" t="str">
        <f>IFERROR(__xludf.DUMMYFUNCTION("IF('From Order'!$A1856=COLUMNS($A1856:F1875), LEFT(INDEX(FILTER(F$1:F1855, F$1:F1855&lt;&gt;""""),COUNTA(FILTER(F$1:F1855, F$1:F1855&lt;&gt;""""))), LEN(INDEX(FILTER(F$1:F1855, F$1:F1855&lt;&gt;""""),COUNTA(FILTER(F$1:F1855, F$1:F1855&lt;&gt;""""))))-1), IF('To Order'!$A1856=COL"&amp;"UMNS($A1856:F1875), F1855&amp;RIGHT(INDIRECT(ADDRESS(ROW(F1856)-1, 'From Order'!$A1856)), 1), F1855))"),"LDSPBFLLWDDVQJPPSSTWZCSFHB")</f>
        <v>LDSPBFLLWDDVQJPPSSTWZCSFHB</v>
      </c>
      <c r="G1856" s="2" t="str">
        <f>IFERROR(__xludf.DUMMYFUNCTION("IF('From Order'!$A1856=COLUMNS($A1856:G1875), LEFT(INDEX(FILTER(G$1:G1855, G$1:G1855&lt;&gt;""""),COUNTA(FILTER(G$1:G1855, G$1:G1855&lt;&gt;""""))), LEN(INDEX(FILTER(G$1:G1855, G$1:G1855&lt;&gt;""""),COUNTA(FILTER(G$1:G1855, G$1:G1855&lt;&gt;""""))))-1), IF('To Order'!$A1856=COL"&amp;"UMNS($A1856:G1875), G1855&amp;RIGHT(INDIRECT(ADDRESS(ROW(G1856)-1, 'From Order'!$A1856)), 1), G1855))"),"MDJMBVRRGRD")</f>
        <v>MDJMBVRRGRD</v>
      </c>
      <c r="H1856" s="2" t="str">
        <f>IFERROR(__xludf.DUMMYFUNCTION("IF('From Order'!$A1856=COLUMNS($A1856:H1875), LEFT(INDEX(FILTER(H$1:H1855, H$1:H1855&lt;&gt;""""),COUNTA(FILTER(H$1:H1855, H$1:H1855&lt;&gt;""""))), LEN(INDEX(FILTER(H$1:H1855, H$1:H1855&lt;&gt;""""),COUNTA(FILTER(H$1:H1855, H$1:H1855&lt;&gt;""""))))-1), IF('To Order'!$A1856=COL"&amp;"UMNS($A1856:H1875), H1855&amp;RIGHT(INDIRECT(ADDRESS(ROW(H1856)-1, 'From Order'!$A1856)), 1), H1855))"),"")</f>
        <v/>
      </c>
      <c r="I1856" s="2" t="str">
        <f>IFERROR(__xludf.DUMMYFUNCTION("IF('From Order'!$A1856=COLUMNS($A1856:I1875), LEFT(INDEX(FILTER(I$1:I1855, I$1:I1855&lt;&gt;""""),COUNTA(FILTER(I$1:I1855, I$1:I1855&lt;&gt;""""))), LEN(INDEX(FILTER(I$1:I1855, I$1:I1855&lt;&gt;""""),COUNTA(FILTER(I$1:I1855, I$1:I1855&lt;&gt;""""))))-1), IF('To Order'!$A1856=COL"&amp;"UMNS($A1856:I1875), I1855&amp;RIGHT(INDIRECT(ADDRESS(ROW(I1856)-1, 'From Order'!$A1856)), 1), I1855))"),"")</f>
        <v/>
      </c>
    </row>
    <row r="1857">
      <c r="A1857" s="2" t="str">
        <f>IFERROR(__xludf.DUMMYFUNCTION("IF('From Order'!$A1857=COLUMNS($A1857:A1876), LEFT(INDEX(FILTER(A$1:A1856, A$1:A1856&lt;&gt;""""),COUNTA(FILTER(A$1:A1856, A$1:A1856&lt;&gt;""""))), LEN(INDEX(FILTER(A$1:A1856, A$1:A1856&lt;&gt;""""),COUNTA(FILTER(A$1:A1856, A$1:A1856&lt;&gt;""""))))-1), IF('To Order'!$A1857=COL"&amp;"UMNS($A1857:A1876), A1856&amp;RIGHT(INDIRECT(ADDRESS(ROW(A1857)-1, 'From Order'!$A1857)), 1), A1856))"),"ZHZMTD")</f>
        <v>ZHZMTD</v>
      </c>
      <c r="B1857" s="2" t="str">
        <f>IFERROR(__xludf.DUMMYFUNCTION("IF('From Order'!$A1857=COLUMNS($A1857:B1876), LEFT(INDEX(FILTER(B$1:B1856, B$1:B1856&lt;&gt;""""),COUNTA(FILTER(B$1:B1856, B$1:B1856&lt;&gt;""""))), LEN(INDEX(FILTER(B$1:B1856, B$1:B1856&lt;&gt;""""),COUNTA(FILTER(B$1:B1856, B$1:B1856&lt;&gt;""""))))-1), IF('To Order'!$A1857=COL"&amp;"UMNS($A1857:B1876), B1856&amp;RIGHT(INDIRECT(ADDRESS(ROW(B1857)-1, 'From Order'!$A1857)), 1), B1856))"),"GTTJ")</f>
        <v>GTTJ</v>
      </c>
      <c r="C1857" s="2" t="str">
        <f>IFERROR(__xludf.DUMMYFUNCTION("IF('From Order'!$A1857=COLUMNS($A1857:C1876), LEFT(INDEX(FILTER(C$1:C1856, C$1:C1856&lt;&gt;""""),COUNTA(FILTER(C$1:C1856, C$1:C1856&lt;&gt;""""))), LEN(INDEX(FILTER(C$1:C1856, C$1:C1856&lt;&gt;""""),COUNTA(FILTER(C$1:C1856, C$1:C1856&lt;&gt;""""))))-1), IF('To Order'!$A1857=COL"&amp;"UMNS($A1857:C1876), C1856&amp;RIGHT(INDIRECT(ADDRESS(ROW(C1857)-1, 'From Order'!$A1857)), 1), C1856))"),"")</f>
        <v/>
      </c>
      <c r="D1857" s="2" t="str">
        <f>IFERROR(__xludf.DUMMYFUNCTION("IF('From Order'!$A1857=COLUMNS($A1857:D1876), LEFT(INDEX(FILTER(D$1:D1856, D$1:D1856&lt;&gt;""""),COUNTA(FILTER(D$1:D1856, D$1:D1856&lt;&gt;""""))), LEN(INDEX(FILTER(D$1:D1856, D$1:D1856&lt;&gt;""""),COUNTA(FILTER(D$1:D1856, D$1:D1856&lt;&gt;""""))))-1), IF('To Order'!$A1857=COL"&amp;"UMNS($A1857:D1876), D1856&amp;RIGHT(INDIRECT(ADDRESS(ROW(D1857)-1, 'From Order'!$A1857)), 1), D1856))"),"RB")</f>
        <v>RB</v>
      </c>
      <c r="E1857" s="2" t="str">
        <f>IFERROR(__xludf.DUMMYFUNCTION("IF('From Order'!$A1857=COLUMNS($A1857:E1876), LEFT(INDEX(FILTER(E$1:E1856, E$1:E1856&lt;&gt;""""),COUNTA(FILTER(E$1:E1856, E$1:E1856&lt;&gt;""""))), LEN(INDEX(FILTER(E$1:E1856, E$1:E1856&lt;&gt;""""),COUNTA(FILTER(E$1:E1856, E$1:E1856&lt;&gt;""""))))-1), IF('To Order'!$A1857=COL"&amp;"UMNS($A1857:E1876), E1856&amp;RIGHT(INDIRECT(ADDRESS(ROW(E1857)-1, 'From Order'!$A1857)), 1), E1856))"),"CQTRTC")</f>
        <v>CQTRTC</v>
      </c>
      <c r="F1857" s="2" t="str">
        <f>IFERROR(__xludf.DUMMYFUNCTION("IF('From Order'!$A1857=COLUMNS($A1857:F1876), LEFT(INDEX(FILTER(F$1:F1856, F$1:F1856&lt;&gt;""""),COUNTA(FILTER(F$1:F1856, F$1:F1856&lt;&gt;""""))), LEN(INDEX(FILTER(F$1:F1856, F$1:F1856&lt;&gt;""""),COUNTA(FILTER(F$1:F1856, F$1:F1856&lt;&gt;""""))))-1), IF('To Order'!$A1857=COL"&amp;"UMNS($A1857:F1876), F1856&amp;RIGHT(INDIRECT(ADDRESS(ROW(F1857)-1, 'From Order'!$A1857)), 1), F1856))"),"LDSPBFLLWDDVQJPPSSTWZCSFHB")</f>
        <v>LDSPBFLLWDDVQJPPSSTWZCSFHB</v>
      </c>
      <c r="G1857" s="2" t="str">
        <f>IFERROR(__xludf.DUMMYFUNCTION("IF('From Order'!$A1857=COLUMNS($A1857:G1876), LEFT(INDEX(FILTER(G$1:G1856, G$1:G1856&lt;&gt;""""),COUNTA(FILTER(G$1:G1856, G$1:G1856&lt;&gt;""""))), LEN(INDEX(FILTER(G$1:G1856, G$1:G1856&lt;&gt;""""),COUNTA(FILTER(G$1:G1856, G$1:G1856&lt;&gt;""""))))-1), IF('To Order'!$A1857=COL"&amp;"UMNS($A1857:G1876), G1856&amp;RIGHT(INDIRECT(ADDRESS(ROW(G1857)-1, 'From Order'!$A1857)), 1), G1856))"),"MDJMBVRRGRDV")</f>
        <v>MDJMBVRRGRDV</v>
      </c>
      <c r="H1857" s="2" t="str">
        <f>IFERROR(__xludf.DUMMYFUNCTION("IF('From Order'!$A1857=COLUMNS($A1857:H1876), LEFT(INDEX(FILTER(H$1:H1856, H$1:H1856&lt;&gt;""""),COUNTA(FILTER(H$1:H1856, H$1:H1856&lt;&gt;""""))), LEN(INDEX(FILTER(H$1:H1856, H$1:H1856&lt;&gt;""""),COUNTA(FILTER(H$1:H1856, H$1:H1856&lt;&gt;""""))))-1), IF('To Order'!$A1857=COL"&amp;"UMNS($A1857:H1876), H1856&amp;RIGHT(INDIRECT(ADDRESS(ROW(H1857)-1, 'From Order'!$A1857)), 1), H1856))"),"")</f>
        <v/>
      </c>
      <c r="I1857" s="2" t="str">
        <f>IFERROR(__xludf.DUMMYFUNCTION("IF('From Order'!$A1857=COLUMNS($A1857:I1876), LEFT(INDEX(FILTER(I$1:I1856, I$1:I1856&lt;&gt;""""),COUNTA(FILTER(I$1:I1856, I$1:I1856&lt;&gt;""""))), LEN(INDEX(FILTER(I$1:I1856, I$1:I1856&lt;&gt;""""),COUNTA(FILTER(I$1:I1856, I$1:I1856&lt;&gt;""""))))-1), IF('To Order'!$A1857=COL"&amp;"UMNS($A1857:I1876), I1856&amp;RIGHT(INDIRECT(ADDRESS(ROW(I1857)-1, 'From Order'!$A1857)), 1), I1856))"),"")</f>
        <v/>
      </c>
    </row>
    <row r="1858">
      <c r="A1858" s="2" t="str">
        <f>IFERROR(__xludf.DUMMYFUNCTION("IF('From Order'!$A1858=COLUMNS($A1858:A1877), LEFT(INDEX(FILTER(A$1:A1857, A$1:A1857&lt;&gt;""""),COUNTA(FILTER(A$1:A1857, A$1:A1857&lt;&gt;""""))), LEN(INDEX(FILTER(A$1:A1857, A$1:A1857&lt;&gt;""""),COUNTA(FILTER(A$1:A1857, A$1:A1857&lt;&gt;""""))))-1), IF('To Order'!$A1858=COL"&amp;"UMNS($A1858:A1877), A1857&amp;RIGHT(INDIRECT(ADDRESS(ROW(A1858)-1, 'From Order'!$A1858)), 1), A1857))"),"ZHZMTD")</f>
        <v>ZHZMTD</v>
      </c>
      <c r="B1858" s="2" t="str">
        <f>IFERROR(__xludf.DUMMYFUNCTION("IF('From Order'!$A1858=COLUMNS($A1858:B1877), LEFT(INDEX(FILTER(B$1:B1857, B$1:B1857&lt;&gt;""""),COUNTA(FILTER(B$1:B1857, B$1:B1857&lt;&gt;""""))), LEN(INDEX(FILTER(B$1:B1857, B$1:B1857&lt;&gt;""""),COUNTA(FILTER(B$1:B1857, B$1:B1857&lt;&gt;""""))))-1), IF('To Order'!$A1858=COL"&amp;"UMNS($A1858:B1877), B1857&amp;RIGHT(INDIRECT(ADDRESS(ROW(B1858)-1, 'From Order'!$A1858)), 1), B1857))"),"GTT")</f>
        <v>GTT</v>
      </c>
      <c r="C1858" s="2" t="str">
        <f>IFERROR(__xludf.DUMMYFUNCTION("IF('From Order'!$A1858=COLUMNS($A1858:C1877), LEFT(INDEX(FILTER(C$1:C1857, C$1:C1857&lt;&gt;""""),COUNTA(FILTER(C$1:C1857, C$1:C1857&lt;&gt;""""))), LEN(INDEX(FILTER(C$1:C1857, C$1:C1857&lt;&gt;""""),COUNTA(FILTER(C$1:C1857, C$1:C1857&lt;&gt;""""))))-1), IF('To Order'!$A1858=COL"&amp;"UMNS($A1858:C1877), C1857&amp;RIGHT(INDIRECT(ADDRESS(ROW(C1858)-1, 'From Order'!$A1858)), 1), C1857))"),"")</f>
        <v/>
      </c>
      <c r="D1858" s="2" t="str">
        <f>IFERROR(__xludf.DUMMYFUNCTION("IF('From Order'!$A1858=COLUMNS($A1858:D1877), LEFT(INDEX(FILTER(D$1:D1857, D$1:D1857&lt;&gt;""""),COUNTA(FILTER(D$1:D1857, D$1:D1857&lt;&gt;""""))), LEN(INDEX(FILTER(D$1:D1857, D$1:D1857&lt;&gt;""""),COUNTA(FILTER(D$1:D1857, D$1:D1857&lt;&gt;""""))))-1), IF('To Order'!$A1858=COL"&amp;"UMNS($A1858:D1877), D1857&amp;RIGHT(INDIRECT(ADDRESS(ROW(D1858)-1, 'From Order'!$A1858)), 1), D1857))"),"RB")</f>
        <v>RB</v>
      </c>
      <c r="E1858" s="2" t="str">
        <f>IFERROR(__xludf.DUMMYFUNCTION("IF('From Order'!$A1858=COLUMNS($A1858:E1877), LEFT(INDEX(FILTER(E$1:E1857, E$1:E1857&lt;&gt;""""),COUNTA(FILTER(E$1:E1857, E$1:E1857&lt;&gt;""""))), LEN(INDEX(FILTER(E$1:E1857, E$1:E1857&lt;&gt;""""),COUNTA(FILTER(E$1:E1857, E$1:E1857&lt;&gt;""""))))-1), IF('To Order'!$A1858=COL"&amp;"UMNS($A1858:E1877), E1857&amp;RIGHT(INDIRECT(ADDRESS(ROW(E1858)-1, 'From Order'!$A1858)), 1), E1857))"),"CQTRTC")</f>
        <v>CQTRTC</v>
      </c>
      <c r="F1858" s="2" t="str">
        <f>IFERROR(__xludf.DUMMYFUNCTION("IF('From Order'!$A1858=COLUMNS($A1858:F1877), LEFT(INDEX(FILTER(F$1:F1857, F$1:F1857&lt;&gt;""""),COUNTA(FILTER(F$1:F1857, F$1:F1857&lt;&gt;""""))), LEN(INDEX(FILTER(F$1:F1857, F$1:F1857&lt;&gt;""""),COUNTA(FILTER(F$1:F1857, F$1:F1857&lt;&gt;""""))))-1), IF('To Order'!$A1858=COL"&amp;"UMNS($A1858:F1877), F1857&amp;RIGHT(INDIRECT(ADDRESS(ROW(F1858)-1, 'From Order'!$A1858)), 1), F1857))"),"LDSPBFLLWDDVQJPPSSTWZCSFHB")</f>
        <v>LDSPBFLLWDDVQJPPSSTWZCSFHB</v>
      </c>
      <c r="G1858" s="2" t="str">
        <f>IFERROR(__xludf.DUMMYFUNCTION("IF('From Order'!$A1858=COLUMNS($A1858:G1877), LEFT(INDEX(FILTER(G$1:G1857, G$1:G1857&lt;&gt;""""),COUNTA(FILTER(G$1:G1857, G$1:G1857&lt;&gt;""""))), LEN(INDEX(FILTER(G$1:G1857, G$1:G1857&lt;&gt;""""),COUNTA(FILTER(G$1:G1857, G$1:G1857&lt;&gt;""""))))-1), IF('To Order'!$A1858=COL"&amp;"UMNS($A1858:G1877), G1857&amp;RIGHT(INDIRECT(ADDRESS(ROW(G1858)-1, 'From Order'!$A1858)), 1), G1857))"),"MDJMBVRRGRDVJ")</f>
        <v>MDJMBVRRGRDVJ</v>
      </c>
      <c r="H1858" s="2" t="str">
        <f>IFERROR(__xludf.DUMMYFUNCTION("IF('From Order'!$A1858=COLUMNS($A1858:H1877), LEFT(INDEX(FILTER(H$1:H1857, H$1:H1857&lt;&gt;""""),COUNTA(FILTER(H$1:H1857, H$1:H1857&lt;&gt;""""))), LEN(INDEX(FILTER(H$1:H1857, H$1:H1857&lt;&gt;""""),COUNTA(FILTER(H$1:H1857, H$1:H1857&lt;&gt;""""))))-1), IF('To Order'!$A1858=COL"&amp;"UMNS($A1858:H1877), H1857&amp;RIGHT(INDIRECT(ADDRESS(ROW(H1858)-1, 'From Order'!$A1858)), 1), H1857))"),"")</f>
        <v/>
      </c>
      <c r="I1858" s="2" t="str">
        <f>IFERROR(__xludf.DUMMYFUNCTION("IF('From Order'!$A1858=COLUMNS($A1858:I1877), LEFT(INDEX(FILTER(I$1:I1857, I$1:I1857&lt;&gt;""""),COUNTA(FILTER(I$1:I1857, I$1:I1857&lt;&gt;""""))), LEN(INDEX(FILTER(I$1:I1857, I$1:I1857&lt;&gt;""""),COUNTA(FILTER(I$1:I1857, I$1:I1857&lt;&gt;""""))))-1), IF('To Order'!$A1858=COL"&amp;"UMNS($A1858:I1877), I1857&amp;RIGHT(INDIRECT(ADDRESS(ROW(I1858)-1, 'From Order'!$A1858)), 1), I1857))"),"")</f>
        <v/>
      </c>
    </row>
    <row r="1859">
      <c r="A1859" s="2" t="str">
        <f>IFERROR(__xludf.DUMMYFUNCTION("IF('From Order'!$A1859=COLUMNS($A1859:A1878), LEFT(INDEX(FILTER(A$1:A1858, A$1:A1858&lt;&gt;""""),COUNTA(FILTER(A$1:A1858, A$1:A1858&lt;&gt;""""))), LEN(INDEX(FILTER(A$1:A1858, A$1:A1858&lt;&gt;""""),COUNTA(FILTER(A$1:A1858, A$1:A1858&lt;&gt;""""))))-1), IF('To Order'!$A1859=COL"&amp;"UMNS($A1859:A1878), A1858&amp;RIGHT(INDIRECT(ADDRESS(ROW(A1859)-1, 'From Order'!$A1859)), 1), A1858))"),"ZHZMTD")</f>
        <v>ZHZMTD</v>
      </c>
      <c r="B1859" s="2" t="str">
        <f>IFERROR(__xludf.DUMMYFUNCTION("IF('From Order'!$A1859=COLUMNS($A1859:B1878), LEFT(INDEX(FILTER(B$1:B1858, B$1:B1858&lt;&gt;""""),COUNTA(FILTER(B$1:B1858, B$1:B1858&lt;&gt;""""))), LEN(INDEX(FILTER(B$1:B1858, B$1:B1858&lt;&gt;""""),COUNTA(FILTER(B$1:B1858, B$1:B1858&lt;&gt;""""))))-1), IF('To Order'!$A1859=COL"&amp;"UMNS($A1859:B1878), B1858&amp;RIGHT(INDIRECT(ADDRESS(ROW(B1859)-1, 'From Order'!$A1859)), 1), B1858))"),"GT")</f>
        <v>GT</v>
      </c>
      <c r="C1859" s="2" t="str">
        <f>IFERROR(__xludf.DUMMYFUNCTION("IF('From Order'!$A1859=COLUMNS($A1859:C1878), LEFT(INDEX(FILTER(C$1:C1858, C$1:C1858&lt;&gt;""""),COUNTA(FILTER(C$1:C1858, C$1:C1858&lt;&gt;""""))), LEN(INDEX(FILTER(C$1:C1858, C$1:C1858&lt;&gt;""""),COUNTA(FILTER(C$1:C1858, C$1:C1858&lt;&gt;""""))))-1), IF('To Order'!$A1859=COL"&amp;"UMNS($A1859:C1878), C1858&amp;RIGHT(INDIRECT(ADDRESS(ROW(C1859)-1, 'From Order'!$A1859)), 1), C1858))"),"")</f>
        <v/>
      </c>
      <c r="D1859" s="2" t="str">
        <f>IFERROR(__xludf.DUMMYFUNCTION("IF('From Order'!$A1859=COLUMNS($A1859:D1878), LEFT(INDEX(FILTER(D$1:D1858, D$1:D1858&lt;&gt;""""),COUNTA(FILTER(D$1:D1858, D$1:D1858&lt;&gt;""""))), LEN(INDEX(FILTER(D$1:D1858, D$1:D1858&lt;&gt;""""),COUNTA(FILTER(D$1:D1858, D$1:D1858&lt;&gt;""""))))-1), IF('To Order'!$A1859=COL"&amp;"UMNS($A1859:D1878), D1858&amp;RIGHT(INDIRECT(ADDRESS(ROW(D1859)-1, 'From Order'!$A1859)), 1), D1858))"),"RB")</f>
        <v>RB</v>
      </c>
      <c r="E1859" s="2" t="str">
        <f>IFERROR(__xludf.DUMMYFUNCTION("IF('From Order'!$A1859=COLUMNS($A1859:E1878), LEFT(INDEX(FILTER(E$1:E1858, E$1:E1858&lt;&gt;""""),COUNTA(FILTER(E$1:E1858, E$1:E1858&lt;&gt;""""))), LEN(INDEX(FILTER(E$1:E1858, E$1:E1858&lt;&gt;""""),COUNTA(FILTER(E$1:E1858, E$1:E1858&lt;&gt;""""))))-1), IF('To Order'!$A1859=COL"&amp;"UMNS($A1859:E1878), E1858&amp;RIGHT(INDIRECT(ADDRESS(ROW(E1859)-1, 'From Order'!$A1859)), 1), E1858))"),"CQTRTC")</f>
        <v>CQTRTC</v>
      </c>
      <c r="F1859" s="2" t="str">
        <f>IFERROR(__xludf.DUMMYFUNCTION("IF('From Order'!$A1859=COLUMNS($A1859:F1878), LEFT(INDEX(FILTER(F$1:F1858, F$1:F1858&lt;&gt;""""),COUNTA(FILTER(F$1:F1858, F$1:F1858&lt;&gt;""""))), LEN(INDEX(FILTER(F$1:F1858, F$1:F1858&lt;&gt;""""),COUNTA(FILTER(F$1:F1858, F$1:F1858&lt;&gt;""""))))-1), IF('To Order'!$A1859=COL"&amp;"UMNS($A1859:F1878), F1858&amp;RIGHT(INDIRECT(ADDRESS(ROW(F1859)-1, 'From Order'!$A1859)), 1), F1858))"),"LDSPBFLLWDDVQJPPSSTWZCSFHB")</f>
        <v>LDSPBFLLWDDVQJPPSSTWZCSFHB</v>
      </c>
      <c r="G1859" s="2" t="str">
        <f>IFERROR(__xludf.DUMMYFUNCTION("IF('From Order'!$A1859=COLUMNS($A1859:G1878), LEFT(INDEX(FILTER(G$1:G1858, G$1:G1858&lt;&gt;""""),COUNTA(FILTER(G$1:G1858, G$1:G1858&lt;&gt;""""))), LEN(INDEX(FILTER(G$1:G1858, G$1:G1858&lt;&gt;""""),COUNTA(FILTER(G$1:G1858, G$1:G1858&lt;&gt;""""))))-1), IF('To Order'!$A1859=COL"&amp;"UMNS($A1859:G1878), G1858&amp;RIGHT(INDIRECT(ADDRESS(ROW(G1859)-1, 'From Order'!$A1859)), 1), G1858))"),"MDJMBVRRGRDVJT")</f>
        <v>MDJMBVRRGRDVJT</v>
      </c>
      <c r="H1859" s="2" t="str">
        <f>IFERROR(__xludf.DUMMYFUNCTION("IF('From Order'!$A1859=COLUMNS($A1859:H1878), LEFT(INDEX(FILTER(H$1:H1858, H$1:H1858&lt;&gt;""""),COUNTA(FILTER(H$1:H1858, H$1:H1858&lt;&gt;""""))), LEN(INDEX(FILTER(H$1:H1858, H$1:H1858&lt;&gt;""""),COUNTA(FILTER(H$1:H1858, H$1:H1858&lt;&gt;""""))))-1), IF('To Order'!$A1859=COL"&amp;"UMNS($A1859:H1878), H1858&amp;RIGHT(INDIRECT(ADDRESS(ROW(H1859)-1, 'From Order'!$A1859)), 1), H1858))"),"")</f>
        <v/>
      </c>
      <c r="I1859" s="2" t="str">
        <f>IFERROR(__xludf.DUMMYFUNCTION("IF('From Order'!$A1859=COLUMNS($A1859:I1878), LEFT(INDEX(FILTER(I$1:I1858, I$1:I1858&lt;&gt;""""),COUNTA(FILTER(I$1:I1858, I$1:I1858&lt;&gt;""""))), LEN(INDEX(FILTER(I$1:I1858, I$1:I1858&lt;&gt;""""),COUNTA(FILTER(I$1:I1858, I$1:I1858&lt;&gt;""""))))-1), IF('To Order'!$A1859=COL"&amp;"UMNS($A1859:I1878), I1858&amp;RIGHT(INDIRECT(ADDRESS(ROW(I1859)-1, 'From Order'!$A1859)), 1), I1858))"),"")</f>
        <v/>
      </c>
    </row>
    <row r="1860">
      <c r="A1860" s="2" t="str">
        <f>IFERROR(__xludf.DUMMYFUNCTION("IF('From Order'!$A1860=COLUMNS($A1860:A1879), LEFT(INDEX(FILTER(A$1:A1859, A$1:A1859&lt;&gt;""""),COUNTA(FILTER(A$1:A1859, A$1:A1859&lt;&gt;""""))), LEN(INDEX(FILTER(A$1:A1859, A$1:A1859&lt;&gt;""""),COUNTA(FILTER(A$1:A1859, A$1:A1859&lt;&gt;""""))))-1), IF('To Order'!$A1860=COL"&amp;"UMNS($A1860:A1879), A1859&amp;RIGHT(INDIRECT(ADDRESS(ROW(A1860)-1, 'From Order'!$A1860)), 1), A1859))"),"ZHZMTD")</f>
        <v>ZHZMTD</v>
      </c>
      <c r="B1860" s="2" t="str">
        <f>IFERROR(__xludf.DUMMYFUNCTION("IF('From Order'!$A1860=COLUMNS($A1860:B1879), LEFT(INDEX(FILTER(B$1:B1859, B$1:B1859&lt;&gt;""""),COUNTA(FILTER(B$1:B1859, B$1:B1859&lt;&gt;""""))), LEN(INDEX(FILTER(B$1:B1859, B$1:B1859&lt;&gt;""""),COUNTA(FILTER(B$1:B1859, B$1:B1859&lt;&gt;""""))))-1), IF('To Order'!$A1860=COL"&amp;"UMNS($A1860:B1879), B1859&amp;RIGHT(INDIRECT(ADDRESS(ROW(B1860)-1, 'From Order'!$A1860)), 1), B1859))"),"GTT")</f>
        <v>GTT</v>
      </c>
      <c r="C1860" s="2" t="str">
        <f>IFERROR(__xludf.DUMMYFUNCTION("IF('From Order'!$A1860=COLUMNS($A1860:C1879), LEFT(INDEX(FILTER(C$1:C1859, C$1:C1859&lt;&gt;""""),COUNTA(FILTER(C$1:C1859, C$1:C1859&lt;&gt;""""))), LEN(INDEX(FILTER(C$1:C1859, C$1:C1859&lt;&gt;""""),COUNTA(FILTER(C$1:C1859, C$1:C1859&lt;&gt;""""))))-1), IF('To Order'!$A1860=COL"&amp;"UMNS($A1860:C1879), C1859&amp;RIGHT(INDIRECT(ADDRESS(ROW(C1860)-1, 'From Order'!$A1860)), 1), C1859))"),"")</f>
        <v/>
      </c>
      <c r="D1860" s="2" t="str">
        <f>IFERROR(__xludf.DUMMYFUNCTION("IF('From Order'!$A1860=COLUMNS($A1860:D1879), LEFT(INDEX(FILTER(D$1:D1859, D$1:D1859&lt;&gt;""""),COUNTA(FILTER(D$1:D1859, D$1:D1859&lt;&gt;""""))), LEN(INDEX(FILTER(D$1:D1859, D$1:D1859&lt;&gt;""""),COUNTA(FILTER(D$1:D1859, D$1:D1859&lt;&gt;""""))))-1), IF('To Order'!$A1860=COL"&amp;"UMNS($A1860:D1879), D1859&amp;RIGHT(INDIRECT(ADDRESS(ROW(D1860)-1, 'From Order'!$A1860)), 1), D1859))"),"RB")</f>
        <v>RB</v>
      </c>
      <c r="E1860" s="2" t="str">
        <f>IFERROR(__xludf.DUMMYFUNCTION("IF('From Order'!$A1860=COLUMNS($A1860:E1879), LEFT(INDEX(FILTER(E$1:E1859, E$1:E1859&lt;&gt;""""),COUNTA(FILTER(E$1:E1859, E$1:E1859&lt;&gt;""""))), LEN(INDEX(FILTER(E$1:E1859, E$1:E1859&lt;&gt;""""),COUNTA(FILTER(E$1:E1859, E$1:E1859&lt;&gt;""""))))-1), IF('To Order'!$A1860=COL"&amp;"UMNS($A1860:E1879), E1859&amp;RIGHT(INDIRECT(ADDRESS(ROW(E1860)-1, 'From Order'!$A1860)), 1), E1859))"),"CQTRTC")</f>
        <v>CQTRTC</v>
      </c>
      <c r="F1860" s="2" t="str">
        <f>IFERROR(__xludf.DUMMYFUNCTION("IF('From Order'!$A1860=COLUMNS($A1860:F1879), LEFT(INDEX(FILTER(F$1:F1859, F$1:F1859&lt;&gt;""""),COUNTA(FILTER(F$1:F1859, F$1:F1859&lt;&gt;""""))), LEN(INDEX(FILTER(F$1:F1859, F$1:F1859&lt;&gt;""""),COUNTA(FILTER(F$1:F1859, F$1:F1859&lt;&gt;""""))))-1), IF('To Order'!$A1860=COL"&amp;"UMNS($A1860:F1879), F1859&amp;RIGHT(INDIRECT(ADDRESS(ROW(F1860)-1, 'From Order'!$A1860)), 1), F1859))"),"LDSPBFLLWDDVQJPPSSTWZCSFHB")</f>
        <v>LDSPBFLLWDDVQJPPSSTWZCSFHB</v>
      </c>
      <c r="G1860" s="2" t="str">
        <f>IFERROR(__xludf.DUMMYFUNCTION("IF('From Order'!$A1860=COLUMNS($A1860:G1879), LEFT(INDEX(FILTER(G$1:G1859, G$1:G1859&lt;&gt;""""),COUNTA(FILTER(G$1:G1859, G$1:G1859&lt;&gt;""""))), LEN(INDEX(FILTER(G$1:G1859, G$1:G1859&lt;&gt;""""),COUNTA(FILTER(G$1:G1859, G$1:G1859&lt;&gt;""""))))-1), IF('To Order'!$A1860=COL"&amp;"UMNS($A1860:G1879), G1859&amp;RIGHT(INDIRECT(ADDRESS(ROW(G1860)-1, 'From Order'!$A1860)), 1), G1859))"),"MDJMBVRRGRDVJ")</f>
        <v>MDJMBVRRGRDVJ</v>
      </c>
      <c r="H1860" s="2" t="str">
        <f>IFERROR(__xludf.DUMMYFUNCTION("IF('From Order'!$A1860=COLUMNS($A1860:H1879), LEFT(INDEX(FILTER(H$1:H1859, H$1:H1859&lt;&gt;""""),COUNTA(FILTER(H$1:H1859, H$1:H1859&lt;&gt;""""))), LEN(INDEX(FILTER(H$1:H1859, H$1:H1859&lt;&gt;""""),COUNTA(FILTER(H$1:H1859, H$1:H1859&lt;&gt;""""))))-1), IF('To Order'!$A1860=COL"&amp;"UMNS($A1860:H1879), H1859&amp;RIGHT(INDIRECT(ADDRESS(ROW(H1860)-1, 'From Order'!$A1860)), 1), H1859))"),"")</f>
        <v/>
      </c>
      <c r="I1860" s="2" t="str">
        <f>IFERROR(__xludf.DUMMYFUNCTION("IF('From Order'!$A1860=COLUMNS($A1860:I1879), LEFT(INDEX(FILTER(I$1:I1859, I$1:I1859&lt;&gt;""""),COUNTA(FILTER(I$1:I1859, I$1:I1859&lt;&gt;""""))), LEN(INDEX(FILTER(I$1:I1859, I$1:I1859&lt;&gt;""""),COUNTA(FILTER(I$1:I1859, I$1:I1859&lt;&gt;""""))))-1), IF('To Order'!$A1860=COL"&amp;"UMNS($A1860:I1879), I1859&amp;RIGHT(INDIRECT(ADDRESS(ROW(I1860)-1, 'From Order'!$A1860)), 1), I1859))"),"")</f>
        <v/>
      </c>
    </row>
    <row r="1861">
      <c r="A1861" s="2" t="str">
        <f>IFERROR(__xludf.DUMMYFUNCTION("IF('From Order'!$A1861=COLUMNS($A1861:A1880), LEFT(INDEX(FILTER(A$1:A1860, A$1:A1860&lt;&gt;""""),COUNTA(FILTER(A$1:A1860, A$1:A1860&lt;&gt;""""))), LEN(INDEX(FILTER(A$1:A1860, A$1:A1860&lt;&gt;""""),COUNTA(FILTER(A$1:A1860, A$1:A1860&lt;&gt;""""))))-1), IF('To Order'!$A1861=COL"&amp;"UMNS($A1861:A1880), A1860&amp;RIGHT(INDIRECT(ADDRESS(ROW(A1861)-1, 'From Order'!$A1861)), 1), A1860))"),"ZHZMTD")</f>
        <v>ZHZMTD</v>
      </c>
      <c r="B1861" s="2" t="str">
        <f>IFERROR(__xludf.DUMMYFUNCTION("IF('From Order'!$A1861=COLUMNS($A1861:B1880), LEFT(INDEX(FILTER(B$1:B1860, B$1:B1860&lt;&gt;""""),COUNTA(FILTER(B$1:B1860, B$1:B1860&lt;&gt;""""))), LEN(INDEX(FILTER(B$1:B1860, B$1:B1860&lt;&gt;""""),COUNTA(FILTER(B$1:B1860, B$1:B1860&lt;&gt;""""))))-1), IF('To Order'!$A1861=COL"&amp;"UMNS($A1861:B1880), B1860&amp;RIGHT(INDIRECT(ADDRESS(ROW(B1861)-1, 'From Order'!$A1861)), 1), B1860))"),"GTTJ")</f>
        <v>GTTJ</v>
      </c>
      <c r="C1861" s="2" t="str">
        <f>IFERROR(__xludf.DUMMYFUNCTION("IF('From Order'!$A1861=COLUMNS($A1861:C1880), LEFT(INDEX(FILTER(C$1:C1860, C$1:C1860&lt;&gt;""""),COUNTA(FILTER(C$1:C1860, C$1:C1860&lt;&gt;""""))), LEN(INDEX(FILTER(C$1:C1860, C$1:C1860&lt;&gt;""""),COUNTA(FILTER(C$1:C1860, C$1:C1860&lt;&gt;""""))))-1), IF('To Order'!$A1861=COL"&amp;"UMNS($A1861:C1880), C1860&amp;RIGHT(INDIRECT(ADDRESS(ROW(C1861)-1, 'From Order'!$A1861)), 1), C1860))"),"")</f>
        <v/>
      </c>
      <c r="D1861" s="2" t="str">
        <f>IFERROR(__xludf.DUMMYFUNCTION("IF('From Order'!$A1861=COLUMNS($A1861:D1880), LEFT(INDEX(FILTER(D$1:D1860, D$1:D1860&lt;&gt;""""),COUNTA(FILTER(D$1:D1860, D$1:D1860&lt;&gt;""""))), LEN(INDEX(FILTER(D$1:D1860, D$1:D1860&lt;&gt;""""),COUNTA(FILTER(D$1:D1860, D$1:D1860&lt;&gt;""""))))-1), IF('To Order'!$A1861=COL"&amp;"UMNS($A1861:D1880), D1860&amp;RIGHT(INDIRECT(ADDRESS(ROW(D1861)-1, 'From Order'!$A1861)), 1), D1860))"),"RB")</f>
        <v>RB</v>
      </c>
      <c r="E1861" s="2" t="str">
        <f>IFERROR(__xludf.DUMMYFUNCTION("IF('From Order'!$A1861=COLUMNS($A1861:E1880), LEFT(INDEX(FILTER(E$1:E1860, E$1:E1860&lt;&gt;""""),COUNTA(FILTER(E$1:E1860, E$1:E1860&lt;&gt;""""))), LEN(INDEX(FILTER(E$1:E1860, E$1:E1860&lt;&gt;""""),COUNTA(FILTER(E$1:E1860, E$1:E1860&lt;&gt;""""))))-1), IF('To Order'!$A1861=COL"&amp;"UMNS($A1861:E1880), E1860&amp;RIGHT(INDIRECT(ADDRESS(ROW(E1861)-1, 'From Order'!$A1861)), 1), E1860))"),"CQTRTC")</f>
        <v>CQTRTC</v>
      </c>
      <c r="F1861" s="2" t="str">
        <f>IFERROR(__xludf.DUMMYFUNCTION("IF('From Order'!$A1861=COLUMNS($A1861:F1880), LEFT(INDEX(FILTER(F$1:F1860, F$1:F1860&lt;&gt;""""),COUNTA(FILTER(F$1:F1860, F$1:F1860&lt;&gt;""""))), LEN(INDEX(FILTER(F$1:F1860, F$1:F1860&lt;&gt;""""),COUNTA(FILTER(F$1:F1860, F$1:F1860&lt;&gt;""""))))-1), IF('To Order'!$A1861=COL"&amp;"UMNS($A1861:F1880), F1860&amp;RIGHT(INDIRECT(ADDRESS(ROW(F1861)-1, 'From Order'!$A1861)), 1), F1860))"),"LDSPBFLLWDDVQJPPSSTWZCSFHB")</f>
        <v>LDSPBFLLWDDVQJPPSSTWZCSFHB</v>
      </c>
      <c r="G1861" s="2" t="str">
        <f>IFERROR(__xludf.DUMMYFUNCTION("IF('From Order'!$A1861=COLUMNS($A1861:G1880), LEFT(INDEX(FILTER(G$1:G1860, G$1:G1860&lt;&gt;""""),COUNTA(FILTER(G$1:G1860, G$1:G1860&lt;&gt;""""))), LEN(INDEX(FILTER(G$1:G1860, G$1:G1860&lt;&gt;""""),COUNTA(FILTER(G$1:G1860, G$1:G1860&lt;&gt;""""))))-1), IF('To Order'!$A1861=COL"&amp;"UMNS($A1861:G1880), G1860&amp;RIGHT(INDIRECT(ADDRESS(ROW(G1861)-1, 'From Order'!$A1861)), 1), G1860))"),"MDJMBVRRGRDV")</f>
        <v>MDJMBVRRGRDV</v>
      </c>
      <c r="H1861" s="2" t="str">
        <f>IFERROR(__xludf.DUMMYFUNCTION("IF('From Order'!$A1861=COLUMNS($A1861:H1880), LEFT(INDEX(FILTER(H$1:H1860, H$1:H1860&lt;&gt;""""),COUNTA(FILTER(H$1:H1860, H$1:H1860&lt;&gt;""""))), LEN(INDEX(FILTER(H$1:H1860, H$1:H1860&lt;&gt;""""),COUNTA(FILTER(H$1:H1860, H$1:H1860&lt;&gt;""""))))-1), IF('To Order'!$A1861=COL"&amp;"UMNS($A1861:H1880), H1860&amp;RIGHT(INDIRECT(ADDRESS(ROW(H1861)-1, 'From Order'!$A1861)), 1), H1860))"),"")</f>
        <v/>
      </c>
      <c r="I1861" s="2" t="str">
        <f>IFERROR(__xludf.DUMMYFUNCTION("IF('From Order'!$A1861=COLUMNS($A1861:I1880), LEFT(INDEX(FILTER(I$1:I1860, I$1:I1860&lt;&gt;""""),COUNTA(FILTER(I$1:I1860, I$1:I1860&lt;&gt;""""))), LEN(INDEX(FILTER(I$1:I1860, I$1:I1860&lt;&gt;""""),COUNTA(FILTER(I$1:I1860, I$1:I1860&lt;&gt;""""))))-1), IF('To Order'!$A1861=COL"&amp;"UMNS($A1861:I1880), I1860&amp;RIGHT(INDIRECT(ADDRESS(ROW(I1861)-1, 'From Order'!$A1861)), 1), I1860))"),"")</f>
        <v/>
      </c>
    </row>
    <row r="1862">
      <c r="A1862" s="2" t="str">
        <f>IFERROR(__xludf.DUMMYFUNCTION("IF('From Order'!$A1862=COLUMNS($A1862:A1881), LEFT(INDEX(FILTER(A$1:A1861, A$1:A1861&lt;&gt;""""),COUNTA(FILTER(A$1:A1861, A$1:A1861&lt;&gt;""""))), LEN(INDEX(FILTER(A$1:A1861, A$1:A1861&lt;&gt;""""),COUNTA(FILTER(A$1:A1861, A$1:A1861&lt;&gt;""""))))-1), IF('To Order'!$A1862=COL"&amp;"UMNS($A1862:A1881), A1861&amp;RIGHT(INDIRECT(ADDRESS(ROW(A1862)-1, 'From Order'!$A1862)), 1), A1861))"),"ZHZMTD")</f>
        <v>ZHZMTD</v>
      </c>
      <c r="B1862" s="2" t="str">
        <f>IFERROR(__xludf.DUMMYFUNCTION("IF('From Order'!$A1862=COLUMNS($A1862:B1881), LEFT(INDEX(FILTER(B$1:B1861, B$1:B1861&lt;&gt;""""),COUNTA(FILTER(B$1:B1861, B$1:B1861&lt;&gt;""""))), LEN(INDEX(FILTER(B$1:B1861, B$1:B1861&lt;&gt;""""),COUNTA(FILTER(B$1:B1861, B$1:B1861&lt;&gt;""""))))-1), IF('To Order'!$A1862=COL"&amp;"UMNS($A1862:B1881), B1861&amp;RIGHT(INDIRECT(ADDRESS(ROW(B1862)-1, 'From Order'!$A1862)), 1), B1861))"),"GTTJ")</f>
        <v>GTTJ</v>
      </c>
      <c r="C1862" s="2" t="str">
        <f>IFERROR(__xludf.DUMMYFUNCTION("IF('From Order'!$A1862=COLUMNS($A1862:C1881), LEFT(INDEX(FILTER(C$1:C1861, C$1:C1861&lt;&gt;""""),COUNTA(FILTER(C$1:C1861, C$1:C1861&lt;&gt;""""))), LEN(INDEX(FILTER(C$1:C1861, C$1:C1861&lt;&gt;""""),COUNTA(FILTER(C$1:C1861, C$1:C1861&lt;&gt;""""))))-1), IF('To Order'!$A1862=COL"&amp;"UMNS($A1862:C1881), C1861&amp;RIGHT(INDIRECT(ADDRESS(ROW(C1862)-1, 'From Order'!$A1862)), 1), C1861))"),"")</f>
        <v/>
      </c>
      <c r="D1862" s="2" t="str">
        <f>IFERROR(__xludf.DUMMYFUNCTION("IF('From Order'!$A1862=COLUMNS($A1862:D1881), LEFT(INDEX(FILTER(D$1:D1861, D$1:D1861&lt;&gt;""""),COUNTA(FILTER(D$1:D1861, D$1:D1861&lt;&gt;""""))), LEN(INDEX(FILTER(D$1:D1861, D$1:D1861&lt;&gt;""""),COUNTA(FILTER(D$1:D1861, D$1:D1861&lt;&gt;""""))))-1), IF('To Order'!$A1862=COL"&amp;"UMNS($A1862:D1881), D1861&amp;RIGHT(INDIRECT(ADDRESS(ROW(D1862)-1, 'From Order'!$A1862)), 1), D1861))"),"RB")</f>
        <v>RB</v>
      </c>
      <c r="E1862" s="2" t="str">
        <f>IFERROR(__xludf.DUMMYFUNCTION("IF('From Order'!$A1862=COLUMNS($A1862:E1881), LEFT(INDEX(FILTER(E$1:E1861, E$1:E1861&lt;&gt;""""),COUNTA(FILTER(E$1:E1861, E$1:E1861&lt;&gt;""""))), LEN(INDEX(FILTER(E$1:E1861, E$1:E1861&lt;&gt;""""),COUNTA(FILTER(E$1:E1861, E$1:E1861&lt;&gt;""""))))-1), IF('To Order'!$A1862=COL"&amp;"UMNS($A1862:E1881), E1861&amp;RIGHT(INDIRECT(ADDRESS(ROW(E1862)-1, 'From Order'!$A1862)), 1), E1861))"),"CQTRTC")</f>
        <v>CQTRTC</v>
      </c>
      <c r="F1862" s="2" t="str">
        <f>IFERROR(__xludf.DUMMYFUNCTION("IF('From Order'!$A1862=COLUMNS($A1862:F1881), LEFT(INDEX(FILTER(F$1:F1861, F$1:F1861&lt;&gt;""""),COUNTA(FILTER(F$1:F1861, F$1:F1861&lt;&gt;""""))), LEN(INDEX(FILTER(F$1:F1861, F$1:F1861&lt;&gt;""""),COUNTA(FILTER(F$1:F1861, F$1:F1861&lt;&gt;""""))))-1), IF('To Order'!$A1862=COL"&amp;"UMNS($A1862:F1881), F1861&amp;RIGHT(INDIRECT(ADDRESS(ROW(F1862)-1, 'From Order'!$A1862)), 1), F1861))"),"LDSPBFLLWDDVQJPPSSTWZCSFHB")</f>
        <v>LDSPBFLLWDDVQJPPSSTWZCSFHB</v>
      </c>
      <c r="G1862" s="2" t="str">
        <f>IFERROR(__xludf.DUMMYFUNCTION("IF('From Order'!$A1862=COLUMNS($A1862:G1881), LEFT(INDEX(FILTER(G$1:G1861, G$1:G1861&lt;&gt;""""),COUNTA(FILTER(G$1:G1861, G$1:G1861&lt;&gt;""""))), LEN(INDEX(FILTER(G$1:G1861, G$1:G1861&lt;&gt;""""),COUNTA(FILTER(G$1:G1861, G$1:G1861&lt;&gt;""""))))-1), IF('To Order'!$A1862=COL"&amp;"UMNS($A1862:G1881), G1861&amp;RIGHT(INDIRECT(ADDRESS(ROW(G1862)-1, 'From Order'!$A1862)), 1), G1861))"),"MDJMBVRRGRD")</f>
        <v>MDJMBVRRGRD</v>
      </c>
      <c r="H1862" s="2" t="str">
        <f>IFERROR(__xludf.DUMMYFUNCTION("IF('From Order'!$A1862=COLUMNS($A1862:H1881), LEFT(INDEX(FILTER(H$1:H1861, H$1:H1861&lt;&gt;""""),COUNTA(FILTER(H$1:H1861, H$1:H1861&lt;&gt;""""))), LEN(INDEX(FILTER(H$1:H1861, H$1:H1861&lt;&gt;""""),COUNTA(FILTER(H$1:H1861, H$1:H1861&lt;&gt;""""))))-1), IF('To Order'!$A1862=COL"&amp;"UMNS($A1862:H1881), H1861&amp;RIGHT(INDIRECT(ADDRESS(ROW(H1862)-1, 'From Order'!$A1862)), 1), H1861))"),"V")</f>
        <v>V</v>
      </c>
      <c r="I1862" s="2" t="str">
        <f>IFERROR(__xludf.DUMMYFUNCTION("IF('From Order'!$A1862=COLUMNS($A1862:I1881), LEFT(INDEX(FILTER(I$1:I1861, I$1:I1861&lt;&gt;""""),COUNTA(FILTER(I$1:I1861, I$1:I1861&lt;&gt;""""))), LEN(INDEX(FILTER(I$1:I1861, I$1:I1861&lt;&gt;""""),COUNTA(FILTER(I$1:I1861, I$1:I1861&lt;&gt;""""))))-1), IF('To Order'!$A1862=COL"&amp;"UMNS($A1862:I1881), I1861&amp;RIGHT(INDIRECT(ADDRESS(ROW(I1862)-1, 'From Order'!$A1862)), 1), I1861))"),"")</f>
        <v/>
      </c>
    </row>
    <row r="1863">
      <c r="A1863" s="2" t="str">
        <f>IFERROR(__xludf.DUMMYFUNCTION("IF('From Order'!$A1863=COLUMNS($A1863:A1882), LEFT(INDEX(FILTER(A$1:A1862, A$1:A1862&lt;&gt;""""),COUNTA(FILTER(A$1:A1862, A$1:A1862&lt;&gt;""""))), LEN(INDEX(FILTER(A$1:A1862, A$1:A1862&lt;&gt;""""),COUNTA(FILTER(A$1:A1862, A$1:A1862&lt;&gt;""""))))-1), IF('To Order'!$A1863=COL"&amp;"UMNS($A1863:A1882), A1862&amp;RIGHT(INDIRECT(ADDRESS(ROW(A1863)-1, 'From Order'!$A1863)), 1), A1862))"),"ZHZMTD")</f>
        <v>ZHZMTD</v>
      </c>
      <c r="B1863" s="2" t="str">
        <f>IFERROR(__xludf.DUMMYFUNCTION("IF('From Order'!$A1863=COLUMNS($A1863:B1882), LEFT(INDEX(FILTER(B$1:B1862, B$1:B1862&lt;&gt;""""),COUNTA(FILTER(B$1:B1862, B$1:B1862&lt;&gt;""""))), LEN(INDEX(FILTER(B$1:B1862, B$1:B1862&lt;&gt;""""),COUNTA(FILTER(B$1:B1862, B$1:B1862&lt;&gt;""""))))-1), IF('To Order'!$A1863=COL"&amp;"UMNS($A1863:B1882), B1862&amp;RIGHT(INDIRECT(ADDRESS(ROW(B1863)-1, 'From Order'!$A1863)), 1), B1862))"),"GTTJ")</f>
        <v>GTTJ</v>
      </c>
      <c r="C1863" s="2" t="str">
        <f>IFERROR(__xludf.DUMMYFUNCTION("IF('From Order'!$A1863=COLUMNS($A1863:C1882), LEFT(INDEX(FILTER(C$1:C1862, C$1:C1862&lt;&gt;""""),COUNTA(FILTER(C$1:C1862, C$1:C1862&lt;&gt;""""))), LEN(INDEX(FILTER(C$1:C1862, C$1:C1862&lt;&gt;""""),COUNTA(FILTER(C$1:C1862, C$1:C1862&lt;&gt;""""))))-1), IF('To Order'!$A1863=COL"&amp;"UMNS($A1863:C1882), C1862&amp;RIGHT(INDIRECT(ADDRESS(ROW(C1863)-1, 'From Order'!$A1863)), 1), C1862))"),"")</f>
        <v/>
      </c>
      <c r="D1863" s="2" t="str">
        <f>IFERROR(__xludf.DUMMYFUNCTION("IF('From Order'!$A1863=COLUMNS($A1863:D1882), LEFT(INDEX(FILTER(D$1:D1862, D$1:D1862&lt;&gt;""""),COUNTA(FILTER(D$1:D1862, D$1:D1862&lt;&gt;""""))), LEN(INDEX(FILTER(D$1:D1862, D$1:D1862&lt;&gt;""""),COUNTA(FILTER(D$1:D1862, D$1:D1862&lt;&gt;""""))))-1), IF('To Order'!$A1863=COL"&amp;"UMNS($A1863:D1882), D1862&amp;RIGHT(INDIRECT(ADDRESS(ROW(D1863)-1, 'From Order'!$A1863)), 1), D1862))"),"RB")</f>
        <v>RB</v>
      </c>
      <c r="E1863" s="2" t="str">
        <f>IFERROR(__xludf.DUMMYFUNCTION("IF('From Order'!$A1863=COLUMNS($A1863:E1882), LEFT(INDEX(FILTER(E$1:E1862, E$1:E1862&lt;&gt;""""),COUNTA(FILTER(E$1:E1862, E$1:E1862&lt;&gt;""""))), LEN(INDEX(FILTER(E$1:E1862, E$1:E1862&lt;&gt;""""),COUNTA(FILTER(E$1:E1862, E$1:E1862&lt;&gt;""""))))-1), IF('To Order'!$A1863=COL"&amp;"UMNS($A1863:E1882), E1862&amp;RIGHT(INDIRECT(ADDRESS(ROW(E1863)-1, 'From Order'!$A1863)), 1), E1862))"),"CQTRTC")</f>
        <v>CQTRTC</v>
      </c>
      <c r="F1863" s="2" t="str">
        <f>IFERROR(__xludf.DUMMYFUNCTION("IF('From Order'!$A1863=COLUMNS($A1863:F1882), LEFT(INDEX(FILTER(F$1:F1862, F$1:F1862&lt;&gt;""""),COUNTA(FILTER(F$1:F1862, F$1:F1862&lt;&gt;""""))), LEN(INDEX(FILTER(F$1:F1862, F$1:F1862&lt;&gt;""""),COUNTA(FILTER(F$1:F1862, F$1:F1862&lt;&gt;""""))))-1), IF('To Order'!$A1863=COL"&amp;"UMNS($A1863:F1882), F1862&amp;RIGHT(INDIRECT(ADDRESS(ROW(F1863)-1, 'From Order'!$A1863)), 1), F1862))"),"LDSPBFLLWDDVQJPPSSTWZCSFHB")</f>
        <v>LDSPBFLLWDDVQJPPSSTWZCSFHB</v>
      </c>
      <c r="G1863" s="2" t="str">
        <f>IFERROR(__xludf.DUMMYFUNCTION("IF('From Order'!$A1863=COLUMNS($A1863:G1882), LEFT(INDEX(FILTER(G$1:G1862, G$1:G1862&lt;&gt;""""),COUNTA(FILTER(G$1:G1862, G$1:G1862&lt;&gt;""""))), LEN(INDEX(FILTER(G$1:G1862, G$1:G1862&lt;&gt;""""),COUNTA(FILTER(G$1:G1862, G$1:G1862&lt;&gt;""""))))-1), IF('To Order'!$A1863=COL"&amp;"UMNS($A1863:G1882), G1862&amp;RIGHT(INDIRECT(ADDRESS(ROW(G1863)-1, 'From Order'!$A1863)), 1), G1862))"),"MDJMBVRRGR")</f>
        <v>MDJMBVRRGR</v>
      </c>
      <c r="H1863" s="2" t="str">
        <f>IFERROR(__xludf.DUMMYFUNCTION("IF('From Order'!$A1863=COLUMNS($A1863:H1882), LEFT(INDEX(FILTER(H$1:H1862, H$1:H1862&lt;&gt;""""),COUNTA(FILTER(H$1:H1862, H$1:H1862&lt;&gt;""""))), LEN(INDEX(FILTER(H$1:H1862, H$1:H1862&lt;&gt;""""),COUNTA(FILTER(H$1:H1862, H$1:H1862&lt;&gt;""""))))-1), IF('To Order'!$A1863=COL"&amp;"UMNS($A1863:H1882), H1862&amp;RIGHT(INDIRECT(ADDRESS(ROW(H1863)-1, 'From Order'!$A1863)), 1), H1862))"),"VD")</f>
        <v>VD</v>
      </c>
      <c r="I1863" s="2" t="str">
        <f>IFERROR(__xludf.DUMMYFUNCTION("IF('From Order'!$A1863=COLUMNS($A1863:I1882), LEFT(INDEX(FILTER(I$1:I1862, I$1:I1862&lt;&gt;""""),COUNTA(FILTER(I$1:I1862, I$1:I1862&lt;&gt;""""))), LEN(INDEX(FILTER(I$1:I1862, I$1:I1862&lt;&gt;""""),COUNTA(FILTER(I$1:I1862, I$1:I1862&lt;&gt;""""))))-1), IF('To Order'!$A1863=COL"&amp;"UMNS($A1863:I1882), I1862&amp;RIGHT(INDIRECT(ADDRESS(ROW(I1863)-1, 'From Order'!$A1863)), 1), I1862))"),"")</f>
        <v/>
      </c>
    </row>
    <row r="1864">
      <c r="A1864" s="2" t="str">
        <f>IFERROR(__xludf.DUMMYFUNCTION("IF('From Order'!$A1864=COLUMNS($A1864:A1883), LEFT(INDEX(FILTER(A$1:A1863, A$1:A1863&lt;&gt;""""),COUNTA(FILTER(A$1:A1863, A$1:A1863&lt;&gt;""""))), LEN(INDEX(FILTER(A$1:A1863, A$1:A1863&lt;&gt;""""),COUNTA(FILTER(A$1:A1863, A$1:A1863&lt;&gt;""""))))-1), IF('To Order'!$A1864=COL"&amp;"UMNS($A1864:A1883), A1863&amp;RIGHT(INDIRECT(ADDRESS(ROW(A1864)-1, 'From Order'!$A1864)), 1), A1863))"),"ZHZMTD")</f>
        <v>ZHZMTD</v>
      </c>
      <c r="B1864" s="2" t="str">
        <f>IFERROR(__xludf.DUMMYFUNCTION("IF('From Order'!$A1864=COLUMNS($A1864:B1883), LEFT(INDEX(FILTER(B$1:B1863, B$1:B1863&lt;&gt;""""),COUNTA(FILTER(B$1:B1863, B$1:B1863&lt;&gt;""""))), LEN(INDEX(FILTER(B$1:B1863, B$1:B1863&lt;&gt;""""),COUNTA(FILTER(B$1:B1863, B$1:B1863&lt;&gt;""""))))-1), IF('To Order'!$A1864=COL"&amp;"UMNS($A1864:B1883), B1863&amp;RIGHT(INDIRECT(ADDRESS(ROW(B1864)-1, 'From Order'!$A1864)), 1), B1863))"),"GTTJ")</f>
        <v>GTTJ</v>
      </c>
      <c r="C1864" s="2" t="str">
        <f>IFERROR(__xludf.DUMMYFUNCTION("IF('From Order'!$A1864=COLUMNS($A1864:C1883), LEFT(INDEX(FILTER(C$1:C1863, C$1:C1863&lt;&gt;""""),COUNTA(FILTER(C$1:C1863, C$1:C1863&lt;&gt;""""))), LEN(INDEX(FILTER(C$1:C1863, C$1:C1863&lt;&gt;""""),COUNTA(FILTER(C$1:C1863, C$1:C1863&lt;&gt;""""))))-1), IF('To Order'!$A1864=COL"&amp;"UMNS($A1864:C1883), C1863&amp;RIGHT(INDIRECT(ADDRESS(ROW(C1864)-1, 'From Order'!$A1864)), 1), C1863))"),"D")</f>
        <v>D</v>
      </c>
      <c r="D1864" s="2" t="str">
        <f>IFERROR(__xludf.DUMMYFUNCTION("IF('From Order'!$A1864=COLUMNS($A1864:D1883), LEFT(INDEX(FILTER(D$1:D1863, D$1:D1863&lt;&gt;""""),COUNTA(FILTER(D$1:D1863, D$1:D1863&lt;&gt;""""))), LEN(INDEX(FILTER(D$1:D1863, D$1:D1863&lt;&gt;""""),COUNTA(FILTER(D$1:D1863, D$1:D1863&lt;&gt;""""))))-1), IF('To Order'!$A1864=COL"&amp;"UMNS($A1864:D1883), D1863&amp;RIGHT(INDIRECT(ADDRESS(ROW(D1864)-1, 'From Order'!$A1864)), 1), D1863))"),"RB")</f>
        <v>RB</v>
      </c>
      <c r="E1864" s="2" t="str">
        <f>IFERROR(__xludf.DUMMYFUNCTION("IF('From Order'!$A1864=COLUMNS($A1864:E1883), LEFT(INDEX(FILTER(E$1:E1863, E$1:E1863&lt;&gt;""""),COUNTA(FILTER(E$1:E1863, E$1:E1863&lt;&gt;""""))), LEN(INDEX(FILTER(E$1:E1863, E$1:E1863&lt;&gt;""""),COUNTA(FILTER(E$1:E1863, E$1:E1863&lt;&gt;""""))))-1), IF('To Order'!$A1864=COL"&amp;"UMNS($A1864:E1883), E1863&amp;RIGHT(INDIRECT(ADDRESS(ROW(E1864)-1, 'From Order'!$A1864)), 1), E1863))"),"CQTRTC")</f>
        <v>CQTRTC</v>
      </c>
      <c r="F1864" s="2" t="str">
        <f>IFERROR(__xludf.DUMMYFUNCTION("IF('From Order'!$A1864=COLUMNS($A1864:F1883), LEFT(INDEX(FILTER(F$1:F1863, F$1:F1863&lt;&gt;""""),COUNTA(FILTER(F$1:F1863, F$1:F1863&lt;&gt;""""))), LEN(INDEX(FILTER(F$1:F1863, F$1:F1863&lt;&gt;""""),COUNTA(FILTER(F$1:F1863, F$1:F1863&lt;&gt;""""))))-1), IF('To Order'!$A1864=COL"&amp;"UMNS($A1864:F1883), F1863&amp;RIGHT(INDIRECT(ADDRESS(ROW(F1864)-1, 'From Order'!$A1864)), 1), F1863))"),"LDSPBFLLWDDVQJPPSSTWZCSFHB")</f>
        <v>LDSPBFLLWDDVQJPPSSTWZCSFHB</v>
      </c>
      <c r="G1864" s="2" t="str">
        <f>IFERROR(__xludf.DUMMYFUNCTION("IF('From Order'!$A1864=COLUMNS($A1864:G1883), LEFT(INDEX(FILTER(G$1:G1863, G$1:G1863&lt;&gt;""""),COUNTA(FILTER(G$1:G1863, G$1:G1863&lt;&gt;""""))), LEN(INDEX(FILTER(G$1:G1863, G$1:G1863&lt;&gt;""""),COUNTA(FILTER(G$1:G1863, G$1:G1863&lt;&gt;""""))))-1), IF('To Order'!$A1864=COL"&amp;"UMNS($A1864:G1883), G1863&amp;RIGHT(INDIRECT(ADDRESS(ROW(G1864)-1, 'From Order'!$A1864)), 1), G1863))"),"MDJMBVRRGR")</f>
        <v>MDJMBVRRGR</v>
      </c>
      <c r="H1864" s="2" t="str">
        <f>IFERROR(__xludf.DUMMYFUNCTION("IF('From Order'!$A1864=COLUMNS($A1864:H1883), LEFT(INDEX(FILTER(H$1:H1863, H$1:H1863&lt;&gt;""""),COUNTA(FILTER(H$1:H1863, H$1:H1863&lt;&gt;""""))), LEN(INDEX(FILTER(H$1:H1863, H$1:H1863&lt;&gt;""""),COUNTA(FILTER(H$1:H1863, H$1:H1863&lt;&gt;""""))))-1), IF('To Order'!$A1864=COL"&amp;"UMNS($A1864:H1883), H1863&amp;RIGHT(INDIRECT(ADDRESS(ROW(H1864)-1, 'From Order'!$A1864)), 1), H1863))"),"V")</f>
        <v>V</v>
      </c>
      <c r="I1864" s="2" t="str">
        <f>IFERROR(__xludf.DUMMYFUNCTION("IF('From Order'!$A1864=COLUMNS($A1864:I1883), LEFT(INDEX(FILTER(I$1:I1863, I$1:I1863&lt;&gt;""""),COUNTA(FILTER(I$1:I1863, I$1:I1863&lt;&gt;""""))), LEN(INDEX(FILTER(I$1:I1863, I$1:I1863&lt;&gt;""""),COUNTA(FILTER(I$1:I1863, I$1:I1863&lt;&gt;""""))))-1), IF('To Order'!$A1864=COL"&amp;"UMNS($A1864:I1883), I1863&amp;RIGHT(INDIRECT(ADDRESS(ROW(I1864)-1, 'From Order'!$A1864)), 1), I1863))"),"")</f>
        <v/>
      </c>
    </row>
    <row r="1865">
      <c r="A1865" s="2" t="str">
        <f>IFERROR(__xludf.DUMMYFUNCTION("IF('From Order'!$A1865=COLUMNS($A1865:A1884), LEFT(INDEX(FILTER(A$1:A1864, A$1:A1864&lt;&gt;""""),COUNTA(FILTER(A$1:A1864, A$1:A1864&lt;&gt;""""))), LEN(INDEX(FILTER(A$1:A1864, A$1:A1864&lt;&gt;""""),COUNTA(FILTER(A$1:A1864, A$1:A1864&lt;&gt;""""))))-1), IF('To Order'!$A1865=COL"&amp;"UMNS($A1865:A1884), A1864&amp;RIGHT(INDIRECT(ADDRESS(ROW(A1865)-1, 'From Order'!$A1865)), 1), A1864))"),"ZHZMTD")</f>
        <v>ZHZMTD</v>
      </c>
      <c r="B1865" s="2" t="str">
        <f>IFERROR(__xludf.DUMMYFUNCTION("IF('From Order'!$A1865=COLUMNS($A1865:B1884), LEFT(INDEX(FILTER(B$1:B1864, B$1:B1864&lt;&gt;""""),COUNTA(FILTER(B$1:B1864, B$1:B1864&lt;&gt;""""))), LEN(INDEX(FILTER(B$1:B1864, B$1:B1864&lt;&gt;""""),COUNTA(FILTER(B$1:B1864, B$1:B1864&lt;&gt;""""))))-1), IF('To Order'!$A1865=COL"&amp;"UMNS($A1865:B1884), B1864&amp;RIGHT(INDIRECT(ADDRESS(ROW(B1865)-1, 'From Order'!$A1865)), 1), B1864))"),"GTTJ")</f>
        <v>GTTJ</v>
      </c>
      <c r="C1865" s="2" t="str">
        <f>IFERROR(__xludf.DUMMYFUNCTION("IF('From Order'!$A1865=COLUMNS($A1865:C1884), LEFT(INDEX(FILTER(C$1:C1864, C$1:C1864&lt;&gt;""""),COUNTA(FILTER(C$1:C1864, C$1:C1864&lt;&gt;""""))), LEN(INDEX(FILTER(C$1:C1864, C$1:C1864&lt;&gt;""""),COUNTA(FILTER(C$1:C1864, C$1:C1864&lt;&gt;""""))))-1), IF('To Order'!$A1865=COL"&amp;"UMNS($A1865:C1884), C1864&amp;RIGHT(INDIRECT(ADDRESS(ROW(C1865)-1, 'From Order'!$A1865)), 1), C1864))"),"DV")</f>
        <v>DV</v>
      </c>
      <c r="D1865" s="2" t="str">
        <f>IFERROR(__xludf.DUMMYFUNCTION("IF('From Order'!$A1865=COLUMNS($A1865:D1884), LEFT(INDEX(FILTER(D$1:D1864, D$1:D1864&lt;&gt;""""),COUNTA(FILTER(D$1:D1864, D$1:D1864&lt;&gt;""""))), LEN(INDEX(FILTER(D$1:D1864, D$1:D1864&lt;&gt;""""),COUNTA(FILTER(D$1:D1864, D$1:D1864&lt;&gt;""""))))-1), IF('To Order'!$A1865=COL"&amp;"UMNS($A1865:D1884), D1864&amp;RIGHT(INDIRECT(ADDRESS(ROW(D1865)-1, 'From Order'!$A1865)), 1), D1864))"),"RB")</f>
        <v>RB</v>
      </c>
      <c r="E1865" s="2" t="str">
        <f>IFERROR(__xludf.DUMMYFUNCTION("IF('From Order'!$A1865=COLUMNS($A1865:E1884), LEFT(INDEX(FILTER(E$1:E1864, E$1:E1864&lt;&gt;""""),COUNTA(FILTER(E$1:E1864, E$1:E1864&lt;&gt;""""))), LEN(INDEX(FILTER(E$1:E1864, E$1:E1864&lt;&gt;""""),COUNTA(FILTER(E$1:E1864, E$1:E1864&lt;&gt;""""))))-1), IF('To Order'!$A1865=COL"&amp;"UMNS($A1865:E1884), E1864&amp;RIGHT(INDIRECT(ADDRESS(ROW(E1865)-1, 'From Order'!$A1865)), 1), E1864))"),"CQTRTC")</f>
        <v>CQTRTC</v>
      </c>
      <c r="F1865" s="2" t="str">
        <f>IFERROR(__xludf.DUMMYFUNCTION("IF('From Order'!$A1865=COLUMNS($A1865:F1884), LEFT(INDEX(FILTER(F$1:F1864, F$1:F1864&lt;&gt;""""),COUNTA(FILTER(F$1:F1864, F$1:F1864&lt;&gt;""""))), LEN(INDEX(FILTER(F$1:F1864, F$1:F1864&lt;&gt;""""),COUNTA(FILTER(F$1:F1864, F$1:F1864&lt;&gt;""""))))-1), IF('To Order'!$A1865=COL"&amp;"UMNS($A1865:F1884), F1864&amp;RIGHT(INDIRECT(ADDRESS(ROW(F1865)-1, 'From Order'!$A1865)), 1), F1864))"),"LDSPBFLLWDDVQJPPSSTWZCSFHB")</f>
        <v>LDSPBFLLWDDVQJPPSSTWZCSFHB</v>
      </c>
      <c r="G1865" s="2" t="str">
        <f>IFERROR(__xludf.DUMMYFUNCTION("IF('From Order'!$A1865=COLUMNS($A1865:G1884), LEFT(INDEX(FILTER(G$1:G1864, G$1:G1864&lt;&gt;""""),COUNTA(FILTER(G$1:G1864, G$1:G1864&lt;&gt;""""))), LEN(INDEX(FILTER(G$1:G1864, G$1:G1864&lt;&gt;""""),COUNTA(FILTER(G$1:G1864, G$1:G1864&lt;&gt;""""))))-1), IF('To Order'!$A1865=COL"&amp;"UMNS($A1865:G1884), G1864&amp;RIGHT(INDIRECT(ADDRESS(ROW(G1865)-1, 'From Order'!$A1865)), 1), G1864))"),"MDJMBVRRGR")</f>
        <v>MDJMBVRRGR</v>
      </c>
      <c r="H1865" s="2" t="str">
        <f>IFERROR(__xludf.DUMMYFUNCTION("IF('From Order'!$A1865=COLUMNS($A1865:H1884), LEFT(INDEX(FILTER(H$1:H1864, H$1:H1864&lt;&gt;""""),COUNTA(FILTER(H$1:H1864, H$1:H1864&lt;&gt;""""))), LEN(INDEX(FILTER(H$1:H1864, H$1:H1864&lt;&gt;""""),COUNTA(FILTER(H$1:H1864, H$1:H1864&lt;&gt;""""))))-1), IF('To Order'!$A1865=COL"&amp;"UMNS($A1865:H1884), H1864&amp;RIGHT(INDIRECT(ADDRESS(ROW(H1865)-1, 'From Order'!$A1865)), 1), H1864))"),"")</f>
        <v/>
      </c>
      <c r="I1865" s="2" t="str">
        <f>IFERROR(__xludf.DUMMYFUNCTION("IF('From Order'!$A1865=COLUMNS($A1865:I1884), LEFT(INDEX(FILTER(I$1:I1864, I$1:I1864&lt;&gt;""""),COUNTA(FILTER(I$1:I1864, I$1:I1864&lt;&gt;""""))), LEN(INDEX(FILTER(I$1:I1864, I$1:I1864&lt;&gt;""""),COUNTA(FILTER(I$1:I1864, I$1:I1864&lt;&gt;""""))))-1), IF('To Order'!$A1865=COL"&amp;"UMNS($A1865:I1884), I1864&amp;RIGHT(INDIRECT(ADDRESS(ROW(I1865)-1, 'From Order'!$A1865)), 1), I1864))"),"")</f>
        <v/>
      </c>
    </row>
    <row r="1866">
      <c r="A1866" s="2" t="str">
        <f>IFERROR(__xludf.DUMMYFUNCTION("IF('From Order'!$A1866=COLUMNS($A1866:A1885), LEFT(INDEX(FILTER(A$1:A1865, A$1:A1865&lt;&gt;""""),COUNTA(FILTER(A$1:A1865, A$1:A1865&lt;&gt;""""))), LEN(INDEX(FILTER(A$1:A1865, A$1:A1865&lt;&gt;""""),COUNTA(FILTER(A$1:A1865, A$1:A1865&lt;&gt;""""))))-1), IF('To Order'!$A1866=COL"&amp;"UMNS($A1866:A1885), A1865&amp;RIGHT(INDIRECT(ADDRESS(ROW(A1866)-1, 'From Order'!$A1866)), 1), A1865))"),"ZHZMT")</f>
        <v>ZHZMT</v>
      </c>
      <c r="B1866" s="2" t="str">
        <f>IFERROR(__xludf.DUMMYFUNCTION("IF('From Order'!$A1866=COLUMNS($A1866:B1885), LEFT(INDEX(FILTER(B$1:B1865, B$1:B1865&lt;&gt;""""),COUNTA(FILTER(B$1:B1865, B$1:B1865&lt;&gt;""""))), LEN(INDEX(FILTER(B$1:B1865, B$1:B1865&lt;&gt;""""),COUNTA(FILTER(B$1:B1865, B$1:B1865&lt;&gt;""""))))-1), IF('To Order'!$A1866=COL"&amp;"UMNS($A1866:B1885), B1865&amp;RIGHT(INDIRECT(ADDRESS(ROW(B1866)-1, 'From Order'!$A1866)), 1), B1865))"),"GTTJ")</f>
        <v>GTTJ</v>
      </c>
      <c r="C1866" s="2" t="str">
        <f>IFERROR(__xludf.DUMMYFUNCTION("IF('From Order'!$A1866=COLUMNS($A1866:C1885), LEFT(INDEX(FILTER(C$1:C1865, C$1:C1865&lt;&gt;""""),COUNTA(FILTER(C$1:C1865, C$1:C1865&lt;&gt;""""))), LEN(INDEX(FILTER(C$1:C1865, C$1:C1865&lt;&gt;""""),COUNTA(FILTER(C$1:C1865, C$1:C1865&lt;&gt;""""))))-1), IF('To Order'!$A1866=COL"&amp;"UMNS($A1866:C1885), C1865&amp;RIGHT(INDIRECT(ADDRESS(ROW(C1866)-1, 'From Order'!$A1866)), 1), C1865))"),"DVD")</f>
        <v>DVD</v>
      </c>
      <c r="D1866" s="2" t="str">
        <f>IFERROR(__xludf.DUMMYFUNCTION("IF('From Order'!$A1866=COLUMNS($A1866:D1885), LEFT(INDEX(FILTER(D$1:D1865, D$1:D1865&lt;&gt;""""),COUNTA(FILTER(D$1:D1865, D$1:D1865&lt;&gt;""""))), LEN(INDEX(FILTER(D$1:D1865, D$1:D1865&lt;&gt;""""),COUNTA(FILTER(D$1:D1865, D$1:D1865&lt;&gt;""""))))-1), IF('To Order'!$A1866=COL"&amp;"UMNS($A1866:D1885), D1865&amp;RIGHT(INDIRECT(ADDRESS(ROW(D1866)-1, 'From Order'!$A1866)), 1), D1865))"),"RB")</f>
        <v>RB</v>
      </c>
      <c r="E1866" s="2" t="str">
        <f>IFERROR(__xludf.DUMMYFUNCTION("IF('From Order'!$A1866=COLUMNS($A1866:E1885), LEFT(INDEX(FILTER(E$1:E1865, E$1:E1865&lt;&gt;""""),COUNTA(FILTER(E$1:E1865, E$1:E1865&lt;&gt;""""))), LEN(INDEX(FILTER(E$1:E1865, E$1:E1865&lt;&gt;""""),COUNTA(FILTER(E$1:E1865, E$1:E1865&lt;&gt;""""))))-1), IF('To Order'!$A1866=COL"&amp;"UMNS($A1866:E1885), E1865&amp;RIGHT(INDIRECT(ADDRESS(ROW(E1866)-1, 'From Order'!$A1866)), 1), E1865))"),"CQTRTC")</f>
        <v>CQTRTC</v>
      </c>
      <c r="F1866" s="2" t="str">
        <f>IFERROR(__xludf.DUMMYFUNCTION("IF('From Order'!$A1866=COLUMNS($A1866:F1885), LEFT(INDEX(FILTER(F$1:F1865, F$1:F1865&lt;&gt;""""),COUNTA(FILTER(F$1:F1865, F$1:F1865&lt;&gt;""""))), LEN(INDEX(FILTER(F$1:F1865, F$1:F1865&lt;&gt;""""),COUNTA(FILTER(F$1:F1865, F$1:F1865&lt;&gt;""""))))-1), IF('To Order'!$A1866=COL"&amp;"UMNS($A1866:F1885), F1865&amp;RIGHT(INDIRECT(ADDRESS(ROW(F1866)-1, 'From Order'!$A1866)), 1), F1865))"),"LDSPBFLLWDDVQJPPSSTWZCSFHB")</f>
        <v>LDSPBFLLWDDVQJPPSSTWZCSFHB</v>
      </c>
      <c r="G1866" s="2" t="str">
        <f>IFERROR(__xludf.DUMMYFUNCTION("IF('From Order'!$A1866=COLUMNS($A1866:G1885), LEFT(INDEX(FILTER(G$1:G1865, G$1:G1865&lt;&gt;""""),COUNTA(FILTER(G$1:G1865, G$1:G1865&lt;&gt;""""))), LEN(INDEX(FILTER(G$1:G1865, G$1:G1865&lt;&gt;""""),COUNTA(FILTER(G$1:G1865, G$1:G1865&lt;&gt;""""))))-1), IF('To Order'!$A1866=COL"&amp;"UMNS($A1866:G1885), G1865&amp;RIGHT(INDIRECT(ADDRESS(ROW(G1866)-1, 'From Order'!$A1866)), 1), G1865))"),"MDJMBVRRGR")</f>
        <v>MDJMBVRRGR</v>
      </c>
      <c r="H1866" s="2" t="str">
        <f>IFERROR(__xludf.DUMMYFUNCTION("IF('From Order'!$A1866=COLUMNS($A1866:H1885), LEFT(INDEX(FILTER(H$1:H1865, H$1:H1865&lt;&gt;""""),COUNTA(FILTER(H$1:H1865, H$1:H1865&lt;&gt;""""))), LEN(INDEX(FILTER(H$1:H1865, H$1:H1865&lt;&gt;""""),COUNTA(FILTER(H$1:H1865, H$1:H1865&lt;&gt;""""))))-1), IF('To Order'!$A1866=COL"&amp;"UMNS($A1866:H1885), H1865&amp;RIGHT(INDIRECT(ADDRESS(ROW(H1866)-1, 'From Order'!$A1866)), 1), H1865))"),"")</f>
        <v/>
      </c>
      <c r="I1866" s="2" t="str">
        <f>IFERROR(__xludf.DUMMYFUNCTION("IF('From Order'!$A1866=COLUMNS($A1866:I1885), LEFT(INDEX(FILTER(I$1:I1865, I$1:I1865&lt;&gt;""""),COUNTA(FILTER(I$1:I1865, I$1:I1865&lt;&gt;""""))), LEN(INDEX(FILTER(I$1:I1865, I$1:I1865&lt;&gt;""""),COUNTA(FILTER(I$1:I1865, I$1:I1865&lt;&gt;""""))))-1), IF('To Order'!$A1866=COL"&amp;"UMNS($A1866:I1885), I1865&amp;RIGHT(INDIRECT(ADDRESS(ROW(I1866)-1, 'From Order'!$A1866)), 1), I1865))"),"")</f>
        <v/>
      </c>
    </row>
    <row r="1867">
      <c r="A1867" s="2" t="str">
        <f>IFERROR(__xludf.DUMMYFUNCTION("IF('From Order'!$A1867=COLUMNS($A1867:A1886), LEFT(INDEX(FILTER(A$1:A1866, A$1:A1866&lt;&gt;""""),COUNTA(FILTER(A$1:A1866, A$1:A1866&lt;&gt;""""))), LEN(INDEX(FILTER(A$1:A1866, A$1:A1866&lt;&gt;""""),COUNTA(FILTER(A$1:A1866, A$1:A1866&lt;&gt;""""))))-1), IF('To Order'!$A1867=COL"&amp;"UMNS($A1867:A1886), A1866&amp;RIGHT(INDIRECT(ADDRESS(ROW(A1867)-1, 'From Order'!$A1867)), 1), A1866))"),"ZHZM")</f>
        <v>ZHZM</v>
      </c>
      <c r="B1867" s="2" t="str">
        <f>IFERROR(__xludf.DUMMYFUNCTION("IF('From Order'!$A1867=COLUMNS($A1867:B1886), LEFT(INDEX(FILTER(B$1:B1866, B$1:B1866&lt;&gt;""""),COUNTA(FILTER(B$1:B1866, B$1:B1866&lt;&gt;""""))), LEN(INDEX(FILTER(B$1:B1866, B$1:B1866&lt;&gt;""""),COUNTA(FILTER(B$1:B1866, B$1:B1866&lt;&gt;""""))))-1), IF('To Order'!$A1867=COL"&amp;"UMNS($A1867:B1886), B1866&amp;RIGHT(INDIRECT(ADDRESS(ROW(B1867)-1, 'From Order'!$A1867)), 1), B1866))"),"GTTJ")</f>
        <v>GTTJ</v>
      </c>
      <c r="C1867" s="2" t="str">
        <f>IFERROR(__xludf.DUMMYFUNCTION("IF('From Order'!$A1867=COLUMNS($A1867:C1886), LEFT(INDEX(FILTER(C$1:C1866, C$1:C1866&lt;&gt;""""),COUNTA(FILTER(C$1:C1866, C$1:C1866&lt;&gt;""""))), LEN(INDEX(FILTER(C$1:C1866, C$1:C1866&lt;&gt;""""),COUNTA(FILTER(C$1:C1866, C$1:C1866&lt;&gt;""""))))-1), IF('To Order'!$A1867=COL"&amp;"UMNS($A1867:C1886), C1866&amp;RIGHT(INDIRECT(ADDRESS(ROW(C1867)-1, 'From Order'!$A1867)), 1), C1866))"),"DVDT")</f>
        <v>DVDT</v>
      </c>
      <c r="D1867" s="2" t="str">
        <f>IFERROR(__xludf.DUMMYFUNCTION("IF('From Order'!$A1867=COLUMNS($A1867:D1886), LEFT(INDEX(FILTER(D$1:D1866, D$1:D1866&lt;&gt;""""),COUNTA(FILTER(D$1:D1866, D$1:D1866&lt;&gt;""""))), LEN(INDEX(FILTER(D$1:D1866, D$1:D1866&lt;&gt;""""),COUNTA(FILTER(D$1:D1866, D$1:D1866&lt;&gt;""""))))-1), IF('To Order'!$A1867=COL"&amp;"UMNS($A1867:D1886), D1866&amp;RIGHT(INDIRECT(ADDRESS(ROW(D1867)-1, 'From Order'!$A1867)), 1), D1866))"),"RB")</f>
        <v>RB</v>
      </c>
      <c r="E1867" s="2" t="str">
        <f>IFERROR(__xludf.DUMMYFUNCTION("IF('From Order'!$A1867=COLUMNS($A1867:E1886), LEFT(INDEX(FILTER(E$1:E1866, E$1:E1866&lt;&gt;""""),COUNTA(FILTER(E$1:E1866, E$1:E1866&lt;&gt;""""))), LEN(INDEX(FILTER(E$1:E1866, E$1:E1866&lt;&gt;""""),COUNTA(FILTER(E$1:E1866, E$1:E1866&lt;&gt;""""))))-1), IF('To Order'!$A1867=COL"&amp;"UMNS($A1867:E1886), E1866&amp;RIGHT(INDIRECT(ADDRESS(ROW(E1867)-1, 'From Order'!$A1867)), 1), E1866))"),"CQTRTC")</f>
        <v>CQTRTC</v>
      </c>
      <c r="F1867" s="2" t="str">
        <f>IFERROR(__xludf.DUMMYFUNCTION("IF('From Order'!$A1867=COLUMNS($A1867:F1886), LEFT(INDEX(FILTER(F$1:F1866, F$1:F1866&lt;&gt;""""),COUNTA(FILTER(F$1:F1866, F$1:F1866&lt;&gt;""""))), LEN(INDEX(FILTER(F$1:F1866, F$1:F1866&lt;&gt;""""),COUNTA(FILTER(F$1:F1866, F$1:F1866&lt;&gt;""""))))-1), IF('To Order'!$A1867=COL"&amp;"UMNS($A1867:F1886), F1866&amp;RIGHT(INDIRECT(ADDRESS(ROW(F1867)-1, 'From Order'!$A1867)), 1), F1866))"),"LDSPBFLLWDDVQJPPSSTWZCSFHB")</f>
        <v>LDSPBFLLWDDVQJPPSSTWZCSFHB</v>
      </c>
      <c r="G1867" s="2" t="str">
        <f>IFERROR(__xludf.DUMMYFUNCTION("IF('From Order'!$A1867=COLUMNS($A1867:G1886), LEFT(INDEX(FILTER(G$1:G1866, G$1:G1866&lt;&gt;""""),COUNTA(FILTER(G$1:G1866, G$1:G1866&lt;&gt;""""))), LEN(INDEX(FILTER(G$1:G1866, G$1:G1866&lt;&gt;""""),COUNTA(FILTER(G$1:G1866, G$1:G1866&lt;&gt;""""))))-1), IF('To Order'!$A1867=COL"&amp;"UMNS($A1867:G1886), G1866&amp;RIGHT(INDIRECT(ADDRESS(ROW(G1867)-1, 'From Order'!$A1867)), 1), G1866))"),"MDJMBVRRGR")</f>
        <v>MDJMBVRRGR</v>
      </c>
      <c r="H1867" s="2" t="str">
        <f>IFERROR(__xludf.DUMMYFUNCTION("IF('From Order'!$A1867=COLUMNS($A1867:H1886), LEFT(INDEX(FILTER(H$1:H1866, H$1:H1866&lt;&gt;""""),COUNTA(FILTER(H$1:H1866, H$1:H1866&lt;&gt;""""))), LEN(INDEX(FILTER(H$1:H1866, H$1:H1866&lt;&gt;""""),COUNTA(FILTER(H$1:H1866, H$1:H1866&lt;&gt;""""))))-1), IF('To Order'!$A1867=COL"&amp;"UMNS($A1867:H1886), H1866&amp;RIGHT(INDIRECT(ADDRESS(ROW(H1867)-1, 'From Order'!$A1867)), 1), H1866))"),"")</f>
        <v/>
      </c>
      <c r="I1867" s="2" t="str">
        <f>IFERROR(__xludf.DUMMYFUNCTION("IF('From Order'!$A1867=COLUMNS($A1867:I1886), LEFT(INDEX(FILTER(I$1:I1866, I$1:I1866&lt;&gt;""""),COUNTA(FILTER(I$1:I1866, I$1:I1866&lt;&gt;""""))), LEN(INDEX(FILTER(I$1:I1866, I$1:I1866&lt;&gt;""""),COUNTA(FILTER(I$1:I1866, I$1:I1866&lt;&gt;""""))))-1), IF('To Order'!$A1867=COL"&amp;"UMNS($A1867:I1886), I1866&amp;RIGHT(INDIRECT(ADDRESS(ROW(I1867)-1, 'From Order'!$A1867)), 1), I1866))"),"")</f>
        <v/>
      </c>
    </row>
    <row r="1868">
      <c r="A1868" s="2" t="str">
        <f>IFERROR(__xludf.DUMMYFUNCTION("IF('From Order'!$A1868=COLUMNS($A1868:A1887), LEFT(INDEX(FILTER(A$1:A1867, A$1:A1867&lt;&gt;""""),COUNTA(FILTER(A$1:A1867, A$1:A1867&lt;&gt;""""))), LEN(INDEX(FILTER(A$1:A1867, A$1:A1867&lt;&gt;""""),COUNTA(FILTER(A$1:A1867, A$1:A1867&lt;&gt;""""))))-1), IF('To Order'!$A1868=COL"&amp;"UMNS($A1868:A1887), A1867&amp;RIGHT(INDIRECT(ADDRESS(ROW(A1868)-1, 'From Order'!$A1868)), 1), A1867))"),"ZHZ")</f>
        <v>ZHZ</v>
      </c>
      <c r="B1868" s="2" t="str">
        <f>IFERROR(__xludf.DUMMYFUNCTION("IF('From Order'!$A1868=COLUMNS($A1868:B1887), LEFT(INDEX(FILTER(B$1:B1867, B$1:B1867&lt;&gt;""""),COUNTA(FILTER(B$1:B1867, B$1:B1867&lt;&gt;""""))), LEN(INDEX(FILTER(B$1:B1867, B$1:B1867&lt;&gt;""""),COUNTA(FILTER(B$1:B1867, B$1:B1867&lt;&gt;""""))))-1), IF('To Order'!$A1868=COL"&amp;"UMNS($A1868:B1887), B1867&amp;RIGHT(INDIRECT(ADDRESS(ROW(B1868)-1, 'From Order'!$A1868)), 1), B1867))"),"GTTJ")</f>
        <v>GTTJ</v>
      </c>
      <c r="C1868" s="2" t="str">
        <f>IFERROR(__xludf.DUMMYFUNCTION("IF('From Order'!$A1868=COLUMNS($A1868:C1887), LEFT(INDEX(FILTER(C$1:C1867, C$1:C1867&lt;&gt;""""),COUNTA(FILTER(C$1:C1867, C$1:C1867&lt;&gt;""""))), LEN(INDEX(FILTER(C$1:C1867, C$1:C1867&lt;&gt;""""),COUNTA(FILTER(C$1:C1867, C$1:C1867&lt;&gt;""""))))-1), IF('To Order'!$A1868=COL"&amp;"UMNS($A1868:C1887), C1867&amp;RIGHT(INDIRECT(ADDRESS(ROW(C1868)-1, 'From Order'!$A1868)), 1), C1867))"),"DVDTM")</f>
        <v>DVDTM</v>
      </c>
      <c r="D1868" s="2" t="str">
        <f>IFERROR(__xludf.DUMMYFUNCTION("IF('From Order'!$A1868=COLUMNS($A1868:D1887), LEFT(INDEX(FILTER(D$1:D1867, D$1:D1867&lt;&gt;""""),COUNTA(FILTER(D$1:D1867, D$1:D1867&lt;&gt;""""))), LEN(INDEX(FILTER(D$1:D1867, D$1:D1867&lt;&gt;""""),COUNTA(FILTER(D$1:D1867, D$1:D1867&lt;&gt;""""))))-1), IF('To Order'!$A1868=COL"&amp;"UMNS($A1868:D1887), D1867&amp;RIGHT(INDIRECT(ADDRESS(ROW(D1868)-1, 'From Order'!$A1868)), 1), D1867))"),"RB")</f>
        <v>RB</v>
      </c>
      <c r="E1868" s="2" t="str">
        <f>IFERROR(__xludf.DUMMYFUNCTION("IF('From Order'!$A1868=COLUMNS($A1868:E1887), LEFT(INDEX(FILTER(E$1:E1867, E$1:E1867&lt;&gt;""""),COUNTA(FILTER(E$1:E1867, E$1:E1867&lt;&gt;""""))), LEN(INDEX(FILTER(E$1:E1867, E$1:E1867&lt;&gt;""""),COUNTA(FILTER(E$1:E1867, E$1:E1867&lt;&gt;""""))))-1), IF('To Order'!$A1868=COL"&amp;"UMNS($A1868:E1887), E1867&amp;RIGHT(INDIRECT(ADDRESS(ROW(E1868)-1, 'From Order'!$A1868)), 1), E1867))"),"CQTRTC")</f>
        <v>CQTRTC</v>
      </c>
      <c r="F1868" s="2" t="str">
        <f>IFERROR(__xludf.DUMMYFUNCTION("IF('From Order'!$A1868=COLUMNS($A1868:F1887), LEFT(INDEX(FILTER(F$1:F1867, F$1:F1867&lt;&gt;""""),COUNTA(FILTER(F$1:F1867, F$1:F1867&lt;&gt;""""))), LEN(INDEX(FILTER(F$1:F1867, F$1:F1867&lt;&gt;""""),COUNTA(FILTER(F$1:F1867, F$1:F1867&lt;&gt;""""))))-1), IF('To Order'!$A1868=COL"&amp;"UMNS($A1868:F1887), F1867&amp;RIGHT(INDIRECT(ADDRESS(ROW(F1868)-1, 'From Order'!$A1868)), 1), F1867))"),"LDSPBFLLWDDVQJPPSSTWZCSFHB")</f>
        <v>LDSPBFLLWDDVQJPPSSTWZCSFHB</v>
      </c>
      <c r="G1868" s="2" t="str">
        <f>IFERROR(__xludf.DUMMYFUNCTION("IF('From Order'!$A1868=COLUMNS($A1868:G1887), LEFT(INDEX(FILTER(G$1:G1867, G$1:G1867&lt;&gt;""""),COUNTA(FILTER(G$1:G1867, G$1:G1867&lt;&gt;""""))), LEN(INDEX(FILTER(G$1:G1867, G$1:G1867&lt;&gt;""""),COUNTA(FILTER(G$1:G1867, G$1:G1867&lt;&gt;""""))))-1), IF('To Order'!$A1868=COL"&amp;"UMNS($A1868:G1887), G1867&amp;RIGHT(INDIRECT(ADDRESS(ROW(G1868)-1, 'From Order'!$A1868)), 1), G1867))"),"MDJMBVRRGR")</f>
        <v>MDJMBVRRGR</v>
      </c>
      <c r="H1868" s="2" t="str">
        <f>IFERROR(__xludf.DUMMYFUNCTION("IF('From Order'!$A1868=COLUMNS($A1868:H1887), LEFT(INDEX(FILTER(H$1:H1867, H$1:H1867&lt;&gt;""""),COUNTA(FILTER(H$1:H1867, H$1:H1867&lt;&gt;""""))), LEN(INDEX(FILTER(H$1:H1867, H$1:H1867&lt;&gt;""""),COUNTA(FILTER(H$1:H1867, H$1:H1867&lt;&gt;""""))))-1), IF('To Order'!$A1868=COL"&amp;"UMNS($A1868:H1887), H1867&amp;RIGHT(INDIRECT(ADDRESS(ROW(H1868)-1, 'From Order'!$A1868)), 1), H1867))"),"")</f>
        <v/>
      </c>
      <c r="I1868" s="2" t="str">
        <f>IFERROR(__xludf.DUMMYFUNCTION("IF('From Order'!$A1868=COLUMNS($A1868:I1887), LEFT(INDEX(FILTER(I$1:I1867, I$1:I1867&lt;&gt;""""),COUNTA(FILTER(I$1:I1867, I$1:I1867&lt;&gt;""""))), LEN(INDEX(FILTER(I$1:I1867, I$1:I1867&lt;&gt;""""),COUNTA(FILTER(I$1:I1867, I$1:I1867&lt;&gt;""""))))-1), IF('To Order'!$A1868=COL"&amp;"UMNS($A1868:I1887), I1867&amp;RIGHT(INDIRECT(ADDRESS(ROW(I1868)-1, 'From Order'!$A1868)), 1), I1867))"),"")</f>
        <v/>
      </c>
    </row>
    <row r="1869">
      <c r="A1869" s="2" t="str">
        <f>IFERROR(__xludf.DUMMYFUNCTION("IF('From Order'!$A1869=COLUMNS($A1869:A1888), LEFT(INDEX(FILTER(A$1:A1868, A$1:A1868&lt;&gt;""""),COUNTA(FILTER(A$1:A1868, A$1:A1868&lt;&gt;""""))), LEN(INDEX(FILTER(A$1:A1868, A$1:A1868&lt;&gt;""""),COUNTA(FILTER(A$1:A1868, A$1:A1868&lt;&gt;""""))))-1), IF('To Order'!$A1869=COL"&amp;"UMNS($A1869:A1888), A1868&amp;RIGHT(INDIRECT(ADDRESS(ROW(A1869)-1, 'From Order'!$A1869)), 1), A1868))"),"ZH")</f>
        <v>ZH</v>
      </c>
      <c r="B1869" s="2" t="str">
        <f>IFERROR(__xludf.DUMMYFUNCTION("IF('From Order'!$A1869=COLUMNS($A1869:B1888), LEFT(INDEX(FILTER(B$1:B1868, B$1:B1868&lt;&gt;""""),COUNTA(FILTER(B$1:B1868, B$1:B1868&lt;&gt;""""))), LEN(INDEX(FILTER(B$1:B1868, B$1:B1868&lt;&gt;""""),COUNTA(FILTER(B$1:B1868, B$1:B1868&lt;&gt;""""))))-1), IF('To Order'!$A1869=COL"&amp;"UMNS($A1869:B1888), B1868&amp;RIGHT(INDIRECT(ADDRESS(ROW(B1869)-1, 'From Order'!$A1869)), 1), B1868))"),"GTTJ")</f>
        <v>GTTJ</v>
      </c>
      <c r="C1869" s="2" t="str">
        <f>IFERROR(__xludf.DUMMYFUNCTION("IF('From Order'!$A1869=COLUMNS($A1869:C1888), LEFT(INDEX(FILTER(C$1:C1868, C$1:C1868&lt;&gt;""""),COUNTA(FILTER(C$1:C1868, C$1:C1868&lt;&gt;""""))), LEN(INDEX(FILTER(C$1:C1868, C$1:C1868&lt;&gt;""""),COUNTA(FILTER(C$1:C1868, C$1:C1868&lt;&gt;""""))))-1), IF('To Order'!$A1869=COL"&amp;"UMNS($A1869:C1888), C1868&amp;RIGHT(INDIRECT(ADDRESS(ROW(C1869)-1, 'From Order'!$A1869)), 1), C1868))"),"DVDTMZ")</f>
        <v>DVDTMZ</v>
      </c>
      <c r="D1869" s="2" t="str">
        <f>IFERROR(__xludf.DUMMYFUNCTION("IF('From Order'!$A1869=COLUMNS($A1869:D1888), LEFT(INDEX(FILTER(D$1:D1868, D$1:D1868&lt;&gt;""""),COUNTA(FILTER(D$1:D1868, D$1:D1868&lt;&gt;""""))), LEN(INDEX(FILTER(D$1:D1868, D$1:D1868&lt;&gt;""""),COUNTA(FILTER(D$1:D1868, D$1:D1868&lt;&gt;""""))))-1), IF('To Order'!$A1869=COL"&amp;"UMNS($A1869:D1888), D1868&amp;RIGHT(INDIRECT(ADDRESS(ROW(D1869)-1, 'From Order'!$A1869)), 1), D1868))"),"RB")</f>
        <v>RB</v>
      </c>
      <c r="E1869" s="2" t="str">
        <f>IFERROR(__xludf.DUMMYFUNCTION("IF('From Order'!$A1869=COLUMNS($A1869:E1888), LEFT(INDEX(FILTER(E$1:E1868, E$1:E1868&lt;&gt;""""),COUNTA(FILTER(E$1:E1868, E$1:E1868&lt;&gt;""""))), LEN(INDEX(FILTER(E$1:E1868, E$1:E1868&lt;&gt;""""),COUNTA(FILTER(E$1:E1868, E$1:E1868&lt;&gt;""""))))-1), IF('To Order'!$A1869=COL"&amp;"UMNS($A1869:E1888), E1868&amp;RIGHT(INDIRECT(ADDRESS(ROW(E1869)-1, 'From Order'!$A1869)), 1), E1868))"),"CQTRTC")</f>
        <v>CQTRTC</v>
      </c>
      <c r="F1869" s="2" t="str">
        <f>IFERROR(__xludf.DUMMYFUNCTION("IF('From Order'!$A1869=COLUMNS($A1869:F1888), LEFT(INDEX(FILTER(F$1:F1868, F$1:F1868&lt;&gt;""""),COUNTA(FILTER(F$1:F1868, F$1:F1868&lt;&gt;""""))), LEN(INDEX(FILTER(F$1:F1868, F$1:F1868&lt;&gt;""""),COUNTA(FILTER(F$1:F1868, F$1:F1868&lt;&gt;""""))))-1), IF('To Order'!$A1869=COL"&amp;"UMNS($A1869:F1888), F1868&amp;RIGHT(INDIRECT(ADDRESS(ROW(F1869)-1, 'From Order'!$A1869)), 1), F1868))"),"LDSPBFLLWDDVQJPPSSTWZCSFHB")</f>
        <v>LDSPBFLLWDDVQJPPSSTWZCSFHB</v>
      </c>
      <c r="G1869" s="2" t="str">
        <f>IFERROR(__xludf.DUMMYFUNCTION("IF('From Order'!$A1869=COLUMNS($A1869:G1888), LEFT(INDEX(FILTER(G$1:G1868, G$1:G1868&lt;&gt;""""),COUNTA(FILTER(G$1:G1868, G$1:G1868&lt;&gt;""""))), LEN(INDEX(FILTER(G$1:G1868, G$1:G1868&lt;&gt;""""),COUNTA(FILTER(G$1:G1868, G$1:G1868&lt;&gt;""""))))-1), IF('To Order'!$A1869=COL"&amp;"UMNS($A1869:G1888), G1868&amp;RIGHT(INDIRECT(ADDRESS(ROW(G1869)-1, 'From Order'!$A1869)), 1), G1868))"),"MDJMBVRRGR")</f>
        <v>MDJMBVRRGR</v>
      </c>
      <c r="H1869" s="2" t="str">
        <f>IFERROR(__xludf.DUMMYFUNCTION("IF('From Order'!$A1869=COLUMNS($A1869:H1888), LEFT(INDEX(FILTER(H$1:H1868, H$1:H1868&lt;&gt;""""),COUNTA(FILTER(H$1:H1868, H$1:H1868&lt;&gt;""""))), LEN(INDEX(FILTER(H$1:H1868, H$1:H1868&lt;&gt;""""),COUNTA(FILTER(H$1:H1868, H$1:H1868&lt;&gt;""""))))-1), IF('To Order'!$A1869=COL"&amp;"UMNS($A1869:H1888), H1868&amp;RIGHT(INDIRECT(ADDRESS(ROW(H1869)-1, 'From Order'!$A1869)), 1), H1868))"),"")</f>
        <v/>
      </c>
      <c r="I1869" s="2" t="str">
        <f>IFERROR(__xludf.DUMMYFUNCTION("IF('From Order'!$A1869=COLUMNS($A1869:I1888), LEFT(INDEX(FILTER(I$1:I1868, I$1:I1868&lt;&gt;""""),COUNTA(FILTER(I$1:I1868, I$1:I1868&lt;&gt;""""))), LEN(INDEX(FILTER(I$1:I1868, I$1:I1868&lt;&gt;""""),COUNTA(FILTER(I$1:I1868, I$1:I1868&lt;&gt;""""))))-1), IF('To Order'!$A1869=COL"&amp;"UMNS($A1869:I1888), I1868&amp;RIGHT(INDIRECT(ADDRESS(ROW(I1869)-1, 'From Order'!$A1869)), 1), I1868))"),"")</f>
        <v/>
      </c>
    </row>
    <row r="1870">
      <c r="A1870" s="2" t="str">
        <f>IFERROR(__xludf.DUMMYFUNCTION("IF('From Order'!$A1870=COLUMNS($A1870:A1889), LEFT(INDEX(FILTER(A$1:A1869, A$1:A1869&lt;&gt;""""),COUNTA(FILTER(A$1:A1869, A$1:A1869&lt;&gt;""""))), LEN(INDEX(FILTER(A$1:A1869, A$1:A1869&lt;&gt;""""),COUNTA(FILTER(A$1:A1869, A$1:A1869&lt;&gt;""""))))-1), IF('To Order'!$A1870=COL"&amp;"UMNS($A1870:A1889), A1869&amp;RIGHT(INDIRECT(ADDRESS(ROW(A1870)-1, 'From Order'!$A1870)), 1), A1869))"),"Z")</f>
        <v>Z</v>
      </c>
      <c r="B1870" s="2" t="str">
        <f>IFERROR(__xludf.DUMMYFUNCTION("IF('From Order'!$A1870=COLUMNS($A1870:B1889), LEFT(INDEX(FILTER(B$1:B1869, B$1:B1869&lt;&gt;""""),COUNTA(FILTER(B$1:B1869, B$1:B1869&lt;&gt;""""))), LEN(INDEX(FILTER(B$1:B1869, B$1:B1869&lt;&gt;""""),COUNTA(FILTER(B$1:B1869, B$1:B1869&lt;&gt;""""))))-1), IF('To Order'!$A1870=COL"&amp;"UMNS($A1870:B1889), B1869&amp;RIGHT(INDIRECT(ADDRESS(ROW(B1870)-1, 'From Order'!$A1870)), 1), B1869))"),"GTTJ")</f>
        <v>GTTJ</v>
      </c>
      <c r="C1870" s="2" t="str">
        <f>IFERROR(__xludf.DUMMYFUNCTION("IF('From Order'!$A1870=COLUMNS($A1870:C1889), LEFT(INDEX(FILTER(C$1:C1869, C$1:C1869&lt;&gt;""""),COUNTA(FILTER(C$1:C1869, C$1:C1869&lt;&gt;""""))), LEN(INDEX(FILTER(C$1:C1869, C$1:C1869&lt;&gt;""""),COUNTA(FILTER(C$1:C1869, C$1:C1869&lt;&gt;""""))))-1), IF('To Order'!$A1870=COL"&amp;"UMNS($A1870:C1889), C1869&amp;RIGHT(INDIRECT(ADDRESS(ROW(C1870)-1, 'From Order'!$A1870)), 1), C1869))"),"DVDTMZH")</f>
        <v>DVDTMZH</v>
      </c>
      <c r="D1870" s="2" t="str">
        <f>IFERROR(__xludf.DUMMYFUNCTION("IF('From Order'!$A1870=COLUMNS($A1870:D1889), LEFT(INDEX(FILTER(D$1:D1869, D$1:D1869&lt;&gt;""""),COUNTA(FILTER(D$1:D1869, D$1:D1869&lt;&gt;""""))), LEN(INDEX(FILTER(D$1:D1869, D$1:D1869&lt;&gt;""""),COUNTA(FILTER(D$1:D1869, D$1:D1869&lt;&gt;""""))))-1), IF('To Order'!$A1870=COL"&amp;"UMNS($A1870:D1889), D1869&amp;RIGHT(INDIRECT(ADDRESS(ROW(D1870)-1, 'From Order'!$A1870)), 1), D1869))"),"RB")</f>
        <v>RB</v>
      </c>
      <c r="E1870" s="2" t="str">
        <f>IFERROR(__xludf.DUMMYFUNCTION("IF('From Order'!$A1870=COLUMNS($A1870:E1889), LEFT(INDEX(FILTER(E$1:E1869, E$1:E1869&lt;&gt;""""),COUNTA(FILTER(E$1:E1869, E$1:E1869&lt;&gt;""""))), LEN(INDEX(FILTER(E$1:E1869, E$1:E1869&lt;&gt;""""),COUNTA(FILTER(E$1:E1869, E$1:E1869&lt;&gt;""""))))-1), IF('To Order'!$A1870=COL"&amp;"UMNS($A1870:E1889), E1869&amp;RIGHT(INDIRECT(ADDRESS(ROW(E1870)-1, 'From Order'!$A1870)), 1), E1869))"),"CQTRTC")</f>
        <v>CQTRTC</v>
      </c>
      <c r="F1870" s="2" t="str">
        <f>IFERROR(__xludf.DUMMYFUNCTION("IF('From Order'!$A1870=COLUMNS($A1870:F1889), LEFT(INDEX(FILTER(F$1:F1869, F$1:F1869&lt;&gt;""""),COUNTA(FILTER(F$1:F1869, F$1:F1869&lt;&gt;""""))), LEN(INDEX(FILTER(F$1:F1869, F$1:F1869&lt;&gt;""""),COUNTA(FILTER(F$1:F1869, F$1:F1869&lt;&gt;""""))))-1), IF('To Order'!$A1870=COL"&amp;"UMNS($A1870:F1889), F1869&amp;RIGHT(INDIRECT(ADDRESS(ROW(F1870)-1, 'From Order'!$A1870)), 1), F1869))"),"LDSPBFLLWDDVQJPPSSTWZCSFHB")</f>
        <v>LDSPBFLLWDDVQJPPSSTWZCSFHB</v>
      </c>
      <c r="G1870" s="2" t="str">
        <f>IFERROR(__xludf.DUMMYFUNCTION("IF('From Order'!$A1870=COLUMNS($A1870:G1889), LEFT(INDEX(FILTER(G$1:G1869, G$1:G1869&lt;&gt;""""),COUNTA(FILTER(G$1:G1869, G$1:G1869&lt;&gt;""""))), LEN(INDEX(FILTER(G$1:G1869, G$1:G1869&lt;&gt;""""),COUNTA(FILTER(G$1:G1869, G$1:G1869&lt;&gt;""""))))-1), IF('To Order'!$A1870=COL"&amp;"UMNS($A1870:G1889), G1869&amp;RIGHT(INDIRECT(ADDRESS(ROW(G1870)-1, 'From Order'!$A1870)), 1), G1869))"),"MDJMBVRRGR")</f>
        <v>MDJMBVRRGR</v>
      </c>
      <c r="H1870" s="2" t="str">
        <f>IFERROR(__xludf.DUMMYFUNCTION("IF('From Order'!$A1870=COLUMNS($A1870:H1889), LEFT(INDEX(FILTER(H$1:H1869, H$1:H1869&lt;&gt;""""),COUNTA(FILTER(H$1:H1869, H$1:H1869&lt;&gt;""""))), LEN(INDEX(FILTER(H$1:H1869, H$1:H1869&lt;&gt;""""),COUNTA(FILTER(H$1:H1869, H$1:H1869&lt;&gt;""""))))-1), IF('To Order'!$A1870=COL"&amp;"UMNS($A1870:H1889), H1869&amp;RIGHT(INDIRECT(ADDRESS(ROW(H1870)-1, 'From Order'!$A1870)), 1), H1869))"),"")</f>
        <v/>
      </c>
      <c r="I1870" s="2" t="str">
        <f>IFERROR(__xludf.DUMMYFUNCTION("IF('From Order'!$A1870=COLUMNS($A1870:I1889), LEFT(INDEX(FILTER(I$1:I1869, I$1:I1869&lt;&gt;""""),COUNTA(FILTER(I$1:I1869, I$1:I1869&lt;&gt;""""))), LEN(INDEX(FILTER(I$1:I1869, I$1:I1869&lt;&gt;""""),COUNTA(FILTER(I$1:I1869, I$1:I1869&lt;&gt;""""))))-1), IF('To Order'!$A1870=COL"&amp;"UMNS($A1870:I1889), I1869&amp;RIGHT(INDIRECT(ADDRESS(ROW(I1870)-1, 'From Order'!$A1870)), 1), I1869))"),"")</f>
        <v/>
      </c>
    </row>
    <row r="1871">
      <c r="A1871" s="2" t="str">
        <f>IFERROR(__xludf.DUMMYFUNCTION("IF('From Order'!$A1871=COLUMNS($A1871:A1890), LEFT(INDEX(FILTER(A$1:A1870, A$1:A1870&lt;&gt;""""),COUNTA(FILTER(A$1:A1870, A$1:A1870&lt;&gt;""""))), LEN(INDEX(FILTER(A$1:A1870, A$1:A1870&lt;&gt;""""),COUNTA(FILTER(A$1:A1870, A$1:A1870&lt;&gt;""""))))-1), IF('To Order'!$A1871=COL"&amp;"UMNS($A1871:A1890), A1870&amp;RIGHT(INDIRECT(ADDRESS(ROW(A1871)-1, 'From Order'!$A1871)), 1), A1870))"),"")</f>
        <v/>
      </c>
      <c r="B1871" s="2" t="str">
        <f>IFERROR(__xludf.DUMMYFUNCTION("IF('From Order'!$A1871=COLUMNS($A1871:B1890), LEFT(INDEX(FILTER(B$1:B1870, B$1:B1870&lt;&gt;""""),COUNTA(FILTER(B$1:B1870, B$1:B1870&lt;&gt;""""))), LEN(INDEX(FILTER(B$1:B1870, B$1:B1870&lt;&gt;""""),COUNTA(FILTER(B$1:B1870, B$1:B1870&lt;&gt;""""))))-1), IF('To Order'!$A1871=COL"&amp;"UMNS($A1871:B1890), B1870&amp;RIGHT(INDIRECT(ADDRESS(ROW(B1871)-1, 'From Order'!$A1871)), 1), B1870))"),"GTTJ")</f>
        <v>GTTJ</v>
      </c>
      <c r="C1871" s="2" t="str">
        <f>IFERROR(__xludf.DUMMYFUNCTION("IF('From Order'!$A1871=COLUMNS($A1871:C1890), LEFT(INDEX(FILTER(C$1:C1870, C$1:C1870&lt;&gt;""""),COUNTA(FILTER(C$1:C1870, C$1:C1870&lt;&gt;""""))), LEN(INDEX(FILTER(C$1:C1870, C$1:C1870&lt;&gt;""""),COUNTA(FILTER(C$1:C1870, C$1:C1870&lt;&gt;""""))))-1), IF('To Order'!$A1871=COL"&amp;"UMNS($A1871:C1890), C1870&amp;RIGHT(INDIRECT(ADDRESS(ROW(C1871)-1, 'From Order'!$A1871)), 1), C1870))"),"DVDTMZHZ")</f>
        <v>DVDTMZHZ</v>
      </c>
      <c r="D1871" s="2" t="str">
        <f>IFERROR(__xludf.DUMMYFUNCTION("IF('From Order'!$A1871=COLUMNS($A1871:D1890), LEFT(INDEX(FILTER(D$1:D1870, D$1:D1870&lt;&gt;""""),COUNTA(FILTER(D$1:D1870, D$1:D1870&lt;&gt;""""))), LEN(INDEX(FILTER(D$1:D1870, D$1:D1870&lt;&gt;""""),COUNTA(FILTER(D$1:D1870, D$1:D1870&lt;&gt;""""))))-1), IF('To Order'!$A1871=COL"&amp;"UMNS($A1871:D1890), D1870&amp;RIGHT(INDIRECT(ADDRESS(ROW(D1871)-1, 'From Order'!$A1871)), 1), D1870))"),"RB")</f>
        <v>RB</v>
      </c>
      <c r="E1871" s="2" t="str">
        <f>IFERROR(__xludf.DUMMYFUNCTION("IF('From Order'!$A1871=COLUMNS($A1871:E1890), LEFT(INDEX(FILTER(E$1:E1870, E$1:E1870&lt;&gt;""""),COUNTA(FILTER(E$1:E1870, E$1:E1870&lt;&gt;""""))), LEN(INDEX(FILTER(E$1:E1870, E$1:E1870&lt;&gt;""""),COUNTA(FILTER(E$1:E1870, E$1:E1870&lt;&gt;""""))))-1), IF('To Order'!$A1871=COL"&amp;"UMNS($A1871:E1890), E1870&amp;RIGHT(INDIRECT(ADDRESS(ROW(E1871)-1, 'From Order'!$A1871)), 1), E1870))"),"CQTRTC")</f>
        <v>CQTRTC</v>
      </c>
      <c r="F1871" s="2" t="str">
        <f>IFERROR(__xludf.DUMMYFUNCTION("IF('From Order'!$A1871=COLUMNS($A1871:F1890), LEFT(INDEX(FILTER(F$1:F1870, F$1:F1870&lt;&gt;""""),COUNTA(FILTER(F$1:F1870, F$1:F1870&lt;&gt;""""))), LEN(INDEX(FILTER(F$1:F1870, F$1:F1870&lt;&gt;""""),COUNTA(FILTER(F$1:F1870, F$1:F1870&lt;&gt;""""))))-1), IF('To Order'!$A1871=COL"&amp;"UMNS($A1871:F1890), F1870&amp;RIGHT(INDIRECT(ADDRESS(ROW(F1871)-1, 'From Order'!$A1871)), 1), F1870))"),"LDSPBFLLWDDVQJPPSSTWZCSFHB")</f>
        <v>LDSPBFLLWDDVQJPPSSTWZCSFHB</v>
      </c>
      <c r="G1871" s="2" t="str">
        <f>IFERROR(__xludf.DUMMYFUNCTION("IF('From Order'!$A1871=COLUMNS($A1871:G1890), LEFT(INDEX(FILTER(G$1:G1870, G$1:G1870&lt;&gt;""""),COUNTA(FILTER(G$1:G1870, G$1:G1870&lt;&gt;""""))), LEN(INDEX(FILTER(G$1:G1870, G$1:G1870&lt;&gt;""""),COUNTA(FILTER(G$1:G1870, G$1:G1870&lt;&gt;""""))))-1), IF('To Order'!$A1871=COL"&amp;"UMNS($A1871:G1890), G1870&amp;RIGHT(INDIRECT(ADDRESS(ROW(G1871)-1, 'From Order'!$A1871)), 1), G1870))"),"MDJMBVRRGR")</f>
        <v>MDJMBVRRGR</v>
      </c>
      <c r="H1871" s="2" t="str">
        <f>IFERROR(__xludf.DUMMYFUNCTION("IF('From Order'!$A1871=COLUMNS($A1871:H1890), LEFT(INDEX(FILTER(H$1:H1870, H$1:H1870&lt;&gt;""""),COUNTA(FILTER(H$1:H1870, H$1:H1870&lt;&gt;""""))), LEN(INDEX(FILTER(H$1:H1870, H$1:H1870&lt;&gt;""""),COUNTA(FILTER(H$1:H1870, H$1:H1870&lt;&gt;""""))))-1), IF('To Order'!$A1871=COL"&amp;"UMNS($A1871:H1890), H1870&amp;RIGHT(INDIRECT(ADDRESS(ROW(H1871)-1, 'From Order'!$A1871)), 1), H1870))"),"")</f>
        <v/>
      </c>
      <c r="I1871" s="2" t="str">
        <f>IFERROR(__xludf.DUMMYFUNCTION("IF('From Order'!$A1871=COLUMNS($A1871:I1890), LEFT(INDEX(FILTER(I$1:I1870, I$1:I1870&lt;&gt;""""),COUNTA(FILTER(I$1:I1870, I$1:I1870&lt;&gt;""""))), LEN(INDEX(FILTER(I$1:I1870, I$1:I1870&lt;&gt;""""),COUNTA(FILTER(I$1:I1870, I$1:I1870&lt;&gt;""""))))-1), IF('To Order'!$A1871=COL"&amp;"UMNS($A1871:I1890), I1870&amp;RIGHT(INDIRECT(ADDRESS(ROW(I1871)-1, 'From Order'!$A1871)), 1), I1870))"),"")</f>
        <v/>
      </c>
    </row>
    <row r="1872">
      <c r="A1872" s="2" t="str">
        <f>IFERROR(__xludf.DUMMYFUNCTION("IF('From Order'!$A1872=COLUMNS($A1872:A1891), LEFT(INDEX(FILTER(A$1:A1871, A$1:A1871&lt;&gt;""""),COUNTA(FILTER(A$1:A1871, A$1:A1871&lt;&gt;""""))), LEN(INDEX(FILTER(A$1:A1871, A$1:A1871&lt;&gt;""""),COUNTA(FILTER(A$1:A1871, A$1:A1871&lt;&gt;""""))))-1), IF('To Order'!$A1872=COL"&amp;"UMNS($A1872:A1891), A1871&amp;RIGHT(INDIRECT(ADDRESS(ROW(A1872)-1, 'From Order'!$A1872)), 1), A1871))"),"C")</f>
        <v>C</v>
      </c>
      <c r="B1872" s="2" t="str">
        <f>IFERROR(__xludf.DUMMYFUNCTION("IF('From Order'!$A1872=COLUMNS($A1872:B1891), LEFT(INDEX(FILTER(B$1:B1871, B$1:B1871&lt;&gt;""""),COUNTA(FILTER(B$1:B1871, B$1:B1871&lt;&gt;""""))), LEN(INDEX(FILTER(B$1:B1871, B$1:B1871&lt;&gt;""""),COUNTA(FILTER(B$1:B1871, B$1:B1871&lt;&gt;""""))))-1), IF('To Order'!$A1872=COL"&amp;"UMNS($A1872:B1891), B1871&amp;RIGHT(INDIRECT(ADDRESS(ROW(B1872)-1, 'From Order'!$A1872)), 1), B1871))"),"GTTJ")</f>
        <v>GTTJ</v>
      </c>
      <c r="C1872" s="2" t="str">
        <f>IFERROR(__xludf.DUMMYFUNCTION("IF('From Order'!$A1872=COLUMNS($A1872:C1891), LEFT(INDEX(FILTER(C$1:C1871, C$1:C1871&lt;&gt;""""),COUNTA(FILTER(C$1:C1871, C$1:C1871&lt;&gt;""""))), LEN(INDEX(FILTER(C$1:C1871, C$1:C1871&lt;&gt;""""),COUNTA(FILTER(C$1:C1871, C$1:C1871&lt;&gt;""""))))-1), IF('To Order'!$A1872=COL"&amp;"UMNS($A1872:C1891), C1871&amp;RIGHT(INDIRECT(ADDRESS(ROW(C1872)-1, 'From Order'!$A1872)), 1), C1871))"),"DVDTMZHZ")</f>
        <v>DVDTMZHZ</v>
      </c>
      <c r="D1872" s="2" t="str">
        <f>IFERROR(__xludf.DUMMYFUNCTION("IF('From Order'!$A1872=COLUMNS($A1872:D1891), LEFT(INDEX(FILTER(D$1:D1871, D$1:D1871&lt;&gt;""""),COUNTA(FILTER(D$1:D1871, D$1:D1871&lt;&gt;""""))), LEN(INDEX(FILTER(D$1:D1871, D$1:D1871&lt;&gt;""""),COUNTA(FILTER(D$1:D1871, D$1:D1871&lt;&gt;""""))))-1), IF('To Order'!$A1872=COL"&amp;"UMNS($A1872:D1891), D1871&amp;RIGHT(INDIRECT(ADDRESS(ROW(D1872)-1, 'From Order'!$A1872)), 1), D1871))"),"RB")</f>
        <v>RB</v>
      </c>
      <c r="E1872" s="2" t="str">
        <f>IFERROR(__xludf.DUMMYFUNCTION("IF('From Order'!$A1872=COLUMNS($A1872:E1891), LEFT(INDEX(FILTER(E$1:E1871, E$1:E1871&lt;&gt;""""),COUNTA(FILTER(E$1:E1871, E$1:E1871&lt;&gt;""""))), LEN(INDEX(FILTER(E$1:E1871, E$1:E1871&lt;&gt;""""),COUNTA(FILTER(E$1:E1871, E$1:E1871&lt;&gt;""""))))-1), IF('To Order'!$A1872=COL"&amp;"UMNS($A1872:E1891), E1871&amp;RIGHT(INDIRECT(ADDRESS(ROW(E1872)-1, 'From Order'!$A1872)), 1), E1871))"),"CQTRT")</f>
        <v>CQTRT</v>
      </c>
      <c r="F1872" s="2" t="str">
        <f>IFERROR(__xludf.DUMMYFUNCTION("IF('From Order'!$A1872=COLUMNS($A1872:F1891), LEFT(INDEX(FILTER(F$1:F1871, F$1:F1871&lt;&gt;""""),COUNTA(FILTER(F$1:F1871, F$1:F1871&lt;&gt;""""))), LEN(INDEX(FILTER(F$1:F1871, F$1:F1871&lt;&gt;""""),COUNTA(FILTER(F$1:F1871, F$1:F1871&lt;&gt;""""))))-1), IF('To Order'!$A1872=COL"&amp;"UMNS($A1872:F1891), F1871&amp;RIGHT(INDIRECT(ADDRESS(ROW(F1872)-1, 'From Order'!$A1872)), 1), F1871))"),"LDSPBFLLWDDVQJPPSSTWZCSFHB")</f>
        <v>LDSPBFLLWDDVQJPPSSTWZCSFHB</v>
      </c>
      <c r="G1872" s="2" t="str">
        <f>IFERROR(__xludf.DUMMYFUNCTION("IF('From Order'!$A1872=COLUMNS($A1872:G1891), LEFT(INDEX(FILTER(G$1:G1871, G$1:G1871&lt;&gt;""""),COUNTA(FILTER(G$1:G1871, G$1:G1871&lt;&gt;""""))), LEN(INDEX(FILTER(G$1:G1871, G$1:G1871&lt;&gt;""""),COUNTA(FILTER(G$1:G1871, G$1:G1871&lt;&gt;""""))))-1), IF('To Order'!$A1872=COL"&amp;"UMNS($A1872:G1891), G1871&amp;RIGHT(INDIRECT(ADDRESS(ROW(G1872)-1, 'From Order'!$A1872)), 1), G1871))"),"MDJMBVRRGR")</f>
        <v>MDJMBVRRGR</v>
      </c>
      <c r="H1872" s="2" t="str">
        <f>IFERROR(__xludf.DUMMYFUNCTION("IF('From Order'!$A1872=COLUMNS($A1872:H1891), LEFT(INDEX(FILTER(H$1:H1871, H$1:H1871&lt;&gt;""""),COUNTA(FILTER(H$1:H1871, H$1:H1871&lt;&gt;""""))), LEN(INDEX(FILTER(H$1:H1871, H$1:H1871&lt;&gt;""""),COUNTA(FILTER(H$1:H1871, H$1:H1871&lt;&gt;""""))))-1), IF('To Order'!$A1872=COL"&amp;"UMNS($A1872:H1891), H1871&amp;RIGHT(INDIRECT(ADDRESS(ROW(H1872)-1, 'From Order'!$A1872)), 1), H1871))"),"")</f>
        <v/>
      </c>
      <c r="I1872" s="2" t="str">
        <f>IFERROR(__xludf.DUMMYFUNCTION("IF('From Order'!$A1872=COLUMNS($A1872:I1891), LEFT(INDEX(FILTER(I$1:I1871, I$1:I1871&lt;&gt;""""),COUNTA(FILTER(I$1:I1871, I$1:I1871&lt;&gt;""""))), LEN(INDEX(FILTER(I$1:I1871, I$1:I1871&lt;&gt;""""),COUNTA(FILTER(I$1:I1871, I$1:I1871&lt;&gt;""""))))-1), IF('To Order'!$A1872=COL"&amp;"UMNS($A1872:I1891), I1871&amp;RIGHT(INDIRECT(ADDRESS(ROW(I1872)-1, 'From Order'!$A1872)), 1), I1871))"),"")</f>
        <v/>
      </c>
    </row>
    <row r="1873">
      <c r="A1873" s="2" t="str">
        <f>IFERROR(__xludf.DUMMYFUNCTION("IF('From Order'!$A1873=COLUMNS($A1873:A1892), LEFT(INDEX(FILTER(A$1:A1872, A$1:A1872&lt;&gt;""""),COUNTA(FILTER(A$1:A1872, A$1:A1872&lt;&gt;""""))), LEN(INDEX(FILTER(A$1:A1872, A$1:A1872&lt;&gt;""""),COUNTA(FILTER(A$1:A1872, A$1:A1872&lt;&gt;""""))))-1), IF('To Order'!$A1873=COL"&amp;"UMNS($A1873:A1892), A1872&amp;RIGHT(INDIRECT(ADDRESS(ROW(A1873)-1, 'From Order'!$A1873)), 1), A1872))"),"CT")</f>
        <v>CT</v>
      </c>
      <c r="B1873" s="2" t="str">
        <f>IFERROR(__xludf.DUMMYFUNCTION("IF('From Order'!$A1873=COLUMNS($A1873:B1892), LEFT(INDEX(FILTER(B$1:B1872, B$1:B1872&lt;&gt;""""),COUNTA(FILTER(B$1:B1872, B$1:B1872&lt;&gt;""""))), LEN(INDEX(FILTER(B$1:B1872, B$1:B1872&lt;&gt;""""),COUNTA(FILTER(B$1:B1872, B$1:B1872&lt;&gt;""""))))-1), IF('To Order'!$A1873=COL"&amp;"UMNS($A1873:B1892), B1872&amp;RIGHT(INDIRECT(ADDRESS(ROW(B1873)-1, 'From Order'!$A1873)), 1), B1872))"),"GTTJ")</f>
        <v>GTTJ</v>
      </c>
      <c r="C1873" s="2" t="str">
        <f>IFERROR(__xludf.DUMMYFUNCTION("IF('From Order'!$A1873=COLUMNS($A1873:C1892), LEFT(INDEX(FILTER(C$1:C1872, C$1:C1872&lt;&gt;""""),COUNTA(FILTER(C$1:C1872, C$1:C1872&lt;&gt;""""))), LEN(INDEX(FILTER(C$1:C1872, C$1:C1872&lt;&gt;""""),COUNTA(FILTER(C$1:C1872, C$1:C1872&lt;&gt;""""))))-1), IF('To Order'!$A1873=COL"&amp;"UMNS($A1873:C1892), C1872&amp;RIGHT(INDIRECT(ADDRESS(ROW(C1873)-1, 'From Order'!$A1873)), 1), C1872))"),"DVDTMZHZ")</f>
        <v>DVDTMZHZ</v>
      </c>
      <c r="D1873" s="2" t="str">
        <f>IFERROR(__xludf.DUMMYFUNCTION("IF('From Order'!$A1873=COLUMNS($A1873:D1892), LEFT(INDEX(FILTER(D$1:D1872, D$1:D1872&lt;&gt;""""),COUNTA(FILTER(D$1:D1872, D$1:D1872&lt;&gt;""""))), LEN(INDEX(FILTER(D$1:D1872, D$1:D1872&lt;&gt;""""),COUNTA(FILTER(D$1:D1872, D$1:D1872&lt;&gt;""""))))-1), IF('To Order'!$A1873=COL"&amp;"UMNS($A1873:D1892), D1872&amp;RIGHT(INDIRECT(ADDRESS(ROW(D1873)-1, 'From Order'!$A1873)), 1), D1872))"),"RB")</f>
        <v>RB</v>
      </c>
      <c r="E1873" s="2" t="str">
        <f>IFERROR(__xludf.DUMMYFUNCTION("IF('From Order'!$A1873=COLUMNS($A1873:E1892), LEFT(INDEX(FILTER(E$1:E1872, E$1:E1872&lt;&gt;""""),COUNTA(FILTER(E$1:E1872, E$1:E1872&lt;&gt;""""))), LEN(INDEX(FILTER(E$1:E1872, E$1:E1872&lt;&gt;""""),COUNTA(FILTER(E$1:E1872, E$1:E1872&lt;&gt;""""))))-1), IF('To Order'!$A1873=COL"&amp;"UMNS($A1873:E1892), E1872&amp;RIGHT(INDIRECT(ADDRESS(ROW(E1873)-1, 'From Order'!$A1873)), 1), E1872))"),"CQTR")</f>
        <v>CQTR</v>
      </c>
      <c r="F1873" s="2" t="str">
        <f>IFERROR(__xludf.DUMMYFUNCTION("IF('From Order'!$A1873=COLUMNS($A1873:F1892), LEFT(INDEX(FILTER(F$1:F1872, F$1:F1872&lt;&gt;""""),COUNTA(FILTER(F$1:F1872, F$1:F1872&lt;&gt;""""))), LEN(INDEX(FILTER(F$1:F1872, F$1:F1872&lt;&gt;""""),COUNTA(FILTER(F$1:F1872, F$1:F1872&lt;&gt;""""))))-1), IF('To Order'!$A1873=COL"&amp;"UMNS($A1873:F1892), F1872&amp;RIGHT(INDIRECT(ADDRESS(ROW(F1873)-1, 'From Order'!$A1873)), 1), F1872))"),"LDSPBFLLWDDVQJPPSSTWZCSFHB")</f>
        <v>LDSPBFLLWDDVQJPPSSTWZCSFHB</v>
      </c>
      <c r="G1873" s="2" t="str">
        <f>IFERROR(__xludf.DUMMYFUNCTION("IF('From Order'!$A1873=COLUMNS($A1873:G1892), LEFT(INDEX(FILTER(G$1:G1872, G$1:G1872&lt;&gt;""""),COUNTA(FILTER(G$1:G1872, G$1:G1872&lt;&gt;""""))), LEN(INDEX(FILTER(G$1:G1872, G$1:G1872&lt;&gt;""""),COUNTA(FILTER(G$1:G1872, G$1:G1872&lt;&gt;""""))))-1), IF('To Order'!$A1873=COL"&amp;"UMNS($A1873:G1892), G1872&amp;RIGHT(INDIRECT(ADDRESS(ROW(G1873)-1, 'From Order'!$A1873)), 1), G1872))"),"MDJMBVRRGR")</f>
        <v>MDJMBVRRGR</v>
      </c>
      <c r="H1873" s="2" t="str">
        <f>IFERROR(__xludf.DUMMYFUNCTION("IF('From Order'!$A1873=COLUMNS($A1873:H1892), LEFT(INDEX(FILTER(H$1:H1872, H$1:H1872&lt;&gt;""""),COUNTA(FILTER(H$1:H1872, H$1:H1872&lt;&gt;""""))), LEN(INDEX(FILTER(H$1:H1872, H$1:H1872&lt;&gt;""""),COUNTA(FILTER(H$1:H1872, H$1:H1872&lt;&gt;""""))))-1), IF('To Order'!$A1873=COL"&amp;"UMNS($A1873:H1892), H1872&amp;RIGHT(INDIRECT(ADDRESS(ROW(H1873)-1, 'From Order'!$A1873)), 1), H1872))"),"")</f>
        <v/>
      </c>
      <c r="I1873" s="2" t="str">
        <f>IFERROR(__xludf.DUMMYFUNCTION("IF('From Order'!$A1873=COLUMNS($A1873:I1892), LEFT(INDEX(FILTER(I$1:I1872, I$1:I1872&lt;&gt;""""),COUNTA(FILTER(I$1:I1872, I$1:I1872&lt;&gt;""""))), LEN(INDEX(FILTER(I$1:I1872, I$1:I1872&lt;&gt;""""),COUNTA(FILTER(I$1:I1872, I$1:I1872&lt;&gt;""""))))-1), IF('To Order'!$A1873=COL"&amp;"UMNS($A1873:I1892), I1872&amp;RIGHT(INDIRECT(ADDRESS(ROW(I1873)-1, 'From Order'!$A1873)), 1), I1872))"),"")</f>
        <v/>
      </c>
    </row>
    <row r="1874">
      <c r="A1874" s="2" t="str">
        <f>IFERROR(__xludf.DUMMYFUNCTION("IF('From Order'!$A1874=COLUMNS($A1874:A1893), LEFT(INDEX(FILTER(A$1:A1873, A$1:A1873&lt;&gt;""""),COUNTA(FILTER(A$1:A1873, A$1:A1873&lt;&gt;""""))), LEN(INDEX(FILTER(A$1:A1873, A$1:A1873&lt;&gt;""""),COUNTA(FILTER(A$1:A1873, A$1:A1873&lt;&gt;""""))))-1), IF('To Order'!$A1874=COL"&amp;"UMNS($A1874:A1893), A1873&amp;RIGHT(INDIRECT(ADDRESS(ROW(A1874)-1, 'From Order'!$A1874)), 1), A1873))"),"CTR")</f>
        <v>CTR</v>
      </c>
      <c r="B1874" s="2" t="str">
        <f>IFERROR(__xludf.DUMMYFUNCTION("IF('From Order'!$A1874=COLUMNS($A1874:B1893), LEFT(INDEX(FILTER(B$1:B1873, B$1:B1873&lt;&gt;""""),COUNTA(FILTER(B$1:B1873, B$1:B1873&lt;&gt;""""))), LEN(INDEX(FILTER(B$1:B1873, B$1:B1873&lt;&gt;""""),COUNTA(FILTER(B$1:B1873, B$1:B1873&lt;&gt;""""))))-1), IF('To Order'!$A1874=COL"&amp;"UMNS($A1874:B1893), B1873&amp;RIGHT(INDIRECT(ADDRESS(ROW(B1874)-1, 'From Order'!$A1874)), 1), B1873))"),"GTTJ")</f>
        <v>GTTJ</v>
      </c>
      <c r="C1874" s="2" t="str">
        <f>IFERROR(__xludf.DUMMYFUNCTION("IF('From Order'!$A1874=COLUMNS($A1874:C1893), LEFT(INDEX(FILTER(C$1:C1873, C$1:C1873&lt;&gt;""""),COUNTA(FILTER(C$1:C1873, C$1:C1873&lt;&gt;""""))), LEN(INDEX(FILTER(C$1:C1873, C$1:C1873&lt;&gt;""""),COUNTA(FILTER(C$1:C1873, C$1:C1873&lt;&gt;""""))))-1), IF('To Order'!$A1874=COL"&amp;"UMNS($A1874:C1893), C1873&amp;RIGHT(INDIRECT(ADDRESS(ROW(C1874)-1, 'From Order'!$A1874)), 1), C1873))"),"DVDTMZHZ")</f>
        <v>DVDTMZHZ</v>
      </c>
      <c r="D1874" s="2" t="str">
        <f>IFERROR(__xludf.DUMMYFUNCTION("IF('From Order'!$A1874=COLUMNS($A1874:D1893), LEFT(INDEX(FILTER(D$1:D1873, D$1:D1873&lt;&gt;""""),COUNTA(FILTER(D$1:D1873, D$1:D1873&lt;&gt;""""))), LEN(INDEX(FILTER(D$1:D1873, D$1:D1873&lt;&gt;""""),COUNTA(FILTER(D$1:D1873, D$1:D1873&lt;&gt;""""))))-1), IF('To Order'!$A1874=COL"&amp;"UMNS($A1874:D1893), D1873&amp;RIGHT(INDIRECT(ADDRESS(ROW(D1874)-1, 'From Order'!$A1874)), 1), D1873))"),"RB")</f>
        <v>RB</v>
      </c>
      <c r="E1874" s="2" t="str">
        <f>IFERROR(__xludf.DUMMYFUNCTION("IF('From Order'!$A1874=COLUMNS($A1874:E1893), LEFT(INDEX(FILTER(E$1:E1873, E$1:E1873&lt;&gt;""""),COUNTA(FILTER(E$1:E1873, E$1:E1873&lt;&gt;""""))), LEN(INDEX(FILTER(E$1:E1873, E$1:E1873&lt;&gt;""""),COUNTA(FILTER(E$1:E1873, E$1:E1873&lt;&gt;""""))))-1), IF('To Order'!$A1874=COL"&amp;"UMNS($A1874:E1893), E1873&amp;RIGHT(INDIRECT(ADDRESS(ROW(E1874)-1, 'From Order'!$A1874)), 1), E1873))"),"CQT")</f>
        <v>CQT</v>
      </c>
      <c r="F1874" s="2" t="str">
        <f>IFERROR(__xludf.DUMMYFUNCTION("IF('From Order'!$A1874=COLUMNS($A1874:F1893), LEFT(INDEX(FILTER(F$1:F1873, F$1:F1873&lt;&gt;""""),COUNTA(FILTER(F$1:F1873, F$1:F1873&lt;&gt;""""))), LEN(INDEX(FILTER(F$1:F1873, F$1:F1873&lt;&gt;""""),COUNTA(FILTER(F$1:F1873, F$1:F1873&lt;&gt;""""))))-1), IF('To Order'!$A1874=COL"&amp;"UMNS($A1874:F1893), F1873&amp;RIGHT(INDIRECT(ADDRESS(ROW(F1874)-1, 'From Order'!$A1874)), 1), F1873))"),"LDSPBFLLWDDVQJPPSSTWZCSFHB")</f>
        <v>LDSPBFLLWDDVQJPPSSTWZCSFHB</v>
      </c>
      <c r="G1874" s="2" t="str">
        <f>IFERROR(__xludf.DUMMYFUNCTION("IF('From Order'!$A1874=COLUMNS($A1874:G1893), LEFT(INDEX(FILTER(G$1:G1873, G$1:G1873&lt;&gt;""""),COUNTA(FILTER(G$1:G1873, G$1:G1873&lt;&gt;""""))), LEN(INDEX(FILTER(G$1:G1873, G$1:G1873&lt;&gt;""""),COUNTA(FILTER(G$1:G1873, G$1:G1873&lt;&gt;""""))))-1), IF('To Order'!$A1874=COL"&amp;"UMNS($A1874:G1893), G1873&amp;RIGHT(INDIRECT(ADDRESS(ROW(G1874)-1, 'From Order'!$A1874)), 1), G1873))"),"MDJMBVRRGR")</f>
        <v>MDJMBVRRGR</v>
      </c>
      <c r="H1874" s="2" t="str">
        <f>IFERROR(__xludf.DUMMYFUNCTION("IF('From Order'!$A1874=COLUMNS($A1874:H1893), LEFT(INDEX(FILTER(H$1:H1873, H$1:H1873&lt;&gt;""""),COUNTA(FILTER(H$1:H1873, H$1:H1873&lt;&gt;""""))), LEN(INDEX(FILTER(H$1:H1873, H$1:H1873&lt;&gt;""""),COUNTA(FILTER(H$1:H1873, H$1:H1873&lt;&gt;""""))))-1), IF('To Order'!$A1874=COL"&amp;"UMNS($A1874:H1893), H1873&amp;RIGHT(INDIRECT(ADDRESS(ROW(H1874)-1, 'From Order'!$A1874)), 1), H1873))"),"")</f>
        <v/>
      </c>
      <c r="I1874" s="2" t="str">
        <f>IFERROR(__xludf.DUMMYFUNCTION("IF('From Order'!$A1874=COLUMNS($A1874:I1893), LEFT(INDEX(FILTER(I$1:I1873, I$1:I1873&lt;&gt;""""),COUNTA(FILTER(I$1:I1873, I$1:I1873&lt;&gt;""""))), LEN(INDEX(FILTER(I$1:I1873, I$1:I1873&lt;&gt;""""),COUNTA(FILTER(I$1:I1873, I$1:I1873&lt;&gt;""""))))-1), IF('To Order'!$A1874=COL"&amp;"UMNS($A1874:I1893), I1873&amp;RIGHT(INDIRECT(ADDRESS(ROW(I1874)-1, 'From Order'!$A1874)), 1), I1873))"),"")</f>
        <v/>
      </c>
    </row>
    <row r="1875">
      <c r="A1875" s="2" t="str">
        <f>IFERROR(__xludf.DUMMYFUNCTION("IF('From Order'!$A1875=COLUMNS($A1875:A1894), LEFT(INDEX(FILTER(A$1:A1874, A$1:A1874&lt;&gt;""""),COUNTA(FILTER(A$1:A1874, A$1:A1874&lt;&gt;""""))), LEN(INDEX(FILTER(A$1:A1874, A$1:A1874&lt;&gt;""""),COUNTA(FILTER(A$1:A1874, A$1:A1874&lt;&gt;""""))))-1), IF('To Order'!$A1875=COL"&amp;"UMNS($A1875:A1894), A1874&amp;RIGHT(INDIRECT(ADDRESS(ROW(A1875)-1, 'From Order'!$A1875)), 1), A1874))"),"CTRT")</f>
        <v>CTRT</v>
      </c>
      <c r="B1875" s="2" t="str">
        <f>IFERROR(__xludf.DUMMYFUNCTION("IF('From Order'!$A1875=COLUMNS($A1875:B1894), LEFT(INDEX(FILTER(B$1:B1874, B$1:B1874&lt;&gt;""""),COUNTA(FILTER(B$1:B1874, B$1:B1874&lt;&gt;""""))), LEN(INDEX(FILTER(B$1:B1874, B$1:B1874&lt;&gt;""""),COUNTA(FILTER(B$1:B1874, B$1:B1874&lt;&gt;""""))))-1), IF('To Order'!$A1875=COL"&amp;"UMNS($A1875:B1894), B1874&amp;RIGHT(INDIRECT(ADDRESS(ROW(B1875)-1, 'From Order'!$A1875)), 1), B1874))"),"GTTJ")</f>
        <v>GTTJ</v>
      </c>
      <c r="C1875" s="2" t="str">
        <f>IFERROR(__xludf.DUMMYFUNCTION("IF('From Order'!$A1875=COLUMNS($A1875:C1894), LEFT(INDEX(FILTER(C$1:C1874, C$1:C1874&lt;&gt;""""),COUNTA(FILTER(C$1:C1874, C$1:C1874&lt;&gt;""""))), LEN(INDEX(FILTER(C$1:C1874, C$1:C1874&lt;&gt;""""),COUNTA(FILTER(C$1:C1874, C$1:C1874&lt;&gt;""""))))-1), IF('To Order'!$A1875=COL"&amp;"UMNS($A1875:C1894), C1874&amp;RIGHT(INDIRECT(ADDRESS(ROW(C1875)-1, 'From Order'!$A1875)), 1), C1874))"),"DVDTMZHZ")</f>
        <v>DVDTMZHZ</v>
      </c>
      <c r="D1875" s="2" t="str">
        <f>IFERROR(__xludf.DUMMYFUNCTION("IF('From Order'!$A1875=COLUMNS($A1875:D1894), LEFT(INDEX(FILTER(D$1:D1874, D$1:D1874&lt;&gt;""""),COUNTA(FILTER(D$1:D1874, D$1:D1874&lt;&gt;""""))), LEN(INDEX(FILTER(D$1:D1874, D$1:D1874&lt;&gt;""""),COUNTA(FILTER(D$1:D1874, D$1:D1874&lt;&gt;""""))))-1), IF('To Order'!$A1875=COL"&amp;"UMNS($A1875:D1894), D1874&amp;RIGHT(INDIRECT(ADDRESS(ROW(D1875)-1, 'From Order'!$A1875)), 1), D1874))"),"RB")</f>
        <v>RB</v>
      </c>
      <c r="E1875" s="2" t="str">
        <f>IFERROR(__xludf.DUMMYFUNCTION("IF('From Order'!$A1875=COLUMNS($A1875:E1894), LEFT(INDEX(FILTER(E$1:E1874, E$1:E1874&lt;&gt;""""),COUNTA(FILTER(E$1:E1874, E$1:E1874&lt;&gt;""""))), LEN(INDEX(FILTER(E$1:E1874, E$1:E1874&lt;&gt;""""),COUNTA(FILTER(E$1:E1874, E$1:E1874&lt;&gt;""""))))-1), IF('To Order'!$A1875=COL"&amp;"UMNS($A1875:E1894), E1874&amp;RIGHT(INDIRECT(ADDRESS(ROW(E1875)-1, 'From Order'!$A1875)), 1), E1874))"),"CQ")</f>
        <v>CQ</v>
      </c>
      <c r="F1875" s="2" t="str">
        <f>IFERROR(__xludf.DUMMYFUNCTION("IF('From Order'!$A1875=COLUMNS($A1875:F1894), LEFT(INDEX(FILTER(F$1:F1874, F$1:F1874&lt;&gt;""""),COUNTA(FILTER(F$1:F1874, F$1:F1874&lt;&gt;""""))), LEN(INDEX(FILTER(F$1:F1874, F$1:F1874&lt;&gt;""""),COUNTA(FILTER(F$1:F1874, F$1:F1874&lt;&gt;""""))))-1), IF('To Order'!$A1875=COL"&amp;"UMNS($A1875:F1894), F1874&amp;RIGHT(INDIRECT(ADDRESS(ROW(F1875)-1, 'From Order'!$A1875)), 1), F1874))"),"LDSPBFLLWDDVQJPPSSTWZCSFHB")</f>
        <v>LDSPBFLLWDDVQJPPSSTWZCSFHB</v>
      </c>
      <c r="G1875" s="2" t="str">
        <f>IFERROR(__xludf.DUMMYFUNCTION("IF('From Order'!$A1875=COLUMNS($A1875:G1894), LEFT(INDEX(FILTER(G$1:G1874, G$1:G1874&lt;&gt;""""),COUNTA(FILTER(G$1:G1874, G$1:G1874&lt;&gt;""""))), LEN(INDEX(FILTER(G$1:G1874, G$1:G1874&lt;&gt;""""),COUNTA(FILTER(G$1:G1874, G$1:G1874&lt;&gt;""""))))-1), IF('To Order'!$A1875=COL"&amp;"UMNS($A1875:G1894), G1874&amp;RIGHT(INDIRECT(ADDRESS(ROW(G1875)-1, 'From Order'!$A1875)), 1), G1874))"),"MDJMBVRRGR")</f>
        <v>MDJMBVRRGR</v>
      </c>
      <c r="H1875" s="2" t="str">
        <f>IFERROR(__xludf.DUMMYFUNCTION("IF('From Order'!$A1875=COLUMNS($A1875:H1894), LEFT(INDEX(FILTER(H$1:H1874, H$1:H1874&lt;&gt;""""),COUNTA(FILTER(H$1:H1874, H$1:H1874&lt;&gt;""""))), LEN(INDEX(FILTER(H$1:H1874, H$1:H1874&lt;&gt;""""),COUNTA(FILTER(H$1:H1874, H$1:H1874&lt;&gt;""""))))-1), IF('To Order'!$A1875=COL"&amp;"UMNS($A1875:H1894), H1874&amp;RIGHT(INDIRECT(ADDRESS(ROW(H1875)-1, 'From Order'!$A1875)), 1), H1874))"),"")</f>
        <v/>
      </c>
      <c r="I1875" s="2" t="str">
        <f>IFERROR(__xludf.DUMMYFUNCTION("IF('From Order'!$A1875=COLUMNS($A1875:I1894), LEFT(INDEX(FILTER(I$1:I1874, I$1:I1874&lt;&gt;""""),COUNTA(FILTER(I$1:I1874, I$1:I1874&lt;&gt;""""))), LEN(INDEX(FILTER(I$1:I1874, I$1:I1874&lt;&gt;""""),COUNTA(FILTER(I$1:I1874, I$1:I1874&lt;&gt;""""))))-1), IF('To Order'!$A1875=COL"&amp;"UMNS($A1875:I1894), I1874&amp;RIGHT(INDIRECT(ADDRESS(ROW(I1875)-1, 'From Order'!$A1875)), 1), I1874))"),"")</f>
        <v/>
      </c>
    </row>
    <row r="1876">
      <c r="A1876" s="2" t="str">
        <f>IFERROR(__xludf.DUMMYFUNCTION("IF('From Order'!$A1876=COLUMNS($A1876:A1895), LEFT(INDEX(FILTER(A$1:A1875, A$1:A1875&lt;&gt;""""),COUNTA(FILTER(A$1:A1875, A$1:A1875&lt;&gt;""""))), LEN(INDEX(FILTER(A$1:A1875, A$1:A1875&lt;&gt;""""),COUNTA(FILTER(A$1:A1875, A$1:A1875&lt;&gt;""""))))-1), IF('To Order'!$A1876=COL"&amp;"UMNS($A1876:A1895), A1875&amp;RIGHT(INDIRECT(ADDRESS(ROW(A1876)-1, 'From Order'!$A1876)), 1), A1875))"),"CTRTQ")</f>
        <v>CTRTQ</v>
      </c>
      <c r="B1876" s="2" t="str">
        <f>IFERROR(__xludf.DUMMYFUNCTION("IF('From Order'!$A1876=COLUMNS($A1876:B1895), LEFT(INDEX(FILTER(B$1:B1875, B$1:B1875&lt;&gt;""""),COUNTA(FILTER(B$1:B1875, B$1:B1875&lt;&gt;""""))), LEN(INDEX(FILTER(B$1:B1875, B$1:B1875&lt;&gt;""""),COUNTA(FILTER(B$1:B1875, B$1:B1875&lt;&gt;""""))))-1), IF('To Order'!$A1876=COL"&amp;"UMNS($A1876:B1895), B1875&amp;RIGHT(INDIRECT(ADDRESS(ROW(B1876)-1, 'From Order'!$A1876)), 1), B1875))"),"GTTJ")</f>
        <v>GTTJ</v>
      </c>
      <c r="C1876" s="2" t="str">
        <f>IFERROR(__xludf.DUMMYFUNCTION("IF('From Order'!$A1876=COLUMNS($A1876:C1895), LEFT(INDEX(FILTER(C$1:C1875, C$1:C1875&lt;&gt;""""),COUNTA(FILTER(C$1:C1875, C$1:C1875&lt;&gt;""""))), LEN(INDEX(FILTER(C$1:C1875, C$1:C1875&lt;&gt;""""),COUNTA(FILTER(C$1:C1875, C$1:C1875&lt;&gt;""""))))-1), IF('To Order'!$A1876=COL"&amp;"UMNS($A1876:C1895), C1875&amp;RIGHT(INDIRECT(ADDRESS(ROW(C1876)-1, 'From Order'!$A1876)), 1), C1875))"),"DVDTMZHZ")</f>
        <v>DVDTMZHZ</v>
      </c>
      <c r="D1876" s="2" t="str">
        <f>IFERROR(__xludf.DUMMYFUNCTION("IF('From Order'!$A1876=COLUMNS($A1876:D1895), LEFT(INDEX(FILTER(D$1:D1875, D$1:D1875&lt;&gt;""""),COUNTA(FILTER(D$1:D1875, D$1:D1875&lt;&gt;""""))), LEN(INDEX(FILTER(D$1:D1875, D$1:D1875&lt;&gt;""""),COUNTA(FILTER(D$1:D1875, D$1:D1875&lt;&gt;""""))))-1), IF('To Order'!$A1876=COL"&amp;"UMNS($A1876:D1895), D1875&amp;RIGHT(INDIRECT(ADDRESS(ROW(D1876)-1, 'From Order'!$A1876)), 1), D1875))"),"RB")</f>
        <v>RB</v>
      </c>
      <c r="E1876" s="2" t="str">
        <f>IFERROR(__xludf.DUMMYFUNCTION("IF('From Order'!$A1876=COLUMNS($A1876:E1895), LEFT(INDEX(FILTER(E$1:E1875, E$1:E1875&lt;&gt;""""),COUNTA(FILTER(E$1:E1875, E$1:E1875&lt;&gt;""""))), LEN(INDEX(FILTER(E$1:E1875, E$1:E1875&lt;&gt;""""),COUNTA(FILTER(E$1:E1875, E$1:E1875&lt;&gt;""""))))-1), IF('To Order'!$A1876=COL"&amp;"UMNS($A1876:E1895), E1875&amp;RIGHT(INDIRECT(ADDRESS(ROW(E1876)-1, 'From Order'!$A1876)), 1), E1875))"),"C")</f>
        <v>C</v>
      </c>
      <c r="F1876" s="2" t="str">
        <f>IFERROR(__xludf.DUMMYFUNCTION("IF('From Order'!$A1876=COLUMNS($A1876:F1895), LEFT(INDEX(FILTER(F$1:F1875, F$1:F1875&lt;&gt;""""),COUNTA(FILTER(F$1:F1875, F$1:F1875&lt;&gt;""""))), LEN(INDEX(FILTER(F$1:F1875, F$1:F1875&lt;&gt;""""),COUNTA(FILTER(F$1:F1875, F$1:F1875&lt;&gt;""""))))-1), IF('To Order'!$A1876=COL"&amp;"UMNS($A1876:F1895), F1875&amp;RIGHT(INDIRECT(ADDRESS(ROW(F1876)-1, 'From Order'!$A1876)), 1), F1875))"),"LDSPBFLLWDDVQJPPSSTWZCSFHB")</f>
        <v>LDSPBFLLWDDVQJPPSSTWZCSFHB</v>
      </c>
      <c r="G1876" s="2" t="str">
        <f>IFERROR(__xludf.DUMMYFUNCTION("IF('From Order'!$A1876=COLUMNS($A1876:G1895), LEFT(INDEX(FILTER(G$1:G1875, G$1:G1875&lt;&gt;""""),COUNTA(FILTER(G$1:G1875, G$1:G1875&lt;&gt;""""))), LEN(INDEX(FILTER(G$1:G1875, G$1:G1875&lt;&gt;""""),COUNTA(FILTER(G$1:G1875, G$1:G1875&lt;&gt;""""))))-1), IF('To Order'!$A1876=COL"&amp;"UMNS($A1876:G1895), G1875&amp;RIGHT(INDIRECT(ADDRESS(ROW(G1876)-1, 'From Order'!$A1876)), 1), G1875))"),"MDJMBVRRGR")</f>
        <v>MDJMBVRRGR</v>
      </c>
      <c r="H1876" s="2" t="str">
        <f>IFERROR(__xludf.DUMMYFUNCTION("IF('From Order'!$A1876=COLUMNS($A1876:H1895), LEFT(INDEX(FILTER(H$1:H1875, H$1:H1875&lt;&gt;""""),COUNTA(FILTER(H$1:H1875, H$1:H1875&lt;&gt;""""))), LEN(INDEX(FILTER(H$1:H1875, H$1:H1875&lt;&gt;""""),COUNTA(FILTER(H$1:H1875, H$1:H1875&lt;&gt;""""))))-1), IF('To Order'!$A1876=COL"&amp;"UMNS($A1876:H1895), H1875&amp;RIGHT(INDIRECT(ADDRESS(ROW(H1876)-1, 'From Order'!$A1876)), 1), H1875))"),"")</f>
        <v/>
      </c>
      <c r="I1876" s="2" t="str">
        <f>IFERROR(__xludf.DUMMYFUNCTION("IF('From Order'!$A1876=COLUMNS($A1876:I1895), LEFT(INDEX(FILTER(I$1:I1875, I$1:I1875&lt;&gt;""""),COUNTA(FILTER(I$1:I1875, I$1:I1875&lt;&gt;""""))), LEN(INDEX(FILTER(I$1:I1875, I$1:I1875&lt;&gt;""""),COUNTA(FILTER(I$1:I1875, I$1:I1875&lt;&gt;""""))))-1), IF('To Order'!$A1876=COL"&amp;"UMNS($A1876:I1895), I1875&amp;RIGHT(INDIRECT(ADDRESS(ROW(I1876)-1, 'From Order'!$A1876)), 1), I1875))"),"")</f>
        <v/>
      </c>
    </row>
    <row r="1877">
      <c r="A1877" s="2" t="str">
        <f>IFERROR(__xludf.DUMMYFUNCTION("IF('From Order'!$A1877=COLUMNS($A1877:A1896), LEFT(INDEX(FILTER(A$1:A1876, A$1:A1876&lt;&gt;""""),COUNTA(FILTER(A$1:A1876, A$1:A1876&lt;&gt;""""))), LEN(INDEX(FILTER(A$1:A1876, A$1:A1876&lt;&gt;""""),COUNTA(FILTER(A$1:A1876, A$1:A1876&lt;&gt;""""))))-1), IF('To Order'!$A1877=COL"&amp;"UMNS($A1877:A1896), A1876&amp;RIGHT(INDIRECT(ADDRESS(ROW(A1877)-1, 'From Order'!$A1877)), 1), A1876))"),"CTRTQ")</f>
        <v>CTRTQ</v>
      </c>
      <c r="B1877" s="2" t="str">
        <f>IFERROR(__xludf.DUMMYFUNCTION("IF('From Order'!$A1877=COLUMNS($A1877:B1896), LEFT(INDEX(FILTER(B$1:B1876, B$1:B1876&lt;&gt;""""),COUNTA(FILTER(B$1:B1876, B$1:B1876&lt;&gt;""""))), LEN(INDEX(FILTER(B$1:B1876, B$1:B1876&lt;&gt;""""),COUNTA(FILTER(B$1:B1876, B$1:B1876&lt;&gt;""""))))-1), IF('To Order'!$A1877=COL"&amp;"UMNS($A1877:B1896), B1876&amp;RIGHT(INDIRECT(ADDRESS(ROW(B1877)-1, 'From Order'!$A1877)), 1), B1876))"),"GTTJ")</f>
        <v>GTTJ</v>
      </c>
      <c r="C1877" s="2" t="str">
        <f>IFERROR(__xludf.DUMMYFUNCTION("IF('From Order'!$A1877=COLUMNS($A1877:C1896), LEFT(INDEX(FILTER(C$1:C1876, C$1:C1876&lt;&gt;""""),COUNTA(FILTER(C$1:C1876, C$1:C1876&lt;&gt;""""))), LEN(INDEX(FILTER(C$1:C1876, C$1:C1876&lt;&gt;""""),COUNTA(FILTER(C$1:C1876, C$1:C1876&lt;&gt;""""))))-1), IF('To Order'!$A1877=COL"&amp;"UMNS($A1877:C1896), C1876&amp;RIGHT(INDIRECT(ADDRESS(ROW(C1877)-1, 'From Order'!$A1877)), 1), C1876))"),"DVDTMZHZ")</f>
        <v>DVDTMZHZ</v>
      </c>
      <c r="D1877" s="2" t="str">
        <f>IFERROR(__xludf.DUMMYFUNCTION("IF('From Order'!$A1877=COLUMNS($A1877:D1896), LEFT(INDEX(FILTER(D$1:D1876, D$1:D1876&lt;&gt;""""),COUNTA(FILTER(D$1:D1876, D$1:D1876&lt;&gt;""""))), LEN(INDEX(FILTER(D$1:D1876, D$1:D1876&lt;&gt;""""),COUNTA(FILTER(D$1:D1876, D$1:D1876&lt;&gt;""""))))-1), IF('To Order'!$A1877=COL"&amp;"UMNS($A1877:D1896), D1876&amp;RIGHT(INDIRECT(ADDRESS(ROW(D1877)-1, 'From Order'!$A1877)), 1), D1876))"),"RB")</f>
        <v>RB</v>
      </c>
      <c r="E1877" s="2" t="str">
        <f>IFERROR(__xludf.DUMMYFUNCTION("IF('From Order'!$A1877=COLUMNS($A1877:E1896), LEFT(INDEX(FILTER(E$1:E1876, E$1:E1876&lt;&gt;""""),COUNTA(FILTER(E$1:E1876, E$1:E1876&lt;&gt;""""))), LEN(INDEX(FILTER(E$1:E1876, E$1:E1876&lt;&gt;""""),COUNTA(FILTER(E$1:E1876, E$1:E1876&lt;&gt;""""))))-1), IF('To Order'!$A1877=COL"&amp;"UMNS($A1877:E1896), E1876&amp;RIGHT(INDIRECT(ADDRESS(ROW(E1877)-1, 'From Order'!$A1877)), 1), E1876))"),"")</f>
        <v/>
      </c>
      <c r="F1877" s="2" t="str">
        <f>IFERROR(__xludf.DUMMYFUNCTION("IF('From Order'!$A1877=COLUMNS($A1877:F1896), LEFT(INDEX(FILTER(F$1:F1876, F$1:F1876&lt;&gt;""""),COUNTA(FILTER(F$1:F1876, F$1:F1876&lt;&gt;""""))), LEN(INDEX(FILTER(F$1:F1876, F$1:F1876&lt;&gt;""""),COUNTA(FILTER(F$1:F1876, F$1:F1876&lt;&gt;""""))))-1), IF('To Order'!$A1877=COL"&amp;"UMNS($A1877:F1896), F1876&amp;RIGHT(INDIRECT(ADDRESS(ROW(F1877)-1, 'From Order'!$A1877)), 1), F1876))"),"LDSPBFLLWDDVQJPPSSTWZCSFHB")</f>
        <v>LDSPBFLLWDDVQJPPSSTWZCSFHB</v>
      </c>
      <c r="G1877" s="2" t="str">
        <f>IFERROR(__xludf.DUMMYFUNCTION("IF('From Order'!$A1877=COLUMNS($A1877:G1896), LEFT(INDEX(FILTER(G$1:G1876, G$1:G1876&lt;&gt;""""),COUNTA(FILTER(G$1:G1876, G$1:G1876&lt;&gt;""""))), LEN(INDEX(FILTER(G$1:G1876, G$1:G1876&lt;&gt;""""),COUNTA(FILTER(G$1:G1876, G$1:G1876&lt;&gt;""""))))-1), IF('To Order'!$A1877=COL"&amp;"UMNS($A1877:G1896), G1876&amp;RIGHT(INDIRECT(ADDRESS(ROW(G1877)-1, 'From Order'!$A1877)), 1), G1876))"),"MDJMBVRRGRC")</f>
        <v>MDJMBVRRGRC</v>
      </c>
      <c r="H1877" s="2" t="str">
        <f>IFERROR(__xludf.DUMMYFUNCTION("IF('From Order'!$A1877=COLUMNS($A1877:H1896), LEFT(INDEX(FILTER(H$1:H1876, H$1:H1876&lt;&gt;""""),COUNTA(FILTER(H$1:H1876, H$1:H1876&lt;&gt;""""))), LEN(INDEX(FILTER(H$1:H1876, H$1:H1876&lt;&gt;""""),COUNTA(FILTER(H$1:H1876, H$1:H1876&lt;&gt;""""))))-1), IF('To Order'!$A1877=COL"&amp;"UMNS($A1877:H1896), H1876&amp;RIGHT(INDIRECT(ADDRESS(ROW(H1877)-1, 'From Order'!$A1877)), 1), H1876))"),"")</f>
        <v/>
      </c>
      <c r="I1877" s="2" t="str">
        <f>IFERROR(__xludf.DUMMYFUNCTION("IF('From Order'!$A1877=COLUMNS($A1877:I1896), LEFT(INDEX(FILTER(I$1:I1876, I$1:I1876&lt;&gt;""""),COUNTA(FILTER(I$1:I1876, I$1:I1876&lt;&gt;""""))), LEN(INDEX(FILTER(I$1:I1876, I$1:I1876&lt;&gt;""""),COUNTA(FILTER(I$1:I1876, I$1:I1876&lt;&gt;""""))))-1), IF('To Order'!$A1877=COL"&amp;"UMNS($A1877:I1896), I1876&amp;RIGHT(INDIRECT(ADDRESS(ROW(I1877)-1, 'From Order'!$A1877)), 1), I1876))"),"")</f>
        <v/>
      </c>
    </row>
    <row r="1878">
      <c r="A1878" s="2" t="str">
        <f>IFERROR(__xludf.DUMMYFUNCTION("IF('From Order'!$A1878=COLUMNS($A1878:A1897), LEFT(INDEX(FILTER(A$1:A1877, A$1:A1877&lt;&gt;""""),COUNTA(FILTER(A$1:A1877, A$1:A1877&lt;&gt;""""))), LEN(INDEX(FILTER(A$1:A1877, A$1:A1877&lt;&gt;""""),COUNTA(FILTER(A$1:A1877, A$1:A1877&lt;&gt;""""))))-1), IF('To Order'!$A1878=COL"&amp;"UMNS($A1878:A1897), A1877&amp;RIGHT(INDIRECT(ADDRESS(ROW(A1878)-1, 'From Order'!$A1878)), 1), A1877))"),"CTRTQ")</f>
        <v>CTRTQ</v>
      </c>
      <c r="B1878" s="2" t="str">
        <f>IFERROR(__xludf.DUMMYFUNCTION("IF('From Order'!$A1878=COLUMNS($A1878:B1897), LEFT(INDEX(FILTER(B$1:B1877, B$1:B1877&lt;&gt;""""),COUNTA(FILTER(B$1:B1877, B$1:B1877&lt;&gt;""""))), LEN(INDEX(FILTER(B$1:B1877, B$1:B1877&lt;&gt;""""),COUNTA(FILTER(B$1:B1877, B$1:B1877&lt;&gt;""""))))-1), IF('To Order'!$A1878=COL"&amp;"UMNS($A1878:B1897), B1877&amp;RIGHT(INDIRECT(ADDRESS(ROW(B1878)-1, 'From Order'!$A1878)), 1), B1877))"),"GTTJ")</f>
        <v>GTTJ</v>
      </c>
      <c r="C1878" s="2" t="str">
        <f>IFERROR(__xludf.DUMMYFUNCTION("IF('From Order'!$A1878=COLUMNS($A1878:C1897), LEFT(INDEX(FILTER(C$1:C1877, C$1:C1877&lt;&gt;""""),COUNTA(FILTER(C$1:C1877, C$1:C1877&lt;&gt;""""))), LEN(INDEX(FILTER(C$1:C1877, C$1:C1877&lt;&gt;""""),COUNTA(FILTER(C$1:C1877, C$1:C1877&lt;&gt;""""))))-1), IF('To Order'!$A1878=COL"&amp;"UMNS($A1878:C1897), C1877&amp;RIGHT(INDIRECT(ADDRESS(ROW(C1878)-1, 'From Order'!$A1878)), 1), C1877))"),"DVDTMZHZ")</f>
        <v>DVDTMZHZ</v>
      </c>
      <c r="D1878" s="2" t="str">
        <f>IFERROR(__xludf.DUMMYFUNCTION("IF('From Order'!$A1878=COLUMNS($A1878:D1897), LEFT(INDEX(FILTER(D$1:D1877, D$1:D1877&lt;&gt;""""),COUNTA(FILTER(D$1:D1877, D$1:D1877&lt;&gt;""""))), LEN(INDEX(FILTER(D$1:D1877, D$1:D1877&lt;&gt;""""),COUNTA(FILTER(D$1:D1877, D$1:D1877&lt;&gt;""""))))-1), IF('To Order'!$A1878=COL"&amp;"UMNS($A1878:D1897), D1877&amp;RIGHT(INDIRECT(ADDRESS(ROW(D1878)-1, 'From Order'!$A1878)), 1), D1877))"),"RB")</f>
        <v>RB</v>
      </c>
      <c r="E1878" s="2" t="str">
        <f>IFERROR(__xludf.DUMMYFUNCTION("IF('From Order'!$A1878=COLUMNS($A1878:E1897), LEFT(INDEX(FILTER(E$1:E1877, E$1:E1877&lt;&gt;""""),COUNTA(FILTER(E$1:E1877, E$1:E1877&lt;&gt;""""))), LEN(INDEX(FILTER(E$1:E1877, E$1:E1877&lt;&gt;""""),COUNTA(FILTER(E$1:E1877, E$1:E1877&lt;&gt;""""))))-1), IF('To Order'!$A1878=COL"&amp;"UMNS($A1878:E1897), E1877&amp;RIGHT(INDIRECT(ADDRESS(ROW(E1878)-1, 'From Order'!$A1878)), 1), E1877))"),"C")</f>
        <v>C</v>
      </c>
      <c r="F1878" s="2" t="str">
        <f>IFERROR(__xludf.DUMMYFUNCTION("IF('From Order'!$A1878=COLUMNS($A1878:F1897), LEFT(INDEX(FILTER(F$1:F1877, F$1:F1877&lt;&gt;""""),COUNTA(FILTER(F$1:F1877, F$1:F1877&lt;&gt;""""))), LEN(INDEX(FILTER(F$1:F1877, F$1:F1877&lt;&gt;""""),COUNTA(FILTER(F$1:F1877, F$1:F1877&lt;&gt;""""))))-1), IF('To Order'!$A1878=COL"&amp;"UMNS($A1878:F1897), F1877&amp;RIGHT(INDIRECT(ADDRESS(ROW(F1878)-1, 'From Order'!$A1878)), 1), F1877))"),"LDSPBFLLWDDVQJPPSSTWZCSFHB")</f>
        <v>LDSPBFLLWDDVQJPPSSTWZCSFHB</v>
      </c>
      <c r="G1878" s="2" t="str">
        <f>IFERROR(__xludf.DUMMYFUNCTION("IF('From Order'!$A1878=COLUMNS($A1878:G1897), LEFT(INDEX(FILTER(G$1:G1877, G$1:G1877&lt;&gt;""""),COUNTA(FILTER(G$1:G1877, G$1:G1877&lt;&gt;""""))), LEN(INDEX(FILTER(G$1:G1877, G$1:G1877&lt;&gt;""""),COUNTA(FILTER(G$1:G1877, G$1:G1877&lt;&gt;""""))))-1), IF('To Order'!$A1878=COL"&amp;"UMNS($A1878:G1897), G1877&amp;RIGHT(INDIRECT(ADDRESS(ROW(G1878)-1, 'From Order'!$A1878)), 1), G1877))"),"MDJMBVRRGR")</f>
        <v>MDJMBVRRGR</v>
      </c>
      <c r="H1878" s="2" t="str">
        <f>IFERROR(__xludf.DUMMYFUNCTION("IF('From Order'!$A1878=COLUMNS($A1878:H1897), LEFT(INDEX(FILTER(H$1:H1877, H$1:H1877&lt;&gt;""""),COUNTA(FILTER(H$1:H1877, H$1:H1877&lt;&gt;""""))), LEN(INDEX(FILTER(H$1:H1877, H$1:H1877&lt;&gt;""""),COUNTA(FILTER(H$1:H1877, H$1:H1877&lt;&gt;""""))))-1), IF('To Order'!$A1878=COL"&amp;"UMNS($A1878:H1897), H1877&amp;RIGHT(INDIRECT(ADDRESS(ROW(H1878)-1, 'From Order'!$A1878)), 1), H1877))"),"")</f>
        <v/>
      </c>
      <c r="I1878" s="2" t="str">
        <f>IFERROR(__xludf.DUMMYFUNCTION("IF('From Order'!$A1878=COLUMNS($A1878:I1897), LEFT(INDEX(FILTER(I$1:I1877, I$1:I1877&lt;&gt;""""),COUNTA(FILTER(I$1:I1877, I$1:I1877&lt;&gt;""""))), LEN(INDEX(FILTER(I$1:I1877, I$1:I1877&lt;&gt;""""),COUNTA(FILTER(I$1:I1877, I$1:I1877&lt;&gt;""""))))-1), IF('To Order'!$A1878=COL"&amp;"UMNS($A1878:I1897), I1877&amp;RIGHT(INDIRECT(ADDRESS(ROW(I1878)-1, 'From Order'!$A1878)), 1), I1877))"),"")</f>
        <v/>
      </c>
    </row>
    <row r="1879">
      <c r="A1879" s="2" t="str">
        <f>IFERROR(__xludf.DUMMYFUNCTION("IF('From Order'!$A1879=COLUMNS($A1879:A1898), LEFT(INDEX(FILTER(A$1:A1878, A$1:A1878&lt;&gt;""""),COUNTA(FILTER(A$1:A1878, A$1:A1878&lt;&gt;""""))), LEN(INDEX(FILTER(A$1:A1878, A$1:A1878&lt;&gt;""""),COUNTA(FILTER(A$1:A1878, A$1:A1878&lt;&gt;""""))))-1), IF('To Order'!$A1879=COL"&amp;"UMNS($A1879:A1898), A1878&amp;RIGHT(INDIRECT(ADDRESS(ROW(A1879)-1, 'From Order'!$A1879)), 1), A1878))"),"CTRTQ")</f>
        <v>CTRTQ</v>
      </c>
      <c r="B1879" s="2" t="str">
        <f>IFERROR(__xludf.DUMMYFUNCTION("IF('From Order'!$A1879=COLUMNS($A1879:B1898), LEFT(INDEX(FILTER(B$1:B1878, B$1:B1878&lt;&gt;""""),COUNTA(FILTER(B$1:B1878, B$1:B1878&lt;&gt;""""))), LEN(INDEX(FILTER(B$1:B1878, B$1:B1878&lt;&gt;""""),COUNTA(FILTER(B$1:B1878, B$1:B1878&lt;&gt;""""))))-1), IF('To Order'!$A1879=COL"&amp;"UMNS($A1879:B1898), B1878&amp;RIGHT(INDIRECT(ADDRESS(ROW(B1879)-1, 'From Order'!$A1879)), 1), B1878))"),"GTTJ")</f>
        <v>GTTJ</v>
      </c>
      <c r="C1879" s="2" t="str">
        <f>IFERROR(__xludf.DUMMYFUNCTION("IF('From Order'!$A1879=COLUMNS($A1879:C1898), LEFT(INDEX(FILTER(C$1:C1878, C$1:C1878&lt;&gt;""""),COUNTA(FILTER(C$1:C1878, C$1:C1878&lt;&gt;""""))), LEN(INDEX(FILTER(C$1:C1878, C$1:C1878&lt;&gt;""""),COUNTA(FILTER(C$1:C1878, C$1:C1878&lt;&gt;""""))))-1), IF('To Order'!$A1879=COL"&amp;"UMNS($A1879:C1898), C1878&amp;RIGHT(INDIRECT(ADDRESS(ROW(C1879)-1, 'From Order'!$A1879)), 1), C1878))"),"DVDTMZHZ")</f>
        <v>DVDTMZHZ</v>
      </c>
      <c r="D1879" s="2" t="str">
        <f>IFERROR(__xludf.DUMMYFUNCTION("IF('From Order'!$A1879=COLUMNS($A1879:D1898), LEFT(INDEX(FILTER(D$1:D1878, D$1:D1878&lt;&gt;""""),COUNTA(FILTER(D$1:D1878, D$1:D1878&lt;&gt;""""))), LEN(INDEX(FILTER(D$1:D1878, D$1:D1878&lt;&gt;""""),COUNTA(FILTER(D$1:D1878, D$1:D1878&lt;&gt;""""))))-1), IF('To Order'!$A1879=COL"&amp;"UMNS($A1879:D1898), D1878&amp;RIGHT(INDIRECT(ADDRESS(ROW(D1879)-1, 'From Order'!$A1879)), 1), D1878))"),"RB")</f>
        <v>RB</v>
      </c>
      <c r="E1879" s="2" t="str">
        <f>IFERROR(__xludf.DUMMYFUNCTION("IF('From Order'!$A1879=COLUMNS($A1879:E1898), LEFT(INDEX(FILTER(E$1:E1878, E$1:E1878&lt;&gt;""""),COUNTA(FILTER(E$1:E1878, E$1:E1878&lt;&gt;""""))), LEN(INDEX(FILTER(E$1:E1878, E$1:E1878&lt;&gt;""""),COUNTA(FILTER(E$1:E1878, E$1:E1878&lt;&gt;""""))))-1), IF('To Order'!$A1879=COL"&amp;"UMNS($A1879:E1898), E1878&amp;RIGHT(INDIRECT(ADDRESS(ROW(E1879)-1, 'From Order'!$A1879)), 1), E1878))"),"CR")</f>
        <v>CR</v>
      </c>
      <c r="F1879" s="2" t="str">
        <f>IFERROR(__xludf.DUMMYFUNCTION("IF('From Order'!$A1879=COLUMNS($A1879:F1898), LEFT(INDEX(FILTER(F$1:F1878, F$1:F1878&lt;&gt;""""),COUNTA(FILTER(F$1:F1878, F$1:F1878&lt;&gt;""""))), LEN(INDEX(FILTER(F$1:F1878, F$1:F1878&lt;&gt;""""),COUNTA(FILTER(F$1:F1878, F$1:F1878&lt;&gt;""""))))-1), IF('To Order'!$A1879=COL"&amp;"UMNS($A1879:F1898), F1878&amp;RIGHT(INDIRECT(ADDRESS(ROW(F1879)-1, 'From Order'!$A1879)), 1), F1878))"),"LDSPBFLLWDDVQJPPSSTWZCSFHB")</f>
        <v>LDSPBFLLWDDVQJPPSSTWZCSFHB</v>
      </c>
      <c r="G1879" s="2" t="str">
        <f>IFERROR(__xludf.DUMMYFUNCTION("IF('From Order'!$A1879=COLUMNS($A1879:G1898), LEFT(INDEX(FILTER(G$1:G1878, G$1:G1878&lt;&gt;""""),COUNTA(FILTER(G$1:G1878, G$1:G1878&lt;&gt;""""))), LEN(INDEX(FILTER(G$1:G1878, G$1:G1878&lt;&gt;""""),COUNTA(FILTER(G$1:G1878, G$1:G1878&lt;&gt;""""))))-1), IF('To Order'!$A1879=COL"&amp;"UMNS($A1879:G1898), G1878&amp;RIGHT(INDIRECT(ADDRESS(ROW(G1879)-1, 'From Order'!$A1879)), 1), G1878))"),"MDJMBVRRG")</f>
        <v>MDJMBVRRG</v>
      </c>
      <c r="H1879" s="2" t="str">
        <f>IFERROR(__xludf.DUMMYFUNCTION("IF('From Order'!$A1879=COLUMNS($A1879:H1898), LEFT(INDEX(FILTER(H$1:H1878, H$1:H1878&lt;&gt;""""),COUNTA(FILTER(H$1:H1878, H$1:H1878&lt;&gt;""""))), LEN(INDEX(FILTER(H$1:H1878, H$1:H1878&lt;&gt;""""),COUNTA(FILTER(H$1:H1878, H$1:H1878&lt;&gt;""""))))-1), IF('To Order'!$A1879=COL"&amp;"UMNS($A1879:H1898), H1878&amp;RIGHT(INDIRECT(ADDRESS(ROW(H1879)-1, 'From Order'!$A1879)), 1), H1878))"),"")</f>
        <v/>
      </c>
      <c r="I1879" s="2" t="str">
        <f>IFERROR(__xludf.DUMMYFUNCTION("IF('From Order'!$A1879=COLUMNS($A1879:I1898), LEFT(INDEX(FILTER(I$1:I1878, I$1:I1878&lt;&gt;""""),COUNTA(FILTER(I$1:I1878, I$1:I1878&lt;&gt;""""))), LEN(INDEX(FILTER(I$1:I1878, I$1:I1878&lt;&gt;""""),COUNTA(FILTER(I$1:I1878, I$1:I1878&lt;&gt;""""))))-1), IF('To Order'!$A1879=COL"&amp;"UMNS($A1879:I1898), I1878&amp;RIGHT(INDIRECT(ADDRESS(ROW(I1879)-1, 'From Order'!$A1879)), 1), I1878))"),"")</f>
        <v/>
      </c>
    </row>
    <row r="1880">
      <c r="A1880" s="2" t="str">
        <f>IFERROR(__xludf.DUMMYFUNCTION("IF('From Order'!$A1880=COLUMNS($A1880:A1899), LEFT(INDEX(FILTER(A$1:A1879, A$1:A1879&lt;&gt;""""),COUNTA(FILTER(A$1:A1879, A$1:A1879&lt;&gt;""""))), LEN(INDEX(FILTER(A$1:A1879, A$1:A1879&lt;&gt;""""),COUNTA(FILTER(A$1:A1879, A$1:A1879&lt;&gt;""""))))-1), IF('To Order'!$A1880=COL"&amp;"UMNS($A1880:A1899), A1879&amp;RIGHT(INDIRECT(ADDRESS(ROW(A1880)-1, 'From Order'!$A1880)), 1), A1879))"),"CTRTQ")</f>
        <v>CTRTQ</v>
      </c>
      <c r="B1880" s="2" t="str">
        <f>IFERROR(__xludf.DUMMYFUNCTION("IF('From Order'!$A1880=COLUMNS($A1880:B1899), LEFT(INDEX(FILTER(B$1:B1879, B$1:B1879&lt;&gt;""""),COUNTA(FILTER(B$1:B1879, B$1:B1879&lt;&gt;""""))), LEN(INDEX(FILTER(B$1:B1879, B$1:B1879&lt;&gt;""""),COUNTA(FILTER(B$1:B1879, B$1:B1879&lt;&gt;""""))))-1), IF('To Order'!$A1880=COL"&amp;"UMNS($A1880:B1899), B1879&amp;RIGHT(INDIRECT(ADDRESS(ROW(B1880)-1, 'From Order'!$A1880)), 1), B1879))"),"GTTJ")</f>
        <v>GTTJ</v>
      </c>
      <c r="C1880" s="2" t="str">
        <f>IFERROR(__xludf.DUMMYFUNCTION("IF('From Order'!$A1880=COLUMNS($A1880:C1899), LEFT(INDEX(FILTER(C$1:C1879, C$1:C1879&lt;&gt;""""),COUNTA(FILTER(C$1:C1879, C$1:C1879&lt;&gt;""""))), LEN(INDEX(FILTER(C$1:C1879, C$1:C1879&lt;&gt;""""),COUNTA(FILTER(C$1:C1879, C$1:C1879&lt;&gt;""""))))-1), IF('To Order'!$A1880=COL"&amp;"UMNS($A1880:C1899), C1879&amp;RIGHT(INDIRECT(ADDRESS(ROW(C1880)-1, 'From Order'!$A1880)), 1), C1879))"),"DVDTMZHZ")</f>
        <v>DVDTMZHZ</v>
      </c>
      <c r="D1880" s="2" t="str">
        <f>IFERROR(__xludf.DUMMYFUNCTION("IF('From Order'!$A1880=COLUMNS($A1880:D1899), LEFT(INDEX(FILTER(D$1:D1879, D$1:D1879&lt;&gt;""""),COUNTA(FILTER(D$1:D1879, D$1:D1879&lt;&gt;""""))), LEN(INDEX(FILTER(D$1:D1879, D$1:D1879&lt;&gt;""""),COUNTA(FILTER(D$1:D1879, D$1:D1879&lt;&gt;""""))))-1), IF('To Order'!$A1880=COL"&amp;"UMNS($A1880:D1899), D1879&amp;RIGHT(INDIRECT(ADDRESS(ROW(D1880)-1, 'From Order'!$A1880)), 1), D1879))"),"RB")</f>
        <v>RB</v>
      </c>
      <c r="E1880" s="2" t="str">
        <f>IFERROR(__xludf.DUMMYFUNCTION("IF('From Order'!$A1880=COLUMNS($A1880:E1899), LEFT(INDEX(FILTER(E$1:E1879, E$1:E1879&lt;&gt;""""),COUNTA(FILTER(E$1:E1879, E$1:E1879&lt;&gt;""""))), LEN(INDEX(FILTER(E$1:E1879, E$1:E1879&lt;&gt;""""),COUNTA(FILTER(E$1:E1879, E$1:E1879&lt;&gt;""""))))-1), IF('To Order'!$A1880=COL"&amp;"UMNS($A1880:E1899), E1879&amp;RIGHT(INDIRECT(ADDRESS(ROW(E1880)-1, 'From Order'!$A1880)), 1), E1879))"),"CRG")</f>
        <v>CRG</v>
      </c>
      <c r="F1880" s="2" t="str">
        <f>IFERROR(__xludf.DUMMYFUNCTION("IF('From Order'!$A1880=COLUMNS($A1880:F1899), LEFT(INDEX(FILTER(F$1:F1879, F$1:F1879&lt;&gt;""""),COUNTA(FILTER(F$1:F1879, F$1:F1879&lt;&gt;""""))), LEN(INDEX(FILTER(F$1:F1879, F$1:F1879&lt;&gt;""""),COUNTA(FILTER(F$1:F1879, F$1:F1879&lt;&gt;""""))))-1), IF('To Order'!$A1880=COL"&amp;"UMNS($A1880:F1899), F1879&amp;RIGHT(INDIRECT(ADDRESS(ROW(F1880)-1, 'From Order'!$A1880)), 1), F1879))"),"LDSPBFLLWDDVQJPPSSTWZCSFHB")</f>
        <v>LDSPBFLLWDDVQJPPSSTWZCSFHB</v>
      </c>
      <c r="G1880" s="2" t="str">
        <f>IFERROR(__xludf.DUMMYFUNCTION("IF('From Order'!$A1880=COLUMNS($A1880:G1899), LEFT(INDEX(FILTER(G$1:G1879, G$1:G1879&lt;&gt;""""),COUNTA(FILTER(G$1:G1879, G$1:G1879&lt;&gt;""""))), LEN(INDEX(FILTER(G$1:G1879, G$1:G1879&lt;&gt;""""),COUNTA(FILTER(G$1:G1879, G$1:G1879&lt;&gt;""""))))-1), IF('To Order'!$A1880=COL"&amp;"UMNS($A1880:G1899), G1879&amp;RIGHT(INDIRECT(ADDRESS(ROW(G1880)-1, 'From Order'!$A1880)), 1), G1879))"),"MDJMBVRR")</f>
        <v>MDJMBVRR</v>
      </c>
      <c r="H1880" s="2" t="str">
        <f>IFERROR(__xludf.DUMMYFUNCTION("IF('From Order'!$A1880=COLUMNS($A1880:H1899), LEFT(INDEX(FILTER(H$1:H1879, H$1:H1879&lt;&gt;""""),COUNTA(FILTER(H$1:H1879, H$1:H1879&lt;&gt;""""))), LEN(INDEX(FILTER(H$1:H1879, H$1:H1879&lt;&gt;""""),COUNTA(FILTER(H$1:H1879, H$1:H1879&lt;&gt;""""))))-1), IF('To Order'!$A1880=COL"&amp;"UMNS($A1880:H1899), H1879&amp;RIGHT(INDIRECT(ADDRESS(ROW(H1880)-1, 'From Order'!$A1880)), 1), H1879))"),"")</f>
        <v/>
      </c>
      <c r="I1880" s="2" t="str">
        <f>IFERROR(__xludf.DUMMYFUNCTION("IF('From Order'!$A1880=COLUMNS($A1880:I1899), LEFT(INDEX(FILTER(I$1:I1879, I$1:I1879&lt;&gt;""""),COUNTA(FILTER(I$1:I1879, I$1:I1879&lt;&gt;""""))), LEN(INDEX(FILTER(I$1:I1879, I$1:I1879&lt;&gt;""""),COUNTA(FILTER(I$1:I1879, I$1:I1879&lt;&gt;""""))))-1), IF('To Order'!$A1880=COL"&amp;"UMNS($A1880:I1899), I1879&amp;RIGHT(INDIRECT(ADDRESS(ROW(I1880)-1, 'From Order'!$A1880)), 1), I1879))"),"")</f>
        <v/>
      </c>
    </row>
    <row r="1881">
      <c r="A1881" s="2" t="str">
        <f>IFERROR(__xludf.DUMMYFUNCTION("IF('From Order'!$A1881=COLUMNS($A1881:A1900), LEFT(INDEX(FILTER(A$1:A1880, A$1:A1880&lt;&gt;""""),COUNTA(FILTER(A$1:A1880, A$1:A1880&lt;&gt;""""))), LEN(INDEX(FILTER(A$1:A1880, A$1:A1880&lt;&gt;""""),COUNTA(FILTER(A$1:A1880, A$1:A1880&lt;&gt;""""))))-1), IF('To Order'!$A1881=COL"&amp;"UMNS($A1881:A1900), A1880&amp;RIGHT(INDIRECT(ADDRESS(ROW(A1881)-1, 'From Order'!$A1881)), 1), A1880))"),"CTRTQ")</f>
        <v>CTRTQ</v>
      </c>
      <c r="B1881" s="2" t="str">
        <f>IFERROR(__xludf.DUMMYFUNCTION("IF('From Order'!$A1881=COLUMNS($A1881:B1900), LEFT(INDEX(FILTER(B$1:B1880, B$1:B1880&lt;&gt;""""),COUNTA(FILTER(B$1:B1880, B$1:B1880&lt;&gt;""""))), LEN(INDEX(FILTER(B$1:B1880, B$1:B1880&lt;&gt;""""),COUNTA(FILTER(B$1:B1880, B$1:B1880&lt;&gt;""""))))-1), IF('To Order'!$A1881=COL"&amp;"UMNS($A1881:B1900), B1880&amp;RIGHT(INDIRECT(ADDRESS(ROW(B1881)-1, 'From Order'!$A1881)), 1), B1880))"),"GTTJ")</f>
        <v>GTTJ</v>
      </c>
      <c r="C1881" s="2" t="str">
        <f>IFERROR(__xludf.DUMMYFUNCTION("IF('From Order'!$A1881=COLUMNS($A1881:C1900), LEFT(INDEX(FILTER(C$1:C1880, C$1:C1880&lt;&gt;""""),COUNTA(FILTER(C$1:C1880, C$1:C1880&lt;&gt;""""))), LEN(INDEX(FILTER(C$1:C1880, C$1:C1880&lt;&gt;""""),COUNTA(FILTER(C$1:C1880, C$1:C1880&lt;&gt;""""))))-1), IF('To Order'!$A1881=COL"&amp;"UMNS($A1881:C1900), C1880&amp;RIGHT(INDIRECT(ADDRESS(ROW(C1881)-1, 'From Order'!$A1881)), 1), C1880))"),"DVDTMZHZ")</f>
        <v>DVDTMZHZ</v>
      </c>
      <c r="D1881" s="2" t="str">
        <f>IFERROR(__xludf.DUMMYFUNCTION("IF('From Order'!$A1881=COLUMNS($A1881:D1900), LEFT(INDEX(FILTER(D$1:D1880, D$1:D1880&lt;&gt;""""),COUNTA(FILTER(D$1:D1880, D$1:D1880&lt;&gt;""""))), LEN(INDEX(FILTER(D$1:D1880, D$1:D1880&lt;&gt;""""),COUNTA(FILTER(D$1:D1880, D$1:D1880&lt;&gt;""""))))-1), IF('To Order'!$A1881=COL"&amp;"UMNS($A1881:D1900), D1880&amp;RIGHT(INDIRECT(ADDRESS(ROW(D1881)-1, 'From Order'!$A1881)), 1), D1880))"),"RB")</f>
        <v>RB</v>
      </c>
      <c r="E1881" s="2" t="str">
        <f>IFERROR(__xludf.DUMMYFUNCTION("IF('From Order'!$A1881=COLUMNS($A1881:E1900), LEFT(INDEX(FILTER(E$1:E1880, E$1:E1880&lt;&gt;""""),COUNTA(FILTER(E$1:E1880, E$1:E1880&lt;&gt;""""))), LEN(INDEX(FILTER(E$1:E1880, E$1:E1880&lt;&gt;""""),COUNTA(FILTER(E$1:E1880, E$1:E1880&lt;&gt;""""))))-1), IF('To Order'!$A1881=COL"&amp;"UMNS($A1881:E1900), E1880&amp;RIGHT(INDIRECT(ADDRESS(ROW(E1881)-1, 'From Order'!$A1881)), 1), E1880))"),"CRGR")</f>
        <v>CRGR</v>
      </c>
      <c r="F1881" s="2" t="str">
        <f>IFERROR(__xludf.DUMMYFUNCTION("IF('From Order'!$A1881=COLUMNS($A1881:F1900), LEFT(INDEX(FILTER(F$1:F1880, F$1:F1880&lt;&gt;""""),COUNTA(FILTER(F$1:F1880, F$1:F1880&lt;&gt;""""))), LEN(INDEX(FILTER(F$1:F1880, F$1:F1880&lt;&gt;""""),COUNTA(FILTER(F$1:F1880, F$1:F1880&lt;&gt;""""))))-1), IF('To Order'!$A1881=COL"&amp;"UMNS($A1881:F1900), F1880&amp;RIGHT(INDIRECT(ADDRESS(ROW(F1881)-1, 'From Order'!$A1881)), 1), F1880))"),"LDSPBFLLWDDVQJPPSSTWZCSFHB")</f>
        <v>LDSPBFLLWDDVQJPPSSTWZCSFHB</v>
      </c>
      <c r="G1881" s="2" t="str">
        <f>IFERROR(__xludf.DUMMYFUNCTION("IF('From Order'!$A1881=COLUMNS($A1881:G1900), LEFT(INDEX(FILTER(G$1:G1880, G$1:G1880&lt;&gt;""""),COUNTA(FILTER(G$1:G1880, G$1:G1880&lt;&gt;""""))), LEN(INDEX(FILTER(G$1:G1880, G$1:G1880&lt;&gt;""""),COUNTA(FILTER(G$1:G1880, G$1:G1880&lt;&gt;""""))))-1), IF('To Order'!$A1881=COL"&amp;"UMNS($A1881:G1900), G1880&amp;RIGHT(INDIRECT(ADDRESS(ROW(G1881)-1, 'From Order'!$A1881)), 1), G1880))"),"MDJMBVR")</f>
        <v>MDJMBVR</v>
      </c>
      <c r="H1881" s="2" t="str">
        <f>IFERROR(__xludf.DUMMYFUNCTION("IF('From Order'!$A1881=COLUMNS($A1881:H1900), LEFT(INDEX(FILTER(H$1:H1880, H$1:H1880&lt;&gt;""""),COUNTA(FILTER(H$1:H1880, H$1:H1880&lt;&gt;""""))), LEN(INDEX(FILTER(H$1:H1880, H$1:H1880&lt;&gt;""""),COUNTA(FILTER(H$1:H1880, H$1:H1880&lt;&gt;""""))))-1), IF('To Order'!$A1881=COL"&amp;"UMNS($A1881:H1900), H1880&amp;RIGHT(INDIRECT(ADDRESS(ROW(H1881)-1, 'From Order'!$A1881)), 1), H1880))"),"")</f>
        <v/>
      </c>
      <c r="I1881" s="2" t="str">
        <f>IFERROR(__xludf.DUMMYFUNCTION("IF('From Order'!$A1881=COLUMNS($A1881:I1900), LEFT(INDEX(FILTER(I$1:I1880, I$1:I1880&lt;&gt;""""),COUNTA(FILTER(I$1:I1880, I$1:I1880&lt;&gt;""""))), LEN(INDEX(FILTER(I$1:I1880, I$1:I1880&lt;&gt;""""),COUNTA(FILTER(I$1:I1880, I$1:I1880&lt;&gt;""""))))-1), IF('To Order'!$A1881=COL"&amp;"UMNS($A1881:I1900), I1880&amp;RIGHT(INDIRECT(ADDRESS(ROW(I1881)-1, 'From Order'!$A1881)), 1), I1880))"),"")</f>
        <v/>
      </c>
    </row>
    <row r="1882">
      <c r="A1882" s="2" t="str">
        <f>IFERROR(__xludf.DUMMYFUNCTION("IF('From Order'!$A1882=COLUMNS($A1882:A1901), LEFT(INDEX(FILTER(A$1:A1881, A$1:A1881&lt;&gt;""""),COUNTA(FILTER(A$1:A1881, A$1:A1881&lt;&gt;""""))), LEN(INDEX(FILTER(A$1:A1881, A$1:A1881&lt;&gt;""""),COUNTA(FILTER(A$1:A1881, A$1:A1881&lt;&gt;""""))))-1), IF('To Order'!$A1882=COL"&amp;"UMNS($A1882:A1901), A1881&amp;RIGHT(INDIRECT(ADDRESS(ROW(A1882)-1, 'From Order'!$A1882)), 1), A1881))"),"CTRTQ")</f>
        <v>CTRTQ</v>
      </c>
      <c r="B1882" s="2" t="str">
        <f>IFERROR(__xludf.DUMMYFUNCTION("IF('From Order'!$A1882=COLUMNS($A1882:B1901), LEFT(INDEX(FILTER(B$1:B1881, B$1:B1881&lt;&gt;""""),COUNTA(FILTER(B$1:B1881, B$1:B1881&lt;&gt;""""))), LEN(INDEX(FILTER(B$1:B1881, B$1:B1881&lt;&gt;""""),COUNTA(FILTER(B$1:B1881, B$1:B1881&lt;&gt;""""))))-1), IF('To Order'!$A1882=COL"&amp;"UMNS($A1882:B1901), B1881&amp;RIGHT(INDIRECT(ADDRESS(ROW(B1882)-1, 'From Order'!$A1882)), 1), B1881))"),"GTTJ")</f>
        <v>GTTJ</v>
      </c>
      <c r="C1882" s="2" t="str">
        <f>IFERROR(__xludf.DUMMYFUNCTION("IF('From Order'!$A1882=COLUMNS($A1882:C1901), LEFT(INDEX(FILTER(C$1:C1881, C$1:C1881&lt;&gt;""""),COUNTA(FILTER(C$1:C1881, C$1:C1881&lt;&gt;""""))), LEN(INDEX(FILTER(C$1:C1881, C$1:C1881&lt;&gt;""""),COUNTA(FILTER(C$1:C1881, C$1:C1881&lt;&gt;""""))))-1), IF('To Order'!$A1882=COL"&amp;"UMNS($A1882:C1901), C1881&amp;RIGHT(INDIRECT(ADDRESS(ROW(C1882)-1, 'From Order'!$A1882)), 1), C1881))"),"DVDTMZHZ")</f>
        <v>DVDTMZHZ</v>
      </c>
      <c r="D1882" s="2" t="str">
        <f>IFERROR(__xludf.DUMMYFUNCTION("IF('From Order'!$A1882=COLUMNS($A1882:D1901), LEFT(INDEX(FILTER(D$1:D1881, D$1:D1881&lt;&gt;""""),COUNTA(FILTER(D$1:D1881, D$1:D1881&lt;&gt;""""))), LEN(INDEX(FILTER(D$1:D1881, D$1:D1881&lt;&gt;""""),COUNTA(FILTER(D$1:D1881, D$1:D1881&lt;&gt;""""))))-1), IF('To Order'!$A1882=COL"&amp;"UMNS($A1882:D1901), D1881&amp;RIGHT(INDIRECT(ADDRESS(ROW(D1882)-1, 'From Order'!$A1882)), 1), D1881))"),"RB")</f>
        <v>RB</v>
      </c>
      <c r="E1882" s="2" t="str">
        <f>IFERROR(__xludf.DUMMYFUNCTION("IF('From Order'!$A1882=COLUMNS($A1882:E1901), LEFT(INDEX(FILTER(E$1:E1881, E$1:E1881&lt;&gt;""""),COUNTA(FILTER(E$1:E1881, E$1:E1881&lt;&gt;""""))), LEN(INDEX(FILTER(E$1:E1881, E$1:E1881&lt;&gt;""""),COUNTA(FILTER(E$1:E1881, E$1:E1881&lt;&gt;""""))))-1), IF('To Order'!$A1882=COL"&amp;"UMNS($A1882:E1901), E1881&amp;RIGHT(INDIRECT(ADDRESS(ROW(E1882)-1, 'From Order'!$A1882)), 1), E1881))"),"CRGRR")</f>
        <v>CRGRR</v>
      </c>
      <c r="F1882" s="2" t="str">
        <f>IFERROR(__xludf.DUMMYFUNCTION("IF('From Order'!$A1882=COLUMNS($A1882:F1901), LEFT(INDEX(FILTER(F$1:F1881, F$1:F1881&lt;&gt;""""),COUNTA(FILTER(F$1:F1881, F$1:F1881&lt;&gt;""""))), LEN(INDEX(FILTER(F$1:F1881, F$1:F1881&lt;&gt;""""),COUNTA(FILTER(F$1:F1881, F$1:F1881&lt;&gt;""""))))-1), IF('To Order'!$A1882=COL"&amp;"UMNS($A1882:F1901), F1881&amp;RIGHT(INDIRECT(ADDRESS(ROW(F1882)-1, 'From Order'!$A1882)), 1), F1881))"),"LDSPBFLLWDDVQJPPSSTWZCSFHB")</f>
        <v>LDSPBFLLWDDVQJPPSSTWZCSFHB</v>
      </c>
      <c r="G1882" s="2" t="str">
        <f>IFERROR(__xludf.DUMMYFUNCTION("IF('From Order'!$A1882=COLUMNS($A1882:G1901), LEFT(INDEX(FILTER(G$1:G1881, G$1:G1881&lt;&gt;""""),COUNTA(FILTER(G$1:G1881, G$1:G1881&lt;&gt;""""))), LEN(INDEX(FILTER(G$1:G1881, G$1:G1881&lt;&gt;""""),COUNTA(FILTER(G$1:G1881, G$1:G1881&lt;&gt;""""))))-1), IF('To Order'!$A1882=COL"&amp;"UMNS($A1882:G1901), G1881&amp;RIGHT(INDIRECT(ADDRESS(ROW(G1882)-1, 'From Order'!$A1882)), 1), G1881))"),"MDJMBV")</f>
        <v>MDJMBV</v>
      </c>
      <c r="H1882" s="2" t="str">
        <f>IFERROR(__xludf.DUMMYFUNCTION("IF('From Order'!$A1882=COLUMNS($A1882:H1901), LEFT(INDEX(FILTER(H$1:H1881, H$1:H1881&lt;&gt;""""),COUNTA(FILTER(H$1:H1881, H$1:H1881&lt;&gt;""""))), LEN(INDEX(FILTER(H$1:H1881, H$1:H1881&lt;&gt;""""),COUNTA(FILTER(H$1:H1881, H$1:H1881&lt;&gt;""""))))-1), IF('To Order'!$A1882=COL"&amp;"UMNS($A1882:H1901), H1881&amp;RIGHT(INDIRECT(ADDRESS(ROW(H1882)-1, 'From Order'!$A1882)), 1), H1881))"),"")</f>
        <v/>
      </c>
      <c r="I1882" s="2" t="str">
        <f>IFERROR(__xludf.DUMMYFUNCTION("IF('From Order'!$A1882=COLUMNS($A1882:I1901), LEFT(INDEX(FILTER(I$1:I1881, I$1:I1881&lt;&gt;""""),COUNTA(FILTER(I$1:I1881, I$1:I1881&lt;&gt;""""))), LEN(INDEX(FILTER(I$1:I1881, I$1:I1881&lt;&gt;""""),COUNTA(FILTER(I$1:I1881, I$1:I1881&lt;&gt;""""))))-1), IF('To Order'!$A1882=COL"&amp;"UMNS($A1882:I1901), I1881&amp;RIGHT(INDIRECT(ADDRESS(ROW(I1882)-1, 'From Order'!$A1882)), 1), I1881))"),"")</f>
        <v/>
      </c>
    </row>
    <row r="1883">
      <c r="A1883" s="2" t="str">
        <f>IFERROR(__xludf.DUMMYFUNCTION("IF('From Order'!$A1883=COLUMNS($A1883:A1902), LEFT(INDEX(FILTER(A$1:A1882, A$1:A1882&lt;&gt;""""),COUNTA(FILTER(A$1:A1882, A$1:A1882&lt;&gt;""""))), LEN(INDEX(FILTER(A$1:A1882, A$1:A1882&lt;&gt;""""),COUNTA(FILTER(A$1:A1882, A$1:A1882&lt;&gt;""""))))-1), IF('To Order'!$A1883=COL"&amp;"UMNS($A1883:A1902), A1882&amp;RIGHT(INDIRECT(ADDRESS(ROW(A1883)-1, 'From Order'!$A1883)), 1), A1882))"),"CTRTQ")</f>
        <v>CTRTQ</v>
      </c>
      <c r="B1883" s="2" t="str">
        <f>IFERROR(__xludf.DUMMYFUNCTION("IF('From Order'!$A1883=COLUMNS($A1883:B1902), LEFT(INDEX(FILTER(B$1:B1882, B$1:B1882&lt;&gt;""""),COUNTA(FILTER(B$1:B1882, B$1:B1882&lt;&gt;""""))), LEN(INDEX(FILTER(B$1:B1882, B$1:B1882&lt;&gt;""""),COUNTA(FILTER(B$1:B1882, B$1:B1882&lt;&gt;""""))))-1), IF('To Order'!$A1883=COL"&amp;"UMNS($A1883:B1902), B1882&amp;RIGHT(INDIRECT(ADDRESS(ROW(B1883)-1, 'From Order'!$A1883)), 1), B1882))"),"GTTJ")</f>
        <v>GTTJ</v>
      </c>
      <c r="C1883" s="2" t="str">
        <f>IFERROR(__xludf.DUMMYFUNCTION("IF('From Order'!$A1883=COLUMNS($A1883:C1902), LEFT(INDEX(FILTER(C$1:C1882, C$1:C1882&lt;&gt;""""),COUNTA(FILTER(C$1:C1882, C$1:C1882&lt;&gt;""""))), LEN(INDEX(FILTER(C$1:C1882, C$1:C1882&lt;&gt;""""),COUNTA(FILTER(C$1:C1882, C$1:C1882&lt;&gt;""""))))-1), IF('To Order'!$A1883=COL"&amp;"UMNS($A1883:C1902), C1882&amp;RIGHT(INDIRECT(ADDRESS(ROW(C1883)-1, 'From Order'!$A1883)), 1), C1882))"),"DVDTMZHZ")</f>
        <v>DVDTMZHZ</v>
      </c>
      <c r="D1883" s="2" t="str">
        <f>IFERROR(__xludf.DUMMYFUNCTION("IF('From Order'!$A1883=COLUMNS($A1883:D1902), LEFT(INDEX(FILTER(D$1:D1882, D$1:D1882&lt;&gt;""""),COUNTA(FILTER(D$1:D1882, D$1:D1882&lt;&gt;""""))), LEN(INDEX(FILTER(D$1:D1882, D$1:D1882&lt;&gt;""""),COUNTA(FILTER(D$1:D1882, D$1:D1882&lt;&gt;""""))))-1), IF('To Order'!$A1883=COL"&amp;"UMNS($A1883:D1902), D1882&amp;RIGHT(INDIRECT(ADDRESS(ROW(D1883)-1, 'From Order'!$A1883)), 1), D1882))"),"RB")</f>
        <v>RB</v>
      </c>
      <c r="E1883" s="2" t="str">
        <f>IFERROR(__xludf.DUMMYFUNCTION("IF('From Order'!$A1883=COLUMNS($A1883:E1902), LEFT(INDEX(FILTER(E$1:E1882, E$1:E1882&lt;&gt;""""),COUNTA(FILTER(E$1:E1882, E$1:E1882&lt;&gt;""""))), LEN(INDEX(FILTER(E$1:E1882, E$1:E1882&lt;&gt;""""),COUNTA(FILTER(E$1:E1882, E$1:E1882&lt;&gt;""""))))-1), IF('To Order'!$A1883=COL"&amp;"UMNS($A1883:E1902), E1882&amp;RIGHT(INDIRECT(ADDRESS(ROW(E1883)-1, 'From Order'!$A1883)), 1), E1882))"),"CRGRRV")</f>
        <v>CRGRRV</v>
      </c>
      <c r="F1883" s="2" t="str">
        <f>IFERROR(__xludf.DUMMYFUNCTION("IF('From Order'!$A1883=COLUMNS($A1883:F1902), LEFT(INDEX(FILTER(F$1:F1882, F$1:F1882&lt;&gt;""""),COUNTA(FILTER(F$1:F1882, F$1:F1882&lt;&gt;""""))), LEN(INDEX(FILTER(F$1:F1882, F$1:F1882&lt;&gt;""""),COUNTA(FILTER(F$1:F1882, F$1:F1882&lt;&gt;""""))))-1), IF('To Order'!$A1883=COL"&amp;"UMNS($A1883:F1902), F1882&amp;RIGHT(INDIRECT(ADDRESS(ROW(F1883)-1, 'From Order'!$A1883)), 1), F1882))"),"LDSPBFLLWDDVQJPPSSTWZCSFHB")</f>
        <v>LDSPBFLLWDDVQJPPSSTWZCSFHB</v>
      </c>
      <c r="G1883" s="2" t="str">
        <f>IFERROR(__xludf.DUMMYFUNCTION("IF('From Order'!$A1883=COLUMNS($A1883:G1902), LEFT(INDEX(FILTER(G$1:G1882, G$1:G1882&lt;&gt;""""),COUNTA(FILTER(G$1:G1882, G$1:G1882&lt;&gt;""""))), LEN(INDEX(FILTER(G$1:G1882, G$1:G1882&lt;&gt;""""),COUNTA(FILTER(G$1:G1882, G$1:G1882&lt;&gt;""""))))-1), IF('To Order'!$A1883=COL"&amp;"UMNS($A1883:G1902), G1882&amp;RIGHT(INDIRECT(ADDRESS(ROW(G1883)-1, 'From Order'!$A1883)), 1), G1882))"),"MDJMB")</f>
        <v>MDJMB</v>
      </c>
      <c r="H1883" s="2" t="str">
        <f>IFERROR(__xludf.DUMMYFUNCTION("IF('From Order'!$A1883=COLUMNS($A1883:H1902), LEFT(INDEX(FILTER(H$1:H1882, H$1:H1882&lt;&gt;""""),COUNTA(FILTER(H$1:H1882, H$1:H1882&lt;&gt;""""))), LEN(INDEX(FILTER(H$1:H1882, H$1:H1882&lt;&gt;""""),COUNTA(FILTER(H$1:H1882, H$1:H1882&lt;&gt;""""))))-1), IF('To Order'!$A1883=COL"&amp;"UMNS($A1883:H1902), H1882&amp;RIGHT(INDIRECT(ADDRESS(ROW(H1883)-1, 'From Order'!$A1883)), 1), H1882))"),"")</f>
        <v/>
      </c>
      <c r="I1883" s="2" t="str">
        <f>IFERROR(__xludf.DUMMYFUNCTION("IF('From Order'!$A1883=COLUMNS($A1883:I1902), LEFT(INDEX(FILTER(I$1:I1882, I$1:I1882&lt;&gt;""""),COUNTA(FILTER(I$1:I1882, I$1:I1882&lt;&gt;""""))), LEN(INDEX(FILTER(I$1:I1882, I$1:I1882&lt;&gt;""""),COUNTA(FILTER(I$1:I1882, I$1:I1882&lt;&gt;""""))))-1), IF('To Order'!$A1883=COL"&amp;"UMNS($A1883:I1902), I1882&amp;RIGHT(INDIRECT(ADDRESS(ROW(I1883)-1, 'From Order'!$A1883)), 1), I1882))"),"")</f>
        <v/>
      </c>
    </row>
    <row r="1884">
      <c r="A1884" s="2" t="str">
        <f>IFERROR(__xludf.DUMMYFUNCTION("IF('From Order'!$A1884=COLUMNS($A1884:A1903), LEFT(INDEX(FILTER(A$1:A1883, A$1:A1883&lt;&gt;""""),COUNTA(FILTER(A$1:A1883, A$1:A1883&lt;&gt;""""))), LEN(INDEX(FILTER(A$1:A1883, A$1:A1883&lt;&gt;""""),COUNTA(FILTER(A$1:A1883, A$1:A1883&lt;&gt;""""))))-1), IF('To Order'!$A1884=COL"&amp;"UMNS($A1884:A1903), A1883&amp;RIGHT(INDIRECT(ADDRESS(ROW(A1884)-1, 'From Order'!$A1884)), 1), A1883))"),"CTRTQ")</f>
        <v>CTRTQ</v>
      </c>
      <c r="B1884" s="2" t="str">
        <f>IFERROR(__xludf.DUMMYFUNCTION("IF('From Order'!$A1884=COLUMNS($A1884:B1903), LEFT(INDEX(FILTER(B$1:B1883, B$1:B1883&lt;&gt;""""),COUNTA(FILTER(B$1:B1883, B$1:B1883&lt;&gt;""""))), LEN(INDEX(FILTER(B$1:B1883, B$1:B1883&lt;&gt;""""),COUNTA(FILTER(B$1:B1883, B$1:B1883&lt;&gt;""""))))-1), IF('To Order'!$A1884=COL"&amp;"UMNS($A1884:B1903), B1883&amp;RIGHT(INDIRECT(ADDRESS(ROW(B1884)-1, 'From Order'!$A1884)), 1), B1883))"),"GTTJ")</f>
        <v>GTTJ</v>
      </c>
      <c r="C1884" s="2" t="str">
        <f>IFERROR(__xludf.DUMMYFUNCTION("IF('From Order'!$A1884=COLUMNS($A1884:C1903), LEFT(INDEX(FILTER(C$1:C1883, C$1:C1883&lt;&gt;""""),COUNTA(FILTER(C$1:C1883, C$1:C1883&lt;&gt;""""))), LEN(INDEX(FILTER(C$1:C1883, C$1:C1883&lt;&gt;""""),COUNTA(FILTER(C$1:C1883, C$1:C1883&lt;&gt;""""))))-1), IF('To Order'!$A1884=COL"&amp;"UMNS($A1884:C1903), C1883&amp;RIGHT(INDIRECT(ADDRESS(ROW(C1884)-1, 'From Order'!$A1884)), 1), C1883))"),"DVDTMZHZ")</f>
        <v>DVDTMZHZ</v>
      </c>
      <c r="D1884" s="2" t="str">
        <f>IFERROR(__xludf.DUMMYFUNCTION("IF('From Order'!$A1884=COLUMNS($A1884:D1903), LEFT(INDEX(FILTER(D$1:D1883, D$1:D1883&lt;&gt;""""),COUNTA(FILTER(D$1:D1883, D$1:D1883&lt;&gt;""""))), LEN(INDEX(FILTER(D$1:D1883, D$1:D1883&lt;&gt;""""),COUNTA(FILTER(D$1:D1883, D$1:D1883&lt;&gt;""""))))-1), IF('To Order'!$A1884=COL"&amp;"UMNS($A1884:D1903), D1883&amp;RIGHT(INDIRECT(ADDRESS(ROW(D1884)-1, 'From Order'!$A1884)), 1), D1883))"),"RB")</f>
        <v>RB</v>
      </c>
      <c r="E1884" s="2" t="str">
        <f>IFERROR(__xludf.DUMMYFUNCTION("IF('From Order'!$A1884=COLUMNS($A1884:E1903), LEFT(INDEX(FILTER(E$1:E1883, E$1:E1883&lt;&gt;""""),COUNTA(FILTER(E$1:E1883, E$1:E1883&lt;&gt;""""))), LEN(INDEX(FILTER(E$1:E1883, E$1:E1883&lt;&gt;""""),COUNTA(FILTER(E$1:E1883, E$1:E1883&lt;&gt;""""))))-1), IF('To Order'!$A1884=COL"&amp;"UMNS($A1884:E1903), E1883&amp;RIGHT(INDIRECT(ADDRESS(ROW(E1884)-1, 'From Order'!$A1884)), 1), E1883))"),"CRGRRVB")</f>
        <v>CRGRRVB</v>
      </c>
      <c r="F1884" s="2" t="str">
        <f>IFERROR(__xludf.DUMMYFUNCTION("IF('From Order'!$A1884=COLUMNS($A1884:F1903), LEFT(INDEX(FILTER(F$1:F1883, F$1:F1883&lt;&gt;""""),COUNTA(FILTER(F$1:F1883, F$1:F1883&lt;&gt;""""))), LEN(INDEX(FILTER(F$1:F1883, F$1:F1883&lt;&gt;""""),COUNTA(FILTER(F$1:F1883, F$1:F1883&lt;&gt;""""))))-1), IF('To Order'!$A1884=COL"&amp;"UMNS($A1884:F1903), F1883&amp;RIGHT(INDIRECT(ADDRESS(ROW(F1884)-1, 'From Order'!$A1884)), 1), F1883))"),"LDSPBFLLWDDVQJPPSSTWZCSFHB")</f>
        <v>LDSPBFLLWDDVQJPPSSTWZCSFHB</v>
      </c>
      <c r="G1884" s="2" t="str">
        <f>IFERROR(__xludf.DUMMYFUNCTION("IF('From Order'!$A1884=COLUMNS($A1884:G1903), LEFT(INDEX(FILTER(G$1:G1883, G$1:G1883&lt;&gt;""""),COUNTA(FILTER(G$1:G1883, G$1:G1883&lt;&gt;""""))), LEN(INDEX(FILTER(G$1:G1883, G$1:G1883&lt;&gt;""""),COUNTA(FILTER(G$1:G1883, G$1:G1883&lt;&gt;""""))))-1), IF('To Order'!$A1884=COL"&amp;"UMNS($A1884:G1903), G1883&amp;RIGHT(INDIRECT(ADDRESS(ROW(G1884)-1, 'From Order'!$A1884)), 1), G1883))"),"MDJM")</f>
        <v>MDJM</v>
      </c>
      <c r="H1884" s="2" t="str">
        <f>IFERROR(__xludf.DUMMYFUNCTION("IF('From Order'!$A1884=COLUMNS($A1884:H1903), LEFT(INDEX(FILTER(H$1:H1883, H$1:H1883&lt;&gt;""""),COUNTA(FILTER(H$1:H1883, H$1:H1883&lt;&gt;""""))), LEN(INDEX(FILTER(H$1:H1883, H$1:H1883&lt;&gt;""""),COUNTA(FILTER(H$1:H1883, H$1:H1883&lt;&gt;""""))))-1), IF('To Order'!$A1884=COL"&amp;"UMNS($A1884:H1903), H1883&amp;RIGHT(INDIRECT(ADDRESS(ROW(H1884)-1, 'From Order'!$A1884)), 1), H1883))"),"")</f>
        <v/>
      </c>
      <c r="I1884" s="2" t="str">
        <f>IFERROR(__xludf.DUMMYFUNCTION("IF('From Order'!$A1884=COLUMNS($A1884:I1903), LEFT(INDEX(FILTER(I$1:I1883, I$1:I1883&lt;&gt;""""),COUNTA(FILTER(I$1:I1883, I$1:I1883&lt;&gt;""""))), LEN(INDEX(FILTER(I$1:I1883, I$1:I1883&lt;&gt;""""),COUNTA(FILTER(I$1:I1883, I$1:I1883&lt;&gt;""""))))-1), IF('To Order'!$A1884=COL"&amp;"UMNS($A1884:I1903), I1883&amp;RIGHT(INDIRECT(ADDRESS(ROW(I1884)-1, 'From Order'!$A1884)), 1), I1883))"),"")</f>
        <v/>
      </c>
    </row>
    <row r="1885">
      <c r="A1885" s="2" t="str">
        <f>IFERROR(__xludf.DUMMYFUNCTION("IF('From Order'!$A1885=COLUMNS($A1885:A1904), LEFT(INDEX(FILTER(A$1:A1884, A$1:A1884&lt;&gt;""""),COUNTA(FILTER(A$1:A1884, A$1:A1884&lt;&gt;""""))), LEN(INDEX(FILTER(A$1:A1884, A$1:A1884&lt;&gt;""""),COUNTA(FILTER(A$1:A1884, A$1:A1884&lt;&gt;""""))))-1), IF('To Order'!$A1885=COL"&amp;"UMNS($A1885:A1904), A1884&amp;RIGHT(INDIRECT(ADDRESS(ROW(A1885)-1, 'From Order'!$A1885)), 1), A1884))"),"CTRTQ")</f>
        <v>CTRTQ</v>
      </c>
      <c r="B1885" s="2" t="str">
        <f>IFERROR(__xludf.DUMMYFUNCTION("IF('From Order'!$A1885=COLUMNS($A1885:B1904), LEFT(INDEX(FILTER(B$1:B1884, B$1:B1884&lt;&gt;""""),COUNTA(FILTER(B$1:B1884, B$1:B1884&lt;&gt;""""))), LEN(INDEX(FILTER(B$1:B1884, B$1:B1884&lt;&gt;""""),COUNTA(FILTER(B$1:B1884, B$1:B1884&lt;&gt;""""))))-1), IF('To Order'!$A1885=COL"&amp;"UMNS($A1885:B1904), B1884&amp;RIGHT(INDIRECT(ADDRESS(ROW(B1885)-1, 'From Order'!$A1885)), 1), B1884))"),"GTTJ")</f>
        <v>GTTJ</v>
      </c>
      <c r="C1885" s="2" t="str">
        <f>IFERROR(__xludf.DUMMYFUNCTION("IF('From Order'!$A1885=COLUMNS($A1885:C1904), LEFT(INDEX(FILTER(C$1:C1884, C$1:C1884&lt;&gt;""""),COUNTA(FILTER(C$1:C1884, C$1:C1884&lt;&gt;""""))), LEN(INDEX(FILTER(C$1:C1884, C$1:C1884&lt;&gt;""""),COUNTA(FILTER(C$1:C1884, C$1:C1884&lt;&gt;""""))))-1), IF('To Order'!$A1885=COL"&amp;"UMNS($A1885:C1904), C1884&amp;RIGHT(INDIRECT(ADDRESS(ROW(C1885)-1, 'From Order'!$A1885)), 1), C1884))"),"DVDTMZHZ")</f>
        <v>DVDTMZHZ</v>
      </c>
      <c r="D1885" s="2" t="str">
        <f>IFERROR(__xludf.DUMMYFUNCTION("IF('From Order'!$A1885=COLUMNS($A1885:D1904), LEFT(INDEX(FILTER(D$1:D1884, D$1:D1884&lt;&gt;""""),COUNTA(FILTER(D$1:D1884, D$1:D1884&lt;&gt;""""))), LEN(INDEX(FILTER(D$1:D1884, D$1:D1884&lt;&gt;""""),COUNTA(FILTER(D$1:D1884, D$1:D1884&lt;&gt;""""))))-1), IF('To Order'!$A1885=COL"&amp;"UMNS($A1885:D1904), D1884&amp;RIGHT(INDIRECT(ADDRESS(ROW(D1885)-1, 'From Order'!$A1885)), 1), D1884))"),"RB")</f>
        <v>RB</v>
      </c>
      <c r="E1885" s="2" t="str">
        <f>IFERROR(__xludf.DUMMYFUNCTION("IF('From Order'!$A1885=COLUMNS($A1885:E1904), LEFT(INDEX(FILTER(E$1:E1884, E$1:E1884&lt;&gt;""""),COUNTA(FILTER(E$1:E1884, E$1:E1884&lt;&gt;""""))), LEN(INDEX(FILTER(E$1:E1884, E$1:E1884&lt;&gt;""""),COUNTA(FILTER(E$1:E1884, E$1:E1884&lt;&gt;""""))))-1), IF('To Order'!$A1885=COL"&amp;"UMNS($A1885:E1904), E1884&amp;RIGHT(INDIRECT(ADDRESS(ROW(E1885)-1, 'From Order'!$A1885)), 1), E1884))"),"CRGRRV")</f>
        <v>CRGRRV</v>
      </c>
      <c r="F1885" s="2" t="str">
        <f>IFERROR(__xludf.DUMMYFUNCTION("IF('From Order'!$A1885=COLUMNS($A1885:F1904), LEFT(INDEX(FILTER(F$1:F1884, F$1:F1884&lt;&gt;""""),COUNTA(FILTER(F$1:F1884, F$1:F1884&lt;&gt;""""))), LEN(INDEX(FILTER(F$1:F1884, F$1:F1884&lt;&gt;""""),COUNTA(FILTER(F$1:F1884, F$1:F1884&lt;&gt;""""))))-1), IF('To Order'!$A1885=COL"&amp;"UMNS($A1885:F1904), F1884&amp;RIGHT(INDIRECT(ADDRESS(ROW(F1885)-1, 'From Order'!$A1885)), 1), F1884))"),"LDSPBFLLWDDVQJPPSSTWZCSFHBB")</f>
        <v>LDSPBFLLWDDVQJPPSSTWZCSFHBB</v>
      </c>
      <c r="G1885" s="2" t="str">
        <f>IFERROR(__xludf.DUMMYFUNCTION("IF('From Order'!$A1885=COLUMNS($A1885:G1904), LEFT(INDEX(FILTER(G$1:G1884, G$1:G1884&lt;&gt;""""),COUNTA(FILTER(G$1:G1884, G$1:G1884&lt;&gt;""""))), LEN(INDEX(FILTER(G$1:G1884, G$1:G1884&lt;&gt;""""),COUNTA(FILTER(G$1:G1884, G$1:G1884&lt;&gt;""""))))-1), IF('To Order'!$A1885=COL"&amp;"UMNS($A1885:G1904), G1884&amp;RIGHT(INDIRECT(ADDRESS(ROW(G1885)-1, 'From Order'!$A1885)), 1), G1884))"),"MDJM")</f>
        <v>MDJM</v>
      </c>
      <c r="H1885" s="2" t="str">
        <f>IFERROR(__xludf.DUMMYFUNCTION("IF('From Order'!$A1885=COLUMNS($A1885:H1904), LEFT(INDEX(FILTER(H$1:H1884, H$1:H1884&lt;&gt;""""),COUNTA(FILTER(H$1:H1884, H$1:H1884&lt;&gt;""""))), LEN(INDEX(FILTER(H$1:H1884, H$1:H1884&lt;&gt;""""),COUNTA(FILTER(H$1:H1884, H$1:H1884&lt;&gt;""""))))-1), IF('To Order'!$A1885=COL"&amp;"UMNS($A1885:H1904), H1884&amp;RIGHT(INDIRECT(ADDRESS(ROW(H1885)-1, 'From Order'!$A1885)), 1), H1884))"),"")</f>
        <v/>
      </c>
      <c r="I1885" s="2" t="str">
        <f>IFERROR(__xludf.DUMMYFUNCTION("IF('From Order'!$A1885=COLUMNS($A1885:I1904), LEFT(INDEX(FILTER(I$1:I1884, I$1:I1884&lt;&gt;""""),COUNTA(FILTER(I$1:I1884, I$1:I1884&lt;&gt;""""))), LEN(INDEX(FILTER(I$1:I1884, I$1:I1884&lt;&gt;""""),COUNTA(FILTER(I$1:I1884, I$1:I1884&lt;&gt;""""))))-1), IF('To Order'!$A1885=COL"&amp;"UMNS($A1885:I1904), I1884&amp;RIGHT(INDIRECT(ADDRESS(ROW(I1885)-1, 'From Order'!$A1885)), 1), I1884))"),"")</f>
        <v/>
      </c>
    </row>
    <row r="1886">
      <c r="A1886" s="2" t="str">
        <f>IFERROR(__xludf.DUMMYFUNCTION("IF('From Order'!$A1886=COLUMNS($A1886:A1905), LEFT(INDEX(FILTER(A$1:A1885, A$1:A1885&lt;&gt;""""),COUNTA(FILTER(A$1:A1885, A$1:A1885&lt;&gt;""""))), LEN(INDEX(FILTER(A$1:A1885, A$1:A1885&lt;&gt;""""),COUNTA(FILTER(A$1:A1885, A$1:A1885&lt;&gt;""""))))-1), IF('To Order'!$A1886=COL"&amp;"UMNS($A1886:A1905), A1885&amp;RIGHT(INDIRECT(ADDRESS(ROW(A1886)-1, 'From Order'!$A1886)), 1), A1885))"),"CTRTQ")</f>
        <v>CTRTQ</v>
      </c>
      <c r="B1886" s="2" t="str">
        <f>IFERROR(__xludf.DUMMYFUNCTION("IF('From Order'!$A1886=COLUMNS($A1886:B1905), LEFT(INDEX(FILTER(B$1:B1885, B$1:B1885&lt;&gt;""""),COUNTA(FILTER(B$1:B1885, B$1:B1885&lt;&gt;""""))), LEN(INDEX(FILTER(B$1:B1885, B$1:B1885&lt;&gt;""""),COUNTA(FILTER(B$1:B1885, B$1:B1885&lt;&gt;""""))))-1), IF('To Order'!$A1886=COL"&amp;"UMNS($A1886:B1905), B1885&amp;RIGHT(INDIRECT(ADDRESS(ROW(B1886)-1, 'From Order'!$A1886)), 1), B1885))"),"GTTJ")</f>
        <v>GTTJ</v>
      </c>
      <c r="C1886" s="2" t="str">
        <f>IFERROR(__xludf.DUMMYFUNCTION("IF('From Order'!$A1886=COLUMNS($A1886:C1905), LEFT(INDEX(FILTER(C$1:C1885, C$1:C1885&lt;&gt;""""),COUNTA(FILTER(C$1:C1885, C$1:C1885&lt;&gt;""""))), LEN(INDEX(FILTER(C$1:C1885, C$1:C1885&lt;&gt;""""),COUNTA(FILTER(C$1:C1885, C$1:C1885&lt;&gt;""""))))-1), IF('To Order'!$A1886=COL"&amp;"UMNS($A1886:C1905), C1885&amp;RIGHT(INDIRECT(ADDRESS(ROW(C1886)-1, 'From Order'!$A1886)), 1), C1885))"),"DVDTMZHZ")</f>
        <v>DVDTMZHZ</v>
      </c>
      <c r="D1886" s="2" t="str">
        <f>IFERROR(__xludf.DUMMYFUNCTION("IF('From Order'!$A1886=COLUMNS($A1886:D1905), LEFT(INDEX(FILTER(D$1:D1885, D$1:D1885&lt;&gt;""""),COUNTA(FILTER(D$1:D1885, D$1:D1885&lt;&gt;""""))), LEN(INDEX(FILTER(D$1:D1885, D$1:D1885&lt;&gt;""""),COUNTA(FILTER(D$1:D1885, D$1:D1885&lt;&gt;""""))))-1), IF('To Order'!$A1886=COL"&amp;"UMNS($A1886:D1905), D1885&amp;RIGHT(INDIRECT(ADDRESS(ROW(D1886)-1, 'From Order'!$A1886)), 1), D1885))"),"RB")</f>
        <v>RB</v>
      </c>
      <c r="E1886" s="2" t="str">
        <f>IFERROR(__xludf.DUMMYFUNCTION("IF('From Order'!$A1886=COLUMNS($A1886:E1905), LEFT(INDEX(FILTER(E$1:E1885, E$1:E1885&lt;&gt;""""),COUNTA(FILTER(E$1:E1885, E$1:E1885&lt;&gt;""""))), LEN(INDEX(FILTER(E$1:E1885, E$1:E1885&lt;&gt;""""),COUNTA(FILTER(E$1:E1885, E$1:E1885&lt;&gt;""""))))-1), IF('To Order'!$A1886=COL"&amp;"UMNS($A1886:E1905), E1885&amp;RIGHT(INDIRECT(ADDRESS(ROW(E1886)-1, 'From Order'!$A1886)), 1), E1885))"),"CRGRR")</f>
        <v>CRGRR</v>
      </c>
      <c r="F1886" s="2" t="str">
        <f>IFERROR(__xludf.DUMMYFUNCTION("IF('From Order'!$A1886=COLUMNS($A1886:F1905), LEFT(INDEX(FILTER(F$1:F1885, F$1:F1885&lt;&gt;""""),COUNTA(FILTER(F$1:F1885, F$1:F1885&lt;&gt;""""))), LEN(INDEX(FILTER(F$1:F1885, F$1:F1885&lt;&gt;""""),COUNTA(FILTER(F$1:F1885, F$1:F1885&lt;&gt;""""))))-1), IF('To Order'!$A1886=COL"&amp;"UMNS($A1886:F1905), F1885&amp;RIGHT(INDIRECT(ADDRESS(ROW(F1886)-1, 'From Order'!$A1886)), 1), F1885))"),"LDSPBFLLWDDVQJPPSSTWZCSFHBBV")</f>
        <v>LDSPBFLLWDDVQJPPSSTWZCSFHBBV</v>
      </c>
      <c r="G1886" s="2" t="str">
        <f>IFERROR(__xludf.DUMMYFUNCTION("IF('From Order'!$A1886=COLUMNS($A1886:G1905), LEFT(INDEX(FILTER(G$1:G1885, G$1:G1885&lt;&gt;""""),COUNTA(FILTER(G$1:G1885, G$1:G1885&lt;&gt;""""))), LEN(INDEX(FILTER(G$1:G1885, G$1:G1885&lt;&gt;""""),COUNTA(FILTER(G$1:G1885, G$1:G1885&lt;&gt;""""))))-1), IF('To Order'!$A1886=COL"&amp;"UMNS($A1886:G1905), G1885&amp;RIGHT(INDIRECT(ADDRESS(ROW(G1886)-1, 'From Order'!$A1886)), 1), G1885))"),"MDJM")</f>
        <v>MDJM</v>
      </c>
      <c r="H1886" s="2" t="str">
        <f>IFERROR(__xludf.DUMMYFUNCTION("IF('From Order'!$A1886=COLUMNS($A1886:H1905), LEFT(INDEX(FILTER(H$1:H1885, H$1:H1885&lt;&gt;""""),COUNTA(FILTER(H$1:H1885, H$1:H1885&lt;&gt;""""))), LEN(INDEX(FILTER(H$1:H1885, H$1:H1885&lt;&gt;""""),COUNTA(FILTER(H$1:H1885, H$1:H1885&lt;&gt;""""))))-1), IF('To Order'!$A1886=COL"&amp;"UMNS($A1886:H1905), H1885&amp;RIGHT(INDIRECT(ADDRESS(ROW(H1886)-1, 'From Order'!$A1886)), 1), H1885))"),"")</f>
        <v/>
      </c>
      <c r="I1886" s="2" t="str">
        <f>IFERROR(__xludf.DUMMYFUNCTION("IF('From Order'!$A1886=COLUMNS($A1886:I1905), LEFT(INDEX(FILTER(I$1:I1885, I$1:I1885&lt;&gt;""""),COUNTA(FILTER(I$1:I1885, I$1:I1885&lt;&gt;""""))), LEN(INDEX(FILTER(I$1:I1885, I$1:I1885&lt;&gt;""""),COUNTA(FILTER(I$1:I1885, I$1:I1885&lt;&gt;""""))))-1), IF('To Order'!$A1886=COL"&amp;"UMNS($A1886:I1905), I1885&amp;RIGHT(INDIRECT(ADDRESS(ROW(I1886)-1, 'From Order'!$A1886)), 1), I1885))"),"")</f>
        <v/>
      </c>
    </row>
    <row r="1887">
      <c r="A1887" s="2" t="str">
        <f>IFERROR(__xludf.DUMMYFUNCTION("IF('From Order'!$A1887=COLUMNS($A1887:A1906), LEFT(INDEX(FILTER(A$1:A1886, A$1:A1886&lt;&gt;""""),COUNTA(FILTER(A$1:A1886, A$1:A1886&lt;&gt;""""))), LEN(INDEX(FILTER(A$1:A1886, A$1:A1886&lt;&gt;""""),COUNTA(FILTER(A$1:A1886, A$1:A1886&lt;&gt;""""))))-1), IF('To Order'!$A1887=COL"&amp;"UMNS($A1887:A1906), A1886&amp;RIGHT(INDIRECT(ADDRESS(ROW(A1887)-1, 'From Order'!$A1887)), 1), A1886))"),"CTRTQ")</f>
        <v>CTRTQ</v>
      </c>
      <c r="B1887" s="2" t="str">
        <f>IFERROR(__xludf.DUMMYFUNCTION("IF('From Order'!$A1887=COLUMNS($A1887:B1906), LEFT(INDEX(FILTER(B$1:B1886, B$1:B1886&lt;&gt;""""),COUNTA(FILTER(B$1:B1886, B$1:B1886&lt;&gt;""""))), LEN(INDEX(FILTER(B$1:B1886, B$1:B1886&lt;&gt;""""),COUNTA(FILTER(B$1:B1886, B$1:B1886&lt;&gt;""""))))-1), IF('To Order'!$A1887=COL"&amp;"UMNS($A1887:B1906), B1886&amp;RIGHT(INDIRECT(ADDRESS(ROW(B1887)-1, 'From Order'!$A1887)), 1), B1886))"),"GTTJ")</f>
        <v>GTTJ</v>
      </c>
      <c r="C1887" s="2" t="str">
        <f>IFERROR(__xludf.DUMMYFUNCTION("IF('From Order'!$A1887=COLUMNS($A1887:C1906), LEFT(INDEX(FILTER(C$1:C1886, C$1:C1886&lt;&gt;""""),COUNTA(FILTER(C$1:C1886, C$1:C1886&lt;&gt;""""))), LEN(INDEX(FILTER(C$1:C1886, C$1:C1886&lt;&gt;""""),COUNTA(FILTER(C$1:C1886, C$1:C1886&lt;&gt;""""))))-1), IF('To Order'!$A1887=COL"&amp;"UMNS($A1887:C1906), C1886&amp;RIGHT(INDIRECT(ADDRESS(ROW(C1887)-1, 'From Order'!$A1887)), 1), C1886))"),"DVDTMZHZ")</f>
        <v>DVDTMZHZ</v>
      </c>
      <c r="D1887" s="2" t="str">
        <f>IFERROR(__xludf.DUMMYFUNCTION("IF('From Order'!$A1887=COLUMNS($A1887:D1906), LEFT(INDEX(FILTER(D$1:D1886, D$1:D1886&lt;&gt;""""),COUNTA(FILTER(D$1:D1886, D$1:D1886&lt;&gt;""""))), LEN(INDEX(FILTER(D$1:D1886, D$1:D1886&lt;&gt;""""),COUNTA(FILTER(D$1:D1886, D$1:D1886&lt;&gt;""""))))-1), IF('To Order'!$A1887=COL"&amp;"UMNS($A1887:D1906), D1886&amp;RIGHT(INDIRECT(ADDRESS(ROW(D1887)-1, 'From Order'!$A1887)), 1), D1886))"),"RB")</f>
        <v>RB</v>
      </c>
      <c r="E1887" s="2" t="str">
        <f>IFERROR(__xludf.DUMMYFUNCTION("IF('From Order'!$A1887=COLUMNS($A1887:E1906), LEFT(INDEX(FILTER(E$1:E1886, E$1:E1886&lt;&gt;""""),COUNTA(FILTER(E$1:E1886, E$1:E1886&lt;&gt;""""))), LEN(INDEX(FILTER(E$1:E1886, E$1:E1886&lt;&gt;""""),COUNTA(FILTER(E$1:E1886, E$1:E1886&lt;&gt;""""))))-1), IF('To Order'!$A1887=COL"&amp;"UMNS($A1887:E1906), E1886&amp;RIGHT(INDIRECT(ADDRESS(ROW(E1887)-1, 'From Order'!$A1887)), 1), E1886))"),"CRGR")</f>
        <v>CRGR</v>
      </c>
      <c r="F1887" s="2" t="str">
        <f>IFERROR(__xludf.DUMMYFUNCTION("IF('From Order'!$A1887=COLUMNS($A1887:F1906), LEFT(INDEX(FILTER(F$1:F1886, F$1:F1886&lt;&gt;""""),COUNTA(FILTER(F$1:F1886, F$1:F1886&lt;&gt;""""))), LEN(INDEX(FILTER(F$1:F1886, F$1:F1886&lt;&gt;""""),COUNTA(FILTER(F$1:F1886, F$1:F1886&lt;&gt;""""))))-1), IF('To Order'!$A1887=COL"&amp;"UMNS($A1887:F1906), F1886&amp;RIGHT(INDIRECT(ADDRESS(ROW(F1887)-1, 'From Order'!$A1887)), 1), F1886))"),"LDSPBFLLWDDVQJPPSSTWZCSFHBBVR")</f>
        <v>LDSPBFLLWDDVQJPPSSTWZCSFHBBVR</v>
      </c>
      <c r="G1887" s="2" t="str">
        <f>IFERROR(__xludf.DUMMYFUNCTION("IF('From Order'!$A1887=COLUMNS($A1887:G1906), LEFT(INDEX(FILTER(G$1:G1886, G$1:G1886&lt;&gt;""""),COUNTA(FILTER(G$1:G1886, G$1:G1886&lt;&gt;""""))), LEN(INDEX(FILTER(G$1:G1886, G$1:G1886&lt;&gt;""""),COUNTA(FILTER(G$1:G1886, G$1:G1886&lt;&gt;""""))))-1), IF('To Order'!$A1887=COL"&amp;"UMNS($A1887:G1906), G1886&amp;RIGHT(INDIRECT(ADDRESS(ROW(G1887)-1, 'From Order'!$A1887)), 1), G1886))"),"MDJM")</f>
        <v>MDJM</v>
      </c>
      <c r="H1887" s="2" t="str">
        <f>IFERROR(__xludf.DUMMYFUNCTION("IF('From Order'!$A1887=COLUMNS($A1887:H1906), LEFT(INDEX(FILTER(H$1:H1886, H$1:H1886&lt;&gt;""""),COUNTA(FILTER(H$1:H1886, H$1:H1886&lt;&gt;""""))), LEN(INDEX(FILTER(H$1:H1886, H$1:H1886&lt;&gt;""""),COUNTA(FILTER(H$1:H1886, H$1:H1886&lt;&gt;""""))))-1), IF('To Order'!$A1887=COL"&amp;"UMNS($A1887:H1906), H1886&amp;RIGHT(INDIRECT(ADDRESS(ROW(H1887)-1, 'From Order'!$A1887)), 1), H1886))"),"")</f>
        <v/>
      </c>
      <c r="I1887" s="2" t="str">
        <f>IFERROR(__xludf.DUMMYFUNCTION("IF('From Order'!$A1887=COLUMNS($A1887:I1906), LEFT(INDEX(FILTER(I$1:I1886, I$1:I1886&lt;&gt;""""),COUNTA(FILTER(I$1:I1886, I$1:I1886&lt;&gt;""""))), LEN(INDEX(FILTER(I$1:I1886, I$1:I1886&lt;&gt;""""),COUNTA(FILTER(I$1:I1886, I$1:I1886&lt;&gt;""""))))-1), IF('To Order'!$A1887=COL"&amp;"UMNS($A1887:I1906), I1886&amp;RIGHT(INDIRECT(ADDRESS(ROW(I1887)-1, 'From Order'!$A1887)), 1), I1886))"),"")</f>
        <v/>
      </c>
    </row>
    <row r="1888">
      <c r="A1888" s="2" t="str">
        <f>IFERROR(__xludf.DUMMYFUNCTION("IF('From Order'!$A1888=COLUMNS($A1888:A1907), LEFT(INDEX(FILTER(A$1:A1887, A$1:A1887&lt;&gt;""""),COUNTA(FILTER(A$1:A1887, A$1:A1887&lt;&gt;""""))), LEN(INDEX(FILTER(A$1:A1887, A$1:A1887&lt;&gt;""""),COUNTA(FILTER(A$1:A1887, A$1:A1887&lt;&gt;""""))))-1), IF('To Order'!$A1888=COL"&amp;"UMNS($A1888:A1907), A1887&amp;RIGHT(INDIRECT(ADDRESS(ROW(A1888)-1, 'From Order'!$A1888)), 1), A1887))"),"CTRTQ")</f>
        <v>CTRTQ</v>
      </c>
      <c r="B1888" s="2" t="str">
        <f>IFERROR(__xludf.DUMMYFUNCTION("IF('From Order'!$A1888=COLUMNS($A1888:B1907), LEFT(INDEX(FILTER(B$1:B1887, B$1:B1887&lt;&gt;""""),COUNTA(FILTER(B$1:B1887, B$1:B1887&lt;&gt;""""))), LEN(INDEX(FILTER(B$1:B1887, B$1:B1887&lt;&gt;""""),COUNTA(FILTER(B$1:B1887, B$1:B1887&lt;&gt;""""))))-1), IF('To Order'!$A1888=COL"&amp;"UMNS($A1888:B1907), B1887&amp;RIGHT(INDIRECT(ADDRESS(ROW(B1888)-1, 'From Order'!$A1888)), 1), B1887))"),"GTTJ")</f>
        <v>GTTJ</v>
      </c>
      <c r="C1888" s="2" t="str">
        <f>IFERROR(__xludf.DUMMYFUNCTION("IF('From Order'!$A1888=COLUMNS($A1888:C1907), LEFT(INDEX(FILTER(C$1:C1887, C$1:C1887&lt;&gt;""""),COUNTA(FILTER(C$1:C1887, C$1:C1887&lt;&gt;""""))), LEN(INDEX(FILTER(C$1:C1887, C$1:C1887&lt;&gt;""""),COUNTA(FILTER(C$1:C1887, C$1:C1887&lt;&gt;""""))))-1), IF('To Order'!$A1888=COL"&amp;"UMNS($A1888:C1907), C1887&amp;RIGHT(INDIRECT(ADDRESS(ROW(C1888)-1, 'From Order'!$A1888)), 1), C1887))"),"DVDTMZHZ")</f>
        <v>DVDTMZHZ</v>
      </c>
      <c r="D1888" s="2" t="str">
        <f>IFERROR(__xludf.DUMMYFUNCTION("IF('From Order'!$A1888=COLUMNS($A1888:D1907), LEFT(INDEX(FILTER(D$1:D1887, D$1:D1887&lt;&gt;""""),COUNTA(FILTER(D$1:D1887, D$1:D1887&lt;&gt;""""))), LEN(INDEX(FILTER(D$1:D1887, D$1:D1887&lt;&gt;""""),COUNTA(FILTER(D$1:D1887, D$1:D1887&lt;&gt;""""))))-1), IF('To Order'!$A1888=COL"&amp;"UMNS($A1888:D1907), D1887&amp;RIGHT(INDIRECT(ADDRESS(ROW(D1888)-1, 'From Order'!$A1888)), 1), D1887))"),"RB")</f>
        <v>RB</v>
      </c>
      <c r="E1888" s="2" t="str">
        <f>IFERROR(__xludf.DUMMYFUNCTION("IF('From Order'!$A1888=COLUMNS($A1888:E1907), LEFT(INDEX(FILTER(E$1:E1887, E$1:E1887&lt;&gt;""""),COUNTA(FILTER(E$1:E1887, E$1:E1887&lt;&gt;""""))), LEN(INDEX(FILTER(E$1:E1887, E$1:E1887&lt;&gt;""""),COUNTA(FILTER(E$1:E1887, E$1:E1887&lt;&gt;""""))))-1), IF('To Order'!$A1888=COL"&amp;"UMNS($A1888:E1907), E1887&amp;RIGHT(INDIRECT(ADDRESS(ROW(E1888)-1, 'From Order'!$A1888)), 1), E1887))"),"CRG")</f>
        <v>CRG</v>
      </c>
      <c r="F1888" s="2" t="str">
        <f>IFERROR(__xludf.DUMMYFUNCTION("IF('From Order'!$A1888=COLUMNS($A1888:F1907), LEFT(INDEX(FILTER(F$1:F1887, F$1:F1887&lt;&gt;""""),COUNTA(FILTER(F$1:F1887, F$1:F1887&lt;&gt;""""))), LEN(INDEX(FILTER(F$1:F1887, F$1:F1887&lt;&gt;""""),COUNTA(FILTER(F$1:F1887, F$1:F1887&lt;&gt;""""))))-1), IF('To Order'!$A1888=COL"&amp;"UMNS($A1888:F1907), F1887&amp;RIGHT(INDIRECT(ADDRESS(ROW(F1888)-1, 'From Order'!$A1888)), 1), F1887))"),"LDSPBFLLWDDVQJPPSSTWZCSFHBBVRR")</f>
        <v>LDSPBFLLWDDVQJPPSSTWZCSFHBBVRR</v>
      </c>
      <c r="G1888" s="2" t="str">
        <f>IFERROR(__xludf.DUMMYFUNCTION("IF('From Order'!$A1888=COLUMNS($A1888:G1907), LEFT(INDEX(FILTER(G$1:G1887, G$1:G1887&lt;&gt;""""),COUNTA(FILTER(G$1:G1887, G$1:G1887&lt;&gt;""""))), LEN(INDEX(FILTER(G$1:G1887, G$1:G1887&lt;&gt;""""),COUNTA(FILTER(G$1:G1887, G$1:G1887&lt;&gt;""""))))-1), IF('To Order'!$A1888=COL"&amp;"UMNS($A1888:G1907), G1887&amp;RIGHT(INDIRECT(ADDRESS(ROW(G1888)-1, 'From Order'!$A1888)), 1), G1887))"),"MDJM")</f>
        <v>MDJM</v>
      </c>
      <c r="H1888" s="2" t="str">
        <f>IFERROR(__xludf.DUMMYFUNCTION("IF('From Order'!$A1888=COLUMNS($A1888:H1907), LEFT(INDEX(FILTER(H$1:H1887, H$1:H1887&lt;&gt;""""),COUNTA(FILTER(H$1:H1887, H$1:H1887&lt;&gt;""""))), LEN(INDEX(FILTER(H$1:H1887, H$1:H1887&lt;&gt;""""),COUNTA(FILTER(H$1:H1887, H$1:H1887&lt;&gt;""""))))-1), IF('To Order'!$A1888=COL"&amp;"UMNS($A1888:H1907), H1887&amp;RIGHT(INDIRECT(ADDRESS(ROW(H1888)-1, 'From Order'!$A1888)), 1), H1887))"),"")</f>
        <v/>
      </c>
      <c r="I1888" s="2" t="str">
        <f>IFERROR(__xludf.DUMMYFUNCTION("IF('From Order'!$A1888=COLUMNS($A1888:I1907), LEFT(INDEX(FILTER(I$1:I1887, I$1:I1887&lt;&gt;""""),COUNTA(FILTER(I$1:I1887, I$1:I1887&lt;&gt;""""))), LEN(INDEX(FILTER(I$1:I1887, I$1:I1887&lt;&gt;""""),COUNTA(FILTER(I$1:I1887, I$1:I1887&lt;&gt;""""))))-1), IF('To Order'!$A1888=COL"&amp;"UMNS($A1888:I1907), I1887&amp;RIGHT(INDIRECT(ADDRESS(ROW(I1888)-1, 'From Order'!$A1888)), 1), I1887))"),"")</f>
        <v/>
      </c>
    </row>
    <row r="1889">
      <c r="A1889" s="2" t="str">
        <f>IFERROR(__xludf.DUMMYFUNCTION("IF('From Order'!$A1889=COLUMNS($A1889:A1908), LEFT(INDEX(FILTER(A$1:A1888, A$1:A1888&lt;&gt;""""),COUNTA(FILTER(A$1:A1888, A$1:A1888&lt;&gt;""""))), LEN(INDEX(FILTER(A$1:A1888, A$1:A1888&lt;&gt;""""),COUNTA(FILTER(A$1:A1888, A$1:A1888&lt;&gt;""""))))-1), IF('To Order'!$A1889=COL"&amp;"UMNS($A1889:A1908), A1888&amp;RIGHT(INDIRECT(ADDRESS(ROW(A1889)-1, 'From Order'!$A1889)), 1), A1888))"),"CTRT")</f>
        <v>CTRT</v>
      </c>
      <c r="B1889" s="2" t="str">
        <f>IFERROR(__xludf.DUMMYFUNCTION("IF('From Order'!$A1889=COLUMNS($A1889:B1908), LEFT(INDEX(FILTER(B$1:B1888, B$1:B1888&lt;&gt;""""),COUNTA(FILTER(B$1:B1888, B$1:B1888&lt;&gt;""""))), LEN(INDEX(FILTER(B$1:B1888, B$1:B1888&lt;&gt;""""),COUNTA(FILTER(B$1:B1888, B$1:B1888&lt;&gt;""""))))-1), IF('To Order'!$A1889=COL"&amp;"UMNS($A1889:B1908), B1888&amp;RIGHT(INDIRECT(ADDRESS(ROW(B1889)-1, 'From Order'!$A1889)), 1), B1888))"),"GTTJ")</f>
        <v>GTTJ</v>
      </c>
      <c r="C1889" s="2" t="str">
        <f>IFERROR(__xludf.DUMMYFUNCTION("IF('From Order'!$A1889=COLUMNS($A1889:C1908), LEFT(INDEX(FILTER(C$1:C1888, C$1:C1888&lt;&gt;""""),COUNTA(FILTER(C$1:C1888, C$1:C1888&lt;&gt;""""))), LEN(INDEX(FILTER(C$1:C1888, C$1:C1888&lt;&gt;""""),COUNTA(FILTER(C$1:C1888, C$1:C1888&lt;&gt;""""))))-1), IF('To Order'!$A1889=COL"&amp;"UMNS($A1889:C1908), C1888&amp;RIGHT(INDIRECT(ADDRESS(ROW(C1889)-1, 'From Order'!$A1889)), 1), C1888))"),"DVDTMZHZ")</f>
        <v>DVDTMZHZ</v>
      </c>
      <c r="D1889" s="2" t="str">
        <f>IFERROR(__xludf.DUMMYFUNCTION("IF('From Order'!$A1889=COLUMNS($A1889:D1908), LEFT(INDEX(FILTER(D$1:D1888, D$1:D1888&lt;&gt;""""),COUNTA(FILTER(D$1:D1888, D$1:D1888&lt;&gt;""""))), LEN(INDEX(FILTER(D$1:D1888, D$1:D1888&lt;&gt;""""),COUNTA(FILTER(D$1:D1888, D$1:D1888&lt;&gt;""""))))-1), IF('To Order'!$A1889=COL"&amp;"UMNS($A1889:D1908), D1888&amp;RIGHT(INDIRECT(ADDRESS(ROW(D1889)-1, 'From Order'!$A1889)), 1), D1888))"),"RB")</f>
        <v>RB</v>
      </c>
      <c r="E1889" s="2" t="str">
        <f>IFERROR(__xludf.DUMMYFUNCTION("IF('From Order'!$A1889=COLUMNS($A1889:E1908), LEFT(INDEX(FILTER(E$1:E1888, E$1:E1888&lt;&gt;""""),COUNTA(FILTER(E$1:E1888, E$1:E1888&lt;&gt;""""))), LEN(INDEX(FILTER(E$1:E1888, E$1:E1888&lt;&gt;""""),COUNTA(FILTER(E$1:E1888, E$1:E1888&lt;&gt;""""))))-1), IF('To Order'!$A1889=COL"&amp;"UMNS($A1889:E1908), E1888&amp;RIGHT(INDIRECT(ADDRESS(ROW(E1889)-1, 'From Order'!$A1889)), 1), E1888))"),"CRG")</f>
        <v>CRG</v>
      </c>
      <c r="F1889" s="2" t="str">
        <f>IFERROR(__xludf.DUMMYFUNCTION("IF('From Order'!$A1889=COLUMNS($A1889:F1908), LEFT(INDEX(FILTER(F$1:F1888, F$1:F1888&lt;&gt;""""),COUNTA(FILTER(F$1:F1888, F$1:F1888&lt;&gt;""""))), LEN(INDEX(FILTER(F$1:F1888, F$1:F1888&lt;&gt;""""),COUNTA(FILTER(F$1:F1888, F$1:F1888&lt;&gt;""""))))-1), IF('To Order'!$A1889=COL"&amp;"UMNS($A1889:F1908), F1888&amp;RIGHT(INDIRECT(ADDRESS(ROW(F1889)-1, 'From Order'!$A1889)), 1), F1888))"),"LDSPBFLLWDDVQJPPSSTWZCSFHBBVRR")</f>
        <v>LDSPBFLLWDDVQJPPSSTWZCSFHBBVRR</v>
      </c>
      <c r="G1889" s="2" t="str">
        <f>IFERROR(__xludf.DUMMYFUNCTION("IF('From Order'!$A1889=COLUMNS($A1889:G1908), LEFT(INDEX(FILTER(G$1:G1888, G$1:G1888&lt;&gt;""""),COUNTA(FILTER(G$1:G1888, G$1:G1888&lt;&gt;""""))), LEN(INDEX(FILTER(G$1:G1888, G$1:G1888&lt;&gt;""""),COUNTA(FILTER(G$1:G1888, G$1:G1888&lt;&gt;""""))))-1), IF('To Order'!$A1889=COL"&amp;"UMNS($A1889:G1908), G1888&amp;RIGHT(INDIRECT(ADDRESS(ROW(G1889)-1, 'From Order'!$A1889)), 1), G1888))"),"MDJM")</f>
        <v>MDJM</v>
      </c>
      <c r="H1889" s="2" t="str">
        <f>IFERROR(__xludf.DUMMYFUNCTION("IF('From Order'!$A1889=COLUMNS($A1889:H1908), LEFT(INDEX(FILTER(H$1:H1888, H$1:H1888&lt;&gt;""""),COUNTA(FILTER(H$1:H1888, H$1:H1888&lt;&gt;""""))), LEN(INDEX(FILTER(H$1:H1888, H$1:H1888&lt;&gt;""""),COUNTA(FILTER(H$1:H1888, H$1:H1888&lt;&gt;""""))))-1), IF('To Order'!$A1889=COL"&amp;"UMNS($A1889:H1908), H1888&amp;RIGHT(INDIRECT(ADDRESS(ROW(H1889)-1, 'From Order'!$A1889)), 1), H1888))"),"Q")</f>
        <v>Q</v>
      </c>
      <c r="I1889" s="2" t="str">
        <f>IFERROR(__xludf.DUMMYFUNCTION("IF('From Order'!$A1889=COLUMNS($A1889:I1908), LEFT(INDEX(FILTER(I$1:I1888, I$1:I1888&lt;&gt;""""),COUNTA(FILTER(I$1:I1888, I$1:I1888&lt;&gt;""""))), LEN(INDEX(FILTER(I$1:I1888, I$1:I1888&lt;&gt;""""),COUNTA(FILTER(I$1:I1888, I$1:I1888&lt;&gt;""""))))-1), IF('To Order'!$A1889=COL"&amp;"UMNS($A1889:I1908), I1888&amp;RIGHT(INDIRECT(ADDRESS(ROW(I1889)-1, 'From Order'!$A1889)), 1), I1888))"),"")</f>
        <v/>
      </c>
    </row>
    <row r="1890">
      <c r="A1890" s="2" t="str">
        <f>IFERROR(__xludf.DUMMYFUNCTION("IF('From Order'!$A1890=COLUMNS($A1890:A1909), LEFT(INDEX(FILTER(A$1:A1889, A$1:A1889&lt;&gt;""""),COUNTA(FILTER(A$1:A1889, A$1:A1889&lt;&gt;""""))), LEN(INDEX(FILTER(A$1:A1889, A$1:A1889&lt;&gt;""""),COUNTA(FILTER(A$1:A1889, A$1:A1889&lt;&gt;""""))))-1), IF('To Order'!$A1890=COL"&amp;"UMNS($A1890:A1909), A1889&amp;RIGHT(INDIRECT(ADDRESS(ROW(A1890)-1, 'From Order'!$A1890)), 1), A1889))"),"CTR")</f>
        <v>CTR</v>
      </c>
      <c r="B1890" s="2" t="str">
        <f>IFERROR(__xludf.DUMMYFUNCTION("IF('From Order'!$A1890=COLUMNS($A1890:B1909), LEFT(INDEX(FILTER(B$1:B1889, B$1:B1889&lt;&gt;""""),COUNTA(FILTER(B$1:B1889, B$1:B1889&lt;&gt;""""))), LEN(INDEX(FILTER(B$1:B1889, B$1:B1889&lt;&gt;""""),COUNTA(FILTER(B$1:B1889, B$1:B1889&lt;&gt;""""))))-1), IF('To Order'!$A1890=COL"&amp;"UMNS($A1890:B1909), B1889&amp;RIGHT(INDIRECT(ADDRESS(ROW(B1890)-1, 'From Order'!$A1890)), 1), B1889))"),"GTTJ")</f>
        <v>GTTJ</v>
      </c>
      <c r="C1890" s="2" t="str">
        <f>IFERROR(__xludf.DUMMYFUNCTION("IF('From Order'!$A1890=COLUMNS($A1890:C1909), LEFT(INDEX(FILTER(C$1:C1889, C$1:C1889&lt;&gt;""""),COUNTA(FILTER(C$1:C1889, C$1:C1889&lt;&gt;""""))), LEN(INDEX(FILTER(C$1:C1889, C$1:C1889&lt;&gt;""""),COUNTA(FILTER(C$1:C1889, C$1:C1889&lt;&gt;""""))))-1), IF('To Order'!$A1890=COL"&amp;"UMNS($A1890:C1909), C1889&amp;RIGHT(INDIRECT(ADDRESS(ROW(C1890)-1, 'From Order'!$A1890)), 1), C1889))"),"DVDTMZHZ")</f>
        <v>DVDTMZHZ</v>
      </c>
      <c r="D1890" s="2" t="str">
        <f>IFERROR(__xludf.DUMMYFUNCTION("IF('From Order'!$A1890=COLUMNS($A1890:D1909), LEFT(INDEX(FILTER(D$1:D1889, D$1:D1889&lt;&gt;""""),COUNTA(FILTER(D$1:D1889, D$1:D1889&lt;&gt;""""))), LEN(INDEX(FILTER(D$1:D1889, D$1:D1889&lt;&gt;""""),COUNTA(FILTER(D$1:D1889, D$1:D1889&lt;&gt;""""))))-1), IF('To Order'!$A1890=COL"&amp;"UMNS($A1890:D1909), D1889&amp;RIGHT(INDIRECT(ADDRESS(ROW(D1890)-1, 'From Order'!$A1890)), 1), D1889))"),"RB")</f>
        <v>RB</v>
      </c>
      <c r="E1890" s="2" t="str">
        <f>IFERROR(__xludf.DUMMYFUNCTION("IF('From Order'!$A1890=COLUMNS($A1890:E1909), LEFT(INDEX(FILTER(E$1:E1889, E$1:E1889&lt;&gt;""""),COUNTA(FILTER(E$1:E1889, E$1:E1889&lt;&gt;""""))), LEN(INDEX(FILTER(E$1:E1889, E$1:E1889&lt;&gt;""""),COUNTA(FILTER(E$1:E1889, E$1:E1889&lt;&gt;""""))))-1), IF('To Order'!$A1890=COL"&amp;"UMNS($A1890:E1909), E1889&amp;RIGHT(INDIRECT(ADDRESS(ROW(E1890)-1, 'From Order'!$A1890)), 1), E1889))"),"CRG")</f>
        <v>CRG</v>
      </c>
      <c r="F1890" s="2" t="str">
        <f>IFERROR(__xludf.DUMMYFUNCTION("IF('From Order'!$A1890=COLUMNS($A1890:F1909), LEFT(INDEX(FILTER(F$1:F1889, F$1:F1889&lt;&gt;""""),COUNTA(FILTER(F$1:F1889, F$1:F1889&lt;&gt;""""))), LEN(INDEX(FILTER(F$1:F1889, F$1:F1889&lt;&gt;""""),COUNTA(FILTER(F$1:F1889, F$1:F1889&lt;&gt;""""))))-1), IF('To Order'!$A1890=COL"&amp;"UMNS($A1890:F1909), F1889&amp;RIGHT(INDIRECT(ADDRESS(ROW(F1890)-1, 'From Order'!$A1890)), 1), F1889))"),"LDSPBFLLWDDVQJPPSSTWZCSFHBBVRR")</f>
        <v>LDSPBFLLWDDVQJPPSSTWZCSFHBBVRR</v>
      </c>
      <c r="G1890" s="2" t="str">
        <f>IFERROR(__xludf.DUMMYFUNCTION("IF('From Order'!$A1890=COLUMNS($A1890:G1909), LEFT(INDEX(FILTER(G$1:G1889, G$1:G1889&lt;&gt;""""),COUNTA(FILTER(G$1:G1889, G$1:G1889&lt;&gt;""""))), LEN(INDEX(FILTER(G$1:G1889, G$1:G1889&lt;&gt;""""),COUNTA(FILTER(G$1:G1889, G$1:G1889&lt;&gt;""""))))-1), IF('To Order'!$A1890=COL"&amp;"UMNS($A1890:G1909), G1889&amp;RIGHT(INDIRECT(ADDRESS(ROW(G1890)-1, 'From Order'!$A1890)), 1), G1889))"),"MDJM")</f>
        <v>MDJM</v>
      </c>
      <c r="H1890" s="2" t="str">
        <f>IFERROR(__xludf.DUMMYFUNCTION("IF('From Order'!$A1890=COLUMNS($A1890:H1909), LEFT(INDEX(FILTER(H$1:H1889, H$1:H1889&lt;&gt;""""),COUNTA(FILTER(H$1:H1889, H$1:H1889&lt;&gt;""""))), LEN(INDEX(FILTER(H$1:H1889, H$1:H1889&lt;&gt;""""),COUNTA(FILTER(H$1:H1889, H$1:H1889&lt;&gt;""""))))-1), IF('To Order'!$A1890=COL"&amp;"UMNS($A1890:H1909), H1889&amp;RIGHT(INDIRECT(ADDRESS(ROW(H1890)-1, 'From Order'!$A1890)), 1), H1889))"),"QT")</f>
        <v>QT</v>
      </c>
      <c r="I1890" s="2" t="str">
        <f>IFERROR(__xludf.DUMMYFUNCTION("IF('From Order'!$A1890=COLUMNS($A1890:I1909), LEFT(INDEX(FILTER(I$1:I1889, I$1:I1889&lt;&gt;""""),COUNTA(FILTER(I$1:I1889, I$1:I1889&lt;&gt;""""))), LEN(INDEX(FILTER(I$1:I1889, I$1:I1889&lt;&gt;""""),COUNTA(FILTER(I$1:I1889, I$1:I1889&lt;&gt;""""))))-1), IF('To Order'!$A1890=COL"&amp;"UMNS($A1890:I1909), I1889&amp;RIGHT(INDIRECT(ADDRESS(ROW(I1890)-1, 'From Order'!$A1890)), 1), I1889))"),"")</f>
        <v/>
      </c>
    </row>
    <row r="1891">
      <c r="A1891" s="2" t="str">
        <f>IFERROR(__xludf.DUMMYFUNCTION("IF('From Order'!$A1891=COLUMNS($A1891:A1910), LEFT(INDEX(FILTER(A$1:A1890, A$1:A1890&lt;&gt;""""),COUNTA(FILTER(A$1:A1890, A$1:A1890&lt;&gt;""""))), LEN(INDEX(FILTER(A$1:A1890, A$1:A1890&lt;&gt;""""),COUNTA(FILTER(A$1:A1890, A$1:A1890&lt;&gt;""""))))-1), IF('To Order'!$A1891=COL"&amp;"UMNS($A1891:A1910), A1890&amp;RIGHT(INDIRECT(ADDRESS(ROW(A1891)-1, 'From Order'!$A1891)), 1), A1890))"),"CT")</f>
        <v>CT</v>
      </c>
      <c r="B1891" s="2" t="str">
        <f>IFERROR(__xludf.DUMMYFUNCTION("IF('From Order'!$A1891=COLUMNS($A1891:B1910), LEFT(INDEX(FILTER(B$1:B1890, B$1:B1890&lt;&gt;""""),COUNTA(FILTER(B$1:B1890, B$1:B1890&lt;&gt;""""))), LEN(INDEX(FILTER(B$1:B1890, B$1:B1890&lt;&gt;""""),COUNTA(FILTER(B$1:B1890, B$1:B1890&lt;&gt;""""))))-1), IF('To Order'!$A1891=COL"&amp;"UMNS($A1891:B1910), B1890&amp;RIGHT(INDIRECT(ADDRESS(ROW(B1891)-1, 'From Order'!$A1891)), 1), B1890))"),"GTTJ")</f>
        <v>GTTJ</v>
      </c>
      <c r="C1891" s="2" t="str">
        <f>IFERROR(__xludf.DUMMYFUNCTION("IF('From Order'!$A1891=COLUMNS($A1891:C1910), LEFT(INDEX(FILTER(C$1:C1890, C$1:C1890&lt;&gt;""""),COUNTA(FILTER(C$1:C1890, C$1:C1890&lt;&gt;""""))), LEN(INDEX(FILTER(C$1:C1890, C$1:C1890&lt;&gt;""""),COUNTA(FILTER(C$1:C1890, C$1:C1890&lt;&gt;""""))))-1), IF('To Order'!$A1891=COL"&amp;"UMNS($A1891:C1910), C1890&amp;RIGHT(INDIRECT(ADDRESS(ROW(C1891)-1, 'From Order'!$A1891)), 1), C1890))"),"DVDTMZHZ")</f>
        <v>DVDTMZHZ</v>
      </c>
      <c r="D1891" s="2" t="str">
        <f>IFERROR(__xludf.DUMMYFUNCTION("IF('From Order'!$A1891=COLUMNS($A1891:D1910), LEFT(INDEX(FILTER(D$1:D1890, D$1:D1890&lt;&gt;""""),COUNTA(FILTER(D$1:D1890, D$1:D1890&lt;&gt;""""))), LEN(INDEX(FILTER(D$1:D1890, D$1:D1890&lt;&gt;""""),COUNTA(FILTER(D$1:D1890, D$1:D1890&lt;&gt;""""))))-1), IF('To Order'!$A1891=COL"&amp;"UMNS($A1891:D1910), D1890&amp;RIGHT(INDIRECT(ADDRESS(ROW(D1891)-1, 'From Order'!$A1891)), 1), D1890))"),"RB")</f>
        <v>RB</v>
      </c>
      <c r="E1891" s="2" t="str">
        <f>IFERROR(__xludf.DUMMYFUNCTION("IF('From Order'!$A1891=COLUMNS($A1891:E1910), LEFT(INDEX(FILTER(E$1:E1890, E$1:E1890&lt;&gt;""""),COUNTA(FILTER(E$1:E1890, E$1:E1890&lt;&gt;""""))), LEN(INDEX(FILTER(E$1:E1890, E$1:E1890&lt;&gt;""""),COUNTA(FILTER(E$1:E1890, E$1:E1890&lt;&gt;""""))))-1), IF('To Order'!$A1891=COL"&amp;"UMNS($A1891:E1910), E1890&amp;RIGHT(INDIRECT(ADDRESS(ROW(E1891)-1, 'From Order'!$A1891)), 1), E1890))"),"CRG")</f>
        <v>CRG</v>
      </c>
      <c r="F1891" s="2" t="str">
        <f>IFERROR(__xludf.DUMMYFUNCTION("IF('From Order'!$A1891=COLUMNS($A1891:F1910), LEFT(INDEX(FILTER(F$1:F1890, F$1:F1890&lt;&gt;""""),COUNTA(FILTER(F$1:F1890, F$1:F1890&lt;&gt;""""))), LEN(INDEX(FILTER(F$1:F1890, F$1:F1890&lt;&gt;""""),COUNTA(FILTER(F$1:F1890, F$1:F1890&lt;&gt;""""))))-1), IF('To Order'!$A1891=COL"&amp;"UMNS($A1891:F1910), F1890&amp;RIGHT(INDIRECT(ADDRESS(ROW(F1891)-1, 'From Order'!$A1891)), 1), F1890))"),"LDSPBFLLWDDVQJPPSSTWZCSFHBBVRR")</f>
        <v>LDSPBFLLWDDVQJPPSSTWZCSFHBBVRR</v>
      </c>
      <c r="G1891" s="2" t="str">
        <f>IFERROR(__xludf.DUMMYFUNCTION("IF('From Order'!$A1891=COLUMNS($A1891:G1910), LEFT(INDEX(FILTER(G$1:G1890, G$1:G1890&lt;&gt;""""),COUNTA(FILTER(G$1:G1890, G$1:G1890&lt;&gt;""""))), LEN(INDEX(FILTER(G$1:G1890, G$1:G1890&lt;&gt;""""),COUNTA(FILTER(G$1:G1890, G$1:G1890&lt;&gt;""""))))-1), IF('To Order'!$A1891=COL"&amp;"UMNS($A1891:G1910), G1890&amp;RIGHT(INDIRECT(ADDRESS(ROW(G1891)-1, 'From Order'!$A1891)), 1), G1890))"),"MDJM")</f>
        <v>MDJM</v>
      </c>
      <c r="H1891" s="2" t="str">
        <f>IFERROR(__xludf.DUMMYFUNCTION("IF('From Order'!$A1891=COLUMNS($A1891:H1910), LEFT(INDEX(FILTER(H$1:H1890, H$1:H1890&lt;&gt;""""),COUNTA(FILTER(H$1:H1890, H$1:H1890&lt;&gt;""""))), LEN(INDEX(FILTER(H$1:H1890, H$1:H1890&lt;&gt;""""),COUNTA(FILTER(H$1:H1890, H$1:H1890&lt;&gt;""""))))-1), IF('To Order'!$A1891=COL"&amp;"UMNS($A1891:H1910), H1890&amp;RIGHT(INDIRECT(ADDRESS(ROW(H1891)-1, 'From Order'!$A1891)), 1), H1890))"),"QTR")</f>
        <v>QTR</v>
      </c>
      <c r="I1891" s="2" t="str">
        <f>IFERROR(__xludf.DUMMYFUNCTION("IF('From Order'!$A1891=COLUMNS($A1891:I1910), LEFT(INDEX(FILTER(I$1:I1890, I$1:I1890&lt;&gt;""""),COUNTA(FILTER(I$1:I1890, I$1:I1890&lt;&gt;""""))), LEN(INDEX(FILTER(I$1:I1890, I$1:I1890&lt;&gt;""""),COUNTA(FILTER(I$1:I1890, I$1:I1890&lt;&gt;""""))))-1), IF('To Order'!$A1891=COL"&amp;"UMNS($A1891:I1910), I1890&amp;RIGHT(INDIRECT(ADDRESS(ROW(I1891)-1, 'From Order'!$A1891)), 1), I1890))"),"")</f>
        <v/>
      </c>
    </row>
    <row r="1892">
      <c r="A1892" s="2" t="str">
        <f>IFERROR(__xludf.DUMMYFUNCTION("IF('From Order'!$A1892=COLUMNS($A1892:A1911), LEFT(INDEX(FILTER(A$1:A1891, A$1:A1891&lt;&gt;""""),COUNTA(FILTER(A$1:A1891, A$1:A1891&lt;&gt;""""))), LEN(INDEX(FILTER(A$1:A1891, A$1:A1891&lt;&gt;""""),COUNTA(FILTER(A$1:A1891, A$1:A1891&lt;&gt;""""))))-1), IF('To Order'!$A1892=COL"&amp;"UMNS($A1892:A1911), A1891&amp;RIGHT(INDIRECT(ADDRESS(ROW(A1892)-1, 'From Order'!$A1892)), 1), A1891))"),"C")</f>
        <v>C</v>
      </c>
      <c r="B1892" s="2" t="str">
        <f>IFERROR(__xludf.DUMMYFUNCTION("IF('From Order'!$A1892=COLUMNS($A1892:B1911), LEFT(INDEX(FILTER(B$1:B1891, B$1:B1891&lt;&gt;""""),COUNTA(FILTER(B$1:B1891, B$1:B1891&lt;&gt;""""))), LEN(INDEX(FILTER(B$1:B1891, B$1:B1891&lt;&gt;""""),COUNTA(FILTER(B$1:B1891, B$1:B1891&lt;&gt;""""))))-1), IF('To Order'!$A1892=COL"&amp;"UMNS($A1892:B1911), B1891&amp;RIGHT(INDIRECT(ADDRESS(ROW(B1892)-1, 'From Order'!$A1892)), 1), B1891))"),"GTTJ")</f>
        <v>GTTJ</v>
      </c>
      <c r="C1892" s="2" t="str">
        <f>IFERROR(__xludf.DUMMYFUNCTION("IF('From Order'!$A1892=COLUMNS($A1892:C1911), LEFT(INDEX(FILTER(C$1:C1891, C$1:C1891&lt;&gt;""""),COUNTA(FILTER(C$1:C1891, C$1:C1891&lt;&gt;""""))), LEN(INDEX(FILTER(C$1:C1891, C$1:C1891&lt;&gt;""""),COUNTA(FILTER(C$1:C1891, C$1:C1891&lt;&gt;""""))))-1), IF('To Order'!$A1892=COL"&amp;"UMNS($A1892:C1911), C1891&amp;RIGHT(INDIRECT(ADDRESS(ROW(C1892)-1, 'From Order'!$A1892)), 1), C1891))"),"DVDTMZHZ")</f>
        <v>DVDTMZHZ</v>
      </c>
      <c r="D1892" s="2" t="str">
        <f>IFERROR(__xludf.DUMMYFUNCTION("IF('From Order'!$A1892=COLUMNS($A1892:D1911), LEFT(INDEX(FILTER(D$1:D1891, D$1:D1891&lt;&gt;""""),COUNTA(FILTER(D$1:D1891, D$1:D1891&lt;&gt;""""))), LEN(INDEX(FILTER(D$1:D1891, D$1:D1891&lt;&gt;""""),COUNTA(FILTER(D$1:D1891, D$1:D1891&lt;&gt;""""))))-1), IF('To Order'!$A1892=COL"&amp;"UMNS($A1892:D1911), D1891&amp;RIGHT(INDIRECT(ADDRESS(ROW(D1892)-1, 'From Order'!$A1892)), 1), D1891))"),"RB")</f>
        <v>RB</v>
      </c>
      <c r="E1892" s="2" t="str">
        <f>IFERROR(__xludf.DUMMYFUNCTION("IF('From Order'!$A1892=COLUMNS($A1892:E1911), LEFT(INDEX(FILTER(E$1:E1891, E$1:E1891&lt;&gt;""""),COUNTA(FILTER(E$1:E1891, E$1:E1891&lt;&gt;""""))), LEN(INDEX(FILTER(E$1:E1891, E$1:E1891&lt;&gt;""""),COUNTA(FILTER(E$1:E1891, E$1:E1891&lt;&gt;""""))))-1), IF('To Order'!$A1892=COL"&amp;"UMNS($A1892:E1911), E1891&amp;RIGHT(INDIRECT(ADDRESS(ROW(E1892)-1, 'From Order'!$A1892)), 1), E1891))"),"CRG")</f>
        <v>CRG</v>
      </c>
      <c r="F1892" s="2" t="str">
        <f>IFERROR(__xludf.DUMMYFUNCTION("IF('From Order'!$A1892=COLUMNS($A1892:F1911), LEFT(INDEX(FILTER(F$1:F1891, F$1:F1891&lt;&gt;""""),COUNTA(FILTER(F$1:F1891, F$1:F1891&lt;&gt;""""))), LEN(INDEX(FILTER(F$1:F1891, F$1:F1891&lt;&gt;""""),COUNTA(FILTER(F$1:F1891, F$1:F1891&lt;&gt;""""))))-1), IF('To Order'!$A1892=COL"&amp;"UMNS($A1892:F1911), F1891&amp;RIGHT(INDIRECT(ADDRESS(ROW(F1892)-1, 'From Order'!$A1892)), 1), F1891))"),"LDSPBFLLWDDVQJPPSSTWZCSFHBBVRR")</f>
        <v>LDSPBFLLWDDVQJPPSSTWZCSFHBBVRR</v>
      </c>
      <c r="G1892" s="2" t="str">
        <f>IFERROR(__xludf.DUMMYFUNCTION("IF('From Order'!$A1892=COLUMNS($A1892:G1911), LEFT(INDEX(FILTER(G$1:G1891, G$1:G1891&lt;&gt;""""),COUNTA(FILTER(G$1:G1891, G$1:G1891&lt;&gt;""""))), LEN(INDEX(FILTER(G$1:G1891, G$1:G1891&lt;&gt;""""),COUNTA(FILTER(G$1:G1891, G$1:G1891&lt;&gt;""""))))-1), IF('To Order'!$A1892=COL"&amp;"UMNS($A1892:G1911), G1891&amp;RIGHT(INDIRECT(ADDRESS(ROW(G1892)-1, 'From Order'!$A1892)), 1), G1891))"),"MDJM")</f>
        <v>MDJM</v>
      </c>
      <c r="H1892" s="2" t="str">
        <f>IFERROR(__xludf.DUMMYFUNCTION("IF('From Order'!$A1892=COLUMNS($A1892:H1911), LEFT(INDEX(FILTER(H$1:H1891, H$1:H1891&lt;&gt;""""),COUNTA(FILTER(H$1:H1891, H$1:H1891&lt;&gt;""""))), LEN(INDEX(FILTER(H$1:H1891, H$1:H1891&lt;&gt;""""),COUNTA(FILTER(H$1:H1891, H$1:H1891&lt;&gt;""""))))-1), IF('To Order'!$A1892=COL"&amp;"UMNS($A1892:H1911), H1891&amp;RIGHT(INDIRECT(ADDRESS(ROW(H1892)-1, 'From Order'!$A1892)), 1), H1891))"),"QTRT")</f>
        <v>QTRT</v>
      </c>
      <c r="I1892" s="2" t="str">
        <f>IFERROR(__xludf.DUMMYFUNCTION("IF('From Order'!$A1892=COLUMNS($A1892:I1911), LEFT(INDEX(FILTER(I$1:I1891, I$1:I1891&lt;&gt;""""),COUNTA(FILTER(I$1:I1891, I$1:I1891&lt;&gt;""""))), LEN(INDEX(FILTER(I$1:I1891, I$1:I1891&lt;&gt;""""),COUNTA(FILTER(I$1:I1891, I$1:I1891&lt;&gt;""""))))-1), IF('To Order'!$A1892=COL"&amp;"UMNS($A1892:I1911), I1891&amp;RIGHT(INDIRECT(ADDRESS(ROW(I1892)-1, 'From Order'!$A1892)), 1), I1891))"),"")</f>
        <v/>
      </c>
    </row>
    <row r="1893">
      <c r="A1893" s="2" t="str">
        <f>IFERROR(__xludf.DUMMYFUNCTION("IF('From Order'!$A1893=COLUMNS($A1893:A1912), LEFT(INDEX(FILTER(A$1:A1892, A$1:A1892&lt;&gt;""""),COUNTA(FILTER(A$1:A1892, A$1:A1892&lt;&gt;""""))), LEN(INDEX(FILTER(A$1:A1892, A$1:A1892&lt;&gt;""""),COUNTA(FILTER(A$1:A1892, A$1:A1892&lt;&gt;""""))))-1), IF('To Order'!$A1893=COL"&amp;"UMNS($A1893:A1912), A1892&amp;RIGHT(INDIRECT(ADDRESS(ROW(A1893)-1, 'From Order'!$A1893)), 1), A1892))"),"")</f>
        <v/>
      </c>
      <c r="B1893" s="2" t="str">
        <f>IFERROR(__xludf.DUMMYFUNCTION("IF('From Order'!$A1893=COLUMNS($A1893:B1912), LEFT(INDEX(FILTER(B$1:B1892, B$1:B1892&lt;&gt;""""),COUNTA(FILTER(B$1:B1892, B$1:B1892&lt;&gt;""""))), LEN(INDEX(FILTER(B$1:B1892, B$1:B1892&lt;&gt;""""),COUNTA(FILTER(B$1:B1892, B$1:B1892&lt;&gt;""""))))-1), IF('To Order'!$A1893=COL"&amp;"UMNS($A1893:B1912), B1892&amp;RIGHT(INDIRECT(ADDRESS(ROW(B1893)-1, 'From Order'!$A1893)), 1), B1892))"),"GTTJ")</f>
        <v>GTTJ</v>
      </c>
      <c r="C1893" s="2" t="str">
        <f>IFERROR(__xludf.DUMMYFUNCTION("IF('From Order'!$A1893=COLUMNS($A1893:C1912), LEFT(INDEX(FILTER(C$1:C1892, C$1:C1892&lt;&gt;""""),COUNTA(FILTER(C$1:C1892, C$1:C1892&lt;&gt;""""))), LEN(INDEX(FILTER(C$1:C1892, C$1:C1892&lt;&gt;""""),COUNTA(FILTER(C$1:C1892, C$1:C1892&lt;&gt;""""))))-1), IF('To Order'!$A1893=COL"&amp;"UMNS($A1893:C1912), C1892&amp;RIGHT(INDIRECT(ADDRESS(ROW(C1893)-1, 'From Order'!$A1893)), 1), C1892))"),"DVDTMZHZ")</f>
        <v>DVDTMZHZ</v>
      </c>
      <c r="D1893" s="2" t="str">
        <f>IFERROR(__xludf.DUMMYFUNCTION("IF('From Order'!$A1893=COLUMNS($A1893:D1912), LEFT(INDEX(FILTER(D$1:D1892, D$1:D1892&lt;&gt;""""),COUNTA(FILTER(D$1:D1892, D$1:D1892&lt;&gt;""""))), LEN(INDEX(FILTER(D$1:D1892, D$1:D1892&lt;&gt;""""),COUNTA(FILTER(D$1:D1892, D$1:D1892&lt;&gt;""""))))-1), IF('To Order'!$A1893=COL"&amp;"UMNS($A1893:D1912), D1892&amp;RIGHT(INDIRECT(ADDRESS(ROW(D1893)-1, 'From Order'!$A1893)), 1), D1892))"),"RB")</f>
        <v>RB</v>
      </c>
      <c r="E1893" s="2" t="str">
        <f>IFERROR(__xludf.DUMMYFUNCTION("IF('From Order'!$A1893=COLUMNS($A1893:E1912), LEFT(INDEX(FILTER(E$1:E1892, E$1:E1892&lt;&gt;""""),COUNTA(FILTER(E$1:E1892, E$1:E1892&lt;&gt;""""))), LEN(INDEX(FILTER(E$1:E1892, E$1:E1892&lt;&gt;""""),COUNTA(FILTER(E$1:E1892, E$1:E1892&lt;&gt;""""))))-1), IF('To Order'!$A1893=COL"&amp;"UMNS($A1893:E1912), E1892&amp;RIGHT(INDIRECT(ADDRESS(ROW(E1893)-1, 'From Order'!$A1893)), 1), E1892))"),"CRG")</f>
        <v>CRG</v>
      </c>
      <c r="F1893" s="2" t="str">
        <f>IFERROR(__xludf.DUMMYFUNCTION("IF('From Order'!$A1893=COLUMNS($A1893:F1912), LEFT(INDEX(FILTER(F$1:F1892, F$1:F1892&lt;&gt;""""),COUNTA(FILTER(F$1:F1892, F$1:F1892&lt;&gt;""""))), LEN(INDEX(FILTER(F$1:F1892, F$1:F1892&lt;&gt;""""),COUNTA(FILTER(F$1:F1892, F$1:F1892&lt;&gt;""""))))-1), IF('To Order'!$A1893=COL"&amp;"UMNS($A1893:F1912), F1892&amp;RIGHT(INDIRECT(ADDRESS(ROW(F1893)-1, 'From Order'!$A1893)), 1), F1892))"),"LDSPBFLLWDDVQJPPSSTWZCSFHBBVRR")</f>
        <v>LDSPBFLLWDDVQJPPSSTWZCSFHBBVRR</v>
      </c>
      <c r="G1893" s="2" t="str">
        <f>IFERROR(__xludf.DUMMYFUNCTION("IF('From Order'!$A1893=COLUMNS($A1893:G1912), LEFT(INDEX(FILTER(G$1:G1892, G$1:G1892&lt;&gt;""""),COUNTA(FILTER(G$1:G1892, G$1:G1892&lt;&gt;""""))), LEN(INDEX(FILTER(G$1:G1892, G$1:G1892&lt;&gt;""""),COUNTA(FILTER(G$1:G1892, G$1:G1892&lt;&gt;""""))))-1), IF('To Order'!$A1893=COL"&amp;"UMNS($A1893:G1912), G1892&amp;RIGHT(INDIRECT(ADDRESS(ROW(G1893)-1, 'From Order'!$A1893)), 1), G1892))"),"MDJM")</f>
        <v>MDJM</v>
      </c>
      <c r="H1893" s="2" t="str">
        <f>IFERROR(__xludf.DUMMYFUNCTION("IF('From Order'!$A1893=COLUMNS($A1893:H1912), LEFT(INDEX(FILTER(H$1:H1892, H$1:H1892&lt;&gt;""""),COUNTA(FILTER(H$1:H1892, H$1:H1892&lt;&gt;""""))), LEN(INDEX(FILTER(H$1:H1892, H$1:H1892&lt;&gt;""""),COUNTA(FILTER(H$1:H1892, H$1:H1892&lt;&gt;""""))))-1), IF('To Order'!$A1893=COL"&amp;"UMNS($A1893:H1912), H1892&amp;RIGHT(INDIRECT(ADDRESS(ROW(H1893)-1, 'From Order'!$A1893)), 1), H1892))"),"QTRTC")</f>
        <v>QTRTC</v>
      </c>
      <c r="I1893" s="2" t="str">
        <f>IFERROR(__xludf.DUMMYFUNCTION("IF('From Order'!$A1893=COLUMNS($A1893:I1912), LEFT(INDEX(FILTER(I$1:I1892, I$1:I1892&lt;&gt;""""),COUNTA(FILTER(I$1:I1892, I$1:I1892&lt;&gt;""""))), LEN(INDEX(FILTER(I$1:I1892, I$1:I1892&lt;&gt;""""),COUNTA(FILTER(I$1:I1892, I$1:I1892&lt;&gt;""""))))-1), IF('To Order'!$A1893=COL"&amp;"UMNS($A1893:I1912), I1892&amp;RIGHT(INDIRECT(ADDRESS(ROW(I1893)-1, 'From Order'!$A1893)), 1), I1892))"),"")</f>
        <v/>
      </c>
    </row>
    <row r="1894">
      <c r="A1894" s="2" t="str">
        <f>IFERROR(__xludf.DUMMYFUNCTION("IF('From Order'!$A1894=COLUMNS($A1894:A1913), LEFT(INDEX(FILTER(A$1:A1893, A$1:A1893&lt;&gt;""""),COUNTA(FILTER(A$1:A1893, A$1:A1893&lt;&gt;""""))), LEN(INDEX(FILTER(A$1:A1893, A$1:A1893&lt;&gt;""""),COUNTA(FILTER(A$1:A1893, A$1:A1893&lt;&gt;""""))))-1), IF('To Order'!$A1894=COL"&amp;"UMNS($A1894:A1913), A1893&amp;RIGHT(INDIRECT(ADDRESS(ROW(A1894)-1, 'From Order'!$A1894)), 1), A1893))"),"")</f>
        <v/>
      </c>
      <c r="B1894" s="2" t="str">
        <f>IFERROR(__xludf.DUMMYFUNCTION("IF('From Order'!$A1894=COLUMNS($A1894:B1913), LEFT(INDEX(FILTER(B$1:B1893, B$1:B1893&lt;&gt;""""),COUNTA(FILTER(B$1:B1893, B$1:B1893&lt;&gt;""""))), LEN(INDEX(FILTER(B$1:B1893, B$1:B1893&lt;&gt;""""),COUNTA(FILTER(B$1:B1893, B$1:B1893&lt;&gt;""""))))-1), IF('To Order'!$A1894=COL"&amp;"UMNS($A1894:B1913), B1893&amp;RIGHT(INDIRECT(ADDRESS(ROW(B1894)-1, 'From Order'!$A1894)), 1), B1893))"),"GTT")</f>
        <v>GTT</v>
      </c>
      <c r="C1894" s="2" t="str">
        <f>IFERROR(__xludf.DUMMYFUNCTION("IF('From Order'!$A1894=COLUMNS($A1894:C1913), LEFT(INDEX(FILTER(C$1:C1893, C$1:C1893&lt;&gt;""""),COUNTA(FILTER(C$1:C1893, C$1:C1893&lt;&gt;""""))), LEN(INDEX(FILTER(C$1:C1893, C$1:C1893&lt;&gt;""""),COUNTA(FILTER(C$1:C1893, C$1:C1893&lt;&gt;""""))))-1), IF('To Order'!$A1894=COL"&amp;"UMNS($A1894:C1913), C1893&amp;RIGHT(INDIRECT(ADDRESS(ROW(C1894)-1, 'From Order'!$A1894)), 1), C1893))"),"DVDTMZHZ")</f>
        <v>DVDTMZHZ</v>
      </c>
      <c r="D1894" s="2" t="str">
        <f>IFERROR(__xludf.DUMMYFUNCTION("IF('From Order'!$A1894=COLUMNS($A1894:D1913), LEFT(INDEX(FILTER(D$1:D1893, D$1:D1893&lt;&gt;""""),COUNTA(FILTER(D$1:D1893, D$1:D1893&lt;&gt;""""))), LEN(INDEX(FILTER(D$1:D1893, D$1:D1893&lt;&gt;""""),COUNTA(FILTER(D$1:D1893, D$1:D1893&lt;&gt;""""))))-1), IF('To Order'!$A1894=COL"&amp;"UMNS($A1894:D1913), D1893&amp;RIGHT(INDIRECT(ADDRESS(ROW(D1894)-1, 'From Order'!$A1894)), 1), D1893))"),"RBJ")</f>
        <v>RBJ</v>
      </c>
      <c r="E1894" s="2" t="str">
        <f>IFERROR(__xludf.DUMMYFUNCTION("IF('From Order'!$A1894=COLUMNS($A1894:E1913), LEFT(INDEX(FILTER(E$1:E1893, E$1:E1893&lt;&gt;""""),COUNTA(FILTER(E$1:E1893, E$1:E1893&lt;&gt;""""))), LEN(INDEX(FILTER(E$1:E1893, E$1:E1893&lt;&gt;""""),COUNTA(FILTER(E$1:E1893, E$1:E1893&lt;&gt;""""))))-1), IF('To Order'!$A1894=COL"&amp;"UMNS($A1894:E1913), E1893&amp;RIGHT(INDIRECT(ADDRESS(ROW(E1894)-1, 'From Order'!$A1894)), 1), E1893))"),"CRG")</f>
        <v>CRG</v>
      </c>
      <c r="F1894" s="2" t="str">
        <f>IFERROR(__xludf.DUMMYFUNCTION("IF('From Order'!$A1894=COLUMNS($A1894:F1913), LEFT(INDEX(FILTER(F$1:F1893, F$1:F1893&lt;&gt;""""),COUNTA(FILTER(F$1:F1893, F$1:F1893&lt;&gt;""""))), LEN(INDEX(FILTER(F$1:F1893, F$1:F1893&lt;&gt;""""),COUNTA(FILTER(F$1:F1893, F$1:F1893&lt;&gt;""""))))-1), IF('To Order'!$A1894=COL"&amp;"UMNS($A1894:F1913), F1893&amp;RIGHT(INDIRECT(ADDRESS(ROW(F1894)-1, 'From Order'!$A1894)), 1), F1893))"),"LDSPBFLLWDDVQJPPSSTWZCSFHBBVRR")</f>
        <v>LDSPBFLLWDDVQJPPSSTWZCSFHBBVRR</v>
      </c>
      <c r="G1894" s="2" t="str">
        <f>IFERROR(__xludf.DUMMYFUNCTION("IF('From Order'!$A1894=COLUMNS($A1894:G1913), LEFT(INDEX(FILTER(G$1:G1893, G$1:G1893&lt;&gt;""""),COUNTA(FILTER(G$1:G1893, G$1:G1893&lt;&gt;""""))), LEN(INDEX(FILTER(G$1:G1893, G$1:G1893&lt;&gt;""""),COUNTA(FILTER(G$1:G1893, G$1:G1893&lt;&gt;""""))))-1), IF('To Order'!$A1894=COL"&amp;"UMNS($A1894:G1913), G1893&amp;RIGHT(INDIRECT(ADDRESS(ROW(G1894)-1, 'From Order'!$A1894)), 1), G1893))"),"MDJM")</f>
        <v>MDJM</v>
      </c>
      <c r="H1894" s="2" t="str">
        <f>IFERROR(__xludf.DUMMYFUNCTION("IF('From Order'!$A1894=COLUMNS($A1894:H1913), LEFT(INDEX(FILTER(H$1:H1893, H$1:H1893&lt;&gt;""""),COUNTA(FILTER(H$1:H1893, H$1:H1893&lt;&gt;""""))), LEN(INDEX(FILTER(H$1:H1893, H$1:H1893&lt;&gt;""""),COUNTA(FILTER(H$1:H1893, H$1:H1893&lt;&gt;""""))))-1), IF('To Order'!$A1894=COL"&amp;"UMNS($A1894:H1913), H1893&amp;RIGHT(INDIRECT(ADDRESS(ROW(H1894)-1, 'From Order'!$A1894)), 1), H1893))"),"QTRTC")</f>
        <v>QTRTC</v>
      </c>
      <c r="I1894" s="2" t="str">
        <f>IFERROR(__xludf.DUMMYFUNCTION("IF('From Order'!$A1894=COLUMNS($A1894:I1913), LEFT(INDEX(FILTER(I$1:I1893, I$1:I1893&lt;&gt;""""),COUNTA(FILTER(I$1:I1893, I$1:I1893&lt;&gt;""""))), LEN(INDEX(FILTER(I$1:I1893, I$1:I1893&lt;&gt;""""),COUNTA(FILTER(I$1:I1893, I$1:I1893&lt;&gt;""""))))-1), IF('To Order'!$A1894=COL"&amp;"UMNS($A1894:I1913), I1893&amp;RIGHT(INDIRECT(ADDRESS(ROW(I1894)-1, 'From Order'!$A1894)), 1), I1893))"),"")</f>
        <v/>
      </c>
    </row>
    <row r="1895">
      <c r="A1895" s="2" t="str">
        <f>IFERROR(__xludf.DUMMYFUNCTION("IF('From Order'!$A1895=COLUMNS($A1895:A1914), LEFT(INDEX(FILTER(A$1:A1894, A$1:A1894&lt;&gt;""""),COUNTA(FILTER(A$1:A1894, A$1:A1894&lt;&gt;""""))), LEN(INDEX(FILTER(A$1:A1894, A$1:A1894&lt;&gt;""""),COUNTA(FILTER(A$1:A1894, A$1:A1894&lt;&gt;""""))))-1), IF('To Order'!$A1895=COL"&amp;"UMNS($A1895:A1914), A1894&amp;RIGHT(INDIRECT(ADDRESS(ROW(A1895)-1, 'From Order'!$A1895)), 1), A1894))"),"")</f>
        <v/>
      </c>
      <c r="B1895" s="2" t="str">
        <f>IFERROR(__xludf.DUMMYFUNCTION("IF('From Order'!$A1895=COLUMNS($A1895:B1914), LEFT(INDEX(FILTER(B$1:B1894, B$1:B1894&lt;&gt;""""),COUNTA(FILTER(B$1:B1894, B$1:B1894&lt;&gt;""""))), LEN(INDEX(FILTER(B$1:B1894, B$1:B1894&lt;&gt;""""),COUNTA(FILTER(B$1:B1894, B$1:B1894&lt;&gt;""""))))-1), IF('To Order'!$A1895=COL"&amp;"UMNS($A1895:B1914), B1894&amp;RIGHT(INDIRECT(ADDRESS(ROW(B1895)-1, 'From Order'!$A1895)), 1), B1894))"),"GT")</f>
        <v>GT</v>
      </c>
      <c r="C1895" s="2" t="str">
        <f>IFERROR(__xludf.DUMMYFUNCTION("IF('From Order'!$A1895=COLUMNS($A1895:C1914), LEFT(INDEX(FILTER(C$1:C1894, C$1:C1894&lt;&gt;""""),COUNTA(FILTER(C$1:C1894, C$1:C1894&lt;&gt;""""))), LEN(INDEX(FILTER(C$1:C1894, C$1:C1894&lt;&gt;""""),COUNTA(FILTER(C$1:C1894, C$1:C1894&lt;&gt;""""))))-1), IF('To Order'!$A1895=COL"&amp;"UMNS($A1895:C1914), C1894&amp;RIGHT(INDIRECT(ADDRESS(ROW(C1895)-1, 'From Order'!$A1895)), 1), C1894))"),"DVDTMZHZ")</f>
        <v>DVDTMZHZ</v>
      </c>
      <c r="D1895" s="2" t="str">
        <f>IFERROR(__xludf.DUMMYFUNCTION("IF('From Order'!$A1895=COLUMNS($A1895:D1914), LEFT(INDEX(FILTER(D$1:D1894, D$1:D1894&lt;&gt;""""),COUNTA(FILTER(D$1:D1894, D$1:D1894&lt;&gt;""""))), LEN(INDEX(FILTER(D$1:D1894, D$1:D1894&lt;&gt;""""),COUNTA(FILTER(D$1:D1894, D$1:D1894&lt;&gt;""""))))-1), IF('To Order'!$A1895=COL"&amp;"UMNS($A1895:D1914), D1894&amp;RIGHT(INDIRECT(ADDRESS(ROW(D1895)-1, 'From Order'!$A1895)), 1), D1894))"),"RBJT")</f>
        <v>RBJT</v>
      </c>
      <c r="E1895" s="2" t="str">
        <f>IFERROR(__xludf.DUMMYFUNCTION("IF('From Order'!$A1895=COLUMNS($A1895:E1914), LEFT(INDEX(FILTER(E$1:E1894, E$1:E1894&lt;&gt;""""),COUNTA(FILTER(E$1:E1894, E$1:E1894&lt;&gt;""""))), LEN(INDEX(FILTER(E$1:E1894, E$1:E1894&lt;&gt;""""),COUNTA(FILTER(E$1:E1894, E$1:E1894&lt;&gt;""""))))-1), IF('To Order'!$A1895=COL"&amp;"UMNS($A1895:E1914), E1894&amp;RIGHT(INDIRECT(ADDRESS(ROW(E1895)-1, 'From Order'!$A1895)), 1), E1894))"),"CRG")</f>
        <v>CRG</v>
      </c>
      <c r="F1895" s="2" t="str">
        <f>IFERROR(__xludf.DUMMYFUNCTION("IF('From Order'!$A1895=COLUMNS($A1895:F1914), LEFT(INDEX(FILTER(F$1:F1894, F$1:F1894&lt;&gt;""""),COUNTA(FILTER(F$1:F1894, F$1:F1894&lt;&gt;""""))), LEN(INDEX(FILTER(F$1:F1894, F$1:F1894&lt;&gt;""""),COUNTA(FILTER(F$1:F1894, F$1:F1894&lt;&gt;""""))))-1), IF('To Order'!$A1895=COL"&amp;"UMNS($A1895:F1914), F1894&amp;RIGHT(INDIRECT(ADDRESS(ROW(F1895)-1, 'From Order'!$A1895)), 1), F1894))"),"LDSPBFLLWDDVQJPPSSTWZCSFHBBVRR")</f>
        <v>LDSPBFLLWDDVQJPPSSTWZCSFHBBVRR</v>
      </c>
      <c r="G1895" s="2" t="str">
        <f>IFERROR(__xludf.DUMMYFUNCTION("IF('From Order'!$A1895=COLUMNS($A1895:G1914), LEFT(INDEX(FILTER(G$1:G1894, G$1:G1894&lt;&gt;""""),COUNTA(FILTER(G$1:G1894, G$1:G1894&lt;&gt;""""))), LEN(INDEX(FILTER(G$1:G1894, G$1:G1894&lt;&gt;""""),COUNTA(FILTER(G$1:G1894, G$1:G1894&lt;&gt;""""))))-1), IF('To Order'!$A1895=COL"&amp;"UMNS($A1895:G1914), G1894&amp;RIGHT(INDIRECT(ADDRESS(ROW(G1895)-1, 'From Order'!$A1895)), 1), G1894))"),"MDJM")</f>
        <v>MDJM</v>
      </c>
      <c r="H1895" s="2" t="str">
        <f>IFERROR(__xludf.DUMMYFUNCTION("IF('From Order'!$A1895=COLUMNS($A1895:H1914), LEFT(INDEX(FILTER(H$1:H1894, H$1:H1894&lt;&gt;""""),COUNTA(FILTER(H$1:H1894, H$1:H1894&lt;&gt;""""))), LEN(INDEX(FILTER(H$1:H1894, H$1:H1894&lt;&gt;""""),COUNTA(FILTER(H$1:H1894, H$1:H1894&lt;&gt;""""))))-1), IF('To Order'!$A1895=COL"&amp;"UMNS($A1895:H1914), H1894&amp;RIGHT(INDIRECT(ADDRESS(ROW(H1895)-1, 'From Order'!$A1895)), 1), H1894))"),"QTRTC")</f>
        <v>QTRTC</v>
      </c>
      <c r="I1895" s="2" t="str">
        <f>IFERROR(__xludf.DUMMYFUNCTION("IF('From Order'!$A1895=COLUMNS($A1895:I1914), LEFT(INDEX(FILTER(I$1:I1894, I$1:I1894&lt;&gt;""""),COUNTA(FILTER(I$1:I1894, I$1:I1894&lt;&gt;""""))), LEN(INDEX(FILTER(I$1:I1894, I$1:I1894&lt;&gt;""""),COUNTA(FILTER(I$1:I1894, I$1:I1894&lt;&gt;""""))))-1), IF('To Order'!$A1895=COL"&amp;"UMNS($A1895:I1914), I1894&amp;RIGHT(INDIRECT(ADDRESS(ROW(I1895)-1, 'From Order'!$A1895)), 1), I1894))"),"")</f>
        <v/>
      </c>
    </row>
    <row r="1896">
      <c r="A1896" s="2" t="str">
        <f>IFERROR(__xludf.DUMMYFUNCTION("IF('From Order'!$A1896=COLUMNS($A1896:A1915), LEFT(INDEX(FILTER(A$1:A1895, A$1:A1895&lt;&gt;""""),COUNTA(FILTER(A$1:A1895, A$1:A1895&lt;&gt;""""))), LEN(INDEX(FILTER(A$1:A1895, A$1:A1895&lt;&gt;""""),COUNTA(FILTER(A$1:A1895, A$1:A1895&lt;&gt;""""))))-1), IF('To Order'!$A1896=COL"&amp;"UMNS($A1896:A1915), A1895&amp;RIGHT(INDIRECT(ADDRESS(ROW(A1896)-1, 'From Order'!$A1896)), 1), A1895))"),"")</f>
        <v/>
      </c>
      <c r="B1896" s="2" t="str">
        <f>IFERROR(__xludf.DUMMYFUNCTION("IF('From Order'!$A1896=COLUMNS($A1896:B1915), LEFT(INDEX(FILTER(B$1:B1895, B$1:B1895&lt;&gt;""""),COUNTA(FILTER(B$1:B1895, B$1:B1895&lt;&gt;""""))), LEN(INDEX(FILTER(B$1:B1895, B$1:B1895&lt;&gt;""""),COUNTA(FILTER(B$1:B1895, B$1:B1895&lt;&gt;""""))))-1), IF('To Order'!$A1896=COL"&amp;"UMNS($A1896:B1915), B1895&amp;RIGHT(INDIRECT(ADDRESS(ROW(B1896)-1, 'From Order'!$A1896)), 1), B1895))"),"G")</f>
        <v>G</v>
      </c>
      <c r="C1896" s="2" t="str">
        <f>IFERROR(__xludf.DUMMYFUNCTION("IF('From Order'!$A1896=COLUMNS($A1896:C1915), LEFT(INDEX(FILTER(C$1:C1895, C$1:C1895&lt;&gt;""""),COUNTA(FILTER(C$1:C1895, C$1:C1895&lt;&gt;""""))), LEN(INDEX(FILTER(C$1:C1895, C$1:C1895&lt;&gt;""""),COUNTA(FILTER(C$1:C1895, C$1:C1895&lt;&gt;""""))))-1), IF('To Order'!$A1896=COL"&amp;"UMNS($A1896:C1915), C1895&amp;RIGHT(INDIRECT(ADDRESS(ROW(C1896)-1, 'From Order'!$A1896)), 1), C1895))"),"DVDTMZHZ")</f>
        <v>DVDTMZHZ</v>
      </c>
      <c r="D1896" s="2" t="str">
        <f>IFERROR(__xludf.DUMMYFUNCTION("IF('From Order'!$A1896=COLUMNS($A1896:D1915), LEFT(INDEX(FILTER(D$1:D1895, D$1:D1895&lt;&gt;""""),COUNTA(FILTER(D$1:D1895, D$1:D1895&lt;&gt;""""))), LEN(INDEX(FILTER(D$1:D1895, D$1:D1895&lt;&gt;""""),COUNTA(FILTER(D$1:D1895, D$1:D1895&lt;&gt;""""))))-1), IF('To Order'!$A1896=COL"&amp;"UMNS($A1896:D1915), D1895&amp;RIGHT(INDIRECT(ADDRESS(ROW(D1896)-1, 'From Order'!$A1896)), 1), D1895))"),"RBJTT")</f>
        <v>RBJTT</v>
      </c>
      <c r="E1896" s="2" t="str">
        <f>IFERROR(__xludf.DUMMYFUNCTION("IF('From Order'!$A1896=COLUMNS($A1896:E1915), LEFT(INDEX(FILTER(E$1:E1895, E$1:E1895&lt;&gt;""""),COUNTA(FILTER(E$1:E1895, E$1:E1895&lt;&gt;""""))), LEN(INDEX(FILTER(E$1:E1895, E$1:E1895&lt;&gt;""""),COUNTA(FILTER(E$1:E1895, E$1:E1895&lt;&gt;""""))))-1), IF('To Order'!$A1896=COL"&amp;"UMNS($A1896:E1915), E1895&amp;RIGHT(INDIRECT(ADDRESS(ROW(E1896)-1, 'From Order'!$A1896)), 1), E1895))"),"CRG")</f>
        <v>CRG</v>
      </c>
      <c r="F1896" s="2" t="str">
        <f>IFERROR(__xludf.DUMMYFUNCTION("IF('From Order'!$A1896=COLUMNS($A1896:F1915), LEFT(INDEX(FILTER(F$1:F1895, F$1:F1895&lt;&gt;""""),COUNTA(FILTER(F$1:F1895, F$1:F1895&lt;&gt;""""))), LEN(INDEX(FILTER(F$1:F1895, F$1:F1895&lt;&gt;""""),COUNTA(FILTER(F$1:F1895, F$1:F1895&lt;&gt;""""))))-1), IF('To Order'!$A1896=COL"&amp;"UMNS($A1896:F1915), F1895&amp;RIGHT(INDIRECT(ADDRESS(ROW(F1896)-1, 'From Order'!$A1896)), 1), F1895))"),"LDSPBFLLWDDVQJPPSSTWZCSFHBBVRR")</f>
        <v>LDSPBFLLWDDVQJPPSSTWZCSFHBBVRR</v>
      </c>
      <c r="G1896" s="2" t="str">
        <f>IFERROR(__xludf.DUMMYFUNCTION("IF('From Order'!$A1896=COLUMNS($A1896:G1915), LEFT(INDEX(FILTER(G$1:G1895, G$1:G1895&lt;&gt;""""),COUNTA(FILTER(G$1:G1895, G$1:G1895&lt;&gt;""""))), LEN(INDEX(FILTER(G$1:G1895, G$1:G1895&lt;&gt;""""),COUNTA(FILTER(G$1:G1895, G$1:G1895&lt;&gt;""""))))-1), IF('To Order'!$A1896=COL"&amp;"UMNS($A1896:G1915), G1895&amp;RIGHT(INDIRECT(ADDRESS(ROW(G1896)-1, 'From Order'!$A1896)), 1), G1895))"),"MDJM")</f>
        <v>MDJM</v>
      </c>
      <c r="H1896" s="2" t="str">
        <f>IFERROR(__xludf.DUMMYFUNCTION("IF('From Order'!$A1896=COLUMNS($A1896:H1915), LEFT(INDEX(FILTER(H$1:H1895, H$1:H1895&lt;&gt;""""),COUNTA(FILTER(H$1:H1895, H$1:H1895&lt;&gt;""""))), LEN(INDEX(FILTER(H$1:H1895, H$1:H1895&lt;&gt;""""),COUNTA(FILTER(H$1:H1895, H$1:H1895&lt;&gt;""""))))-1), IF('To Order'!$A1896=COL"&amp;"UMNS($A1896:H1915), H1895&amp;RIGHT(INDIRECT(ADDRESS(ROW(H1896)-1, 'From Order'!$A1896)), 1), H1895))"),"QTRTC")</f>
        <v>QTRTC</v>
      </c>
      <c r="I1896" s="2" t="str">
        <f>IFERROR(__xludf.DUMMYFUNCTION("IF('From Order'!$A1896=COLUMNS($A1896:I1915), LEFT(INDEX(FILTER(I$1:I1895, I$1:I1895&lt;&gt;""""),COUNTA(FILTER(I$1:I1895, I$1:I1895&lt;&gt;""""))), LEN(INDEX(FILTER(I$1:I1895, I$1:I1895&lt;&gt;""""),COUNTA(FILTER(I$1:I1895, I$1:I1895&lt;&gt;""""))))-1), IF('To Order'!$A1896=COL"&amp;"UMNS($A1896:I1915), I1895&amp;RIGHT(INDIRECT(ADDRESS(ROW(I1896)-1, 'From Order'!$A1896)), 1), I1895))"),"")</f>
        <v/>
      </c>
    </row>
    <row r="1897">
      <c r="A1897" s="2" t="str">
        <f>IFERROR(__xludf.DUMMYFUNCTION("IF('From Order'!$A1897=COLUMNS($A1897:A1916), LEFT(INDEX(FILTER(A$1:A1896, A$1:A1896&lt;&gt;""""),COUNTA(FILTER(A$1:A1896, A$1:A1896&lt;&gt;""""))), LEN(INDEX(FILTER(A$1:A1896, A$1:A1896&lt;&gt;""""),COUNTA(FILTER(A$1:A1896, A$1:A1896&lt;&gt;""""))))-1), IF('To Order'!$A1897=COL"&amp;"UMNS($A1897:A1916), A1896&amp;RIGHT(INDIRECT(ADDRESS(ROW(A1897)-1, 'From Order'!$A1897)), 1), A1896))"),"")</f>
        <v/>
      </c>
      <c r="B1897" s="2" t="str">
        <f>IFERROR(__xludf.DUMMYFUNCTION("IF('From Order'!$A1897=COLUMNS($A1897:B1916), LEFT(INDEX(FILTER(B$1:B1896, B$1:B1896&lt;&gt;""""),COUNTA(FILTER(B$1:B1896, B$1:B1896&lt;&gt;""""))), LEN(INDEX(FILTER(B$1:B1896, B$1:B1896&lt;&gt;""""),COUNTA(FILTER(B$1:B1896, B$1:B1896&lt;&gt;""""))))-1), IF('To Order'!$A1897=COL"&amp;"UMNS($A1897:B1916), B1896&amp;RIGHT(INDIRECT(ADDRESS(ROW(B1897)-1, 'From Order'!$A1897)), 1), B1896))"),"")</f>
        <v/>
      </c>
      <c r="C1897" s="2" t="str">
        <f>IFERROR(__xludf.DUMMYFUNCTION("IF('From Order'!$A1897=COLUMNS($A1897:C1916), LEFT(INDEX(FILTER(C$1:C1896, C$1:C1896&lt;&gt;""""),COUNTA(FILTER(C$1:C1896, C$1:C1896&lt;&gt;""""))), LEN(INDEX(FILTER(C$1:C1896, C$1:C1896&lt;&gt;""""),COUNTA(FILTER(C$1:C1896, C$1:C1896&lt;&gt;""""))))-1), IF('To Order'!$A1897=COL"&amp;"UMNS($A1897:C1916), C1896&amp;RIGHT(INDIRECT(ADDRESS(ROW(C1897)-1, 'From Order'!$A1897)), 1), C1896))"),"DVDTMZHZ")</f>
        <v>DVDTMZHZ</v>
      </c>
      <c r="D1897" s="2" t="str">
        <f>IFERROR(__xludf.DUMMYFUNCTION("IF('From Order'!$A1897=COLUMNS($A1897:D1916), LEFT(INDEX(FILTER(D$1:D1896, D$1:D1896&lt;&gt;""""),COUNTA(FILTER(D$1:D1896, D$1:D1896&lt;&gt;""""))), LEN(INDEX(FILTER(D$1:D1896, D$1:D1896&lt;&gt;""""),COUNTA(FILTER(D$1:D1896, D$1:D1896&lt;&gt;""""))))-1), IF('To Order'!$A1897=COL"&amp;"UMNS($A1897:D1916), D1896&amp;RIGHT(INDIRECT(ADDRESS(ROW(D1897)-1, 'From Order'!$A1897)), 1), D1896))"),"RBJTTG")</f>
        <v>RBJTTG</v>
      </c>
      <c r="E1897" s="2" t="str">
        <f>IFERROR(__xludf.DUMMYFUNCTION("IF('From Order'!$A1897=COLUMNS($A1897:E1916), LEFT(INDEX(FILTER(E$1:E1896, E$1:E1896&lt;&gt;""""),COUNTA(FILTER(E$1:E1896, E$1:E1896&lt;&gt;""""))), LEN(INDEX(FILTER(E$1:E1896, E$1:E1896&lt;&gt;""""),COUNTA(FILTER(E$1:E1896, E$1:E1896&lt;&gt;""""))))-1), IF('To Order'!$A1897=COL"&amp;"UMNS($A1897:E1916), E1896&amp;RIGHT(INDIRECT(ADDRESS(ROW(E1897)-1, 'From Order'!$A1897)), 1), E1896))"),"CRG")</f>
        <v>CRG</v>
      </c>
      <c r="F1897" s="2" t="str">
        <f>IFERROR(__xludf.DUMMYFUNCTION("IF('From Order'!$A1897=COLUMNS($A1897:F1916), LEFT(INDEX(FILTER(F$1:F1896, F$1:F1896&lt;&gt;""""),COUNTA(FILTER(F$1:F1896, F$1:F1896&lt;&gt;""""))), LEN(INDEX(FILTER(F$1:F1896, F$1:F1896&lt;&gt;""""),COUNTA(FILTER(F$1:F1896, F$1:F1896&lt;&gt;""""))))-1), IF('To Order'!$A1897=COL"&amp;"UMNS($A1897:F1916), F1896&amp;RIGHT(INDIRECT(ADDRESS(ROW(F1897)-1, 'From Order'!$A1897)), 1), F1896))"),"LDSPBFLLWDDVQJPPSSTWZCSFHBBVRR")</f>
        <v>LDSPBFLLWDDVQJPPSSTWZCSFHBBVRR</v>
      </c>
      <c r="G1897" s="2" t="str">
        <f>IFERROR(__xludf.DUMMYFUNCTION("IF('From Order'!$A1897=COLUMNS($A1897:G1916), LEFT(INDEX(FILTER(G$1:G1896, G$1:G1896&lt;&gt;""""),COUNTA(FILTER(G$1:G1896, G$1:G1896&lt;&gt;""""))), LEN(INDEX(FILTER(G$1:G1896, G$1:G1896&lt;&gt;""""),COUNTA(FILTER(G$1:G1896, G$1:G1896&lt;&gt;""""))))-1), IF('To Order'!$A1897=COL"&amp;"UMNS($A1897:G1916), G1896&amp;RIGHT(INDIRECT(ADDRESS(ROW(G1897)-1, 'From Order'!$A1897)), 1), G1896))"),"MDJM")</f>
        <v>MDJM</v>
      </c>
      <c r="H1897" s="2" t="str">
        <f>IFERROR(__xludf.DUMMYFUNCTION("IF('From Order'!$A1897=COLUMNS($A1897:H1916), LEFT(INDEX(FILTER(H$1:H1896, H$1:H1896&lt;&gt;""""),COUNTA(FILTER(H$1:H1896, H$1:H1896&lt;&gt;""""))), LEN(INDEX(FILTER(H$1:H1896, H$1:H1896&lt;&gt;""""),COUNTA(FILTER(H$1:H1896, H$1:H1896&lt;&gt;""""))))-1), IF('To Order'!$A1897=COL"&amp;"UMNS($A1897:H1916), H1896&amp;RIGHT(INDIRECT(ADDRESS(ROW(H1897)-1, 'From Order'!$A1897)), 1), H1896))"),"QTRTC")</f>
        <v>QTRTC</v>
      </c>
      <c r="I1897" s="2" t="str">
        <f>IFERROR(__xludf.DUMMYFUNCTION("IF('From Order'!$A1897=COLUMNS($A1897:I1916), LEFT(INDEX(FILTER(I$1:I1896, I$1:I1896&lt;&gt;""""),COUNTA(FILTER(I$1:I1896, I$1:I1896&lt;&gt;""""))), LEN(INDEX(FILTER(I$1:I1896, I$1:I1896&lt;&gt;""""),COUNTA(FILTER(I$1:I1896, I$1:I1896&lt;&gt;""""))))-1), IF('To Order'!$A1897=COL"&amp;"UMNS($A1897:I1916), I1896&amp;RIGHT(INDIRECT(ADDRESS(ROW(I1897)-1, 'From Order'!$A1897)), 1), I1896))"),"")</f>
        <v/>
      </c>
    </row>
    <row r="1898">
      <c r="A1898" s="2" t="str">
        <f>IFERROR(__xludf.DUMMYFUNCTION("IF('From Order'!$A1898=COLUMNS($A1898:A1917), LEFT(INDEX(FILTER(A$1:A1897, A$1:A1897&lt;&gt;""""),COUNTA(FILTER(A$1:A1897, A$1:A1897&lt;&gt;""""))), LEN(INDEX(FILTER(A$1:A1897, A$1:A1897&lt;&gt;""""),COUNTA(FILTER(A$1:A1897, A$1:A1897&lt;&gt;""""))))-1), IF('To Order'!$A1898=COL"&amp;"UMNS($A1898:A1917), A1897&amp;RIGHT(INDIRECT(ADDRESS(ROW(A1898)-1, 'From Order'!$A1898)), 1), A1897))"),"")</f>
        <v/>
      </c>
      <c r="B1898" s="2" t="str">
        <f>IFERROR(__xludf.DUMMYFUNCTION("IF('From Order'!$A1898=COLUMNS($A1898:B1917), LEFT(INDEX(FILTER(B$1:B1897, B$1:B1897&lt;&gt;""""),COUNTA(FILTER(B$1:B1897, B$1:B1897&lt;&gt;""""))), LEN(INDEX(FILTER(B$1:B1897, B$1:B1897&lt;&gt;""""),COUNTA(FILTER(B$1:B1897, B$1:B1897&lt;&gt;""""))))-1), IF('To Order'!$A1898=COL"&amp;"UMNS($A1898:B1917), B1897&amp;RIGHT(INDIRECT(ADDRESS(ROW(B1898)-1, 'From Order'!$A1898)), 1), B1897))"),"")</f>
        <v/>
      </c>
      <c r="C1898" s="2" t="str">
        <f>IFERROR(__xludf.DUMMYFUNCTION("IF('From Order'!$A1898=COLUMNS($A1898:C1917), LEFT(INDEX(FILTER(C$1:C1897, C$1:C1897&lt;&gt;""""),COUNTA(FILTER(C$1:C1897, C$1:C1897&lt;&gt;""""))), LEN(INDEX(FILTER(C$1:C1897, C$1:C1897&lt;&gt;""""),COUNTA(FILTER(C$1:C1897, C$1:C1897&lt;&gt;""""))))-1), IF('To Order'!$A1898=COL"&amp;"UMNS($A1898:C1917), C1897&amp;RIGHT(INDIRECT(ADDRESS(ROW(C1898)-1, 'From Order'!$A1898)), 1), C1897))"),"DVDTMZHZ")</f>
        <v>DVDTMZHZ</v>
      </c>
      <c r="D1898" s="2" t="str">
        <f>IFERROR(__xludf.DUMMYFUNCTION("IF('From Order'!$A1898=COLUMNS($A1898:D1917), LEFT(INDEX(FILTER(D$1:D1897, D$1:D1897&lt;&gt;""""),COUNTA(FILTER(D$1:D1897, D$1:D1897&lt;&gt;""""))), LEN(INDEX(FILTER(D$1:D1897, D$1:D1897&lt;&gt;""""),COUNTA(FILTER(D$1:D1897, D$1:D1897&lt;&gt;""""))))-1), IF('To Order'!$A1898=COL"&amp;"UMNS($A1898:D1917), D1897&amp;RIGHT(INDIRECT(ADDRESS(ROW(D1898)-1, 'From Order'!$A1898)), 1), D1897))"),"RBJTTGM")</f>
        <v>RBJTTGM</v>
      </c>
      <c r="E1898" s="2" t="str">
        <f>IFERROR(__xludf.DUMMYFUNCTION("IF('From Order'!$A1898=COLUMNS($A1898:E1917), LEFT(INDEX(FILTER(E$1:E1897, E$1:E1897&lt;&gt;""""),COUNTA(FILTER(E$1:E1897, E$1:E1897&lt;&gt;""""))), LEN(INDEX(FILTER(E$1:E1897, E$1:E1897&lt;&gt;""""),COUNTA(FILTER(E$1:E1897, E$1:E1897&lt;&gt;""""))))-1), IF('To Order'!$A1898=COL"&amp;"UMNS($A1898:E1917), E1897&amp;RIGHT(INDIRECT(ADDRESS(ROW(E1898)-1, 'From Order'!$A1898)), 1), E1897))"),"CRG")</f>
        <v>CRG</v>
      </c>
      <c r="F1898" s="2" t="str">
        <f>IFERROR(__xludf.DUMMYFUNCTION("IF('From Order'!$A1898=COLUMNS($A1898:F1917), LEFT(INDEX(FILTER(F$1:F1897, F$1:F1897&lt;&gt;""""),COUNTA(FILTER(F$1:F1897, F$1:F1897&lt;&gt;""""))), LEN(INDEX(FILTER(F$1:F1897, F$1:F1897&lt;&gt;""""),COUNTA(FILTER(F$1:F1897, F$1:F1897&lt;&gt;""""))))-1), IF('To Order'!$A1898=COL"&amp;"UMNS($A1898:F1917), F1897&amp;RIGHT(INDIRECT(ADDRESS(ROW(F1898)-1, 'From Order'!$A1898)), 1), F1897))"),"LDSPBFLLWDDVQJPPSSTWZCSFHBBVRR")</f>
        <v>LDSPBFLLWDDVQJPPSSTWZCSFHBBVRR</v>
      </c>
      <c r="G1898" s="2" t="str">
        <f>IFERROR(__xludf.DUMMYFUNCTION("IF('From Order'!$A1898=COLUMNS($A1898:G1917), LEFT(INDEX(FILTER(G$1:G1897, G$1:G1897&lt;&gt;""""),COUNTA(FILTER(G$1:G1897, G$1:G1897&lt;&gt;""""))), LEN(INDEX(FILTER(G$1:G1897, G$1:G1897&lt;&gt;""""),COUNTA(FILTER(G$1:G1897, G$1:G1897&lt;&gt;""""))))-1), IF('To Order'!$A1898=COL"&amp;"UMNS($A1898:G1917), G1897&amp;RIGHT(INDIRECT(ADDRESS(ROW(G1898)-1, 'From Order'!$A1898)), 1), G1897))"),"MDJ")</f>
        <v>MDJ</v>
      </c>
      <c r="H1898" s="2" t="str">
        <f>IFERROR(__xludf.DUMMYFUNCTION("IF('From Order'!$A1898=COLUMNS($A1898:H1917), LEFT(INDEX(FILTER(H$1:H1897, H$1:H1897&lt;&gt;""""),COUNTA(FILTER(H$1:H1897, H$1:H1897&lt;&gt;""""))), LEN(INDEX(FILTER(H$1:H1897, H$1:H1897&lt;&gt;""""),COUNTA(FILTER(H$1:H1897, H$1:H1897&lt;&gt;""""))))-1), IF('To Order'!$A1898=COL"&amp;"UMNS($A1898:H1917), H1897&amp;RIGHT(INDIRECT(ADDRESS(ROW(H1898)-1, 'From Order'!$A1898)), 1), H1897))"),"QTRTC")</f>
        <v>QTRTC</v>
      </c>
      <c r="I1898" s="2" t="str">
        <f>IFERROR(__xludf.DUMMYFUNCTION("IF('From Order'!$A1898=COLUMNS($A1898:I1917), LEFT(INDEX(FILTER(I$1:I1897, I$1:I1897&lt;&gt;""""),COUNTA(FILTER(I$1:I1897, I$1:I1897&lt;&gt;""""))), LEN(INDEX(FILTER(I$1:I1897, I$1:I1897&lt;&gt;""""),COUNTA(FILTER(I$1:I1897, I$1:I1897&lt;&gt;""""))))-1), IF('To Order'!$A1898=COL"&amp;"UMNS($A1898:I1917), I1897&amp;RIGHT(INDIRECT(ADDRESS(ROW(I1898)-1, 'From Order'!$A1898)), 1), I1897))"),"")</f>
        <v/>
      </c>
    </row>
    <row r="1899">
      <c r="A1899" s="2" t="str">
        <f>IFERROR(__xludf.DUMMYFUNCTION("IF('From Order'!$A1899=COLUMNS($A1899:A1918), LEFT(INDEX(FILTER(A$1:A1898, A$1:A1898&lt;&gt;""""),COUNTA(FILTER(A$1:A1898, A$1:A1898&lt;&gt;""""))), LEN(INDEX(FILTER(A$1:A1898, A$1:A1898&lt;&gt;""""),COUNTA(FILTER(A$1:A1898, A$1:A1898&lt;&gt;""""))))-1), IF('To Order'!$A1899=COL"&amp;"UMNS($A1899:A1918), A1898&amp;RIGHT(INDIRECT(ADDRESS(ROW(A1899)-1, 'From Order'!$A1899)), 1), A1898))"),"")</f>
        <v/>
      </c>
      <c r="B1899" s="2" t="str">
        <f>IFERROR(__xludf.DUMMYFUNCTION("IF('From Order'!$A1899=COLUMNS($A1899:B1918), LEFT(INDEX(FILTER(B$1:B1898, B$1:B1898&lt;&gt;""""),COUNTA(FILTER(B$1:B1898, B$1:B1898&lt;&gt;""""))), LEN(INDEX(FILTER(B$1:B1898, B$1:B1898&lt;&gt;""""),COUNTA(FILTER(B$1:B1898, B$1:B1898&lt;&gt;""""))))-1), IF('To Order'!$A1899=COL"&amp;"UMNS($A1899:B1918), B1898&amp;RIGHT(INDIRECT(ADDRESS(ROW(B1899)-1, 'From Order'!$A1899)), 1), B1898))"),"")</f>
        <v/>
      </c>
      <c r="C1899" s="2" t="str">
        <f>IFERROR(__xludf.DUMMYFUNCTION("IF('From Order'!$A1899=COLUMNS($A1899:C1918), LEFT(INDEX(FILTER(C$1:C1898, C$1:C1898&lt;&gt;""""),COUNTA(FILTER(C$1:C1898, C$1:C1898&lt;&gt;""""))), LEN(INDEX(FILTER(C$1:C1898, C$1:C1898&lt;&gt;""""),COUNTA(FILTER(C$1:C1898, C$1:C1898&lt;&gt;""""))))-1), IF('To Order'!$A1899=COL"&amp;"UMNS($A1899:C1918), C1898&amp;RIGHT(INDIRECT(ADDRESS(ROW(C1899)-1, 'From Order'!$A1899)), 1), C1898))"),"DVDTMZHZ")</f>
        <v>DVDTMZHZ</v>
      </c>
      <c r="D1899" s="2" t="str">
        <f>IFERROR(__xludf.DUMMYFUNCTION("IF('From Order'!$A1899=COLUMNS($A1899:D1918), LEFT(INDEX(FILTER(D$1:D1898, D$1:D1898&lt;&gt;""""),COUNTA(FILTER(D$1:D1898, D$1:D1898&lt;&gt;""""))), LEN(INDEX(FILTER(D$1:D1898, D$1:D1898&lt;&gt;""""),COUNTA(FILTER(D$1:D1898, D$1:D1898&lt;&gt;""""))))-1), IF('To Order'!$A1899=COL"&amp;"UMNS($A1899:D1918), D1898&amp;RIGHT(INDIRECT(ADDRESS(ROW(D1899)-1, 'From Order'!$A1899)), 1), D1898))"),"RBJTTGMJ")</f>
        <v>RBJTTGMJ</v>
      </c>
      <c r="E1899" s="2" t="str">
        <f>IFERROR(__xludf.DUMMYFUNCTION("IF('From Order'!$A1899=COLUMNS($A1899:E1918), LEFT(INDEX(FILTER(E$1:E1898, E$1:E1898&lt;&gt;""""),COUNTA(FILTER(E$1:E1898, E$1:E1898&lt;&gt;""""))), LEN(INDEX(FILTER(E$1:E1898, E$1:E1898&lt;&gt;""""),COUNTA(FILTER(E$1:E1898, E$1:E1898&lt;&gt;""""))))-1), IF('To Order'!$A1899=COL"&amp;"UMNS($A1899:E1918), E1898&amp;RIGHT(INDIRECT(ADDRESS(ROW(E1899)-1, 'From Order'!$A1899)), 1), E1898))"),"CRG")</f>
        <v>CRG</v>
      </c>
      <c r="F1899" s="2" t="str">
        <f>IFERROR(__xludf.DUMMYFUNCTION("IF('From Order'!$A1899=COLUMNS($A1899:F1918), LEFT(INDEX(FILTER(F$1:F1898, F$1:F1898&lt;&gt;""""),COUNTA(FILTER(F$1:F1898, F$1:F1898&lt;&gt;""""))), LEN(INDEX(FILTER(F$1:F1898, F$1:F1898&lt;&gt;""""),COUNTA(FILTER(F$1:F1898, F$1:F1898&lt;&gt;""""))))-1), IF('To Order'!$A1899=COL"&amp;"UMNS($A1899:F1918), F1898&amp;RIGHT(INDIRECT(ADDRESS(ROW(F1899)-1, 'From Order'!$A1899)), 1), F1898))"),"LDSPBFLLWDDVQJPPSSTWZCSFHBBVRR")</f>
        <v>LDSPBFLLWDDVQJPPSSTWZCSFHBBVRR</v>
      </c>
      <c r="G1899" s="2" t="str">
        <f>IFERROR(__xludf.DUMMYFUNCTION("IF('From Order'!$A1899=COLUMNS($A1899:G1918), LEFT(INDEX(FILTER(G$1:G1898, G$1:G1898&lt;&gt;""""),COUNTA(FILTER(G$1:G1898, G$1:G1898&lt;&gt;""""))), LEN(INDEX(FILTER(G$1:G1898, G$1:G1898&lt;&gt;""""),COUNTA(FILTER(G$1:G1898, G$1:G1898&lt;&gt;""""))))-1), IF('To Order'!$A1899=COL"&amp;"UMNS($A1899:G1918), G1898&amp;RIGHT(INDIRECT(ADDRESS(ROW(G1899)-1, 'From Order'!$A1899)), 1), G1898))"),"MD")</f>
        <v>MD</v>
      </c>
      <c r="H1899" s="2" t="str">
        <f>IFERROR(__xludf.DUMMYFUNCTION("IF('From Order'!$A1899=COLUMNS($A1899:H1918), LEFT(INDEX(FILTER(H$1:H1898, H$1:H1898&lt;&gt;""""),COUNTA(FILTER(H$1:H1898, H$1:H1898&lt;&gt;""""))), LEN(INDEX(FILTER(H$1:H1898, H$1:H1898&lt;&gt;""""),COUNTA(FILTER(H$1:H1898, H$1:H1898&lt;&gt;""""))))-1), IF('To Order'!$A1899=COL"&amp;"UMNS($A1899:H1918), H1898&amp;RIGHT(INDIRECT(ADDRESS(ROW(H1899)-1, 'From Order'!$A1899)), 1), H1898))"),"QTRTC")</f>
        <v>QTRTC</v>
      </c>
      <c r="I1899" s="2" t="str">
        <f>IFERROR(__xludf.DUMMYFUNCTION("IF('From Order'!$A1899=COLUMNS($A1899:I1918), LEFT(INDEX(FILTER(I$1:I1898, I$1:I1898&lt;&gt;""""),COUNTA(FILTER(I$1:I1898, I$1:I1898&lt;&gt;""""))), LEN(INDEX(FILTER(I$1:I1898, I$1:I1898&lt;&gt;""""),COUNTA(FILTER(I$1:I1898, I$1:I1898&lt;&gt;""""))))-1), IF('To Order'!$A1899=COL"&amp;"UMNS($A1899:I1918), I1898&amp;RIGHT(INDIRECT(ADDRESS(ROW(I1899)-1, 'From Order'!$A1899)), 1), I1898))"),"")</f>
        <v/>
      </c>
    </row>
    <row r="1900">
      <c r="A1900" s="2" t="str">
        <f>IFERROR(__xludf.DUMMYFUNCTION("IF('From Order'!$A1900=COLUMNS($A1900:A1919), LEFT(INDEX(FILTER(A$1:A1899, A$1:A1899&lt;&gt;""""),COUNTA(FILTER(A$1:A1899, A$1:A1899&lt;&gt;""""))), LEN(INDEX(FILTER(A$1:A1899, A$1:A1899&lt;&gt;""""),COUNTA(FILTER(A$1:A1899, A$1:A1899&lt;&gt;""""))))-1), IF('To Order'!$A1900=COL"&amp;"UMNS($A1900:A1919), A1899&amp;RIGHT(INDIRECT(ADDRESS(ROW(A1900)-1, 'From Order'!$A1900)), 1), A1899))"),"")</f>
        <v/>
      </c>
      <c r="B1900" s="2" t="str">
        <f>IFERROR(__xludf.DUMMYFUNCTION("IF('From Order'!$A1900=COLUMNS($A1900:B1919), LEFT(INDEX(FILTER(B$1:B1899, B$1:B1899&lt;&gt;""""),COUNTA(FILTER(B$1:B1899, B$1:B1899&lt;&gt;""""))), LEN(INDEX(FILTER(B$1:B1899, B$1:B1899&lt;&gt;""""),COUNTA(FILTER(B$1:B1899, B$1:B1899&lt;&gt;""""))))-1), IF('To Order'!$A1900=COL"&amp;"UMNS($A1900:B1919), B1899&amp;RIGHT(INDIRECT(ADDRESS(ROW(B1900)-1, 'From Order'!$A1900)), 1), B1899))"),"")</f>
        <v/>
      </c>
      <c r="C1900" s="2" t="str">
        <f>IFERROR(__xludf.DUMMYFUNCTION("IF('From Order'!$A1900=COLUMNS($A1900:C1919), LEFT(INDEX(FILTER(C$1:C1899, C$1:C1899&lt;&gt;""""),COUNTA(FILTER(C$1:C1899, C$1:C1899&lt;&gt;""""))), LEN(INDEX(FILTER(C$1:C1899, C$1:C1899&lt;&gt;""""),COUNTA(FILTER(C$1:C1899, C$1:C1899&lt;&gt;""""))))-1), IF('To Order'!$A1900=COL"&amp;"UMNS($A1900:C1919), C1899&amp;RIGHT(INDIRECT(ADDRESS(ROW(C1900)-1, 'From Order'!$A1900)), 1), C1899))"),"DVDTMZHZD")</f>
        <v>DVDTMZHZD</v>
      </c>
      <c r="D1900" s="2" t="str">
        <f>IFERROR(__xludf.DUMMYFUNCTION("IF('From Order'!$A1900=COLUMNS($A1900:D1919), LEFT(INDEX(FILTER(D$1:D1899, D$1:D1899&lt;&gt;""""),COUNTA(FILTER(D$1:D1899, D$1:D1899&lt;&gt;""""))), LEN(INDEX(FILTER(D$1:D1899, D$1:D1899&lt;&gt;""""),COUNTA(FILTER(D$1:D1899, D$1:D1899&lt;&gt;""""))))-1), IF('To Order'!$A1900=COL"&amp;"UMNS($A1900:D1919), D1899&amp;RIGHT(INDIRECT(ADDRESS(ROW(D1900)-1, 'From Order'!$A1900)), 1), D1899))"),"RBJTTGMJ")</f>
        <v>RBJTTGMJ</v>
      </c>
      <c r="E1900" s="2" t="str">
        <f>IFERROR(__xludf.DUMMYFUNCTION("IF('From Order'!$A1900=COLUMNS($A1900:E1919), LEFT(INDEX(FILTER(E$1:E1899, E$1:E1899&lt;&gt;""""),COUNTA(FILTER(E$1:E1899, E$1:E1899&lt;&gt;""""))), LEN(INDEX(FILTER(E$1:E1899, E$1:E1899&lt;&gt;""""),COUNTA(FILTER(E$1:E1899, E$1:E1899&lt;&gt;""""))))-1), IF('To Order'!$A1900=COL"&amp;"UMNS($A1900:E1919), E1899&amp;RIGHT(INDIRECT(ADDRESS(ROW(E1900)-1, 'From Order'!$A1900)), 1), E1899))"),"CRG")</f>
        <v>CRG</v>
      </c>
      <c r="F1900" s="2" t="str">
        <f>IFERROR(__xludf.DUMMYFUNCTION("IF('From Order'!$A1900=COLUMNS($A1900:F1919), LEFT(INDEX(FILTER(F$1:F1899, F$1:F1899&lt;&gt;""""),COUNTA(FILTER(F$1:F1899, F$1:F1899&lt;&gt;""""))), LEN(INDEX(FILTER(F$1:F1899, F$1:F1899&lt;&gt;""""),COUNTA(FILTER(F$1:F1899, F$1:F1899&lt;&gt;""""))))-1), IF('To Order'!$A1900=COL"&amp;"UMNS($A1900:F1919), F1899&amp;RIGHT(INDIRECT(ADDRESS(ROW(F1900)-1, 'From Order'!$A1900)), 1), F1899))"),"LDSPBFLLWDDVQJPPSSTWZCSFHBBVRR")</f>
        <v>LDSPBFLLWDDVQJPPSSTWZCSFHBBVRR</v>
      </c>
      <c r="G1900" s="2" t="str">
        <f>IFERROR(__xludf.DUMMYFUNCTION("IF('From Order'!$A1900=COLUMNS($A1900:G1919), LEFT(INDEX(FILTER(G$1:G1899, G$1:G1899&lt;&gt;""""),COUNTA(FILTER(G$1:G1899, G$1:G1899&lt;&gt;""""))), LEN(INDEX(FILTER(G$1:G1899, G$1:G1899&lt;&gt;""""),COUNTA(FILTER(G$1:G1899, G$1:G1899&lt;&gt;""""))))-1), IF('To Order'!$A1900=COL"&amp;"UMNS($A1900:G1919), G1899&amp;RIGHT(INDIRECT(ADDRESS(ROW(G1900)-1, 'From Order'!$A1900)), 1), G1899))"),"M")</f>
        <v>M</v>
      </c>
      <c r="H1900" s="2" t="str">
        <f>IFERROR(__xludf.DUMMYFUNCTION("IF('From Order'!$A1900=COLUMNS($A1900:H1919), LEFT(INDEX(FILTER(H$1:H1899, H$1:H1899&lt;&gt;""""),COUNTA(FILTER(H$1:H1899, H$1:H1899&lt;&gt;""""))), LEN(INDEX(FILTER(H$1:H1899, H$1:H1899&lt;&gt;""""),COUNTA(FILTER(H$1:H1899, H$1:H1899&lt;&gt;""""))))-1), IF('To Order'!$A1900=COL"&amp;"UMNS($A1900:H1919), H1899&amp;RIGHT(INDIRECT(ADDRESS(ROW(H1900)-1, 'From Order'!$A1900)), 1), H1899))"),"QTRTC")</f>
        <v>QTRTC</v>
      </c>
      <c r="I1900" s="2" t="str">
        <f>IFERROR(__xludf.DUMMYFUNCTION("IF('From Order'!$A1900=COLUMNS($A1900:I1919), LEFT(INDEX(FILTER(I$1:I1899, I$1:I1899&lt;&gt;""""),COUNTA(FILTER(I$1:I1899, I$1:I1899&lt;&gt;""""))), LEN(INDEX(FILTER(I$1:I1899, I$1:I1899&lt;&gt;""""),COUNTA(FILTER(I$1:I1899, I$1:I1899&lt;&gt;""""))))-1), IF('To Order'!$A1900=COL"&amp;"UMNS($A1900:I1919), I1899&amp;RIGHT(INDIRECT(ADDRESS(ROW(I1900)-1, 'From Order'!$A1900)), 1), I1899))"),"")</f>
        <v/>
      </c>
    </row>
    <row r="1901">
      <c r="A1901" s="2" t="str">
        <f>IFERROR(__xludf.DUMMYFUNCTION("IF('From Order'!$A1901=COLUMNS($A1901:A1920), LEFT(INDEX(FILTER(A$1:A1900, A$1:A1900&lt;&gt;""""),COUNTA(FILTER(A$1:A1900, A$1:A1900&lt;&gt;""""))), LEN(INDEX(FILTER(A$1:A1900, A$1:A1900&lt;&gt;""""),COUNTA(FILTER(A$1:A1900, A$1:A1900&lt;&gt;""""))))-1), IF('To Order'!$A1901=COL"&amp;"UMNS($A1901:A1920), A1900&amp;RIGHT(INDIRECT(ADDRESS(ROW(A1901)-1, 'From Order'!$A1901)), 1), A1900))"),"")</f>
        <v/>
      </c>
      <c r="B1901" s="2" t="str">
        <f>IFERROR(__xludf.DUMMYFUNCTION("IF('From Order'!$A1901=COLUMNS($A1901:B1920), LEFT(INDEX(FILTER(B$1:B1900, B$1:B1900&lt;&gt;""""),COUNTA(FILTER(B$1:B1900, B$1:B1900&lt;&gt;""""))), LEN(INDEX(FILTER(B$1:B1900, B$1:B1900&lt;&gt;""""),COUNTA(FILTER(B$1:B1900, B$1:B1900&lt;&gt;""""))))-1), IF('To Order'!$A1901=COL"&amp;"UMNS($A1901:B1920), B1900&amp;RIGHT(INDIRECT(ADDRESS(ROW(B1901)-1, 'From Order'!$A1901)), 1), B1900))"),"")</f>
        <v/>
      </c>
      <c r="C1901" s="2" t="str">
        <f>IFERROR(__xludf.DUMMYFUNCTION("IF('From Order'!$A1901=COLUMNS($A1901:C1920), LEFT(INDEX(FILTER(C$1:C1900, C$1:C1900&lt;&gt;""""),COUNTA(FILTER(C$1:C1900, C$1:C1900&lt;&gt;""""))), LEN(INDEX(FILTER(C$1:C1900, C$1:C1900&lt;&gt;""""),COUNTA(FILTER(C$1:C1900, C$1:C1900&lt;&gt;""""))))-1), IF('To Order'!$A1901=COL"&amp;"UMNS($A1901:C1920), C1900&amp;RIGHT(INDIRECT(ADDRESS(ROW(C1901)-1, 'From Order'!$A1901)), 1), C1900))"),"DVDTMZHZDM")</f>
        <v>DVDTMZHZDM</v>
      </c>
      <c r="D1901" s="2" t="str">
        <f>IFERROR(__xludf.DUMMYFUNCTION("IF('From Order'!$A1901=COLUMNS($A1901:D1920), LEFT(INDEX(FILTER(D$1:D1900, D$1:D1900&lt;&gt;""""),COUNTA(FILTER(D$1:D1900, D$1:D1900&lt;&gt;""""))), LEN(INDEX(FILTER(D$1:D1900, D$1:D1900&lt;&gt;""""),COUNTA(FILTER(D$1:D1900, D$1:D1900&lt;&gt;""""))))-1), IF('To Order'!$A1901=COL"&amp;"UMNS($A1901:D1920), D1900&amp;RIGHT(INDIRECT(ADDRESS(ROW(D1901)-1, 'From Order'!$A1901)), 1), D1900))"),"RBJTTGMJ")</f>
        <v>RBJTTGMJ</v>
      </c>
      <c r="E1901" s="2" t="str">
        <f>IFERROR(__xludf.DUMMYFUNCTION("IF('From Order'!$A1901=COLUMNS($A1901:E1920), LEFT(INDEX(FILTER(E$1:E1900, E$1:E1900&lt;&gt;""""),COUNTA(FILTER(E$1:E1900, E$1:E1900&lt;&gt;""""))), LEN(INDEX(FILTER(E$1:E1900, E$1:E1900&lt;&gt;""""),COUNTA(FILTER(E$1:E1900, E$1:E1900&lt;&gt;""""))))-1), IF('To Order'!$A1901=COL"&amp;"UMNS($A1901:E1920), E1900&amp;RIGHT(INDIRECT(ADDRESS(ROW(E1901)-1, 'From Order'!$A1901)), 1), E1900))"),"CRG")</f>
        <v>CRG</v>
      </c>
      <c r="F1901" s="2" t="str">
        <f>IFERROR(__xludf.DUMMYFUNCTION("IF('From Order'!$A1901=COLUMNS($A1901:F1920), LEFT(INDEX(FILTER(F$1:F1900, F$1:F1900&lt;&gt;""""),COUNTA(FILTER(F$1:F1900, F$1:F1900&lt;&gt;""""))), LEN(INDEX(FILTER(F$1:F1900, F$1:F1900&lt;&gt;""""),COUNTA(FILTER(F$1:F1900, F$1:F1900&lt;&gt;""""))))-1), IF('To Order'!$A1901=COL"&amp;"UMNS($A1901:F1920), F1900&amp;RIGHT(INDIRECT(ADDRESS(ROW(F1901)-1, 'From Order'!$A1901)), 1), F1900))"),"LDSPBFLLWDDVQJPPSSTWZCSFHBBVRR")</f>
        <v>LDSPBFLLWDDVQJPPSSTWZCSFHBBVRR</v>
      </c>
      <c r="G1901" s="2" t="str">
        <f>IFERROR(__xludf.DUMMYFUNCTION("IF('From Order'!$A1901=COLUMNS($A1901:G1920), LEFT(INDEX(FILTER(G$1:G1900, G$1:G1900&lt;&gt;""""),COUNTA(FILTER(G$1:G1900, G$1:G1900&lt;&gt;""""))), LEN(INDEX(FILTER(G$1:G1900, G$1:G1900&lt;&gt;""""),COUNTA(FILTER(G$1:G1900, G$1:G1900&lt;&gt;""""))))-1), IF('To Order'!$A1901=COL"&amp;"UMNS($A1901:G1920), G1900&amp;RIGHT(INDIRECT(ADDRESS(ROW(G1901)-1, 'From Order'!$A1901)), 1), G1900))"),"")</f>
        <v/>
      </c>
      <c r="H1901" s="2" t="str">
        <f>IFERROR(__xludf.DUMMYFUNCTION("IF('From Order'!$A1901=COLUMNS($A1901:H1920), LEFT(INDEX(FILTER(H$1:H1900, H$1:H1900&lt;&gt;""""),COUNTA(FILTER(H$1:H1900, H$1:H1900&lt;&gt;""""))), LEN(INDEX(FILTER(H$1:H1900, H$1:H1900&lt;&gt;""""),COUNTA(FILTER(H$1:H1900, H$1:H1900&lt;&gt;""""))))-1), IF('To Order'!$A1901=COL"&amp;"UMNS($A1901:H1920), H1900&amp;RIGHT(INDIRECT(ADDRESS(ROW(H1901)-1, 'From Order'!$A1901)), 1), H1900))"),"QTRTC")</f>
        <v>QTRTC</v>
      </c>
      <c r="I1901" s="2" t="str">
        <f>IFERROR(__xludf.DUMMYFUNCTION("IF('From Order'!$A1901=COLUMNS($A1901:I1920), LEFT(INDEX(FILTER(I$1:I1900, I$1:I1900&lt;&gt;""""),COUNTA(FILTER(I$1:I1900, I$1:I1900&lt;&gt;""""))), LEN(INDEX(FILTER(I$1:I1900, I$1:I1900&lt;&gt;""""),COUNTA(FILTER(I$1:I1900, I$1:I1900&lt;&gt;""""))))-1), IF('To Order'!$A1901=COL"&amp;"UMNS($A1901:I1920), I1900&amp;RIGHT(INDIRECT(ADDRESS(ROW(I1901)-1, 'From Order'!$A1901)), 1), I1900))"),"")</f>
        <v/>
      </c>
    </row>
    <row r="1902">
      <c r="A1902" s="2" t="str">
        <f>IFERROR(__xludf.DUMMYFUNCTION("IF('From Order'!$A1902=COLUMNS($A1902:A1921), LEFT(INDEX(FILTER(A$1:A1901, A$1:A1901&lt;&gt;""""),COUNTA(FILTER(A$1:A1901, A$1:A1901&lt;&gt;""""))), LEN(INDEX(FILTER(A$1:A1901, A$1:A1901&lt;&gt;""""),COUNTA(FILTER(A$1:A1901, A$1:A1901&lt;&gt;""""))))-1), IF('To Order'!$A1902=COL"&amp;"UMNS($A1902:A1921), A1901&amp;RIGHT(INDIRECT(ADDRESS(ROW(A1902)-1, 'From Order'!$A1902)), 1), A1901))"),"")</f>
        <v/>
      </c>
      <c r="B1902" s="2" t="str">
        <f>IFERROR(__xludf.DUMMYFUNCTION("IF('From Order'!$A1902=COLUMNS($A1902:B1921), LEFT(INDEX(FILTER(B$1:B1901, B$1:B1901&lt;&gt;""""),COUNTA(FILTER(B$1:B1901, B$1:B1901&lt;&gt;""""))), LEN(INDEX(FILTER(B$1:B1901, B$1:B1901&lt;&gt;""""),COUNTA(FILTER(B$1:B1901, B$1:B1901&lt;&gt;""""))))-1), IF('To Order'!$A1902=COL"&amp;"UMNS($A1902:B1921), B1901&amp;RIGHT(INDIRECT(ADDRESS(ROW(B1902)-1, 'From Order'!$A1902)), 1), B1901))"),"")</f>
        <v/>
      </c>
      <c r="C1902" s="2" t="str">
        <f>IFERROR(__xludf.DUMMYFUNCTION("IF('From Order'!$A1902=COLUMNS($A1902:C1921), LEFT(INDEX(FILTER(C$1:C1901, C$1:C1901&lt;&gt;""""),COUNTA(FILTER(C$1:C1901, C$1:C1901&lt;&gt;""""))), LEN(INDEX(FILTER(C$1:C1901, C$1:C1901&lt;&gt;""""),COUNTA(FILTER(C$1:C1901, C$1:C1901&lt;&gt;""""))))-1), IF('To Order'!$A1902=COL"&amp;"UMNS($A1902:C1921), C1901&amp;RIGHT(INDIRECT(ADDRESS(ROW(C1902)-1, 'From Order'!$A1902)), 1), C1901))"),"DVDTMZHZDM")</f>
        <v>DVDTMZHZDM</v>
      </c>
      <c r="D1902" s="2" t="str">
        <f>IFERROR(__xludf.DUMMYFUNCTION("IF('From Order'!$A1902=COLUMNS($A1902:D1921), LEFT(INDEX(FILTER(D$1:D1901, D$1:D1901&lt;&gt;""""),COUNTA(FILTER(D$1:D1901, D$1:D1901&lt;&gt;""""))), LEN(INDEX(FILTER(D$1:D1901, D$1:D1901&lt;&gt;""""),COUNTA(FILTER(D$1:D1901, D$1:D1901&lt;&gt;""""))))-1), IF('To Order'!$A1902=COL"&amp;"UMNS($A1902:D1921), D1901&amp;RIGHT(INDIRECT(ADDRESS(ROW(D1902)-1, 'From Order'!$A1902)), 1), D1901))"),"RBJTTGM")</f>
        <v>RBJTTGM</v>
      </c>
      <c r="E1902" s="2" t="str">
        <f>IFERROR(__xludf.DUMMYFUNCTION("IF('From Order'!$A1902=COLUMNS($A1902:E1921), LEFT(INDEX(FILTER(E$1:E1901, E$1:E1901&lt;&gt;""""),COUNTA(FILTER(E$1:E1901, E$1:E1901&lt;&gt;""""))), LEN(INDEX(FILTER(E$1:E1901, E$1:E1901&lt;&gt;""""),COUNTA(FILTER(E$1:E1901, E$1:E1901&lt;&gt;""""))))-1), IF('To Order'!$A1902=COL"&amp;"UMNS($A1902:E1921), E1901&amp;RIGHT(INDIRECT(ADDRESS(ROW(E1902)-1, 'From Order'!$A1902)), 1), E1901))"),"CRG")</f>
        <v>CRG</v>
      </c>
      <c r="F1902" s="2" t="str">
        <f>IFERROR(__xludf.DUMMYFUNCTION("IF('From Order'!$A1902=COLUMNS($A1902:F1921), LEFT(INDEX(FILTER(F$1:F1901, F$1:F1901&lt;&gt;""""),COUNTA(FILTER(F$1:F1901, F$1:F1901&lt;&gt;""""))), LEN(INDEX(FILTER(F$1:F1901, F$1:F1901&lt;&gt;""""),COUNTA(FILTER(F$1:F1901, F$1:F1901&lt;&gt;""""))))-1), IF('To Order'!$A1902=COL"&amp;"UMNS($A1902:F1921), F1901&amp;RIGHT(INDIRECT(ADDRESS(ROW(F1902)-1, 'From Order'!$A1902)), 1), F1901))"),"LDSPBFLLWDDVQJPPSSTWZCSFHBBVRRJ")</f>
        <v>LDSPBFLLWDDVQJPPSSTWZCSFHBBVRRJ</v>
      </c>
      <c r="G1902" s="2" t="str">
        <f>IFERROR(__xludf.DUMMYFUNCTION("IF('From Order'!$A1902=COLUMNS($A1902:G1921), LEFT(INDEX(FILTER(G$1:G1901, G$1:G1901&lt;&gt;""""),COUNTA(FILTER(G$1:G1901, G$1:G1901&lt;&gt;""""))), LEN(INDEX(FILTER(G$1:G1901, G$1:G1901&lt;&gt;""""),COUNTA(FILTER(G$1:G1901, G$1:G1901&lt;&gt;""""))))-1), IF('To Order'!$A1902=COL"&amp;"UMNS($A1902:G1921), G1901&amp;RIGHT(INDIRECT(ADDRESS(ROW(G1902)-1, 'From Order'!$A1902)), 1), G1901))"),"")</f>
        <v/>
      </c>
      <c r="H1902" s="2" t="str">
        <f>IFERROR(__xludf.DUMMYFUNCTION("IF('From Order'!$A1902=COLUMNS($A1902:H1921), LEFT(INDEX(FILTER(H$1:H1901, H$1:H1901&lt;&gt;""""),COUNTA(FILTER(H$1:H1901, H$1:H1901&lt;&gt;""""))), LEN(INDEX(FILTER(H$1:H1901, H$1:H1901&lt;&gt;""""),COUNTA(FILTER(H$1:H1901, H$1:H1901&lt;&gt;""""))))-1), IF('To Order'!$A1902=COL"&amp;"UMNS($A1902:H1921), H1901&amp;RIGHT(INDIRECT(ADDRESS(ROW(H1902)-1, 'From Order'!$A1902)), 1), H1901))"),"QTRTC")</f>
        <v>QTRTC</v>
      </c>
      <c r="I1902" s="2" t="str">
        <f>IFERROR(__xludf.DUMMYFUNCTION("IF('From Order'!$A1902=COLUMNS($A1902:I1921), LEFT(INDEX(FILTER(I$1:I1901, I$1:I1901&lt;&gt;""""),COUNTA(FILTER(I$1:I1901, I$1:I1901&lt;&gt;""""))), LEN(INDEX(FILTER(I$1:I1901, I$1:I1901&lt;&gt;""""),COUNTA(FILTER(I$1:I1901, I$1:I1901&lt;&gt;""""))))-1), IF('To Order'!$A1902=COL"&amp;"UMNS($A1902:I1921), I1901&amp;RIGHT(INDIRECT(ADDRESS(ROW(I1902)-1, 'From Order'!$A1902)), 1), I1901))"),"")</f>
        <v/>
      </c>
    </row>
    <row r="1903">
      <c r="A1903" s="2" t="str">
        <f>IFERROR(__xludf.DUMMYFUNCTION("IF('From Order'!$A1903=COLUMNS($A1903:A1922), LEFT(INDEX(FILTER(A$1:A1902, A$1:A1902&lt;&gt;""""),COUNTA(FILTER(A$1:A1902, A$1:A1902&lt;&gt;""""))), LEN(INDEX(FILTER(A$1:A1902, A$1:A1902&lt;&gt;""""),COUNTA(FILTER(A$1:A1902, A$1:A1902&lt;&gt;""""))))-1), IF('To Order'!$A1903=COL"&amp;"UMNS($A1903:A1922), A1902&amp;RIGHT(INDIRECT(ADDRESS(ROW(A1903)-1, 'From Order'!$A1903)), 1), A1902))"),"")</f>
        <v/>
      </c>
      <c r="B1903" s="2" t="str">
        <f>IFERROR(__xludf.DUMMYFUNCTION("IF('From Order'!$A1903=COLUMNS($A1903:B1922), LEFT(INDEX(FILTER(B$1:B1902, B$1:B1902&lt;&gt;""""),COUNTA(FILTER(B$1:B1902, B$1:B1902&lt;&gt;""""))), LEN(INDEX(FILTER(B$1:B1902, B$1:B1902&lt;&gt;""""),COUNTA(FILTER(B$1:B1902, B$1:B1902&lt;&gt;""""))))-1), IF('To Order'!$A1903=COL"&amp;"UMNS($A1903:B1922), B1902&amp;RIGHT(INDIRECT(ADDRESS(ROW(B1903)-1, 'From Order'!$A1903)), 1), B1902))"),"")</f>
        <v/>
      </c>
      <c r="C1903" s="2" t="str">
        <f>IFERROR(__xludf.DUMMYFUNCTION("IF('From Order'!$A1903=COLUMNS($A1903:C1922), LEFT(INDEX(FILTER(C$1:C1902, C$1:C1902&lt;&gt;""""),COUNTA(FILTER(C$1:C1902, C$1:C1902&lt;&gt;""""))), LEN(INDEX(FILTER(C$1:C1902, C$1:C1902&lt;&gt;""""),COUNTA(FILTER(C$1:C1902, C$1:C1902&lt;&gt;""""))))-1), IF('To Order'!$A1903=COL"&amp;"UMNS($A1903:C1922), C1902&amp;RIGHT(INDIRECT(ADDRESS(ROW(C1903)-1, 'From Order'!$A1903)), 1), C1902))"),"DVDTMZHZDM")</f>
        <v>DVDTMZHZDM</v>
      </c>
      <c r="D1903" s="2" t="str">
        <f>IFERROR(__xludf.DUMMYFUNCTION("IF('From Order'!$A1903=COLUMNS($A1903:D1922), LEFT(INDEX(FILTER(D$1:D1902, D$1:D1902&lt;&gt;""""),COUNTA(FILTER(D$1:D1902, D$1:D1902&lt;&gt;""""))), LEN(INDEX(FILTER(D$1:D1902, D$1:D1902&lt;&gt;""""),COUNTA(FILTER(D$1:D1902, D$1:D1902&lt;&gt;""""))))-1), IF('To Order'!$A1903=COL"&amp;"UMNS($A1903:D1922), D1902&amp;RIGHT(INDIRECT(ADDRESS(ROW(D1903)-1, 'From Order'!$A1903)), 1), D1902))"),"RBJTTG")</f>
        <v>RBJTTG</v>
      </c>
      <c r="E1903" s="2" t="str">
        <f>IFERROR(__xludf.DUMMYFUNCTION("IF('From Order'!$A1903=COLUMNS($A1903:E1922), LEFT(INDEX(FILTER(E$1:E1902, E$1:E1902&lt;&gt;""""),COUNTA(FILTER(E$1:E1902, E$1:E1902&lt;&gt;""""))), LEN(INDEX(FILTER(E$1:E1902, E$1:E1902&lt;&gt;""""),COUNTA(FILTER(E$1:E1902, E$1:E1902&lt;&gt;""""))))-1), IF('To Order'!$A1903=COL"&amp;"UMNS($A1903:E1922), E1902&amp;RIGHT(INDIRECT(ADDRESS(ROW(E1903)-1, 'From Order'!$A1903)), 1), E1902))"),"CRG")</f>
        <v>CRG</v>
      </c>
      <c r="F1903" s="2" t="str">
        <f>IFERROR(__xludf.DUMMYFUNCTION("IF('From Order'!$A1903=COLUMNS($A1903:F1922), LEFT(INDEX(FILTER(F$1:F1902, F$1:F1902&lt;&gt;""""),COUNTA(FILTER(F$1:F1902, F$1:F1902&lt;&gt;""""))), LEN(INDEX(FILTER(F$1:F1902, F$1:F1902&lt;&gt;""""),COUNTA(FILTER(F$1:F1902, F$1:F1902&lt;&gt;""""))))-1), IF('To Order'!$A1903=COL"&amp;"UMNS($A1903:F1922), F1902&amp;RIGHT(INDIRECT(ADDRESS(ROW(F1903)-1, 'From Order'!$A1903)), 1), F1902))"),"LDSPBFLLWDDVQJPPSSTWZCSFHBBVRRJM")</f>
        <v>LDSPBFLLWDDVQJPPSSTWZCSFHBBVRRJM</v>
      </c>
      <c r="G1903" s="2" t="str">
        <f>IFERROR(__xludf.DUMMYFUNCTION("IF('From Order'!$A1903=COLUMNS($A1903:G1922), LEFT(INDEX(FILTER(G$1:G1902, G$1:G1902&lt;&gt;""""),COUNTA(FILTER(G$1:G1902, G$1:G1902&lt;&gt;""""))), LEN(INDEX(FILTER(G$1:G1902, G$1:G1902&lt;&gt;""""),COUNTA(FILTER(G$1:G1902, G$1:G1902&lt;&gt;""""))))-1), IF('To Order'!$A1903=COL"&amp;"UMNS($A1903:G1922), G1902&amp;RIGHT(INDIRECT(ADDRESS(ROW(G1903)-1, 'From Order'!$A1903)), 1), G1902))"),"")</f>
        <v/>
      </c>
      <c r="H1903" s="2" t="str">
        <f>IFERROR(__xludf.DUMMYFUNCTION("IF('From Order'!$A1903=COLUMNS($A1903:H1922), LEFT(INDEX(FILTER(H$1:H1902, H$1:H1902&lt;&gt;""""),COUNTA(FILTER(H$1:H1902, H$1:H1902&lt;&gt;""""))), LEN(INDEX(FILTER(H$1:H1902, H$1:H1902&lt;&gt;""""),COUNTA(FILTER(H$1:H1902, H$1:H1902&lt;&gt;""""))))-1), IF('To Order'!$A1903=COL"&amp;"UMNS($A1903:H1922), H1902&amp;RIGHT(INDIRECT(ADDRESS(ROW(H1903)-1, 'From Order'!$A1903)), 1), H1902))"),"QTRTC")</f>
        <v>QTRTC</v>
      </c>
      <c r="I1903" s="2" t="str">
        <f>IFERROR(__xludf.DUMMYFUNCTION("IF('From Order'!$A1903=COLUMNS($A1903:I1922), LEFT(INDEX(FILTER(I$1:I1902, I$1:I1902&lt;&gt;""""),COUNTA(FILTER(I$1:I1902, I$1:I1902&lt;&gt;""""))), LEN(INDEX(FILTER(I$1:I1902, I$1:I1902&lt;&gt;""""),COUNTA(FILTER(I$1:I1902, I$1:I1902&lt;&gt;""""))))-1), IF('To Order'!$A1903=COL"&amp;"UMNS($A1903:I1922), I1902&amp;RIGHT(INDIRECT(ADDRESS(ROW(I1903)-1, 'From Order'!$A1903)), 1), I1902))"),"")</f>
        <v/>
      </c>
    </row>
    <row r="1904">
      <c r="A1904" s="2" t="str">
        <f>IFERROR(__xludf.DUMMYFUNCTION("IF('From Order'!$A1904=COLUMNS($A1904:A1923), LEFT(INDEX(FILTER(A$1:A1903, A$1:A1903&lt;&gt;""""),COUNTA(FILTER(A$1:A1903, A$1:A1903&lt;&gt;""""))), LEN(INDEX(FILTER(A$1:A1903, A$1:A1903&lt;&gt;""""),COUNTA(FILTER(A$1:A1903, A$1:A1903&lt;&gt;""""))))-1), IF('To Order'!$A1904=COL"&amp;"UMNS($A1904:A1923), A1903&amp;RIGHT(INDIRECT(ADDRESS(ROW(A1904)-1, 'From Order'!$A1904)), 1), A1903))"),"")</f>
        <v/>
      </c>
      <c r="B1904" s="2" t="str">
        <f>IFERROR(__xludf.DUMMYFUNCTION("IF('From Order'!$A1904=COLUMNS($A1904:B1923), LEFT(INDEX(FILTER(B$1:B1903, B$1:B1903&lt;&gt;""""),COUNTA(FILTER(B$1:B1903, B$1:B1903&lt;&gt;""""))), LEN(INDEX(FILTER(B$1:B1903, B$1:B1903&lt;&gt;""""),COUNTA(FILTER(B$1:B1903, B$1:B1903&lt;&gt;""""))))-1), IF('To Order'!$A1904=COL"&amp;"UMNS($A1904:B1923), B1903&amp;RIGHT(INDIRECT(ADDRESS(ROW(B1904)-1, 'From Order'!$A1904)), 1), B1903))"),"")</f>
        <v/>
      </c>
      <c r="C1904" s="2" t="str">
        <f>IFERROR(__xludf.DUMMYFUNCTION("IF('From Order'!$A1904=COLUMNS($A1904:C1923), LEFT(INDEX(FILTER(C$1:C1903, C$1:C1903&lt;&gt;""""),COUNTA(FILTER(C$1:C1903, C$1:C1903&lt;&gt;""""))), LEN(INDEX(FILTER(C$1:C1903, C$1:C1903&lt;&gt;""""),COUNTA(FILTER(C$1:C1903, C$1:C1903&lt;&gt;""""))))-1), IF('To Order'!$A1904=COL"&amp;"UMNS($A1904:C1923), C1903&amp;RIGHT(INDIRECT(ADDRESS(ROW(C1904)-1, 'From Order'!$A1904)), 1), C1903))"),"DVDTMZHZDM")</f>
        <v>DVDTMZHZDM</v>
      </c>
      <c r="D1904" s="2" t="str">
        <f>IFERROR(__xludf.DUMMYFUNCTION("IF('From Order'!$A1904=COLUMNS($A1904:D1923), LEFT(INDEX(FILTER(D$1:D1903, D$1:D1903&lt;&gt;""""),COUNTA(FILTER(D$1:D1903, D$1:D1903&lt;&gt;""""))), LEN(INDEX(FILTER(D$1:D1903, D$1:D1903&lt;&gt;""""),COUNTA(FILTER(D$1:D1903, D$1:D1903&lt;&gt;""""))))-1), IF('To Order'!$A1904=COL"&amp;"UMNS($A1904:D1923), D1903&amp;RIGHT(INDIRECT(ADDRESS(ROW(D1904)-1, 'From Order'!$A1904)), 1), D1903))"),"RBJTT")</f>
        <v>RBJTT</v>
      </c>
      <c r="E1904" s="2" t="str">
        <f>IFERROR(__xludf.DUMMYFUNCTION("IF('From Order'!$A1904=COLUMNS($A1904:E1923), LEFT(INDEX(FILTER(E$1:E1903, E$1:E1903&lt;&gt;""""),COUNTA(FILTER(E$1:E1903, E$1:E1903&lt;&gt;""""))), LEN(INDEX(FILTER(E$1:E1903, E$1:E1903&lt;&gt;""""),COUNTA(FILTER(E$1:E1903, E$1:E1903&lt;&gt;""""))))-1), IF('To Order'!$A1904=COL"&amp;"UMNS($A1904:E1923), E1903&amp;RIGHT(INDIRECT(ADDRESS(ROW(E1904)-1, 'From Order'!$A1904)), 1), E1903))"),"CRG")</f>
        <v>CRG</v>
      </c>
      <c r="F1904" s="2" t="str">
        <f>IFERROR(__xludf.DUMMYFUNCTION("IF('From Order'!$A1904=COLUMNS($A1904:F1923), LEFT(INDEX(FILTER(F$1:F1903, F$1:F1903&lt;&gt;""""),COUNTA(FILTER(F$1:F1903, F$1:F1903&lt;&gt;""""))), LEN(INDEX(FILTER(F$1:F1903, F$1:F1903&lt;&gt;""""),COUNTA(FILTER(F$1:F1903, F$1:F1903&lt;&gt;""""))))-1), IF('To Order'!$A1904=COL"&amp;"UMNS($A1904:F1923), F1903&amp;RIGHT(INDIRECT(ADDRESS(ROW(F1904)-1, 'From Order'!$A1904)), 1), F1903))"),"LDSPBFLLWDDVQJPPSSTWZCSFHBBVRRJMG")</f>
        <v>LDSPBFLLWDDVQJPPSSTWZCSFHBBVRRJMG</v>
      </c>
      <c r="G1904" s="2" t="str">
        <f>IFERROR(__xludf.DUMMYFUNCTION("IF('From Order'!$A1904=COLUMNS($A1904:G1923), LEFT(INDEX(FILTER(G$1:G1903, G$1:G1903&lt;&gt;""""),COUNTA(FILTER(G$1:G1903, G$1:G1903&lt;&gt;""""))), LEN(INDEX(FILTER(G$1:G1903, G$1:G1903&lt;&gt;""""),COUNTA(FILTER(G$1:G1903, G$1:G1903&lt;&gt;""""))))-1), IF('To Order'!$A1904=COL"&amp;"UMNS($A1904:G1923), G1903&amp;RIGHT(INDIRECT(ADDRESS(ROW(G1904)-1, 'From Order'!$A1904)), 1), G1903))"),"")</f>
        <v/>
      </c>
      <c r="H1904" s="2" t="str">
        <f>IFERROR(__xludf.DUMMYFUNCTION("IF('From Order'!$A1904=COLUMNS($A1904:H1923), LEFT(INDEX(FILTER(H$1:H1903, H$1:H1903&lt;&gt;""""),COUNTA(FILTER(H$1:H1903, H$1:H1903&lt;&gt;""""))), LEN(INDEX(FILTER(H$1:H1903, H$1:H1903&lt;&gt;""""),COUNTA(FILTER(H$1:H1903, H$1:H1903&lt;&gt;""""))))-1), IF('To Order'!$A1904=COL"&amp;"UMNS($A1904:H1923), H1903&amp;RIGHT(INDIRECT(ADDRESS(ROW(H1904)-1, 'From Order'!$A1904)), 1), H1903))"),"QTRTC")</f>
        <v>QTRTC</v>
      </c>
      <c r="I1904" s="2" t="str">
        <f>IFERROR(__xludf.DUMMYFUNCTION("IF('From Order'!$A1904=COLUMNS($A1904:I1923), LEFT(INDEX(FILTER(I$1:I1903, I$1:I1903&lt;&gt;""""),COUNTA(FILTER(I$1:I1903, I$1:I1903&lt;&gt;""""))), LEN(INDEX(FILTER(I$1:I1903, I$1:I1903&lt;&gt;""""),COUNTA(FILTER(I$1:I1903, I$1:I1903&lt;&gt;""""))))-1), IF('To Order'!$A1904=COL"&amp;"UMNS($A1904:I1923), I1903&amp;RIGHT(INDIRECT(ADDRESS(ROW(I1904)-1, 'From Order'!$A1904)), 1), I1903))"),"")</f>
        <v/>
      </c>
    </row>
    <row r="1905">
      <c r="A1905" s="2" t="str">
        <f>IFERROR(__xludf.DUMMYFUNCTION("IF('From Order'!$A1905=COLUMNS($A1905:A1924), LEFT(INDEX(FILTER(A$1:A1904, A$1:A1904&lt;&gt;""""),COUNTA(FILTER(A$1:A1904, A$1:A1904&lt;&gt;""""))), LEN(INDEX(FILTER(A$1:A1904, A$1:A1904&lt;&gt;""""),COUNTA(FILTER(A$1:A1904, A$1:A1904&lt;&gt;""""))))-1), IF('To Order'!$A1905=COL"&amp;"UMNS($A1905:A1924), A1904&amp;RIGHT(INDIRECT(ADDRESS(ROW(A1905)-1, 'From Order'!$A1905)), 1), A1904))"),"")</f>
        <v/>
      </c>
      <c r="B1905" s="2" t="str">
        <f>IFERROR(__xludf.DUMMYFUNCTION("IF('From Order'!$A1905=COLUMNS($A1905:B1924), LEFT(INDEX(FILTER(B$1:B1904, B$1:B1904&lt;&gt;""""),COUNTA(FILTER(B$1:B1904, B$1:B1904&lt;&gt;""""))), LEN(INDEX(FILTER(B$1:B1904, B$1:B1904&lt;&gt;""""),COUNTA(FILTER(B$1:B1904, B$1:B1904&lt;&gt;""""))))-1), IF('To Order'!$A1905=COL"&amp;"UMNS($A1905:B1924), B1904&amp;RIGHT(INDIRECT(ADDRESS(ROW(B1905)-1, 'From Order'!$A1905)), 1), B1904))"),"")</f>
        <v/>
      </c>
      <c r="C1905" s="2" t="str">
        <f>IFERROR(__xludf.DUMMYFUNCTION("IF('From Order'!$A1905=COLUMNS($A1905:C1924), LEFT(INDEX(FILTER(C$1:C1904, C$1:C1904&lt;&gt;""""),COUNTA(FILTER(C$1:C1904, C$1:C1904&lt;&gt;""""))), LEN(INDEX(FILTER(C$1:C1904, C$1:C1904&lt;&gt;""""),COUNTA(FILTER(C$1:C1904, C$1:C1904&lt;&gt;""""))))-1), IF('To Order'!$A1905=COL"&amp;"UMNS($A1905:C1924), C1904&amp;RIGHT(INDIRECT(ADDRESS(ROW(C1905)-1, 'From Order'!$A1905)), 1), C1904))"),"DVDTMZHZDM")</f>
        <v>DVDTMZHZDM</v>
      </c>
      <c r="D1905" s="2" t="str">
        <f>IFERROR(__xludf.DUMMYFUNCTION("IF('From Order'!$A1905=COLUMNS($A1905:D1924), LEFT(INDEX(FILTER(D$1:D1904, D$1:D1904&lt;&gt;""""),COUNTA(FILTER(D$1:D1904, D$1:D1904&lt;&gt;""""))), LEN(INDEX(FILTER(D$1:D1904, D$1:D1904&lt;&gt;""""),COUNTA(FILTER(D$1:D1904, D$1:D1904&lt;&gt;""""))))-1), IF('To Order'!$A1905=COL"&amp;"UMNS($A1905:D1924), D1904&amp;RIGHT(INDIRECT(ADDRESS(ROW(D1905)-1, 'From Order'!$A1905)), 1), D1904))"),"RBJT")</f>
        <v>RBJT</v>
      </c>
      <c r="E1905" s="2" t="str">
        <f>IFERROR(__xludf.DUMMYFUNCTION("IF('From Order'!$A1905=COLUMNS($A1905:E1924), LEFT(INDEX(FILTER(E$1:E1904, E$1:E1904&lt;&gt;""""),COUNTA(FILTER(E$1:E1904, E$1:E1904&lt;&gt;""""))), LEN(INDEX(FILTER(E$1:E1904, E$1:E1904&lt;&gt;""""),COUNTA(FILTER(E$1:E1904, E$1:E1904&lt;&gt;""""))))-1), IF('To Order'!$A1905=COL"&amp;"UMNS($A1905:E1924), E1904&amp;RIGHT(INDIRECT(ADDRESS(ROW(E1905)-1, 'From Order'!$A1905)), 1), E1904))"),"CRG")</f>
        <v>CRG</v>
      </c>
      <c r="F1905" s="2" t="str">
        <f>IFERROR(__xludf.DUMMYFUNCTION("IF('From Order'!$A1905=COLUMNS($A1905:F1924), LEFT(INDEX(FILTER(F$1:F1904, F$1:F1904&lt;&gt;""""),COUNTA(FILTER(F$1:F1904, F$1:F1904&lt;&gt;""""))), LEN(INDEX(FILTER(F$1:F1904, F$1:F1904&lt;&gt;""""),COUNTA(FILTER(F$1:F1904, F$1:F1904&lt;&gt;""""))))-1), IF('To Order'!$A1905=COL"&amp;"UMNS($A1905:F1924), F1904&amp;RIGHT(INDIRECT(ADDRESS(ROW(F1905)-1, 'From Order'!$A1905)), 1), F1904))"),"LDSPBFLLWDDVQJPPSSTWZCSFHBBVRRJMGT")</f>
        <v>LDSPBFLLWDDVQJPPSSTWZCSFHBBVRRJMGT</v>
      </c>
      <c r="G1905" s="2" t="str">
        <f>IFERROR(__xludf.DUMMYFUNCTION("IF('From Order'!$A1905=COLUMNS($A1905:G1924), LEFT(INDEX(FILTER(G$1:G1904, G$1:G1904&lt;&gt;""""),COUNTA(FILTER(G$1:G1904, G$1:G1904&lt;&gt;""""))), LEN(INDEX(FILTER(G$1:G1904, G$1:G1904&lt;&gt;""""),COUNTA(FILTER(G$1:G1904, G$1:G1904&lt;&gt;""""))))-1), IF('To Order'!$A1905=COL"&amp;"UMNS($A1905:G1924), G1904&amp;RIGHT(INDIRECT(ADDRESS(ROW(G1905)-1, 'From Order'!$A1905)), 1), G1904))"),"")</f>
        <v/>
      </c>
      <c r="H1905" s="2" t="str">
        <f>IFERROR(__xludf.DUMMYFUNCTION("IF('From Order'!$A1905=COLUMNS($A1905:H1924), LEFT(INDEX(FILTER(H$1:H1904, H$1:H1904&lt;&gt;""""),COUNTA(FILTER(H$1:H1904, H$1:H1904&lt;&gt;""""))), LEN(INDEX(FILTER(H$1:H1904, H$1:H1904&lt;&gt;""""),COUNTA(FILTER(H$1:H1904, H$1:H1904&lt;&gt;""""))))-1), IF('To Order'!$A1905=COL"&amp;"UMNS($A1905:H1924), H1904&amp;RIGHT(INDIRECT(ADDRESS(ROW(H1905)-1, 'From Order'!$A1905)), 1), H1904))"),"QTRTC")</f>
        <v>QTRTC</v>
      </c>
      <c r="I1905" s="2" t="str">
        <f>IFERROR(__xludf.DUMMYFUNCTION("IF('From Order'!$A1905=COLUMNS($A1905:I1924), LEFT(INDEX(FILTER(I$1:I1904, I$1:I1904&lt;&gt;""""),COUNTA(FILTER(I$1:I1904, I$1:I1904&lt;&gt;""""))), LEN(INDEX(FILTER(I$1:I1904, I$1:I1904&lt;&gt;""""),COUNTA(FILTER(I$1:I1904, I$1:I1904&lt;&gt;""""))))-1), IF('To Order'!$A1905=COL"&amp;"UMNS($A1905:I1924), I1904&amp;RIGHT(INDIRECT(ADDRESS(ROW(I1905)-1, 'From Order'!$A1905)), 1), I1904))"),"")</f>
        <v/>
      </c>
    </row>
    <row r="1906">
      <c r="A1906" s="2" t="str">
        <f>IFERROR(__xludf.DUMMYFUNCTION("IF('From Order'!$A1906=COLUMNS($A1906:A1925), LEFT(INDEX(FILTER(A$1:A1905, A$1:A1905&lt;&gt;""""),COUNTA(FILTER(A$1:A1905, A$1:A1905&lt;&gt;""""))), LEN(INDEX(FILTER(A$1:A1905, A$1:A1905&lt;&gt;""""),COUNTA(FILTER(A$1:A1905, A$1:A1905&lt;&gt;""""))))-1), IF('To Order'!$A1906=COL"&amp;"UMNS($A1906:A1925), A1905&amp;RIGHT(INDIRECT(ADDRESS(ROW(A1906)-1, 'From Order'!$A1906)), 1), A1905))"),"")</f>
        <v/>
      </c>
      <c r="B1906" s="2" t="str">
        <f>IFERROR(__xludf.DUMMYFUNCTION("IF('From Order'!$A1906=COLUMNS($A1906:B1925), LEFT(INDEX(FILTER(B$1:B1905, B$1:B1905&lt;&gt;""""),COUNTA(FILTER(B$1:B1905, B$1:B1905&lt;&gt;""""))), LEN(INDEX(FILTER(B$1:B1905, B$1:B1905&lt;&gt;""""),COUNTA(FILTER(B$1:B1905, B$1:B1905&lt;&gt;""""))))-1), IF('To Order'!$A1906=COL"&amp;"UMNS($A1906:B1925), B1905&amp;RIGHT(INDIRECT(ADDRESS(ROW(B1906)-1, 'From Order'!$A1906)), 1), B1905))"),"")</f>
        <v/>
      </c>
      <c r="C1906" s="2" t="str">
        <f>IFERROR(__xludf.DUMMYFUNCTION("IF('From Order'!$A1906=COLUMNS($A1906:C1925), LEFT(INDEX(FILTER(C$1:C1905, C$1:C1905&lt;&gt;""""),COUNTA(FILTER(C$1:C1905, C$1:C1905&lt;&gt;""""))), LEN(INDEX(FILTER(C$1:C1905, C$1:C1905&lt;&gt;""""),COUNTA(FILTER(C$1:C1905, C$1:C1905&lt;&gt;""""))))-1), IF('To Order'!$A1906=COL"&amp;"UMNS($A1906:C1925), C1905&amp;RIGHT(INDIRECT(ADDRESS(ROW(C1906)-1, 'From Order'!$A1906)), 1), C1905))"),"DVDTMZHZDM")</f>
        <v>DVDTMZHZDM</v>
      </c>
      <c r="D1906" s="2" t="str">
        <f>IFERROR(__xludf.DUMMYFUNCTION("IF('From Order'!$A1906=COLUMNS($A1906:D1925), LEFT(INDEX(FILTER(D$1:D1905, D$1:D1905&lt;&gt;""""),COUNTA(FILTER(D$1:D1905, D$1:D1905&lt;&gt;""""))), LEN(INDEX(FILTER(D$1:D1905, D$1:D1905&lt;&gt;""""),COUNTA(FILTER(D$1:D1905, D$1:D1905&lt;&gt;""""))))-1), IF('To Order'!$A1906=COL"&amp;"UMNS($A1906:D1925), D1905&amp;RIGHT(INDIRECT(ADDRESS(ROW(D1906)-1, 'From Order'!$A1906)), 1), D1905))"),"RBJ")</f>
        <v>RBJ</v>
      </c>
      <c r="E1906" s="2" t="str">
        <f>IFERROR(__xludf.DUMMYFUNCTION("IF('From Order'!$A1906=COLUMNS($A1906:E1925), LEFT(INDEX(FILTER(E$1:E1905, E$1:E1905&lt;&gt;""""),COUNTA(FILTER(E$1:E1905, E$1:E1905&lt;&gt;""""))), LEN(INDEX(FILTER(E$1:E1905, E$1:E1905&lt;&gt;""""),COUNTA(FILTER(E$1:E1905, E$1:E1905&lt;&gt;""""))))-1), IF('To Order'!$A1906=COL"&amp;"UMNS($A1906:E1925), E1905&amp;RIGHT(INDIRECT(ADDRESS(ROW(E1906)-1, 'From Order'!$A1906)), 1), E1905))"),"CRG")</f>
        <v>CRG</v>
      </c>
      <c r="F1906" s="2" t="str">
        <f>IFERROR(__xludf.DUMMYFUNCTION("IF('From Order'!$A1906=COLUMNS($A1906:F1925), LEFT(INDEX(FILTER(F$1:F1905, F$1:F1905&lt;&gt;""""),COUNTA(FILTER(F$1:F1905, F$1:F1905&lt;&gt;""""))), LEN(INDEX(FILTER(F$1:F1905, F$1:F1905&lt;&gt;""""),COUNTA(FILTER(F$1:F1905, F$1:F1905&lt;&gt;""""))))-1), IF('To Order'!$A1906=COL"&amp;"UMNS($A1906:F1925), F1905&amp;RIGHT(INDIRECT(ADDRESS(ROW(F1906)-1, 'From Order'!$A1906)), 1), F1905))"),"LDSPBFLLWDDVQJPPSSTWZCSFHBBVRRJMGTT")</f>
        <v>LDSPBFLLWDDVQJPPSSTWZCSFHBBVRRJMGTT</v>
      </c>
      <c r="G1906" s="2" t="str">
        <f>IFERROR(__xludf.DUMMYFUNCTION("IF('From Order'!$A1906=COLUMNS($A1906:G1925), LEFT(INDEX(FILTER(G$1:G1905, G$1:G1905&lt;&gt;""""),COUNTA(FILTER(G$1:G1905, G$1:G1905&lt;&gt;""""))), LEN(INDEX(FILTER(G$1:G1905, G$1:G1905&lt;&gt;""""),COUNTA(FILTER(G$1:G1905, G$1:G1905&lt;&gt;""""))))-1), IF('To Order'!$A1906=COL"&amp;"UMNS($A1906:G1925), G1905&amp;RIGHT(INDIRECT(ADDRESS(ROW(G1906)-1, 'From Order'!$A1906)), 1), G1905))"),"")</f>
        <v/>
      </c>
      <c r="H1906" s="2" t="str">
        <f>IFERROR(__xludf.DUMMYFUNCTION("IF('From Order'!$A1906=COLUMNS($A1906:H1925), LEFT(INDEX(FILTER(H$1:H1905, H$1:H1905&lt;&gt;""""),COUNTA(FILTER(H$1:H1905, H$1:H1905&lt;&gt;""""))), LEN(INDEX(FILTER(H$1:H1905, H$1:H1905&lt;&gt;""""),COUNTA(FILTER(H$1:H1905, H$1:H1905&lt;&gt;""""))))-1), IF('To Order'!$A1906=COL"&amp;"UMNS($A1906:H1925), H1905&amp;RIGHT(INDIRECT(ADDRESS(ROW(H1906)-1, 'From Order'!$A1906)), 1), H1905))"),"QTRTC")</f>
        <v>QTRTC</v>
      </c>
      <c r="I1906" s="2" t="str">
        <f>IFERROR(__xludf.DUMMYFUNCTION("IF('From Order'!$A1906=COLUMNS($A1906:I1925), LEFT(INDEX(FILTER(I$1:I1905, I$1:I1905&lt;&gt;""""),COUNTA(FILTER(I$1:I1905, I$1:I1905&lt;&gt;""""))), LEN(INDEX(FILTER(I$1:I1905, I$1:I1905&lt;&gt;""""),COUNTA(FILTER(I$1:I1905, I$1:I1905&lt;&gt;""""))))-1), IF('To Order'!$A1906=COL"&amp;"UMNS($A1906:I1925), I1905&amp;RIGHT(INDIRECT(ADDRESS(ROW(I1906)-1, 'From Order'!$A1906)), 1), I1905))"),"")</f>
        <v/>
      </c>
    </row>
    <row r="1907">
      <c r="A1907" s="2" t="str">
        <f>IFERROR(__xludf.DUMMYFUNCTION("IF('From Order'!$A1907=COLUMNS($A1907:A1926), LEFT(INDEX(FILTER(A$1:A1906, A$1:A1906&lt;&gt;""""),COUNTA(FILTER(A$1:A1906, A$1:A1906&lt;&gt;""""))), LEN(INDEX(FILTER(A$1:A1906, A$1:A1906&lt;&gt;""""),COUNTA(FILTER(A$1:A1906, A$1:A1906&lt;&gt;""""))))-1), IF('To Order'!$A1907=COL"&amp;"UMNS($A1907:A1926), A1906&amp;RIGHT(INDIRECT(ADDRESS(ROW(A1907)-1, 'From Order'!$A1907)), 1), A1906))"),"")</f>
        <v/>
      </c>
      <c r="B1907" s="2" t="str">
        <f>IFERROR(__xludf.DUMMYFUNCTION("IF('From Order'!$A1907=COLUMNS($A1907:B1926), LEFT(INDEX(FILTER(B$1:B1906, B$1:B1906&lt;&gt;""""),COUNTA(FILTER(B$1:B1906, B$1:B1906&lt;&gt;""""))), LEN(INDEX(FILTER(B$1:B1906, B$1:B1906&lt;&gt;""""),COUNTA(FILTER(B$1:B1906, B$1:B1906&lt;&gt;""""))))-1), IF('To Order'!$A1907=COL"&amp;"UMNS($A1907:B1926), B1906&amp;RIGHT(INDIRECT(ADDRESS(ROW(B1907)-1, 'From Order'!$A1907)), 1), B1906))"),"C")</f>
        <v>C</v>
      </c>
      <c r="C1907" s="2" t="str">
        <f>IFERROR(__xludf.DUMMYFUNCTION("IF('From Order'!$A1907=COLUMNS($A1907:C1926), LEFT(INDEX(FILTER(C$1:C1906, C$1:C1906&lt;&gt;""""),COUNTA(FILTER(C$1:C1906, C$1:C1906&lt;&gt;""""))), LEN(INDEX(FILTER(C$1:C1906, C$1:C1906&lt;&gt;""""),COUNTA(FILTER(C$1:C1906, C$1:C1906&lt;&gt;""""))))-1), IF('To Order'!$A1907=COL"&amp;"UMNS($A1907:C1926), C1906&amp;RIGHT(INDIRECT(ADDRESS(ROW(C1907)-1, 'From Order'!$A1907)), 1), C1906))"),"DVDTMZHZDM")</f>
        <v>DVDTMZHZDM</v>
      </c>
      <c r="D1907" s="2" t="str">
        <f>IFERROR(__xludf.DUMMYFUNCTION("IF('From Order'!$A1907=COLUMNS($A1907:D1926), LEFT(INDEX(FILTER(D$1:D1906, D$1:D1906&lt;&gt;""""),COUNTA(FILTER(D$1:D1906, D$1:D1906&lt;&gt;""""))), LEN(INDEX(FILTER(D$1:D1906, D$1:D1906&lt;&gt;""""),COUNTA(FILTER(D$1:D1906, D$1:D1906&lt;&gt;""""))))-1), IF('To Order'!$A1907=COL"&amp;"UMNS($A1907:D1926), D1906&amp;RIGHT(INDIRECT(ADDRESS(ROW(D1907)-1, 'From Order'!$A1907)), 1), D1906))"),"RBJ")</f>
        <v>RBJ</v>
      </c>
      <c r="E1907" s="2" t="str">
        <f>IFERROR(__xludf.DUMMYFUNCTION("IF('From Order'!$A1907=COLUMNS($A1907:E1926), LEFT(INDEX(FILTER(E$1:E1906, E$1:E1906&lt;&gt;""""),COUNTA(FILTER(E$1:E1906, E$1:E1906&lt;&gt;""""))), LEN(INDEX(FILTER(E$1:E1906, E$1:E1906&lt;&gt;""""),COUNTA(FILTER(E$1:E1906, E$1:E1906&lt;&gt;""""))))-1), IF('To Order'!$A1907=COL"&amp;"UMNS($A1907:E1926), E1906&amp;RIGHT(INDIRECT(ADDRESS(ROW(E1907)-1, 'From Order'!$A1907)), 1), E1906))"),"CRG")</f>
        <v>CRG</v>
      </c>
      <c r="F1907" s="2" t="str">
        <f>IFERROR(__xludf.DUMMYFUNCTION("IF('From Order'!$A1907=COLUMNS($A1907:F1926), LEFT(INDEX(FILTER(F$1:F1906, F$1:F1906&lt;&gt;""""),COUNTA(FILTER(F$1:F1906, F$1:F1906&lt;&gt;""""))), LEN(INDEX(FILTER(F$1:F1906, F$1:F1906&lt;&gt;""""),COUNTA(FILTER(F$1:F1906, F$1:F1906&lt;&gt;""""))))-1), IF('To Order'!$A1907=COL"&amp;"UMNS($A1907:F1926), F1906&amp;RIGHT(INDIRECT(ADDRESS(ROW(F1907)-1, 'From Order'!$A1907)), 1), F1906))"),"LDSPBFLLWDDVQJPPSSTWZCSFHBBVRRJMGTT")</f>
        <v>LDSPBFLLWDDVQJPPSSTWZCSFHBBVRRJMGTT</v>
      </c>
      <c r="G1907" s="2" t="str">
        <f>IFERROR(__xludf.DUMMYFUNCTION("IF('From Order'!$A1907=COLUMNS($A1907:G1926), LEFT(INDEX(FILTER(G$1:G1906, G$1:G1906&lt;&gt;""""),COUNTA(FILTER(G$1:G1906, G$1:G1906&lt;&gt;""""))), LEN(INDEX(FILTER(G$1:G1906, G$1:G1906&lt;&gt;""""),COUNTA(FILTER(G$1:G1906, G$1:G1906&lt;&gt;""""))))-1), IF('To Order'!$A1907=COL"&amp;"UMNS($A1907:G1926), G1906&amp;RIGHT(INDIRECT(ADDRESS(ROW(G1907)-1, 'From Order'!$A1907)), 1), G1906))"),"")</f>
        <v/>
      </c>
      <c r="H1907" s="2" t="str">
        <f>IFERROR(__xludf.DUMMYFUNCTION("IF('From Order'!$A1907=COLUMNS($A1907:H1926), LEFT(INDEX(FILTER(H$1:H1906, H$1:H1906&lt;&gt;""""),COUNTA(FILTER(H$1:H1906, H$1:H1906&lt;&gt;""""))), LEN(INDEX(FILTER(H$1:H1906, H$1:H1906&lt;&gt;""""),COUNTA(FILTER(H$1:H1906, H$1:H1906&lt;&gt;""""))))-1), IF('To Order'!$A1907=COL"&amp;"UMNS($A1907:H1926), H1906&amp;RIGHT(INDIRECT(ADDRESS(ROW(H1907)-1, 'From Order'!$A1907)), 1), H1906))"),"QTRT")</f>
        <v>QTRT</v>
      </c>
      <c r="I1907" s="2" t="str">
        <f>IFERROR(__xludf.DUMMYFUNCTION("IF('From Order'!$A1907=COLUMNS($A1907:I1926), LEFT(INDEX(FILTER(I$1:I1906, I$1:I1906&lt;&gt;""""),COUNTA(FILTER(I$1:I1906, I$1:I1906&lt;&gt;""""))), LEN(INDEX(FILTER(I$1:I1906, I$1:I1906&lt;&gt;""""),COUNTA(FILTER(I$1:I1906, I$1:I1906&lt;&gt;""""))))-1), IF('To Order'!$A1907=COL"&amp;"UMNS($A1907:I1926), I1906&amp;RIGHT(INDIRECT(ADDRESS(ROW(I1907)-1, 'From Order'!$A1907)), 1), I1906))"),"")</f>
        <v/>
      </c>
    </row>
    <row r="1908">
      <c r="A1908" s="2" t="str">
        <f>IFERROR(__xludf.DUMMYFUNCTION("IF('From Order'!$A1908=COLUMNS($A1908:A1927), LEFT(INDEX(FILTER(A$1:A1907, A$1:A1907&lt;&gt;""""),COUNTA(FILTER(A$1:A1907, A$1:A1907&lt;&gt;""""))), LEN(INDEX(FILTER(A$1:A1907, A$1:A1907&lt;&gt;""""),COUNTA(FILTER(A$1:A1907, A$1:A1907&lt;&gt;""""))))-1), IF('To Order'!$A1908=COL"&amp;"UMNS($A1908:A1927), A1907&amp;RIGHT(INDIRECT(ADDRESS(ROW(A1908)-1, 'From Order'!$A1908)), 1), A1907))"),"")</f>
        <v/>
      </c>
      <c r="B1908" s="2" t="str">
        <f>IFERROR(__xludf.DUMMYFUNCTION("IF('From Order'!$A1908=COLUMNS($A1908:B1927), LEFT(INDEX(FILTER(B$1:B1907, B$1:B1907&lt;&gt;""""),COUNTA(FILTER(B$1:B1907, B$1:B1907&lt;&gt;""""))), LEN(INDEX(FILTER(B$1:B1907, B$1:B1907&lt;&gt;""""),COUNTA(FILTER(B$1:B1907, B$1:B1907&lt;&gt;""""))))-1), IF('To Order'!$A1908=COL"&amp;"UMNS($A1908:B1927), B1907&amp;RIGHT(INDIRECT(ADDRESS(ROW(B1908)-1, 'From Order'!$A1908)), 1), B1907))"),"")</f>
        <v/>
      </c>
      <c r="C1908" s="2" t="str">
        <f>IFERROR(__xludf.DUMMYFUNCTION("IF('From Order'!$A1908=COLUMNS($A1908:C1927), LEFT(INDEX(FILTER(C$1:C1907, C$1:C1907&lt;&gt;""""),COUNTA(FILTER(C$1:C1907, C$1:C1907&lt;&gt;""""))), LEN(INDEX(FILTER(C$1:C1907, C$1:C1907&lt;&gt;""""),COUNTA(FILTER(C$1:C1907, C$1:C1907&lt;&gt;""""))))-1), IF('To Order'!$A1908=COL"&amp;"UMNS($A1908:C1927), C1907&amp;RIGHT(INDIRECT(ADDRESS(ROW(C1908)-1, 'From Order'!$A1908)), 1), C1907))"),"DVDTMZHZDM")</f>
        <v>DVDTMZHZDM</v>
      </c>
      <c r="D1908" s="2" t="str">
        <f>IFERROR(__xludf.DUMMYFUNCTION("IF('From Order'!$A1908=COLUMNS($A1908:D1927), LEFT(INDEX(FILTER(D$1:D1907, D$1:D1907&lt;&gt;""""),COUNTA(FILTER(D$1:D1907, D$1:D1907&lt;&gt;""""))), LEN(INDEX(FILTER(D$1:D1907, D$1:D1907&lt;&gt;""""),COUNTA(FILTER(D$1:D1907, D$1:D1907&lt;&gt;""""))))-1), IF('To Order'!$A1908=COL"&amp;"UMNS($A1908:D1927), D1907&amp;RIGHT(INDIRECT(ADDRESS(ROW(D1908)-1, 'From Order'!$A1908)), 1), D1907))"),"RBJC")</f>
        <v>RBJC</v>
      </c>
      <c r="E1908" s="2" t="str">
        <f>IFERROR(__xludf.DUMMYFUNCTION("IF('From Order'!$A1908=COLUMNS($A1908:E1927), LEFT(INDEX(FILTER(E$1:E1907, E$1:E1907&lt;&gt;""""),COUNTA(FILTER(E$1:E1907, E$1:E1907&lt;&gt;""""))), LEN(INDEX(FILTER(E$1:E1907, E$1:E1907&lt;&gt;""""),COUNTA(FILTER(E$1:E1907, E$1:E1907&lt;&gt;""""))))-1), IF('To Order'!$A1908=COL"&amp;"UMNS($A1908:E1927), E1907&amp;RIGHT(INDIRECT(ADDRESS(ROW(E1908)-1, 'From Order'!$A1908)), 1), E1907))"),"CRG")</f>
        <v>CRG</v>
      </c>
      <c r="F1908" s="2" t="str">
        <f>IFERROR(__xludf.DUMMYFUNCTION("IF('From Order'!$A1908=COLUMNS($A1908:F1927), LEFT(INDEX(FILTER(F$1:F1907, F$1:F1907&lt;&gt;""""),COUNTA(FILTER(F$1:F1907, F$1:F1907&lt;&gt;""""))), LEN(INDEX(FILTER(F$1:F1907, F$1:F1907&lt;&gt;""""),COUNTA(FILTER(F$1:F1907, F$1:F1907&lt;&gt;""""))))-1), IF('To Order'!$A1908=COL"&amp;"UMNS($A1908:F1927), F1907&amp;RIGHT(INDIRECT(ADDRESS(ROW(F1908)-1, 'From Order'!$A1908)), 1), F1907))"),"LDSPBFLLWDDVQJPPSSTWZCSFHBBVRRJMGTT")</f>
        <v>LDSPBFLLWDDVQJPPSSTWZCSFHBBVRRJMGTT</v>
      </c>
      <c r="G1908" s="2" t="str">
        <f>IFERROR(__xludf.DUMMYFUNCTION("IF('From Order'!$A1908=COLUMNS($A1908:G1927), LEFT(INDEX(FILTER(G$1:G1907, G$1:G1907&lt;&gt;""""),COUNTA(FILTER(G$1:G1907, G$1:G1907&lt;&gt;""""))), LEN(INDEX(FILTER(G$1:G1907, G$1:G1907&lt;&gt;""""),COUNTA(FILTER(G$1:G1907, G$1:G1907&lt;&gt;""""))))-1), IF('To Order'!$A1908=COL"&amp;"UMNS($A1908:G1927), G1907&amp;RIGHT(INDIRECT(ADDRESS(ROW(G1908)-1, 'From Order'!$A1908)), 1), G1907))"),"")</f>
        <v/>
      </c>
      <c r="H1908" s="2" t="str">
        <f>IFERROR(__xludf.DUMMYFUNCTION("IF('From Order'!$A1908=COLUMNS($A1908:H1927), LEFT(INDEX(FILTER(H$1:H1907, H$1:H1907&lt;&gt;""""),COUNTA(FILTER(H$1:H1907, H$1:H1907&lt;&gt;""""))), LEN(INDEX(FILTER(H$1:H1907, H$1:H1907&lt;&gt;""""),COUNTA(FILTER(H$1:H1907, H$1:H1907&lt;&gt;""""))))-1), IF('To Order'!$A1908=COL"&amp;"UMNS($A1908:H1927), H1907&amp;RIGHT(INDIRECT(ADDRESS(ROW(H1908)-1, 'From Order'!$A1908)), 1), H1907))"),"QTRT")</f>
        <v>QTRT</v>
      </c>
      <c r="I1908" s="2" t="str">
        <f>IFERROR(__xludf.DUMMYFUNCTION("IF('From Order'!$A1908=COLUMNS($A1908:I1927), LEFT(INDEX(FILTER(I$1:I1907, I$1:I1907&lt;&gt;""""),COUNTA(FILTER(I$1:I1907, I$1:I1907&lt;&gt;""""))), LEN(INDEX(FILTER(I$1:I1907, I$1:I1907&lt;&gt;""""),COUNTA(FILTER(I$1:I1907, I$1:I1907&lt;&gt;""""))))-1), IF('To Order'!$A1908=COL"&amp;"UMNS($A1908:I1927), I1907&amp;RIGHT(INDIRECT(ADDRESS(ROW(I1908)-1, 'From Order'!$A1908)), 1), I1907))"),"")</f>
        <v/>
      </c>
    </row>
    <row r="1909">
      <c r="A1909" s="2" t="str">
        <f>IFERROR(__xludf.DUMMYFUNCTION("IF('From Order'!$A1909=COLUMNS($A1909:A1928), LEFT(INDEX(FILTER(A$1:A1908, A$1:A1908&lt;&gt;""""),COUNTA(FILTER(A$1:A1908, A$1:A1908&lt;&gt;""""))), LEN(INDEX(FILTER(A$1:A1908, A$1:A1908&lt;&gt;""""),COUNTA(FILTER(A$1:A1908, A$1:A1908&lt;&gt;""""))))-1), IF('To Order'!$A1909=COL"&amp;"UMNS($A1909:A1928), A1908&amp;RIGHT(INDIRECT(ADDRESS(ROW(A1909)-1, 'From Order'!$A1909)), 1), A1908))"),"")</f>
        <v/>
      </c>
      <c r="B1909" s="2" t="str">
        <f>IFERROR(__xludf.DUMMYFUNCTION("IF('From Order'!$A1909=COLUMNS($A1909:B1928), LEFT(INDEX(FILTER(B$1:B1908, B$1:B1908&lt;&gt;""""),COUNTA(FILTER(B$1:B1908, B$1:B1908&lt;&gt;""""))), LEN(INDEX(FILTER(B$1:B1908, B$1:B1908&lt;&gt;""""),COUNTA(FILTER(B$1:B1908, B$1:B1908&lt;&gt;""""))))-1), IF('To Order'!$A1909=COL"&amp;"UMNS($A1909:B1928), B1908&amp;RIGHT(INDIRECT(ADDRESS(ROW(B1909)-1, 'From Order'!$A1909)), 1), B1908))"),"")</f>
        <v/>
      </c>
      <c r="C1909" s="2" t="str">
        <f>IFERROR(__xludf.DUMMYFUNCTION("IF('From Order'!$A1909=COLUMNS($A1909:C1928), LEFT(INDEX(FILTER(C$1:C1908, C$1:C1908&lt;&gt;""""),COUNTA(FILTER(C$1:C1908, C$1:C1908&lt;&gt;""""))), LEN(INDEX(FILTER(C$1:C1908, C$1:C1908&lt;&gt;""""),COUNTA(FILTER(C$1:C1908, C$1:C1908&lt;&gt;""""))))-1), IF('To Order'!$A1909=COL"&amp;"UMNS($A1909:C1928), C1908&amp;RIGHT(INDIRECT(ADDRESS(ROW(C1909)-1, 'From Order'!$A1909)), 1), C1908))"),"DVDTMZHZD")</f>
        <v>DVDTMZHZD</v>
      </c>
      <c r="D1909" s="2" t="str">
        <f>IFERROR(__xludf.DUMMYFUNCTION("IF('From Order'!$A1909=COLUMNS($A1909:D1928), LEFT(INDEX(FILTER(D$1:D1908, D$1:D1908&lt;&gt;""""),COUNTA(FILTER(D$1:D1908, D$1:D1908&lt;&gt;""""))), LEN(INDEX(FILTER(D$1:D1908, D$1:D1908&lt;&gt;""""),COUNTA(FILTER(D$1:D1908, D$1:D1908&lt;&gt;""""))))-1), IF('To Order'!$A1909=COL"&amp;"UMNS($A1909:D1928), D1908&amp;RIGHT(INDIRECT(ADDRESS(ROW(D1909)-1, 'From Order'!$A1909)), 1), D1908))"),"RBJC")</f>
        <v>RBJC</v>
      </c>
      <c r="E1909" s="2" t="str">
        <f>IFERROR(__xludf.DUMMYFUNCTION("IF('From Order'!$A1909=COLUMNS($A1909:E1928), LEFT(INDEX(FILTER(E$1:E1908, E$1:E1908&lt;&gt;""""),COUNTA(FILTER(E$1:E1908, E$1:E1908&lt;&gt;""""))), LEN(INDEX(FILTER(E$1:E1908, E$1:E1908&lt;&gt;""""),COUNTA(FILTER(E$1:E1908, E$1:E1908&lt;&gt;""""))))-1), IF('To Order'!$A1909=COL"&amp;"UMNS($A1909:E1928), E1908&amp;RIGHT(INDIRECT(ADDRESS(ROW(E1909)-1, 'From Order'!$A1909)), 1), E1908))"),"CRG")</f>
        <v>CRG</v>
      </c>
      <c r="F1909" s="2" t="str">
        <f>IFERROR(__xludf.DUMMYFUNCTION("IF('From Order'!$A1909=COLUMNS($A1909:F1928), LEFT(INDEX(FILTER(F$1:F1908, F$1:F1908&lt;&gt;""""),COUNTA(FILTER(F$1:F1908, F$1:F1908&lt;&gt;""""))), LEN(INDEX(FILTER(F$1:F1908, F$1:F1908&lt;&gt;""""),COUNTA(FILTER(F$1:F1908, F$1:F1908&lt;&gt;""""))))-1), IF('To Order'!$A1909=COL"&amp;"UMNS($A1909:F1928), F1908&amp;RIGHT(INDIRECT(ADDRESS(ROW(F1909)-1, 'From Order'!$A1909)), 1), F1908))"),"LDSPBFLLWDDVQJPPSSTWZCSFHBBVRRJMGTTM")</f>
        <v>LDSPBFLLWDDVQJPPSSTWZCSFHBBVRRJMGTTM</v>
      </c>
      <c r="G1909" s="2" t="str">
        <f>IFERROR(__xludf.DUMMYFUNCTION("IF('From Order'!$A1909=COLUMNS($A1909:G1928), LEFT(INDEX(FILTER(G$1:G1908, G$1:G1908&lt;&gt;""""),COUNTA(FILTER(G$1:G1908, G$1:G1908&lt;&gt;""""))), LEN(INDEX(FILTER(G$1:G1908, G$1:G1908&lt;&gt;""""),COUNTA(FILTER(G$1:G1908, G$1:G1908&lt;&gt;""""))))-1), IF('To Order'!$A1909=COL"&amp;"UMNS($A1909:G1928), G1908&amp;RIGHT(INDIRECT(ADDRESS(ROW(G1909)-1, 'From Order'!$A1909)), 1), G1908))"),"")</f>
        <v/>
      </c>
      <c r="H1909" s="2" t="str">
        <f>IFERROR(__xludf.DUMMYFUNCTION("IF('From Order'!$A1909=COLUMNS($A1909:H1928), LEFT(INDEX(FILTER(H$1:H1908, H$1:H1908&lt;&gt;""""),COUNTA(FILTER(H$1:H1908, H$1:H1908&lt;&gt;""""))), LEN(INDEX(FILTER(H$1:H1908, H$1:H1908&lt;&gt;""""),COUNTA(FILTER(H$1:H1908, H$1:H1908&lt;&gt;""""))))-1), IF('To Order'!$A1909=COL"&amp;"UMNS($A1909:H1928), H1908&amp;RIGHT(INDIRECT(ADDRESS(ROW(H1909)-1, 'From Order'!$A1909)), 1), H1908))"),"QTRT")</f>
        <v>QTRT</v>
      </c>
      <c r="I1909" s="2" t="str">
        <f>IFERROR(__xludf.DUMMYFUNCTION("IF('From Order'!$A1909=COLUMNS($A1909:I1928), LEFT(INDEX(FILTER(I$1:I1908, I$1:I1908&lt;&gt;""""),COUNTA(FILTER(I$1:I1908, I$1:I1908&lt;&gt;""""))), LEN(INDEX(FILTER(I$1:I1908, I$1:I1908&lt;&gt;""""),COUNTA(FILTER(I$1:I1908, I$1:I1908&lt;&gt;""""))))-1), IF('To Order'!$A1909=COL"&amp;"UMNS($A1909:I1928), I1908&amp;RIGHT(INDIRECT(ADDRESS(ROW(I1909)-1, 'From Order'!$A1909)), 1), I1908))"),"")</f>
        <v/>
      </c>
    </row>
    <row r="1910">
      <c r="A1910" s="2" t="str">
        <f>IFERROR(__xludf.DUMMYFUNCTION("IF('From Order'!$A1910=COLUMNS($A1910:A1929), LEFT(INDEX(FILTER(A$1:A1909, A$1:A1909&lt;&gt;""""),COUNTA(FILTER(A$1:A1909, A$1:A1909&lt;&gt;""""))), LEN(INDEX(FILTER(A$1:A1909, A$1:A1909&lt;&gt;""""),COUNTA(FILTER(A$1:A1909, A$1:A1909&lt;&gt;""""))))-1), IF('To Order'!$A1910=COL"&amp;"UMNS($A1910:A1929), A1909&amp;RIGHT(INDIRECT(ADDRESS(ROW(A1910)-1, 'From Order'!$A1910)), 1), A1909))"),"")</f>
        <v/>
      </c>
      <c r="B1910" s="2" t="str">
        <f>IFERROR(__xludf.DUMMYFUNCTION("IF('From Order'!$A1910=COLUMNS($A1910:B1929), LEFT(INDEX(FILTER(B$1:B1909, B$1:B1909&lt;&gt;""""),COUNTA(FILTER(B$1:B1909, B$1:B1909&lt;&gt;""""))), LEN(INDEX(FILTER(B$1:B1909, B$1:B1909&lt;&gt;""""),COUNTA(FILTER(B$1:B1909, B$1:B1909&lt;&gt;""""))))-1), IF('To Order'!$A1910=COL"&amp;"UMNS($A1910:B1929), B1909&amp;RIGHT(INDIRECT(ADDRESS(ROW(B1910)-1, 'From Order'!$A1910)), 1), B1909))"),"")</f>
        <v/>
      </c>
      <c r="C1910" s="2" t="str">
        <f>IFERROR(__xludf.DUMMYFUNCTION("IF('From Order'!$A1910=COLUMNS($A1910:C1929), LEFT(INDEX(FILTER(C$1:C1909, C$1:C1909&lt;&gt;""""),COUNTA(FILTER(C$1:C1909, C$1:C1909&lt;&gt;""""))), LEN(INDEX(FILTER(C$1:C1909, C$1:C1909&lt;&gt;""""),COUNTA(FILTER(C$1:C1909, C$1:C1909&lt;&gt;""""))))-1), IF('To Order'!$A1910=COL"&amp;"UMNS($A1910:C1929), C1909&amp;RIGHT(INDIRECT(ADDRESS(ROW(C1910)-1, 'From Order'!$A1910)), 1), C1909))"),"DVDTMZHZ")</f>
        <v>DVDTMZHZ</v>
      </c>
      <c r="D1910" s="2" t="str">
        <f>IFERROR(__xludf.DUMMYFUNCTION("IF('From Order'!$A1910=COLUMNS($A1910:D1929), LEFT(INDEX(FILTER(D$1:D1909, D$1:D1909&lt;&gt;""""),COUNTA(FILTER(D$1:D1909, D$1:D1909&lt;&gt;""""))), LEN(INDEX(FILTER(D$1:D1909, D$1:D1909&lt;&gt;""""),COUNTA(FILTER(D$1:D1909, D$1:D1909&lt;&gt;""""))))-1), IF('To Order'!$A1910=COL"&amp;"UMNS($A1910:D1929), D1909&amp;RIGHT(INDIRECT(ADDRESS(ROW(D1910)-1, 'From Order'!$A1910)), 1), D1909))"),"RBJC")</f>
        <v>RBJC</v>
      </c>
      <c r="E1910" s="2" t="str">
        <f>IFERROR(__xludf.DUMMYFUNCTION("IF('From Order'!$A1910=COLUMNS($A1910:E1929), LEFT(INDEX(FILTER(E$1:E1909, E$1:E1909&lt;&gt;""""),COUNTA(FILTER(E$1:E1909, E$1:E1909&lt;&gt;""""))), LEN(INDEX(FILTER(E$1:E1909, E$1:E1909&lt;&gt;""""),COUNTA(FILTER(E$1:E1909, E$1:E1909&lt;&gt;""""))))-1), IF('To Order'!$A1910=COL"&amp;"UMNS($A1910:E1929), E1909&amp;RIGHT(INDIRECT(ADDRESS(ROW(E1910)-1, 'From Order'!$A1910)), 1), E1909))"),"CRG")</f>
        <v>CRG</v>
      </c>
      <c r="F1910" s="2" t="str">
        <f>IFERROR(__xludf.DUMMYFUNCTION("IF('From Order'!$A1910=COLUMNS($A1910:F1929), LEFT(INDEX(FILTER(F$1:F1909, F$1:F1909&lt;&gt;""""),COUNTA(FILTER(F$1:F1909, F$1:F1909&lt;&gt;""""))), LEN(INDEX(FILTER(F$1:F1909, F$1:F1909&lt;&gt;""""),COUNTA(FILTER(F$1:F1909, F$1:F1909&lt;&gt;""""))))-1), IF('To Order'!$A1910=COL"&amp;"UMNS($A1910:F1929), F1909&amp;RIGHT(INDIRECT(ADDRESS(ROW(F1910)-1, 'From Order'!$A1910)), 1), F1909))"),"LDSPBFLLWDDVQJPPSSTWZCSFHBBVRRJMGTTMD")</f>
        <v>LDSPBFLLWDDVQJPPSSTWZCSFHBBVRRJMGTTMD</v>
      </c>
      <c r="G1910" s="2" t="str">
        <f>IFERROR(__xludf.DUMMYFUNCTION("IF('From Order'!$A1910=COLUMNS($A1910:G1929), LEFT(INDEX(FILTER(G$1:G1909, G$1:G1909&lt;&gt;""""),COUNTA(FILTER(G$1:G1909, G$1:G1909&lt;&gt;""""))), LEN(INDEX(FILTER(G$1:G1909, G$1:G1909&lt;&gt;""""),COUNTA(FILTER(G$1:G1909, G$1:G1909&lt;&gt;""""))))-1), IF('To Order'!$A1910=COL"&amp;"UMNS($A1910:G1929), G1909&amp;RIGHT(INDIRECT(ADDRESS(ROW(G1910)-1, 'From Order'!$A1910)), 1), G1909))"),"")</f>
        <v/>
      </c>
      <c r="H1910" s="2" t="str">
        <f>IFERROR(__xludf.DUMMYFUNCTION("IF('From Order'!$A1910=COLUMNS($A1910:H1929), LEFT(INDEX(FILTER(H$1:H1909, H$1:H1909&lt;&gt;""""),COUNTA(FILTER(H$1:H1909, H$1:H1909&lt;&gt;""""))), LEN(INDEX(FILTER(H$1:H1909, H$1:H1909&lt;&gt;""""),COUNTA(FILTER(H$1:H1909, H$1:H1909&lt;&gt;""""))))-1), IF('To Order'!$A1910=COL"&amp;"UMNS($A1910:H1929), H1909&amp;RIGHT(INDIRECT(ADDRESS(ROW(H1910)-1, 'From Order'!$A1910)), 1), H1909))"),"QTRT")</f>
        <v>QTRT</v>
      </c>
      <c r="I1910" s="2" t="str">
        <f>IFERROR(__xludf.DUMMYFUNCTION("IF('From Order'!$A1910=COLUMNS($A1910:I1929), LEFT(INDEX(FILTER(I$1:I1909, I$1:I1909&lt;&gt;""""),COUNTA(FILTER(I$1:I1909, I$1:I1909&lt;&gt;""""))), LEN(INDEX(FILTER(I$1:I1909, I$1:I1909&lt;&gt;""""),COUNTA(FILTER(I$1:I1909, I$1:I1909&lt;&gt;""""))))-1), IF('To Order'!$A1910=COL"&amp;"UMNS($A1910:I1929), I1909&amp;RIGHT(INDIRECT(ADDRESS(ROW(I1910)-1, 'From Order'!$A1910)), 1), I1909))"),"")</f>
        <v/>
      </c>
    </row>
    <row r="1911">
      <c r="A1911" s="2" t="str">
        <f>IFERROR(__xludf.DUMMYFUNCTION("IF('From Order'!$A1911=COLUMNS($A1911:A1930), LEFT(INDEX(FILTER(A$1:A1910, A$1:A1910&lt;&gt;""""),COUNTA(FILTER(A$1:A1910, A$1:A1910&lt;&gt;""""))), LEN(INDEX(FILTER(A$1:A1910, A$1:A1910&lt;&gt;""""),COUNTA(FILTER(A$1:A1910, A$1:A1910&lt;&gt;""""))))-1), IF('To Order'!$A1911=COL"&amp;"UMNS($A1911:A1930), A1910&amp;RIGHT(INDIRECT(ADDRESS(ROW(A1911)-1, 'From Order'!$A1911)), 1), A1910))"),"")</f>
        <v/>
      </c>
      <c r="B1911" s="2" t="str">
        <f>IFERROR(__xludf.DUMMYFUNCTION("IF('From Order'!$A1911=COLUMNS($A1911:B1930), LEFT(INDEX(FILTER(B$1:B1910, B$1:B1910&lt;&gt;""""),COUNTA(FILTER(B$1:B1910, B$1:B1910&lt;&gt;""""))), LEN(INDEX(FILTER(B$1:B1910, B$1:B1910&lt;&gt;""""),COUNTA(FILTER(B$1:B1910, B$1:B1910&lt;&gt;""""))))-1), IF('To Order'!$A1911=COL"&amp;"UMNS($A1911:B1930), B1910&amp;RIGHT(INDIRECT(ADDRESS(ROW(B1911)-1, 'From Order'!$A1911)), 1), B1910))"),"")</f>
        <v/>
      </c>
      <c r="C1911" s="2" t="str">
        <f>IFERROR(__xludf.DUMMYFUNCTION("IF('From Order'!$A1911=COLUMNS($A1911:C1930), LEFT(INDEX(FILTER(C$1:C1910, C$1:C1910&lt;&gt;""""),COUNTA(FILTER(C$1:C1910, C$1:C1910&lt;&gt;""""))), LEN(INDEX(FILTER(C$1:C1910, C$1:C1910&lt;&gt;""""),COUNTA(FILTER(C$1:C1910, C$1:C1910&lt;&gt;""""))))-1), IF('To Order'!$A1911=COL"&amp;"UMNS($A1911:C1930), C1910&amp;RIGHT(INDIRECT(ADDRESS(ROW(C1911)-1, 'From Order'!$A1911)), 1), C1910))"),"DVDTMZH")</f>
        <v>DVDTMZH</v>
      </c>
      <c r="D1911" s="2" t="str">
        <f>IFERROR(__xludf.DUMMYFUNCTION("IF('From Order'!$A1911=COLUMNS($A1911:D1930), LEFT(INDEX(FILTER(D$1:D1910, D$1:D1910&lt;&gt;""""),COUNTA(FILTER(D$1:D1910, D$1:D1910&lt;&gt;""""))), LEN(INDEX(FILTER(D$1:D1910, D$1:D1910&lt;&gt;""""),COUNTA(FILTER(D$1:D1910, D$1:D1910&lt;&gt;""""))))-1), IF('To Order'!$A1911=COL"&amp;"UMNS($A1911:D1930), D1910&amp;RIGHT(INDIRECT(ADDRESS(ROW(D1911)-1, 'From Order'!$A1911)), 1), D1910))"),"RBJC")</f>
        <v>RBJC</v>
      </c>
      <c r="E1911" s="2" t="str">
        <f>IFERROR(__xludf.DUMMYFUNCTION("IF('From Order'!$A1911=COLUMNS($A1911:E1930), LEFT(INDEX(FILTER(E$1:E1910, E$1:E1910&lt;&gt;""""),COUNTA(FILTER(E$1:E1910, E$1:E1910&lt;&gt;""""))), LEN(INDEX(FILTER(E$1:E1910, E$1:E1910&lt;&gt;""""),COUNTA(FILTER(E$1:E1910, E$1:E1910&lt;&gt;""""))))-1), IF('To Order'!$A1911=COL"&amp;"UMNS($A1911:E1930), E1910&amp;RIGHT(INDIRECT(ADDRESS(ROW(E1911)-1, 'From Order'!$A1911)), 1), E1910))"),"CRG")</f>
        <v>CRG</v>
      </c>
      <c r="F1911" s="2" t="str">
        <f>IFERROR(__xludf.DUMMYFUNCTION("IF('From Order'!$A1911=COLUMNS($A1911:F1930), LEFT(INDEX(FILTER(F$1:F1910, F$1:F1910&lt;&gt;""""),COUNTA(FILTER(F$1:F1910, F$1:F1910&lt;&gt;""""))), LEN(INDEX(FILTER(F$1:F1910, F$1:F1910&lt;&gt;""""),COUNTA(FILTER(F$1:F1910, F$1:F1910&lt;&gt;""""))))-1), IF('To Order'!$A1911=COL"&amp;"UMNS($A1911:F1930), F1910&amp;RIGHT(INDIRECT(ADDRESS(ROW(F1911)-1, 'From Order'!$A1911)), 1), F1910))"),"LDSPBFLLWDDVQJPPSSTWZCSFHBBVRRJMGTTMDZ")</f>
        <v>LDSPBFLLWDDVQJPPSSTWZCSFHBBVRRJMGTTMDZ</v>
      </c>
      <c r="G1911" s="2" t="str">
        <f>IFERROR(__xludf.DUMMYFUNCTION("IF('From Order'!$A1911=COLUMNS($A1911:G1930), LEFT(INDEX(FILTER(G$1:G1910, G$1:G1910&lt;&gt;""""),COUNTA(FILTER(G$1:G1910, G$1:G1910&lt;&gt;""""))), LEN(INDEX(FILTER(G$1:G1910, G$1:G1910&lt;&gt;""""),COUNTA(FILTER(G$1:G1910, G$1:G1910&lt;&gt;""""))))-1), IF('To Order'!$A1911=COL"&amp;"UMNS($A1911:G1930), G1910&amp;RIGHT(INDIRECT(ADDRESS(ROW(G1911)-1, 'From Order'!$A1911)), 1), G1910))"),"")</f>
        <v/>
      </c>
      <c r="H1911" s="2" t="str">
        <f>IFERROR(__xludf.DUMMYFUNCTION("IF('From Order'!$A1911=COLUMNS($A1911:H1930), LEFT(INDEX(FILTER(H$1:H1910, H$1:H1910&lt;&gt;""""),COUNTA(FILTER(H$1:H1910, H$1:H1910&lt;&gt;""""))), LEN(INDEX(FILTER(H$1:H1910, H$1:H1910&lt;&gt;""""),COUNTA(FILTER(H$1:H1910, H$1:H1910&lt;&gt;""""))))-1), IF('To Order'!$A1911=COL"&amp;"UMNS($A1911:H1930), H1910&amp;RIGHT(INDIRECT(ADDRESS(ROW(H1911)-1, 'From Order'!$A1911)), 1), H1910))"),"QTRT")</f>
        <v>QTRT</v>
      </c>
      <c r="I1911" s="2" t="str">
        <f>IFERROR(__xludf.DUMMYFUNCTION("IF('From Order'!$A1911=COLUMNS($A1911:I1930), LEFT(INDEX(FILTER(I$1:I1910, I$1:I1910&lt;&gt;""""),COUNTA(FILTER(I$1:I1910, I$1:I1910&lt;&gt;""""))), LEN(INDEX(FILTER(I$1:I1910, I$1:I1910&lt;&gt;""""),COUNTA(FILTER(I$1:I1910, I$1:I1910&lt;&gt;""""))))-1), IF('To Order'!$A1911=COL"&amp;"UMNS($A1911:I1930), I1910&amp;RIGHT(INDIRECT(ADDRESS(ROW(I1911)-1, 'From Order'!$A1911)), 1), I1910))"),"")</f>
        <v/>
      </c>
    </row>
    <row r="1912">
      <c r="A1912" s="2" t="str">
        <f>IFERROR(__xludf.DUMMYFUNCTION("IF('From Order'!$A1912=COLUMNS($A1912:A1931), LEFT(INDEX(FILTER(A$1:A1911, A$1:A1911&lt;&gt;""""),COUNTA(FILTER(A$1:A1911, A$1:A1911&lt;&gt;""""))), LEN(INDEX(FILTER(A$1:A1911, A$1:A1911&lt;&gt;""""),COUNTA(FILTER(A$1:A1911, A$1:A1911&lt;&gt;""""))))-1), IF('To Order'!$A1912=COL"&amp;"UMNS($A1912:A1931), A1911&amp;RIGHT(INDIRECT(ADDRESS(ROW(A1912)-1, 'From Order'!$A1912)), 1), A1911))"),"")</f>
        <v/>
      </c>
      <c r="B1912" s="2" t="str">
        <f>IFERROR(__xludf.DUMMYFUNCTION("IF('From Order'!$A1912=COLUMNS($A1912:B1931), LEFT(INDEX(FILTER(B$1:B1911, B$1:B1911&lt;&gt;""""),COUNTA(FILTER(B$1:B1911, B$1:B1911&lt;&gt;""""))), LEN(INDEX(FILTER(B$1:B1911, B$1:B1911&lt;&gt;""""),COUNTA(FILTER(B$1:B1911, B$1:B1911&lt;&gt;""""))))-1), IF('To Order'!$A1912=COL"&amp;"UMNS($A1912:B1931), B1911&amp;RIGHT(INDIRECT(ADDRESS(ROW(B1912)-1, 'From Order'!$A1912)), 1), B1911))"),"")</f>
        <v/>
      </c>
      <c r="C1912" s="2" t="str">
        <f>IFERROR(__xludf.DUMMYFUNCTION("IF('From Order'!$A1912=COLUMNS($A1912:C1931), LEFT(INDEX(FILTER(C$1:C1911, C$1:C1911&lt;&gt;""""),COUNTA(FILTER(C$1:C1911, C$1:C1911&lt;&gt;""""))), LEN(INDEX(FILTER(C$1:C1911, C$1:C1911&lt;&gt;""""),COUNTA(FILTER(C$1:C1911, C$1:C1911&lt;&gt;""""))))-1), IF('To Order'!$A1912=COL"&amp;"UMNS($A1912:C1931), C1911&amp;RIGHT(INDIRECT(ADDRESS(ROW(C1912)-1, 'From Order'!$A1912)), 1), C1911))"),"DVDTMZ")</f>
        <v>DVDTMZ</v>
      </c>
      <c r="D1912" s="2" t="str">
        <f>IFERROR(__xludf.DUMMYFUNCTION("IF('From Order'!$A1912=COLUMNS($A1912:D1931), LEFT(INDEX(FILTER(D$1:D1911, D$1:D1911&lt;&gt;""""),COUNTA(FILTER(D$1:D1911, D$1:D1911&lt;&gt;""""))), LEN(INDEX(FILTER(D$1:D1911, D$1:D1911&lt;&gt;""""),COUNTA(FILTER(D$1:D1911, D$1:D1911&lt;&gt;""""))))-1), IF('To Order'!$A1912=COL"&amp;"UMNS($A1912:D1931), D1911&amp;RIGHT(INDIRECT(ADDRESS(ROW(D1912)-1, 'From Order'!$A1912)), 1), D1911))"),"RBJC")</f>
        <v>RBJC</v>
      </c>
      <c r="E1912" s="2" t="str">
        <f>IFERROR(__xludf.DUMMYFUNCTION("IF('From Order'!$A1912=COLUMNS($A1912:E1931), LEFT(INDEX(FILTER(E$1:E1911, E$1:E1911&lt;&gt;""""),COUNTA(FILTER(E$1:E1911, E$1:E1911&lt;&gt;""""))), LEN(INDEX(FILTER(E$1:E1911, E$1:E1911&lt;&gt;""""),COUNTA(FILTER(E$1:E1911, E$1:E1911&lt;&gt;""""))))-1), IF('To Order'!$A1912=COL"&amp;"UMNS($A1912:E1931), E1911&amp;RIGHT(INDIRECT(ADDRESS(ROW(E1912)-1, 'From Order'!$A1912)), 1), E1911))"),"CRG")</f>
        <v>CRG</v>
      </c>
      <c r="F1912" s="2" t="str">
        <f>IFERROR(__xludf.DUMMYFUNCTION("IF('From Order'!$A1912=COLUMNS($A1912:F1931), LEFT(INDEX(FILTER(F$1:F1911, F$1:F1911&lt;&gt;""""),COUNTA(FILTER(F$1:F1911, F$1:F1911&lt;&gt;""""))), LEN(INDEX(FILTER(F$1:F1911, F$1:F1911&lt;&gt;""""),COUNTA(FILTER(F$1:F1911, F$1:F1911&lt;&gt;""""))))-1), IF('To Order'!$A1912=COL"&amp;"UMNS($A1912:F1931), F1911&amp;RIGHT(INDIRECT(ADDRESS(ROW(F1912)-1, 'From Order'!$A1912)), 1), F1911))"),"LDSPBFLLWDDVQJPPSSTWZCSFHBBVRRJMGTTMDZH")</f>
        <v>LDSPBFLLWDDVQJPPSSTWZCSFHBBVRRJMGTTMDZH</v>
      </c>
      <c r="G1912" s="2" t="str">
        <f>IFERROR(__xludf.DUMMYFUNCTION("IF('From Order'!$A1912=COLUMNS($A1912:G1931), LEFT(INDEX(FILTER(G$1:G1911, G$1:G1911&lt;&gt;""""),COUNTA(FILTER(G$1:G1911, G$1:G1911&lt;&gt;""""))), LEN(INDEX(FILTER(G$1:G1911, G$1:G1911&lt;&gt;""""),COUNTA(FILTER(G$1:G1911, G$1:G1911&lt;&gt;""""))))-1), IF('To Order'!$A1912=COL"&amp;"UMNS($A1912:G1931), G1911&amp;RIGHT(INDIRECT(ADDRESS(ROW(G1912)-1, 'From Order'!$A1912)), 1), G1911))"),"")</f>
        <v/>
      </c>
      <c r="H1912" s="2" t="str">
        <f>IFERROR(__xludf.DUMMYFUNCTION("IF('From Order'!$A1912=COLUMNS($A1912:H1931), LEFT(INDEX(FILTER(H$1:H1911, H$1:H1911&lt;&gt;""""),COUNTA(FILTER(H$1:H1911, H$1:H1911&lt;&gt;""""))), LEN(INDEX(FILTER(H$1:H1911, H$1:H1911&lt;&gt;""""),COUNTA(FILTER(H$1:H1911, H$1:H1911&lt;&gt;""""))))-1), IF('To Order'!$A1912=COL"&amp;"UMNS($A1912:H1931), H1911&amp;RIGHT(INDIRECT(ADDRESS(ROW(H1912)-1, 'From Order'!$A1912)), 1), H1911))"),"QTRT")</f>
        <v>QTRT</v>
      </c>
      <c r="I1912" s="2" t="str">
        <f>IFERROR(__xludf.DUMMYFUNCTION("IF('From Order'!$A1912=COLUMNS($A1912:I1931), LEFT(INDEX(FILTER(I$1:I1911, I$1:I1911&lt;&gt;""""),COUNTA(FILTER(I$1:I1911, I$1:I1911&lt;&gt;""""))), LEN(INDEX(FILTER(I$1:I1911, I$1:I1911&lt;&gt;""""),COUNTA(FILTER(I$1:I1911, I$1:I1911&lt;&gt;""""))))-1), IF('To Order'!$A1912=COL"&amp;"UMNS($A1912:I1931), I1911&amp;RIGHT(INDIRECT(ADDRESS(ROW(I1912)-1, 'From Order'!$A1912)), 1), I1911))"),"")</f>
        <v/>
      </c>
    </row>
    <row r="1913">
      <c r="A1913" s="2" t="str">
        <f>IFERROR(__xludf.DUMMYFUNCTION("IF('From Order'!$A1913=COLUMNS($A1913:A1932), LEFT(INDEX(FILTER(A$1:A1912, A$1:A1912&lt;&gt;""""),COUNTA(FILTER(A$1:A1912, A$1:A1912&lt;&gt;""""))), LEN(INDEX(FILTER(A$1:A1912, A$1:A1912&lt;&gt;""""),COUNTA(FILTER(A$1:A1912, A$1:A1912&lt;&gt;""""))))-1), IF('To Order'!$A1913=COL"&amp;"UMNS($A1913:A1932), A1912&amp;RIGHT(INDIRECT(ADDRESS(ROW(A1913)-1, 'From Order'!$A1913)), 1), A1912))"),"")</f>
        <v/>
      </c>
      <c r="B1913" s="2" t="str">
        <f>IFERROR(__xludf.DUMMYFUNCTION("IF('From Order'!$A1913=COLUMNS($A1913:B1932), LEFT(INDEX(FILTER(B$1:B1912, B$1:B1912&lt;&gt;""""),COUNTA(FILTER(B$1:B1912, B$1:B1912&lt;&gt;""""))), LEN(INDEX(FILTER(B$1:B1912, B$1:B1912&lt;&gt;""""),COUNTA(FILTER(B$1:B1912, B$1:B1912&lt;&gt;""""))))-1), IF('To Order'!$A1913=COL"&amp;"UMNS($A1913:B1932), B1912&amp;RIGHT(INDIRECT(ADDRESS(ROW(B1913)-1, 'From Order'!$A1913)), 1), B1912))"),"")</f>
        <v/>
      </c>
      <c r="C1913" s="2" t="str">
        <f>IFERROR(__xludf.DUMMYFUNCTION("IF('From Order'!$A1913=COLUMNS($A1913:C1932), LEFT(INDEX(FILTER(C$1:C1912, C$1:C1912&lt;&gt;""""),COUNTA(FILTER(C$1:C1912, C$1:C1912&lt;&gt;""""))), LEN(INDEX(FILTER(C$1:C1912, C$1:C1912&lt;&gt;""""),COUNTA(FILTER(C$1:C1912, C$1:C1912&lt;&gt;""""))))-1), IF('To Order'!$A1913=COL"&amp;"UMNS($A1913:C1932), C1912&amp;RIGHT(INDIRECT(ADDRESS(ROW(C1913)-1, 'From Order'!$A1913)), 1), C1912))"),"DVDTM")</f>
        <v>DVDTM</v>
      </c>
      <c r="D1913" s="2" t="str">
        <f>IFERROR(__xludf.DUMMYFUNCTION("IF('From Order'!$A1913=COLUMNS($A1913:D1932), LEFT(INDEX(FILTER(D$1:D1912, D$1:D1912&lt;&gt;""""),COUNTA(FILTER(D$1:D1912, D$1:D1912&lt;&gt;""""))), LEN(INDEX(FILTER(D$1:D1912, D$1:D1912&lt;&gt;""""),COUNTA(FILTER(D$1:D1912, D$1:D1912&lt;&gt;""""))))-1), IF('To Order'!$A1913=COL"&amp;"UMNS($A1913:D1932), D1912&amp;RIGHT(INDIRECT(ADDRESS(ROW(D1913)-1, 'From Order'!$A1913)), 1), D1912))"),"RBJC")</f>
        <v>RBJC</v>
      </c>
      <c r="E1913" s="2" t="str">
        <f>IFERROR(__xludf.DUMMYFUNCTION("IF('From Order'!$A1913=COLUMNS($A1913:E1932), LEFT(INDEX(FILTER(E$1:E1912, E$1:E1912&lt;&gt;""""),COUNTA(FILTER(E$1:E1912, E$1:E1912&lt;&gt;""""))), LEN(INDEX(FILTER(E$1:E1912, E$1:E1912&lt;&gt;""""),COUNTA(FILTER(E$1:E1912, E$1:E1912&lt;&gt;""""))))-1), IF('To Order'!$A1913=COL"&amp;"UMNS($A1913:E1932), E1912&amp;RIGHT(INDIRECT(ADDRESS(ROW(E1913)-1, 'From Order'!$A1913)), 1), E1912))"),"CRG")</f>
        <v>CRG</v>
      </c>
      <c r="F1913" s="2" t="str">
        <f>IFERROR(__xludf.DUMMYFUNCTION("IF('From Order'!$A1913=COLUMNS($A1913:F1932), LEFT(INDEX(FILTER(F$1:F1912, F$1:F1912&lt;&gt;""""),COUNTA(FILTER(F$1:F1912, F$1:F1912&lt;&gt;""""))), LEN(INDEX(FILTER(F$1:F1912, F$1:F1912&lt;&gt;""""),COUNTA(FILTER(F$1:F1912, F$1:F1912&lt;&gt;""""))))-1), IF('To Order'!$A1913=COL"&amp;"UMNS($A1913:F1932), F1912&amp;RIGHT(INDIRECT(ADDRESS(ROW(F1913)-1, 'From Order'!$A1913)), 1), F1912))"),"LDSPBFLLWDDVQJPPSSTWZCSFHBBVRRJMGTTMDZHZ")</f>
        <v>LDSPBFLLWDDVQJPPSSTWZCSFHBBVRRJMGTTMDZHZ</v>
      </c>
      <c r="G1913" s="2" t="str">
        <f>IFERROR(__xludf.DUMMYFUNCTION("IF('From Order'!$A1913=COLUMNS($A1913:G1932), LEFT(INDEX(FILTER(G$1:G1912, G$1:G1912&lt;&gt;""""),COUNTA(FILTER(G$1:G1912, G$1:G1912&lt;&gt;""""))), LEN(INDEX(FILTER(G$1:G1912, G$1:G1912&lt;&gt;""""),COUNTA(FILTER(G$1:G1912, G$1:G1912&lt;&gt;""""))))-1), IF('To Order'!$A1913=COL"&amp;"UMNS($A1913:G1932), G1912&amp;RIGHT(INDIRECT(ADDRESS(ROW(G1913)-1, 'From Order'!$A1913)), 1), G1912))"),"")</f>
        <v/>
      </c>
      <c r="H1913" s="2" t="str">
        <f>IFERROR(__xludf.DUMMYFUNCTION("IF('From Order'!$A1913=COLUMNS($A1913:H1932), LEFT(INDEX(FILTER(H$1:H1912, H$1:H1912&lt;&gt;""""),COUNTA(FILTER(H$1:H1912, H$1:H1912&lt;&gt;""""))), LEN(INDEX(FILTER(H$1:H1912, H$1:H1912&lt;&gt;""""),COUNTA(FILTER(H$1:H1912, H$1:H1912&lt;&gt;""""))))-1), IF('To Order'!$A1913=COL"&amp;"UMNS($A1913:H1932), H1912&amp;RIGHT(INDIRECT(ADDRESS(ROW(H1913)-1, 'From Order'!$A1913)), 1), H1912))"),"QTRT")</f>
        <v>QTRT</v>
      </c>
      <c r="I1913" s="2" t="str">
        <f>IFERROR(__xludf.DUMMYFUNCTION("IF('From Order'!$A1913=COLUMNS($A1913:I1932), LEFT(INDEX(FILTER(I$1:I1912, I$1:I1912&lt;&gt;""""),COUNTA(FILTER(I$1:I1912, I$1:I1912&lt;&gt;""""))), LEN(INDEX(FILTER(I$1:I1912, I$1:I1912&lt;&gt;""""),COUNTA(FILTER(I$1:I1912, I$1:I1912&lt;&gt;""""))))-1), IF('To Order'!$A1913=COL"&amp;"UMNS($A1913:I1932), I1912&amp;RIGHT(INDIRECT(ADDRESS(ROW(I1913)-1, 'From Order'!$A1913)), 1), I1912))"),"")</f>
        <v/>
      </c>
    </row>
    <row r="1914">
      <c r="A1914" s="2" t="str">
        <f>IFERROR(__xludf.DUMMYFUNCTION("IF('From Order'!$A1914=COLUMNS($A1914:A1933), LEFT(INDEX(FILTER(A$1:A1913, A$1:A1913&lt;&gt;""""),COUNTA(FILTER(A$1:A1913, A$1:A1913&lt;&gt;""""))), LEN(INDEX(FILTER(A$1:A1913, A$1:A1913&lt;&gt;""""),COUNTA(FILTER(A$1:A1913, A$1:A1913&lt;&gt;""""))))-1), IF('To Order'!$A1914=COL"&amp;"UMNS($A1914:A1933), A1913&amp;RIGHT(INDIRECT(ADDRESS(ROW(A1914)-1, 'From Order'!$A1914)), 1), A1913))"),"")</f>
        <v/>
      </c>
      <c r="B1914" s="2" t="str">
        <f>IFERROR(__xludf.DUMMYFUNCTION("IF('From Order'!$A1914=COLUMNS($A1914:B1933), LEFT(INDEX(FILTER(B$1:B1913, B$1:B1913&lt;&gt;""""),COUNTA(FILTER(B$1:B1913, B$1:B1913&lt;&gt;""""))), LEN(INDEX(FILTER(B$1:B1913, B$1:B1913&lt;&gt;""""),COUNTA(FILTER(B$1:B1913, B$1:B1913&lt;&gt;""""))))-1), IF('To Order'!$A1914=COL"&amp;"UMNS($A1914:B1933), B1913&amp;RIGHT(INDIRECT(ADDRESS(ROW(B1914)-1, 'From Order'!$A1914)), 1), B1913))"),"")</f>
        <v/>
      </c>
      <c r="C1914" s="2" t="str">
        <f>IFERROR(__xludf.DUMMYFUNCTION("IF('From Order'!$A1914=COLUMNS($A1914:C1933), LEFT(INDEX(FILTER(C$1:C1913, C$1:C1913&lt;&gt;""""),COUNTA(FILTER(C$1:C1913, C$1:C1913&lt;&gt;""""))), LEN(INDEX(FILTER(C$1:C1913, C$1:C1913&lt;&gt;""""),COUNTA(FILTER(C$1:C1913, C$1:C1913&lt;&gt;""""))))-1), IF('To Order'!$A1914=COL"&amp;"UMNS($A1914:C1933), C1913&amp;RIGHT(INDIRECT(ADDRESS(ROW(C1914)-1, 'From Order'!$A1914)), 1), C1913))"),"DVDT")</f>
        <v>DVDT</v>
      </c>
      <c r="D1914" s="2" t="str">
        <f>IFERROR(__xludf.DUMMYFUNCTION("IF('From Order'!$A1914=COLUMNS($A1914:D1933), LEFT(INDEX(FILTER(D$1:D1913, D$1:D1913&lt;&gt;""""),COUNTA(FILTER(D$1:D1913, D$1:D1913&lt;&gt;""""))), LEN(INDEX(FILTER(D$1:D1913, D$1:D1913&lt;&gt;""""),COUNTA(FILTER(D$1:D1913, D$1:D1913&lt;&gt;""""))))-1), IF('To Order'!$A1914=COL"&amp;"UMNS($A1914:D1933), D1913&amp;RIGHT(INDIRECT(ADDRESS(ROW(D1914)-1, 'From Order'!$A1914)), 1), D1913))"),"RBJC")</f>
        <v>RBJC</v>
      </c>
      <c r="E1914" s="2" t="str">
        <f>IFERROR(__xludf.DUMMYFUNCTION("IF('From Order'!$A1914=COLUMNS($A1914:E1933), LEFT(INDEX(FILTER(E$1:E1913, E$1:E1913&lt;&gt;""""),COUNTA(FILTER(E$1:E1913, E$1:E1913&lt;&gt;""""))), LEN(INDEX(FILTER(E$1:E1913, E$1:E1913&lt;&gt;""""),COUNTA(FILTER(E$1:E1913, E$1:E1913&lt;&gt;""""))))-1), IF('To Order'!$A1914=COL"&amp;"UMNS($A1914:E1933), E1913&amp;RIGHT(INDIRECT(ADDRESS(ROW(E1914)-1, 'From Order'!$A1914)), 1), E1913))"),"CRG")</f>
        <v>CRG</v>
      </c>
      <c r="F1914" s="2" t="str">
        <f>IFERROR(__xludf.DUMMYFUNCTION("IF('From Order'!$A1914=COLUMNS($A1914:F1933), LEFT(INDEX(FILTER(F$1:F1913, F$1:F1913&lt;&gt;""""),COUNTA(FILTER(F$1:F1913, F$1:F1913&lt;&gt;""""))), LEN(INDEX(FILTER(F$1:F1913, F$1:F1913&lt;&gt;""""),COUNTA(FILTER(F$1:F1913, F$1:F1913&lt;&gt;""""))))-1), IF('To Order'!$A1914=COL"&amp;"UMNS($A1914:F1933), F1913&amp;RIGHT(INDIRECT(ADDRESS(ROW(F1914)-1, 'From Order'!$A1914)), 1), F1913))"),"LDSPBFLLWDDVQJPPSSTWZCSFHBBVRRJMGTTMDZHZM")</f>
        <v>LDSPBFLLWDDVQJPPSSTWZCSFHBBVRRJMGTTMDZHZM</v>
      </c>
      <c r="G1914" s="2" t="str">
        <f>IFERROR(__xludf.DUMMYFUNCTION("IF('From Order'!$A1914=COLUMNS($A1914:G1933), LEFT(INDEX(FILTER(G$1:G1913, G$1:G1913&lt;&gt;""""),COUNTA(FILTER(G$1:G1913, G$1:G1913&lt;&gt;""""))), LEN(INDEX(FILTER(G$1:G1913, G$1:G1913&lt;&gt;""""),COUNTA(FILTER(G$1:G1913, G$1:G1913&lt;&gt;""""))))-1), IF('To Order'!$A1914=COL"&amp;"UMNS($A1914:G1933), G1913&amp;RIGHT(INDIRECT(ADDRESS(ROW(G1914)-1, 'From Order'!$A1914)), 1), G1913))"),"")</f>
        <v/>
      </c>
      <c r="H1914" s="2" t="str">
        <f>IFERROR(__xludf.DUMMYFUNCTION("IF('From Order'!$A1914=COLUMNS($A1914:H1933), LEFT(INDEX(FILTER(H$1:H1913, H$1:H1913&lt;&gt;""""),COUNTA(FILTER(H$1:H1913, H$1:H1913&lt;&gt;""""))), LEN(INDEX(FILTER(H$1:H1913, H$1:H1913&lt;&gt;""""),COUNTA(FILTER(H$1:H1913, H$1:H1913&lt;&gt;""""))))-1), IF('To Order'!$A1914=COL"&amp;"UMNS($A1914:H1933), H1913&amp;RIGHT(INDIRECT(ADDRESS(ROW(H1914)-1, 'From Order'!$A1914)), 1), H1913))"),"QTRT")</f>
        <v>QTRT</v>
      </c>
      <c r="I1914" s="2" t="str">
        <f>IFERROR(__xludf.DUMMYFUNCTION("IF('From Order'!$A1914=COLUMNS($A1914:I1933), LEFT(INDEX(FILTER(I$1:I1913, I$1:I1913&lt;&gt;""""),COUNTA(FILTER(I$1:I1913, I$1:I1913&lt;&gt;""""))), LEN(INDEX(FILTER(I$1:I1913, I$1:I1913&lt;&gt;""""),COUNTA(FILTER(I$1:I1913, I$1:I1913&lt;&gt;""""))))-1), IF('To Order'!$A1914=COL"&amp;"UMNS($A1914:I1933), I1913&amp;RIGHT(INDIRECT(ADDRESS(ROW(I1914)-1, 'From Order'!$A1914)), 1), I1913))"),"")</f>
        <v/>
      </c>
    </row>
    <row r="1915">
      <c r="A1915" s="2" t="str">
        <f>IFERROR(__xludf.DUMMYFUNCTION("IF('From Order'!$A1915=COLUMNS($A1915:A1934), LEFT(INDEX(FILTER(A$1:A1914, A$1:A1914&lt;&gt;""""),COUNTA(FILTER(A$1:A1914, A$1:A1914&lt;&gt;""""))), LEN(INDEX(FILTER(A$1:A1914, A$1:A1914&lt;&gt;""""),COUNTA(FILTER(A$1:A1914, A$1:A1914&lt;&gt;""""))))-1), IF('To Order'!$A1915=COL"&amp;"UMNS($A1915:A1934), A1914&amp;RIGHT(INDIRECT(ADDRESS(ROW(A1915)-1, 'From Order'!$A1915)), 1), A1914))"),"")</f>
        <v/>
      </c>
      <c r="B1915" s="2" t="str">
        <f>IFERROR(__xludf.DUMMYFUNCTION("IF('From Order'!$A1915=COLUMNS($A1915:B1934), LEFT(INDEX(FILTER(B$1:B1914, B$1:B1914&lt;&gt;""""),COUNTA(FILTER(B$1:B1914, B$1:B1914&lt;&gt;""""))), LEN(INDEX(FILTER(B$1:B1914, B$1:B1914&lt;&gt;""""),COUNTA(FILTER(B$1:B1914, B$1:B1914&lt;&gt;""""))))-1), IF('To Order'!$A1915=COL"&amp;"UMNS($A1915:B1934), B1914&amp;RIGHT(INDIRECT(ADDRESS(ROW(B1915)-1, 'From Order'!$A1915)), 1), B1914))"),"")</f>
        <v/>
      </c>
      <c r="C1915" s="2" t="str">
        <f>IFERROR(__xludf.DUMMYFUNCTION("IF('From Order'!$A1915=COLUMNS($A1915:C1934), LEFT(INDEX(FILTER(C$1:C1914, C$1:C1914&lt;&gt;""""),COUNTA(FILTER(C$1:C1914, C$1:C1914&lt;&gt;""""))), LEN(INDEX(FILTER(C$1:C1914, C$1:C1914&lt;&gt;""""),COUNTA(FILTER(C$1:C1914, C$1:C1914&lt;&gt;""""))))-1), IF('To Order'!$A1915=COL"&amp;"UMNS($A1915:C1934), C1914&amp;RIGHT(INDIRECT(ADDRESS(ROW(C1915)-1, 'From Order'!$A1915)), 1), C1914))"),"DVD")</f>
        <v>DVD</v>
      </c>
      <c r="D1915" s="2" t="str">
        <f>IFERROR(__xludf.DUMMYFUNCTION("IF('From Order'!$A1915=COLUMNS($A1915:D1934), LEFT(INDEX(FILTER(D$1:D1914, D$1:D1914&lt;&gt;""""),COUNTA(FILTER(D$1:D1914, D$1:D1914&lt;&gt;""""))), LEN(INDEX(FILTER(D$1:D1914, D$1:D1914&lt;&gt;""""),COUNTA(FILTER(D$1:D1914, D$1:D1914&lt;&gt;""""))))-1), IF('To Order'!$A1915=COL"&amp;"UMNS($A1915:D1934), D1914&amp;RIGHT(INDIRECT(ADDRESS(ROW(D1915)-1, 'From Order'!$A1915)), 1), D1914))"),"RBJC")</f>
        <v>RBJC</v>
      </c>
      <c r="E1915" s="2" t="str">
        <f>IFERROR(__xludf.DUMMYFUNCTION("IF('From Order'!$A1915=COLUMNS($A1915:E1934), LEFT(INDEX(FILTER(E$1:E1914, E$1:E1914&lt;&gt;""""),COUNTA(FILTER(E$1:E1914, E$1:E1914&lt;&gt;""""))), LEN(INDEX(FILTER(E$1:E1914, E$1:E1914&lt;&gt;""""),COUNTA(FILTER(E$1:E1914, E$1:E1914&lt;&gt;""""))))-1), IF('To Order'!$A1915=COL"&amp;"UMNS($A1915:E1934), E1914&amp;RIGHT(INDIRECT(ADDRESS(ROW(E1915)-1, 'From Order'!$A1915)), 1), E1914))"),"CRG")</f>
        <v>CRG</v>
      </c>
      <c r="F1915" s="2" t="str">
        <f>IFERROR(__xludf.DUMMYFUNCTION("IF('From Order'!$A1915=COLUMNS($A1915:F1934), LEFT(INDEX(FILTER(F$1:F1914, F$1:F1914&lt;&gt;""""),COUNTA(FILTER(F$1:F1914, F$1:F1914&lt;&gt;""""))), LEN(INDEX(FILTER(F$1:F1914, F$1:F1914&lt;&gt;""""),COUNTA(FILTER(F$1:F1914, F$1:F1914&lt;&gt;""""))))-1), IF('To Order'!$A1915=COL"&amp;"UMNS($A1915:F1934), F1914&amp;RIGHT(INDIRECT(ADDRESS(ROW(F1915)-1, 'From Order'!$A1915)), 1), F1914))"),"LDSPBFLLWDDVQJPPSSTWZCSFHBBVRRJMGTTMDZHZMT")</f>
        <v>LDSPBFLLWDDVQJPPSSTWZCSFHBBVRRJMGTTMDZHZMT</v>
      </c>
      <c r="G1915" s="2" t="str">
        <f>IFERROR(__xludf.DUMMYFUNCTION("IF('From Order'!$A1915=COLUMNS($A1915:G1934), LEFT(INDEX(FILTER(G$1:G1914, G$1:G1914&lt;&gt;""""),COUNTA(FILTER(G$1:G1914, G$1:G1914&lt;&gt;""""))), LEN(INDEX(FILTER(G$1:G1914, G$1:G1914&lt;&gt;""""),COUNTA(FILTER(G$1:G1914, G$1:G1914&lt;&gt;""""))))-1), IF('To Order'!$A1915=COL"&amp;"UMNS($A1915:G1934), G1914&amp;RIGHT(INDIRECT(ADDRESS(ROW(G1915)-1, 'From Order'!$A1915)), 1), G1914))"),"")</f>
        <v/>
      </c>
      <c r="H1915" s="2" t="str">
        <f>IFERROR(__xludf.DUMMYFUNCTION("IF('From Order'!$A1915=COLUMNS($A1915:H1934), LEFT(INDEX(FILTER(H$1:H1914, H$1:H1914&lt;&gt;""""),COUNTA(FILTER(H$1:H1914, H$1:H1914&lt;&gt;""""))), LEN(INDEX(FILTER(H$1:H1914, H$1:H1914&lt;&gt;""""),COUNTA(FILTER(H$1:H1914, H$1:H1914&lt;&gt;""""))))-1), IF('To Order'!$A1915=COL"&amp;"UMNS($A1915:H1934), H1914&amp;RIGHT(INDIRECT(ADDRESS(ROW(H1915)-1, 'From Order'!$A1915)), 1), H1914))"),"QTRT")</f>
        <v>QTRT</v>
      </c>
      <c r="I1915" s="2" t="str">
        <f>IFERROR(__xludf.DUMMYFUNCTION("IF('From Order'!$A1915=COLUMNS($A1915:I1934), LEFT(INDEX(FILTER(I$1:I1914, I$1:I1914&lt;&gt;""""),COUNTA(FILTER(I$1:I1914, I$1:I1914&lt;&gt;""""))), LEN(INDEX(FILTER(I$1:I1914, I$1:I1914&lt;&gt;""""),COUNTA(FILTER(I$1:I1914, I$1:I1914&lt;&gt;""""))))-1), IF('To Order'!$A1915=COL"&amp;"UMNS($A1915:I1934), I1914&amp;RIGHT(INDIRECT(ADDRESS(ROW(I1915)-1, 'From Order'!$A1915)), 1), I1914))"),"")</f>
        <v/>
      </c>
    </row>
    <row r="1916">
      <c r="A1916" s="2" t="str">
        <f>IFERROR(__xludf.DUMMYFUNCTION("IF('From Order'!$A1916=COLUMNS($A1916:A1935), LEFT(INDEX(FILTER(A$1:A1915, A$1:A1915&lt;&gt;""""),COUNTA(FILTER(A$1:A1915, A$1:A1915&lt;&gt;""""))), LEN(INDEX(FILTER(A$1:A1915, A$1:A1915&lt;&gt;""""),COUNTA(FILTER(A$1:A1915, A$1:A1915&lt;&gt;""""))))-1), IF('To Order'!$A1916=COL"&amp;"UMNS($A1916:A1935), A1915&amp;RIGHT(INDIRECT(ADDRESS(ROW(A1916)-1, 'From Order'!$A1916)), 1), A1915))"),"")</f>
        <v/>
      </c>
      <c r="B1916" s="2" t="str">
        <f>IFERROR(__xludf.DUMMYFUNCTION("IF('From Order'!$A1916=COLUMNS($A1916:B1935), LEFT(INDEX(FILTER(B$1:B1915, B$1:B1915&lt;&gt;""""),COUNTA(FILTER(B$1:B1915, B$1:B1915&lt;&gt;""""))), LEN(INDEX(FILTER(B$1:B1915, B$1:B1915&lt;&gt;""""),COUNTA(FILTER(B$1:B1915, B$1:B1915&lt;&gt;""""))))-1), IF('To Order'!$A1916=COL"&amp;"UMNS($A1916:B1935), B1915&amp;RIGHT(INDIRECT(ADDRESS(ROW(B1916)-1, 'From Order'!$A1916)), 1), B1915))"),"")</f>
        <v/>
      </c>
      <c r="C1916" s="2" t="str">
        <f>IFERROR(__xludf.DUMMYFUNCTION("IF('From Order'!$A1916=COLUMNS($A1916:C1935), LEFT(INDEX(FILTER(C$1:C1915, C$1:C1915&lt;&gt;""""),COUNTA(FILTER(C$1:C1915, C$1:C1915&lt;&gt;""""))), LEN(INDEX(FILTER(C$1:C1915, C$1:C1915&lt;&gt;""""),COUNTA(FILTER(C$1:C1915, C$1:C1915&lt;&gt;""""))))-1), IF('To Order'!$A1916=COL"&amp;"UMNS($A1916:C1935), C1915&amp;RIGHT(INDIRECT(ADDRESS(ROW(C1916)-1, 'From Order'!$A1916)), 1), C1915))"),"DV")</f>
        <v>DV</v>
      </c>
      <c r="D1916" s="2" t="str">
        <f>IFERROR(__xludf.DUMMYFUNCTION("IF('From Order'!$A1916=COLUMNS($A1916:D1935), LEFT(INDEX(FILTER(D$1:D1915, D$1:D1915&lt;&gt;""""),COUNTA(FILTER(D$1:D1915, D$1:D1915&lt;&gt;""""))), LEN(INDEX(FILTER(D$1:D1915, D$1:D1915&lt;&gt;""""),COUNTA(FILTER(D$1:D1915, D$1:D1915&lt;&gt;""""))))-1), IF('To Order'!$A1916=COL"&amp;"UMNS($A1916:D1935), D1915&amp;RIGHT(INDIRECT(ADDRESS(ROW(D1916)-1, 'From Order'!$A1916)), 1), D1915))"),"RBJC")</f>
        <v>RBJC</v>
      </c>
      <c r="E1916" s="2" t="str">
        <f>IFERROR(__xludf.DUMMYFUNCTION("IF('From Order'!$A1916=COLUMNS($A1916:E1935), LEFT(INDEX(FILTER(E$1:E1915, E$1:E1915&lt;&gt;""""),COUNTA(FILTER(E$1:E1915, E$1:E1915&lt;&gt;""""))), LEN(INDEX(FILTER(E$1:E1915, E$1:E1915&lt;&gt;""""),COUNTA(FILTER(E$1:E1915, E$1:E1915&lt;&gt;""""))))-1), IF('To Order'!$A1916=COL"&amp;"UMNS($A1916:E1935), E1915&amp;RIGHT(INDIRECT(ADDRESS(ROW(E1916)-1, 'From Order'!$A1916)), 1), E1915))"),"CRG")</f>
        <v>CRG</v>
      </c>
      <c r="F1916" s="2" t="str">
        <f>IFERROR(__xludf.DUMMYFUNCTION("IF('From Order'!$A1916=COLUMNS($A1916:F1935), LEFT(INDEX(FILTER(F$1:F1915, F$1:F1915&lt;&gt;""""),COUNTA(FILTER(F$1:F1915, F$1:F1915&lt;&gt;""""))), LEN(INDEX(FILTER(F$1:F1915, F$1:F1915&lt;&gt;""""),COUNTA(FILTER(F$1:F1915, F$1:F1915&lt;&gt;""""))))-1), IF('To Order'!$A1916=COL"&amp;"UMNS($A1916:F1935), F1915&amp;RIGHT(INDIRECT(ADDRESS(ROW(F1916)-1, 'From Order'!$A1916)), 1), F1915))"),"LDSPBFLLWDDVQJPPSSTWZCSFHBBVRRJMGTTMDZHZMTD")</f>
        <v>LDSPBFLLWDDVQJPPSSTWZCSFHBBVRRJMGTTMDZHZMTD</v>
      </c>
      <c r="G1916" s="2" t="str">
        <f>IFERROR(__xludf.DUMMYFUNCTION("IF('From Order'!$A1916=COLUMNS($A1916:G1935), LEFT(INDEX(FILTER(G$1:G1915, G$1:G1915&lt;&gt;""""),COUNTA(FILTER(G$1:G1915, G$1:G1915&lt;&gt;""""))), LEN(INDEX(FILTER(G$1:G1915, G$1:G1915&lt;&gt;""""),COUNTA(FILTER(G$1:G1915, G$1:G1915&lt;&gt;""""))))-1), IF('To Order'!$A1916=COL"&amp;"UMNS($A1916:G1935), G1915&amp;RIGHT(INDIRECT(ADDRESS(ROW(G1916)-1, 'From Order'!$A1916)), 1), G1915))"),"")</f>
        <v/>
      </c>
      <c r="H1916" s="2" t="str">
        <f>IFERROR(__xludf.DUMMYFUNCTION("IF('From Order'!$A1916=COLUMNS($A1916:H1935), LEFT(INDEX(FILTER(H$1:H1915, H$1:H1915&lt;&gt;""""),COUNTA(FILTER(H$1:H1915, H$1:H1915&lt;&gt;""""))), LEN(INDEX(FILTER(H$1:H1915, H$1:H1915&lt;&gt;""""),COUNTA(FILTER(H$1:H1915, H$1:H1915&lt;&gt;""""))))-1), IF('To Order'!$A1916=COL"&amp;"UMNS($A1916:H1935), H1915&amp;RIGHT(INDIRECT(ADDRESS(ROW(H1916)-1, 'From Order'!$A1916)), 1), H1915))"),"QTRT")</f>
        <v>QTRT</v>
      </c>
      <c r="I1916" s="2" t="str">
        <f>IFERROR(__xludf.DUMMYFUNCTION("IF('From Order'!$A1916=COLUMNS($A1916:I1935), LEFT(INDEX(FILTER(I$1:I1915, I$1:I1915&lt;&gt;""""),COUNTA(FILTER(I$1:I1915, I$1:I1915&lt;&gt;""""))), LEN(INDEX(FILTER(I$1:I1915, I$1:I1915&lt;&gt;""""),COUNTA(FILTER(I$1:I1915, I$1:I1915&lt;&gt;""""))))-1), IF('To Order'!$A1916=COL"&amp;"UMNS($A1916:I1935), I1915&amp;RIGHT(INDIRECT(ADDRESS(ROW(I1916)-1, 'From Order'!$A1916)), 1), I1915))"),"")</f>
        <v/>
      </c>
    </row>
    <row r="1917">
      <c r="A1917" s="2" t="str">
        <f>IFERROR(__xludf.DUMMYFUNCTION("IF('From Order'!$A1917=COLUMNS($A1917:A1936), LEFT(INDEX(FILTER(A$1:A1916, A$1:A1916&lt;&gt;""""),COUNTA(FILTER(A$1:A1916, A$1:A1916&lt;&gt;""""))), LEN(INDEX(FILTER(A$1:A1916, A$1:A1916&lt;&gt;""""),COUNTA(FILTER(A$1:A1916, A$1:A1916&lt;&gt;""""))))-1), IF('To Order'!$A1917=COL"&amp;"UMNS($A1917:A1936), A1916&amp;RIGHT(INDIRECT(ADDRESS(ROW(A1917)-1, 'From Order'!$A1917)), 1), A1916))"),"")</f>
        <v/>
      </c>
      <c r="B1917" s="2" t="str">
        <f>IFERROR(__xludf.DUMMYFUNCTION("IF('From Order'!$A1917=COLUMNS($A1917:B1936), LEFT(INDEX(FILTER(B$1:B1916, B$1:B1916&lt;&gt;""""),COUNTA(FILTER(B$1:B1916, B$1:B1916&lt;&gt;""""))), LEN(INDEX(FILTER(B$1:B1916, B$1:B1916&lt;&gt;""""),COUNTA(FILTER(B$1:B1916, B$1:B1916&lt;&gt;""""))))-1), IF('To Order'!$A1917=COL"&amp;"UMNS($A1917:B1936), B1916&amp;RIGHT(INDIRECT(ADDRESS(ROW(B1917)-1, 'From Order'!$A1917)), 1), B1916))"),"")</f>
        <v/>
      </c>
      <c r="C1917" s="2" t="str">
        <f>IFERROR(__xludf.DUMMYFUNCTION("IF('From Order'!$A1917=COLUMNS($A1917:C1936), LEFT(INDEX(FILTER(C$1:C1916, C$1:C1916&lt;&gt;""""),COUNTA(FILTER(C$1:C1916, C$1:C1916&lt;&gt;""""))), LEN(INDEX(FILTER(C$1:C1916, C$1:C1916&lt;&gt;""""),COUNTA(FILTER(C$1:C1916, C$1:C1916&lt;&gt;""""))))-1), IF('To Order'!$A1917=COL"&amp;"UMNS($A1917:C1936), C1916&amp;RIGHT(INDIRECT(ADDRESS(ROW(C1917)-1, 'From Order'!$A1917)), 1), C1916))"),"D")</f>
        <v>D</v>
      </c>
      <c r="D1917" s="2" t="str">
        <f>IFERROR(__xludf.DUMMYFUNCTION("IF('From Order'!$A1917=COLUMNS($A1917:D1936), LEFT(INDEX(FILTER(D$1:D1916, D$1:D1916&lt;&gt;""""),COUNTA(FILTER(D$1:D1916, D$1:D1916&lt;&gt;""""))), LEN(INDEX(FILTER(D$1:D1916, D$1:D1916&lt;&gt;""""),COUNTA(FILTER(D$1:D1916, D$1:D1916&lt;&gt;""""))))-1), IF('To Order'!$A1917=COL"&amp;"UMNS($A1917:D1936), D1916&amp;RIGHT(INDIRECT(ADDRESS(ROW(D1917)-1, 'From Order'!$A1917)), 1), D1916))"),"RBJC")</f>
        <v>RBJC</v>
      </c>
      <c r="E1917" s="2" t="str">
        <f>IFERROR(__xludf.DUMMYFUNCTION("IF('From Order'!$A1917=COLUMNS($A1917:E1936), LEFT(INDEX(FILTER(E$1:E1916, E$1:E1916&lt;&gt;""""),COUNTA(FILTER(E$1:E1916, E$1:E1916&lt;&gt;""""))), LEN(INDEX(FILTER(E$1:E1916, E$1:E1916&lt;&gt;""""),COUNTA(FILTER(E$1:E1916, E$1:E1916&lt;&gt;""""))))-1), IF('To Order'!$A1917=COL"&amp;"UMNS($A1917:E1936), E1916&amp;RIGHT(INDIRECT(ADDRESS(ROW(E1917)-1, 'From Order'!$A1917)), 1), E1916))"),"CRG")</f>
        <v>CRG</v>
      </c>
      <c r="F1917" s="2" t="str">
        <f>IFERROR(__xludf.DUMMYFUNCTION("IF('From Order'!$A1917=COLUMNS($A1917:F1936), LEFT(INDEX(FILTER(F$1:F1916, F$1:F1916&lt;&gt;""""),COUNTA(FILTER(F$1:F1916, F$1:F1916&lt;&gt;""""))), LEN(INDEX(FILTER(F$1:F1916, F$1:F1916&lt;&gt;""""),COUNTA(FILTER(F$1:F1916, F$1:F1916&lt;&gt;""""))))-1), IF('To Order'!$A1917=COL"&amp;"UMNS($A1917:F1936), F1916&amp;RIGHT(INDIRECT(ADDRESS(ROW(F1917)-1, 'From Order'!$A1917)), 1), F1916))"),"LDSPBFLLWDDVQJPPSSTWZCSFHBBVRRJMGTTMDZHZMTDV")</f>
        <v>LDSPBFLLWDDVQJPPSSTWZCSFHBBVRRJMGTTMDZHZMTDV</v>
      </c>
      <c r="G1917" s="2" t="str">
        <f>IFERROR(__xludf.DUMMYFUNCTION("IF('From Order'!$A1917=COLUMNS($A1917:G1936), LEFT(INDEX(FILTER(G$1:G1916, G$1:G1916&lt;&gt;""""),COUNTA(FILTER(G$1:G1916, G$1:G1916&lt;&gt;""""))), LEN(INDEX(FILTER(G$1:G1916, G$1:G1916&lt;&gt;""""),COUNTA(FILTER(G$1:G1916, G$1:G1916&lt;&gt;""""))))-1), IF('To Order'!$A1917=COL"&amp;"UMNS($A1917:G1936), G1916&amp;RIGHT(INDIRECT(ADDRESS(ROW(G1917)-1, 'From Order'!$A1917)), 1), G1916))"),"")</f>
        <v/>
      </c>
      <c r="H1917" s="2" t="str">
        <f>IFERROR(__xludf.DUMMYFUNCTION("IF('From Order'!$A1917=COLUMNS($A1917:H1936), LEFT(INDEX(FILTER(H$1:H1916, H$1:H1916&lt;&gt;""""),COUNTA(FILTER(H$1:H1916, H$1:H1916&lt;&gt;""""))), LEN(INDEX(FILTER(H$1:H1916, H$1:H1916&lt;&gt;""""),COUNTA(FILTER(H$1:H1916, H$1:H1916&lt;&gt;""""))))-1), IF('To Order'!$A1917=COL"&amp;"UMNS($A1917:H1936), H1916&amp;RIGHT(INDIRECT(ADDRESS(ROW(H1917)-1, 'From Order'!$A1917)), 1), H1916))"),"QTRT")</f>
        <v>QTRT</v>
      </c>
      <c r="I1917" s="2" t="str">
        <f>IFERROR(__xludf.DUMMYFUNCTION("IF('From Order'!$A1917=COLUMNS($A1917:I1936), LEFT(INDEX(FILTER(I$1:I1916, I$1:I1916&lt;&gt;""""),COUNTA(FILTER(I$1:I1916, I$1:I1916&lt;&gt;""""))), LEN(INDEX(FILTER(I$1:I1916, I$1:I1916&lt;&gt;""""),COUNTA(FILTER(I$1:I1916, I$1:I1916&lt;&gt;""""))))-1), IF('To Order'!$A1917=COL"&amp;"UMNS($A1917:I1936), I1916&amp;RIGHT(INDIRECT(ADDRESS(ROW(I1917)-1, 'From Order'!$A1917)), 1), I1916))"),"")</f>
        <v/>
      </c>
    </row>
    <row r="1918">
      <c r="A1918" s="2" t="str">
        <f>IFERROR(__xludf.DUMMYFUNCTION("IF('From Order'!$A1918=COLUMNS($A1918:A1937), LEFT(INDEX(FILTER(A$1:A1917, A$1:A1917&lt;&gt;""""),COUNTA(FILTER(A$1:A1917, A$1:A1917&lt;&gt;""""))), LEN(INDEX(FILTER(A$1:A1917, A$1:A1917&lt;&gt;""""),COUNTA(FILTER(A$1:A1917, A$1:A1917&lt;&gt;""""))))-1), IF('To Order'!$A1918=COL"&amp;"UMNS($A1918:A1937), A1917&amp;RIGHT(INDIRECT(ADDRESS(ROW(A1918)-1, 'From Order'!$A1918)), 1), A1917))"),"")</f>
        <v/>
      </c>
      <c r="B1918" s="2" t="str">
        <f>IFERROR(__xludf.DUMMYFUNCTION("IF('From Order'!$A1918=COLUMNS($A1918:B1937), LEFT(INDEX(FILTER(B$1:B1917, B$1:B1917&lt;&gt;""""),COUNTA(FILTER(B$1:B1917, B$1:B1917&lt;&gt;""""))), LEN(INDEX(FILTER(B$1:B1917, B$1:B1917&lt;&gt;""""),COUNTA(FILTER(B$1:B1917, B$1:B1917&lt;&gt;""""))))-1), IF('To Order'!$A1918=COL"&amp;"UMNS($A1918:B1937), B1917&amp;RIGHT(INDIRECT(ADDRESS(ROW(B1918)-1, 'From Order'!$A1918)), 1), B1917))"),"")</f>
        <v/>
      </c>
      <c r="C1918" s="2" t="str">
        <f>IFERROR(__xludf.DUMMYFUNCTION("IF('From Order'!$A1918=COLUMNS($A1918:C1937), LEFT(INDEX(FILTER(C$1:C1917, C$1:C1917&lt;&gt;""""),COUNTA(FILTER(C$1:C1917, C$1:C1917&lt;&gt;""""))), LEN(INDEX(FILTER(C$1:C1917, C$1:C1917&lt;&gt;""""),COUNTA(FILTER(C$1:C1917, C$1:C1917&lt;&gt;""""))))-1), IF('To Order'!$A1918=COL"&amp;"UMNS($A1918:C1937), C1917&amp;RIGHT(INDIRECT(ADDRESS(ROW(C1918)-1, 'From Order'!$A1918)), 1), C1917))"),"")</f>
        <v/>
      </c>
      <c r="D1918" s="2" t="str">
        <f>IFERROR(__xludf.DUMMYFUNCTION("IF('From Order'!$A1918=COLUMNS($A1918:D1937), LEFT(INDEX(FILTER(D$1:D1917, D$1:D1917&lt;&gt;""""),COUNTA(FILTER(D$1:D1917, D$1:D1917&lt;&gt;""""))), LEN(INDEX(FILTER(D$1:D1917, D$1:D1917&lt;&gt;""""),COUNTA(FILTER(D$1:D1917, D$1:D1917&lt;&gt;""""))))-1), IF('To Order'!$A1918=COL"&amp;"UMNS($A1918:D1937), D1917&amp;RIGHT(INDIRECT(ADDRESS(ROW(D1918)-1, 'From Order'!$A1918)), 1), D1917))"),"RBJC")</f>
        <v>RBJC</v>
      </c>
      <c r="E1918" s="2" t="str">
        <f>IFERROR(__xludf.DUMMYFUNCTION("IF('From Order'!$A1918=COLUMNS($A1918:E1937), LEFT(INDEX(FILTER(E$1:E1917, E$1:E1917&lt;&gt;""""),COUNTA(FILTER(E$1:E1917, E$1:E1917&lt;&gt;""""))), LEN(INDEX(FILTER(E$1:E1917, E$1:E1917&lt;&gt;""""),COUNTA(FILTER(E$1:E1917, E$1:E1917&lt;&gt;""""))))-1), IF('To Order'!$A1918=COL"&amp;"UMNS($A1918:E1937), E1917&amp;RIGHT(INDIRECT(ADDRESS(ROW(E1918)-1, 'From Order'!$A1918)), 1), E1917))"),"CRG")</f>
        <v>CRG</v>
      </c>
      <c r="F1918" s="2" t="str">
        <f>IFERROR(__xludf.DUMMYFUNCTION("IF('From Order'!$A1918=COLUMNS($A1918:F1937), LEFT(INDEX(FILTER(F$1:F1917, F$1:F1917&lt;&gt;""""),COUNTA(FILTER(F$1:F1917, F$1:F1917&lt;&gt;""""))), LEN(INDEX(FILTER(F$1:F1917, F$1:F1917&lt;&gt;""""),COUNTA(FILTER(F$1:F1917, F$1:F1917&lt;&gt;""""))))-1), IF('To Order'!$A1918=COL"&amp;"UMNS($A1918:F1937), F1917&amp;RIGHT(INDIRECT(ADDRESS(ROW(F1918)-1, 'From Order'!$A1918)), 1), F1917))"),"LDSPBFLLWDDVQJPPSSTWZCSFHBBVRRJMGTTMDZHZMTDVD")</f>
        <v>LDSPBFLLWDDVQJPPSSTWZCSFHBBVRRJMGTTMDZHZMTDVD</v>
      </c>
      <c r="G1918" s="2" t="str">
        <f>IFERROR(__xludf.DUMMYFUNCTION("IF('From Order'!$A1918=COLUMNS($A1918:G1937), LEFT(INDEX(FILTER(G$1:G1917, G$1:G1917&lt;&gt;""""),COUNTA(FILTER(G$1:G1917, G$1:G1917&lt;&gt;""""))), LEN(INDEX(FILTER(G$1:G1917, G$1:G1917&lt;&gt;""""),COUNTA(FILTER(G$1:G1917, G$1:G1917&lt;&gt;""""))))-1), IF('To Order'!$A1918=COL"&amp;"UMNS($A1918:G1937), G1917&amp;RIGHT(INDIRECT(ADDRESS(ROW(G1918)-1, 'From Order'!$A1918)), 1), G1917))"),"")</f>
        <v/>
      </c>
      <c r="H1918" s="2" t="str">
        <f>IFERROR(__xludf.DUMMYFUNCTION("IF('From Order'!$A1918=COLUMNS($A1918:H1937), LEFT(INDEX(FILTER(H$1:H1917, H$1:H1917&lt;&gt;""""),COUNTA(FILTER(H$1:H1917, H$1:H1917&lt;&gt;""""))), LEN(INDEX(FILTER(H$1:H1917, H$1:H1917&lt;&gt;""""),COUNTA(FILTER(H$1:H1917, H$1:H1917&lt;&gt;""""))))-1), IF('To Order'!$A1918=COL"&amp;"UMNS($A1918:H1937), H1917&amp;RIGHT(INDIRECT(ADDRESS(ROW(H1918)-1, 'From Order'!$A1918)), 1), H1917))"),"QTRT")</f>
        <v>QTRT</v>
      </c>
      <c r="I1918" s="2" t="str">
        <f>IFERROR(__xludf.DUMMYFUNCTION("IF('From Order'!$A1918=COLUMNS($A1918:I1937), LEFT(INDEX(FILTER(I$1:I1917, I$1:I1917&lt;&gt;""""),COUNTA(FILTER(I$1:I1917, I$1:I1917&lt;&gt;""""))), LEN(INDEX(FILTER(I$1:I1917, I$1:I1917&lt;&gt;""""),COUNTA(FILTER(I$1:I1917, I$1:I1917&lt;&gt;""""))))-1), IF('To Order'!$A1918=COL"&amp;"UMNS($A1918:I1937), I1917&amp;RIGHT(INDIRECT(ADDRESS(ROW(I1918)-1, 'From Order'!$A1918)), 1), I1917))"),"")</f>
        <v/>
      </c>
    </row>
    <row r="1919">
      <c r="A1919" s="2" t="str">
        <f>IFERROR(__xludf.DUMMYFUNCTION("IF('From Order'!$A1919=COLUMNS($A1919:A1938), LEFT(INDEX(FILTER(A$1:A1918, A$1:A1918&lt;&gt;""""),COUNTA(FILTER(A$1:A1918, A$1:A1918&lt;&gt;""""))), LEN(INDEX(FILTER(A$1:A1918, A$1:A1918&lt;&gt;""""),COUNTA(FILTER(A$1:A1918, A$1:A1918&lt;&gt;""""))))-1), IF('To Order'!$A1919=COL"&amp;"UMNS($A1919:A1938), A1918&amp;RIGHT(INDIRECT(ADDRESS(ROW(A1919)-1, 'From Order'!$A1919)), 1), A1918))"),"")</f>
        <v/>
      </c>
      <c r="B1919" s="2" t="str">
        <f>IFERROR(__xludf.DUMMYFUNCTION("IF('From Order'!$A1919=COLUMNS($A1919:B1938), LEFT(INDEX(FILTER(B$1:B1918, B$1:B1918&lt;&gt;""""),COUNTA(FILTER(B$1:B1918, B$1:B1918&lt;&gt;""""))), LEN(INDEX(FILTER(B$1:B1918, B$1:B1918&lt;&gt;""""),COUNTA(FILTER(B$1:B1918, B$1:B1918&lt;&gt;""""))))-1), IF('To Order'!$A1919=COL"&amp;"UMNS($A1919:B1938), B1918&amp;RIGHT(INDIRECT(ADDRESS(ROW(B1919)-1, 'From Order'!$A1919)), 1), B1918))"),"")</f>
        <v/>
      </c>
      <c r="C1919" s="2" t="str">
        <f>IFERROR(__xludf.DUMMYFUNCTION("IF('From Order'!$A1919=COLUMNS($A1919:C1938), LEFT(INDEX(FILTER(C$1:C1918, C$1:C1918&lt;&gt;""""),COUNTA(FILTER(C$1:C1918, C$1:C1918&lt;&gt;""""))), LEN(INDEX(FILTER(C$1:C1918, C$1:C1918&lt;&gt;""""),COUNTA(FILTER(C$1:C1918, C$1:C1918&lt;&gt;""""))))-1), IF('To Order'!$A1919=COL"&amp;"UMNS($A1919:C1938), C1918&amp;RIGHT(INDIRECT(ADDRESS(ROW(C1919)-1, 'From Order'!$A1919)), 1), C1918))"),"")</f>
        <v/>
      </c>
      <c r="D1919" s="2" t="str">
        <f>IFERROR(__xludf.DUMMYFUNCTION("IF('From Order'!$A1919=COLUMNS($A1919:D1938), LEFT(INDEX(FILTER(D$1:D1918, D$1:D1918&lt;&gt;""""),COUNTA(FILTER(D$1:D1918, D$1:D1918&lt;&gt;""""))), LEN(INDEX(FILTER(D$1:D1918, D$1:D1918&lt;&gt;""""),COUNTA(FILTER(D$1:D1918, D$1:D1918&lt;&gt;""""))))-1), IF('To Order'!$A1919=COL"&amp;"UMNS($A1919:D1938), D1918&amp;RIGHT(INDIRECT(ADDRESS(ROW(D1919)-1, 'From Order'!$A1919)), 1), D1918))"),"RBJC")</f>
        <v>RBJC</v>
      </c>
      <c r="E1919" s="2" t="str">
        <f>IFERROR(__xludf.DUMMYFUNCTION("IF('From Order'!$A1919=COLUMNS($A1919:E1938), LEFT(INDEX(FILTER(E$1:E1918, E$1:E1918&lt;&gt;""""),COUNTA(FILTER(E$1:E1918, E$1:E1918&lt;&gt;""""))), LEN(INDEX(FILTER(E$1:E1918, E$1:E1918&lt;&gt;""""),COUNTA(FILTER(E$1:E1918, E$1:E1918&lt;&gt;""""))))-1), IF('To Order'!$A1919=COL"&amp;"UMNS($A1919:E1938), E1918&amp;RIGHT(INDIRECT(ADDRESS(ROW(E1919)-1, 'From Order'!$A1919)), 1), E1918))"),"CRG")</f>
        <v>CRG</v>
      </c>
      <c r="F1919" s="2" t="str">
        <f>IFERROR(__xludf.DUMMYFUNCTION("IF('From Order'!$A1919=COLUMNS($A1919:F1938), LEFT(INDEX(FILTER(F$1:F1918, F$1:F1918&lt;&gt;""""),COUNTA(FILTER(F$1:F1918, F$1:F1918&lt;&gt;""""))), LEN(INDEX(FILTER(F$1:F1918, F$1:F1918&lt;&gt;""""),COUNTA(FILTER(F$1:F1918, F$1:F1918&lt;&gt;""""))))-1), IF('To Order'!$A1919=COL"&amp;"UMNS($A1919:F1938), F1918&amp;RIGHT(INDIRECT(ADDRESS(ROW(F1919)-1, 'From Order'!$A1919)), 1), F1918))"),"LDSPBFLLWDDVQJPPSSTWZCSFHBBVRRJMGTTMDZHZMTDV")</f>
        <v>LDSPBFLLWDDVQJPPSSTWZCSFHBBVRRJMGTTMDZHZMTDV</v>
      </c>
      <c r="G1919" s="2" t="str">
        <f>IFERROR(__xludf.DUMMYFUNCTION("IF('From Order'!$A1919=COLUMNS($A1919:G1938), LEFT(INDEX(FILTER(G$1:G1918, G$1:G1918&lt;&gt;""""),COUNTA(FILTER(G$1:G1918, G$1:G1918&lt;&gt;""""))), LEN(INDEX(FILTER(G$1:G1918, G$1:G1918&lt;&gt;""""),COUNTA(FILTER(G$1:G1918, G$1:G1918&lt;&gt;""""))))-1), IF('To Order'!$A1919=COL"&amp;"UMNS($A1919:G1938), G1918&amp;RIGHT(INDIRECT(ADDRESS(ROW(G1919)-1, 'From Order'!$A1919)), 1), G1918))"),"")</f>
        <v/>
      </c>
      <c r="H1919" s="2" t="str">
        <f>IFERROR(__xludf.DUMMYFUNCTION("IF('From Order'!$A1919=COLUMNS($A1919:H1938), LEFT(INDEX(FILTER(H$1:H1918, H$1:H1918&lt;&gt;""""),COUNTA(FILTER(H$1:H1918, H$1:H1918&lt;&gt;""""))), LEN(INDEX(FILTER(H$1:H1918, H$1:H1918&lt;&gt;""""),COUNTA(FILTER(H$1:H1918, H$1:H1918&lt;&gt;""""))))-1), IF('To Order'!$A1919=COL"&amp;"UMNS($A1919:H1938), H1918&amp;RIGHT(INDIRECT(ADDRESS(ROW(H1919)-1, 'From Order'!$A1919)), 1), H1918))"),"QTRT")</f>
        <v>QTRT</v>
      </c>
      <c r="I1919" s="2" t="str">
        <f>IFERROR(__xludf.DUMMYFUNCTION("IF('From Order'!$A1919=COLUMNS($A1919:I1938), LEFT(INDEX(FILTER(I$1:I1918, I$1:I1918&lt;&gt;""""),COUNTA(FILTER(I$1:I1918, I$1:I1918&lt;&gt;""""))), LEN(INDEX(FILTER(I$1:I1918, I$1:I1918&lt;&gt;""""),COUNTA(FILTER(I$1:I1918, I$1:I1918&lt;&gt;""""))))-1), IF('To Order'!$A1919=COL"&amp;"UMNS($A1919:I1938), I1918&amp;RIGHT(INDIRECT(ADDRESS(ROW(I1919)-1, 'From Order'!$A1919)), 1), I1918))"),"D")</f>
        <v>D</v>
      </c>
    </row>
    <row r="1920">
      <c r="A1920" s="2" t="str">
        <f>IFERROR(__xludf.DUMMYFUNCTION("IF('From Order'!$A1920=COLUMNS($A1920:A1939), LEFT(INDEX(FILTER(A$1:A1919, A$1:A1919&lt;&gt;""""),COUNTA(FILTER(A$1:A1919, A$1:A1919&lt;&gt;""""))), LEN(INDEX(FILTER(A$1:A1919, A$1:A1919&lt;&gt;""""),COUNTA(FILTER(A$1:A1919, A$1:A1919&lt;&gt;""""))))-1), IF('To Order'!$A1920=COL"&amp;"UMNS($A1920:A1939), A1919&amp;RIGHT(INDIRECT(ADDRESS(ROW(A1920)-1, 'From Order'!$A1920)), 1), A1919))"),"")</f>
        <v/>
      </c>
      <c r="B1920" s="2" t="str">
        <f>IFERROR(__xludf.DUMMYFUNCTION("IF('From Order'!$A1920=COLUMNS($A1920:B1939), LEFT(INDEX(FILTER(B$1:B1919, B$1:B1919&lt;&gt;""""),COUNTA(FILTER(B$1:B1919, B$1:B1919&lt;&gt;""""))), LEN(INDEX(FILTER(B$1:B1919, B$1:B1919&lt;&gt;""""),COUNTA(FILTER(B$1:B1919, B$1:B1919&lt;&gt;""""))))-1), IF('To Order'!$A1920=COL"&amp;"UMNS($A1920:B1939), B1919&amp;RIGHT(INDIRECT(ADDRESS(ROW(B1920)-1, 'From Order'!$A1920)), 1), B1919))"),"")</f>
        <v/>
      </c>
      <c r="C1920" s="2" t="str">
        <f>IFERROR(__xludf.DUMMYFUNCTION("IF('From Order'!$A1920=COLUMNS($A1920:C1939), LEFT(INDEX(FILTER(C$1:C1919, C$1:C1919&lt;&gt;""""),COUNTA(FILTER(C$1:C1919, C$1:C1919&lt;&gt;""""))), LEN(INDEX(FILTER(C$1:C1919, C$1:C1919&lt;&gt;""""),COUNTA(FILTER(C$1:C1919, C$1:C1919&lt;&gt;""""))))-1), IF('To Order'!$A1920=COL"&amp;"UMNS($A1920:C1939), C1919&amp;RIGHT(INDIRECT(ADDRESS(ROW(C1920)-1, 'From Order'!$A1920)), 1), C1919))"),"")</f>
        <v/>
      </c>
      <c r="D1920" s="2" t="str">
        <f>IFERROR(__xludf.DUMMYFUNCTION("IF('From Order'!$A1920=COLUMNS($A1920:D1939), LEFT(INDEX(FILTER(D$1:D1919, D$1:D1919&lt;&gt;""""),COUNTA(FILTER(D$1:D1919, D$1:D1919&lt;&gt;""""))), LEN(INDEX(FILTER(D$1:D1919, D$1:D1919&lt;&gt;""""),COUNTA(FILTER(D$1:D1919, D$1:D1919&lt;&gt;""""))))-1), IF('To Order'!$A1920=COL"&amp;"UMNS($A1920:D1939), D1919&amp;RIGHT(INDIRECT(ADDRESS(ROW(D1920)-1, 'From Order'!$A1920)), 1), D1919))"),"RBJC")</f>
        <v>RBJC</v>
      </c>
      <c r="E1920" s="2" t="str">
        <f>IFERROR(__xludf.DUMMYFUNCTION("IF('From Order'!$A1920=COLUMNS($A1920:E1939), LEFT(INDEX(FILTER(E$1:E1919, E$1:E1919&lt;&gt;""""),COUNTA(FILTER(E$1:E1919, E$1:E1919&lt;&gt;""""))), LEN(INDEX(FILTER(E$1:E1919, E$1:E1919&lt;&gt;""""),COUNTA(FILTER(E$1:E1919, E$1:E1919&lt;&gt;""""))))-1), IF('To Order'!$A1920=COL"&amp;"UMNS($A1920:E1939), E1919&amp;RIGHT(INDIRECT(ADDRESS(ROW(E1920)-1, 'From Order'!$A1920)), 1), E1919))"),"CRG")</f>
        <v>CRG</v>
      </c>
      <c r="F1920" s="2" t="str">
        <f>IFERROR(__xludf.DUMMYFUNCTION("IF('From Order'!$A1920=COLUMNS($A1920:F1939), LEFT(INDEX(FILTER(F$1:F1919, F$1:F1919&lt;&gt;""""),COUNTA(FILTER(F$1:F1919, F$1:F1919&lt;&gt;""""))), LEN(INDEX(FILTER(F$1:F1919, F$1:F1919&lt;&gt;""""),COUNTA(FILTER(F$1:F1919, F$1:F1919&lt;&gt;""""))))-1), IF('To Order'!$A1920=COL"&amp;"UMNS($A1920:F1939), F1919&amp;RIGHT(INDIRECT(ADDRESS(ROW(F1920)-1, 'From Order'!$A1920)), 1), F1919))"),"LDSPBFLLWDDVQJPPSSTWZCSFHBBVRRJMGTTMDZHZMTD")</f>
        <v>LDSPBFLLWDDVQJPPSSTWZCSFHBBVRRJMGTTMDZHZMTD</v>
      </c>
      <c r="G1920" s="2" t="str">
        <f>IFERROR(__xludf.DUMMYFUNCTION("IF('From Order'!$A1920=COLUMNS($A1920:G1939), LEFT(INDEX(FILTER(G$1:G1919, G$1:G1919&lt;&gt;""""),COUNTA(FILTER(G$1:G1919, G$1:G1919&lt;&gt;""""))), LEN(INDEX(FILTER(G$1:G1919, G$1:G1919&lt;&gt;""""),COUNTA(FILTER(G$1:G1919, G$1:G1919&lt;&gt;""""))))-1), IF('To Order'!$A1920=COL"&amp;"UMNS($A1920:G1939), G1919&amp;RIGHT(INDIRECT(ADDRESS(ROW(G1920)-1, 'From Order'!$A1920)), 1), G1919))"),"")</f>
        <v/>
      </c>
      <c r="H1920" s="2" t="str">
        <f>IFERROR(__xludf.DUMMYFUNCTION("IF('From Order'!$A1920=COLUMNS($A1920:H1939), LEFT(INDEX(FILTER(H$1:H1919, H$1:H1919&lt;&gt;""""),COUNTA(FILTER(H$1:H1919, H$1:H1919&lt;&gt;""""))), LEN(INDEX(FILTER(H$1:H1919, H$1:H1919&lt;&gt;""""),COUNTA(FILTER(H$1:H1919, H$1:H1919&lt;&gt;""""))))-1), IF('To Order'!$A1920=COL"&amp;"UMNS($A1920:H1939), H1919&amp;RIGHT(INDIRECT(ADDRESS(ROW(H1920)-1, 'From Order'!$A1920)), 1), H1919))"),"QTRT")</f>
        <v>QTRT</v>
      </c>
      <c r="I1920" s="2" t="str">
        <f>IFERROR(__xludf.DUMMYFUNCTION("IF('From Order'!$A1920=COLUMNS($A1920:I1939), LEFT(INDEX(FILTER(I$1:I1919, I$1:I1919&lt;&gt;""""),COUNTA(FILTER(I$1:I1919, I$1:I1919&lt;&gt;""""))), LEN(INDEX(FILTER(I$1:I1919, I$1:I1919&lt;&gt;""""),COUNTA(FILTER(I$1:I1919, I$1:I1919&lt;&gt;""""))))-1), IF('To Order'!$A1920=COL"&amp;"UMNS($A1920:I1939), I1919&amp;RIGHT(INDIRECT(ADDRESS(ROW(I1920)-1, 'From Order'!$A1920)), 1), I1919))"),"DV")</f>
        <v>DV</v>
      </c>
    </row>
    <row r="1921">
      <c r="A1921" s="2" t="str">
        <f>IFERROR(__xludf.DUMMYFUNCTION("IF('From Order'!$A1921=COLUMNS($A1921:A1940), LEFT(INDEX(FILTER(A$1:A1920, A$1:A1920&lt;&gt;""""),COUNTA(FILTER(A$1:A1920, A$1:A1920&lt;&gt;""""))), LEN(INDEX(FILTER(A$1:A1920, A$1:A1920&lt;&gt;""""),COUNTA(FILTER(A$1:A1920, A$1:A1920&lt;&gt;""""))))-1), IF('To Order'!$A1921=COL"&amp;"UMNS($A1921:A1940), A1920&amp;RIGHT(INDIRECT(ADDRESS(ROW(A1921)-1, 'From Order'!$A1921)), 1), A1920))"),"")</f>
        <v/>
      </c>
      <c r="B1921" s="2" t="str">
        <f>IFERROR(__xludf.DUMMYFUNCTION("IF('From Order'!$A1921=COLUMNS($A1921:B1940), LEFT(INDEX(FILTER(B$1:B1920, B$1:B1920&lt;&gt;""""),COUNTA(FILTER(B$1:B1920, B$1:B1920&lt;&gt;""""))), LEN(INDEX(FILTER(B$1:B1920, B$1:B1920&lt;&gt;""""),COUNTA(FILTER(B$1:B1920, B$1:B1920&lt;&gt;""""))))-1), IF('To Order'!$A1921=COL"&amp;"UMNS($A1921:B1940), B1920&amp;RIGHT(INDIRECT(ADDRESS(ROW(B1921)-1, 'From Order'!$A1921)), 1), B1920))"),"")</f>
        <v/>
      </c>
      <c r="C1921" s="2" t="str">
        <f>IFERROR(__xludf.DUMMYFUNCTION("IF('From Order'!$A1921=COLUMNS($A1921:C1940), LEFT(INDEX(FILTER(C$1:C1920, C$1:C1920&lt;&gt;""""),COUNTA(FILTER(C$1:C1920, C$1:C1920&lt;&gt;""""))), LEN(INDEX(FILTER(C$1:C1920, C$1:C1920&lt;&gt;""""),COUNTA(FILTER(C$1:C1920, C$1:C1920&lt;&gt;""""))))-1), IF('To Order'!$A1921=COL"&amp;"UMNS($A1921:C1940), C1920&amp;RIGHT(INDIRECT(ADDRESS(ROW(C1921)-1, 'From Order'!$A1921)), 1), C1920))"),"")</f>
        <v/>
      </c>
      <c r="D1921" s="2" t="str">
        <f>IFERROR(__xludf.DUMMYFUNCTION("IF('From Order'!$A1921=COLUMNS($A1921:D1940), LEFT(INDEX(FILTER(D$1:D1920, D$1:D1920&lt;&gt;""""),COUNTA(FILTER(D$1:D1920, D$1:D1920&lt;&gt;""""))), LEN(INDEX(FILTER(D$1:D1920, D$1:D1920&lt;&gt;""""),COUNTA(FILTER(D$1:D1920, D$1:D1920&lt;&gt;""""))))-1), IF('To Order'!$A1921=COL"&amp;"UMNS($A1921:D1940), D1920&amp;RIGHT(INDIRECT(ADDRESS(ROW(D1921)-1, 'From Order'!$A1921)), 1), D1920))"),"RBJC")</f>
        <v>RBJC</v>
      </c>
      <c r="E1921" s="2" t="str">
        <f>IFERROR(__xludf.DUMMYFUNCTION("IF('From Order'!$A1921=COLUMNS($A1921:E1940), LEFT(INDEX(FILTER(E$1:E1920, E$1:E1920&lt;&gt;""""),COUNTA(FILTER(E$1:E1920, E$1:E1920&lt;&gt;""""))), LEN(INDEX(FILTER(E$1:E1920, E$1:E1920&lt;&gt;""""),COUNTA(FILTER(E$1:E1920, E$1:E1920&lt;&gt;""""))))-1), IF('To Order'!$A1921=COL"&amp;"UMNS($A1921:E1940), E1920&amp;RIGHT(INDIRECT(ADDRESS(ROW(E1921)-1, 'From Order'!$A1921)), 1), E1920))"),"CRG")</f>
        <v>CRG</v>
      </c>
      <c r="F1921" s="2" t="str">
        <f>IFERROR(__xludf.DUMMYFUNCTION("IF('From Order'!$A1921=COLUMNS($A1921:F1940), LEFT(INDEX(FILTER(F$1:F1920, F$1:F1920&lt;&gt;""""),COUNTA(FILTER(F$1:F1920, F$1:F1920&lt;&gt;""""))), LEN(INDEX(FILTER(F$1:F1920, F$1:F1920&lt;&gt;""""),COUNTA(FILTER(F$1:F1920, F$1:F1920&lt;&gt;""""))))-1), IF('To Order'!$A1921=COL"&amp;"UMNS($A1921:F1940), F1920&amp;RIGHT(INDIRECT(ADDRESS(ROW(F1921)-1, 'From Order'!$A1921)), 1), F1920))"),"LDSPBFLLWDDVQJPPSSTWZCSFHBBVRRJMGTTMDZHZMT")</f>
        <v>LDSPBFLLWDDVQJPPSSTWZCSFHBBVRRJMGTTMDZHZMT</v>
      </c>
      <c r="G1921" s="2" t="str">
        <f>IFERROR(__xludf.DUMMYFUNCTION("IF('From Order'!$A1921=COLUMNS($A1921:G1940), LEFT(INDEX(FILTER(G$1:G1920, G$1:G1920&lt;&gt;""""),COUNTA(FILTER(G$1:G1920, G$1:G1920&lt;&gt;""""))), LEN(INDEX(FILTER(G$1:G1920, G$1:G1920&lt;&gt;""""),COUNTA(FILTER(G$1:G1920, G$1:G1920&lt;&gt;""""))))-1), IF('To Order'!$A1921=COL"&amp;"UMNS($A1921:G1940), G1920&amp;RIGHT(INDIRECT(ADDRESS(ROW(G1921)-1, 'From Order'!$A1921)), 1), G1920))"),"")</f>
        <v/>
      </c>
      <c r="H1921" s="2" t="str">
        <f>IFERROR(__xludf.DUMMYFUNCTION("IF('From Order'!$A1921=COLUMNS($A1921:H1940), LEFT(INDEX(FILTER(H$1:H1920, H$1:H1920&lt;&gt;""""),COUNTA(FILTER(H$1:H1920, H$1:H1920&lt;&gt;""""))), LEN(INDEX(FILTER(H$1:H1920, H$1:H1920&lt;&gt;""""),COUNTA(FILTER(H$1:H1920, H$1:H1920&lt;&gt;""""))))-1), IF('To Order'!$A1921=COL"&amp;"UMNS($A1921:H1940), H1920&amp;RIGHT(INDIRECT(ADDRESS(ROW(H1921)-1, 'From Order'!$A1921)), 1), H1920))"),"QTRT")</f>
        <v>QTRT</v>
      </c>
      <c r="I1921" s="2" t="str">
        <f>IFERROR(__xludf.DUMMYFUNCTION("IF('From Order'!$A1921=COLUMNS($A1921:I1940), LEFT(INDEX(FILTER(I$1:I1920, I$1:I1920&lt;&gt;""""),COUNTA(FILTER(I$1:I1920, I$1:I1920&lt;&gt;""""))), LEN(INDEX(FILTER(I$1:I1920, I$1:I1920&lt;&gt;""""),COUNTA(FILTER(I$1:I1920, I$1:I1920&lt;&gt;""""))))-1), IF('To Order'!$A1921=COL"&amp;"UMNS($A1921:I1940), I1920&amp;RIGHT(INDIRECT(ADDRESS(ROW(I1921)-1, 'From Order'!$A1921)), 1), I1920))"),"DVD")</f>
        <v>DVD</v>
      </c>
    </row>
    <row r="1922">
      <c r="A1922" s="2" t="str">
        <f>IFERROR(__xludf.DUMMYFUNCTION("IF('From Order'!$A1922=COLUMNS($A1922:A1941), LEFT(INDEX(FILTER(A$1:A1921, A$1:A1921&lt;&gt;""""),COUNTA(FILTER(A$1:A1921, A$1:A1921&lt;&gt;""""))), LEN(INDEX(FILTER(A$1:A1921, A$1:A1921&lt;&gt;""""),COUNTA(FILTER(A$1:A1921, A$1:A1921&lt;&gt;""""))))-1), IF('To Order'!$A1922=COL"&amp;"UMNS($A1922:A1941), A1921&amp;RIGHT(INDIRECT(ADDRESS(ROW(A1922)-1, 'From Order'!$A1922)), 1), A1921))"),"")</f>
        <v/>
      </c>
      <c r="B1922" s="2" t="str">
        <f>IFERROR(__xludf.DUMMYFUNCTION("IF('From Order'!$A1922=COLUMNS($A1922:B1941), LEFT(INDEX(FILTER(B$1:B1921, B$1:B1921&lt;&gt;""""),COUNTA(FILTER(B$1:B1921, B$1:B1921&lt;&gt;""""))), LEN(INDEX(FILTER(B$1:B1921, B$1:B1921&lt;&gt;""""),COUNTA(FILTER(B$1:B1921, B$1:B1921&lt;&gt;""""))))-1), IF('To Order'!$A1922=COL"&amp;"UMNS($A1922:B1941), B1921&amp;RIGHT(INDIRECT(ADDRESS(ROW(B1922)-1, 'From Order'!$A1922)), 1), B1921))"),"")</f>
        <v/>
      </c>
      <c r="C1922" s="2" t="str">
        <f>IFERROR(__xludf.DUMMYFUNCTION("IF('From Order'!$A1922=COLUMNS($A1922:C1941), LEFT(INDEX(FILTER(C$1:C1921, C$1:C1921&lt;&gt;""""),COUNTA(FILTER(C$1:C1921, C$1:C1921&lt;&gt;""""))), LEN(INDEX(FILTER(C$1:C1921, C$1:C1921&lt;&gt;""""),COUNTA(FILTER(C$1:C1921, C$1:C1921&lt;&gt;""""))))-1), IF('To Order'!$A1922=COL"&amp;"UMNS($A1922:C1941), C1921&amp;RIGHT(INDIRECT(ADDRESS(ROW(C1922)-1, 'From Order'!$A1922)), 1), C1921))"),"")</f>
        <v/>
      </c>
      <c r="D1922" s="2" t="str">
        <f>IFERROR(__xludf.DUMMYFUNCTION("IF('From Order'!$A1922=COLUMNS($A1922:D1941), LEFT(INDEX(FILTER(D$1:D1921, D$1:D1921&lt;&gt;""""),COUNTA(FILTER(D$1:D1921, D$1:D1921&lt;&gt;""""))), LEN(INDEX(FILTER(D$1:D1921, D$1:D1921&lt;&gt;""""),COUNTA(FILTER(D$1:D1921, D$1:D1921&lt;&gt;""""))))-1), IF('To Order'!$A1922=COL"&amp;"UMNS($A1922:D1941), D1921&amp;RIGHT(INDIRECT(ADDRESS(ROW(D1922)-1, 'From Order'!$A1922)), 1), D1921))"),"RBJC")</f>
        <v>RBJC</v>
      </c>
      <c r="E1922" s="2" t="str">
        <f>IFERROR(__xludf.DUMMYFUNCTION("IF('From Order'!$A1922=COLUMNS($A1922:E1941), LEFT(INDEX(FILTER(E$1:E1921, E$1:E1921&lt;&gt;""""),COUNTA(FILTER(E$1:E1921, E$1:E1921&lt;&gt;""""))), LEN(INDEX(FILTER(E$1:E1921, E$1:E1921&lt;&gt;""""),COUNTA(FILTER(E$1:E1921, E$1:E1921&lt;&gt;""""))))-1), IF('To Order'!$A1922=COL"&amp;"UMNS($A1922:E1941), E1921&amp;RIGHT(INDIRECT(ADDRESS(ROW(E1922)-1, 'From Order'!$A1922)), 1), E1921))"),"CRG")</f>
        <v>CRG</v>
      </c>
      <c r="F1922" s="2" t="str">
        <f>IFERROR(__xludf.DUMMYFUNCTION("IF('From Order'!$A1922=COLUMNS($A1922:F1941), LEFT(INDEX(FILTER(F$1:F1921, F$1:F1921&lt;&gt;""""),COUNTA(FILTER(F$1:F1921, F$1:F1921&lt;&gt;""""))), LEN(INDEX(FILTER(F$1:F1921, F$1:F1921&lt;&gt;""""),COUNTA(FILTER(F$1:F1921, F$1:F1921&lt;&gt;""""))))-1), IF('To Order'!$A1922=COL"&amp;"UMNS($A1922:F1941), F1921&amp;RIGHT(INDIRECT(ADDRESS(ROW(F1922)-1, 'From Order'!$A1922)), 1), F1921))"),"LDSPBFLLWDDVQJPPSSTWZCSFHBBVRRJMGTTMDZHZM")</f>
        <v>LDSPBFLLWDDVQJPPSSTWZCSFHBBVRRJMGTTMDZHZM</v>
      </c>
      <c r="G1922" s="2" t="str">
        <f>IFERROR(__xludf.DUMMYFUNCTION("IF('From Order'!$A1922=COLUMNS($A1922:G1941), LEFT(INDEX(FILTER(G$1:G1921, G$1:G1921&lt;&gt;""""),COUNTA(FILTER(G$1:G1921, G$1:G1921&lt;&gt;""""))), LEN(INDEX(FILTER(G$1:G1921, G$1:G1921&lt;&gt;""""),COUNTA(FILTER(G$1:G1921, G$1:G1921&lt;&gt;""""))))-1), IF('To Order'!$A1922=COL"&amp;"UMNS($A1922:G1941), G1921&amp;RIGHT(INDIRECT(ADDRESS(ROW(G1922)-1, 'From Order'!$A1922)), 1), G1921))"),"")</f>
        <v/>
      </c>
      <c r="H1922" s="2" t="str">
        <f>IFERROR(__xludf.DUMMYFUNCTION("IF('From Order'!$A1922=COLUMNS($A1922:H1941), LEFT(INDEX(FILTER(H$1:H1921, H$1:H1921&lt;&gt;""""),COUNTA(FILTER(H$1:H1921, H$1:H1921&lt;&gt;""""))), LEN(INDEX(FILTER(H$1:H1921, H$1:H1921&lt;&gt;""""),COUNTA(FILTER(H$1:H1921, H$1:H1921&lt;&gt;""""))))-1), IF('To Order'!$A1922=COL"&amp;"UMNS($A1922:H1941), H1921&amp;RIGHT(INDIRECT(ADDRESS(ROW(H1922)-1, 'From Order'!$A1922)), 1), H1921))"),"QTRT")</f>
        <v>QTRT</v>
      </c>
      <c r="I1922" s="2" t="str">
        <f>IFERROR(__xludf.DUMMYFUNCTION("IF('From Order'!$A1922=COLUMNS($A1922:I1941), LEFT(INDEX(FILTER(I$1:I1921, I$1:I1921&lt;&gt;""""),COUNTA(FILTER(I$1:I1921, I$1:I1921&lt;&gt;""""))), LEN(INDEX(FILTER(I$1:I1921, I$1:I1921&lt;&gt;""""),COUNTA(FILTER(I$1:I1921, I$1:I1921&lt;&gt;""""))))-1), IF('To Order'!$A1922=COL"&amp;"UMNS($A1922:I1941), I1921&amp;RIGHT(INDIRECT(ADDRESS(ROW(I1922)-1, 'From Order'!$A1922)), 1), I1921))"),"DVDT")</f>
        <v>DVDT</v>
      </c>
    </row>
    <row r="1923">
      <c r="A1923" s="2" t="str">
        <f>IFERROR(__xludf.DUMMYFUNCTION("IF('From Order'!$A1923=COLUMNS($A1923:A1942), LEFT(INDEX(FILTER(A$1:A1922, A$1:A1922&lt;&gt;""""),COUNTA(FILTER(A$1:A1922, A$1:A1922&lt;&gt;""""))), LEN(INDEX(FILTER(A$1:A1922, A$1:A1922&lt;&gt;""""),COUNTA(FILTER(A$1:A1922, A$1:A1922&lt;&gt;""""))))-1), IF('To Order'!$A1923=COL"&amp;"UMNS($A1923:A1942), A1922&amp;RIGHT(INDIRECT(ADDRESS(ROW(A1923)-1, 'From Order'!$A1923)), 1), A1922))"),"")</f>
        <v/>
      </c>
      <c r="B1923" s="2" t="str">
        <f>IFERROR(__xludf.DUMMYFUNCTION("IF('From Order'!$A1923=COLUMNS($A1923:B1942), LEFT(INDEX(FILTER(B$1:B1922, B$1:B1922&lt;&gt;""""),COUNTA(FILTER(B$1:B1922, B$1:B1922&lt;&gt;""""))), LEN(INDEX(FILTER(B$1:B1922, B$1:B1922&lt;&gt;""""),COUNTA(FILTER(B$1:B1922, B$1:B1922&lt;&gt;""""))))-1), IF('To Order'!$A1923=COL"&amp;"UMNS($A1923:B1942), B1922&amp;RIGHT(INDIRECT(ADDRESS(ROW(B1923)-1, 'From Order'!$A1923)), 1), B1922))"),"")</f>
        <v/>
      </c>
      <c r="C1923" s="2" t="str">
        <f>IFERROR(__xludf.DUMMYFUNCTION("IF('From Order'!$A1923=COLUMNS($A1923:C1942), LEFT(INDEX(FILTER(C$1:C1922, C$1:C1922&lt;&gt;""""),COUNTA(FILTER(C$1:C1922, C$1:C1922&lt;&gt;""""))), LEN(INDEX(FILTER(C$1:C1922, C$1:C1922&lt;&gt;""""),COUNTA(FILTER(C$1:C1922, C$1:C1922&lt;&gt;""""))))-1), IF('To Order'!$A1923=COL"&amp;"UMNS($A1923:C1942), C1922&amp;RIGHT(INDIRECT(ADDRESS(ROW(C1923)-1, 'From Order'!$A1923)), 1), C1922))"),"")</f>
        <v/>
      </c>
      <c r="D1923" s="2" t="str">
        <f>IFERROR(__xludf.DUMMYFUNCTION("IF('From Order'!$A1923=COLUMNS($A1923:D1942), LEFT(INDEX(FILTER(D$1:D1922, D$1:D1922&lt;&gt;""""),COUNTA(FILTER(D$1:D1922, D$1:D1922&lt;&gt;""""))), LEN(INDEX(FILTER(D$1:D1922, D$1:D1922&lt;&gt;""""),COUNTA(FILTER(D$1:D1922, D$1:D1922&lt;&gt;""""))))-1), IF('To Order'!$A1923=COL"&amp;"UMNS($A1923:D1942), D1922&amp;RIGHT(INDIRECT(ADDRESS(ROW(D1923)-1, 'From Order'!$A1923)), 1), D1922))"),"RBJC")</f>
        <v>RBJC</v>
      </c>
      <c r="E1923" s="2" t="str">
        <f>IFERROR(__xludf.DUMMYFUNCTION("IF('From Order'!$A1923=COLUMNS($A1923:E1942), LEFT(INDEX(FILTER(E$1:E1922, E$1:E1922&lt;&gt;""""),COUNTA(FILTER(E$1:E1922, E$1:E1922&lt;&gt;""""))), LEN(INDEX(FILTER(E$1:E1922, E$1:E1922&lt;&gt;""""),COUNTA(FILTER(E$1:E1922, E$1:E1922&lt;&gt;""""))))-1), IF('To Order'!$A1923=COL"&amp;"UMNS($A1923:E1942), E1922&amp;RIGHT(INDIRECT(ADDRESS(ROW(E1923)-1, 'From Order'!$A1923)), 1), E1922))"),"CRG")</f>
        <v>CRG</v>
      </c>
      <c r="F1923" s="2" t="str">
        <f>IFERROR(__xludf.DUMMYFUNCTION("IF('From Order'!$A1923=COLUMNS($A1923:F1942), LEFT(INDEX(FILTER(F$1:F1922, F$1:F1922&lt;&gt;""""),COUNTA(FILTER(F$1:F1922, F$1:F1922&lt;&gt;""""))), LEN(INDEX(FILTER(F$1:F1922, F$1:F1922&lt;&gt;""""),COUNTA(FILTER(F$1:F1922, F$1:F1922&lt;&gt;""""))))-1), IF('To Order'!$A1923=COL"&amp;"UMNS($A1923:F1942), F1922&amp;RIGHT(INDIRECT(ADDRESS(ROW(F1923)-1, 'From Order'!$A1923)), 1), F1922))"),"LDSPBFLLWDDVQJPPSSTWZCSFHBBVRRJMGTTMDZHZ")</f>
        <v>LDSPBFLLWDDVQJPPSSTWZCSFHBBVRRJMGTTMDZHZ</v>
      </c>
      <c r="G1923" s="2" t="str">
        <f>IFERROR(__xludf.DUMMYFUNCTION("IF('From Order'!$A1923=COLUMNS($A1923:G1942), LEFT(INDEX(FILTER(G$1:G1922, G$1:G1922&lt;&gt;""""),COUNTA(FILTER(G$1:G1922, G$1:G1922&lt;&gt;""""))), LEN(INDEX(FILTER(G$1:G1922, G$1:G1922&lt;&gt;""""),COUNTA(FILTER(G$1:G1922, G$1:G1922&lt;&gt;""""))))-1), IF('To Order'!$A1923=COL"&amp;"UMNS($A1923:G1942), G1922&amp;RIGHT(INDIRECT(ADDRESS(ROW(G1923)-1, 'From Order'!$A1923)), 1), G1922))"),"")</f>
        <v/>
      </c>
      <c r="H1923" s="2" t="str">
        <f>IFERROR(__xludf.DUMMYFUNCTION("IF('From Order'!$A1923=COLUMNS($A1923:H1942), LEFT(INDEX(FILTER(H$1:H1922, H$1:H1922&lt;&gt;""""),COUNTA(FILTER(H$1:H1922, H$1:H1922&lt;&gt;""""))), LEN(INDEX(FILTER(H$1:H1922, H$1:H1922&lt;&gt;""""),COUNTA(FILTER(H$1:H1922, H$1:H1922&lt;&gt;""""))))-1), IF('To Order'!$A1923=COL"&amp;"UMNS($A1923:H1942), H1922&amp;RIGHT(INDIRECT(ADDRESS(ROW(H1923)-1, 'From Order'!$A1923)), 1), H1922))"),"QTRT")</f>
        <v>QTRT</v>
      </c>
      <c r="I1923" s="2" t="str">
        <f>IFERROR(__xludf.DUMMYFUNCTION("IF('From Order'!$A1923=COLUMNS($A1923:I1942), LEFT(INDEX(FILTER(I$1:I1922, I$1:I1922&lt;&gt;""""),COUNTA(FILTER(I$1:I1922, I$1:I1922&lt;&gt;""""))), LEN(INDEX(FILTER(I$1:I1922, I$1:I1922&lt;&gt;""""),COUNTA(FILTER(I$1:I1922, I$1:I1922&lt;&gt;""""))))-1), IF('To Order'!$A1923=COL"&amp;"UMNS($A1923:I1942), I1922&amp;RIGHT(INDIRECT(ADDRESS(ROW(I1923)-1, 'From Order'!$A1923)), 1), I1922))"),"DVDTM")</f>
        <v>DVDTM</v>
      </c>
    </row>
    <row r="1924">
      <c r="A1924" s="2" t="str">
        <f>IFERROR(__xludf.DUMMYFUNCTION("IF('From Order'!$A1924=COLUMNS($A1924:A1943), LEFT(INDEX(FILTER(A$1:A1923, A$1:A1923&lt;&gt;""""),COUNTA(FILTER(A$1:A1923, A$1:A1923&lt;&gt;""""))), LEN(INDEX(FILTER(A$1:A1923, A$1:A1923&lt;&gt;""""),COUNTA(FILTER(A$1:A1923, A$1:A1923&lt;&gt;""""))))-1), IF('To Order'!$A1924=COL"&amp;"UMNS($A1924:A1943), A1923&amp;RIGHT(INDIRECT(ADDRESS(ROW(A1924)-1, 'From Order'!$A1924)), 1), A1923))"),"")</f>
        <v/>
      </c>
      <c r="B1924" s="2" t="str">
        <f>IFERROR(__xludf.DUMMYFUNCTION("IF('From Order'!$A1924=COLUMNS($A1924:B1943), LEFT(INDEX(FILTER(B$1:B1923, B$1:B1923&lt;&gt;""""),COUNTA(FILTER(B$1:B1923, B$1:B1923&lt;&gt;""""))), LEN(INDEX(FILTER(B$1:B1923, B$1:B1923&lt;&gt;""""),COUNTA(FILTER(B$1:B1923, B$1:B1923&lt;&gt;""""))))-1), IF('To Order'!$A1924=COL"&amp;"UMNS($A1924:B1943), B1923&amp;RIGHT(INDIRECT(ADDRESS(ROW(B1924)-1, 'From Order'!$A1924)), 1), B1923))"),"")</f>
        <v/>
      </c>
      <c r="C1924" s="2" t="str">
        <f>IFERROR(__xludf.DUMMYFUNCTION("IF('From Order'!$A1924=COLUMNS($A1924:C1943), LEFT(INDEX(FILTER(C$1:C1923, C$1:C1923&lt;&gt;""""),COUNTA(FILTER(C$1:C1923, C$1:C1923&lt;&gt;""""))), LEN(INDEX(FILTER(C$1:C1923, C$1:C1923&lt;&gt;""""),COUNTA(FILTER(C$1:C1923, C$1:C1923&lt;&gt;""""))))-1), IF('To Order'!$A1924=COL"&amp;"UMNS($A1924:C1943), C1923&amp;RIGHT(INDIRECT(ADDRESS(ROW(C1924)-1, 'From Order'!$A1924)), 1), C1923))"),"")</f>
        <v/>
      </c>
      <c r="D1924" s="2" t="str">
        <f>IFERROR(__xludf.DUMMYFUNCTION("IF('From Order'!$A1924=COLUMNS($A1924:D1943), LEFT(INDEX(FILTER(D$1:D1923, D$1:D1923&lt;&gt;""""),COUNTA(FILTER(D$1:D1923, D$1:D1923&lt;&gt;""""))), LEN(INDEX(FILTER(D$1:D1923, D$1:D1923&lt;&gt;""""),COUNTA(FILTER(D$1:D1923, D$1:D1923&lt;&gt;""""))))-1), IF('To Order'!$A1924=COL"&amp;"UMNS($A1924:D1943), D1923&amp;RIGHT(INDIRECT(ADDRESS(ROW(D1924)-1, 'From Order'!$A1924)), 1), D1923))"),"RBJC")</f>
        <v>RBJC</v>
      </c>
      <c r="E1924" s="2" t="str">
        <f>IFERROR(__xludf.DUMMYFUNCTION("IF('From Order'!$A1924=COLUMNS($A1924:E1943), LEFT(INDEX(FILTER(E$1:E1923, E$1:E1923&lt;&gt;""""),COUNTA(FILTER(E$1:E1923, E$1:E1923&lt;&gt;""""))), LEN(INDEX(FILTER(E$1:E1923, E$1:E1923&lt;&gt;""""),COUNTA(FILTER(E$1:E1923, E$1:E1923&lt;&gt;""""))))-1), IF('To Order'!$A1924=COL"&amp;"UMNS($A1924:E1943), E1923&amp;RIGHT(INDIRECT(ADDRESS(ROW(E1924)-1, 'From Order'!$A1924)), 1), E1923))"),"CRG")</f>
        <v>CRG</v>
      </c>
      <c r="F1924" s="2" t="str">
        <f>IFERROR(__xludf.DUMMYFUNCTION("IF('From Order'!$A1924=COLUMNS($A1924:F1943), LEFT(INDEX(FILTER(F$1:F1923, F$1:F1923&lt;&gt;""""),COUNTA(FILTER(F$1:F1923, F$1:F1923&lt;&gt;""""))), LEN(INDEX(FILTER(F$1:F1923, F$1:F1923&lt;&gt;""""),COUNTA(FILTER(F$1:F1923, F$1:F1923&lt;&gt;""""))))-1), IF('To Order'!$A1924=COL"&amp;"UMNS($A1924:F1943), F1923&amp;RIGHT(INDIRECT(ADDRESS(ROW(F1924)-1, 'From Order'!$A1924)), 1), F1923))"),"LDSPBFLLWDDVQJPPSSTWZCSFHBBVRRJMGTTMDZH")</f>
        <v>LDSPBFLLWDDVQJPPSSTWZCSFHBBVRRJMGTTMDZH</v>
      </c>
      <c r="G1924" s="2" t="str">
        <f>IFERROR(__xludf.DUMMYFUNCTION("IF('From Order'!$A1924=COLUMNS($A1924:G1943), LEFT(INDEX(FILTER(G$1:G1923, G$1:G1923&lt;&gt;""""),COUNTA(FILTER(G$1:G1923, G$1:G1923&lt;&gt;""""))), LEN(INDEX(FILTER(G$1:G1923, G$1:G1923&lt;&gt;""""),COUNTA(FILTER(G$1:G1923, G$1:G1923&lt;&gt;""""))))-1), IF('To Order'!$A1924=COL"&amp;"UMNS($A1924:G1943), G1923&amp;RIGHT(INDIRECT(ADDRESS(ROW(G1924)-1, 'From Order'!$A1924)), 1), G1923))"),"")</f>
        <v/>
      </c>
      <c r="H1924" s="2" t="str">
        <f>IFERROR(__xludf.DUMMYFUNCTION("IF('From Order'!$A1924=COLUMNS($A1924:H1943), LEFT(INDEX(FILTER(H$1:H1923, H$1:H1923&lt;&gt;""""),COUNTA(FILTER(H$1:H1923, H$1:H1923&lt;&gt;""""))), LEN(INDEX(FILTER(H$1:H1923, H$1:H1923&lt;&gt;""""),COUNTA(FILTER(H$1:H1923, H$1:H1923&lt;&gt;""""))))-1), IF('To Order'!$A1924=COL"&amp;"UMNS($A1924:H1943), H1923&amp;RIGHT(INDIRECT(ADDRESS(ROW(H1924)-1, 'From Order'!$A1924)), 1), H1923))"),"QTRT")</f>
        <v>QTRT</v>
      </c>
      <c r="I1924" s="2" t="str">
        <f>IFERROR(__xludf.DUMMYFUNCTION("IF('From Order'!$A1924=COLUMNS($A1924:I1943), LEFT(INDEX(FILTER(I$1:I1923, I$1:I1923&lt;&gt;""""),COUNTA(FILTER(I$1:I1923, I$1:I1923&lt;&gt;""""))), LEN(INDEX(FILTER(I$1:I1923, I$1:I1923&lt;&gt;""""),COUNTA(FILTER(I$1:I1923, I$1:I1923&lt;&gt;""""))))-1), IF('To Order'!$A1924=COL"&amp;"UMNS($A1924:I1943), I1923&amp;RIGHT(INDIRECT(ADDRESS(ROW(I1924)-1, 'From Order'!$A1924)), 1), I1923))"),"DVDTMZ")</f>
        <v>DVDTMZ</v>
      </c>
    </row>
    <row r="1925">
      <c r="A1925" s="2" t="str">
        <f>IFERROR(__xludf.DUMMYFUNCTION("IF('From Order'!$A1925=COLUMNS($A1925:A1944), LEFT(INDEX(FILTER(A$1:A1924, A$1:A1924&lt;&gt;""""),COUNTA(FILTER(A$1:A1924, A$1:A1924&lt;&gt;""""))), LEN(INDEX(FILTER(A$1:A1924, A$1:A1924&lt;&gt;""""),COUNTA(FILTER(A$1:A1924, A$1:A1924&lt;&gt;""""))))-1), IF('To Order'!$A1925=COL"&amp;"UMNS($A1925:A1944), A1924&amp;RIGHT(INDIRECT(ADDRESS(ROW(A1925)-1, 'From Order'!$A1925)), 1), A1924))"),"")</f>
        <v/>
      </c>
      <c r="B1925" s="2" t="str">
        <f>IFERROR(__xludf.DUMMYFUNCTION("IF('From Order'!$A1925=COLUMNS($A1925:B1944), LEFT(INDEX(FILTER(B$1:B1924, B$1:B1924&lt;&gt;""""),COUNTA(FILTER(B$1:B1924, B$1:B1924&lt;&gt;""""))), LEN(INDEX(FILTER(B$1:B1924, B$1:B1924&lt;&gt;""""),COUNTA(FILTER(B$1:B1924, B$1:B1924&lt;&gt;""""))))-1), IF('To Order'!$A1925=COL"&amp;"UMNS($A1925:B1944), B1924&amp;RIGHT(INDIRECT(ADDRESS(ROW(B1925)-1, 'From Order'!$A1925)), 1), B1924))"),"")</f>
        <v/>
      </c>
      <c r="C1925" s="2" t="str">
        <f>IFERROR(__xludf.DUMMYFUNCTION("IF('From Order'!$A1925=COLUMNS($A1925:C1944), LEFT(INDEX(FILTER(C$1:C1924, C$1:C1924&lt;&gt;""""),COUNTA(FILTER(C$1:C1924, C$1:C1924&lt;&gt;""""))), LEN(INDEX(FILTER(C$1:C1924, C$1:C1924&lt;&gt;""""),COUNTA(FILTER(C$1:C1924, C$1:C1924&lt;&gt;""""))))-1), IF('To Order'!$A1925=COL"&amp;"UMNS($A1925:C1944), C1924&amp;RIGHT(INDIRECT(ADDRESS(ROW(C1925)-1, 'From Order'!$A1925)), 1), C1924))"),"")</f>
        <v/>
      </c>
      <c r="D1925" s="2" t="str">
        <f>IFERROR(__xludf.DUMMYFUNCTION("IF('From Order'!$A1925=COLUMNS($A1925:D1944), LEFT(INDEX(FILTER(D$1:D1924, D$1:D1924&lt;&gt;""""),COUNTA(FILTER(D$1:D1924, D$1:D1924&lt;&gt;""""))), LEN(INDEX(FILTER(D$1:D1924, D$1:D1924&lt;&gt;""""),COUNTA(FILTER(D$1:D1924, D$1:D1924&lt;&gt;""""))))-1), IF('To Order'!$A1925=COL"&amp;"UMNS($A1925:D1944), D1924&amp;RIGHT(INDIRECT(ADDRESS(ROW(D1925)-1, 'From Order'!$A1925)), 1), D1924))"),"RBJC")</f>
        <v>RBJC</v>
      </c>
      <c r="E1925" s="2" t="str">
        <f>IFERROR(__xludf.DUMMYFUNCTION("IF('From Order'!$A1925=COLUMNS($A1925:E1944), LEFT(INDEX(FILTER(E$1:E1924, E$1:E1924&lt;&gt;""""),COUNTA(FILTER(E$1:E1924, E$1:E1924&lt;&gt;""""))), LEN(INDEX(FILTER(E$1:E1924, E$1:E1924&lt;&gt;""""),COUNTA(FILTER(E$1:E1924, E$1:E1924&lt;&gt;""""))))-1), IF('To Order'!$A1925=COL"&amp;"UMNS($A1925:E1944), E1924&amp;RIGHT(INDIRECT(ADDRESS(ROW(E1925)-1, 'From Order'!$A1925)), 1), E1924))"),"CRG")</f>
        <v>CRG</v>
      </c>
      <c r="F1925" s="2" t="str">
        <f>IFERROR(__xludf.DUMMYFUNCTION("IF('From Order'!$A1925=COLUMNS($A1925:F1944), LEFT(INDEX(FILTER(F$1:F1924, F$1:F1924&lt;&gt;""""),COUNTA(FILTER(F$1:F1924, F$1:F1924&lt;&gt;""""))), LEN(INDEX(FILTER(F$1:F1924, F$1:F1924&lt;&gt;""""),COUNTA(FILTER(F$1:F1924, F$1:F1924&lt;&gt;""""))))-1), IF('To Order'!$A1925=COL"&amp;"UMNS($A1925:F1944), F1924&amp;RIGHT(INDIRECT(ADDRESS(ROW(F1925)-1, 'From Order'!$A1925)), 1), F1924))"),"LDSPBFLLWDDVQJPPSSTWZCSFHBBVRRJMGTTMDZ")</f>
        <v>LDSPBFLLWDDVQJPPSSTWZCSFHBBVRRJMGTTMDZ</v>
      </c>
      <c r="G1925" s="2" t="str">
        <f>IFERROR(__xludf.DUMMYFUNCTION("IF('From Order'!$A1925=COLUMNS($A1925:G1944), LEFT(INDEX(FILTER(G$1:G1924, G$1:G1924&lt;&gt;""""),COUNTA(FILTER(G$1:G1924, G$1:G1924&lt;&gt;""""))), LEN(INDEX(FILTER(G$1:G1924, G$1:G1924&lt;&gt;""""),COUNTA(FILTER(G$1:G1924, G$1:G1924&lt;&gt;""""))))-1), IF('To Order'!$A1925=COL"&amp;"UMNS($A1925:G1944), G1924&amp;RIGHT(INDIRECT(ADDRESS(ROW(G1925)-1, 'From Order'!$A1925)), 1), G1924))"),"")</f>
        <v/>
      </c>
      <c r="H1925" s="2" t="str">
        <f>IFERROR(__xludf.DUMMYFUNCTION("IF('From Order'!$A1925=COLUMNS($A1925:H1944), LEFT(INDEX(FILTER(H$1:H1924, H$1:H1924&lt;&gt;""""),COUNTA(FILTER(H$1:H1924, H$1:H1924&lt;&gt;""""))), LEN(INDEX(FILTER(H$1:H1924, H$1:H1924&lt;&gt;""""),COUNTA(FILTER(H$1:H1924, H$1:H1924&lt;&gt;""""))))-1), IF('To Order'!$A1925=COL"&amp;"UMNS($A1925:H1944), H1924&amp;RIGHT(INDIRECT(ADDRESS(ROW(H1925)-1, 'From Order'!$A1925)), 1), H1924))"),"QTRT")</f>
        <v>QTRT</v>
      </c>
      <c r="I1925" s="2" t="str">
        <f>IFERROR(__xludf.DUMMYFUNCTION("IF('From Order'!$A1925=COLUMNS($A1925:I1944), LEFT(INDEX(FILTER(I$1:I1924, I$1:I1924&lt;&gt;""""),COUNTA(FILTER(I$1:I1924, I$1:I1924&lt;&gt;""""))), LEN(INDEX(FILTER(I$1:I1924, I$1:I1924&lt;&gt;""""),COUNTA(FILTER(I$1:I1924, I$1:I1924&lt;&gt;""""))))-1), IF('To Order'!$A1925=COL"&amp;"UMNS($A1925:I1944), I1924&amp;RIGHT(INDIRECT(ADDRESS(ROW(I1925)-1, 'From Order'!$A1925)), 1), I1924))"),"DVDTMZH")</f>
        <v>DVDTMZH</v>
      </c>
    </row>
    <row r="1926">
      <c r="A1926" s="2" t="str">
        <f>IFERROR(__xludf.DUMMYFUNCTION("IF('From Order'!$A1926=COLUMNS($A1926:A1945), LEFT(INDEX(FILTER(A$1:A1925, A$1:A1925&lt;&gt;""""),COUNTA(FILTER(A$1:A1925, A$1:A1925&lt;&gt;""""))), LEN(INDEX(FILTER(A$1:A1925, A$1:A1925&lt;&gt;""""),COUNTA(FILTER(A$1:A1925, A$1:A1925&lt;&gt;""""))))-1), IF('To Order'!$A1926=COL"&amp;"UMNS($A1926:A1945), A1925&amp;RIGHT(INDIRECT(ADDRESS(ROW(A1926)-1, 'From Order'!$A1926)), 1), A1925))"),"")</f>
        <v/>
      </c>
      <c r="B1926" s="2" t="str">
        <f>IFERROR(__xludf.DUMMYFUNCTION("IF('From Order'!$A1926=COLUMNS($A1926:B1945), LEFT(INDEX(FILTER(B$1:B1925, B$1:B1925&lt;&gt;""""),COUNTA(FILTER(B$1:B1925, B$1:B1925&lt;&gt;""""))), LEN(INDEX(FILTER(B$1:B1925, B$1:B1925&lt;&gt;""""),COUNTA(FILTER(B$1:B1925, B$1:B1925&lt;&gt;""""))))-1), IF('To Order'!$A1926=COL"&amp;"UMNS($A1926:B1945), B1925&amp;RIGHT(INDIRECT(ADDRESS(ROW(B1926)-1, 'From Order'!$A1926)), 1), B1925))"),"")</f>
        <v/>
      </c>
      <c r="C1926" s="2" t="str">
        <f>IFERROR(__xludf.DUMMYFUNCTION("IF('From Order'!$A1926=COLUMNS($A1926:C1945), LEFT(INDEX(FILTER(C$1:C1925, C$1:C1925&lt;&gt;""""),COUNTA(FILTER(C$1:C1925, C$1:C1925&lt;&gt;""""))), LEN(INDEX(FILTER(C$1:C1925, C$1:C1925&lt;&gt;""""),COUNTA(FILTER(C$1:C1925, C$1:C1925&lt;&gt;""""))))-1), IF('To Order'!$A1926=COL"&amp;"UMNS($A1926:C1945), C1925&amp;RIGHT(INDIRECT(ADDRESS(ROW(C1926)-1, 'From Order'!$A1926)), 1), C1925))"),"")</f>
        <v/>
      </c>
      <c r="D1926" s="2" t="str">
        <f>IFERROR(__xludf.DUMMYFUNCTION("IF('From Order'!$A1926=COLUMNS($A1926:D1945), LEFT(INDEX(FILTER(D$1:D1925, D$1:D1925&lt;&gt;""""),COUNTA(FILTER(D$1:D1925, D$1:D1925&lt;&gt;""""))), LEN(INDEX(FILTER(D$1:D1925, D$1:D1925&lt;&gt;""""),COUNTA(FILTER(D$1:D1925, D$1:D1925&lt;&gt;""""))))-1), IF('To Order'!$A1926=COL"&amp;"UMNS($A1926:D1945), D1925&amp;RIGHT(INDIRECT(ADDRESS(ROW(D1926)-1, 'From Order'!$A1926)), 1), D1925))"),"RBJC")</f>
        <v>RBJC</v>
      </c>
      <c r="E1926" s="2" t="str">
        <f>IFERROR(__xludf.DUMMYFUNCTION("IF('From Order'!$A1926=COLUMNS($A1926:E1945), LEFT(INDEX(FILTER(E$1:E1925, E$1:E1925&lt;&gt;""""),COUNTA(FILTER(E$1:E1925, E$1:E1925&lt;&gt;""""))), LEN(INDEX(FILTER(E$1:E1925, E$1:E1925&lt;&gt;""""),COUNTA(FILTER(E$1:E1925, E$1:E1925&lt;&gt;""""))))-1), IF('To Order'!$A1926=COL"&amp;"UMNS($A1926:E1945), E1925&amp;RIGHT(INDIRECT(ADDRESS(ROW(E1926)-1, 'From Order'!$A1926)), 1), E1925))"),"CRG")</f>
        <v>CRG</v>
      </c>
      <c r="F1926" s="2" t="str">
        <f>IFERROR(__xludf.DUMMYFUNCTION("IF('From Order'!$A1926=COLUMNS($A1926:F1945), LEFT(INDEX(FILTER(F$1:F1925, F$1:F1925&lt;&gt;""""),COUNTA(FILTER(F$1:F1925, F$1:F1925&lt;&gt;""""))), LEN(INDEX(FILTER(F$1:F1925, F$1:F1925&lt;&gt;""""),COUNTA(FILTER(F$1:F1925, F$1:F1925&lt;&gt;""""))))-1), IF('To Order'!$A1926=COL"&amp;"UMNS($A1926:F1945), F1925&amp;RIGHT(INDIRECT(ADDRESS(ROW(F1926)-1, 'From Order'!$A1926)), 1), F1925))"),"LDSPBFLLWDDVQJPPSSTWZCSFHBBVRRJMGTTMD")</f>
        <v>LDSPBFLLWDDVQJPPSSTWZCSFHBBVRRJMGTTMD</v>
      </c>
      <c r="G1926" s="2" t="str">
        <f>IFERROR(__xludf.DUMMYFUNCTION("IF('From Order'!$A1926=COLUMNS($A1926:G1945), LEFT(INDEX(FILTER(G$1:G1925, G$1:G1925&lt;&gt;""""),COUNTA(FILTER(G$1:G1925, G$1:G1925&lt;&gt;""""))), LEN(INDEX(FILTER(G$1:G1925, G$1:G1925&lt;&gt;""""),COUNTA(FILTER(G$1:G1925, G$1:G1925&lt;&gt;""""))))-1), IF('To Order'!$A1926=COL"&amp;"UMNS($A1926:G1945), G1925&amp;RIGHT(INDIRECT(ADDRESS(ROW(G1926)-1, 'From Order'!$A1926)), 1), G1925))"),"")</f>
        <v/>
      </c>
      <c r="H1926" s="2" t="str">
        <f>IFERROR(__xludf.DUMMYFUNCTION("IF('From Order'!$A1926=COLUMNS($A1926:H1945), LEFT(INDEX(FILTER(H$1:H1925, H$1:H1925&lt;&gt;""""),COUNTA(FILTER(H$1:H1925, H$1:H1925&lt;&gt;""""))), LEN(INDEX(FILTER(H$1:H1925, H$1:H1925&lt;&gt;""""),COUNTA(FILTER(H$1:H1925, H$1:H1925&lt;&gt;""""))))-1), IF('To Order'!$A1926=COL"&amp;"UMNS($A1926:H1945), H1925&amp;RIGHT(INDIRECT(ADDRESS(ROW(H1926)-1, 'From Order'!$A1926)), 1), H1925))"),"QTRT")</f>
        <v>QTRT</v>
      </c>
      <c r="I1926" s="2" t="str">
        <f>IFERROR(__xludf.DUMMYFUNCTION("IF('From Order'!$A1926=COLUMNS($A1926:I1945), LEFT(INDEX(FILTER(I$1:I1925, I$1:I1925&lt;&gt;""""),COUNTA(FILTER(I$1:I1925, I$1:I1925&lt;&gt;""""))), LEN(INDEX(FILTER(I$1:I1925, I$1:I1925&lt;&gt;""""),COUNTA(FILTER(I$1:I1925, I$1:I1925&lt;&gt;""""))))-1), IF('To Order'!$A1926=COL"&amp;"UMNS($A1926:I1945), I1925&amp;RIGHT(INDIRECT(ADDRESS(ROW(I1926)-1, 'From Order'!$A1926)), 1), I1925))"),"DVDTMZHZ")</f>
        <v>DVDTMZHZ</v>
      </c>
    </row>
    <row r="1927">
      <c r="A1927" s="2" t="str">
        <f>IFERROR(__xludf.DUMMYFUNCTION("IF('From Order'!$A1927=COLUMNS($A1927:A1946), LEFT(INDEX(FILTER(A$1:A1926, A$1:A1926&lt;&gt;""""),COUNTA(FILTER(A$1:A1926, A$1:A1926&lt;&gt;""""))), LEN(INDEX(FILTER(A$1:A1926, A$1:A1926&lt;&gt;""""),COUNTA(FILTER(A$1:A1926, A$1:A1926&lt;&gt;""""))))-1), IF('To Order'!$A1927=COL"&amp;"UMNS($A1927:A1946), A1926&amp;RIGHT(INDIRECT(ADDRESS(ROW(A1927)-1, 'From Order'!$A1927)), 1), A1926))"),"")</f>
        <v/>
      </c>
      <c r="B1927" s="2" t="str">
        <f>IFERROR(__xludf.DUMMYFUNCTION("IF('From Order'!$A1927=COLUMNS($A1927:B1946), LEFT(INDEX(FILTER(B$1:B1926, B$1:B1926&lt;&gt;""""),COUNTA(FILTER(B$1:B1926, B$1:B1926&lt;&gt;""""))), LEN(INDEX(FILTER(B$1:B1926, B$1:B1926&lt;&gt;""""),COUNTA(FILTER(B$1:B1926, B$1:B1926&lt;&gt;""""))))-1), IF('To Order'!$A1927=COL"&amp;"UMNS($A1927:B1946), B1926&amp;RIGHT(INDIRECT(ADDRESS(ROW(B1927)-1, 'From Order'!$A1927)), 1), B1926))"),"")</f>
        <v/>
      </c>
      <c r="C1927" s="2" t="str">
        <f>IFERROR(__xludf.DUMMYFUNCTION("IF('From Order'!$A1927=COLUMNS($A1927:C1946), LEFT(INDEX(FILTER(C$1:C1926, C$1:C1926&lt;&gt;""""),COUNTA(FILTER(C$1:C1926, C$1:C1926&lt;&gt;""""))), LEN(INDEX(FILTER(C$1:C1926, C$1:C1926&lt;&gt;""""),COUNTA(FILTER(C$1:C1926, C$1:C1926&lt;&gt;""""))))-1), IF('To Order'!$A1927=COL"&amp;"UMNS($A1927:C1946), C1926&amp;RIGHT(INDIRECT(ADDRESS(ROW(C1927)-1, 'From Order'!$A1927)), 1), C1926))"),"")</f>
        <v/>
      </c>
      <c r="D1927" s="2" t="str">
        <f>IFERROR(__xludf.DUMMYFUNCTION("IF('From Order'!$A1927=COLUMNS($A1927:D1946), LEFT(INDEX(FILTER(D$1:D1926, D$1:D1926&lt;&gt;""""),COUNTA(FILTER(D$1:D1926, D$1:D1926&lt;&gt;""""))), LEN(INDEX(FILTER(D$1:D1926, D$1:D1926&lt;&gt;""""),COUNTA(FILTER(D$1:D1926, D$1:D1926&lt;&gt;""""))))-1), IF('To Order'!$A1927=COL"&amp;"UMNS($A1927:D1946), D1926&amp;RIGHT(INDIRECT(ADDRESS(ROW(D1927)-1, 'From Order'!$A1927)), 1), D1926))"),"RBJC")</f>
        <v>RBJC</v>
      </c>
      <c r="E1927" s="2" t="str">
        <f>IFERROR(__xludf.DUMMYFUNCTION("IF('From Order'!$A1927=COLUMNS($A1927:E1946), LEFT(INDEX(FILTER(E$1:E1926, E$1:E1926&lt;&gt;""""),COUNTA(FILTER(E$1:E1926, E$1:E1926&lt;&gt;""""))), LEN(INDEX(FILTER(E$1:E1926, E$1:E1926&lt;&gt;""""),COUNTA(FILTER(E$1:E1926, E$1:E1926&lt;&gt;""""))))-1), IF('To Order'!$A1927=COL"&amp;"UMNS($A1927:E1946), E1926&amp;RIGHT(INDIRECT(ADDRESS(ROW(E1927)-1, 'From Order'!$A1927)), 1), E1926))"),"CRG")</f>
        <v>CRG</v>
      </c>
      <c r="F1927" s="2" t="str">
        <f>IFERROR(__xludf.DUMMYFUNCTION("IF('From Order'!$A1927=COLUMNS($A1927:F1946), LEFT(INDEX(FILTER(F$1:F1926, F$1:F1926&lt;&gt;""""),COUNTA(FILTER(F$1:F1926, F$1:F1926&lt;&gt;""""))), LEN(INDEX(FILTER(F$1:F1926, F$1:F1926&lt;&gt;""""),COUNTA(FILTER(F$1:F1926, F$1:F1926&lt;&gt;""""))))-1), IF('To Order'!$A1927=COL"&amp;"UMNS($A1927:F1946), F1926&amp;RIGHT(INDIRECT(ADDRESS(ROW(F1927)-1, 'From Order'!$A1927)), 1), F1926))"),"LDSPBFLLWDDVQJPPSSTWZCSFHBBVRRJMGTTM")</f>
        <v>LDSPBFLLWDDVQJPPSSTWZCSFHBBVRRJMGTTM</v>
      </c>
      <c r="G1927" s="2" t="str">
        <f>IFERROR(__xludf.DUMMYFUNCTION("IF('From Order'!$A1927=COLUMNS($A1927:G1946), LEFT(INDEX(FILTER(G$1:G1926, G$1:G1926&lt;&gt;""""),COUNTA(FILTER(G$1:G1926, G$1:G1926&lt;&gt;""""))), LEN(INDEX(FILTER(G$1:G1926, G$1:G1926&lt;&gt;""""),COUNTA(FILTER(G$1:G1926, G$1:G1926&lt;&gt;""""))))-1), IF('To Order'!$A1927=COL"&amp;"UMNS($A1927:G1946), G1926&amp;RIGHT(INDIRECT(ADDRESS(ROW(G1927)-1, 'From Order'!$A1927)), 1), G1926))"),"")</f>
        <v/>
      </c>
      <c r="H1927" s="2" t="str">
        <f>IFERROR(__xludf.DUMMYFUNCTION("IF('From Order'!$A1927=COLUMNS($A1927:H1946), LEFT(INDEX(FILTER(H$1:H1926, H$1:H1926&lt;&gt;""""),COUNTA(FILTER(H$1:H1926, H$1:H1926&lt;&gt;""""))), LEN(INDEX(FILTER(H$1:H1926, H$1:H1926&lt;&gt;""""),COUNTA(FILTER(H$1:H1926, H$1:H1926&lt;&gt;""""))))-1), IF('To Order'!$A1927=COL"&amp;"UMNS($A1927:H1946), H1926&amp;RIGHT(INDIRECT(ADDRESS(ROW(H1927)-1, 'From Order'!$A1927)), 1), H1926))"),"QTRT")</f>
        <v>QTRT</v>
      </c>
      <c r="I1927" s="2" t="str">
        <f>IFERROR(__xludf.DUMMYFUNCTION("IF('From Order'!$A1927=COLUMNS($A1927:I1946), LEFT(INDEX(FILTER(I$1:I1926, I$1:I1926&lt;&gt;""""),COUNTA(FILTER(I$1:I1926, I$1:I1926&lt;&gt;""""))), LEN(INDEX(FILTER(I$1:I1926, I$1:I1926&lt;&gt;""""),COUNTA(FILTER(I$1:I1926, I$1:I1926&lt;&gt;""""))))-1), IF('To Order'!$A1927=COL"&amp;"UMNS($A1927:I1946), I1926&amp;RIGHT(INDIRECT(ADDRESS(ROW(I1927)-1, 'From Order'!$A1927)), 1), I1926))"),"DVDTMZHZD")</f>
        <v>DVDTMZHZD</v>
      </c>
    </row>
    <row r="1928">
      <c r="A1928" s="2" t="str">
        <f>IFERROR(__xludf.DUMMYFUNCTION("IF('From Order'!$A1928=COLUMNS($A1928:A1947), LEFT(INDEX(FILTER(A$1:A1927, A$1:A1927&lt;&gt;""""),COUNTA(FILTER(A$1:A1927, A$1:A1927&lt;&gt;""""))), LEN(INDEX(FILTER(A$1:A1927, A$1:A1927&lt;&gt;""""),COUNTA(FILTER(A$1:A1927, A$1:A1927&lt;&gt;""""))))-1), IF('To Order'!$A1928=COL"&amp;"UMNS($A1928:A1947), A1927&amp;RIGHT(INDIRECT(ADDRESS(ROW(A1928)-1, 'From Order'!$A1928)), 1), A1927))"),"")</f>
        <v/>
      </c>
      <c r="B1928" s="2" t="str">
        <f>IFERROR(__xludf.DUMMYFUNCTION("IF('From Order'!$A1928=COLUMNS($A1928:B1947), LEFT(INDEX(FILTER(B$1:B1927, B$1:B1927&lt;&gt;""""),COUNTA(FILTER(B$1:B1927, B$1:B1927&lt;&gt;""""))), LEN(INDEX(FILTER(B$1:B1927, B$1:B1927&lt;&gt;""""),COUNTA(FILTER(B$1:B1927, B$1:B1927&lt;&gt;""""))))-1), IF('To Order'!$A1928=COL"&amp;"UMNS($A1928:B1947), B1927&amp;RIGHT(INDIRECT(ADDRESS(ROW(B1928)-1, 'From Order'!$A1928)), 1), B1927))"),"")</f>
        <v/>
      </c>
      <c r="C1928" s="2" t="str">
        <f>IFERROR(__xludf.DUMMYFUNCTION("IF('From Order'!$A1928=COLUMNS($A1928:C1947), LEFT(INDEX(FILTER(C$1:C1927, C$1:C1927&lt;&gt;""""),COUNTA(FILTER(C$1:C1927, C$1:C1927&lt;&gt;""""))), LEN(INDEX(FILTER(C$1:C1927, C$1:C1927&lt;&gt;""""),COUNTA(FILTER(C$1:C1927, C$1:C1927&lt;&gt;""""))))-1), IF('To Order'!$A1928=COL"&amp;"UMNS($A1928:C1947), C1927&amp;RIGHT(INDIRECT(ADDRESS(ROW(C1928)-1, 'From Order'!$A1928)), 1), C1927))"),"")</f>
        <v/>
      </c>
      <c r="D1928" s="2" t="str">
        <f>IFERROR(__xludf.DUMMYFUNCTION("IF('From Order'!$A1928=COLUMNS($A1928:D1947), LEFT(INDEX(FILTER(D$1:D1927, D$1:D1927&lt;&gt;""""),COUNTA(FILTER(D$1:D1927, D$1:D1927&lt;&gt;""""))), LEN(INDEX(FILTER(D$1:D1927, D$1:D1927&lt;&gt;""""),COUNTA(FILTER(D$1:D1927, D$1:D1927&lt;&gt;""""))))-1), IF('To Order'!$A1928=COL"&amp;"UMNS($A1928:D1947), D1927&amp;RIGHT(INDIRECT(ADDRESS(ROW(D1928)-1, 'From Order'!$A1928)), 1), D1927))"),"RBJC")</f>
        <v>RBJC</v>
      </c>
      <c r="E1928" s="2" t="str">
        <f>IFERROR(__xludf.DUMMYFUNCTION("IF('From Order'!$A1928=COLUMNS($A1928:E1947), LEFT(INDEX(FILTER(E$1:E1927, E$1:E1927&lt;&gt;""""),COUNTA(FILTER(E$1:E1927, E$1:E1927&lt;&gt;""""))), LEN(INDEX(FILTER(E$1:E1927, E$1:E1927&lt;&gt;""""),COUNTA(FILTER(E$1:E1927, E$1:E1927&lt;&gt;""""))))-1), IF('To Order'!$A1928=COL"&amp;"UMNS($A1928:E1947), E1927&amp;RIGHT(INDIRECT(ADDRESS(ROW(E1928)-1, 'From Order'!$A1928)), 1), E1927))"),"CRG")</f>
        <v>CRG</v>
      </c>
      <c r="F1928" s="2" t="str">
        <f>IFERROR(__xludf.DUMMYFUNCTION("IF('From Order'!$A1928=COLUMNS($A1928:F1947), LEFT(INDEX(FILTER(F$1:F1927, F$1:F1927&lt;&gt;""""),COUNTA(FILTER(F$1:F1927, F$1:F1927&lt;&gt;""""))), LEN(INDEX(FILTER(F$1:F1927, F$1:F1927&lt;&gt;""""),COUNTA(FILTER(F$1:F1927, F$1:F1927&lt;&gt;""""))))-1), IF('To Order'!$A1928=COL"&amp;"UMNS($A1928:F1947), F1927&amp;RIGHT(INDIRECT(ADDRESS(ROW(F1928)-1, 'From Order'!$A1928)), 1), F1927))"),"LDSPBFLLWDDVQJPPSSTWZCSFHBBVRRJMGTT")</f>
        <v>LDSPBFLLWDDVQJPPSSTWZCSFHBBVRRJMGTT</v>
      </c>
      <c r="G1928" s="2" t="str">
        <f>IFERROR(__xludf.DUMMYFUNCTION("IF('From Order'!$A1928=COLUMNS($A1928:G1947), LEFT(INDEX(FILTER(G$1:G1927, G$1:G1927&lt;&gt;""""),COUNTA(FILTER(G$1:G1927, G$1:G1927&lt;&gt;""""))), LEN(INDEX(FILTER(G$1:G1927, G$1:G1927&lt;&gt;""""),COUNTA(FILTER(G$1:G1927, G$1:G1927&lt;&gt;""""))))-1), IF('To Order'!$A1928=COL"&amp;"UMNS($A1928:G1947), G1927&amp;RIGHT(INDIRECT(ADDRESS(ROW(G1928)-1, 'From Order'!$A1928)), 1), G1927))"),"")</f>
        <v/>
      </c>
      <c r="H1928" s="2" t="str">
        <f>IFERROR(__xludf.DUMMYFUNCTION("IF('From Order'!$A1928=COLUMNS($A1928:H1947), LEFT(INDEX(FILTER(H$1:H1927, H$1:H1927&lt;&gt;""""),COUNTA(FILTER(H$1:H1927, H$1:H1927&lt;&gt;""""))), LEN(INDEX(FILTER(H$1:H1927, H$1:H1927&lt;&gt;""""),COUNTA(FILTER(H$1:H1927, H$1:H1927&lt;&gt;""""))))-1), IF('To Order'!$A1928=COL"&amp;"UMNS($A1928:H1947), H1927&amp;RIGHT(INDIRECT(ADDRESS(ROW(H1928)-1, 'From Order'!$A1928)), 1), H1927))"),"QTRT")</f>
        <v>QTRT</v>
      </c>
      <c r="I1928" s="2" t="str">
        <f>IFERROR(__xludf.DUMMYFUNCTION("IF('From Order'!$A1928=COLUMNS($A1928:I1947), LEFT(INDEX(FILTER(I$1:I1927, I$1:I1927&lt;&gt;""""),COUNTA(FILTER(I$1:I1927, I$1:I1927&lt;&gt;""""))), LEN(INDEX(FILTER(I$1:I1927, I$1:I1927&lt;&gt;""""),COUNTA(FILTER(I$1:I1927, I$1:I1927&lt;&gt;""""))))-1), IF('To Order'!$A1928=COL"&amp;"UMNS($A1928:I1947), I1927&amp;RIGHT(INDIRECT(ADDRESS(ROW(I1928)-1, 'From Order'!$A1928)), 1), I1927))"),"DVDTMZHZDM")</f>
        <v>DVDTMZHZDM</v>
      </c>
    </row>
    <row r="1929">
      <c r="A1929" s="2" t="str">
        <f>IFERROR(__xludf.DUMMYFUNCTION("IF('From Order'!$A1929=COLUMNS($A1929:A1948), LEFT(INDEX(FILTER(A$1:A1928, A$1:A1928&lt;&gt;""""),COUNTA(FILTER(A$1:A1928, A$1:A1928&lt;&gt;""""))), LEN(INDEX(FILTER(A$1:A1928, A$1:A1928&lt;&gt;""""),COUNTA(FILTER(A$1:A1928, A$1:A1928&lt;&gt;""""))))-1), IF('To Order'!$A1929=COL"&amp;"UMNS($A1929:A1948), A1928&amp;RIGHT(INDIRECT(ADDRESS(ROW(A1929)-1, 'From Order'!$A1929)), 1), A1928))"),"")</f>
        <v/>
      </c>
      <c r="B1929" s="2" t="str">
        <f>IFERROR(__xludf.DUMMYFUNCTION("IF('From Order'!$A1929=COLUMNS($A1929:B1948), LEFT(INDEX(FILTER(B$1:B1928, B$1:B1928&lt;&gt;""""),COUNTA(FILTER(B$1:B1928, B$1:B1928&lt;&gt;""""))), LEN(INDEX(FILTER(B$1:B1928, B$1:B1928&lt;&gt;""""),COUNTA(FILTER(B$1:B1928, B$1:B1928&lt;&gt;""""))))-1), IF('To Order'!$A1929=COL"&amp;"UMNS($A1929:B1948), B1928&amp;RIGHT(INDIRECT(ADDRESS(ROW(B1929)-1, 'From Order'!$A1929)), 1), B1928))"),"")</f>
        <v/>
      </c>
      <c r="C1929" s="2" t="str">
        <f>IFERROR(__xludf.DUMMYFUNCTION("IF('From Order'!$A1929=COLUMNS($A1929:C1948), LEFT(INDEX(FILTER(C$1:C1928, C$1:C1928&lt;&gt;""""),COUNTA(FILTER(C$1:C1928, C$1:C1928&lt;&gt;""""))), LEN(INDEX(FILTER(C$1:C1928, C$1:C1928&lt;&gt;""""),COUNTA(FILTER(C$1:C1928, C$1:C1928&lt;&gt;""""))))-1), IF('To Order'!$A1929=COL"&amp;"UMNS($A1929:C1948), C1928&amp;RIGHT(INDIRECT(ADDRESS(ROW(C1929)-1, 'From Order'!$A1929)), 1), C1928))"),"")</f>
        <v/>
      </c>
      <c r="D1929" s="2" t="str">
        <f>IFERROR(__xludf.DUMMYFUNCTION("IF('From Order'!$A1929=COLUMNS($A1929:D1948), LEFT(INDEX(FILTER(D$1:D1928, D$1:D1928&lt;&gt;""""),COUNTA(FILTER(D$1:D1928, D$1:D1928&lt;&gt;""""))), LEN(INDEX(FILTER(D$1:D1928, D$1:D1928&lt;&gt;""""),COUNTA(FILTER(D$1:D1928, D$1:D1928&lt;&gt;""""))))-1), IF('To Order'!$A1929=COL"&amp;"UMNS($A1929:D1948), D1928&amp;RIGHT(INDIRECT(ADDRESS(ROW(D1929)-1, 'From Order'!$A1929)), 1), D1928))"),"RBJC")</f>
        <v>RBJC</v>
      </c>
      <c r="E1929" s="2" t="str">
        <f>IFERROR(__xludf.DUMMYFUNCTION("IF('From Order'!$A1929=COLUMNS($A1929:E1948), LEFT(INDEX(FILTER(E$1:E1928, E$1:E1928&lt;&gt;""""),COUNTA(FILTER(E$1:E1928, E$1:E1928&lt;&gt;""""))), LEN(INDEX(FILTER(E$1:E1928, E$1:E1928&lt;&gt;""""),COUNTA(FILTER(E$1:E1928, E$1:E1928&lt;&gt;""""))))-1), IF('To Order'!$A1929=COL"&amp;"UMNS($A1929:E1948), E1928&amp;RIGHT(INDIRECT(ADDRESS(ROW(E1929)-1, 'From Order'!$A1929)), 1), E1928))"),"CRG")</f>
        <v>CRG</v>
      </c>
      <c r="F1929" s="2" t="str">
        <f>IFERROR(__xludf.DUMMYFUNCTION("IF('From Order'!$A1929=COLUMNS($A1929:F1948), LEFT(INDEX(FILTER(F$1:F1928, F$1:F1928&lt;&gt;""""),COUNTA(FILTER(F$1:F1928, F$1:F1928&lt;&gt;""""))), LEN(INDEX(FILTER(F$1:F1928, F$1:F1928&lt;&gt;""""),COUNTA(FILTER(F$1:F1928, F$1:F1928&lt;&gt;""""))))-1), IF('To Order'!$A1929=COL"&amp;"UMNS($A1929:F1948), F1928&amp;RIGHT(INDIRECT(ADDRESS(ROW(F1929)-1, 'From Order'!$A1929)), 1), F1928))"),"LDSPBFLLWDDVQJPPSSTWZCSFHBBVRRJMGT")</f>
        <v>LDSPBFLLWDDVQJPPSSTWZCSFHBBVRRJMGT</v>
      </c>
      <c r="G1929" s="2" t="str">
        <f>IFERROR(__xludf.DUMMYFUNCTION("IF('From Order'!$A1929=COLUMNS($A1929:G1948), LEFT(INDEX(FILTER(G$1:G1928, G$1:G1928&lt;&gt;""""),COUNTA(FILTER(G$1:G1928, G$1:G1928&lt;&gt;""""))), LEN(INDEX(FILTER(G$1:G1928, G$1:G1928&lt;&gt;""""),COUNTA(FILTER(G$1:G1928, G$1:G1928&lt;&gt;""""))))-1), IF('To Order'!$A1929=COL"&amp;"UMNS($A1929:G1948), G1928&amp;RIGHT(INDIRECT(ADDRESS(ROW(G1929)-1, 'From Order'!$A1929)), 1), G1928))"),"")</f>
        <v/>
      </c>
      <c r="H1929" s="2" t="str">
        <f>IFERROR(__xludf.DUMMYFUNCTION("IF('From Order'!$A1929=COLUMNS($A1929:H1948), LEFT(INDEX(FILTER(H$1:H1928, H$1:H1928&lt;&gt;""""),COUNTA(FILTER(H$1:H1928, H$1:H1928&lt;&gt;""""))), LEN(INDEX(FILTER(H$1:H1928, H$1:H1928&lt;&gt;""""),COUNTA(FILTER(H$1:H1928, H$1:H1928&lt;&gt;""""))))-1), IF('To Order'!$A1929=COL"&amp;"UMNS($A1929:H1948), H1928&amp;RIGHT(INDIRECT(ADDRESS(ROW(H1929)-1, 'From Order'!$A1929)), 1), H1928))"),"QTRT")</f>
        <v>QTRT</v>
      </c>
      <c r="I1929" s="2" t="str">
        <f>IFERROR(__xludf.DUMMYFUNCTION("IF('From Order'!$A1929=COLUMNS($A1929:I1948), LEFT(INDEX(FILTER(I$1:I1928, I$1:I1928&lt;&gt;""""),COUNTA(FILTER(I$1:I1928, I$1:I1928&lt;&gt;""""))), LEN(INDEX(FILTER(I$1:I1928, I$1:I1928&lt;&gt;""""),COUNTA(FILTER(I$1:I1928, I$1:I1928&lt;&gt;""""))))-1), IF('To Order'!$A1929=COL"&amp;"UMNS($A1929:I1948), I1928&amp;RIGHT(INDIRECT(ADDRESS(ROW(I1929)-1, 'From Order'!$A1929)), 1), I1928))"),"DVDTMZHZDMT")</f>
        <v>DVDTMZHZDMT</v>
      </c>
    </row>
    <row r="1930">
      <c r="A1930" s="2" t="str">
        <f>IFERROR(__xludf.DUMMYFUNCTION("IF('From Order'!$A1930=COLUMNS($A1930:A1949), LEFT(INDEX(FILTER(A$1:A1929, A$1:A1929&lt;&gt;""""),COUNTA(FILTER(A$1:A1929, A$1:A1929&lt;&gt;""""))), LEN(INDEX(FILTER(A$1:A1929, A$1:A1929&lt;&gt;""""),COUNTA(FILTER(A$1:A1929, A$1:A1929&lt;&gt;""""))))-1), IF('To Order'!$A1930=COL"&amp;"UMNS($A1930:A1949), A1929&amp;RIGHT(INDIRECT(ADDRESS(ROW(A1930)-1, 'From Order'!$A1930)), 1), A1929))"),"")</f>
        <v/>
      </c>
      <c r="B1930" s="2" t="str">
        <f>IFERROR(__xludf.DUMMYFUNCTION("IF('From Order'!$A1930=COLUMNS($A1930:B1949), LEFT(INDEX(FILTER(B$1:B1929, B$1:B1929&lt;&gt;""""),COUNTA(FILTER(B$1:B1929, B$1:B1929&lt;&gt;""""))), LEN(INDEX(FILTER(B$1:B1929, B$1:B1929&lt;&gt;""""),COUNTA(FILTER(B$1:B1929, B$1:B1929&lt;&gt;""""))))-1), IF('To Order'!$A1930=COL"&amp;"UMNS($A1930:B1949), B1929&amp;RIGHT(INDIRECT(ADDRESS(ROW(B1930)-1, 'From Order'!$A1930)), 1), B1929))"),"")</f>
        <v/>
      </c>
      <c r="C1930" s="2" t="str">
        <f>IFERROR(__xludf.DUMMYFUNCTION("IF('From Order'!$A1930=COLUMNS($A1930:C1949), LEFT(INDEX(FILTER(C$1:C1929, C$1:C1929&lt;&gt;""""),COUNTA(FILTER(C$1:C1929, C$1:C1929&lt;&gt;""""))), LEN(INDEX(FILTER(C$1:C1929, C$1:C1929&lt;&gt;""""),COUNTA(FILTER(C$1:C1929, C$1:C1929&lt;&gt;""""))))-1), IF('To Order'!$A1930=COL"&amp;"UMNS($A1930:C1949), C1929&amp;RIGHT(INDIRECT(ADDRESS(ROW(C1930)-1, 'From Order'!$A1930)), 1), C1929))"),"")</f>
        <v/>
      </c>
      <c r="D1930" s="2" t="str">
        <f>IFERROR(__xludf.DUMMYFUNCTION("IF('From Order'!$A1930=COLUMNS($A1930:D1949), LEFT(INDEX(FILTER(D$1:D1929, D$1:D1929&lt;&gt;""""),COUNTA(FILTER(D$1:D1929, D$1:D1929&lt;&gt;""""))), LEN(INDEX(FILTER(D$1:D1929, D$1:D1929&lt;&gt;""""),COUNTA(FILTER(D$1:D1929, D$1:D1929&lt;&gt;""""))))-1), IF('To Order'!$A1930=COL"&amp;"UMNS($A1930:D1949), D1929&amp;RIGHT(INDIRECT(ADDRESS(ROW(D1930)-1, 'From Order'!$A1930)), 1), D1929))"),"RBJC")</f>
        <v>RBJC</v>
      </c>
      <c r="E1930" s="2" t="str">
        <f>IFERROR(__xludf.DUMMYFUNCTION("IF('From Order'!$A1930=COLUMNS($A1930:E1949), LEFT(INDEX(FILTER(E$1:E1929, E$1:E1929&lt;&gt;""""),COUNTA(FILTER(E$1:E1929, E$1:E1929&lt;&gt;""""))), LEN(INDEX(FILTER(E$1:E1929, E$1:E1929&lt;&gt;""""),COUNTA(FILTER(E$1:E1929, E$1:E1929&lt;&gt;""""))))-1), IF('To Order'!$A1930=COL"&amp;"UMNS($A1930:E1949), E1929&amp;RIGHT(INDIRECT(ADDRESS(ROW(E1930)-1, 'From Order'!$A1930)), 1), E1929))"),"CRG")</f>
        <v>CRG</v>
      </c>
      <c r="F1930" s="2" t="str">
        <f>IFERROR(__xludf.DUMMYFUNCTION("IF('From Order'!$A1930=COLUMNS($A1930:F1949), LEFT(INDEX(FILTER(F$1:F1929, F$1:F1929&lt;&gt;""""),COUNTA(FILTER(F$1:F1929, F$1:F1929&lt;&gt;""""))), LEN(INDEX(FILTER(F$1:F1929, F$1:F1929&lt;&gt;""""),COUNTA(FILTER(F$1:F1929, F$1:F1929&lt;&gt;""""))))-1), IF('To Order'!$A1930=COL"&amp;"UMNS($A1930:F1949), F1929&amp;RIGHT(INDIRECT(ADDRESS(ROW(F1930)-1, 'From Order'!$A1930)), 1), F1929))"),"LDSPBFLLWDDVQJPPSSTWZCSFHBBVRRJMG")</f>
        <v>LDSPBFLLWDDVQJPPSSTWZCSFHBBVRRJMG</v>
      </c>
      <c r="G1930" s="2" t="str">
        <f>IFERROR(__xludf.DUMMYFUNCTION("IF('From Order'!$A1930=COLUMNS($A1930:G1949), LEFT(INDEX(FILTER(G$1:G1929, G$1:G1929&lt;&gt;""""),COUNTA(FILTER(G$1:G1929, G$1:G1929&lt;&gt;""""))), LEN(INDEX(FILTER(G$1:G1929, G$1:G1929&lt;&gt;""""),COUNTA(FILTER(G$1:G1929, G$1:G1929&lt;&gt;""""))))-1), IF('To Order'!$A1930=COL"&amp;"UMNS($A1930:G1949), G1929&amp;RIGHT(INDIRECT(ADDRESS(ROW(G1930)-1, 'From Order'!$A1930)), 1), G1929))"),"")</f>
        <v/>
      </c>
      <c r="H1930" s="2" t="str">
        <f>IFERROR(__xludf.DUMMYFUNCTION("IF('From Order'!$A1930=COLUMNS($A1930:H1949), LEFT(INDEX(FILTER(H$1:H1929, H$1:H1929&lt;&gt;""""),COUNTA(FILTER(H$1:H1929, H$1:H1929&lt;&gt;""""))), LEN(INDEX(FILTER(H$1:H1929, H$1:H1929&lt;&gt;""""),COUNTA(FILTER(H$1:H1929, H$1:H1929&lt;&gt;""""))))-1), IF('To Order'!$A1930=COL"&amp;"UMNS($A1930:H1949), H1929&amp;RIGHT(INDIRECT(ADDRESS(ROW(H1930)-1, 'From Order'!$A1930)), 1), H1929))"),"QTRT")</f>
        <v>QTRT</v>
      </c>
      <c r="I1930" s="2" t="str">
        <f>IFERROR(__xludf.DUMMYFUNCTION("IF('From Order'!$A1930=COLUMNS($A1930:I1949), LEFT(INDEX(FILTER(I$1:I1929, I$1:I1929&lt;&gt;""""),COUNTA(FILTER(I$1:I1929, I$1:I1929&lt;&gt;""""))), LEN(INDEX(FILTER(I$1:I1929, I$1:I1929&lt;&gt;""""),COUNTA(FILTER(I$1:I1929, I$1:I1929&lt;&gt;""""))))-1), IF('To Order'!$A1930=COL"&amp;"UMNS($A1930:I1949), I1929&amp;RIGHT(INDIRECT(ADDRESS(ROW(I1930)-1, 'From Order'!$A1930)), 1), I1929))"),"DVDTMZHZDMTT")</f>
        <v>DVDTMZHZDMTT</v>
      </c>
    </row>
    <row r="1931">
      <c r="A1931" s="2" t="str">
        <f>IFERROR(__xludf.DUMMYFUNCTION("IF('From Order'!$A1931=COLUMNS($A1931:A1950), LEFT(INDEX(FILTER(A$1:A1930, A$1:A1930&lt;&gt;""""),COUNTA(FILTER(A$1:A1930, A$1:A1930&lt;&gt;""""))), LEN(INDEX(FILTER(A$1:A1930, A$1:A1930&lt;&gt;""""),COUNTA(FILTER(A$1:A1930, A$1:A1930&lt;&gt;""""))))-1), IF('To Order'!$A1931=COL"&amp;"UMNS($A1931:A1950), A1930&amp;RIGHT(INDIRECT(ADDRESS(ROW(A1931)-1, 'From Order'!$A1931)), 1), A1930))"),"")</f>
        <v/>
      </c>
      <c r="B1931" s="2" t="str">
        <f>IFERROR(__xludf.DUMMYFUNCTION("IF('From Order'!$A1931=COLUMNS($A1931:B1950), LEFT(INDEX(FILTER(B$1:B1930, B$1:B1930&lt;&gt;""""),COUNTA(FILTER(B$1:B1930, B$1:B1930&lt;&gt;""""))), LEN(INDEX(FILTER(B$1:B1930, B$1:B1930&lt;&gt;""""),COUNTA(FILTER(B$1:B1930, B$1:B1930&lt;&gt;""""))))-1), IF('To Order'!$A1931=COL"&amp;"UMNS($A1931:B1950), B1930&amp;RIGHT(INDIRECT(ADDRESS(ROW(B1931)-1, 'From Order'!$A1931)), 1), B1930))"),"")</f>
        <v/>
      </c>
      <c r="C1931" s="2" t="str">
        <f>IFERROR(__xludf.DUMMYFUNCTION("IF('From Order'!$A1931=COLUMNS($A1931:C1950), LEFT(INDEX(FILTER(C$1:C1930, C$1:C1930&lt;&gt;""""),COUNTA(FILTER(C$1:C1930, C$1:C1930&lt;&gt;""""))), LEN(INDEX(FILTER(C$1:C1930, C$1:C1930&lt;&gt;""""),COUNTA(FILTER(C$1:C1930, C$1:C1930&lt;&gt;""""))))-1), IF('To Order'!$A1931=COL"&amp;"UMNS($A1931:C1950), C1930&amp;RIGHT(INDIRECT(ADDRESS(ROW(C1931)-1, 'From Order'!$A1931)), 1), C1930))"),"")</f>
        <v/>
      </c>
      <c r="D1931" s="2" t="str">
        <f>IFERROR(__xludf.DUMMYFUNCTION("IF('From Order'!$A1931=COLUMNS($A1931:D1950), LEFT(INDEX(FILTER(D$1:D1930, D$1:D1930&lt;&gt;""""),COUNTA(FILTER(D$1:D1930, D$1:D1930&lt;&gt;""""))), LEN(INDEX(FILTER(D$1:D1930, D$1:D1930&lt;&gt;""""),COUNTA(FILTER(D$1:D1930, D$1:D1930&lt;&gt;""""))))-1), IF('To Order'!$A1931=COL"&amp;"UMNS($A1931:D1950), D1930&amp;RIGHT(INDIRECT(ADDRESS(ROW(D1931)-1, 'From Order'!$A1931)), 1), D1930))"),"RBJC")</f>
        <v>RBJC</v>
      </c>
      <c r="E1931" s="2" t="str">
        <f>IFERROR(__xludf.DUMMYFUNCTION("IF('From Order'!$A1931=COLUMNS($A1931:E1950), LEFT(INDEX(FILTER(E$1:E1930, E$1:E1930&lt;&gt;""""),COUNTA(FILTER(E$1:E1930, E$1:E1930&lt;&gt;""""))), LEN(INDEX(FILTER(E$1:E1930, E$1:E1930&lt;&gt;""""),COUNTA(FILTER(E$1:E1930, E$1:E1930&lt;&gt;""""))))-1), IF('To Order'!$A1931=COL"&amp;"UMNS($A1931:E1950), E1930&amp;RIGHT(INDIRECT(ADDRESS(ROW(E1931)-1, 'From Order'!$A1931)), 1), E1930))"),"CRG")</f>
        <v>CRG</v>
      </c>
      <c r="F1931" s="2" t="str">
        <f>IFERROR(__xludf.DUMMYFUNCTION("IF('From Order'!$A1931=COLUMNS($A1931:F1950), LEFT(INDEX(FILTER(F$1:F1930, F$1:F1930&lt;&gt;""""),COUNTA(FILTER(F$1:F1930, F$1:F1930&lt;&gt;""""))), LEN(INDEX(FILTER(F$1:F1930, F$1:F1930&lt;&gt;""""),COUNTA(FILTER(F$1:F1930, F$1:F1930&lt;&gt;""""))))-1), IF('To Order'!$A1931=COL"&amp;"UMNS($A1931:F1950), F1930&amp;RIGHT(INDIRECT(ADDRESS(ROW(F1931)-1, 'From Order'!$A1931)), 1), F1930))"),"LDSPBFLLWDDVQJPPSSTWZCSFHBBVRRJM")</f>
        <v>LDSPBFLLWDDVQJPPSSTWZCSFHBBVRRJM</v>
      </c>
      <c r="G1931" s="2" t="str">
        <f>IFERROR(__xludf.DUMMYFUNCTION("IF('From Order'!$A1931=COLUMNS($A1931:G1950), LEFT(INDEX(FILTER(G$1:G1930, G$1:G1930&lt;&gt;""""),COUNTA(FILTER(G$1:G1930, G$1:G1930&lt;&gt;""""))), LEN(INDEX(FILTER(G$1:G1930, G$1:G1930&lt;&gt;""""),COUNTA(FILTER(G$1:G1930, G$1:G1930&lt;&gt;""""))))-1), IF('To Order'!$A1931=COL"&amp;"UMNS($A1931:G1950), G1930&amp;RIGHT(INDIRECT(ADDRESS(ROW(G1931)-1, 'From Order'!$A1931)), 1), G1930))"),"")</f>
        <v/>
      </c>
      <c r="H1931" s="2" t="str">
        <f>IFERROR(__xludf.DUMMYFUNCTION("IF('From Order'!$A1931=COLUMNS($A1931:H1950), LEFT(INDEX(FILTER(H$1:H1930, H$1:H1930&lt;&gt;""""),COUNTA(FILTER(H$1:H1930, H$1:H1930&lt;&gt;""""))), LEN(INDEX(FILTER(H$1:H1930, H$1:H1930&lt;&gt;""""),COUNTA(FILTER(H$1:H1930, H$1:H1930&lt;&gt;""""))))-1), IF('To Order'!$A1931=COL"&amp;"UMNS($A1931:H1950), H1930&amp;RIGHT(INDIRECT(ADDRESS(ROW(H1931)-1, 'From Order'!$A1931)), 1), H1930))"),"QTRT")</f>
        <v>QTRT</v>
      </c>
      <c r="I1931" s="2" t="str">
        <f>IFERROR(__xludf.DUMMYFUNCTION("IF('From Order'!$A1931=COLUMNS($A1931:I1950), LEFT(INDEX(FILTER(I$1:I1930, I$1:I1930&lt;&gt;""""),COUNTA(FILTER(I$1:I1930, I$1:I1930&lt;&gt;""""))), LEN(INDEX(FILTER(I$1:I1930, I$1:I1930&lt;&gt;""""),COUNTA(FILTER(I$1:I1930, I$1:I1930&lt;&gt;""""))))-1), IF('To Order'!$A1931=COL"&amp;"UMNS($A1931:I1950), I1930&amp;RIGHT(INDIRECT(ADDRESS(ROW(I1931)-1, 'From Order'!$A1931)), 1), I1930))"),"DVDTMZHZDMTTG")</f>
        <v>DVDTMZHZDMTTG</v>
      </c>
    </row>
    <row r="1932">
      <c r="A1932" s="2" t="str">
        <f>IFERROR(__xludf.DUMMYFUNCTION("IF('From Order'!$A1932=COLUMNS($A1932:A1951), LEFT(INDEX(FILTER(A$1:A1931, A$1:A1931&lt;&gt;""""),COUNTA(FILTER(A$1:A1931, A$1:A1931&lt;&gt;""""))), LEN(INDEX(FILTER(A$1:A1931, A$1:A1931&lt;&gt;""""),COUNTA(FILTER(A$1:A1931, A$1:A1931&lt;&gt;""""))))-1), IF('To Order'!$A1932=COL"&amp;"UMNS($A1932:A1951), A1931&amp;RIGHT(INDIRECT(ADDRESS(ROW(A1932)-1, 'From Order'!$A1932)), 1), A1931))"),"")</f>
        <v/>
      </c>
      <c r="B1932" s="2" t="str">
        <f>IFERROR(__xludf.DUMMYFUNCTION("IF('From Order'!$A1932=COLUMNS($A1932:B1951), LEFT(INDEX(FILTER(B$1:B1931, B$1:B1931&lt;&gt;""""),COUNTA(FILTER(B$1:B1931, B$1:B1931&lt;&gt;""""))), LEN(INDEX(FILTER(B$1:B1931, B$1:B1931&lt;&gt;""""),COUNTA(FILTER(B$1:B1931, B$1:B1931&lt;&gt;""""))))-1), IF('To Order'!$A1932=COL"&amp;"UMNS($A1932:B1951), B1931&amp;RIGHT(INDIRECT(ADDRESS(ROW(B1932)-1, 'From Order'!$A1932)), 1), B1931))"),"")</f>
        <v/>
      </c>
      <c r="C1932" s="2" t="str">
        <f>IFERROR(__xludf.DUMMYFUNCTION("IF('From Order'!$A1932=COLUMNS($A1932:C1951), LEFT(INDEX(FILTER(C$1:C1931, C$1:C1931&lt;&gt;""""),COUNTA(FILTER(C$1:C1931, C$1:C1931&lt;&gt;""""))), LEN(INDEX(FILTER(C$1:C1931, C$1:C1931&lt;&gt;""""),COUNTA(FILTER(C$1:C1931, C$1:C1931&lt;&gt;""""))))-1), IF('To Order'!$A1932=COL"&amp;"UMNS($A1932:C1951), C1931&amp;RIGHT(INDIRECT(ADDRESS(ROW(C1932)-1, 'From Order'!$A1932)), 1), C1931))"),"")</f>
        <v/>
      </c>
      <c r="D1932" s="2" t="str">
        <f>IFERROR(__xludf.DUMMYFUNCTION("IF('From Order'!$A1932=COLUMNS($A1932:D1951), LEFT(INDEX(FILTER(D$1:D1931, D$1:D1931&lt;&gt;""""),COUNTA(FILTER(D$1:D1931, D$1:D1931&lt;&gt;""""))), LEN(INDEX(FILTER(D$1:D1931, D$1:D1931&lt;&gt;""""),COUNTA(FILTER(D$1:D1931, D$1:D1931&lt;&gt;""""))))-1), IF('To Order'!$A1932=COL"&amp;"UMNS($A1932:D1951), D1931&amp;RIGHT(INDIRECT(ADDRESS(ROW(D1932)-1, 'From Order'!$A1932)), 1), D1931))"),"RBJC")</f>
        <v>RBJC</v>
      </c>
      <c r="E1932" s="2" t="str">
        <f>IFERROR(__xludf.DUMMYFUNCTION("IF('From Order'!$A1932=COLUMNS($A1932:E1951), LEFT(INDEX(FILTER(E$1:E1931, E$1:E1931&lt;&gt;""""),COUNTA(FILTER(E$1:E1931, E$1:E1931&lt;&gt;""""))), LEN(INDEX(FILTER(E$1:E1931, E$1:E1931&lt;&gt;""""),COUNTA(FILTER(E$1:E1931, E$1:E1931&lt;&gt;""""))))-1), IF('To Order'!$A1932=COL"&amp;"UMNS($A1932:E1951), E1931&amp;RIGHT(INDIRECT(ADDRESS(ROW(E1932)-1, 'From Order'!$A1932)), 1), E1931))"),"CRG")</f>
        <v>CRG</v>
      </c>
      <c r="F1932" s="2" t="str">
        <f>IFERROR(__xludf.DUMMYFUNCTION("IF('From Order'!$A1932=COLUMNS($A1932:F1951), LEFT(INDEX(FILTER(F$1:F1931, F$1:F1931&lt;&gt;""""),COUNTA(FILTER(F$1:F1931, F$1:F1931&lt;&gt;""""))), LEN(INDEX(FILTER(F$1:F1931, F$1:F1931&lt;&gt;""""),COUNTA(FILTER(F$1:F1931, F$1:F1931&lt;&gt;""""))))-1), IF('To Order'!$A1932=COL"&amp;"UMNS($A1932:F1951), F1931&amp;RIGHT(INDIRECT(ADDRESS(ROW(F1932)-1, 'From Order'!$A1932)), 1), F1931))"),"LDSPBFLLWDDVQJPPSSTWZCSFHBBVRRJ")</f>
        <v>LDSPBFLLWDDVQJPPSSTWZCSFHBBVRRJ</v>
      </c>
      <c r="G1932" s="2" t="str">
        <f>IFERROR(__xludf.DUMMYFUNCTION("IF('From Order'!$A1932=COLUMNS($A1932:G1951), LEFT(INDEX(FILTER(G$1:G1931, G$1:G1931&lt;&gt;""""),COUNTA(FILTER(G$1:G1931, G$1:G1931&lt;&gt;""""))), LEN(INDEX(FILTER(G$1:G1931, G$1:G1931&lt;&gt;""""),COUNTA(FILTER(G$1:G1931, G$1:G1931&lt;&gt;""""))))-1), IF('To Order'!$A1932=COL"&amp;"UMNS($A1932:G1951), G1931&amp;RIGHT(INDIRECT(ADDRESS(ROW(G1932)-1, 'From Order'!$A1932)), 1), G1931))"),"")</f>
        <v/>
      </c>
      <c r="H1932" s="2" t="str">
        <f>IFERROR(__xludf.DUMMYFUNCTION("IF('From Order'!$A1932=COLUMNS($A1932:H1951), LEFT(INDEX(FILTER(H$1:H1931, H$1:H1931&lt;&gt;""""),COUNTA(FILTER(H$1:H1931, H$1:H1931&lt;&gt;""""))), LEN(INDEX(FILTER(H$1:H1931, H$1:H1931&lt;&gt;""""),COUNTA(FILTER(H$1:H1931, H$1:H1931&lt;&gt;""""))))-1), IF('To Order'!$A1932=COL"&amp;"UMNS($A1932:H1951), H1931&amp;RIGHT(INDIRECT(ADDRESS(ROW(H1932)-1, 'From Order'!$A1932)), 1), H1931))"),"QTRT")</f>
        <v>QTRT</v>
      </c>
      <c r="I1932" s="2" t="str">
        <f>IFERROR(__xludf.DUMMYFUNCTION("IF('From Order'!$A1932=COLUMNS($A1932:I1951), LEFT(INDEX(FILTER(I$1:I1931, I$1:I1931&lt;&gt;""""),COUNTA(FILTER(I$1:I1931, I$1:I1931&lt;&gt;""""))), LEN(INDEX(FILTER(I$1:I1931, I$1:I1931&lt;&gt;""""),COUNTA(FILTER(I$1:I1931, I$1:I1931&lt;&gt;""""))))-1), IF('To Order'!$A1932=COL"&amp;"UMNS($A1932:I1951), I1931&amp;RIGHT(INDIRECT(ADDRESS(ROW(I1932)-1, 'From Order'!$A1932)), 1), I1931))"),"DVDTMZHZDMTTGM")</f>
        <v>DVDTMZHZDMTTGM</v>
      </c>
    </row>
    <row r="1933">
      <c r="A1933" s="2" t="str">
        <f>IFERROR(__xludf.DUMMYFUNCTION("IF('From Order'!$A1933=COLUMNS($A1933:A1952), LEFT(INDEX(FILTER(A$1:A1932, A$1:A1932&lt;&gt;""""),COUNTA(FILTER(A$1:A1932, A$1:A1932&lt;&gt;""""))), LEN(INDEX(FILTER(A$1:A1932, A$1:A1932&lt;&gt;""""),COUNTA(FILTER(A$1:A1932, A$1:A1932&lt;&gt;""""))))-1), IF('To Order'!$A1933=COL"&amp;"UMNS($A1933:A1952), A1932&amp;RIGHT(INDIRECT(ADDRESS(ROW(A1933)-1, 'From Order'!$A1933)), 1), A1932))"),"")</f>
        <v/>
      </c>
      <c r="B1933" s="2" t="str">
        <f>IFERROR(__xludf.DUMMYFUNCTION("IF('From Order'!$A1933=COLUMNS($A1933:B1952), LEFT(INDEX(FILTER(B$1:B1932, B$1:B1932&lt;&gt;""""),COUNTA(FILTER(B$1:B1932, B$1:B1932&lt;&gt;""""))), LEN(INDEX(FILTER(B$1:B1932, B$1:B1932&lt;&gt;""""),COUNTA(FILTER(B$1:B1932, B$1:B1932&lt;&gt;""""))))-1), IF('To Order'!$A1933=COL"&amp;"UMNS($A1933:B1952), B1932&amp;RIGHT(INDIRECT(ADDRESS(ROW(B1933)-1, 'From Order'!$A1933)), 1), B1932))"),"")</f>
        <v/>
      </c>
      <c r="C1933" s="2" t="str">
        <f>IFERROR(__xludf.DUMMYFUNCTION("IF('From Order'!$A1933=COLUMNS($A1933:C1952), LEFT(INDEX(FILTER(C$1:C1932, C$1:C1932&lt;&gt;""""),COUNTA(FILTER(C$1:C1932, C$1:C1932&lt;&gt;""""))), LEN(INDEX(FILTER(C$1:C1932, C$1:C1932&lt;&gt;""""),COUNTA(FILTER(C$1:C1932, C$1:C1932&lt;&gt;""""))))-1), IF('To Order'!$A1933=COL"&amp;"UMNS($A1933:C1952), C1932&amp;RIGHT(INDIRECT(ADDRESS(ROW(C1933)-1, 'From Order'!$A1933)), 1), C1932))"),"")</f>
        <v/>
      </c>
      <c r="D1933" s="2" t="str">
        <f>IFERROR(__xludf.DUMMYFUNCTION("IF('From Order'!$A1933=COLUMNS($A1933:D1952), LEFT(INDEX(FILTER(D$1:D1932, D$1:D1932&lt;&gt;""""),COUNTA(FILTER(D$1:D1932, D$1:D1932&lt;&gt;""""))), LEN(INDEX(FILTER(D$1:D1932, D$1:D1932&lt;&gt;""""),COUNTA(FILTER(D$1:D1932, D$1:D1932&lt;&gt;""""))))-1), IF('To Order'!$A1933=COL"&amp;"UMNS($A1933:D1952), D1932&amp;RIGHT(INDIRECT(ADDRESS(ROW(D1933)-1, 'From Order'!$A1933)), 1), D1932))"),"RBJC")</f>
        <v>RBJC</v>
      </c>
      <c r="E1933" s="2" t="str">
        <f>IFERROR(__xludf.DUMMYFUNCTION("IF('From Order'!$A1933=COLUMNS($A1933:E1952), LEFT(INDEX(FILTER(E$1:E1932, E$1:E1932&lt;&gt;""""),COUNTA(FILTER(E$1:E1932, E$1:E1932&lt;&gt;""""))), LEN(INDEX(FILTER(E$1:E1932, E$1:E1932&lt;&gt;""""),COUNTA(FILTER(E$1:E1932, E$1:E1932&lt;&gt;""""))))-1), IF('To Order'!$A1933=COL"&amp;"UMNS($A1933:E1952), E1932&amp;RIGHT(INDIRECT(ADDRESS(ROW(E1933)-1, 'From Order'!$A1933)), 1), E1932))"),"CRG")</f>
        <v>CRG</v>
      </c>
      <c r="F1933" s="2" t="str">
        <f>IFERROR(__xludf.DUMMYFUNCTION("IF('From Order'!$A1933=COLUMNS($A1933:F1952), LEFT(INDEX(FILTER(F$1:F1932, F$1:F1932&lt;&gt;""""),COUNTA(FILTER(F$1:F1932, F$1:F1932&lt;&gt;""""))), LEN(INDEX(FILTER(F$1:F1932, F$1:F1932&lt;&gt;""""),COUNTA(FILTER(F$1:F1932, F$1:F1932&lt;&gt;""""))))-1), IF('To Order'!$A1933=COL"&amp;"UMNS($A1933:F1952), F1932&amp;RIGHT(INDIRECT(ADDRESS(ROW(F1933)-1, 'From Order'!$A1933)), 1), F1932))"),"LDSPBFLLWDDVQJPPSSTWZCSFHBBVRR")</f>
        <v>LDSPBFLLWDDVQJPPSSTWZCSFHBBVRR</v>
      </c>
      <c r="G1933" s="2" t="str">
        <f>IFERROR(__xludf.DUMMYFUNCTION("IF('From Order'!$A1933=COLUMNS($A1933:G1952), LEFT(INDEX(FILTER(G$1:G1932, G$1:G1932&lt;&gt;""""),COUNTA(FILTER(G$1:G1932, G$1:G1932&lt;&gt;""""))), LEN(INDEX(FILTER(G$1:G1932, G$1:G1932&lt;&gt;""""),COUNTA(FILTER(G$1:G1932, G$1:G1932&lt;&gt;""""))))-1), IF('To Order'!$A1933=COL"&amp;"UMNS($A1933:G1952), G1932&amp;RIGHT(INDIRECT(ADDRESS(ROW(G1933)-1, 'From Order'!$A1933)), 1), G1932))"),"")</f>
        <v/>
      </c>
      <c r="H1933" s="2" t="str">
        <f>IFERROR(__xludf.DUMMYFUNCTION("IF('From Order'!$A1933=COLUMNS($A1933:H1952), LEFT(INDEX(FILTER(H$1:H1932, H$1:H1932&lt;&gt;""""),COUNTA(FILTER(H$1:H1932, H$1:H1932&lt;&gt;""""))), LEN(INDEX(FILTER(H$1:H1932, H$1:H1932&lt;&gt;""""),COUNTA(FILTER(H$1:H1932, H$1:H1932&lt;&gt;""""))))-1), IF('To Order'!$A1933=COL"&amp;"UMNS($A1933:H1952), H1932&amp;RIGHT(INDIRECT(ADDRESS(ROW(H1933)-1, 'From Order'!$A1933)), 1), H1932))"),"QTRT")</f>
        <v>QTRT</v>
      </c>
      <c r="I1933" s="2" t="str">
        <f>IFERROR(__xludf.DUMMYFUNCTION("IF('From Order'!$A1933=COLUMNS($A1933:I1952), LEFT(INDEX(FILTER(I$1:I1932, I$1:I1932&lt;&gt;""""),COUNTA(FILTER(I$1:I1932, I$1:I1932&lt;&gt;""""))), LEN(INDEX(FILTER(I$1:I1932, I$1:I1932&lt;&gt;""""),COUNTA(FILTER(I$1:I1932, I$1:I1932&lt;&gt;""""))))-1), IF('To Order'!$A1933=COL"&amp;"UMNS($A1933:I1952), I1932&amp;RIGHT(INDIRECT(ADDRESS(ROW(I1933)-1, 'From Order'!$A1933)), 1), I1932))"),"DVDTMZHZDMTTGMJ")</f>
        <v>DVDTMZHZDMTTGMJ</v>
      </c>
    </row>
    <row r="1934">
      <c r="A1934" s="2" t="str">
        <f>IFERROR(__xludf.DUMMYFUNCTION("IF('From Order'!$A1934=COLUMNS($A1934:A1953), LEFT(INDEX(FILTER(A$1:A1933, A$1:A1933&lt;&gt;""""),COUNTA(FILTER(A$1:A1933, A$1:A1933&lt;&gt;""""))), LEN(INDEX(FILTER(A$1:A1933, A$1:A1933&lt;&gt;""""),COUNTA(FILTER(A$1:A1933, A$1:A1933&lt;&gt;""""))))-1), IF('To Order'!$A1934=COL"&amp;"UMNS($A1934:A1953), A1933&amp;RIGHT(INDIRECT(ADDRESS(ROW(A1934)-1, 'From Order'!$A1934)), 1), A1933))"),"")</f>
        <v/>
      </c>
      <c r="B1934" s="2" t="str">
        <f>IFERROR(__xludf.DUMMYFUNCTION("IF('From Order'!$A1934=COLUMNS($A1934:B1953), LEFT(INDEX(FILTER(B$1:B1933, B$1:B1933&lt;&gt;""""),COUNTA(FILTER(B$1:B1933, B$1:B1933&lt;&gt;""""))), LEN(INDEX(FILTER(B$1:B1933, B$1:B1933&lt;&gt;""""),COUNTA(FILTER(B$1:B1933, B$1:B1933&lt;&gt;""""))))-1), IF('To Order'!$A1934=COL"&amp;"UMNS($A1934:B1953), B1933&amp;RIGHT(INDIRECT(ADDRESS(ROW(B1934)-1, 'From Order'!$A1934)), 1), B1933))"),"")</f>
        <v/>
      </c>
      <c r="C1934" s="2" t="str">
        <f>IFERROR(__xludf.DUMMYFUNCTION("IF('From Order'!$A1934=COLUMNS($A1934:C1953), LEFT(INDEX(FILTER(C$1:C1933, C$1:C1933&lt;&gt;""""),COUNTA(FILTER(C$1:C1933, C$1:C1933&lt;&gt;""""))), LEN(INDEX(FILTER(C$1:C1933, C$1:C1933&lt;&gt;""""),COUNTA(FILTER(C$1:C1933, C$1:C1933&lt;&gt;""""))))-1), IF('To Order'!$A1934=COL"&amp;"UMNS($A1934:C1953), C1933&amp;RIGHT(INDIRECT(ADDRESS(ROW(C1934)-1, 'From Order'!$A1934)), 1), C1933))"),"")</f>
        <v/>
      </c>
      <c r="D1934" s="2" t="str">
        <f>IFERROR(__xludf.DUMMYFUNCTION("IF('From Order'!$A1934=COLUMNS($A1934:D1953), LEFT(INDEX(FILTER(D$1:D1933, D$1:D1933&lt;&gt;""""),COUNTA(FILTER(D$1:D1933, D$1:D1933&lt;&gt;""""))), LEN(INDEX(FILTER(D$1:D1933, D$1:D1933&lt;&gt;""""),COUNTA(FILTER(D$1:D1933, D$1:D1933&lt;&gt;""""))))-1), IF('To Order'!$A1934=COL"&amp;"UMNS($A1934:D1953), D1933&amp;RIGHT(INDIRECT(ADDRESS(ROW(D1934)-1, 'From Order'!$A1934)), 1), D1933))"),"RBJC")</f>
        <v>RBJC</v>
      </c>
      <c r="E1934" s="2" t="str">
        <f>IFERROR(__xludf.DUMMYFUNCTION("IF('From Order'!$A1934=COLUMNS($A1934:E1953), LEFT(INDEX(FILTER(E$1:E1933, E$1:E1933&lt;&gt;""""),COUNTA(FILTER(E$1:E1933, E$1:E1933&lt;&gt;""""))), LEN(INDEX(FILTER(E$1:E1933, E$1:E1933&lt;&gt;""""),COUNTA(FILTER(E$1:E1933, E$1:E1933&lt;&gt;""""))))-1), IF('To Order'!$A1934=COL"&amp;"UMNS($A1934:E1953), E1933&amp;RIGHT(INDIRECT(ADDRESS(ROW(E1934)-1, 'From Order'!$A1934)), 1), E1933))"),"CRG")</f>
        <v>CRG</v>
      </c>
      <c r="F1934" s="2" t="str">
        <f>IFERROR(__xludf.DUMMYFUNCTION("IF('From Order'!$A1934=COLUMNS($A1934:F1953), LEFT(INDEX(FILTER(F$1:F1933, F$1:F1933&lt;&gt;""""),COUNTA(FILTER(F$1:F1933, F$1:F1933&lt;&gt;""""))), LEN(INDEX(FILTER(F$1:F1933, F$1:F1933&lt;&gt;""""),COUNTA(FILTER(F$1:F1933, F$1:F1933&lt;&gt;""""))))-1), IF('To Order'!$A1934=COL"&amp;"UMNS($A1934:F1953), F1933&amp;RIGHT(INDIRECT(ADDRESS(ROW(F1934)-1, 'From Order'!$A1934)), 1), F1933))"),"LDSPBFLLWDDVQJPPSSTWZCSFHBBVR")</f>
        <v>LDSPBFLLWDDVQJPPSSTWZCSFHBBVR</v>
      </c>
      <c r="G1934" s="2" t="str">
        <f>IFERROR(__xludf.DUMMYFUNCTION("IF('From Order'!$A1934=COLUMNS($A1934:G1953), LEFT(INDEX(FILTER(G$1:G1933, G$1:G1933&lt;&gt;""""),COUNTA(FILTER(G$1:G1933, G$1:G1933&lt;&gt;""""))), LEN(INDEX(FILTER(G$1:G1933, G$1:G1933&lt;&gt;""""),COUNTA(FILTER(G$1:G1933, G$1:G1933&lt;&gt;""""))))-1), IF('To Order'!$A1934=COL"&amp;"UMNS($A1934:G1953), G1933&amp;RIGHT(INDIRECT(ADDRESS(ROW(G1934)-1, 'From Order'!$A1934)), 1), G1933))"),"")</f>
        <v/>
      </c>
      <c r="H1934" s="2" t="str">
        <f>IFERROR(__xludf.DUMMYFUNCTION("IF('From Order'!$A1934=COLUMNS($A1934:H1953), LEFT(INDEX(FILTER(H$1:H1933, H$1:H1933&lt;&gt;""""),COUNTA(FILTER(H$1:H1933, H$1:H1933&lt;&gt;""""))), LEN(INDEX(FILTER(H$1:H1933, H$1:H1933&lt;&gt;""""),COUNTA(FILTER(H$1:H1933, H$1:H1933&lt;&gt;""""))))-1), IF('To Order'!$A1934=COL"&amp;"UMNS($A1934:H1953), H1933&amp;RIGHT(INDIRECT(ADDRESS(ROW(H1934)-1, 'From Order'!$A1934)), 1), H1933))"),"QTRT")</f>
        <v>QTRT</v>
      </c>
      <c r="I1934" s="2" t="str">
        <f>IFERROR(__xludf.DUMMYFUNCTION("IF('From Order'!$A1934=COLUMNS($A1934:I1953), LEFT(INDEX(FILTER(I$1:I1933, I$1:I1933&lt;&gt;""""),COUNTA(FILTER(I$1:I1933, I$1:I1933&lt;&gt;""""))), LEN(INDEX(FILTER(I$1:I1933, I$1:I1933&lt;&gt;""""),COUNTA(FILTER(I$1:I1933, I$1:I1933&lt;&gt;""""))))-1), IF('To Order'!$A1934=COL"&amp;"UMNS($A1934:I1953), I1933&amp;RIGHT(INDIRECT(ADDRESS(ROW(I1934)-1, 'From Order'!$A1934)), 1), I1933))"),"DVDTMZHZDMTTGMJR")</f>
        <v>DVDTMZHZDMTTGMJR</v>
      </c>
    </row>
    <row r="1935">
      <c r="A1935" s="2" t="str">
        <f>IFERROR(__xludf.DUMMYFUNCTION("IF('From Order'!$A1935=COLUMNS($A1935:A1954), LEFT(INDEX(FILTER(A$1:A1934, A$1:A1934&lt;&gt;""""),COUNTA(FILTER(A$1:A1934, A$1:A1934&lt;&gt;""""))), LEN(INDEX(FILTER(A$1:A1934, A$1:A1934&lt;&gt;""""),COUNTA(FILTER(A$1:A1934, A$1:A1934&lt;&gt;""""))))-1), IF('To Order'!$A1935=COL"&amp;"UMNS($A1935:A1954), A1934&amp;RIGHT(INDIRECT(ADDRESS(ROW(A1935)-1, 'From Order'!$A1935)), 1), A1934))"),"")</f>
        <v/>
      </c>
      <c r="B1935" s="2" t="str">
        <f>IFERROR(__xludf.DUMMYFUNCTION("IF('From Order'!$A1935=COLUMNS($A1935:B1954), LEFT(INDEX(FILTER(B$1:B1934, B$1:B1934&lt;&gt;""""),COUNTA(FILTER(B$1:B1934, B$1:B1934&lt;&gt;""""))), LEN(INDEX(FILTER(B$1:B1934, B$1:B1934&lt;&gt;""""),COUNTA(FILTER(B$1:B1934, B$1:B1934&lt;&gt;""""))))-1), IF('To Order'!$A1935=COL"&amp;"UMNS($A1935:B1954), B1934&amp;RIGHT(INDIRECT(ADDRESS(ROW(B1935)-1, 'From Order'!$A1935)), 1), B1934))"),"")</f>
        <v/>
      </c>
      <c r="C1935" s="2" t="str">
        <f>IFERROR(__xludf.DUMMYFUNCTION("IF('From Order'!$A1935=COLUMNS($A1935:C1954), LEFT(INDEX(FILTER(C$1:C1934, C$1:C1934&lt;&gt;""""),COUNTA(FILTER(C$1:C1934, C$1:C1934&lt;&gt;""""))), LEN(INDEX(FILTER(C$1:C1934, C$1:C1934&lt;&gt;""""),COUNTA(FILTER(C$1:C1934, C$1:C1934&lt;&gt;""""))))-1), IF('To Order'!$A1935=COL"&amp;"UMNS($A1935:C1954), C1934&amp;RIGHT(INDIRECT(ADDRESS(ROW(C1935)-1, 'From Order'!$A1935)), 1), C1934))"),"")</f>
        <v/>
      </c>
      <c r="D1935" s="2" t="str">
        <f>IFERROR(__xludf.DUMMYFUNCTION("IF('From Order'!$A1935=COLUMNS($A1935:D1954), LEFT(INDEX(FILTER(D$1:D1934, D$1:D1934&lt;&gt;""""),COUNTA(FILTER(D$1:D1934, D$1:D1934&lt;&gt;""""))), LEN(INDEX(FILTER(D$1:D1934, D$1:D1934&lt;&gt;""""),COUNTA(FILTER(D$1:D1934, D$1:D1934&lt;&gt;""""))))-1), IF('To Order'!$A1935=COL"&amp;"UMNS($A1935:D1954), D1934&amp;RIGHT(INDIRECT(ADDRESS(ROW(D1935)-1, 'From Order'!$A1935)), 1), D1934))"),"RBJC")</f>
        <v>RBJC</v>
      </c>
      <c r="E1935" s="2" t="str">
        <f>IFERROR(__xludf.DUMMYFUNCTION("IF('From Order'!$A1935=COLUMNS($A1935:E1954), LEFT(INDEX(FILTER(E$1:E1934, E$1:E1934&lt;&gt;""""),COUNTA(FILTER(E$1:E1934, E$1:E1934&lt;&gt;""""))), LEN(INDEX(FILTER(E$1:E1934, E$1:E1934&lt;&gt;""""),COUNTA(FILTER(E$1:E1934, E$1:E1934&lt;&gt;""""))))-1), IF('To Order'!$A1935=COL"&amp;"UMNS($A1935:E1954), E1934&amp;RIGHT(INDIRECT(ADDRESS(ROW(E1935)-1, 'From Order'!$A1935)), 1), E1934))"),"CRG")</f>
        <v>CRG</v>
      </c>
      <c r="F1935" s="2" t="str">
        <f>IFERROR(__xludf.DUMMYFUNCTION("IF('From Order'!$A1935=COLUMNS($A1935:F1954), LEFT(INDEX(FILTER(F$1:F1934, F$1:F1934&lt;&gt;""""),COUNTA(FILTER(F$1:F1934, F$1:F1934&lt;&gt;""""))), LEN(INDEX(FILTER(F$1:F1934, F$1:F1934&lt;&gt;""""),COUNTA(FILTER(F$1:F1934, F$1:F1934&lt;&gt;""""))))-1), IF('To Order'!$A1935=COL"&amp;"UMNS($A1935:F1954), F1934&amp;RIGHT(INDIRECT(ADDRESS(ROW(F1935)-1, 'From Order'!$A1935)), 1), F1934))"),"LDSPBFLLWDDVQJPPSSTWZCSFHBBV")</f>
        <v>LDSPBFLLWDDVQJPPSSTWZCSFHBBV</v>
      </c>
      <c r="G1935" s="2" t="str">
        <f>IFERROR(__xludf.DUMMYFUNCTION("IF('From Order'!$A1935=COLUMNS($A1935:G1954), LEFT(INDEX(FILTER(G$1:G1934, G$1:G1934&lt;&gt;""""),COUNTA(FILTER(G$1:G1934, G$1:G1934&lt;&gt;""""))), LEN(INDEX(FILTER(G$1:G1934, G$1:G1934&lt;&gt;""""),COUNTA(FILTER(G$1:G1934, G$1:G1934&lt;&gt;""""))))-1), IF('To Order'!$A1935=COL"&amp;"UMNS($A1935:G1954), G1934&amp;RIGHT(INDIRECT(ADDRESS(ROW(G1935)-1, 'From Order'!$A1935)), 1), G1934))"),"")</f>
        <v/>
      </c>
      <c r="H1935" s="2" t="str">
        <f>IFERROR(__xludf.DUMMYFUNCTION("IF('From Order'!$A1935=COLUMNS($A1935:H1954), LEFT(INDEX(FILTER(H$1:H1934, H$1:H1934&lt;&gt;""""),COUNTA(FILTER(H$1:H1934, H$1:H1934&lt;&gt;""""))), LEN(INDEX(FILTER(H$1:H1934, H$1:H1934&lt;&gt;""""),COUNTA(FILTER(H$1:H1934, H$1:H1934&lt;&gt;""""))))-1), IF('To Order'!$A1935=COL"&amp;"UMNS($A1935:H1954), H1934&amp;RIGHT(INDIRECT(ADDRESS(ROW(H1935)-1, 'From Order'!$A1935)), 1), H1934))"),"QTRT")</f>
        <v>QTRT</v>
      </c>
      <c r="I1935" s="2" t="str">
        <f>IFERROR(__xludf.DUMMYFUNCTION("IF('From Order'!$A1935=COLUMNS($A1935:I1954), LEFT(INDEX(FILTER(I$1:I1934, I$1:I1934&lt;&gt;""""),COUNTA(FILTER(I$1:I1934, I$1:I1934&lt;&gt;""""))), LEN(INDEX(FILTER(I$1:I1934, I$1:I1934&lt;&gt;""""),COUNTA(FILTER(I$1:I1934, I$1:I1934&lt;&gt;""""))))-1), IF('To Order'!$A1935=COL"&amp;"UMNS($A1935:I1954), I1934&amp;RIGHT(INDIRECT(ADDRESS(ROW(I1935)-1, 'From Order'!$A1935)), 1), I1934))"),"DVDTMZHZDMTTGMJRR")</f>
        <v>DVDTMZHZDMTTGMJRR</v>
      </c>
    </row>
    <row r="1936">
      <c r="A1936" s="2" t="str">
        <f>IFERROR(__xludf.DUMMYFUNCTION("IF('From Order'!$A1936=COLUMNS($A1936:A1955), LEFT(INDEX(FILTER(A$1:A1935, A$1:A1935&lt;&gt;""""),COUNTA(FILTER(A$1:A1935, A$1:A1935&lt;&gt;""""))), LEN(INDEX(FILTER(A$1:A1935, A$1:A1935&lt;&gt;""""),COUNTA(FILTER(A$1:A1935, A$1:A1935&lt;&gt;""""))))-1), IF('To Order'!$A1936=COL"&amp;"UMNS($A1936:A1955), A1935&amp;RIGHT(INDIRECT(ADDRESS(ROW(A1936)-1, 'From Order'!$A1936)), 1), A1935))"),"")</f>
        <v/>
      </c>
      <c r="B1936" s="2" t="str">
        <f>IFERROR(__xludf.DUMMYFUNCTION("IF('From Order'!$A1936=COLUMNS($A1936:B1955), LEFT(INDEX(FILTER(B$1:B1935, B$1:B1935&lt;&gt;""""),COUNTA(FILTER(B$1:B1935, B$1:B1935&lt;&gt;""""))), LEN(INDEX(FILTER(B$1:B1935, B$1:B1935&lt;&gt;""""),COUNTA(FILTER(B$1:B1935, B$1:B1935&lt;&gt;""""))))-1), IF('To Order'!$A1936=COL"&amp;"UMNS($A1936:B1955), B1935&amp;RIGHT(INDIRECT(ADDRESS(ROW(B1936)-1, 'From Order'!$A1936)), 1), B1935))"),"")</f>
        <v/>
      </c>
      <c r="C1936" s="2" t="str">
        <f>IFERROR(__xludf.DUMMYFUNCTION("IF('From Order'!$A1936=COLUMNS($A1936:C1955), LEFT(INDEX(FILTER(C$1:C1935, C$1:C1935&lt;&gt;""""),COUNTA(FILTER(C$1:C1935, C$1:C1935&lt;&gt;""""))), LEN(INDEX(FILTER(C$1:C1935, C$1:C1935&lt;&gt;""""),COUNTA(FILTER(C$1:C1935, C$1:C1935&lt;&gt;""""))))-1), IF('To Order'!$A1936=COL"&amp;"UMNS($A1936:C1955), C1935&amp;RIGHT(INDIRECT(ADDRESS(ROW(C1936)-1, 'From Order'!$A1936)), 1), C1935))"),"")</f>
        <v/>
      </c>
      <c r="D1936" s="2" t="str">
        <f>IFERROR(__xludf.DUMMYFUNCTION("IF('From Order'!$A1936=COLUMNS($A1936:D1955), LEFT(INDEX(FILTER(D$1:D1935, D$1:D1935&lt;&gt;""""),COUNTA(FILTER(D$1:D1935, D$1:D1935&lt;&gt;""""))), LEN(INDEX(FILTER(D$1:D1935, D$1:D1935&lt;&gt;""""),COUNTA(FILTER(D$1:D1935, D$1:D1935&lt;&gt;""""))))-1), IF('To Order'!$A1936=COL"&amp;"UMNS($A1936:D1955), D1935&amp;RIGHT(INDIRECT(ADDRESS(ROW(D1936)-1, 'From Order'!$A1936)), 1), D1935))"),"RBJC")</f>
        <v>RBJC</v>
      </c>
      <c r="E1936" s="2" t="str">
        <f>IFERROR(__xludf.DUMMYFUNCTION("IF('From Order'!$A1936=COLUMNS($A1936:E1955), LEFT(INDEX(FILTER(E$1:E1935, E$1:E1935&lt;&gt;""""),COUNTA(FILTER(E$1:E1935, E$1:E1935&lt;&gt;""""))), LEN(INDEX(FILTER(E$1:E1935, E$1:E1935&lt;&gt;""""),COUNTA(FILTER(E$1:E1935, E$1:E1935&lt;&gt;""""))))-1), IF('To Order'!$A1936=COL"&amp;"UMNS($A1936:E1955), E1935&amp;RIGHT(INDIRECT(ADDRESS(ROW(E1936)-1, 'From Order'!$A1936)), 1), E1935))"),"CRG")</f>
        <v>CRG</v>
      </c>
      <c r="F1936" s="2" t="str">
        <f>IFERROR(__xludf.DUMMYFUNCTION("IF('From Order'!$A1936=COLUMNS($A1936:F1955), LEFT(INDEX(FILTER(F$1:F1935, F$1:F1935&lt;&gt;""""),COUNTA(FILTER(F$1:F1935, F$1:F1935&lt;&gt;""""))), LEN(INDEX(FILTER(F$1:F1935, F$1:F1935&lt;&gt;""""),COUNTA(FILTER(F$1:F1935, F$1:F1935&lt;&gt;""""))))-1), IF('To Order'!$A1936=COL"&amp;"UMNS($A1936:F1955), F1935&amp;RIGHT(INDIRECT(ADDRESS(ROW(F1936)-1, 'From Order'!$A1936)), 1), F1935))"),"LDSPBFLLWDDVQJPPSSTWZCSFHBB")</f>
        <v>LDSPBFLLWDDVQJPPSSTWZCSFHBB</v>
      </c>
      <c r="G1936" s="2" t="str">
        <f>IFERROR(__xludf.DUMMYFUNCTION("IF('From Order'!$A1936=COLUMNS($A1936:G1955), LEFT(INDEX(FILTER(G$1:G1935, G$1:G1935&lt;&gt;""""),COUNTA(FILTER(G$1:G1935, G$1:G1935&lt;&gt;""""))), LEN(INDEX(FILTER(G$1:G1935, G$1:G1935&lt;&gt;""""),COUNTA(FILTER(G$1:G1935, G$1:G1935&lt;&gt;""""))))-1), IF('To Order'!$A1936=COL"&amp;"UMNS($A1936:G1955), G1935&amp;RIGHT(INDIRECT(ADDRESS(ROW(G1936)-1, 'From Order'!$A1936)), 1), G1935))"),"")</f>
        <v/>
      </c>
      <c r="H1936" s="2" t="str">
        <f>IFERROR(__xludf.DUMMYFUNCTION("IF('From Order'!$A1936=COLUMNS($A1936:H1955), LEFT(INDEX(FILTER(H$1:H1935, H$1:H1935&lt;&gt;""""),COUNTA(FILTER(H$1:H1935, H$1:H1935&lt;&gt;""""))), LEN(INDEX(FILTER(H$1:H1935, H$1:H1935&lt;&gt;""""),COUNTA(FILTER(H$1:H1935, H$1:H1935&lt;&gt;""""))))-1), IF('To Order'!$A1936=COL"&amp;"UMNS($A1936:H1955), H1935&amp;RIGHT(INDIRECT(ADDRESS(ROW(H1936)-1, 'From Order'!$A1936)), 1), H1935))"),"QTRT")</f>
        <v>QTRT</v>
      </c>
      <c r="I1936" s="2" t="str">
        <f>IFERROR(__xludf.DUMMYFUNCTION("IF('From Order'!$A1936=COLUMNS($A1936:I1955), LEFT(INDEX(FILTER(I$1:I1935, I$1:I1935&lt;&gt;""""),COUNTA(FILTER(I$1:I1935, I$1:I1935&lt;&gt;""""))), LEN(INDEX(FILTER(I$1:I1935, I$1:I1935&lt;&gt;""""),COUNTA(FILTER(I$1:I1935, I$1:I1935&lt;&gt;""""))))-1), IF('To Order'!$A1936=COL"&amp;"UMNS($A1936:I1955), I1935&amp;RIGHT(INDIRECT(ADDRESS(ROW(I1936)-1, 'From Order'!$A1936)), 1), I1935))"),"DVDTMZHZDMTTGMJRRV")</f>
        <v>DVDTMZHZDMTTGMJRRV</v>
      </c>
    </row>
    <row r="1937">
      <c r="A1937" s="2" t="str">
        <f>IFERROR(__xludf.DUMMYFUNCTION("IF('From Order'!$A1937=COLUMNS($A1937:A1956), LEFT(INDEX(FILTER(A$1:A1936, A$1:A1936&lt;&gt;""""),COUNTA(FILTER(A$1:A1936, A$1:A1936&lt;&gt;""""))), LEN(INDEX(FILTER(A$1:A1936, A$1:A1936&lt;&gt;""""),COUNTA(FILTER(A$1:A1936, A$1:A1936&lt;&gt;""""))))-1), IF('To Order'!$A1937=COL"&amp;"UMNS($A1937:A1956), A1936&amp;RIGHT(INDIRECT(ADDRESS(ROW(A1937)-1, 'From Order'!$A1937)), 1), A1936))"),"")</f>
        <v/>
      </c>
      <c r="B1937" s="2" t="str">
        <f>IFERROR(__xludf.DUMMYFUNCTION("IF('From Order'!$A1937=COLUMNS($A1937:B1956), LEFT(INDEX(FILTER(B$1:B1936, B$1:B1936&lt;&gt;""""),COUNTA(FILTER(B$1:B1936, B$1:B1936&lt;&gt;""""))), LEN(INDEX(FILTER(B$1:B1936, B$1:B1936&lt;&gt;""""),COUNTA(FILTER(B$1:B1936, B$1:B1936&lt;&gt;""""))))-1), IF('To Order'!$A1937=COL"&amp;"UMNS($A1937:B1956), B1936&amp;RIGHT(INDIRECT(ADDRESS(ROW(B1937)-1, 'From Order'!$A1937)), 1), B1936))"),"")</f>
        <v/>
      </c>
      <c r="C1937" s="2" t="str">
        <f>IFERROR(__xludf.DUMMYFUNCTION("IF('From Order'!$A1937=COLUMNS($A1937:C1956), LEFT(INDEX(FILTER(C$1:C1936, C$1:C1936&lt;&gt;""""),COUNTA(FILTER(C$1:C1936, C$1:C1936&lt;&gt;""""))), LEN(INDEX(FILTER(C$1:C1936, C$1:C1936&lt;&gt;""""),COUNTA(FILTER(C$1:C1936, C$1:C1936&lt;&gt;""""))))-1), IF('To Order'!$A1937=COL"&amp;"UMNS($A1937:C1956), C1936&amp;RIGHT(INDIRECT(ADDRESS(ROW(C1937)-1, 'From Order'!$A1937)), 1), C1936))"),"")</f>
        <v/>
      </c>
      <c r="D1937" s="2" t="str">
        <f>IFERROR(__xludf.DUMMYFUNCTION("IF('From Order'!$A1937=COLUMNS($A1937:D1956), LEFT(INDEX(FILTER(D$1:D1936, D$1:D1936&lt;&gt;""""),COUNTA(FILTER(D$1:D1936, D$1:D1936&lt;&gt;""""))), LEN(INDEX(FILTER(D$1:D1936, D$1:D1936&lt;&gt;""""),COUNTA(FILTER(D$1:D1936, D$1:D1936&lt;&gt;""""))))-1), IF('To Order'!$A1937=COL"&amp;"UMNS($A1937:D1956), D1936&amp;RIGHT(INDIRECT(ADDRESS(ROW(D1937)-1, 'From Order'!$A1937)), 1), D1936))"),"RBJC")</f>
        <v>RBJC</v>
      </c>
      <c r="E1937" s="2" t="str">
        <f>IFERROR(__xludf.DUMMYFUNCTION("IF('From Order'!$A1937=COLUMNS($A1937:E1956), LEFT(INDEX(FILTER(E$1:E1936, E$1:E1936&lt;&gt;""""),COUNTA(FILTER(E$1:E1936, E$1:E1936&lt;&gt;""""))), LEN(INDEX(FILTER(E$1:E1936, E$1:E1936&lt;&gt;""""),COUNTA(FILTER(E$1:E1936, E$1:E1936&lt;&gt;""""))))-1), IF('To Order'!$A1937=COL"&amp;"UMNS($A1937:E1956), E1936&amp;RIGHT(INDIRECT(ADDRESS(ROW(E1937)-1, 'From Order'!$A1937)), 1), E1936))"),"CRG")</f>
        <v>CRG</v>
      </c>
      <c r="F1937" s="2" t="str">
        <f>IFERROR(__xludf.DUMMYFUNCTION("IF('From Order'!$A1937=COLUMNS($A1937:F1956), LEFT(INDEX(FILTER(F$1:F1936, F$1:F1936&lt;&gt;""""),COUNTA(FILTER(F$1:F1936, F$1:F1936&lt;&gt;""""))), LEN(INDEX(FILTER(F$1:F1936, F$1:F1936&lt;&gt;""""),COUNTA(FILTER(F$1:F1936, F$1:F1936&lt;&gt;""""))))-1), IF('To Order'!$A1937=COL"&amp;"UMNS($A1937:F1956), F1936&amp;RIGHT(INDIRECT(ADDRESS(ROW(F1937)-1, 'From Order'!$A1937)), 1), F1936))"),"LDSPBFLLWDDVQJPPSSTWZCSFHB")</f>
        <v>LDSPBFLLWDDVQJPPSSTWZCSFHB</v>
      </c>
      <c r="G1937" s="2" t="str">
        <f>IFERROR(__xludf.DUMMYFUNCTION("IF('From Order'!$A1937=COLUMNS($A1937:G1956), LEFT(INDEX(FILTER(G$1:G1936, G$1:G1936&lt;&gt;""""),COUNTA(FILTER(G$1:G1936, G$1:G1936&lt;&gt;""""))), LEN(INDEX(FILTER(G$1:G1936, G$1:G1936&lt;&gt;""""),COUNTA(FILTER(G$1:G1936, G$1:G1936&lt;&gt;""""))))-1), IF('To Order'!$A1937=COL"&amp;"UMNS($A1937:G1956), G1936&amp;RIGHT(INDIRECT(ADDRESS(ROW(G1937)-1, 'From Order'!$A1937)), 1), G1936))"),"")</f>
        <v/>
      </c>
      <c r="H1937" s="2" t="str">
        <f>IFERROR(__xludf.DUMMYFUNCTION("IF('From Order'!$A1937=COLUMNS($A1937:H1956), LEFT(INDEX(FILTER(H$1:H1936, H$1:H1936&lt;&gt;""""),COUNTA(FILTER(H$1:H1936, H$1:H1936&lt;&gt;""""))), LEN(INDEX(FILTER(H$1:H1936, H$1:H1936&lt;&gt;""""),COUNTA(FILTER(H$1:H1936, H$1:H1936&lt;&gt;""""))))-1), IF('To Order'!$A1937=COL"&amp;"UMNS($A1937:H1956), H1936&amp;RIGHT(INDIRECT(ADDRESS(ROW(H1937)-1, 'From Order'!$A1937)), 1), H1936))"),"QTRT")</f>
        <v>QTRT</v>
      </c>
      <c r="I1937" s="2" t="str">
        <f>IFERROR(__xludf.DUMMYFUNCTION("IF('From Order'!$A1937=COLUMNS($A1937:I1956), LEFT(INDEX(FILTER(I$1:I1936, I$1:I1936&lt;&gt;""""),COUNTA(FILTER(I$1:I1936, I$1:I1936&lt;&gt;""""))), LEN(INDEX(FILTER(I$1:I1936, I$1:I1936&lt;&gt;""""),COUNTA(FILTER(I$1:I1936, I$1:I1936&lt;&gt;""""))))-1), IF('To Order'!$A1937=COL"&amp;"UMNS($A1937:I1956), I1936&amp;RIGHT(INDIRECT(ADDRESS(ROW(I1937)-1, 'From Order'!$A1937)), 1), I1936))"),"DVDTMZHZDMTTGMJRRVB")</f>
        <v>DVDTMZHZDMTTGMJRRVB</v>
      </c>
    </row>
    <row r="1938">
      <c r="A1938" s="2" t="str">
        <f>IFERROR(__xludf.DUMMYFUNCTION("IF('From Order'!$A1938=COLUMNS($A1938:A1957), LEFT(INDEX(FILTER(A$1:A1937, A$1:A1937&lt;&gt;""""),COUNTA(FILTER(A$1:A1937, A$1:A1937&lt;&gt;""""))), LEN(INDEX(FILTER(A$1:A1937, A$1:A1937&lt;&gt;""""),COUNTA(FILTER(A$1:A1937, A$1:A1937&lt;&gt;""""))))-1), IF('To Order'!$A1938=COL"&amp;"UMNS($A1938:A1957), A1937&amp;RIGHT(INDIRECT(ADDRESS(ROW(A1938)-1, 'From Order'!$A1938)), 1), A1937))"),"")</f>
        <v/>
      </c>
      <c r="B1938" s="2" t="str">
        <f>IFERROR(__xludf.DUMMYFUNCTION("IF('From Order'!$A1938=COLUMNS($A1938:B1957), LEFT(INDEX(FILTER(B$1:B1937, B$1:B1937&lt;&gt;""""),COUNTA(FILTER(B$1:B1937, B$1:B1937&lt;&gt;""""))), LEN(INDEX(FILTER(B$1:B1937, B$1:B1937&lt;&gt;""""),COUNTA(FILTER(B$1:B1937, B$1:B1937&lt;&gt;""""))))-1), IF('To Order'!$A1938=COL"&amp;"UMNS($A1938:B1957), B1937&amp;RIGHT(INDIRECT(ADDRESS(ROW(B1938)-1, 'From Order'!$A1938)), 1), B1937))"),"")</f>
        <v/>
      </c>
      <c r="C1938" s="2" t="str">
        <f>IFERROR(__xludf.DUMMYFUNCTION("IF('From Order'!$A1938=COLUMNS($A1938:C1957), LEFT(INDEX(FILTER(C$1:C1937, C$1:C1937&lt;&gt;""""),COUNTA(FILTER(C$1:C1937, C$1:C1937&lt;&gt;""""))), LEN(INDEX(FILTER(C$1:C1937, C$1:C1937&lt;&gt;""""),COUNTA(FILTER(C$1:C1937, C$1:C1937&lt;&gt;""""))))-1), IF('To Order'!$A1938=COL"&amp;"UMNS($A1938:C1957), C1937&amp;RIGHT(INDIRECT(ADDRESS(ROW(C1938)-1, 'From Order'!$A1938)), 1), C1937))"),"")</f>
        <v/>
      </c>
      <c r="D1938" s="2" t="str">
        <f>IFERROR(__xludf.DUMMYFUNCTION("IF('From Order'!$A1938=COLUMNS($A1938:D1957), LEFT(INDEX(FILTER(D$1:D1937, D$1:D1937&lt;&gt;""""),COUNTA(FILTER(D$1:D1937, D$1:D1937&lt;&gt;""""))), LEN(INDEX(FILTER(D$1:D1937, D$1:D1937&lt;&gt;""""),COUNTA(FILTER(D$1:D1937, D$1:D1937&lt;&gt;""""))))-1), IF('To Order'!$A1938=COL"&amp;"UMNS($A1938:D1957), D1937&amp;RIGHT(INDIRECT(ADDRESS(ROW(D1938)-1, 'From Order'!$A1938)), 1), D1937))"),"RBJC")</f>
        <v>RBJC</v>
      </c>
      <c r="E1938" s="2" t="str">
        <f>IFERROR(__xludf.DUMMYFUNCTION("IF('From Order'!$A1938=COLUMNS($A1938:E1957), LEFT(INDEX(FILTER(E$1:E1937, E$1:E1937&lt;&gt;""""),COUNTA(FILTER(E$1:E1937, E$1:E1937&lt;&gt;""""))), LEN(INDEX(FILTER(E$1:E1937, E$1:E1937&lt;&gt;""""),COUNTA(FILTER(E$1:E1937, E$1:E1937&lt;&gt;""""))))-1), IF('To Order'!$A1938=COL"&amp;"UMNS($A1938:E1957), E1937&amp;RIGHT(INDIRECT(ADDRESS(ROW(E1938)-1, 'From Order'!$A1938)), 1), E1937))"),"CRG")</f>
        <v>CRG</v>
      </c>
      <c r="F1938" s="2" t="str">
        <f>IFERROR(__xludf.DUMMYFUNCTION("IF('From Order'!$A1938=COLUMNS($A1938:F1957), LEFT(INDEX(FILTER(F$1:F1937, F$1:F1937&lt;&gt;""""),COUNTA(FILTER(F$1:F1937, F$1:F1937&lt;&gt;""""))), LEN(INDEX(FILTER(F$1:F1937, F$1:F1937&lt;&gt;""""),COUNTA(FILTER(F$1:F1937, F$1:F1937&lt;&gt;""""))))-1), IF('To Order'!$A1938=COL"&amp;"UMNS($A1938:F1957), F1937&amp;RIGHT(INDIRECT(ADDRESS(ROW(F1938)-1, 'From Order'!$A1938)), 1), F1937))"),"LDSPBFLLWDDVQJPPSSTWZCSFH")</f>
        <v>LDSPBFLLWDDVQJPPSSTWZCSFH</v>
      </c>
      <c r="G1938" s="2" t="str">
        <f>IFERROR(__xludf.DUMMYFUNCTION("IF('From Order'!$A1938=COLUMNS($A1938:G1957), LEFT(INDEX(FILTER(G$1:G1937, G$1:G1937&lt;&gt;""""),COUNTA(FILTER(G$1:G1937, G$1:G1937&lt;&gt;""""))), LEN(INDEX(FILTER(G$1:G1937, G$1:G1937&lt;&gt;""""),COUNTA(FILTER(G$1:G1937, G$1:G1937&lt;&gt;""""))))-1), IF('To Order'!$A1938=COL"&amp;"UMNS($A1938:G1957), G1937&amp;RIGHT(INDIRECT(ADDRESS(ROW(G1938)-1, 'From Order'!$A1938)), 1), G1937))"),"")</f>
        <v/>
      </c>
      <c r="H1938" s="2" t="str">
        <f>IFERROR(__xludf.DUMMYFUNCTION("IF('From Order'!$A1938=COLUMNS($A1938:H1957), LEFT(INDEX(FILTER(H$1:H1937, H$1:H1937&lt;&gt;""""),COUNTA(FILTER(H$1:H1937, H$1:H1937&lt;&gt;""""))), LEN(INDEX(FILTER(H$1:H1937, H$1:H1937&lt;&gt;""""),COUNTA(FILTER(H$1:H1937, H$1:H1937&lt;&gt;""""))))-1), IF('To Order'!$A1938=COL"&amp;"UMNS($A1938:H1957), H1937&amp;RIGHT(INDIRECT(ADDRESS(ROW(H1938)-1, 'From Order'!$A1938)), 1), H1937))"),"QTRT")</f>
        <v>QTRT</v>
      </c>
      <c r="I1938" s="2" t="str">
        <f>IFERROR(__xludf.DUMMYFUNCTION("IF('From Order'!$A1938=COLUMNS($A1938:I1957), LEFT(INDEX(FILTER(I$1:I1937, I$1:I1937&lt;&gt;""""),COUNTA(FILTER(I$1:I1937, I$1:I1937&lt;&gt;""""))), LEN(INDEX(FILTER(I$1:I1937, I$1:I1937&lt;&gt;""""),COUNTA(FILTER(I$1:I1937, I$1:I1937&lt;&gt;""""))))-1), IF('To Order'!$A1938=COL"&amp;"UMNS($A1938:I1957), I1937&amp;RIGHT(INDIRECT(ADDRESS(ROW(I1938)-1, 'From Order'!$A1938)), 1), I1937))"),"DVDTMZHZDMTTGMJRRVBB")</f>
        <v>DVDTMZHZDMTTGMJRRVBB</v>
      </c>
    </row>
    <row r="1939">
      <c r="A1939" s="2" t="str">
        <f>IFERROR(__xludf.DUMMYFUNCTION("IF('From Order'!$A1939=COLUMNS($A1939:A1958), LEFT(INDEX(FILTER(A$1:A1938, A$1:A1938&lt;&gt;""""),COUNTA(FILTER(A$1:A1938, A$1:A1938&lt;&gt;""""))), LEN(INDEX(FILTER(A$1:A1938, A$1:A1938&lt;&gt;""""),COUNTA(FILTER(A$1:A1938, A$1:A1938&lt;&gt;""""))))-1), IF('To Order'!$A1939=COL"&amp;"UMNS($A1939:A1958), A1938&amp;RIGHT(INDIRECT(ADDRESS(ROW(A1939)-1, 'From Order'!$A1939)), 1), A1938))"),"")</f>
        <v/>
      </c>
      <c r="B1939" s="2" t="str">
        <f>IFERROR(__xludf.DUMMYFUNCTION("IF('From Order'!$A1939=COLUMNS($A1939:B1958), LEFT(INDEX(FILTER(B$1:B1938, B$1:B1938&lt;&gt;""""),COUNTA(FILTER(B$1:B1938, B$1:B1938&lt;&gt;""""))), LEN(INDEX(FILTER(B$1:B1938, B$1:B1938&lt;&gt;""""),COUNTA(FILTER(B$1:B1938, B$1:B1938&lt;&gt;""""))))-1), IF('To Order'!$A1939=COL"&amp;"UMNS($A1939:B1958), B1938&amp;RIGHT(INDIRECT(ADDRESS(ROW(B1939)-1, 'From Order'!$A1939)), 1), B1938))"),"")</f>
        <v/>
      </c>
      <c r="C1939" s="2" t="str">
        <f>IFERROR(__xludf.DUMMYFUNCTION("IF('From Order'!$A1939=COLUMNS($A1939:C1958), LEFT(INDEX(FILTER(C$1:C1938, C$1:C1938&lt;&gt;""""),COUNTA(FILTER(C$1:C1938, C$1:C1938&lt;&gt;""""))), LEN(INDEX(FILTER(C$1:C1938, C$1:C1938&lt;&gt;""""),COUNTA(FILTER(C$1:C1938, C$1:C1938&lt;&gt;""""))))-1), IF('To Order'!$A1939=COL"&amp;"UMNS($A1939:C1958), C1938&amp;RIGHT(INDIRECT(ADDRESS(ROW(C1939)-1, 'From Order'!$A1939)), 1), C1938))"),"")</f>
        <v/>
      </c>
      <c r="D1939" s="2" t="str">
        <f>IFERROR(__xludf.DUMMYFUNCTION("IF('From Order'!$A1939=COLUMNS($A1939:D1958), LEFT(INDEX(FILTER(D$1:D1938, D$1:D1938&lt;&gt;""""),COUNTA(FILTER(D$1:D1938, D$1:D1938&lt;&gt;""""))), LEN(INDEX(FILTER(D$1:D1938, D$1:D1938&lt;&gt;""""),COUNTA(FILTER(D$1:D1938, D$1:D1938&lt;&gt;""""))))-1), IF('To Order'!$A1939=COL"&amp;"UMNS($A1939:D1958), D1938&amp;RIGHT(INDIRECT(ADDRESS(ROW(D1939)-1, 'From Order'!$A1939)), 1), D1938))"),"RBJC")</f>
        <v>RBJC</v>
      </c>
      <c r="E1939" s="2" t="str">
        <f>IFERROR(__xludf.DUMMYFUNCTION("IF('From Order'!$A1939=COLUMNS($A1939:E1958), LEFT(INDEX(FILTER(E$1:E1938, E$1:E1938&lt;&gt;""""),COUNTA(FILTER(E$1:E1938, E$1:E1938&lt;&gt;""""))), LEN(INDEX(FILTER(E$1:E1938, E$1:E1938&lt;&gt;""""),COUNTA(FILTER(E$1:E1938, E$1:E1938&lt;&gt;""""))))-1), IF('To Order'!$A1939=COL"&amp;"UMNS($A1939:E1958), E1938&amp;RIGHT(INDIRECT(ADDRESS(ROW(E1939)-1, 'From Order'!$A1939)), 1), E1938))"),"CRG")</f>
        <v>CRG</v>
      </c>
      <c r="F1939" s="2" t="str">
        <f>IFERROR(__xludf.DUMMYFUNCTION("IF('From Order'!$A1939=COLUMNS($A1939:F1958), LEFT(INDEX(FILTER(F$1:F1938, F$1:F1938&lt;&gt;""""),COUNTA(FILTER(F$1:F1938, F$1:F1938&lt;&gt;""""))), LEN(INDEX(FILTER(F$1:F1938, F$1:F1938&lt;&gt;""""),COUNTA(FILTER(F$1:F1938, F$1:F1938&lt;&gt;""""))))-1), IF('To Order'!$A1939=COL"&amp;"UMNS($A1939:F1958), F1938&amp;RIGHT(INDIRECT(ADDRESS(ROW(F1939)-1, 'From Order'!$A1939)), 1), F1938))"),"LDSPBFLLWDDVQJPPSSTWZCSF")</f>
        <v>LDSPBFLLWDDVQJPPSSTWZCSF</v>
      </c>
      <c r="G1939" s="2" t="str">
        <f>IFERROR(__xludf.DUMMYFUNCTION("IF('From Order'!$A1939=COLUMNS($A1939:G1958), LEFT(INDEX(FILTER(G$1:G1938, G$1:G1938&lt;&gt;""""),COUNTA(FILTER(G$1:G1938, G$1:G1938&lt;&gt;""""))), LEN(INDEX(FILTER(G$1:G1938, G$1:G1938&lt;&gt;""""),COUNTA(FILTER(G$1:G1938, G$1:G1938&lt;&gt;""""))))-1), IF('To Order'!$A1939=COL"&amp;"UMNS($A1939:G1958), G1938&amp;RIGHT(INDIRECT(ADDRESS(ROW(G1939)-1, 'From Order'!$A1939)), 1), G1938))"),"")</f>
        <v/>
      </c>
      <c r="H1939" s="2" t="str">
        <f>IFERROR(__xludf.DUMMYFUNCTION("IF('From Order'!$A1939=COLUMNS($A1939:H1958), LEFT(INDEX(FILTER(H$1:H1938, H$1:H1938&lt;&gt;""""),COUNTA(FILTER(H$1:H1938, H$1:H1938&lt;&gt;""""))), LEN(INDEX(FILTER(H$1:H1938, H$1:H1938&lt;&gt;""""),COUNTA(FILTER(H$1:H1938, H$1:H1938&lt;&gt;""""))))-1), IF('To Order'!$A1939=COL"&amp;"UMNS($A1939:H1958), H1938&amp;RIGHT(INDIRECT(ADDRESS(ROW(H1939)-1, 'From Order'!$A1939)), 1), H1938))"),"QTRT")</f>
        <v>QTRT</v>
      </c>
      <c r="I1939" s="2" t="str">
        <f>IFERROR(__xludf.DUMMYFUNCTION("IF('From Order'!$A1939=COLUMNS($A1939:I1958), LEFT(INDEX(FILTER(I$1:I1938, I$1:I1938&lt;&gt;""""),COUNTA(FILTER(I$1:I1938, I$1:I1938&lt;&gt;""""))), LEN(INDEX(FILTER(I$1:I1938, I$1:I1938&lt;&gt;""""),COUNTA(FILTER(I$1:I1938, I$1:I1938&lt;&gt;""""))))-1), IF('To Order'!$A1939=COL"&amp;"UMNS($A1939:I1958), I1938&amp;RIGHT(INDIRECT(ADDRESS(ROW(I1939)-1, 'From Order'!$A1939)), 1), I1938))"),"DVDTMZHZDMTTGMJRRVBBH")</f>
        <v>DVDTMZHZDMTTGMJRRVBBH</v>
      </c>
    </row>
    <row r="1940">
      <c r="A1940" s="2" t="str">
        <f>IFERROR(__xludf.DUMMYFUNCTION("IF('From Order'!$A1940=COLUMNS($A1940:A1959), LEFT(INDEX(FILTER(A$1:A1939, A$1:A1939&lt;&gt;""""),COUNTA(FILTER(A$1:A1939, A$1:A1939&lt;&gt;""""))), LEN(INDEX(FILTER(A$1:A1939, A$1:A1939&lt;&gt;""""),COUNTA(FILTER(A$1:A1939, A$1:A1939&lt;&gt;""""))))-1), IF('To Order'!$A1940=COL"&amp;"UMNS($A1940:A1959), A1939&amp;RIGHT(INDIRECT(ADDRESS(ROW(A1940)-1, 'From Order'!$A1940)), 1), A1939))"),"")</f>
        <v/>
      </c>
      <c r="B1940" s="2" t="str">
        <f>IFERROR(__xludf.DUMMYFUNCTION("IF('From Order'!$A1940=COLUMNS($A1940:B1959), LEFT(INDEX(FILTER(B$1:B1939, B$1:B1939&lt;&gt;""""),COUNTA(FILTER(B$1:B1939, B$1:B1939&lt;&gt;""""))), LEN(INDEX(FILTER(B$1:B1939, B$1:B1939&lt;&gt;""""),COUNTA(FILTER(B$1:B1939, B$1:B1939&lt;&gt;""""))))-1), IF('To Order'!$A1940=COL"&amp;"UMNS($A1940:B1959), B1939&amp;RIGHT(INDIRECT(ADDRESS(ROW(B1940)-1, 'From Order'!$A1940)), 1), B1939))"),"")</f>
        <v/>
      </c>
      <c r="C1940" s="2" t="str">
        <f>IFERROR(__xludf.DUMMYFUNCTION("IF('From Order'!$A1940=COLUMNS($A1940:C1959), LEFT(INDEX(FILTER(C$1:C1939, C$1:C1939&lt;&gt;""""),COUNTA(FILTER(C$1:C1939, C$1:C1939&lt;&gt;""""))), LEN(INDEX(FILTER(C$1:C1939, C$1:C1939&lt;&gt;""""),COUNTA(FILTER(C$1:C1939, C$1:C1939&lt;&gt;""""))))-1), IF('To Order'!$A1940=COL"&amp;"UMNS($A1940:C1959), C1939&amp;RIGHT(INDIRECT(ADDRESS(ROW(C1940)-1, 'From Order'!$A1940)), 1), C1939))"),"")</f>
        <v/>
      </c>
      <c r="D1940" s="2" t="str">
        <f>IFERROR(__xludf.DUMMYFUNCTION("IF('From Order'!$A1940=COLUMNS($A1940:D1959), LEFT(INDEX(FILTER(D$1:D1939, D$1:D1939&lt;&gt;""""),COUNTA(FILTER(D$1:D1939, D$1:D1939&lt;&gt;""""))), LEN(INDEX(FILTER(D$1:D1939, D$1:D1939&lt;&gt;""""),COUNTA(FILTER(D$1:D1939, D$1:D1939&lt;&gt;""""))))-1), IF('To Order'!$A1940=COL"&amp;"UMNS($A1940:D1959), D1939&amp;RIGHT(INDIRECT(ADDRESS(ROW(D1940)-1, 'From Order'!$A1940)), 1), D1939))"),"RBJC")</f>
        <v>RBJC</v>
      </c>
      <c r="E1940" s="2" t="str">
        <f>IFERROR(__xludf.DUMMYFUNCTION("IF('From Order'!$A1940=COLUMNS($A1940:E1959), LEFT(INDEX(FILTER(E$1:E1939, E$1:E1939&lt;&gt;""""),COUNTA(FILTER(E$1:E1939, E$1:E1939&lt;&gt;""""))), LEN(INDEX(FILTER(E$1:E1939, E$1:E1939&lt;&gt;""""),COUNTA(FILTER(E$1:E1939, E$1:E1939&lt;&gt;""""))))-1), IF('To Order'!$A1940=COL"&amp;"UMNS($A1940:E1959), E1939&amp;RIGHT(INDIRECT(ADDRESS(ROW(E1940)-1, 'From Order'!$A1940)), 1), E1939))"),"CRG")</f>
        <v>CRG</v>
      </c>
      <c r="F1940" s="2" t="str">
        <f>IFERROR(__xludf.DUMMYFUNCTION("IF('From Order'!$A1940=COLUMNS($A1940:F1959), LEFT(INDEX(FILTER(F$1:F1939, F$1:F1939&lt;&gt;""""),COUNTA(FILTER(F$1:F1939, F$1:F1939&lt;&gt;""""))), LEN(INDEX(FILTER(F$1:F1939, F$1:F1939&lt;&gt;""""),COUNTA(FILTER(F$1:F1939, F$1:F1939&lt;&gt;""""))))-1), IF('To Order'!$A1940=COL"&amp;"UMNS($A1940:F1959), F1939&amp;RIGHT(INDIRECT(ADDRESS(ROW(F1940)-1, 'From Order'!$A1940)), 1), F1939))"),"LDSPBFLLWDDVQJPPSSTWZCS")</f>
        <v>LDSPBFLLWDDVQJPPSSTWZCS</v>
      </c>
      <c r="G1940" s="2" t="str">
        <f>IFERROR(__xludf.DUMMYFUNCTION("IF('From Order'!$A1940=COLUMNS($A1940:G1959), LEFT(INDEX(FILTER(G$1:G1939, G$1:G1939&lt;&gt;""""),COUNTA(FILTER(G$1:G1939, G$1:G1939&lt;&gt;""""))), LEN(INDEX(FILTER(G$1:G1939, G$1:G1939&lt;&gt;""""),COUNTA(FILTER(G$1:G1939, G$1:G1939&lt;&gt;""""))))-1), IF('To Order'!$A1940=COL"&amp;"UMNS($A1940:G1959), G1939&amp;RIGHT(INDIRECT(ADDRESS(ROW(G1940)-1, 'From Order'!$A1940)), 1), G1939))"),"")</f>
        <v/>
      </c>
      <c r="H1940" s="2" t="str">
        <f>IFERROR(__xludf.DUMMYFUNCTION("IF('From Order'!$A1940=COLUMNS($A1940:H1959), LEFT(INDEX(FILTER(H$1:H1939, H$1:H1939&lt;&gt;""""),COUNTA(FILTER(H$1:H1939, H$1:H1939&lt;&gt;""""))), LEN(INDEX(FILTER(H$1:H1939, H$1:H1939&lt;&gt;""""),COUNTA(FILTER(H$1:H1939, H$1:H1939&lt;&gt;""""))))-1), IF('To Order'!$A1940=COL"&amp;"UMNS($A1940:H1959), H1939&amp;RIGHT(INDIRECT(ADDRESS(ROW(H1940)-1, 'From Order'!$A1940)), 1), H1939))"),"QTRT")</f>
        <v>QTRT</v>
      </c>
      <c r="I1940" s="2" t="str">
        <f>IFERROR(__xludf.DUMMYFUNCTION("IF('From Order'!$A1940=COLUMNS($A1940:I1959), LEFT(INDEX(FILTER(I$1:I1939, I$1:I1939&lt;&gt;""""),COUNTA(FILTER(I$1:I1939, I$1:I1939&lt;&gt;""""))), LEN(INDEX(FILTER(I$1:I1939, I$1:I1939&lt;&gt;""""),COUNTA(FILTER(I$1:I1939, I$1:I1939&lt;&gt;""""))))-1), IF('To Order'!$A1940=COL"&amp;"UMNS($A1940:I1959), I1939&amp;RIGHT(INDIRECT(ADDRESS(ROW(I1940)-1, 'From Order'!$A1940)), 1), I1939))"),"DVDTMZHZDMTTGMJRRVBBHF")</f>
        <v>DVDTMZHZDMTTGMJRRVBBHF</v>
      </c>
    </row>
    <row r="1941">
      <c r="A1941" s="2" t="str">
        <f>IFERROR(__xludf.DUMMYFUNCTION("IF('From Order'!$A1941=COLUMNS($A1941:A1960), LEFT(INDEX(FILTER(A$1:A1940, A$1:A1940&lt;&gt;""""),COUNTA(FILTER(A$1:A1940, A$1:A1940&lt;&gt;""""))), LEN(INDEX(FILTER(A$1:A1940, A$1:A1940&lt;&gt;""""),COUNTA(FILTER(A$1:A1940, A$1:A1940&lt;&gt;""""))))-1), IF('To Order'!$A1941=COL"&amp;"UMNS($A1941:A1960), A1940&amp;RIGHT(INDIRECT(ADDRESS(ROW(A1941)-1, 'From Order'!$A1941)), 1), A1940))"),"")</f>
        <v/>
      </c>
      <c r="B1941" s="2" t="str">
        <f>IFERROR(__xludf.DUMMYFUNCTION("IF('From Order'!$A1941=COLUMNS($A1941:B1960), LEFT(INDEX(FILTER(B$1:B1940, B$1:B1940&lt;&gt;""""),COUNTA(FILTER(B$1:B1940, B$1:B1940&lt;&gt;""""))), LEN(INDEX(FILTER(B$1:B1940, B$1:B1940&lt;&gt;""""),COUNTA(FILTER(B$1:B1940, B$1:B1940&lt;&gt;""""))))-1), IF('To Order'!$A1941=COL"&amp;"UMNS($A1941:B1960), B1940&amp;RIGHT(INDIRECT(ADDRESS(ROW(B1941)-1, 'From Order'!$A1941)), 1), B1940))"),"")</f>
        <v/>
      </c>
      <c r="C1941" s="2" t="str">
        <f>IFERROR(__xludf.DUMMYFUNCTION("IF('From Order'!$A1941=COLUMNS($A1941:C1960), LEFT(INDEX(FILTER(C$1:C1940, C$1:C1940&lt;&gt;""""),COUNTA(FILTER(C$1:C1940, C$1:C1940&lt;&gt;""""))), LEN(INDEX(FILTER(C$1:C1940, C$1:C1940&lt;&gt;""""),COUNTA(FILTER(C$1:C1940, C$1:C1940&lt;&gt;""""))))-1), IF('To Order'!$A1941=COL"&amp;"UMNS($A1941:C1960), C1940&amp;RIGHT(INDIRECT(ADDRESS(ROW(C1941)-1, 'From Order'!$A1941)), 1), C1940))"),"")</f>
        <v/>
      </c>
      <c r="D1941" s="2" t="str">
        <f>IFERROR(__xludf.DUMMYFUNCTION("IF('From Order'!$A1941=COLUMNS($A1941:D1960), LEFT(INDEX(FILTER(D$1:D1940, D$1:D1940&lt;&gt;""""),COUNTA(FILTER(D$1:D1940, D$1:D1940&lt;&gt;""""))), LEN(INDEX(FILTER(D$1:D1940, D$1:D1940&lt;&gt;""""),COUNTA(FILTER(D$1:D1940, D$1:D1940&lt;&gt;""""))))-1), IF('To Order'!$A1941=COL"&amp;"UMNS($A1941:D1960), D1940&amp;RIGHT(INDIRECT(ADDRESS(ROW(D1941)-1, 'From Order'!$A1941)), 1), D1940))"),"RBJC")</f>
        <v>RBJC</v>
      </c>
      <c r="E1941" s="2" t="str">
        <f>IFERROR(__xludf.DUMMYFUNCTION("IF('From Order'!$A1941=COLUMNS($A1941:E1960), LEFT(INDEX(FILTER(E$1:E1940, E$1:E1940&lt;&gt;""""),COUNTA(FILTER(E$1:E1940, E$1:E1940&lt;&gt;""""))), LEN(INDEX(FILTER(E$1:E1940, E$1:E1940&lt;&gt;""""),COUNTA(FILTER(E$1:E1940, E$1:E1940&lt;&gt;""""))))-1), IF('To Order'!$A1941=COL"&amp;"UMNS($A1941:E1960), E1940&amp;RIGHT(INDIRECT(ADDRESS(ROW(E1941)-1, 'From Order'!$A1941)), 1), E1940))"),"CRG")</f>
        <v>CRG</v>
      </c>
      <c r="F1941" s="2" t="str">
        <f>IFERROR(__xludf.DUMMYFUNCTION("IF('From Order'!$A1941=COLUMNS($A1941:F1960), LEFT(INDEX(FILTER(F$1:F1940, F$1:F1940&lt;&gt;""""),COUNTA(FILTER(F$1:F1940, F$1:F1940&lt;&gt;""""))), LEN(INDEX(FILTER(F$1:F1940, F$1:F1940&lt;&gt;""""),COUNTA(FILTER(F$1:F1940, F$1:F1940&lt;&gt;""""))))-1), IF('To Order'!$A1941=COL"&amp;"UMNS($A1941:F1960), F1940&amp;RIGHT(INDIRECT(ADDRESS(ROW(F1941)-1, 'From Order'!$A1941)), 1), F1940))"),"LDSPBFLLWDDVQJPPSSTWZC")</f>
        <v>LDSPBFLLWDDVQJPPSSTWZC</v>
      </c>
      <c r="G1941" s="2" t="str">
        <f>IFERROR(__xludf.DUMMYFUNCTION("IF('From Order'!$A1941=COLUMNS($A1941:G1960), LEFT(INDEX(FILTER(G$1:G1940, G$1:G1940&lt;&gt;""""),COUNTA(FILTER(G$1:G1940, G$1:G1940&lt;&gt;""""))), LEN(INDEX(FILTER(G$1:G1940, G$1:G1940&lt;&gt;""""),COUNTA(FILTER(G$1:G1940, G$1:G1940&lt;&gt;""""))))-1), IF('To Order'!$A1941=COL"&amp;"UMNS($A1941:G1960), G1940&amp;RIGHT(INDIRECT(ADDRESS(ROW(G1941)-1, 'From Order'!$A1941)), 1), G1940))"),"")</f>
        <v/>
      </c>
      <c r="H1941" s="2" t="str">
        <f>IFERROR(__xludf.DUMMYFUNCTION("IF('From Order'!$A1941=COLUMNS($A1941:H1960), LEFT(INDEX(FILTER(H$1:H1940, H$1:H1940&lt;&gt;""""),COUNTA(FILTER(H$1:H1940, H$1:H1940&lt;&gt;""""))), LEN(INDEX(FILTER(H$1:H1940, H$1:H1940&lt;&gt;""""),COUNTA(FILTER(H$1:H1940, H$1:H1940&lt;&gt;""""))))-1), IF('To Order'!$A1941=COL"&amp;"UMNS($A1941:H1960), H1940&amp;RIGHT(INDIRECT(ADDRESS(ROW(H1941)-1, 'From Order'!$A1941)), 1), H1940))"),"QTRT")</f>
        <v>QTRT</v>
      </c>
      <c r="I1941" s="2" t="str">
        <f>IFERROR(__xludf.DUMMYFUNCTION("IF('From Order'!$A1941=COLUMNS($A1941:I1960), LEFT(INDEX(FILTER(I$1:I1940, I$1:I1940&lt;&gt;""""),COUNTA(FILTER(I$1:I1940, I$1:I1940&lt;&gt;""""))), LEN(INDEX(FILTER(I$1:I1940, I$1:I1940&lt;&gt;""""),COUNTA(FILTER(I$1:I1940, I$1:I1940&lt;&gt;""""))))-1), IF('To Order'!$A1941=COL"&amp;"UMNS($A1941:I1960), I1940&amp;RIGHT(INDIRECT(ADDRESS(ROW(I1941)-1, 'From Order'!$A1941)), 1), I1940))"),"DVDTMZHZDMTTGMJRRVBBHFS")</f>
        <v>DVDTMZHZDMTTGMJRRVBBHFS</v>
      </c>
    </row>
    <row r="1942">
      <c r="A1942" s="2" t="str">
        <f>IFERROR(__xludf.DUMMYFUNCTION("IF('From Order'!$A1942=COLUMNS($A1942:A1961), LEFT(INDEX(FILTER(A$1:A1941, A$1:A1941&lt;&gt;""""),COUNTA(FILTER(A$1:A1941, A$1:A1941&lt;&gt;""""))), LEN(INDEX(FILTER(A$1:A1941, A$1:A1941&lt;&gt;""""),COUNTA(FILTER(A$1:A1941, A$1:A1941&lt;&gt;""""))))-1), IF('To Order'!$A1942=COL"&amp;"UMNS($A1942:A1961), A1941&amp;RIGHT(INDIRECT(ADDRESS(ROW(A1942)-1, 'From Order'!$A1942)), 1), A1941))"),"")</f>
        <v/>
      </c>
      <c r="B1942" s="2" t="str">
        <f>IFERROR(__xludf.DUMMYFUNCTION("IF('From Order'!$A1942=COLUMNS($A1942:B1961), LEFT(INDEX(FILTER(B$1:B1941, B$1:B1941&lt;&gt;""""),COUNTA(FILTER(B$1:B1941, B$1:B1941&lt;&gt;""""))), LEN(INDEX(FILTER(B$1:B1941, B$1:B1941&lt;&gt;""""),COUNTA(FILTER(B$1:B1941, B$1:B1941&lt;&gt;""""))))-1), IF('To Order'!$A1942=COL"&amp;"UMNS($A1942:B1961), B1941&amp;RIGHT(INDIRECT(ADDRESS(ROW(B1942)-1, 'From Order'!$A1942)), 1), B1941))"),"")</f>
        <v/>
      </c>
      <c r="C1942" s="2" t="str">
        <f>IFERROR(__xludf.DUMMYFUNCTION("IF('From Order'!$A1942=COLUMNS($A1942:C1961), LEFT(INDEX(FILTER(C$1:C1941, C$1:C1941&lt;&gt;""""),COUNTA(FILTER(C$1:C1941, C$1:C1941&lt;&gt;""""))), LEN(INDEX(FILTER(C$1:C1941, C$1:C1941&lt;&gt;""""),COUNTA(FILTER(C$1:C1941, C$1:C1941&lt;&gt;""""))))-1), IF('To Order'!$A1942=COL"&amp;"UMNS($A1942:C1961), C1941&amp;RIGHT(INDIRECT(ADDRESS(ROW(C1942)-1, 'From Order'!$A1942)), 1), C1941))"),"")</f>
        <v/>
      </c>
      <c r="D1942" s="2" t="str">
        <f>IFERROR(__xludf.DUMMYFUNCTION("IF('From Order'!$A1942=COLUMNS($A1942:D1961), LEFT(INDEX(FILTER(D$1:D1941, D$1:D1941&lt;&gt;""""),COUNTA(FILTER(D$1:D1941, D$1:D1941&lt;&gt;""""))), LEN(INDEX(FILTER(D$1:D1941, D$1:D1941&lt;&gt;""""),COUNTA(FILTER(D$1:D1941, D$1:D1941&lt;&gt;""""))))-1), IF('To Order'!$A1942=COL"&amp;"UMNS($A1942:D1961), D1941&amp;RIGHT(INDIRECT(ADDRESS(ROW(D1942)-1, 'From Order'!$A1942)), 1), D1941))"),"RBJC")</f>
        <v>RBJC</v>
      </c>
      <c r="E1942" s="2" t="str">
        <f>IFERROR(__xludf.DUMMYFUNCTION("IF('From Order'!$A1942=COLUMNS($A1942:E1961), LEFT(INDEX(FILTER(E$1:E1941, E$1:E1941&lt;&gt;""""),COUNTA(FILTER(E$1:E1941, E$1:E1941&lt;&gt;""""))), LEN(INDEX(FILTER(E$1:E1941, E$1:E1941&lt;&gt;""""),COUNTA(FILTER(E$1:E1941, E$1:E1941&lt;&gt;""""))))-1), IF('To Order'!$A1942=COL"&amp;"UMNS($A1942:E1961), E1941&amp;RIGHT(INDIRECT(ADDRESS(ROW(E1942)-1, 'From Order'!$A1942)), 1), E1941))"),"CRG")</f>
        <v>CRG</v>
      </c>
      <c r="F1942" s="2" t="str">
        <f>IFERROR(__xludf.DUMMYFUNCTION("IF('From Order'!$A1942=COLUMNS($A1942:F1961), LEFT(INDEX(FILTER(F$1:F1941, F$1:F1941&lt;&gt;""""),COUNTA(FILTER(F$1:F1941, F$1:F1941&lt;&gt;""""))), LEN(INDEX(FILTER(F$1:F1941, F$1:F1941&lt;&gt;""""),COUNTA(FILTER(F$1:F1941, F$1:F1941&lt;&gt;""""))))-1), IF('To Order'!$A1942=COL"&amp;"UMNS($A1942:F1961), F1941&amp;RIGHT(INDIRECT(ADDRESS(ROW(F1942)-1, 'From Order'!$A1942)), 1), F1941))"),"LDSPBFLLWDDVQJPPSSTWZ")</f>
        <v>LDSPBFLLWDDVQJPPSSTWZ</v>
      </c>
      <c r="G1942" s="2" t="str">
        <f>IFERROR(__xludf.DUMMYFUNCTION("IF('From Order'!$A1942=COLUMNS($A1942:G1961), LEFT(INDEX(FILTER(G$1:G1941, G$1:G1941&lt;&gt;""""),COUNTA(FILTER(G$1:G1941, G$1:G1941&lt;&gt;""""))), LEN(INDEX(FILTER(G$1:G1941, G$1:G1941&lt;&gt;""""),COUNTA(FILTER(G$1:G1941, G$1:G1941&lt;&gt;""""))))-1), IF('To Order'!$A1942=COL"&amp;"UMNS($A1942:G1961), G1941&amp;RIGHT(INDIRECT(ADDRESS(ROW(G1942)-1, 'From Order'!$A1942)), 1), G1941))"),"")</f>
        <v/>
      </c>
      <c r="H1942" s="2" t="str">
        <f>IFERROR(__xludf.DUMMYFUNCTION("IF('From Order'!$A1942=COLUMNS($A1942:H1961), LEFT(INDEX(FILTER(H$1:H1941, H$1:H1941&lt;&gt;""""),COUNTA(FILTER(H$1:H1941, H$1:H1941&lt;&gt;""""))), LEN(INDEX(FILTER(H$1:H1941, H$1:H1941&lt;&gt;""""),COUNTA(FILTER(H$1:H1941, H$1:H1941&lt;&gt;""""))))-1), IF('To Order'!$A1942=COL"&amp;"UMNS($A1942:H1961), H1941&amp;RIGHT(INDIRECT(ADDRESS(ROW(H1942)-1, 'From Order'!$A1942)), 1), H1941))"),"QTRT")</f>
        <v>QTRT</v>
      </c>
      <c r="I1942" s="2" t="str">
        <f>IFERROR(__xludf.DUMMYFUNCTION("IF('From Order'!$A1942=COLUMNS($A1942:I1961), LEFT(INDEX(FILTER(I$1:I1941, I$1:I1941&lt;&gt;""""),COUNTA(FILTER(I$1:I1941, I$1:I1941&lt;&gt;""""))), LEN(INDEX(FILTER(I$1:I1941, I$1:I1941&lt;&gt;""""),COUNTA(FILTER(I$1:I1941, I$1:I1941&lt;&gt;""""))))-1), IF('To Order'!$A1942=COL"&amp;"UMNS($A1942:I1961), I1941&amp;RIGHT(INDIRECT(ADDRESS(ROW(I1942)-1, 'From Order'!$A1942)), 1), I1941))"),"DVDTMZHZDMTTGMJRRVBBHFSC")</f>
        <v>DVDTMZHZDMTTGMJRRVBBHFSC</v>
      </c>
    </row>
    <row r="1943">
      <c r="A1943" s="2" t="str">
        <f>IFERROR(__xludf.DUMMYFUNCTION("IF('From Order'!$A1943=COLUMNS($A1943:A1962), LEFT(INDEX(FILTER(A$1:A1942, A$1:A1942&lt;&gt;""""),COUNTA(FILTER(A$1:A1942, A$1:A1942&lt;&gt;""""))), LEN(INDEX(FILTER(A$1:A1942, A$1:A1942&lt;&gt;""""),COUNTA(FILTER(A$1:A1942, A$1:A1942&lt;&gt;""""))))-1), IF('To Order'!$A1943=COL"&amp;"UMNS($A1943:A1962), A1942&amp;RIGHT(INDIRECT(ADDRESS(ROW(A1943)-1, 'From Order'!$A1943)), 1), A1942))"),"")</f>
        <v/>
      </c>
      <c r="B1943" s="2" t="str">
        <f>IFERROR(__xludf.DUMMYFUNCTION("IF('From Order'!$A1943=COLUMNS($A1943:B1962), LEFT(INDEX(FILTER(B$1:B1942, B$1:B1942&lt;&gt;""""),COUNTA(FILTER(B$1:B1942, B$1:B1942&lt;&gt;""""))), LEN(INDEX(FILTER(B$1:B1942, B$1:B1942&lt;&gt;""""),COUNTA(FILTER(B$1:B1942, B$1:B1942&lt;&gt;""""))))-1), IF('To Order'!$A1943=COL"&amp;"UMNS($A1943:B1962), B1942&amp;RIGHT(INDIRECT(ADDRESS(ROW(B1943)-1, 'From Order'!$A1943)), 1), B1942))"),"")</f>
        <v/>
      </c>
      <c r="C1943" s="2" t="str">
        <f>IFERROR(__xludf.DUMMYFUNCTION("IF('From Order'!$A1943=COLUMNS($A1943:C1962), LEFT(INDEX(FILTER(C$1:C1942, C$1:C1942&lt;&gt;""""),COUNTA(FILTER(C$1:C1942, C$1:C1942&lt;&gt;""""))), LEN(INDEX(FILTER(C$1:C1942, C$1:C1942&lt;&gt;""""),COUNTA(FILTER(C$1:C1942, C$1:C1942&lt;&gt;""""))))-1), IF('To Order'!$A1943=COL"&amp;"UMNS($A1943:C1962), C1942&amp;RIGHT(INDIRECT(ADDRESS(ROW(C1943)-1, 'From Order'!$A1943)), 1), C1942))"),"")</f>
        <v/>
      </c>
      <c r="D1943" s="2" t="str">
        <f>IFERROR(__xludf.DUMMYFUNCTION("IF('From Order'!$A1943=COLUMNS($A1943:D1962), LEFT(INDEX(FILTER(D$1:D1942, D$1:D1942&lt;&gt;""""),COUNTA(FILTER(D$1:D1942, D$1:D1942&lt;&gt;""""))), LEN(INDEX(FILTER(D$1:D1942, D$1:D1942&lt;&gt;""""),COUNTA(FILTER(D$1:D1942, D$1:D1942&lt;&gt;""""))))-1), IF('To Order'!$A1943=COL"&amp;"UMNS($A1943:D1962), D1942&amp;RIGHT(INDIRECT(ADDRESS(ROW(D1943)-1, 'From Order'!$A1943)), 1), D1942))"),"RBJC")</f>
        <v>RBJC</v>
      </c>
      <c r="E1943" s="2" t="str">
        <f>IFERROR(__xludf.DUMMYFUNCTION("IF('From Order'!$A1943=COLUMNS($A1943:E1962), LEFT(INDEX(FILTER(E$1:E1942, E$1:E1942&lt;&gt;""""),COUNTA(FILTER(E$1:E1942, E$1:E1942&lt;&gt;""""))), LEN(INDEX(FILTER(E$1:E1942, E$1:E1942&lt;&gt;""""),COUNTA(FILTER(E$1:E1942, E$1:E1942&lt;&gt;""""))))-1), IF('To Order'!$A1943=COL"&amp;"UMNS($A1943:E1962), E1942&amp;RIGHT(INDIRECT(ADDRESS(ROW(E1943)-1, 'From Order'!$A1943)), 1), E1942))"),"CRG")</f>
        <v>CRG</v>
      </c>
      <c r="F1943" s="2" t="str">
        <f>IFERROR(__xludf.DUMMYFUNCTION("IF('From Order'!$A1943=COLUMNS($A1943:F1962), LEFT(INDEX(FILTER(F$1:F1942, F$1:F1942&lt;&gt;""""),COUNTA(FILTER(F$1:F1942, F$1:F1942&lt;&gt;""""))), LEN(INDEX(FILTER(F$1:F1942, F$1:F1942&lt;&gt;""""),COUNTA(FILTER(F$1:F1942, F$1:F1942&lt;&gt;""""))))-1), IF('To Order'!$A1943=COL"&amp;"UMNS($A1943:F1962), F1942&amp;RIGHT(INDIRECT(ADDRESS(ROW(F1943)-1, 'From Order'!$A1943)), 1), F1942))"),"LDSPBFLLWDDVQJPPSSTW")</f>
        <v>LDSPBFLLWDDVQJPPSSTW</v>
      </c>
      <c r="G1943" s="2" t="str">
        <f>IFERROR(__xludf.DUMMYFUNCTION("IF('From Order'!$A1943=COLUMNS($A1943:G1962), LEFT(INDEX(FILTER(G$1:G1942, G$1:G1942&lt;&gt;""""),COUNTA(FILTER(G$1:G1942, G$1:G1942&lt;&gt;""""))), LEN(INDEX(FILTER(G$1:G1942, G$1:G1942&lt;&gt;""""),COUNTA(FILTER(G$1:G1942, G$1:G1942&lt;&gt;""""))))-1), IF('To Order'!$A1943=COL"&amp;"UMNS($A1943:G1962), G1942&amp;RIGHT(INDIRECT(ADDRESS(ROW(G1943)-1, 'From Order'!$A1943)), 1), G1942))"),"")</f>
        <v/>
      </c>
      <c r="H1943" s="2" t="str">
        <f>IFERROR(__xludf.DUMMYFUNCTION("IF('From Order'!$A1943=COLUMNS($A1943:H1962), LEFT(INDEX(FILTER(H$1:H1942, H$1:H1942&lt;&gt;""""),COUNTA(FILTER(H$1:H1942, H$1:H1942&lt;&gt;""""))), LEN(INDEX(FILTER(H$1:H1942, H$1:H1942&lt;&gt;""""),COUNTA(FILTER(H$1:H1942, H$1:H1942&lt;&gt;""""))))-1), IF('To Order'!$A1943=COL"&amp;"UMNS($A1943:H1962), H1942&amp;RIGHT(INDIRECT(ADDRESS(ROW(H1943)-1, 'From Order'!$A1943)), 1), H1942))"),"QTRT")</f>
        <v>QTRT</v>
      </c>
      <c r="I1943" s="2" t="str">
        <f>IFERROR(__xludf.DUMMYFUNCTION("IF('From Order'!$A1943=COLUMNS($A1943:I1962), LEFT(INDEX(FILTER(I$1:I1942, I$1:I1942&lt;&gt;""""),COUNTA(FILTER(I$1:I1942, I$1:I1942&lt;&gt;""""))), LEN(INDEX(FILTER(I$1:I1942, I$1:I1942&lt;&gt;""""),COUNTA(FILTER(I$1:I1942, I$1:I1942&lt;&gt;""""))))-1), IF('To Order'!$A1943=COL"&amp;"UMNS($A1943:I1962), I1942&amp;RIGHT(INDIRECT(ADDRESS(ROW(I1943)-1, 'From Order'!$A1943)), 1), I1942))"),"DVDTMZHZDMTTGMJRRVBBHFSCZ")</f>
        <v>DVDTMZHZDMTTGMJRRVBBHFSCZ</v>
      </c>
    </row>
    <row r="1944">
      <c r="A1944" s="2" t="str">
        <f>IFERROR(__xludf.DUMMYFUNCTION("IF('From Order'!$A1944=COLUMNS($A1944:A1963), LEFT(INDEX(FILTER(A$1:A1943, A$1:A1943&lt;&gt;""""),COUNTA(FILTER(A$1:A1943, A$1:A1943&lt;&gt;""""))), LEN(INDEX(FILTER(A$1:A1943, A$1:A1943&lt;&gt;""""),COUNTA(FILTER(A$1:A1943, A$1:A1943&lt;&gt;""""))))-1), IF('To Order'!$A1944=COL"&amp;"UMNS($A1944:A1963), A1943&amp;RIGHT(INDIRECT(ADDRESS(ROW(A1944)-1, 'From Order'!$A1944)), 1), A1943))"),"")</f>
        <v/>
      </c>
      <c r="B1944" s="2" t="str">
        <f>IFERROR(__xludf.DUMMYFUNCTION("IF('From Order'!$A1944=COLUMNS($A1944:B1963), LEFT(INDEX(FILTER(B$1:B1943, B$1:B1943&lt;&gt;""""),COUNTA(FILTER(B$1:B1943, B$1:B1943&lt;&gt;""""))), LEN(INDEX(FILTER(B$1:B1943, B$1:B1943&lt;&gt;""""),COUNTA(FILTER(B$1:B1943, B$1:B1943&lt;&gt;""""))))-1), IF('To Order'!$A1944=COL"&amp;"UMNS($A1944:B1963), B1943&amp;RIGHT(INDIRECT(ADDRESS(ROW(B1944)-1, 'From Order'!$A1944)), 1), B1943))"),"")</f>
        <v/>
      </c>
      <c r="C1944" s="2" t="str">
        <f>IFERROR(__xludf.DUMMYFUNCTION("IF('From Order'!$A1944=COLUMNS($A1944:C1963), LEFT(INDEX(FILTER(C$1:C1943, C$1:C1943&lt;&gt;""""),COUNTA(FILTER(C$1:C1943, C$1:C1943&lt;&gt;""""))), LEN(INDEX(FILTER(C$1:C1943, C$1:C1943&lt;&gt;""""),COUNTA(FILTER(C$1:C1943, C$1:C1943&lt;&gt;""""))))-1), IF('To Order'!$A1944=COL"&amp;"UMNS($A1944:C1963), C1943&amp;RIGHT(INDIRECT(ADDRESS(ROW(C1944)-1, 'From Order'!$A1944)), 1), C1943))"),"")</f>
        <v/>
      </c>
      <c r="D1944" s="2" t="str">
        <f>IFERROR(__xludf.DUMMYFUNCTION("IF('From Order'!$A1944=COLUMNS($A1944:D1963), LEFT(INDEX(FILTER(D$1:D1943, D$1:D1943&lt;&gt;""""),COUNTA(FILTER(D$1:D1943, D$1:D1943&lt;&gt;""""))), LEN(INDEX(FILTER(D$1:D1943, D$1:D1943&lt;&gt;""""),COUNTA(FILTER(D$1:D1943, D$1:D1943&lt;&gt;""""))))-1), IF('To Order'!$A1944=COL"&amp;"UMNS($A1944:D1963), D1943&amp;RIGHT(INDIRECT(ADDRESS(ROW(D1944)-1, 'From Order'!$A1944)), 1), D1943))"),"RBJC")</f>
        <v>RBJC</v>
      </c>
      <c r="E1944" s="2" t="str">
        <f>IFERROR(__xludf.DUMMYFUNCTION("IF('From Order'!$A1944=COLUMNS($A1944:E1963), LEFT(INDEX(FILTER(E$1:E1943, E$1:E1943&lt;&gt;""""),COUNTA(FILTER(E$1:E1943, E$1:E1943&lt;&gt;""""))), LEN(INDEX(FILTER(E$1:E1943, E$1:E1943&lt;&gt;""""),COUNTA(FILTER(E$1:E1943, E$1:E1943&lt;&gt;""""))))-1), IF('To Order'!$A1944=COL"&amp;"UMNS($A1944:E1963), E1943&amp;RIGHT(INDIRECT(ADDRESS(ROW(E1944)-1, 'From Order'!$A1944)), 1), E1943))"),"CRG")</f>
        <v>CRG</v>
      </c>
      <c r="F1944" s="2" t="str">
        <f>IFERROR(__xludf.DUMMYFUNCTION("IF('From Order'!$A1944=COLUMNS($A1944:F1963), LEFT(INDEX(FILTER(F$1:F1943, F$1:F1943&lt;&gt;""""),COUNTA(FILTER(F$1:F1943, F$1:F1943&lt;&gt;""""))), LEN(INDEX(FILTER(F$1:F1943, F$1:F1943&lt;&gt;""""),COUNTA(FILTER(F$1:F1943, F$1:F1943&lt;&gt;""""))))-1), IF('To Order'!$A1944=COL"&amp;"UMNS($A1944:F1963), F1943&amp;RIGHT(INDIRECT(ADDRESS(ROW(F1944)-1, 'From Order'!$A1944)), 1), F1943))"),"LDSPBFLLWDDVQJPPSST")</f>
        <v>LDSPBFLLWDDVQJPPSST</v>
      </c>
      <c r="G1944" s="2" t="str">
        <f>IFERROR(__xludf.DUMMYFUNCTION("IF('From Order'!$A1944=COLUMNS($A1944:G1963), LEFT(INDEX(FILTER(G$1:G1943, G$1:G1943&lt;&gt;""""),COUNTA(FILTER(G$1:G1943, G$1:G1943&lt;&gt;""""))), LEN(INDEX(FILTER(G$1:G1943, G$1:G1943&lt;&gt;""""),COUNTA(FILTER(G$1:G1943, G$1:G1943&lt;&gt;""""))))-1), IF('To Order'!$A1944=COL"&amp;"UMNS($A1944:G1963), G1943&amp;RIGHT(INDIRECT(ADDRESS(ROW(G1944)-1, 'From Order'!$A1944)), 1), G1943))"),"")</f>
        <v/>
      </c>
      <c r="H1944" s="2" t="str">
        <f>IFERROR(__xludf.DUMMYFUNCTION("IF('From Order'!$A1944=COLUMNS($A1944:H1963), LEFT(INDEX(FILTER(H$1:H1943, H$1:H1943&lt;&gt;""""),COUNTA(FILTER(H$1:H1943, H$1:H1943&lt;&gt;""""))), LEN(INDEX(FILTER(H$1:H1943, H$1:H1943&lt;&gt;""""),COUNTA(FILTER(H$1:H1943, H$1:H1943&lt;&gt;""""))))-1), IF('To Order'!$A1944=COL"&amp;"UMNS($A1944:H1963), H1943&amp;RIGHT(INDIRECT(ADDRESS(ROW(H1944)-1, 'From Order'!$A1944)), 1), H1943))"),"QTRT")</f>
        <v>QTRT</v>
      </c>
      <c r="I1944" s="2" t="str">
        <f>IFERROR(__xludf.DUMMYFUNCTION("IF('From Order'!$A1944=COLUMNS($A1944:I1963), LEFT(INDEX(FILTER(I$1:I1943, I$1:I1943&lt;&gt;""""),COUNTA(FILTER(I$1:I1943, I$1:I1943&lt;&gt;""""))), LEN(INDEX(FILTER(I$1:I1943, I$1:I1943&lt;&gt;""""),COUNTA(FILTER(I$1:I1943, I$1:I1943&lt;&gt;""""))))-1), IF('To Order'!$A1944=COL"&amp;"UMNS($A1944:I1963), I1943&amp;RIGHT(INDIRECT(ADDRESS(ROW(I1944)-1, 'From Order'!$A1944)), 1), I1943))"),"DVDTMZHZDMTTGMJRRVBBHFSCZW")</f>
        <v>DVDTMZHZDMTTGMJRRVBBHFSCZW</v>
      </c>
    </row>
    <row r="1945">
      <c r="A1945" s="2" t="str">
        <f>IFERROR(__xludf.DUMMYFUNCTION("IF('From Order'!$A1945=COLUMNS($A1945:A1964), LEFT(INDEX(FILTER(A$1:A1944, A$1:A1944&lt;&gt;""""),COUNTA(FILTER(A$1:A1944, A$1:A1944&lt;&gt;""""))), LEN(INDEX(FILTER(A$1:A1944, A$1:A1944&lt;&gt;""""),COUNTA(FILTER(A$1:A1944, A$1:A1944&lt;&gt;""""))))-1), IF('To Order'!$A1945=COL"&amp;"UMNS($A1945:A1964), A1944&amp;RIGHT(INDIRECT(ADDRESS(ROW(A1945)-1, 'From Order'!$A1945)), 1), A1944))"),"")</f>
        <v/>
      </c>
      <c r="B1945" s="2" t="str">
        <f>IFERROR(__xludf.DUMMYFUNCTION("IF('From Order'!$A1945=COLUMNS($A1945:B1964), LEFT(INDEX(FILTER(B$1:B1944, B$1:B1944&lt;&gt;""""),COUNTA(FILTER(B$1:B1944, B$1:B1944&lt;&gt;""""))), LEN(INDEX(FILTER(B$1:B1944, B$1:B1944&lt;&gt;""""),COUNTA(FILTER(B$1:B1944, B$1:B1944&lt;&gt;""""))))-1), IF('To Order'!$A1945=COL"&amp;"UMNS($A1945:B1964), B1944&amp;RIGHT(INDIRECT(ADDRESS(ROW(B1945)-1, 'From Order'!$A1945)), 1), B1944))"),"")</f>
        <v/>
      </c>
      <c r="C1945" s="2" t="str">
        <f>IFERROR(__xludf.DUMMYFUNCTION("IF('From Order'!$A1945=COLUMNS($A1945:C1964), LEFT(INDEX(FILTER(C$1:C1944, C$1:C1944&lt;&gt;""""),COUNTA(FILTER(C$1:C1944, C$1:C1944&lt;&gt;""""))), LEN(INDEX(FILTER(C$1:C1944, C$1:C1944&lt;&gt;""""),COUNTA(FILTER(C$1:C1944, C$1:C1944&lt;&gt;""""))))-1), IF('To Order'!$A1945=COL"&amp;"UMNS($A1945:C1964), C1944&amp;RIGHT(INDIRECT(ADDRESS(ROW(C1945)-1, 'From Order'!$A1945)), 1), C1944))"),"")</f>
        <v/>
      </c>
      <c r="D1945" s="2" t="str">
        <f>IFERROR(__xludf.DUMMYFUNCTION("IF('From Order'!$A1945=COLUMNS($A1945:D1964), LEFT(INDEX(FILTER(D$1:D1944, D$1:D1944&lt;&gt;""""),COUNTA(FILTER(D$1:D1944, D$1:D1944&lt;&gt;""""))), LEN(INDEX(FILTER(D$1:D1944, D$1:D1944&lt;&gt;""""),COUNTA(FILTER(D$1:D1944, D$1:D1944&lt;&gt;""""))))-1), IF('To Order'!$A1945=COL"&amp;"UMNS($A1945:D1964), D1944&amp;RIGHT(INDIRECT(ADDRESS(ROW(D1945)-1, 'From Order'!$A1945)), 1), D1944))"),"RBJC")</f>
        <v>RBJC</v>
      </c>
      <c r="E1945" s="2" t="str">
        <f>IFERROR(__xludf.DUMMYFUNCTION("IF('From Order'!$A1945=COLUMNS($A1945:E1964), LEFT(INDEX(FILTER(E$1:E1944, E$1:E1944&lt;&gt;""""),COUNTA(FILTER(E$1:E1944, E$1:E1944&lt;&gt;""""))), LEN(INDEX(FILTER(E$1:E1944, E$1:E1944&lt;&gt;""""),COUNTA(FILTER(E$1:E1944, E$1:E1944&lt;&gt;""""))))-1), IF('To Order'!$A1945=COL"&amp;"UMNS($A1945:E1964), E1944&amp;RIGHT(INDIRECT(ADDRESS(ROW(E1945)-1, 'From Order'!$A1945)), 1), E1944))"),"CRG")</f>
        <v>CRG</v>
      </c>
      <c r="F1945" s="2" t="str">
        <f>IFERROR(__xludf.DUMMYFUNCTION("IF('From Order'!$A1945=COLUMNS($A1945:F1964), LEFT(INDEX(FILTER(F$1:F1944, F$1:F1944&lt;&gt;""""),COUNTA(FILTER(F$1:F1944, F$1:F1944&lt;&gt;""""))), LEN(INDEX(FILTER(F$1:F1944, F$1:F1944&lt;&gt;""""),COUNTA(FILTER(F$1:F1944, F$1:F1944&lt;&gt;""""))))-1), IF('To Order'!$A1945=COL"&amp;"UMNS($A1945:F1964), F1944&amp;RIGHT(INDIRECT(ADDRESS(ROW(F1945)-1, 'From Order'!$A1945)), 1), F1944))"),"LDSPBFLLWDDVQJPPSS")</f>
        <v>LDSPBFLLWDDVQJPPSS</v>
      </c>
      <c r="G1945" s="2" t="str">
        <f>IFERROR(__xludf.DUMMYFUNCTION("IF('From Order'!$A1945=COLUMNS($A1945:G1964), LEFT(INDEX(FILTER(G$1:G1944, G$1:G1944&lt;&gt;""""),COUNTA(FILTER(G$1:G1944, G$1:G1944&lt;&gt;""""))), LEN(INDEX(FILTER(G$1:G1944, G$1:G1944&lt;&gt;""""),COUNTA(FILTER(G$1:G1944, G$1:G1944&lt;&gt;""""))))-1), IF('To Order'!$A1945=COL"&amp;"UMNS($A1945:G1964), G1944&amp;RIGHT(INDIRECT(ADDRESS(ROW(G1945)-1, 'From Order'!$A1945)), 1), G1944))"),"")</f>
        <v/>
      </c>
      <c r="H1945" s="2" t="str">
        <f>IFERROR(__xludf.DUMMYFUNCTION("IF('From Order'!$A1945=COLUMNS($A1945:H1964), LEFT(INDEX(FILTER(H$1:H1944, H$1:H1944&lt;&gt;""""),COUNTA(FILTER(H$1:H1944, H$1:H1944&lt;&gt;""""))), LEN(INDEX(FILTER(H$1:H1944, H$1:H1944&lt;&gt;""""),COUNTA(FILTER(H$1:H1944, H$1:H1944&lt;&gt;""""))))-1), IF('To Order'!$A1945=COL"&amp;"UMNS($A1945:H1964), H1944&amp;RIGHT(INDIRECT(ADDRESS(ROW(H1945)-1, 'From Order'!$A1945)), 1), H1944))"),"QTRT")</f>
        <v>QTRT</v>
      </c>
      <c r="I1945" s="2" t="str">
        <f>IFERROR(__xludf.DUMMYFUNCTION("IF('From Order'!$A1945=COLUMNS($A1945:I1964), LEFT(INDEX(FILTER(I$1:I1944, I$1:I1944&lt;&gt;""""),COUNTA(FILTER(I$1:I1944, I$1:I1944&lt;&gt;""""))), LEN(INDEX(FILTER(I$1:I1944, I$1:I1944&lt;&gt;""""),COUNTA(FILTER(I$1:I1944, I$1:I1944&lt;&gt;""""))))-1), IF('To Order'!$A1945=COL"&amp;"UMNS($A1945:I1964), I1944&amp;RIGHT(INDIRECT(ADDRESS(ROW(I1945)-1, 'From Order'!$A1945)), 1), I1944))"),"DVDTMZHZDMTTGMJRRVBBHFSCZWT")</f>
        <v>DVDTMZHZDMTTGMJRRVBBHFSCZWT</v>
      </c>
    </row>
    <row r="1946">
      <c r="A1946" s="2" t="str">
        <f>IFERROR(__xludf.DUMMYFUNCTION("IF('From Order'!$A1946=COLUMNS($A1946:A1965), LEFT(INDEX(FILTER(A$1:A1945, A$1:A1945&lt;&gt;""""),COUNTA(FILTER(A$1:A1945, A$1:A1945&lt;&gt;""""))), LEN(INDEX(FILTER(A$1:A1945, A$1:A1945&lt;&gt;""""),COUNTA(FILTER(A$1:A1945, A$1:A1945&lt;&gt;""""))))-1), IF('To Order'!$A1946=COL"&amp;"UMNS($A1946:A1965), A1945&amp;RIGHT(INDIRECT(ADDRESS(ROW(A1946)-1, 'From Order'!$A1946)), 1), A1945))"),"")</f>
        <v/>
      </c>
      <c r="B1946" s="2" t="str">
        <f>IFERROR(__xludf.DUMMYFUNCTION("IF('From Order'!$A1946=COLUMNS($A1946:B1965), LEFT(INDEX(FILTER(B$1:B1945, B$1:B1945&lt;&gt;""""),COUNTA(FILTER(B$1:B1945, B$1:B1945&lt;&gt;""""))), LEN(INDEX(FILTER(B$1:B1945, B$1:B1945&lt;&gt;""""),COUNTA(FILTER(B$1:B1945, B$1:B1945&lt;&gt;""""))))-1), IF('To Order'!$A1946=COL"&amp;"UMNS($A1946:B1965), B1945&amp;RIGHT(INDIRECT(ADDRESS(ROW(B1946)-1, 'From Order'!$A1946)), 1), B1945))"),"")</f>
        <v/>
      </c>
      <c r="C1946" s="2" t="str">
        <f>IFERROR(__xludf.DUMMYFUNCTION("IF('From Order'!$A1946=COLUMNS($A1946:C1965), LEFT(INDEX(FILTER(C$1:C1945, C$1:C1945&lt;&gt;""""),COUNTA(FILTER(C$1:C1945, C$1:C1945&lt;&gt;""""))), LEN(INDEX(FILTER(C$1:C1945, C$1:C1945&lt;&gt;""""),COUNTA(FILTER(C$1:C1945, C$1:C1945&lt;&gt;""""))))-1), IF('To Order'!$A1946=COL"&amp;"UMNS($A1946:C1965), C1945&amp;RIGHT(INDIRECT(ADDRESS(ROW(C1946)-1, 'From Order'!$A1946)), 1), C1945))"),"")</f>
        <v/>
      </c>
      <c r="D1946" s="2" t="str">
        <f>IFERROR(__xludf.DUMMYFUNCTION("IF('From Order'!$A1946=COLUMNS($A1946:D1965), LEFT(INDEX(FILTER(D$1:D1945, D$1:D1945&lt;&gt;""""),COUNTA(FILTER(D$1:D1945, D$1:D1945&lt;&gt;""""))), LEN(INDEX(FILTER(D$1:D1945, D$1:D1945&lt;&gt;""""),COUNTA(FILTER(D$1:D1945, D$1:D1945&lt;&gt;""""))))-1), IF('To Order'!$A1946=COL"&amp;"UMNS($A1946:D1965), D1945&amp;RIGHT(INDIRECT(ADDRESS(ROW(D1946)-1, 'From Order'!$A1946)), 1), D1945))"),"RBJC")</f>
        <v>RBJC</v>
      </c>
      <c r="E1946" s="2" t="str">
        <f>IFERROR(__xludf.DUMMYFUNCTION("IF('From Order'!$A1946=COLUMNS($A1946:E1965), LEFT(INDEX(FILTER(E$1:E1945, E$1:E1945&lt;&gt;""""),COUNTA(FILTER(E$1:E1945, E$1:E1945&lt;&gt;""""))), LEN(INDEX(FILTER(E$1:E1945, E$1:E1945&lt;&gt;""""),COUNTA(FILTER(E$1:E1945, E$1:E1945&lt;&gt;""""))))-1), IF('To Order'!$A1946=COL"&amp;"UMNS($A1946:E1965), E1945&amp;RIGHT(INDIRECT(ADDRESS(ROW(E1946)-1, 'From Order'!$A1946)), 1), E1945))"),"CRG")</f>
        <v>CRG</v>
      </c>
      <c r="F1946" s="2" t="str">
        <f>IFERROR(__xludf.DUMMYFUNCTION("IF('From Order'!$A1946=COLUMNS($A1946:F1965), LEFT(INDEX(FILTER(F$1:F1945, F$1:F1945&lt;&gt;""""),COUNTA(FILTER(F$1:F1945, F$1:F1945&lt;&gt;""""))), LEN(INDEX(FILTER(F$1:F1945, F$1:F1945&lt;&gt;""""),COUNTA(FILTER(F$1:F1945, F$1:F1945&lt;&gt;""""))))-1), IF('To Order'!$A1946=COL"&amp;"UMNS($A1946:F1965), F1945&amp;RIGHT(INDIRECT(ADDRESS(ROW(F1946)-1, 'From Order'!$A1946)), 1), F1945))"),"LDSPBFLLWDDVQJPPS")</f>
        <v>LDSPBFLLWDDVQJPPS</v>
      </c>
      <c r="G1946" s="2" t="str">
        <f>IFERROR(__xludf.DUMMYFUNCTION("IF('From Order'!$A1946=COLUMNS($A1946:G1965), LEFT(INDEX(FILTER(G$1:G1945, G$1:G1945&lt;&gt;""""),COUNTA(FILTER(G$1:G1945, G$1:G1945&lt;&gt;""""))), LEN(INDEX(FILTER(G$1:G1945, G$1:G1945&lt;&gt;""""),COUNTA(FILTER(G$1:G1945, G$1:G1945&lt;&gt;""""))))-1), IF('To Order'!$A1946=COL"&amp;"UMNS($A1946:G1965), G1945&amp;RIGHT(INDIRECT(ADDRESS(ROW(G1946)-1, 'From Order'!$A1946)), 1), G1945))"),"")</f>
        <v/>
      </c>
      <c r="H1946" s="2" t="str">
        <f>IFERROR(__xludf.DUMMYFUNCTION("IF('From Order'!$A1946=COLUMNS($A1946:H1965), LEFT(INDEX(FILTER(H$1:H1945, H$1:H1945&lt;&gt;""""),COUNTA(FILTER(H$1:H1945, H$1:H1945&lt;&gt;""""))), LEN(INDEX(FILTER(H$1:H1945, H$1:H1945&lt;&gt;""""),COUNTA(FILTER(H$1:H1945, H$1:H1945&lt;&gt;""""))))-1), IF('To Order'!$A1946=COL"&amp;"UMNS($A1946:H1965), H1945&amp;RIGHT(INDIRECT(ADDRESS(ROW(H1946)-1, 'From Order'!$A1946)), 1), H1945))"),"QTRT")</f>
        <v>QTRT</v>
      </c>
      <c r="I1946" s="2" t="str">
        <f>IFERROR(__xludf.DUMMYFUNCTION("IF('From Order'!$A1946=COLUMNS($A1946:I1965), LEFT(INDEX(FILTER(I$1:I1945, I$1:I1945&lt;&gt;""""),COUNTA(FILTER(I$1:I1945, I$1:I1945&lt;&gt;""""))), LEN(INDEX(FILTER(I$1:I1945, I$1:I1945&lt;&gt;""""),COUNTA(FILTER(I$1:I1945, I$1:I1945&lt;&gt;""""))))-1), IF('To Order'!$A1946=COL"&amp;"UMNS($A1946:I1965), I1945&amp;RIGHT(INDIRECT(ADDRESS(ROW(I1946)-1, 'From Order'!$A1946)), 1), I1945))"),"DVDTMZHZDMTTGMJRRVBBHFSCZWTS")</f>
        <v>DVDTMZHZDMTTGMJRRVBBHFSCZWTS</v>
      </c>
    </row>
    <row r="1947">
      <c r="A1947" s="2" t="str">
        <f>IFERROR(__xludf.DUMMYFUNCTION("IF('From Order'!$A1947=COLUMNS($A1947:A1966), LEFT(INDEX(FILTER(A$1:A1946, A$1:A1946&lt;&gt;""""),COUNTA(FILTER(A$1:A1946, A$1:A1946&lt;&gt;""""))), LEN(INDEX(FILTER(A$1:A1946, A$1:A1946&lt;&gt;""""),COUNTA(FILTER(A$1:A1946, A$1:A1946&lt;&gt;""""))))-1), IF('To Order'!$A1947=COL"&amp;"UMNS($A1947:A1966), A1946&amp;RIGHT(INDIRECT(ADDRESS(ROW(A1947)-1, 'From Order'!$A1947)), 1), A1946))"),"")</f>
        <v/>
      </c>
      <c r="B1947" s="2" t="str">
        <f>IFERROR(__xludf.DUMMYFUNCTION("IF('From Order'!$A1947=COLUMNS($A1947:B1966), LEFT(INDEX(FILTER(B$1:B1946, B$1:B1946&lt;&gt;""""),COUNTA(FILTER(B$1:B1946, B$1:B1946&lt;&gt;""""))), LEN(INDEX(FILTER(B$1:B1946, B$1:B1946&lt;&gt;""""),COUNTA(FILTER(B$1:B1946, B$1:B1946&lt;&gt;""""))))-1), IF('To Order'!$A1947=COL"&amp;"UMNS($A1947:B1966), B1946&amp;RIGHT(INDIRECT(ADDRESS(ROW(B1947)-1, 'From Order'!$A1947)), 1), B1946))"),"")</f>
        <v/>
      </c>
      <c r="C1947" s="2" t="str">
        <f>IFERROR(__xludf.DUMMYFUNCTION("IF('From Order'!$A1947=COLUMNS($A1947:C1966), LEFT(INDEX(FILTER(C$1:C1946, C$1:C1946&lt;&gt;""""),COUNTA(FILTER(C$1:C1946, C$1:C1946&lt;&gt;""""))), LEN(INDEX(FILTER(C$1:C1946, C$1:C1946&lt;&gt;""""),COUNTA(FILTER(C$1:C1946, C$1:C1946&lt;&gt;""""))))-1), IF('To Order'!$A1947=COL"&amp;"UMNS($A1947:C1966), C1946&amp;RIGHT(INDIRECT(ADDRESS(ROW(C1947)-1, 'From Order'!$A1947)), 1), C1946))"),"")</f>
        <v/>
      </c>
      <c r="D1947" s="2" t="str">
        <f>IFERROR(__xludf.DUMMYFUNCTION("IF('From Order'!$A1947=COLUMNS($A1947:D1966), LEFT(INDEX(FILTER(D$1:D1946, D$1:D1946&lt;&gt;""""),COUNTA(FILTER(D$1:D1946, D$1:D1946&lt;&gt;""""))), LEN(INDEX(FILTER(D$1:D1946, D$1:D1946&lt;&gt;""""),COUNTA(FILTER(D$1:D1946, D$1:D1946&lt;&gt;""""))))-1), IF('To Order'!$A1947=COL"&amp;"UMNS($A1947:D1966), D1946&amp;RIGHT(INDIRECT(ADDRESS(ROW(D1947)-1, 'From Order'!$A1947)), 1), D1946))"),"RBJC")</f>
        <v>RBJC</v>
      </c>
      <c r="E1947" s="2" t="str">
        <f>IFERROR(__xludf.DUMMYFUNCTION("IF('From Order'!$A1947=COLUMNS($A1947:E1966), LEFT(INDEX(FILTER(E$1:E1946, E$1:E1946&lt;&gt;""""),COUNTA(FILTER(E$1:E1946, E$1:E1946&lt;&gt;""""))), LEN(INDEX(FILTER(E$1:E1946, E$1:E1946&lt;&gt;""""),COUNTA(FILTER(E$1:E1946, E$1:E1946&lt;&gt;""""))))-1), IF('To Order'!$A1947=COL"&amp;"UMNS($A1947:E1966), E1946&amp;RIGHT(INDIRECT(ADDRESS(ROW(E1947)-1, 'From Order'!$A1947)), 1), E1946))"),"CRG")</f>
        <v>CRG</v>
      </c>
      <c r="F1947" s="2" t="str">
        <f>IFERROR(__xludf.DUMMYFUNCTION("IF('From Order'!$A1947=COLUMNS($A1947:F1966), LEFT(INDEX(FILTER(F$1:F1946, F$1:F1946&lt;&gt;""""),COUNTA(FILTER(F$1:F1946, F$1:F1946&lt;&gt;""""))), LEN(INDEX(FILTER(F$1:F1946, F$1:F1946&lt;&gt;""""),COUNTA(FILTER(F$1:F1946, F$1:F1946&lt;&gt;""""))))-1), IF('To Order'!$A1947=COL"&amp;"UMNS($A1947:F1966), F1946&amp;RIGHT(INDIRECT(ADDRESS(ROW(F1947)-1, 'From Order'!$A1947)), 1), F1946))"),"LDSPBFLLWDDVQJPP")</f>
        <v>LDSPBFLLWDDVQJPP</v>
      </c>
      <c r="G1947" s="2" t="str">
        <f>IFERROR(__xludf.DUMMYFUNCTION("IF('From Order'!$A1947=COLUMNS($A1947:G1966), LEFT(INDEX(FILTER(G$1:G1946, G$1:G1946&lt;&gt;""""),COUNTA(FILTER(G$1:G1946, G$1:G1946&lt;&gt;""""))), LEN(INDEX(FILTER(G$1:G1946, G$1:G1946&lt;&gt;""""),COUNTA(FILTER(G$1:G1946, G$1:G1946&lt;&gt;""""))))-1), IF('To Order'!$A1947=COL"&amp;"UMNS($A1947:G1966), G1946&amp;RIGHT(INDIRECT(ADDRESS(ROW(G1947)-1, 'From Order'!$A1947)), 1), G1946))"),"")</f>
        <v/>
      </c>
      <c r="H1947" s="2" t="str">
        <f>IFERROR(__xludf.DUMMYFUNCTION("IF('From Order'!$A1947=COLUMNS($A1947:H1966), LEFT(INDEX(FILTER(H$1:H1946, H$1:H1946&lt;&gt;""""),COUNTA(FILTER(H$1:H1946, H$1:H1946&lt;&gt;""""))), LEN(INDEX(FILTER(H$1:H1946, H$1:H1946&lt;&gt;""""),COUNTA(FILTER(H$1:H1946, H$1:H1946&lt;&gt;""""))))-1), IF('To Order'!$A1947=COL"&amp;"UMNS($A1947:H1966), H1946&amp;RIGHT(INDIRECT(ADDRESS(ROW(H1947)-1, 'From Order'!$A1947)), 1), H1946))"),"QTRT")</f>
        <v>QTRT</v>
      </c>
      <c r="I1947" s="2" t="str">
        <f>IFERROR(__xludf.DUMMYFUNCTION("IF('From Order'!$A1947=COLUMNS($A1947:I1966), LEFT(INDEX(FILTER(I$1:I1946, I$1:I1946&lt;&gt;""""),COUNTA(FILTER(I$1:I1946, I$1:I1946&lt;&gt;""""))), LEN(INDEX(FILTER(I$1:I1946, I$1:I1946&lt;&gt;""""),COUNTA(FILTER(I$1:I1946, I$1:I1946&lt;&gt;""""))))-1), IF('To Order'!$A1947=COL"&amp;"UMNS($A1947:I1966), I1946&amp;RIGHT(INDIRECT(ADDRESS(ROW(I1947)-1, 'From Order'!$A1947)), 1), I1946))"),"DVDTMZHZDMTTGMJRRVBBHFSCZWTSS")</f>
        <v>DVDTMZHZDMTTGMJRRVBBHFSCZWTSS</v>
      </c>
    </row>
    <row r="1948">
      <c r="A1948" s="2" t="str">
        <f>IFERROR(__xludf.DUMMYFUNCTION("IF('From Order'!$A1948=COLUMNS($A1948:A1967), LEFT(INDEX(FILTER(A$1:A1947, A$1:A1947&lt;&gt;""""),COUNTA(FILTER(A$1:A1947, A$1:A1947&lt;&gt;""""))), LEN(INDEX(FILTER(A$1:A1947, A$1:A1947&lt;&gt;""""),COUNTA(FILTER(A$1:A1947, A$1:A1947&lt;&gt;""""))))-1), IF('To Order'!$A1948=COL"&amp;"UMNS($A1948:A1967), A1947&amp;RIGHT(INDIRECT(ADDRESS(ROW(A1948)-1, 'From Order'!$A1948)), 1), A1947))"),"")</f>
        <v/>
      </c>
      <c r="B1948" s="2" t="str">
        <f>IFERROR(__xludf.DUMMYFUNCTION("IF('From Order'!$A1948=COLUMNS($A1948:B1967), LEFT(INDEX(FILTER(B$1:B1947, B$1:B1947&lt;&gt;""""),COUNTA(FILTER(B$1:B1947, B$1:B1947&lt;&gt;""""))), LEN(INDEX(FILTER(B$1:B1947, B$1:B1947&lt;&gt;""""),COUNTA(FILTER(B$1:B1947, B$1:B1947&lt;&gt;""""))))-1), IF('To Order'!$A1948=COL"&amp;"UMNS($A1948:B1967), B1947&amp;RIGHT(INDIRECT(ADDRESS(ROW(B1948)-1, 'From Order'!$A1948)), 1), B1947))"),"")</f>
        <v/>
      </c>
      <c r="C1948" s="2" t="str">
        <f>IFERROR(__xludf.DUMMYFUNCTION("IF('From Order'!$A1948=COLUMNS($A1948:C1967), LEFT(INDEX(FILTER(C$1:C1947, C$1:C1947&lt;&gt;""""),COUNTA(FILTER(C$1:C1947, C$1:C1947&lt;&gt;""""))), LEN(INDEX(FILTER(C$1:C1947, C$1:C1947&lt;&gt;""""),COUNTA(FILTER(C$1:C1947, C$1:C1947&lt;&gt;""""))))-1), IF('To Order'!$A1948=COL"&amp;"UMNS($A1948:C1967), C1947&amp;RIGHT(INDIRECT(ADDRESS(ROW(C1948)-1, 'From Order'!$A1948)), 1), C1947))"),"")</f>
        <v/>
      </c>
      <c r="D1948" s="2" t="str">
        <f>IFERROR(__xludf.DUMMYFUNCTION("IF('From Order'!$A1948=COLUMNS($A1948:D1967), LEFT(INDEX(FILTER(D$1:D1947, D$1:D1947&lt;&gt;""""),COUNTA(FILTER(D$1:D1947, D$1:D1947&lt;&gt;""""))), LEN(INDEX(FILTER(D$1:D1947, D$1:D1947&lt;&gt;""""),COUNTA(FILTER(D$1:D1947, D$1:D1947&lt;&gt;""""))))-1), IF('To Order'!$A1948=COL"&amp;"UMNS($A1948:D1967), D1947&amp;RIGHT(INDIRECT(ADDRESS(ROW(D1948)-1, 'From Order'!$A1948)), 1), D1947))"),"RBJC")</f>
        <v>RBJC</v>
      </c>
      <c r="E1948" s="2" t="str">
        <f>IFERROR(__xludf.DUMMYFUNCTION("IF('From Order'!$A1948=COLUMNS($A1948:E1967), LEFT(INDEX(FILTER(E$1:E1947, E$1:E1947&lt;&gt;""""),COUNTA(FILTER(E$1:E1947, E$1:E1947&lt;&gt;""""))), LEN(INDEX(FILTER(E$1:E1947, E$1:E1947&lt;&gt;""""),COUNTA(FILTER(E$1:E1947, E$1:E1947&lt;&gt;""""))))-1), IF('To Order'!$A1948=COL"&amp;"UMNS($A1948:E1967), E1947&amp;RIGHT(INDIRECT(ADDRESS(ROW(E1948)-1, 'From Order'!$A1948)), 1), E1947))"),"CRG")</f>
        <v>CRG</v>
      </c>
      <c r="F1948" s="2" t="str">
        <f>IFERROR(__xludf.DUMMYFUNCTION("IF('From Order'!$A1948=COLUMNS($A1948:F1967), LEFT(INDEX(FILTER(F$1:F1947, F$1:F1947&lt;&gt;""""),COUNTA(FILTER(F$1:F1947, F$1:F1947&lt;&gt;""""))), LEN(INDEX(FILTER(F$1:F1947, F$1:F1947&lt;&gt;""""),COUNTA(FILTER(F$1:F1947, F$1:F1947&lt;&gt;""""))))-1), IF('To Order'!$A1948=COL"&amp;"UMNS($A1948:F1967), F1947&amp;RIGHT(INDIRECT(ADDRESS(ROW(F1948)-1, 'From Order'!$A1948)), 1), F1947))"),"LDSPBFLLWDDVQJP")</f>
        <v>LDSPBFLLWDDVQJP</v>
      </c>
      <c r="G1948" s="2" t="str">
        <f>IFERROR(__xludf.DUMMYFUNCTION("IF('From Order'!$A1948=COLUMNS($A1948:G1967), LEFT(INDEX(FILTER(G$1:G1947, G$1:G1947&lt;&gt;""""),COUNTA(FILTER(G$1:G1947, G$1:G1947&lt;&gt;""""))), LEN(INDEX(FILTER(G$1:G1947, G$1:G1947&lt;&gt;""""),COUNTA(FILTER(G$1:G1947, G$1:G1947&lt;&gt;""""))))-1), IF('To Order'!$A1948=COL"&amp;"UMNS($A1948:G1967), G1947&amp;RIGHT(INDIRECT(ADDRESS(ROW(G1948)-1, 'From Order'!$A1948)), 1), G1947))"),"")</f>
        <v/>
      </c>
      <c r="H1948" s="2" t="str">
        <f>IFERROR(__xludf.DUMMYFUNCTION("IF('From Order'!$A1948=COLUMNS($A1948:H1967), LEFT(INDEX(FILTER(H$1:H1947, H$1:H1947&lt;&gt;""""),COUNTA(FILTER(H$1:H1947, H$1:H1947&lt;&gt;""""))), LEN(INDEX(FILTER(H$1:H1947, H$1:H1947&lt;&gt;""""),COUNTA(FILTER(H$1:H1947, H$1:H1947&lt;&gt;""""))))-1), IF('To Order'!$A1948=COL"&amp;"UMNS($A1948:H1967), H1947&amp;RIGHT(INDIRECT(ADDRESS(ROW(H1948)-1, 'From Order'!$A1948)), 1), H1947))"),"QTRT")</f>
        <v>QTRT</v>
      </c>
      <c r="I1948" s="2" t="str">
        <f>IFERROR(__xludf.DUMMYFUNCTION("IF('From Order'!$A1948=COLUMNS($A1948:I1967), LEFT(INDEX(FILTER(I$1:I1947, I$1:I1947&lt;&gt;""""),COUNTA(FILTER(I$1:I1947, I$1:I1947&lt;&gt;""""))), LEN(INDEX(FILTER(I$1:I1947, I$1:I1947&lt;&gt;""""),COUNTA(FILTER(I$1:I1947, I$1:I1947&lt;&gt;""""))))-1), IF('To Order'!$A1948=COL"&amp;"UMNS($A1948:I1967), I1947&amp;RIGHT(INDIRECT(ADDRESS(ROW(I1948)-1, 'From Order'!$A1948)), 1), I1947))"),"DVDTMZHZDMTTGMJRRVBBHFSCZWTSSP")</f>
        <v>DVDTMZHZDMTTGMJRRVBBHFSCZWTSSP</v>
      </c>
    </row>
    <row r="1949">
      <c r="A1949" s="2" t="str">
        <f>IFERROR(__xludf.DUMMYFUNCTION("IF('From Order'!$A1949=COLUMNS($A1949:A1968), LEFT(INDEX(FILTER(A$1:A1948, A$1:A1948&lt;&gt;""""),COUNTA(FILTER(A$1:A1948, A$1:A1948&lt;&gt;""""))), LEN(INDEX(FILTER(A$1:A1948, A$1:A1948&lt;&gt;""""),COUNTA(FILTER(A$1:A1948, A$1:A1948&lt;&gt;""""))))-1), IF('To Order'!$A1949=COL"&amp;"UMNS($A1949:A1968), A1948&amp;RIGHT(INDIRECT(ADDRESS(ROW(A1949)-1, 'From Order'!$A1949)), 1), A1948))"),"")</f>
        <v/>
      </c>
      <c r="B1949" s="2" t="str">
        <f>IFERROR(__xludf.DUMMYFUNCTION("IF('From Order'!$A1949=COLUMNS($A1949:B1968), LEFT(INDEX(FILTER(B$1:B1948, B$1:B1948&lt;&gt;""""),COUNTA(FILTER(B$1:B1948, B$1:B1948&lt;&gt;""""))), LEN(INDEX(FILTER(B$1:B1948, B$1:B1948&lt;&gt;""""),COUNTA(FILTER(B$1:B1948, B$1:B1948&lt;&gt;""""))))-1), IF('To Order'!$A1949=COL"&amp;"UMNS($A1949:B1968), B1948&amp;RIGHT(INDIRECT(ADDRESS(ROW(B1949)-1, 'From Order'!$A1949)), 1), B1948))"),"")</f>
        <v/>
      </c>
      <c r="C1949" s="2" t="str">
        <f>IFERROR(__xludf.DUMMYFUNCTION("IF('From Order'!$A1949=COLUMNS($A1949:C1968), LEFT(INDEX(FILTER(C$1:C1948, C$1:C1948&lt;&gt;""""),COUNTA(FILTER(C$1:C1948, C$1:C1948&lt;&gt;""""))), LEN(INDEX(FILTER(C$1:C1948, C$1:C1948&lt;&gt;""""),COUNTA(FILTER(C$1:C1948, C$1:C1948&lt;&gt;""""))))-1), IF('To Order'!$A1949=COL"&amp;"UMNS($A1949:C1968), C1948&amp;RIGHT(INDIRECT(ADDRESS(ROW(C1949)-1, 'From Order'!$A1949)), 1), C1948))"),"")</f>
        <v/>
      </c>
      <c r="D1949" s="2" t="str">
        <f>IFERROR(__xludf.DUMMYFUNCTION("IF('From Order'!$A1949=COLUMNS($A1949:D1968), LEFT(INDEX(FILTER(D$1:D1948, D$1:D1948&lt;&gt;""""),COUNTA(FILTER(D$1:D1948, D$1:D1948&lt;&gt;""""))), LEN(INDEX(FILTER(D$1:D1948, D$1:D1948&lt;&gt;""""),COUNTA(FILTER(D$1:D1948, D$1:D1948&lt;&gt;""""))))-1), IF('To Order'!$A1949=COL"&amp;"UMNS($A1949:D1968), D1948&amp;RIGHT(INDIRECT(ADDRESS(ROW(D1949)-1, 'From Order'!$A1949)), 1), D1948))"),"RBJC")</f>
        <v>RBJC</v>
      </c>
      <c r="E1949" s="2" t="str">
        <f>IFERROR(__xludf.DUMMYFUNCTION("IF('From Order'!$A1949=COLUMNS($A1949:E1968), LEFT(INDEX(FILTER(E$1:E1948, E$1:E1948&lt;&gt;""""),COUNTA(FILTER(E$1:E1948, E$1:E1948&lt;&gt;""""))), LEN(INDEX(FILTER(E$1:E1948, E$1:E1948&lt;&gt;""""),COUNTA(FILTER(E$1:E1948, E$1:E1948&lt;&gt;""""))))-1), IF('To Order'!$A1949=COL"&amp;"UMNS($A1949:E1968), E1948&amp;RIGHT(INDIRECT(ADDRESS(ROW(E1949)-1, 'From Order'!$A1949)), 1), E1948))"),"CRG")</f>
        <v>CRG</v>
      </c>
      <c r="F1949" s="2" t="str">
        <f>IFERROR(__xludf.DUMMYFUNCTION("IF('From Order'!$A1949=COLUMNS($A1949:F1968), LEFT(INDEX(FILTER(F$1:F1948, F$1:F1948&lt;&gt;""""),COUNTA(FILTER(F$1:F1948, F$1:F1948&lt;&gt;""""))), LEN(INDEX(FILTER(F$1:F1948, F$1:F1948&lt;&gt;""""),COUNTA(FILTER(F$1:F1948, F$1:F1948&lt;&gt;""""))))-1), IF('To Order'!$A1949=COL"&amp;"UMNS($A1949:F1968), F1948&amp;RIGHT(INDIRECT(ADDRESS(ROW(F1949)-1, 'From Order'!$A1949)), 1), F1948))"),"LDSPBFLLWDDVQJ")</f>
        <v>LDSPBFLLWDDVQJ</v>
      </c>
      <c r="G1949" s="2" t="str">
        <f>IFERROR(__xludf.DUMMYFUNCTION("IF('From Order'!$A1949=COLUMNS($A1949:G1968), LEFT(INDEX(FILTER(G$1:G1948, G$1:G1948&lt;&gt;""""),COUNTA(FILTER(G$1:G1948, G$1:G1948&lt;&gt;""""))), LEN(INDEX(FILTER(G$1:G1948, G$1:G1948&lt;&gt;""""),COUNTA(FILTER(G$1:G1948, G$1:G1948&lt;&gt;""""))))-1), IF('To Order'!$A1949=COL"&amp;"UMNS($A1949:G1968), G1948&amp;RIGHT(INDIRECT(ADDRESS(ROW(G1949)-1, 'From Order'!$A1949)), 1), G1948))"),"")</f>
        <v/>
      </c>
      <c r="H1949" s="2" t="str">
        <f>IFERROR(__xludf.DUMMYFUNCTION("IF('From Order'!$A1949=COLUMNS($A1949:H1968), LEFT(INDEX(FILTER(H$1:H1948, H$1:H1948&lt;&gt;""""),COUNTA(FILTER(H$1:H1948, H$1:H1948&lt;&gt;""""))), LEN(INDEX(FILTER(H$1:H1948, H$1:H1948&lt;&gt;""""),COUNTA(FILTER(H$1:H1948, H$1:H1948&lt;&gt;""""))))-1), IF('To Order'!$A1949=COL"&amp;"UMNS($A1949:H1968), H1948&amp;RIGHT(INDIRECT(ADDRESS(ROW(H1949)-1, 'From Order'!$A1949)), 1), H1948))"),"QTRT")</f>
        <v>QTRT</v>
      </c>
      <c r="I1949" s="2" t="str">
        <f>IFERROR(__xludf.DUMMYFUNCTION("IF('From Order'!$A1949=COLUMNS($A1949:I1968), LEFT(INDEX(FILTER(I$1:I1948, I$1:I1948&lt;&gt;""""),COUNTA(FILTER(I$1:I1948, I$1:I1948&lt;&gt;""""))), LEN(INDEX(FILTER(I$1:I1948, I$1:I1948&lt;&gt;""""),COUNTA(FILTER(I$1:I1948, I$1:I1948&lt;&gt;""""))))-1), IF('To Order'!$A1949=COL"&amp;"UMNS($A1949:I1968), I1948&amp;RIGHT(INDIRECT(ADDRESS(ROW(I1949)-1, 'From Order'!$A1949)), 1), I1948))"),"DVDTMZHZDMTTGMJRRVBBHFSCZWTSSPP")</f>
        <v>DVDTMZHZDMTTGMJRRVBBHFSCZWTSSPP</v>
      </c>
    </row>
    <row r="1950">
      <c r="A1950" s="2" t="str">
        <f>IFERROR(__xludf.DUMMYFUNCTION("IF('From Order'!$A1950=COLUMNS($A1950:A1969), LEFT(INDEX(FILTER(A$1:A1949, A$1:A1949&lt;&gt;""""),COUNTA(FILTER(A$1:A1949, A$1:A1949&lt;&gt;""""))), LEN(INDEX(FILTER(A$1:A1949, A$1:A1949&lt;&gt;""""),COUNTA(FILTER(A$1:A1949, A$1:A1949&lt;&gt;""""))))-1), IF('To Order'!$A1950=COL"&amp;"UMNS($A1950:A1969), A1949&amp;RIGHT(INDIRECT(ADDRESS(ROW(A1950)-1, 'From Order'!$A1950)), 1), A1949))"),"")</f>
        <v/>
      </c>
      <c r="B1950" s="2" t="str">
        <f>IFERROR(__xludf.DUMMYFUNCTION("IF('From Order'!$A1950=COLUMNS($A1950:B1969), LEFT(INDEX(FILTER(B$1:B1949, B$1:B1949&lt;&gt;""""),COUNTA(FILTER(B$1:B1949, B$1:B1949&lt;&gt;""""))), LEN(INDEX(FILTER(B$1:B1949, B$1:B1949&lt;&gt;""""),COUNTA(FILTER(B$1:B1949, B$1:B1949&lt;&gt;""""))))-1), IF('To Order'!$A1950=COL"&amp;"UMNS($A1950:B1969), B1949&amp;RIGHT(INDIRECT(ADDRESS(ROW(B1950)-1, 'From Order'!$A1950)), 1), B1949))"),"")</f>
        <v/>
      </c>
      <c r="C1950" s="2" t="str">
        <f>IFERROR(__xludf.DUMMYFUNCTION("IF('From Order'!$A1950=COLUMNS($A1950:C1969), LEFT(INDEX(FILTER(C$1:C1949, C$1:C1949&lt;&gt;""""),COUNTA(FILTER(C$1:C1949, C$1:C1949&lt;&gt;""""))), LEN(INDEX(FILTER(C$1:C1949, C$1:C1949&lt;&gt;""""),COUNTA(FILTER(C$1:C1949, C$1:C1949&lt;&gt;""""))))-1), IF('To Order'!$A1950=COL"&amp;"UMNS($A1950:C1969), C1949&amp;RIGHT(INDIRECT(ADDRESS(ROW(C1950)-1, 'From Order'!$A1950)), 1), C1949))"),"")</f>
        <v/>
      </c>
      <c r="D1950" s="2" t="str">
        <f>IFERROR(__xludf.DUMMYFUNCTION("IF('From Order'!$A1950=COLUMNS($A1950:D1969), LEFT(INDEX(FILTER(D$1:D1949, D$1:D1949&lt;&gt;""""),COUNTA(FILTER(D$1:D1949, D$1:D1949&lt;&gt;""""))), LEN(INDEX(FILTER(D$1:D1949, D$1:D1949&lt;&gt;""""),COUNTA(FILTER(D$1:D1949, D$1:D1949&lt;&gt;""""))))-1), IF('To Order'!$A1950=COL"&amp;"UMNS($A1950:D1969), D1949&amp;RIGHT(INDIRECT(ADDRESS(ROW(D1950)-1, 'From Order'!$A1950)), 1), D1949))"),"RBJC")</f>
        <v>RBJC</v>
      </c>
      <c r="E1950" s="2" t="str">
        <f>IFERROR(__xludf.DUMMYFUNCTION("IF('From Order'!$A1950=COLUMNS($A1950:E1969), LEFT(INDEX(FILTER(E$1:E1949, E$1:E1949&lt;&gt;""""),COUNTA(FILTER(E$1:E1949, E$1:E1949&lt;&gt;""""))), LEN(INDEX(FILTER(E$1:E1949, E$1:E1949&lt;&gt;""""),COUNTA(FILTER(E$1:E1949, E$1:E1949&lt;&gt;""""))))-1), IF('To Order'!$A1950=COL"&amp;"UMNS($A1950:E1969), E1949&amp;RIGHT(INDIRECT(ADDRESS(ROW(E1950)-1, 'From Order'!$A1950)), 1), E1949))"),"CRG")</f>
        <v>CRG</v>
      </c>
      <c r="F1950" s="2" t="str">
        <f>IFERROR(__xludf.DUMMYFUNCTION("IF('From Order'!$A1950=COLUMNS($A1950:F1969), LEFT(INDEX(FILTER(F$1:F1949, F$1:F1949&lt;&gt;""""),COUNTA(FILTER(F$1:F1949, F$1:F1949&lt;&gt;""""))), LEN(INDEX(FILTER(F$1:F1949, F$1:F1949&lt;&gt;""""),COUNTA(FILTER(F$1:F1949, F$1:F1949&lt;&gt;""""))))-1), IF('To Order'!$A1950=COL"&amp;"UMNS($A1950:F1969), F1949&amp;RIGHT(INDIRECT(ADDRESS(ROW(F1950)-1, 'From Order'!$A1950)), 1), F1949))"),"LDSPBFLLWDDVQ")</f>
        <v>LDSPBFLLWDDVQ</v>
      </c>
      <c r="G1950" s="2" t="str">
        <f>IFERROR(__xludf.DUMMYFUNCTION("IF('From Order'!$A1950=COLUMNS($A1950:G1969), LEFT(INDEX(FILTER(G$1:G1949, G$1:G1949&lt;&gt;""""),COUNTA(FILTER(G$1:G1949, G$1:G1949&lt;&gt;""""))), LEN(INDEX(FILTER(G$1:G1949, G$1:G1949&lt;&gt;""""),COUNTA(FILTER(G$1:G1949, G$1:G1949&lt;&gt;""""))))-1), IF('To Order'!$A1950=COL"&amp;"UMNS($A1950:G1969), G1949&amp;RIGHT(INDIRECT(ADDRESS(ROW(G1950)-1, 'From Order'!$A1950)), 1), G1949))"),"")</f>
        <v/>
      </c>
      <c r="H1950" s="2" t="str">
        <f>IFERROR(__xludf.DUMMYFUNCTION("IF('From Order'!$A1950=COLUMNS($A1950:H1969), LEFT(INDEX(FILTER(H$1:H1949, H$1:H1949&lt;&gt;""""),COUNTA(FILTER(H$1:H1949, H$1:H1949&lt;&gt;""""))), LEN(INDEX(FILTER(H$1:H1949, H$1:H1949&lt;&gt;""""),COUNTA(FILTER(H$1:H1949, H$1:H1949&lt;&gt;""""))))-1), IF('To Order'!$A1950=COL"&amp;"UMNS($A1950:H1969), H1949&amp;RIGHT(INDIRECT(ADDRESS(ROW(H1950)-1, 'From Order'!$A1950)), 1), H1949))"),"QTRT")</f>
        <v>QTRT</v>
      </c>
      <c r="I1950" s="2" t="str">
        <f>IFERROR(__xludf.DUMMYFUNCTION("IF('From Order'!$A1950=COLUMNS($A1950:I1969), LEFT(INDEX(FILTER(I$1:I1949, I$1:I1949&lt;&gt;""""),COUNTA(FILTER(I$1:I1949, I$1:I1949&lt;&gt;""""))), LEN(INDEX(FILTER(I$1:I1949, I$1:I1949&lt;&gt;""""),COUNTA(FILTER(I$1:I1949, I$1:I1949&lt;&gt;""""))))-1), IF('To Order'!$A1950=COL"&amp;"UMNS($A1950:I1969), I1949&amp;RIGHT(INDIRECT(ADDRESS(ROW(I1950)-1, 'From Order'!$A1950)), 1), I1949))"),"DVDTMZHZDMTTGMJRRVBBHFSCZWTSSPPJ")</f>
        <v>DVDTMZHZDMTTGMJRRVBBHFSCZWTSSPPJ</v>
      </c>
    </row>
    <row r="1951">
      <c r="A1951" s="2" t="str">
        <f>IFERROR(__xludf.DUMMYFUNCTION("IF('From Order'!$A1951=COLUMNS($A1951:A1970), LEFT(INDEX(FILTER(A$1:A1950, A$1:A1950&lt;&gt;""""),COUNTA(FILTER(A$1:A1950, A$1:A1950&lt;&gt;""""))), LEN(INDEX(FILTER(A$1:A1950, A$1:A1950&lt;&gt;""""),COUNTA(FILTER(A$1:A1950, A$1:A1950&lt;&gt;""""))))-1), IF('To Order'!$A1951=COL"&amp;"UMNS($A1951:A1970), A1950&amp;RIGHT(INDIRECT(ADDRESS(ROW(A1951)-1, 'From Order'!$A1951)), 1), A1950))"),"")</f>
        <v/>
      </c>
      <c r="B1951" s="2" t="str">
        <f>IFERROR(__xludf.DUMMYFUNCTION("IF('From Order'!$A1951=COLUMNS($A1951:B1970), LEFT(INDEX(FILTER(B$1:B1950, B$1:B1950&lt;&gt;""""),COUNTA(FILTER(B$1:B1950, B$1:B1950&lt;&gt;""""))), LEN(INDEX(FILTER(B$1:B1950, B$1:B1950&lt;&gt;""""),COUNTA(FILTER(B$1:B1950, B$1:B1950&lt;&gt;""""))))-1), IF('To Order'!$A1951=COL"&amp;"UMNS($A1951:B1970), B1950&amp;RIGHT(INDIRECT(ADDRESS(ROW(B1951)-1, 'From Order'!$A1951)), 1), B1950))"),"")</f>
        <v/>
      </c>
      <c r="C1951" s="2" t="str">
        <f>IFERROR(__xludf.DUMMYFUNCTION("IF('From Order'!$A1951=COLUMNS($A1951:C1970), LEFT(INDEX(FILTER(C$1:C1950, C$1:C1950&lt;&gt;""""),COUNTA(FILTER(C$1:C1950, C$1:C1950&lt;&gt;""""))), LEN(INDEX(FILTER(C$1:C1950, C$1:C1950&lt;&gt;""""),COUNTA(FILTER(C$1:C1950, C$1:C1950&lt;&gt;""""))))-1), IF('To Order'!$A1951=COL"&amp;"UMNS($A1951:C1970), C1950&amp;RIGHT(INDIRECT(ADDRESS(ROW(C1951)-1, 'From Order'!$A1951)), 1), C1950))"),"")</f>
        <v/>
      </c>
      <c r="D1951" s="2" t="str">
        <f>IFERROR(__xludf.DUMMYFUNCTION("IF('From Order'!$A1951=COLUMNS($A1951:D1970), LEFT(INDEX(FILTER(D$1:D1950, D$1:D1950&lt;&gt;""""),COUNTA(FILTER(D$1:D1950, D$1:D1950&lt;&gt;""""))), LEN(INDEX(FILTER(D$1:D1950, D$1:D1950&lt;&gt;""""),COUNTA(FILTER(D$1:D1950, D$1:D1950&lt;&gt;""""))))-1), IF('To Order'!$A1951=COL"&amp;"UMNS($A1951:D1970), D1950&amp;RIGHT(INDIRECT(ADDRESS(ROW(D1951)-1, 'From Order'!$A1951)), 1), D1950))"),"RBJC")</f>
        <v>RBJC</v>
      </c>
      <c r="E1951" s="2" t="str">
        <f>IFERROR(__xludf.DUMMYFUNCTION("IF('From Order'!$A1951=COLUMNS($A1951:E1970), LEFT(INDEX(FILTER(E$1:E1950, E$1:E1950&lt;&gt;""""),COUNTA(FILTER(E$1:E1950, E$1:E1950&lt;&gt;""""))), LEN(INDEX(FILTER(E$1:E1950, E$1:E1950&lt;&gt;""""),COUNTA(FILTER(E$1:E1950, E$1:E1950&lt;&gt;""""))))-1), IF('To Order'!$A1951=COL"&amp;"UMNS($A1951:E1970), E1950&amp;RIGHT(INDIRECT(ADDRESS(ROW(E1951)-1, 'From Order'!$A1951)), 1), E1950))"),"CRG")</f>
        <v>CRG</v>
      </c>
      <c r="F1951" s="2" t="str">
        <f>IFERROR(__xludf.DUMMYFUNCTION("IF('From Order'!$A1951=COLUMNS($A1951:F1970), LEFT(INDEX(FILTER(F$1:F1950, F$1:F1950&lt;&gt;""""),COUNTA(FILTER(F$1:F1950, F$1:F1950&lt;&gt;""""))), LEN(INDEX(FILTER(F$1:F1950, F$1:F1950&lt;&gt;""""),COUNTA(FILTER(F$1:F1950, F$1:F1950&lt;&gt;""""))))-1), IF('To Order'!$A1951=COL"&amp;"UMNS($A1951:F1970), F1950&amp;RIGHT(INDIRECT(ADDRESS(ROW(F1951)-1, 'From Order'!$A1951)), 1), F1950))"),"LDSPBFLLWDDV")</f>
        <v>LDSPBFLLWDDV</v>
      </c>
      <c r="G1951" s="2" t="str">
        <f>IFERROR(__xludf.DUMMYFUNCTION("IF('From Order'!$A1951=COLUMNS($A1951:G1970), LEFT(INDEX(FILTER(G$1:G1950, G$1:G1950&lt;&gt;""""),COUNTA(FILTER(G$1:G1950, G$1:G1950&lt;&gt;""""))), LEN(INDEX(FILTER(G$1:G1950, G$1:G1950&lt;&gt;""""),COUNTA(FILTER(G$1:G1950, G$1:G1950&lt;&gt;""""))))-1), IF('To Order'!$A1951=COL"&amp;"UMNS($A1951:G1970), G1950&amp;RIGHT(INDIRECT(ADDRESS(ROW(G1951)-1, 'From Order'!$A1951)), 1), G1950))"),"")</f>
        <v/>
      </c>
      <c r="H1951" s="2" t="str">
        <f>IFERROR(__xludf.DUMMYFUNCTION("IF('From Order'!$A1951=COLUMNS($A1951:H1970), LEFT(INDEX(FILTER(H$1:H1950, H$1:H1950&lt;&gt;""""),COUNTA(FILTER(H$1:H1950, H$1:H1950&lt;&gt;""""))), LEN(INDEX(FILTER(H$1:H1950, H$1:H1950&lt;&gt;""""),COUNTA(FILTER(H$1:H1950, H$1:H1950&lt;&gt;""""))))-1), IF('To Order'!$A1951=COL"&amp;"UMNS($A1951:H1970), H1950&amp;RIGHT(INDIRECT(ADDRESS(ROW(H1951)-1, 'From Order'!$A1951)), 1), H1950))"),"QTRT")</f>
        <v>QTRT</v>
      </c>
      <c r="I1951" s="2" t="str">
        <f>IFERROR(__xludf.DUMMYFUNCTION("IF('From Order'!$A1951=COLUMNS($A1951:I1970), LEFT(INDEX(FILTER(I$1:I1950, I$1:I1950&lt;&gt;""""),COUNTA(FILTER(I$1:I1950, I$1:I1950&lt;&gt;""""))), LEN(INDEX(FILTER(I$1:I1950, I$1:I1950&lt;&gt;""""),COUNTA(FILTER(I$1:I1950, I$1:I1950&lt;&gt;""""))))-1), IF('To Order'!$A1951=COL"&amp;"UMNS($A1951:I1970), I1950&amp;RIGHT(INDIRECT(ADDRESS(ROW(I1951)-1, 'From Order'!$A1951)), 1), I1950))"),"DVDTMZHZDMTTGMJRRVBBHFSCZWTSSPPJQ")</f>
        <v>DVDTMZHZDMTTGMJRRVBBHFSCZWTSSPPJQ</v>
      </c>
    </row>
    <row r="1952">
      <c r="A1952" s="2" t="str">
        <f>IFERROR(__xludf.DUMMYFUNCTION("IF('From Order'!$A1952=COLUMNS($A1952:A1971), LEFT(INDEX(FILTER(A$1:A1951, A$1:A1951&lt;&gt;""""),COUNTA(FILTER(A$1:A1951, A$1:A1951&lt;&gt;""""))), LEN(INDEX(FILTER(A$1:A1951, A$1:A1951&lt;&gt;""""),COUNTA(FILTER(A$1:A1951, A$1:A1951&lt;&gt;""""))))-1), IF('To Order'!$A1952=COL"&amp;"UMNS($A1952:A1971), A1951&amp;RIGHT(INDIRECT(ADDRESS(ROW(A1952)-1, 'From Order'!$A1952)), 1), A1951))"),"")</f>
        <v/>
      </c>
      <c r="B1952" s="2" t="str">
        <f>IFERROR(__xludf.DUMMYFUNCTION("IF('From Order'!$A1952=COLUMNS($A1952:B1971), LEFT(INDEX(FILTER(B$1:B1951, B$1:B1951&lt;&gt;""""),COUNTA(FILTER(B$1:B1951, B$1:B1951&lt;&gt;""""))), LEN(INDEX(FILTER(B$1:B1951, B$1:B1951&lt;&gt;""""),COUNTA(FILTER(B$1:B1951, B$1:B1951&lt;&gt;""""))))-1), IF('To Order'!$A1952=COL"&amp;"UMNS($A1952:B1971), B1951&amp;RIGHT(INDIRECT(ADDRESS(ROW(B1952)-1, 'From Order'!$A1952)), 1), B1951))"),"")</f>
        <v/>
      </c>
      <c r="C1952" s="2" t="str">
        <f>IFERROR(__xludf.DUMMYFUNCTION("IF('From Order'!$A1952=COLUMNS($A1952:C1971), LEFT(INDEX(FILTER(C$1:C1951, C$1:C1951&lt;&gt;""""),COUNTA(FILTER(C$1:C1951, C$1:C1951&lt;&gt;""""))), LEN(INDEX(FILTER(C$1:C1951, C$1:C1951&lt;&gt;""""),COUNTA(FILTER(C$1:C1951, C$1:C1951&lt;&gt;""""))))-1), IF('To Order'!$A1952=COL"&amp;"UMNS($A1952:C1971), C1951&amp;RIGHT(INDIRECT(ADDRESS(ROW(C1952)-1, 'From Order'!$A1952)), 1), C1951))"),"")</f>
        <v/>
      </c>
      <c r="D1952" s="2" t="str">
        <f>IFERROR(__xludf.DUMMYFUNCTION("IF('From Order'!$A1952=COLUMNS($A1952:D1971), LEFT(INDEX(FILTER(D$1:D1951, D$1:D1951&lt;&gt;""""),COUNTA(FILTER(D$1:D1951, D$1:D1951&lt;&gt;""""))), LEN(INDEX(FILTER(D$1:D1951, D$1:D1951&lt;&gt;""""),COUNTA(FILTER(D$1:D1951, D$1:D1951&lt;&gt;""""))))-1), IF('To Order'!$A1952=COL"&amp;"UMNS($A1952:D1971), D1951&amp;RIGHT(INDIRECT(ADDRESS(ROW(D1952)-1, 'From Order'!$A1952)), 1), D1951))"),"RBJC")</f>
        <v>RBJC</v>
      </c>
      <c r="E1952" s="2" t="str">
        <f>IFERROR(__xludf.DUMMYFUNCTION("IF('From Order'!$A1952=COLUMNS($A1952:E1971), LEFT(INDEX(FILTER(E$1:E1951, E$1:E1951&lt;&gt;""""),COUNTA(FILTER(E$1:E1951, E$1:E1951&lt;&gt;""""))), LEN(INDEX(FILTER(E$1:E1951, E$1:E1951&lt;&gt;""""),COUNTA(FILTER(E$1:E1951, E$1:E1951&lt;&gt;""""))))-1), IF('To Order'!$A1952=COL"&amp;"UMNS($A1952:E1971), E1951&amp;RIGHT(INDIRECT(ADDRESS(ROW(E1952)-1, 'From Order'!$A1952)), 1), E1951))"),"CRG")</f>
        <v>CRG</v>
      </c>
      <c r="F1952" s="2" t="str">
        <f>IFERROR(__xludf.DUMMYFUNCTION("IF('From Order'!$A1952=COLUMNS($A1952:F1971), LEFT(INDEX(FILTER(F$1:F1951, F$1:F1951&lt;&gt;""""),COUNTA(FILTER(F$1:F1951, F$1:F1951&lt;&gt;""""))), LEN(INDEX(FILTER(F$1:F1951, F$1:F1951&lt;&gt;""""),COUNTA(FILTER(F$1:F1951, F$1:F1951&lt;&gt;""""))))-1), IF('To Order'!$A1952=COL"&amp;"UMNS($A1952:F1971), F1951&amp;RIGHT(INDIRECT(ADDRESS(ROW(F1952)-1, 'From Order'!$A1952)), 1), F1951))"),"LDSPBFLLWDD")</f>
        <v>LDSPBFLLWDD</v>
      </c>
      <c r="G1952" s="2" t="str">
        <f>IFERROR(__xludf.DUMMYFUNCTION("IF('From Order'!$A1952=COLUMNS($A1952:G1971), LEFT(INDEX(FILTER(G$1:G1951, G$1:G1951&lt;&gt;""""),COUNTA(FILTER(G$1:G1951, G$1:G1951&lt;&gt;""""))), LEN(INDEX(FILTER(G$1:G1951, G$1:G1951&lt;&gt;""""),COUNTA(FILTER(G$1:G1951, G$1:G1951&lt;&gt;""""))))-1), IF('To Order'!$A1952=COL"&amp;"UMNS($A1952:G1971), G1951&amp;RIGHT(INDIRECT(ADDRESS(ROW(G1952)-1, 'From Order'!$A1952)), 1), G1951))"),"")</f>
        <v/>
      </c>
      <c r="H1952" s="2" t="str">
        <f>IFERROR(__xludf.DUMMYFUNCTION("IF('From Order'!$A1952=COLUMNS($A1952:H1971), LEFT(INDEX(FILTER(H$1:H1951, H$1:H1951&lt;&gt;""""),COUNTA(FILTER(H$1:H1951, H$1:H1951&lt;&gt;""""))), LEN(INDEX(FILTER(H$1:H1951, H$1:H1951&lt;&gt;""""),COUNTA(FILTER(H$1:H1951, H$1:H1951&lt;&gt;""""))))-1), IF('To Order'!$A1952=COL"&amp;"UMNS($A1952:H1971), H1951&amp;RIGHT(INDIRECT(ADDRESS(ROW(H1952)-1, 'From Order'!$A1952)), 1), H1951))"),"QTRT")</f>
        <v>QTRT</v>
      </c>
      <c r="I1952" s="2" t="str">
        <f>IFERROR(__xludf.DUMMYFUNCTION("IF('From Order'!$A1952=COLUMNS($A1952:I1971), LEFT(INDEX(FILTER(I$1:I1951, I$1:I1951&lt;&gt;""""),COUNTA(FILTER(I$1:I1951, I$1:I1951&lt;&gt;""""))), LEN(INDEX(FILTER(I$1:I1951, I$1:I1951&lt;&gt;""""),COUNTA(FILTER(I$1:I1951, I$1:I1951&lt;&gt;""""))))-1), IF('To Order'!$A1952=COL"&amp;"UMNS($A1952:I1971), I1951&amp;RIGHT(INDIRECT(ADDRESS(ROW(I1952)-1, 'From Order'!$A1952)), 1), I1951))"),"DVDTMZHZDMTTGMJRRVBBHFSCZWTSSPPJQV")</f>
        <v>DVDTMZHZDMTTGMJRRVBBHFSCZWTSSPPJQV</v>
      </c>
    </row>
    <row r="1953">
      <c r="A1953" s="2" t="str">
        <f>IFERROR(__xludf.DUMMYFUNCTION("IF('From Order'!$A1953=COLUMNS($A1953:A1972), LEFT(INDEX(FILTER(A$1:A1952, A$1:A1952&lt;&gt;""""),COUNTA(FILTER(A$1:A1952, A$1:A1952&lt;&gt;""""))), LEN(INDEX(FILTER(A$1:A1952, A$1:A1952&lt;&gt;""""),COUNTA(FILTER(A$1:A1952, A$1:A1952&lt;&gt;""""))))-1), IF('To Order'!$A1953=COL"&amp;"UMNS($A1953:A1972), A1952&amp;RIGHT(INDIRECT(ADDRESS(ROW(A1953)-1, 'From Order'!$A1953)), 1), A1952))"),"")</f>
        <v/>
      </c>
      <c r="B1953" s="2" t="str">
        <f>IFERROR(__xludf.DUMMYFUNCTION("IF('From Order'!$A1953=COLUMNS($A1953:B1972), LEFT(INDEX(FILTER(B$1:B1952, B$1:B1952&lt;&gt;""""),COUNTA(FILTER(B$1:B1952, B$1:B1952&lt;&gt;""""))), LEN(INDEX(FILTER(B$1:B1952, B$1:B1952&lt;&gt;""""),COUNTA(FILTER(B$1:B1952, B$1:B1952&lt;&gt;""""))))-1), IF('To Order'!$A1953=COL"&amp;"UMNS($A1953:B1972), B1952&amp;RIGHT(INDIRECT(ADDRESS(ROW(B1953)-1, 'From Order'!$A1953)), 1), B1952))"),"")</f>
        <v/>
      </c>
      <c r="C1953" s="2" t="str">
        <f>IFERROR(__xludf.DUMMYFUNCTION("IF('From Order'!$A1953=COLUMNS($A1953:C1972), LEFT(INDEX(FILTER(C$1:C1952, C$1:C1952&lt;&gt;""""),COUNTA(FILTER(C$1:C1952, C$1:C1952&lt;&gt;""""))), LEN(INDEX(FILTER(C$1:C1952, C$1:C1952&lt;&gt;""""),COUNTA(FILTER(C$1:C1952, C$1:C1952&lt;&gt;""""))))-1), IF('To Order'!$A1953=COL"&amp;"UMNS($A1953:C1972), C1952&amp;RIGHT(INDIRECT(ADDRESS(ROW(C1953)-1, 'From Order'!$A1953)), 1), C1952))"),"")</f>
        <v/>
      </c>
      <c r="D1953" s="2" t="str">
        <f>IFERROR(__xludf.DUMMYFUNCTION("IF('From Order'!$A1953=COLUMNS($A1953:D1972), LEFT(INDEX(FILTER(D$1:D1952, D$1:D1952&lt;&gt;""""),COUNTA(FILTER(D$1:D1952, D$1:D1952&lt;&gt;""""))), LEN(INDEX(FILTER(D$1:D1952, D$1:D1952&lt;&gt;""""),COUNTA(FILTER(D$1:D1952, D$1:D1952&lt;&gt;""""))))-1), IF('To Order'!$A1953=COL"&amp;"UMNS($A1953:D1972), D1952&amp;RIGHT(INDIRECT(ADDRESS(ROW(D1953)-1, 'From Order'!$A1953)), 1), D1952))"),"RBJC")</f>
        <v>RBJC</v>
      </c>
      <c r="E1953" s="2" t="str">
        <f>IFERROR(__xludf.DUMMYFUNCTION("IF('From Order'!$A1953=COLUMNS($A1953:E1972), LEFT(INDEX(FILTER(E$1:E1952, E$1:E1952&lt;&gt;""""),COUNTA(FILTER(E$1:E1952, E$1:E1952&lt;&gt;""""))), LEN(INDEX(FILTER(E$1:E1952, E$1:E1952&lt;&gt;""""),COUNTA(FILTER(E$1:E1952, E$1:E1952&lt;&gt;""""))))-1), IF('To Order'!$A1953=COL"&amp;"UMNS($A1953:E1972), E1952&amp;RIGHT(INDIRECT(ADDRESS(ROW(E1953)-1, 'From Order'!$A1953)), 1), E1952))"),"CRG")</f>
        <v>CRG</v>
      </c>
      <c r="F1953" s="2" t="str">
        <f>IFERROR(__xludf.DUMMYFUNCTION("IF('From Order'!$A1953=COLUMNS($A1953:F1972), LEFT(INDEX(FILTER(F$1:F1952, F$1:F1952&lt;&gt;""""),COUNTA(FILTER(F$1:F1952, F$1:F1952&lt;&gt;""""))), LEN(INDEX(FILTER(F$1:F1952, F$1:F1952&lt;&gt;""""),COUNTA(FILTER(F$1:F1952, F$1:F1952&lt;&gt;""""))))-1), IF('To Order'!$A1953=COL"&amp;"UMNS($A1953:F1972), F1952&amp;RIGHT(INDIRECT(ADDRESS(ROW(F1953)-1, 'From Order'!$A1953)), 1), F1952))"),"LDSPBFLLWD")</f>
        <v>LDSPBFLLWD</v>
      </c>
      <c r="G1953" s="2" t="str">
        <f>IFERROR(__xludf.DUMMYFUNCTION("IF('From Order'!$A1953=COLUMNS($A1953:G1972), LEFT(INDEX(FILTER(G$1:G1952, G$1:G1952&lt;&gt;""""),COUNTA(FILTER(G$1:G1952, G$1:G1952&lt;&gt;""""))), LEN(INDEX(FILTER(G$1:G1952, G$1:G1952&lt;&gt;""""),COUNTA(FILTER(G$1:G1952, G$1:G1952&lt;&gt;""""))))-1), IF('To Order'!$A1953=COL"&amp;"UMNS($A1953:G1972), G1952&amp;RIGHT(INDIRECT(ADDRESS(ROW(G1953)-1, 'From Order'!$A1953)), 1), G1952))"),"")</f>
        <v/>
      </c>
      <c r="H1953" s="2" t="str">
        <f>IFERROR(__xludf.DUMMYFUNCTION("IF('From Order'!$A1953=COLUMNS($A1953:H1972), LEFT(INDEX(FILTER(H$1:H1952, H$1:H1952&lt;&gt;""""),COUNTA(FILTER(H$1:H1952, H$1:H1952&lt;&gt;""""))), LEN(INDEX(FILTER(H$1:H1952, H$1:H1952&lt;&gt;""""),COUNTA(FILTER(H$1:H1952, H$1:H1952&lt;&gt;""""))))-1), IF('To Order'!$A1953=COL"&amp;"UMNS($A1953:H1972), H1952&amp;RIGHT(INDIRECT(ADDRESS(ROW(H1953)-1, 'From Order'!$A1953)), 1), H1952))"),"QTRT")</f>
        <v>QTRT</v>
      </c>
      <c r="I1953" s="2" t="str">
        <f>IFERROR(__xludf.DUMMYFUNCTION("IF('From Order'!$A1953=COLUMNS($A1953:I1972), LEFT(INDEX(FILTER(I$1:I1952, I$1:I1952&lt;&gt;""""),COUNTA(FILTER(I$1:I1952, I$1:I1952&lt;&gt;""""))), LEN(INDEX(FILTER(I$1:I1952, I$1:I1952&lt;&gt;""""),COUNTA(FILTER(I$1:I1952, I$1:I1952&lt;&gt;""""))))-1), IF('To Order'!$A1953=COL"&amp;"UMNS($A1953:I1972), I1952&amp;RIGHT(INDIRECT(ADDRESS(ROW(I1953)-1, 'From Order'!$A1953)), 1), I1952))"),"DVDTMZHZDMTTGMJRRVBBHFSCZWTSSPPJQVD")</f>
        <v>DVDTMZHZDMTTGMJRRVBBHFSCZWTSSPPJQVD</v>
      </c>
    </row>
    <row r="1954">
      <c r="A1954" s="2" t="str">
        <f>IFERROR(__xludf.DUMMYFUNCTION("IF('From Order'!$A1954=COLUMNS($A1954:A1973), LEFT(INDEX(FILTER(A$1:A1953, A$1:A1953&lt;&gt;""""),COUNTA(FILTER(A$1:A1953, A$1:A1953&lt;&gt;""""))), LEN(INDEX(FILTER(A$1:A1953, A$1:A1953&lt;&gt;""""),COUNTA(FILTER(A$1:A1953, A$1:A1953&lt;&gt;""""))))-1), IF('To Order'!$A1954=COL"&amp;"UMNS($A1954:A1973), A1953&amp;RIGHT(INDIRECT(ADDRESS(ROW(A1954)-1, 'From Order'!$A1954)), 1), A1953))"),"")</f>
        <v/>
      </c>
      <c r="B1954" s="2" t="str">
        <f>IFERROR(__xludf.DUMMYFUNCTION("IF('From Order'!$A1954=COLUMNS($A1954:B1973), LEFT(INDEX(FILTER(B$1:B1953, B$1:B1953&lt;&gt;""""),COUNTA(FILTER(B$1:B1953, B$1:B1953&lt;&gt;""""))), LEN(INDEX(FILTER(B$1:B1953, B$1:B1953&lt;&gt;""""),COUNTA(FILTER(B$1:B1953, B$1:B1953&lt;&gt;""""))))-1), IF('To Order'!$A1954=COL"&amp;"UMNS($A1954:B1973), B1953&amp;RIGHT(INDIRECT(ADDRESS(ROW(B1954)-1, 'From Order'!$A1954)), 1), B1953))"),"")</f>
        <v/>
      </c>
      <c r="C1954" s="2" t="str">
        <f>IFERROR(__xludf.DUMMYFUNCTION("IF('From Order'!$A1954=COLUMNS($A1954:C1973), LEFT(INDEX(FILTER(C$1:C1953, C$1:C1953&lt;&gt;""""),COUNTA(FILTER(C$1:C1953, C$1:C1953&lt;&gt;""""))), LEN(INDEX(FILTER(C$1:C1953, C$1:C1953&lt;&gt;""""),COUNTA(FILTER(C$1:C1953, C$1:C1953&lt;&gt;""""))))-1), IF('To Order'!$A1954=COL"&amp;"UMNS($A1954:C1973), C1953&amp;RIGHT(INDIRECT(ADDRESS(ROW(C1954)-1, 'From Order'!$A1954)), 1), C1953))"),"")</f>
        <v/>
      </c>
      <c r="D1954" s="2" t="str">
        <f>IFERROR(__xludf.DUMMYFUNCTION("IF('From Order'!$A1954=COLUMNS($A1954:D1973), LEFT(INDEX(FILTER(D$1:D1953, D$1:D1953&lt;&gt;""""),COUNTA(FILTER(D$1:D1953, D$1:D1953&lt;&gt;""""))), LEN(INDEX(FILTER(D$1:D1953, D$1:D1953&lt;&gt;""""),COUNTA(FILTER(D$1:D1953, D$1:D1953&lt;&gt;""""))))-1), IF('To Order'!$A1954=COL"&amp;"UMNS($A1954:D1973), D1953&amp;RIGHT(INDIRECT(ADDRESS(ROW(D1954)-1, 'From Order'!$A1954)), 1), D1953))"),"RBJC")</f>
        <v>RBJC</v>
      </c>
      <c r="E1954" s="2" t="str">
        <f>IFERROR(__xludf.DUMMYFUNCTION("IF('From Order'!$A1954=COLUMNS($A1954:E1973), LEFT(INDEX(FILTER(E$1:E1953, E$1:E1953&lt;&gt;""""),COUNTA(FILTER(E$1:E1953, E$1:E1953&lt;&gt;""""))), LEN(INDEX(FILTER(E$1:E1953, E$1:E1953&lt;&gt;""""),COUNTA(FILTER(E$1:E1953, E$1:E1953&lt;&gt;""""))))-1), IF('To Order'!$A1954=COL"&amp;"UMNS($A1954:E1973), E1953&amp;RIGHT(INDIRECT(ADDRESS(ROW(E1954)-1, 'From Order'!$A1954)), 1), E1953))"),"CRG")</f>
        <v>CRG</v>
      </c>
      <c r="F1954" s="2" t="str">
        <f>IFERROR(__xludf.DUMMYFUNCTION("IF('From Order'!$A1954=COLUMNS($A1954:F1973), LEFT(INDEX(FILTER(F$1:F1953, F$1:F1953&lt;&gt;""""),COUNTA(FILTER(F$1:F1953, F$1:F1953&lt;&gt;""""))), LEN(INDEX(FILTER(F$1:F1953, F$1:F1953&lt;&gt;""""),COUNTA(FILTER(F$1:F1953, F$1:F1953&lt;&gt;""""))))-1), IF('To Order'!$A1954=COL"&amp;"UMNS($A1954:F1973), F1953&amp;RIGHT(INDIRECT(ADDRESS(ROW(F1954)-1, 'From Order'!$A1954)), 1), F1953))"),"LDSPBFLLW")</f>
        <v>LDSPBFLLW</v>
      </c>
      <c r="G1954" s="2" t="str">
        <f>IFERROR(__xludf.DUMMYFUNCTION("IF('From Order'!$A1954=COLUMNS($A1954:G1973), LEFT(INDEX(FILTER(G$1:G1953, G$1:G1953&lt;&gt;""""),COUNTA(FILTER(G$1:G1953, G$1:G1953&lt;&gt;""""))), LEN(INDEX(FILTER(G$1:G1953, G$1:G1953&lt;&gt;""""),COUNTA(FILTER(G$1:G1953, G$1:G1953&lt;&gt;""""))))-1), IF('To Order'!$A1954=COL"&amp;"UMNS($A1954:G1973), G1953&amp;RIGHT(INDIRECT(ADDRESS(ROW(G1954)-1, 'From Order'!$A1954)), 1), G1953))"),"")</f>
        <v/>
      </c>
      <c r="H1954" s="2" t="str">
        <f>IFERROR(__xludf.DUMMYFUNCTION("IF('From Order'!$A1954=COLUMNS($A1954:H1973), LEFT(INDEX(FILTER(H$1:H1953, H$1:H1953&lt;&gt;""""),COUNTA(FILTER(H$1:H1953, H$1:H1953&lt;&gt;""""))), LEN(INDEX(FILTER(H$1:H1953, H$1:H1953&lt;&gt;""""),COUNTA(FILTER(H$1:H1953, H$1:H1953&lt;&gt;""""))))-1), IF('To Order'!$A1954=COL"&amp;"UMNS($A1954:H1973), H1953&amp;RIGHT(INDIRECT(ADDRESS(ROW(H1954)-1, 'From Order'!$A1954)), 1), H1953))"),"QTRT")</f>
        <v>QTRT</v>
      </c>
      <c r="I1954" s="2" t="str">
        <f>IFERROR(__xludf.DUMMYFUNCTION("IF('From Order'!$A1954=COLUMNS($A1954:I1973), LEFT(INDEX(FILTER(I$1:I1953, I$1:I1953&lt;&gt;""""),COUNTA(FILTER(I$1:I1953, I$1:I1953&lt;&gt;""""))), LEN(INDEX(FILTER(I$1:I1953, I$1:I1953&lt;&gt;""""),COUNTA(FILTER(I$1:I1953, I$1:I1953&lt;&gt;""""))))-1), IF('To Order'!$A1954=COL"&amp;"UMNS($A1954:I1973), I1953&amp;RIGHT(INDIRECT(ADDRESS(ROW(I1954)-1, 'From Order'!$A1954)), 1), I1953))"),"DVDTMZHZDMTTGMJRRVBBHFSCZWTSSPPJQVDD")</f>
        <v>DVDTMZHZDMTTGMJRRVBBHFSCZWTSSPPJQVDD</v>
      </c>
    </row>
    <row r="1955">
      <c r="A1955" s="2" t="str">
        <f>IFERROR(__xludf.DUMMYFUNCTION("IF('From Order'!$A1955=COLUMNS($A1955:A1974), LEFT(INDEX(FILTER(A$1:A1954, A$1:A1954&lt;&gt;""""),COUNTA(FILTER(A$1:A1954, A$1:A1954&lt;&gt;""""))), LEN(INDEX(FILTER(A$1:A1954, A$1:A1954&lt;&gt;""""),COUNTA(FILTER(A$1:A1954, A$1:A1954&lt;&gt;""""))))-1), IF('To Order'!$A1955=COL"&amp;"UMNS($A1955:A1974), A1954&amp;RIGHT(INDIRECT(ADDRESS(ROW(A1955)-1, 'From Order'!$A1955)), 1), A1954))"),"")</f>
        <v/>
      </c>
      <c r="B1955" s="2" t="str">
        <f>IFERROR(__xludf.DUMMYFUNCTION("IF('From Order'!$A1955=COLUMNS($A1955:B1974), LEFT(INDEX(FILTER(B$1:B1954, B$1:B1954&lt;&gt;""""),COUNTA(FILTER(B$1:B1954, B$1:B1954&lt;&gt;""""))), LEN(INDEX(FILTER(B$1:B1954, B$1:B1954&lt;&gt;""""),COUNTA(FILTER(B$1:B1954, B$1:B1954&lt;&gt;""""))))-1), IF('To Order'!$A1955=COL"&amp;"UMNS($A1955:B1974), B1954&amp;RIGHT(INDIRECT(ADDRESS(ROW(B1955)-1, 'From Order'!$A1955)), 1), B1954))"),"")</f>
        <v/>
      </c>
      <c r="C1955" s="2" t="str">
        <f>IFERROR(__xludf.DUMMYFUNCTION("IF('From Order'!$A1955=COLUMNS($A1955:C1974), LEFT(INDEX(FILTER(C$1:C1954, C$1:C1954&lt;&gt;""""),COUNTA(FILTER(C$1:C1954, C$1:C1954&lt;&gt;""""))), LEN(INDEX(FILTER(C$1:C1954, C$1:C1954&lt;&gt;""""),COUNTA(FILTER(C$1:C1954, C$1:C1954&lt;&gt;""""))))-1), IF('To Order'!$A1955=COL"&amp;"UMNS($A1955:C1974), C1954&amp;RIGHT(INDIRECT(ADDRESS(ROW(C1955)-1, 'From Order'!$A1955)), 1), C1954))"),"")</f>
        <v/>
      </c>
      <c r="D1955" s="2" t="str">
        <f>IFERROR(__xludf.DUMMYFUNCTION("IF('From Order'!$A1955=COLUMNS($A1955:D1974), LEFT(INDEX(FILTER(D$1:D1954, D$1:D1954&lt;&gt;""""),COUNTA(FILTER(D$1:D1954, D$1:D1954&lt;&gt;""""))), LEN(INDEX(FILTER(D$1:D1954, D$1:D1954&lt;&gt;""""),COUNTA(FILTER(D$1:D1954, D$1:D1954&lt;&gt;""""))))-1), IF('To Order'!$A1955=COL"&amp;"UMNS($A1955:D1974), D1954&amp;RIGHT(INDIRECT(ADDRESS(ROW(D1955)-1, 'From Order'!$A1955)), 1), D1954))"),"RBJC")</f>
        <v>RBJC</v>
      </c>
      <c r="E1955" s="2" t="str">
        <f>IFERROR(__xludf.DUMMYFUNCTION("IF('From Order'!$A1955=COLUMNS($A1955:E1974), LEFT(INDEX(FILTER(E$1:E1954, E$1:E1954&lt;&gt;""""),COUNTA(FILTER(E$1:E1954, E$1:E1954&lt;&gt;""""))), LEN(INDEX(FILTER(E$1:E1954, E$1:E1954&lt;&gt;""""),COUNTA(FILTER(E$1:E1954, E$1:E1954&lt;&gt;""""))))-1), IF('To Order'!$A1955=COL"&amp;"UMNS($A1955:E1974), E1954&amp;RIGHT(INDIRECT(ADDRESS(ROW(E1955)-1, 'From Order'!$A1955)), 1), E1954))"),"CRG")</f>
        <v>CRG</v>
      </c>
      <c r="F1955" s="2" t="str">
        <f>IFERROR(__xludf.DUMMYFUNCTION("IF('From Order'!$A1955=COLUMNS($A1955:F1974), LEFT(INDEX(FILTER(F$1:F1954, F$1:F1954&lt;&gt;""""),COUNTA(FILTER(F$1:F1954, F$1:F1954&lt;&gt;""""))), LEN(INDEX(FILTER(F$1:F1954, F$1:F1954&lt;&gt;""""),COUNTA(FILTER(F$1:F1954, F$1:F1954&lt;&gt;""""))))-1), IF('To Order'!$A1955=COL"&amp;"UMNS($A1955:F1974), F1954&amp;RIGHT(INDIRECT(ADDRESS(ROW(F1955)-1, 'From Order'!$A1955)), 1), F1954))"),"LDSPBFLL")</f>
        <v>LDSPBFLL</v>
      </c>
      <c r="G1955" s="2" t="str">
        <f>IFERROR(__xludf.DUMMYFUNCTION("IF('From Order'!$A1955=COLUMNS($A1955:G1974), LEFT(INDEX(FILTER(G$1:G1954, G$1:G1954&lt;&gt;""""),COUNTA(FILTER(G$1:G1954, G$1:G1954&lt;&gt;""""))), LEN(INDEX(FILTER(G$1:G1954, G$1:G1954&lt;&gt;""""),COUNTA(FILTER(G$1:G1954, G$1:G1954&lt;&gt;""""))))-1), IF('To Order'!$A1955=COL"&amp;"UMNS($A1955:G1974), G1954&amp;RIGHT(INDIRECT(ADDRESS(ROW(G1955)-1, 'From Order'!$A1955)), 1), G1954))"),"")</f>
        <v/>
      </c>
      <c r="H1955" s="2" t="str">
        <f>IFERROR(__xludf.DUMMYFUNCTION("IF('From Order'!$A1955=COLUMNS($A1955:H1974), LEFT(INDEX(FILTER(H$1:H1954, H$1:H1954&lt;&gt;""""),COUNTA(FILTER(H$1:H1954, H$1:H1954&lt;&gt;""""))), LEN(INDEX(FILTER(H$1:H1954, H$1:H1954&lt;&gt;""""),COUNTA(FILTER(H$1:H1954, H$1:H1954&lt;&gt;""""))))-1), IF('To Order'!$A1955=COL"&amp;"UMNS($A1955:H1974), H1954&amp;RIGHT(INDIRECT(ADDRESS(ROW(H1955)-1, 'From Order'!$A1955)), 1), H1954))"),"QTRT")</f>
        <v>QTRT</v>
      </c>
      <c r="I1955" s="2" t="str">
        <f>IFERROR(__xludf.DUMMYFUNCTION("IF('From Order'!$A1955=COLUMNS($A1955:I1974), LEFT(INDEX(FILTER(I$1:I1954, I$1:I1954&lt;&gt;""""),COUNTA(FILTER(I$1:I1954, I$1:I1954&lt;&gt;""""))), LEN(INDEX(FILTER(I$1:I1954, I$1:I1954&lt;&gt;""""),COUNTA(FILTER(I$1:I1954, I$1:I1954&lt;&gt;""""))))-1), IF('To Order'!$A1955=COL"&amp;"UMNS($A1955:I1974), I1954&amp;RIGHT(INDIRECT(ADDRESS(ROW(I1955)-1, 'From Order'!$A1955)), 1), I1954))"),"DVDTMZHZDMTTGMJRRVBBHFSCZWTSSPPJQVDDW")</f>
        <v>DVDTMZHZDMTTGMJRRVBBHFSCZWTSSPPJQVDDW</v>
      </c>
    </row>
    <row r="1956">
      <c r="A1956" s="2" t="str">
        <f>IFERROR(__xludf.DUMMYFUNCTION("IF('From Order'!$A1956=COLUMNS($A1956:A1975), LEFT(INDEX(FILTER(A$1:A1955, A$1:A1955&lt;&gt;""""),COUNTA(FILTER(A$1:A1955, A$1:A1955&lt;&gt;""""))), LEN(INDEX(FILTER(A$1:A1955, A$1:A1955&lt;&gt;""""),COUNTA(FILTER(A$1:A1955, A$1:A1955&lt;&gt;""""))))-1), IF('To Order'!$A1956=COL"&amp;"UMNS($A1956:A1975), A1955&amp;RIGHT(INDIRECT(ADDRESS(ROW(A1956)-1, 'From Order'!$A1956)), 1), A1955))"),"")</f>
        <v/>
      </c>
      <c r="B1956" s="2" t="str">
        <f>IFERROR(__xludf.DUMMYFUNCTION("IF('From Order'!$A1956=COLUMNS($A1956:B1975), LEFT(INDEX(FILTER(B$1:B1955, B$1:B1955&lt;&gt;""""),COUNTA(FILTER(B$1:B1955, B$1:B1955&lt;&gt;""""))), LEN(INDEX(FILTER(B$1:B1955, B$1:B1955&lt;&gt;""""),COUNTA(FILTER(B$1:B1955, B$1:B1955&lt;&gt;""""))))-1), IF('To Order'!$A1956=COL"&amp;"UMNS($A1956:B1975), B1955&amp;RIGHT(INDIRECT(ADDRESS(ROW(B1956)-1, 'From Order'!$A1956)), 1), B1955))"),"")</f>
        <v/>
      </c>
      <c r="C1956" s="2" t="str">
        <f>IFERROR(__xludf.DUMMYFUNCTION("IF('From Order'!$A1956=COLUMNS($A1956:C1975), LEFT(INDEX(FILTER(C$1:C1955, C$1:C1955&lt;&gt;""""),COUNTA(FILTER(C$1:C1955, C$1:C1955&lt;&gt;""""))), LEN(INDEX(FILTER(C$1:C1955, C$1:C1955&lt;&gt;""""),COUNTA(FILTER(C$1:C1955, C$1:C1955&lt;&gt;""""))))-1), IF('To Order'!$A1956=COL"&amp;"UMNS($A1956:C1975), C1955&amp;RIGHT(INDIRECT(ADDRESS(ROW(C1956)-1, 'From Order'!$A1956)), 1), C1955))"),"")</f>
        <v/>
      </c>
      <c r="D1956" s="2" t="str">
        <f>IFERROR(__xludf.DUMMYFUNCTION("IF('From Order'!$A1956=COLUMNS($A1956:D1975), LEFT(INDEX(FILTER(D$1:D1955, D$1:D1955&lt;&gt;""""),COUNTA(FILTER(D$1:D1955, D$1:D1955&lt;&gt;""""))), LEN(INDEX(FILTER(D$1:D1955, D$1:D1955&lt;&gt;""""),COUNTA(FILTER(D$1:D1955, D$1:D1955&lt;&gt;""""))))-1), IF('To Order'!$A1956=COL"&amp;"UMNS($A1956:D1975), D1955&amp;RIGHT(INDIRECT(ADDRESS(ROW(D1956)-1, 'From Order'!$A1956)), 1), D1955))"),"RBJC")</f>
        <v>RBJC</v>
      </c>
      <c r="E1956" s="2" t="str">
        <f>IFERROR(__xludf.DUMMYFUNCTION("IF('From Order'!$A1956=COLUMNS($A1956:E1975), LEFT(INDEX(FILTER(E$1:E1955, E$1:E1955&lt;&gt;""""),COUNTA(FILTER(E$1:E1955, E$1:E1955&lt;&gt;""""))), LEN(INDEX(FILTER(E$1:E1955, E$1:E1955&lt;&gt;""""),COUNTA(FILTER(E$1:E1955, E$1:E1955&lt;&gt;""""))))-1), IF('To Order'!$A1956=COL"&amp;"UMNS($A1956:E1975), E1955&amp;RIGHT(INDIRECT(ADDRESS(ROW(E1956)-1, 'From Order'!$A1956)), 1), E1955))"),"CRG")</f>
        <v>CRG</v>
      </c>
      <c r="F1956" s="2" t="str">
        <f>IFERROR(__xludf.DUMMYFUNCTION("IF('From Order'!$A1956=COLUMNS($A1956:F1975), LEFT(INDEX(FILTER(F$1:F1955, F$1:F1955&lt;&gt;""""),COUNTA(FILTER(F$1:F1955, F$1:F1955&lt;&gt;""""))), LEN(INDEX(FILTER(F$1:F1955, F$1:F1955&lt;&gt;""""),COUNTA(FILTER(F$1:F1955, F$1:F1955&lt;&gt;""""))))-1), IF('To Order'!$A1956=COL"&amp;"UMNS($A1956:F1975), F1955&amp;RIGHT(INDIRECT(ADDRESS(ROW(F1956)-1, 'From Order'!$A1956)), 1), F1955))"),"LDSPBFL")</f>
        <v>LDSPBFL</v>
      </c>
      <c r="G1956" s="2" t="str">
        <f>IFERROR(__xludf.DUMMYFUNCTION("IF('From Order'!$A1956=COLUMNS($A1956:G1975), LEFT(INDEX(FILTER(G$1:G1955, G$1:G1955&lt;&gt;""""),COUNTA(FILTER(G$1:G1955, G$1:G1955&lt;&gt;""""))), LEN(INDEX(FILTER(G$1:G1955, G$1:G1955&lt;&gt;""""),COUNTA(FILTER(G$1:G1955, G$1:G1955&lt;&gt;""""))))-1), IF('To Order'!$A1956=COL"&amp;"UMNS($A1956:G1975), G1955&amp;RIGHT(INDIRECT(ADDRESS(ROW(G1956)-1, 'From Order'!$A1956)), 1), G1955))"),"")</f>
        <v/>
      </c>
      <c r="H1956" s="2" t="str">
        <f>IFERROR(__xludf.DUMMYFUNCTION("IF('From Order'!$A1956=COLUMNS($A1956:H1975), LEFT(INDEX(FILTER(H$1:H1955, H$1:H1955&lt;&gt;""""),COUNTA(FILTER(H$1:H1955, H$1:H1955&lt;&gt;""""))), LEN(INDEX(FILTER(H$1:H1955, H$1:H1955&lt;&gt;""""),COUNTA(FILTER(H$1:H1955, H$1:H1955&lt;&gt;""""))))-1), IF('To Order'!$A1956=COL"&amp;"UMNS($A1956:H1975), H1955&amp;RIGHT(INDIRECT(ADDRESS(ROW(H1956)-1, 'From Order'!$A1956)), 1), H1955))"),"QTRT")</f>
        <v>QTRT</v>
      </c>
      <c r="I1956" s="2" t="str">
        <f>IFERROR(__xludf.DUMMYFUNCTION("IF('From Order'!$A1956=COLUMNS($A1956:I1975), LEFT(INDEX(FILTER(I$1:I1955, I$1:I1955&lt;&gt;""""),COUNTA(FILTER(I$1:I1955, I$1:I1955&lt;&gt;""""))), LEN(INDEX(FILTER(I$1:I1955, I$1:I1955&lt;&gt;""""),COUNTA(FILTER(I$1:I1955, I$1:I1955&lt;&gt;""""))))-1), IF('To Order'!$A1956=COL"&amp;"UMNS($A1956:I1975), I1955&amp;RIGHT(INDIRECT(ADDRESS(ROW(I1956)-1, 'From Order'!$A1956)), 1), I1955))"),"DVDTMZHZDMTTGMJRRVBBHFSCZWTSSPPJQVDDWL")</f>
        <v>DVDTMZHZDMTTGMJRRVBBHFSCZWTSSPPJQVDDWL</v>
      </c>
    </row>
    <row r="1957">
      <c r="A1957" s="2" t="str">
        <f>IFERROR(__xludf.DUMMYFUNCTION("IF('From Order'!$A1957=COLUMNS($A1957:A1976), LEFT(INDEX(FILTER(A$1:A1956, A$1:A1956&lt;&gt;""""),COUNTA(FILTER(A$1:A1956, A$1:A1956&lt;&gt;""""))), LEN(INDEX(FILTER(A$1:A1956, A$1:A1956&lt;&gt;""""),COUNTA(FILTER(A$1:A1956, A$1:A1956&lt;&gt;""""))))-1), IF('To Order'!$A1957=COL"&amp;"UMNS($A1957:A1976), A1956&amp;RIGHT(INDIRECT(ADDRESS(ROW(A1957)-1, 'From Order'!$A1957)), 1), A1956))"),"")</f>
        <v/>
      </c>
      <c r="B1957" s="2" t="str">
        <f>IFERROR(__xludf.DUMMYFUNCTION("IF('From Order'!$A1957=COLUMNS($A1957:B1976), LEFT(INDEX(FILTER(B$1:B1956, B$1:B1956&lt;&gt;""""),COUNTA(FILTER(B$1:B1956, B$1:B1956&lt;&gt;""""))), LEN(INDEX(FILTER(B$1:B1956, B$1:B1956&lt;&gt;""""),COUNTA(FILTER(B$1:B1956, B$1:B1956&lt;&gt;""""))))-1), IF('To Order'!$A1957=COL"&amp;"UMNS($A1957:B1976), B1956&amp;RIGHT(INDIRECT(ADDRESS(ROW(B1957)-1, 'From Order'!$A1957)), 1), B1956))"),"")</f>
        <v/>
      </c>
      <c r="C1957" s="2" t="str">
        <f>IFERROR(__xludf.DUMMYFUNCTION("IF('From Order'!$A1957=COLUMNS($A1957:C1976), LEFT(INDEX(FILTER(C$1:C1956, C$1:C1956&lt;&gt;""""),COUNTA(FILTER(C$1:C1956, C$1:C1956&lt;&gt;""""))), LEN(INDEX(FILTER(C$1:C1956, C$1:C1956&lt;&gt;""""),COUNTA(FILTER(C$1:C1956, C$1:C1956&lt;&gt;""""))))-1), IF('To Order'!$A1957=COL"&amp;"UMNS($A1957:C1976), C1956&amp;RIGHT(INDIRECT(ADDRESS(ROW(C1957)-1, 'From Order'!$A1957)), 1), C1956))"),"")</f>
        <v/>
      </c>
      <c r="D1957" s="2" t="str">
        <f>IFERROR(__xludf.DUMMYFUNCTION("IF('From Order'!$A1957=COLUMNS($A1957:D1976), LEFT(INDEX(FILTER(D$1:D1956, D$1:D1956&lt;&gt;""""),COUNTA(FILTER(D$1:D1956, D$1:D1956&lt;&gt;""""))), LEN(INDEX(FILTER(D$1:D1956, D$1:D1956&lt;&gt;""""),COUNTA(FILTER(D$1:D1956, D$1:D1956&lt;&gt;""""))))-1), IF('To Order'!$A1957=COL"&amp;"UMNS($A1957:D1976), D1956&amp;RIGHT(INDIRECT(ADDRESS(ROW(D1957)-1, 'From Order'!$A1957)), 1), D1956))"),"RBJC")</f>
        <v>RBJC</v>
      </c>
      <c r="E1957" s="2" t="str">
        <f>IFERROR(__xludf.DUMMYFUNCTION("IF('From Order'!$A1957=COLUMNS($A1957:E1976), LEFT(INDEX(FILTER(E$1:E1956, E$1:E1956&lt;&gt;""""),COUNTA(FILTER(E$1:E1956, E$1:E1956&lt;&gt;""""))), LEN(INDEX(FILTER(E$1:E1956, E$1:E1956&lt;&gt;""""),COUNTA(FILTER(E$1:E1956, E$1:E1956&lt;&gt;""""))))-1), IF('To Order'!$A1957=COL"&amp;"UMNS($A1957:E1976), E1956&amp;RIGHT(INDIRECT(ADDRESS(ROW(E1957)-1, 'From Order'!$A1957)), 1), E1956))"),"CRG")</f>
        <v>CRG</v>
      </c>
      <c r="F1957" s="2" t="str">
        <f>IFERROR(__xludf.DUMMYFUNCTION("IF('From Order'!$A1957=COLUMNS($A1957:F1976), LEFT(INDEX(FILTER(F$1:F1956, F$1:F1956&lt;&gt;""""),COUNTA(FILTER(F$1:F1956, F$1:F1956&lt;&gt;""""))), LEN(INDEX(FILTER(F$1:F1956, F$1:F1956&lt;&gt;""""),COUNTA(FILTER(F$1:F1956, F$1:F1956&lt;&gt;""""))))-1), IF('To Order'!$A1957=COL"&amp;"UMNS($A1957:F1976), F1956&amp;RIGHT(INDIRECT(ADDRESS(ROW(F1957)-1, 'From Order'!$A1957)), 1), F1956))"),"LDSPBF")</f>
        <v>LDSPBF</v>
      </c>
      <c r="G1957" s="2" t="str">
        <f>IFERROR(__xludf.DUMMYFUNCTION("IF('From Order'!$A1957=COLUMNS($A1957:G1976), LEFT(INDEX(FILTER(G$1:G1956, G$1:G1956&lt;&gt;""""),COUNTA(FILTER(G$1:G1956, G$1:G1956&lt;&gt;""""))), LEN(INDEX(FILTER(G$1:G1956, G$1:G1956&lt;&gt;""""),COUNTA(FILTER(G$1:G1956, G$1:G1956&lt;&gt;""""))))-1), IF('To Order'!$A1957=COL"&amp;"UMNS($A1957:G1976), G1956&amp;RIGHT(INDIRECT(ADDRESS(ROW(G1957)-1, 'From Order'!$A1957)), 1), G1956))"),"")</f>
        <v/>
      </c>
      <c r="H1957" s="2" t="str">
        <f>IFERROR(__xludf.DUMMYFUNCTION("IF('From Order'!$A1957=COLUMNS($A1957:H1976), LEFT(INDEX(FILTER(H$1:H1956, H$1:H1956&lt;&gt;""""),COUNTA(FILTER(H$1:H1956, H$1:H1956&lt;&gt;""""))), LEN(INDEX(FILTER(H$1:H1956, H$1:H1956&lt;&gt;""""),COUNTA(FILTER(H$1:H1956, H$1:H1956&lt;&gt;""""))))-1), IF('To Order'!$A1957=COL"&amp;"UMNS($A1957:H1976), H1956&amp;RIGHT(INDIRECT(ADDRESS(ROW(H1957)-1, 'From Order'!$A1957)), 1), H1956))"),"QTRT")</f>
        <v>QTRT</v>
      </c>
      <c r="I1957" s="2" t="str">
        <f>IFERROR(__xludf.DUMMYFUNCTION("IF('From Order'!$A1957=COLUMNS($A1957:I1976), LEFT(INDEX(FILTER(I$1:I1956, I$1:I1956&lt;&gt;""""),COUNTA(FILTER(I$1:I1956, I$1:I1956&lt;&gt;""""))), LEN(INDEX(FILTER(I$1:I1956, I$1:I1956&lt;&gt;""""),COUNTA(FILTER(I$1:I1956, I$1:I1956&lt;&gt;""""))))-1), IF('To Order'!$A1957=COL"&amp;"UMNS($A1957:I1976), I1956&amp;RIGHT(INDIRECT(ADDRESS(ROW(I1957)-1, 'From Order'!$A1957)), 1), I1956))"),"DVDTMZHZDMTTGMJRRVBBHFSCZWTSSPPJQVDDWLL")</f>
        <v>DVDTMZHZDMTTGMJRRVBBHFSCZWTSSPPJQVDDWLL</v>
      </c>
    </row>
    <row r="1958">
      <c r="A1958" s="2" t="str">
        <f>IFERROR(__xludf.DUMMYFUNCTION("IF('From Order'!$A1958=COLUMNS($A1958:A1977), LEFT(INDEX(FILTER(A$1:A1957, A$1:A1957&lt;&gt;""""),COUNTA(FILTER(A$1:A1957, A$1:A1957&lt;&gt;""""))), LEN(INDEX(FILTER(A$1:A1957, A$1:A1957&lt;&gt;""""),COUNTA(FILTER(A$1:A1957, A$1:A1957&lt;&gt;""""))))-1), IF('To Order'!$A1958=COL"&amp;"UMNS($A1958:A1977), A1957&amp;RIGHT(INDIRECT(ADDRESS(ROW(A1958)-1, 'From Order'!$A1958)), 1), A1957))"),"")</f>
        <v/>
      </c>
      <c r="B1958" s="2" t="str">
        <f>IFERROR(__xludf.DUMMYFUNCTION("IF('From Order'!$A1958=COLUMNS($A1958:B1977), LEFT(INDEX(FILTER(B$1:B1957, B$1:B1957&lt;&gt;""""),COUNTA(FILTER(B$1:B1957, B$1:B1957&lt;&gt;""""))), LEN(INDEX(FILTER(B$1:B1957, B$1:B1957&lt;&gt;""""),COUNTA(FILTER(B$1:B1957, B$1:B1957&lt;&gt;""""))))-1), IF('To Order'!$A1958=COL"&amp;"UMNS($A1958:B1977), B1957&amp;RIGHT(INDIRECT(ADDRESS(ROW(B1958)-1, 'From Order'!$A1958)), 1), B1957))"),"")</f>
        <v/>
      </c>
      <c r="C1958" s="2" t="str">
        <f>IFERROR(__xludf.DUMMYFUNCTION("IF('From Order'!$A1958=COLUMNS($A1958:C1977), LEFT(INDEX(FILTER(C$1:C1957, C$1:C1957&lt;&gt;""""),COUNTA(FILTER(C$1:C1957, C$1:C1957&lt;&gt;""""))), LEN(INDEX(FILTER(C$1:C1957, C$1:C1957&lt;&gt;""""),COUNTA(FILTER(C$1:C1957, C$1:C1957&lt;&gt;""""))))-1), IF('To Order'!$A1958=COL"&amp;"UMNS($A1958:C1977), C1957&amp;RIGHT(INDIRECT(ADDRESS(ROW(C1958)-1, 'From Order'!$A1958)), 1), C1957))"),"")</f>
        <v/>
      </c>
      <c r="D1958" s="2" t="str">
        <f>IFERROR(__xludf.DUMMYFUNCTION("IF('From Order'!$A1958=COLUMNS($A1958:D1977), LEFT(INDEX(FILTER(D$1:D1957, D$1:D1957&lt;&gt;""""),COUNTA(FILTER(D$1:D1957, D$1:D1957&lt;&gt;""""))), LEN(INDEX(FILTER(D$1:D1957, D$1:D1957&lt;&gt;""""),COUNTA(FILTER(D$1:D1957, D$1:D1957&lt;&gt;""""))))-1), IF('To Order'!$A1958=COL"&amp;"UMNS($A1958:D1977), D1957&amp;RIGHT(INDIRECT(ADDRESS(ROW(D1958)-1, 'From Order'!$A1958)), 1), D1957))"),"RBJC")</f>
        <v>RBJC</v>
      </c>
      <c r="E1958" s="2" t="str">
        <f>IFERROR(__xludf.DUMMYFUNCTION("IF('From Order'!$A1958=COLUMNS($A1958:E1977), LEFT(INDEX(FILTER(E$1:E1957, E$1:E1957&lt;&gt;""""),COUNTA(FILTER(E$1:E1957, E$1:E1957&lt;&gt;""""))), LEN(INDEX(FILTER(E$1:E1957, E$1:E1957&lt;&gt;""""),COUNTA(FILTER(E$1:E1957, E$1:E1957&lt;&gt;""""))))-1), IF('To Order'!$A1958=COL"&amp;"UMNS($A1958:E1977), E1957&amp;RIGHT(INDIRECT(ADDRESS(ROW(E1958)-1, 'From Order'!$A1958)), 1), E1957))"),"CRG")</f>
        <v>CRG</v>
      </c>
      <c r="F1958" s="2" t="str">
        <f>IFERROR(__xludf.DUMMYFUNCTION("IF('From Order'!$A1958=COLUMNS($A1958:F1977), LEFT(INDEX(FILTER(F$1:F1957, F$1:F1957&lt;&gt;""""),COUNTA(FILTER(F$1:F1957, F$1:F1957&lt;&gt;""""))), LEN(INDEX(FILTER(F$1:F1957, F$1:F1957&lt;&gt;""""),COUNTA(FILTER(F$1:F1957, F$1:F1957&lt;&gt;""""))))-1), IF('To Order'!$A1958=COL"&amp;"UMNS($A1958:F1977), F1957&amp;RIGHT(INDIRECT(ADDRESS(ROW(F1958)-1, 'From Order'!$A1958)), 1), F1957))"),"LDSPB")</f>
        <v>LDSPB</v>
      </c>
      <c r="G1958" s="2" t="str">
        <f>IFERROR(__xludf.DUMMYFUNCTION("IF('From Order'!$A1958=COLUMNS($A1958:G1977), LEFT(INDEX(FILTER(G$1:G1957, G$1:G1957&lt;&gt;""""),COUNTA(FILTER(G$1:G1957, G$1:G1957&lt;&gt;""""))), LEN(INDEX(FILTER(G$1:G1957, G$1:G1957&lt;&gt;""""),COUNTA(FILTER(G$1:G1957, G$1:G1957&lt;&gt;""""))))-1), IF('To Order'!$A1958=COL"&amp;"UMNS($A1958:G1977), G1957&amp;RIGHT(INDIRECT(ADDRESS(ROW(G1958)-1, 'From Order'!$A1958)), 1), G1957))"),"")</f>
        <v/>
      </c>
      <c r="H1958" s="2" t="str">
        <f>IFERROR(__xludf.DUMMYFUNCTION("IF('From Order'!$A1958=COLUMNS($A1958:H1977), LEFT(INDEX(FILTER(H$1:H1957, H$1:H1957&lt;&gt;""""),COUNTA(FILTER(H$1:H1957, H$1:H1957&lt;&gt;""""))), LEN(INDEX(FILTER(H$1:H1957, H$1:H1957&lt;&gt;""""),COUNTA(FILTER(H$1:H1957, H$1:H1957&lt;&gt;""""))))-1), IF('To Order'!$A1958=COL"&amp;"UMNS($A1958:H1977), H1957&amp;RIGHT(INDIRECT(ADDRESS(ROW(H1958)-1, 'From Order'!$A1958)), 1), H1957))"),"QTRT")</f>
        <v>QTRT</v>
      </c>
      <c r="I1958" s="2" t="str">
        <f>IFERROR(__xludf.DUMMYFUNCTION("IF('From Order'!$A1958=COLUMNS($A1958:I1977), LEFT(INDEX(FILTER(I$1:I1957, I$1:I1957&lt;&gt;""""),COUNTA(FILTER(I$1:I1957, I$1:I1957&lt;&gt;""""))), LEN(INDEX(FILTER(I$1:I1957, I$1:I1957&lt;&gt;""""),COUNTA(FILTER(I$1:I1957, I$1:I1957&lt;&gt;""""))))-1), IF('To Order'!$A1958=COL"&amp;"UMNS($A1958:I1977), I1957&amp;RIGHT(INDIRECT(ADDRESS(ROW(I1958)-1, 'From Order'!$A1958)), 1), I1957))"),"DVDTMZHZDMTTGMJRRVBBHFSCZWTSSPPJQVDDWLLF")</f>
        <v>DVDTMZHZDMTTGMJRRVBBHFSCZWTSSPPJQVDDWLLF</v>
      </c>
    </row>
    <row r="1959">
      <c r="A1959" s="2" t="str">
        <f>IFERROR(__xludf.DUMMYFUNCTION("IF('From Order'!$A1959=COLUMNS($A1959:A1978), LEFT(INDEX(FILTER(A$1:A1958, A$1:A1958&lt;&gt;""""),COUNTA(FILTER(A$1:A1958, A$1:A1958&lt;&gt;""""))), LEN(INDEX(FILTER(A$1:A1958, A$1:A1958&lt;&gt;""""),COUNTA(FILTER(A$1:A1958, A$1:A1958&lt;&gt;""""))))-1), IF('To Order'!$A1959=COL"&amp;"UMNS($A1959:A1978), A1958&amp;RIGHT(INDIRECT(ADDRESS(ROW(A1959)-1, 'From Order'!$A1959)), 1), A1958))"),"")</f>
        <v/>
      </c>
      <c r="B1959" s="2" t="str">
        <f>IFERROR(__xludf.DUMMYFUNCTION("IF('From Order'!$A1959=COLUMNS($A1959:B1978), LEFT(INDEX(FILTER(B$1:B1958, B$1:B1958&lt;&gt;""""),COUNTA(FILTER(B$1:B1958, B$1:B1958&lt;&gt;""""))), LEN(INDEX(FILTER(B$1:B1958, B$1:B1958&lt;&gt;""""),COUNTA(FILTER(B$1:B1958, B$1:B1958&lt;&gt;""""))))-1), IF('To Order'!$A1959=COL"&amp;"UMNS($A1959:B1978), B1958&amp;RIGHT(INDIRECT(ADDRESS(ROW(B1959)-1, 'From Order'!$A1959)), 1), B1958))"),"")</f>
        <v/>
      </c>
      <c r="C1959" s="2" t="str">
        <f>IFERROR(__xludf.DUMMYFUNCTION("IF('From Order'!$A1959=COLUMNS($A1959:C1978), LEFT(INDEX(FILTER(C$1:C1958, C$1:C1958&lt;&gt;""""),COUNTA(FILTER(C$1:C1958, C$1:C1958&lt;&gt;""""))), LEN(INDEX(FILTER(C$1:C1958, C$1:C1958&lt;&gt;""""),COUNTA(FILTER(C$1:C1958, C$1:C1958&lt;&gt;""""))))-1), IF('To Order'!$A1959=COL"&amp;"UMNS($A1959:C1978), C1958&amp;RIGHT(INDIRECT(ADDRESS(ROW(C1959)-1, 'From Order'!$A1959)), 1), C1958))"),"")</f>
        <v/>
      </c>
      <c r="D1959" s="2" t="str">
        <f>IFERROR(__xludf.DUMMYFUNCTION("IF('From Order'!$A1959=COLUMNS($A1959:D1978), LEFT(INDEX(FILTER(D$1:D1958, D$1:D1958&lt;&gt;""""),COUNTA(FILTER(D$1:D1958, D$1:D1958&lt;&gt;""""))), LEN(INDEX(FILTER(D$1:D1958, D$1:D1958&lt;&gt;""""),COUNTA(FILTER(D$1:D1958, D$1:D1958&lt;&gt;""""))))-1), IF('To Order'!$A1959=COL"&amp;"UMNS($A1959:D1978), D1958&amp;RIGHT(INDIRECT(ADDRESS(ROW(D1959)-1, 'From Order'!$A1959)), 1), D1958))"),"RBJC")</f>
        <v>RBJC</v>
      </c>
      <c r="E1959" s="2" t="str">
        <f>IFERROR(__xludf.DUMMYFUNCTION("IF('From Order'!$A1959=COLUMNS($A1959:E1978), LEFT(INDEX(FILTER(E$1:E1958, E$1:E1958&lt;&gt;""""),COUNTA(FILTER(E$1:E1958, E$1:E1958&lt;&gt;""""))), LEN(INDEX(FILTER(E$1:E1958, E$1:E1958&lt;&gt;""""),COUNTA(FILTER(E$1:E1958, E$1:E1958&lt;&gt;""""))))-1), IF('To Order'!$A1959=COL"&amp;"UMNS($A1959:E1978), E1958&amp;RIGHT(INDIRECT(ADDRESS(ROW(E1959)-1, 'From Order'!$A1959)), 1), E1958))"),"CRG")</f>
        <v>CRG</v>
      </c>
      <c r="F1959" s="2" t="str">
        <f>IFERROR(__xludf.DUMMYFUNCTION("IF('From Order'!$A1959=COLUMNS($A1959:F1978), LEFT(INDEX(FILTER(F$1:F1958, F$1:F1958&lt;&gt;""""),COUNTA(FILTER(F$1:F1958, F$1:F1958&lt;&gt;""""))), LEN(INDEX(FILTER(F$1:F1958, F$1:F1958&lt;&gt;""""),COUNTA(FILTER(F$1:F1958, F$1:F1958&lt;&gt;""""))))-1), IF('To Order'!$A1959=COL"&amp;"UMNS($A1959:F1978), F1958&amp;RIGHT(INDIRECT(ADDRESS(ROW(F1959)-1, 'From Order'!$A1959)), 1), F1958))"),"LDSP")</f>
        <v>LDSP</v>
      </c>
      <c r="G1959" s="2" t="str">
        <f>IFERROR(__xludf.DUMMYFUNCTION("IF('From Order'!$A1959=COLUMNS($A1959:G1978), LEFT(INDEX(FILTER(G$1:G1958, G$1:G1958&lt;&gt;""""),COUNTA(FILTER(G$1:G1958, G$1:G1958&lt;&gt;""""))), LEN(INDEX(FILTER(G$1:G1958, G$1:G1958&lt;&gt;""""),COUNTA(FILTER(G$1:G1958, G$1:G1958&lt;&gt;""""))))-1), IF('To Order'!$A1959=COL"&amp;"UMNS($A1959:G1978), G1958&amp;RIGHT(INDIRECT(ADDRESS(ROW(G1959)-1, 'From Order'!$A1959)), 1), G1958))"),"")</f>
        <v/>
      </c>
      <c r="H1959" s="2" t="str">
        <f>IFERROR(__xludf.DUMMYFUNCTION("IF('From Order'!$A1959=COLUMNS($A1959:H1978), LEFT(INDEX(FILTER(H$1:H1958, H$1:H1958&lt;&gt;""""),COUNTA(FILTER(H$1:H1958, H$1:H1958&lt;&gt;""""))), LEN(INDEX(FILTER(H$1:H1958, H$1:H1958&lt;&gt;""""),COUNTA(FILTER(H$1:H1958, H$1:H1958&lt;&gt;""""))))-1), IF('To Order'!$A1959=COL"&amp;"UMNS($A1959:H1978), H1958&amp;RIGHT(INDIRECT(ADDRESS(ROW(H1959)-1, 'From Order'!$A1959)), 1), H1958))"),"QTRT")</f>
        <v>QTRT</v>
      </c>
      <c r="I1959" s="2" t="str">
        <f>IFERROR(__xludf.DUMMYFUNCTION("IF('From Order'!$A1959=COLUMNS($A1959:I1978), LEFT(INDEX(FILTER(I$1:I1958, I$1:I1958&lt;&gt;""""),COUNTA(FILTER(I$1:I1958, I$1:I1958&lt;&gt;""""))), LEN(INDEX(FILTER(I$1:I1958, I$1:I1958&lt;&gt;""""),COUNTA(FILTER(I$1:I1958, I$1:I1958&lt;&gt;""""))))-1), IF('To Order'!$A1959=COL"&amp;"UMNS($A1959:I1978), I1958&amp;RIGHT(INDIRECT(ADDRESS(ROW(I1959)-1, 'From Order'!$A1959)), 1), I1958))"),"DVDTMZHZDMTTGMJRRVBBHFSCZWTSSPPJQVDDWLLFB")</f>
        <v>DVDTMZHZDMTTGMJRRVBBHFSCZWTSSPPJQVDDWLLFB</v>
      </c>
    </row>
    <row r="1960">
      <c r="A1960" s="2" t="str">
        <f>IFERROR(__xludf.DUMMYFUNCTION("IF('From Order'!$A1960=COLUMNS($A1960:A1979), LEFT(INDEX(FILTER(A$1:A1959, A$1:A1959&lt;&gt;""""),COUNTA(FILTER(A$1:A1959, A$1:A1959&lt;&gt;""""))), LEN(INDEX(FILTER(A$1:A1959, A$1:A1959&lt;&gt;""""),COUNTA(FILTER(A$1:A1959, A$1:A1959&lt;&gt;""""))))-1), IF('To Order'!$A1960=COL"&amp;"UMNS($A1960:A1979), A1959&amp;RIGHT(INDIRECT(ADDRESS(ROW(A1960)-1, 'From Order'!$A1960)), 1), A1959))"),"")</f>
        <v/>
      </c>
      <c r="B1960" s="2" t="str">
        <f>IFERROR(__xludf.DUMMYFUNCTION("IF('From Order'!$A1960=COLUMNS($A1960:B1979), LEFT(INDEX(FILTER(B$1:B1959, B$1:B1959&lt;&gt;""""),COUNTA(FILTER(B$1:B1959, B$1:B1959&lt;&gt;""""))), LEN(INDEX(FILTER(B$1:B1959, B$1:B1959&lt;&gt;""""),COUNTA(FILTER(B$1:B1959, B$1:B1959&lt;&gt;""""))))-1), IF('To Order'!$A1960=COL"&amp;"UMNS($A1960:B1979), B1959&amp;RIGHT(INDIRECT(ADDRESS(ROW(B1960)-1, 'From Order'!$A1960)), 1), B1959))"),"")</f>
        <v/>
      </c>
      <c r="C1960" s="2" t="str">
        <f>IFERROR(__xludf.DUMMYFUNCTION("IF('From Order'!$A1960=COLUMNS($A1960:C1979), LEFT(INDEX(FILTER(C$1:C1959, C$1:C1959&lt;&gt;""""),COUNTA(FILTER(C$1:C1959, C$1:C1959&lt;&gt;""""))), LEN(INDEX(FILTER(C$1:C1959, C$1:C1959&lt;&gt;""""),COUNTA(FILTER(C$1:C1959, C$1:C1959&lt;&gt;""""))))-1), IF('To Order'!$A1960=COL"&amp;"UMNS($A1960:C1979), C1959&amp;RIGHT(INDIRECT(ADDRESS(ROW(C1960)-1, 'From Order'!$A1960)), 1), C1959))"),"")</f>
        <v/>
      </c>
      <c r="D1960" s="2" t="str">
        <f>IFERROR(__xludf.DUMMYFUNCTION("IF('From Order'!$A1960=COLUMNS($A1960:D1979), LEFT(INDEX(FILTER(D$1:D1959, D$1:D1959&lt;&gt;""""),COUNTA(FILTER(D$1:D1959, D$1:D1959&lt;&gt;""""))), LEN(INDEX(FILTER(D$1:D1959, D$1:D1959&lt;&gt;""""),COUNTA(FILTER(D$1:D1959, D$1:D1959&lt;&gt;""""))))-1), IF('To Order'!$A1960=COL"&amp;"UMNS($A1960:D1979), D1959&amp;RIGHT(INDIRECT(ADDRESS(ROW(D1960)-1, 'From Order'!$A1960)), 1), D1959))"),"RBJC")</f>
        <v>RBJC</v>
      </c>
      <c r="E1960" s="2" t="str">
        <f>IFERROR(__xludf.DUMMYFUNCTION("IF('From Order'!$A1960=COLUMNS($A1960:E1979), LEFT(INDEX(FILTER(E$1:E1959, E$1:E1959&lt;&gt;""""),COUNTA(FILTER(E$1:E1959, E$1:E1959&lt;&gt;""""))), LEN(INDEX(FILTER(E$1:E1959, E$1:E1959&lt;&gt;""""),COUNTA(FILTER(E$1:E1959, E$1:E1959&lt;&gt;""""))))-1), IF('To Order'!$A1960=COL"&amp;"UMNS($A1960:E1979), E1959&amp;RIGHT(INDIRECT(ADDRESS(ROW(E1960)-1, 'From Order'!$A1960)), 1), E1959))"),"CRG")</f>
        <v>CRG</v>
      </c>
      <c r="F1960" s="2" t="str">
        <f>IFERROR(__xludf.DUMMYFUNCTION("IF('From Order'!$A1960=COLUMNS($A1960:F1979), LEFT(INDEX(FILTER(F$1:F1959, F$1:F1959&lt;&gt;""""),COUNTA(FILTER(F$1:F1959, F$1:F1959&lt;&gt;""""))), LEN(INDEX(FILTER(F$1:F1959, F$1:F1959&lt;&gt;""""),COUNTA(FILTER(F$1:F1959, F$1:F1959&lt;&gt;""""))))-1), IF('To Order'!$A1960=COL"&amp;"UMNS($A1960:F1979), F1959&amp;RIGHT(INDIRECT(ADDRESS(ROW(F1960)-1, 'From Order'!$A1960)), 1), F1959))"),"LDS")</f>
        <v>LDS</v>
      </c>
      <c r="G1960" s="2" t="str">
        <f>IFERROR(__xludf.DUMMYFUNCTION("IF('From Order'!$A1960=COLUMNS($A1960:G1979), LEFT(INDEX(FILTER(G$1:G1959, G$1:G1959&lt;&gt;""""),COUNTA(FILTER(G$1:G1959, G$1:G1959&lt;&gt;""""))), LEN(INDEX(FILTER(G$1:G1959, G$1:G1959&lt;&gt;""""),COUNTA(FILTER(G$1:G1959, G$1:G1959&lt;&gt;""""))))-1), IF('To Order'!$A1960=COL"&amp;"UMNS($A1960:G1979), G1959&amp;RIGHT(INDIRECT(ADDRESS(ROW(G1960)-1, 'From Order'!$A1960)), 1), G1959))"),"")</f>
        <v/>
      </c>
      <c r="H1960" s="2" t="str">
        <f>IFERROR(__xludf.DUMMYFUNCTION("IF('From Order'!$A1960=COLUMNS($A1960:H1979), LEFT(INDEX(FILTER(H$1:H1959, H$1:H1959&lt;&gt;""""),COUNTA(FILTER(H$1:H1959, H$1:H1959&lt;&gt;""""))), LEN(INDEX(FILTER(H$1:H1959, H$1:H1959&lt;&gt;""""),COUNTA(FILTER(H$1:H1959, H$1:H1959&lt;&gt;""""))))-1), IF('To Order'!$A1960=COL"&amp;"UMNS($A1960:H1979), H1959&amp;RIGHT(INDIRECT(ADDRESS(ROW(H1960)-1, 'From Order'!$A1960)), 1), H1959))"),"QTRT")</f>
        <v>QTRT</v>
      </c>
      <c r="I1960" s="2" t="str">
        <f>IFERROR(__xludf.DUMMYFUNCTION("IF('From Order'!$A1960=COLUMNS($A1960:I1979), LEFT(INDEX(FILTER(I$1:I1959, I$1:I1959&lt;&gt;""""),COUNTA(FILTER(I$1:I1959, I$1:I1959&lt;&gt;""""))), LEN(INDEX(FILTER(I$1:I1959, I$1:I1959&lt;&gt;""""),COUNTA(FILTER(I$1:I1959, I$1:I1959&lt;&gt;""""))))-1), IF('To Order'!$A1960=COL"&amp;"UMNS($A1960:I1979), I1959&amp;RIGHT(INDIRECT(ADDRESS(ROW(I1960)-1, 'From Order'!$A1960)), 1), I1959))"),"DVDTMZHZDMTTGMJRRVBBHFSCZWTSSPPJQVDDWLLFBP")</f>
        <v>DVDTMZHZDMTTGMJRRVBBHFSCZWTSSPPJQVDDWLLFBP</v>
      </c>
    </row>
    <row r="1961">
      <c r="A1961" s="2" t="str">
        <f>IFERROR(__xludf.DUMMYFUNCTION("IF('From Order'!$A1961=COLUMNS($A1961:A1980), LEFT(INDEX(FILTER(A$1:A1960, A$1:A1960&lt;&gt;""""),COUNTA(FILTER(A$1:A1960, A$1:A1960&lt;&gt;""""))), LEN(INDEX(FILTER(A$1:A1960, A$1:A1960&lt;&gt;""""),COUNTA(FILTER(A$1:A1960, A$1:A1960&lt;&gt;""""))))-1), IF('To Order'!$A1961=COL"&amp;"UMNS($A1961:A1980), A1960&amp;RIGHT(INDIRECT(ADDRESS(ROW(A1961)-1, 'From Order'!$A1961)), 1), A1960))"),"")</f>
        <v/>
      </c>
      <c r="B1961" s="2" t="str">
        <f>IFERROR(__xludf.DUMMYFUNCTION("IF('From Order'!$A1961=COLUMNS($A1961:B1980), LEFT(INDEX(FILTER(B$1:B1960, B$1:B1960&lt;&gt;""""),COUNTA(FILTER(B$1:B1960, B$1:B1960&lt;&gt;""""))), LEN(INDEX(FILTER(B$1:B1960, B$1:B1960&lt;&gt;""""),COUNTA(FILTER(B$1:B1960, B$1:B1960&lt;&gt;""""))))-1), IF('To Order'!$A1961=COL"&amp;"UMNS($A1961:B1980), B1960&amp;RIGHT(INDIRECT(ADDRESS(ROW(B1961)-1, 'From Order'!$A1961)), 1), B1960))"),"")</f>
        <v/>
      </c>
      <c r="C1961" s="2" t="str">
        <f>IFERROR(__xludf.DUMMYFUNCTION("IF('From Order'!$A1961=COLUMNS($A1961:C1980), LEFT(INDEX(FILTER(C$1:C1960, C$1:C1960&lt;&gt;""""),COUNTA(FILTER(C$1:C1960, C$1:C1960&lt;&gt;""""))), LEN(INDEX(FILTER(C$1:C1960, C$1:C1960&lt;&gt;""""),COUNTA(FILTER(C$1:C1960, C$1:C1960&lt;&gt;""""))))-1), IF('To Order'!$A1961=COL"&amp;"UMNS($A1961:C1980), C1960&amp;RIGHT(INDIRECT(ADDRESS(ROW(C1961)-1, 'From Order'!$A1961)), 1), C1960))"),"")</f>
        <v/>
      </c>
      <c r="D1961" s="2" t="str">
        <f>IFERROR(__xludf.DUMMYFUNCTION("IF('From Order'!$A1961=COLUMNS($A1961:D1980), LEFT(INDEX(FILTER(D$1:D1960, D$1:D1960&lt;&gt;""""),COUNTA(FILTER(D$1:D1960, D$1:D1960&lt;&gt;""""))), LEN(INDEX(FILTER(D$1:D1960, D$1:D1960&lt;&gt;""""),COUNTA(FILTER(D$1:D1960, D$1:D1960&lt;&gt;""""))))-1), IF('To Order'!$A1961=COL"&amp;"UMNS($A1961:D1980), D1960&amp;RIGHT(INDIRECT(ADDRESS(ROW(D1961)-1, 'From Order'!$A1961)), 1), D1960))"),"RBJC")</f>
        <v>RBJC</v>
      </c>
      <c r="E1961" s="2" t="str">
        <f>IFERROR(__xludf.DUMMYFUNCTION("IF('From Order'!$A1961=COLUMNS($A1961:E1980), LEFT(INDEX(FILTER(E$1:E1960, E$1:E1960&lt;&gt;""""),COUNTA(FILTER(E$1:E1960, E$1:E1960&lt;&gt;""""))), LEN(INDEX(FILTER(E$1:E1960, E$1:E1960&lt;&gt;""""),COUNTA(FILTER(E$1:E1960, E$1:E1960&lt;&gt;""""))))-1), IF('To Order'!$A1961=COL"&amp;"UMNS($A1961:E1980), E1960&amp;RIGHT(INDIRECT(ADDRESS(ROW(E1961)-1, 'From Order'!$A1961)), 1), E1960))"),"CRG")</f>
        <v>CRG</v>
      </c>
      <c r="F1961" s="2" t="str">
        <f>IFERROR(__xludf.DUMMYFUNCTION("IF('From Order'!$A1961=COLUMNS($A1961:F1980), LEFT(INDEX(FILTER(F$1:F1960, F$1:F1960&lt;&gt;""""),COUNTA(FILTER(F$1:F1960, F$1:F1960&lt;&gt;""""))), LEN(INDEX(FILTER(F$1:F1960, F$1:F1960&lt;&gt;""""),COUNTA(FILTER(F$1:F1960, F$1:F1960&lt;&gt;""""))))-1), IF('To Order'!$A1961=COL"&amp;"UMNS($A1961:F1980), F1960&amp;RIGHT(INDIRECT(ADDRESS(ROW(F1961)-1, 'From Order'!$A1961)), 1), F1960))"),"LD")</f>
        <v>LD</v>
      </c>
      <c r="G1961" s="2" t="str">
        <f>IFERROR(__xludf.DUMMYFUNCTION("IF('From Order'!$A1961=COLUMNS($A1961:G1980), LEFT(INDEX(FILTER(G$1:G1960, G$1:G1960&lt;&gt;""""),COUNTA(FILTER(G$1:G1960, G$1:G1960&lt;&gt;""""))), LEN(INDEX(FILTER(G$1:G1960, G$1:G1960&lt;&gt;""""),COUNTA(FILTER(G$1:G1960, G$1:G1960&lt;&gt;""""))))-1), IF('To Order'!$A1961=COL"&amp;"UMNS($A1961:G1980), G1960&amp;RIGHT(INDIRECT(ADDRESS(ROW(G1961)-1, 'From Order'!$A1961)), 1), G1960))"),"")</f>
        <v/>
      </c>
      <c r="H1961" s="2" t="str">
        <f>IFERROR(__xludf.DUMMYFUNCTION("IF('From Order'!$A1961=COLUMNS($A1961:H1980), LEFT(INDEX(FILTER(H$1:H1960, H$1:H1960&lt;&gt;""""),COUNTA(FILTER(H$1:H1960, H$1:H1960&lt;&gt;""""))), LEN(INDEX(FILTER(H$1:H1960, H$1:H1960&lt;&gt;""""),COUNTA(FILTER(H$1:H1960, H$1:H1960&lt;&gt;""""))))-1), IF('To Order'!$A1961=COL"&amp;"UMNS($A1961:H1980), H1960&amp;RIGHT(INDIRECT(ADDRESS(ROW(H1961)-1, 'From Order'!$A1961)), 1), H1960))"),"QTRT")</f>
        <v>QTRT</v>
      </c>
      <c r="I1961" s="2" t="str">
        <f>IFERROR(__xludf.DUMMYFUNCTION("IF('From Order'!$A1961=COLUMNS($A1961:I1980), LEFT(INDEX(FILTER(I$1:I1960, I$1:I1960&lt;&gt;""""),COUNTA(FILTER(I$1:I1960, I$1:I1960&lt;&gt;""""))), LEN(INDEX(FILTER(I$1:I1960, I$1:I1960&lt;&gt;""""),COUNTA(FILTER(I$1:I1960, I$1:I1960&lt;&gt;""""))))-1), IF('To Order'!$A1961=COL"&amp;"UMNS($A1961:I1980), I1960&amp;RIGHT(INDIRECT(ADDRESS(ROW(I1961)-1, 'From Order'!$A1961)), 1), I1960))"),"DVDTMZHZDMTTGMJRRVBBHFSCZWTSSPPJQVDDWLLFBPS")</f>
        <v>DVDTMZHZDMTTGMJRRVBBHFSCZWTSSPPJQVDDWLLFBPS</v>
      </c>
    </row>
    <row r="1962">
      <c r="A1962" s="2" t="str">
        <f>IFERROR(__xludf.DUMMYFUNCTION("IF('From Order'!$A1962=COLUMNS($A1962:A1981), LEFT(INDEX(FILTER(A$1:A1961, A$1:A1961&lt;&gt;""""),COUNTA(FILTER(A$1:A1961, A$1:A1961&lt;&gt;""""))), LEN(INDEX(FILTER(A$1:A1961, A$1:A1961&lt;&gt;""""),COUNTA(FILTER(A$1:A1961, A$1:A1961&lt;&gt;""""))))-1), IF('To Order'!$A1962=COL"&amp;"UMNS($A1962:A1981), A1961&amp;RIGHT(INDIRECT(ADDRESS(ROW(A1962)-1, 'From Order'!$A1962)), 1), A1961))"),"")</f>
        <v/>
      </c>
      <c r="B1962" s="2" t="str">
        <f>IFERROR(__xludf.DUMMYFUNCTION("IF('From Order'!$A1962=COLUMNS($A1962:B1981), LEFT(INDEX(FILTER(B$1:B1961, B$1:B1961&lt;&gt;""""),COUNTA(FILTER(B$1:B1961, B$1:B1961&lt;&gt;""""))), LEN(INDEX(FILTER(B$1:B1961, B$1:B1961&lt;&gt;""""),COUNTA(FILTER(B$1:B1961, B$1:B1961&lt;&gt;""""))))-1), IF('To Order'!$A1962=COL"&amp;"UMNS($A1962:B1981), B1961&amp;RIGHT(INDIRECT(ADDRESS(ROW(B1962)-1, 'From Order'!$A1962)), 1), B1961))"),"")</f>
        <v/>
      </c>
      <c r="C1962" s="2" t="str">
        <f>IFERROR(__xludf.DUMMYFUNCTION("IF('From Order'!$A1962=COLUMNS($A1962:C1981), LEFT(INDEX(FILTER(C$1:C1961, C$1:C1961&lt;&gt;""""),COUNTA(FILTER(C$1:C1961, C$1:C1961&lt;&gt;""""))), LEN(INDEX(FILTER(C$1:C1961, C$1:C1961&lt;&gt;""""),COUNTA(FILTER(C$1:C1961, C$1:C1961&lt;&gt;""""))))-1), IF('To Order'!$A1962=COL"&amp;"UMNS($A1962:C1981), C1961&amp;RIGHT(INDIRECT(ADDRESS(ROW(C1962)-1, 'From Order'!$A1962)), 1), C1961))"),"")</f>
        <v/>
      </c>
      <c r="D1962" s="2" t="str">
        <f>IFERROR(__xludf.DUMMYFUNCTION("IF('From Order'!$A1962=COLUMNS($A1962:D1981), LEFT(INDEX(FILTER(D$1:D1961, D$1:D1961&lt;&gt;""""),COUNTA(FILTER(D$1:D1961, D$1:D1961&lt;&gt;""""))), LEN(INDEX(FILTER(D$1:D1961, D$1:D1961&lt;&gt;""""),COUNTA(FILTER(D$1:D1961, D$1:D1961&lt;&gt;""""))))-1), IF('To Order'!$A1962=COL"&amp;"UMNS($A1962:D1981), D1961&amp;RIGHT(INDIRECT(ADDRESS(ROW(D1962)-1, 'From Order'!$A1962)), 1), D1961))"),"RBJC")</f>
        <v>RBJC</v>
      </c>
      <c r="E1962" s="2" t="str">
        <f>IFERROR(__xludf.DUMMYFUNCTION("IF('From Order'!$A1962=COLUMNS($A1962:E1981), LEFT(INDEX(FILTER(E$1:E1961, E$1:E1961&lt;&gt;""""),COUNTA(FILTER(E$1:E1961, E$1:E1961&lt;&gt;""""))), LEN(INDEX(FILTER(E$1:E1961, E$1:E1961&lt;&gt;""""),COUNTA(FILTER(E$1:E1961, E$1:E1961&lt;&gt;""""))))-1), IF('To Order'!$A1962=COL"&amp;"UMNS($A1962:E1981), E1961&amp;RIGHT(INDIRECT(ADDRESS(ROW(E1962)-1, 'From Order'!$A1962)), 1), E1961))"),"CRG")</f>
        <v>CRG</v>
      </c>
      <c r="F1962" s="2" t="str">
        <f>IFERROR(__xludf.DUMMYFUNCTION("IF('From Order'!$A1962=COLUMNS($A1962:F1981), LEFT(INDEX(FILTER(F$1:F1961, F$1:F1961&lt;&gt;""""),COUNTA(FILTER(F$1:F1961, F$1:F1961&lt;&gt;""""))), LEN(INDEX(FILTER(F$1:F1961, F$1:F1961&lt;&gt;""""),COUNTA(FILTER(F$1:F1961, F$1:F1961&lt;&gt;""""))))-1), IF('To Order'!$A1962=COL"&amp;"UMNS($A1962:F1981), F1961&amp;RIGHT(INDIRECT(ADDRESS(ROW(F1962)-1, 'From Order'!$A1962)), 1), F1961))"),"L")</f>
        <v>L</v>
      </c>
      <c r="G1962" s="2" t="str">
        <f>IFERROR(__xludf.DUMMYFUNCTION("IF('From Order'!$A1962=COLUMNS($A1962:G1981), LEFT(INDEX(FILTER(G$1:G1961, G$1:G1961&lt;&gt;""""),COUNTA(FILTER(G$1:G1961, G$1:G1961&lt;&gt;""""))), LEN(INDEX(FILTER(G$1:G1961, G$1:G1961&lt;&gt;""""),COUNTA(FILTER(G$1:G1961, G$1:G1961&lt;&gt;""""))))-1), IF('To Order'!$A1962=COL"&amp;"UMNS($A1962:G1981), G1961&amp;RIGHT(INDIRECT(ADDRESS(ROW(G1962)-1, 'From Order'!$A1962)), 1), G1961))"),"")</f>
        <v/>
      </c>
      <c r="H1962" s="2" t="str">
        <f>IFERROR(__xludf.DUMMYFUNCTION("IF('From Order'!$A1962=COLUMNS($A1962:H1981), LEFT(INDEX(FILTER(H$1:H1961, H$1:H1961&lt;&gt;""""),COUNTA(FILTER(H$1:H1961, H$1:H1961&lt;&gt;""""))), LEN(INDEX(FILTER(H$1:H1961, H$1:H1961&lt;&gt;""""),COUNTA(FILTER(H$1:H1961, H$1:H1961&lt;&gt;""""))))-1), IF('To Order'!$A1962=COL"&amp;"UMNS($A1962:H1981), H1961&amp;RIGHT(INDIRECT(ADDRESS(ROW(H1962)-1, 'From Order'!$A1962)), 1), H1961))"),"QTRT")</f>
        <v>QTRT</v>
      </c>
      <c r="I1962" s="2" t="str">
        <f>IFERROR(__xludf.DUMMYFUNCTION("IF('From Order'!$A1962=COLUMNS($A1962:I1981), LEFT(INDEX(FILTER(I$1:I1961, I$1:I1961&lt;&gt;""""),COUNTA(FILTER(I$1:I1961, I$1:I1961&lt;&gt;""""))), LEN(INDEX(FILTER(I$1:I1961, I$1:I1961&lt;&gt;""""),COUNTA(FILTER(I$1:I1961, I$1:I1961&lt;&gt;""""))))-1), IF('To Order'!$A1962=COL"&amp;"UMNS($A1962:I1981), I1961&amp;RIGHT(INDIRECT(ADDRESS(ROW(I1962)-1, 'From Order'!$A1962)), 1), I1961))"),"DVDTMZHZDMTTGMJRRVBBHFSCZWTSSPPJQVDDWLLFBPSD")</f>
        <v>DVDTMZHZDMTTGMJRRVBBHFSCZWTSSPPJQVDDWLLFBPSD</v>
      </c>
    </row>
    <row r="1963">
      <c r="A1963" s="2" t="str">
        <f>IFERROR(__xludf.DUMMYFUNCTION("IF('From Order'!$A1963=COLUMNS($A1963:A1982), LEFT(INDEX(FILTER(A$1:A1962, A$1:A1962&lt;&gt;""""),COUNTA(FILTER(A$1:A1962, A$1:A1962&lt;&gt;""""))), LEN(INDEX(FILTER(A$1:A1962, A$1:A1962&lt;&gt;""""),COUNTA(FILTER(A$1:A1962, A$1:A1962&lt;&gt;""""))))-1), IF('To Order'!$A1963=COL"&amp;"UMNS($A1963:A1982), A1962&amp;RIGHT(INDIRECT(ADDRESS(ROW(A1963)-1, 'From Order'!$A1963)), 1), A1962))"),"")</f>
        <v/>
      </c>
      <c r="B1963" s="2" t="str">
        <f>IFERROR(__xludf.DUMMYFUNCTION("IF('From Order'!$A1963=COLUMNS($A1963:B1982), LEFT(INDEX(FILTER(B$1:B1962, B$1:B1962&lt;&gt;""""),COUNTA(FILTER(B$1:B1962, B$1:B1962&lt;&gt;""""))), LEN(INDEX(FILTER(B$1:B1962, B$1:B1962&lt;&gt;""""),COUNTA(FILTER(B$1:B1962, B$1:B1962&lt;&gt;""""))))-1), IF('To Order'!$A1963=COL"&amp;"UMNS($A1963:B1982), B1962&amp;RIGHT(INDIRECT(ADDRESS(ROW(B1963)-1, 'From Order'!$A1963)), 1), B1962))"),"")</f>
        <v/>
      </c>
      <c r="C1963" s="2" t="str">
        <f>IFERROR(__xludf.DUMMYFUNCTION("IF('From Order'!$A1963=COLUMNS($A1963:C1982), LEFT(INDEX(FILTER(C$1:C1962, C$1:C1962&lt;&gt;""""),COUNTA(FILTER(C$1:C1962, C$1:C1962&lt;&gt;""""))), LEN(INDEX(FILTER(C$1:C1962, C$1:C1962&lt;&gt;""""),COUNTA(FILTER(C$1:C1962, C$1:C1962&lt;&gt;""""))))-1), IF('To Order'!$A1963=COL"&amp;"UMNS($A1963:C1982), C1962&amp;RIGHT(INDIRECT(ADDRESS(ROW(C1963)-1, 'From Order'!$A1963)), 1), C1962))"),"")</f>
        <v/>
      </c>
      <c r="D1963" s="2" t="str">
        <f>IFERROR(__xludf.DUMMYFUNCTION("IF('From Order'!$A1963=COLUMNS($A1963:D1982), LEFT(INDEX(FILTER(D$1:D1962, D$1:D1962&lt;&gt;""""),COUNTA(FILTER(D$1:D1962, D$1:D1962&lt;&gt;""""))), LEN(INDEX(FILTER(D$1:D1962, D$1:D1962&lt;&gt;""""),COUNTA(FILTER(D$1:D1962, D$1:D1962&lt;&gt;""""))))-1), IF('To Order'!$A1963=COL"&amp;"UMNS($A1963:D1982), D1962&amp;RIGHT(INDIRECT(ADDRESS(ROW(D1963)-1, 'From Order'!$A1963)), 1), D1962))"),"RBJC")</f>
        <v>RBJC</v>
      </c>
      <c r="E1963" s="2" t="str">
        <f>IFERROR(__xludf.DUMMYFUNCTION("IF('From Order'!$A1963=COLUMNS($A1963:E1982), LEFT(INDEX(FILTER(E$1:E1962, E$1:E1962&lt;&gt;""""),COUNTA(FILTER(E$1:E1962, E$1:E1962&lt;&gt;""""))), LEN(INDEX(FILTER(E$1:E1962, E$1:E1962&lt;&gt;""""),COUNTA(FILTER(E$1:E1962, E$1:E1962&lt;&gt;""""))))-1), IF('To Order'!$A1963=COL"&amp;"UMNS($A1963:E1982), E1962&amp;RIGHT(INDIRECT(ADDRESS(ROW(E1963)-1, 'From Order'!$A1963)), 1), E1962))"),"CR")</f>
        <v>CR</v>
      </c>
      <c r="F1963" s="2" t="str">
        <f>IFERROR(__xludf.DUMMYFUNCTION("IF('From Order'!$A1963=COLUMNS($A1963:F1982), LEFT(INDEX(FILTER(F$1:F1962, F$1:F1962&lt;&gt;""""),COUNTA(FILTER(F$1:F1962, F$1:F1962&lt;&gt;""""))), LEN(INDEX(FILTER(F$1:F1962, F$1:F1962&lt;&gt;""""),COUNTA(FILTER(F$1:F1962, F$1:F1962&lt;&gt;""""))))-1), IF('To Order'!$A1963=COL"&amp;"UMNS($A1963:F1982), F1962&amp;RIGHT(INDIRECT(ADDRESS(ROW(F1963)-1, 'From Order'!$A1963)), 1), F1962))"),"L")</f>
        <v>L</v>
      </c>
      <c r="G1963" s="2" t="str">
        <f>IFERROR(__xludf.DUMMYFUNCTION("IF('From Order'!$A1963=COLUMNS($A1963:G1982), LEFT(INDEX(FILTER(G$1:G1962, G$1:G1962&lt;&gt;""""),COUNTA(FILTER(G$1:G1962, G$1:G1962&lt;&gt;""""))), LEN(INDEX(FILTER(G$1:G1962, G$1:G1962&lt;&gt;""""),COUNTA(FILTER(G$1:G1962, G$1:G1962&lt;&gt;""""))))-1), IF('To Order'!$A1963=COL"&amp;"UMNS($A1963:G1982), G1962&amp;RIGHT(INDIRECT(ADDRESS(ROW(G1963)-1, 'From Order'!$A1963)), 1), G1962))"),"G")</f>
        <v>G</v>
      </c>
      <c r="H1963" s="2" t="str">
        <f>IFERROR(__xludf.DUMMYFUNCTION("IF('From Order'!$A1963=COLUMNS($A1963:H1982), LEFT(INDEX(FILTER(H$1:H1962, H$1:H1962&lt;&gt;""""),COUNTA(FILTER(H$1:H1962, H$1:H1962&lt;&gt;""""))), LEN(INDEX(FILTER(H$1:H1962, H$1:H1962&lt;&gt;""""),COUNTA(FILTER(H$1:H1962, H$1:H1962&lt;&gt;""""))))-1), IF('To Order'!$A1963=COL"&amp;"UMNS($A1963:H1982), H1962&amp;RIGHT(INDIRECT(ADDRESS(ROW(H1963)-1, 'From Order'!$A1963)), 1), H1962))"),"QTRT")</f>
        <v>QTRT</v>
      </c>
      <c r="I1963" s="2" t="str">
        <f>IFERROR(__xludf.DUMMYFUNCTION("IF('From Order'!$A1963=COLUMNS($A1963:I1982), LEFT(INDEX(FILTER(I$1:I1962, I$1:I1962&lt;&gt;""""),COUNTA(FILTER(I$1:I1962, I$1:I1962&lt;&gt;""""))), LEN(INDEX(FILTER(I$1:I1962, I$1:I1962&lt;&gt;""""),COUNTA(FILTER(I$1:I1962, I$1:I1962&lt;&gt;""""))))-1), IF('To Order'!$A1963=COL"&amp;"UMNS($A1963:I1982), I1962&amp;RIGHT(INDIRECT(ADDRESS(ROW(I1963)-1, 'From Order'!$A1963)), 1), I1962))"),"DVDTMZHZDMTTGMJRRVBBHFSCZWTSSPPJQVDDWLLFBPSD")</f>
        <v>DVDTMZHZDMTTGMJRRVBBHFSCZWTSSPPJQVDDWLLFBPSD</v>
      </c>
    </row>
    <row r="1964">
      <c r="A1964" s="2" t="str">
        <f>IFERROR(__xludf.DUMMYFUNCTION("IF('From Order'!$A1964=COLUMNS($A1964:A1983), LEFT(INDEX(FILTER(A$1:A1963, A$1:A1963&lt;&gt;""""),COUNTA(FILTER(A$1:A1963, A$1:A1963&lt;&gt;""""))), LEN(INDEX(FILTER(A$1:A1963, A$1:A1963&lt;&gt;""""),COUNTA(FILTER(A$1:A1963, A$1:A1963&lt;&gt;""""))))-1), IF('To Order'!$A1964=COL"&amp;"UMNS($A1964:A1983), A1963&amp;RIGHT(INDIRECT(ADDRESS(ROW(A1964)-1, 'From Order'!$A1964)), 1), A1963))"),"")</f>
        <v/>
      </c>
      <c r="B1964" s="2" t="str">
        <f>IFERROR(__xludf.DUMMYFUNCTION("IF('From Order'!$A1964=COLUMNS($A1964:B1983), LEFT(INDEX(FILTER(B$1:B1963, B$1:B1963&lt;&gt;""""),COUNTA(FILTER(B$1:B1963, B$1:B1963&lt;&gt;""""))), LEN(INDEX(FILTER(B$1:B1963, B$1:B1963&lt;&gt;""""),COUNTA(FILTER(B$1:B1963, B$1:B1963&lt;&gt;""""))))-1), IF('To Order'!$A1964=COL"&amp;"UMNS($A1964:B1983), B1963&amp;RIGHT(INDIRECT(ADDRESS(ROW(B1964)-1, 'From Order'!$A1964)), 1), B1963))"),"")</f>
        <v/>
      </c>
      <c r="C1964" s="2" t="str">
        <f>IFERROR(__xludf.DUMMYFUNCTION("IF('From Order'!$A1964=COLUMNS($A1964:C1983), LEFT(INDEX(FILTER(C$1:C1963, C$1:C1963&lt;&gt;""""),COUNTA(FILTER(C$1:C1963, C$1:C1963&lt;&gt;""""))), LEN(INDEX(FILTER(C$1:C1963, C$1:C1963&lt;&gt;""""),COUNTA(FILTER(C$1:C1963, C$1:C1963&lt;&gt;""""))))-1), IF('To Order'!$A1964=COL"&amp;"UMNS($A1964:C1983), C1963&amp;RIGHT(INDIRECT(ADDRESS(ROW(C1964)-1, 'From Order'!$A1964)), 1), C1963))"),"")</f>
        <v/>
      </c>
      <c r="D1964" s="2" t="str">
        <f>IFERROR(__xludf.DUMMYFUNCTION("IF('From Order'!$A1964=COLUMNS($A1964:D1983), LEFT(INDEX(FILTER(D$1:D1963, D$1:D1963&lt;&gt;""""),COUNTA(FILTER(D$1:D1963, D$1:D1963&lt;&gt;""""))), LEN(INDEX(FILTER(D$1:D1963, D$1:D1963&lt;&gt;""""),COUNTA(FILTER(D$1:D1963, D$1:D1963&lt;&gt;""""))))-1), IF('To Order'!$A1964=COL"&amp;"UMNS($A1964:D1983), D1963&amp;RIGHT(INDIRECT(ADDRESS(ROW(D1964)-1, 'From Order'!$A1964)), 1), D1963))"),"RBJC")</f>
        <v>RBJC</v>
      </c>
      <c r="E1964" s="2" t="str">
        <f>IFERROR(__xludf.DUMMYFUNCTION("IF('From Order'!$A1964=COLUMNS($A1964:E1983), LEFT(INDEX(FILTER(E$1:E1963, E$1:E1963&lt;&gt;""""),COUNTA(FILTER(E$1:E1963, E$1:E1963&lt;&gt;""""))), LEN(INDEX(FILTER(E$1:E1963, E$1:E1963&lt;&gt;""""),COUNTA(FILTER(E$1:E1963, E$1:E1963&lt;&gt;""""))))-1), IF('To Order'!$A1964=COL"&amp;"UMNS($A1964:E1983), E1963&amp;RIGHT(INDIRECT(ADDRESS(ROW(E1964)-1, 'From Order'!$A1964)), 1), E1963))"),"C")</f>
        <v>C</v>
      </c>
      <c r="F1964" s="2" t="str">
        <f>IFERROR(__xludf.DUMMYFUNCTION("IF('From Order'!$A1964=COLUMNS($A1964:F1983), LEFT(INDEX(FILTER(F$1:F1963, F$1:F1963&lt;&gt;""""),COUNTA(FILTER(F$1:F1963, F$1:F1963&lt;&gt;""""))), LEN(INDEX(FILTER(F$1:F1963, F$1:F1963&lt;&gt;""""),COUNTA(FILTER(F$1:F1963, F$1:F1963&lt;&gt;""""))))-1), IF('To Order'!$A1964=COL"&amp;"UMNS($A1964:F1983), F1963&amp;RIGHT(INDIRECT(ADDRESS(ROW(F1964)-1, 'From Order'!$A1964)), 1), F1963))"),"L")</f>
        <v>L</v>
      </c>
      <c r="G1964" s="2" t="str">
        <f>IFERROR(__xludf.DUMMYFUNCTION("IF('From Order'!$A1964=COLUMNS($A1964:G1983), LEFT(INDEX(FILTER(G$1:G1963, G$1:G1963&lt;&gt;""""),COUNTA(FILTER(G$1:G1963, G$1:G1963&lt;&gt;""""))), LEN(INDEX(FILTER(G$1:G1963, G$1:G1963&lt;&gt;""""),COUNTA(FILTER(G$1:G1963, G$1:G1963&lt;&gt;""""))))-1), IF('To Order'!$A1964=COL"&amp;"UMNS($A1964:G1983), G1963&amp;RIGHT(INDIRECT(ADDRESS(ROW(G1964)-1, 'From Order'!$A1964)), 1), G1963))"),"GR")</f>
        <v>GR</v>
      </c>
      <c r="H1964" s="2" t="str">
        <f>IFERROR(__xludf.DUMMYFUNCTION("IF('From Order'!$A1964=COLUMNS($A1964:H1983), LEFT(INDEX(FILTER(H$1:H1963, H$1:H1963&lt;&gt;""""),COUNTA(FILTER(H$1:H1963, H$1:H1963&lt;&gt;""""))), LEN(INDEX(FILTER(H$1:H1963, H$1:H1963&lt;&gt;""""),COUNTA(FILTER(H$1:H1963, H$1:H1963&lt;&gt;""""))))-1), IF('To Order'!$A1964=COL"&amp;"UMNS($A1964:H1983), H1963&amp;RIGHT(INDIRECT(ADDRESS(ROW(H1964)-1, 'From Order'!$A1964)), 1), H1963))"),"QTRT")</f>
        <v>QTRT</v>
      </c>
      <c r="I1964" s="2" t="str">
        <f>IFERROR(__xludf.DUMMYFUNCTION("IF('From Order'!$A1964=COLUMNS($A1964:I1983), LEFT(INDEX(FILTER(I$1:I1963, I$1:I1963&lt;&gt;""""),COUNTA(FILTER(I$1:I1963, I$1:I1963&lt;&gt;""""))), LEN(INDEX(FILTER(I$1:I1963, I$1:I1963&lt;&gt;""""),COUNTA(FILTER(I$1:I1963, I$1:I1963&lt;&gt;""""))))-1), IF('To Order'!$A1964=COL"&amp;"UMNS($A1964:I1983), I1963&amp;RIGHT(INDIRECT(ADDRESS(ROW(I1964)-1, 'From Order'!$A1964)), 1), I1963))"),"DVDTMZHZDMTTGMJRRVBBHFSCZWTSSPPJQVDDWLLFBPSD")</f>
        <v>DVDTMZHZDMTTGMJRRVBBHFSCZWTSSPPJQVDDWLLFBPSD</v>
      </c>
    </row>
    <row r="1965">
      <c r="A1965" s="2" t="str">
        <f>IFERROR(__xludf.DUMMYFUNCTION("IF('From Order'!$A1965=COLUMNS($A1965:A1984), LEFT(INDEX(FILTER(A$1:A1964, A$1:A1964&lt;&gt;""""),COUNTA(FILTER(A$1:A1964, A$1:A1964&lt;&gt;""""))), LEN(INDEX(FILTER(A$1:A1964, A$1:A1964&lt;&gt;""""),COUNTA(FILTER(A$1:A1964, A$1:A1964&lt;&gt;""""))))-1), IF('To Order'!$A1965=COL"&amp;"UMNS($A1965:A1984), A1964&amp;RIGHT(INDIRECT(ADDRESS(ROW(A1965)-1, 'From Order'!$A1965)), 1), A1964))"),"")</f>
        <v/>
      </c>
      <c r="B1965" s="2" t="str">
        <f>IFERROR(__xludf.DUMMYFUNCTION("IF('From Order'!$A1965=COLUMNS($A1965:B1984), LEFT(INDEX(FILTER(B$1:B1964, B$1:B1964&lt;&gt;""""),COUNTA(FILTER(B$1:B1964, B$1:B1964&lt;&gt;""""))), LEN(INDEX(FILTER(B$1:B1964, B$1:B1964&lt;&gt;""""),COUNTA(FILTER(B$1:B1964, B$1:B1964&lt;&gt;""""))))-1), IF('To Order'!$A1965=COL"&amp;"UMNS($A1965:B1984), B1964&amp;RIGHT(INDIRECT(ADDRESS(ROW(B1965)-1, 'From Order'!$A1965)), 1), B1964))"),"")</f>
        <v/>
      </c>
      <c r="C1965" s="2" t="str">
        <f>IFERROR(__xludf.DUMMYFUNCTION("IF('From Order'!$A1965=COLUMNS($A1965:C1984), LEFT(INDEX(FILTER(C$1:C1964, C$1:C1964&lt;&gt;""""),COUNTA(FILTER(C$1:C1964, C$1:C1964&lt;&gt;""""))), LEN(INDEX(FILTER(C$1:C1964, C$1:C1964&lt;&gt;""""),COUNTA(FILTER(C$1:C1964, C$1:C1964&lt;&gt;""""))))-1), IF('To Order'!$A1965=COL"&amp;"UMNS($A1965:C1984), C1964&amp;RIGHT(INDIRECT(ADDRESS(ROW(C1965)-1, 'From Order'!$A1965)), 1), C1964))"),"")</f>
        <v/>
      </c>
      <c r="D1965" s="2" t="str">
        <f>IFERROR(__xludf.DUMMYFUNCTION("IF('From Order'!$A1965=COLUMNS($A1965:D1984), LEFT(INDEX(FILTER(D$1:D1964, D$1:D1964&lt;&gt;""""),COUNTA(FILTER(D$1:D1964, D$1:D1964&lt;&gt;""""))), LEN(INDEX(FILTER(D$1:D1964, D$1:D1964&lt;&gt;""""),COUNTA(FILTER(D$1:D1964, D$1:D1964&lt;&gt;""""))))-1), IF('To Order'!$A1965=COL"&amp;"UMNS($A1965:D1984), D1964&amp;RIGHT(INDIRECT(ADDRESS(ROW(D1965)-1, 'From Order'!$A1965)), 1), D1964))"),"RBJC")</f>
        <v>RBJC</v>
      </c>
      <c r="E1965" s="2" t="str">
        <f>IFERROR(__xludf.DUMMYFUNCTION("IF('From Order'!$A1965=COLUMNS($A1965:E1984), LEFT(INDEX(FILTER(E$1:E1964, E$1:E1964&lt;&gt;""""),COUNTA(FILTER(E$1:E1964, E$1:E1964&lt;&gt;""""))), LEN(INDEX(FILTER(E$1:E1964, E$1:E1964&lt;&gt;""""),COUNTA(FILTER(E$1:E1964, E$1:E1964&lt;&gt;""""))))-1), IF('To Order'!$A1965=COL"&amp;"UMNS($A1965:E1984), E1964&amp;RIGHT(INDIRECT(ADDRESS(ROW(E1965)-1, 'From Order'!$A1965)), 1), E1964))"),"")</f>
        <v/>
      </c>
      <c r="F1965" s="2" t="str">
        <f>IFERROR(__xludf.DUMMYFUNCTION("IF('From Order'!$A1965=COLUMNS($A1965:F1984), LEFT(INDEX(FILTER(F$1:F1964, F$1:F1964&lt;&gt;""""),COUNTA(FILTER(F$1:F1964, F$1:F1964&lt;&gt;""""))), LEN(INDEX(FILTER(F$1:F1964, F$1:F1964&lt;&gt;""""),COUNTA(FILTER(F$1:F1964, F$1:F1964&lt;&gt;""""))))-1), IF('To Order'!$A1965=COL"&amp;"UMNS($A1965:F1984), F1964&amp;RIGHT(INDIRECT(ADDRESS(ROW(F1965)-1, 'From Order'!$A1965)), 1), F1964))"),"L")</f>
        <v>L</v>
      </c>
      <c r="G1965" s="2" t="str">
        <f>IFERROR(__xludf.DUMMYFUNCTION("IF('From Order'!$A1965=COLUMNS($A1965:G1984), LEFT(INDEX(FILTER(G$1:G1964, G$1:G1964&lt;&gt;""""),COUNTA(FILTER(G$1:G1964, G$1:G1964&lt;&gt;""""))), LEN(INDEX(FILTER(G$1:G1964, G$1:G1964&lt;&gt;""""),COUNTA(FILTER(G$1:G1964, G$1:G1964&lt;&gt;""""))))-1), IF('To Order'!$A1965=COL"&amp;"UMNS($A1965:G1984), G1964&amp;RIGHT(INDIRECT(ADDRESS(ROW(G1965)-1, 'From Order'!$A1965)), 1), G1964))"),"GR")</f>
        <v>GR</v>
      </c>
      <c r="H1965" s="2" t="str">
        <f>IFERROR(__xludf.DUMMYFUNCTION("IF('From Order'!$A1965=COLUMNS($A1965:H1984), LEFT(INDEX(FILTER(H$1:H1964, H$1:H1964&lt;&gt;""""),COUNTA(FILTER(H$1:H1964, H$1:H1964&lt;&gt;""""))), LEN(INDEX(FILTER(H$1:H1964, H$1:H1964&lt;&gt;""""),COUNTA(FILTER(H$1:H1964, H$1:H1964&lt;&gt;""""))))-1), IF('To Order'!$A1965=COL"&amp;"UMNS($A1965:H1984), H1964&amp;RIGHT(INDIRECT(ADDRESS(ROW(H1965)-1, 'From Order'!$A1965)), 1), H1964))"),"QTRTC")</f>
        <v>QTRTC</v>
      </c>
      <c r="I1965" s="2" t="str">
        <f>IFERROR(__xludf.DUMMYFUNCTION("IF('From Order'!$A1965=COLUMNS($A1965:I1984), LEFT(INDEX(FILTER(I$1:I1964, I$1:I1964&lt;&gt;""""),COUNTA(FILTER(I$1:I1964, I$1:I1964&lt;&gt;""""))), LEN(INDEX(FILTER(I$1:I1964, I$1:I1964&lt;&gt;""""),COUNTA(FILTER(I$1:I1964, I$1:I1964&lt;&gt;""""))))-1), IF('To Order'!$A1965=COL"&amp;"UMNS($A1965:I1984), I1964&amp;RIGHT(INDIRECT(ADDRESS(ROW(I1965)-1, 'From Order'!$A1965)), 1), I1964))"),"DVDTMZHZDMTTGMJRRVBBHFSCZWTSSPPJQVDDWLLFBPSD")</f>
        <v>DVDTMZHZDMTTGMJRRVBBHFSCZWTSSPPJQVDDWLLFBPSD</v>
      </c>
    </row>
    <row r="1966">
      <c r="A1966" s="2" t="str">
        <f>IFERROR(__xludf.DUMMYFUNCTION("IF('From Order'!$A1966=COLUMNS($A1966:A1985), LEFT(INDEX(FILTER(A$1:A1965, A$1:A1965&lt;&gt;""""),COUNTA(FILTER(A$1:A1965, A$1:A1965&lt;&gt;""""))), LEN(INDEX(FILTER(A$1:A1965, A$1:A1965&lt;&gt;""""),COUNTA(FILTER(A$1:A1965, A$1:A1965&lt;&gt;""""))))-1), IF('To Order'!$A1966=COL"&amp;"UMNS($A1966:A1985), A1965&amp;RIGHT(INDIRECT(ADDRESS(ROW(A1966)-1, 'From Order'!$A1966)), 1), A1965))"),"D")</f>
        <v>D</v>
      </c>
      <c r="B1966" s="2" t="str">
        <f>IFERROR(__xludf.DUMMYFUNCTION("IF('From Order'!$A1966=COLUMNS($A1966:B1985), LEFT(INDEX(FILTER(B$1:B1965, B$1:B1965&lt;&gt;""""),COUNTA(FILTER(B$1:B1965, B$1:B1965&lt;&gt;""""))), LEN(INDEX(FILTER(B$1:B1965, B$1:B1965&lt;&gt;""""),COUNTA(FILTER(B$1:B1965, B$1:B1965&lt;&gt;""""))))-1), IF('To Order'!$A1966=COL"&amp;"UMNS($A1966:B1985), B1965&amp;RIGHT(INDIRECT(ADDRESS(ROW(B1966)-1, 'From Order'!$A1966)), 1), B1965))"),"")</f>
        <v/>
      </c>
      <c r="C1966" s="2" t="str">
        <f>IFERROR(__xludf.DUMMYFUNCTION("IF('From Order'!$A1966=COLUMNS($A1966:C1985), LEFT(INDEX(FILTER(C$1:C1965, C$1:C1965&lt;&gt;""""),COUNTA(FILTER(C$1:C1965, C$1:C1965&lt;&gt;""""))), LEN(INDEX(FILTER(C$1:C1965, C$1:C1965&lt;&gt;""""),COUNTA(FILTER(C$1:C1965, C$1:C1965&lt;&gt;""""))))-1), IF('To Order'!$A1966=COL"&amp;"UMNS($A1966:C1985), C1965&amp;RIGHT(INDIRECT(ADDRESS(ROW(C1966)-1, 'From Order'!$A1966)), 1), C1965))"),"")</f>
        <v/>
      </c>
      <c r="D1966" s="2" t="str">
        <f>IFERROR(__xludf.DUMMYFUNCTION("IF('From Order'!$A1966=COLUMNS($A1966:D1985), LEFT(INDEX(FILTER(D$1:D1965, D$1:D1965&lt;&gt;""""),COUNTA(FILTER(D$1:D1965, D$1:D1965&lt;&gt;""""))), LEN(INDEX(FILTER(D$1:D1965, D$1:D1965&lt;&gt;""""),COUNTA(FILTER(D$1:D1965, D$1:D1965&lt;&gt;""""))))-1), IF('To Order'!$A1966=COL"&amp;"UMNS($A1966:D1985), D1965&amp;RIGHT(INDIRECT(ADDRESS(ROW(D1966)-1, 'From Order'!$A1966)), 1), D1965))"),"RBJC")</f>
        <v>RBJC</v>
      </c>
      <c r="E1966" s="2" t="str">
        <f>IFERROR(__xludf.DUMMYFUNCTION("IF('From Order'!$A1966=COLUMNS($A1966:E1985), LEFT(INDEX(FILTER(E$1:E1965, E$1:E1965&lt;&gt;""""),COUNTA(FILTER(E$1:E1965, E$1:E1965&lt;&gt;""""))), LEN(INDEX(FILTER(E$1:E1965, E$1:E1965&lt;&gt;""""),COUNTA(FILTER(E$1:E1965, E$1:E1965&lt;&gt;""""))))-1), IF('To Order'!$A1966=COL"&amp;"UMNS($A1966:E1985), E1965&amp;RIGHT(INDIRECT(ADDRESS(ROW(E1966)-1, 'From Order'!$A1966)), 1), E1965))"),"")</f>
        <v/>
      </c>
      <c r="F1966" s="2" t="str">
        <f>IFERROR(__xludf.DUMMYFUNCTION("IF('From Order'!$A1966=COLUMNS($A1966:F1985), LEFT(INDEX(FILTER(F$1:F1965, F$1:F1965&lt;&gt;""""),COUNTA(FILTER(F$1:F1965, F$1:F1965&lt;&gt;""""))), LEN(INDEX(FILTER(F$1:F1965, F$1:F1965&lt;&gt;""""),COUNTA(FILTER(F$1:F1965, F$1:F1965&lt;&gt;""""))))-1), IF('To Order'!$A1966=COL"&amp;"UMNS($A1966:F1985), F1965&amp;RIGHT(INDIRECT(ADDRESS(ROW(F1966)-1, 'From Order'!$A1966)), 1), F1965))"),"L")</f>
        <v>L</v>
      </c>
      <c r="G1966" s="2" t="str">
        <f>IFERROR(__xludf.DUMMYFUNCTION("IF('From Order'!$A1966=COLUMNS($A1966:G1985), LEFT(INDEX(FILTER(G$1:G1965, G$1:G1965&lt;&gt;""""),COUNTA(FILTER(G$1:G1965, G$1:G1965&lt;&gt;""""))), LEN(INDEX(FILTER(G$1:G1965, G$1:G1965&lt;&gt;""""),COUNTA(FILTER(G$1:G1965, G$1:G1965&lt;&gt;""""))))-1), IF('To Order'!$A1966=COL"&amp;"UMNS($A1966:G1985), G1965&amp;RIGHT(INDIRECT(ADDRESS(ROW(G1966)-1, 'From Order'!$A1966)), 1), G1965))"),"GR")</f>
        <v>GR</v>
      </c>
      <c r="H1966" s="2" t="str">
        <f>IFERROR(__xludf.DUMMYFUNCTION("IF('From Order'!$A1966=COLUMNS($A1966:H1985), LEFT(INDEX(FILTER(H$1:H1965, H$1:H1965&lt;&gt;""""),COUNTA(FILTER(H$1:H1965, H$1:H1965&lt;&gt;""""))), LEN(INDEX(FILTER(H$1:H1965, H$1:H1965&lt;&gt;""""),COUNTA(FILTER(H$1:H1965, H$1:H1965&lt;&gt;""""))))-1), IF('To Order'!$A1966=COL"&amp;"UMNS($A1966:H1985), H1965&amp;RIGHT(INDIRECT(ADDRESS(ROW(H1966)-1, 'From Order'!$A1966)), 1), H1965))"),"QTRTC")</f>
        <v>QTRTC</v>
      </c>
      <c r="I1966" s="2" t="str">
        <f>IFERROR(__xludf.DUMMYFUNCTION("IF('From Order'!$A1966=COLUMNS($A1966:I1985), LEFT(INDEX(FILTER(I$1:I1965, I$1:I1965&lt;&gt;""""),COUNTA(FILTER(I$1:I1965, I$1:I1965&lt;&gt;""""))), LEN(INDEX(FILTER(I$1:I1965, I$1:I1965&lt;&gt;""""),COUNTA(FILTER(I$1:I1965, I$1:I1965&lt;&gt;""""))))-1), IF('To Order'!$A1966=COL"&amp;"UMNS($A1966:I1985), I1965&amp;RIGHT(INDIRECT(ADDRESS(ROW(I1966)-1, 'From Order'!$A1966)), 1), I1965))"),"DVDTMZHZDMTTGMJRRVBBHFSCZWTSSPPJQVDDWLLFBPS")</f>
        <v>DVDTMZHZDMTTGMJRRVBBHFSCZWTSSPPJQVDDWLLFBPS</v>
      </c>
    </row>
    <row r="1967">
      <c r="A1967" s="2" t="str">
        <f>IFERROR(__xludf.DUMMYFUNCTION("IF('From Order'!$A1967=COLUMNS($A1967:A1986), LEFT(INDEX(FILTER(A$1:A1966, A$1:A1966&lt;&gt;""""),COUNTA(FILTER(A$1:A1966, A$1:A1966&lt;&gt;""""))), LEN(INDEX(FILTER(A$1:A1966, A$1:A1966&lt;&gt;""""),COUNTA(FILTER(A$1:A1966, A$1:A1966&lt;&gt;""""))))-1), IF('To Order'!$A1967=COL"&amp;"UMNS($A1967:A1986), A1966&amp;RIGHT(INDIRECT(ADDRESS(ROW(A1967)-1, 'From Order'!$A1967)), 1), A1966))"),"DS")</f>
        <v>DS</v>
      </c>
      <c r="B1967" s="2" t="str">
        <f>IFERROR(__xludf.DUMMYFUNCTION("IF('From Order'!$A1967=COLUMNS($A1967:B1986), LEFT(INDEX(FILTER(B$1:B1966, B$1:B1966&lt;&gt;""""),COUNTA(FILTER(B$1:B1966, B$1:B1966&lt;&gt;""""))), LEN(INDEX(FILTER(B$1:B1966, B$1:B1966&lt;&gt;""""),COUNTA(FILTER(B$1:B1966, B$1:B1966&lt;&gt;""""))))-1), IF('To Order'!$A1967=COL"&amp;"UMNS($A1967:B1986), B1966&amp;RIGHT(INDIRECT(ADDRESS(ROW(B1967)-1, 'From Order'!$A1967)), 1), B1966))"),"")</f>
        <v/>
      </c>
      <c r="C1967" s="2" t="str">
        <f>IFERROR(__xludf.DUMMYFUNCTION("IF('From Order'!$A1967=COLUMNS($A1967:C1986), LEFT(INDEX(FILTER(C$1:C1966, C$1:C1966&lt;&gt;""""),COUNTA(FILTER(C$1:C1966, C$1:C1966&lt;&gt;""""))), LEN(INDEX(FILTER(C$1:C1966, C$1:C1966&lt;&gt;""""),COUNTA(FILTER(C$1:C1966, C$1:C1966&lt;&gt;""""))))-1), IF('To Order'!$A1967=COL"&amp;"UMNS($A1967:C1986), C1966&amp;RIGHT(INDIRECT(ADDRESS(ROW(C1967)-1, 'From Order'!$A1967)), 1), C1966))"),"")</f>
        <v/>
      </c>
      <c r="D1967" s="2" t="str">
        <f>IFERROR(__xludf.DUMMYFUNCTION("IF('From Order'!$A1967=COLUMNS($A1967:D1986), LEFT(INDEX(FILTER(D$1:D1966, D$1:D1966&lt;&gt;""""),COUNTA(FILTER(D$1:D1966, D$1:D1966&lt;&gt;""""))), LEN(INDEX(FILTER(D$1:D1966, D$1:D1966&lt;&gt;""""),COUNTA(FILTER(D$1:D1966, D$1:D1966&lt;&gt;""""))))-1), IF('To Order'!$A1967=COL"&amp;"UMNS($A1967:D1986), D1966&amp;RIGHT(INDIRECT(ADDRESS(ROW(D1967)-1, 'From Order'!$A1967)), 1), D1966))"),"RBJC")</f>
        <v>RBJC</v>
      </c>
      <c r="E1967" s="2" t="str">
        <f>IFERROR(__xludf.DUMMYFUNCTION("IF('From Order'!$A1967=COLUMNS($A1967:E1986), LEFT(INDEX(FILTER(E$1:E1966, E$1:E1966&lt;&gt;""""),COUNTA(FILTER(E$1:E1966, E$1:E1966&lt;&gt;""""))), LEN(INDEX(FILTER(E$1:E1966, E$1:E1966&lt;&gt;""""),COUNTA(FILTER(E$1:E1966, E$1:E1966&lt;&gt;""""))))-1), IF('To Order'!$A1967=COL"&amp;"UMNS($A1967:E1986), E1966&amp;RIGHT(INDIRECT(ADDRESS(ROW(E1967)-1, 'From Order'!$A1967)), 1), E1966))"),"")</f>
        <v/>
      </c>
      <c r="F1967" s="2" t="str">
        <f>IFERROR(__xludf.DUMMYFUNCTION("IF('From Order'!$A1967=COLUMNS($A1967:F1986), LEFT(INDEX(FILTER(F$1:F1966, F$1:F1966&lt;&gt;""""),COUNTA(FILTER(F$1:F1966, F$1:F1966&lt;&gt;""""))), LEN(INDEX(FILTER(F$1:F1966, F$1:F1966&lt;&gt;""""),COUNTA(FILTER(F$1:F1966, F$1:F1966&lt;&gt;""""))))-1), IF('To Order'!$A1967=COL"&amp;"UMNS($A1967:F1986), F1966&amp;RIGHT(INDIRECT(ADDRESS(ROW(F1967)-1, 'From Order'!$A1967)), 1), F1966))"),"L")</f>
        <v>L</v>
      </c>
      <c r="G1967" s="2" t="str">
        <f>IFERROR(__xludf.DUMMYFUNCTION("IF('From Order'!$A1967=COLUMNS($A1967:G1986), LEFT(INDEX(FILTER(G$1:G1966, G$1:G1966&lt;&gt;""""),COUNTA(FILTER(G$1:G1966, G$1:G1966&lt;&gt;""""))), LEN(INDEX(FILTER(G$1:G1966, G$1:G1966&lt;&gt;""""),COUNTA(FILTER(G$1:G1966, G$1:G1966&lt;&gt;""""))))-1), IF('To Order'!$A1967=COL"&amp;"UMNS($A1967:G1986), G1966&amp;RIGHT(INDIRECT(ADDRESS(ROW(G1967)-1, 'From Order'!$A1967)), 1), G1966))"),"GR")</f>
        <v>GR</v>
      </c>
      <c r="H1967" s="2" t="str">
        <f>IFERROR(__xludf.DUMMYFUNCTION("IF('From Order'!$A1967=COLUMNS($A1967:H1986), LEFT(INDEX(FILTER(H$1:H1966, H$1:H1966&lt;&gt;""""),COUNTA(FILTER(H$1:H1966, H$1:H1966&lt;&gt;""""))), LEN(INDEX(FILTER(H$1:H1966, H$1:H1966&lt;&gt;""""),COUNTA(FILTER(H$1:H1966, H$1:H1966&lt;&gt;""""))))-1), IF('To Order'!$A1967=COL"&amp;"UMNS($A1967:H1986), H1966&amp;RIGHT(INDIRECT(ADDRESS(ROW(H1967)-1, 'From Order'!$A1967)), 1), H1966))"),"QTRTC")</f>
        <v>QTRTC</v>
      </c>
      <c r="I1967" s="2" t="str">
        <f>IFERROR(__xludf.DUMMYFUNCTION("IF('From Order'!$A1967=COLUMNS($A1967:I1986), LEFT(INDEX(FILTER(I$1:I1966, I$1:I1966&lt;&gt;""""),COUNTA(FILTER(I$1:I1966, I$1:I1966&lt;&gt;""""))), LEN(INDEX(FILTER(I$1:I1966, I$1:I1966&lt;&gt;""""),COUNTA(FILTER(I$1:I1966, I$1:I1966&lt;&gt;""""))))-1), IF('To Order'!$A1967=COL"&amp;"UMNS($A1967:I1986), I1966&amp;RIGHT(INDIRECT(ADDRESS(ROW(I1967)-1, 'From Order'!$A1967)), 1), I1966))"),"DVDTMZHZDMTTGMJRRVBBHFSCZWTSSPPJQVDDWLLFBP")</f>
        <v>DVDTMZHZDMTTGMJRRVBBHFSCZWTSSPPJQVDDWLLFBP</v>
      </c>
    </row>
    <row r="1968">
      <c r="A1968" s="2" t="str">
        <f>IFERROR(__xludf.DUMMYFUNCTION("IF('From Order'!$A1968=COLUMNS($A1968:A1987), LEFT(INDEX(FILTER(A$1:A1967, A$1:A1967&lt;&gt;""""),COUNTA(FILTER(A$1:A1967, A$1:A1967&lt;&gt;""""))), LEN(INDEX(FILTER(A$1:A1967, A$1:A1967&lt;&gt;""""),COUNTA(FILTER(A$1:A1967, A$1:A1967&lt;&gt;""""))))-1), IF('To Order'!$A1968=COL"&amp;"UMNS($A1968:A1987), A1967&amp;RIGHT(INDIRECT(ADDRESS(ROW(A1968)-1, 'From Order'!$A1968)), 1), A1967))"),"DSP")</f>
        <v>DSP</v>
      </c>
      <c r="B1968" s="2" t="str">
        <f>IFERROR(__xludf.DUMMYFUNCTION("IF('From Order'!$A1968=COLUMNS($A1968:B1987), LEFT(INDEX(FILTER(B$1:B1967, B$1:B1967&lt;&gt;""""),COUNTA(FILTER(B$1:B1967, B$1:B1967&lt;&gt;""""))), LEN(INDEX(FILTER(B$1:B1967, B$1:B1967&lt;&gt;""""),COUNTA(FILTER(B$1:B1967, B$1:B1967&lt;&gt;""""))))-1), IF('To Order'!$A1968=COL"&amp;"UMNS($A1968:B1987), B1967&amp;RIGHT(INDIRECT(ADDRESS(ROW(B1968)-1, 'From Order'!$A1968)), 1), B1967))"),"")</f>
        <v/>
      </c>
      <c r="C1968" s="2" t="str">
        <f>IFERROR(__xludf.DUMMYFUNCTION("IF('From Order'!$A1968=COLUMNS($A1968:C1987), LEFT(INDEX(FILTER(C$1:C1967, C$1:C1967&lt;&gt;""""),COUNTA(FILTER(C$1:C1967, C$1:C1967&lt;&gt;""""))), LEN(INDEX(FILTER(C$1:C1967, C$1:C1967&lt;&gt;""""),COUNTA(FILTER(C$1:C1967, C$1:C1967&lt;&gt;""""))))-1), IF('To Order'!$A1968=COL"&amp;"UMNS($A1968:C1987), C1967&amp;RIGHT(INDIRECT(ADDRESS(ROW(C1968)-1, 'From Order'!$A1968)), 1), C1967))"),"")</f>
        <v/>
      </c>
      <c r="D1968" s="2" t="str">
        <f>IFERROR(__xludf.DUMMYFUNCTION("IF('From Order'!$A1968=COLUMNS($A1968:D1987), LEFT(INDEX(FILTER(D$1:D1967, D$1:D1967&lt;&gt;""""),COUNTA(FILTER(D$1:D1967, D$1:D1967&lt;&gt;""""))), LEN(INDEX(FILTER(D$1:D1967, D$1:D1967&lt;&gt;""""),COUNTA(FILTER(D$1:D1967, D$1:D1967&lt;&gt;""""))))-1), IF('To Order'!$A1968=COL"&amp;"UMNS($A1968:D1987), D1967&amp;RIGHT(INDIRECT(ADDRESS(ROW(D1968)-1, 'From Order'!$A1968)), 1), D1967))"),"RBJC")</f>
        <v>RBJC</v>
      </c>
      <c r="E1968" s="2" t="str">
        <f>IFERROR(__xludf.DUMMYFUNCTION("IF('From Order'!$A1968=COLUMNS($A1968:E1987), LEFT(INDEX(FILTER(E$1:E1967, E$1:E1967&lt;&gt;""""),COUNTA(FILTER(E$1:E1967, E$1:E1967&lt;&gt;""""))), LEN(INDEX(FILTER(E$1:E1967, E$1:E1967&lt;&gt;""""),COUNTA(FILTER(E$1:E1967, E$1:E1967&lt;&gt;""""))))-1), IF('To Order'!$A1968=COL"&amp;"UMNS($A1968:E1987), E1967&amp;RIGHT(INDIRECT(ADDRESS(ROW(E1968)-1, 'From Order'!$A1968)), 1), E1967))"),"")</f>
        <v/>
      </c>
      <c r="F1968" s="2" t="str">
        <f>IFERROR(__xludf.DUMMYFUNCTION("IF('From Order'!$A1968=COLUMNS($A1968:F1987), LEFT(INDEX(FILTER(F$1:F1967, F$1:F1967&lt;&gt;""""),COUNTA(FILTER(F$1:F1967, F$1:F1967&lt;&gt;""""))), LEN(INDEX(FILTER(F$1:F1967, F$1:F1967&lt;&gt;""""),COUNTA(FILTER(F$1:F1967, F$1:F1967&lt;&gt;""""))))-1), IF('To Order'!$A1968=COL"&amp;"UMNS($A1968:F1987), F1967&amp;RIGHT(INDIRECT(ADDRESS(ROW(F1968)-1, 'From Order'!$A1968)), 1), F1967))"),"L")</f>
        <v>L</v>
      </c>
      <c r="G1968" s="2" t="str">
        <f>IFERROR(__xludf.DUMMYFUNCTION("IF('From Order'!$A1968=COLUMNS($A1968:G1987), LEFT(INDEX(FILTER(G$1:G1967, G$1:G1967&lt;&gt;""""),COUNTA(FILTER(G$1:G1967, G$1:G1967&lt;&gt;""""))), LEN(INDEX(FILTER(G$1:G1967, G$1:G1967&lt;&gt;""""),COUNTA(FILTER(G$1:G1967, G$1:G1967&lt;&gt;""""))))-1), IF('To Order'!$A1968=COL"&amp;"UMNS($A1968:G1987), G1967&amp;RIGHT(INDIRECT(ADDRESS(ROW(G1968)-1, 'From Order'!$A1968)), 1), G1967))"),"GR")</f>
        <v>GR</v>
      </c>
      <c r="H1968" s="2" t="str">
        <f>IFERROR(__xludf.DUMMYFUNCTION("IF('From Order'!$A1968=COLUMNS($A1968:H1987), LEFT(INDEX(FILTER(H$1:H1967, H$1:H1967&lt;&gt;""""),COUNTA(FILTER(H$1:H1967, H$1:H1967&lt;&gt;""""))), LEN(INDEX(FILTER(H$1:H1967, H$1:H1967&lt;&gt;""""),COUNTA(FILTER(H$1:H1967, H$1:H1967&lt;&gt;""""))))-1), IF('To Order'!$A1968=COL"&amp;"UMNS($A1968:H1987), H1967&amp;RIGHT(INDIRECT(ADDRESS(ROW(H1968)-1, 'From Order'!$A1968)), 1), H1967))"),"QTRTC")</f>
        <v>QTRTC</v>
      </c>
      <c r="I1968" s="2" t="str">
        <f>IFERROR(__xludf.DUMMYFUNCTION("IF('From Order'!$A1968=COLUMNS($A1968:I1987), LEFT(INDEX(FILTER(I$1:I1967, I$1:I1967&lt;&gt;""""),COUNTA(FILTER(I$1:I1967, I$1:I1967&lt;&gt;""""))), LEN(INDEX(FILTER(I$1:I1967, I$1:I1967&lt;&gt;""""),COUNTA(FILTER(I$1:I1967, I$1:I1967&lt;&gt;""""))))-1), IF('To Order'!$A1968=COL"&amp;"UMNS($A1968:I1987), I1967&amp;RIGHT(INDIRECT(ADDRESS(ROW(I1968)-1, 'From Order'!$A1968)), 1), I1967))"),"DVDTMZHZDMTTGMJRRVBBHFSCZWTSSPPJQVDDWLLFB")</f>
        <v>DVDTMZHZDMTTGMJRRVBBHFSCZWTSSPPJQVDDWLLFB</v>
      </c>
    </row>
    <row r="1969">
      <c r="A1969" s="2" t="str">
        <f>IFERROR(__xludf.DUMMYFUNCTION("IF('From Order'!$A1969=COLUMNS($A1969:A1988), LEFT(INDEX(FILTER(A$1:A1968, A$1:A1968&lt;&gt;""""),COUNTA(FILTER(A$1:A1968, A$1:A1968&lt;&gt;""""))), LEN(INDEX(FILTER(A$1:A1968, A$1:A1968&lt;&gt;""""),COUNTA(FILTER(A$1:A1968, A$1:A1968&lt;&gt;""""))))-1), IF('To Order'!$A1969=COL"&amp;"UMNS($A1969:A1988), A1968&amp;RIGHT(INDIRECT(ADDRESS(ROW(A1969)-1, 'From Order'!$A1969)), 1), A1968))"),"DSPB")</f>
        <v>DSPB</v>
      </c>
      <c r="B1969" s="2" t="str">
        <f>IFERROR(__xludf.DUMMYFUNCTION("IF('From Order'!$A1969=COLUMNS($A1969:B1988), LEFT(INDEX(FILTER(B$1:B1968, B$1:B1968&lt;&gt;""""),COUNTA(FILTER(B$1:B1968, B$1:B1968&lt;&gt;""""))), LEN(INDEX(FILTER(B$1:B1968, B$1:B1968&lt;&gt;""""),COUNTA(FILTER(B$1:B1968, B$1:B1968&lt;&gt;""""))))-1), IF('To Order'!$A1969=COL"&amp;"UMNS($A1969:B1988), B1968&amp;RIGHT(INDIRECT(ADDRESS(ROW(B1969)-1, 'From Order'!$A1969)), 1), B1968))"),"")</f>
        <v/>
      </c>
      <c r="C1969" s="2" t="str">
        <f>IFERROR(__xludf.DUMMYFUNCTION("IF('From Order'!$A1969=COLUMNS($A1969:C1988), LEFT(INDEX(FILTER(C$1:C1968, C$1:C1968&lt;&gt;""""),COUNTA(FILTER(C$1:C1968, C$1:C1968&lt;&gt;""""))), LEN(INDEX(FILTER(C$1:C1968, C$1:C1968&lt;&gt;""""),COUNTA(FILTER(C$1:C1968, C$1:C1968&lt;&gt;""""))))-1), IF('To Order'!$A1969=COL"&amp;"UMNS($A1969:C1988), C1968&amp;RIGHT(INDIRECT(ADDRESS(ROW(C1969)-1, 'From Order'!$A1969)), 1), C1968))"),"")</f>
        <v/>
      </c>
      <c r="D1969" s="2" t="str">
        <f>IFERROR(__xludf.DUMMYFUNCTION("IF('From Order'!$A1969=COLUMNS($A1969:D1988), LEFT(INDEX(FILTER(D$1:D1968, D$1:D1968&lt;&gt;""""),COUNTA(FILTER(D$1:D1968, D$1:D1968&lt;&gt;""""))), LEN(INDEX(FILTER(D$1:D1968, D$1:D1968&lt;&gt;""""),COUNTA(FILTER(D$1:D1968, D$1:D1968&lt;&gt;""""))))-1), IF('To Order'!$A1969=COL"&amp;"UMNS($A1969:D1988), D1968&amp;RIGHT(INDIRECT(ADDRESS(ROW(D1969)-1, 'From Order'!$A1969)), 1), D1968))"),"RBJC")</f>
        <v>RBJC</v>
      </c>
      <c r="E1969" s="2" t="str">
        <f>IFERROR(__xludf.DUMMYFUNCTION("IF('From Order'!$A1969=COLUMNS($A1969:E1988), LEFT(INDEX(FILTER(E$1:E1968, E$1:E1968&lt;&gt;""""),COUNTA(FILTER(E$1:E1968, E$1:E1968&lt;&gt;""""))), LEN(INDEX(FILTER(E$1:E1968, E$1:E1968&lt;&gt;""""),COUNTA(FILTER(E$1:E1968, E$1:E1968&lt;&gt;""""))))-1), IF('To Order'!$A1969=COL"&amp;"UMNS($A1969:E1988), E1968&amp;RIGHT(INDIRECT(ADDRESS(ROW(E1969)-1, 'From Order'!$A1969)), 1), E1968))"),"")</f>
        <v/>
      </c>
      <c r="F1969" s="2" t="str">
        <f>IFERROR(__xludf.DUMMYFUNCTION("IF('From Order'!$A1969=COLUMNS($A1969:F1988), LEFT(INDEX(FILTER(F$1:F1968, F$1:F1968&lt;&gt;""""),COUNTA(FILTER(F$1:F1968, F$1:F1968&lt;&gt;""""))), LEN(INDEX(FILTER(F$1:F1968, F$1:F1968&lt;&gt;""""),COUNTA(FILTER(F$1:F1968, F$1:F1968&lt;&gt;""""))))-1), IF('To Order'!$A1969=COL"&amp;"UMNS($A1969:F1988), F1968&amp;RIGHT(INDIRECT(ADDRESS(ROW(F1969)-1, 'From Order'!$A1969)), 1), F1968))"),"L")</f>
        <v>L</v>
      </c>
      <c r="G1969" s="2" t="str">
        <f>IFERROR(__xludf.DUMMYFUNCTION("IF('From Order'!$A1969=COLUMNS($A1969:G1988), LEFT(INDEX(FILTER(G$1:G1968, G$1:G1968&lt;&gt;""""),COUNTA(FILTER(G$1:G1968, G$1:G1968&lt;&gt;""""))), LEN(INDEX(FILTER(G$1:G1968, G$1:G1968&lt;&gt;""""),COUNTA(FILTER(G$1:G1968, G$1:G1968&lt;&gt;""""))))-1), IF('To Order'!$A1969=COL"&amp;"UMNS($A1969:G1988), G1968&amp;RIGHT(INDIRECT(ADDRESS(ROW(G1969)-1, 'From Order'!$A1969)), 1), G1968))"),"GR")</f>
        <v>GR</v>
      </c>
      <c r="H1969" s="2" t="str">
        <f>IFERROR(__xludf.DUMMYFUNCTION("IF('From Order'!$A1969=COLUMNS($A1969:H1988), LEFT(INDEX(FILTER(H$1:H1968, H$1:H1968&lt;&gt;""""),COUNTA(FILTER(H$1:H1968, H$1:H1968&lt;&gt;""""))), LEN(INDEX(FILTER(H$1:H1968, H$1:H1968&lt;&gt;""""),COUNTA(FILTER(H$1:H1968, H$1:H1968&lt;&gt;""""))))-1), IF('To Order'!$A1969=COL"&amp;"UMNS($A1969:H1988), H1968&amp;RIGHT(INDIRECT(ADDRESS(ROW(H1969)-1, 'From Order'!$A1969)), 1), H1968))"),"QTRTC")</f>
        <v>QTRTC</v>
      </c>
      <c r="I1969" s="2" t="str">
        <f>IFERROR(__xludf.DUMMYFUNCTION("IF('From Order'!$A1969=COLUMNS($A1969:I1988), LEFT(INDEX(FILTER(I$1:I1968, I$1:I1968&lt;&gt;""""),COUNTA(FILTER(I$1:I1968, I$1:I1968&lt;&gt;""""))), LEN(INDEX(FILTER(I$1:I1968, I$1:I1968&lt;&gt;""""),COUNTA(FILTER(I$1:I1968, I$1:I1968&lt;&gt;""""))))-1), IF('To Order'!$A1969=COL"&amp;"UMNS($A1969:I1988), I1968&amp;RIGHT(INDIRECT(ADDRESS(ROW(I1969)-1, 'From Order'!$A1969)), 1), I1968))"),"DVDTMZHZDMTTGMJRRVBBHFSCZWTSSPPJQVDDWLLF")</f>
        <v>DVDTMZHZDMTTGMJRRVBBHFSCZWTSSPPJQVDDWLLF</v>
      </c>
    </row>
    <row r="1970">
      <c r="A1970" s="2" t="str">
        <f>IFERROR(__xludf.DUMMYFUNCTION("IF('From Order'!$A1970=COLUMNS($A1970:A1989), LEFT(INDEX(FILTER(A$1:A1969, A$1:A1969&lt;&gt;""""),COUNTA(FILTER(A$1:A1969, A$1:A1969&lt;&gt;""""))), LEN(INDEX(FILTER(A$1:A1969, A$1:A1969&lt;&gt;""""),COUNTA(FILTER(A$1:A1969, A$1:A1969&lt;&gt;""""))))-1), IF('To Order'!$A1970=COL"&amp;"UMNS($A1970:A1989), A1969&amp;RIGHT(INDIRECT(ADDRESS(ROW(A1970)-1, 'From Order'!$A1970)), 1), A1969))"),"DSPBF")</f>
        <v>DSPBF</v>
      </c>
      <c r="B1970" s="2" t="str">
        <f>IFERROR(__xludf.DUMMYFUNCTION("IF('From Order'!$A1970=COLUMNS($A1970:B1989), LEFT(INDEX(FILTER(B$1:B1969, B$1:B1969&lt;&gt;""""),COUNTA(FILTER(B$1:B1969, B$1:B1969&lt;&gt;""""))), LEN(INDEX(FILTER(B$1:B1969, B$1:B1969&lt;&gt;""""),COUNTA(FILTER(B$1:B1969, B$1:B1969&lt;&gt;""""))))-1), IF('To Order'!$A1970=COL"&amp;"UMNS($A1970:B1989), B1969&amp;RIGHT(INDIRECT(ADDRESS(ROW(B1970)-1, 'From Order'!$A1970)), 1), B1969))"),"")</f>
        <v/>
      </c>
      <c r="C1970" s="2" t="str">
        <f>IFERROR(__xludf.DUMMYFUNCTION("IF('From Order'!$A1970=COLUMNS($A1970:C1989), LEFT(INDEX(FILTER(C$1:C1969, C$1:C1969&lt;&gt;""""),COUNTA(FILTER(C$1:C1969, C$1:C1969&lt;&gt;""""))), LEN(INDEX(FILTER(C$1:C1969, C$1:C1969&lt;&gt;""""),COUNTA(FILTER(C$1:C1969, C$1:C1969&lt;&gt;""""))))-1), IF('To Order'!$A1970=COL"&amp;"UMNS($A1970:C1989), C1969&amp;RIGHT(INDIRECT(ADDRESS(ROW(C1970)-1, 'From Order'!$A1970)), 1), C1969))"),"")</f>
        <v/>
      </c>
      <c r="D1970" s="2" t="str">
        <f>IFERROR(__xludf.DUMMYFUNCTION("IF('From Order'!$A1970=COLUMNS($A1970:D1989), LEFT(INDEX(FILTER(D$1:D1969, D$1:D1969&lt;&gt;""""),COUNTA(FILTER(D$1:D1969, D$1:D1969&lt;&gt;""""))), LEN(INDEX(FILTER(D$1:D1969, D$1:D1969&lt;&gt;""""),COUNTA(FILTER(D$1:D1969, D$1:D1969&lt;&gt;""""))))-1), IF('To Order'!$A1970=COL"&amp;"UMNS($A1970:D1989), D1969&amp;RIGHT(INDIRECT(ADDRESS(ROW(D1970)-1, 'From Order'!$A1970)), 1), D1969))"),"RBJC")</f>
        <v>RBJC</v>
      </c>
      <c r="E1970" s="2" t="str">
        <f>IFERROR(__xludf.DUMMYFUNCTION("IF('From Order'!$A1970=COLUMNS($A1970:E1989), LEFT(INDEX(FILTER(E$1:E1969, E$1:E1969&lt;&gt;""""),COUNTA(FILTER(E$1:E1969, E$1:E1969&lt;&gt;""""))), LEN(INDEX(FILTER(E$1:E1969, E$1:E1969&lt;&gt;""""),COUNTA(FILTER(E$1:E1969, E$1:E1969&lt;&gt;""""))))-1), IF('To Order'!$A1970=COL"&amp;"UMNS($A1970:E1989), E1969&amp;RIGHT(INDIRECT(ADDRESS(ROW(E1970)-1, 'From Order'!$A1970)), 1), E1969))"),"")</f>
        <v/>
      </c>
      <c r="F1970" s="2" t="str">
        <f>IFERROR(__xludf.DUMMYFUNCTION("IF('From Order'!$A1970=COLUMNS($A1970:F1989), LEFT(INDEX(FILTER(F$1:F1969, F$1:F1969&lt;&gt;""""),COUNTA(FILTER(F$1:F1969, F$1:F1969&lt;&gt;""""))), LEN(INDEX(FILTER(F$1:F1969, F$1:F1969&lt;&gt;""""),COUNTA(FILTER(F$1:F1969, F$1:F1969&lt;&gt;""""))))-1), IF('To Order'!$A1970=COL"&amp;"UMNS($A1970:F1989), F1969&amp;RIGHT(INDIRECT(ADDRESS(ROW(F1970)-1, 'From Order'!$A1970)), 1), F1969))"),"L")</f>
        <v>L</v>
      </c>
      <c r="G1970" s="2" t="str">
        <f>IFERROR(__xludf.DUMMYFUNCTION("IF('From Order'!$A1970=COLUMNS($A1970:G1989), LEFT(INDEX(FILTER(G$1:G1969, G$1:G1969&lt;&gt;""""),COUNTA(FILTER(G$1:G1969, G$1:G1969&lt;&gt;""""))), LEN(INDEX(FILTER(G$1:G1969, G$1:G1969&lt;&gt;""""),COUNTA(FILTER(G$1:G1969, G$1:G1969&lt;&gt;""""))))-1), IF('To Order'!$A1970=COL"&amp;"UMNS($A1970:G1989), G1969&amp;RIGHT(INDIRECT(ADDRESS(ROW(G1970)-1, 'From Order'!$A1970)), 1), G1969))"),"GR")</f>
        <v>GR</v>
      </c>
      <c r="H1970" s="2" t="str">
        <f>IFERROR(__xludf.DUMMYFUNCTION("IF('From Order'!$A1970=COLUMNS($A1970:H1989), LEFT(INDEX(FILTER(H$1:H1969, H$1:H1969&lt;&gt;""""),COUNTA(FILTER(H$1:H1969, H$1:H1969&lt;&gt;""""))), LEN(INDEX(FILTER(H$1:H1969, H$1:H1969&lt;&gt;""""),COUNTA(FILTER(H$1:H1969, H$1:H1969&lt;&gt;""""))))-1), IF('To Order'!$A1970=COL"&amp;"UMNS($A1970:H1989), H1969&amp;RIGHT(INDIRECT(ADDRESS(ROW(H1970)-1, 'From Order'!$A1970)), 1), H1969))"),"QTRTC")</f>
        <v>QTRTC</v>
      </c>
      <c r="I1970" s="2" t="str">
        <f>IFERROR(__xludf.DUMMYFUNCTION("IF('From Order'!$A1970=COLUMNS($A1970:I1989), LEFT(INDEX(FILTER(I$1:I1969, I$1:I1969&lt;&gt;""""),COUNTA(FILTER(I$1:I1969, I$1:I1969&lt;&gt;""""))), LEN(INDEX(FILTER(I$1:I1969, I$1:I1969&lt;&gt;""""),COUNTA(FILTER(I$1:I1969, I$1:I1969&lt;&gt;""""))))-1), IF('To Order'!$A1970=COL"&amp;"UMNS($A1970:I1989), I1969&amp;RIGHT(INDIRECT(ADDRESS(ROW(I1970)-1, 'From Order'!$A1970)), 1), I1969))"),"DVDTMZHZDMTTGMJRRVBBHFSCZWTSSPPJQVDDWLL")</f>
        <v>DVDTMZHZDMTTGMJRRVBBHFSCZWTSSPPJQVDDWLL</v>
      </c>
    </row>
    <row r="1971">
      <c r="A1971" s="2" t="str">
        <f>IFERROR(__xludf.DUMMYFUNCTION("IF('From Order'!$A1971=COLUMNS($A1971:A1990), LEFT(INDEX(FILTER(A$1:A1970, A$1:A1970&lt;&gt;""""),COUNTA(FILTER(A$1:A1970, A$1:A1970&lt;&gt;""""))), LEN(INDEX(FILTER(A$1:A1970, A$1:A1970&lt;&gt;""""),COUNTA(FILTER(A$1:A1970, A$1:A1970&lt;&gt;""""))))-1), IF('To Order'!$A1971=COL"&amp;"UMNS($A1971:A1990), A1970&amp;RIGHT(INDIRECT(ADDRESS(ROW(A1971)-1, 'From Order'!$A1971)), 1), A1970))"),"DSPBFL")</f>
        <v>DSPBFL</v>
      </c>
      <c r="B1971" s="2" t="str">
        <f>IFERROR(__xludf.DUMMYFUNCTION("IF('From Order'!$A1971=COLUMNS($A1971:B1990), LEFT(INDEX(FILTER(B$1:B1970, B$1:B1970&lt;&gt;""""),COUNTA(FILTER(B$1:B1970, B$1:B1970&lt;&gt;""""))), LEN(INDEX(FILTER(B$1:B1970, B$1:B1970&lt;&gt;""""),COUNTA(FILTER(B$1:B1970, B$1:B1970&lt;&gt;""""))))-1), IF('To Order'!$A1971=COL"&amp;"UMNS($A1971:B1990), B1970&amp;RIGHT(INDIRECT(ADDRESS(ROW(B1971)-1, 'From Order'!$A1971)), 1), B1970))"),"")</f>
        <v/>
      </c>
      <c r="C1971" s="2" t="str">
        <f>IFERROR(__xludf.DUMMYFUNCTION("IF('From Order'!$A1971=COLUMNS($A1971:C1990), LEFT(INDEX(FILTER(C$1:C1970, C$1:C1970&lt;&gt;""""),COUNTA(FILTER(C$1:C1970, C$1:C1970&lt;&gt;""""))), LEN(INDEX(FILTER(C$1:C1970, C$1:C1970&lt;&gt;""""),COUNTA(FILTER(C$1:C1970, C$1:C1970&lt;&gt;""""))))-1), IF('To Order'!$A1971=COL"&amp;"UMNS($A1971:C1990), C1970&amp;RIGHT(INDIRECT(ADDRESS(ROW(C1971)-1, 'From Order'!$A1971)), 1), C1970))"),"")</f>
        <v/>
      </c>
      <c r="D1971" s="2" t="str">
        <f>IFERROR(__xludf.DUMMYFUNCTION("IF('From Order'!$A1971=COLUMNS($A1971:D1990), LEFT(INDEX(FILTER(D$1:D1970, D$1:D1970&lt;&gt;""""),COUNTA(FILTER(D$1:D1970, D$1:D1970&lt;&gt;""""))), LEN(INDEX(FILTER(D$1:D1970, D$1:D1970&lt;&gt;""""),COUNTA(FILTER(D$1:D1970, D$1:D1970&lt;&gt;""""))))-1), IF('To Order'!$A1971=COL"&amp;"UMNS($A1971:D1990), D1970&amp;RIGHT(INDIRECT(ADDRESS(ROW(D1971)-1, 'From Order'!$A1971)), 1), D1970))"),"RBJC")</f>
        <v>RBJC</v>
      </c>
      <c r="E1971" s="2" t="str">
        <f>IFERROR(__xludf.DUMMYFUNCTION("IF('From Order'!$A1971=COLUMNS($A1971:E1990), LEFT(INDEX(FILTER(E$1:E1970, E$1:E1970&lt;&gt;""""),COUNTA(FILTER(E$1:E1970, E$1:E1970&lt;&gt;""""))), LEN(INDEX(FILTER(E$1:E1970, E$1:E1970&lt;&gt;""""),COUNTA(FILTER(E$1:E1970, E$1:E1970&lt;&gt;""""))))-1), IF('To Order'!$A1971=COL"&amp;"UMNS($A1971:E1990), E1970&amp;RIGHT(INDIRECT(ADDRESS(ROW(E1971)-1, 'From Order'!$A1971)), 1), E1970))"),"")</f>
        <v/>
      </c>
      <c r="F1971" s="2" t="str">
        <f>IFERROR(__xludf.DUMMYFUNCTION("IF('From Order'!$A1971=COLUMNS($A1971:F1990), LEFT(INDEX(FILTER(F$1:F1970, F$1:F1970&lt;&gt;""""),COUNTA(FILTER(F$1:F1970, F$1:F1970&lt;&gt;""""))), LEN(INDEX(FILTER(F$1:F1970, F$1:F1970&lt;&gt;""""),COUNTA(FILTER(F$1:F1970, F$1:F1970&lt;&gt;""""))))-1), IF('To Order'!$A1971=COL"&amp;"UMNS($A1971:F1990), F1970&amp;RIGHT(INDIRECT(ADDRESS(ROW(F1971)-1, 'From Order'!$A1971)), 1), F1970))"),"L")</f>
        <v>L</v>
      </c>
      <c r="G1971" s="2" t="str">
        <f>IFERROR(__xludf.DUMMYFUNCTION("IF('From Order'!$A1971=COLUMNS($A1971:G1990), LEFT(INDEX(FILTER(G$1:G1970, G$1:G1970&lt;&gt;""""),COUNTA(FILTER(G$1:G1970, G$1:G1970&lt;&gt;""""))), LEN(INDEX(FILTER(G$1:G1970, G$1:G1970&lt;&gt;""""),COUNTA(FILTER(G$1:G1970, G$1:G1970&lt;&gt;""""))))-1), IF('To Order'!$A1971=COL"&amp;"UMNS($A1971:G1990), G1970&amp;RIGHT(INDIRECT(ADDRESS(ROW(G1971)-1, 'From Order'!$A1971)), 1), G1970))"),"GR")</f>
        <v>GR</v>
      </c>
      <c r="H1971" s="2" t="str">
        <f>IFERROR(__xludf.DUMMYFUNCTION("IF('From Order'!$A1971=COLUMNS($A1971:H1990), LEFT(INDEX(FILTER(H$1:H1970, H$1:H1970&lt;&gt;""""),COUNTA(FILTER(H$1:H1970, H$1:H1970&lt;&gt;""""))), LEN(INDEX(FILTER(H$1:H1970, H$1:H1970&lt;&gt;""""),COUNTA(FILTER(H$1:H1970, H$1:H1970&lt;&gt;""""))))-1), IF('To Order'!$A1971=COL"&amp;"UMNS($A1971:H1990), H1970&amp;RIGHT(INDIRECT(ADDRESS(ROW(H1971)-1, 'From Order'!$A1971)), 1), H1970))"),"QTRTC")</f>
        <v>QTRTC</v>
      </c>
      <c r="I1971" s="2" t="str">
        <f>IFERROR(__xludf.DUMMYFUNCTION("IF('From Order'!$A1971=COLUMNS($A1971:I1990), LEFT(INDEX(FILTER(I$1:I1970, I$1:I1970&lt;&gt;""""),COUNTA(FILTER(I$1:I1970, I$1:I1970&lt;&gt;""""))), LEN(INDEX(FILTER(I$1:I1970, I$1:I1970&lt;&gt;""""),COUNTA(FILTER(I$1:I1970, I$1:I1970&lt;&gt;""""))))-1), IF('To Order'!$A1971=COL"&amp;"UMNS($A1971:I1990), I1970&amp;RIGHT(INDIRECT(ADDRESS(ROW(I1971)-1, 'From Order'!$A1971)), 1), I1970))"),"DVDTMZHZDMTTGMJRRVBBHFSCZWTSSPPJQVDDWL")</f>
        <v>DVDTMZHZDMTTGMJRRVBBHFSCZWTSSPPJQVDDWL</v>
      </c>
    </row>
    <row r="1972">
      <c r="A1972" s="2" t="str">
        <f>IFERROR(__xludf.DUMMYFUNCTION("IF('From Order'!$A1972=COLUMNS($A1972:A1991), LEFT(INDEX(FILTER(A$1:A1971, A$1:A1971&lt;&gt;""""),COUNTA(FILTER(A$1:A1971, A$1:A1971&lt;&gt;""""))), LEN(INDEX(FILTER(A$1:A1971, A$1:A1971&lt;&gt;""""),COUNTA(FILTER(A$1:A1971, A$1:A1971&lt;&gt;""""))))-1), IF('To Order'!$A1972=COL"&amp;"UMNS($A1972:A1991), A1971&amp;RIGHT(INDIRECT(ADDRESS(ROW(A1972)-1, 'From Order'!$A1972)), 1), A1971))"),"DSPBFLL")</f>
        <v>DSPBFLL</v>
      </c>
      <c r="B1972" s="2" t="str">
        <f>IFERROR(__xludf.DUMMYFUNCTION("IF('From Order'!$A1972=COLUMNS($A1972:B1991), LEFT(INDEX(FILTER(B$1:B1971, B$1:B1971&lt;&gt;""""),COUNTA(FILTER(B$1:B1971, B$1:B1971&lt;&gt;""""))), LEN(INDEX(FILTER(B$1:B1971, B$1:B1971&lt;&gt;""""),COUNTA(FILTER(B$1:B1971, B$1:B1971&lt;&gt;""""))))-1), IF('To Order'!$A1972=COL"&amp;"UMNS($A1972:B1991), B1971&amp;RIGHT(INDIRECT(ADDRESS(ROW(B1972)-1, 'From Order'!$A1972)), 1), B1971))"),"")</f>
        <v/>
      </c>
      <c r="C1972" s="2" t="str">
        <f>IFERROR(__xludf.DUMMYFUNCTION("IF('From Order'!$A1972=COLUMNS($A1972:C1991), LEFT(INDEX(FILTER(C$1:C1971, C$1:C1971&lt;&gt;""""),COUNTA(FILTER(C$1:C1971, C$1:C1971&lt;&gt;""""))), LEN(INDEX(FILTER(C$1:C1971, C$1:C1971&lt;&gt;""""),COUNTA(FILTER(C$1:C1971, C$1:C1971&lt;&gt;""""))))-1), IF('To Order'!$A1972=COL"&amp;"UMNS($A1972:C1991), C1971&amp;RIGHT(INDIRECT(ADDRESS(ROW(C1972)-1, 'From Order'!$A1972)), 1), C1971))"),"")</f>
        <v/>
      </c>
      <c r="D1972" s="2" t="str">
        <f>IFERROR(__xludf.DUMMYFUNCTION("IF('From Order'!$A1972=COLUMNS($A1972:D1991), LEFT(INDEX(FILTER(D$1:D1971, D$1:D1971&lt;&gt;""""),COUNTA(FILTER(D$1:D1971, D$1:D1971&lt;&gt;""""))), LEN(INDEX(FILTER(D$1:D1971, D$1:D1971&lt;&gt;""""),COUNTA(FILTER(D$1:D1971, D$1:D1971&lt;&gt;""""))))-1), IF('To Order'!$A1972=COL"&amp;"UMNS($A1972:D1991), D1971&amp;RIGHT(INDIRECT(ADDRESS(ROW(D1972)-1, 'From Order'!$A1972)), 1), D1971))"),"RBJC")</f>
        <v>RBJC</v>
      </c>
      <c r="E1972" s="2" t="str">
        <f>IFERROR(__xludf.DUMMYFUNCTION("IF('From Order'!$A1972=COLUMNS($A1972:E1991), LEFT(INDEX(FILTER(E$1:E1971, E$1:E1971&lt;&gt;""""),COUNTA(FILTER(E$1:E1971, E$1:E1971&lt;&gt;""""))), LEN(INDEX(FILTER(E$1:E1971, E$1:E1971&lt;&gt;""""),COUNTA(FILTER(E$1:E1971, E$1:E1971&lt;&gt;""""))))-1), IF('To Order'!$A1972=COL"&amp;"UMNS($A1972:E1991), E1971&amp;RIGHT(INDIRECT(ADDRESS(ROW(E1972)-1, 'From Order'!$A1972)), 1), E1971))"),"")</f>
        <v/>
      </c>
      <c r="F1972" s="2" t="str">
        <f>IFERROR(__xludf.DUMMYFUNCTION("IF('From Order'!$A1972=COLUMNS($A1972:F1991), LEFT(INDEX(FILTER(F$1:F1971, F$1:F1971&lt;&gt;""""),COUNTA(FILTER(F$1:F1971, F$1:F1971&lt;&gt;""""))), LEN(INDEX(FILTER(F$1:F1971, F$1:F1971&lt;&gt;""""),COUNTA(FILTER(F$1:F1971, F$1:F1971&lt;&gt;""""))))-1), IF('To Order'!$A1972=COL"&amp;"UMNS($A1972:F1991), F1971&amp;RIGHT(INDIRECT(ADDRESS(ROW(F1972)-1, 'From Order'!$A1972)), 1), F1971))"),"L")</f>
        <v>L</v>
      </c>
      <c r="G1972" s="2" t="str">
        <f>IFERROR(__xludf.DUMMYFUNCTION("IF('From Order'!$A1972=COLUMNS($A1972:G1991), LEFT(INDEX(FILTER(G$1:G1971, G$1:G1971&lt;&gt;""""),COUNTA(FILTER(G$1:G1971, G$1:G1971&lt;&gt;""""))), LEN(INDEX(FILTER(G$1:G1971, G$1:G1971&lt;&gt;""""),COUNTA(FILTER(G$1:G1971, G$1:G1971&lt;&gt;""""))))-1), IF('To Order'!$A1972=COL"&amp;"UMNS($A1972:G1991), G1971&amp;RIGHT(INDIRECT(ADDRESS(ROW(G1972)-1, 'From Order'!$A1972)), 1), G1971))"),"GR")</f>
        <v>GR</v>
      </c>
      <c r="H1972" s="2" t="str">
        <f>IFERROR(__xludf.DUMMYFUNCTION("IF('From Order'!$A1972=COLUMNS($A1972:H1991), LEFT(INDEX(FILTER(H$1:H1971, H$1:H1971&lt;&gt;""""),COUNTA(FILTER(H$1:H1971, H$1:H1971&lt;&gt;""""))), LEN(INDEX(FILTER(H$1:H1971, H$1:H1971&lt;&gt;""""),COUNTA(FILTER(H$1:H1971, H$1:H1971&lt;&gt;""""))))-1), IF('To Order'!$A1972=COL"&amp;"UMNS($A1972:H1991), H1971&amp;RIGHT(INDIRECT(ADDRESS(ROW(H1972)-1, 'From Order'!$A1972)), 1), H1971))"),"QTRTC")</f>
        <v>QTRTC</v>
      </c>
      <c r="I1972" s="2" t="str">
        <f>IFERROR(__xludf.DUMMYFUNCTION("IF('From Order'!$A1972=COLUMNS($A1972:I1991), LEFT(INDEX(FILTER(I$1:I1971, I$1:I1971&lt;&gt;""""),COUNTA(FILTER(I$1:I1971, I$1:I1971&lt;&gt;""""))), LEN(INDEX(FILTER(I$1:I1971, I$1:I1971&lt;&gt;""""),COUNTA(FILTER(I$1:I1971, I$1:I1971&lt;&gt;""""))))-1), IF('To Order'!$A1972=COL"&amp;"UMNS($A1972:I1991), I1971&amp;RIGHT(INDIRECT(ADDRESS(ROW(I1972)-1, 'From Order'!$A1972)), 1), I1971))"),"DVDTMZHZDMTTGMJRRVBBHFSCZWTSSPPJQVDDW")</f>
        <v>DVDTMZHZDMTTGMJRRVBBHFSCZWTSSPPJQVDDW</v>
      </c>
    </row>
    <row r="1973">
      <c r="A1973" s="2" t="str">
        <f>IFERROR(__xludf.DUMMYFUNCTION("IF('From Order'!$A1973=COLUMNS($A1973:A1992), LEFT(INDEX(FILTER(A$1:A1972, A$1:A1972&lt;&gt;""""),COUNTA(FILTER(A$1:A1972, A$1:A1972&lt;&gt;""""))), LEN(INDEX(FILTER(A$1:A1972, A$1:A1972&lt;&gt;""""),COUNTA(FILTER(A$1:A1972, A$1:A1972&lt;&gt;""""))))-1), IF('To Order'!$A1973=COL"&amp;"UMNS($A1973:A1992), A1972&amp;RIGHT(INDIRECT(ADDRESS(ROW(A1973)-1, 'From Order'!$A1973)), 1), A1972))"),"DSPBFLLW")</f>
        <v>DSPBFLLW</v>
      </c>
      <c r="B1973" s="2" t="str">
        <f>IFERROR(__xludf.DUMMYFUNCTION("IF('From Order'!$A1973=COLUMNS($A1973:B1992), LEFT(INDEX(FILTER(B$1:B1972, B$1:B1972&lt;&gt;""""),COUNTA(FILTER(B$1:B1972, B$1:B1972&lt;&gt;""""))), LEN(INDEX(FILTER(B$1:B1972, B$1:B1972&lt;&gt;""""),COUNTA(FILTER(B$1:B1972, B$1:B1972&lt;&gt;""""))))-1), IF('To Order'!$A1973=COL"&amp;"UMNS($A1973:B1992), B1972&amp;RIGHT(INDIRECT(ADDRESS(ROW(B1973)-1, 'From Order'!$A1973)), 1), B1972))"),"")</f>
        <v/>
      </c>
      <c r="C1973" s="2" t="str">
        <f>IFERROR(__xludf.DUMMYFUNCTION("IF('From Order'!$A1973=COLUMNS($A1973:C1992), LEFT(INDEX(FILTER(C$1:C1972, C$1:C1972&lt;&gt;""""),COUNTA(FILTER(C$1:C1972, C$1:C1972&lt;&gt;""""))), LEN(INDEX(FILTER(C$1:C1972, C$1:C1972&lt;&gt;""""),COUNTA(FILTER(C$1:C1972, C$1:C1972&lt;&gt;""""))))-1), IF('To Order'!$A1973=COL"&amp;"UMNS($A1973:C1992), C1972&amp;RIGHT(INDIRECT(ADDRESS(ROW(C1973)-1, 'From Order'!$A1973)), 1), C1972))"),"")</f>
        <v/>
      </c>
      <c r="D1973" s="2" t="str">
        <f>IFERROR(__xludf.DUMMYFUNCTION("IF('From Order'!$A1973=COLUMNS($A1973:D1992), LEFT(INDEX(FILTER(D$1:D1972, D$1:D1972&lt;&gt;""""),COUNTA(FILTER(D$1:D1972, D$1:D1972&lt;&gt;""""))), LEN(INDEX(FILTER(D$1:D1972, D$1:D1972&lt;&gt;""""),COUNTA(FILTER(D$1:D1972, D$1:D1972&lt;&gt;""""))))-1), IF('To Order'!$A1973=COL"&amp;"UMNS($A1973:D1992), D1972&amp;RIGHT(INDIRECT(ADDRESS(ROW(D1973)-1, 'From Order'!$A1973)), 1), D1972))"),"RBJC")</f>
        <v>RBJC</v>
      </c>
      <c r="E1973" s="2" t="str">
        <f>IFERROR(__xludf.DUMMYFUNCTION("IF('From Order'!$A1973=COLUMNS($A1973:E1992), LEFT(INDEX(FILTER(E$1:E1972, E$1:E1972&lt;&gt;""""),COUNTA(FILTER(E$1:E1972, E$1:E1972&lt;&gt;""""))), LEN(INDEX(FILTER(E$1:E1972, E$1:E1972&lt;&gt;""""),COUNTA(FILTER(E$1:E1972, E$1:E1972&lt;&gt;""""))))-1), IF('To Order'!$A1973=COL"&amp;"UMNS($A1973:E1992), E1972&amp;RIGHT(INDIRECT(ADDRESS(ROW(E1973)-1, 'From Order'!$A1973)), 1), E1972))"),"")</f>
        <v/>
      </c>
      <c r="F1973" s="2" t="str">
        <f>IFERROR(__xludf.DUMMYFUNCTION("IF('From Order'!$A1973=COLUMNS($A1973:F1992), LEFT(INDEX(FILTER(F$1:F1972, F$1:F1972&lt;&gt;""""),COUNTA(FILTER(F$1:F1972, F$1:F1972&lt;&gt;""""))), LEN(INDEX(FILTER(F$1:F1972, F$1:F1972&lt;&gt;""""),COUNTA(FILTER(F$1:F1972, F$1:F1972&lt;&gt;""""))))-1), IF('To Order'!$A1973=COL"&amp;"UMNS($A1973:F1992), F1972&amp;RIGHT(INDIRECT(ADDRESS(ROW(F1973)-1, 'From Order'!$A1973)), 1), F1972))"),"L")</f>
        <v>L</v>
      </c>
      <c r="G1973" s="2" t="str">
        <f>IFERROR(__xludf.DUMMYFUNCTION("IF('From Order'!$A1973=COLUMNS($A1973:G1992), LEFT(INDEX(FILTER(G$1:G1972, G$1:G1972&lt;&gt;""""),COUNTA(FILTER(G$1:G1972, G$1:G1972&lt;&gt;""""))), LEN(INDEX(FILTER(G$1:G1972, G$1:G1972&lt;&gt;""""),COUNTA(FILTER(G$1:G1972, G$1:G1972&lt;&gt;""""))))-1), IF('To Order'!$A1973=COL"&amp;"UMNS($A1973:G1992), G1972&amp;RIGHT(INDIRECT(ADDRESS(ROW(G1973)-1, 'From Order'!$A1973)), 1), G1972))"),"GR")</f>
        <v>GR</v>
      </c>
      <c r="H1973" s="2" t="str">
        <f>IFERROR(__xludf.DUMMYFUNCTION("IF('From Order'!$A1973=COLUMNS($A1973:H1992), LEFT(INDEX(FILTER(H$1:H1972, H$1:H1972&lt;&gt;""""),COUNTA(FILTER(H$1:H1972, H$1:H1972&lt;&gt;""""))), LEN(INDEX(FILTER(H$1:H1972, H$1:H1972&lt;&gt;""""),COUNTA(FILTER(H$1:H1972, H$1:H1972&lt;&gt;""""))))-1), IF('To Order'!$A1973=COL"&amp;"UMNS($A1973:H1992), H1972&amp;RIGHT(INDIRECT(ADDRESS(ROW(H1973)-1, 'From Order'!$A1973)), 1), H1972))"),"QTRTC")</f>
        <v>QTRTC</v>
      </c>
      <c r="I1973" s="2" t="str">
        <f>IFERROR(__xludf.DUMMYFUNCTION("IF('From Order'!$A1973=COLUMNS($A1973:I1992), LEFT(INDEX(FILTER(I$1:I1972, I$1:I1972&lt;&gt;""""),COUNTA(FILTER(I$1:I1972, I$1:I1972&lt;&gt;""""))), LEN(INDEX(FILTER(I$1:I1972, I$1:I1972&lt;&gt;""""),COUNTA(FILTER(I$1:I1972, I$1:I1972&lt;&gt;""""))))-1), IF('To Order'!$A1973=COL"&amp;"UMNS($A1973:I1992), I1972&amp;RIGHT(INDIRECT(ADDRESS(ROW(I1973)-1, 'From Order'!$A1973)), 1), I1972))"),"DVDTMZHZDMTTGMJRRVBBHFSCZWTSSPPJQVDD")</f>
        <v>DVDTMZHZDMTTGMJRRVBBHFSCZWTSSPPJQVDD</v>
      </c>
    </row>
    <row r="1974">
      <c r="A1974" s="2" t="str">
        <f>IFERROR(__xludf.DUMMYFUNCTION("IF('From Order'!$A1974=COLUMNS($A1974:A1993), LEFT(INDEX(FILTER(A$1:A1973, A$1:A1973&lt;&gt;""""),COUNTA(FILTER(A$1:A1973, A$1:A1973&lt;&gt;""""))), LEN(INDEX(FILTER(A$1:A1973, A$1:A1973&lt;&gt;""""),COUNTA(FILTER(A$1:A1973, A$1:A1973&lt;&gt;""""))))-1), IF('To Order'!$A1974=COL"&amp;"UMNS($A1974:A1993), A1973&amp;RIGHT(INDIRECT(ADDRESS(ROW(A1974)-1, 'From Order'!$A1974)), 1), A1973))"),"DSPBFLLWD")</f>
        <v>DSPBFLLWD</v>
      </c>
      <c r="B1974" s="2" t="str">
        <f>IFERROR(__xludf.DUMMYFUNCTION("IF('From Order'!$A1974=COLUMNS($A1974:B1993), LEFT(INDEX(FILTER(B$1:B1973, B$1:B1973&lt;&gt;""""),COUNTA(FILTER(B$1:B1973, B$1:B1973&lt;&gt;""""))), LEN(INDEX(FILTER(B$1:B1973, B$1:B1973&lt;&gt;""""),COUNTA(FILTER(B$1:B1973, B$1:B1973&lt;&gt;""""))))-1), IF('To Order'!$A1974=COL"&amp;"UMNS($A1974:B1993), B1973&amp;RIGHT(INDIRECT(ADDRESS(ROW(B1974)-1, 'From Order'!$A1974)), 1), B1973))"),"")</f>
        <v/>
      </c>
      <c r="C1974" s="2" t="str">
        <f>IFERROR(__xludf.DUMMYFUNCTION("IF('From Order'!$A1974=COLUMNS($A1974:C1993), LEFT(INDEX(FILTER(C$1:C1973, C$1:C1973&lt;&gt;""""),COUNTA(FILTER(C$1:C1973, C$1:C1973&lt;&gt;""""))), LEN(INDEX(FILTER(C$1:C1973, C$1:C1973&lt;&gt;""""),COUNTA(FILTER(C$1:C1973, C$1:C1973&lt;&gt;""""))))-1), IF('To Order'!$A1974=COL"&amp;"UMNS($A1974:C1993), C1973&amp;RIGHT(INDIRECT(ADDRESS(ROW(C1974)-1, 'From Order'!$A1974)), 1), C1973))"),"")</f>
        <v/>
      </c>
      <c r="D1974" s="2" t="str">
        <f>IFERROR(__xludf.DUMMYFUNCTION("IF('From Order'!$A1974=COLUMNS($A1974:D1993), LEFT(INDEX(FILTER(D$1:D1973, D$1:D1973&lt;&gt;""""),COUNTA(FILTER(D$1:D1973, D$1:D1973&lt;&gt;""""))), LEN(INDEX(FILTER(D$1:D1973, D$1:D1973&lt;&gt;""""),COUNTA(FILTER(D$1:D1973, D$1:D1973&lt;&gt;""""))))-1), IF('To Order'!$A1974=COL"&amp;"UMNS($A1974:D1993), D1973&amp;RIGHT(INDIRECT(ADDRESS(ROW(D1974)-1, 'From Order'!$A1974)), 1), D1973))"),"RBJC")</f>
        <v>RBJC</v>
      </c>
      <c r="E1974" s="2" t="str">
        <f>IFERROR(__xludf.DUMMYFUNCTION("IF('From Order'!$A1974=COLUMNS($A1974:E1993), LEFT(INDEX(FILTER(E$1:E1973, E$1:E1973&lt;&gt;""""),COUNTA(FILTER(E$1:E1973, E$1:E1973&lt;&gt;""""))), LEN(INDEX(FILTER(E$1:E1973, E$1:E1973&lt;&gt;""""),COUNTA(FILTER(E$1:E1973, E$1:E1973&lt;&gt;""""))))-1), IF('To Order'!$A1974=COL"&amp;"UMNS($A1974:E1993), E1973&amp;RIGHT(INDIRECT(ADDRESS(ROW(E1974)-1, 'From Order'!$A1974)), 1), E1973))"),"")</f>
        <v/>
      </c>
      <c r="F1974" s="2" t="str">
        <f>IFERROR(__xludf.DUMMYFUNCTION("IF('From Order'!$A1974=COLUMNS($A1974:F1993), LEFT(INDEX(FILTER(F$1:F1973, F$1:F1973&lt;&gt;""""),COUNTA(FILTER(F$1:F1973, F$1:F1973&lt;&gt;""""))), LEN(INDEX(FILTER(F$1:F1973, F$1:F1973&lt;&gt;""""),COUNTA(FILTER(F$1:F1973, F$1:F1973&lt;&gt;""""))))-1), IF('To Order'!$A1974=COL"&amp;"UMNS($A1974:F1993), F1973&amp;RIGHT(INDIRECT(ADDRESS(ROW(F1974)-1, 'From Order'!$A1974)), 1), F1973))"),"L")</f>
        <v>L</v>
      </c>
      <c r="G1974" s="2" t="str">
        <f>IFERROR(__xludf.DUMMYFUNCTION("IF('From Order'!$A1974=COLUMNS($A1974:G1993), LEFT(INDEX(FILTER(G$1:G1973, G$1:G1973&lt;&gt;""""),COUNTA(FILTER(G$1:G1973, G$1:G1973&lt;&gt;""""))), LEN(INDEX(FILTER(G$1:G1973, G$1:G1973&lt;&gt;""""),COUNTA(FILTER(G$1:G1973, G$1:G1973&lt;&gt;""""))))-1), IF('To Order'!$A1974=COL"&amp;"UMNS($A1974:G1993), G1973&amp;RIGHT(INDIRECT(ADDRESS(ROW(G1974)-1, 'From Order'!$A1974)), 1), G1973))"),"GR")</f>
        <v>GR</v>
      </c>
      <c r="H1974" s="2" t="str">
        <f>IFERROR(__xludf.DUMMYFUNCTION("IF('From Order'!$A1974=COLUMNS($A1974:H1993), LEFT(INDEX(FILTER(H$1:H1973, H$1:H1973&lt;&gt;""""),COUNTA(FILTER(H$1:H1973, H$1:H1973&lt;&gt;""""))), LEN(INDEX(FILTER(H$1:H1973, H$1:H1973&lt;&gt;""""),COUNTA(FILTER(H$1:H1973, H$1:H1973&lt;&gt;""""))))-1), IF('To Order'!$A1974=COL"&amp;"UMNS($A1974:H1993), H1973&amp;RIGHT(INDIRECT(ADDRESS(ROW(H1974)-1, 'From Order'!$A1974)), 1), H1973))"),"QTRTC")</f>
        <v>QTRTC</v>
      </c>
      <c r="I1974" s="2" t="str">
        <f>IFERROR(__xludf.DUMMYFUNCTION("IF('From Order'!$A1974=COLUMNS($A1974:I1993), LEFT(INDEX(FILTER(I$1:I1973, I$1:I1973&lt;&gt;""""),COUNTA(FILTER(I$1:I1973, I$1:I1973&lt;&gt;""""))), LEN(INDEX(FILTER(I$1:I1973, I$1:I1973&lt;&gt;""""),COUNTA(FILTER(I$1:I1973, I$1:I1973&lt;&gt;""""))))-1), IF('To Order'!$A1974=COL"&amp;"UMNS($A1974:I1993), I1973&amp;RIGHT(INDIRECT(ADDRESS(ROW(I1974)-1, 'From Order'!$A1974)), 1), I1973))"),"DVDTMZHZDMTTGMJRRVBBHFSCZWTSSPPJQVD")</f>
        <v>DVDTMZHZDMTTGMJRRVBBHFSCZWTSSPPJQVD</v>
      </c>
    </row>
    <row r="1975">
      <c r="A1975" s="2" t="str">
        <f>IFERROR(__xludf.DUMMYFUNCTION("IF('From Order'!$A1975=COLUMNS($A1975:A1994), LEFT(INDEX(FILTER(A$1:A1974, A$1:A1974&lt;&gt;""""),COUNTA(FILTER(A$1:A1974, A$1:A1974&lt;&gt;""""))), LEN(INDEX(FILTER(A$1:A1974, A$1:A1974&lt;&gt;""""),COUNTA(FILTER(A$1:A1974, A$1:A1974&lt;&gt;""""))))-1), IF('To Order'!$A1975=COL"&amp;"UMNS($A1975:A1994), A1974&amp;RIGHT(INDIRECT(ADDRESS(ROW(A1975)-1, 'From Order'!$A1975)), 1), A1974))"),"DSPBFLLWDD")</f>
        <v>DSPBFLLWDD</v>
      </c>
      <c r="B1975" s="2" t="str">
        <f>IFERROR(__xludf.DUMMYFUNCTION("IF('From Order'!$A1975=COLUMNS($A1975:B1994), LEFT(INDEX(FILTER(B$1:B1974, B$1:B1974&lt;&gt;""""),COUNTA(FILTER(B$1:B1974, B$1:B1974&lt;&gt;""""))), LEN(INDEX(FILTER(B$1:B1974, B$1:B1974&lt;&gt;""""),COUNTA(FILTER(B$1:B1974, B$1:B1974&lt;&gt;""""))))-1), IF('To Order'!$A1975=COL"&amp;"UMNS($A1975:B1994), B1974&amp;RIGHT(INDIRECT(ADDRESS(ROW(B1975)-1, 'From Order'!$A1975)), 1), B1974))"),"")</f>
        <v/>
      </c>
      <c r="C1975" s="2" t="str">
        <f>IFERROR(__xludf.DUMMYFUNCTION("IF('From Order'!$A1975=COLUMNS($A1975:C1994), LEFT(INDEX(FILTER(C$1:C1974, C$1:C1974&lt;&gt;""""),COUNTA(FILTER(C$1:C1974, C$1:C1974&lt;&gt;""""))), LEN(INDEX(FILTER(C$1:C1974, C$1:C1974&lt;&gt;""""),COUNTA(FILTER(C$1:C1974, C$1:C1974&lt;&gt;""""))))-1), IF('To Order'!$A1975=COL"&amp;"UMNS($A1975:C1994), C1974&amp;RIGHT(INDIRECT(ADDRESS(ROW(C1975)-1, 'From Order'!$A1975)), 1), C1974))"),"")</f>
        <v/>
      </c>
      <c r="D1975" s="2" t="str">
        <f>IFERROR(__xludf.DUMMYFUNCTION("IF('From Order'!$A1975=COLUMNS($A1975:D1994), LEFT(INDEX(FILTER(D$1:D1974, D$1:D1974&lt;&gt;""""),COUNTA(FILTER(D$1:D1974, D$1:D1974&lt;&gt;""""))), LEN(INDEX(FILTER(D$1:D1974, D$1:D1974&lt;&gt;""""),COUNTA(FILTER(D$1:D1974, D$1:D1974&lt;&gt;""""))))-1), IF('To Order'!$A1975=COL"&amp;"UMNS($A1975:D1994), D1974&amp;RIGHT(INDIRECT(ADDRESS(ROW(D1975)-1, 'From Order'!$A1975)), 1), D1974))"),"RBJC")</f>
        <v>RBJC</v>
      </c>
      <c r="E1975" s="2" t="str">
        <f>IFERROR(__xludf.DUMMYFUNCTION("IF('From Order'!$A1975=COLUMNS($A1975:E1994), LEFT(INDEX(FILTER(E$1:E1974, E$1:E1974&lt;&gt;""""),COUNTA(FILTER(E$1:E1974, E$1:E1974&lt;&gt;""""))), LEN(INDEX(FILTER(E$1:E1974, E$1:E1974&lt;&gt;""""),COUNTA(FILTER(E$1:E1974, E$1:E1974&lt;&gt;""""))))-1), IF('To Order'!$A1975=COL"&amp;"UMNS($A1975:E1994), E1974&amp;RIGHT(INDIRECT(ADDRESS(ROW(E1975)-1, 'From Order'!$A1975)), 1), E1974))"),"")</f>
        <v/>
      </c>
      <c r="F1975" s="2" t="str">
        <f>IFERROR(__xludf.DUMMYFUNCTION("IF('From Order'!$A1975=COLUMNS($A1975:F1994), LEFT(INDEX(FILTER(F$1:F1974, F$1:F1974&lt;&gt;""""),COUNTA(FILTER(F$1:F1974, F$1:F1974&lt;&gt;""""))), LEN(INDEX(FILTER(F$1:F1974, F$1:F1974&lt;&gt;""""),COUNTA(FILTER(F$1:F1974, F$1:F1974&lt;&gt;""""))))-1), IF('To Order'!$A1975=COL"&amp;"UMNS($A1975:F1994), F1974&amp;RIGHT(INDIRECT(ADDRESS(ROW(F1975)-1, 'From Order'!$A1975)), 1), F1974))"),"L")</f>
        <v>L</v>
      </c>
      <c r="G1975" s="2" t="str">
        <f>IFERROR(__xludf.DUMMYFUNCTION("IF('From Order'!$A1975=COLUMNS($A1975:G1994), LEFT(INDEX(FILTER(G$1:G1974, G$1:G1974&lt;&gt;""""),COUNTA(FILTER(G$1:G1974, G$1:G1974&lt;&gt;""""))), LEN(INDEX(FILTER(G$1:G1974, G$1:G1974&lt;&gt;""""),COUNTA(FILTER(G$1:G1974, G$1:G1974&lt;&gt;""""))))-1), IF('To Order'!$A1975=COL"&amp;"UMNS($A1975:G1994), G1974&amp;RIGHT(INDIRECT(ADDRESS(ROW(G1975)-1, 'From Order'!$A1975)), 1), G1974))"),"GR")</f>
        <v>GR</v>
      </c>
      <c r="H1975" s="2" t="str">
        <f>IFERROR(__xludf.DUMMYFUNCTION("IF('From Order'!$A1975=COLUMNS($A1975:H1994), LEFT(INDEX(FILTER(H$1:H1974, H$1:H1974&lt;&gt;""""),COUNTA(FILTER(H$1:H1974, H$1:H1974&lt;&gt;""""))), LEN(INDEX(FILTER(H$1:H1974, H$1:H1974&lt;&gt;""""),COUNTA(FILTER(H$1:H1974, H$1:H1974&lt;&gt;""""))))-1), IF('To Order'!$A1975=COL"&amp;"UMNS($A1975:H1994), H1974&amp;RIGHT(INDIRECT(ADDRESS(ROW(H1975)-1, 'From Order'!$A1975)), 1), H1974))"),"QTRTC")</f>
        <v>QTRTC</v>
      </c>
      <c r="I1975" s="2" t="str">
        <f>IFERROR(__xludf.DUMMYFUNCTION("IF('From Order'!$A1975=COLUMNS($A1975:I1994), LEFT(INDEX(FILTER(I$1:I1974, I$1:I1974&lt;&gt;""""),COUNTA(FILTER(I$1:I1974, I$1:I1974&lt;&gt;""""))), LEN(INDEX(FILTER(I$1:I1974, I$1:I1974&lt;&gt;""""),COUNTA(FILTER(I$1:I1974, I$1:I1974&lt;&gt;""""))))-1), IF('To Order'!$A1975=COL"&amp;"UMNS($A1975:I1994), I1974&amp;RIGHT(INDIRECT(ADDRESS(ROW(I1975)-1, 'From Order'!$A1975)), 1), I1974))"),"DVDTMZHZDMTTGMJRRVBBHFSCZWTSSPPJQV")</f>
        <v>DVDTMZHZDMTTGMJRRVBBHFSCZWTSSPPJQV</v>
      </c>
    </row>
    <row r="1976">
      <c r="A1976" s="2" t="str">
        <f>IFERROR(__xludf.DUMMYFUNCTION("IF('From Order'!$A1976=COLUMNS($A1976:A1995), LEFT(INDEX(FILTER(A$1:A1975, A$1:A1975&lt;&gt;""""),COUNTA(FILTER(A$1:A1975, A$1:A1975&lt;&gt;""""))), LEN(INDEX(FILTER(A$1:A1975, A$1:A1975&lt;&gt;""""),COUNTA(FILTER(A$1:A1975, A$1:A1975&lt;&gt;""""))))-1), IF('To Order'!$A1976=COL"&amp;"UMNS($A1976:A1995), A1975&amp;RIGHT(INDIRECT(ADDRESS(ROW(A1976)-1, 'From Order'!$A1976)), 1), A1975))"),"DSPBFLLWDDV")</f>
        <v>DSPBFLLWDDV</v>
      </c>
      <c r="B1976" s="2" t="str">
        <f>IFERROR(__xludf.DUMMYFUNCTION("IF('From Order'!$A1976=COLUMNS($A1976:B1995), LEFT(INDEX(FILTER(B$1:B1975, B$1:B1975&lt;&gt;""""),COUNTA(FILTER(B$1:B1975, B$1:B1975&lt;&gt;""""))), LEN(INDEX(FILTER(B$1:B1975, B$1:B1975&lt;&gt;""""),COUNTA(FILTER(B$1:B1975, B$1:B1975&lt;&gt;""""))))-1), IF('To Order'!$A1976=COL"&amp;"UMNS($A1976:B1995), B1975&amp;RIGHT(INDIRECT(ADDRESS(ROW(B1976)-1, 'From Order'!$A1976)), 1), B1975))"),"")</f>
        <v/>
      </c>
      <c r="C1976" s="2" t="str">
        <f>IFERROR(__xludf.DUMMYFUNCTION("IF('From Order'!$A1976=COLUMNS($A1976:C1995), LEFT(INDEX(FILTER(C$1:C1975, C$1:C1975&lt;&gt;""""),COUNTA(FILTER(C$1:C1975, C$1:C1975&lt;&gt;""""))), LEN(INDEX(FILTER(C$1:C1975, C$1:C1975&lt;&gt;""""),COUNTA(FILTER(C$1:C1975, C$1:C1975&lt;&gt;""""))))-1), IF('To Order'!$A1976=COL"&amp;"UMNS($A1976:C1995), C1975&amp;RIGHT(INDIRECT(ADDRESS(ROW(C1976)-1, 'From Order'!$A1976)), 1), C1975))"),"")</f>
        <v/>
      </c>
      <c r="D1976" s="2" t="str">
        <f>IFERROR(__xludf.DUMMYFUNCTION("IF('From Order'!$A1976=COLUMNS($A1976:D1995), LEFT(INDEX(FILTER(D$1:D1975, D$1:D1975&lt;&gt;""""),COUNTA(FILTER(D$1:D1975, D$1:D1975&lt;&gt;""""))), LEN(INDEX(FILTER(D$1:D1975, D$1:D1975&lt;&gt;""""),COUNTA(FILTER(D$1:D1975, D$1:D1975&lt;&gt;""""))))-1), IF('To Order'!$A1976=COL"&amp;"UMNS($A1976:D1995), D1975&amp;RIGHT(INDIRECT(ADDRESS(ROW(D1976)-1, 'From Order'!$A1976)), 1), D1975))"),"RBJC")</f>
        <v>RBJC</v>
      </c>
      <c r="E1976" s="2" t="str">
        <f>IFERROR(__xludf.DUMMYFUNCTION("IF('From Order'!$A1976=COLUMNS($A1976:E1995), LEFT(INDEX(FILTER(E$1:E1975, E$1:E1975&lt;&gt;""""),COUNTA(FILTER(E$1:E1975, E$1:E1975&lt;&gt;""""))), LEN(INDEX(FILTER(E$1:E1975, E$1:E1975&lt;&gt;""""),COUNTA(FILTER(E$1:E1975, E$1:E1975&lt;&gt;""""))))-1), IF('To Order'!$A1976=COL"&amp;"UMNS($A1976:E1995), E1975&amp;RIGHT(INDIRECT(ADDRESS(ROW(E1976)-1, 'From Order'!$A1976)), 1), E1975))"),"")</f>
        <v/>
      </c>
      <c r="F1976" s="2" t="str">
        <f>IFERROR(__xludf.DUMMYFUNCTION("IF('From Order'!$A1976=COLUMNS($A1976:F1995), LEFT(INDEX(FILTER(F$1:F1975, F$1:F1975&lt;&gt;""""),COUNTA(FILTER(F$1:F1975, F$1:F1975&lt;&gt;""""))), LEN(INDEX(FILTER(F$1:F1975, F$1:F1975&lt;&gt;""""),COUNTA(FILTER(F$1:F1975, F$1:F1975&lt;&gt;""""))))-1), IF('To Order'!$A1976=COL"&amp;"UMNS($A1976:F1995), F1975&amp;RIGHT(INDIRECT(ADDRESS(ROW(F1976)-1, 'From Order'!$A1976)), 1), F1975))"),"L")</f>
        <v>L</v>
      </c>
      <c r="G1976" s="2" t="str">
        <f>IFERROR(__xludf.DUMMYFUNCTION("IF('From Order'!$A1976=COLUMNS($A1976:G1995), LEFT(INDEX(FILTER(G$1:G1975, G$1:G1975&lt;&gt;""""),COUNTA(FILTER(G$1:G1975, G$1:G1975&lt;&gt;""""))), LEN(INDEX(FILTER(G$1:G1975, G$1:G1975&lt;&gt;""""),COUNTA(FILTER(G$1:G1975, G$1:G1975&lt;&gt;""""))))-1), IF('To Order'!$A1976=COL"&amp;"UMNS($A1976:G1995), G1975&amp;RIGHT(INDIRECT(ADDRESS(ROW(G1976)-1, 'From Order'!$A1976)), 1), G1975))"),"GR")</f>
        <v>GR</v>
      </c>
      <c r="H1976" s="2" t="str">
        <f>IFERROR(__xludf.DUMMYFUNCTION("IF('From Order'!$A1976=COLUMNS($A1976:H1995), LEFT(INDEX(FILTER(H$1:H1975, H$1:H1975&lt;&gt;""""),COUNTA(FILTER(H$1:H1975, H$1:H1975&lt;&gt;""""))), LEN(INDEX(FILTER(H$1:H1975, H$1:H1975&lt;&gt;""""),COUNTA(FILTER(H$1:H1975, H$1:H1975&lt;&gt;""""))))-1), IF('To Order'!$A1976=COL"&amp;"UMNS($A1976:H1995), H1975&amp;RIGHT(INDIRECT(ADDRESS(ROW(H1976)-1, 'From Order'!$A1976)), 1), H1975))"),"QTRTC")</f>
        <v>QTRTC</v>
      </c>
      <c r="I1976" s="2" t="str">
        <f>IFERROR(__xludf.DUMMYFUNCTION("IF('From Order'!$A1976=COLUMNS($A1976:I1995), LEFT(INDEX(FILTER(I$1:I1975, I$1:I1975&lt;&gt;""""),COUNTA(FILTER(I$1:I1975, I$1:I1975&lt;&gt;""""))), LEN(INDEX(FILTER(I$1:I1975, I$1:I1975&lt;&gt;""""),COUNTA(FILTER(I$1:I1975, I$1:I1975&lt;&gt;""""))))-1), IF('To Order'!$A1976=COL"&amp;"UMNS($A1976:I1995), I1975&amp;RIGHT(INDIRECT(ADDRESS(ROW(I1976)-1, 'From Order'!$A1976)), 1), I1975))"),"DVDTMZHZDMTTGMJRRVBBHFSCZWTSSPPJQ")</f>
        <v>DVDTMZHZDMTTGMJRRVBBHFSCZWTSSPPJQ</v>
      </c>
    </row>
    <row r="1977">
      <c r="A1977" s="2" t="str">
        <f>IFERROR(__xludf.DUMMYFUNCTION("IF('From Order'!$A1977=COLUMNS($A1977:A1996), LEFT(INDEX(FILTER(A$1:A1976, A$1:A1976&lt;&gt;""""),COUNTA(FILTER(A$1:A1976, A$1:A1976&lt;&gt;""""))), LEN(INDEX(FILTER(A$1:A1976, A$1:A1976&lt;&gt;""""),COUNTA(FILTER(A$1:A1976, A$1:A1976&lt;&gt;""""))))-1), IF('To Order'!$A1977=COL"&amp;"UMNS($A1977:A1996), A1976&amp;RIGHT(INDIRECT(ADDRESS(ROW(A1977)-1, 'From Order'!$A1977)), 1), A1976))"),"DSPBFLLWDDVQ")</f>
        <v>DSPBFLLWDDVQ</v>
      </c>
      <c r="B1977" s="2" t="str">
        <f>IFERROR(__xludf.DUMMYFUNCTION("IF('From Order'!$A1977=COLUMNS($A1977:B1996), LEFT(INDEX(FILTER(B$1:B1976, B$1:B1976&lt;&gt;""""),COUNTA(FILTER(B$1:B1976, B$1:B1976&lt;&gt;""""))), LEN(INDEX(FILTER(B$1:B1976, B$1:B1976&lt;&gt;""""),COUNTA(FILTER(B$1:B1976, B$1:B1976&lt;&gt;""""))))-1), IF('To Order'!$A1977=COL"&amp;"UMNS($A1977:B1996), B1976&amp;RIGHT(INDIRECT(ADDRESS(ROW(B1977)-1, 'From Order'!$A1977)), 1), B1976))"),"")</f>
        <v/>
      </c>
      <c r="C1977" s="2" t="str">
        <f>IFERROR(__xludf.DUMMYFUNCTION("IF('From Order'!$A1977=COLUMNS($A1977:C1996), LEFT(INDEX(FILTER(C$1:C1976, C$1:C1976&lt;&gt;""""),COUNTA(FILTER(C$1:C1976, C$1:C1976&lt;&gt;""""))), LEN(INDEX(FILTER(C$1:C1976, C$1:C1976&lt;&gt;""""),COUNTA(FILTER(C$1:C1976, C$1:C1976&lt;&gt;""""))))-1), IF('To Order'!$A1977=COL"&amp;"UMNS($A1977:C1996), C1976&amp;RIGHT(INDIRECT(ADDRESS(ROW(C1977)-1, 'From Order'!$A1977)), 1), C1976))"),"")</f>
        <v/>
      </c>
      <c r="D1977" s="2" t="str">
        <f>IFERROR(__xludf.DUMMYFUNCTION("IF('From Order'!$A1977=COLUMNS($A1977:D1996), LEFT(INDEX(FILTER(D$1:D1976, D$1:D1976&lt;&gt;""""),COUNTA(FILTER(D$1:D1976, D$1:D1976&lt;&gt;""""))), LEN(INDEX(FILTER(D$1:D1976, D$1:D1976&lt;&gt;""""),COUNTA(FILTER(D$1:D1976, D$1:D1976&lt;&gt;""""))))-1), IF('To Order'!$A1977=COL"&amp;"UMNS($A1977:D1996), D1976&amp;RIGHT(INDIRECT(ADDRESS(ROW(D1977)-1, 'From Order'!$A1977)), 1), D1976))"),"RBJC")</f>
        <v>RBJC</v>
      </c>
      <c r="E1977" s="2" t="str">
        <f>IFERROR(__xludf.DUMMYFUNCTION("IF('From Order'!$A1977=COLUMNS($A1977:E1996), LEFT(INDEX(FILTER(E$1:E1976, E$1:E1976&lt;&gt;""""),COUNTA(FILTER(E$1:E1976, E$1:E1976&lt;&gt;""""))), LEN(INDEX(FILTER(E$1:E1976, E$1:E1976&lt;&gt;""""),COUNTA(FILTER(E$1:E1976, E$1:E1976&lt;&gt;""""))))-1), IF('To Order'!$A1977=COL"&amp;"UMNS($A1977:E1996), E1976&amp;RIGHT(INDIRECT(ADDRESS(ROW(E1977)-1, 'From Order'!$A1977)), 1), E1976))"),"")</f>
        <v/>
      </c>
      <c r="F1977" s="2" t="str">
        <f>IFERROR(__xludf.DUMMYFUNCTION("IF('From Order'!$A1977=COLUMNS($A1977:F1996), LEFT(INDEX(FILTER(F$1:F1976, F$1:F1976&lt;&gt;""""),COUNTA(FILTER(F$1:F1976, F$1:F1976&lt;&gt;""""))), LEN(INDEX(FILTER(F$1:F1976, F$1:F1976&lt;&gt;""""),COUNTA(FILTER(F$1:F1976, F$1:F1976&lt;&gt;""""))))-1), IF('To Order'!$A1977=COL"&amp;"UMNS($A1977:F1996), F1976&amp;RIGHT(INDIRECT(ADDRESS(ROW(F1977)-1, 'From Order'!$A1977)), 1), F1976))"),"L")</f>
        <v>L</v>
      </c>
      <c r="G1977" s="2" t="str">
        <f>IFERROR(__xludf.DUMMYFUNCTION("IF('From Order'!$A1977=COLUMNS($A1977:G1996), LEFT(INDEX(FILTER(G$1:G1976, G$1:G1976&lt;&gt;""""),COUNTA(FILTER(G$1:G1976, G$1:G1976&lt;&gt;""""))), LEN(INDEX(FILTER(G$1:G1976, G$1:G1976&lt;&gt;""""),COUNTA(FILTER(G$1:G1976, G$1:G1976&lt;&gt;""""))))-1), IF('To Order'!$A1977=COL"&amp;"UMNS($A1977:G1996), G1976&amp;RIGHT(INDIRECT(ADDRESS(ROW(G1977)-1, 'From Order'!$A1977)), 1), G1976))"),"GR")</f>
        <v>GR</v>
      </c>
      <c r="H1977" s="2" t="str">
        <f>IFERROR(__xludf.DUMMYFUNCTION("IF('From Order'!$A1977=COLUMNS($A1977:H1996), LEFT(INDEX(FILTER(H$1:H1976, H$1:H1976&lt;&gt;""""),COUNTA(FILTER(H$1:H1976, H$1:H1976&lt;&gt;""""))), LEN(INDEX(FILTER(H$1:H1976, H$1:H1976&lt;&gt;""""),COUNTA(FILTER(H$1:H1976, H$1:H1976&lt;&gt;""""))))-1), IF('To Order'!$A1977=COL"&amp;"UMNS($A1977:H1996), H1976&amp;RIGHT(INDIRECT(ADDRESS(ROW(H1977)-1, 'From Order'!$A1977)), 1), H1976))"),"QTRTC")</f>
        <v>QTRTC</v>
      </c>
      <c r="I1977" s="2" t="str">
        <f>IFERROR(__xludf.DUMMYFUNCTION("IF('From Order'!$A1977=COLUMNS($A1977:I1996), LEFT(INDEX(FILTER(I$1:I1976, I$1:I1976&lt;&gt;""""),COUNTA(FILTER(I$1:I1976, I$1:I1976&lt;&gt;""""))), LEN(INDEX(FILTER(I$1:I1976, I$1:I1976&lt;&gt;""""),COUNTA(FILTER(I$1:I1976, I$1:I1976&lt;&gt;""""))))-1), IF('To Order'!$A1977=COL"&amp;"UMNS($A1977:I1996), I1976&amp;RIGHT(INDIRECT(ADDRESS(ROW(I1977)-1, 'From Order'!$A1977)), 1), I1976))"),"DVDTMZHZDMTTGMJRRVBBHFSCZWTSSPPJ")</f>
        <v>DVDTMZHZDMTTGMJRRVBBHFSCZWTSSPPJ</v>
      </c>
    </row>
    <row r="1978">
      <c r="A1978" s="2" t="str">
        <f>IFERROR(__xludf.DUMMYFUNCTION("IF('From Order'!$A1978=COLUMNS($A1978:A1997), LEFT(INDEX(FILTER(A$1:A1977, A$1:A1977&lt;&gt;""""),COUNTA(FILTER(A$1:A1977, A$1:A1977&lt;&gt;""""))), LEN(INDEX(FILTER(A$1:A1977, A$1:A1977&lt;&gt;""""),COUNTA(FILTER(A$1:A1977, A$1:A1977&lt;&gt;""""))))-1), IF('To Order'!$A1978=COL"&amp;"UMNS($A1978:A1997), A1977&amp;RIGHT(INDIRECT(ADDRESS(ROW(A1978)-1, 'From Order'!$A1978)), 1), A1977))"),"DSPBFLLWDDVQJ")</f>
        <v>DSPBFLLWDDVQJ</v>
      </c>
      <c r="B1978" s="2" t="str">
        <f>IFERROR(__xludf.DUMMYFUNCTION("IF('From Order'!$A1978=COLUMNS($A1978:B1997), LEFT(INDEX(FILTER(B$1:B1977, B$1:B1977&lt;&gt;""""),COUNTA(FILTER(B$1:B1977, B$1:B1977&lt;&gt;""""))), LEN(INDEX(FILTER(B$1:B1977, B$1:B1977&lt;&gt;""""),COUNTA(FILTER(B$1:B1977, B$1:B1977&lt;&gt;""""))))-1), IF('To Order'!$A1978=COL"&amp;"UMNS($A1978:B1997), B1977&amp;RIGHT(INDIRECT(ADDRESS(ROW(B1978)-1, 'From Order'!$A1978)), 1), B1977))"),"")</f>
        <v/>
      </c>
      <c r="C1978" s="2" t="str">
        <f>IFERROR(__xludf.DUMMYFUNCTION("IF('From Order'!$A1978=COLUMNS($A1978:C1997), LEFT(INDEX(FILTER(C$1:C1977, C$1:C1977&lt;&gt;""""),COUNTA(FILTER(C$1:C1977, C$1:C1977&lt;&gt;""""))), LEN(INDEX(FILTER(C$1:C1977, C$1:C1977&lt;&gt;""""),COUNTA(FILTER(C$1:C1977, C$1:C1977&lt;&gt;""""))))-1), IF('To Order'!$A1978=COL"&amp;"UMNS($A1978:C1997), C1977&amp;RIGHT(INDIRECT(ADDRESS(ROW(C1978)-1, 'From Order'!$A1978)), 1), C1977))"),"")</f>
        <v/>
      </c>
      <c r="D1978" s="2" t="str">
        <f>IFERROR(__xludf.DUMMYFUNCTION("IF('From Order'!$A1978=COLUMNS($A1978:D1997), LEFT(INDEX(FILTER(D$1:D1977, D$1:D1977&lt;&gt;""""),COUNTA(FILTER(D$1:D1977, D$1:D1977&lt;&gt;""""))), LEN(INDEX(FILTER(D$1:D1977, D$1:D1977&lt;&gt;""""),COUNTA(FILTER(D$1:D1977, D$1:D1977&lt;&gt;""""))))-1), IF('To Order'!$A1978=COL"&amp;"UMNS($A1978:D1997), D1977&amp;RIGHT(INDIRECT(ADDRESS(ROW(D1978)-1, 'From Order'!$A1978)), 1), D1977))"),"RBJC")</f>
        <v>RBJC</v>
      </c>
      <c r="E1978" s="2" t="str">
        <f>IFERROR(__xludf.DUMMYFUNCTION("IF('From Order'!$A1978=COLUMNS($A1978:E1997), LEFT(INDEX(FILTER(E$1:E1977, E$1:E1977&lt;&gt;""""),COUNTA(FILTER(E$1:E1977, E$1:E1977&lt;&gt;""""))), LEN(INDEX(FILTER(E$1:E1977, E$1:E1977&lt;&gt;""""),COUNTA(FILTER(E$1:E1977, E$1:E1977&lt;&gt;""""))))-1), IF('To Order'!$A1978=COL"&amp;"UMNS($A1978:E1997), E1977&amp;RIGHT(INDIRECT(ADDRESS(ROW(E1978)-1, 'From Order'!$A1978)), 1), E1977))"),"")</f>
        <v/>
      </c>
      <c r="F1978" s="2" t="str">
        <f>IFERROR(__xludf.DUMMYFUNCTION("IF('From Order'!$A1978=COLUMNS($A1978:F1997), LEFT(INDEX(FILTER(F$1:F1977, F$1:F1977&lt;&gt;""""),COUNTA(FILTER(F$1:F1977, F$1:F1977&lt;&gt;""""))), LEN(INDEX(FILTER(F$1:F1977, F$1:F1977&lt;&gt;""""),COUNTA(FILTER(F$1:F1977, F$1:F1977&lt;&gt;""""))))-1), IF('To Order'!$A1978=COL"&amp;"UMNS($A1978:F1997), F1977&amp;RIGHT(INDIRECT(ADDRESS(ROW(F1978)-1, 'From Order'!$A1978)), 1), F1977))"),"L")</f>
        <v>L</v>
      </c>
      <c r="G1978" s="2" t="str">
        <f>IFERROR(__xludf.DUMMYFUNCTION("IF('From Order'!$A1978=COLUMNS($A1978:G1997), LEFT(INDEX(FILTER(G$1:G1977, G$1:G1977&lt;&gt;""""),COUNTA(FILTER(G$1:G1977, G$1:G1977&lt;&gt;""""))), LEN(INDEX(FILTER(G$1:G1977, G$1:G1977&lt;&gt;""""),COUNTA(FILTER(G$1:G1977, G$1:G1977&lt;&gt;""""))))-1), IF('To Order'!$A1978=COL"&amp;"UMNS($A1978:G1997), G1977&amp;RIGHT(INDIRECT(ADDRESS(ROW(G1978)-1, 'From Order'!$A1978)), 1), G1977))"),"GR")</f>
        <v>GR</v>
      </c>
      <c r="H1978" s="2" t="str">
        <f>IFERROR(__xludf.DUMMYFUNCTION("IF('From Order'!$A1978=COLUMNS($A1978:H1997), LEFT(INDEX(FILTER(H$1:H1977, H$1:H1977&lt;&gt;""""),COUNTA(FILTER(H$1:H1977, H$1:H1977&lt;&gt;""""))), LEN(INDEX(FILTER(H$1:H1977, H$1:H1977&lt;&gt;""""),COUNTA(FILTER(H$1:H1977, H$1:H1977&lt;&gt;""""))))-1), IF('To Order'!$A1978=COL"&amp;"UMNS($A1978:H1997), H1977&amp;RIGHT(INDIRECT(ADDRESS(ROW(H1978)-1, 'From Order'!$A1978)), 1), H1977))"),"QTRTC")</f>
        <v>QTRTC</v>
      </c>
      <c r="I1978" s="2" t="str">
        <f>IFERROR(__xludf.DUMMYFUNCTION("IF('From Order'!$A1978=COLUMNS($A1978:I1997), LEFT(INDEX(FILTER(I$1:I1977, I$1:I1977&lt;&gt;""""),COUNTA(FILTER(I$1:I1977, I$1:I1977&lt;&gt;""""))), LEN(INDEX(FILTER(I$1:I1977, I$1:I1977&lt;&gt;""""),COUNTA(FILTER(I$1:I1977, I$1:I1977&lt;&gt;""""))))-1), IF('To Order'!$A1978=COL"&amp;"UMNS($A1978:I1997), I1977&amp;RIGHT(INDIRECT(ADDRESS(ROW(I1978)-1, 'From Order'!$A1978)), 1), I1977))"),"DVDTMZHZDMTTGMJRRVBBHFSCZWTSSPP")</f>
        <v>DVDTMZHZDMTTGMJRRVBBHFSCZWTSSPP</v>
      </c>
    </row>
    <row r="1979">
      <c r="A1979" s="2" t="str">
        <f>IFERROR(__xludf.DUMMYFUNCTION("IF('From Order'!$A1979=COLUMNS($A1979:A1998), LEFT(INDEX(FILTER(A$1:A1978, A$1:A1978&lt;&gt;""""),COUNTA(FILTER(A$1:A1978, A$1:A1978&lt;&gt;""""))), LEN(INDEX(FILTER(A$1:A1978, A$1:A1978&lt;&gt;""""),COUNTA(FILTER(A$1:A1978, A$1:A1978&lt;&gt;""""))))-1), IF('To Order'!$A1979=COL"&amp;"UMNS($A1979:A1998), A1978&amp;RIGHT(INDIRECT(ADDRESS(ROW(A1979)-1, 'From Order'!$A1979)), 1), A1978))"),"DSPBFLLWDDVQJP")</f>
        <v>DSPBFLLWDDVQJP</v>
      </c>
      <c r="B1979" s="2" t="str">
        <f>IFERROR(__xludf.DUMMYFUNCTION("IF('From Order'!$A1979=COLUMNS($A1979:B1998), LEFT(INDEX(FILTER(B$1:B1978, B$1:B1978&lt;&gt;""""),COUNTA(FILTER(B$1:B1978, B$1:B1978&lt;&gt;""""))), LEN(INDEX(FILTER(B$1:B1978, B$1:B1978&lt;&gt;""""),COUNTA(FILTER(B$1:B1978, B$1:B1978&lt;&gt;""""))))-1), IF('To Order'!$A1979=COL"&amp;"UMNS($A1979:B1998), B1978&amp;RIGHT(INDIRECT(ADDRESS(ROW(B1979)-1, 'From Order'!$A1979)), 1), B1978))"),"")</f>
        <v/>
      </c>
      <c r="C1979" s="2" t="str">
        <f>IFERROR(__xludf.DUMMYFUNCTION("IF('From Order'!$A1979=COLUMNS($A1979:C1998), LEFT(INDEX(FILTER(C$1:C1978, C$1:C1978&lt;&gt;""""),COUNTA(FILTER(C$1:C1978, C$1:C1978&lt;&gt;""""))), LEN(INDEX(FILTER(C$1:C1978, C$1:C1978&lt;&gt;""""),COUNTA(FILTER(C$1:C1978, C$1:C1978&lt;&gt;""""))))-1), IF('To Order'!$A1979=COL"&amp;"UMNS($A1979:C1998), C1978&amp;RIGHT(INDIRECT(ADDRESS(ROW(C1979)-1, 'From Order'!$A1979)), 1), C1978))"),"")</f>
        <v/>
      </c>
      <c r="D1979" s="2" t="str">
        <f>IFERROR(__xludf.DUMMYFUNCTION("IF('From Order'!$A1979=COLUMNS($A1979:D1998), LEFT(INDEX(FILTER(D$1:D1978, D$1:D1978&lt;&gt;""""),COUNTA(FILTER(D$1:D1978, D$1:D1978&lt;&gt;""""))), LEN(INDEX(FILTER(D$1:D1978, D$1:D1978&lt;&gt;""""),COUNTA(FILTER(D$1:D1978, D$1:D1978&lt;&gt;""""))))-1), IF('To Order'!$A1979=COL"&amp;"UMNS($A1979:D1998), D1978&amp;RIGHT(INDIRECT(ADDRESS(ROW(D1979)-1, 'From Order'!$A1979)), 1), D1978))"),"RBJC")</f>
        <v>RBJC</v>
      </c>
      <c r="E1979" s="2" t="str">
        <f>IFERROR(__xludf.DUMMYFUNCTION("IF('From Order'!$A1979=COLUMNS($A1979:E1998), LEFT(INDEX(FILTER(E$1:E1978, E$1:E1978&lt;&gt;""""),COUNTA(FILTER(E$1:E1978, E$1:E1978&lt;&gt;""""))), LEN(INDEX(FILTER(E$1:E1978, E$1:E1978&lt;&gt;""""),COUNTA(FILTER(E$1:E1978, E$1:E1978&lt;&gt;""""))))-1), IF('To Order'!$A1979=COL"&amp;"UMNS($A1979:E1998), E1978&amp;RIGHT(INDIRECT(ADDRESS(ROW(E1979)-1, 'From Order'!$A1979)), 1), E1978))"),"")</f>
        <v/>
      </c>
      <c r="F1979" s="2" t="str">
        <f>IFERROR(__xludf.DUMMYFUNCTION("IF('From Order'!$A1979=COLUMNS($A1979:F1998), LEFT(INDEX(FILTER(F$1:F1978, F$1:F1978&lt;&gt;""""),COUNTA(FILTER(F$1:F1978, F$1:F1978&lt;&gt;""""))), LEN(INDEX(FILTER(F$1:F1978, F$1:F1978&lt;&gt;""""),COUNTA(FILTER(F$1:F1978, F$1:F1978&lt;&gt;""""))))-1), IF('To Order'!$A1979=COL"&amp;"UMNS($A1979:F1998), F1978&amp;RIGHT(INDIRECT(ADDRESS(ROW(F1979)-1, 'From Order'!$A1979)), 1), F1978))"),"L")</f>
        <v>L</v>
      </c>
      <c r="G1979" s="2" t="str">
        <f>IFERROR(__xludf.DUMMYFUNCTION("IF('From Order'!$A1979=COLUMNS($A1979:G1998), LEFT(INDEX(FILTER(G$1:G1978, G$1:G1978&lt;&gt;""""),COUNTA(FILTER(G$1:G1978, G$1:G1978&lt;&gt;""""))), LEN(INDEX(FILTER(G$1:G1978, G$1:G1978&lt;&gt;""""),COUNTA(FILTER(G$1:G1978, G$1:G1978&lt;&gt;""""))))-1), IF('To Order'!$A1979=COL"&amp;"UMNS($A1979:G1998), G1978&amp;RIGHT(INDIRECT(ADDRESS(ROW(G1979)-1, 'From Order'!$A1979)), 1), G1978))"),"GR")</f>
        <v>GR</v>
      </c>
      <c r="H1979" s="2" t="str">
        <f>IFERROR(__xludf.DUMMYFUNCTION("IF('From Order'!$A1979=COLUMNS($A1979:H1998), LEFT(INDEX(FILTER(H$1:H1978, H$1:H1978&lt;&gt;""""),COUNTA(FILTER(H$1:H1978, H$1:H1978&lt;&gt;""""))), LEN(INDEX(FILTER(H$1:H1978, H$1:H1978&lt;&gt;""""),COUNTA(FILTER(H$1:H1978, H$1:H1978&lt;&gt;""""))))-1), IF('To Order'!$A1979=COL"&amp;"UMNS($A1979:H1998), H1978&amp;RIGHT(INDIRECT(ADDRESS(ROW(H1979)-1, 'From Order'!$A1979)), 1), H1978))"),"QTRTC")</f>
        <v>QTRTC</v>
      </c>
      <c r="I1979" s="2" t="str">
        <f>IFERROR(__xludf.DUMMYFUNCTION("IF('From Order'!$A1979=COLUMNS($A1979:I1998), LEFT(INDEX(FILTER(I$1:I1978, I$1:I1978&lt;&gt;""""),COUNTA(FILTER(I$1:I1978, I$1:I1978&lt;&gt;""""))), LEN(INDEX(FILTER(I$1:I1978, I$1:I1978&lt;&gt;""""),COUNTA(FILTER(I$1:I1978, I$1:I1978&lt;&gt;""""))))-1), IF('To Order'!$A1979=COL"&amp;"UMNS($A1979:I1998), I1978&amp;RIGHT(INDIRECT(ADDRESS(ROW(I1979)-1, 'From Order'!$A1979)), 1), I1978))"),"DVDTMZHZDMTTGMJRRVBBHFSCZWTSSP")</f>
        <v>DVDTMZHZDMTTGMJRRVBBHFSCZWTSSP</v>
      </c>
    </row>
    <row r="1980">
      <c r="A1980" s="2" t="str">
        <f>IFERROR(__xludf.DUMMYFUNCTION("IF('From Order'!$A1980=COLUMNS($A1980:A1999), LEFT(INDEX(FILTER(A$1:A1979, A$1:A1979&lt;&gt;""""),COUNTA(FILTER(A$1:A1979, A$1:A1979&lt;&gt;""""))), LEN(INDEX(FILTER(A$1:A1979, A$1:A1979&lt;&gt;""""),COUNTA(FILTER(A$1:A1979, A$1:A1979&lt;&gt;""""))))-1), IF('To Order'!$A1980=COL"&amp;"UMNS($A1980:A1999), A1979&amp;RIGHT(INDIRECT(ADDRESS(ROW(A1980)-1, 'From Order'!$A1980)), 1), A1979))"),"DSPBFLLWDDVQJPP")</f>
        <v>DSPBFLLWDDVQJPP</v>
      </c>
      <c r="B1980" s="2" t="str">
        <f>IFERROR(__xludf.DUMMYFUNCTION("IF('From Order'!$A1980=COLUMNS($A1980:B1999), LEFT(INDEX(FILTER(B$1:B1979, B$1:B1979&lt;&gt;""""),COUNTA(FILTER(B$1:B1979, B$1:B1979&lt;&gt;""""))), LEN(INDEX(FILTER(B$1:B1979, B$1:B1979&lt;&gt;""""),COUNTA(FILTER(B$1:B1979, B$1:B1979&lt;&gt;""""))))-1), IF('To Order'!$A1980=COL"&amp;"UMNS($A1980:B1999), B1979&amp;RIGHT(INDIRECT(ADDRESS(ROW(B1980)-1, 'From Order'!$A1980)), 1), B1979))"),"")</f>
        <v/>
      </c>
      <c r="C1980" s="2" t="str">
        <f>IFERROR(__xludf.DUMMYFUNCTION("IF('From Order'!$A1980=COLUMNS($A1980:C1999), LEFT(INDEX(FILTER(C$1:C1979, C$1:C1979&lt;&gt;""""),COUNTA(FILTER(C$1:C1979, C$1:C1979&lt;&gt;""""))), LEN(INDEX(FILTER(C$1:C1979, C$1:C1979&lt;&gt;""""),COUNTA(FILTER(C$1:C1979, C$1:C1979&lt;&gt;""""))))-1), IF('To Order'!$A1980=COL"&amp;"UMNS($A1980:C1999), C1979&amp;RIGHT(INDIRECT(ADDRESS(ROW(C1980)-1, 'From Order'!$A1980)), 1), C1979))"),"")</f>
        <v/>
      </c>
      <c r="D1980" s="2" t="str">
        <f>IFERROR(__xludf.DUMMYFUNCTION("IF('From Order'!$A1980=COLUMNS($A1980:D1999), LEFT(INDEX(FILTER(D$1:D1979, D$1:D1979&lt;&gt;""""),COUNTA(FILTER(D$1:D1979, D$1:D1979&lt;&gt;""""))), LEN(INDEX(FILTER(D$1:D1979, D$1:D1979&lt;&gt;""""),COUNTA(FILTER(D$1:D1979, D$1:D1979&lt;&gt;""""))))-1), IF('To Order'!$A1980=COL"&amp;"UMNS($A1980:D1999), D1979&amp;RIGHT(INDIRECT(ADDRESS(ROW(D1980)-1, 'From Order'!$A1980)), 1), D1979))"),"RBJC")</f>
        <v>RBJC</v>
      </c>
      <c r="E1980" s="2" t="str">
        <f>IFERROR(__xludf.DUMMYFUNCTION("IF('From Order'!$A1980=COLUMNS($A1980:E1999), LEFT(INDEX(FILTER(E$1:E1979, E$1:E1979&lt;&gt;""""),COUNTA(FILTER(E$1:E1979, E$1:E1979&lt;&gt;""""))), LEN(INDEX(FILTER(E$1:E1979, E$1:E1979&lt;&gt;""""),COUNTA(FILTER(E$1:E1979, E$1:E1979&lt;&gt;""""))))-1), IF('To Order'!$A1980=COL"&amp;"UMNS($A1980:E1999), E1979&amp;RIGHT(INDIRECT(ADDRESS(ROW(E1980)-1, 'From Order'!$A1980)), 1), E1979))"),"")</f>
        <v/>
      </c>
      <c r="F1980" s="2" t="str">
        <f>IFERROR(__xludf.DUMMYFUNCTION("IF('From Order'!$A1980=COLUMNS($A1980:F1999), LEFT(INDEX(FILTER(F$1:F1979, F$1:F1979&lt;&gt;""""),COUNTA(FILTER(F$1:F1979, F$1:F1979&lt;&gt;""""))), LEN(INDEX(FILTER(F$1:F1979, F$1:F1979&lt;&gt;""""),COUNTA(FILTER(F$1:F1979, F$1:F1979&lt;&gt;""""))))-1), IF('To Order'!$A1980=COL"&amp;"UMNS($A1980:F1999), F1979&amp;RIGHT(INDIRECT(ADDRESS(ROW(F1980)-1, 'From Order'!$A1980)), 1), F1979))"),"L")</f>
        <v>L</v>
      </c>
      <c r="G1980" s="2" t="str">
        <f>IFERROR(__xludf.DUMMYFUNCTION("IF('From Order'!$A1980=COLUMNS($A1980:G1999), LEFT(INDEX(FILTER(G$1:G1979, G$1:G1979&lt;&gt;""""),COUNTA(FILTER(G$1:G1979, G$1:G1979&lt;&gt;""""))), LEN(INDEX(FILTER(G$1:G1979, G$1:G1979&lt;&gt;""""),COUNTA(FILTER(G$1:G1979, G$1:G1979&lt;&gt;""""))))-1), IF('To Order'!$A1980=COL"&amp;"UMNS($A1980:G1999), G1979&amp;RIGHT(INDIRECT(ADDRESS(ROW(G1980)-1, 'From Order'!$A1980)), 1), G1979))"),"GR")</f>
        <v>GR</v>
      </c>
      <c r="H1980" s="2" t="str">
        <f>IFERROR(__xludf.DUMMYFUNCTION("IF('From Order'!$A1980=COLUMNS($A1980:H1999), LEFT(INDEX(FILTER(H$1:H1979, H$1:H1979&lt;&gt;""""),COUNTA(FILTER(H$1:H1979, H$1:H1979&lt;&gt;""""))), LEN(INDEX(FILTER(H$1:H1979, H$1:H1979&lt;&gt;""""),COUNTA(FILTER(H$1:H1979, H$1:H1979&lt;&gt;""""))))-1), IF('To Order'!$A1980=COL"&amp;"UMNS($A1980:H1999), H1979&amp;RIGHT(INDIRECT(ADDRESS(ROW(H1980)-1, 'From Order'!$A1980)), 1), H1979))"),"QTRTC")</f>
        <v>QTRTC</v>
      </c>
      <c r="I1980" s="2" t="str">
        <f>IFERROR(__xludf.DUMMYFUNCTION("IF('From Order'!$A1980=COLUMNS($A1980:I1999), LEFT(INDEX(FILTER(I$1:I1979, I$1:I1979&lt;&gt;""""),COUNTA(FILTER(I$1:I1979, I$1:I1979&lt;&gt;""""))), LEN(INDEX(FILTER(I$1:I1979, I$1:I1979&lt;&gt;""""),COUNTA(FILTER(I$1:I1979, I$1:I1979&lt;&gt;""""))))-1), IF('To Order'!$A1980=COL"&amp;"UMNS($A1980:I1999), I1979&amp;RIGHT(INDIRECT(ADDRESS(ROW(I1980)-1, 'From Order'!$A1980)), 1), I1979))"),"DVDTMZHZDMTTGMJRRVBBHFSCZWTSS")</f>
        <v>DVDTMZHZDMTTGMJRRVBBHFSCZWTSS</v>
      </c>
    </row>
    <row r="1981">
      <c r="A1981" s="2" t="str">
        <f>IFERROR(__xludf.DUMMYFUNCTION("IF('From Order'!$A1981=COLUMNS($A1981:A2000), LEFT(INDEX(FILTER(A$1:A1980, A$1:A1980&lt;&gt;""""),COUNTA(FILTER(A$1:A1980, A$1:A1980&lt;&gt;""""))), LEN(INDEX(FILTER(A$1:A1980, A$1:A1980&lt;&gt;""""),COUNTA(FILTER(A$1:A1980, A$1:A1980&lt;&gt;""""))))-1), IF('To Order'!$A1981=COL"&amp;"UMNS($A1981:A2000), A1980&amp;RIGHT(INDIRECT(ADDRESS(ROW(A1981)-1, 'From Order'!$A1981)), 1), A1980))"),"DSPBFLLWDDVQJPPS")</f>
        <v>DSPBFLLWDDVQJPPS</v>
      </c>
      <c r="B1981" s="2" t="str">
        <f>IFERROR(__xludf.DUMMYFUNCTION("IF('From Order'!$A1981=COLUMNS($A1981:B2000), LEFT(INDEX(FILTER(B$1:B1980, B$1:B1980&lt;&gt;""""),COUNTA(FILTER(B$1:B1980, B$1:B1980&lt;&gt;""""))), LEN(INDEX(FILTER(B$1:B1980, B$1:B1980&lt;&gt;""""),COUNTA(FILTER(B$1:B1980, B$1:B1980&lt;&gt;""""))))-1), IF('To Order'!$A1981=COL"&amp;"UMNS($A1981:B2000), B1980&amp;RIGHT(INDIRECT(ADDRESS(ROW(B1981)-1, 'From Order'!$A1981)), 1), B1980))"),"")</f>
        <v/>
      </c>
      <c r="C1981" s="2" t="str">
        <f>IFERROR(__xludf.DUMMYFUNCTION("IF('From Order'!$A1981=COLUMNS($A1981:C2000), LEFT(INDEX(FILTER(C$1:C1980, C$1:C1980&lt;&gt;""""),COUNTA(FILTER(C$1:C1980, C$1:C1980&lt;&gt;""""))), LEN(INDEX(FILTER(C$1:C1980, C$1:C1980&lt;&gt;""""),COUNTA(FILTER(C$1:C1980, C$1:C1980&lt;&gt;""""))))-1), IF('To Order'!$A1981=COL"&amp;"UMNS($A1981:C2000), C1980&amp;RIGHT(INDIRECT(ADDRESS(ROW(C1981)-1, 'From Order'!$A1981)), 1), C1980))"),"")</f>
        <v/>
      </c>
      <c r="D1981" s="2" t="str">
        <f>IFERROR(__xludf.DUMMYFUNCTION("IF('From Order'!$A1981=COLUMNS($A1981:D2000), LEFT(INDEX(FILTER(D$1:D1980, D$1:D1980&lt;&gt;""""),COUNTA(FILTER(D$1:D1980, D$1:D1980&lt;&gt;""""))), LEN(INDEX(FILTER(D$1:D1980, D$1:D1980&lt;&gt;""""),COUNTA(FILTER(D$1:D1980, D$1:D1980&lt;&gt;""""))))-1), IF('To Order'!$A1981=COL"&amp;"UMNS($A1981:D2000), D1980&amp;RIGHT(INDIRECT(ADDRESS(ROW(D1981)-1, 'From Order'!$A1981)), 1), D1980))"),"RBJC")</f>
        <v>RBJC</v>
      </c>
      <c r="E1981" s="2" t="str">
        <f>IFERROR(__xludf.DUMMYFUNCTION("IF('From Order'!$A1981=COLUMNS($A1981:E2000), LEFT(INDEX(FILTER(E$1:E1980, E$1:E1980&lt;&gt;""""),COUNTA(FILTER(E$1:E1980, E$1:E1980&lt;&gt;""""))), LEN(INDEX(FILTER(E$1:E1980, E$1:E1980&lt;&gt;""""),COUNTA(FILTER(E$1:E1980, E$1:E1980&lt;&gt;""""))))-1), IF('To Order'!$A1981=COL"&amp;"UMNS($A1981:E2000), E1980&amp;RIGHT(INDIRECT(ADDRESS(ROW(E1981)-1, 'From Order'!$A1981)), 1), E1980))"),"")</f>
        <v/>
      </c>
      <c r="F1981" s="2" t="str">
        <f>IFERROR(__xludf.DUMMYFUNCTION("IF('From Order'!$A1981=COLUMNS($A1981:F2000), LEFT(INDEX(FILTER(F$1:F1980, F$1:F1980&lt;&gt;""""),COUNTA(FILTER(F$1:F1980, F$1:F1980&lt;&gt;""""))), LEN(INDEX(FILTER(F$1:F1980, F$1:F1980&lt;&gt;""""),COUNTA(FILTER(F$1:F1980, F$1:F1980&lt;&gt;""""))))-1), IF('To Order'!$A1981=COL"&amp;"UMNS($A1981:F2000), F1980&amp;RIGHT(INDIRECT(ADDRESS(ROW(F1981)-1, 'From Order'!$A1981)), 1), F1980))"),"L")</f>
        <v>L</v>
      </c>
      <c r="G1981" s="2" t="str">
        <f>IFERROR(__xludf.DUMMYFUNCTION("IF('From Order'!$A1981=COLUMNS($A1981:G2000), LEFT(INDEX(FILTER(G$1:G1980, G$1:G1980&lt;&gt;""""),COUNTA(FILTER(G$1:G1980, G$1:G1980&lt;&gt;""""))), LEN(INDEX(FILTER(G$1:G1980, G$1:G1980&lt;&gt;""""),COUNTA(FILTER(G$1:G1980, G$1:G1980&lt;&gt;""""))))-1), IF('To Order'!$A1981=COL"&amp;"UMNS($A1981:G2000), G1980&amp;RIGHT(INDIRECT(ADDRESS(ROW(G1981)-1, 'From Order'!$A1981)), 1), G1980))"),"GR")</f>
        <v>GR</v>
      </c>
      <c r="H1981" s="2" t="str">
        <f>IFERROR(__xludf.DUMMYFUNCTION("IF('From Order'!$A1981=COLUMNS($A1981:H2000), LEFT(INDEX(FILTER(H$1:H1980, H$1:H1980&lt;&gt;""""),COUNTA(FILTER(H$1:H1980, H$1:H1980&lt;&gt;""""))), LEN(INDEX(FILTER(H$1:H1980, H$1:H1980&lt;&gt;""""),COUNTA(FILTER(H$1:H1980, H$1:H1980&lt;&gt;""""))))-1), IF('To Order'!$A1981=COL"&amp;"UMNS($A1981:H2000), H1980&amp;RIGHT(INDIRECT(ADDRESS(ROW(H1981)-1, 'From Order'!$A1981)), 1), H1980))"),"QTRTC")</f>
        <v>QTRTC</v>
      </c>
      <c r="I1981" s="2" t="str">
        <f>IFERROR(__xludf.DUMMYFUNCTION("IF('From Order'!$A1981=COLUMNS($A1981:I2000), LEFT(INDEX(FILTER(I$1:I1980, I$1:I1980&lt;&gt;""""),COUNTA(FILTER(I$1:I1980, I$1:I1980&lt;&gt;""""))), LEN(INDEX(FILTER(I$1:I1980, I$1:I1980&lt;&gt;""""),COUNTA(FILTER(I$1:I1980, I$1:I1980&lt;&gt;""""))))-1), IF('To Order'!$A1981=COL"&amp;"UMNS($A1981:I2000), I1980&amp;RIGHT(INDIRECT(ADDRESS(ROW(I1981)-1, 'From Order'!$A1981)), 1), I1980))"),"DVDTMZHZDMTTGMJRRVBBHFSCZWTS")</f>
        <v>DVDTMZHZDMTTGMJRRVBBHFSCZWTS</v>
      </c>
    </row>
    <row r="1982">
      <c r="A1982" s="2" t="str">
        <f>IFERROR(__xludf.DUMMYFUNCTION("IF('From Order'!$A1982=COLUMNS($A1982:A2001), LEFT(INDEX(FILTER(A$1:A1981, A$1:A1981&lt;&gt;""""),COUNTA(FILTER(A$1:A1981, A$1:A1981&lt;&gt;""""))), LEN(INDEX(FILTER(A$1:A1981, A$1:A1981&lt;&gt;""""),COUNTA(FILTER(A$1:A1981, A$1:A1981&lt;&gt;""""))))-1), IF('To Order'!$A1982=COL"&amp;"UMNS($A1982:A2001), A1981&amp;RIGHT(INDIRECT(ADDRESS(ROW(A1982)-1, 'From Order'!$A1982)), 1), A1981))"),"DSPBFLLWDDVQJPPSS")</f>
        <v>DSPBFLLWDDVQJPPSS</v>
      </c>
      <c r="B1982" s="2" t="str">
        <f>IFERROR(__xludf.DUMMYFUNCTION("IF('From Order'!$A1982=COLUMNS($A1982:B2001), LEFT(INDEX(FILTER(B$1:B1981, B$1:B1981&lt;&gt;""""),COUNTA(FILTER(B$1:B1981, B$1:B1981&lt;&gt;""""))), LEN(INDEX(FILTER(B$1:B1981, B$1:B1981&lt;&gt;""""),COUNTA(FILTER(B$1:B1981, B$1:B1981&lt;&gt;""""))))-1), IF('To Order'!$A1982=COL"&amp;"UMNS($A1982:B2001), B1981&amp;RIGHT(INDIRECT(ADDRESS(ROW(B1982)-1, 'From Order'!$A1982)), 1), B1981))"),"")</f>
        <v/>
      </c>
      <c r="C1982" s="2" t="str">
        <f>IFERROR(__xludf.DUMMYFUNCTION("IF('From Order'!$A1982=COLUMNS($A1982:C2001), LEFT(INDEX(FILTER(C$1:C1981, C$1:C1981&lt;&gt;""""),COUNTA(FILTER(C$1:C1981, C$1:C1981&lt;&gt;""""))), LEN(INDEX(FILTER(C$1:C1981, C$1:C1981&lt;&gt;""""),COUNTA(FILTER(C$1:C1981, C$1:C1981&lt;&gt;""""))))-1), IF('To Order'!$A1982=COL"&amp;"UMNS($A1982:C2001), C1981&amp;RIGHT(INDIRECT(ADDRESS(ROW(C1982)-1, 'From Order'!$A1982)), 1), C1981))"),"")</f>
        <v/>
      </c>
      <c r="D1982" s="2" t="str">
        <f>IFERROR(__xludf.DUMMYFUNCTION("IF('From Order'!$A1982=COLUMNS($A1982:D2001), LEFT(INDEX(FILTER(D$1:D1981, D$1:D1981&lt;&gt;""""),COUNTA(FILTER(D$1:D1981, D$1:D1981&lt;&gt;""""))), LEN(INDEX(FILTER(D$1:D1981, D$1:D1981&lt;&gt;""""),COUNTA(FILTER(D$1:D1981, D$1:D1981&lt;&gt;""""))))-1), IF('To Order'!$A1982=COL"&amp;"UMNS($A1982:D2001), D1981&amp;RIGHT(INDIRECT(ADDRESS(ROW(D1982)-1, 'From Order'!$A1982)), 1), D1981))"),"RBJC")</f>
        <v>RBJC</v>
      </c>
      <c r="E1982" s="2" t="str">
        <f>IFERROR(__xludf.DUMMYFUNCTION("IF('From Order'!$A1982=COLUMNS($A1982:E2001), LEFT(INDEX(FILTER(E$1:E1981, E$1:E1981&lt;&gt;""""),COUNTA(FILTER(E$1:E1981, E$1:E1981&lt;&gt;""""))), LEN(INDEX(FILTER(E$1:E1981, E$1:E1981&lt;&gt;""""),COUNTA(FILTER(E$1:E1981, E$1:E1981&lt;&gt;""""))))-1), IF('To Order'!$A1982=COL"&amp;"UMNS($A1982:E2001), E1981&amp;RIGHT(INDIRECT(ADDRESS(ROW(E1982)-1, 'From Order'!$A1982)), 1), E1981))"),"")</f>
        <v/>
      </c>
      <c r="F1982" s="2" t="str">
        <f>IFERROR(__xludf.DUMMYFUNCTION("IF('From Order'!$A1982=COLUMNS($A1982:F2001), LEFT(INDEX(FILTER(F$1:F1981, F$1:F1981&lt;&gt;""""),COUNTA(FILTER(F$1:F1981, F$1:F1981&lt;&gt;""""))), LEN(INDEX(FILTER(F$1:F1981, F$1:F1981&lt;&gt;""""),COUNTA(FILTER(F$1:F1981, F$1:F1981&lt;&gt;""""))))-1), IF('To Order'!$A1982=COL"&amp;"UMNS($A1982:F2001), F1981&amp;RIGHT(INDIRECT(ADDRESS(ROW(F1982)-1, 'From Order'!$A1982)), 1), F1981))"),"L")</f>
        <v>L</v>
      </c>
      <c r="G1982" s="2" t="str">
        <f>IFERROR(__xludf.DUMMYFUNCTION("IF('From Order'!$A1982=COLUMNS($A1982:G2001), LEFT(INDEX(FILTER(G$1:G1981, G$1:G1981&lt;&gt;""""),COUNTA(FILTER(G$1:G1981, G$1:G1981&lt;&gt;""""))), LEN(INDEX(FILTER(G$1:G1981, G$1:G1981&lt;&gt;""""),COUNTA(FILTER(G$1:G1981, G$1:G1981&lt;&gt;""""))))-1), IF('To Order'!$A1982=COL"&amp;"UMNS($A1982:G2001), G1981&amp;RIGHT(INDIRECT(ADDRESS(ROW(G1982)-1, 'From Order'!$A1982)), 1), G1981))"),"GR")</f>
        <v>GR</v>
      </c>
      <c r="H1982" s="2" t="str">
        <f>IFERROR(__xludf.DUMMYFUNCTION("IF('From Order'!$A1982=COLUMNS($A1982:H2001), LEFT(INDEX(FILTER(H$1:H1981, H$1:H1981&lt;&gt;""""),COUNTA(FILTER(H$1:H1981, H$1:H1981&lt;&gt;""""))), LEN(INDEX(FILTER(H$1:H1981, H$1:H1981&lt;&gt;""""),COUNTA(FILTER(H$1:H1981, H$1:H1981&lt;&gt;""""))))-1), IF('To Order'!$A1982=COL"&amp;"UMNS($A1982:H2001), H1981&amp;RIGHT(INDIRECT(ADDRESS(ROW(H1982)-1, 'From Order'!$A1982)), 1), H1981))"),"QTRTC")</f>
        <v>QTRTC</v>
      </c>
      <c r="I1982" s="2" t="str">
        <f>IFERROR(__xludf.DUMMYFUNCTION("IF('From Order'!$A1982=COLUMNS($A1982:I2001), LEFT(INDEX(FILTER(I$1:I1981, I$1:I1981&lt;&gt;""""),COUNTA(FILTER(I$1:I1981, I$1:I1981&lt;&gt;""""))), LEN(INDEX(FILTER(I$1:I1981, I$1:I1981&lt;&gt;""""),COUNTA(FILTER(I$1:I1981, I$1:I1981&lt;&gt;""""))))-1), IF('To Order'!$A1982=COL"&amp;"UMNS($A1982:I2001), I1981&amp;RIGHT(INDIRECT(ADDRESS(ROW(I1982)-1, 'From Order'!$A1982)), 1), I1981))"),"DVDTMZHZDMTTGMJRRVBBHFSCZWT")</f>
        <v>DVDTMZHZDMTTGMJRRVBBHFSCZWT</v>
      </c>
    </row>
    <row r="1983">
      <c r="A1983" s="2" t="str">
        <f>IFERROR(__xludf.DUMMYFUNCTION("IF('From Order'!$A1983=COLUMNS($A1983:A2002), LEFT(INDEX(FILTER(A$1:A1982, A$1:A1982&lt;&gt;""""),COUNTA(FILTER(A$1:A1982, A$1:A1982&lt;&gt;""""))), LEN(INDEX(FILTER(A$1:A1982, A$1:A1982&lt;&gt;""""),COUNTA(FILTER(A$1:A1982, A$1:A1982&lt;&gt;""""))))-1), IF('To Order'!$A1983=COL"&amp;"UMNS($A1983:A2002), A1982&amp;RIGHT(INDIRECT(ADDRESS(ROW(A1983)-1, 'From Order'!$A1983)), 1), A1982))"),"DSPBFLLWDDVQJPPSST")</f>
        <v>DSPBFLLWDDVQJPPSST</v>
      </c>
      <c r="B1983" s="2" t="str">
        <f>IFERROR(__xludf.DUMMYFUNCTION("IF('From Order'!$A1983=COLUMNS($A1983:B2002), LEFT(INDEX(FILTER(B$1:B1982, B$1:B1982&lt;&gt;""""),COUNTA(FILTER(B$1:B1982, B$1:B1982&lt;&gt;""""))), LEN(INDEX(FILTER(B$1:B1982, B$1:B1982&lt;&gt;""""),COUNTA(FILTER(B$1:B1982, B$1:B1982&lt;&gt;""""))))-1), IF('To Order'!$A1983=COL"&amp;"UMNS($A1983:B2002), B1982&amp;RIGHT(INDIRECT(ADDRESS(ROW(B1983)-1, 'From Order'!$A1983)), 1), B1982))"),"")</f>
        <v/>
      </c>
      <c r="C1983" s="2" t="str">
        <f>IFERROR(__xludf.DUMMYFUNCTION("IF('From Order'!$A1983=COLUMNS($A1983:C2002), LEFT(INDEX(FILTER(C$1:C1982, C$1:C1982&lt;&gt;""""),COUNTA(FILTER(C$1:C1982, C$1:C1982&lt;&gt;""""))), LEN(INDEX(FILTER(C$1:C1982, C$1:C1982&lt;&gt;""""),COUNTA(FILTER(C$1:C1982, C$1:C1982&lt;&gt;""""))))-1), IF('To Order'!$A1983=COL"&amp;"UMNS($A1983:C2002), C1982&amp;RIGHT(INDIRECT(ADDRESS(ROW(C1983)-1, 'From Order'!$A1983)), 1), C1982))"),"")</f>
        <v/>
      </c>
      <c r="D1983" s="2" t="str">
        <f>IFERROR(__xludf.DUMMYFUNCTION("IF('From Order'!$A1983=COLUMNS($A1983:D2002), LEFT(INDEX(FILTER(D$1:D1982, D$1:D1982&lt;&gt;""""),COUNTA(FILTER(D$1:D1982, D$1:D1982&lt;&gt;""""))), LEN(INDEX(FILTER(D$1:D1982, D$1:D1982&lt;&gt;""""),COUNTA(FILTER(D$1:D1982, D$1:D1982&lt;&gt;""""))))-1), IF('To Order'!$A1983=COL"&amp;"UMNS($A1983:D2002), D1982&amp;RIGHT(INDIRECT(ADDRESS(ROW(D1983)-1, 'From Order'!$A1983)), 1), D1982))"),"RBJC")</f>
        <v>RBJC</v>
      </c>
      <c r="E1983" s="2" t="str">
        <f>IFERROR(__xludf.DUMMYFUNCTION("IF('From Order'!$A1983=COLUMNS($A1983:E2002), LEFT(INDEX(FILTER(E$1:E1982, E$1:E1982&lt;&gt;""""),COUNTA(FILTER(E$1:E1982, E$1:E1982&lt;&gt;""""))), LEN(INDEX(FILTER(E$1:E1982, E$1:E1982&lt;&gt;""""),COUNTA(FILTER(E$1:E1982, E$1:E1982&lt;&gt;""""))))-1), IF('To Order'!$A1983=COL"&amp;"UMNS($A1983:E2002), E1982&amp;RIGHT(INDIRECT(ADDRESS(ROW(E1983)-1, 'From Order'!$A1983)), 1), E1982))"),"")</f>
        <v/>
      </c>
      <c r="F1983" s="2" t="str">
        <f>IFERROR(__xludf.DUMMYFUNCTION("IF('From Order'!$A1983=COLUMNS($A1983:F2002), LEFT(INDEX(FILTER(F$1:F1982, F$1:F1982&lt;&gt;""""),COUNTA(FILTER(F$1:F1982, F$1:F1982&lt;&gt;""""))), LEN(INDEX(FILTER(F$1:F1982, F$1:F1982&lt;&gt;""""),COUNTA(FILTER(F$1:F1982, F$1:F1982&lt;&gt;""""))))-1), IF('To Order'!$A1983=COL"&amp;"UMNS($A1983:F2002), F1982&amp;RIGHT(INDIRECT(ADDRESS(ROW(F1983)-1, 'From Order'!$A1983)), 1), F1982))"),"L")</f>
        <v>L</v>
      </c>
      <c r="G1983" s="2" t="str">
        <f>IFERROR(__xludf.DUMMYFUNCTION("IF('From Order'!$A1983=COLUMNS($A1983:G2002), LEFT(INDEX(FILTER(G$1:G1982, G$1:G1982&lt;&gt;""""),COUNTA(FILTER(G$1:G1982, G$1:G1982&lt;&gt;""""))), LEN(INDEX(FILTER(G$1:G1982, G$1:G1982&lt;&gt;""""),COUNTA(FILTER(G$1:G1982, G$1:G1982&lt;&gt;""""))))-1), IF('To Order'!$A1983=COL"&amp;"UMNS($A1983:G2002), G1982&amp;RIGHT(INDIRECT(ADDRESS(ROW(G1983)-1, 'From Order'!$A1983)), 1), G1982))"),"GR")</f>
        <v>GR</v>
      </c>
      <c r="H1983" s="2" t="str">
        <f>IFERROR(__xludf.DUMMYFUNCTION("IF('From Order'!$A1983=COLUMNS($A1983:H2002), LEFT(INDEX(FILTER(H$1:H1982, H$1:H1982&lt;&gt;""""),COUNTA(FILTER(H$1:H1982, H$1:H1982&lt;&gt;""""))), LEN(INDEX(FILTER(H$1:H1982, H$1:H1982&lt;&gt;""""),COUNTA(FILTER(H$1:H1982, H$1:H1982&lt;&gt;""""))))-1), IF('To Order'!$A1983=COL"&amp;"UMNS($A1983:H2002), H1982&amp;RIGHT(INDIRECT(ADDRESS(ROW(H1983)-1, 'From Order'!$A1983)), 1), H1982))"),"QTRTC")</f>
        <v>QTRTC</v>
      </c>
      <c r="I1983" s="2" t="str">
        <f>IFERROR(__xludf.DUMMYFUNCTION("IF('From Order'!$A1983=COLUMNS($A1983:I2002), LEFT(INDEX(FILTER(I$1:I1982, I$1:I1982&lt;&gt;""""),COUNTA(FILTER(I$1:I1982, I$1:I1982&lt;&gt;""""))), LEN(INDEX(FILTER(I$1:I1982, I$1:I1982&lt;&gt;""""),COUNTA(FILTER(I$1:I1982, I$1:I1982&lt;&gt;""""))))-1), IF('To Order'!$A1983=COL"&amp;"UMNS($A1983:I2002), I1982&amp;RIGHT(INDIRECT(ADDRESS(ROW(I1983)-1, 'From Order'!$A1983)), 1), I1982))"),"DVDTMZHZDMTTGMJRRVBBHFSCZW")</f>
        <v>DVDTMZHZDMTTGMJRRVBBHFSCZW</v>
      </c>
    </row>
    <row r="1984">
      <c r="A1984" s="2" t="str">
        <f>IFERROR(__xludf.DUMMYFUNCTION("IF('From Order'!$A1984=COLUMNS($A1984:A2003), LEFT(INDEX(FILTER(A$1:A1983, A$1:A1983&lt;&gt;""""),COUNTA(FILTER(A$1:A1983, A$1:A1983&lt;&gt;""""))), LEN(INDEX(FILTER(A$1:A1983, A$1:A1983&lt;&gt;""""),COUNTA(FILTER(A$1:A1983, A$1:A1983&lt;&gt;""""))))-1), IF('To Order'!$A1984=COL"&amp;"UMNS($A1984:A2003), A1983&amp;RIGHT(INDIRECT(ADDRESS(ROW(A1984)-1, 'From Order'!$A1984)), 1), A1983))"),"DSPBFLLWDDVQJPPSSTW")</f>
        <v>DSPBFLLWDDVQJPPSSTW</v>
      </c>
      <c r="B1984" s="2" t="str">
        <f>IFERROR(__xludf.DUMMYFUNCTION("IF('From Order'!$A1984=COLUMNS($A1984:B2003), LEFT(INDEX(FILTER(B$1:B1983, B$1:B1983&lt;&gt;""""),COUNTA(FILTER(B$1:B1983, B$1:B1983&lt;&gt;""""))), LEN(INDEX(FILTER(B$1:B1983, B$1:B1983&lt;&gt;""""),COUNTA(FILTER(B$1:B1983, B$1:B1983&lt;&gt;""""))))-1), IF('To Order'!$A1984=COL"&amp;"UMNS($A1984:B2003), B1983&amp;RIGHT(INDIRECT(ADDRESS(ROW(B1984)-1, 'From Order'!$A1984)), 1), B1983))"),"")</f>
        <v/>
      </c>
      <c r="C1984" s="2" t="str">
        <f>IFERROR(__xludf.DUMMYFUNCTION("IF('From Order'!$A1984=COLUMNS($A1984:C2003), LEFT(INDEX(FILTER(C$1:C1983, C$1:C1983&lt;&gt;""""),COUNTA(FILTER(C$1:C1983, C$1:C1983&lt;&gt;""""))), LEN(INDEX(FILTER(C$1:C1983, C$1:C1983&lt;&gt;""""),COUNTA(FILTER(C$1:C1983, C$1:C1983&lt;&gt;""""))))-1), IF('To Order'!$A1984=COL"&amp;"UMNS($A1984:C2003), C1983&amp;RIGHT(INDIRECT(ADDRESS(ROW(C1984)-1, 'From Order'!$A1984)), 1), C1983))"),"")</f>
        <v/>
      </c>
      <c r="D1984" s="2" t="str">
        <f>IFERROR(__xludf.DUMMYFUNCTION("IF('From Order'!$A1984=COLUMNS($A1984:D2003), LEFT(INDEX(FILTER(D$1:D1983, D$1:D1983&lt;&gt;""""),COUNTA(FILTER(D$1:D1983, D$1:D1983&lt;&gt;""""))), LEN(INDEX(FILTER(D$1:D1983, D$1:D1983&lt;&gt;""""),COUNTA(FILTER(D$1:D1983, D$1:D1983&lt;&gt;""""))))-1), IF('To Order'!$A1984=COL"&amp;"UMNS($A1984:D2003), D1983&amp;RIGHT(INDIRECT(ADDRESS(ROW(D1984)-1, 'From Order'!$A1984)), 1), D1983))"),"RBJC")</f>
        <v>RBJC</v>
      </c>
      <c r="E1984" s="2" t="str">
        <f>IFERROR(__xludf.DUMMYFUNCTION("IF('From Order'!$A1984=COLUMNS($A1984:E2003), LEFT(INDEX(FILTER(E$1:E1983, E$1:E1983&lt;&gt;""""),COUNTA(FILTER(E$1:E1983, E$1:E1983&lt;&gt;""""))), LEN(INDEX(FILTER(E$1:E1983, E$1:E1983&lt;&gt;""""),COUNTA(FILTER(E$1:E1983, E$1:E1983&lt;&gt;""""))))-1), IF('To Order'!$A1984=COL"&amp;"UMNS($A1984:E2003), E1983&amp;RIGHT(INDIRECT(ADDRESS(ROW(E1984)-1, 'From Order'!$A1984)), 1), E1983))"),"")</f>
        <v/>
      </c>
      <c r="F1984" s="2" t="str">
        <f>IFERROR(__xludf.DUMMYFUNCTION("IF('From Order'!$A1984=COLUMNS($A1984:F2003), LEFT(INDEX(FILTER(F$1:F1983, F$1:F1983&lt;&gt;""""),COUNTA(FILTER(F$1:F1983, F$1:F1983&lt;&gt;""""))), LEN(INDEX(FILTER(F$1:F1983, F$1:F1983&lt;&gt;""""),COUNTA(FILTER(F$1:F1983, F$1:F1983&lt;&gt;""""))))-1), IF('To Order'!$A1984=COL"&amp;"UMNS($A1984:F2003), F1983&amp;RIGHT(INDIRECT(ADDRESS(ROW(F1984)-1, 'From Order'!$A1984)), 1), F1983))"),"L")</f>
        <v>L</v>
      </c>
      <c r="G1984" s="2" t="str">
        <f>IFERROR(__xludf.DUMMYFUNCTION("IF('From Order'!$A1984=COLUMNS($A1984:G2003), LEFT(INDEX(FILTER(G$1:G1983, G$1:G1983&lt;&gt;""""),COUNTA(FILTER(G$1:G1983, G$1:G1983&lt;&gt;""""))), LEN(INDEX(FILTER(G$1:G1983, G$1:G1983&lt;&gt;""""),COUNTA(FILTER(G$1:G1983, G$1:G1983&lt;&gt;""""))))-1), IF('To Order'!$A1984=COL"&amp;"UMNS($A1984:G2003), G1983&amp;RIGHT(INDIRECT(ADDRESS(ROW(G1984)-1, 'From Order'!$A1984)), 1), G1983))"),"GR")</f>
        <v>GR</v>
      </c>
      <c r="H1984" s="2" t="str">
        <f>IFERROR(__xludf.DUMMYFUNCTION("IF('From Order'!$A1984=COLUMNS($A1984:H2003), LEFT(INDEX(FILTER(H$1:H1983, H$1:H1983&lt;&gt;""""),COUNTA(FILTER(H$1:H1983, H$1:H1983&lt;&gt;""""))), LEN(INDEX(FILTER(H$1:H1983, H$1:H1983&lt;&gt;""""),COUNTA(FILTER(H$1:H1983, H$1:H1983&lt;&gt;""""))))-1), IF('To Order'!$A1984=COL"&amp;"UMNS($A1984:H2003), H1983&amp;RIGHT(INDIRECT(ADDRESS(ROW(H1984)-1, 'From Order'!$A1984)), 1), H1983))"),"QTRTC")</f>
        <v>QTRTC</v>
      </c>
      <c r="I1984" s="2" t="str">
        <f>IFERROR(__xludf.DUMMYFUNCTION("IF('From Order'!$A1984=COLUMNS($A1984:I2003), LEFT(INDEX(FILTER(I$1:I1983, I$1:I1983&lt;&gt;""""),COUNTA(FILTER(I$1:I1983, I$1:I1983&lt;&gt;""""))), LEN(INDEX(FILTER(I$1:I1983, I$1:I1983&lt;&gt;""""),COUNTA(FILTER(I$1:I1983, I$1:I1983&lt;&gt;""""))))-1), IF('To Order'!$A1984=COL"&amp;"UMNS($A1984:I2003), I1983&amp;RIGHT(INDIRECT(ADDRESS(ROW(I1984)-1, 'From Order'!$A1984)), 1), I1983))"),"DVDTMZHZDMTTGMJRRVBBHFSCZ")</f>
        <v>DVDTMZHZDMTTGMJRRVBBHFSCZ</v>
      </c>
    </row>
    <row r="1985">
      <c r="A1985" s="2" t="str">
        <f>IFERROR(__xludf.DUMMYFUNCTION("IF('From Order'!$A1985=COLUMNS($A1985:A2004), LEFT(INDEX(FILTER(A$1:A1984, A$1:A1984&lt;&gt;""""),COUNTA(FILTER(A$1:A1984, A$1:A1984&lt;&gt;""""))), LEN(INDEX(FILTER(A$1:A1984, A$1:A1984&lt;&gt;""""),COUNTA(FILTER(A$1:A1984, A$1:A1984&lt;&gt;""""))))-1), IF('To Order'!$A1985=COL"&amp;"UMNS($A1985:A2004), A1984&amp;RIGHT(INDIRECT(ADDRESS(ROW(A1985)-1, 'From Order'!$A1985)), 1), A1984))"),"DSPBFLLWDDVQJPPSSTWZ")</f>
        <v>DSPBFLLWDDVQJPPSSTWZ</v>
      </c>
      <c r="B1985" s="2" t="str">
        <f>IFERROR(__xludf.DUMMYFUNCTION("IF('From Order'!$A1985=COLUMNS($A1985:B2004), LEFT(INDEX(FILTER(B$1:B1984, B$1:B1984&lt;&gt;""""),COUNTA(FILTER(B$1:B1984, B$1:B1984&lt;&gt;""""))), LEN(INDEX(FILTER(B$1:B1984, B$1:B1984&lt;&gt;""""),COUNTA(FILTER(B$1:B1984, B$1:B1984&lt;&gt;""""))))-1), IF('To Order'!$A1985=COL"&amp;"UMNS($A1985:B2004), B1984&amp;RIGHT(INDIRECT(ADDRESS(ROW(B1985)-1, 'From Order'!$A1985)), 1), B1984))"),"")</f>
        <v/>
      </c>
      <c r="C1985" s="2" t="str">
        <f>IFERROR(__xludf.DUMMYFUNCTION("IF('From Order'!$A1985=COLUMNS($A1985:C2004), LEFT(INDEX(FILTER(C$1:C1984, C$1:C1984&lt;&gt;""""),COUNTA(FILTER(C$1:C1984, C$1:C1984&lt;&gt;""""))), LEN(INDEX(FILTER(C$1:C1984, C$1:C1984&lt;&gt;""""),COUNTA(FILTER(C$1:C1984, C$1:C1984&lt;&gt;""""))))-1), IF('To Order'!$A1985=COL"&amp;"UMNS($A1985:C2004), C1984&amp;RIGHT(INDIRECT(ADDRESS(ROW(C1985)-1, 'From Order'!$A1985)), 1), C1984))"),"")</f>
        <v/>
      </c>
      <c r="D1985" s="2" t="str">
        <f>IFERROR(__xludf.DUMMYFUNCTION("IF('From Order'!$A1985=COLUMNS($A1985:D2004), LEFT(INDEX(FILTER(D$1:D1984, D$1:D1984&lt;&gt;""""),COUNTA(FILTER(D$1:D1984, D$1:D1984&lt;&gt;""""))), LEN(INDEX(FILTER(D$1:D1984, D$1:D1984&lt;&gt;""""),COUNTA(FILTER(D$1:D1984, D$1:D1984&lt;&gt;""""))))-1), IF('To Order'!$A1985=COL"&amp;"UMNS($A1985:D2004), D1984&amp;RIGHT(INDIRECT(ADDRESS(ROW(D1985)-1, 'From Order'!$A1985)), 1), D1984))"),"RBJC")</f>
        <v>RBJC</v>
      </c>
      <c r="E1985" s="2" t="str">
        <f>IFERROR(__xludf.DUMMYFUNCTION("IF('From Order'!$A1985=COLUMNS($A1985:E2004), LEFT(INDEX(FILTER(E$1:E1984, E$1:E1984&lt;&gt;""""),COUNTA(FILTER(E$1:E1984, E$1:E1984&lt;&gt;""""))), LEN(INDEX(FILTER(E$1:E1984, E$1:E1984&lt;&gt;""""),COUNTA(FILTER(E$1:E1984, E$1:E1984&lt;&gt;""""))))-1), IF('To Order'!$A1985=COL"&amp;"UMNS($A1985:E2004), E1984&amp;RIGHT(INDIRECT(ADDRESS(ROW(E1985)-1, 'From Order'!$A1985)), 1), E1984))"),"")</f>
        <v/>
      </c>
      <c r="F1985" s="2" t="str">
        <f>IFERROR(__xludf.DUMMYFUNCTION("IF('From Order'!$A1985=COLUMNS($A1985:F2004), LEFT(INDEX(FILTER(F$1:F1984, F$1:F1984&lt;&gt;""""),COUNTA(FILTER(F$1:F1984, F$1:F1984&lt;&gt;""""))), LEN(INDEX(FILTER(F$1:F1984, F$1:F1984&lt;&gt;""""),COUNTA(FILTER(F$1:F1984, F$1:F1984&lt;&gt;""""))))-1), IF('To Order'!$A1985=COL"&amp;"UMNS($A1985:F2004), F1984&amp;RIGHT(INDIRECT(ADDRESS(ROW(F1985)-1, 'From Order'!$A1985)), 1), F1984))"),"L")</f>
        <v>L</v>
      </c>
      <c r="G1985" s="2" t="str">
        <f>IFERROR(__xludf.DUMMYFUNCTION("IF('From Order'!$A1985=COLUMNS($A1985:G2004), LEFT(INDEX(FILTER(G$1:G1984, G$1:G1984&lt;&gt;""""),COUNTA(FILTER(G$1:G1984, G$1:G1984&lt;&gt;""""))), LEN(INDEX(FILTER(G$1:G1984, G$1:G1984&lt;&gt;""""),COUNTA(FILTER(G$1:G1984, G$1:G1984&lt;&gt;""""))))-1), IF('To Order'!$A1985=COL"&amp;"UMNS($A1985:G2004), G1984&amp;RIGHT(INDIRECT(ADDRESS(ROW(G1985)-1, 'From Order'!$A1985)), 1), G1984))"),"GR")</f>
        <v>GR</v>
      </c>
      <c r="H1985" s="2" t="str">
        <f>IFERROR(__xludf.DUMMYFUNCTION("IF('From Order'!$A1985=COLUMNS($A1985:H2004), LEFT(INDEX(FILTER(H$1:H1984, H$1:H1984&lt;&gt;""""),COUNTA(FILTER(H$1:H1984, H$1:H1984&lt;&gt;""""))), LEN(INDEX(FILTER(H$1:H1984, H$1:H1984&lt;&gt;""""),COUNTA(FILTER(H$1:H1984, H$1:H1984&lt;&gt;""""))))-1), IF('To Order'!$A1985=COL"&amp;"UMNS($A1985:H2004), H1984&amp;RIGHT(INDIRECT(ADDRESS(ROW(H1985)-1, 'From Order'!$A1985)), 1), H1984))"),"QTRTC")</f>
        <v>QTRTC</v>
      </c>
      <c r="I1985" s="2" t="str">
        <f>IFERROR(__xludf.DUMMYFUNCTION("IF('From Order'!$A1985=COLUMNS($A1985:I2004), LEFT(INDEX(FILTER(I$1:I1984, I$1:I1984&lt;&gt;""""),COUNTA(FILTER(I$1:I1984, I$1:I1984&lt;&gt;""""))), LEN(INDEX(FILTER(I$1:I1984, I$1:I1984&lt;&gt;""""),COUNTA(FILTER(I$1:I1984, I$1:I1984&lt;&gt;""""))))-1), IF('To Order'!$A1985=COL"&amp;"UMNS($A1985:I2004), I1984&amp;RIGHT(INDIRECT(ADDRESS(ROW(I1985)-1, 'From Order'!$A1985)), 1), I1984))"),"DVDTMZHZDMTTGMJRRVBBHFSC")</f>
        <v>DVDTMZHZDMTTGMJRRVBBHFSC</v>
      </c>
    </row>
    <row r="1986">
      <c r="A1986" s="2" t="str">
        <f>IFERROR(__xludf.DUMMYFUNCTION("IF('From Order'!$A1986=COLUMNS($A1986:A2005), LEFT(INDEX(FILTER(A$1:A1985, A$1:A1985&lt;&gt;""""),COUNTA(FILTER(A$1:A1985, A$1:A1985&lt;&gt;""""))), LEN(INDEX(FILTER(A$1:A1985, A$1:A1985&lt;&gt;""""),COUNTA(FILTER(A$1:A1985, A$1:A1985&lt;&gt;""""))))-1), IF('To Order'!$A1986=COL"&amp;"UMNS($A1986:A2005), A1985&amp;RIGHT(INDIRECT(ADDRESS(ROW(A1986)-1, 'From Order'!$A1986)), 1), A1985))"),"DSPBFLLWDDVQJPPSSTWZC")</f>
        <v>DSPBFLLWDDVQJPPSSTWZC</v>
      </c>
      <c r="B1986" s="2" t="str">
        <f>IFERROR(__xludf.DUMMYFUNCTION("IF('From Order'!$A1986=COLUMNS($A1986:B2005), LEFT(INDEX(FILTER(B$1:B1985, B$1:B1985&lt;&gt;""""),COUNTA(FILTER(B$1:B1985, B$1:B1985&lt;&gt;""""))), LEN(INDEX(FILTER(B$1:B1985, B$1:B1985&lt;&gt;""""),COUNTA(FILTER(B$1:B1985, B$1:B1985&lt;&gt;""""))))-1), IF('To Order'!$A1986=COL"&amp;"UMNS($A1986:B2005), B1985&amp;RIGHT(INDIRECT(ADDRESS(ROW(B1986)-1, 'From Order'!$A1986)), 1), B1985))"),"")</f>
        <v/>
      </c>
      <c r="C1986" s="2" t="str">
        <f>IFERROR(__xludf.DUMMYFUNCTION("IF('From Order'!$A1986=COLUMNS($A1986:C2005), LEFT(INDEX(FILTER(C$1:C1985, C$1:C1985&lt;&gt;""""),COUNTA(FILTER(C$1:C1985, C$1:C1985&lt;&gt;""""))), LEN(INDEX(FILTER(C$1:C1985, C$1:C1985&lt;&gt;""""),COUNTA(FILTER(C$1:C1985, C$1:C1985&lt;&gt;""""))))-1), IF('To Order'!$A1986=COL"&amp;"UMNS($A1986:C2005), C1985&amp;RIGHT(INDIRECT(ADDRESS(ROW(C1986)-1, 'From Order'!$A1986)), 1), C1985))"),"")</f>
        <v/>
      </c>
      <c r="D1986" s="2" t="str">
        <f>IFERROR(__xludf.DUMMYFUNCTION("IF('From Order'!$A1986=COLUMNS($A1986:D2005), LEFT(INDEX(FILTER(D$1:D1985, D$1:D1985&lt;&gt;""""),COUNTA(FILTER(D$1:D1985, D$1:D1985&lt;&gt;""""))), LEN(INDEX(FILTER(D$1:D1985, D$1:D1985&lt;&gt;""""),COUNTA(FILTER(D$1:D1985, D$1:D1985&lt;&gt;""""))))-1), IF('To Order'!$A1986=COL"&amp;"UMNS($A1986:D2005), D1985&amp;RIGHT(INDIRECT(ADDRESS(ROW(D1986)-1, 'From Order'!$A1986)), 1), D1985))"),"RBJC")</f>
        <v>RBJC</v>
      </c>
      <c r="E1986" s="2" t="str">
        <f>IFERROR(__xludf.DUMMYFUNCTION("IF('From Order'!$A1986=COLUMNS($A1986:E2005), LEFT(INDEX(FILTER(E$1:E1985, E$1:E1985&lt;&gt;""""),COUNTA(FILTER(E$1:E1985, E$1:E1985&lt;&gt;""""))), LEN(INDEX(FILTER(E$1:E1985, E$1:E1985&lt;&gt;""""),COUNTA(FILTER(E$1:E1985, E$1:E1985&lt;&gt;""""))))-1), IF('To Order'!$A1986=COL"&amp;"UMNS($A1986:E2005), E1985&amp;RIGHT(INDIRECT(ADDRESS(ROW(E1986)-1, 'From Order'!$A1986)), 1), E1985))"),"")</f>
        <v/>
      </c>
      <c r="F1986" s="2" t="str">
        <f>IFERROR(__xludf.DUMMYFUNCTION("IF('From Order'!$A1986=COLUMNS($A1986:F2005), LEFT(INDEX(FILTER(F$1:F1985, F$1:F1985&lt;&gt;""""),COUNTA(FILTER(F$1:F1985, F$1:F1985&lt;&gt;""""))), LEN(INDEX(FILTER(F$1:F1985, F$1:F1985&lt;&gt;""""),COUNTA(FILTER(F$1:F1985, F$1:F1985&lt;&gt;""""))))-1), IF('To Order'!$A1986=COL"&amp;"UMNS($A1986:F2005), F1985&amp;RIGHT(INDIRECT(ADDRESS(ROW(F1986)-1, 'From Order'!$A1986)), 1), F1985))"),"L")</f>
        <v>L</v>
      </c>
      <c r="G1986" s="2" t="str">
        <f>IFERROR(__xludf.DUMMYFUNCTION("IF('From Order'!$A1986=COLUMNS($A1986:G2005), LEFT(INDEX(FILTER(G$1:G1985, G$1:G1985&lt;&gt;""""),COUNTA(FILTER(G$1:G1985, G$1:G1985&lt;&gt;""""))), LEN(INDEX(FILTER(G$1:G1985, G$1:G1985&lt;&gt;""""),COUNTA(FILTER(G$1:G1985, G$1:G1985&lt;&gt;""""))))-1), IF('To Order'!$A1986=COL"&amp;"UMNS($A1986:G2005), G1985&amp;RIGHT(INDIRECT(ADDRESS(ROW(G1986)-1, 'From Order'!$A1986)), 1), G1985))"),"GR")</f>
        <v>GR</v>
      </c>
      <c r="H1986" s="2" t="str">
        <f>IFERROR(__xludf.DUMMYFUNCTION("IF('From Order'!$A1986=COLUMNS($A1986:H2005), LEFT(INDEX(FILTER(H$1:H1985, H$1:H1985&lt;&gt;""""),COUNTA(FILTER(H$1:H1985, H$1:H1985&lt;&gt;""""))), LEN(INDEX(FILTER(H$1:H1985, H$1:H1985&lt;&gt;""""),COUNTA(FILTER(H$1:H1985, H$1:H1985&lt;&gt;""""))))-1), IF('To Order'!$A1986=COL"&amp;"UMNS($A1986:H2005), H1985&amp;RIGHT(INDIRECT(ADDRESS(ROW(H1986)-1, 'From Order'!$A1986)), 1), H1985))"),"QTRTC")</f>
        <v>QTRTC</v>
      </c>
      <c r="I1986" s="2" t="str">
        <f>IFERROR(__xludf.DUMMYFUNCTION("IF('From Order'!$A1986=COLUMNS($A1986:I2005), LEFT(INDEX(FILTER(I$1:I1985, I$1:I1985&lt;&gt;""""),COUNTA(FILTER(I$1:I1985, I$1:I1985&lt;&gt;""""))), LEN(INDEX(FILTER(I$1:I1985, I$1:I1985&lt;&gt;""""),COUNTA(FILTER(I$1:I1985, I$1:I1985&lt;&gt;""""))))-1), IF('To Order'!$A1986=COL"&amp;"UMNS($A1986:I2005), I1985&amp;RIGHT(INDIRECT(ADDRESS(ROW(I1986)-1, 'From Order'!$A1986)), 1), I1985))"),"DVDTMZHZDMTTGMJRRVBBHFS")</f>
        <v>DVDTMZHZDMTTGMJRRVBBHFS</v>
      </c>
    </row>
    <row r="1987">
      <c r="A1987" s="2" t="str">
        <f>IFERROR(__xludf.DUMMYFUNCTION("IF('From Order'!$A1987=COLUMNS($A1987:A2006), LEFT(INDEX(FILTER(A$1:A1986, A$1:A1986&lt;&gt;""""),COUNTA(FILTER(A$1:A1986, A$1:A1986&lt;&gt;""""))), LEN(INDEX(FILTER(A$1:A1986, A$1:A1986&lt;&gt;""""),COUNTA(FILTER(A$1:A1986, A$1:A1986&lt;&gt;""""))))-1), IF('To Order'!$A1987=COL"&amp;"UMNS($A1987:A2006), A1986&amp;RIGHT(INDIRECT(ADDRESS(ROW(A1987)-1, 'From Order'!$A1987)), 1), A1986))"),"DSPBFLLWDDVQJPPSSTWZCS")</f>
        <v>DSPBFLLWDDVQJPPSSTWZCS</v>
      </c>
      <c r="B1987" s="2" t="str">
        <f>IFERROR(__xludf.DUMMYFUNCTION("IF('From Order'!$A1987=COLUMNS($A1987:B2006), LEFT(INDEX(FILTER(B$1:B1986, B$1:B1986&lt;&gt;""""),COUNTA(FILTER(B$1:B1986, B$1:B1986&lt;&gt;""""))), LEN(INDEX(FILTER(B$1:B1986, B$1:B1986&lt;&gt;""""),COUNTA(FILTER(B$1:B1986, B$1:B1986&lt;&gt;""""))))-1), IF('To Order'!$A1987=COL"&amp;"UMNS($A1987:B2006), B1986&amp;RIGHT(INDIRECT(ADDRESS(ROW(B1987)-1, 'From Order'!$A1987)), 1), B1986))"),"")</f>
        <v/>
      </c>
      <c r="C1987" s="2" t="str">
        <f>IFERROR(__xludf.DUMMYFUNCTION("IF('From Order'!$A1987=COLUMNS($A1987:C2006), LEFT(INDEX(FILTER(C$1:C1986, C$1:C1986&lt;&gt;""""),COUNTA(FILTER(C$1:C1986, C$1:C1986&lt;&gt;""""))), LEN(INDEX(FILTER(C$1:C1986, C$1:C1986&lt;&gt;""""),COUNTA(FILTER(C$1:C1986, C$1:C1986&lt;&gt;""""))))-1), IF('To Order'!$A1987=COL"&amp;"UMNS($A1987:C2006), C1986&amp;RIGHT(INDIRECT(ADDRESS(ROW(C1987)-1, 'From Order'!$A1987)), 1), C1986))"),"")</f>
        <v/>
      </c>
      <c r="D1987" s="2" t="str">
        <f>IFERROR(__xludf.DUMMYFUNCTION("IF('From Order'!$A1987=COLUMNS($A1987:D2006), LEFT(INDEX(FILTER(D$1:D1986, D$1:D1986&lt;&gt;""""),COUNTA(FILTER(D$1:D1986, D$1:D1986&lt;&gt;""""))), LEN(INDEX(FILTER(D$1:D1986, D$1:D1986&lt;&gt;""""),COUNTA(FILTER(D$1:D1986, D$1:D1986&lt;&gt;""""))))-1), IF('To Order'!$A1987=COL"&amp;"UMNS($A1987:D2006), D1986&amp;RIGHT(INDIRECT(ADDRESS(ROW(D1987)-1, 'From Order'!$A1987)), 1), D1986))"),"RBJC")</f>
        <v>RBJC</v>
      </c>
      <c r="E1987" s="2" t="str">
        <f>IFERROR(__xludf.DUMMYFUNCTION("IF('From Order'!$A1987=COLUMNS($A1987:E2006), LEFT(INDEX(FILTER(E$1:E1986, E$1:E1986&lt;&gt;""""),COUNTA(FILTER(E$1:E1986, E$1:E1986&lt;&gt;""""))), LEN(INDEX(FILTER(E$1:E1986, E$1:E1986&lt;&gt;""""),COUNTA(FILTER(E$1:E1986, E$1:E1986&lt;&gt;""""))))-1), IF('To Order'!$A1987=COL"&amp;"UMNS($A1987:E2006), E1986&amp;RIGHT(INDIRECT(ADDRESS(ROW(E1987)-1, 'From Order'!$A1987)), 1), E1986))"),"")</f>
        <v/>
      </c>
      <c r="F1987" s="2" t="str">
        <f>IFERROR(__xludf.DUMMYFUNCTION("IF('From Order'!$A1987=COLUMNS($A1987:F2006), LEFT(INDEX(FILTER(F$1:F1986, F$1:F1986&lt;&gt;""""),COUNTA(FILTER(F$1:F1986, F$1:F1986&lt;&gt;""""))), LEN(INDEX(FILTER(F$1:F1986, F$1:F1986&lt;&gt;""""),COUNTA(FILTER(F$1:F1986, F$1:F1986&lt;&gt;""""))))-1), IF('To Order'!$A1987=COL"&amp;"UMNS($A1987:F2006), F1986&amp;RIGHT(INDIRECT(ADDRESS(ROW(F1987)-1, 'From Order'!$A1987)), 1), F1986))"),"L")</f>
        <v>L</v>
      </c>
      <c r="G1987" s="2" t="str">
        <f>IFERROR(__xludf.DUMMYFUNCTION("IF('From Order'!$A1987=COLUMNS($A1987:G2006), LEFT(INDEX(FILTER(G$1:G1986, G$1:G1986&lt;&gt;""""),COUNTA(FILTER(G$1:G1986, G$1:G1986&lt;&gt;""""))), LEN(INDEX(FILTER(G$1:G1986, G$1:G1986&lt;&gt;""""),COUNTA(FILTER(G$1:G1986, G$1:G1986&lt;&gt;""""))))-1), IF('To Order'!$A1987=COL"&amp;"UMNS($A1987:G2006), G1986&amp;RIGHT(INDIRECT(ADDRESS(ROW(G1987)-1, 'From Order'!$A1987)), 1), G1986))"),"GR")</f>
        <v>GR</v>
      </c>
      <c r="H1987" s="2" t="str">
        <f>IFERROR(__xludf.DUMMYFUNCTION("IF('From Order'!$A1987=COLUMNS($A1987:H2006), LEFT(INDEX(FILTER(H$1:H1986, H$1:H1986&lt;&gt;""""),COUNTA(FILTER(H$1:H1986, H$1:H1986&lt;&gt;""""))), LEN(INDEX(FILTER(H$1:H1986, H$1:H1986&lt;&gt;""""),COUNTA(FILTER(H$1:H1986, H$1:H1986&lt;&gt;""""))))-1), IF('To Order'!$A1987=COL"&amp;"UMNS($A1987:H2006), H1986&amp;RIGHT(INDIRECT(ADDRESS(ROW(H1987)-1, 'From Order'!$A1987)), 1), H1986))"),"QTRTC")</f>
        <v>QTRTC</v>
      </c>
      <c r="I1987" s="2" t="str">
        <f>IFERROR(__xludf.DUMMYFUNCTION("IF('From Order'!$A1987=COLUMNS($A1987:I2006), LEFT(INDEX(FILTER(I$1:I1986, I$1:I1986&lt;&gt;""""),COUNTA(FILTER(I$1:I1986, I$1:I1986&lt;&gt;""""))), LEN(INDEX(FILTER(I$1:I1986, I$1:I1986&lt;&gt;""""),COUNTA(FILTER(I$1:I1986, I$1:I1986&lt;&gt;""""))))-1), IF('To Order'!$A1987=COL"&amp;"UMNS($A1987:I2006), I1986&amp;RIGHT(INDIRECT(ADDRESS(ROW(I1987)-1, 'From Order'!$A1987)), 1), I1986))"),"DVDTMZHZDMTTGMJRRVBBHF")</f>
        <v>DVDTMZHZDMTTGMJRRVBBHF</v>
      </c>
    </row>
    <row r="1988">
      <c r="A1988" s="2" t="str">
        <f>IFERROR(__xludf.DUMMYFUNCTION("IF('From Order'!$A1988=COLUMNS($A1988:A2007), LEFT(INDEX(FILTER(A$1:A1987, A$1:A1987&lt;&gt;""""),COUNTA(FILTER(A$1:A1987, A$1:A1987&lt;&gt;""""))), LEN(INDEX(FILTER(A$1:A1987, A$1:A1987&lt;&gt;""""),COUNTA(FILTER(A$1:A1987, A$1:A1987&lt;&gt;""""))))-1), IF('To Order'!$A1988=COL"&amp;"UMNS($A1988:A2007), A1987&amp;RIGHT(INDIRECT(ADDRESS(ROW(A1988)-1, 'From Order'!$A1988)), 1), A1987))"),"DSPBFLLWDDVQJPPSSTWZCSF")</f>
        <v>DSPBFLLWDDVQJPPSSTWZCSF</v>
      </c>
      <c r="B1988" s="2" t="str">
        <f>IFERROR(__xludf.DUMMYFUNCTION("IF('From Order'!$A1988=COLUMNS($A1988:B2007), LEFT(INDEX(FILTER(B$1:B1987, B$1:B1987&lt;&gt;""""),COUNTA(FILTER(B$1:B1987, B$1:B1987&lt;&gt;""""))), LEN(INDEX(FILTER(B$1:B1987, B$1:B1987&lt;&gt;""""),COUNTA(FILTER(B$1:B1987, B$1:B1987&lt;&gt;""""))))-1), IF('To Order'!$A1988=COL"&amp;"UMNS($A1988:B2007), B1987&amp;RIGHT(INDIRECT(ADDRESS(ROW(B1988)-1, 'From Order'!$A1988)), 1), B1987))"),"")</f>
        <v/>
      </c>
      <c r="C1988" s="2" t="str">
        <f>IFERROR(__xludf.DUMMYFUNCTION("IF('From Order'!$A1988=COLUMNS($A1988:C2007), LEFT(INDEX(FILTER(C$1:C1987, C$1:C1987&lt;&gt;""""),COUNTA(FILTER(C$1:C1987, C$1:C1987&lt;&gt;""""))), LEN(INDEX(FILTER(C$1:C1987, C$1:C1987&lt;&gt;""""),COUNTA(FILTER(C$1:C1987, C$1:C1987&lt;&gt;""""))))-1), IF('To Order'!$A1988=COL"&amp;"UMNS($A1988:C2007), C1987&amp;RIGHT(INDIRECT(ADDRESS(ROW(C1988)-1, 'From Order'!$A1988)), 1), C1987))"),"")</f>
        <v/>
      </c>
      <c r="D1988" s="2" t="str">
        <f>IFERROR(__xludf.DUMMYFUNCTION("IF('From Order'!$A1988=COLUMNS($A1988:D2007), LEFT(INDEX(FILTER(D$1:D1987, D$1:D1987&lt;&gt;""""),COUNTA(FILTER(D$1:D1987, D$1:D1987&lt;&gt;""""))), LEN(INDEX(FILTER(D$1:D1987, D$1:D1987&lt;&gt;""""),COUNTA(FILTER(D$1:D1987, D$1:D1987&lt;&gt;""""))))-1), IF('To Order'!$A1988=COL"&amp;"UMNS($A1988:D2007), D1987&amp;RIGHT(INDIRECT(ADDRESS(ROW(D1988)-1, 'From Order'!$A1988)), 1), D1987))"),"RBJC")</f>
        <v>RBJC</v>
      </c>
      <c r="E1988" s="2" t="str">
        <f>IFERROR(__xludf.DUMMYFUNCTION("IF('From Order'!$A1988=COLUMNS($A1988:E2007), LEFT(INDEX(FILTER(E$1:E1987, E$1:E1987&lt;&gt;""""),COUNTA(FILTER(E$1:E1987, E$1:E1987&lt;&gt;""""))), LEN(INDEX(FILTER(E$1:E1987, E$1:E1987&lt;&gt;""""),COUNTA(FILTER(E$1:E1987, E$1:E1987&lt;&gt;""""))))-1), IF('To Order'!$A1988=COL"&amp;"UMNS($A1988:E2007), E1987&amp;RIGHT(INDIRECT(ADDRESS(ROW(E1988)-1, 'From Order'!$A1988)), 1), E1987))"),"")</f>
        <v/>
      </c>
      <c r="F1988" s="2" t="str">
        <f>IFERROR(__xludf.DUMMYFUNCTION("IF('From Order'!$A1988=COLUMNS($A1988:F2007), LEFT(INDEX(FILTER(F$1:F1987, F$1:F1987&lt;&gt;""""),COUNTA(FILTER(F$1:F1987, F$1:F1987&lt;&gt;""""))), LEN(INDEX(FILTER(F$1:F1987, F$1:F1987&lt;&gt;""""),COUNTA(FILTER(F$1:F1987, F$1:F1987&lt;&gt;""""))))-1), IF('To Order'!$A1988=COL"&amp;"UMNS($A1988:F2007), F1987&amp;RIGHT(INDIRECT(ADDRESS(ROW(F1988)-1, 'From Order'!$A1988)), 1), F1987))"),"L")</f>
        <v>L</v>
      </c>
      <c r="G1988" s="2" t="str">
        <f>IFERROR(__xludf.DUMMYFUNCTION("IF('From Order'!$A1988=COLUMNS($A1988:G2007), LEFT(INDEX(FILTER(G$1:G1987, G$1:G1987&lt;&gt;""""),COUNTA(FILTER(G$1:G1987, G$1:G1987&lt;&gt;""""))), LEN(INDEX(FILTER(G$1:G1987, G$1:G1987&lt;&gt;""""),COUNTA(FILTER(G$1:G1987, G$1:G1987&lt;&gt;""""))))-1), IF('To Order'!$A1988=COL"&amp;"UMNS($A1988:G2007), G1987&amp;RIGHT(INDIRECT(ADDRESS(ROW(G1988)-1, 'From Order'!$A1988)), 1), G1987))"),"GR")</f>
        <v>GR</v>
      </c>
      <c r="H1988" s="2" t="str">
        <f>IFERROR(__xludf.DUMMYFUNCTION("IF('From Order'!$A1988=COLUMNS($A1988:H2007), LEFT(INDEX(FILTER(H$1:H1987, H$1:H1987&lt;&gt;""""),COUNTA(FILTER(H$1:H1987, H$1:H1987&lt;&gt;""""))), LEN(INDEX(FILTER(H$1:H1987, H$1:H1987&lt;&gt;""""),COUNTA(FILTER(H$1:H1987, H$1:H1987&lt;&gt;""""))))-1), IF('To Order'!$A1988=COL"&amp;"UMNS($A1988:H2007), H1987&amp;RIGHT(INDIRECT(ADDRESS(ROW(H1988)-1, 'From Order'!$A1988)), 1), H1987))"),"QTRTC")</f>
        <v>QTRTC</v>
      </c>
      <c r="I1988" s="2" t="str">
        <f>IFERROR(__xludf.DUMMYFUNCTION("IF('From Order'!$A1988=COLUMNS($A1988:I2007), LEFT(INDEX(FILTER(I$1:I1987, I$1:I1987&lt;&gt;""""),COUNTA(FILTER(I$1:I1987, I$1:I1987&lt;&gt;""""))), LEN(INDEX(FILTER(I$1:I1987, I$1:I1987&lt;&gt;""""),COUNTA(FILTER(I$1:I1987, I$1:I1987&lt;&gt;""""))))-1), IF('To Order'!$A1988=COL"&amp;"UMNS($A1988:I2007), I1987&amp;RIGHT(INDIRECT(ADDRESS(ROW(I1988)-1, 'From Order'!$A1988)), 1), I1987))"),"DVDTMZHZDMTTGMJRRVBBH")</f>
        <v>DVDTMZHZDMTTGMJRRVBBH</v>
      </c>
    </row>
    <row r="1989">
      <c r="A1989" s="2" t="str">
        <f>IFERROR(__xludf.DUMMYFUNCTION("IF('From Order'!$A1989=COLUMNS($A1989:A2008), LEFT(INDEX(FILTER(A$1:A1988, A$1:A1988&lt;&gt;""""),COUNTA(FILTER(A$1:A1988, A$1:A1988&lt;&gt;""""))), LEN(INDEX(FILTER(A$1:A1988, A$1:A1988&lt;&gt;""""),COUNTA(FILTER(A$1:A1988, A$1:A1988&lt;&gt;""""))))-1), IF('To Order'!$A1989=COL"&amp;"UMNS($A1989:A2008), A1988&amp;RIGHT(INDIRECT(ADDRESS(ROW(A1989)-1, 'From Order'!$A1989)), 1), A1988))"),"DSPBFLLWDDVQJPPSSTWZCSFH")</f>
        <v>DSPBFLLWDDVQJPPSSTWZCSFH</v>
      </c>
      <c r="B1989" s="2" t="str">
        <f>IFERROR(__xludf.DUMMYFUNCTION("IF('From Order'!$A1989=COLUMNS($A1989:B2008), LEFT(INDEX(FILTER(B$1:B1988, B$1:B1988&lt;&gt;""""),COUNTA(FILTER(B$1:B1988, B$1:B1988&lt;&gt;""""))), LEN(INDEX(FILTER(B$1:B1988, B$1:B1988&lt;&gt;""""),COUNTA(FILTER(B$1:B1988, B$1:B1988&lt;&gt;""""))))-1), IF('To Order'!$A1989=COL"&amp;"UMNS($A1989:B2008), B1988&amp;RIGHT(INDIRECT(ADDRESS(ROW(B1989)-1, 'From Order'!$A1989)), 1), B1988))"),"")</f>
        <v/>
      </c>
      <c r="C1989" s="2" t="str">
        <f>IFERROR(__xludf.DUMMYFUNCTION("IF('From Order'!$A1989=COLUMNS($A1989:C2008), LEFT(INDEX(FILTER(C$1:C1988, C$1:C1988&lt;&gt;""""),COUNTA(FILTER(C$1:C1988, C$1:C1988&lt;&gt;""""))), LEN(INDEX(FILTER(C$1:C1988, C$1:C1988&lt;&gt;""""),COUNTA(FILTER(C$1:C1988, C$1:C1988&lt;&gt;""""))))-1), IF('To Order'!$A1989=COL"&amp;"UMNS($A1989:C2008), C1988&amp;RIGHT(INDIRECT(ADDRESS(ROW(C1989)-1, 'From Order'!$A1989)), 1), C1988))"),"")</f>
        <v/>
      </c>
      <c r="D1989" s="2" t="str">
        <f>IFERROR(__xludf.DUMMYFUNCTION("IF('From Order'!$A1989=COLUMNS($A1989:D2008), LEFT(INDEX(FILTER(D$1:D1988, D$1:D1988&lt;&gt;""""),COUNTA(FILTER(D$1:D1988, D$1:D1988&lt;&gt;""""))), LEN(INDEX(FILTER(D$1:D1988, D$1:D1988&lt;&gt;""""),COUNTA(FILTER(D$1:D1988, D$1:D1988&lt;&gt;""""))))-1), IF('To Order'!$A1989=COL"&amp;"UMNS($A1989:D2008), D1988&amp;RIGHT(INDIRECT(ADDRESS(ROW(D1989)-1, 'From Order'!$A1989)), 1), D1988))"),"RBJC")</f>
        <v>RBJC</v>
      </c>
      <c r="E1989" s="2" t="str">
        <f>IFERROR(__xludf.DUMMYFUNCTION("IF('From Order'!$A1989=COLUMNS($A1989:E2008), LEFT(INDEX(FILTER(E$1:E1988, E$1:E1988&lt;&gt;""""),COUNTA(FILTER(E$1:E1988, E$1:E1988&lt;&gt;""""))), LEN(INDEX(FILTER(E$1:E1988, E$1:E1988&lt;&gt;""""),COUNTA(FILTER(E$1:E1988, E$1:E1988&lt;&gt;""""))))-1), IF('To Order'!$A1989=COL"&amp;"UMNS($A1989:E2008), E1988&amp;RIGHT(INDIRECT(ADDRESS(ROW(E1989)-1, 'From Order'!$A1989)), 1), E1988))"),"")</f>
        <v/>
      </c>
      <c r="F1989" s="2" t="str">
        <f>IFERROR(__xludf.DUMMYFUNCTION("IF('From Order'!$A1989=COLUMNS($A1989:F2008), LEFT(INDEX(FILTER(F$1:F1988, F$1:F1988&lt;&gt;""""),COUNTA(FILTER(F$1:F1988, F$1:F1988&lt;&gt;""""))), LEN(INDEX(FILTER(F$1:F1988, F$1:F1988&lt;&gt;""""),COUNTA(FILTER(F$1:F1988, F$1:F1988&lt;&gt;""""))))-1), IF('To Order'!$A1989=COL"&amp;"UMNS($A1989:F2008), F1988&amp;RIGHT(INDIRECT(ADDRESS(ROW(F1989)-1, 'From Order'!$A1989)), 1), F1988))"),"L")</f>
        <v>L</v>
      </c>
      <c r="G1989" s="2" t="str">
        <f>IFERROR(__xludf.DUMMYFUNCTION("IF('From Order'!$A1989=COLUMNS($A1989:G2008), LEFT(INDEX(FILTER(G$1:G1988, G$1:G1988&lt;&gt;""""),COUNTA(FILTER(G$1:G1988, G$1:G1988&lt;&gt;""""))), LEN(INDEX(FILTER(G$1:G1988, G$1:G1988&lt;&gt;""""),COUNTA(FILTER(G$1:G1988, G$1:G1988&lt;&gt;""""))))-1), IF('To Order'!$A1989=COL"&amp;"UMNS($A1989:G2008), G1988&amp;RIGHT(INDIRECT(ADDRESS(ROW(G1989)-1, 'From Order'!$A1989)), 1), G1988))"),"GR")</f>
        <v>GR</v>
      </c>
      <c r="H1989" s="2" t="str">
        <f>IFERROR(__xludf.DUMMYFUNCTION("IF('From Order'!$A1989=COLUMNS($A1989:H2008), LEFT(INDEX(FILTER(H$1:H1988, H$1:H1988&lt;&gt;""""),COUNTA(FILTER(H$1:H1988, H$1:H1988&lt;&gt;""""))), LEN(INDEX(FILTER(H$1:H1988, H$1:H1988&lt;&gt;""""),COUNTA(FILTER(H$1:H1988, H$1:H1988&lt;&gt;""""))))-1), IF('To Order'!$A1989=COL"&amp;"UMNS($A1989:H2008), H1988&amp;RIGHT(INDIRECT(ADDRESS(ROW(H1989)-1, 'From Order'!$A1989)), 1), H1988))"),"QTRTC")</f>
        <v>QTRTC</v>
      </c>
      <c r="I1989" s="2" t="str">
        <f>IFERROR(__xludf.DUMMYFUNCTION("IF('From Order'!$A1989=COLUMNS($A1989:I2008), LEFT(INDEX(FILTER(I$1:I1988, I$1:I1988&lt;&gt;""""),COUNTA(FILTER(I$1:I1988, I$1:I1988&lt;&gt;""""))), LEN(INDEX(FILTER(I$1:I1988, I$1:I1988&lt;&gt;""""),COUNTA(FILTER(I$1:I1988, I$1:I1988&lt;&gt;""""))))-1), IF('To Order'!$A1989=COL"&amp;"UMNS($A1989:I2008), I1988&amp;RIGHT(INDIRECT(ADDRESS(ROW(I1989)-1, 'From Order'!$A1989)), 1), I1988))"),"DVDTMZHZDMTTGMJRRVBB")</f>
        <v>DVDTMZHZDMTTGMJRRVBB</v>
      </c>
    </row>
    <row r="1990">
      <c r="A1990" s="2" t="str">
        <f>IFERROR(__xludf.DUMMYFUNCTION("IF('From Order'!$A1990=COLUMNS($A1990:A2009), LEFT(INDEX(FILTER(A$1:A1989, A$1:A1989&lt;&gt;""""),COUNTA(FILTER(A$1:A1989, A$1:A1989&lt;&gt;""""))), LEN(INDEX(FILTER(A$1:A1989, A$1:A1989&lt;&gt;""""),COUNTA(FILTER(A$1:A1989, A$1:A1989&lt;&gt;""""))))-1), IF('To Order'!$A1990=COL"&amp;"UMNS($A1990:A2009), A1989&amp;RIGHT(INDIRECT(ADDRESS(ROW(A1990)-1, 'From Order'!$A1990)), 1), A1989))"),"DSPBFLLWDDVQJPPSSTWZCSFHB")</f>
        <v>DSPBFLLWDDVQJPPSSTWZCSFHB</v>
      </c>
      <c r="B1990" s="2" t="str">
        <f>IFERROR(__xludf.DUMMYFUNCTION("IF('From Order'!$A1990=COLUMNS($A1990:B2009), LEFT(INDEX(FILTER(B$1:B1989, B$1:B1989&lt;&gt;""""),COUNTA(FILTER(B$1:B1989, B$1:B1989&lt;&gt;""""))), LEN(INDEX(FILTER(B$1:B1989, B$1:B1989&lt;&gt;""""),COUNTA(FILTER(B$1:B1989, B$1:B1989&lt;&gt;""""))))-1), IF('To Order'!$A1990=COL"&amp;"UMNS($A1990:B2009), B1989&amp;RIGHT(INDIRECT(ADDRESS(ROW(B1990)-1, 'From Order'!$A1990)), 1), B1989))"),"")</f>
        <v/>
      </c>
      <c r="C1990" s="2" t="str">
        <f>IFERROR(__xludf.DUMMYFUNCTION("IF('From Order'!$A1990=COLUMNS($A1990:C2009), LEFT(INDEX(FILTER(C$1:C1989, C$1:C1989&lt;&gt;""""),COUNTA(FILTER(C$1:C1989, C$1:C1989&lt;&gt;""""))), LEN(INDEX(FILTER(C$1:C1989, C$1:C1989&lt;&gt;""""),COUNTA(FILTER(C$1:C1989, C$1:C1989&lt;&gt;""""))))-1), IF('To Order'!$A1990=COL"&amp;"UMNS($A1990:C2009), C1989&amp;RIGHT(INDIRECT(ADDRESS(ROW(C1990)-1, 'From Order'!$A1990)), 1), C1989))"),"")</f>
        <v/>
      </c>
      <c r="D1990" s="2" t="str">
        <f>IFERROR(__xludf.DUMMYFUNCTION("IF('From Order'!$A1990=COLUMNS($A1990:D2009), LEFT(INDEX(FILTER(D$1:D1989, D$1:D1989&lt;&gt;""""),COUNTA(FILTER(D$1:D1989, D$1:D1989&lt;&gt;""""))), LEN(INDEX(FILTER(D$1:D1989, D$1:D1989&lt;&gt;""""),COUNTA(FILTER(D$1:D1989, D$1:D1989&lt;&gt;""""))))-1), IF('To Order'!$A1990=COL"&amp;"UMNS($A1990:D2009), D1989&amp;RIGHT(INDIRECT(ADDRESS(ROW(D1990)-1, 'From Order'!$A1990)), 1), D1989))"),"RBJC")</f>
        <v>RBJC</v>
      </c>
      <c r="E1990" s="2" t="str">
        <f>IFERROR(__xludf.DUMMYFUNCTION("IF('From Order'!$A1990=COLUMNS($A1990:E2009), LEFT(INDEX(FILTER(E$1:E1989, E$1:E1989&lt;&gt;""""),COUNTA(FILTER(E$1:E1989, E$1:E1989&lt;&gt;""""))), LEN(INDEX(FILTER(E$1:E1989, E$1:E1989&lt;&gt;""""),COUNTA(FILTER(E$1:E1989, E$1:E1989&lt;&gt;""""))))-1), IF('To Order'!$A1990=COL"&amp;"UMNS($A1990:E2009), E1989&amp;RIGHT(INDIRECT(ADDRESS(ROW(E1990)-1, 'From Order'!$A1990)), 1), E1989))"),"")</f>
        <v/>
      </c>
      <c r="F1990" s="2" t="str">
        <f>IFERROR(__xludf.DUMMYFUNCTION("IF('From Order'!$A1990=COLUMNS($A1990:F2009), LEFT(INDEX(FILTER(F$1:F1989, F$1:F1989&lt;&gt;""""),COUNTA(FILTER(F$1:F1989, F$1:F1989&lt;&gt;""""))), LEN(INDEX(FILTER(F$1:F1989, F$1:F1989&lt;&gt;""""),COUNTA(FILTER(F$1:F1989, F$1:F1989&lt;&gt;""""))))-1), IF('To Order'!$A1990=COL"&amp;"UMNS($A1990:F2009), F1989&amp;RIGHT(INDIRECT(ADDRESS(ROW(F1990)-1, 'From Order'!$A1990)), 1), F1989))"),"L")</f>
        <v>L</v>
      </c>
      <c r="G1990" s="2" t="str">
        <f>IFERROR(__xludf.DUMMYFUNCTION("IF('From Order'!$A1990=COLUMNS($A1990:G2009), LEFT(INDEX(FILTER(G$1:G1989, G$1:G1989&lt;&gt;""""),COUNTA(FILTER(G$1:G1989, G$1:G1989&lt;&gt;""""))), LEN(INDEX(FILTER(G$1:G1989, G$1:G1989&lt;&gt;""""),COUNTA(FILTER(G$1:G1989, G$1:G1989&lt;&gt;""""))))-1), IF('To Order'!$A1990=COL"&amp;"UMNS($A1990:G2009), G1989&amp;RIGHT(INDIRECT(ADDRESS(ROW(G1990)-1, 'From Order'!$A1990)), 1), G1989))"),"GR")</f>
        <v>GR</v>
      </c>
      <c r="H1990" s="2" t="str">
        <f>IFERROR(__xludf.DUMMYFUNCTION("IF('From Order'!$A1990=COLUMNS($A1990:H2009), LEFT(INDEX(FILTER(H$1:H1989, H$1:H1989&lt;&gt;""""),COUNTA(FILTER(H$1:H1989, H$1:H1989&lt;&gt;""""))), LEN(INDEX(FILTER(H$1:H1989, H$1:H1989&lt;&gt;""""),COUNTA(FILTER(H$1:H1989, H$1:H1989&lt;&gt;""""))))-1), IF('To Order'!$A1990=COL"&amp;"UMNS($A1990:H2009), H1989&amp;RIGHT(INDIRECT(ADDRESS(ROW(H1990)-1, 'From Order'!$A1990)), 1), H1989))"),"QTRTC")</f>
        <v>QTRTC</v>
      </c>
      <c r="I1990" s="2" t="str">
        <f>IFERROR(__xludf.DUMMYFUNCTION("IF('From Order'!$A1990=COLUMNS($A1990:I2009), LEFT(INDEX(FILTER(I$1:I1989, I$1:I1989&lt;&gt;""""),COUNTA(FILTER(I$1:I1989, I$1:I1989&lt;&gt;""""))), LEN(INDEX(FILTER(I$1:I1989, I$1:I1989&lt;&gt;""""),COUNTA(FILTER(I$1:I1989, I$1:I1989&lt;&gt;""""))))-1), IF('To Order'!$A1990=COL"&amp;"UMNS($A1990:I2009), I1989&amp;RIGHT(INDIRECT(ADDRESS(ROW(I1990)-1, 'From Order'!$A1990)), 1), I1989))"),"DVDTMZHZDMTTGMJRRVB")</f>
        <v>DVDTMZHZDMTTGMJRRVB</v>
      </c>
    </row>
    <row r="1991">
      <c r="A1991" s="2" t="str">
        <f>IFERROR(__xludf.DUMMYFUNCTION("IF('From Order'!$A1991=COLUMNS($A1991:A2010), LEFT(INDEX(FILTER(A$1:A1990, A$1:A1990&lt;&gt;""""),COUNTA(FILTER(A$1:A1990, A$1:A1990&lt;&gt;""""))), LEN(INDEX(FILTER(A$1:A1990, A$1:A1990&lt;&gt;""""),COUNTA(FILTER(A$1:A1990, A$1:A1990&lt;&gt;""""))))-1), IF('To Order'!$A1991=COL"&amp;"UMNS($A1991:A2010), A1990&amp;RIGHT(INDIRECT(ADDRESS(ROW(A1991)-1, 'From Order'!$A1991)), 1), A1990))"),"DSPBFLLWDDVQJPPSSTWZCSFHBB")</f>
        <v>DSPBFLLWDDVQJPPSSTWZCSFHBB</v>
      </c>
      <c r="B1991" s="2" t="str">
        <f>IFERROR(__xludf.DUMMYFUNCTION("IF('From Order'!$A1991=COLUMNS($A1991:B2010), LEFT(INDEX(FILTER(B$1:B1990, B$1:B1990&lt;&gt;""""),COUNTA(FILTER(B$1:B1990, B$1:B1990&lt;&gt;""""))), LEN(INDEX(FILTER(B$1:B1990, B$1:B1990&lt;&gt;""""),COUNTA(FILTER(B$1:B1990, B$1:B1990&lt;&gt;""""))))-1), IF('To Order'!$A1991=COL"&amp;"UMNS($A1991:B2010), B1990&amp;RIGHT(INDIRECT(ADDRESS(ROW(B1991)-1, 'From Order'!$A1991)), 1), B1990))"),"")</f>
        <v/>
      </c>
      <c r="C1991" s="2" t="str">
        <f>IFERROR(__xludf.DUMMYFUNCTION("IF('From Order'!$A1991=COLUMNS($A1991:C2010), LEFT(INDEX(FILTER(C$1:C1990, C$1:C1990&lt;&gt;""""),COUNTA(FILTER(C$1:C1990, C$1:C1990&lt;&gt;""""))), LEN(INDEX(FILTER(C$1:C1990, C$1:C1990&lt;&gt;""""),COUNTA(FILTER(C$1:C1990, C$1:C1990&lt;&gt;""""))))-1), IF('To Order'!$A1991=COL"&amp;"UMNS($A1991:C2010), C1990&amp;RIGHT(INDIRECT(ADDRESS(ROW(C1991)-1, 'From Order'!$A1991)), 1), C1990))"),"")</f>
        <v/>
      </c>
      <c r="D1991" s="2" t="str">
        <f>IFERROR(__xludf.DUMMYFUNCTION("IF('From Order'!$A1991=COLUMNS($A1991:D2010), LEFT(INDEX(FILTER(D$1:D1990, D$1:D1990&lt;&gt;""""),COUNTA(FILTER(D$1:D1990, D$1:D1990&lt;&gt;""""))), LEN(INDEX(FILTER(D$1:D1990, D$1:D1990&lt;&gt;""""),COUNTA(FILTER(D$1:D1990, D$1:D1990&lt;&gt;""""))))-1), IF('To Order'!$A1991=COL"&amp;"UMNS($A1991:D2010), D1990&amp;RIGHT(INDIRECT(ADDRESS(ROW(D1991)-1, 'From Order'!$A1991)), 1), D1990))"),"RBJC")</f>
        <v>RBJC</v>
      </c>
      <c r="E1991" s="2" t="str">
        <f>IFERROR(__xludf.DUMMYFUNCTION("IF('From Order'!$A1991=COLUMNS($A1991:E2010), LEFT(INDEX(FILTER(E$1:E1990, E$1:E1990&lt;&gt;""""),COUNTA(FILTER(E$1:E1990, E$1:E1990&lt;&gt;""""))), LEN(INDEX(FILTER(E$1:E1990, E$1:E1990&lt;&gt;""""),COUNTA(FILTER(E$1:E1990, E$1:E1990&lt;&gt;""""))))-1), IF('To Order'!$A1991=COL"&amp;"UMNS($A1991:E2010), E1990&amp;RIGHT(INDIRECT(ADDRESS(ROW(E1991)-1, 'From Order'!$A1991)), 1), E1990))"),"")</f>
        <v/>
      </c>
      <c r="F1991" s="2" t="str">
        <f>IFERROR(__xludf.DUMMYFUNCTION("IF('From Order'!$A1991=COLUMNS($A1991:F2010), LEFT(INDEX(FILTER(F$1:F1990, F$1:F1990&lt;&gt;""""),COUNTA(FILTER(F$1:F1990, F$1:F1990&lt;&gt;""""))), LEN(INDEX(FILTER(F$1:F1990, F$1:F1990&lt;&gt;""""),COUNTA(FILTER(F$1:F1990, F$1:F1990&lt;&gt;""""))))-1), IF('To Order'!$A1991=COL"&amp;"UMNS($A1991:F2010), F1990&amp;RIGHT(INDIRECT(ADDRESS(ROW(F1991)-1, 'From Order'!$A1991)), 1), F1990))"),"L")</f>
        <v>L</v>
      </c>
      <c r="G1991" s="2" t="str">
        <f>IFERROR(__xludf.DUMMYFUNCTION("IF('From Order'!$A1991=COLUMNS($A1991:G2010), LEFT(INDEX(FILTER(G$1:G1990, G$1:G1990&lt;&gt;""""),COUNTA(FILTER(G$1:G1990, G$1:G1990&lt;&gt;""""))), LEN(INDEX(FILTER(G$1:G1990, G$1:G1990&lt;&gt;""""),COUNTA(FILTER(G$1:G1990, G$1:G1990&lt;&gt;""""))))-1), IF('To Order'!$A1991=COL"&amp;"UMNS($A1991:G2010), G1990&amp;RIGHT(INDIRECT(ADDRESS(ROW(G1991)-1, 'From Order'!$A1991)), 1), G1990))"),"GR")</f>
        <v>GR</v>
      </c>
      <c r="H1991" s="2" t="str">
        <f>IFERROR(__xludf.DUMMYFUNCTION("IF('From Order'!$A1991=COLUMNS($A1991:H2010), LEFT(INDEX(FILTER(H$1:H1990, H$1:H1990&lt;&gt;""""),COUNTA(FILTER(H$1:H1990, H$1:H1990&lt;&gt;""""))), LEN(INDEX(FILTER(H$1:H1990, H$1:H1990&lt;&gt;""""),COUNTA(FILTER(H$1:H1990, H$1:H1990&lt;&gt;""""))))-1), IF('To Order'!$A1991=COL"&amp;"UMNS($A1991:H2010), H1990&amp;RIGHT(INDIRECT(ADDRESS(ROW(H1991)-1, 'From Order'!$A1991)), 1), H1990))"),"QTRTC")</f>
        <v>QTRTC</v>
      </c>
      <c r="I1991" s="2" t="str">
        <f>IFERROR(__xludf.DUMMYFUNCTION("IF('From Order'!$A1991=COLUMNS($A1991:I2010), LEFT(INDEX(FILTER(I$1:I1990, I$1:I1990&lt;&gt;""""),COUNTA(FILTER(I$1:I1990, I$1:I1990&lt;&gt;""""))), LEN(INDEX(FILTER(I$1:I1990, I$1:I1990&lt;&gt;""""),COUNTA(FILTER(I$1:I1990, I$1:I1990&lt;&gt;""""))))-1), IF('To Order'!$A1991=COL"&amp;"UMNS($A1991:I2010), I1990&amp;RIGHT(INDIRECT(ADDRESS(ROW(I1991)-1, 'From Order'!$A1991)), 1), I1990))"),"DVDTMZHZDMTTGMJRRV")</f>
        <v>DVDTMZHZDMTTGMJRRV</v>
      </c>
    </row>
    <row r="1992">
      <c r="A1992" s="2" t="str">
        <f>IFERROR(__xludf.DUMMYFUNCTION("IF('From Order'!$A1992=COLUMNS($A1992:A2011), LEFT(INDEX(FILTER(A$1:A1991, A$1:A1991&lt;&gt;""""),COUNTA(FILTER(A$1:A1991, A$1:A1991&lt;&gt;""""))), LEN(INDEX(FILTER(A$1:A1991, A$1:A1991&lt;&gt;""""),COUNTA(FILTER(A$1:A1991, A$1:A1991&lt;&gt;""""))))-1), IF('To Order'!$A1992=COL"&amp;"UMNS($A1992:A2011), A1991&amp;RIGHT(INDIRECT(ADDRESS(ROW(A1992)-1, 'From Order'!$A1992)), 1), A1991))"),"DSPBFLLWDDVQJPPSSTWZCSFHBBV")</f>
        <v>DSPBFLLWDDVQJPPSSTWZCSFHBBV</v>
      </c>
      <c r="B1992" s="2" t="str">
        <f>IFERROR(__xludf.DUMMYFUNCTION("IF('From Order'!$A1992=COLUMNS($A1992:B2011), LEFT(INDEX(FILTER(B$1:B1991, B$1:B1991&lt;&gt;""""),COUNTA(FILTER(B$1:B1991, B$1:B1991&lt;&gt;""""))), LEN(INDEX(FILTER(B$1:B1991, B$1:B1991&lt;&gt;""""),COUNTA(FILTER(B$1:B1991, B$1:B1991&lt;&gt;""""))))-1), IF('To Order'!$A1992=COL"&amp;"UMNS($A1992:B2011), B1991&amp;RIGHT(INDIRECT(ADDRESS(ROW(B1992)-1, 'From Order'!$A1992)), 1), B1991))"),"")</f>
        <v/>
      </c>
      <c r="C1992" s="2" t="str">
        <f>IFERROR(__xludf.DUMMYFUNCTION("IF('From Order'!$A1992=COLUMNS($A1992:C2011), LEFT(INDEX(FILTER(C$1:C1991, C$1:C1991&lt;&gt;""""),COUNTA(FILTER(C$1:C1991, C$1:C1991&lt;&gt;""""))), LEN(INDEX(FILTER(C$1:C1991, C$1:C1991&lt;&gt;""""),COUNTA(FILTER(C$1:C1991, C$1:C1991&lt;&gt;""""))))-1), IF('To Order'!$A1992=COL"&amp;"UMNS($A1992:C2011), C1991&amp;RIGHT(INDIRECT(ADDRESS(ROW(C1992)-1, 'From Order'!$A1992)), 1), C1991))"),"")</f>
        <v/>
      </c>
      <c r="D1992" s="2" t="str">
        <f>IFERROR(__xludf.DUMMYFUNCTION("IF('From Order'!$A1992=COLUMNS($A1992:D2011), LEFT(INDEX(FILTER(D$1:D1991, D$1:D1991&lt;&gt;""""),COUNTA(FILTER(D$1:D1991, D$1:D1991&lt;&gt;""""))), LEN(INDEX(FILTER(D$1:D1991, D$1:D1991&lt;&gt;""""),COUNTA(FILTER(D$1:D1991, D$1:D1991&lt;&gt;""""))))-1), IF('To Order'!$A1992=COL"&amp;"UMNS($A1992:D2011), D1991&amp;RIGHT(INDIRECT(ADDRESS(ROW(D1992)-1, 'From Order'!$A1992)), 1), D1991))"),"RBJC")</f>
        <v>RBJC</v>
      </c>
      <c r="E1992" s="2" t="str">
        <f>IFERROR(__xludf.DUMMYFUNCTION("IF('From Order'!$A1992=COLUMNS($A1992:E2011), LEFT(INDEX(FILTER(E$1:E1991, E$1:E1991&lt;&gt;""""),COUNTA(FILTER(E$1:E1991, E$1:E1991&lt;&gt;""""))), LEN(INDEX(FILTER(E$1:E1991, E$1:E1991&lt;&gt;""""),COUNTA(FILTER(E$1:E1991, E$1:E1991&lt;&gt;""""))))-1), IF('To Order'!$A1992=COL"&amp;"UMNS($A1992:E2011), E1991&amp;RIGHT(INDIRECT(ADDRESS(ROW(E1992)-1, 'From Order'!$A1992)), 1), E1991))"),"")</f>
        <v/>
      </c>
      <c r="F1992" s="2" t="str">
        <f>IFERROR(__xludf.DUMMYFUNCTION("IF('From Order'!$A1992=COLUMNS($A1992:F2011), LEFT(INDEX(FILTER(F$1:F1991, F$1:F1991&lt;&gt;""""),COUNTA(FILTER(F$1:F1991, F$1:F1991&lt;&gt;""""))), LEN(INDEX(FILTER(F$1:F1991, F$1:F1991&lt;&gt;""""),COUNTA(FILTER(F$1:F1991, F$1:F1991&lt;&gt;""""))))-1), IF('To Order'!$A1992=COL"&amp;"UMNS($A1992:F2011), F1991&amp;RIGHT(INDIRECT(ADDRESS(ROW(F1992)-1, 'From Order'!$A1992)), 1), F1991))"),"L")</f>
        <v>L</v>
      </c>
      <c r="G1992" s="2" t="str">
        <f>IFERROR(__xludf.DUMMYFUNCTION("IF('From Order'!$A1992=COLUMNS($A1992:G2011), LEFT(INDEX(FILTER(G$1:G1991, G$1:G1991&lt;&gt;""""),COUNTA(FILTER(G$1:G1991, G$1:G1991&lt;&gt;""""))), LEN(INDEX(FILTER(G$1:G1991, G$1:G1991&lt;&gt;""""),COUNTA(FILTER(G$1:G1991, G$1:G1991&lt;&gt;""""))))-1), IF('To Order'!$A1992=COL"&amp;"UMNS($A1992:G2011), G1991&amp;RIGHT(INDIRECT(ADDRESS(ROW(G1992)-1, 'From Order'!$A1992)), 1), G1991))"),"GR")</f>
        <v>GR</v>
      </c>
      <c r="H1992" s="2" t="str">
        <f>IFERROR(__xludf.DUMMYFUNCTION("IF('From Order'!$A1992=COLUMNS($A1992:H2011), LEFT(INDEX(FILTER(H$1:H1991, H$1:H1991&lt;&gt;""""),COUNTA(FILTER(H$1:H1991, H$1:H1991&lt;&gt;""""))), LEN(INDEX(FILTER(H$1:H1991, H$1:H1991&lt;&gt;""""),COUNTA(FILTER(H$1:H1991, H$1:H1991&lt;&gt;""""))))-1), IF('To Order'!$A1992=COL"&amp;"UMNS($A1992:H2011), H1991&amp;RIGHT(INDIRECT(ADDRESS(ROW(H1992)-1, 'From Order'!$A1992)), 1), H1991))"),"QTRTC")</f>
        <v>QTRTC</v>
      </c>
      <c r="I1992" s="2" t="str">
        <f>IFERROR(__xludf.DUMMYFUNCTION("IF('From Order'!$A1992=COLUMNS($A1992:I2011), LEFT(INDEX(FILTER(I$1:I1991, I$1:I1991&lt;&gt;""""),COUNTA(FILTER(I$1:I1991, I$1:I1991&lt;&gt;""""))), LEN(INDEX(FILTER(I$1:I1991, I$1:I1991&lt;&gt;""""),COUNTA(FILTER(I$1:I1991, I$1:I1991&lt;&gt;""""))))-1), IF('To Order'!$A1992=COL"&amp;"UMNS($A1992:I2011), I1991&amp;RIGHT(INDIRECT(ADDRESS(ROW(I1992)-1, 'From Order'!$A1992)), 1), I1991))"),"DVDTMZHZDMTTGMJRR")</f>
        <v>DVDTMZHZDMTTGMJRR</v>
      </c>
    </row>
    <row r="1993">
      <c r="A1993" s="2" t="str">
        <f>IFERROR(__xludf.DUMMYFUNCTION("IF('From Order'!$A1993=COLUMNS($A1993:A2012), LEFT(INDEX(FILTER(A$1:A1992, A$1:A1992&lt;&gt;""""),COUNTA(FILTER(A$1:A1992, A$1:A1992&lt;&gt;""""))), LEN(INDEX(FILTER(A$1:A1992, A$1:A1992&lt;&gt;""""),COUNTA(FILTER(A$1:A1992, A$1:A1992&lt;&gt;""""))))-1), IF('To Order'!$A1993=COL"&amp;"UMNS($A1993:A2012), A1992&amp;RIGHT(INDIRECT(ADDRESS(ROW(A1993)-1, 'From Order'!$A1993)), 1), A1992))"),"DSPBFLLWDDVQJPPSSTWZCSFHBBVR")</f>
        <v>DSPBFLLWDDVQJPPSSTWZCSFHBBVR</v>
      </c>
      <c r="B1993" s="2" t="str">
        <f>IFERROR(__xludf.DUMMYFUNCTION("IF('From Order'!$A1993=COLUMNS($A1993:B2012), LEFT(INDEX(FILTER(B$1:B1992, B$1:B1992&lt;&gt;""""),COUNTA(FILTER(B$1:B1992, B$1:B1992&lt;&gt;""""))), LEN(INDEX(FILTER(B$1:B1992, B$1:B1992&lt;&gt;""""),COUNTA(FILTER(B$1:B1992, B$1:B1992&lt;&gt;""""))))-1), IF('To Order'!$A1993=COL"&amp;"UMNS($A1993:B2012), B1992&amp;RIGHT(INDIRECT(ADDRESS(ROW(B1993)-1, 'From Order'!$A1993)), 1), B1992))"),"")</f>
        <v/>
      </c>
      <c r="C1993" s="2" t="str">
        <f>IFERROR(__xludf.DUMMYFUNCTION("IF('From Order'!$A1993=COLUMNS($A1993:C2012), LEFT(INDEX(FILTER(C$1:C1992, C$1:C1992&lt;&gt;""""),COUNTA(FILTER(C$1:C1992, C$1:C1992&lt;&gt;""""))), LEN(INDEX(FILTER(C$1:C1992, C$1:C1992&lt;&gt;""""),COUNTA(FILTER(C$1:C1992, C$1:C1992&lt;&gt;""""))))-1), IF('To Order'!$A1993=COL"&amp;"UMNS($A1993:C2012), C1992&amp;RIGHT(INDIRECT(ADDRESS(ROW(C1993)-1, 'From Order'!$A1993)), 1), C1992))"),"")</f>
        <v/>
      </c>
      <c r="D1993" s="2" t="str">
        <f>IFERROR(__xludf.DUMMYFUNCTION("IF('From Order'!$A1993=COLUMNS($A1993:D2012), LEFT(INDEX(FILTER(D$1:D1992, D$1:D1992&lt;&gt;""""),COUNTA(FILTER(D$1:D1992, D$1:D1992&lt;&gt;""""))), LEN(INDEX(FILTER(D$1:D1992, D$1:D1992&lt;&gt;""""),COUNTA(FILTER(D$1:D1992, D$1:D1992&lt;&gt;""""))))-1), IF('To Order'!$A1993=COL"&amp;"UMNS($A1993:D2012), D1992&amp;RIGHT(INDIRECT(ADDRESS(ROW(D1993)-1, 'From Order'!$A1993)), 1), D1992))"),"RBJC")</f>
        <v>RBJC</v>
      </c>
      <c r="E1993" s="2" t="str">
        <f>IFERROR(__xludf.DUMMYFUNCTION("IF('From Order'!$A1993=COLUMNS($A1993:E2012), LEFT(INDEX(FILTER(E$1:E1992, E$1:E1992&lt;&gt;""""),COUNTA(FILTER(E$1:E1992, E$1:E1992&lt;&gt;""""))), LEN(INDEX(FILTER(E$1:E1992, E$1:E1992&lt;&gt;""""),COUNTA(FILTER(E$1:E1992, E$1:E1992&lt;&gt;""""))))-1), IF('To Order'!$A1993=COL"&amp;"UMNS($A1993:E2012), E1992&amp;RIGHT(INDIRECT(ADDRESS(ROW(E1993)-1, 'From Order'!$A1993)), 1), E1992))"),"")</f>
        <v/>
      </c>
      <c r="F1993" s="2" t="str">
        <f>IFERROR(__xludf.DUMMYFUNCTION("IF('From Order'!$A1993=COLUMNS($A1993:F2012), LEFT(INDEX(FILTER(F$1:F1992, F$1:F1992&lt;&gt;""""),COUNTA(FILTER(F$1:F1992, F$1:F1992&lt;&gt;""""))), LEN(INDEX(FILTER(F$1:F1992, F$1:F1992&lt;&gt;""""),COUNTA(FILTER(F$1:F1992, F$1:F1992&lt;&gt;""""))))-1), IF('To Order'!$A1993=COL"&amp;"UMNS($A1993:F2012), F1992&amp;RIGHT(INDIRECT(ADDRESS(ROW(F1993)-1, 'From Order'!$A1993)), 1), F1992))"),"L")</f>
        <v>L</v>
      </c>
      <c r="G1993" s="2" t="str">
        <f>IFERROR(__xludf.DUMMYFUNCTION("IF('From Order'!$A1993=COLUMNS($A1993:G2012), LEFT(INDEX(FILTER(G$1:G1992, G$1:G1992&lt;&gt;""""),COUNTA(FILTER(G$1:G1992, G$1:G1992&lt;&gt;""""))), LEN(INDEX(FILTER(G$1:G1992, G$1:G1992&lt;&gt;""""),COUNTA(FILTER(G$1:G1992, G$1:G1992&lt;&gt;""""))))-1), IF('To Order'!$A1993=COL"&amp;"UMNS($A1993:G2012), G1992&amp;RIGHT(INDIRECT(ADDRESS(ROW(G1993)-1, 'From Order'!$A1993)), 1), G1992))"),"GR")</f>
        <v>GR</v>
      </c>
      <c r="H1993" s="2" t="str">
        <f>IFERROR(__xludf.DUMMYFUNCTION("IF('From Order'!$A1993=COLUMNS($A1993:H2012), LEFT(INDEX(FILTER(H$1:H1992, H$1:H1992&lt;&gt;""""),COUNTA(FILTER(H$1:H1992, H$1:H1992&lt;&gt;""""))), LEN(INDEX(FILTER(H$1:H1992, H$1:H1992&lt;&gt;""""),COUNTA(FILTER(H$1:H1992, H$1:H1992&lt;&gt;""""))))-1), IF('To Order'!$A1993=COL"&amp;"UMNS($A1993:H2012), H1992&amp;RIGHT(INDIRECT(ADDRESS(ROW(H1993)-1, 'From Order'!$A1993)), 1), H1992))"),"QTRTC")</f>
        <v>QTRTC</v>
      </c>
      <c r="I1993" s="2" t="str">
        <f>IFERROR(__xludf.DUMMYFUNCTION("IF('From Order'!$A1993=COLUMNS($A1993:I2012), LEFT(INDEX(FILTER(I$1:I1992, I$1:I1992&lt;&gt;""""),COUNTA(FILTER(I$1:I1992, I$1:I1992&lt;&gt;""""))), LEN(INDEX(FILTER(I$1:I1992, I$1:I1992&lt;&gt;""""),COUNTA(FILTER(I$1:I1992, I$1:I1992&lt;&gt;""""))))-1), IF('To Order'!$A1993=COL"&amp;"UMNS($A1993:I2012), I1992&amp;RIGHT(INDIRECT(ADDRESS(ROW(I1993)-1, 'From Order'!$A1993)), 1), I1992))"),"DVDTMZHZDMTTGMJR")</f>
        <v>DVDTMZHZDMTTGMJR</v>
      </c>
    </row>
    <row r="1994">
      <c r="A1994" s="2" t="str">
        <f>IFERROR(__xludf.DUMMYFUNCTION("IF('From Order'!$A1994=COLUMNS($A1994:A2013), LEFT(INDEX(FILTER(A$1:A1993, A$1:A1993&lt;&gt;""""),COUNTA(FILTER(A$1:A1993, A$1:A1993&lt;&gt;""""))), LEN(INDEX(FILTER(A$1:A1993, A$1:A1993&lt;&gt;""""),COUNTA(FILTER(A$1:A1993, A$1:A1993&lt;&gt;""""))))-1), IF('To Order'!$A1994=COL"&amp;"UMNS($A1994:A2013), A1993&amp;RIGHT(INDIRECT(ADDRESS(ROW(A1994)-1, 'From Order'!$A1994)), 1), A1993))"),"DSPBFLLWDDVQJPPSSTWZCSFHBBVRR")</f>
        <v>DSPBFLLWDDVQJPPSSTWZCSFHBBVRR</v>
      </c>
      <c r="B1994" s="2" t="str">
        <f>IFERROR(__xludf.DUMMYFUNCTION("IF('From Order'!$A1994=COLUMNS($A1994:B2013), LEFT(INDEX(FILTER(B$1:B1993, B$1:B1993&lt;&gt;""""),COUNTA(FILTER(B$1:B1993, B$1:B1993&lt;&gt;""""))), LEN(INDEX(FILTER(B$1:B1993, B$1:B1993&lt;&gt;""""),COUNTA(FILTER(B$1:B1993, B$1:B1993&lt;&gt;""""))))-1), IF('To Order'!$A1994=COL"&amp;"UMNS($A1994:B2013), B1993&amp;RIGHT(INDIRECT(ADDRESS(ROW(B1994)-1, 'From Order'!$A1994)), 1), B1993))"),"")</f>
        <v/>
      </c>
      <c r="C1994" s="2" t="str">
        <f>IFERROR(__xludf.DUMMYFUNCTION("IF('From Order'!$A1994=COLUMNS($A1994:C2013), LEFT(INDEX(FILTER(C$1:C1993, C$1:C1993&lt;&gt;""""),COUNTA(FILTER(C$1:C1993, C$1:C1993&lt;&gt;""""))), LEN(INDEX(FILTER(C$1:C1993, C$1:C1993&lt;&gt;""""),COUNTA(FILTER(C$1:C1993, C$1:C1993&lt;&gt;""""))))-1), IF('To Order'!$A1994=COL"&amp;"UMNS($A1994:C2013), C1993&amp;RIGHT(INDIRECT(ADDRESS(ROW(C1994)-1, 'From Order'!$A1994)), 1), C1993))"),"")</f>
        <v/>
      </c>
      <c r="D1994" s="2" t="str">
        <f>IFERROR(__xludf.DUMMYFUNCTION("IF('From Order'!$A1994=COLUMNS($A1994:D2013), LEFT(INDEX(FILTER(D$1:D1993, D$1:D1993&lt;&gt;""""),COUNTA(FILTER(D$1:D1993, D$1:D1993&lt;&gt;""""))), LEN(INDEX(FILTER(D$1:D1993, D$1:D1993&lt;&gt;""""),COUNTA(FILTER(D$1:D1993, D$1:D1993&lt;&gt;""""))))-1), IF('To Order'!$A1994=COL"&amp;"UMNS($A1994:D2013), D1993&amp;RIGHT(INDIRECT(ADDRESS(ROW(D1994)-1, 'From Order'!$A1994)), 1), D1993))"),"RBJC")</f>
        <v>RBJC</v>
      </c>
      <c r="E1994" s="2" t="str">
        <f>IFERROR(__xludf.DUMMYFUNCTION("IF('From Order'!$A1994=COLUMNS($A1994:E2013), LEFT(INDEX(FILTER(E$1:E1993, E$1:E1993&lt;&gt;""""),COUNTA(FILTER(E$1:E1993, E$1:E1993&lt;&gt;""""))), LEN(INDEX(FILTER(E$1:E1993, E$1:E1993&lt;&gt;""""),COUNTA(FILTER(E$1:E1993, E$1:E1993&lt;&gt;""""))))-1), IF('To Order'!$A1994=COL"&amp;"UMNS($A1994:E2013), E1993&amp;RIGHT(INDIRECT(ADDRESS(ROW(E1994)-1, 'From Order'!$A1994)), 1), E1993))"),"")</f>
        <v/>
      </c>
      <c r="F1994" s="2" t="str">
        <f>IFERROR(__xludf.DUMMYFUNCTION("IF('From Order'!$A1994=COLUMNS($A1994:F2013), LEFT(INDEX(FILTER(F$1:F1993, F$1:F1993&lt;&gt;""""),COUNTA(FILTER(F$1:F1993, F$1:F1993&lt;&gt;""""))), LEN(INDEX(FILTER(F$1:F1993, F$1:F1993&lt;&gt;""""),COUNTA(FILTER(F$1:F1993, F$1:F1993&lt;&gt;""""))))-1), IF('To Order'!$A1994=COL"&amp;"UMNS($A1994:F2013), F1993&amp;RIGHT(INDIRECT(ADDRESS(ROW(F1994)-1, 'From Order'!$A1994)), 1), F1993))"),"L")</f>
        <v>L</v>
      </c>
      <c r="G1994" s="2" t="str">
        <f>IFERROR(__xludf.DUMMYFUNCTION("IF('From Order'!$A1994=COLUMNS($A1994:G2013), LEFT(INDEX(FILTER(G$1:G1993, G$1:G1993&lt;&gt;""""),COUNTA(FILTER(G$1:G1993, G$1:G1993&lt;&gt;""""))), LEN(INDEX(FILTER(G$1:G1993, G$1:G1993&lt;&gt;""""),COUNTA(FILTER(G$1:G1993, G$1:G1993&lt;&gt;""""))))-1), IF('To Order'!$A1994=COL"&amp;"UMNS($A1994:G2013), G1993&amp;RIGHT(INDIRECT(ADDRESS(ROW(G1994)-1, 'From Order'!$A1994)), 1), G1993))"),"GR")</f>
        <v>GR</v>
      </c>
      <c r="H1994" s="2" t="str">
        <f>IFERROR(__xludf.DUMMYFUNCTION("IF('From Order'!$A1994=COLUMNS($A1994:H2013), LEFT(INDEX(FILTER(H$1:H1993, H$1:H1993&lt;&gt;""""),COUNTA(FILTER(H$1:H1993, H$1:H1993&lt;&gt;""""))), LEN(INDEX(FILTER(H$1:H1993, H$1:H1993&lt;&gt;""""),COUNTA(FILTER(H$1:H1993, H$1:H1993&lt;&gt;""""))))-1), IF('To Order'!$A1994=COL"&amp;"UMNS($A1994:H2013), H1993&amp;RIGHT(INDIRECT(ADDRESS(ROW(H1994)-1, 'From Order'!$A1994)), 1), H1993))"),"QTRTC")</f>
        <v>QTRTC</v>
      </c>
      <c r="I1994" s="2" t="str">
        <f>IFERROR(__xludf.DUMMYFUNCTION("IF('From Order'!$A1994=COLUMNS($A1994:I2013), LEFT(INDEX(FILTER(I$1:I1993, I$1:I1993&lt;&gt;""""),COUNTA(FILTER(I$1:I1993, I$1:I1993&lt;&gt;""""))), LEN(INDEX(FILTER(I$1:I1993, I$1:I1993&lt;&gt;""""),COUNTA(FILTER(I$1:I1993, I$1:I1993&lt;&gt;""""))))-1), IF('To Order'!$A1994=COL"&amp;"UMNS($A1994:I2013), I1993&amp;RIGHT(INDIRECT(ADDRESS(ROW(I1994)-1, 'From Order'!$A1994)), 1), I1993))"),"DVDTMZHZDMTTGMJ")</f>
        <v>DVDTMZHZDMTTGMJ</v>
      </c>
    </row>
    <row r="1995">
      <c r="A1995" s="2" t="str">
        <f>IFERROR(__xludf.DUMMYFUNCTION("IF('From Order'!$A1995=COLUMNS($A1995:A2014), LEFT(INDEX(FILTER(A$1:A1994, A$1:A1994&lt;&gt;""""),COUNTA(FILTER(A$1:A1994, A$1:A1994&lt;&gt;""""))), LEN(INDEX(FILTER(A$1:A1994, A$1:A1994&lt;&gt;""""),COUNTA(FILTER(A$1:A1994, A$1:A1994&lt;&gt;""""))))-1), IF('To Order'!$A1995=COL"&amp;"UMNS($A1995:A2014), A1994&amp;RIGHT(INDIRECT(ADDRESS(ROW(A1995)-1, 'From Order'!$A1995)), 1), A1994))"),"DSPBFLLWDDVQJPPSSTWZCSFHBBVRRJ")</f>
        <v>DSPBFLLWDDVQJPPSSTWZCSFHBBVRRJ</v>
      </c>
      <c r="B1995" s="2" t="str">
        <f>IFERROR(__xludf.DUMMYFUNCTION("IF('From Order'!$A1995=COLUMNS($A1995:B2014), LEFT(INDEX(FILTER(B$1:B1994, B$1:B1994&lt;&gt;""""),COUNTA(FILTER(B$1:B1994, B$1:B1994&lt;&gt;""""))), LEN(INDEX(FILTER(B$1:B1994, B$1:B1994&lt;&gt;""""),COUNTA(FILTER(B$1:B1994, B$1:B1994&lt;&gt;""""))))-1), IF('To Order'!$A1995=COL"&amp;"UMNS($A1995:B2014), B1994&amp;RIGHT(INDIRECT(ADDRESS(ROW(B1995)-1, 'From Order'!$A1995)), 1), B1994))"),"")</f>
        <v/>
      </c>
      <c r="C1995" s="2" t="str">
        <f>IFERROR(__xludf.DUMMYFUNCTION("IF('From Order'!$A1995=COLUMNS($A1995:C2014), LEFT(INDEX(FILTER(C$1:C1994, C$1:C1994&lt;&gt;""""),COUNTA(FILTER(C$1:C1994, C$1:C1994&lt;&gt;""""))), LEN(INDEX(FILTER(C$1:C1994, C$1:C1994&lt;&gt;""""),COUNTA(FILTER(C$1:C1994, C$1:C1994&lt;&gt;""""))))-1), IF('To Order'!$A1995=COL"&amp;"UMNS($A1995:C2014), C1994&amp;RIGHT(INDIRECT(ADDRESS(ROW(C1995)-1, 'From Order'!$A1995)), 1), C1994))"),"")</f>
        <v/>
      </c>
      <c r="D1995" s="2" t="str">
        <f>IFERROR(__xludf.DUMMYFUNCTION("IF('From Order'!$A1995=COLUMNS($A1995:D2014), LEFT(INDEX(FILTER(D$1:D1994, D$1:D1994&lt;&gt;""""),COUNTA(FILTER(D$1:D1994, D$1:D1994&lt;&gt;""""))), LEN(INDEX(FILTER(D$1:D1994, D$1:D1994&lt;&gt;""""),COUNTA(FILTER(D$1:D1994, D$1:D1994&lt;&gt;""""))))-1), IF('To Order'!$A1995=COL"&amp;"UMNS($A1995:D2014), D1994&amp;RIGHT(INDIRECT(ADDRESS(ROW(D1995)-1, 'From Order'!$A1995)), 1), D1994))"),"RBJC")</f>
        <v>RBJC</v>
      </c>
      <c r="E1995" s="2" t="str">
        <f>IFERROR(__xludf.DUMMYFUNCTION("IF('From Order'!$A1995=COLUMNS($A1995:E2014), LEFT(INDEX(FILTER(E$1:E1994, E$1:E1994&lt;&gt;""""),COUNTA(FILTER(E$1:E1994, E$1:E1994&lt;&gt;""""))), LEN(INDEX(FILTER(E$1:E1994, E$1:E1994&lt;&gt;""""),COUNTA(FILTER(E$1:E1994, E$1:E1994&lt;&gt;""""))))-1), IF('To Order'!$A1995=COL"&amp;"UMNS($A1995:E2014), E1994&amp;RIGHT(INDIRECT(ADDRESS(ROW(E1995)-1, 'From Order'!$A1995)), 1), E1994))"),"")</f>
        <v/>
      </c>
      <c r="F1995" s="2" t="str">
        <f>IFERROR(__xludf.DUMMYFUNCTION("IF('From Order'!$A1995=COLUMNS($A1995:F2014), LEFT(INDEX(FILTER(F$1:F1994, F$1:F1994&lt;&gt;""""),COUNTA(FILTER(F$1:F1994, F$1:F1994&lt;&gt;""""))), LEN(INDEX(FILTER(F$1:F1994, F$1:F1994&lt;&gt;""""),COUNTA(FILTER(F$1:F1994, F$1:F1994&lt;&gt;""""))))-1), IF('To Order'!$A1995=COL"&amp;"UMNS($A1995:F2014), F1994&amp;RIGHT(INDIRECT(ADDRESS(ROW(F1995)-1, 'From Order'!$A1995)), 1), F1994))"),"L")</f>
        <v>L</v>
      </c>
      <c r="G1995" s="2" t="str">
        <f>IFERROR(__xludf.DUMMYFUNCTION("IF('From Order'!$A1995=COLUMNS($A1995:G2014), LEFT(INDEX(FILTER(G$1:G1994, G$1:G1994&lt;&gt;""""),COUNTA(FILTER(G$1:G1994, G$1:G1994&lt;&gt;""""))), LEN(INDEX(FILTER(G$1:G1994, G$1:G1994&lt;&gt;""""),COUNTA(FILTER(G$1:G1994, G$1:G1994&lt;&gt;""""))))-1), IF('To Order'!$A1995=COL"&amp;"UMNS($A1995:G2014), G1994&amp;RIGHT(INDIRECT(ADDRESS(ROW(G1995)-1, 'From Order'!$A1995)), 1), G1994))"),"GR")</f>
        <v>GR</v>
      </c>
      <c r="H1995" s="2" t="str">
        <f>IFERROR(__xludf.DUMMYFUNCTION("IF('From Order'!$A1995=COLUMNS($A1995:H2014), LEFT(INDEX(FILTER(H$1:H1994, H$1:H1994&lt;&gt;""""),COUNTA(FILTER(H$1:H1994, H$1:H1994&lt;&gt;""""))), LEN(INDEX(FILTER(H$1:H1994, H$1:H1994&lt;&gt;""""),COUNTA(FILTER(H$1:H1994, H$1:H1994&lt;&gt;""""))))-1), IF('To Order'!$A1995=COL"&amp;"UMNS($A1995:H2014), H1994&amp;RIGHT(INDIRECT(ADDRESS(ROW(H1995)-1, 'From Order'!$A1995)), 1), H1994))"),"QTRTC")</f>
        <v>QTRTC</v>
      </c>
      <c r="I1995" s="2" t="str">
        <f>IFERROR(__xludf.DUMMYFUNCTION("IF('From Order'!$A1995=COLUMNS($A1995:I2014), LEFT(INDEX(FILTER(I$1:I1994, I$1:I1994&lt;&gt;""""),COUNTA(FILTER(I$1:I1994, I$1:I1994&lt;&gt;""""))), LEN(INDEX(FILTER(I$1:I1994, I$1:I1994&lt;&gt;""""),COUNTA(FILTER(I$1:I1994, I$1:I1994&lt;&gt;""""))))-1), IF('To Order'!$A1995=COL"&amp;"UMNS($A1995:I2014), I1994&amp;RIGHT(INDIRECT(ADDRESS(ROW(I1995)-1, 'From Order'!$A1995)), 1), I1994))"),"DVDTMZHZDMTTGM")</f>
        <v>DVDTMZHZDMTTGM</v>
      </c>
    </row>
    <row r="1996">
      <c r="A1996" s="2" t="str">
        <f>IFERROR(__xludf.DUMMYFUNCTION("IF('From Order'!$A1996=COLUMNS($A1996:A2015), LEFT(INDEX(FILTER(A$1:A1995, A$1:A1995&lt;&gt;""""),COUNTA(FILTER(A$1:A1995, A$1:A1995&lt;&gt;""""))), LEN(INDEX(FILTER(A$1:A1995, A$1:A1995&lt;&gt;""""),COUNTA(FILTER(A$1:A1995, A$1:A1995&lt;&gt;""""))))-1), IF('To Order'!$A1996=COL"&amp;"UMNS($A1996:A2015), A1995&amp;RIGHT(INDIRECT(ADDRESS(ROW(A1996)-1, 'From Order'!$A1996)), 1), A1995))"),"DSPBFLLWDDVQJPPSSTWZCSFHBBVRRJM")</f>
        <v>DSPBFLLWDDVQJPPSSTWZCSFHBBVRRJM</v>
      </c>
      <c r="B1996" s="2" t="str">
        <f>IFERROR(__xludf.DUMMYFUNCTION("IF('From Order'!$A1996=COLUMNS($A1996:B2015), LEFT(INDEX(FILTER(B$1:B1995, B$1:B1995&lt;&gt;""""),COUNTA(FILTER(B$1:B1995, B$1:B1995&lt;&gt;""""))), LEN(INDEX(FILTER(B$1:B1995, B$1:B1995&lt;&gt;""""),COUNTA(FILTER(B$1:B1995, B$1:B1995&lt;&gt;""""))))-1), IF('To Order'!$A1996=COL"&amp;"UMNS($A1996:B2015), B1995&amp;RIGHT(INDIRECT(ADDRESS(ROW(B1996)-1, 'From Order'!$A1996)), 1), B1995))"),"")</f>
        <v/>
      </c>
      <c r="C1996" s="2" t="str">
        <f>IFERROR(__xludf.DUMMYFUNCTION("IF('From Order'!$A1996=COLUMNS($A1996:C2015), LEFT(INDEX(FILTER(C$1:C1995, C$1:C1995&lt;&gt;""""),COUNTA(FILTER(C$1:C1995, C$1:C1995&lt;&gt;""""))), LEN(INDEX(FILTER(C$1:C1995, C$1:C1995&lt;&gt;""""),COUNTA(FILTER(C$1:C1995, C$1:C1995&lt;&gt;""""))))-1), IF('To Order'!$A1996=COL"&amp;"UMNS($A1996:C2015), C1995&amp;RIGHT(INDIRECT(ADDRESS(ROW(C1996)-1, 'From Order'!$A1996)), 1), C1995))"),"")</f>
        <v/>
      </c>
      <c r="D1996" s="2" t="str">
        <f>IFERROR(__xludf.DUMMYFUNCTION("IF('From Order'!$A1996=COLUMNS($A1996:D2015), LEFT(INDEX(FILTER(D$1:D1995, D$1:D1995&lt;&gt;""""),COUNTA(FILTER(D$1:D1995, D$1:D1995&lt;&gt;""""))), LEN(INDEX(FILTER(D$1:D1995, D$1:D1995&lt;&gt;""""),COUNTA(FILTER(D$1:D1995, D$1:D1995&lt;&gt;""""))))-1), IF('To Order'!$A1996=COL"&amp;"UMNS($A1996:D2015), D1995&amp;RIGHT(INDIRECT(ADDRESS(ROW(D1996)-1, 'From Order'!$A1996)), 1), D1995))"),"RBJC")</f>
        <v>RBJC</v>
      </c>
      <c r="E1996" s="2" t="str">
        <f>IFERROR(__xludf.DUMMYFUNCTION("IF('From Order'!$A1996=COLUMNS($A1996:E2015), LEFT(INDEX(FILTER(E$1:E1995, E$1:E1995&lt;&gt;""""),COUNTA(FILTER(E$1:E1995, E$1:E1995&lt;&gt;""""))), LEN(INDEX(FILTER(E$1:E1995, E$1:E1995&lt;&gt;""""),COUNTA(FILTER(E$1:E1995, E$1:E1995&lt;&gt;""""))))-1), IF('To Order'!$A1996=COL"&amp;"UMNS($A1996:E2015), E1995&amp;RIGHT(INDIRECT(ADDRESS(ROW(E1996)-1, 'From Order'!$A1996)), 1), E1995))"),"")</f>
        <v/>
      </c>
      <c r="F1996" s="2" t="str">
        <f>IFERROR(__xludf.DUMMYFUNCTION("IF('From Order'!$A1996=COLUMNS($A1996:F2015), LEFT(INDEX(FILTER(F$1:F1995, F$1:F1995&lt;&gt;""""),COUNTA(FILTER(F$1:F1995, F$1:F1995&lt;&gt;""""))), LEN(INDEX(FILTER(F$1:F1995, F$1:F1995&lt;&gt;""""),COUNTA(FILTER(F$1:F1995, F$1:F1995&lt;&gt;""""))))-1), IF('To Order'!$A1996=COL"&amp;"UMNS($A1996:F2015), F1995&amp;RIGHT(INDIRECT(ADDRESS(ROW(F1996)-1, 'From Order'!$A1996)), 1), F1995))"),"L")</f>
        <v>L</v>
      </c>
      <c r="G1996" s="2" t="str">
        <f>IFERROR(__xludf.DUMMYFUNCTION("IF('From Order'!$A1996=COLUMNS($A1996:G2015), LEFT(INDEX(FILTER(G$1:G1995, G$1:G1995&lt;&gt;""""),COUNTA(FILTER(G$1:G1995, G$1:G1995&lt;&gt;""""))), LEN(INDEX(FILTER(G$1:G1995, G$1:G1995&lt;&gt;""""),COUNTA(FILTER(G$1:G1995, G$1:G1995&lt;&gt;""""))))-1), IF('To Order'!$A1996=COL"&amp;"UMNS($A1996:G2015), G1995&amp;RIGHT(INDIRECT(ADDRESS(ROW(G1996)-1, 'From Order'!$A1996)), 1), G1995))"),"GR")</f>
        <v>GR</v>
      </c>
      <c r="H1996" s="2" t="str">
        <f>IFERROR(__xludf.DUMMYFUNCTION("IF('From Order'!$A1996=COLUMNS($A1996:H2015), LEFT(INDEX(FILTER(H$1:H1995, H$1:H1995&lt;&gt;""""),COUNTA(FILTER(H$1:H1995, H$1:H1995&lt;&gt;""""))), LEN(INDEX(FILTER(H$1:H1995, H$1:H1995&lt;&gt;""""),COUNTA(FILTER(H$1:H1995, H$1:H1995&lt;&gt;""""))))-1), IF('To Order'!$A1996=COL"&amp;"UMNS($A1996:H2015), H1995&amp;RIGHT(INDIRECT(ADDRESS(ROW(H1996)-1, 'From Order'!$A1996)), 1), H1995))"),"QTRTC")</f>
        <v>QTRTC</v>
      </c>
      <c r="I1996" s="2" t="str">
        <f>IFERROR(__xludf.DUMMYFUNCTION("IF('From Order'!$A1996=COLUMNS($A1996:I2015), LEFT(INDEX(FILTER(I$1:I1995, I$1:I1995&lt;&gt;""""),COUNTA(FILTER(I$1:I1995, I$1:I1995&lt;&gt;""""))), LEN(INDEX(FILTER(I$1:I1995, I$1:I1995&lt;&gt;""""),COUNTA(FILTER(I$1:I1995, I$1:I1995&lt;&gt;""""))))-1), IF('To Order'!$A1996=COL"&amp;"UMNS($A1996:I2015), I1995&amp;RIGHT(INDIRECT(ADDRESS(ROW(I1996)-1, 'From Order'!$A1996)), 1), I1995))"),"DVDTMZHZDMTTG")</f>
        <v>DVDTMZHZDMTTG</v>
      </c>
    </row>
    <row r="1997">
      <c r="A1997" s="2" t="str">
        <f>IFERROR(__xludf.DUMMYFUNCTION("IF('From Order'!$A1997=COLUMNS($A1997:A2016), LEFT(INDEX(FILTER(A$1:A1996, A$1:A1996&lt;&gt;""""),COUNTA(FILTER(A$1:A1996, A$1:A1996&lt;&gt;""""))), LEN(INDEX(FILTER(A$1:A1996, A$1:A1996&lt;&gt;""""),COUNTA(FILTER(A$1:A1996, A$1:A1996&lt;&gt;""""))))-1), IF('To Order'!$A1997=COL"&amp;"UMNS($A1997:A2016), A1996&amp;RIGHT(INDIRECT(ADDRESS(ROW(A1997)-1, 'From Order'!$A1997)), 1), A1996))"),"DSPBFLLWDDVQJPPSSTWZCSFHBBVRRJMG")</f>
        <v>DSPBFLLWDDVQJPPSSTWZCSFHBBVRRJMG</v>
      </c>
      <c r="B1997" s="2" t="str">
        <f>IFERROR(__xludf.DUMMYFUNCTION("IF('From Order'!$A1997=COLUMNS($A1997:B2016), LEFT(INDEX(FILTER(B$1:B1996, B$1:B1996&lt;&gt;""""),COUNTA(FILTER(B$1:B1996, B$1:B1996&lt;&gt;""""))), LEN(INDEX(FILTER(B$1:B1996, B$1:B1996&lt;&gt;""""),COUNTA(FILTER(B$1:B1996, B$1:B1996&lt;&gt;""""))))-1), IF('To Order'!$A1997=COL"&amp;"UMNS($A1997:B2016), B1996&amp;RIGHT(INDIRECT(ADDRESS(ROW(B1997)-1, 'From Order'!$A1997)), 1), B1996))"),"")</f>
        <v/>
      </c>
      <c r="C1997" s="2" t="str">
        <f>IFERROR(__xludf.DUMMYFUNCTION("IF('From Order'!$A1997=COLUMNS($A1997:C2016), LEFT(INDEX(FILTER(C$1:C1996, C$1:C1996&lt;&gt;""""),COUNTA(FILTER(C$1:C1996, C$1:C1996&lt;&gt;""""))), LEN(INDEX(FILTER(C$1:C1996, C$1:C1996&lt;&gt;""""),COUNTA(FILTER(C$1:C1996, C$1:C1996&lt;&gt;""""))))-1), IF('To Order'!$A1997=COL"&amp;"UMNS($A1997:C2016), C1996&amp;RIGHT(INDIRECT(ADDRESS(ROW(C1997)-1, 'From Order'!$A1997)), 1), C1996))"),"")</f>
        <v/>
      </c>
      <c r="D1997" s="2" t="str">
        <f>IFERROR(__xludf.DUMMYFUNCTION("IF('From Order'!$A1997=COLUMNS($A1997:D2016), LEFT(INDEX(FILTER(D$1:D1996, D$1:D1996&lt;&gt;""""),COUNTA(FILTER(D$1:D1996, D$1:D1996&lt;&gt;""""))), LEN(INDEX(FILTER(D$1:D1996, D$1:D1996&lt;&gt;""""),COUNTA(FILTER(D$1:D1996, D$1:D1996&lt;&gt;""""))))-1), IF('To Order'!$A1997=COL"&amp;"UMNS($A1997:D2016), D1996&amp;RIGHT(INDIRECT(ADDRESS(ROW(D1997)-1, 'From Order'!$A1997)), 1), D1996))"),"RBJC")</f>
        <v>RBJC</v>
      </c>
      <c r="E1997" s="2" t="str">
        <f>IFERROR(__xludf.DUMMYFUNCTION("IF('From Order'!$A1997=COLUMNS($A1997:E2016), LEFT(INDEX(FILTER(E$1:E1996, E$1:E1996&lt;&gt;""""),COUNTA(FILTER(E$1:E1996, E$1:E1996&lt;&gt;""""))), LEN(INDEX(FILTER(E$1:E1996, E$1:E1996&lt;&gt;""""),COUNTA(FILTER(E$1:E1996, E$1:E1996&lt;&gt;""""))))-1), IF('To Order'!$A1997=COL"&amp;"UMNS($A1997:E2016), E1996&amp;RIGHT(INDIRECT(ADDRESS(ROW(E1997)-1, 'From Order'!$A1997)), 1), E1996))"),"")</f>
        <v/>
      </c>
      <c r="F1997" s="2" t="str">
        <f>IFERROR(__xludf.DUMMYFUNCTION("IF('From Order'!$A1997=COLUMNS($A1997:F2016), LEFT(INDEX(FILTER(F$1:F1996, F$1:F1996&lt;&gt;""""),COUNTA(FILTER(F$1:F1996, F$1:F1996&lt;&gt;""""))), LEN(INDEX(FILTER(F$1:F1996, F$1:F1996&lt;&gt;""""),COUNTA(FILTER(F$1:F1996, F$1:F1996&lt;&gt;""""))))-1), IF('To Order'!$A1997=COL"&amp;"UMNS($A1997:F2016), F1996&amp;RIGHT(INDIRECT(ADDRESS(ROW(F1997)-1, 'From Order'!$A1997)), 1), F1996))"),"L")</f>
        <v>L</v>
      </c>
      <c r="G1997" s="2" t="str">
        <f>IFERROR(__xludf.DUMMYFUNCTION("IF('From Order'!$A1997=COLUMNS($A1997:G2016), LEFT(INDEX(FILTER(G$1:G1996, G$1:G1996&lt;&gt;""""),COUNTA(FILTER(G$1:G1996, G$1:G1996&lt;&gt;""""))), LEN(INDEX(FILTER(G$1:G1996, G$1:G1996&lt;&gt;""""),COUNTA(FILTER(G$1:G1996, G$1:G1996&lt;&gt;""""))))-1), IF('To Order'!$A1997=COL"&amp;"UMNS($A1997:G2016), G1996&amp;RIGHT(INDIRECT(ADDRESS(ROW(G1997)-1, 'From Order'!$A1997)), 1), G1996))"),"GR")</f>
        <v>GR</v>
      </c>
      <c r="H1997" s="2" t="str">
        <f>IFERROR(__xludf.DUMMYFUNCTION("IF('From Order'!$A1997=COLUMNS($A1997:H2016), LEFT(INDEX(FILTER(H$1:H1996, H$1:H1996&lt;&gt;""""),COUNTA(FILTER(H$1:H1996, H$1:H1996&lt;&gt;""""))), LEN(INDEX(FILTER(H$1:H1996, H$1:H1996&lt;&gt;""""),COUNTA(FILTER(H$1:H1996, H$1:H1996&lt;&gt;""""))))-1), IF('To Order'!$A1997=COL"&amp;"UMNS($A1997:H2016), H1996&amp;RIGHT(INDIRECT(ADDRESS(ROW(H1997)-1, 'From Order'!$A1997)), 1), H1996))"),"QTRTC")</f>
        <v>QTRTC</v>
      </c>
      <c r="I1997" s="2" t="str">
        <f>IFERROR(__xludf.DUMMYFUNCTION("IF('From Order'!$A1997=COLUMNS($A1997:I2016), LEFT(INDEX(FILTER(I$1:I1996, I$1:I1996&lt;&gt;""""),COUNTA(FILTER(I$1:I1996, I$1:I1996&lt;&gt;""""))), LEN(INDEX(FILTER(I$1:I1996, I$1:I1996&lt;&gt;""""),COUNTA(FILTER(I$1:I1996, I$1:I1996&lt;&gt;""""))))-1), IF('To Order'!$A1997=COL"&amp;"UMNS($A1997:I2016), I1996&amp;RIGHT(INDIRECT(ADDRESS(ROW(I1997)-1, 'From Order'!$A1997)), 1), I1996))"),"DVDTMZHZDMTT")</f>
        <v>DVDTMZHZDMTT</v>
      </c>
    </row>
    <row r="1998">
      <c r="A1998" s="2" t="str">
        <f>IFERROR(__xludf.DUMMYFUNCTION("IF('From Order'!$A1998=COLUMNS($A1998:A2017), LEFT(INDEX(FILTER(A$1:A1997, A$1:A1997&lt;&gt;""""),COUNTA(FILTER(A$1:A1997, A$1:A1997&lt;&gt;""""))), LEN(INDEX(FILTER(A$1:A1997, A$1:A1997&lt;&gt;""""),COUNTA(FILTER(A$1:A1997, A$1:A1997&lt;&gt;""""))))-1), IF('To Order'!$A1998=COL"&amp;"UMNS($A1998:A2017), A1997&amp;RIGHT(INDIRECT(ADDRESS(ROW(A1998)-1, 'From Order'!$A1998)), 1), A1997))"),"DSPBFLLWDDVQJPPSSTWZCSFHBBVRRJMGT")</f>
        <v>DSPBFLLWDDVQJPPSSTWZCSFHBBVRRJMGT</v>
      </c>
      <c r="B1998" s="2" t="str">
        <f>IFERROR(__xludf.DUMMYFUNCTION("IF('From Order'!$A1998=COLUMNS($A1998:B2017), LEFT(INDEX(FILTER(B$1:B1997, B$1:B1997&lt;&gt;""""),COUNTA(FILTER(B$1:B1997, B$1:B1997&lt;&gt;""""))), LEN(INDEX(FILTER(B$1:B1997, B$1:B1997&lt;&gt;""""),COUNTA(FILTER(B$1:B1997, B$1:B1997&lt;&gt;""""))))-1), IF('To Order'!$A1998=COL"&amp;"UMNS($A1998:B2017), B1997&amp;RIGHT(INDIRECT(ADDRESS(ROW(B1998)-1, 'From Order'!$A1998)), 1), B1997))"),"")</f>
        <v/>
      </c>
      <c r="C1998" s="2" t="str">
        <f>IFERROR(__xludf.DUMMYFUNCTION("IF('From Order'!$A1998=COLUMNS($A1998:C2017), LEFT(INDEX(FILTER(C$1:C1997, C$1:C1997&lt;&gt;""""),COUNTA(FILTER(C$1:C1997, C$1:C1997&lt;&gt;""""))), LEN(INDEX(FILTER(C$1:C1997, C$1:C1997&lt;&gt;""""),COUNTA(FILTER(C$1:C1997, C$1:C1997&lt;&gt;""""))))-1), IF('To Order'!$A1998=COL"&amp;"UMNS($A1998:C2017), C1997&amp;RIGHT(INDIRECT(ADDRESS(ROW(C1998)-1, 'From Order'!$A1998)), 1), C1997))"),"")</f>
        <v/>
      </c>
      <c r="D1998" s="2" t="str">
        <f>IFERROR(__xludf.DUMMYFUNCTION("IF('From Order'!$A1998=COLUMNS($A1998:D2017), LEFT(INDEX(FILTER(D$1:D1997, D$1:D1997&lt;&gt;""""),COUNTA(FILTER(D$1:D1997, D$1:D1997&lt;&gt;""""))), LEN(INDEX(FILTER(D$1:D1997, D$1:D1997&lt;&gt;""""),COUNTA(FILTER(D$1:D1997, D$1:D1997&lt;&gt;""""))))-1), IF('To Order'!$A1998=COL"&amp;"UMNS($A1998:D2017), D1997&amp;RIGHT(INDIRECT(ADDRESS(ROW(D1998)-1, 'From Order'!$A1998)), 1), D1997))"),"RBJC")</f>
        <v>RBJC</v>
      </c>
      <c r="E1998" s="2" t="str">
        <f>IFERROR(__xludf.DUMMYFUNCTION("IF('From Order'!$A1998=COLUMNS($A1998:E2017), LEFT(INDEX(FILTER(E$1:E1997, E$1:E1997&lt;&gt;""""),COUNTA(FILTER(E$1:E1997, E$1:E1997&lt;&gt;""""))), LEN(INDEX(FILTER(E$1:E1997, E$1:E1997&lt;&gt;""""),COUNTA(FILTER(E$1:E1997, E$1:E1997&lt;&gt;""""))))-1), IF('To Order'!$A1998=COL"&amp;"UMNS($A1998:E2017), E1997&amp;RIGHT(INDIRECT(ADDRESS(ROW(E1998)-1, 'From Order'!$A1998)), 1), E1997))"),"")</f>
        <v/>
      </c>
      <c r="F1998" s="2" t="str">
        <f>IFERROR(__xludf.DUMMYFUNCTION("IF('From Order'!$A1998=COLUMNS($A1998:F2017), LEFT(INDEX(FILTER(F$1:F1997, F$1:F1997&lt;&gt;""""),COUNTA(FILTER(F$1:F1997, F$1:F1997&lt;&gt;""""))), LEN(INDEX(FILTER(F$1:F1997, F$1:F1997&lt;&gt;""""),COUNTA(FILTER(F$1:F1997, F$1:F1997&lt;&gt;""""))))-1), IF('To Order'!$A1998=COL"&amp;"UMNS($A1998:F2017), F1997&amp;RIGHT(INDIRECT(ADDRESS(ROW(F1998)-1, 'From Order'!$A1998)), 1), F1997))"),"L")</f>
        <v>L</v>
      </c>
      <c r="G1998" s="2" t="str">
        <f>IFERROR(__xludf.DUMMYFUNCTION("IF('From Order'!$A1998=COLUMNS($A1998:G2017), LEFT(INDEX(FILTER(G$1:G1997, G$1:G1997&lt;&gt;""""),COUNTA(FILTER(G$1:G1997, G$1:G1997&lt;&gt;""""))), LEN(INDEX(FILTER(G$1:G1997, G$1:G1997&lt;&gt;""""),COUNTA(FILTER(G$1:G1997, G$1:G1997&lt;&gt;""""))))-1), IF('To Order'!$A1998=COL"&amp;"UMNS($A1998:G2017), G1997&amp;RIGHT(INDIRECT(ADDRESS(ROW(G1998)-1, 'From Order'!$A1998)), 1), G1997))"),"GR")</f>
        <v>GR</v>
      </c>
      <c r="H1998" s="2" t="str">
        <f>IFERROR(__xludf.DUMMYFUNCTION("IF('From Order'!$A1998=COLUMNS($A1998:H2017), LEFT(INDEX(FILTER(H$1:H1997, H$1:H1997&lt;&gt;""""),COUNTA(FILTER(H$1:H1997, H$1:H1997&lt;&gt;""""))), LEN(INDEX(FILTER(H$1:H1997, H$1:H1997&lt;&gt;""""),COUNTA(FILTER(H$1:H1997, H$1:H1997&lt;&gt;""""))))-1), IF('To Order'!$A1998=COL"&amp;"UMNS($A1998:H2017), H1997&amp;RIGHT(INDIRECT(ADDRESS(ROW(H1998)-1, 'From Order'!$A1998)), 1), H1997))"),"QTRTC")</f>
        <v>QTRTC</v>
      </c>
      <c r="I1998" s="2" t="str">
        <f>IFERROR(__xludf.DUMMYFUNCTION("IF('From Order'!$A1998=COLUMNS($A1998:I2017), LEFT(INDEX(FILTER(I$1:I1997, I$1:I1997&lt;&gt;""""),COUNTA(FILTER(I$1:I1997, I$1:I1997&lt;&gt;""""))), LEN(INDEX(FILTER(I$1:I1997, I$1:I1997&lt;&gt;""""),COUNTA(FILTER(I$1:I1997, I$1:I1997&lt;&gt;""""))))-1), IF('To Order'!$A1998=COL"&amp;"UMNS($A1998:I2017), I1997&amp;RIGHT(INDIRECT(ADDRESS(ROW(I1998)-1, 'From Order'!$A1998)), 1), I1997))"),"DVDTMZHZDMT")</f>
        <v>DVDTMZHZDMT</v>
      </c>
    </row>
    <row r="1999">
      <c r="A1999" s="2" t="str">
        <f>IFERROR(__xludf.DUMMYFUNCTION("IF('From Order'!$A1999=COLUMNS($A1999:A2018), LEFT(INDEX(FILTER(A$1:A1998, A$1:A1998&lt;&gt;""""),COUNTA(FILTER(A$1:A1998, A$1:A1998&lt;&gt;""""))), LEN(INDEX(FILTER(A$1:A1998, A$1:A1998&lt;&gt;""""),COUNTA(FILTER(A$1:A1998, A$1:A1998&lt;&gt;""""))))-1), IF('To Order'!$A1999=COL"&amp;"UMNS($A1999:A2018), A1998&amp;RIGHT(INDIRECT(ADDRESS(ROW(A1999)-1, 'From Order'!$A1999)), 1), A1998))"),"DSPBFLLWDDVQJPPSSTWZCSFHBBVRRJMGTT")</f>
        <v>DSPBFLLWDDVQJPPSSTWZCSFHBBVRRJMGTT</v>
      </c>
      <c r="B1999" s="2" t="str">
        <f>IFERROR(__xludf.DUMMYFUNCTION("IF('From Order'!$A1999=COLUMNS($A1999:B2018), LEFT(INDEX(FILTER(B$1:B1998, B$1:B1998&lt;&gt;""""),COUNTA(FILTER(B$1:B1998, B$1:B1998&lt;&gt;""""))), LEN(INDEX(FILTER(B$1:B1998, B$1:B1998&lt;&gt;""""),COUNTA(FILTER(B$1:B1998, B$1:B1998&lt;&gt;""""))))-1), IF('To Order'!$A1999=COL"&amp;"UMNS($A1999:B2018), B1998&amp;RIGHT(INDIRECT(ADDRESS(ROW(B1999)-1, 'From Order'!$A1999)), 1), B1998))"),"")</f>
        <v/>
      </c>
      <c r="C1999" s="2" t="str">
        <f>IFERROR(__xludf.DUMMYFUNCTION("IF('From Order'!$A1999=COLUMNS($A1999:C2018), LEFT(INDEX(FILTER(C$1:C1998, C$1:C1998&lt;&gt;""""),COUNTA(FILTER(C$1:C1998, C$1:C1998&lt;&gt;""""))), LEN(INDEX(FILTER(C$1:C1998, C$1:C1998&lt;&gt;""""),COUNTA(FILTER(C$1:C1998, C$1:C1998&lt;&gt;""""))))-1), IF('To Order'!$A1999=COL"&amp;"UMNS($A1999:C2018), C1998&amp;RIGHT(INDIRECT(ADDRESS(ROW(C1999)-1, 'From Order'!$A1999)), 1), C1998))"),"")</f>
        <v/>
      </c>
      <c r="D1999" s="2" t="str">
        <f>IFERROR(__xludf.DUMMYFUNCTION("IF('From Order'!$A1999=COLUMNS($A1999:D2018), LEFT(INDEX(FILTER(D$1:D1998, D$1:D1998&lt;&gt;""""),COUNTA(FILTER(D$1:D1998, D$1:D1998&lt;&gt;""""))), LEN(INDEX(FILTER(D$1:D1998, D$1:D1998&lt;&gt;""""),COUNTA(FILTER(D$1:D1998, D$1:D1998&lt;&gt;""""))))-1), IF('To Order'!$A1999=COL"&amp;"UMNS($A1999:D2018), D1998&amp;RIGHT(INDIRECT(ADDRESS(ROW(D1999)-1, 'From Order'!$A1999)), 1), D1998))"),"RBJC")</f>
        <v>RBJC</v>
      </c>
      <c r="E1999" s="2" t="str">
        <f>IFERROR(__xludf.DUMMYFUNCTION("IF('From Order'!$A1999=COLUMNS($A1999:E2018), LEFT(INDEX(FILTER(E$1:E1998, E$1:E1998&lt;&gt;""""),COUNTA(FILTER(E$1:E1998, E$1:E1998&lt;&gt;""""))), LEN(INDEX(FILTER(E$1:E1998, E$1:E1998&lt;&gt;""""),COUNTA(FILTER(E$1:E1998, E$1:E1998&lt;&gt;""""))))-1), IF('To Order'!$A1999=COL"&amp;"UMNS($A1999:E2018), E1998&amp;RIGHT(INDIRECT(ADDRESS(ROW(E1999)-1, 'From Order'!$A1999)), 1), E1998))"),"")</f>
        <v/>
      </c>
      <c r="F1999" s="2" t="str">
        <f>IFERROR(__xludf.DUMMYFUNCTION("IF('From Order'!$A1999=COLUMNS($A1999:F2018), LEFT(INDEX(FILTER(F$1:F1998, F$1:F1998&lt;&gt;""""),COUNTA(FILTER(F$1:F1998, F$1:F1998&lt;&gt;""""))), LEN(INDEX(FILTER(F$1:F1998, F$1:F1998&lt;&gt;""""),COUNTA(FILTER(F$1:F1998, F$1:F1998&lt;&gt;""""))))-1), IF('To Order'!$A1999=COL"&amp;"UMNS($A1999:F2018), F1998&amp;RIGHT(INDIRECT(ADDRESS(ROW(F1999)-1, 'From Order'!$A1999)), 1), F1998))"),"L")</f>
        <v>L</v>
      </c>
      <c r="G1999" s="2" t="str">
        <f>IFERROR(__xludf.DUMMYFUNCTION("IF('From Order'!$A1999=COLUMNS($A1999:G2018), LEFT(INDEX(FILTER(G$1:G1998, G$1:G1998&lt;&gt;""""),COUNTA(FILTER(G$1:G1998, G$1:G1998&lt;&gt;""""))), LEN(INDEX(FILTER(G$1:G1998, G$1:G1998&lt;&gt;""""),COUNTA(FILTER(G$1:G1998, G$1:G1998&lt;&gt;""""))))-1), IF('To Order'!$A1999=COL"&amp;"UMNS($A1999:G2018), G1998&amp;RIGHT(INDIRECT(ADDRESS(ROW(G1999)-1, 'From Order'!$A1999)), 1), G1998))"),"GR")</f>
        <v>GR</v>
      </c>
      <c r="H1999" s="2" t="str">
        <f>IFERROR(__xludf.DUMMYFUNCTION("IF('From Order'!$A1999=COLUMNS($A1999:H2018), LEFT(INDEX(FILTER(H$1:H1998, H$1:H1998&lt;&gt;""""),COUNTA(FILTER(H$1:H1998, H$1:H1998&lt;&gt;""""))), LEN(INDEX(FILTER(H$1:H1998, H$1:H1998&lt;&gt;""""),COUNTA(FILTER(H$1:H1998, H$1:H1998&lt;&gt;""""))))-1), IF('To Order'!$A1999=COL"&amp;"UMNS($A1999:H2018), H1998&amp;RIGHT(INDIRECT(ADDRESS(ROW(H1999)-1, 'From Order'!$A1999)), 1), H1998))"),"QTRTC")</f>
        <v>QTRTC</v>
      </c>
      <c r="I1999" s="2" t="str">
        <f>IFERROR(__xludf.DUMMYFUNCTION("IF('From Order'!$A1999=COLUMNS($A1999:I2018), LEFT(INDEX(FILTER(I$1:I1998, I$1:I1998&lt;&gt;""""),COUNTA(FILTER(I$1:I1998, I$1:I1998&lt;&gt;""""))), LEN(INDEX(FILTER(I$1:I1998, I$1:I1998&lt;&gt;""""),COUNTA(FILTER(I$1:I1998, I$1:I1998&lt;&gt;""""))))-1), IF('To Order'!$A1999=COL"&amp;"UMNS($A1999:I2018), I1998&amp;RIGHT(INDIRECT(ADDRESS(ROW(I1999)-1, 'From Order'!$A1999)), 1), I1998))"),"DVDTMZHZDM")</f>
        <v>DVDTMZHZDM</v>
      </c>
    </row>
    <row r="2000">
      <c r="A2000" s="2" t="str">
        <f>IFERROR(__xludf.DUMMYFUNCTION("IF('From Order'!$A2000=COLUMNS($A2000:A2019), LEFT(INDEX(FILTER(A$1:A1999, A$1:A1999&lt;&gt;""""),COUNTA(FILTER(A$1:A1999, A$1:A1999&lt;&gt;""""))), LEN(INDEX(FILTER(A$1:A1999, A$1:A1999&lt;&gt;""""),COUNTA(FILTER(A$1:A1999, A$1:A1999&lt;&gt;""""))))-1), IF('To Order'!$A2000=COL"&amp;"UMNS($A2000:A2019), A1999&amp;RIGHT(INDIRECT(ADDRESS(ROW(A2000)-1, 'From Order'!$A2000)), 1), A1999))"),"DSPBFLLWDDVQJPPSSTWZCSFHBBVRRJMGTTM")</f>
        <v>DSPBFLLWDDVQJPPSSTWZCSFHBBVRRJMGTTM</v>
      </c>
      <c r="B2000" s="2" t="str">
        <f>IFERROR(__xludf.DUMMYFUNCTION("IF('From Order'!$A2000=COLUMNS($A2000:B2019), LEFT(INDEX(FILTER(B$1:B1999, B$1:B1999&lt;&gt;""""),COUNTA(FILTER(B$1:B1999, B$1:B1999&lt;&gt;""""))), LEN(INDEX(FILTER(B$1:B1999, B$1:B1999&lt;&gt;""""),COUNTA(FILTER(B$1:B1999, B$1:B1999&lt;&gt;""""))))-1), IF('To Order'!$A2000=COL"&amp;"UMNS($A2000:B2019), B1999&amp;RIGHT(INDIRECT(ADDRESS(ROW(B2000)-1, 'From Order'!$A2000)), 1), B1999))"),"")</f>
        <v/>
      </c>
      <c r="C2000" s="2" t="str">
        <f>IFERROR(__xludf.DUMMYFUNCTION("IF('From Order'!$A2000=COLUMNS($A2000:C2019), LEFT(INDEX(FILTER(C$1:C1999, C$1:C1999&lt;&gt;""""),COUNTA(FILTER(C$1:C1999, C$1:C1999&lt;&gt;""""))), LEN(INDEX(FILTER(C$1:C1999, C$1:C1999&lt;&gt;""""),COUNTA(FILTER(C$1:C1999, C$1:C1999&lt;&gt;""""))))-1), IF('To Order'!$A2000=COL"&amp;"UMNS($A2000:C2019), C1999&amp;RIGHT(INDIRECT(ADDRESS(ROW(C2000)-1, 'From Order'!$A2000)), 1), C1999))"),"")</f>
        <v/>
      </c>
      <c r="D2000" s="2" t="str">
        <f>IFERROR(__xludf.DUMMYFUNCTION("IF('From Order'!$A2000=COLUMNS($A2000:D2019), LEFT(INDEX(FILTER(D$1:D1999, D$1:D1999&lt;&gt;""""),COUNTA(FILTER(D$1:D1999, D$1:D1999&lt;&gt;""""))), LEN(INDEX(FILTER(D$1:D1999, D$1:D1999&lt;&gt;""""),COUNTA(FILTER(D$1:D1999, D$1:D1999&lt;&gt;""""))))-1), IF('To Order'!$A2000=COL"&amp;"UMNS($A2000:D2019), D1999&amp;RIGHT(INDIRECT(ADDRESS(ROW(D2000)-1, 'From Order'!$A2000)), 1), D1999))"),"RBJC")</f>
        <v>RBJC</v>
      </c>
      <c r="E2000" s="2" t="str">
        <f>IFERROR(__xludf.DUMMYFUNCTION("IF('From Order'!$A2000=COLUMNS($A2000:E2019), LEFT(INDEX(FILTER(E$1:E1999, E$1:E1999&lt;&gt;""""),COUNTA(FILTER(E$1:E1999, E$1:E1999&lt;&gt;""""))), LEN(INDEX(FILTER(E$1:E1999, E$1:E1999&lt;&gt;""""),COUNTA(FILTER(E$1:E1999, E$1:E1999&lt;&gt;""""))))-1), IF('To Order'!$A2000=COL"&amp;"UMNS($A2000:E2019), E1999&amp;RIGHT(INDIRECT(ADDRESS(ROW(E2000)-1, 'From Order'!$A2000)), 1), E1999))"),"")</f>
        <v/>
      </c>
      <c r="F2000" s="2" t="str">
        <f>IFERROR(__xludf.DUMMYFUNCTION("IF('From Order'!$A2000=COLUMNS($A2000:F2019), LEFT(INDEX(FILTER(F$1:F1999, F$1:F1999&lt;&gt;""""),COUNTA(FILTER(F$1:F1999, F$1:F1999&lt;&gt;""""))), LEN(INDEX(FILTER(F$1:F1999, F$1:F1999&lt;&gt;""""),COUNTA(FILTER(F$1:F1999, F$1:F1999&lt;&gt;""""))))-1), IF('To Order'!$A2000=COL"&amp;"UMNS($A2000:F2019), F1999&amp;RIGHT(INDIRECT(ADDRESS(ROW(F2000)-1, 'From Order'!$A2000)), 1), F1999))"),"L")</f>
        <v>L</v>
      </c>
      <c r="G2000" s="2" t="str">
        <f>IFERROR(__xludf.DUMMYFUNCTION("IF('From Order'!$A2000=COLUMNS($A2000:G2019), LEFT(INDEX(FILTER(G$1:G1999, G$1:G1999&lt;&gt;""""),COUNTA(FILTER(G$1:G1999, G$1:G1999&lt;&gt;""""))), LEN(INDEX(FILTER(G$1:G1999, G$1:G1999&lt;&gt;""""),COUNTA(FILTER(G$1:G1999, G$1:G1999&lt;&gt;""""))))-1), IF('To Order'!$A2000=COL"&amp;"UMNS($A2000:G2019), G1999&amp;RIGHT(INDIRECT(ADDRESS(ROW(G2000)-1, 'From Order'!$A2000)), 1), G1999))"),"GR")</f>
        <v>GR</v>
      </c>
      <c r="H2000" s="2" t="str">
        <f>IFERROR(__xludf.DUMMYFUNCTION("IF('From Order'!$A2000=COLUMNS($A2000:H2019), LEFT(INDEX(FILTER(H$1:H1999, H$1:H1999&lt;&gt;""""),COUNTA(FILTER(H$1:H1999, H$1:H1999&lt;&gt;""""))), LEN(INDEX(FILTER(H$1:H1999, H$1:H1999&lt;&gt;""""),COUNTA(FILTER(H$1:H1999, H$1:H1999&lt;&gt;""""))))-1), IF('To Order'!$A2000=COL"&amp;"UMNS($A2000:H2019), H1999&amp;RIGHT(INDIRECT(ADDRESS(ROW(H2000)-1, 'From Order'!$A2000)), 1), H1999))"),"QTRTC")</f>
        <v>QTRTC</v>
      </c>
      <c r="I2000" s="2" t="str">
        <f>IFERROR(__xludf.DUMMYFUNCTION("IF('From Order'!$A2000=COLUMNS($A2000:I2019), LEFT(INDEX(FILTER(I$1:I1999, I$1:I1999&lt;&gt;""""),COUNTA(FILTER(I$1:I1999, I$1:I1999&lt;&gt;""""))), LEN(INDEX(FILTER(I$1:I1999, I$1:I1999&lt;&gt;""""),COUNTA(FILTER(I$1:I1999, I$1:I1999&lt;&gt;""""))))-1), IF('To Order'!$A2000=COL"&amp;"UMNS($A2000:I2019), I1999&amp;RIGHT(INDIRECT(ADDRESS(ROW(I2000)-1, 'From Order'!$A2000)), 1), I1999))"),"DVDTMZHZD")</f>
        <v>DVDTMZHZD</v>
      </c>
    </row>
    <row r="2001">
      <c r="A2001" s="2" t="str">
        <f>IFERROR(__xludf.DUMMYFUNCTION("IF('From Order'!$A2001=COLUMNS($A2001:A2020), LEFT(INDEX(FILTER(A$1:A2000, A$1:A2000&lt;&gt;""""),COUNTA(FILTER(A$1:A2000, A$1:A2000&lt;&gt;""""))), LEN(INDEX(FILTER(A$1:A2000, A$1:A2000&lt;&gt;""""),COUNTA(FILTER(A$1:A2000, A$1:A2000&lt;&gt;""""))))-1), IF('To Order'!$A2001=COL"&amp;"UMNS($A2001:A2020), A2000&amp;RIGHT(INDIRECT(ADDRESS(ROW(A2001)-1, 'From Order'!$A2001)), 1), A2000))"),"DSPBFLLWDDVQJPPSSTWZCSFHBBVRRJMGTTMD")</f>
        <v>DSPBFLLWDDVQJPPSSTWZCSFHBBVRRJMGTTMD</v>
      </c>
      <c r="B2001" s="2" t="str">
        <f>IFERROR(__xludf.DUMMYFUNCTION("IF('From Order'!$A2001=COLUMNS($A2001:B2020), LEFT(INDEX(FILTER(B$1:B2000, B$1:B2000&lt;&gt;""""),COUNTA(FILTER(B$1:B2000, B$1:B2000&lt;&gt;""""))), LEN(INDEX(FILTER(B$1:B2000, B$1:B2000&lt;&gt;""""),COUNTA(FILTER(B$1:B2000, B$1:B2000&lt;&gt;""""))))-1), IF('To Order'!$A2001=COL"&amp;"UMNS($A2001:B2020), B2000&amp;RIGHT(INDIRECT(ADDRESS(ROW(B2001)-1, 'From Order'!$A2001)), 1), B2000))"),"")</f>
        <v/>
      </c>
      <c r="C2001" s="2" t="str">
        <f>IFERROR(__xludf.DUMMYFUNCTION("IF('From Order'!$A2001=COLUMNS($A2001:C2020), LEFT(INDEX(FILTER(C$1:C2000, C$1:C2000&lt;&gt;""""),COUNTA(FILTER(C$1:C2000, C$1:C2000&lt;&gt;""""))), LEN(INDEX(FILTER(C$1:C2000, C$1:C2000&lt;&gt;""""),COUNTA(FILTER(C$1:C2000, C$1:C2000&lt;&gt;""""))))-1), IF('To Order'!$A2001=COL"&amp;"UMNS($A2001:C2020), C2000&amp;RIGHT(INDIRECT(ADDRESS(ROW(C2001)-1, 'From Order'!$A2001)), 1), C2000))"),"")</f>
        <v/>
      </c>
      <c r="D2001" s="2" t="str">
        <f>IFERROR(__xludf.DUMMYFUNCTION("IF('From Order'!$A2001=COLUMNS($A2001:D2020), LEFT(INDEX(FILTER(D$1:D2000, D$1:D2000&lt;&gt;""""),COUNTA(FILTER(D$1:D2000, D$1:D2000&lt;&gt;""""))), LEN(INDEX(FILTER(D$1:D2000, D$1:D2000&lt;&gt;""""),COUNTA(FILTER(D$1:D2000, D$1:D2000&lt;&gt;""""))))-1), IF('To Order'!$A2001=COL"&amp;"UMNS($A2001:D2020), D2000&amp;RIGHT(INDIRECT(ADDRESS(ROW(D2001)-1, 'From Order'!$A2001)), 1), D2000))"),"RBJC")</f>
        <v>RBJC</v>
      </c>
      <c r="E2001" s="2" t="str">
        <f>IFERROR(__xludf.DUMMYFUNCTION("IF('From Order'!$A2001=COLUMNS($A2001:E2020), LEFT(INDEX(FILTER(E$1:E2000, E$1:E2000&lt;&gt;""""),COUNTA(FILTER(E$1:E2000, E$1:E2000&lt;&gt;""""))), LEN(INDEX(FILTER(E$1:E2000, E$1:E2000&lt;&gt;""""),COUNTA(FILTER(E$1:E2000, E$1:E2000&lt;&gt;""""))))-1), IF('To Order'!$A2001=COL"&amp;"UMNS($A2001:E2020), E2000&amp;RIGHT(INDIRECT(ADDRESS(ROW(E2001)-1, 'From Order'!$A2001)), 1), E2000))"),"")</f>
        <v/>
      </c>
      <c r="F2001" s="2" t="str">
        <f>IFERROR(__xludf.DUMMYFUNCTION("IF('From Order'!$A2001=COLUMNS($A2001:F2020), LEFT(INDEX(FILTER(F$1:F2000, F$1:F2000&lt;&gt;""""),COUNTA(FILTER(F$1:F2000, F$1:F2000&lt;&gt;""""))), LEN(INDEX(FILTER(F$1:F2000, F$1:F2000&lt;&gt;""""),COUNTA(FILTER(F$1:F2000, F$1:F2000&lt;&gt;""""))))-1), IF('To Order'!$A2001=COL"&amp;"UMNS($A2001:F2020), F2000&amp;RIGHT(INDIRECT(ADDRESS(ROW(F2001)-1, 'From Order'!$A2001)), 1), F2000))"),"L")</f>
        <v>L</v>
      </c>
      <c r="G2001" s="2" t="str">
        <f>IFERROR(__xludf.DUMMYFUNCTION("IF('From Order'!$A2001=COLUMNS($A2001:G2020), LEFT(INDEX(FILTER(G$1:G2000, G$1:G2000&lt;&gt;""""),COUNTA(FILTER(G$1:G2000, G$1:G2000&lt;&gt;""""))), LEN(INDEX(FILTER(G$1:G2000, G$1:G2000&lt;&gt;""""),COUNTA(FILTER(G$1:G2000, G$1:G2000&lt;&gt;""""))))-1), IF('To Order'!$A2001=COL"&amp;"UMNS($A2001:G2020), G2000&amp;RIGHT(INDIRECT(ADDRESS(ROW(G2001)-1, 'From Order'!$A2001)), 1), G2000))"),"GR")</f>
        <v>GR</v>
      </c>
      <c r="H2001" s="2" t="str">
        <f>IFERROR(__xludf.DUMMYFUNCTION("IF('From Order'!$A2001=COLUMNS($A2001:H2020), LEFT(INDEX(FILTER(H$1:H2000, H$1:H2000&lt;&gt;""""),COUNTA(FILTER(H$1:H2000, H$1:H2000&lt;&gt;""""))), LEN(INDEX(FILTER(H$1:H2000, H$1:H2000&lt;&gt;""""),COUNTA(FILTER(H$1:H2000, H$1:H2000&lt;&gt;""""))))-1), IF('To Order'!$A2001=COL"&amp;"UMNS($A2001:H2020), H2000&amp;RIGHT(INDIRECT(ADDRESS(ROW(H2001)-1, 'From Order'!$A2001)), 1), H2000))"),"QTRTC")</f>
        <v>QTRTC</v>
      </c>
      <c r="I2001" s="2" t="str">
        <f>IFERROR(__xludf.DUMMYFUNCTION("IF('From Order'!$A2001=COLUMNS($A2001:I2020), LEFT(INDEX(FILTER(I$1:I2000, I$1:I2000&lt;&gt;""""),COUNTA(FILTER(I$1:I2000, I$1:I2000&lt;&gt;""""))), LEN(INDEX(FILTER(I$1:I2000, I$1:I2000&lt;&gt;""""),COUNTA(FILTER(I$1:I2000, I$1:I2000&lt;&gt;""""))))-1), IF('To Order'!$A2001=COL"&amp;"UMNS($A2001:I2020), I2000&amp;RIGHT(INDIRECT(ADDRESS(ROW(I2001)-1, 'From Order'!$A2001)), 1), I2000))"),"DVDTMZHZ")</f>
        <v>DVDTMZHZ</v>
      </c>
    </row>
    <row r="2002">
      <c r="A2002" s="2" t="str">
        <f>IFERROR(__xludf.DUMMYFUNCTION("IF('From Order'!$A2002=COLUMNS($A2002:A2021), LEFT(INDEX(FILTER(A$1:A2001, A$1:A2001&lt;&gt;""""),COUNTA(FILTER(A$1:A2001, A$1:A2001&lt;&gt;""""))), LEN(INDEX(FILTER(A$1:A2001, A$1:A2001&lt;&gt;""""),COUNTA(FILTER(A$1:A2001, A$1:A2001&lt;&gt;""""))))-1), IF('To Order'!$A2002=COL"&amp;"UMNS($A2002:A2021), A2001&amp;RIGHT(INDIRECT(ADDRESS(ROW(A2002)-1, 'From Order'!$A2002)), 1), A2001))"),"DSPBFLLWDDVQJPPSSTWZCSFHBBVRRJMGTTMDZ")</f>
        <v>DSPBFLLWDDVQJPPSSTWZCSFHBBVRRJMGTTMDZ</v>
      </c>
      <c r="B2002" s="2" t="str">
        <f>IFERROR(__xludf.DUMMYFUNCTION("IF('From Order'!$A2002=COLUMNS($A2002:B2021), LEFT(INDEX(FILTER(B$1:B2001, B$1:B2001&lt;&gt;""""),COUNTA(FILTER(B$1:B2001, B$1:B2001&lt;&gt;""""))), LEN(INDEX(FILTER(B$1:B2001, B$1:B2001&lt;&gt;""""),COUNTA(FILTER(B$1:B2001, B$1:B2001&lt;&gt;""""))))-1), IF('To Order'!$A2002=COL"&amp;"UMNS($A2002:B2021), B2001&amp;RIGHT(INDIRECT(ADDRESS(ROW(B2002)-1, 'From Order'!$A2002)), 1), B2001))"),"")</f>
        <v/>
      </c>
      <c r="C2002" s="2" t="str">
        <f>IFERROR(__xludf.DUMMYFUNCTION("IF('From Order'!$A2002=COLUMNS($A2002:C2021), LEFT(INDEX(FILTER(C$1:C2001, C$1:C2001&lt;&gt;""""),COUNTA(FILTER(C$1:C2001, C$1:C2001&lt;&gt;""""))), LEN(INDEX(FILTER(C$1:C2001, C$1:C2001&lt;&gt;""""),COUNTA(FILTER(C$1:C2001, C$1:C2001&lt;&gt;""""))))-1), IF('To Order'!$A2002=COL"&amp;"UMNS($A2002:C2021), C2001&amp;RIGHT(INDIRECT(ADDRESS(ROW(C2002)-1, 'From Order'!$A2002)), 1), C2001))"),"")</f>
        <v/>
      </c>
      <c r="D2002" s="2" t="str">
        <f>IFERROR(__xludf.DUMMYFUNCTION("IF('From Order'!$A2002=COLUMNS($A2002:D2021), LEFT(INDEX(FILTER(D$1:D2001, D$1:D2001&lt;&gt;""""),COUNTA(FILTER(D$1:D2001, D$1:D2001&lt;&gt;""""))), LEN(INDEX(FILTER(D$1:D2001, D$1:D2001&lt;&gt;""""),COUNTA(FILTER(D$1:D2001, D$1:D2001&lt;&gt;""""))))-1), IF('To Order'!$A2002=COL"&amp;"UMNS($A2002:D2021), D2001&amp;RIGHT(INDIRECT(ADDRESS(ROW(D2002)-1, 'From Order'!$A2002)), 1), D2001))"),"RBJC")</f>
        <v>RBJC</v>
      </c>
      <c r="E2002" s="2" t="str">
        <f>IFERROR(__xludf.DUMMYFUNCTION("IF('From Order'!$A2002=COLUMNS($A2002:E2021), LEFT(INDEX(FILTER(E$1:E2001, E$1:E2001&lt;&gt;""""),COUNTA(FILTER(E$1:E2001, E$1:E2001&lt;&gt;""""))), LEN(INDEX(FILTER(E$1:E2001, E$1:E2001&lt;&gt;""""),COUNTA(FILTER(E$1:E2001, E$1:E2001&lt;&gt;""""))))-1), IF('To Order'!$A2002=COL"&amp;"UMNS($A2002:E2021), E2001&amp;RIGHT(INDIRECT(ADDRESS(ROW(E2002)-1, 'From Order'!$A2002)), 1), E2001))"),"")</f>
        <v/>
      </c>
      <c r="F2002" s="2" t="str">
        <f>IFERROR(__xludf.DUMMYFUNCTION("IF('From Order'!$A2002=COLUMNS($A2002:F2021), LEFT(INDEX(FILTER(F$1:F2001, F$1:F2001&lt;&gt;""""),COUNTA(FILTER(F$1:F2001, F$1:F2001&lt;&gt;""""))), LEN(INDEX(FILTER(F$1:F2001, F$1:F2001&lt;&gt;""""),COUNTA(FILTER(F$1:F2001, F$1:F2001&lt;&gt;""""))))-1), IF('To Order'!$A2002=COL"&amp;"UMNS($A2002:F2021), F2001&amp;RIGHT(INDIRECT(ADDRESS(ROW(F2002)-1, 'From Order'!$A2002)), 1), F2001))"),"L")</f>
        <v>L</v>
      </c>
      <c r="G2002" s="2" t="str">
        <f>IFERROR(__xludf.DUMMYFUNCTION("IF('From Order'!$A2002=COLUMNS($A2002:G2021), LEFT(INDEX(FILTER(G$1:G2001, G$1:G2001&lt;&gt;""""),COUNTA(FILTER(G$1:G2001, G$1:G2001&lt;&gt;""""))), LEN(INDEX(FILTER(G$1:G2001, G$1:G2001&lt;&gt;""""),COUNTA(FILTER(G$1:G2001, G$1:G2001&lt;&gt;""""))))-1), IF('To Order'!$A2002=COL"&amp;"UMNS($A2002:G2021), G2001&amp;RIGHT(INDIRECT(ADDRESS(ROW(G2002)-1, 'From Order'!$A2002)), 1), G2001))"),"GR")</f>
        <v>GR</v>
      </c>
      <c r="H2002" s="2" t="str">
        <f>IFERROR(__xludf.DUMMYFUNCTION("IF('From Order'!$A2002=COLUMNS($A2002:H2021), LEFT(INDEX(FILTER(H$1:H2001, H$1:H2001&lt;&gt;""""),COUNTA(FILTER(H$1:H2001, H$1:H2001&lt;&gt;""""))), LEN(INDEX(FILTER(H$1:H2001, H$1:H2001&lt;&gt;""""),COUNTA(FILTER(H$1:H2001, H$1:H2001&lt;&gt;""""))))-1), IF('To Order'!$A2002=COL"&amp;"UMNS($A2002:H2021), H2001&amp;RIGHT(INDIRECT(ADDRESS(ROW(H2002)-1, 'From Order'!$A2002)), 1), H2001))"),"QTRTC")</f>
        <v>QTRTC</v>
      </c>
      <c r="I2002" s="2" t="str">
        <f>IFERROR(__xludf.DUMMYFUNCTION("IF('From Order'!$A2002=COLUMNS($A2002:I2021), LEFT(INDEX(FILTER(I$1:I2001, I$1:I2001&lt;&gt;""""),COUNTA(FILTER(I$1:I2001, I$1:I2001&lt;&gt;""""))), LEN(INDEX(FILTER(I$1:I2001, I$1:I2001&lt;&gt;""""),COUNTA(FILTER(I$1:I2001, I$1:I2001&lt;&gt;""""))))-1), IF('To Order'!$A2002=COL"&amp;"UMNS($A2002:I2021), I2001&amp;RIGHT(INDIRECT(ADDRESS(ROW(I2002)-1, 'From Order'!$A2002)), 1), I2001))"),"DVDTMZH")</f>
        <v>DVDTMZH</v>
      </c>
    </row>
    <row r="2003">
      <c r="A2003" s="2" t="str">
        <f>IFERROR(__xludf.DUMMYFUNCTION("IF('From Order'!$A2003=COLUMNS($A2003:A2022), LEFT(INDEX(FILTER(A$1:A2002, A$1:A2002&lt;&gt;""""),COUNTA(FILTER(A$1:A2002, A$1:A2002&lt;&gt;""""))), LEN(INDEX(FILTER(A$1:A2002, A$1:A2002&lt;&gt;""""),COUNTA(FILTER(A$1:A2002, A$1:A2002&lt;&gt;""""))))-1), IF('To Order'!$A2003=COL"&amp;"UMNS($A2003:A2022), A2002&amp;RIGHT(INDIRECT(ADDRESS(ROW(A2003)-1, 'From Order'!$A2003)), 1), A2002))"),"DSPBFLLWDDVQJPPSSTWZCSFHBBVRRJMGTTMDZH")</f>
        <v>DSPBFLLWDDVQJPPSSTWZCSFHBBVRRJMGTTMDZH</v>
      </c>
      <c r="B2003" s="2" t="str">
        <f>IFERROR(__xludf.DUMMYFUNCTION("IF('From Order'!$A2003=COLUMNS($A2003:B2022), LEFT(INDEX(FILTER(B$1:B2002, B$1:B2002&lt;&gt;""""),COUNTA(FILTER(B$1:B2002, B$1:B2002&lt;&gt;""""))), LEN(INDEX(FILTER(B$1:B2002, B$1:B2002&lt;&gt;""""),COUNTA(FILTER(B$1:B2002, B$1:B2002&lt;&gt;""""))))-1), IF('To Order'!$A2003=COL"&amp;"UMNS($A2003:B2022), B2002&amp;RIGHT(INDIRECT(ADDRESS(ROW(B2003)-1, 'From Order'!$A2003)), 1), B2002))"),"")</f>
        <v/>
      </c>
      <c r="C2003" s="2" t="str">
        <f>IFERROR(__xludf.DUMMYFUNCTION("IF('From Order'!$A2003=COLUMNS($A2003:C2022), LEFT(INDEX(FILTER(C$1:C2002, C$1:C2002&lt;&gt;""""),COUNTA(FILTER(C$1:C2002, C$1:C2002&lt;&gt;""""))), LEN(INDEX(FILTER(C$1:C2002, C$1:C2002&lt;&gt;""""),COUNTA(FILTER(C$1:C2002, C$1:C2002&lt;&gt;""""))))-1), IF('To Order'!$A2003=COL"&amp;"UMNS($A2003:C2022), C2002&amp;RIGHT(INDIRECT(ADDRESS(ROW(C2003)-1, 'From Order'!$A2003)), 1), C2002))"),"")</f>
        <v/>
      </c>
      <c r="D2003" s="2" t="str">
        <f>IFERROR(__xludf.DUMMYFUNCTION("IF('From Order'!$A2003=COLUMNS($A2003:D2022), LEFT(INDEX(FILTER(D$1:D2002, D$1:D2002&lt;&gt;""""),COUNTA(FILTER(D$1:D2002, D$1:D2002&lt;&gt;""""))), LEN(INDEX(FILTER(D$1:D2002, D$1:D2002&lt;&gt;""""),COUNTA(FILTER(D$1:D2002, D$1:D2002&lt;&gt;""""))))-1), IF('To Order'!$A2003=COL"&amp;"UMNS($A2003:D2022), D2002&amp;RIGHT(INDIRECT(ADDRESS(ROW(D2003)-1, 'From Order'!$A2003)), 1), D2002))"),"RBJC")</f>
        <v>RBJC</v>
      </c>
      <c r="E2003" s="2" t="str">
        <f>IFERROR(__xludf.DUMMYFUNCTION("IF('From Order'!$A2003=COLUMNS($A2003:E2022), LEFT(INDEX(FILTER(E$1:E2002, E$1:E2002&lt;&gt;""""),COUNTA(FILTER(E$1:E2002, E$1:E2002&lt;&gt;""""))), LEN(INDEX(FILTER(E$1:E2002, E$1:E2002&lt;&gt;""""),COUNTA(FILTER(E$1:E2002, E$1:E2002&lt;&gt;""""))))-1), IF('To Order'!$A2003=COL"&amp;"UMNS($A2003:E2022), E2002&amp;RIGHT(INDIRECT(ADDRESS(ROW(E2003)-1, 'From Order'!$A2003)), 1), E2002))"),"")</f>
        <v/>
      </c>
      <c r="F2003" s="2" t="str">
        <f>IFERROR(__xludf.DUMMYFUNCTION("IF('From Order'!$A2003=COLUMNS($A2003:F2022), LEFT(INDEX(FILTER(F$1:F2002, F$1:F2002&lt;&gt;""""),COUNTA(FILTER(F$1:F2002, F$1:F2002&lt;&gt;""""))), LEN(INDEX(FILTER(F$1:F2002, F$1:F2002&lt;&gt;""""),COUNTA(FILTER(F$1:F2002, F$1:F2002&lt;&gt;""""))))-1), IF('To Order'!$A2003=COL"&amp;"UMNS($A2003:F2022), F2002&amp;RIGHT(INDIRECT(ADDRESS(ROW(F2003)-1, 'From Order'!$A2003)), 1), F2002))"),"L")</f>
        <v>L</v>
      </c>
      <c r="G2003" s="2" t="str">
        <f>IFERROR(__xludf.DUMMYFUNCTION("IF('From Order'!$A2003=COLUMNS($A2003:G2022), LEFT(INDEX(FILTER(G$1:G2002, G$1:G2002&lt;&gt;""""),COUNTA(FILTER(G$1:G2002, G$1:G2002&lt;&gt;""""))), LEN(INDEX(FILTER(G$1:G2002, G$1:G2002&lt;&gt;""""),COUNTA(FILTER(G$1:G2002, G$1:G2002&lt;&gt;""""))))-1), IF('To Order'!$A2003=COL"&amp;"UMNS($A2003:G2022), G2002&amp;RIGHT(INDIRECT(ADDRESS(ROW(G2003)-1, 'From Order'!$A2003)), 1), G2002))"),"GR")</f>
        <v>GR</v>
      </c>
      <c r="H2003" s="2" t="str">
        <f>IFERROR(__xludf.DUMMYFUNCTION("IF('From Order'!$A2003=COLUMNS($A2003:H2022), LEFT(INDEX(FILTER(H$1:H2002, H$1:H2002&lt;&gt;""""),COUNTA(FILTER(H$1:H2002, H$1:H2002&lt;&gt;""""))), LEN(INDEX(FILTER(H$1:H2002, H$1:H2002&lt;&gt;""""),COUNTA(FILTER(H$1:H2002, H$1:H2002&lt;&gt;""""))))-1), IF('To Order'!$A2003=COL"&amp;"UMNS($A2003:H2022), H2002&amp;RIGHT(INDIRECT(ADDRESS(ROW(H2003)-1, 'From Order'!$A2003)), 1), H2002))"),"QTRTC")</f>
        <v>QTRTC</v>
      </c>
      <c r="I2003" s="2" t="str">
        <f>IFERROR(__xludf.DUMMYFUNCTION("IF('From Order'!$A2003=COLUMNS($A2003:I2022), LEFT(INDEX(FILTER(I$1:I2002, I$1:I2002&lt;&gt;""""),COUNTA(FILTER(I$1:I2002, I$1:I2002&lt;&gt;""""))), LEN(INDEX(FILTER(I$1:I2002, I$1:I2002&lt;&gt;""""),COUNTA(FILTER(I$1:I2002, I$1:I2002&lt;&gt;""""))))-1), IF('To Order'!$A2003=COL"&amp;"UMNS($A2003:I2022), I2002&amp;RIGHT(INDIRECT(ADDRESS(ROW(I2003)-1, 'From Order'!$A2003)), 1), I2002))"),"DVDTMZ")</f>
        <v>DVDTMZ</v>
      </c>
    </row>
    <row r="2004">
      <c r="A2004" s="2" t="str">
        <f>IFERROR(__xludf.DUMMYFUNCTION("IF('From Order'!$A2004=COLUMNS($A2004:A2023), LEFT(INDEX(FILTER(A$1:A2003, A$1:A2003&lt;&gt;""""),COUNTA(FILTER(A$1:A2003, A$1:A2003&lt;&gt;""""))), LEN(INDEX(FILTER(A$1:A2003, A$1:A2003&lt;&gt;""""),COUNTA(FILTER(A$1:A2003, A$1:A2003&lt;&gt;""""))))-1), IF('To Order'!$A2004=COL"&amp;"UMNS($A2004:A2023), A2003&amp;RIGHT(INDIRECT(ADDRESS(ROW(A2004)-1, 'From Order'!$A2004)), 1), A2003))"),"DSPBFLLWDDVQJPPSSTWZCSFHBBVRRJMGTTMDZHZ")</f>
        <v>DSPBFLLWDDVQJPPSSTWZCSFHBBVRRJMGTTMDZHZ</v>
      </c>
      <c r="B2004" s="2" t="str">
        <f>IFERROR(__xludf.DUMMYFUNCTION("IF('From Order'!$A2004=COLUMNS($A2004:B2023), LEFT(INDEX(FILTER(B$1:B2003, B$1:B2003&lt;&gt;""""),COUNTA(FILTER(B$1:B2003, B$1:B2003&lt;&gt;""""))), LEN(INDEX(FILTER(B$1:B2003, B$1:B2003&lt;&gt;""""),COUNTA(FILTER(B$1:B2003, B$1:B2003&lt;&gt;""""))))-1), IF('To Order'!$A2004=COL"&amp;"UMNS($A2004:B2023), B2003&amp;RIGHT(INDIRECT(ADDRESS(ROW(B2004)-1, 'From Order'!$A2004)), 1), B2003))"),"")</f>
        <v/>
      </c>
      <c r="C2004" s="2" t="str">
        <f>IFERROR(__xludf.DUMMYFUNCTION("IF('From Order'!$A2004=COLUMNS($A2004:C2023), LEFT(INDEX(FILTER(C$1:C2003, C$1:C2003&lt;&gt;""""),COUNTA(FILTER(C$1:C2003, C$1:C2003&lt;&gt;""""))), LEN(INDEX(FILTER(C$1:C2003, C$1:C2003&lt;&gt;""""),COUNTA(FILTER(C$1:C2003, C$1:C2003&lt;&gt;""""))))-1), IF('To Order'!$A2004=COL"&amp;"UMNS($A2004:C2023), C2003&amp;RIGHT(INDIRECT(ADDRESS(ROW(C2004)-1, 'From Order'!$A2004)), 1), C2003))"),"")</f>
        <v/>
      </c>
      <c r="D2004" s="2" t="str">
        <f>IFERROR(__xludf.DUMMYFUNCTION("IF('From Order'!$A2004=COLUMNS($A2004:D2023), LEFT(INDEX(FILTER(D$1:D2003, D$1:D2003&lt;&gt;""""),COUNTA(FILTER(D$1:D2003, D$1:D2003&lt;&gt;""""))), LEN(INDEX(FILTER(D$1:D2003, D$1:D2003&lt;&gt;""""),COUNTA(FILTER(D$1:D2003, D$1:D2003&lt;&gt;""""))))-1), IF('To Order'!$A2004=COL"&amp;"UMNS($A2004:D2023), D2003&amp;RIGHT(INDIRECT(ADDRESS(ROW(D2004)-1, 'From Order'!$A2004)), 1), D2003))"),"RBJC")</f>
        <v>RBJC</v>
      </c>
      <c r="E2004" s="2" t="str">
        <f>IFERROR(__xludf.DUMMYFUNCTION("IF('From Order'!$A2004=COLUMNS($A2004:E2023), LEFT(INDEX(FILTER(E$1:E2003, E$1:E2003&lt;&gt;""""),COUNTA(FILTER(E$1:E2003, E$1:E2003&lt;&gt;""""))), LEN(INDEX(FILTER(E$1:E2003, E$1:E2003&lt;&gt;""""),COUNTA(FILTER(E$1:E2003, E$1:E2003&lt;&gt;""""))))-1), IF('To Order'!$A2004=COL"&amp;"UMNS($A2004:E2023), E2003&amp;RIGHT(INDIRECT(ADDRESS(ROW(E2004)-1, 'From Order'!$A2004)), 1), E2003))"),"")</f>
        <v/>
      </c>
      <c r="F2004" s="2" t="str">
        <f>IFERROR(__xludf.DUMMYFUNCTION("IF('From Order'!$A2004=COLUMNS($A2004:F2023), LEFT(INDEX(FILTER(F$1:F2003, F$1:F2003&lt;&gt;""""),COUNTA(FILTER(F$1:F2003, F$1:F2003&lt;&gt;""""))), LEN(INDEX(FILTER(F$1:F2003, F$1:F2003&lt;&gt;""""),COUNTA(FILTER(F$1:F2003, F$1:F2003&lt;&gt;""""))))-1), IF('To Order'!$A2004=COL"&amp;"UMNS($A2004:F2023), F2003&amp;RIGHT(INDIRECT(ADDRESS(ROW(F2004)-1, 'From Order'!$A2004)), 1), F2003))"),"L")</f>
        <v>L</v>
      </c>
      <c r="G2004" s="2" t="str">
        <f>IFERROR(__xludf.DUMMYFUNCTION("IF('From Order'!$A2004=COLUMNS($A2004:G2023), LEFT(INDEX(FILTER(G$1:G2003, G$1:G2003&lt;&gt;""""),COUNTA(FILTER(G$1:G2003, G$1:G2003&lt;&gt;""""))), LEN(INDEX(FILTER(G$1:G2003, G$1:G2003&lt;&gt;""""),COUNTA(FILTER(G$1:G2003, G$1:G2003&lt;&gt;""""))))-1), IF('To Order'!$A2004=COL"&amp;"UMNS($A2004:G2023), G2003&amp;RIGHT(INDIRECT(ADDRESS(ROW(G2004)-1, 'From Order'!$A2004)), 1), G2003))"),"GR")</f>
        <v>GR</v>
      </c>
      <c r="H2004" s="2" t="str">
        <f>IFERROR(__xludf.DUMMYFUNCTION("IF('From Order'!$A2004=COLUMNS($A2004:H2023), LEFT(INDEX(FILTER(H$1:H2003, H$1:H2003&lt;&gt;""""),COUNTA(FILTER(H$1:H2003, H$1:H2003&lt;&gt;""""))), LEN(INDEX(FILTER(H$1:H2003, H$1:H2003&lt;&gt;""""),COUNTA(FILTER(H$1:H2003, H$1:H2003&lt;&gt;""""))))-1), IF('To Order'!$A2004=COL"&amp;"UMNS($A2004:H2023), H2003&amp;RIGHT(INDIRECT(ADDRESS(ROW(H2004)-1, 'From Order'!$A2004)), 1), H2003))"),"QTRTC")</f>
        <v>QTRTC</v>
      </c>
      <c r="I2004" s="2" t="str">
        <f>IFERROR(__xludf.DUMMYFUNCTION("IF('From Order'!$A2004=COLUMNS($A2004:I2023), LEFT(INDEX(FILTER(I$1:I2003, I$1:I2003&lt;&gt;""""),COUNTA(FILTER(I$1:I2003, I$1:I2003&lt;&gt;""""))), LEN(INDEX(FILTER(I$1:I2003, I$1:I2003&lt;&gt;""""),COUNTA(FILTER(I$1:I2003, I$1:I2003&lt;&gt;""""))))-1), IF('To Order'!$A2004=COL"&amp;"UMNS($A2004:I2023), I2003&amp;RIGHT(INDIRECT(ADDRESS(ROW(I2004)-1, 'From Order'!$A2004)), 1), I2003))"),"DVDTM")</f>
        <v>DVDTM</v>
      </c>
    </row>
    <row r="2005">
      <c r="A2005" s="2" t="str">
        <f>IFERROR(__xludf.DUMMYFUNCTION("IF('From Order'!$A2005=COLUMNS($A2005:A2024), LEFT(INDEX(FILTER(A$1:A2004, A$1:A2004&lt;&gt;""""),COUNTA(FILTER(A$1:A2004, A$1:A2004&lt;&gt;""""))), LEN(INDEX(FILTER(A$1:A2004, A$1:A2004&lt;&gt;""""),COUNTA(FILTER(A$1:A2004, A$1:A2004&lt;&gt;""""))))-1), IF('To Order'!$A2005=COL"&amp;"UMNS($A2005:A2024), A2004&amp;RIGHT(INDIRECT(ADDRESS(ROW(A2005)-1, 'From Order'!$A2005)), 1), A2004))"),"DSPBFLLWDDVQJPPSSTWZCSFHBBVRRJMGTTMDZHZM")</f>
        <v>DSPBFLLWDDVQJPPSSTWZCSFHBBVRRJMGTTMDZHZM</v>
      </c>
      <c r="B2005" s="2" t="str">
        <f>IFERROR(__xludf.DUMMYFUNCTION("IF('From Order'!$A2005=COLUMNS($A2005:B2024), LEFT(INDEX(FILTER(B$1:B2004, B$1:B2004&lt;&gt;""""),COUNTA(FILTER(B$1:B2004, B$1:B2004&lt;&gt;""""))), LEN(INDEX(FILTER(B$1:B2004, B$1:B2004&lt;&gt;""""),COUNTA(FILTER(B$1:B2004, B$1:B2004&lt;&gt;""""))))-1), IF('To Order'!$A2005=COL"&amp;"UMNS($A2005:B2024), B2004&amp;RIGHT(INDIRECT(ADDRESS(ROW(B2005)-1, 'From Order'!$A2005)), 1), B2004))"),"")</f>
        <v/>
      </c>
      <c r="C2005" s="2" t="str">
        <f>IFERROR(__xludf.DUMMYFUNCTION("IF('From Order'!$A2005=COLUMNS($A2005:C2024), LEFT(INDEX(FILTER(C$1:C2004, C$1:C2004&lt;&gt;""""),COUNTA(FILTER(C$1:C2004, C$1:C2004&lt;&gt;""""))), LEN(INDEX(FILTER(C$1:C2004, C$1:C2004&lt;&gt;""""),COUNTA(FILTER(C$1:C2004, C$1:C2004&lt;&gt;""""))))-1), IF('To Order'!$A2005=COL"&amp;"UMNS($A2005:C2024), C2004&amp;RIGHT(INDIRECT(ADDRESS(ROW(C2005)-1, 'From Order'!$A2005)), 1), C2004))"),"")</f>
        <v/>
      </c>
      <c r="D2005" s="2" t="str">
        <f>IFERROR(__xludf.DUMMYFUNCTION("IF('From Order'!$A2005=COLUMNS($A2005:D2024), LEFT(INDEX(FILTER(D$1:D2004, D$1:D2004&lt;&gt;""""),COUNTA(FILTER(D$1:D2004, D$1:D2004&lt;&gt;""""))), LEN(INDEX(FILTER(D$1:D2004, D$1:D2004&lt;&gt;""""),COUNTA(FILTER(D$1:D2004, D$1:D2004&lt;&gt;""""))))-1), IF('To Order'!$A2005=COL"&amp;"UMNS($A2005:D2024), D2004&amp;RIGHT(INDIRECT(ADDRESS(ROW(D2005)-1, 'From Order'!$A2005)), 1), D2004))"),"RBJC")</f>
        <v>RBJC</v>
      </c>
      <c r="E2005" s="2" t="str">
        <f>IFERROR(__xludf.DUMMYFUNCTION("IF('From Order'!$A2005=COLUMNS($A2005:E2024), LEFT(INDEX(FILTER(E$1:E2004, E$1:E2004&lt;&gt;""""),COUNTA(FILTER(E$1:E2004, E$1:E2004&lt;&gt;""""))), LEN(INDEX(FILTER(E$1:E2004, E$1:E2004&lt;&gt;""""),COUNTA(FILTER(E$1:E2004, E$1:E2004&lt;&gt;""""))))-1), IF('To Order'!$A2005=COL"&amp;"UMNS($A2005:E2024), E2004&amp;RIGHT(INDIRECT(ADDRESS(ROW(E2005)-1, 'From Order'!$A2005)), 1), E2004))"),"")</f>
        <v/>
      </c>
      <c r="F2005" s="2" t="str">
        <f>IFERROR(__xludf.DUMMYFUNCTION("IF('From Order'!$A2005=COLUMNS($A2005:F2024), LEFT(INDEX(FILTER(F$1:F2004, F$1:F2004&lt;&gt;""""),COUNTA(FILTER(F$1:F2004, F$1:F2004&lt;&gt;""""))), LEN(INDEX(FILTER(F$1:F2004, F$1:F2004&lt;&gt;""""),COUNTA(FILTER(F$1:F2004, F$1:F2004&lt;&gt;""""))))-1), IF('To Order'!$A2005=COL"&amp;"UMNS($A2005:F2024), F2004&amp;RIGHT(INDIRECT(ADDRESS(ROW(F2005)-1, 'From Order'!$A2005)), 1), F2004))"),"L")</f>
        <v>L</v>
      </c>
      <c r="G2005" s="2" t="str">
        <f>IFERROR(__xludf.DUMMYFUNCTION("IF('From Order'!$A2005=COLUMNS($A2005:G2024), LEFT(INDEX(FILTER(G$1:G2004, G$1:G2004&lt;&gt;""""),COUNTA(FILTER(G$1:G2004, G$1:G2004&lt;&gt;""""))), LEN(INDEX(FILTER(G$1:G2004, G$1:G2004&lt;&gt;""""),COUNTA(FILTER(G$1:G2004, G$1:G2004&lt;&gt;""""))))-1), IF('To Order'!$A2005=COL"&amp;"UMNS($A2005:G2024), G2004&amp;RIGHT(INDIRECT(ADDRESS(ROW(G2005)-1, 'From Order'!$A2005)), 1), G2004))"),"GR")</f>
        <v>GR</v>
      </c>
      <c r="H2005" s="2" t="str">
        <f>IFERROR(__xludf.DUMMYFUNCTION("IF('From Order'!$A2005=COLUMNS($A2005:H2024), LEFT(INDEX(FILTER(H$1:H2004, H$1:H2004&lt;&gt;""""),COUNTA(FILTER(H$1:H2004, H$1:H2004&lt;&gt;""""))), LEN(INDEX(FILTER(H$1:H2004, H$1:H2004&lt;&gt;""""),COUNTA(FILTER(H$1:H2004, H$1:H2004&lt;&gt;""""))))-1), IF('To Order'!$A2005=COL"&amp;"UMNS($A2005:H2024), H2004&amp;RIGHT(INDIRECT(ADDRESS(ROW(H2005)-1, 'From Order'!$A2005)), 1), H2004))"),"QTRTC")</f>
        <v>QTRTC</v>
      </c>
      <c r="I2005" s="2" t="str">
        <f>IFERROR(__xludf.DUMMYFUNCTION("IF('From Order'!$A2005=COLUMNS($A2005:I2024), LEFT(INDEX(FILTER(I$1:I2004, I$1:I2004&lt;&gt;""""),COUNTA(FILTER(I$1:I2004, I$1:I2004&lt;&gt;""""))), LEN(INDEX(FILTER(I$1:I2004, I$1:I2004&lt;&gt;""""),COUNTA(FILTER(I$1:I2004, I$1:I2004&lt;&gt;""""))))-1), IF('To Order'!$A2005=COL"&amp;"UMNS($A2005:I2024), I2004&amp;RIGHT(INDIRECT(ADDRESS(ROW(I2005)-1, 'From Order'!$A2005)), 1), I2004))"),"DVDT")</f>
        <v>DVDT</v>
      </c>
    </row>
    <row r="2006">
      <c r="A2006" s="2" t="str">
        <f>IFERROR(__xludf.DUMMYFUNCTION("IF('From Order'!$A2006=COLUMNS($A2006:A2025), LEFT(INDEX(FILTER(A$1:A2005, A$1:A2005&lt;&gt;""""),COUNTA(FILTER(A$1:A2005, A$1:A2005&lt;&gt;""""))), LEN(INDEX(FILTER(A$1:A2005, A$1:A2005&lt;&gt;""""),COUNTA(FILTER(A$1:A2005, A$1:A2005&lt;&gt;""""))))-1), IF('To Order'!$A2006=COL"&amp;"UMNS($A2006:A2025), A2005&amp;RIGHT(INDIRECT(ADDRESS(ROW(A2006)-1, 'From Order'!$A2006)), 1), A2005))"),"DSPBFLLWDDVQJPPSSTWZCSFHBBVRRJMGTTMDZHZMT")</f>
        <v>DSPBFLLWDDVQJPPSSTWZCSFHBBVRRJMGTTMDZHZMT</v>
      </c>
      <c r="B2006" s="2" t="str">
        <f>IFERROR(__xludf.DUMMYFUNCTION("IF('From Order'!$A2006=COLUMNS($A2006:B2025), LEFT(INDEX(FILTER(B$1:B2005, B$1:B2005&lt;&gt;""""),COUNTA(FILTER(B$1:B2005, B$1:B2005&lt;&gt;""""))), LEN(INDEX(FILTER(B$1:B2005, B$1:B2005&lt;&gt;""""),COUNTA(FILTER(B$1:B2005, B$1:B2005&lt;&gt;""""))))-1), IF('To Order'!$A2006=COL"&amp;"UMNS($A2006:B2025), B2005&amp;RIGHT(INDIRECT(ADDRESS(ROW(B2006)-1, 'From Order'!$A2006)), 1), B2005))"),"")</f>
        <v/>
      </c>
      <c r="C2006" s="2" t="str">
        <f>IFERROR(__xludf.DUMMYFUNCTION("IF('From Order'!$A2006=COLUMNS($A2006:C2025), LEFT(INDEX(FILTER(C$1:C2005, C$1:C2005&lt;&gt;""""),COUNTA(FILTER(C$1:C2005, C$1:C2005&lt;&gt;""""))), LEN(INDEX(FILTER(C$1:C2005, C$1:C2005&lt;&gt;""""),COUNTA(FILTER(C$1:C2005, C$1:C2005&lt;&gt;""""))))-1), IF('To Order'!$A2006=COL"&amp;"UMNS($A2006:C2025), C2005&amp;RIGHT(INDIRECT(ADDRESS(ROW(C2006)-1, 'From Order'!$A2006)), 1), C2005))"),"")</f>
        <v/>
      </c>
      <c r="D2006" s="2" t="str">
        <f>IFERROR(__xludf.DUMMYFUNCTION("IF('From Order'!$A2006=COLUMNS($A2006:D2025), LEFT(INDEX(FILTER(D$1:D2005, D$1:D2005&lt;&gt;""""),COUNTA(FILTER(D$1:D2005, D$1:D2005&lt;&gt;""""))), LEN(INDEX(FILTER(D$1:D2005, D$1:D2005&lt;&gt;""""),COUNTA(FILTER(D$1:D2005, D$1:D2005&lt;&gt;""""))))-1), IF('To Order'!$A2006=COL"&amp;"UMNS($A2006:D2025), D2005&amp;RIGHT(INDIRECT(ADDRESS(ROW(D2006)-1, 'From Order'!$A2006)), 1), D2005))"),"RBJC")</f>
        <v>RBJC</v>
      </c>
      <c r="E2006" s="2" t="str">
        <f>IFERROR(__xludf.DUMMYFUNCTION("IF('From Order'!$A2006=COLUMNS($A2006:E2025), LEFT(INDEX(FILTER(E$1:E2005, E$1:E2005&lt;&gt;""""),COUNTA(FILTER(E$1:E2005, E$1:E2005&lt;&gt;""""))), LEN(INDEX(FILTER(E$1:E2005, E$1:E2005&lt;&gt;""""),COUNTA(FILTER(E$1:E2005, E$1:E2005&lt;&gt;""""))))-1), IF('To Order'!$A2006=COL"&amp;"UMNS($A2006:E2025), E2005&amp;RIGHT(INDIRECT(ADDRESS(ROW(E2006)-1, 'From Order'!$A2006)), 1), E2005))"),"")</f>
        <v/>
      </c>
      <c r="F2006" s="2" t="str">
        <f>IFERROR(__xludf.DUMMYFUNCTION("IF('From Order'!$A2006=COLUMNS($A2006:F2025), LEFT(INDEX(FILTER(F$1:F2005, F$1:F2005&lt;&gt;""""),COUNTA(FILTER(F$1:F2005, F$1:F2005&lt;&gt;""""))), LEN(INDEX(FILTER(F$1:F2005, F$1:F2005&lt;&gt;""""),COUNTA(FILTER(F$1:F2005, F$1:F2005&lt;&gt;""""))))-1), IF('To Order'!$A2006=COL"&amp;"UMNS($A2006:F2025), F2005&amp;RIGHT(INDIRECT(ADDRESS(ROW(F2006)-1, 'From Order'!$A2006)), 1), F2005))"),"L")</f>
        <v>L</v>
      </c>
      <c r="G2006" s="2" t="str">
        <f>IFERROR(__xludf.DUMMYFUNCTION("IF('From Order'!$A2006=COLUMNS($A2006:G2025), LEFT(INDEX(FILTER(G$1:G2005, G$1:G2005&lt;&gt;""""),COUNTA(FILTER(G$1:G2005, G$1:G2005&lt;&gt;""""))), LEN(INDEX(FILTER(G$1:G2005, G$1:G2005&lt;&gt;""""),COUNTA(FILTER(G$1:G2005, G$1:G2005&lt;&gt;""""))))-1), IF('To Order'!$A2006=COL"&amp;"UMNS($A2006:G2025), G2005&amp;RIGHT(INDIRECT(ADDRESS(ROW(G2006)-1, 'From Order'!$A2006)), 1), G2005))"),"GR")</f>
        <v>GR</v>
      </c>
      <c r="H2006" s="2" t="str">
        <f>IFERROR(__xludf.DUMMYFUNCTION("IF('From Order'!$A2006=COLUMNS($A2006:H2025), LEFT(INDEX(FILTER(H$1:H2005, H$1:H2005&lt;&gt;""""),COUNTA(FILTER(H$1:H2005, H$1:H2005&lt;&gt;""""))), LEN(INDEX(FILTER(H$1:H2005, H$1:H2005&lt;&gt;""""),COUNTA(FILTER(H$1:H2005, H$1:H2005&lt;&gt;""""))))-1), IF('To Order'!$A2006=COL"&amp;"UMNS($A2006:H2025), H2005&amp;RIGHT(INDIRECT(ADDRESS(ROW(H2006)-1, 'From Order'!$A2006)), 1), H2005))"),"QTRTC")</f>
        <v>QTRTC</v>
      </c>
      <c r="I2006" s="2" t="str">
        <f>IFERROR(__xludf.DUMMYFUNCTION("IF('From Order'!$A2006=COLUMNS($A2006:I2025), LEFT(INDEX(FILTER(I$1:I2005, I$1:I2005&lt;&gt;""""),COUNTA(FILTER(I$1:I2005, I$1:I2005&lt;&gt;""""))), LEN(INDEX(FILTER(I$1:I2005, I$1:I2005&lt;&gt;""""),COUNTA(FILTER(I$1:I2005, I$1:I2005&lt;&gt;""""))))-1), IF('To Order'!$A2006=COL"&amp;"UMNS($A2006:I2025), I2005&amp;RIGHT(INDIRECT(ADDRESS(ROW(I2006)-1, 'From Order'!$A2006)), 1), I2005))"),"DVD")</f>
        <v>DVD</v>
      </c>
    </row>
    <row r="2007">
      <c r="A2007" s="2" t="str">
        <f>IFERROR(__xludf.DUMMYFUNCTION("IF('From Order'!$A2007=COLUMNS($A2007:A2026), LEFT(INDEX(FILTER(A$1:A2006, A$1:A2006&lt;&gt;""""),COUNTA(FILTER(A$1:A2006, A$1:A2006&lt;&gt;""""))), LEN(INDEX(FILTER(A$1:A2006, A$1:A2006&lt;&gt;""""),COUNTA(FILTER(A$1:A2006, A$1:A2006&lt;&gt;""""))))-1), IF('To Order'!$A2007=COL"&amp;"UMNS($A2007:A2026), A2006&amp;RIGHT(INDIRECT(ADDRESS(ROW(A2007)-1, 'From Order'!$A2007)), 1), A2006))"),"DSPBFLLWDDVQJPPSSTWZCSFHBBVRRJMGTTMDZHZMT")</f>
        <v>DSPBFLLWDDVQJPPSSTWZCSFHBBVRRJMGTTMDZHZMT</v>
      </c>
      <c r="B2007" s="2" t="str">
        <f>IFERROR(__xludf.DUMMYFUNCTION("IF('From Order'!$A2007=COLUMNS($A2007:B2026), LEFT(INDEX(FILTER(B$1:B2006, B$1:B2006&lt;&gt;""""),COUNTA(FILTER(B$1:B2006, B$1:B2006&lt;&gt;""""))), LEN(INDEX(FILTER(B$1:B2006, B$1:B2006&lt;&gt;""""),COUNTA(FILTER(B$1:B2006, B$1:B2006&lt;&gt;""""))))-1), IF('To Order'!$A2007=COL"&amp;"UMNS($A2007:B2026), B2006&amp;RIGHT(INDIRECT(ADDRESS(ROW(B2007)-1, 'From Order'!$A2007)), 1), B2006))"),"")</f>
        <v/>
      </c>
      <c r="C2007" s="2" t="str">
        <f>IFERROR(__xludf.DUMMYFUNCTION("IF('From Order'!$A2007=COLUMNS($A2007:C2026), LEFT(INDEX(FILTER(C$1:C2006, C$1:C2006&lt;&gt;""""),COUNTA(FILTER(C$1:C2006, C$1:C2006&lt;&gt;""""))), LEN(INDEX(FILTER(C$1:C2006, C$1:C2006&lt;&gt;""""),COUNTA(FILTER(C$1:C2006, C$1:C2006&lt;&gt;""""))))-1), IF('To Order'!$A2007=COL"&amp;"UMNS($A2007:C2026), C2006&amp;RIGHT(INDIRECT(ADDRESS(ROW(C2007)-1, 'From Order'!$A2007)), 1), C2006))"),"")</f>
        <v/>
      </c>
      <c r="D2007" s="2" t="str">
        <f>IFERROR(__xludf.DUMMYFUNCTION("IF('From Order'!$A2007=COLUMNS($A2007:D2026), LEFT(INDEX(FILTER(D$1:D2006, D$1:D2006&lt;&gt;""""),COUNTA(FILTER(D$1:D2006, D$1:D2006&lt;&gt;""""))), LEN(INDEX(FILTER(D$1:D2006, D$1:D2006&lt;&gt;""""),COUNTA(FILTER(D$1:D2006, D$1:D2006&lt;&gt;""""))))-1), IF('To Order'!$A2007=COL"&amp;"UMNS($A2007:D2026), D2006&amp;RIGHT(INDIRECT(ADDRESS(ROW(D2007)-1, 'From Order'!$A2007)), 1), D2006))"),"RBJCL")</f>
        <v>RBJCL</v>
      </c>
      <c r="E2007" s="2" t="str">
        <f>IFERROR(__xludf.DUMMYFUNCTION("IF('From Order'!$A2007=COLUMNS($A2007:E2026), LEFT(INDEX(FILTER(E$1:E2006, E$1:E2006&lt;&gt;""""),COUNTA(FILTER(E$1:E2006, E$1:E2006&lt;&gt;""""))), LEN(INDEX(FILTER(E$1:E2006, E$1:E2006&lt;&gt;""""),COUNTA(FILTER(E$1:E2006, E$1:E2006&lt;&gt;""""))))-1), IF('To Order'!$A2007=COL"&amp;"UMNS($A2007:E2026), E2006&amp;RIGHT(INDIRECT(ADDRESS(ROW(E2007)-1, 'From Order'!$A2007)), 1), E2006))"),"")</f>
        <v/>
      </c>
      <c r="F2007" s="2" t="str">
        <f>IFERROR(__xludf.DUMMYFUNCTION("IF('From Order'!$A2007=COLUMNS($A2007:F2026), LEFT(INDEX(FILTER(F$1:F2006, F$1:F2006&lt;&gt;""""),COUNTA(FILTER(F$1:F2006, F$1:F2006&lt;&gt;""""))), LEN(INDEX(FILTER(F$1:F2006, F$1:F2006&lt;&gt;""""),COUNTA(FILTER(F$1:F2006, F$1:F2006&lt;&gt;""""))))-1), IF('To Order'!$A2007=COL"&amp;"UMNS($A2007:F2026), F2006&amp;RIGHT(INDIRECT(ADDRESS(ROW(F2007)-1, 'From Order'!$A2007)), 1), F2006))"),"")</f>
        <v/>
      </c>
      <c r="G2007" s="2" t="str">
        <f>IFERROR(__xludf.DUMMYFUNCTION("IF('From Order'!$A2007=COLUMNS($A2007:G2026), LEFT(INDEX(FILTER(G$1:G2006, G$1:G2006&lt;&gt;""""),COUNTA(FILTER(G$1:G2006, G$1:G2006&lt;&gt;""""))), LEN(INDEX(FILTER(G$1:G2006, G$1:G2006&lt;&gt;""""),COUNTA(FILTER(G$1:G2006, G$1:G2006&lt;&gt;""""))))-1), IF('To Order'!$A2007=COL"&amp;"UMNS($A2007:G2026), G2006&amp;RIGHT(INDIRECT(ADDRESS(ROW(G2007)-1, 'From Order'!$A2007)), 1), G2006))"),"GR")</f>
        <v>GR</v>
      </c>
      <c r="H2007" s="2" t="str">
        <f>IFERROR(__xludf.DUMMYFUNCTION("IF('From Order'!$A2007=COLUMNS($A2007:H2026), LEFT(INDEX(FILTER(H$1:H2006, H$1:H2006&lt;&gt;""""),COUNTA(FILTER(H$1:H2006, H$1:H2006&lt;&gt;""""))), LEN(INDEX(FILTER(H$1:H2006, H$1:H2006&lt;&gt;""""),COUNTA(FILTER(H$1:H2006, H$1:H2006&lt;&gt;""""))))-1), IF('To Order'!$A2007=COL"&amp;"UMNS($A2007:H2026), H2006&amp;RIGHT(INDIRECT(ADDRESS(ROW(H2007)-1, 'From Order'!$A2007)), 1), H2006))"),"QTRTC")</f>
        <v>QTRTC</v>
      </c>
      <c r="I2007" s="2" t="str">
        <f>IFERROR(__xludf.DUMMYFUNCTION("IF('From Order'!$A2007=COLUMNS($A2007:I2026), LEFT(INDEX(FILTER(I$1:I2006, I$1:I2006&lt;&gt;""""),COUNTA(FILTER(I$1:I2006, I$1:I2006&lt;&gt;""""))), LEN(INDEX(FILTER(I$1:I2006, I$1:I2006&lt;&gt;""""),COUNTA(FILTER(I$1:I2006, I$1:I2006&lt;&gt;""""))))-1), IF('To Order'!$A2007=COL"&amp;"UMNS($A2007:I2026), I2006&amp;RIGHT(INDIRECT(ADDRESS(ROW(I2007)-1, 'From Order'!$A2007)), 1), I2006))"),"DVD")</f>
        <v>DVD</v>
      </c>
    </row>
    <row r="2008">
      <c r="A2008" s="2" t="str">
        <f>IFERROR(__xludf.DUMMYFUNCTION("IF('From Order'!$A2008=COLUMNS($A2008:A2027), LEFT(INDEX(FILTER(A$1:A2007, A$1:A2007&lt;&gt;""""),COUNTA(FILTER(A$1:A2007, A$1:A2007&lt;&gt;""""))), LEN(INDEX(FILTER(A$1:A2007, A$1:A2007&lt;&gt;""""),COUNTA(FILTER(A$1:A2007, A$1:A2007&lt;&gt;""""))))-1), IF('To Order'!$A2008=COL"&amp;"UMNS($A2008:A2027), A2007&amp;RIGHT(INDIRECT(ADDRESS(ROW(A2008)-1, 'From Order'!$A2008)), 1), A2007))"),"DSPBFLLWDDVQJPPSSTWZCSFHBBVRRJMGTTMDZHZMTC")</f>
        <v>DSPBFLLWDDVQJPPSSTWZCSFHBBVRRJMGTTMDZHZMTC</v>
      </c>
      <c r="B2008" s="2" t="str">
        <f>IFERROR(__xludf.DUMMYFUNCTION("IF('From Order'!$A2008=COLUMNS($A2008:B2027), LEFT(INDEX(FILTER(B$1:B2007, B$1:B2007&lt;&gt;""""),COUNTA(FILTER(B$1:B2007, B$1:B2007&lt;&gt;""""))), LEN(INDEX(FILTER(B$1:B2007, B$1:B2007&lt;&gt;""""),COUNTA(FILTER(B$1:B2007, B$1:B2007&lt;&gt;""""))))-1), IF('To Order'!$A2008=COL"&amp;"UMNS($A2008:B2027), B2007&amp;RIGHT(INDIRECT(ADDRESS(ROW(B2008)-1, 'From Order'!$A2008)), 1), B2007))"),"")</f>
        <v/>
      </c>
      <c r="C2008" s="2" t="str">
        <f>IFERROR(__xludf.DUMMYFUNCTION("IF('From Order'!$A2008=COLUMNS($A2008:C2027), LEFT(INDEX(FILTER(C$1:C2007, C$1:C2007&lt;&gt;""""),COUNTA(FILTER(C$1:C2007, C$1:C2007&lt;&gt;""""))), LEN(INDEX(FILTER(C$1:C2007, C$1:C2007&lt;&gt;""""),COUNTA(FILTER(C$1:C2007, C$1:C2007&lt;&gt;""""))))-1), IF('To Order'!$A2008=COL"&amp;"UMNS($A2008:C2027), C2007&amp;RIGHT(INDIRECT(ADDRESS(ROW(C2008)-1, 'From Order'!$A2008)), 1), C2007))"),"")</f>
        <v/>
      </c>
      <c r="D2008" s="2" t="str">
        <f>IFERROR(__xludf.DUMMYFUNCTION("IF('From Order'!$A2008=COLUMNS($A2008:D2027), LEFT(INDEX(FILTER(D$1:D2007, D$1:D2007&lt;&gt;""""),COUNTA(FILTER(D$1:D2007, D$1:D2007&lt;&gt;""""))), LEN(INDEX(FILTER(D$1:D2007, D$1:D2007&lt;&gt;""""),COUNTA(FILTER(D$1:D2007, D$1:D2007&lt;&gt;""""))))-1), IF('To Order'!$A2008=COL"&amp;"UMNS($A2008:D2027), D2007&amp;RIGHT(INDIRECT(ADDRESS(ROW(D2008)-1, 'From Order'!$A2008)), 1), D2007))"),"RBJCL")</f>
        <v>RBJCL</v>
      </c>
      <c r="E2008" s="2" t="str">
        <f>IFERROR(__xludf.DUMMYFUNCTION("IF('From Order'!$A2008=COLUMNS($A2008:E2027), LEFT(INDEX(FILTER(E$1:E2007, E$1:E2007&lt;&gt;""""),COUNTA(FILTER(E$1:E2007, E$1:E2007&lt;&gt;""""))), LEN(INDEX(FILTER(E$1:E2007, E$1:E2007&lt;&gt;""""),COUNTA(FILTER(E$1:E2007, E$1:E2007&lt;&gt;""""))))-1), IF('To Order'!$A2008=COL"&amp;"UMNS($A2008:E2027), E2007&amp;RIGHT(INDIRECT(ADDRESS(ROW(E2008)-1, 'From Order'!$A2008)), 1), E2007))"),"")</f>
        <v/>
      </c>
      <c r="F2008" s="2" t="str">
        <f>IFERROR(__xludf.DUMMYFUNCTION("IF('From Order'!$A2008=COLUMNS($A2008:F2027), LEFT(INDEX(FILTER(F$1:F2007, F$1:F2007&lt;&gt;""""),COUNTA(FILTER(F$1:F2007, F$1:F2007&lt;&gt;""""))), LEN(INDEX(FILTER(F$1:F2007, F$1:F2007&lt;&gt;""""),COUNTA(FILTER(F$1:F2007, F$1:F2007&lt;&gt;""""))))-1), IF('To Order'!$A2008=COL"&amp;"UMNS($A2008:F2027), F2007&amp;RIGHT(INDIRECT(ADDRESS(ROW(F2008)-1, 'From Order'!$A2008)), 1), F2007))"),"")</f>
        <v/>
      </c>
      <c r="G2008" s="2" t="str">
        <f>IFERROR(__xludf.DUMMYFUNCTION("IF('From Order'!$A2008=COLUMNS($A2008:G2027), LEFT(INDEX(FILTER(G$1:G2007, G$1:G2007&lt;&gt;""""),COUNTA(FILTER(G$1:G2007, G$1:G2007&lt;&gt;""""))), LEN(INDEX(FILTER(G$1:G2007, G$1:G2007&lt;&gt;""""),COUNTA(FILTER(G$1:G2007, G$1:G2007&lt;&gt;""""))))-1), IF('To Order'!$A2008=COL"&amp;"UMNS($A2008:G2027), G2007&amp;RIGHT(INDIRECT(ADDRESS(ROW(G2008)-1, 'From Order'!$A2008)), 1), G2007))"),"GR")</f>
        <v>GR</v>
      </c>
      <c r="H2008" s="2" t="str">
        <f>IFERROR(__xludf.DUMMYFUNCTION("IF('From Order'!$A2008=COLUMNS($A2008:H2027), LEFT(INDEX(FILTER(H$1:H2007, H$1:H2007&lt;&gt;""""),COUNTA(FILTER(H$1:H2007, H$1:H2007&lt;&gt;""""))), LEN(INDEX(FILTER(H$1:H2007, H$1:H2007&lt;&gt;""""),COUNTA(FILTER(H$1:H2007, H$1:H2007&lt;&gt;""""))))-1), IF('To Order'!$A2008=COL"&amp;"UMNS($A2008:H2027), H2007&amp;RIGHT(INDIRECT(ADDRESS(ROW(H2008)-1, 'From Order'!$A2008)), 1), H2007))"),"QTRT")</f>
        <v>QTRT</v>
      </c>
      <c r="I2008" s="2" t="str">
        <f>IFERROR(__xludf.DUMMYFUNCTION("IF('From Order'!$A2008=COLUMNS($A2008:I2027), LEFT(INDEX(FILTER(I$1:I2007, I$1:I2007&lt;&gt;""""),COUNTA(FILTER(I$1:I2007, I$1:I2007&lt;&gt;""""))), LEN(INDEX(FILTER(I$1:I2007, I$1:I2007&lt;&gt;""""),COUNTA(FILTER(I$1:I2007, I$1:I2007&lt;&gt;""""))))-1), IF('To Order'!$A2008=COL"&amp;"UMNS($A2008:I2027), I2007&amp;RIGHT(INDIRECT(ADDRESS(ROW(I2008)-1, 'From Order'!$A2008)), 1), I2007))"),"DVD")</f>
        <v>DVD</v>
      </c>
    </row>
    <row r="2009">
      <c r="A2009" s="2" t="str">
        <f>IFERROR(__xludf.DUMMYFUNCTION("IF('From Order'!$A2009=COLUMNS($A2009:A2028), LEFT(INDEX(FILTER(A$1:A2008, A$1:A2008&lt;&gt;""""),COUNTA(FILTER(A$1:A2008, A$1:A2008&lt;&gt;""""))), LEN(INDEX(FILTER(A$1:A2008, A$1:A2008&lt;&gt;""""),COUNTA(FILTER(A$1:A2008, A$1:A2008&lt;&gt;""""))))-1), IF('To Order'!$A2009=COL"&amp;"UMNS($A2009:A2028), A2008&amp;RIGHT(INDIRECT(ADDRESS(ROW(A2009)-1, 'From Order'!$A2009)), 1), A2008))"),"DSPBFLLWDDVQJPPSSTWZCSFHBBVRRJMGTTMDZHZMTCT")</f>
        <v>DSPBFLLWDDVQJPPSSTWZCSFHBBVRRJMGTTMDZHZMTCT</v>
      </c>
      <c r="B2009" s="2" t="str">
        <f>IFERROR(__xludf.DUMMYFUNCTION("IF('From Order'!$A2009=COLUMNS($A2009:B2028), LEFT(INDEX(FILTER(B$1:B2008, B$1:B2008&lt;&gt;""""),COUNTA(FILTER(B$1:B2008, B$1:B2008&lt;&gt;""""))), LEN(INDEX(FILTER(B$1:B2008, B$1:B2008&lt;&gt;""""),COUNTA(FILTER(B$1:B2008, B$1:B2008&lt;&gt;""""))))-1), IF('To Order'!$A2009=COL"&amp;"UMNS($A2009:B2028), B2008&amp;RIGHT(INDIRECT(ADDRESS(ROW(B2009)-1, 'From Order'!$A2009)), 1), B2008))"),"")</f>
        <v/>
      </c>
      <c r="C2009" s="2" t="str">
        <f>IFERROR(__xludf.DUMMYFUNCTION("IF('From Order'!$A2009=COLUMNS($A2009:C2028), LEFT(INDEX(FILTER(C$1:C2008, C$1:C2008&lt;&gt;""""),COUNTA(FILTER(C$1:C2008, C$1:C2008&lt;&gt;""""))), LEN(INDEX(FILTER(C$1:C2008, C$1:C2008&lt;&gt;""""),COUNTA(FILTER(C$1:C2008, C$1:C2008&lt;&gt;""""))))-1), IF('To Order'!$A2009=COL"&amp;"UMNS($A2009:C2028), C2008&amp;RIGHT(INDIRECT(ADDRESS(ROW(C2009)-1, 'From Order'!$A2009)), 1), C2008))"),"")</f>
        <v/>
      </c>
      <c r="D2009" s="2" t="str">
        <f>IFERROR(__xludf.DUMMYFUNCTION("IF('From Order'!$A2009=COLUMNS($A2009:D2028), LEFT(INDEX(FILTER(D$1:D2008, D$1:D2008&lt;&gt;""""),COUNTA(FILTER(D$1:D2008, D$1:D2008&lt;&gt;""""))), LEN(INDEX(FILTER(D$1:D2008, D$1:D2008&lt;&gt;""""),COUNTA(FILTER(D$1:D2008, D$1:D2008&lt;&gt;""""))))-1), IF('To Order'!$A2009=COL"&amp;"UMNS($A2009:D2028), D2008&amp;RIGHT(INDIRECT(ADDRESS(ROW(D2009)-1, 'From Order'!$A2009)), 1), D2008))"),"RBJCL")</f>
        <v>RBJCL</v>
      </c>
      <c r="E2009" s="2" t="str">
        <f>IFERROR(__xludf.DUMMYFUNCTION("IF('From Order'!$A2009=COLUMNS($A2009:E2028), LEFT(INDEX(FILTER(E$1:E2008, E$1:E2008&lt;&gt;""""),COUNTA(FILTER(E$1:E2008, E$1:E2008&lt;&gt;""""))), LEN(INDEX(FILTER(E$1:E2008, E$1:E2008&lt;&gt;""""),COUNTA(FILTER(E$1:E2008, E$1:E2008&lt;&gt;""""))))-1), IF('To Order'!$A2009=COL"&amp;"UMNS($A2009:E2028), E2008&amp;RIGHT(INDIRECT(ADDRESS(ROW(E2009)-1, 'From Order'!$A2009)), 1), E2008))"),"")</f>
        <v/>
      </c>
      <c r="F2009" s="2" t="str">
        <f>IFERROR(__xludf.DUMMYFUNCTION("IF('From Order'!$A2009=COLUMNS($A2009:F2028), LEFT(INDEX(FILTER(F$1:F2008, F$1:F2008&lt;&gt;""""),COUNTA(FILTER(F$1:F2008, F$1:F2008&lt;&gt;""""))), LEN(INDEX(FILTER(F$1:F2008, F$1:F2008&lt;&gt;""""),COUNTA(FILTER(F$1:F2008, F$1:F2008&lt;&gt;""""))))-1), IF('To Order'!$A2009=COL"&amp;"UMNS($A2009:F2028), F2008&amp;RIGHT(INDIRECT(ADDRESS(ROW(F2009)-1, 'From Order'!$A2009)), 1), F2008))"),"")</f>
        <v/>
      </c>
      <c r="G2009" s="2" t="str">
        <f>IFERROR(__xludf.DUMMYFUNCTION("IF('From Order'!$A2009=COLUMNS($A2009:G2028), LEFT(INDEX(FILTER(G$1:G2008, G$1:G2008&lt;&gt;""""),COUNTA(FILTER(G$1:G2008, G$1:G2008&lt;&gt;""""))), LEN(INDEX(FILTER(G$1:G2008, G$1:G2008&lt;&gt;""""),COUNTA(FILTER(G$1:G2008, G$1:G2008&lt;&gt;""""))))-1), IF('To Order'!$A2009=COL"&amp;"UMNS($A2009:G2028), G2008&amp;RIGHT(INDIRECT(ADDRESS(ROW(G2009)-1, 'From Order'!$A2009)), 1), G2008))"),"GR")</f>
        <v>GR</v>
      </c>
      <c r="H2009" s="2" t="str">
        <f>IFERROR(__xludf.DUMMYFUNCTION("IF('From Order'!$A2009=COLUMNS($A2009:H2028), LEFT(INDEX(FILTER(H$1:H2008, H$1:H2008&lt;&gt;""""),COUNTA(FILTER(H$1:H2008, H$1:H2008&lt;&gt;""""))), LEN(INDEX(FILTER(H$1:H2008, H$1:H2008&lt;&gt;""""),COUNTA(FILTER(H$1:H2008, H$1:H2008&lt;&gt;""""))))-1), IF('To Order'!$A2009=COL"&amp;"UMNS($A2009:H2028), H2008&amp;RIGHT(INDIRECT(ADDRESS(ROW(H2009)-1, 'From Order'!$A2009)), 1), H2008))"),"QTR")</f>
        <v>QTR</v>
      </c>
      <c r="I2009" s="2" t="str">
        <f>IFERROR(__xludf.DUMMYFUNCTION("IF('From Order'!$A2009=COLUMNS($A2009:I2028), LEFT(INDEX(FILTER(I$1:I2008, I$1:I2008&lt;&gt;""""),COUNTA(FILTER(I$1:I2008, I$1:I2008&lt;&gt;""""))), LEN(INDEX(FILTER(I$1:I2008, I$1:I2008&lt;&gt;""""),COUNTA(FILTER(I$1:I2008, I$1:I2008&lt;&gt;""""))))-1), IF('To Order'!$A2009=COL"&amp;"UMNS($A2009:I2028), I2008&amp;RIGHT(INDIRECT(ADDRESS(ROW(I2009)-1, 'From Order'!$A2009)), 1), I2008))"),"DVD")</f>
        <v>DVD</v>
      </c>
    </row>
    <row r="2010">
      <c r="A2010" s="2" t="str">
        <f>IFERROR(__xludf.DUMMYFUNCTION("IF('From Order'!$A2010=COLUMNS($A2010:A2029), LEFT(INDEX(FILTER(A$1:A2009, A$1:A2009&lt;&gt;""""),COUNTA(FILTER(A$1:A2009, A$1:A2009&lt;&gt;""""))), LEN(INDEX(FILTER(A$1:A2009, A$1:A2009&lt;&gt;""""),COUNTA(FILTER(A$1:A2009, A$1:A2009&lt;&gt;""""))))-1), IF('To Order'!$A2010=COL"&amp;"UMNS($A2010:A2029), A2009&amp;RIGHT(INDIRECT(ADDRESS(ROW(A2010)-1, 'From Order'!$A2010)), 1), A2009))"),"DSPBFLLWDDVQJPPSSTWZCSFHBBVRRJMGTTMDZHZMTCT")</f>
        <v>DSPBFLLWDDVQJPPSSTWZCSFHBBVRRJMGTTMDZHZMTCT</v>
      </c>
      <c r="B2010" s="2" t="str">
        <f>IFERROR(__xludf.DUMMYFUNCTION("IF('From Order'!$A2010=COLUMNS($A2010:B2029), LEFT(INDEX(FILTER(B$1:B2009, B$1:B2009&lt;&gt;""""),COUNTA(FILTER(B$1:B2009, B$1:B2009&lt;&gt;""""))), LEN(INDEX(FILTER(B$1:B2009, B$1:B2009&lt;&gt;""""),COUNTA(FILTER(B$1:B2009, B$1:B2009&lt;&gt;""""))))-1), IF('To Order'!$A2010=COL"&amp;"UMNS($A2010:B2029), B2009&amp;RIGHT(INDIRECT(ADDRESS(ROW(B2010)-1, 'From Order'!$A2010)), 1), B2009))"),"")</f>
        <v/>
      </c>
      <c r="C2010" s="2" t="str">
        <f>IFERROR(__xludf.DUMMYFUNCTION("IF('From Order'!$A2010=COLUMNS($A2010:C2029), LEFT(INDEX(FILTER(C$1:C2009, C$1:C2009&lt;&gt;""""),COUNTA(FILTER(C$1:C2009, C$1:C2009&lt;&gt;""""))), LEN(INDEX(FILTER(C$1:C2009, C$1:C2009&lt;&gt;""""),COUNTA(FILTER(C$1:C2009, C$1:C2009&lt;&gt;""""))))-1), IF('To Order'!$A2010=COL"&amp;"UMNS($A2010:C2029), C2009&amp;RIGHT(INDIRECT(ADDRESS(ROW(C2010)-1, 'From Order'!$A2010)), 1), C2009))"),"R")</f>
        <v>R</v>
      </c>
      <c r="D2010" s="2" t="str">
        <f>IFERROR(__xludf.DUMMYFUNCTION("IF('From Order'!$A2010=COLUMNS($A2010:D2029), LEFT(INDEX(FILTER(D$1:D2009, D$1:D2009&lt;&gt;""""),COUNTA(FILTER(D$1:D2009, D$1:D2009&lt;&gt;""""))), LEN(INDEX(FILTER(D$1:D2009, D$1:D2009&lt;&gt;""""),COUNTA(FILTER(D$1:D2009, D$1:D2009&lt;&gt;""""))))-1), IF('To Order'!$A2010=COL"&amp;"UMNS($A2010:D2029), D2009&amp;RIGHT(INDIRECT(ADDRESS(ROW(D2010)-1, 'From Order'!$A2010)), 1), D2009))"),"RBJCL")</f>
        <v>RBJCL</v>
      </c>
      <c r="E2010" s="2" t="str">
        <f>IFERROR(__xludf.DUMMYFUNCTION("IF('From Order'!$A2010=COLUMNS($A2010:E2029), LEFT(INDEX(FILTER(E$1:E2009, E$1:E2009&lt;&gt;""""),COUNTA(FILTER(E$1:E2009, E$1:E2009&lt;&gt;""""))), LEN(INDEX(FILTER(E$1:E2009, E$1:E2009&lt;&gt;""""),COUNTA(FILTER(E$1:E2009, E$1:E2009&lt;&gt;""""))))-1), IF('To Order'!$A2010=COL"&amp;"UMNS($A2010:E2029), E2009&amp;RIGHT(INDIRECT(ADDRESS(ROW(E2010)-1, 'From Order'!$A2010)), 1), E2009))"),"")</f>
        <v/>
      </c>
      <c r="F2010" s="2" t="str">
        <f>IFERROR(__xludf.DUMMYFUNCTION("IF('From Order'!$A2010=COLUMNS($A2010:F2029), LEFT(INDEX(FILTER(F$1:F2009, F$1:F2009&lt;&gt;""""),COUNTA(FILTER(F$1:F2009, F$1:F2009&lt;&gt;""""))), LEN(INDEX(FILTER(F$1:F2009, F$1:F2009&lt;&gt;""""),COUNTA(FILTER(F$1:F2009, F$1:F2009&lt;&gt;""""))))-1), IF('To Order'!$A2010=COL"&amp;"UMNS($A2010:F2029), F2009&amp;RIGHT(INDIRECT(ADDRESS(ROW(F2010)-1, 'From Order'!$A2010)), 1), F2009))"),"")</f>
        <v/>
      </c>
      <c r="G2010" s="2" t="str">
        <f>IFERROR(__xludf.DUMMYFUNCTION("IF('From Order'!$A2010=COLUMNS($A2010:G2029), LEFT(INDEX(FILTER(G$1:G2009, G$1:G2009&lt;&gt;""""),COUNTA(FILTER(G$1:G2009, G$1:G2009&lt;&gt;""""))), LEN(INDEX(FILTER(G$1:G2009, G$1:G2009&lt;&gt;""""),COUNTA(FILTER(G$1:G2009, G$1:G2009&lt;&gt;""""))))-1), IF('To Order'!$A2010=COL"&amp;"UMNS($A2010:G2029), G2009&amp;RIGHT(INDIRECT(ADDRESS(ROW(G2010)-1, 'From Order'!$A2010)), 1), G2009))"),"G")</f>
        <v>G</v>
      </c>
      <c r="H2010" s="2" t="str">
        <f>IFERROR(__xludf.DUMMYFUNCTION("IF('From Order'!$A2010=COLUMNS($A2010:H2029), LEFT(INDEX(FILTER(H$1:H2009, H$1:H2009&lt;&gt;""""),COUNTA(FILTER(H$1:H2009, H$1:H2009&lt;&gt;""""))), LEN(INDEX(FILTER(H$1:H2009, H$1:H2009&lt;&gt;""""),COUNTA(FILTER(H$1:H2009, H$1:H2009&lt;&gt;""""))))-1), IF('To Order'!$A2010=COL"&amp;"UMNS($A2010:H2029), H2009&amp;RIGHT(INDIRECT(ADDRESS(ROW(H2010)-1, 'From Order'!$A2010)), 1), H2009))"),"QTR")</f>
        <v>QTR</v>
      </c>
      <c r="I2010" s="2" t="str">
        <f>IFERROR(__xludf.DUMMYFUNCTION("IF('From Order'!$A2010=COLUMNS($A2010:I2029), LEFT(INDEX(FILTER(I$1:I2009, I$1:I2009&lt;&gt;""""),COUNTA(FILTER(I$1:I2009, I$1:I2009&lt;&gt;""""))), LEN(INDEX(FILTER(I$1:I2009, I$1:I2009&lt;&gt;""""),COUNTA(FILTER(I$1:I2009, I$1:I2009&lt;&gt;""""))))-1), IF('To Order'!$A2010=COL"&amp;"UMNS($A2010:I2029), I2009&amp;RIGHT(INDIRECT(ADDRESS(ROW(I2010)-1, 'From Order'!$A2010)), 1), I2009))"),"DVD")</f>
        <v>DVD</v>
      </c>
    </row>
    <row r="2011">
      <c r="A2011" s="2" t="str">
        <f>IFERROR(__xludf.DUMMYFUNCTION("IF('From Order'!$A2011=COLUMNS($A2011:A2030), LEFT(INDEX(FILTER(A$1:A2010, A$1:A2010&lt;&gt;""""),COUNTA(FILTER(A$1:A2010, A$1:A2010&lt;&gt;""""))), LEN(INDEX(FILTER(A$1:A2010, A$1:A2010&lt;&gt;""""),COUNTA(FILTER(A$1:A2010, A$1:A2010&lt;&gt;""""))))-1), IF('To Order'!$A2011=COL"&amp;"UMNS($A2011:A2030), A2010&amp;RIGHT(INDIRECT(ADDRESS(ROW(A2011)-1, 'From Order'!$A2011)), 1), A2010))"),"DSPBFLLWDDVQJPPSSTWZCSFHBBVRRJMGTTMDZHZMTCT")</f>
        <v>DSPBFLLWDDVQJPPSSTWZCSFHBBVRRJMGTTMDZHZMTCT</v>
      </c>
      <c r="B2011" s="2" t="str">
        <f>IFERROR(__xludf.DUMMYFUNCTION("IF('From Order'!$A2011=COLUMNS($A2011:B2030), LEFT(INDEX(FILTER(B$1:B2010, B$1:B2010&lt;&gt;""""),COUNTA(FILTER(B$1:B2010, B$1:B2010&lt;&gt;""""))), LEN(INDEX(FILTER(B$1:B2010, B$1:B2010&lt;&gt;""""),COUNTA(FILTER(B$1:B2010, B$1:B2010&lt;&gt;""""))))-1), IF('To Order'!$A2011=COL"&amp;"UMNS($A2011:B2030), B2010&amp;RIGHT(INDIRECT(ADDRESS(ROW(B2011)-1, 'From Order'!$A2011)), 1), B2010))"),"")</f>
        <v/>
      </c>
      <c r="C2011" s="2" t="str">
        <f>IFERROR(__xludf.DUMMYFUNCTION("IF('From Order'!$A2011=COLUMNS($A2011:C2030), LEFT(INDEX(FILTER(C$1:C2010, C$1:C2010&lt;&gt;""""),COUNTA(FILTER(C$1:C2010, C$1:C2010&lt;&gt;""""))), LEN(INDEX(FILTER(C$1:C2010, C$1:C2010&lt;&gt;""""),COUNTA(FILTER(C$1:C2010, C$1:C2010&lt;&gt;""""))))-1), IF('To Order'!$A2011=COL"&amp;"UMNS($A2011:C2030), C2010&amp;RIGHT(INDIRECT(ADDRESS(ROW(C2011)-1, 'From Order'!$A2011)), 1), C2010))"),"")</f>
        <v/>
      </c>
      <c r="D2011" s="2" t="str">
        <f>IFERROR(__xludf.DUMMYFUNCTION("IF('From Order'!$A2011=COLUMNS($A2011:D2030), LEFT(INDEX(FILTER(D$1:D2010, D$1:D2010&lt;&gt;""""),COUNTA(FILTER(D$1:D2010, D$1:D2010&lt;&gt;""""))), LEN(INDEX(FILTER(D$1:D2010, D$1:D2010&lt;&gt;""""),COUNTA(FILTER(D$1:D2010, D$1:D2010&lt;&gt;""""))))-1), IF('To Order'!$A2011=COL"&amp;"UMNS($A2011:D2030), D2010&amp;RIGHT(INDIRECT(ADDRESS(ROW(D2011)-1, 'From Order'!$A2011)), 1), D2010))"),"RBJCL")</f>
        <v>RBJCL</v>
      </c>
      <c r="E2011" s="2" t="str">
        <f>IFERROR(__xludf.DUMMYFUNCTION("IF('From Order'!$A2011=COLUMNS($A2011:E2030), LEFT(INDEX(FILTER(E$1:E2010, E$1:E2010&lt;&gt;""""),COUNTA(FILTER(E$1:E2010, E$1:E2010&lt;&gt;""""))), LEN(INDEX(FILTER(E$1:E2010, E$1:E2010&lt;&gt;""""),COUNTA(FILTER(E$1:E2010, E$1:E2010&lt;&gt;""""))))-1), IF('To Order'!$A2011=COL"&amp;"UMNS($A2011:E2030), E2010&amp;RIGHT(INDIRECT(ADDRESS(ROW(E2011)-1, 'From Order'!$A2011)), 1), E2010))"),"")</f>
        <v/>
      </c>
      <c r="F2011" s="2" t="str">
        <f>IFERROR(__xludf.DUMMYFUNCTION("IF('From Order'!$A2011=COLUMNS($A2011:F2030), LEFT(INDEX(FILTER(F$1:F2010, F$1:F2010&lt;&gt;""""),COUNTA(FILTER(F$1:F2010, F$1:F2010&lt;&gt;""""))), LEN(INDEX(FILTER(F$1:F2010, F$1:F2010&lt;&gt;""""),COUNTA(FILTER(F$1:F2010, F$1:F2010&lt;&gt;""""))))-1), IF('To Order'!$A2011=COL"&amp;"UMNS($A2011:F2030), F2010&amp;RIGHT(INDIRECT(ADDRESS(ROW(F2011)-1, 'From Order'!$A2011)), 1), F2010))"),"")</f>
        <v/>
      </c>
      <c r="G2011" s="2" t="str">
        <f>IFERROR(__xludf.DUMMYFUNCTION("IF('From Order'!$A2011=COLUMNS($A2011:G2030), LEFT(INDEX(FILTER(G$1:G2010, G$1:G2010&lt;&gt;""""),COUNTA(FILTER(G$1:G2010, G$1:G2010&lt;&gt;""""))), LEN(INDEX(FILTER(G$1:G2010, G$1:G2010&lt;&gt;""""),COUNTA(FILTER(G$1:G2010, G$1:G2010&lt;&gt;""""))))-1), IF('To Order'!$A2011=COL"&amp;"UMNS($A2011:G2030), G2010&amp;RIGHT(INDIRECT(ADDRESS(ROW(G2011)-1, 'From Order'!$A2011)), 1), G2010))"),"G")</f>
        <v>G</v>
      </c>
      <c r="H2011" s="2" t="str">
        <f>IFERROR(__xludf.DUMMYFUNCTION("IF('From Order'!$A2011=COLUMNS($A2011:H2030), LEFT(INDEX(FILTER(H$1:H2010, H$1:H2010&lt;&gt;""""),COUNTA(FILTER(H$1:H2010, H$1:H2010&lt;&gt;""""))), LEN(INDEX(FILTER(H$1:H2010, H$1:H2010&lt;&gt;""""),COUNTA(FILTER(H$1:H2010, H$1:H2010&lt;&gt;""""))))-1), IF('To Order'!$A2011=COL"&amp;"UMNS($A2011:H2030), H2010&amp;RIGHT(INDIRECT(ADDRESS(ROW(H2011)-1, 'From Order'!$A2011)), 1), H2010))"),"QTRR")</f>
        <v>QTRR</v>
      </c>
      <c r="I2011" s="2" t="str">
        <f>IFERROR(__xludf.DUMMYFUNCTION("IF('From Order'!$A2011=COLUMNS($A2011:I2030), LEFT(INDEX(FILTER(I$1:I2010, I$1:I2010&lt;&gt;""""),COUNTA(FILTER(I$1:I2010, I$1:I2010&lt;&gt;""""))), LEN(INDEX(FILTER(I$1:I2010, I$1:I2010&lt;&gt;""""),COUNTA(FILTER(I$1:I2010, I$1:I2010&lt;&gt;""""))))-1), IF('To Order'!$A2011=COL"&amp;"UMNS($A2011:I2030), I2010&amp;RIGHT(INDIRECT(ADDRESS(ROW(I2011)-1, 'From Order'!$A2011)), 1), I2010))"),"DVD")</f>
        <v>DVD</v>
      </c>
    </row>
    <row r="2012">
      <c r="A2012" s="2" t="str">
        <f>IFERROR(__xludf.DUMMYFUNCTION("IF('From Order'!$A2012=COLUMNS($A2012:A2031), LEFT(INDEX(FILTER(A$1:A2011, A$1:A2011&lt;&gt;""""),COUNTA(FILTER(A$1:A2011, A$1:A2011&lt;&gt;""""))), LEN(INDEX(FILTER(A$1:A2011, A$1:A2011&lt;&gt;""""),COUNTA(FILTER(A$1:A2011, A$1:A2011&lt;&gt;""""))))-1), IF('To Order'!$A2012=COL"&amp;"UMNS($A2012:A2031), A2011&amp;RIGHT(INDIRECT(ADDRESS(ROW(A2012)-1, 'From Order'!$A2012)), 1), A2011))"),"DSPBFLLWDDVQJPPSSTWZCSFHBBVRRJMGTTMDZHZMTCT")</f>
        <v>DSPBFLLWDDVQJPPSSTWZCSFHBBVRRJMGTTMDZHZMTCT</v>
      </c>
      <c r="B2012" s="2" t="str">
        <f>IFERROR(__xludf.DUMMYFUNCTION("IF('From Order'!$A2012=COLUMNS($A2012:B2031), LEFT(INDEX(FILTER(B$1:B2011, B$1:B2011&lt;&gt;""""),COUNTA(FILTER(B$1:B2011, B$1:B2011&lt;&gt;""""))), LEN(INDEX(FILTER(B$1:B2011, B$1:B2011&lt;&gt;""""),COUNTA(FILTER(B$1:B2011, B$1:B2011&lt;&gt;""""))))-1), IF('To Order'!$A2012=COL"&amp;"UMNS($A2012:B2031), B2011&amp;RIGHT(INDIRECT(ADDRESS(ROW(B2012)-1, 'From Order'!$A2012)), 1), B2011))"),"")</f>
        <v/>
      </c>
      <c r="C2012" s="2" t="str">
        <f>IFERROR(__xludf.DUMMYFUNCTION("IF('From Order'!$A2012=COLUMNS($A2012:C2031), LEFT(INDEX(FILTER(C$1:C2011, C$1:C2011&lt;&gt;""""),COUNTA(FILTER(C$1:C2011, C$1:C2011&lt;&gt;""""))), LEN(INDEX(FILTER(C$1:C2011, C$1:C2011&lt;&gt;""""),COUNTA(FILTER(C$1:C2011, C$1:C2011&lt;&gt;""""))))-1), IF('To Order'!$A2012=COL"&amp;"UMNS($A2012:C2031), C2011&amp;RIGHT(INDIRECT(ADDRESS(ROW(C2012)-1, 'From Order'!$A2012)), 1), C2011))"),"")</f>
        <v/>
      </c>
      <c r="D2012" s="2" t="str">
        <f>IFERROR(__xludf.DUMMYFUNCTION("IF('From Order'!$A2012=COLUMNS($A2012:D2031), LEFT(INDEX(FILTER(D$1:D2011, D$1:D2011&lt;&gt;""""),COUNTA(FILTER(D$1:D2011, D$1:D2011&lt;&gt;""""))), LEN(INDEX(FILTER(D$1:D2011, D$1:D2011&lt;&gt;""""),COUNTA(FILTER(D$1:D2011, D$1:D2011&lt;&gt;""""))))-1), IF('To Order'!$A2012=COL"&amp;"UMNS($A2012:D2031), D2011&amp;RIGHT(INDIRECT(ADDRESS(ROW(D2012)-1, 'From Order'!$A2012)), 1), D2011))"),"RBJCL")</f>
        <v>RBJCL</v>
      </c>
      <c r="E2012" s="2" t="str">
        <f>IFERROR(__xludf.DUMMYFUNCTION("IF('From Order'!$A2012=COLUMNS($A2012:E2031), LEFT(INDEX(FILTER(E$1:E2011, E$1:E2011&lt;&gt;""""),COUNTA(FILTER(E$1:E2011, E$1:E2011&lt;&gt;""""))), LEN(INDEX(FILTER(E$1:E2011, E$1:E2011&lt;&gt;""""),COUNTA(FILTER(E$1:E2011, E$1:E2011&lt;&gt;""""))))-1), IF('To Order'!$A2012=COL"&amp;"UMNS($A2012:E2031), E2011&amp;RIGHT(INDIRECT(ADDRESS(ROW(E2012)-1, 'From Order'!$A2012)), 1), E2011))"),"")</f>
        <v/>
      </c>
      <c r="F2012" s="2" t="str">
        <f>IFERROR(__xludf.DUMMYFUNCTION("IF('From Order'!$A2012=COLUMNS($A2012:F2031), LEFT(INDEX(FILTER(F$1:F2011, F$1:F2011&lt;&gt;""""),COUNTA(FILTER(F$1:F2011, F$1:F2011&lt;&gt;""""))), LEN(INDEX(FILTER(F$1:F2011, F$1:F2011&lt;&gt;""""),COUNTA(FILTER(F$1:F2011, F$1:F2011&lt;&gt;""""))))-1), IF('To Order'!$A2012=COL"&amp;"UMNS($A2012:F2031), F2011&amp;RIGHT(INDIRECT(ADDRESS(ROW(F2012)-1, 'From Order'!$A2012)), 1), F2011))"),"")</f>
        <v/>
      </c>
      <c r="G2012" s="2" t="str">
        <f>IFERROR(__xludf.DUMMYFUNCTION("IF('From Order'!$A2012=COLUMNS($A2012:G2031), LEFT(INDEX(FILTER(G$1:G2011, G$1:G2011&lt;&gt;""""),COUNTA(FILTER(G$1:G2011, G$1:G2011&lt;&gt;""""))), LEN(INDEX(FILTER(G$1:G2011, G$1:G2011&lt;&gt;""""),COUNTA(FILTER(G$1:G2011, G$1:G2011&lt;&gt;""""))))-1), IF('To Order'!$A2012=COL"&amp;"UMNS($A2012:G2031), G2011&amp;RIGHT(INDIRECT(ADDRESS(ROW(G2012)-1, 'From Order'!$A2012)), 1), G2011))"),"G")</f>
        <v>G</v>
      </c>
      <c r="H2012" s="2" t="str">
        <f>IFERROR(__xludf.DUMMYFUNCTION("IF('From Order'!$A2012=COLUMNS($A2012:H2031), LEFT(INDEX(FILTER(H$1:H2011, H$1:H2011&lt;&gt;""""),COUNTA(FILTER(H$1:H2011, H$1:H2011&lt;&gt;""""))), LEN(INDEX(FILTER(H$1:H2011, H$1:H2011&lt;&gt;""""),COUNTA(FILTER(H$1:H2011, H$1:H2011&lt;&gt;""""))))-1), IF('To Order'!$A2012=COL"&amp;"UMNS($A2012:H2031), H2011&amp;RIGHT(INDIRECT(ADDRESS(ROW(H2012)-1, 'From Order'!$A2012)), 1), H2011))"),"QTRRD")</f>
        <v>QTRRD</v>
      </c>
      <c r="I2012" s="2" t="str">
        <f>IFERROR(__xludf.DUMMYFUNCTION("IF('From Order'!$A2012=COLUMNS($A2012:I2031), LEFT(INDEX(FILTER(I$1:I2011, I$1:I2011&lt;&gt;""""),COUNTA(FILTER(I$1:I2011, I$1:I2011&lt;&gt;""""))), LEN(INDEX(FILTER(I$1:I2011, I$1:I2011&lt;&gt;""""),COUNTA(FILTER(I$1:I2011, I$1:I2011&lt;&gt;""""))))-1), IF('To Order'!$A2012=COL"&amp;"UMNS($A2012:I2031), I2011&amp;RIGHT(INDIRECT(ADDRESS(ROW(I2012)-1, 'From Order'!$A2012)), 1), I2011))"),"DV")</f>
        <v>DV</v>
      </c>
    </row>
    <row r="2013">
      <c r="A2013" s="2" t="str">
        <f>IFERROR(__xludf.DUMMYFUNCTION("IF('From Order'!$A2013=COLUMNS($A2013:A2032), LEFT(INDEX(FILTER(A$1:A2012, A$1:A2012&lt;&gt;""""),COUNTA(FILTER(A$1:A2012, A$1:A2012&lt;&gt;""""))), LEN(INDEX(FILTER(A$1:A2012, A$1:A2012&lt;&gt;""""),COUNTA(FILTER(A$1:A2012, A$1:A2012&lt;&gt;""""))))-1), IF('To Order'!$A2013=COL"&amp;"UMNS($A2013:A2032), A2012&amp;RIGHT(INDIRECT(ADDRESS(ROW(A2013)-1, 'From Order'!$A2013)), 1), A2012))"),"DSPBFLLWDDVQJPPSSTWZCSFHBBVRRJMGTTMDZHZMTCT")</f>
        <v>DSPBFLLWDDVQJPPSSTWZCSFHBBVRRJMGTTMDZHZMTCT</v>
      </c>
      <c r="B2013" s="2" t="str">
        <f>IFERROR(__xludf.DUMMYFUNCTION("IF('From Order'!$A2013=COLUMNS($A2013:B2032), LEFT(INDEX(FILTER(B$1:B2012, B$1:B2012&lt;&gt;""""),COUNTA(FILTER(B$1:B2012, B$1:B2012&lt;&gt;""""))), LEN(INDEX(FILTER(B$1:B2012, B$1:B2012&lt;&gt;""""),COUNTA(FILTER(B$1:B2012, B$1:B2012&lt;&gt;""""))))-1), IF('To Order'!$A2013=COL"&amp;"UMNS($A2013:B2032), B2012&amp;RIGHT(INDIRECT(ADDRESS(ROW(B2013)-1, 'From Order'!$A2013)), 1), B2012))"),"")</f>
        <v/>
      </c>
      <c r="C2013" s="2" t="str">
        <f>IFERROR(__xludf.DUMMYFUNCTION("IF('From Order'!$A2013=COLUMNS($A2013:C2032), LEFT(INDEX(FILTER(C$1:C2012, C$1:C2012&lt;&gt;""""),COUNTA(FILTER(C$1:C2012, C$1:C2012&lt;&gt;""""))), LEN(INDEX(FILTER(C$1:C2012, C$1:C2012&lt;&gt;""""),COUNTA(FILTER(C$1:C2012, C$1:C2012&lt;&gt;""""))))-1), IF('To Order'!$A2013=COL"&amp;"UMNS($A2013:C2032), C2012&amp;RIGHT(INDIRECT(ADDRESS(ROW(C2013)-1, 'From Order'!$A2013)), 1), C2012))"),"")</f>
        <v/>
      </c>
      <c r="D2013" s="2" t="str">
        <f>IFERROR(__xludf.DUMMYFUNCTION("IF('From Order'!$A2013=COLUMNS($A2013:D2032), LEFT(INDEX(FILTER(D$1:D2012, D$1:D2012&lt;&gt;""""),COUNTA(FILTER(D$1:D2012, D$1:D2012&lt;&gt;""""))), LEN(INDEX(FILTER(D$1:D2012, D$1:D2012&lt;&gt;""""),COUNTA(FILTER(D$1:D2012, D$1:D2012&lt;&gt;""""))))-1), IF('To Order'!$A2013=COL"&amp;"UMNS($A2013:D2032), D2012&amp;RIGHT(INDIRECT(ADDRESS(ROW(D2013)-1, 'From Order'!$A2013)), 1), D2012))"),"RBJCL")</f>
        <v>RBJCL</v>
      </c>
      <c r="E2013" s="2" t="str">
        <f>IFERROR(__xludf.DUMMYFUNCTION("IF('From Order'!$A2013=COLUMNS($A2013:E2032), LEFT(INDEX(FILTER(E$1:E2012, E$1:E2012&lt;&gt;""""),COUNTA(FILTER(E$1:E2012, E$1:E2012&lt;&gt;""""))), LEN(INDEX(FILTER(E$1:E2012, E$1:E2012&lt;&gt;""""),COUNTA(FILTER(E$1:E2012, E$1:E2012&lt;&gt;""""))))-1), IF('To Order'!$A2013=COL"&amp;"UMNS($A2013:E2032), E2012&amp;RIGHT(INDIRECT(ADDRESS(ROW(E2013)-1, 'From Order'!$A2013)), 1), E2012))"),"")</f>
        <v/>
      </c>
      <c r="F2013" s="2" t="str">
        <f>IFERROR(__xludf.DUMMYFUNCTION("IF('From Order'!$A2013=COLUMNS($A2013:F2032), LEFT(INDEX(FILTER(F$1:F2012, F$1:F2012&lt;&gt;""""),COUNTA(FILTER(F$1:F2012, F$1:F2012&lt;&gt;""""))), LEN(INDEX(FILTER(F$1:F2012, F$1:F2012&lt;&gt;""""),COUNTA(FILTER(F$1:F2012, F$1:F2012&lt;&gt;""""))))-1), IF('To Order'!$A2013=COL"&amp;"UMNS($A2013:F2032), F2012&amp;RIGHT(INDIRECT(ADDRESS(ROW(F2013)-1, 'From Order'!$A2013)), 1), F2012))"),"")</f>
        <v/>
      </c>
      <c r="G2013" s="2" t="str">
        <f>IFERROR(__xludf.DUMMYFUNCTION("IF('From Order'!$A2013=COLUMNS($A2013:G2032), LEFT(INDEX(FILTER(G$1:G2012, G$1:G2012&lt;&gt;""""),COUNTA(FILTER(G$1:G2012, G$1:G2012&lt;&gt;""""))), LEN(INDEX(FILTER(G$1:G2012, G$1:G2012&lt;&gt;""""),COUNTA(FILTER(G$1:G2012, G$1:G2012&lt;&gt;""""))))-1), IF('To Order'!$A2013=COL"&amp;"UMNS($A2013:G2032), G2012&amp;RIGHT(INDIRECT(ADDRESS(ROW(G2013)-1, 'From Order'!$A2013)), 1), G2012))"),"G")</f>
        <v>G</v>
      </c>
      <c r="H2013" s="2" t="str">
        <f>IFERROR(__xludf.DUMMYFUNCTION("IF('From Order'!$A2013=COLUMNS($A2013:H2032), LEFT(INDEX(FILTER(H$1:H2012, H$1:H2012&lt;&gt;""""),COUNTA(FILTER(H$1:H2012, H$1:H2012&lt;&gt;""""))), LEN(INDEX(FILTER(H$1:H2012, H$1:H2012&lt;&gt;""""),COUNTA(FILTER(H$1:H2012, H$1:H2012&lt;&gt;""""))))-1), IF('To Order'!$A2013=COL"&amp;"UMNS($A2013:H2032), H2012&amp;RIGHT(INDIRECT(ADDRESS(ROW(H2013)-1, 'From Order'!$A2013)), 1), H2012))"),"QTRRDV")</f>
        <v>QTRRDV</v>
      </c>
      <c r="I2013" s="2" t="str">
        <f>IFERROR(__xludf.DUMMYFUNCTION("IF('From Order'!$A2013=COLUMNS($A2013:I2032), LEFT(INDEX(FILTER(I$1:I2012, I$1:I2012&lt;&gt;""""),COUNTA(FILTER(I$1:I2012, I$1:I2012&lt;&gt;""""))), LEN(INDEX(FILTER(I$1:I2012, I$1:I2012&lt;&gt;""""),COUNTA(FILTER(I$1:I2012, I$1:I2012&lt;&gt;""""))))-1), IF('To Order'!$A2013=COL"&amp;"UMNS($A2013:I2032), I2012&amp;RIGHT(INDIRECT(ADDRESS(ROW(I2013)-1, 'From Order'!$A2013)), 1), I2012))"),"D")</f>
        <v>D</v>
      </c>
    </row>
    <row r="2014">
      <c r="A2014" s="2" t="str">
        <f>IFERROR(__xludf.DUMMYFUNCTION("IF('From Order'!$A2014=COLUMNS($A2014:A2033), LEFT(INDEX(FILTER(A$1:A2013, A$1:A2013&lt;&gt;""""),COUNTA(FILTER(A$1:A2013, A$1:A2013&lt;&gt;""""))), LEN(INDEX(FILTER(A$1:A2013, A$1:A2013&lt;&gt;""""),COUNTA(FILTER(A$1:A2013, A$1:A2013&lt;&gt;""""))))-1), IF('To Order'!$A2014=COL"&amp;"UMNS($A2014:A2033), A2013&amp;RIGHT(INDIRECT(ADDRESS(ROW(A2014)-1, 'From Order'!$A2014)), 1), A2013))"),"DSPBFLLWDDVQJPPSSTWZCSFHBBVRRJMGTTMDZHZMTC")</f>
        <v>DSPBFLLWDDVQJPPSSTWZCSFHBBVRRJMGTTMDZHZMTC</v>
      </c>
      <c r="B2014" s="2" t="str">
        <f>IFERROR(__xludf.DUMMYFUNCTION("IF('From Order'!$A2014=COLUMNS($A2014:B2033), LEFT(INDEX(FILTER(B$1:B2013, B$1:B2013&lt;&gt;""""),COUNTA(FILTER(B$1:B2013, B$1:B2013&lt;&gt;""""))), LEN(INDEX(FILTER(B$1:B2013, B$1:B2013&lt;&gt;""""),COUNTA(FILTER(B$1:B2013, B$1:B2013&lt;&gt;""""))))-1), IF('To Order'!$A2014=COL"&amp;"UMNS($A2014:B2033), B2013&amp;RIGHT(INDIRECT(ADDRESS(ROW(B2014)-1, 'From Order'!$A2014)), 1), B2013))"),"")</f>
        <v/>
      </c>
      <c r="C2014" s="2" t="str">
        <f>IFERROR(__xludf.DUMMYFUNCTION("IF('From Order'!$A2014=COLUMNS($A2014:C2033), LEFT(INDEX(FILTER(C$1:C2013, C$1:C2013&lt;&gt;""""),COUNTA(FILTER(C$1:C2013, C$1:C2013&lt;&gt;""""))), LEN(INDEX(FILTER(C$1:C2013, C$1:C2013&lt;&gt;""""),COUNTA(FILTER(C$1:C2013, C$1:C2013&lt;&gt;""""))))-1), IF('To Order'!$A2014=COL"&amp;"UMNS($A2014:C2033), C2013&amp;RIGHT(INDIRECT(ADDRESS(ROW(C2014)-1, 'From Order'!$A2014)), 1), C2013))"),"")</f>
        <v/>
      </c>
      <c r="D2014" s="2" t="str">
        <f>IFERROR(__xludf.DUMMYFUNCTION("IF('From Order'!$A2014=COLUMNS($A2014:D2033), LEFT(INDEX(FILTER(D$1:D2013, D$1:D2013&lt;&gt;""""),COUNTA(FILTER(D$1:D2013, D$1:D2013&lt;&gt;""""))), LEN(INDEX(FILTER(D$1:D2013, D$1:D2013&lt;&gt;""""),COUNTA(FILTER(D$1:D2013, D$1:D2013&lt;&gt;""""))))-1), IF('To Order'!$A2014=COL"&amp;"UMNS($A2014:D2033), D2013&amp;RIGHT(INDIRECT(ADDRESS(ROW(D2014)-1, 'From Order'!$A2014)), 1), D2013))"),"RBJCL")</f>
        <v>RBJCL</v>
      </c>
      <c r="E2014" s="2" t="str">
        <f>IFERROR(__xludf.DUMMYFUNCTION("IF('From Order'!$A2014=COLUMNS($A2014:E2033), LEFT(INDEX(FILTER(E$1:E2013, E$1:E2013&lt;&gt;""""),COUNTA(FILTER(E$1:E2013, E$1:E2013&lt;&gt;""""))), LEN(INDEX(FILTER(E$1:E2013, E$1:E2013&lt;&gt;""""),COUNTA(FILTER(E$1:E2013, E$1:E2013&lt;&gt;""""))))-1), IF('To Order'!$A2014=COL"&amp;"UMNS($A2014:E2033), E2013&amp;RIGHT(INDIRECT(ADDRESS(ROW(E2014)-1, 'From Order'!$A2014)), 1), E2013))"),"")</f>
        <v/>
      </c>
      <c r="F2014" s="2" t="str">
        <f>IFERROR(__xludf.DUMMYFUNCTION("IF('From Order'!$A2014=COLUMNS($A2014:F2033), LEFT(INDEX(FILTER(F$1:F2013, F$1:F2013&lt;&gt;""""),COUNTA(FILTER(F$1:F2013, F$1:F2013&lt;&gt;""""))), LEN(INDEX(FILTER(F$1:F2013, F$1:F2013&lt;&gt;""""),COUNTA(FILTER(F$1:F2013, F$1:F2013&lt;&gt;""""))))-1), IF('To Order'!$A2014=COL"&amp;"UMNS($A2014:F2033), F2013&amp;RIGHT(INDIRECT(ADDRESS(ROW(F2014)-1, 'From Order'!$A2014)), 1), F2013))"),"")</f>
        <v/>
      </c>
      <c r="G2014" s="2" t="str">
        <f>IFERROR(__xludf.DUMMYFUNCTION("IF('From Order'!$A2014=COLUMNS($A2014:G2033), LEFT(INDEX(FILTER(G$1:G2013, G$1:G2013&lt;&gt;""""),COUNTA(FILTER(G$1:G2013, G$1:G2013&lt;&gt;""""))), LEN(INDEX(FILTER(G$1:G2013, G$1:G2013&lt;&gt;""""),COUNTA(FILTER(G$1:G2013, G$1:G2013&lt;&gt;""""))))-1), IF('To Order'!$A2014=COL"&amp;"UMNS($A2014:G2033), G2013&amp;RIGHT(INDIRECT(ADDRESS(ROW(G2014)-1, 'From Order'!$A2014)), 1), G2013))"),"G")</f>
        <v>G</v>
      </c>
      <c r="H2014" s="2" t="str">
        <f>IFERROR(__xludf.DUMMYFUNCTION("IF('From Order'!$A2014=COLUMNS($A2014:H2033), LEFT(INDEX(FILTER(H$1:H2013, H$1:H2013&lt;&gt;""""),COUNTA(FILTER(H$1:H2013, H$1:H2013&lt;&gt;""""))), LEN(INDEX(FILTER(H$1:H2013, H$1:H2013&lt;&gt;""""),COUNTA(FILTER(H$1:H2013, H$1:H2013&lt;&gt;""""))))-1), IF('To Order'!$A2014=COL"&amp;"UMNS($A2014:H2033), H2013&amp;RIGHT(INDIRECT(ADDRESS(ROW(H2014)-1, 'From Order'!$A2014)), 1), H2013))"),"QTRRDV")</f>
        <v>QTRRDV</v>
      </c>
      <c r="I2014" s="2" t="str">
        <f>IFERROR(__xludf.DUMMYFUNCTION("IF('From Order'!$A2014=COLUMNS($A2014:I2033), LEFT(INDEX(FILTER(I$1:I2013, I$1:I2013&lt;&gt;""""),COUNTA(FILTER(I$1:I2013, I$1:I2013&lt;&gt;""""))), LEN(INDEX(FILTER(I$1:I2013, I$1:I2013&lt;&gt;""""),COUNTA(FILTER(I$1:I2013, I$1:I2013&lt;&gt;""""))))-1), IF('To Order'!$A2014=COL"&amp;"UMNS($A2014:I2033), I2013&amp;RIGHT(INDIRECT(ADDRESS(ROW(I2014)-1, 'From Order'!$A2014)), 1), I2013))"),"DT")</f>
        <v>DT</v>
      </c>
    </row>
    <row r="2015">
      <c r="A2015" s="2" t="str">
        <f>IFERROR(__xludf.DUMMYFUNCTION("IF('From Order'!$A2015=COLUMNS($A2015:A2034), LEFT(INDEX(FILTER(A$1:A2014, A$1:A2014&lt;&gt;""""),COUNTA(FILTER(A$1:A2014, A$1:A2014&lt;&gt;""""))), LEN(INDEX(FILTER(A$1:A2014, A$1:A2014&lt;&gt;""""),COUNTA(FILTER(A$1:A2014, A$1:A2014&lt;&gt;""""))))-1), IF('To Order'!$A2015=COL"&amp;"UMNS($A2015:A2034), A2014&amp;RIGHT(INDIRECT(ADDRESS(ROW(A2015)-1, 'From Order'!$A2015)), 1), A2014))"),"DSPBFLLWDDVQJPPSSTWZCSFHBBVRRJMGTTMDZHZMT")</f>
        <v>DSPBFLLWDDVQJPPSSTWZCSFHBBVRRJMGTTMDZHZMT</v>
      </c>
      <c r="B2015" s="2" t="str">
        <f>IFERROR(__xludf.DUMMYFUNCTION("IF('From Order'!$A2015=COLUMNS($A2015:B2034), LEFT(INDEX(FILTER(B$1:B2014, B$1:B2014&lt;&gt;""""),COUNTA(FILTER(B$1:B2014, B$1:B2014&lt;&gt;""""))), LEN(INDEX(FILTER(B$1:B2014, B$1:B2014&lt;&gt;""""),COUNTA(FILTER(B$1:B2014, B$1:B2014&lt;&gt;""""))))-1), IF('To Order'!$A2015=COL"&amp;"UMNS($A2015:B2034), B2014&amp;RIGHT(INDIRECT(ADDRESS(ROW(B2015)-1, 'From Order'!$A2015)), 1), B2014))"),"")</f>
        <v/>
      </c>
      <c r="C2015" s="2" t="str">
        <f>IFERROR(__xludf.DUMMYFUNCTION("IF('From Order'!$A2015=COLUMNS($A2015:C2034), LEFT(INDEX(FILTER(C$1:C2014, C$1:C2014&lt;&gt;""""),COUNTA(FILTER(C$1:C2014, C$1:C2014&lt;&gt;""""))), LEN(INDEX(FILTER(C$1:C2014, C$1:C2014&lt;&gt;""""),COUNTA(FILTER(C$1:C2014, C$1:C2014&lt;&gt;""""))))-1), IF('To Order'!$A2015=COL"&amp;"UMNS($A2015:C2034), C2014&amp;RIGHT(INDIRECT(ADDRESS(ROW(C2015)-1, 'From Order'!$A2015)), 1), C2014))"),"")</f>
        <v/>
      </c>
      <c r="D2015" s="2" t="str">
        <f>IFERROR(__xludf.DUMMYFUNCTION("IF('From Order'!$A2015=COLUMNS($A2015:D2034), LEFT(INDEX(FILTER(D$1:D2014, D$1:D2014&lt;&gt;""""),COUNTA(FILTER(D$1:D2014, D$1:D2014&lt;&gt;""""))), LEN(INDEX(FILTER(D$1:D2014, D$1:D2014&lt;&gt;""""),COUNTA(FILTER(D$1:D2014, D$1:D2014&lt;&gt;""""))))-1), IF('To Order'!$A2015=COL"&amp;"UMNS($A2015:D2034), D2014&amp;RIGHT(INDIRECT(ADDRESS(ROW(D2015)-1, 'From Order'!$A2015)), 1), D2014))"),"RBJCL")</f>
        <v>RBJCL</v>
      </c>
      <c r="E2015" s="2" t="str">
        <f>IFERROR(__xludf.DUMMYFUNCTION("IF('From Order'!$A2015=COLUMNS($A2015:E2034), LEFT(INDEX(FILTER(E$1:E2014, E$1:E2014&lt;&gt;""""),COUNTA(FILTER(E$1:E2014, E$1:E2014&lt;&gt;""""))), LEN(INDEX(FILTER(E$1:E2014, E$1:E2014&lt;&gt;""""),COUNTA(FILTER(E$1:E2014, E$1:E2014&lt;&gt;""""))))-1), IF('To Order'!$A2015=COL"&amp;"UMNS($A2015:E2034), E2014&amp;RIGHT(INDIRECT(ADDRESS(ROW(E2015)-1, 'From Order'!$A2015)), 1), E2014))"),"")</f>
        <v/>
      </c>
      <c r="F2015" s="2" t="str">
        <f>IFERROR(__xludf.DUMMYFUNCTION("IF('From Order'!$A2015=COLUMNS($A2015:F2034), LEFT(INDEX(FILTER(F$1:F2014, F$1:F2014&lt;&gt;""""),COUNTA(FILTER(F$1:F2014, F$1:F2014&lt;&gt;""""))), LEN(INDEX(FILTER(F$1:F2014, F$1:F2014&lt;&gt;""""),COUNTA(FILTER(F$1:F2014, F$1:F2014&lt;&gt;""""))))-1), IF('To Order'!$A2015=COL"&amp;"UMNS($A2015:F2034), F2014&amp;RIGHT(INDIRECT(ADDRESS(ROW(F2015)-1, 'From Order'!$A2015)), 1), F2014))"),"")</f>
        <v/>
      </c>
      <c r="G2015" s="2" t="str">
        <f>IFERROR(__xludf.DUMMYFUNCTION("IF('From Order'!$A2015=COLUMNS($A2015:G2034), LEFT(INDEX(FILTER(G$1:G2014, G$1:G2014&lt;&gt;""""),COUNTA(FILTER(G$1:G2014, G$1:G2014&lt;&gt;""""))), LEN(INDEX(FILTER(G$1:G2014, G$1:G2014&lt;&gt;""""),COUNTA(FILTER(G$1:G2014, G$1:G2014&lt;&gt;""""))))-1), IF('To Order'!$A2015=COL"&amp;"UMNS($A2015:G2034), G2014&amp;RIGHT(INDIRECT(ADDRESS(ROW(G2015)-1, 'From Order'!$A2015)), 1), G2014))"),"G")</f>
        <v>G</v>
      </c>
      <c r="H2015" s="2" t="str">
        <f>IFERROR(__xludf.DUMMYFUNCTION("IF('From Order'!$A2015=COLUMNS($A2015:H2034), LEFT(INDEX(FILTER(H$1:H2014, H$1:H2014&lt;&gt;""""),COUNTA(FILTER(H$1:H2014, H$1:H2014&lt;&gt;""""))), LEN(INDEX(FILTER(H$1:H2014, H$1:H2014&lt;&gt;""""),COUNTA(FILTER(H$1:H2014, H$1:H2014&lt;&gt;""""))))-1), IF('To Order'!$A2015=COL"&amp;"UMNS($A2015:H2034), H2014&amp;RIGHT(INDIRECT(ADDRESS(ROW(H2015)-1, 'From Order'!$A2015)), 1), H2014))"),"QTRRDV")</f>
        <v>QTRRDV</v>
      </c>
      <c r="I2015" s="2" t="str">
        <f>IFERROR(__xludf.DUMMYFUNCTION("IF('From Order'!$A2015=COLUMNS($A2015:I2034), LEFT(INDEX(FILTER(I$1:I2014, I$1:I2014&lt;&gt;""""),COUNTA(FILTER(I$1:I2014, I$1:I2014&lt;&gt;""""))), LEN(INDEX(FILTER(I$1:I2014, I$1:I2014&lt;&gt;""""),COUNTA(FILTER(I$1:I2014, I$1:I2014&lt;&gt;""""))))-1), IF('To Order'!$A2015=COL"&amp;"UMNS($A2015:I2034), I2014&amp;RIGHT(INDIRECT(ADDRESS(ROW(I2015)-1, 'From Order'!$A2015)), 1), I2014))"),"DTC")</f>
        <v>DTC</v>
      </c>
    </row>
    <row r="2016">
      <c r="A2016" s="2" t="str">
        <f>IFERROR(__xludf.DUMMYFUNCTION("IF('From Order'!$A2016=COLUMNS($A2016:A2035), LEFT(INDEX(FILTER(A$1:A2015, A$1:A2015&lt;&gt;""""),COUNTA(FILTER(A$1:A2015, A$1:A2015&lt;&gt;""""))), LEN(INDEX(FILTER(A$1:A2015, A$1:A2015&lt;&gt;""""),COUNTA(FILTER(A$1:A2015, A$1:A2015&lt;&gt;""""))))-1), IF('To Order'!$A2016=COL"&amp;"UMNS($A2016:A2035), A2015&amp;RIGHT(INDIRECT(ADDRESS(ROW(A2016)-1, 'From Order'!$A2016)), 1), A2015))"),"DSPBFLLWDDVQJPPSSTWZCSFHBBVRRJMGTTMDZHZM")</f>
        <v>DSPBFLLWDDVQJPPSSTWZCSFHBBVRRJMGTTMDZHZM</v>
      </c>
      <c r="B2016" s="2" t="str">
        <f>IFERROR(__xludf.DUMMYFUNCTION("IF('From Order'!$A2016=COLUMNS($A2016:B2035), LEFT(INDEX(FILTER(B$1:B2015, B$1:B2015&lt;&gt;""""),COUNTA(FILTER(B$1:B2015, B$1:B2015&lt;&gt;""""))), LEN(INDEX(FILTER(B$1:B2015, B$1:B2015&lt;&gt;""""),COUNTA(FILTER(B$1:B2015, B$1:B2015&lt;&gt;""""))))-1), IF('To Order'!$A2016=COL"&amp;"UMNS($A2016:B2035), B2015&amp;RIGHT(INDIRECT(ADDRESS(ROW(B2016)-1, 'From Order'!$A2016)), 1), B2015))"),"")</f>
        <v/>
      </c>
      <c r="C2016" s="2" t="str">
        <f>IFERROR(__xludf.DUMMYFUNCTION("IF('From Order'!$A2016=COLUMNS($A2016:C2035), LEFT(INDEX(FILTER(C$1:C2015, C$1:C2015&lt;&gt;""""),COUNTA(FILTER(C$1:C2015, C$1:C2015&lt;&gt;""""))), LEN(INDEX(FILTER(C$1:C2015, C$1:C2015&lt;&gt;""""),COUNTA(FILTER(C$1:C2015, C$1:C2015&lt;&gt;""""))))-1), IF('To Order'!$A2016=COL"&amp;"UMNS($A2016:C2035), C2015&amp;RIGHT(INDIRECT(ADDRESS(ROW(C2016)-1, 'From Order'!$A2016)), 1), C2015))"),"")</f>
        <v/>
      </c>
      <c r="D2016" s="2" t="str">
        <f>IFERROR(__xludf.DUMMYFUNCTION("IF('From Order'!$A2016=COLUMNS($A2016:D2035), LEFT(INDEX(FILTER(D$1:D2015, D$1:D2015&lt;&gt;""""),COUNTA(FILTER(D$1:D2015, D$1:D2015&lt;&gt;""""))), LEN(INDEX(FILTER(D$1:D2015, D$1:D2015&lt;&gt;""""),COUNTA(FILTER(D$1:D2015, D$1:D2015&lt;&gt;""""))))-1), IF('To Order'!$A2016=COL"&amp;"UMNS($A2016:D2035), D2015&amp;RIGHT(INDIRECT(ADDRESS(ROW(D2016)-1, 'From Order'!$A2016)), 1), D2015))"),"RBJCL")</f>
        <v>RBJCL</v>
      </c>
      <c r="E2016" s="2" t="str">
        <f>IFERROR(__xludf.DUMMYFUNCTION("IF('From Order'!$A2016=COLUMNS($A2016:E2035), LEFT(INDEX(FILTER(E$1:E2015, E$1:E2015&lt;&gt;""""),COUNTA(FILTER(E$1:E2015, E$1:E2015&lt;&gt;""""))), LEN(INDEX(FILTER(E$1:E2015, E$1:E2015&lt;&gt;""""),COUNTA(FILTER(E$1:E2015, E$1:E2015&lt;&gt;""""))))-1), IF('To Order'!$A2016=COL"&amp;"UMNS($A2016:E2035), E2015&amp;RIGHT(INDIRECT(ADDRESS(ROW(E2016)-1, 'From Order'!$A2016)), 1), E2015))"),"")</f>
        <v/>
      </c>
      <c r="F2016" s="2" t="str">
        <f>IFERROR(__xludf.DUMMYFUNCTION("IF('From Order'!$A2016=COLUMNS($A2016:F2035), LEFT(INDEX(FILTER(F$1:F2015, F$1:F2015&lt;&gt;""""),COUNTA(FILTER(F$1:F2015, F$1:F2015&lt;&gt;""""))), LEN(INDEX(FILTER(F$1:F2015, F$1:F2015&lt;&gt;""""),COUNTA(FILTER(F$1:F2015, F$1:F2015&lt;&gt;""""))))-1), IF('To Order'!$A2016=COL"&amp;"UMNS($A2016:F2035), F2015&amp;RIGHT(INDIRECT(ADDRESS(ROW(F2016)-1, 'From Order'!$A2016)), 1), F2015))"),"")</f>
        <v/>
      </c>
      <c r="G2016" s="2" t="str">
        <f>IFERROR(__xludf.DUMMYFUNCTION("IF('From Order'!$A2016=COLUMNS($A2016:G2035), LEFT(INDEX(FILTER(G$1:G2015, G$1:G2015&lt;&gt;""""),COUNTA(FILTER(G$1:G2015, G$1:G2015&lt;&gt;""""))), LEN(INDEX(FILTER(G$1:G2015, G$1:G2015&lt;&gt;""""),COUNTA(FILTER(G$1:G2015, G$1:G2015&lt;&gt;""""))))-1), IF('To Order'!$A2016=COL"&amp;"UMNS($A2016:G2035), G2015&amp;RIGHT(INDIRECT(ADDRESS(ROW(G2016)-1, 'From Order'!$A2016)), 1), G2015))"),"G")</f>
        <v>G</v>
      </c>
      <c r="H2016" s="2" t="str">
        <f>IFERROR(__xludf.DUMMYFUNCTION("IF('From Order'!$A2016=COLUMNS($A2016:H2035), LEFT(INDEX(FILTER(H$1:H2015, H$1:H2015&lt;&gt;""""),COUNTA(FILTER(H$1:H2015, H$1:H2015&lt;&gt;""""))), LEN(INDEX(FILTER(H$1:H2015, H$1:H2015&lt;&gt;""""),COUNTA(FILTER(H$1:H2015, H$1:H2015&lt;&gt;""""))))-1), IF('To Order'!$A2016=COL"&amp;"UMNS($A2016:H2035), H2015&amp;RIGHT(INDIRECT(ADDRESS(ROW(H2016)-1, 'From Order'!$A2016)), 1), H2015))"),"QTRRDV")</f>
        <v>QTRRDV</v>
      </c>
      <c r="I2016" s="2" t="str">
        <f>IFERROR(__xludf.DUMMYFUNCTION("IF('From Order'!$A2016=COLUMNS($A2016:I2035), LEFT(INDEX(FILTER(I$1:I2015, I$1:I2015&lt;&gt;""""),COUNTA(FILTER(I$1:I2015, I$1:I2015&lt;&gt;""""))), LEN(INDEX(FILTER(I$1:I2015, I$1:I2015&lt;&gt;""""),COUNTA(FILTER(I$1:I2015, I$1:I2015&lt;&gt;""""))))-1), IF('To Order'!$A2016=COL"&amp;"UMNS($A2016:I2035), I2015&amp;RIGHT(INDIRECT(ADDRESS(ROW(I2016)-1, 'From Order'!$A2016)), 1), I2015))"),"DTCT")</f>
        <v>DTCT</v>
      </c>
    </row>
    <row r="2017">
      <c r="A2017" s="2" t="str">
        <f>IFERROR(__xludf.DUMMYFUNCTION("IF('From Order'!$A2017=COLUMNS($A2017:A2036), LEFT(INDEX(FILTER(A$1:A2016, A$1:A2016&lt;&gt;""""),COUNTA(FILTER(A$1:A2016, A$1:A2016&lt;&gt;""""))), LEN(INDEX(FILTER(A$1:A2016, A$1:A2016&lt;&gt;""""),COUNTA(FILTER(A$1:A2016, A$1:A2016&lt;&gt;""""))))-1), IF('To Order'!$A2017=COL"&amp;"UMNS($A2017:A2036), A2016&amp;RIGHT(INDIRECT(ADDRESS(ROW(A2017)-1, 'From Order'!$A2017)), 1), A2016))"),"DSPBFLLWDDVQJPPSSTWZCSFHBBVRRJMGTTMDZHZ")</f>
        <v>DSPBFLLWDDVQJPPSSTWZCSFHBBVRRJMGTTMDZHZ</v>
      </c>
      <c r="B2017" s="2" t="str">
        <f>IFERROR(__xludf.DUMMYFUNCTION("IF('From Order'!$A2017=COLUMNS($A2017:B2036), LEFT(INDEX(FILTER(B$1:B2016, B$1:B2016&lt;&gt;""""),COUNTA(FILTER(B$1:B2016, B$1:B2016&lt;&gt;""""))), LEN(INDEX(FILTER(B$1:B2016, B$1:B2016&lt;&gt;""""),COUNTA(FILTER(B$1:B2016, B$1:B2016&lt;&gt;""""))))-1), IF('To Order'!$A2017=COL"&amp;"UMNS($A2017:B2036), B2016&amp;RIGHT(INDIRECT(ADDRESS(ROW(B2017)-1, 'From Order'!$A2017)), 1), B2016))"),"")</f>
        <v/>
      </c>
      <c r="C2017" s="2" t="str">
        <f>IFERROR(__xludf.DUMMYFUNCTION("IF('From Order'!$A2017=COLUMNS($A2017:C2036), LEFT(INDEX(FILTER(C$1:C2016, C$1:C2016&lt;&gt;""""),COUNTA(FILTER(C$1:C2016, C$1:C2016&lt;&gt;""""))), LEN(INDEX(FILTER(C$1:C2016, C$1:C2016&lt;&gt;""""),COUNTA(FILTER(C$1:C2016, C$1:C2016&lt;&gt;""""))))-1), IF('To Order'!$A2017=COL"&amp;"UMNS($A2017:C2036), C2016&amp;RIGHT(INDIRECT(ADDRESS(ROW(C2017)-1, 'From Order'!$A2017)), 1), C2016))"),"")</f>
        <v/>
      </c>
      <c r="D2017" s="2" t="str">
        <f>IFERROR(__xludf.DUMMYFUNCTION("IF('From Order'!$A2017=COLUMNS($A2017:D2036), LEFT(INDEX(FILTER(D$1:D2016, D$1:D2016&lt;&gt;""""),COUNTA(FILTER(D$1:D2016, D$1:D2016&lt;&gt;""""))), LEN(INDEX(FILTER(D$1:D2016, D$1:D2016&lt;&gt;""""),COUNTA(FILTER(D$1:D2016, D$1:D2016&lt;&gt;""""))))-1), IF('To Order'!$A2017=COL"&amp;"UMNS($A2017:D2036), D2016&amp;RIGHT(INDIRECT(ADDRESS(ROW(D2017)-1, 'From Order'!$A2017)), 1), D2016))"),"RBJCL")</f>
        <v>RBJCL</v>
      </c>
      <c r="E2017" s="2" t="str">
        <f>IFERROR(__xludf.DUMMYFUNCTION("IF('From Order'!$A2017=COLUMNS($A2017:E2036), LEFT(INDEX(FILTER(E$1:E2016, E$1:E2016&lt;&gt;""""),COUNTA(FILTER(E$1:E2016, E$1:E2016&lt;&gt;""""))), LEN(INDEX(FILTER(E$1:E2016, E$1:E2016&lt;&gt;""""),COUNTA(FILTER(E$1:E2016, E$1:E2016&lt;&gt;""""))))-1), IF('To Order'!$A2017=COL"&amp;"UMNS($A2017:E2036), E2016&amp;RIGHT(INDIRECT(ADDRESS(ROW(E2017)-1, 'From Order'!$A2017)), 1), E2016))"),"")</f>
        <v/>
      </c>
      <c r="F2017" s="2" t="str">
        <f>IFERROR(__xludf.DUMMYFUNCTION("IF('From Order'!$A2017=COLUMNS($A2017:F2036), LEFT(INDEX(FILTER(F$1:F2016, F$1:F2016&lt;&gt;""""),COUNTA(FILTER(F$1:F2016, F$1:F2016&lt;&gt;""""))), LEN(INDEX(FILTER(F$1:F2016, F$1:F2016&lt;&gt;""""),COUNTA(FILTER(F$1:F2016, F$1:F2016&lt;&gt;""""))))-1), IF('To Order'!$A2017=COL"&amp;"UMNS($A2017:F2036), F2016&amp;RIGHT(INDIRECT(ADDRESS(ROW(F2017)-1, 'From Order'!$A2017)), 1), F2016))"),"")</f>
        <v/>
      </c>
      <c r="G2017" s="2" t="str">
        <f>IFERROR(__xludf.DUMMYFUNCTION("IF('From Order'!$A2017=COLUMNS($A2017:G2036), LEFT(INDEX(FILTER(G$1:G2016, G$1:G2016&lt;&gt;""""),COUNTA(FILTER(G$1:G2016, G$1:G2016&lt;&gt;""""))), LEN(INDEX(FILTER(G$1:G2016, G$1:G2016&lt;&gt;""""),COUNTA(FILTER(G$1:G2016, G$1:G2016&lt;&gt;""""))))-1), IF('To Order'!$A2017=COL"&amp;"UMNS($A2017:G2036), G2016&amp;RIGHT(INDIRECT(ADDRESS(ROW(G2017)-1, 'From Order'!$A2017)), 1), G2016))"),"G")</f>
        <v>G</v>
      </c>
      <c r="H2017" s="2" t="str">
        <f>IFERROR(__xludf.DUMMYFUNCTION("IF('From Order'!$A2017=COLUMNS($A2017:H2036), LEFT(INDEX(FILTER(H$1:H2016, H$1:H2016&lt;&gt;""""),COUNTA(FILTER(H$1:H2016, H$1:H2016&lt;&gt;""""))), LEN(INDEX(FILTER(H$1:H2016, H$1:H2016&lt;&gt;""""),COUNTA(FILTER(H$1:H2016, H$1:H2016&lt;&gt;""""))))-1), IF('To Order'!$A2017=COL"&amp;"UMNS($A2017:H2036), H2016&amp;RIGHT(INDIRECT(ADDRESS(ROW(H2017)-1, 'From Order'!$A2017)), 1), H2016))"),"QTRRDV")</f>
        <v>QTRRDV</v>
      </c>
      <c r="I2017" s="2" t="str">
        <f>IFERROR(__xludf.DUMMYFUNCTION("IF('From Order'!$A2017=COLUMNS($A2017:I2036), LEFT(INDEX(FILTER(I$1:I2016, I$1:I2016&lt;&gt;""""),COUNTA(FILTER(I$1:I2016, I$1:I2016&lt;&gt;""""))), LEN(INDEX(FILTER(I$1:I2016, I$1:I2016&lt;&gt;""""),COUNTA(FILTER(I$1:I2016, I$1:I2016&lt;&gt;""""))))-1), IF('To Order'!$A2017=COL"&amp;"UMNS($A2017:I2036), I2016&amp;RIGHT(INDIRECT(ADDRESS(ROW(I2017)-1, 'From Order'!$A2017)), 1), I2016))"),"DTCTM")</f>
        <v>DTCTM</v>
      </c>
    </row>
    <row r="2018">
      <c r="A2018" s="2" t="str">
        <f>IFERROR(__xludf.DUMMYFUNCTION("IF('From Order'!$A2018=COLUMNS($A2018:A2037), LEFT(INDEX(FILTER(A$1:A2017, A$1:A2017&lt;&gt;""""),COUNTA(FILTER(A$1:A2017, A$1:A2017&lt;&gt;""""))), LEN(INDEX(FILTER(A$1:A2017, A$1:A2017&lt;&gt;""""),COUNTA(FILTER(A$1:A2017, A$1:A2017&lt;&gt;""""))))-1), IF('To Order'!$A2018=COL"&amp;"UMNS($A2018:A2037), A2017&amp;RIGHT(INDIRECT(ADDRESS(ROW(A2018)-1, 'From Order'!$A2018)), 1), A2017))"),"DSPBFLLWDDVQJPPSSTWZCSFHBBVRRJMGTTMDZH")</f>
        <v>DSPBFLLWDDVQJPPSSTWZCSFHBBVRRJMGTTMDZH</v>
      </c>
      <c r="B2018" s="2" t="str">
        <f>IFERROR(__xludf.DUMMYFUNCTION("IF('From Order'!$A2018=COLUMNS($A2018:B2037), LEFT(INDEX(FILTER(B$1:B2017, B$1:B2017&lt;&gt;""""),COUNTA(FILTER(B$1:B2017, B$1:B2017&lt;&gt;""""))), LEN(INDEX(FILTER(B$1:B2017, B$1:B2017&lt;&gt;""""),COUNTA(FILTER(B$1:B2017, B$1:B2017&lt;&gt;""""))))-1), IF('To Order'!$A2018=COL"&amp;"UMNS($A2018:B2037), B2017&amp;RIGHT(INDIRECT(ADDRESS(ROW(B2018)-1, 'From Order'!$A2018)), 1), B2017))"),"")</f>
        <v/>
      </c>
      <c r="C2018" s="2" t="str">
        <f>IFERROR(__xludf.DUMMYFUNCTION("IF('From Order'!$A2018=COLUMNS($A2018:C2037), LEFT(INDEX(FILTER(C$1:C2017, C$1:C2017&lt;&gt;""""),COUNTA(FILTER(C$1:C2017, C$1:C2017&lt;&gt;""""))), LEN(INDEX(FILTER(C$1:C2017, C$1:C2017&lt;&gt;""""),COUNTA(FILTER(C$1:C2017, C$1:C2017&lt;&gt;""""))))-1), IF('To Order'!$A2018=COL"&amp;"UMNS($A2018:C2037), C2017&amp;RIGHT(INDIRECT(ADDRESS(ROW(C2018)-1, 'From Order'!$A2018)), 1), C2017))"),"")</f>
        <v/>
      </c>
      <c r="D2018" s="2" t="str">
        <f>IFERROR(__xludf.DUMMYFUNCTION("IF('From Order'!$A2018=COLUMNS($A2018:D2037), LEFT(INDEX(FILTER(D$1:D2017, D$1:D2017&lt;&gt;""""),COUNTA(FILTER(D$1:D2017, D$1:D2017&lt;&gt;""""))), LEN(INDEX(FILTER(D$1:D2017, D$1:D2017&lt;&gt;""""),COUNTA(FILTER(D$1:D2017, D$1:D2017&lt;&gt;""""))))-1), IF('To Order'!$A2018=COL"&amp;"UMNS($A2018:D2037), D2017&amp;RIGHT(INDIRECT(ADDRESS(ROW(D2018)-1, 'From Order'!$A2018)), 1), D2017))"),"RBJCL")</f>
        <v>RBJCL</v>
      </c>
      <c r="E2018" s="2" t="str">
        <f>IFERROR(__xludf.DUMMYFUNCTION("IF('From Order'!$A2018=COLUMNS($A2018:E2037), LEFT(INDEX(FILTER(E$1:E2017, E$1:E2017&lt;&gt;""""),COUNTA(FILTER(E$1:E2017, E$1:E2017&lt;&gt;""""))), LEN(INDEX(FILTER(E$1:E2017, E$1:E2017&lt;&gt;""""),COUNTA(FILTER(E$1:E2017, E$1:E2017&lt;&gt;""""))))-1), IF('To Order'!$A2018=COL"&amp;"UMNS($A2018:E2037), E2017&amp;RIGHT(INDIRECT(ADDRESS(ROW(E2018)-1, 'From Order'!$A2018)), 1), E2017))"),"")</f>
        <v/>
      </c>
      <c r="F2018" s="2" t="str">
        <f>IFERROR(__xludf.DUMMYFUNCTION("IF('From Order'!$A2018=COLUMNS($A2018:F2037), LEFT(INDEX(FILTER(F$1:F2017, F$1:F2017&lt;&gt;""""),COUNTA(FILTER(F$1:F2017, F$1:F2017&lt;&gt;""""))), LEN(INDEX(FILTER(F$1:F2017, F$1:F2017&lt;&gt;""""),COUNTA(FILTER(F$1:F2017, F$1:F2017&lt;&gt;""""))))-1), IF('To Order'!$A2018=COL"&amp;"UMNS($A2018:F2037), F2017&amp;RIGHT(INDIRECT(ADDRESS(ROW(F2018)-1, 'From Order'!$A2018)), 1), F2017))"),"")</f>
        <v/>
      </c>
      <c r="G2018" s="2" t="str">
        <f>IFERROR(__xludf.DUMMYFUNCTION("IF('From Order'!$A2018=COLUMNS($A2018:G2037), LEFT(INDEX(FILTER(G$1:G2017, G$1:G2017&lt;&gt;""""),COUNTA(FILTER(G$1:G2017, G$1:G2017&lt;&gt;""""))), LEN(INDEX(FILTER(G$1:G2017, G$1:G2017&lt;&gt;""""),COUNTA(FILTER(G$1:G2017, G$1:G2017&lt;&gt;""""))))-1), IF('To Order'!$A2018=COL"&amp;"UMNS($A2018:G2037), G2017&amp;RIGHT(INDIRECT(ADDRESS(ROW(G2018)-1, 'From Order'!$A2018)), 1), G2017))"),"G")</f>
        <v>G</v>
      </c>
      <c r="H2018" s="2" t="str">
        <f>IFERROR(__xludf.DUMMYFUNCTION("IF('From Order'!$A2018=COLUMNS($A2018:H2037), LEFT(INDEX(FILTER(H$1:H2017, H$1:H2017&lt;&gt;""""),COUNTA(FILTER(H$1:H2017, H$1:H2017&lt;&gt;""""))), LEN(INDEX(FILTER(H$1:H2017, H$1:H2017&lt;&gt;""""),COUNTA(FILTER(H$1:H2017, H$1:H2017&lt;&gt;""""))))-1), IF('To Order'!$A2018=COL"&amp;"UMNS($A2018:H2037), H2017&amp;RIGHT(INDIRECT(ADDRESS(ROW(H2018)-1, 'From Order'!$A2018)), 1), H2017))"),"QTRRDV")</f>
        <v>QTRRDV</v>
      </c>
      <c r="I2018" s="2" t="str">
        <f>IFERROR(__xludf.DUMMYFUNCTION("IF('From Order'!$A2018=COLUMNS($A2018:I2037), LEFT(INDEX(FILTER(I$1:I2017, I$1:I2017&lt;&gt;""""),COUNTA(FILTER(I$1:I2017, I$1:I2017&lt;&gt;""""))), LEN(INDEX(FILTER(I$1:I2017, I$1:I2017&lt;&gt;""""),COUNTA(FILTER(I$1:I2017, I$1:I2017&lt;&gt;""""))))-1), IF('To Order'!$A2018=COL"&amp;"UMNS($A2018:I2037), I2017&amp;RIGHT(INDIRECT(ADDRESS(ROW(I2018)-1, 'From Order'!$A2018)), 1), I2017))"),"DTCTMZ")</f>
        <v>DTCTMZ</v>
      </c>
    </row>
    <row r="2019">
      <c r="A2019" s="2" t="str">
        <f>IFERROR(__xludf.DUMMYFUNCTION("IF('From Order'!$A2019=COLUMNS($A2019:A2038), LEFT(INDEX(FILTER(A$1:A2018, A$1:A2018&lt;&gt;""""),COUNTA(FILTER(A$1:A2018, A$1:A2018&lt;&gt;""""))), LEN(INDEX(FILTER(A$1:A2018, A$1:A2018&lt;&gt;""""),COUNTA(FILTER(A$1:A2018, A$1:A2018&lt;&gt;""""))))-1), IF('To Order'!$A2019=COL"&amp;"UMNS($A2019:A2038), A2018&amp;RIGHT(INDIRECT(ADDRESS(ROW(A2019)-1, 'From Order'!$A2019)), 1), A2018))"),"DSPBFLLWDDVQJPPSSTWZCSFHBBVRRJMGTTMDZ")</f>
        <v>DSPBFLLWDDVQJPPSSTWZCSFHBBVRRJMGTTMDZ</v>
      </c>
      <c r="B2019" s="2" t="str">
        <f>IFERROR(__xludf.DUMMYFUNCTION("IF('From Order'!$A2019=COLUMNS($A2019:B2038), LEFT(INDEX(FILTER(B$1:B2018, B$1:B2018&lt;&gt;""""),COUNTA(FILTER(B$1:B2018, B$1:B2018&lt;&gt;""""))), LEN(INDEX(FILTER(B$1:B2018, B$1:B2018&lt;&gt;""""),COUNTA(FILTER(B$1:B2018, B$1:B2018&lt;&gt;""""))))-1), IF('To Order'!$A2019=COL"&amp;"UMNS($A2019:B2038), B2018&amp;RIGHT(INDIRECT(ADDRESS(ROW(B2019)-1, 'From Order'!$A2019)), 1), B2018))"),"")</f>
        <v/>
      </c>
      <c r="C2019" s="2" t="str">
        <f>IFERROR(__xludf.DUMMYFUNCTION("IF('From Order'!$A2019=COLUMNS($A2019:C2038), LEFT(INDEX(FILTER(C$1:C2018, C$1:C2018&lt;&gt;""""),COUNTA(FILTER(C$1:C2018, C$1:C2018&lt;&gt;""""))), LEN(INDEX(FILTER(C$1:C2018, C$1:C2018&lt;&gt;""""),COUNTA(FILTER(C$1:C2018, C$1:C2018&lt;&gt;""""))))-1), IF('To Order'!$A2019=COL"&amp;"UMNS($A2019:C2038), C2018&amp;RIGHT(INDIRECT(ADDRESS(ROW(C2019)-1, 'From Order'!$A2019)), 1), C2018))"),"")</f>
        <v/>
      </c>
      <c r="D2019" s="2" t="str">
        <f>IFERROR(__xludf.DUMMYFUNCTION("IF('From Order'!$A2019=COLUMNS($A2019:D2038), LEFT(INDEX(FILTER(D$1:D2018, D$1:D2018&lt;&gt;""""),COUNTA(FILTER(D$1:D2018, D$1:D2018&lt;&gt;""""))), LEN(INDEX(FILTER(D$1:D2018, D$1:D2018&lt;&gt;""""),COUNTA(FILTER(D$1:D2018, D$1:D2018&lt;&gt;""""))))-1), IF('To Order'!$A2019=COL"&amp;"UMNS($A2019:D2038), D2018&amp;RIGHT(INDIRECT(ADDRESS(ROW(D2019)-1, 'From Order'!$A2019)), 1), D2018))"),"RBJCL")</f>
        <v>RBJCL</v>
      </c>
      <c r="E2019" s="2" t="str">
        <f>IFERROR(__xludf.DUMMYFUNCTION("IF('From Order'!$A2019=COLUMNS($A2019:E2038), LEFT(INDEX(FILTER(E$1:E2018, E$1:E2018&lt;&gt;""""),COUNTA(FILTER(E$1:E2018, E$1:E2018&lt;&gt;""""))), LEN(INDEX(FILTER(E$1:E2018, E$1:E2018&lt;&gt;""""),COUNTA(FILTER(E$1:E2018, E$1:E2018&lt;&gt;""""))))-1), IF('To Order'!$A2019=COL"&amp;"UMNS($A2019:E2038), E2018&amp;RIGHT(INDIRECT(ADDRESS(ROW(E2019)-1, 'From Order'!$A2019)), 1), E2018))"),"")</f>
        <v/>
      </c>
      <c r="F2019" s="2" t="str">
        <f>IFERROR(__xludf.DUMMYFUNCTION("IF('From Order'!$A2019=COLUMNS($A2019:F2038), LEFT(INDEX(FILTER(F$1:F2018, F$1:F2018&lt;&gt;""""),COUNTA(FILTER(F$1:F2018, F$1:F2018&lt;&gt;""""))), LEN(INDEX(FILTER(F$1:F2018, F$1:F2018&lt;&gt;""""),COUNTA(FILTER(F$1:F2018, F$1:F2018&lt;&gt;""""))))-1), IF('To Order'!$A2019=COL"&amp;"UMNS($A2019:F2038), F2018&amp;RIGHT(INDIRECT(ADDRESS(ROW(F2019)-1, 'From Order'!$A2019)), 1), F2018))"),"")</f>
        <v/>
      </c>
      <c r="G2019" s="2" t="str">
        <f>IFERROR(__xludf.DUMMYFUNCTION("IF('From Order'!$A2019=COLUMNS($A2019:G2038), LEFT(INDEX(FILTER(G$1:G2018, G$1:G2018&lt;&gt;""""),COUNTA(FILTER(G$1:G2018, G$1:G2018&lt;&gt;""""))), LEN(INDEX(FILTER(G$1:G2018, G$1:G2018&lt;&gt;""""),COUNTA(FILTER(G$1:G2018, G$1:G2018&lt;&gt;""""))))-1), IF('To Order'!$A2019=COL"&amp;"UMNS($A2019:G2038), G2018&amp;RIGHT(INDIRECT(ADDRESS(ROW(G2019)-1, 'From Order'!$A2019)), 1), G2018))"),"G")</f>
        <v>G</v>
      </c>
      <c r="H2019" s="2" t="str">
        <f>IFERROR(__xludf.DUMMYFUNCTION("IF('From Order'!$A2019=COLUMNS($A2019:H2038), LEFT(INDEX(FILTER(H$1:H2018, H$1:H2018&lt;&gt;""""),COUNTA(FILTER(H$1:H2018, H$1:H2018&lt;&gt;""""))), LEN(INDEX(FILTER(H$1:H2018, H$1:H2018&lt;&gt;""""),COUNTA(FILTER(H$1:H2018, H$1:H2018&lt;&gt;""""))))-1), IF('To Order'!$A2019=COL"&amp;"UMNS($A2019:H2038), H2018&amp;RIGHT(INDIRECT(ADDRESS(ROW(H2019)-1, 'From Order'!$A2019)), 1), H2018))"),"QTRRDV")</f>
        <v>QTRRDV</v>
      </c>
      <c r="I2019" s="2" t="str">
        <f>IFERROR(__xludf.DUMMYFUNCTION("IF('From Order'!$A2019=COLUMNS($A2019:I2038), LEFT(INDEX(FILTER(I$1:I2018, I$1:I2018&lt;&gt;""""),COUNTA(FILTER(I$1:I2018, I$1:I2018&lt;&gt;""""))), LEN(INDEX(FILTER(I$1:I2018, I$1:I2018&lt;&gt;""""),COUNTA(FILTER(I$1:I2018, I$1:I2018&lt;&gt;""""))))-1), IF('To Order'!$A2019=COL"&amp;"UMNS($A2019:I2038), I2018&amp;RIGHT(INDIRECT(ADDRESS(ROW(I2019)-1, 'From Order'!$A2019)), 1), I2018))"),"DTCTMZH")</f>
        <v>DTCTMZH</v>
      </c>
    </row>
    <row r="2020">
      <c r="A2020" s="2" t="str">
        <f>IFERROR(__xludf.DUMMYFUNCTION("IF('From Order'!$A2020=COLUMNS($A2020:A2039), LEFT(INDEX(FILTER(A$1:A2019, A$1:A2019&lt;&gt;""""),COUNTA(FILTER(A$1:A2019, A$1:A2019&lt;&gt;""""))), LEN(INDEX(FILTER(A$1:A2019, A$1:A2019&lt;&gt;""""),COUNTA(FILTER(A$1:A2019, A$1:A2019&lt;&gt;""""))))-1), IF('To Order'!$A2020=COL"&amp;"UMNS($A2020:A2039), A2019&amp;RIGHT(INDIRECT(ADDRESS(ROW(A2020)-1, 'From Order'!$A2020)), 1), A2019))"),"DSPBFLLWDDVQJPPSSTWZCSFHBBVRRJMGTTMD")</f>
        <v>DSPBFLLWDDVQJPPSSTWZCSFHBBVRRJMGTTMD</v>
      </c>
      <c r="B2020" s="2" t="str">
        <f>IFERROR(__xludf.DUMMYFUNCTION("IF('From Order'!$A2020=COLUMNS($A2020:B2039), LEFT(INDEX(FILTER(B$1:B2019, B$1:B2019&lt;&gt;""""),COUNTA(FILTER(B$1:B2019, B$1:B2019&lt;&gt;""""))), LEN(INDEX(FILTER(B$1:B2019, B$1:B2019&lt;&gt;""""),COUNTA(FILTER(B$1:B2019, B$1:B2019&lt;&gt;""""))))-1), IF('To Order'!$A2020=COL"&amp;"UMNS($A2020:B2039), B2019&amp;RIGHT(INDIRECT(ADDRESS(ROW(B2020)-1, 'From Order'!$A2020)), 1), B2019))"),"")</f>
        <v/>
      </c>
      <c r="C2020" s="2" t="str">
        <f>IFERROR(__xludf.DUMMYFUNCTION("IF('From Order'!$A2020=COLUMNS($A2020:C2039), LEFT(INDEX(FILTER(C$1:C2019, C$1:C2019&lt;&gt;""""),COUNTA(FILTER(C$1:C2019, C$1:C2019&lt;&gt;""""))), LEN(INDEX(FILTER(C$1:C2019, C$1:C2019&lt;&gt;""""),COUNTA(FILTER(C$1:C2019, C$1:C2019&lt;&gt;""""))))-1), IF('To Order'!$A2020=COL"&amp;"UMNS($A2020:C2039), C2019&amp;RIGHT(INDIRECT(ADDRESS(ROW(C2020)-1, 'From Order'!$A2020)), 1), C2019))"),"")</f>
        <v/>
      </c>
      <c r="D2020" s="2" t="str">
        <f>IFERROR(__xludf.DUMMYFUNCTION("IF('From Order'!$A2020=COLUMNS($A2020:D2039), LEFT(INDEX(FILTER(D$1:D2019, D$1:D2019&lt;&gt;""""),COUNTA(FILTER(D$1:D2019, D$1:D2019&lt;&gt;""""))), LEN(INDEX(FILTER(D$1:D2019, D$1:D2019&lt;&gt;""""),COUNTA(FILTER(D$1:D2019, D$1:D2019&lt;&gt;""""))))-1), IF('To Order'!$A2020=COL"&amp;"UMNS($A2020:D2039), D2019&amp;RIGHT(INDIRECT(ADDRESS(ROW(D2020)-1, 'From Order'!$A2020)), 1), D2019))"),"RBJCL")</f>
        <v>RBJCL</v>
      </c>
      <c r="E2020" s="2" t="str">
        <f>IFERROR(__xludf.DUMMYFUNCTION("IF('From Order'!$A2020=COLUMNS($A2020:E2039), LEFT(INDEX(FILTER(E$1:E2019, E$1:E2019&lt;&gt;""""),COUNTA(FILTER(E$1:E2019, E$1:E2019&lt;&gt;""""))), LEN(INDEX(FILTER(E$1:E2019, E$1:E2019&lt;&gt;""""),COUNTA(FILTER(E$1:E2019, E$1:E2019&lt;&gt;""""))))-1), IF('To Order'!$A2020=COL"&amp;"UMNS($A2020:E2039), E2019&amp;RIGHT(INDIRECT(ADDRESS(ROW(E2020)-1, 'From Order'!$A2020)), 1), E2019))"),"")</f>
        <v/>
      </c>
      <c r="F2020" s="2" t="str">
        <f>IFERROR(__xludf.DUMMYFUNCTION("IF('From Order'!$A2020=COLUMNS($A2020:F2039), LEFT(INDEX(FILTER(F$1:F2019, F$1:F2019&lt;&gt;""""),COUNTA(FILTER(F$1:F2019, F$1:F2019&lt;&gt;""""))), LEN(INDEX(FILTER(F$1:F2019, F$1:F2019&lt;&gt;""""),COUNTA(FILTER(F$1:F2019, F$1:F2019&lt;&gt;""""))))-1), IF('To Order'!$A2020=COL"&amp;"UMNS($A2020:F2039), F2019&amp;RIGHT(INDIRECT(ADDRESS(ROW(F2020)-1, 'From Order'!$A2020)), 1), F2019))"),"")</f>
        <v/>
      </c>
      <c r="G2020" s="2" t="str">
        <f>IFERROR(__xludf.DUMMYFUNCTION("IF('From Order'!$A2020=COLUMNS($A2020:G2039), LEFT(INDEX(FILTER(G$1:G2019, G$1:G2019&lt;&gt;""""),COUNTA(FILTER(G$1:G2019, G$1:G2019&lt;&gt;""""))), LEN(INDEX(FILTER(G$1:G2019, G$1:G2019&lt;&gt;""""),COUNTA(FILTER(G$1:G2019, G$1:G2019&lt;&gt;""""))))-1), IF('To Order'!$A2020=COL"&amp;"UMNS($A2020:G2039), G2019&amp;RIGHT(INDIRECT(ADDRESS(ROW(G2020)-1, 'From Order'!$A2020)), 1), G2019))"),"G")</f>
        <v>G</v>
      </c>
      <c r="H2020" s="2" t="str">
        <f>IFERROR(__xludf.DUMMYFUNCTION("IF('From Order'!$A2020=COLUMNS($A2020:H2039), LEFT(INDEX(FILTER(H$1:H2019, H$1:H2019&lt;&gt;""""),COUNTA(FILTER(H$1:H2019, H$1:H2019&lt;&gt;""""))), LEN(INDEX(FILTER(H$1:H2019, H$1:H2019&lt;&gt;""""),COUNTA(FILTER(H$1:H2019, H$1:H2019&lt;&gt;""""))))-1), IF('To Order'!$A2020=COL"&amp;"UMNS($A2020:H2039), H2019&amp;RIGHT(INDIRECT(ADDRESS(ROW(H2020)-1, 'From Order'!$A2020)), 1), H2019))"),"QTRRDV")</f>
        <v>QTRRDV</v>
      </c>
      <c r="I2020" s="2" t="str">
        <f>IFERROR(__xludf.DUMMYFUNCTION("IF('From Order'!$A2020=COLUMNS($A2020:I2039), LEFT(INDEX(FILTER(I$1:I2019, I$1:I2019&lt;&gt;""""),COUNTA(FILTER(I$1:I2019, I$1:I2019&lt;&gt;""""))), LEN(INDEX(FILTER(I$1:I2019, I$1:I2019&lt;&gt;""""),COUNTA(FILTER(I$1:I2019, I$1:I2019&lt;&gt;""""))))-1), IF('To Order'!$A2020=COL"&amp;"UMNS($A2020:I2039), I2019&amp;RIGHT(INDIRECT(ADDRESS(ROW(I2020)-1, 'From Order'!$A2020)), 1), I2019))"),"DTCTMZHZ")</f>
        <v>DTCTMZHZ</v>
      </c>
    </row>
    <row r="2021">
      <c r="A2021" s="2" t="str">
        <f>IFERROR(__xludf.DUMMYFUNCTION("IF('From Order'!$A2021=COLUMNS($A2021:A2040), LEFT(INDEX(FILTER(A$1:A2020, A$1:A2020&lt;&gt;""""),COUNTA(FILTER(A$1:A2020, A$1:A2020&lt;&gt;""""))), LEN(INDEX(FILTER(A$1:A2020, A$1:A2020&lt;&gt;""""),COUNTA(FILTER(A$1:A2020, A$1:A2020&lt;&gt;""""))))-1), IF('To Order'!$A2021=COL"&amp;"UMNS($A2021:A2040), A2020&amp;RIGHT(INDIRECT(ADDRESS(ROW(A2021)-1, 'From Order'!$A2021)), 1), A2020))"),"DSPBFLLWDDVQJPPSSTWZCSFHBBVRRJMGTTM")</f>
        <v>DSPBFLLWDDVQJPPSSTWZCSFHBBVRRJMGTTM</v>
      </c>
      <c r="B2021" s="2" t="str">
        <f>IFERROR(__xludf.DUMMYFUNCTION("IF('From Order'!$A2021=COLUMNS($A2021:B2040), LEFT(INDEX(FILTER(B$1:B2020, B$1:B2020&lt;&gt;""""),COUNTA(FILTER(B$1:B2020, B$1:B2020&lt;&gt;""""))), LEN(INDEX(FILTER(B$1:B2020, B$1:B2020&lt;&gt;""""),COUNTA(FILTER(B$1:B2020, B$1:B2020&lt;&gt;""""))))-1), IF('To Order'!$A2021=COL"&amp;"UMNS($A2021:B2040), B2020&amp;RIGHT(INDIRECT(ADDRESS(ROW(B2021)-1, 'From Order'!$A2021)), 1), B2020))"),"")</f>
        <v/>
      </c>
      <c r="C2021" s="2" t="str">
        <f>IFERROR(__xludf.DUMMYFUNCTION("IF('From Order'!$A2021=COLUMNS($A2021:C2040), LEFT(INDEX(FILTER(C$1:C2020, C$1:C2020&lt;&gt;""""),COUNTA(FILTER(C$1:C2020, C$1:C2020&lt;&gt;""""))), LEN(INDEX(FILTER(C$1:C2020, C$1:C2020&lt;&gt;""""),COUNTA(FILTER(C$1:C2020, C$1:C2020&lt;&gt;""""))))-1), IF('To Order'!$A2021=COL"&amp;"UMNS($A2021:C2040), C2020&amp;RIGHT(INDIRECT(ADDRESS(ROW(C2021)-1, 'From Order'!$A2021)), 1), C2020))"),"")</f>
        <v/>
      </c>
      <c r="D2021" s="2" t="str">
        <f>IFERROR(__xludf.DUMMYFUNCTION("IF('From Order'!$A2021=COLUMNS($A2021:D2040), LEFT(INDEX(FILTER(D$1:D2020, D$1:D2020&lt;&gt;""""),COUNTA(FILTER(D$1:D2020, D$1:D2020&lt;&gt;""""))), LEN(INDEX(FILTER(D$1:D2020, D$1:D2020&lt;&gt;""""),COUNTA(FILTER(D$1:D2020, D$1:D2020&lt;&gt;""""))))-1), IF('To Order'!$A2021=COL"&amp;"UMNS($A2021:D2040), D2020&amp;RIGHT(INDIRECT(ADDRESS(ROW(D2021)-1, 'From Order'!$A2021)), 1), D2020))"),"RBJCL")</f>
        <v>RBJCL</v>
      </c>
      <c r="E2021" s="2" t="str">
        <f>IFERROR(__xludf.DUMMYFUNCTION("IF('From Order'!$A2021=COLUMNS($A2021:E2040), LEFT(INDEX(FILTER(E$1:E2020, E$1:E2020&lt;&gt;""""),COUNTA(FILTER(E$1:E2020, E$1:E2020&lt;&gt;""""))), LEN(INDEX(FILTER(E$1:E2020, E$1:E2020&lt;&gt;""""),COUNTA(FILTER(E$1:E2020, E$1:E2020&lt;&gt;""""))))-1), IF('To Order'!$A2021=COL"&amp;"UMNS($A2021:E2040), E2020&amp;RIGHT(INDIRECT(ADDRESS(ROW(E2021)-1, 'From Order'!$A2021)), 1), E2020))"),"")</f>
        <v/>
      </c>
      <c r="F2021" s="2" t="str">
        <f>IFERROR(__xludf.DUMMYFUNCTION("IF('From Order'!$A2021=COLUMNS($A2021:F2040), LEFT(INDEX(FILTER(F$1:F2020, F$1:F2020&lt;&gt;""""),COUNTA(FILTER(F$1:F2020, F$1:F2020&lt;&gt;""""))), LEN(INDEX(FILTER(F$1:F2020, F$1:F2020&lt;&gt;""""),COUNTA(FILTER(F$1:F2020, F$1:F2020&lt;&gt;""""))))-1), IF('To Order'!$A2021=COL"&amp;"UMNS($A2021:F2040), F2020&amp;RIGHT(INDIRECT(ADDRESS(ROW(F2021)-1, 'From Order'!$A2021)), 1), F2020))"),"")</f>
        <v/>
      </c>
      <c r="G2021" s="2" t="str">
        <f>IFERROR(__xludf.DUMMYFUNCTION("IF('From Order'!$A2021=COLUMNS($A2021:G2040), LEFT(INDEX(FILTER(G$1:G2020, G$1:G2020&lt;&gt;""""),COUNTA(FILTER(G$1:G2020, G$1:G2020&lt;&gt;""""))), LEN(INDEX(FILTER(G$1:G2020, G$1:G2020&lt;&gt;""""),COUNTA(FILTER(G$1:G2020, G$1:G2020&lt;&gt;""""))))-1), IF('To Order'!$A2021=COL"&amp;"UMNS($A2021:G2040), G2020&amp;RIGHT(INDIRECT(ADDRESS(ROW(G2021)-1, 'From Order'!$A2021)), 1), G2020))"),"G")</f>
        <v>G</v>
      </c>
      <c r="H2021" s="2" t="str">
        <f>IFERROR(__xludf.DUMMYFUNCTION("IF('From Order'!$A2021=COLUMNS($A2021:H2040), LEFT(INDEX(FILTER(H$1:H2020, H$1:H2020&lt;&gt;""""),COUNTA(FILTER(H$1:H2020, H$1:H2020&lt;&gt;""""))), LEN(INDEX(FILTER(H$1:H2020, H$1:H2020&lt;&gt;""""),COUNTA(FILTER(H$1:H2020, H$1:H2020&lt;&gt;""""))))-1), IF('To Order'!$A2021=COL"&amp;"UMNS($A2021:H2040), H2020&amp;RIGHT(INDIRECT(ADDRESS(ROW(H2021)-1, 'From Order'!$A2021)), 1), H2020))"),"QTRRDV")</f>
        <v>QTRRDV</v>
      </c>
      <c r="I2021" s="2" t="str">
        <f>IFERROR(__xludf.DUMMYFUNCTION("IF('From Order'!$A2021=COLUMNS($A2021:I2040), LEFT(INDEX(FILTER(I$1:I2020, I$1:I2020&lt;&gt;""""),COUNTA(FILTER(I$1:I2020, I$1:I2020&lt;&gt;""""))), LEN(INDEX(FILTER(I$1:I2020, I$1:I2020&lt;&gt;""""),COUNTA(FILTER(I$1:I2020, I$1:I2020&lt;&gt;""""))))-1), IF('To Order'!$A2021=COL"&amp;"UMNS($A2021:I2040), I2020&amp;RIGHT(INDIRECT(ADDRESS(ROW(I2021)-1, 'From Order'!$A2021)), 1), I2020))"),"DTCTMZHZD")</f>
        <v>DTCTMZHZD</v>
      </c>
    </row>
    <row r="2022">
      <c r="A2022" s="2" t="str">
        <f>IFERROR(__xludf.DUMMYFUNCTION("IF('From Order'!$A2022=COLUMNS($A2022:A2041), LEFT(INDEX(FILTER(A$1:A2021, A$1:A2021&lt;&gt;""""),COUNTA(FILTER(A$1:A2021, A$1:A2021&lt;&gt;""""))), LEN(INDEX(FILTER(A$1:A2021, A$1:A2021&lt;&gt;""""),COUNTA(FILTER(A$1:A2021, A$1:A2021&lt;&gt;""""))))-1), IF('To Order'!$A2022=COL"&amp;"UMNS($A2022:A2041), A2021&amp;RIGHT(INDIRECT(ADDRESS(ROW(A2022)-1, 'From Order'!$A2022)), 1), A2021))"),"DSPBFLLWDDVQJPPSSTWZCSFHBBVRRJMGTT")</f>
        <v>DSPBFLLWDDVQJPPSSTWZCSFHBBVRRJMGTT</v>
      </c>
      <c r="B2022" s="2" t="str">
        <f>IFERROR(__xludf.DUMMYFUNCTION("IF('From Order'!$A2022=COLUMNS($A2022:B2041), LEFT(INDEX(FILTER(B$1:B2021, B$1:B2021&lt;&gt;""""),COUNTA(FILTER(B$1:B2021, B$1:B2021&lt;&gt;""""))), LEN(INDEX(FILTER(B$1:B2021, B$1:B2021&lt;&gt;""""),COUNTA(FILTER(B$1:B2021, B$1:B2021&lt;&gt;""""))))-1), IF('To Order'!$A2022=COL"&amp;"UMNS($A2022:B2041), B2021&amp;RIGHT(INDIRECT(ADDRESS(ROW(B2022)-1, 'From Order'!$A2022)), 1), B2021))"),"")</f>
        <v/>
      </c>
      <c r="C2022" s="2" t="str">
        <f>IFERROR(__xludf.DUMMYFUNCTION("IF('From Order'!$A2022=COLUMNS($A2022:C2041), LEFT(INDEX(FILTER(C$1:C2021, C$1:C2021&lt;&gt;""""),COUNTA(FILTER(C$1:C2021, C$1:C2021&lt;&gt;""""))), LEN(INDEX(FILTER(C$1:C2021, C$1:C2021&lt;&gt;""""),COUNTA(FILTER(C$1:C2021, C$1:C2021&lt;&gt;""""))))-1), IF('To Order'!$A2022=COL"&amp;"UMNS($A2022:C2041), C2021&amp;RIGHT(INDIRECT(ADDRESS(ROW(C2022)-1, 'From Order'!$A2022)), 1), C2021))"),"")</f>
        <v/>
      </c>
      <c r="D2022" s="2" t="str">
        <f>IFERROR(__xludf.DUMMYFUNCTION("IF('From Order'!$A2022=COLUMNS($A2022:D2041), LEFT(INDEX(FILTER(D$1:D2021, D$1:D2021&lt;&gt;""""),COUNTA(FILTER(D$1:D2021, D$1:D2021&lt;&gt;""""))), LEN(INDEX(FILTER(D$1:D2021, D$1:D2021&lt;&gt;""""),COUNTA(FILTER(D$1:D2021, D$1:D2021&lt;&gt;""""))))-1), IF('To Order'!$A2022=COL"&amp;"UMNS($A2022:D2041), D2021&amp;RIGHT(INDIRECT(ADDRESS(ROW(D2022)-1, 'From Order'!$A2022)), 1), D2021))"),"RBJCL")</f>
        <v>RBJCL</v>
      </c>
      <c r="E2022" s="2" t="str">
        <f>IFERROR(__xludf.DUMMYFUNCTION("IF('From Order'!$A2022=COLUMNS($A2022:E2041), LEFT(INDEX(FILTER(E$1:E2021, E$1:E2021&lt;&gt;""""),COUNTA(FILTER(E$1:E2021, E$1:E2021&lt;&gt;""""))), LEN(INDEX(FILTER(E$1:E2021, E$1:E2021&lt;&gt;""""),COUNTA(FILTER(E$1:E2021, E$1:E2021&lt;&gt;""""))))-1), IF('To Order'!$A2022=COL"&amp;"UMNS($A2022:E2041), E2021&amp;RIGHT(INDIRECT(ADDRESS(ROW(E2022)-1, 'From Order'!$A2022)), 1), E2021))"),"")</f>
        <v/>
      </c>
      <c r="F2022" s="2" t="str">
        <f>IFERROR(__xludf.DUMMYFUNCTION("IF('From Order'!$A2022=COLUMNS($A2022:F2041), LEFT(INDEX(FILTER(F$1:F2021, F$1:F2021&lt;&gt;""""),COUNTA(FILTER(F$1:F2021, F$1:F2021&lt;&gt;""""))), LEN(INDEX(FILTER(F$1:F2021, F$1:F2021&lt;&gt;""""),COUNTA(FILTER(F$1:F2021, F$1:F2021&lt;&gt;""""))))-1), IF('To Order'!$A2022=COL"&amp;"UMNS($A2022:F2041), F2021&amp;RIGHT(INDIRECT(ADDRESS(ROW(F2022)-1, 'From Order'!$A2022)), 1), F2021))"),"")</f>
        <v/>
      </c>
      <c r="G2022" s="2" t="str">
        <f>IFERROR(__xludf.DUMMYFUNCTION("IF('From Order'!$A2022=COLUMNS($A2022:G2041), LEFT(INDEX(FILTER(G$1:G2021, G$1:G2021&lt;&gt;""""),COUNTA(FILTER(G$1:G2021, G$1:G2021&lt;&gt;""""))), LEN(INDEX(FILTER(G$1:G2021, G$1:G2021&lt;&gt;""""),COUNTA(FILTER(G$1:G2021, G$1:G2021&lt;&gt;""""))))-1), IF('To Order'!$A2022=COL"&amp;"UMNS($A2022:G2041), G2021&amp;RIGHT(INDIRECT(ADDRESS(ROW(G2022)-1, 'From Order'!$A2022)), 1), G2021))"),"G")</f>
        <v>G</v>
      </c>
      <c r="H2022" s="2" t="str">
        <f>IFERROR(__xludf.DUMMYFUNCTION("IF('From Order'!$A2022=COLUMNS($A2022:H2041), LEFT(INDEX(FILTER(H$1:H2021, H$1:H2021&lt;&gt;""""),COUNTA(FILTER(H$1:H2021, H$1:H2021&lt;&gt;""""))), LEN(INDEX(FILTER(H$1:H2021, H$1:H2021&lt;&gt;""""),COUNTA(FILTER(H$1:H2021, H$1:H2021&lt;&gt;""""))))-1), IF('To Order'!$A2022=COL"&amp;"UMNS($A2022:H2041), H2021&amp;RIGHT(INDIRECT(ADDRESS(ROW(H2022)-1, 'From Order'!$A2022)), 1), H2021))"),"QTRRDV")</f>
        <v>QTRRDV</v>
      </c>
      <c r="I2022" s="2" t="str">
        <f>IFERROR(__xludf.DUMMYFUNCTION("IF('From Order'!$A2022=COLUMNS($A2022:I2041), LEFT(INDEX(FILTER(I$1:I2021, I$1:I2021&lt;&gt;""""),COUNTA(FILTER(I$1:I2021, I$1:I2021&lt;&gt;""""))), LEN(INDEX(FILTER(I$1:I2021, I$1:I2021&lt;&gt;""""),COUNTA(FILTER(I$1:I2021, I$1:I2021&lt;&gt;""""))))-1), IF('To Order'!$A2022=COL"&amp;"UMNS($A2022:I2041), I2021&amp;RIGHT(INDIRECT(ADDRESS(ROW(I2022)-1, 'From Order'!$A2022)), 1), I2021))"),"DTCTMZHZDM")</f>
        <v>DTCTMZHZDM</v>
      </c>
    </row>
    <row r="2023">
      <c r="A2023" s="2" t="str">
        <f>IFERROR(__xludf.DUMMYFUNCTION("IF('From Order'!$A2023=COLUMNS($A2023:A2042), LEFT(INDEX(FILTER(A$1:A2022, A$1:A2022&lt;&gt;""""),COUNTA(FILTER(A$1:A2022, A$1:A2022&lt;&gt;""""))), LEN(INDEX(FILTER(A$1:A2022, A$1:A2022&lt;&gt;""""),COUNTA(FILTER(A$1:A2022, A$1:A2022&lt;&gt;""""))))-1), IF('To Order'!$A2023=COL"&amp;"UMNS($A2023:A2042), A2022&amp;RIGHT(INDIRECT(ADDRESS(ROW(A2023)-1, 'From Order'!$A2023)), 1), A2022))"),"DSPBFLLWDDVQJPPSSTWZCSFHBBVRRJMGT")</f>
        <v>DSPBFLLWDDVQJPPSSTWZCSFHBBVRRJMGT</v>
      </c>
      <c r="B2023" s="2" t="str">
        <f>IFERROR(__xludf.DUMMYFUNCTION("IF('From Order'!$A2023=COLUMNS($A2023:B2042), LEFT(INDEX(FILTER(B$1:B2022, B$1:B2022&lt;&gt;""""),COUNTA(FILTER(B$1:B2022, B$1:B2022&lt;&gt;""""))), LEN(INDEX(FILTER(B$1:B2022, B$1:B2022&lt;&gt;""""),COUNTA(FILTER(B$1:B2022, B$1:B2022&lt;&gt;""""))))-1), IF('To Order'!$A2023=COL"&amp;"UMNS($A2023:B2042), B2022&amp;RIGHT(INDIRECT(ADDRESS(ROW(B2023)-1, 'From Order'!$A2023)), 1), B2022))"),"")</f>
        <v/>
      </c>
      <c r="C2023" s="2" t="str">
        <f>IFERROR(__xludf.DUMMYFUNCTION("IF('From Order'!$A2023=COLUMNS($A2023:C2042), LEFT(INDEX(FILTER(C$1:C2022, C$1:C2022&lt;&gt;""""),COUNTA(FILTER(C$1:C2022, C$1:C2022&lt;&gt;""""))), LEN(INDEX(FILTER(C$1:C2022, C$1:C2022&lt;&gt;""""),COUNTA(FILTER(C$1:C2022, C$1:C2022&lt;&gt;""""))))-1), IF('To Order'!$A2023=COL"&amp;"UMNS($A2023:C2042), C2022&amp;RIGHT(INDIRECT(ADDRESS(ROW(C2023)-1, 'From Order'!$A2023)), 1), C2022))"),"")</f>
        <v/>
      </c>
      <c r="D2023" s="2" t="str">
        <f>IFERROR(__xludf.DUMMYFUNCTION("IF('From Order'!$A2023=COLUMNS($A2023:D2042), LEFT(INDEX(FILTER(D$1:D2022, D$1:D2022&lt;&gt;""""),COUNTA(FILTER(D$1:D2022, D$1:D2022&lt;&gt;""""))), LEN(INDEX(FILTER(D$1:D2022, D$1:D2022&lt;&gt;""""),COUNTA(FILTER(D$1:D2022, D$1:D2022&lt;&gt;""""))))-1), IF('To Order'!$A2023=COL"&amp;"UMNS($A2023:D2042), D2022&amp;RIGHT(INDIRECT(ADDRESS(ROW(D2023)-1, 'From Order'!$A2023)), 1), D2022))"),"RBJCL")</f>
        <v>RBJCL</v>
      </c>
      <c r="E2023" s="2" t="str">
        <f>IFERROR(__xludf.DUMMYFUNCTION("IF('From Order'!$A2023=COLUMNS($A2023:E2042), LEFT(INDEX(FILTER(E$1:E2022, E$1:E2022&lt;&gt;""""),COUNTA(FILTER(E$1:E2022, E$1:E2022&lt;&gt;""""))), LEN(INDEX(FILTER(E$1:E2022, E$1:E2022&lt;&gt;""""),COUNTA(FILTER(E$1:E2022, E$1:E2022&lt;&gt;""""))))-1), IF('To Order'!$A2023=COL"&amp;"UMNS($A2023:E2042), E2022&amp;RIGHT(INDIRECT(ADDRESS(ROW(E2023)-1, 'From Order'!$A2023)), 1), E2022))"),"")</f>
        <v/>
      </c>
      <c r="F2023" s="2" t="str">
        <f>IFERROR(__xludf.DUMMYFUNCTION("IF('From Order'!$A2023=COLUMNS($A2023:F2042), LEFT(INDEX(FILTER(F$1:F2022, F$1:F2022&lt;&gt;""""),COUNTA(FILTER(F$1:F2022, F$1:F2022&lt;&gt;""""))), LEN(INDEX(FILTER(F$1:F2022, F$1:F2022&lt;&gt;""""),COUNTA(FILTER(F$1:F2022, F$1:F2022&lt;&gt;""""))))-1), IF('To Order'!$A2023=COL"&amp;"UMNS($A2023:F2042), F2022&amp;RIGHT(INDIRECT(ADDRESS(ROW(F2023)-1, 'From Order'!$A2023)), 1), F2022))"),"")</f>
        <v/>
      </c>
      <c r="G2023" s="2" t="str">
        <f>IFERROR(__xludf.DUMMYFUNCTION("IF('From Order'!$A2023=COLUMNS($A2023:G2042), LEFT(INDEX(FILTER(G$1:G2022, G$1:G2022&lt;&gt;""""),COUNTA(FILTER(G$1:G2022, G$1:G2022&lt;&gt;""""))), LEN(INDEX(FILTER(G$1:G2022, G$1:G2022&lt;&gt;""""),COUNTA(FILTER(G$1:G2022, G$1:G2022&lt;&gt;""""))))-1), IF('To Order'!$A2023=COL"&amp;"UMNS($A2023:G2042), G2022&amp;RIGHT(INDIRECT(ADDRESS(ROW(G2023)-1, 'From Order'!$A2023)), 1), G2022))"),"G")</f>
        <v>G</v>
      </c>
      <c r="H2023" s="2" t="str">
        <f>IFERROR(__xludf.DUMMYFUNCTION("IF('From Order'!$A2023=COLUMNS($A2023:H2042), LEFT(INDEX(FILTER(H$1:H2022, H$1:H2022&lt;&gt;""""),COUNTA(FILTER(H$1:H2022, H$1:H2022&lt;&gt;""""))), LEN(INDEX(FILTER(H$1:H2022, H$1:H2022&lt;&gt;""""),COUNTA(FILTER(H$1:H2022, H$1:H2022&lt;&gt;""""))))-1), IF('To Order'!$A2023=COL"&amp;"UMNS($A2023:H2042), H2022&amp;RIGHT(INDIRECT(ADDRESS(ROW(H2023)-1, 'From Order'!$A2023)), 1), H2022))"),"QTRRDV")</f>
        <v>QTRRDV</v>
      </c>
      <c r="I2023" s="2" t="str">
        <f>IFERROR(__xludf.DUMMYFUNCTION("IF('From Order'!$A2023=COLUMNS($A2023:I2042), LEFT(INDEX(FILTER(I$1:I2022, I$1:I2022&lt;&gt;""""),COUNTA(FILTER(I$1:I2022, I$1:I2022&lt;&gt;""""))), LEN(INDEX(FILTER(I$1:I2022, I$1:I2022&lt;&gt;""""),COUNTA(FILTER(I$1:I2022, I$1:I2022&lt;&gt;""""))))-1), IF('To Order'!$A2023=COL"&amp;"UMNS($A2023:I2042), I2022&amp;RIGHT(INDIRECT(ADDRESS(ROW(I2023)-1, 'From Order'!$A2023)), 1), I2022))"),"DTCTMZHZDMT")</f>
        <v>DTCTMZHZDMT</v>
      </c>
    </row>
    <row r="2024">
      <c r="A2024" s="2" t="str">
        <f>IFERROR(__xludf.DUMMYFUNCTION("IF('From Order'!$A2024=COLUMNS($A2024:A2043), LEFT(INDEX(FILTER(A$1:A2023, A$1:A2023&lt;&gt;""""),COUNTA(FILTER(A$1:A2023, A$1:A2023&lt;&gt;""""))), LEN(INDEX(FILTER(A$1:A2023, A$1:A2023&lt;&gt;""""),COUNTA(FILTER(A$1:A2023, A$1:A2023&lt;&gt;""""))))-1), IF('To Order'!$A2024=COL"&amp;"UMNS($A2024:A2043), A2023&amp;RIGHT(INDIRECT(ADDRESS(ROW(A2024)-1, 'From Order'!$A2024)), 1), A2023))"),"DSPBFLLWDDVQJPPSSTWZCSFHBBVRRJMG")</f>
        <v>DSPBFLLWDDVQJPPSSTWZCSFHBBVRRJMG</v>
      </c>
      <c r="B2024" s="2" t="str">
        <f>IFERROR(__xludf.DUMMYFUNCTION("IF('From Order'!$A2024=COLUMNS($A2024:B2043), LEFT(INDEX(FILTER(B$1:B2023, B$1:B2023&lt;&gt;""""),COUNTA(FILTER(B$1:B2023, B$1:B2023&lt;&gt;""""))), LEN(INDEX(FILTER(B$1:B2023, B$1:B2023&lt;&gt;""""),COUNTA(FILTER(B$1:B2023, B$1:B2023&lt;&gt;""""))))-1), IF('To Order'!$A2024=COL"&amp;"UMNS($A2024:B2043), B2023&amp;RIGHT(INDIRECT(ADDRESS(ROW(B2024)-1, 'From Order'!$A2024)), 1), B2023))"),"")</f>
        <v/>
      </c>
      <c r="C2024" s="2" t="str">
        <f>IFERROR(__xludf.DUMMYFUNCTION("IF('From Order'!$A2024=COLUMNS($A2024:C2043), LEFT(INDEX(FILTER(C$1:C2023, C$1:C2023&lt;&gt;""""),COUNTA(FILTER(C$1:C2023, C$1:C2023&lt;&gt;""""))), LEN(INDEX(FILTER(C$1:C2023, C$1:C2023&lt;&gt;""""),COUNTA(FILTER(C$1:C2023, C$1:C2023&lt;&gt;""""))))-1), IF('To Order'!$A2024=COL"&amp;"UMNS($A2024:C2043), C2023&amp;RIGHT(INDIRECT(ADDRESS(ROW(C2024)-1, 'From Order'!$A2024)), 1), C2023))"),"")</f>
        <v/>
      </c>
      <c r="D2024" s="2" t="str">
        <f>IFERROR(__xludf.DUMMYFUNCTION("IF('From Order'!$A2024=COLUMNS($A2024:D2043), LEFT(INDEX(FILTER(D$1:D2023, D$1:D2023&lt;&gt;""""),COUNTA(FILTER(D$1:D2023, D$1:D2023&lt;&gt;""""))), LEN(INDEX(FILTER(D$1:D2023, D$1:D2023&lt;&gt;""""),COUNTA(FILTER(D$1:D2023, D$1:D2023&lt;&gt;""""))))-1), IF('To Order'!$A2024=COL"&amp;"UMNS($A2024:D2043), D2023&amp;RIGHT(INDIRECT(ADDRESS(ROW(D2024)-1, 'From Order'!$A2024)), 1), D2023))"),"RBJCL")</f>
        <v>RBJCL</v>
      </c>
      <c r="E2024" s="2" t="str">
        <f>IFERROR(__xludf.DUMMYFUNCTION("IF('From Order'!$A2024=COLUMNS($A2024:E2043), LEFT(INDEX(FILTER(E$1:E2023, E$1:E2023&lt;&gt;""""),COUNTA(FILTER(E$1:E2023, E$1:E2023&lt;&gt;""""))), LEN(INDEX(FILTER(E$1:E2023, E$1:E2023&lt;&gt;""""),COUNTA(FILTER(E$1:E2023, E$1:E2023&lt;&gt;""""))))-1), IF('To Order'!$A2024=COL"&amp;"UMNS($A2024:E2043), E2023&amp;RIGHT(INDIRECT(ADDRESS(ROW(E2024)-1, 'From Order'!$A2024)), 1), E2023))"),"")</f>
        <v/>
      </c>
      <c r="F2024" s="2" t="str">
        <f>IFERROR(__xludf.DUMMYFUNCTION("IF('From Order'!$A2024=COLUMNS($A2024:F2043), LEFT(INDEX(FILTER(F$1:F2023, F$1:F2023&lt;&gt;""""),COUNTA(FILTER(F$1:F2023, F$1:F2023&lt;&gt;""""))), LEN(INDEX(FILTER(F$1:F2023, F$1:F2023&lt;&gt;""""),COUNTA(FILTER(F$1:F2023, F$1:F2023&lt;&gt;""""))))-1), IF('To Order'!$A2024=COL"&amp;"UMNS($A2024:F2043), F2023&amp;RIGHT(INDIRECT(ADDRESS(ROW(F2024)-1, 'From Order'!$A2024)), 1), F2023))"),"")</f>
        <v/>
      </c>
      <c r="G2024" s="2" t="str">
        <f>IFERROR(__xludf.DUMMYFUNCTION("IF('From Order'!$A2024=COLUMNS($A2024:G2043), LEFT(INDEX(FILTER(G$1:G2023, G$1:G2023&lt;&gt;""""),COUNTA(FILTER(G$1:G2023, G$1:G2023&lt;&gt;""""))), LEN(INDEX(FILTER(G$1:G2023, G$1:G2023&lt;&gt;""""),COUNTA(FILTER(G$1:G2023, G$1:G2023&lt;&gt;""""))))-1), IF('To Order'!$A2024=COL"&amp;"UMNS($A2024:G2043), G2023&amp;RIGHT(INDIRECT(ADDRESS(ROW(G2024)-1, 'From Order'!$A2024)), 1), G2023))"),"G")</f>
        <v>G</v>
      </c>
      <c r="H2024" s="2" t="str">
        <f>IFERROR(__xludf.DUMMYFUNCTION("IF('From Order'!$A2024=COLUMNS($A2024:H2043), LEFT(INDEX(FILTER(H$1:H2023, H$1:H2023&lt;&gt;""""),COUNTA(FILTER(H$1:H2023, H$1:H2023&lt;&gt;""""))), LEN(INDEX(FILTER(H$1:H2023, H$1:H2023&lt;&gt;""""),COUNTA(FILTER(H$1:H2023, H$1:H2023&lt;&gt;""""))))-1), IF('To Order'!$A2024=COL"&amp;"UMNS($A2024:H2043), H2023&amp;RIGHT(INDIRECT(ADDRESS(ROW(H2024)-1, 'From Order'!$A2024)), 1), H2023))"),"QTRRDV")</f>
        <v>QTRRDV</v>
      </c>
      <c r="I2024" s="2" t="str">
        <f>IFERROR(__xludf.DUMMYFUNCTION("IF('From Order'!$A2024=COLUMNS($A2024:I2043), LEFT(INDEX(FILTER(I$1:I2023, I$1:I2023&lt;&gt;""""),COUNTA(FILTER(I$1:I2023, I$1:I2023&lt;&gt;""""))), LEN(INDEX(FILTER(I$1:I2023, I$1:I2023&lt;&gt;""""),COUNTA(FILTER(I$1:I2023, I$1:I2023&lt;&gt;""""))))-1), IF('To Order'!$A2024=COL"&amp;"UMNS($A2024:I2043), I2023&amp;RIGHT(INDIRECT(ADDRESS(ROW(I2024)-1, 'From Order'!$A2024)), 1), I2023))"),"DTCTMZHZDMTT")</f>
        <v>DTCTMZHZDMTT</v>
      </c>
    </row>
    <row r="2025">
      <c r="A2025" s="2" t="str">
        <f>IFERROR(__xludf.DUMMYFUNCTION("IF('From Order'!$A2025=COLUMNS($A2025:A2044), LEFT(INDEX(FILTER(A$1:A2024, A$1:A2024&lt;&gt;""""),COUNTA(FILTER(A$1:A2024, A$1:A2024&lt;&gt;""""))), LEN(INDEX(FILTER(A$1:A2024, A$1:A2024&lt;&gt;""""),COUNTA(FILTER(A$1:A2024, A$1:A2024&lt;&gt;""""))))-1), IF('To Order'!$A2025=COL"&amp;"UMNS($A2025:A2044), A2024&amp;RIGHT(INDIRECT(ADDRESS(ROW(A2025)-1, 'From Order'!$A2025)), 1), A2024))"),"DSPBFLLWDDVQJPPSSTWZCSFHBBVRRJM")</f>
        <v>DSPBFLLWDDVQJPPSSTWZCSFHBBVRRJM</v>
      </c>
      <c r="B2025" s="2" t="str">
        <f>IFERROR(__xludf.DUMMYFUNCTION("IF('From Order'!$A2025=COLUMNS($A2025:B2044), LEFT(INDEX(FILTER(B$1:B2024, B$1:B2024&lt;&gt;""""),COUNTA(FILTER(B$1:B2024, B$1:B2024&lt;&gt;""""))), LEN(INDEX(FILTER(B$1:B2024, B$1:B2024&lt;&gt;""""),COUNTA(FILTER(B$1:B2024, B$1:B2024&lt;&gt;""""))))-1), IF('To Order'!$A2025=COL"&amp;"UMNS($A2025:B2044), B2024&amp;RIGHT(INDIRECT(ADDRESS(ROW(B2025)-1, 'From Order'!$A2025)), 1), B2024))"),"")</f>
        <v/>
      </c>
      <c r="C2025" s="2" t="str">
        <f>IFERROR(__xludf.DUMMYFUNCTION("IF('From Order'!$A2025=COLUMNS($A2025:C2044), LEFT(INDEX(FILTER(C$1:C2024, C$1:C2024&lt;&gt;""""),COUNTA(FILTER(C$1:C2024, C$1:C2024&lt;&gt;""""))), LEN(INDEX(FILTER(C$1:C2024, C$1:C2024&lt;&gt;""""),COUNTA(FILTER(C$1:C2024, C$1:C2024&lt;&gt;""""))))-1), IF('To Order'!$A2025=COL"&amp;"UMNS($A2025:C2044), C2024&amp;RIGHT(INDIRECT(ADDRESS(ROW(C2025)-1, 'From Order'!$A2025)), 1), C2024))"),"")</f>
        <v/>
      </c>
      <c r="D2025" s="2" t="str">
        <f>IFERROR(__xludf.DUMMYFUNCTION("IF('From Order'!$A2025=COLUMNS($A2025:D2044), LEFT(INDEX(FILTER(D$1:D2024, D$1:D2024&lt;&gt;""""),COUNTA(FILTER(D$1:D2024, D$1:D2024&lt;&gt;""""))), LEN(INDEX(FILTER(D$1:D2024, D$1:D2024&lt;&gt;""""),COUNTA(FILTER(D$1:D2024, D$1:D2024&lt;&gt;""""))))-1), IF('To Order'!$A2025=COL"&amp;"UMNS($A2025:D2044), D2024&amp;RIGHT(INDIRECT(ADDRESS(ROW(D2025)-1, 'From Order'!$A2025)), 1), D2024))"),"RBJCL")</f>
        <v>RBJCL</v>
      </c>
      <c r="E2025" s="2" t="str">
        <f>IFERROR(__xludf.DUMMYFUNCTION("IF('From Order'!$A2025=COLUMNS($A2025:E2044), LEFT(INDEX(FILTER(E$1:E2024, E$1:E2024&lt;&gt;""""),COUNTA(FILTER(E$1:E2024, E$1:E2024&lt;&gt;""""))), LEN(INDEX(FILTER(E$1:E2024, E$1:E2024&lt;&gt;""""),COUNTA(FILTER(E$1:E2024, E$1:E2024&lt;&gt;""""))))-1), IF('To Order'!$A2025=COL"&amp;"UMNS($A2025:E2044), E2024&amp;RIGHT(INDIRECT(ADDRESS(ROW(E2025)-1, 'From Order'!$A2025)), 1), E2024))"),"")</f>
        <v/>
      </c>
      <c r="F2025" s="2" t="str">
        <f>IFERROR(__xludf.DUMMYFUNCTION("IF('From Order'!$A2025=COLUMNS($A2025:F2044), LEFT(INDEX(FILTER(F$1:F2024, F$1:F2024&lt;&gt;""""),COUNTA(FILTER(F$1:F2024, F$1:F2024&lt;&gt;""""))), LEN(INDEX(FILTER(F$1:F2024, F$1:F2024&lt;&gt;""""),COUNTA(FILTER(F$1:F2024, F$1:F2024&lt;&gt;""""))))-1), IF('To Order'!$A2025=COL"&amp;"UMNS($A2025:F2044), F2024&amp;RIGHT(INDIRECT(ADDRESS(ROW(F2025)-1, 'From Order'!$A2025)), 1), F2024))"),"")</f>
        <v/>
      </c>
      <c r="G2025" s="2" t="str">
        <f>IFERROR(__xludf.DUMMYFUNCTION("IF('From Order'!$A2025=COLUMNS($A2025:G2044), LEFT(INDEX(FILTER(G$1:G2024, G$1:G2024&lt;&gt;""""),COUNTA(FILTER(G$1:G2024, G$1:G2024&lt;&gt;""""))), LEN(INDEX(FILTER(G$1:G2024, G$1:G2024&lt;&gt;""""),COUNTA(FILTER(G$1:G2024, G$1:G2024&lt;&gt;""""))))-1), IF('To Order'!$A2025=COL"&amp;"UMNS($A2025:G2044), G2024&amp;RIGHT(INDIRECT(ADDRESS(ROW(G2025)-1, 'From Order'!$A2025)), 1), G2024))"),"G")</f>
        <v>G</v>
      </c>
      <c r="H2025" s="2" t="str">
        <f>IFERROR(__xludf.DUMMYFUNCTION("IF('From Order'!$A2025=COLUMNS($A2025:H2044), LEFT(INDEX(FILTER(H$1:H2024, H$1:H2024&lt;&gt;""""),COUNTA(FILTER(H$1:H2024, H$1:H2024&lt;&gt;""""))), LEN(INDEX(FILTER(H$1:H2024, H$1:H2024&lt;&gt;""""),COUNTA(FILTER(H$1:H2024, H$1:H2024&lt;&gt;""""))))-1), IF('To Order'!$A2025=COL"&amp;"UMNS($A2025:H2044), H2024&amp;RIGHT(INDIRECT(ADDRESS(ROW(H2025)-1, 'From Order'!$A2025)), 1), H2024))"),"QTRRDV")</f>
        <v>QTRRDV</v>
      </c>
      <c r="I2025" s="2" t="str">
        <f>IFERROR(__xludf.DUMMYFUNCTION("IF('From Order'!$A2025=COLUMNS($A2025:I2044), LEFT(INDEX(FILTER(I$1:I2024, I$1:I2024&lt;&gt;""""),COUNTA(FILTER(I$1:I2024, I$1:I2024&lt;&gt;""""))), LEN(INDEX(FILTER(I$1:I2024, I$1:I2024&lt;&gt;""""),COUNTA(FILTER(I$1:I2024, I$1:I2024&lt;&gt;""""))))-1), IF('To Order'!$A2025=COL"&amp;"UMNS($A2025:I2044), I2024&amp;RIGHT(INDIRECT(ADDRESS(ROW(I2025)-1, 'From Order'!$A2025)), 1), I2024))"),"DTCTMZHZDMTTG")</f>
        <v>DTCTMZHZDMTTG</v>
      </c>
    </row>
    <row r="2026">
      <c r="A2026" s="2" t="str">
        <f>IFERROR(__xludf.DUMMYFUNCTION("IF('From Order'!$A2026=COLUMNS($A2026:A2045), LEFT(INDEX(FILTER(A$1:A2025, A$1:A2025&lt;&gt;""""),COUNTA(FILTER(A$1:A2025, A$1:A2025&lt;&gt;""""))), LEN(INDEX(FILTER(A$1:A2025, A$1:A2025&lt;&gt;""""),COUNTA(FILTER(A$1:A2025, A$1:A2025&lt;&gt;""""))))-1), IF('To Order'!$A2026=COL"&amp;"UMNS($A2026:A2045), A2025&amp;RIGHT(INDIRECT(ADDRESS(ROW(A2026)-1, 'From Order'!$A2026)), 1), A2025))"),"DSPBFLLWDDVQJPPSSTWZCSFHBBVRRJ")</f>
        <v>DSPBFLLWDDVQJPPSSTWZCSFHBBVRRJ</v>
      </c>
      <c r="B2026" s="2" t="str">
        <f>IFERROR(__xludf.DUMMYFUNCTION("IF('From Order'!$A2026=COLUMNS($A2026:B2045), LEFT(INDEX(FILTER(B$1:B2025, B$1:B2025&lt;&gt;""""),COUNTA(FILTER(B$1:B2025, B$1:B2025&lt;&gt;""""))), LEN(INDEX(FILTER(B$1:B2025, B$1:B2025&lt;&gt;""""),COUNTA(FILTER(B$1:B2025, B$1:B2025&lt;&gt;""""))))-1), IF('To Order'!$A2026=COL"&amp;"UMNS($A2026:B2045), B2025&amp;RIGHT(INDIRECT(ADDRESS(ROW(B2026)-1, 'From Order'!$A2026)), 1), B2025))"),"")</f>
        <v/>
      </c>
      <c r="C2026" s="2" t="str">
        <f>IFERROR(__xludf.DUMMYFUNCTION("IF('From Order'!$A2026=COLUMNS($A2026:C2045), LEFT(INDEX(FILTER(C$1:C2025, C$1:C2025&lt;&gt;""""),COUNTA(FILTER(C$1:C2025, C$1:C2025&lt;&gt;""""))), LEN(INDEX(FILTER(C$1:C2025, C$1:C2025&lt;&gt;""""),COUNTA(FILTER(C$1:C2025, C$1:C2025&lt;&gt;""""))))-1), IF('To Order'!$A2026=COL"&amp;"UMNS($A2026:C2045), C2025&amp;RIGHT(INDIRECT(ADDRESS(ROW(C2026)-1, 'From Order'!$A2026)), 1), C2025))"),"")</f>
        <v/>
      </c>
      <c r="D2026" s="2" t="str">
        <f>IFERROR(__xludf.DUMMYFUNCTION("IF('From Order'!$A2026=COLUMNS($A2026:D2045), LEFT(INDEX(FILTER(D$1:D2025, D$1:D2025&lt;&gt;""""),COUNTA(FILTER(D$1:D2025, D$1:D2025&lt;&gt;""""))), LEN(INDEX(FILTER(D$1:D2025, D$1:D2025&lt;&gt;""""),COUNTA(FILTER(D$1:D2025, D$1:D2025&lt;&gt;""""))))-1), IF('To Order'!$A2026=COL"&amp;"UMNS($A2026:D2045), D2025&amp;RIGHT(INDIRECT(ADDRESS(ROW(D2026)-1, 'From Order'!$A2026)), 1), D2025))"),"RBJCL")</f>
        <v>RBJCL</v>
      </c>
      <c r="E2026" s="2" t="str">
        <f>IFERROR(__xludf.DUMMYFUNCTION("IF('From Order'!$A2026=COLUMNS($A2026:E2045), LEFT(INDEX(FILTER(E$1:E2025, E$1:E2025&lt;&gt;""""),COUNTA(FILTER(E$1:E2025, E$1:E2025&lt;&gt;""""))), LEN(INDEX(FILTER(E$1:E2025, E$1:E2025&lt;&gt;""""),COUNTA(FILTER(E$1:E2025, E$1:E2025&lt;&gt;""""))))-1), IF('To Order'!$A2026=COL"&amp;"UMNS($A2026:E2045), E2025&amp;RIGHT(INDIRECT(ADDRESS(ROW(E2026)-1, 'From Order'!$A2026)), 1), E2025))"),"")</f>
        <v/>
      </c>
      <c r="F2026" s="2" t="str">
        <f>IFERROR(__xludf.DUMMYFUNCTION("IF('From Order'!$A2026=COLUMNS($A2026:F2045), LEFT(INDEX(FILTER(F$1:F2025, F$1:F2025&lt;&gt;""""),COUNTA(FILTER(F$1:F2025, F$1:F2025&lt;&gt;""""))), LEN(INDEX(FILTER(F$1:F2025, F$1:F2025&lt;&gt;""""),COUNTA(FILTER(F$1:F2025, F$1:F2025&lt;&gt;""""))))-1), IF('To Order'!$A2026=COL"&amp;"UMNS($A2026:F2045), F2025&amp;RIGHT(INDIRECT(ADDRESS(ROW(F2026)-1, 'From Order'!$A2026)), 1), F2025))"),"")</f>
        <v/>
      </c>
      <c r="G2026" s="2" t="str">
        <f>IFERROR(__xludf.DUMMYFUNCTION("IF('From Order'!$A2026=COLUMNS($A2026:G2045), LEFT(INDEX(FILTER(G$1:G2025, G$1:G2025&lt;&gt;""""),COUNTA(FILTER(G$1:G2025, G$1:G2025&lt;&gt;""""))), LEN(INDEX(FILTER(G$1:G2025, G$1:G2025&lt;&gt;""""),COUNTA(FILTER(G$1:G2025, G$1:G2025&lt;&gt;""""))))-1), IF('To Order'!$A2026=COL"&amp;"UMNS($A2026:G2045), G2025&amp;RIGHT(INDIRECT(ADDRESS(ROW(G2026)-1, 'From Order'!$A2026)), 1), G2025))"),"G")</f>
        <v>G</v>
      </c>
      <c r="H2026" s="2" t="str">
        <f>IFERROR(__xludf.DUMMYFUNCTION("IF('From Order'!$A2026=COLUMNS($A2026:H2045), LEFT(INDEX(FILTER(H$1:H2025, H$1:H2025&lt;&gt;""""),COUNTA(FILTER(H$1:H2025, H$1:H2025&lt;&gt;""""))), LEN(INDEX(FILTER(H$1:H2025, H$1:H2025&lt;&gt;""""),COUNTA(FILTER(H$1:H2025, H$1:H2025&lt;&gt;""""))))-1), IF('To Order'!$A2026=COL"&amp;"UMNS($A2026:H2045), H2025&amp;RIGHT(INDIRECT(ADDRESS(ROW(H2026)-1, 'From Order'!$A2026)), 1), H2025))"),"QTRRDV")</f>
        <v>QTRRDV</v>
      </c>
      <c r="I2026" s="2" t="str">
        <f>IFERROR(__xludf.DUMMYFUNCTION("IF('From Order'!$A2026=COLUMNS($A2026:I2045), LEFT(INDEX(FILTER(I$1:I2025, I$1:I2025&lt;&gt;""""),COUNTA(FILTER(I$1:I2025, I$1:I2025&lt;&gt;""""))), LEN(INDEX(FILTER(I$1:I2025, I$1:I2025&lt;&gt;""""),COUNTA(FILTER(I$1:I2025, I$1:I2025&lt;&gt;""""))))-1), IF('To Order'!$A2026=COL"&amp;"UMNS($A2026:I2045), I2025&amp;RIGHT(INDIRECT(ADDRESS(ROW(I2026)-1, 'From Order'!$A2026)), 1), I2025))"),"DTCTMZHZDMTTGM")</f>
        <v>DTCTMZHZDMTTGM</v>
      </c>
    </row>
    <row r="2027">
      <c r="A2027" s="2" t="str">
        <f>IFERROR(__xludf.DUMMYFUNCTION("IF('From Order'!$A2027=COLUMNS($A2027:A2046), LEFT(INDEX(FILTER(A$1:A2026, A$1:A2026&lt;&gt;""""),COUNTA(FILTER(A$1:A2026, A$1:A2026&lt;&gt;""""))), LEN(INDEX(FILTER(A$1:A2026, A$1:A2026&lt;&gt;""""),COUNTA(FILTER(A$1:A2026, A$1:A2026&lt;&gt;""""))))-1), IF('To Order'!$A2027=COL"&amp;"UMNS($A2027:A2046), A2026&amp;RIGHT(INDIRECT(ADDRESS(ROW(A2027)-1, 'From Order'!$A2027)), 1), A2026))"),"DSPBFLLWDDVQJPPSSTWZCSFHBBVRR")</f>
        <v>DSPBFLLWDDVQJPPSSTWZCSFHBBVRR</v>
      </c>
      <c r="B2027" s="2" t="str">
        <f>IFERROR(__xludf.DUMMYFUNCTION("IF('From Order'!$A2027=COLUMNS($A2027:B2046), LEFT(INDEX(FILTER(B$1:B2026, B$1:B2026&lt;&gt;""""),COUNTA(FILTER(B$1:B2026, B$1:B2026&lt;&gt;""""))), LEN(INDEX(FILTER(B$1:B2026, B$1:B2026&lt;&gt;""""),COUNTA(FILTER(B$1:B2026, B$1:B2026&lt;&gt;""""))))-1), IF('To Order'!$A2027=COL"&amp;"UMNS($A2027:B2046), B2026&amp;RIGHT(INDIRECT(ADDRESS(ROW(B2027)-1, 'From Order'!$A2027)), 1), B2026))"),"")</f>
        <v/>
      </c>
      <c r="C2027" s="2" t="str">
        <f>IFERROR(__xludf.DUMMYFUNCTION("IF('From Order'!$A2027=COLUMNS($A2027:C2046), LEFT(INDEX(FILTER(C$1:C2026, C$1:C2026&lt;&gt;""""),COUNTA(FILTER(C$1:C2026, C$1:C2026&lt;&gt;""""))), LEN(INDEX(FILTER(C$1:C2026, C$1:C2026&lt;&gt;""""),COUNTA(FILTER(C$1:C2026, C$1:C2026&lt;&gt;""""))))-1), IF('To Order'!$A2027=COL"&amp;"UMNS($A2027:C2046), C2026&amp;RIGHT(INDIRECT(ADDRESS(ROW(C2027)-1, 'From Order'!$A2027)), 1), C2026))"),"")</f>
        <v/>
      </c>
      <c r="D2027" s="2" t="str">
        <f>IFERROR(__xludf.DUMMYFUNCTION("IF('From Order'!$A2027=COLUMNS($A2027:D2046), LEFT(INDEX(FILTER(D$1:D2026, D$1:D2026&lt;&gt;""""),COUNTA(FILTER(D$1:D2026, D$1:D2026&lt;&gt;""""))), LEN(INDEX(FILTER(D$1:D2026, D$1:D2026&lt;&gt;""""),COUNTA(FILTER(D$1:D2026, D$1:D2026&lt;&gt;""""))))-1), IF('To Order'!$A2027=COL"&amp;"UMNS($A2027:D2046), D2026&amp;RIGHT(INDIRECT(ADDRESS(ROW(D2027)-1, 'From Order'!$A2027)), 1), D2026))"),"RBJCL")</f>
        <v>RBJCL</v>
      </c>
      <c r="E2027" s="2" t="str">
        <f>IFERROR(__xludf.DUMMYFUNCTION("IF('From Order'!$A2027=COLUMNS($A2027:E2046), LEFT(INDEX(FILTER(E$1:E2026, E$1:E2026&lt;&gt;""""),COUNTA(FILTER(E$1:E2026, E$1:E2026&lt;&gt;""""))), LEN(INDEX(FILTER(E$1:E2026, E$1:E2026&lt;&gt;""""),COUNTA(FILTER(E$1:E2026, E$1:E2026&lt;&gt;""""))))-1), IF('To Order'!$A2027=COL"&amp;"UMNS($A2027:E2046), E2026&amp;RIGHT(INDIRECT(ADDRESS(ROW(E2027)-1, 'From Order'!$A2027)), 1), E2026))"),"")</f>
        <v/>
      </c>
      <c r="F2027" s="2" t="str">
        <f>IFERROR(__xludf.DUMMYFUNCTION("IF('From Order'!$A2027=COLUMNS($A2027:F2046), LEFT(INDEX(FILTER(F$1:F2026, F$1:F2026&lt;&gt;""""),COUNTA(FILTER(F$1:F2026, F$1:F2026&lt;&gt;""""))), LEN(INDEX(FILTER(F$1:F2026, F$1:F2026&lt;&gt;""""),COUNTA(FILTER(F$1:F2026, F$1:F2026&lt;&gt;""""))))-1), IF('To Order'!$A2027=COL"&amp;"UMNS($A2027:F2046), F2026&amp;RIGHT(INDIRECT(ADDRESS(ROW(F2027)-1, 'From Order'!$A2027)), 1), F2026))"),"")</f>
        <v/>
      </c>
      <c r="G2027" s="2" t="str">
        <f>IFERROR(__xludf.DUMMYFUNCTION("IF('From Order'!$A2027=COLUMNS($A2027:G2046), LEFT(INDEX(FILTER(G$1:G2026, G$1:G2026&lt;&gt;""""),COUNTA(FILTER(G$1:G2026, G$1:G2026&lt;&gt;""""))), LEN(INDEX(FILTER(G$1:G2026, G$1:G2026&lt;&gt;""""),COUNTA(FILTER(G$1:G2026, G$1:G2026&lt;&gt;""""))))-1), IF('To Order'!$A2027=COL"&amp;"UMNS($A2027:G2046), G2026&amp;RIGHT(INDIRECT(ADDRESS(ROW(G2027)-1, 'From Order'!$A2027)), 1), G2026))"),"G")</f>
        <v>G</v>
      </c>
      <c r="H2027" s="2" t="str">
        <f>IFERROR(__xludf.DUMMYFUNCTION("IF('From Order'!$A2027=COLUMNS($A2027:H2046), LEFT(INDEX(FILTER(H$1:H2026, H$1:H2026&lt;&gt;""""),COUNTA(FILTER(H$1:H2026, H$1:H2026&lt;&gt;""""))), LEN(INDEX(FILTER(H$1:H2026, H$1:H2026&lt;&gt;""""),COUNTA(FILTER(H$1:H2026, H$1:H2026&lt;&gt;""""))))-1), IF('To Order'!$A2027=COL"&amp;"UMNS($A2027:H2046), H2026&amp;RIGHT(INDIRECT(ADDRESS(ROW(H2027)-1, 'From Order'!$A2027)), 1), H2026))"),"QTRRDV")</f>
        <v>QTRRDV</v>
      </c>
      <c r="I2027" s="2" t="str">
        <f>IFERROR(__xludf.DUMMYFUNCTION("IF('From Order'!$A2027=COLUMNS($A2027:I2046), LEFT(INDEX(FILTER(I$1:I2026, I$1:I2026&lt;&gt;""""),COUNTA(FILTER(I$1:I2026, I$1:I2026&lt;&gt;""""))), LEN(INDEX(FILTER(I$1:I2026, I$1:I2026&lt;&gt;""""),COUNTA(FILTER(I$1:I2026, I$1:I2026&lt;&gt;""""))))-1), IF('To Order'!$A2027=COL"&amp;"UMNS($A2027:I2046), I2026&amp;RIGHT(INDIRECT(ADDRESS(ROW(I2027)-1, 'From Order'!$A2027)), 1), I2026))"),"DTCTMZHZDMTTGMJ")</f>
        <v>DTCTMZHZDMTTGMJ</v>
      </c>
    </row>
    <row r="2028">
      <c r="A2028" s="2" t="str">
        <f>IFERROR(__xludf.DUMMYFUNCTION("IF('From Order'!$A2028=COLUMNS($A2028:A2047), LEFT(INDEX(FILTER(A$1:A2027, A$1:A2027&lt;&gt;""""),COUNTA(FILTER(A$1:A2027, A$1:A2027&lt;&gt;""""))), LEN(INDEX(FILTER(A$1:A2027, A$1:A2027&lt;&gt;""""),COUNTA(FILTER(A$1:A2027, A$1:A2027&lt;&gt;""""))))-1), IF('To Order'!$A2028=COL"&amp;"UMNS($A2028:A2047), A2027&amp;RIGHT(INDIRECT(ADDRESS(ROW(A2028)-1, 'From Order'!$A2028)), 1), A2027))"),"DSPBFLLWDDVQJPPSSTWZCSFHBBVR")</f>
        <v>DSPBFLLWDDVQJPPSSTWZCSFHBBVR</v>
      </c>
      <c r="B2028" s="2" t="str">
        <f>IFERROR(__xludf.DUMMYFUNCTION("IF('From Order'!$A2028=COLUMNS($A2028:B2047), LEFT(INDEX(FILTER(B$1:B2027, B$1:B2027&lt;&gt;""""),COUNTA(FILTER(B$1:B2027, B$1:B2027&lt;&gt;""""))), LEN(INDEX(FILTER(B$1:B2027, B$1:B2027&lt;&gt;""""),COUNTA(FILTER(B$1:B2027, B$1:B2027&lt;&gt;""""))))-1), IF('To Order'!$A2028=COL"&amp;"UMNS($A2028:B2047), B2027&amp;RIGHT(INDIRECT(ADDRESS(ROW(B2028)-1, 'From Order'!$A2028)), 1), B2027))"),"")</f>
        <v/>
      </c>
      <c r="C2028" s="2" t="str">
        <f>IFERROR(__xludf.DUMMYFUNCTION("IF('From Order'!$A2028=COLUMNS($A2028:C2047), LEFT(INDEX(FILTER(C$1:C2027, C$1:C2027&lt;&gt;""""),COUNTA(FILTER(C$1:C2027, C$1:C2027&lt;&gt;""""))), LEN(INDEX(FILTER(C$1:C2027, C$1:C2027&lt;&gt;""""),COUNTA(FILTER(C$1:C2027, C$1:C2027&lt;&gt;""""))))-1), IF('To Order'!$A2028=COL"&amp;"UMNS($A2028:C2047), C2027&amp;RIGHT(INDIRECT(ADDRESS(ROW(C2028)-1, 'From Order'!$A2028)), 1), C2027))"),"")</f>
        <v/>
      </c>
      <c r="D2028" s="2" t="str">
        <f>IFERROR(__xludf.DUMMYFUNCTION("IF('From Order'!$A2028=COLUMNS($A2028:D2047), LEFT(INDEX(FILTER(D$1:D2027, D$1:D2027&lt;&gt;""""),COUNTA(FILTER(D$1:D2027, D$1:D2027&lt;&gt;""""))), LEN(INDEX(FILTER(D$1:D2027, D$1:D2027&lt;&gt;""""),COUNTA(FILTER(D$1:D2027, D$1:D2027&lt;&gt;""""))))-1), IF('To Order'!$A2028=COL"&amp;"UMNS($A2028:D2047), D2027&amp;RIGHT(INDIRECT(ADDRESS(ROW(D2028)-1, 'From Order'!$A2028)), 1), D2027))"),"RBJCL")</f>
        <v>RBJCL</v>
      </c>
      <c r="E2028" s="2" t="str">
        <f>IFERROR(__xludf.DUMMYFUNCTION("IF('From Order'!$A2028=COLUMNS($A2028:E2047), LEFT(INDEX(FILTER(E$1:E2027, E$1:E2027&lt;&gt;""""),COUNTA(FILTER(E$1:E2027, E$1:E2027&lt;&gt;""""))), LEN(INDEX(FILTER(E$1:E2027, E$1:E2027&lt;&gt;""""),COUNTA(FILTER(E$1:E2027, E$1:E2027&lt;&gt;""""))))-1), IF('To Order'!$A2028=COL"&amp;"UMNS($A2028:E2047), E2027&amp;RIGHT(INDIRECT(ADDRESS(ROW(E2028)-1, 'From Order'!$A2028)), 1), E2027))"),"")</f>
        <v/>
      </c>
      <c r="F2028" s="2" t="str">
        <f>IFERROR(__xludf.DUMMYFUNCTION("IF('From Order'!$A2028=COLUMNS($A2028:F2047), LEFT(INDEX(FILTER(F$1:F2027, F$1:F2027&lt;&gt;""""),COUNTA(FILTER(F$1:F2027, F$1:F2027&lt;&gt;""""))), LEN(INDEX(FILTER(F$1:F2027, F$1:F2027&lt;&gt;""""),COUNTA(FILTER(F$1:F2027, F$1:F2027&lt;&gt;""""))))-1), IF('To Order'!$A2028=COL"&amp;"UMNS($A2028:F2047), F2027&amp;RIGHT(INDIRECT(ADDRESS(ROW(F2028)-1, 'From Order'!$A2028)), 1), F2027))"),"")</f>
        <v/>
      </c>
      <c r="G2028" s="2" t="str">
        <f>IFERROR(__xludf.DUMMYFUNCTION("IF('From Order'!$A2028=COLUMNS($A2028:G2047), LEFT(INDEX(FILTER(G$1:G2027, G$1:G2027&lt;&gt;""""),COUNTA(FILTER(G$1:G2027, G$1:G2027&lt;&gt;""""))), LEN(INDEX(FILTER(G$1:G2027, G$1:G2027&lt;&gt;""""),COUNTA(FILTER(G$1:G2027, G$1:G2027&lt;&gt;""""))))-1), IF('To Order'!$A2028=COL"&amp;"UMNS($A2028:G2047), G2027&amp;RIGHT(INDIRECT(ADDRESS(ROW(G2028)-1, 'From Order'!$A2028)), 1), G2027))"),"G")</f>
        <v>G</v>
      </c>
      <c r="H2028" s="2" t="str">
        <f>IFERROR(__xludf.DUMMYFUNCTION("IF('From Order'!$A2028=COLUMNS($A2028:H2047), LEFT(INDEX(FILTER(H$1:H2027, H$1:H2027&lt;&gt;""""),COUNTA(FILTER(H$1:H2027, H$1:H2027&lt;&gt;""""))), LEN(INDEX(FILTER(H$1:H2027, H$1:H2027&lt;&gt;""""),COUNTA(FILTER(H$1:H2027, H$1:H2027&lt;&gt;""""))))-1), IF('To Order'!$A2028=COL"&amp;"UMNS($A2028:H2047), H2027&amp;RIGHT(INDIRECT(ADDRESS(ROW(H2028)-1, 'From Order'!$A2028)), 1), H2027))"),"QTRRDV")</f>
        <v>QTRRDV</v>
      </c>
      <c r="I2028" s="2" t="str">
        <f>IFERROR(__xludf.DUMMYFUNCTION("IF('From Order'!$A2028=COLUMNS($A2028:I2047), LEFT(INDEX(FILTER(I$1:I2027, I$1:I2027&lt;&gt;""""),COUNTA(FILTER(I$1:I2027, I$1:I2027&lt;&gt;""""))), LEN(INDEX(FILTER(I$1:I2027, I$1:I2027&lt;&gt;""""),COUNTA(FILTER(I$1:I2027, I$1:I2027&lt;&gt;""""))))-1), IF('To Order'!$A2028=COL"&amp;"UMNS($A2028:I2047), I2027&amp;RIGHT(INDIRECT(ADDRESS(ROW(I2028)-1, 'From Order'!$A2028)), 1), I2027))"),"DTCTMZHZDMTTGMJR")</f>
        <v>DTCTMZHZDMTTGMJR</v>
      </c>
    </row>
    <row r="2029">
      <c r="A2029" s="2" t="str">
        <f>IFERROR(__xludf.DUMMYFUNCTION("IF('From Order'!$A2029=COLUMNS($A2029:A2048), LEFT(INDEX(FILTER(A$1:A2028, A$1:A2028&lt;&gt;""""),COUNTA(FILTER(A$1:A2028, A$1:A2028&lt;&gt;""""))), LEN(INDEX(FILTER(A$1:A2028, A$1:A2028&lt;&gt;""""),COUNTA(FILTER(A$1:A2028, A$1:A2028&lt;&gt;""""))))-1), IF('To Order'!$A2029=COL"&amp;"UMNS($A2029:A2048), A2028&amp;RIGHT(INDIRECT(ADDRESS(ROW(A2029)-1, 'From Order'!$A2029)), 1), A2028))"),"DSPBFLLWDDVQJPPSSTWZCSFHBBV")</f>
        <v>DSPBFLLWDDVQJPPSSTWZCSFHBBV</v>
      </c>
      <c r="B2029" s="2" t="str">
        <f>IFERROR(__xludf.DUMMYFUNCTION("IF('From Order'!$A2029=COLUMNS($A2029:B2048), LEFT(INDEX(FILTER(B$1:B2028, B$1:B2028&lt;&gt;""""),COUNTA(FILTER(B$1:B2028, B$1:B2028&lt;&gt;""""))), LEN(INDEX(FILTER(B$1:B2028, B$1:B2028&lt;&gt;""""),COUNTA(FILTER(B$1:B2028, B$1:B2028&lt;&gt;""""))))-1), IF('To Order'!$A2029=COL"&amp;"UMNS($A2029:B2048), B2028&amp;RIGHT(INDIRECT(ADDRESS(ROW(B2029)-1, 'From Order'!$A2029)), 1), B2028))"),"")</f>
        <v/>
      </c>
      <c r="C2029" s="2" t="str">
        <f>IFERROR(__xludf.DUMMYFUNCTION("IF('From Order'!$A2029=COLUMNS($A2029:C2048), LEFT(INDEX(FILTER(C$1:C2028, C$1:C2028&lt;&gt;""""),COUNTA(FILTER(C$1:C2028, C$1:C2028&lt;&gt;""""))), LEN(INDEX(FILTER(C$1:C2028, C$1:C2028&lt;&gt;""""),COUNTA(FILTER(C$1:C2028, C$1:C2028&lt;&gt;""""))))-1), IF('To Order'!$A2029=COL"&amp;"UMNS($A2029:C2048), C2028&amp;RIGHT(INDIRECT(ADDRESS(ROW(C2029)-1, 'From Order'!$A2029)), 1), C2028))"),"")</f>
        <v/>
      </c>
      <c r="D2029" s="2" t="str">
        <f>IFERROR(__xludf.DUMMYFUNCTION("IF('From Order'!$A2029=COLUMNS($A2029:D2048), LEFT(INDEX(FILTER(D$1:D2028, D$1:D2028&lt;&gt;""""),COUNTA(FILTER(D$1:D2028, D$1:D2028&lt;&gt;""""))), LEN(INDEX(FILTER(D$1:D2028, D$1:D2028&lt;&gt;""""),COUNTA(FILTER(D$1:D2028, D$1:D2028&lt;&gt;""""))))-1), IF('To Order'!$A2029=COL"&amp;"UMNS($A2029:D2048), D2028&amp;RIGHT(INDIRECT(ADDRESS(ROW(D2029)-1, 'From Order'!$A2029)), 1), D2028))"),"RBJCL")</f>
        <v>RBJCL</v>
      </c>
      <c r="E2029" s="2" t="str">
        <f>IFERROR(__xludf.DUMMYFUNCTION("IF('From Order'!$A2029=COLUMNS($A2029:E2048), LEFT(INDEX(FILTER(E$1:E2028, E$1:E2028&lt;&gt;""""),COUNTA(FILTER(E$1:E2028, E$1:E2028&lt;&gt;""""))), LEN(INDEX(FILTER(E$1:E2028, E$1:E2028&lt;&gt;""""),COUNTA(FILTER(E$1:E2028, E$1:E2028&lt;&gt;""""))))-1), IF('To Order'!$A2029=COL"&amp;"UMNS($A2029:E2048), E2028&amp;RIGHT(INDIRECT(ADDRESS(ROW(E2029)-1, 'From Order'!$A2029)), 1), E2028))"),"")</f>
        <v/>
      </c>
      <c r="F2029" s="2" t="str">
        <f>IFERROR(__xludf.DUMMYFUNCTION("IF('From Order'!$A2029=COLUMNS($A2029:F2048), LEFT(INDEX(FILTER(F$1:F2028, F$1:F2028&lt;&gt;""""),COUNTA(FILTER(F$1:F2028, F$1:F2028&lt;&gt;""""))), LEN(INDEX(FILTER(F$1:F2028, F$1:F2028&lt;&gt;""""),COUNTA(FILTER(F$1:F2028, F$1:F2028&lt;&gt;""""))))-1), IF('To Order'!$A2029=COL"&amp;"UMNS($A2029:F2048), F2028&amp;RIGHT(INDIRECT(ADDRESS(ROW(F2029)-1, 'From Order'!$A2029)), 1), F2028))"),"")</f>
        <v/>
      </c>
      <c r="G2029" s="2" t="str">
        <f>IFERROR(__xludf.DUMMYFUNCTION("IF('From Order'!$A2029=COLUMNS($A2029:G2048), LEFT(INDEX(FILTER(G$1:G2028, G$1:G2028&lt;&gt;""""),COUNTA(FILTER(G$1:G2028, G$1:G2028&lt;&gt;""""))), LEN(INDEX(FILTER(G$1:G2028, G$1:G2028&lt;&gt;""""),COUNTA(FILTER(G$1:G2028, G$1:G2028&lt;&gt;""""))))-1), IF('To Order'!$A2029=COL"&amp;"UMNS($A2029:G2048), G2028&amp;RIGHT(INDIRECT(ADDRESS(ROW(G2029)-1, 'From Order'!$A2029)), 1), G2028))"),"G")</f>
        <v>G</v>
      </c>
      <c r="H2029" s="2" t="str">
        <f>IFERROR(__xludf.DUMMYFUNCTION("IF('From Order'!$A2029=COLUMNS($A2029:H2048), LEFT(INDEX(FILTER(H$1:H2028, H$1:H2028&lt;&gt;""""),COUNTA(FILTER(H$1:H2028, H$1:H2028&lt;&gt;""""))), LEN(INDEX(FILTER(H$1:H2028, H$1:H2028&lt;&gt;""""),COUNTA(FILTER(H$1:H2028, H$1:H2028&lt;&gt;""""))))-1), IF('To Order'!$A2029=COL"&amp;"UMNS($A2029:H2048), H2028&amp;RIGHT(INDIRECT(ADDRESS(ROW(H2029)-1, 'From Order'!$A2029)), 1), H2028))"),"QTRRDV")</f>
        <v>QTRRDV</v>
      </c>
      <c r="I2029" s="2" t="str">
        <f>IFERROR(__xludf.DUMMYFUNCTION("IF('From Order'!$A2029=COLUMNS($A2029:I2048), LEFT(INDEX(FILTER(I$1:I2028, I$1:I2028&lt;&gt;""""),COUNTA(FILTER(I$1:I2028, I$1:I2028&lt;&gt;""""))), LEN(INDEX(FILTER(I$1:I2028, I$1:I2028&lt;&gt;""""),COUNTA(FILTER(I$1:I2028, I$1:I2028&lt;&gt;""""))))-1), IF('To Order'!$A2029=COL"&amp;"UMNS($A2029:I2048), I2028&amp;RIGHT(INDIRECT(ADDRESS(ROW(I2029)-1, 'From Order'!$A2029)), 1), I2028))"),"DTCTMZHZDMTTGMJRR")</f>
        <v>DTCTMZHZDMTTGMJRR</v>
      </c>
    </row>
    <row r="2030">
      <c r="A2030" s="2" t="str">
        <f>IFERROR(__xludf.DUMMYFUNCTION("IF('From Order'!$A2030=COLUMNS($A2030:A2049), LEFT(INDEX(FILTER(A$1:A2029, A$1:A2029&lt;&gt;""""),COUNTA(FILTER(A$1:A2029, A$1:A2029&lt;&gt;""""))), LEN(INDEX(FILTER(A$1:A2029, A$1:A2029&lt;&gt;""""),COUNTA(FILTER(A$1:A2029, A$1:A2029&lt;&gt;""""))))-1), IF('To Order'!$A2030=COL"&amp;"UMNS($A2030:A2049), A2029&amp;RIGHT(INDIRECT(ADDRESS(ROW(A2030)-1, 'From Order'!$A2030)), 1), A2029))"),"DSPBFLLWDDVQJPPSSTWZCSFHBB")</f>
        <v>DSPBFLLWDDVQJPPSSTWZCSFHBB</v>
      </c>
      <c r="B2030" s="2" t="str">
        <f>IFERROR(__xludf.DUMMYFUNCTION("IF('From Order'!$A2030=COLUMNS($A2030:B2049), LEFT(INDEX(FILTER(B$1:B2029, B$1:B2029&lt;&gt;""""),COUNTA(FILTER(B$1:B2029, B$1:B2029&lt;&gt;""""))), LEN(INDEX(FILTER(B$1:B2029, B$1:B2029&lt;&gt;""""),COUNTA(FILTER(B$1:B2029, B$1:B2029&lt;&gt;""""))))-1), IF('To Order'!$A2030=COL"&amp;"UMNS($A2030:B2049), B2029&amp;RIGHT(INDIRECT(ADDRESS(ROW(B2030)-1, 'From Order'!$A2030)), 1), B2029))"),"")</f>
        <v/>
      </c>
      <c r="C2030" s="2" t="str">
        <f>IFERROR(__xludf.DUMMYFUNCTION("IF('From Order'!$A2030=COLUMNS($A2030:C2049), LEFT(INDEX(FILTER(C$1:C2029, C$1:C2029&lt;&gt;""""),COUNTA(FILTER(C$1:C2029, C$1:C2029&lt;&gt;""""))), LEN(INDEX(FILTER(C$1:C2029, C$1:C2029&lt;&gt;""""),COUNTA(FILTER(C$1:C2029, C$1:C2029&lt;&gt;""""))))-1), IF('To Order'!$A2030=COL"&amp;"UMNS($A2030:C2049), C2029&amp;RIGHT(INDIRECT(ADDRESS(ROW(C2030)-1, 'From Order'!$A2030)), 1), C2029))"),"")</f>
        <v/>
      </c>
      <c r="D2030" s="2" t="str">
        <f>IFERROR(__xludf.DUMMYFUNCTION("IF('From Order'!$A2030=COLUMNS($A2030:D2049), LEFT(INDEX(FILTER(D$1:D2029, D$1:D2029&lt;&gt;""""),COUNTA(FILTER(D$1:D2029, D$1:D2029&lt;&gt;""""))), LEN(INDEX(FILTER(D$1:D2029, D$1:D2029&lt;&gt;""""),COUNTA(FILTER(D$1:D2029, D$1:D2029&lt;&gt;""""))))-1), IF('To Order'!$A2030=COL"&amp;"UMNS($A2030:D2049), D2029&amp;RIGHT(INDIRECT(ADDRESS(ROW(D2030)-1, 'From Order'!$A2030)), 1), D2029))"),"RBJCL")</f>
        <v>RBJCL</v>
      </c>
      <c r="E2030" s="2" t="str">
        <f>IFERROR(__xludf.DUMMYFUNCTION("IF('From Order'!$A2030=COLUMNS($A2030:E2049), LEFT(INDEX(FILTER(E$1:E2029, E$1:E2029&lt;&gt;""""),COUNTA(FILTER(E$1:E2029, E$1:E2029&lt;&gt;""""))), LEN(INDEX(FILTER(E$1:E2029, E$1:E2029&lt;&gt;""""),COUNTA(FILTER(E$1:E2029, E$1:E2029&lt;&gt;""""))))-1), IF('To Order'!$A2030=COL"&amp;"UMNS($A2030:E2049), E2029&amp;RIGHT(INDIRECT(ADDRESS(ROW(E2030)-1, 'From Order'!$A2030)), 1), E2029))"),"")</f>
        <v/>
      </c>
      <c r="F2030" s="2" t="str">
        <f>IFERROR(__xludf.DUMMYFUNCTION("IF('From Order'!$A2030=COLUMNS($A2030:F2049), LEFT(INDEX(FILTER(F$1:F2029, F$1:F2029&lt;&gt;""""),COUNTA(FILTER(F$1:F2029, F$1:F2029&lt;&gt;""""))), LEN(INDEX(FILTER(F$1:F2029, F$1:F2029&lt;&gt;""""),COUNTA(FILTER(F$1:F2029, F$1:F2029&lt;&gt;""""))))-1), IF('To Order'!$A2030=COL"&amp;"UMNS($A2030:F2049), F2029&amp;RIGHT(INDIRECT(ADDRESS(ROW(F2030)-1, 'From Order'!$A2030)), 1), F2029))"),"")</f>
        <v/>
      </c>
      <c r="G2030" s="2" t="str">
        <f>IFERROR(__xludf.DUMMYFUNCTION("IF('From Order'!$A2030=COLUMNS($A2030:G2049), LEFT(INDEX(FILTER(G$1:G2029, G$1:G2029&lt;&gt;""""),COUNTA(FILTER(G$1:G2029, G$1:G2029&lt;&gt;""""))), LEN(INDEX(FILTER(G$1:G2029, G$1:G2029&lt;&gt;""""),COUNTA(FILTER(G$1:G2029, G$1:G2029&lt;&gt;""""))))-1), IF('To Order'!$A2030=COL"&amp;"UMNS($A2030:G2049), G2029&amp;RIGHT(INDIRECT(ADDRESS(ROW(G2030)-1, 'From Order'!$A2030)), 1), G2029))"),"G")</f>
        <v>G</v>
      </c>
      <c r="H2030" s="2" t="str">
        <f>IFERROR(__xludf.DUMMYFUNCTION("IF('From Order'!$A2030=COLUMNS($A2030:H2049), LEFT(INDEX(FILTER(H$1:H2029, H$1:H2029&lt;&gt;""""),COUNTA(FILTER(H$1:H2029, H$1:H2029&lt;&gt;""""))), LEN(INDEX(FILTER(H$1:H2029, H$1:H2029&lt;&gt;""""),COUNTA(FILTER(H$1:H2029, H$1:H2029&lt;&gt;""""))))-1), IF('To Order'!$A2030=COL"&amp;"UMNS($A2030:H2049), H2029&amp;RIGHT(INDIRECT(ADDRESS(ROW(H2030)-1, 'From Order'!$A2030)), 1), H2029))"),"QTRRDV")</f>
        <v>QTRRDV</v>
      </c>
      <c r="I2030" s="2" t="str">
        <f>IFERROR(__xludf.DUMMYFUNCTION("IF('From Order'!$A2030=COLUMNS($A2030:I2049), LEFT(INDEX(FILTER(I$1:I2029, I$1:I2029&lt;&gt;""""),COUNTA(FILTER(I$1:I2029, I$1:I2029&lt;&gt;""""))), LEN(INDEX(FILTER(I$1:I2029, I$1:I2029&lt;&gt;""""),COUNTA(FILTER(I$1:I2029, I$1:I2029&lt;&gt;""""))))-1), IF('To Order'!$A2030=COL"&amp;"UMNS($A2030:I2049), I2029&amp;RIGHT(INDIRECT(ADDRESS(ROW(I2030)-1, 'From Order'!$A2030)), 1), I2029))"),"DTCTMZHZDMTTGMJRRV")</f>
        <v>DTCTMZHZDMTTGMJRRV</v>
      </c>
    </row>
    <row r="2031">
      <c r="A2031" s="2" t="str">
        <f>IFERROR(__xludf.DUMMYFUNCTION("IF('From Order'!$A2031=COLUMNS($A2031:A2050), LEFT(INDEX(FILTER(A$1:A2030, A$1:A2030&lt;&gt;""""),COUNTA(FILTER(A$1:A2030, A$1:A2030&lt;&gt;""""))), LEN(INDEX(FILTER(A$1:A2030, A$1:A2030&lt;&gt;""""),COUNTA(FILTER(A$1:A2030, A$1:A2030&lt;&gt;""""))))-1), IF('To Order'!$A2031=COL"&amp;"UMNS($A2031:A2050), A2030&amp;RIGHT(INDIRECT(ADDRESS(ROW(A2031)-1, 'From Order'!$A2031)), 1), A2030))"),"DSPBFLLWDDVQJPPSSTWZCSFHB")</f>
        <v>DSPBFLLWDDVQJPPSSTWZCSFHB</v>
      </c>
      <c r="B2031" s="2" t="str">
        <f>IFERROR(__xludf.DUMMYFUNCTION("IF('From Order'!$A2031=COLUMNS($A2031:B2050), LEFT(INDEX(FILTER(B$1:B2030, B$1:B2030&lt;&gt;""""),COUNTA(FILTER(B$1:B2030, B$1:B2030&lt;&gt;""""))), LEN(INDEX(FILTER(B$1:B2030, B$1:B2030&lt;&gt;""""),COUNTA(FILTER(B$1:B2030, B$1:B2030&lt;&gt;""""))))-1), IF('To Order'!$A2031=COL"&amp;"UMNS($A2031:B2050), B2030&amp;RIGHT(INDIRECT(ADDRESS(ROW(B2031)-1, 'From Order'!$A2031)), 1), B2030))"),"")</f>
        <v/>
      </c>
      <c r="C2031" s="2" t="str">
        <f>IFERROR(__xludf.DUMMYFUNCTION("IF('From Order'!$A2031=COLUMNS($A2031:C2050), LEFT(INDEX(FILTER(C$1:C2030, C$1:C2030&lt;&gt;""""),COUNTA(FILTER(C$1:C2030, C$1:C2030&lt;&gt;""""))), LEN(INDEX(FILTER(C$1:C2030, C$1:C2030&lt;&gt;""""),COUNTA(FILTER(C$1:C2030, C$1:C2030&lt;&gt;""""))))-1), IF('To Order'!$A2031=COL"&amp;"UMNS($A2031:C2050), C2030&amp;RIGHT(INDIRECT(ADDRESS(ROW(C2031)-1, 'From Order'!$A2031)), 1), C2030))"),"")</f>
        <v/>
      </c>
      <c r="D2031" s="2" t="str">
        <f>IFERROR(__xludf.DUMMYFUNCTION("IF('From Order'!$A2031=COLUMNS($A2031:D2050), LEFT(INDEX(FILTER(D$1:D2030, D$1:D2030&lt;&gt;""""),COUNTA(FILTER(D$1:D2030, D$1:D2030&lt;&gt;""""))), LEN(INDEX(FILTER(D$1:D2030, D$1:D2030&lt;&gt;""""),COUNTA(FILTER(D$1:D2030, D$1:D2030&lt;&gt;""""))))-1), IF('To Order'!$A2031=COL"&amp;"UMNS($A2031:D2050), D2030&amp;RIGHT(INDIRECT(ADDRESS(ROW(D2031)-1, 'From Order'!$A2031)), 1), D2030))"),"RBJCL")</f>
        <v>RBJCL</v>
      </c>
      <c r="E2031" s="2" t="str">
        <f>IFERROR(__xludf.DUMMYFUNCTION("IF('From Order'!$A2031=COLUMNS($A2031:E2050), LEFT(INDEX(FILTER(E$1:E2030, E$1:E2030&lt;&gt;""""),COUNTA(FILTER(E$1:E2030, E$1:E2030&lt;&gt;""""))), LEN(INDEX(FILTER(E$1:E2030, E$1:E2030&lt;&gt;""""),COUNTA(FILTER(E$1:E2030, E$1:E2030&lt;&gt;""""))))-1), IF('To Order'!$A2031=COL"&amp;"UMNS($A2031:E2050), E2030&amp;RIGHT(INDIRECT(ADDRESS(ROW(E2031)-1, 'From Order'!$A2031)), 1), E2030))"),"")</f>
        <v/>
      </c>
      <c r="F2031" s="2" t="str">
        <f>IFERROR(__xludf.DUMMYFUNCTION("IF('From Order'!$A2031=COLUMNS($A2031:F2050), LEFT(INDEX(FILTER(F$1:F2030, F$1:F2030&lt;&gt;""""),COUNTA(FILTER(F$1:F2030, F$1:F2030&lt;&gt;""""))), LEN(INDEX(FILTER(F$1:F2030, F$1:F2030&lt;&gt;""""),COUNTA(FILTER(F$1:F2030, F$1:F2030&lt;&gt;""""))))-1), IF('To Order'!$A2031=COL"&amp;"UMNS($A2031:F2050), F2030&amp;RIGHT(INDIRECT(ADDRESS(ROW(F2031)-1, 'From Order'!$A2031)), 1), F2030))"),"")</f>
        <v/>
      </c>
      <c r="G2031" s="2" t="str">
        <f>IFERROR(__xludf.DUMMYFUNCTION("IF('From Order'!$A2031=COLUMNS($A2031:G2050), LEFT(INDEX(FILTER(G$1:G2030, G$1:G2030&lt;&gt;""""),COUNTA(FILTER(G$1:G2030, G$1:G2030&lt;&gt;""""))), LEN(INDEX(FILTER(G$1:G2030, G$1:G2030&lt;&gt;""""),COUNTA(FILTER(G$1:G2030, G$1:G2030&lt;&gt;""""))))-1), IF('To Order'!$A2031=COL"&amp;"UMNS($A2031:G2050), G2030&amp;RIGHT(INDIRECT(ADDRESS(ROW(G2031)-1, 'From Order'!$A2031)), 1), G2030))"),"G")</f>
        <v>G</v>
      </c>
      <c r="H2031" s="2" t="str">
        <f>IFERROR(__xludf.DUMMYFUNCTION("IF('From Order'!$A2031=COLUMNS($A2031:H2050), LEFT(INDEX(FILTER(H$1:H2030, H$1:H2030&lt;&gt;""""),COUNTA(FILTER(H$1:H2030, H$1:H2030&lt;&gt;""""))), LEN(INDEX(FILTER(H$1:H2030, H$1:H2030&lt;&gt;""""),COUNTA(FILTER(H$1:H2030, H$1:H2030&lt;&gt;""""))))-1), IF('To Order'!$A2031=COL"&amp;"UMNS($A2031:H2050), H2030&amp;RIGHT(INDIRECT(ADDRESS(ROW(H2031)-1, 'From Order'!$A2031)), 1), H2030))"),"QTRRDV")</f>
        <v>QTRRDV</v>
      </c>
      <c r="I2031" s="2" t="str">
        <f>IFERROR(__xludf.DUMMYFUNCTION("IF('From Order'!$A2031=COLUMNS($A2031:I2050), LEFT(INDEX(FILTER(I$1:I2030, I$1:I2030&lt;&gt;""""),COUNTA(FILTER(I$1:I2030, I$1:I2030&lt;&gt;""""))), LEN(INDEX(FILTER(I$1:I2030, I$1:I2030&lt;&gt;""""),COUNTA(FILTER(I$1:I2030, I$1:I2030&lt;&gt;""""))))-1), IF('To Order'!$A2031=COL"&amp;"UMNS($A2031:I2050), I2030&amp;RIGHT(INDIRECT(ADDRESS(ROW(I2031)-1, 'From Order'!$A2031)), 1), I2030))"),"DTCTMZHZDMTTGMJRRVB")</f>
        <v>DTCTMZHZDMTTGMJRRVB</v>
      </c>
    </row>
    <row r="2032">
      <c r="A2032" s="2" t="str">
        <f>IFERROR(__xludf.DUMMYFUNCTION("IF('From Order'!$A2032=COLUMNS($A2032:A2051), LEFT(INDEX(FILTER(A$1:A2031, A$1:A2031&lt;&gt;""""),COUNTA(FILTER(A$1:A2031, A$1:A2031&lt;&gt;""""))), LEN(INDEX(FILTER(A$1:A2031, A$1:A2031&lt;&gt;""""),COUNTA(FILTER(A$1:A2031, A$1:A2031&lt;&gt;""""))))-1), IF('To Order'!$A2032=COL"&amp;"UMNS($A2032:A2051), A2031&amp;RIGHT(INDIRECT(ADDRESS(ROW(A2032)-1, 'From Order'!$A2032)), 1), A2031))"),"DSPBFLLWDDVQJPPSSTWZCSFH")</f>
        <v>DSPBFLLWDDVQJPPSSTWZCSFH</v>
      </c>
      <c r="B2032" s="2" t="str">
        <f>IFERROR(__xludf.DUMMYFUNCTION("IF('From Order'!$A2032=COLUMNS($A2032:B2051), LEFT(INDEX(FILTER(B$1:B2031, B$1:B2031&lt;&gt;""""),COUNTA(FILTER(B$1:B2031, B$1:B2031&lt;&gt;""""))), LEN(INDEX(FILTER(B$1:B2031, B$1:B2031&lt;&gt;""""),COUNTA(FILTER(B$1:B2031, B$1:B2031&lt;&gt;""""))))-1), IF('To Order'!$A2032=COL"&amp;"UMNS($A2032:B2051), B2031&amp;RIGHT(INDIRECT(ADDRESS(ROW(B2032)-1, 'From Order'!$A2032)), 1), B2031))"),"")</f>
        <v/>
      </c>
      <c r="C2032" s="2" t="str">
        <f>IFERROR(__xludf.DUMMYFUNCTION("IF('From Order'!$A2032=COLUMNS($A2032:C2051), LEFT(INDEX(FILTER(C$1:C2031, C$1:C2031&lt;&gt;""""),COUNTA(FILTER(C$1:C2031, C$1:C2031&lt;&gt;""""))), LEN(INDEX(FILTER(C$1:C2031, C$1:C2031&lt;&gt;""""),COUNTA(FILTER(C$1:C2031, C$1:C2031&lt;&gt;""""))))-1), IF('To Order'!$A2032=COL"&amp;"UMNS($A2032:C2051), C2031&amp;RIGHT(INDIRECT(ADDRESS(ROW(C2032)-1, 'From Order'!$A2032)), 1), C2031))"),"")</f>
        <v/>
      </c>
      <c r="D2032" s="2" t="str">
        <f>IFERROR(__xludf.DUMMYFUNCTION("IF('From Order'!$A2032=COLUMNS($A2032:D2051), LEFT(INDEX(FILTER(D$1:D2031, D$1:D2031&lt;&gt;""""),COUNTA(FILTER(D$1:D2031, D$1:D2031&lt;&gt;""""))), LEN(INDEX(FILTER(D$1:D2031, D$1:D2031&lt;&gt;""""),COUNTA(FILTER(D$1:D2031, D$1:D2031&lt;&gt;""""))))-1), IF('To Order'!$A2032=COL"&amp;"UMNS($A2032:D2051), D2031&amp;RIGHT(INDIRECT(ADDRESS(ROW(D2032)-1, 'From Order'!$A2032)), 1), D2031))"),"RBJCL")</f>
        <v>RBJCL</v>
      </c>
      <c r="E2032" s="2" t="str">
        <f>IFERROR(__xludf.DUMMYFUNCTION("IF('From Order'!$A2032=COLUMNS($A2032:E2051), LEFT(INDEX(FILTER(E$1:E2031, E$1:E2031&lt;&gt;""""),COUNTA(FILTER(E$1:E2031, E$1:E2031&lt;&gt;""""))), LEN(INDEX(FILTER(E$1:E2031, E$1:E2031&lt;&gt;""""),COUNTA(FILTER(E$1:E2031, E$1:E2031&lt;&gt;""""))))-1), IF('To Order'!$A2032=COL"&amp;"UMNS($A2032:E2051), E2031&amp;RIGHT(INDIRECT(ADDRESS(ROW(E2032)-1, 'From Order'!$A2032)), 1), E2031))"),"")</f>
        <v/>
      </c>
      <c r="F2032" s="2" t="str">
        <f>IFERROR(__xludf.DUMMYFUNCTION("IF('From Order'!$A2032=COLUMNS($A2032:F2051), LEFT(INDEX(FILTER(F$1:F2031, F$1:F2031&lt;&gt;""""),COUNTA(FILTER(F$1:F2031, F$1:F2031&lt;&gt;""""))), LEN(INDEX(FILTER(F$1:F2031, F$1:F2031&lt;&gt;""""),COUNTA(FILTER(F$1:F2031, F$1:F2031&lt;&gt;""""))))-1), IF('To Order'!$A2032=COL"&amp;"UMNS($A2032:F2051), F2031&amp;RIGHT(INDIRECT(ADDRESS(ROW(F2032)-1, 'From Order'!$A2032)), 1), F2031))"),"")</f>
        <v/>
      </c>
      <c r="G2032" s="2" t="str">
        <f>IFERROR(__xludf.DUMMYFUNCTION("IF('From Order'!$A2032=COLUMNS($A2032:G2051), LEFT(INDEX(FILTER(G$1:G2031, G$1:G2031&lt;&gt;""""),COUNTA(FILTER(G$1:G2031, G$1:G2031&lt;&gt;""""))), LEN(INDEX(FILTER(G$1:G2031, G$1:G2031&lt;&gt;""""),COUNTA(FILTER(G$1:G2031, G$1:G2031&lt;&gt;""""))))-1), IF('To Order'!$A2032=COL"&amp;"UMNS($A2032:G2051), G2031&amp;RIGHT(INDIRECT(ADDRESS(ROW(G2032)-1, 'From Order'!$A2032)), 1), G2031))"),"G")</f>
        <v>G</v>
      </c>
      <c r="H2032" s="2" t="str">
        <f>IFERROR(__xludf.DUMMYFUNCTION("IF('From Order'!$A2032=COLUMNS($A2032:H2051), LEFT(INDEX(FILTER(H$1:H2031, H$1:H2031&lt;&gt;""""),COUNTA(FILTER(H$1:H2031, H$1:H2031&lt;&gt;""""))), LEN(INDEX(FILTER(H$1:H2031, H$1:H2031&lt;&gt;""""),COUNTA(FILTER(H$1:H2031, H$1:H2031&lt;&gt;""""))))-1), IF('To Order'!$A2032=COL"&amp;"UMNS($A2032:H2051), H2031&amp;RIGHT(INDIRECT(ADDRESS(ROW(H2032)-1, 'From Order'!$A2032)), 1), H2031))"),"QTRRDV")</f>
        <v>QTRRDV</v>
      </c>
      <c r="I2032" s="2" t="str">
        <f>IFERROR(__xludf.DUMMYFUNCTION("IF('From Order'!$A2032=COLUMNS($A2032:I2051), LEFT(INDEX(FILTER(I$1:I2031, I$1:I2031&lt;&gt;""""),COUNTA(FILTER(I$1:I2031, I$1:I2031&lt;&gt;""""))), LEN(INDEX(FILTER(I$1:I2031, I$1:I2031&lt;&gt;""""),COUNTA(FILTER(I$1:I2031, I$1:I2031&lt;&gt;""""))))-1), IF('To Order'!$A2032=COL"&amp;"UMNS($A2032:I2051), I2031&amp;RIGHT(INDIRECT(ADDRESS(ROW(I2032)-1, 'From Order'!$A2032)), 1), I2031))"),"DTCTMZHZDMTTGMJRRVBB")</f>
        <v>DTCTMZHZDMTTGMJRRVBB</v>
      </c>
    </row>
    <row r="2033">
      <c r="A2033" s="2" t="str">
        <f>IFERROR(__xludf.DUMMYFUNCTION("IF('From Order'!$A2033=COLUMNS($A2033:A2052), LEFT(INDEX(FILTER(A$1:A2032, A$1:A2032&lt;&gt;""""),COUNTA(FILTER(A$1:A2032, A$1:A2032&lt;&gt;""""))), LEN(INDEX(FILTER(A$1:A2032, A$1:A2032&lt;&gt;""""),COUNTA(FILTER(A$1:A2032, A$1:A2032&lt;&gt;""""))))-1), IF('To Order'!$A2033=COL"&amp;"UMNS($A2033:A2052), A2032&amp;RIGHT(INDIRECT(ADDRESS(ROW(A2033)-1, 'From Order'!$A2033)), 1), A2032))"),"DSPBFLLWDDVQJPPSSTWZCSF")</f>
        <v>DSPBFLLWDDVQJPPSSTWZCSF</v>
      </c>
      <c r="B2033" s="2" t="str">
        <f>IFERROR(__xludf.DUMMYFUNCTION("IF('From Order'!$A2033=COLUMNS($A2033:B2052), LEFT(INDEX(FILTER(B$1:B2032, B$1:B2032&lt;&gt;""""),COUNTA(FILTER(B$1:B2032, B$1:B2032&lt;&gt;""""))), LEN(INDEX(FILTER(B$1:B2032, B$1:B2032&lt;&gt;""""),COUNTA(FILTER(B$1:B2032, B$1:B2032&lt;&gt;""""))))-1), IF('To Order'!$A2033=COL"&amp;"UMNS($A2033:B2052), B2032&amp;RIGHT(INDIRECT(ADDRESS(ROW(B2033)-1, 'From Order'!$A2033)), 1), B2032))"),"")</f>
        <v/>
      </c>
      <c r="C2033" s="2" t="str">
        <f>IFERROR(__xludf.DUMMYFUNCTION("IF('From Order'!$A2033=COLUMNS($A2033:C2052), LEFT(INDEX(FILTER(C$1:C2032, C$1:C2032&lt;&gt;""""),COUNTA(FILTER(C$1:C2032, C$1:C2032&lt;&gt;""""))), LEN(INDEX(FILTER(C$1:C2032, C$1:C2032&lt;&gt;""""),COUNTA(FILTER(C$1:C2032, C$1:C2032&lt;&gt;""""))))-1), IF('To Order'!$A2033=COL"&amp;"UMNS($A2033:C2052), C2032&amp;RIGHT(INDIRECT(ADDRESS(ROW(C2033)-1, 'From Order'!$A2033)), 1), C2032))"),"")</f>
        <v/>
      </c>
      <c r="D2033" s="2" t="str">
        <f>IFERROR(__xludf.DUMMYFUNCTION("IF('From Order'!$A2033=COLUMNS($A2033:D2052), LEFT(INDEX(FILTER(D$1:D2032, D$1:D2032&lt;&gt;""""),COUNTA(FILTER(D$1:D2032, D$1:D2032&lt;&gt;""""))), LEN(INDEX(FILTER(D$1:D2032, D$1:D2032&lt;&gt;""""),COUNTA(FILTER(D$1:D2032, D$1:D2032&lt;&gt;""""))))-1), IF('To Order'!$A2033=COL"&amp;"UMNS($A2033:D2052), D2032&amp;RIGHT(INDIRECT(ADDRESS(ROW(D2033)-1, 'From Order'!$A2033)), 1), D2032))"),"RBJCL")</f>
        <v>RBJCL</v>
      </c>
      <c r="E2033" s="2" t="str">
        <f>IFERROR(__xludf.DUMMYFUNCTION("IF('From Order'!$A2033=COLUMNS($A2033:E2052), LEFT(INDEX(FILTER(E$1:E2032, E$1:E2032&lt;&gt;""""),COUNTA(FILTER(E$1:E2032, E$1:E2032&lt;&gt;""""))), LEN(INDEX(FILTER(E$1:E2032, E$1:E2032&lt;&gt;""""),COUNTA(FILTER(E$1:E2032, E$1:E2032&lt;&gt;""""))))-1), IF('To Order'!$A2033=COL"&amp;"UMNS($A2033:E2052), E2032&amp;RIGHT(INDIRECT(ADDRESS(ROW(E2033)-1, 'From Order'!$A2033)), 1), E2032))"),"")</f>
        <v/>
      </c>
      <c r="F2033" s="2" t="str">
        <f>IFERROR(__xludf.DUMMYFUNCTION("IF('From Order'!$A2033=COLUMNS($A2033:F2052), LEFT(INDEX(FILTER(F$1:F2032, F$1:F2032&lt;&gt;""""),COUNTA(FILTER(F$1:F2032, F$1:F2032&lt;&gt;""""))), LEN(INDEX(FILTER(F$1:F2032, F$1:F2032&lt;&gt;""""),COUNTA(FILTER(F$1:F2032, F$1:F2032&lt;&gt;""""))))-1), IF('To Order'!$A2033=COL"&amp;"UMNS($A2033:F2052), F2032&amp;RIGHT(INDIRECT(ADDRESS(ROW(F2033)-1, 'From Order'!$A2033)), 1), F2032))"),"")</f>
        <v/>
      </c>
      <c r="G2033" s="2" t="str">
        <f>IFERROR(__xludf.DUMMYFUNCTION("IF('From Order'!$A2033=COLUMNS($A2033:G2052), LEFT(INDEX(FILTER(G$1:G2032, G$1:G2032&lt;&gt;""""),COUNTA(FILTER(G$1:G2032, G$1:G2032&lt;&gt;""""))), LEN(INDEX(FILTER(G$1:G2032, G$1:G2032&lt;&gt;""""),COUNTA(FILTER(G$1:G2032, G$1:G2032&lt;&gt;""""))))-1), IF('To Order'!$A2033=COL"&amp;"UMNS($A2033:G2052), G2032&amp;RIGHT(INDIRECT(ADDRESS(ROW(G2033)-1, 'From Order'!$A2033)), 1), G2032))"),"G")</f>
        <v>G</v>
      </c>
      <c r="H2033" s="2" t="str">
        <f>IFERROR(__xludf.DUMMYFUNCTION("IF('From Order'!$A2033=COLUMNS($A2033:H2052), LEFT(INDEX(FILTER(H$1:H2032, H$1:H2032&lt;&gt;""""),COUNTA(FILTER(H$1:H2032, H$1:H2032&lt;&gt;""""))), LEN(INDEX(FILTER(H$1:H2032, H$1:H2032&lt;&gt;""""),COUNTA(FILTER(H$1:H2032, H$1:H2032&lt;&gt;""""))))-1), IF('To Order'!$A2033=COL"&amp;"UMNS($A2033:H2052), H2032&amp;RIGHT(INDIRECT(ADDRESS(ROW(H2033)-1, 'From Order'!$A2033)), 1), H2032))"),"QTRRDV")</f>
        <v>QTRRDV</v>
      </c>
      <c r="I2033" s="2" t="str">
        <f>IFERROR(__xludf.DUMMYFUNCTION("IF('From Order'!$A2033=COLUMNS($A2033:I2052), LEFT(INDEX(FILTER(I$1:I2032, I$1:I2032&lt;&gt;""""),COUNTA(FILTER(I$1:I2032, I$1:I2032&lt;&gt;""""))), LEN(INDEX(FILTER(I$1:I2032, I$1:I2032&lt;&gt;""""),COUNTA(FILTER(I$1:I2032, I$1:I2032&lt;&gt;""""))))-1), IF('To Order'!$A2033=COL"&amp;"UMNS($A2033:I2052), I2032&amp;RIGHT(INDIRECT(ADDRESS(ROW(I2033)-1, 'From Order'!$A2033)), 1), I2032))"),"DTCTMZHZDMTTGMJRRVBBH")</f>
        <v>DTCTMZHZDMTTGMJRRVBBH</v>
      </c>
    </row>
    <row r="2034">
      <c r="A2034" s="2" t="str">
        <f>IFERROR(__xludf.DUMMYFUNCTION("IF('From Order'!$A2034=COLUMNS($A2034:A2053), LEFT(INDEX(FILTER(A$1:A2033, A$1:A2033&lt;&gt;""""),COUNTA(FILTER(A$1:A2033, A$1:A2033&lt;&gt;""""))), LEN(INDEX(FILTER(A$1:A2033, A$1:A2033&lt;&gt;""""),COUNTA(FILTER(A$1:A2033, A$1:A2033&lt;&gt;""""))))-1), IF('To Order'!$A2034=COL"&amp;"UMNS($A2034:A2053), A2033&amp;RIGHT(INDIRECT(ADDRESS(ROW(A2034)-1, 'From Order'!$A2034)), 1), A2033))"),"DSPBFLLWDDVQJPPSSTWZCS")</f>
        <v>DSPBFLLWDDVQJPPSSTWZCS</v>
      </c>
      <c r="B2034" s="2" t="str">
        <f>IFERROR(__xludf.DUMMYFUNCTION("IF('From Order'!$A2034=COLUMNS($A2034:B2053), LEFT(INDEX(FILTER(B$1:B2033, B$1:B2033&lt;&gt;""""),COUNTA(FILTER(B$1:B2033, B$1:B2033&lt;&gt;""""))), LEN(INDEX(FILTER(B$1:B2033, B$1:B2033&lt;&gt;""""),COUNTA(FILTER(B$1:B2033, B$1:B2033&lt;&gt;""""))))-1), IF('To Order'!$A2034=COL"&amp;"UMNS($A2034:B2053), B2033&amp;RIGHT(INDIRECT(ADDRESS(ROW(B2034)-1, 'From Order'!$A2034)), 1), B2033))"),"")</f>
        <v/>
      </c>
      <c r="C2034" s="2" t="str">
        <f>IFERROR(__xludf.DUMMYFUNCTION("IF('From Order'!$A2034=COLUMNS($A2034:C2053), LEFT(INDEX(FILTER(C$1:C2033, C$1:C2033&lt;&gt;""""),COUNTA(FILTER(C$1:C2033, C$1:C2033&lt;&gt;""""))), LEN(INDEX(FILTER(C$1:C2033, C$1:C2033&lt;&gt;""""),COUNTA(FILTER(C$1:C2033, C$1:C2033&lt;&gt;""""))))-1), IF('To Order'!$A2034=COL"&amp;"UMNS($A2034:C2053), C2033&amp;RIGHT(INDIRECT(ADDRESS(ROW(C2034)-1, 'From Order'!$A2034)), 1), C2033))"),"")</f>
        <v/>
      </c>
      <c r="D2034" s="2" t="str">
        <f>IFERROR(__xludf.DUMMYFUNCTION("IF('From Order'!$A2034=COLUMNS($A2034:D2053), LEFT(INDEX(FILTER(D$1:D2033, D$1:D2033&lt;&gt;""""),COUNTA(FILTER(D$1:D2033, D$1:D2033&lt;&gt;""""))), LEN(INDEX(FILTER(D$1:D2033, D$1:D2033&lt;&gt;""""),COUNTA(FILTER(D$1:D2033, D$1:D2033&lt;&gt;""""))))-1), IF('To Order'!$A2034=COL"&amp;"UMNS($A2034:D2053), D2033&amp;RIGHT(INDIRECT(ADDRESS(ROW(D2034)-1, 'From Order'!$A2034)), 1), D2033))"),"RBJCL")</f>
        <v>RBJCL</v>
      </c>
      <c r="E2034" s="2" t="str">
        <f>IFERROR(__xludf.DUMMYFUNCTION("IF('From Order'!$A2034=COLUMNS($A2034:E2053), LEFT(INDEX(FILTER(E$1:E2033, E$1:E2033&lt;&gt;""""),COUNTA(FILTER(E$1:E2033, E$1:E2033&lt;&gt;""""))), LEN(INDEX(FILTER(E$1:E2033, E$1:E2033&lt;&gt;""""),COUNTA(FILTER(E$1:E2033, E$1:E2033&lt;&gt;""""))))-1), IF('To Order'!$A2034=COL"&amp;"UMNS($A2034:E2053), E2033&amp;RIGHT(INDIRECT(ADDRESS(ROW(E2034)-1, 'From Order'!$A2034)), 1), E2033))"),"")</f>
        <v/>
      </c>
      <c r="F2034" s="2" t="str">
        <f>IFERROR(__xludf.DUMMYFUNCTION("IF('From Order'!$A2034=COLUMNS($A2034:F2053), LEFT(INDEX(FILTER(F$1:F2033, F$1:F2033&lt;&gt;""""),COUNTA(FILTER(F$1:F2033, F$1:F2033&lt;&gt;""""))), LEN(INDEX(FILTER(F$1:F2033, F$1:F2033&lt;&gt;""""),COUNTA(FILTER(F$1:F2033, F$1:F2033&lt;&gt;""""))))-1), IF('To Order'!$A2034=COL"&amp;"UMNS($A2034:F2053), F2033&amp;RIGHT(INDIRECT(ADDRESS(ROW(F2034)-1, 'From Order'!$A2034)), 1), F2033))"),"")</f>
        <v/>
      </c>
      <c r="G2034" s="2" t="str">
        <f>IFERROR(__xludf.DUMMYFUNCTION("IF('From Order'!$A2034=COLUMNS($A2034:G2053), LEFT(INDEX(FILTER(G$1:G2033, G$1:G2033&lt;&gt;""""),COUNTA(FILTER(G$1:G2033, G$1:G2033&lt;&gt;""""))), LEN(INDEX(FILTER(G$1:G2033, G$1:G2033&lt;&gt;""""),COUNTA(FILTER(G$1:G2033, G$1:G2033&lt;&gt;""""))))-1), IF('To Order'!$A2034=COL"&amp;"UMNS($A2034:G2053), G2033&amp;RIGHT(INDIRECT(ADDRESS(ROW(G2034)-1, 'From Order'!$A2034)), 1), G2033))"),"G")</f>
        <v>G</v>
      </c>
      <c r="H2034" s="2" t="str">
        <f>IFERROR(__xludf.DUMMYFUNCTION("IF('From Order'!$A2034=COLUMNS($A2034:H2053), LEFT(INDEX(FILTER(H$1:H2033, H$1:H2033&lt;&gt;""""),COUNTA(FILTER(H$1:H2033, H$1:H2033&lt;&gt;""""))), LEN(INDEX(FILTER(H$1:H2033, H$1:H2033&lt;&gt;""""),COUNTA(FILTER(H$1:H2033, H$1:H2033&lt;&gt;""""))))-1), IF('To Order'!$A2034=COL"&amp;"UMNS($A2034:H2053), H2033&amp;RIGHT(INDIRECT(ADDRESS(ROW(H2034)-1, 'From Order'!$A2034)), 1), H2033))"),"QTRRDV")</f>
        <v>QTRRDV</v>
      </c>
      <c r="I2034" s="2" t="str">
        <f>IFERROR(__xludf.DUMMYFUNCTION("IF('From Order'!$A2034=COLUMNS($A2034:I2053), LEFT(INDEX(FILTER(I$1:I2033, I$1:I2033&lt;&gt;""""),COUNTA(FILTER(I$1:I2033, I$1:I2033&lt;&gt;""""))), LEN(INDEX(FILTER(I$1:I2033, I$1:I2033&lt;&gt;""""),COUNTA(FILTER(I$1:I2033, I$1:I2033&lt;&gt;""""))))-1), IF('To Order'!$A2034=COL"&amp;"UMNS($A2034:I2053), I2033&amp;RIGHT(INDIRECT(ADDRESS(ROW(I2034)-1, 'From Order'!$A2034)), 1), I2033))"),"DTCTMZHZDMTTGMJRRVBBHF")</f>
        <v>DTCTMZHZDMTTGMJRRVBBHF</v>
      </c>
    </row>
    <row r="2035">
      <c r="A2035" s="2" t="str">
        <f>IFERROR(__xludf.DUMMYFUNCTION("IF('From Order'!$A2035=COLUMNS($A2035:A2054), LEFT(INDEX(FILTER(A$1:A2034, A$1:A2034&lt;&gt;""""),COUNTA(FILTER(A$1:A2034, A$1:A2034&lt;&gt;""""))), LEN(INDEX(FILTER(A$1:A2034, A$1:A2034&lt;&gt;""""),COUNTA(FILTER(A$1:A2034, A$1:A2034&lt;&gt;""""))))-1), IF('To Order'!$A2035=COL"&amp;"UMNS($A2035:A2054), A2034&amp;RIGHT(INDIRECT(ADDRESS(ROW(A2035)-1, 'From Order'!$A2035)), 1), A2034))"),"DSPBFLLWDDVQJPPSSTWZC")</f>
        <v>DSPBFLLWDDVQJPPSSTWZC</v>
      </c>
      <c r="B2035" s="2" t="str">
        <f>IFERROR(__xludf.DUMMYFUNCTION("IF('From Order'!$A2035=COLUMNS($A2035:B2054), LEFT(INDEX(FILTER(B$1:B2034, B$1:B2034&lt;&gt;""""),COUNTA(FILTER(B$1:B2034, B$1:B2034&lt;&gt;""""))), LEN(INDEX(FILTER(B$1:B2034, B$1:B2034&lt;&gt;""""),COUNTA(FILTER(B$1:B2034, B$1:B2034&lt;&gt;""""))))-1), IF('To Order'!$A2035=COL"&amp;"UMNS($A2035:B2054), B2034&amp;RIGHT(INDIRECT(ADDRESS(ROW(B2035)-1, 'From Order'!$A2035)), 1), B2034))"),"")</f>
        <v/>
      </c>
      <c r="C2035" s="2" t="str">
        <f>IFERROR(__xludf.DUMMYFUNCTION("IF('From Order'!$A2035=COLUMNS($A2035:C2054), LEFT(INDEX(FILTER(C$1:C2034, C$1:C2034&lt;&gt;""""),COUNTA(FILTER(C$1:C2034, C$1:C2034&lt;&gt;""""))), LEN(INDEX(FILTER(C$1:C2034, C$1:C2034&lt;&gt;""""),COUNTA(FILTER(C$1:C2034, C$1:C2034&lt;&gt;""""))))-1), IF('To Order'!$A2035=COL"&amp;"UMNS($A2035:C2054), C2034&amp;RIGHT(INDIRECT(ADDRESS(ROW(C2035)-1, 'From Order'!$A2035)), 1), C2034))"),"")</f>
        <v/>
      </c>
      <c r="D2035" s="2" t="str">
        <f>IFERROR(__xludf.DUMMYFUNCTION("IF('From Order'!$A2035=COLUMNS($A2035:D2054), LEFT(INDEX(FILTER(D$1:D2034, D$1:D2034&lt;&gt;""""),COUNTA(FILTER(D$1:D2034, D$1:D2034&lt;&gt;""""))), LEN(INDEX(FILTER(D$1:D2034, D$1:D2034&lt;&gt;""""),COUNTA(FILTER(D$1:D2034, D$1:D2034&lt;&gt;""""))))-1), IF('To Order'!$A2035=COL"&amp;"UMNS($A2035:D2054), D2034&amp;RIGHT(INDIRECT(ADDRESS(ROW(D2035)-1, 'From Order'!$A2035)), 1), D2034))"),"RBJCL")</f>
        <v>RBJCL</v>
      </c>
      <c r="E2035" s="2" t="str">
        <f>IFERROR(__xludf.DUMMYFUNCTION("IF('From Order'!$A2035=COLUMNS($A2035:E2054), LEFT(INDEX(FILTER(E$1:E2034, E$1:E2034&lt;&gt;""""),COUNTA(FILTER(E$1:E2034, E$1:E2034&lt;&gt;""""))), LEN(INDEX(FILTER(E$1:E2034, E$1:E2034&lt;&gt;""""),COUNTA(FILTER(E$1:E2034, E$1:E2034&lt;&gt;""""))))-1), IF('To Order'!$A2035=COL"&amp;"UMNS($A2035:E2054), E2034&amp;RIGHT(INDIRECT(ADDRESS(ROW(E2035)-1, 'From Order'!$A2035)), 1), E2034))"),"")</f>
        <v/>
      </c>
      <c r="F2035" s="2" t="str">
        <f>IFERROR(__xludf.DUMMYFUNCTION("IF('From Order'!$A2035=COLUMNS($A2035:F2054), LEFT(INDEX(FILTER(F$1:F2034, F$1:F2034&lt;&gt;""""),COUNTA(FILTER(F$1:F2034, F$1:F2034&lt;&gt;""""))), LEN(INDEX(FILTER(F$1:F2034, F$1:F2034&lt;&gt;""""),COUNTA(FILTER(F$1:F2034, F$1:F2034&lt;&gt;""""))))-1), IF('To Order'!$A2035=COL"&amp;"UMNS($A2035:F2054), F2034&amp;RIGHT(INDIRECT(ADDRESS(ROW(F2035)-1, 'From Order'!$A2035)), 1), F2034))"),"")</f>
        <v/>
      </c>
      <c r="G2035" s="2" t="str">
        <f>IFERROR(__xludf.DUMMYFUNCTION("IF('From Order'!$A2035=COLUMNS($A2035:G2054), LEFT(INDEX(FILTER(G$1:G2034, G$1:G2034&lt;&gt;""""),COUNTA(FILTER(G$1:G2034, G$1:G2034&lt;&gt;""""))), LEN(INDEX(FILTER(G$1:G2034, G$1:G2034&lt;&gt;""""),COUNTA(FILTER(G$1:G2034, G$1:G2034&lt;&gt;""""))))-1), IF('To Order'!$A2035=COL"&amp;"UMNS($A2035:G2054), G2034&amp;RIGHT(INDIRECT(ADDRESS(ROW(G2035)-1, 'From Order'!$A2035)), 1), G2034))"),"G")</f>
        <v>G</v>
      </c>
      <c r="H2035" s="2" t="str">
        <f>IFERROR(__xludf.DUMMYFUNCTION("IF('From Order'!$A2035=COLUMNS($A2035:H2054), LEFT(INDEX(FILTER(H$1:H2034, H$1:H2034&lt;&gt;""""),COUNTA(FILTER(H$1:H2034, H$1:H2034&lt;&gt;""""))), LEN(INDEX(FILTER(H$1:H2034, H$1:H2034&lt;&gt;""""),COUNTA(FILTER(H$1:H2034, H$1:H2034&lt;&gt;""""))))-1), IF('To Order'!$A2035=COL"&amp;"UMNS($A2035:H2054), H2034&amp;RIGHT(INDIRECT(ADDRESS(ROW(H2035)-1, 'From Order'!$A2035)), 1), H2034))"),"QTRRDV")</f>
        <v>QTRRDV</v>
      </c>
      <c r="I2035" s="2" t="str">
        <f>IFERROR(__xludf.DUMMYFUNCTION("IF('From Order'!$A2035=COLUMNS($A2035:I2054), LEFT(INDEX(FILTER(I$1:I2034, I$1:I2034&lt;&gt;""""),COUNTA(FILTER(I$1:I2034, I$1:I2034&lt;&gt;""""))), LEN(INDEX(FILTER(I$1:I2034, I$1:I2034&lt;&gt;""""),COUNTA(FILTER(I$1:I2034, I$1:I2034&lt;&gt;""""))))-1), IF('To Order'!$A2035=COL"&amp;"UMNS($A2035:I2054), I2034&amp;RIGHT(INDIRECT(ADDRESS(ROW(I2035)-1, 'From Order'!$A2035)), 1), I2034))"),"DTCTMZHZDMTTGMJRRVBBHFS")</f>
        <v>DTCTMZHZDMTTGMJRRVBBHFS</v>
      </c>
    </row>
    <row r="2036">
      <c r="A2036" s="2" t="str">
        <f>IFERROR(__xludf.DUMMYFUNCTION("IF('From Order'!$A2036=COLUMNS($A2036:A2055), LEFT(INDEX(FILTER(A$1:A2035, A$1:A2035&lt;&gt;""""),COUNTA(FILTER(A$1:A2035, A$1:A2035&lt;&gt;""""))), LEN(INDEX(FILTER(A$1:A2035, A$1:A2035&lt;&gt;""""),COUNTA(FILTER(A$1:A2035, A$1:A2035&lt;&gt;""""))))-1), IF('To Order'!$A2036=COL"&amp;"UMNS($A2036:A2055), A2035&amp;RIGHT(INDIRECT(ADDRESS(ROW(A2036)-1, 'From Order'!$A2036)), 1), A2035))"),"DSPBFLLWDDVQJPPSSTWZ")</f>
        <v>DSPBFLLWDDVQJPPSSTWZ</v>
      </c>
      <c r="B2036" s="2" t="str">
        <f>IFERROR(__xludf.DUMMYFUNCTION("IF('From Order'!$A2036=COLUMNS($A2036:B2055), LEFT(INDEX(FILTER(B$1:B2035, B$1:B2035&lt;&gt;""""),COUNTA(FILTER(B$1:B2035, B$1:B2035&lt;&gt;""""))), LEN(INDEX(FILTER(B$1:B2035, B$1:B2035&lt;&gt;""""),COUNTA(FILTER(B$1:B2035, B$1:B2035&lt;&gt;""""))))-1), IF('To Order'!$A2036=COL"&amp;"UMNS($A2036:B2055), B2035&amp;RIGHT(INDIRECT(ADDRESS(ROW(B2036)-1, 'From Order'!$A2036)), 1), B2035))"),"")</f>
        <v/>
      </c>
      <c r="C2036" s="2" t="str">
        <f>IFERROR(__xludf.DUMMYFUNCTION("IF('From Order'!$A2036=COLUMNS($A2036:C2055), LEFT(INDEX(FILTER(C$1:C2035, C$1:C2035&lt;&gt;""""),COUNTA(FILTER(C$1:C2035, C$1:C2035&lt;&gt;""""))), LEN(INDEX(FILTER(C$1:C2035, C$1:C2035&lt;&gt;""""),COUNTA(FILTER(C$1:C2035, C$1:C2035&lt;&gt;""""))))-1), IF('To Order'!$A2036=COL"&amp;"UMNS($A2036:C2055), C2035&amp;RIGHT(INDIRECT(ADDRESS(ROW(C2036)-1, 'From Order'!$A2036)), 1), C2035))"),"")</f>
        <v/>
      </c>
      <c r="D2036" s="2" t="str">
        <f>IFERROR(__xludf.DUMMYFUNCTION("IF('From Order'!$A2036=COLUMNS($A2036:D2055), LEFT(INDEX(FILTER(D$1:D2035, D$1:D2035&lt;&gt;""""),COUNTA(FILTER(D$1:D2035, D$1:D2035&lt;&gt;""""))), LEN(INDEX(FILTER(D$1:D2035, D$1:D2035&lt;&gt;""""),COUNTA(FILTER(D$1:D2035, D$1:D2035&lt;&gt;""""))))-1), IF('To Order'!$A2036=COL"&amp;"UMNS($A2036:D2055), D2035&amp;RIGHT(INDIRECT(ADDRESS(ROW(D2036)-1, 'From Order'!$A2036)), 1), D2035))"),"RBJCL")</f>
        <v>RBJCL</v>
      </c>
      <c r="E2036" s="2" t="str">
        <f>IFERROR(__xludf.DUMMYFUNCTION("IF('From Order'!$A2036=COLUMNS($A2036:E2055), LEFT(INDEX(FILTER(E$1:E2035, E$1:E2035&lt;&gt;""""),COUNTA(FILTER(E$1:E2035, E$1:E2035&lt;&gt;""""))), LEN(INDEX(FILTER(E$1:E2035, E$1:E2035&lt;&gt;""""),COUNTA(FILTER(E$1:E2035, E$1:E2035&lt;&gt;""""))))-1), IF('To Order'!$A2036=COL"&amp;"UMNS($A2036:E2055), E2035&amp;RIGHT(INDIRECT(ADDRESS(ROW(E2036)-1, 'From Order'!$A2036)), 1), E2035))"),"")</f>
        <v/>
      </c>
      <c r="F2036" s="2" t="str">
        <f>IFERROR(__xludf.DUMMYFUNCTION("IF('From Order'!$A2036=COLUMNS($A2036:F2055), LEFT(INDEX(FILTER(F$1:F2035, F$1:F2035&lt;&gt;""""),COUNTA(FILTER(F$1:F2035, F$1:F2035&lt;&gt;""""))), LEN(INDEX(FILTER(F$1:F2035, F$1:F2035&lt;&gt;""""),COUNTA(FILTER(F$1:F2035, F$1:F2035&lt;&gt;""""))))-1), IF('To Order'!$A2036=COL"&amp;"UMNS($A2036:F2055), F2035&amp;RIGHT(INDIRECT(ADDRESS(ROW(F2036)-1, 'From Order'!$A2036)), 1), F2035))"),"")</f>
        <v/>
      </c>
      <c r="G2036" s="2" t="str">
        <f>IFERROR(__xludf.DUMMYFUNCTION("IF('From Order'!$A2036=COLUMNS($A2036:G2055), LEFT(INDEX(FILTER(G$1:G2035, G$1:G2035&lt;&gt;""""),COUNTA(FILTER(G$1:G2035, G$1:G2035&lt;&gt;""""))), LEN(INDEX(FILTER(G$1:G2035, G$1:G2035&lt;&gt;""""),COUNTA(FILTER(G$1:G2035, G$1:G2035&lt;&gt;""""))))-1), IF('To Order'!$A2036=COL"&amp;"UMNS($A2036:G2055), G2035&amp;RIGHT(INDIRECT(ADDRESS(ROW(G2036)-1, 'From Order'!$A2036)), 1), G2035))"),"G")</f>
        <v>G</v>
      </c>
      <c r="H2036" s="2" t="str">
        <f>IFERROR(__xludf.DUMMYFUNCTION("IF('From Order'!$A2036=COLUMNS($A2036:H2055), LEFT(INDEX(FILTER(H$1:H2035, H$1:H2035&lt;&gt;""""),COUNTA(FILTER(H$1:H2035, H$1:H2035&lt;&gt;""""))), LEN(INDEX(FILTER(H$1:H2035, H$1:H2035&lt;&gt;""""),COUNTA(FILTER(H$1:H2035, H$1:H2035&lt;&gt;""""))))-1), IF('To Order'!$A2036=COL"&amp;"UMNS($A2036:H2055), H2035&amp;RIGHT(INDIRECT(ADDRESS(ROW(H2036)-1, 'From Order'!$A2036)), 1), H2035))"),"QTRRDV")</f>
        <v>QTRRDV</v>
      </c>
      <c r="I2036" s="2" t="str">
        <f>IFERROR(__xludf.DUMMYFUNCTION("IF('From Order'!$A2036=COLUMNS($A2036:I2055), LEFT(INDEX(FILTER(I$1:I2035, I$1:I2035&lt;&gt;""""),COUNTA(FILTER(I$1:I2035, I$1:I2035&lt;&gt;""""))), LEN(INDEX(FILTER(I$1:I2035, I$1:I2035&lt;&gt;""""),COUNTA(FILTER(I$1:I2035, I$1:I2035&lt;&gt;""""))))-1), IF('To Order'!$A2036=COL"&amp;"UMNS($A2036:I2055), I2035&amp;RIGHT(INDIRECT(ADDRESS(ROW(I2036)-1, 'From Order'!$A2036)), 1), I2035))"),"DTCTMZHZDMTTGMJRRVBBHFSC")</f>
        <v>DTCTMZHZDMTTGMJRRVBBHFSC</v>
      </c>
    </row>
    <row r="2037">
      <c r="A2037" s="2" t="str">
        <f>IFERROR(__xludf.DUMMYFUNCTION("IF('From Order'!$A2037=COLUMNS($A2037:A2056), LEFT(INDEX(FILTER(A$1:A2036, A$1:A2036&lt;&gt;""""),COUNTA(FILTER(A$1:A2036, A$1:A2036&lt;&gt;""""))), LEN(INDEX(FILTER(A$1:A2036, A$1:A2036&lt;&gt;""""),COUNTA(FILTER(A$1:A2036, A$1:A2036&lt;&gt;""""))))-1), IF('To Order'!$A2037=COL"&amp;"UMNS($A2037:A2056), A2036&amp;RIGHT(INDIRECT(ADDRESS(ROW(A2037)-1, 'From Order'!$A2037)), 1), A2036))"),"DSPBFLLWDDVQJPPSSTW")</f>
        <v>DSPBFLLWDDVQJPPSSTW</v>
      </c>
      <c r="B2037" s="2" t="str">
        <f>IFERROR(__xludf.DUMMYFUNCTION("IF('From Order'!$A2037=COLUMNS($A2037:B2056), LEFT(INDEX(FILTER(B$1:B2036, B$1:B2036&lt;&gt;""""),COUNTA(FILTER(B$1:B2036, B$1:B2036&lt;&gt;""""))), LEN(INDEX(FILTER(B$1:B2036, B$1:B2036&lt;&gt;""""),COUNTA(FILTER(B$1:B2036, B$1:B2036&lt;&gt;""""))))-1), IF('To Order'!$A2037=COL"&amp;"UMNS($A2037:B2056), B2036&amp;RIGHT(INDIRECT(ADDRESS(ROW(B2037)-1, 'From Order'!$A2037)), 1), B2036))"),"")</f>
        <v/>
      </c>
      <c r="C2037" s="2" t="str">
        <f>IFERROR(__xludf.DUMMYFUNCTION("IF('From Order'!$A2037=COLUMNS($A2037:C2056), LEFT(INDEX(FILTER(C$1:C2036, C$1:C2036&lt;&gt;""""),COUNTA(FILTER(C$1:C2036, C$1:C2036&lt;&gt;""""))), LEN(INDEX(FILTER(C$1:C2036, C$1:C2036&lt;&gt;""""),COUNTA(FILTER(C$1:C2036, C$1:C2036&lt;&gt;""""))))-1), IF('To Order'!$A2037=COL"&amp;"UMNS($A2037:C2056), C2036&amp;RIGHT(INDIRECT(ADDRESS(ROW(C2037)-1, 'From Order'!$A2037)), 1), C2036))"),"")</f>
        <v/>
      </c>
      <c r="D2037" s="2" t="str">
        <f>IFERROR(__xludf.DUMMYFUNCTION("IF('From Order'!$A2037=COLUMNS($A2037:D2056), LEFT(INDEX(FILTER(D$1:D2036, D$1:D2036&lt;&gt;""""),COUNTA(FILTER(D$1:D2036, D$1:D2036&lt;&gt;""""))), LEN(INDEX(FILTER(D$1:D2036, D$1:D2036&lt;&gt;""""),COUNTA(FILTER(D$1:D2036, D$1:D2036&lt;&gt;""""))))-1), IF('To Order'!$A2037=COL"&amp;"UMNS($A2037:D2056), D2036&amp;RIGHT(INDIRECT(ADDRESS(ROW(D2037)-1, 'From Order'!$A2037)), 1), D2036))"),"RBJCL")</f>
        <v>RBJCL</v>
      </c>
      <c r="E2037" s="2" t="str">
        <f>IFERROR(__xludf.DUMMYFUNCTION("IF('From Order'!$A2037=COLUMNS($A2037:E2056), LEFT(INDEX(FILTER(E$1:E2036, E$1:E2036&lt;&gt;""""),COUNTA(FILTER(E$1:E2036, E$1:E2036&lt;&gt;""""))), LEN(INDEX(FILTER(E$1:E2036, E$1:E2036&lt;&gt;""""),COUNTA(FILTER(E$1:E2036, E$1:E2036&lt;&gt;""""))))-1), IF('To Order'!$A2037=COL"&amp;"UMNS($A2037:E2056), E2036&amp;RIGHT(INDIRECT(ADDRESS(ROW(E2037)-1, 'From Order'!$A2037)), 1), E2036))"),"")</f>
        <v/>
      </c>
      <c r="F2037" s="2" t="str">
        <f>IFERROR(__xludf.DUMMYFUNCTION("IF('From Order'!$A2037=COLUMNS($A2037:F2056), LEFT(INDEX(FILTER(F$1:F2036, F$1:F2036&lt;&gt;""""),COUNTA(FILTER(F$1:F2036, F$1:F2036&lt;&gt;""""))), LEN(INDEX(FILTER(F$1:F2036, F$1:F2036&lt;&gt;""""),COUNTA(FILTER(F$1:F2036, F$1:F2036&lt;&gt;""""))))-1), IF('To Order'!$A2037=COL"&amp;"UMNS($A2037:F2056), F2036&amp;RIGHT(INDIRECT(ADDRESS(ROW(F2037)-1, 'From Order'!$A2037)), 1), F2036))"),"")</f>
        <v/>
      </c>
      <c r="G2037" s="2" t="str">
        <f>IFERROR(__xludf.DUMMYFUNCTION("IF('From Order'!$A2037=COLUMNS($A2037:G2056), LEFT(INDEX(FILTER(G$1:G2036, G$1:G2036&lt;&gt;""""),COUNTA(FILTER(G$1:G2036, G$1:G2036&lt;&gt;""""))), LEN(INDEX(FILTER(G$1:G2036, G$1:G2036&lt;&gt;""""),COUNTA(FILTER(G$1:G2036, G$1:G2036&lt;&gt;""""))))-1), IF('To Order'!$A2037=COL"&amp;"UMNS($A2037:G2056), G2036&amp;RIGHT(INDIRECT(ADDRESS(ROW(G2037)-1, 'From Order'!$A2037)), 1), G2036))"),"G")</f>
        <v>G</v>
      </c>
      <c r="H2037" s="2" t="str">
        <f>IFERROR(__xludf.DUMMYFUNCTION("IF('From Order'!$A2037=COLUMNS($A2037:H2056), LEFT(INDEX(FILTER(H$1:H2036, H$1:H2036&lt;&gt;""""),COUNTA(FILTER(H$1:H2036, H$1:H2036&lt;&gt;""""))), LEN(INDEX(FILTER(H$1:H2036, H$1:H2036&lt;&gt;""""),COUNTA(FILTER(H$1:H2036, H$1:H2036&lt;&gt;""""))))-1), IF('To Order'!$A2037=COL"&amp;"UMNS($A2037:H2056), H2036&amp;RIGHT(INDIRECT(ADDRESS(ROW(H2037)-1, 'From Order'!$A2037)), 1), H2036))"),"QTRRDV")</f>
        <v>QTRRDV</v>
      </c>
      <c r="I2037" s="2" t="str">
        <f>IFERROR(__xludf.DUMMYFUNCTION("IF('From Order'!$A2037=COLUMNS($A2037:I2056), LEFT(INDEX(FILTER(I$1:I2036, I$1:I2036&lt;&gt;""""),COUNTA(FILTER(I$1:I2036, I$1:I2036&lt;&gt;""""))), LEN(INDEX(FILTER(I$1:I2036, I$1:I2036&lt;&gt;""""),COUNTA(FILTER(I$1:I2036, I$1:I2036&lt;&gt;""""))))-1), IF('To Order'!$A2037=COL"&amp;"UMNS($A2037:I2056), I2036&amp;RIGHT(INDIRECT(ADDRESS(ROW(I2037)-1, 'From Order'!$A2037)), 1), I2036))"),"DTCTMZHZDMTTGMJRRVBBHFSCZ")</f>
        <v>DTCTMZHZDMTTGMJRRVBBHFSCZ</v>
      </c>
    </row>
    <row r="2038">
      <c r="A2038" s="2" t="str">
        <f>IFERROR(__xludf.DUMMYFUNCTION("IF('From Order'!$A2038=COLUMNS($A2038:A2057), LEFT(INDEX(FILTER(A$1:A2037, A$1:A2037&lt;&gt;""""),COUNTA(FILTER(A$1:A2037, A$1:A2037&lt;&gt;""""))), LEN(INDEX(FILTER(A$1:A2037, A$1:A2037&lt;&gt;""""),COUNTA(FILTER(A$1:A2037, A$1:A2037&lt;&gt;""""))))-1), IF('To Order'!$A2038=COL"&amp;"UMNS($A2038:A2057), A2037&amp;RIGHT(INDIRECT(ADDRESS(ROW(A2038)-1, 'From Order'!$A2038)), 1), A2037))"),"DSPBFLLWDDVQJPPSST")</f>
        <v>DSPBFLLWDDVQJPPSST</v>
      </c>
      <c r="B2038" s="2" t="str">
        <f>IFERROR(__xludf.DUMMYFUNCTION("IF('From Order'!$A2038=COLUMNS($A2038:B2057), LEFT(INDEX(FILTER(B$1:B2037, B$1:B2037&lt;&gt;""""),COUNTA(FILTER(B$1:B2037, B$1:B2037&lt;&gt;""""))), LEN(INDEX(FILTER(B$1:B2037, B$1:B2037&lt;&gt;""""),COUNTA(FILTER(B$1:B2037, B$1:B2037&lt;&gt;""""))))-1), IF('To Order'!$A2038=COL"&amp;"UMNS($A2038:B2057), B2037&amp;RIGHT(INDIRECT(ADDRESS(ROW(B2038)-1, 'From Order'!$A2038)), 1), B2037))"),"")</f>
        <v/>
      </c>
      <c r="C2038" s="2" t="str">
        <f>IFERROR(__xludf.DUMMYFUNCTION("IF('From Order'!$A2038=COLUMNS($A2038:C2057), LEFT(INDEX(FILTER(C$1:C2037, C$1:C2037&lt;&gt;""""),COUNTA(FILTER(C$1:C2037, C$1:C2037&lt;&gt;""""))), LEN(INDEX(FILTER(C$1:C2037, C$1:C2037&lt;&gt;""""),COUNTA(FILTER(C$1:C2037, C$1:C2037&lt;&gt;""""))))-1), IF('To Order'!$A2038=COL"&amp;"UMNS($A2038:C2057), C2037&amp;RIGHT(INDIRECT(ADDRESS(ROW(C2038)-1, 'From Order'!$A2038)), 1), C2037))"),"")</f>
        <v/>
      </c>
      <c r="D2038" s="2" t="str">
        <f>IFERROR(__xludf.DUMMYFUNCTION("IF('From Order'!$A2038=COLUMNS($A2038:D2057), LEFT(INDEX(FILTER(D$1:D2037, D$1:D2037&lt;&gt;""""),COUNTA(FILTER(D$1:D2037, D$1:D2037&lt;&gt;""""))), LEN(INDEX(FILTER(D$1:D2037, D$1:D2037&lt;&gt;""""),COUNTA(FILTER(D$1:D2037, D$1:D2037&lt;&gt;""""))))-1), IF('To Order'!$A2038=COL"&amp;"UMNS($A2038:D2057), D2037&amp;RIGHT(INDIRECT(ADDRESS(ROW(D2038)-1, 'From Order'!$A2038)), 1), D2037))"),"RBJCL")</f>
        <v>RBJCL</v>
      </c>
      <c r="E2038" s="2" t="str">
        <f>IFERROR(__xludf.DUMMYFUNCTION("IF('From Order'!$A2038=COLUMNS($A2038:E2057), LEFT(INDEX(FILTER(E$1:E2037, E$1:E2037&lt;&gt;""""),COUNTA(FILTER(E$1:E2037, E$1:E2037&lt;&gt;""""))), LEN(INDEX(FILTER(E$1:E2037, E$1:E2037&lt;&gt;""""),COUNTA(FILTER(E$1:E2037, E$1:E2037&lt;&gt;""""))))-1), IF('To Order'!$A2038=COL"&amp;"UMNS($A2038:E2057), E2037&amp;RIGHT(INDIRECT(ADDRESS(ROW(E2038)-1, 'From Order'!$A2038)), 1), E2037))"),"")</f>
        <v/>
      </c>
      <c r="F2038" s="2" t="str">
        <f>IFERROR(__xludf.DUMMYFUNCTION("IF('From Order'!$A2038=COLUMNS($A2038:F2057), LEFT(INDEX(FILTER(F$1:F2037, F$1:F2037&lt;&gt;""""),COUNTA(FILTER(F$1:F2037, F$1:F2037&lt;&gt;""""))), LEN(INDEX(FILTER(F$1:F2037, F$1:F2037&lt;&gt;""""),COUNTA(FILTER(F$1:F2037, F$1:F2037&lt;&gt;""""))))-1), IF('To Order'!$A2038=COL"&amp;"UMNS($A2038:F2057), F2037&amp;RIGHT(INDIRECT(ADDRESS(ROW(F2038)-1, 'From Order'!$A2038)), 1), F2037))"),"")</f>
        <v/>
      </c>
      <c r="G2038" s="2" t="str">
        <f>IFERROR(__xludf.DUMMYFUNCTION("IF('From Order'!$A2038=COLUMNS($A2038:G2057), LEFT(INDEX(FILTER(G$1:G2037, G$1:G2037&lt;&gt;""""),COUNTA(FILTER(G$1:G2037, G$1:G2037&lt;&gt;""""))), LEN(INDEX(FILTER(G$1:G2037, G$1:G2037&lt;&gt;""""),COUNTA(FILTER(G$1:G2037, G$1:G2037&lt;&gt;""""))))-1), IF('To Order'!$A2038=COL"&amp;"UMNS($A2038:G2057), G2037&amp;RIGHT(INDIRECT(ADDRESS(ROW(G2038)-1, 'From Order'!$A2038)), 1), G2037))"),"G")</f>
        <v>G</v>
      </c>
      <c r="H2038" s="2" t="str">
        <f>IFERROR(__xludf.DUMMYFUNCTION("IF('From Order'!$A2038=COLUMNS($A2038:H2057), LEFT(INDEX(FILTER(H$1:H2037, H$1:H2037&lt;&gt;""""),COUNTA(FILTER(H$1:H2037, H$1:H2037&lt;&gt;""""))), LEN(INDEX(FILTER(H$1:H2037, H$1:H2037&lt;&gt;""""),COUNTA(FILTER(H$1:H2037, H$1:H2037&lt;&gt;""""))))-1), IF('To Order'!$A2038=COL"&amp;"UMNS($A2038:H2057), H2037&amp;RIGHT(INDIRECT(ADDRESS(ROW(H2038)-1, 'From Order'!$A2038)), 1), H2037))"),"QTRRDV")</f>
        <v>QTRRDV</v>
      </c>
      <c r="I2038" s="2" t="str">
        <f>IFERROR(__xludf.DUMMYFUNCTION("IF('From Order'!$A2038=COLUMNS($A2038:I2057), LEFT(INDEX(FILTER(I$1:I2037, I$1:I2037&lt;&gt;""""),COUNTA(FILTER(I$1:I2037, I$1:I2037&lt;&gt;""""))), LEN(INDEX(FILTER(I$1:I2037, I$1:I2037&lt;&gt;""""),COUNTA(FILTER(I$1:I2037, I$1:I2037&lt;&gt;""""))))-1), IF('To Order'!$A2038=COL"&amp;"UMNS($A2038:I2057), I2037&amp;RIGHT(INDIRECT(ADDRESS(ROW(I2038)-1, 'From Order'!$A2038)), 1), I2037))"),"DTCTMZHZDMTTGMJRRVBBHFSCZW")</f>
        <v>DTCTMZHZDMTTGMJRRVBBHFSCZW</v>
      </c>
    </row>
    <row r="2039">
      <c r="A2039" s="2" t="str">
        <f>IFERROR(__xludf.DUMMYFUNCTION("IF('From Order'!$A2039=COLUMNS($A2039:A2058), LEFT(INDEX(FILTER(A$1:A2038, A$1:A2038&lt;&gt;""""),COUNTA(FILTER(A$1:A2038, A$1:A2038&lt;&gt;""""))), LEN(INDEX(FILTER(A$1:A2038, A$1:A2038&lt;&gt;""""),COUNTA(FILTER(A$1:A2038, A$1:A2038&lt;&gt;""""))))-1), IF('To Order'!$A2039=COL"&amp;"UMNS($A2039:A2058), A2038&amp;RIGHT(INDIRECT(ADDRESS(ROW(A2039)-1, 'From Order'!$A2039)), 1), A2038))"),"DSPBFLLWDDVQJPPSS")</f>
        <v>DSPBFLLWDDVQJPPSS</v>
      </c>
      <c r="B2039" s="2" t="str">
        <f>IFERROR(__xludf.DUMMYFUNCTION("IF('From Order'!$A2039=COLUMNS($A2039:B2058), LEFT(INDEX(FILTER(B$1:B2038, B$1:B2038&lt;&gt;""""),COUNTA(FILTER(B$1:B2038, B$1:B2038&lt;&gt;""""))), LEN(INDEX(FILTER(B$1:B2038, B$1:B2038&lt;&gt;""""),COUNTA(FILTER(B$1:B2038, B$1:B2038&lt;&gt;""""))))-1), IF('To Order'!$A2039=COL"&amp;"UMNS($A2039:B2058), B2038&amp;RIGHT(INDIRECT(ADDRESS(ROW(B2039)-1, 'From Order'!$A2039)), 1), B2038))"),"")</f>
        <v/>
      </c>
      <c r="C2039" s="2" t="str">
        <f>IFERROR(__xludf.DUMMYFUNCTION("IF('From Order'!$A2039=COLUMNS($A2039:C2058), LEFT(INDEX(FILTER(C$1:C2038, C$1:C2038&lt;&gt;""""),COUNTA(FILTER(C$1:C2038, C$1:C2038&lt;&gt;""""))), LEN(INDEX(FILTER(C$1:C2038, C$1:C2038&lt;&gt;""""),COUNTA(FILTER(C$1:C2038, C$1:C2038&lt;&gt;""""))))-1), IF('To Order'!$A2039=COL"&amp;"UMNS($A2039:C2058), C2038&amp;RIGHT(INDIRECT(ADDRESS(ROW(C2039)-1, 'From Order'!$A2039)), 1), C2038))"),"")</f>
        <v/>
      </c>
      <c r="D2039" s="2" t="str">
        <f>IFERROR(__xludf.DUMMYFUNCTION("IF('From Order'!$A2039=COLUMNS($A2039:D2058), LEFT(INDEX(FILTER(D$1:D2038, D$1:D2038&lt;&gt;""""),COUNTA(FILTER(D$1:D2038, D$1:D2038&lt;&gt;""""))), LEN(INDEX(FILTER(D$1:D2038, D$1:D2038&lt;&gt;""""),COUNTA(FILTER(D$1:D2038, D$1:D2038&lt;&gt;""""))))-1), IF('To Order'!$A2039=COL"&amp;"UMNS($A2039:D2058), D2038&amp;RIGHT(INDIRECT(ADDRESS(ROW(D2039)-1, 'From Order'!$A2039)), 1), D2038))"),"RBJCL")</f>
        <v>RBJCL</v>
      </c>
      <c r="E2039" s="2" t="str">
        <f>IFERROR(__xludf.DUMMYFUNCTION("IF('From Order'!$A2039=COLUMNS($A2039:E2058), LEFT(INDEX(FILTER(E$1:E2038, E$1:E2038&lt;&gt;""""),COUNTA(FILTER(E$1:E2038, E$1:E2038&lt;&gt;""""))), LEN(INDEX(FILTER(E$1:E2038, E$1:E2038&lt;&gt;""""),COUNTA(FILTER(E$1:E2038, E$1:E2038&lt;&gt;""""))))-1), IF('To Order'!$A2039=COL"&amp;"UMNS($A2039:E2058), E2038&amp;RIGHT(INDIRECT(ADDRESS(ROW(E2039)-1, 'From Order'!$A2039)), 1), E2038))"),"")</f>
        <v/>
      </c>
      <c r="F2039" s="2" t="str">
        <f>IFERROR(__xludf.DUMMYFUNCTION("IF('From Order'!$A2039=COLUMNS($A2039:F2058), LEFT(INDEX(FILTER(F$1:F2038, F$1:F2038&lt;&gt;""""),COUNTA(FILTER(F$1:F2038, F$1:F2038&lt;&gt;""""))), LEN(INDEX(FILTER(F$1:F2038, F$1:F2038&lt;&gt;""""),COUNTA(FILTER(F$1:F2038, F$1:F2038&lt;&gt;""""))))-1), IF('To Order'!$A2039=COL"&amp;"UMNS($A2039:F2058), F2038&amp;RIGHT(INDIRECT(ADDRESS(ROW(F2039)-1, 'From Order'!$A2039)), 1), F2038))"),"")</f>
        <v/>
      </c>
      <c r="G2039" s="2" t="str">
        <f>IFERROR(__xludf.DUMMYFUNCTION("IF('From Order'!$A2039=COLUMNS($A2039:G2058), LEFT(INDEX(FILTER(G$1:G2038, G$1:G2038&lt;&gt;""""),COUNTA(FILTER(G$1:G2038, G$1:G2038&lt;&gt;""""))), LEN(INDEX(FILTER(G$1:G2038, G$1:G2038&lt;&gt;""""),COUNTA(FILTER(G$1:G2038, G$1:G2038&lt;&gt;""""))))-1), IF('To Order'!$A2039=COL"&amp;"UMNS($A2039:G2058), G2038&amp;RIGHT(INDIRECT(ADDRESS(ROW(G2039)-1, 'From Order'!$A2039)), 1), G2038))"),"G")</f>
        <v>G</v>
      </c>
      <c r="H2039" s="2" t="str">
        <f>IFERROR(__xludf.DUMMYFUNCTION("IF('From Order'!$A2039=COLUMNS($A2039:H2058), LEFT(INDEX(FILTER(H$1:H2038, H$1:H2038&lt;&gt;""""),COUNTA(FILTER(H$1:H2038, H$1:H2038&lt;&gt;""""))), LEN(INDEX(FILTER(H$1:H2038, H$1:H2038&lt;&gt;""""),COUNTA(FILTER(H$1:H2038, H$1:H2038&lt;&gt;""""))))-1), IF('To Order'!$A2039=COL"&amp;"UMNS($A2039:H2058), H2038&amp;RIGHT(INDIRECT(ADDRESS(ROW(H2039)-1, 'From Order'!$A2039)), 1), H2038))"),"QTRRDV")</f>
        <v>QTRRDV</v>
      </c>
      <c r="I2039" s="2" t="str">
        <f>IFERROR(__xludf.DUMMYFUNCTION("IF('From Order'!$A2039=COLUMNS($A2039:I2058), LEFT(INDEX(FILTER(I$1:I2038, I$1:I2038&lt;&gt;""""),COUNTA(FILTER(I$1:I2038, I$1:I2038&lt;&gt;""""))), LEN(INDEX(FILTER(I$1:I2038, I$1:I2038&lt;&gt;""""),COUNTA(FILTER(I$1:I2038, I$1:I2038&lt;&gt;""""))))-1), IF('To Order'!$A2039=COL"&amp;"UMNS($A2039:I2058), I2038&amp;RIGHT(INDIRECT(ADDRESS(ROW(I2039)-1, 'From Order'!$A2039)), 1), I2038))"),"DTCTMZHZDMTTGMJRRVBBHFSCZWT")</f>
        <v>DTCTMZHZDMTTGMJRRVBBHFSCZWT</v>
      </c>
    </row>
    <row r="2040">
      <c r="A2040" s="2" t="str">
        <f>IFERROR(__xludf.DUMMYFUNCTION("IF('From Order'!$A2040=COLUMNS($A2040:A2059), LEFT(INDEX(FILTER(A$1:A2039, A$1:A2039&lt;&gt;""""),COUNTA(FILTER(A$1:A2039, A$1:A2039&lt;&gt;""""))), LEN(INDEX(FILTER(A$1:A2039, A$1:A2039&lt;&gt;""""),COUNTA(FILTER(A$1:A2039, A$1:A2039&lt;&gt;""""))))-1), IF('To Order'!$A2040=COL"&amp;"UMNS($A2040:A2059), A2039&amp;RIGHT(INDIRECT(ADDRESS(ROW(A2040)-1, 'From Order'!$A2040)), 1), A2039))"),"DSPBFLLWDDVQJPPS")</f>
        <v>DSPBFLLWDDVQJPPS</v>
      </c>
      <c r="B2040" s="2" t="str">
        <f>IFERROR(__xludf.DUMMYFUNCTION("IF('From Order'!$A2040=COLUMNS($A2040:B2059), LEFT(INDEX(FILTER(B$1:B2039, B$1:B2039&lt;&gt;""""),COUNTA(FILTER(B$1:B2039, B$1:B2039&lt;&gt;""""))), LEN(INDEX(FILTER(B$1:B2039, B$1:B2039&lt;&gt;""""),COUNTA(FILTER(B$1:B2039, B$1:B2039&lt;&gt;""""))))-1), IF('To Order'!$A2040=COL"&amp;"UMNS($A2040:B2059), B2039&amp;RIGHT(INDIRECT(ADDRESS(ROW(B2040)-1, 'From Order'!$A2040)), 1), B2039))"),"")</f>
        <v/>
      </c>
      <c r="C2040" s="2" t="str">
        <f>IFERROR(__xludf.DUMMYFUNCTION("IF('From Order'!$A2040=COLUMNS($A2040:C2059), LEFT(INDEX(FILTER(C$1:C2039, C$1:C2039&lt;&gt;""""),COUNTA(FILTER(C$1:C2039, C$1:C2039&lt;&gt;""""))), LEN(INDEX(FILTER(C$1:C2039, C$1:C2039&lt;&gt;""""),COUNTA(FILTER(C$1:C2039, C$1:C2039&lt;&gt;""""))))-1), IF('To Order'!$A2040=COL"&amp;"UMNS($A2040:C2059), C2039&amp;RIGHT(INDIRECT(ADDRESS(ROW(C2040)-1, 'From Order'!$A2040)), 1), C2039))"),"")</f>
        <v/>
      </c>
      <c r="D2040" s="2" t="str">
        <f>IFERROR(__xludf.DUMMYFUNCTION("IF('From Order'!$A2040=COLUMNS($A2040:D2059), LEFT(INDEX(FILTER(D$1:D2039, D$1:D2039&lt;&gt;""""),COUNTA(FILTER(D$1:D2039, D$1:D2039&lt;&gt;""""))), LEN(INDEX(FILTER(D$1:D2039, D$1:D2039&lt;&gt;""""),COUNTA(FILTER(D$1:D2039, D$1:D2039&lt;&gt;""""))))-1), IF('To Order'!$A2040=COL"&amp;"UMNS($A2040:D2059), D2039&amp;RIGHT(INDIRECT(ADDRESS(ROW(D2040)-1, 'From Order'!$A2040)), 1), D2039))"),"RBJCL")</f>
        <v>RBJCL</v>
      </c>
      <c r="E2040" s="2" t="str">
        <f>IFERROR(__xludf.DUMMYFUNCTION("IF('From Order'!$A2040=COLUMNS($A2040:E2059), LEFT(INDEX(FILTER(E$1:E2039, E$1:E2039&lt;&gt;""""),COUNTA(FILTER(E$1:E2039, E$1:E2039&lt;&gt;""""))), LEN(INDEX(FILTER(E$1:E2039, E$1:E2039&lt;&gt;""""),COUNTA(FILTER(E$1:E2039, E$1:E2039&lt;&gt;""""))))-1), IF('To Order'!$A2040=COL"&amp;"UMNS($A2040:E2059), E2039&amp;RIGHT(INDIRECT(ADDRESS(ROW(E2040)-1, 'From Order'!$A2040)), 1), E2039))"),"")</f>
        <v/>
      </c>
      <c r="F2040" s="2" t="str">
        <f>IFERROR(__xludf.DUMMYFUNCTION("IF('From Order'!$A2040=COLUMNS($A2040:F2059), LEFT(INDEX(FILTER(F$1:F2039, F$1:F2039&lt;&gt;""""),COUNTA(FILTER(F$1:F2039, F$1:F2039&lt;&gt;""""))), LEN(INDEX(FILTER(F$1:F2039, F$1:F2039&lt;&gt;""""),COUNTA(FILTER(F$1:F2039, F$1:F2039&lt;&gt;""""))))-1), IF('To Order'!$A2040=COL"&amp;"UMNS($A2040:F2059), F2039&amp;RIGHT(INDIRECT(ADDRESS(ROW(F2040)-1, 'From Order'!$A2040)), 1), F2039))"),"")</f>
        <v/>
      </c>
      <c r="G2040" s="2" t="str">
        <f>IFERROR(__xludf.DUMMYFUNCTION("IF('From Order'!$A2040=COLUMNS($A2040:G2059), LEFT(INDEX(FILTER(G$1:G2039, G$1:G2039&lt;&gt;""""),COUNTA(FILTER(G$1:G2039, G$1:G2039&lt;&gt;""""))), LEN(INDEX(FILTER(G$1:G2039, G$1:G2039&lt;&gt;""""),COUNTA(FILTER(G$1:G2039, G$1:G2039&lt;&gt;""""))))-1), IF('To Order'!$A2040=COL"&amp;"UMNS($A2040:G2059), G2039&amp;RIGHT(INDIRECT(ADDRESS(ROW(G2040)-1, 'From Order'!$A2040)), 1), G2039))"),"G")</f>
        <v>G</v>
      </c>
      <c r="H2040" s="2" t="str">
        <f>IFERROR(__xludf.DUMMYFUNCTION("IF('From Order'!$A2040=COLUMNS($A2040:H2059), LEFT(INDEX(FILTER(H$1:H2039, H$1:H2039&lt;&gt;""""),COUNTA(FILTER(H$1:H2039, H$1:H2039&lt;&gt;""""))), LEN(INDEX(FILTER(H$1:H2039, H$1:H2039&lt;&gt;""""),COUNTA(FILTER(H$1:H2039, H$1:H2039&lt;&gt;""""))))-1), IF('To Order'!$A2040=COL"&amp;"UMNS($A2040:H2059), H2039&amp;RIGHT(INDIRECT(ADDRESS(ROW(H2040)-1, 'From Order'!$A2040)), 1), H2039))"),"QTRRDV")</f>
        <v>QTRRDV</v>
      </c>
      <c r="I2040" s="2" t="str">
        <f>IFERROR(__xludf.DUMMYFUNCTION("IF('From Order'!$A2040=COLUMNS($A2040:I2059), LEFT(INDEX(FILTER(I$1:I2039, I$1:I2039&lt;&gt;""""),COUNTA(FILTER(I$1:I2039, I$1:I2039&lt;&gt;""""))), LEN(INDEX(FILTER(I$1:I2039, I$1:I2039&lt;&gt;""""),COUNTA(FILTER(I$1:I2039, I$1:I2039&lt;&gt;""""))))-1), IF('To Order'!$A2040=COL"&amp;"UMNS($A2040:I2059), I2039&amp;RIGHT(INDIRECT(ADDRESS(ROW(I2040)-1, 'From Order'!$A2040)), 1), I2039))"),"DTCTMZHZDMTTGMJRRVBBHFSCZWTS")</f>
        <v>DTCTMZHZDMTTGMJRRVBBHFSCZWTS</v>
      </c>
    </row>
    <row r="2041">
      <c r="A2041" s="2" t="str">
        <f>IFERROR(__xludf.DUMMYFUNCTION("IF('From Order'!$A2041=COLUMNS($A2041:A2060), LEFT(INDEX(FILTER(A$1:A2040, A$1:A2040&lt;&gt;""""),COUNTA(FILTER(A$1:A2040, A$1:A2040&lt;&gt;""""))), LEN(INDEX(FILTER(A$1:A2040, A$1:A2040&lt;&gt;""""),COUNTA(FILTER(A$1:A2040, A$1:A2040&lt;&gt;""""))))-1), IF('To Order'!$A2041=COL"&amp;"UMNS($A2041:A2060), A2040&amp;RIGHT(INDIRECT(ADDRESS(ROW(A2041)-1, 'From Order'!$A2041)), 1), A2040))"),"DSPBFLLWDDVQJPP")</f>
        <v>DSPBFLLWDDVQJPP</v>
      </c>
      <c r="B2041" s="2" t="str">
        <f>IFERROR(__xludf.DUMMYFUNCTION("IF('From Order'!$A2041=COLUMNS($A2041:B2060), LEFT(INDEX(FILTER(B$1:B2040, B$1:B2040&lt;&gt;""""),COUNTA(FILTER(B$1:B2040, B$1:B2040&lt;&gt;""""))), LEN(INDEX(FILTER(B$1:B2040, B$1:B2040&lt;&gt;""""),COUNTA(FILTER(B$1:B2040, B$1:B2040&lt;&gt;""""))))-1), IF('To Order'!$A2041=COL"&amp;"UMNS($A2041:B2060), B2040&amp;RIGHT(INDIRECT(ADDRESS(ROW(B2041)-1, 'From Order'!$A2041)), 1), B2040))"),"")</f>
        <v/>
      </c>
      <c r="C2041" s="2" t="str">
        <f>IFERROR(__xludf.DUMMYFUNCTION("IF('From Order'!$A2041=COLUMNS($A2041:C2060), LEFT(INDEX(FILTER(C$1:C2040, C$1:C2040&lt;&gt;""""),COUNTA(FILTER(C$1:C2040, C$1:C2040&lt;&gt;""""))), LEN(INDEX(FILTER(C$1:C2040, C$1:C2040&lt;&gt;""""),COUNTA(FILTER(C$1:C2040, C$1:C2040&lt;&gt;""""))))-1), IF('To Order'!$A2041=COL"&amp;"UMNS($A2041:C2060), C2040&amp;RIGHT(INDIRECT(ADDRESS(ROW(C2041)-1, 'From Order'!$A2041)), 1), C2040))"),"")</f>
        <v/>
      </c>
      <c r="D2041" s="2" t="str">
        <f>IFERROR(__xludf.DUMMYFUNCTION("IF('From Order'!$A2041=COLUMNS($A2041:D2060), LEFT(INDEX(FILTER(D$1:D2040, D$1:D2040&lt;&gt;""""),COUNTA(FILTER(D$1:D2040, D$1:D2040&lt;&gt;""""))), LEN(INDEX(FILTER(D$1:D2040, D$1:D2040&lt;&gt;""""),COUNTA(FILTER(D$1:D2040, D$1:D2040&lt;&gt;""""))))-1), IF('To Order'!$A2041=COL"&amp;"UMNS($A2041:D2060), D2040&amp;RIGHT(INDIRECT(ADDRESS(ROW(D2041)-1, 'From Order'!$A2041)), 1), D2040))"),"RBJCL")</f>
        <v>RBJCL</v>
      </c>
      <c r="E2041" s="2" t="str">
        <f>IFERROR(__xludf.DUMMYFUNCTION("IF('From Order'!$A2041=COLUMNS($A2041:E2060), LEFT(INDEX(FILTER(E$1:E2040, E$1:E2040&lt;&gt;""""),COUNTA(FILTER(E$1:E2040, E$1:E2040&lt;&gt;""""))), LEN(INDEX(FILTER(E$1:E2040, E$1:E2040&lt;&gt;""""),COUNTA(FILTER(E$1:E2040, E$1:E2040&lt;&gt;""""))))-1), IF('To Order'!$A2041=COL"&amp;"UMNS($A2041:E2060), E2040&amp;RIGHT(INDIRECT(ADDRESS(ROW(E2041)-1, 'From Order'!$A2041)), 1), E2040))"),"")</f>
        <v/>
      </c>
      <c r="F2041" s="2" t="str">
        <f>IFERROR(__xludf.DUMMYFUNCTION("IF('From Order'!$A2041=COLUMNS($A2041:F2060), LEFT(INDEX(FILTER(F$1:F2040, F$1:F2040&lt;&gt;""""),COUNTA(FILTER(F$1:F2040, F$1:F2040&lt;&gt;""""))), LEN(INDEX(FILTER(F$1:F2040, F$1:F2040&lt;&gt;""""),COUNTA(FILTER(F$1:F2040, F$1:F2040&lt;&gt;""""))))-1), IF('To Order'!$A2041=COL"&amp;"UMNS($A2041:F2060), F2040&amp;RIGHT(INDIRECT(ADDRESS(ROW(F2041)-1, 'From Order'!$A2041)), 1), F2040))"),"")</f>
        <v/>
      </c>
      <c r="G2041" s="2" t="str">
        <f>IFERROR(__xludf.DUMMYFUNCTION("IF('From Order'!$A2041=COLUMNS($A2041:G2060), LEFT(INDEX(FILTER(G$1:G2040, G$1:G2040&lt;&gt;""""),COUNTA(FILTER(G$1:G2040, G$1:G2040&lt;&gt;""""))), LEN(INDEX(FILTER(G$1:G2040, G$1:G2040&lt;&gt;""""),COUNTA(FILTER(G$1:G2040, G$1:G2040&lt;&gt;""""))))-1), IF('To Order'!$A2041=COL"&amp;"UMNS($A2041:G2060), G2040&amp;RIGHT(INDIRECT(ADDRESS(ROW(G2041)-1, 'From Order'!$A2041)), 1), G2040))"),"G")</f>
        <v>G</v>
      </c>
      <c r="H2041" s="2" t="str">
        <f>IFERROR(__xludf.DUMMYFUNCTION("IF('From Order'!$A2041=COLUMNS($A2041:H2060), LEFT(INDEX(FILTER(H$1:H2040, H$1:H2040&lt;&gt;""""),COUNTA(FILTER(H$1:H2040, H$1:H2040&lt;&gt;""""))), LEN(INDEX(FILTER(H$1:H2040, H$1:H2040&lt;&gt;""""),COUNTA(FILTER(H$1:H2040, H$1:H2040&lt;&gt;""""))))-1), IF('To Order'!$A2041=COL"&amp;"UMNS($A2041:H2060), H2040&amp;RIGHT(INDIRECT(ADDRESS(ROW(H2041)-1, 'From Order'!$A2041)), 1), H2040))"),"QTRRDV")</f>
        <v>QTRRDV</v>
      </c>
      <c r="I2041" s="2" t="str">
        <f>IFERROR(__xludf.DUMMYFUNCTION("IF('From Order'!$A2041=COLUMNS($A2041:I2060), LEFT(INDEX(FILTER(I$1:I2040, I$1:I2040&lt;&gt;""""),COUNTA(FILTER(I$1:I2040, I$1:I2040&lt;&gt;""""))), LEN(INDEX(FILTER(I$1:I2040, I$1:I2040&lt;&gt;""""),COUNTA(FILTER(I$1:I2040, I$1:I2040&lt;&gt;""""))))-1), IF('To Order'!$A2041=COL"&amp;"UMNS($A2041:I2060), I2040&amp;RIGHT(INDIRECT(ADDRESS(ROW(I2041)-1, 'From Order'!$A2041)), 1), I2040))"),"DTCTMZHZDMTTGMJRRVBBHFSCZWTSS")</f>
        <v>DTCTMZHZDMTTGMJRRVBBHFSCZWTSS</v>
      </c>
    </row>
    <row r="2042">
      <c r="A2042" s="2" t="str">
        <f>IFERROR(__xludf.DUMMYFUNCTION("IF('From Order'!$A2042=COLUMNS($A2042:A2061), LEFT(INDEX(FILTER(A$1:A2041, A$1:A2041&lt;&gt;""""),COUNTA(FILTER(A$1:A2041, A$1:A2041&lt;&gt;""""))), LEN(INDEX(FILTER(A$1:A2041, A$1:A2041&lt;&gt;""""),COUNTA(FILTER(A$1:A2041, A$1:A2041&lt;&gt;""""))))-1), IF('To Order'!$A2042=COL"&amp;"UMNS($A2042:A2061), A2041&amp;RIGHT(INDIRECT(ADDRESS(ROW(A2042)-1, 'From Order'!$A2042)), 1), A2041))"),"DSPBFLLWDDVQJP")</f>
        <v>DSPBFLLWDDVQJP</v>
      </c>
      <c r="B2042" s="2" t="str">
        <f>IFERROR(__xludf.DUMMYFUNCTION("IF('From Order'!$A2042=COLUMNS($A2042:B2061), LEFT(INDEX(FILTER(B$1:B2041, B$1:B2041&lt;&gt;""""),COUNTA(FILTER(B$1:B2041, B$1:B2041&lt;&gt;""""))), LEN(INDEX(FILTER(B$1:B2041, B$1:B2041&lt;&gt;""""),COUNTA(FILTER(B$1:B2041, B$1:B2041&lt;&gt;""""))))-1), IF('To Order'!$A2042=COL"&amp;"UMNS($A2042:B2061), B2041&amp;RIGHT(INDIRECT(ADDRESS(ROW(B2042)-1, 'From Order'!$A2042)), 1), B2041))"),"")</f>
        <v/>
      </c>
      <c r="C2042" s="2" t="str">
        <f>IFERROR(__xludf.DUMMYFUNCTION("IF('From Order'!$A2042=COLUMNS($A2042:C2061), LEFT(INDEX(FILTER(C$1:C2041, C$1:C2041&lt;&gt;""""),COUNTA(FILTER(C$1:C2041, C$1:C2041&lt;&gt;""""))), LEN(INDEX(FILTER(C$1:C2041, C$1:C2041&lt;&gt;""""),COUNTA(FILTER(C$1:C2041, C$1:C2041&lt;&gt;""""))))-1), IF('To Order'!$A2042=COL"&amp;"UMNS($A2042:C2061), C2041&amp;RIGHT(INDIRECT(ADDRESS(ROW(C2042)-1, 'From Order'!$A2042)), 1), C2041))"),"")</f>
        <v/>
      </c>
      <c r="D2042" s="2" t="str">
        <f>IFERROR(__xludf.DUMMYFUNCTION("IF('From Order'!$A2042=COLUMNS($A2042:D2061), LEFT(INDEX(FILTER(D$1:D2041, D$1:D2041&lt;&gt;""""),COUNTA(FILTER(D$1:D2041, D$1:D2041&lt;&gt;""""))), LEN(INDEX(FILTER(D$1:D2041, D$1:D2041&lt;&gt;""""),COUNTA(FILTER(D$1:D2041, D$1:D2041&lt;&gt;""""))))-1), IF('To Order'!$A2042=COL"&amp;"UMNS($A2042:D2061), D2041&amp;RIGHT(INDIRECT(ADDRESS(ROW(D2042)-1, 'From Order'!$A2042)), 1), D2041))"),"RBJCL")</f>
        <v>RBJCL</v>
      </c>
      <c r="E2042" s="2" t="str">
        <f>IFERROR(__xludf.DUMMYFUNCTION("IF('From Order'!$A2042=COLUMNS($A2042:E2061), LEFT(INDEX(FILTER(E$1:E2041, E$1:E2041&lt;&gt;""""),COUNTA(FILTER(E$1:E2041, E$1:E2041&lt;&gt;""""))), LEN(INDEX(FILTER(E$1:E2041, E$1:E2041&lt;&gt;""""),COUNTA(FILTER(E$1:E2041, E$1:E2041&lt;&gt;""""))))-1), IF('To Order'!$A2042=COL"&amp;"UMNS($A2042:E2061), E2041&amp;RIGHT(INDIRECT(ADDRESS(ROW(E2042)-1, 'From Order'!$A2042)), 1), E2041))"),"")</f>
        <v/>
      </c>
      <c r="F2042" s="2" t="str">
        <f>IFERROR(__xludf.DUMMYFUNCTION("IF('From Order'!$A2042=COLUMNS($A2042:F2061), LEFT(INDEX(FILTER(F$1:F2041, F$1:F2041&lt;&gt;""""),COUNTA(FILTER(F$1:F2041, F$1:F2041&lt;&gt;""""))), LEN(INDEX(FILTER(F$1:F2041, F$1:F2041&lt;&gt;""""),COUNTA(FILTER(F$1:F2041, F$1:F2041&lt;&gt;""""))))-1), IF('To Order'!$A2042=COL"&amp;"UMNS($A2042:F2061), F2041&amp;RIGHT(INDIRECT(ADDRESS(ROW(F2042)-1, 'From Order'!$A2042)), 1), F2041))"),"")</f>
        <v/>
      </c>
      <c r="G2042" s="2" t="str">
        <f>IFERROR(__xludf.DUMMYFUNCTION("IF('From Order'!$A2042=COLUMNS($A2042:G2061), LEFT(INDEX(FILTER(G$1:G2041, G$1:G2041&lt;&gt;""""),COUNTA(FILTER(G$1:G2041, G$1:G2041&lt;&gt;""""))), LEN(INDEX(FILTER(G$1:G2041, G$1:G2041&lt;&gt;""""),COUNTA(FILTER(G$1:G2041, G$1:G2041&lt;&gt;""""))))-1), IF('To Order'!$A2042=COL"&amp;"UMNS($A2042:G2061), G2041&amp;RIGHT(INDIRECT(ADDRESS(ROW(G2042)-1, 'From Order'!$A2042)), 1), G2041))"),"G")</f>
        <v>G</v>
      </c>
      <c r="H2042" s="2" t="str">
        <f>IFERROR(__xludf.DUMMYFUNCTION("IF('From Order'!$A2042=COLUMNS($A2042:H2061), LEFT(INDEX(FILTER(H$1:H2041, H$1:H2041&lt;&gt;""""),COUNTA(FILTER(H$1:H2041, H$1:H2041&lt;&gt;""""))), LEN(INDEX(FILTER(H$1:H2041, H$1:H2041&lt;&gt;""""),COUNTA(FILTER(H$1:H2041, H$1:H2041&lt;&gt;""""))))-1), IF('To Order'!$A2042=COL"&amp;"UMNS($A2042:H2061), H2041&amp;RIGHT(INDIRECT(ADDRESS(ROW(H2042)-1, 'From Order'!$A2042)), 1), H2041))"),"QTRRDV")</f>
        <v>QTRRDV</v>
      </c>
      <c r="I2042" s="2" t="str">
        <f>IFERROR(__xludf.DUMMYFUNCTION("IF('From Order'!$A2042=COLUMNS($A2042:I2061), LEFT(INDEX(FILTER(I$1:I2041, I$1:I2041&lt;&gt;""""),COUNTA(FILTER(I$1:I2041, I$1:I2041&lt;&gt;""""))), LEN(INDEX(FILTER(I$1:I2041, I$1:I2041&lt;&gt;""""),COUNTA(FILTER(I$1:I2041, I$1:I2041&lt;&gt;""""))))-1), IF('To Order'!$A2042=COL"&amp;"UMNS($A2042:I2061), I2041&amp;RIGHT(INDIRECT(ADDRESS(ROW(I2042)-1, 'From Order'!$A2042)), 1), I2041))"),"DTCTMZHZDMTTGMJRRVBBHFSCZWTSSP")</f>
        <v>DTCTMZHZDMTTGMJRRVBBHFSCZWTSSP</v>
      </c>
    </row>
    <row r="2043">
      <c r="A2043" s="2" t="str">
        <f>IFERROR(__xludf.DUMMYFUNCTION("IF('From Order'!$A2043=COLUMNS($A2043:A2062), LEFT(INDEX(FILTER(A$1:A2042, A$1:A2042&lt;&gt;""""),COUNTA(FILTER(A$1:A2042, A$1:A2042&lt;&gt;""""))), LEN(INDEX(FILTER(A$1:A2042, A$1:A2042&lt;&gt;""""),COUNTA(FILTER(A$1:A2042, A$1:A2042&lt;&gt;""""))))-1), IF('To Order'!$A2043=COL"&amp;"UMNS($A2043:A2062), A2042&amp;RIGHT(INDIRECT(ADDRESS(ROW(A2043)-1, 'From Order'!$A2043)), 1), A2042))"),"DSPBFLLWDDVQJ")</f>
        <v>DSPBFLLWDDVQJ</v>
      </c>
      <c r="B2043" s="2" t="str">
        <f>IFERROR(__xludf.DUMMYFUNCTION("IF('From Order'!$A2043=COLUMNS($A2043:B2062), LEFT(INDEX(FILTER(B$1:B2042, B$1:B2042&lt;&gt;""""),COUNTA(FILTER(B$1:B2042, B$1:B2042&lt;&gt;""""))), LEN(INDEX(FILTER(B$1:B2042, B$1:B2042&lt;&gt;""""),COUNTA(FILTER(B$1:B2042, B$1:B2042&lt;&gt;""""))))-1), IF('To Order'!$A2043=COL"&amp;"UMNS($A2043:B2062), B2042&amp;RIGHT(INDIRECT(ADDRESS(ROW(B2043)-1, 'From Order'!$A2043)), 1), B2042))"),"")</f>
        <v/>
      </c>
      <c r="C2043" s="2" t="str">
        <f>IFERROR(__xludf.DUMMYFUNCTION("IF('From Order'!$A2043=COLUMNS($A2043:C2062), LEFT(INDEX(FILTER(C$1:C2042, C$1:C2042&lt;&gt;""""),COUNTA(FILTER(C$1:C2042, C$1:C2042&lt;&gt;""""))), LEN(INDEX(FILTER(C$1:C2042, C$1:C2042&lt;&gt;""""),COUNTA(FILTER(C$1:C2042, C$1:C2042&lt;&gt;""""))))-1), IF('To Order'!$A2043=COL"&amp;"UMNS($A2043:C2062), C2042&amp;RIGHT(INDIRECT(ADDRESS(ROW(C2043)-1, 'From Order'!$A2043)), 1), C2042))"),"")</f>
        <v/>
      </c>
      <c r="D2043" s="2" t="str">
        <f>IFERROR(__xludf.DUMMYFUNCTION("IF('From Order'!$A2043=COLUMNS($A2043:D2062), LEFT(INDEX(FILTER(D$1:D2042, D$1:D2042&lt;&gt;""""),COUNTA(FILTER(D$1:D2042, D$1:D2042&lt;&gt;""""))), LEN(INDEX(FILTER(D$1:D2042, D$1:D2042&lt;&gt;""""),COUNTA(FILTER(D$1:D2042, D$1:D2042&lt;&gt;""""))))-1), IF('To Order'!$A2043=COL"&amp;"UMNS($A2043:D2062), D2042&amp;RIGHT(INDIRECT(ADDRESS(ROW(D2043)-1, 'From Order'!$A2043)), 1), D2042))"),"RBJCL")</f>
        <v>RBJCL</v>
      </c>
      <c r="E2043" s="2" t="str">
        <f>IFERROR(__xludf.DUMMYFUNCTION("IF('From Order'!$A2043=COLUMNS($A2043:E2062), LEFT(INDEX(FILTER(E$1:E2042, E$1:E2042&lt;&gt;""""),COUNTA(FILTER(E$1:E2042, E$1:E2042&lt;&gt;""""))), LEN(INDEX(FILTER(E$1:E2042, E$1:E2042&lt;&gt;""""),COUNTA(FILTER(E$1:E2042, E$1:E2042&lt;&gt;""""))))-1), IF('To Order'!$A2043=COL"&amp;"UMNS($A2043:E2062), E2042&amp;RIGHT(INDIRECT(ADDRESS(ROW(E2043)-1, 'From Order'!$A2043)), 1), E2042))"),"P")</f>
        <v>P</v>
      </c>
      <c r="F2043" s="2" t="str">
        <f>IFERROR(__xludf.DUMMYFUNCTION("IF('From Order'!$A2043=COLUMNS($A2043:F2062), LEFT(INDEX(FILTER(F$1:F2042, F$1:F2042&lt;&gt;""""),COUNTA(FILTER(F$1:F2042, F$1:F2042&lt;&gt;""""))), LEN(INDEX(FILTER(F$1:F2042, F$1:F2042&lt;&gt;""""),COUNTA(FILTER(F$1:F2042, F$1:F2042&lt;&gt;""""))))-1), IF('To Order'!$A2043=COL"&amp;"UMNS($A2043:F2062), F2042&amp;RIGHT(INDIRECT(ADDRESS(ROW(F2043)-1, 'From Order'!$A2043)), 1), F2042))"),"")</f>
        <v/>
      </c>
      <c r="G2043" s="2" t="str">
        <f>IFERROR(__xludf.DUMMYFUNCTION("IF('From Order'!$A2043=COLUMNS($A2043:G2062), LEFT(INDEX(FILTER(G$1:G2042, G$1:G2042&lt;&gt;""""),COUNTA(FILTER(G$1:G2042, G$1:G2042&lt;&gt;""""))), LEN(INDEX(FILTER(G$1:G2042, G$1:G2042&lt;&gt;""""),COUNTA(FILTER(G$1:G2042, G$1:G2042&lt;&gt;""""))))-1), IF('To Order'!$A2043=COL"&amp;"UMNS($A2043:G2062), G2042&amp;RIGHT(INDIRECT(ADDRESS(ROW(G2043)-1, 'From Order'!$A2043)), 1), G2042))"),"G")</f>
        <v>G</v>
      </c>
      <c r="H2043" s="2" t="str">
        <f>IFERROR(__xludf.DUMMYFUNCTION("IF('From Order'!$A2043=COLUMNS($A2043:H2062), LEFT(INDEX(FILTER(H$1:H2042, H$1:H2042&lt;&gt;""""),COUNTA(FILTER(H$1:H2042, H$1:H2042&lt;&gt;""""))), LEN(INDEX(FILTER(H$1:H2042, H$1:H2042&lt;&gt;""""),COUNTA(FILTER(H$1:H2042, H$1:H2042&lt;&gt;""""))))-1), IF('To Order'!$A2043=COL"&amp;"UMNS($A2043:H2062), H2042&amp;RIGHT(INDIRECT(ADDRESS(ROW(H2043)-1, 'From Order'!$A2043)), 1), H2042))"),"QTRRDV")</f>
        <v>QTRRDV</v>
      </c>
      <c r="I2043" s="2" t="str">
        <f>IFERROR(__xludf.DUMMYFUNCTION("IF('From Order'!$A2043=COLUMNS($A2043:I2062), LEFT(INDEX(FILTER(I$1:I2042, I$1:I2042&lt;&gt;""""),COUNTA(FILTER(I$1:I2042, I$1:I2042&lt;&gt;""""))), LEN(INDEX(FILTER(I$1:I2042, I$1:I2042&lt;&gt;""""),COUNTA(FILTER(I$1:I2042, I$1:I2042&lt;&gt;""""))))-1), IF('To Order'!$A2043=COL"&amp;"UMNS($A2043:I2062), I2042&amp;RIGHT(INDIRECT(ADDRESS(ROW(I2043)-1, 'From Order'!$A2043)), 1), I2042))"),"DTCTMZHZDMTTGMJRRVBBHFSCZWTSSP")</f>
        <v>DTCTMZHZDMTTGMJRRVBBHFSCZWTSSP</v>
      </c>
    </row>
    <row r="2044">
      <c r="A2044" s="2" t="str">
        <f>IFERROR(__xludf.DUMMYFUNCTION("IF('From Order'!$A2044=COLUMNS($A2044:A2063), LEFT(INDEX(FILTER(A$1:A2043, A$1:A2043&lt;&gt;""""),COUNTA(FILTER(A$1:A2043, A$1:A2043&lt;&gt;""""))), LEN(INDEX(FILTER(A$1:A2043, A$1:A2043&lt;&gt;""""),COUNTA(FILTER(A$1:A2043, A$1:A2043&lt;&gt;""""))))-1), IF('To Order'!$A2044=COL"&amp;"UMNS($A2044:A2063), A2043&amp;RIGHT(INDIRECT(ADDRESS(ROW(A2044)-1, 'From Order'!$A2044)), 1), A2043))"),"DSPBFLLWDDVQ")</f>
        <v>DSPBFLLWDDVQ</v>
      </c>
      <c r="B2044" s="2" t="str">
        <f>IFERROR(__xludf.DUMMYFUNCTION("IF('From Order'!$A2044=COLUMNS($A2044:B2063), LEFT(INDEX(FILTER(B$1:B2043, B$1:B2043&lt;&gt;""""),COUNTA(FILTER(B$1:B2043, B$1:B2043&lt;&gt;""""))), LEN(INDEX(FILTER(B$1:B2043, B$1:B2043&lt;&gt;""""),COUNTA(FILTER(B$1:B2043, B$1:B2043&lt;&gt;""""))))-1), IF('To Order'!$A2044=COL"&amp;"UMNS($A2044:B2063), B2043&amp;RIGHT(INDIRECT(ADDRESS(ROW(B2044)-1, 'From Order'!$A2044)), 1), B2043))"),"")</f>
        <v/>
      </c>
      <c r="C2044" s="2" t="str">
        <f>IFERROR(__xludf.DUMMYFUNCTION("IF('From Order'!$A2044=COLUMNS($A2044:C2063), LEFT(INDEX(FILTER(C$1:C2043, C$1:C2043&lt;&gt;""""),COUNTA(FILTER(C$1:C2043, C$1:C2043&lt;&gt;""""))), LEN(INDEX(FILTER(C$1:C2043, C$1:C2043&lt;&gt;""""),COUNTA(FILTER(C$1:C2043, C$1:C2043&lt;&gt;""""))))-1), IF('To Order'!$A2044=COL"&amp;"UMNS($A2044:C2063), C2043&amp;RIGHT(INDIRECT(ADDRESS(ROW(C2044)-1, 'From Order'!$A2044)), 1), C2043))"),"")</f>
        <v/>
      </c>
      <c r="D2044" s="2" t="str">
        <f>IFERROR(__xludf.DUMMYFUNCTION("IF('From Order'!$A2044=COLUMNS($A2044:D2063), LEFT(INDEX(FILTER(D$1:D2043, D$1:D2043&lt;&gt;""""),COUNTA(FILTER(D$1:D2043, D$1:D2043&lt;&gt;""""))), LEN(INDEX(FILTER(D$1:D2043, D$1:D2043&lt;&gt;""""),COUNTA(FILTER(D$1:D2043, D$1:D2043&lt;&gt;""""))))-1), IF('To Order'!$A2044=COL"&amp;"UMNS($A2044:D2063), D2043&amp;RIGHT(INDIRECT(ADDRESS(ROW(D2044)-1, 'From Order'!$A2044)), 1), D2043))"),"RBJCL")</f>
        <v>RBJCL</v>
      </c>
      <c r="E2044" s="2" t="str">
        <f>IFERROR(__xludf.DUMMYFUNCTION("IF('From Order'!$A2044=COLUMNS($A2044:E2063), LEFT(INDEX(FILTER(E$1:E2043, E$1:E2043&lt;&gt;""""),COUNTA(FILTER(E$1:E2043, E$1:E2043&lt;&gt;""""))), LEN(INDEX(FILTER(E$1:E2043, E$1:E2043&lt;&gt;""""),COUNTA(FILTER(E$1:E2043, E$1:E2043&lt;&gt;""""))))-1), IF('To Order'!$A2044=COL"&amp;"UMNS($A2044:E2063), E2043&amp;RIGHT(INDIRECT(ADDRESS(ROW(E2044)-1, 'From Order'!$A2044)), 1), E2043))"),"PJ")</f>
        <v>PJ</v>
      </c>
      <c r="F2044" s="2" t="str">
        <f>IFERROR(__xludf.DUMMYFUNCTION("IF('From Order'!$A2044=COLUMNS($A2044:F2063), LEFT(INDEX(FILTER(F$1:F2043, F$1:F2043&lt;&gt;""""),COUNTA(FILTER(F$1:F2043, F$1:F2043&lt;&gt;""""))), LEN(INDEX(FILTER(F$1:F2043, F$1:F2043&lt;&gt;""""),COUNTA(FILTER(F$1:F2043, F$1:F2043&lt;&gt;""""))))-1), IF('To Order'!$A2044=COL"&amp;"UMNS($A2044:F2063), F2043&amp;RIGHT(INDIRECT(ADDRESS(ROW(F2044)-1, 'From Order'!$A2044)), 1), F2043))"),"")</f>
        <v/>
      </c>
      <c r="G2044" s="2" t="str">
        <f>IFERROR(__xludf.DUMMYFUNCTION("IF('From Order'!$A2044=COLUMNS($A2044:G2063), LEFT(INDEX(FILTER(G$1:G2043, G$1:G2043&lt;&gt;""""),COUNTA(FILTER(G$1:G2043, G$1:G2043&lt;&gt;""""))), LEN(INDEX(FILTER(G$1:G2043, G$1:G2043&lt;&gt;""""),COUNTA(FILTER(G$1:G2043, G$1:G2043&lt;&gt;""""))))-1), IF('To Order'!$A2044=COL"&amp;"UMNS($A2044:G2063), G2043&amp;RIGHT(INDIRECT(ADDRESS(ROW(G2044)-1, 'From Order'!$A2044)), 1), G2043))"),"G")</f>
        <v>G</v>
      </c>
      <c r="H2044" s="2" t="str">
        <f>IFERROR(__xludf.DUMMYFUNCTION("IF('From Order'!$A2044=COLUMNS($A2044:H2063), LEFT(INDEX(FILTER(H$1:H2043, H$1:H2043&lt;&gt;""""),COUNTA(FILTER(H$1:H2043, H$1:H2043&lt;&gt;""""))), LEN(INDEX(FILTER(H$1:H2043, H$1:H2043&lt;&gt;""""),COUNTA(FILTER(H$1:H2043, H$1:H2043&lt;&gt;""""))))-1), IF('To Order'!$A2044=COL"&amp;"UMNS($A2044:H2063), H2043&amp;RIGHT(INDIRECT(ADDRESS(ROW(H2044)-1, 'From Order'!$A2044)), 1), H2043))"),"QTRRDV")</f>
        <v>QTRRDV</v>
      </c>
      <c r="I2044" s="2" t="str">
        <f>IFERROR(__xludf.DUMMYFUNCTION("IF('From Order'!$A2044=COLUMNS($A2044:I2063), LEFT(INDEX(FILTER(I$1:I2043, I$1:I2043&lt;&gt;""""),COUNTA(FILTER(I$1:I2043, I$1:I2043&lt;&gt;""""))), LEN(INDEX(FILTER(I$1:I2043, I$1:I2043&lt;&gt;""""),COUNTA(FILTER(I$1:I2043, I$1:I2043&lt;&gt;""""))))-1), IF('To Order'!$A2044=COL"&amp;"UMNS($A2044:I2063), I2043&amp;RIGHT(INDIRECT(ADDRESS(ROW(I2044)-1, 'From Order'!$A2044)), 1), I2043))"),"DTCTMZHZDMTTGMJRRVBBHFSCZWTSSP")</f>
        <v>DTCTMZHZDMTTGMJRRVBBHFSCZWTSSP</v>
      </c>
    </row>
    <row r="2045">
      <c r="A2045" s="2" t="str">
        <f>IFERROR(__xludf.DUMMYFUNCTION("IF('From Order'!$A2045=COLUMNS($A2045:A2064), LEFT(INDEX(FILTER(A$1:A2044, A$1:A2044&lt;&gt;""""),COUNTA(FILTER(A$1:A2044, A$1:A2044&lt;&gt;""""))), LEN(INDEX(FILTER(A$1:A2044, A$1:A2044&lt;&gt;""""),COUNTA(FILTER(A$1:A2044, A$1:A2044&lt;&gt;""""))))-1), IF('To Order'!$A2045=COL"&amp;"UMNS($A2045:A2064), A2044&amp;RIGHT(INDIRECT(ADDRESS(ROW(A2045)-1, 'From Order'!$A2045)), 1), A2044))"),"DSPBFLLWDDVQ")</f>
        <v>DSPBFLLWDDVQ</v>
      </c>
      <c r="B2045" s="2" t="str">
        <f>IFERROR(__xludf.DUMMYFUNCTION("IF('From Order'!$A2045=COLUMNS($A2045:B2064), LEFT(INDEX(FILTER(B$1:B2044, B$1:B2044&lt;&gt;""""),COUNTA(FILTER(B$1:B2044, B$1:B2044&lt;&gt;""""))), LEN(INDEX(FILTER(B$1:B2044, B$1:B2044&lt;&gt;""""),COUNTA(FILTER(B$1:B2044, B$1:B2044&lt;&gt;""""))))-1), IF('To Order'!$A2045=COL"&amp;"UMNS($A2045:B2064), B2044&amp;RIGHT(INDIRECT(ADDRESS(ROW(B2045)-1, 'From Order'!$A2045)), 1), B2044))"),"")</f>
        <v/>
      </c>
      <c r="C2045" s="2" t="str">
        <f>IFERROR(__xludf.DUMMYFUNCTION("IF('From Order'!$A2045=COLUMNS($A2045:C2064), LEFT(INDEX(FILTER(C$1:C2044, C$1:C2044&lt;&gt;""""),COUNTA(FILTER(C$1:C2044, C$1:C2044&lt;&gt;""""))), LEN(INDEX(FILTER(C$1:C2044, C$1:C2044&lt;&gt;""""),COUNTA(FILTER(C$1:C2044, C$1:C2044&lt;&gt;""""))))-1), IF('To Order'!$A2045=COL"&amp;"UMNS($A2045:C2064), C2044&amp;RIGHT(INDIRECT(ADDRESS(ROW(C2045)-1, 'From Order'!$A2045)), 1), C2044))"),"V")</f>
        <v>V</v>
      </c>
      <c r="D2045" s="2" t="str">
        <f>IFERROR(__xludf.DUMMYFUNCTION("IF('From Order'!$A2045=COLUMNS($A2045:D2064), LEFT(INDEX(FILTER(D$1:D2044, D$1:D2044&lt;&gt;""""),COUNTA(FILTER(D$1:D2044, D$1:D2044&lt;&gt;""""))), LEN(INDEX(FILTER(D$1:D2044, D$1:D2044&lt;&gt;""""),COUNTA(FILTER(D$1:D2044, D$1:D2044&lt;&gt;""""))))-1), IF('To Order'!$A2045=COL"&amp;"UMNS($A2045:D2064), D2044&amp;RIGHT(INDIRECT(ADDRESS(ROW(D2045)-1, 'From Order'!$A2045)), 1), D2044))"),"RBJCL")</f>
        <v>RBJCL</v>
      </c>
      <c r="E2045" s="2" t="str">
        <f>IFERROR(__xludf.DUMMYFUNCTION("IF('From Order'!$A2045=COLUMNS($A2045:E2064), LEFT(INDEX(FILTER(E$1:E2044, E$1:E2044&lt;&gt;""""),COUNTA(FILTER(E$1:E2044, E$1:E2044&lt;&gt;""""))), LEN(INDEX(FILTER(E$1:E2044, E$1:E2044&lt;&gt;""""),COUNTA(FILTER(E$1:E2044, E$1:E2044&lt;&gt;""""))))-1), IF('To Order'!$A2045=COL"&amp;"UMNS($A2045:E2064), E2044&amp;RIGHT(INDIRECT(ADDRESS(ROW(E2045)-1, 'From Order'!$A2045)), 1), E2044))"),"PJ")</f>
        <v>PJ</v>
      </c>
      <c r="F2045" s="2" t="str">
        <f>IFERROR(__xludf.DUMMYFUNCTION("IF('From Order'!$A2045=COLUMNS($A2045:F2064), LEFT(INDEX(FILTER(F$1:F2044, F$1:F2044&lt;&gt;""""),COUNTA(FILTER(F$1:F2044, F$1:F2044&lt;&gt;""""))), LEN(INDEX(FILTER(F$1:F2044, F$1:F2044&lt;&gt;""""),COUNTA(FILTER(F$1:F2044, F$1:F2044&lt;&gt;""""))))-1), IF('To Order'!$A2045=COL"&amp;"UMNS($A2045:F2064), F2044&amp;RIGHT(INDIRECT(ADDRESS(ROW(F2045)-1, 'From Order'!$A2045)), 1), F2044))"),"")</f>
        <v/>
      </c>
      <c r="G2045" s="2" t="str">
        <f>IFERROR(__xludf.DUMMYFUNCTION("IF('From Order'!$A2045=COLUMNS($A2045:G2064), LEFT(INDEX(FILTER(G$1:G2044, G$1:G2044&lt;&gt;""""),COUNTA(FILTER(G$1:G2044, G$1:G2044&lt;&gt;""""))), LEN(INDEX(FILTER(G$1:G2044, G$1:G2044&lt;&gt;""""),COUNTA(FILTER(G$1:G2044, G$1:G2044&lt;&gt;""""))))-1), IF('To Order'!$A2045=COL"&amp;"UMNS($A2045:G2064), G2044&amp;RIGHT(INDIRECT(ADDRESS(ROW(G2045)-1, 'From Order'!$A2045)), 1), G2044))"),"G")</f>
        <v>G</v>
      </c>
      <c r="H2045" s="2" t="str">
        <f>IFERROR(__xludf.DUMMYFUNCTION("IF('From Order'!$A2045=COLUMNS($A2045:H2064), LEFT(INDEX(FILTER(H$1:H2044, H$1:H2044&lt;&gt;""""),COUNTA(FILTER(H$1:H2044, H$1:H2044&lt;&gt;""""))), LEN(INDEX(FILTER(H$1:H2044, H$1:H2044&lt;&gt;""""),COUNTA(FILTER(H$1:H2044, H$1:H2044&lt;&gt;""""))))-1), IF('To Order'!$A2045=COL"&amp;"UMNS($A2045:H2064), H2044&amp;RIGHT(INDIRECT(ADDRESS(ROW(H2045)-1, 'From Order'!$A2045)), 1), H2044))"),"QTRRD")</f>
        <v>QTRRD</v>
      </c>
      <c r="I2045" s="2" t="str">
        <f>IFERROR(__xludf.DUMMYFUNCTION("IF('From Order'!$A2045=COLUMNS($A2045:I2064), LEFT(INDEX(FILTER(I$1:I2044, I$1:I2044&lt;&gt;""""),COUNTA(FILTER(I$1:I2044, I$1:I2044&lt;&gt;""""))), LEN(INDEX(FILTER(I$1:I2044, I$1:I2044&lt;&gt;""""),COUNTA(FILTER(I$1:I2044, I$1:I2044&lt;&gt;""""))))-1), IF('To Order'!$A2045=COL"&amp;"UMNS($A2045:I2064), I2044&amp;RIGHT(INDIRECT(ADDRESS(ROW(I2045)-1, 'From Order'!$A2045)), 1), I2044))"),"DTCTMZHZDMTTGMJRRVBBHFSCZWTSSP")</f>
        <v>DTCTMZHZDMTTGMJRRVBBHFSCZWTSSP</v>
      </c>
    </row>
    <row r="2046">
      <c r="A2046" s="2" t="str">
        <f>IFERROR(__xludf.DUMMYFUNCTION("IF('From Order'!$A2046=COLUMNS($A2046:A2065), LEFT(INDEX(FILTER(A$1:A2045, A$1:A2045&lt;&gt;""""),COUNTA(FILTER(A$1:A2045, A$1:A2045&lt;&gt;""""))), LEN(INDEX(FILTER(A$1:A2045, A$1:A2045&lt;&gt;""""),COUNTA(FILTER(A$1:A2045, A$1:A2045&lt;&gt;""""))))-1), IF('To Order'!$A2046=COL"&amp;"UMNS($A2046:A2065), A2045&amp;RIGHT(INDIRECT(ADDRESS(ROW(A2046)-1, 'From Order'!$A2046)), 1), A2045))"),"DSPBFLLWDDVQ")</f>
        <v>DSPBFLLWDDVQ</v>
      </c>
      <c r="B2046" s="2" t="str">
        <f>IFERROR(__xludf.DUMMYFUNCTION("IF('From Order'!$A2046=COLUMNS($A2046:B2065), LEFT(INDEX(FILTER(B$1:B2045, B$1:B2045&lt;&gt;""""),COUNTA(FILTER(B$1:B2045, B$1:B2045&lt;&gt;""""))), LEN(INDEX(FILTER(B$1:B2045, B$1:B2045&lt;&gt;""""),COUNTA(FILTER(B$1:B2045, B$1:B2045&lt;&gt;""""))))-1), IF('To Order'!$A2046=COL"&amp;"UMNS($A2046:B2065), B2045&amp;RIGHT(INDIRECT(ADDRESS(ROW(B2046)-1, 'From Order'!$A2046)), 1), B2045))"),"")</f>
        <v/>
      </c>
      <c r="C2046" s="2" t="str">
        <f>IFERROR(__xludf.DUMMYFUNCTION("IF('From Order'!$A2046=COLUMNS($A2046:C2065), LEFT(INDEX(FILTER(C$1:C2045, C$1:C2045&lt;&gt;""""),COUNTA(FILTER(C$1:C2045, C$1:C2045&lt;&gt;""""))), LEN(INDEX(FILTER(C$1:C2045, C$1:C2045&lt;&gt;""""),COUNTA(FILTER(C$1:C2045, C$1:C2045&lt;&gt;""""))))-1), IF('To Order'!$A2046=COL"&amp;"UMNS($A2046:C2065), C2045&amp;RIGHT(INDIRECT(ADDRESS(ROW(C2046)-1, 'From Order'!$A2046)), 1), C2045))"),"VD")</f>
        <v>VD</v>
      </c>
      <c r="D2046" s="2" t="str">
        <f>IFERROR(__xludf.DUMMYFUNCTION("IF('From Order'!$A2046=COLUMNS($A2046:D2065), LEFT(INDEX(FILTER(D$1:D2045, D$1:D2045&lt;&gt;""""),COUNTA(FILTER(D$1:D2045, D$1:D2045&lt;&gt;""""))), LEN(INDEX(FILTER(D$1:D2045, D$1:D2045&lt;&gt;""""),COUNTA(FILTER(D$1:D2045, D$1:D2045&lt;&gt;""""))))-1), IF('To Order'!$A2046=COL"&amp;"UMNS($A2046:D2065), D2045&amp;RIGHT(INDIRECT(ADDRESS(ROW(D2046)-1, 'From Order'!$A2046)), 1), D2045))"),"RBJCL")</f>
        <v>RBJCL</v>
      </c>
      <c r="E2046" s="2" t="str">
        <f>IFERROR(__xludf.DUMMYFUNCTION("IF('From Order'!$A2046=COLUMNS($A2046:E2065), LEFT(INDEX(FILTER(E$1:E2045, E$1:E2045&lt;&gt;""""),COUNTA(FILTER(E$1:E2045, E$1:E2045&lt;&gt;""""))), LEN(INDEX(FILTER(E$1:E2045, E$1:E2045&lt;&gt;""""),COUNTA(FILTER(E$1:E2045, E$1:E2045&lt;&gt;""""))))-1), IF('To Order'!$A2046=COL"&amp;"UMNS($A2046:E2065), E2045&amp;RIGHT(INDIRECT(ADDRESS(ROW(E2046)-1, 'From Order'!$A2046)), 1), E2045))"),"PJ")</f>
        <v>PJ</v>
      </c>
      <c r="F2046" s="2" t="str">
        <f>IFERROR(__xludf.DUMMYFUNCTION("IF('From Order'!$A2046=COLUMNS($A2046:F2065), LEFT(INDEX(FILTER(F$1:F2045, F$1:F2045&lt;&gt;""""),COUNTA(FILTER(F$1:F2045, F$1:F2045&lt;&gt;""""))), LEN(INDEX(FILTER(F$1:F2045, F$1:F2045&lt;&gt;""""),COUNTA(FILTER(F$1:F2045, F$1:F2045&lt;&gt;""""))))-1), IF('To Order'!$A2046=COL"&amp;"UMNS($A2046:F2065), F2045&amp;RIGHT(INDIRECT(ADDRESS(ROW(F2046)-1, 'From Order'!$A2046)), 1), F2045))"),"")</f>
        <v/>
      </c>
      <c r="G2046" s="2" t="str">
        <f>IFERROR(__xludf.DUMMYFUNCTION("IF('From Order'!$A2046=COLUMNS($A2046:G2065), LEFT(INDEX(FILTER(G$1:G2045, G$1:G2045&lt;&gt;""""),COUNTA(FILTER(G$1:G2045, G$1:G2045&lt;&gt;""""))), LEN(INDEX(FILTER(G$1:G2045, G$1:G2045&lt;&gt;""""),COUNTA(FILTER(G$1:G2045, G$1:G2045&lt;&gt;""""))))-1), IF('To Order'!$A2046=COL"&amp;"UMNS($A2046:G2065), G2045&amp;RIGHT(INDIRECT(ADDRESS(ROW(G2046)-1, 'From Order'!$A2046)), 1), G2045))"),"G")</f>
        <v>G</v>
      </c>
      <c r="H2046" s="2" t="str">
        <f>IFERROR(__xludf.DUMMYFUNCTION("IF('From Order'!$A2046=COLUMNS($A2046:H2065), LEFT(INDEX(FILTER(H$1:H2045, H$1:H2045&lt;&gt;""""),COUNTA(FILTER(H$1:H2045, H$1:H2045&lt;&gt;""""))), LEN(INDEX(FILTER(H$1:H2045, H$1:H2045&lt;&gt;""""),COUNTA(FILTER(H$1:H2045, H$1:H2045&lt;&gt;""""))))-1), IF('To Order'!$A2046=COL"&amp;"UMNS($A2046:H2065), H2045&amp;RIGHT(INDIRECT(ADDRESS(ROW(H2046)-1, 'From Order'!$A2046)), 1), H2045))"),"QTRR")</f>
        <v>QTRR</v>
      </c>
      <c r="I2046" s="2" t="str">
        <f>IFERROR(__xludf.DUMMYFUNCTION("IF('From Order'!$A2046=COLUMNS($A2046:I2065), LEFT(INDEX(FILTER(I$1:I2045, I$1:I2045&lt;&gt;""""),COUNTA(FILTER(I$1:I2045, I$1:I2045&lt;&gt;""""))), LEN(INDEX(FILTER(I$1:I2045, I$1:I2045&lt;&gt;""""),COUNTA(FILTER(I$1:I2045, I$1:I2045&lt;&gt;""""))))-1), IF('To Order'!$A2046=COL"&amp;"UMNS($A2046:I2065), I2045&amp;RIGHT(INDIRECT(ADDRESS(ROW(I2046)-1, 'From Order'!$A2046)), 1), I2045))"),"DTCTMZHZDMTTGMJRRVBBHFSCZWTSSP")</f>
        <v>DTCTMZHZDMTTGMJRRVBBHFSCZWTSSP</v>
      </c>
    </row>
    <row r="2047">
      <c r="A2047" s="2" t="str">
        <f>IFERROR(__xludf.DUMMYFUNCTION("IF('From Order'!$A2047=COLUMNS($A2047:A2066), LEFT(INDEX(FILTER(A$1:A2046, A$1:A2046&lt;&gt;""""),COUNTA(FILTER(A$1:A2046, A$1:A2046&lt;&gt;""""))), LEN(INDEX(FILTER(A$1:A2046, A$1:A2046&lt;&gt;""""),COUNTA(FILTER(A$1:A2046, A$1:A2046&lt;&gt;""""))))-1), IF('To Order'!$A2047=COL"&amp;"UMNS($A2047:A2066), A2046&amp;RIGHT(INDIRECT(ADDRESS(ROW(A2047)-1, 'From Order'!$A2047)), 1), A2046))"),"DSPBFLLWDDVQ")</f>
        <v>DSPBFLLWDDVQ</v>
      </c>
      <c r="B2047" s="2" t="str">
        <f>IFERROR(__xludf.DUMMYFUNCTION("IF('From Order'!$A2047=COLUMNS($A2047:B2066), LEFT(INDEX(FILTER(B$1:B2046, B$1:B2046&lt;&gt;""""),COUNTA(FILTER(B$1:B2046, B$1:B2046&lt;&gt;""""))), LEN(INDEX(FILTER(B$1:B2046, B$1:B2046&lt;&gt;""""),COUNTA(FILTER(B$1:B2046, B$1:B2046&lt;&gt;""""))))-1), IF('To Order'!$A2047=COL"&amp;"UMNS($A2047:B2066), B2046&amp;RIGHT(INDIRECT(ADDRESS(ROW(B2047)-1, 'From Order'!$A2047)), 1), B2046))"),"")</f>
        <v/>
      </c>
      <c r="C2047" s="2" t="str">
        <f>IFERROR(__xludf.DUMMYFUNCTION("IF('From Order'!$A2047=COLUMNS($A2047:C2066), LEFT(INDEX(FILTER(C$1:C2046, C$1:C2046&lt;&gt;""""),COUNTA(FILTER(C$1:C2046, C$1:C2046&lt;&gt;""""))), LEN(INDEX(FILTER(C$1:C2046, C$1:C2046&lt;&gt;""""),COUNTA(FILTER(C$1:C2046, C$1:C2046&lt;&gt;""""))))-1), IF('To Order'!$A2047=COL"&amp;"UMNS($A2047:C2066), C2046&amp;RIGHT(INDIRECT(ADDRESS(ROW(C2047)-1, 'From Order'!$A2047)), 1), C2046))"),"V")</f>
        <v>V</v>
      </c>
      <c r="D2047" s="2" t="str">
        <f>IFERROR(__xludf.DUMMYFUNCTION("IF('From Order'!$A2047=COLUMNS($A2047:D2066), LEFT(INDEX(FILTER(D$1:D2046, D$1:D2046&lt;&gt;""""),COUNTA(FILTER(D$1:D2046, D$1:D2046&lt;&gt;""""))), LEN(INDEX(FILTER(D$1:D2046, D$1:D2046&lt;&gt;""""),COUNTA(FILTER(D$1:D2046, D$1:D2046&lt;&gt;""""))))-1), IF('To Order'!$A2047=COL"&amp;"UMNS($A2047:D2066), D2046&amp;RIGHT(INDIRECT(ADDRESS(ROW(D2047)-1, 'From Order'!$A2047)), 1), D2046))"),"RBJCL")</f>
        <v>RBJCL</v>
      </c>
      <c r="E2047" s="2" t="str">
        <f>IFERROR(__xludf.DUMMYFUNCTION("IF('From Order'!$A2047=COLUMNS($A2047:E2066), LEFT(INDEX(FILTER(E$1:E2046, E$1:E2046&lt;&gt;""""),COUNTA(FILTER(E$1:E2046, E$1:E2046&lt;&gt;""""))), LEN(INDEX(FILTER(E$1:E2046, E$1:E2046&lt;&gt;""""),COUNTA(FILTER(E$1:E2046, E$1:E2046&lt;&gt;""""))))-1), IF('To Order'!$A2047=COL"&amp;"UMNS($A2047:E2066), E2046&amp;RIGHT(INDIRECT(ADDRESS(ROW(E2047)-1, 'From Order'!$A2047)), 1), E2046))"),"PJD")</f>
        <v>PJD</v>
      </c>
      <c r="F2047" s="2" t="str">
        <f>IFERROR(__xludf.DUMMYFUNCTION("IF('From Order'!$A2047=COLUMNS($A2047:F2066), LEFT(INDEX(FILTER(F$1:F2046, F$1:F2046&lt;&gt;""""),COUNTA(FILTER(F$1:F2046, F$1:F2046&lt;&gt;""""))), LEN(INDEX(FILTER(F$1:F2046, F$1:F2046&lt;&gt;""""),COUNTA(FILTER(F$1:F2046, F$1:F2046&lt;&gt;""""))))-1), IF('To Order'!$A2047=COL"&amp;"UMNS($A2047:F2066), F2046&amp;RIGHT(INDIRECT(ADDRESS(ROW(F2047)-1, 'From Order'!$A2047)), 1), F2046))"),"")</f>
        <v/>
      </c>
      <c r="G2047" s="2" t="str">
        <f>IFERROR(__xludf.DUMMYFUNCTION("IF('From Order'!$A2047=COLUMNS($A2047:G2066), LEFT(INDEX(FILTER(G$1:G2046, G$1:G2046&lt;&gt;""""),COUNTA(FILTER(G$1:G2046, G$1:G2046&lt;&gt;""""))), LEN(INDEX(FILTER(G$1:G2046, G$1:G2046&lt;&gt;""""),COUNTA(FILTER(G$1:G2046, G$1:G2046&lt;&gt;""""))))-1), IF('To Order'!$A2047=COL"&amp;"UMNS($A2047:G2066), G2046&amp;RIGHT(INDIRECT(ADDRESS(ROW(G2047)-1, 'From Order'!$A2047)), 1), G2046))"),"G")</f>
        <v>G</v>
      </c>
      <c r="H2047" s="2" t="str">
        <f>IFERROR(__xludf.DUMMYFUNCTION("IF('From Order'!$A2047=COLUMNS($A2047:H2066), LEFT(INDEX(FILTER(H$1:H2046, H$1:H2046&lt;&gt;""""),COUNTA(FILTER(H$1:H2046, H$1:H2046&lt;&gt;""""))), LEN(INDEX(FILTER(H$1:H2046, H$1:H2046&lt;&gt;""""),COUNTA(FILTER(H$1:H2046, H$1:H2046&lt;&gt;""""))))-1), IF('To Order'!$A2047=COL"&amp;"UMNS($A2047:H2066), H2046&amp;RIGHT(INDIRECT(ADDRESS(ROW(H2047)-1, 'From Order'!$A2047)), 1), H2046))"),"QTRR")</f>
        <v>QTRR</v>
      </c>
      <c r="I2047" s="2" t="str">
        <f>IFERROR(__xludf.DUMMYFUNCTION("IF('From Order'!$A2047=COLUMNS($A2047:I2066), LEFT(INDEX(FILTER(I$1:I2046, I$1:I2046&lt;&gt;""""),COUNTA(FILTER(I$1:I2046, I$1:I2046&lt;&gt;""""))), LEN(INDEX(FILTER(I$1:I2046, I$1:I2046&lt;&gt;""""),COUNTA(FILTER(I$1:I2046, I$1:I2046&lt;&gt;""""))))-1), IF('To Order'!$A2047=COL"&amp;"UMNS($A2047:I2066), I2046&amp;RIGHT(INDIRECT(ADDRESS(ROW(I2047)-1, 'From Order'!$A2047)), 1), I2046))"),"DTCTMZHZDMTTGMJRRVBBHFSCZWTSSP")</f>
        <v>DTCTMZHZDMTTGMJRRVBBHFSCZWTSSP</v>
      </c>
    </row>
    <row r="2048">
      <c r="A2048" s="2" t="str">
        <f>IFERROR(__xludf.DUMMYFUNCTION("IF('From Order'!$A2048=COLUMNS($A2048:A2067), LEFT(INDEX(FILTER(A$1:A2047, A$1:A2047&lt;&gt;""""),COUNTA(FILTER(A$1:A2047, A$1:A2047&lt;&gt;""""))), LEN(INDEX(FILTER(A$1:A2047, A$1:A2047&lt;&gt;""""),COUNTA(FILTER(A$1:A2047, A$1:A2047&lt;&gt;""""))))-1), IF('To Order'!$A2048=COL"&amp;"UMNS($A2048:A2067), A2047&amp;RIGHT(INDIRECT(ADDRESS(ROW(A2048)-1, 'From Order'!$A2048)), 1), A2047))"),"DSPBFLLWDDVQ")</f>
        <v>DSPBFLLWDDVQ</v>
      </c>
      <c r="B2048" s="2" t="str">
        <f>IFERROR(__xludf.DUMMYFUNCTION("IF('From Order'!$A2048=COLUMNS($A2048:B2067), LEFT(INDEX(FILTER(B$1:B2047, B$1:B2047&lt;&gt;""""),COUNTA(FILTER(B$1:B2047, B$1:B2047&lt;&gt;""""))), LEN(INDEX(FILTER(B$1:B2047, B$1:B2047&lt;&gt;""""),COUNTA(FILTER(B$1:B2047, B$1:B2047&lt;&gt;""""))))-1), IF('To Order'!$A2048=COL"&amp;"UMNS($A2048:B2067), B2047&amp;RIGHT(INDIRECT(ADDRESS(ROW(B2048)-1, 'From Order'!$A2048)), 1), B2047))"),"")</f>
        <v/>
      </c>
      <c r="C2048" s="2" t="str">
        <f>IFERROR(__xludf.DUMMYFUNCTION("IF('From Order'!$A2048=COLUMNS($A2048:C2067), LEFT(INDEX(FILTER(C$1:C2047, C$1:C2047&lt;&gt;""""),COUNTA(FILTER(C$1:C2047, C$1:C2047&lt;&gt;""""))), LEN(INDEX(FILTER(C$1:C2047, C$1:C2047&lt;&gt;""""),COUNTA(FILTER(C$1:C2047, C$1:C2047&lt;&gt;""""))))-1), IF('To Order'!$A2048=COL"&amp;"UMNS($A2048:C2067), C2047&amp;RIGHT(INDIRECT(ADDRESS(ROW(C2048)-1, 'From Order'!$A2048)), 1), C2047))"),"V")</f>
        <v>V</v>
      </c>
      <c r="D2048" s="2" t="str">
        <f>IFERROR(__xludf.DUMMYFUNCTION("IF('From Order'!$A2048=COLUMNS($A2048:D2067), LEFT(INDEX(FILTER(D$1:D2047, D$1:D2047&lt;&gt;""""),COUNTA(FILTER(D$1:D2047, D$1:D2047&lt;&gt;""""))), LEN(INDEX(FILTER(D$1:D2047, D$1:D2047&lt;&gt;""""),COUNTA(FILTER(D$1:D2047, D$1:D2047&lt;&gt;""""))))-1), IF('To Order'!$A2048=COL"&amp;"UMNS($A2048:D2067), D2047&amp;RIGHT(INDIRECT(ADDRESS(ROW(D2048)-1, 'From Order'!$A2048)), 1), D2047))"),"RBJCL")</f>
        <v>RBJCL</v>
      </c>
      <c r="E2048" s="2" t="str">
        <f>IFERROR(__xludf.DUMMYFUNCTION("IF('From Order'!$A2048=COLUMNS($A2048:E2067), LEFT(INDEX(FILTER(E$1:E2047, E$1:E2047&lt;&gt;""""),COUNTA(FILTER(E$1:E2047, E$1:E2047&lt;&gt;""""))), LEN(INDEX(FILTER(E$1:E2047, E$1:E2047&lt;&gt;""""),COUNTA(FILTER(E$1:E2047, E$1:E2047&lt;&gt;""""))))-1), IF('To Order'!$A2048=COL"&amp;"UMNS($A2048:E2067), E2047&amp;RIGHT(INDIRECT(ADDRESS(ROW(E2048)-1, 'From Order'!$A2048)), 1), E2047))"),"PJ")</f>
        <v>PJ</v>
      </c>
      <c r="F2048" s="2" t="str">
        <f>IFERROR(__xludf.DUMMYFUNCTION("IF('From Order'!$A2048=COLUMNS($A2048:F2067), LEFT(INDEX(FILTER(F$1:F2047, F$1:F2047&lt;&gt;""""),COUNTA(FILTER(F$1:F2047, F$1:F2047&lt;&gt;""""))), LEN(INDEX(FILTER(F$1:F2047, F$1:F2047&lt;&gt;""""),COUNTA(FILTER(F$1:F2047, F$1:F2047&lt;&gt;""""))))-1), IF('To Order'!$A2048=COL"&amp;"UMNS($A2048:F2067), F2047&amp;RIGHT(INDIRECT(ADDRESS(ROW(F2048)-1, 'From Order'!$A2048)), 1), F2047))"),"")</f>
        <v/>
      </c>
      <c r="G2048" s="2" t="str">
        <f>IFERROR(__xludf.DUMMYFUNCTION("IF('From Order'!$A2048=COLUMNS($A2048:G2067), LEFT(INDEX(FILTER(G$1:G2047, G$1:G2047&lt;&gt;""""),COUNTA(FILTER(G$1:G2047, G$1:G2047&lt;&gt;""""))), LEN(INDEX(FILTER(G$1:G2047, G$1:G2047&lt;&gt;""""),COUNTA(FILTER(G$1:G2047, G$1:G2047&lt;&gt;""""))))-1), IF('To Order'!$A2048=COL"&amp;"UMNS($A2048:G2067), G2047&amp;RIGHT(INDIRECT(ADDRESS(ROW(G2048)-1, 'From Order'!$A2048)), 1), G2047))"),"G")</f>
        <v>G</v>
      </c>
      <c r="H2048" s="2" t="str">
        <f>IFERROR(__xludf.DUMMYFUNCTION("IF('From Order'!$A2048=COLUMNS($A2048:H2067), LEFT(INDEX(FILTER(H$1:H2047, H$1:H2047&lt;&gt;""""),COUNTA(FILTER(H$1:H2047, H$1:H2047&lt;&gt;""""))), LEN(INDEX(FILTER(H$1:H2047, H$1:H2047&lt;&gt;""""),COUNTA(FILTER(H$1:H2047, H$1:H2047&lt;&gt;""""))))-1), IF('To Order'!$A2048=COL"&amp;"UMNS($A2048:H2067), H2047&amp;RIGHT(INDIRECT(ADDRESS(ROW(H2048)-1, 'From Order'!$A2048)), 1), H2047))"),"QTRR")</f>
        <v>QTRR</v>
      </c>
      <c r="I2048" s="2" t="str">
        <f>IFERROR(__xludf.DUMMYFUNCTION("IF('From Order'!$A2048=COLUMNS($A2048:I2067), LEFT(INDEX(FILTER(I$1:I2047, I$1:I2047&lt;&gt;""""),COUNTA(FILTER(I$1:I2047, I$1:I2047&lt;&gt;""""))), LEN(INDEX(FILTER(I$1:I2047, I$1:I2047&lt;&gt;""""),COUNTA(FILTER(I$1:I2047, I$1:I2047&lt;&gt;""""))))-1), IF('To Order'!$A2048=COL"&amp;"UMNS($A2048:I2067), I2047&amp;RIGHT(INDIRECT(ADDRESS(ROW(I2048)-1, 'From Order'!$A2048)), 1), I2047))"),"DTCTMZHZDMTTGMJRRVBBHFSCZWTSSPD")</f>
        <v>DTCTMZHZDMTTGMJRRVBBHFSCZWTSSPD</v>
      </c>
    </row>
    <row r="2049">
      <c r="A2049" s="2" t="str">
        <f>IFERROR(__xludf.DUMMYFUNCTION("IF('From Order'!$A2049=COLUMNS($A2049:A2068), LEFT(INDEX(FILTER(A$1:A2048, A$1:A2048&lt;&gt;""""),COUNTA(FILTER(A$1:A2048, A$1:A2048&lt;&gt;""""))), LEN(INDEX(FILTER(A$1:A2048, A$1:A2048&lt;&gt;""""),COUNTA(FILTER(A$1:A2048, A$1:A2048&lt;&gt;""""))))-1), IF('To Order'!$A2049=COL"&amp;"UMNS($A2049:A2068), A2048&amp;RIGHT(INDIRECT(ADDRESS(ROW(A2049)-1, 'From Order'!$A2049)), 1), A2048))"),"DSPBFLLWDDVQ")</f>
        <v>DSPBFLLWDDVQ</v>
      </c>
      <c r="B2049" s="2" t="str">
        <f>IFERROR(__xludf.DUMMYFUNCTION("IF('From Order'!$A2049=COLUMNS($A2049:B2068), LEFT(INDEX(FILTER(B$1:B2048, B$1:B2048&lt;&gt;""""),COUNTA(FILTER(B$1:B2048, B$1:B2048&lt;&gt;""""))), LEN(INDEX(FILTER(B$1:B2048, B$1:B2048&lt;&gt;""""),COUNTA(FILTER(B$1:B2048, B$1:B2048&lt;&gt;""""))))-1), IF('To Order'!$A2049=COL"&amp;"UMNS($A2049:B2068), B2048&amp;RIGHT(INDIRECT(ADDRESS(ROW(B2049)-1, 'From Order'!$A2049)), 1), B2048))"),"")</f>
        <v/>
      </c>
      <c r="C2049" s="2" t="str">
        <f>IFERROR(__xludf.DUMMYFUNCTION("IF('From Order'!$A2049=COLUMNS($A2049:C2068), LEFT(INDEX(FILTER(C$1:C2048, C$1:C2048&lt;&gt;""""),COUNTA(FILTER(C$1:C2048, C$1:C2048&lt;&gt;""""))), LEN(INDEX(FILTER(C$1:C2048, C$1:C2048&lt;&gt;""""),COUNTA(FILTER(C$1:C2048, C$1:C2048&lt;&gt;""""))))-1), IF('To Order'!$A2049=COL"&amp;"UMNS($A2049:C2068), C2048&amp;RIGHT(INDIRECT(ADDRESS(ROW(C2049)-1, 'From Order'!$A2049)), 1), C2048))"),"V")</f>
        <v>V</v>
      </c>
      <c r="D2049" s="2" t="str">
        <f>IFERROR(__xludf.DUMMYFUNCTION("IF('From Order'!$A2049=COLUMNS($A2049:D2068), LEFT(INDEX(FILTER(D$1:D2048, D$1:D2048&lt;&gt;""""),COUNTA(FILTER(D$1:D2048, D$1:D2048&lt;&gt;""""))), LEN(INDEX(FILTER(D$1:D2048, D$1:D2048&lt;&gt;""""),COUNTA(FILTER(D$1:D2048, D$1:D2048&lt;&gt;""""))))-1), IF('To Order'!$A2049=COL"&amp;"UMNS($A2049:D2068), D2048&amp;RIGHT(INDIRECT(ADDRESS(ROW(D2049)-1, 'From Order'!$A2049)), 1), D2048))"),"RBJCL")</f>
        <v>RBJCL</v>
      </c>
      <c r="E2049" s="2" t="str">
        <f>IFERROR(__xludf.DUMMYFUNCTION("IF('From Order'!$A2049=COLUMNS($A2049:E2068), LEFT(INDEX(FILTER(E$1:E2048, E$1:E2048&lt;&gt;""""),COUNTA(FILTER(E$1:E2048, E$1:E2048&lt;&gt;""""))), LEN(INDEX(FILTER(E$1:E2048, E$1:E2048&lt;&gt;""""),COUNTA(FILTER(E$1:E2048, E$1:E2048&lt;&gt;""""))))-1), IF('To Order'!$A2049=COL"&amp;"UMNS($A2049:E2068), E2048&amp;RIGHT(INDIRECT(ADDRESS(ROW(E2049)-1, 'From Order'!$A2049)), 1), E2048))"),"P")</f>
        <v>P</v>
      </c>
      <c r="F2049" s="2" t="str">
        <f>IFERROR(__xludf.DUMMYFUNCTION("IF('From Order'!$A2049=COLUMNS($A2049:F2068), LEFT(INDEX(FILTER(F$1:F2048, F$1:F2048&lt;&gt;""""),COUNTA(FILTER(F$1:F2048, F$1:F2048&lt;&gt;""""))), LEN(INDEX(FILTER(F$1:F2048, F$1:F2048&lt;&gt;""""),COUNTA(FILTER(F$1:F2048, F$1:F2048&lt;&gt;""""))))-1), IF('To Order'!$A2049=COL"&amp;"UMNS($A2049:F2068), F2048&amp;RIGHT(INDIRECT(ADDRESS(ROW(F2049)-1, 'From Order'!$A2049)), 1), F2048))"),"")</f>
        <v/>
      </c>
      <c r="G2049" s="2" t="str">
        <f>IFERROR(__xludf.DUMMYFUNCTION("IF('From Order'!$A2049=COLUMNS($A2049:G2068), LEFT(INDEX(FILTER(G$1:G2048, G$1:G2048&lt;&gt;""""),COUNTA(FILTER(G$1:G2048, G$1:G2048&lt;&gt;""""))), LEN(INDEX(FILTER(G$1:G2048, G$1:G2048&lt;&gt;""""),COUNTA(FILTER(G$1:G2048, G$1:G2048&lt;&gt;""""))))-1), IF('To Order'!$A2049=COL"&amp;"UMNS($A2049:G2068), G2048&amp;RIGHT(INDIRECT(ADDRESS(ROW(G2049)-1, 'From Order'!$A2049)), 1), G2048))"),"G")</f>
        <v>G</v>
      </c>
      <c r="H2049" s="2" t="str">
        <f>IFERROR(__xludf.DUMMYFUNCTION("IF('From Order'!$A2049=COLUMNS($A2049:H2068), LEFT(INDEX(FILTER(H$1:H2048, H$1:H2048&lt;&gt;""""),COUNTA(FILTER(H$1:H2048, H$1:H2048&lt;&gt;""""))), LEN(INDEX(FILTER(H$1:H2048, H$1:H2048&lt;&gt;""""),COUNTA(FILTER(H$1:H2048, H$1:H2048&lt;&gt;""""))))-1), IF('To Order'!$A2049=COL"&amp;"UMNS($A2049:H2068), H2048&amp;RIGHT(INDIRECT(ADDRESS(ROW(H2049)-1, 'From Order'!$A2049)), 1), H2048))"),"QTRR")</f>
        <v>QTRR</v>
      </c>
      <c r="I2049" s="2" t="str">
        <f>IFERROR(__xludf.DUMMYFUNCTION("IF('From Order'!$A2049=COLUMNS($A2049:I2068), LEFT(INDEX(FILTER(I$1:I2048, I$1:I2048&lt;&gt;""""),COUNTA(FILTER(I$1:I2048, I$1:I2048&lt;&gt;""""))), LEN(INDEX(FILTER(I$1:I2048, I$1:I2048&lt;&gt;""""),COUNTA(FILTER(I$1:I2048, I$1:I2048&lt;&gt;""""))))-1), IF('To Order'!$A2049=COL"&amp;"UMNS($A2049:I2068), I2048&amp;RIGHT(INDIRECT(ADDRESS(ROW(I2049)-1, 'From Order'!$A2049)), 1), I2048))"),"DTCTMZHZDMTTGMJRRVBBHFSCZWTSSPDJ")</f>
        <v>DTCTMZHZDMTTGMJRRVBBHFSCZWTSSPDJ</v>
      </c>
    </row>
    <row r="2050">
      <c r="A2050" s="2" t="str">
        <f>IFERROR(__xludf.DUMMYFUNCTION("IF('From Order'!$A2050=COLUMNS($A2050:A2069), LEFT(INDEX(FILTER(A$1:A2049, A$1:A2049&lt;&gt;""""),COUNTA(FILTER(A$1:A2049, A$1:A2049&lt;&gt;""""))), LEN(INDEX(FILTER(A$1:A2049, A$1:A2049&lt;&gt;""""),COUNTA(FILTER(A$1:A2049, A$1:A2049&lt;&gt;""""))))-1), IF('To Order'!$A2050=COL"&amp;"UMNS($A2050:A2069), A2049&amp;RIGHT(INDIRECT(ADDRESS(ROW(A2050)-1, 'From Order'!$A2050)), 1), A2049))"),"DSPBFLLWDDVQ")</f>
        <v>DSPBFLLWDDVQ</v>
      </c>
      <c r="B2050" s="2" t="str">
        <f>IFERROR(__xludf.DUMMYFUNCTION("IF('From Order'!$A2050=COLUMNS($A2050:B2069), LEFT(INDEX(FILTER(B$1:B2049, B$1:B2049&lt;&gt;""""),COUNTA(FILTER(B$1:B2049, B$1:B2049&lt;&gt;""""))), LEN(INDEX(FILTER(B$1:B2049, B$1:B2049&lt;&gt;""""),COUNTA(FILTER(B$1:B2049, B$1:B2049&lt;&gt;""""))))-1), IF('To Order'!$A2050=COL"&amp;"UMNS($A2050:B2069), B2049&amp;RIGHT(INDIRECT(ADDRESS(ROW(B2050)-1, 'From Order'!$A2050)), 1), B2049))"),"")</f>
        <v/>
      </c>
      <c r="C2050" s="2" t="str">
        <f>IFERROR(__xludf.DUMMYFUNCTION("IF('From Order'!$A2050=COLUMNS($A2050:C2069), LEFT(INDEX(FILTER(C$1:C2049, C$1:C2049&lt;&gt;""""),COUNTA(FILTER(C$1:C2049, C$1:C2049&lt;&gt;""""))), LEN(INDEX(FILTER(C$1:C2049, C$1:C2049&lt;&gt;""""),COUNTA(FILTER(C$1:C2049, C$1:C2049&lt;&gt;""""))))-1), IF('To Order'!$A2050=COL"&amp;"UMNS($A2050:C2069), C2049&amp;RIGHT(INDIRECT(ADDRESS(ROW(C2050)-1, 'From Order'!$A2050)), 1), C2049))"),"V")</f>
        <v>V</v>
      </c>
      <c r="D2050" s="2" t="str">
        <f>IFERROR(__xludf.DUMMYFUNCTION("IF('From Order'!$A2050=COLUMNS($A2050:D2069), LEFT(INDEX(FILTER(D$1:D2049, D$1:D2049&lt;&gt;""""),COUNTA(FILTER(D$1:D2049, D$1:D2049&lt;&gt;""""))), LEN(INDEX(FILTER(D$1:D2049, D$1:D2049&lt;&gt;""""),COUNTA(FILTER(D$1:D2049, D$1:D2049&lt;&gt;""""))))-1), IF('To Order'!$A2050=COL"&amp;"UMNS($A2050:D2069), D2049&amp;RIGHT(INDIRECT(ADDRESS(ROW(D2050)-1, 'From Order'!$A2050)), 1), D2049))"),"RBJCL")</f>
        <v>RBJCL</v>
      </c>
      <c r="E2050" s="2" t="str">
        <f>IFERROR(__xludf.DUMMYFUNCTION("IF('From Order'!$A2050=COLUMNS($A2050:E2069), LEFT(INDEX(FILTER(E$1:E2049, E$1:E2049&lt;&gt;""""),COUNTA(FILTER(E$1:E2049, E$1:E2049&lt;&gt;""""))), LEN(INDEX(FILTER(E$1:E2049, E$1:E2049&lt;&gt;""""),COUNTA(FILTER(E$1:E2049, E$1:E2049&lt;&gt;""""))))-1), IF('To Order'!$A2050=COL"&amp;"UMNS($A2050:E2069), E2049&amp;RIGHT(INDIRECT(ADDRESS(ROW(E2050)-1, 'From Order'!$A2050)), 1), E2049))"),"")</f>
        <v/>
      </c>
      <c r="F2050" s="2" t="str">
        <f>IFERROR(__xludf.DUMMYFUNCTION("IF('From Order'!$A2050=COLUMNS($A2050:F2069), LEFT(INDEX(FILTER(F$1:F2049, F$1:F2049&lt;&gt;""""),COUNTA(FILTER(F$1:F2049, F$1:F2049&lt;&gt;""""))), LEN(INDEX(FILTER(F$1:F2049, F$1:F2049&lt;&gt;""""),COUNTA(FILTER(F$1:F2049, F$1:F2049&lt;&gt;""""))))-1), IF('To Order'!$A2050=COL"&amp;"UMNS($A2050:F2069), F2049&amp;RIGHT(INDIRECT(ADDRESS(ROW(F2050)-1, 'From Order'!$A2050)), 1), F2049))"),"")</f>
        <v/>
      </c>
      <c r="G2050" s="2" t="str">
        <f>IFERROR(__xludf.DUMMYFUNCTION("IF('From Order'!$A2050=COLUMNS($A2050:G2069), LEFT(INDEX(FILTER(G$1:G2049, G$1:G2049&lt;&gt;""""),COUNTA(FILTER(G$1:G2049, G$1:G2049&lt;&gt;""""))), LEN(INDEX(FILTER(G$1:G2049, G$1:G2049&lt;&gt;""""),COUNTA(FILTER(G$1:G2049, G$1:G2049&lt;&gt;""""))))-1), IF('To Order'!$A2050=COL"&amp;"UMNS($A2050:G2069), G2049&amp;RIGHT(INDIRECT(ADDRESS(ROW(G2050)-1, 'From Order'!$A2050)), 1), G2049))"),"GP")</f>
        <v>GP</v>
      </c>
      <c r="H2050" s="2" t="str">
        <f>IFERROR(__xludf.DUMMYFUNCTION("IF('From Order'!$A2050=COLUMNS($A2050:H2069), LEFT(INDEX(FILTER(H$1:H2049, H$1:H2049&lt;&gt;""""),COUNTA(FILTER(H$1:H2049, H$1:H2049&lt;&gt;""""))), LEN(INDEX(FILTER(H$1:H2049, H$1:H2049&lt;&gt;""""),COUNTA(FILTER(H$1:H2049, H$1:H2049&lt;&gt;""""))))-1), IF('To Order'!$A2050=COL"&amp;"UMNS($A2050:H2069), H2049&amp;RIGHT(INDIRECT(ADDRESS(ROW(H2050)-1, 'From Order'!$A2050)), 1), H2049))"),"QTRR")</f>
        <v>QTRR</v>
      </c>
      <c r="I2050" s="2" t="str">
        <f>IFERROR(__xludf.DUMMYFUNCTION("IF('From Order'!$A2050=COLUMNS($A2050:I2069), LEFT(INDEX(FILTER(I$1:I2049, I$1:I2049&lt;&gt;""""),COUNTA(FILTER(I$1:I2049, I$1:I2049&lt;&gt;""""))), LEN(INDEX(FILTER(I$1:I2049, I$1:I2049&lt;&gt;""""),COUNTA(FILTER(I$1:I2049, I$1:I2049&lt;&gt;""""))))-1), IF('To Order'!$A2050=COL"&amp;"UMNS($A2050:I2069), I2049&amp;RIGHT(INDIRECT(ADDRESS(ROW(I2050)-1, 'From Order'!$A2050)), 1), I2049))"),"DTCTMZHZDMTTGMJRRVBBHFSCZWTSSPDJ")</f>
        <v>DTCTMZHZDMTTGMJRRVBBHFSCZWTSSPDJ</v>
      </c>
    </row>
    <row r="2051">
      <c r="A2051" s="2" t="str">
        <f>IFERROR(__xludf.DUMMYFUNCTION("IF('From Order'!$A2051=COLUMNS($A2051:A2070), LEFT(INDEX(FILTER(A$1:A2050, A$1:A2050&lt;&gt;""""),COUNTA(FILTER(A$1:A2050, A$1:A2050&lt;&gt;""""))), LEN(INDEX(FILTER(A$1:A2050, A$1:A2050&lt;&gt;""""),COUNTA(FILTER(A$1:A2050, A$1:A2050&lt;&gt;""""))))-1), IF('To Order'!$A2051=COL"&amp;"UMNS($A2051:A2070), A2050&amp;RIGHT(INDIRECT(ADDRESS(ROW(A2051)-1, 'From Order'!$A2051)), 1), A2050))"),"DSPBFLLWDDVQ")</f>
        <v>DSPBFLLWDDVQ</v>
      </c>
      <c r="B2051" s="2" t="str">
        <f>IFERROR(__xludf.DUMMYFUNCTION("IF('From Order'!$A2051=COLUMNS($A2051:B2070), LEFT(INDEX(FILTER(B$1:B2050, B$1:B2050&lt;&gt;""""),COUNTA(FILTER(B$1:B2050, B$1:B2050&lt;&gt;""""))), LEN(INDEX(FILTER(B$1:B2050, B$1:B2050&lt;&gt;""""),COUNTA(FILTER(B$1:B2050, B$1:B2050&lt;&gt;""""))))-1), IF('To Order'!$A2051=COL"&amp;"UMNS($A2051:B2070), B2050&amp;RIGHT(INDIRECT(ADDRESS(ROW(B2051)-1, 'From Order'!$A2051)), 1), B2050))"),"J")</f>
        <v>J</v>
      </c>
      <c r="C2051" s="2" t="str">
        <f>IFERROR(__xludf.DUMMYFUNCTION("IF('From Order'!$A2051=COLUMNS($A2051:C2070), LEFT(INDEX(FILTER(C$1:C2050, C$1:C2050&lt;&gt;""""),COUNTA(FILTER(C$1:C2050, C$1:C2050&lt;&gt;""""))), LEN(INDEX(FILTER(C$1:C2050, C$1:C2050&lt;&gt;""""),COUNTA(FILTER(C$1:C2050, C$1:C2050&lt;&gt;""""))))-1), IF('To Order'!$A2051=COL"&amp;"UMNS($A2051:C2070), C2050&amp;RIGHT(INDIRECT(ADDRESS(ROW(C2051)-1, 'From Order'!$A2051)), 1), C2050))"),"V")</f>
        <v>V</v>
      </c>
      <c r="D2051" s="2" t="str">
        <f>IFERROR(__xludf.DUMMYFUNCTION("IF('From Order'!$A2051=COLUMNS($A2051:D2070), LEFT(INDEX(FILTER(D$1:D2050, D$1:D2050&lt;&gt;""""),COUNTA(FILTER(D$1:D2050, D$1:D2050&lt;&gt;""""))), LEN(INDEX(FILTER(D$1:D2050, D$1:D2050&lt;&gt;""""),COUNTA(FILTER(D$1:D2050, D$1:D2050&lt;&gt;""""))))-1), IF('To Order'!$A2051=COL"&amp;"UMNS($A2051:D2070), D2050&amp;RIGHT(INDIRECT(ADDRESS(ROW(D2051)-1, 'From Order'!$A2051)), 1), D2050))"),"RBJCL")</f>
        <v>RBJCL</v>
      </c>
      <c r="E2051" s="2" t="str">
        <f>IFERROR(__xludf.DUMMYFUNCTION("IF('From Order'!$A2051=COLUMNS($A2051:E2070), LEFT(INDEX(FILTER(E$1:E2050, E$1:E2050&lt;&gt;""""),COUNTA(FILTER(E$1:E2050, E$1:E2050&lt;&gt;""""))), LEN(INDEX(FILTER(E$1:E2050, E$1:E2050&lt;&gt;""""),COUNTA(FILTER(E$1:E2050, E$1:E2050&lt;&gt;""""))))-1), IF('To Order'!$A2051=COL"&amp;"UMNS($A2051:E2070), E2050&amp;RIGHT(INDIRECT(ADDRESS(ROW(E2051)-1, 'From Order'!$A2051)), 1), E2050))"),"")</f>
        <v/>
      </c>
      <c r="F2051" s="2" t="str">
        <f>IFERROR(__xludf.DUMMYFUNCTION("IF('From Order'!$A2051=COLUMNS($A2051:F2070), LEFT(INDEX(FILTER(F$1:F2050, F$1:F2050&lt;&gt;""""),COUNTA(FILTER(F$1:F2050, F$1:F2050&lt;&gt;""""))), LEN(INDEX(FILTER(F$1:F2050, F$1:F2050&lt;&gt;""""),COUNTA(FILTER(F$1:F2050, F$1:F2050&lt;&gt;""""))))-1), IF('To Order'!$A2051=COL"&amp;"UMNS($A2051:F2070), F2050&amp;RIGHT(INDIRECT(ADDRESS(ROW(F2051)-1, 'From Order'!$A2051)), 1), F2050))"),"")</f>
        <v/>
      </c>
      <c r="G2051" s="2" t="str">
        <f>IFERROR(__xludf.DUMMYFUNCTION("IF('From Order'!$A2051=COLUMNS($A2051:G2070), LEFT(INDEX(FILTER(G$1:G2050, G$1:G2050&lt;&gt;""""),COUNTA(FILTER(G$1:G2050, G$1:G2050&lt;&gt;""""))), LEN(INDEX(FILTER(G$1:G2050, G$1:G2050&lt;&gt;""""),COUNTA(FILTER(G$1:G2050, G$1:G2050&lt;&gt;""""))))-1), IF('To Order'!$A2051=COL"&amp;"UMNS($A2051:G2070), G2050&amp;RIGHT(INDIRECT(ADDRESS(ROW(G2051)-1, 'From Order'!$A2051)), 1), G2050))"),"GP")</f>
        <v>GP</v>
      </c>
      <c r="H2051" s="2" t="str">
        <f>IFERROR(__xludf.DUMMYFUNCTION("IF('From Order'!$A2051=COLUMNS($A2051:H2070), LEFT(INDEX(FILTER(H$1:H2050, H$1:H2050&lt;&gt;""""),COUNTA(FILTER(H$1:H2050, H$1:H2050&lt;&gt;""""))), LEN(INDEX(FILTER(H$1:H2050, H$1:H2050&lt;&gt;""""),COUNTA(FILTER(H$1:H2050, H$1:H2050&lt;&gt;""""))))-1), IF('To Order'!$A2051=COL"&amp;"UMNS($A2051:H2070), H2050&amp;RIGHT(INDIRECT(ADDRESS(ROW(H2051)-1, 'From Order'!$A2051)), 1), H2050))"),"QTRR")</f>
        <v>QTRR</v>
      </c>
      <c r="I2051" s="2" t="str">
        <f>IFERROR(__xludf.DUMMYFUNCTION("IF('From Order'!$A2051=COLUMNS($A2051:I2070), LEFT(INDEX(FILTER(I$1:I2050, I$1:I2050&lt;&gt;""""),COUNTA(FILTER(I$1:I2050, I$1:I2050&lt;&gt;""""))), LEN(INDEX(FILTER(I$1:I2050, I$1:I2050&lt;&gt;""""),COUNTA(FILTER(I$1:I2050, I$1:I2050&lt;&gt;""""))))-1), IF('To Order'!$A2051=COL"&amp;"UMNS($A2051:I2070), I2050&amp;RIGHT(INDIRECT(ADDRESS(ROW(I2051)-1, 'From Order'!$A2051)), 1), I2050))"),"DTCTMZHZDMTTGMJRRVBBHFSCZWTSSPD")</f>
        <v>DTCTMZHZDMTTGMJRRVBBHFSCZWTSSPD</v>
      </c>
    </row>
    <row r="2052">
      <c r="A2052" s="2" t="str">
        <f>IFERROR(__xludf.DUMMYFUNCTION("IF('From Order'!$A2052=COLUMNS($A2052:A2071), LEFT(INDEX(FILTER(A$1:A2051, A$1:A2051&lt;&gt;""""),COUNTA(FILTER(A$1:A2051, A$1:A2051&lt;&gt;""""))), LEN(INDEX(FILTER(A$1:A2051, A$1:A2051&lt;&gt;""""),COUNTA(FILTER(A$1:A2051, A$1:A2051&lt;&gt;""""))))-1), IF('To Order'!$A2052=COL"&amp;"UMNS($A2052:A2071), A2051&amp;RIGHT(INDIRECT(ADDRESS(ROW(A2052)-1, 'From Order'!$A2052)), 1), A2051))"),"DSPBFLLWDDVQ")</f>
        <v>DSPBFLLWDDVQ</v>
      </c>
      <c r="B2052" s="2" t="str">
        <f>IFERROR(__xludf.DUMMYFUNCTION("IF('From Order'!$A2052=COLUMNS($A2052:B2071), LEFT(INDEX(FILTER(B$1:B2051, B$1:B2051&lt;&gt;""""),COUNTA(FILTER(B$1:B2051, B$1:B2051&lt;&gt;""""))), LEN(INDEX(FILTER(B$1:B2051, B$1:B2051&lt;&gt;""""),COUNTA(FILTER(B$1:B2051, B$1:B2051&lt;&gt;""""))))-1), IF('To Order'!$A2052=COL"&amp;"UMNS($A2052:B2071), B2051&amp;RIGHT(INDIRECT(ADDRESS(ROW(B2052)-1, 'From Order'!$A2052)), 1), B2051))"),"JD")</f>
        <v>JD</v>
      </c>
      <c r="C2052" s="2" t="str">
        <f>IFERROR(__xludf.DUMMYFUNCTION("IF('From Order'!$A2052=COLUMNS($A2052:C2071), LEFT(INDEX(FILTER(C$1:C2051, C$1:C2051&lt;&gt;""""),COUNTA(FILTER(C$1:C2051, C$1:C2051&lt;&gt;""""))), LEN(INDEX(FILTER(C$1:C2051, C$1:C2051&lt;&gt;""""),COUNTA(FILTER(C$1:C2051, C$1:C2051&lt;&gt;""""))))-1), IF('To Order'!$A2052=COL"&amp;"UMNS($A2052:C2071), C2051&amp;RIGHT(INDIRECT(ADDRESS(ROW(C2052)-1, 'From Order'!$A2052)), 1), C2051))"),"V")</f>
        <v>V</v>
      </c>
      <c r="D2052" s="2" t="str">
        <f>IFERROR(__xludf.DUMMYFUNCTION("IF('From Order'!$A2052=COLUMNS($A2052:D2071), LEFT(INDEX(FILTER(D$1:D2051, D$1:D2051&lt;&gt;""""),COUNTA(FILTER(D$1:D2051, D$1:D2051&lt;&gt;""""))), LEN(INDEX(FILTER(D$1:D2051, D$1:D2051&lt;&gt;""""),COUNTA(FILTER(D$1:D2051, D$1:D2051&lt;&gt;""""))))-1), IF('To Order'!$A2052=COL"&amp;"UMNS($A2052:D2071), D2051&amp;RIGHT(INDIRECT(ADDRESS(ROW(D2052)-1, 'From Order'!$A2052)), 1), D2051))"),"RBJCL")</f>
        <v>RBJCL</v>
      </c>
      <c r="E2052" s="2" t="str">
        <f>IFERROR(__xludf.DUMMYFUNCTION("IF('From Order'!$A2052=COLUMNS($A2052:E2071), LEFT(INDEX(FILTER(E$1:E2051, E$1:E2051&lt;&gt;""""),COUNTA(FILTER(E$1:E2051, E$1:E2051&lt;&gt;""""))), LEN(INDEX(FILTER(E$1:E2051, E$1:E2051&lt;&gt;""""),COUNTA(FILTER(E$1:E2051, E$1:E2051&lt;&gt;""""))))-1), IF('To Order'!$A2052=COL"&amp;"UMNS($A2052:E2071), E2051&amp;RIGHT(INDIRECT(ADDRESS(ROW(E2052)-1, 'From Order'!$A2052)), 1), E2051))"),"")</f>
        <v/>
      </c>
      <c r="F2052" s="2" t="str">
        <f>IFERROR(__xludf.DUMMYFUNCTION("IF('From Order'!$A2052=COLUMNS($A2052:F2071), LEFT(INDEX(FILTER(F$1:F2051, F$1:F2051&lt;&gt;""""),COUNTA(FILTER(F$1:F2051, F$1:F2051&lt;&gt;""""))), LEN(INDEX(FILTER(F$1:F2051, F$1:F2051&lt;&gt;""""),COUNTA(FILTER(F$1:F2051, F$1:F2051&lt;&gt;""""))))-1), IF('To Order'!$A2052=COL"&amp;"UMNS($A2052:F2071), F2051&amp;RIGHT(INDIRECT(ADDRESS(ROW(F2052)-1, 'From Order'!$A2052)), 1), F2051))"),"")</f>
        <v/>
      </c>
      <c r="G2052" s="2" t="str">
        <f>IFERROR(__xludf.DUMMYFUNCTION("IF('From Order'!$A2052=COLUMNS($A2052:G2071), LEFT(INDEX(FILTER(G$1:G2051, G$1:G2051&lt;&gt;""""),COUNTA(FILTER(G$1:G2051, G$1:G2051&lt;&gt;""""))), LEN(INDEX(FILTER(G$1:G2051, G$1:G2051&lt;&gt;""""),COUNTA(FILTER(G$1:G2051, G$1:G2051&lt;&gt;""""))))-1), IF('To Order'!$A2052=COL"&amp;"UMNS($A2052:G2071), G2051&amp;RIGHT(INDIRECT(ADDRESS(ROW(G2052)-1, 'From Order'!$A2052)), 1), G2051))"),"GP")</f>
        <v>GP</v>
      </c>
      <c r="H2052" s="2" t="str">
        <f>IFERROR(__xludf.DUMMYFUNCTION("IF('From Order'!$A2052=COLUMNS($A2052:H2071), LEFT(INDEX(FILTER(H$1:H2051, H$1:H2051&lt;&gt;""""),COUNTA(FILTER(H$1:H2051, H$1:H2051&lt;&gt;""""))), LEN(INDEX(FILTER(H$1:H2051, H$1:H2051&lt;&gt;""""),COUNTA(FILTER(H$1:H2051, H$1:H2051&lt;&gt;""""))))-1), IF('To Order'!$A2052=COL"&amp;"UMNS($A2052:H2071), H2051&amp;RIGHT(INDIRECT(ADDRESS(ROW(H2052)-1, 'From Order'!$A2052)), 1), H2051))"),"QTRR")</f>
        <v>QTRR</v>
      </c>
      <c r="I2052" s="2" t="str">
        <f>IFERROR(__xludf.DUMMYFUNCTION("IF('From Order'!$A2052=COLUMNS($A2052:I2071), LEFT(INDEX(FILTER(I$1:I2051, I$1:I2051&lt;&gt;""""),COUNTA(FILTER(I$1:I2051, I$1:I2051&lt;&gt;""""))), LEN(INDEX(FILTER(I$1:I2051, I$1:I2051&lt;&gt;""""),COUNTA(FILTER(I$1:I2051, I$1:I2051&lt;&gt;""""))))-1), IF('To Order'!$A2052=COL"&amp;"UMNS($A2052:I2071), I2051&amp;RIGHT(INDIRECT(ADDRESS(ROW(I2052)-1, 'From Order'!$A2052)), 1), I2051))"),"DTCTMZHZDMTTGMJRRVBBHFSCZWTSSP")</f>
        <v>DTCTMZHZDMTTGMJRRVBBHFSCZWTSSP</v>
      </c>
    </row>
    <row r="2053">
      <c r="A2053" s="2" t="str">
        <f>IFERROR(__xludf.DUMMYFUNCTION("IF('From Order'!$A2053=COLUMNS($A2053:A2072), LEFT(INDEX(FILTER(A$1:A2052, A$1:A2052&lt;&gt;""""),COUNTA(FILTER(A$1:A2052, A$1:A2052&lt;&gt;""""))), LEN(INDEX(FILTER(A$1:A2052, A$1:A2052&lt;&gt;""""),COUNTA(FILTER(A$1:A2052, A$1:A2052&lt;&gt;""""))))-1), IF('To Order'!$A2053=COL"&amp;"UMNS($A2053:A2072), A2052&amp;RIGHT(INDIRECT(ADDRESS(ROW(A2053)-1, 'From Order'!$A2053)), 1), A2052))"),"DSPBFLLWDDVQ")</f>
        <v>DSPBFLLWDDVQ</v>
      </c>
      <c r="B2053" s="2" t="str">
        <f>IFERROR(__xludf.DUMMYFUNCTION("IF('From Order'!$A2053=COLUMNS($A2053:B2072), LEFT(INDEX(FILTER(B$1:B2052, B$1:B2052&lt;&gt;""""),COUNTA(FILTER(B$1:B2052, B$1:B2052&lt;&gt;""""))), LEN(INDEX(FILTER(B$1:B2052, B$1:B2052&lt;&gt;""""),COUNTA(FILTER(B$1:B2052, B$1:B2052&lt;&gt;""""))))-1), IF('To Order'!$A2053=COL"&amp;"UMNS($A2053:B2072), B2052&amp;RIGHT(INDIRECT(ADDRESS(ROW(B2053)-1, 'From Order'!$A2053)), 1), B2052))"),"JDP")</f>
        <v>JDP</v>
      </c>
      <c r="C2053" s="2" t="str">
        <f>IFERROR(__xludf.DUMMYFUNCTION("IF('From Order'!$A2053=COLUMNS($A2053:C2072), LEFT(INDEX(FILTER(C$1:C2052, C$1:C2052&lt;&gt;""""),COUNTA(FILTER(C$1:C2052, C$1:C2052&lt;&gt;""""))), LEN(INDEX(FILTER(C$1:C2052, C$1:C2052&lt;&gt;""""),COUNTA(FILTER(C$1:C2052, C$1:C2052&lt;&gt;""""))))-1), IF('To Order'!$A2053=COL"&amp;"UMNS($A2053:C2072), C2052&amp;RIGHT(INDIRECT(ADDRESS(ROW(C2053)-1, 'From Order'!$A2053)), 1), C2052))"),"V")</f>
        <v>V</v>
      </c>
      <c r="D2053" s="2" t="str">
        <f>IFERROR(__xludf.DUMMYFUNCTION("IF('From Order'!$A2053=COLUMNS($A2053:D2072), LEFT(INDEX(FILTER(D$1:D2052, D$1:D2052&lt;&gt;""""),COUNTA(FILTER(D$1:D2052, D$1:D2052&lt;&gt;""""))), LEN(INDEX(FILTER(D$1:D2052, D$1:D2052&lt;&gt;""""),COUNTA(FILTER(D$1:D2052, D$1:D2052&lt;&gt;""""))))-1), IF('To Order'!$A2053=COL"&amp;"UMNS($A2053:D2072), D2052&amp;RIGHT(INDIRECT(ADDRESS(ROW(D2053)-1, 'From Order'!$A2053)), 1), D2052))"),"RBJCL")</f>
        <v>RBJCL</v>
      </c>
      <c r="E2053" s="2" t="str">
        <f>IFERROR(__xludf.DUMMYFUNCTION("IF('From Order'!$A2053=COLUMNS($A2053:E2072), LEFT(INDEX(FILTER(E$1:E2052, E$1:E2052&lt;&gt;""""),COUNTA(FILTER(E$1:E2052, E$1:E2052&lt;&gt;""""))), LEN(INDEX(FILTER(E$1:E2052, E$1:E2052&lt;&gt;""""),COUNTA(FILTER(E$1:E2052, E$1:E2052&lt;&gt;""""))))-1), IF('To Order'!$A2053=COL"&amp;"UMNS($A2053:E2072), E2052&amp;RIGHT(INDIRECT(ADDRESS(ROW(E2053)-1, 'From Order'!$A2053)), 1), E2052))"),"")</f>
        <v/>
      </c>
      <c r="F2053" s="2" t="str">
        <f>IFERROR(__xludf.DUMMYFUNCTION("IF('From Order'!$A2053=COLUMNS($A2053:F2072), LEFT(INDEX(FILTER(F$1:F2052, F$1:F2052&lt;&gt;""""),COUNTA(FILTER(F$1:F2052, F$1:F2052&lt;&gt;""""))), LEN(INDEX(FILTER(F$1:F2052, F$1:F2052&lt;&gt;""""),COUNTA(FILTER(F$1:F2052, F$1:F2052&lt;&gt;""""))))-1), IF('To Order'!$A2053=COL"&amp;"UMNS($A2053:F2072), F2052&amp;RIGHT(INDIRECT(ADDRESS(ROW(F2053)-1, 'From Order'!$A2053)), 1), F2052))"),"")</f>
        <v/>
      </c>
      <c r="G2053" s="2" t="str">
        <f>IFERROR(__xludf.DUMMYFUNCTION("IF('From Order'!$A2053=COLUMNS($A2053:G2072), LEFT(INDEX(FILTER(G$1:G2052, G$1:G2052&lt;&gt;""""),COUNTA(FILTER(G$1:G2052, G$1:G2052&lt;&gt;""""))), LEN(INDEX(FILTER(G$1:G2052, G$1:G2052&lt;&gt;""""),COUNTA(FILTER(G$1:G2052, G$1:G2052&lt;&gt;""""))))-1), IF('To Order'!$A2053=COL"&amp;"UMNS($A2053:G2072), G2052&amp;RIGHT(INDIRECT(ADDRESS(ROW(G2053)-1, 'From Order'!$A2053)), 1), G2052))"),"GP")</f>
        <v>GP</v>
      </c>
      <c r="H2053" s="2" t="str">
        <f>IFERROR(__xludf.DUMMYFUNCTION("IF('From Order'!$A2053=COLUMNS($A2053:H2072), LEFT(INDEX(FILTER(H$1:H2052, H$1:H2052&lt;&gt;""""),COUNTA(FILTER(H$1:H2052, H$1:H2052&lt;&gt;""""))), LEN(INDEX(FILTER(H$1:H2052, H$1:H2052&lt;&gt;""""),COUNTA(FILTER(H$1:H2052, H$1:H2052&lt;&gt;""""))))-1), IF('To Order'!$A2053=COL"&amp;"UMNS($A2053:H2072), H2052&amp;RIGHT(INDIRECT(ADDRESS(ROW(H2053)-1, 'From Order'!$A2053)), 1), H2052))"),"QTRR")</f>
        <v>QTRR</v>
      </c>
      <c r="I2053" s="2" t="str">
        <f>IFERROR(__xludf.DUMMYFUNCTION("IF('From Order'!$A2053=COLUMNS($A2053:I2072), LEFT(INDEX(FILTER(I$1:I2052, I$1:I2052&lt;&gt;""""),COUNTA(FILTER(I$1:I2052, I$1:I2052&lt;&gt;""""))), LEN(INDEX(FILTER(I$1:I2052, I$1:I2052&lt;&gt;""""),COUNTA(FILTER(I$1:I2052, I$1:I2052&lt;&gt;""""))))-1), IF('To Order'!$A2053=COL"&amp;"UMNS($A2053:I2072), I2052&amp;RIGHT(INDIRECT(ADDRESS(ROW(I2053)-1, 'From Order'!$A2053)), 1), I2052))"),"DTCTMZHZDMTTGMJRRVBBHFSCZWTSS")</f>
        <v>DTCTMZHZDMTTGMJRRVBBHFSCZWTSS</v>
      </c>
    </row>
    <row r="2054">
      <c r="A2054" s="2" t="str">
        <f>IFERROR(__xludf.DUMMYFUNCTION("IF('From Order'!$A2054=COLUMNS($A2054:A2073), LEFT(INDEX(FILTER(A$1:A2053, A$1:A2053&lt;&gt;""""),COUNTA(FILTER(A$1:A2053, A$1:A2053&lt;&gt;""""))), LEN(INDEX(FILTER(A$1:A2053, A$1:A2053&lt;&gt;""""),COUNTA(FILTER(A$1:A2053, A$1:A2053&lt;&gt;""""))))-1), IF('To Order'!$A2054=COL"&amp;"UMNS($A2054:A2073), A2053&amp;RIGHT(INDIRECT(ADDRESS(ROW(A2054)-1, 'From Order'!$A2054)), 1), A2053))"),"DSPBFLLWDDVQ")</f>
        <v>DSPBFLLWDDVQ</v>
      </c>
      <c r="B2054" s="2" t="str">
        <f>IFERROR(__xludf.DUMMYFUNCTION("IF('From Order'!$A2054=COLUMNS($A2054:B2073), LEFT(INDEX(FILTER(B$1:B2053, B$1:B2053&lt;&gt;""""),COUNTA(FILTER(B$1:B2053, B$1:B2053&lt;&gt;""""))), LEN(INDEX(FILTER(B$1:B2053, B$1:B2053&lt;&gt;""""),COUNTA(FILTER(B$1:B2053, B$1:B2053&lt;&gt;""""))))-1), IF('To Order'!$A2054=COL"&amp;"UMNS($A2054:B2073), B2053&amp;RIGHT(INDIRECT(ADDRESS(ROW(B2054)-1, 'From Order'!$A2054)), 1), B2053))"),"JDPS")</f>
        <v>JDPS</v>
      </c>
      <c r="C2054" s="2" t="str">
        <f>IFERROR(__xludf.DUMMYFUNCTION("IF('From Order'!$A2054=COLUMNS($A2054:C2073), LEFT(INDEX(FILTER(C$1:C2053, C$1:C2053&lt;&gt;""""),COUNTA(FILTER(C$1:C2053, C$1:C2053&lt;&gt;""""))), LEN(INDEX(FILTER(C$1:C2053, C$1:C2053&lt;&gt;""""),COUNTA(FILTER(C$1:C2053, C$1:C2053&lt;&gt;""""))))-1), IF('To Order'!$A2054=COL"&amp;"UMNS($A2054:C2073), C2053&amp;RIGHT(INDIRECT(ADDRESS(ROW(C2054)-1, 'From Order'!$A2054)), 1), C2053))"),"V")</f>
        <v>V</v>
      </c>
      <c r="D2054" s="2" t="str">
        <f>IFERROR(__xludf.DUMMYFUNCTION("IF('From Order'!$A2054=COLUMNS($A2054:D2073), LEFT(INDEX(FILTER(D$1:D2053, D$1:D2053&lt;&gt;""""),COUNTA(FILTER(D$1:D2053, D$1:D2053&lt;&gt;""""))), LEN(INDEX(FILTER(D$1:D2053, D$1:D2053&lt;&gt;""""),COUNTA(FILTER(D$1:D2053, D$1:D2053&lt;&gt;""""))))-1), IF('To Order'!$A2054=COL"&amp;"UMNS($A2054:D2073), D2053&amp;RIGHT(INDIRECT(ADDRESS(ROW(D2054)-1, 'From Order'!$A2054)), 1), D2053))"),"RBJCL")</f>
        <v>RBJCL</v>
      </c>
      <c r="E2054" s="2" t="str">
        <f>IFERROR(__xludf.DUMMYFUNCTION("IF('From Order'!$A2054=COLUMNS($A2054:E2073), LEFT(INDEX(FILTER(E$1:E2053, E$1:E2053&lt;&gt;""""),COUNTA(FILTER(E$1:E2053, E$1:E2053&lt;&gt;""""))), LEN(INDEX(FILTER(E$1:E2053, E$1:E2053&lt;&gt;""""),COUNTA(FILTER(E$1:E2053, E$1:E2053&lt;&gt;""""))))-1), IF('To Order'!$A2054=COL"&amp;"UMNS($A2054:E2073), E2053&amp;RIGHT(INDIRECT(ADDRESS(ROW(E2054)-1, 'From Order'!$A2054)), 1), E2053))"),"")</f>
        <v/>
      </c>
      <c r="F2054" s="2" t="str">
        <f>IFERROR(__xludf.DUMMYFUNCTION("IF('From Order'!$A2054=COLUMNS($A2054:F2073), LEFT(INDEX(FILTER(F$1:F2053, F$1:F2053&lt;&gt;""""),COUNTA(FILTER(F$1:F2053, F$1:F2053&lt;&gt;""""))), LEN(INDEX(FILTER(F$1:F2053, F$1:F2053&lt;&gt;""""),COUNTA(FILTER(F$1:F2053, F$1:F2053&lt;&gt;""""))))-1), IF('To Order'!$A2054=COL"&amp;"UMNS($A2054:F2073), F2053&amp;RIGHT(INDIRECT(ADDRESS(ROW(F2054)-1, 'From Order'!$A2054)), 1), F2053))"),"")</f>
        <v/>
      </c>
      <c r="G2054" s="2" t="str">
        <f>IFERROR(__xludf.DUMMYFUNCTION("IF('From Order'!$A2054=COLUMNS($A2054:G2073), LEFT(INDEX(FILTER(G$1:G2053, G$1:G2053&lt;&gt;""""),COUNTA(FILTER(G$1:G2053, G$1:G2053&lt;&gt;""""))), LEN(INDEX(FILTER(G$1:G2053, G$1:G2053&lt;&gt;""""),COUNTA(FILTER(G$1:G2053, G$1:G2053&lt;&gt;""""))))-1), IF('To Order'!$A2054=COL"&amp;"UMNS($A2054:G2073), G2053&amp;RIGHT(INDIRECT(ADDRESS(ROW(G2054)-1, 'From Order'!$A2054)), 1), G2053))"),"GP")</f>
        <v>GP</v>
      </c>
      <c r="H2054" s="2" t="str">
        <f>IFERROR(__xludf.DUMMYFUNCTION("IF('From Order'!$A2054=COLUMNS($A2054:H2073), LEFT(INDEX(FILTER(H$1:H2053, H$1:H2053&lt;&gt;""""),COUNTA(FILTER(H$1:H2053, H$1:H2053&lt;&gt;""""))), LEN(INDEX(FILTER(H$1:H2053, H$1:H2053&lt;&gt;""""),COUNTA(FILTER(H$1:H2053, H$1:H2053&lt;&gt;""""))))-1), IF('To Order'!$A2054=COL"&amp;"UMNS($A2054:H2073), H2053&amp;RIGHT(INDIRECT(ADDRESS(ROW(H2054)-1, 'From Order'!$A2054)), 1), H2053))"),"QTRR")</f>
        <v>QTRR</v>
      </c>
      <c r="I2054" s="2" t="str">
        <f>IFERROR(__xludf.DUMMYFUNCTION("IF('From Order'!$A2054=COLUMNS($A2054:I2073), LEFT(INDEX(FILTER(I$1:I2053, I$1:I2053&lt;&gt;""""),COUNTA(FILTER(I$1:I2053, I$1:I2053&lt;&gt;""""))), LEN(INDEX(FILTER(I$1:I2053, I$1:I2053&lt;&gt;""""),COUNTA(FILTER(I$1:I2053, I$1:I2053&lt;&gt;""""))))-1), IF('To Order'!$A2054=COL"&amp;"UMNS($A2054:I2073), I2053&amp;RIGHT(INDIRECT(ADDRESS(ROW(I2054)-1, 'From Order'!$A2054)), 1), I2053))"),"DTCTMZHZDMTTGMJRRVBBHFSCZWTS")</f>
        <v>DTCTMZHZDMTTGMJRRVBBHFSCZWTS</v>
      </c>
    </row>
    <row r="2055">
      <c r="A2055" s="2" t="str">
        <f>IFERROR(__xludf.DUMMYFUNCTION("IF('From Order'!$A2055=COLUMNS($A2055:A2074), LEFT(INDEX(FILTER(A$1:A2054, A$1:A2054&lt;&gt;""""),COUNTA(FILTER(A$1:A2054, A$1:A2054&lt;&gt;""""))), LEN(INDEX(FILTER(A$1:A2054, A$1:A2054&lt;&gt;""""),COUNTA(FILTER(A$1:A2054, A$1:A2054&lt;&gt;""""))))-1), IF('To Order'!$A2055=COL"&amp;"UMNS($A2055:A2074), A2054&amp;RIGHT(INDIRECT(ADDRESS(ROW(A2055)-1, 'From Order'!$A2055)), 1), A2054))"),"DSPBFLLWDDVQ")</f>
        <v>DSPBFLLWDDVQ</v>
      </c>
      <c r="B2055" s="2" t="str">
        <f>IFERROR(__xludf.DUMMYFUNCTION("IF('From Order'!$A2055=COLUMNS($A2055:B2074), LEFT(INDEX(FILTER(B$1:B2054, B$1:B2054&lt;&gt;""""),COUNTA(FILTER(B$1:B2054, B$1:B2054&lt;&gt;""""))), LEN(INDEX(FILTER(B$1:B2054, B$1:B2054&lt;&gt;""""),COUNTA(FILTER(B$1:B2054, B$1:B2054&lt;&gt;""""))))-1), IF('To Order'!$A2055=COL"&amp;"UMNS($A2055:B2074), B2054&amp;RIGHT(INDIRECT(ADDRESS(ROW(B2055)-1, 'From Order'!$A2055)), 1), B2054))"),"JDPSS")</f>
        <v>JDPSS</v>
      </c>
      <c r="C2055" s="2" t="str">
        <f>IFERROR(__xludf.DUMMYFUNCTION("IF('From Order'!$A2055=COLUMNS($A2055:C2074), LEFT(INDEX(FILTER(C$1:C2054, C$1:C2054&lt;&gt;""""),COUNTA(FILTER(C$1:C2054, C$1:C2054&lt;&gt;""""))), LEN(INDEX(FILTER(C$1:C2054, C$1:C2054&lt;&gt;""""),COUNTA(FILTER(C$1:C2054, C$1:C2054&lt;&gt;""""))))-1), IF('To Order'!$A2055=COL"&amp;"UMNS($A2055:C2074), C2054&amp;RIGHT(INDIRECT(ADDRESS(ROW(C2055)-1, 'From Order'!$A2055)), 1), C2054))"),"V")</f>
        <v>V</v>
      </c>
      <c r="D2055" s="2" t="str">
        <f>IFERROR(__xludf.DUMMYFUNCTION("IF('From Order'!$A2055=COLUMNS($A2055:D2074), LEFT(INDEX(FILTER(D$1:D2054, D$1:D2054&lt;&gt;""""),COUNTA(FILTER(D$1:D2054, D$1:D2054&lt;&gt;""""))), LEN(INDEX(FILTER(D$1:D2054, D$1:D2054&lt;&gt;""""),COUNTA(FILTER(D$1:D2054, D$1:D2054&lt;&gt;""""))))-1), IF('To Order'!$A2055=COL"&amp;"UMNS($A2055:D2074), D2054&amp;RIGHT(INDIRECT(ADDRESS(ROW(D2055)-1, 'From Order'!$A2055)), 1), D2054))"),"RBJCL")</f>
        <v>RBJCL</v>
      </c>
      <c r="E2055" s="2" t="str">
        <f>IFERROR(__xludf.DUMMYFUNCTION("IF('From Order'!$A2055=COLUMNS($A2055:E2074), LEFT(INDEX(FILTER(E$1:E2054, E$1:E2054&lt;&gt;""""),COUNTA(FILTER(E$1:E2054, E$1:E2054&lt;&gt;""""))), LEN(INDEX(FILTER(E$1:E2054, E$1:E2054&lt;&gt;""""),COUNTA(FILTER(E$1:E2054, E$1:E2054&lt;&gt;""""))))-1), IF('To Order'!$A2055=COL"&amp;"UMNS($A2055:E2074), E2054&amp;RIGHT(INDIRECT(ADDRESS(ROW(E2055)-1, 'From Order'!$A2055)), 1), E2054))"),"")</f>
        <v/>
      </c>
      <c r="F2055" s="2" t="str">
        <f>IFERROR(__xludf.DUMMYFUNCTION("IF('From Order'!$A2055=COLUMNS($A2055:F2074), LEFT(INDEX(FILTER(F$1:F2054, F$1:F2054&lt;&gt;""""),COUNTA(FILTER(F$1:F2054, F$1:F2054&lt;&gt;""""))), LEN(INDEX(FILTER(F$1:F2054, F$1:F2054&lt;&gt;""""),COUNTA(FILTER(F$1:F2054, F$1:F2054&lt;&gt;""""))))-1), IF('To Order'!$A2055=COL"&amp;"UMNS($A2055:F2074), F2054&amp;RIGHT(INDIRECT(ADDRESS(ROW(F2055)-1, 'From Order'!$A2055)), 1), F2054))"),"")</f>
        <v/>
      </c>
      <c r="G2055" s="2" t="str">
        <f>IFERROR(__xludf.DUMMYFUNCTION("IF('From Order'!$A2055=COLUMNS($A2055:G2074), LEFT(INDEX(FILTER(G$1:G2054, G$1:G2054&lt;&gt;""""),COUNTA(FILTER(G$1:G2054, G$1:G2054&lt;&gt;""""))), LEN(INDEX(FILTER(G$1:G2054, G$1:G2054&lt;&gt;""""),COUNTA(FILTER(G$1:G2054, G$1:G2054&lt;&gt;""""))))-1), IF('To Order'!$A2055=COL"&amp;"UMNS($A2055:G2074), G2054&amp;RIGHT(INDIRECT(ADDRESS(ROW(G2055)-1, 'From Order'!$A2055)), 1), G2054))"),"GP")</f>
        <v>GP</v>
      </c>
      <c r="H2055" s="2" t="str">
        <f>IFERROR(__xludf.DUMMYFUNCTION("IF('From Order'!$A2055=COLUMNS($A2055:H2074), LEFT(INDEX(FILTER(H$1:H2054, H$1:H2054&lt;&gt;""""),COUNTA(FILTER(H$1:H2054, H$1:H2054&lt;&gt;""""))), LEN(INDEX(FILTER(H$1:H2054, H$1:H2054&lt;&gt;""""),COUNTA(FILTER(H$1:H2054, H$1:H2054&lt;&gt;""""))))-1), IF('To Order'!$A2055=COL"&amp;"UMNS($A2055:H2074), H2054&amp;RIGHT(INDIRECT(ADDRESS(ROW(H2055)-1, 'From Order'!$A2055)), 1), H2054))"),"QTRR")</f>
        <v>QTRR</v>
      </c>
      <c r="I2055" s="2" t="str">
        <f>IFERROR(__xludf.DUMMYFUNCTION("IF('From Order'!$A2055=COLUMNS($A2055:I2074), LEFT(INDEX(FILTER(I$1:I2054, I$1:I2054&lt;&gt;""""),COUNTA(FILTER(I$1:I2054, I$1:I2054&lt;&gt;""""))), LEN(INDEX(FILTER(I$1:I2054, I$1:I2054&lt;&gt;""""),COUNTA(FILTER(I$1:I2054, I$1:I2054&lt;&gt;""""))))-1), IF('To Order'!$A2055=COL"&amp;"UMNS($A2055:I2074), I2054&amp;RIGHT(INDIRECT(ADDRESS(ROW(I2055)-1, 'From Order'!$A2055)), 1), I2054))"),"DTCTMZHZDMTTGMJRRVBBHFSCZWT")</f>
        <v>DTCTMZHZDMTTGMJRRVBBHFSCZWT</v>
      </c>
    </row>
    <row r="2056">
      <c r="A2056" s="2" t="str">
        <f>IFERROR(__xludf.DUMMYFUNCTION("IF('From Order'!$A2056=COLUMNS($A2056:A2075), LEFT(INDEX(FILTER(A$1:A2055, A$1:A2055&lt;&gt;""""),COUNTA(FILTER(A$1:A2055, A$1:A2055&lt;&gt;""""))), LEN(INDEX(FILTER(A$1:A2055, A$1:A2055&lt;&gt;""""),COUNTA(FILTER(A$1:A2055, A$1:A2055&lt;&gt;""""))))-1), IF('To Order'!$A2056=COL"&amp;"UMNS($A2056:A2075), A2055&amp;RIGHT(INDIRECT(ADDRESS(ROW(A2056)-1, 'From Order'!$A2056)), 1), A2055))"),"DSPBFLLWDDVQ")</f>
        <v>DSPBFLLWDDVQ</v>
      </c>
      <c r="B2056" s="2" t="str">
        <f>IFERROR(__xludf.DUMMYFUNCTION("IF('From Order'!$A2056=COLUMNS($A2056:B2075), LEFT(INDEX(FILTER(B$1:B2055, B$1:B2055&lt;&gt;""""),COUNTA(FILTER(B$1:B2055, B$1:B2055&lt;&gt;""""))), LEN(INDEX(FILTER(B$1:B2055, B$1:B2055&lt;&gt;""""),COUNTA(FILTER(B$1:B2055, B$1:B2055&lt;&gt;""""))))-1), IF('To Order'!$A2056=COL"&amp;"UMNS($A2056:B2075), B2055&amp;RIGHT(INDIRECT(ADDRESS(ROW(B2056)-1, 'From Order'!$A2056)), 1), B2055))"),"JDPSST")</f>
        <v>JDPSST</v>
      </c>
      <c r="C2056" s="2" t="str">
        <f>IFERROR(__xludf.DUMMYFUNCTION("IF('From Order'!$A2056=COLUMNS($A2056:C2075), LEFT(INDEX(FILTER(C$1:C2055, C$1:C2055&lt;&gt;""""),COUNTA(FILTER(C$1:C2055, C$1:C2055&lt;&gt;""""))), LEN(INDEX(FILTER(C$1:C2055, C$1:C2055&lt;&gt;""""),COUNTA(FILTER(C$1:C2055, C$1:C2055&lt;&gt;""""))))-1), IF('To Order'!$A2056=COL"&amp;"UMNS($A2056:C2075), C2055&amp;RIGHT(INDIRECT(ADDRESS(ROW(C2056)-1, 'From Order'!$A2056)), 1), C2055))"),"V")</f>
        <v>V</v>
      </c>
      <c r="D2056" s="2" t="str">
        <f>IFERROR(__xludf.DUMMYFUNCTION("IF('From Order'!$A2056=COLUMNS($A2056:D2075), LEFT(INDEX(FILTER(D$1:D2055, D$1:D2055&lt;&gt;""""),COUNTA(FILTER(D$1:D2055, D$1:D2055&lt;&gt;""""))), LEN(INDEX(FILTER(D$1:D2055, D$1:D2055&lt;&gt;""""),COUNTA(FILTER(D$1:D2055, D$1:D2055&lt;&gt;""""))))-1), IF('To Order'!$A2056=COL"&amp;"UMNS($A2056:D2075), D2055&amp;RIGHT(INDIRECT(ADDRESS(ROW(D2056)-1, 'From Order'!$A2056)), 1), D2055))"),"RBJCL")</f>
        <v>RBJCL</v>
      </c>
      <c r="E2056" s="2" t="str">
        <f>IFERROR(__xludf.DUMMYFUNCTION("IF('From Order'!$A2056=COLUMNS($A2056:E2075), LEFT(INDEX(FILTER(E$1:E2055, E$1:E2055&lt;&gt;""""),COUNTA(FILTER(E$1:E2055, E$1:E2055&lt;&gt;""""))), LEN(INDEX(FILTER(E$1:E2055, E$1:E2055&lt;&gt;""""),COUNTA(FILTER(E$1:E2055, E$1:E2055&lt;&gt;""""))))-1), IF('To Order'!$A2056=COL"&amp;"UMNS($A2056:E2075), E2055&amp;RIGHT(INDIRECT(ADDRESS(ROW(E2056)-1, 'From Order'!$A2056)), 1), E2055))"),"")</f>
        <v/>
      </c>
      <c r="F2056" s="2" t="str">
        <f>IFERROR(__xludf.DUMMYFUNCTION("IF('From Order'!$A2056=COLUMNS($A2056:F2075), LEFT(INDEX(FILTER(F$1:F2055, F$1:F2055&lt;&gt;""""),COUNTA(FILTER(F$1:F2055, F$1:F2055&lt;&gt;""""))), LEN(INDEX(FILTER(F$1:F2055, F$1:F2055&lt;&gt;""""),COUNTA(FILTER(F$1:F2055, F$1:F2055&lt;&gt;""""))))-1), IF('To Order'!$A2056=COL"&amp;"UMNS($A2056:F2075), F2055&amp;RIGHT(INDIRECT(ADDRESS(ROW(F2056)-1, 'From Order'!$A2056)), 1), F2055))"),"")</f>
        <v/>
      </c>
      <c r="G2056" s="2" t="str">
        <f>IFERROR(__xludf.DUMMYFUNCTION("IF('From Order'!$A2056=COLUMNS($A2056:G2075), LEFT(INDEX(FILTER(G$1:G2055, G$1:G2055&lt;&gt;""""),COUNTA(FILTER(G$1:G2055, G$1:G2055&lt;&gt;""""))), LEN(INDEX(FILTER(G$1:G2055, G$1:G2055&lt;&gt;""""),COUNTA(FILTER(G$1:G2055, G$1:G2055&lt;&gt;""""))))-1), IF('To Order'!$A2056=COL"&amp;"UMNS($A2056:G2075), G2055&amp;RIGHT(INDIRECT(ADDRESS(ROW(G2056)-1, 'From Order'!$A2056)), 1), G2055))"),"GP")</f>
        <v>GP</v>
      </c>
      <c r="H2056" s="2" t="str">
        <f>IFERROR(__xludf.DUMMYFUNCTION("IF('From Order'!$A2056=COLUMNS($A2056:H2075), LEFT(INDEX(FILTER(H$1:H2055, H$1:H2055&lt;&gt;""""),COUNTA(FILTER(H$1:H2055, H$1:H2055&lt;&gt;""""))), LEN(INDEX(FILTER(H$1:H2055, H$1:H2055&lt;&gt;""""),COUNTA(FILTER(H$1:H2055, H$1:H2055&lt;&gt;""""))))-1), IF('To Order'!$A2056=COL"&amp;"UMNS($A2056:H2075), H2055&amp;RIGHT(INDIRECT(ADDRESS(ROW(H2056)-1, 'From Order'!$A2056)), 1), H2055))"),"QTRR")</f>
        <v>QTRR</v>
      </c>
      <c r="I2056" s="2" t="str">
        <f>IFERROR(__xludf.DUMMYFUNCTION("IF('From Order'!$A2056=COLUMNS($A2056:I2075), LEFT(INDEX(FILTER(I$1:I2055, I$1:I2055&lt;&gt;""""),COUNTA(FILTER(I$1:I2055, I$1:I2055&lt;&gt;""""))), LEN(INDEX(FILTER(I$1:I2055, I$1:I2055&lt;&gt;""""),COUNTA(FILTER(I$1:I2055, I$1:I2055&lt;&gt;""""))))-1), IF('To Order'!$A2056=COL"&amp;"UMNS($A2056:I2075), I2055&amp;RIGHT(INDIRECT(ADDRESS(ROW(I2056)-1, 'From Order'!$A2056)), 1), I2055))"),"DTCTMZHZDMTTGMJRRVBBHFSCZW")</f>
        <v>DTCTMZHZDMTTGMJRRVBBHFSCZW</v>
      </c>
    </row>
    <row r="2057">
      <c r="A2057" s="2" t="str">
        <f>IFERROR(__xludf.DUMMYFUNCTION("IF('From Order'!$A2057=COLUMNS($A2057:A2076), LEFT(INDEX(FILTER(A$1:A2056, A$1:A2056&lt;&gt;""""),COUNTA(FILTER(A$1:A2056, A$1:A2056&lt;&gt;""""))), LEN(INDEX(FILTER(A$1:A2056, A$1:A2056&lt;&gt;""""),COUNTA(FILTER(A$1:A2056, A$1:A2056&lt;&gt;""""))))-1), IF('To Order'!$A2057=COL"&amp;"UMNS($A2057:A2076), A2056&amp;RIGHT(INDIRECT(ADDRESS(ROW(A2057)-1, 'From Order'!$A2057)), 1), A2056))"),"DSPBFLLWDDVQ")</f>
        <v>DSPBFLLWDDVQ</v>
      </c>
      <c r="B2057" s="2" t="str">
        <f>IFERROR(__xludf.DUMMYFUNCTION("IF('From Order'!$A2057=COLUMNS($A2057:B2076), LEFT(INDEX(FILTER(B$1:B2056, B$1:B2056&lt;&gt;""""),COUNTA(FILTER(B$1:B2056, B$1:B2056&lt;&gt;""""))), LEN(INDEX(FILTER(B$1:B2056, B$1:B2056&lt;&gt;""""),COUNTA(FILTER(B$1:B2056, B$1:B2056&lt;&gt;""""))))-1), IF('To Order'!$A2057=COL"&amp;"UMNS($A2057:B2076), B2056&amp;RIGHT(INDIRECT(ADDRESS(ROW(B2057)-1, 'From Order'!$A2057)), 1), B2056))"),"JDPSSTW")</f>
        <v>JDPSSTW</v>
      </c>
      <c r="C2057" s="2" t="str">
        <f>IFERROR(__xludf.DUMMYFUNCTION("IF('From Order'!$A2057=COLUMNS($A2057:C2076), LEFT(INDEX(FILTER(C$1:C2056, C$1:C2056&lt;&gt;""""),COUNTA(FILTER(C$1:C2056, C$1:C2056&lt;&gt;""""))), LEN(INDEX(FILTER(C$1:C2056, C$1:C2056&lt;&gt;""""),COUNTA(FILTER(C$1:C2056, C$1:C2056&lt;&gt;""""))))-1), IF('To Order'!$A2057=COL"&amp;"UMNS($A2057:C2076), C2056&amp;RIGHT(INDIRECT(ADDRESS(ROW(C2057)-1, 'From Order'!$A2057)), 1), C2056))"),"V")</f>
        <v>V</v>
      </c>
      <c r="D2057" s="2" t="str">
        <f>IFERROR(__xludf.DUMMYFUNCTION("IF('From Order'!$A2057=COLUMNS($A2057:D2076), LEFT(INDEX(FILTER(D$1:D2056, D$1:D2056&lt;&gt;""""),COUNTA(FILTER(D$1:D2056, D$1:D2056&lt;&gt;""""))), LEN(INDEX(FILTER(D$1:D2056, D$1:D2056&lt;&gt;""""),COUNTA(FILTER(D$1:D2056, D$1:D2056&lt;&gt;""""))))-1), IF('To Order'!$A2057=COL"&amp;"UMNS($A2057:D2076), D2056&amp;RIGHT(INDIRECT(ADDRESS(ROW(D2057)-1, 'From Order'!$A2057)), 1), D2056))"),"RBJCL")</f>
        <v>RBJCL</v>
      </c>
      <c r="E2057" s="2" t="str">
        <f>IFERROR(__xludf.DUMMYFUNCTION("IF('From Order'!$A2057=COLUMNS($A2057:E2076), LEFT(INDEX(FILTER(E$1:E2056, E$1:E2056&lt;&gt;""""),COUNTA(FILTER(E$1:E2056, E$1:E2056&lt;&gt;""""))), LEN(INDEX(FILTER(E$1:E2056, E$1:E2056&lt;&gt;""""),COUNTA(FILTER(E$1:E2056, E$1:E2056&lt;&gt;""""))))-1), IF('To Order'!$A2057=COL"&amp;"UMNS($A2057:E2076), E2056&amp;RIGHT(INDIRECT(ADDRESS(ROW(E2057)-1, 'From Order'!$A2057)), 1), E2056))"),"")</f>
        <v/>
      </c>
      <c r="F2057" s="2" t="str">
        <f>IFERROR(__xludf.DUMMYFUNCTION("IF('From Order'!$A2057=COLUMNS($A2057:F2076), LEFT(INDEX(FILTER(F$1:F2056, F$1:F2056&lt;&gt;""""),COUNTA(FILTER(F$1:F2056, F$1:F2056&lt;&gt;""""))), LEN(INDEX(FILTER(F$1:F2056, F$1:F2056&lt;&gt;""""),COUNTA(FILTER(F$1:F2056, F$1:F2056&lt;&gt;""""))))-1), IF('To Order'!$A2057=COL"&amp;"UMNS($A2057:F2076), F2056&amp;RIGHT(INDIRECT(ADDRESS(ROW(F2057)-1, 'From Order'!$A2057)), 1), F2056))"),"")</f>
        <v/>
      </c>
      <c r="G2057" s="2" t="str">
        <f>IFERROR(__xludf.DUMMYFUNCTION("IF('From Order'!$A2057=COLUMNS($A2057:G2076), LEFT(INDEX(FILTER(G$1:G2056, G$1:G2056&lt;&gt;""""),COUNTA(FILTER(G$1:G2056, G$1:G2056&lt;&gt;""""))), LEN(INDEX(FILTER(G$1:G2056, G$1:G2056&lt;&gt;""""),COUNTA(FILTER(G$1:G2056, G$1:G2056&lt;&gt;""""))))-1), IF('To Order'!$A2057=COL"&amp;"UMNS($A2057:G2076), G2056&amp;RIGHT(INDIRECT(ADDRESS(ROW(G2057)-1, 'From Order'!$A2057)), 1), G2056))"),"GP")</f>
        <v>GP</v>
      </c>
      <c r="H2057" s="2" t="str">
        <f>IFERROR(__xludf.DUMMYFUNCTION("IF('From Order'!$A2057=COLUMNS($A2057:H2076), LEFT(INDEX(FILTER(H$1:H2056, H$1:H2056&lt;&gt;""""),COUNTA(FILTER(H$1:H2056, H$1:H2056&lt;&gt;""""))), LEN(INDEX(FILTER(H$1:H2056, H$1:H2056&lt;&gt;""""),COUNTA(FILTER(H$1:H2056, H$1:H2056&lt;&gt;""""))))-1), IF('To Order'!$A2057=COL"&amp;"UMNS($A2057:H2076), H2056&amp;RIGHT(INDIRECT(ADDRESS(ROW(H2057)-1, 'From Order'!$A2057)), 1), H2056))"),"QTRR")</f>
        <v>QTRR</v>
      </c>
      <c r="I2057" s="2" t="str">
        <f>IFERROR(__xludf.DUMMYFUNCTION("IF('From Order'!$A2057=COLUMNS($A2057:I2076), LEFT(INDEX(FILTER(I$1:I2056, I$1:I2056&lt;&gt;""""),COUNTA(FILTER(I$1:I2056, I$1:I2056&lt;&gt;""""))), LEN(INDEX(FILTER(I$1:I2056, I$1:I2056&lt;&gt;""""),COUNTA(FILTER(I$1:I2056, I$1:I2056&lt;&gt;""""))))-1), IF('To Order'!$A2057=COL"&amp;"UMNS($A2057:I2076), I2056&amp;RIGHT(INDIRECT(ADDRESS(ROW(I2057)-1, 'From Order'!$A2057)), 1), I2056))"),"DTCTMZHZDMTTGMJRRVBBHFSCZ")</f>
        <v>DTCTMZHZDMTTGMJRRVBBHFSCZ</v>
      </c>
    </row>
    <row r="2058">
      <c r="A2058" s="2" t="str">
        <f>IFERROR(__xludf.DUMMYFUNCTION("IF('From Order'!$A2058=COLUMNS($A2058:A2077), LEFT(INDEX(FILTER(A$1:A2057, A$1:A2057&lt;&gt;""""),COUNTA(FILTER(A$1:A2057, A$1:A2057&lt;&gt;""""))), LEN(INDEX(FILTER(A$1:A2057, A$1:A2057&lt;&gt;""""),COUNTA(FILTER(A$1:A2057, A$1:A2057&lt;&gt;""""))))-1), IF('To Order'!$A2058=COL"&amp;"UMNS($A2058:A2077), A2057&amp;RIGHT(INDIRECT(ADDRESS(ROW(A2058)-1, 'From Order'!$A2058)), 1), A2057))"),"DSPBFLLWDDVQ")</f>
        <v>DSPBFLLWDDVQ</v>
      </c>
      <c r="B2058" s="2" t="str">
        <f>IFERROR(__xludf.DUMMYFUNCTION("IF('From Order'!$A2058=COLUMNS($A2058:B2077), LEFT(INDEX(FILTER(B$1:B2057, B$1:B2057&lt;&gt;""""),COUNTA(FILTER(B$1:B2057, B$1:B2057&lt;&gt;""""))), LEN(INDEX(FILTER(B$1:B2057, B$1:B2057&lt;&gt;""""),COUNTA(FILTER(B$1:B2057, B$1:B2057&lt;&gt;""""))))-1), IF('To Order'!$A2058=COL"&amp;"UMNS($A2058:B2077), B2057&amp;RIGHT(INDIRECT(ADDRESS(ROW(B2058)-1, 'From Order'!$A2058)), 1), B2057))"),"JDPSSTWZ")</f>
        <v>JDPSSTWZ</v>
      </c>
      <c r="C2058" s="2" t="str">
        <f>IFERROR(__xludf.DUMMYFUNCTION("IF('From Order'!$A2058=COLUMNS($A2058:C2077), LEFT(INDEX(FILTER(C$1:C2057, C$1:C2057&lt;&gt;""""),COUNTA(FILTER(C$1:C2057, C$1:C2057&lt;&gt;""""))), LEN(INDEX(FILTER(C$1:C2057, C$1:C2057&lt;&gt;""""),COUNTA(FILTER(C$1:C2057, C$1:C2057&lt;&gt;""""))))-1), IF('To Order'!$A2058=COL"&amp;"UMNS($A2058:C2077), C2057&amp;RIGHT(INDIRECT(ADDRESS(ROW(C2058)-1, 'From Order'!$A2058)), 1), C2057))"),"V")</f>
        <v>V</v>
      </c>
      <c r="D2058" s="2" t="str">
        <f>IFERROR(__xludf.DUMMYFUNCTION("IF('From Order'!$A2058=COLUMNS($A2058:D2077), LEFT(INDEX(FILTER(D$1:D2057, D$1:D2057&lt;&gt;""""),COUNTA(FILTER(D$1:D2057, D$1:D2057&lt;&gt;""""))), LEN(INDEX(FILTER(D$1:D2057, D$1:D2057&lt;&gt;""""),COUNTA(FILTER(D$1:D2057, D$1:D2057&lt;&gt;""""))))-1), IF('To Order'!$A2058=COL"&amp;"UMNS($A2058:D2077), D2057&amp;RIGHT(INDIRECT(ADDRESS(ROW(D2058)-1, 'From Order'!$A2058)), 1), D2057))"),"RBJCL")</f>
        <v>RBJCL</v>
      </c>
      <c r="E2058" s="2" t="str">
        <f>IFERROR(__xludf.DUMMYFUNCTION("IF('From Order'!$A2058=COLUMNS($A2058:E2077), LEFT(INDEX(FILTER(E$1:E2057, E$1:E2057&lt;&gt;""""),COUNTA(FILTER(E$1:E2057, E$1:E2057&lt;&gt;""""))), LEN(INDEX(FILTER(E$1:E2057, E$1:E2057&lt;&gt;""""),COUNTA(FILTER(E$1:E2057, E$1:E2057&lt;&gt;""""))))-1), IF('To Order'!$A2058=COL"&amp;"UMNS($A2058:E2077), E2057&amp;RIGHT(INDIRECT(ADDRESS(ROW(E2058)-1, 'From Order'!$A2058)), 1), E2057))"),"")</f>
        <v/>
      </c>
      <c r="F2058" s="2" t="str">
        <f>IFERROR(__xludf.DUMMYFUNCTION("IF('From Order'!$A2058=COLUMNS($A2058:F2077), LEFT(INDEX(FILTER(F$1:F2057, F$1:F2057&lt;&gt;""""),COUNTA(FILTER(F$1:F2057, F$1:F2057&lt;&gt;""""))), LEN(INDEX(FILTER(F$1:F2057, F$1:F2057&lt;&gt;""""),COUNTA(FILTER(F$1:F2057, F$1:F2057&lt;&gt;""""))))-1), IF('To Order'!$A2058=COL"&amp;"UMNS($A2058:F2077), F2057&amp;RIGHT(INDIRECT(ADDRESS(ROW(F2058)-1, 'From Order'!$A2058)), 1), F2057))"),"")</f>
        <v/>
      </c>
      <c r="G2058" s="2" t="str">
        <f>IFERROR(__xludf.DUMMYFUNCTION("IF('From Order'!$A2058=COLUMNS($A2058:G2077), LEFT(INDEX(FILTER(G$1:G2057, G$1:G2057&lt;&gt;""""),COUNTA(FILTER(G$1:G2057, G$1:G2057&lt;&gt;""""))), LEN(INDEX(FILTER(G$1:G2057, G$1:G2057&lt;&gt;""""),COUNTA(FILTER(G$1:G2057, G$1:G2057&lt;&gt;""""))))-1), IF('To Order'!$A2058=COL"&amp;"UMNS($A2058:G2077), G2057&amp;RIGHT(INDIRECT(ADDRESS(ROW(G2058)-1, 'From Order'!$A2058)), 1), G2057))"),"GP")</f>
        <v>GP</v>
      </c>
      <c r="H2058" s="2" t="str">
        <f>IFERROR(__xludf.DUMMYFUNCTION("IF('From Order'!$A2058=COLUMNS($A2058:H2077), LEFT(INDEX(FILTER(H$1:H2057, H$1:H2057&lt;&gt;""""),COUNTA(FILTER(H$1:H2057, H$1:H2057&lt;&gt;""""))), LEN(INDEX(FILTER(H$1:H2057, H$1:H2057&lt;&gt;""""),COUNTA(FILTER(H$1:H2057, H$1:H2057&lt;&gt;""""))))-1), IF('To Order'!$A2058=COL"&amp;"UMNS($A2058:H2077), H2057&amp;RIGHT(INDIRECT(ADDRESS(ROW(H2058)-1, 'From Order'!$A2058)), 1), H2057))"),"QTRR")</f>
        <v>QTRR</v>
      </c>
      <c r="I2058" s="2" t="str">
        <f>IFERROR(__xludf.DUMMYFUNCTION("IF('From Order'!$A2058=COLUMNS($A2058:I2077), LEFT(INDEX(FILTER(I$1:I2057, I$1:I2057&lt;&gt;""""),COUNTA(FILTER(I$1:I2057, I$1:I2057&lt;&gt;""""))), LEN(INDEX(FILTER(I$1:I2057, I$1:I2057&lt;&gt;""""),COUNTA(FILTER(I$1:I2057, I$1:I2057&lt;&gt;""""))))-1), IF('To Order'!$A2058=COL"&amp;"UMNS($A2058:I2077), I2057&amp;RIGHT(INDIRECT(ADDRESS(ROW(I2058)-1, 'From Order'!$A2058)), 1), I2057))"),"DTCTMZHZDMTTGMJRRVBBHFSC")</f>
        <v>DTCTMZHZDMTTGMJRRVBBHFSC</v>
      </c>
    </row>
    <row r="2059">
      <c r="A2059" s="2" t="str">
        <f>IFERROR(__xludf.DUMMYFUNCTION("IF('From Order'!$A2059=COLUMNS($A2059:A2078), LEFT(INDEX(FILTER(A$1:A2058, A$1:A2058&lt;&gt;""""),COUNTA(FILTER(A$1:A2058, A$1:A2058&lt;&gt;""""))), LEN(INDEX(FILTER(A$1:A2058, A$1:A2058&lt;&gt;""""),COUNTA(FILTER(A$1:A2058, A$1:A2058&lt;&gt;""""))))-1), IF('To Order'!$A2059=COL"&amp;"UMNS($A2059:A2078), A2058&amp;RIGHT(INDIRECT(ADDRESS(ROW(A2059)-1, 'From Order'!$A2059)), 1), A2058))"),"DSPBFLLWDDVQ")</f>
        <v>DSPBFLLWDDVQ</v>
      </c>
      <c r="B2059" s="2" t="str">
        <f>IFERROR(__xludf.DUMMYFUNCTION("IF('From Order'!$A2059=COLUMNS($A2059:B2078), LEFT(INDEX(FILTER(B$1:B2058, B$1:B2058&lt;&gt;""""),COUNTA(FILTER(B$1:B2058, B$1:B2058&lt;&gt;""""))), LEN(INDEX(FILTER(B$1:B2058, B$1:B2058&lt;&gt;""""),COUNTA(FILTER(B$1:B2058, B$1:B2058&lt;&gt;""""))))-1), IF('To Order'!$A2059=COL"&amp;"UMNS($A2059:B2078), B2058&amp;RIGHT(INDIRECT(ADDRESS(ROW(B2059)-1, 'From Order'!$A2059)), 1), B2058))"),"JDPSSTWZC")</f>
        <v>JDPSSTWZC</v>
      </c>
      <c r="C2059" s="2" t="str">
        <f>IFERROR(__xludf.DUMMYFUNCTION("IF('From Order'!$A2059=COLUMNS($A2059:C2078), LEFT(INDEX(FILTER(C$1:C2058, C$1:C2058&lt;&gt;""""),COUNTA(FILTER(C$1:C2058, C$1:C2058&lt;&gt;""""))), LEN(INDEX(FILTER(C$1:C2058, C$1:C2058&lt;&gt;""""),COUNTA(FILTER(C$1:C2058, C$1:C2058&lt;&gt;""""))))-1), IF('To Order'!$A2059=COL"&amp;"UMNS($A2059:C2078), C2058&amp;RIGHT(INDIRECT(ADDRESS(ROW(C2059)-1, 'From Order'!$A2059)), 1), C2058))"),"V")</f>
        <v>V</v>
      </c>
      <c r="D2059" s="2" t="str">
        <f>IFERROR(__xludf.DUMMYFUNCTION("IF('From Order'!$A2059=COLUMNS($A2059:D2078), LEFT(INDEX(FILTER(D$1:D2058, D$1:D2058&lt;&gt;""""),COUNTA(FILTER(D$1:D2058, D$1:D2058&lt;&gt;""""))), LEN(INDEX(FILTER(D$1:D2058, D$1:D2058&lt;&gt;""""),COUNTA(FILTER(D$1:D2058, D$1:D2058&lt;&gt;""""))))-1), IF('To Order'!$A2059=COL"&amp;"UMNS($A2059:D2078), D2058&amp;RIGHT(INDIRECT(ADDRESS(ROW(D2059)-1, 'From Order'!$A2059)), 1), D2058))"),"RBJCL")</f>
        <v>RBJCL</v>
      </c>
      <c r="E2059" s="2" t="str">
        <f>IFERROR(__xludf.DUMMYFUNCTION("IF('From Order'!$A2059=COLUMNS($A2059:E2078), LEFT(INDEX(FILTER(E$1:E2058, E$1:E2058&lt;&gt;""""),COUNTA(FILTER(E$1:E2058, E$1:E2058&lt;&gt;""""))), LEN(INDEX(FILTER(E$1:E2058, E$1:E2058&lt;&gt;""""),COUNTA(FILTER(E$1:E2058, E$1:E2058&lt;&gt;""""))))-1), IF('To Order'!$A2059=COL"&amp;"UMNS($A2059:E2078), E2058&amp;RIGHT(INDIRECT(ADDRESS(ROW(E2059)-1, 'From Order'!$A2059)), 1), E2058))"),"")</f>
        <v/>
      </c>
      <c r="F2059" s="2" t="str">
        <f>IFERROR(__xludf.DUMMYFUNCTION("IF('From Order'!$A2059=COLUMNS($A2059:F2078), LEFT(INDEX(FILTER(F$1:F2058, F$1:F2058&lt;&gt;""""),COUNTA(FILTER(F$1:F2058, F$1:F2058&lt;&gt;""""))), LEN(INDEX(FILTER(F$1:F2058, F$1:F2058&lt;&gt;""""),COUNTA(FILTER(F$1:F2058, F$1:F2058&lt;&gt;""""))))-1), IF('To Order'!$A2059=COL"&amp;"UMNS($A2059:F2078), F2058&amp;RIGHT(INDIRECT(ADDRESS(ROW(F2059)-1, 'From Order'!$A2059)), 1), F2058))"),"")</f>
        <v/>
      </c>
      <c r="G2059" s="2" t="str">
        <f>IFERROR(__xludf.DUMMYFUNCTION("IF('From Order'!$A2059=COLUMNS($A2059:G2078), LEFT(INDEX(FILTER(G$1:G2058, G$1:G2058&lt;&gt;""""),COUNTA(FILTER(G$1:G2058, G$1:G2058&lt;&gt;""""))), LEN(INDEX(FILTER(G$1:G2058, G$1:G2058&lt;&gt;""""),COUNTA(FILTER(G$1:G2058, G$1:G2058&lt;&gt;""""))))-1), IF('To Order'!$A2059=COL"&amp;"UMNS($A2059:G2078), G2058&amp;RIGHT(INDIRECT(ADDRESS(ROW(G2059)-1, 'From Order'!$A2059)), 1), G2058))"),"GP")</f>
        <v>GP</v>
      </c>
      <c r="H2059" s="2" t="str">
        <f>IFERROR(__xludf.DUMMYFUNCTION("IF('From Order'!$A2059=COLUMNS($A2059:H2078), LEFT(INDEX(FILTER(H$1:H2058, H$1:H2058&lt;&gt;""""),COUNTA(FILTER(H$1:H2058, H$1:H2058&lt;&gt;""""))), LEN(INDEX(FILTER(H$1:H2058, H$1:H2058&lt;&gt;""""),COUNTA(FILTER(H$1:H2058, H$1:H2058&lt;&gt;""""))))-1), IF('To Order'!$A2059=COL"&amp;"UMNS($A2059:H2078), H2058&amp;RIGHT(INDIRECT(ADDRESS(ROW(H2059)-1, 'From Order'!$A2059)), 1), H2058))"),"QTRR")</f>
        <v>QTRR</v>
      </c>
      <c r="I2059" s="2" t="str">
        <f>IFERROR(__xludf.DUMMYFUNCTION("IF('From Order'!$A2059=COLUMNS($A2059:I2078), LEFT(INDEX(FILTER(I$1:I2058, I$1:I2058&lt;&gt;""""),COUNTA(FILTER(I$1:I2058, I$1:I2058&lt;&gt;""""))), LEN(INDEX(FILTER(I$1:I2058, I$1:I2058&lt;&gt;""""),COUNTA(FILTER(I$1:I2058, I$1:I2058&lt;&gt;""""))))-1), IF('To Order'!$A2059=COL"&amp;"UMNS($A2059:I2078), I2058&amp;RIGHT(INDIRECT(ADDRESS(ROW(I2059)-1, 'From Order'!$A2059)), 1), I2058))"),"DTCTMZHZDMTTGMJRRVBBHFS")</f>
        <v>DTCTMZHZDMTTGMJRRVBBHFS</v>
      </c>
    </row>
    <row r="2060">
      <c r="A2060" s="2" t="str">
        <f>IFERROR(__xludf.DUMMYFUNCTION("IF('From Order'!$A2060=COLUMNS($A2060:A2079), LEFT(INDEX(FILTER(A$1:A2059, A$1:A2059&lt;&gt;""""),COUNTA(FILTER(A$1:A2059, A$1:A2059&lt;&gt;""""))), LEN(INDEX(FILTER(A$1:A2059, A$1:A2059&lt;&gt;""""),COUNTA(FILTER(A$1:A2059, A$1:A2059&lt;&gt;""""))))-1), IF('To Order'!$A2060=COL"&amp;"UMNS($A2060:A2079), A2059&amp;RIGHT(INDIRECT(ADDRESS(ROW(A2060)-1, 'From Order'!$A2060)), 1), A2059))"),"DSPBFLLWDDVQ")</f>
        <v>DSPBFLLWDDVQ</v>
      </c>
      <c r="B2060" s="2" t="str">
        <f>IFERROR(__xludf.DUMMYFUNCTION("IF('From Order'!$A2060=COLUMNS($A2060:B2079), LEFT(INDEX(FILTER(B$1:B2059, B$1:B2059&lt;&gt;""""),COUNTA(FILTER(B$1:B2059, B$1:B2059&lt;&gt;""""))), LEN(INDEX(FILTER(B$1:B2059, B$1:B2059&lt;&gt;""""),COUNTA(FILTER(B$1:B2059, B$1:B2059&lt;&gt;""""))))-1), IF('To Order'!$A2060=COL"&amp;"UMNS($A2060:B2079), B2059&amp;RIGHT(INDIRECT(ADDRESS(ROW(B2060)-1, 'From Order'!$A2060)), 1), B2059))"),"JDPSSTWZCS")</f>
        <v>JDPSSTWZCS</v>
      </c>
      <c r="C2060" s="2" t="str">
        <f>IFERROR(__xludf.DUMMYFUNCTION("IF('From Order'!$A2060=COLUMNS($A2060:C2079), LEFT(INDEX(FILTER(C$1:C2059, C$1:C2059&lt;&gt;""""),COUNTA(FILTER(C$1:C2059, C$1:C2059&lt;&gt;""""))), LEN(INDEX(FILTER(C$1:C2059, C$1:C2059&lt;&gt;""""),COUNTA(FILTER(C$1:C2059, C$1:C2059&lt;&gt;""""))))-1), IF('To Order'!$A2060=COL"&amp;"UMNS($A2060:C2079), C2059&amp;RIGHT(INDIRECT(ADDRESS(ROW(C2060)-1, 'From Order'!$A2060)), 1), C2059))"),"V")</f>
        <v>V</v>
      </c>
      <c r="D2060" s="2" t="str">
        <f>IFERROR(__xludf.DUMMYFUNCTION("IF('From Order'!$A2060=COLUMNS($A2060:D2079), LEFT(INDEX(FILTER(D$1:D2059, D$1:D2059&lt;&gt;""""),COUNTA(FILTER(D$1:D2059, D$1:D2059&lt;&gt;""""))), LEN(INDEX(FILTER(D$1:D2059, D$1:D2059&lt;&gt;""""),COUNTA(FILTER(D$1:D2059, D$1:D2059&lt;&gt;""""))))-1), IF('To Order'!$A2060=COL"&amp;"UMNS($A2060:D2079), D2059&amp;RIGHT(INDIRECT(ADDRESS(ROW(D2060)-1, 'From Order'!$A2060)), 1), D2059))"),"RBJCL")</f>
        <v>RBJCL</v>
      </c>
      <c r="E2060" s="2" t="str">
        <f>IFERROR(__xludf.DUMMYFUNCTION("IF('From Order'!$A2060=COLUMNS($A2060:E2079), LEFT(INDEX(FILTER(E$1:E2059, E$1:E2059&lt;&gt;""""),COUNTA(FILTER(E$1:E2059, E$1:E2059&lt;&gt;""""))), LEN(INDEX(FILTER(E$1:E2059, E$1:E2059&lt;&gt;""""),COUNTA(FILTER(E$1:E2059, E$1:E2059&lt;&gt;""""))))-1), IF('To Order'!$A2060=COL"&amp;"UMNS($A2060:E2079), E2059&amp;RIGHT(INDIRECT(ADDRESS(ROW(E2060)-1, 'From Order'!$A2060)), 1), E2059))"),"")</f>
        <v/>
      </c>
      <c r="F2060" s="2" t="str">
        <f>IFERROR(__xludf.DUMMYFUNCTION("IF('From Order'!$A2060=COLUMNS($A2060:F2079), LEFT(INDEX(FILTER(F$1:F2059, F$1:F2059&lt;&gt;""""),COUNTA(FILTER(F$1:F2059, F$1:F2059&lt;&gt;""""))), LEN(INDEX(FILTER(F$1:F2059, F$1:F2059&lt;&gt;""""),COUNTA(FILTER(F$1:F2059, F$1:F2059&lt;&gt;""""))))-1), IF('To Order'!$A2060=COL"&amp;"UMNS($A2060:F2079), F2059&amp;RIGHT(INDIRECT(ADDRESS(ROW(F2060)-1, 'From Order'!$A2060)), 1), F2059))"),"")</f>
        <v/>
      </c>
      <c r="G2060" s="2" t="str">
        <f>IFERROR(__xludf.DUMMYFUNCTION("IF('From Order'!$A2060=COLUMNS($A2060:G2079), LEFT(INDEX(FILTER(G$1:G2059, G$1:G2059&lt;&gt;""""),COUNTA(FILTER(G$1:G2059, G$1:G2059&lt;&gt;""""))), LEN(INDEX(FILTER(G$1:G2059, G$1:G2059&lt;&gt;""""),COUNTA(FILTER(G$1:G2059, G$1:G2059&lt;&gt;""""))))-1), IF('To Order'!$A2060=COL"&amp;"UMNS($A2060:G2079), G2059&amp;RIGHT(INDIRECT(ADDRESS(ROW(G2060)-1, 'From Order'!$A2060)), 1), G2059))"),"GP")</f>
        <v>GP</v>
      </c>
      <c r="H2060" s="2" t="str">
        <f>IFERROR(__xludf.DUMMYFUNCTION("IF('From Order'!$A2060=COLUMNS($A2060:H2079), LEFT(INDEX(FILTER(H$1:H2059, H$1:H2059&lt;&gt;""""),COUNTA(FILTER(H$1:H2059, H$1:H2059&lt;&gt;""""))), LEN(INDEX(FILTER(H$1:H2059, H$1:H2059&lt;&gt;""""),COUNTA(FILTER(H$1:H2059, H$1:H2059&lt;&gt;""""))))-1), IF('To Order'!$A2060=COL"&amp;"UMNS($A2060:H2079), H2059&amp;RIGHT(INDIRECT(ADDRESS(ROW(H2060)-1, 'From Order'!$A2060)), 1), H2059))"),"QTRR")</f>
        <v>QTRR</v>
      </c>
      <c r="I2060" s="2" t="str">
        <f>IFERROR(__xludf.DUMMYFUNCTION("IF('From Order'!$A2060=COLUMNS($A2060:I2079), LEFT(INDEX(FILTER(I$1:I2059, I$1:I2059&lt;&gt;""""),COUNTA(FILTER(I$1:I2059, I$1:I2059&lt;&gt;""""))), LEN(INDEX(FILTER(I$1:I2059, I$1:I2059&lt;&gt;""""),COUNTA(FILTER(I$1:I2059, I$1:I2059&lt;&gt;""""))))-1), IF('To Order'!$A2060=COL"&amp;"UMNS($A2060:I2079), I2059&amp;RIGHT(INDIRECT(ADDRESS(ROW(I2060)-1, 'From Order'!$A2060)), 1), I2059))"),"DTCTMZHZDMTTGMJRRVBBHF")</f>
        <v>DTCTMZHZDMTTGMJRRVBBHF</v>
      </c>
    </row>
    <row r="2061">
      <c r="A2061" s="2" t="str">
        <f>IFERROR(__xludf.DUMMYFUNCTION("IF('From Order'!$A2061=COLUMNS($A2061:A2080), LEFT(INDEX(FILTER(A$1:A2060, A$1:A2060&lt;&gt;""""),COUNTA(FILTER(A$1:A2060, A$1:A2060&lt;&gt;""""))), LEN(INDEX(FILTER(A$1:A2060, A$1:A2060&lt;&gt;""""),COUNTA(FILTER(A$1:A2060, A$1:A2060&lt;&gt;""""))))-1), IF('To Order'!$A2061=COL"&amp;"UMNS($A2061:A2080), A2060&amp;RIGHT(INDIRECT(ADDRESS(ROW(A2061)-1, 'From Order'!$A2061)), 1), A2060))"),"DSPBFLLWDDVQ")</f>
        <v>DSPBFLLWDDVQ</v>
      </c>
      <c r="B2061" s="2" t="str">
        <f>IFERROR(__xludf.DUMMYFUNCTION("IF('From Order'!$A2061=COLUMNS($A2061:B2080), LEFT(INDEX(FILTER(B$1:B2060, B$1:B2060&lt;&gt;""""),COUNTA(FILTER(B$1:B2060, B$1:B2060&lt;&gt;""""))), LEN(INDEX(FILTER(B$1:B2060, B$1:B2060&lt;&gt;""""),COUNTA(FILTER(B$1:B2060, B$1:B2060&lt;&gt;""""))))-1), IF('To Order'!$A2061=COL"&amp;"UMNS($A2061:B2080), B2060&amp;RIGHT(INDIRECT(ADDRESS(ROW(B2061)-1, 'From Order'!$A2061)), 1), B2060))"),"JDPSSTWZCSF")</f>
        <v>JDPSSTWZCSF</v>
      </c>
      <c r="C2061" s="2" t="str">
        <f>IFERROR(__xludf.DUMMYFUNCTION("IF('From Order'!$A2061=COLUMNS($A2061:C2080), LEFT(INDEX(FILTER(C$1:C2060, C$1:C2060&lt;&gt;""""),COUNTA(FILTER(C$1:C2060, C$1:C2060&lt;&gt;""""))), LEN(INDEX(FILTER(C$1:C2060, C$1:C2060&lt;&gt;""""),COUNTA(FILTER(C$1:C2060, C$1:C2060&lt;&gt;""""))))-1), IF('To Order'!$A2061=COL"&amp;"UMNS($A2061:C2080), C2060&amp;RIGHT(INDIRECT(ADDRESS(ROW(C2061)-1, 'From Order'!$A2061)), 1), C2060))"),"V")</f>
        <v>V</v>
      </c>
      <c r="D2061" s="2" t="str">
        <f>IFERROR(__xludf.DUMMYFUNCTION("IF('From Order'!$A2061=COLUMNS($A2061:D2080), LEFT(INDEX(FILTER(D$1:D2060, D$1:D2060&lt;&gt;""""),COUNTA(FILTER(D$1:D2060, D$1:D2060&lt;&gt;""""))), LEN(INDEX(FILTER(D$1:D2060, D$1:D2060&lt;&gt;""""),COUNTA(FILTER(D$1:D2060, D$1:D2060&lt;&gt;""""))))-1), IF('To Order'!$A2061=COL"&amp;"UMNS($A2061:D2080), D2060&amp;RIGHT(INDIRECT(ADDRESS(ROW(D2061)-1, 'From Order'!$A2061)), 1), D2060))"),"RBJCL")</f>
        <v>RBJCL</v>
      </c>
      <c r="E2061" s="2" t="str">
        <f>IFERROR(__xludf.DUMMYFUNCTION("IF('From Order'!$A2061=COLUMNS($A2061:E2080), LEFT(INDEX(FILTER(E$1:E2060, E$1:E2060&lt;&gt;""""),COUNTA(FILTER(E$1:E2060, E$1:E2060&lt;&gt;""""))), LEN(INDEX(FILTER(E$1:E2060, E$1:E2060&lt;&gt;""""),COUNTA(FILTER(E$1:E2060, E$1:E2060&lt;&gt;""""))))-1), IF('To Order'!$A2061=COL"&amp;"UMNS($A2061:E2080), E2060&amp;RIGHT(INDIRECT(ADDRESS(ROW(E2061)-1, 'From Order'!$A2061)), 1), E2060))"),"")</f>
        <v/>
      </c>
      <c r="F2061" s="2" t="str">
        <f>IFERROR(__xludf.DUMMYFUNCTION("IF('From Order'!$A2061=COLUMNS($A2061:F2080), LEFT(INDEX(FILTER(F$1:F2060, F$1:F2060&lt;&gt;""""),COUNTA(FILTER(F$1:F2060, F$1:F2060&lt;&gt;""""))), LEN(INDEX(FILTER(F$1:F2060, F$1:F2060&lt;&gt;""""),COUNTA(FILTER(F$1:F2060, F$1:F2060&lt;&gt;""""))))-1), IF('To Order'!$A2061=COL"&amp;"UMNS($A2061:F2080), F2060&amp;RIGHT(INDIRECT(ADDRESS(ROW(F2061)-1, 'From Order'!$A2061)), 1), F2060))"),"")</f>
        <v/>
      </c>
      <c r="G2061" s="2" t="str">
        <f>IFERROR(__xludf.DUMMYFUNCTION("IF('From Order'!$A2061=COLUMNS($A2061:G2080), LEFT(INDEX(FILTER(G$1:G2060, G$1:G2060&lt;&gt;""""),COUNTA(FILTER(G$1:G2060, G$1:G2060&lt;&gt;""""))), LEN(INDEX(FILTER(G$1:G2060, G$1:G2060&lt;&gt;""""),COUNTA(FILTER(G$1:G2060, G$1:G2060&lt;&gt;""""))))-1), IF('To Order'!$A2061=COL"&amp;"UMNS($A2061:G2080), G2060&amp;RIGHT(INDIRECT(ADDRESS(ROW(G2061)-1, 'From Order'!$A2061)), 1), G2060))"),"GP")</f>
        <v>GP</v>
      </c>
      <c r="H2061" s="2" t="str">
        <f>IFERROR(__xludf.DUMMYFUNCTION("IF('From Order'!$A2061=COLUMNS($A2061:H2080), LEFT(INDEX(FILTER(H$1:H2060, H$1:H2060&lt;&gt;""""),COUNTA(FILTER(H$1:H2060, H$1:H2060&lt;&gt;""""))), LEN(INDEX(FILTER(H$1:H2060, H$1:H2060&lt;&gt;""""),COUNTA(FILTER(H$1:H2060, H$1:H2060&lt;&gt;""""))))-1), IF('To Order'!$A2061=COL"&amp;"UMNS($A2061:H2080), H2060&amp;RIGHT(INDIRECT(ADDRESS(ROW(H2061)-1, 'From Order'!$A2061)), 1), H2060))"),"QTRR")</f>
        <v>QTRR</v>
      </c>
      <c r="I2061" s="2" t="str">
        <f>IFERROR(__xludf.DUMMYFUNCTION("IF('From Order'!$A2061=COLUMNS($A2061:I2080), LEFT(INDEX(FILTER(I$1:I2060, I$1:I2060&lt;&gt;""""),COUNTA(FILTER(I$1:I2060, I$1:I2060&lt;&gt;""""))), LEN(INDEX(FILTER(I$1:I2060, I$1:I2060&lt;&gt;""""),COUNTA(FILTER(I$1:I2060, I$1:I2060&lt;&gt;""""))))-1), IF('To Order'!$A2061=COL"&amp;"UMNS($A2061:I2080), I2060&amp;RIGHT(INDIRECT(ADDRESS(ROW(I2061)-1, 'From Order'!$A2061)), 1), I2060))"),"DTCTMZHZDMTTGMJRRVBBH")</f>
        <v>DTCTMZHZDMTTGMJRRVBBH</v>
      </c>
    </row>
    <row r="2062">
      <c r="A2062" s="2" t="str">
        <f>IFERROR(__xludf.DUMMYFUNCTION("IF('From Order'!$A2062=COLUMNS($A2062:A2081), LEFT(INDEX(FILTER(A$1:A2061, A$1:A2061&lt;&gt;""""),COUNTA(FILTER(A$1:A2061, A$1:A2061&lt;&gt;""""))), LEN(INDEX(FILTER(A$1:A2061, A$1:A2061&lt;&gt;""""),COUNTA(FILTER(A$1:A2061, A$1:A2061&lt;&gt;""""))))-1), IF('To Order'!$A2062=COL"&amp;"UMNS($A2062:A2081), A2061&amp;RIGHT(INDIRECT(ADDRESS(ROW(A2062)-1, 'From Order'!$A2062)), 1), A2061))"),"DSPBFLLWDDVQ")</f>
        <v>DSPBFLLWDDVQ</v>
      </c>
      <c r="B2062" s="2" t="str">
        <f>IFERROR(__xludf.DUMMYFUNCTION("IF('From Order'!$A2062=COLUMNS($A2062:B2081), LEFT(INDEX(FILTER(B$1:B2061, B$1:B2061&lt;&gt;""""),COUNTA(FILTER(B$1:B2061, B$1:B2061&lt;&gt;""""))), LEN(INDEX(FILTER(B$1:B2061, B$1:B2061&lt;&gt;""""),COUNTA(FILTER(B$1:B2061, B$1:B2061&lt;&gt;""""))))-1), IF('To Order'!$A2062=COL"&amp;"UMNS($A2062:B2081), B2061&amp;RIGHT(INDIRECT(ADDRESS(ROW(B2062)-1, 'From Order'!$A2062)), 1), B2061))"),"JDPSSTWZCSFH")</f>
        <v>JDPSSTWZCSFH</v>
      </c>
      <c r="C2062" s="2" t="str">
        <f>IFERROR(__xludf.DUMMYFUNCTION("IF('From Order'!$A2062=COLUMNS($A2062:C2081), LEFT(INDEX(FILTER(C$1:C2061, C$1:C2061&lt;&gt;""""),COUNTA(FILTER(C$1:C2061, C$1:C2061&lt;&gt;""""))), LEN(INDEX(FILTER(C$1:C2061, C$1:C2061&lt;&gt;""""),COUNTA(FILTER(C$1:C2061, C$1:C2061&lt;&gt;""""))))-1), IF('To Order'!$A2062=COL"&amp;"UMNS($A2062:C2081), C2061&amp;RIGHT(INDIRECT(ADDRESS(ROW(C2062)-1, 'From Order'!$A2062)), 1), C2061))"),"V")</f>
        <v>V</v>
      </c>
      <c r="D2062" s="2" t="str">
        <f>IFERROR(__xludf.DUMMYFUNCTION("IF('From Order'!$A2062=COLUMNS($A2062:D2081), LEFT(INDEX(FILTER(D$1:D2061, D$1:D2061&lt;&gt;""""),COUNTA(FILTER(D$1:D2061, D$1:D2061&lt;&gt;""""))), LEN(INDEX(FILTER(D$1:D2061, D$1:D2061&lt;&gt;""""),COUNTA(FILTER(D$1:D2061, D$1:D2061&lt;&gt;""""))))-1), IF('To Order'!$A2062=COL"&amp;"UMNS($A2062:D2081), D2061&amp;RIGHT(INDIRECT(ADDRESS(ROW(D2062)-1, 'From Order'!$A2062)), 1), D2061))"),"RBJCL")</f>
        <v>RBJCL</v>
      </c>
      <c r="E2062" s="2" t="str">
        <f>IFERROR(__xludf.DUMMYFUNCTION("IF('From Order'!$A2062=COLUMNS($A2062:E2081), LEFT(INDEX(FILTER(E$1:E2061, E$1:E2061&lt;&gt;""""),COUNTA(FILTER(E$1:E2061, E$1:E2061&lt;&gt;""""))), LEN(INDEX(FILTER(E$1:E2061, E$1:E2061&lt;&gt;""""),COUNTA(FILTER(E$1:E2061, E$1:E2061&lt;&gt;""""))))-1), IF('To Order'!$A2062=COL"&amp;"UMNS($A2062:E2081), E2061&amp;RIGHT(INDIRECT(ADDRESS(ROW(E2062)-1, 'From Order'!$A2062)), 1), E2061))"),"")</f>
        <v/>
      </c>
      <c r="F2062" s="2" t="str">
        <f>IFERROR(__xludf.DUMMYFUNCTION("IF('From Order'!$A2062=COLUMNS($A2062:F2081), LEFT(INDEX(FILTER(F$1:F2061, F$1:F2061&lt;&gt;""""),COUNTA(FILTER(F$1:F2061, F$1:F2061&lt;&gt;""""))), LEN(INDEX(FILTER(F$1:F2061, F$1:F2061&lt;&gt;""""),COUNTA(FILTER(F$1:F2061, F$1:F2061&lt;&gt;""""))))-1), IF('To Order'!$A2062=COL"&amp;"UMNS($A2062:F2081), F2061&amp;RIGHT(INDIRECT(ADDRESS(ROW(F2062)-1, 'From Order'!$A2062)), 1), F2061))"),"")</f>
        <v/>
      </c>
      <c r="G2062" s="2" t="str">
        <f>IFERROR(__xludf.DUMMYFUNCTION("IF('From Order'!$A2062=COLUMNS($A2062:G2081), LEFT(INDEX(FILTER(G$1:G2061, G$1:G2061&lt;&gt;""""),COUNTA(FILTER(G$1:G2061, G$1:G2061&lt;&gt;""""))), LEN(INDEX(FILTER(G$1:G2061, G$1:G2061&lt;&gt;""""),COUNTA(FILTER(G$1:G2061, G$1:G2061&lt;&gt;""""))))-1), IF('To Order'!$A2062=COL"&amp;"UMNS($A2062:G2081), G2061&amp;RIGHT(INDIRECT(ADDRESS(ROW(G2062)-1, 'From Order'!$A2062)), 1), G2061))"),"GP")</f>
        <v>GP</v>
      </c>
      <c r="H2062" s="2" t="str">
        <f>IFERROR(__xludf.DUMMYFUNCTION("IF('From Order'!$A2062=COLUMNS($A2062:H2081), LEFT(INDEX(FILTER(H$1:H2061, H$1:H2061&lt;&gt;""""),COUNTA(FILTER(H$1:H2061, H$1:H2061&lt;&gt;""""))), LEN(INDEX(FILTER(H$1:H2061, H$1:H2061&lt;&gt;""""),COUNTA(FILTER(H$1:H2061, H$1:H2061&lt;&gt;""""))))-1), IF('To Order'!$A2062=COL"&amp;"UMNS($A2062:H2081), H2061&amp;RIGHT(INDIRECT(ADDRESS(ROW(H2062)-1, 'From Order'!$A2062)), 1), H2061))"),"QTRR")</f>
        <v>QTRR</v>
      </c>
      <c r="I2062" s="2" t="str">
        <f>IFERROR(__xludf.DUMMYFUNCTION("IF('From Order'!$A2062=COLUMNS($A2062:I2081), LEFT(INDEX(FILTER(I$1:I2061, I$1:I2061&lt;&gt;""""),COUNTA(FILTER(I$1:I2061, I$1:I2061&lt;&gt;""""))), LEN(INDEX(FILTER(I$1:I2061, I$1:I2061&lt;&gt;""""),COUNTA(FILTER(I$1:I2061, I$1:I2061&lt;&gt;""""))))-1), IF('To Order'!$A2062=COL"&amp;"UMNS($A2062:I2081), I2061&amp;RIGHT(INDIRECT(ADDRESS(ROW(I2062)-1, 'From Order'!$A2062)), 1), I2061))"),"DTCTMZHZDMTTGMJRRVBB")</f>
        <v>DTCTMZHZDMTTGMJRRVBB</v>
      </c>
    </row>
    <row r="2063">
      <c r="A2063" s="2" t="str">
        <f>IFERROR(__xludf.DUMMYFUNCTION("IF('From Order'!$A2063=COLUMNS($A2063:A2082), LEFT(INDEX(FILTER(A$1:A2062, A$1:A2062&lt;&gt;""""),COUNTA(FILTER(A$1:A2062, A$1:A2062&lt;&gt;""""))), LEN(INDEX(FILTER(A$1:A2062, A$1:A2062&lt;&gt;""""),COUNTA(FILTER(A$1:A2062, A$1:A2062&lt;&gt;""""))))-1), IF('To Order'!$A2063=COL"&amp;"UMNS($A2063:A2082), A2062&amp;RIGHT(INDIRECT(ADDRESS(ROW(A2063)-1, 'From Order'!$A2063)), 1), A2062))"),"DSPBFLLWDDVQ")</f>
        <v>DSPBFLLWDDVQ</v>
      </c>
      <c r="B2063" s="2" t="str">
        <f>IFERROR(__xludf.DUMMYFUNCTION("IF('From Order'!$A2063=COLUMNS($A2063:B2082), LEFT(INDEX(FILTER(B$1:B2062, B$1:B2062&lt;&gt;""""),COUNTA(FILTER(B$1:B2062, B$1:B2062&lt;&gt;""""))), LEN(INDEX(FILTER(B$1:B2062, B$1:B2062&lt;&gt;""""),COUNTA(FILTER(B$1:B2062, B$1:B2062&lt;&gt;""""))))-1), IF('To Order'!$A2063=COL"&amp;"UMNS($A2063:B2082), B2062&amp;RIGHT(INDIRECT(ADDRESS(ROW(B2063)-1, 'From Order'!$A2063)), 1), B2062))"),"JDPSSTWZCSFHB")</f>
        <v>JDPSSTWZCSFHB</v>
      </c>
      <c r="C2063" s="2" t="str">
        <f>IFERROR(__xludf.DUMMYFUNCTION("IF('From Order'!$A2063=COLUMNS($A2063:C2082), LEFT(INDEX(FILTER(C$1:C2062, C$1:C2062&lt;&gt;""""),COUNTA(FILTER(C$1:C2062, C$1:C2062&lt;&gt;""""))), LEN(INDEX(FILTER(C$1:C2062, C$1:C2062&lt;&gt;""""),COUNTA(FILTER(C$1:C2062, C$1:C2062&lt;&gt;""""))))-1), IF('To Order'!$A2063=COL"&amp;"UMNS($A2063:C2082), C2062&amp;RIGHT(INDIRECT(ADDRESS(ROW(C2063)-1, 'From Order'!$A2063)), 1), C2062))"),"V")</f>
        <v>V</v>
      </c>
      <c r="D2063" s="2" t="str">
        <f>IFERROR(__xludf.DUMMYFUNCTION("IF('From Order'!$A2063=COLUMNS($A2063:D2082), LEFT(INDEX(FILTER(D$1:D2062, D$1:D2062&lt;&gt;""""),COUNTA(FILTER(D$1:D2062, D$1:D2062&lt;&gt;""""))), LEN(INDEX(FILTER(D$1:D2062, D$1:D2062&lt;&gt;""""),COUNTA(FILTER(D$1:D2062, D$1:D2062&lt;&gt;""""))))-1), IF('To Order'!$A2063=COL"&amp;"UMNS($A2063:D2082), D2062&amp;RIGHT(INDIRECT(ADDRESS(ROW(D2063)-1, 'From Order'!$A2063)), 1), D2062))"),"RBJCL")</f>
        <v>RBJCL</v>
      </c>
      <c r="E2063" s="2" t="str">
        <f>IFERROR(__xludf.DUMMYFUNCTION("IF('From Order'!$A2063=COLUMNS($A2063:E2082), LEFT(INDEX(FILTER(E$1:E2062, E$1:E2062&lt;&gt;""""),COUNTA(FILTER(E$1:E2062, E$1:E2062&lt;&gt;""""))), LEN(INDEX(FILTER(E$1:E2062, E$1:E2062&lt;&gt;""""),COUNTA(FILTER(E$1:E2062, E$1:E2062&lt;&gt;""""))))-1), IF('To Order'!$A2063=COL"&amp;"UMNS($A2063:E2082), E2062&amp;RIGHT(INDIRECT(ADDRESS(ROW(E2063)-1, 'From Order'!$A2063)), 1), E2062))"),"")</f>
        <v/>
      </c>
      <c r="F2063" s="2" t="str">
        <f>IFERROR(__xludf.DUMMYFUNCTION("IF('From Order'!$A2063=COLUMNS($A2063:F2082), LEFT(INDEX(FILTER(F$1:F2062, F$1:F2062&lt;&gt;""""),COUNTA(FILTER(F$1:F2062, F$1:F2062&lt;&gt;""""))), LEN(INDEX(FILTER(F$1:F2062, F$1:F2062&lt;&gt;""""),COUNTA(FILTER(F$1:F2062, F$1:F2062&lt;&gt;""""))))-1), IF('To Order'!$A2063=COL"&amp;"UMNS($A2063:F2082), F2062&amp;RIGHT(INDIRECT(ADDRESS(ROW(F2063)-1, 'From Order'!$A2063)), 1), F2062))"),"")</f>
        <v/>
      </c>
      <c r="G2063" s="2" t="str">
        <f>IFERROR(__xludf.DUMMYFUNCTION("IF('From Order'!$A2063=COLUMNS($A2063:G2082), LEFT(INDEX(FILTER(G$1:G2062, G$1:G2062&lt;&gt;""""),COUNTA(FILTER(G$1:G2062, G$1:G2062&lt;&gt;""""))), LEN(INDEX(FILTER(G$1:G2062, G$1:G2062&lt;&gt;""""),COUNTA(FILTER(G$1:G2062, G$1:G2062&lt;&gt;""""))))-1), IF('To Order'!$A2063=COL"&amp;"UMNS($A2063:G2082), G2062&amp;RIGHT(INDIRECT(ADDRESS(ROW(G2063)-1, 'From Order'!$A2063)), 1), G2062))"),"GP")</f>
        <v>GP</v>
      </c>
      <c r="H2063" s="2" t="str">
        <f>IFERROR(__xludf.DUMMYFUNCTION("IF('From Order'!$A2063=COLUMNS($A2063:H2082), LEFT(INDEX(FILTER(H$1:H2062, H$1:H2062&lt;&gt;""""),COUNTA(FILTER(H$1:H2062, H$1:H2062&lt;&gt;""""))), LEN(INDEX(FILTER(H$1:H2062, H$1:H2062&lt;&gt;""""),COUNTA(FILTER(H$1:H2062, H$1:H2062&lt;&gt;""""))))-1), IF('To Order'!$A2063=COL"&amp;"UMNS($A2063:H2082), H2062&amp;RIGHT(INDIRECT(ADDRESS(ROW(H2063)-1, 'From Order'!$A2063)), 1), H2062))"),"QTRR")</f>
        <v>QTRR</v>
      </c>
      <c r="I2063" s="2" t="str">
        <f>IFERROR(__xludf.DUMMYFUNCTION("IF('From Order'!$A2063=COLUMNS($A2063:I2082), LEFT(INDEX(FILTER(I$1:I2062, I$1:I2062&lt;&gt;""""),COUNTA(FILTER(I$1:I2062, I$1:I2062&lt;&gt;""""))), LEN(INDEX(FILTER(I$1:I2062, I$1:I2062&lt;&gt;""""),COUNTA(FILTER(I$1:I2062, I$1:I2062&lt;&gt;""""))))-1), IF('To Order'!$A2063=COL"&amp;"UMNS($A2063:I2082), I2062&amp;RIGHT(INDIRECT(ADDRESS(ROW(I2063)-1, 'From Order'!$A2063)), 1), I2062))"),"DTCTMZHZDMTTGMJRRVB")</f>
        <v>DTCTMZHZDMTTGMJRRVB</v>
      </c>
    </row>
    <row r="2064">
      <c r="A2064" s="2" t="str">
        <f>IFERROR(__xludf.DUMMYFUNCTION("IF('From Order'!$A2064=COLUMNS($A2064:A2083), LEFT(INDEX(FILTER(A$1:A2063, A$1:A2063&lt;&gt;""""),COUNTA(FILTER(A$1:A2063, A$1:A2063&lt;&gt;""""))), LEN(INDEX(FILTER(A$1:A2063, A$1:A2063&lt;&gt;""""),COUNTA(FILTER(A$1:A2063, A$1:A2063&lt;&gt;""""))))-1), IF('To Order'!$A2064=COL"&amp;"UMNS($A2064:A2083), A2063&amp;RIGHT(INDIRECT(ADDRESS(ROW(A2064)-1, 'From Order'!$A2064)), 1), A2063))"),"DSPBFLLWDDVQ")</f>
        <v>DSPBFLLWDDVQ</v>
      </c>
      <c r="B2064" s="2" t="str">
        <f>IFERROR(__xludf.DUMMYFUNCTION("IF('From Order'!$A2064=COLUMNS($A2064:B2083), LEFT(INDEX(FILTER(B$1:B2063, B$1:B2063&lt;&gt;""""),COUNTA(FILTER(B$1:B2063, B$1:B2063&lt;&gt;""""))), LEN(INDEX(FILTER(B$1:B2063, B$1:B2063&lt;&gt;""""),COUNTA(FILTER(B$1:B2063, B$1:B2063&lt;&gt;""""))))-1), IF('To Order'!$A2064=COL"&amp;"UMNS($A2064:B2083), B2063&amp;RIGHT(INDIRECT(ADDRESS(ROW(B2064)-1, 'From Order'!$A2064)), 1), B2063))"),"JDPSSTWZCSFHBB")</f>
        <v>JDPSSTWZCSFHBB</v>
      </c>
      <c r="C2064" s="2" t="str">
        <f>IFERROR(__xludf.DUMMYFUNCTION("IF('From Order'!$A2064=COLUMNS($A2064:C2083), LEFT(INDEX(FILTER(C$1:C2063, C$1:C2063&lt;&gt;""""),COUNTA(FILTER(C$1:C2063, C$1:C2063&lt;&gt;""""))), LEN(INDEX(FILTER(C$1:C2063, C$1:C2063&lt;&gt;""""),COUNTA(FILTER(C$1:C2063, C$1:C2063&lt;&gt;""""))))-1), IF('To Order'!$A2064=COL"&amp;"UMNS($A2064:C2083), C2063&amp;RIGHT(INDIRECT(ADDRESS(ROW(C2064)-1, 'From Order'!$A2064)), 1), C2063))"),"V")</f>
        <v>V</v>
      </c>
      <c r="D2064" s="2" t="str">
        <f>IFERROR(__xludf.DUMMYFUNCTION("IF('From Order'!$A2064=COLUMNS($A2064:D2083), LEFT(INDEX(FILTER(D$1:D2063, D$1:D2063&lt;&gt;""""),COUNTA(FILTER(D$1:D2063, D$1:D2063&lt;&gt;""""))), LEN(INDEX(FILTER(D$1:D2063, D$1:D2063&lt;&gt;""""),COUNTA(FILTER(D$1:D2063, D$1:D2063&lt;&gt;""""))))-1), IF('To Order'!$A2064=COL"&amp;"UMNS($A2064:D2083), D2063&amp;RIGHT(INDIRECT(ADDRESS(ROW(D2064)-1, 'From Order'!$A2064)), 1), D2063))"),"RBJCL")</f>
        <v>RBJCL</v>
      </c>
      <c r="E2064" s="2" t="str">
        <f>IFERROR(__xludf.DUMMYFUNCTION("IF('From Order'!$A2064=COLUMNS($A2064:E2083), LEFT(INDEX(FILTER(E$1:E2063, E$1:E2063&lt;&gt;""""),COUNTA(FILTER(E$1:E2063, E$1:E2063&lt;&gt;""""))), LEN(INDEX(FILTER(E$1:E2063, E$1:E2063&lt;&gt;""""),COUNTA(FILTER(E$1:E2063, E$1:E2063&lt;&gt;""""))))-1), IF('To Order'!$A2064=COL"&amp;"UMNS($A2064:E2083), E2063&amp;RIGHT(INDIRECT(ADDRESS(ROW(E2064)-1, 'From Order'!$A2064)), 1), E2063))"),"")</f>
        <v/>
      </c>
      <c r="F2064" s="2" t="str">
        <f>IFERROR(__xludf.DUMMYFUNCTION("IF('From Order'!$A2064=COLUMNS($A2064:F2083), LEFT(INDEX(FILTER(F$1:F2063, F$1:F2063&lt;&gt;""""),COUNTA(FILTER(F$1:F2063, F$1:F2063&lt;&gt;""""))), LEN(INDEX(FILTER(F$1:F2063, F$1:F2063&lt;&gt;""""),COUNTA(FILTER(F$1:F2063, F$1:F2063&lt;&gt;""""))))-1), IF('To Order'!$A2064=COL"&amp;"UMNS($A2064:F2083), F2063&amp;RIGHT(INDIRECT(ADDRESS(ROW(F2064)-1, 'From Order'!$A2064)), 1), F2063))"),"")</f>
        <v/>
      </c>
      <c r="G2064" s="2" t="str">
        <f>IFERROR(__xludf.DUMMYFUNCTION("IF('From Order'!$A2064=COLUMNS($A2064:G2083), LEFT(INDEX(FILTER(G$1:G2063, G$1:G2063&lt;&gt;""""),COUNTA(FILTER(G$1:G2063, G$1:G2063&lt;&gt;""""))), LEN(INDEX(FILTER(G$1:G2063, G$1:G2063&lt;&gt;""""),COUNTA(FILTER(G$1:G2063, G$1:G2063&lt;&gt;""""))))-1), IF('To Order'!$A2064=COL"&amp;"UMNS($A2064:G2083), G2063&amp;RIGHT(INDIRECT(ADDRESS(ROW(G2064)-1, 'From Order'!$A2064)), 1), G2063))"),"GP")</f>
        <v>GP</v>
      </c>
      <c r="H2064" s="2" t="str">
        <f>IFERROR(__xludf.DUMMYFUNCTION("IF('From Order'!$A2064=COLUMNS($A2064:H2083), LEFT(INDEX(FILTER(H$1:H2063, H$1:H2063&lt;&gt;""""),COUNTA(FILTER(H$1:H2063, H$1:H2063&lt;&gt;""""))), LEN(INDEX(FILTER(H$1:H2063, H$1:H2063&lt;&gt;""""),COUNTA(FILTER(H$1:H2063, H$1:H2063&lt;&gt;""""))))-1), IF('To Order'!$A2064=COL"&amp;"UMNS($A2064:H2083), H2063&amp;RIGHT(INDIRECT(ADDRESS(ROW(H2064)-1, 'From Order'!$A2064)), 1), H2063))"),"QTRR")</f>
        <v>QTRR</v>
      </c>
      <c r="I2064" s="2" t="str">
        <f>IFERROR(__xludf.DUMMYFUNCTION("IF('From Order'!$A2064=COLUMNS($A2064:I2083), LEFT(INDEX(FILTER(I$1:I2063, I$1:I2063&lt;&gt;""""),COUNTA(FILTER(I$1:I2063, I$1:I2063&lt;&gt;""""))), LEN(INDEX(FILTER(I$1:I2063, I$1:I2063&lt;&gt;""""),COUNTA(FILTER(I$1:I2063, I$1:I2063&lt;&gt;""""))))-1), IF('To Order'!$A2064=COL"&amp;"UMNS($A2064:I2083), I2063&amp;RIGHT(INDIRECT(ADDRESS(ROW(I2064)-1, 'From Order'!$A2064)), 1), I2063))"),"DTCTMZHZDMTTGMJRRV")</f>
        <v>DTCTMZHZDMTTGMJRRV</v>
      </c>
    </row>
    <row r="2065">
      <c r="A2065" s="2" t="str">
        <f>IFERROR(__xludf.DUMMYFUNCTION("IF('From Order'!$A2065=COLUMNS($A2065:A2084), LEFT(INDEX(FILTER(A$1:A2064, A$1:A2064&lt;&gt;""""),COUNTA(FILTER(A$1:A2064, A$1:A2064&lt;&gt;""""))), LEN(INDEX(FILTER(A$1:A2064, A$1:A2064&lt;&gt;""""),COUNTA(FILTER(A$1:A2064, A$1:A2064&lt;&gt;""""))))-1), IF('To Order'!$A2065=COL"&amp;"UMNS($A2065:A2084), A2064&amp;RIGHT(INDIRECT(ADDRESS(ROW(A2065)-1, 'From Order'!$A2065)), 1), A2064))"),"DSPBFLLWDDVQ")</f>
        <v>DSPBFLLWDDVQ</v>
      </c>
      <c r="B2065" s="2" t="str">
        <f>IFERROR(__xludf.DUMMYFUNCTION("IF('From Order'!$A2065=COLUMNS($A2065:B2084), LEFT(INDEX(FILTER(B$1:B2064, B$1:B2064&lt;&gt;""""),COUNTA(FILTER(B$1:B2064, B$1:B2064&lt;&gt;""""))), LEN(INDEX(FILTER(B$1:B2064, B$1:B2064&lt;&gt;""""),COUNTA(FILTER(B$1:B2064, B$1:B2064&lt;&gt;""""))))-1), IF('To Order'!$A2065=COL"&amp;"UMNS($A2065:B2084), B2064&amp;RIGHT(INDIRECT(ADDRESS(ROW(B2065)-1, 'From Order'!$A2065)), 1), B2064))"),"JDPSSTWZCSFHBBV")</f>
        <v>JDPSSTWZCSFHBBV</v>
      </c>
      <c r="C2065" s="2" t="str">
        <f>IFERROR(__xludf.DUMMYFUNCTION("IF('From Order'!$A2065=COLUMNS($A2065:C2084), LEFT(INDEX(FILTER(C$1:C2064, C$1:C2064&lt;&gt;""""),COUNTA(FILTER(C$1:C2064, C$1:C2064&lt;&gt;""""))), LEN(INDEX(FILTER(C$1:C2064, C$1:C2064&lt;&gt;""""),COUNTA(FILTER(C$1:C2064, C$1:C2064&lt;&gt;""""))))-1), IF('To Order'!$A2065=COL"&amp;"UMNS($A2065:C2084), C2064&amp;RIGHT(INDIRECT(ADDRESS(ROW(C2065)-1, 'From Order'!$A2065)), 1), C2064))"),"V")</f>
        <v>V</v>
      </c>
      <c r="D2065" s="2" t="str">
        <f>IFERROR(__xludf.DUMMYFUNCTION("IF('From Order'!$A2065=COLUMNS($A2065:D2084), LEFT(INDEX(FILTER(D$1:D2064, D$1:D2064&lt;&gt;""""),COUNTA(FILTER(D$1:D2064, D$1:D2064&lt;&gt;""""))), LEN(INDEX(FILTER(D$1:D2064, D$1:D2064&lt;&gt;""""),COUNTA(FILTER(D$1:D2064, D$1:D2064&lt;&gt;""""))))-1), IF('To Order'!$A2065=COL"&amp;"UMNS($A2065:D2084), D2064&amp;RIGHT(INDIRECT(ADDRESS(ROW(D2065)-1, 'From Order'!$A2065)), 1), D2064))"),"RBJCL")</f>
        <v>RBJCL</v>
      </c>
      <c r="E2065" s="2" t="str">
        <f>IFERROR(__xludf.DUMMYFUNCTION("IF('From Order'!$A2065=COLUMNS($A2065:E2084), LEFT(INDEX(FILTER(E$1:E2064, E$1:E2064&lt;&gt;""""),COUNTA(FILTER(E$1:E2064, E$1:E2064&lt;&gt;""""))), LEN(INDEX(FILTER(E$1:E2064, E$1:E2064&lt;&gt;""""),COUNTA(FILTER(E$1:E2064, E$1:E2064&lt;&gt;""""))))-1), IF('To Order'!$A2065=COL"&amp;"UMNS($A2065:E2084), E2064&amp;RIGHT(INDIRECT(ADDRESS(ROW(E2065)-1, 'From Order'!$A2065)), 1), E2064))"),"")</f>
        <v/>
      </c>
      <c r="F2065" s="2" t="str">
        <f>IFERROR(__xludf.DUMMYFUNCTION("IF('From Order'!$A2065=COLUMNS($A2065:F2084), LEFT(INDEX(FILTER(F$1:F2064, F$1:F2064&lt;&gt;""""),COUNTA(FILTER(F$1:F2064, F$1:F2064&lt;&gt;""""))), LEN(INDEX(FILTER(F$1:F2064, F$1:F2064&lt;&gt;""""),COUNTA(FILTER(F$1:F2064, F$1:F2064&lt;&gt;""""))))-1), IF('To Order'!$A2065=COL"&amp;"UMNS($A2065:F2084), F2064&amp;RIGHT(INDIRECT(ADDRESS(ROW(F2065)-1, 'From Order'!$A2065)), 1), F2064))"),"")</f>
        <v/>
      </c>
      <c r="G2065" s="2" t="str">
        <f>IFERROR(__xludf.DUMMYFUNCTION("IF('From Order'!$A2065=COLUMNS($A2065:G2084), LEFT(INDEX(FILTER(G$1:G2064, G$1:G2064&lt;&gt;""""),COUNTA(FILTER(G$1:G2064, G$1:G2064&lt;&gt;""""))), LEN(INDEX(FILTER(G$1:G2064, G$1:G2064&lt;&gt;""""),COUNTA(FILTER(G$1:G2064, G$1:G2064&lt;&gt;""""))))-1), IF('To Order'!$A2065=COL"&amp;"UMNS($A2065:G2084), G2064&amp;RIGHT(INDIRECT(ADDRESS(ROW(G2065)-1, 'From Order'!$A2065)), 1), G2064))"),"GP")</f>
        <v>GP</v>
      </c>
      <c r="H2065" s="2" t="str">
        <f>IFERROR(__xludf.DUMMYFUNCTION("IF('From Order'!$A2065=COLUMNS($A2065:H2084), LEFT(INDEX(FILTER(H$1:H2064, H$1:H2064&lt;&gt;""""),COUNTA(FILTER(H$1:H2064, H$1:H2064&lt;&gt;""""))), LEN(INDEX(FILTER(H$1:H2064, H$1:H2064&lt;&gt;""""),COUNTA(FILTER(H$1:H2064, H$1:H2064&lt;&gt;""""))))-1), IF('To Order'!$A2065=COL"&amp;"UMNS($A2065:H2084), H2064&amp;RIGHT(INDIRECT(ADDRESS(ROW(H2065)-1, 'From Order'!$A2065)), 1), H2064))"),"QTRR")</f>
        <v>QTRR</v>
      </c>
      <c r="I2065" s="2" t="str">
        <f>IFERROR(__xludf.DUMMYFUNCTION("IF('From Order'!$A2065=COLUMNS($A2065:I2084), LEFT(INDEX(FILTER(I$1:I2064, I$1:I2064&lt;&gt;""""),COUNTA(FILTER(I$1:I2064, I$1:I2064&lt;&gt;""""))), LEN(INDEX(FILTER(I$1:I2064, I$1:I2064&lt;&gt;""""),COUNTA(FILTER(I$1:I2064, I$1:I2064&lt;&gt;""""))))-1), IF('To Order'!$A2065=COL"&amp;"UMNS($A2065:I2084), I2064&amp;RIGHT(INDIRECT(ADDRESS(ROW(I2065)-1, 'From Order'!$A2065)), 1), I2064))"),"DTCTMZHZDMTTGMJRR")</f>
        <v>DTCTMZHZDMTTGMJRR</v>
      </c>
    </row>
    <row r="2066">
      <c r="A2066" s="2" t="str">
        <f>IFERROR(__xludf.DUMMYFUNCTION("IF('From Order'!$A2066=COLUMNS($A2066:A2085), LEFT(INDEX(FILTER(A$1:A2065, A$1:A2065&lt;&gt;""""),COUNTA(FILTER(A$1:A2065, A$1:A2065&lt;&gt;""""))), LEN(INDEX(FILTER(A$1:A2065, A$1:A2065&lt;&gt;""""),COUNTA(FILTER(A$1:A2065, A$1:A2065&lt;&gt;""""))))-1), IF('To Order'!$A2066=COL"&amp;"UMNS($A2066:A2085), A2065&amp;RIGHT(INDIRECT(ADDRESS(ROW(A2066)-1, 'From Order'!$A2066)), 1), A2065))"),"DSPBFLLWDDVQ")</f>
        <v>DSPBFLLWDDVQ</v>
      </c>
      <c r="B2066" s="2" t="str">
        <f>IFERROR(__xludf.DUMMYFUNCTION("IF('From Order'!$A2066=COLUMNS($A2066:B2085), LEFT(INDEX(FILTER(B$1:B2065, B$1:B2065&lt;&gt;""""),COUNTA(FILTER(B$1:B2065, B$1:B2065&lt;&gt;""""))), LEN(INDEX(FILTER(B$1:B2065, B$1:B2065&lt;&gt;""""),COUNTA(FILTER(B$1:B2065, B$1:B2065&lt;&gt;""""))))-1), IF('To Order'!$A2066=COL"&amp;"UMNS($A2066:B2085), B2065&amp;RIGHT(INDIRECT(ADDRESS(ROW(B2066)-1, 'From Order'!$A2066)), 1), B2065))"),"JDPSSTWZCSFHBBVR")</f>
        <v>JDPSSTWZCSFHBBVR</v>
      </c>
      <c r="C2066" s="2" t="str">
        <f>IFERROR(__xludf.DUMMYFUNCTION("IF('From Order'!$A2066=COLUMNS($A2066:C2085), LEFT(INDEX(FILTER(C$1:C2065, C$1:C2065&lt;&gt;""""),COUNTA(FILTER(C$1:C2065, C$1:C2065&lt;&gt;""""))), LEN(INDEX(FILTER(C$1:C2065, C$1:C2065&lt;&gt;""""),COUNTA(FILTER(C$1:C2065, C$1:C2065&lt;&gt;""""))))-1), IF('To Order'!$A2066=COL"&amp;"UMNS($A2066:C2085), C2065&amp;RIGHT(INDIRECT(ADDRESS(ROW(C2066)-1, 'From Order'!$A2066)), 1), C2065))"),"V")</f>
        <v>V</v>
      </c>
      <c r="D2066" s="2" t="str">
        <f>IFERROR(__xludf.DUMMYFUNCTION("IF('From Order'!$A2066=COLUMNS($A2066:D2085), LEFT(INDEX(FILTER(D$1:D2065, D$1:D2065&lt;&gt;""""),COUNTA(FILTER(D$1:D2065, D$1:D2065&lt;&gt;""""))), LEN(INDEX(FILTER(D$1:D2065, D$1:D2065&lt;&gt;""""),COUNTA(FILTER(D$1:D2065, D$1:D2065&lt;&gt;""""))))-1), IF('To Order'!$A2066=COL"&amp;"UMNS($A2066:D2085), D2065&amp;RIGHT(INDIRECT(ADDRESS(ROW(D2066)-1, 'From Order'!$A2066)), 1), D2065))"),"RBJCL")</f>
        <v>RBJCL</v>
      </c>
      <c r="E2066" s="2" t="str">
        <f>IFERROR(__xludf.DUMMYFUNCTION("IF('From Order'!$A2066=COLUMNS($A2066:E2085), LEFT(INDEX(FILTER(E$1:E2065, E$1:E2065&lt;&gt;""""),COUNTA(FILTER(E$1:E2065, E$1:E2065&lt;&gt;""""))), LEN(INDEX(FILTER(E$1:E2065, E$1:E2065&lt;&gt;""""),COUNTA(FILTER(E$1:E2065, E$1:E2065&lt;&gt;""""))))-1), IF('To Order'!$A2066=COL"&amp;"UMNS($A2066:E2085), E2065&amp;RIGHT(INDIRECT(ADDRESS(ROW(E2066)-1, 'From Order'!$A2066)), 1), E2065))"),"")</f>
        <v/>
      </c>
      <c r="F2066" s="2" t="str">
        <f>IFERROR(__xludf.DUMMYFUNCTION("IF('From Order'!$A2066=COLUMNS($A2066:F2085), LEFT(INDEX(FILTER(F$1:F2065, F$1:F2065&lt;&gt;""""),COUNTA(FILTER(F$1:F2065, F$1:F2065&lt;&gt;""""))), LEN(INDEX(FILTER(F$1:F2065, F$1:F2065&lt;&gt;""""),COUNTA(FILTER(F$1:F2065, F$1:F2065&lt;&gt;""""))))-1), IF('To Order'!$A2066=COL"&amp;"UMNS($A2066:F2085), F2065&amp;RIGHT(INDIRECT(ADDRESS(ROW(F2066)-1, 'From Order'!$A2066)), 1), F2065))"),"")</f>
        <v/>
      </c>
      <c r="G2066" s="2" t="str">
        <f>IFERROR(__xludf.DUMMYFUNCTION("IF('From Order'!$A2066=COLUMNS($A2066:G2085), LEFT(INDEX(FILTER(G$1:G2065, G$1:G2065&lt;&gt;""""),COUNTA(FILTER(G$1:G2065, G$1:G2065&lt;&gt;""""))), LEN(INDEX(FILTER(G$1:G2065, G$1:G2065&lt;&gt;""""),COUNTA(FILTER(G$1:G2065, G$1:G2065&lt;&gt;""""))))-1), IF('To Order'!$A2066=COL"&amp;"UMNS($A2066:G2085), G2065&amp;RIGHT(INDIRECT(ADDRESS(ROW(G2066)-1, 'From Order'!$A2066)), 1), G2065))"),"GP")</f>
        <v>GP</v>
      </c>
      <c r="H2066" s="2" t="str">
        <f>IFERROR(__xludf.DUMMYFUNCTION("IF('From Order'!$A2066=COLUMNS($A2066:H2085), LEFT(INDEX(FILTER(H$1:H2065, H$1:H2065&lt;&gt;""""),COUNTA(FILTER(H$1:H2065, H$1:H2065&lt;&gt;""""))), LEN(INDEX(FILTER(H$1:H2065, H$1:H2065&lt;&gt;""""),COUNTA(FILTER(H$1:H2065, H$1:H2065&lt;&gt;""""))))-1), IF('To Order'!$A2066=COL"&amp;"UMNS($A2066:H2085), H2065&amp;RIGHT(INDIRECT(ADDRESS(ROW(H2066)-1, 'From Order'!$A2066)), 1), H2065))"),"QTRR")</f>
        <v>QTRR</v>
      </c>
      <c r="I2066" s="2" t="str">
        <f>IFERROR(__xludf.DUMMYFUNCTION("IF('From Order'!$A2066=COLUMNS($A2066:I2085), LEFT(INDEX(FILTER(I$1:I2065, I$1:I2065&lt;&gt;""""),COUNTA(FILTER(I$1:I2065, I$1:I2065&lt;&gt;""""))), LEN(INDEX(FILTER(I$1:I2065, I$1:I2065&lt;&gt;""""),COUNTA(FILTER(I$1:I2065, I$1:I2065&lt;&gt;""""))))-1), IF('To Order'!$A2066=COL"&amp;"UMNS($A2066:I2085), I2065&amp;RIGHT(INDIRECT(ADDRESS(ROW(I2066)-1, 'From Order'!$A2066)), 1), I2065))"),"DTCTMZHZDMTTGMJR")</f>
        <v>DTCTMZHZDMTTGMJR</v>
      </c>
    </row>
    <row r="2067">
      <c r="A2067" s="2" t="str">
        <f>IFERROR(__xludf.DUMMYFUNCTION("IF('From Order'!$A2067=COLUMNS($A2067:A2086), LEFT(INDEX(FILTER(A$1:A2066, A$1:A2066&lt;&gt;""""),COUNTA(FILTER(A$1:A2066, A$1:A2066&lt;&gt;""""))), LEN(INDEX(FILTER(A$1:A2066, A$1:A2066&lt;&gt;""""),COUNTA(FILTER(A$1:A2066, A$1:A2066&lt;&gt;""""))))-1), IF('To Order'!$A2067=COL"&amp;"UMNS($A2067:A2086), A2066&amp;RIGHT(INDIRECT(ADDRESS(ROW(A2067)-1, 'From Order'!$A2067)), 1), A2066))"),"DSPBFLLWDDVQ")</f>
        <v>DSPBFLLWDDVQ</v>
      </c>
      <c r="B2067" s="2" t="str">
        <f>IFERROR(__xludf.DUMMYFUNCTION("IF('From Order'!$A2067=COLUMNS($A2067:B2086), LEFT(INDEX(FILTER(B$1:B2066, B$1:B2066&lt;&gt;""""),COUNTA(FILTER(B$1:B2066, B$1:B2066&lt;&gt;""""))), LEN(INDEX(FILTER(B$1:B2066, B$1:B2066&lt;&gt;""""),COUNTA(FILTER(B$1:B2066, B$1:B2066&lt;&gt;""""))))-1), IF('To Order'!$A2067=COL"&amp;"UMNS($A2067:B2086), B2066&amp;RIGHT(INDIRECT(ADDRESS(ROW(B2067)-1, 'From Order'!$A2067)), 1), B2066))"),"JDPSSTWZCSFHBBVRR")</f>
        <v>JDPSSTWZCSFHBBVRR</v>
      </c>
      <c r="C2067" s="2" t="str">
        <f>IFERROR(__xludf.DUMMYFUNCTION("IF('From Order'!$A2067=COLUMNS($A2067:C2086), LEFT(INDEX(FILTER(C$1:C2066, C$1:C2066&lt;&gt;""""),COUNTA(FILTER(C$1:C2066, C$1:C2066&lt;&gt;""""))), LEN(INDEX(FILTER(C$1:C2066, C$1:C2066&lt;&gt;""""),COUNTA(FILTER(C$1:C2066, C$1:C2066&lt;&gt;""""))))-1), IF('To Order'!$A2067=COL"&amp;"UMNS($A2067:C2086), C2066&amp;RIGHT(INDIRECT(ADDRESS(ROW(C2067)-1, 'From Order'!$A2067)), 1), C2066))"),"V")</f>
        <v>V</v>
      </c>
      <c r="D2067" s="2" t="str">
        <f>IFERROR(__xludf.DUMMYFUNCTION("IF('From Order'!$A2067=COLUMNS($A2067:D2086), LEFT(INDEX(FILTER(D$1:D2066, D$1:D2066&lt;&gt;""""),COUNTA(FILTER(D$1:D2066, D$1:D2066&lt;&gt;""""))), LEN(INDEX(FILTER(D$1:D2066, D$1:D2066&lt;&gt;""""),COUNTA(FILTER(D$1:D2066, D$1:D2066&lt;&gt;""""))))-1), IF('To Order'!$A2067=COL"&amp;"UMNS($A2067:D2086), D2066&amp;RIGHT(INDIRECT(ADDRESS(ROW(D2067)-1, 'From Order'!$A2067)), 1), D2066))"),"RBJCL")</f>
        <v>RBJCL</v>
      </c>
      <c r="E2067" s="2" t="str">
        <f>IFERROR(__xludf.DUMMYFUNCTION("IF('From Order'!$A2067=COLUMNS($A2067:E2086), LEFT(INDEX(FILTER(E$1:E2066, E$1:E2066&lt;&gt;""""),COUNTA(FILTER(E$1:E2066, E$1:E2066&lt;&gt;""""))), LEN(INDEX(FILTER(E$1:E2066, E$1:E2066&lt;&gt;""""),COUNTA(FILTER(E$1:E2066, E$1:E2066&lt;&gt;""""))))-1), IF('To Order'!$A2067=COL"&amp;"UMNS($A2067:E2086), E2066&amp;RIGHT(INDIRECT(ADDRESS(ROW(E2067)-1, 'From Order'!$A2067)), 1), E2066))"),"")</f>
        <v/>
      </c>
      <c r="F2067" s="2" t="str">
        <f>IFERROR(__xludf.DUMMYFUNCTION("IF('From Order'!$A2067=COLUMNS($A2067:F2086), LEFT(INDEX(FILTER(F$1:F2066, F$1:F2066&lt;&gt;""""),COUNTA(FILTER(F$1:F2066, F$1:F2066&lt;&gt;""""))), LEN(INDEX(FILTER(F$1:F2066, F$1:F2066&lt;&gt;""""),COUNTA(FILTER(F$1:F2066, F$1:F2066&lt;&gt;""""))))-1), IF('To Order'!$A2067=COL"&amp;"UMNS($A2067:F2086), F2066&amp;RIGHT(INDIRECT(ADDRESS(ROW(F2067)-1, 'From Order'!$A2067)), 1), F2066))"),"")</f>
        <v/>
      </c>
      <c r="G2067" s="2" t="str">
        <f>IFERROR(__xludf.DUMMYFUNCTION("IF('From Order'!$A2067=COLUMNS($A2067:G2086), LEFT(INDEX(FILTER(G$1:G2066, G$1:G2066&lt;&gt;""""),COUNTA(FILTER(G$1:G2066, G$1:G2066&lt;&gt;""""))), LEN(INDEX(FILTER(G$1:G2066, G$1:G2066&lt;&gt;""""),COUNTA(FILTER(G$1:G2066, G$1:G2066&lt;&gt;""""))))-1), IF('To Order'!$A2067=COL"&amp;"UMNS($A2067:G2086), G2066&amp;RIGHT(INDIRECT(ADDRESS(ROW(G2067)-1, 'From Order'!$A2067)), 1), G2066))"),"GP")</f>
        <v>GP</v>
      </c>
      <c r="H2067" s="2" t="str">
        <f>IFERROR(__xludf.DUMMYFUNCTION("IF('From Order'!$A2067=COLUMNS($A2067:H2086), LEFT(INDEX(FILTER(H$1:H2066, H$1:H2066&lt;&gt;""""),COUNTA(FILTER(H$1:H2066, H$1:H2066&lt;&gt;""""))), LEN(INDEX(FILTER(H$1:H2066, H$1:H2066&lt;&gt;""""),COUNTA(FILTER(H$1:H2066, H$1:H2066&lt;&gt;""""))))-1), IF('To Order'!$A2067=COL"&amp;"UMNS($A2067:H2086), H2066&amp;RIGHT(INDIRECT(ADDRESS(ROW(H2067)-1, 'From Order'!$A2067)), 1), H2066))"),"QTRR")</f>
        <v>QTRR</v>
      </c>
      <c r="I2067" s="2" t="str">
        <f>IFERROR(__xludf.DUMMYFUNCTION("IF('From Order'!$A2067=COLUMNS($A2067:I2086), LEFT(INDEX(FILTER(I$1:I2066, I$1:I2066&lt;&gt;""""),COUNTA(FILTER(I$1:I2066, I$1:I2066&lt;&gt;""""))), LEN(INDEX(FILTER(I$1:I2066, I$1:I2066&lt;&gt;""""),COUNTA(FILTER(I$1:I2066, I$1:I2066&lt;&gt;""""))))-1), IF('To Order'!$A2067=COL"&amp;"UMNS($A2067:I2086), I2066&amp;RIGHT(INDIRECT(ADDRESS(ROW(I2067)-1, 'From Order'!$A2067)), 1), I2066))"),"DTCTMZHZDMTTGMJ")</f>
        <v>DTCTMZHZDMTTGMJ</v>
      </c>
    </row>
    <row r="2068">
      <c r="A2068" s="2" t="str">
        <f>IFERROR(__xludf.DUMMYFUNCTION("IF('From Order'!$A2068=COLUMNS($A2068:A2087), LEFT(INDEX(FILTER(A$1:A2067, A$1:A2067&lt;&gt;""""),COUNTA(FILTER(A$1:A2067, A$1:A2067&lt;&gt;""""))), LEN(INDEX(FILTER(A$1:A2067, A$1:A2067&lt;&gt;""""),COUNTA(FILTER(A$1:A2067, A$1:A2067&lt;&gt;""""))))-1), IF('To Order'!$A2068=COL"&amp;"UMNS($A2068:A2087), A2067&amp;RIGHT(INDIRECT(ADDRESS(ROW(A2068)-1, 'From Order'!$A2068)), 1), A2067))"),"DSPBFLLWDDVQ")</f>
        <v>DSPBFLLWDDVQ</v>
      </c>
      <c r="B2068" s="2" t="str">
        <f>IFERROR(__xludf.DUMMYFUNCTION("IF('From Order'!$A2068=COLUMNS($A2068:B2087), LEFT(INDEX(FILTER(B$1:B2067, B$1:B2067&lt;&gt;""""),COUNTA(FILTER(B$1:B2067, B$1:B2067&lt;&gt;""""))), LEN(INDEX(FILTER(B$1:B2067, B$1:B2067&lt;&gt;""""),COUNTA(FILTER(B$1:B2067, B$1:B2067&lt;&gt;""""))))-1), IF('To Order'!$A2068=COL"&amp;"UMNS($A2068:B2087), B2067&amp;RIGHT(INDIRECT(ADDRESS(ROW(B2068)-1, 'From Order'!$A2068)), 1), B2067))"),"JDPSSTWZCSFHBBVRRJ")</f>
        <v>JDPSSTWZCSFHBBVRRJ</v>
      </c>
      <c r="C2068" s="2" t="str">
        <f>IFERROR(__xludf.DUMMYFUNCTION("IF('From Order'!$A2068=COLUMNS($A2068:C2087), LEFT(INDEX(FILTER(C$1:C2067, C$1:C2067&lt;&gt;""""),COUNTA(FILTER(C$1:C2067, C$1:C2067&lt;&gt;""""))), LEN(INDEX(FILTER(C$1:C2067, C$1:C2067&lt;&gt;""""),COUNTA(FILTER(C$1:C2067, C$1:C2067&lt;&gt;""""))))-1), IF('To Order'!$A2068=COL"&amp;"UMNS($A2068:C2087), C2067&amp;RIGHT(INDIRECT(ADDRESS(ROW(C2068)-1, 'From Order'!$A2068)), 1), C2067))"),"V")</f>
        <v>V</v>
      </c>
      <c r="D2068" s="2" t="str">
        <f>IFERROR(__xludf.DUMMYFUNCTION("IF('From Order'!$A2068=COLUMNS($A2068:D2087), LEFT(INDEX(FILTER(D$1:D2067, D$1:D2067&lt;&gt;""""),COUNTA(FILTER(D$1:D2067, D$1:D2067&lt;&gt;""""))), LEN(INDEX(FILTER(D$1:D2067, D$1:D2067&lt;&gt;""""),COUNTA(FILTER(D$1:D2067, D$1:D2067&lt;&gt;""""))))-1), IF('To Order'!$A2068=COL"&amp;"UMNS($A2068:D2087), D2067&amp;RIGHT(INDIRECT(ADDRESS(ROW(D2068)-1, 'From Order'!$A2068)), 1), D2067))"),"RBJCL")</f>
        <v>RBJCL</v>
      </c>
      <c r="E2068" s="2" t="str">
        <f>IFERROR(__xludf.DUMMYFUNCTION("IF('From Order'!$A2068=COLUMNS($A2068:E2087), LEFT(INDEX(FILTER(E$1:E2067, E$1:E2067&lt;&gt;""""),COUNTA(FILTER(E$1:E2067, E$1:E2067&lt;&gt;""""))), LEN(INDEX(FILTER(E$1:E2067, E$1:E2067&lt;&gt;""""),COUNTA(FILTER(E$1:E2067, E$1:E2067&lt;&gt;""""))))-1), IF('To Order'!$A2068=COL"&amp;"UMNS($A2068:E2087), E2067&amp;RIGHT(INDIRECT(ADDRESS(ROW(E2068)-1, 'From Order'!$A2068)), 1), E2067))"),"")</f>
        <v/>
      </c>
      <c r="F2068" s="2" t="str">
        <f>IFERROR(__xludf.DUMMYFUNCTION("IF('From Order'!$A2068=COLUMNS($A2068:F2087), LEFT(INDEX(FILTER(F$1:F2067, F$1:F2067&lt;&gt;""""),COUNTA(FILTER(F$1:F2067, F$1:F2067&lt;&gt;""""))), LEN(INDEX(FILTER(F$1:F2067, F$1:F2067&lt;&gt;""""),COUNTA(FILTER(F$1:F2067, F$1:F2067&lt;&gt;""""))))-1), IF('To Order'!$A2068=COL"&amp;"UMNS($A2068:F2087), F2067&amp;RIGHT(INDIRECT(ADDRESS(ROW(F2068)-1, 'From Order'!$A2068)), 1), F2067))"),"")</f>
        <v/>
      </c>
      <c r="G2068" s="2" t="str">
        <f>IFERROR(__xludf.DUMMYFUNCTION("IF('From Order'!$A2068=COLUMNS($A2068:G2087), LEFT(INDEX(FILTER(G$1:G2067, G$1:G2067&lt;&gt;""""),COUNTA(FILTER(G$1:G2067, G$1:G2067&lt;&gt;""""))), LEN(INDEX(FILTER(G$1:G2067, G$1:G2067&lt;&gt;""""),COUNTA(FILTER(G$1:G2067, G$1:G2067&lt;&gt;""""))))-1), IF('To Order'!$A2068=COL"&amp;"UMNS($A2068:G2087), G2067&amp;RIGHT(INDIRECT(ADDRESS(ROW(G2068)-1, 'From Order'!$A2068)), 1), G2067))"),"GP")</f>
        <v>GP</v>
      </c>
      <c r="H2068" s="2" t="str">
        <f>IFERROR(__xludf.DUMMYFUNCTION("IF('From Order'!$A2068=COLUMNS($A2068:H2087), LEFT(INDEX(FILTER(H$1:H2067, H$1:H2067&lt;&gt;""""),COUNTA(FILTER(H$1:H2067, H$1:H2067&lt;&gt;""""))), LEN(INDEX(FILTER(H$1:H2067, H$1:H2067&lt;&gt;""""),COUNTA(FILTER(H$1:H2067, H$1:H2067&lt;&gt;""""))))-1), IF('To Order'!$A2068=COL"&amp;"UMNS($A2068:H2087), H2067&amp;RIGHT(INDIRECT(ADDRESS(ROW(H2068)-1, 'From Order'!$A2068)), 1), H2067))"),"QTRR")</f>
        <v>QTRR</v>
      </c>
      <c r="I2068" s="2" t="str">
        <f>IFERROR(__xludf.DUMMYFUNCTION("IF('From Order'!$A2068=COLUMNS($A2068:I2087), LEFT(INDEX(FILTER(I$1:I2067, I$1:I2067&lt;&gt;""""),COUNTA(FILTER(I$1:I2067, I$1:I2067&lt;&gt;""""))), LEN(INDEX(FILTER(I$1:I2067, I$1:I2067&lt;&gt;""""),COUNTA(FILTER(I$1:I2067, I$1:I2067&lt;&gt;""""))))-1), IF('To Order'!$A2068=COL"&amp;"UMNS($A2068:I2087), I2067&amp;RIGHT(INDIRECT(ADDRESS(ROW(I2068)-1, 'From Order'!$A2068)), 1), I2067))"),"DTCTMZHZDMTTGM")</f>
        <v>DTCTMZHZDMTTGM</v>
      </c>
    </row>
    <row r="2069">
      <c r="A2069" s="2" t="str">
        <f>IFERROR(__xludf.DUMMYFUNCTION("IF('From Order'!$A2069=COLUMNS($A2069:A2088), LEFT(INDEX(FILTER(A$1:A2068, A$1:A2068&lt;&gt;""""),COUNTA(FILTER(A$1:A2068, A$1:A2068&lt;&gt;""""))), LEN(INDEX(FILTER(A$1:A2068, A$1:A2068&lt;&gt;""""),COUNTA(FILTER(A$1:A2068, A$1:A2068&lt;&gt;""""))))-1), IF('To Order'!$A2069=COL"&amp;"UMNS($A2069:A2088), A2068&amp;RIGHT(INDIRECT(ADDRESS(ROW(A2069)-1, 'From Order'!$A2069)), 1), A2068))"),"DSPBFLLWDDVQ")</f>
        <v>DSPBFLLWDDVQ</v>
      </c>
      <c r="B2069" s="2" t="str">
        <f>IFERROR(__xludf.DUMMYFUNCTION("IF('From Order'!$A2069=COLUMNS($A2069:B2088), LEFT(INDEX(FILTER(B$1:B2068, B$1:B2068&lt;&gt;""""),COUNTA(FILTER(B$1:B2068, B$1:B2068&lt;&gt;""""))), LEN(INDEX(FILTER(B$1:B2068, B$1:B2068&lt;&gt;""""),COUNTA(FILTER(B$1:B2068, B$1:B2068&lt;&gt;""""))))-1), IF('To Order'!$A2069=COL"&amp;"UMNS($A2069:B2088), B2068&amp;RIGHT(INDIRECT(ADDRESS(ROW(B2069)-1, 'From Order'!$A2069)), 1), B2068))"),"JDPSSTWZCSFHBBVRRJM")</f>
        <v>JDPSSTWZCSFHBBVRRJM</v>
      </c>
      <c r="C2069" s="2" t="str">
        <f>IFERROR(__xludf.DUMMYFUNCTION("IF('From Order'!$A2069=COLUMNS($A2069:C2088), LEFT(INDEX(FILTER(C$1:C2068, C$1:C2068&lt;&gt;""""),COUNTA(FILTER(C$1:C2068, C$1:C2068&lt;&gt;""""))), LEN(INDEX(FILTER(C$1:C2068, C$1:C2068&lt;&gt;""""),COUNTA(FILTER(C$1:C2068, C$1:C2068&lt;&gt;""""))))-1), IF('To Order'!$A2069=COL"&amp;"UMNS($A2069:C2088), C2068&amp;RIGHT(INDIRECT(ADDRESS(ROW(C2069)-1, 'From Order'!$A2069)), 1), C2068))"),"V")</f>
        <v>V</v>
      </c>
      <c r="D2069" s="2" t="str">
        <f>IFERROR(__xludf.DUMMYFUNCTION("IF('From Order'!$A2069=COLUMNS($A2069:D2088), LEFT(INDEX(FILTER(D$1:D2068, D$1:D2068&lt;&gt;""""),COUNTA(FILTER(D$1:D2068, D$1:D2068&lt;&gt;""""))), LEN(INDEX(FILTER(D$1:D2068, D$1:D2068&lt;&gt;""""),COUNTA(FILTER(D$1:D2068, D$1:D2068&lt;&gt;""""))))-1), IF('To Order'!$A2069=COL"&amp;"UMNS($A2069:D2088), D2068&amp;RIGHT(INDIRECT(ADDRESS(ROW(D2069)-1, 'From Order'!$A2069)), 1), D2068))"),"RBJCL")</f>
        <v>RBJCL</v>
      </c>
      <c r="E2069" s="2" t="str">
        <f>IFERROR(__xludf.DUMMYFUNCTION("IF('From Order'!$A2069=COLUMNS($A2069:E2088), LEFT(INDEX(FILTER(E$1:E2068, E$1:E2068&lt;&gt;""""),COUNTA(FILTER(E$1:E2068, E$1:E2068&lt;&gt;""""))), LEN(INDEX(FILTER(E$1:E2068, E$1:E2068&lt;&gt;""""),COUNTA(FILTER(E$1:E2068, E$1:E2068&lt;&gt;""""))))-1), IF('To Order'!$A2069=COL"&amp;"UMNS($A2069:E2088), E2068&amp;RIGHT(INDIRECT(ADDRESS(ROW(E2069)-1, 'From Order'!$A2069)), 1), E2068))"),"")</f>
        <v/>
      </c>
      <c r="F2069" s="2" t="str">
        <f>IFERROR(__xludf.DUMMYFUNCTION("IF('From Order'!$A2069=COLUMNS($A2069:F2088), LEFT(INDEX(FILTER(F$1:F2068, F$1:F2068&lt;&gt;""""),COUNTA(FILTER(F$1:F2068, F$1:F2068&lt;&gt;""""))), LEN(INDEX(FILTER(F$1:F2068, F$1:F2068&lt;&gt;""""),COUNTA(FILTER(F$1:F2068, F$1:F2068&lt;&gt;""""))))-1), IF('To Order'!$A2069=COL"&amp;"UMNS($A2069:F2088), F2068&amp;RIGHT(INDIRECT(ADDRESS(ROW(F2069)-1, 'From Order'!$A2069)), 1), F2068))"),"")</f>
        <v/>
      </c>
      <c r="G2069" s="2" t="str">
        <f>IFERROR(__xludf.DUMMYFUNCTION("IF('From Order'!$A2069=COLUMNS($A2069:G2088), LEFT(INDEX(FILTER(G$1:G2068, G$1:G2068&lt;&gt;""""),COUNTA(FILTER(G$1:G2068, G$1:G2068&lt;&gt;""""))), LEN(INDEX(FILTER(G$1:G2068, G$1:G2068&lt;&gt;""""),COUNTA(FILTER(G$1:G2068, G$1:G2068&lt;&gt;""""))))-1), IF('To Order'!$A2069=COL"&amp;"UMNS($A2069:G2088), G2068&amp;RIGHT(INDIRECT(ADDRESS(ROW(G2069)-1, 'From Order'!$A2069)), 1), G2068))"),"GP")</f>
        <v>GP</v>
      </c>
      <c r="H2069" s="2" t="str">
        <f>IFERROR(__xludf.DUMMYFUNCTION("IF('From Order'!$A2069=COLUMNS($A2069:H2088), LEFT(INDEX(FILTER(H$1:H2068, H$1:H2068&lt;&gt;""""),COUNTA(FILTER(H$1:H2068, H$1:H2068&lt;&gt;""""))), LEN(INDEX(FILTER(H$1:H2068, H$1:H2068&lt;&gt;""""),COUNTA(FILTER(H$1:H2068, H$1:H2068&lt;&gt;""""))))-1), IF('To Order'!$A2069=COL"&amp;"UMNS($A2069:H2088), H2068&amp;RIGHT(INDIRECT(ADDRESS(ROW(H2069)-1, 'From Order'!$A2069)), 1), H2068))"),"QTRR")</f>
        <v>QTRR</v>
      </c>
      <c r="I2069" s="2" t="str">
        <f>IFERROR(__xludf.DUMMYFUNCTION("IF('From Order'!$A2069=COLUMNS($A2069:I2088), LEFT(INDEX(FILTER(I$1:I2068, I$1:I2068&lt;&gt;""""),COUNTA(FILTER(I$1:I2068, I$1:I2068&lt;&gt;""""))), LEN(INDEX(FILTER(I$1:I2068, I$1:I2068&lt;&gt;""""),COUNTA(FILTER(I$1:I2068, I$1:I2068&lt;&gt;""""))))-1), IF('To Order'!$A2069=COL"&amp;"UMNS($A2069:I2088), I2068&amp;RIGHT(INDIRECT(ADDRESS(ROW(I2069)-1, 'From Order'!$A2069)), 1), I2068))"),"DTCTMZHZDMTTG")</f>
        <v>DTCTMZHZDMTTG</v>
      </c>
    </row>
    <row r="2070">
      <c r="A2070" s="2" t="str">
        <f>IFERROR(__xludf.DUMMYFUNCTION("IF('From Order'!$A2070=COLUMNS($A2070:A2089), LEFT(INDEX(FILTER(A$1:A2069, A$1:A2069&lt;&gt;""""),COUNTA(FILTER(A$1:A2069, A$1:A2069&lt;&gt;""""))), LEN(INDEX(FILTER(A$1:A2069, A$1:A2069&lt;&gt;""""),COUNTA(FILTER(A$1:A2069, A$1:A2069&lt;&gt;""""))))-1), IF('To Order'!$A2070=COL"&amp;"UMNS($A2070:A2089), A2069&amp;RIGHT(INDIRECT(ADDRESS(ROW(A2070)-1, 'From Order'!$A2070)), 1), A2069))"),"DSPBFLLWDDVQ")</f>
        <v>DSPBFLLWDDVQ</v>
      </c>
      <c r="B2070" s="2" t="str">
        <f>IFERROR(__xludf.DUMMYFUNCTION("IF('From Order'!$A2070=COLUMNS($A2070:B2089), LEFT(INDEX(FILTER(B$1:B2069, B$1:B2069&lt;&gt;""""),COUNTA(FILTER(B$1:B2069, B$1:B2069&lt;&gt;""""))), LEN(INDEX(FILTER(B$1:B2069, B$1:B2069&lt;&gt;""""),COUNTA(FILTER(B$1:B2069, B$1:B2069&lt;&gt;""""))))-1), IF('To Order'!$A2070=COL"&amp;"UMNS($A2070:B2089), B2069&amp;RIGHT(INDIRECT(ADDRESS(ROW(B2070)-1, 'From Order'!$A2070)), 1), B2069))"),"JDPSSTWZCSFHBBVRRJMG")</f>
        <v>JDPSSTWZCSFHBBVRRJMG</v>
      </c>
      <c r="C2070" s="2" t="str">
        <f>IFERROR(__xludf.DUMMYFUNCTION("IF('From Order'!$A2070=COLUMNS($A2070:C2089), LEFT(INDEX(FILTER(C$1:C2069, C$1:C2069&lt;&gt;""""),COUNTA(FILTER(C$1:C2069, C$1:C2069&lt;&gt;""""))), LEN(INDEX(FILTER(C$1:C2069, C$1:C2069&lt;&gt;""""),COUNTA(FILTER(C$1:C2069, C$1:C2069&lt;&gt;""""))))-1), IF('To Order'!$A2070=COL"&amp;"UMNS($A2070:C2089), C2069&amp;RIGHT(INDIRECT(ADDRESS(ROW(C2070)-1, 'From Order'!$A2070)), 1), C2069))"),"V")</f>
        <v>V</v>
      </c>
      <c r="D2070" s="2" t="str">
        <f>IFERROR(__xludf.DUMMYFUNCTION("IF('From Order'!$A2070=COLUMNS($A2070:D2089), LEFT(INDEX(FILTER(D$1:D2069, D$1:D2069&lt;&gt;""""),COUNTA(FILTER(D$1:D2069, D$1:D2069&lt;&gt;""""))), LEN(INDEX(FILTER(D$1:D2069, D$1:D2069&lt;&gt;""""),COUNTA(FILTER(D$1:D2069, D$1:D2069&lt;&gt;""""))))-1), IF('To Order'!$A2070=COL"&amp;"UMNS($A2070:D2089), D2069&amp;RIGHT(INDIRECT(ADDRESS(ROW(D2070)-1, 'From Order'!$A2070)), 1), D2069))"),"RBJCL")</f>
        <v>RBJCL</v>
      </c>
      <c r="E2070" s="2" t="str">
        <f>IFERROR(__xludf.DUMMYFUNCTION("IF('From Order'!$A2070=COLUMNS($A2070:E2089), LEFT(INDEX(FILTER(E$1:E2069, E$1:E2069&lt;&gt;""""),COUNTA(FILTER(E$1:E2069, E$1:E2069&lt;&gt;""""))), LEN(INDEX(FILTER(E$1:E2069, E$1:E2069&lt;&gt;""""),COUNTA(FILTER(E$1:E2069, E$1:E2069&lt;&gt;""""))))-1), IF('To Order'!$A2070=COL"&amp;"UMNS($A2070:E2089), E2069&amp;RIGHT(INDIRECT(ADDRESS(ROW(E2070)-1, 'From Order'!$A2070)), 1), E2069))"),"")</f>
        <v/>
      </c>
      <c r="F2070" s="2" t="str">
        <f>IFERROR(__xludf.DUMMYFUNCTION("IF('From Order'!$A2070=COLUMNS($A2070:F2089), LEFT(INDEX(FILTER(F$1:F2069, F$1:F2069&lt;&gt;""""),COUNTA(FILTER(F$1:F2069, F$1:F2069&lt;&gt;""""))), LEN(INDEX(FILTER(F$1:F2069, F$1:F2069&lt;&gt;""""),COUNTA(FILTER(F$1:F2069, F$1:F2069&lt;&gt;""""))))-1), IF('To Order'!$A2070=COL"&amp;"UMNS($A2070:F2089), F2069&amp;RIGHT(INDIRECT(ADDRESS(ROW(F2070)-1, 'From Order'!$A2070)), 1), F2069))"),"")</f>
        <v/>
      </c>
      <c r="G2070" s="2" t="str">
        <f>IFERROR(__xludf.DUMMYFUNCTION("IF('From Order'!$A2070=COLUMNS($A2070:G2089), LEFT(INDEX(FILTER(G$1:G2069, G$1:G2069&lt;&gt;""""),COUNTA(FILTER(G$1:G2069, G$1:G2069&lt;&gt;""""))), LEN(INDEX(FILTER(G$1:G2069, G$1:G2069&lt;&gt;""""),COUNTA(FILTER(G$1:G2069, G$1:G2069&lt;&gt;""""))))-1), IF('To Order'!$A2070=COL"&amp;"UMNS($A2070:G2089), G2069&amp;RIGHT(INDIRECT(ADDRESS(ROW(G2070)-1, 'From Order'!$A2070)), 1), G2069))"),"GP")</f>
        <v>GP</v>
      </c>
      <c r="H2070" s="2" t="str">
        <f>IFERROR(__xludf.DUMMYFUNCTION("IF('From Order'!$A2070=COLUMNS($A2070:H2089), LEFT(INDEX(FILTER(H$1:H2069, H$1:H2069&lt;&gt;""""),COUNTA(FILTER(H$1:H2069, H$1:H2069&lt;&gt;""""))), LEN(INDEX(FILTER(H$1:H2069, H$1:H2069&lt;&gt;""""),COUNTA(FILTER(H$1:H2069, H$1:H2069&lt;&gt;""""))))-1), IF('To Order'!$A2070=COL"&amp;"UMNS($A2070:H2089), H2069&amp;RIGHT(INDIRECT(ADDRESS(ROW(H2070)-1, 'From Order'!$A2070)), 1), H2069))"),"QTRR")</f>
        <v>QTRR</v>
      </c>
      <c r="I2070" s="2" t="str">
        <f>IFERROR(__xludf.DUMMYFUNCTION("IF('From Order'!$A2070=COLUMNS($A2070:I2089), LEFT(INDEX(FILTER(I$1:I2069, I$1:I2069&lt;&gt;""""),COUNTA(FILTER(I$1:I2069, I$1:I2069&lt;&gt;""""))), LEN(INDEX(FILTER(I$1:I2069, I$1:I2069&lt;&gt;""""),COUNTA(FILTER(I$1:I2069, I$1:I2069&lt;&gt;""""))))-1), IF('To Order'!$A2070=COL"&amp;"UMNS($A2070:I2089), I2069&amp;RIGHT(INDIRECT(ADDRESS(ROW(I2070)-1, 'From Order'!$A2070)), 1), I2069))"),"DTCTMZHZDMTT")</f>
        <v>DTCTMZHZDMTT</v>
      </c>
    </row>
    <row r="2071">
      <c r="A2071" s="2" t="str">
        <f>IFERROR(__xludf.DUMMYFUNCTION("IF('From Order'!$A2071=COLUMNS($A2071:A2090), LEFT(INDEX(FILTER(A$1:A2070, A$1:A2070&lt;&gt;""""),COUNTA(FILTER(A$1:A2070, A$1:A2070&lt;&gt;""""))), LEN(INDEX(FILTER(A$1:A2070, A$1:A2070&lt;&gt;""""),COUNTA(FILTER(A$1:A2070, A$1:A2070&lt;&gt;""""))))-1), IF('To Order'!$A2071=COL"&amp;"UMNS($A2071:A2090), A2070&amp;RIGHT(INDIRECT(ADDRESS(ROW(A2071)-1, 'From Order'!$A2071)), 1), A2070))"),"DSPBFLLWDDVQ")</f>
        <v>DSPBFLLWDDVQ</v>
      </c>
      <c r="B2071" s="2" t="str">
        <f>IFERROR(__xludf.DUMMYFUNCTION("IF('From Order'!$A2071=COLUMNS($A2071:B2090), LEFT(INDEX(FILTER(B$1:B2070, B$1:B2070&lt;&gt;""""),COUNTA(FILTER(B$1:B2070, B$1:B2070&lt;&gt;""""))), LEN(INDEX(FILTER(B$1:B2070, B$1:B2070&lt;&gt;""""),COUNTA(FILTER(B$1:B2070, B$1:B2070&lt;&gt;""""))))-1), IF('To Order'!$A2071=COL"&amp;"UMNS($A2071:B2090), B2070&amp;RIGHT(INDIRECT(ADDRESS(ROW(B2071)-1, 'From Order'!$A2071)), 1), B2070))"),"JDPSSTWZCSFHBBVRRJMGT")</f>
        <v>JDPSSTWZCSFHBBVRRJMGT</v>
      </c>
      <c r="C2071" s="2" t="str">
        <f>IFERROR(__xludf.DUMMYFUNCTION("IF('From Order'!$A2071=COLUMNS($A2071:C2090), LEFT(INDEX(FILTER(C$1:C2070, C$1:C2070&lt;&gt;""""),COUNTA(FILTER(C$1:C2070, C$1:C2070&lt;&gt;""""))), LEN(INDEX(FILTER(C$1:C2070, C$1:C2070&lt;&gt;""""),COUNTA(FILTER(C$1:C2070, C$1:C2070&lt;&gt;""""))))-1), IF('To Order'!$A2071=COL"&amp;"UMNS($A2071:C2090), C2070&amp;RIGHT(INDIRECT(ADDRESS(ROW(C2071)-1, 'From Order'!$A2071)), 1), C2070))"),"V")</f>
        <v>V</v>
      </c>
      <c r="D2071" s="2" t="str">
        <f>IFERROR(__xludf.DUMMYFUNCTION("IF('From Order'!$A2071=COLUMNS($A2071:D2090), LEFT(INDEX(FILTER(D$1:D2070, D$1:D2070&lt;&gt;""""),COUNTA(FILTER(D$1:D2070, D$1:D2070&lt;&gt;""""))), LEN(INDEX(FILTER(D$1:D2070, D$1:D2070&lt;&gt;""""),COUNTA(FILTER(D$1:D2070, D$1:D2070&lt;&gt;""""))))-1), IF('To Order'!$A2071=COL"&amp;"UMNS($A2071:D2090), D2070&amp;RIGHT(INDIRECT(ADDRESS(ROW(D2071)-1, 'From Order'!$A2071)), 1), D2070))"),"RBJCL")</f>
        <v>RBJCL</v>
      </c>
      <c r="E2071" s="2" t="str">
        <f>IFERROR(__xludf.DUMMYFUNCTION("IF('From Order'!$A2071=COLUMNS($A2071:E2090), LEFT(INDEX(FILTER(E$1:E2070, E$1:E2070&lt;&gt;""""),COUNTA(FILTER(E$1:E2070, E$1:E2070&lt;&gt;""""))), LEN(INDEX(FILTER(E$1:E2070, E$1:E2070&lt;&gt;""""),COUNTA(FILTER(E$1:E2070, E$1:E2070&lt;&gt;""""))))-1), IF('To Order'!$A2071=COL"&amp;"UMNS($A2071:E2090), E2070&amp;RIGHT(INDIRECT(ADDRESS(ROW(E2071)-1, 'From Order'!$A2071)), 1), E2070))"),"")</f>
        <v/>
      </c>
      <c r="F2071" s="2" t="str">
        <f>IFERROR(__xludf.DUMMYFUNCTION("IF('From Order'!$A2071=COLUMNS($A2071:F2090), LEFT(INDEX(FILTER(F$1:F2070, F$1:F2070&lt;&gt;""""),COUNTA(FILTER(F$1:F2070, F$1:F2070&lt;&gt;""""))), LEN(INDEX(FILTER(F$1:F2070, F$1:F2070&lt;&gt;""""),COUNTA(FILTER(F$1:F2070, F$1:F2070&lt;&gt;""""))))-1), IF('To Order'!$A2071=COL"&amp;"UMNS($A2071:F2090), F2070&amp;RIGHT(INDIRECT(ADDRESS(ROW(F2071)-1, 'From Order'!$A2071)), 1), F2070))"),"")</f>
        <v/>
      </c>
      <c r="G2071" s="2" t="str">
        <f>IFERROR(__xludf.DUMMYFUNCTION("IF('From Order'!$A2071=COLUMNS($A2071:G2090), LEFT(INDEX(FILTER(G$1:G2070, G$1:G2070&lt;&gt;""""),COUNTA(FILTER(G$1:G2070, G$1:G2070&lt;&gt;""""))), LEN(INDEX(FILTER(G$1:G2070, G$1:G2070&lt;&gt;""""),COUNTA(FILTER(G$1:G2070, G$1:G2070&lt;&gt;""""))))-1), IF('To Order'!$A2071=COL"&amp;"UMNS($A2071:G2090), G2070&amp;RIGHT(INDIRECT(ADDRESS(ROW(G2071)-1, 'From Order'!$A2071)), 1), G2070))"),"GP")</f>
        <v>GP</v>
      </c>
      <c r="H2071" s="2" t="str">
        <f>IFERROR(__xludf.DUMMYFUNCTION("IF('From Order'!$A2071=COLUMNS($A2071:H2090), LEFT(INDEX(FILTER(H$1:H2070, H$1:H2070&lt;&gt;""""),COUNTA(FILTER(H$1:H2070, H$1:H2070&lt;&gt;""""))), LEN(INDEX(FILTER(H$1:H2070, H$1:H2070&lt;&gt;""""),COUNTA(FILTER(H$1:H2070, H$1:H2070&lt;&gt;""""))))-1), IF('To Order'!$A2071=COL"&amp;"UMNS($A2071:H2090), H2070&amp;RIGHT(INDIRECT(ADDRESS(ROW(H2071)-1, 'From Order'!$A2071)), 1), H2070))"),"QTRR")</f>
        <v>QTRR</v>
      </c>
      <c r="I2071" s="2" t="str">
        <f>IFERROR(__xludf.DUMMYFUNCTION("IF('From Order'!$A2071=COLUMNS($A2071:I2090), LEFT(INDEX(FILTER(I$1:I2070, I$1:I2070&lt;&gt;""""),COUNTA(FILTER(I$1:I2070, I$1:I2070&lt;&gt;""""))), LEN(INDEX(FILTER(I$1:I2070, I$1:I2070&lt;&gt;""""),COUNTA(FILTER(I$1:I2070, I$1:I2070&lt;&gt;""""))))-1), IF('To Order'!$A2071=COL"&amp;"UMNS($A2071:I2090), I2070&amp;RIGHT(INDIRECT(ADDRESS(ROW(I2071)-1, 'From Order'!$A2071)), 1), I2070))"),"DTCTMZHZDMT")</f>
        <v>DTCTMZHZDMT</v>
      </c>
    </row>
    <row r="2072">
      <c r="A2072" s="2" t="str">
        <f>IFERROR(__xludf.DUMMYFUNCTION("IF('From Order'!$A2072=COLUMNS($A2072:A2091), LEFT(INDEX(FILTER(A$1:A2071, A$1:A2071&lt;&gt;""""),COUNTA(FILTER(A$1:A2071, A$1:A2071&lt;&gt;""""))), LEN(INDEX(FILTER(A$1:A2071, A$1:A2071&lt;&gt;""""),COUNTA(FILTER(A$1:A2071, A$1:A2071&lt;&gt;""""))))-1), IF('To Order'!$A2072=COL"&amp;"UMNS($A2072:A2091), A2071&amp;RIGHT(INDIRECT(ADDRESS(ROW(A2072)-1, 'From Order'!$A2072)), 1), A2071))"),"DSPBFLLWDDVQ")</f>
        <v>DSPBFLLWDDVQ</v>
      </c>
      <c r="B2072" s="2" t="str">
        <f>IFERROR(__xludf.DUMMYFUNCTION("IF('From Order'!$A2072=COLUMNS($A2072:B2091), LEFT(INDEX(FILTER(B$1:B2071, B$1:B2071&lt;&gt;""""),COUNTA(FILTER(B$1:B2071, B$1:B2071&lt;&gt;""""))), LEN(INDEX(FILTER(B$1:B2071, B$1:B2071&lt;&gt;""""),COUNTA(FILTER(B$1:B2071, B$1:B2071&lt;&gt;""""))))-1), IF('To Order'!$A2072=COL"&amp;"UMNS($A2072:B2091), B2071&amp;RIGHT(INDIRECT(ADDRESS(ROW(B2072)-1, 'From Order'!$A2072)), 1), B2071))"),"JDPSSTWZCSFHBBVRRJMGTT")</f>
        <v>JDPSSTWZCSFHBBVRRJMGTT</v>
      </c>
      <c r="C2072" s="2" t="str">
        <f>IFERROR(__xludf.DUMMYFUNCTION("IF('From Order'!$A2072=COLUMNS($A2072:C2091), LEFT(INDEX(FILTER(C$1:C2071, C$1:C2071&lt;&gt;""""),COUNTA(FILTER(C$1:C2071, C$1:C2071&lt;&gt;""""))), LEN(INDEX(FILTER(C$1:C2071, C$1:C2071&lt;&gt;""""),COUNTA(FILTER(C$1:C2071, C$1:C2071&lt;&gt;""""))))-1), IF('To Order'!$A2072=COL"&amp;"UMNS($A2072:C2091), C2071&amp;RIGHT(INDIRECT(ADDRESS(ROW(C2072)-1, 'From Order'!$A2072)), 1), C2071))"),"V")</f>
        <v>V</v>
      </c>
      <c r="D2072" s="2" t="str">
        <f>IFERROR(__xludf.DUMMYFUNCTION("IF('From Order'!$A2072=COLUMNS($A2072:D2091), LEFT(INDEX(FILTER(D$1:D2071, D$1:D2071&lt;&gt;""""),COUNTA(FILTER(D$1:D2071, D$1:D2071&lt;&gt;""""))), LEN(INDEX(FILTER(D$1:D2071, D$1:D2071&lt;&gt;""""),COUNTA(FILTER(D$1:D2071, D$1:D2071&lt;&gt;""""))))-1), IF('To Order'!$A2072=COL"&amp;"UMNS($A2072:D2091), D2071&amp;RIGHT(INDIRECT(ADDRESS(ROW(D2072)-1, 'From Order'!$A2072)), 1), D2071))"),"RBJCL")</f>
        <v>RBJCL</v>
      </c>
      <c r="E2072" s="2" t="str">
        <f>IFERROR(__xludf.DUMMYFUNCTION("IF('From Order'!$A2072=COLUMNS($A2072:E2091), LEFT(INDEX(FILTER(E$1:E2071, E$1:E2071&lt;&gt;""""),COUNTA(FILTER(E$1:E2071, E$1:E2071&lt;&gt;""""))), LEN(INDEX(FILTER(E$1:E2071, E$1:E2071&lt;&gt;""""),COUNTA(FILTER(E$1:E2071, E$1:E2071&lt;&gt;""""))))-1), IF('To Order'!$A2072=COL"&amp;"UMNS($A2072:E2091), E2071&amp;RIGHT(INDIRECT(ADDRESS(ROW(E2072)-1, 'From Order'!$A2072)), 1), E2071))"),"")</f>
        <v/>
      </c>
      <c r="F2072" s="2" t="str">
        <f>IFERROR(__xludf.DUMMYFUNCTION("IF('From Order'!$A2072=COLUMNS($A2072:F2091), LEFT(INDEX(FILTER(F$1:F2071, F$1:F2071&lt;&gt;""""),COUNTA(FILTER(F$1:F2071, F$1:F2071&lt;&gt;""""))), LEN(INDEX(FILTER(F$1:F2071, F$1:F2071&lt;&gt;""""),COUNTA(FILTER(F$1:F2071, F$1:F2071&lt;&gt;""""))))-1), IF('To Order'!$A2072=COL"&amp;"UMNS($A2072:F2091), F2071&amp;RIGHT(INDIRECT(ADDRESS(ROW(F2072)-1, 'From Order'!$A2072)), 1), F2071))"),"")</f>
        <v/>
      </c>
      <c r="G2072" s="2" t="str">
        <f>IFERROR(__xludf.DUMMYFUNCTION("IF('From Order'!$A2072=COLUMNS($A2072:G2091), LEFT(INDEX(FILTER(G$1:G2071, G$1:G2071&lt;&gt;""""),COUNTA(FILTER(G$1:G2071, G$1:G2071&lt;&gt;""""))), LEN(INDEX(FILTER(G$1:G2071, G$1:G2071&lt;&gt;""""),COUNTA(FILTER(G$1:G2071, G$1:G2071&lt;&gt;""""))))-1), IF('To Order'!$A2072=COL"&amp;"UMNS($A2072:G2091), G2071&amp;RIGHT(INDIRECT(ADDRESS(ROW(G2072)-1, 'From Order'!$A2072)), 1), G2071))"),"GP")</f>
        <v>GP</v>
      </c>
      <c r="H2072" s="2" t="str">
        <f>IFERROR(__xludf.DUMMYFUNCTION("IF('From Order'!$A2072=COLUMNS($A2072:H2091), LEFT(INDEX(FILTER(H$1:H2071, H$1:H2071&lt;&gt;""""),COUNTA(FILTER(H$1:H2071, H$1:H2071&lt;&gt;""""))), LEN(INDEX(FILTER(H$1:H2071, H$1:H2071&lt;&gt;""""),COUNTA(FILTER(H$1:H2071, H$1:H2071&lt;&gt;""""))))-1), IF('To Order'!$A2072=COL"&amp;"UMNS($A2072:H2091), H2071&amp;RIGHT(INDIRECT(ADDRESS(ROW(H2072)-1, 'From Order'!$A2072)), 1), H2071))"),"QTRR")</f>
        <v>QTRR</v>
      </c>
      <c r="I2072" s="2" t="str">
        <f>IFERROR(__xludf.DUMMYFUNCTION("IF('From Order'!$A2072=COLUMNS($A2072:I2091), LEFT(INDEX(FILTER(I$1:I2071, I$1:I2071&lt;&gt;""""),COUNTA(FILTER(I$1:I2071, I$1:I2071&lt;&gt;""""))), LEN(INDEX(FILTER(I$1:I2071, I$1:I2071&lt;&gt;""""),COUNTA(FILTER(I$1:I2071, I$1:I2071&lt;&gt;""""))))-1), IF('To Order'!$A2072=COL"&amp;"UMNS($A2072:I2091), I2071&amp;RIGHT(INDIRECT(ADDRESS(ROW(I2072)-1, 'From Order'!$A2072)), 1), I2071))"),"DTCTMZHZDM")</f>
        <v>DTCTMZHZDM</v>
      </c>
    </row>
    <row r="2073">
      <c r="A2073" s="2" t="str">
        <f>IFERROR(__xludf.DUMMYFUNCTION("IF('From Order'!$A2073=COLUMNS($A2073:A2092), LEFT(INDEX(FILTER(A$1:A2072, A$1:A2072&lt;&gt;""""),COUNTA(FILTER(A$1:A2072, A$1:A2072&lt;&gt;""""))), LEN(INDEX(FILTER(A$1:A2072, A$1:A2072&lt;&gt;""""),COUNTA(FILTER(A$1:A2072, A$1:A2072&lt;&gt;""""))))-1), IF('To Order'!$A2073=COL"&amp;"UMNS($A2073:A2092), A2072&amp;RIGHT(INDIRECT(ADDRESS(ROW(A2073)-1, 'From Order'!$A2073)), 1), A2072))"),"DSPBFLLWDDVQ")</f>
        <v>DSPBFLLWDDVQ</v>
      </c>
      <c r="B2073" s="2" t="str">
        <f>IFERROR(__xludf.DUMMYFUNCTION("IF('From Order'!$A2073=COLUMNS($A2073:B2092), LEFT(INDEX(FILTER(B$1:B2072, B$1:B2072&lt;&gt;""""),COUNTA(FILTER(B$1:B2072, B$1:B2072&lt;&gt;""""))), LEN(INDEX(FILTER(B$1:B2072, B$1:B2072&lt;&gt;""""),COUNTA(FILTER(B$1:B2072, B$1:B2072&lt;&gt;""""))))-1), IF('To Order'!$A2073=COL"&amp;"UMNS($A2073:B2092), B2072&amp;RIGHT(INDIRECT(ADDRESS(ROW(B2073)-1, 'From Order'!$A2073)), 1), B2072))"),"JDPSSTWZCSFHBBVRRJMGTTM")</f>
        <v>JDPSSTWZCSFHBBVRRJMGTTM</v>
      </c>
      <c r="C2073" s="2" t="str">
        <f>IFERROR(__xludf.DUMMYFUNCTION("IF('From Order'!$A2073=COLUMNS($A2073:C2092), LEFT(INDEX(FILTER(C$1:C2072, C$1:C2072&lt;&gt;""""),COUNTA(FILTER(C$1:C2072, C$1:C2072&lt;&gt;""""))), LEN(INDEX(FILTER(C$1:C2072, C$1:C2072&lt;&gt;""""),COUNTA(FILTER(C$1:C2072, C$1:C2072&lt;&gt;""""))))-1), IF('To Order'!$A2073=COL"&amp;"UMNS($A2073:C2092), C2072&amp;RIGHT(INDIRECT(ADDRESS(ROW(C2073)-1, 'From Order'!$A2073)), 1), C2072))"),"V")</f>
        <v>V</v>
      </c>
      <c r="D2073" s="2" t="str">
        <f>IFERROR(__xludf.DUMMYFUNCTION("IF('From Order'!$A2073=COLUMNS($A2073:D2092), LEFT(INDEX(FILTER(D$1:D2072, D$1:D2072&lt;&gt;""""),COUNTA(FILTER(D$1:D2072, D$1:D2072&lt;&gt;""""))), LEN(INDEX(FILTER(D$1:D2072, D$1:D2072&lt;&gt;""""),COUNTA(FILTER(D$1:D2072, D$1:D2072&lt;&gt;""""))))-1), IF('To Order'!$A2073=COL"&amp;"UMNS($A2073:D2092), D2072&amp;RIGHT(INDIRECT(ADDRESS(ROW(D2073)-1, 'From Order'!$A2073)), 1), D2072))"),"RBJCL")</f>
        <v>RBJCL</v>
      </c>
      <c r="E2073" s="2" t="str">
        <f>IFERROR(__xludf.DUMMYFUNCTION("IF('From Order'!$A2073=COLUMNS($A2073:E2092), LEFT(INDEX(FILTER(E$1:E2072, E$1:E2072&lt;&gt;""""),COUNTA(FILTER(E$1:E2072, E$1:E2072&lt;&gt;""""))), LEN(INDEX(FILTER(E$1:E2072, E$1:E2072&lt;&gt;""""),COUNTA(FILTER(E$1:E2072, E$1:E2072&lt;&gt;""""))))-1), IF('To Order'!$A2073=COL"&amp;"UMNS($A2073:E2092), E2072&amp;RIGHT(INDIRECT(ADDRESS(ROW(E2073)-1, 'From Order'!$A2073)), 1), E2072))"),"")</f>
        <v/>
      </c>
      <c r="F2073" s="2" t="str">
        <f>IFERROR(__xludf.DUMMYFUNCTION("IF('From Order'!$A2073=COLUMNS($A2073:F2092), LEFT(INDEX(FILTER(F$1:F2072, F$1:F2072&lt;&gt;""""),COUNTA(FILTER(F$1:F2072, F$1:F2072&lt;&gt;""""))), LEN(INDEX(FILTER(F$1:F2072, F$1:F2072&lt;&gt;""""),COUNTA(FILTER(F$1:F2072, F$1:F2072&lt;&gt;""""))))-1), IF('To Order'!$A2073=COL"&amp;"UMNS($A2073:F2092), F2072&amp;RIGHT(INDIRECT(ADDRESS(ROW(F2073)-1, 'From Order'!$A2073)), 1), F2072))"),"")</f>
        <v/>
      </c>
      <c r="G2073" s="2" t="str">
        <f>IFERROR(__xludf.DUMMYFUNCTION("IF('From Order'!$A2073=COLUMNS($A2073:G2092), LEFT(INDEX(FILTER(G$1:G2072, G$1:G2072&lt;&gt;""""),COUNTA(FILTER(G$1:G2072, G$1:G2072&lt;&gt;""""))), LEN(INDEX(FILTER(G$1:G2072, G$1:G2072&lt;&gt;""""),COUNTA(FILTER(G$1:G2072, G$1:G2072&lt;&gt;""""))))-1), IF('To Order'!$A2073=COL"&amp;"UMNS($A2073:G2092), G2072&amp;RIGHT(INDIRECT(ADDRESS(ROW(G2073)-1, 'From Order'!$A2073)), 1), G2072))"),"GP")</f>
        <v>GP</v>
      </c>
      <c r="H2073" s="2" t="str">
        <f>IFERROR(__xludf.DUMMYFUNCTION("IF('From Order'!$A2073=COLUMNS($A2073:H2092), LEFT(INDEX(FILTER(H$1:H2072, H$1:H2072&lt;&gt;""""),COUNTA(FILTER(H$1:H2072, H$1:H2072&lt;&gt;""""))), LEN(INDEX(FILTER(H$1:H2072, H$1:H2072&lt;&gt;""""),COUNTA(FILTER(H$1:H2072, H$1:H2072&lt;&gt;""""))))-1), IF('To Order'!$A2073=COL"&amp;"UMNS($A2073:H2092), H2072&amp;RIGHT(INDIRECT(ADDRESS(ROW(H2073)-1, 'From Order'!$A2073)), 1), H2072))"),"QTRR")</f>
        <v>QTRR</v>
      </c>
      <c r="I2073" s="2" t="str">
        <f>IFERROR(__xludf.DUMMYFUNCTION("IF('From Order'!$A2073=COLUMNS($A2073:I2092), LEFT(INDEX(FILTER(I$1:I2072, I$1:I2072&lt;&gt;""""),COUNTA(FILTER(I$1:I2072, I$1:I2072&lt;&gt;""""))), LEN(INDEX(FILTER(I$1:I2072, I$1:I2072&lt;&gt;""""),COUNTA(FILTER(I$1:I2072, I$1:I2072&lt;&gt;""""))))-1), IF('To Order'!$A2073=COL"&amp;"UMNS($A2073:I2092), I2072&amp;RIGHT(INDIRECT(ADDRESS(ROW(I2073)-1, 'From Order'!$A2073)), 1), I2072))"),"DTCTMZHZD")</f>
        <v>DTCTMZHZD</v>
      </c>
    </row>
    <row r="2074">
      <c r="A2074" s="2" t="str">
        <f>IFERROR(__xludf.DUMMYFUNCTION("IF('From Order'!$A2074=COLUMNS($A2074:A2093), LEFT(INDEX(FILTER(A$1:A2073, A$1:A2073&lt;&gt;""""),COUNTA(FILTER(A$1:A2073, A$1:A2073&lt;&gt;""""))), LEN(INDEX(FILTER(A$1:A2073, A$1:A2073&lt;&gt;""""),COUNTA(FILTER(A$1:A2073, A$1:A2073&lt;&gt;""""))))-1), IF('To Order'!$A2074=COL"&amp;"UMNS($A2074:A2093), A2073&amp;RIGHT(INDIRECT(ADDRESS(ROW(A2074)-1, 'From Order'!$A2074)), 1), A2073))"),"DSPBFLLWDDVQ")</f>
        <v>DSPBFLLWDDVQ</v>
      </c>
      <c r="B2074" s="2" t="str">
        <f>IFERROR(__xludf.DUMMYFUNCTION("IF('From Order'!$A2074=COLUMNS($A2074:B2093), LEFT(INDEX(FILTER(B$1:B2073, B$1:B2073&lt;&gt;""""),COUNTA(FILTER(B$1:B2073, B$1:B2073&lt;&gt;""""))), LEN(INDEX(FILTER(B$1:B2073, B$1:B2073&lt;&gt;""""),COUNTA(FILTER(B$1:B2073, B$1:B2073&lt;&gt;""""))))-1), IF('To Order'!$A2074=COL"&amp;"UMNS($A2074:B2093), B2073&amp;RIGHT(INDIRECT(ADDRESS(ROW(B2074)-1, 'From Order'!$A2074)), 1), B2073))"),"JDPSSTWZCSFHBBVRRJMGTTMD")</f>
        <v>JDPSSTWZCSFHBBVRRJMGTTMD</v>
      </c>
      <c r="C2074" s="2" t="str">
        <f>IFERROR(__xludf.DUMMYFUNCTION("IF('From Order'!$A2074=COLUMNS($A2074:C2093), LEFT(INDEX(FILTER(C$1:C2073, C$1:C2073&lt;&gt;""""),COUNTA(FILTER(C$1:C2073, C$1:C2073&lt;&gt;""""))), LEN(INDEX(FILTER(C$1:C2073, C$1:C2073&lt;&gt;""""),COUNTA(FILTER(C$1:C2073, C$1:C2073&lt;&gt;""""))))-1), IF('To Order'!$A2074=COL"&amp;"UMNS($A2074:C2093), C2073&amp;RIGHT(INDIRECT(ADDRESS(ROW(C2074)-1, 'From Order'!$A2074)), 1), C2073))"),"V")</f>
        <v>V</v>
      </c>
      <c r="D2074" s="2" t="str">
        <f>IFERROR(__xludf.DUMMYFUNCTION("IF('From Order'!$A2074=COLUMNS($A2074:D2093), LEFT(INDEX(FILTER(D$1:D2073, D$1:D2073&lt;&gt;""""),COUNTA(FILTER(D$1:D2073, D$1:D2073&lt;&gt;""""))), LEN(INDEX(FILTER(D$1:D2073, D$1:D2073&lt;&gt;""""),COUNTA(FILTER(D$1:D2073, D$1:D2073&lt;&gt;""""))))-1), IF('To Order'!$A2074=COL"&amp;"UMNS($A2074:D2093), D2073&amp;RIGHT(INDIRECT(ADDRESS(ROW(D2074)-1, 'From Order'!$A2074)), 1), D2073))"),"RBJCL")</f>
        <v>RBJCL</v>
      </c>
      <c r="E2074" s="2" t="str">
        <f>IFERROR(__xludf.DUMMYFUNCTION("IF('From Order'!$A2074=COLUMNS($A2074:E2093), LEFT(INDEX(FILTER(E$1:E2073, E$1:E2073&lt;&gt;""""),COUNTA(FILTER(E$1:E2073, E$1:E2073&lt;&gt;""""))), LEN(INDEX(FILTER(E$1:E2073, E$1:E2073&lt;&gt;""""),COUNTA(FILTER(E$1:E2073, E$1:E2073&lt;&gt;""""))))-1), IF('To Order'!$A2074=COL"&amp;"UMNS($A2074:E2093), E2073&amp;RIGHT(INDIRECT(ADDRESS(ROW(E2074)-1, 'From Order'!$A2074)), 1), E2073))"),"")</f>
        <v/>
      </c>
      <c r="F2074" s="2" t="str">
        <f>IFERROR(__xludf.DUMMYFUNCTION("IF('From Order'!$A2074=COLUMNS($A2074:F2093), LEFT(INDEX(FILTER(F$1:F2073, F$1:F2073&lt;&gt;""""),COUNTA(FILTER(F$1:F2073, F$1:F2073&lt;&gt;""""))), LEN(INDEX(FILTER(F$1:F2073, F$1:F2073&lt;&gt;""""),COUNTA(FILTER(F$1:F2073, F$1:F2073&lt;&gt;""""))))-1), IF('To Order'!$A2074=COL"&amp;"UMNS($A2074:F2093), F2073&amp;RIGHT(INDIRECT(ADDRESS(ROW(F2074)-1, 'From Order'!$A2074)), 1), F2073))"),"")</f>
        <v/>
      </c>
      <c r="G2074" s="2" t="str">
        <f>IFERROR(__xludf.DUMMYFUNCTION("IF('From Order'!$A2074=COLUMNS($A2074:G2093), LEFT(INDEX(FILTER(G$1:G2073, G$1:G2073&lt;&gt;""""),COUNTA(FILTER(G$1:G2073, G$1:G2073&lt;&gt;""""))), LEN(INDEX(FILTER(G$1:G2073, G$1:G2073&lt;&gt;""""),COUNTA(FILTER(G$1:G2073, G$1:G2073&lt;&gt;""""))))-1), IF('To Order'!$A2074=COL"&amp;"UMNS($A2074:G2093), G2073&amp;RIGHT(INDIRECT(ADDRESS(ROW(G2074)-1, 'From Order'!$A2074)), 1), G2073))"),"GP")</f>
        <v>GP</v>
      </c>
      <c r="H2074" s="2" t="str">
        <f>IFERROR(__xludf.DUMMYFUNCTION("IF('From Order'!$A2074=COLUMNS($A2074:H2093), LEFT(INDEX(FILTER(H$1:H2073, H$1:H2073&lt;&gt;""""),COUNTA(FILTER(H$1:H2073, H$1:H2073&lt;&gt;""""))), LEN(INDEX(FILTER(H$1:H2073, H$1:H2073&lt;&gt;""""),COUNTA(FILTER(H$1:H2073, H$1:H2073&lt;&gt;""""))))-1), IF('To Order'!$A2074=COL"&amp;"UMNS($A2074:H2093), H2073&amp;RIGHT(INDIRECT(ADDRESS(ROW(H2074)-1, 'From Order'!$A2074)), 1), H2073))"),"QTRR")</f>
        <v>QTRR</v>
      </c>
      <c r="I2074" s="2" t="str">
        <f>IFERROR(__xludf.DUMMYFUNCTION("IF('From Order'!$A2074=COLUMNS($A2074:I2093), LEFT(INDEX(FILTER(I$1:I2073, I$1:I2073&lt;&gt;""""),COUNTA(FILTER(I$1:I2073, I$1:I2073&lt;&gt;""""))), LEN(INDEX(FILTER(I$1:I2073, I$1:I2073&lt;&gt;""""),COUNTA(FILTER(I$1:I2073, I$1:I2073&lt;&gt;""""))))-1), IF('To Order'!$A2074=COL"&amp;"UMNS($A2074:I2093), I2073&amp;RIGHT(INDIRECT(ADDRESS(ROW(I2074)-1, 'From Order'!$A2074)), 1), I2073))"),"DTCTMZHZ")</f>
        <v>DTCTMZHZ</v>
      </c>
    </row>
    <row r="2075">
      <c r="A2075" s="2" t="str">
        <f>IFERROR(__xludf.DUMMYFUNCTION("IF('From Order'!$A2075=COLUMNS($A2075:A2094), LEFT(INDEX(FILTER(A$1:A2074, A$1:A2074&lt;&gt;""""),COUNTA(FILTER(A$1:A2074, A$1:A2074&lt;&gt;""""))), LEN(INDEX(FILTER(A$1:A2074, A$1:A2074&lt;&gt;""""),COUNTA(FILTER(A$1:A2074, A$1:A2074&lt;&gt;""""))))-1), IF('To Order'!$A2075=COL"&amp;"UMNS($A2075:A2094), A2074&amp;RIGHT(INDIRECT(ADDRESS(ROW(A2075)-1, 'From Order'!$A2075)), 1), A2074))"),"DSPBFLLWDDVQ")</f>
        <v>DSPBFLLWDDVQ</v>
      </c>
      <c r="B2075" s="2" t="str">
        <f>IFERROR(__xludf.DUMMYFUNCTION("IF('From Order'!$A2075=COLUMNS($A2075:B2094), LEFT(INDEX(FILTER(B$1:B2074, B$1:B2074&lt;&gt;""""),COUNTA(FILTER(B$1:B2074, B$1:B2074&lt;&gt;""""))), LEN(INDEX(FILTER(B$1:B2074, B$1:B2074&lt;&gt;""""),COUNTA(FILTER(B$1:B2074, B$1:B2074&lt;&gt;""""))))-1), IF('To Order'!$A2075=COL"&amp;"UMNS($A2075:B2094), B2074&amp;RIGHT(INDIRECT(ADDRESS(ROW(B2075)-1, 'From Order'!$A2075)), 1), B2074))"),"JDPSSTWZCSFHBBVRRJMGTTMDZ")</f>
        <v>JDPSSTWZCSFHBBVRRJMGTTMDZ</v>
      </c>
      <c r="C2075" s="2" t="str">
        <f>IFERROR(__xludf.DUMMYFUNCTION("IF('From Order'!$A2075=COLUMNS($A2075:C2094), LEFT(INDEX(FILTER(C$1:C2074, C$1:C2074&lt;&gt;""""),COUNTA(FILTER(C$1:C2074, C$1:C2074&lt;&gt;""""))), LEN(INDEX(FILTER(C$1:C2074, C$1:C2074&lt;&gt;""""),COUNTA(FILTER(C$1:C2074, C$1:C2074&lt;&gt;""""))))-1), IF('To Order'!$A2075=COL"&amp;"UMNS($A2075:C2094), C2074&amp;RIGHT(INDIRECT(ADDRESS(ROW(C2075)-1, 'From Order'!$A2075)), 1), C2074))"),"V")</f>
        <v>V</v>
      </c>
      <c r="D2075" s="2" t="str">
        <f>IFERROR(__xludf.DUMMYFUNCTION("IF('From Order'!$A2075=COLUMNS($A2075:D2094), LEFT(INDEX(FILTER(D$1:D2074, D$1:D2074&lt;&gt;""""),COUNTA(FILTER(D$1:D2074, D$1:D2074&lt;&gt;""""))), LEN(INDEX(FILTER(D$1:D2074, D$1:D2074&lt;&gt;""""),COUNTA(FILTER(D$1:D2074, D$1:D2074&lt;&gt;""""))))-1), IF('To Order'!$A2075=COL"&amp;"UMNS($A2075:D2094), D2074&amp;RIGHT(INDIRECT(ADDRESS(ROW(D2075)-1, 'From Order'!$A2075)), 1), D2074))"),"RBJCL")</f>
        <v>RBJCL</v>
      </c>
      <c r="E2075" s="2" t="str">
        <f>IFERROR(__xludf.DUMMYFUNCTION("IF('From Order'!$A2075=COLUMNS($A2075:E2094), LEFT(INDEX(FILTER(E$1:E2074, E$1:E2074&lt;&gt;""""),COUNTA(FILTER(E$1:E2074, E$1:E2074&lt;&gt;""""))), LEN(INDEX(FILTER(E$1:E2074, E$1:E2074&lt;&gt;""""),COUNTA(FILTER(E$1:E2074, E$1:E2074&lt;&gt;""""))))-1), IF('To Order'!$A2075=COL"&amp;"UMNS($A2075:E2094), E2074&amp;RIGHT(INDIRECT(ADDRESS(ROW(E2075)-1, 'From Order'!$A2075)), 1), E2074))"),"")</f>
        <v/>
      </c>
      <c r="F2075" s="2" t="str">
        <f>IFERROR(__xludf.DUMMYFUNCTION("IF('From Order'!$A2075=COLUMNS($A2075:F2094), LEFT(INDEX(FILTER(F$1:F2074, F$1:F2074&lt;&gt;""""),COUNTA(FILTER(F$1:F2074, F$1:F2074&lt;&gt;""""))), LEN(INDEX(FILTER(F$1:F2074, F$1:F2074&lt;&gt;""""),COUNTA(FILTER(F$1:F2074, F$1:F2074&lt;&gt;""""))))-1), IF('To Order'!$A2075=COL"&amp;"UMNS($A2075:F2094), F2074&amp;RIGHT(INDIRECT(ADDRESS(ROW(F2075)-1, 'From Order'!$A2075)), 1), F2074))"),"")</f>
        <v/>
      </c>
      <c r="G2075" s="2" t="str">
        <f>IFERROR(__xludf.DUMMYFUNCTION("IF('From Order'!$A2075=COLUMNS($A2075:G2094), LEFT(INDEX(FILTER(G$1:G2074, G$1:G2074&lt;&gt;""""),COUNTA(FILTER(G$1:G2074, G$1:G2074&lt;&gt;""""))), LEN(INDEX(FILTER(G$1:G2074, G$1:G2074&lt;&gt;""""),COUNTA(FILTER(G$1:G2074, G$1:G2074&lt;&gt;""""))))-1), IF('To Order'!$A2075=COL"&amp;"UMNS($A2075:G2094), G2074&amp;RIGHT(INDIRECT(ADDRESS(ROW(G2075)-1, 'From Order'!$A2075)), 1), G2074))"),"GP")</f>
        <v>GP</v>
      </c>
      <c r="H2075" s="2" t="str">
        <f>IFERROR(__xludf.DUMMYFUNCTION("IF('From Order'!$A2075=COLUMNS($A2075:H2094), LEFT(INDEX(FILTER(H$1:H2074, H$1:H2074&lt;&gt;""""),COUNTA(FILTER(H$1:H2074, H$1:H2074&lt;&gt;""""))), LEN(INDEX(FILTER(H$1:H2074, H$1:H2074&lt;&gt;""""),COUNTA(FILTER(H$1:H2074, H$1:H2074&lt;&gt;""""))))-1), IF('To Order'!$A2075=COL"&amp;"UMNS($A2075:H2094), H2074&amp;RIGHT(INDIRECT(ADDRESS(ROW(H2075)-1, 'From Order'!$A2075)), 1), H2074))"),"QTRR")</f>
        <v>QTRR</v>
      </c>
      <c r="I2075" s="2" t="str">
        <f>IFERROR(__xludf.DUMMYFUNCTION("IF('From Order'!$A2075=COLUMNS($A2075:I2094), LEFT(INDEX(FILTER(I$1:I2074, I$1:I2074&lt;&gt;""""),COUNTA(FILTER(I$1:I2074, I$1:I2074&lt;&gt;""""))), LEN(INDEX(FILTER(I$1:I2074, I$1:I2074&lt;&gt;""""),COUNTA(FILTER(I$1:I2074, I$1:I2074&lt;&gt;""""))))-1), IF('To Order'!$A2075=COL"&amp;"UMNS($A2075:I2094), I2074&amp;RIGHT(INDIRECT(ADDRESS(ROW(I2075)-1, 'From Order'!$A2075)), 1), I2074))"),"DTCTMZH")</f>
        <v>DTCTMZH</v>
      </c>
    </row>
    <row r="2076">
      <c r="A2076" s="2" t="str">
        <f>IFERROR(__xludf.DUMMYFUNCTION("IF('From Order'!$A2076=COLUMNS($A2076:A2095), LEFT(INDEX(FILTER(A$1:A2075, A$1:A2075&lt;&gt;""""),COUNTA(FILTER(A$1:A2075, A$1:A2075&lt;&gt;""""))), LEN(INDEX(FILTER(A$1:A2075, A$1:A2075&lt;&gt;""""),COUNTA(FILTER(A$1:A2075, A$1:A2075&lt;&gt;""""))))-1), IF('To Order'!$A2076=COL"&amp;"UMNS($A2076:A2095), A2075&amp;RIGHT(INDIRECT(ADDRESS(ROW(A2076)-1, 'From Order'!$A2076)), 1), A2075))"),"DSPBFLLWDDVQZ")</f>
        <v>DSPBFLLWDDVQZ</v>
      </c>
      <c r="B2076" s="2" t="str">
        <f>IFERROR(__xludf.DUMMYFUNCTION("IF('From Order'!$A2076=COLUMNS($A2076:B2095), LEFT(INDEX(FILTER(B$1:B2075, B$1:B2075&lt;&gt;""""),COUNTA(FILTER(B$1:B2075, B$1:B2075&lt;&gt;""""))), LEN(INDEX(FILTER(B$1:B2075, B$1:B2075&lt;&gt;""""),COUNTA(FILTER(B$1:B2075, B$1:B2075&lt;&gt;""""))))-1), IF('To Order'!$A2076=COL"&amp;"UMNS($A2076:B2095), B2075&amp;RIGHT(INDIRECT(ADDRESS(ROW(B2076)-1, 'From Order'!$A2076)), 1), B2075))"),"JDPSSTWZCSFHBBVRRJMGTTMD")</f>
        <v>JDPSSTWZCSFHBBVRRJMGTTMD</v>
      </c>
      <c r="C2076" s="2" t="str">
        <f>IFERROR(__xludf.DUMMYFUNCTION("IF('From Order'!$A2076=COLUMNS($A2076:C2095), LEFT(INDEX(FILTER(C$1:C2075, C$1:C2075&lt;&gt;""""),COUNTA(FILTER(C$1:C2075, C$1:C2075&lt;&gt;""""))), LEN(INDEX(FILTER(C$1:C2075, C$1:C2075&lt;&gt;""""),COUNTA(FILTER(C$1:C2075, C$1:C2075&lt;&gt;""""))))-1), IF('To Order'!$A2076=COL"&amp;"UMNS($A2076:C2095), C2075&amp;RIGHT(INDIRECT(ADDRESS(ROW(C2076)-1, 'From Order'!$A2076)), 1), C2075))"),"V")</f>
        <v>V</v>
      </c>
      <c r="D2076" s="2" t="str">
        <f>IFERROR(__xludf.DUMMYFUNCTION("IF('From Order'!$A2076=COLUMNS($A2076:D2095), LEFT(INDEX(FILTER(D$1:D2075, D$1:D2075&lt;&gt;""""),COUNTA(FILTER(D$1:D2075, D$1:D2075&lt;&gt;""""))), LEN(INDEX(FILTER(D$1:D2075, D$1:D2075&lt;&gt;""""),COUNTA(FILTER(D$1:D2075, D$1:D2075&lt;&gt;""""))))-1), IF('To Order'!$A2076=COL"&amp;"UMNS($A2076:D2095), D2075&amp;RIGHT(INDIRECT(ADDRESS(ROW(D2076)-1, 'From Order'!$A2076)), 1), D2075))"),"RBJCL")</f>
        <v>RBJCL</v>
      </c>
      <c r="E2076" s="2" t="str">
        <f>IFERROR(__xludf.DUMMYFUNCTION("IF('From Order'!$A2076=COLUMNS($A2076:E2095), LEFT(INDEX(FILTER(E$1:E2075, E$1:E2075&lt;&gt;""""),COUNTA(FILTER(E$1:E2075, E$1:E2075&lt;&gt;""""))), LEN(INDEX(FILTER(E$1:E2075, E$1:E2075&lt;&gt;""""),COUNTA(FILTER(E$1:E2075, E$1:E2075&lt;&gt;""""))))-1), IF('To Order'!$A2076=COL"&amp;"UMNS($A2076:E2095), E2075&amp;RIGHT(INDIRECT(ADDRESS(ROW(E2076)-1, 'From Order'!$A2076)), 1), E2075))"),"")</f>
        <v/>
      </c>
      <c r="F2076" s="2" t="str">
        <f>IFERROR(__xludf.DUMMYFUNCTION("IF('From Order'!$A2076=COLUMNS($A2076:F2095), LEFT(INDEX(FILTER(F$1:F2075, F$1:F2075&lt;&gt;""""),COUNTA(FILTER(F$1:F2075, F$1:F2075&lt;&gt;""""))), LEN(INDEX(FILTER(F$1:F2075, F$1:F2075&lt;&gt;""""),COUNTA(FILTER(F$1:F2075, F$1:F2075&lt;&gt;""""))))-1), IF('To Order'!$A2076=COL"&amp;"UMNS($A2076:F2095), F2075&amp;RIGHT(INDIRECT(ADDRESS(ROW(F2076)-1, 'From Order'!$A2076)), 1), F2075))"),"")</f>
        <v/>
      </c>
      <c r="G2076" s="2" t="str">
        <f>IFERROR(__xludf.DUMMYFUNCTION("IF('From Order'!$A2076=COLUMNS($A2076:G2095), LEFT(INDEX(FILTER(G$1:G2075, G$1:G2075&lt;&gt;""""),COUNTA(FILTER(G$1:G2075, G$1:G2075&lt;&gt;""""))), LEN(INDEX(FILTER(G$1:G2075, G$1:G2075&lt;&gt;""""),COUNTA(FILTER(G$1:G2075, G$1:G2075&lt;&gt;""""))))-1), IF('To Order'!$A2076=COL"&amp;"UMNS($A2076:G2095), G2075&amp;RIGHT(INDIRECT(ADDRESS(ROW(G2076)-1, 'From Order'!$A2076)), 1), G2075))"),"GP")</f>
        <v>GP</v>
      </c>
      <c r="H2076" s="2" t="str">
        <f>IFERROR(__xludf.DUMMYFUNCTION("IF('From Order'!$A2076=COLUMNS($A2076:H2095), LEFT(INDEX(FILTER(H$1:H2075, H$1:H2075&lt;&gt;""""),COUNTA(FILTER(H$1:H2075, H$1:H2075&lt;&gt;""""))), LEN(INDEX(FILTER(H$1:H2075, H$1:H2075&lt;&gt;""""),COUNTA(FILTER(H$1:H2075, H$1:H2075&lt;&gt;""""))))-1), IF('To Order'!$A2076=COL"&amp;"UMNS($A2076:H2095), H2075&amp;RIGHT(INDIRECT(ADDRESS(ROW(H2076)-1, 'From Order'!$A2076)), 1), H2075))"),"QTRR")</f>
        <v>QTRR</v>
      </c>
      <c r="I2076" s="2" t="str">
        <f>IFERROR(__xludf.DUMMYFUNCTION("IF('From Order'!$A2076=COLUMNS($A2076:I2095), LEFT(INDEX(FILTER(I$1:I2075, I$1:I2075&lt;&gt;""""),COUNTA(FILTER(I$1:I2075, I$1:I2075&lt;&gt;""""))), LEN(INDEX(FILTER(I$1:I2075, I$1:I2075&lt;&gt;""""),COUNTA(FILTER(I$1:I2075, I$1:I2075&lt;&gt;""""))))-1), IF('To Order'!$A2076=COL"&amp;"UMNS($A2076:I2095), I2075&amp;RIGHT(INDIRECT(ADDRESS(ROW(I2076)-1, 'From Order'!$A2076)), 1), I2075))"),"DTCTMZH")</f>
        <v>DTCTMZH</v>
      </c>
    </row>
    <row r="2077">
      <c r="A2077" s="2" t="str">
        <f>IFERROR(__xludf.DUMMYFUNCTION("IF('From Order'!$A2077=COLUMNS($A2077:A2096), LEFT(INDEX(FILTER(A$1:A2076, A$1:A2076&lt;&gt;""""),COUNTA(FILTER(A$1:A2076, A$1:A2076&lt;&gt;""""))), LEN(INDEX(FILTER(A$1:A2076, A$1:A2076&lt;&gt;""""),COUNTA(FILTER(A$1:A2076, A$1:A2076&lt;&gt;""""))))-1), IF('To Order'!$A2077=COL"&amp;"UMNS($A2077:A2096), A2076&amp;RIGHT(INDIRECT(ADDRESS(ROW(A2077)-1, 'From Order'!$A2077)), 1), A2076))"),"DSPBFLLWDDVQZD")</f>
        <v>DSPBFLLWDDVQZD</v>
      </c>
      <c r="B2077" s="2" t="str">
        <f>IFERROR(__xludf.DUMMYFUNCTION("IF('From Order'!$A2077=COLUMNS($A2077:B2096), LEFT(INDEX(FILTER(B$1:B2076, B$1:B2076&lt;&gt;""""),COUNTA(FILTER(B$1:B2076, B$1:B2076&lt;&gt;""""))), LEN(INDEX(FILTER(B$1:B2076, B$1:B2076&lt;&gt;""""),COUNTA(FILTER(B$1:B2076, B$1:B2076&lt;&gt;""""))))-1), IF('To Order'!$A2077=COL"&amp;"UMNS($A2077:B2096), B2076&amp;RIGHT(INDIRECT(ADDRESS(ROW(B2077)-1, 'From Order'!$A2077)), 1), B2076))"),"JDPSSTWZCSFHBBVRRJMGTTM")</f>
        <v>JDPSSTWZCSFHBBVRRJMGTTM</v>
      </c>
      <c r="C2077" s="2" t="str">
        <f>IFERROR(__xludf.DUMMYFUNCTION("IF('From Order'!$A2077=COLUMNS($A2077:C2096), LEFT(INDEX(FILTER(C$1:C2076, C$1:C2076&lt;&gt;""""),COUNTA(FILTER(C$1:C2076, C$1:C2076&lt;&gt;""""))), LEN(INDEX(FILTER(C$1:C2076, C$1:C2076&lt;&gt;""""),COUNTA(FILTER(C$1:C2076, C$1:C2076&lt;&gt;""""))))-1), IF('To Order'!$A2077=COL"&amp;"UMNS($A2077:C2096), C2076&amp;RIGHT(INDIRECT(ADDRESS(ROW(C2077)-1, 'From Order'!$A2077)), 1), C2076))"),"V")</f>
        <v>V</v>
      </c>
      <c r="D2077" s="2" t="str">
        <f>IFERROR(__xludf.DUMMYFUNCTION("IF('From Order'!$A2077=COLUMNS($A2077:D2096), LEFT(INDEX(FILTER(D$1:D2076, D$1:D2076&lt;&gt;""""),COUNTA(FILTER(D$1:D2076, D$1:D2076&lt;&gt;""""))), LEN(INDEX(FILTER(D$1:D2076, D$1:D2076&lt;&gt;""""),COUNTA(FILTER(D$1:D2076, D$1:D2076&lt;&gt;""""))))-1), IF('To Order'!$A2077=COL"&amp;"UMNS($A2077:D2096), D2076&amp;RIGHT(INDIRECT(ADDRESS(ROW(D2077)-1, 'From Order'!$A2077)), 1), D2076))"),"RBJCL")</f>
        <v>RBJCL</v>
      </c>
      <c r="E2077" s="2" t="str">
        <f>IFERROR(__xludf.DUMMYFUNCTION("IF('From Order'!$A2077=COLUMNS($A2077:E2096), LEFT(INDEX(FILTER(E$1:E2076, E$1:E2076&lt;&gt;""""),COUNTA(FILTER(E$1:E2076, E$1:E2076&lt;&gt;""""))), LEN(INDEX(FILTER(E$1:E2076, E$1:E2076&lt;&gt;""""),COUNTA(FILTER(E$1:E2076, E$1:E2076&lt;&gt;""""))))-1), IF('To Order'!$A2077=COL"&amp;"UMNS($A2077:E2096), E2076&amp;RIGHT(INDIRECT(ADDRESS(ROW(E2077)-1, 'From Order'!$A2077)), 1), E2076))"),"")</f>
        <v/>
      </c>
      <c r="F2077" s="2" t="str">
        <f>IFERROR(__xludf.DUMMYFUNCTION("IF('From Order'!$A2077=COLUMNS($A2077:F2096), LEFT(INDEX(FILTER(F$1:F2076, F$1:F2076&lt;&gt;""""),COUNTA(FILTER(F$1:F2076, F$1:F2076&lt;&gt;""""))), LEN(INDEX(FILTER(F$1:F2076, F$1:F2076&lt;&gt;""""),COUNTA(FILTER(F$1:F2076, F$1:F2076&lt;&gt;""""))))-1), IF('To Order'!$A2077=COL"&amp;"UMNS($A2077:F2096), F2076&amp;RIGHT(INDIRECT(ADDRESS(ROW(F2077)-1, 'From Order'!$A2077)), 1), F2076))"),"")</f>
        <v/>
      </c>
      <c r="G2077" s="2" t="str">
        <f>IFERROR(__xludf.DUMMYFUNCTION("IF('From Order'!$A2077=COLUMNS($A2077:G2096), LEFT(INDEX(FILTER(G$1:G2076, G$1:G2076&lt;&gt;""""),COUNTA(FILTER(G$1:G2076, G$1:G2076&lt;&gt;""""))), LEN(INDEX(FILTER(G$1:G2076, G$1:G2076&lt;&gt;""""),COUNTA(FILTER(G$1:G2076, G$1:G2076&lt;&gt;""""))))-1), IF('To Order'!$A2077=COL"&amp;"UMNS($A2077:G2096), G2076&amp;RIGHT(INDIRECT(ADDRESS(ROW(G2077)-1, 'From Order'!$A2077)), 1), G2076))"),"GP")</f>
        <v>GP</v>
      </c>
      <c r="H2077" s="2" t="str">
        <f>IFERROR(__xludf.DUMMYFUNCTION("IF('From Order'!$A2077=COLUMNS($A2077:H2096), LEFT(INDEX(FILTER(H$1:H2076, H$1:H2076&lt;&gt;""""),COUNTA(FILTER(H$1:H2076, H$1:H2076&lt;&gt;""""))), LEN(INDEX(FILTER(H$1:H2076, H$1:H2076&lt;&gt;""""),COUNTA(FILTER(H$1:H2076, H$1:H2076&lt;&gt;""""))))-1), IF('To Order'!$A2077=COL"&amp;"UMNS($A2077:H2096), H2076&amp;RIGHT(INDIRECT(ADDRESS(ROW(H2077)-1, 'From Order'!$A2077)), 1), H2076))"),"QTRR")</f>
        <v>QTRR</v>
      </c>
      <c r="I2077" s="2" t="str">
        <f>IFERROR(__xludf.DUMMYFUNCTION("IF('From Order'!$A2077=COLUMNS($A2077:I2096), LEFT(INDEX(FILTER(I$1:I2076, I$1:I2076&lt;&gt;""""),COUNTA(FILTER(I$1:I2076, I$1:I2076&lt;&gt;""""))), LEN(INDEX(FILTER(I$1:I2076, I$1:I2076&lt;&gt;""""),COUNTA(FILTER(I$1:I2076, I$1:I2076&lt;&gt;""""))))-1), IF('To Order'!$A2077=COL"&amp;"UMNS($A2077:I2096), I2076&amp;RIGHT(INDIRECT(ADDRESS(ROW(I2077)-1, 'From Order'!$A2077)), 1), I2076))"),"DTCTMZH")</f>
        <v>DTCTMZH</v>
      </c>
    </row>
    <row r="2078">
      <c r="A2078" s="2" t="str">
        <f>IFERROR(__xludf.DUMMYFUNCTION("IF('From Order'!$A2078=COLUMNS($A2078:A2097), LEFT(INDEX(FILTER(A$1:A2077, A$1:A2077&lt;&gt;""""),COUNTA(FILTER(A$1:A2077, A$1:A2077&lt;&gt;""""))), LEN(INDEX(FILTER(A$1:A2077, A$1:A2077&lt;&gt;""""),COUNTA(FILTER(A$1:A2077, A$1:A2077&lt;&gt;""""))))-1), IF('To Order'!$A2078=COL"&amp;"UMNS($A2078:A2097), A2077&amp;RIGHT(INDIRECT(ADDRESS(ROW(A2078)-1, 'From Order'!$A2078)), 1), A2077))"),"DSPBFLLWDDVQZDM")</f>
        <v>DSPBFLLWDDVQZDM</v>
      </c>
      <c r="B2078" s="2" t="str">
        <f>IFERROR(__xludf.DUMMYFUNCTION("IF('From Order'!$A2078=COLUMNS($A2078:B2097), LEFT(INDEX(FILTER(B$1:B2077, B$1:B2077&lt;&gt;""""),COUNTA(FILTER(B$1:B2077, B$1:B2077&lt;&gt;""""))), LEN(INDEX(FILTER(B$1:B2077, B$1:B2077&lt;&gt;""""),COUNTA(FILTER(B$1:B2077, B$1:B2077&lt;&gt;""""))))-1), IF('To Order'!$A2078=COL"&amp;"UMNS($A2078:B2097), B2077&amp;RIGHT(INDIRECT(ADDRESS(ROW(B2078)-1, 'From Order'!$A2078)), 1), B2077))"),"JDPSSTWZCSFHBBVRRJMGTT")</f>
        <v>JDPSSTWZCSFHBBVRRJMGTT</v>
      </c>
      <c r="C2078" s="2" t="str">
        <f>IFERROR(__xludf.DUMMYFUNCTION("IF('From Order'!$A2078=COLUMNS($A2078:C2097), LEFT(INDEX(FILTER(C$1:C2077, C$1:C2077&lt;&gt;""""),COUNTA(FILTER(C$1:C2077, C$1:C2077&lt;&gt;""""))), LEN(INDEX(FILTER(C$1:C2077, C$1:C2077&lt;&gt;""""),COUNTA(FILTER(C$1:C2077, C$1:C2077&lt;&gt;""""))))-1), IF('To Order'!$A2078=COL"&amp;"UMNS($A2078:C2097), C2077&amp;RIGHT(INDIRECT(ADDRESS(ROW(C2078)-1, 'From Order'!$A2078)), 1), C2077))"),"V")</f>
        <v>V</v>
      </c>
      <c r="D2078" s="2" t="str">
        <f>IFERROR(__xludf.DUMMYFUNCTION("IF('From Order'!$A2078=COLUMNS($A2078:D2097), LEFT(INDEX(FILTER(D$1:D2077, D$1:D2077&lt;&gt;""""),COUNTA(FILTER(D$1:D2077, D$1:D2077&lt;&gt;""""))), LEN(INDEX(FILTER(D$1:D2077, D$1:D2077&lt;&gt;""""),COUNTA(FILTER(D$1:D2077, D$1:D2077&lt;&gt;""""))))-1), IF('To Order'!$A2078=COL"&amp;"UMNS($A2078:D2097), D2077&amp;RIGHT(INDIRECT(ADDRESS(ROW(D2078)-1, 'From Order'!$A2078)), 1), D2077))"),"RBJCL")</f>
        <v>RBJCL</v>
      </c>
      <c r="E2078" s="2" t="str">
        <f>IFERROR(__xludf.DUMMYFUNCTION("IF('From Order'!$A2078=COLUMNS($A2078:E2097), LEFT(INDEX(FILTER(E$1:E2077, E$1:E2077&lt;&gt;""""),COUNTA(FILTER(E$1:E2077, E$1:E2077&lt;&gt;""""))), LEN(INDEX(FILTER(E$1:E2077, E$1:E2077&lt;&gt;""""),COUNTA(FILTER(E$1:E2077, E$1:E2077&lt;&gt;""""))))-1), IF('To Order'!$A2078=COL"&amp;"UMNS($A2078:E2097), E2077&amp;RIGHT(INDIRECT(ADDRESS(ROW(E2078)-1, 'From Order'!$A2078)), 1), E2077))"),"")</f>
        <v/>
      </c>
      <c r="F2078" s="2" t="str">
        <f>IFERROR(__xludf.DUMMYFUNCTION("IF('From Order'!$A2078=COLUMNS($A2078:F2097), LEFT(INDEX(FILTER(F$1:F2077, F$1:F2077&lt;&gt;""""),COUNTA(FILTER(F$1:F2077, F$1:F2077&lt;&gt;""""))), LEN(INDEX(FILTER(F$1:F2077, F$1:F2077&lt;&gt;""""),COUNTA(FILTER(F$1:F2077, F$1:F2077&lt;&gt;""""))))-1), IF('To Order'!$A2078=COL"&amp;"UMNS($A2078:F2097), F2077&amp;RIGHT(INDIRECT(ADDRESS(ROW(F2078)-1, 'From Order'!$A2078)), 1), F2077))"),"")</f>
        <v/>
      </c>
      <c r="G2078" s="2" t="str">
        <f>IFERROR(__xludf.DUMMYFUNCTION("IF('From Order'!$A2078=COLUMNS($A2078:G2097), LEFT(INDEX(FILTER(G$1:G2077, G$1:G2077&lt;&gt;""""),COUNTA(FILTER(G$1:G2077, G$1:G2077&lt;&gt;""""))), LEN(INDEX(FILTER(G$1:G2077, G$1:G2077&lt;&gt;""""),COUNTA(FILTER(G$1:G2077, G$1:G2077&lt;&gt;""""))))-1), IF('To Order'!$A2078=COL"&amp;"UMNS($A2078:G2097), G2077&amp;RIGHT(INDIRECT(ADDRESS(ROW(G2078)-1, 'From Order'!$A2078)), 1), G2077))"),"GP")</f>
        <v>GP</v>
      </c>
      <c r="H2078" s="2" t="str">
        <f>IFERROR(__xludf.DUMMYFUNCTION("IF('From Order'!$A2078=COLUMNS($A2078:H2097), LEFT(INDEX(FILTER(H$1:H2077, H$1:H2077&lt;&gt;""""),COUNTA(FILTER(H$1:H2077, H$1:H2077&lt;&gt;""""))), LEN(INDEX(FILTER(H$1:H2077, H$1:H2077&lt;&gt;""""),COUNTA(FILTER(H$1:H2077, H$1:H2077&lt;&gt;""""))))-1), IF('To Order'!$A2078=COL"&amp;"UMNS($A2078:H2097), H2077&amp;RIGHT(INDIRECT(ADDRESS(ROW(H2078)-1, 'From Order'!$A2078)), 1), H2077))"),"QTRR")</f>
        <v>QTRR</v>
      </c>
      <c r="I2078" s="2" t="str">
        <f>IFERROR(__xludf.DUMMYFUNCTION("IF('From Order'!$A2078=COLUMNS($A2078:I2097), LEFT(INDEX(FILTER(I$1:I2077, I$1:I2077&lt;&gt;""""),COUNTA(FILTER(I$1:I2077, I$1:I2077&lt;&gt;""""))), LEN(INDEX(FILTER(I$1:I2077, I$1:I2077&lt;&gt;""""),COUNTA(FILTER(I$1:I2077, I$1:I2077&lt;&gt;""""))))-1), IF('To Order'!$A2078=COL"&amp;"UMNS($A2078:I2097), I2077&amp;RIGHT(INDIRECT(ADDRESS(ROW(I2078)-1, 'From Order'!$A2078)), 1), I2077))"),"DTCTMZH")</f>
        <v>DTCTMZH</v>
      </c>
    </row>
    <row r="2079">
      <c r="A2079" s="2" t="str">
        <f>IFERROR(__xludf.DUMMYFUNCTION("IF('From Order'!$A2079=COLUMNS($A2079:A2098), LEFT(INDEX(FILTER(A$1:A2078, A$1:A2078&lt;&gt;""""),COUNTA(FILTER(A$1:A2078, A$1:A2078&lt;&gt;""""))), LEN(INDEX(FILTER(A$1:A2078, A$1:A2078&lt;&gt;""""),COUNTA(FILTER(A$1:A2078, A$1:A2078&lt;&gt;""""))))-1), IF('To Order'!$A2079=COL"&amp;"UMNS($A2079:A2098), A2078&amp;RIGHT(INDIRECT(ADDRESS(ROW(A2079)-1, 'From Order'!$A2079)), 1), A2078))"),"DSPBFLLWDDVQZDMT")</f>
        <v>DSPBFLLWDDVQZDMT</v>
      </c>
      <c r="B2079" s="2" t="str">
        <f>IFERROR(__xludf.DUMMYFUNCTION("IF('From Order'!$A2079=COLUMNS($A2079:B2098), LEFT(INDEX(FILTER(B$1:B2078, B$1:B2078&lt;&gt;""""),COUNTA(FILTER(B$1:B2078, B$1:B2078&lt;&gt;""""))), LEN(INDEX(FILTER(B$1:B2078, B$1:B2078&lt;&gt;""""),COUNTA(FILTER(B$1:B2078, B$1:B2078&lt;&gt;""""))))-1), IF('To Order'!$A2079=COL"&amp;"UMNS($A2079:B2098), B2078&amp;RIGHT(INDIRECT(ADDRESS(ROW(B2079)-1, 'From Order'!$A2079)), 1), B2078))"),"JDPSSTWZCSFHBBVRRJMGT")</f>
        <v>JDPSSTWZCSFHBBVRRJMGT</v>
      </c>
      <c r="C2079" s="2" t="str">
        <f>IFERROR(__xludf.DUMMYFUNCTION("IF('From Order'!$A2079=COLUMNS($A2079:C2098), LEFT(INDEX(FILTER(C$1:C2078, C$1:C2078&lt;&gt;""""),COUNTA(FILTER(C$1:C2078, C$1:C2078&lt;&gt;""""))), LEN(INDEX(FILTER(C$1:C2078, C$1:C2078&lt;&gt;""""),COUNTA(FILTER(C$1:C2078, C$1:C2078&lt;&gt;""""))))-1), IF('To Order'!$A2079=COL"&amp;"UMNS($A2079:C2098), C2078&amp;RIGHT(INDIRECT(ADDRESS(ROW(C2079)-1, 'From Order'!$A2079)), 1), C2078))"),"V")</f>
        <v>V</v>
      </c>
      <c r="D2079" s="2" t="str">
        <f>IFERROR(__xludf.DUMMYFUNCTION("IF('From Order'!$A2079=COLUMNS($A2079:D2098), LEFT(INDEX(FILTER(D$1:D2078, D$1:D2078&lt;&gt;""""),COUNTA(FILTER(D$1:D2078, D$1:D2078&lt;&gt;""""))), LEN(INDEX(FILTER(D$1:D2078, D$1:D2078&lt;&gt;""""),COUNTA(FILTER(D$1:D2078, D$1:D2078&lt;&gt;""""))))-1), IF('To Order'!$A2079=COL"&amp;"UMNS($A2079:D2098), D2078&amp;RIGHT(INDIRECT(ADDRESS(ROW(D2079)-1, 'From Order'!$A2079)), 1), D2078))"),"RBJCL")</f>
        <v>RBJCL</v>
      </c>
      <c r="E2079" s="2" t="str">
        <f>IFERROR(__xludf.DUMMYFUNCTION("IF('From Order'!$A2079=COLUMNS($A2079:E2098), LEFT(INDEX(FILTER(E$1:E2078, E$1:E2078&lt;&gt;""""),COUNTA(FILTER(E$1:E2078, E$1:E2078&lt;&gt;""""))), LEN(INDEX(FILTER(E$1:E2078, E$1:E2078&lt;&gt;""""),COUNTA(FILTER(E$1:E2078, E$1:E2078&lt;&gt;""""))))-1), IF('To Order'!$A2079=COL"&amp;"UMNS($A2079:E2098), E2078&amp;RIGHT(INDIRECT(ADDRESS(ROW(E2079)-1, 'From Order'!$A2079)), 1), E2078))"),"")</f>
        <v/>
      </c>
      <c r="F2079" s="2" t="str">
        <f>IFERROR(__xludf.DUMMYFUNCTION("IF('From Order'!$A2079=COLUMNS($A2079:F2098), LEFT(INDEX(FILTER(F$1:F2078, F$1:F2078&lt;&gt;""""),COUNTA(FILTER(F$1:F2078, F$1:F2078&lt;&gt;""""))), LEN(INDEX(FILTER(F$1:F2078, F$1:F2078&lt;&gt;""""),COUNTA(FILTER(F$1:F2078, F$1:F2078&lt;&gt;""""))))-1), IF('To Order'!$A2079=COL"&amp;"UMNS($A2079:F2098), F2078&amp;RIGHT(INDIRECT(ADDRESS(ROW(F2079)-1, 'From Order'!$A2079)), 1), F2078))"),"")</f>
        <v/>
      </c>
      <c r="G2079" s="2" t="str">
        <f>IFERROR(__xludf.DUMMYFUNCTION("IF('From Order'!$A2079=COLUMNS($A2079:G2098), LEFT(INDEX(FILTER(G$1:G2078, G$1:G2078&lt;&gt;""""),COUNTA(FILTER(G$1:G2078, G$1:G2078&lt;&gt;""""))), LEN(INDEX(FILTER(G$1:G2078, G$1:G2078&lt;&gt;""""),COUNTA(FILTER(G$1:G2078, G$1:G2078&lt;&gt;""""))))-1), IF('To Order'!$A2079=COL"&amp;"UMNS($A2079:G2098), G2078&amp;RIGHT(INDIRECT(ADDRESS(ROW(G2079)-1, 'From Order'!$A2079)), 1), G2078))"),"GP")</f>
        <v>GP</v>
      </c>
      <c r="H2079" s="2" t="str">
        <f>IFERROR(__xludf.DUMMYFUNCTION("IF('From Order'!$A2079=COLUMNS($A2079:H2098), LEFT(INDEX(FILTER(H$1:H2078, H$1:H2078&lt;&gt;""""),COUNTA(FILTER(H$1:H2078, H$1:H2078&lt;&gt;""""))), LEN(INDEX(FILTER(H$1:H2078, H$1:H2078&lt;&gt;""""),COUNTA(FILTER(H$1:H2078, H$1:H2078&lt;&gt;""""))))-1), IF('To Order'!$A2079=COL"&amp;"UMNS($A2079:H2098), H2078&amp;RIGHT(INDIRECT(ADDRESS(ROW(H2079)-1, 'From Order'!$A2079)), 1), H2078))"),"QTRR")</f>
        <v>QTRR</v>
      </c>
      <c r="I2079" s="2" t="str">
        <f>IFERROR(__xludf.DUMMYFUNCTION("IF('From Order'!$A2079=COLUMNS($A2079:I2098), LEFT(INDEX(FILTER(I$1:I2078, I$1:I2078&lt;&gt;""""),COUNTA(FILTER(I$1:I2078, I$1:I2078&lt;&gt;""""))), LEN(INDEX(FILTER(I$1:I2078, I$1:I2078&lt;&gt;""""),COUNTA(FILTER(I$1:I2078, I$1:I2078&lt;&gt;""""))))-1), IF('To Order'!$A2079=COL"&amp;"UMNS($A2079:I2098), I2078&amp;RIGHT(INDIRECT(ADDRESS(ROW(I2079)-1, 'From Order'!$A2079)), 1), I2078))"),"DTCTMZH")</f>
        <v>DTCTMZH</v>
      </c>
    </row>
    <row r="2080">
      <c r="A2080" s="2" t="str">
        <f>IFERROR(__xludf.DUMMYFUNCTION("IF('From Order'!$A2080=COLUMNS($A2080:A2099), LEFT(INDEX(FILTER(A$1:A2079, A$1:A2079&lt;&gt;""""),COUNTA(FILTER(A$1:A2079, A$1:A2079&lt;&gt;""""))), LEN(INDEX(FILTER(A$1:A2079, A$1:A2079&lt;&gt;""""),COUNTA(FILTER(A$1:A2079, A$1:A2079&lt;&gt;""""))))-1), IF('To Order'!$A2080=COL"&amp;"UMNS($A2080:A2099), A2079&amp;RIGHT(INDIRECT(ADDRESS(ROW(A2080)-1, 'From Order'!$A2080)), 1), A2079))"),"DSPBFLLWDDVQZDMTT")</f>
        <v>DSPBFLLWDDVQZDMTT</v>
      </c>
      <c r="B2080" s="2" t="str">
        <f>IFERROR(__xludf.DUMMYFUNCTION("IF('From Order'!$A2080=COLUMNS($A2080:B2099), LEFT(INDEX(FILTER(B$1:B2079, B$1:B2079&lt;&gt;""""),COUNTA(FILTER(B$1:B2079, B$1:B2079&lt;&gt;""""))), LEN(INDEX(FILTER(B$1:B2079, B$1:B2079&lt;&gt;""""),COUNTA(FILTER(B$1:B2079, B$1:B2079&lt;&gt;""""))))-1), IF('To Order'!$A2080=COL"&amp;"UMNS($A2080:B2099), B2079&amp;RIGHT(INDIRECT(ADDRESS(ROW(B2080)-1, 'From Order'!$A2080)), 1), B2079))"),"JDPSSTWZCSFHBBVRRJMG")</f>
        <v>JDPSSTWZCSFHBBVRRJMG</v>
      </c>
      <c r="C2080" s="2" t="str">
        <f>IFERROR(__xludf.DUMMYFUNCTION("IF('From Order'!$A2080=COLUMNS($A2080:C2099), LEFT(INDEX(FILTER(C$1:C2079, C$1:C2079&lt;&gt;""""),COUNTA(FILTER(C$1:C2079, C$1:C2079&lt;&gt;""""))), LEN(INDEX(FILTER(C$1:C2079, C$1:C2079&lt;&gt;""""),COUNTA(FILTER(C$1:C2079, C$1:C2079&lt;&gt;""""))))-1), IF('To Order'!$A2080=COL"&amp;"UMNS($A2080:C2099), C2079&amp;RIGHT(INDIRECT(ADDRESS(ROW(C2080)-1, 'From Order'!$A2080)), 1), C2079))"),"V")</f>
        <v>V</v>
      </c>
      <c r="D2080" s="2" t="str">
        <f>IFERROR(__xludf.DUMMYFUNCTION("IF('From Order'!$A2080=COLUMNS($A2080:D2099), LEFT(INDEX(FILTER(D$1:D2079, D$1:D2079&lt;&gt;""""),COUNTA(FILTER(D$1:D2079, D$1:D2079&lt;&gt;""""))), LEN(INDEX(FILTER(D$1:D2079, D$1:D2079&lt;&gt;""""),COUNTA(FILTER(D$1:D2079, D$1:D2079&lt;&gt;""""))))-1), IF('To Order'!$A2080=COL"&amp;"UMNS($A2080:D2099), D2079&amp;RIGHT(INDIRECT(ADDRESS(ROW(D2080)-1, 'From Order'!$A2080)), 1), D2079))"),"RBJCL")</f>
        <v>RBJCL</v>
      </c>
      <c r="E2080" s="2" t="str">
        <f>IFERROR(__xludf.DUMMYFUNCTION("IF('From Order'!$A2080=COLUMNS($A2080:E2099), LEFT(INDEX(FILTER(E$1:E2079, E$1:E2079&lt;&gt;""""),COUNTA(FILTER(E$1:E2079, E$1:E2079&lt;&gt;""""))), LEN(INDEX(FILTER(E$1:E2079, E$1:E2079&lt;&gt;""""),COUNTA(FILTER(E$1:E2079, E$1:E2079&lt;&gt;""""))))-1), IF('To Order'!$A2080=COL"&amp;"UMNS($A2080:E2099), E2079&amp;RIGHT(INDIRECT(ADDRESS(ROW(E2080)-1, 'From Order'!$A2080)), 1), E2079))"),"")</f>
        <v/>
      </c>
      <c r="F2080" s="2" t="str">
        <f>IFERROR(__xludf.DUMMYFUNCTION("IF('From Order'!$A2080=COLUMNS($A2080:F2099), LEFT(INDEX(FILTER(F$1:F2079, F$1:F2079&lt;&gt;""""),COUNTA(FILTER(F$1:F2079, F$1:F2079&lt;&gt;""""))), LEN(INDEX(FILTER(F$1:F2079, F$1:F2079&lt;&gt;""""),COUNTA(FILTER(F$1:F2079, F$1:F2079&lt;&gt;""""))))-1), IF('To Order'!$A2080=COL"&amp;"UMNS($A2080:F2099), F2079&amp;RIGHT(INDIRECT(ADDRESS(ROW(F2080)-1, 'From Order'!$A2080)), 1), F2079))"),"")</f>
        <v/>
      </c>
      <c r="G2080" s="2" t="str">
        <f>IFERROR(__xludf.DUMMYFUNCTION("IF('From Order'!$A2080=COLUMNS($A2080:G2099), LEFT(INDEX(FILTER(G$1:G2079, G$1:G2079&lt;&gt;""""),COUNTA(FILTER(G$1:G2079, G$1:G2079&lt;&gt;""""))), LEN(INDEX(FILTER(G$1:G2079, G$1:G2079&lt;&gt;""""),COUNTA(FILTER(G$1:G2079, G$1:G2079&lt;&gt;""""))))-1), IF('To Order'!$A2080=COL"&amp;"UMNS($A2080:G2099), G2079&amp;RIGHT(INDIRECT(ADDRESS(ROW(G2080)-1, 'From Order'!$A2080)), 1), G2079))"),"GP")</f>
        <v>GP</v>
      </c>
      <c r="H2080" s="2" t="str">
        <f>IFERROR(__xludf.DUMMYFUNCTION("IF('From Order'!$A2080=COLUMNS($A2080:H2099), LEFT(INDEX(FILTER(H$1:H2079, H$1:H2079&lt;&gt;""""),COUNTA(FILTER(H$1:H2079, H$1:H2079&lt;&gt;""""))), LEN(INDEX(FILTER(H$1:H2079, H$1:H2079&lt;&gt;""""),COUNTA(FILTER(H$1:H2079, H$1:H2079&lt;&gt;""""))))-1), IF('To Order'!$A2080=COL"&amp;"UMNS($A2080:H2099), H2079&amp;RIGHT(INDIRECT(ADDRESS(ROW(H2080)-1, 'From Order'!$A2080)), 1), H2079))"),"QTRR")</f>
        <v>QTRR</v>
      </c>
      <c r="I2080" s="2" t="str">
        <f>IFERROR(__xludf.DUMMYFUNCTION("IF('From Order'!$A2080=COLUMNS($A2080:I2099), LEFT(INDEX(FILTER(I$1:I2079, I$1:I2079&lt;&gt;""""),COUNTA(FILTER(I$1:I2079, I$1:I2079&lt;&gt;""""))), LEN(INDEX(FILTER(I$1:I2079, I$1:I2079&lt;&gt;""""),COUNTA(FILTER(I$1:I2079, I$1:I2079&lt;&gt;""""))))-1), IF('To Order'!$A2080=COL"&amp;"UMNS($A2080:I2099), I2079&amp;RIGHT(INDIRECT(ADDRESS(ROW(I2080)-1, 'From Order'!$A2080)), 1), I2079))"),"DTCTMZH")</f>
        <v>DTCTMZH</v>
      </c>
    </row>
    <row r="2081">
      <c r="A2081" s="2" t="str">
        <f>IFERROR(__xludf.DUMMYFUNCTION("IF('From Order'!$A2081=COLUMNS($A2081:A2100), LEFT(INDEX(FILTER(A$1:A2080, A$1:A2080&lt;&gt;""""),COUNTA(FILTER(A$1:A2080, A$1:A2080&lt;&gt;""""))), LEN(INDEX(FILTER(A$1:A2080, A$1:A2080&lt;&gt;""""),COUNTA(FILTER(A$1:A2080, A$1:A2080&lt;&gt;""""))))-1), IF('To Order'!$A2081=COL"&amp;"UMNS($A2081:A2100), A2080&amp;RIGHT(INDIRECT(ADDRESS(ROW(A2081)-1, 'From Order'!$A2081)), 1), A2080))"),"DSPBFLLWDDVQZDMTTG")</f>
        <v>DSPBFLLWDDVQZDMTTG</v>
      </c>
      <c r="B2081" s="2" t="str">
        <f>IFERROR(__xludf.DUMMYFUNCTION("IF('From Order'!$A2081=COLUMNS($A2081:B2100), LEFT(INDEX(FILTER(B$1:B2080, B$1:B2080&lt;&gt;""""),COUNTA(FILTER(B$1:B2080, B$1:B2080&lt;&gt;""""))), LEN(INDEX(FILTER(B$1:B2080, B$1:B2080&lt;&gt;""""),COUNTA(FILTER(B$1:B2080, B$1:B2080&lt;&gt;""""))))-1), IF('To Order'!$A2081=COL"&amp;"UMNS($A2081:B2100), B2080&amp;RIGHT(INDIRECT(ADDRESS(ROW(B2081)-1, 'From Order'!$A2081)), 1), B2080))"),"JDPSSTWZCSFHBBVRRJM")</f>
        <v>JDPSSTWZCSFHBBVRRJM</v>
      </c>
      <c r="C2081" s="2" t="str">
        <f>IFERROR(__xludf.DUMMYFUNCTION("IF('From Order'!$A2081=COLUMNS($A2081:C2100), LEFT(INDEX(FILTER(C$1:C2080, C$1:C2080&lt;&gt;""""),COUNTA(FILTER(C$1:C2080, C$1:C2080&lt;&gt;""""))), LEN(INDEX(FILTER(C$1:C2080, C$1:C2080&lt;&gt;""""),COUNTA(FILTER(C$1:C2080, C$1:C2080&lt;&gt;""""))))-1), IF('To Order'!$A2081=COL"&amp;"UMNS($A2081:C2100), C2080&amp;RIGHT(INDIRECT(ADDRESS(ROW(C2081)-1, 'From Order'!$A2081)), 1), C2080))"),"V")</f>
        <v>V</v>
      </c>
      <c r="D2081" s="2" t="str">
        <f>IFERROR(__xludf.DUMMYFUNCTION("IF('From Order'!$A2081=COLUMNS($A2081:D2100), LEFT(INDEX(FILTER(D$1:D2080, D$1:D2080&lt;&gt;""""),COUNTA(FILTER(D$1:D2080, D$1:D2080&lt;&gt;""""))), LEN(INDEX(FILTER(D$1:D2080, D$1:D2080&lt;&gt;""""),COUNTA(FILTER(D$1:D2080, D$1:D2080&lt;&gt;""""))))-1), IF('To Order'!$A2081=COL"&amp;"UMNS($A2081:D2100), D2080&amp;RIGHT(INDIRECT(ADDRESS(ROW(D2081)-1, 'From Order'!$A2081)), 1), D2080))"),"RBJCL")</f>
        <v>RBJCL</v>
      </c>
      <c r="E2081" s="2" t="str">
        <f>IFERROR(__xludf.DUMMYFUNCTION("IF('From Order'!$A2081=COLUMNS($A2081:E2100), LEFT(INDEX(FILTER(E$1:E2080, E$1:E2080&lt;&gt;""""),COUNTA(FILTER(E$1:E2080, E$1:E2080&lt;&gt;""""))), LEN(INDEX(FILTER(E$1:E2080, E$1:E2080&lt;&gt;""""),COUNTA(FILTER(E$1:E2080, E$1:E2080&lt;&gt;""""))))-1), IF('To Order'!$A2081=COL"&amp;"UMNS($A2081:E2100), E2080&amp;RIGHT(INDIRECT(ADDRESS(ROW(E2081)-1, 'From Order'!$A2081)), 1), E2080))"),"")</f>
        <v/>
      </c>
      <c r="F2081" s="2" t="str">
        <f>IFERROR(__xludf.DUMMYFUNCTION("IF('From Order'!$A2081=COLUMNS($A2081:F2100), LEFT(INDEX(FILTER(F$1:F2080, F$1:F2080&lt;&gt;""""),COUNTA(FILTER(F$1:F2080, F$1:F2080&lt;&gt;""""))), LEN(INDEX(FILTER(F$1:F2080, F$1:F2080&lt;&gt;""""),COUNTA(FILTER(F$1:F2080, F$1:F2080&lt;&gt;""""))))-1), IF('To Order'!$A2081=COL"&amp;"UMNS($A2081:F2100), F2080&amp;RIGHT(INDIRECT(ADDRESS(ROW(F2081)-1, 'From Order'!$A2081)), 1), F2080))"),"")</f>
        <v/>
      </c>
      <c r="G2081" s="2" t="str">
        <f>IFERROR(__xludf.DUMMYFUNCTION("IF('From Order'!$A2081=COLUMNS($A2081:G2100), LEFT(INDEX(FILTER(G$1:G2080, G$1:G2080&lt;&gt;""""),COUNTA(FILTER(G$1:G2080, G$1:G2080&lt;&gt;""""))), LEN(INDEX(FILTER(G$1:G2080, G$1:G2080&lt;&gt;""""),COUNTA(FILTER(G$1:G2080, G$1:G2080&lt;&gt;""""))))-1), IF('To Order'!$A2081=COL"&amp;"UMNS($A2081:G2100), G2080&amp;RIGHT(INDIRECT(ADDRESS(ROW(G2081)-1, 'From Order'!$A2081)), 1), G2080))"),"GP")</f>
        <v>GP</v>
      </c>
      <c r="H2081" s="2" t="str">
        <f>IFERROR(__xludf.DUMMYFUNCTION("IF('From Order'!$A2081=COLUMNS($A2081:H2100), LEFT(INDEX(FILTER(H$1:H2080, H$1:H2080&lt;&gt;""""),COUNTA(FILTER(H$1:H2080, H$1:H2080&lt;&gt;""""))), LEN(INDEX(FILTER(H$1:H2080, H$1:H2080&lt;&gt;""""),COUNTA(FILTER(H$1:H2080, H$1:H2080&lt;&gt;""""))))-1), IF('To Order'!$A2081=COL"&amp;"UMNS($A2081:H2100), H2080&amp;RIGHT(INDIRECT(ADDRESS(ROW(H2081)-1, 'From Order'!$A2081)), 1), H2080))"),"QTRR")</f>
        <v>QTRR</v>
      </c>
      <c r="I2081" s="2" t="str">
        <f>IFERROR(__xludf.DUMMYFUNCTION("IF('From Order'!$A2081=COLUMNS($A2081:I2100), LEFT(INDEX(FILTER(I$1:I2080, I$1:I2080&lt;&gt;""""),COUNTA(FILTER(I$1:I2080, I$1:I2080&lt;&gt;""""))), LEN(INDEX(FILTER(I$1:I2080, I$1:I2080&lt;&gt;""""),COUNTA(FILTER(I$1:I2080, I$1:I2080&lt;&gt;""""))))-1), IF('To Order'!$A2081=COL"&amp;"UMNS($A2081:I2100), I2080&amp;RIGHT(INDIRECT(ADDRESS(ROW(I2081)-1, 'From Order'!$A2081)), 1), I2080))"),"DTCTMZH")</f>
        <v>DTCTMZH</v>
      </c>
    </row>
    <row r="2082">
      <c r="A2082" s="2" t="str">
        <f>IFERROR(__xludf.DUMMYFUNCTION("IF('From Order'!$A2082=COLUMNS($A2082:A2101), LEFT(INDEX(FILTER(A$1:A2081, A$1:A2081&lt;&gt;""""),COUNTA(FILTER(A$1:A2081, A$1:A2081&lt;&gt;""""))), LEN(INDEX(FILTER(A$1:A2081, A$1:A2081&lt;&gt;""""),COUNTA(FILTER(A$1:A2081, A$1:A2081&lt;&gt;""""))))-1), IF('To Order'!$A2082=COL"&amp;"UMNS($A2082:A2101), A2081&amp;RIGHT(INDIRECT(ADDRESS(ROW(A2082)-1, 'From Order'!$A2082)), 1), A2081))"),"DSPBFLLWDDVQZDMTTGM")</f>
        <v>DSPBFLLWDDVQZDMTTGM</v>
      </c>
      <c r="B2082" s="2" t="str">
        <f>IFERROR(__xludf.DUMMYFUNCTION("IF('From Order'!$A2082=COLUMNS($A2082:B2101), LEFT(INDEX(FILTER(B$1:B2081, B$1:B2081&lt;&gt;""""),COUNTA(FILTER(B$1:B2081, B$1:B2081&lt;&gt;""""))), LEN(INDEX(FILTER(B$1:B2081, B$1:B2081&lt;&gt;""""),COUNTA(FILTER(B$1:B2081, B$1:B2081&lt;&gt;""""))))-1), IF('To Order'!$A2082=COL"&amp;"UMNS($A2082:B2101), B2081&amp;RIGHT(INDIRECT(ADDRESS(ROW(B2082)-1, 'From Order'!$A2082)), 1), B2081))"),"JDPSSTWZCSFHBBVRRJ")</f>
        <v>JDPSSTWZCSFHBBVRRJ</v>
      </c>
      <c r="C2082" s="2" t="str">
        <f>IFERROR(__xludf.DUMMYFUNCTION("IF('From Order'!$A2082=COLUMNS($A2082:C2101), LEFT(INDEX(FILTER(C$1:C2081, C$1:C2081&lt;&gt;""""),COUNTA(FILTER(C$1:C2081, C$1:C2081&lt;&gt;""""))), LEN(INDEX(FILTER(C$1:C2081, C$1:C2081&lt;&gt;""""),COUNTA(FILTER(C$1:C2081, C$1:C2081&lt;&gt;""""))))-1), IF('To Order'!$A2082=COL"&amp;"UMNS($A2082:C2101), C2081&amp;RIGHT(INDIRECT(ADDRESS(ROW(C2082)-1, 'From Order'!$A2082)), 1), C2081))"),"V")</f>
        <v>V</v>
      </c>
      <c r="D2082" s="2" t="str">
        <f>IFERROR(__xludf.DUMMYFUNCTION("IF('From Order'!$A2082=COLUMNS($A2082:D2101), LEFT(INDEX(FILTER(D$1:D2081, D$1:D2081&lt;&gt;""""),COUNTA(FILTER(D$1:D2081, D$1:D2081&lt;&gt;""""))), LEN(INDEX(FILTER(D$1:D2081, D$1:D2081&lt;&gt;""""),COUNTA(FILTER(D$1:D2081, D$1:D2081&lt;&gt;""""))))-1), IF('To Order'!$A2082=COL"&amp;"UMNS($A2082:D2101), D2081&amp;RIGHT(INDIRECT(ADDRESS(ROW(D2082)-1, 'From Order'!$A2082)), 1), D2081))"),"RBJCL")</f>
        <v>RBJCL</v>
      </c>
      <c r="E2082" s="2" t="str">
        <f>IFERROR(__xludf.DUMMYFUNCTION("IF('From Order'!$A2082=COLUMNS($A2082:E2101), LEFT(INDEX(FILTER(E$1:E2081, E$1:E2081&lt;&gt;""""),COUNTA(FILTER(E$1:E2081, E$1:E2081&lt;&gt;""""))), LEN(INDEX(FILTER(E$1:E2081, E$1:E2081&lt;&gt;""""),COUNTA(FILTER(E$1:E2081, E$1:E2081&lt;&gt;""""))))-1), IF('To Order'!$A2082=COL"&amp;"UMNS($A2082:E2101), E2081&amp;RIGHT(INDIRECT(ADDRESS(ROW(E2082)-1, 'From Order'!$A2082)), 1), E2081))"),"")</f>
        <v/>
      </c>
      <c r="F2082" s="2" t="str">
        <f>IFERROR(__xludf.DUMMYFUNCTION("IF('From Order'!$A2082=COLUMNS($A2082:F2101), LEFT(INDEX(FILTER(F$1:F2081, F$1:F2081&lt;&gt;""""),COUNTA(FILTER(F$1:F2081, F$1:F2081&lt;&gt;""""))), LEN(INDEX(FILTER(F$1:F2081, F$1:F2081&lt;&gt;""""),COUNTA(FILTER(F$1:F2081, F$1:F2081&lt;&gt;""""))))-1), IF('To Order'!$A2082=COL"&amp;"UMNS($A2082:F2101), F2081&amp;RIGHT(INDIRECT(ADDRESS(ROW(F2082)-1, 'From Order'!$A2082)), 1), F2081))"),"")</f>
        <v/>
      </c>
      <c r="G2082" s="2" t="str">
        <f>IFERROR(__xludf.DUMMYFUNCTION("IF('From Order'!$A2082=COLUMNS($A2082:G2101), LEFT(INDEX(FILTER(G$1:G2081, G$1:G2081&lt;&gt;""""),COUNTA(FILTER(G$1:G2081, G$1:G2081&lt;&gt;""""))), LEN(INDEX(FILTER(G$1:G2081, G$1:G2081&lt;&gt;""""),COUNTA(FILTER(G$1:G2081, G$1:G2081&lt;&gt;""""))))-1), IF('To Order'!$A2082=COL"&amp;"UMNS($A2082:G2101), G2081&amp;RIGHT(INDIRECT(ADDRESS(ROW(G2082)-1, 'From Order'!$A2082)), 1), G2081))"),"GP")</f>
        <v>GP</v>
      </c>
      <c r="H2082" s="2" t="str">
        <f>IFERROR(__xludf.DUMMYFUNCTION("IF('From Order'!$A2082=COLUMNS($A2082:H2101), LEFT(INDEX(FILTER(H$1:H2081, H$1:H2081&lt;&gt;""""),COUNTA(FILTER(H$1:H2081, H$1:H2081&lt;&gt;""""))), LEN(INDEX(FILTER(H$1:H2081, H$1:H2081&lt;&gt;""""),COUNTA(FILTER(H$1:H2081, H$1:H2081&lt;&gt;""""))))-1), IF('To Order'!$A2082=COL"&amp;"UMNS($A2082:H2101), H2081&amp;RIGHT(INDIRECT(ADDRESS(ROW(H2082)-1, 'From Order'!$A2082)), 1), H2081))"),"QTRR")</f>
        <v>QTRR</v>
      </c>
      <c r="I2082" s="2" t="str">
        <f>IFERROR(__xludf.DUMMYFUNCTION("IF('From Order'!$A2082=COLUMNS($A2082:I2101), LEFT(INDEX(FILTER(I$1:I2081, I$1:I2081&lt;&gt;""""),COUNTA(FILTER(I$1:I2081, I$1:I2081&lt;&gt;""""))), LEN(INDEX(FILTER(I$1:I2081, I$1:I2081&lt;&gt;""""),COUNTA(FILTER(I$1:I2081, I$1:I2081&lt;&gt;""""))))-1), IF('To Order'!$A2082=COL"&amp;"UMNS($A2082:I2101), I2081&amp;RIGHT(INDIRECT(ADDRESS(ROW(I2082)-1, 'From Order'!$A2082)), 1), I2081))"),"DTCTMZH")</f>
        <v>DTCTMZH</v>
      </c>
    </row>
    <row r="2083">
      <c r="A2083" s="2" t="str">
        <f>IFERROR(__xludf.DUMMYFUNCTION("IF('From Order'!$A2083=COLUMNS($A2083:A2102), LEFT(INDEX(FILTER(A$1:A2082, A$1:A2082&lt;&gt;""""),COUNTA(FILTER(A$1:A2082, A$1:A2082&lt;&gt;""""))), LEN(INDEX(FILTER(A$1:A2082, A$1:A2082&lt;&gt;""""),COUNTA(FILTER(A$1:A2082, A$1:A2082&lt;&gt;""""))))-1), IF('To Order'!$A2083=COL"&amp;"UMNS($A2083:A2102), A2082&amp;RIGHT(INDIRECT(ADDRESS(ROW(A2083)-1, 'From Order'!$A2083)), 1), A2082))"),"DSPBFLLWDDVQZDMTTGMJ")</f>
        <v>DSPBFLLWDDVQZDMTTGMJ</v>
      </c>
      <c r="B2083" s="2" t="str">
        <f>IFERROR(__xludf.DUMMYFUNCTION("IF('From Order'!$A2083=COLUMNS($A2083:B2102), LEFT(INDEX(FILTER(B$1:B2082, B$1:B2082&lt;&gt;""""),COUNTA(FILTER(B$1:B2082, B$1:B2082&lt;&gt;""""))), LEN(INDEX(FILTER(B$1:B2082, B$1:B2082&lt;&gt;""""),COUNTA(FILTER(B$1:B2082, B$1:B2082&lt;&gt;""""))))-1), IF('To Order'!$A2083=COL"&amp;"UMNS($A2083:B2102), B2082&amp;RIGHT(INDIRECT(ADDRESS(ROW(B2083)-1, 'From Order'!$A2083)), 1), B2082))"),"JDPSSTWZCSFHBBVRR")</f>
        <v>JDPSSTWZCSFHBBVRR</v>
      </c>
      <c r="C2083" s="2" t="str">
        <f>IFERROR(__xludf.DUMMYFUNCTION("IF('From Order'!$A2083=COLUMNS($A2083:C2102), LEFT(INDEX(FILTER(C$1:C2082, C$1:C2082&lt;&gt;""""),COUNTA(FILTER(C$1:C2082, C$1:C2082&lt;&gt;""""))), LEN(INDEX(FILTER(C$1:C2082, C$1:C2082&lt;&gt;""""),COUNTA(FILTER(C$1:C2082, C$1:C2082&lt;&gt;""""))))-1), IF('To Order'!$A2083=COL"&amp;"UMNS($A2083:C2102), C2082&amp;RIGHT(INDIRECT(ADDRESS(ROW(C2083)-1, 'From Order'!$A2083)), 1), C2082))"),"V")</f>
        <v>V</v>
      </c>
      <c r="D2083" s="2" t="str">
        <f>IFERROR(__xludf.DUMMYFUNCTION("IF('From Order'!$A2083=COLUMNS($A2083:D2102), LEFT(INDEX(FILTER(D$1:D2082, D$1:D2082&lt;&gt;""""),COUNTA(FILTER(D$1:D2082, D$1:D2082&lt;&gt;""""))), LEN(INDEX(FILTER(D$1:D2082, D$1:D2082&lt;&gt;""""),COUNTA(FILTER(D$1:D2082, D$1:D2082&lt;&gt;""""))))-1), IF('To Order'!$A2083=COL"&amp;"UMNS($A2083:D2102), D2082&amp;RIGHT(INDIRECT(ADDRESS(ROW(D2083)-1, 'From Order'!$A2083)), 1), D2082))"),"RBJCL")</f>
        <v>RBJCL</v>
      </c>
      <c r="E2083" s="2" t="str">
        <f>IFERROR(__xludf.DUMMYFUNCTION("IF('From Order'!$A2083=COLUMNS($A2083:E2102), LEFT(INDEX(FILTER(E$1:E2082, E$1:E2082&lt;&gt;""""),COUNTA(FILTER(E$1:E2082, E$1:E2082&lt;&gt;""""))), LEN(INDEX(FILTER(E$1:E2082, E$1:E2082&lt;&gt;""""),COUNTA(FILTER(E$1:E2082, E$1:E2082&lt;&gt;""""))))-1), IF('To Order'!$A2083=COL"&amp;"UMNS($A2083:E2102), E2082&amp;RIGHT(INDIRECT(ADDRESS(ROW(E2083)-1, 'From Order'!$A2083)), 1), E2082))"),"")</f>
        <v/>
      </c>
      <c r="F2083" s="2" t="str">
        <f>IFERROR(__xludf.DUMMYFUNCTION("IF('From Order'!$A2083=COLUMNS($A2083:F2102), LEFT(INDEX(FILTER(F$1:F2082, F$1:F2082&lt;&gt;""""),COUNTA(FILTER(F$1:F2082, F$1:F2082&lt;&gt;""""))), LEN(INDEX(FILTER(F$1:F2082, F$1:F2082&lt;&gt;""""),COUNTA(FILTER(F$1:F2082, F$1:F2082&lt;&gt;""""))))-1), IF('To Order'!$A2083=COL"&amp;"UMNS($A2083:F2102), F2082&amp;RIGHT(INDIRECT(ADDRESS(ROW(F2083)-1, 'From Order'!$A2083)), 1), F2082))"),"")</f>
        <v/>
      </c>
      <c r="G2083" s="2" t="str">
        <f>IFERROR(__xludf.DUMMYFUNCTION("IF('From Order'!$A2083=COLUMNS($A2083:G2102), LEFT(INDEX(FILTER(G$1:G2082, G$1:G2082&lt;&gt;""""),COUNTA(FILTER(G$1:G2082, G$1:G2082&lt;&gt;""""))), LEN(INDEX(FILTER(G$1:G2082, G$1:G2082&lt;&gt;""""),COUNTA(FILTER(G$1:G2082, G$1:G2082&lt;&gt;""""))))-1), IF('To Order'!$A2083=COL"&amp;"UMNS($A2083:G2102), G2082&amp;RIGHT(INDIRECT(ADDRESS(ROW(G2083)-1, 'From Order'!$A2083)), 1), G2082))"),"GP")</f>
        <v>GP</v>
      </c>
      <c r="H2083" s="2" t="str">
        <f>IFERROR(__xludf.DUMMYFUNCTION("IF('From Order'!$A2083=COLUMNS($A2083:H2102), LEFT(INDEX(FILTER(H$1:H2082, H$1:H2082&lt;&gt;""""),COUNTA(FILTER(H$1:H2082, H$1:H2082&lt;&gt;""""))), LEN(INDEX(FILTER(H$1:H2082, H$1:H2082&lt;&gt;""""),COUNTA(FILTER(H$1:H2082, H$1:H2082&lt;&gt;""""))))-1), IF('To Order'!$A2083=COL"&amp;"UMNS($A2083:H2102), H2082&amp;RIGHT(INDIRECT(ADDRESS(ROW(H2083)-1, 'From Order'!$A2083)), 1), H2082))"),"QTRR")</f>
        <v>QTRR</v>
      </c>
      <c r="I2083" s="2" t="str">
        <f>IFERROR(__xludf.DUMMYFUNCTION("IF('From Order'!$A2083=COLUMNS($A2083:I2102), LEFT(INDEX(FILTER(I$1:I2082, I$1:I2082&lt;&gt;""""),COUNTA(FILTER(I$1:I2082, I$1:I2082&lt;&gt;""""))), LEN(INDEX(FILTER(I$1:I2082, I$1:I2082&lt;&gt;""""),COUNTA(FILTER(I$1:I2082, I$1:I2082&lt;&gt;""""))))-1), IF('To Order'!$A2083=COL"&amp;"UMNS($A2083:I2102), I2082&amp;RIGHT(INDIRECT(ADDRESS(ROW(I2083)-1, 'From Order'!$A2083)), 1), I2082))"),"DTCTMZH")</f>
        <v>DTCTMZH</v>
      </c>
    </row>
    <row r="2084">
      <c r="A2084" s="2" t="str">
        <f>IFERROR(__xludf.DUMMYFUNCTION("IF('From Order'!$A2084=COLUMNS($A2084:A2103), LEFT(INDEX(FILTER(A$1:A2083, A$1:A2083&lt;&gt;""""),COUNTA(FILTER(A$1:A2083, A$1:A2083&lt;&gt;""""))), LEN(INDEX(FILTER(A$1:A2083, A$1:A2083&lt;&gt;""""),COUNTA(FILTER(A$1:A2083, A$1:A2083&lt;&gt;""""))))-1), IF('To Order'!$A2084=COL"&amp;"UMNS($A2084:A2103), A2083&amp;RIGHT(INDIRECT(ADDRESS(ROW(A2084)-1, 'From Order'!$A2084)), 1), A2083))"),"DSPBFLLWDDVQZDMTTGMJR")</f>
        <v>DSPBFLLWDDVQZDMTTGMJR</v>
      </c>
      <c r="B2084" s="2" t="str">
        <f>IFERROR(__xludf.DUMMYFUNCTION("IF('From Order'!$A2084=COLUMNS($A2084:B2103), LEFT(INDEX(FILTER(B$1:B2083, B$1:B2083&lt;&gt;""""),COUNTA(FILTER(B$1:B2083, B$1:B2083&lt;&gt;""""))), LEN(INDEX(FILTER(B$1:B2083, B$1:B2083&lt;&gt;""""),COUNTA(FILTER(B$1:B2083, B$1:B2083&lt;&gt;""""))))-1), IF('To Order'!$A2084=COL"&amp;"UMNS($A2084:B2103), B2083&amp;RIGHT(INDIRECT(ADDRESS(ROW(B2084)-1, 'From Order'!$A2084)), 1), B2083))"),"JDPSSTWZCSFHBBVR")</f>
        <v>JDPSSTWZCSFHBBVR</v>
      </c>
      <c r="C2084" s="2" t="str">
        <f>IFERROR(__xludf.DUMMYFUNCTION("IF('From Order'!$A2084=COLUMNS($A2084:C2103), LEFT(INDEX(FILTER(C$1:C2083, C$1:C2083&lt;&gt;""""),COUNTA(FILTER(C$1:C2083, C$1:C2083&lt;&gt;""""))), LEN(INDEX(FILTER(C$1:C2083, C$1:C2083&lt;&gt;""""),COUNTA(FILTER(C$1:C2083, C$1:C2083&lt;&gt;""""))))-1), IF('To Order'!$A2084=COL"&amp;"UMNS($A2084:C2103), C2083&amp;RIGHT(INDIRECT(ADDRESS(ROW(C2084)-1, 'From Order'!$A2084)), 1), C2083))"),"V")</f>
        <v>V</v>
      </c>
      <c r="D2084" s="2" t="str">
        <f>IFERROR(__xludf.DUMMYFUNCTION("IF('From Order'!$A2084=COLUMNS($A2084:D2103), LEFT(INDEX(FILTER(D$1:D2083, D$1:D2083&lt;&gt;""""),COUNTA(FILTER(D$1:D2083, D$1:D2083&lt;&gt;""""))), LEN(INDEX(FILTER(D$1:D2083, D$1:D2083&lt;&gt;""""),COUNTA(FILTER(D$1:D2083, D$1:D2083&lt;&gt;""""))))-1), IF('To Order'!$A2084=COL"&amp;"UMNS($A2084:D2103), D2083&amp;RIGHT(INDIRECT(ADDRESS(ROW(D2084)-1, 'From Order'!$A2084)), 1), D2083))"),"RBJCL")</f>
        <v>RBJCL</v>
      </c>
      <c r="E2084" s="2" t="str">
        <f>IFERROR(__xludf.DUMMYFUNCTION("IF('From Order'!$A2084=COLUMNS($A2084:E2103), LEFT(INDEX(FILTER(E$1:E2083, E$1:E2083&lt;&gt;""""),COUNTA(FILTER(E$1:E2083, E$1:E2083&lt;&gt;""""))), LEN(INDEX(FILTER(E$1:E2083, E$1:E2083&lt;&gt;""""),COUNTA(FILTER(E$1:E2083, E$1:E2083&lt;&gt;""""))))-1), IF('To Order'!$A2084=COL"&amp;"UMNS($A2084:E2103), E2083&amp;RIGHT(INDIRECT(ADDRESS(ROW(E2084)-1, 'From Order'!$A2084)), 1), E2083))"),"")</f>
        <v/>
      </c>
      <c r="F2084" s="2" t="str">
        <f>IFERROR(__xludf.DUMMYFUNCTION("IF('From Order'!$A2084=COLUMNS($A2084:F2103), LEFT(INDEX(FILTER(F$1:F2083, F$1:F2083&lt;&gt;""""),COUNTA(FILTER(F$1:F2083, F$1:F2083&lt;&gt;""""))), LEN(INDEX(FILTER(F$1:F2083, F$1:F2083&lt;&gt;""""),COUNTA(FILTER(F$1:F2083, F$1:F2083&lt;&gt;""""))))-1), IF('To Order'!$A2084=COL"&amp;"UMNS($A2084:F2103), F2083&amp;RIGHT(INDIRECT(ADDRESS(ROW(F2084)-1, 'From Order'!$A2084)), 1), F2083))"),"")</f>
        <v/>
      </c>
      <c r="G2084" s="2" t="str">
        <f>IFERROR(__xludf.DUMMYFUNCTION("IF('From Order'!$A2084=COLUMNS($A2084:G2103), LEFT(INDEX(FILTER(G$1:G2083, G$1:G2083&lt;&gt;""""),COUNTA(FILTER(G$1:G2083, G$1:G2083&lt;&gt;""""))), LEN(INDEX(FILTER(G$1:G2083, G$1:G2083&lt;&gt;""""),COUNTA(FILTER(G$1:G2083, G$1:G2083&lt;&gt;""""))))-1), IF('To Order'!$A2084=COL"&amp;"UMNS($A2084:G2103), G2083&amp;RIGHT(INDIRECT(ADDRESS(ROW(G2084)-1, 'From Order'!$A2084)), 1), G2083))"),"GP")</f>
        <v>GP</v>
      </c>
      <c r="H2084" s="2" t="str">
        <f>IFERROR(__xludf.DUMMYFUNCTION("IF('From Order'!$A2084=COLUMNS($A2084:H2103), LEFT(INDEX(FILTER(H$1:H2083, H$1:H2083&lt;&gt;""""),COUNTA(FILTER(H$1:H2083, H$1:H2083&lt;&gt;""""))), LEN(INDEX(FILTER(H$1:H2083, H$1:H2083&lt;&gt;""""),COUNTA(FILTER(H$1:H2083, H$1:H2083&lt;&gt;""""))))-1), IF('To Order'!$A2084=COL"&amp;"UMNS($A2084:H2103), H2083&amp;RIGHT(INDIRECT(ADDRESS(ROW(H2084)-1, 'From Order'!$A2084)), 1), H2083))"),"QTRR")</f>
        <v>QTRR</v>
      </c>
      <c r="I2084" s="2" t="str">
        <f>IFERROR(__xludf.DUMMYFUNCTION("IF('From Order'!$A2084=COLUMNS($A2084:I2103), LEFT(INDEX(FILTER(I$1:I2083, I$1:I2083&lt;&gt;""""),COUNTA(FILTER(I$1:I2083, I$1:I2083&lt;&gt;""""))), LEN(INDEX(FILTER(I$1:I2083, I$1:I2083&lt;&gt;""""),COUNTA(FILTER(I$1:I2083, I$1:I2083&lt;&gt;""""))))-1), IF('To Order'!$A2084=COL"&amp;"UMNS($A2084:I2103), I2083&amp;RIGHT(INDIRECT(ADDRESS(ROW(I2084)-1, 'From Order'!$A2084)), 1), I2083))"),"DTCTMZH")</f>
        <v>DTCTMZH</v>
      </c>
    </row>
    <row r="2085">
      <c r="A2085" s="2" t="str">
        <f>IFERROR(__xludf.DUMMYFUNCTION("IF('From Order'!$A2085=COLUMNS($A2085:A2104), LEFT(INDEX(FILTER(A$1:A2084, A$1:A2084&lt;&gt;""""),COUNTA(FILTER(A$1:A2084, A$1:A2084&lt;&gt;""""))), LEN(INDEX(FILTER(A$1:A2084, A$1:A2084&lt;&gt;""""),COUNTA(FILTER(A$1:A2084, A$1:A2084&lt;&gt;""""))))-1), IF('To Order'!$A2085=COL"&amp;"UMNS($A2085:A2104), A2084&amp;RIGHT(INDIRECT(ADDRESS(ROW(A2085)-1, 'From Order'!$A2085)), 1), A2084))"),"DSPBFLLWDDVQZDMTTGMJRR")</f>
        <v>DSPBFLLWDDVQZDMTTGMJRR</v>
      </c>
      <c r="B2085" s="2" t="str">
        <f>IFERROR(__xludf.DUMMYFUNCTION("IF('From Order'!$A2085=COLUMNS($A2085:B2104), LEFT(INDEX(FILTER(B$1:B2084, B$1:B2084&lt;&gt;""""),COUNTA(FILTER(B$1:B2084, B$1:B2084&lt;&gt;""""))), LEN(INDEX(FILTER(B$1:B2084, B$1:B2084&lt;&gt;""""),COUNTA(FILTER(B$1:B2084, B$1:B2084&lt;&gt;""""))))-1), IF('To Order'!$A2085=COL"&amp;"UMNS($A2085:B2104), B2084&amp;RIGHT(INDIRECT(ADDRESS(ROW(B2085)-1, 'From Order'!$A2085)), 1), B2084))"),"JDPSSTWZCSFHBBV")</f>
        <v>JDPSSTWZCSFHBBV</v>
      </c>
      <c r="C2085" s="2" t="str">
        <f>IFERROR(__xludf.DUMMYFUNCTION("IF('From Order'!$A2085=COLUMNS($A2085:C2104), LEFT(INDEX(FILTER(C$1:C2084, C$1:C2084&lt;&gt;""""),COUNTA(FILTER(C$1:C2084, C$1:C2084&lt;&gt;""""))), LEN(INDEX(FILTER(C$1:C2084, C$1:C2084&lt;&gt;""""),COUNTA(FILTER(C$1:C2084, C$1:C2084&lt;&gt;""""))))-1), IF('To Order'!$A2085=COL"&amp;"UMNS($A2085:C2104), C2084&amp;RIGHT(INDIRECT(ADDRESS(ROW(C2085)-1, 'From Order'!$A2085)), 1), C2084))"),"V")</f>
        <v>V</v>
      </c>
      <c r="D2085" s="2" t="str">
        <f>IFERROR(__xludf.DUMMYFUNCTION("IF('From Order'!$A2085=COLUMNS($A2085:D2104), LEFT(INDEX(FILTER(D$1:D2084, D$1:D2084&lt;&gt;""""),COUNTA(FILTER(D$1:D2084, D$1:D2084&lt;&gt;""""))), LEN(INDEX(FILTER(D$1:D2084, D$1:D2084&lt;&gt;""""),COUNTA(FILTER(D$1:D2084, D$1:D2084&lt;&gt;""""))))-1), IF('To Order'!$A2085=COL"&amp;"UMNS($A2085:D2104), D2084&amp;RIGHT(INDIRECT(ADDRESS(ROW(D2085)-1, 'From Order'!$A2085)), 1), D2084))"),"RBJCL")</f>
        <v>RBJCL</v>
      </c>
      <c r="E2085" s="2" t="str">
        <f>IFERROR(__xludf.DUMMYFUNCTION("IF('From Order'!$A2085=COLUMNS($A2085:E2104), LEFT(INDEX(FILTER(E$1:E2084, E$1:E2084&lt;&gt;""""),COUNTA(FILTER(E$1:E2084, E$1:E2084&lt;&gt;""""))), LEN(INDEX(FILTER(E$1:E2084, E$1:E2084&lt;&gt;""""),COUNTA(FILTER(E$1:E2084, E$1:E2084&lt;&gt;""""))))-1), IF('To Order'!$A2085=COL"&amp;"UMNS($A2085:E2104), E2084&amp;RIGHT(INDIRECT(ADDRESS(ROW(E2085)-1, 'From Order'!$A2085)), 1), E2084))"),"")</f>
        <v/>
      </c>
      <c r="F2085" s="2" t="str">
        <f>IFERROR(__xludf.DUMMYFUNCTION("IF('From Order'!$A2085=COLUMNS($A2085:F2104), LEFT(INDEX(FILTER(F$1:F2084, F$1:F2084&lt;&gt;""""),COUNTA(FILTER(F$1:F2084, F$1:F2084&lt;&gt;""""))), LEN(INDEX(FILTER(F$1:F2084, F$1:F2084&lt;&gt;""""),COUNTA(FILTER(F$1:F2084, F$1:F2084&lt;&gt;""""))))-1), IF('To Order'!$A2085=COL"&amp;"UMNS($A2085:F2104), F2084&amp;RIGHT(INDIRECT(ADDRESS(ROW(F2085)-1, 'From Order'!$A2085)), 1), F2084))"),"")</f>
        <v/>
      </c>
      <c r="G2085" s="2" t="str">
        <f>IFERROR(__xludf.DUMMYFUNCTION("IF('From Order'!$A2085=COLUMNS($A2085:G2104), LEFT(INDEX(FILTER(G$1:G2084, G$1:G2084&lt;&gt;""""),COUNTA(FILTER(G$1:G2084, G$1:G2084&lt;&gt;""""))), LEN(INDEX(FILTER(G$1:G2084, G$1:G2084&lt;&gt;""""),COUNTA(FILTER(G$1:G2084, G$1:G2084&lt;&gt;""""))))-1), IF('To Order'!$A2085=COL"&amp;"UMNS($A2085:G2104), G2084&amp;RIGHT(INDIRECT(ADDRESS(ROW(G2085)-1, 'From Order'!$A2085)), 1), G2084))"),"GP")</f>
        <v>GP</v>
      </c>
      <c r="H2085" s="2" t="str">
        <f>IFERROR(__xludf.DUMMYFUNCTION("IF('From Order'!$A2085=COLUMNS($A2085:H2104), LEFT(INDEX(FILTER(H$1:H2084, H$1:H2084&lt;&gt;""""),COUNTA(FILTER(H$1:H2084, H$1:H2084&lt;&gt;""""))), LEN(INDEX(FILTER(H$1:H2084, H$1:H2084&lt;&gt;""""),COUNTA(FILTER(H$1:H2084, H$1:H2084&lt;&gt;""""))))-1), IF('To Order'!$A2085=COL"&amp;"UMNS($A2085:H2104), H2084&amp;RIGHT(INDIRECT(ADDRESS(ROW(H2085)-1, 'From Order'!$A2085)), 1), H2084))"),"QTRR")</f>
        <v>QTRR</v>
      </c>
      <c r="I2085" s="2" t="str">
        <f>IFERROR(__xludf.DUMMYFUNCTION("IF('From Order'!$A2085=COLUMNS($A2085:I2104), LEFT(INDEX(FILTER(I$1:I2084, I$1:I2084&lt;&gt;""""),COUNTA(FILTER(I$1:I2084, I$1:I2084&lt;&gt;""""))), LEN(INDEX(FILTER(I$1:I2084, I$1:I2084&lt;&gt;""""),COUNTA(FILTER(I$1:I2084, I$1:I2084&lt;&gt;""""))))-1), IF('To Order'!$A2085=COL"&amp;"UMNS($A2085:I2104), I2084&amp;RIGHT(INDIRECT(ADDRESS(ROW(I2085)-1, 'From Order'!$A2085)), 1), I2084))"),"DTCTMZH")</f>
        <v>DTCTMZH</v>
      </c>
    </row>
    <row r="2086">
      <c r="A2086" s="2" t="str">
        <f>IFERROR(__xludf.DUMMYFUNCTION("IF('From Order'!$A2086=COLUMNS($A2086:A2105), LEFT(INDEX(FILTER(A$1:A2085, A$1:A2085&lt;&gt;""""),COUNTA(FILTER(A$1:A2085, A$1:A2085&lt;&gt;""""))), LEN(INDEX(FILTER(A$1:A2085, A$1:A2085&lt;&gt;""""),COUNTA(FILTER(A$1:A2085, A$1:A2085&lt;&gt;""""))))-1), IF('To Order'!$A2086=COL"&amp;"UMNS($A2086:A2105), A2085&amp;RIGHT(INDIRECT(ADDRESS(ROW(A2086)-1, 'From Order'!$A2086)), 1), A2085))"),"DSPBFLLWDDVQZDMTTGMJRR")</f>
        <v>DSPBFLLWDDVQZDMTTGMJRR</v>
      </c>
      <c r="B2086" s="2" t="str">
        <f>IFERROR(__xludf.DUMMYFUNCTION("IF('From Order'!$A2086=COLUMNS($A2086:B2105), LEFT(INDEX(FILTER(B$1:B2085, B$1:B2085&lt;&gt;""""),COUNTA(FILTER(B$1:B2085, B$1:B2085&lt;&gt;""""))), LEN(INDEX(FILTER(B$1:B2085, B$1:B2085&lt;&gt;""""),COUNTA(FILTER(B$1:B2085, B$1:B2085&lt;&gt;""""))))-1), IF('To Order'!$A2086=COL"&amp;"UMNS($A2086:B2105), B2085&amp;RIGHT(INDIRECT(ADDRESS(ROW(B2086)-1, 'From Order'!$A2086)), 1), B2085))"),"JDPSSTWZCSFHBBV")</f>
        <v>JDPSSTWZCSFHBBV</v>
      </c>
      <c r="C2086" s="2" t="str">
        <f>IFERROR(__xludf.DUMMYFUNCTION("IF('From Order'!$A2086=COLUMNS($A2086:C2105), LEFT(INDEX(FILTER(C$1:C2085, C$1:C2085&lt;&gt;""""),COUNTA(FILTER(C$1:C2085, C$1:C2085&lt;&gt;""""))), LEN(INDEX(FILTER(C$1:C2085, C$1:C2085&lt;&gt;""""),COUNTA(FILTER(C$1:C2085, C$1:C2085&lt;&gt;""""))))-1), IF('To Order'!$A2086=COL"&amp;"UMNS($A2086:C2105), C2085&amp;RIGHT(INDIRECT(ADDRESS(ROW(C2086)-1, 'From Order'!$A2086)), 1), C2085))"),"V")</f>
        <v>V</v>
      </c>
      <c r="D2086" s="2" t="str">
        <f>IFERROR(__xludf.DUMMYFUNCTION("IF('From Order'!$A2086=COLUMNS($A2086:D2105), LEFT(INDEX(FILTER(D$1:D2085, D$1:D2085&lt;&gt;""""),COUNTA(FILTER(D$1:D2085, D$1:D2085&lt;&gt;""""))), LEN(INDEX(FILTER(D$1:D2085, D$1:D2085&lt;&gt;""""),COUNTA(FILTER(D$1:D2085, D$1:D2085&lt;&gt;""""))))-1), IF('To Order'!$A2086=COL"&amp;"UMNS($A2086:D2105), D2085&amp;RIGHT(INDIRECT(ADDRESS(ROW(D2086)-1, 'From Order'!$A2086)), 1), D2085))"),"RBJCL")</f>
        <v>RBJCL</v>
      </c>
      <c r="E2086" s="2" t="str">
        <f>IFERROR(__xludf.DUMMYFUNCTION("IF('From Order'!$A2086=COLUMNS($A2086:E2105), LEFT(INDEX(FILTER(E$1:E2085, E$1:E2085&lt;&gt;""""),COUNTA(FILTER(E$1:E2085, E$1:E2085&lt;&gt;""""))), LEN(INDEX(FILTER(E$1:E2085, E$1:E2085&lt;&gt;""""),COUNTA(FILTER(E$1:E2085, E$1:E2085&lt;&gt;""""))))-1), IF('To Order'!$A2086=COL"&amp;"UMNS($A2086:E2105), E2085&amp;RIGHT(INDIRECT(ADDRESS(ROW(E2086)-1, 'From Order'!$A2086)), 1), E2085))"),"")</f>
        <v/>
      </c>
      <c r="F2086" s="2" t="str">
        <f>IFERROR(__xludf.DUMMYFUNCTION("IF('From Order'!$A2086=COLUMNS($A2086:F2105), LEFT(INDEX(FILTER(F$1:F2085, F$1:F2085&lt;&gt;""""),COUNTA(FILTER(F$1:F2085, F$1:F2085&lt;&gt;""""))), LEN(INDEX(FILTER(F$1:F2085, F$1:F2085&lt;&gt;""""),COUNTA(FILTER(F$1:F2085, F$1:F2085&lt;&gt;""""))))-1), IF('To Order'!$A2086=COL"&amp;"UMNS($A2086:F2105), F2085&amp;RIGHT(INDIRECT(ADDRESS(ROW(F2086)-1, 'From Order'!$A2086)), 1), F2085))"),"")</f>
        <v/>
      </c>
      <c r="G2086" s="2" t="str">
        <f>IFERROR(__xludf.DUMMYFUNCTION("IF('From Order'!$A2086=COLUMNS($A2086:G2105), LEFT(INDEX(FILTER(G$1:G2085, G$1:G2085&lt;&gt;""""),COUNTA(FILTER(G$1:G2085, G$1:G2085&lt;&gt;""""))), LEN(INDEX(FILTER(G$1:G2085, G$1:G2085&lt;&gt;""""),COUNTA(FILTER(G$1:G2085, G$1:G2085&lt;&gt;""""))))-1), IF('To Order'!$A2086=COL"&amp;"UMNS($A2086:G2105), G2085&amp;RIGHT(INDIRECT(ADDRESS(ROW(G2086)-1, 'From Order'!$A2086)), 1), G2085))"),"G")</f>
        <v>G</v>
      </c>
      <c r="H2086" s="2" t="str">
        <f>IFERROR(__xludf.DUMMYFUNCTION("IF('From Order'!$A2086=COLUMNS($A2086:H2105), LEFT(INDEX(FILTER(H$1:H2085, H$1:H2085&lt;&gt;""""),COUNTA(FILTER(H$1:H2085, H$1:H2085&lt;&gt;""""))), LEN(INDEX(FILTER(H$1:H2085, H$1:H2085&lt;&gt;""""),COUNTA(FILTER(H$1:H2085, H$1:H2085&lt;&gt;""""))))-1), IF('To Order'!$A2086=COL"&amp;"UMNS($A2086:H2105), H2085&amp;RIGHT(INDIRECT(ADDRESS(ROW(H2086)-1, 'From Order'!$A2086)), 1), H2085))"),"QTRRP")</f>
        <v>QTRRP</v>
      </c>
      <c r="I2086" s="2" t="str">
        <f>IFERROR(__xludf.DUMMYFUNCTION("IF('From Order'!$A2086=COLUMNS($A2086:I2105), LEFT(INDEX(FILTER(I$1:I2085, I$1:I2085&lt;&gt;""""),COUNTA(FILTER(I$1:I2085, I$1:I2085&lt;&gt;""""))), LEN(INDEX(FILTER(I$1:I2085, I$1:I2085&lt;&gt;""""),COUNTA(FILTER(I$1:I2085, I$1:I2085&lt;&gt;""""))))-1), IF('To Order'!$A2086=COL"&amp;"UMNS($A2086:I2105), I2085&amp;RIGHT(INDIRECT(ADDRESS(ROW(I2086)-1, 'From Order'!$A2086)), 1), I2085))"),"DTCTMZH")</f>
        <v>DTCTMZH</v>
      </c>
    </row>
    <row r="2087">
      <c r="A2087" s="2" t="str">
        <f>IFERROR(__xludf.DUMMYFUNCTION("IF('From Order'!$A2087=COLUMNS($A2087:A2106), LEFT(INDEX(FILTER(A$1:A2086, A$1:A2086&lt;&gt;""""),COUNTA(FILTER(A$1:A2086, A$1:A2086&lt;&gt;""""))), LEN(INDEX(FILTER(A$1:A2086, A$1:A2086&lt;&gt;""""),COUNTA(FILTER(A$1:A2086, A$1:A2086&lt;&gt;""""))))-1), IF('To Order'!$A2087=COL"&amp;"UMNS($A2087:A2106), A2086&amp;RIGHT(INDIRECT(ADDRESS(ROW(A2087)-1, 'From Order'!$A2087)), 1), A2086))"),"DSPBFLLWDDVQZDMTTGMJRRL")</f>
        <v>DSPBFLLWDDVQZDMTTGMJRRL</v>
      </c>
      <c r="B2087" s="2" t="str">
        <f>IFERROR(__xludf.DUMMYFUNCTION("IF('From Order'!$A2087=COLUMNS($A2087:B2106), LEFT(INDEX(FILTER(B$1:B2086, B$1:B2086&lt;&gt;""""),COUNTA(FILTER(B$1:B2086, B$1:B2086&lt;&gt;""""))), LEN(INDEX(FILTER(B$1:B2086, B$1:B2086&lt;&gt;""""),COUNTA(FILTER(B$1:B2086, B$1:B2086&lt;&gt;""""))))-1), IF('To Order'!$A2087=COL"&amp;"UMNS($A2087:B2106), B2086&amp;RIGHT(INDIRECT(ADDRESS(ROW(B2087)-1, 'From Order'!$A2087)), 1), B2086))"),"JDPSSTWZCSFHBBV")</f>
        <v>JDPSSTWZCSFHBBV</v>
      </c>
      <c r="C2087" s="2" t="str">
        <f>IFERROR(__xludf.DUMMYFUNCTION("IF('From Order'!$A2087=COLUMNS($A2087:C2106), LEFT(INDEX(FILTER(C$1:C2086, C$1:C2086&lt;&gt;""""),COUNTA(FILTER(C$1:C2086, C$1:C2086&lt;&gt;""""))), LEN(INDEX(FILTER(C$1:C2086, C$1:C2086&lt;&gt;""""),COUNTA(FILTER(C$1:C2086, C$1:C2086&lt;&gt;""""))))-1), IF('To Order'!$A2087=COL"&amp;"UMNS($A2087:C2106), C2086&amp;RIGHT(INDIRECT(ADDRESS(ROW(C2087)-1, 'From Order'!$A2087)), 1), C2086))"),"V")</f>
        <v>V</v>
      </c>
      <c r="D2087" s="2" t="str">
        <f>IFERROR(__xludf.DUMMYFUNCTION("IF('From Order'!$A2087=COLUMNS($A2087:D2106), LEFT(INDEX(FILTER(D$1:D2086, D$1:D2086&lt;&gt;""""),COUNTA(FILTER(D$1:D2086, D$1:D2086&lt;&gt;""""))), LEN(INDEX(FILTER(D$1:D2086, D$1:D2086&lt;&gt;""""),COUNTA(FILTER(D$1:D2086, D$1:D2086&lt;&gt;""""))))-1), IF('To Order'!$A2087=COL"&amp;"UMNS($A2087:D2106), D2086&amp;RIGHT(INDIRECT(ADDRESS(ROW(D2087)-1, 'From Order'!$A2087)), 1), D2086))"),"RBJC")</f>
        <v>RBJC</v>
      </c>
      <c r="E2087" s="2" t="str">
        <f>IFERROR(__xludf.DUMMYFUNCTION("IF('From Order'!$A2087=COLUMNS($A2087:E2106), LEFT(INDEX(FILTER(E$1:E2086, E$1:E2086&lt;&gt;""""),COUNTA(FILTER(E$1:E2086, E$1:E2086&lt;&gt;""""))), LEN(INDEX(FILTER(E$1:E2086, E$1:E2086&lt;&gt;""""),COUNTA(FILTER(E$1:E2086, E$1:E2086&lt;&gt;""""))))-1), IF('To Order'!$A2087=COL"&amp;"UMNS($A2087:E2106), E2086&amp;RIGHT(INDIRECT(ADDRESS(ROW(E2087)-1, 'From Order'!$A2087)), 1), E2086))"),"")</f>
        <v/>
      </c>
      <c r="F2087" s="2" t="str">
        <f>IFERROR(__xludf.DUMMYFUNCTION("IF('From Order'!$A2087=COLUMNS($A2087:F2106), LEFT(INDEX(FILTER(F$1:F2086, F$1:F2086&lt;&gt;""""),COUNTA(FILTER(F$1:F2086, F$1:F2086&lt;&gt;""""))), LEN(INDEX(FILTER(F$1:F2086, F$1:F2086&lt;&gt;""""),COUNTA(FILTER(F$1:F2086, F$1:F2086&lt;&gt;""""))))-1), IF('To Order'!$A2087=COL"&amp;"UMNS($A2087:F2106), F2086&amp;RIGHT(INDIRECT(ADDRESS(ROW(F2087)-1, 'From Order'!$A2087)), 1), F2086))"),"")</f>
        <v/>
      </c>
      <c r="G2087" s="2" t="str">
        <f>IFERROR(__xludf.DUMMYFUNCTION("IF('From Order'!$A2087=COLUMNS($A2087:G2106), LEFT(INDEX(FILTER(G$1:G2086, G$1:G2086&lt;&gt;""""),COUNTA(FILTER(G$1:G2086, G$1:G2086&lt;&gt;""""))), LEN(INDEX(FILTER(G$1:G2086, G$1:G2086&lt;&gt;""""),COUNTA(FILTER(G$1:G2086, G$1:G2086&lt;&gt;""""))))-1), IF('To Order'!$A2087=COL"&amp;"UMNS($A2087:G2106), G2086&amp;RIGHT(INDIRECT(ADDRESS(ROW(G2087)-1, 'From Order'!$A2087)), 1), G2086))"),"G")</f>
        <v>G</v>
      </c>
      <c r="H2087" s="2" t="str">
        <f>IFERROR(__xludf.DUMMYFUNCTION("IF('From Order'!$A2087=COLUMNS($A2087:H2106), LEFT(INDEX(FILTER(H$1:H2086, H$1:H2086&lt;&gt;""""),COUNTA(FILTER(H$1:H2086, H$1:H2086&lt;&gt;""""))), LEN(INDEX(FILTER(H$1:H2086, H$1:H2086&lt;&gt;""""),COUNTA(FILTER(H$1:H2086, H$1:H2086&lt;&gt;""""))))-1), IF('To Order'!$A2087=COL"&amp;"UMNS($A2087:H2106), H2086&amp;RIGHT(INDIRECT(ADDRESS(ROW(H2087)-1, 'From Order'!$A2087)), 1), H2086))"),"QTRRP")</f>
        <v>QTRRP</v>
      </c>
      <c r="I2087" s="2" t="str">
        <f>IFERROR(__xludf.DUMMYFUNCTION("IF('From Order'!$A2087=COLUMNS($A2087:I2106), LEFT(INDEX(FILTER(I$1:I2086, I$1:I2086&lt;&gt;""""),COUNTA(FILTER(I$1:I2086, I$1:I2086&lt;&gt;""""))), LEN(INDEX(FILTER(I$1:I2086, I$1:I2086&lt;&gt;""""),COUNTA(FILTER(I$1:I2086, I$1:I2086&lt;&gt;""""))))-1), IF('To Order'!$A2087=COL"&amp;"UMNS($A2087:I2106), I2086&amp;RIGHT(INDIRECT(ADDRESS(ROW(I2087)-1, 'From Order'!$A2087)), 1), I2086))"),"DTCTMZH")</f>
        <v>DTCTMZH</v>
      </c>
    </row>
    <row r="2088">
      <c r="A2088" s="2" t="str">
        <f>IFERROR(__xludf.DUMMYFUNCTION("IF('From Order'!$A2088=COLUMNS($A2088:A2107), LEFT(INDEX(FILTER(A$1:A2087, A$1:A2087&lt;&gt;""""),COUNTA(FILTER(A$1:A2087, A$1:A2087&lt;&gt;""""))), LEN(INDEX(FILTER(A$1:A2087, A$1:A2087&lt;&gt;""""),COUNTA(FILTER(A$1:A2087, A$1:A2087&lt;&gt;""""))))-1), IF('To Order'!$A2088=COL"&amp;"UMNS($A2088:A2107), A2087&amp;RIGHT(INDIRECT(ADDRESS(ROW(A2088)-1, 'From Order'!$A2088)), 1), A2087))"),"DSPBFLLWDDVQZDMTTGMJRRLC")</f>
        <v>DSPBFLLWDDVQZDMTTGMJRRLC</v>
      </c>
      <c r="B2088" s="2" t="str">
        <f>IFERROR(__xludf.DUMMYFUNCTION("IF('From Order'!$A2088=COLUMNS($A2088:B2107), LEFT(INDEX(FILTER(B$1:B2087, B$1:B2087&lt;&gt;""""),COUNTA(FILTER(B$1:B2087, B$1:B2087&lt;&gt;""""))), LEN(INDEX(FILTER(B$1:B2087, B$1:B2087&lt;&gt;""""),COUNTA(FILTER(B$1:B2087, B$1:B2087&lt;&gt;""""))))-1), IF('To Order'!$A2088=COL"&amp;"UMNS($A2088:B2107), B2087&amp;RIGHT(INDIRECT(ADDRESS(ROW(B2088)-1, 'From Order'!$A2088)), 1), B2087))"),"JDPSSTWZCSFHBBV")</f>
        <v>JDPSSTWZCSFHBBV</v>
      </c>
      <c r="C2088" s="2" t="str">
        <f>IFERROR(__xludf.DUMMYFUNCTION("IF('From Order'!$A2088=COLUMNS($A2088:C2107), LEFT(INDEX(FILTER(C$1:C2087, C$1:C2087&lt;&gt;""""),COUNTA(FILTER(C$1:C2087, C$1:C2087&lt;&gt;""""))), LEN(INDEX(FILTER(C$1:C2087, C$1:C2087&lt;&gt;""""),COUNTA(FILTER(C$1:C2087, C$1:C2087&lt;&gt;""""))))-1), IF('To Order'!$A2088=COL"&amp;"UMNS($A2088:C2107), C2087&amp;RIGHT(INDIRECT(ADDRESS(ROW(C2088)-1, 'From Order'!$A2088)), 1), C2087))"),"V")</f>
        <v>V</v>
      </c>
      <c r="D2088" s="2" t="str">
        <f>IFERROR(__xludf.DUMMYFUNCTION("IF('From Order'!$A2088=COLUMNS($A2088:D2107), LEFT(INDEX(FILTER(D$1:D2087, D$1:D2087&lt;&gt;""""),COUNTA(FILTER(D$1:D2087, D$1:D2087&lt;&gt;""""))), LEN(INDEX(FILTER(D$1:D2087, D$1:D2087&lt;&gt;""""),COUNTA(FILTER(D$1:D2087, D$1:D2087&lt;&gt;""""))))-1), IF('To Order'!$A2088=COL"&amp;"UMNS($A2088:D2107), D2087&amp;RIGHT(INDIRECT(ADDRESS(ROW(D2088)-1, 'From Order'!$A2088)), 1), D2087))"),"RBJ")</f>
        <v>RBJ</v>
      </c>
      <c r="E2088" s="2" t="str">
        <f>IFERROR(__xludf.DUMMYFUNCTION("IF('From Order'!$A2088=COLUMNS($A2088:E2107), LEFT(INDEX(FILTER(E$1:E2087, E$1:E2087&lt;&gt;""""),COUNTA(FILTER(E$1:E2087, E$1:E2087&lt;&gt;""""))), LEN(INDEX(FILTER(E$1:E2087, E$1:E2087&lt;&gt;""""),COUNTA(FILTER(E$1:E2087, E$1:E2087&lt;&gt;""""))))-1), IF('To Order'!$A2088=COL"&amp;"UMNS($A2088:E2107), E2087&amp;RIGHT(INDIRECT(ADDRESS(ROW(E2088)-1, 'From Order'!$A2088)), 1), E2087))"),"")</f>
        <v/>
      </c>
      <c r="F2088" s="2" t="str">
        <f>IFERROR(__xludf.DUMMYFUNCTION("IF('From Order'!$A2088=COLUMNS($A2088:F2107), LEFT(INDEX(FILTER(F$1:F2087, F$1:F2087&lt;&gt;""""),COUNTA(FILTER(F$1:F2087, F$1:F2087&lt;&gt;""""))), LEN(INDEX(FILTER(F$1:F2087, F$1:F2087&lt;&gt;""""),COUNTA(FILTER(F$1:F2087, F$1:F2087&lt;&gt;""""))))-1), IF('To Order'!$A2088=COL"&amp;"UMNS($A2088:F2107), F2087&amp;RIGHT(INDIRECT(ADDRESS(ROW(F2088)-1, 'From Order'!$A2088)), 1), F2087))"),"")</f>
        <v/>
      </c>
      <c r="G2088" s="2" t="str">
        <f>IFERROR(__xludf.DUMMYFUNCTION("IF('From Order'!$A2088=COLUMNS($A2088:G2107), LEFT(INDEX(FILTER(G$1:G2087, G$1:G2087&lt;&gt;""""),COUNTA(FILTER(G$1:G2087, G$1:G2087&lt;&gt;""""))), LEN(INDEX(FILTER(G$1:G2087, G$1:G2087&lt;&gt;""""),COUNTA(FILTER(G$1:G2087, G$1:G2087&lt;&gt;""""))))-1), IF('To Order'!$A2088=COL"&amp;"UMNS($A2088:G2107), G2087&amp;RIGHT(INDIRECT(ADDRESS(ROW(G2088)-1, 'From Order'!$A2088)), 1), G2087))"),"G")</f>
        <v>G</v>
      </c>
      <c r="H2088" s="2" t="str">
        <f>IFERROR(__xludf.DUMMYFUNCTION("IF('From Order'!$A2088=COLUMNS($A2088:H2107), LEFT(INDEX(FILTER(H$1:H2087, H$1:H2087&lt;&gt;""""),COUNTA(FILTER(H$1:H2087, H$1:H2087&lt;&gt;""""))), LEN(INDEX(FILTER(H$1:H2087, H$1:H2087&lt;&gt;""""),COUNTA(FILTER(H$1:H2087, H$1:H2087&lt;&gt;""""))))-1), IF('To Order'!$A2088=COL"&amp;"UMNS($A2088:H2107), H2087&amp;RIGHT(INDIRECT(ADDRESS(ROW(H2088)-1, 'From Order'!$A2088)), 1), H2087))"),"QTRRP")</f>
        <v>QTRRP</v>
      </c>
      <c r="I2088" s="2" t="str">
        <f>IFERROR(__xludf.DUMMYFUNCTION("IF('From Order'!$A2088=COLUMNS($A2088:I2107), LEFT(INDEX(FILTER(I$1:I2087, I$1:I2087&lt;&gt;""""),COUNTA(FILTER(I$1:I2087, I$1:I2087&lt;&gt;""""))), LEN(INDEX(FILTER(I$1:I2087, I$1:I2087&lt;&gt;""""),COUNTA(FILTER(I$1:I2087, I$1:I2087&lt;&gt;""""))))-1), IF('To Order'!$A2088=COL"&amp;"UMNS($A2088:I2107), I2087&amp;RIGHT(INDIRECT(ADDRESS(ROW(I2088)-1, 'From Order'!$A2088)), 1), I2087))"),"DTCTMZH")</f>
        <v>DTCTMZH</v>
      </c>
    </row>
    <row r="2089">
      <c r="A2089" s="2" t="str">
        <f>IFERROR(__xludf.DUMMYFUNCTION("IF('From Order'!$A2089=COLUMNS($A2089:A2108), LEFT(INDEX(FILTER(A$1:A2088, A$1:A2088&lt;&gt;""""),COUNTA(FILTER(A$1:A2088, A$1:A2088&lt;&gt;""""))), LEN(INDEX(FILTER(A$1:A2088, A$1:A2088&lt;&gt;""""),COUNTA(FILTER(A$1:A2088, A$1:A2088&lt;&gt;""""))))-1), IF('To Order'!$A2089=COL"&amp;"UMNS($A2089:A2108), A2088&amp;RIGHT(INDIRECT(ADDRESS(ROW(A2089)-1, 'From Order'!$A2089)), 1), A2088))"),"DSPBFLLWDDVQZDMTTGMJRRLC")</f>
        <v>DSPBFLLWDDVQZDMTTGMJRRLC</v>
      </c>
      <c r="B2089" s="2" t="str">
        <f>IFERROR(__xludf.DUMMYFUNCTION("IF('From Order'!$A2089=COLUMNS($A2089:B2108), LEFT(INDEX(FILTER(B$1:B2088, B$1:B2088&lt;&gt;""""),COUNTA(FILTER(B$1:B2088, B$1:B2088&lt;&gt;""""))), LEN(INDEX(FILTER(B$1:B2088, B$1:B2088&lt;&gt;""""),COUNTA(FILTER(B$1:B2088, B$1:B2088&lt;&gt;""""))))-1), IF('To Order'!$A2089=COL"&amp;"UMNS($A2089:B2108), B2088&amp;RIGHT(INDIRECT(ADDRESS(ROW(B2089)-1, 'From Order'!$A2089)), 1), B2088))"),"JDPSSTWZCSFHBBV")</f>
        <v>JDPSSTWZCSFHBBV</v>
      </c>
      <c r="C2089" s="2" t="str">
        <f>IFERROR(__xludf.DUMMYFUNCTION("IF('From Order'!$A2089=COLUMNS($A2089:C2108), LEFT(INDEX(FILTER(C$1:C2088, C$1:C2088&lt;&gt;""""),COUNTA(FILTER(C$1:C2088, C$1:C2088&lt;&gt;""""))), LEN(INDEX(FILTER(C$1:C2088, C$1:C2088&lt;&gt;""""),COUNTA(FILTER(C$1:C2088, C$1:C2088&lt;&gt;""""))))-1), IF('To Order'!$A2089=COL"&amp;"UMNS($A2089:C2108), C2088&amp;RIGHT(INDIRECT(ADDRESS(ROW(C2089)-1, 'From Order'!$A2089)), 1), C2088))"),"V")</f>
        <v>V</v>
      </c>
      <c r="D2089" s="2" t="str">
        <f>IFERROR(__xludf.DUMMYFUNCTION("IF('From Order'!$A2089=COLUMNS($A2089:D2108), LEFT(INDEX(FILTER(D$1:D2088, D$1:D2088&lt;&gt;""""),COUNTA(FILTER(D$1:D2088, D$1:D2088&lt;&gt;""""))), LEN(INDEX(FILTER(D$1:D2088, D$1:D2088&lt;&gt;""""),COUNTA(FILTER(D$1:D2088, D$1:D2088&lt;&gt;""""))))-1), IF('To Order'!$A2089=COL"&amp;"UMNS($A2089:D2108), D2088&amp;RIGHT(INDIRECT(ADDRESS(ROW(D2089)-1, 'From Order'!$A2089)), 1), D2088))"),"RBJ")</f>
        <v>RBJ</v>
      </c>
      <c r="E2089" s="2" t="str">
        <f>IFERROR(__xludf.DUMMYFUNCTION("IF('From Order'!$A2089=COLUMNS($A2089:E2108), LEFT(INDEX(FILTER(E$1:E2088, E$1:E2088&lt;&gt;""""),COUNTA(FILTER(E$1:E2088, E$1:E2088&lt;&gt;""""))), LEN(INDEX(FILTER(E$1:E2088, E$1:E2088&lt;&gt;""""),COUNTA(FILTER(E$1:E2088, E$1:E2088&lt;&gt;""""))))-1), IF('To Order'!$A2089=COL"&amp;"UMNS($A2089:E2108), E2088&amp;RIGHT(INDIRECT(ADDRESS(ROW(E2089)-1, 'From Order'!$A2089)), 1), E2088))"),"")</f>
        <v/>
      </c>
      <c r="F2089" s="2" t="str">
        <f>IFERROR(__xludf.DUMMYFUNCTION("IF('From Order'!$A2089=COLUMNS($A2089:F2108), LEFT(INDEX(FILTER(F$1:F2088, F$1:F2088&lt;&gt;""""),COUNTA(FILTER(F$1:F2088, F$1:F2088&lt;&gt;""""))), LEN(INDEX(FILTER(F$1:F2088, F$1:F2088&lt;&gt;""""),COUNTA(FILTER(F$1:F2088, F$1:F2088&lt;&gt;""""))))-1), IF('To Order'!$A2089=COL"&amp;"UMNS($A2089:F2108), F2088&amp;RIGHT(INDIRECT(ADDRESS(ROW(F2089)-1, 'From Order'!$A2089)), 1), F2088))"),"")</f>
        <v/>
      </c>
      <c r="G2089" s="2" t="str">
        <f>IFERROR(__xludf.DUMMYFUNCTION("IF('From Order'!$A2089=COLUMNS($A2089:G2108), LEFT(INDEX(FILTER(G$1:G2088, G$1:G2088&lt;&gt;""""),COUNTA(FILTER(G$1:G2088, G$1:G2088&lt;&gt;""""))), LEN(INDEX(FILTER(G$1:G2088, G$1:G2088&lt;&gt;""""),COUNTA(FILTER(G$1:G2088, G$1:G2088&lt;&gt;""""))))-1), IF('To Order'!$A2089=COL"&amp;"UMNS($A2089:G2108), G2088&amp;RIGHT(INDIRECT(ADDRESS(ROW(G2089)-1, 'From Order'!$A2089)), 1), G2088))"),"G")</f>
        <v>G</v>
      </c>
      <c r="H2089" s="2" t="str">
        <f>IFERROR(__xludf.DUMMYFUNCTION("IF('From Order'!$A2089=COLUMNS($A2089:H2108), LEFT(INDEX(FILTER(H$1:H2088, H$1:H2088&lt;&gt;""""),COUNTA(FILTER(H$1:H2088, H$1:H2088&lt;&gt;""""))), LEN(INDEX(FILTER(H$1:H2088, H$1:H2088&lt;&gt;""""),COUNTA(FILTER(H$1:H2088, H$1:H2088&lt;&gt;""""))))-1), IF('To Order'!$A2089=COL"&amp;"UMNS($A2089:H2108), H2088&amp;RIGHT(INDIRECT(ADDRESS(ROW(H2089)-1, 'From Order'!$A2089)), 1), H2088))"),"QTRR")</f>
        <v>QTRR</v>
      </c>
      <c r="I2089" s="2" t="str">
        <f>IFERROR(__xludf.DUMMYFUNCTION("IF('From Order'!$A2089=COLUMNS($A2089:I2108), LEFT(INDEX(FILTER(I$1:I2088, I$1:I2088&lt;&gt;""""),COUNTA(FILTER(I$1:I2088, I$1:I2088&lt;&gt;""""))), LEN(INDEX(FILTER(I$1:I2088, I$1:I2088&lt;&gt;""""),COUNTA(FILTER(I$1:I2088, I$1:I2088&lt;&gt;""""))))-1), IF('To Order'!$A2089=COL"&amp;"UMNS($A2089:I2108), I2088&amp;RIGHT(INDIRECT(ADDRESS(ROW(I2089)-1, 'From Order'!$A2089)), 1), I2088))"),"DTCTMZHP")</f>
        <v>DTCTMZHP</v>
      </c>
    </row>
    <row r="2090">
      <c r="A2090" s="2" t="str">
        <f>IFERROR(__xludf.DUMMYFUNCTION("IF('From Order'!$A2090=COLUMNS($A2090:A2109), LEFT(INDEX(FILTER(A$1:A2089, A$1:A2089&lt;&gt;""""),COUNTA(FILTER(A$1:A2089, A$1:A2089&lt;&gt;""""))), LEN(INDEX(FILTER(A$1:A2089, A$1:A2089&lt;&gt;""""),COUNTA(FILTER(A$1:A2089, A$1:A2089&lt;&gt;""""))))-1), IF('To Order'!$A2090=COL"&amp;"UMNS($A2090:A2109), A2089&amp;RIGHT(INDIRECT(ADDRESS(ROW(A2090)-1, 'From Order'!$A2090)), 1), A2089))"),"DSPBFLLWDDVQZDMTTGMJRRLC")</f>
        <v>DSPBFLLWDDVQZDMTTGMJRRLC</v>
      </c>
      <c r="B2090" s="2" t="str">
        <f>IFERROR(__xludf.DUMMYFUNCTION("IF('From Order'!$A2090=COLUMNS($A2090:B2109), LEFT(INDEX(FILTER(B$1:B2089, B$1:B2089&lt;&gt;""""),COUNTA(FILTER(B$1:B2089, B$1:B2089&lt;&gt;""""))), LEN(INDEX(FILTER(B$1:B2089, B$1:B2089&lt;&gt;""""),COUNTA(FILTER(B$1:B2089, B$1:B2089&lt;&gt;""""))))-1), IF('To Order'!$A2090=COL"&amp;"UMNS($A2090:B2109), B2089&amp;RIGHT(INDIRECT(ADDRESS(ROW(B2090)-1, 'From Order'!$A2090)), 1), B2089))"),"JDPSSTWZCSFHBBV")</f>
        <v>JDPSSTWZCSFHBBV</v>
      </c>
      <c r="C2090" s="2" t="str">
        <f>IFERROR(__xludf.DUMMYFUNCTION("IF('From Order'!$A2090=COLUMNS($A2090:C2109), LEFT(INDEX(FILTER(C$1:C2089, C$1:C2089&lt;&gt;""""),COUNTA(FILTER(C$1:C2089, C$1:C2089&lt;&gt;""""))), LEN(INDEX(FILTER(C$1:C2089, C$1:C2089&lt;&gt;""""),COUNTA(FILTER(C$1:C2089, C$1:C2089&lt;&gt;""""))))-1), IF('To Order'!$A2090=COL"&amp;"UMNS($A2090:C2109), C2089&amp;RIGHT(INDIRECT(ADDRESS(ROW(C2090)-1, 'From Order'!$A2090)), 1), C2089))"),"V")</f>
        <v>V</v>
      </c>
      <c r="D2090" s="2" t="str">
        <f>IFERROR(__xludf.DUMMYFUNCTION("IF('From Order'!$A2090=COLUMNS($A2090:D2109), LEFT(INDEX(FILTER(D$1:D2089, D$1:D2089&lt;&gt;""""),COUNTA(FILTER(D$1:D2089, D$1:D2089&lt;&gt;""""))), LEN(INDEX(FILTER(D$1:D2089, D$1:D2089&lt;&gt;""""),COUNTA(FILTER(D$1:D2089, D$1:D2089&lt;&gt;""""))))-1), IF('To Order'!$A2090=COL"&amp;"UMNS($A2090:D2109), D2089&amp;RIGHT(INDIRECT(ADDRESS(ROW(D2090)-1, 'From Order'!$A2090)), 1), D2089))"),"RBJ")</f>
        <v>RBJ</v>
      </c>
      <c r="E2090" s="2" t="str">
        <f>IFERROR(__xludf.DUMMYFUNCTION("IF('From Order'!$A2090=COLUMNS($A2090:E2109), LEFT(INDEX(FILTER(E$1:E2089, E$1:E2089&lt;&gt;""""),COUNTA(FILTER(E$1:E2089, E$1:E2089&lt;&gt;""""))), LEN(INDEX(FILTER(E$1:E2089, E$1:E2089&lt;&gt;""""),COUNTA(FILTER(E$1:E2089, E$1:E2089&lt;&gt;""""))))-1), IF('To Order'!$A2090=COL"&amp;"UMNS($A2090:E2109), E2089&amp;RIGHT(INDIRECT(ADDRESS(ROW(E2090)-1, 'From Order'!$A2090)), 1), E2089))"),"")</f>
        <v/>
      </c>
      <c r="F2090" s="2" t="str">
        <f>IFERROR(__xludf.DUMMYFUNCTION("IF('From Order'!$A2090=COLUMNS($A2090:F2109), LEFT(INDEX(FILTER(F$1:F2089, F$1:F2089&lt;&gt;""""),COUNTA(FILTER(F$1:F2089, F$1:F2089&lt;&gt;""""))), LEN(INDEX(FILTER(F$1:F2089, F$1:F2089&lt;&gt;""""),COUNTA(FILTER(F$1:F2089, F$1:F2089&lt;&gt;""""))))-1), IF('To Order'!$A2090=COL"&amp;"UMNS($A2090:F2109), F2089&amp;RIGHT(INDIRECT(ADDRESS(ROW(F2090)-1, 'From Order'!$A2090)), 1), F2089))"),"")</f>
        <v/>
      </c>
      <c r="G2090" s="2" t="str">
        <f>IFERROR(__xludf.DUMMYFUNCTION("IF('From Order'!$A2090=COLUMNS($A2090:G2109), LEFT(INDEX(FILTER(G$1:G2089, G$1:G2089&lt;&gt;""""),COUNTA(FILTER(G$1:G2089, G$1:G2089&lt;&gt;""""))), LEN(INDEX(FILTER(G$1:G2089, G$1:G2089&lt;&gt;""""),COUNTA(FILTER(G$1:G2089, G$1:G2089&lt;&gt;""""))))-1), IF('To Order'!$A2090=COL"&amp;"UMNS($A2090:G2109), G2089&amp;RIGHT(INDIRECT(ADDRESS(ROW(G2090)-1, 'From Order'!$A2090)), 1), G2089))"),"G")</f>
        <v>G</v>
      </c>
      <c r="H2090" s="2" t="str">
        <f>IFERROR(__xludf.DUMMYFUNCTION("IF('From Order'!$A2090=COLUMNS($A2090:H2109), LEFT(INDEX(FILTER(H$1:H2089, H$1:H2089&lt;&gt;""""),COUNTA(FILTER(H$1:H2089, H$1:H2089&lt;&gt;""""))), LEN(INDEX(FILTER(H$1:H2089, H$1:H2089&lt;&gt;""""),COUNTA(FILTER(H$1:H2089, H$1:H2089&lt;&gt;""""))))-1), IF('To Order'!$A2090=COL"&amp;"UMNS($A2090:H2109), H2089&amp;RIGHT(INDIRECT(ADDRESS(ROW(H2090)-1, 'From Order'!$A2090)), 1), H2089))"),"QTR")</f>
        <v>QTR</v>
      </c>
      <c r="I2090" s="2" t="str">
        <f>IFERROR(__xludf.DUMMYFUNCTION("IF('From Order'!$A2090=COLUMNS($A2090:I2109), LEFT(INDEX(FILTER(I$1:I2089, I$1:I2089&lt;&gt;""""),COUNTA(FILTER(I$1:I2089, I$1:I2089&lt;&gt;""""))), LEN(INDEX(FILTER(I$1:I2089, I$1:I2089&lt;&gt;""""),COUNTA(FILTER(I$1:I2089, I$1:I2089&lt;&gt;""""))))-1), IF('To Order'!$A2090=COL"&amp;"UMNS($A2090:I2109), I2089&amp;RIGHT(INDIRECT(ADDRESS(ROW(I2090)-1, 'From Order'!$A2090)), 1), I2089))"),"DTCTMZHPR")</f>
        <v>DTCTMZHPR</v>
      </c>
    </row>
    <row r="2091">
      <c r="A2091" s="2" t="str">
        <f>IFERROR(__xludf.DUMMYFUNCTION("IF('From Order'!$A2091=COLUMNS($A2091:A2110), LEFT(INDEX(FILTER(A$1:A2090, A$1:A2090&lt;&gt;""""),COUNTA(FILTER(A$1:A2090, A$1:A2090&lt;&gt;""""))), LEN(INDEX(FILTER(A$1:A2090, A$1:A2090&lt;&gt;""""),COUNTA(FILTER(A$1:A2090, A$1:A2090&lt;&gt;""""))))-1), IF('To Order'!$A2091=COL"&amp;"UMNS($A2091:A2110), A2090&amp;RIGHT(INDIRECT(ADDRESS(ROW(A2091)-1, 'From Order'!$A2091)), 1), A2090))"),"DSPBFLLWDDVQZDMTTGMJRRLC")</f>
        <v>DSPBFLLWDDVQZDMTTGMJRRLC</v>
      </c>
      <c r="B2091" s="2" t="str">
        <f>IFERROR(__xludf.DUMMYFUNCTION("IF('From Order'!$A2091=COLUMNS($A2091:B2110), LEFT(INDEX(FILTER(B$1:B2090, B$1:B2090&lt;&gt;""""),COUNTA(FILTER(B$1:B2090, B$1:B2090&lt;&gt;""""))), LEN(INDEX(FILTER(B$1:B2090, B$1:B2090&lt;&gt;""""),COUNTA(FILTER(B$1:B2090, B$1:B2090&lt;&gt;""""))))-1), IF('To Order'!$A2091=COL"&amp;"UMNS($A2091:B2110), B2090&amp;RIGHT(INDIRECT(ADDRESS(ROW(B2091)-1, 'From Order'!$A2091)), 1), B2090))"),"JDPSSTWZCSFHBBV")</f>
        <v>JDPSSTWZCSFHBBV</v>
      </c>
      <c r="C2091" s="2" t="str">
        <f>IFERROR(__xludf.DUMMYFUNCTION("IF('From Order'!$A2091=COLUMNS($A2091:C2110), LEFT(INDEX(FILTER(C$1:C2090, C$1:C2090&lt;&gt;""""),COUNTA(FILTER(C$1:C2090, C$1:C2090&lt;&gt;""""))), LEN(INDEX(FILTER(C$1:C2090, C$1:C2090&lt;&gt;""""),COUNTA(FILTER(C$1:C2090, C$1:C2090&lt;&gt;""""))))-1), IF('To Order'!$A2091=COL"&amp;"UMNS($A2091:C2110), C2090&amp;RIGHT(INDIRECT(ADDRESS(ROW(C2091)-1, 'From Order'!$A2091)), 1), C2090))"),"V")</f>
        <v>V</v>
      </c>
      <c r="D2091" s="2" t="str">
        <f>IFERROR(__xludf.DUMMYFUNCTION("IF('From Order'!$A2091=COLUMNS($A2091:D2110), LEFT(INDEX(FILTER(D$1:D2090, D$1:D2090&lt;&gt;""""),COUNTA(FILTER(D$1:D2090, D$1:D2090&lt;&gt;""""))), LEN(INDEX(FILTER(D$1:D2090, D$1:D2090&lt;&gt;""""),COUNTA(FILTER(D$1:D2090, D$1:D2090&lt;&gt;""""))))-1), IF('To Order'!$A2091=COL"&amp;"UMNS($A2091:D2110), D2090&amp;RIGHT(INDIRECT(ADDRESS(ROW(D2091)-1, 'From Order'!$A2091)), 1), D2090))"),"RBJ")</f>
        <v>RBJ</v>
      </c>
      <c r="E2091" s="2" t="str">
        <f>IFERROR(__xludf.DUMMYFUNCTION("IF('From Order'!$A2091=COLUMNS($A2091:E2110), LEFT(INDEX(FILTER(E$1:E2090, E$1:E2090&lt;&gt;""""),COUNTA(FILTER(E$1:E2090, E$1:E2090&lt;&gt;""""))), LEN(INDEX(FILTER(E$1:E2090, E$1:E2090&lt;&gt;""""),COUNTA(FILTER(E$1:E2090, E$1:E2090&lt;&gt;""""))))-1), IF('To Order'!$A2091=COL"&amp;"UMNS($A2091:E2110), E2090&amp;RIGHT(INDIRECT(ADDRESS(ROW(E2091)-1, 'From Order'!$A2091)), 1), E2090))"),"")</f>
        <v/>
      </c>
      <c r="F2091" s="2" t="str">
        <f>IFERROR(__xludf.DUMMYFUNCTION("IF('From Order'!$A2091=COLUMNS($A2091:F2110), LEFT(INDEX(FILTER(F$1:F2090, F$1:F2090&lt;&gt;""""),COUNTA(FILTER(F$1:F2090, F$1:F2090&lt;&gt;""""))), LEN(INDEX(FILTER(F$1:F2090, F$1:F2090&lt;&gt;""""),COUNTA(FILTER(F$1:F2090, F$1:F2090&lt;&gt;""""))))-1), IF('To Order'!$A2091=COL"&amp;"UMNS($A2091:F2110), F2090&amp;RIGHT(INDIRECT(ADDRESS(ROW(F2091)-1, 'From Order'!$A2091)), 1), F2090))"),"R")</f>
        <v>R</v>
      </c>
      <c r="G2091" s="2" t="str">
        <f>IFERROR(__xludf.DUMMYFUNCTION("IF('From Order'!$A2091=COLUMNS($A2091:G2110), LEFT(INDEX(FILTER(G$1:G2090, G$1:G2090&lt;&gt;""""),COUNTA(FILTER(G$1:G2090, G$1:G2090&lt;&gt;""""))), LEN(INDEX(FILTER(G$1:G2090, G$1:G2090&lt;&gt;""""),COUNTA(FILTER(G$1:G2090, G$1:G2090&lt;&gt;""""))))-1), IF('To Order'!$A2091=COL"&amp;"UMNS($A2091:G2110), G2090&amp;RIGHT(INDIRECT(ADDRESS(ROW(G2091)-1, 'From Order'!$A2091)), 1), G2090))"),"G")</f>
        <v>G</v>
      </c>
      <c r="H2091" s="2" t="str">
        <f>IFERROR(__xludf.DUMMYFUNCTION("IF('From Order'!$A2091=COLUMNS($A2091:H2110), LEFT(INDEX(FILTER(H$1:H2090, H$1:H2090&lt;&gt;""""),COUNTA(FILTER(H$1:H2090, H$1:H2090&lt;&gt;""""))), LEN(INDEX(FILTER(H$1:H2090, H$1:H2090&lt;&gt;""""),COUNTA(FILTER(H$1:H2090, H$1:H2090&lt;&gt;""""))))-1), IF('To Order'!$A2091=COL"&amp;"UMNS($A2091:H2110), H2090&amp;RIGHT(INDIRECT(ADDRESS(ROW(H2091)-1, 'From Order'!$A2091)), 1), H2090))"),"QT")</f>
        <v>QT</v>
      </c>
      <c r="I2091" s="2" t="str">
        <f>IFERROR(__xludf.DUMMYFUNCTION("IF('From Order'!$A2091=COLUMNS($A2091:I2110), LEFT(INDEX(FILTER(I$1:I2090, I$1:I2090&lt;&gt;""""),COUNTA(FILTER(I$1:I2090, I$1:I2090&lt;&gt;""""))), LEN(INDEX(FILTER(I$1:I2090, I$1:I2090&lt;&gt;""""),COUNTA(FILTER(I$1:I2090, I$1:I2090&lt;&gt;""""))))-1), IF('To Order'!$A2091=COL"&amp;"UMNS($A2091:I2110), I2090&amp;RIGHT(INDIRECT(ADDRESS(ROW(I2091)-1, 'From Order'!$A2091)), 1), I2090))"),"DTCTMZHPR")</f>
        <v>DTCTMZHPR</v>
      </c>
    </row>
    <row r="2092">
      <c r="A2092" s="2" t="str">
        <f>IFERROR(__xludf.DUMMYFUNCTION("IF('From Order'!$A2092=COLUMNS($A2092:A2111), LEFT(INDEX(FILTER(A$1:A2091, A$1:A2091&lt;&gt;""""),COUNTA(FILTER(A$1:A2091, A$1:A2091&lt;&gt;""""))), LEN(INDEX(FILTER(A$1:A2091, A$1:A2091&lt;&gt;""""),COUNTA(FILTER(A$1:A2091, A$1:A2091&lt;&gt;""""))))-1), IF('To Order'!$A2092=COL"&amp;"UMNS($A2092:A2111), A2091&amp;RIGHT(INDIRECT(ADDRESS(ROW(A2092)-1, 'From Order'!$A2092)), 1), A2091))"),"DSPBFLLWDDVQZDMTTGMJRRLC")</f>
        <v>DSPBFLLWDDVQZDMTTGMJRRLC</v>
      </c>
      <c r="B2092" s="2" t="str">
        <f>IFERROR(__xludf.DUMMYFUNCTION("IF('From Order'!$A2092=COLUMNS($A2092:B2111), LEFT(INDEX(FILTER(B$1:B2091, B$1:B2091&lt;&gt;""""),COUNTA(FILTER(B$1:B2091, B$1:B2091&lt;&gt;""""))), LEN(INDEX(FILTER(B$1:B2091, B$1:B2091&lt;&gt;""""),COUNTA(FILTER(B$1:B2091, B$1:B2091&lt;&gt;""""))))-1), IF('To Order'!$A2092=COL"&amp;"UMNS($A2092:B2111), B2091&amp;RIGHT(INDIRECT(ADDRESS(ROW(B2092)-1, 'From Order'!$A2092)), 1), B2091))"),"JDPSSTWZCSFHBB")</f>
        <v>JDPSSTWZCSFHBB</v>
      </c>
      <c r="C2092" s="2" t="str">
        <f>IFERROR(__xludf.DUMMYFUNCTION("IF('From Order'!$A2092=COLUMNS($A2092:C2111), LEFT(INDEX(FILTER(C$1:C2091, C$1:C2091&lt;&gt;""""),COUNTA(FILTER(C$1:C2091, C$1:C2091&lt;&gt;""""))), LEN(INDEX(FILTER(C$1:C2091, C$1:C2091&lt;&gt;""""),COUNTA(FILTER(C$1:C2091, C$1:C2091&lt;&gt;""""))))-1), IF('To Order'!$A2092=COL"&amp;"UMNS($A2092:C2111), C2091&amp;RIGHT(INDIRECT(ADDRESS(ROW(C2092)-1, 'From Order'!$A2092)), 1), C2091))"),"V")</f>
        <v>V</v>
      </c>
      <c r="D2092" s="2" t="str">
        <f>IFERROR(__xludf.DUMMYFUNCTION("IF('From Order'!$A2092=COLUMNS($A2092:D2111), LEFT(INDEX(FILTER(D$1:D2091, D$1:D2091&lt;&gt;""""),COUNTA(FILTER(D$1:D2091, D$1:D2091&lt;&gt;""""))), LEN(INDEX(FILTER(D$1:D2091, D$1:D2091&lt;&gt;""""),COUNTA(FILTER(D$1:D2091, D$1:D2091&lt;&gt;""""))))-1), IF('To Order'!$A2092=COL"&amp;"UMNS($A2092:D2111), D2091&amp;RIGHT(INDIRECT(ADDRESS(ROW(D2092)-1, 'From Order'!$A2092)), 1), D2091))"),"RBJV")</f>
        <v>RBJV</v>
      </c>
      <c r="E2092" s="2" t="str">
        <f>IFERROR(__xludf.DUMMYFUNCTION("IF('From Order'!$A2092=COLUMNS($A2092:E2111), LEFT(INDEX(FILTER(E$1:E2091, E$1:E2091&lt;&gt;""""),COUNTA(FILTER(E$1:E2091, E$1:E2091&lt;&gt;""""))), LEN(INDEX(FILTER(E$1:E2091, E$1:E2091&lt;&gt;""""),COUNTA(FILTER(E$1:E2091, E$1:E2091&lt;&gt;""""))))-1), IF('To Order'!$A2092=COL"&amp;"UMNS($A2092:E2111), E2091&amp;RIGHT(INDIRECT(ADDRESS(ROW(E2092)-1, 'From Order'!$A2092)), 1), E2091))"),"")</f>
        <v/>
      </c>
      <c r="F2092" s="2" t="str">
        <f>IFERROR(__xludf.DUMMYFUNCTION("IF('From Order'!$A2092=COLUMNS($A2092:F2111), LEFT(INDEX(FILTER(F$1:F2091, F$1:F2091&lt;&gt;""""),COUNTA(FILTER(F$1:F2091, F$1:F2091&lt;&gt;""""))), LEN(INDEX(FILTER(F$1:F2091, F$1:F2091&lt;&gt;""""),COUNTA(FILTER(F$1:F2091, F$1:F2091&lt;&gt;""""))))-1), IF('To Order'!$A2092=COL"&amp;"UMNS($A2092:F2111), F2091&amp;RIGHT(INDIRECT(ADDRESS(ROW(F2092)-1, 'From Order'!$A2092)), 1), F2091))"),"R")</f>
        <v>R</v>
      </c>
      <c r="G2092" s="2" t="str">
        <f>IFERROR(__xludf.DUMMYFUNCTION("IF('From Order'!$A2092=COLUMNS($A2092:G2111), LEFT(INDEX(FILTER(G$1:G2091, G$1:G2091&lt;&gt;""""),COUNTA(FILTER(G$1:G2091, G$1:G2091&lt;&gt;""""))), LEN(INDEX(FILTER(G$1:G2091, G$1:G2091&lt;&gt;""""),COUNTA(FILTER(G$1:G2091, G$1:G2091&lt;&gt;""""))))-1), IF('To Order'!$A2092=COL"&amp;"UMNS($A2092:G2111), G2091&amp;RIGHT(INDIRECT(ADDRESS(ROW(G2092)-1, 'From Order'!$A2092)), 1), G2091))"),"G")</f>
        <v>G</v>
      </c>
      <c r="H2092" s="2" t="str">
        <f>IFERROR(__xludf.DUMMYFUNCTION("IF('From Order'!$A2092=COLUMNS($A2092:H2111), LEFT(INDEX(FILTER(H$1:H2091, H$1:H2091&lt;&gt;""""),COUNTA(FILTER(H$1:H2091, H$1:H2091&lt;&gt;""""))), LEN(INDEX(FILTER(H$1:H2091, H$1:H2091&lt;&gt;""""),COUNTA(FILTER(H$1:H2091, H$1:H2091&lt;&gt;""""))))-1), IF('To Order'!$A2092=COL"&amp;"UMNS($A2092:H2111), H2091&amp;RIGHT(INDIRECT(ADDRESS(ROW(H2092)-1, 'From Order'!$A2092)), 1), H2091))"),"QT")</f>
        <v>QT</v>
      </c>
      <c r="I2092" s="2" t="str">
        <f>IFERROR(__xludf.DUMMYFUNCTION("IF('From Order'!$A2092=COLUMNS($A2092:I2111), LEFT(INDEX(FILTER(I$1:I2091, I$1:I2091&lt;&gt;""""),COUNTA(FILTER(I$1:I2091, I$1:I2091&lt;&gt;""""))), LEN(INDEX(FILTER(I$1:I2091, I$1:I2091&lt;&gt;""""),COUNTA(FILTER(I$1:I2091, I$1:I2091&lt;&gt;""""))))-1), IF('To Order'!$A2092=COL"&amp;"UMNS($A2092:I2111), I2091&amp;RIGHT(INDIRECT(ADDRESS(ROW(I2092)-1, 'From Order'!$A2092)), 1), I2091))"),"DTCTMZHPR")</f>
        <v>DTCTMZHPR</v>
      </c>
    </row>
    <row r="2093">
      <c r="A2093" s="2" t="str">
        <f>IFERROR(__xludf.DUMMYFUNCTION("IF('From Order'!$A2093=COLUMNS($A2093:A2112), LEFT(INDEX(FILTER(A$1:A2092, A$1:A2092&lt;&gt;""""),COUNTA(FILTER(A$1:A2092, A$1:A2092&lt;&gt;""""))), LEN(INDEX(FILTER(A$1:A2092, A$1:A2092&lt;&gt;""""),COUNTA(FILTER(A$1:A2092, A$1:A2092&lt;&gt;""""))))-1), IF('To Order'!$A2093=COL"&amp;"UMNS($A2093:A2112), A2092&amp;RIGHT(INDIRECT(ADDRESS(ROW(A2093)-1, 'From Order'!$A2093)), 1), A2092))"),"DSPBFLLWDDVQZDMTTGMJRRLC")</f>
        <v>DSPBFLLWDDVQZDMTTGMJRRLC</v>
      </c>
      <c r="B2093" s="2" t="str">
        <f>IFERROR(__xludf.DUMMYFUNCTION("IF('From Order'!$A2093=COLUMNS($A2093:B2112), LEFT(INDEX(FILTER(B$1:B2092, B$1:B2092&lt;&gt;""""),COUNTA(FILTER(B$1:B2092, B$1:B2092&lt;&gt;""""))), LEN(INDEX(FILTER(B$1:B2092, B$1:B2092&lt;&gt;""""),COUNTA(FILTER(B$1:B2092, B$1:B2092&lt;&gt;""""))))-1), IF('To Order'!$A2093=COL"&amp;"UMNS($A2093:B2112), B2092&amp;RIGHT(INDIRECT(ADDRESS(ROW(B2093)-1, 'From Order'!$A2093)), 1), B2092))"),"JDPSSTWZCSFHB")</f>
        <v>JDPSSTWZCSFHB</v>
      </c>
      <c r="C2093" s="2" t="str">
        <f>IFERROR(__xludf.DUMMYFUNCTION("IF('From Order'!$A2093=COLUMNS($A2093:C2112), LEFT(INDEX(FILTER(C$1:C2092, C$1:C2092&lt;&gt;""""),COUNTA(FILTER(C$1:C2092, C$1:C2092&lt;&gt;""""))), LEN(INDEX(FILTER(C$1:C2092, C$1:C2092&lt;&gt;""""),COUNTA(FILTER(C$1:C2092, C$1:C2092&lt;&gt;""""))))-1), IF('To Order'!$A2093=COL"&amp;"UMNS($A2093:C2112), C2092&amp;RIGHT(INDIRECT(ADDRESS(ROW(C2093)-1, 'From Order'!$A2093)), 1), C2092))"),"V")</f>
        <v>V</v>
      </c>
      <c r="D2093" s="2" t="str">
        <f>IFERROR(__xludf.DUMMYFUNCTION("IF('From Order'!$A2093=COLUMNS($A2093:D2112), LEFT(INDEX(FILTER(D$1:D2092, D$1:D2092&lt;&gt;""""),COUNTA(FILTER(D$1:D2092, D$1:D2092&lt;&gt;""""))), LEN(INDEX(FILTER(D$1:D2092, D$1:D2092&lt;&gt;""""),COUNTA(FILTER(D$1:D2092, D$1:D2092&lt;&gt;""""))))-1), IF('To Order'!$A2093=COL"&amp;"UMNS($A2093:D2112), D2092&amp;RIGHT(INDIRECT(ADDRESS(ROW(D2093)-1, 'From Order'!$A2093)), 1), D2092))"),"RBJVB")</f>
        <v>RBJVB</v>
      </c>
      <c r="E2093" s="2" t="str">
        <f>IFERROR(__xludf.DUMMYFUNCTION("IF('From Order'!$A2093=COLUMNS($A2093:E2112), LEFT(INDEX(FILTER(E$1:E2092, E$1:E2092&lt;&gt;""""),COUNTA(FILTER(E$1:E2092, E$1:E2092&lt;&gt;""""))), LEN(INDEX(FILTER(E$1:E2092, E$1:E2092&lt;&gt;""""),COUNTA(FILTER(E$1:E2092, E$1:E2092&lt;&gt;""""))))-1), IF('To Order'!$A2093=COL"&amp;"UMNS($A2093:E2112), E2092&amp;RIGHT(INDIRECT(ADDRESS(ROW(E2093)-1, 'From Order'!$A2093)), 1), E2092))"),"")</f>
        <v/>
      </c>
      <c r="F2093" s="2" t="str">
        <f>IFERROR(__xludf.DUMMYFUNCTION("IF('From Order'!$A2093=COLUMNS($A2093:F2112), LEFT(INDEX(FILTER(F$1:F2092, F$1:F2092&lt;&gt;""""),COUNTA(FILTER(F$1:F2092, F$1:F2092&lt;&gt;""""))), LEN(INDEX(FILTER(F$1:F2092, F$1:F2092&lt;&gt;""""),COUNTA(FILTER(F$1:F2092, F$1:F2092&lt;&gt;""""))))-1), IF('To Order'!$A2093=COL"&amp;"UMNS($A2093:F2112), F2092&amp;RIGHT(INDIRECT(ADDRESS(ROW(F2093)-1, 'From Order'!$A2093)), 1), F2092))"),"R")</f>
        <v>R</v>
      </c>
      <c r="G2093" s="2" t="str">
        <f>IFERROR(__xludf.DUMMYFUNCTION("IF('From Order'!$A2093=COLUMNS($A2093:G2112), LEFT(INDEX(FILTER(G$1:G2092, G$1:G2092&lt;&gt;""""),COUNTA(FILTER(G$1:G2092, G$1:G2092&lt;&gt;""""))), LEN(INDEX(FILTER(G$1:G2092, G$1:G2092&lt;&gt;""""),COUNTA(FILTER(G$1:G2092, G$1:G2092&lt;&gt;""""))))-1), IF('To Order'!$A2093=COL"&amp;"UMNS($A2093:G2112), G2092&amp;RIGHT(INDIRECT(ADDRESS(ROW(G2093)-1, 'From Order'!$A2093)), 1), G2092))"),"G")</f>
        <v>G</v>
      </c>
      <c r="H2093" s="2" t="str">
        <f>IFERROR(__xludf.DUMMYFUNCTION("IF('From Order'!$A2093=COLUMNS($A2093:H2112), LEFT(INDEX(FILTER(H$1:H2092, H$1:H2092&lt;&gt;""""),COUNTA(FILTER(H$1:H2092, H$1:H2092&lt;&gt;""""))), LEN(INDEX(FILTER(H$1:H2092, H$1:H2092&lt;&gt;""""),COUNTA(FILTER(H$1:H2092, H$1:H2092&lt;&gt;""""))))-1), IF('To Order'!$A2093=COL"&amp;"UMNS($A2093:H2112), H2092&amp;RIGHT(INDIRECT(ADDRESS(ROW(H2093)-1, 'From Order'!$A2093)), 1), H2092))"),"QT")</f>
        <v>QT</v>
      </c>
      <c r="I2093" s="2" t="str">
        <f>IFERROR(__xludf.DUMMYFUNCTION("IF('From Order'!$A2093=COLUMNS($A2093:I2112), LEFT(INDEX(FILTER(I$1:I2092, I$1:I2092&lt;&gt;""""),COUNTA(FILTER(I$1:I2092, I$1:I2092&lt;&gt;""""))), LEN(INDEX(FILTER(I$1:I2092, I$1:I2092&lt;&gt;""""),COUNTA(FILTER(I$1:I2092, I$1:I2092&lt;&gt;""""))))-1), IF('To Order'!$A2093=COL"&amp;"UMNS($A2093:I2112), I2092&amp;RIGHT(INDIRECT(ADDRESS(ROW(I2093)-1, 'From Order'!$A2093)), 1), I2092))"),"DTCTMZHPR")</f>
        <v>DTCTMZHPR</v>
      </c>
    </row>
    <row r="2094">
      <c r="A2094" s="2" t="str">
        <f>IFERROR(__xludf.DUMMYFUNCTION("IF('From Order'!$A2094=COLUMNS($A2094:A2113), LEFT(INDEX(FILTER(A$1:A2093, A$1:A2093&lt;&gt;""""),COUNTA(FILTER(A$1:A2093, A$1:A2093&lt;&gt;""""))), LEN(INDEX(FILTER(A$1:A2093, A$1:A2093&lt;&gt;""""),COUNTA(FILTER(A$1:A2093, A$1:A2093&lt;&gt;""""))))-1), IF('To Order'!$A2094=COL"&amp;"UMNS($A2094:A2113), A2093&amp;RIGHT(INDIRECT(ADDRESS(ROW(A2094)-1, 'From Order'!$A2094)), 1), A2093))"),"DSPBFLLWDDVQZDMTTGMJRRLC")</f>
        <v>DSPBFLLWDDVQZDMTTGMJRRLC</v>
      </c>
      <c r="B2094" s="2" t="str">
        <f>IFERROR(__xludf.DUMMYFUNCTION("IF('From Order'!$A2094=COLUMNS($A2094:B2113), LEFT(INDEX(FILTER(B$1:B2093, B$1:B2093&lt;&gt;""""),COUNTA(FILTER(B$1:B2093, B$1:B2093&lt;&gt;""""))), LEN(INDEX(FILTER(B$1:B2093, B$1:B2093&lt;&gt;""""),COUNTA(FILTER(B$1:B2093, B$1:B2093&lt;&gt;""""))))-1), IF('To Order'!$A2094=COL"&amp;"UMNS($A2094:B2113), B2093&amp;RIGHT(INDIRECT(ADDRESS(ROW(B2094)-1, 'From Order'!$A2094)), 1), B2093))"),"JDPSSTWZCSFH")</f>
        <v>JDPSSTWZCSFH</v>
      </c>
      <c r="C2094" s="2" t="str">
        <f>IFERROR(__xludf.DUMMYFUNCTION("IF('From Order'!$A2094=COLUMNS($A2094:C2113), LEFT(INDEX(FILTER(C$1:C2093, C$1:C2093&lt;&gt;""""),COUNTA(FILTER(C$1:C2093, C$1:C2093&lt;&gt;""""))), LEN(INDEX(FILTER(C$1:C2093, C$1:C2093&lt;&gt;""""),COUNTA(FILTER(C$1:C2093, C$1:C2093&lt;&gt;""""))))-1), IF('To Order'!$A2094=COL"&amp;"UMNS($A2094:C2113), C2093&amp;RIGHT(INDIRECT(ADDRESS(ROW(C2094)-1, 'From Order'!$A2094)), 1), C2093))"),"V")</f>
        <v>V</v>
      </c>
      <c r="D2094" s="2" t="str">
        <f>IFERROR(__xludf.DUMMYFUNCTION("IF('From Order'!$A2094=COLUMNS($A2094:D2113), LEFT(INDEX(FILTER(D$1:D2093, D$1:D2093&lt;&gt;""""),COUNTA(FILTER(D$1:D2093, D$1:D2093&lt;&gt;""""))), LEN(INDEX(FILTER(D$1:D2093, D$1:D2093&lt;&gt;""""),COUNTA(FILTER(D$1:D2093, D$1:D2093&lt;&gt;""""))))-1), IF('To Order'!$A2094=COL"&amp;"UMNS($A2094:D2113), D2093&amp;RIGHT(INDIRECT(ADDRESS(ROW(D2094)-1, 'From Order'!$A2094)), 1), D2093))"),"RBJVBB")</f>
        <v>RBJVBB</v>
      </c>
      <c r="E2094" s="2" t="str">
        <f>IFERROR(__xludf.DUMMYFUNCTION("IF('From Order'!$A2094=COLUMNS($A2094:E2113), LEFT(INDEX(FILTER(E$1:E2093, E$1:E2093&lt;&gt;""""),COUNTA(FILTER(E$1:E2093, E$1:E2093&lt;&gt;""""))), LEN(INDEX(FILTER(E$1:E2093, E$1:E2093&lt;&gt;""""),COUNTA(FILTER(E$1:E2093, E$1:E2093&lt;&gt;""""))))-1), IF('To Order'!$A2094=COL"&amp;"UMNS($A2094:E2113), E2093&amp;RIGHT(INDIRECT(ADDRESS(ROW(E2094)-1, 'From Order'!$A2094)), 1), E2093))"),"")</f>
        <v/>
      </c>
      <c r="F2094" s="2" t="str">
        <f>IFERROR(__xludf.DUMMYFUNCTION("IF('From Order'!$A2094=COLUMNS($A2094:F2113), LEFT(INDEX(FILTER(F$1:F2093, F$1:F2093&lt;&gt;""""),COUNTA(FILTER(F$1:F2093, F$1:F2093&lt;&gt;""""))), LEN(INDEX(FILTER(F$1:F2093, F$1:F2093&lt;&gt;""""),COUNTA(FILTER(F$1:F2093, F$1:F2093&lt;&gt;""""))))-1), IF('To Order'!$A2094=COL"&amp;"UMNS($A2094:F2113), F2093&amp;RIGHT(INDIRECT(ADDRESS(ROW(F2094)-1, 'From Order'!$A2094)), 1), F2093))"),"R")</f>
        <v>R</v>
      </c>
      <c r="G2094" s="2" t="str">
        <f>IFERROR(__xludf.DUMMYFUNCTION("IF('From Order'!$A2094=COLUMNS($A2094:G2113), LEFT(INDEX(FILTER(G$1:G2093, G$1:G2093&lt;&gt;""""),COUNTA(FILTER(G$1:G2093, G$1:G2093&lt;&gt;""""))), LEN(INDEX(FILTER(G$1:G2093, G$1:G2093&lt;&gt;""""),COUNTA(FILTER(G$1:G2093, G$1:G2093&lt;&gt;""""))))-1), IF('To Order'!$A2094=COL"&amp;"UMNS($A2094:G2113), G2093&amp;RIGHT(INDIRECT(ADDRESS(ROW(G2094)-1, 'From Order'!$A2094)), 1), G2093))"),"G")</f>
        <v>G</v>
      </c>
      <c r="H2094" s="2" t="str">
        <f>IFERROR(__xludf.DUMMYFUNCTION("IF('From Order'!$A2094=COLUMNS($A2094:H2113), LEFT(INDEX(FILTER(H$1:H2093, H$1:H2093&lt;&gt;""""),COUNTA(FILTER(H$1:H2093, H$1:H2093&lt;&gt;""""))), LEN(INDEX(FILTER(H$1:H2093, H$1:H2093&lt;&gt;""""),COUNTA(FILTER(H$1:H2093, H$1:H2093&lt;&gt;""""))))-1), IF('To Order'!$A2094=COL"&amp;"UMNS($A2094:H2113), H2093&amp;RIGHT(INDIRECT(ADDRESS(ROW(H2094)-1, 'From Order'!$A2094)), 1), H2093))"),"QT")</f>
        <v>QT</v>
      </c>
      <c r="I2094" s="2" t="str">
        <f>IFERROR(__xludf.DUMMYFUNCTION("IF('From Order'!$A2094=COLUMNS($A2094:I2113), LEFT(INDEX(FILTER(I$1:I2093, I$1:I2093&lt;&gt;""""),COUNTA(FILTER(I$1:I2093, I$1:I2093&lt;&gt;""""))), LEN(INDEX(FILTER(I$1:I2093, I$1:I2093&lt;&gt;""""),COUNTA(FILTER(I$1:I2093, I$1:I2093&lt;&gt;""""))))-1), IF('To Order'!$A2094=COL"&amp;"UMNS($A2094:I2113), I2093&amp;RIGHT(INDIRECT(ADDRESS(ROW(I2094)-1, 'From Order'!$A2094)), 1), I2093))"),"DTCTMZHPR")</f>
        <v>DTCTMZHPR</v>
      </c>
    </row>
    <row r="2095">
      <c r="A2095" s="2" t="str">
        <f>IFERROR(__xludf.DUMMYFUNCTION("IF('From Order'!$A2095=COLUMNS($A2095:A2114), LEFT(INDEX(FILTER(A$1:A2094, A$1:A2094&lt;&gt;""""),COUNTA(FILTER(A$1:A2094, A$1:A2094&lt;&gt;""""))), LEN(INDEX(FILTER(A$1:A2094, A$1:A2094&lt;&gt;""""),COUNTA(FILTER(A$1:A2094, A$1:A2094&lt;&gt;""""))))-1), IF('To Order'!$A2095=COL"&amp;"UMNS($A2095:A2114), A2094&amp;RIGHT(INDIRECT(ADDRESS(ROW(A2095)-1, 'From Order'!$A2095)), 1), A2094))"),"DSPBFLLWDDVQZDMTTGMJRRLC")</f>
        <v>DSPBFLLWDDVQZDMTTGMJRRLC</v>
      </c>
      <c r="B2095" s="2" t="str">
        <f>IFERROR(__xludf.DUMMYFUNCTION("IF('From Order'!$A2095=COLUMNS($A2095:B2114), LEFT(INDEX(FILTER(B$1:B2094, B$1:B2094&lt;&gt;""""),COUNTA(FILTER(B$1:B2094, B$1:B2094&lt;&gt;""""))), LEN(INDEX(FILTER(B$1:B2094, B$1:B2094&lt;&gt;""""),COUNTA(FILTER(B$1:B2094, B$1:B2094&lt;&gt;""""))))-1), IF('To Order'!$A2095=COL"&amp;"UMNS($A2095:B2114), B2094&amp;RIGHT(INDIRECT(ADDRESS(ROW(B2095)-1, 'From Order'!$A2095)), 1), B2094))"),"JDPSSTWZCSF")</f>
        <v>JDPSSTWZCSF</v>
      </c>
      <c r="C2095" s="2" t="str">
        <f>IFERROR(__xludf.DUMMYFUNCTION("IF('From Order'!$A2095=COLUMNS($A2095:C2114), LEFT(INDEX(FILTER(C$1:C2094, C$1:C2094&lt;&gt;""""),COUNTA(FILTER(C$1:C2094, C$1:C2094&lt;&gt;""""))), LEN(INDEX(FILTER(C$1:C2094, C$1:C2094&lt;&gt;""""),COUNTA(FILTER(C$1:C2094, C$1:C2094&lt;&gt;""""))))-1), IF('To Order'!$A2095=COL"&amp;"UMNS($A2095:C2114), C2094&amp;RIGHT(INDIRECT(ADDRESS(ROW(C2095)-1, 'From Order'!$A2095)), 1), C2094))"),"V")</f>
        <v>V</v>
      </c>
      <c r="D2095" s="2" t="str">
        <f>IFERROR(__xludf.DUMMYFUNCTION("IF('From Order'!$A2095=COLUMNS($A2095:D2114), LEFT(INDEX(FILTER(D$1:D2094, D$1:D2094&lt;&gt;""""),COUNTA(FILTER(D$1:D2094, D$1:D2094&lt;&gt;""""))), LEN(INDEX(FILTER(D$1:D2094, D$1:D2094&lt;&gt;""""),COUNTA(FILTER(D$1:D2094, D$1:D2094&lt;&gt;""""))))-1), IF('To Order'!$A2095=COL"&amp;"UMNS($A2095:D2114), D2094&amp;RIGHT(INDIRECT(ADDRESS(ROW(D2095)-1, 'From Order'!$A2095)), 1), D2094))"),"RBJVBBH")</f>
        <v>RBJVBBH</v>
      </c>
      <c r="E2095" s="2" t="str">
        <f>IFERROR(__xludf.DUMMYFUNCTION("IF('From Order'!$A2095=COLUMNS($A2095:E2114), LEFT(INDEX(FILTER(E$1:E2094, E$1:E2094&lt;&gt;""""),COUNTA(FILTER(E$1:E2094, E$1:E2094&lt;&gt;""""))), LEN(INDEX(FILTER(E$1:E2094, E$1:E2094&lt;&gt;""""),COUNTA(FILTER(E$1:E2094, E$1:E2094&lt;&gt;""""))))-1), IF('To Order'!$A2095=COL"&amp;"UMNS($A2095:E2114), E2094&amp;RIGHT(INDIRECT(ADDRESS(ROW(E2095)-1, 'From Order'!$A2095)), 1), E2094))"),"")</f>
        <v/>
      </c>
      <c r="F2095" s="2" t="str">
        <f>IFERROR(__xludf.DUMMYFUNCTION("IF('From Order'!$A2095=COLUMNS($A2095:F2114), LEFT(INDEX(FILTER(F$1:F2094, F$1:F2094&lt;&gt;""""),COUNTA(FILTER(F$1:F2094, F$1:F2094&lt;&gt;""""))), LEN(INDEX(FILTER(F$1:F2094, F$1:F2094&lt;&gt;""""),COUNTA(FILTER(F$1:F2094, F$1:F2094&lt;&gt;""""))))-1), IF('To Order'!$A2095=COL"&amp;"UMNS($A2095:F2114), F2094&amp;RIGHT(INDIRECT(ADDRESS(ROW(F2095)-1, 'From Order'!$A2095)), 1), F2094))"),"R")</f>
        <v>R</v>
      </c>
      <c r="G2095" s="2" t="str">
        <f>IFERROR(__xludf.DUMMYFUNCTION("IF('From Order'!$A2095=COLUMNS($A2095:G2114), LEFT(INDEX(FILTER(G$1:G2094, G$1:G2094&lt;&gt;""""),COUNTA(FILTER(G$1:G2094, G$1:G2094&lt;&gt;""""))), LEN(INDEX(FILTER(G$1:G2094, G$1:G2094&lt;&gt;""""),COUNTA(FILTER(G$1:G2094, G$1:G2094&lt;&gt;""""))))-1), IF('To Order'!$A2095=COL"&amp;"UMNS($A2095:G2114), G2094&amp;RIGHT(INDIRECT(ADDRESS(ROW(G2095)-1, 'From Order'!$A2095)), 1), G2094))"),"G")</f>
        <v>G</v>
      </c>
      <c r="H2095" s="2" t="str">
        <f>IFERROR(__xludf.DUMMYFUNCTION("IF('From Order'!$A2095=COLUMNS($A2095:H2114), LEFT(INDEX(FILTER(H$1:H2094, H$1:H2094&lt;&gt;""""),COUNTA(FILTER(H$1:H2094, H$1:H2094&lt;&gt;""""))), LEN(INDEX(FILTER(H$1:H2094, H$1:H2094&lt;&gt;""""),COUNTA(FILTER(H$1:H2094, H$1:H2094&lt;&gt;""""))))-1), IF('To Order'!$A2095=COL"&amp;"UMNS($A2095:H2114), H2094&amp;RIGHT(INDIRECT(ADDRESS(ROW(H2095)-1, 'From Order'!$A2095)), 1), H2094))"),"QT")</f>
        <v>QT</v>
      </c>
      <c r="I2095" s="2" t="str">
        <f>IFERROR(__xludf.DUMMYFUNCTION("IF('From Order'!$A2095=COLUMNS($A2095:I2114), LEFT(INDEX(FILTER(I$1:I2094, I$1:I2094&lt;&gt;""""),COUNTA(FILTER(I$1:I2094, I$1:I2094&lt;&gt;""""))), LEN(INDEX(FILTER(I$1:I2094, I$1:I2094&lt;&gt;""""),COUNTA(FILTER(I$1:I2094, I$1:I2094&lt;&gt;""""))))-1), IF('To Order'!$A2095=COL"&amp;"UMNS($A2095:I2114), I2094&amp;RIGHT(INDIRECT(ADDRESS(ROW(I2095)-1, 'From Order'!$A2095)), 1), I2094))"),"DTCTMZHPR")</f>
        <v>DTCTMZHPR</v>
      </c>
    </row>
    <row r="2096">
      <c r="A2096" s="2" t="str">
        <f>IFERROR(__xludf.DUMMYFUNCTION("IF('From Order'!$A2096=COLUMNS($A2096:A2115), LEFT(INDEX(FILTER(A$1:A2095, A$1:A2095&lt;&gt;""""),COUNTA(FILTER(A$1:A2095, A$1:A2095&lt;&gt;""""))), LEN(INDEX(FILTER(A$1:A2095, A$1:A2095&lt;&gt;""""),COUNTA(FILTER(A$1:A2095, A$1:A2095&lt;&gt;""""))))-1), IF('To Order'!$A2096=COL"&amp;"UMNS($A2096:A2115), A2095&amp;RIGHT(INDIRECT(ADDRESS(ROW(A2096)-1, 'From Order'!$A2096)), 1), A2095))"),"DSPBFLLWDDVQZDMTTGMJRRLC")</f>
        <v>DSPBFLLWDDVQZDMTTGMJRRLC</v>
      </c>
      <c r="B2096" s="2" t="str">
        <f>IFERROR(__xludf.DUMMYFUNCTION("IF('From Order'!$A2096=COLUMNS($A2096:B2115), LEFT(INDEX(FILTER(B$1:B2095, B$1:B2095&lt;&gt;""""),COUNTA(FILTER(B$1:B2095, B$1:B2095&lt;&gt;""""))), LEN(INDEX(FILTER(B$1:B2095, B$1:B2095&lt;&gt;""""),COUNTA(FILTER(B$1:B2095, B$1:B2095&lt;&gt;""""))))-1), IF('To Order'!$A2096=COL"&amp;"UMNS($A2096:B2115), B2095&amp;RIGHT(INDIRECT(ADDRESS(ROW(B2096)-1, 'From Order'!$A2096)), 1), B2095))"),"JDPSSTWZCS")</f>
        <v>JDPSSTWZCS</v>
      </c>
      <c r="C2096" s="2" t="str">
        <f>IFERROR(__xludf.DUMMYFUNCTION("IF('From Order'!$A2096=COLUMNS($A2096:C2115), LEFT(INDEX(FILTER(C$1:C2095, C$1:C2095&lt;&gt;""""),COUNTA(FILTER(C$1:C2095, C$1:C2095&lt;&gt;""""))), LEN(INDEX(FILTER(C$1:C2095, C$1:C2095&lt;&gt;""""),COUNTA(FILTER(C$1:C2095, C$1:C2095&lt;&gt;""""))))-1), IF('To Order'!$A2096=COL"&amp;"UMNS($A2096:C2115), C2095&amp;RIGHT(INDIRECT(ADDRESS(ROW(C2096)-1, 'From Order'!$A2096)), 1), C2095))"),"V")</f>
        <v>V</v>
      </c>
      <c r="D2096" s="2" t="str">
        <f>IFERROR(__xludf.DUMMYFUNCTION("IF('From Order'!$A2096=COLUMNS($A2096:D2115), LEFT(INDEX(FILTER(D$1:D2095, D$1:D2095&lt;&gt;""""),COUNTA(FILTER(D$1:D2095, D$1:D2095&lt;&gt;""""))), LEN(INDEX(FILTER(D$1:D2095, D$1:D2095&lt;&gt;""""),COUNTA(FILTER(D$1:D2095, D$1:D2095&lt;&gt;""""))))-1), IF('To Order'!$A2096=COL"&amp;"UMNS($A2096:D2115), D2095&amp;RIGHT(INDIRECT(ADDRESS(ROW(D2096)-1, 'From Order'!$A2096)), 1), D2095))"),"RBJVBBH")</f>
        <v>RBJVBBH</v>
      </c>
      <c r="E2096" s="2" t="str">
        <f>IFERROR(__xludf.DUMMYFUNCTION("IF('From Order'!$A2096=COLUMNS($A2096:E2115), LEFT(INDEX(FILTER(E$1:E2095, E$1:E2095&lt;&gt;""""),COUNTA(FILTER(E$1:E2095, E$1:E2095&lt;&gt;""""))), LEN(INDEX(FILTER(E$1:E2095, E$1:E2095&lt;&gt;""""),COUNTA(FILTER(E$1:E2095, E$1:E2095&lt;&gt;""""))))-1), IF('To Order'!$A2096=COL"&amp;"UMNS($A2096:E2115), E2095&amp;RIGHT(INDIRECT(ADDRESS(ROW(E2096)-1, 'From Order'!$A2096)), 1), E2095))"),"F")</f>
        <v>F</v>
      </c>
      <c r="F2096" s="2" t="str">
        <f>IFERROR(__xludf.DUMMYFUNCTION("IF('From Order'!$A2096=COLUMNS($A2096:F2115), LEFT(INDEX(FILTER(F$1:F2095, F$1:F2095&lt;&gt;""""),COUNTA(FILTER(F$1:F2095, F$1:F2095&lt;&gt;""""))), LEN(INDEX(FILTER(F$1:F2095, F$1:F2095&lt;&gt;""""),COUNTA(FILTER(F$1:F2095, F$1:F2095&lt;&gt;""""))))-1), IF('To Order'!$A2096=COL"&amp;"UMNS($A2096:F2115), F2095&amp;RIGHT(INDIRECT(ADDRESS(ROW(F2096)-1, 'From Order'!$A2096)), 1), F2095))"),"R")</f>
        <v>R</v>
      </c>
      <c r="G2096" s="2" t="str">
        <f>IFERROR(__xludf.DUMMYFUNCTION("IF('From Order'!$A2096=COLUMNS($A2096:G2115), LEFT(INDEX(FILTER(G$1:G2095, G$1:G2095&lt;&gt;""""),COUNTA(FILTER(G$1:G2095, G$1:G2095&lt;&gt;""""))), LEN(INDEX(FILTER(G$1:G2095, G$1:G2095&lt;&gt;""""),COUNTA(FILTER(G$1:G2095, G$1:G2095&lt;&gt;""""))))-1), IF('To Order'!$A2096=COL"&amp;"UMNS($A2096:G2115), G2095&amp;RIGHT(INDIRECT(ADDRESS(ROW(G2096)-1, 'From Order'!$A2096)), 1), G2095))"),"G")</f>
        <v>G</v>
      </c>
      <c r="H2096" s="2" t="str">
        <f>IFERROR(__xludf.DUMMYFUNCTION("IF('From Order'!$A2096=COLUMNS($A2096:H2115), LEFT(INDEX(FILTER(H$1:H2095, H$1:H2095&lt;&gt;""""),COUNTA(FILTER(H$1:H2095, H$1:H2095&lt;&gt;""""))), LEN(INDEX(FILTER(H$1:H2095, H$1:H2095&lt;&gt;""""),COUNTA(FILTER(H$1:H2095, H$1:H2095&lt;&gt;""""))))-1), IF('To Order'!$A2096=COL"&amp;"UMNS($A2096:H2115), H2095&amp;RIGHT(INDIRECT(ADDRESS(ROW(H2096)-1, 'From Order'!$A2096)), 1), H2095))"),"QT")</f>
        <v>QT</v>
      </c>
      <c r="I2096" s="2" t="str">
        <f>IFERROR(__xludf.DUMMYFUNCTION("IF('From Order'!$A2096=COLUMNS($A2096:I2115), LEFT(INDEX(FILTER(I$1:I2095, I$1:I2095&lt;&gt;""""),COUNTA(FILTER(I$1:I2095, I$1:I2095&lt;&gt;""""))), LEN(INDEX(FILTER(I$1:I2095, I$1:I2095&lt;&gt;""""),COUNTA(FILTER(I$1:I2095, I$1:I2095&lt;&gt;""""))))-1), IF('To Order'!$A2096=COL"&amp;"UMNS($A2096:I2115), I2095&amp;RIGHT(INDIRECT(ADDRESS(ROW(I2096)-1, 'From Order'!$A2096)), 1), I2095))"),"DTCTMZHPR")</f>
        <v>DTCTMZHPR</v>
      </c>
    </row>
    <row r="2097">
      <c r="A2097" s="2" t="str">
        <f>IFERROR(__xludf.DUMMYFUNCTION("IF('From Order'!$A2097=COLUMNS($A2097:A2116), LEFT(INDEX(FILTER(A$1:A2096, A$1:A2096&lt;&gt;""""),COUNTA(FILTER(A$1:A2096, A$1:A2096&lt;&gt;""""))), LEN(INDEX(FILTER(A$1:A2096, A$1:A2096&lt;&gt;""""),COUNTA(FILTER(A$1:A2096, A$1:A2096&lt;&gt;""""))))-1), IF('To Order'!$A2097=COL"&amp;"UMNS($A2097:A2116), A2096&amp;RIGHT(INDIRECT(ADDRESS(ROW(A2097)-1, 'From Order'!$A2097)), 1), A2096))"),"DSPBFLLWDDVQZDMTTGMJRRLC")</f>
        <v>DSPBFLLWDDVQZDMTTGMJRRLC</v>
      </c>
      <c r="B2097" s="2" t="str">
        <f>IFERROR(__xludf.DUMMYFUNCTION("IF('From Order'!$A2097=COLUMNS($A2097:B2116), LEFT(INDEX(FILTER(B$1:B2096, B$1:B2096&lt;&gt;""""),COUNTA(FILTER(B$1:B2096, B$1:B2096&lt;&gt;""""))), LEN(INDEX(FILTER(B$1:B2096, B$1:B2096&lt;&gt;""""),COUNTA(FILTER(B$1:B2096, B$1:B2096&lt;&gt;""""))))-1), IF('To Order'!$A2097=COL"&amp;"UMNS($A2097:B2116), B2096&amp;RIGHT(INDIRECT(ADDRESS(ROW(B2097)-1, 'From Order'!$A2097)), 1), B2096))"),"JDPSSTWZC")</f>
        <v>JDPSSTWZC</v>
      </c>
      <c r="C2097" s="2" t="str">
        <f>IFERROR(__xludf.DUMMYFUNCTION("IF('From Order'!$A2097=COLUMNS($A2097:C2116), LEFT(INDEX(FILTER(C$1:C2096, C$1:C2096&lt;&gt;""""),COUNTA(FILTER(C$1:C2096, C$1:C2096&lt;&gt;""""))), LEN(INDEX(FILTER(C$1:C2096, C$1:C2096&lt;&gt;""""),COUNTA(FILTER(C$1:C2096, C$1:C2096&lt;&gt;""""))))-1), IF('To Order'!$A2097=COL"&amp;"UMNS($A2097:C2116), C2096&amp;RIGHT(INDIRECT(ADDRESS(ROW(C2097)-1, 'From Order'!$A2097)), 1), C2096))"),"V")</f>
        <v>V</v>
      </c>
      <c r="D2097" s="2" t="str">
        <f>IFERROR(__xludf.DUMMYFUNCTION("IF('From Order'!$A2097=COLUMNS($A2097:D2116), LEFT(INDEX(FILTER(D$1:D2096, D$1:D2096&lt;&gt;""""),COUNTA(FILTER(D$1:D2096, D$1:D2096&lt;&gt;""""))), LEN(INDEX(FILTER(D$1:D2096, D$1:D2096&lt;&gt;""""),COUNTA(FILTER(D$1:D2096, D$1:D2096&lt;&gt;""""))))-1), IF('To Order'!$A2097=COL"&amp;"UMNS($A2097:D2116), D2096&amp;RIGHT(INDIRECT(ADDRESS(ROW(D2097)-1, 'From Order'!$A2097)), 1), D2096))"),"RBJVBBH")</f>
        <v>RBJVBBH</v>
      </c>
      <c r="E2097" s="2" t="str">
        <f>IFERROR(__xludf.DUMMYFUNCTION("IF('From Order'!$A2097=COLUMNS($A2097:E2116), LEFT(INDEX(FILTER(E$1:E2096, E$1:E2096&lt;&gt;""""),COUNTA(FILTER(E$1:E2096, E$1:E2096&lt;&gt;""""))), LEN(INDEX(FILTER(E$1:E2096, E$1:E2096&lt;&gt;""""),COUNTA(FILTER(E$1:E2096, E$1:E2096&lt;&gt;""""))))-1), IF('To Order'!$A2097=COL"&amp;"UMNS($A2097:E2116), E2096&amp;RIGHT(INDIRECT(ADDRESS(ROW(E2097)-1, 'From Order'!$A2097)), 1), E2096))"),"FS")</f>
        <v>FS</v>
      </c>
      <c r="F2097" s="2" t="str">
        <f>IFERROR(__xludf.DUMMYFUNCTION("IF('From Order'!$A2097=COLUMNS($A2097:F2116), LEFT(INDEX(FILTER(F$1:F2096, F$1:F2096&lt;&gt;""""),COUNTA(FILTER(F$1:F2096, F$1:F2096&lt;&gt;""""))), LEN(INDEX(FILTER(F$1:F2096, F$1:F2096&lt;&gt;""""),COUNTA(FILTER(F$1:F2096, F$1:F2096&lt;&gt;""""))))-1), IF('To Order'!$A2097=COL"&amp;"UMNS($A2097:F2116), F2096&amp;RIGHT(INDIRECT(ADDRESS(ROW(F2097)-1, 'From Order'!$A2097)), 1), F2096))"),"R")</f>
        <v>R</v>
      </c>
      <c r="G2097" s="2" t="str">
        <f>IFERROR(__xludf.DUMMYFUNCTION("IF('From Order'!$A2097=COLUMNS($A2097:G2116), LEFT(INDEX(FILTER(G$1:G2096, G$1:G2096&lt;&gt;""""),COUNTA(FILTER(G$1:G2096, G$1:G2096&lt;&gt;""""))), LEN(INDEX(FILTER(G$1:G2096, G$1:G2096&lt;&gt;""""),COUNTA(FILTER(G$1:G2096, G$1:G2096&lt;&gt;""""))))-1), IF('To Order'!$A2097=COL"&amp;"UMNS($A2097:G2116), G2096&amp;RIGHT(INDIRECT(ADDRESS(ROW(G2097)-1, 'From Order'!$A2097)), 1), G2096))"),"G")</f>
        <v>G</v>
      </c>
      <c r="H2097" s="2" t="str">
        <f>IFERROR(__xludf.DUMMYFUNCTION("IF('From Order'!$A2097=COLUMNS($A2097:H2116), LEFT(INDEX(FILTER(H$1:H2096, H$1:H2096&lt;&gt;""""),COUNTA(FILTER(H$1:H2096, H$1:H2096&lt;&gt;""""))), LEN(INDEX(FILTER(H$1:H2096, H$1:H2096&lt;&gt;""""),COUNTA(FILTER(H$1:H2096, H$1:H2096&lt;&gt;""""))))-1), IF('To Order'!$A2097=COL"&amp;"UMNS($A2097:H2116), H2096&amp;RIGHT(INDIRECT(ADDRESS(ROW(H2097)-1, 'From Order'!$A2097)), 1), H2096))"),"QT")</f>
        <v>QT</v>
      </c>
      <c r="I2097" s="2" t="str">
        <f>IFERROR(__xludf.DUMMYFUNCTION("IF('From Order'!$A2097=COLUMNS($A2097:I2116), LEFT(INDEX(FILTER(I$1:I2096, I$1:I2096&lt;&gt;""""),COUNTA(FILTER(I$1:I2096, I$1:I2096&lt;&gt;""""))), LEN(INDEX(FILTER(I$1:I2096, I$1:I2096&lt;&gt;""""),COUNTA(FILTER(I$1:I2096, I$1:I2096&lt;&gt;""""))))-1), IF('To Order'!$A2097=COL"&amp;"UMNS($A2097:I2116), I2096&amp;RIGHT(INDIRECT(ADDRESS(ROW(I2097)-1, 'From Order'!$A2097)), 1), I2096))"),"DTCTMZHPR")</f>
        <v>DTCTMZHPR</v>
      </c>
    </row>
    <row r="2098">
      <c r="A2098" s="2" t="str">
        <f>IFERROR(__xludf.DUMMYFUNCTION("IF('From Order'!$A2098=COLUMNS($A2098:A2117), LEFT(INDEX(FILTER(A$1:A2097, A$1:A2097&lt;&gt;""""),COUNTA(FILTER(A$1:A2097, A$1:A2097&lt;&gt;""""))), LEN(INDEX(FILTER(A$1:A2097, A$1:A2097&lt;&gt;""""),COUNTA(FILTER(A$1:A2097, A$1:A2097&lt;&gt;""""))))-1), IF('To Order'!$A2098=COL"&amp;"UMNS($A2098:A2117), A2097&amp;RIGHT(INDIRECT(ADDRESS(ROW(A2098)-1, 'From Order'!$A2098)), 1), A2097))"),"DSPBFLLWDDVQZDMTTGMJRRLC")</f>
        <v>DSPBFLLWDDVQZDMTTGMJRRLC</v>
      </c>
      <c r="B2098" s="2" t="str">
        <f>IFERROR(__xludf.DUMMYFUNCTION("IF('From Order'!$A2098=COLUMNS($A2098:B2117), LEFT(INDEX(FILTER(B$1:B2097, B$1:B2097&lt;&gt;""""),COUNTA(FILTER(B$1:B2097, B$1:B2097&lt;&gt;""""))), LEN(INDEX(FILTER(B$1:B2097, B$1:B2097&lt;&gt;""""),COUNTA(FILTER(B$1:B2097, B$1:B2097&lt;&gt;""""))))-1), IF('To Order'!$A2098=COL"&amp;"UMNS($A2098:B2117), B2097&amp;RIGHT(INDIRECT(ADDRESS(ROW(B2098)-1, 'From Order'!$A2098)), 1), B2097))"),"JDPSSTWZ")</f>
        <v>JDPSSTWZ</v>
      </c>
      <c r="C2098" s="2" t="str">
        <f>IFERROR(__xludf.DUMMYFUNCTION("IF('From Order'!$A2098=COLUMNS($A2098:C2117), LEFT(INDEX(FILTER(C$1:C2097, C$1:C2097&lt;&gt;""""),COUNTA(FILTER(C$1:C2097, C$1:C2097&lt;&gt;""""))), LEN(INDEX(FILTER(C$1:C2097, C$1:C2097&lt;&gt;""""),COUNTA(FILTER(C$1:C2097, C$1:C2097&lt;&gt;""""))))-1), IF('To Order'!$A2098=COL"&amp;"UMNS($A2098:C2117), C2097&amp;RIGHT(INDIRECT(ADDRESS(ROW(C2098)-1, 'From Order'!$A2098)), 1), C2097))"),"V")</f>
        <v>V</v>
      </c>
      <c r="D2098" s="2" t="str">
        <f>IFERROR(__xludf.DUMMYFUNCTION("IF('From Order'!$A2098=COLUMNS($A2098:D2117), LEFT(INDEX(FILTER(D$1:D2097, D$1:D2097&lt;&gt;""""),COUNTA(FILTER(D$1:D2097, D$1:D2097&lt;&gt;""""))), LEN(INDEX(FILTER(D$1:D2097, D$1:D2097&lt;&gt;""""),COUNTA(FILTER(D$1:D2097, D$1:D2097&lt;&gt;""""))))-1), IF('To Order'!$A2098=COL"&amp;"UMNS($A2098:D2117), D2097&amp;RIGHT(INDIRECT(ADDRESS(ROW(D2098)-1, 'From Order'!$A2098)), 1), D2097))"),"RBJVBBH")</f>
        <v>RBJVBBH</v>
      </c>
      <c r="E2098" s="2" t="str">
        <f>IFERROR(__xludf.DUMMYFUNCTION("IF('From Order'!$A2098=COLUMNS($A2098:E2117), LEFT(INDEX(FILTER(E$1:E2097, E$1:E2097&lt;&gt;""""),COUNTA(FILTER(E$1:E2097, E$1:E2097&lt;&gt;""""))), LEN(INDEX(FILTER(E$1:E2097, E$1:E2097&lt;&gt;""""),COUNTA(FILTER(E$1:E2097, E$1:E2097&lt;&gt;""""))))-1), IF('To Order'!$A2098=COL"&amp;"UMNS($A2098:E2117), E2097&amp;RIGHT(INDIRECT(ADDRESS(ROW(E2098)-1, 'From Order'!$A2098)), 1), E2097))"),"FSC")</f>
        <v>FSC</v>
      </c>
      <c r="F2098" s="2" t="str">
        <f>IFERROR(__xludf.DUMMYFUNCTION("IF('From Order'!$A2098=COLUMNS($A2098:F2117), LEFT(INDEX(FILTER(F$1:F2097, F$1:F2097&lt;&gt;""""),COUNTA(FILTER(F$1:F2097, F$1:F2097&lt;&gt;""""))), LEN(INDEX(FILTER(F$1:F2097, F$1:F2097&lt;&gt;""""),COUNTA(FILTER(F$1:F2097, F$1:F2097&lt;&gt;""""))))-1), IF('To Order'!$A2098=COL"&amp;"UMNS($A2098:F2117), F2097&amp;RIGHT(INDIRECT(ADDRESS(ROW(F2098)-1, 'From Order'!$A2098)), 1), F2097))"),"R")</f>
        <v>R</v>
      </c>
      <c r="G2098" s="2" t="str">
        <f>IFERROR(__xludf.DUMMYFUNCTION("IF('From Order'!$A2098=COLUMNS($A2098:G2117), LEFT(INDEX(FILTER(G$1:G2097, G$1:G2097&lt;&gt;""""),COUNTA(FILTER(G$1:G2097, G$1:G2097&lt;&gt;""""))), LEN(INDEX(FILTER(G$1:G2097, G$1:G2097&lt;&gt;""""),COUNTA(FILTER(G$1:G2097, G$1:G2097&lt;&gt;""""))))-1), IF('To Order'!$A2098=COL"&amp;"UMNS($A2098:G2117), G2097&amp;RIGHT(INDIRECT(ADDRESS(ROW(G2098)-1, 'From Order'!$A2098)), 1), G2097))"),"G")</f>
        <v>G</v>
      </c>
      <c r="H2098" s="2" t="str">
        <f>IFERROR(__xludf.DUMMYFUNCTION("IF('From Order'!$A2098=COLUMNS($A2098:H2117), LEFT(INDEX(FILTER(H$1:H2097, H$1:H2097&lt;&gt;""""),COUNTA(FILTER(H$1:H2097, H$1:H2097&lt;&gt;""""))), LEN(INDEX(FILTER(H$1:H2097, H$1:H2097&lt;&gt;""""),COUNTA(FILTER(H$1:H2097, H$1:H2097&lt;&gt;""""))))-1), IF('To Order'!$A2098=COL"&amp;"UMNS($A2098:H2117), H2097&amp;RIGHT(INDIRECT(ADDRESS(ROW(H2098)-1, 'From Order'!$A2098)), 1), H2097))"),"QT")</f>
        <v>QT</v>
      </c>
      <c r="I2098" s="2" t="str">
        <f>IFERROR(__xludf.DUMMYFUNCTION("IF('From Order'!$A2098=COLUMNS($A2098:I2117), LEFT(INDEX(FILTER(I$1:I2097, I$1:I2097&lt;&gt;""""),COUNTA(FILTER(I$1:I2097, I$1:I2097&lt;&gt;""""))), LEN(INDEX(FILTER(I$1:I2097, I$1:I2097&lt;&gt;""""),COUNTA(FILTER(I$1:I2097, I$1:I2097&lt;&gt;""""))))-1), IF('To Order'!$A2098=COL"&amp;"UMNS($A2098:I2117), I2097&amp;RIGHT(INDIRECT(ADDRESS(ROW(I2098)-1, 'From Order'!$A2098)), 1), I2097))"),"DTCTMZHPR")</f>
        <v>DTCTMZHPR</v>
      </c>
    </row>
    <row r="2099">
      <c r="A2099" s="2" t="str">
        <f>IFERROR(__xludf.DUMMYFUNCTION("IF('From Order'!$A2099=COLUMNS($A2099:A2118), LEFT(INDEX(FILTER(A$1:A2098, A$1:A2098&lt;&gt;""""),COUNTA(FILTER(A$1:A2098, A$1:A2098&lt;&gt;""""))), LEN(INDEX(FILTER(A$1:A2098, A$1:A2098&lt;&gt;""""),COUNTA(FILTER(A$1:A2098, A$1:A2098&lt;&gt;""""))))-1), IF('To Order'!$A2099=COL"&amp;"UMNS($A2099:A2118), A2098&amp;RIGHT(INDIRECT(ADDRESS(ROW(A2099)-1, 'From Order'!$A2099)), 1), A2098))"),"DSPBFLLWDDVQZDMTTGMJRRLC")</f>
        <v>DSPBFLLWDDVQZDMTTGMJRRLC</v>
      </c>
      <c r="B2099" s="2" t="str">
        <f>IFERROR(__xludf.DUMMYFUNCTION("IF('From Order'!$A2099=COLUMNS($A2099:B2118), LEFT(INDEX(FILTER(B$1:B2098, B$1:B2098&lt;&gt;""""),COUNTA(FILTER(B$1:B2098, B$1:B2098&lt;&gt;""""))), LEN(INDEX(FILTER(B$1:B2098, B$1:B2098&lt;&gt;""""),COUNTA(FILTER(B$1:B2098, B$1:B2098&lt;&gt;""""))))-1), IF('To Order'!$A2099=COL"&amp;"UMNS($A2099:B2118), B2098&amp;RIGHT(INDIRECT(ADDRESS(ROW(B2099)-1, 'From Order'!$A2099)), 1), B2098))"),"JDPSSTW")</f>
        <v>JDPSSTW</v>
      </c>
      <c r="C2099" s="2" t="str">
        <f>IFERROR(__xludf.DUMMYFUNCTION("IF('From Order'!$A2099=COLUMNS($A2099:C2118), LEFT(INDEX(FILTER(C$1:C2098, C$1:C2098&lt;&gt;""""),COUNTA(FILTER(C$1:C2098, C$1:C2098&lt;&gt;""""))), LEN(INDEX(FILTER(C$1:C2098, C$1:C2098&lt;&gt;""""),COUNTA(FILTER(C$1:C2098, C$1:C2098&lt;&gt;""""))))-1), IF('To Order'!$A2099=COL"&amp;"UMNS($A2099:C2118), C2098&amp;RIGHT(INDIRECT(ADDRESS(ROW(C2099)-1, 'From Order'!$A2099)), 1), C2098))"),"V")</f>
        <v>V</v>
      </c>
      <c r="D2099" s="2" t="str">
        <f>IFERROR(__xludf.DUMMYFUNCTION("IF('From Order'!$A2099=COLUMNS($A2099:D2118), LEFT(INDEX(FILTER(D$1:D2098, D$1:D2098&lt;&gt;""""),COUNTA(FILTER(D$1:D2098, D$1:D2098&lt;&gt;""""))), LEN(INDEX(FILTER(D$1:D2098, D$1:D2098&lt;&gt;""""),COUNTA(FILTER(D$1:D2098, D$1:D2098&lt;&gt;""""))))-1), IF('To Order'!$A2099=COL"&amp;"UMNS($A2099:D2118), D2098&amp;RIGHT(INDIRECT(ADDRESS(ROW(D2099)-1, 'From Order'!$A2099)), 1), D2098))"),"RBJVBBH")</f>
        <v>RBJVBBH</v>
      </c>
      <c r="E2099" s="2" t="str">
        <f>IFERROR(__xludf.DUMMYFUNCTION("IF('From Order'!$A2099=COLUMNS($A2099:E2118), LEFT(INDEX(FILTER(E$1:E2098, E$1:E2098&lt;&gt;""""),COUNTA(FILTER(E$1:E2098, E$1:E2098&lt;&gt;""""))), LEN(INDEX(FILTER(E$1:E2098, E$1:E2098&lt;&gt;""""),COUNTA(FILTER(E$1:E2098, E$1:E2098&lt;&gt;""""))))-1), IF('To Order'!$A2099=COL"&amp;"UMNS($A2099:E2118), E2098&amp;RIGHT(INDIRECT(ADDRESS(ROW(E2099)-1, 'From Order'!$A2099)), 1), E2098))"),"FSCZ")</f>
        <v>FSCZ</v>
      </c>
      <c r="F2099" s="2" t="str">
        <f>IFERROR(__xludf.DUMMYFUNCTION("IF('From Order'!$A2099=COLUMNS($A2099:F2118), LEFT(INDEX(FILTER(F$1:F2098, F$1:F2098&lt;&gt;""""),COUNTA(FILTER(F$1:F2098, F$1:F2098&lt;&gt;""""))), LEN(INDEX(FILTER(F$1:F2098, F$1:F2098&lt;&gt;""""),COUNTA(FILTER(F$1:F2098, F$1:F2098&lt;&gt;""""))))-1), IF('To Order'!$A2099=COL"&amp;"UMNS($A2099:F2118), F2098&amp;RIGHT(INDIRECT(ADDRESS(ROW(F2099)-1, 'From Order'!$A2099)), 1), F2098))"),"R")</f>
        <v>R</v>
      </c>
      <c r="G2099" s="2" t="str">
        <f>IFERROR(__xludf.DUMMYFUNCTION("IF('From Order'!$A2099=COLUMNS($A2099:G2118), LEFT(INDEX(FILTER(G$1:G2098, G$1:G2098&lt;&gt;""""),COUNTA(FILTER(G$1:G2098, G$1:G2098&lt;&gt;""""))), LEN(INDEX(FILTER(G$1:G2098, G$1:G2098&lt;&gt;""""),COUNTA(FILTER(G$1:G2098, G$1:G2098&lt;&gt;""""))))-1), IF('To Order'!$A2099=COL"&amp;"UMNS($A2099:G2118), G2098&amp;RIGHT(INDIRECT(ADDRESS(ROW(G2099)-1, 'From Order'!$A2099)), 1), G2098))"),"G")</f>
        <v>G</v>
      </c>
      <c r="H2099" s="2" t="str">
        <f>IFERROR(__xludf.DUMMYFUNCTION("IF('From Order'!$A2099=COLUMNS($A2099:H2118), LEFT(INDEX(FILTER(H$1:H2098, H$1:H2098&lt;&gt;""""),COUNTA(FILTER(H$1:H2098, H$1:H2098&lt;&gt;""""))), LEN(INDEX(FILTER(H$1:H2098, H$1:H2098&lt;&gt;""""),COUNTA(FILTER(H$1:H2098, H$1:H2098&lt;&gt;""""))))-1), IF('To Order'!$A2099=COL"&amp;"UMNS($A2099:H2118), H2098&amp;RIGHT(INDIRECT(ADDRESS(ROW(H2099)-1, 'From Order'!$A2099)), 1), H2098))"),"QT")</f>
        <v>QT</v>
      </c>
      <c r="I2099" s="2" t="str">
        <f>IFERROR(__xludf.DUMMYFUNCTION("IF('From Order'!$A2099=COLUMNS($A2099:I2118), LEFT(INDEX(FILTER(I$1:I2098, I$1:I2098&lt;&gt;""""),COUNTA(FILTER(I$1:I2098, I$1:I2098&lt;&gt;""""))), LEN(INDEX(FILTER(I$1:I2098, I$1:I2098&lt;&gt;""""),COUNTA(FILTER(I$1:I2098, I$1:I2098&lt;&gt;""""))))-1), IF('To Order'!$A2099=COL"&amp;"UMNS($A2099:I2118), I2098&amp;RIGHT(INDIRECT(ADDRESS(ROW(I2099)-1, 'From Order'!$A2099)), 1), I2098))"),"DTCTMZHPR")</f>
        <v>DTCTMZHPR</v>
      </c>
    </row>
    <row r="2100">
      <c r="A2100" s="2" t="str">
        <f>IFERROR(__xludf.DUMMYFUNCTION("IF('From Order'!$A2100=COLUMNS($A2100:A2119), LEFT(INDEX(FILTER(A$1:A2099, A$1:A2099&lt;&gt;""""),COUNTA(FILTER(A$1:A2099, A$1:A2099&lt;&gt;""""))), LEN(INDEX(FILTER(A$1:A2099, A$1:A2099&lt;&gt;""""),COUNTA(FILTER(A$1:A2099, A$1:A2099&lt;&gt;""""))))-1), IF('To Order'!$A2100=COL"&amp;"UMNS($A2100:A2119), A2099&amp;RIGHT(INDIRECT(ADDRESS(ROW(A2100)-1, 'From Order'!$A2100)), 1), A2099))"),"DSPBFLLWDDVQZDMTTGMJRRLC")</f>
        <v>DSPBFLLWDDVQZDMTTGMJRRLC</v>
      </c>
      <c r="B2100" s="2" t="str">
        <f>IFERROR(__xludf.DUMMYFUNCTION("IF('From Order'!$A2100=COLUMNS($A2100:B2119), LEFT(INDEX(FILTER(B$1:B2099, B$1:B2099&lt;&gt;""""),COUNTA(FILTER(B$1:B2099, B$1:B2099&lt;&gt;""""))), LEN(INDEX(FILTER(B$1:B2099, B$1:B2099&lt;&gt;""""),COUNTA(FILTER(B$1:B2099, B$1:B2099&lt;&gt;""""))))-1), IF('To Order'!$A2100=COL"&amp;"UMNS($A2100:B2119), B2099&amp;RIGHT(INDIRECT(ADDRESS(ROW(B2100)-1, 'From Order'!$A2100)), 1), B2099))"),"JDPSSTW")</f>
        <v>JDPSSTW</v>
      </c>
      <c r="C2100" s="2" t="str">
        <f>IFERROR(__xludf.DUMMYFUNCTION("IF('From Order'!$A2100=COLUMNS($A2100:C2119), LEFT(INDEX(FILTER(C$1:C2099, C$1:C2099&lt;&gt;""""),COUNTA(FILTER(C$1:C2099, C$1:C2099&lt;&gt;""""))), LEN(INDEX(FILTER(C$1:C2099, C$1:C2099&lt;&gt;""""),COUNTA(FILTER(C$1:C2099, C$1:C2099&lt;&gt;""""))))-1), IF('To Order'!$A2100=COL"&amp;"UMNS($A2100:C2119), C2099&amp;RIGHT(INDIRECT(ADDRESS(ROW(C2100)-1, 'From Order'!$A2100)), 1), C2099))"),"V")</f>
        <v>V</v>
      </c>
      <c r="D2100" s="2" t="str">
        <f>IFERROR(__xludf.DUMMYFUNCTION("IF('From Order'!$A2100=COLUMNS($A2100:D2119), LEFT(INDEX(FILTER(D$1:D2099, D$1:D2099&lt;&gt;""""),COUNTA(FILTER(D$1:D2099, D$1:D2099&lt;&gt;""""))), LEN(INDEX(FILTER(D$1:D2099, D$1:D2099&lt;&gt;""""),COUNTA(FILTER(D$1:D2099, D$1:D2099&lt;&gt;""""))))-1), IF('To Order'!$A2100=COL"&amp;"UMNS($A2100:D2119), D2099&amp;RIGHT(INDIRECT(ADDRESS(ROW(D2100)-1, 'From Order'!$A2100)), 1), D2099))"),"RBJVBBH")</f>
        <v>RBJVBBH</v>
      </c>
      <c r="E2100" s="2" t="str">
        <f>IFERROR(__xludf.DUMMYFUNCTION("IF('From Order'!$A2100=COLUMNS($A2100:E2119), LEFT(INDEX(FILTER(E$1:E2099, E$1:E2099&lt;&gt;""""),COUNTA(FILTER(E$1:E2099, E$1:E2099&lt;&gt;""""))), LEN(INDEX(FILTER(E$1:E2099, E$1:E2099&lt;&gt;""""),COUNTA(FILTER(E$1:E2099, E$1:E2099&lt;&gt;""""))))-1), IF('To Order'!$A2100=COL"&amp;"UMNS($A2100:E2119), E2099&amp;RIGHT(INDIRECT(ADDRESS(ROW(E2100)-1, 'From Order'!$A2100)), 1), E2099))"),"FSCZR")</f>
        <v>FSCZR</v>
      </c>
      <c r="F2100" s="2" t="str">
        <f>IFERROR(__xludf.DUMMYFUNCTION("IF('From Order'!$A2100=COLUMNS($A2100:F2119), LEFT(INDEX(FILTER(F$1:F2099, F$1:F2099&lt;&gt;""""),COUNTA(FILTER(F$1:F2099, F$1:F2099&lt;&gt;""""))), LEN(INDEX(FILTER(F$1:F2099, F$1:F2099&lt;&gt;""""),COUNTA(FILTER(F$1:F2099, F$1:F2099&lt;&gt;""""))))-1), IF('To Order'!$A2100=COL"&amp;"UMNS($A2100:F2119), F2099&amp;RIGHT(INDIRECT(ADDRESS(ROW(F2100)-1, 'From Order'!$A2100)), 1), F2099))"),"")</f>
        <v/>
      </c>
      <c r="G2100" s="2" t="str">
        <f>IFERROR(__xludf.DUMMYFUNCTION("IF('From Order'!$A2100=COLUMNS($A2100:G2119), LEFT(INDEX(FILTER(G$1:G2099, G$1:G2099&lt;&gt;""""),COUNTA(FILTER(G$1:G2099, G$1:G2099&lt;&gt;""""))), LEN(INDEX(FILTER(G$1:G2099, G$1:G2099&lt;&gt;""""),COUNTA(FILTER(G$1:G2099, G$1:G2099&lt;&gt;""""))))-1), IF('To Order'!$A2100=COL"&amp;"UMNS($A2100:G2119), G2099&amp;RIGHT(INDIRECT(ADDRESS(ROW(G2100)-1, 'From Order'!$A2100)), 1), G2099))"),"G")</f>
        <v>G</v>
      </c>
      <c r="H2100" s="2" t="str">
        <f>IFERROR(__xludf.DUMMYFUNCTION("IF('From Order'!$A2100=COLUMNS($A2100:H2119), LEFT(INDEX(FILTER(H$1:H2099, H$1:H2099&lt;&gt;""""),COUNTA(FILTER(H$1:H2099, H$1:H2099&lt;&gt;""""))), LEN(INDEX(FILTER(H$1:H2099, H$1:H2099&lt;&gt;""""),COUNTA(FILTER(H$1:H2099, H$1:H2099&lt;&gt;""""))))-1), IF('To Order'!$A2100=COL"&amp;"UMNS($A2100:H2119), H2099&amp;RIGHT(INDIRECT(ADDRESS(ROW(H2100)-1, 'From Order'!$A2100)), 1), H2099))"),"QT")</f>
        <v>QT</v>
      </c>
      <c r="I2100" s="2" t="str">
        <f>IFERROR(__xludf.DUMMYFUNCTION("IF('From Order'!$A2100=COLUMNS($A2100:I2119), LEFT(INDEX(FILTER(I$1:I2099, I$1:I2099&lt;&gt;""""),COUNTA(FILTER(I$1:I2099, I$1:I2099&lt;&gt;""""))), LEN(INDEX(FILTER(I$1:I2099, I$1:I2099&lt;&gt;""""),COUNTA(FILTER(I$1:I2099, I$1:I2099&lt;&gt;""""))))-1), IF('To Order'!$A2100=COL"&amp;"UMNS($A2100:I2119), I2099&amp;RIGHT(INDIRECT(ADDRESS(ROW(I2100)-1, 'From Order'!$A2100)), 1), I2099))"),"DTCTMZHPR")</f>
        <v>DTCTMZHPR</v>
      </c>
    </row>
    <row r="2101">
      <c r="A2101" s="2" t="str">
        <f>IFERROR(__xludf.DUMMYFUNCTION("IF('From Order'!$A2101=COLUMNS($A2101:A2120), LEFT(INDEX(FILTER(A$1:A2100, A$1:A2100&lt;&gt;""""),COUNTA(FILTER(A$1:A2100, A$1:A2100&lt;&gt;""""))), LEN(INDEX(FILTER(A$1:A2100, A$1:A2100&lt;&gt;""""),COUNTA(FILTER(A$1:A2100, A$1:A2100&lt;&gt;""""))))-1), IF('To Order'!$A2101=COL"&amp;"UMNS($A2101:A2120), A2100&amp;RIGHT(INDIRECT(ADDRESS(ROW(A2101)-1, 'From Order'!$A2101)), 1), A2100))"),"DSPBFLLWDDVQZDMTTGMJRRLC")</f>
        <v>DSPBFLLWDDVQZDMTTGMJRRLC</v>
      </c>
      <c r="B2101" s="2" t="str">
        <f>IFERROR(__xludf.DUMMYFUNCTION("IF('From Order'!$A2101=COLUMNS($A2101:B2120), LEFT(INDEX(FILTER(B$1:B2100, B$1:B2100&lt;&gt;""""),COUNTA(FILTER(B$1:B2100, B$1:B2100&lt;&gt;""""))), LEN(INDEX(FILTER(B$1:B2100, B$1:B2100&lt;&gt;""""),COUNTA(FILTER(B$1:B2100, B$1:B2100&lt;&gt;""""))))-1), IF('To Order'!$A2101=COL"&amp;"UMNS($A2101:B2120), B2100&amp;RIGHT(INDIRECT(ADDRESS(ROW(B2101)-1, 'From Order'!$A2101)), 1), B2100))"),"JDPSST")</f>
        <v>JDPSST</v>
      </c>
      <c r="C2101" s="2" t="str">
        <f>IFERROR(__xludf.DUMMYFUNCTION("IF('From Order'!$A2101=COLUMNS($A2101:C2120), LEFT(INDEX(FILTER(C$1:C2100, C$1:C2100&lt;&gt;""""),COUNTA(FILTER(C$1:C2100, C$1:C2100&lt;&gt;""""))), LEN(INDEX(FILTER(C$1:C2100, C$1:C2100&lt;&gt;""""),COUNTA(FILTER(C$1:C2100, C$1:C2100&lt;&gt;""""))))-1), IF('To Order'!$A2101=COL"&amp;"UMNS($A2101:C2120), C2100&amp;RIGHT(INDIRECT(ADDRESS(ROW(C2101)-1, 'From Order'!$A2101)), 1), C2100))"),"V")</f>
        <v>V</v>
      </c>
      <c r="D2101" s="2" t="str">
        <f>IFERROR(__xludf.DUMMYFUNCTION("IF('From Order'!$A2101=COLUMNS($A2101:D2120), LEFT(INDEX(FILTER(D$1:D2100, D$1:D2100&lt;&gt;""""),COUNTA(FILTER(D$1:D2100, D$1:D2100&lt;&gt;""""))), LEN(INDEX(FILTER(D$1:D2100, D$1:D2100&lt;&gt;""""),COUNTA(FILTER(D$1:D2100, D$1:D2100&lt;&gt;""""))))-1), IF('To Order'!$A2101=COL"&amp;"UMNS($A2101:D2120), D2100&amp;RIGHT(INDIRECT(ADDRESS(ROW(D2101)-1, 'From Order'!$A2101)), 1), D2100))"),"RBJVBBH")</f>
        <v>RBJVBBH</v>
      </c>
      <c r="E2101" s="2" t="str">
        <f>IFERROR(__xludf.DUMMYFUNCTION("IF('From Order'!$A2101=COLUMNS($A2101:E2120), LEFT(INDEX(FILTER(E$1:E2100, E$1:E2100&lt;&gt;""""),COUNTA(FILTER(E$1:E2100, E$1:E2100&lt;&gt;""""))), LEN(INDEX(FILTER(E$1:E2100, E$1:E2100&lt;&gt;""""),COUNTA(FILTER(E$1:E2100, E$1:E2100&lt;&gt;""""))))-1), IF('To Order'!$A2101=COL"&amp;"UMNS($A2101:E2120), E2100&amp;RIGHT(INDIRECT(ADDRESS(ROW(E2101)-1, 'From Order'!$A2101)), 1), E2100))"),"FSCZR")</f>
        <v>FSCZR</v>
      </c>
      <c r="F2101" s="2" t="str">
        <f>IFERROR(__xludf.DUMMYFUNCTION("IF('From Order'!$A2101=COLUMNS($A2101:F2120), LEFT(INDEX(FILTER(F$1:F2100, F$1:F2100&lt;&gt;""""),COUNTA(FILTER(F$1:F2100, F$1:F2100&lt;&gt;""""))), LEN(INDEX(FILTER(F$1:F2100, F$1:F2100&lt;&gt;""""),COUNTA(FILTER(F$1:F2100, F$1:F2100&lt;&gt;""""))))-1), IF('To Order'!$A2101=COL"&amp;"UMNS($A2101:F2120), F2100&amp;RIGHT(INDIRECT(ADDRESS(ROW(F2101)-1, 'From Order'!$A2101)), 1), F2100))"),"")</f>
        <v/>
      </c>
      <c r="G2101" s="2" t="str">
        <f>IFERROR(__xludf.DUMMYFUNCTION("IF('From Order'!$A2101=COLUMNS($A2101:G2120), LEFT(INDEX(FILTER(G$1:G2100, G$1:G2100&lt;&gt;""""),COUNTA(FILTER(G$1:G2100, G$1:G2100&lt;&gt;""""))), LEN(INDEX(FILTER(G$1:G2100, G$1:G2100&lt;&gt;""""),COUNTA(FILTER(G$1:G2100, G$1:G2100&lt;&gt;""""))))-1), IF('To Order'!$A2101=COL"&amp;"UMNS($A2101:G2120), G2100&amp;RIGHT(INDIRECT(ADDRESS(ROW(G2101)-1, 'From Order'!$A2101)), 1), G2100))"),"GW")</f>
        <v>GW</v>
      </c>
      <c r="H2101" s="2" t="str">
        <f>IFERROR(__xludf.DUMMYFUNCTION("IF('From Order'!$A2101=COLUMNS($A2101:H2120), LEFT(INDEX(FILTER(H$1:H2100, H$1:H2100&lt;&gt;""""),COUNTA(FILTER(H$1:H2100, H$1:H2100&lt;&gt;""""))), LEN(INDEX(FILTER(H$1:H2100, H$1:H2100&lt;&gt;""""),COUNTA(FILTER(H$1:H2100, H$1:H2100&lt;&gt;""""))))-1), IF('To Order'!$A2101=COL"&amp;"UMNS($A2101:H2120), H2100&amp;RIGHT(INDIRECT(ADDRESS(ROW(H2101)-1, 'From Order'!$A2101)), 1), H2100))"),"QT")</f>
        <v>QT</v>
      </c>
      <c r="I2101" s="2" t="str">
        <f>IFERROR(__xludf.DUMMYFUNCTION("IF('From Order'!$A2101=COLUMNS($A2101:I2120), LEFT(INDEX(FILTER(I$1:I2100, I$1:I2100&lt;&gt;""""),COUNTA(FILTER(I$1:I2100, I$1:I2100&lt;&gt;""""))), LEN(INDEX(FILTER(I$1:I2100, I$1:I2100&lt;&gt;""""),COUNTA(FILTER(I$1:I2100, I$1:I2100&lt;&gt;""""))))-1), IF('To Order'!$A2101=COL"&amp;"UMNS($A2101:I2120), I2100&amp;RIGHT(INDIRECT(ADDRESS(ROW(I2101)-1, 'From Order'!$A2101)), 1), I2100))"),"DTCTMZHPR")</f>
        <v>DTCTMZHPR</v>
      </c>
    </row>
    <row r="2102">
      <c r="A2102" s="2" t="str">
        <f>IFERROR(__xludf.DUMMYFUNCTION("IF('From Order'!$A2102=COLUMNS($A2102:A2121), LEFT(INDEX(FILTER(A$1:A2101, A$1:A2101&lt;&gt;""""),COUNTA(FILTER(A$1:A2101, A$1:A2101&lt;&gt;""""))), LEN(INDEX(FILTER(A$1:A2101, A$1:A2101&lt;&gt;""""),COUNTA(FILTER(A$1:A2101, A$1:A2101&lt;&gt;""""))))-1), IF('To Order'!$A2102=COL"&amp;"UMNS($A2102:A2121), A2101&amp;RIGHT(INDIRECT(ADDRESS(ROW(A2102)-1, 'From Order'!$A2102)), 1), A2101))"),"DSPBFLLWDDVQZDMTTGMJRRLCH")</f>
        <v>DSPBFLLWDDVQZDMTTGMJRRLCH</v>
      </c>
      <c r="B2102" s="2" t="str">
        <f>IFERROR(__xludf.DUMMYFUNCTION("IF('From Order'!$A2102=COLUMNS($A2102:B2121), LEFT(INDEX(FILTER(B$1:B2101, B$1:B2101&lt;&gt;""""),COUNTA(FILTER(B$1:B2101, B$1:B2101&lt;&gt;""""))), LEN(INDEX(FILTER(B$1:B2101, B$1:B2101&lt;&gt;""""),COUNTA(FILTER(B$1:B2101, B$1:B2101&lt;&gt;""""))))-1), IF('To Order'!$A2102=COL"&amp;"UMNS($A2102:B2121), B2101&amp;RIGHT(INDIRECT(ADDRESS(ROW(B2102)-1, 'From Order'!$A2102)), 1), B2101))"),"JDPSST")</f>
        <v>JDPSST</v>
      </c>
      <c r="C2102" s="2" t="str">
        <f>IFERROR(__xludf.DUMMYFUNCTION("IF('From Order'!$A2102=COLUMNS($A2102:C2121), LEFT(INDEX(FILTER(C$1:C2101, C$1:C2101&lt;&gt;""""),COUNTA(FILTER(C$1:C2101, C$1:C2101&lt;&gt;""""))), LEN(INDEX(FILTER(C$1:C2101, C$1:C2101&lt;&gt;""""),COUNTA(FILTER(C$1:C2101, C$1:C2101&lt;&gt;""""))))-1), IF('To Order'!$A2102=COL"&amp;"UMNS($A2102:C2121), C2101&amp;RIGHT(INDIRECT(ADDRESS(ROW(C2102)-1, 'From Order'!$A2102)), 1), C2101))"),"V")</f>
        <v>V</v>
      </c>
      <c r="D2102" s="2" t="str">
        <f>IFERROR(__xludf.DUMMYFUNCTION("IF('From Order'!$A2102=COLUMNS($A2102:D2121), LEFT(INDEX(FILTER(D$1:D2101, D$1:D2101&lt;&gt;""""),COUNTA(FILTER(D$1:D2101, D$1:D2101&lt;&gt;""""))), LEN(INDEX(FILTER(D$1:D2101, D$1:D2101&lt;&gt;""""),COUNTA(FILTER(D$1:D2101, D$1:D2101&lt;&gt;""""))))-1), IF('To Order'!$A2102=COL"&amp;"UMNS($A2102:D2121), D2101&amp;RIGHT(INDIRECT(ADDRESS(ROW(D2102)-1, 'From Order'!$A2102)), 1), D2101))"),"RBJVBB")</f>
        <v>RBJVBB</v>
      </c>
      <c r="E2102" s="2" t="str">
        <f>IFERROR(__xludf.DUMMYFUNCTION("IF('From Order'!$A2102=COLUMNS($A2102:E2121), LEFT(INDEX(FILTER(E$1:E2101, E$1:E2101&lt;&gt;""""),COUNTA(FILTER(E$1:E2101, E$1:E2101&lt;&gt;""""))), LEN(INDEX(FILTER(E$1:E2101, E$1:E2101&lt;&gt;""""),COUNTA(FILTER(E$1:E2101, E$1:E2101&lt;&gt;""""))))-1), IF('To Order'!$A2102=COL"&amp;"UMNS($A2102:E2121), E2101&amp;RIGHT(INDIRECT(ADDRESS(ROW(E2102)-1, 'From Order'!$A2102)), 1), E2101))"),"FSCZR")</f>
        <v>FSCZR</v>
      </c>
      <c r="F2102" s="2" t="str">
        <f>IFERROR(__xludf.DUMMYFUNCTION("IF('From Order'!$A2102=COLUMNS($A2102:F2121), LEFT(INDEX(FILTER(F$1:F2101, F$1:F2101&lt;&gt;""""),COUNTA(FILTER(F$1:F2101, F$1:F2101&lt;&gt;""""))), LEN(INDEX(FILTER(F$1:F2101, F$1:F2101&lt;&gt;""""),COUNTA(FILTER(F$1:F2101, F$1:F2101&lt;&gt;""""))))-1), IF('To Order'!$A2102=COL"&amp;"UMNS($A2102:F2121), F2101&amp;RIGHT(INDIRECT(ADDRESS(ROW(F2102)-1, 'From Order'!$A2102)), 1), F2101))"),"")</f>
        <v/>
      </c>
      <c r="G2102" s="2" t="str">
        <f>IFERROR(__xludf.DUMMYFUNCTION("IF('From Order'!$A2102=COLUMNS($A2102:G2121), LEFT(INDEX(FILTER(G$1:G2101, G$1:G2101&lt;&gt;""""),COUNTA(FILTER(G$1:G2101, G$1:G2101&lt;&gt;""""))), LEN(INDEX(FILTER(G$1:G2101, G$1:G2101&lt;&gt;""""),COUNTA(FILTER(G$1:G2101, G$1:G2101&lt;&gt;""""))))-1), IF('To Order'!$A2102=COL"&amp;"UMNS($A2102:G2121), G2101&amp;RIGHT(INDIRECT(ADDRESS(ROW(G2102)-1, 'From Order'!$A2102)), 1), G2101))"),"GW")</f>
        <v>GW</v>
      </c>
      <c r="H2102" s="2" t="str">
        <f>IFERROR(__xludf.DUMMYFUNCTION("IF('From Order'!$A2102=COLUMNS($A2102:H2121), LEFT(INDEX(FILTER(H$1:H2101, H$1:H2101&lt;&gt;""""),COUNTA(FILTER(H$1:H2101, H$1:H2101&lt;&gt;""""))), LEN(INDEX(FILTER(H$1:H2101, H$1:H2101&lt;&gt;""""),COUNTA(FILTER(H$1:H2101, H$1:H2101&lt;&gt;""""))))-1), IF('To Order'!$A2102=COL"&amp;"UMNS($A2102:H2121), H2101&amp;RIGHT(INDIRECT(ADDRESS(ROW(H2102)-1, 'From Order'!$A2102)), 1), H2101))"),"QT")</f>
        <v>QT</v>
      </c>
      <c r="I2102" s="2" t="str">
        <f>IFERROR(__xludf.DUMMYFUNCTION("IF('From Order'!$A2102=COLUMNS($A2102:I2121), LEFT(INDEX(FILTER(I$1:I2101, I$1:I2101&lt;&gt;""""),COUNTA(FILTER(I$1:I2101, I$1:I2101&lt;&gt;""""))), LEN(INDEX(FILTER(I$1:I2101, I$1:I2101&lt;&gt;""""),COUNTA(FILTER(I$1:I2101, I$1:I2101&lt;&gt;""""))))-1), IF('To Order'!$A2102=COL"&amp;"UMNS($A2102:I2121), I2101&amp;RIGHT(INDIRECT(ADDRESS(ROW(I2102)-1, 'From Order'!$A2102)), 1), I2101))"),"DTCTMZHPR")</f>
        <v>DTCTMZHPR</v>
      </c>
    </row>
    <row r="2103">
      <c r="A2103" s="2" t="str">
        <f>IFERROR(__xludf.DUMMYFUNCTION("IF('From Order'!$A2103=COLUMNS($A2103:A2122), LEFT(INDEX(FILTER(A$1:A2102, A$1:A2102&lt;&gt;""""),COUNTA(FILTER(A$1:A2102, A$1:A2102&lt;&gt;""""))), LEN(INDEX(FILTER(A$1:A2102, A$1:A2102&lt;&gt;""""),COUNTA(FILTER(A$1:A2102, A$1:A2102&lt;&gt;""""))))-1), IF('To Order'!$A2103=COL"&amp;"UMNS($A2103:A2122), A2102&amp;RIGHT(INDIRECT(ADDRESS(ROW(A2103)-1, 'From Order'!$A2103)), 1), A2102))"),"DSPBFLLWDDVQZDMTTGMJRRLCHB")</f>
        <v>DSPBFLLWDDVQZDMTTGMJRRLCHB</v>
      </c>
      <c r="B2103" s="2" t="str">
        <f>IFERROR(__xludf.DUMMYFUNCTION("IF('From Order'!$A2103=COLUMNS($A2103:B2122), LEFT(INDEX(FILTER(B$1:B2102, B$1:B2102&lt;&gt;""""),COUNTA(FILTER(B$1:B2102, B$1:B2102&lt;&gt;""""))), LEN(INDEX(FILTER(B$1:B2102, B$1:B2102&lt;&gt;""""),COUNTA(FILTER(B$1:B2102, B$1:B2102&lt;&gt;""""))))-1), IF('To Order'!$A2103=COL"&amp;"UMNS($A2103:B2122), B2102&amp;RIGHT(INDIRECT(ADDRESS(ROW(B2103)-1, 'From Order'!$A2103)), 1), B2102))"),"JDPSST")</f>
        <v>JDPSST</v>
      </c>
      <c r="C2103" s="2" t="str">
        <f>IFERROR(__xludf.DUMMYFUNCTION("IF('From Order'!$A2103=COLUMNS($A2103:C2122), LEFT(INDEX(FILTER(C$1:C2102, C$1:C2102&lt;&gt;""""),COUNTA(FILTER(C$1:C2102, C$1:C2102&lt;&gt;""""))), LEN(INDEX(FILTER(C$1:C2102, C$1:C2102&lt;&gt;""""),COUNTA(FILTER(C$1:C2102, C$1:C2102&lt;&gt;""""))))-1), IF('To Order'!$A2103=COL"&amp;"UMNS($A2103:C2122), C2102&amp;RIGHT(INDIRECT(ADDRESS(ROW(C2103)-1, 'From Order'!$A2103)), 1), C2102))"),"V")</f>
        <v>V</v>
      </c>
      <c r="D2103" s="2" t="str">
        <f>IFERROR(__xludf.DUMMYFUNCTION("IF('From Order'!$A2103=COLUMNS($A2103:D2122), LEFT(INDEX(FILTER(D$1:D2102, D$1:D2102&lt;&gt;""""),COUNTA(FILTER(D$1:D2102, D$1:D2102&lt;&gt;""""))), LEN(INDEX(FILTER(D$1:D2102, D$1:D2102&lt;&gt;""""),COUNTA(FILTER(D$1:D2102, D$1:D2102&lt;&gt;""""))))-1), IF('To Order'!$A2103=COL"&amp;"UMNS($A2103:D2122), D2102&amp;RIGHT(INDIRECT(ADDRESS(ROW(D2103)-1, 'From Order'!$A2103)), 1), D2102))"),"RBJVB")</f>
        <v>RBJVB</v>
      </c>
      <c r="E2103" s="2" t="str">
        <f>IFERROR(__xludf.DUMMYFUNCTION("IF('From Order'!$A2103=COLUMNS($A2103:E2122), LEFT(INDEX(FILTER(E$1:E2102, E$1:E2102&lt;&gt;""""),COUNTA(FILTER(E$1:E2102, E$1:E2102&lt;&gt;""""))), LEN(INDEX(FILTER(E$1:E2102, E$1:E2102&lt;&gt;""""),COUNTA(FILTER(E$1:E2102, E$1:E2102&lt;&gt;""""))))-1), IF('To Order'!$A2103=COL"&amp;"UMNS($A2103:E2122), E2102&amp;RIGHT(INDIRECT(ADDRESS(ROW(E2103)-1, 'From Order'!$A2103)), 1), E2102))"),"FSCZR")</f>
        <v>FSCZR</v>
      </c>
      <c r="F2103" s="2" t="str">
        <f>IFERROR(__xludf.DUMMYFUNCTION("IF('From Order'!$A2103=COLUMNS($A2103:F2122), LEFT(INDEX(FILTER(F$1:F2102, F$1:F2102&lt;&gt;""""),COUNTA(FILTER(F$1:F2102, F$1:F2102&lt;&gt;""""))), LEN(INDEX(FILTER(F$1:F2102, F$1:F2102&lt;&gt;""""),COUNTA(FILTER(F$1:F2102, F$1:F2102&lt;&gt;""""))))-1), IF('To Order'!$A2103=COL"&amp;"UMNS($A2103:F2122), F2102&amp;RIGHT(INDIRECT(ADDRESS(ROW(F2103)-1, 'From Order'!$A2103)), 1), F2102))"),"")</f>
        <v/>
      </c>
      <c r="G2103" s="2" t="str">
        <f>IFERROR(__xludf.DUMMYFUNCTION("IF('From Order'!$A2103=COLUMNS($A2103:G2122), LEFT(INDEX(FILTER(G$1:G2102, G$1:G2102&lt;&gt;""""),COUNTA(FILTER(G$1:G2102, G$1:G2102&lt;&gt;""""))), LEN(INDEX(FILTER(G$1:G2102, G$1:G2102&lt;&gt;""""),COUNTA(FILTER(G$1:G2102, G$1:G2102&lt;&gt;""""))))-1), IF('To Order'!$A2103=COL"&amp;"UMNS($A2103:G2122), G2102&amp;RIGHT(INDIRECT(ADDRESS(ROW(G2103)-1, 'From Order'!$A2103)), 1), G2102))"),"GW")</f>
        <v>GW</v>
      </c>
      <c r="H2103" s="2" t="str">
        <f>IFERROR(__xludf.DUMMYFUNCTION("IF('From Order'!$A2103=COLUMNS($A2103:H2122), LEFT(INDEX(FILTER(H$1:H2102, H$1:H2102&lt;&gt;""""),COUNTA(FILTER(H$1:H2102, H$1:H2102&lt;&gt;""""))), LEN(INDEX(FILTER(H$1:H2102, H$1:H2102&lt;&gt;""""),COUNTA(FILTER(H$1:H2102, H$1:H2102&lt;&gt;""""))))-1), IF('To Order'!$A2103=COL"&amp;"UMNS($A2103:H2122), H2102&amp;RIGHT(INDIRECT(ADDRESS(ROW(H2103)-1, 'From Order'!$A2103)), 1), H2102))"),"QT")</f>
        <v>QT</v>
      </c>
      <c r="I2103" s="2" t="str">
        <f>IFERROR(__xludf.DUMMYFUNCTION("IF('From Order'!$A2103=COLUMNS($A2103:I2122), LEFT(INDEX(FILTER(I$1:I2102, I$1:I2102&lt;&gt;""""),COUNTA(FILTER(I$1:I2102, I$1:I2102&lt;&gt;""""))), LEN(INDEX(FILTER(I$1:I2102, I$1:I2102&lt;&gt;""""),COUNTA(FILTER(I$1:I2102, I$1:I2102&lt;&gt;""""))))-1), IF('To Order'!$A2103=COL"&amp;"UMNS($A2103:I2122), I2102&amp;RIGHT(INDIRECT(ADDRESS(ROW(I2103)-1, 'From Order'!$A2103)), 1), I2102))"),"DTCTMZHPR")</f>
        <v>DTCTMZHPR</v>
      </c>
    </row>
    <row r="2104">
      <c r="A2104" s="2" t="str">
        <f>IFERROR(__xludf.DUMMYFUNCTION("IF('From Order'!$A2104=COLUMNS($A2104:A2123), LEFT(INDEX(FILTER(A$1:A2103, A$1:A2103&lt;&gt;""""),COUNTA(FILTER(A$1:A2103, A$1:A2103&lt;&gt;""""))), LEN(INDEX(FILTER(A$1:A2103, A$1:A2103&lt;&gt;""""),COUNTA(FILTER(A$1:A2103, A$1:A2103&lt;&gt;""""))))-1), IF('To Order'!$A2104=COL"&amp;"UMNS($A2104:A2123), A2103&amp;RIGHT(INDIRECT(ADDRESS(ROW(A2104)-1, 'From Order'!$A2104)), 1), A2103))"),"DSPBFLLWDDVQZDMTTGMJRRLCH")</f>
        <v>DSPBFLLWDDVQZDMTTGMJRRLCH</v>
      </c>
      <c r="B2104" s="2" t="str">
        <f>IFERROR(__xludf.DUMMYFUNCTION("IF('From Order'!$A2104=COLUMNS($A2104:B2123), LEFT(INDEX(FILTER(B$1:B2103, B$1:B2103&lt;&gt;""""),COUNTA(FILTER(B$1:B2103, B$1:B2103&lt;&gt;""""))), LEN(INDEX(FILTER(B$1:B2103, B$1:B2103&lt;&gt;""""),COUNTA(FILTER(B$1:B2103, B$1:B2103&lt;&gt;""""))))-1), IF('To Order'!$A2104=COL"&amp;"UMNS($A2104:B2123), B2103&amp;RIGHT(INDIRECT(ADDRESS(ROW(B2104)-1, 'From Order'!$A2104)), 1), B2103))"),"JDPSST")</f>
        <v>JDPSST</v>
      </c>
      <c r="C2104" s="2" t="str">
        <f>IFERROR(__xludf.DUMMYFUNCTION("IF('From Order'!$A2104=COLUMNS($A2104:C2123), LEFT(INDEX(FILTER(C$1:C2103, C$1:C2103&lt;&gt;""""),COUNTA(FILTER(C$1:C2103, C$1:C2103&lt;&gt;""""))), LEN(INDEX(FILTER(C$1:C2103, C$1:C2103&lt;&gt;""""),COUNTA(FILTER(C$1:C2103, C$1:C2103&lt;&gt;""""))))-1), IF('To Order'!$A2104=COL"&amp;"UMNS($A2104:C2123), C2103&amp;RIGHT(INDIRECT(ADDRESS(ROW(C2104)-1, 'From Order'!$A2104)), 1), C2103))"),"VB")</f>
        <v>VB</v>
      </c>
      <c r="D2104" s="2" t="str">
        <f>IFERROR(__xludf.DUMMYFUNCTION("IF('From Order'!$A2104=COLUMNS($A2104:D2123), LEFT(INDEX(FILTER(D$1:D2103, D$1:D2103&lt;&gt;""""),COUNTA(FILTER(D$1:D2103, D$1:D2103&lt;&gt;""""))), LEN(INDEX(FILTER(D$1:D2103, D$1:D2103&lt;&gt;""""),COUNTA(FILTER(D$1:D2103, D$1:D2103&lt;&gt;""""))))-1), IF('To Order'!$A2104=COL"&amp;"UMNS($A2104:D2123), D2103&amp;RIGHT(INDIRECT(ADDRESS(ROW(D2104)-1, 'From Order'!$A2104)), 1), D2103))"),"RBJVB")</f>
        <v>RBJVB</v>
      </c>
      <c r="E2104" s="2" t="str">
        <f>IFERROR(__xludf.DUMMYFUNCTION("IF('From Order'!$A2104=COLUMNS($A2104:E2123), LEFT(INDEX(FILTER(E$1:E2103, E$1:E2103&lt;&gt;""""),COUNTA(FILTER(E$1:E2103, E$1:E2103&lt;&gt;""""))), LEN(INDEX(FILTER(E$1:E2103, E$1:E2103&lt;&gt;""""),COUNTA(FILTER(E$1:E2103, E$1:E2103&lt;&gt;""""))))-1), IF('To Order'!$A2104=COL"&amp;"UMNS($A2104:E2123), E2103&amp;RIGHT(INDIRECT(ADDRESS(ROW(E2104)-1, 'From Order'!$A2104)), 1), E2103))"),"FSCZR")</f>
        <v>FSCZR</v>
      </c>
      <c r="F2104" s="2" t="str">
        <f>IFERROR(__xludf.DUMMYFUNCTION("IF('From Order'!$A2104=COLUMNS($A2104:F2123), LEFT(INDEX(FILTER(F$1:F2103, F$1:F2103&lt;&gt;""""),COUNTA(FILTER(F$1:F2103, F$1:F2103&lt;&gt;""""))), LEN(INDEX(FILTER(F$1:F2103, F$1:F2103&lt;&gt;""""),COUNTA(FILTER(F$1:F2103, F$1:F2103&lt;&gt;""""))))-1), IF('To Order'!$A2104=COL"&amp;"UMNS($A2104:F2123), F2103&amp;RIGHT(INDIRECT(ADDRESS(ROW(F2104)-1, 'From Order'!$A2104)), 1), F2103))"),"")</f>
        <v/>
      </c>
      <c r="G2104" s="2" t="str">
        <f>IFERROR(__xludf.DUMMYFUNCTION("IF('From Order'!$A2104=COLUMNS($A2104:G2123), LEFT(INDEX(FILTER(G$1:G2103, G$1:G2103&lt;&gt;""""),COUNTA(FILTER(G$1:G2103, G$1:G2103&lt;&gt;""""))), LEN(INDEX(FILTER(G$1:G2103, G$1:G2103&lt;&gt;""""),COUNTA(FILTER(G$1:G2103, G$1:G2103&lt;&gt;""""))))-1), IF('To Order'!$A2104=COL"&amp;"UMNS($A2104:G2123), G2103&amp;RIGHT(INDIRECT(ADDRESS(ROW(G2104)-1, 'From Order'!$A2104)), 1), G2103))"),"GW")</f>
        <v>GW</v>
      </c>
      <c r="H2104" s="2" t="str">
        <f>IFERROR(__xludf.DUMMYFUNCTION("IF('From Order'!$A2104=COLUMNS($A2104:H2123), LEFT(INDEX(FILTER(H$1:H2103, H$1:H2103&lt;&gt;""""),COUNTA(FILTER(H$1:H2103, H$1:H2103&lt;&gt;""""))), LEN(INDEX(FILTER(H$1:H2103, H$1:H2103&lt;&gt;""""),COUNTA(FILTER(H$1:H2103, H$1:H2103&lt;&gt;""""))))-1), IF('To Order'!$A2104=COL"&amp;"UMNS($A2104:H2123), H2103&amp;RIGHT(INDIRECT(ADDRESS(ROW(H2104)-1, 'From Order'!$A2104)), 1), H2103))"),"QT")</f>
        <v>QT</v>
      </c>
      <c r="I2104" s="2" t="str">
        <f>IFERROR(__xludf.DUMMYFUNCTION("IF('From Order'!$A2104=COLUMNS($A2104:I2123), LEFT(INDEX(FILTER(I$1:I2103, I$1:I2103&lt;&gt;""""),COUNTA(FILTER(I$1:I2103, I$1:I2103&lt;&gt;""""))), LEN(INDEX(FILTER(I$1:I2103, I$1:I2103&lt;&gt;""""),COUNTA(FILTER(I$1:I2103, I$1:I2103&lt;&gt;""""))))-1), IF('To Order'!$A2104=COL"&amp;"UMNS($A2104:I2123), I2103&amp;RIGHT(INDIRECT(ADDRESS(ROW(I2104)-1, 'From Order'!$A2104)), 1), I2103))"),"DTCTMZHPR")</f>
        <v>DTCTMZHPR</v>
      </c>
    </row>
    <row r="2105">
      <c r="A2105" s="2" t="str">
        <f>IFERROR(__xludf.DUMMYFUNCTION("IF('From Order'!$A2105=COLUMNS($A2105:A2124), LEFT(INDEX(FILTER(A$1:A2104, A$1:A2104&lt;&gt;""""),COUNTA(FILTER(A$1:A2104, A$1:A2104&lt;&gt;""""))), LEN(INDEX(FILTER(A$1:A2104, A$1:A2104&lt;&gt;""""),COUNTA(FILTER(A$1:A2104, A$1:A2104&lt;&gt;""""))))-1), IF('To Order'!$A2105=COL"&amp;"UMNS($A2105:A2124), A2104&amp;RIGHT(INDIRECT(ADDRESS(ROW(A2105)-1, 'From Order'!$A2105)), 1), A2104))"),"DSPBFLLWDDVQZDMTTGMJRRLC")</f>
        <v>DSPBFLLWDDVQZDMTTGMJRRLC</v>
      </c>
      <c r="B2105" s="2" t="str">
        <f>IFERROR(__xludf.DUMMYFUNCTION("IF('From Order'!$A2105=COLUMNS($A2105:B2124), LEFT(INDEX(FILTER(B$1:B2104, B$1:B2104&lt;&gt;""""),COUNTA(FILTER(B$1:B2104, B$1:B2104&lt;&gt;""""))), LEN(INDEX(FILTER(B$1:B2104, B$1:B2104&lt;&gt;""""),COUNTA(FILTER(B$1:B2104, B$1:B2104&lt;&gt;""""))))-1), IF('To Order'!$A2105=COL"&amp;"UMNS($A2105:B2124), B2104&amp;RIGHT(INDIRECT(ADDRESS(ROW(B2105)-1, 'From Order'!$A2105)), 1), B2104))"),"JDPSST")</f>
        <v>JDPSST</v>
      </c>
      <c r="C2105" s="2" t="str">
        <f>IFERROR(__xludf.DUMMYFUNCTION("IF('From Order'!$A2105=COLUMNS($A2105:C2124), LEFT(INDEX(FILTER(C$1:C2104, C$1:C2104&lt;&gt;""""),COUNTA(FILTER(C$1:C2104, C$1:C2104&lt;&gt;""""))), LEN(INDEX(FILTER(C$1:C2104, C$1:C2104&lt;&gt;""""),COUNTA(FILTER(C$1:C2104, C$1:C2104&lt;&gt;""""))))-1), IF('To Order'!$A2105=COL"&amp;"UMNS($A2105:C2124), C2104&amp;RIGHT(INDIRECT(ADDRESS(ROW(C2105)-1, 'From Order'!$A2105)), 1), C2104))"),"VBH")</f>
        <v>VBH</v>
      </c>
      <c r="D2105" s="2" t="str">
        <f>IFERROR(__xludf.DUMMYFUNCTION("IF('From Order'!$A2105=COLUMNS($A2105:D2124), LEFT(INDEX(FILTER(D$1:D2104, D$1:D2104&lt;&gt;""""),COUNTA(FILTER(D$1:D2104, D$1:D2104&lt;&gt;""""))), LEN(INDEX(FILTER(D$1:D2104, D$1:D2104&lt;&gt;""""),COUNTA(FILTER(D$1:D2104, D$1:D2104&lt;&gt;""""))))-1), IF('To Order'!$A2105=COL"&amp;"UMNS($A2105:D2124), D2104&amp;RIGHT(INDIRECT(ADDRESS(ROW(D2105)-1, 'From Order'!$A2105)), 1), D2104))"),"RBJVB")</f>
        <v>RBJVB</v>
      </c>
      <c r="E2105" s="2" t="str">
        <f>IFERROR(__xludf.DUMMYFUNCTION("IF('From Order'!$A2105=COLUMNS($A2105:E2124), LEFT(INDEX(FILTER(E$1:E2104, E$1:E2104&lt;&gt;""""),COUNTA(FILTER(E$1:E2104, E$1:E2104&lt;&gt;""""))), LEN(INDEX(FILTER(E$1:E2104, E$1:E2104&lt;&gt;""""),COUNTA(FILTER(E$1:E2104, E$1:E2104&lt;&gt;""""))))-1), IF('To Order'!$A2105=COL"&amp;"UMNS($A2105:E2124), E2104&amp;RIGHT(INDIRECT(ADDRESS(ROW(E2105)-1, 'From Order'!$A2105)), 1), E2104))"),"FSCZR")</f>
        <v>FSCZR</v>
      </c>
      <c r="F2105" s="2" t="str">
        <f>IFERROR(__xludf.DUMMYFUNCTION("IF('From Order'!$A2105=COLUMNS($A2105:F2124), LEFT(INDEX(FILTER(F$1:F2104, F$1:F2104&lt;&gt;""""),COUNTA(FILTER(F$1:F2104, F$1:F2104&lt;&gt;""""))), LEN(INDEX(FILTER(F$1:F2104, F$1:F2104&lt;&gt;""""),COUNTA(FILTER(F$1:F2104, F$1:F2104&lt;&gt;""""))))-1), IF('To Order'!$A2105=COL"&amp;"UMNS($A2105:F2124), F2104&amp;RIGHT(INDIRECT(ADDRESS(ROW(F2105)-1, 'From Order'!$A2105)), 1), F2104))"),"")</f>
        <v/>
      </c>
      <c r="G2105" s="2" t="str">
        <f>IFERROR(__xludf.DUMMYFUNCTION("IF('From Order'!$A2105=COLUMNS($A2105:G2124), LEFT(INDEX(FILTER(G$1:G2104, G$1:G2104&lt;&gt;""""),COUNTA(FILTER(G$1:G2104, G$1:G2104&lt;&gt;""""))), LEN(INDEX(FILTER(G$1:G2104, G$1:G2104&lt;&gt;""""),COUNTA(FILTER(G$1:G2104, G$1:G2104&lt;&gt;""""))))-1), IF('To Order'!$A2105=COL"&amp;"UMNS($A2105:G2124), G2104&amp;RIGHT(INDIRECT(ADDRESS(ROW(G2105)-1, 'From Order'!$A2105)), 1), G2104))"),"GW")</f>
        <v>GW</v>
      </c>
      <c r="H2105" s="2" t="str">
        <f>IFERROR(__xludf.DUMMYFUNCTION("IF('From Order'!$A2105=COLUMNS($A2105:H2124), LEFT(INDEX(FILTER(H$1:H2104, H$1:H2104&lt;&gt;""""),COUNTA(FILTER(H$1:H2104, H$1:H2104&lt;&gt;""""))), LEN(INDEX(FILTER(H$1:H2104, H$1:H2104&lt;&gt;""""),COUNTA(FILTER(H$1:H2104, H$1:H2104&lt;&gt;""""))))-1), IF('To Order'!$A2105=COL"&amp;"UMNS($A2105:H2124), H2104&amp;RIGHT(INDIRECT(ADDRESS(ROW(H2105)-1, 'From Order'!$A2105)), 1), H2104))"),"QT")</f>
        <v>QT</v>
      </c>
      <c r="I2105" s="2" t="str">
        <f>IFERROR(__xludf.DUMMYFUNCTION("IF('From Order'!$A2105=COLUMNS($A2105:I2124), LEFT(INDEX(FILTER(I$1:I2104, I$1:I2104&lt;&gt;""""),COUNTA(FILTER(I$1:I2104, I$1:I2104&lt;&gt;""""))), LEN(INDEX(FILTER(I$1:I2104, I$1:I2104&lt;&gt;""""),COUNTA(FILTER(I$1:I2104, I$1:I2104&lt;&gt;""""))))-1), IF('To Order'!$A2105=COL"&amp;"UMNS($A2105:I2124), I2104&amp;RIGHT(INDIRECT(ADDRESS(ROW(I2105)-1, 'From Order'!$A2105)), 1), I2104))"),"DTCTMZHPR")</f>
        <v>DTCTMZHPR</v>
      </c>
    </row>
    <row r="2106">
      <c r="A2106" s="2" t="str">
        <f>IFERROR(__xludf.DUMMYFUNCTION("IF('From Order'!$A2106=COLUMNS($A2106:A2125), LEFT(INDEX(FILTER(A$1:A2105, A$1:A2105&lt;&gt;""""),COUNTA(FILTER(A$1:A2105, A$1:A2105&lt;&gt;""""))), LEN(INDEX(FILTER(A$1:A2105, A$1:A2105&lt;&gt;""""),COUNTA(FILTER(A$1:A2105, A$1:A2105&lt;&gt;""""))))-1), IF('To Order'!$A2106=COL"&amp;"UMNS($A2106:A2125), A2105&amp;RIGHT(INDIRECT(ADDRESS(ROW(A2106)-1, 'From Order'!$A2106)), 1), A2105))"),"DSPBFLLWDDVQZDMTTGMJRRL")</f>
        <v>DSPBFLLWDDVQZDMTTGMJRRL</v>
      </c>
      <c r="B2106" s="2" t="str">
        <f>IFERROR(__xludf.DUMMYFUNCTION("IF('From Order'!$A2106=COLUMNS($A2106:B2125), LEFT(INDEX(FILTER(B$1:B2105, B$1:B2105&lt;&gt;""""),COUNTA(FILTER(B$1:B2105, B$1:B2105&lt;&gt;""""))), LEN(INDEX(FILTER(B$1:B2105, B$1:B2105&lt;&gt;""""),COUNTA(FILTER(B$1:B2105, B$1:B2105&lt;&gt;""""))))-1), IF('To Order'!$A2106=COL"&amp;"UMNS($A2106:B2125), B2105&amp;RIGHT(INDIRECT(ADDRESS(ROW(B2106)-1, 'From Order'!$A2106)), 1), B2105))"),"JDPSST")</f>
        <v>JDPSST</v>
      </c>
      <c r="C2106" s="2" t="str">
        <f>IFERROR(__xludf.DUMMYFUNCTION("IF('From Order'!$A2106=COLUMNS($A2106:C2125), LEFT(INDEX(FILTER(C$1:C2105, C$1:C2105&lt;&gt;""""),COUNTA(FILTER(C$1:C2105, C$1:C2105&lt;&gt;""""))), LEN(INDEX(FILTER(C$1:C2105, C$1:C2105&lt;&gt;""""),COUNTA(FILTER(C$1:C2105, C$1:C2105&lt;&gt;""""))))-1), IF('To Order'!$A2106=COL"&amp;"UMNS($A2106:C2125), C2105&amp;RIGHT(INDIRECT(ADDRESS(ROW(C2106)-1, 'From Order'!$A2106)), 1), C2105))"),"VBHC")</f>
        <v>VBHC</v>
      </c>
      <c r="D2106" s="2" t="str">
        <f>IFERROR(__xludf.DUMMYFUNCTION("IF('From Order'!$A2106=COLUMNS($A2106:D2125), LEFT(INDEX(FILTER(D$1:D2105, D$1:D2105&lt;&gt;""""),COUNTA(FILTER(D$1:D2105, D$1:D2105&lt;&gt;""""))), LEN(INDEX(FILTER(D$1:D2105, D$1:D2105&lt;&gt;""""),COUNTA(FILTER(D$1:D2105, D$1:D2105&lt;&gt;""""))))-1), IF('To Order'!$A2106=COL"&amp;"UMNS($A2106:D2125), D2105&amp;RIGHT(INDIRECT(ADDRESS(ROW(D2106)-1, 'From Order'!$A2106)), 1), D2105))"),"RBJVB")</f>
        <v>RBJVB</v>
      </c>
      <c r="E2106" s="2" t="str">
        <f>IFERROR(__xludf.DUMMYFUNCTION("IF('From Order'!$A2106=COLUMNS($A2106:E2125), LEFT(INDEX(FILTER(E$1:E2105, E$1:E2105&lt;&gt;""""),COUNTA(FILTER(E$1:E2105, E$1:E2105&lt;&gt;""""))), LEN(INDEX(FILTER(E$1:E2105, E$1:E2105&lt;&gt;""""),COUNTA(FILTER(E$1:E2105, E$1:E2105&lt;&gt;""""))))-1), IF('To Order'!$A2106=COL"&amp;"UMNS($A2106:E2125), E2105&amp;RIGHT(INDIRECT(ADDRESS(ROW(E2106)-1, 'From Order'!$A2106)), 1), E2105))"),"FSCZR")</f>
        <v>FSCZR</v>
      </c>
      <c r="F2106" s="2" t="str">
        <f>IFERROR(__xludf.DUMMYFUNCTION("IF('From Order'!$A2106=COLUMNS($A2106:F2125), LEFT(INDEX(FILTER(F$1:F2105, F$1:F2105&lt;&gt;""""),COUNTA(FILTER(F$1:F2105, F$1:F2105&lt;&gt;""""))), LEN(INDEX(FILTER(F$1:F2105, F$1:F2105&lt;&gt;""""),COUNTA(FILTER(F$1:F2105, F$1:F2105&lt;&gt;""""))))-1), IF('To Order'!$A2106=COL"&amp;"UMNS($A2106:F2125), F2105&amp;RIGHT(INDIRECT(ADDRESS(ROW(F2106)-1, 'From Order'!$A2106)), 1), F2105))"),"")</f>
        <v/>
      </c>
      <c r="G2106" s="2" t="str">
        <f>IFERROR(__xludf.DUMMYFUNCTION("IF('From Order'!$A2106=COLUMNS($A2106:G2125), LEFT(INDEX(FILTER(G$1:G2105, G$1:G2105&lt;&gt;""""),COUNTA(FILTER(G$1:G2105, G$1:G2105&lt;&gt;""""))), LEN(INDEX(FILTER(G$1:G2105, G$1:G2105&lt;&gt;""""),COUNTA(FILTER(G$1:G2105, G$1:G2105&lt;&gt;""""))))-1), IF('To Order'!$A2106=COL"&amp;"UMNS($A2106:G2125), G2105&amp;RIGHT(INDIRECT(ADDRESS(ROW(G2106)-1, 'From Order'!$A2106)), 1), G2105))"),"GW")</f>
        <v>GW</v>
      </c>
      <c r="H2106" s="2" t="str">
        <f>IFERROR(__xludf.DUMMYFUNCTION("IF('From Order'!$A2106=COLUMNS($A2106:H2125), LEFT(INDEX(FILTER(H$1:H2105, H$1:H2105&lt;&gt;""""),COUNTA(FILTER(H$1:H2105, H$1:H2105&lt;&gt;""""))), LEN(INDEX(FILTER(H$1:H2105, H$1:H2105&lt;&gt;""""),COUNTA(FILTER(H$1:H2105, H$1:H2105&lt;&gt;""""))))-1), IF('To Order'!$A2106=COL"&amp;"UMNS($A2106:H2125), H2105&amp;RIGHT(INDIRECT(ADDRESS(ROW(H2106)-1, 'From Order'!$A2106)), 1), H2105))"),"QT")</f>
        <v>QT</v>
      </c>
      <c r="I2106" s="2" t="str">
        <f>IFERROR(__xludf.DUMMYFUNCTION("IF('From Order'!$A2106=COLUMNS($A2106:I2125), LEFT(INDEX(FILTER(I$1:I2105, I$1:I2105&lt;&gt;""""),COUNTA(FILTER(I$1:I2105, I$1:I2105&lt;&gt;""""))), LEN(INDEX(FILTER(I$1:I2105, I$1:I2105&lt;&gt;""""),COUNTA(FILTER(I$1:I2105, I$1:I2105&lt;&gt;""""))))-1), IF('To Order'!$A2106=COL"&amp;"UMNS($A2106:I2125), I2105&amp;RIGHT(INDIRECT(ADDRESS(ROW(I2106)-1, 'From Order'!$A2106)), 1), I2105))"),"DTCTMZHPR")</f>
        <v>DTCTMZHPR</v>
      </c>
    </row>
    <row r="2107">
      <c r="A2107" s="2" t="str">
        <f>IFERROR(__xludf.DUMMYFUNCTION("IF('From Order'!$A2107=COLUMNS($A2107:A2126), LEFT(INDEX(FILTER(A$1:A2106, A$1:A2106&lt;&gt;""""),COUNTA(FILTER(A$1:A2106, A$1:A2106&lt;&gt;""""))), LEN(INDEX(FILTER(A$1:A2106, A$1:A2106&lt;&gt;""""),COUNTA(FILTER(A$1:A2106, A$1:A2106&lt;&gt;""""))))-1), IF('To Order'!$A2107=COL"&amp;"UMNS($A2107:A2126), A2106&amp;RIGHT(INDIRECT(ADDRESS(ROW(A2107)-1, 'From Order'!$A2107)), 1), A2106))"),"DSPBFLLWDDVQZDMTTGMJRR")</f>
        <v>DSPBFLLWDDVQZDMTTGMJRR</v>
      </c>
      <c r="B2107" s="2" t="str">
        <f>IFERROR(__xludf.DUMMYFUNCTION("IF('From Order'!$A2107=COLUMNS($A2107:B2126), LEFT(INDEX(FILTER(B$1:B2106, B$1:B2106&lt;&gt;""""),COUNTA(FILTER(B$1:B2106, B$1:B2106&lt;&gt;""""))), LEN(INDEX(FILTER(B$1:B2106, B$1:B2106&lt;&gt;""""),COUNTA(FILTER(B$1:B2106, B$1:B2106&lt;&gt;""""))))-1), IF('To Order'!$A2107=COL"&amp;"UMNS($A2107:B2126), B2106&amp;RIGHT(INDIRECT(ADDRESS(ROW(B2107)-1, 'From Order'!$A2107)), 1), B2106))"),"JDPSST")</f>
        <v>JDPSST</v>
      </c>
      <c r="C2107" s="2" t="str">
        <f>IFERROR(__xludf.DUMMYFUNCTION("IF('From Order'!$A2107=COLUMNS($A2107:C2126), LEFT(INDEX(FILTER(C$1:C2106, C$1:C2106&lt;&gt;""""),COUNTA(FILTER(C$1:C2106, C$1:C2106&lt;&gt;""""))), LEN(INDEX(FILTER(C$1:C2106, C$1:C2106&lt;&gt;""""),COUNTA(FILTER(C$1:C2106, C$1:C2106&lt;&gt;""""))))-1), IF('To Order'!$A2107=COL"&amp;"UMNS($A2107:C2126), C2106&amp;RIGHT(INDIRECT(ADDRESS(ROW(C2107)-1, 'From Order'!$A2107)), 1), C2106))"),"VBHCL")</f>
        <v>VBHCL</v>
      </c>
      <c r="D2107" s="2" t="str">
        <f>IFERROR(__xludf.DUMMYFUNCTION("IF('From Order'!$A2107=COLUMNS($A2107:D2126), LEFT(INDEX(FILTER(D$1:D2106, D$1:D2106&lt;&gt;""""),COUNTA(FILTER(D$1:D2106, D$1:D2106&lt;&gt;""""))), LEN(INDEX(FILTER(D$1:D2106, D$1:D2106&lt;&gt;""""),COUNTA(FILTER(D$1:D2106, D$1:D2106&lt;&gt;""""))))-1), IF('To Order'!$A2107=COL"&amp;"UMNS($A2107:D2126), D2106&amp;RIGHT(INDIRECT(ADDRESS(ROW(D2107)-1, 'From Order'!$A2107)), 1), D2106))"),"RBJVB")</f>
        <v>RBJVB</v>
      </c>
      <c r="E2107" s="2" t="str">
        <f>IFERROR(__xludf.DUMMYFUNCTION("IF('From Order'!$A2107=COLUMNS($A2107:E2126), LEFT(INDEX(FILTER(E$1:E2106, E$1:E2106&lt;&gt;""""),COUNTA(FILTER(E$1:E2106, E$1:E2106&lt;&gt;""""))), LEN(INDEX(FILTER(E$1:E2106, E$1:E2106&lt;&gt;""""),COUNTA(FILTER(E$1:E2106, E$1:E2106&lt;&gt;""""))))-1), IF('To Order'!$A2107=COL"&amp;"UMNS($A2107:E2126), E2106&amp;RIGHT(INDIRECT(ADDRESS(ROW(E2107)-1, 'From Order'!$A2107)), 1), E2106))"),"FSCZR")</f>
        <v>FSCZR</v>
      </c>
      <c r="F2107" s="2" t="str">
        <f>IFERROR(__xludf.DUMMYFUNCTION("IF('From Order'!$A2107=COLUMNS($A2107:F2126), LEFT(INDEX(FILTER(F$1:F2106, F$1:F2106&lt;&gt;""""),COUNTA(FILTER(F$1:F2106, F$1:F2106&lt;&gt;""""))), LEN(INDEX(FILTER(F$1:F2106, F$1:F2106&lt;&gt;""""),COUNTA(FILTER(F$1:F2106, F$1:F2106&lt;&gt;""""))))-1), IF('To Order'!$A2107=COL"&amp;"UMNS($A2107:F2126), F2106&amp;RIGHT(INDIRECT(ADDRESS(ROW(F2107)-1, 'From Order'!$A2107)), 1), F2106))"),"")</f>
        <v/>
      </c>
      <c r="G2107" s="2" t="str">
        <f>IFERROR(__xludf.DUMMYFUNCTION("IF('From Order'!$A2107=COLUMNS($A2107:G2126), LEFT(INDEX(FILTER(G$1:G2106, G$1:G2106&lt;&gt;""""),COUNTA(FILTER(G$1:G2106, G$1:G2106&lt;&gt;""""))), LEN(INDEX(FILTER(G$1:G2106, G$1:G2106&lt;&gt;""""),COUNTA(FILTER(G$1:G2106, G$1:G2106&lt;&gt;""""))))-1), IF('To Order'!$A2107=COL"&amp;"UMNS($A2107:G2126), G2106&amp;RIGHT(INDIRECT(ADDRESS(ROW(G2107)-1, 'From Order'!$A2107)), 1), G2106))"),"GW")</f>
        <v>GW</v>
      </c>
      <c r="H2107" s="2" t="str">
        <f>IFERROR(__xludf.DUMMYFUNCTION("IF('From Order'!$A2107=COLUMNS($A2107:H2126), LEFT(INDEX(FILTER(H$1:H2106, H$1:H2106&lt;&gt;""""),COUNTA(FILTER(H$1:H2106, H$1:H2106&lt;&gt;""""))), LEN(INDEX(FILTER(H$1:H2106, H$1:H2106&lt;&gt;""""),COUNTA(FILTER(H$1:H2106, H$1:H2106&lt;&gt;""""))))-1), IF('To Order'!$A2107=COL"&amp;"UMNS($A2107:H2126), H2106&amp;RIGHT(INDIRECT(ADDRESS(ROW(H2107)-1, 'From Order'!$A2107)), 1), H2106))"),"QT")</f>
        <v>QT</v>
      </c>
      <c r="I2107" s="2" t="str">
        <f>IFERROR(__xludf.DUMMYFUNCTION("IF('From Order'!$A2107=COLUMNS($A2107:I2126), LEFT(INDEX(FILTER(I$1:I2106, I$1:I2106&lt;&gt;""""),COUNTA(FILTER(I$1:I2106, I$1:I2106&lt;&gt;""""))), LEN(INDEX(FILTER(I$1:I2106, I$1:I2106&lt;&gt;""""),COUNTA(FILTER(I$1:I2106, I$1:I2106&lt;&gt;""""))))-1), IF('To Order'!$A2107=COL"&amp;"UMNS($A2107:I2126), I2106&amp;RIGHT(INDIRECT(ADDRESS(ROW(I2107)-1, 'From Order'!$A2107)), 1), I2106))"),"DTCTMZHPR")</f>
        <v>DTCTMZHPR</v>
      </c>
    </row>
    <row r="2108">
      <c r="A2108" s="2" t="str">
        <f>IFERROR(__xludf.DUMMYFUNCTION("IF('From Order'!$A2108=COLUMNS($A2108:A2127), LEFT(INDEX(FILTER(A$1:A2107, A$1:A2107&lt;&gt;""""),COUNTA(FILTER(A$1:A2107, A$1:A2107&lt;&gt;""""))), LEN(INDEX(FILTER(A$1:A2107, A$1:A2107&lt;&gt;""""),COUNTA(FILTER(A$1:A2107, A$1:A2107&lt;&gt;""""))))-1), IF('To Order'!$A2108=COL"&amp;"UMNS($A2108:A2127), A2107&amp;RIGHT(INDIRECT(ADDRESS(ROW(A2108)-1, 'From Order'!$A2108)), 1), A2107))"),"DSPBFLLWDDVQZDMTTGMJR")</f>
        <v>DSPBFLLWDDVQZDMTTGMJR</v>
      </c>
      <c r="B2108" s="2" t="str">
        <f>IFERROR(__xludf.DUMMYFUNCTION("IF('From Order'!$A2108=COLUMNS($A2108:B2127), LEFT(INDEX(FILTER(B$1:B2107, B$1:B2107&lt;&gt;""""),COUNTA(FILTER(B$1:B2107, B$1:B2107&lt;&gt;""""))), LEN(INDEX(FILTER(B$1:B2107, B$1:B2107&lt;&gt;""""),COUNTA(FILTER(B$1:B2107, B$1:B2107&lt;&gt;""""))))-1), IF('To Order'!$A2108=COL"&amp;"UMNS($A2108:B2127), B2107&amp;RIGHT(INDIRECT(ADDRESS(ROW(B2108)-1, 'From Order'!$A2108)), 1), B2107))"),"JDPSST")</f>
        <v>JDPSST</v>
      </c>
      <c r="C2108" s="2" t="str">
        <f>IFERROR(__xludf.DUMMYFUNCTION("IF('From Order'!$A2108=COLUMNS($A2108:C2127), LEFT(INDEX(FILTER(C$1:C2107, C$1:C2107&lt;&gt;""""),COUNTA(FILTER(C$1:C2107, C$1:C2107&lt;&gt;""""))), LEN(INDEX(FILTER(C$1:C2107, C$1:C2107&lt;&gt;""""),COUNTA(FILTER(C$1:C2107, C$1:C2107&lt;&gt;""""))))-1), IF('To Order'!$A2108=COL"&amp;"UMNS($A2108:C2127), C2107&amp;RIGHT(INDIRECT(ADDRESS(ROW(C2108)-1, 'From Order'!$A2108)), 1), C2107))"),"VBHCLR")</f>
        <v>VBHCLR</v>
      </c>
      <c r="D2108" s="2" t="str">
        <f>IFERROR(__xludf.DUMMYFUNCTION("IF('From Order'!$A2108=COLUMNS($A2108:D2127), LEFT(INDEX(FILTER(D$1:D2107, D$1:D2107&lt;&gt;""""),COUNTA(FILTER(D$1:D2107, D$1:D2107&lt;&gt;""""))), LEN(INDEX(FILTER(D$1:D2107, D$1:D2107&lt;&gt;""""),COUNTA(FILTER(D$1:D2107, D$1:D2107&lt;&gt;""""))))-1), IF('To Order'!$A2108=COL"&amp;"UMNS($A2108:D2127), D2107&amp;RIGHT(INDIRECT(ADDRESS(ROW(D2108)-1, 'From Order'!$A2108)), 1), D2107))"),"RBJVB")</f>
        <v>RBJVB</v>
      </c>
      <c r="E2108" s="2" t="str">
        <f>IFERROR(__xludf.DUMMYFUNCTION("IF('From Order'!$A2108=COLUMNS($A2108:E2127), LEFT(INDEX(FILTER(E$1:E2107, E$1:E2107&lt;&gt;""""),COUNTA(FILTER(E$1:E2107, E$1:E2107&lt;&gt;""""))), LEN(INDEX(FILTER(E$1:E2107, E$1:E2107&lt;&gt;""""),COUNTA(FILTER(E$1:E2107, E$1:E2107&lt;&gt;""""))))-1), IF('To Order'!$A2108=COL"&amp;"UMNS($A2108:E2127), E2107&amp;RIGHT(INDIRECT(ADDRESS(ROW(E2108)-1, 'From Order'!$A2108)), 1), E2107))"),"FSCZR")</f>
        <v>FSCZR</v>
      </c>
      <c r="F2108" s="2" t="str">
        <f>IFERROR(__xludf.DUMMYFUNCTION("IF('From Order'!$A2108=COLUMNS($A2108:F2127), LEFT(INDEX(FILTER(F$1:F2107, F$1:F2107&lt;&gt;""""),COUNTA(FILTER(F$1:F2107, F$1:F2107&lt;&gt;""""))), LEN(INDEX(FILTER(F$1:F2107, F$1:F2107&lt;&gt;""""),COUNTA(FILTER(F$1:F2107, F$1:F2107&lt;&gt;""""))))-1), IF('To Order'!$A2108=COL"&amp;"UMNS($A2108:F2127), F2107&amp;RIGHT(INDIRECT(ADDRESS(ROW(F2108)-1, 'From Order'!$A2108)), 1), F2107))"),"")</f>
        <v/>
      </c>
      <c r="G2108" s="2" t="str">
        <f>IFERROR(__xludf.DUMMYFUNCTION("IF('From Order'!$A2108=COLUMNS($A2108:G2127), LEFT(INDEX(FILTER(G$1:G2107, G$1:G2107&lt;&gt;""""),COUNTA(FILTER(G$1:G2107, G$1:G2107&lt;&gt;""""))), LEN(INDEX(FILTER(G$1:G2107, G$1:G2107&lt;&gt;""""),COUNTA(FILTER(G$1:G2107, G$1:G2107&lt;&gt;""""))))-1), IF('To Order'!$A2108=COL"&amp;"UMNS($A2108:G2127), G2107&amp;RIGHT(INDIRECT(ADDRESS(ROW(G2108)-1, 'From Order'!$A2108)), 1), G2107))"),"GW")</f>
        <v>GW</v>
      </c>
      <c r="H2108" s="2" t="str">
        <f>IFERROR(__xludf.DUMMYFUNCTION("IF('From Order'!$A2108=COLUMNS($A2108:H2127), LEFT(INDEX(FILTER(H$1:H2107, H$1:H2107&lt;&gt;""""),COUNTA(FILTER(H$1:H2107, H$1:H2107&lt;&gt;""""))), LEN(INDEX(FILTER(H$1:H2107, H$1:H2107&lt;&gt;""""),COUNTA(FILTER(H$1:H2107, H$1:H2107&lt;&gt;""""))))-1), IF('To Order'!$A2108=COL"&amp;"UMNS($A2108:H2127), H2107&amp;RIGHT(INDIRECT(ADDRESS(ROW(H2108)-1, 'From Order'!$A2108)), 1), H2107))"),"QT")</f>
        <v>QT</v>
      </c>
      <c r="I2108" s="2" t="str">
        <f>IFERROR(__xludf.DUMMYFUNCTION("IF('From Order'!$A2108=COLUMNS($A2108:I2127), LEFT(INDEX(FILTER(I$1:I2107, I$1:I2107&lt;&gt;""""),COUNTA(FILTER(I$1:I2107, I$1:I2107&lt;&gt;""""))), LEN(INDEX(FILTER(I$1:I2107, I$1:I2107&lt;&gt;""""),COUNTA(FILTER(I$1:I2107, I$1:I2107&lt;&gt;""""))))-1), IF('To Order'!$A2108=COL"&amp;"UMNS($A2108:I2127), I2107&amp;RIGHT(INDIRECT(ADDRESS(ROW(I2108)-1, 'From Order'!$A2108)), 1), I2107))"),"DTCTMZHPR")</f>
        <v>DTCTMZHPR</v>
      </c>
    </row>
    <row r="2109">
      <c r="A2109" s="2" t="str">
        <f>IFERROR(__xludf.DUMMYFUNCTION("IF('From Order'!$A2109=COLUMNS($A2109:A2128), LEFT(INDEX(FILTER(A$1:A2108, A$1:A2108&lt;&gt;""""),COUNTA(FILTER(A$1:A2108, A$1:A2108&lt;&gt;""""))), LEN(INDEX(FILTER(A$1:A2108, A$1:A2108&lt;&gt;""""),COUNTA(FILTER(A$1:A2108, A$1:A2108&lt;&gt;""""))))-1), IF('To Order'!$A2109=COL"&amp;"UMNS($A2109:A2128), A2108&amp;RIGHT(INDIRECT(ADDRESS(ROW(A2109)-1, 'From Order'!$A2109)), 1), A2108))"),"DSPBFLLWDDVQZDMTTGMJ")</f>
        <v>DSPBFLLWDDVQZDMTTGMJ</v>
      </c>
      <c r="B2109" s="2" t="str">
        <f>IFERROR(__xludf.DUMMYFUNCTION("IF('From Order'!$A2109=COLUMNS($A2109:B2128), LEFT(INDEX(FILTER(B$1:B2108, B$1:B2108&lt;&gt;""""),COUNTA(FILTER(B$1:B2108, B$1:B2108&lt;&gt;""""))), LEN(INDEX(FILTER(B$1:B2108, B$1:B2108&lt;&gt;""""),COUNTA(FILTER(B$1:B2108, B$1:B2108&lt;&gt;""""))))-1), IF('To Order'!$A2109=COL"&amp;"UMNS($A2109:B2128), B2108&amp;RIGHT(INDIRECT(ADDRESS(ROW(B2109)-1, 'From Order'!$A2109)), 1), B2108))"),"JDPSST")</f>
        <v>JDPSST</v>
      </c>
      <c r="C2109" s="2" t="str">
        <f>IFERROR(__xludf.DUMMYFUNCTION("IF('From Order'!$A2109=COLUMNS($A2109:C2128), LEFT(INDEX(FILTER(C$1:C2108, C$1:C2108&lt;&gt;""""),COUNTA(FILTER(C$1:C2108, C$1:C2108&lt;&gt;""""))), LEN(INDEX(FILTER(C$1:C2108, C$1:C2108&lt;&gt;""""),COUNTA(FILTER(C$1:C2108, C$1:C2108&lt;&gt;""""))))-1), IF('To Order'!$A2109=COL"&amp;"UMNS($A2109:C2128), C2108&amp;RIGHT(INDIRECT(ADDRESS(ROW(C2109)-1, 'From Order'!$A2109)), 1), C2108))"),"VBHCLRR")</f>
        <v>VBHCLRR</v>
      </c>
      <c r="D2109" s="2" t="str">
        <f>IFERROR(__xludf.DUMMYFUNCTION("IF('From Order'!$A2109=COLUMNS($A2109:D2128), LEFT(INDEX(FILTER(D$1:D2108, D$1:D2108&lt;&gt;""""),COUNTA(FILTER(D$1:D2108, D$1:D2108&lt;&gt;""""))), LEN(INDEX(FILTER(D$1:D2108, D$1:D2108&lt;&gt;""""),COUNTA(FILTER(D$1:D2108, D$1:D2108&lt;&gt;""""))))-1), IF('To Order'!$A2109=COL"&amp;"UMNS($A2109:D2128), D2108&amp;RIGHT(INDIRECT(ADDRESS(ROW(D2109)-1, 'From Order'!$A2109)), 1), D2108))"),"RBJVB")</f>
        <v>RBJVB</v>
      </c>
      <c r="E2109" s="2" t="str">
        <f>IFERROR(__xludf.DUMMYFUNCTION("IF('From Order'!$A2109=COLUMNS($A2109:E2128), LEFT(INDEX(FILTER(E$1:E2108, E$1:E2108&lt;&gt;""""),COUNTA(FILTER(E$1:E2108, E$1:E2108&lt;&gt;""""))), LEN(INDEX(FILTER(E$1:E2108, E$1:E2108&lt;&gt;""""),COUNTA(FILTER(E$1:E2108, E$1:E2108&lt;&gt;""""))))-1), IF('To Order'!$A2109=COL"&amp;"UMNS($A2109:E2128), E2108&amp;RIGHT(INDIRECT(ADDRESS(ROW(E2109)-1, 'From Order'!$A2109)), 1), E2108))"),"FSCZR")</f>
        <v>FSCZR</v>
      </c>
      <c r="F2109" s="2" t="str">
        <f>IFERROR(__xludf.DUMMYFUNCTION("IF('From Order'!$A2109=COLUMNS($A2109:F2128), LEFT(INDEX(FILTER(F$1:F2108, F$1:F2108&lt;&gt;""""),COUNTA(FILTER(F$1:F2108, F$1:F2108&lt;&gt;""""))), LEN(INDEX(FILTER(F$1:F2108, F$1:F2108&lt;&gt;""""),COUNTA(FILTER(F$1:F2108, F$1:F2108&lt;&gt;""""))))-1), IF('To Order'!$A2109=COL"&amp;"UMNS($A2109:F2128), F2108&amp;RIGHT(INDIRECT(ADDRESS(ROW(F2109)-1, 'From Order'!$A2109)), 1), F2108))"),"")</f>
        <v/>
      </c>
      <c r="G2109" s="2" t="str">
        <f>IFERROR(__xludf.DUMMYFUNCTION("IF('From Order'!$A2109=COLUMNS($A2109:G2128), LEFT(INDEX(FILTER(G$1:G2108, G$1:G2108&lt;&gt;""""),COUNTA(FILTER(G$1:G2108, G$1:G2108&lt;&gt;""""))), LEN(INDEX(FILTER(G$1:G2108, G$1:G2108&lt;&gt;""""),COUNTA(FILTER(G$1:G2108, G$1:G2108&lt;&gt;""""))))-1), IF('To Order'!$A2109=COL"&amp;"UMNS($A2109:G2128), G2108&amp;RIGHT(INDIRECT(ADDRESS(ROW(G2109)-1, 'From Order'!$A2109)), 1), G2108))"),"GW")</f>
        <v>GW</v>
      </c>
      <c r="H2109" s="2" t="str">
        <f>IFERROR(__xludf.DUMMYFUNCTION("IF('From Order'!$A2109=COLUMNS($A2109:H2128), LEFT(INDEX(FILTER(H$1:H2108, H$1:H2108&lt;&gt;""""),COUNTA(FILTER(H$1:H2108, H$1:H2108&lt;&gt;""""))), LEN(INDEX(FILTER(H$1:H2108, H$1:H2108&lt;&gt;""""),COUNTA(FILTER(H$1:H2108, H$1:H2108&lt;&gt;""""))))-1), IF('To Order'!$A2109=COL"&amp;"UMNS($A2109:H2128), H2108&amp;RIGHT(INDIRECT(ADDRESS(ROW(H2109)-1, 'From Order'!$A2109)), 1), H2108))"),"QT")</f>
        <v>QT</v>
      </c>
      <c r="I2109" s="2" t="str">
        <f>IFERROR(__xludf.DUMMYFUNCTION("IF('From Order'!$A2109=COLUMNS($A2109:I2128), LEFT(INDEX(FILTER(I$1:I2108, I$1:I2108&lt;&gt;""""),COUNTA(FILTER(I$1:I2108, I$1:I2108&lt;&gt;""""))), LEN(INDEX(FILTER(I$1:I2108, I$1:I2108&lt;&gt;""""),COUNTA(FILTER(I$1:I2108, I$1:I2108&lt;&gt;""""))))-1), IF('To Order'!$A2109=COL"&amp;"UMNS($A2109:I2128), I2108&amp;RIGHT(INDIRECT(ADDRESS(ROW(I2109)-1, 'From Order'!$A2109)), 1), I2108))"),"DTCTMZHPR")</f>
        <v>DTCTMZHPR</v>
      </c>
    </row>
    <row r="2110">
      <c r="A2110" s="2" t="str">
        <f>IFERROR(__xludf.DUMMYFUNCTION("IF('From Order'!$A2110=COLUMNS($A2110:A2129), LEFT(INDEX(FILTER(A$1:A2109, A$1:A2109&lt;&gt;""""),COUNTA(FILTER(A$1:A2109, A$1:A2109&lt;&gt;""""))), LEN(INDEX(FILTER(A$1:A2109, A$1:A2109&lt;&gt;""""),COUNTA(FILTER(A$1:A2109, A$1:A2109&lt;&gt;""""))))-1), IF('To Order'!$A2110=COL"&amp;"UMNS($A2110:A2129), A2109&amp;RIGHT(INDIRECT(ADDRESS(ROW(A2110)-1, 'From Order'!$A2110)), 1), A2109))"),"DSPBFLLWDDVQZDMTTGM")</f>
        <v>DSPBFLLWDDVQZDMTTGM</v>
      </c>
      <c r="B2110" s="2" t="str">
        <f>IFERROR(__xludf.DUMMYFUNCTION("IF('From Order'!$A2110=COLUMNS($A2110:B2129), LEFT(INDEX(FILTER(B$1:B2109, B$1:B2109&lt;&gt;""""),COUNTA(FILTER(B$1:B2109, B$1:B2109&lt;&gt;""""))), LEN(INDEX(FILTER(B$1:B2109, B$1:B2109&lt;&gt;""""),COUNTA(FILTER(B$1:B2109, B$1:B2109&lt;&gt;""""))))-1), IF('To Order'!$A2110=COL"&amp;"UMNS($A2110:B2129), B2109&amp;RIGHT(INDIRECT(ADDRESS(ROW(B2110)-1, 'From Order'!$A2110)), 1), B2109))"),"JDPSST")</f>
        <v>JDPSST</v>
      </c>
      <c r="C2110" s="2" t="str">
        <f>IFERROR(__xludf.DUMMYFUNCTION("IF('From Order'!$A2110=COLUMNS($A2110:C2129), LEFT(INDEX(FILTER(C$1:C2109, C$1:C2109&lt;&gt;""""),COUNTA(FILTER(C$1:C2109, C$1:C2109&lt;&gt;""""))), LEN(INDEX(FILTER(C$1:C2109, C$1:C2109&lt;&gt;""""),COUNTA(FILTER(C$1:C2109, C$1:C2109&lt;&gt;""""))))-1), IF('To Order'!$A2110=COL"&amp;"UMNS($A2110:C2129), C2109&amp;RIGHT(INDIRECT(ADDRESS(ROW(C2110)-1, 'From Order'!$A2110)), 1), C2109))"),"VBHCLRRJ")</f>
        <v>VBHCLRRJ</v>
      </c>
      <c r="D2110" s="2" t="str">
        <f>IFERROR(__xludf.DUMMYFUNCTION("IF('From Order'!$A2110=COLUMNS($A2110:D2129), LEFT(INDEX(FILTER(D$1:D2109, D$1:D2109&lt;&gt;""""),COUNTA(FILTER(D$1:D2109, D$1:D2109&lt;&gt;""""))), LEN(INDEX(FILTER(D$1:D2109, D$1:D2109&lt;&gt;""""),COUNTA(FILTER(D$1:D2109, D$1:D2109&lt;&gt;""""))))-1), IF('To Order'!$A2110=COL"&amp;"UMNS($A2110:D2129), D2109&amp;RIGHT(INDIRECT(ADDRESS(ROW(D2110)-1, 'From Order'!$A2110)), 1), D2109))"),"RBJVB")</f>
        <v>RBJVB</v>
      </c>
      <c r="E2110" s="2" t="str">
        <f>IFERROR(__xludf.DUMMYFUNCTION("IF('From Order'!$A2110=COLUMNS($A2110:E2129), LEFT(INDEX(FILTER(E$1:E2109, E$1:E2109&lt;&gt;""""),COUNTA(FILTER(E$1:E2109, E$1:E2109&lt;&gt;""""))), LEN(INDEX(FILTER(E$1:E2109, E$1:E2109&lt;&gt;""""),COUNTA(FILTER(E$1:E2109, E$1:E2109&lt;&gt;""""))))-1), IF('To Order'!$A2110=COL"&amp;"UMNS($A2110:E2129), E2109&amp;RIGHT(INDIRECT(ADDRESS(ROW(E2110)-1, 'From Order'!$A2110)), 1), E2109))"),"FSCZR")</f>
        <v>FSCZR</v>
      </c>
      <c r="F2110" s="2" t="str">
        <f>IFERROR(__xludf.DUMMYFUNCTION("IF('From Order'!$A2110=COLUMNS($A2110:F2129), LEFT(INDEX(FILTER(F$1:F2109, F$1:F2109&lt;&gt;""""),COUNTA(FILTER(F$1:F2109, F$1:F2109&lt;&gt;""""))), LEN(INDEX(FILTER(F$1:F2109, F$1:F2109&lt;&gt;""""),COUNTA(FILTER(F$1:F2109, F$1:F2109&lt;&gt;""""))))-1), IF('To Order'!$A2110=COL"&amp;"UMNS($A2110:F2129), F2109&amp;RIGHT(INDIRECT(ADDRESS(ROW(F2110)-1, 'From Order'!$A2110)), 1), F2109))"),"")</f>
        <v/>
      </c>
      <c r="G2110" s="2" t="str">
        <f>IFERROR(__xludf.DUMMYFUNCTION("IF('From Order'!$A2110=COLUMNS($A2110:G2129), LEFT(INDEX(FILTER(G$1:G2109, G$1:G2109&lt;&gt;""""),COUNTA(FILTER(G$1:G2109, G$1:G2109&lt;&gt;""""))), LEN(INDEX(FILTER(G$1:G2109, G$1:G2109&lt;&gt;""""),COUNTA(FILTER(G$1:G2109, G$1:G2109&lt;&gt;""""))))-1), IF('To Order'!$A2110=COL"&amp;"UMNS($A2110:G2129), G2109&amp;RIGHT(INDIRECT(ADDRESS(ROW(G2110)-1, 'From Order'!$A2110)), 1), G2109))"),"GW")</f>
        <v>GW</v>
      </c>
      <c r="H2110" s="2" t="str">
        <f>IFERROR(__xludf.DUMMYFUNCTION("IF('From Order'!$A2110=COLUMNS($A2110:H2129), LEFT(INDEX(FILTER(H$1:H2109, H$1:H2109&lt;&gt;""""),COUNTA(FILTER(H$1:H2109, H$1:H2109&lt;&gt;""""))), LEN(INDEX(FILTER(H$1:H2109, H$1:H2109&lt;&gt;""""),COUNTA(FILTER(H$1:H2109, H$1:H2109&lt;&gt;""""))))-1), IF('To Order'!$A2110=COL"&amp;"UMNS($A2110:H2129), H2109&amp;RIGHT(INDIRECT(ADDRESS(ROW(H2110)-1, 'From Order'!$A2110)), 1), H2109))"),"QT")</f>
        <v>QT</v>
      </c>
      <c r="I2110" s="2" t="str">
        <f>IFERROR(__xludf.DUMMYFUNCTION("IF('From Order'!$A2110=COLUMNS($A2110:I2129), LEFT(INDEX(FILTER(I$1:I2109, I$1:I2109&lt;&gt;""""),COUNTA(FILTER(I$1:I2109, I$1:I2109&lt;&gt;""""))), LEN(INDEX(FILTER(I$1:I2109, I$1:I2109&lt;&gt;""""),COUNTA(FILTER(I$1:I2109, I$1:I2109&lt;&gt;""""))))-1), IF('To Order'!$A2110=COL"&amp;"UMNS($A2110:I2129), I2109&amp;RIGHT(INDIRECT(ADDRESS(ROW(I2110)-1, 'From Order'!$A2110)), 1), I2109))"),"DTCTMZHPR")</f>
        <v>DTCTMZHPR</v>
      </c>
    </row>
    <row r="2111">
      <c r="A2111" s="2" t="str">
        <f>IFERROR(__xludf.DUMMYFUNCTION("IF('From Order'!$A2111=COLUMNS($A2111:A2130), LEFT(INDEX(FILTER(A$1:A2110, A$1:A2110&lt;&gt;""""),COUNTA(FILTER(A$1:A2110, A$1:A2110&lt;&gt;""""))), LEN(INDEX(FILTER(A$1:A2110, A$1:A2110&lt;&gt;""""),COUNTA(FILTER(A$1:A2110, A$1:A2110&lt;&gt;""""))))-1), IF('To Order'!$A2111=COL"&amp;"UMNS($A2111:A2130), A2110&amp;RIGHT(INDIRECT(ADDRESS(ROW(A2111)-1, 'From Order'!$A2111)), 1), A2110))"),"DSPBFLLWDDVQZDMTTG")</f>
        <v>DSPBFLLWDDVQZDMTTG</v>
      </c>
      <c r="B2111" s="2" t="str">
        <f>IFERROR(__xludf.DUMMYFUNCTION("IF('From Order'!$A2111=COLUMNS($A2111:B2130), LEFT(INDEX(FILTER(B$1:B2110, B$1:B2110&lt;&gt;""""),COUNTA(FILTER(B$1:B2110, B$1:B2110&lt;&gt;""""))), LEN(INDEX(FILTER(B$1:B2110, B$1:B2110&lt;&gt;""""),COUNTA(FILTER(B$1:B2110, B$1:B2110&lt;&gt;""""))))-1), IF('To Order'!$A2111=COL"&amp;"UMNS($A2111:B2130), B2110&amp;RIGHT(INDIRECT(ADDRESS(ROW(B2111)-1, 'From Order'!$A2111)), 1), B2110))"),"JDPSST")</f>
        <v>JDPSST</v>
      </c>
      <c r="C2111" s="2" t="str">
        <f>IFERROR(__xludf.DUMMYFUNCTION("IF('From Order'!$A2111=COLUMNS($A2111:C2130), LEFT(INDEX(FILTER(C$1:C2110, C$1:C2110&lt;&gt;""""),COUNTA(FILTER(C$1:C2110, C$1:C2110&lt;&gt;""""))), LEN(INDEX(FILTER(C$1:C2110, C$1:C2110&lt;&gt;""""),COUNTA(FILTER(C$1:C2110, C$1:C2110&lt;&gt;""""))))-1), IF('To Order'!$A2111=COL"&amp;"UMNS($A2111:C2130), C2110&amp;RIGHT(INDIRECT(ADDRESS(ROW(C2111)-1, 'From Order'!$A2111)), 1), C2110))"),"VBHCLRRJM")</f>
        <v>VBHCLRRJM</v>
      </c>
      <c r="D2111" s="2" t="str">
        <f>IFERROR(__xludf.DUMMYFUNCTION("IF('From Order'!$A2111=COLUMNS($A2111:D2130), LEFT(INDEX(FILTER(D$1:D2110, D$1:D2110&lt;&gt;""""),COUNTA(FILTER(D$1:D2110, D$1:D2110&lt;&gt;""""))), LEN(INDEX(FILTER(D$1:D2110, D$1:D2110&lt;&gt;""""),COUNTA(FILTER(D$1:D2110, D$1:D2110&lt;&gt;""""))))-1), IF('To Order'!$A2111=COL"&amp;"UMNS($A2111:D2130), D2110&amp;RIGHT(INDIRECT(ADDRESS(ROW(D2111)-1, 'From Order'!$A2111)), 1), D2110))"),"RBJVB")</f>
        <v>RBJVB</v>
      </c>
      <c r="E2111" s="2" t="str">
        <f>IFERROR(__xludf.DUMMYFUNCTION("IF('From Order'!$A2111=COLUMNS($A2111:E2130), LEFT(INDEX(FILTER(E$1:E2110, E$1:E2110&lt;&gt;""""),COUNTA(FILTER(E$1:E2110, E$1:E2110&lt;&gt;""""))), LEN(INDEX(FILTER(E$1:E2110, E$1:E2110&lt;&gt;""""),COUNTA(FILTER(E$1:E2110, E$1:E2110&lt;&gt;""""))))-1), IF('To Order'!$A2111=COL"&amp;"UMNS($A2111:E2130), E2110&amp;RIGHT(INDIRECT(ADDRESS(ROW(E2111)-1, 'From Order'!$A2111)), 1), E2110))"),"FSCZR")</f>
        <v>FSCZR</v>
      </c>
      <c r="F2111" s="2" t="str">
        <f>IFERROR(__xludf.DUMMYFUNCTION("IF('From Order'!$A2111=COLUMNS($A2111:F2130), LEFT(INDEX(FILTER(F$1:F2110, F$1:F2110&lt;&gt;""""),COUNTA(FILTER(F$1:F2110, F$1:F2110&lt;&gt;""""))), LEN(INDEX(FILTER(F$1:F2110, F$1:F2110&lt;&gt;""""),COUNTA(FILTER(F$1:F2110, F$1:F2110&lt;&gt;""""))))-1), IF('To Order'!$A2111=COL"&amp;"UMNS($A2111:F2130), F2110&amp;RIGHT(INDIRECT(ADDRESS(ROW(F2111)-1, 'From Order'!$A2111)), 1), F2110))"),"")</f>
        <v/>
      </c>
      <c r="G2111" s="2" t="str">
        <f>IFERROR(__xludf.DUMMYFUNCTION("IF('From Order'!$A2111=COLUMNS($A2111:G2130), LEFT(INDEX(FILTER(G$1:G2110, G$1:G2110&lt;&gt;""""),COUNTA(FILTER(G$1:G2110, G$1:G2110&lt;&gt;""""))), LEN(INDEX(FILTER(G$1:G2110, G$1:G2110&lt;&gt;""""),COUNTA(FILTER(G$1:G2110, G$1:G2110&lt;&gt;""""))))-1), IF('To Order'!$A2111=COL"&amp;"UMNS($A2111:G2130), G2110&amp;RIGHT(INDIRECT(ADDRESS(ROW(G2111)-1, 'From Order'!$A2111)), 1), G2110))"),"GW")</f>
        <v>GW</v>
      </c>
      <c r="H2111" s="2" t="str">
        <f>IFERROR(__xludf.DUMMYFUNCTION("IF('From Order'!$A2111=COLUMNS($A2111:H2130), LEFT(INDEX(FILTER(H$1:H2110, H$1:H2110&lt;&gt;""""),COUNTA(FILTER(H$1:H2110, H$1:H2110&lt;&gt;""""))), LEN(INDEX(FILTER(H$1:H2110, H$1:H2110&lt;&gt;""""),COUNTA(FILTER(H$1:H2110, H$1:H2110&lt;&gt;""""))))-1), IF('To Order'!$A2111=COL"&amp;"UMNS($A2111:H2130), H2110&amp;RIGHT(INDIRECT(ADDRESS(ROW(H2111)-1, 'From Order'!$A2111)), 1), H2110))"),"QT")</f>
        <v>QT</v>
      </c>
      <c r="I2111" s="2" t="str">
        <f>IFERROR(__xludf.DUMMYFUNCTION("IF('From Order'!$A2111=COLUMNS($A2111:I2130), LEFT(INDEX(FILTER(I$1:I2110, I$1:I2110&lt;&gt;""""),COUNTA(FILTER(I$1:I2110, I$1:I2110&lt;&gt;""""))), LEN(INDEX(FILTER(I$1:I2110, I$1:I2110&lt;&gt;""""),COUNTA(FILTER(I$1:I2110, I$1:I2110&lt;&gt;""""))))-1), IF('To Order'!$A2111=COL"&amp;"UMNS($A2111:I2130), I2110&amp;RIGHT(INDIRECT(ADDRESS(ROW(I2111)-1, 'From Order'!$A2111)), 1), I2110))"),"DTCTMZHPR")</f>
        <v>DTCTMZHPR</v>
      </c>
    </row>
    <row r="2112">
      <c r="A2112" s="2" t="str">
        <f>IFERROR(__xludf.DUMMYFUNCTION("IF('From Order'!$A2112=COLUMNS($A2112:A2131), LEFT(INDEX(FILTER(A$1:A2111, A$1:A2111&lt;&gt;""""),COUNTA(FILTER(A$1:A2111, A$1:A2111&lt;&gt;""""))), LEN(INDEX(FILTER(A$1:A2111, A$1:A2111&lt;&gt;""""),COUNTA(FILTER(A$1:A2111, A$1:A2111&lt;&gt;""""))))-1), IF('To Order'!$A2112=COL"&amp;"UMNS($A2112:A2131), A2111&amp;RIGHT(INDIRECT(ADDRESS(ROW(A2112)-1, 'From Order'!$A2112)), 1), A2111))"),"DSPBFLLWDDVQZDMTT")</f>
        <v>DSPBFLLWDDVQZDMTT</v>
      </c>
      <c r="B2112" s="2" t="str">
        <f>IFERROR(__xludf.DUMMYFUNCTION("IF('From Order'!$A2112=COLUMNS($A2112:B2131), LEFT(INDEX(FILTER(B$1:B2111, B$1:B2111&lt;&gt;""""),COUNTA(FILTER(B$1:B2111, B$1:B2111&lt;&gt;""""))), LEN(INDEX(FILTER(B$1:B2111, B$1:B2111&lt;&gt;""""),COUNTA(FILTER(B$1:B2111, B$1:B2111&lt;&gt;""""))))-1), IF('To Order'!$A2112=COL"&amp;"UMNS($A2112:B2131), B2111&amp;RIGHT(INDIRECT(ADDRESS(ROW(B2112)-1, 'From Order'!$A2112)), 1), B2111))"),"JDPSST")</f>
        <v>JDPSST</v>
      </c>
      <c r="C2112" s="2" t="str">
        <f>IFERROR(__xludf.DUMMYFUNCTION("IF('From Order'!$A2112=COLUMNS($A2112:C2131), LEFT(INDEX(FILTER(C$1:C2111, C$1:C2111&lt;&gt;""""),COUNTA(FILTER(C$1:C2111, C$1:C2111&lt;&gt;""""))), LEN(INDEX(FILTER(C$1:C2111, C$1:C2111&lt;&gt;""""),COUNTA(FILTER(C$1:C2111, C$1:C2111&lt;&gt;""""))))-1), IF('To Order'!$A2112=COL"&amp;"UMNS($A2112:C2131), C2111&amp;RIGHT(INDIRECT(ADDRESS(ROW(C2112)-1, 'From Order'!$A2112)), 1), C2111))"),"VBHCLRRJMG")</f>
        <v>VBHCLRRJMG</v>
      </c>
      <c r="D2112" s="2" t="str">
        <f>IFERROR(__xludf.DUMMYFUNCTION("IF('From Order'!$A2112=COLUMNS($A2112:D2131), LEFT(INDEX(FILTER(D$1:D2111, D$1:D2111&lt;&gt;""""),COUNTA(FILTER(D$1:D2111, D$1:D2111&lt;&gt;""""))), LEN(INDEX(FILTER(D$1:D2111, D$1:D2111&lt;&gt;""""),COUNTA(FILTER(D$1:D2111, D$1:D2111&lt;&gt;""""))))-1), IF('To Order'!$A2112=COL"&amp;"UMNS($A2112:D2131), D2111&amp;RIGHT(INDIRECT(ADDRESS(ROW(D2112)-1, 'From Order'!$A2112)), 1), D2111))"),"RBJVB")</f>
        <v>RBJVB</v>
      </c>
      <c r="E2112" s="2" t="str">
        <f>IFERROR(__xludf.DUMMYFUNCTION("IF('From Order'!$A2112=COLUMNS($A2112:E2131), LEFT(INDEX(FILTER(E$1:E2111, E$1:E2111&lt;&gt;""""),COUNTA(FILTER(E$1:E2111, E$1:E2111&lt;&gt;""""))), LEN(INDEX(FILTER(E$1:E2111, E$1:E2111&lt;&gt;""""),COUNTA(FILTER(E$1:E2111, E$1:E2111&lt;&gt;""""))))-1), IF('To Order'!$A2112=COL"&amp;"UMNS($A2112:E2131), E2111&amp;RIGHT(INDIRECT(ADDRESS(ROW(E2112)-1, 'From Order'!$A2112)), 1), E2111))"),"FSCZR")</f>
        <v>FSCZR</v>
      </c>
      <c r="F2112" s="2" t="str">
        <f>IFERROR(__xludf.DUMMYFUNCTION("IF('From Order'!$A2112=COLUMNS($A2112:F2131), LEFT(INDEX(FILTER(F$1:F2111, F$1:F2111&lt;&gt;""""),COUNTA(FILTER(F$1:F2111, F$1:F2111&lt;&gt;""""))), LEN(INDEX(FILTER(F$1:F2111, F$1:F2111&lt;&gt;""""),COUNTA(FILTER(F$1:F2111, F$1:F2111&lt;&gt;""""))))-1), IF('To Order'!$A2112=COL"&amp;"UMNS($A2112:F2131), F2111&amp;RIGHT(INDIRECT(ADDRESS(ROW(F2112)-1, 'From Order'!$A2112)), 1), F2111))"),"")</f>
        <v/>
      </c>
      <c r="G2112" s="2" t="str">
        <f>IFERROR(__xludf.DUMMYFUNCTION("IF('From Order'!$A2112=COLUMNS($A2112:G2131), LEFT(INDEX(FILTER(G$1:G2111, G$1:G2111&lt;&gt;""""),COUNTA(FILTER(G$1:G2111, G$1:G2111&lt;&gt;""""))), LEN(INDEX(FILTER(G$1:G2111, G$1:G2111&lt;&gt;""""),COUNTA(FILTER(G$1:G2111, G$1:G2111&lt;&gt;""""))))-1), IF('To Order'!$A2112=COL"&amp;"UMNS($A2112:G2131), G2111&amp;RIGHT(INDIRECT(ADDRESS(ROW(G2112)-1, 'From Order'!$A2112)), 1), G2111))"),"GW")</f>
        <v>GW</v>
      </c>
      <c r="H2112" s="2" t="str">
        <f>IFERROR(__xludf.DUMMYFUNCTION("IF('From Order'!$A2112=COLUMNS($A2112:H2131), LEFT(INDEX(FILTER(H$1:H2111, H$1:H2111&lt;&gt;""""),COUNTA(FILTER(H$1:H2111, H$1:H2111&lt;&gt;""""))), LEN(INDEX(FILTER(H$1:H2111, H$1:H2111&lt;&gt;""""),COUNTA(FILTER(H$1:H2111, H$1:H2111&lt;&gt;""""))))-1), IF('To Order'!$A2112=COL"&amp;"UMNS($A2112:H2131), H2111&amp;RIGHT(INDIRECT(ADDRESS(ROW(H2112)-1, 'From Order'!$A2112)), 1), H2111))"),"QT")</f>
        <v>QT</v>
      </c>
      <c r="I2112" s="2" t="str">
        <f>IFERROR(__xludf.DUMMYFUNCTION("IF('From Order'!$A2112=COLUMNS($A2112:I2131), LEFT(INDEX(FILTER(I$1:I2111, I$1:I2111&lt;&gt;""""),COUNTA(FILTER(I$1:I2111, I$1:I2111&lt;&gt;""""))), LEN(INDEX(FILTER(I$1:I2111, I$1:I2111&lt;&gt;""""),COUNTA(FILTER(I$1:I2111, I$1:I2111&lt;&gt;""""))))-1), IF('To Order'!$A2112=COL"&amp;"UMNS($A2112:I2131), I2111&amp;RIGHT(INDIRECT(ADDRESS(ROW(I2112)-1, 'From Order'!$A2112)), 1), I2111))"),"DTCTMZHPR")</f>
        <v>DTCTMZHPR</v>
      </c>
    </row>
    <row r="2113">
      <c r="A2113" s="2" t="str">
        <f>IFERROR(__xludf.DUMMYFUNCTION("IF('From Order'!$A2113=COLUMNS($A2113:A2132), LEFT(INDEX(FILTER(A$1:A2112, A$1:A2112&lt;&gt;""""),COUNTA(FILTER(A$1:A2112, A$1:A2112&lt;&gt;""""))), LEN(INDEX(FILTER(A$1:A2112, A$1:A2112&lt;&gt;""""),COUNTA(FILTER(A$1:A2112, A$1:A2112&lt;&gt;""""))))-1), IF('To Order'!$A2113=COL"&amp;"UMNS($A2113:A2132), A2112&amp;RIGHT(INDIRECT(ADDRESS(ROW(A2113)-1, 'From Order'!$A2113)), 1), A2112))"),"DSPBFLLWDDVQZDMT")</f>
        <v>DSPBFLLWDDVQZDMT</v>
      </c>
      <c r="B2113" s="2" t="str">
        <f>IFERROR(__xludf.DUMMYFUNCTION("IF('From Order'!$A2113=COLUMNS($A2113:B2132), LEFT(INDEX(FILTER(B$1:B2112, B$1:B2112&lt;&gt;""""),COUNTA(FILTER(B$1:B2112, B$1:B2112&lt;&gt;""""))), LEN(INDEX(FILTER(B$1:B2112, B$1:B2112&lt;&gt;""""),COUNTA(FILTER(B$1:B2112, B$1:B2112&lt;&gt;""""))))-1), IF('To Order'!$A2113=COL"&amp;"UMNS($A2113:B2132), B2112&amp;RIGHT(INDIRECT(ADDRESS(ROW(B2113)-1, 'From Order'!$A2113)), 1), B2112))"),"JDPSST")</f>
        <v>JDPSST</v>
      </c>
      <c r="C2113" s="2" t="str">
        <f>IFERROR(__xludf.DUMMYFUNCTION("IF('From Order'!$A2113=COLUMNS($A2113:C2132), LEFT(INDEX(FILTER(C$1:C2112, C$1:C2112&lt;&gt;""""),COUNTA(FILTER(C$1:C2112, C$1:C2112&lt;&gt;""""))), LEN(INDEX(FILTER(C$1:C2112, C$1:C2112&lt;&gt;""""),COUNTA(FILTER(C$1:C2112, C$1:C2112&lt;&gt;""""))))-1), IF('To Order'!$A2113=COL"&amp;"UMNS($A2113:C2132), C2112&amp;RIGHT(INDIRECT(ADDRESS(ROW(C2113)-1, 'From Order'!$A2113)), 1), C2112))"),"VBHCLRRJMGT")</f>
        <v>VBHCLRRJMGT</v>
      </c>
      <c r="D2113" s="2" t="str">
        <f>IFERROR(__xludf.DUMMYFUNCTION("IF('From Order'!$A2113=COLUMNS($A2113:D2132), LEFT(INDEX(FILTER(D$1:D2112, D$1:D2112&lt;&gt;""""),COUNTA(FILTER(D$1:D2112, D$1:D2112&lt;&gt;""""))), LEN(INDEX(FILTER(D$1:D2112, D$1:D2112&lt;&gt;""""),COUNTA(FILTER(D$1:D2112, D$1:D2112&lt;&gt;""""))))-1), IF('To Order'!$A2113=COL"&amp;"UMNS($A2113:D2132), D2112&amp;RIGHT(INDIRECT(ADDRESS(ROW(D2113)-1, 'From Order'!$A2113)), 1), D2112))"),"RBJVB")</f>
        <v>RBJVB</v>
      </c>
      <c r="E2113" s="2" t="str">
        <f>IFERROR(__xludf.DUMMYFUNCTION("IF('From Order'!$A2113=COLUMNS($A2113:E2132), LEFT(INDEX(FILTER(E$1:E2112, E$1:E2112&lt;&gt;""""),COUNTA(FILTER(E$1:E2112, E$1:E2112&lt;&gt;""""))), LEN(INDEX(FILTER(E$1:E2112, E$1:E2112&lt;&gt;""""),COUNTA(FILTER(E$1:E2112, E$1:E2112&lt;&gt;""""))))-1), IF('To Order'!$A2113=COL"&amp;"UMNS($A2113:E2132), E2112&amp;RIGHT(INDIRECT(ADDRESS(ROW(E2113)-1, 'From Order'!$A2113)), 1), E2112))"),"FSCZR")</f>
        <v>FSCZR</v>
      </c>
      <c r="F2113" s="2" t="str">
        <f>IFERROR(__xludf.DUMMYFUNCTION("IF('From Order'!$A2113=COLUMNS($A2113:F2132), LEFT(INDEX(FILTER(F$1:F2112, F$1:F2112&lt;&gt;""""),COUNTA(FILTER(F$1:F2112, F$1:F2112&lt;&gt;""""))), LEN(INDEX(FILTER(F$1:F2112, F$1:F2112&lt;&gt;""""),COUNTA(FILTER(F$1:F2112, F$1:F2112&lt;&gt;""""))))-1), IF('To Order'!$A2113=COL"&amp;"UMNS($A2113:F2132), F2112&amp;RIGHT(INDIRECT(ADDRESS(ROW(F2113)-1, 'From Order'!$A2113)), 1), F2112))"),"")</f>
        <v/>
      </c>
      <c r="G2113" s="2" t="str">
        <f>IFERROR(__xludf.DUMMYFUNCTION("IF('From Order'!$A2113=COLUMNS($A2113:G2132), LEFT(INDEX(FILTER(G$1:G2112, G$1:G2112&lt;&gt;""""),COUNTA(FILTER(G$1:G2112, G$1:G2112&lt;&gt;""""))), LEN(INDEX(FILTER(G$1:G2112, G$1:G2112&lt;&gt;""""),COUNTA(FILTER(G$1:G2112, G$1:G2112&lt;&gt;""""))))-1), IF('To Order'!$A2113=COL"&amp;"UMNS($A2113:G2132), G2112&amp;RIGHT(INDIRECT(ADDRESS(ROW(G2113)-1, 'From Order'!$A2113)), 1), G2112))"),"GW")</f>
        <v>GW</v>
      </c>
      <c r="H2113" s="2" t="str">
        <f>IFERROR(__xludf.DUMMYFUNCTION("IF('From Order'!$A2113=COLUMNS($A2113:H2132), LEFT(INDEX(FILTER(H$1:H2112, H$1:H2112&lt;&gt;""""),COUNTA(FILTER(H$1:H2112, H$1:H2112&lt;&gt;""""))), LEN(INDEX(FILTER(H$1:H2112, H$1:H2112&lt;&gt;""""),COUNTA(FILTER(H$1:H2112, H$1:H2112&lt;&gt;""""))))-1), IF('To Order'!$A2113=COL"&amp;"UMNS($A2113:H2132), H2112&amp;RIGHT(INDIRECT(ADDRESS(ROW(H2113)-1, 'From Order'!$A2113)), 1), H2112))"),"QT")</f>
        <v>QT</v>
      </c>
      <c r="I2113" s="2" t="str">
        <f>IFERROR(__xludf.DUMMYFUNCTION("IF('From Order'!$A2113=COLUMNS($A2113:I2132), LEFT(INDEX(FILTER(I$1:I2112, I$1:I2112&lt;&gt;""""),COUNTA(FILTER(I$1:I2112, I$1:I2112&lt;&gt;""""))), LEN(INDEX(FILTER(I$1:I2112, I$1:I2112&lt;&gt;""""),COUNTA(FILTER(I$1:I2112, I$1:I2112&lt;&gt;""""))))-1), IF('To Order'!$A2113=COL"&amp;"UMNS($A2113:I2132), I2112&amp;RIGHT(INDIRECT(ADDRESS(ROW(I2113)-1, 'From Order'!$A2113)), 1), I2112))"),"DTCTMZHPR")</f>
        <v>DTCTMZHPR</v>
      </c>
    </row>
    <row r="2114">
      <c r="A2114" s="2" t="str">
        <f>IFERROR(__xludf.DUMMYFUNCTION("IF('From Order'!$A2114=COLUMNS($A2114:A2133), LEFT(INDEX(FILTER(A$1:A2113, A$1:A2113&lt;&gt;""""),COUNTA(FILTER(A$1:A2113, A$1:A2113&lt;&gt;""""))), LEN(INDEX(FILTER(A$1:A2113, A$1:A2113&lt;&gt;""""),COUNTA(FILTER(A$1:A2113, A$1:A2113&lt;&gt;""""))))-1), IF('To Order'!$A2114=COL"&amp;"UMNS($A2114:A2133), A2113&amp;RIGHT(INDIRECT(ADDRESS(ROW(A2114)-1, 'From Order'!$A2114)), 1), A2113))"),"DSPBFLLWDDVQZDM")</f>
        <v>DSPBFLLWDDVQZDM</v>
      </c>
      <c r="B2114" s="2" t="str">
        <f>IFERROR(__xludf.DUMMYFUNCTION("IF('From Order'!$A2114=COLUMNS($A2114:B2133), LEFT(INDEX(FILTER(B$1:B2113, B$1:B2113&lt;&gt;""""),COUNTA(FILTER(B$1:B2113, B$1:B2113&lt;&gt;""""))), LEN(INDEX(FILTER(B$1:B2113, B$1:B2113&lt;&gt;""""),COUNTA(FILTER(B$1:B2113, B$1:B2113&lt;&gt;""""))))-1), IF('To Order'!$A2114=COL"&amp;"UMNS($A2114:B2133), B2113&amp;RIGHT(INDIRECT(ADDRESS(ROW(B2114)-1, 'From Order'!$A2114)), 1), B2113))"),"JDPSST")</f>
        <v>JDPSST</v>
      </c>
      <c r="C2114" s="2" t="str">
        <f>IFERROR(__xludf.DUMMYFUNCTION("IF('From Order'!$A2114=COLUMNS($A2114:C2133), LEFT(INDEX(FILTER(C$1:C2113, C$1:C2113&lt;&gt;""""),COUNTA(FILTER(C$1:C2113, C$1:C2113&lt;&gt;""""))), LEN(INDEX(FILTER(C$1:C2113, C$1:C2113&lt;&gt;""""),COUNTA(FILTER(C$1:C2113, C$1:C2113&lt;&gt;""""))))-1), IF('To Order'!$A2114=COL"&amp;"UMNS($A2114:C2133), C2113&amp;RIGHT(INDIRECT(ADDRESS(ROW(C2114)-1, 'From Order'!$A2114)), 1), C2113))"),"VBHCLRRJMGTT")</f>
        <v>VBHCLRRJMGTT</v>
      </c>
      <c r="D2114" s="2" t="str">
        <f>IFERROR(__xludf.DUMMYFUNCTION("IF('From Order'!$A2114=COLUMNS($A2114:D2133), LEFT(INDEX(FILTER(D$1:D2113, D$1:D2113&lt;&gt;""""),COUNTA(FILTER(D$1:D2113, D$1:D2113&lt;&gt;""""))), LEN(INDEX(FILTER(D$1:D2113, D$1:D2113&lt;&gt;""""),COUNTA(FILTER(D$1:D2113, D$1:D2113&lt;&gt;""""))))-1), IF('To Order'!$A2114=COL"&amp;"UMNS($A2114:D2133), D2113&amp;RIGHT(INDIRECT(ADDRESS(ROW(D2114)-1, 'From Order'!$A2114)), 1), D2113))"),"RBJVB")</f>
        <v>RBJVB</v>
      </c>
      <c r="E2114" s="2" t="str">
        <f>IFERROR(__xludf.DUMMYFUNCTION("IF('From Order'!$A2114=COLUMNS($A2114:E2133), LEFT(INDEX(FILTER(E$1:E2113, E$1:E2113&lt;&gt;""""),COUNTA(FILTER(E$1:E2113, E$1:E2113&lt;&gt;""""))), LEN(INDEX(FILTER(E$1:E2113, E$1:E2113&lt;&gt;""""),COUNTA(FILTER(E$1:E2113, E$1:E2113&lt;&gt;""""))))-1), IF('To Order'!$A2114=COL"&amp;"UMNS($A2114:E2133), E2113&amp;RIGHT(INDIRECT(ADDRESS(ROW(E2114)-1, 'From Order'!$A2114)), 1), E2113))"),"FSCZR")</f>
        <v>FSCZR</v>
      </c>
      <c r="F2114" s="2" t="str">
        <f>IFERROR(__xludf.DUMMYFUNCTION("IF('From Order'!$A2114=COLUMNS($A2114:F2133), LEFT(INDEX(FILTER(F$1:F2113, F$1:F2113&lt;&gt;""""),COUNTA(FILTER(F$1:F2113, F$1:F2113&lt;&gt;""""))), LEN(INDEX(FILTER(F$1:F2113, F$1:F2113&lt;&gt;""""),COUNTA(FILTER(F$1:F2113, F$1:F2113&lt;&gt;""""))))-1), IF('To Order'!$A2114=COL"&amp;"UMNS($A2114:F2133), F2113&amp;RIGHT(INDIRECT(ADDRESS(ROW(F2114)-1, 'From Order'!$A2114)), 1), F2113))"),"")</f>
        <v/>
      </c>
      <c r="G2114" s="2" t="str">
        <f>IFERROR(__xludf.DUMMYFUNCTION("IF('From Order'!$A2114=COLUMNS($A2114:G2133), LEFT(INDEX(FILTER(G$1:G2113, G$1:G2113&lt;&gt;""""),COUNTA(FILTER(G$1:G2113, G$1:G2113&lt;&gt;""""))), LEN(INDEX(FILTER(G$1:G2113, G$1:G2113&lt;&gt;""""),COUNTA(FILTER(G$1:G2113, G$1:G2113&lt;&gt;""""))))-1), IF('To Order'!$A2114=COL"&amp;"UMNS($A2114:G2133), G2113&amp;RIGHT(INDIRECT(ADDRESS(ROW(G2114)-1, 'From Order'!$A2114)), 1), G2113))"),"GW")</f>
        <v>GW</v>
      </c>
      <c r="H2114" s="2" t="str">
        <f>IFERROR(__xludf.DUMMYFUNCTION("IF('From Order'!$A2114=COLUMNS($A2114:H2133), LEFT(INDEX(FILTER(H$1:H2113, H$1:H2113&lt;&gt;""""),COUNTA(FILTER(H$1:H2113, H$1:H2113&lt;&gt;""""))), LEN(INDEX(FILTER(H$1:H2113, H$1:H2113&lt;&gt;""""),COUNTA(FILTER(H$1:H2113, H$1:H2113&lt;&gt;""""))))-1), IF('To Order'!$A2114=COL"&amp;"UMNS($A2114:H2133), H2113&amp;RIGHT(INDIRECT(ADDRESS(ROW(H2114)-1, 'From Order'!$A2114)), 1), H2113))"),"QT")</f>
        <v>QT</v>
      </c>
      <c r="I2114" s="2" t="str">
        <f>IFERROR(__xludf.DUMMYFUNCTION("IF('From Order'!$A2114=COLUMNS($A2114:I2133), LEFT(INDEX(FILTER(I$1:I2113, I$1:I2113&lt;&gt;""""),COUNTA(FILTER(I$1:I2113, I$1:I2113&lt;&gt;""""))), LEN(INDEX(FILTER(I$1:I2113, I$1:I2113&lt;&gt;""""),COUNTA(FILTER(I$1:I2113, I$1:I2113&lt;&gt;""""))))-1), IF('To Order'!$A2114=COL"&amp;"UMNS($A2114:I2133), I2113&amp;RIGHT(INDIRECT(ADDRESS(ROW(I2114)-1, 'From Order'!$A2114)), 1), I2113))"),"DTCTMZHPR")</f>
        <v>DTCTMZHPR</v>
      </c>
    </row>
    <row r="2115">
      <c r="A2115" s="2" t="str">
        <f>IFERROR(__xludf.DUMMYFUNCTION("IF('From Order'!$A2115=COLUMNS($A2115:A2134), LEFT(INDEX(FILTER(A$1:A2114, A$1:A2114&lt;&gt;""""),COUNTA(FILTER(A$1:A2114, A$1:A2114&lt;&gt;""""))), LEN(INDEX(FILTER(A$1:A2114, A$1:A2114&lt;&gt;""""),COUNTA(FILTER(A$1:A2114, A$1:A2114&lt;&gt;""""))))-1), IF('To Order'!$A2115=COL"&amp;"UMNS($A2115:A2134), A2114&amp;RIGHT(INDIRECT(ADDRESS(ROW(A2115)-1, 'From Order'!$A2115)), 1), A2114))"),"DSPBFLLWDDVQZD")</f>
        <v>DSPBFLLWDDVQZD</v>
      </c>
      <c r="B2115" s="2" t="str">
        <f>IFERROR(__xludf.DUMMYFUNCTION("IF('From Order'!$A2115=COLUMNS($A2115:B2134), LEFT(INDEX(FILTER(B$1:B2114, B$1:B2114&lt;&gt;""""),COUNTA(FILTER(B$1:B2114, B$1:B2114&lt;&gt;""""))), LEN(INDEX(FILTER(B$1:B2114, B$1:B2114&lt;&gt;""""),COUNTA(FILTER(B$1:B2114, B$1:B2114&lt;&gt;""""))))-1), IF('To Order'!$A2115=COL"&amp;"UMNS($A2115:B2134), B2114&amp;RIGHT(INDIRECT(ADDRESS(ROW(B2115)-1, 'From Order'!$A2115)), 1), B2114))"),"JDPSST")</f>
        <v>JDPSST</v>
      </c>
      <c r="C2115" s="2" t="str">
        <f>IFERROR(__xludf.DUMMYFUNCTION("IF('From Order'!$A2115=COLUMNS($A2115:C2134), LEFT(INDEX(FILTER(C$1:C2114, C$1:C2114&lt;&gt;""""),COUNTA(FILTER(C$1:C2114, C$1:C2114&lt;&gt;""""))), LEN(INDEX(FILTER(C$1:C2114, C$1:C2114&lt;&gt;""""),COUNTA(FILTER(C$1:C2114, C$1:C2114&lt;&gt;""""))))-1), IF('To Order'!$A2115=COL"&amp;"UMNS($A2115:C2134), C2114&amp;RIGHT(INDIRECT(ADDRESS(ROW(C2115)-1, 'From Order'!$A2115)), 1), C2114))"),"VBHCLRRJMGTTM")</f>
        <v>VBHCLRRJMGTTM</v>
      </c>
      <c r="D2115" s="2" t="str">
        <f>IFERROR(__xludf.DUMMYFUNCTION("IF('From Order'!$A2115=COLUMNS($A2115:D2134), LEFT(INDEX(FILTER(D$1:D2114, D$1:D2114&lt;&gt;""""),COUNTA(FILTER(D$1:D2114, D$1:D2114&lt;&gt;""""))), LEN(INDEX(FILTER(D$1:D2114, D$1:D2114&lt;&gt;""""),COUNTA(FILTER(D$1:D2114, D$1:D2114&lt;&gt;""""))))-1), IF('To Order'!$A2115=COL"&amp;"UMNS($A2115:D2134), D2114&amp;RIGHT(INDIRECT(ADDRESS(ROW(D2115)-1, 'From Order'!$A2115)), 1), D2114))"),"RBJVB")</f>
        <v>RBJVB</v>
      </c>
      <c r="E2115" s="2" t="str">
        <f>IFERROR(__xludf.DUMMYFUNCTION("IF('From Order'!$A2115=COLUMNS($A2115:E2134), LEFT(INDEX(FILTER(E$1:E2114, E$1:E2114&lt;&gt;""""),COUNTA(FILTER(E$1:E2114, E$1:E2114&lt;&gt;""""))), LEN(INDEX(FILTER(E$1:E2114, E$1:E2114&lt;&gt;""""),COUNTA(FILTER(E$1:E2114, E$1:E2114&lt;&gt;""""))))-1), IF('To Order'!$A2115=COL"&amp;"UMNS($A2115:E2134), E2114&amp;RIGHT(INDIRECT(ADDRESS(ROW(E2115)-1, 'From Order'!$A2115)), 1), E2114))"),"FSCZR")</f>
        <v>FSCZR</v>
      </c>
      <c r="F2115" s="2" t="str">
        <f>IFERROR(__xludf.DUMMYFUNCTION("IF('From Order'!$A2115=COLUMNS($A2115:F2134), LEFT(INDEX(FILTER(F$1:F2114, F$1:F2114&lt;&gt;""""),COUNTA(FILTER(F$1:F2114, F$1:F2114&lt;&gt;""""))), LEN(INDEX(FILTER(F$1:F2114, F$1:F2114&lt;&gt;""""),COUNTA(FILTER(F$1:F2114, F$1:F2114&lt;&gt;""""))))-1), IF('To Order'!$A2115=COL"&amp;"UMNS($A2115:F2134), F2114&amp;RIGHT(INDIRECT(ADDRESS(ROW(F2115)-1, 'From Order'!$A2115)), 1), F2114))"),"")</f>
        <v/>
      </c>
      <c r="G2115" s="2" t="str">
        <f>IFERROR(__xludf.DUMMYFUNCTION("IF('From Order'!$A2115=COLUMNS($A2115:G2134), LEFT(INDEX(FILTER(G$1:G2114, G$1:G2114&lt;&gt;""""),COUNTA(FILTER(G$1:G2114, G$1:G2114&lt;&gt;""""))), LEN(INDEX(FILTER(G$1:G2114, G$1:G2114&lt;&gt;""""),COUNTA(FILTER(G$1:G2114, G$1:G2114&lt;&gt;""""))))-1), IF('To Order'!$A2115=COL"&amp;"UMNS($A2115:G2134), G2114&amp;RIGHT(INDIRECT(ADDRESS(ROW(G2115)-1, 'From Order'!$A2115)), 1), G2114))"),"GW")</f>
        <v>GW</v>
      </c>
      <c r="H2115" s="2" t="str">
        <f>IFERROR(__xludf.DUMMYFUNCTION("IF('From Order'!$A2115=COLUMNS($A2115:H2134), LEFT(INDEX(FILTER(H$1:H2114, H$1:H2114&lt;&gt;""""),COUNTA(FILTER(H$1:H2114, H$1:H2114&lt;&gt;""""))), LEN(INDEX(FILTER(H$1:H2114, H$1:H2114&lt;&gt;""""),COUNTA(FILTER(H$1:H2114, H$1:H2114&lt;&gt;""""))))-1), IF('To Order'!$A2115=COL"&amp;"UMNS($A2115:H2134), H2114&amp;RIGHT(INDIRECT(ADDRESS(ROW(H2115)-1, 'From Order'!$A2115)), 1), H2114))"),"QT")</f>
        <v>QT</v>
      </c>
      <c r="I2115" s="2" t="str">
        <f>IFERROR(__xludf.DUMMYFUNCTION("IF('From Order'!$A2115=COLUMNS($A2115:I2134), LEFT(INDEX(FILTER(I$1:I2114, I$1:I2114&lt;&gt;""""),COUNTA(FILTER(I$1:I2114, I$1:I2114&lt;&gt;""""))), LEN(INDEX(FILTER(I$1:I2114, I$1:I2114&lt;&gt;""""),COUNTA(FILTER(I$1:I2114, I$1:I2114&lt;&gt;""""))))-1), IF('To Order'!$A2115=COL"&amp;"UMNS($A2115:I2134), I2114&amp;RIGHT(INDIRECT(ADDRESS(ROW(I2115)-1, 'From Order'!$A2115)), 1), I2114))"),"DTCTMZHPR")</f>
        <v>DTCTMZHPR</v>
      </c>
    </row>
    <row r="2116">
      <c r="A2116" s="2" t="str">
        <f>IFERROR(__xludf.DUMMYFUNCTION("IF('From Order'!$A2116=COLUMNS($A2116:A2135), LEFT(INDEX(FILTER(A$1:A2115, A$1:A2115&lt;&gt;""""),COUNTA(FILTER(A$1:A2115, A$1:A2115&lt;&gt;""""))), LEN(INDEX(FILTER(A$1:A2115, A$1:A2115&lt;&gt;""""),COUNTA(FILTER(A$1:A2115, A$1:A2115&lt;&gt;""""))))-1), IF('To Order'!$A2116=COL"&amp;"UMNS($A2116:A2135), A2115&amp;RIGHT(INDIRECT(ADDRESS(ROW(A2116)-1, 'From Order'!$A2116)), 1), A2115))"),"DSPBFLLWDDVQZ")</f>
        <v>DSPBFLLWDDVQZ</v>
      </c>
      <c r="B2116" s="2" t="str">
        <f>IFERROR(__xludf.DUMMYFUNCTION("IF('From Order'!$A2116=COLUMNS($A2116:B2135), LEFT(INDEX(FILTER(B$1:B2115, B$1:B2115&lt;&gt;""""),COUNTA(FILTER(B$1:B2115, B$1:B2115&lt;&gt;""""))), LEN(INDEX(FILTER(B$1:B2115, B$1:B2115&lt;&gt;""""),COUNTA(FILTER(B$1:B2115, B$1:B2115&lt;&gt;""""))))-1), IF('To Order'!$A2116=COL"&amp;"UMNS($A2116:B2135), B2115&amp;RIGHT(INDIRECT(ADDRESS(ROW(B2116)-1, 'From Order'!$A2116)), 1), B2115))"),"JDPSST")</f>
        <v>JDPSST</v>
      </c>
      <c r="C2116" s="2" t="str">
        <f>IFERROR(__xludf.DUMMYFUNCTION("IF('From Order'!$A2116=COLUMNS($A2116:C2135), LEFT(INDEX(FILTER(C$1:C2115, C$1:C2115&lt;&gt;""""),COUNTA(FILTER(C$1:C2115, C$1:C2115&lt;&gt;""""))), LEN(INDEX(FILTER(C$1:C2115, C$1:C2115&lt;&gt;""""),COUNTA(FILTER(C$1:C2115, C$1:C2115&lt;&gt;""""))))-1), IF('To Order'!$A2116=COL"&amp;"UMNS($A2116:C2135), C2115&amp;RIGHT(INDIRECT(ADDRESS(ROW(C2116)-1, 'From Order'!$A2116)), 1), C2115))"),"VBHCLRRJMGTTMD")</f>
        <v>VBHCLRRJMGTTMD</v>
      </c>
      <c r="D2116" s="2" t="str">
        <f>IFERROR(__xludf.DUMMYFUNCTION("IF('From Order'!$A2116=COLUMNS($A2116:D2135), LEFT(INDEX(FILTER(D$1:D2115, D$1:D2115&lt;&gt;""""),COUNTA(FILTER(D$1:D2115, D$1:D2115&lt;&gt;""""))), LEN(INDEX(FILTER(D$1:D2115, D$1:D2115&lt;&gt;""""),COUNTA(FILTER(D$1:D2115, D$1:D2115&lt;&gt;""""))))-1), IF('To Order'!$A2116=COL"&amp;"UMNS($A2116:D2135), D2115&amp;RIGHT(INDIRECT(ADDRESS(ROW(D2116)-1, 'From Order'!$A2116)), 1), D2115))"),"RBJVB")</f>
        <v>RBJVB</v>
      </c>
      <c r="E2116" s="2" t="str">
        <f>IFERROR(__xludf.DUMMYFUNCTION("IF('From Order'!$A2116=COLUMNS($A2116:E2135), LEFT(INDEX(FILTER(E$1:E2115, E$1:E2115&lt;&gt;""""),COUNTA(FILTER(E$1:E2115, E$1:E2115&lt;&gt;""""))), LEN(INDEX(FILTER(E$1:E2115, E$1:E2115&lt;&gt;""""),COUNTA(FILTER(E$1:E2115, E$1:E2115&lt;&gt;""""))))-1), IF('To Order'!$A2116=COL"&amp;"UMNS($A2116:E2135), E2115&amp;RIGHT(INDIRECT(ADDRESS(ROW(E2116)-1, 'From Order'!$A2116)), 1), E2115))"),"FSCZR")</f>
        <v>FSCZR</v>
      </c>
      <c r="F2116" s="2" t="str">
        <f>IFERROR(__xludf.DUMMYFUNCTION("IF('From Order'!$A2116=COLUMNS($A2116:F2135), LEFT(INDEX(FILTER(F$1:F2115, F$1:F2115&lt;&gt;""""),COUNTA(FILTER(F$1:F2115, F$1:F2115&lt;&gt;""""))), LEN(INDEX(FILTER(F$1:F2115, F$1:F2115&lt;&gt;""""),COUNTA(FILTER(F$1:F2115, F$1:F2115&lt;&gt;""""))))-1), IF('To Order'!$A2116=COL"&amp;"UMNS($A2116:F2135), F2115&amp;RIGHT(INDIRECT(ADDRESS(ROW(F2116)-1, 'From Order'!$A2116)), 1), F2115))"),"")</f>
        <v/>
      </c>
      <c r="G2116" s="2" t="str">
        <f>IFERROR(__xludf.DUMMYFUNCTION("IF('From Order'!$A2116=COLUMNS($A2116:G2135), LEFT(INDEX(FILTER(G$1:G2115, G$1:G2115&lt;&gt;""""),COUNTA(FILTER(G$1:G2115, G$1:G2115&lt;&gt;""""))), LEN(INDEX(FILTER(G$1:G2115, G$1:G2115&lt;&gt;""""),COUNTA(FILTER(G$1:G2115, G$1:G2115&lt;&gt;""""))))-1), IF('To Order'!$A2116=COL"&amp;"UMNS($A2116:G2135), G2115&amp;RIGHT(INDIRECT(ADDRESS(ROW(G2116)-1, 'From Order'!$A2116)), 1), G2115))"),"GW")</f>
        <v>GW</v>
      </c>
      <c r="H2116" s="2" t="str">
        <f>IFERROR(__xludf.DUMMYFUNCTION("IF('From Order'!$A2116=COLUMNS($A2116:H2135), LEFT(INDEX(FILTER(H$1:H2115, H$1:H2115&lt;&gt;""""),COUNTA(FILTER(H$1:H2115, H$1:H2115&lt;&gt;""""))), LEN(INDEX(FILTER(H$1:H2115, H$1:H2115&lt;&gt;""""),COUNTA(FILTER(H$1:H2115, H$1:H2115&lt;&gt;""""))))-1), IF('To Order'!$A2116=COL"&amp;"UMNS($A2116:H2135), H2115&amp;RIGHT(INDIRECT(ADDRESS(ROW(H2116)-1, 'From Order'!$A2116)), 1), H2115))"),"QT")</f>
        <v>QT</v>
      </c>
      <c r="I2116" s="2" t="str">
        <f>IFERROR(__xludf.DUMMYFUNCTION("IF('From Order'!$A2116=COLUMNS($A2116:I2135), LEFT(INDEX(FILTER(I$1:I2115, I$1:I2115&lt;&gt;""""),COUNTA(FILTER(I$1:I2115, I$1:I2115&lt;&gt;""""))), LEN(INDEX(FILTER(I$1:I2115, I$1:I2115&lt;&gt;""""),COUNTA(FILTER(I$1:I2115, I$1:I2115&lt;&gt;""""))))-1), IF('To Order'!$A2116=COL"&amp;"UMNS($A2116:I2135), I2115&amp;RIGHT(INDIRECT(ADDRESS(ROW(I2116)-1, 'From Order'!$A2116)), 1), I2115))"),"DTCTMZHPR")</f>
        <v>DTCTMZHPR</v>
      </c>
    </row>
    <row r="2117">
      <c r="A2117" s="2" t="str">
        <f>IFERROR(__xludf.DUMMYFUNCTION("IF('From Order'!$A2117=COLUMNS($A2117:A2136), LEFT(INDEX(FILTER(A$1:A2116, A$1:A2116&lt;&gt;""""),COUNTA(FILTER(A$1:A2116, A$1:A2116&lt;&gt;""""))), LEN(INDEX(FILTER(A$1:A2116, A$1:A2116&lt;&gt;""""),COUNTA(FILTER(A$1:A2116, A$1:A2116&lt;&gt;""""))))-1), IF('To Order'!$A2117=COL"&amp;"UMNS($A2117:A2136), A2116&amp;RIGHT(INDIRECT(ADDRESS(ROW(A2117)-1, 'From Order'!$A2117)), 1), A2116))"),"DSPBFLLWDDVQ")</f>
        <v>DSPBFLLWDDVQ</v>
      </c>
      <c r="B2117" s="2" t="str">
        <f>IFERROR(__xludf.DUMMYFUNCTION("IF('From Order'!$A2117=COLUMNS($A2117:B2136), LEFT(INDEX(FILTER(B$1:B2116, B$1:B2116&lt;&gt;""""),COUNTA(FILTER(B$1:B2116, B$1:B2116&lt;&gt;""""))), LEN(INDEX(FILTER(B$1:B2116, B$1:B2116&lt;&gt;""""),COUNTA(FILTER(B$1:B2116, B$1:B2116&lt;&gt;""""))))-1), IF('To Order'!$A2117=COL"&amp;"UMNS($A2117:B2136), B2116&amp;RIGHT(INDIRECT(ADDRESS(ROW(B2117)-1, 'From Order'!$A2117)), 1), B2116))"),"JDPSST")</f>
        <v>JDPSST</v>
      </c>
      <c r="C2117" s="2" t="str">
        <f>IFERROR(__xludf.DUMMYFUNCTION("IF('From Order'!$A2117=COLUMNS($A2117:C2136), LEFT(INDEX(FILTER(C$1:C2116, C$1:C2116&lt;&gt;""""),COUNTA(FILTER(C$1:C2116, C$1:C2116&lt;&gt;""""))), LEN(INDEX(FILTER(C$1:C2116, C$1:C2116&lt;&gt;""""),COUNTA(FILTER(C$1:C2116, C$1:C2116&lt;&gt;""""))))-1), IF('To Order'!$A2117=COL"&amp;"UMNS($A2117:C2136), C2116&amp;RIGHT(INDIRECT(ADDRESS(ROW(C2117)-1, 'From Order'!$A2117)), 1), C2116))"),"VBHCLRRJMGTTMDZ")</f>
        <v>VBHCLRRJMGTTMDZ</v>
      </c>
      <c r="D2117" s="2" t="str">
        <f>IFERROR(__xludf.DUMMYFUNCTION("IF('From Order'!$A2117=COLUMNS($A2117:D2136), LEFT(INDEX(FILTER(D$1:D2116, D$1:D2116&lt;&gt;""""),COUNTA(FILTER(D$1:D2116, D$1:D2116&lt;&gt;""""))), LEN(INDEX(FILTER(D$1:D2116, D$1:D2116&lt;&gt;""""),COUNTA(FILTER(D$1:D2116, D$1:D2116&lt;&gt;""""))))-1), IF('To Order'!$A2117=COL"&amp;"UMNS($A2117:D2136), D2116&amp;RIGHT(INDIRECT(ADDRESS(ROW(D2117)-1, 'From Order'!$A2117)), 1), D2116))"),"RBJVB")</f>
        <v>RBJVB</v>
      </c>
      <c r="E2117" s="2" t="str">
        <f>IFERROR(__xludf.DUMMYFUNCTION("IF('From Order'!$A2117=COLUMNS($A2117:E2136), LEFT(INDEX(FILTER(E$1:E2116, E$1:E2116&lt;&gt;""""),COUNTA(FILTER(E$1:E2116, E$1:E2116&lt;&gt;""""))), LEN(INDEX(FILTER(E$1:E2116, E$1:E2116&lt;&gt;""""),COUNTA(FILTER(E$1:E2116, E$1:E2116&lt;&gt;""""))))-1), IF('To Order'!$A2117=COL"&amp;"UMNS($A2117:E2136), E2116&amp;RIGHT(INDIRECT(ADDRESS(ROW(E2117)-1, 'From Order'!$A2117)), 1), E2116))"),"FSCZR")</f>
        <v>FSCZR</v>
      </c>
      <c r="F2117" s="2" t="str">
        <f>IFERROR(__xludf.DUMMYFUNCTION("IF('From Order'!$A2117=COLUMNS($A2117:F2136), LEFT(INDEX(FILTER(F$1:F2116, F$1:F2116&lt;&gt;""""),COUNTA(FILTER(F$1:F2116, F$1:F2116&lt;&gt;""""))), LEN(INDEX(FILTER(F$1:F2116, F$1:F2116&lt;&gt;""""),COUNTA(FILTER(F$1:F2116, F$1:F2116&lt;&gt;""""))))-1), IF('To Order'!$A2117=COL"&amp;"UMNS($A2117:F2136), F2116&amp;RIGHT(INDIRECT(ADDRESS(ROW(F2117)-1, 'From Order'!$A2117)), 1), F2116))"),"")</f>
        <v/>
      </c>
      <c r="G2117" s="2" t="str">
        <f>IFERROR(__xludf.DUMMYFUNCTION("IF('From Order'!$A2117=COLUMNS($A2117:G2136), LEFT(INDEX(FILTER(G$1:G2116, G$1:G2116&lt;&gt;""""),COUNTA(FILTER(G$1:G2116, G$1:G2116&lt;&gt;""""))), LEN(INDEX(FILTER(G$1:G2116, G$1:G2116&lt;&gt;""""),COUNTA(FILTER(G$1:G2116, G$1:G2116&lt;&gt;""""))))-1), IF('To Order'!$A2117=COL"&amp;"UMNS($A2117:G2136), G2116&amp;RIGHT(INDIRECT(ADDRESS(ROW(G2117)-1, 'From Order'!$A2117)), 1), G2116))"),"GW")</f>
        <v>GW</v>
      </c>
      <c r="H2117" s="2" t="str">
        <f>IFERROR(__xludf.DUMMYFUNCTION("IF('From Order'!$A2117=COLUMNS($A2117:H2136), LEFT(INDEX(FILTER(H$1:H2116, H$1:H2116&lt;&gt;""""),COUNTA(FILTER(H$1:H2116, H$1:H2116&lt;&gt;""""))), LEN(INDEX(FILTER(H$1:H2116, H$1:H2116&lt;&gt;""""),COUNTA(FILTER(H$1:H2116, H$1:H2116&lt;&gt;""""))))-1), IF('To Order'!$A2117=COL"&amp;"UMNS($A2117:H2136), H2116&amp;RIGHT(INDIRECT(ADDRESS(ROW(H2117)-1, 'From Order'!$A2117)), 1), H2116))"),"QT")</f>
        <v>QT</v>
      </c>
      <c r="I2117" s="2" t="str">
        <f>IFERROR(__xludf.DUMMYFUNCTION("IF('From Order'!$A2117=COLUMNS($A2117:I2136), LEFT(INDEX(FILTER(I$1:I2116, I$1:I2116&lt;&gt;""""),COUNTA(FILTER(I$1:I2116, I$1:I2116&lt;&gt;""""))), LEN(INDEX(FILTER(I$1:I2116, I$1:I2116&lt;&gt;""""),COUNTA(FILTER(I$1:I2116, I$1:I2116&lt;&gt;""""))))-1), IF('To Order'!$A2117=COL"&amp;"UMNS($A2117:I2136), I2116&amp;RIGHT(INDIRECT(ADDRESS(ROW(I2117)-1, 'From Order'!$A2117)), 1), I2116))"),"DTCTMZHPR")</f>
        <v>DTCTMZHPR</v>
      </c>
    </row>
    <row r="2118">
      <c r="A2118" s="2" t="str">
        <f>IFERROR(__xludf.DUMMYFUNCTION("IF('From Order'!$A2118=COLUMNS($A2118:A2137), LEFT(INDEX(FILTER(A$1:A2117, A$1:A2117&lt;&gt;""""),COUNTA(FILTER(A$1:A2117, A$1:A2117&lt;&gt;""""))), LEN(INDEX(FILTER(A$1:A2117, A$1:A2117&lt;&gt;""""),COUNTA(FILTER(A$1:A2117, A$1:A2117&lt;&gt;""""))))-1), IF('To Order'!$A2118=COL"&amp;"UMNS($A2118:A2137), A2117&amp;RIGHT(INDIRECT(ADDRESS(ROW(A2118)-1, 'From Order'!$A2118)), 1), A2117))"),"DSPBFLLWDDV")</f>
        <v>DSPBFLLWDDV</v>
      </c>
      <c r="B2118" s="2" t="str">
        <f>IFERROR(__xludf.DUMMYFUNCTION("IF('From Order'!$A2118=COLUMNS($A2118:B2137), LEFT(INDEX(FILTER(B$1:B2117, B$1:B2117&lt;&gt;""""),COUNTA(FILTER(B$1:B2117, B$1:B2117&lt;&gt;""""))), LEN(INDEX(FILTER(B$1:B2117, B$1:B2117&lt;&gt;""""),COUNTA(FILTER(B$1:B2117, B$1:B2117&lt;&gt;""""))))-1), IF('To Order'!$A2118=COL"&amp;"UMNS($A2118:B2137), B2117&amp;RIGHT(INDIRECT(ADDRESS(ROW(B2118)-1, 'From Order'!$A2118)), 1), B2117))"),"JDPSST")</f>
        <v>JDPSST</v>
      </c>
      <c r="C2118" s="2" t="str">
        <f>IFERROR(__xludf.DUMMYFUNCTION("IF('From Order'!$A2118=COLUMNS($A2118:C2137), LEFT(INDEX(FILTER(C$1:C2117, C$1:C2117&lt;&gt;""""),COUNTA(FILTER(C$1:C2117, C$1:C2117&lt;&gt;""""))), LEN(INDEX(FILTER(C$1:C2117, C$1:C2117&lt;&gt;""""),COUNTA(FILTER(C$1:C2117, C$1:C2117&lt;&gt;""""))))-1), IF('To Order'!$A2118=COL"&amp;"UMNS($A2118:C2137), C2117&amp;RIGHT(INDIRECT(ADDRESS(ROW(C2118)-1, 'From Order'!$A2118)), 1), C2117))"),"VBHCLRRJMGTTMDZQ")</f>
        <v>VBHCLRRJMGTTMDZQ</v>
      </c>
      <c r="D2118" s="2" t="str">
        <f>IFERROR(__xludf.DUMMYFUNCTION("IF('From Order'!$A2118=COLUMNS($A2118:D2137), LEFT(INDEX(FILTER(D$1:D2117, D$1:D2117&lt;&gt;""""),COUNTA(FILTER(D$1:D2117, D$1:D2117&lt;&gt;""""))), LEN(INDEX(FILTER(D$1:D2117, D$1:D2117&lt;&gt;""""),COUNTA(FILTER(D$1:D2117, D$1:D2117&lt;&gt;""""))))-1), IF('To Order'!$A2118=COL"&amp;"UMNS($A2118:D2137), D2117&amp;RIGHT(INDIRECT(ADDRESS(ROW(D2118)-1, 'From Order'!$A2118)), 1), D2117))"),"RBJVB")</f>
        <v>RBJVB</v>
      </c>
      <c r="E2118" s="2" t="str">
        <f>IFERROR(__xludf.DUMMYFUNCTION("IF('From Order'!$A2118=COLUMNS($A2118:E2137), LEFT(INDEX(FILTER(E$1:E2117, E$1:E2117&lt;&gt;""""),COUNTA(FILTER(E$1:E2117, E$1:E2117&lt;&gt;""""))), LEN(INDEX(FILTER(E$1:E2117, E$1:E2117&lt;&gt;""""),COUNTA(FILTER(E$1:E2117, E$1:E2117&lt;&gt;""""))))-1), IF('To Order'!$A2118=COL"&amp;"UMNS($A2118:E2137), E2117&amp;RIGHT(INDIRECT(ADDRESS(ROW(E2118)-1, 'From Order'!$A2118)), 1), E2117))"),"FSCZR")</f>
        <v>FSCZR</v>
      </c>
      <c r="F2118" s="2" t="str">
        <f>IFERROR(__xludf.DUMMYFUNCTION("IF('From Order'!$A2118=COLUMNS($A2118:F2137), LEFT(INDEX(FILTER(F$1:F2117, F$1:F2117&lt;&gt;""""),COUNTA(FILTER(F$1:F2117, F$1:F2117&lt;&gt;""""))), LEN(INDEX(FILTER(F$1:F2117, F$1:F2117&lt;&gt;""""),COUNTA(FILTER(F$1:F2117, F$1:F2117&lt;&gt;""""))))-1), IF('To Order'!$A2118=COL"&amp;"UMNS($A2118:F2137), F2117&amp;RIGHT(INDIRECT(ADDRESS(ROW(F2118)-1, 'From Order'!$A2118)), 1), F2117))"),"")</f>
        <v/>
      </c>
      <c r="G2118" s="2" t="str">
        <f>IFERROR(__xludf.DUMMYFUNCTION("IF('From Order'!$A2118=COLUMNS($A2118:G2137), LEFT(INDEX(FILTER(G$1:G2117, G$1:G2117&lt;&gt;""""),COUNTA(FILTER(G$1:G2117, G$1:G2117&lt;&gt;""""))), LEN(INDEX(FILTER(G$1:G2117, G$1:G2117&lt;&gt;""""),COUNTA(FILTER(G$1:G2117, G$1:G2117&lt;&gt;""""))))-1), IF('To Order'!$A2118=COL"&amp;"UMNS($A2118:G2137), G2117&amp;RIGHT(INDIRECT(ADDRESS(ROW(G2118)-1, 'From Order'!$A2118)), 1), G2117))"),"GW")</f>
        <v>GW</v>
      </c>
      <c r="H2118" s="2" t="str">
        <f>IFERROR(__xludf.DUMMYFUNCTION("IF('From Order'!$A2118=COLUMNS($A2118:H2137), LEFT(INDEX(FILTER(H$1:H2117, H$1:H2117&lt;&gt;""""),COUNTA(FILTER(H$1:H2117, H$1:H2117&lt;&gt;""""))), LEN(INDEX(FILTER(H$1:H2117, H$1:H2117&lt;&gt;""""),COUNTA(FILTER(H$1:H2117, H$1:H2117&lt;&gt;""""))))-1), IF('To Order'!$A2118=COL"&amp;"UMNS($A2118:H2137), H2117&amp;RIGHT(INDIRECT(ADDRESS(ROW(H2118)-1, 'From Order'!$A2118)), 1), H2117))"),"QT")</f>
        <v>QT</v>
      </c>
      <c r="I2118" s="2" t="str">
        <f>IFERROR(__xludf.DUMMYFUNCTION("IF('From Order'!$A2118=COLUMNS($A2118:I2137), LEFT(INDEX(FILTER(I$1:I2117, I$1:I2117&lt;&gt;""""),COUNTA(FILTER(I$1:I2117, I$1:I2117&lt;&gt;""""))), LEN(INDEX(FILTER(I$1:I2117, I$1:I2117&lt;&gt;""""),COUNTA(FILTER(I$1:I2117, I$1:I2117&lt;&gt;""""))))-1), IF('To Order'!$A2118=COL"&amp;"UMNS($A2118:I2137), I2117&amp;RIGHT(INDIRECT(ADDRESS(ROW(I2118)-1, 'From Order'!$A2118)), 1), I2117))"),"DTCTMZHPR")</f>
        <v>DTCTMZHPR</v>
      </c>
    </row>
    <row r="2119">
      <c r="A2119" s="2" t="str">
        <f>IFERROR(__xludf.DUMMYFUNCTION("IF('From Order'!$A2119=COLUMNS($A2119:A2138), LEFT(INDEX(FILTER(A$1:A2118, A$1:A2118&lt;&gt;""""),COUNTA(FILTER(A$1:A2118, A$1:A2118&lt;&gt;""""))), LEN(INDEX(FILTER(A$1:A2118, A$1:A2118&lt;&gt;""""),COUNTA(FILTER(A$1:A2118, A$1:A2118&lt;&gt;""""))))-1), IF('To Order'!$A2119=COL"&amp;"UMNS($A2119:A2138), A2118&amp;RIGHT(INDIRECT(ADDRESS(ROW(A2119)-1, 'From Order'!$A2119)), 1), A2118))"),"DSPBFLLWDD")</f>
        <v>DSPBFLLWDD</v>
      </c>
      <c r="B2119" s="2" t="str">
        <f>IFERROR(__xludf.DUMMYFUNCTION("IF('From Order'!$A2119=COLUMNS($A2119:B2138), LEFT(INDEX(FILTER(B$1:B2118, B$1:B2118&lt;&gt;""""),COUNTA(FILTER(B$1:B2118, B$1:B2118&lt;&gt;""""))), LEN(INDEX(FILTER(B$1:B2118, B$1:B2118&lt;&gt;""""),COUNTA(FILTER(B$1:B2118, B$1:B2118&lt;&gt;""""))))-1), IF('To Order'!$A2119=COL"&amp;"UMNS($A2119:B2138), B2118&amp;RIGHT(INDIRECT(ADDRESS(ROW(B2119)-1, 'From Order'!$A2119)), 1), B2118))"),"JDPSST")</f>
        <v>JDPSST</v>
      </c>
      <c r="C2119" s="2" t="str">
        <f>IFERROR(__xludf.DUMMYFUNCTION("IF('From Order'!$A2119=COLUMNS($A2119:C2138), LEFT(INDEX(FILTER(C$1:C2118, C$1:C2118&lt;&gt;""""),COUNTA(FILTER(C$1:C2118, C$1:C2118&lt;&gt;""""))), LEN(INDEX(FILTER(C$1:C2118, C$1:C2118&lt;&gt;""""),COUNTA(FILTER(C$1:C2118, C$1:C2118&lt;&gt;""""))))-1), IF('To Order'!$A2119=COL"&amp;"UMNS($A2119:C2138), C2118&amp;RIGHT(INDIRECT(ADDRESS(ROW(C2119)-1, 'From Order'!$A2119)), 1), C2118))"),"VBHCLRRJMGTTMDZQV")</f>
        <v>VBHCLRRJMGTTMDZQV</v>
      </c>
      <c r="D2119" s="2" t="str">
        <f>IFERROR(__xludf.DUMMYFUNCTION("IF('From Order'!$A2119=COLUMNS($A2119:D2138), LEFT(INDEX(FILTER(D$1:D2118, D$1:D2118&lt;&gt;""""),COUNTA(FILTER(D$1:D2118, D$1:D2118&lt;&gt;""""))), LEN(INDEX(FILTER(D$1:D2118, D$1:D2118&lt;&gt;""""),COUNTA(FILTER(D$1:D2118, D$1:D2118&lt;&gt;""""))))-1), IF('To Order'!$A2119=COL"&amp;"UMNS($A2119:D2138), D2118&amp;RIGHT(INDIRECT(ADDRESS(ROW(D2119)-1, 'From Order'!$A2119)), 1), D2118))"),"RBJVB")</f>
        <v>RBJVB</v>
      </c>
      <c r="E2119" s="2" t="str">
        <f>IFERROR(__xludf.DUMMYFUNCTION("IF('From Order'!$A2119=COLUMNS($A2119:E2138), LEFT(INDEX(FILTER(E$1:E2118, E$1:E2118&lt;&gt;""""),COUNTA(FILTER(E$1:E2118, E$1:E2118&lt;&gt;""""))), LEN(INDEX(FILTER(E$1:E2118, E$1:E2118&lt;&gt;""""),COUNTA(FILTER(E$1:E2118, E$1:E2118&lt;&gt;""""))))-1), IF('To Order'!$A2119=COL"&amp;"UMNS($A2119:E2138), E2118&amp;RIGHT(INDIRECT(ADDRESS(ROW(E2119)-1, 'From Order'!$A2119)), 1), E2118))"),"FSCZR")</f>
        <v>FSCZR</v>
      </c>
      <c r="F2119" s="2" t="str">
        <f>IFERROR(__xludf.DUMMYFUNCTION("IF('From Order'!$A2119=COLUMNS($A2119:F2138), LEFT(INDEX(FILTER(F$1:F2118, F$1:F2118&lt;&gt;""""),COUNTA(FILTER(F$1:F2118, F$1:F2118&lt;&gt;""""))), LEN(INDEX(FILTER(F$1:F2118, F$1:F2118&lt;&gt;""""),COUNTA(FILTER(F$1:F2118, F$1:F2118&lt;&gt;""""))))-1), IF('To Order'!$A2119=COL"&amp;"UMNS($A2119:F2138), F2118&amp;RIGHT(INDIRECT(ADDRESS(ROW(F2119)-1, 'From Order'!$A2119)), 1), F2118))"),"")</f>
        <v/>
      </c>
      <c r="G2119" s="2" t="str">
        <f>IFERROR(__xludf.DUMMYFUNCTION("IF('From Order'!$A2119=COLUMNS($A2119:G2138), LEFT(INDEX(FILTER(G$1:G2118, G$1:G2118&lt;&gt;""""),COUNTA(FILTER(G$1:G2118, G$1:G2118&lt;&gt;""""))), LEN(INDEX(FILTER(G$1:G2118, G$1:G2118&lt;&gt;""""),COUNTA(FILTER(G$1:G2118, G$1:G2118&lt;&gt;""""))))-1), IF('To Order'!$A2119=COL"&amp;"UMNS($A2119:G2138), G2118&amp;RIGHT(INDIRECT(ADDRESS(ROW(G2119)-1, 'From Order'!$A2119)), 1), G2118))"),"GW")</f>
        <v>GW</v>
      </c>
      <c r="H2119" s="2" t="str">
        <f>IFERROR(__xludf.DUMMYFUNCTION("IF('From Order'!$A2119=COLUMNS($A2119:H2138), LEFT(INDEX(FILTER(H$1:H2118, H$1:H2118&lt;&gt;""""),COUNTA(FILTER(H$1:H2118, H$1:H2118&lt;&gt;""""))), LEN(INDEX(FILTER(H$1:H2118, H$1:H2118&lt;&gt;""""),COUNTA(FILTER(H$1:H2118, H$1:H2118&lt;&gt;""""))))-1), IF('To Order'!$A2119=COL"&amp;"UMNS($A2119:H2138), H2118&amp;RIGHT(INDIRECT(ADDRESS(ROW(H2119)-1, 'From Order'!$A2119)), 1), H2118))"),"QT")</f>
        <v>QT</v>
      </c>
      <c r="I2119" s="2" t="str">
        <f>IFERROR(__xludf.DUMMYFUNCTION("IF('From Order'!$A2119=COLUMNS($A2119:I2138), LEFT(INDEX(FILTER(I$1:I2118, I$1:I2118&lt;&gt;""""),COUNTA(FILTER(I$1:I2118, I$1:I2118&lt;&gt;""""))), LEN(INDEX(FILTER(I$1:I2118, I$1:I2118&lt;&gt;""""),COUNTA(FILTER(I$1:I2118, I$1:I2118&lt;&gt;""""))))-1), IF('To Order'!$A2119=COL"&amp;"UMNS($A2119:I2138), I2118&amp;RIGHT(INDIRECT(ADDRESS(ROW(I2119)-1, 'From Order'!$A2119)), 1), I2118))"),"DTCTMZHPR")</f>
        <v>DTCTMZHPR</v>
      </c>
    </row>
    <row r="2120">
      <c r="A2120" s="2" t="str">
        <f>IFERROR(__xludf.DUMMYFUNCTION("IF('From Order'!$A2120=COLUMNS($A2120:A2139), LEFT(INDEX(FILTER(A$1:A2119, A$1:A2119&lt;&gt;""""),COUNTA(FILTER(A$1:A2119, A$1:A2119&lt;&gt;""""))), LEN(INDEX(FILTER(A$1:A2119, A$1:A2119&lt;&gt;""""),COUNTA(FILTER(A$1:A2119, A$1:A2119&lt;&gt;""""))))-1), IF('To Order'!$A2120=COL"&amp;"UMNS($A2120:A2139), A2119&amp;RIGHT(INDIRECT(ADDRESS(ROW(A2120)-1, 'From Order'!$A2120)), 1), A2119))"),"DSPBFLLWD")</f>
        <v>DSPBFLLWD</v>
      </c>
      <c r="B2120" s="2" t="str">
        <f>IFERROR(__xludf.DUMMYFUNCTION("IF('From Order'!$A2120=COLUMNS($A2120:B2139), LEFT(INDEX(FILTER(B$1:B2119, B$1:B2119&lt;&gt;""""),COUNTA(FILTER(B$1:B2119, B$1:B2119&lt;&gt;""""))), LEN(INDEX(FILTER(B$1:B2119, B$1:B2119&lt;&gt;""""),COUNTA(FILTER(B$1:B2119, B$1:B2119&lt;&gt;""""))))-1), IF('To Order'!$A2120=COL"&amp;"UMNS($A2120:B2139), B2119&amp;RIGHT(INDIRECT(ADDRESS(ROW(B2120)-1, 'From Order'!$A2120)), 1), B2119))"),"JDPSST")</f>
        <v>JDPSST</v>
      </c>
      <c r="C2120" s="2" t="str">
        <f>IFERROR(__xludf.DUMMYFUNCTION("IF('From Order'!$A2120=COLUMNS($A2120:C2139), LEFT(INDEX(FILTER(C$1:C2119, C$1:C2119&lt;&gt;""""),COUNTA(FILTER(C$1:C2119, C$1:C2119&lt;&gt;""""))), LEN(INDEX(FILTER(C$1:C2119, C$1:C2119&lt;&gt;""""),COUNTA(FILTER(C$1:C2119, C$1:C2119&lt;&gt;""""))))-1), IF('To Order'!$A2120=COL"&amp;"UMNS($A2120:C2139), C2119&amp;RIGHT(INDIRECT(ADDRESS(ROW(C2120)-1, 'From Order'!$A2120)), 1), C2119))"),"VBHCLRRJMGTTMDZQVD")</f>
        <v>VBHCLRRJMGTTMDZQVD</v>
      </c>
      <c r="D2120" s="2" t="str">
        <f>IFERROR(__xludf.DUMMYFUNCTION("IF('From Order'!$A2120=COLUMNS($A2120:D2139), LEFT(INDEX(FILTER(D$1:D2119, D$1:D2119&lt;&gt;""""),COUNTA(FILTER(D$1:D2119, D$1:D2119&lt;&gt;""""))), LEN(INDEX(FILTER(D$1:D2119, D$1:D2119&lt;&gt;""""),COUNTA(FILTER(D$1:D2119, D$1:D2119&lt;&gt;""""))))-1), IF('To Order'!$A2120=COL"&amp;"UMNS($A2120:D2139), D2119&amp;RIGHT(INDIRECT(ADDRESS(ROW(D2120)-1, 'From Order'!$A2120)), 1), D2119))"),"RBJVB")</f>
        <v>RBJVB</v>
      </c>
      <c r="E2120" s="2" t="str">
        <f>IFERROR(__xludf.DUMMYFUNCTION("IF('From Order'!$A2120=COLUMNS($A2120:E2139), LEFT(INDEX(FILTER(E$1:E2119, E$1:E2119&lt;&gt;""""),COUNTA(FILTER(E$1:E2119, E$1:E2119&lt;&gt;""""))), LEN(INDEX(FILTER(E$1:E2119, E$1:E2119&lt;&gt;""""),COUNTA(FILTER(E$1:E2119, E$1:E2119&lt;&gt;""""))))-1), IF('To Order'!$A2120=COL"&amp;"UMNS($A2120:E2139), E2119&amp;RIGHT(INDIRECT(ADDRESS(ROW(E2120)-1, 'From Order'!$A2120)), 1), E2119))"),"FSCZR")</f>
        <v>FSCZR</v>
      </c>
      <c r="F2120" s="2" t="str">
        <f>IFERROR(__xludf.DUMMYFUNCTION("IF('From Order'!$A2120=COLUMNS($A2120:F2139), LEFT(INDEX(FILTER(F$1:F2119, F$1:F2119&lt;&gt;""""),COUNTA(FILTER(F$1:F2119, F$1:F2119&lt;&gt;""""))), LEN(INDEX(FILTER(F$1:F2119, F$1:F2119&lt;&gt;""""),COUNTA(FILTER(F$1:F2119, F$1:F2119&lt;&gt;""""))))-1), IF('To Order'!$A2120=COL"&amp;"UMNS($A2120:F2139), F2119&amp;RIGHT(INDIRECT(ADDRESS(ROW(F2120)-1, 'From Order'!$A2120)), 1), F2119))"),"")</f>
        <v/>
      </c>
      <c r="G2120" s="2" t="str">
        <f>IFERROR(__xludf.DUMMYFUNCTION("IF('From Order'!$A2120=COLUMNS($A2120:G2139), LEFT(INDEX(FILTER(G$1:G2119, G$1:G2119&lt;&gt;""""),COUNTA(FILTER(G$1:G2119, G$1:G2119&lt;&gt;""""))), LEN(INDEX(FILTER(G$1:G2119, G$1:G2119&lt;&gt;""""),COUNTA(FILTER(G$1:G2119, G$1:G2119&lt;&gt;""""))))-1), IF('To Order'!$A2120=COL"&amp;"UMNS($A2120:G2139), G2119&amp;RIGHT(INDIRECT(ADDRESS(ROW(G2120)-1, 'From Order'!$A2120)), 1), G2119))"),"GW")</f>
        <v>GW</v>
      </c>
      <c r="H2120" s="2" t="str">
        <f>IFERROR(__xludf.DUMMYFUNCTION("IF('From Order'!$A2120=COLUMNS($A2120:H2139), LEFT(INDEX(FILTER(H$1:H2119, H$1:H2119&lt;&gt;""""),COUNTA(FILTER(H$1:H2119, H$1:H2119&lt;&gt;""""))), LEN(INDEX(FILTER(H$1:H2119, H$1:H2119&lt;&gt;""""),COUNTA(FILTER(H$1:H2119, H$1:H2119&lt;&gt;""""))))-1), IF('To Order'!$A2120=COL"&amp;"UMNS($A2120:H2139), H2119&amp;RIGHT(INDIRECT(ADDRESS(ROW(H2120)-1, 'From Order'!$A2120)), 1), H2119))"),"QT")</f>
        <v>QT</v>
      </c>
      <c r="I2120" s="2" t="str">
        <f>IFERROR(__xludf.DUMMYFUNCTION("IF('From Order'!$A2120=COLUMNS($A2120:I2139), LEFT(INDEX(FILTER(I$1:I2119, I$1:I2119&lt;&gt;""""),COUNTA(FILTER(I$1:I2119, I$1:I2119&lt;&gt;""""))), LEN(INDEX(FILTER(I$1:I2119, I$1:I2119&lt;&gt;""""),COUNTA(FILTER(I$1:I2119, I$1:I2119&lt;&gt;""""))))-1), IF('To Order'!$A2120=COL"&amp;"UMNS($A2120:I2139), I2119&amp;RIGHT(INDIRECT(ADDRESS(ROW(I2120)-1, 'From Order'!$A2120)), 1), I2119))"),"DTCTMZHPR")</f>
        <v>DTCTMZHPR</v>
      </c>
    </row>
    <row r="2121">
      <c r="A2121" s="2" t="str">
        <f>IFERROR(__xludf.DUMMYFUNCTION("IF('From Order'!$A2121=COLUMNS($A2121:A2140), LEFT(INDEX(FILTER(A$1:A2120, A$1:A2120&lt;&gt;""""),COUNTA(FILTER(A$1:A2120, A$1:A2120&lt;&gt;""""))), LEN(INDEX(FILTER(A$1:A2120, A$1:A2120&lt;&gt;""""),COUNTA(FILTER(A$1:A2120, A$1:A2120&lt;&gt;""""))))-1), IF('To Order'!$A2121=COL"&amp;"UMNS($A2121:A2140), A2120&amp;RIGHT(INDIRECT(ADDRESS(ROW(A2121)-1, 'From Order'!$A2121)), 1), A2120))"),"DSPBFLLW")</f>
        <v>DSPBFLLW</v>
      </c>
      <c r="B2121" s="2" t="str">
        <f>IFERROR(__xludf.DUMMYFUNCTION("IF('From Order'!$A2121=COLUMNS($A2121:B2140), LEFT(INDEX(FILTER(B$1:B2120, B$1:B2120&lt;&gt;""""),COUNTA(FILTER(B$1:B2120, B$1:B2120&lt;&gt;""""))), LEN(INDEX(FILTER(B$1:B2120, B$1:B2120&lt;&gt;""""),COUNTA(FILTER(B$1:B2120, B$1:B2120&lt;&gt;""""))))-1), IF('To Order'!$A2121=COL"&amp;"UMNS($A2121:B2140), B2120&amp;RIGHT(INDIRECT(ADDRESS(ROW(B2121)-1, 'From Order'!$A2121)), 1), B2120))"),"JDPSST")</f>
        <v>JDPSST</v>
      </c>
      <c r="C2121" s="2" t="str">
        <f>IFERROR(__xludf.DUMMYFUNCTION("IF('From Order'!$A2121=COLUMNS($A2121:C2140), LEFT(INDEX(FILTER(C$1:C2120, C$1:C2120&lt;&gt;""""),COUNTA(FILTER(C$1:C2120, C$1:C2120&lt;&gt;""""))), LEN(INDEX(FILTER(C$1:C2120, C$1:C2120&lt;&gt;""""),COUNTA(FILTER(C$1:C2120, C$1:C2120&lt;&gt;""""))))-1), IF('To Order'!$A2121=COL"&amp;"UMNS($A2121:C2140), C2120&amp;RIGHT(INDIRECT(ADDRESS(ROW(C2121)-1, 'From Order'!$A2121)), 1), C2120))"),"VBHCLRRJMGTTMDZQVDD")</f>
        <v>VBHCLRRJMGTTMDZQVDD</v>
      </c>
      <c r="D2121" s="2" t="str">
        <f>IFERROR(__xludf.DUMMYFUNCTION("IF('From Order'!$A2121=COLUMNS($A2121:D2140), LEFT(INDEX(FILTER(D$1:D2120, D$1:D2120&lt;&gt;""""),COUNTA(FILTER(D$1:D2120, D$1:D2120&lt;&gt;""""))), LEN(INDEX(FILTER(D$1:D2120, D$1:D2120&lt;&gt;""""),COUNTA(FILTER(D$1:D2120, D$1:D2120&lt;&gt;""""))))-1), IF('To Order'!$A2121=COL"&amp;"UMNS($A2121:D2140), D2120&amp;RIGHT(INDIRECT(ADDRESS(ROW(D2121)-1, 'From Order'!$A2121)), 1), D2120))"),"RBJVB")</f>
        <v>RBJVB</v>
      </c>
      <c r="E2121" s="2" t="str">
        <f>IFERROR(__xludf.DUMMYFUNCTION("IF('From Order'!$A2121=COLUMNS($A2121:E2140), LEFT(INDEX(FILTER(E$1:E2120, E$1:E2120&lt;&gt;""""),COUNTA(FILTER(E$1:E2120, E$1:E2120&lt;&gt;""""))), LEN(INDEX(FILTER(E$1:E2120, E$1:E2120&lt;&gt;""""),COUNTA(FILTER(E$1:E2120, E$1:E2120&lt;&gt;""""))))-1), IF('To Order'!$A2121=COL"&amp;"UMNS($A2121:E2140), E2120&amp;RIGHT(INDIRECT(ADDRESS(ROW(E2121)-1, 'From Order'!$A2121)), 1), E2120))"),"FSCZR")</f>
        <v>FSCZR</v>
      </c>
      <c r="F2121" s="2" t="str">
        <f>IFERROR(__xludf.DUMMYFUNCTION("IF('From Order'!$A2121=COLUMNS($A2121:F2140), LEFT(INDEX(FILTER(F$1:F2120, F$1:F2120&lt;&gt;""""),COUNTA(FILTER(F$1:F2120, F$1:F2120&lt;&gt;""""))), LEN(INDEX(FILTER(F$1:F2120, F$1:F2120&lt;&gt;""""),COUNTA(FILTER(F$1:F2120, F$1:F2120&lt;&gt;""""))))-1), IF('To Order'!$A2121=COL"&amp;"UMNS($A2121:F2140), F2120&amp;RIGHT(INDIRECT(ADDRESS(ROW(F2121)-1, 'From Order'!$A2121)), 1), F2120))"),"")</f>
        <v/>
      </c>
      <c r="G2121" s="2" t="str">
        <f>IFERROR(__xludf.DUMMYFUNCTION("IF('From Order'!$A2121=COLUMNS($A2121:G2140), LEFT(INDEX(FILTER(G$1:G2120, G$1:G2120&lt;&gt;""""),COUNTA(FILTER(G$1:G2120, G$1:G2120&lt;&gt;""""))), LEN(INDEX(FILTER(G$1:G2120, G$1:G2120&lt;&gt;""""),COUNTA(FILTER(G$1:G2120, G$1:G2120&lt;&gt;""""))))-1), IF('To Order'!$A2121=COL"&amp;"UMNS($A2121:G2140), G2120&amp;RIGHT(INDIRECT(ADDRESS(ROW(G2121)-1, 'From Order'!$A2121)), 1), G2120))"),"GW")</f>
        <v>GW</v>
      </c>
      <c r="H2121" s="2" t="str">
        <f>IFERROR(__xludf.DUMMYFUNCTION("IF('From Order'!$A2121=COLUMNS($A2121:H2140), LEFT(INDEX(FILTER(H$1:H2120, H$1:H2120&lt;&gt;""""),COUNTA(FILTER(H$1:H2120, H$1:H2120&lt;&gt;""""))), LEN(INDEX(FILTER(H$1:H2120, H$1:H2120&lt;&gt;""""),COUNTA(FILTER(H$1:H2120, H$1:H2120&lt;&gt;""""))))-1), IF('To Order'!$A2121=COL"&amp;"UMNS($A2121:H2140), H2120&amp;RIGHT(INDIRECT(ADDRESS(ROW(H2121)-1, 'From Order'!$A2121)), 1), H2120))"),"QT")</f>
        <v>QT</v>
      </c>
      <c r="I2121" s="2" t="str">
        <f>IFERROR(__xludf.DUMMYFUNCTION("IF('From Order'!$A2121=COLUMNS($A2121:I2140), LEFT(INDEX(FILTER(I$1:I2120, I$1:I2120&lt;&gt;""""),COUNTA(FILTER(I$1:I2120, I$1:I2120&lt;&gt;""""))), LEN(INDEX(FILTER(I$1:I2120, I$1:I2120&lt;&gt;""""),COUNTA(FILTER(I$1:I2120, I$1:I2120&lt;&gt;""""))))-1), IF('To Order'!$A2121=COL"&amp;"UMNS($A2121:I2140), I2120&amp;RIGHT(INDIRECT(ADDRESS(ROW(I2121)-1, 'From Order'!$A2121)), 1), I2120))"),"DTCTMZHPR")</f>
        <v>DTCTMZHPR</v>
      </c>
    </row>
    <row r="2122">
      <c r="A2122" s="2" t="str">
        <f>IFERROR(__xludf.DUMMYFUNCTION("IF('From Order'!$A2122=COLUMNS($A2122:A2141), LEFT(INDEX(FILTER(A$1:A2121, A$1:A2121&lt;&gt;""""),COUNTA(FILTER(A$1:A2121, A$1:A2121&lt;&gt;""""))), LEN(INDEX(FILTER(A$1:A2121, A$1:A2121&lt;&gt;""""),COUNTA(FILTER(A$1:A2121, A$1:A2121&lt;&gt;""""))))-1), IF('To Order'!$A2122=COL"&amp;"UMNS($A2122:A2141), A2121&amp;RIGHT(INDIRECT(ADDRESS(ROW(A2122)-1, 'From Order'!$A2122)), 1), A2121))"),"DSPBFLLW")</f>
        <v>DSPBFLLW</v>
      </c>
      <c r="B2122" s="2" t="str">
        <f>IFERROR(__xludf.DUMMYFUNCTION("IF('From Order'!$A2122=COLUMNS($A2122:B2141), LEFT(INDEX(FILTER(B$1:B2121, B$1:B2121&lt;&gt;""""),COUNTA(FILTER(B$1:B2121, B$1:B2121&lt;&gt;""""))), LEN(INDEX(FILTER(B$1:B2121, B$1:B2121&lt;&gt;""""),COUNTA(FILTER(B$1:B2121, B$1:B2121&lt;&gt;""""))))-1), IF('To Order'!$A2122=COL"&amp;"UMNS($A2122:B2141), B2121&amp;RIGHT(INDIRECT(ADDRESS(ROW(B2122)-1, 'From Order'!$A2122)), 1), B2121))"),"JDPSST")</f>
        <v>JDPSST</v>
      </c>
      <c r="C2122" s="2" t="str">
        <f>IFERROR(__xludf.DUMMYFUNCTION("IF('From Order'!$A2122=COLUMNS($A2122:C2141), LEFT(INDEX(FILTER(C$1:C2121, C$1:C2121&lt;&gt;""""),COUNTA(FILTER(C$1:C2121, C$1:C2121&lt;&gt;""""))), LEN(INDEX(FILTER(C$1:C2121, C$1:C2121&lt;&gt;""""),COUNTA(FILTER(C$1:C2121, C$1:C2121&lt;&gt;""""))))-1), IF('To Order'!$A2122=COL"&amp;"UMNS($A2122:C2141), C2121&amp;RIGHT(INDIRECT(ADDRESS(ROW(C2122)-1, 'From Order'!$A2122)), 1), C2121))"),"VBHCLRRJMGTTMDZQVDD")</f>
        <v>VBHCLRRJMGTTMDZQVDD</v>
      </c>
      <c r="D2122" s="2" t="str">
        <f>IFERROR(__xludf.DUMMYFUNCTION("IF('From Order'!$A2122=COLUMNS($A2122:D2141), LEFT(INDEX(FILTER(D$1:D2121, D$1:D2121&lt;&gt;""""),COUNTA(FILTER(D$1:D2121, D$1:D2121&lt;&gt;""""))), LEN(INDEX(FILTER(D$1:D2121, D$1:D2121&lt;&gt;""""),COUNTA(FILTER(D$1:D2121, D$1:D2121&lt;&gt;""""))))-1), IF('To Order'!$A2122=COL"&amp;"UMNS($A2122:D2141), D2121&amp;RIGHT(INDIRECT(ADDRESS(ROW(D2122)-1, 'From Order'!$A2122)), 1), D2121))"),"RBJVBR")</f>
        <v>RBJVBR</v>
      </c>
      <c r="E2122" s="2" t="str">
        <f>IFERROR(__xludf.DUMMYFUNCTION("IF('From Order'!$A2122=COLUMNS($A2122:E2141), LEFT(INDEX(FILTER(E$1:E2121, E$1:E2121&lt;&gt;""""),COUNTA(FILTER(E$1:E2121, E$1:E2121&lt;&gt;""""))), LEN(INDEX(FILTER(E$1:E2121, E$1:E2121&lt;&gt;""""),COUNTA(FILTER(E$1:E2121, E$1:E2121&lt;&gt;""""))))-1), IF('To Order'!$A2122=COL"&amp;"UMNS($A2122:E2141), E2121&amp;RIGHT(INDIRECT(ADDRESS(ROW(E2122)-1, 'From Order'!$A2122)), 1), E2121))"),"FSCZR")</f>
        <v>FSCZR</v>
      </c>
      <c r="F2122" s="2" t="str">
        <f>IFERROR(__xludf.DUMMYFUNCTION("IF('From Order'!$A2122=COLUMNS($A2122:F2141), LEFT(INDEX(FILTER(F$1:F2121, F$1:F2121&lt;&gt;""""),COUNTA(FILTER(F$1:F2121, F$1:F2121&lt;&gt;""""))), LEN(INDEX(FILTER(F$1:F2121, F$1:F2121&lt;&gt;""""),COUNTA(FILTER(F$1:F2121, F$1:F2121&lt;&gt;""""))))-1), IF('To Order'!$A2122=COL"&amp;"UMNS($A2122:F2141), F2121&amp;RIGHT(INDIRECT(ADDRESS(ROW(F2122)-1, 'From Order'!$A2122)), 1), F2121))"),"")</f>
        <v/>
      </c>
      <c r="G2122" s="2" t="str">
        <f>IFERROR(__xludf.DUMMYFUNCTION("IF('From Order'!$A2122=COLUMNS($A2122:G2141), LEFT(INDEX(FILTER(G$1:G2121, G$1:G2121&lt;&gt;""""),COUNTA(FILTER(G$1:G2121, G$1:G2121&lt;&gt;""""))), LEN(INDEX(FILTER(G$1:G2121, G$1:G2121&lt;&gt;""""),COUNTA(FILTER(G$1:G2121, G$1:G2121&lt;&gt;""""))))-1), IF('To Order'!$A2122=COL"&amp;"UMNS($A2122:G2141), G2121&amp;RIGHT(INDIRECT(ADDRESS(ROW(G2122)-1, 'From Order'!$A2122)), 1), G2121))"),"GW")</f>
        <v>GW</v>
      </c>
      <c r="H2122" s="2" t="str">
        <f>IFERROR(__xludf.DUMMYFUNCTION("IF('From Order'!$A2122=COLUMNS($A2122:H2141), LEFT(INDEX(FILTER(H$1:H2121, H$1:H2121&lt;&gt;""""),COUNTA(FILTER(H$1:H2121, H$1:H2121&lt;&gt;""""))), LEN(INDEX(FILTER(H$1:H2121, H$1:H2121&lt;&gt;""""),COUNTA(FILTER(H$1:H2121, H$1:H2121&lt;&gt;""""))))-1), IF('To Order'!$A2122=COL"&amp;"UMNS($A2122:H2141), H2121&amp;RIGHT(INDIRECT(ADDRESS(ROW(H2122)-1, 'From Order'!$A2122)), 1), H2121))"),"QT")</f>
        <v>QT</v>
      </c>
      <c r="I2122" s="2" t="str">
        <f>IFERROR(__xludf.DUMMYFUNCTION("IF('From Order'!$A2122=COLUMNS($A2122:I2141), LEFT(INDEX(FILTER(I$1:I2121, I$1:I2121&lt;&gt;""""),COUNTA(FILTER(I$1:I2121, I$1:I2121&lt;&gt;""""))), LEN(INDEX(FILTER(I$1:I2121, I$1:I2121&lt;&gt;""""),COUNTA(FILTER(I$1:I2121, I$1:I2121&lt;&gt;""""))))-1), IF('To Order'!$A2122=COL"&amp;"UMNS($A2122:I2141), I2121&amp;RIGHT(INDIRECT(ADDRESS(ROW(I2122)-1, 'From Order'!$A2122)), 1), I2121))"),"DTCTMZHP")</f>
        <v>DTCTMZHP</v>
      </c>
    </row>
    <row r="2123">
      <c r="A2123" s="2" t="str">
        <f>IFERROR(__xludf.DUMMYFUNCTION("IF('From Order'!$A2123=COLUMNS($A2123:A2142), LEFT(INDEX(FILTER(A$1:A2122, A$1:A2122&lt;&gt;""""),COUNTA(FILTER(A$1:A2122, A$1:A2122&lt;&gt;""""))), LEN(INDEX(FILTER(A$1:A2122, A$1:A2122&lt;&gt;""""),COUNTA(FILTER(A$1:A2122, A$1:A2122&lt;&gt;""""))))-1), IF('To Order'!$A2123=COL"&amp;"UMNS($A2123:A2142), A2122&amp;RIGHT(INDIRECT(ADDRESS(ROW(A2123)-1, 'From Order'!$A2123)), 1), A2122))"),"DSPBFLLW")</f>
        <v>DSPBFLLW</v>
      </c>
      <c r="B2123" s="2" t="str">
        <f>IFERROR(__xludf.DUMMYFUNCTION("IF('From Order'!$A2123=COLUMNS($A2123:B2142), LEFT(INDEX(FILTER(B$1:B2122, B$1:B2122&lt;&gt;""""),COUNTA(FILTER(B$1:B2122, B$1:B2122&lt;&gt;""""))), LEN(INDEX(FILTER(B$1:B2122, B$1:B2122&lt;&gt;""""),COUNTA(FILTER(B$1:B2122, B$1:B2122&lt;&gt;""""))))-1), IF('To Order'!$A2123=COL"&amp;"UMNS($A2123:B2142), B2122&amp;RIGHT(INDIRECT(ADDRESS(ROW(B2123)-1, 'From Order'!$A2123)), 1), B2122))"),"JDPSST")</f>
        <v>JDPSST</v>
      </c>
      <c r="C2123" s="2" t="str">
        <f>IFERROR(__xludf.DUMMYFUNCTION("IF('From Order'!$A2123=COLUMNS($A2123:C2142), LEFT(INDEX(FILTER(C$1:C2122, C$1:C2122&lt;&gt;""""),COUNTA(FILTER(C$1:C2122, C$1:C2122&lt;&gt;""""))), LEN(INDEX(FILTER(C$1:C2122, C$1:C2122&lt;&gt;""""),COUNTA(FILTER(C$1:C2122, C$1:C2122&lt;&gt;""""))))-1), IF('To Order'!$A2123=COL"&amp;"UMNS($A2123:C2142), C2122&amp;RIGHT(INDIRECT(ADDRESS(ROW(C2123)-1, 'From Order'!$A2123)), 1), C2122))"),"VBHCLRRJMGTTMDZQVDD")</f>
        <v>VBHCLRRJMGTTMDZQVDD</v>
      </c>
      <c r="D2123" s="2" t="str">
        <f>IFERROR(__xludf.DUMMYFUNCTION("IF('From Order'!$A2123=COLUMNS($A2123:D2142), LEFT(INDEX(FILTER(D$1:D2122, D$1:D2122&lt;&gt;""""),COUNTA(FILTER(D$1:D2122, D$1:D2122&lt;&gt;""""))), LEN(INDEX(FILTER(D$1:D2122, D$1:D2122&lt;&gt;""""),COUNTA(FILTER(D$1:D2122, D$1:D2122&lt;&gt;""""))))-1), IF('To Order'!$A2123=COL"&amp;"UMNS($A2123:D2142), D2122&amp;RIGHT(INDIRECT(ADDRESS(ROW(D2123)-1, 'From Order'!$A2123)), 1), D2122))"),"RBJVBRP")</f>
        <v>RBJVBRP</v>
      </c>
      <c r="E2123" s="2" t="str">
        <f>IFERROR(__xludf.DUMMYFUNCTION("IF('From Order'!$A2123=COLUMNS($A2123:E2142), LEFT(INDEX(FILTER(E$1:E2122, E$1:E2122&lt;&gt;""""),COUNTA(FILTER(E$1:E2122, E$1:E2122&lt;&gt;""""))), LEN(INDEX(FILTER(E$1:E2122, E$1:E2122&lt;&gt;""""),COUNTA(FILTER(E$1:E2122, E$1:E2122&lt;&gt;""""))))-1), IF('To Order'!$A2123=COL"&amp;"UMNS($A2123:E2142), E2122&amp;RIGHT(INDIRECT(ADDRESS(ROW(E2123)-1, 'From Order'!$A2123)), 1), E2122))"),"FSCZR")</f>
        <v>FSCZR</v>
      </c>
      <c r="F2123" s="2" t="str">
        <f>IFERROR(__xludf.DUMMYFUNCTION("IF('From Order'!$A2123=COLUMNS($A2123:F2142), LEFT(INDEX(FILTER(F$1:F2122, F$1:F2122&lt;&gt;""""),COUNTA(FILTER(F$1:F2122, F$1:F2122&lt;&gt;""""))), LEN(INDEX(FILTER(F$1:F2122, F$1:F2122&lt;&gt;""""),COUNTA(FILTER(F$1:F2122, F$1:F2122&lt;&gt;""""))))-1), IF('To Order'!$A2123=COL"&amp;"UMNS($A2123:F2142), F2122&amp;RIGHT(INDIRECT(ADDRESS(ROW(F2123)-1, 'From Order'!$A2123)), 1), F2122))"),"")</f>
        <v/>
      </c>
      <c r="G2123" s="2" t="str">
        <f>IFERROR(__xludf.DUMMYFUNCTION("IF('From Order'!$A2123=COLUMNS($A2123:G2142), LEFT(INDEX(FILTER(G$1:G2122, G$1:G2122&lt;&gt;""""),COUNTA(FILTER(G$1:G2122, G$1:G2122&lt;&gt;""""))), LEN(INDEX(FILTER(G$1:G2122, G$1:G2122&lt;&gt;""""),COUNTA(FILTER(G$1:G2122, G$1:G2122&lt;&gt;""""))))-1), IF('To Order'!$A2123=COL"&amp;"UMNS($A2123:G2142), G2122&amp;RIGHT(INDIRECT(ADDRESS(ROW(G2123)-1, 'From Order'!$A2123)), 1), G2122))"),"GW")</f>
        <v>GW</v>
      </c>
      <c r="H2123" s="2" t="str">
        <f>IFERROR(__xludf.DUMMYFUNCTION("IF('From Order'!$A2123=COLUMNS($A2123:H2142), LEFT(INDEX(FILTER(H$1:H2122, H$1:H2122&lt;&gt;""""),COUNTA(FILTER(H$1:H2122, H$1:H2122&lt;&gt;""""))), LEN(INDEX(FILTER(H$1:H2122, H$1:H2122&lt;&gt;""""),COUNTA(FILTER(H$1:H2122, H$1:H2122&lt;&gt;""""))))-1), IF('To Order'!$A2123=COL"&amp;"UMNS($A2123:H2142), H2122&amp;RIGHT(INDIRECT(ADDRESS(ROW(H2123)-1, 'From Order'!$A2123)), 1), H2122))"),"QT")</f>
        <v>QT</v>
      </c>
      <c r="I2123" s="2" t="str">
        <f>IFERROR(__xludf.DUMMYFUNCTION("IF('From Order'!$A2123=COLUMNS($A2123:I2142), LEFT(INDEX(FILTER(I$1:I2122, I$1:I2122&lt;&gt;""""),COUNTA(FILTER(I$1:I2122, I$1:I2122&lt;&gt;""""))), LEN(INDEX(FILTER(I$1:I2122, I$1:I2122&lt;&gt;""""),COUNTA(FILTER(I$1:I2122, I$1:I2122&lt;&gt;""""))))-1), IF('To Order'!$A2123=COL"&amp;"UMNS($A2123:I2142), I2122&amp;RIGHT(INDIRECT(ADDRESS(ROW(I2123)-1, 'From Order'!$A2123)), 1), I2122))"),"DTCTMZH")</f>
        <v>DTCTMZH</v>
      </c>
    </row>
    <row r="2124">
      <c r="A2124" s="2" t="str">
        <f>IFERROR(__xludf.DUMMYFUNCTION("IF('From Order'!$A2124=COLUMNS($A2124:A2143), LEFT(INDEX(FILTER(A$1:A2123, A$1:A2123&lt;&gt;""""),COUNTA(FILTER(A$1:A2123, A$1:A2123&lt;&gt;""""))), LEN(INDEX(FILTER(A$1:A2123, A$1:A2123&lt;&gt;""""),COUNTA(FILTER(A$1:A2123, A$1:A2123&lt;&gt;""""))))-1), IF('To Order'!$A2124=COL"&amp;"UMNS($A2124:A2143), A2123&amp;RIGHT(INDIRECT(ADDRESS(ROW(A2124)-1, 'From Order'!$A2124)), 1), A2123))"),"DSPBFLLW")</f>
        <v>DSPBFLLW</v>
      </c>
      <c r="B2124" s="2" t="str">
        <f>IFERROR(__xludf.DUMMYFUNCTION("IF('From Order'!$A2124=COLUMNS($A2124:B2143), LEFT(INDEX(FILTER(B$1:B2123, B$1:B2123&lt;&gt;""""),COUNTA(FILTER(B$1:B2123, B$1:B2123&lt;&gt;""""))), LEN(INDEX(FILTER(B$1:B2123, B$1:B2123&lt;&gt;""""),COUNTA(FILTER(B$1:B2123, B$1:B2123&lt;&gt;""""))))-1), IF('To Order'!$A2124=COL"&amp;"UMNS($A2124:B2143), B2123&amp;RIGHT(INDIRECT(ADDRESS(ROW(B2124)-1, 'From Order'!$A2124)), 1), B2123))"),"JDPSST")</f>
        <v>JDPSST</v>
      </c>
      <c r="C2124" s="2" t="str">
        <f>IFERROR(__xludf.DUMMYFUNCTION("IF('From Order'!$A2124=COLUMNS($A2124:C2143), LEFT(INDEX(FILTER(C$1:C2123, C$1:C2123&lt;&gt;""""),COUNTA(FILTER(C$1:C2123, C$1:C2123&lt;&gt;""""))), LEN(INDEX(FILTER(C$1:C2123, C$1:C2123&lt;&gt;""""),COUNTA(FILTER(C$1:C2123, C$1:C2123&lt;&gt;""""))))-1), IF('To Order'!$A2124=COL"&amp;"UMNS($A2124:C2143), C2123&amp;RIGHT(INDIRECT(ADDRESS(ROW(C2124)-1, 'From Order'!$A2124)), 1), C2123))"),"VBHCLRRJMGTTMDZQVDD")</f>
        <v>VBHCLRRJMGTTMDZQVDD</v>
      </c>
      <c r="D2124" s="2" t="str">
        <f>IFERROR(__xludf.DUMMYFUNCTION("IF('From Order'!$A2124=COLUMNS($A2124:D2143), LEFT(INDEX(FILTER(D$1:D2123, D$1:D2123&lt;&gt;""""),COUNTA(FILTER(D$1:D2123, D$1:D2123&lt;&gt;""""))), LEN(INDEX(FILTER(D$1:D2123, D$1:D2123&lt;&gt;""""),COUNTA(FILTER(D$1:D2123, D$1:D2123&lt;&gt;""""))))-1), IF('To Order'!$A2124=COL"&amp;"UMNS($A2124:D2143), D2123&amp;RIGHT(INDIRECT(ADDRESS(ROW(D2124)-1, 'From Order'!$A2124)), 1), D2123))"),"RBJVBRPH")</f>
        <v>RBJVBRPH</v>
      </c>
      <c r="E2124" s="2" t="str">
        <f>IFERROR(__xludf.DUMMYFUNCTION("IF('From Order'!$A2124=COLUMNS($A2124:E2143), LEFT(INDEX(FILTER(E$1:E2123, E$1:E2123&lt;&gt;""""),COUNTA(FILTER(E$1:E2123, E$1:E2123&lt;&gt;""""))), LEN(INDEX(FILTER(E$1:E2123, E$1:E2123&lt;&gt;""""),COUNTA(FILTER(E$1:E2123, E$1:E2123&lt;&gt;""""))))-1), IF('To Order'!$A2124=COL"&amp;"UMNS($A2124:E2143), E2123&amp;RIGHT(INDIRECT(ADDRESS(ROW(E2124)-1, 'From Order'!$A2124)), 1), E2123))"),"FSCZR")</f>
        <v>FSCZR</v>
      </c>
      <c r="F2124" s="2" t="str">
        <f>IFERROR(__xludf.DUMMYFUNCTION("IF('From Order'!$A2124=COLUMNS($A2124:F2143), LEFT(INDEX(FILTER(F$1:F2123, F$1:F2123&lt;&gt;""""),COUNTA(FILTER(F$1:F2123, F$1:F2123&lt;&gt;""""))), LEN(INDEX(FILTER(F$1:F2123, F$1:F2123&lt;&gt;""""),COUNTA(FILTER(F$1:F2123, F$1:F2123&lt;&gt;""""))))-1), IF('To Order'!$A2124=COL"&amp;"UMNS($A2124:F2143), F2123&amp;RIGHT(INDIRECT(ADDRESS(ROW(F2124)-1, 'From Order'!$A2124)), 1), F2123))"),"")</f>
        <v/>
      </c>
      <c r="G2124" s="2" t="str">
        <f>IFERROR(__xludf.DUMMYFUNCTION("IF('From Order'!$A2124=COLUMNS($A2124:G2143), LEFT(INDEX(FILTER(G$1:G2123, G$1:G2123&lt;&gt;""""),COUNTA(FILTER(G$1:G2123, G$1:G2123&lt;&gt;""""))), LEN(INDEX(FILTER(G$1:G2123, G$1:G2123&lt;&gt;""""),COUNTA(FILTER(G$1:G2123, G$1:G2123&lt;&gt;""""))))-1), IF('To Order'!$A2124=COL"&amp;"UMNS($A2124:G2143), G2123&amp;RIGHT(INDIRECT(ADDRESS(ROW(G2124)-1, 'From Order'!$A2124)), 1), G2123))"),"GW")</f>
        <v>GW</v>
      </c>
      <c r="H2124" s="2" t="str">
        <f>IFERROR(__xludf.DUMMYFUNCTION("IF('From Order'!$A2124=COLUMNS($A2124:H2143), LEFT(INDEX(FILTER(H$1:H2123, H$1:H2123&lt;&gt;""""),COUNTA(FILTER(H$1:H2123, H$1:H2123&lt;&gt;""""))), LEN(INDEX(FILTER(H$1:H2123, H$1:H2123&lt;&gt;""""),COUNTA(FILTER(H$1:H2123, H$1:H2123&lt;&gt;""""))))-1), IF('To Order'!$A2124=COL"&amp;"UMNS($A2124:H2143), H2123&amp;RIGHT(INDIRECT(ADDRESS(ROW(H2124)-1, 'From Order'!$A2124)), 1), H2123))"),"QT")</f>
        <v>QT</v>
      </c>
      <c r="I2124" s="2" t="str">
        <f>IFERROR(__xludf.DUMMYFUNCTION("IF('From Order'!$A2124=COLUMNS($A2124:I2143), LEFT(INDEX(FILTER(I$1:I2123, I$1:I2123&lt;&gt;""""),COUNTA(FILTER(I$1:I2123, I$1:I2123&lt;&gt;""""))), LEN(INDEX(FILTER(I$1:I2123, I$1:I2123&lt;&gt;""""),COUNTA(FILTER(I$1:I2123, I$1:I2123&lt;&gt;""""))))-1), IF('To Order'!$A2124=COL"&amp;"UMNS($A2124:I2143), I2123&amp;RIGHT(INDIRECT(ADDRESS(ROW(I2124)-1, 'From Order'!$A2124)), 1), I2123))"),"DTCTMZ")</f>
        <v>DTCTMZ</v>
      </c>
    </row>
    <row r="2125">
      <c r="A2125" s="2" t="str">
        <f>IFERROR(__xludf.DUMMYFUNCTION("IF('From Order'!$A2125=COLUMNS($A2125:A2144), LEFT(INDEX(FILTER(A$1:A2124, A$1:A2124&lt;&gt;""""),COUNTA(FILTER(A$1:A2124, A$1:A2124&lt;&gt;""""))), LEN(INDEX(FILTER(A$1:A2124, A$1:A2124&lt;&gt;""""),COUNTA(FILTER(A$1:A2124, A$1:A2124&lt;&gt;""""))))-1), IF('To Order'!$A2125=COL"&amp;"UMNS($A2125:A2144), A2124&amp;RIGHT(INDIRECT(ADDRESS(ROW(A2125)-1, 'From Order'!$A2125)), 1), A2124))"),"DSPBFLLW")</f>
        <v>DSPBFLLW</v>
      </c>
      <c r="B2125" s="2" t="str">
        <f>IFERROR(__xludf.DUMMYFUNCTION("IF('From Order'!$A2125=COLUMNS($A2125:B2144), LEFT(INDEX(FILTER(B$1:B2124, B$1:B2124&lt;&gt;""""),COUNTA(FILTER(B$1:B2124, B$1:B2124&lt;&gt;""""))), LEN(INDEX(FILTER(B$1:B2124, B$1:B2124&lt;&gt;""""),COUNTA(FILTER(B$1:B2124, B$1:B2124&lt;&gt;""""))))-1), IF('To Order'!$A2125=COL"&amp;"UMNS($A2125:B2144), B2124&amp;RIGHT(INDIRECT(ADDRESS(ROW(B2125)-1, 'From Order'!$A2125)), 1), B2124))"),"JDPSST")</f>
        <v>JDPSST</v>
      </c>
      <c r="C2125" s="2" t="str">
        <f>IFERROR(__xludf.DUMMYFUNCTION("IF('From Order'!$A2125=COLUMNS($A2125:C2144), LEFT(INDEX(FILTER(C$1:C2124, C$1:C2124&lt;&gt;""""),COUNTA(FILTER(C$1:C2124, C$1:C2124&lt;&gt;""""))), LEN(INDEX(FILTER(C$1:C2124, C$1:C2124&lt;&gt;""""),COUNTA(FILTER(C$1:C2124, C$1:C2124&lt;&gt;""""))))-1), IF('To Order'!$A2125=COL"&amp;"UMNS($A2125:C2144), C2124&amp;RIGHT(INDIRECT(ADDRESS(ROW(C2125)-1, 'From Order'!$A2125)), 1), C2124))"),"VBHCLRRJMGTTMDZQVDD")</f>
        <v>VBHCLRRJMGTTMDZQVDD</v>
      </c>
      <c r="D2125" s="2" t="str">
        <f>IFERROR(__xludf.DUMMYFUNCTION("IF('From Order'!$A2125=COLUMNS($A2125:D2144), LEFT(INDEX(FILTER(D$1:D2124, D$1:D2124&lt;&gt;""""),COUNTA(FILTER(D$1:D2124, D$1:D2124&lt;&gt;""""))), LEN(INDEX(FILTER(D$1:D2124, D$1:D2124&lt;&gt;""""),COUNTA(FILTER(D$1:D2124, D$1:D2124&lt;&gt;""""))))-1), IF('To Order'!$A2125=COL"&amp;"UMNS($A2125:D2144), D2124&amp;RIGHT(INDIRECT(ADDRESS(ROW(D2125)-1, 'From Order'!$A2125)), 1), D2124))"),"RBJVBRPHZ")</f>
        <v>RBJVBRPHZ</v>
      </c>
      <c r="E2125" s="2" t="str">
        <f>IFERROR(__xludf.DUMMYFUNCTION("IF('From Order'!$A2125=COLUMNS($A2125:E2144), LEFT(INDEX(FILTER(E$1:E2124, E$1:E2124&lt;&gt;""""),COUNTA(FILTER(E$1:E2124, E$1:E2124&lt;&gt;""""))), LEN(INDEX(FILTER(E$1:E2124, E$1:E2124&lt;&gt;""""),COUNTA(FILTER(E$1:E2124, E$1:E2124&lt;&gt;""""))))-1), IF('To Order'!$A2125=COL"&amp;"UMNS($A2125:E2144), E2124&amp;RIGHT(INDIRECT(ADDRESS(ROW(E2125)-1, 'From Order'!$A2125)), 1), E2124))"),"FSCZR")</f>
        <v>FSCZR</v>
      </c>
      <c r="F2125" s="2" t="str">
        <f>IFERROR(__xludf.DUMMYFUNCTION("IF('From Order'!$A2125=COLUMNS($A2125:F2144), LEFT(INDEX(FILTER(F$1:F2124, F$1:F2124&lt;&gt;""""),COUNTA(FILTER(F$1:F2124, F$1:F2124&lt;&gt;""""))), LEN(INDEX(FILTER(F$1:F2124, F$1:F2124&lt;&gt;""""),COUNTA(FILTER(F$1:F2124, F$1:F2124&lt;&gt;""""))))-1), IF('To Order'!$A2125=COL"&amp;"UMNS($A2125:F2144), F2124&amp;RIGHT(INDIRECT(ADDRESS(ROW(F2125)-1, 'From Order'!$A2125)), 1), F2124))"),"")</f>
        <v/>
      </c>
      <c r="G2125" s="2" t="str">
        <f>IFERROR(__xludf.DUMMYFUNCTION("IF('From Order'!$A2125=COLUMNS($A2125:G2144), LEFT(INDEX(FILTER(G$1:G2124, G$1:G2124&lt;&gt;""""),COUNTA(FILTER(G$1:G2124, G$1:G2124&lt;&gt;""""))), LEN(INDEX(FILTER(G$1:G2124, G$1:G2124&lt;&gt;""""),COUNTA(FILTER(G$1:G2124, G$1:G2124&lt;&gt;""""))))-1), IF('To Order'!$A2125=COL"&amp;"UMNS($A2125:G2144), G2124&amp;RIGHT(INDIRECT(ADDRESS(ROW(G2125)-1, 'From Order'!$A2125)), 1), G2124))"),"GW")</f>
        <v>GW</v>
      </c>
      <c r="H2125" s="2" t="str">
        <f>IFERROR(__xludf.DUMMYFUNCTION("IF('From Order'!$A2125=COLUMNS($A2125:H2144), LEFT(INDEX(FILTER(H$1:H2124, H$1:H2124&lt;&gt;""""),COUNTA(FILTER(H$1:H2124, H$1:H2124&lt;&gt;""""))), LEN(INDEX(FILTER(H$1:H2124, H$1:H2124&lt;&gt;""""),COUNTA(FILTER(H$1:H2124, H$1:H2124&lt;&gt;""""))))-1), IF('To Order'!$A2125=COL"&amp;"UMNS($A2125:H2144), H2124&amp;RIGHT(INDIRECT(ADDRESS(ROW(H2125)-1, 'From Order'!$A2125)), 1), H2124))"),"QT")</f>
        <v>QT</v>
      </c>
      <c r="I2125" s="2" t="str">
        <f>IFERROR(__xludf.DUMMYFUNCTION("IF('From Order'!$A2125=COLUMNS($A2125:I2144), LEFT(INDEX(FILTER(I$1:I2124, I$1:I2124&lt;&gt;""""),COUNTA(FILTER(I$1:I2124, I$1:I2124&lt;&gt;""""))), LEN(INDEX(FILTER(I$1:I2124, I$1:I2124&lt;&gt;""""),COUNTA(FILTER(I$1:I2124, I$1:I2124&lt;&gt;""""))))-1), IF('To Order'!$A2125=COL"&amp;"UMNS($A2125:I2144), I2124&amp;RIGHT(INDIRECT(ADDRESS(ROW(I2125)-1, 'From Order'!$A2125)), 1), I2124))"),"DTCTM")</f>
        <v>DTCTM</v>
      </c>
    </row>
    <row r="2126">
      <c r="A2126" s="2" t="str">
        <f>IFERROR(__xludf.DUMMYFUNCTION("IF('From Order'!$A2126=COLUMNS($A2126:A2145), LEFT(INDEX(FILTER(A$1:A2125, A$1:A2125&lt;&gt;""""),COUNTA(FILTER(A$1:A2125, A$1:A2125&lt;&gt;""""))), LEN(INDEX(FILTER(A$1:A2125, A$1:A2125&lt;&gt;""""),COUNTA(FILTER(A$1:A2125, A$1:A2125&lt;&gt;""""))))-1), IF('To Order'!$A2126=COL"&amp;"UMNS($A2126:A2145), A2125&amp;RIGHT(INDIRECT(ADDRESS(ROW(A2126)-1, 'From Order'!$A2126)), 1), A2125))"),"DSPBFLLW")</f>
        <v>DSPBFLLW</v>
      </c>
      <c r="B2126" s="2" t="str">
        <f>IFERROR(__xludf.DUMMYFUNCTION("IF('From Order'!$A2126=COLUMNS($A2126:B2145), LEFT(INDEX(FILTER(B$1:B2125, B$1:B2125&lt;&gt;""""),COUNTA(FILTER(B$1:B2125, B$1:B2125&lt;&gt;""""))), LEN(INDEX(FILTER(B$1:B2125, B$1:B2125&lt;&gt;""""),COUNTA(FILTER(B$1:B2125, B$1:B2125&lt;&gt;""""))))-1), IF('To Order'!$A2126=COL"&amp;"UMNS($A2126:B2145), B2125&amp;RIGHT(INDIRECT(ADDRESS(ROW(B2126)-1, 'From Order'!$A2126)), 1), B2125))"),"JDPSST")</f>
        <v>JDPSST</v>
      </c>
      <c r="C2126" s="2" t="str">
        <f>IFERROR(__xludf.DUMMYFUNCTION("IF('From Order'!$A2126=COLUMNS($A2126:C2145), LEFT(INDEX(FILTER(C$1:C2125, C$1:C2125&lt;&gt;""""),COUNTA(FILTER(C$1:C2125, C$1:C2125&lt;&gt;""""))), LEN(INDEX(FILTER(C$1:C2125, C$1:C2125&lt;&gt;""""),COUNTA(FILTER(C$1:C2125, C$1:C2125&lt;&gt;""""))))-1), IF('To Order'!$A2126=COL"&amp;"UMNS($A2126:C2145), C2125&amp;RIGHT(INDIRECT(ADDRESS(ROW(C2126)-1, 'From Order'!$A2126)), 1), C2125))"),"VBHCLRRJMGTTMDZQVDD")</f>
        <v>VBHCLRRJMGTTMDZQVDD</v>
      </c>
      <c r="D2126" s="2" t="str">
        <f>IFERROR(__xludf.DUMMYFUNCTION("IF('From Order'!$A2126=COLUMNS($A2126:D2145), LEFT(INDEX(FILTER(D$1:D2125, D$1:D2125&lt;&gt;""""),COUNTA(FILTER(D$1:D2125, D$1:D2125&lt;&gt;""""))), LEN(INDEX(FILTER(D$1:D2125, D$1:D2125&lt;&gt;""""),COUNTA(FILTER(D$1:D2125, D$1:D2125&lt;&gt;""""))))-1), IF('To Order'!$A2126=COL"&amp;"UMNS($A2126:D2145), D2125&amp;RIGHT(INDIRECT(ADDRESS(ROW(D2126)-1, 'From Order'!$A2126)), 1), D2125))"),"RBJVBRPHZM")</f>
        <v>RBJVBRPHZM</v>
      </c>
      <c r="E2126" s="2" t="str">
        <f>IFERROR(__xludf.DUMMYFUNCTION("IF('From Order'!$A2126=COLUMNS($A2126:E2145), LEFT(INDEX(FILTER(E$1:E2125, E$1:E2125&lt;&gt;""""),COUNTA(FILTER(E$1:E2125, E$1:E2125&lt;&gt;""""))), LEN(INDEX(FILTER(E$1:E2125, E$1:E2125&lt;&gt;""""),COUNTA(FILTER(E$1:E2125, E$1:E2125&lt;&gt;""""))))-1), IF('To Order'!$A2126=COL"&amp;"UMNS($A2126:E2145), E2125&amp;RIGHT(INDIRECT(ADDRESS(ROW(E2126)-1, 'From Order'!$A2126)), 1), E2125))"),"FSCZR")</f>
        <v>FSCZR</v>
      </c>
      <c r="F2126" s="2" t="str">
        <f>IFERROR(__xludf.DUMMYFUNCTION("IF('From Order'!$A2126=COLUMNS($A2126:F2145), LEFT(INDEX(FILTER(F$1:F2125, F$1:F2125&lt;&gt;""""),COUNTA(FILTER(F$1:F2125, F$1:F2125&lt;&gt;""""))), LEN(INDEX(FILTER(F$1:F2125, F$1:F2125&lt;&gt;""""),COUNTA(FILTER(F$1:F2125, F$1:F2125&lt;&gt;""""))))-1), IF('To Order'!$A2126=COL"&amp;"UMNS($A2126:F2145), F2125&amp;RIGHT(INDIRECT(ADDRESS(ROW(F2126)-1, 'From Order'!$A2126)), 1), F2125))"),"")</f>
        <v/>
      </c>
      <c r="G2126" s="2" t="str">
        <f>IFERROR(__xludf.DUMMYFUNCTION("IF('From Order'!$A2126=COLUMNS($A2126:G2145), LEFT(INDEX(FILTER(G$1:G2125, G$1:G2125&lt;&gt;""""),COUNTA(FILTER(G$1:G2125, G$1:G2125&lt;&gt;""""))), LEN(INDEX(FILTER(G$1:G2125, G$1:G2125&lt;&gt;""""),COUNTA(FILTER(G$1:G2125, G$1:G2125&lt;&gt;""""))))-1), IF('To Order'!$A2126=COL"&amp;"UMNS($A2126:G2145), G2125&amp;RIGHT(INDIRECT(ADDRESS(ROW(G2126)-1, 'From Order'!$A2126)), 1), G2125))"),"GW")</f>
        <v>GW</v>
      </c>
      <c r="H2126" s="2" t="str">
        <f>IFERROR(__xludf.DUMMYFUNCTION("IF('From Order'!$A2126=COLUMNS($A2126:H2145), LEFT(INDEX(FILTER(H$1:H2125, H$1:H2125&lt;&gt;""""),COUNTA(FILTER(H$1:H2125, H$1:H2125&lt;&gt;""""))), LEN(INDEX(FILTER(H$1:H2125, H$1:H2125&lt;&gt;""""),COUNTA(FILTER(H$1:H2125, H$1:H2125&lt;&gt;""""))))-1), IF('To Order'!$A2126=COL"&amp;"UMNS($A2126:H2145), H2125&amp;RIGHT(INDIRECT(ADDRESS(ROW(H2126)-1, 'From Order'!$A2126)), 1), H2125))"),"QT")</f>
        <v>QT</v>
      </c>
      <c r="I2126" s="2" t="str">
        <f>IFERROR(__xludf.DUMMYFUNCTION("IF('From Order'!$A2126=COLUMNS($A2126:I2145), LEFT(INDEX(FILTER(I$1:I2125, I$1:I2125&lt;&gt;""""),COUNTA(FILTER(I$1:I2125, I$1:I2125&lt;&gt;""""))), LEN(INDEX(FILTER(I$1:I2125, I$1:I2125&lt;&gt;""""),COUNTA(FILTER(I$1:I2125, I$1:I2125&lt;&gt;""""))))-1), IF('To Order'!$A2126=COL"&amp;"UMNS($A2126:I2145), I2125&amp;RIGHT(INDIRECT(ADDRESS(ROW(I2126)-1, 'From Order'!$A2126)), 1), I2125))"),"DTCT")</f>
        <v>DTCT</v>
      </c>
    </row>
    <row r="2127">
      <c r="A2127" s="2" t="str">
        <f>IFERROR(__xludf.DUMMYFUNCTION("IF('From Order'!$A2127=COLUMNS($A2127:A2146), LEFT(INDEX(FILTER(A$1:A2126, A$1:A2126&lt;&gt;""""),COUNTA(FILTER(A$1:A2126, A$1:A2126&lt;&gt;""""))), LEN(INDEX(FILTER(A$1:A2126, A$1:A2126&lt;&gt;""""),COUNTA(FILTER(A$1:A2126, A$1:A2126&lt;&gt;""""))))-1), IF('To Order'!$A2127=COL"&amp;"UMNS($A2127:A2146), A2126&amp;RIGHT(INDIRECT(ADDRESS(ROW(A2127)-1, 'From Order'!$A2127)), 1), A2126))"),"DSPBFLLW")</f>
        <v>DSPBFLLW</v>
      </c>
      <c r="B2127" s="2" t="str">
        <f>IFERROR(__xludf.DUMMYFUNCTION("IF('From Order'!$A2127=COLUMNS($A2127:B2146), LEFT(INDEX(FILTER(B$1:B2126, B$1:B2126&lt;&gt;""""),COUNTA(FILTER(B$1:B2126, B$1:B2126&lt;&gt;""""))), LEN(INDEX(FILTER(B$1:B2126, B$1:B2126&lt;&gt;""""),COUNTA(FILTER(B$1:B2126, B$1:B2126&lt;&gt;""""))))-1), IF('To Order'!$A2127=COL"&amp;"UMNS($A2127:B2146), B2126&amp;RIGHT(INDIRECT(ADDRESS(ROW(B2127)-1, 'From Order'!$A2127)), 1), B2126))"),"JDPSST")</f>
        <v>JDPSST</v>
      </c>
      <c r="C2127" s="2" t="str">
        <f>IFERROR(__xludf.DUMMYFUNCTION("IF('From Order'!$A2127=COLUMNS($A2127:C2146), LEFT(INDEX(FILTER(C$1:C2126, C$1:C2126&lt;&gt;""""),COUNTA(FILTER(C$1:C2126, C$1:C2126&lt;&gt;""""))), LEN(INDEX(FILTER(C$1:C2126, C$1:C2126&lt;&gt;""""),COUNTA(FILTER(C$1:C2126, C$1:C2126&lt;&gt;""""))))-1), IF('To Order'!$A2127=COL"&amp;"UMNS($A2127:C2146), C2126&amp;RIGHT(INDIRECT(ADDRESS(ROW(C2127)-1, 'From Order'!$A2127)), 1), C2126))"),"VBHCLRRJMGTTMDZQVDD")</f>
        <v>VBHCLRRJMGTTMDZQVDD</v>
      </c>
      <c r="D2127" s="2" t="str">
        <f>IFERROR(__xludf.DUMMYFUNCTION("IF('From Order'!$A2127=COLUMNS($A2127:D2146), LEFT(INDEX(FILTER(D$1:D2126, D$1:D2126&lt;&gt;""""),COUNTA(FILTER(D$1:D2126, D$1:D2126&lt;&gt;""""))), LEN(INDEX(FILTER(D$1:D2126, D$1:D2126&lt;&gt;""""),COUNTA(FILTER(D$1:D2126, D$1:D2126&lt;&gt;""""))))-1), IF('To Order'!$A2127=COL"&amp;"UMNS($A2127:D2146), D2126&amp;RIGHT(INDIRECT(ADDRESS(ROW(D2127)-1, 'From Order'!$A2127)), 1), D2126))"),"RBJVBRPHZMT")</f>
        <v>RBJVBRPHZMT</v>
      </c>
      <c r="E2127" s="2" t="str">
        <f>IFERROR(__xludf.DUMMYFUNCTION("IF('From Order'!$A2127=COLUMNS($A2127:E2146), LEFT(INDEX(FILTER(E$1:E2126, E$1:E2126&lt;&gt;""""),COUNTA(FILTER(E$1:E2126, E$1:E2126&lt;&gt;""""))), LEN(INDEX(FILTER(E$1:E2126, E$1:E2126&lt;&gt;""""),COUNTA(FILTER(E$1:E2126, E$1:E2126&lt;&gt;""""))))-1), IF('To Order'!$A2127=COL"&amp;"UMNS($A2127:E2146), E2126&amp;RIGHT(INDIRECT(ADDRESS(ROW(E2127)-1, 'From Order'!$A2127)), 1), E2126))"),"FSCZR")</f>
        <v>FSCZR</v>
      </c>
      <c r="F2127" s="2" t="str">
        <f>IFERROR(__xludf.DUMMYFUNCTION("IF('From Order'!$A2127=COLUMNS($A2127:F2146), LEFT(INDEX(FILTER(F$1:F2126, F$1:F2126&lt;&gt;""""),COUNTA(FILTER(F$1:F2126, F$1:F2126&lt;&gt;""""))), LEN(INDEX(FILTER(F$1:F2126, F$1:F2126&lt;&gt;""""),COUNTA(FILTER(F$1:F2126, F$1:F2126&lt;&gt;""""))))-1), IF('To Order'!$A2127=COL"&amp;"UMNS($A2127:F2146), F2126&amp;RIGHT(INDIRECT(ADDRESS(ROW(F2127)-1, 'From Order'!$A2127)), 1), F2126))"),"")</f>
        <v/>
      </c>
      <c r="G2127" s="2" t="str">
        <f>IFERROR(__xludf.DUMMYFUNCTION("IF('From Order'!$A2127=COLUMNS($A2127:G2146), LEFT(INDEX(FILTER(G$1:G2126, G$1:G2126&lt;&gt;""""),COUNTA(FILTER(G$1:G2126, G$1:G2126&lt;&gt;""""))), LEN(INDEX(FILTER(G$1:G2126, G$1:G2126&lt;&gt;""""),COUNTA(FILTER(G$1:G2126, G$1:G2126&lt;&gt;""""))))-1), IF('To Order'!$A2127=COL"&amp;"UMNS($A2127:G2146), G2126&amp;RIGHT(INDIRECT(ADDRESS(ROW(G2127)-1, 'From Order'!$A2127)), 1), G2126))"),"GW")</f>
        <v>GW</v>
      </c>
      <c r="H2127" s="2" t="str">
        <f>IFERROR(__xludf.DUMMYFUNCTION("IF('From Order'!$A2127=COLUMNS($A2127:H2146), LEFT(INDEX(FILTER(H$1:H2126, H$1:H2126&lt;&gt;""""),COUNTA(FILTER(H$1:H2126, H$1:H2126&lt;&gt;""""))), LEN(INDEX(FILTER(H$1:H2126, H$1:H2126&lt;&gt;""""),COUNTA(FILTER(H$1:H2126, H$1:H2126&lt;&gt;""""))))-1), IF('To Order'!$A2127=COL"&amp;"UMNS($A2127:H2146), H2126&amp;RIGHT(INDIRECT(ADDRESS(ROW(H2127)-1, 'From Order'!$A2127)), 1), H2126))"),"QT")</f>
        <v>QT</v>
      </c>
      <c r="I2127" s="2" t="str">
        <f>IFERROR(__xludf.DUMMYFUNCTION("IF('From Order'!$A2127=COLUMNS($A2127:I2146), LEFT(INDEX(FILTER(I$1:I2126, I$1:I2126&lt;&gt;""""),COUNTA(FILTER(I$1:I2126, I$1:I2126&lt;&gt;""""))), LEN(INDEX(FILTER(I$1:I2126, I$1:I2126&lt;&gt;""""),COUNTA(FILTER(I$1:I2126, I$1:I2126&lt;&gt;""""))))-1), IF('To Order'!$A2127=COL"&amp;"UMNS($A2127:I2146), I2126&amp;RIGHT(INDIRECT(ADDRESS(ROW(I2127)-1, 'From Order'!$A2127)), 1), I2126))"),"DTC")</f>
        <v>DTC</v>
      </c>
    </row>
    <row r="2128">
      <c r="A2128" s="2" t="str">
        <f>IFERROR(__xludf.DUMMYFUNCTION("IF('From Order'!$A2128=COLUMNS($A2128:A2147), LEFT(INDEX(FILTER(A$1:A2127, A$1:A2127&lt;&gt;""""),COUNTA(FILTER(A$1:A2127, A$1:A2127&lt;&gt;""""))), LEN(INDEX(FILTER(A$1:A2127, A$1:A2127&lt;&gt;""""),COUNTA(FILTER(A$1:A2127, A$1:A2127&lt;&gt;""""))))-1), IF('To Order'!$A2128=COL"&amp;"UMNS($A2128:A2147), A2127&amp;RIGHT(INDIRECT(ADDRESS(ROW(A2128)-1, 'From Order'!$A2128)), 1), A2127))"),"DSPBFLLW")</f>
        <v>DSPBFLLW</v>
      </c>
      <c r="B2128" s="2" t="str">
        <f>IFERROR(__xludf.DUMMYFUNCTION("IF('From Order'!$A2128=COLUMNS($A2128:B2147), LEFT(INDEX(FILTER(B$1:B2127, B$1:B2127&lt;&gt;""""),COUNTA(FILTER(B$1:B2127, B$1:B2127&lt;&gt;""""))), LEN(INDEX(FILTER(B$1:B2127, B$1:B2127&lt;&gt;""""),COUNTA(FILTER(B$1:B2127, B$1:B2127&lt;&gt;""""))))-1), IF('To Order'!$A2128=COL"&amp;"UMNS($A2128:B2147), B2127&amp;RIGHT(INDIRECT(ADDRESS(ROW(B2128)-1, 'From Order'!$A2128)), 1), B2127))"),"JDPSST")</f>
        <v>JDPSST</v>
      </c>
      <c r="C2128" s="2" t="str">
        <f>IFERROR(__xludf.DUMMYFUNCTION("IF('From Order'!$A2128=COLUMNS($A2128:C2147), LEFT(INDEX(FILTER(C$1:C2127, C$1:C2127&lt;&gt;""""),COUNTA(FILTER(C$1:C2127, C$1:C2127&lt;&gt;""""))), LEN(INDEX(FILTER(C$1:C2127, C$1:C2127&lt;&gt;""""),COUNTA(FILTER(C$1:C2127, C$1:C2127&lt;&gt;""""))))-1), IF('To Order'!$A2128=COL"&amp;"UMNS($A2128:C2147), C2127&amp;RIGHT(INDIRECT(ADDRESS(ROW(C2128)-1, 'From Order'!$A2128)), 1), C2127))"),"VBHCLRRJMGTTMDZQVDD")</f>
        <v>VBHCLRRJMGTTMDZQVDD</v>
      </c>
      <c r="D2128" s="2" t="str">
        <f>IFERROR(__xludf.DUMMYFUNCTION("IF('From Order'!$A2128=COLUMNS($A2128:D2147), LEFT(INDEX(FILTER(D$1:D2127, D$1:D2127&lt;&gt;""""),COUNTA(FILTER(D$1:D2127, D$1:D2127&lt;&gt;""""))), LEN(INDEX(FILTER(D$1:D2127, D$1:D2127&lt;&gt;""""),COUNTA(FILTER(D$1:D2127, D$1:D2127&lt;&gt;""""))))-1), IF('To Order'!$A2128=COL"&amp;"UMNS($A2128:D2147), D2127&amp;RIGHT(INDIRECT(ADDRESS(ROW(D2128)-1, 'From Order'!$A2128)), 1), D2127))"),"RBJVBRPHZMTC")</f>
        <v>RBJVBRPHZMTC</v>
      </c>
      <c r="E2128" s="2" t="str">
        <f>IFERROR(__xludf.DUMMYFUNCTION("IF('From Order'!$A2128=COLUMNS($A2128:E2147), LEFT(INDEX(FILTER(E$1:E2127, E$1:E2127&lt;&gt;""""),COUNTA(FILTER(E$1:E2127, E$1:E2127&lt;&gt;""""))), LEN(INDEX(FILTER(E$1:E2127, E$1:E2127&lt;&gt;""""),COUNTA(FILTER(E$1:E2127, E$1:E2127&lt;&gt;""""))))-1), IF('To Order'!$A2128=COL"&amp;"UMNS($A2128:E2147), E2127&amp;RIGHT(INDIRECT(ADDRESS(ROW(E2128)-1, 'From Order'!$A2128)), 1), E2127))"),"FSCZR")</f>
        <v>FSCZR</v>
      </c>
      <c r="F2128" s="2" t="str">
        <f>IFERROR(__xludf.DUMMYFUNCTION("IF('From Order'!$A2128=COLUMNS($A2128:F2147), LEFT(INDEX(FILTER(F$1:F2127, F$1:F2127&lt;&gt;""""),COUNTA(FILTER(F$1:F2127, F$1:F2127&lt;&gt;""""))), LEN(INDEX(FILTER(F$1:F2127, F$1:F2127&lt;&gt;""""),COUNTA(FILTER(F$1:F2127, F$1:F2127&lt;&gt;""""))))-1), IF('To Order'!$A2128=COL"&amp;"UMNS($A2128:F2147), F2127&amp;RIGHT(INDIRECT(ADDRESS(ROW(F2128)-1, 'From Order'!$A2128)), 1), F2127))"),"")</f>
        <v/>
      </c>
      <c r="G2128" s="2" t="str">
        <f>IFERROR(__xludf.DUMMYFUNCTION("IF('From Order'!$A2128=COLUMNS($A2128:G2147), LEFT(INDEX(FILTER(G$1:G2127, G$1:G2127&lt;&gt;""""),COUNTA(FILTER(G$1:G2127, G$1:G2127&lt;&gt;""""))), LEN(INDEX(FILTER(G$1:G2127, G$1:G2127&lt;&gt;""""),COUNTA(FILTER(G$1:G2127, G$1:G2127&lt;&gt;""""))))-1), IF('To Order'!$A2128=COL"&amp;"UMNS($A2128:G2147), G2127&amp;RIGHT(INDIRECT(ADDRESS(ROW(G2128)-1, 'From Order'!$A2128)), 1), G2127))"),"GW")</f>
        <v>GW</v>
      </c>
      <c r="H2128" s="2" t="str">
        <f>IFERROR(__xludf.DUMMYFUNCTION("IF('From Order'!$A2128=COLUMNS($A2128:H2147), LEFT(INDEX(FILTER(H$1:H2127, H$1:H2127&lt;&gt;""""),COUNTA(FILTER(H$1:H2127, H$1:H2127&lt;&gt;""""))), LEN(INDEX(FILTER(H$1:H2127, H$1:H2127&lt;&gt;""""),COUNTA(FILTER(H$1:H2127, H$1:H2127&lt;&gt;""""))))-1), IF('To Order'!$A2128=COL"&amp;"UMNS($A2128:H2147), H2127&amp;RIGHT(INDIRECT(ADDRESS(ROW(H2128)-1, 'From Order'!$A2128)), 1), H2127))"),"QT")</f>
        <v>QT</v>
      </c>
      <c r="I2128" s="2" t="str">
        <f>IFERROR(__xludf.DUMMYFUNCTION("IF('From Order'!$A2128=COLUMNS($A2128:I2147), LEFT(INDEX(FILTER(I$1:I2127, I$1:I2127&lt;&gt;""""),COUNTA(FILTER(I$1:I2127, I$1:I2127&lt;&gt;""""))), LEN(INDEX(FILTER(I$1:I2127, I$1:I2127&lt;&gt;""""),COUNTA(FILTER(I$1:I2127, I$1:I2127&lt;&gt;""""))))-1), IF('To Order'!$A2128=COL"&amp;"UMNS($A2128:I2147), I2127&amp;RIGHT(INDIRECT(ADDRESS(ROW(I2128)-1, 'From Order'!$A2128)), 1), I2127))"),"DT")</f>
        <v>DT</v>
      </c>
    </row>
    <row r="2129">
      <c r="A2129" s="2" t="str">
        <f>IFERROR(__xludf.DUMMYFUNCTION("IF('From Order'!$A2129=COLUMNS($A2129:A2148), LEFT(INDEX(FILTER(A$1:A2128, A$1:A2128&lt;&gt;""""),COUNTA(FILTER(A$1:A2128, A$1:A2128&lt;&gt;""""))), LEN(INDEX(FILTER(A$1:A2128, A$1:A2128&lt;&gt;""""),COUNTA(FILTER(A$1:A2128, A$1:A2128&lt;&gt;""""))))-1), IF('To Order'!$A2129=COL"&amp;"UMNS($A2129:A2148), A2128&amp;RIGHT(INDIRECT(ADDRESS(ROW(A2129)-1, 'From Order'!$A2129)), 1), A2128))"),"DSPBFLLW")</f>
        <v>DSPBFLLW</v>
      </c>
      <c r="B2129" s="2" t="str">
        <f>IFERROR(__xludf.DUMMYFUNCTION("IF('From Order'!$A2129=COLUMNS($A2129:B2148), LEFT(INDEX(FILTER(B$1:B2128, B$1:B2128&lt;&gt;""""),COUNTA(FILTER(B$1:B2128, B$1:B2128&lt;&gt;""""))), LEN(INDEX(FILTER(B$1:B2128, B$1:B2128&lt;&gt;""""),COUNTA(FILTER(B$1:B2128, B$1:B2128&lt;&gt;""""))))-1), IF('To Order'!$A2129=COL"&amp;"UMNS($A2129:B2148), B2128&amp;RIGHT(INDIRECT(ADDRESS(ROW(B2129)-1, 'From Order'!$A2129)), 1), B2128))"),"JDPSST")</f>
        <v>JDPSST</v>
      </c>
      <c r="C2129" s="2" t="str">
        <f>IFERROR(__xludf.DUMMYFUNCTION("IF('From Order'!$A2129=COLUMNS($A2129:C2148), LEFT(INDEX(FILTER(C$1:C2128, C$1:C2128&lt;&gt;""""),COUNTA(FILTER(C$1:C2128, C$1:C2128&lt;&gt;""""))), LEN(INDEX(FILTER(C$1:C2128, C$1:C2128&lt;&gt;""""),COUNTA(FILTER(C$1:C2128, C$1:C2128&lt;&gt;""""))))-1), IF('To Order'!$A2129=COL"&amp;"UMNS($A2129:C2148), C2128&amp;RIGHT(INDIRECT(ADDRESS(ROW(C2129)-1, 'From Order'!$A2129)), 1), C2128))"),"VBHCLRRJMGTTMDZQVDD")</f>
        <v>VBHCLRRJMGTTMDZQVDD</v>
      </c>
      <c r="D2129" s="2" t="str">
        <f>IFERROR(__xludf.DUMMYFUNCTION("IF('From Order'!$A2129=COLUMNS($A2129:D2148), LEFT(INDEX(FILTER(D$1:D2128, D$1:D2128&lt;&gt;""""),COUNTA(FILTER(D$1:D2128, D$1:D2128&lt;&gt;""""))), LEN(INDEX(FILTER(D$1:D2128, D$1:D2128&lt;&gt;""""),COUNTA(FILTER(D$1:D2128, D$1:D2128&lt;&gt;""""))))-1), IF('To Order'!$A2129=COL"&amp;"UMNS($A2129:D2148), D2128&amp;RIGHT(INDIRECT(ADDRESS(ROW(D2129)-1, 'From Order'!$A2129)), 1), D2128))"),"RBJVBRPHZMTCT")</f>
        <v>RBJVBRPHZMTCT</v>
      </c>
      <c r="E2129" s="2" t="str">
        <f>IFERROR(__xludf.DUMMYFUNCTION("IF('From Order'!$A2129=COLUMNS($A2129:E2148), LEFT(INDEX(FILTER(E$1:E2128, E$1:E2128&lt;&gt;""""),COUNTA(FILTER(E$1:E2128, E$1:E2128&lt;&gt;""""))), LEN(INDEX(FILTER(E$1:E2128, E$1:E2128&lt;&gt;""""),COUNTA(FILTER(E$1:E2128, E$1:E2128&lt;&gt;""""))))-1), IF('To Order'!$A2129=COL"&amp;"UMNS($A2129:E2148), E2128&amp;RIGHT(INDIRECT(ADDRESS(ROW(E2129)-1, 'From Order'!$A2129)), 1), E2128))"),"FSCZR")</f>
        <v>FSCZR</v>
      </c>
      <c r="F2129" s="2" t="str">
        <f>IFERROR(__xludf.DUMMYFUNCTION("IF('From Order'!$A2129=COLUMNS($A2129:F2148), LEFT(INDEX(FILTER(F$1:F2128, F$1:F2128&lt;&gt;""""),COUNTA(FILTER(F$1:F2128, F$1:F2128&lt;&gt;""""))), LEN(INDEX(FILTER(F$1:F2128, F$1:F2128&lt;&gt;""""),COUNTA(FILTER(F$1:F2128, F$1:F2128&lt;&gt;""""))))-1), IF('To Order'!$A2129=COL"&amp;"UMNS($A2129:F2148), F2128&amp;RIGHT(INDIRECT(ADDRESS(ROW(F2129)-1, 'From Order'!$A2129)), 1), F2128))"),"")</f>
        <v/>
      </c>
      <c r="G2129" s="2" t="str">
        <f>IFERROR(__xludf.DUMMYFUNCTION("IF('From Order'!$A2129=COLUMNS($A2129:G2148), LEFT(INDEX(FILTER(G$1:G2128, G$1:G2128&lt;&gt;""""),COUNTA(FILTER(G$1:G2128, G$1:G2128&lt;&gt;""""))), LEN(INDEX(FILTER(G$1:G2128, G$1:G2128&lt;&gt;""""),COUNTA(FILTER(G$1:G2128, G$1:G2128&lt;&gt;""""))))-1), IF('To Order'!$A2129=COL"&amp;"UMNS($A2129:G2148), G2128&amp;RIGHT(INDIRECT(ADDRESS(ROW(G2129)-1, 'From Order'!$A2129)), 1), G2128))"),"GW")</f>
        <v>GW</v>
      </c>
      <c r="H2129" s="2" t="str">
        <f>IFERROR(__xludf.DUMMYFUNCTION("IF('From Order'!$A2129=COLUMNS($A2129:H2148), LEFT(INDEX(FILTER(H$1:H2128, H$1:H2128&lt;&gt;""""),COUNTA(FILTER(H$1:H2128, H$1:H2128&lt;&gt;""""))), LEN(INDEX(FILTER(H$1:H2128, H$1:H2128&lt;&gt;""""),COUNTA(FILTER(H$1:H2128, H$1:H2128&lt;&gt;""""))))-1), IF('To Order'!$A2129=COL"&amp;"UMNS($A2129:H2148), H2128&amp;RIGHT(INDIRECT(ADDRESS(ROW(H2129)-1, 'From Order'!$A2129)), 1), H2128))"),"QT")</f>
        <v>QT</v>
      </c>
      <c r="I2129" s="2" t="str">
        <f>IFERROR(__xludf.DUMMYFUNCTION("IF('From Order'!$A2129=COLUMNS($A2129:I2148), LEFT(INDEX(FILTER(I$1:I2128, I$1:I2128&lt;&gt;""""),COUNTA(FILTER(I$1:I2128, I$1:I2128&lt;&gt;""""))), LEN(INDEX(FILTER(I$1:I2128, I$1:I2128&lt;&gt;""""),COUNTA(FILTER(I$1:I2128, I$1:I2128&lt;&gt;""""))))-1), IF('To Order'!$A2129=COL"&amp;"UMNS($A2129:I2148), I2128&amp;RIGHT(INDIRECT(ADDRESS(ROW(I2129)-1, 'From Order'!$A2129)), 1), I2128))"),"D")</f>
        <v>D</v>
      </c>
    </row>
    <row r="2130">
      <c r="A2130" s="2" t="str">
        <f>IFERROR(__xludf.DUMMYFUNCTION("IF('From Order'!$A2130=COLUMNS($A2130:A2149), LEFT(INDEX(FILTER(A$1:A2129, A$1:A2129&lt;&gt;""""),COUNTA(FILTER(A$1:A2129, A$1:A2129&lt;&gt;""""))), LEN(INDEX(FILTER(A$1:A2129, A$1:A2129&lt;&gt;""""),COUNTA(FILTER(A$1:A2129, A$1:A2129&lt;&gt;""""))))-1), IF('To Order'!$A2130=COL"&amp;"UMNS($A2130:A2149), A2129&amp;RIGHT(INDIRECT(ADDRESS(ROW(A2130)-1, 'From Order'!$A2130)), 1), A2129))"),"DSPBFLLW")</f>
        <v>DSPBFLLW</v>
      </c>
      <c r="B2130" s="2" t="str">
        <f>IFERROR(__xludf.DUMMYFUNCTION("IF('From Order'!$A2130=COLUMNS($A2130:B2149), LEFT(INDEX(FILTER(B$1:B2129, B$1:B2129&lt;&gt;""""),COUNTA(FILTER(B$1:B2129, B$1:B2129&lt;&gt;""""))), LEN(INDEX(FILTER(B$1:B2129, B$1:B2129&lt;&gt;""""),COUNTA(FILTER(B$1:B2129, B$1:B2129&lt;&gt;""""))))-1), IF('To Order'!$A2130=COL"&amp;"UMNS($A2130:B2149), B2129&amp;RIGHT(INDIRECT(ADDRESS(ROW(B2130)-1, 'From Order'!$A2130)), 1), B2129))"),"JDPSST")</f>
        <v>JDPSST</v>
      </c>
      <c r="C2130" s="2" t="str">
        <f>IFERROR(__xludf.DUMMYFUNCTION("IF('From Order'!$A2130=COLUMNS($A2130:C2149), LEFT(INDEX(FILTER(C$1:C2129, C$1:C2129&lt;&gt;""""),COUNTA(FILTER(C$1:C2129, C$1:C2129&lt;&gt;""""))), LEN(INDEX(FILTER(C$1:C2129, C$1:C2129&lt;&gt;""""),COUNTA(FILTER(C$1:C2129, C$1:C2129&lt;&gt;""""))))-1), IF('To Order'!$A2130=COL"&amp;"UMNS($A2130:C2149), C2129&amp;RIGHT(INDIRECT(ADDRESS(ROW(C2130)-1, 'From Order'!$A2130)), 1), C2129))"),"VBHCLRRJMGTTMDZQVD")</f>
        <v>VBHCLRRJMGTTMDZQVD</v>
      </c>
      <c r="D2130" s="2" t="str">
        <f>IFERROR(__xludf.DUMMYFUNCTION("IF('From Order'!$A2130=COLUMNS($A2130:D2149), LEFT(INDEX(FILTER(D$1:D2129, D$1:D2129&lt;&gt;""""),COUNTA(FILTER(D$1:D2129, D$1:D2129&lt;&gt;""""))), LEN(INDEX(FILTER(D$1:D2129, D$1:D2129&lt;&gt;""""),COUNTA(FILTER(D$1:D2129, D$1:D2129&lt;&gt;""""))))-1), IF('To Order'!$A2130=COL"&amp;"UMNS($A2130:D2149), D2129&amp;RIGHT(INDIRECT(ADDRESS(ROW(D2130)-1, 'From Order'!$A2130)), 1), D2129))"),"RBJVBRPHZMTCT")</f>
        <v>RBJVBRPHZMTCT</v>
      </c>
      <c r="E2130" s="2" t="str">
        <f>IFERROR(__xludf.DUMMYFUNCTION("IF('From Order'!$A2130=COLUMNS($A2130:E2149), LEFT(INDEX(FILTER(E$1:E2129, E$1:E2129&lt;&gt;""""),COUNTA(FILTER(E$1:E2129, E$1:E2129&lt;&gt;""""))), LEN(INDEX(FILTER(E$1:E2129, E$1:E2129&lt;&gt;""""),COUNTA(FILTER(E$1:E2129, E$1:E2129&lt;&gt;""""))))-1), IF('To Order'!$A2130=COL"&amp;"UMNS($A2130:E2149), E2129&amp;RIGHT(INDIRECT(ADDRESS(ROW(E2130)-1, 'From Order'!$A2130)), 1), E2129))"),"FSCZR")</f>
        <v>FSCZR</v>
      </c>
      <c r="F2130" s="2" t="str">
        <f>IFERROR(__xludf.DUMMYFUNCTION("IF('From Order'!$A2130=COLUMNS($A2130:F2149), LEFT(INDEX(FILTER(F$1:F2129, F$1:F2129&lt;&gt;""""),COUNTA(FILTER(F$1:F2129, F$1:F2129&lt;&gt;""""))), LEN(INDEX(FILTER(F$1:F2129, F$1:F2129&lt;&gt;""""),COUNTA(FILTER(F$1:F2129, F$1:F2129&lt;&gt;""""))))-1), IF('To Order'!$A2130=COL"&amp;"UMNS($A2130:F2149), F2129&amp;RIGHT(INDIRECT(ADDRESS(ROW(F2130)-1, 'From Order'!$A2130)), 1), F2129))"),"")</f>
        <v/>
      </c>
      <c r="G2130" s="2" t="str">
        <f>IFERROR(__xludf.DUMMYFUNCTION("IF('From Order'!$A2130=COLUMNS($A2130:G2149), LEFT(INDEX(FILTER(G$1:G2129, G$1:G2129&lt;&gt;""""),COUNTA(FILTER(G$1:G2129, G$1:G2129&lt;&gt;""""))), LEN(INDEX(FILTER(G$1:G2129, G$1:G2129&lt;&gt;""""),COUNTA(FILTER(G$1:G2129, G$1:G2129&lt;&gt;""""))))-1), IF('To Order'!$A2130=COL"&amp;"UMNS($A2130:G2149), G2129&amp;RIGHT(INDIRECT(ADDRESS(ROW(G2130)-1, 'From Order'!$A2130)), 1), G2129))"),"GW")</f>
        <v>GW</v>
      </c>
      <c r="H2130" s="2" t="str">
        <f>IFERROR(__xludf.DUMMYFUNCTION("IF('From Order'!$A2130=COLUMNS($A2130:H2149), LEFT(INDEX(FILTER(H$1:H2129, H$1:H2129&lt;&gt;""""),COUNTA(FILTER(H$1:H2129, H$1:H2129&lt;&gt;""""))), LEN(INDEX(FILTER(H$1:H2129, H$1:H2129&lt;&gt;""""),COUNTA(FILTER(H$1:H2129, H$1:H2129&lt;&gt;""""))))-1), IF('To Order'!$A2130=COL"&amp;"UMNS($A2130:H2149), H2129&amp;RIGHT(INDIRECT(ADDRESS(ROW(H2130)-1, 'From Order'!$A2130)), 1), H2129))"),"QT")</f>
        <v>QT</v>
      </c>
      <c r="I2130" s="2" t="str">
        <f>IFERROR(__xludf.DUMMYFUNCTION("IF('From Order'!$A2130=COLUMNS($A2130:I2149), LEFT(INDEX(FILTER(I$1:I2129, I$1:I2129&lt;&gt;""""),COUNTA(FILTER(I$1:I2129, I$1:I2129&lt;&gt;""""))), LEN(INDEX(FILTER(I$1:I2129, I$1:I2129&lt;&gt;""""),COUNTA(FILTER(I$1:I2129, I$1:I2129&lt;&gt;""""))))-1), IF('To Order'!$A2130=COL"&amp;"UMNS($A2130:I2149), I2129&amp;RIGHT(INDIRECT(ADDRESS(ROW(I2130)-1, 'From Order'!$A2130)), 1), I2129))"),"DD")</f>
        <v>DD</v>
      </c>
    </row>
    <row r="2131">
      <c r="A2131" s="2" t="str">
        <f>IFERROR(__xludf.DUMMYFUNCTION("IF('From Order'!$A2131=COLUMNS($A2131:A2150), LEFT(INDEX(FILTER(A$1:A2130, A$1:A2130&lt;&gt;""""),COUNTA(FILTER(A$1:A2130, A$1:A2130&lt;&gt;""""))), LEN(INDEX(FILTER(A$1:A2130, A$1:A2130&lt;&gt;""""),COUNTA(FILTER(A$1:A2130, A$1:A2130&lt;&gt;""""))))-1), IF('To Order'!$A2131=COL"&amp;"UMNS($A2131:A2150), A2130&amp;RIGHT(INDIRECT(ADDRESS(ROW(A2131)-1, 'From Order'!$A2131)), 1), A2130))"),"DSPBFLLW")</f>
        <v>DSPBFLLW</v>
      </c>
      <c r="B2131" s="2" t="str">
        <f>IFERROR(__xludf.DUMMYFUNCTION("IF('From Order'!$A2131=COLUMNS($A2131:B2150), LEFT(INDEX(FILTER(B$1:B2130, B$1:B2130&lt;&gt;""""),COUNTA(FILTER(B$1:B2130, B$1:B2130&lt;&gt;""""))), LEN(INDEX(FILTER(B$1:B2130, B$1:B2130&lt;&gt;""""),COUNTA(FILTER(B$1:B2130, B$1:B2130&lt;&gt;""""))))-1), IF('To Order'!$A2131=COL"&amp;"UMNS($A2131:B2150), B2130&amp;RIGHT(INDIRECT(ADDRESS(ROW(B2131)-1, 'From Order'!$A2131)), 1), B2130))"),"JDPSST")</f>
        <v>JDPSST</v>
      </c>
      <c r="C2131" s="2" t="str">
        <f>IFERROR(__xludf.DUMMYFUNCTION("IF('From Order'!$A2131=COLUMNS($A2131:C2150), LEFT(INDEX(FILTER(C$1:C2130, C$1:C2130&lt;&gt;""""),COUNTA(FILTER(C$1:C2130, C$1:C2130&lt;&gt;""""))), LEN(INDEX(FILTER(C$1:C2130, C$1:C2130&lt;&gt;""""),COUNTA(FILTER(C$1:C2130, C$1:C2130&lt;&gt;""""))))-1), IF('To Order'!$A2131=COL"&amp;"UMNS($A2131:C2150), C2130&amp;RIGHT(INDIRECT(ADDRESS(ROW(C2131)-1, 'From Order'!$A2131)), 1), C2130))"),"VBHCLRRJMGTTMDZQV")</f>
        <v>VBHCLRRJMGTTMDZQV</v>
      </c>
      <c r="D2131" s="2" t="str">
        <f>IFERROR(__xludf.DUMMYFUNCTION("IF('From Order'!$A2131=COLUMNS($A2131:D2150), LEFT(INDEX(FILTER(D$1:D2130, D$1:D2130&lt;&gt;""""),COUNTA(FILTER(D$1:D2130, D$1:D2130&lt;&gt;""""))), LEN(INDEX(FILTER(D$1:D2130, D$1:D2130&lt;&gt;""""),COUNTA(FILTER(D$1:D2130, D$1:D2130&lt;&gt;""""))))-1), IF('To Order'!$A2131=COL"&amp;"UMNS($A2131:D2150), D2130&amp;RIGHT(INDIRECT(ADDRESS(ROW(D2131)-1, 'From Order'!$A2131)), 1), D2130))"),"RBJVBRPHZMTCT")</f>
        <v>RBJVBRPHZMTCT</v>
      </c>
      <c r="E2131" s="2" t="str">
        <f>IFERROR(__xludf.DUMMYFUNCTION("IF('From Order'!$A2131=COLUMNS($A2131:E2150), LEFT(INDEX(FILTER(E$1:E2130, E$1:E2130&lt;&gt;""""),COUNTA(FILTER(E$1:E2130, E$1:E2130&lt;&gt;""""))), LEN(INDEX(FILTER(E$1:E2130, E$1:E2130&lt;&gt;""""),COUNTA(FILTER(E$1:E2130, E$1:E2130&lt;&gt;""""))))-1), IF('To Order'!$A2131=COL"&amp;"UMNS($A2131:E2150), E2130&amp;RIGHT(INDIRECT(ADDRESS(ROW(E2131)-1, 'From Order'!$A2131)), 1), E2130))"),"FSCZR")</f>
        <v>FSCZR</v>
      </c>
      <c r="F2131" s="2" t="str">
        <f>IFERROR(__xludf.DUMMYFUNCTION("IF('From Order'!$A2131=COLUMNS($A2131:F2150), LEFT(INDEX(FILTER(F$1:F2130, F$1:F2130&lt;&gt;""""),COUNTA(FILTER(F$1:F2130, F$1:F2130&lt;&gt;""""))), LEN(INDEX(FILTER(F$1:F2130, F$1:F2130&lt;&gt;""""),COUNTA(FILTER(F$1:F2130, F$1:F2130&lt;&gt;""""))))-1), IF('To Order'!$A2131=COL"&amp;"UMNS($A2131:F2150), F2130&amp;RIGHT(INDIRECT(ADDRESS(ROW(F2131)-1, 'From Order'!$A2131)), 1), F2130))"),"")</f>
        <v/>
      </c>
      <c r="G2131" s="2" t="str">
        <f>IFERROR(__xludf.DUMMYFUNCTION("IF('From Order'!$A2131=COLUMNS($A2131:G2150), LEFT(INDEX(FILTER(G$1:G2130, G$1:G2130&lt;&gt;""""),COUNTA(FILTER(G$1:G2130, G$1:G2130&lt;&gt;""""))), LEN(INDEX(FILTER(G$1:G2130, G$1:G2130&lt;&gt;""""),COUNTA(FILTER(G$1:G2130, G$1:G2130&lt;&gt;""""))))-1), IF('To Order'!$A2131=COL"&amp;"UMNS($A2131:G2150), G2130&amp;RIGHT(INDIRECT(ADDRESS(ROW(G2131)-1, 'From Order'!$A2131)), 1), G2130))"),"GW")</f>
        <v>GW</v>
      </c>
      <c r="H2131" s="2" t="str">
        <f>IFERROR(__xludf.DUMMYFUNCTION("IF('From Order'!$A2131=COLUMNS($A2131:H2150), LEFT(INDEX(FILTER(H$1:H2130, H$1:H2130&lt;&gt;""""),COUNTA(FILTER(H$1:H2130, H$1:H2130&lt;&gt;""""))), LEN(INDEX(FILTER(H$1:H2130, H$1:H2130&lt;&gt;""""),COUNTA(FILTER(H$1:H2130, H$1:H2130&lt;&gt;""""))))-1), IF('To Order'!$A2131=COL"&amp;"UMNS($A2131:H2150), H2130&amp;RIGHT(INDIRECT(ADDRESS(ROW(H2131)-1, 'From Order'!$A2131)), 1), H2130))"),"QT")</f>
        <v>QT</v>
      </c>
      <c r="I2131" s="2" t="str">
        <f>IFERROR(__xludf.DUMMYFUNCTION("IF('From Order'!$A2131=COLUMNS($A2131:I2150), LEFT(INDEX(FILTER(I$1:I2130, I$1:I2130&lt;&gt;""""),COUNTA(FILTER(I$1:I2130, I$1:I2130&lt;&gt;""""))), LEN(INDEX(FILTER(I$1:I2130, I$1:I2130&lt;&gt;""""),COUNTA(FILTER(I$1:I2130, I$1:I2130&lt;&gt;""""))))-1), IF('To Order'!$A2131=COL"&amp;"UMNS($A2131:I2150), I2130&amp;RIGHT(INDIRECT(ADDRESS(ROW(I2131)-1, 'From Order'!$A2131)), 1), I2130))"),"DDD")</f>
        <v>DDD</v>
      </c>
    </row>
    <row r="2132">
      <c r="A2132" s="2" t="str">
        <f>IFERROR(__xludf.DUMMYFUNCTION("IF('From Order'!$A2132=COLUMNS($A2132:A2151), LEFT(INDEX(FILTER(A$1:A2131, A$1:A2131&lt;&gt;""""),COUNTA(FILTER(A$1:A2131, A$1:A2131&lt;&gt;""""))), LEN(INDEX(FILTER(A$1:A2131, A$1:A2131&lt;&gt;""""),COUNTA(FILTER(A$1:A2131, A$1:A2131&lt;&gt;""""))))-1), IF('To Order'!$A2132=COL"&amp;"UMNS($A2132:A2151), A2131&amp;RIGHT(INDIRECT(ADDRESS(ROW(A2132)-1, 'From Order'!$A2132)), 1), A2131))"),"DSPBFLLW")</f>
        <v>DSPBFLLW</v>
      </c>
      <c r="B2132" s="2" t="str">
        <f>IFERROR(__xludf.DUMMYFUNCTION("IF('From Order'!$A2132=COLUMNS($A2132:B2151), LEFT(INDEX(FILTER(B$1:B2131, B$1:B2131&lt;&gt;""""),COUNTA(FILTER(B$1:B2131, B$1:B2131&lt;&gt;""""))), LEN(INDEX(FILTER(B$1:B2131, B$1:B2131&lt;&gt;""""),COUNTA(FILTER(B$1:B2131, B$1:B2131&lt;&gt;""""))))-1), IF('To Order'!$A2132=COL"&amp;"UMNS($A2132:B2151), B2131&amp;RIGHT(INDIRECT(ADDRESS(ROW(B2132)-1, 'From Order'!$A2132)), 1), B2131))"),"JDPSST")</f>
        <v>JDPSST</v>
      </c>
      <c r="C2132" s="2" t="str">
        <f>IFERROR(__xludf.DUMMYFUNCTION("IF('From Order'!$A2132=COLUMNS($A2132:C2151), LEFT(INDEX(FILTER(C$1:C2131, C$1:C2131&lt;&gt;""""),COUNTA(FILTER(C$1:C2131, C$1:C2131&lt;&gt;""""))), LEN(INDEX(FILTER(C$1:C2131, C$1:C2131&lt;&gt;""""),COUNTA(FILTER(C$1:C2131, C$1:C2131&lt;&gt;""""))))-1), IF('To Order'!$A2132=COL"&amp;"UMNS($A2132:C2151), C2131&amp;RIGHT(INDIRECT(ADDRESS(ROW(C2132)-1, 'From Order'!$A2132)), 1), C2131))"),"VBHCLRRJMGTTMDZQ")</f>
        <v>VBHCLRRJMGTTMDZQ</v>
      </c>
      <c r="D2132" s="2" t="str">
        <f>IFERROR(__xludf.DUMMYFUNCTION("IF('From Order'!$A2132=COLUMNS($A2132:D2151), LEFT(INDEX(FILTER(D$1:D2131, D$1:D2131&lt;&gt;""""),COUNTA(FILTER(D$1:D2131, D$1:D2131&lt;&gt;""""))), LEN(INDEX(FILTER(D$1:D2131, D$1:D2131&lt;&gt;""""),COUNTA(FILTER(D$1:D2131, D$1:D2131&lt;&gt;""""))))-1), IF('To Order'!$A2132=COL"&amp;"UMNS($A2132:D2151), D2131&amp;RIGHT(INDIRECT(ADDRESS(ROW(D2132)-1, 'From Order'!$A2132)), 1), D2131))"),"RBJVBRPHZMTCT")</f>
        <v>RBJVBRPHZMTCT</v>
      </c>
      <c r="E2132" s="2" t="str">
        <f>IFERROR(__xludf.DUMMYFUNCTION("IF('From Order'!$A2132=COLUMNS($A2132:E2151), LEFT(INDEX(FILTER(E$1:E2131, E$1:E2131&lt;&gt;""""),COUNTA(FILTER(E$1:E2131, E$1:E2131&lt;&gt;""""))), LEN(INDEX(FILTER(E$1:E2131, E$1:E2131&lt;&gt;""""),COUNTA(FILTER(E$1:E2131, E$1:E2131&lt;&gt;""""))))-1), IF('To Order'!$A2132=COL"&amp;"UMNS($A2132:E2151), E2131&amp;RIGHT(INDIRECT(ADDRESS(ROW(E2132)-1, 'From Order'!$A2132)), 1), E2131))"),"FSCZR")</f>
        <v>FSCZR</v>
      </c>
      <c r="F2132" s="2" t="str">
        <f>IFERROR(__xludf.DUMMYFUNCTION("IF('From Order'!$A2132=COLUMNS($A2132:F2151), LEFT(INDEX(FILTER(F$1:F2131, F$1:F2131&lt;&gt;""""),COUNTA(FILTER(F$1:F2131, F$1:F2131&lt;&gt;""""))), LEN(INDEX(FILTER(F$1:F2131, F$1:F2131&lt;&gt;""""),COUNTA(FILTER(F$1:F2131, F$1:F2131&lt;&gt;""""))))-1), IF('To Order'!$A2132=COL"&amp;"UMNS($A2132:F2151), F2131&amp;RIGHT(INDIRECT(ADDRESS(ROW(F2132)-1, 'From Order'!$A2132)), 1), F2131))"),"")</f>
        <v/>
      </c>
      <c r="G2132" s="2" t="str">
        <f>IFERROR(__xludf.DUMMYFUNCTION("IF('From Order'!$A2132=COLUMNS($A2132:G2151), LEFT(INDEX(FILTER(G$1:G2131, G$1:G2131&lt;&gt;""""),COUNTA(FILTER(G$1:G2131, G$1:G2131&lt;&gt;""""))), LEN(INDEX(FILTER(G$1:G2131, G$1:G2131&lt;&gt;""""),COUNTA(FILTER(G$1:G2131, G$1:G2131&lt;&gt;""""))))-1), IF('To Order'!$A2132=COL"&amp;"UMNS($A2132:G2151), G2131&amp;RIGHT(INDIRECT(ADDRESS(ROW(G2132)-1, 'From Order'!$A2132)), 1), G2131))"),"GW")</f>
        <v>GW</v>
      </c>
      <c r="H2132" s="2" t="str">
        <f>IFERROR(__xludf.DUMMYFUNCTION("IF('From Order'!$A2132=COLUMNS($A2132:H2151), LEFT(INDEX(FILTER(H$1:H2131, H$1:H2131&lt;&gt;""""),COUNTA(FILTER(H$1:H2131, H$1:H2131&lt;&gt;""""))), LEN(INDEX(FILTER(H$1:H2131, H$1:H2131&lt;&gt;""""),COUNTA(FILTER(H$1:H2131, H$1:H2131&lt;&gt;""""))))-1), IF('To Order'!$A2132=COL"&amp;"UMNS($A2132:H2151), H2131&amp;RIGHT(INDIRECT(ADDRESS(ROW(H2132)-1, 'From Order'!$A2132)), 1), H2131))"),"QT")</f>
        <v>QT</v>
      </c>
      <c r="I2132" s="2" t="str">
        <f>IFERROR(__xludf.DUMMYFUNCTION("IF('From Order'!$A2132=COLUMNS($A2132:I2151), LEFT(INDEX(FILTER(I$1:I2131, I$1:I2131&lt;&gt;""""),COUNTA(FILTER(I$1:I2131, I$1:I2131&lt;&gt;""""))), LEN(INDEX(FILTER(I$1:I2131, I$1:I2131&lt;&gt;""""),COUNTA(FILTER(I$1:I2131, I$1:I2131&lt;&gt;""""))))-1), IF('To Order'!$A2132=COL"&amp;"UMNS($A2132:I2151), I2131&amp;RIGHT(INDIRECT(ADDRESS(ROW(I2132)-1, 'From Order'!$A2132)), 1), I2131))"),"DDDV")</f>
        <v>DDDV</v>
      </c>
    </row>
    <row r="2133">
      <c r="A2133" s="2" t="str">
        <f>IFERROR(__xludf.DUMMYFUNCTION("IF('From Order'!$A2133=COLUMNS($A2133:A2152), LEFT(INDEX(FILTER(A$1:A2132, A$1:A2132&lt;&gt;""""),COUNTA(FILTER(A$1:A2132, A$1:A2132&lt;&gt;""""))), LEN(INDEX(FILTER(A$1:A2132, A$1:A2132&lt;&gt;""""),COUNTA(FILTER(A$1:A2132, A$1:A2132&lt;&gt;""""))))-1), IF('To Order'!$A2133=COL"&amp;"UMNS($A2133:A2152), A2132&amp;RIGHT(INDIRECT(ADDRESS(ROW(A2133)-1, 'From Order'!$A2133)), 1), A2132))"),"DSPBFLLW")</f>
        <v>DSPBFLLW</v>
      </c>
      <c r="B2133" s="2" t="str">
        <f>IFERROR(__xludf.DUMMYFUNCTION("IF('From Order'!$A2133=COLUMNS($A2133:B2152), LEFT(INDEX(FILTER(B$1:B2132, B$1:B2132&lt;&gt;""""),COUNTA(FILTER(B$1:B2132, B$1:B2132&lt;&gt;""""))), LEN(INDEX(FILTER(B$1:B2132, B$1:B2132&lt;&gt;""""),COUNTA(FILTER(B$1:B2132, B$1:B2132&lt;&gt;""""))))-1), IF('To Order'!$A2133=COL"&amp;"UMNS($A2133:B2152), B2132&amp;RIGHT(INDIRECT(ADDRESS(ROW(B2133)-1, 'From Order'!$A2133)), 1), B2132))"),"JDPSST")</f>
        <v>JDPSST</v>
      </c>
      <c r="C2133" s="2" t="str">
        <f>IFERROR(__xludf.DUMMYFUNCTION("IF('From Order'!$A2133=COLUMNS($A2133:C2152), LEFT(INDEX(FILTER(C$1:C2132, C$1:C2132&lt;&gt;""""),COUNTA(FILTER(C$1:C2132, C$1:C2132&lt;&gt;""""))), LEN(INDEX(FILTER(C$1:C2132, C$1:C2132&lt;&gt;""""),COUNTA(FILTER(C$1:C2132, C$1:C2132&lt;&gt;""""))))-1), IF('To Order'!$A2133=COL"&amp;"UMNS($A2133:C2152), C2132&amp;RIGHT(INDIRECT(ADDRESS(ROW(C2133)-1, 'From Order'!$A2133)), 1), C2132))"),"VBHCLRRJMGTTMDZ")</f>
        <v>VBHCLRRJMGTTMDZ</v>
      </c>
      <c r="D2133" s="2" t="str">
        <f>IFERROR(__xludf.DUMMYFUNCTION("IF('From Order'!$A2133=COLUMNS($A2133:D2152), LEFT(INDEX(FILTER(D$1:D2132, D$1:D2132&lt;&gt;""""),COUNTA(FILTER(D$1:D2132, D$1:D2132&lt;&gt;""""))), LEN(INDEX(FILTER(D$1:D2132, D$1:D2132&lt;&gt;""""),COUNTA(FILTER(D$1:D2132, D$1:D2132&lt;&gt;""""))))-1), IF('To Order'!$A2133=COL"&amp;"UMNS($A2133:D2152), D2132&amp;RIGHT(INDIRECT(ADDRESS(ROW(D2133)-1, 'From Order'!$A2133)), 1), D2132))"),"RBJVBRPHZMTCT")</f>
        <v>RBJVBRPHZMTCT</v>
      </c>
      <c r="E2133" s="2" t="str">
        <f>IFERROR(__xludf.DUMMYFUNCTION("IF('From Order'!$A2133=COLUMNS($A2133:E2152), LEFT(INDEX(FILTER(E$1:E2132, E$1:E2132&lt;&gt;""""),COUNTA(FILTER(E$1:E2132, E$1:E2132&lt;&gt;""""))), LEN(INDEX(FILTER(E$1:E2132, E$1:E2132&lt;&gt;""""),COUNTA(FILTER(E$1:E2132, E$1:E2132&lt;&gt;""""))))-1), IF('To Order'!$A2133=COL"&amp;"UMNS($A2133:E2152), E2132&amp;RIGHT(INDIRECT(ADDRESS(ROW(E2133)-1, 'From Order'!$A2133)), 1), E2132))"),"FSCZR")</f>
        <v>FSCZR</v>
      </c>
      <c r="F2133" s="2" t="str">
        <f>IFERROR(__xludf.DUMMYFUNCTION("IF('From Order'!$A2133=COLUMNS($A2133:F2152), LEFT(INDEX(FILTER(F$1:F2132, F$1:F2132&lt;&gt;""""),COUNTA(FILTER(F$1:F2132, F$1:F2132&lt;&gt;""""))), LEN(INDEX(FILTER(F$1:F2132, F$1:F2132&lt;&gt;""""),COUNTA(FILTER(F$1:F2132, F$1:F2132&lt;&gt;""""))))-1), IF('To Order'!$A2133=COL"&amp;"UMNS($A2133:F2152), F2132&amp;RIGHT(INDIRECT(ADDRESS(ROW(F2133)-1, 'From Order'!$A2133)), 1), F2132))"),"")</f>
        <v/>
      </c>
      <c r="G2133" s="2" t="str">
        <f>IFERROR(__xludf.DUMMYFUNCTION("IF('From Order'!$A2133=COLUMNS($A2133:G2152), LEFT(INDEX(FILTER(G$1:G2132, G$1:G2132&lt;&gt;""""),COUNTA(FILTER(G$1:G2132, G$1:G2132&lt;&gt;""""))), LEN(INDEX(FILTER(G$1:G2132, G$1:G2132&lt;&gt;""""),COUNTA(FILTER(G$1:G2132, G$1:G2132&lt;&gt;""""))))-1), IF('To Order'!$A2133=COL"&amp;"UMNS($A2133:G2152), G2132&amp;RIGHT(INDIRECT(ADDRESS(ROW(G2133)-1, 'From Order'!$A2133)), 1), G2132))"),"GW")</f>
        <v>GW</v>
      </c>
      <c r="H2133" s="2" t="str">
        <f>IFERROR(__xludf.DUMMYFUNCTION("IF('From Order'!$A2133=COLUMNS($A2133:H2152), LEFT(INDEX(FILTER(H$1:H2132, H$1:H2132&lt;&gt;""""),COUNTA(FILTER(H$1:H2132, H$1:H2132&lt;&gt;""""))), LEN(INDEX(FILTER(H$1:H2132, H$1:H2132&lt;&gt;""""),COUNTA(FILTER(H$1:H2132, H$1:H2132&lt;&gt;""""))))-1), IF('To Order'!$A2133=COL"&amp;"UMNS($A2133:H2152), H2132&amp;RIGHT(INDIRECT(ADDRESS(ROW(H2133)-1, 'From Order'!$A2133)), 1), H2132))"),"QT")</f>
        <v>QT</v>
      </c>
      <c r="I2133" s="2" t="str">
        <f>IFERROR(__xludf.DUMMYFUNCTION("IF('From Order'!$A2133=COLUMNS($A2133:I2152), LEFT(INDEX(FILTER(I$1:I2132, I$1:I2132&lt;&gt;""""),COUNTA(FILTER(I$1:I2132, I$1:I2132&lt;&gt;""""))), LEN(INDEX(FILTER(I$1:I2132, I$1:I2132&lt;&gt;""""),COUNTA(FILTER(I$1:I2132, I$1:I2132&lt;&gt;""""))))-1), IF('To Order'!$A2133=COL"&amp;"UMNS($A2133:I2152), I2132&amp;RIGHT(INDIRECT(ADDRESS(ROW(I2133)-1, 'From Order'!$A2133)), 1), I2132))"),"DDDVQ")</f>
        <v>DDDVQ</v>
      </c>
    </row>
    <row r="2134">
      <c r="A2134" s="2" t="str">
        <f>IFERROR(__xludf.DUMMYFUNCTION("IF('From Order'!$A2134=COLUMNS($A2134:A2153), LEFT(INDEX(FILTER(A$1:A2133, A$1:A2133&lt;&gt;""""),COUNTA(FILTER(A$1:A2133, A$1:A2133&lt;&gt;""""))), LEN(INDEX(FILTER(A$1:A2133, A$1:A2133&lt;&gt;""""),COUNTA(FILTER(A$1:A2133, A$1:A2133&lt;&gt;""""))))-1), IF('To Order'!$A2134=COL"&amp;"UMNS($A2134:A2153), A2133&amp;RIGHT(INDIRECT(ADDRESS(ROW(A2134)-1, 'From Order'!$A2134)), 1), A2133))"),"DSPBFLLW")</f>
        <v>DSPBFLLW</v>
      </c>
      <c r="B2134" s="2" t="str">
        <f>IFERROR(__xludf.DUMMYFUNCTION("IF('From Order'!$A2134=COLUMNS($A2134:B2153), LEFT(INDEX(FILTER(B$1:B2133, B$1:B2133&lt;&gt;""""),COUNTA(FILTER(B$1:B2133, B$1:B2133&lt;&gt;""""))), LEN(INDEX(FILTER(B$1:B2133, B$1:B2133&lt;&gt;""""),COUNTA(FILTER(B$1:B2133, B$1:B2133&lt;&gt;""""))))-1), IF('To Order'!$A2134=COL"&amp;"UMNS($A2134:B2153), B2133&amp;RIGHT(INDIRECT(ADDRESS(ROW(B2134)-1, 'From Order'!$A2134)), 1), B2133))"),"JDPSST")</f>
        <v>JDPSST</v>
      </c>
      <c r="C2134" s="2" t="str">
        <f>IFERROR(__xludf.DUMMYFUNCTION("IF('From Order'!$A2134=COLUMNS($A2134:C2153), LEFT(INDEX(FILTER(C$1:C2133, C$1:C2133&lt;&gt;""""),COUNTA(FILTER(C$1:C2133, C$1:C2133&lt;&gt;""""))), LEN(INDEX(FILTER(C$1:C2133, C$1:C2133&lt;&gt;""""),COUNTA(FILTER(C$1:C2133, C$1:C2133&lt;&gt;""""))))-1), IF('To Order'!$A2134=COL"&amp;"UMNS($A2134:C2153), C2133&amp;RIGHT(INDIRECT(ADDRESS(ROW(C2134)-1, 'From Order'!$A2134)), 1), C2133))"),"VBHCLRRJMGTTMD")</f>
        <v>VBHCLRRJMGTTMD</v>
      </c>
      <c r="D2134" s="2" t="str">
        <f>IFERROR(__xludf.DUMMYFUNCTION("IF('From Order'!$A2134=COLUMNS($A2134:D2153), LEFT(INDEX(FILTER(D$1:D2133, D$1:D2133&lt;&gt;""""),COUNTA(FILTER(D$1:D2133, D$1:D2133&lt;&gt;""""))), LEN(INDEX(FILTER(D$1:D2133, D$1:D2133&lt;&gt;""""),COUNTA(FILTER(D$1:D2133, D$1:D2133&lt;&gt;""""))))-1), IF('To Order'!$A2134=COL"&amp;"UMNS($A2134:D2153), D2133&amp;RIGHT(INDIRECT(ADDRESS(ROW(D2134)-1, 'From Order'!$A2134)), 1), D2133))"),"RBJVBRPHZMTCT")</f>
        <v>RBJVBRPHZMTCT</v>
      </c>
      <c r="E2134" s="2" t="str">
        <f>IFERROR(__xludf.DUMMYFUNCTION("IF('From Order'!$A2134=COLUMNS($A2134:E2153), LEFT(INDEX(FILTER(E$1:E2133, E$1:E2133&lt;&gt;""""),COUNTA(FILTER(E$1:E2133, E$1:E2133&lt;&gt;""""))), LEN(INDEX(FILTER(E$1:E2133, E$1:E2133&lt;&gt;""""),COUNTA(FILTER(E$1:E2133, E$1:E2133&lt;&gt;""""))))-1), IF('To Order'!$A2134=COL"&amp;"UMNS($A2134:E2153), E2133&amp;RIGHT(INDIRECT(ADDRESS(ROW(E2134)-1, 'From Order'!$A2134)), 1), E2133))"),"FSCZR")</f>
        <v>FSCZR</v>
      </c>
      <c r="F2134" s="2" t="str">
        <f>IFERROR(__xludf.DUMMYFUNCTION("IF('From Order'!$A2134=COLUMNS($A2134:F2153), LEFT(INDEX(FILTER(F$1:F2133, F$1:F2133&lt;&gt;""""),COUNTA(FILTER(F$1:F2133, F$1:F2133&lt;&gt;""""))), LEN(INDEX(FILTER(F$1:F2133, F$1:F2133&lt;&gt;""""),COUNTA(FILTER(F$1:F2133, F$1:F2133&lt;&gt;""""))))-1), IF('To Order'!$A2134=COL"&amp;"UMNS($A2134:F2153), F2133&amp;RIGHT(INDIRECT(ADDRESS(ROW(F2134)-1, 'From Order'!$A2134)), 1), F2133))"),"")</f>
        <v/>
      </c>
      <c r="G2134" s="2" t="str">
        <f>IFERROR(__xludf.DUMMYFUNCTION("IF('From Order'!$A2134=COLUMNS($A2134:G2153), LEFT(INDEX(FILTER(G$1:G2133, G$1:G2133&lt;&gt;""""),COUNTA(FILTER(G$1:G2133, G$1:G2133&lt;&gt;""""))), LEN(INDEX(FILTER(G$1:G2133, G$1:G2133&lt;&gt;""""),COUNTA(FILTER(G$1:G2133, G$1:G2133&lt;&gt;""""))))-1), IF('To Order'!$A2134=COL"&amp;"UMNS($A2134:G2153), G2133&amp;RIGHT(INDIRECT(ADDRESS(ROW(G2134)-1, 'From Order'!$A2134)), 1), G2133))"),"GW")</f>
        <v>GW</v>
      </c>
      <c r="H2134" s="2" t="str">
        <f>IFERROR(__xludf.DUMMYFUNCTION("IF('From Order'!$A2134=COLUMNS($A2134:H2153), LEFT(INDEX(FILTER(H$1:H2133, H$1:H2133&lt;&gt;""""),COUNTA(FILTER(H$1:H2133, H$1:H2133&lt;&gt;""""))), LEN(INDEX(FILTER(H$1:H2133, H$1:H2133&lt;&gt;""""),COUNTA(FILTER(H$1:H2133, H$1:H2133&lt;&gt;""""))))-1), IF('To Order'!$A2134=COL"&amp;"UMNS($A2134:H2153), H2133&amp;RIGHT(INDIRECT(ADDRESS(ROW(H2134)-1, 'From Order'!$A2134)), 1), H2133))"),"QT")</f>
        <v>QT</v>
      </c>
      <c r="I2134" s="2" t="str">
        <f>IFERROR(__xludf.DUMMYFUNCTION("IF('From Order'!$A2134=COLUMNS($A2134:I2153), LEFT(INDEX(FILTER(I$1:I2133, I$1:I2133&lt;&gt;""""),COUNTA(FILTER(I$1:I2133, I$1:I2133&lt;&gt;""""))), LEN(INDEX(FILTER(I$1:I2133, I$1:I2133&lt;&gt;""""),COUNTA(FILTER(I$1:I2133, I$1:I2133&lt;&gt;""""))))-1), IF('To Order'!$A2134=COL"&amp;"UMNS($A2134:I2153), I2133&amp;RIGHT(INDIRECT(ADDRESS(ROW(I2134)-1, 'From Order'!$A2134)), 1), I2133))"),"DDDVQZ")</f>
        <v>DDDVQZ</v>
      </c>
    </row>
    <row r="2135">
      <c r="A2135" s="2" t="str">
        <f>IFERROR(__xludf.DUMMYFUNCTION("IF('From Order'!$A2135=COLUMNS($A2135:A2154), LEFT(INDEX(FILTER(A$1:A2134, A$1:A2134&lt;&gt;""""),COUNTA(FILTER(A$1:A2134, A$1:A2134&lt;&gt;""""))), LEN(INDEX(FILTER(A$1:A2134, A$1:A2134&lt;&gt;""""),COUNTA(FILTER(A$1:A2134, A$1:A2134&lt;&gt;""""))))-1), IF('To Order'!$A2135=COL"&amp;"UMNS($A2135:A2154), A2134&amp;RIGHT(INDIRECT(ADDRESS(ROW(A2135)-1, 'From Order'!$A2135)), 1), A2134))"),"DSPBFLLW")</f>
        <v>DSPBFLLW</v>
      </c>
      <c r="B2135" s="2" t="str">
        <f>IFERROR(__xludf.DUMMYFUNCTION("IF('From Order'!$A2135=COLUMNS($A2135:B2154), LEFT(INDEX(FILTER(B$1:B2134, B$1:B2134&lt;&gt;""""),COUNTA(FILTER(B$1:B2134, B$1:B2134&lt;&gt;""""))), LEN(INDEX(FILTER(B$1:B2134, B$1:B2134&lt;&gt;""""),COUNTA(FILTER(B$1:B2134, B$1:B2134&lt;&gt;""""))))-1), IF('To Order'!$A2135=COL"&amp;"UMNS($A2135:B2154), B2134&amp;RIGHT(INDIRECT(ADDRESS(ROW(B2135)-1, 'From Order'!$A2135)), 1), B2134))"),"JDPSST")</f>
        <v>JDPSST</v>
      </c>
      <c r="C2135" s="2" t="str">
        <f>IFERROR(__xludf.DUMMYFUNCTION("IF('From Order'!$A2135=COLUMNS($A2135:C2154), LEFT(INDEX(FILTER(C$1:C2134, C$1:C2134&lt;&gt;""""),COUNTA(FILTER(C$1:C2134, C$1:C2134&lt;&gt;""""))), LEN(INDEX(FILTER(C$1:C2134, C$1:C2134&lt;&gt;""""),COUNTA(FILTER(C$1:C2134, C$1:C2134&lt;&gt;""""))))-1), IF('To Order'!$A2135=COL"&amp;"UMNS($A2135:C2154), C2134&amp;RIGHT(INDIRECT(ADDRESS(ROW(C2135)-1, 'From Order'!$A2135)), 1), C2134))"),"VBHCLRRJMGTTM")</f>
        <v>VBHCLRRJMGTTM</v>
      </c>
      <c r="D2135" s="2" t="str">
        <f>IFERROR(__xludf.DUMMYFUNCTION("IF('From Order'!$A2135=COLUMNS($A2135:D2154), LEFT(INDEX(FILTER(D$1:D2134, D$1:D2134&lt;&gt;""""),COUNTA(FILTER(D$1:D2134, D$1:D2134&lt;&gt;""""))), LEN(INDEX(FILTER(D$1:D2134, D$1:D2134&lt;&gt;""""),COUNTA(FILTER(D$1:D2134, D$1:D2134&lt;&gt;""""))))-1), IF('To Order'!$A2135=COL"&amp;"UMNS($A2135:D2154), D2134&amp;RIGHT(INDIRECT(ADDRESS(ROW(D2135)-1, 'From Order'!$A2135)), 1), D2134))"),"RBJVBRPHZMTCT")</f>
        <v>RBJVBRPHZMTCT</v>
      </c>
      <c r="E2135" s="2" t="str">
        <f>IFERROR(__xludf.DUMMYFUNCTION("IF('From Order'!$A2135=COLUMNS($A2135:E2154), LEFT(INDEX(FILTER(E$1:E2134, E$1:E2134&lt;&gt;""""),COUNTA(FILTER(E$1:E2134, E$1:E2134&lt;&gt;""""))), LEN(INDEX(FILTER(E$1:E2134, E$1:E2134&lt;&gt;""""),COUNTA(FILTER(E$1:E2134, E$1:E2134&lt;&gt;""""))))-1), IF('To Order'!$A2135=COL"&amp;"UMNS($A2135:E2154), E2134&amp;RIGHT(INDIRECT(ADDRESS(ROW(E2135)-1, 'From Order'!$A2135)), 1), E2134))"),"FSCZR")</f>
        <v>FSCZR</v>
      </c>
      <c r="F2135" s="2" t="str">
        <f>IFERROR(__xludf.DUMMYFUNCTION("IF('From Order'!$A2135=COLUMNS($A2135:F2154), LEFT(INDEX(FILTER(F$1:F2134, F$1:F2134&lt;&gt;""""),COUNTA(FILTER(F$1:F2134, F$1:F2134&lt;&gt;""""))), LEN(INDEX(FILTER(F$1:F2134, F$1:F2134&lt;&gt;""""),COUNTA(FILTER(F$1:F2134, F$1:F2134&lt;&gt;""""))))-1), IF('To Order'!$A2135=COL"&amp;"UMNS($A2135:F2154), F2134&amp;RIGHT(INDIRECT(ADDRESS(ROW(F2135)-1, 'From Order'!$A2135)), 1), F2134))"),"")</f>
        <v/>
      </c>
      <c r="G2135" s="2" t="str">
        <f>IFERROR(__xludf.DUMMYFUNCTION("IF('From Order'!$A2135=COLUMNS($A2135:G2154), LEFT(INDEX(FILTER(G$1:G2134, G$1:G2134&lt;&gt;""""),COUNTA(FILTER(G$1:G2134, G$1:G2134&lt;&gt;""""))), LEN(INDEX(FILTER(G$1:G2134, G$1:G2134&lt;&gt;""""),COUNTA(FILTER(G$1:G2134, G$1:G2134&lt;&gt;""""))))-1), IF('To Order'!$A2135=COL"&amp;"UMNS($A2135:G2154), G2134&amp;RIGHT(INDIRECT(ADDRESS(ROW(G2135)-1, 'From Order'!$A2135)), 1), G2134))"),"GW")</f>
        <v>GW</v>
      </c>
      <c r="H2135" s="2" t="str">
        <f>IFERROR(__xludf.DUMMYFUNCTION("IF('From Order'!$A2135=COLUMNS($A2135:H2154), LEFT(INDEX(FILTER(H$1:H2134, H$1:H2134&lt;&gt;""""),COUNTA(FILTER(H$1:H2134, H$1:H2134&lt;&gt;""""))), LEN(INDEX(FILTER(H$1:H2134, H$1:H2134&lt;&gt;""""),COUNTA(FILTER(H$1:H2134, H$1:H2134&lt;&gt;""""))))-1), IF('To Order'!$A2135=COL"&amp;"UMNS($A2135:H2154), H2134&amp;RIGHT(INDIRECT(ADDRESS(ROW(H2135)-1, 'From Order'!$A2135)), 1), H2134))"),"QT")</f>
        <v>QT</v>
      </c>
      <c r="I2135" s="2" t="str">
        <f>IFERROR(__xludf.DUMMYFUNCTION("IF('From Order'!$A2135=COLUMNS($A2135:I2154), LEFT(INDEX(FILTER(I$1:I2134, I$1:I2134&lt;&gt;""""),COUNTA(FILTER(I$1:I2134, I$1:I2134&lt;&gt;""""))), LEN(INDEX(FILTER(I$1:I2134, I$1:I2134&lt;&gt;""""),COUNTA(FILTER(I$1:I2134, I$1:I2134&lt;&gt;""""))))-1), IF('To Order'!$A2135=COL"&amp;"UMNS($A2135:I2154), I2134&amp;RIGHT(INDIRECT(ADDRESS(ROW(I2135)-1, 'From Order'!$A2135)), 1), I2134))"),"DDDVQZD")</f>
        <v>DDDVQZD</v>
      </c>
    </row>
    <row r="2136">
      <c r="A2136" s="2" t="str">
        <f>IFERROR(__xludf.DUMMYFUNCTION("IF('From Order'!$A2136=COLUMNS($A2136:A2155), LEFT(INDEX(FILTER(A$1:A2135, A$1:A2135&lt;&gt;""""),COUNTA(FILTER(A$1:A2135, A$1:A2135&lt;&gt;""""))), LEN(INDEX(FILTER(A$1:A2135, A$1:A2135&lt;&gt;""""),COUNTA(FILTER(A$1:A2135, A$1:A2135&lt;&gt;""""))))-1), IF('To Order'!$A2136=COL"&amp;"UMNS($A2136:A2155), A2135&amp;RIGHT(INDIRECT(ADDRESS(ROW(A2136)-1, 'From Order'!$A2136)), 1), A2135))"),"DSPBFLLW")</f>
        <v>DSPBFLLW</v>
      </c>
      <c r="B2136" s="2" t="str">
        <f>IFERROR(__xludf.DUMMYFUNCTION("IF('From Order'!$A2136=COLUMNS($A2136:B2155), LEFT(INDEX(FILTER(B$1:B2135, B$1:B2135&lt;&gt;""""),COUNTA(FILTER(B$1:B2135, B$1:B2135&lt;&gt;""""))), LEN(INDEX(FILTER(B$1:B2135, B$1:B2135&lt;&gt;""""),COUNTA(FILTER(B$1:B2135, B$1:B2135&lt;&gt;""""))))-1), IF('To Order'!$A2136=COL"&amp;"UMNS($A2136:B2155), B2135&amp;RIGHT(INDIRECT(ADDRESS(ROW(B2136)-1, 'From Order'!$A2136)), 1), B2135))"),"JDPSST")</f>
        <v>JDPSST</v>
      </c>
      <c r="C2136" s="2" t="str">
        <f>IFERROR(__xludf.DUMMYFUNCTION("IF('From Order'!$A2136=COLUMNS($A2136:C2155), LEFT(INDEX(FILTER(C$1:C2135, C$1:C2135&lt;&gt;""""),COUNTA(FILTER(C$1:C2135, C$1:C2135&lt;&gt;""""))), LEN(INDEX(FILTER(C$1:C2135, C$1:C2135&lt;&gt;""""),COUNTA(FILTER(C$1:C2135, C$1:C2135&lt;&gt;""""))))-1), IF('To Order'!$A2136=COL"&amp;"UMNS($A2136:C2155), C2135&amp;RIGHT(INDIRECT(ADDRESS(ROW(C2136)-1, 'From Order'!$A2136)), 1), C2135))"),"VBHCLRRJMGTT")</f>
        <v>VBHCLRRJMGTT</v>
      </c>
      <c r="D2136" s="2" t="str">
        <f>IFERROR(__xludf.DUMMYFUNCTION("IF('From Order'!$A2136=COLUMNS($A2136:D2155), LEFT(INDEX(FILTER(D$1:D2135, D$1:D2135&lt;&gt;""""),COUNTA(FILTER(D$1:D2135, D$1:D2135&lt;&gt;""""))), LEN(INDEX(FILTER(D$1:D2135, D$1:D2135&lt;&gt;""""),COUNTA(FILTER(D$1:D2135, D$1:D2135&lt;&gt;""""))))-1), IF('To Order'!$A2136=COL"&amp;"UMNS($A2136:D2155), D2135&amp;RIGHT(INDIRECT(ADDRESS(ROW(D2136)-1, 'From Order'!$A2136)), 1), D2135))"),"RBJVBRPHZMTCT")</f>
        <v>RBJVBRPHZMTCT</v>
      </c>
      <c r="E2136" s="2" t="str">
        <f>IFERROR(__xludf.DUMMYFUNCTION("IF('From Order'!$A2136=COLUMNS($A2136:E2155), LEFT(INDEX(FILTER(E$1:E2135, E$1:E2135&lt;&gt;""""),COUNTA(FILTER(E$1:E2135, E$1:E2135&lt;&gt;""""))), LEN(INDEX(FILTER(E$1:E2135, E$1:E2135&lt;&gt;""""),COUNTA(FILTER(E$1:E2135, E$1:E2135&lt;&gt;""""))))-1), IF('To Order'!$A2136=COL"&amp;"UMNS($A2136:E2155), E2135&amp;RIGHT(INDIRECT(ADDRESS(ROW(E2136)-1, 'From Order'!$A2136)), 1), E2135))"),"FSCZR")</f>
        <v>FSCZR</v>
      </c>
      <c r="F2136" s="2" t="str">
        <f>IFERROR(__xludf.DUMMYFUNCTION("IF('From Order'!$A2136=COLUMNS($A2136:F2155), LEFT(INDEX(FILTER(F$1:F2135, F$1:F2135&lt;&gt;""""),COUNTA(FILTER(F$1:F2135, F$1:F2135&lt;&gt;""""))), LEN(INDEX(FILTER(F$1:F2135, F$1:F2135&lt;&gt;""""),COUNTA(FILTER(F$1:F2135, F$1:F2135&lt;&gt;""""))))-1), IF('To Order'!$A2136=COL"&amp;"UMNS($A2136:F2155), F2135&amp;RIGHT(INDIRECT(ADDRESS(ROW(F2136)-1, 'From Order'!$A2136)), 1), F2135))"),"")</f>
        <v/>
      </c>
      <c r="G2136" s="2" t="str">
        <f>IFERROR(__xludf.DUMMYFUNCTION("IF('From Order'!$A2136=COLUMNS($A2136:G2155), LEFT(INDEX(FILTER(G$1:G2135, G$1:G2135&lt;&gt;""""),COUNTA(FILTER(G$1:G2135, G$1:G2135&lt;&gt;""""))), LEN(INDEX(FILTER(G$1:G2135, G$1:G2135&lt;&gt;""""),COUNTA(FILTER(G$1:G2135, G$1:G2135&lt;&gt;""""))))-1), IF('To Order'!$A2136=COL"&amp;"UMNS($A2136:G2155), G2135&amp;RIGHT(INDIRECT(ADDRESS(ROW(G2136)-1, 'From Order'!$A2136)), 1), G2135))"),"GW")</f>
        <v>GW</v>
      </c>
      <c r="H2136" s="2" t="str">
        <f>IFERROR(__xludf.DUMMYFUNCTION("IF('From Order'!$A2136=COLUMNS($A2136:H2155), LEFT(INDEX(FILTER(H$1:H2135, H$1:H2135&lt;&gt;""""),COUNTA(FILTER(H$1:H2135, H$1:H2135&lt;&gt;""""))), LEN(INDEX(FILTER(H$1:H2135, H$1:H2135&lt;&gt;""""),COUNTA(FILTER(H$1:H2135, H$1:H2135&lt;&gt;""""))))-1), IF('To Order'!$A2136=COL"&amp;"UMNS($A2136:H2155), H2135&amp;RIGHT(INDIRECT(ADDRESS(ROW(H2136)-1, 'From Order'!$A2136)), 1), H2135))"),"QT")</f>
        <v>QT</v>
      </c>
      <c r="I2136" s="2" t="str">
        <f>IFERROR(__xludf.DUMMYFUNCTION("IF('From Order'!$A2136=COLUMNS($A2136:I2155), LEFT(INDEX(FILTER(I$1:I2135, I$1:I2135&lt;&gt;""""),COUNTA(FILTER(I$1:I2135, I$1:I2135&lt;&gt;""""))), LEN(INDEX(FILTER(I$1:I2135, I$1:I2135&lt;&gt;""""),COUNTA(FILTER(I$1:I2135, I$1:I2135&lt;&gt;""""))))-1), IF('To Order'!$A2136=COL"&amp;"UMNS($A2136:I2155), I2135&amp;RIGHT(INDIRECT(ADDRESS(ROW(I2136)-1, 'From Order'!$A2136)), 1), I2135))"),"DDDVQZDM")</f>
        <v>DDDVQZDM</v>
      </c>
    </row>
    <row r="2137">
      <c r="A2137" s="2" t="str">
        <f>IFERROR(__xludf.DUMMYFUNCTION("IF('From Order'!$A2137=COLUMNS($A2137:A2156), LEFT(INDEX(FILTER(A$1:A2136, A$1:A2136&lt;&gt;""""),COUNTA(FILTER(A$1:A2136, A$1:A2136&lt;&gt;""""))), LEN(INDEX(FILTER(A$1:A2136, A$1:A2136&lt;&gt;""""),COUNTA(FILTER(A$1:A2136, A$1:A2136&lt;&gt;""""))))-1), IF('To Order'!$A2137=COL"&amp;"UMNS($A2137:A2156), A2136&amp;RIGHT(INDIRECT(ADDRESS(ROW(A2137)-1, 'From Order'!$A2137)), 1), A2136))"),"DSPBFLLW")</f>
        <v>DSPBFLLW</v>
      </c>
      <c r="B2137" s="2" t="str">
        <f>IFERROR(__xludf.DUMMYFUNCTION("IF('From Order'!$A2137=COLUMNS($A2137:B2156), LEFT(INDEX(FILTER(B$1:B2136, B$1:B2136&lt;&gt;""""),COUNTA(FILTER(B$1:B2136, B$1:B2136&lt;&gt;""""))), LEN(INDEX(FILTER(B$1:B2136, B$1:B2136&lt;&gt;""""),COUNTA(FILTER(B$1:B2136, B$1:B2136&lt;&gt;""""))))-1), IF('To Order'!$A2137=COL"&amp;"UMNS($A2137:B2156), B2136&amp;RIGHT(INDIRECT(ADDRESS(ROW(B2137)-1, 'From Order'!$A2137)), 1), B2136))"),"JDPSST")</f>
        <v>JDPSST</v>
      </c>
      <c r="C2137" s="2" t="str">
        <f>IFERROR(__xludf.DUMMYFUNCTION("IF('From Order'!$A2137=COLUMNS($A2137:C2156), LEFT(INDEX(FILTER(C$1:C2136, C$1:C2136&lt;&gt;""""),COUNTA(FILTER(C$1:C2136, C$1:C2136&lt;&gt;""""))), LEN(INDEX(FILTER(C$1:C2136, C$1:C2136&lt;&gt;""""),COUNTA(FILTER(C$1:C2136, C$1:C2136&lt;&gt;""""))))-1), IF('To Order'!$A2137=COL"&amp;"UMNS($A2137:C2156), C2136&amp;RIGHT(INDIRECT(ADDRESS(ROW(C2137)-1, 'From Order'!$A2137)), 1), C2136))"),"VBHCLRRJMGT")</f>
        <v>VBHCLRRJMGT</v>
      </c>
      <c r="D2137" s="2" t="str">
        <f>IFERROR(__xludf.DUMMYFUNCTION("IF('From Order'!$A2137=COLUMNS($A2137:D2156), LEFT(INDEX(FILTER(D$1:D2136, D$1:D2136&lt;&gt;""""),COUNTA(FILTER(D$1:D2136, D$1:D2136&lt;&gt;""""))), LEN(INDEX(FILTER(D$1:D2136, D$1:D2136&lt;&gt;""""),COUNTA(FILTER(D$1:D2136, D$1:D2136&lt;&gt;""""))))-1), IF('To Order'!$A2137=COL"&amp;"UMNS($A2137:D2156), D2136&amp;RIGHT(INDIRECT(ADDRESS(ROW(D2137)-1, 'From Order'!$A2137)), 1), D2136))"),"RBJVBRPHZMTCT")</f>
        <v>RBJVBRPHZMTCT</v>
      </c>
      <c r="E2137" s="2" t="str">
        <f>IFERROR(__xludf.DUMMYFUNCTION("IF('From Order'!$A2137=COLUMNS($A2137:E2156), LEFT(INDEX(FILTER(E$1:E2136, E$1:E2136&lt;&gt;""""),COUNTA(FILTER(E$1:E2136, E$1:E2136&lt;&gt;""""))), LEN(INDEX(FILTER(E$1:E2136, E$1:E2136&lt;&gt;""""),COUNTA(FILTER(E$1:E2136, E$1:E2136&lt;&gt;""""))))-1), IF('To Order'!$A2137=COL"&amp;"UMNS($A2137:E2156), E2136&amp;RIGHT(INDIRECT(ADDRESS(ROW(E2137)-1, 'From Order'!$A2137)), 1), E2136))"),"FSCZR")</f>
        <v>FSCZR</v>
      </c>
      <c r="F2137" s="2" t="str">
        <f>IFERROR(__xludf.DUMMYFUNCTION("IF('From Order'!$A2137=COLUMNS($A2137:F2156), LEFT(INDEX(FILTER(F$1:F2136, F$1:F2136&lt;&gt;""""),COUNTA(FILTER(F$1:F2136, F$1:F2136&lt;&gt;""""))), LEN(INDEX(FILTER(F$1:F2136, F$1:F2136&lt;&gt;""""),COUNTA(FILTER(F$1:F2136, F$1:F2136&lt;&gt;""""))))-1), IF('To Order'!$A2137=COL"&amp;"UMNS($A2137:F2156), F2136&amp;RIGHT(INDIRECT(ADDRESS(ROW(F2137)-1, 'From Order'!$A2137)), 1), F2136))"),"")</f>
        <v/>
      </c>
      <c r="G2137" s="2" t="str">
        <f>IFERROR(__xludf.DUMMYFUNCTION("IF('From Order'!$A2137=COLUMNS($A2137:G2156), LEFT(INDEX(FILTER(G$1:G2136, G$1:G2136&lt;&gt;""""),COUNTA(FILTER(G$1:G2136, G$1:G2136&lt;&gt;""""))), LEN(INDEX(FILTER(G$1:G2136, G$1:G2136&lt;&gt;""""),COUNTA(FILTER(G$1:G2136, G$1:G2136&lt;&gt;""""))))-1), IF('To Order'!$A2137=COL"&amp;"UMNS($A2137:G2156), G2136&amp;RIGHT(INDIRECT(ADDRESS(ROW(G2137)-1, 'From Order'!$A2137)), 1), G2136))"),"GW")</f>
        <v>GW</v>
      </c>
      <c r="H2137" s="2" t="str">
        <f>IFERROR(__xludf.DUMMYFUNCTION("IF('From Order'!$A2137=COLUMNS($A2137:H2156), LEFT(INDEX(FILTER(H$1:H2136, H$1:H2136&lt;&gt;""""),COUNTA(FILTER(H$1:H2136, H$1:H2136&lt;&gt;""""))), LEN(INDEX(FILTER(H$1:H2136, H$1:H2136&lt;&gt;""""),COUNTA(FILTER(H$1:H2136, H$1:H2136&lt;&gt;""""))))-1), IF('To Order'!$A2137=COL"&amp;"UMNS($A2137:H2156), H2136&amp;RIGHT(INDIRECT(ADDRESS(ROW(H2137)-1, 'From Order'!$A2137)), 1), H2136))"),"QT")</f>
        <v>QT</v>
      </c>
      <c r="I2137" s="2" t="str">
        <f>IFERROR(__xludf.DUMMYFUNCTION("IF('From Order'!$A2137=COLUMNS($A2137:I2156), LEFT(INDEX(FILTER(I$1:I2136, I$1:I2136&lt;&gt;""""),COUNTA(FILTER(I$1:I2136, I$1:I2136&lt;&gt;""""))), LEN(INDEX(FILTER(I$1:I2136, I$1:I2136&lt;&gt;""""),COUNTA(FILTER(I$1:I2136, I$1:I2136&lt;&gt;""""))))-1), IF('To Order'!$A2137=COL"&amp;"UMNS($A2137:I2156), I2136&amp;RIGHT(INDIRECT(ADDRESS(ROW(I2137)-1, 'From Order'!$A2137)), 1), I2136))"),"DDDVQZDMT")</f>
        <v>DDDVQZDMT</v>
      </c>
    </row>
    <row r="2138">
      <c r="A2138" s="2" t="str">
        <f>IFERROR(__xludf.DUMMYFUNCTION("IF('From Order'!$A2138=COLUMNS($A2138:A2157), LEFT(INDEX(FILTER(A$1:A2137, A$1:A2137&lt;&gt;""""),COUNTA(FILTER(A$1:A2137, A$1:A2137&lt;&gt;""""))), LEN(INDEX(FILTER(A$1:A2137, A$1:A2137&lt;&gt;""""),COUNTA(FILTER(A$1:A2137, A$1:A2137&lt;&gt;""""))))-1), IF('To Order'!$A2138=COL"&amp;"UMNS($A2138:A2157), A2137&amp;RIGHT(INDIRECT(ADDRESS(ROW(A2138)-1, 'From Order'!$A2138)), 1), A2137))"),"DSPBFLLW")</f>
        <v>DSPBFLLW</v>
      </c>
      <c r="B2138" s="2" t="str">
        <f>IFERROR(__xludf.DUMMYFUNCTION("IF('From Order'!$A2138=COLUMNS($A2138:B2157), LEFT(INDEX(FILTER(B$1:B2137, B$1:B2137&lt;&gt;""""),COUNTA(FILTER(B$1:B2137, B$1:B2137&lt;&gt;""""))), LEN(INDEX(FILTER(B$1:B2137, B$1:B2137&lt;&gt;""""),COUNTA(FILTER(B$1:B2137, B$1:B2137&lt;&gt;""""))))-1), IF('To Order'!$A2138=COL"&amp;"UMNS($A2138:B2157), B2137&amp;RIGHT(INDIRECT(ADDRESS(ROW(B2138)-1, 'From Order'!$A2138)), 1), B2137))"),"JDPSST")</f>
        <v>JDPSST</v>
      </c>
      <c r="C2138" s="2" t="str">
        <f>IFERROR(__xludf.DUMMYFUNCTION("IF('From Order'!$A2138=COLUMNS($A2138:C2157), LEFT(INDEX(FILTER(C$1:C2137, C$1:C2137&lt;&gt;""""),COUNTA(FILTER(C$1:C2137, C$1:C2137&lt;&gt;""""))), LEN(INDEX(FILTER(C$1:C2137, C$1:C2137&lt;&gt;""""),COUNTA(FILTER(C$1:C2137, C$1:C2137&lt;&gt;""""))))-1), IF('To Order'!$A2138=COL"&amp;"UMNS($A2138:C2157), C2137&amp;RIGHT(INDIRECT(ADDRESS(ROW(C2138)-1, 'From Order'!$A2138)), 1), C2137))"),"VBHCLRRJMG")</f>
        <v>VBHCLRRJMG</v>
      </c>
      <c r="D2138" s="2" t="str">
        <f>IFERROR(__xludf.DUMMYFUNCTION("IF('From Order'!$A2138=COLUMNS($A2138:D2157), LEFT(INDEX(FILTER(D$1:D2137, D$1:D2137&lt;&gt;""""),COUNTA(FILTER(D$1:D2137, D$1:D2137&lt;&gt;""""))), LEN(INDEX(FILTER(D$1:D2137, D$1:D2137&lt;&gt;""""),COUNTA(FILTER(D$1:D2137, D$1:D2137&lt;&gt;""""))))-1), IF('To Order'!$A2138=COL"&amp;"UMNS($A2138:D2157), D2137&amp;RIGHT(INDIRECT(ADDRESS(ROW(D2138)-1, 'From Order'!$A2138)), 1), D2137))"),"RBJVBRPHZMTCT")</f>
        <v>RBJVBRPHZMTCT</v>
      </c>
      <c r="E2138" s="2" t="str">
        <f>IFERROR(__xludf.DUMMYFUNCTION("IF('From Order'!$A2138=COLUMNS($A2138:E2157), LEFT(INDEX(FILTER(E$1:E2137, E$1:E2137&lt;&gt;""""),COUNTA(FILTER(E$1:E2137, E$1:E2137&lt;&gt;""""))), LEN(INDEX(FILTER(E$1:E2137, E$1:E2137&lt;&gt;""""),COUNTA(FILTER(E$1:E2137, E$1:E2137&lt;&gt;""""))))-1), IF('To Order'!$A2138=COL"&amp;"UMNS($A2138:E2157), E2137&amp;RIGHT(INDIRECT(ADDRESS(ROW(E2138)-1, 'From Order'!$A2138)), 1), E2137))"),"FSCZR")</f>
        <v>FSCZR</v>
      </c>
      <c r="F2138" s="2" t="str">
        <f>IFERROR(__xludf.DUMMYFUNCTION("IF('From Order'!$A2138=COLUMNS($A2138:F2157), LEFT(INDEX(FILTER(F$1:F2137, F$1:F2137&lt;&gt;""""),COUNTA(FILTER(F$1:F2137, F$1:F2137&lt;&gt;""""))), LEN(INDEX(FILTER(F$1:F2137, F$1:F2137&lt;&gt;""""),COUNTA(FILTER(F$1:F2137, F$1:F2137&lt;&gt;""""))))-1), IF('To Order'!$A2138=COL"&amp;"UMNS($A2138:F2157), F2137&amp;RIGHT(INDIRECT(ADDRESS(ROW(F2138)-1, 'From Order'!$A2138)), 1), F2137))"),"")</f>
        <v/>
      </c>
      <c r="G2138" s="2" t="str">
        <f>IFERROR(__xludf.DUMMYFUNCTION("IF('From Order'!$A2138=COLUMNS($A2138:G2157), LEFT(INDEX(FILTER(G$1:G2137, G$1:G2137&lt;&gt;""""),COUNTA(FILTER(G$1:G2137, G$1:G2137&lt;&gt;""""))), LEN(INDEX(FILTER(G$1:G2137, G$1:G2137&lt;&gt;""""),COUNTA(FILTER(G$1:G2137, G$1:G2137&lt;&gt;""""))))-1), IF('To Order'!$A2138=COL"&amp;"UMNS($A2138:G2157), G2137&amp;RIGHT(INDIRECT(ADDRESS(ROW(G2138)-1, 'From Order'!$A2138)), 1), G2137))"),"GW")</f>
        <v>GW</v>
      </c>
      <c r="H2138" s="2" t="str">
        <f>IFERROR(__xludf.DUMMYFUNCTION("IF('From Order'!$A2138=COLUMNS($A2138:H2157), LEFT(INDEX(FILTER(H$1:H2137, H$1:H2137&lt;&gt;""""),COUNTA(FILTER(H$1:H2137, H$1:H2137&lt;&gt;""""))), LEN(INDEX(FILTER(H$1:H2137, H$1:H2137&lt;&gt;""""),COUNTA(FILTER(H$1:H2137, H$1:H2137&lt;&gt;""""))))-1), IF('To Order'!$A2138=COL"&amp;"UMNS($A2138:H2157), H2137&amp;RIGHT(INDIRECT(ADDRESS(ROW(H2138)-1, 'From Order'!$A2138)), 1), H2137))"),"QT")</f>
        <v>QT</v>
      </c>
      <c r="I2138" s="2" t="str">
        <f>IFERROR(__xludf.DUMMYFUNCTION("IF('From Order'!$A2138=COLUMNS($A2138:I2157), LEFT(INDEX(FILTER(I$1:I2137, I$1:I2137&lt;&gt;""""),COUNTA(FILTER(I$1:I2137, I$1:I2137&lt;&gt;""""))), LEN(INDEX(FILTER(I$1:I2137, I$1:I2137&lt;&gt;""""),COUNTA(FILTER(I$1:I2137, I$1:I2137&lt;&gt;""""))))-1), IF('To Order'!$A2138=COL"&amp;"UMNS($A2138:I2157), I2137&amp;RIGHT(INDIRECT(ADDRESS(ROW(I2138)-1, 'From Order'!$A2138)), 1), I2137))"),"DDDVQZDMTT")</f>
        <v>DDDVQZDMTT</v>
      </c>
    </row>
    <row r="2139">
      <c r="A2139" s="2" t="str">
        <f>IFERROR(__xludf.DUMMYFUNCTION("IF('From Order'!$A2139=COLUMNS($A2139:A2158), LEFT(INDEX(FILTER(A$1:A2138, A$1:A2138&lt;&gt;""""),COUNTA(FILTER(A$1:A2138, A$1:A2138&lt;&gt;""""))), LEN(INDEX(FILTER(A$1:A2138, A$1:A2138&lt;&gt;""""),COUNTA(FILTER(A$1:A2138, A$1:A2138&lt;&gt;""""))))-1), IF('To Order'!$A2139=COL"&amp;"UMNS($A2139:A2158), A2138&amp;RIGHT(INDIRECT(ADDRESS(ROW(A2139)-1, 'From Order'!$A2139)), 1), A2138))"),"DSPBFLLW")</f>
        <v>DSPBFLLW</v>
      </c>
      <c r="B2139" s="2" t="str">
        <f>IFERROR(__xludf.DUMMYFUNCTION("IF('From Order'!$A2139=COLUMNS($A2139:B2158), LEFT(INDEX(FILTER(B$1:B2138, B$1:B2138&lt;&gt;""""),COUNTA(FILTER(B$1:B2138, B$1:B2138&lt;&gt;""""))), LEN(INDEX(FILTER(B$1:B2138, B$1:B2138&lt;&gt;""""),COUNTA(FILTER(B$1:B2138, B$1:B2138&lt;&gt;""""))))-1), IF('To Order'!$A2139=COL"&amp;"UMNS($A2139:B2158), B2138&amp;RIGHT(INDIRECT(ADDRESS(ROW(B2139)-1, 'From Order'!$A2139)), 1), B2138))"),"JDPSST")</f>
        <v>JDPSST</v>
      </c>
      <c r="C2139" s="2" t="str">
        <f>IFERROR(__xludf.DUMMYFUNCTION("IF('From Order'!$A2139=COLUMNS($A2139:C2158), LEFT(INDEX(FILTER(C$1:C2138, C$1:C2138&lt;&gt;""""),COUNTA(FILTER(C$1:C2138, C$1:C2138&lt;&gt;""""))), LEN(INDEX(FILTER(C$1:C2138, C$1:C2138&lt;&gt;""""),COUNTA(FILTER(C$1:C2138, C$1:C2138&lt;&gt;""""))))-1), IF('To Order'!$A2139=COL"&amp;"UMNS($A2139:C2158), C2138&amp;RIGHT(INDIRECT(ADDRESS(ROW(C2139)-1, 'From Order'!$A2139)), 1), C2138))"),"VBHCLRRJM")</f>
        <v>VBHCLRRJM</v>
      </c>
      <c r="D2139" s="2" t="str">
        <f>IFERROR(__xludf.DUMMYFUNCTION("IF('From Order'!$A2139=COLUMNS($A2139:D2158), LEFT(INDEX(FILTER(D$1:D2138, D$1:D2138&lt;&gt;""""),COUNTA(FILTER(D$1:D2138, D$1:D2138&lt;&gt;""""))), LEN(INDEX(FILTER(D$1:D2138, D$1:D2138&lt;&gt;""""),COUNTA(FILTER(D$1:D2138, D$1:D2138&lt;&gt;""""))))-1), IF('To Order'!$A2139=COL"&amp;"UMNS($A2139:D2158), D2138&amp;RIGHT(INDIRECT(ADDRESS(ROW(D2139)-1, 'From Order'!$A2139)), 1), D2138))"),"RBJVBRPHZMTCT")</f>
        <v>RBJVBRPHZMTCT</v>
      </c>
      <c r="E2139" s="2" t="str">
        <f>IFERROR(__xludf.DUMMYFUNCTION("IF('From Order'!$A2139=COLUMNS($A2139:E2158), LEFT(INDEX(FILTER(E$1:E2138, E$1:E2138&lt;&gt;""""),COUNTA(FILTER(E$1:E2138, E$1:E2138&lt;&gt;""""))), LEN(INDEX(FILTER(E$1:E2138, E$1:E2138&lt;&gt;""""),COUNTA(FILTER(E$1:E2138, E$1:E2138&lt;&gt;""""))))-1), IF('To Order'!$A2139=COL"&amp;"UMNS($A2139:E2158), E2138&amp;RIGHT(INDIRECT(ADDRESS(ROW(E2139)-1, 'From Order'!$A2139)), 1), E2138))"),"FSCZR")</f>
        <v>FSCZR</v>
      </c>
      <c r="F2139" s="2" t="str">
        <f>IFERROR(__xludf.DUMMYFUNCTION("IF('From Order'!$A2139=COLUMNS($A2139:F2158), LEFT(INDEX(FILTER(F$1:F2138, F$1:F2138&lt;&gt;""""),COUNTA(FILTER(F$1:F2138, F$1:F2138&lt;&gt;""""))), LEN(INDEX(FILTER(F$1:F2138, F$1:F2138&lt;&gt;""""),COUNTA(FILTER(F$1:F2138, F$1:F2138&lt;&gt;""""))))-1), IF('To Order'!$A2139=COL"&amp;"UMNS($A2139:F2158), F2138&amp;RIGHT(INDIRECT(ADDRESS(ROW(F2139)-1, 'From Order'!$A2139)), 1), F2138))"),"")</f>
        <v/>
      </c>
      <c r="G2139" s="2" t="str">
        <f>IFERROR(__xludf.DUMMYFUNCTION("IF('From Order'!$A2139=COLUMNS($A2139:G2158), LEFT(INDEX(FILTER(G$1:G2138, G$1:G2138&lt;&gt;""""),COUNTA(FILTER(G$1:G2138, G$1:G2138&lt;&gt;""""))), LEN(INDEX(FILTER(G$1:G2138, G$1:G2138&lt;&gt;""""),COUNTA(FILTER(G$1:G2138, G$1:G2138&lt;&gt;""""))))-1), IF('To Order'!$A2139=COL"&amp;"UMNS($A2139:G2158), G2138&amp;RIGHT(INDIRECT(ADDRESS(ROW(G2139)-1, 'From Order'!$A2139)), 1), G2138))"),"GW")</f>
        <v>GW</v>
      </c>
      <c r="H2139" s="2" t="str">
        <f>IFERROR(__xludf.DUMMYFUNCTION("IF('From Order'!$A2139=COLUMNS($A2139:H2158), LEFT(INDEX(FILTER(H$1:H2138, H$1:H2138&lt;&gt;""""),COUNTA(FILTER(H$1:H2138, H$1:H2138&lt;&gt;""""))), LEN(INDEX(FILTER(H$1:H2138, H$1:H2138&lt;&gt;""""),COUNTA(FILTER(H$1:H2138, H$1:H2138&lt;&gt;""""))))-1), IF('To Order'!$A2139=COL"&amp;"UMNS($A2139:H2158), H2138&amp;RIGHT(INDIRECT(ADDRESS(ROW(H2139)-1, 'From Order'!$A2139)), 1), H2138))"),"QT")</f>
        <v>QT</v>
      </c>
      <c r="I2139" s="2" t="str">
        <f>IFERROR(__xludf.DUMMYFUNCTION("IF('From Order'!$A2139=COLUMNS($A2139:I2158), LEFT(INDEX(FILTER(I$1:I2138, I$1:I2138&lt;&gt;""""),COUNTA(FILTER(I$1:I2138, I$1:I2138&lt;&gt;""""))), LEN(INDEX(FILTER(I$1:I2138, I$1:I2138&lt;&gt;""""),COUNTA(FILTER(I$1:I2138, I$1:I2138&lt;&gt;""""))))-1), IF('To Order'!$A2139=COL"&amp;"UMNS($A2139:I2158), I2138&amp;RIGHT(INDIRECT(ADDRESS(ROW(I2139)-1, 'From Order'!$A2139)), 1), I2138))"),"DDDVQZDMTTG")</f>
        <v>DDDVQZDMTTG</v>
      </c>
    </row>
    <row r="2140">
      <c r="A2140" s="2" t="str">
        <f>IFERROR(__xludf.DUMMYFUNCTION("IF('From Order'!$A2140=COLUMNS($A2140:A2159), LEFT(INDEX(FILTER(A$1:A2139, A$1:A2139&lt;&gt;""""),COUNTA(FILTER(A$1:A2139, A$1:A2139&lt;&gt;""""))), LEN(INDEX(FILTER(A$1:A2139, A$1:A2139&lt;&gt;""""),COUNTA(FILTER(A$1:A2139, A$1:A2139&lt;&gt;""""))))-1), IF('To Order'!$A2140=COL"&amp;"UMNS($A2140:A2159), A2139&amp;RIGHT(INDIRECT(ADDRESS(ROW(A2140)-1, 'From Order'!$A2140)), 1), A2139))"),"DSPBFLLW")</f>
        <v>DSPBFLLW</v>
      </c>
      <c r="B2140" s="2" t="str">
        <f>IFERROR(__xludf.DUMMYFUNCTION("IF('From Order'!$A2140=COLUMNS($A2140:B2159), LEFT(INDEX(FILTER(B$1:B2139, B$1:B2139&lt;&gt;""""),COUNTA(FILTER(B$1:B2139, B$1:B2139&lt;&gt;""""))), LEN(INDEX(FILTER(B$1:B2139, B$1:B2139&lt;&gt;""""),COUNTA(FILTER(B$1:B2139, B$1:B2139&lt;&gt;""""))))-1), IF('To Order'!$A2140=COL"&amp;"UMNS($A2140:B2159), B2139&amp;RIGHT(INDIRECT(ADDRESS(ROW(B2140)-1, 'From Order'!$A2140)), 1), B2139))"),"JDPSST")</f>
        <v>JDPSST</v>
      </c>
      <c r="C2140" s="2" t="str">
        <f>IFERROR(__xludf.DUMMYFUNCTION("IF('From Order'!$A2140=COLUMNS($A2140:C2159), LEFT(INDEX(FILTER(C$1:C2139, C$1:C2139&lt;&gt;""""),COUNTA(FILTER(C$1:C2139, C$1:C2139&lt;&gt;""""))), LEN(INDEX(FILTER(C$1:C2139, C$1:C2139&lt;&gt;""""),COUNTA(FILTER(C$1:C2139, C$1:C2139&lt;&gt;""""))))-1), IF('To Order'!$A2140=COL"&amp;"UMNS($A2140:C2159), C2139&amp;RIGHT(INDIRECT(ADDRESS(ROW(C2140)-1, 'From Order'!$A2140)), 1), C2139))"),"VBHCLRRJ")</f>
        <v>VBHCLRRJ</v>
      </c>
      <c r="D2140" s="2" t="str">
        <f>IFERROR(__xludf.DUMMYFUNCTION("IF('From Order'!$A2140=COLUMNS($A2140:D2159), LEFT(INDEX(FILTER(D$1:D2139, D$1:D2139&lt;&gt;""""),COUNTA(FILTER(D$1:D2139, D$1:D2139&lt;&gt;""""))), LEN(INDEX(FILTER(D$1:D2139, D$1:D2139&lt;&gt;""""),COUNTA(FILTER(D$1:D2139, D$1:D2139&lt;&gt;""""))))-1), IF('To Order'!$A2140=COL"&amp;"UMNS($A2140:D2159), D2139&amp;RIGHT(INDIRECT(ADDRESS(ROW(D2140)-1, 'From Order'!$A2140)), 1), D2139))"),"RBJVBRPHZMTCT")</f>
        <v>RBJVBRPHZMTCT</v>
      </c>
      <c r="E2140" s="2" t="str">
        <f>IFERROR(__xludf.DUMMYFUNCTION("IF('From Order'!$A2140=COLUMNS($A2140:E2159), LEFT(INDEX(FILTER(E$1:E2139, E$1:E2139&lt;&gt;""""),COUNTA(FILTER(E$1:E2139, E$1:E2139&lt;&gt;""""))), LEN(INDEX(FILTER(E$1:E2139, E$1:E2139&lt;&gt;""""),COUNTA(FILTER(E$1:E2139, E$1:E2139&lt;&gt;""""))))-1), IF('To Order'!$A2140=COL"&amp;"UMNS($A2140:E2159), E2139&amp;RIGHT(INDIRECT(ADDRESS(ROW(E2140)-1, 'From Order'!$A2140)), 1), E2139))"),"FSCZR")</f>
        <v>FSCZR</v>
      </c>
      <c r="F2140" s="2" t="str">
        <f>IFERROR(__xludf.DUMMYFUNCTION("IF('From Order'!$A2140=COLUMNS($A2140:F2159), LEFT(INDEX(FILTER(F$1:F2139, F$1:F2139&lt;&gt;""""),COUNTA(FILTER(F$1:F2139, F$1:F2139&lt;&gt;""""))), LEN(INDEX(FILTER(F$1:F2139, F$1:F2139&lt;&gt;""""),COUNTA(FILTER(F$1:F2139, F$1:F2139&lt;&gt;""""))))-1), IF('To Order'!$A2140=COL"&amp;"UMNS($A2140:F2159), F2139&amp;RIGHT(INDIRECT(ADDRESS(ROW(F2140)-1, 'From Order'!$A2140)), 1), F2139))"),"")</f>
        <v/>
      </c>
      <c r="G2140" s="2" t="str">
        <f>IFERROR(__xludf.DUMMYFUNCTION("IF('From Order'!$A2140=COLUMNS($A2140:G2159), LEFT(INDEX(FILTER(G$1:G2139, G$1:G2139&lt;&gt;""""),COUNTA(FILTER(G$1:G2139, G$1:G2139&lt;&gt;""""))), LEN(INDEX(FILTER(G$1:G2139, G$1:G2139&lt;&gt;""""),COUNTA(FILTER(G$1:G2139, G$1:G2139&lt;&gt;""""))))-1), IF('To Order'!$A2140=COL"&amp;"UMNS($A2140:G2159), G2139&amp;RIGHT(INDIRECT(ADDRESS(ROW(G2140)-1, 'From Order'!$A2140)), 1), G2139))"),"GW")</f>
        <v>GW</v>
      </c>
      <c r="H2140" s="2" t="str">
        <f>IFERROR(__xludf.DUMMYFUNCTION("IF('From Order'!$A2140=COLUMNS($A2140:H2159), LEFT(INDEX(FILTER(H$1:H2139, H$1:H2139&lt;&gt;""""),COUNTA(FILTER(H$1:H2139, H$1:H2139&lt;&gt;""""))), LEN(INDEX(FILTER(H$1:H2139, H$1:H2139&lt;&gt;""""),COUNTA(FILTER(H$1:H2139, H$1:H2139&lt;&gt;""""))))-1), IF('To Order'!$A2140=COL"&amp;"UMNS($A2140:H2159), H2139&amp;RIGHT(INDIRECT(ADDRESS(ROW(H2140)-1, 'From Order'!$A2140)), 1), H2139))"),"QT")</f>
        <v>QT</v>
      </c>
      <c r="I2140" s="2" t="str">
        <f>IFERROR(__xludf.DUMMYFUNCTION("IF('From Order'!$A2140=COLUMNS($A2140:I2159), LEFT(INDEX(FILTER(I$1:I2139, I$1:I2139&lt;&gt;""""),COUNTA(FILTER(I$1:I2139, I$1:I2139&lt;&gt;""""))), LEN(INDEX(FILTER(I$1:I2139, I$1:I2139&lt;&gt;""""),COUNTA(FILTER(I$1:I2139, I$1:I2139&lt;&gt;""""))))-1), IF('To Order'!$A2140=COL"&amp;"UMNS($A2140:I2159), I2139&amp;RIGHT(INDIRECT(ADDRESS(ROW(I2140)-1, 'From Order'!$A2140)), 1), I2139))"),"DDDVQZDMTTGM")</f>
        <v>DDDVQZDMTTGM</v>
      </c>
    </row>
    <row r="2141">
      <c r="A2141" s="2" t="str">
        <f>IFERROR(__xludf.DUMMYFUNCTION("IF('From Order'!$A2141=COLUMNS($A2141:A2160), LEFT(INDEX(FILTER(A$1:A2140, A$1:A2140&lt;&gt;""""),COUNTA(FILTER(A$1:A2140, A$1:A2140&lt;&gt;""""))), LEN(INDEX(FILTER(A$1:A2140, A$1:A2140&lt;&gt;""""),COUNTA(FILTER(A$1:A2140, A$1:A2140&lt;&gt;""""))))-1), IF('To Order'!$A2141=COL"&amp;"UMNS($A2141:A2160), A2140&amp;RIGHT(INDIRECT(ADDRESS(ROW(A2141)-1, 'From Order'!$A2141)), 1), A2140))"),"DSPBFLLW")</f>
        <v>DSPBFLLW</v>
      </c>
      <c r="B2141" s="2" t="str">
        <f>IFERROR(__xludf.DUMMYFUNCTION("IF('From Order'!$A2141=COLUMNS($A2141:B2160), LEFT(INDEX(FILTER(B$1:B2140, B$1:B2140&lt;&gt;""""),COUNTA(FILTER(B$1:B2140, B$1:B2140&lt;&gt;""""))), LEN(INDEX(FILTER(B$1:B2140, B$1:B2140&lt;&gt;""""),COUNTA(FILTER(B$1:B2140, B$1:B2140&lt;&gt;""""))))-1), IF('To Order'!$A2141=COL"&amp;"UMNS($A2141:B2160), B2140&amp;RIGHT(INDIRECT(ADDRESS(ROW(B2141)-1, 'From Order'!$A2141)), 1), B2140))"),"JDPSST")</f>
        <v>JDPSST</v>
      </c>
      <c r="C2141" s="2" t="str">
        <f>IFERROR(__xludf.DUMMYFUNCTION("IF('From Order'!$A2141=COLUMNS($A2141:C2160), LEFT(INDEX(FILTER(C$1:C2140, C$1:C2140&lt;&gt;""""),COUNTA(FILTER(C$1:C2140, C$1:C2140&lt;&gt;""""))), LEN(INDEX(FILTER(C$1:C2140, C$1:C2140&lt;&gt;""""),COUNTA(FILTER(C$1:C2140, C$1:C2140&lt;&gt;""""))))-1), IF('To Order'!$A2141=COL"&amp;"UMNS($A2141:C2160), C2140&amp;RIGHT(INDIRECT(ADDRESS(ROW(C2141)-1, 'From Order'!$A2141)), 1), C2140))"),"VBHCLRR")</f>
        <v>VBHCLRR</v>
      </c>
      <c r="D2141" s="2" t="str">
        <f>IFERROR(__xludf.DUMMYFUNCTION("IF('From Order'!$A2141=COLUMNS($A2141:D2160), LEFT(INDEX(FILTER(D$1:D2140, D$1:D2140&lt;&gt;""""),COUNTA(FILTER(D$1:D2140, D$1:D2140&lt;&gt;""""))), LEN(INDEX(FILTER(D$1:D2140, D$1:D2140&lt;&gt;""""),COUNTA(FILTER(D$1:D2140, D$1:D2140&lt;&gt;""""))))-1), IF('To Order'!$A2141=COL"&amp;"UMNS($A2141:D2160), D2140&amp;RIGHT(INDIRECT(ADDRESS(ROW(D2141)-1, 'From Order'!$A2141)), 1), D2140))"),"RBJVBRPHZMTCT")</f>
        <v>RBJVBRPHZMTCT</v>
      </c>
      <c r="E2141" s="2" t="str">
        <f>IFERROR(__xludf.DUMMYFUNCTION("IF('From Order'!$A2141=COLUMNS($A2141:E2160), LEFT(INDEX(FILTER(E$1:E2140, E$1:E2140&lt;&gt;""""),COUNTA(FILTER(E$1:E2140, E$1:E2140&lt;&gt;""""))), LEN(INDEX(FILTER(E$1:E2140, E$1:E2140&lt;&gt;""""),COUNTA(FILTER(E$1:E2140, E$1:E2140&lt;&gt;""""))))-1), IF('To Order'!$A2141=COL"&amp;"UMNS($A2141:E2160), E2140&amp;RIGHT(INDIRECT(ADDRESS(ROW(E2141)-1, 'From Order'!$A2141)), 1), E2140))"),"FSCZR")</f>
        <v>FSCZR</v>
      </c>
      <c r="F2141" s="2" t="str">
        <f>IFERROR(__xludf.DUMMYFUNCTION("IF('From Order'!$A2141=COLUMNS($A2141:F2160), LEFT(INDEX(FILTER(F$1:F2140, F$1:F2140&lt;&gt;""""),COUNTA(FILTER(F$1:F2140, F$1:F2140&lt;&gt;""""))), LEN(INDEX(FILTER(F$1:F2140, F$1:F2140&lt;&gt;""""),COUNTA(FILTER(F$1:F2140, F$1:F2140&lt;&gt;""""))))-1), IF('To Order'!$A2141=COL"&amp;"UMNS($A2141:F2160), F2140&amp;RIGHT(INDIRECT(ADDRESS(ROW(F2141)-1, 'From Order'!$A2141)), 1), F2140))"),"")</f>
        <v/>
      </c>
      <c r="G2141" s="2" t="str">
        <f>IFERROR(__xludf.DUMMYFUNCTION("IF('From Order'!$A2141=COLUMNS($A2141:G2160), LEFT(INDEX(FILTER(G$1:G2140, G$1:G2140&lt;&gt;""""),COUNTA(FILTER(G$1:G2140, G$1:G2140&lt;&gt;""""))), LEN(INDEX(FILTER(G$1:G2140, G$1:G2140&lt;&gt;""""),COUNTA(FILTER(G$1:G2140, G$1:G2140&lt;&gt;""""))))-1), IF('To Order'!$A2141=COL"&amp;"UMNS($A2141:G2160), G2140&amp;RIGHT(INDIRECT(ADDRESS(ROW(G2141)-1, 'From Order'!$A2141)), 1), G2140))"),"GW")</f>
        <v>GW</v>
      </c>
      <c r="H2141" s="2" t="str">
        <f>IFERROR(__xludf.DUMMYFUNCTION("IF('From Order'!$A2141=COLUMNS($A2141:H2160), LEFT(INDEX(FILTER(H$1:H2140, H$1:H2140&lt;&gt;""""),COUNTA(FILTER(H$1:H2140, H$1:H2140&lt;&gt;""""))), LEN(INDEX(FILTER(H$1:H2140, H$1:H2140&lt;&gt;""""),COUNTA(FILTER(H$1:H2140, H$1:H2140&lt;&gt;""""))))-1), IF('To Order'!$A2141=COL"&amp;"UMNS($A2141:H2160), H2140&amp;RIGHT(INDIRECT(ADDRESS(ROW(H2141)-1, 'From Order'!$A2141)), 1), H2140))"),"QT")</f>
        <v>QT</v>
      </c>
      <c r="I2141" s="2" t="str">
        <f>IFERROR(__xludf.DUMMYFUNCTION("IF('From Order'!$A2141=COLUMNS($A2141:I2160), LEFT(INDEX(FILTER(I$1:I2140, I$1:I2140&lt;&gt;""""),COUNTA(FILTER(I$1:I2140, I$1:I2140&lt;&gt;""""))), LEN(INDEX(FILTER(I$1:I2140, I$1:I2140&lt;&gt;""""),COUNTA(FILTER(I$1:I2140, I$1:I2140&lt;&gt;""""))))-1), IF('To Order'!$A2141=COL"&amp;"UMNS($A2141:I2160), I2140&amp;RIGHT(INDIRECT(ADDRESS(ROW(I2141)-1, 'From Order'!$A2141)), 1), I2140))"),"DDDVQZDMTTGMJ")</f>
        <v>DDDVQZDMTTGMJ</v>
      </c>
    </row>
    <row r="2142">
      <c r="A2142" s="2" t="str">
        <f>IFERROR(__xludf.DUMMYFUNCTION("IF('From Order'!$A2142=COLUMNS($A2142:A2161), LEFT(INDEX(FILTER(A$1:A2141, A$1:A2141&lt;&gt;""""),COUNTA(FILTER(A$1:A2141, A$1:A2141&lt;&gt;""""))), LEN(INDEX(FILTER(A$1:A2141, A$1:A2141&lt;&gt;""""),COUNTA(FILTER(A$1:A2141, A$1:A2141&lt;&gt;""""))))-1), IF('To Order'!$A2142=COL"&amp;"UMNS($A2142:A2161), A2141&amp;RIGHT(INDIRECT(ADDRESS(ROW(A2142)-1, 'From Order'!$A2142)), 1), A2141))"),"DSPBFLLW")</f>
        <v>DSPBFLLW</v>
      </c>
      <c r="B2142" s="2" t="str">
        <f>IFERROR(__xludf.DUMMYFUNCTION("IF('From Order'!$A2142=COLUMNS($A2142:B2161), LEFT(INDEX(FILTER(B$1:B2141, B$1:B2141&lt;&gt;""""),COUNTA(FILTER(B$1:B2141, B$1:B2141&lt;&gt;""""))), LEN(INDEX(FILTER(B$1:B2141, B$1:B2141&lt;&gt;""""),COUNTA(FILTER(B$1:B2141, B$1:B2141&lt;&gt;""""))))-1), IF('To Order'!$A2142=COL"&amp;"UMNS($A2142:B2161), B2141&amp;RIGHT(INDIRECT(ADDRESS(ROW(B2142)-1, 'From Order'!$A2142)), 1), B2141))"),"JDPSST")</f>
        <v>JDPSST</v>
      </c>
      <c r="C2142" s="2" t="str">
        <f>IFERROR(__xludf.DUMMYFUNCTION("IF('From Order'!$A2142=COLUMNS($A2142:C2161), LEFT(INDEX(FILTER(C$1:C2141, C$1:C2141&lt;&gt;""""),COUNTA(FILTER(C$1:C2141, C$1:C2141&lt;&gt;""""))), LEN(INDEX(FILTER(C$1:C2141, C$1:C2141&lt;&gt;""""),COUNTA(FILTER(C$1:C2141, C$1:C2141&lt;&gt;""""))))-1), IF('To Order'!$A2142=COL"&amp;"UMNS($A2142:C2161), C2141&amp;RIGHT(INDIRECT(ADDRESS(ROW(C2142)-1, 'From Order'!$A2142)), 1), C2141))"),"VBHCLR")</f>
        <v>VBHCLR</v>
      </c>
      <c r="D2142" s="2" t="str">
        <f>IFERROR(__xludf.DUMMYFUNCTION("IF('From Order'!$A2142=COLUMNS($A2142:D2161), LEFT(INDEX(FILTER(D$1:D2141, D$1:D2141&lt;&gt;""""),COUNTA(FILTER(D$1:D2141, D$1:D2141&lt;&gt;""""))), LEN(INDEX(FILTER(D$1:D2141, D$1:D2141&lt;&gt;""""),COUNTA(FILTER(D$1:D2141, D$1:D2141&lt;&gt;""""))))-1), IF('To Order'!$A2142=COL"&amp;"UMNS($A2142:D2161), D2141&amp;RIGHT(INDIRECT(ADDRESS(ROW(D2142)-1, 'From Order'!$A2142)), 1), D2141))"),"RBJVBRPHZMTCT")</f>
        <v>RBJVBRPHZMTCT</v>
      </c>
      <c r="E2142" s="2" t="str">
        <f>IFERROR(__xludf.DUMMYFUNCTION("IF('From Order'!$A2142=COLUMNS($A2142:E2161), LEFT(INDEX(FILTER(E$1:E2141, E$1:E2141&lt;&gt;""""),COUNTA(FILTER(E$1:E2141, E$1:E2141&lt;&gt;""""))), LEN(INDEX(FILTER(E$1:E2141, E$1:E2141&lt;&gt;""""),COUNTA(FILTER(E$1:E2141, E$1:E2141&lt;&gt;""""))))-1), IF('To Order'!$A2142=COL"&amp;"UMNS($A2142:E2161), E2141&amp;RIGHT(INDIRECT(ADDRESS(ROW(E2142)-1, 'From Order'!$A2142)), 1), E2141))"),"FSCZR")</f>
        <v>FSCZR</v>
      </c>
      <c r="F2142" s="2" t="str">
        <f>IFERROR(__xludf.DUMMYFUNCTION("IF('From Order'!$A2142=COLUMNS($A2142:F2161), LEFT(INDEX(FILTER(F$1:F2141, F$1:F2141&lt;&gt;""""),COUNTA(FILTER(F$1:F2141, F$1:F2141&lt;&gt;""""))), LEN(INDEX(FILTER(F$1:F2141, F$1:F2141&lt;&gt;""""),COUNTA(FILTER(F$1:F2141, F$1:F2141&lt;&gt;""""))))-1), IF('To Order'!$A2142=COL"&amp;"UMNS($A2142:F2161), F2141&amp;RIGHT(INDIRECT(ADDRESS(ROW(F2142)-1, 'From Order'!$A2142)), 1), F2141))"),"")</f>
        <v/>
      </c>
      <c r="G2142" s="2" t="str">
        <f>IFERROR(__xludf.DUMMYFUNCTION("IF('From Order'!$A2142=COLUMNS($A2142:G2161), LEFT(INDEX(FILTER(G$1:G2141, G$1:G2141&lt;&gt;""""),COUNTA(FILTER(G$1:G2141, G$1:G2141&lt;&gt;""""))), LEN(INDEX(FILTER(G$1:G2141, G$1:G2141&lt;&gt;""""),COUNTA(FILTER(G$1:G2141, G$1:G2141&lt;&gt;""""))))-1), IF('To Order'!$A2142=COL"&amp;"UMNS($A2142:G2161), G2141&amp;RIGHT(INDIRECT(ADDRESS(ROW(G2142)-1, 'From Order'!$A2142)), 1), G2141))"),"GW")</f>
        <v>GW</v>
      </c>
      <c r="H2142" s="2" t="str">
        <f>IFERROR(__xludf.DUMMYFUNCTION("IF('From Order'!$A2142=COLUMNS($A2142:H2161), LEFT(INDEX(FILTER(H$1:H2141, H$1:H2141&lt;&gt;""""),COUNTA(FILTER(H$1:H2141, H$1:H2141&lt;&gt;""""))), LEN(INDEX(FILTER(H$1:H2141, H$1:H2141&lt;&gt;""""),COUNTA(FILTER(H$1:H2141, H$1:H2141&lt;&gt;""""))))-1), IF('To Order'!$A2142=COL"&amp;"UMNS($A2142:H2161), H2141&amp;RIGHT(INDIRECT(ADDRESS(ROW(H2142)-1, 'From Order'!$A2142)), 1), H2141))"),"QT")</f>
        <v>QT</v>
      </c>
      <c r="I2142" s="2" t="str">
        <f>IFERROR(__xludf.DUMMYFUNCTION("IF('From Order'!$A2142=COLUMNS($A2142:I2161), LEFT(INDEX(FILTER(I$1:I2141, I$1:I2141&lt;&gt;""""),COUNTA(FILTER(I$1:I2141, I$1:I2141&lt;&gt;""""))), LEN(INDEX(FILTER(I$1:I2141, I$1:I2141&lt;&gt;""""),COUNTA(FILTER(I$1:I2141, I$1:I2141&lt;&gt;""""))))-1), IF('To Order'!$A2142=COL"&amp;"UMNS($A2142:I2161), I2141&amp;RIGHT(INDIRECT(ADDRESS(ROW(I2142)-1, 'From Order'!$A2142)), 1), I2141))"),"DDDVQZDMTTGMJR")</f>
        <v>DDDVQZDMTTGMJR</v>
      </c>
    </row>
    <row r="2143">
      <c r="A2143" s="2" t="str">
        <f>IFERROR(__xludf.DUMMYFUNCTION("IF('From Order'!$A2143=COLUMNS($A2143:A2162), LEFT(INDEX(FILTER(A$1:A2142, A$1:A2142&lt;&gt;""""),COUNTA(FILTER(A$1:A2142, A$1:A2142&lt;&gt;""""))), LEN(INDEX(FILTER(A$1:A2142, A$1:A2142&lt;&gt;""""),COUNTA(FILTER(A$1:A2142, A$1:A2142&lt;&gt;""""))))-1), IF('To Order'!$A2143=COL"&amp;"UMNS($A2143:A2162), A2142&amp;RIGHT(INDIRECT(ADDRESS(ROW(A2143)-1, 'From Order'!$A2143)), 1), A2142))"),"DSPBFLLW")</f>
        <v>DSPBFLLW</v>
      </c>
      <c r="B2143" s="2" t="str">
        <f>IFERROR(__xludf.DUMMYFUNCTION("IF('From Order'!$A2143=COLUMNS($A2143:B2162), LEFT(INDEX(FILTER(B$1:B2142, B$1:B2142&lt;&gt;""""),COUNTA(FILTER(B$1:B2142, B$1:B2142&lt;&gt;""""))), LEN(INDEX(FILTER(B$1:B2142, B$1:B2142&lt;&gt;""""),COUNTA(FILTER(B$1:B2142, B$1:B2142&lt;&gt;""""))))-1), IF('To Order'!$A2143=COL"&amp;"UMNS($A2143:B2162), B2142&amp;RIGHT(INDIRECT(ADDRESS(ROW(B2143)-1, 'From Order'!$A2143)), 1), B2142))"),"JDPSST")</f>
        <v>JDPSST</v>
      </c>
      <c r="C2143" s="2" t="str">
        <f>IFERROR(__xludf.DUMMYFUNCTION("IF('From Order'!$A2143=COLUMNS($A2143:C2162), LEFT(INDEX(FILTER(C$1:C2142, C$1:C2142&lt;&gt;""""),COUNTA(FILTER(C$1:C2142, C$1:C2142&lt;&gt;""""))), LEN(INDEX(FILTER(C$1:C2142, C$1:C2142&lt;&gt;""""),COUNTA(FILTER(C$1:C2142, C$1:C2142&lt;&gt;""""))))-1), IF('To Order'!$A2143=COL"&amp;"UMNS($A2143:C2162), C2142&amp;RIGHT(INDIRECT(ADDRESS(ROW(C2143)-1, 'From Order'!$A2143)), 1), C2142))"),"VBHCL")</f>
        <v>VBHCL</v>
      </c>
      <c r="D2143" s="2" t="str">
        <f>IFERROR(__xludf.DUMMYFUNCTION("IF('From Order'!$A2143=COLUMNS($A2143:D2162), LEFT(INDEX(FILTER(D$1:D2142, D$1:D2142&lt;&gt;""""),COUNTA(FILTER(D$1:D2142, D$1:D2142&lt;&gt;""""))), LEN(INDEX(FILTER(D$1:D2142, D$1:D2142&lt;&gt;""""),COUNTA(FILTER(D$1:D2142, D$1:D2142&lt;&gt;""""))))-1), IF('To Order'!$A2143=COL"&amp;"UMNS($A2143:D2162), D2142&amp;RIGHT(INDIRECT(ADDRESS(ROW(D2143)-1, 'From Order'!$A2143)), 1), D2142))"),"RBJVBRPHZMTCT")</f>
        <v>RBJVBRPHZMTCT</v>
      </c>
      <c r="E2143" s="2" t="str">
        <f>IFERROR(__xludf.DUMMYFUNCTION("IF('From Order'!$A2143=COLUMNS($A2143:E2162), LEFT(INDEX(FILTER(E$1:E2142, E$1:E2142&lt;&gt;""""),COUNTA(FILTER(E$1:E2142, E$1:E2142&lt;&gt;""""))), LEN(INDEX(FILTER(E$1:E2142, E$1:E2142&lt;&gt;""""),COUNTA(FILTER(E$1:E2142, E$1:E2142&lt;&gt;""""))))-1), IF('To Order'!$A2143=COL"&amp;"UMNS($A2143:E2162), E2142&amp;RIGHT(INDIRECT(ADDRESS(ROW(E2143)-1, 'From Order'!$A2143)), 1), E2142))"),"FSCZR")</f>
        <v>FSCZR</v>
      </c>
      <c r="F2143" s="2" t="str">
        <f>IFERROR(__xludf.DUMMYFUNCTION("IF('From Order'!$A2143=COLUMNS($A2143:F2162), LEFT(INDEX(FILTER(F$1:F2142, F$1:F2142&lt;&gt;""""),COUNTA(FILTER(F$1:F2142, F$1:F2142&lt;&gt;""""))), LEN(INDEX(FILTER(F$1:F2142, F$1:F2142&lt;&gt;""""),COUNTA(FILTER(F$1:F2142, F$1:F2142&lt;&gt;""""))))-1), IF('To Order'!$A2143=COL"&amp;"UMNS($A2143:F2162), F2142&amp;RIGHT(INDIRECT(ADDRESS(ROW(F2143)-1, 'From Order'!$A2143)), 1), F2142))"),"")</f>
        <v/>
      </c>
      <c r="G2143" s="2" t="str">
        <f>IFERROR(__xludf.DUMMYFUNCTION("IF('From Order'!$A2143=COLUMNS($A2143:G2162), LEFT(INDEX(FILTER(G$1:G2142, G$1:G2142&lt;&gt;""""),COUNTA(FILTER(G$1:G2142, G$1:G2142&lt;&gt;""""))), LEN(INDEX(FILTER(G$1:G2142, G$1:G2142&lt;&gt;""""),COUNTA(FILTER(G$1:G2142, G$1:G2142&lt;&gt;""""))))-1), IF('To Order'!$A2143=COL"&amp;"UMNS($A2143:G2162), G2142&amp;RIGHT(INDIRECT(ADDRESS(ROW(G2143)-1, 'From Order'!$A2143)), 1), G2142))"),"GW")</f>
        <v>GW</v>
      </c>
      <c r="H2143" s="2" t="str">
        <f>IFERROR(__xludf.DUMMYFUNCTION("IF('From Order'!$A2143=COLUMNS($A2143:H2162), LEFT(INDEX(FILTER(H$1:H2142, H$1:H2142&lt;&gt;""""),COUNTA(FILTER(H$1:H2142, H$1:H2142&lt;&gt;""""))), LEN(INDEX(FILTER(H$1:H2142, H$1:H2142&lt;&gt;""""),COUNTA(FILTER(H$1:H2142, H$1:H2142&lt;&gt;""""))))-1), IF('To Order'!$A2143=COL"&amp;"UMNS($A2143:H2162), H2142&amp;RIGHT(INDIRECT(ADDRESS(ROW(H2143)-1, 'From Order'!$A2143)), 1), H2142))"),"QT")</f>
        <v>QT</v>
      </c>
      <c r="I2143" s="2" t="str">
        <f>IFERROR(__xludf.DUMMYFUNCTION("IF('From Order'!$A2143=COLUMNS($A2143:I2162), LEFT(INDEX(FILTER(I$1:I2142, I$1:I2142&lt;&gt;""""),COUNTA(FILTER(I$1:I2142, I$1:I2142&lt;&gt;""""))), LEN(INDEX(FILTER(I$1:I2142, I$1:I2142&lt;&gt;""""),COUNTA(FILTER(I$1:I2142, I$1:I2142&lt;&gt;""""))))-1), IF('To Order'!$A2143=COL"&amp;"UMNS($A2143:I2162), I2142&amp;RIGHT(INDIRECT(ADDRESS(ROW(I2143)-1, 'From Order'!$A2143)), 1), I2142))"),"DDDVQZDMTTGMJRR")</f>
        <v>DDDVQZDMTTGMJRR</v>
      </c>
    </row>
    <row r="2144">
      <c r="A2144" s="2" t="str">
        <f>IFERROR(__xludf.DUMMYFUNCTION("IF('From Order'!$A2144=COLUMNS($A2144:A2163), LEFT(INDEX(FILTER(A$1:A2143, A$1:A2143&lt;&gt;""""),COUNTA(FILTER(A$1:A2143, A$1:A2143&lt;&gt;""""))), LEN(INDEX(FILTER(A$1:A2143, A$1:A2143&lt;&gt;""""),COUNTA(FILTER(A$1:A2143, A$1:A2143&lt;&gt;""""))))-1), IF('To Order'!$A2144=COL"&amp;"UMNS($A2144:A2163), A2143&amp;RIGHT(INDIRECT(ADDRESS(ROW(A2144)-1, 'From Order'!$A2144)), 1), A2143))"),"DSPBFLLW")</f>
        <v>DSPBFLLW</v>
      </c>
      <c r="B2144" s="2" t="str">
        <f>IFERROR(__xludf.DUMMYFUNCTION("IF('From Order'!$A2144=COLUMNS($A2144:B2163), LEFT(INDEX(FILTER(B$1:B2143, B$1:B2143&lt;&gt;""""),COUNTA(FILTER(B$1:B2143, B$1:B2143&lt;&gt;""""))), LEN(INDEX(FILTER(B$1:B2143, B$1:B2143&lt;&gt;""""),COUNTA(FILTER(B$1:B2143, B$1:B2143&lt;&gt;""""))))-1), IF('To Order'!$A2144=COL"&amp;"UMNS($A2144:B2163), B2143&amp;RIGHT(INDIRECT(ADDRESS(ROW(B2144)-1, 'From Order'!$A2144)), 1), B2143))"),"JDPSST")</f>
        <v>JDPSST</v>
      </c>
      <c r="C2144" s="2" t="str">
        <f>IFERROR(__xludf.DUMMYFUNCTION("IF('From Order'!$A2144=COLUMNS($A2144:C2163), LEFT(INDEX(FILTER(C$1:C2143, C$1:C2143&lt;&gt;""""),COUNTA(FILTER(C$1:C2143, C$1:C2143&lt;&gt;""""))), LEN(INDEX(FILTER(C$1:C2143, C$1:C2143&lt;&gt;""""),COUNTA(FILTER(C$1:C2143, C$1:C2143&lt;&gt;""""))))-1), IF('To Order'!$A2144=COL"&amp;"UMNS($A2144:C2163), C2143&amp;RIGHT(INDIRECT(ADDRESS(ROW(C2144)-1, 'From Order'!$A2144)), 1), C2143))"),"VBHC")</f>
        <v>VBHC</v>
      </c>
      <c r="D2144" s="2" t="str">
        <f>IFERROR(__xludf.DUMMYFUNCTION("IF('From Order'!$A2144=COLUMNS($A2144:D2163), LEFT(INDEX(FILTER(D$1:D2143, D$1:D2143&lt;&gt;""""),COUNTA(FILTER(D$1:D2143, D$1:D2143&lt;&gt;""""))), LEN(INDEX(FILTER(D$1:D2143, D$1:D2143&lt;&gt;""""),COUNTA(FILTER(D$1:D2143, D$1:D2143&lt;&gt;""""))))-1), IF('To Order'!$A2144=COL"&amp;"UMNS($A2144:D2163), D2143&amp;RIGHT(INDIRECT(ADDRESS(ROW(D2144)-1, 'From Order'!$A2144)), 1), D2143))"),"RBJVBRPHZMTCT")</f>
        <v>RBJVBRPHZMTCT</v>
      </c>
      <c r="E2144" s="2" t="str">
        <f>IFERROR(__xludf.DUMMYFUNCTION("IF('From Order'!$A2144=COLUMNS($A2144:E2163), LEFT(INDEX(FILTER(E$1:E2143, E$1:E2143&lt;&gt;""""),COUNTA(FILTER(E$1:E2143, E$1:E2143&lt;&gt;""""))), LEN(INDEX(FILTER(E$1:E2143, E$1:E2143&lt;&gt;""""),COUNTA(FILTER(E$1:E2143, E$1:E2143&lt;&gt;""""))))-1), IF('To Order'!$A2144=COL"&amp;"UMNS($A2144:E2163), E2143&amp;RIGHT(INDIRECT(ADDRESS(ROW(E2144)-1, 'From Order'!$A2144)), 1), E2143))"),"FSCZR")</f>
        <v>FSCZR</v>
      </c>
      <c r="F2144" s="2" t="str">
        <f>IFERROR(__xludf.DUMMYFUNCTION("IF('From Order'!$A2144=COLUMNS($A2144:F2163), LEFT(INDEX(FILTER(F$1:F2143, F$1:F2143&lt;&gt;""""),COUNTA(FILTER(F$1:F2143, F$1:F2143&lt;&gt;""""))), LEN(INDEX(FILTER(F$1:F2143, F$1:F2143&lt;&gt;""""),COUNTA(FILTER(F$1:F2143, F$1:F2143&lt;&gt;""""))))-1), IF('To Order'!$A2144=COL"&amp;"UMNS($A2144:F2163), F2143&amp;RIGHT(INDIRECT(ADDRESS(ROW(F2144)-1, 'From Order'!$A2144)), 1), F2143))"),"")</f>
        <v/>
      </c>
      <c r="G2144" s="2" t="str">
        <f>IFERROR(__xludf.DUMMYFUNCTION("IF('From Order'!$A2144=COLUMNS($A2144:G2163), LEFT(INDEX(FILTER(G$1:G2143, G$1:G2143&lt;&gt;""""),COUNTA(FILTER(G$1:G2143, G$1:G2143&lt;&gt;""""))), LEN(INDEX(FILTER(G$1:G2143, G$1:G2143&lt;&gt;""""),COUNTA(FILTER(G$1:G2143, G$1:G2143&lt;&gt;""""))))-1), IF('To Order'!$A2144=COL"&amp;"UMNS($A2144:G2163), G2143&amp;RIGHT(INDIRECT(ADDRESS(ROW(G2144)-1, 'From Order'!$A2144)), 1), G2143))"),"GW")</f>
        <v>GW</v>
      </c>
      <c r="H2144" s="2" t="str">
        <f>IFERROR(__xludf.DUMMYFUNCTION("IF('From Order'!$A2144=COLUMNS($A2144:H2163), LEFT(INDEX(FILTER(H$1:H2143, H$1:H2143&lt;&gt;""""),COUNTA(FILTER(H$1:H2143, H$1:H2143&lt;&gt;""""))), LEN(INDEX(FILTER(H$1:H2143, H$1:H2143&lt;&gt;""""),COUNTA(FILTER(H$1:H2143, H$1:H2143&lt;&gt;""""))))-1), IF('To Order'!$A2144=COL"&amp;"UMNS($A2144:H2163), H2143&amp;RIGHT(INDIRECT(ADDRESS(ROW(H2144)-1, 'From Order'!$A2144)), 1), H2143))"),"QT")</f>
        <v>QT</v>
      </c>
      <c r="I2144" s="2" t="str">
        <f>IFERROR(__xludf.DUMMYFUNCTION("IF('From Order'!$A2144=COLUMNS($A2144:I2163), LEFT(INDEX(FILTER(I$1:I2143, I$1:I2143&lt;&gt;""""),COUNTA(FILTER(I$1:I2143, I$1:I2143&lt;&gt;""""))), LEN(INDEX(FILTER(I$1:I2143, I$1:I2143&lt;&gt;""""),COUNTA(FILTER(I$1:I2143, I$1:I2143&lt;&gt;""""))))-1), IF('To Order'!$A2144=COL"&amp;"UMNS($A2144:I2163), I2143&amp;RIGHT(INDIRECT(ADDRESS(ROW(I2144)-1, 'From Order'!$A2144)), 1), I2143))"),"DDDVQZDMTTGMJRRL")</f>
        <v>DDDVQZDMTTGMJRRL</v>
      </c>
    </row>
    <row r="2145">
      <c r="A2145" s="2" t="str">
        <f>IFERROR(__xludf.DUMMYFUNCTION("IF('From Order'!$A2145=COLUMNS($A2145:A2164), LEFT(INDEX(FILTER(A$1:A2144, A$1:A2144&lt;&gt;""""),COUNTA(FILTER(A$1:A2144, A$1:A2144&lt;&gt;""""))), LEN(INDEX(FILTER(A$1:A2144, A$1:A2144&lt;&gt;""""),COUNTA(FILTER(A$1:A2144, A$1:A2144&lt;&gt;""""))))-1), IF('To Order'!$A2145=COL"&amp;"UMNS($A2145:A2164), A2144&amp;RIGHT(INDIRECT(ADDRESS(ROW(A2145)-1, 'From Order'!$A2145)), 1), A2144))"),"DSPBFLLW")</f>
        <v>DSPBFLLW</v>
      </c>
      <c r="B2145" s="2" t="str">
        <f>IFERROR(__xludf.DUMMYFUNCTION("IF('From Order'!$A2145=COLUMNS($A2145:B2164), LEFT(INDEX(FILTER(B$1:B2144, B$1:B2144&lt;&gt;""""),COUNTA(FILTER(B$1:B2144, B$1:B2144&lt;&gt;""""))), LEN(INDEX(FILTER(B$1:B2144, B$1:B2144&lt;&gt;""""),COUNTA(FILTER(B$1:B2144, B$1:B2144&lt;&gt;""""))))-1), IF('To Order'!$A2145=COL"&amp;"UMNS($A2145:B2164), B2144&amp;RIGHT(INDIRECT(ADDRESS(ROW(B2145)-1, 'From Order'!$A2145)), 1), B2144))"),"JDPSST")</f>
        <v>JDPSST</v>
      </c>
      <c r="C2145" s="2" t="str">
        <f>IFERROR(__xludf.DUMMYFUNCTION("IF('From Order'!$A2145=COLUMNS($A2145:C2164), LEFT(INDEX(FILTER(C$1:C2144, C$1:C2144&lt;&gt;""""),COUNTA(FILTER(C$1:C2144, C$1:C2144&lt;&gt;""""))), LEN(INDEX(FILTER(C$1:C2144, C$1:C2144&lt;&gt;""""),COUNTA(FILTER(C$1:C2144, C$1:C2144&lt;&gt;""""))))-1), IF('To Order'!$A2145=COL"&amp;"UMNS($A2145:C2164), C2144&amp;RIGHT(INDIRECT(ADDRESS(ROW(C2145)-1, 'From Order'!$A2145)), 1), C2144))"),"VBHC")</f>
        <v>VBHC</v>
      </c>
      <c r="D2145" s="2" t="str">
        <f>IFERROR(__xludf.DUMMYFUNCTION("IF('From Order'!$A2145=COLUMNS($A2145:D2164), LEFT(INDEX(FILTER(D$1:D2144, D$1:D2144&lt;&gt;""""),COUNTA(FILTER(D$1:D2144, D$1:D2144&lt;&gt;""""))), LEN(INDEX(FILTER(D$1:D2144, D$1:D2144&lt;&gt;""""),COUNTA(FILTER(D$1:D2144, D$1:D2144&lt;&gt;""""))))-1), IF('To Order'!$A2145=COL"&amp;"UMNS($A2145:D2164), D2144&amp;RIGHT(INDIRECT(ADDRESS(ROW(D2145)-1, 'From Order'!$A2145)), 1), D2144))"),"RBJVBRPHZMTC")</f>
        <v>RBJVBRPHZMTC</v>
      </c>
      <c r="E2145" s="2" t="str">
        <f>IFERROR(__xludf.DUMMYFUNCTION("IF('From Order'!$A2145=COLUMNS($A2145:E2164), LEFT(INDEX(FILTER(E$1:E2144, E$1:E2144&lt;&gt;""""),COUNTA(FILTER(E$1:E2144, E$1:E2144&lt;&gt;""""))), LEN(INDEX(FILTER(E$1:E2144, E$1:E2144&lt;&gt;""""),COUNTA(FILTER(E$1:E2144, E$1:E2144&lt;&gt;""""))))-1), IF('To Order'!$A2145=COL"&amp;"UMNS($A2145:E2164), E2144&amp;RIGHT(INDIRECT(ADDRESS(ROW(E2145)-1, 'From Order'!$A2145)), 1), E2144))"),"FSCZR")</f>
        <v>FSCZR</v>
      </c>
      <c r="F2145" s="2" t="str">
        <f>IFERROR(__xludf.DUMMYFUNCTION("IF('From Order'!$A2145=COLUMNS($A2145:F2164), LEFT(INDEX(FILTER(F$1:F2144, F$1:F2144&lt;&gt;""""),COUNTA(FILTER(F$1:F2144, F$1:F2144&lt;&gt;""""))), LEN(INDEX(FILTER(F$1:F2144, F$1:F2144&lt;&gt;""""),COUNTA(FILTER(F$1:F2144, F$1:F2144&lt;&gt;""""))))-1), IF('To Order'!$A2145=COL"&amp;"UMNS($A2145:F2164), F2144&amp;RIGHT(INDIRECT(ADDRESS(ROW(F2145)-1, 'From Order'!$A2145)), 1), F2144))"),"")</f>
        <v/>
      </c>
      <c r="G2145" s="2" t="str">
        <f>IFERROR(__xludf.DUMMYFUNCTION("IF('From Order'!$A2145=COLUMNS($A2145:G2164), LEFT(INDEX(FILTER(G$1:G2144, G$1:G2144&lt;&gt;""""),COUNTA(FILTER(G$1:G2144, G$1:G2144&lt;&gt;""""))), LEN(INDEX(FILTER(G$1:G2144, G$1:G2144&lt;&gt;""""),COUNTA(FILTER(G$1:G2144, G$1:G2144&lt;&gt;""""))))-1), IF('To Order'!$A2145=COL"&amp;"UMNS($A2145:G2164), G2144&amp;RIGHT(INDIRECT(ADDRESS(ROW(G2145)-1, 'From Order'!$A2145)), 1), G2144))"),"GW")</f>
        <v>GW</v>
      </c>
      <c r="H2145" s="2" t="str">
        <f>IFERROR(__xludf.DUMMYFUNCTION("IF('From Order'!$A2145=COLUMNS($A2145:H2164), LEFT(INDEX(FILTER(H$1:H2144, H$1:H2144&lt;&gt;""""),COUNTA(FILTER(H$1:H2144, H$1:H2144&lt;&gt;""""))), LEN(INDEX(FILTER(H$1:H2144, H$1:H2144&lt;&gt;""""),COUNTA(FILTER(H$1:H2144, H$1:H2144&lt;&gt;""""))))-1), IF('To Order'!$A2145=COL"&amp;"UMNS($A2145:H2164), H2144&amp;RIGHT(INDIRECT(ADDRESS(ROW(H2145)-1, 'From Order'!$A2145)), 1), H2144))"),"QTT")</f>
        <v>QTT</v>
      </c>
      <c r="I2145" s="2" t="str">
        <f>IFERROR(__xludf.DUMMYFUNCTION("IF('From Order'!$A2145=COLUMNS($A2145:I2164), LEFT(INDEX(FILTER(I$1:I2144, I$1:I2144&lt;&gt;""""),COUNTA(FILTER(I$1:I2144, I$1:I2144&lt;&gt;""""))), LEN(INDEX(FILTER(I$1:I2144, I$1:I2144&lt;&gt;""""),COUNTA(FILTER(I$1:I2144, I$1:I2144&lt;&gt;""""))))-1), IF('To Order'!$A2145=COL"&amp;"UMNS($A2145:I2164), I2144&amp;RIGHT(INDIRECT(ADDRESS(ROW(I2145)-1, 'From Order'!$A2145)), 1), I2144))"),"DDDVQZDMTTGMJRRL")</f>
        <v>DDDVQZDMTTGMJRRL</v>
      </c>
    </row>
    <row r="2146">
      <c r="A2146" s="2" t="str">
        <f>IFERROR(__xludf.DUMMYFUNCTION("IF('From Order'!$A2146=COLUMNS($A2146:A2165), LEFT(INDEX(FILTER(A$1:A2145, A$1:A2145&lt;&gt;""""),COUNTA(FILTER(A$1:A2145, A$1:A2145&lt;&gt;""""))), LEN(INDEX(FILTER(A$1:A2145, A$1:A2145&lt;&gt;""""),COUNTA(FILTER(A$1:A2145, A$1:A2145&lt;&gt;""""))))-1), IF('To Order'!$A2146=COL"&amp;"UMNS($A2146:A2165), A2145&amp;RIGHT(INDIRECT(ADDRESS(ROW(A2146)-1, 'From Order'!$A2146)), 1), A2145))"),"DSPBFLLW")</f>
        <v>DSPBFLLW</v>
      </c>
      <c r="B2146" s="2" t="str">
        <f>IFERROR(__xludf.DUMMYFUNCTION("IF('From Order'!$A2146=COLUMNS($A2146:B2165), LEFT(INDEX(FILTER(B$1:B2145, B$1:B2145&lt;&gt;""""),COUNTA(FILTER(B$1:B2145, B$1:B2145&lt;&gt;""""))), LEN(INDEX(FILTER(B$1:B2145, B$1:B2145&lt;&gt;""""),COUNTA(FILTER(B$1:B2145, B$1:B2145&lt;&gt;""""))))-1), IF('To Order'!$A2146=COL"&amp;"UMNS($A2146:B2165), B2145&amp;RIGHT(INDIRECT(ADDRESS(ROW(B2146)-1, 'From Order'!$A2146)), 1), B2145))"),"JDPSST")</f>
        <v>JDPSST</v>
      </c>
      <c r="C2146" s="2" t="str">
        <f>IFERROR(__xludf.DUMMYFUNCTION("IF('From Order'!$A2146=COLUMNS($A2146:C2165), LEFT(INDEX(FILTER(C$1:C2145, C$1:C2145&lt;&gt;""""),COUNTA(FILTER(C$1:C2145, C$1:C2145&lt;&gt;""""))), LEN(INDEX(FILTER(C$1:C2145, C$1:C2145&lt;&gt;""""),COUNTA(FILTER(C$1:C2145, C$1:C2145&lt;&gt;""""))))-1), IF('To Order'!$A2146=COL"&amp;"UMNS($A2146:C2165), C2145&amp;RIGHT(INDIRECT(ADDRESS(ROW(C2146)-1, 'From Order'!$A2146)), 1), C2145))"),"VBHC")</f>
        <v>VBHC</v>
      </c>
      <c r="D2146" s="2" t="str">
        <f>IFERROR(__xludf.DUMMYFUNCTION("IF('From Order'!$A2146=COLUMNS($A2146:D2165), LEFT(INDEX(FILTER(D$1:D2145, D$1:D2145&lt;&gt;""""),COUNTA(FILTER(D$1:D2145, D$1:D2145&lt;&gt;""""))), LEN(INDEX(FILTER(D$1:D2145, D$1:D2145&lt;&gt;""""),COUNTA(FILTER(D$1:D2145, D$1:D2145&lt;&gt;""""))))-1), IF('To Order'!$A2146=COL"&amp;"UMNS($A2146:D2165), D2145&amp;RIGHT(INDIRECT(ADDRESS(ROW(D2146)-1, 'From Order'!$A2146)), 1), D2145))"),"RBJVBRPHZMT")</f>
        <v>RBJVBRPHZMT</v>
      </c>
      <c r="E2146" s="2" t="str">
        <f>IFERROR(__xludf.DUMMYFUNCTION("IF('From Order'!$A2146=COLUMNS($A2146:E2165), LEFT(INDEX(FILTER(E$1:E2145, E$1:E2145&lt;&gt;""""),COUNTA(FILTER(E$1:E2145, E$1:E2145&lt;&gt;""""))), LEN(INDEX(FILTER(E$1:E2145, E$1:E2145&lt;&gt;""""),COUNTA(FILTER(E$1:E2145, E$1:E2145&lt;&gt;""""))))-1), IF('To Order'!$A2146=COL"&amp;"UMNS($A2146:E2165), E2145&amp;RIGHT(INDIRECT(ADDRESS(ROW(E2146)-1, 'From Order'!$A2146)), 1), E2145))"),"FSCZR")</f>
        <v>FSCZR</v>
      </c>
      <c r="F2146" s="2" t="str">
        <f>IFERROR(__xludf.DUMMYFUNCTION("IF('From Order'!$A2146=COLUMNS($A2146:F2165), LEFT(INDEX(FILTER(F$1:F2145, F$1:F2145&lt;&gt;""""),COUNTA(FILTER(F$1:F2145, F$1:F2145&lt;&gt;""""))), LEN(INDEX(FILTER(F$1:F2145, F$1:F2145&lt;&gt;""""),COUNTA(FILTER(F$1:F2145, F$1:F2145&lt;&gt;""""))))-1), IF('To Order'!$A2146=COL"&amp;"UMNS($A2146:F2165), F2145&amp;RIGHT(INDIRECT(ADDRESS(ROW(F2146)-1, 'From Order'!$A2146)), 1), F2145))"),"")</f>
        <v/>
      </c>
      <c r="G2146" s="2" t="str">
        <f>IFERROR(__xludf.DUMMYFUNCTION("IF('From Order'!$A2146=COLUMNS($A2146:G2165), LEFT(INDEX(FILTER(G$1:G2145, G$1:G2145&lt;&gt;""""),COUNTA(FILTER(G$1:G2145, G$1:G2145&lt;&gt;""""))), LEN(INDEX(FILTER(G$1:G2145, G$1:G2145&lt;&gt;""""),COUNTA(FILTER(G$1:G2145, G$1:G2145&lt;&gt;""""))))-1), IF('To Order'!$A2146=COL"&amp;"UMNS($A2146:G2165), G2145&amp;RIGHT(INDIRECT(ADDRESS(ROW(G2146)-1, 'From Order'!$A2146)), 1), G2145))"),"GW")</f>
        <v>GW</v>
      </c>
      <c r="H2146" s="2" t="str">
        <f>IFERROR(__xludf.DUMMYFUNCTION("IF('From Order'!$A2146=COLUMNS($A2146:H2165), LEFT(INDEX(FILTER(H$1:H2145, H$1:H2145&lt;&gt;""""),COUNTA(FILTER(H$1:H2145, H$1:H2145&lt;&gt;""""))), LEN(INDEX(FILTER(H$1:H2145, H$1:H2145&lt;&gt;""""),COUNTA(FILTER(H$1:H2145, H$1:H2145&lt;&gt;""""))))-1), IF('To Order'!$A2146=COL"&amp;"UMNS($A2146:H2165), H2145&amp;RIGHT(INDIRECT(ADDRESS(ROW(H2146)-1, 'From Order'!$A2146)), 1), H2145))"),"QTTC")</f>
        <v>QTTC</v>
      </c>
      <c r="I2146" s="2" t="str">
        <f>IFERROR(__xludf.DUMMYFUNCTION("IF('From Order'!$A2146=COLUMNS($A2146:I2165), LEFT(INDEX(FILTER(I$1:I2145, I$1:I2145&lt;&gt;""""),COUNTA(FILTER(I$1:I2145, I$1:I2145&lt;&gt;""""))), LEN(INDEX(FILTER(I$1:I2145, I$1:I2145&lt;&gt;""""),COUNTA(FILTER(I$1:I2145, I$1:I2145&lt;&gt;""""))))-1), IF('To Order'!$A2146=COL"&amp;"UMNS($A2146:I2165), I2145&amp;RIGHT(INDIRECT(ADDRESS(ROW(I2146)-1, 'From Order'!$A2146)), 1), I2145))"),"DDDVQZDMTTGMJRRL")</f>
        <v>DDDVQZDMTTGMJRRL</v>
      </c>
    </row>
    <row r="2147">
      <c r="A2147" s="2" t="str">
        <f>IFERROR(__xludf.DUMMYFUNCTION("IF('From Order'!$A2147=COLUMNS($A2147:A2166), LEFT(INDEX(FILTER(A$1:A2146, A$1:A2146&lt;&gt;""""),COUNTA(FILTER(A$1:A2146, A$1:A2146&lt;&gt;""""))), LEN(INDEX(FILTER(A$1:A2146, A$1:A2146&lt;&gt;""""),COUNTA(FILTER(A$1:A2146, A$1:A2146&lt;&gt;""""))))-1), IF('To Order'!$A2147=COL"&amp;"UMNS($A2147:A2166), A2146&amp;RIGHT(INDIRECT(ADDRESS(ROW(A2147)-1, 'From Order'!$A2147)), 1), A2146))"),"DSPBFLLW")</f>
        <v>DSPBFLLW</v>
      </c>
      <c r="B2147" s="2" t="str">
        <f>IFERROR(__xludf.DUMMYFUNCTION("IF('From Order'!$A2147=COLUMNS($A2147:B2166), LEFT(INDEX(FILTER(B$1:B2146, B$1:B2146&lt;&gt;""""),COUNTA(FILTER(B$1:B2146, B$1:B2146&lt;&gt;""""))), LEN(INDEX(FILTER(B$1:B2146, B$1:B2146&lt;&gt;""""),COUNTA(FILTER(B$1:B2146, B$1:B2146&lt;&gt;""""))))-1), IF('To Order'!$A2147=COL"&amp;"UMNS($A2147:B2166), B2146&amp;RIGHT(INDIRECT(ADDRESS(ROW(B2147)-1, 'From Order'!$A2147)), 1), B2146))"),"JDPSST")</f>
        <v>JDPSST</v>
      </c>
      <c r="C2147" s="2" t="str">
        <f>IFERROR(__xludf.DUMMYFUNCTION("IF('From Order'!$A2147=COLUMNS($A2147:C2166), LEFT(INDEX(FILTER(C$1:C2146, C$1:C2146&lt;&gt;""""),COUNTA(FILTER(C$1:C2146, C$1:C2146&lt;&gt;""""))), LEN(INDEX(FILTER(C$1:C2146, C$1:C2146&lt;&gt;""""),COUNTA(FILTER(C$1:C2146, C$1:C2146&lt;&gt;""""))))-1), IF('To Order'!$A2147=COL"&amp;"UMNS($A2147:C2166), C2146&amp;RIGHT(INDIRECT(ADDRESS(ROW(C2147)-1, 'From Order'!$A2147)), 1), C2146))"),"VBHC")</f>
        <v>VBHC</v>
      </c>
      <c r="D2147" s="2" t="str">
        <f>IFERROR(__xludf.DUMMYFUNCTION("IF('From Order'!$A2147=COLUMNS($A2147:D2166), LEFT(INDEX(FILTER(D$1:D2146, D$1:D2146&lt;&gt;""""),COUNTA(FILTER(D$1:D2146, D$1:D2146&lt;&gt;""""))), LEN(INDEX(FILTER(D$1:D2146, D$1:D2146&lt;&gt;""""),COUNTA(FILTER(D$1:D2146, D$1:D2146&lt;&gt;""""))))-1), IF('To Order'!$A2147=COL"&amp;"UMNS($A2147:D2166), D2146&amp;RIGHT(INDIRECT(ADDRESS(ROW(D2147)-1, 'From Order'!$A2147)), 1), D2146))"),"RBJVBRPHZM")</f>
        <v>RBJVBRPHZM</v>
      </c>
      <c r="E2147" s="2" t="str">
        <f>IFERROR(__xludf.DUMMYFUNCTION("IF('From Order'!$A2147=COLUMNS($A2147:E2166), LEFT(INDEX(FILTER(E$1:E2146, E$1:E2146&lt;&gt;""""),COUNTA(FILTER(E$1:E2146, E$1:E2146&lt;&gt;""""))), LEN(INDEX(FILTER(E$1:E2146, E$1:E2146&lt;&gt;""""),COUNTA(FILTER(E$1:E2146, E$1:E2146&lt;&gt;""""))))-1), IF('To Order'!$A2147=COL"&amp;"UMNS($A2147:E2166), E2146&amp;RIGHT(INDIRECT(ADDRESS(ROW(E2147)-1, 'From Order'!$A2147)), 1), E2146))"),"FSCZR")</f>
        <v>FSCZR</v>
      </c>
      <c r="F2147" s="2" t="str">
        <f>IFERROR(__xludf.DUMMYFUNCTION("IF('From Order'!$A2147=COLUMNS($A2147:F2166), LEFT(INDEX(FILTER(F$1:F2146, F$1:F2146&lt;&gt;""""),COUNTA(FILTER(F$1:F2146, F$1:F2146&lt;&gt;""""))), LEN(INDEX(FILTER(F$1:F2146, F$1:F2146&lt;&gt;""""),COUNTA(FILTER(F$1:F2146, F$1:F2146&lt;&gt;""""))))-1), IF('To Order'!$A2147=COL"&amp;"UMNS($A2147:F2166), F2146&amp;RIGHT(INDIRECT(ADDRESS(ROW(F2147)-1, 'From Order'!$A2147)), 1), F2146))"),"")</f>
        <v/>
      </c>
      <c r="G2147" s="2" t="str">
        <f>IFERROR(__xludf.DUMMYFUNCTION("IF('From Order'!$A2147=COLUMNS($A2147:G2166), LEFT(INDEX(FILTER(G$1:G2146, G$1:G2146&lt;&gt;""""),COUNTA(FILTER(G$1:G2146, G$1:G2146&lt;&gt;""""))), LEN(INDEX(FILTER(G$1:G2146, G$1:G2146&lt;&gt;""""),COUNTA(FILTER(G$1:G2146, G$1:G2146&lt;&gt;""""))))-1), IF('To Order'!$A2147=COL"&amp;"UMNS($A2147:G2166), G2146&amp;RIGHT(INDIRECT(ADDRESS(ROW(G2147)-1, 'From Order'!$A2147)), 1), G2146))"),"GW")</f>
        <v>GW</v>
      </c>
      <c r="H2147" s="2" t="str">
        <f>IFERROR(__xludf.DUMMYFUNCTION("IF('From Order'!$A2147=COLUMNS($A2147:H2166), LEFT(INDEX(FILTER(H$1:H2146, H$1:H2146&lt;&gt;""""),COUNTA(FILTER(H$1:H2146, H$1:H2146&lt;&gt;""""))), LEN(INDEX(FILTER(H$1:H2146, H$1:H2146&lt;&gt;""""),COUNTA(FILTER(H$1:H2146, H$1:H2146&lt;&gt;""""))))-1), IF('To Order'!$A2147=COL"&amp;"UMNS($A2147:H2166), H2146&amp;RIGHT(INDIRECT(ADDRESS(ROW(H2147)-1, 'From Order'!$A2147)), 1), H2146))"),"QTTCT")</f>
        <v>QTTCT</v>
      </c>
      <c r="I2147" s="2" t="str">
        <f>IFERROR(__xludf.DUMMYFUNCTION("IF('From Order'!$A2147=COLUMNS($A2147:I2166), LEFT(INDEX(FILTER(I$1:I2146, I$1:I2146&lt;&gt;""""),COUNTA(FILTER(I$1:I2146, I$1:I2146&lt;&gt;""""))), LEN(INDEX(FILTER(I$1:I2146, I$1:I2146&lt;&gt;""""),COUNTA(FILTER(I$1:I2146, I$1:I2146&lt;&gt;""""))))-1), IF('To Order'!$A2147=COL"&amp;"UMNS($A2147:I2166), I2146&amp;RIGHT(INDIRECT(ADDRESS(ROW(I2147)-1, 'From Order'!$A2147)), 1), I2146))"),"DDDVQZDMTTGMJRRL")</f>
        <v>DDDVQZDMTTGMJRRL</v>
      </c>
    </row>
    <row r="2148">
      <c r="A2148" s="2" t="str">
        <f>IFERROR(__xludf.DUMMYFUNCTION("IF('From Order'!$A2148=COLUMNS($A2148:A2167), LEFT(INDEX(FILTER(A$1:A2147, A$1:A2147&lt;&gt;""""),COUNTA(FILTER(A$1:A2147, A$1:A2147&lt;&gt;""""))), LEN(INDEX(FILTER(A$1:A2147, A$1:A2147&lt;&gt;""""),COUNTA(FILTER(A$1:A2147, A$1:A2147&lt;&gt;""""))))-1), IF('To Order'!$A2148=COL"&amp;"UMNS($A2148:A2167), A2147&amp;RIGHT(INDIRECT(ADDRESS(ROW(A2148)-1, 'From Order'!$A2148)), 1), A2147))"),"DSPBFLLW")</f>
        <v>DSPBFLLW</v>
      </c>
      <c r="B2148" s="2" t="str">
        <f>IFERROR(__xludf.DUMMYFUNCTION("IF('From Order'!$A2148=COLUMNS($A2148:B2167), LEFT(INDEX(FILTER(B$1:B2147, B$1:B2147&lt;&gt;""""),COUNTA(FILTER(B$1:B2147, B$1:B2147&lt;&gt;""""))), LEN(INDEX(FILTER(B$1:B2147, B$1:B2147&lt;&gt;""""),COUNTA(FILTER(B$1:B2147, B$1:B2147&lt;&gt;""""))))-1), IF('To Order'!$A2148=COL"&amp;"UMNS($A2148:B2167), B2147&amp;RIGHT(INDIRECT(ADDRESS(ROW(B2148)-1, 'From Order'!$A2148)), 1), B2147))"),"JDPSST")</f>
        <v>JDPSST</v>
      </c>
      <c r="C2148" s="2" t="str">
        <f>IFERROR(__xludf.DUMMYFUNCTION("IF('From Order'!$A2148=COLUMNS($A2148:C2167), LEFT(INDEX(FILTER(C$1:C2147, C$1:C2147&lt;&gt;""""),COUNTA(FILTER(C$1:C2147, C$1:C2147&lt;&gt;""""))), LEN(INDEX(FILTER(C$1:C2147, C$1:C2147&lt;&gt;""""),COUNTA(FILTER(C$1:C2147, C$1:C2147&lt;&gt;""""))))-1), IF('To Order'!$A2148=COL"&amp;"UMNS($A2148:C2167), C2147&amp;RIGHT(INDIRECT(ADDRESS(ROW(C2148)-1, 'From Order'!$A2148)), 1), C2147))"),"VBHC")</f>
        <v>VBHC</v>
      </c>
      <c r="D2148" s="2" t="str">
        <f>IFERROR(__xludf.DUMMYFUNCTION("IF('From Order'!$A2148=COLUMNS($A2148:D2167), LEFT(INDEX(FILTER(D$1:D2147, D$1:D2147&lt;&gt;""""),COUNTA(FILTER(D$1:D2147, D$1:D2147&lt;&gt;""""))), LEN(INDEX(FILTER(D$1:D2147, D$1:D2147&lt;&gt;""""),COUNTA(FILTER(D$1:D2147, D$1:D2147&lt;&gt;""""))))-1), IF('To Order'!$A2148=COL"&amp;"UMNS($A2148:D2167), D2147&amp;RIGHT(INDIRECT(ADDRESS(ROW(D2148)-1, 'From Order'!$A2148)), 1), D2147))"),"RBJVBRPHZM")</f>
        <v>RBJVBRPHZM</v>
      </c>
      <c r="E2148" s="2" t="str">
        <f>IFERROR(__xludf.DUMMYFUNCTION("IF('From Order'!$A2148=COLUMNS($A2148:E2167), LEFT(INDEX(FILTER(E$1:E2147, E$1:E2147&lt;&gt;""""),COUNTA(FILTER(E$1:E2147, E$1:E2147&lt;&gt;""""))), LEN(INDEX(FILTER(E$1:E2147, E$1:E2147&lt;&gt;""""),COUNTA(FILTER(E$1:E2147, E$1:E2147&lt;&gt;""""))))-1), IF('To Order'!$A2148=COL"&amp;"UMNS($A2148:E2167), E2147&amp;RIGHT(INDIRECT(ADDRESS(ROW(E2148)-1, 'From Order'!$A2148)), 1), E2147))"),"FSCZ")</f>
        <v>FSCZ</v>
      </c>
      <c r="F2148" s="2" t="str">
        <f>IFERROR(__xludf.DUMMYFUNCTION("IF('From Order'!$A2148=COLUMNS($A2148:F2167), LEFT(INDEX(FILTER(F$1:F2147, F$1:F2147&lt;&gt;""""),COUNTA(FILTER(F$1:F2147, F$1:F2147&lt;&gt;""""))), LEN(INDEX(FILTER(F$1:F2147, F$1:F2147&lt;&gt;""""),COUNTA(FILTER(F$1:F2147, F$1:F2147&lt;&gt;""""))))-1), IF('To Order'!$A2148=COL"&amp;"UMNS($A2148:F2167), F2147&amp;RIGHT(INDIRECT(ADDRESS(ROW(F2148)-1, 'From Order'!$A2148)), 1), F2147))"),"")</f>
        <v/>
      </c>
      <c r="G2148" s="2" t="str">
        <f>IFERROR(__xludf.DUMMYFUNCTION("IF('From Order'!$A2148=COLUMNS($A2148:G2167), LEFT(INDEX(FILTER(G$1:G2147, G$1:G2147&lt;&gt;""""),COUNTA(FILTER(G$1:G2147, G$1:G2147&lt;&gt;""""))), LEN(INDEX(FILTER(G$1:G2147, G$1:G2147&lt;&gt;""""),COUNTA(FILTER(G$1:G2147, G$1:G2147&lt;&gt;""""))))-1), IF('To Order'!$A2148=COL"&amp;"UMNS($A2148:G2167), G2147&amp;RIGHT(INDIRECT(ADDRESS(ROW(G2148)-1, 'From Order'!$A2148)), 1), G2147))"),"GW")</f>
        <v>GW</v>
      </c>
      <c r="H2148" s="2" t="str">
        <f>IFERROR(__xludf.DUMMYFUNCTION("IF('From Order'!$A2148=COLUMNS($A2148:H2167), LEFT(INDEX(FILTER(H$1:H2147, H$1:H2147&lt;&gt;""""),COUNTA(FILTER(H$1:H2147, H$1:H2147&lt;&gt;""""))), LEN(INDEX(FILTER(H$1:H2147, H$1:H2147&lt;&gt;""""),COUNTA(FILTER(H$1:H2147, H$1:H2147&lt;&gt;""""))))-1), IF('To Order'!$A2148=COL"&amp;"UMNS($A2148:H2167), H2147&amp;RIGHT(INDIRECT(ADDRESS(ROW(H2148)-1, 'From Order'!$A2148)), 1), H2147))"),"QTTCTR")</f>
        <v>QTTCTR</v>
      </c>
      <c r="I2148" s="2" t="str">
        <f>IFERROR(__xludf.DUMMYFUNCTION("IF('From Order'!$A2148=COLUMNS($A2148:I2167), LEFT(INDEX(FILTER(I$1:I2147, I$1:I2147&lt;&gt;""""),COUNTA(FILTER(I$1:I2147, I$1:I2147&lt;&gt;""""))), LEN(INDEX(FILTER(I$1:I2147, I$1:I2147&lt;&gt;""""),COUNTA(FILTER(I$1:I2147, I$1:I2147&lt;&gt;""""))))-1), IF('To Order'!$A2148=COL"&amp;"UMNS($A2148:I2167), I2147&amp;RIGHT(INDIRECT(ADDRESS(ROW(I2148)-1, 'From Order'!$A2148)), 1), I2147))"),"DDDVQZDMTTGMJRRL")</f>
        <v>DDDVQZDMTTGMJRRL</v>
      </c>
    </row>
    <row r="2149">
      <c r="A2149" s="2" t="str">
        <f>IFERROR(__xludf.DUMMYFUNCTION("IF('From Order'!$A2149=COLUMNS($A2149:A2168), LEFT(INDEX(FILTER(A$1:A2148, A$1:A2148&lt;&gt;""""),COUNTA(FILTER(A$1:A2148, A$1:A2148&lt;&gt;""""))), LEN(INDEX(FILTER(A$1:A2148, A$1:A2148&lt;&gt;""""),COUNTA(FILTER(A$1:A2148, A$1:A2148&lt;&gt;""""))))-1), IF('To Order'!$A2149=COL"&amp;"UMNS($A2149:A2168), A2148&amp;RIGHT(INDIRECT(ADDRESS(ROW(A2149)-1, 'From Order'!$A2149)), 1), A2148))"),"DSPBFLLW")</f>
        <v>DSPBFLLW</v>
      </c>
      <c r="B2149" s="2" t="str">
        <f>IFERROR(__xludf.DUMMYFUNCTION("IF('From Order'!$A2149=COLUMNS($A2149:B2168), LEFT(INDEX(FILTER(B$1:B2148, B$1:B2148&lt;&gt;""""),COUNTA(FILTER(B$1:B2148, B$1:B2148&lt;&gt;""""))), LEN(INDEX(FILTER(B$1:B2148, B$1:B2148&lt;&gt;""""),COUNTA(FILTER(B$1:B2148, B$1:B2148&lt;&gt;""""))))-1), IF('To Order'!$A2149=COL"&amp;"UMNS($A2149:B2168), B2148&amp;RIGHT(INDIRECT(ADDRESS(ROW(B2149)-1, 'From Order'!$A2149)), 1), B2148))"),"JDPSST")</f>
        <v>JDPSST</v>
      </c>
      <c r="C2149" s="2" t="str">
        <f>IFERROR(__xludf.DUMMYFUNCTION("IF('From Order'!$A2149=COLUMNS($A2149:C2168), LEFT(INDEX(FILTER(C$1:C2148, C$1:C2148&lt;&gt;""""),COUNTA(FILTER(C$1:C2148, C$1:C2148&lt;&gt;""""))), LEN(INDEX(FILTER(C$1:C2148, C$1:C2148&lt;&gt;""""),COUNTA(FILTER(C$1:C2148, C$1:C2148&lt;&gt;""""))))-1), IF('To Order'!$A2149=COL"&amp;"UMNS($A2149:C2168), C2148&amp;RIGHT(INDIRECT(ADDRESS(ROW(C2149)-1, 'From Order'!$A2149)), 1), C2148))"),"VBHC")</f>
        <v>VBHC</v>
      </c>
      <c r="D2149" s="2" t="str">
        <f>IFERROR(__xludf.DUMMYFUNCTION("IF('From Order'!$A2149=COLUMNS($A2149:D2168), LEFT(INDEX(FILTER(D$1:D2148, D$1:D2148&lt;&gt;""""),COUNTA(FILTER(D$1:D2148, D$1:D2148&lt;&gt;""""))), LEN(INDEX(FILTER(D$1:D2148, D$1:D2148&lt;&gt;""""),COUNTA(FILTER(D$1:D2148, D$1:D2148&lt;&gt;""""))))-1), IF('To Order'!$A2149=COL"&amp;"UMNS($A2149:D2168), D2148&amp;RIGHT(INDIRECT(ADDRESS(ROW(D2149)-1, 'From Order'!$A2149)), 1), D2148))"),"RBJVBRPHZM")</f>
        <v>RBJVBRPHZM</v>
      </c>
      <c r="E2149" s="2" t="str">
        <f>IFERROR(__xludf.DUMMYFUNCTION("IF('From Order'!$A2149=COLUMNS($A2149:E2168), LEFT(INDEX(FILTER(E$1:E2148, E$1:E2148&lt;&gt;""""),COUNTA(FILTER(E$1:E2148, E$1:E2148&lt;&gt;""""))), LEN(INDEX(FILTER(E$1:E2148, E$1:E2148&lt;&gt;""""),COUNTA(FILTER(E$1:E2148, E$1:E2148&lt;&gt;""""))))-1), IF('To Order'!$A2149=COL"&amp;"UMNS($A2149:E2168), E2148&amp;RIGHT(INDIRECT(ADDRESS(ROW(E2149)-1, 'From Order'!$A2149)), 1), E2148))"),"FSC")</f>
        <v>FSC</v>
      </c>
      <c r="F2149" s="2" t="str">
        <f>IFERROR(__xludf.DUMMYFUNCTION("IF('From Order'!$A2149=COLUMNS($A2149:F2168), LEFT(INDEX(FILTER(F$1:F2148, F$1:F2148&lt;&gt;""""),COUNTA(FILTER(F$1:F2148, F$1:F2148&lt;&gt;""""))), LEN(INDEX(FILTER(F$1:F2148, F$1:F2148&lt;&gt;""""),COUNTA(FILTER(F$1:F2148, F$1:F2148&lt;&gt;""""))))-1), IF('To Order'!$A2149=COL"&amp;"UMNS($A2149:F2168), F2148&amp;RIGHT(INDIRECT(ADDRESS(ROW(F2149)-1, 'From Order'!$A2149)), 1), F2148))"),"")</f>
        <v/>
      </c>
      <c r="G2149" s="2" t="str">
        <f>IFERROR(__xludf.DUMMYFUNCTION("IF('From Order'!$A2149=COLUMNS($A2149:G2168), LEFT(INDEX(FILTER(G$1:G2148, G$1:G2148&lt;&gt;""""),COUNTA(FILTER(G$1:G2148, G$1:G2148&lt;&gt;""""))), LEN(INDEX(FILTER(G$1:G2148, G$1:G2148&lt;&gt;""""),COUNTA(FILTER(G$1:G2148, G$1:G2148&lt;&gt;""""))))-1), IF('To Order'!$A2149=COL"&amp;"UMNS($A2149:G2168), G2148&amp;RIGHT(INDIRECT(ADDRESS(ROW(G2149)-1, 'From Order'!$A2149)), 1), G2148))"),"GW")</f>
        <v>GW</v>
      </c>
      <c r="H2149" s="2" t="str">
        <f>IFERROR(__xludf.DUMMYFUNCTION("IF('From Order'!$A2149=COLUMNS($A2149:H2168), LEFT(INDEX(FILTER(H$1:H2148, H$1:H2148&lt;&gt;""""),COUNTA(FILTER(H$1:H2148, H$1:H2148&lt;&gt;""""))), LEN(INDEX(FILTER(H$1:H2148, H$1:H2148&lt;&gt;""""),COUNTA(FILTER(H$1:H2148, H$1:H2148&lt;&gt;""""))))-1), IF('To Order'!$A2149=COL"&amp;"UMNS($A2149:H2168), H2148&amp;RIGHT(INDIRECT(ADDRESS(ROW(H2149)-1, 'From Order'!$A2149)), 1), H2148))"),"QTTCTRZ")</f>
        <v>QTTCTRZ</v>
      </c>
      <c r="I2149" s="2" t="str">
        <f>IFERROR(__xludf.DUMMYFUNCTION("IF('From Order'!$A2149=COLUMNS($A2149:I2168), LEFT(INDEX(FILTER(I$1:I2148, I$1:I2148&lt;&gt;""""),COUNTA(FILTER(I$1:I2148, I$1:I2148&lt;&gt;""""))), LEN(INDEX(FILTER(I$1:I2148, I$1:I2148&lt;&gt;""""),COUNTA(FILTER(I$1:I2148, I$1:I2148&lt;&gt;""""))))-1), IF('To Order'!$A2149=COL"&amp;"UMNS($A2149:I2168), I2148&amp;RIGHT(INDIRECT(ADDRESS(ROW(I2149)-1, 'From Order'!$A2149)), 1), I2148))"),"DDDVQZDMTTGMJRRL")</f>
        <v>DDDVQZDMTTGMJRRL</v>
      </c>
    </row>
    <row r="2150">
      <c r="A2150" s="2" t="str">
        <f>IFERROR(__xludf.DUMMYFUNCTION("IF('From Order'!$A2150=COLUMNS($A2150:A2169), LEFT(INDEX(FILTER(A$1:A2149, A$1:A2149&lt;&gt;""""),COUNTA(FILTER(A$1:A2149, A$1:A2149&lt;&gt;""""))), LEN(INDEX(FILTER(A$1:A2149, A$1:A2149&lt;&gt;""""),COUNTA(FILTER(A$1:A2149, A$1:A2149&lt;&gt;""""))))-1), IF('To Order'!$A2150=COL"&amp;"UMNS($A2150:A2169), A2149&amp;RIGHT(INDIRECT(ADDRESS(ROW(A2150)-1, 'From Order'!$A2150)), 1), A2149))"),"DSPBFLLW")</f>
        <v>DSPBFLLW</v>
      </c>
      <c r="B2150" s="2" t="str">
        <f>IFERROR(__xludf.DUMMYFUNCTION("IF('From Order'!$A2150=COLUMNS($A2150:B2169), LEFT(INDEX(FILTER(B$1:B2149, B$1:B2149&lt;&gt;""""),COUNTA(FILTER(B$1:B2149, B$1:B2149&lt;&gt;""""))), LEN(INDEX(FILTER(B$1:B2149, B$1:B2149&lt;&gt;""""),COUNTA(FILTER(B$1:B2149, B$1:B2149&lt;&gt;""""))))-1), IF('To Order'!$A2150=COL"&amp;"UMNS($A2150:B2169), B2149&amp;RIGHT(INDIRECT(ADDRESS(ROW(B2150)-1, 'From Order'!$A2150)), 1), B2149))"),"JDPSST")</f>
        <v>JDPSST</v>
      </c>
      <c r="C2150" s="2" t="str">
        <f>IFERROR(__xludf.DUMMYFUNCTION("IF('From Order'!$A2150=COLUMNS($A2150:C2169), LEFT(INDEX(FILTER(C$1:C2149, C$1:C2149&lt;&gt;""""),COUNTA(FILTER(C$1:C2149, C$1:C2149&lt;&gt;""""))), LEN(INDEX(FILTER(C$1:C2149, C$1:C2149&lt;&gt;""""),COUNTA(FILTER(C$1:C2149, C$1:C2149&lt;&gt;""""))))-1), IF('To Order'!$A2150=COL"&amp;"UMNS($A2150:C2169), C2149&amp;RIGHT(INDIRECT(ADDRESS(ROW(C2150)-1, 'From Order'!$A2150)), 1), C2149))"),"VBHC")</f>
        <v>VBHC</v>
      </c>
      <c r="D2150" s="2" t="str">
        <f>IFERROR(__xludf.DUMMYFUNCTION("IF('From Order'!$A2150=COLUMNS($A2150:D2169), LEFT(INDEX(FILTER(D$1:D2149, D$1:D2149&lt;&gt;""""),COUNTA(FILTER(D$1:D2149, D$1:D2149&lt;&gt;""""))), LEN(INDEX(FILTER(D$1:D2149, D$1:D2149&lt;&gt;""""),COUNTA(FILTER(D$1:D2149, D$1:D2149&lt;&gt;""""))))-1), IF('To Order'!$A2150=COL"&amp;"UMNS($A2150:D2169), D2149&amp;RIGHT(INDIRECT(ADDRESS(ROW(D2150)-1, 'From Order'!$A2150)), 1), D2149))"),"RBJVBRPHZM")</f>
        <v>RBJVBRPHZM</v>
      </c>
      <c r="E2150" s="2" t="str">
        <f>IFERROR(__xludf.DUMMYFUNCTION("IF('From Order'!$A2150=COLUMNS($A2150:E2169), LEFT(INDEX(FILTER(E$1:E2149, E$1:E2149&lt;&gt;""""),COUNTA(FILTER(E$1:E2149, E$1:E2149&lt;&gt;""""))), LEN(INDEX(FILTER(E$1:E2149, E$1:E2149&lt;&gt;""""),COUNTA(FILTER(E$1:E2149, E$1:E2149&lt;&gt;""""))))-1), IF('To Order'!$A2150=COL"&amp;"UMNS($A2150:E2169), E2149&amp;RIGHT(INDIRECT(ADDRESS(ROW(E2150)-1, 'From Order'!$A2150)), 1), E2149))"),"FS")</f>
        <v>FS</v>
      </c>
      <c r="F2150" s="2" t="str">
        <f>IFERROR(__xludf.DUMMYFUNCTION("IF('From Order'!$A2150=COLUMNS($A2150:F2169), LEFT(INDEX(FILTER(F$1:F2149, F$1:F2149&lt;&gt;""""),COUNTA(FILTER(F$1:F2149, F$1:F2149&lt;&gt;""""))), LEN(INDEX(FILTER(F$1:F2149, F$1:F2149&lt;&gt;""""),COUNTA(FILTER(F$1:F2149, F$1:F2149&lt;&gt;""""))))-1), IF('To Order'!$A2150=COL"&amp;"UMNS($A2150:F2169), F2149&amp;RIGHT(INDIRECT(ADDRESS(ROW(F2150)-1, 'From Order'!$A2150)), 1), F2149))"),"")</f>
        <v/>
      </c>
      <c r="G2150" s="2" t="str">
        <f>IFERROR(__xludf.DUMMYFUNCTION("IF('From Order'!$A2150=COLUMNS($A2150:G2169), LEFT(INDEX(FILTER(G$1:G2149, G$1:G2149&lt;&gt;""""),COUNTA(FILTER(G$1:G2149, G$1:G2149&lt;&gt;""""))), LEN(INDEX(FILTER(G$1:G2149, G$1:G2149&lt;&gt;""""),COUNTA(FILTER(G$1:G2149, G$1:G2149&lt;&gt;""""))))-1), IF('To Order'!$A2150=COL"&amp;"UMNS($A2150:G2169), G2149&amp;RIGHT(INDIRECT(ADDRESS(ROW(G2150)-1, 'From Order'!$A2150)), 1), G2149))"),"GW")</f>
        <v>GW</v>
      </c>
      <c r="H2150" s="2" t="str">
        <f>IFERROR(__xludf.DUMMYFUNCTION("IF('From Order'!$A2150=COLUMNS($A2150:H2169), LEFT(INDEX(FILTER(H$1:H2149, H$1:H2149&lt;&gt;""""),COUNTA(FILTER(H$1:H2149, H$1:H2149&lt;&gt;""""))), LEN(INDEX(FILTER(H$1:H2149, H$1:H2149&lt;&gt;""""),COUNTA(FILTER(H$1:H2149, H$1:H2149&lt;&gt;""""))))-1), IF('To Order'!$A2150=COL"&amp;"UMNS($A2150:H2169), H2149&amp;RIGHT(INDIRECT(ADDRESS(ROW(H2150)-1, 'From Order'!$A2150)), 1), H2149))"),"QTTCTRZC")</f>
        <v>QTTCTRZC</v>
      </c>
      <c r="I2150" s="2" t="str">
        <f>IFERROR(__xludf.DUMMYFUNCTION("IF('From Order'!$A2150=COLUMNS($A2150:I2169), LEFT(INDEX(FILTER(I$1:I2149, I$1:I2149&lt;&gt;""""),COUNTA(FILTER(I$1:I2149, I$1:I2149&lt;&gt;""""))), LEN(INDEX(FILTER(I$1:I2149, I$1:I2149&lt;&gt;""""),COUNTA(FILTER(I$1:I2149, I$1:I2149&lt;&gt;""""))))-1), IF('To Order'!$A2150=COL"&amp;"UMNS($A2150:I2169), I2149&amp;RIGHT(INDIRECT(ADDRESS(ROW(I2150)-1, 'From Order'!$A2150)), 1), I2149))"),"DDDVQZDMTTGMJRRL")</f>
        <v>DDDVQZDMTTGMJRRL</v>
      </c>
    </row>
    <row r="2151">
      <c r="A2151" s="2" t="str">
        <f>IFERROR(__xludf.DUMMYFUNCTION("IF('From Order'!$A2151=COLUMNS($A2151:A2170), LEFT(INDEX(FILTER(A$1:A2150, A$1:A2150&lt;&gt;""""),COUNTA(FILTER(A$1:A2150, A$1:A2150&lt;&gt;""""))), LEN(INDEX(FILTER(A$1:A2150, A$1:A2150&lt;&gt;""""),COUNTA(FILTER(A$1:A2150, A$1:A2150&lt;&gt;""""))))-1), IF('To Order'!$A2151=COL"&amp;"UMNS($A2151:A2170), A2150&amp;RIGHT(INDIRECT(ADDRESS(ROW(A2151)-1, 'From Order'!$A2151)), 1), A2150))"),"DSPBFLLW")</f>
        <v>DSPBFLLW</v>
      </c>
      <c r="B2151" s="2" t="str">
        <f>IFERROR(__xludf.DUMMYFUNCTION("IF('From Order'!$A2151=COLUMNS($A2151:B2170), LEFT(INDEX(FILTER(B$1:B2150, B$1:B2150&lt;&gt;""""),COUNTA(FILTER(B$1:B2150, B$1:B2150&lt;&gt;""""))), LEN(INDEX(FILTER(B$1:B2150, B$1:B2150&lt;&gt;""""),COUNTA(FILTER(B$1:B2150, B$1:B2150&lt;&gt;""""))))-1), IF('To Order'!$A2151=COL"&amp;"UMNS($A2151:B2170), B2150&amp;RIGHT(INDIRECT(ADDRESS(ROW(B2151)-1, 'From Order'!$A2151)), 1), B2150))"),"JDPSST")</f>
        <v>JDPSST</v>
      </c>
      <c r="C2151" s="2" t="str">
        <f>IFERROR(__xludf.DUMMYFUNCTION("IF('From Order'!$A2151=COLUMNS($A2151:C2170), LEFT(INDEX(FILTER(C$1:C2150, C$1:C2150&lt;&gt;""""),COUNTA(FILTER(C$1:C2150, C$1:C2150&lt;&gt;""""))), LEN(INDEX(FILTER(C$1:C2150, C$1:C2150&lt;&gt;""""),COUNTA(FILTER(C$1:C2150, C$1:C2150&lt;&gt;""""))))-1), IF('To Order'!$A2151=COL"&amp;"UMNS($A2151:C2170), C2150&amp;RIGHT(INDIRECT(ADDRESS(ROW(C2151)-1, 'From Order'!$A2151)), 1), C2150))"),"VBHC")</f>
        <v>VBHC</v>
      </c>
      <c r="D2151" s="2" t="str">
        <f>IFERROR(__xludf.DUMMYFUNCTION("IF('From Order'!$A2151=COLUMNS($A2151:D2170), LEFT(INDEX(FILTER(D$1:D2150, D$1:D2150&lt;&gt;""""),COUNTA(FILTER(D$1:D2150, D$1:D2150&lt;&gt;""""))), LEN(INDEX(FILTER(D$1:D2150, D$1:D2150&lt;&gt;""""),COUNTA(FILTER(D$1:D2150, D$1:D2150&lt;&gt;""""))))-1), IF('To Order'!$A2151=COL"&amp;"UMNS($A2151:D2170), D2150&amp;RIGHT(INDIRECT(ADDRESS(ROW(D2151)-1, 'From Order'!$A2151)), 1), D2150))"),"RBJVBRPHZM")</f>
        <v>RBJVBRPHZM</v>
      </c>
      <c r="E2151" s="2" t="str">
        <f>IFERROR(__xludf.DUMMYFUNCTION("IF('From Order'!$A2151=COLUMNS($A2151:E2170), LEFT(INDEX(FILTER(E$1:E2150, E$1:E2150&lt;&gt;""""),COUNTA(FILTER(E$1:E2150, E$1:E2150&lt;&gt;""""))), LEN(INDEX(FILTER(E$1:E2150, E$1:E2150&lt;&gt;""""),COUNTA(FILTER(E$1:E2150, E$1:E2150&lt;&gt;""""))))-1), IF('To Order'!$A2151=COL"&amp;"UMNS($A2151:E2170), E2150&amp;RIGHT(INDIRECT(ADDRESS(ROW(E2151)-1, 'From Order'!$A2151)), 1), E2150))"),"F")</f>
        <v>F</v>
      </c>
      <c r="F2151" s="2" t="str">
        <f>IFERROR(__xludf.DUMMYFUNCTION("IF('From Order'!$A2151=COLUMNS($A2151:F2170), LEFT(INDEX(FILTER(F$1:F2150, F$1:F2150&lt;&gt;""""),COUNTA(FILTER(F$1:F2150, F$1:F2150&lt;&gt;""""))), LEN(INDEX(FILTER(F$1:F2150, F$1:F2150&lt;&gt;""""),COUNTA(FILTER(F$1:F2150, F$1:F2150&lt;&gt;""""))))-1), IF('To Order'!$A2151=COL"&amp;"UMNS($A2151:F2170), F2150&amp;RIGHT(INDIRECT(ADDRESS(ROW(F2151)-1, 'From Order'!$A2151)), 1), F2150))"),"")</f>
        <v/>
      </c>
      <c r="G2151" s="2" t="str">
        <f>IFERROR(__xludf.DUMMYFUNCTION("IF('From Order'!$A2151=COLUMNS($A2151:G2170), LEFT(INDEX(FILTER(G$1:G2150, G$1:G2150&lt;&gt;""""),COUNTA(FILTER(G$1:G2150, G$1:G2150&lt;&gt;""""))), LEN(INDEX(FILTER(G$1:G2150, G$1:G2150&lt;&gt;""""),COUNTA(FILTER(G$1:G2150, G$1:G2150&lt;&gt;""""))))-1), IF('To Order'!$A2151=COL"&amp;"UMNS($A2151:G2170), G2150&amp;RIGHT(INDIRECT(ADDRESS(ROW(G2151)-1, 'From Order'!$A2151)), 1), G2150))"),"GW")</f>
        <v>GW</v>
      </c>
      <c r="H2151" s="2" t="str">
        <f>IFERROR(__xludf.DUMMYFUNCTION("IF('From Order'!$A2151=COLUMNS($A2151:H2170), LEFT(INDEX(FILTER(H$1:H2150, H$1:H2150&lt;&gt;""""),COUNTA(FILTER(H$1:H2150, H$1:H2150&lt;&gt;""""))), LEN(INDEX(FILTER(H$1:H2150, H$1:H2150&lt;&gt;""""),COUNTA(FILTER(H$1:H2150, H$1:H2150&lt;&gt;""""))))-1), IF('To Order'!$A2151=COL"&amp;"UMNS($A2151:H2170), H2150&amp;RIGHT(INDIRECT(ADDRESS(ROW(H2151)-1, 'From Order'!$A2151)), 1), H2150))"),"QTTCTRZCS")</f>
        <v>QTTCTRZCS</v>
      </c>
      <c r="I2151" s="2" t="str">
        <f>IFERROR(__xludf.DUMMYFUNCTION("IF('From Order'!$A2151=COLUMNS($A2151:I2170), LEFT(INDEX(FILTER(I$1:I2150, I$1:I2150&lt;&gt;""""),COUNTA(FILTER(I$1:I2150, I$1:I2150&lt;&gt;""""))), LEN(INDEX(FILTER(I$1:I2150, I$1:I2150&lt;&gt;""""),COUNTA(FILTER(I$1:I2150, I$1:I2150&lt;&gt;""""))))-1), IF('To Order'!$A2151=COL"&amp;"UMNS($A2151:I2170), I2150&amp;RIGHT(INDIRECT(ADDRESS(ROW(I2151)-1, 'From Order'!$A2151)), 1), I2150))"),"DDDVQZDMTTGMJRRL")</f>
        <v>DDDVQZDMTTGMJRRL</v>
      </c>
    </row>
    <row r="2152">
      <c r="A2152" s="2" t="str">
        <f>IFERROR(__xludf.DUMMYFUNCTION("IF('From Order'!$A2152=COLUMNS($A2152:A2171), LEFT(INDEX(FILTER(A$1:A2151, A$1:A2151&lt;&gt;""""),COUNTA(FILTER(A$1:A2151, A$1:A2151&lt;&gt;""""))), LEN(INDEX(FILTER(A$1:A2151, A$1:A2151&lt;&gt;""""),COUNTA(FILTER(A$1:A2151, A$1:A2151&lt;&gt;""""))))-1), IF('To Order'!$A2152=COL"&amp;"UMNS($A2152:A2171), A2151&amp;RIGHT(INDIRECT(ADDRESS(ROW(A2152)-1, 'From Order'!$A2152)), 1), A2151))"),"DSPBFLLW")</f>
        <v>DSPBFLLW</v>
      </c>
      <c r="B2152" s="2" t="str">
        <f>IFERROR(__xludf.DUMMYFUNCTION("IF('From Order'!$A2152=COLUMNS($A2152:B2171), LEFT(INDEX(FILTER(B$1:B2151, B$1:B2151&lt;&gt;""""),COUNTA(FILTER(B$1:B2151, B$1:B2151&lt;&gt;""""))), LEN(INDEX(FILTER(B$1:B2151, B$1:B2151&lt;&gt;""""),COUNTA(FILTER(B$1:B2151, B$1:B2151&lt;&gt;""""))))-1), IF('To Order'!$A2152=COL"&amp;"UMNS($A2152:B2171), B2151&amp;RIGHT(INDIRECT(ADDRESS(ROW(B2152)-1, 'From Order'!$A2152)), 1), B2151))"),"JDPSS")</f>
        <v>JDPSS</v>
      </c>
      <c r="C2152" s="2" t="str">
        <f>IFERROR(__xludf.DUMMYFUNCTION("IF('From Order'!$A2152=COLUMNS($A2152:C2171), LEFT(INDEX(FILTER(C$1:C2151, C$1:C2151&lt;&gt;""""),COUNTA(FILTER(C$1:C2151, C$1:C2151&lt;&gt;""""))), LEN(INDEX(FILTER(C$1:C2151, C$1:C2151&lt;&gt;""""),COUNTA(FILTER(C$1:C2151, C$1:C2151&lt;&gt;""""))))-1), IF('To Order'!$A2152=COL"&amp;"UMNS($A2152:C2171), C2151&amp;RIGHT(INDIRECT(ADDRESS(ROW(C2152)-1, 'From Order'!$A2152)), 1), C2151))"),"VBHC")</f>
        <v>VBHC</v>
      </c>
      <c r="D2152" s="2" t="str">
        <f>IFERROR(__xludf.DUMMYFUNCTION("IF('From Order'!$A2152=COLUMNS($A2152:D2171), LEFT(INDEX(FILTER(D$1:D2151, D$1:D2151&lt;&gt;""""),COUNTA(FILTER(D$1:D2151, D$1:D2151&lt;&gt;""""))), LEN(INDEX(FILTER(D$1:D2151, D$1:D2151&lt;&gt;""""),COUNTA(FILTER(D$1:D2151, D$1:D2151&lt;&gt;""""))))-1), IF('To Order'!$A2152=COL"&amp;"UMNS($A2152:D2171), D2151&amp;RIGHT(INDIRECT(ADDRESS(ROW(D2152)-1, 'From Order'!$A2152)), 1), D2151))"),"RBJVBRPHZMT")</f>
        <v>RBJVBRPHZMT</v>
      </c>
      <c r="E2152" s="2" t="str">
        <f>IFERROR(__xludf.DUMMYFUNCTION("IF('From Order'!$A2152=COLUMNS($A2152:E2171), LEFT(INDEX(FILTER(E$1:E2151, E$1:E2151&lt;&gt;""""),COUNTA(FILTER(E$1:E2151, E$1:E2151&lt;&gt;""""))), LEN(INDEX(FILTER(E$1:E2151, E$1:E2151&lt;&gt;""""),COUNTA(FILTER(E$1:E2151, E$1:E2151&lt;&gt;""""))))-1), IF('To Order'!$A2152=COL"&amp;"UMNS($A2152:E2171), E2151&amp;RIGHT(INDIRECT(ADDRESS(ROW(E2152)-1, 'From Order'!$A2152)), 1), E2151))"),"F")</f>
        <v>F</v>
      </c>
      <c r="F2152" s="2" t="str">
        <f>IFERROR(__xludf.DUMMYFUNCTION("IF('From Order'!$A2152=COLUMNS($A2152:F2171), LEFT(INDEX(FILTER(F$1:F2151, F$1:F2151&lt;&gt;""""),COUNTA(FILTER(F$1:F2151, F$1:F2151&lt;&gt;""""))), LEN(INDEX(FILTER(F$1:F2151, F$1:F2151&lt;&gt;""""),COUNTA(FILTER(F$1:F2151, F$1:F2151&lt;&gt;""""))))-1), IF('To Order'!$A2152=COL"&amp;"UMNS($A2152:F2171), F2151&amp;RIGHT(INDIRECT(ADDRESS(ROW(F2152)-1, 'From Order'!$A2152)), 1), F2151))"),"")</f>
        <v/>
      </c>
      <c r="G2152" s="2" t="str">
        <f>IFERROR(__xludf.DUMMYFUNCTION("IF('From Order'!$A2152=COLUMNS($A2152:G2171), LEFT(INDEX(FILTER(G$1:G2151, G$1:G2151&lt;&gt;""""),COUNTA(FILTER(G$1:G2151, G$1:G2151&lt;&gt;""""))), LEN(INDEX(FILTER(G$1:G2151, G$1:G2151&lt;&gt;""""),COUNTA(FILTER(G$1:G2151, G$1:G2151&lt;&gt;""""))))-1), IF('To Order'!$A2152=COL"&amp;"UMNS($A2152:G2171), G2151&amp;RIGHT(INDIRECT(ADDRESS(ROW(G2152)-1, 'From Order'!$A2152)), 1), G2151))"),"GW")</f>
        <v>GW</v>
      </c>
      <c r="H2152" s="2" t="str">
        <f>IFERROR(__xludf.DUMMYFUNCTION("IF('From Order'!$A2152=COLUMNS($A2152:H2171), LEFT(INDEX(FILTER(H$1:H2151, H$1:H2151&lt;&gt;""""),COUNTA(FILTER(H$1:H2151, H$1:H2151&lt;&gt;""""))), LEN(INDEX(FILTER(H$1:H2151, H$1:H2151&lt;&gt;""""),COUNTA(FILTER(H$1:H2151, H$1:H2151&lt;&gt;""""))))-1), IF('To Order'!$A2152=COL"&amp;"UMNS($A2152:H2171), H2151&amp;RIGHT(INDIRECT(ADDRESS(ROW(H2152)-1, 'From Order'!$A2152)), 1), H2151))"),"QTTCTRZCS")</f>
        <v>QTTCTRZCS</v>
      </c>
      <c r="I2152" s="2" t="str">
        <f>IFERROR(__xludf.DUMMYFUNCTION("IF('From Order'!$A2152=COLUMNS($A2152:I2171), LEFT(INDEX(FILTER(I$1:I2151, I$1:I2151&lt;&gt;""""),COUNTA(FILTER(I$1:I2151, I$1:I2151&lt;&gt;""""))), LEN(INDEX(FILTER(I$1:I2151, I$1:I2151&lt;&gt;""""),COUNTA(FILTER(I$1:I2151, I$1:I2151&lt;&gt;""""))))-1), IF('To Order'!$A2152=COL"&amp;"UMNS($A2152:I2171), I2151&amp;RIGHT(INDIRECT(ADDRESS(ROW(I2152)-1, 'From Order'!$A2152)), 1), I2151))"),"DDDVQZDMTTGMJRRL")</f>
        <v>DDDVQZDMTTGMJRRL</v>
      </c>
    </row>
    <row r="2153">
      <c r="A2153" s="2" t="str">
        <f>IFERROR(__xludf.DUMMYFUNCTION("IF('From Order'!$A2153=COLUMNS($A2153:A2172), LEFT(INDEX(FILTER(A$1:A2152, A$1:A2152&lt;&gt;""""),COUNTA(FILTER(A$1:A2152, A$1:A2152&lt;&gt;""""))), LEN(INDEX(FILTER(A$1:A2152, A$1:A2152&lt;&gt;""""),COUNTA(FILTER(A$1:A2152, A$1:A2152&lt;&gt;""""))))-1), IF('To Order'!$A2153=COL"&amp;"UMNS($A2153:A2172), A2152&amp;RIGHT(INDIRECT(ADDRESS(ROW(A2153)-1, 'From Order'!$A2153)), 1), A2152))"),"DSPBFLLW")</f>
        <v>DSPBFLLW</v>
      </c>
      <c r="B2153" s="2" t="str">
        <f>IFERROR(__xludf.DUMMYFUNCTION("IF('From Order'!$A2153=COLUMNS($A2153:B2172), LEFT(INDEX(FILTER(B$1:B2152, B$1:B2152&lt;&gt;""""),COUNTA(FILTER(B$1:B2152, B$1:B2152&lt;&gt;""""))), LEN(INDEX(FILTER(B$1:B2152, B$1:B2152&lt;&gt;""""),COUNTA(FILTER(B$1:B2152, B$1:B2152&lt;&gt;""""))))-1), IF('To Order'!$A2153=COL"&amp;"UMNS($A2153:B2172), B2152&amp;RIGHT(INDIRECT(ADDRESS(ROW(B2153)-1, 'From Order'!$A2153)), 1), B2152))"),"JDPS")</f>
        <v>JDPS</v>
      </c>
      <c r="C2153" s="2" t="str">
        <f>IFERROR(__xludf.DUMMYFUNCTION("IF('From Order'!$A2153=COLUMNS($A2153:C2172), LEFT(INDEX(FILTER(C$1:C2152, C$1:C2152&lt;&gt;""""),COUNTA(FILTER(C$1:C2152, C$1:C2152&lt;&gt;""""))), LEN(INDEX(FILTER(C$1:C2152, C$1:C2152&lt;&gt;""""),COUNTA(FILTER(C$1:C2152, C$1:C2152&lt;&gt;""""))))-1), IF('To Order'!$A2153=COL"&amp;"UMNS($A2153:C2172), C2152&amp;RIGHT(INDIRECT(ADDRESS(ROW(C2153)-1, 'From Order'!$A2153)), 1), C2152))"),"VBHC")</f>
        <v>VBHC</v>
      </c>
      <c r="D2153" s="2" t="str">
        <f>IFERROR(__xludf.DUMMYFUNCTION("IF('From Order'!$A2153=COLUMNS($A2153:D2172), LEFT(INDEX(FILTER(D$1:D2152, D$1:D2152&lt;&gt;""""),COUNTA(FILTER(D$1:D2152, D$1:D2152&lt;&gt;""""))), LEN(INDEX(FILTER(D$1:D2152, D$1:D2152&lt;&gt;""""),COUNTA(FILTER(D$1:D2152, D$1:D2152&lt;&gt;""""))))-1), IF('To Order'!$A2153=COL"&amp;"UMNS($A2153:D2172), D2152&amp;RIGHT(INDIRECT(ADDRESS(ROW(D2153)-1, 'From Order'!$A2153)), 1), D2152))"),"RBJVBRPHZMTS")</f>
        <v>RBJVBRPHZMTS</v>
      </c>
      <c r="E2153" s="2" t="str">
        <f>IFERROR(__xludf.DUMMYFUNCTION("IF('From Order'!$A2153=COLUMNS($A2153:E2172), LEFT(INDEX(FILTER(E$1:E2152, E$1:E2152&lt;&gt;""""),COUNTA(FILTER(E$1:E2152, E$1:E2152&lt;&gt;""""))), LEN(INDEX(FILTER(E$1:E2152, E$1:E2152&lt;&gt;""""),COUNTA(FILTER(E$1:E2152, E$1:E2152&lt;&gt;""""))))-1), IF('To Order'!$A2153=COL"&amp;"UMNS($A2153:E2172), E2152&amp;RIGHT(INDIRECT(ADDRESS(ROW(E2153)-1, 'From Order'!$A2153)), 1), E2152))"),"F")</f>
        <v>F</v>
      </c>
      <c r="F2153" s="2" t="str">
        <f>IFERROR(__xludf.DUMMYFUNCTION("IF('From Order'!$A2153=COLUMNS($A2153:F2172), LEFT(INDEX(FILTER(F$1:F2152, F$1:F2152&lt;&gt;""""),COUNTA(FILTER(F$1:F2152, F$1:F2152&lt;&gt;""""))), LEN(INDEX(FILTER(F$1:F2152, F$1:F2152&lt;&gt;""""),COUNTA(FILTER(F$1:F2152, F$1:F2152&lt;&gt;""""))))-1), IF('To Order'!$A2153=COL"&amp;"UMNS($A2153:F2172), F2152&amp;RIGHT(INDIRECT(ADDRESS(ROW(F2153)-1, 'From Order'!$A2153)), 1), F2152))"),"")</f>
        <v/>
      </c>
      <c r="G2153" s="2" t="str">
        <f>IFERROR(__xludf.DUMMYFUNCTION("IF('From Order'!$A2153=COLUMNS($A2153:G2172), LEFT(INDEX(FILTER(G$1:G2152, G$1:G2152&lt;&gt;""""),COUNTA(FILTER(G$1:G2152, G$1:G2152&lt;&gt;""""))), LEN(INDEX(FILTER(G$1:G2152, G$1:G2152&lt;&gt;""""),COUNTA(FILTER(G$1:G2152, G$1:G2152&lt;&gt;""""))))-1), IF('To Order'!$A2153=COL"&amp;"UMNS($A2153:G2172), G2152&amp;RIGHT(INDIRECT(ADDRESS(ROW(G2153)-1, 'From Order'!$A2153)), 1), G2152))"),"GW")</f>
        <v>GW</v>
      </c>
      <c r="H2153" s="2" t="str">
        <f>IFERROR(__xludf.DUMMYFUNCTION("IF('From Order'!$A2153=COLUMNS($A2153:H2172), LEFT(INDEX(FILTER(H$1:H2152, H$1:H2152&lt;&gt;""""),COUNTA(FILTER(H$1:H2152, H$1:H2152&lt;&gt;""""))), LEN(INDEX(FILTER(H$1:H2152, H$1:H2152&lt;&gt;""""),COUNTA(FILTER(H$1:H2152, H$1:H2152&lt;&gt;""""))))-1), IF('To Order'!$A2153=COL"&amp;"UMNS($A2153:H2172), H2152&amp;RIGHT(INDIRECT(ADDRESS(ROW(H2153)-1, 'From Order'!$A2153)), 1), H2152))"),"QTTCTRZCS")</f>
        <v>QTTCTRZCS</v>
      </c>
      <c r="I2153" s="2" t="str">
        <f>IFERROR(__xludf.DUMMYFUNCTION("IF('From Order'!$A2153=COLUMNS($A2153:I2172), LEFT(INDEX(FILTER(I$1:I2152, I$1:I2152&lt;&gt;""""),COUNTA(FILTER(I$1:I2152, I$1:I2152&lt;&gt;""""))), LEN(INDEX(FILTER(I$1:I2152, I$1:I2152&lt;&gt;""""),COUNTA(FILTER(I$1:I2152, I$1:I2152&lt;&gt;""""))))-1), IF('To Order'!$A2153=COL"&amp;"UMNS($A2153:I2172), I2152&amp;RIGHT(INDIRECT(ADDRESS(ROW(I2153)-1, 'From Order'!$A2153)), 1), I2152))"),"DDDVQZDMTTGMJRRL")</f>
        <v>DDDVQZDMTTGMJRRL</v>
      </c>
    </row>
    <row r="2154">
      <c r="A2154" s="2" t="str">
        <f>IFERROR(__xludf.DUMMYFUNCTION("IF('From Order'!$A2154=COLUMNS($A2154:A2173), LEFT(INDEX(FILTER(A$1:A2153, A$1:A2153&lt;&gt;""""),COUNTA(FILTER(A$1:A2153, A$1:A2153&lt;&gt;""""))), LEN(INDEX(FILTER(A$1:A2153, A$1:A2153&lt;&gt;""""),COUNTA(FILTER(A$1:A2153, A$1:A2153&lt;&gt;""""))))-1), IF('To Order'!$A2154=COL"&amp;"UMNS($A2154:A2173), A2153&amp;RIGHT(INDIRECT(ADDRESS(ROW(A2154)-1, 'From Order'!$A2154)), 1), A2153))"),"DSPBFLLW")</f>
        <v>DSPBFLLW</v>
      </c>
      <c r="B2154" s="2" t="str">
        <f>IFERROR(__xludf.DUMMYFUNCTION("IF('From Order'!$A2154=COLUMNS($A2154:B2173), LEFT(INDEX(FILTER(B$1:B2153, B$1:B2153&lt;&gt;""""),COUNTA(FILTER(B$1:B2153, B$1:B2153&lt;&gt;""""))), LEN(INDEX(FILTER(B$1:B2153, B$1:B2153&lt;&gt;""""),COUNTA(FILTER(B$1:B2153, B$1:B2153&lt;&gt;""""))))-1), IF('To Order'!$A2154=COL"&amp;"UMNS($A2154:B2173), B2153&amp;RIGHT(INDIRECT(ADDRESS(ROW(B2154)-1, 'From Order'!$A2154)), 1), B2153))"),"JDP")</f>
        <v>JDP</v>
      </c>
      <c r="C2154" s="2" t="str">
        <f>IFERROR(__xludf.DUMMYFUNCTION("IF('From Order'!$A2154=COLUMNS($A2154:C2173), LEFT(INDEX(FILTER(C$1:C2153, C$1:C2153&lt;&gt;""""),COUNTA(FILTER(C$1:C2153, C$1:C2153&lt;&gt;""""))), LEN(INDEX(FILTER(C$1:C2153, C$1:C2153&lt;&gt;""""),COUNTA(FILTER(C$1:C2153, C$1:C2153&lt;&gt;""""))))-1), IF('To Order'!$A2154=COL"&amp;"UMNS($A2154:C2173), C2153&amp;RIGHT(INDIRECT(ADDRESS(ROW(C2154)-1, 'From Order'!$A2154)), 1), C2153))"),"VBHC")</f>
        <v>VBHC</v>
      </c>
      <c r="D2154" s="2" t="str">
        <f>IFERROR(__xludf.DUMMYFUNCTION("IF('From Order'!$A2154=COLUMNS($A2154:D2173), LEFT(INDEX(FILTER(D$1:D2153, D$1:D2153&lt;&gt;""""),COUNTA(FILTER(D$1:D2153, D$1:D2153&lt;&gt;""""))), LEN(INDEX(FILTER(D$1:D2153, D$1:D2153&lt;&gt;""""),COUNTA(FILTER(D$1:D2153, D$1:D2153&lt;&gt;""""))))-1), IF('To Order'!$A2154=COL"&amp;"UMNS($A2154:D2173), D2153&amp;RIGHT(INDIRECT(ADDRESS(ROW(D2154)-1, 'From Order'!$A2154)), 1), D2153))"),"RBJVBRPHZMTSS")</f>
        <v>RBJVBRPHZMTSS</v>
      </c>
      <c r="E2154" s="2" t="str">
        <f>IFERROR(__xludf.DUMMYFUNCTION("IF('From Order'!$A2154=COLUMNS($A2154:E2173), LEFT(INDEX(FILTER(E$1:E2153, E$1:E2153&lt;&gt;""""),COUNTA(FILTER(E$1:E2153, E$1:E2153&lt;&gt;""""))), LEN(INDEX(FILTER(E$1:E2153, E$1:E2153&lt;&gt;""""),COUNTA(FILTER(E$1:E2153, E$1:E2153&lt;&gt;""""))))-1), IF('To Order'!$A2154=COL"&amp;"UMNS($A2154:E2173), E2153&amp;RIGHT(INDIRECT(ADDRESS(ROW(E2154)-1, 'From Order'!$A2154)), 1), E2153))"),"F")</f>
        <v>F</v>
      </c>
      <c r="F2154" s="2" t="str">
        <f>IFERROR(__xludf.DUMMYFUNCTION("IF('From Order'!$A2154=COLUMNS($A2154:F2173), LEFT(INDEX(FILTER(F$1:F2153, F$1:F2153&lt;&gt;""""),COUNTA(FILTER(F$1:F2153, F$1:F2153&lt;&gt;""""))), LEN(INDEX(FILTER(F$1:F2153, F$1:F2153&lt;&gt;""""),COUNTA(FILTER(F$1:F2153, F$1:F2153&lt;&gt;""""))))-1), IF('To Order'!$A2154=COL"&amp;"UMNS($A2154:F2173), F2153&amp;RIGHT(INDIRECT(ADDRESS(ROW(F2154)-1, 'From Order'!$A2154)), 1), F2153))"),"")</f>
        <v/>
      </c>
      <c r="G2154" s="2" t="str">
        <f>IFERROR(__xludf.DUMMYFUNCTION("IF('From Order'!$A2154=COLUMNS($A2154:G2173), LEFT(INDEX(FILTER(G$1:G2153, G$1:G2153&lt;&gt;""""),COUNTA(FILTER(G$1:G2153, G$1:G2153&lt;&gt;""""))), LEN(INDEX(FILTER(G$1:G2153, G$1:G2153&lt;&gt;""""),COUNTA(FILTER(G$1:G2153, G$1:G2153&lt;&gt;""""))))-1), IF('To Order'!$A2154=COL"&amp;"UMNS($A2154:G2173), G2153&amp;RIGHT(INDIRECT(ADDRESS(ROW(G2154)-1, 'From Order'!$A2154)), 1), G2153))"),"GW")</f>
        <v>GW</v>
      </c>
      <c r="H2154" s="2" t="str">
        <f>IFERROR(__xludf.DUMMYFUNCTION("IF('From Order'!$A2154=COLUMNS($A2154:H2173), LEFT(INDEX(FILTER(H$1:H2153, H$1:H2153&lt;&gt;""""),COUNTA(FILTER(H$1:H2153, H$1:H2153&lt;&gt;""""))), LEN(INDEX(FILTER(H$1:H2153, H$1:H2153&lt;&gt;""""),COUNTA(FILTER(H$1:H2153, H$1:H2153&lt;&gt;""""))))-1), IF('To Order'!$A2154=COL"&amp;"UMNS($A2154:H2173), H2153&amp;RIGHT(INDIRECT(ADDRESS(ROW(H2154)-1, 'From Order'!$A2154)), 1), H2153))"),"QTTCTRZCS")</f>
        <v>QTTCTRZCS</v>
      </c>
      <c r="I2154" s="2" t="str">
        <f>IFERROR(__xludf.DUMMYFUNCTION("IF('From Order'!$A2154=COLUMNS($A2154:I2173), LEFT(INDEX(FILTER(I$1:I2153, I$1:I2153&lt;&gt;""""),COUNTA(FILTER(I$1:I2153, I$1:I2153&lt;&gt;""""))), LEN(INDEX(FILTER(I$1:I2153, I$1:I2153&lt;&gt;""""),COUNTA(FILTER(I$1:I2153, I$1:I2153&lt;&gt;""""))))-1), IF('To Order'!$A2154=COL"&amp;"UMNS($A2154:I2173), I2153&amp;RIGHT(INDIRECT(ADDRESS(ROW(I2154)-1, 'From Order'!$A2154)), 1), I2153))"),"DDDVQZDMTTGMJRRL")</f>
        <v>DDDVQZDMTTGMJRRL</v>
      </c>
    </row>
    <row r="2155">
      <c r="A2155" s="2" t="str">
        <f>IFERROR(__xludf.DUMMYFUNCTION("IF('From Order'!$A2155=COLUMNS($A2155:A2174), LEFT(INDEX(FILTER(A$1:A2154, A$1:A2154&lt;&gt;""""),COUNTA(FILTER(A$1:A2154, A$1:A2154&lt;&gt;""""))), LEN(INDEX(FILTER(A$1:A2154, A$1:A2154&lt;&gt;""""),COUNTA(FILTER(A$1:A2154, A$1:A2154&lt;&gt;""""))))-1), IF('To Order'!$A2155=COL"&amp;"UMNS($A2155:A2174), A2154&amp;RIGHT(INDIRECT(ADDRESS(ROW(A2155)-1, 'From Order'!$A2155)), 1), A2154))"),"DSPBFLLW")</f>
        <v>DSPBFLLW</v>
      </c>
      <c r="B2155" s="2" t="str">
        <f>IFERROR(__xludf.DUMMYFUNCTION("IF('From Order'!$A2155=COLUMNS($A2155:B2174), LEFT(INDEX(FILTER(B$1:B2154, B$1:B2154&lt;&gt;""""),COUNTA(FILTER(B$1:B2154, B$1:B2154&lt;&gt;""""))), LEN(INDEX(FILTER(B$1:B2154, B$1:B2154&lt;&gt;""""),COUNTA(FILTER(B$1:B2154, B$1:B2154&lt;&gt;""""))))-1), IF('To Order'!$A2155=COL"&amp;"UMNS($A2155:B2174), B2154&amp;RIGHT(INDIRECT(ADDRESS(ROW(B2155)-1, 'From Order'!$A2155)), 1), B2154))"),"JD")</f>
        <v>JD</v>
      </c>
      <c r="C2155" s="2" t="str">
        <f>IFERROR(__xludf.DUMMYFUNCTION("IF('From Order'!$A2155=COLUMNS($A2155:C2174), LEFT(INDEX(FILTER(C$1:C2154, C$1:C2154&lt;&gt;""""),COUNTA(FILTER(C$1:C2154, C$1:C2154&lt;&gt;""""))), LEN(INDEX(FILTER(C$1:C2154, C$1:C2154&lt;&gt;""""),COUNTA(FILTER(C$1:C2154, C$1:C2154&lt;&gt;""""))))-1), IF('To Order'!$A2155=COL"&amp;"UMNS($A2155:C2174), C2154&amp;RIGHT(INDIRECT(ADDRESS(ROW(C2155)-1, 'From Order'!$A2155)), 1), C2154))"),"VBHC")</f>
        <v>VBHC</v>
      </c>
      <c r="D2155" s="2" t="str">
        <f>IFERROR(__xludf.DUMMYFUNCTION("IF('From Order'!$A2155=COLUMNS($A2155:D2174), LEFT(INDEX(FILTER(D$1:D2154, D$1:D2154&lt;&gt;""""),COUNTA(FILTER(D$1:D2154, D$1:D2154&lt;&gt;""""))), LEN(INDEX(FILTER(D$1:D2154, D$1:D2154&lt;&gt;""""),COUNTA(FILTER(D$1:D2154, D$1:D2154&lt;&gt;""""))))-1), IF('To Order'!$A2155=COL"&amp;"UMNS($A2155:D2174), D2154&amp;RIGHT(INDIRECT(ADDRESS(ROW(D2155)-1, 'From Order'!$A2155)), 1), D2154))"),"RBJVBRPHZMTSSP")</f>
        <v>RBJVBRPHZMTSSP</v>
      </c>
      <c r="E2155" s="2" t="str">
        <f>IFERROR(__xludf.DUMMYFUNCTION("IF('From Order'!$A2155=COLUMNS($A2155:E2174), LEFT(INDEX(FILTER(E$1:E2154, E$1:E2154&lt;&gt;""""),COUNTA(FILTER(E$1:E2154, E$1:E2154&lt;&gt;""""))), LEN(INDEX(FILTER(E$1:E2154, E$1:E2154&lt;&gt;""""),COUNTA(FILTER(E$1:E2154, E$1:E2154&lt;&gt;""""))))-1), IF('To Order'!$A2155=COL"&amp;"UMNS($A2155:E2174), E2154&amp;RIGHT(INDIRECT(ADDRESS(ROW(E2155)-1, 'From Order'!$A2155)), 1), E2154))"),"F")</f>
        <v>F</v>
      </c>
      <c r="F2155" s="2" t="str">
        <f>IFERROR(__xludf.DUMMYFUNCTION("IF('From Order'!$A2155=COLUMNS($A2155:F2174), LEFT(INDEX(FILTER(F$1:F2154, F$1:F2154&lt;&gt;""""),COUNTA(FILTER(F$1:F2154, F$1:F2154&lt;&gt;""""))), LEN(INDEX(FILTER(F$1:F2154, F$1:F2154&lt;&gt;""""),COUNTA(FILTER(F$1:F2154, F$1:F2154&lt;&gt;""""))))-1), IF('To Order'!$A2155=COL"&amp;"UMNS($A2155:F2174), F2154&amp;RIGHT(INDIRECT(ADDRESS(ROW(F2155)-1, 'From Order'!$A2155)), 1), F2154))"),"")</f>
        <v/>
      </c>
      <c r="G2155" s="2" t="str">
        <f>IFERROR(__xludf.DUMMYFUNCTION("IF('From Order'!$A2155=COLUMNS($A2155:G2174), LEFT(INDEX(FILTER(G$1:G2154, G$1:G2154&lt;&gt;""""),COUNTA(FILTER(G$1:G2154, G$1:G2154&lt;&gt;""""))), LEN(INDEX(FILTER(G$1:G2154, G$1:G2154&lt;&gt;""""),COUNTA(FILTER(G$1:G2154, G$1:G2154&lt;&gt;""""))))-1), IF('To Order'!$A2155=COL"&amp;"UMNS($A2155:G2174), G2154&amp;RIGHT(INDIRECT(ADDRESS(ROW(G2155)-1, 'From Order'!$A2155)), 1), G2154))"),"GW")</f>
        <v>GW</v>
      </c>
      <c r="H2155" s="2" t="str">
        <f>IFERROR(__xludf.DUMMYFUNCTION("IF('From Order'!$A2155=COLUMNS($A2155:H2174), LEFT(INDEX(FILTER(H$1:H2154, H$1:H2154&lt;&gt;""""),COUNTA(FILTER(H$1:H2154, H$1:H2154&lt;&gt;""""))), LEN(INDEX(FILTER(H$1:H2154, H$1:H2154&lt;&gt;""""),COUNTA(FILTER(H$1:H2154, H$1:H2154&lt;&gt;""""))))-1), IF('To Order'!$A2155=COL"&amp;"UMNS($A2155:H2174), H2154&amp;RIGHT(INDIRECT(ADDRESS(ROW(H2155)-1, 'From Order'!$A2155)), 1), H2154))"),"QTTCTRZCS")</f>
        <v>QTTCTRZCS</v>
      </c>
      <c r="I2155" s="2" t="str">
        <f>IFERROR(__xludf.DUMMYFUNCTION("IF('From Order'!$A2155=COLUMNS($A2155:I2174), LEFT(INDEX(FILTER(I$1:I2154, I$1:I2154&lt;&gt;""""),COUNTA(FILTER(I$1:I2154, I$1:I2154&lt;&gt;""""))), LEN(INDEX(FILTER(I$1:I2154, I$1:I2154&lt;&gt;""""),COUNTA(FILTER(I$1:I2154, I$1:I2154&lt;&gt;""""))))-1), IF('To Order'!$A2155=COL"&amp;"UMNS($A2155:I2174), I2154&amp;RIGHT(INDIRECT(ADDRESS(ROW(I2155)-1, 'From Order'!$A2155)), 1), I2154))"),"DDDVQZDMTTGMJRRL")</f>
        <v>DDDVQZDMTTGMJRRL</v>
      </c>
    </row>
    <row r="2156">
      <c r="A2156" s="2" t="str">
        <f>IFERROR(__xludf.DUMMYFUNCTION("IF('From Order'!$A2156=COLUMNS($A2156:A2175), LEFT(INDEX(FILTER(A$1:A2155, A$1:A2155&lt;&gt;""""),COUNTA(FILTER(A$1:A2155, A$1:A2155&lt;&gt;""""))), LEN(INDEX(FILTER(A$1:A2155, A$1:A2155&lt;&gt;""""),COUNTA(FILTER(A$1:A2155, A$1:A2155&lt;&gt;""""))))-1), IF('To Order'!$A2156=COL"&amp;"UMNS($A2156:A2175), A2155&amp;RIGHT(INDIRECT(ADDRESS(ROW(A2156)-1, 'From Order'!$A2156)), 1), A2155))"),"DSPBFLLW")</f>
        <v>DSPBFLLW</v>
      </c>
      <c r="B2156" s="2" t="str">
        <f>IFERROR(__xludf.DUMMYFUNCTION("IF('From Order'!$A2156=COLUMNS($A2156:B2175), LEFT(INDEX(FILTER(B$1:B2155, B$1:B2155&lt;&gt;""""),COUNTA(FILTER(B$1:B2155, B$1:B2155&lt;&gt;""""))), LEN(INDEX(FILTER(B$1:B2155, B$1:B2155&lt;&gt;""""),COUNTA(FILTER(B$1:B2155, B$1:B2155&lt;&gt;""""))))-1), IF('To Order'!$A2156=COL"&amp;"UMNS($A2156:B2175), B2155&amp;RIGHT(INDIRECT(ADDRESS(ROW(B2156)-1, 'From Order'!$A2156)), 1), B2155))"),"JD")</f>
        <v>JD</v>
      </c>
      <c r="C2156" s="2" t="str">
        <f>IFERROR(__xludf.DUMMYFUNCTION("IF('From Order'!$A2156=COLUMNS($A2156:C2175), LEFT(INDEX(FILTER(C$1:C2155, C$1:C2155&lt;&gt;""""),COUNTA(FILTER(C$1:C2155, C$1:C2155&lt;&gt;""""))), LEN(INDEX(FILTER(C$1:C2155, C$1:C2155&lt;&gt;""""),COUNTA(FILTER(C$1:C2155, C$1:C2155&lt;&gt;""""))))-1), IF('To Order'!$A2156=COL"&amp;"UMNS($A2156:C2175), C2155&amp;RIGHT(INDIRECT(ADDRESS(ROW(C2156)-1, 'From Order'!$A2156)), 1), C2155))"),"VBHC")</f>
        <v>VBHC</v>
      </c>
      <c r="D2156" s="2" t="str">
        <f>IFERROR(__xludf.DUMMYFUNCTION("IF('From Order'!$A2156=COLUMNS($A2156:D2175), LEFT(INDEX(FILTER(D$1:D2155, D$1:D2155&lt;&gt;""""),COUNTA(FILTER(D$1:D2155, D$1:D2155&lt;&gt;""""))), LEN(INDEX(FILTER(D$1:D2155, D$1:D2155&lt;&gt;""""),COUNTA(FILTER(D$1:D2155, D$1:D2155&lt;&gt;""""))))-1), IF('To Order'!$A2156=COL"&amp;"UMNS($A2156:D2175), D2155&amp;RIGHT(INDIRECT(ADDRESS(ROW(D2156)-1, 'From Order'!$A2156)), 1), D2155))"),"RBJVBRPHZMTSSPL")</f>
        <v>RBJVBRPHZMTSSPL</v>
      </c>
      <c r="E2156" s="2" t="str">
        <f>IFERROR(__xludf.DUMMYFUNCTION("IF('From Order'!$A2156=COLUMNS($A2156:E2175), LEFT(INDEX(FILTER(E$1:E2155, E$1:E2155&lt;&gt;""""),COUNTA(FILTER(E$1:E2155, E$1:E2155&lt;&gt;""""))), LEN(INDEX(FILTER(E$1:E2155, E$1:E2155&lt;&gt;""""),COUNTA(FILTER(E$1:E2155, E$1:E2155&lt;&gt;""""))))-1), IF('To Order'!$A2156=COL"&amp;"UMNS($A2156:E2175), E2155&amp;RIGHT(INDIRECT(ADDRESS(ROW(E2156)-1, 'From Order'!$A2156)), 1), E2155))"),"F")</f>
        <v>F</v>
      </c>
      <c r="F2156" s="2" t="str">
        <f>IFERROR(__xludf.DUMMYFUNCTION("IF('From Order'!$A2156=COLUMNS($A2156:F2175), LEFT(INDEX(FILTER(F$1:F2155, F$1:F2155&lt;&gt;""""),COUNTA(FILTER(F$1:F2155, F$1:F2155&lt;&gt;""""))), LEN(INDEX(FILTER(F$1:F2155, F$1:F2155&lt;&gt;""""),COUNTA(FILTER(F$1:F2155, F$1:F2155&lt;&gt;""""))))-1), IF('To Order'!$A2156=COL"&amp;"UMNS($A2156:F2175), F2155&amp;RIGHT(INDIRECT(ADDRESS(ROW(F2156)-1, 'From Order'!$A2156)), 1), F2155))"),"")</f>
        <v/>
      </c>
      <c r="G2156" s="2" t="str">
        <f>IFERROR(__xludf.DUMMYFUNCTION("IF('From Order'!$A2156=COLUMNS($A2156:G2175), LEFT(INDEX(FILTER(G$1:G2155, G$1:G2155&lt;&gt;""""),COUNTA(FILTER(G$1:G2155, G$1:G2155&lt;&gt;""""))), LEN(INDEX(FILTER(G$1:G2155, G$1:G2155&lt;&gt;""""),COUNTA(FILTER(G$1:G2155, G$1:G2155&lt;&gt;""""))))-1), IF('To Order'!$A2156=COL"&amp;"UMNS($A2156:G2175), G2155&amp;RIGHT(INDIRECT(ADDRESS(ROW(G2156)-1, 'From Order'!$A2156)), 1), G2155))"),"GW")</f>
        <v>GW</v>
      </c>
      <c r="H2156" s="2" t="str">
        <f>IFERROR(__xludf.DUMMYFUNCTION("IF('From Order'!$A2156=COLUMNS($A2156:H2175), LEFT(INDEX(FILTER(H$1:H2155, H$1:H2155&lt;&gt;""""),COUNTA(FILTER(H$1:H2155, H$1:H2155&lt;&gt;""""))), LEN(INDEX(FILTER(H$1:H2155, H$1:H2155&lt;&gt;""""),COUNTA(FILTER(H$1:H2155, H$1:H2155&lt;&gt;""""))))-1), IF('To Order'!$A2156=COL"&amp;"UMNS($A2156:H2175), H2155&amp;RIGHT(INDIRECT(ADDRESS(ROW(H2156)-1, 'From Order'!$A2156)), 1), H2155))"),"QTTCTRZCS")</f>
        <v>QTTCTRZCS</v>
      </c>
      <c r="I2156" s="2" t="str">
        <f>IFERROR(__xludf.DUMMYFUNCTION("IF('From Order'!$A2156=COLUMNS($A2156:I2175), LEFT(INDEX(FILTER(I$1:I2155, I$1:I2155&lt;&gt;""""),COUNTA(FILTER(I$1:I2155, I$1:I2155&lt;&gt;""""))), LEN(INDEX(FILTER(I$1:I2155, I$1:I2155&lt;&gt;""""),COUNTA(FILTER(I$1:I2155, I$1:I2155&lt;&gt;""""))))-1), IF('To Order'!$A2156=COL"&amp;"UMNS($A2156:I2175), I2155&amp;RIGHT(INDIRECT(ADDRESS(ROW(I2156)-1, 'From Order'!$A2156)), 1), I2155))"),"DDDVQZDMTTGMJRR")</f>
        <v>DDDVQZDMTTGMJRR</v>
      </c>
    </row>
    <row r="2157">
      <c r="A2157" s="2" t="str">
        <f>IFERROR(__xludf.DUMMYFUNCTION("IF('From Order'!$A2157=COLUMNS($A2157:A2176), LEFT(INDEX(FILTER(A$1:A2156, A$1:A2156&lt;&gt;""""),COUNTA(FILTER(A$1:A2156, A$1:A2156&lt;&gt;""""))), LEN(INDEX(FILTER(A$1:A2156, A$1:A2156&lt;&gt;""""),COUNTA(FILTER(A$1:A2156, A$1:A2156&lt;&gt;""""))))-1), IF('To Order'!$A2157=COL"&amp;"UMNS($A2157:A2176), A2156&amp;RIGHT(INDIRECT(ADDRESS(ROW(A2157)-1, 'From Order'!$A2157)), 1), A2156))"),"DSPBFLLW")</f>
        <v>DSPBFLLW</v>
      </c>
      <c r="B2157" s="2" t="str">
        <f>IFERROR(__xludf.DUMMYFUNCTION("IF('From Order'!$A2157=COLUMNS($A2157:B2176), LEFT(INDEX(FILTER(B$1:B2156, B$1:B2156&lt;&gt;""""),COUNTA(FILTER(B$1:B2156, B$1:B2156&lt;&gt;""""))), LEN(INDEX(FILTER(B$1:B2156, B$1:B2156&lt;&gt;""""),COUNTA(FILTER(B$1:B2156, B$1:B2156&lt;&gt;""""))))-1), IF('To Order'!$A2157=COL"&amp;"UMNS($A2157:B2176), B2156&amp;RIGHT(INDIRECT(ADDRESS(ROW(B2157)-1, 'From Order'!$A2157)), 1), B2156))"),"JD")</f>
        <v>JD</v>
      </c>
      <c r="C2157" s="2" t="str">
        <f>IFERROR(__xludf.DUMMYFUNCTION("IF('From Order'!$A2157=COLUMNS($A2157:C2176), LEFT(INDEX(FILTER(C$1:C2156, C$1:C2156&lt;&gt;""""),COUNTA(FILTER(C$1:C2156, C$1:C2156&lt;&gt;""""))), LEN(INDEX(FILTER(C$1:C2156, C$1:C2156&lt;&gt;""""),COUNTA(FILTER(C$1:C2156, C$1:C2156&lt;&gt;""""))))-1), IF('To Order'!$A2157=COL"&amp;"UMNS($A2157:C2176), C2156&amp;RIGHT(INDIRECT(ADDRESS(ROW(C2157)-1, 'From Order'!$A2157)), 1), C2156))"),"VBHC")</f>
        <v>VBHC</v>
      </c>
      <c r="D2157" s="2" t="str">
        <f>IFERROR(__xludf.DUMMYFUNCTION("IF('From Order'!$A2157=COLUMNS($A2157:D2176), LEFT(INDEX(FILTER(D$1:D2156, D$1:D2156&lt;&gt;""""),COUNTA(FILTER(D$1:D2156, D$1:D2156&lt;&gt;""""))), LEN(INDEX(FILTER(D$1:D2156, D$1:D2156&lt;&gt;""""),COUNTA(FILTER(D$1:D2156, D$1:D2156&lt;&gt;""""))))-1), IF('To Order'!$A2157=COL"&amp;"UMNS($A2157:D2176), D2156&amp;RIGHT(INDIRECT(ADDRESS(ROW(D2157)-1, 'From Order'!$A2157)), 1), D2156))"),"RBJVBRPHZMTSSPLR")</f>
        <v>RBJVBRPHZMTSSPLR</v>
      </c>
      <c r="E2157" s="2" t="str">
        <f>IFERROR(__xludf.DUMMYFUNCTION("IF('From Order'!$A2157=COLUMNS($A2157:E2176), LEFT(INDEX(FILTER(E$1:E2156, E$1:E2156&lt;&gt;""""),COUNTA(FILTER(E$1:E2156, E$1:E2156&lt;&gt;""""))), LEN(INDEX(FILTER(E$1:E2156, E$1:E2156&lt;&gt;""""),COUNTA(FILTER(E$1:E2156, E$1:E2156&lt;&gt;""""))))-1), IF('To Order'!$A2157=COL"&amp;"UMNS($A2157:E2176), E2156&amp;RIGHT(INDIRECT(ADDRESS(ROW(E2157)-1, 'From Order'!$A2157)), 1), E2156))"),"F")</f>
        <v>F</v>
      </c>
      <c r="F2157" s="2" t="str">
        <f>IFERROR(__xludf.DUMMYFUNCTION("IF('From Order'!$A2157=COLUMNS($A2157:F2176), LEFT(INDEX(FILTER(F$1:F2156, F$1:F2156&lt;&gt;""""),COUNTA(FILTER(F$1:F2156, F$1:F2156&lt;&gt;""""))), LEN(INDEX(FILTER(F$1:F2156, F$1:F2156&lt;&gt;""""),COUNTA(FILTER(F$1:F2156, F$1:F2156&lt;&gt;""""))))-1), IF('To Order'!$A2157=COL"&amp;"UMNS($A2157:F2176), F2156&amp;RIGHT(INDIRECT(ADDRESS(ROW(F2157)-1, 'From Order'!$A2157)), 1), F2156))"),"")</f>
        <v/>
      </c>
      <c r="G2157" s="2" t="str">
        <f>IFERROR(__xludf.DUMMYFUNCTION("IF('From Order'!$A2157=COLUMNS($A2157:G2176), LEFT(INDEX(FILTER(G$1:G2156, G$1:G2156&lt;&gt;""""),COUNTA(FILTER(G$1:G2156, G$1:G2156&lt;&gt;""""))), LEN(INDEX(FILTER(G$1:G2156, G$1:G2156&lt;&gt;""""),COUNTA(FILTER(G$1:G2156, G$1:G2156&lt;&gt;""""))))-1), IF('To Order'!$A2157=COL"&amp;"UMNS($A2157:G2176), G2156&amp;RIGHT(INDIRECT(ADDRESS(ROW(G2157)-1, 'From Order'!$A2157)), 1), G2156))"),"GW")</f>
        <v>GW</v>
      </c>
      <c r="H2157" s="2" t="str">
        <f>IFERROR(__xludf.DUMMYFUNCTION("IF('From Order'!$A2157=COLUMNS($A2157:H2176), LEFT(INDEX(FILTER(H$1:H2156, H$1:H2156&lt;&gt;""""),COUNTA(FILTER(H$1:H2156, H$1:H2156&lt;&gt;""""))), LEN(INDEX(FILTER(H$1:H2156, H$1:H2156&lt;&gt;""""),COUNTA(FILTER(H$1:H2156, H$1:H2156&lt;&gt;""""))))-1), IF('To Order'!$A2157=COL"&amp;"UMNS($A2157:H2176), H2156&amp;RIGHT(INDIRECT(ADDRESS(ROW(H2157)-1, 'From Order'!$A2157)), 1), H2156))"),"QTTCTRZCS")</f>
        <v>QTTCTRZCS</v>
      </c>
      <c r="I2157" s="2" t="str">
        <f>IFERROR(__xludf.DUMMYFUNCTION("IF('From Order'!$A2157=COLUMNS($A2157:I2176), LEFT(INDEX(FILTER(I$1:I2156, I$1:I2156&lt;&gt;""""),COUNTA(FILTER(I$1:I2156, I$1:I2156&lt;&gt;""""))), LEN(INDEX(FILTER(I$1:I2156, I$1:I2156&lt;&gt;""""),COUNTA(FILTER(I$1:I2156, I$1:I2156&lt;&gt;""""))))-1), IF('To Order'!$A2157=COL"&amp;"UMNS($A2157:I2176), I2156&amp;RIGHT(INDIRECT(ADDRESS(ROW(I2157)-1, 'From Order'!$A2157)), 1), I2156))"),"DDDVQZDMTTGMJR")</f>
        <v>DDDVQZDMTTGMJR</v>
      </c>
    </row>
    <row r="2158">
      <c r="A2158" s="2" t="str">
        <f>IFERROR(__xludf.DUMMYFUNCTION("IF('From Order'!$A2158=COLUMNS($A2158:A2177), LEFT(INDEX(FILTER(A$1:A2157, A$1:A2157&lt;&gt;""""),COUNTA(FILTER(A$1:A2157, A$1:A2157&lt;&gt;""""))), LEN(INDEX(FILTER(A$1:A2157, A$1:A2157&lt;&gt;""""),COUNTA(FILTER(A$1:A2157, A$1:A2157&lt;&gt;""""))))-1), IF('To Order'!$A2158=COL"&amp;"UMNS($A2158:A2177), A2157&amp;RIGHT(INDIRECT(ADDRESS(ROW(A2158)-1, 'From Order'!$A2158)), 1), A2157))"),"DSPBFLLW")</f>
        <v>DSPBFLLW</v>
      </c>
      <c r="B2158" s="2" t="str">
        <f>IFERROR(__xludf.DUMMYFUNCTION("IF('From Order'!$A2158=COLUMNS($A2158:B2177), LEFT(INDEX(FILTER(B$1:B2157, B$1:B2157&lt;&gt;""""),COUNTA(FILTER(B$1:B2157, B$1:B2157&lt;&gt;""""))), LEN(INDEX(FILTER(B$1:B2157, B$1:B2157&lt;&gt;""""),COUNTA(FILTER(B$1:B2157, B$1:B2157&lt;&gt;""""))))-1), IF('To Order'!$A2158=COL"&amp;"UMNS($A2158:B2177), B2157&amp;RIGHT(INDIRECT(ADDRESS(ROW(B2158)-1, 'From Order'!$A2158)), 1), B2157))"),"JD")</f>
        <v>JD</v>
      </c>
      <c r="C2158" s="2" t="str">
        <f>IFERROR(__xludf.DUMMYFUNCTION("IF('From Order'!$A2158=COLUMNS($A2158:C2177), LEFT(INDEX(FILTER(C$1:C2157, C$1:C2157&lt;&gt;""""),COUNTA(FILTER(C$1:C2157, C$1:C2157&lt;&gt;""""))), LEN(INDEX(FILTER(C$1:C2157, C$1:C2157&lt;&gt;""""),COUNTA(FILTER(C$1:C2157, C$1:C2157&lt;&gt;""""))))-1), IF('To Order'!$A2158=COL"&amp;"UMNS($A2158:C2177), C2157&amp;RIGHT(INDIRECT(ADDRESS(ROW(C2158)-1, 'From Order'!$A2158)), 1), C2157))"),"VBHC")</f>
        <v>VBHC</v>
      </c>
      <c r="D2158" s="2" t="str">
        <f>IFERROR(__xludf.DUMMYFUNCTION("IF('From Order'!$A2158=COLUMNS($A2158:D2177), LEFT(INDEX(FILTER(D$1:D2157, D$1:D2157&lt;&gt;""""),COUNTA(FILTER(D$1:D2157, D$1:D2157&lt;&gt;""""))), LEN(INDEX(FILTER(D$1:D2157, D$1:D2157&lt;&gt;""""),COUNTA(FILTER(D$1:D2157, D$1:D2157&lt;&gt;""""))))-1), IF('To Order'!$A2158=COL"&amp;"UMNS($A2158:D2177), D2157&amp;RIGHT(INDIRECT(ADDRESS(ROW(D2158)-1, 'From Order'!$A2158)), 1), D2157))"),"RBJVBRPHZMTSSPLRR")</f>
        <v>RBJVBRPHZMTSSPLRR</v>
      </c>
      <c r="E2158" s="2" t="str">
        <f>IFERROR(__xludf.DUMMYFUNCTION("IF('From Order'!$A2158=COLUMNS($A2158:E2177), LEFT(INDEX(FILTER(E$1:E2157, E$1:E2157&lt;&gt;""""),COUNTA(FILTER(E$1:E2157, E$1:E2157&lt;&gt;""""))), LEN(INDEX(FILTER(E$1:E2157, E$1:E2157&lt;&gt;""""),COUNTA(FILTER(E$1:E2157, E$1:E2157&lt;&gt;""""))))-1), IF('To Order'!$A2158=COL"&amp;"UMNS($A2158:E2177), E2157&amp;RIGHT(INDIRECT(ADDRESS(ROW(E2158)-1, 'From Order'!$A2158)), 1), E2157))"),"F")</f>
        <v>F</v>
      </c>
      <c r="F2158" s="2" t="str">
        <f>IFERROR(__xludf.DUMMYFUNCTION("IF('From Order'!$A2158=COLUMNS($A2158:F2177), LEFT(INDEX(FILTER(F$1:F2157, F$1:F2157&lt;&gt;""""),COUNTA(FILTER(F$1:F2157, F$1:F2157&lt;&gt;""""))), LEN(INDEX(FILTER(F$1:F2157, F$1:F2157&lt;&gt;""""),COUNTA(FILTER(F$1:F2157, F$1:F2157&lt;&gt;""""))))-1), IF('To Order'!$A2158=COL"&amp;"UMNS($A2158:F2177), F2157&amp;RIGHT(INDIRECT(ADDRESS(ROW(F2158)-1, 'From Order'!$A2158)), 1), F2157))"),"")</f>
        <v/>
      </c>
      <c r="G2158" s="2" t="str">
        <f>IFERROR(__xludf.DUMMYFUNCTION("IF('From Order'!$A2158=COLUMNS($A2158:G2177), LEFT(INDEX(FILTER(G$1:G2157, G$1:G2157&lt;&gt;""""),COUNTA(FILTER(G$1:G2157, G$1:G2157&lt;&gt;""""))), LEN(INDEX(FILTER(G$1:G2157, G$1:G2157&lt;&gt;""""),COUNTA(FILTER(G$1:G2157, G$1:G2157&lt;&gt;""""))))-1), IF('To Order'!$A2158=COL"&amp;"UMNS($A2158:G2177), G2157&amp;RIGHT(INDIRECT(ADDRESS(ROW(G2158)-1, 'From Order'!$A2158)), 1), G2157))"),"GW")</f>
        <v>GW</v>
      </c>
      <c r="H2158" s="2" t="str">
        <f>IFERROR(__xludf.DUMMYFUNCTION("IF('From Order'!$A2158=COLUMNS($A2158:H2177), LEFT(INDEX(FILTER(H$1:H2157, H$1:H2157&lt;&gt;""""),COUNTA(FILTER(H$1:H2157, H$1:H2157&lt;&gt;""""))), LEN(INDEX(FILTER(H$1:H2157, H$1:H2157&lt;&gt;""""),COUNTA(FILTER(H$1:H2157, H$1:H2157&lt;&gt;""""))))-1), IF('To Order'!$A2158=COL"&amp;"UMNS($A2158:H2177), H2157&amp;RIGHT(INDIRECT(ADDRESS(ROW(H2158)-1, 'From Order'!$A2158)), 1), H2157))"),"QTTCTRZCS")</f>
        <v>QTTCTRZCS</v>
      </c>
      <c r="I2158" s="2" t="str">
        <f>IFERROR(__xludf.DUMMYFUNCTION("IF('From Order'!$A2158=COLUMNS($A2158:I2177), LEFT(INDEX(FILTER(I$1:I2157, I$1:I2157&lt;&gt;""""),COUNTA(FILTER(I$1:I2157, I$1:I2157&lt;&gt;""""))), LEN(INDEX(FILTER(I$1:I2157, I$1:I2157&lt;&gt;""""),COUNTA(FILTER(I$1:I2157, I$1:I2157&lt;&gt;""""))))-1), IF('To Order'!$A2158=COL"&amp;"UMNS($A2158:I2177), I2157&amp;RIGHT(INDIRECT(ADDRESS(ROW(I2158)-1, 'From Order'!$A2158)), 1), I2157))"),"DDDVQZDMTTGMJ")</f>
        <v>DDDVQZDMTTGMJ</v>
      </c>
    </row>
    <row r="2159">
      <c r="A2159" s="2" t="str">
        <f>IFERROR(__xludf.DUMMYFUNCTION("IF('From Order'!$A2159=COLUMNS($A2159:A2178), LEFT(INDEX(FILTER(A$1:A2158, A$1:A2158&lt;&gt;""""),COUNTA(FILTER(A$1:A2158, A$1:A2158&lt;&gt;""""))), LEN(INDEX(FILTER(A$1:A2158, A$1:A2158&lt;&gt;""""),COUNTA(FILTER(A$1:A2158, A$1:A2158&lt;&gt;""""))))-1), IF('To Order'!$A2159=COL"&amp;"UMNS($A2159:A2178), A2158&amp;RIGHT(INDIRECT(ADDRESS(ROW(A2159)-1, 'From Order'!$A2159)), 1), A2158))"),"DSPBFLLW")</f>
        <v>DSPBFLLW</v>
      </c>
      <c r="B2159" s="2" t="str">
        <f>IFERROR(__xludf.DUMMYFUNCTION("IF('From Order'!$A2159=COLUMNS($A2159:B2178), LEFT(INDEX(FILTER(B$1:B2158, B$1:B2158&lt;&gt;""""),COUNTA(FILTER(B$1:B2158, B$1:B2158&lt;&gt;""""))), LEN(INDEX(FILTER(B$1:B2158, B$1:B2158&lt;&gt;""""),COUNTA(FILTER(B$1:B2158, B$1:B2158&lt;&gt;""""))))-1), IF('To Order'!$A2159=COL"&amp;"UMNS($A2159:B2178), B2158&amp;RIGHT(INDIRECT(ADDRESS(ROW(B2159)-1, 'From Order'!$A2159)), 1), B2158))"),"JD")</f>
        <v>JD</v>
      </c>
      <c r="C2159" s="2" t="str">
        <f>IFERROR(__xludf.DUMMYFUNCTION("IF('From Order'!$A2159=COLUMNS($A2159:C2178), LEFT(INDEX(FILTER(C$1:C2158, C$1:C2158&lt;&gt;""""),COUNTA(FILTER(C$1:C2158, C$1:C2158&lt;&gt;""""))), LEN(INDEX(FILTER(C$1:C2158, C$1:C2158&lt;&gt;""""),COUNTA(FILTER(C$1:C2158, C$1:C2158&lt;&gt;""""))))-1), IF('To Order'!$A2159=COL"&amp;"UMNS($A2159:C2178), C2158&amp;RIGHT(INDIRECT(ADDRESS(ROW(C2159)-1, 'From Order'!$A2159)), 1), C2158))"),"VBHC")</f>
        <v>VBHC</v>
      </c>
      <c r="D2159" s="2" t="str">
        <f>IFERROR(__xludf.DUMMYFUNCTION("IF('From Order'!$A2159=COLUMNS($A2159:D2178), LEFT(INDEX(FILTER(D$1:D2158, D$1:D2158&lt;&gt;""""),COUNTA(FILTER(D$1:D2158, D$1:D2158&lt;&gt;""""))), LEN(INDEX(FILTER(D$1:D2158, D$1:D2158&lt;&gt;""""),COUNTA(FILTER(D$1:D2158, D$1:D2158&lt;&gt;""""))))-1), IF('To Order'!$A2159=COL"&amp;"UMNS($A2159:D2178), D2158&amp;RIGHT(INDIRECT(ADDRESS(ROW(D2159)-1, 'From Order'!$A2159)), 1), D2158))"),"RBJVBRPHZMTSSPLRRJ")</f>
        <v>RBJVBRPHZMTSSPLRRJ</v>
      </c>
      <c r="E2159" s="2" t="str">
        <f>IFERROR(__xludf.DUMMYFUNCTION("IF('From Order'!$A2159=COLUMNS($A2159:E2178), LEFT(INDEX(FILTER(E$1:E2158, E$1:E2158&lt;&gt;""""),COUNTA(FILTER(E$1:E2158, E$1:E2158&lt;&gt;""""))), LEN(INDEX(FILTER(E$1:E2158, E$1:E2158&lt;&gt;""""),COUNTA(FILTER(E$1:E2158, E$1:E2158&lt;&gt;""""))))-1), IF('To Order'!$A2159=COL"&amp;"UMNS($A2159:E2178), E2158&amp;RIGHT(INDIRECT(ADDRESS(ROW(E2159)-1, 'From Order'!$A2159)), 1), E2158))"),"F")</f>
        <v>F</v>
      </c>
      <c r="F2159" s="2" t="str">
        <f>IFERROR(__xludf.DUMMYFUNCTION("IF('From Order'!$A2159=COLUMNS($A2159:F2178), LEFT(INDEX(FILTER(F$1:F2158, F$1:F2158&lt;&gt;""""),COUNTA(FILTER(F$1:F2158, F$1:F2158&lt;&gt;""""))), LEN(INDEX(FILTER(F$1:F2158, F$1:F2158&lt;&gt;""""),COUNTA(FILTER(F$1:F2158, F$1:F2158&lt;&gt;""""))))-1), IF('To Order'!$A2159=COL"&amp;"UMNS($A2159:F2178), F2158&amp;RIGHT(INDIRECT(ADDRESS(ROW(F2159)-1, 'From Order'!$A2159)), 1), F2158))"),"")</f>
        <v/>
      </c>
      <c r="G2159" s="2" t="str">
        <f>IFERROR(__xludf.DUMMYFUNCTION("IF('From Order'!$A2159=COLUMNS($A2159:G2178), LEFT(INDEX(FILTER(G$1:G2158, G$1:G2158&lt;&gt;""""),COUNTA(FILTER(G$1:G2158, G$1:G2158&lt;&gt;""""))), LEN(INDEX(FILTER(G$1:G2158, G$1:G2158&lt;&gt;""""),COUNTA(FILTER(G$1:G2158, G$1:G2158&lt;&gt;""""))))-1), IF('To Order'!$A2159=COL"&amp;"UMNS($A2159:G2178), G2158&amp;RIGHT(INDIRECT(ADDRESS(ROW(G2159)-1, 'From Order'!$A2159)), 1), G2158))"),"GW")</f>
        <v>GW</v>
      </c>
      <c r="H2159" s="2" t="str">
        <f>IFERROR(__xludf.DUMMYFUNCTION("IF('From Order'!$A2159=COLUMNS($A2159:H2178), LEFT(INDEX(FILTER(H$1:H2158, H$1:H2158&lt;&gt;""""),COUNTA(FILTER(H$1:H2158, H$1:H2158&lt;&gt;""""))), LEN(INDEX(FILTER(H$1:H2158, H$1:H2158&lt;&gt;""""),COUNTA(FILTER(H$1:H2158, H$1:H2158&lt;&gt;""""))))-1), IF('To Order'!$A2159=COL"&amp;"UMNS($A2159:H2178), H2158&amp;RIGHT(INDIRECT(ADDRESS(ROW(H2159)-1, 'From Order'!$A2159)), 1), H2158))"),"QTTCTRZCS")</f>
        <v>QTTCTRZCS</v>
      </c>
      <c r="I2159" s="2" t="str">
        <f>IFERROR(__xludf.DUMMYFUNCTION("IF('From Order'!$A2159=COLUMNS($A2159:I2178), LEFT(INDEX(FILTER(I$1:I2158, I$1:I2158&lt;&gt;""""),COUNTA(FILTER(I$1:I2158, I$1:I2158&lt;&gt;""""))), LEN(INDEX(FILTER(I$1:I2158, I$1:I2158&lt;&gt;""""),COUNTA(FILTER(I$1:I2158, I$1:I2158&lt;&gt;""""))))-1), IF('To Order'!$A2159=COL"&amp;"UMNS($A2159:I2178), I2158&amp;RIGHT(INDIRECT(ADDRESS(ROW(I2159)-1, 'From Order'!$A2159)), 1), I2158))"),"DDDVQZDMTTGM")</f>
        <v>DDDVQZDMTTGM</v>
      </c>
    </row>
    <row r="2160">
      <c r="A2160" s="2" t="str">
        <f>IFERROR(__xludf.DUMMYFUNCTION("IF('From Order'!$A2160=COLUMNS($A2160:A2179), LEFT(INDEX(FILTER(A$1:A2159, A$1:A2159&lt;&gt;""""),COUNTA(FILTER(A$1:A2159, A$1:A2159&lt;&gt;""""))), LEN(INDEX(FILTER(A$1:A2159, A$1:A2159&lt;&gt;""""),COUNTA(FILTER(A$1:A2159, A$1:A2159&lt;&gt;""""))))-1), IF('To Order'!$A2160=COL"&amp;"UMNS($A2160:A2179), A2159&amp;RIGHT(INDIRECT(ADDRESS(ROW(A2160)-1, 'From Order'!$A2160)), 1), A2159))"),"DSPBFLLW")</f>
        <v>DSPBFLLW</v>
      </c>
      <c r="B2160" s="2" t="str">
        <f>IFERROR(__xludf.DUMMYFUNCTION("IF('From Order'!$A2160=COLUMNS($A2160:B2179), LEFT(INDEX(FILTER(B$1:B2159, B$1:B2159&lt;&gt;""""),COUNTA(FILTER(B$1:B2159, B$1:B2159&lt;&gt;""""))), LEN(INDEX(FILTER(B$1:B2159, B$1:B2159&lt;&gt;""""),COUNTA(FILTER(B$1:B2159, B$1:B2159&lt;&gt;""""))))-1), IF('To Order'!$A2160=COL"&amp;"UMNS($A2160:B2179), B2159&amp;RIGHT(INDIRECT(ADDRESS(ROW(B2160)-1, 'From Order'!$A2160)), 1), B2159))"),"JD")</f>
        <v>JD</v>
      </c>
      <c r="C2160" s="2" t="str">
        <f>IFERROR(__xludf.DUMMYFUNCTION("IF('From Order'!$A2160=COLUMNS($A2160:C2179), LEFT(INDEX(FILTER(C$1:C2159, C$1:C2159&lt;&gt;""""),COUNTA(FILTER(C$1:C2159, C$1:C2159&lt;&gt;""""))), LEN(INDEX(FILTER(C$1:C2159, C$1:C2159&lt;&gt;""""),COUNTA(FILTER(C$1:C2159, C$1:C2159&lt;&gt;""""))))-1), IF('To Order'!$A2160=COL"&amp;"UMNS($A2160:C2179), C2159&amp;RIGHT(INDIRECT(ADDRESS(ROW(C2160)-1, 'From Order'!$A2160)), 1), C2159))"),"VBHC")</f>
        <v>VBHC</v>
      </c>
      <c r="D2160" s="2" t="str">
        <f>IFERROR(__xludf.DUMMYFUNCTION("IF('From Order'!$A2160=COLUMNS($A2160:D2179), LEFT(INDEX(FILTER(D$1:D2159, D$1:D2159&lt;&gt;""""),COUNTA(FILTER(D$1:D2159, D$1:D2159&lt;&gt;""""))), LEN(INDEX(FILTER(D$1:D2159, D$1:D2159&lt;&gt;""""),COUNTA(FILTER(D$1:D2159, D$1:D2159&lt;&gt;""""))))-1), IF('To Order'!$A2160=COL"&amp;"UMNS($A2160:D2179), D2159&amp;RIGHT(INDIRECT(ADDRESS(ROW(D2160)-1, 'From Order'!$A2160)), 1), D2159))"),"RBJVBRPHZMTSSPLRRJM")</f>
        <v>RBJVBRPHZMTSSPLRRJM</v>
      </c>
      <c r="E2160" s="2" t="str">
        <f>IFERROR(__xludf.DUMMYFUNCTION("IF('From Order'!$A2160=COLUMNS($A2160:E2179), LEFT(INDEX(FILTER(E$1:E2159, E$1:E2159&lt;&gt;""""),COUNTA(FILTER(E$1:E2159, E$1:E2159&lt;&gt;""""))), LEN(INDEX(FILTER(E$1:E2159, E$1:E2159&lt;&gt;""""),COUNTA(FILTER(E$1:E2159, E$1:E2159&lt;&gt;""""))))-1), IF('To Order'!$A2160=COL"&amp;"UMNS($A2160:E2179), E2159&amp;RIGHT(INDIRECT(ADDRESS(ROW(E2160)-1, 'From Order'!$A2160)), 1), E2159))"),"F")</f>
        <v>F</v>
      </c>
      <c r="F2160" s="2" t="str">
        <f>IFERROR(__xludf.DUMMYFUNCTION("IF('From Order'!$A2160=COLUMNS($A2160:F2179), LEFT(INDEX(FILTER(F$1:F2159, F$1:F2159&lt;&gt;""""),COUNTA(FILTER(F$1:F2159, F$1:F2159&lt;&gt;""""))), LEN(INDEX(FILTER(F$1:F2159, F$1:F2159&lt;&gt;""""),COUNTA(FILTER(F$1:F2159, F$1:F2159&lt;&gt;""""))))-1), IF('To Order'!$A2160=COL"&amp;"UMNS($A2160:F2179), F2159&amp;RIGHT(INDIRECT(ADDRESS(ROW(F2160)-1, 'From Order'!$A2160)), 1), F2159))"),"")</f>
        <v/>
      </c>
      <c r="G2160" s="2" t="str">
        <f>IFERROR(__xludf.DUMMYFUNCTION("IF('From Order'!$A2160=COLUMNS($A2160:G2179), LEFT(INDEX(FILTER(G$1:G2159, G$1:G2159&lt;&gt;""""),COUNTA(FILTER(G$1:G2159, G$1:G2159&lt;&gt;""""))), LEN(INDEX(FILTER(G$1:G2159, G$1:G2159&lt;&gt;""""),COUNTA(FILTER(G$1:G2159, G$1:G2159&lt;&gt;""""))))-1), IF('To Order'!$A2160=COL"&amp;"UMNS($A2160:G2179), G2159&amp;RIGHT(INDIRECT(ADDRESS(ROW(G2160)-1, 'From Order'!$A2160)), 1), G2159))"),"GW")</f>
        <v>GW</v>
      </c>
      <c r="H2160" s="2" t="str">
        <f>IFERROR(__xludf.DUMMYFUNCTION("IF('From Order'!$A2160=COLUMNS($A2160:H2179), LEFT(INDEX(FILTER(H$1:H2159, H$1:H2159&lt;&gt;""""),COUNTA(FILTER(H$1:H2159, H$1:H2159&lt;&gt;""""))), LEN(INDEX(FILTER(H$1:H2159, H$1:H2159&lt;&gt;""""),COUNTA(FILTER(H$1:H2159, H$1:H2159&lt;&gt;""""))))-1), IF('To Order'!$A2160=COL"&amp;"UMNS($A2160:H2179), H2159&amp;RIGHT(INDIRECT(ADDRESS(ROW(H2160)-1, 'From Order'!$A2160)), 1), H2159))"),"QTTCTRZCS")</f>
        <v>QTTCTRZCS</v>
      </c>
      <c r="I2160" s="2" t="str">
        <f>IFERROR(__xludf.DUMMYFUNCTION("IF('From Order'!$A2160=COLUMNS($A2160:I2179), LEFT(INDEX(FILTER(I$1:I2159, I$1:I2159&lt;&gt;""""),COUNTA(FILTER(I$1:I2159, I$1:I2159&lt;&gt;""""))), LEN(INDEX(FILTER(I$1:I2159, I$1:I2159&lt;&gt;""""),COUNTA(FILTER(I$1:I2159, I$1:I2159&lt;&gt;""""))))-1), IF('To Order'!$A2160=COL"&amp;"UMNS($A2160:I2179), I2159&amp;RIGHT(INDIRECT(ADDRESS(ROW(I2160)-1, 'From Order'!$A2160)), 1), I2159))"),"DDDVQZDMTTG")</f>
        <v>DDDVQZDMTTG</v>
      </c>
    </row>
    <row r="2161">
      <c r="A2161" s="2" t="str">
        <f>IFERROR(__xludf.DUMMYFUNCTION("IF('From Order'!$A2161=COLUMNS($A2161:A2180), LEFT(INDEX(FILTER(A$1:A2160, A$1:A2160&lt;&gt;""""),COUNTA(FILTER(A$1:A2160, A$1:A2160&lt;&gt;""""))), LEN(INDEX(FILTER(A$1:A2160, A$1:A2160&lt;&gt;""""),COUNTA(FILTER(A$1:A2160, A$1:A2160&lt;&gt;""""))))-1), IF('To Order'!$A2161=COL"&amp;"UMNS($A2161:A2180), A2160&amp;RIGHT(INDIRECT(ADDRESS(ROW(A2161)-1, 'From Order'!$A2161)), 1), A2160))"),"DSPBFLLW")</f>
        <v>DSPBFLLW</v>
      </c>
      <c r="B2161" s="2" t="str">
        <f>IFERROR(__xludf.DUMMYFUNCTION("IF('From Order'!$A2161=COLUMNS($A2161:B2180), LEFT(INDEX(FILTER(B$1:B2160, B$1:B2160&lt;&gt;""""),COUNTA(FILTER(B$1:B2160, B$1:B2160&lt;&gt;""""))), LEN(INDEX(FILTER(B$1:B2160, B$1:B2160&lt;&gt;""""),COUNTA(FILTER(B$1:B2160, B$1:B2160&lt;&gt;""""))))-1), IF('To Order'!$A2161=COL"&amp;"UMNS($A2161:B2180), B2160&amp;RIGHT(INDIRECT(ADDRESS(ROW(B2161)-1, 'From Order'!$A2161)), 1), B2160))"),"JD")</f>
        <v>JD</v>
      </c>
      <c r="C2161" s="2" t="str">
        <f>IFERROR(__xludf.DUMMYFUNCTION("IF('From Order'!$A2161=COLUMNS($A2161:C2180), LEFT(INDEX(FILTER(C$1:C2160, C$1:C2160&lt;&gt;""""),COUNTA(FILTER(C$1:C2160, C$1:C2160&lt;&gt;""""))), LEN(INDEX(FILTER(C$1:C2160, C$1:C2160&lt;&gt;""""),COUNTA(FILTER(C$1:C2160, C$1:C2160&lt;&gt;""""))))-1), IF('To Order'!$A2161=COL"&amp;"UMNS($A2161:C2180), C2160&amp;RIGHT(INDIRECT(ADDRESS(ROW(C2161)-1, 'From Order'!$A2161)), 1), C2160))"),"VBHC")</f>
        <v>VBHC</v>
      </c>
      <c r="D2161" s="2" t="str">
        <f>IFERROR(__xludf.DUMMYFUNCTION("IF('From Order'!$A2161=COLUMNS($A2161:D2180), LEFT(INDEX(FILTER(D$1:D2160, D$1:D2160&lt;&gt;""""),COUNTA(FILTER(D$1:D2160, D$1:D2160&lt;&gt;""""))), LEN(INDEX(FILTER(D$1:D2160, D$1:D2160&lt;&gt;""""),COUNTA(FILTER(D$1:D2160, D$1:D2160&lt;&gt;""""))))-1), IF('To Order'!$A2161=COL"&amp;"UMNS($A2161:D2180), D2160&amp;RIGHT(INDIRECT(ADDRESS(ROW(D2161)-1, 'From Order'!$A2161)), 1), D2160))"),"RBJVBRPHZMTSSPLRRJMG")</f>
        <v>RBJVBRPHZMTSSPLRRJMG</v>
      </c>
      <c r="E2161" s="2" t="str">
        <f>IFERROR(__xludf.DUMMYFUNCTION("IF('From Order'!$A2161=COLUMNS($A2161:E2180), LEFT(INDEX(FILTER(E$1:E2160, E$1:E2160&lt;&gt;""""),COUNTA(FILTER(E$1:E2160, E$1:E2160&lt;&gt;""""))), LEN(INDEX(FILTER(E$1:E2160, E$1:E2160&lt;&gt;""""),COUNTA(FILTER(E$1:E2160, E$1:E2160&lt;&gt;""""))))-1), IF('To Order'!$A2161=COL"&amp;"UMNS($A2161:E2180), E2160&amp;RIGHT(INDIRECT(ADDRESS(ROW(E2161)-1, 'From Order'!$A2161)), 1), E2160))"),"F")</f>
        <v>F</v>
      </c>
      <c r="F2161" s="2" t="str">
        <f>IFERROR(__xludf.DUMMYFUNCTION("IF('From Order'!$A2161=COLUMNS($A2161:F2180), LEFT(INDEX(FILTER(F$1:F2160, F$1:F2160&lt;&gt;""""),COUNTA(FILTER(F$1:F2160, F$1:F2160&lt;&gt;""""))), LEN(INDEX(FILTER(F$1:F2160, F$1:F2160&lt;&gt;""""),COUNTA(FILTER(F$1:F2160, F$1:F2160&lt;&gt;""""))))-1), IF('To Order'!$A2161=COL"&amp;"UMNS($A2161:F2180), F2160&amp;RIGHT(INDIRECT(ADDRESS(ROW(F2161)-1, 'From Order'!$A2161)), 1), F2160))"),"")</f>
        <v/>
      </c>
      <c r="G2161" s="2" t="str">
        <f>IFERROR(__xludf.DUMMYFUNCTION("IF('From Order'!$A2161=COLUMNS($A2161:G2180), LEFT(INDEX(FILTER(G$1:G2160, G$1:G2160&lt;&gt;""""),COUNTA(FILTER(G$1:G2160, G$1:G2160&lt;&gt;""""))), LEN(INDEX(FILTER(G$1:G2160, G$1:G2160&lt;&gt;""""),COUNTA(FILTER(G$1:G2160, G$1:G2160&lt;&gt;""""))))-1), IF('To Order'!$A2161=COL"&amp;"UMNS($A2161:G2180), G2160&amp;RIGHT(INDIRECT(ADDRESS(ROW(G2161)-1, 'From Order'!$A2161)), 1), G2160))"),"GW")</f>
        <v>GW</v>
      </c>
      <c r="H2161" s="2" t="str">
        <f>IFERROR(__xludf.DUMMYFUNCTION("IF('From Order'!$A2161=COLUMNS($A2161:H2180), LEFT(INDEX(FILTER(H$1:H2160, H$1:H2160&lt;&gt;""""),COUNTA(FILTER(H$1:H2160, H$1:H2160&lt;&gt;""""))), LEN(INDEX(FILTER(H$1:H2160, H$1:H2160&lt;&gt;""""),COUNTA(FILTER(H$1:H2160, H$1:H2160&lt;&gt;""""))))-1), IF('To Order'!$A2161=COL"&amp;"UMNS($A2161:H2180), H2160&amp;RIGHT(INDIRECT(ADDRESS(ROW(H2161)-1, 'From Order'!$A2161)), 1), H2160))"),"QTTCTRZCS")</f>
        <v>QTTCTRZCS</v>
      </c>
      <c r="I2161" s="2" t="str">
        <f>IFERROR(__xludf.DUMMYFUNCTION("IF('From Order'!$A2161=COLUMNS($A2161:I2180), LEFT(INDEX(FILTER(I$1:I2160, I$1:I2160&lt;&gt;""""),COUNTA(FILTER(I$1:I2160, I$1:I2160&lt;&gt;""""))), LEN(INDEX(FILTER(I$1:I2160, I$1:I2160&lt;&gt;""""),COUNTA(FILTER(I$1:I2160, I$1:I2160&lt;&gt;""""))))-1), IF('To Order'!$A2161=COL"&amp;"UMNS($A2161:I2180), I2160&amp;RIGHT(INDIRECT(ADDRESS(ROW(I2161)-1, 'From Order'!$A2161)), 1), I2160))"),"DDDVQZDMTT")</f>
        <v>DDDVQZDMTT</v>
      </c>
    </row>
    <row r="2162">
      <c r="A2162" s="2" t="str">
        <f>IFERROR(__xludf.DUMMYFUNCTION("IF('From Order'!$A2162=COLUMNS($A2162:A2181), LEFT(INDEX(FILTER(A$1:A2161, A$1:A2161&lt;&gt;""""),COUNTA(FILTER(A$1:A2161, A$1:A2161&lt;&gt;""""))), LEN(INDEX(FILTER(A$1:A2161, A$1:A2161&lt;&gt;""""),COUNTA(FILTER(A$1:A2161, A$1:A2161&lt;&gt;""""))))-1), IF('To Order'!$A2162=COL"&amp;"UMNS($A2162:A2181), A2161&amp;RIGHT(INDIRECT(ADDRESS(ROW(A2162)-1, 'From Order'!$A2162)), 1), A2161))"),"DSPBFLLW")</f>
        <v>DSPBFLLW</v>
      </c>
      <c r="B2162" s="2" t="str">
        <f>IFERROR(__xludf.DUMMYFUNCTION("IF('From Order'!$A2162=COLUMNS($A2162:B2181), LEFT(INDEX(FILTER(B$1:B2161, B$1:B2161&lt;&gt;""""),COUNTA(FILTER(B$1:B2161, B$1:B2161&lt;&gt;""""))), LEN(INDEX(FILTER(B$1:B2161, B$1:B2161&lt;&gt;""""),COUNTA(FILTER(B$1:B2161, B$1:B2161&lt;&gt;""""))))-1), IF('To Order'!$A2162=COL"&amp;"UMNS($A2162:B2181), B2161&amp;RIGHT(INDIRECT(ADDRESS(ROW(B2162)-1, 'From Order'!$A2162)), 1), B2161))"),"JD")</f>
        <v>JD</v>
      </c>
      <c r="C2162" s="2" t="str">
        <f>IFERROR(__xludf.DUMMYFUNCTION("IF('From Order'!$A2162=COLUMNS($A2162:C2181), LEFT(INDEX(FILTER(C$1:C2161, C$1:C2161&lt;&gt;""""),COUNTA(FILTER(C$1:C2161, C$1:C2161&lt;&gt;""""))), LEN(INDEX(FILTER(C$1:C2161, C$1:C2161&lt;&gt;""""),COUNTA(FILTER(C$1:C2161, C$1:C2161&lt;&gt;""""))))-1), IF('To Order'!$A2162=COL"&amp;"UMNS($A2162:C2181), C2161&amp;RIGHT(INDIRECT(ADDRESS(ROW(C2162)-1, 'From Order'!$A2162)), 1), C2161))"),"VBHC")</f>
        <v>VBHC</v>
      </c>
      <c r="D2162" s="2" t="str">
        <f>IFERROR(__xludf.DUMMYFUNCTION("IF('From Order'!$A2162=COLUMNS($A2162:D2181), LEFT(INDEX(FILTER(D$1:D2161, D$1:D2161&lt;&gt;""""),COUNTA(FILTER(D$1:D2161, D$1:D2161&lt;&gt;""""))), LEN(INDEX(FILTER(D$1:D2161, D$1:D2161&lt;&gt;""""),COUNTA(FILTER(D$1:D2161, D$1:D2161&lt;&gt;""""))))-1), IF('To Order'!$A2162=COL"&amp;"UMNS($A2162:D2181), D2161&amp;RIGHT(INDIRECT(ADDRESS(ROW(D2162)-1, 'From Order'!$A2162)), 1), D2161))"),"RBJVBRPHZMTSSPLRRJMGT")</f>
        <v>RBJVBRPHZMTSSPLRRJMGT</v>
      </c>
      <c r="E2162" s="2" t="str">
        <f>IFERROR(__xludf.DUMMYFUNCTION("IF('From Order'!$A2162=COLUMNS($A2162:E2181), LEFT(INDEX(FILTER(E$1:E2161, E$1:E2161&lt;&gt;""""),COUNTA(FILTER(E$1:E2161, E$1:E2161&lt;&gt;""""))), LEN(INDEX(FILTER(E$1:E2161, E$1:E2161&lt;&gt;""""),COUNTA(FILTER(E$1:E2161, E$1:E2161&lt;&gt;""""))))-1), IF('To Order'!$A2162=COL"&amp;"UMNS($A2162:E2181), E2161&amp;RIGHT(INDIRECT(ADDRESS(ROW(E2162)-1, 'From Order'!$A2162)), 1), E2161))"),"F")</f>
        <v>F</v>
      </c>
      <c r="F2162" s="2" t="str">
        <f>IFERROR(__xludf.DUMMYFUNCTION("IF('From Order'!$A2162=COLUMNS($A2162:F2181), LEFT(INDEX(FILTER(F$1:F2161, F$1:F2161&lt;&gt;""""),COUNTA(FILTER(F$1:F2161, F$1:F2161&lt;&gt;""""))), LEN(INDEX(FILTER(F$1:F2161, F$1:F2161&lt;&gt;""""),COUNTA(FILTER(F$1:F2161, F$1:F2161&lt;&gt;""""))))-1), IF('To Order'!$A2162=COL"&amp;"UMNS($A2162:F2181), F2161&amp;RIGHT(INDIRECT(ADDRESS(ROW(F2162)-1, 'From Order'!$A2162)), 1), F2161))"),"")</f>
        <v/>
      </c>
      <c r="G2162" s="2" t="str">
        <f>IFERROR(__xludf.DUMMYFUNCTION("IF('From Order'!$A2162=COLUMNS($A2162:G2181), LEFT(INDEX(FILTER(G$1:G2161, G$1:G2161&lt;&gt;""""),COUNTA(FILTER(G$1:G2161, G$1:G2161&lt;&gt;""""))), LEN(INDEX(FILTER(G$1:G2161, G$1:G2161&lt;&gt;""""),COUNTA(FILTER(G$1:G2161, G$1:G2161&lt;&gt;""""))))-1), IF('To Order'!$A2162=COL"&amp;"UMNS($A2162:G2181), G2161&amp;RIGHT(INDIRECT(ADDRESS(ROW(G2162)-1, 'From Order'!$A2162)), 1), G2161))"),"GW")</f>
        <v>GW</v>
      </c>
      <c r="H2162" s="2" t="str">
        <f>IFERROR(__xludf.DUMMYFUNCTION("IF('From Order'!$A2162=COLUMNS($A2162:H2181), LEFT(INDEX(FILTER(H$1:H2161, H$1:H2161&lt;&gt;""""),COUNTA(FILTER(H$1:H2161, H$1:H2161&lt;&gt;""""))), LEN(INDEX(FILTER(H$1:H2161, H$1:H2161&lt;&gt;""""),COUNTA(FILTER(H$1:H2161, H$1:H2161&lt;&gt;""""))))-1), IF('To Order'!$A2162=COL"&amp;"UMNS($A2162:H2181), H2161&amp;RIGHT(INDIRECT(ADDRESS(ROW(H2162)-1, 'From Order'!$A2162)), 1), H2161))"),"QTTCTRZCS")</f>
        <v>QTTCTRZCS</v>
      </c>
      <c r="I2162" s="2" t="str">
        <f>IFERROR(__xludf.DUMMYFUNCTION("IF('From Order'!$A2162=COLUMNS($A2162:I2181), LEFT(INDEX(FILTER(I$1:I2161, I$1:I2161&lt;&gt;""""),COUNTA(FILTER(I$1:I2161, I$1:I2161&lt;&gt;""""))), LEN(INDEX(FILTER(I$1:I2161, I$1:I2161&lt;&gt;""""),COUNTA(FILTER(I$1:I2161, I$1:I2161&lt;&gt;""""))))-1), IF('To Order'!$A2162=COL"&amp;"UMNS($A2162:I2181), I2161&amp;RIGHT(INDIRECT(ADDRESS(ROW(I2162)-1, 'From Order'!$A2162)), 1), I2161))"),"DDDVQZDMT")</f>
        <v>DDDVQZDMT</v>
      </c>
    </row>
    <row r="2163">
      <c r="A2163" s="2" t="str">
        <f>IFERROR(__xludf.DUMMYFUNCTION("IF('From Order'!$A2163=COLUMNS($A2163:A2182), LEFT(INDEX(FILTER(A$1:A2162, A$1:A2162&lt;&gt;""""),COUNTA(FILTER(A$1:A2162, A$1:A2162&lt;&gt;""""))), LEN(INDEX(FILTER(A$1:A2162, A$1:A2162&lt;&gt;""""),COUNTA(FILTER(A$1:A2162, A$1:A2162&lt;&gt;""""))))-1), IF('To Order'!$A2163=COL"&amp;"UMNS($A2163:A2182), A2162&amp;RIGHT(INDIRECT(ADDRESS(ROW(A2163)-1, 'From Order'!$A2163)), 1), A2162))"),"DSPBFLLW")</f>
        <v>DSPBFLLW</v>
      </c>
      <c r="B2163" s="2" t="str">
        <f>IFERROR(__xludf.DUMMYFUNCTION("IF('From Order'!$A2163=COLUMNS($A2163:B2182), LEFT(INDEX(FILTER(B$1:B2162, B$1:B2162&lt;&gt;""""),COUNTA(FILTER(B$1:B2162, B$1:B2162&lt;&gt;""""))), LEN(INDEX(FILTER(B$1:B2162, B$1:B2162&lt;&gt;""""),COUNTA(FILTER(B$1:B2162, B$1:B2162&lt;&gt;""""))))-1), IF('To Order'!$A2163=COL"&amp;"UMNS($A2163:B2182), B2162&amp;RIGHT(INDIRECT(ADDRESS(ROW(B2163)-1, 'From Order'!$A2163)), 1), B2162))"),"JD")</f>
        <v>JD</v>
      </c>
      <c r="C2163" s="2" t="str">
        <f>IFERROR(__xludf.DUMMYFUNCTION("IF('From Order'!$A2163=COLUMNS($A2163:C2182), LEFT(INDEX(FILTER(C$1:C2162, C$1:C2162&lt;&gt;""""),COUNTA(FILTER(C$1:C2162, C$1:C2162&lt;&gt;""""))), LEN(INDEX(FILTER(C$1:C2162, C$1:C2162&lt;&gt;""""),COUNTA(FILTER(C$1:C2162, C$1:C2162&lt;&gt;""""))))-1), IF('To Order'!$A2163=COL"&amp;"UMNS($A2163:C2182), C2162&amp;RIGHT(INDIRECT(ADDRESS(ROW(C2163)-1, 'From Order'!$A2163)), 1), C2162))"),"VBHC")</f>
        <v>VBHC</v>
      </c>
      <c r="D2163" s="2" t="str">
        <f>IFERROR(__xludf.DUMMYFUNCTION("IF('From Order'!$A2163=COLUMNS($A2163:D2182), LEFT(INDEX(FILTER(D$1:D2162, D$1:D2162&lt;&gt;""""),COUNTA(FILTER(D$1:D2162, D$1:D2162&lt;&gt;""""))), LEN(INDEX(FILTER(D$1:D2162, D$1:D2162&lt;&gt;""""),COUNTA(FILTER(D$1:D2162, D$1:D2162&lt;&gt;""""))))-1), IF('To Order'!$A2163=COL"&amp;"UMNS($A2163:D2182), D2162&amp;RIGHT(INDIRECT(ADDRESS(ROW(D2163)-1, 'From Order'!$A2163)), 1), D2162))"),"RBJVBRPHZMTSSPLRRJMGTT")</f>
        <v>RBJVBRPHZMTSSPLRRJMGTT</v>
      </c>
      <c r="E2163" s="2" t="str">
        <f>IFERROR(__xludf.DUMMYFUNCTION("IF('From Order'!$A2163=COLUMNS($A2163:E2182), LEFT(INDEX(FILTER(E$1:E2162, E$1:E2162&lt;&gt;""""),COUNTA(FILTER(E$1:E2162, E$1:E2162&lt;&gt;""""))), LEN(INDEX(FILTER(E$1:E2162, E$1:E2162&lt;&gt;""""),COUNTA(FILTER(E$1:E2162, E$1:E2162&lt;&gt;""""))))-1), IF('To Order'!$A2163=COL"&amp;"UMNS($A2163:E2182), E2162&amp;RIGHT(INDIRECT(ADDRESS(ROW(E2163)-1, 'From Order'!$A2163)), 1), E2162))"),"F")</f>
        <v>F</v>
      </c>
      <c r="F2163" s="2" t="str">
        <f>IFERROR(__xludf.DUMMYFUNCTION("IF('From Order'!$A2163=COLUMNS($A2163:F2182), LEFT(INDEX(FILTER(F$1:F2162, F$1:F2162&lt;&gt;""""),COUNTA(FILTER(F$1:F2162, F$1:F2162&lt;&gt;""""))), LEN(INDEX(FILTER(F$1:F2162, F$1:F2162&lt;&gt;""""),COUNTA(FILTER(F$1:F2162, F$1:F2162&lt;&gt;""""))))-1), IF('To Order'!$A2163=COL"&amp;"UMNS($A2163:F2182), F2162&amp;RIGHT(INDIRECT(ADDRESS(ROW(F2163)-1, 'From Order'!$A2163)), 1), F2162))"),"")</f>
        <v/>
      </c>
      <c r="G2163" s="2" t="str">
        <f>IFERROR(__xludf.DUMMYFUNCTION("IF('From Order'!$A2163=COLUMNS($A2163:G2182), LEFT(INDEX(FILTER(G$1:G2162, G$1:G2162&lt;&gt;""""),COUNTA(FILTER(G$1:G2162, G$1:G2162&lt;&gt;""""))), LEN(INDEX(FILTER(G$1:G2162, G$1:G2162&lt;&gt;""""),COUNTA(FILTER(G$1:G2162, G$1:G2162&lt;&gt;""""))))-1), IF('To Order'!$A2163=COL"&amp;"UMNS($A2163:G2182), G2162&amp;RIGHT(INDIRECT(ADDRESS(ROW(G2163)-1, 'From Order'!$A2163)), 1), G2162))"),"GW")</f>
        <v>GW</v>
      </c>
      <c r="H2163" s="2" t="str">
        <f>IFERROR(__xludf.DUMMYFUNCTION("IF('From Order'!$A2163=COLUMNS($A2163:H2182), LEFT(INDEX(FILTER(H$1:H2162, H$1:H2162&lt;&gt;""""),COUNTA(FILTER(H$1:H2162, H$1:H2162&lt;&gt;""""))), LEN(INDEX(FILTER(H$1:H2162, H$1:H2162&lt;&gt;""""),COUNTA(FILTER(H$1:H2162, H$1:H2162&lt;&gt;""""))))-1), IF('To Order'!$A2163=COL"&amp;"UMNS($A2163:H2182), H2162&amp;RIGHT(INDIRECT(ADDRESS(ROW(H2163)-1, 'From Order'!$A2163)), 1), H2162))"),"QTTCTRZCS")</f>
        <v>QTTCTRZCS</v>
      </c>
      <c r="I2163" s="2" t="str">
        <f>IFERROR(__xludf.DUMMYFUNCTION("IF('From Order'!$A2163=COLUMNS($A2163:I2182), LEFT(INDEX(FILTER(I$1:I2162, I$1:I2162&lt;&gt;""""),COUNTA(FILTER(I$1:I2162, I$1:I2162&lt;&gt;""""))), LEN(INDEX(FILTER(I$1:I2162, I$1:I2162&lt;&gt;""""),COUNTA(FILTER(I$1:I2162, I$1:I2162&lt;&gt;""""))))-1), IF('To Order'!$A2163=COL"&amp;"UMNS($A2163:I2182), I2162&amp;RIGHT(INDIRECT(ADDRESS(ROW(I2163)-1, 'From Order'!$A2163)), 1), I2162))"),"DDDVQZDM")</f>
        <v>DDDVQZDM</v>
      </c>
    </row>
    <row r="2164">
      <c r="A2164" s="2" t="str">
        <f>IFERROR(__xludf.DUMMYFUNCTION("IF('From Order'!$A2164=COLUMNS($A2164:A2183), LEFT(INDEX(FILTER(A$1:A2163, A$1:A2163&lt;&gt;""""),COUNTA(FILTER(A$1:A2163, A$1:A2163&lt;&gt;""""))), LEN(INDEX(FILTER(A$1:A2163, A$1:A2163&lt;&gt;""""),COUNTA(FILTER(A$1:A2163, A$1:A2163&lt;&gt;""""))))-1), IF('To Order'!$A2164=COL"&amp;"UMNS($A2164:A2183), A2163&amp;RIGHT(INDIRECT(ADDRESS(ROW(A2164)-1, 'From Order'!$A2164)), 1), A2163))"),"DSPBFLLW")</f>
        <v>DSPBFLLW</v>
      </c>
      <c r="B2164" s="2" t="str">
        <f>IFERROR(__xludf.DUMMYFUNCTION("IF('From Order'!$A2164=COLUMNS($A2164:B2183), LEFT(INDEX(FILTER(B$1:B2163, B$1:B2163&lt;&gt;""""),COUNTA(FILTER(B$1:B2163, B$1:B2163&lt;&gt;""""))), LEN(INDEX(FILTER(B$1:B2163, B$1:B2163&lt;&gt;""""),COUNTA(FILTER(B$1:B2163, B$1:B2163&lt;&gt;""""))))-1), IF('To Order'!$A2164=COL"&amp;"UMNS($A2164:B2183), B2163&amp;RIGHT(INDIRECT(ADDRESS(ROW(B2164)-1, 'From Order'!$A2164)), 1), B2163))"),"JD")</f>
        <v>JD</v>
      </c>
      <c r="C2164" s="2" t="str">
        <f>IFERROR(__xludf.DUMMYFUNCTION("IF('From Order'!$A2164=COLUMNS($A2164:C2183), LEFT(INDEX(FILTER(C$1:C2163, C$1:C2163&lt;&gt;""""),COUNTA(FILTER(C$1:C2163, C$1:C2163&lt;&gt;""""))), LEN(INDEX(FILTER(C$1:C2163, C$1:C2163&lt;&gt;""""),COUNTA(FILTER(C$1:C2163, C$1:C2163&lt;&gt;""""))))-1), IF('To Order'!$A2164=COL"&amp;"UMNS($A2164:C2183), C2163&amp;RIGHT(INDIRECT(ADDRESS(ROW(C2164)-1, 'From Order'!$A2164)), 1), C2163))"),"VBHC")</f>
        <v>VBHC</v>
      </c>
      <c r="D2164" s="2" t="str">
        <f>IFERROR(__xludf.DUMMYFUNCTION("IF('From Order'!$A2164=COLUMNS($A2164:D2183), LEFT(INDEX(FILTER(D$1:D2163, D$1:D2163&lt;&gt;""""),COUNTA(FILTER(D$1:D2163, D$1:D2163&lt;&gt;""""))), LEN(INDEX(FILTER(D$1:D2163, D$1:D2163&lt;&gt;""""),COUNTA(FILTER(D$1:D2163, D$1:D2163&lt;&gt;""""))))-1), IF('To Order'!$A2164=COL"&amp;"UMNS($A2164:D2183), D2163&amp;RIGHT(INDIRECT(ADDRESS(ROW(D2164)-1, 'From Order'!$A2164)), 1), D2163))"),"RBJVBRPHZMTSSPLRRJMGTTM")</f>
        <v>RBJVBRPHZMTSSPLRRJMGTTM</v>
      </c>
      <c r="E2164" s="2" t="str">
        <f>IFERROR(__xludf.DUMMYFUNCTION("IF('From Order'!$A2164=COLUMNS($A2164:E2183), LEFT(INDEX(FILTER(E$1:E2163, E$1:E2163&lt;&gt;""""),COUNTA(FILTER(E$1:E2163, E$1:E2163&lt;&gt;""""))), LEN(INDEX(FILTER(E$1:E2163, E$1:E2163&lt;&gt;""""),COUNTA(FILTER(E$1:E2163, E$1:E2163&lt;&gt;""""))))-1), IF('To Order'!$A2164=COL"&amp;"UMNS($A2164:E2183), E2163&amp;RIGHT(INDIRECT(ADDRESS(ROW(E2164)-1, 'From Order'!$A2164)), 1), E2163))"),"F")</f>
        <v>F</v>
      </c>
      <c r="F2164" s="2" t="str">
        <f>IFERROR(__xludf.DUMMYFUNCTION("IF('From Order'!$A2164=COLUMNS($A2164:F2183), LEFT(INDEX(FILTER(F$1:F2163, F$1:F2163&lt;&gt;""""),COUNTA(FILTER(F$1:F2163, F$1:F2163&lt;&gt;""""))), LEN(INDEX(FILTER(F$1:F2163, F$1:F2163&lt;&gt;""""),COUNTA(FILTER(F$1:F2163, F$1:F2163&lt;&gt;""""))))-1), IF('To Order'!$A2164=COL"&amp;"UMNS($A2164:F2183), F2163&amp;RIGHT(INDIRECT(ADDRESS(ROW(F2164)-1, 'From Order'!$A2164)), 1), F2163))"),"")</f>
        <v/>
      </c>
      <c r="G2164" s="2" t="str">
        <f>IFERROR(__xludf.DUMMYFUNCTION("IF('From Order'!$A2164=COLUMNS($A2164:G2183), LEFT(INDEX(FILTER(G$1:G2163, G$1:G2163&lt;&gt;""""),COUNTA(FILTER(G$1:G2163, G$1:G2163&lt;&gt;""""))), LEN(INDEX(FILTER(G$1:G2163, G$1:G2163&lt;&gt;""""),COUNTA(FILTER(G$1:G2163, G$1:G2163&lt;&gt;""""))))-1), IF('To Order'!$A2164=COL"&amp;"UMNS($A2164:G2183), G2163&amp;RIGHT(INDIRECT(ADDRESS(ROW(G2164)-1, 'From Order'!$A2164)), 1), G2163))"),"GW")</f>
        <v>GW</v>
      </c>
      <c r="H2164" s="2" t="str">
        <f>IFERROR(__xludf.DUMMYFUNCTION("IF('From Order'!$A2164=COLUMNS($A2164:H2183), LEFT(INDEX(FILTER(H$1:H2163, H$1:H2163&lt;&gt;""""),COUNTA(FILTER(H$1:H2163, H$1:H2163&lt;&gt;""""))), LEN(INDEX(FILTER(H$1:H2163, H$1:H2163&lt;&gt;""""),COUNTA(FILTER(H$1:H2163, H$1:H2163&lt;&gt;""""))))-1), IF('To Order'!$A2164=COL"&amp;"UMNS($A2164:H2183), H2163&amp;RIGHT(INDIRECT(ADDRESS(ROW(H2164)-1, 'From Order'!$A2164)), 1), H2163))"),"QTTCTRZCS")</f>
        <v>QTTCTRZCS</v>
      </c>
      <c r="I2164" s="2" t="str">
        <f>IFERROR(__xludf.DUMMYFUNCTION("IF('From Order'!$A2164=COLUMNS($A2164:I2183), LEFT(INDEX(FILTER(I$1:I2163, I$1:I2163&lt;&gt;""""),COUNTA(FILTER(I$1:I2163, I$1:I2163&lt;&gt;""""))), LEN(INDEX(FILTER(I$1:I2163, I$1:I2163&lt;&gt;""""),COUNTA(FILTER(I$1:I2163, I$1:I2163&lt;&gt;""""))))-1), IF('To Order'!$A2164=COL"&amp;"UMNS($A2164:I2183), I2163&amp;RIGHT(INDIRECT(ADDRESS(ROW(I2164)-1, 'From Order'!$A2164)), 1), I2163))"),"DDDVQZD")</f>
        <v>DDDVQZD</v>
      </c>
    </row>
    <row r="2165">
      <c r="A2165" s="2" t="str">
        <f>IFERROR(__xludf.DUMMYFUNCTION("IF('From Order'!$A2165=COLUMNS($A2165:A2184), LEFT(INDEX(FILTER(A$1:A2164, A$1:A2164&lt;&gt;""""),COUNTA(FILTER(A$1:A2164, A$1:A2164&lt;&gt;""""))), LEN(INDEX(FILTER(A$1:A2164, A$1:A2164&lt;&gt;""""),COUNTA(FILTER(A$1:A2164, A$1:A2164&lt;&gt;""""))))-1), IF('To Order'!$A2165=COL"&amp;"UMNS($A2165:A2184), A2164&amp;RIGHT(INDIRECT(ADDRESS(ROW(A2165)-1, 'From Order'!$A2165)), 1), A2164))"),"DSPBFLLW")</f>
        <v>DSPBFLLW</v>
      </c>
      <c r="B2165" s="2" t="str">
        <f>IFERROR(__xludf.DUMMYFUNCTION("IF('From Order'!$A2165=COLUMNS($A2165:B2184), LEFT(INDEX(FILTER(B$1:B2164, B$1:B2164&lt;&gt;""""),COUNTA(FILTER(B$1:B2164, B$1:B2164&lt;&gt;""""))), LEN(INDEX(FILTER(B$1:B2164, B$1:B2164&lt;&gt;""""),COUNTA(FILTER(B$1:B2164, B$1:B2164&lt;&gt;""""))))-1), IF('To Order'!$A2165=COL"&amp;"UMNS($A2165:B2184), B2164&amp;RIGHT(INDIRECT(ADDRESS(ROW(B2165)-1, 'From Order'!$A2165)), 1), B2164))"),"JD")</f>
        <v>JD</v>
      </c>
      <c r="C2165" s="2" t="str">
        <f>IFERROR(__xludf.DUMMYFUNCTION("IF('From Order'!$A2165=COLUMNS($A2165:C2184), LEFT(INDEX(FILTER(C$1:C2164, C$1:C2164&lt;&gt;""""),COUNTA(FILTER(C$1:C2164, C$1:C2164&lt;&gt;""""))), LEN(INDEX(FILTER(C$1:C2164, C$1:C2164&lt;&gt;""""),COUNTA(FILTER(C$1:C2164, C$1:C2164&lt;&gt;""""))))-1), IF('To Order'!$A2165=COL"&amp;"UMNS($A2165:C2184), C2164&amp;RIGHT(INDIRECT(ADDRESS(ROW(C2165)-1, 'From Order'!$A2165)), 1), C2164))"),"VBHC")</f>
        <v>VBHC</v>
      </c>
      <c r="D2165" s="2" t="str">
        <f>IFERROR(__xludf.DUMMYFUNCTION("IF('From Order'!$A2165=COLUMNS($A2165:D2184), LEFT(INDEX(FILTER(D$1:D2164, D$1:D2164&lt;&gt;""""),COUNTA(FILTER(D$1:D2164, D$1:D2164&lt;&gt;""""))), LEN(INDEX(FILTER(D$1:D2164, D$1:D2164&lt;&gt;""""),COUNTA(FILTER(D$1:D2164, D$1:D2164&lt;&gt;""""))))-1), IF('To Order'!$A2165=COL"&amp;"UMNS($A2165:D2184), D2164&amp;RIGHT(INDIRECT(ADDRESS(ROW(D2165)-1, 'From Order'!$A2165)), 1), D2164))"),"RBJVBRPHZMTSSPLRRJMGTTMD")</f>
        <v>RBJVBRPHZMTSSPLRRJMGTTMD</v>
      </c>
      <c r="E2165" s="2" t="str">
        <f>IFERROR(__xludf.DUMMYFUNCTION("IF('From Order'!$A2165=COLUMNS($A2165:E2184), LEFT(INDEX(FILTER(E$1:E2164, E$1:E2164&lt;&gt;""""),COUNTA(FILTER(E$1:E2164, E$1:E2164&lt;&gt;""""))), LEN(INDEX(FILTER(E$1:E2164, E$1:E2164&lt;&gt;""""),COUNTA(FILTER(E$1:E2164, E$1:E2164&lt;&gt;""""))))-1), IF('To Order'!$A2165=COL"&amp;"UMNS($A2165:E2184), E2164&amp;RIGHT(INDIRECT(ADDRESS(ROW(E2165)-1, 'From Order'!$A2165)), 1), E2164))"),"F")</f>
        <v>F</v>
      </c>
      <c r="F2165" s="2" t="str">
        <f>IFERROR(__xludf.DUMMYFUNCTION("IF('From Order'!$A2165=COLUMNS($A2165:F2184), LEFT(INDEX(FILTER(F$1:F2164, F$1:F2164&lt;&gt;""""),COUNTA(FILTER(F$1:F2164, F$1:F2164&lt;&gt;""""))), LEN(INDEX(FILTER(F$1:F2164, F$1:F2164&lt;&gt;""""),COUNTA(FILTER(F$1:F2164, F$1:F2164&lt;&gt;""""))))-1), IF('To Order'!$A2165=COL"&amp;"UMNS($A2165:F2184), F2164&amp;RIGHT(INDIRECT(ADDRESS(ROW(F2165)-1, 'From Order'!$A2165)), 1), F2164))"),"")</f>
        <v/>
      </c>
      <c r="G2165" s="2" t="str">
        <f>IFERROR(__xludf.DUMMYFUNCTION("IF('From Order'!$A2165=COLUMNS($A2165:G2184), LEFT(INDEX(FILTER(G$1:G2164, G$1:G2164&lt;&gt;""""),COUNTA(FILTER(G$1:G2164, G$1:G2164&lt;&gt;""""))), LEN(INDEX(FILTER(G$1:G2164, G$1:G2164&lt;&gt;""""),COUNTA(FILTER(G$1:G2164, G$1:G2164&lt;&gt;""""))))-1), IF('To Order'!$A2165=COL"&amp;"UMNS($A2165:G2184), G2164&amp;RIGHT(INDIRECT(ADDRESS(ROW(G2165)-1, 'From Order'!$A2165)), 1), G2164))"),"GW")</f>
        <v>GW</v>
      </c>
      <c r="H2165" s="2" t="str">
        <f>IFERROR(__xludf.DUMMYFUNCTION("IF('From Order'!$A2165=COLUMNS($A2165:H2184), LEFT(INDEX(FILTER(H$1:H2164, H$1:H2164&lt;&gt;""""),COUNTA(FILTER(H$1:H2164, H$1:H2164&lt;&gt;""""))), LEN(INDEX(FILTER(H$1:H2164, H$1:H2164&lt;&gt;""""),COUNTA(FILTER(H$1:H2164, H$1:H2164&lt;&gt;""""))))-1), IF('To Order'!$A2165=COL"&amp;"UMNS($A2165:H2184), H2164&amp;RIGHT(INDIRECT(ADDRESS(ROW(H2165)-1, 'From Order'!$A2165)), 1), H2164))"),"QTTCTRZCS")</f>
        <v>QTTCTRZCS</v>
      </c>
      <c r="I2165" s="2" t="str">
        <f>IFERROR(__xludf.DUMMYFUNCTION("IF('From Order'!$A2165=COLUMNS($A2165:I2184), LEFT(INDEX(FILTER(I$1:I2164, I$1:I2164&lt;&gt;""""),COUNTA(FILTER(I$1:I2164, I$1:I2164&lt;&gt;""""))), LEN(INDEX(FILTER(I$1:I2164, I$1:I2164&lt;&gt;""""),COUNTA(FILTER(I$1:I2164, I$1:I2164&lt;&gt;""""))))-1), IF('To Order'!$A2165=COL"&amp;"UMNS($A2165:I2184), I2164&amp;RIGHT(INDIRECT(ADDRESS(ROW(I2165)-1, 'From Order'!$A2165)), 1), I2164))"),"DDDVQZ")</f>
        <v>DDDVQZ</v>
      </c>
    </row>
    <row r="2166">
      <c r="A2166" s="2" t="str">
        <f>IFERROR(__xludf.DUMMYFUNCTION("IF('From Order'!$A2166=COLUMNS($A2166:A2185), LEFT(INDEX(FILTER(A$1:A2165, A$1:A2165&lt;&gt;""""),COUNTA(FILTER(A$1:A2165, A$1:A2165&lt;&gt;""""))), LEN(INDEX(FILTER(A$1:A2165, A$1:A2165&lt;&gt;""""),COUNTA(FILTER(A$1:A2165, A$1:A2165&lt;&gt;""""))))-1), IF('To Order'!$A2166=COL"&amp;"UMNS($A2166:A2185), A2165&amp;RIGHT(INDIRECT(ADDRESS(ROW(A2166)-1, 'From Order'!$A2166)), 1), A2165))"),"DSPBFLLW")</f>
        <v>DSPBFLLW</v>
      </c>
      <c r="B2166" s="2" t="str">
        <f>IFERROR(__xludf.DUMMYFUNCTION("IF('From Order'!$A2166=COLUMNS($A2166:B2185), LEFT(INDEX(FILTER(B$1:B2165, B$1:B2165&lt;&gt;""""),COUNTA(FILTER(B$1:B2165, B$1:B2165&lt;&gt;""""))), LEN(INDEX(FILTER(B$1:B2165, B$1:B2165&lt;&gt;""""),COUNTA(FILTER(B$1:B2165, B$1:B2165&lt;&gt;""""))))-1), IF('To Order'!$A2166=COL"&amp;"UMNS($A2166:B2185), B2165&amp;RIGHT(INDIRECT(ADDRESS(ROW(B2166)-1, 'From Order'!$A2166)), 1), B2165))"),"JD")</f>
        <v>JD</v>
      </c>
      <c r="C2166" s="2" t="str">
        <f>IFERROR(__xludf.DUMMYFUNCTION("IF('From Order'!$A2166=COLUMNS($A2166:C2185), LEFT(INDEX(FILTER(C$1:C2165, C$1:C2165&lt;&gt;""""),COUNTA(FILTER(C$1:C2165, C$1:C2165&lt;&gt;""""))), LEN(INDEX(FILTER(C$1:C2165, C$1:C2165&lt;&gt;""""),COUNTA(FILTER(C$1:C2165, C$1:C2165&lt;&gt;""""))))-1), IF('To Order'!$A2166=COL"&amp;"UMNS($A2166:C2185), C2165&amp;RIGHT(INDIRECT(ADDRESS(ROW(C2166)-1, 'From Order'!$A2166)), 1), C2165))"),"VBHC")</f>
        <v>VBHC</v>
      </c>
      <c r="D2166" s="2" t="str">
        <f>IFERROR(__xludf.DUMMYFUNCTION("IF('From Order'!$A2166=COLUMNS($A2166:D2185), LEFT(INDEX(FILTER(D$1:D2165, D$1:D2165&lt;&gt;""""),COUNTA(FILTER(D$1:D2165, D$1:D2165&lt;&gt;""""))), LEN(INDEX(FILTER(D$1:D2165, D$1:D2165&lt;&gt;""""),COUNTA(FILTER(D$1:D2165, D$1:D2165&lt;&gt;""""))))-1), IF('To Order'!$A2166=COL"&amp;"UMNS($A2166:D2185), D2165&amp;RIGHT(INDIRECT(ADDRESS(ROW(D2166)-1, 'From Order'!$A2166)), 1), D2165))"),"RBJVBRPHZMTSSPLRRJMGTTMD")</f>
        <v>RBJVBRPHZMTSSPLRRJMGTTMD</v>
      </c>
      <c r="E2166" s="2" t="str">
        <f>IFERROR(__xludf.DUMMYFUNCTION("IF('From Order'!$A2166=COLUMNS($A2166:E2185), LEFT(INDEX(FILTER(E$1:E2165, E$1:E2165&lt;&gt;""""),COUNTA(FILTER(E$1:E2165, E$1:E2165&lt;&gt;""""))), LEN(INDEX(FILTER(E$1:E2165, E$1:E2165&lt;&gt;""""),COUNTA(FILTER(E$1:E2165, E$1:E2165&lt;&gt;""""))))-1), IF('To Order'!$A2166=COL"&amp;"UMNS($A2166:E2185), E2165&amp;RIGHT(INDIRECT(ADDRESS(ROW(E2166)-1, 'From Order'!$A2166)), 1), E2165))"),"FS")</f>
        <v>FS</v>
      </c>
      <c r="F2166" s="2" t="str">
        <f>IFERROR(__xludf.DUMMYFUNCTION("IF('From Order'!$A2166=COLUMNS($A2166:F2185), LEFT(INDEX(FILTER(F$1:F2165, F$1:F2165&lt;&gt;""""),COUNTA(FILTER(F$1:F2165, F$1:F2165&lt;&gt;""""))), LEN(INDEX(FILTER(F$1:F2165, F$1:F2165&lt;&gt;""""),COUNTA(FILTER(F$1:F2165, F$1:F2165&lt;&gt;""""))))-1), IF('To Order'!$A2166=COL"&amp;"UMNS($A2166:F2185), F2165&amp;RIGHT(INDIRECT(ADDRESS(ROW(F2166)-1, 'From Order'!$A2166)), 1), F2165))"),"")</f>
        <v/>
      </c>
      <c r="G2166" s="2" t="str">
        <f>IFERROR(__xludf.DUMMYFUNCTION("IF('From Order'!$A2166=COLUMNS($A2166:G2185), LEFT(INDEX(FILTER(G$1:G2165, G$1:G2165&lt;&gt;""""),COUNTA(FILTER(G$1:G2165, G$1:G2165&lt;&gt;""""))), LEN(INDEX(FILTER(G$1:G2165, G$1:G2165&lt;&gt;""""),COUNTA(FILTER(G$1:G2165, G$1:G2165&lt;&gt;""""))))-1), IF('To Order'!$A2166=COL"&amp;"UMNS($A2166:G2185), G2165&amp;RIGHT(INDIRECT(ADDRESS(ROW(G2166)-1, 'From Order'!$A2166)), 1), G2165))"),"GW")</f>
        <v>GW</v>
      </c>
      <c r="H2166" s="2" t="str">
        <f>IFERROR(__xludf.DUMMYFUNCTION("IF('From Order'!$A2166=COLUMNS($A2166:H2185), LEFT(INDEX(FILTER(H$1:H2165, H$1:H2165&lt;&gt;""""),COUNTA(FILTER(H$1:H2165, H$1:H2165&lt;&gt;""""))), LEN(INDEX(FILTER(H$1:H2165, H$1:H2165&lt;&gt;""""),COUNTA(FILTER(H$1:H2165, H$1:H2165&lt;&gt;""""))))-1), IF('To Order'!$A2166=COL"&amp;"UMNS($A2166:H2185), H2165&amp;RIGHT(INDIRECT(ADDRESS(ROW(H2166)-1, 'From Order'!$A2166)), 1), H2165))"),"QTTCTRZC")</f>
        <v>QTTCTRZC</v>
      </c>
      <c r="I2166" s="2" t="str">
        <f>IFERROR(__xludf.DUMMYFUNCTION("IF('From Order'!$A2166=COLUMNS($A2166:I2185), LEFT(INDEX(FILTER(I$1:I2165, I$1:I2165&lt;&gt;""""),COUNTA(FILTER(I$1:I2165, I$1:I2165&lt;&gt;""""))), LEN(INDEX(FILTER(I$1:I2165, I$1:I2165&lt;&gt;""""),COUNTA(FILTER(I$1:I2165, I$1:I2165&lt;&gt;""""))))-1), IF('To Order'!$A2166=COL"&amp;"UMNS($A2166:I2185), I2165&amp;RIGHT(INDIRECT(ADDRESS(ROW(I2166)-1, 'From Order'!$A2166)), 1), I2165))"),"DDDVQZ")</f>
        <v>DDDVQZ</v>
      </c>
    </row>
    <row r="2167">
      <c r="A2167" s="2" t="str">
        <f>IFERROR(__xludf.DUMMYFUNCTION("IF('From Order'!$A2167=COLUMNS($A2167:A2186), LEFT(INDEX(FILTER(A$1:A2166, A$1:A2166&lt;&gt;""""),COUNTA(FILTER(A$1:A2166, A$1:A2166&lt;&gt;""""))), LEN(INDEX(FILTER(A$1:A2166, A$1:A2166&lt;&gt;""""),COUNTA(FILTER(A$1:A2166, A$1:A2166&lt;&gt;""""))))-1), IF('To Order'!$A2167=COL"&amp;"UMNS($A2167:A2186), A2166&amp;RIGHT(INDIRECT(ADDRESS(ROW(A2167)-1, 'From Order'!$A2167)), 1), A2166))"),"DSPBFLLW")</f>
        <v>DSPBFLLW</v>
      </c>
      <c r="B2167" s="2" t="str">
        <f>IFERROR(__xludf.DUMMYFUNCTION("IF('From Order'!$A2167=COLUMNS($A2167:B2186), LEFT(INDEX(FILTER(B$1:B2166, B$1:B2166&lt;&gt;""""),COUNTA(FILTER(B$1:B2166, B$1:B2166&lt;&gt;""""))), LEN(INDEX(FILTER(B$1:B2166, B$1:B2166&lt;&gt;""""),COUNTA(FILTER(B$1:B2166, B$1:B2166&lt;&gt;""""))))-1), IF('To Order'!$A2167=COL"&amp;"UMNS($A2167:B2186), B2166&amp;RIGHT(INDIRECT(ADDRESS(ROW(B2167)-1, 'From Order'!$A2167)), 1), B2166))"),"JD")</f>
        <v>JD</v>
      </c>
      <c r="C2167" s="2" t="str">
        <f>IFERROR(__xludf.DUMMYFUNCTION("IF('From Order'!$A2167=COLUMNS($A2167:C2186), LEFT(INDEX(FILTER(C$1:C2166, C$1:C2166&lt;&gt;""""),COUNTA(FILTER(C$1:C2166, C$1:C2166&lt;&gt;""""))), LEN(INDEX(FILTER(C$1:C2166, C$1:C2166&lt;&gt;""""),COUNTA(FILTER(C$1:C2166, C$1:C2166&lt;&gt;""""))))-1), IF('To Order'!$A2167=COL"&amp;"UMNS($A2167:C2186), C2166&amp;RIGHT(INDIRECT(ADDRESS(ROW(C2167)-1, 'From Order'!$A2167)), 1), C2166))"),"VBHC")</f>
        <v>VBHC</v>
      </c>
      <c r="D2167" s="2" t="str">
        <f>IFERROR(__xludf.DUMMYFUNCTION("IF('From Order'!$A2167=COLUMNS($A2167:D2186), LEFT(INDEX(FILTER(D$1:D2166, D$1:D2166&lt;&gt;""""),COUNTA(FILTER(D$1:D2166, D$1:D2166&lt;&gt;""""))), LEN(INDEX(FILTER(D$1:D2166, D$1:D2166&lt;&gt;""""),COUNTA(FILTER(D$1:D2166, D$1:D2166&lt;&gt;""""))))-1), IF('To Order'!$A2167=COL"&amp;"UMNS($A2167:D2186), D2166&amp;RIGHT(INDIRECT(ADDRESS(ROW(D2167)-1, 'From Order'!$A2167)), 1), D2166))"),"RBJVBRPHZMTSSPLRRJMGTTMD")</f>
        <v>RBJVBRPHZMTSSPLRRJMGTTMD</v>
      </c>
      <c r="E2167" s="2" t="str">
        <f>IFERROR(__xludf.DUMMYFUNCTION("IF('From Order'!$A2167=COLUMNS($A2167:E2186), LEFT(INDEX(FILTER(E$1:E2166, E$1:E2166&lt;&gt;""""),COUNTA(FILTER(E$1:E2166, E$1:E2166&lt;&gt;""""))), LEN(INDEX(FILTER(E$1:E2166, E$1:E2166&lt;&gt;""""),COUNTA(FILTER(E$1:E2166, E$1:E2166&lt;&gt;""""))))-1), IF('To Order'!$A2167=COL"&amp;"UMNS($A2167:E2186), E2166&amp;RIGHT(INDIRECT(ADDRESS(ROW(E2167)-1, 'From Order'!$A2167)), 1), E2166))"),"FSC")</f>
        <v>FSC</v>
      </c>
      <c r="F2167" s="2" t="str">
        <f>IFERROR(__xludf.DUMMYFUNCTION("IF('From Order'!$A2167=COLUMNS($A2167:F2186), LEFT(INDEX(FILTER(F$1:F2166, F$1:F2166&lt;&gt;""""),COUNTA(FILTER(F$1:F2166, F$1:F2166&lt;&gt;""""))), LEN(INDEX(FILTER(F$1:F2166, F$1:F2166&lt;&gt;""""),COUNTA(FILTER(F$1:F2166, F$1:F2166&lt;&gt;""""))))-1), IF('To Order'!$A2167=COL"&amp;"UMNS($A2167:F2186), F2166&amp;RIGHT(INDIRECT(ADDRESS(ROW(F2167)-1, 'From Order'!$A2167)), 1), F2166))"),"")</f>
        <v/>
      </c>
      <c r="G2167" s="2" t="str">
        <f>IFERROR(__xludf.DUMMYFUNCTION("IF('From Order'!$A2167=COLUMNS($A2167:G2186), LEFT(INDEX(FILTER(G$1:G2166, G$1:G2166&lt;&gt;""""),COUNTA(FILTER(G$1:G2166, G$1:G2166&lt;&gt;""""))), LEN(INDEX(FILTER(G$1:G2166, G$1:G2166&lt;&gt;""""),COUNTA(FILTER(G$1:G2166, G$1:G2166&lt;&gt;""""))))-1), IF('To Order'!$A2167=COL"&amp;"UMNS($A2167:G2186), G2166&amp;RIGHT(INDIRECT(ADDRESS(ROW(G2167)-1, 'From Order'!$A2167)), 1), G2166))"),"GW")</f>
        <v>GW</v>
      </c>
      <c r="H2167" s="2" t="str">
        <f>IFERROR(__xludf.DUMMYFUNCTION("IF('From Order'!$A2167=COLUMNS($A2167:H2186), LEFT(INDEX(FILTER(H$1:H2166, H$1:H2166&lt;&gt;""""),COUNTA(FILTER(H$1:H2166, H$1:H2166&lt;&gt;""""))), LEN(INDEX(FILTER(H$1:H2166, H$1:H2166&lt;&gt;""""),COUNTA(FILTER(H$1:H2166, H$1:H2166&lt;&gt;""""))))-1), IF('To Order'!$A2167=COL"&amp;"UMNS($A2167:H2186), H2166&amp;RIGHT(INDIRECT(ADDRESS(ROW(H2167)-1, 'From Order'!$A2167)), 1), H2166))"),"QTTCTRZ")</f>
        <v>QTTCTRZ</v>
      </c>
      <c r="I2167" s="2" t="str">
        <f>IFERROR(__xludf.DUMMYFUNCTION("IF('From Order'!$A2167=COLUMNS($A2167:I2186), LEFT(INDEX(FILTER(I$1:I2166, I$1:I2166&lt;&gt;""""),COUNTA(FILTER(I$1:I2166, I$1:I2166&lt;&gt;""""))), LEN(INDEX(FILTER(I$1:I2166, I$1:I2166&lt;&gt;""""),COUNTA(FILTER(I$1:I2166, I$1:I2166&lt;&gt;""""))))-1), IF('To Order'!$A2167=COL"&amp;"UMNS($A2167:I2186), I2166&amp;RIGHT(INDIRECT(ADDRESS(ROW(I2167)-1, 'From Order'!$A2167)), 1), I2166))"),"DDDVQZ")</f>
        <v>DDDVQZ</v>
      </c>
    </row>
    <row r="2168">
      <c r="A2168" s="2" t="str">
        <f>IFERROR(__xludf.DUMMYFUNCTION("IF('From Order'!$A2168=COLUMNS($A2168:A2187), LEFT(INDEX(FILTER(A$1:A2167, A$1:A2167&lt;&gt;""""),COUNTA(FILTER(A$1:A2167, A$1:A2167&lt;&gt;""""))), LEN(INDEX(FILTER(A$1:A2167, A$1:A2167&lt;&gt;""""),COUNTA(FILTER(A$1:A2167, A$1:A2167&lt;&gt;""""))))-1), IF('To Order'!$A2168=COL"&amp;"UMNS($A2168:A2187), A2167&amp;RIGHT(INDIRECT(ADDRESS(ROW(A2168)-1, 'From Order'!$A2168)), 1), A2167))"),"DSPBFLLW")</f>
        <v>DSPBFLLW</v>
      </c>
      <c r="B2168" s="2" t="str">
        <f>IFERROR(__xludf.DUMMYFUNCTION("IF('From Order'!$A2168=COLUMNS($A2168:B2187), LEFT(INDEX(FILTER(B$1:B2167, B$1:B2167&lt;&gt;""""),COUNTA(FILTER(B$1:B2167, B$1:B2167&lt;&gt;""""))), LEN(INDEX(FILTER(B$1:B2167, B$1:B2167&lt;&gt;""""),COUNTA(FILTER(B$1:B2167, B$1:B2167&lt;&gt;""""))))-1), IF('To Order'!$A2168=COL"&amp;"UMNS($A2168:B2187), B2167&amp;RIGHT(INDIRECT(ADDRESS(ROW(B2168)-1, 'From Order'!$A2168)), 1), B2167))"),"JD")</f>
        <v>JD</v>
      </c>
      <c r="C2168" s="2" t="str">
        <f>IFERROR(__xludf.DUMMYFUNCTION("IF('From Order'!$A2168=COLUMNS($A2168:C2187), LEFT(INDEX(FILTER(C$1:C2167, C$1:C2167&lt;&gt;""""),COUNTA(FILTER(C$1:C2167, C$1:C2167&lt;&gt;""""))), LEN(INDEX(FILTER(C$1:C2167, C$1:C2167&lt;&gt;""""),COUNTA(FILTER(C$1:C2167, C$1:C2167&lt;&gt;""""))))-1), IF('To Order'!$A2168=COL"&amp;"UMNS($A2168:C2187), C2167&amp;RIGHT(INDIRECT(ADDRESS(ROW(C2168)-1, 'From Order'!$A2168)), 1), C2167))"),"VBHC")</f>
        <v>VBHC</v>
      </c>
      <c r="D2168" s="2" t="str">
        <f>IFERROR(__xludf.DUMMYFUNCTION("IF('From Order'!$A2168=COLUMNS($A2168:D2187), LEFT(INDEX(FILTER(D$1:D2167, D$1:D2167&lt;&gt;""""),COUNTA(FILTER(D$1:D2167, D$1:D2167&lt;&gt;""""))), LEN(INDEX(FILTER(D$1:D2167, D$1:D2167&lt;&gt;""""),COUNTA(FILTER(D$1:D2167, D$1:D2167&lt;&gt;""""))))-1), IF('To Order'!$A2168=COL"&amp;"UMNS($A2168:D2187), D2167&amp;RIGHT(INDIRECT(ADDRESS(ROW(D2168)-1, 'From Order'!$A2168)), 1), D2167))"),"RBJVBRPHZMTSSPLRRJMGTTMD")</f>
        <v>RBJVBRPHZMTSSPLRRJMGTTMD</v>
      </c>
      <c r="E2168" s="2" t="str">
        <f>IFERROR(__xludf.DUMMYFUNCTION("IF('From Order'!$A2168=COLUMNS($A2168:E2187), LEFT(INDEX(FILTER(E$1:E2167, E$1:E2167&lt;&gt;""""),COUNTA(FILTER(E$1:E2167, E$1:E2167&lt;&gt;""""))), LEN(INDEX(FILTER(E$1:E2167, E$1:E2167&lt;&gt;""""),COUNTA(FILTER(E$1:E2167, E$1:E2167&lt;&gt;""""))))-1), IF('To Order'!$A2168=COL"&amp;"UMNS($A2168:E2187), E2167&amp;RIGHT(INDIRECT(ADDRESS(ROW(E2168)-1, 'From Order'!$A2168)), 1), E2167))"),"FSCZ")</f>
        <v>FSCZ</v>
      </c>
      <c r="F2168" s="2" t="str">
        <f>IFERROR(__xludf.DUMMYFUNCTION("IF('From Order'!$A2168=COLUMNS($A2168:F2187), LEFT(INDEX(FILTER(F$1:F2167, F$1:F2167&lt;&gt;""""),COUNTA(FILTER(F$1:F2167, F$1:F2167&lt;&gt;""""))), LEN(INDEX(FILTER(F$1:F2167, F$1:F2167&lt;&gt;""""),COUNTA(FILTER(F$1:F2167, F$1:F2167&lt;&gt;""""))))-1), IF('To Order'!$A2168=COL"&amp;"UMNS($A2168:F2187), F2167&amp;RIGHT(INDIRECT(ADDRESS(ROW(F2168)-1, 'From Order'!$A2168)), 1), F2167))"),"")</f>
        <v/>
      </c>
      <c r="G2168" s="2" t="str">
        <f>IFERROR(__xludf.DUMMYFUNCTION("IF('From Order'!$A2168=COLUMNS($A2168:G2187), LEFT(INDEX(FILTER(G$1:G2167, G$1:G2167&lt;&gt;""""),COUNTA(FILTER(G$1:G2167, G$1:G2167&lt;&gt;""""))), LEN(INDEX(FILTER(G$1:G2167, G$1:G2167&lt;&gt;""""),COUNTA(FILTER(G$1:G2167, G$1:G2167&lt;&gt;""""))))-1), IF('To Order'!$A2168=COL"&amp;"UMNS($A2168:G2187), G2167&amp;RIGHT(INDIRECT(ADDRESS(ROW(G2168)-1, 'From Order'!$A2168)), 1), G2167))"),"GW")</f>
        <v>GW</v>
      </c>
      <c r="H2168" s="2" t="str">
        <f>IFERROR(__xludf.DUMMYFUNCTION("IF('From Order'!$A2168=COLUMNS($A2168:H2187), LEFT(INDEX(FILTER(H$1:H2167, H$1:H2167&lt;&gt;""""),COUNTA(FILTER(H$1:H2167, H$1:H2167&lt;&gt;""""))), LEN(INDEX(FILTER(H$1:H2167, H$1:H2167&lt;&gt;""""),COUNTA(FILTER(H$1:H2167, H$1:H2167&lt;&gt;""""))))-1), IF('To Order'!$A2168=COL"&amp;"UMNS($A2168:H2187), H2167&amp;RIGHT(INDIRECT(ADDRESS(ROW(H2168)-1, 'From Order'!$A2168)), 1), H2167))"),"QTTCTR")</f>
        <v>QTTCTR</v>
      </c>
      <c r="I2168" s="2" t="str">
        <f>IFERROR(__xludf.DUMMYFUNCTION("IF('From Order'!$A2168=COLUMNS($A2168:I2187), LEFT(INDEX(FILTER(I$1:I2167, I$1:I2167&lt;&gt;""""),COUNTA(FILTER(I$1:I2167, I$1:I2167&lt;&gt;""""))), LEN(INDEX(FILTER(I$1:I2167, I$1:I2167&lt;&gt;""""),COUNTA(FILTER(I$1:I2167, I$1:I2167&lt;&gt;""""))))-1), IF('To Order'!$A2168=COL"&amp;"UMNS($A2168:I2187), I2167&amp;RIGHT(INDIRECT(ADDRESS(ROW(I2168)-1, 'From Order'!$A2168)), 1), I2167))"),"DDDVQZ")</f>
        <v>DDDVQZ</v>
      </c>
    </row>
    <row r="2169">
      <c r="A2169" s="2" t="str">
        <f>IFERROR(__xludf.DUMMYFUNCTION("IF('From Order'!$A2169=COLUMNS($A2169:A2188), LEFT(INDEX(FILTER(A$1:A2168, A$1:A2168&lt;&gt;""""),COUNTA(FILTER(A$1:A2168, A$1:A2168&lt;&gt;""""))), LEN(INDEX(FILTER(A$1:A2168, A$1:A2168&lt;&gt;""""),COUNTA(FILTER(A$1:A2168, A$1:A2168&lt;&gt;""""))))-1), IF('To Order'!$A2169=COL"&amp;"UMNS($A2169:A2188), A2168&amp;RIGHT(INDIRECT(ADDRESS(ROW(A2169)-1, 'From Order'!$A2169)), 1), A2168))"),"DSPBFLLW")</f>
        <v>DSPBFLLW</v>
      </c>
      <c r="B2169" s="2" t="str">
        <f>IFERROR(__xludf.DUMMYFUNCTION("IF('From Order'!$A2169=COLUMNS($A2169:B2188), LEFT(INDEX(FILTER(B$1:B2168, B$1:B2168&lt;&gt;""""),COUNTA(FILTER(B$1:B2168, B$1:B2168&lt;&gt;""""))), LEN(INDEX(FILTER(B$1:B2168, B$1:B2168&lt;&gt;""""),COUNTA(FILTER(B$1:B2168, B$1:B2168&lt;&gt;""""))))-1), IF('To Order'!$A2169=COL"&amp;"UMNS($A2169:B2188), B2168&amp;RIGHT(INDIRECT(ADDRESS(ROW(B2169)-1, 'From Order'!$A2169)), 1), B2168))"),"JD")</f>
        <v>JD</v>
      </c>
      <c r="C2169" s="2" t="str">
        <f>IFERROR(__xludf.DUMMYFUNCTION("IF('From Order'!$A2169=COLUMNS($A2169:C2188), LEFT(INDEX(FILTER(C$1:C2168, C$1:C2168&lt;&gt;""""),COUNTA(FILTER(C$1:C2168, C$1:C2168&lt;&gt;""""))), LEN(INDEX(FILTER(C$1:C2168, C$1:C2168&lt;&gt;""""),COUNTA(FILTER(C$1:C2168, C$1:C2168&lt;&gt;""""))))-1), IF('To Order'!$A2169=COL"&amp;"UMNS($A2169:C2188), C2168&amp;RIGHT(INDIRECT(ADDRESS(ROW(C2169)-1, 'From Order'!$A2169)), 1), C2168))"),"VBHC")</f>
        <v>VBHC</v>
      </c>
      <c r="D2169" s="2" t="str">
        <f>IFERROR(__xludf.DUMMYFUNCTION("IF('From Order'!$A2169=COLUMNS($A2169:D2188), LEFT(INDEX(FILTER(D$1:D2168, D$1:D2168&lt;&gt;""""),COUNTA(FILTER(D$1:D2168, D$1:D2168&lt;&gt;""""))), LEN(INDEX(FILTER(D$1:D2168, D$1:D2168&lt;&gt;""""),COUNTA(FILTER(D$1:D2168, D$1:D2168&lt;&gt;""""))))-1), IF('To Order'!$A2169=COL"&amp;"UMNS($A2169:D2188), D2168&amp;RIGHT(INDIRECT(ADDRESS(ROW(D2169)-1, 'From Order'!$A2169)), 1), D2168))"),"RBJVBRPHZMTSSPLRRJMGTTMD")</f>
        <v>RBJVBRPHZMTSSPLRRJMGTTMD</v>
      </c>
      <c r="E2169" s="2" t="str">
        <f>IFERROR(__xludf.DUMMYFUNCTION("IF('From Order'!$A2169=COLUMNS($A2169:E2188), LEFT(INDEX(FILTER(E$1:E2168, E$1:E2168&lt;&gt;""""),COUNTA(FILTER(E$1:E2168, E$1:E2168&lt;&gt;""""))), LEN(INDEX(FILTER(E$1:E2168, E$1:E2168&lt;&gt;""""),COUNTA(FILTER(E$1:E2168, E$1:E2168&lt;&gt;""""))))-1), IF('To Order'!$A2169=COL"&amp;"UMNS($A2169:E2188), E2168&amp;RIGHT(INDIRECT(ADDRESS(ROW(E2169)-1, 'From Order'!$A2169)), 1), E2168))"),"FSCZR")</f>
        <v>FSCZR</v>
      </c>
      <c r="F2169" s="2" t="str">
        <f>IFERROR(__xludf.DUMMYFUNCTION("IF('From Order'!$A2169=COLUMNS($A2169:F2188), LEFT(INDEX(FILTER(F$1:F2168, F$1:F2168&lt;&gt;""""),COUNTA(FILTER(F$1:F2168, F$1:F2168&lt;&gt;""""))), LEN(INDEX(FILTER(F$1:F2168, F$1:F2168&lt;&gt;""""),COUNTA(FILTER(F$1:F2168, F$1:F2168&lt;&gt;""""))))-1), IF('To Order'!$A2169=COL"&amp;"UMNS($A2169:F2188), F2168&amp;RIGHT(INDIRECT(ADDRESS(ROW(F2169)-1, 'From Order'!$A2169)), 1), F2168))"),"")</f>
        <v/>
      </c>
      <c r="G2169" s="2" t="str">
        <f>IFERROR(__xludf.DUMMYFUNCTION("IF('From Order'!$A2169=COLUMNS($A2169:G2188), LEFT(INDEX(FILTER(G$1:G2168, G$1:G2168&lt;&gt;""""),COUNTA(FILTER(G$1:G2168, G$1:G2168&lt;&gt;""""))), LEN(INDEX(FILTER(G$1:G2168, G$1:G2168&lt;&gt;""""),COUNTA(FILTER(G$1:G2168, G$1:G2168&lt;&gt;""""))))-1), IF('To Order'!$A2169=COL"&amp;"UMNS($A2169:G2188), G2168&amp;RIGHT(INDIRECT(ADDRESS(ROW(G2169)-1, 'From Order'!$A2169)), 1), G2168))"),"GW")</f>
        <v>GW</v>
      </c>
      <c r="H2169" s="2" t="str">
        <f>IFERROR(__xludf.DUMMYFUNCTION("IF('From Order'!$A2169=COLUMNS($A2169:H2188), LEFT(INDEX(FILTER(H$1:H2168, H$1:H2168&lt;&gt;""""),COUNTA(FILTER(H$1:H2168, H$1:H2168&lt;&gt;""""))), LEN(INDEX(FILTER(H$1:H2168, H$1:H2168&lt;&gt;""""),COUNTA(FILTER(H$1:H2168, H$1:H2168&lt;&gt;""""))))-1), IF('To Order'!$A2169=COL"&amp;"UMNS($A2169:H2188), H2168&amp;RIGHT(INDIRECT(ADDRESS(ROW(H2169)-1, 'From Order'!$A2169)), 1), H2168))"),"QTTCT")</f>
        <v>QTTCT</v>
      </c>
      <c r="I2169" s="2" t="str">
        <f>IFERROR(__xludf.DUMMYFUNCTION("IF('From Order'!$A2169=COLUMNS($A2169:I2188), LEFT(INDEX(FILTER(I$1:I2168, I$1:I2168&lt;&gt;""""),COUNTA(FILTER(I$1:I2168, I$1:I2168&lt;&gt;""""))), LEN(INDEX(FILTER(I$1:I2168, I$1:I2168&lt;&gt;""""),COUNTA(FILTER(I$1:I2168, I$1:I2168&lt;&gt;""""))))-1), IF('To Order'!$A2169=COL"&amp;"UMNS($A2169:I2188), I2168&amp;RIGHT(INDIRECT(ADDRESS(ROW(I2169)-1, 'From Order'!$A2169)), 1), I2168))"),"DDDVQZ")</f>
        <v>DDDVQZ</v>
      </c>
    </row>
    <row r="2170">
      <c r="A2170" s="2" t="str">
        <f>IFERROR(__xludf.DUMMYFUNCTION("IF('From Order'!$A2170=COLUMNS($A2170:A2189), LEFT(INDEX(FILTER(A$1:A2169, A$1:A2169&lt;&gt;""""),COUNTA(FILTER(A$1:A2169, A$1:A2169&lt;&gt;""""))), LEN(INDEX(FILTER(A$1:A2169, A$1:A2169&lt;&gt;""""),COUNTA(FILTER(A$1:A2169, A$1:A2169&lt;&gt;""""))))-1), IF('To Order'!$A2170=COL"&amp;"UMNS($A2170:A2189), A2169&amp;RIGHT(INDIRECT(ADDRESS(ROW(A2170)-1, 'From Order'!$A2170)), 1), A2169))"),"DSPBFLLW")</f>
        <v>DSPBFLLW</v>
      </c>
      <c r="B2170" s="2" t="str">
        <f>IFERROR(__xludf.DUMMYFUNCTION("IF('From Order'!$A2170=COLUMNS($A2170:B2189), LEFT(INDEX(FILTER(B$1:B2169, B$1:B2169&lt;&gt;""""),COUNTA(FILTER(B$1:B2169, B$1:B2169&lt;&gt;""""))), LEN(INDEX(FILTER(B$1:B2169, B$1:B2169&lt;&gt;""""),COUNTA(FILTER(B$1:B2169, B$1:B2169&lt;&gt;""""))))-1), IF('To Order'!$A2170=COL"&amp;"UMNS($A2170:B2189), B2169&amp;RIGHT(INDIRECT(ADDRESS(ROW(B2170)-1, 'From Order'!$A2170)), 1), B2169))"),"JDW")</f>
        <v>JDW</v>
      </c>
      <c r="C2170" s="2" t="str">
        <f>IFERROR(__xludf.DUMMYFUNCTION("IF('From Order'!$A2170=COLUMNS($A2170:C2189), LEFT(INDEX(FILTER(C$1:C2169, C$1:C2169&lt;&gt;""""),COUNTA(FILTER(C$1:C2169, C$1:C2169&lt;&gt;""""))), LEN(INDEX(FILTER(C$1:C2169, C$1:C2169&lt;&gt;""""),COUNTA(FILTER(C$1:C2169, C$1:C2169&lt;&gt;""""))))-1), IF('To Order'!$A2170=COL"&amp;"UMNS($A2170:C2189), C2169&amp;RIGHT(INDIRECT(ADDRESS(ROW(C2170)-1, 'From Order'!$A2170)), 1), C2169))"),"VBHC")</f>
        <v>VBHC</v>
      </c>
      <c r="D2170" s="2" t="str">
        <f>IFERROR(__xludf.DUMMYFUNCTION("IF('From Order'!$A2170=COLUMNS($A2170:D2189), LEFT(INDEX(FILTER(D$1:D2169, D$1:D2169&lt;&gt;""""),COUNTA(FILTER(D$1:D2169, D$1:D2169&lt;&gt;""""))), LEN(INDEX(FILTER(D$1:D2169, D$1:D2169&lt;&gt;""""),COUNTA(FILTER(D$1:D2169, D$1:D2169&lt;&gt;""""))))-1), IF('To Order'!$A2170=COL"&amp;"UMNS($A2170:D2189), D2169&amp;RIGHT(INDIRECT(ADDRESS(ROW(D2170)-1, 'From Order'!$A2170)), 1), D2169))"),"RBJVBRPHZMTSSPLRRJMGTTMD")</f>
        <v>RBJVBRPHZMTSSPLRRJMGTTMD</v>
      </c>
      <c r="E2170" s="2" t="str">
        <f>IFERROR(__xludf.DUMMYFUNCTION("IF('From Order'!$A2170=COLUMNS($A2170:E2189), LEFT(INDEX(FILTER(E$1:E2169, E$1:E2169&lt;&gt;""""),COUNTA(FILTER(E$1:E2169, E$1:E2169&lt;&gt;""""))), LEN(INDEX(FILTER(E$1:E2169, E$1:E2169&lt;&gt;""""),COUNTA(FILTER(E$1:E2169, E$1:E2169&lt;&gt;""""))))-1), IF('To Order'!$A2170=COL"&amp;"UMNS($A2170:E2189), E2169&amp;RIGHT(INDIRECT(ADDRESS(ROW(E2170)-1, 'From Order'!$A2170)), 1), E2169))"),"FSCZR")</f>
        <v>FSCZR</v>
      </c>
      <c r="F2170" s="2" t="str">
        <f>IFERROR(__xludf.DUMMYFUNCTION("IF('From Order'!$A2170=COLUMNS($A2170:F2189), LEFT(INDEX(FILTER(F$1:F2169, F$1:F2169&lt;&gt;""""),COUNTA(FILTER(F$1:F2169, F$1:F2169&lt;&gt;""""))), LEN(INDEX(FILTER(F$1:F2169, F$1:F2169&lt;&gt;""""),COUNTA(FILTER(F$1:F2169, F$1:F2169&lt;&gt;""""))))-1), IF('To Order'!$A2170=COL"&amp;"UMNS($A2170:F2189), F2169&amp;RIGHT(INDIRECT(ADDRESS(ROW(F2170)-1, 'From Order'!$A2170)), 1), F2169))"),"")</f>
        <v/>
      </c>
      <c r="G2170" s="2" t="str">
        <f>IFERROR(__xludf.DUMMYFUNCTION("IF('From Order'!$A2170=COLUMNS($A2170:G2189), LEFT(INDEX(FILTER(G$1:G2169, G$1:G2169&lt;&gt;""""),COUNTA(FILTER(G$1:G2169, G$1:G2169&lt;&gt;""""))), LEN(INDEX(FILTER(G$1:G2169, G$1:G2169&lt;&gt;""""),COUNTA(FILTER(G$1:G2169, G$1:G2169&lt;&gt;""""))))-1), IF('To Order'!$A2170=COL"&amp;"UMNS($A2170:G2189), G2169&amp;RIGHT(INDIRECT(ADDRESS(ROW(G2170)-1, 'From Order'!$A2170)), 1), G2169))"),"G")</f>
        <v>G</v>
      </c>
      <c r="H2170" s="2" t="str">
        <f>IFERROR(__xludf.DUMMYFUNCTION("IF('From Order'!$A2170=COLUMNS($A2170:H2189), LEFT(INDEX(FILTER(H$1:H2169, H$1:H2169&lt;&gt;""""),COUNTA(FILTER(H$1:H2169, H$1:H2169&lt;&gt;""""))), LEN(INDEX(FILTER(H$1:H2169, H$1:H2169&lt;&gt;""""),COUNTA(FILTER(H$1:H2169, H$1:H2169&lt;&gt;""""))))-1), IF('To Order'!$A2170=COL"&amp;"UMNS($A2170:H2189), H2169&amp;RIGHT(INDIRECT(ADDRESS(ROW(H2170)-1, 'From Order'!$A2170)), 1), H2169))"),"QTTCT")</f>
        <v>QTTCT</v>
      </c>
      <c r="I2170" s="2" t="str">
        <f>IFERROR(__xludf.DUMMYFUNCTION("IF('From Order'!$A2170=COLUMNS($A2170:I2189), LEFT(INDEX(FILTER(I$1:I2169, I$1:I2169&lt;&gt;""""),COUNTA(FILTER(I$1:I2169, I$1:I2169&lt;&gt;""""))), LEN(INDEX(FILTER(I$1:I2169, I$1:I2169&lt;&gt;""""),COUNTA(FILTER(I$1:I2169, I$1:I2169&lt;&gt;""""))))-1), IF('To Order'!$A2170=COL"&amp;"UMNS($A2170:I2189), I2169&amp;RIGHT(INDIRECT(ADDRESS(ROW(I2170)-1, 'From Order'!$A2170)), 1), I2169))"),"DDDVQZ")</f>
        <v>DDDVQZ</v>
      </c>
    </row>
    <row r="2171">
      <c r="A2171" s="2" t="str">
        <f>IFERROR(__xludf.DUMMYFUNCTION("IF('From Order'!$A2171=COLUMNS($A2171:A2190), LEFT(INDEX(FILTER(A$1:A2170, A$1:A2170&lt;&gt;""""),COUNTA(FILTER(A$1:A2170, A$1:A2170&lt;&gt;""""))), LEN(INDEX(FILTER(A$1:A2170, A$1:A2170&lt;&gt;""""),COUNTA(FILTER(A$1:A2170, A$1:A2170&lt;&gt;""""))))-1), IF('To Order'!$A2171=COL"&amp;"UMNS($A2171:A2190), A2170&amp;RIGHT(INDIRECT(ADDRESS(ROW(A2171)-1, 'From Order'!$A2171)), 1), A2170))"),"DSPBFLLW")</f>
        <v>DSPBFLLW</v>
      </c>
      <c r="B2171" s="2" t="str">
        <f>IFERROR(__xludf.DUMMYFUNCTION("IF('From Order'!$A2171=COLUMNS($A2171:B2190), LEFT(INDEX(FILTER(B$1:B2170, B$1:B2170&lt;&gt;""""),COUNTA(FILTER(B$1:B2170, B$1:B2170&lt;&gt;""""))), LEN(INDEX(FILTER(B$1:B2170, B$1:B2170&lt;&gt;""""),COUNTA(FILTER(B$1:B2170, B$1:B2170&lt;&gt;""""))))-1), IF('To Order'!$A2171=COL"&amp;"UMNS($A2171:B2190), B2170&amp;RIGHT(INDIRECT(ADDRESS(ROW(B2171)-1, 'From Order'!$A2171)), 1), B2170))"),"JDWG")</f>
        <v>JDWG</v>
      </c>
      <c r="C2171" s="2" t="str">
        <f>IFERROR(__xludf.DUMMYFUNCTION("IF('From Order'!$A2171=COLUMNS($A2171:C2190), LEFT(INDEX(FILTER(C$1:C2170, C$1:C2170&lt;&gt;""""),COUNTA(FILTER(C$1:C2170, C$1:C2170&lt;&gt;""""))), LEN(INDEX(FILTER(C$1:C2170, C$1:C2170&lt;&gt;""""),COUNTA(FILTER(C$1:C2170, C$1:C2170&lt;&gt;""""))))-1), IF('To Order'!$A2171=COL"&amp;"UMNS($A2171:C2190), C2170&amp;RIGHT(INDIRECT(ADDRESS(ROW(C2171)-1, 'From Order'!$A2171)), 1), C2170))"),"VBHC")</f>
        <v>VBHC</v>
      </c>
      <c r="D2171" s="2" t="str">
        <f>IFERROR(__xludf.DUMMYFUNCTION("IF('From Order'!$A2171=COLUMNS($A2171:D2190), LEFT(INDEX(FILTER(D$1:D2170, D$1:D2170&lt;&gt;""""),COUNTA(FILTER(D$1:D2170, D$1:D2170&lt;&gt;""""))), LEN(INDEX(FILTER(D$1:D2170, D$1:D2170&lt;&gt;""""),COUNTA(FILTER(D$1:D2170, D$1:D2170&lt;&gt;""""))))-1), IF('To Order'!$A2171=COL"&amp;"UMNS($A2171:D2190), D2170&amp;RIGHT(INDIRECT(ADDRESS(ROW(D2171)-1, 'From Order'!$A2171)), 1), D2170))"),"RBJVBRPHZMTSSPLRRJMGTTMD")</f>
        <v>RBJVBRPHZMTSSPLRRJMGTTMD</v>
      </c>
      <c r="E2171" s="2" t="str">
        <f>IFERROR(__xludf.DUMMYFUNCTION("IF('From Order'!$A2171=COLUMNS($A2171:E2190), LEFT(INDEX(FILTER(E$1:E2170, E$1:E2170&lt;&gt;""""),COUNTA(FILTER(E$1:E2170, E$1:E2170&lt;&gt;""""))), LEN(INDEX(FILTER(E$1:E2170, E$1:E2170&lt;&gt;""""),COUNTA(FILTER(E$1:E2170, E$1:E2170&lt;&gt;""""))))-1), IF('To Order'!$A2171=COL"&amp;"UMNS($A2171:E2190), E2170&amp;RIGHT(INDIRECT(ADDRESS(ROW(E2171)-1, 'From Order'!$A2171)), 1), E2170))"),"FSCZR")</f>
        <v>FSCZR</v>
      </c>
      <c r="F2171" s="2" t="str">
        <f>IFERROR(__xludf.DUMMYFUNCTION("IF('From Order'!$A2171=COLUMNS($A2171:F2190), LEFT(INDEX(FILTER(F$1:F2170, F$1:F2170&lt;&gt;""""),COUNTA(FILTER(F$1:F2170, F$1:F2170&lt;&gt;""""))), LEN(INDEX(FILTER(F$1:F2170, F$1:F2170&lt;&gt;""""),COUNTA(FILTER(F$1:F2170, F$1:F2170&lt;&gt;""""))))-1), IF('To Order'!$A2171=COL"&amp;"UMNS($A2171:F2190), F2170&amp;RIGHT(INDIRECT(ADDRESS(ROW(F2171)-1, 'From Order'!$A2171)), 1), F2170))"),"")</f>
        <v/>
      </c>
      <c r="G2171" s="2" t="str">
        <f>IFERROR(__xludf.DUMMYFUNCTION("IF('From Order'!$A2171=COLUMNS($A2171:G2190), LEFT(INDEX(FILTER(G$1:G2170, G$1:G2170&lt;&gt;""""),COUNTA(FILTER(G$1:G2170, G$1:G2170&lt;&gt;""""))), LEN(INDEX(FILTER(G$1:G2170, G$1:G2170&lt;&gt;""""),COUNTA(FILTER(G$1:G2170, G$1:G2170&lt;&gt;""""))))-1), IF('To Order'!$A2171=COL"&amp;"UMNS($A2171:G2190), G2170&amp;RIGHT(INDIRECT(ADDRESS(ROW(G2171)-1, 'From Order'!$A2171)), 1), G2170))"),"")</f>
        <v/>
      </c>
      <c r="H2171" s="2" t="str">
        <f>IFERROR(__xludf.DUMMYFUNCTION("IF('From Order'!$A2171=COLUMNS($A2171:H2190), LEFT(INDEX(FILTER(H$1:H2170, H$1:H2170&lt;&gt;""""),COUNTA(FILTER(H$1:H2170, H$1:H2170&lt;&gt;""""))), LEN(INDEX(FILTER(H$1:H2170, H$1:H2170&lt;&gt;""""),COUNTA(FILTER(H$1:H2170, H$1:H2170&lt;&gt;""""))))-1), IF('To Order'!$A2171=COL"&amp;"UMNS($A2171:H2190), H2170&amp;RIGHT(INDIRECT(ADDRESS(ROW(H2171)-1, 'From Order'!$A2171)), 1), H2170))"),"QTTCT")</f>
        <v>QTTCT</v>
      </c>
      <c r="I2171" s="2" t="str">
        <f>IFERROR(__xludf.DUMMYFUNCTION("IF('From Order'!$A2171=COLUMNS($A2171:I2190), LEFT(INDEX(FILTER(I$1:I2170, I$1:I2170&lt;&gt;""""),COUNTA(FILTER(I$1:I2170, I$1:I2170&lt;&gt;""""))), LEN(INDEX(FILTER(I$1:I2170, I$1:I2170&lt;&gt;""""),COUNTA(FILTER(I$1:I2170, I$1:I2170&lt;&gt;""""))))-1), IF('To Order'!$A2171=COL"&amp;"UMNS($A2171:I2190), I2170&amp;RIGHT(INDIRECT(ADDRESS(ROW(I2171)-1, 'From Order'!$A2171)), 1), I2170))"),"DDDVQZ")</f>
        <v>DDDVQZ</v>
      </c>
    </row>
    <row r="2172">
      <c r="A2172" s="2" t="str">
        <f>IFERROR(__xludf.DUMMYFUNCTION("IF('From Order'!$A2172=COLUMNS($A2172:A2191), LEFT(INDEX(FILTER(A$1:A2171, A$1:A2171&lt;&gt;""""),COUNTA(FILTER(A$1:A2171, A$1:A2171&lt;&gt;""""))), LEN(INDEX(FILTER(A$1:A2171, A$1:A2171&lt;&gt;""""),COUNTA(FILTER(A$1:A2171, A$1:A2171&lt;&gt;""""))))-1), IF('To Order'!$A2172=COL"&amp;"UMNS($A2172:A2191), A2171&amp;RIGHT(INDIRECT(ADDRESS(ROW(A2172)-1, 'From Order'!$A2172)), 1), A2171))"),"DSPBFLLW")</f>
        <v>DSPBFLLW</v>
      </c>
      <c r="B2172" s="2" t="str">
        <f>IFERROR(__xludf.DUMMYFUNCTION("IF('From Order'!$A2172=COLUMNS($A2172:B2191), LEFT(INDEX(FILTER(B$1:B2171, B$1:B2171&lt;&gt;""""),COUNTA(FILTER(B$1:B2171, B$1:B2171&lt;&gt;""""))), LEN(INDEX(FILTER(B$1:B2171, B$1:B2171&lt;&gt;""""),COUNTA(FILTER(B$1:B2171, B$1:B2171&lt;&gt;""""))))-1), IF('To Order'!$A2172=COL"&amp;"UMNS($A2172:B2191), B2171&amp;RIGHT(INDIRECT(ADDRESS(ROW(B2172)-1, 'From Order'!$A2172)), 1), B2171))"),"JDWG")</f>
        <v>JDWG</v>
      </c>
      <c r="C2172" s="2" t="str">
        <f>IFERROR(__xludf.DUMMYFUNCTION("IF('From Order'!$A2172=COLUMNS($A2172:C2191), LEFT(INDEX(FILTER(C$1:C2171, C$1:C2171&lt;&gt;""""),COUNTA(FILTER(C$1:C2171, C$1:C2171&lt;&gt;""""))), LEN(INDEX(FILTER(C$1:C2171, C$1:C2171&lt;&gt;""""),COUNTA(FILTER(C$1:C2171, C$1:C2171&lt;&gt;""""))))-1), IF('To Order'!$A2172=COL"&amp;"UMNS($A2172:C2191), C2171&amp;RIGHT(INDIRECT(ADDRESS(ROW(C2172)-1, 'From Order'!$A2172)), 1), C2171))"),"VBHC")</f>
        <v>VBHC</v>
      </c>
      <c r="D2172" s="2" t="str">
        <f>IFERROR(__xludf.DUMMYFUNCTION("IF('From Order'!$A2172=COLUMNS($A2172:D2191), LEFT(INDEX(FILTER(D$1:D2171, D$1:D2171&lt;&gt;""""),COUNTA(FILTER(D$1:D2171, D$1:D2171&lt;&gt;""""))), LEN(INDEX(FILTER(D$1:D2171, D$1:D2171&lt;&gt;""""),COUNTA(FILTER(D$1:D2171, D$1:D2171&lt;&gt;""""))))-1), IF('To Order'!$A2172=COL"&amp;"UMNS($A2172:D2191), D2171&amp;RIGHT(INDIRECT(ADDRESS(ROW(D2172)-1, 'From Order'!$A2172)), 1), D2171))"),"RBJVBRPHZMTSSPLRRJMGTTM")</f>
        <v>RBJVBRPHZMTSSPLRRJMGTTM</v>
      </c>
      <c r="E2172" s="2" t="str">
        <f>IFERROR(__xludf.DUMMYFUNCTION("IF('From Order'!$A2172=COLUMNS($A2172:E2191), LEFT(INDEX(FILTER(E$1:E2171, E$1:E2171&lt;&gt;""""),COUNTA(FILTER(E$1:E2171, E$1:E2171&lt;&gt;""""))), LEN(INDEX(FILTER(E$1:E2171, E$1:E2171&lt;&gt;""""),COUNTA(FILTER(E$1:E2171, E$1:E2171&lt;&gt;""""))))-1), IF('To Order'!$A2172=COL"&amp;"UMNS($A2172:E2191), E2171&amp;RIGHT(INDIRECT(ADDRESS(ROW(E2172)-1, 'From Order'!$A2172)), 1), E2171))"),"FSCZR")</f>
        <v>FSCZR</v>
      </c>
      <c r="F2172" s="2" t="str">
        <f>IFERROR(__xludf.DUMMYFUNCTION("IF('From Order'!$A2172=COLUMNS($A2172:F2191), LEFT(INDEX(FILTER(F$1:F2171, F$1:F2171&lt;&gt;""""),COUNTA(FILTER(F$1:F2171, F$1:F2171&lt;&gt;""""))), LEN(INDEX(FILTER(F$1:F2171, F$1:F2171&lt;&gt;""""),COUNTA(FILTER(F$1:F2171, F$1:F2171&lt;&gt;""""))))-1), IF('To Order'!$A2172=COL"&amp;"UMNS($A2172:F2191), F2171&amp;RIGHT(INDIRECT(ADDRESS(ROW(F2172)-1, 'From Order'!$A2172)), 1), F2171))"),"")</f>
        <v/>
      </c>
      <c r="G2172" s="2" t="str">
        <f>IFERROR(__xludf.DUMMYFUNCTION("IF('From Order'!$A2172=COLUMNS($A2172:G2191), LEFT(INDEX(FILTER(G$1:G2171, G$1:G2171&lt;&gt;""""),COUNTA(FILTER(G$1:G2171, G$1:G2171&lt;&gt;""""))), LEN(INDEX(FILTER(G$1:G2171, G$1:G2171&lt;&gt;""""),COUNTA(FILTER(G$1:G2171, G$1:G2171&lt;&gt;""""))))-1), IF('To Order'!$A2172=COL"&amp;"UMNS($A2172:G2191), G2171&amp;RIGHT(INDIRECT(ADDRESS(ROW(G2172)-1, 'From Order'!$A2172)), 1), G2171))"),"")</f>
        <v/>
      </c>
      <c r="H2172" s="2" t="str">
        <f>IFERROR(__xludf.DUMMYFUNCTION("IF('From Order'!$A2172=COLUMNS($A2172:H2191), LEFT(INDEX(FILTER(H$1:H2171, H$1:H2171&lt;&gt;""""),COUNTA(FILTER(H$1:H2171, H$1:H2171&lt;&gt;""""))), LEN(INDEX(FILTER(H$1:H2171, H$1:H2171&lt;&gt;""""),COUNTA(FILTER(H$1:H2171, H$1:H2171&lt;&gt;""""))))-1), IF('To Order'!$A2172=COL"&amp;"UMNS($A2172:H2191), H2171&amp;RIGHT(INDIRECT(ADDRESS(ROW(H2172)-1, 'From Order'!$A2172)), 1), H2171))"),"QTTCT")</f>
        <v>QTTCT</v>
      </c>
      <c r="I2172" s="2" t="str">
        <f>IFERROR(__xludf.DUMMYFUNCTION("IF('From Order'!$A2172=COLUMNS($A2172:I2191), LEFT(INDEX(FILTER(I$1:I2171, I$1:I2171&lt;&gt;""""),COUNTA(FILTER(I$1:I2171, I$1:I2171&lt;&gt;""""))), LEN(INDEX(FILTER(I$1:I2171, I$1:I2171&lt;&gt;""""),COUNTA(FILTER(I$1:I2171, I$1:I2171&lt;&gt;""""))))-1), IF('To Order'!$A2172=COL"&amp;"UMNS($A2172:I2191), I2171&amp;RIGHT(INDIRECT(ADDRESS(ROW(I2172)-1, 'From Order'!$A2172)), 1), I2171))"),"DDDVQZD")</f>
        <v>DDDVQZD</v>
      </c>
    </row>
    <row r="2173">
      <c r="A2173" s="2" t="str">
        <f>IFERROR(__xludf.DUMMYFUNCTION("IF('From Order'!$A2173=COLUMNS($A2173:A2192), LEFT(INDEX(FILTER(A$1:A2172, A$1:A2172&lt;&gt;""""),COUNTA(FILTER(A$1:A2172, A$1:A2172&lt;&gt;""""))), LEN(INDEX(FILTER(A$1:A2172, A$1:A2172&lt;&gt;""""),COUNTA(FILTER(A$1:A2172, A$1:A2172&lt;&gt;""""))))-1), IF('To Order'!$A2173=COL"&amp;"UMNS($A2173:A2192), A2172&amp;RIGHT(INDIRECT(ADDRESS(ROW(A2173)-1, 'From Order'!$A2173)), 1), A2172))"),"DSPBFLLW")</f>
        <v>DSPBFLLW</v>
      </c>
      <c r="B2173" s="2" t="str">
        <f>IFERROR(__xludf.DUMMYFUNCTION("IF('From Order'!$A2173=COLUMNS($A2173:B2192), LEFT(INDEX(FILTER(B$1:B2172, B$1:B2172&lt;&gt;""""),COUNTA(FILTER(B$1:B2172, B$1:B2172&lt;&gt;""""))), LEN(INDEX(FILTER(B$1:B2172, B$1:B2172&lt;&gt;""""),COUNTA(FILTER(B$1:B2172, B$1:B2172&lt;&gt;""""))))-1), IF('To Order'!$A2173=COL"&amp;"UMNS($A2173:B2192), B2172&amp;RIGHT(INDIRECT(ADDRESS(ROW(B2173)-1, 'From Order'!$A2173)), 1), B2172))"),"JDWG")</f>
        <v>JDWG</v>
      </c>
      <c r="C2173" s="2" t="str">
        <f>IFERROR(__xludf.DUMMYFUNCTION("IF('From Order'!$A2173=COLUMNS($A2173:C2192), LEFT(INDEX(FILTER(C$1:C2172, C$1:C2172&lt;&gt;""""),COUNTA(FILTER(C$1:C2172, C$1:C2172&lt;&gt;""""))), LEN(INDEX(FILTER(C$1:C2172, C$1:C2172&lt;&gt;""""),COUNTA(FILTER(C$1:C2172, C$1:C2172&lt;&gt;""""))))-1), IF('To Order'!$A2173=COL"&amp;"UMNS($A2173:C2192), C2172&amp;RIGHT(INDIRECT(ADDRESS(ROW(C2173)-1, 'From Order'!$A2173)), 1), C2172))"),"VBHC")</f>
        <v>VBHC</v>
      </c>
      <c r="D2173" s="2" t="str">
        <f>IFERROR(__xludf.DUMMYFUNCTION("IF('From Order'!$A2173=COLUMNS($A2173:D2192), LEFT(INDEX(FILTER(D$1:D2172, D$1:D2172&lt;&gt;""""),COUNTA(FILTER(D$1:D2172, D$1:D2172&lt;&gt;""""))), LEN(INDEX(FILTER(D$1:D2172, D$1:D2172&lt;&gt;""""),COUNTA(FILTER(D$1:D2172, D$1:D2172&lt;&gt;""""))))-1), IF('To Order'!$A2173=COL"&amp;"UMNS($A2173:D2192), D2172&amp;RIGHT(INDIRECT(ADDRESS(ROW(D2173)-1, 'From Order'!$A2173)), 1), D2172))"),"RBJVBRPHZMTSSPLRRJMGTT")</f>
        <v>RBJVBRPHZMTSSPLRRJMGTT</v>
      </c>
      <c r="E2173" s="2" t="str">
        <f>IFERROR(__xludf.DUMMYFUNCTION("IF('From Order'!$A2173=COLUMNS($A2173:E2192), LEFT(INDEX(FILTER(E$1:E2172, E$1:E2172&lt;&gt;""""),COUNTA(FILTER(E$1:E2172, E$1:E2172&lt;&gt;""""))), LEN(INDEX(FILTER(E$1:E2172, E$1:E2172&lt;&gt;""""),COUNTA(FILTER(E$1:E2172, E$1:E2172&lt;&gt;""""))))-1), IF('To Order'!$A2173=COL"&amp;"UMNS($A2173:E2192), E2172&amp;RIGHT(INDIRECT(ADDRESS(ROW(E2173)-1, 'From Order'!$A2173)), 1), E2172))"),"FSCZR")</f>
        <v>FSCZR</v>
      </c>
      <c r="F2173" s="2" t="str">
        <f>IFERROR(__xludf.DUMMYFUNCTION("IF('From Order'!$A2173=COLUMNS($A2173:F2192), LEFT(INDEX(FILTER(F$1:F2172, F$1:F2172&lt;&gt;""""),COUNTA(FILTER(F$1:F2172, F$1:F2172&lt;&gt;""""))), LEN(INDEX(FILTER(F$1:F2172, F$1:F2172&lt;&gt;""""),COUNTA(FILTER(F$1:F2172, F$1:F2172&lt;&gt;""""))))-1), IF('To Order'!$A2173=COL"&amp;"UMNS($A2173:F2192), F2172&amp;RIGHT(INDIRECT(ADDRESS(ROW(F2173)-1, 'From Order'!$A2173)), 1), F2172))"),"")</f>
        <v/>
      </c>
      <c r="G2173" s="2" t="str">
        <f>IFERROR(__xludf.DUMMYFUNCTION("IF('From Order'!$A2173=COLUMNS($A2173:G2192), LEFT(INDEX(FILTER(G$1:G2172, G$1:G2172&lt;&gt;""""),COUNTA(FILTER(G$1:G2172, G$1:G2172&lt;&gt;""""))), LEN(INDEX(FILTER(G$1:G2172, G$1:G2172&lt;&gt;""""),COUNTA(FILTER(G$1:G2172, G$1:G2172&lt;&gt;""""))))-1), IF('To Order'!$A2173=COL"&amp;"UMNS($A2173:G2192), G2172&amp;RIGHT(INDIRECT(ADDRESS(ROW(G2173)-1, 'From Order'!$A2173)), 1), G2172))"),"")</f>
        <v/>
      </c>
      <c r="H2173" s="2" t="str">
        <f>IFERROR(__xludf.DUMMYFUNCTION("IF('From Order'!$A2173=COLUMNS($A2173:H2192), LEFT(INDEX(FILTER(H$1:H2172, H$1:H2172&lt;&gt;""""),COUNTA(FILTER(H$1:H2172, H$1:H2172&lt;&gt;""""))), LEN(INDEX(FILTER(H$1:H2172, H$1:H2172&lt;&gt;""""),COUNTA(FILTER(H$1:H2172, H$1:H2172&lt;&gt;""""))))-1), IF('To Order'!$A2173=COL"&amp;"UMNS($A2173:H2192), H2172&amp;RIGHT(INDIRECT(ADDRESS(ROW(H2173)-1, 'From Order'!$A2173)), 1), H2172))"),"QTTCT")</f>
        <v>QTTCT</v>
      </c>
      <c r="I2173" s="2" t="str">
        <f>IFERROR(__xludf.DUMMYFUNCTION("IF('From Order'!$A2173=COLUMNS($A2173:I2192), LEFT(INDEX(FILTER(I$1:I2172, I$1:I2172&lt;&gt;""""),COUNTA(FILTER(I$1:I2172, I$1:I2172&lt;&gt;""""))), LEN(INDEX(FILTER(I$1:I2172, I$1:I2172&lt;&gt;""""),COUNTA(FILTER(I$1:I2172, I$1:I2172&lt;&gt;""""))))-1), IF('To Order'!$A2173=COL"&amp;"UMNS($A2173:I2192), I2172&amp;RIGHT(INDIRECT(ADDRESS(ROW(I2173)-1, 'From Order'!$A2173)), 1), I2172))"),"DDDVQZDM")</f>
        <v>DDDVQZDM</v>
      </c>
    </row>
    <row r="2174">
      <c r="A2174" s="2" t="str">
        <f>IFERROR(__xludf.DUMMYFUNCTION("IF('From Order'!$A2174=COLUMNS($A2174:A2193), LEFT(INDEX(FILTER(A$1:A2173, A$1:A2173&lt;&gt;""""),COUNTA(FILTER(A$1:A2173, A$1:A2173&lt;&gt;""""))), LEN(INDEX(FILTER(A$1:A2173, A$1:A2173&lt;&gt;""""),COUNTA(FILTER(A$1:A2173, A$1:A2173&lt;&gt;""""))))-1), IF('To Order'!$A2174=COL"&amp;"UMNS($A2174:A2193), A2173&amp;RIGHT(INDIRECT(ADDRESS(ROW(A2174)-1, 'From Order'!$A2174)), 1), A2173))"),"DSPBFLLW")</f>
        <v>DSPBFLLW</v>
      </c>
      <c r="B2174" s="2" t="str">
        <f>IFERROR(__xludf.DUMMYFUNCTION("IF('From Order'!$A2174=COLUMNS($A2174:B2193), LEFT(INDEX(FILTER(B$1:B2173, B$1:B2173&lt;&gt;""""),COUNTA(FILTER(B$1:B2173, B$1:B2173&lt;&gt;""""))), LEN(INDEX(FILTER(B$1:B2173, B$1:B2173&lt;&gt;""""),COUNTA(FILTER(B$1:B2173, B$1:B2173&lt;&gt;""""))))-1), IF('To Order'!$A2174=COL"&amp;"UMNS($A2174:B2193), B2173&amp;RIGHT(INDIRECT(ADDRESS(ROW(B2174)-1, 'From Order'!$A2174)), 1), B2173))"),"JDWG")</f>
        <v>JDWG</v>
      </c>
      <c r="C2174" s="2" t="str">
        <f>IFERROR(__xludf.DUMMYFUNCTION("IF('From Order'!$A2174=COLUMNS($A2174:C2193), LEFT(INDEX(FILTER(C$1:C2173, C$1:C2173&lt;&gt;""""),COUNTA(FILTER(C$1:C2173, C$1:C2173&lt;&gt;""""))), LEN(INDEX(FILTER(C$1:C2173, C$1:C2173&lt;&gt;""""),COUNTA(FILTER(C$1:C2173, C$1:C2173&lt;&gt;""""))))-1), IF('To Order'!$A2174=COL"&amp;"UMNS($A2174:C2193), C2173&amp;RIGHT(INDIRECT(ADDRESS(ROW(C2174)-1, 'From Order'!$A2174)), 1), C2173))"),"VBHC")</f>
        <v>VBHC</v>
      </c>
      <c r="D2174" s="2" t="str">
        <f>IFERROR(__xludf.DUMMYFUNCTION("IF('From Order'!$A2174=COLUMNS($A2174:D2193), LEFT(INDEX(FILTER(D$1:D2173, D$1:D2173&lt;&gt;""""),COUNTA(FILTER(D$1:D2173, D$1:D2173&lt;&gt;""""))), LEN(INDEX(FILTER(D$1:D2173, D$1:D2173&lt;&gt;""""),COUNTA(FILTER(D$1:D2173, D$1:D2173&lt;&gt;""""))))-1), IF('To Order'!$A2174=COL"&amp;"UMNS($A2174:D2193), D2173&amp;RIGHT(INDIRECT(ADDRESS(ROW(D2174)-1, 'From Order'!$A2174)), 1), D2173))"),"RBJVBRPHZMTSSPLRRJMGT")</f>
        <v>RBJVBRPHZMTSSPLRRJMGT</v>
      </c>
      <c r="E2174" s="2" t="str">
        <f>IFERROR(__xludf.DUMMYFUNCTION("IF('From Order'!$A2174=COLUMNS($A2174:E2193), LEFT(INDEX(FILTER(E$1:E2173, E$1:E2173&lt;&gt;""""),COUNTA(FILTER(E$1:E2173, E$1:E2173&lt;&gt;""""))), LEN(INDEX(FILTER(E$1:E2173, E$1:E2173&lt;&gt;""""),COUNTA(FILTER(E$1:E2173, E$1:E2173&lt;&gt;""""))))-1), IF('To Order'!$A2174=COL"&amp;"UMNS($A2174:E2193), E2173&amp;RIGHT(INDIRECT(ADDRESS(ROW(E2174)-1, 'From Order'!$A2174)), 1), E2173))"),"FSCZR")</f>
        <v>FSCZR</v>
      </c>
      <c r="F2174" s="2" t="str">
        <f>IFERROR(__xludf.DUMMYFUNCTION("IF('From Order'!$A2174=COLUMNS($A2174:F2193), LEFT(INDEX(FILTER(F$1:F2173, F$1:F2173&lt;&gt;""""),COUNTA(FILTER(F$1:F2173, F$1:F2173&lt;&gt;""""))), LEN(INDEX(FILTER(F$1:F2173, F$1:F2173&lt;&gt;""""),COUNTA(FILTER(F$1:F2173, F$1:F2173&lt;&gt;""""))))-1), IF('To Order'!$A2174=COL"&amp;"UMNS($A2174:F2193), F2173&amp;RIGHT(INDIRECT(ADDRESS(ROW(F2174)-1, 'From Order'!$A2174)), 1), F2173))"),"")</f>
        <v/>
      </c>
      <c r="G2174" s="2" t="str">
        <f>IFERROR(__xludf.DUMMYFUNCTION("IF('From Order'!$A2174=COLUMNS($A2174:G2193), LEFT(INDEX(FILTER(G$1:G2173, G$1:G2173&lt;&gt;""""),COUNTA(FILTER(G$1:G2173, G$1:G2173&lt;&gt;""""))), LEN(INDEX(FILTER(G$1:G2173, G$1:G2173&lt;&gt;""""),COUNTA(FILTER(G$1:G2173, G$1:G2173&lt;&gt;""""))))-1), IF('To Order'!$A2174=COL"&amp;"UMNS($A2174:G2193), G2173&amp;RIGHT(INDIRECT(ADDRESS(ROW(G2174)-1, 'From Order'!$A2174)), 1), G2173))"),"")</f>
        <v/>
      </c>
      <c r="H2174" s="2" t="str">
        <f>IFERROR(__xludf.DUMMYFUNCTION("IF('From Order'!$A2174=COLUMNS($A2174:H2193), LEFT(INDEX(FILTER(H$1:H2173, H$1:H2173&lt;&gt;""""),COUNTA(FILTER(H$1:H2173, H$1:H2173&lt;&gt;""""))), LEN(INDEX(FILTER(H$1:H2173, H$1:H2173&lt;&gt;""""),COUNTA(FILTER(H$1:H2173, H$1:H2173&lt;&gt;""""))))-1), IF('To Order'!$A2174=COL"&amp;"UMNS($A2174:H2193), H2173&amp;RIGHT(INDIRECT(ADDRESS(ROW(H2174)-1, 'From Order'!$A2174)), 1), H2173))"),"QTTCT")</f>
        <v>QTTCT</v>
      </c>
      <c r="I2174" s="2" t="str">
        <f>IFERROR(__xludf.DUMMYFUNCTION("IF('From Order'!$A2174=COLUMNS($A2174:I2193), LEFT(INDEX(FILTER(I$1:I2173, I$1:I2173&lt;&gt;""""),COUNTA(FILTER(I$1:I2173, I$1:I2173&lt;&gt;""""))), LEN(INDEX(FILTER(I$1:I2173, I$1:I2173&lt;&gt;""""),COUNTA(FILTER(I$1:I2173, I$1:I2173&lt;&gt;""""))))-1), IF('To Order'!$A2174=COL"&amp;"UMNS($A2174:I2193), I2173&amp;RIGHT(INDIRECT(ADDRESS(ROW(I2174)-1, 'From Order'!$A2174)), 1), I2173))"),"DDDVQZDMT")</f>
        <v>DDDVQZDMT</v>
      </c>
    </row>
    <row r="2175">
      <c r="A2175" s="2" t="str">
        <f>IFERROR(__xludf.DUMMYFUNCTION("IF('From Order'!$A2175=COLUMNS($A2175:A2194), LEFT(INDEX(FILTER(A$1:A2174, A$1:A2174&lt;&gt;""""),COUNTA(FILTER(A$1:A2174, A$1:A2174&lt;&gt;""""))), LEN(INDEX(FILTER(A$1:A2174, A$1:A2174&lt;&gt;""""),COUNTA(FILTER(A$1:A2174, A$1:A2174&lt;&gt;""""))))-1), IF('To Order'!$A2175=COL"&amp;"UMNS($A2175:A2194), A2174&amp;RIGHT(INDIRECT(ADDRESS(ROW(A2175)-1, 'From Order'!$A2175)), 1), A2174))"),"DSPBFLLW")</f>
        <v>DSPBFLLW</v>
      </c>
      <c r="B2175" s="2" t="str">
        <f>IFERROR(__xludf.DUMMYFUNCTION("IF('From Order'!$A2175=COLUMNS($A2175:B2194), LEFT(INDEX(FILTER(B$1:B2174, B$1:B2174&lt;&gt;""""),COUNTA(FILTER(B$1:B2174, B$1:B2174&lt;&gt;""""))), LEN(INDEX(FILTER(B$1:B2174, B$1:B2174&lt;&gt;""""),COUNTA(FILTER(B$1:B2174, B$1:B2174&lt;&gt;""""))))-1), IF('To Order'!$A2175=COL"&amp;"UMNS($A2175:B2194), B2174&amp;RIGHT(INDIRECT(ADDRESS(ROW(B2175)-1, 'From Order'!$A2175)), 1), B2174))"),"JDWG")</f>
        <v>JDWG</v>
      </c>
      <c r="C2175" s="2" t="str">
        <f>IFERROR(__xludf.DUMMYFUNCTION("IF('From Order'!$A2175=COLUMNS($A2175:C2194), LEFT(INDEX(FILTER(C$1:C2174, C$1:C2174&lt;&gt;""""),COUNTA(FILTER(C$1:C2174, C$1:C2174&lt;&gt;""""))), LEN(INDEX(FILTER(C$1:C2174, C$1:C2174&lt;&gt;""""),COUNTA(FILTER(C$1:C2174, C$1:C2174&lt;&gt;""""))))-1), IF('To Order'!$A2175=COL"&amp;"UMNS($A2175:C2194), C2174&amp;RIGHT(INDIRECT(ADDRESS(ROW(C2175)-1, 'From Order'!$A2175)), 1), C2174))"),"VBHC")</f>
        <v>VBHC</v>
      </c>
      <c r="D2175" s="2" t="str">
        <f>IFERROR(__xludf.DUMMYFUNCTION("IF('From Order'!$A2175=COLUMNS($A2175:D2194), LEFT(INDEX(FILTER(D$1:D2174, D$1:D2174&lt;&gt;""""),COUNTA(FILTER(D$1:D2174, D$1:D2174&lt;&gt;""""))), LEN(INDEX(FILTER(D$1:D2174, D$1:D2174&lt;&gt;""""),COUNTA(FILTER(D$1:D2174, D$1:D2174&lt;&gt;""""))))-1), IF('To Order'!$A2175=COL"&amp;"UMNS($A2175:D2194), D2174&amp;RIGHT(INDIRECT(ADDRESS(ROW(D2175)-1, 'From Order'!$A2175)), 1), D2174))"),"RBJVBRPHZMTSSPLRRJMG")</f>
        <v>RBJVBRPHZMTSSPLRRJMG</v>
      </c>
      <c r="E2175" s="2" t="str">
        <f>IFERROR(__xludf.DUMMYFUNCTION("IF('From Order'!$A2175=COLUMNS($A2175:E2194), LEFT(INDEX(FILTER(E$1:E2174, E$1:E2174&lt;&gt;""""),COUNTA(FILTER(E$1:E2174, E$1:E2174&lt;&gt;""""))), LEN(INDEX(FILTER(E$1:E2174, E$1:E2174&lt;&gt;""""),COUNTA(FILTER(E$1:E2174, E$1:E2174&lt;&gt;""""))))-1), IF('To Order'!$A2175=COL"&amp;"UMNS($A2175:E2194), E2174&amp;RIGHT(INDIRECT(ADDRESS(ROW(E2175)-1, 'From Order'!$A2175)), 1), E2174))"),"FSCZR")</f>
        <v>FSCZR</v>
      </c>
      <c r="F2175" s="2" t="str">
        <f>IFERROR(__xludf.DUMMYFUNCTION("IF('From Order'!$A2175=COLUMNS($A2175:F2194), LEFT(INDEX(FILTER(F$1:F2174, F$1:F2174&lt;&gt;""""),COUNTA(FILTER(F$1:F2174, F$1:F2174&lt;&gt;""""))), LEN(INDEX(FILTER(F$1:F2174, F$1:F2174&lt;&gt;""""),COUNTA(FILTER(F$1:F2174, F$1:F2174&lt;&gt;""""))))-1), IF('To Order'!$A2175=COL"&amp;"UMNS($A2175:F2194), F2174&amp;RIGHT(INDIRECT(ADDRESS(ROW(F2175)-1, 'From Order'!$A2175)), 1), F2174))"),"")</f>
        <v/>
      </c>
      <c r="G2175" s="2" t="str">
        <f>IFERROR(__xludf.DUMMYFUNCTION("IF('From Order'!$A2175=COLUMNS($A2175:G2194), LEFT(INDEX(FILTER(G$1:G2174, G$1:G2174&lt;&gt;""""),COUNTA(FILTER(G$1:G2174, G$1:G2174&lt;&gt;""""))), LEN(INDEX(FILTER(G$1:G2174, G$1:G2174&lt;&gt;""""),COUNTA(FILTER(G$1:G2174, G$1:G2174&lt;&gt;""""))))-1), IF('To Order'!$A2175=COL"&amp;"UMNS($A2175:G2194), G2174&amp;RIGHT(INDIRECT(ADDRESS(ROW(G2175)-1, 'From Order'!$A2175)), 1), G2174))"),"")</f>
        <v/>
      </c>
      <c r="H2175" s="2" t="str">
        <f>IFERROR(__xludf.DUMMYFUNCTION("IF('From Order'!$A2175=COLUMNS($A2175:H2194), LEFT(INDEX(FILTER(H$1:H2174, H$1:H2174&lt;&gt;""""),COUNTA(FILTER(H$1:H2174, H$1:H2174&lt;&gt;""""))), LEN(INDEX(FILTER(H$1:H2174, H$1:H2174&lt;&gt;""""),COUNTA(FILTER(H$1:H2174, H$1:H2174&lt;&gt;""""))))-1), IF('To Order'!$A2175=COL"&amp;"UMNS($A2175:H2194), H2174&amp;RIGHT(INDIRECT(ADDRESS(ROW(H2175)-1, 'From Order'!$A2175)), 1), H2174))"),"QTTCT")</f>
        <v>QTTCT</v>
      </c>
      <c r="I2175" s="2" t="str">
        <f>IFERROR(__xludf.DUMMYFUNCTION("IF('From Order'!$A2175=COLUMNS($A2175:I2194), LEFT(INDEX(FILTER(I$1:I2174, I$1:I2174&lt;&gt;""""),COUNTA(FILTER(I$1:I2174, I$1:I2174&lt;&gt;""""))), LEN(INDEX(FILTER(I$1:I2174, I$1:I2174&lt;&gt;""""),COUNTA(FILTER(I$1:I2174, I$1:I2174&lt;&gt;""""))))-1), IF('To Order'!$A2175=COL"&amp;"UMNS($A2175:I2194), I2174&amp;RIGHT(INDIRECT(ADDRESS(ROW(I2175)-1, 'From Order'!$A2175)), 1), I2174))"),"DDDVQZDMTT")</f>
        <v>DDDVQZDMTT</v>
      </c>
    </row>
    <row r="2176">
      <c r="A2176" s="2" t="str">
        <f>IFERROR(__xludf.DUMMYFUNCTION("IF('From Order'!$A2176=COLUMNS($A2176:A2195), LEFT(INDEX(FILTER(A$1:A2175, A$1:A2175&lt;&gt;""""),COUNTA(FILTER(A$1:A2175, A$1:A2175&lt;&gt;""""))), LEN(INDEX(FILTER(A$1:A2175, A$1:A2175&lt;&gt;""""),COUNTA(FILTER(A$1:A2175, A$1:A2175&lt;&gt;""""))))-1), IF('To Order'!$A2176=COL"&amp;"UMNS($A2176:A2195), A2175&amp;RIGHT(INDIRECT(ADDRESS(ROW(A2176)-1, 'From Order'!$A2176)), 1), A2175))"),"DSPBFLLW")</f>
        <v>DSPBFLLW</v>
      </c>
      <c r="B2176" s="2" t="str">
        <f>IFERROR(__xludf.DUMMYFUNCTION("IF('From Order'!$A2176=COLUMNS($A2176:B2195), LEFT(INDEX(FILTER(B$1:B2175, B$1:B2175&lt;&gt;""""),COUNTA(FILTER(B$1:B2175, B$1:B2175&lt;&gt;""""))), LEN(INDEX(FILTER(B$1:B2175, B$1:B2175&lt;&gt;""""),COUNTA(FILTER(B$1:B2175, B$1:B2175&lt;&gt;""""))))-1), IF('To Order'!$A2176=COL"&amp;"UMNS($A2176:B2195), B2175&amp;RIGHT(INDIRECT(ADDRESS(ROW(B2176)-1, 'From Order'!$A2176)), 1), B2175))"),"JDWG")</f>
        <v>JDWG</v>
      </c>
      <c r="C2176" s="2" t="str">
        <f>IFERROR(__xludf.DUMMYFUNCTION("IF('From Order'!$A2176=COLUMNS($A2176:C2195), LEFT(INDEX(FILTER(C$1:C2175, C$1:C2175&lt;&gt;""""),COUNTA(FILTER(C$1:C2175, C$1:C2175&lt;&gt;""""))), LEN(INDEX(FILTER(C$1:C2175, C$1:C2175&lt;&gt;""""),COUNTA(FILTER(C$1:C2175, C$1:C2175&lt;&gt;""""))))-1), IF('To Order'!$A2176=COL"&amp;"UMNS($A2176:C2195), C2175&amp;RIGHT(INDIRECT(ADDRESS(ROW(C2176)-1, 'From Order'!$A2176)), 1), C2175))"),"VBHC")</f>
        <v>VBHC</v>
      </c>
      <c r="D2176" s="2" t="str">
        <f>IFERROR(__xludf.DUMMYFUNCTION("IF('From Order'!$A2176=COLUMNS($A2176:D2195), LEFT(INDEX(FILTER(D$1:D2175, D$1:D2175&lt;&gt;""""),COUNTA(FILTER(D$1:D2175, D$1:D2175&lt;&gt;""""))), LEN(INDEX(FILTER(D$1:D2175, D$1:D2175&lt;&gt;""""),COUNTA(FILTER(D$1:D2175, D$1:D2175&lt;&gt;""""))))-1), IF('To Order'!$A2176=COL"&amp;"UMNS($A2176:D2195), D2175&amp;RIGHT(INDIRECT(ADDRESS(ROW(D2176)-1, 'From Order'!$A2176)), 1), D2175))"),"RBJVBRPHZMTSSPLRRJM")</f>
        <v>RBJVBRPHZMTSSPLRRJM</v>
      </c>
      <c r="E2176" s="2" t="str">
        <f>IFERROR(__xludf.DUMMYFUNCTION("IF('From Order'!$A2176=COLUMNS($A2176:E2195), LEFT(INDEX(FILTER(E$1:E2175, E$1:E2175&lt;&gt;""""),COUNTA(FILTER(E$1:E2175, E$1:E2175&lt;&gt;""""))), LEN(INDEX(FILTER(E$1:E2175, E$1:E2175&lt;&gt;""""),COUNTA(FILTER(E$1:E2175, E$1:E2175&lt;&gt;""""))))-1), IF('To Order'!$A2176=COL"&amp;"UMNS($A2176:E2195), E2175&amp;RIGHT(INDIRECT(ADDRESS(ROW(E2176)-1, 'From Order'!$A2176)), 1), E2175))"),"FSCZR")</f>
        <v>FSCZR</v>
      </c>
      <c r="F2176" s="2" t="str">
        <f>IFERROR(__xludf.DUMMYFUNCTION("IF('From Order'!$A2176=COLUMNS($A2176:F2195), LEFT(INDEX(FILTER(F$1:F2175, F$1:F2175&lt;&gt;""""),COUNTA(FILTER(F$1:F2175, F$1:F2175&lt;&gt;""""))), LEN(INDEX(FILTER(F$1:F2175, F$1:F2175&lt;&gt;""""),COUNTA(FILTER(F$1:F2175, F$1:F2175&lt;&gt;""""))))-1), IF('To Order'!$A2176=COL"&amp;"UMNS($A2176:F2195), F2175&amp;RIGHT(INDIRECT(ADDRESS(ROW(F2176)-1, 'From Order'!$A2176)), 1), F2175))"),"")</f>
        <v/>
      </c>
      <c r="G2176" s="2" t="str">
        <f>IFERROR(__xludf.DUMMYFUNCTION("IF('From Order'!$A2176=COLUMNS($A2176:G2195), LEFT(INDEX(FILTER(G$1:G2175, G$1:G2175&lt;&gt;""""),COUNTA(FILTER(G$1:G2175, G$1:G2175&lt;&gt;""""))), LEN(INDEX(FILTER(G$1:G2175, G$1:G2175&lt;&gt;""""),COUNTA(FILTER(G$1:G2175, G$1:G2175&lt;&gt;""""))))-1), IF('To Order'!$A2176=COL"&amp;"UMNS($A2176:G2195), G2175&amp;RIGHT(INDIRECT(ADDRESS(ROW(G2176)-1, 'From Order'!$A2176)), 1), G2175))"),"")</f>
        <v/>
      </c>
      <c r="H2176" s="2" t="str">
        <f>IFERROR(__xludf.DUMMYFUNCTION("IF('From Order'!$A2176=COLUMNS($A2176:H2195), LEFT(INDEX(FILTER(H$1:H2175, H$1:H2175&lt;&gt;""""),COUNTA(FILTER(H$1:H2175, H$1:H2175&lt;&gt;""""))), LEN(INDEX(FILTER(H$1:H2175, H$1:H2175&lt;&gt;""""),COUNTA(FILTER(H$1:H2175, H$1:H2175&lt;&gt;""""))))-1), IF('To Order'!$A2176=COL"&amp;"UMNS($A2176:H2195), H2175&amp;RIGHT(INDIRECT(ADDRESS(ROW(H2176)-1, 'From Order'!$A2176)), 1), H2175))"),"QTTCT")</f>
        <v>QTTCT</v>
      </c>
      <c r="I2176" s="2" t="str">
        <f>IFERROR(__xludf.DUMMYFUNCTION("IF('From Order'!$A2176=COLUMNS($A2176:I2195), LEFT(INDEX(FILTER(I$1:I2175, I$1:I2175&lt;&gt;""""),COUNTA(FILTER(I$1:I2175, I$1:I2175&lt;&gt;""""))), LEN(INDEX(FILTER(I$1:I2175, I$1:I2175&lt;&gt;""""),COUNTA(FILTER(I$1:I2175, I$1:I2175&lt;&gt;""""))))-1), IF('To Order'!$A2176=COL"&amp;"UMNS($A2176:I2195), I2175&amp;RIGHT(INDIRECT(ADDRESS(ROW(I2176)-1, 'From Order'!$A2176)), 1), I2175))"),"DDDVQZDMTTG")</f>
        <v>DDDVQZDMTTG</v>
      </c>
    </row>
    <row r="2177">
      <c r="A2177" s="2" t="str">
        <f>IFERROR(__xludf.DUMMYFUNCTION("IF('From Order'!$A2177=COLUMNS($A2177:A2196), LEFT(INDEX(FILTER(A$1:A2176, A$1:A2176&lt;&gt;""""),COUNTA(FILTER(A$1:A2176, A$1:A2176&lt;&gt;""""))), LEN(INDEX(FILTER(A$1:A2176, A$1:A2176&lt;&gt;""""),COUNTA(FILTER(A$1:A2176, A$1:A2176&lt;&gt;""""))))-1), IF('To Order'!$A2177=COL"&amp;"UMNS($A2177:A2196), A2176&amp;RIGHT(INDIRECT(ADDRESS(ROW(A2177)-1, 'From Order'!$A2177)), 1), A2176))"),"DSPBFLLW")</f>
        <v>DSPBFLLW</v>
      </c>
      <c r="B2177" s="2" t="str">
        <f>IFERROR(__xludf.DUMMYFUNCTION("IF('From Order'!$A2177=COLUMNS($A2177:B2196), LEFT(INDEX(FILTER(B$1:B2176, B$1:B2176&lt;&gt;""""),COUNTA(FILTER(B$1:B2176, B$1:B2176&lt;&gt;""""))), LEN(INDEX(FILTER(B$1:B2176, B$1:B2176&lt;&gt;""""),COUNTA(FILTER(B$1:B2176, B$1:B2176&lt;&gt;""""))))-1), IF('To Order'!$A2177=COL"&amp;"UMNS($A2177:B2196), B2176&amp;RIGHT(INDIRECT(ADDRESS(ROW(B2177)-1, 'From Order'!$A2177)), 1), B2176))"),"JDWG")</f>
        <v>JDWG</v>
      </c>
      <c r="C2177" s="2" t="str">
        <f>IFERROR(__xludf.DUMMYFUNCTION("IF('From Order'!$A2177=COLUMNS($A2177:C2196), LEFT(INDEX(FILTER(C$1:C2176, C$1:C2176&lt;&gt;""""),COUNTA(FILTER(C$1:C2176, C$1:C2176&lt;&gt;""""))), LEN(INDEX(FILTER(C$1:C2176, C$1:C2176&lt;&gt;""""),COUNTA(FILTER(C$1:C2176, C$1:C2176&lt;&gt;""""))))-1), IF('To Order'!$A2177=COL"&amp;"UMNS($A2177:C2196), C2176&amp;RIGHT(INDIRECT(ADDRESS(ROW(C2177)-1, 'From Order'!$A2177)), 1), C2176))"),"VBHC")</f>
        <v>VBHC</v>
      </c>
      <c r="D2177" s="2" t="str">
        <f>IFERROR(__xludf.DUMMYFUNCTION("IF('From Order'!$A2177=COLUMNS($A2177:D2196), LEFT(INDEX(FILTER(D$1:D2176, D$1:D2176&lt;&gt;""""),COUNTA(FILTER(D$1:D2176, D$1:D2176&lt;&gt;""""))), LEN(INDEX(FILTER(D$1:D2176, D$1:D2176&lt;&gt;""""),COUNTA(FILTER(D$1:D2176, D$1:D2176&lt;&gt;""""))))-1), IF('To Order'!$A2177=COL"&amp;"UMNS($A2177:D2196), D2176&amp;RIGHT(INDIRECT(ADDRESS(ROW(D2177)-1, 'From Order'!$A2177)), 1), D2176))"),"RBJVBRPHZMTSSPLRRJ")</f>
        <v>RBJVBRPHZMTSSPLRRJ</v>
      </c>
      <c r="E2177" s="2" t="str">
        <f>IFERROR(__xludf.DUMMYFUNCTION("IF('From Order'!$A2177=COLUMNS($A2177:E2196), LEFT(INDEX(FILTER(E$1:E2176, E$1:E2176&lt;&gt;""""),COUNTA(FILTER(E$1:E2176, E$1:E2176&lt;&gt;""""))), LEN(INDEX(FILTER(E$1:E2176, E$1:E2176&lt;&gt;""""),COUNTA(FILTER(E$1:E2176, E$1:E2176&lt;&gt;""""))))-1), IF('To Order'!$A2177=COL"&amp;"UMNS($A2177:E2196), E2176&amp;RIGHT(INDIRECT(ADDRESS(ROW(E2177)-1, 'From Order'!$A2177)), 1), E2176))"),"FSCZR")</f>
        <v>FSCZR</v>
      </c>
      <c r="F2177" s="2" t="str">
        <f>IFERROR(__xludf.DUMMYFUNCTION("IF('From Order'!$A2177=COLUMNS($A2177:F2196), LEFT(INDEX(FILTER(F$1:F2176, F$1:F2176&lt;&gt;""""),COUNTA(FILTER(F$1:F2176, F$1:F2176&lt;&gt;""""))), LEN(INDEX(FILTER(F$1:F2176, F$1:F2176&lt;&gt;""""),COUNTA(FILTER(F$1:F2176, F$1:F2176&lt;&gt;""""))))-1), IF('To Order'!$A2177=COL"&amp;"UMNS($A2177:F2196), F2176&amp;RIGHT(INDIRECT(ADDRESS(ROW(F2177)-1, 'From Order'!$A2177)), 1), F2176))"),"")</f>
        <v/>
      </c>
      <c r="G2177" s="2" t="str">
        <f>IFERROR(__xludf.DUMMYFUNCTION("IF('From Order'!$A2177=COLUMNS($A2177:G2196), LEFT(INDEX(FILTER(G$1:G2176, G$1:G2176&lt;&gt;""""),COUNTA(FILTER(G$1:G2176, G$1:G2176&lt;&gt;""""))), LEN(INDEX(FILTER(G$1:G2176, G$1:G2176&lt;&gt;""""),COUNTA(FILTER(G$1:G2176, G$1:G2176&lt;&gt;""""))))-1), IF('To Order'!$A2177=COL"&amp;"UMNS($A2177:G2196), G2176&amp;RIGHT(INDIRECT(ADDRESS(ROW(G2177)-1, 'From Order'!$A2177)), 1), G2176))"),"")</f>
        <v/>
      </c>
      <c r="H2177" s="2" t="str">
        <f>IFERROR(__xludf.DUMMYFUNCTION("IF('From Order'!$A2177=COLUMNS($A2177:H2196), LEFT(INDEX(FILTER(H$1:H2176, H$1:H2176&lt;&gt;""""),COUNTA(FILTER(H$1:H2176, H$1:H2176&lt;&gt;""""))), LEN(INDEX(FILTER(H$1:H2176, H$1:H2176&lt;&gt;""""),COUNTA(FILTER(H$1:H2176, H$1:H2176&lt;&gt;""""))))-1), IF('To Order'!$A2177=COL"&amp;"UMNS($A2177:H2196), H2176&amp;RIGHT(INDIRECT(ADDRESS(ROW(H2177)-1, 'From Order'!$A2177)), 1), H2176))"),"QTTCT")</f>
        <v>QTTCT</v>
      </c>
      <c r="I2177" s="2" t="str">
        <f>IFERROR(__xludf.DUMMYFUNCTION("IF('From Order'!$A2177=COLUMNS($A2177:I2196), LEFT(INDEX(FILTER(I$1:I2176, I$1:I2176&lt;&gt;""""),COUNTA(FILTER(I$1:I2176, I$1:I2176&lt;&gt;""""))), LEN(INDEX(FILTER(I$1:I2176, I$1:I2176&lt;&gt;""""),COUNTA(FILTER(I$1:I2176, I$1:I2176&lt;&gt;""""))))-1), IF('To Order'!$A2177=COL"&amp;"UMNS($A2177:I2196), I2176&amp;RIGHT(INDIRECT(ADDRESS(ROW(I2177)-1, 'From Order'!$A2177)), 1), I2176))"),"DDDVQZDMTTGM")</f>
        <v>DDDVQZDMTTGM</v>
      </c>
    </row>
    <row r="2178">
      <c r="A2178" s="2" t="str">
        <f>IFERROR(__xludf.DUMMYFUNCTION("IF('From Order'!$A2178=COLUMNS($A2178:A2197), LEFT(INDEX(FILTER(A$1:A2177, A$1:A2177&lt;&gt;""""),COUNTA(FILTER(A$1:A2177, A$1:A2177&lt;&gt;""""))), LEN(INDEX(FILTER(A$1:A2177, A$1:A2177&lt;&gt;""""),COUNTA(FILTER(A$1:A2177, A$1:A2177&lt;&gt;""""))))-1), IF('To Order'!$A2178=COL"&amp;"UMNS($A2178:A2197), A2177&amp;RIGHT(INDIRECT(ADDRESS(ROW(A2178)-1, 'From Order'!$A2178)), 1), A2177))"),"DSPBFLLW")</f>
        <v>DSPBFLLW</v>
      </c>
      <c r="B2178" s="2" t="str">
        <f>IFERROR(__xludf.DUMMYFUNCTION("IF('From Order'!$A2178=COLUMNS($A2178:B2197), LEFT(INDEX(FILTER(B$1:B2177, B$1:B2177&lt;&gt;""""),COUNTA(FILTER(B$1:B2177, B$1:B2177&lt;&gt;""""))), LEN(INDEX(FILTER(B$1:B2177, B$1:B2177&lt;&gt;""""),COUNTA(FILTER(B$1:B2177, B$1:B2177&lt;&gt;""""))))-1), IF('To Order'!$A2178=COL"&amp;"UMNS($A2178:B2197), B2177&amp;RIGHT(INDIRECT(ADDRESS(ROW(B2178)-1, 'From Order'!$A2178)), 1), B2177))"),"JDWG")</f>
        <v>JDWG</v>
      </c>
      <c r="C2178" s="2" t="str">
        <f>IFERROR(__xludf.DUMMYFUNCTION("IF('From Order'!$A2178=COLUMNS($A2178:C2197), LEFT(INDEX(FILTER(C$1:C2177, C$1:C2177&lt;&gt;""""),COUNTA(FILTER(C$1:C2177, C$1:C2177&lt;&gt;""""))), LEN(INDEX(FILTER(C$1:C2177, C$1:C2177&lt;&gt;""""),COUNTA(FILTER(C$1:C2177, C$1:C2177&lt;&gt;""""))))-1), IF('To Order'!$A2178=COL"&amp;"UMNS($A2178:C2197), C2177&amp;RIGHT(INDIRECT(ADDRESS(ROW(C2178)-1, 'From Order'!$A2178)), 1), C2177))"),"VBHC")</f>
        <v>VBHC</v>
      </c>
      <c r="D2178" s="2" t="str">
        <f>IFERROR(__xludf.DUMMYFUNCTION("IF('From Order'!$A2178=COLUMNS($A2178:D2197), LEFT(INDEX(FILTER(D$1:D2177, D$1:D2177&lt;&gt;""""),COUNTA(FILTER(D$1:D2177, D$1:D2177&lt;&gt;""""))), LEN(INDEX(FILTER(D$1:D2177, D$1:D2177&lt;&gt;""""),COUNTA(FILTER(D$1:D2177, D$1:D2177&lt;&gt;""""))))-1), IF('To Order'!$A2178=COL"&amp;"UMNS($A2178:D2197), D2177&amp;RIGHT(INDIRECT(ADDRESS(ROW(D2178)-1, 'From Order'!$A2178)), 1), D2177))"),"RBJVBRPHZMTSSPLRR")</f>
        <v>RBJVBRPHZMTSSPLRR</v>
      </c>
      <c r="E2178" s="2" t="str">
        <f>IFERROR(__xludf.DUMMYFUNCTION("IF('From Order'!$A2178=COLUMNS($A2178:E2197), LEFT(INDEX(FILTER(E$1:E2177, E$1:E2177&lt;&gt;""""),COUNTA(FILTER(E$1:E2177, E$1:E2177&lt;&gt;""""))), LEN(INDEX(FILTER(E$1:E2177, E$1:E2177&lt;&gt;""""),COUNTA(FILTER(E$1:E2177, E$1:E2177&lt;&gt;""""))))-1), IF('To Order'!$A2178=COL"&amp;"UMNS($A2178:E2197), E2177&amp;RIGHT(INDIRECT(ADDRESS(ROW(E2178)-1, 'From Order'!$A2178)), 1), E2177))"),"FSCZR")</f>
        <v>FSCZR</v>
      </c>
      <c r="F2178" s="2" t="str">
        <f>IFERROR(__xludf.DUMMYFUNCTION("IF('From Order'!$A2178=COLUMNS($A2178:F2197), LEFT(INDEX(FILTER(F$1:F2177, F$1:F2177&lt;&gt;""""),COUNTA(FILTER(F$1:F2177, F$1:F2177&lt;&gt;""""))), LEN(INDEX(FILTER(F$1:F2177, F$1:F2177&lt;&gt;""""),COUNTA(FILTER(F$1:F2177, F$1:F2177&lt;&gt;""""))))-1), IF('To Order'!$A2178=COL"&amp;"UMNS($A2178:F2197), F2177&amp;RIGHT(INDIRECT(ADDRESS(ROW(F2178)-1, 'From Order'!$A2178)), 1), F2177))"),"")</f>
        <v/>
      </c>
      <c r="G2178" s="2" t="str">
        <f>IFERROR(__xludf.DUMMYFUNCTION("IF('From Order'!$A2178=COLUMNS($A2178:G2197), LEFT(INDEX(FILTER(G$1:G2177, G$1:G2177&lt;&gt;""""),COUNTA(FILTER(G$1:G2177, G$1:G2177&lt;&gt;""""))), LEN(INDEX(FILTER(G$1:G2177, G$1:G2177&lt;&gt;""""),COUNTA(FILTER(G$1:G2177, G$1:G2177&lt;&gt;""""))))-1), IF('To Order'!$A2178=COL"&amp;"UMNS($A2178:G2197), G2177&amp;RIGHT(INDIRECT(ADDRESS(ROW(G2178)-1, 'From Order'!$A2178)), 1), G2177))"),"")</f>
        <v/>
      </c>
      <c r="H2178" s="2" t="str">
        <f>IFERROR(__xludf.DUMMYFUNCTION("IF('From Order'!$A2178=COLUMNS($A2178:H2197), LEFT(INDEX(FILTER(H$1:H2177, H$1:H2177&lt;&gt;""""),COUNTA(FILTER(H$1:H2177, H$1:H2177&lt;&gt;""""))), LEN(INDEX(FILTER(H$1:H2177, H$1:H2177&lt;&gt;""""),COUNTA(FILTER(H$1:H2177, H$1:H2177&lt;&gt;""""))))-1), IF('To Order'!$A2178=COL"&amp;"UMNS($A2178:H2197), H2177&amp;RIGHT(INDIRECT(ADDRESS(ROW(H2178)-1, 'From Order'!$A2178)), 1), H2177))"),"QTTCT")</f>
        <v>QTTCT</v>
      </c>
      <c r="I2178" s="2" t="str">
        <f>IFERROR(__xludf.DUMMYFUNCTION("IF('From Order'!$A2178=COLUMNS($A2178:I2197), LEFT(INDEX(FILTER(I$1:I2177, I$1:I2177&lt;&gt;""""),COUNTA(FILTER(I$1:I2177, I$1:I2177&lt;&gt;""""))), LEN(INDEX(FILTER(I$1:I2177, I$1:I2177&lt;&gt;""""),COUNTA(FILTER(I$1:I2177, I$1:I2177&lt;&gt;""""))))-1), IF('To Order'!$A2178=COL"&amp;"UMNS($A2178:I2197), I2177&amp;RIGHT(INDIRECT(ADDRESS(ROW(I2178)-1, 'From Order'!$A2178)), 1), I2177))"),"DDDVQZDMTTGMJ")</f>
        <v>DDDVQZDMTTGMJ</v>
      </c>
    </row>
    <row r="2179">
      <c r="A2179" s="2" t="str">
        <f>IFERROR(__xludf.DUMMYFUNCTION("IF('From Order'!$A2179=COLUMNS($A2179:A2198), LEFT(INDEX(FILTER(A$1:A2178, A$1:A2178&lt;&gt;""""),COUNTA(FILTER(A$1:A2178, A$1:A2178&lt;&gt;""""))), LEN(INDEX(FILTER(A$1:A2178, A$1:A2178&lt;&gt;""""),COUNTA(FILTER(A$1:A2178, A$1:A2178&lt;&gt;""""))))-1), IF('To Order'!$A2179=COL"&amp;"UMNS($A2179:A2198), A2178&amp;RIGHT(INDIRECT(ADDRESS(ROW(A2179)-1, 'From Order'!$A2179)), 1), A2178))"),"DSPBFLLW")</f>
        <v>DSPBFLLW</v>
      </c>
      <c r="B2179" s="2" t="str">
        <f>IFERROR(__xludf.DUMMYFUNCTION("IF('From Order'!$A2179=COLUMNS($A2179:B2198), LEFT(INDEX(FILTER(B$1:B2178, B$1:B2178&lt;&gt;""""),COUNTA(FILTER(B$1:B2178, B$1:B2178&lt;&gt;""""))), LEN(INDEX(FILTER(B$1:B2178, B$1:B2178&lt;&gt;""""),COUNTA(FILTER(B$1:B2178, B$1:B2178&lt;&gt;""""))))-1), IF('To Order'!$A2179=COL"&amp;"UMNS($A2179:B2198), B2178&amp;RIGHT(INDIRECT(ADDRESS(ROW(B2179)-1, 'From Order'!$A2179)), 1), B2178))"),"JDWG")</f>
        <v>JDWG</v>
      </c>
      <c r="C2179" s="2" t="str">
        <f>IFERROR(__xludf.DUMMYFUNCTION("IF('From Order'!$A2179=COLUMNS($A2179:C2198), LEFT(INDEX(FILTER(C$1:C2178, C$1:C2178&lt;&gt;""""),COUNTA(FILTER(C$1:C2178, C$1:C2178&lt;&gt;""""))), LEN(INDEX(FILTER(C$1:C2178, C$1:C2178&lt;&gt;""""),COUNTA(FILTER(C$1:C2178, C$1:C2178&lt;&gt;""""))))-1), IF('To Order'!$A2179=COL"&amp;"UMNS($A2179:C2198), C2178&amp;RIGHT(INDIRECT(ADDRESS(ROW(C2179)-1, 'From Order'!$A2179)), 1), C2178))"),"VBHC")</f>
        <v>VBHC</v>
      </c>
      <c r="D2179" s="2" t="str">
        <f>IFERROR(__xludf.DUMMYFUNCTION("IF('From Order'!$A2179=COLUMNS($A2179:D2198), LEFT(INDEX(FILTER(D$1:D2178, D$1:D2178&lt;&gt;""""),COUNTA(FILTER(D$1:D2178, D$1:D2178&lt;&gt;""""))), LEN(INDEX(FILTER(D$1:D2178, D$1:D2178&lt;&gt;""""),COUNTA(FILTER(D$1:D2178, D$1:D2178&lt;&gt;""""))))-1), IF('To Order'!$A2179=COL"&amp;"UMNS($A2179:D2198), D2178&amp;RIGHT(INDIRECT(ADDRESS(ROW(D2179)-1, 'From Order'!$A2179)), 1), D2178))"),"RBJVBRPHZMTSSPLR")</f>
        <v>RBJVBRPHZMTSSPLR</v>
      </c>
      <c r="E2179" s="2" t="str">
        <f>IFERROR(__xludf.DUMMYFUNCTION("IF('From Order'!$A2179=COLUMNS($A2179:E2198), LEFT(INDEX(FILTER(E$1:E2178, E$1:E2178&lt;&gt;""""),COUNTA(FILTER(E$1:E2178, E$1:E2178&lt;&gt;""""))), LEN(INDEX(FILTER(E$1:E2178, E$1:E2178&lt;&gt;""""),COUNTA(FILTER(E$1:E2178, E$1:E2178&lt;&gt;""""))))-1), IF('To Order'!$A2179=COL"&amp;"UMNS($A2179:E2198), E2178&amp;RIGHT(INDIRECT(ADDRESS(ROW(E2179)-1, 'From Order'!$A2179)), 1), E2178))"),"FSCZR")</f>
        <v>FSCZR</v>
      </c>
      <c r="F2179" s="2" t="str">
        <f>IFERROR(__xludf.DUMMYFUNCTION("IF('From Order'!$A2179=COLUMNS($A2179:F2198), LEFT(INDEX(FILTER(F$1:F2178, F$1:F2178&lt;&gt;""""),COUNTA(FILTER(F$1:F2178, F$1:F2178&lt;&gt;""""))), LEN(INDEX(FILTER(F$1:F2178, F$1:F2178&lt;&gt;""""),COUNTA(FILTER(F$1:F2178, F$1:F2178&lt;&gt;""""))))-1), IF('To Order'!$A2179=COL"&amp;"UMNS($A2179:F2198), F2178&amp;RIGHT(INDIRECT(ADDRESS(ROW(F2179)-1, 'From Order'!$A2179)), 1), F2178))"),"")</f>
        <v/>
      </c>
      <c r="G2179" s="2" t="str">
        <f>IFERROR(__xludf.DUMMYFUNCTION("IF('From Order'!$A2179=COLUMNS($A2179:G2198), LEFT(INDEX(FILTER(G$1:G2178, G$1:G2178&lt;&gt;""""),COUNTA(FILTER(G$1:G2178, G$1:G2178&lt;&gt;""""))), LEN(INDEX(FILTER(G$1:G2178, G$1:G2178&lt;&gt;""""),COUNTA(FILTER(G$1:G2178, G$1:G2178&lt;&gt;""""))))-1), IF('To Order'!$A2179=COL"&amp;"UMNS($A2179:G2198), G2178&amp;RIGHT(INDIRECT(ADDRESS(ROW(G2179)-1, 'From Order'!$A2179)), 1), G2178))"),"")</f>
        <v/>
      </c>
      <c r="H2179" s="2" t="str">
        <f>IFERROR(__xludf.DUMMYFUNCTION("IF('From Order'!$A2179=COLUMNS($A2179:H2198), LEFT(INDEX(FILTER(H$1:H2178, H$1:H2178&lt;&gt;""""),COUNTA(FILTER(H$1:H2178, H$1:H2178&lt;&gt;""""))), LEN(INDEX(FILTER(H$1:H2178, H$1:H2178&lt;&gt;""""),COUNTA(FILTER(H$1:H2178, H$1:H2178&lt;&gt;""""))))-1), IF('To Order'!$A2179=COL"&amp;"UMNS($A2179:H2198), H2178&amp;RIGHT(INDIRECT(ADDRESS(ROW(H2179)-1, 'From Order'!$A2179)), 1), H2178))"),"QTTCT")</f>
        <v>QTTCT</v>
      </c>
      <c r="I2179" s="2" t="str">
        <f>IFERROR(__xludf.DUMMYFUNCTION("IF('From Order'!$A2179=COLUMNS($A2179:I2198), LEFT(INDEX(FILTER(I$1:I2178, I$1:I2178&lt;&gt;""""),COUNTA(FILTER(I$1:I2178, I$1:I2178&lt;&gt;""""))), LEN(INDEX(FILTER(I$1:I2178, I$1:I2178&lt;&gt;""""),COUNTA(FILTER(I$1:I2178, I$1:I2178&lt;&gt;""""))))-1), IF('To Order'!$A2179=COL"&amp;"UMNS($A2179:I2198), I2178&amp;RIGHT(INDIRECT(ADDRESS(ROW(I2179)-1, 'From Order'!$A2179)), 1), I2178))"),"DDDVQZDMTTGMJR")</f>
        <v>DDDVQZDMTTGMJR</v>
      </c>
    </row>
    <row r="2180">
      <c r="A2180" s="2" t="str">
        <f>IFERROR(__xludf.DUMMYFUNCTION("IF('From Order'!$A2180=COLUMNS($A2180:A2199), LEFT(INDEX(FILTER(A$1:A2179, A$1:A2179&lt;&gt;""""),COUNTA(FILTER(A$1:A2179, A$1:A2179&lt;&gt;""""))), LEN(INDEX(FILTER(A$1:A2179, A$1:A2179&lt;&gt;""""),COUNTA(FILTER(A$1:A2179, A$1:A2179&lt;&gt;""""))))-1), IF('To Order'!$A2180=COL"&amp;"UMNS($A2180:A2199), A2179&amp;RIGHT(INDIRECT(ADDRESS(ROW(A2180)-1, 'From Order'!$A2180)), 1), A2179))"),"DSPBFLLW")</f>
        <v>DSPBFLLW</v>
      </c>
      <c r="B2180" s="2" t="str">
        <f>IFERROR(__xludf.DUMMYFUNCTION("IF('From Order'!$A2180=COLUMNS($A2180:B2199), LEFT(INDEX(FILTER(B$1:B2179, B$1:B2179&lt;&gt;""""),COUNTA(FILTER(B$1:B2179, B$1:B2179&lt;&gt;""""))), LEN(INDEX(FILTER(B$1:B2179, B$1:B2179&lt;&gt;""""),COUNTA(FILTER(B$1:B2179, B$1:B2179&lt;&gt;""""))))-1), IF('To Order'!$A2180=COL"&amp;"UMNS($A2180:B2199), B2179&amp;RIGHT(INDIRECT(ADDRESS(ROW(B2180)-1, 'From Order'!$A2180)), 1), B2179))"),"JDWG")</f>
        <v>JDWG</v>
      </c>
      <c r="C2180" s="2" t="str">
        <f>IFERROR(__xludf.DUMMYFUNCTION("IF('From Order'!$A2180=COLUMNS($A2180:C2199), LEFT(INDEX(FILTER(C$1:C2179, C$1:C2179&lt;&gt;""""),COUNTA(FILTER(C$1:C2179, C$1:C2179&lt;&gt;""""))), LEN(INDEX(FILTER(C$1:C2179, C$1:C2179&lt;&gt;""""),COUNTA(FILTER(C$1:C2179, C$1:C2179&lt;&gt;""""))))-1), IF('To Order'!$A2180=COL"&amp;"UMNS($A2180:C2199), C2179&amp;RIGHT(INDIRECT(ADDRESS(ROW(C2180)-1, 'From Order'!$A2180)), 1), C2179))"),"VBHC")</f>
        <v>VBHC</v>
      </c>
      <c r="D2180" s="2" t="str">
        <f>IFERROR(__xludf.DUMMYFUNCTION("IF('From Order'!$A2180=COLUMNS($A2180:D2199), LEFT(INDEX(FILTER(D$1:D2179, D$1:D2179&lt;&gt;""""),COUNTA(FILTER(D$1:D2179, D$1:D2179&lt;&gt;""""))), LEN(INDEX(FILTER(D$1:D2179, D$1:D2179&lt;&gt;""""),COUNTA(FILTER(D$1:D2179, D$1:D2179&lt;&gt;""""))))-1), IF('To Order'!$A2180=COL"&amp;"UMNS($A2180:D2199), D2179&amp;RIGHT(INDIRECT(ADDRESS(ROW(D2180)-1, 'From Order'!$A2180)), 1), D2179))"),"RBJVBRPHZMTSSPL")</f>
        <v>RBJVBRPHZMTSSPL</v>
      </c>
      <c r="E2180" s="2" t="str">
        <f>IFERROR(__xludf.DUMMYFUNCTION("IF('From Order'!$A2180=COLUMNS($A2180:E2199), LEFT(INDEX(FILTER(E$1:E2179, E$1:E2179&lt;&gt;""""),COUNTA(FILTER(E$1:E2179, E$1:E2179&lt;&gt;""""))), LEN(INDEX(FILTER(E$1:E2179, E$1:E2179&lt;&gt;""""),COUNTA(FILTER(E$1:E2179, E$1:E2179&lt;&gt;""""))))-1), IF('To Order'!$A2180=COL"&amp;"UMNS($A2180:E2199), E2179&amp;RIGHT(INDIRECT(ADDRESS(ROW(E2180)-1, 'From Order'!$A2180)), 1), E2179))"),"FSCZR")</f>
        <v>FSCZR</v>
      </c>
      <c r="F2180" s="2" t="str">
        <f>IFERROR(__xludf.DUMMYFUNCTION("IF('From Order'!$A2180=COLUMNS($A2180:F2199), LEFT(INDEX(FILTER(F$1:F2179, F$1:F2179&lt;&gt;""""),COUNTA(FILTER(F$1:F2179, F$1:F2179&lt;&gt;""""))), LEN(INDEX(FILTER(F$1:F2179, F$1:F2179&lt;&gt;""""),COUNTA(FILTER(F$1:F2179, F$1:F2179&lt;&gt;""""))))-1), IF('To Order'!$A2180=COL"&amp;"UMNS($A2180:F2199), F2179&amp;RIGHT(INDIRECT(ADDRESS(ROW(F2180)-1, 'From Order'!$A2180)), 1), F2179))"),"")</f>
        <v/>
      </c>
      <c r="G2180" s="2" t="str">
        <f>IFERROR(__xludf.DUMMYFUNCTION("IF('From Order'!$A2180=COLUMNS($A2180:G2199), LEFT(INDEX(FILTER(G$1:G2179, G$1:G2179&lt;&gt;""""),COUNTA(FILTER(G$1:G2179, G$1:G2179&lt;&gt;""""))), LEN(INDEX(FILTER(G$1:G2179, G$1:G2179&lt;&gt;""""),COUNTA(FILTER(G$1:G2179, G$1:G2179&lt;&gt;""""))))-1), IF('To Order'!$A2180=COL"&amp;"UMNS($A2180:G2199), G2179&amp;RIGHT(INDIRECT(ADDRESS(ROW(G2180)-1, 'From Order'!$A2180)), 1), G2179))"),"")</f>
        <v/>
      </c>
      <c r="H2180" s="2" t="str">
        <f>IFERROR(__xludf.DUMMYFUNCTION("IF('From Order'!$A2180=COLUMNS($A2180:H2199), LEFT(INDEX(FILTER(H$1:H2179, H$1:H2179&lt;&gt;""""),COUNTA(FILTER(H$1:H2179, H$1:H2179&lt;&gt;""""))), LEN(INDEX(FILTER(H$1:H2179, H$1:H2179&lt;&gt;""""),COUNTA(FILTER(H$1:H2179, H$1:H2179&lt;&gt;""""))))-1), IF('To Order'!$A2180=COL"&amp;"UMNS($A2180:H2199), H2179&amp;RIGHT(INDIRECT(ADDRESS(ROW(H2180)-1, 'From Order'!$A2180)), 1), H2179))"),"QTTCT")</f>
        <v>QTTCT</v>
      </c>
      <c r="I2180" s="2" t="str">
        <f>IFERROR(__xludf.DUMMYFUNCTION("IF('From Order'!$A2180=COLUMNS($A2180:I2199), LEFT(INDEX(FILTER(I$1:I2179, I$1:I2179&lt;&gt;""""),COUNTA(FILTER(I$1:I2179, I$1:I2179&lt;&gt;""""))), LEN(INDEX(FILTER(I$1:I2179, I$1:I2179&lt;&gt;""""),COUNTA(FILTER(I$1:I2179, I$1:I2179&lt;&gt;""""))))-1), IF('To Order'!$A2180=COL"&amp;"UMNS($A2180:I2199), I2179&amp;RIGHT(INDIRECT(ADDRESS(ROW(I2180)-1, 'From Order'!$A2180)), 1), I2179))"),"DDDVQZDMTTGMJRR")</f>
        <v>DDDVQZDMTTGMJRR</v>
      </c>
    </row>
    <row r="2181">
      <c r="A2181" s="2" t="str">
        <f>IFERROR(__xludf.DUMMYFUNCTION("IF('From Order'!$A2181=COLUMNS($A2181:A2200), LEFT(INDEX(FILTER(A$1:A2180, A$1:A2180&lt;&gt;""""),COUNTA(FILTER(A$1:A2180, A$1:A2180&lt;&gt;""""))), LEN(INDEX(FILTER(A$1:A2180, A$1:A2180&lt;&gt;""""),COUNTA(FILTER(A$1:A2180, A$1:A2180&lt;&gt;""""))))-1), IF('To Order'!$A2181=COL"&amp;"UMNS($A2181:A2200), A2180&amp;RIGHT(INDIRECT(ADDRESS(ROW(A2181)-1, 'From Order'!$A2181)), 1), A2180))"),"DSPBFLLW")</f>
        <v>DSPBFLLW</v>
      </c>
      <c r="B2181" s="2" t="str">
        <f>IFERROR(__xludf.DUMMYFUNCTION("IF('From Order'!$A2181=COLUMNS($A2181:B2200), LEFT(INDEX(FILTER(B$1:B2180, B$1:B2180&lt;&gt;""""),COUNTA(FILTER(B$1:B2180, B$1:B2180&lt;&gt;""""))), LEN(INDEX(FILTER(B$1:B2180, B$1:B2180&lt;&gt;""""),COUNTA(FILTER(B$1:B2180, B$1:B2180&lt;&gt;""""))))-1), IF('To Order'!$A2181=COL"&amp;"UMNS($A2181:B2200), B2180&amp;RIGHT(INDIRECT(ADDRESS(ROW(B2181)-1, 'From Order'!$A2181)), 1), B2180))"),"JDWG")</f>
        <v>JDWG</v>
      </c>
      <c r="C2181" s="2" t="str">
        <f>IFERROR(__xludf.DUMMYFUNCTION("IF('From Order'!$A2181=COLUMNS($A2181:C2200), LEFT(INDEX(FILTER(C$1:C2180, C$1:C2180&lt;&gt;""""),COUNTA(FILTER(C$1:C2180, C$1:C2180&lt;&gt;""""))), LEN(INDEX(FILTER(C$1:C2180, C$1:C2180&lt;&gt;""""),COUNTA(FILTER(C$1:C2180, C$1:C2180&lt;&gt;""""))))-1), IF('To Order'!$A2181=COL"&amp;"UMNS($A2181:C2200), C2180&amp;RIGHT(INDIRECT(ADDRESS(ROW(C2181)-1, 'From Order'!$A2181)), 1), C2180))"),"VBHC")</f>
        <v>VBHC</v>
      </c>
      <c r="D2181" s="2" t="str">
        <f>IFERROR(__xludf.DUMMYFUNCTION("IF('From Order'!$A2181=COLUMNS($A2181:D2200), LEFT(INDEX(FILTER(D$1:D2180, D$1:D2180&lt;&gt;""""),COUNTA(FILTER(D$1:D2180, D$1:D2180&lt;&gt;""""))), LEN(INDEX(FILTER(D$1:D2180, D$1:D2180&lt;&gt;""""),COUNTA(FILTER(D$1:D2180, D$1:D2180&lt;&gt;""""))))-1), IF('To Order'!$A2181=COL"&amp;"UMNS($A2181:D2200), D2180&amp;RIGHT(INDIRECT(ADDRESS(ROW(D2181)-1, 'From Order'!$A2181)), 1), D2180))"),"RBJVBRPHZMTSSP")</f>
        <v>RBJVBRPHZMTSSP</v>
      </c>
      <c r="E2181" s="2" t="str">
        <f>IFERROR(__xludf.DUMMYFUNCTION("IF('From Order'!$A2181=COLUMNS($A2181:E2200), LEFT(INDEX(FILTER(E$1:E2180, E$1:E2180&lt;&gt;""""),COUNTA(FILTER(E$1:E2180, E$1:E2180&lt;&gt;""""))), LEN(INDEX(FILTER(E$1:E2180, E$1:E2180&lt;&gt;""""),COUNTA(FILTER(E$1:E2180, E$1:E2180&lt;&gt;""""))))-1), IF('To Order'!$A2181=COL"&amp;"UMNS($A2181:E2200), E2180&amp;RIGHT(INDIRECT(ADDRESS(ROW(E2181)-1, 'From Order'!$A2181)), 1), E2180))"),"FSCZR")</f>
        <v>FSCZR</v>
      </c>
      <c r="F2181" s="2" t="str">
        <f>IFERROR(__xludf.DUMMYFUNCTION("IF('From Order'!$A2181=COLUMNS($A2181:F2200), LEFT(INDEX(FILTER(F$1:F2180, F$1:F2180&lt;&gt;""""),COUNTA(FILTER(F$1:F2180, F$1:F2180&lt;&gt;""""))), LEN(INDEX(FILTER(F$1:F2180, F$1:F2180&lt;&gt;""""),COUNTA(FILTER(F$1:F2180, F$1:F2180&lt;&gt;""""))))-1), IF('To Order'!$A2181=COL"&amp;"UMNS($A2181:F2200), F2180&amp;RIGHT(INDIRECT(ADDRESS(ROW(F2181)-1, 'From Order'!$A2181)), 1), F2180))"),"")</f>
        <v/>
      </c>
      <c r="G2181" s="2" t="str">
        <f>IFERROR(__xludf.DUMMYFUNCTION("IF('From Order'!$A2181=COLUMNS($A2181:G2200), LEFT(INDEX(FILTER(G$1:G2180, G$1:G2180&lt;&gt;""""),COUNTA(FILTER(G$1:G2180, G$1:G2180&lt;&gt;""""))), LEN(INDEX(FILTER(G$1:G2180, G$1:G2180&lt;&gt;""""),COUNTA(FILTER(G$1:G2180, G$1:G2180&lt;&gt;""""))))-1), IF('To Order'!$A2181=COL"&amp;"UMNS($A2181:G2200), G2180&amp;RIGHT(INDIRECT(ADDRESS(ROW(G2181)-1, 'From Order'!$A2181)), 1), G2180))"),"")</f>
        <v/>
      </c>
      <c r="H2181" s="2" t="str">
        <f>IFERROR(__xludf.DUMMYFUNCTION("IF('From Order'!$A2181=COLUMNS($A2181:H2200), LEFT(INDEX(FILTER(H$1:H2180, H$1:H2180&lt;&gt;""""),COUNTA(FILTER(H$1:H2180, H$1:H2180&lt;&gt;""""))), LEN(INDEX(FILTER(H$1:H2180, H$1:H2180&lt;&gt;""""),COUNTA(FILTER(H$1:H2180, H$1:H2180&lt;&gt;""""))))-1), IF('To Order'!$A2181=COL"&amp;"UMNS($A2181:H2200), H2180&amp;RIGHT(INDIRECT(ADDRESS(ROW(H2181)-1, 'From Order'!$A2181)), 1), H2180))"),"QTTCT")</f>
        <v>QTTCT</v>
      </c>
      <c r="I2181" s="2" t="str">
        <f>IFERROR(__xludf.DUMMYFUNCTION("IF('From Order'!$A2181=COLUMNS($A2181:I2200), LEFT(INDEX(FILTER(I$1:I2180, I$1:I2180&lt;&gt;""""),COUNTA(FILTER(I$1:I2180, I$1:I2180&lt;&gt;""""))), LEN(INDEX(FILTER(I$1:I2180, I$1:I2180&lt;&gt;""""),COUNTA(FILTER(I$1:I2180, I$1:I2180&lt;&gt;""""))))-1), IF('To Order'!$A2181=COL"&amp;"UMNS($A2181:I2200), I2180&amp;RIGHT(INDIRECT(ADDRESS(ROW(I2181)-1, 'From Order'!$A2181)), 1), I2180))"),"DDDVQZDMTTGMJRRL")</f>
        <v>DDDVQZDMTTGMJRRL</v>
      </c>
    </row>
    <row r="2182">
      <c r="A2182" s="2" t="str">
        <f>IFERROR(__xludf.DUMMYFUNCTION("IF('From Order'!$A2182=COLUMNS($A2182:A2201), LEFT(INDEX(FILTER(A$1:A2181, A$1:A2181&lt;&gt;""""),COUNTA(FILTER(A$1:A2181, A$1:A2181&lt;&gt;""""))), LEN(INDEX(FILTER(A$1:A2181, A$1:A2181&lt;&gt;""""),COUNTA(FILTER(A$1:A2181, A$1:A2181&lt;&gt;""""))))-1), IF('To Order'!$A2182=COL"&amp;"UMNS($A2182:A2201), A2181&amp;RIGHT(INDIRECT(ADDRESS(ROW(A2182)-1, 'From Order'!$A2182)), 1), A2181))"),"DSPBFLLW")</f>
        <v>DSPBFLLW</v>
      </c>
      <c r="B2182" s="2" t="str">
        <f>IFERROR(__xludf.DUMMYFUNCTION("IF('From Order'!$A2182=COLUMNS($A2182:B2201), LEFT(INDEX(FILTER(B$1:B2181, B$1:B2181&lt;&gt;""""),COUNTA(FILTER(B$1:B2181, B$1:B2181&lt;&gt;""""))), LEN(INDEX(FILTER(B$1:B2181, B$1:B2181&lt;&gt;""""),COUNTA(FILTER(B$1:B2181, B$1:B2181&lt;&gt;""""))))-1), IF('To Order'!$A2182=COL"&amp;"UMNS($A2182:B2201), B2181&amp;RIGHT(INDIRECT(ADDRESS(ROW(B2182)-1, 'From Order'!$A2182)), 1), B2181))"),"JDWG")</f>
        <v>JDWG</v>
      </c>
      <c r="C2182" s="2" t="str">
        <f>IFERROR(__xludf.DUMMYFUNCTION("IF('From Order'!$A2182=COLUMNS($A2182:C2201), LEFT(INDEX(FILTER(C$1:C2181, C$1:C2181&lt;&gt;""""),COUNTA(FILTER(C$1:C2181, C$1:C2181&lt;&gt;""""))), LEN(INDEX(FILTER(C$1:C2181, C$1:C2181&lt;&gt;""""),COUNTA(FILTER(C$1:C2181, C$1:C2181&lt;&gt;""""))))-1), IF('To Order'!$A2182=COL"&amp;"UMNS($A2182:C2201), C2181&amp;RIGHT(INDIRECT(ADDRESS(ROW(C2182)-1, 'From Order'!$A2182)), 1), C2181))"),"VBHC")</f>
        <v>VBHC</v>
      </c>
      <c r="D2182" s="2" t="str">
        <f>IFERROR(__xludf.DUMMYFUNCTION("IF('From Order'!$A2182=COLUMNS($A2182:D2201), LEFT(INDEX(FILTER(D$1:D2181, D$1:D2181&lt;&gt;""""),COUNTA(FILTER(D$1:D2181, D$1:D2181&lt;&gt;""""))), LEN(INDEX(FILTER(D$1:D2181, D$1:D2181&lt;&gt;""""),COUNTA(FILTER(D$1:D2181, D$1:D2181&lt;&gt;""""))))-1), IF('To Order'!$A2182=COL"&amp;"UMNS($A2182:D2201), D2181&amp;RIGHT(INDIRECT(ADDRESS(ROW(D2182)-1, 'From Order'!$A2182)), 1), D2181))"),"RBJVBRPHZMTSS")</f>
        <v>RBJVBRPHZMTSS</v>
      </c>
      <c r="E2182" s="2" t="str">
        <f>IFERROR(__xludf.DUMMYFUNCTION("IF('From Order'!$A2182=COLUMNS($A2182:E2201), LEFT(INDEX(FILTER(E$1:E2181, E$1:E2181&lt;&gt;""""),COUNTA(FILTER(E$1:E2181, E$1:E2181&lt;&gt;""""))), LEN(INDEX(FILTER(E$1:E2181, E$1:E2181&lt;&gt;""""),COUNTA(FILTER(E$1:E2181, E$1:E2181&lt;&gt;""""))))-1), IF('To Order'!$A2182=COL"&amp;"UMNS($A2182:E2201), E2181&amp;RIGHT(INDIRECT(ADDRESS(ROW(E2182)-1, 'From Order'!$A2182)), 1), E2181))"),"FSCZR")</f>
        <v>FSCZR</v>
      </c>
      <c r="F2182" s="2" t="str">
        <f>IFERROR(__xludf.DUMMYFUNCTION("IF('From Order'!$A2182=COLUMNS($A2182:F2201), LEFT(INDEX(FILTER(F$1:F2181, F$1:F2181&lt;&gt;""""),COUNTA(FILTER(F$1:F2181, F$1:F2181&lt;&gt;""""))), LEN(INDEX(FILTER(F$1:F2181, F$1:F2181&lt;&gt;""""),COUNTA(FILTER(F$1:F2181, F$1:F2181&lt;&gt;""""))))-1), IF('To Order'!$A2182=COL"&amp;"UMNS($A2182:F2201), F2181&amp;RIGHT(INDIRECT(ADDRESS(ROW(F2182)-1, 'From Order'!$A2182)), 1), F2181))"),"")</f>
        <v/>
      </c>
      <c r="G2182" s="2" t="str">
        <f>IFERROR(__xludf.DUMMYFUNCTION("IF('From Order'!$A2182=COLUMNS($A2182:G2201), LEFT(INDEX(FILTER(G$1:G2181, G$1:G2181&lt;&gt;""""),COUNTA(FILTER(G$1:G2181, G$1:G2181&lt;&gt;""""))), LEN(INDEX(FILTER(G$1:G2181, G$1:G2181&lt;&gt;""""),COUNTA(FILTER(G$1:G2181, G$1:G2181&lt;&gt;""""))))-1), IF('To Order'!$A2182=COL"&amp;"UMNS($A2182:G2201), G2181&amp;RIGHT(INDIRECT(ADDRESS(ROW(G2182)-1, 'From Order'!$A2182)), 1), G2181))"),"")</f>
        <v/>
      </c>
      <c r="H2182" s="2" t="str">
        <f>IFERROR(__xludf.DUMMYFUNCTION("IF('From Order'!$A2182=COLUMNS($A2182:H2201), LEFT(INDEX(FILTER(H$1:H2181, H$1:H2181&lt;&gt;""""),COUNTA(FILTER(H$1:H2181, H$1:H2181&lt;&gt;""""))), LEN(INDEX(FILTER(H$1:H2181, H$1:H2181&lt;&gt;""""),COUNTA(FILTER(H$1:H2181, H$1:H2181&lt;&gt;""""))))-1), IF('To Order'!$A2182=COL"&amp;"UMNS($A2182:H2201), H2181&amp;RIGHT(INDIRECT(ADDRESS(ROW(H2182)-1, 'From Order'!$A2182)), 1), H2181))"),"QTTCT")</f>
        <v>QTTCT</v>
      </c>
      <c r="I2182" s="2" t="str">
        <f>IFERROR(__xludf.DUMMYFUNCTION("IF('From Order'!$A2182=COLUMNS($A2182:I2201), LEFT(INDEX(FILTER(I$1:I2181, I$1:I2181&lt;&gt;""""),COUNTA(FILTER(I$1:I2181, I$1:I2181&lt;&gt;""""))), LEN(INDEX(FILTER(I$1:I2181, I$1:I2181&lt;&gt;""""),COUNTA(FILTER(I$1:I2181, I$1:I2181&lt;&gt;""""))))-1), IF('To Order'!$A2182=COL"&amp;"UMNS($A2182:I2201), I2181&amp;RIGHT(INDIRECT(ADDRESS(ROW(I2182)-1, 'From Order'!$A2182)), 1), I2181))"),"DDDVQZDMTTGMJRRLP")</f>
        <v>DDDVQZDMTTGMJRRLP</v>
      </c>
    </row>
    <row r="2183">
      <c r="A2183" s="2" t="str">
        <f>IFERROR(__xludf.DUMMYFUNCTION("IF('From Order'!$A2183=COLUMNS($A2183:A2202), LEFT(INDEX(FILTER(A$1:A2182, A$1:A2182&lt;&gt;""""),COUNTA(FILTER(A$1:A2182, A$1:A2182&lt;&gt;""""))), LEN(INDEX(FILTER(A$1:A2182, A$1:A2182&lt;&gt;""""),COUNTA(FILTER(A$1:A2182, A$1:A2182&lt;&gt;""""))))-1), IF('To Order'!$A2183=COL"&amp;"UMNS($A2183:A2202), A2182&amp;RIGHT(INDIRECT(ADDRESS(ROW(A2183)-1, 'From Order'!$A2183)), 1), A2182))"),"DSPBFLLW")</f>
        <v>DSPBFLLW</v>
      </c>
      <c r="B2183" s="2" t="str">
        <f>IFERROR(__xludf.DUMMYFUNCTION("IF('From Order'!$A2183=COLUMNS($A2183:B2202), LEFT(INDEX(FILTER(B$1:B2182, B$1:B2182&lt;&gt;""""),COUNTA(FILTER(B$1:B2182, B$1:B2182&lt;&gt;""""))), LEN(INDEX(FILTER(B$1:B2182, B$1:B2182&lt;&gt;""""),COUNTA(FILTER(B$1:B2182, B$1:B2182&lt;&gt;""""))))-1), IF('To Order'!$A2183=COL"&amp;"UMNS($A2183:B2202), B2182&amp;RIGHT(INDIRECT(ADDRESS(ROW(B2183)-1, 'From Order'!$A2183)), 1), B2182))"),"JDWG")</f>
        <v>JDWG</v>
      </c>
      <c r="C2183" s="2" t="str">
        <f>IFERROR(__xludf.DUMMYFUNCTION("IF('From Order'!$A2183=COLUMNS($A2183:C2202), LEFT(INDEX(FILTER(C$1:C2182, C$1:C2182&lt;&gt;""""),COUNTA(FILTER(C$1:C2182, C$1:C2182&lt;&gt;""""))), LEN(INDEX(FILTER(C$1:C2182, C$1:C2182&lt;&gt;""""),COUNTA(FILTER(C$1:C2182, C$1:C2182&lt;&gt;""""))))-1), IF('To Order'!$A2183=COL"&amp;"UMNS($A2183:C2202), C2182&amp;RIGHT(INDIRECT(ADDRESS(ROW(C2183)-1, 'From Order'!$A2183)), 1), C2182))"),"VBHC")</f>
        <v>VBHC</v>
      </c>
      <c r="D2183" s="2" t="str">
        <f>IFERROR(__xludf.DUMMYFUNCTION("IF('From Order'!$A2183=COLUMNS($A2183:D2202), LEFT(INDEX(FILTER(D$1:D2182, D$1:D2182&lt;&gt;""""),COUNTA(FILTER(D$1:D2182, D$1:D2182&lt;&gt;""""))), LEN(INDEX(FILTER(D$1:D2182, D$1:D2182&lt;&gt;""""),COUNTA(FILTER(D$1:D2182, D$1:D2182&lt;&gt;""""))))-1), IF('To Order'!$A2183=COL"&amp;"UMNS($A2183:D2202), D2182&amp;RIGHT(INDIRECT(ADDRESS(ROW(D2183)-1, 'From Order'!$A2183)), 1), D2182))"),"RBJVBRPHZMTS")</f>
        <v>RBJVBRPHZMTS</v>
      </c>
      <c r="E2183" s="2" t="str">
        <f>IFERROR(__xludf.DUMMYFUNCTION("IF('From Order'!$A2183=COLUMNS($A2183:E2202), LEFT(INDEX(FILTER(E$1:E2182, E$1:E2182&lt;&gt;""""),COUNTA(FILTER(E$1:E2182, E$1:E2182&lt;&gt;""""))), LEN(INDEX(FILTER(E$1:E2182, E$1:E2182&lt;&gt;""""),COUNTA(FILTER(E$1:E2182, E$1:E2182&lt;&gt;""""))))-1), IF('To Order'!$A2183=COL"&amp;"UMNS($A2183:E2202), E2182&amp;RIGHT(INDIRECT(ADDRESS(ROW(E2183)-1, 'From Order'!$A2183)), 1), E2182))"),"FSCZR")</f>
        <v>FSCZR</v>
      </c>
      <c r="F2183" s="2" t="str">
        <f>IFERROR(__xludf.DUMMYFUNCTION("IF('From Order'!$A2183=COLUMNS($A2183:F2202), LEFT(INDEX(FILTER(F$1:F2182, F$1:F2182&lt;&gt;""""),COUNTA(FILTER(F$1:F2182, F$1:F2182&lt;&gt;""""))), LEN(INDEX(FILTER(F$1:F2182, F$1:F2182&lt;&gt;""""),COUNTA(FILTER(F$1:F2182, F$1:F2182&lt;&gt;""""))))-1), IF('To Order'!$A2183=COL"&amp;"UMNS($A2183:F2202), F2182&amp;RIGHT(INDIRECT(ADDRESS(ROW(F2183)-1, 'From Order'!$A2183)), 1), F2182))"),"")</f>
        <v/>
      </c>
      <c r="G2183" s="2" t="str">
        <f>IFERROR(__xludf.DUMMYFUNCTION("IF('From Order'!$A2183=COLUMNS($A2183:G2202), LEFT(INDEX(FILTER(G$1:G2182, G$1:G2182&lt;&gt;""""),COUNTA(FILTER(G$1:G2182, G$1:G2182&lt;&gt;""""))), LEN(INDEX(FILTER(G$1:G2182, G$1:G2182&lt;&gt;""""),COUNTA(FILTER(G$1:G2182, G$1:G2182&lt;&gt;""""))))-1), IF('To Order'!$A2183=COL"&amp;"UMNS($A2183:G2202), G2182&amp;RIGHT(INDIRECT(ADDRESS(ROW(G2183)-1, 'From Order'!$A2183)), 1), G2182))"),"")</f>
        <v/>
      </c>
      <c r="H2183" s="2" t="str">
        <f>IFERROR(__xludf.DUMMYFUNCTION("IF('From Order'!$A2183=COLUMNS($A2183:H2202), LEFT(INDEX(FILTER(H$1:H2182, H$1:H2182&lt;&gt;""""),COUNTA(FILTER(H$1:H2182, H$1:H2182&lt;&gt;""""))), LEN(INDEX(FILTER(H$1:H2182, H$1:H2182&lt;&gt;""""),COUNTA(FILTER(H$1:H2182, H$1:H2182&lt;&gt;""""))))-1), IF('To Order'!$A2183=COL"&amp;"UMNS($A2183:H2202), H2182&amp;RIGHT(INDIRECT(ADDRESS(ROW(H2183)-1, 'From Order'!$A2183)), 1), H2182))"),"QTTCT")</f>
        <v>QTTCT</v>
      </c>
      <c r="I2183" s="2" t="str">
        <f>IFERROR(__xludf.DUMMYFUNCTION("IF('From Order'!$A2183=COLUMNS($A2183:I2202), LEFT(INDEX(FILTER(I$1:I2182, I$1:I2182&lt;&gt;""""),COUNTA(FILTER(I$1:I2182, I$1:I2182&lt;&gt;""""))), LEN(INDEX(FILTER(I$1:I2182, I$1:I2182&lt;&gt;""""),COUNTA(FILTER(I$1:I2182, I$1:I2182&lt;&gt;""""))))-1), IF('To Order'!$A2183=COL"&amp;"UMNS($A2183:I2202), I2182&amp;RIGHT(INDIRECT(ADDRESS(ROW(I2183)-1, 'From Order'!$A2183)), 1), I2182))"),"DDDVQZDMTTGMJRRLPS")</f>
        <v>DDDVQZDMTTGMJRRLPS</v>
      </c>
    </row>
    <row r="2184">
      <c r="A2184" s="2" t="str">
        <f>IFERROR(__xludf.DUMMYFUNCTION("IF('From Order'!$A2184=COLUMNS($A2184:A2203), LEFT(INDEX(FILTER(A$1:A2183, A$1:A2183&lt;&gt;""""),COUNTA(FILTER(A$1:A2183, A$1:A2183&lt;&gt;""""))), LEN(INDEX(FILTER(A$1:A2183, A$1:A2183&lt;&gt;""""),COUNTA(FILTER(A$1:A2183, A$1:A2183&lt;&gt;""""))))-1), IF('To Order'!$A2184=COL"&amp;"UMNS($A2184:A2203), A2183&amp;RIGHT(INDIRECT(ADDRESS(ROW(A2184)-1, 'From Order'!$A2184)), 1), A2183))"),"DSPBFLLW")</f>
        <v>DSPBFLLW</v>
      </c>
      <c r="B2184" s="2" t="str">
        <f>IFERROR(__xludf.DUMMYFUNCTION("IF('From Order'!$A2184=COLUMNS($A2184:B2203), LEFT(INDEX(FILTER(B$1:B2183, B$1:B2183&lt;&gt;""""),COUNTA(FILTER(B$1:B2183, B$1:B2183&lt;&gt;""""))), LEN(INDEX(FILTER(B$1:B2183, B$1:B2183&lt;&gt;""""),COUNTA(FILTER(B$1:B2183, B$1:B2183&lt;&gt;""""))))-1), IF('To Order'!$A2184=COL"&amp;"UMNS($A2184:B2203), B2183&amp;RIGHT(INDIRECT(ADDRESS(ROW(B2184)-1, 'From Order'!$A2184)), 1), B2183))"),"JDWG")</f>
        <v>JDWG</v>
      </c>
      <c r="C2184" s="2" t="str">
        <f>IFERROR(__xludf.DUMMYFUNCTION("IF('From Order'!$A2184=COLUMNS($A2184:C2203), LEFT(INDEX(FILTER(C$1:C2183, C$1:C2183&lt;&gt;""""),COUNTA(FILTER(C$1:C2183, C$1:C2183&lt;&gt;""""))), LEN(INDEX(FILTER(C$1:C2183, C$1:C2183&lt;&gt;""""),COUNTA(FILTER(C$1:C2183, C$1:C2183&lt;&gt;""""))))-1), IF('To Order'!$A2184=COL"&amp;"UMNS($A2184:C2203), C2183&amp;RIGHT(INDIRECT(ADDRESS(ROW(C2184)-1, 'From Order'!$A2184)), 1), C2183))"),"VBHC")</f>
        <v>VBHC</v>
      </c>
      <c r="D2184" s="2" t="str">
        <f>IFERROR(__xludf.DUMMYFUNCTION("IF('From Order'!$A2184=COLUMNS($A2184:D2203), LEFT(INDEX(FILTER(D$1:D2183, D$1:D2183&lt;&gt;""""),COUNTA(FILTER(D$1:D2183, D$1:D2183&lt;&gt;""""))), LEN(INDEX(FILTER(D$1:D2183, D$1:D2183&lt;&gt;""""),COUNTA(FILTER(D$1:D2183, D$1:D2183&lt;&gt;""""))))-1), IF('To Order'!$A2184=COL"&amp;"UMNS($A2184:D2203), D2183&amp;RIGHT(INDIRECT(ADDRESS(ROW(D2184)-1, 'From Order'!$A2184)), 1), D2183))"),"RBJVBRPHZMT")</f>
        <v>RBJVBRPHZMT</v>
      </c>
      <c r="E2184" s="2" t="str">
        <f>IFERROR(__xludf.DUMMYFUNCTION("IF('From Order'!$A2184=COLUMNS($A2184:E2203), LEFT(INDEX(FILTER(E$1:E2183, E$1:E2183&lt;&gt;""""),COUNTA(FILTER(E$1:E2183, E$1:E2183&lt;&gt;""""))), LEN(INDEX(FILTER(E$1:E2183, E$1:E2183&lt;&gt;""""),COUNTA(FILTER(E$1:E2183, E$1:E2183&lt;&gt;""""))))-1), IF('To Order'!$A2184=COL"&amp;"UMNS($A2184:E2203), E2183&amp;RIGHT(INDIRECT(ADDRESS(ROW(E2184)-1, 'From Order'!$A2184)), 1), E2183))"),"FSCZR")</f>
        <v>FSCZR</v>
      </c>
      <c r="F2184" s="2" t="str">
        <f>IFERROR(__xludf.DUMMYFUNCTION("IF('From Order'!$A2184=COLUMNS($A2184:F2203), LEFT(INDEX(FILTER(F$1:F2183, F$1:F2183&lt;&gt;""""),COUNTA(FILTER(F$1:F2183, F$1:F2183&lt;&gt;""""))), LEN(INDEX(FILTER(F$1:F2183, F$1:F2183&lt;&gt;""""),COUNTA(FILTER(F$1:F2183, F$1:F2183&lt;&gt;""""))))-1), IF('To Order'!$A2184=COL"&amp;"UMNS($A2184:F2203), F2183&amp;RIGHT(INDIRECT(ADDRESS(ROW(F2184)-1, 'From Order'!$A2184)), 1), F2183))"),"")</f>
        <v/>
      </c>
      <c r="G2184" s="2" t="str">
        <f>IFERROR(__xludf.DUMMYFUNCTION("IF('From Order'!$A2184=COLUMNS($A2184:G2203), LEFT(INDEX(FILTER(G$1:G2183, G$1:G2183&lt;&gt;""""),COUNTA(FILTER(G$1:G2183, G$1:G2183&lt;&gt;""""))), LEN(INDEX(FILTER(G$1:G2183, G$1:G2183&lt;&gt;""""),COUNTA(FILTER(G$1:G2183, G$1:G2183&lt;&gt;""""))))-1), IF('To Order'!$A2184=COL"&amp;"UMNS($A2184:G2203), G2183&amp;RIGHT(INDIRECT(ADDRESS(ROW(G2184)-1, 'From Order'!$A2184)), 1), G2183))"),"")</f>
        <v/>
      </c>
      <c r="H2184" s="2" t="str">
        <f>IFERROR(__xludf.DUMMYFUNCTION("IF('From Order'!$A2184=COLUMNS($A2184:H2203), LEFT(INDEX(FILTER(H$1:H2183, H$1:H2183&lt;&gt;""""),COUNTA(FILTER(H$1:H2183, H$1:H2183&lt;&gt;""""))), LEN(INDEX(FILTER(H$1:H2183, H$1:H2183&lt;&gt;""""),COUNTA(FILTER(H$1:H2183, H$1:H2183&lt;&gt;""""))))-1), IF('To Order'!$A2184=COL"&amp;"UMNS($A2184:H2203), H2183&amp;RIGHT(INDIRECT(ADDRESS(ROW(H2184)-1, 'From Order'!$A2184)), 1), H2183))"),"QTTCT")</f>
        <v>QTTCT</v>
      </c>
      <c r="I2184" s="2" t="str">
        <f>IFERROR(__xludf.DUMMYFUNCTION("IF('From Order'!$A2184=COLUMNS($A2184:I2203), LEFT(INDEX(FILTER(I$1:I2183, I$1:I2183&lt;&gt;""""),COUNTA(FILTER(I$1:I2183, I$1:I2183&lt;&gt;""""))), LEN(INDEX(FILTER(I$1:I2183, I$1:I2183&lt;&gt;""""),COUNTA(FILTER(I$1:I2183, I$1:I2183&lt;&gt;""""))))-1), IF('To Order'!$A2184=COL"&amp;"UMNS($A2184:I2203), I2183&amp;RIGHT(INDIRECT(ADDRESS(ROW(I2184)-1, 'From Order'!$A2184)), 1), I2183))"),"DDDVQZDMTTGMJRRLPSS")</f>
        <v>DDDVQZDMTTGMJRRLPSS</v>
      </c>
    </row>
    <row r="2185">
      <c r="A2185" s="2" t="str">
        <f>IFERROR(__xludf.DUMMYFUNCTION("IF('From Order'!$A2185=COLUMNS($A2185:A2204), LEFT(INDEX(FILTER(A$1:A2184, A$1:A2184&lt;&gt;""""),COUNTA(FILTER(A$1:A2184, A$1:A2184&lt;&gt;""""))), LEN(INDEX(FILTER(A$1:A2184, A$1:A2184&lt;&gt;""""),COUNTA(FILTER(A$1:A2184, A$1:A2184&lt;&gt;""""))))-1), IF('To Order'!$A2185=COL"&amp;"UMNS($A2185:A2204), A2184&amp;RIGHT(INDIRECT(ADDRESS(ROW(A2185)-1, 'From Order'!$A2185)), 1), A2184))"),"DSPBFLLW")</f>
        <v>DSPBFLLW</v>
      </c>
      <c r="B2185" s="2" t="str">
        <f>IFERROR(__xludf.DUMMYFUNCTION("IF('From Order'!$A2185=COLUMNS($A2185:B2204), LEFT(INDEX(FILTER(B$1:B2184, B$1:B2184&lt;&gt;""""),COUNTA(FILTER(B$1:B2184, B$1:B2184&lt;&gt;""""))), LEN(INDEX(FILTER(B$1:B2184, B$1:B2184&lt;&gt;""""),COUNTA(FILTER(B$1:B2184, B$1:B2184&lt;&gt;""""))))-1), IF('To Order'!$A2185=COL"&amp;"UMNS($A2185:B2204), B2184&amp;RIGHT(INDIRECT(ADDRESS(ROW(B2185)-1, 'From Order'!$A2185)), 1), B2184))"),"JDWG")</f>
        <v>JDWG</v>
      </c>
      <c r="C2185" s="2" t="str">
        <f>IFERROR(__xludf.DUMMYFUNCTION("IF('From Order'!$A2185=COLUMNS($A2185:C2204), LEFT(INDEX(FILTER(C$1:C2184, C$1:C2184&lt;&gt;""""),COUNTA(FILTER(C$1:C2184, C$1:C2184&lt;&gt;""""))), LEN(INDEX(FILTER(C$1:C2184, C$1:C2184&lt;&gt;""""),COUNTA(FILTER(C$1:C2184, C$1:C2184&lt;&gt;""""))))-1), IF('To Order'!$A2185=COL"&amp;"UMNS($A2185:C2204), C2184&amp;RIGHT(INDIRECT(ADDRESS(ROW(C2185)-1, 'From Order'!$A2185)), 1), C2184))"),"VBHC")</f>
        <v>VBHC</v>
      </c>
      <c r="D2185" s="2" t="str">
        <f>IFERROR(__xludf.DUMMYFUNCTION("IF('From Order'!$A2185=COLUMNS($A2185:D2204), LEFT(INDEX(FILTER(D$1:D2184, D$1:D2184&lt;&gt;""""),COUNTA(FILTER(D$1:D2184, D$1:D2184&lt;&gt;""""))), LEN(INDEX(FILTER(D$1:D2184, D$1:D2184&lt;&gt;""""),COUNTA(FILTER(D$1:D2184, D$1:D2184&lt;&gt;""""))))-1), IF('To Order'!$A2185=COL"&amp;"UMNS($A2185:D2204), D2184&amp;RIGHT(INDIRECT(ADDRESS(ROW(D2185)-1, 'From Order'!$A2185)), 1), D2184))"),"RBJVBRPHZM")</f>
        <v>RBJVBRPHZM</v>
      </c>
      <c r="E2185" s="2" t="str">
        <f>IFERROR(__xludf.DUMMYFUNCTION("IF('From Order'!$A2185=COLUMNS($A2185:E2204), LEFT(INDEX(FILTER(E$1:E2184, E$1:E2184&lt;&gt;""""),COUNTA(FILTER(E$1:E2184, E$1:E2184&lt;&gt;""""))), LEN(INDEX(FILTER(E$1:E2184, E$1:E2184&lt;&gt;""""),COUNTA(FILTER(E$1:E2184, E$1:E2184&lt;&gt;""""))))-1), IF('To Order'!$A2185=COL"&amp;"UMNS($A2185:E2204), E2184&amp;RIGHT(INDIRECT(ADDRESS(ROW(E2185)-1, 'From Order'!$A2185)), 1), E2184))"),"FSCZR")</f>
        <v>FSCZR</v>
      </c>
      <c r="F2185" s="2" t="str">
        <f>IFERROR(__xludf.DUMMYFUNCTION("IF('From Order'!$A2185=COLUMNS($A2185:F2204), LEFT(INDEX(FILTER(F$1:F2184, F$1:F2184&lt;&gt;""""),COUNTA(FILTER(F$1:F2184, F$1:F2184&lt;&gt;""""))), LEN(INDEX(FILTER(F$1:F2184, F$1:F2184&lt;&gt;""""),COUNTA(FILTER(F$1:F2184, F$1:F2184&lt;&gt;""""))))-1), IF('To Order'!$A2185=COL"&amp;"UMNS($A2185:F2204), F2184&amp;RIGHT(INDIRECT(ADDRESS(ROW(F2185)-1, 'From Order'!$A2185)), 1), F2184))"),"")</f>
        <v/>
      </c>
      <c r="G2185" s="2" t="str">
        <f>IFERROR(__xludf.DUMMYFUNCTION("IF('From Order'!$A2185=COLUMNS($A2185:G2204), LEFT(INDEX(FILTER(G$1:G2184, G$1:G2184&lt;&gt;""""),COUNTA(FILTER(G$1:G2184, G$1:G2184&lt;&gt;""""))), LEN(INDEX(FILTER(G$1:G2184, G$1:G2184&lt;&gt;""""),COUNTA(FILTER(G$1:G2184, G$1:G2184&lt;&gt;""""))))-1), IF('To Order'!$A2185=COL"&amp;"UMNS($A2185:G2204), G2184&amp;RIGHT(INDIRECT(ADDRESS(ROW(G2185)-1, 'From Order'!$A2185)), 1), G2184))"),"")</f>
        <v/>
      </c>
      <c r="H2185" s="2" t="str">
        <f>IFERROR(__xludf.DUMMYFUNCTION("IF('From Order'!$A2185=COLUMNS($A2185:H2204), LEFT(INDEX(FILTER(H$1:H2184, H$1:H2184&lt;&gt;""""),COUNTA(FILTER(H$1:H2184, H$1:H2184&lt;&gt;""""))), LEN(INDEX(FILTER(H$1:H2184, H$1:H2184&lt;&gt;""""),COUNTA(FILTER(H$1:H2184, H$1:H2184&lt;&gt;""""))))-1), IF('To Order'!$A2185=COL"&amp;"UMNS($A2185:H2204), H2184&amp;RIGHT(INDIRECT(ADDRESS(ROW(H2185)-1, 'From Order'!$A2185)), 1), H2184))"),"QTTCT")</f>
        <v>QTTCT</v>
      </c>
      <c r="I2185" s="2" t="str">
        <f>IFERROR(__xludf.DUMMYFUNCTION("IF('From Order'!$A2185=COLUMNS($A2185:I2204), LEFT(INDEX(FILTER(I$1:I2184, I$1:I2184&lt;&gt;""""),COUNTA(FILTER(I$1:I2184, I$1:I2184&lt;&gt;""""))), LEN(INDEX(FILTER(I$1:I2184, I$1:I2184&lt;&gt;""""),COUNTA(FILTER(I$1:I2184, I$1:I2184&lt;&gt;""""))))-1), IF('To Order'!$A2185=COL"&amp;"UMNS($A2185:I2204), I2184&amp;RIGHT(INDIRECT(ADDRESS(ROW(I2185)-1, 'From Order'!$A2185)), 1), I2184))"),"DDDVQZDMTTGMJRRLPSST")</f>
        <v>DDDVQZDMTTGMJRRLPSST</v>
      </c>
    </row>
    <row r="2186">
      <c r="A2186" s="2" t="str">
        <f>IFERROR(__xludf.DUMMYFUNCTION("IF('From Order'!$A2186=COLUMNS($A2186:A2205), LEFT(INDEX(FILTER(A$1:A2185, A$1:A2185&lt;&gt;""""),COUNTA(FILTER(A$1:A2185, A$1:A2185&lt;&gt;""""))), LEN(INDEX(FILTER(A$1:A2185, A$1:A2185&lt;&gt;""""),COUNTA(FILTER(A$1:A2185, A$1:A2185&lt;&gt;""""))))-1), IF('To Order'!$A2186=COL"&amp;"UMNS($A2186:A2205), A2185&amp;RIGHT(INDIRECT(ADDRESS(ROW(A2186)-1, 'From Order'!$A2186)), 1), A2185))"),"DSPBFLLW")</f>
        <v>DSPBFLLW</v>
      </c>
      <c r="B2186" s="2" t="str">
        <f>IFERROR(__xludf.DUMMYFUNCTION("IF('From Order'!$A2186=COLUMNS($A2186:B2205), LEFT(INDEX(FILTER(B$1:B2185, B$1:B2185&lt;&gt;""""),COUNTA(FILTER(B$1:B2185, B$1:B2185&lt;&gt;""""))), LEN(INDEX(FILTER(B$1:B2185, B$1:B2185&lt;&gt;""""),COUNTA(FILTER(B$1:B2185, B$1:B2185&lt;&gt;""""))))-1), IF('To Order'!$A2186=COL"&amp;"UMNS($A2186:B2205), B2185&amp;RIGHT(INDIRECT(ADDRESS(ROW(B2186)-1, 'From Order'!$A2186)), 1), B2185))"),"JDWG")</f>
        <v>JDWG</v>
      </c>
      <c r="C2186" s="2" t="str">
        <f>IFERROR(__xludf.DUMMYFUNCTION("IF('From Order'!$A2186=COLUMNS($A2186:C2205), LEFT(INDEX(FILTER(C$1:C2185, C$1:C2185&lt;&gt;""""),COUNTA(FILTER(C$1:C2185, C$1:C2185&lt;&gt;""""))), LEN(INDEX(FILTER(C$1:C2185, C$1:C2185&lt;&gt;""""),COUNTA(FILTER(C$1:C2185, C$1:C2185&lt;&gt;""""))))-1), IF('To Order'!$A2186=COL"&amp;"UMNS($A2186:C2205), C2185&amp;RIGHT(INDIRECT(ADDRESS(ROW(C2186)-1, 'From Order'!$A2186)), 1), C2185))"),"VBHC")</f>
        <v>VBHC</v>
      </c>
      <c r="D2186" s="2" t="str">
        <f>IFERROR(__xludf.DUMMYFUNCTION("IF('From Order'!$A2186=COLUMNS($A2186:D2205), LEFT(INDEX(FILTER(D$1:D2185, D$1:D2185&lt;&gt;""""),COUNTA(FILTER(D$1:D2185, D$1:D2185&lt;&gt;""""))), LEN(INDEX(FILTER(D$1:D2185, D$1:D2185&lt;&gt;""""),COUNTA(FILTER(D$1:D2185, D$1:D2185&lt;&gt;""""))))-1), IF('To Order'!$A2186=COL"&amp;"UMNS($A2186:D2205), D2185&amp;RIGHT(INDIRECT(ADDRESS(ROW(D2186)-1, 'From Order'!$A2186)), 1), D2185))"),"RBJVBRPHZ")</f>
        <v>RBJVBRPHZ</v>
      </c>
      <c r="E2186" s="2" t="str">
        <f>IFERROR(__xludf.DUMMYFUNCTION("IF('From Order'!$A2186=COLUMNS($A2186:E2205), LEFT(INDEX(FILTER(E$1:E2185, E$1:E2185&lt;&gt;""""),COUNTA(FILTER(E$1:E2185, E$1:E2185&lt;&gt;""""))), LEN(INDEX(FILTER(E$1:E2185, E$1:E2185&lt;&gt;""""),COUNTA(FILTER(E$1:E2185, E$1:E2185&lt;&gt;""""))))-1), IF('To Order'!$A2186=COL"&amp;"UMNS($A2186:E2205), E2185&amp;RIGHT(INDIRECT(ADDRESS(ROW(E2186)-1, 'From Order'!$A2186)), 1), E2185))"),"FSCZR")</f>
        <v>FSCZR</v>
      </c>
      <c r="F2186" s="2" t="str">
        <f>IFERROR(__xludf.DUMMYFUNCTION("IF('From Order'!$A2186=COLUMNS($A2186:F2205), LEFT(INDEX(FILTER(F$1:F2185, F$1:F2185&lt;&gt;""""),COUNTA(FILTER(F$1:F2185, F$1:F2185&lt;&gt;""""))), LEN(INDEX(FILTER(F$1:F2185, F$1:F2185&lt;&gt;""""),COUNTA(FILTER(F$1:F2185, F$1:F2185&lt;&gt;""""))))-1), IF('To Order'!$A2186=COL"&amp;"UMNS($A2186:F2205), F2185&amp;RIGHT(INDIRECT(ADDRESS(ROW(F2186)-1, 'From Order'!$A2186)), 1), F2185))"),"")</f>
        <v/>
      </c>
      <c r="G2186" s="2" t="str">
        <f>IFERROR(__xludf.DUMMYFUNCTION("IF('From Order'!$A2186=COLUMNS($A2186:G2205), LEFT(INDEX(FILTER(G$1:G2185, G$1:G2185&lt;&gt;""""),COUNTA(FILTER(G$1:G2185, G$1:G2185&lt;&gt;""""))), LEN(INDEX(FILTER(G$1:G2185, G$1:G2185&lt;&gt;""""),COUNTA(FILTER(G$1:G2185, G$1:G2185&lt;&gt;""""))))-1), IF('To Order'!$A2186=COL"&amp;"UMNS($A2186:G2205), G2185&amp;RIGHT(INDIRECT(ADDRESS(ROW(G2186)-1, 'From Order'!$A2186)), 1), G2185))"),"")</f>
        <v/>
      </c>
      <c r="H2186" s="2" t="str">
        <f>IFERROR(__xludf.DUMMYFUNCTION("IF('From Order'!$A2186=COLUMNS($A2186:H2205), LEFT(INDEX(FILTER(H$1:H2185, H$1:H2185&lt;&gt;""""),COUNTA(FILTER(H$1:H2185, H$1:H2185&lt;&gt;""""))), LEN(INDEX(FILTER(H$1:H2185, H$1:H2185&lt;&gt;""""),COUNTA(FILTER(H$1:H2185, H$1:H2185&lt;&gt;""""))))-1), IF('To Order'!$A2186=COL"&amp;"UMNS($A2186:H2205), H2185&amp;RIGHT(INDIRECT(ADDRESS(ROW(H2186)-1, 'From Order'!$A2186)), 1), H2185))"),"QTTCT")</f>
        <v>QTTCT</v>
      </c>
      <c r="I2186" s="2" t="str">
        <f>IFERROR(__xludf.DUMMYFUNCTION("IF('From Order'!$A2186=COLUMNS($A2186:I2205), LEFT(INDEX(FILTER(I$1:I2185, I$1:I2185&lt;&gt;""""),COUNTA(FILTER(I$1:I2185, I$1:I2185&lt;&gt;""""))), LEN(INDEX(FILTER(I$1:I2185, I$1:I2185&lt;&gt;""""),COUNTA(FILTER(I$1:I2185, I$1:I2185&lt;&gt;""""))))-1), IF('To Order'!$A2186=COL"&amp;"UMNS($A2186:I2205), I2185&amp;RIGHT(INDIRECT(ADDRESS(ROW(I2186)-1, 'From Order'!$A2186)), 1), I2185))"),"DDDVQZDMTTGMJRRLPSSTM")</f>
        <v>DDDVQZDMTTGMJRRLPSSTM</v>
      </c>
    </row>
    <row r="2187">
      <c r="A2187" s="2" t="str">
        <f>IFERROR(__xludf.DUMMYFUNCTION("IF('From Order'!$A2187=COLUMNS($A2187:A2206), LEFT(INDEX(FILTER(A$1:A2186, A$1:A2186&lt;&gt;""""),COUNTA(FILTER(A$1:A2186, A$1:A2186&lt;&gt;""""))), LEN(INDEX(FILTER(A$1:A2186, A$1:A2186&lt;&gt;""""),COUNTA(FILTER(A$1:A2186, A$1:A2186&lt;&gt;""""))))-1), IF('To Order'!$A2187=COL"&amp;"UMNS($A2187:A2206), A2186&amp;RIGHT(INDIRECT(ADDRESS(ROW(A2187)-1, 'From Order'!$A2187)), 1), A2186))"),"DSPBFLLW")</f>
        <v>DSPBFLLW</v>
      </c>
      <c r="B2187" s="2" t="str">
        <f>IFERROR(__xludf.DUMMYFUNCTION("IF('From Order'!$A2187=COLUMNS($A2187:B2206), LEFT(INDEX(FILTER(B$1:B2186, B$1:B2186&lt;&gt;""""),COUNTA(FILTER(B$1:B2186, B$1:B2186&lt;&gt;""""))), LEN(INDEX(FILTER(B$1:B2186, B$1:B2186&lt;&gt;""""),COUNTA(FILTER(B$1:B2186, B$1:B2186&lt;&gt;""""))))-1), IF('To Order'!$A2187=COL"&amp;"UMNS($A2187:B2206), B2186&amp;RIGHT(INDIRECT(ADDRESS(ROW(B2187)-1, 'From Order'!$A2187)), 1), B2186))"),"JDWG")</f>
        <v>JDWG</v>
      </c>
      <c r="C2187" s="2" t="str">
        <f>IFERROR(__xludf.DUMMYFUNCTION("IF('From Order'!$A2187=COLUMNS($A2187:C2206), LEFT(INDEX(FILTER(C$1:C2186, C$1:C2186&lt;&gt;""""),COUNTA(FILTER(C$1:C2186, C$1:C2186&lt;&gt;""""))), LEN(INDEX(FILTER(C$1:C2186, C$1:C2186&lt;&gt;""""),COUNTA(FILTER(C$1:C2186, C$1:C2186&lt;&gt;""""))))-1), IF('To Order'!$A2187=COL"&amp;"UMNS($A2187:C2206), C2186&amp;RIGHT(INDIRECT(ADDRESS(ROW(C2187)-1, 'From Order'!$A2187)), 1), C2186))"),"VBHC")</f>
        <v>VBHC</v>
      </c>
      <c r="D2187" s="2" t="str">
        <f>IFERROR(__xludf.DUMMYFUNCTION("IF('From Order'!$A2187=COLUMNS($A2187:D2206), LEFT(INDEX(FILTER(D$1:D2186, D$1:D2186&lt;&gt;""""),COUNTA(FILTER(D$1:D2186, D$1:D2186&lt;&gt;""""))), LEN(INDEX(FILTER(D$1:D2186, D$1:D2186&lt;&gt;""""),COUNTA(FILTER(D$1:D2186, D$1:D2186&lt;&gt;""""))))-1), IF('To Order'!$A2187=COL"&amp;"UMNS($A2187:D2206), D2186&amp;RIGHT(INDIRECT(ADDRESS(ROW(D2187)-1, 'From Order'!$A2187)), 1), D2186))"),"RBJVBRPH")</f>
        <v>RBJVBRPH</v>
      </c>
      <c r="E2187" s="2" t="str">
        <f>IFERROR(__xludf.DUMMYFUNCTION("IF('From Order'!$A2187=COLUMNS($A2187:E2206), LEFT(INDEX(FILTER(E$1:E2186, E$1:E2186&lt;&gt;""""),COUNTA(FILTER(E$1:E2186, E$1:E2186&lt;&gt;""""))), LEN(INDEX(FILTER(E$1:E2186, E$1:E2186&lt;&gt;""""),COUNTA(FILTER(E$1:E2186, E$1:E2186&lt;&gt;""""))))-1), IF('To Order'!$A2187=COL"&amp;"UMNS($A2187:E2206), E2186&amp;RIGHT(INDIRECT(ADDRESS(ROW(E2187)-1, 'From Order'!$A2187)), 1), E2186))"),"FSCZR")</f>
        <v>FSCZR</v>
      </c>
      <c r="F2187" s="2" t="str">
        <f>IFERROR(__xludf.DUMMYFUNCTION("IF('From Order'!$A2187=COLUMNS($A2187:F2206), LEFT(INDEX(FILTER(F$1:F2186, F$1:F2186&lt;&gt;""""),COUNTA(FILTER(F$1:F2186, F$1:F2186&lt;&gt;""""))), LEN(INDEX(FILTER(F$1:F2186, F$1:F2186&lt;&gt;""""),COUNTA(FILTER(F$1:F2186, F$1:F2186&lt;&gt;""""))))-1), IF('To Order'!$A2187=COL"&amp;"UMNS($A2187:F2206), F2186&amp;RIGHT(INDIRECT(ADDRESS(ROW(F2187)-1, 'From Order'!$A2187)), 1), F2186))"),"")</f>
        <v/>
      </c>
      <c r="G2187" s="2" t="str">
        <f>IFERROR(__xludf.DUMMYFUNCTION("IF('From Order'!$A2187=COLUMNS($A2187:G2206), LEFT(INDEX(FILTER(G$1:G2186, G$1:G2186&lt;&gt;""""),COUNTA(FILTER(G$1:G2186, G$1:G2186&lt;&gt;""""))), LEN(INDEX(FILTER(G$1:G2186, G$1:G2186&lt;&gt;""""),COUNTA(FILTER(G$1:G2186, G$1:G2186&lt;&gt;""""))))-1), IF('To Order'!$A2187=COL"&amp;"UMNS($A2187:G2206), G2186&amp;RIGHT(INDIRECT(ADDRESS(ROW(G2187)-1, 'From Order'!$A2187)), 1), G2186))"),"")</f>
        <v/>
      </c>
      <c r="H2187" s="2" t="str">
        <f>IFERROR(__xludf.DUMMYFUNCTION("IF('From Order'!$A2187=COLUMNS($A2187:H2206), LEFT(INDEX(FILTER(H$1:H2186, H$1:H2186&lt;&gt;""""),COUNTA(FILTER(H$1:H2186, H$1:H2186&lt;&gt;""""))), LEN(INDEX(FILTER(H$1:H2186, H$1:H2186&lt;&gt;""""),COUNTA(FILTER(H$1:H2186, H$1:H2186&lt;&gt;""""))))-1), IF('To Order'!$A2187=COL"&amp;"UMNS($A2187:H2206), H2186&amp;RIGHT(INDIRECT(ADDRESS(ROW(H2187)-1, 'From Order'!$A2187)), 1), H2186))"),"QTTCT")</f>
        <v>QTTCT</v>
      </c>
      <c r="I2187" s="2" t="str">
        <f>IFERROR(__xludf.DUMMYFUNCTION("IF('From Order'!$A2187=COLUMNS($A2187:I2206), LEFT(INDEX(FILTER(I$1:I2186, I$1:I2186&lt;&gt;""""),COUNTA(FILTER(I$1:I2186, I$1:I2186&lt;&gt;""""))), LEN(INDEX(FILTER(I$1:I2186, I$1:I2186&lt;&gt;""""),COUNTA(FILTER(I$1:I2186, I$1:I2186&lt;&gt;""""))))-1), IF('To Order'!$A2187=COL"&amp;"UMNS($A2187:I2206), I2186&amp;RIGHT(INDIRECT(ADDRESS(ROW(I2187)-1, 'From Order'!$A2187)), 1), I2186))"),"DDDVQZDMTTGMJRRLPSSTMZ")</f>
        <v>DDDVQZDMTTGMJRRLPSSTMZ</v>
      </c>
    </row>
    <row r="2188">
      <c r="A2188" s="2" t="str">
        <f>IFERROR(__xludf.DUMMYFUNCTION("IF('From Order'!$A2188=COLUMNS($A2188:A2207), LEFT(INDEX(FILTER(A$1:A2187, A$1:A2187&lt;&gt;""""),COUNTA(FILTER(A$1:A2187, A$1:A2187&lt;&gt;""""))), LEN(INDEX(FILTER(A$1:A2187, A$1:A2187&lt;&gt;""""),COUNTA(FILTER(A$1:A2187, A$1:A2187&lt;&gt;""""))))-1), IF('To Order'!$A2188=COL"&amp;"UMNS($A2188:A2207), A2187&amp;RIGHT(INDIRECT(ADDRESS(ROW(A2188)-1, 'From Order'!$A2188)), 1), A2187))"),"DSPBFLLW")</f>
        <v>DSPBFLLW</v>
      </c>
      <c r="B2188" s="2" t="str">
        <f>IFERROR(__xludf.DUMMYFUNCTION("IF('From Order'!$A2188=COLUMNS($A2188:B2207), LEFT(INDEX(FILTER(B$1:B2187, B$1:B2187&lt;&gt;""""),COUNTA(FILTER(B$1:B2187, B$1:B2187&lt;&gt;""""))), LEN(INDEX(FILTER(B$1:B2187, B$1:B2187&lt;&gt;""""),COUNTA(FILTER(B$1:B2187, B$1:B2187&lt;&gt;""""))))-1), IF('To Order'!$A2188=COL"&amp;"UMNS($A2188:B2207), B2187&amp;RIGHT(INDIRECT(ADDRESS(ROW(B2188)-1, 'From Order'!$A2188)), 1), B2187))"),"JDWG")</f>
        <v>JDWG</v>
      </c>
      <c r="C2188" s="2" t="str">
        <f>IFERROR(__xludf.DUMMYFUNCTION("IF('From Order'!$A2188=COLUMNS($A2188:C2207), LEFT(INDEX(FILTER(C$1:C2187, C$1:C2187&lt;&gt;""""),COUNTA(FILTER(C$1:C2187, C$1:C2187&lt;&gt;""""))), LEN(INDEX(FILTER(C$1:C2187, C$1:C2187&lt;&gt;""""),COUNTA(FILTER(C$1:C2187, C$1:C2187&lt;&gt;""""))))-1), IF('To Order'!$A2188=COL"&amp;"UMNS($A2188:C2207), C2187&amp;RIGHT(INDIRECT(ADDRESS(ROW(C2188)-1, 'From Order'!$A2188)), 1), C2187))"),"VBHC")</f>
        <v>VBHC</v>
      </c>
      <c r="D2188" s="2" t="str">
        <f>IFERROR(__xludf.DUMMYFUNCTION("IF('From Order'!$A2188=COLUMNS($A2188:D2207), LEFT(INDEX(FILTER(D$1:D2187, D$1:D2187&lt;&gt;""""),COUNTA(FILTER(D$1:D2187, D$1:D2187&lt;&gt;""""))), LEN(INDEX(FILTER(D$1:D2187, D$1:D2187&lt;&gt;""""),COUNTA(FILTER(D$1:D2187, D$1:D2187&lt;&gt;""""))))-1), IF('To Order'!$A2188=COL"&amp;"UMNS($A2188:D2207), D2187&amp;RIGHT(INDIRECT(ADDRESS(ROW(D2188)-1, 'From Order'!$A2188)), 1), D2187))"),"RBJVBRP")</f>
        <v>RBJVBRP</v>
      </c>
      <c r="E2188" s="2" t="str">
        <f>IFERROR(__xludf.DUMMYFUNCTION("IF('From Order'!$A2188=COLUMNS($A2188:E2207), LEFT(INDEX(FILTER(E$1:E2187, E$1:E2187&lt;&gt;""""),COUNTA(FILTER(E$1:E2187, E$1:E2187&lt;&gt;""""))), LEN(INDEX(FILTER(E$1:E2187, E$1:E2187&lt;&gt;""""),COUNTA(FILTER(E$1:E2187, E$1:E2187&lt;&gt;""""))))-1), IF('To Order'!$A2188=COL"&amp;"UMNS($A2188:E2207), E2187&amp;RIGHT(INDIRECT(ADDRESS(ROW(E2188)-1, 'From Order'!$A2188)), 1), E2187))"),"FSCZR")</f>
        <v>FSCZR</v>
      </c>
      <c r="F2188" s="2" t="str">
        <f>IFERROR(__xludf.DUMMYFUNCTION("IF('From Order'!$A2188=COLUMNS($A2188:F2207), LEFT(INDEX(FILTER(F$1:F2187, F$1:F2187&lt;&gt;""""),COUNTA(FILTER(F$1:F2187, F$1:F2187&lt;&gt;""""))), LEN(INDEX(FILTER(F$1:F2187, F$1:F2187&lt;&gt;""""),COUNTA(FILTER(F$1:F2187, F$1:F2187&lt;&gt;""""))))-1), IF('To Order'!$A2188=COL"&amp;"UMNS($A2188:F2207), F2187&amp;RIGHT(INDIRECT(ADDRESS(ROW(F2188)-1, 'From Order'!$A2188)), 1), F2187))"),"")</f>
        <v/>
      </c>
      <c r="G2188" s="2" t="str">
        <f>IFERROR(__xludf.DUMMYFUNCTION("IF('From Order'!$A2188=COLUMNS($A2188:G2207), LEFT(INDEX(FILTER(G$1:G2187, G$1:G2187&lt;&gt;""""),COUNTA(FILTER(G$1:G2187, G$1:G2187&lt;&gt;""""))), LEN(INDEX(FILTER(G$1:G2187, G$1:G2187&lt;&gt;""""),COUNTA(FILTER(G$1:G2187, G$1:G2187&lt;&gt;""""))))-1), IF('To Order'!$A2188=COL"&amp;"UMNS($A2188:G2207), G2187&amp;RIGHT(INDIRECT(ADDRESS(ROW(G2188)-1, 'From Order'!$A2188)), 1), G2187))"),"")</f>
        <v/>
      </c>
      <c r="H2188" s="2" t="str">
        <f>IFERROR(__xludf.DUMMYFUNCTION("IF('From Order'!$A2188=COLUMNS($A2188:H2207), LEFT(INDEX(FILTER(H$1:H2187, H$1:H2187&lt;&gt;""""),COUNTA(FILTER(H$1:H2187, H$1:H2187&lt;&gt;""""))), LEN(INDEX(FILTER(H$1:H2187, H$1:H2187&lt;&gt;""""),COUNTA(FILTER(H$1:H2187, H$1:H2187&lt;&gt;""""))))-1), IF('To Order'!$A2188=COL"&amp;"UMNS($A2188:H2207), H2187&amp;RIGHT(INDIRECT(ADDRESS(ROW(H2188)-1, 'From Order'!$A2188)), 1), H2187))"),"QTTCT")</f>
        <v>QTTCT</v>
      </c>
      <c r="I2188" s="2" t="str">
        <f>IFERROR(__xludf.DUMMYFUNCTION("IF('From Order'!$A2188=COLUMNS($A2188:I2207), LEFT(INDEX(FILTER(I$1:I2187, I$1:I2187&lt;&gt;""""),COUNTA(FILTER(I$1:I2187, I$1:I2187&lt;&gt;""""))), LEN(INDEX(FILTER(I$1:I2187, I$1:I2187&lt;&gt;""""),COUNTA(FILTER(I$1:I2187, I$1:I2187&lt;&gt;""""))))-1), IF('To Order'!$A2188=COL"&amp;"UMNS($A2188:I2207), I2187&amp;RIGHT(INDIRECT(ADDRESS(ROW(I2188)-1, 'From Order'!$A2188)), 1), I2187))"),"DDDVQZDMTTGMJRRLPSSTMZH")</f>
        <v>DDDVQZDMTTGMJRRLPSSTMZH</v>
      </c>
    </row>
    <row r="2189">
      <c r="A2189" s="2" t="str">
        <f>IFERROR(__xludf.DUMMYFUNCTION("IF('From Order'!$A2189=COLUMNS($A2189:A2208), LEFT(INDEX(FILTER(A$1:A2188, A$1:A2188&lt;&gt;""""),COUNTA(FILTER(A$1:A2188, A$1:A2188&lt;&gt;""""))), LEN(INDEX(FILTER(A$1:A2188, A$1:A2188&lt;&gt;""""),COUNTA(FILTER(A$1:A2188, A$1:A2188&lt;&gt;""""))))-1), IF('To Order'!$A2189=COL"&amp;"UMNS($A2189:A2208), A2188&amp;RIGHT(INDIRECT(ADDRESS(ROW(A2189)-1, 'From Order'!$A2189)), 1), A2188))"),"DSPBFLLW")</f>
        <v>DSPBFLLW</v>
      </c>
      <c r="B2189" s="2" t="str">
        <f>IFERROR(__xludf.DUMMYFUNCTION("IF('From Order'!$A2189=COLUMNS($A2189:B2208), LEFT(INDEX(FILTER(B$1:B2188, B$1:B2188&lt;&gt;""""),COUNTA(FILTER(B$1:B2188, B$1:B2188&lt;&gt;""""))), LEN(INDEX(FILTER(B$1:B2188, B$1:B2188&lt;&gt;""""),COUNTA(FILTER(B$1:B2188, B$1:B2188&lt;&gt;""""))))-1), IF('To Order'!$A2189=COL"&amp;"UMNS($A2189:B2208), B2188&amp;RIGHT(INDIRECT(ADDRESS(ROW(B2189)-1, 'From Order'!$A2189)), 1), B2188))"),"JDWG")</f>
        <v>JDWG</v>
      </c>
      <c r="C2189" s="2" t="str">
        <f>IFERROR(__xludf.DUMMYFUNCTION("IF('From Order'!$A2189=COLUMNS($A2189:C2208), LEFT(INDEX(FILTER(C$1:C2188, C$1:C2188&lt;&gt;""""),COUNTA(FILTER(C$1:C2188, C$1:C2188&lt;&gt;""""))), LEN(INDEX(FILTER(C$1:C2188, C$1:C2188&lt;&gt;""""),COUNTA(FILTER(C$1:C2188, C$1:C2188&lt;&gt;""""))))-1), IF('To Order'!$A2189=COL"&amp;"UMNS($A2189:C2208), C2188&amp;RIGHT(INDIRECT(ADDRESS(ROW(C2189)-1, 'From Order'!$A2189)), 1), C2188))"),"VBHC")</f>
        <v>VBHC</v>
      </c>
      <c r="D2189" s="2" t="str">
        <f>IFERROR(__xludf.DUMMYFUNCTION("IF('From Order'!$A2189=COLUMNS($A2189:D2208), LEFT(INDEX(FILTER(D$1:D2188, D$1:D2188&lt;&gt;""""),COUNTA(FILTER(D$1:D2188, D$1:D2188&lt;&gt;""""))), LEN(INDEX(FILTER(D$1:D2188, D$1:D2188&lt;&gt;""""),COUNTA(FILTER(D$1:D2188, D$1:D2188&lt;&gt;""""))))-1), IF('To Order'!$A2189=COL"&amp;"UMNS($A2189:D2208), D2188&amp;RIGHT(INDIRECT(ADDRESS(ROW(D2189)-1, 'From Order'!$A2189)), 1), D2188))"),"RBJVBR")</f>
        <v>RBJVBR</v>
      </c>
      <c r="E2189" s="2" t="str">
        <f>IFERROR(__xludf.DUMMYFUNCTION("IF('From Order'!$A2189=COLUMNS($A2189:E2208), LEFT(INDEX(FILTER(E$1:E2188, E$1:E2188&lt;&gt;""""),COUNTA(FILTER(E$1:E2188, E$1:E2188&lt;&gt;""""))), LEN(INDEX(FILTER(E$1:E2188, E$1:E2188&lt;&gt;""""),COUNTA(FILTER(E$1:E2188, E$1:E2188&lt;&gt;""""))))-1), IF('To Order'!$A2189=COL"&amp;"UMNS($A2189:E2208), E2188&amp;RIGHT(INDIRECT(ADDRESS(ROW(E2189)-1, 'From Order'!$A2189)), 1), E2188))"),"FSCZR")</f>
        <v>FSCZR</v>
      </c>
      <c r="F2189" s="2" t="str">
        <f>IFERROR(__xludf.DUMMYFUNCTION("IF('From Order'!$A2189=COLUMNS($A2189:F2208), LEFT(INDEX(FILTER(F$1:F2188, F$1:F2188&lt;&gt;""""),COUNTA(FILTER(F$1:F2188, F$1:F2188&lt;&gt;""""))), LEN(INDEX(FILTER(F$1:F2188, F$1:F2188&lt;&gt;""""),COUNTA(FILTER(F$1:F2188, F$1:F2188&lt;&gt;""""))))-1), IF('To Order'!$A2189=COL"&amp;"UMNS($A2189:F2208), F2188&amp;RIGHT(INDIRECT(ADDRESS(ROW(F2189)-1, 'From Order'!$A2189)), 1), F2188))"),"")</f>
        <v/>
      </c>
      <c r="G2189" s="2" t="str">
        <f>IFERROR(__xludf.DUMMYFUNCTION("IF('From Order'!$A2189=COLUMNS($A2189:G2208), LEFT(INDEX(FILTER(G$1:G2188, G$1:G2188&lt;&gt;""""),COUNTA(FILTER(G$1:G2188, G$1:G2188&lt;&gt;""""))), LEN(INDEX(FILTER(G$1:G2188, G$1:G2188&lt;&gt;""""),COUNTA(FILTER(G$1:G2188, G$1:G2188&lt;&gt;""""))))-1), IF('To Order'!$A2189=COL"&amp;"UMNS($A2189:G2208), G2188&amp;RIGHT(INDIRECT(ADDRESS(ROW(G2189)-1, 'From Order'!$A2189)), 1), G2188))"),"")</f>
        <v/>
      </c>
      <c r="H2189" s="2" t="str">
        <f>IFERROR(__xludf.DUMMYFUNCTION("IF('From Order'!$A2189=COLUMNS($A2189:H2208), LEFT(INDEX(FILTER(H$1:H2188, H$1:H2188&lt;&gt;""""),COUNTA(FILTER(H$1:H2188, H$1:H2188&lt;&gt;""""))), LEN(INDEX(FILTER(H$1:H2188, H$1:H2188&lt;&gt;""""),COUNTA(FILTER(H$1:H2188, H$1:H2188&lt;&gt;""""))))-1), IF('To Order'!$A2189=COL"&amp;"UMNS($A2189:H2208), H2188&amp;RIGHT(INDIRECT(ADDRESS(ROW(H2189)-1, 'From Order'!$A2189)), 1), H2188))"),"QTTCT")</f>
        <v>QTTCT</v>
      </c>
      <c r="I2189" s="2" t="str">
        <f>IFERROR(__xludf.DUMMYFUNCTION("IF('From Order'!$A2189=COLUMNS($A2189:I2208), LEFT(INDEX(FILTER(I$1:I2188, I$1:I2188&lt;&gt;""""),COUNTA(FILTER(I$1:I2188, I$1:I2188&lt;&gt;""""))), LEN(INDEX(FILTER(I$1:I2188, I$1:I2188&lt;&gt;""""),COUNTA(FILTER(I$1:I2188, I$1:I2188&lt;&gt;""""))))-1), IF('To Order'!$A2189=COL"&amp;"UMNS($A2189:I2208), I2188&amp;RIGHT(INDIRECT(ADDRESS(ROW(I2189)-1, 'From Order'!$A2189)), 1), I2188))"),"DDDVQZDMTTGMJRRLPSSTMZHP")</f>
        <v>DDDVQZDMTTGMJRRLPSSTMZHP</v>
      </c>
    </row>
    <row r="2190">
      <c r="A2190" s="2" t="str">
        <f>IFERROR(__xludf.DUMMYFUNCTION("IF('From Order'!$A2190=COLUMNS($A2190:A2209), LEFT(INDEX(FILTER(A$1:A2189, A$1:A2189&lt;&gt;""""),COUNTA(FILTER(A$1:A2189, A$1:A2189&lt;&gt;""""))), LEN(INDEX(FILTER(A$1:A2189, A$1:A2189&lt;&gt;""""),COUNTA(FILTER(A$1:A2189, A$1:A2189&lt;&gt;""""))))-1), IF('To Order'!$A2190=COL"&amp;"UMNS($A2190:A2209), A2189&amp;RIGHT(INDIRECT(ADDRESS(ROW(A2190)-1, 'From Order'!$A2190)), 1), A2189))"),"DSPBFLLW")</f>
        <v>DSPBFLLW</v>
      </c>
      <c r="B2190" s="2" t="str">
        <f>IFERROR(__xludf.DUMMYFUNCTION("IF('From Order'!$A2190=COLUMNS($A2190:B2209), LEFT(INDEX(FILTER(B$1:B2189, B$1:B2189&lt;&gt;""""),COUNTA(FILTER(B$1:B2189, B$1:B2189&lt;&gt;""""))), LEN(INDEX(FILTER(B$1:B2189, B$1:B2189&lt;&gt;""""),COUNTA(FILTER(B$1:B2189, B$1:B2189&lt;&gt;""""))))-1), IF('To Order'!$A2190=COL"&amp;"UMNS($A2190:B2209), B2189&amp;RIGHT(INDIRECT(ADDRESS(ROW(B2190)-1, 'From Order'!$A2190)), 1), B2189))"),"JDWG")</f>
        <v>JDWG</v>
      </c>
      <c r="C2190" s="2" t="str">
        <f>IFERROR(__xludf.DUMMYFUNCTION("IF('From Order'!$A2190=COLUMNS($A2190:C2209), LEFT(INDEX(FILTER(C$1:C2189, C$1:C2189&lt;&gt;""""),COUNTA(FILTER(C$1:C2189, C$1:C2189&lt;&gt;""""))), LEN(INDEX(FILTER(C$1:C2189, C$1:C2189&lt;&gt;""""),COUNTA(FILTER(C$1:C2189, C$1:C2189&lt;&gt;""""))))-1), IF('To Order'!$A2190=COL"&amp;"UMNS($A2190:C2209), C2189&amp;RIGHT(INDIRECT(ADDRESS(ROW(C2190)-1, 'From Order'!$A2190)), 1), C2189))"),"VBHC")</f>
        <v>VBHC</v>
      </c>
      <c r="D2190" s="2" t="str">
        <f>IFERROR(__xludf.DUMMYFUNCTION("IF('From Order'!$A2190=COLUMNS($A2190:D2209), LEFT(INDEX(FILTER(D$1:D2189, D$1:D2189&lt;&gt;""""),COUNTA(FILTER(D$1:D2189, D$1:D2189&lt;&gt;""""))), LEN(INDEX(FILTER(D$1:D2189, D$1:D2189&lt;&gt;""""),COUNTA(FILTER(D$1:D2189, D$1:D2189&lt;&gt;""""))))-1), IF('To Order'!$A2190=COL"&amp;"UMNS($A2190:D2209), D2189&amp;RIGHT(INDIRECT(ADDRESS(ROW(D2190)-1, 'From Order'!$A2190)), 1), D2189))"),"RBJVB")</f>
        <v>RBJVB</v>
      </c>
      <c r="E2190" s="2" t="str">
        <f>IFERROR(__xludf.DUMMYFUNCTION("IF('From Order'!$A2190=COLUMNS($A2190:E2209), LEFT(INDEX(FILTER(E$1:E2189, E$1:E2189&lt;&gt;""""),COUNTA(FILTER(E$1:E2189, E$1:E2189&lt;&gt;""""))), LEN(INDEX(FILTER(E$1:E2189, E$1:E2189&lt;&gt;""""),COUNTA(FILTER(E$1:E2189, E$1:E2189&lt;&gt;""""))))-1), IF('To Order'!$A2190=COL"&amp;"UMNS($A2190:E2209), E2189&amp;RIGHT(INDIRECT(ADDRESS(ROW(E2190)-1, 'From Order'!$A2190)), 1), E2189))"),"FSCZR")</f>
        <v>FSCZR</v>
      </c>
      <c r="F2190" s="2" t="str">
        <f>IFERROR(__xludf.DUMMYFUNCTION("IF('From Order'!$A2190=COLUMNS($A2190:F2209), LEFT(INDEX(FILTER(F$1:F2189, F$1:F2189&lt;&gt;""""),COUNTA(FILTER(F$1:F2189, F$1:F2189&lt;&gt;""""))), LEN(INDEX(FILTER(F$1:F2189, F$1:F2189&lt;&gt;""""),COUNTA(FILTER(F$1:F2189, F$1:F2189&lt;&gt;""""))))-1), IF('To Order'!$A2190=COL"&amp;"UMNS($A2190:F2209), F2189&amp;RIGHT(INDIRECT(ADDRESS(ROW(F2190)-1, 'From Order'!$A2190)), 1), F2189))"),"")</f>
        <v/>
      </c>
      <c r="G2190" s="2" t="str">
        <f>IFERROR(__xludf.DUMMYFUNCTION("IF('From Order'!$A2190=COLUMNS($A2190:G2209), LEFT(INDEX(FILTER(G$1:G2189, G$1:G2189&lt;&gt;""""),COUNTA(FILTER(G$1:G2189, G$1:G2189&lt;&gt;""""))), LEN(INDEX(FILTER(G$1:G2189, G$1:G2189&lt;&gt;""""),COUNTA(FILTER(G$1:G2189, G$1:G2189&lt;&gt;""""))))-1), IF('To Order'!$A2190=COL"&amp;"UMNS($A2190:G2209), G2189&amp;RIGHT(INDIRECT(ADDRESS(ROW(G2190)-1, 'From Order'!$A2190)), 1), G2189))"),"")</f>
        <v/>
      </c>
      <c r="H2190" s="2" t="str">
        <f>IFERROR(__xludf.DUMMYFUNCTION("IF('From Order'!$A2190=COLUMNS($A2190:H2209), LEFT(INDEX(FILTER(H$1:H2189, H$1:H2189&lt;&gt;""""),COUNTA(FILTER(H$1:H2189, H$1:H2189&lt;&gt;""""))), LEN(INDEX(FILTER(H$1:H2189, H$1:H2189&lt;&gt;""""),COUNTA(FILTER(H$1:H2189, H$1:H2189&lt;&gt;""""))))-1), IF('To Order'!$A2190=COL"&amp;"UMNS($A2190:H2209), H2189&amp;RIGHT(INDIRECT(ADDRESS(ROW(H2190)-1, 'From Order'!$A2190)), 1), H2189))"),"QTTCT")</f>
        <v>QTTCT</v>
      </c>
      <c r="I2190" s="2" t="str">
        <f>IFERROR(__xludf.DUMMYFUNCTION("IF('From Order'!$A2190=COLUMNS($A2190:I2209), LEFT(INDEX(FILTER(I$1:I2189, I$1:I2189&lt;&gt;""""),COUNTA(FILTER(I$1:I2189, I$1:I2189&lt;&gt;""""))), LEN(INDEX(FILTER(I$1:I2189, I$1:I2189&lt;&gt;""""),COUNTA(FILTER(I$1:I2189, I$1:I2189&lt;&gt;""""))))-1), IF('To Order'!$A2190=COL"&amp;"UMNS($A2190:I2209), I2189&amp;RIGHT(INDIRECT(ADDRESS(ROW(I2190)-1, 'From Order'!$A2190)), 1), I2189))"),"DDDVQZDMTTGMJRRLPSSTMZHPR")</f>
        <v>DDDVQZDMTTGMJRRLPSSTMZHPR</v>
      </c>
    </row>
    <row r="2191">
      <c r="A2191" s="2" t="str">
        <f>IFERROR(__xludf.DUMMYFUNCTION("IF('From Order'!$A2191=COLUMNS($A2191:A2210), LEFT(INDEX(FILTER(A$1:A2190, A$1:A2190&lt;&gt;""""),COUNTA(FILTER(A$1:A2190, A$1:A2190&lt;&gt;""""))), LEN(INDEX(FILTER(A$1:A2190, A$1:A2190&lt;&gt;""""),COUNTA(FILTER(A$1:A2190, A$1:A2190&lt;&gt;""""))))-1), IF('To Order'!$A2191=COL"&amp;"UMNS($A2191:A2210), A2190&amp;RIGHT(INDIRECT(ADDRESS(ROW(A2191)-1, 'From Order'!$A2191)), 1), A2190))"),"DSPBFLLW")</f>
        <v>DSPBFLLW</v>
      </c>
      <c r="B2191" s="2" t="str">
        <f>IFERROR(__xludf.DUMMYFUNCTION("IF('From Order'!$A2191=COLUMNS($A2191:B2210), LEFT(INDEX(FILTER(B$1:B2190, B$1:B2190&lt;&gt;""""),COUNTA(FILTER(B$1:B2190, B$1:B2190&lt;&gt;""""))), LEN(INDEX(FILTER(B$1:B2190, B$1:B2190&lt;&gt;""""),COUNTA(FILTER(B$1:B2190, B$1:B2190&lt;&gt;""""))))-1), IF('To Order'!$A2191=COL"&amp;"UMNS($A2191:B2210), B2190&amp;RIGHT(INDIRECT(ADDRESS(ROW(B2191)-1, 'From Order'!$A2191)), 1), B2190))"),"JDWG")</f>
        <v>JDWG</v>
      </c>
      <c r="C2191" s="2" t="str">
        <f>IFERROR(__xludf.DUMMYFUNCTION("IF('From Order'!$A2191=COLUMNS($A2191:C2210), LEFT(INDEX(FILTER(C$1:C2190, C$1:C2190&lt;&gt;""""),COUNTA(FILTER(C$1:C2190, C$1:C2190&lt;&gt;""""))), LEN(INDEX(FILTER(C$1:C2190, C$1:C2190&lt;&gt;""""),COUNTA(FILTER(C$1:C2190, C$1:C2190&lt;&gt;""""))))-1), IF('To Order'!$A2191=COL"&amp;"UMNS($A2191:C2210), C2190&amp;RIGHT(INDIRECT(ADDRESS(ROW(C2191)-1, 'From Order'!$A2191)), 1), C2190))"),"VBHC")</f>
        <v>VBHC</v>
      </c>
      <c r="D2191" s="2" t="str">
        <f>IFERROR(__xludf.DUMMYFUNCTION("IF('From Order'!$A2191=COLUMNS($A2191:D2210), LEFT(INDEX(FILTER(D$1:D2190, D$1:D2190&lt;&gt;""""),COUNTA(FILTER(D$1:D2190, D$1:D2190&lt;&gt;""""))), LEN(INDEX(FILTER(D$1:D2190, D$1:D2190&lt;&gt;""""),COUNTA(FILTER(D$1:D2190, D$1:D2190&lt;&gt;""""))))-1), IF('To Order'!$A2191=COL"&amp;"UMNS($A2191:D2210), D2190&amp;RIGHT(INDIRECT(ADDRESS(ROW(D2191)-1, 'From Order'!$A2191)), 1), D2190))"),"RBJV")</f>
        <v>RBJV</v>
      </c>
      <c r="E2191" s="2" t="str">
        <f>IFERROR(__xludf.DUMMYFUNCTION("IF('From Order'!$A2191=COLUMNS($A2191:E2210), LEFT(INDEX(FILTER(E$1:E2190, E$1:E2190&lt;&gt;""""),COUNTA(FILTER(E$1:E2190, E$1:E2190&lt;&gt;""""))), LEN(INDEX(FILTER(E$1:E2190, E$1:E2190&lt;&gt;""""),COUNTA(FILTER(E$1:E2190, E$1:E2190&lt;&gt;""""))))-1), IF('To Order'!$A2191=COL"&amp;"UMNS($A2191:E2210), E2190&amp;RIGHT(INDIRECT(ADDRESS(ROW(E2191)-1, 'From Order'!$A2191)), 1), E2190))"),"FSCZR")</f>
        <v>FSCZR</v>
      </c>
      <c r="F2191" s="2" t="str">
        <f>IFERROR(__xludf.DUMMYFUNCTION("IF('From Order'!$A2191=COLUMNS($A2191:F2210), LEFT(INDEX(FILTER(F$1:F2190, F$1:F2190&lt;&gt;""""),COUNTA(FILTER(F$1:F2190, F$1:F2190&lt;&gt;""""))), LEN(INDEX(FILTER(F$1:F2190, F$1:F2190&lt;&gt;""""),COUNTA(FILTER(F$1:F2190, F$1:F2190&lt;&gt;""""))))-1), IF('To Order'!$A2191=COL"&amp;"UMNS($A2191:F2210), F2190&amp;RIGHT(INDIRECT(ADDRESS(ROW(F2191)-1, 'From Order'!$A2191)), 1), F2190))"),"")</f>
        <v/>
      </c>
      <c r="G2191" s="2" t="str">
        <f>IFERROR(__xludf.DUMMYFUNCTION("IF('From Order'!$A2191=COLUMNS($A2191:G2210), LEFT(INDEX(FILTER(G$1:G2190, G$1:G2190&lt;&gt;""""),COUNTA(FILTER(G$1:G2190, G$1:G2190&lt;&gt;""""))), LEN(INDEX(FILTER(G$1:G2190, G$1:G2190&lt;&gt;""""),COUNTA(FILTER(G$1:G2190, G$1:G2190&lt;&gt;""""))))-1), IF('To Order'!$A2191=COL"&amp;"UMNS($A2191:G2210), G2190&amp;RIGHT(INDIRECT(ADDRESS(ROW(G2191)-1, 'From Order'!$A2191)), 1), G2190))"),"")</f>
        <v/>
      </c>
      <c r="H2191" s="2" t="str">
        <f>IFERROR(__xludf.DUMMYFUNCTION("IF('From Order'!$A2191=COLUMNS($A2191:H2210), LEFT(INDEX(FILTER(H$1:H2190, H$1:H2190&lt;&gt;""""),COUNTA(FILTER(H$1:H2190, H$1:H2190&lt;&gt;""""))), LEN(INDEX(FILTER(H$1:H2190, H$1:H2190&lt;&gt;""""),COUNTA(FILTER(H$1:H2190, H$1:H2190&lt;&gt;""""))))-1), IF('To Order'!$A2191=COL"&amp;"UMNS($A2191:H2210), H2190&amp;RIGHT(INDIRECT(ADDRESS(ROW(H2191)-1, 'From Order'!$A2191)), 1), H2190))"),"QTTCT")</f>
        <v>QTTCT</v>
      </c>
      <c r="I2191" s="2" t="str">
        <f>IFERROR(__xludf.DUMMYFUNCTION("IF('From Order'!$A2191=COLUMNS($A2191:I2210), LEFT(INDEX(FILTER(I$1:I2190, I$1:I2190&lt;&gt;""""),COUNTA(FILTER(I$1:I2190, I$1:I2190&lt;&gt;""""))), LEN(INDEX(FILTER(I$1:I2190, I$1:I2190&lt;&gt;""""),COUNTA(FILTER(I$1:I2190, I$1:I2190&lt;&gt;""""))))-1), IF('To Order'!$A2191=COL"&amp;"UMNS($A2191:I2210), I2190&amp;RIGHT(INDIRECT(ADDRESS(ROW(I2191)-1, 'From Order'!$A2191)), 1), I2190))"),"DDDVQZDMTTGMJRRLPSSTMZHPRB")</f>
        <v>DDDVQZDMTTGMJRRLPSSTMZHPRB</v>
      </c>
    </row>
    <row r="2192">
      <c r="A2192" s="2" t="str">
        <f>IFERROR(__xludf.DUMMYFUNCTION("IF('From Order'!$A2192=COLUMNS($A2192:A2211), LEFT(INDEX(FILTER(A$1:A2191, A$1:A2191&lt;&gt;""""),COUNTA(FILTER(A$1:A2191, A$1:A2191&lt;&gt;""""))), LEN(INDEX(FILTER(A$1:A2191, A$1:A2191&lt;&gt;""""),COUNTA(FILTER(A$1:A2191, A$1:A2191&lt;&gt;""""))))-1), IF('To Order'!$A2192=COL"&amp;"UMNS($A2192:A2211), A2191&amp;RIGHT(INDIRECT(ADDRESS(ROW(A2192)-1, 'From Order'!$A2192)), 1), A2191))"),"DSPBFLLW")</f>
        <v>DSPBFLLW</v>
      </c>
      <c r="B2192" s="2" t="str">
        <f>IFERROR(__xludf.DUMMYFUNCTION("IF('From Order'!$A2192=COLUMNS($A2192:B2211), LEFT(INDEX(FILTER(B$1:B2191, B$1:B2191&lt;&gt;""""),COUNTA(FILTER(B$1:B2191, B$1:B2191&lt;&gt;""""))), LEN(INDEX(FILTER(B$1:B2191, B$1:B2191&lt;&gt;""""),COUNTA(FILTER(B$1:B2191, B$1:B2191&lt;&gt;""""))))-1), IF('To Order'!$A2192=COL"&amp;"UMNS($A2192:B2211), B2191&amp;RIGHT(INDIRECT(ADDRESS(ROW(B2192)-1, 'From Order'!$A2192)), 1), B2191))"),"JDWG")</f>
        <v>JDWG</v>
      </c>
      <c r="C2192" s="2" t="str">
        <f>IFERROR(__xludf.DUMMYFUNCTION("IF('From Order'!$A2192=COLUMNS($A2192:C2211), LEFT(INDEX(FILTER(C$1:C2191, C$1:C2191&lt;&gt;""""),COUNTA(FILTER(C$1:C2191, C$1:C2191&lt;&gt;""""))), LEN(INDEX(FILTER(C$1:C2191, C$1:C2191&lt;&gt;""""),COUNTA(FILTER(C$1:C2191, C$1:C2191&lt;&gt;""""))))-1), IF('To Order'!$A2192=COL"&amp;"UMNS($A2192:C2211), C2191&amp;RIGHT(INDIRECT(ADDRESS(ROW(C2192)-1, 'From Order'!$A2192)), 1), C2191))"),"VBHC")</f>
        <v>VBHC</v>
      </c>
      <c r="D2192" s="2" t="str">
        <f>IFERROR(__xludf.DUMMYFUNCTION("IF('From Order'!$A2192=COLUMNS($A2192:D2211), LEFT(INDEX(FILTER(D$1:D2191, D$1:D2191&lt;&gt;""""),COUNTA(FILTER(D$1:D2191, D$1:D2191&lt;&gt;""""))), LEN(INDEX(FILTER(D$1:D2191, D$1:D2191&lt;&gt;""""),COUNTA(FILTER(D$1:D2191, D$1:D2191&lt;&gt;""""))))-1), IF('To Order'!$A2192=COL"&amp;"UMNS($A2192:D2211), D2191&amp;RIGHT(INDIRECT(ADDRESS(ROW(D2192)-1, 'From Order'!$A2192)), 1), D2191))"),"RBJ")</f>
        <v>RBJ</v>
      </c>
      <c r="E2192" s="2" t="str">
        <f>IFERROR(__xludf.DUMMYFUNCTION("IF('From Order'!$A2192=COLUMNS($A2192:E2211), LEFT(INDEX(FILTER(E$1:E2191, E$1:E2191&lt;&gt;""""),COUNTA(FILTER(E$1:E2191, E$1:E2191&lt;&gt;""""))), LEN(INDEX(FILTER(E$1:E2191, E$1:E2191&lt;&gt;""""),COUNTA(FILTER(E$1:E2191, E$1:E2191&lt;&gt;""""))))-1), IF('To Order'!$A2192=COL"&amp;"UMNS($A2192:E2211), E2191&amp;RIGHT(INDIRECT(ADDRESS(ROW(E2192)-1, 'From Order'!$A2192)), 1), E2191))"),"FSCZR")</f>
        <v>FSCZR</v>
      </c>
      <c r="F2192" s="2" t="str">
        <f>IFERROR(__xludf.DUMMYFUNCTION("IF('From Order'!$A2192=COLUMNS($A2192:F2211), LEFT(INDEX(FILTER(F$1:F2191, F$1:F2191&lt;&gt;""""),COUNTA(FILTER(F$1:F2191, F$1:F2191&lt;&gt;""""))), LEN(INDEX(FILTER(F$1:F2191, F$1:F2191&lt;&gt;""""),COUNTA(FILTER(F$1:F2191, F$1:F2191&lt;&gt;""""))))-1), IF('To Order'!$A2192=COL"&amp;"UMNS($A2192:F2211), F2191&amp;RIGHT(INDIRECT(ADDRESS(ROW(F2192)-1, 'From Order'!$A2192)), 1), F2191))"),"")</f>
        <v/>
      </c>
      <c r="G2192" s="2" t="str">
        <f>IFERROR(__xludf.DUMMYFUNCTION("IF('From Order'!$A2192=COLUMNS($A2192:G2211), LEFT(INDEX(FILTER(G$1:G2191, G$1:G2191&lt;&gt;""""),COUNTA(FILTER(G$1:G2191, G$1:G2191&lt;&gt;""""))), LEN(INDEX(FILTER(G$1:G2191, G$1:G2191&lt;&gt;""""),COUNTA(FILTER(G$1:G2191, G$1:G2191&lt;&gt;""""))))-1), IF('To Order'!$A2192=COL"&amp;"UMNS($A2192:G2211), G2191&amp;RIGHT(INDIRECT(ADDRESS(ROW(G2192)-1, 'From Order'!$A2192)), 1), G2191))"),"")</f>
        <v/>
      </c>
      <c r="H2192" s="2" t="str">
        <f>IFERROR(__xludf.DUMMYFUNCTION("IF('From Order'!$A2192=COLUMNS($A2192:H2211), LEFT(INDEX(FILTER(H$1:H2191, H$1:H2191&lt;&gt;""""),COUNTA(FILTER(H$1:H2191, H$1:H2191&lt;&gt;""""))), LEN(INDEX(FILTER(H$1:H2191, H$1:H2191&lt;&gt;""""),COUNTA(FILTER(H$1:H2191, H$1:H2191&lt;&gt;""""))))-1), IF('To Order'!$A2192=COL"&amp;"UMNS($A2192:H2211), H2191&amp;RIGHT(INDIRECT(ADDRESS(ROW(H2192)-1, 'From Order'!$A2192)), 1), H2191))"),"QTTCT")</f>
        <v>QTTCT</v>
      </c>
      <c r="I2192" s="2" t="str">
        <f>IFERROR(__xludf.DUMMYFUNCTION("IF('From Order'!$A2192=COLUMNS($A2192:I2211), LEFT(INDEX(FILTER(I$1:I2191, I$1:I2191&lt;&gt;""""),COUNTA(FILTER(I$1:I2191, I$1:I2191&lt;&gt;""""))), LEN(INDEX(FILTER(I$1:I2191, I$1:I2191&lt;&gt;""""),COUNTA(FILTER(I$1:I2191, I$1:I2191&lt;&gt;""""))))-1), IF('To Order'!$A2192=COL"&amp;"UMNS($A2192:I2211), I2191&amp;RIGHT(INDIRECT(ADDRESS(ROW(I2192)-1, 'From Order'!$A2192)), 1), I2191))"),"DDDVQZDMTTGMJRRLPSSTMZHPRBV")</f>
        <v>DDDVQZDMTTGMJRRLPSSTMZHPRBV</v>
      </c>
    </row>
    <row r="2193">
      <c r="A2193" s="2" t="str">
        <f>IFERROR(__xludf.DUMMYFUNCTION("IF('From Order'!$A2193=COLUMNS($A2193:A2212), LEFT(INDEX(FILTER(A$1:A2192, A$1:A2192&lt;&gt;""""),COUNTA(FILTER(A$1:A2192, A$1:A2192&lt;&gt;""""))), LEN(INDEX(FILTER(A$1:A2192, A$1:A2192&lt;&gt;""""),COUNTA(FILTER(A$1:A2192, A$1:A2192&lt;&gt;""""))))-1), IF('To Order'!$A2193=COL"&amp;"UMNS($A2193:A2212), A2192&amp;RIGHT(INDIRECT(ADDRESS(ROW(A2193)-1, 'From Order'!$A2193)), 1), A2192))"),"DSPBFLLW")</f>
        <v>DSPBFLLW</v>
      </c>
      <c r="B2193" s="2" t="str">
        <f>IFERROR(__xludf.DUMMYFUNCTION("IF('From Order'!$A2193=COLUMNS($A2193:B2212), LEFT(INDEX(FILTER(B$1:B2192, B$1:B2192&lt;&gt;""""),COUNTA(FILTER(B$1:B2192, B$1:B2192&lt;&gt;""""))), LEN(INDEX(FILTER(B$1:B2192, B$1:B2192&lt;&gt;""""),COUNTA(FILTER(B$1:B2192, B$1:B2192&lt;&gt;""""))))-1), IF('To Order'!$A2193=COL"&amp;"UMNS($A2193:B2212), B2192&amp;RIGHT(INDIRECT(ADDRESS(ROW(B2193)-1, 'From Order'!$A2193)), 1), B2192))"),"JDWG")</f>
        <v>JDWG</v>
      </c>
      <c r="C2193" s="2" t="str">
        <f>IFERROR(__xludf.DUMMYFUNCTION("IF('From Order'!$A2193=COLUMNS($A2193:C2212), LEFT(INDEX(FILTER(C$1:C2192, C$1:C2192&lt;&gt;""""),COUNTA(FILTER(C$1:C2192, C$1:C2192&lt;&gt;""""))), LEN(INDEX(FILTER(C$1:C2192, C$1:C2192&lt;&gt;""""),COUNTA(FILTER(C$1:C2192, C$1:C2192&lt;&gt;""""))))-1), IF('To Order'!$A2193=COL"&amp;"UMNS($A2193:C2212), C2192&amp;RIGHT(INDIRECT(ADDRESS(ROW(C2193)-1, 'From Order'!$A2193)), 1), C2192))"),"VBHC")</f>
        <v>VBHC</v>
      </c>
      <c r="D2193" s="2" t="str">
        <f>IFERROR(__xludf.DUMMYFUNCTION("IF('From Order'!$A2193=COLUMNS($A2193:D2212), LEFT(INDEX(FILTER(D$1:D2192, D$1:D2192&lt;&gt;""""),COUNTA(FILTER(D$1:D2192, D$1:D2192&lt;&gt;""""))), LEN(INDEX(FILTER(D$1:D2192, D$1:D2192&lt;&gt;""""),COUNTA(FILTER(D$1:D2192, D$1:D2192&lt;&gt;""""))))-1), IF('To Order'!$A2193=COL"&amp;"UMNS($A2193:D2212), D2192&amp;RIGHT(INDIRECT(ADDRESS(ROW(D2193)-1, 'From Order'!$A2193)), 1), D2192))"),"RB")</f>
        <v>RB</v>
      </c>
      <c r="E2193" s="2" t="str">
        <f>IFERROR(__xludf.DUMMYFUNCTION("IF('From Order'!$A2193=COLUMNS($A2193:E2212), LEFT(INDEX(FILTER(E$1:E2192, E$1:E2192&lt;&gt;""""),COUNTA(FILTER(E$1:E2192, E$1:E2192&lt;&gt;""""))), LEN(INDEX(FILTER(E$1:E2192, E$1:E2192&lt;&gt;""""),COUNTA(FILTER(E$1:E2192, E$1:E2192&lt;&gt;""""))))-1), IF('To Order'!$A2193=COL"&amp;"UMNS($A2193:E2212), E2192&amp;RIGHT(INDIRECT(ADDRESS(ROW(E2193)-1, 'From Order'!$A2193)), 1), E2192))"),"FSCZR")</f>
        <v>FSCZR</v>
      </c>
      <c r="F2193" s="2" t="str">
        <f>IFERROR(__xludf.DUMMYFUNCTION("IF('From Order'!$A2193=COLUMNS($A2193:F2212), LEFT(INDEX(FILTER(F$1:F2192, F$1:F2192&lt;&gt;""""),COUNTA(FILTER(F$1:F2192, F$1:F2192&lt;&gt;""""))), LEN(INDEX(FILTER(F$1:F2192, F$1:F2192&lt;&gt;""""),COUNTA(FILTER(F$1:F2192, F$1:F2192&lt;&gt;""""))))-1), IF('To Order'!$A2193=COL"&amp;"UMNS($A2193:F2212), F2192&amp;RIGHT(INDIRECT(ADDRESS(ROW(F2193)-1, 'From Order'!$A2193)), 1), F2192))"),"")</f>
        <v/>
      </c>
      <c r="G2193" s="2" t="str">
        <f>IFERROR(__xludf.DUMMYFUNCTION("IF('From Order'!$A2193=COLUMNS($A2193:G2212), LEFT(INDEX(FILTER(G$1:G2192, G$1:G2192&lt;&gt;""""),COUNTA(FILTER(G$1:G2192, G$1:G2192&lt;&gt;""""))), LEN(INDEX(FILTER(G$1:G2192, G$1:G2192&lt;&gt;""""),COUNTA(FILTER(G$1:G2192, G$1:G2192&lt;&gt;""""))))-1), IF('To Order'!$A2193=COL"&amp;"UMNS($A2193:G2212), G2192&amp;RIGHT(INDIRECT(ADDRESS(ROW(G2193)-1, 'From Order'!$A2193)), 1), G2192))"),"")</f>
        <v/>
      </c>
      <c r="H2193" s="2" t="str">
        <f>IFERROR(__xludf.DUMMYFUNCTION("IF('From Order'!$A2193=COLUMNS($A2193:H2212), LEFT(INDEX(FILTER(H$1:H2192, H$1:H2192&lt;&gt;""""),COUNTA(FILTER(H$1:H2192, H$1:H2192&lt;&gt;""""))), LEN(INDEX(FILTER(H$1:H2192, H$1:H2192&lt;&gt;""""),COUNTA(FILTER(H$1:H2192, H$1:H2192&lt;&gt;""""))))-1), IF('To Order'!$A2193=COL"&amp;"UMNS($A2193:H2212), H2192&amp;RIGHT(INDIRECT(ADDRESS(ROW(H2193)-1, 'From Order'!$A2193)), 1), H2192))"),"QTTCT")</f>
        <v>QTTCT</v>
      </c>
      <c r="I2193" s="2" t="str">
        <f>IFERROR(__xludf.DUMMYFUNCTION("IF('From Order'!$A2193=COLUMNS($A2193:I2212), LEFT(INDEX(FILTER(I$1:I2192, I$1:I2192&lt;&gt;""""),COUNTA(FILTER(I$1:I2192, I$1:I2192&lt;&gt;""""))), LEN(INDEX(FILTER(I$1:I2192, I$1:I2192&lt;&gt;""""),COUNTA(FILTER(I$1:I2192, I$1:I2192&lt;&gt;""""))))-1), IF('To Order'!$A2193=COL"&amp;"UMNS($A2193:I2212), I2192&amp;RIGHT(INDIRECT(ADDRESS(ROW(I2193)-1, 'From Order'!$A2193)), 1), I2192))"),"DDDVQZDMTTGMJRRLPSSTMZHPRBVJ")</f>
        <v>DDDVQZDMTTGMJRRLPSSTMZHPRBVJ</v>
      </c>
    </row>
    <row r="2194">
      <c r="A2194" s="2" t="str">
        <f>IFERROR(__xludf.DUMMYFUNCTION("IF('From Order'!$A2194=COLUMNS($A2194:A2213), LEFT(INDEX(FILTER(A$1:A2193, A$1:A2193&lt;&gt;""""),COUNTA(FILTER(A$1:A2193, A$1:A2193&lt;&gt;""""))), LEN(INDEX(FILTER(A$1:A2193, A$1:A2193&lt;&gt;""""),COUNTA(FILTER(A$1:A2193, A$1:A2193&lt;&gt;""""))))-1), IF('To Order'!$A2194=COL"&amp;"UMNS($A2194:A2213), A2193&amp;RIGHT(INDIRECT(ADDRESS(ROW(A2194)-1, 'From Order'!$A2194)), 1), A2193))"),"DSPBFLLW")</f>
        <v>DSPBFLLW</v>
      </c>
      <c r="B2194" s="2" t="str">
        <f>IFERROR(__xludf.DUMMYFUNCTION("IF('From Order'!$A2194=COLUMNS($A2194:B2213), LEFT(INDEX(FILTER(B$1:B2193, B$1:B2193&lt;&gt;""""),COUNTA(FILTER(B$1:B2193, B$1:B2193&lt;&gt;""""))), LEN(INDEX(FILTER(B$1:B2193, B$1:B2193&lt;&gt;""""),COUNTA(FILTER(B$1:B2193, B$1:B2193&lt;&gt;""""))))-1), IF('To Order'!$A2194=COL"&amp;"UMNS($A2194:B2213), B2193&amp;RIGHT(INDIRECT(ADDRESS(ROW(B2194)-1, 'From Order'!$A2194)), 1), B2193))"),"JDWG")</f>
        <v>JDWG</v>
      </c>
      <c r="C2194" s="2" t="str">
        <f>IFERROR(__xludf.DUMMYFUNCTION("IF('From Order'!$A2194=COLUMNS($A2194:C2213), LEFT(INDEX(FILTER(C$1:C2193, C$1:C2193&lt;&gt;""""),COUNTA(FILTER(C$1:C2193, C$1:C2193&lt;&gt;""""))), LEN(INDEX(FILTER(C$1:C2193, C$1:C2193&lt;&gt;""""),COUNTA(FILTER(C$1:C2193, C$1:C2193&lt;&gt;""""))))-1), IF('To Order'!$A2194=COL"&amp;"UMNS($A2194:C2213), C2193&amp;RIGHT(INDIRECT(ADDRESS(ROW(C2194)-1, 'From Order'!$A2194)), 1), C2193))"),"VBHC")</f>
        <v>VBHC</v>
      </c>
      <c r="D2194" s="2" t="str">
        <f>IFERROR(__xludf.DUMMYFUNCTION("IF('From Order'!$A2194=COLUMNS($A2194:D2213), LEFT(INDEX(FILTER(D$1:D2193, D$1:D2193&lt;&gt;""""),COUNTA(FILTER(D$1:D2193, D$1:D2193&lt;&gt;""""))), LEN(INDEX(FILTER(D$1:D2193, D$1:D2193&lt;&gt;""""),COUNTA(FILTER(D$1:D2193, D$1:D2193&lt;&gt;""""))))-1), IF('To Order'!$A2194=COL"&amp;"UMNS($A2194:D2213), D2193&amp;RIGHT(INDIRECT(ADDRESS(ROW(D2194)-1, 'From Order'!$A2194)), 1), D2193))"),"R")</f>
        <v>R</v>
      </c>
      <c r="E2194" s="2" t="str">
        <f>IFERROR(__xludf.DUMMYFUNCTION("IF('From Order'!$A2194=COLUMNS($A2194:E2213), LEFT(INDEX(FILTER(E$1:E2193, E$1:E2193&lt;&gt;""""),COUNTA(FILTER(E$1:E2193, E$1:E2193&lt;&gt;""""))), LEN(INDEX(FILTER(E$1:E2193, E$1:E2193&lt;&gt;""""),COUNTA(FILTER(E$1:E2193, E$1:E2193&lt;&gt;""""))))-1), IF('To Order'!$A2194=COL"&amp;"UMNS($A2194:E2213), E2193&amp;RIGHT(INDIRECT(ADDRESS(ROW(E2194)-1, 'From Order'!$A2194)), 1), E2193))"),"FSCZR")</f>
        <v>FSCZR</v>
      </c>
      <c r="F2194" s="2" t="str">
        <f>IFERROR(__xludf.DUMMYFUNCTION("IF('From Order'!$A2194=COLUMNS($A2194:F2213), LEFT(INDEX(FILTER(F$1:F2193, F$1:F2193&lt;&gt;""""),COUNTA(FILTER(F$1:F2193, F$1:F2193&lt;&gt;""""))), LEN(INDEX(FILTER(F$1:F2193, F$1:F2193&lt;&gt;""""),COUNTA(FILTER(F$1:F2193, F$1:F2193&lt;&gt;""""))))-1), IF('To Order'!$A2194=COL"&amp;"UMNS($A2194:F2213), F2193&amp;RIGHT(INDIRECT(ADDRESS(ROW(F2194)-1, 'From Order'!$A2194)), 1), F2193))"),"")</f>
        <v/>
      </c>
      <c r="G2194" s="2" t="str">
        <f>IFERROR(__xludf.DUMMYFUNCTION("IF('From Order'!$A2194=COLUMNS($A2194:G2213), LEFT(INDEX(FILTER(G$1:G2193, G$1:G2193&lt;&gt;""""),COUNTA(FILTER(G$1:G2193, G$1:G2193&lt;&gt;""""))), LEN(INDEX(FILTER(G$1:G2193, G$1:G2193&lt;&gt;""""),COUNTA(FILTER(G$1:G2193, G$1:G2193&lt;&gt;""""))))-1), IF('To Order'!$A2194=COL"&amp;"UMNS($A2194:G2213), G2193&amp;RIGHT(INDIRECT(ADDRESS(ROW(G2194)-1, 'From Order'!$A2194)), 1), G2193))"),"")</f>
        <v/>
      </c>
      <c r="H2194" s="2" t="str">
        <f>IFERROR(__xludf.DUMMYFUNCTION("IF('From Order'!$A2194=COLUMNS($A2194:H2213), LEFT(INDEX(FILTER(H$1:H2193, H$1:H2193&lt;&gt;""""),COUNTA(FILTER(H$1:H2193, H$1:H2193&lt;&gt;""""))), LEN(INDEX(FILTER(H$1:H2193, H$1:H2193&lt;&gt;""""),COUNTA(FILTER(H$1:H2193, H$1:H2193&lt;&gt;""""))))-1), IF('To Order'!$A2194=COL"&amp;"UMNS($A2194:H2213), H2193&amp;RIGHT(INDIRECT(ADDRESS(ROW(H2194)-1, 'From Order'!$A2194)), 1), H2193))"),"QTTCT")</f>
        <v>QTTCT</v>
      </c>
      <c r="I2194" s="2" t="str">
        <f>IFERROR(__xludf.DUMMYFUNCTION("IF('From Order'!$A2194=COLUMNS($A2194:I2213), LEFT(INDEX(FILTER(I$1:I2193, I$1:I2193&lt;&gt;""""),COUNTA(FILTER(I$1:I2193, I$1:I2193&lt;&gt;""""))), LEN(INDEX(FILTER(I$1:I2193, I$1:I2193&lt;&gt;""""),COUNTA(FILTER(I$1:I2193, I$1:I2193&lt;&gt;""""))))-1), IF('To Order'!$A2194=COL"&amp;"UMNS($A2194:I2213), I2193&amp;RIGHT(INDIRECT(ADDRESS(ROW(I2194)-1, 'From Order'!$A2194)), 1), I2193))"),"DDDVQZDMTTGMJRRLPSSTMZHPRBVJB")</f>
        <v>DDDVQZDMTTGMJRRLPSSTMZHPRBVJB</v>
      </c>
    </row>
    <row r="2195">
      <c r="A2195" s="2" t="str">
        <f>IFERROR(__xludf.DUMMYFUNCTION("IF('From Order'!$A2195=COLUMNS($A2195:A2214), LEFT(INDEX(FILTER(A$1:A2194, A$1:A2194&lt;&gt;""""),COUNTA(FILTER(A$1:A2194, A$1:A2194&lt;&gt;""""))), LEN(INDEX(FILTER(A$1:A2194, A$1:A2194&lt;&gt;""""),COUNTA(FILTER(A$1:A2194, A$1:A2194&lt;&gt;""""))))-1), IF('To Order'!$A2195=COL"&amp;"UMNS($A2195:A2214), A2194&amp;RIGHT(INDIRECT(ADDRESS(ROW(A2195)-1, 'From Order'!$A2195)), 1), A2194))"),"DSPBFLLW")</f>
        <v>DSPBFLLW</v>
      </c>
      <c r="B2195" s="2" t="str">
        <f>IFERROR(__xludf.DUMMYFUNCTION("IF('From Order'!$A2195=COLUMNS($A2195:B2214), LEFT(INDEX(FILTER(B$1:B2194, B$1:B2194&lt;&gt;""""),COUNTA(FILTER(B$1:B2194, B$1:B2194&lt;&gt;""""))), LEN(INDEX(FILTER(B$1:B2194, B$1:B2194&lt;&gt;""""),COUNTA(FILTER(B$1:B2194, B$1:B2194&lt;&gt;""""))))-1), IF('To Order'!$A2195=COL"&amp;"UMNS($A2195:B2214), B2194&amp;RIGHT(INDIRECT(ADDRESS(ROW(B2195)-1, 'From Order'!$A2195)), 1), B2194))"),"JDWG")</f>
        <v>JDWG</v>
      </c>
      <c r="C2195" s="2" t="str">
        <f>IFERROR(__xludf.DUMMYFUNCTION("IF('From Order'!$A2195=COLUMNS($A2195:C2214), LEFT(INDEX(FILTER(C$1:C2194, C$1:C2194&lt;&gt;""""),COUNTA(FILTER(C$1:C2194, C$1:C2194&lt;&gt;""""))), LEN(INDEX(FILTER(C$1:C2194, C$1:C2194&lt;&gt;""""),COUNTA(FILTER(C$1:C2194, C$1:C2194&lt;&gt;""""))))-1), IF('To Order'!$A2195=COL"&amp;"UMNS($A2195:C2214), C2194&amp;RIGHT(INDIRECT(ADDRESS(ROW(C2195)-1, 'From Order'!$A2195)), 1), C2194))"),"VBHC")</f>
        <v>VBHC</v>
      </c>
      <c r="D2195" s="2" t="str">
        <f>IFERROR(__xludf.DUMMYFUNCTION("IF('From Order'!$A2195=COLUMNS($A2195:D2214), LEFT(INDEX(FILTER(D$1:D2194, D$1:D2194&lt;&gt;""""),COUNTA(FILTER(D$1:D2194, D$1:D2194&lt;&gt;""""))), LEN(INDEX(FILTER(D$1:D2194, D$1:D2194&lt;&gt;""""),COUNTA(FILTER(D$1:D2194, D$1:D2194&lt;&gt;""""))))-1), IF('To Order'!$A2195=COL"&amp;"UMNS($A2195:D2214), D2194&amp;RIGHT(INDIRECT(ADDRESS(ROW(D2195)-1, 'From Order'!$A2195)), 1), D2194))"),"R")</f>
        <v>R</v>
      </c>
      <c r="E2195" s="2" t="str">
        <f>IFERROR(__xludf.DUMMYFUNCTION("IF('From Order'!$A2195=COLUMNS($A2195:E2214), LEFT(INDEX(FILTER(E$1:E2194, E$1:E2194&lt;&gt;""""),COUNTA(FILTER(E$1:E2194, E$1:E2194&lt;&gt;""""))), LEN(INDEX(FILTER(E$1:E2194, E$1:E2194&lt;&gt;""""),COUNTA(FILTER(E$1:E2194, E$1:E2194&lt;&gt;""""))))-1), IF('To Order'!$A2195=COL"&amp;"UMNS($A2195:E2214), E2194&amp;RIGHT(INDIRECT(ADDRESS(ROW(E2195)-1, 'From Order'!$A2195)), 1), E2194))"),"FSCZ")</f>
        <v>FSCZ</v>
      </c>
      <c r="F2195" s="2" t="str">
        <f>IFERROR(__xludf.DUMMYFUNCTION("IF('From Order'!$A2195=COLUMNS($A2195:F2214), LEFT(INDEX(FILTER(F$1:F2194, F$1:F2194&lt;&gt;""""),COUNTA(FILTER(F$1:F2194, F$1:F2194&lt;&gt;""""))), LEN(INDEX(FILTER(F$1:F2194, F$1:F2194&lt;&gt;""""),COUNTA(FILTER(F$1:F2194, F$1:F2194&lt;&gt;""""))))-1), IF('To Order'!$A2195=COL"&amp;"UMNS($A2195:F2214), F2194&amp;RIGHT(INDIRECT(ADDRESS(ROW(F2195)-1, 'From Order'!$A2195)), 1), F2194))"),"")</f>
        <v/>
      </c>
      <c r="G2195" s="2" t="str">
        <f>IFERROR(__xludf.DUMMYFUNCTION("IF('From Order'!$A2195=COLUMNS($A2195:G2214), LEFT(INDEX(FILTER(G$1:G2194, G$1:G2194&lt;&gt;""""),COUNTA(FILTER(G$1:G2194, G$1:G2194&lt;&gt;""""))), LEN(INDEX(FILTER(G$1:G2194, G$1:G2194&lt;&gt;""""),COUNTA(FILTER(G$1:G2194, G$1:G2194&lt;&gt;""""))))-1), IF('To Order'!$A2195=COL"&amp;"UMNS($A2195:G2214), G2194&amp;RIGHT(INDIRECT(ADDRESS(ROW(G2195)-1, 'From Order'!$A2195)), 1), G2194))"),"R")</f>
        <v>R</v>
      </c>
      <c r="H2195" s="2" t="str">
        <f>IFERROR(__xludf.DUMMYFUNCTION("IF('From Order'!$A2195=COLUMNS($A2195:H2214), LEFT(INDEX(FILTER(H$1:H2194, H$1:H2194&lt;&gt;""""),COUNTA(FILTER(H$1:H2194, H$1:H2194&lt;&gt;""""))), LEN(INDEX(FILTER(H$1:H2194, H$1:H2194&lt;&gt;""""),COUNTA(FILTER(H$1:H2194, H$1:H2194&lt;&gt;""""))))-1), IF('To Order'!$A2195=COL"&amp;"UMNS($A2195:H2214), H2194&amp;RIGHT(INDIRECT(ADDRESS(ROW(H2195)-1, 'From Order'!$A2195)), 1), H2194))"),"QTTCT")</f>
        <v>QTTCT</v>
      </c>
      <c r="I2195" s="2" t="str">
        <f>IFERROR(__xludf.DUMMYFUNCTION("IF('From Order'!$A2195=COLUMNS($A2195:I2214), LEFT(INDEX(FILTER(I$1:I2194, I$1:I2194&lt;&gt;""""),COUNTA(FILTER(I$1:I2194, I$1:I2194&lt;&gt;""""))), LEN(INDEX(FILTER(I$1:I2194, I$1:I2194&lt;&gt;""""),COUNTA(FILTER(I$1:I2194, I$1:I2194&lt;&gt;""""))))-1), IF('To Order'!$A2195=COL"&amp;"UMNS($A2195:I2214), I2194&amp;RIGHT(INDIRECT(ADDRESS(ROW(I2195)-1, 'From Order'!$A2195)), 1), I2194))"),"DDDVQZDMTTGMJRRLPSSTMZHPRBVJB")</f>
        <v>DDDVQZDMTTGMJRRLPSSTMZHPRBVJB</v>
      </c>
    </row>
    <row r="2196">
      <c r="A2196" s="2" t="str">
        <f>IFERROR(__xludf.DUMMYFUNCTION("IF('From Order'!$A2196=COLUMNS($A2196:A2215), LEFT(INDEX(FILTER(A$1:A2195, A$1:A2195&lt;&gt;""""),COUNTA(FILTER(A$1:A2195, A$1:A2195&lt;&gt;""""))), LEN(INDEX(FILTER(A$1:A2195, A$1:A2195&lt;&gt;""""),COUNTA(FILTER(A$1:A2195, A$1:A2195&lt;&gt;""""))))-1), IF('To Order'!$A2196=COL"&amp;"UMNS($A2196:A2215), A2195&amp;RIGHT(INDIRECT(ADDRESS(ROW(A2196)-1, 'From Order'!$A2196)), 1), A2195))"),"DSPBFLLW")</f>
        <v>DSPBFLLW</v>
      </c>
      <c r="B2196" s="2" t="str">
        <f>IFERROR(__xludf.DUMMYFUNCTION("IF('From Order'!$A2196=COLUMNS($A2196:B2215), LEFT(INDEX(FILTER(B$1:B2195, B$1:B2195&lt;&gt;""""),COUNTA(FILTER(B$1:B2195, B$1:B2195&lt;&gt;""""))), LEN(INDEX(FILTER(B$1:B2195, B$1:B2195&lt;&gt;""""),COUNTA(FILTER(B$1:B2195, B$1:B2195&lt;&gt;""""))))-1), IF('To Order'!$A2196=COL"&amp;"UMNS($A2196:B2215), B2195&amp;RIGHT(INDIRECT(ADDRESS(ROW(B2196)-1, 'From Order'!$A2196)), 1), B2195))"),"JDWG")</f>
        <v>JDWG</v>
      </c>
      <c r="C2196" s="2" t="str">
        <f>IFERROR(__xludf.DUMMYFUNCTION("IF('From Order'!$A2196=COLUMNS($A2196:C2215), LEFT(INDEX(FILTER(C$1:C2195, C$1:C2195&lt;&gt;""""),COUNTA(FILTER(C$1:C2195, C$1:C2195&lt;&gt;""""))), LEN(INDEX(FILTER(C$1:C2195, C$1:C2195&lt;&gt;""""),COUNTA(FILTER(C$1:C2195, C$1:C2195&lt;&gt;""""))))-1), IF('To Order'!$A2196=COL"&amp;"UMNS($A2196:C2215), C2195&amp;RIGHT(INDIRECT(ADDRESS(ROW(C2196)-1, 'From Order'!$A2196)), 1), C2195))"),"VBHC")</f>
        <v>VBHC</v>
      </c>
      <c r="D2196" s="2" t="str">
        <f>IFERROR(__xludf.DUMMYFUNCTION("IF('From Order'!$A2196=COLUMNS($A2196:D2215), LEFT(INDEX(FILTER(D$1:D2195, D$1:D2195&lt;&gt;""""),COUNTA(FILTER(D$1:D2195, D$1:D2195&lt;&gt;""""))), LEN(INDEX(FILTER(D$1:D2195, D$1:D2195&lt;&gt;""""),COUNTA(FILTER(D$1:D2195, D$1:D2195&lt;&gt;""""))))-1), IF('To Order'!$A2196=COL"&amp;"UMNS($A2196:D2215), D2195&amp;RIGHT(INDIRECT(ADDRESS(ROW(D2196)-1, 'From Order'!$A2196)), 1), D2195))"),"R")</f>
        <v>R</v>
      </c>
      <c r="E2196" s="2" t="str">
        <f>IFERROR(__xludf.DUMMYFUNCTION("IF('From Order'!$A2196=COLUMNS($A2196:E2215), LEFT(INDEX(FILTER(E$1:E2195, E$1:E2195&lt;&gt;""""),COUNTA(FILTER(E$1:E2195, E$1:E2195&lt;&gt;""""))), LEN(INDEX(FILTER(E$1:E2195, E$1:E2195&lt;&gt;""""),COUNTA(FILTER(E$1:E2195, E$1:E2195&lt;&gt;""""))))-1), IF('To Order'!$A2196=COL"&amp;"UMNS($A2196:E2215), E2195&amp;RIGHT(INDIRECT(ADDRESS(ROW(E2196)-1, 'From Order'!$A2196)), 1), E2195))"),"FSC")</f>
        <v>FSC</v>
      </c>
      <c r="F2196" s="2" t="str">
        <f>IFERROR(__xludf.DUMMYFUNCTION("IF('From Order'!$A2196=COLUMNS($A2196:F2215), LEFT(INDEX(FILTER(F$1:F2195, F$1:F2195&lt;&gt;""""),COUNTA(FILTER(F$1:F2195, F$1:F2195&lt;&gt;""""))), LEN(INDEX(FILTER(F$1:F2195, F$1:F2195&lt;&gt;""""),COUNTA(FILTER(F$1:F2195, F$1:F2195&lt;&gt;""""))))-1), IF('To Order'!$A2196=COL"&amp;"UMNS($A2196:F2215), F2195&amp;RIGHT(INDIRECT(ADDRESS(ROW(F2196)-1, 'From Order'!$A2196)), 1), F2195))"),"")</f>
        <v/>
      </c>
      <c r="G2196" s="2" t="str">
        <f>IFERROR(__xludf.DUMMYFUNCTION("IF('From Order'!$A2196=COLUMNS($A2196:G2215), LEFT(INDEX(FILTER(G$1:G2195, G$1:G2195&lt;&gt;""""),COUNTA(FILTER(G$1:G2195, G$1:G2195&lt;&gt;""""))), LEN(INDEX(FILTER(G$1:G2195, G$1:G2195&lt;&gt;""""),COUNTA(FILTER(G$1:G2195, G$1:G2195&lt;&gt;""""))))-1), IF('To Order'!$A2196=COL"&amp;"UMNS($A2196:G2215), G2195&amp;RIGHT(INDIRECT(ADDRESS(ROW(G2196)-1, 'From Order'!$A2196)), 1), G2195))"),"RZ")</f>
        <v>RZ</v>
      </c>
      <c r="H2196" s="2" t="str">
        <f>IFERROR(__xludf.DUMMYFUNCTION("IF('From Order'!$A2196=COLUMNS($A2196:H2215), LEFT(INDEX(FILTER(H$1:H2195, H$1:H2195&lt;&gt;""""),COUNTA(FILTER(H$1:H2195, H$1:H2195&lt;&gt;""""))), LEN(INDEX(FILTER(H$1:H2195, H$1:H2195&lt;&gt;""""),COUNTA(FILTER(H$1:H2195, H$1:H2195&lt;&gt;""""))))-1), IF('To Order'!$A2196=COL"&amp;"UMNS($A2196:H2215), H2195&amp;RIGHT(INDIRECT(ADDRESS(ROW(H2196)-1, 'From Order'!$A2196)), 1), H2195))"),"QTTCT")</f>
        <v>QTTCT</v>
      </c>
      <c r="I2196" s="2" t="str">
        <f>IFERROR(__xludf.DUMMYFUNCTION("IF('From Order'!$A2196=COLUMNS($A2196:I2215), LEFT(INDEX(FILTER(I$1:I2195, I$1:I2195&lt;&gt;""""),COUNTA(FILTER(I$1:I2195, I$1:I2195&lt;&gt;""""))), LEN(INDEX(FILTER(I$1:I2195, I$1:I2195&lt;&gt;""""),COUNTA(FILTER(I$1:I2195, I$1:I2195&lt;&gt;""""))))-1), IF('To Order'!$A2196=COL"&amp;"UMNS($A2196:I2215), I2195&amp;RIGHT(INDIRECT(ADDRESS(ROW(I2196)-1, 'From Order'!$A2196)), 1), I2195))"),"DDDVQZDMTTGMJRRLPSSTMZHPRBVJB")</f>
        <v>DDDVQZDMTTGMJRRLPSSTMZHPRBVJB</v>
      </c>
    </row>
    <row r="2197">
      <c r="A2197" s="2" t="str">
        <f>IFERROR(__xludf.DUMMYFUNCTION("IF('From Order'!$A2197=COLUMNS($A2197:A2216), LEFT(INDEX(FILTER(A$1:A2196, A$1:A2196&lt;&gt;""""),COUNTA(FILTER(A$1:A2196, A$1:A2196&lt;&gt;""""))), LEN(INDEX(FILTER(A$1:A2196, A$1:A2196&lt;&gt;""""),COUNTA(FILTER(A$1:A2196, A$1:A2196&lt;&gt;""""))))-1), IF('To Order'!$A2197=COL"&amp;"UMNS($A2197:A2216), A2196&amp;RIGHT(INDIRECT(ADDRESS(ROW(A2197)-1, 'From Order'!$A2197)), 1), A2196))"),"DSPBFLLW")</f>
        <v>DSPBFLLW</v>
      </c>
      <c r="B2197" s="2" t="str">
        <f>IFERROR(__xludf.DUMMYFUNCTION("IF('From Order'!$A2197=COLUMNS($A2197:B2216), LEFT(INDEX(FILTER(B$1:B2196, B$1:B2196&lt;&gt;""""),COUNTA(FILTER(B$1:B2196, B$1:B2196&lt;&gt;""""))), LEN(INDEX(FILTER(B$1:B2196, B$1:B2196&lt;&gt;""""),COUNTA(FILTER(B$1:B2196, B$1:B2196&lt;&gt;""""))))-1), IF('To Order'!$A2197=COL"&amp;"UMNS($A2197:B2216), B2196&amp;RIGHT(INDIRECT(ADDRESS(ROW(B2197)-1, 'From Order'!$A2197)), 1), B2196))"),"JDW")</f>
        <v>JDW</v>
      </c>
      <c r="C2197" s="2" t="str">
        <f>IFERROR(__xludf.DUMMYFUNCTION("IF('From Order'!$A2197=COLUMNS($A2197:C2216), LEFT(INDEX(FILTER(C$1:C2196, C$1:C2196&lt;&gt;""""),COUNTA(FILTER(C$1:C2196, C$1:C2196&lt;&gt;""""))), LEN(INDEX(FILTER(C$1:C2196, C$1:C2196&lt;&gt;""""),COUNTA(FILTER(C$1:C2196, C$1:C2196&lt;&gt;""""))))-1), IF('To Order'!$A2197=COL"&amp;"UMNS($A2197:C2216), C2196&amp;RIGHT(INDIRECT(ADDRESS(ROW(C2197)-1, 'From Order'!$A2197)), 1), C2196))"),"VBHC")</f>
        <v>VBHC</v>
      </c>
      <c r="D2197" s="2" t="str">
        <f>IFERROR(__xludf.DUMMYFUNCTION("IF('From Order'!$A2197=COLUMNS($A2197:D2216), LEFT(INDEX(FILTER(D$1:D2196, D$1:D2196&lt;&gt;""""),COUNTA(FILTER(D$1:D2196, D$1:D2196&lt;&gt;""""))), LEN(INDEX(FILTER(D$1:D2196, D$1:D2196&lt;&gt;""""),COUNTA(FILTER(D$1:D2196, D$1:D2196&lt;&gt;""""))))-1), IF('To Order'!$A2197=COL"&amp;"UMNS($A2197:D2216), D2196&amp;RIGHT(INDIRECT(ADDRESS(ROW(D2197)-1, 'From Order'!$A2197)), 1), D2196))"),"RG")</f>
        <v>RG</v>
      </c>
      <c r="E2197" s="2" t="str">
        <f>IFERROR(__xludf.DUMMYFUNCTION("IF('From Order'!$A2197=COLUMNS($A2197:E2216), LEFT(INDEX(FILTER(E$1:E2196, E$1:E2196&lt;&gt;""""),COUNTA(FILTER(E$1:E2196, E$1:E2196&lt;&gt;""""))), LEN(INDEX(FILTER(E$1:E2196, E$1:E2196&lt;&gt;""""),COUNTA(FILTER(E$1:E2196, E$1:E2196&lt;&gt;""""))))-1), IF('To Order'!$A2197=COL"&amp;"UMNS($A2197:E2216), E2196&amp;RIGHT(INDIRECT(ADDRESS(ROW(E2197)-1, 'From Order'!$A2197)), 1), E2196))"),"FSC")</f>
        <v>FSC</v>
      </c>
      <c r="F2197" s="2" t="str">
        <f>IFERROR(__xludf.DUMMYFUNCTION("IF('From Order'!$A2197=COLUMNS($A2197:F2216), LEFT(INDEX(FILTER(F$1:F2196, F$1:F2196&lt;&gt;""""),COUNTA(FILTER(F$1:F2196, F$1:F2196&lt;&gt;""""))), LEN(INDEX(FILTER(F$1:F2196, F$1:F2196&lt;&gt;""""),COUNTA(FILTER(F$1:F2196, F$1:F2196&lt;&gt;""""))))-1), IF('To Order'!$A2197=COL"&amp;"UMNS($A2197:F2216), F2196&amp;RIGHT(INDIRECT(ADDRESS(ROW(F2197)-1, 'From Order'!$A2197)), 1), F2196))"),"")</f>
        <v/>
      </c>
      <c r="G2197" s="2" t="str">
        <f>IFERROR(__xludf.DUMMYFUNCTION("IF('From Order'!$A2197=COLUMNS($A2197:G2216), LEFT(INDEX(FILTER(G$1:G2196, G$1:G2196&lt;&gt;""""),COUNTA(FILTER(G$1:G2196, G$1:G2196&lt;&gt;""""))), LEN(INDEX(FILTER(G$1:G2196, G$1:G2196&lt;&gt;""""),COUNTA(FILTER(G$1:G2196, G$1:G2196&lt;&gt;""""))))-1), IF('To Order'!$A2197=COL"&amp;"UMNS($A2197:G2216), G2196&amp;RIGHT(INDIRECT(ADDRESS(ROW(G2197)-1, 'From Order'!$A2197)), 1), G2196))"),"RZ")</f>
        <v>RZ</v>
      </c>
      <c r="H2197" s="2" t="str">
        <f>IFERROR(__xludf.DUMMYFUNCTION("IF('From Order'!$A2197=COLUMNS($A2197:H2216), LEFT(INDEX(FILTER(H$1:H2196, H$1:H2196&lt;&gt;""""),COUNTA(FILTER(H$1:H2196, H$1:H2196&lt;&gt;""""))), LEN(INDEX(FILTER(H$1:H2196, H$1:H2196&lt;&gt;""""),COUNTA(FILTER(H$1:H2196, H$1:H2196&lt;&gt;""""))))-1), IF('To Order'!$A2197=COL"&amp;"UMNS($A2197:H2216), H2196&amp;RIGHT(INDIRECT(ADDRESS(ROW(H2197)-1, 'From Order'!$A2197)), 1), H2196))"),"QTTCT")</f>
        <v>QTTCT</v>
      </c>
      <c r="I2197" s="2" t="str">
        <f>IFERROR(__xludf.DUMMYFUNCTION("IF('From Order'!$A2197=COLUMNS($A2197:I2216), LEFT(INDEX(FILTER(I$1:I2196, I$1:I2196&lt;&gt;""""),COUNTA(FILTER(I$1:I2196, I$1:I2196&lt;&gt;""""))), LEN(INDEX(FILTER(I$1:I2196, I$1:I2196&lt;&gt;""""),COUNTA(FILTER(I$1:I2196, I$1:I2196&lt;&gt;""""))))-1), IF('To Order'!$A2197=COL"&amp;"UMNS($A2197:I2216), I2196&amp;RIGHT(INDIRECT(ADDRESS(ROW(I2197)-1, 'From Order'!$A2197)), 1), I2196))"),"DDDVQZDMTTGMJRRLPSSTMZHPRBVJB")</f>
        <v>DDDVQZDMTTGMJRRLPSSTMZHPRBVJB</v>
      </c>
    </row>
    <row r="2198">
      <c r="A2198" s="2" t="str">
        <f>IFERROR(__xludf.DUMMYFUNCTION("IF('From Order'!$A2198=COLUMNS($A2198:A2217), LEFT(INDEX(FILTER(A$1:A2197, A$1:A2197&lt;&gt;""""),COUNTA(FILTER(A$1:A2197, A$1:A2197&lt;&gt;""""))), LEN(INDEX(FILTER(A$1:A2197, A$1:A2197&lt;&gt;""""),COUNTA(FILTER(A$1:A2197, A$1:A2197&lt;&gt;""""))))-1), IF('To Order'!$A2198=COL"&amp;"UMNS($A2198:A2217), A2197&amp;RIGHT(INDIRECT(ADDRESS(ROW(A2198)-1, 'From Order'!$A2198)), 1), A2197))"),"DSPBFLLW")</f>
        <v>DSPBFLLW</v>
      </c>
      <c r="B2198" s="2" t="str">
        <f>IFERROR(__xludf.DUMMYFUNCTION("IF('From Order'!$A2198=COLUMNS($A2198:B2217), LEFT(INDEX(FILTER(B$1:B2197, B$1:B2197&lt;&gt;""""),COUNTA(FILTER(B$1:B2197, B$1:B2197&lt;&gt;""""))), LEN(INDEX(FILTER(B$1:B2197, B$1:B2197&lt;&gt;""""),COUNTA(FILTER(B$1:B2197, B$1:B2197&lt;&gt;""""))))-1), IF('To Order'!$A2198=COL"&amp;"UMNS($A2198:B2217), B2197&amp;RIGHT(INDIRECT(ADDRESS(ROW(B2198)-1, 'From Order'!$A2198)), 1), B2197))"),"JD")</f>
        <v>JD</v>
      </c>
      <c r="C2198" s="2" t="str">
        <f>IFERROR(__xludf.DUMMYFUNCTION("IF('From Order'!$A2198=COLUMNS($A2198:C2217), LEFT(INDEX(FILTER(C$1:C2197, C$1:C2197&lt;&gt;""""),COUNTA(FILTER(C$1:C2197, C$1:C2197&lt;&gt;""""))), LEN(INDEX(FILTER(C$1:C2197, C$1:C2197&lt;&gt;""""),COUNTA(FILTER(C$1:C2197, C$1:C2197&lt;&gt;""""))))-1), IF('To Order'!$A2198=COL"&amp;"UMNS($A2198:C2217), C2197&amp;RIGHT(INDIRECT(ADDRESS(ROW(C2198)-1, 'From Order'!$A2198)), 1), C2197))"),"VBHC")</f>
        <v>VBHC</v>
      </c>
      <c r="D2198" s="2" t="str">
        <f>IFERROR(__xludf.DUMMYFUNCTION("IF('From Order'!$A2198=COLUMNS($A2198:D2217), LEFT(INDEX(FILTER(D$1:D2197, D$1:D2197&lt;&gt;""""),COUNTA(FILTER(D$1:D2197, D$1:D2197&lt;&gt;""""))), LEN(INDEX(FILTER(D$1:D2197, D$1:D2197&lt;&gt;""""),COUNTA(FILTER(D$1:D2197, D$1:D2197&lt;&gt;""""))))-1), IF('To Order'!$A2198=COL"&amp;"UMNS($A2198:D2217), D2197&amp;RIGHT(INDIRECT(ADDRESS(ROW(D2198)-1, 'From Order'!$A2198)), 1), D2197))"),"RGW")</f>
        <v>RGW</v>
      </c>
      <c r="E2198" s="2" t="str">
        <f>IFERROR(__xludf.DUMMYFUNCTION("IF('From Order'!$A2198=COLUMNS($A2198:E2217), LEFT(INDEX(FILTER(E$1:E2197, E$1:E2197&lt;&gt;""""),COUNTA(FILTER(E$1:E2197, E$1:E2197&lt;&gt;""""))), LEN(INDEX(FILTER(E$1:E2197, E$1:E2197&lt;&gt;""""),COUNTA(FILTER(E$1:E2197, E$1:E2197&lt;&gt;""""))))-1), IF('To Order'!$A2198=COL"&amp;"UMNS($A2198:E2217), E2197&amp;RIGHT(INDIRECT(ADDRESS(ROW(E2198)-1, 'From Order'!$A2198)), 1), E2197))"),"FSC")</f>
        <v>FSC</v>
      </c>
      <c r="F2198" s="2" t="str">
        <f>IFERROR(__xludf.DUMMYFUNCTION("IF('From Order'!$A2198=COLUMNS($A2198:F2217), LEFT(INDEX(FILTER(F$1:F2197, F$1:F2197&lt;&gt;""""),COUNTA(FILTER(F$1:F2197, F$1:F2197&lt;&gt;""""))), LEN(INDEX(FILTER(F$1:F2197, F$1:F2197&lt;&gt;""""),COUNTA(FILTER(F$1:F2197, F$1:F2197&lt;&gt;""""))))-1), IF('To Order'!$A2198=COL"&amp;"UMNS($A2198:F2217), F2197&amp;RIGHT(INDIRECT(ADDRESS(ROW(F2198)-1, 'From Order'!$A2198)), 1), F2197))"),"")</f>
        <v/>
      </c>
      <c r="G2198" s="2" t="str">
        <f>IFERROR(__xludf.DUMMYFUNCTION("IF('From Order'!$A2198=COLUMNS($A2198:G2217), LEFT(INDEX(FILTER(G$1:G2197, G$1:G2197&lt;&gt;""""),COUNTA(FILTER(G$1:G2197, G$1:G2197&lt;&gt;""""))), LEN(INDEX(FILTER(G$1:G2197, G$1:G2197&lt;&gt;""""),COUNTA(FILTER(G$1:G2197, G$1:G2197&lt;&gt;""""))))-1), IF('To Order'!$A2198=COL"&amp;"UMNS($A2198:G2217), G2197&amp;RIGHT(INDIRECT(ADDRESS(ROW(G2198)-1, 'From Order'!$A2198)), 1), G2197))"),"RZ")</f>
        <v>RZ</v>
      </c>
      <c r="H2198" s="2" t="str">
        <f>IFERROR(__xludf.DUMMYFUNCTION("IF('From Order'!$A2198=COLUMNS($A2198:H2217), LEFT(INDEX(FILTER(H$1:H2197, H$1:H2197&lt;&gt;""""),COUNTA(FILTER(H$1:H2197, H$1:H2197&lt;&gt;""""))), LEN(INDEX(FILTER(H$1:H2197, H$1:H2197&lt;&gt;""""),COUNTA(FILTER(H$1:H2197, H$1:H2197&lt;&gt;""""))))-1), IF('To Order'!$A2198=COL"&amp;"UMNS($A2198:H2217), H2197&amp;RIGHT(INDIRECT(ADDRESS(ROW(H2198)-1, 'From Order'!$A2198)), 1), H2197))"),"QTTCT")</f>
        <v>QTTCT</v>
      </c>
      <c r="I2198" s="2" t="str">
        <f>IFERROR(__xludf.DUMMYFUNCTION("IF('From Order'!$A2198=COLUMNS($A2198:I2217), LEFT(INDEX(FILTER(I$1:I2197, I$1:I2197&lt;&gt;""""),COUNTA(FILTER(I$1:I2197, I$1:I2197&lt;&gt;""""))), LEN(INDEX(FILTER(I$1:I2197, I$1:I2197&lt;&gt;""""),COUNTA(FILTER(I$1:I2197, I$1:I2197&lt;&gt;""""))))-1), IF('To Order'!$A2198=COL"&amp;"UMNS($A2198:I2217), I2197&amp;RIGHT(INDIRECT(ADDRESS(ROW(I2198)-1, 'From Order'!$A2198)), 1), I2197))"),"DDDVQZDMTTGMJRRLPSSTMZHPRBVJB")</f>
        <v>DDDVQZDMTTGMJRRLPSSTMZHPRBVJB</v>
      </c>
    </row>
    <row r="2199">
      <c r="A2199" s="2" t="str">
        <f>IFERROR(__xludf.DUMMYFUNCTION("IF('From Order'!$A2199=COLUMNS($A2199:A2218), LEFT(INDEX(FILTER(A$1:A2198, A$1:A2198&lt;&gt;""""),COUNTA(FILTER(A$1:A2198, A$1:A2198&lt;&gt;""""))), LEN(INDEX(FILTER(A$1:A2198, A$1:A2198&lt;&gt;""""),COUNTA(FILTER(A$1:A2198, A$1:A2198&lt;&gt;""""))))-1), IF('To Order'!$A2199=COL"&amp;"UMNS($A2199:A2218), A2198&amp;RIGHT(INDIRECT(ADDRESS(ROW(A2199)-1, 'From Order'!$A2199)), 1), A2198))"),"DSPBFLLW")</f>
        <v>DSPBFLLW</v>
      </c>
      <c r="B2199" s="2" t="str">
        <f>IFERROR(__xludf.DUMMYFUNCTION("IF('From Order'!$A2199=COLUMNS($A2199:B2218), LEFT(INDEX(FILTER(B$1:B2198, B$1:B2198&lt;&gt;""""),COUNTA(FILTER(B$1:B2198, B$1:B2198&lt;&gt;""""))), LEN(INDEX(FILTER(B$1:B2198, B$1:B2198&lt;&gt;""""),COUNTA(FILTER(B$1:B2198, B$1:B2198&lt;&gt;""""))))-1), IF('To Order'!$A2199=COL"&amp;"UMNS($A2199:B2218), B2198&amp;RIGHT(INDIRECT(ADDRESS(ROW(B2199)-1, 'From Order'!$A2199)), 1), B2198))"),"J")</f>
        <v>J</v>
      </c>
      <c r="C2199" s="2" t="str">
        <f>IFERROR(__xludf.DUMMYFUNCTION("IF('From Order'!$A2199=COLUMNS($A2199:C2218), LEFT(INDEX(FILTER(C$1:C2198, C$1:C2198&lt;&gt;""""),COUNTA(FILTER(C$1:C2198, C$1:C2198&lt;&gt;""""))), LEN(INDEX(FILTER(C$1:C2198, C$1:C2198&lt;&gt;""""),COUNTA(FILTER(C$1:C2198, C$1:C2198&lt;&gt;""""))))-1), IF('To Order'!$A2199=COL"&amp;"UMNS($A2199:C2218), C2198&amp;RIGHT(INDIRECT(ADDRESS(ROW(C2199)-1, 'From Order'!$A2199)), 1), C2198))"),"VBHC")</f>
        <v>VBHC</v>
      </c>
      <c r="D2199" s="2" t="str">
        <f>IFERROR(__xludf.DUMMYFUNCTION("IF('From Order'!$A2199=COLUMNS($A2199:D2218), LEFT(INDEX(FILTER(D$1:D2198, D$1:D2198&lt;&gt;""""),COUNTA(FILTER(D$1:D2198, D$1:D2198&lt;&gt;""""))), LEN(INDEX(FILTER(D$1:D2198, D$1:D2198&lt;&gt;""""),COUNTA(FILTER(D$1:D2198, D$1:D2198&lt;&gt;""""))))-1), IF('To Order'!$A2199=COL"&amp;"UMNS($A2199:D2218), D2198&amp;RIGHT(INDIRECT(ADDRESS(ROW(D2199)-1, 'From Order'!$A2199)), 1), D2198))"),"RGWD")</f>
        <v>RGWD</v>
      </c>
      <c r="E2199" s="2" t="str">
        <f>IFERROR(__xludf.DUMMYFUNCTION("IF('From Order'!$A2199=COLUMNS($A2199:E2218), LEFT(INDEX(FILTER(E$1:E2198, E$1:E2198&lt;&gt;""""),COUNTA(FILTER(E$1:E2198, E$1:E2198&lt;&gt;""""))), LEN(INDEX(FILTER(E$1:E2198, E$1:E2198&lt;&gt;""""),COUNTA(FILTER(E$1:E2198, E$1:E2198&lt;&gt;""""))))-1), IF('To Order'!$A2199=COL"&amp;"UMNS($A2199:E2218), E2198&amp;RIGHT(INDIRECT(ADDRESS(ROW(E2199)-1, 'From Order'!$A2199)), 1), E2198))"),"FSC")</f>
        <v>FSC</v>
      </c>
      <c r="F2199" s="2" t="str">
        <f>IFERROR(__xludf.DUMMYFUNCTION("IF('From Order'!$A2199=COLUMNS($A2199:F2218), LEFT(INDEX(FILTER(F$1:F2198, F$1:F2198&lt;&gt;""""),COUNTA(FILTER(F$1:F2198, F$1:F2198&lt;&gt;""""))), LEN(INDEX(FILTER(F$1:F2198, F$1:F2198&lt;&gt;""""),COUNTA(FILTER(F$1:F2198, F$1:F2198&lt;&gt;""""))))-1), IF('To Order'!$A2199=COL"&amp;"UMNS($A2199:F2218), F2198&amp;RIGHT(INDIRECT(ADDRESS(ROW(F2199)-1, 'From Order'!$A2199)), 1), F2198))"),"")</f>
        <v/>
      </c>
      <c r="G2199" s="2" t="str">
        <f>IFERROR(__xludf.DUMMYFUNCTION("IF('From Order'!$A2199=COLUMNS($A2199:G2218), LEFT(INDEX(FILTER(G$1:G2198, G$1:G2198&lt;&gt;""""),COUNTA(FILTER(G$1:G2198, G$1:G2198&lt;&gt;""""))), LEN(INDEX(FILTER(G$1:G2198, G$1:G2198&lt;&gt;""""),COUNTA(FILTER(G$1:G2198, G$1:G2198&lt;&gt;""""))))-1), IF('To Order'!$A2199=COL"&amp;"UMNS($A2199:G2218), G2198&amp;RIGHT(INDIRECT(ADDRESS(ROW(G2199)-1, 'From Order'!$A2199)), 1), G2198))"),"RZ")</f>
        <v>RZ</v>
      </c>
      <c r="H2199" s="2" t="str">
        <f>IFERROR(__xludf.DUMMYFUNCTION("IF('From Order'!$A2199=COLUMNS($A2199:H2218), LEFT(INDEX(FILTER(H$1:H2198, H$1:H2198&lt;&gt;""""),COUNTA(FILTER(H$1:H2198, H$1:H2198&lt;&gt;""""))), LEN(INDEX(FILTER(H$1:H2198, H$1:H2198&lt;&gt;""""),COUNTA(FILTER(H$1:H2198, H$1:H2198&lt;&gt;""""))))-1), IF('To Order'!$A2199=COL"&amp;"UMNS($A2199:H2218), H2198&amp;RIGHT(INDIRECT(ADDRESS(ROW(H2199)-1, 'From Order'!$A2199)), 1), H2198))"),"QTTCT")</f>
        <v>QTTCT</v>
      </c>
      <c r="I2199" s="2" t="str">
        <f>IFERROR(__xludf.DUMMYFUNCTION("IF('From Order'!$A2199=COLUMNS($A2199:I2218), LEFT(INDEX(FILTER(I$1:I2198, I$1:I2198&lt;&gt;""""),COUNTA(FILTER(I$1:I2198, I$1:I2198&lt;&gt;""""))), LEN(INDEX(FILTER(I$1:I2198, I$1:I2198&lt;&gt;""""),COUNTA(FILTER(I$1:I2198, I$1:I2198&lt;&gt;""""))))-1), IF('To Order'!$A2199=COL"&amp;"UMNS($A2199:I2218), I2198&amp;RIGHT(INDIRECT(ADDRESS(ROW(I2199)-1, 'From Order'!$A2199)), 1), I2198))"),"DDDVQZDMTTGMJRRLPSSTMZHPRBVJB")</f>
        <v>DDDVQZDMTTGMJRRLPSSTMZHPRBVJB</v>
      </c>
    </row>
    <row r="2200">
      <c r="A2200" s="2" t="str">
        <f>IFERROR(__xludf.DUMMYFUNCTION("IF('From Order'!$A2200=COLUMNS($A2200:A2219), LEFT(INDEX(FILTER(A$1:A2199, A$1:A2199&lt;&gt;""""),COUNTA(FILTER(A$1:A2199, A$1:A2199&lt;&gt;""""))), LEN(INDEX(FILTER(A$1:A2199, A$1:A2199&lt;&gt;""""),COUNTA(FILTER(A$1:A2199, A$1:A2199&lt;&gt;""""))))-1), IF('To Order'!$A2200=COL"&amp;"UMNS($A2200:A2219), A2199&amp;RIGHT(INDIRECT(ADDRESS(ROW(A2200)-1, 'From Order'!$A2200)), 1), A2199))"),"DSPBFLLW")</f>
        <v>DSPBFLLW</v>
      </c>
      <c r="B2200" s="2" t="str">
        <f>IFERROR(__xludf.DUMMYFUNCTION("IF('From Order'!$A2200=COLUMNS($A2200:B2219), LEFT(INDEX(FILTER(B$1:B2199, B$1:B2199&lt;&gt;""""),COUNTA(FILTER(B$1:B2199, B$1:B2199&lt;&gt;""""))), LEN(INDEX(FILTER(B$1:B2199, B$1:B2199&lt;&gt;""""),COUNTA(FILTER(B$1:B2199, B$1:B2199&lt;&gt;""""))))-1), IF('To Order'!$A2200=COL"&amp;"UMNS($A2200:B2219), B2199&amp;RIGHT(INDIRECT(ADDRESS(ROW(B2200)-1, 'From Order'!$A2200)), 1), B2199))"),"")</f>
        <v/>
      </c>
      <c r="C2200" s="2" t="str">
        <f>IFERROR(__xludf.DUMMYFUNCTION("IF('From Order'!$A2200=COLUMNS($A2200:C2219), LEFT(INDEX(FILTER(C$1:C2199, C$1:C2199&lt;&gt;""""),COUNTA(FILTER(C$1:C2199, C$1:C2199&lt;&gt;""""))), LEN(INDEX(FILTER(C$1:C2199, C$1:C2199&lt;&gt;""""),COUNTA(FILTER(C$1:C2199, C$1:C2199&lt;&gt;""""))))-1), IF('To Order'!$A2200=COL"&amp;"UMNS($A2200:C2219), C2199&amp;RIGHT(INDIRECT(ADDRESS(ROW(C2200)-1, 'From Order'!$A2200)), 1), C2199))"),"VBHC")</f>
        <v>VBHC</v>
      </c>
      <c r="D2200" s="2" t="str">
        <f>IFERROR(__xludf.DUMMYFUNCTION("IF('From Order'!$A2200=COLUMNS($A2200:D2219), LEFT(INDEX(FILTER(D$1:D2199, D$1:D2199&lt;&gt;""""),COUNTA(FILTER(D$1:D2199, D$1:D2199&lt;&gt;""""))), LEN(INDEX(FILTER(D$1:D2199, D$1:D2199&lt;&gt;""""),COUNTA(FILTER(D$1:D2199, D$1:D2199&lt;&gt;""""))))-1), IF('To Order'!$A2200=COL"&amp;"UMNS($A2200:D2219), D2199&amp;RIGHT(INDIRECT(ADDRESS(ROW(D2200)-1, 'From Order'!$A2200)), 1), D2199))"),"RGWDJ")</f>
        <v>RGWDJ</v>
      </c>
      <c r="E2200" s="2" t="str">
        <f>IFERROR(__xludf.DUMMYFUNCTION("IF('From Order'!$A2200=COLUMNS($A2200:E2219), LEFT(INDEX(FILTER(E$1:E2199, E$1:E2199&lt;&gt;""""),COUNTA(FILTER(E$1:E2199, E$1:E2199&lt;&gt;""""))), LEN(INDEX(FILTER(E$1:E2199, E$1:E2199&lt;&gt;""""),COUNTA(FILTER(E$1:E2199, E$1:E2199&lt;&gt;""""))))-1), IF('To Order'!$A2200=COL"&amp;"UMNS($A2200:E2219), E2199&amp;RIGHT(INDIRECT(ADDRESS(ROW(E2200)-1, 'From Order'!$A2200)), 1), E2199))"),"FSC")</f>
        <v>FSC</v>
      </c>
      <c r="F2200" s="2" t="str">
        <f>IFERROR(__xludf.DUMMYFUNCTION("IF('From Order'!$A2200=COLUMNS($A2200:F2219), LEFT(INDEX(FILTER(F$1:F2199, F$1:F2199&lt;&gt;""""),COUNTA(FILTER(F$1:F2199, F$1:F2199&lt;&gt;""""))), LEN(INDEX(FILTER(F$1:F2199, F$1:F2199&lt;&gt;""""),COUNTA(FILTER(F$1:F2199, F$1:F2199&lt;&gt;""""))))-1), IF('To Order'!$A2200=COL"&amp;"UMNS($A2200:F2219), F2199&amp;RIGHT(INDIRECT(ADDRESS(ROW(F2200)-1, 'From Order'!$A2200)), 1), F2199))"),"")</f>
        <v/>
      </c>
      <c r="G2200" s="2" t="str">
        <f>IFERROR(__xludf.DUMMYFUNCTION("IF('From Order'!$A2200=COLUMNS($A2200:G2219), LEFT(INDEX(FILTER(G$1:G2199, G$1:G2199&lt;&gt;""""),COUNTA(FILTER(G$1:G2199, G$1:G2199&lt;&gt;""""))), LEN(INDEX(FILTER(G$1:G2199, G$1:G2199&lt;&gt;""""),COUNTA(FILTER(G$1:G2199, G$1:G2199&lt;&gt;""""))))-1), IF('To Order'!$A2200=COL"&amp;"UMNS($A2200:G2219), G2199&amp;RIGHT(INDIRECT(ADDRESS(ROW(G2200)-1, 'From Order'!$A2200)), 1), G2199))"),"RZ")</f>
        <v>RZ</v>
      </c>
      <c r="H2200" s="2" t="str">
        <f>IFERROR(__xludf.DUMMYFUNCTION("IF('From Order'!$A2200=COLUMNS($A2200:H2219), LEFT(INDEX(FILTER(H$1:H2199, H$1:H2199&lt;&gt;""""),COUNTA(FILTER(H$1:H2199, H$1:H2199&lt;&gt;""""))), LEN(INDEX(FILTER(H$1:H2199, H$1:H2199&lt;&gt;""""),COUNTA(FILTER(H$1:H2199, H$1:H2199&lt;&gt;""""))))-1), IF('To Order'!$A2200=COL"&amp;"UMNS($A2200:H2219), H2199&amp;RIGHT(INDIRECT(ADDRESS(ROW(H2200)-1, 'From Order'!$A2200)), 1), H2199))"),"QTTCT")</f>
        <v>QTTCT</v>
      </c>
      <c r="I2200" s="2" t="str">
        <f>IFERROR(__xludf.DUMMYFUNCTION("IF('From Order'!$A2200=COLUMNS($A2200:I2219), LEFT(INDEX(FILTER(I$1:I2199, I$1:I2199&lt;&gt;""""),COUNTA(FILTER(I$1:I2199, I$1:I2199&lt;&gt;""""))), LEN(INDEX(FILTER(I$1:I2199, I$1:I2199&lt;&gt;""""),COUNTA(FILTER(I$1:I2199, I$1:I2199&lt;&gt;""""))))-1), IF('To Order'!$A2200=COL"&amp;"UMNS($A2200:I2219), I2199&amp;RIGHT(INDIRECT(ADDRESS(ROW(I2200)-1, 'From Order'!$A2200)), 1), I2199))"),"DDDVQZDMTTGMJRRLPSSTMZHPRBVJB")</f>
        <v>DDDVQZDMTTGMJRRLPSSTMZHPRBVJB</v>
      </c>
    </row>
    <row r="2201">
      <c r="A2201" s="2" t="str">
        <f>IFERROR(__xludf.DUMMYFUNCTION("IF('From Order'!$A2201=COLUMNS($A2201:A2220), LEFT(INDEX(FILTER(A$1:A2200, A$1:A2200&lt;&gt;""""),COUNTA(FILTER(A$1:A2200, A$1:A2200&lt;&gt;""""))), LEN(INDEX(FILTER(A$1:A2200, A$1:A2200&lt;&gt;""""),COUNTA(FILTER(A$1:A2200, A$1:A2200&lt;&gt;""""))))-1), IF('To Order'!$A2201=COL"&amp;"UMNS($A2201:A2220), A2200&amp;RIGHT(INDIRECT(ADDRESS(ROW(A2201)-1, 'From Order'!$A2201)), 1), A2200))"),"DSPBFLLWT")</f>
        <v>DSPBFLLWT</v>
      </c>
      <c r="B2201" s="2" t="str">
        <f>IFERROR(__xludf.DUMMYFUNCTION("IF('From Order'!$A2201=COLUMNS($A2201:B2220), LEFT(INDEX(FILTER(B$1:B2200, B$1:B2200&lt;&gt;""""),COUNTA(FILTER(B$1:B2200, B$1:B2200&lt;&gt;""""))), LEN(INDEX(FILTER(B$1:B2200, B$1:B2200&lt;&gt;""""),COUNTA(FILTER(B$1:B2200, B$1:B2200&lt;&gt;""""))))-1), IF('To Order'!$A2201=COL"&amp;"UMNS($A2201:B2220), B2200&amp;RIGHT(INDIRECT(ADDRESS(ROW(B2201)-1, 'From Order'!$A2201)), 1), B2200))"),"")</f>
        <v/>
      </c>
      <c r="C2201" s="2" t="str">
        <f>IFERROR(__xludf.DUMMYFUNCTION("IF('From Order'!$A2201=COLUMNS($A2201:C2220), LEFT(INDEX(FILTER(C$1:C2200, C$1:C2200&lt;&gt;""""),COUNTA(FILTER(C$1:C2200, C$1:C2200&lt;&gt;""""))), LEN(INDEX(FILTER(C$1:C2200, C$1:C2200&lt;&gt;""""),COUNTA(FILTER(C$1:C2200, C$1:C2200&lt;&gt;""""))))-1), IF('To Order'!$A2201=COL"&amp;"UMNS($A2201:C2220), C2200&amp;RIGHT(INDIRECT(ADDRESS(ROW(C2201)-1, 'From Order'!$A2201)), 1), C2200))"),"VBHC")</f>
        <v>VBHC</v>
      </c>
      <c r="D2201" s="2" t="str">
        <f>IFERROR(__xludf.DUMMYFUNCTION("IF('From Order'!$A2201=COLUMNS($A2201:D2220), LEFT(INDEX(FILTER(D$1:D2200, D$1:D2200&lt;&gt;""""),COUNTA(FILTER(D$1:D2200, D$1:D2200&lt;&gt;""""))), LEN(INDEX(FILTER(D$1:D2200, D$1:D2200&lt;&gt;""""),COUNTA(FILTER(D$1:D2200, D$1:D2200&lt;&gt;""""))))-1), IF('To Order'!$A2201=COL"&amp;"UMNS($A2201:D2220), D2200&amp;RIGHT(INDIRECT(ADDRESS(ROW(D2201)-1, 'From Order'!$A2201)), 1), D2200))"),"RGWDJ")</f>
        <v>RGWDJ</v>
      </c>
      <c r="E2201" s="2" t="str">
        <f>IFERROR(__xludf.DUMMYFUNCTION("IF('From Order'!$A2201=COLUMNS($A2201:E2220), LEFT(INDEX(FILTER(E$1:E2200, E$1:E2200&lt;&gt;""""),COUNTA(FILTER(E$1:E2200, E$1:E2200&lt;&gt;""""))), LEN(INDEX(FILTER(E$1:E2200, E$1:E2200&lt;&gt;""""),COUNTA(FILTER(E$1:E2200, E$1:E2200&lt;&gt;""""))))-1), IF('To Order'!$A2201=COL"&amp;"UMNS($A2201:E2220), E2200&amp;RIGHT(INDIRECT(ADDRESS(ROW(E2201)-1, 'From Order'!$A2201)), 1), E2200))"),"FSC")</f>
        <v>FSC</v>
      </c>
      <c r="F2201" s="2" t="str">
        <f>IFERROR(__xludf.DUMMYFUNCTION("IF('From Order'!$A2201=COLUMNS($A2201:F2220), LEFT(INDEX(FILTER(F$1:F2200, F$1:F2200&lt;&gt;""""),COUNTA(FILTER(F$1:F2200, F$1:F2200&lt;&gt;""""))), LEN(INDEX(FILTER(F$1:F2200, F$1:F2200&lt;&gt;""""),COUNTA(FILTER(F$1:F2200, F$1:F2200&lt;&gt;""""))))-1), IF('To Order'!$A2201=COL"&amp;"UMNS($A2201:F2220), F2200&amp;RIGHT(INDIRECT(ADDRESS(ROW(F2201)-1, 'From Order'!$A2201)), 1), F2200))"),"")</f>
        <v/>
      </c>
      <c r="G2201" s="2" t="str">
        <f>IFERROR(__xludf.DUMMYFUNCTION("IF('From Order'!$A2201=COLUMNS($A2201:G2220), LEFT(INDEX(FILTER(G$1:G2200, G$1:G2200&lt;&gt;""""),COUNTA(FILTER(G$1:G2200, G$1:G2200&lt;&gt;""""))), LEN(INDEX(FILTER(G$1:G2200, G$1:G2200&lt;&gt;""""),COUNTA(FILTER(G$1:G2200, G$1:G2200&lt;&gt;""""))))-1), IF('To Order'!$A2201=COL"&amp;"UMNS($A2201:G2220), G2200&amp;RIGHT(INDIRECT(ADDRESS(ROW(G2201)-1, 'From Order'!$A2201)), 1), G2200))"),"RZ")</f>
        <v>RZ</v>
      </c>
      <c r="H2201" s="2" t="str">
        <f>IFERROR(__xludf.DUMMYFUNCTION("IF('From Order'!$A2201=COLUMNS($A2201:H2220), LEFT(INDEX(FILTER(H$1:H2200, H$1:H2200&lt;&gt;""""),COUNTA(FILTER(H$1:H2200, H$1:H2200&lt;&gt;""""))), LEN(INDEX(FILTER(H$1:H2200, H$1:H2200&lt;&gt;""""),COUNTA(FILTER(H$1:H2200, H$1:H2200&lt;&gt;""""))))-1), IF('To Order'!$A2201=COL"&amp;"UMNS($A2201:H2220), H2200&amp;RIGHT(INDIRECT(ADDRESS(ROW(H2201)-1, 'From Order'!$A2201)), 1), H2200))"),"QTTC")</f>
        <v>QTTC</v>
      </c>
      <c r="I2201" s="2" t="str">
        <f>IFERROR(__xludf.DUMMYFUNCTION("IF('From Order'!$A2201=COLUMNS($A2201:I2220), LEFT(INDEX(FILTER(I$1:I2200, I$1:I2200&lt;&gt;""""),COUNTA(FILTER(I$1:I2200, I$1:I2200&lt;&gt;""""))), LEN(INDEX(FILTER(I$1:I2200, I$1:I2200&lt;&gt;""""),COUNTA(FILTER(I$1:I2200, I$1:I2200&lt;&gt;""""))))-1), IF('To Order'!$A2201=COL"&amp;"UMNS($A2201:I2220), I2200&amp;RIGHT(INDIRECT(ADDRESS(ROW(I2201)-1, 'From Order'!$A2201)), 1), I2200))"),"DDDVQZDMTTGMJRRLPSSTMZHPRBVJB")</f>
        <v>DDDVQZDMTTGMJRRLPSSTMZHPRBVJB</v>
      </c>
    </row>
    <row r="2202">
      <c r="A2202" s="2" t="str">
        <f>IFERROR(__xludf.DUMMYFUNCTION("IF('From Order'!$A2202=COLUMNS($A2202:A2221), LEFT(INDEX(FILTER(A$1:A2201, A$1:A2201&lt;&gt;""""),COUNTA(FILTER(A$1:A2201, A$1:A2201&lt;&gt;""""))), LEN(INDEX(FILTER(A$1:A2201, A$1:A2201&lt;&gt;""""),COUNTA(FILTER(A$1:A2201, A$1:A2201&lt;&gt;""""))))-1), IF('To Order'!$A2202=COL"&amp;"UMNS($A2202:A2221), A2201&amp;RIGHT(INDIRECT(ADDRESS(ROW(A2202)-1, 'From Order'!$A2202)), 1), A2201))"),"DSPBFLLWTC")</f>
        <v>DSPBFLLWTC</v>
      </c>
      <c r="B2202" s="2" t="str">
        <f>IFERROR(__xludf.DUMMYFUNCTION("IF('From Order'!$A2202=COLUMNS($A2202:B2221), LEFT(INDEX(FILTER(B$1:B2201, B$1:B2201&lt;&gt;""""),COUNTA(FILTER(B$1:B2201, B$1:B2201&lt;&gt;""""))), LEN(INDEX(FILTER(B$1:B2201, B$1:B2201&lt;&gt;""""),COUNTA(FILTER(B$1:B2201, B$1:B2201&lt;&gt;""""))))-1), IF('To Order'!$A2202=COL"&amp;"UMNS($A2202:B2221), B2201&amp;RIGHT(INDIRECT(ADDRESS(ROW(B2202)-1, 'From Order'!$A2202)), 1), B2201))"),"")</f>
        <v/>
      </c>
      <c r="C2202" s="2" t="str">
        <f>IFERROR(__xludf.DUMMYFUNCTION("IF('From Order'!$A2202=COLUMNS($A2202:C2221), LEFT(INDEX(FILTER(C$1:C2201, C$1:C2201&lt;&gt;""""),COUNTA(FILTER(C$1:C2201, C$1:C2201&lt;&gt;""""))), LEN(INDEX(FILTER(C$1:C2201, C$1:C2201&lt;&gt;""""),COUNTA(FILTER(C$1:C2201, C$1:C2201&lt;&gt;""""))))-1), IF('To Order'!$A2202=COL"&amp;"UMNS($A2202:C2221), C2201&amp;RIGHT(INDIRECT(ADDRESS(ROW(C2202)-1, 'From Order'!$A2202)), 1), C2201))"),"VBHC")</f>
        <v>VBHC</v>
      </c>
      <c r="D2202" s="2" t="str">
        <f>IFERROR(__xludf.DUMMYFUNCTION("IF('From Order'!$A2202=COLUMNS($A2202:D2221), LEFT(INDEX(FILTER(D$1:D2201, D$1:D2201&lt;&gt;""""),COUNTA(FILTER(D$1:D2201, D$1:D2201&lt;&gt;""""))), LEN(INDEX(FILTER(D$1:D2201, D$1:D2201&lt;&gt;""""),COUNTA(FILTER(D$1:D2201, D$1:D2201&lt;&gt;""""))))-1), IF('To Order'!$A2202=COL"&amp;"UMNS($A2202:D2221), D2201&amp;RIGHT(INDIRECT(ADDRESS(ROW(D2202)-1, 'From Order'!$A2202)), 1), D2201))"),"RGWDJ")</f>
        <v>RGWDJ</v>
      </c>
      <c r="E2202" s="2" t="str">
        <f>IFERROR(__xludf.DUMMYFUNCTION("IF('From Order'!$A2202=COLUMNS($A2202:E2221), LEFT(INDEX(FILTER(E$1:E2201, E$1:E2201&lt;&gt;""""),COUNTA(FILTER(E$1:E2201, E$1:E2201&lt;&gt;""""))), LEN(INDEX(FILTER(E$1:E2201, E$1:E2201&lt;&gt;""""),COUNTA(FILTER(E$1:E2201, E$1:E2201&lt;&gt;""""))))-1), IF('To Order'!$A2202=COL"&amp;"UMNS($A2202:E2221), E2201&amp;RIGHT(INDIRECT(ADDRESS(ROW(E2202)-1, 'From Order'!$A2202)), 1), E2201))"),"FSC")</f>
        <v>FSC</v>
      </c>
      <c r="F2202" s="2" t="str">
        <f>IFERROR(__xludf.DUMMYFUNCTION("IF('From Order'!$A2202=COLUMNS($A2202:F2221), LEFT(INDEX(FILTER(F$1:F2201, F$1:F2201&lt;&gt;""""),COUNTA(FILTER(F$1:F2201, F$1:F2201&lt;&gt;""""))), LEN(INDEX(FILTER(F$1:F2201, F$1:F2201&lt;&gt;""""),COUNTA(FILTER(F$1:F2201, F$1:F2201&lt;&gt;""""))))-1), IF('To Order'!$A2202=COL"&amp;"UMNS($A2202:F2221), F2201&amp;RIGHT(INDIRECT(ADDRESS(ROW(F2202)-1, 'From Order'!$A2202)), 1), F2201))"),"")</f>
        <v/>
      </c>
      <c r="G2202" s="2" t="str">
        <f>IFERROR(__xludf.DUMMYFUNCTION("IF('From Order'!$A2202=COLUMNS($A2202:G2221), LEFT(INDEX(FILTER(G$1:G2201, G$1:G2201&lt;&gt;""""),COUNTA(FILTER(G$1:G2201, G$1:G2201&lt;&gt;""""))), LEN(INDEX(FILTER(G$1:G2201, G$1:G2201&lt;&gt;""""),COUNTA(FILTER(G$1:G2201, G$1:G2201&lt;&gt;""""))))-1), IF('To Order'!$A2202=COL"&amp;"UMNS($A2202:G2221), G2201&amp;RIGHT(INDIRECT(ADDRESS(ROW(G2202)-1, 'From Order'!$A2202)), 1), G2201))"),"RZ")</f>
        <v>RZ</v>
      </c>
      <c r="H2202" s="2" t="str">
        <f>IFERROR(__xludf.DUMMYFUNCTION("IF('From Order'!$A2202=COLUMNS($A2202:H2221), LEFT(INDEX(FILTER(H$1:H2201, H$1:H2201&lt;&gt;""""),COUNTA(FILTER(H$1:H2201, H$1:H2201&lt;&gt;""""))), LEN(INDEX(FILTER(H$1:H2201, H$1:H2201&lt;&gt;""""),COUNTA(FILTER(H$1:H2201, H$1:H2201&lt;&gt;""""))))-1), IF('To Order'!$A2202=COL"&amp;"UMNS($A2202:H2221), H2201&amp;RIGHT(INDIRECT(ADDRESS(ROW(H2202)-1, 'From Order'!$A2202)), 1), H2201))"),"QTT")</f>
        <v>QTT</v>
      </c>
      <c r="I2202" s="2" t="str">
        <f>IFERROR(__xludf.DUMMYFUNCTION("IF('From Order'!$A2202=COLUMNS($A2202:I2221), LEFT(INDEX(FILTER(I$1:I2201, I$1:I2201&lt;&gt;""""),COUNTA(FILTER(I$1:I2201, I$1:I2201&lt;&gt;""""))), LEN(INDEX(FILTER(I$1:I2201, I$1:I2201&lt;&gt;""""),COUNTA(FILTER(I$1:I2201, I$1:I2201&lt;&gt;""""))))-1), IF('To Order'!$A2202=COL"&amp;"UMNS($A2202:I2221), I2201&amp;RIGHT(INDIRECT(ADDRESS(ROW(I2202)-1, 'From Order'!$A2202)), 1), I2201))"),"DDDVQZDMTTGMJRRLPSSTMZHPRBVJB")</f>
        <v>DDDVQZDMTTGMJRRLPSSTMZHPRBVJB</v>
      </c>
    </row>
    <row r="2203">
      <c r="A2203" s="2" t="str">
        <f>IFERROR(__xludf.DUMMYFUNCTION("IF('From Order'!$A2203=COLUMNS($A2203:A2222), LEFT(INDEX(FILTER(A$1:A2202, A$1:A2202&lt;&gt;""""),COUNTA(FILTER(A$1:A2202, A$1:A2202&lt;&gt;""""))), LEN(INDEX(FILTER(A$1:A2202, A$1:A2202&lt;&gt;""""),COUNTA(FILTER(A$1:A2202, A$1:A2202&lt;&gt;""""))))-1), IF('To Order'!$A2203=COL"&amp;"UMNS($A2203:A2222), A2202&amp;RIGHT(INDIRECT(ADDRESS(ROW(A2203)-1, 'From Order'!$A2203)), 1), A2202))"),"DSPBFLLWTCT")</f>
        <v>DSPBFLLWTCT</v>
      </c>
      <c r="B2203" s="2" t="str">
        <f>IFERROR(__xludf.DUMMYFUNCTION("IF('From Order'!$A2203=COLUMNS($A2203:B2222), LEFT(INDEX(FILTER(B$1:B2202, B$1:B2202&lt;&gt;""""),COUNTA(FILTER(B$1:B2202, B$1:B2202&lt;&gt;""""))), LEN(INDEX(FILTER(B$1:B2202, B$1:B2202&lt;&gt;""""),COUNTA(FILTER(B$1:B2202, B$1:B2202&lt;&gt;""""))))-1), IF('To Order'!$A2203=COL"&amp;"UMNS($A2203:B2222), B2202&amp;RIGHT(INDIRECT(ADDRESS(ROW(B2203)-1, 'From Order'!$A2203)), 1), B2202))"),"")</f>
        <v/>
      </c>
      <c r="C2203" s="2" t="str">
        <f>IFERROR(__xludf.DUMMYFUNCTION("IF('From Order'!$A2203=COLUMNS($A2203:C2222), LEFT(INDEX(FILTER(C$1:C2202, C$1:C2202&lt;&gt;""""),COUNTA(FILTER(C$1:C2202, C$1:C2202&lt;&gt;""""))), LEN(INDEX(FILTER(C$1:C2202, C$1:C2202&lt;&gt;""""),COUNTA(FILTER(C$1:C2202, C$1:C2202&lt;&gt;""""))))-1), IF('To Order'!$A2203=COL"&amp;"UMNS($A2203:C2222), C2202&amp;RIGHT(INDIRECT(ADDRESS(ROW(C2203)-1, 'From Order'!$A2203)), 1), C2202))"),"VBHC")</f>
        <v>VBHC</v>
      </c>
      <c r="D2203" s="2" t="str">
        <f>IFERROR(__xludf.DUMMYFUNCTION("IF('From Order'!$A2203=COLUMNS($A2203:D2222), LEFT(INDEX(FILTER(D$1:D2202, D$1:D2202&lt;&gt;""""),COUNTA(FILTER(D$1:D2202, D$1:D2202&lt;&gt;""""))), LEN(INDEX(FILTER(D$1:D2202, D$1:D2202&lt;&gt;""""),COUNTA(FILTER(D$1:D2202, D$1:D2202&lt;&gt;""""))))-1), IF('To Order'!$A2203=COL"&amp;"UMNS($A2203:D2222), D2202&amp;RIGHT(INDIRECT(ADDRESS(ROW(D2203)-1, 'From Order'!$A2203)), 1), D2202))"),"RGWDJ")</f>
        <v>RGWDJ</v>
      </c>
      <c r="E2203" s="2" t="str">
        <f>IFERROR(__xludf.DUMMYFUNCTION("IF('From Order'!$A2203=COLUMNS($A2203:E2222), LEFT(INDEX(FILTER(E$1:E2202, E$1:E2202&lt;&gt;""""),COUNTA(FILTER(E$1:E2202, E$1:E2202&lt;&gt;""""))), LEN(INDEX(FILTER(E$1:E2202, E$1:E2202&lt;&gt;""""),COUNTA(FILTER(E$1:E2202, E$1:E2202&lt;&gt;""""))))-1), IF('To Order'!$A2203=COL"&amp;"UMNS($A2203:E2222), E2202&amp;RIGHT(INDIRECT(ADDRESS(ROW(E2203)-1, 'From Order'!$A2203)), 1), E2202))"),"FSC")</f>
        <v>FSC</v>
      </c>
      <c r="F2203" s="2" t="str">
        <f>IFERROR(__xludf.DUMMYFUNCTION("IF('From Order'!$A2203=COLUMNS($A2203:F2222), LEFT(INDEX(FILTER(F$1:F2202, F$1:F2202&lt;&gt;""""),COUNTA(FILTER(F$1:F2202, F$1:F2202&lt;&gt;""""))), LEN(INDEX(FILTER(F$1:F2202, F$1:F2202&lt;&gt;""""),COUNTA(FILTER(F$1:F2202, F$1:F2202&lt;&gt;""""))))-1), IF('To Order'!$A2203=COL"&amp;"UMNS($A2203:F2222), F2202&amp;RIGHT(INDIRECT(ADDRESS(ROW(F2203)-1, 'From Order'!$A2203)), 1), F2202))"),"")</f>
        <v/>
      </c>
      <c r="G2203" s="2" t="str">
        <f>IFERROR(__xludf.DUMMYFUNCTION("IF('From Order'!$A2203=COLUMNS($A2203:G2222), LEFT(INDEX(FILTER(G$1:G2202, G$1:G2202&lt;&gt;""""),COUNTA(FILTER(G$1:G2202, G$1:G2202&lt;&gt;""""))), LEN(INDEX(FILTER(G$1:G2202, G$1:G2202&lt;&gt;""""),COUNTA(FILTER(G$1:G2202, G$1:G2202&lt;&gt;""""))))-1), IF('To Order'!$A2203=COL"&amp;"UMNS($A2203:G2222), G2202&amp;RIGHT(INDIRECT(ADDRESS(ROW(G2203)-1, 'From Order'!$A2203)), 1), G2202))"),"RZ")</f>
        <v>RZ</v>
      </c>
      <c r="H2203" s="2" t="str">
        <f>IFERROR(__xludf.DUMMYFUNCTION("IF('From Order'!$A2203=COLUMNS($A2203:H2222), LEFT(INDEX(FILTER(H$1:H2202, H$1:H2202&lt;&gt;""""),COUNTA(FILTER(H$1:H2202, H$1:H2202&lt;&gt;""""))), LEN(INDEX(FILTER(H$1:H2202, H$1:H2202&lt;&gt;""""),COUNTA(FILTER(H$1:H2202, H$1:H2202&lt;&gt;""""))))-1), IF('To Order'!$A2203=COL"&amp;"UMNS($A2203:H2222), H2202&amp;RIGHT(INDIRECT(ADDRESS(ROW(H2203)-1, 'From Order'!$A2203)), 1), H2202))"),"QT")</f>
        <v>QT</v>
      </c>
      <c r="I2203" s="2" t="str">
        <f>IFERROR(__xludf.DUMMYFUNCTION("IF('From Order'!$A2203=COLUMNS($A2203:I2222), LEFT(INDEX(FILTER(I$1:I2202, I$1:I2202&lt;&gt;""""),COUNTA(FILTER(I$1:I2202, I$1:I2202&lt;&gt;""""))), LEN(INDEX(FILTER(I$1:I2202, I$1:I2202&lt;&gt;""""),COUNTA(FILTER(I$1:I2202, I$1:I2202&lt;&gt;""""))))-1), IF('To Order'!$A2203=COL"&amp;"UMNS($A2203:I2222), I2202&amp;RIGHT(INDIRECT(ADDRESS(ROW(I2203)-1, 'From Order'!$A2203)), 1), I2202))"),"DDDVQZDMTTGMJRRLPSSTMZHPRBVJB")</f>
        <v>DDDVQZDMTTGMJRRLPSSTMZHPRBVJB</v>
      </c>
    </row>
    <row r="2204">
      <c r="A2204" s="2" t="str">
        <f>IFERROR(__xludf.DUMMYFUNCTION("IF('From Order'!$A2204=COLUMNS($A2204:A2223), LEFT(INDEX(FILTER(A$1:A2203, A$1:A2203&lt;&gt;""""),COUNTA(FILTER(A$1:A2203, A$1:A2203&lt;&gt;""""))), LEN(INDEX(FILTER(A$1:A2203, A$1:A2203&lt;&gt;""""),COUNTA(FILTER(A$1:A2203, A$1:A2203&lt;&gt;""""))))-1), IF('To Order'!$A2204=COL"&amp;"UMNS($A2204:A2223), A2203&amp;RIGHT(INDIRECT(ADDRESS(ROW(A2204)-1, 'From Order'!$A2204)), 1), A2203))"),"DSPBFLLWTCTT")</f>
        <v>DSPBFLLWTCTT</v>
      </c>
      <c r="B2204" s="2" t="str">
        <f>IFERROR(__xludf.DUMMYFUNCTION("IF('From Order'!$A2204=COLUMNS($A2204:B2223), LEFT(INDEX(FILTER(B$1:B2203, B$1:B2203&lt;&gt;""""),COUNTA(FILTER(B$1:B2203, B$1:B2203&lt;&gt;""""))), LEN(INDEX(FILTER(B$1:B2203, B$1:B2203&lt;&gt;""""),COUNTA(FILTER(B$1:B2203, B$1:B2203&lt;&gt;""""))))-1), IF('To Order'!$A2204=COL"&amp;"UMNS($A2204:B2223), B2203&amp;RIGHT(INDIRECT(ADDRESS(ROW(B2204)-1, 'From Order'!$A2204)), 1), B2203))"),"")</f>
        <v/>
      </c>
      <c r="C2204" s="2" t="str">
        <f>IFERROR(__xludf.DUMMYFUNCTION("IF('From Order'!$A2204=COLUMNS($A2204:C2223), LEFT(INDEX(FILTER(C$1:C2203, C$1:C2203&lt;&gt;""""),COUNTA(FILTER(C$1:C2203, C$1:C2203&lt;&gt;""""))), LEN(INDEX(FILTER(C$1:C2203, C$1:C2203&lt;&gt;""""),COUNTA(FILTER(C$1:C2203, C$1:C2203&lt;&gt;""""))))-1), IF('To Order'!$A2204=COL"&amp;"UMNS($A2204:C2223), C2203&amp;RIGHT(INDIRECT(ADDRESS(ROW(C2204)-1, 'From Order'!$A2204)), 1), C2203))"),"VBHC")</f>
        <v>VBHC</v>
      </c>
      <c r="D2204" s="2" t="str">
        <f>IFERROR(__xludf.DUMMYFUNCTION("IF('From Order'!$A2204=COLUMNS($A2204:D2223), LEFT(INDEX(FILTER(D$1:D2203, D$1:D2203&lt;&gt;""""),COUNTA(FILTER(D$1:D2203, D$1:D2203&lt;&gt;""""))), LEN(INDEX(FILTER(D$1:D2203, D$1:D2203&lt;&gt;""""),COUNTA(FILTER(D$1:D2203, D$1:D2203&lt;&gt;""""))))-1), IF('To Order'!$A2204=COL"&amp;"UMNS($A2204:D2223), D2203&amp;RIGHT(INDIRECT(ADDRESS(ROW(D2204)-1, 'From Order'!$A2204)), 1), D2203))"),"RGWDJ")</f>
        <v>RGWDJ</v>
      </c>
      <c r="E2204" s="2" t="str">
        <f>IFERROR(__xludf.DUMMYFUNCTION("IF('From Order'!$A2204=COLUMNS($A2204:E2223), LEFT(INDEX(FILTER(E$1:E2203, E$1:E2203&lt;&gt;""""),COUNTA(FILTER(E$1:E2203, E$1:E2203&lt;&gt;""""))), LEN(INDEX(FILTER(E$1:E2203, E$1:E2203&lt;&gt;""""),COUNTA(FILTER(E$1:E2203, E$1:E2203&lt;&gt;""""))))-1), IF('To Order'!$A2204=COL"&amp;"UMNS($A2204:E2223), E2203&amp;RIGHT(INDIRECT(ADDRESS(ROW(E2204)-1, 'From Order'!$A2204)), 1), E2203))"),"FSC")</f>
        <v>FSC</v>
      </c>
      <c r="F2204" s="2" t="str">
        <f>IFERROR(__xludf.DUMMYFUNCTION("IF('From Order'!$A2204=COLUMNS($A2204:F2223), LEFT(INDEX(FILTER(F$1:F2203, F$1:F2203&lt;&gt;""""),COUNTA(FILTER(F$1:F2203, F$1:F2203&lt;&gt;""""))), LEN(INDEX(FILTER(F$1:F2203, F$1:F2203&lt;&gt;""""),COUNTA(FILTER(F$1:F2203, F$1:F2203&lt;&gt;""""))))-1), IF('To Order'!$A2204=COL"&amp;"UMNS($A2204:F2223), F2203&amp;RIGHT(INDIRECT(ADDRESS(ROW(F2204)-1, 'From Order'!$A2204)), 1), F2203))"),"")</f>
        <v/>
      </c>
      <c r="G2204" s="2" t="str">
        <f>IFERROR(__xludf.DUMMYFUNCTION("IF('From Order'!$A2204=COLUMNS($A2204:G2223), LEFT(INDEX(FILTER(G$1:G2203, G$1:G2203&lt;&gt;""""),COUNTA(FILTER(G$1:G2203, G$1:G2203&lt;&gt;""""))), LEN(INDEX(FILTER(G$1:G2203, G$1:G2203&lt;&gt;""""),COUNTA(FILTER(G$1:G2203, G$1:G2203&lt;&gt;""""))))-1), IF('To Order'!$A2204=COL"&amp;"UMNS($A2204:G2223), G2203&amp;RIGHT(INDIRECT(ADDRESS(ROW(G2204)-1, 'From Order'!$A2204)), 1), G2203))"),"RZ")</f>
        <v>RZ</v>
      </c>
      <c r="H2204" s="2" t="str">
        <f>IFERROR(__xludf.DUMMYFUNCTION("IF('From Order'!$A2204=COLUMNS($A2204:H2223), LEFT(INDEX(FILTER(H$1:H2203, H$1:H2203&lt;&gt;""""),COUNTA(FILTER(H$1:H2203, H$1:H2203&lt;&gt;""""))), LEN(INDEX(FILTER(H$1:H2203, H$1:H2203&lt;&gt;""""),COUNTA(FILTER(H$1:H2203, H$1:H2203&lt;&gt;""""))))-1), IF('To Order'!$A2204=COL"&amp;"UMNS($A2204:H2223), H2203&amp;RIGHT(INDIRECT(ADDRESS(ROW(H2204)-1, 'From Order'!$A2204)), 1), H2203))"),"Q")</f>
        <v>Q</v>
      </c>
      <c r="I2204" s="2" t="str">
        <f>IFERROR(__xludf.DUMMYFUNCTION("IF('From Order'!$A2204=COLUMNS($A2204:I2223), LEFT(INDEX(FILTER(I$1:I2203, I$1:I2203&lt;&gt;""""),COUNTA(FILTER(I$1:I2203, I$1:I2203&lt;&gt;""""))), LEN(INDEX(FILTER(I$1:I2203, I$1:I2203&lt;&gt;""""),COUNTA(FILTER(I$1:I2203, I$1:I2203&lt;&gt;""""))))-1), IF('To Order'!$A2204=COL"&amp;"UMNS($A2204:I2223), I2203&amp;RIGHT(INDIRECT(ADDRESS(ROW(I2204)-1, 'From Order'!$A2204)), 1), I2203))"),"DDDVQZDMTTGMJRRLPSSTMZHPRBVJB")</f>
        <v>DDDVQZDMTTGMJRRLPSSTMZHPRBVJB</v>
      </c>
    </row>
    <row r="2205">
      <c r="A2205" s="2" t="str">
        <f>IFERROR(__xludf.DUMMYFUNCTION("IF('From Order'!$A2205=COLUMNS($A2205:A2224), LEFT(INDEX(FILTER(A$1:A2204, A$1:A2204&lt;&gt;""""),COUNTA(FILTER(A$1:A2204, A$1:A2204&lt;&gt;""""))), LEN(INDEX(FILTER(A$1:A2204, A$1:A2204&lt;&gt;""""),COUNTA(FILTER(A$1:A2204, A$1:A2204&lt;&gt;""""))))-1), IF('To Order'!$A2205=COL"&amp;"UMNS($A2205:A2224), A2204&amp;RIGHT(INDIRECT(ADDRESS(ROW(A2205)-1, 'From Order'!$A2205)), 1), A2204))"),"DSPBFLLWTCTTQ")</f>
        <v>DSPBFLLWTCTTQ</v>
      </c>
      <c r="B2205" s="2" t="str">
        <f>IFERROR(__xludf.DUMMYFUNCTION("IF('From Order'!$A2205=COLUMNS($A2205:B2224), LEFT(INDEX(FILTER(B$1:B2204, B$1:B2204&lt;&gt;""""),COUNTA(FILTER(B$1:B2204, B$1:B2204&lt;&gt;""""))), LEN(INDEX(FILTER(B$1:B2204, B$1:B2204&lt;&gt;""""),COUNTA(FILTER(B$1:B2204, B$1:B2204&lt;&gt;""""))))-1), IF('To Order'!$A2205=COL"&amp;"UMNS($A2205:B2224), B2204&amp;RIGHT(INDIRECT(ADDRESS(ROW(B2205)-1, 'From Order'!$A2205)), 1), B2204))"),"")</f>
        <v/>
      </c>
      <c r="C2205" s="2" t="str">
        <f>IFERROR(__xludf.DUMMYFUNCTION("IF('From Order'!$A2205=COLUMNS($A2205:C2224), LEFT(INDEX(FILTER(C$1:C2204, C$1:C2204&lt;&gt;""""),COUNTA(FILTER(C$1:C2204, C$1:C2204&lt;&gt;""""))), LEN(INDEX(FILTER(C$1:C2204, C$1:C2204&lt;&gt;""""),COUNTA(FILTER(C$1:C2204, C$1:C2204&lt;&gt;""""))))-1), IF('To Order'!$A2205=COL"&amp;"UMNS($A2205:C2224), C2204&amp;RIGHT(INDIRECT(ADDRESS(ROW(C2205)-1, 'From Order'!$A2205)), 1), C2204))"),"VBHC")</f>
        <v>VBHC</v>
      </c>
      <c r="D2205" s="2" t="str">
        <f>IFERROR(__xludf.DUMMYFUNCTION("IF('From Order'!$A2205=COLUMNS($A2205:D2224), LEFT(INDEX(FILTER(D$1:D2204, D$1:D2204&lt;&gt;""""),COUNTA(FILTER(D$1:D2204, D$1:D2204&lt;&gt;""""))), LEN(INDEX(FILTER(D$1:D2204, D$1:D2204&lt;&gt;""""),COUNTA(FILTER(D$1:D2204, D$1:D2204&lt;&gt;""""))))-1), IF('To Order'!$A2205=COL"&amp;"UMNS($A2205:D2224), D2204&amp;RIGHT(INDIRECT(ADDRESS(ROW(D2205)-1, 'From Order'!$A2205)), 1), D2204))"),"RGWDJ")</f>
        <v>RGWDJ</v>
      </c>
      <c r="E2205" s="2" t="str">
        <f>IFERROR(__xludf.DUMMYFUNCTION("IF('From Order'!$A2205=COLUMNS($A2205:E2224), LEFT(INDEX(FILTER(E$1:E2204, E$1:E2204&lt;&gt;""""),COUNTA(FILTER(E$1:E2204, E$1:E2204&lt;&gt;""""))), LEN(INDEX(FILTER(E$1:E2204, E$1:E2204&lt;&gt;""""),COUNTA(FILTER(E$1:E2204, E$1:E2204&lt;&gt;""""))))-1), IF('To Order'!$A2205=COL"&amp;"UMNS($A2205:E2224), E2204&amp;RIGHT(INDIRECT(ADDRESS(ROW(E2205)-1, 'From Order'!$A2205)), 1), E2204))"),"FSC")</f>
        <v>FSC</v>
      </c>
      <c r="F2205" s="2" t="str">
        <f>IFERROR(__xludf.DUMMYFUNCTION("IF('From Order'!$A2205=COLUMNS($A2205:F2224), LEFT(INDEX(FILTER(F$1:F2204, F$1:F2204&lt;&gt;""""),COUNTA(FILTER(F$1:F2204, F$1:F2204&lt;&gt;""""))), LEN(INDEX(FILTER(F$1:F2204, F$1:F2204&lt;&gt;""""),COUNTA(FILTER(F$1:F2204, F$1:F2204&lt;&gt;""""))))-1), IF('To Order'!$A2205=COL"&amp;"UMNS($A2205:F2224), F2204&amp;RIGHT(INDIRECT(ADDRESS(ROW(F2205)-1, 'From Order'!$A2205)), 1), F2204))"),"")</f>
        <v/>
      </c>
      <c r="G2205" s="2" t="str">
        <f>IFERROR(__xludf.DUMMYFUNCTION("IF('From Order'!$A2205=COLUMNS($A2205:G2224), LEFT(INDEX(FILTER(G$1:G2204, G$1:G2204&lt;&gt;""""),COUNTA(FILTER(G$1:G2204, G$1:G2204&lt;&gt;""""))), LEN(INDEX(FILTER(G$1:G2204, G$1:G2204&lt;&gt;""""),COUNTA(FILTER(G$1:G2204, G$1:G2204&lt;&gt;""""))))-1), IF('To Order'!$A2205=COL"&amp;"UMNS($A2205:G2224), G2204&amp;RIGHT(INDIRECT(ADDRESS(ROW(G2205)-1, 'From Order'!$A2205)), 1), G2204))"),"RZ")</f>
        <v>RZ</v>
      </c>
      <c r="H2205" s="2" t="str">
        <f>IFERROR(__xludf.DUMMYFUNCTION("IF('From Order'!$A2205=COLUMNS($A2205:H2224), LEFT(INDEX(FILTER(H$1:H2204, H$1:H2204&lt;&gt;""""),COUNTA(FILTER(H$1:H2204, H$1:H2204&lt;&gt;""""))), LEN(INDEX(FILTER(H$1:H2204, H$1:H2204&lt;&gt;""""),COUNTA(FILTER(H$1:H2204, H$1:H2204&lt;&gt;""""))))-1), IF('To Order'!$A2205=COL"&amp;"UMNS($A2205:H2224), H2204&amp;RIGHT(INDIRECT(ADDRESS(ROW(H2205)-1, 'From Order'!$A2205)), 1), H2204))"),"")</f>
        <v/>
      </c>
      <c r="I2205" s="2" t="str">
        <f>IFERROR(__xludf.DUMMYFUNCTION("IF('From Order'!$A2205=COLUMNS($A2205:I2224), LEFT(INDEX(FILTER(I$1:I2204, I$1:I2204&lt;&gt;""""),COUNTA(FILTER(I$1:I2204, I$1:I2204&lt;&gt;""""))), LEN(INDEX(FILTER(I$1:I2204, I$1:I2204&lt;&gt;""""),COUNTA(FILTER(I$1:I2204, I$1:I2204&lt;&gt;""""))))-1), IF('To Order'!$A2205=COL"&amp;"UMNS($A2205:I2224), I2204&amp;RIGHT(INDIRECT(ADDRESS(ROW(I2205)-1, 'From Order'!$A2205)), 1), I2204))"),"DDDVQZDMTTGMJRRLPSSTMZHPRBVJB")</f>
        <v>DDDVQZDMTTGMJRRLPSSTMZHPRBVJB</v>
      </c>
    </row>
    <row r="2206">
      <c r="A2206" s="2" t="str">
        <f>IFERROR(__xludf.DUMMYFUNCTION("IF('From Order'!$A2206=COLUMNS($A2206:A2225), LEFT(INDEX(FILTER(A$1:A2205, A$1:A2205&lt;&gt;""""),COUNTA(FILTER(A$1:A2205, A$1:A2205&lt;&gt;""""))), LEN(INDEX(FILTER(A$1:A2205, A$1:A2205&lt;&gt;""""),COUNTA(FILTER(A$1:A2205, A$1:A2205&lt;&gt;""""))))-1), IF('To Order'!$A2206=COL"&amp;"UMNS($A2206:A2225), A2205&amp;RIGHT(INDIRECT(ADDRESS(ROW(A2206)-1, 'From Order'!$A2206)), 1), A2205))"),"DSPBFLLWTCTTQ")</f>
        <v>DSPBFLLWTCTTQ</v>
      </c>
      <c r="B2206" s="2" t="str">
        <f>IFERROR(__xludf.DUMMYFUNCTION("IF('From Order'!$A2206=COLUMNS($A2206:B2225), LEFT(INDEX(FILTER(B$1:B2205, B$1:B2205&lt;&gt;""""),COUNTA(FILTER(B$1:B2205, B$1:B2205&lt;&gt;""""))), LEN(INDEX(FILTER(B$1:B2205, B$1:B2205&lt;&gt;""""),COUNTA(FILTER(B$1:B2205, B$1:B2205&lt;&gt;""""))))-1), IF('To Order'!$A2206=COL"&amp;"UMNS($A2206:B2225), B2205&amp;RIGHT(INDIRECT(ADDRESS(ROW(B2206)-1, 'From Order'!$A2206)), 1), B2205))"),"")</f>
        <v/>
      </c>
      <c r="C2206" s="2" t="str">
        <f>IFERROR(__xludf.DUMMYFUNCTION("IF('From Order'!$A2206=COLUMNS($A2206:C2225), LEFT(INDEX(FILTER(C$1:C2205, C$1:C2205&lt;&gt;""""),COUNTA(FILTER(C$1:C2205, C$1:C2205&lt;&gt;""""))), LEN(INDEX(FILTER(C$1:C2205, C$1:C2205&lt;&gt;""""),COUNTA(FILTER(C$1:C2205, C$1:C2205&lt;&gt;""""))))-1), IF('To Order'!$A2206=COL"&amp;"UMNS($A2206:C2225), C2205&amp;RIGHT(INDIRECT(ADDRESS(ROW(C2206)-1, 'From Order'!$A2206)), 1), C2205))"),"VBHC")</f>
        <v>VBHC</v>
      </c>
      <c r="D2206" s="2" t="str">
        <f>IFERROR(__xludf.DUMMYFUNCTION("IF('From Order'!$A2206=COLUMNS($A2206:D2225), LEFT(INDEX(FILTER(D$1:D2205, D$1:D2205&lt;&gt;""""),COUNTA(FILTER(D$1:D2205, D$1:D2205&lt;&gt;""""))), LEN(INDEX(FILTER(D$1:D2205, D$1:D2205&lt;&gt;""""),COUNTA(FILTER(D$1:D2205, D$1:D2205&lt;&gt;""""))))-1), IF('To Order'!$A2206=COL"&amp;"UMNS($A2206:D2225), D2205&amp;RIGHT(INDIRECT(ADDRESS(ROW(D2206)-1, 'From Order'!$A2206)), 1), D2205))"),"RGWDJ")</f>
        <v>RGWDJ</v>
      </c>
      <c r="E2206" s="2" t="str">
        <f>IFERROR(__xludf.DUMMYFUNCTION("IF('From Order'!$A2206=COLUMNS($A2206:E2225), LEFT(INDEX(FILTER(E$1:E2205, E$1:E2205&lt;&gt;""""),COUNTA(FILTER(E$1:E2205, E$1:E2205&lt;&gt;""""))), LEN(INDEX(FILTER(E$1:E2205, E$1:E2205&lt;&gt;""""),COUNTA(FILTER(E$1:E2205, E$1:E2205&lt;&gt;""""))))-1), IF('To Order'!$A2206=COL"&amp;"UMNS($A2206:E2225), E2205&amp;RIGHT(INDIRECT(ADDRESS(ROW(E2206)-1, 'From Order'!$A2206)), 1), E2205))"),"FS")</f>
        <v>FS</v>
      </c>
      <c r="F2206" s="2" t="str">
        <f>IFERROR(__xludf.DUMMYFUNCTION("IF('From Order'!$A2206=COLUMNS($A2206:F2225), LEFT(INDEX(FILTER(F$1:F2205, F$1:F2205&lt;&gt;""""),COUNTA(FILTER(F$1:F2205, F$1:F2205&lt;&gt;""""))), LEN(INDEX(FILTER(F$1:F2205, F$1:F2205&lt;&gt;""""),COUNTA(FILTER(F$1:F2205, F$1:F2205&lt;&gt;""""))))-1), IF('To Order'!$A2206=COL"&amp;"UMNS($A2206:F2225), F2205&amp;RIGHT(INDIRECT(ADDRESS(ROW(F2206)-1, 'From Order'!$A2206)), 1), F2205))"),"C")</f>
        <v>C</v>
      </c>
      <c r="G2206" s="2" t="str">
        <f>IFERROR(__xludf.DUMMYFUNCTION("IF('From Order'!$A2206=COLUMNS($A2206:G2225), LEFT(INDEX(FILTER(G$1:G2205, G$1:G2205&lt;&gt;""""),COUNTA(FILTER(G$1:G2205, G$1:G2205&lt;&gt;""""))), LEN(INDEX(FILTER(G$1:G2205, G$1:G2205&lt;&gt;""""),COUNTA(FILTER(G$1:G2205, G$1:G2205&lt;&gt;""""))))-1), IF('To Order'!$A2206=COL"&amp;"UMNS($A2206:G2225), G2205&amp;RIGHT(INDIRECT(ADDRESS(ROW(G2206)-1, 'From Order'!$A2206)), 1), G2205))"),"RZ")</f>
        <v>RZ</v>
      </c>
      <c r="H2206" s="2" t="str">
        <f>IFERROR(__xludf.DUMMYFUNCTION("IF('From Order'!$A2206=COLUMNS($A2206:H2225), LEFT(INDEX(FILTER(H$1:H2205, H$1:H2205&lt;&gt;""""),COUNTA(FILTER(H$1:H2205, H$1:H2205&lt;&gt;""""))), LEN(INDEX(FILTER(H$1:H2205, H$1:H2205&lt;&gt;""""),COUNTA(FILTER(H$1:H2205, H$1:H2205&lt;&gt;""""))))-1), IF('To Order'!$A2206=COL"&amp;"UMNS($A2206:H2225), H2205&amp;RIGHT(INDIRECT(ADDRESS(ROW(H2206)-1, 'From Order'!$A2206)), 1), H2205))"),"")</f>
        <v/>
      </c>
      <c r="I2206" s="2" t="str">
        <f>IFERROR(__xludf.DUMMYFUNCTION("IF('From Order'!$A2206=COLUMNS($A2206:I2225), LEFT(INDEX(FILTER(I$1:I2205, I$1:I2205&lt;&gt;""""),COUNTA(FILTER(I$1:I2205, I$1:I2205&lt;&gt;""""))), LEN(INDEX(FILTER(I$1:I2205, I$1:I2205&lt;&gt;""""),COUNTA(FILTER(I$1:I2205, I$1:I2205&lt;&gt;""""))))-1), IF('To Order'!$A2206=COL"&amp;"UMNS($A2206:I2225), I2205&amp;RIGHT(INDIRECT(ADDRESS(ROW(I2206)-1, 'From Order'!$A2206)), 1), I2205))"),"DDDVQZDMTTGMJRRLPSSTMZHPRBVJB")</f>
        <v>DDDVQZDMTTGMJRRLPSSTMZHPRBVJB</v>
      </c>
    </row>
    <row r="2207">
      <c r="A2207" s="2" t="str">
        <f>IFERROR(__xludf.DUMMYFUNCTION("IF('From Order'!$A2207=COLUMNS($A2207:A2226), LEFT(INDEX(FILTER(A$1:A2206, A$1:A2206&lt;&gt;""""),COUNTA(FILTER(A$1:A2206, A$1:A2206&lt;&gt;""""))), LEN(INDEX(FILTER(A$1:A2206, A$1:A2206&lt;&gt;""""),COUNTA(FILTER(A$1:A2206, A$1:A2206&lt;&gt;""""))))-1), IF('To Order'!$A2207=COL"&amp;"UMNS($A2207:A2226), A2206&amp;RIGHT(INDIRECT(ADDRESS(ROW(A2207)-1, 'From Order'!$A2207)), 1), A2206))"),"DSPBFLLWTCTTQ")</f>
        <v>DSPBFLLWTCTTQ</v>
      </c>
      <c r="B2207" s="2" t="str">
        <f>IFERROR(__xludf.DUMMYFUNCTION("IF('From Order'!$A2207=COLUMNS($A2207:B2226), LEFT(INDEX(FILTER(B$1:B2206, B$1:B2206&lt;&gt;""""),COUNTA(FILTER(B$1:B2206, B$1:B2206&lt;&gt;""""))), LEN(INDEX(FILTER(B$1:B2206, B$1:B2206&lt;&gt;""""),COUNTA(FILTER(B$1:B2206, B$1:B2206&lt;&gt;""""))))-1), IF('To Order'!$A2207=COL"&amp;"UMNS($A2207:B2226), B2206&amp;RIGHT(INDIRECT(ADDRESS(ROW(B2207)-1, 'From Order'!$A2207)), 1), B2206))"),"")</f>
        <v/>
      </c>
      <c r="C2207" s="2" t="str">
        <f>IFERROR(__xludf.DUMMYFUNCTION("IF('From Order'!$A2207=COLUMNS($A2207:C2226), LEFT(INDEX(FILTER(C$1:C2206, C$1:C2206&lt;&gt;""""),COUNTA(FILTER(C$1:C2206, C$1:C2206&lt;&gt;""""))), LEN(INDEX(FILTER(C$1:C2206, C$1:C2206&lt;&gt;""""),COUNTA(FILTER(C$1:C2206, C$1:C2206&lt;&gt;""""))))-1), IF('To Order'!$A2207=COL"&amp;"UMNS($A2207:C2226), C2206&amp;RIGHT(INDIRECT(ADDRESS(ROW(C2207)-1, 'From Order'!$A2207)), 1), C2206))"),"VBHC")</f>
        <v>VBHC</v>
      </c>
      <c r="D2207" s="2" t="str">
        <f>IFERROR(__xludf.DUMMYFUNCTION("IF('From Order'!$A2207=COLUMNS($A2207:D2226), LEFT(INDEX(FILTER(D$1:D2206, D$1:D2206&lt;&gt;""""),COUNTA(FILTER(D$1:D2206, D$1:D2206&lt;&gt;""""))), LEN(INDEX(FILTER(D$1:D2206, D$1:D2206&lt;&gt;""""),COUNTA(FILTER(D$1:D2206, D$1:D2206&lt;&gt;""""))))-1), IF('To Order'!$A2207=COL"&amp;"UMNS($A2207:D2226), D2206&amp;RIGHT(INDIRECT(ADDRESS(ROW(D2207)-1, 'From Order'!$A2207)), 1), D2206))"),"RGWD")</f>
        <v>RGWD</v>
      </c>
      <c r="E2207" s="2" t="str">
        <f>IFERROR(__xludf.DUMMYFUNCTION("IF('From Order'!$A2207=COLUMNS($A2207:E2226), LEFT(INDEX(FILTER(E$1:E2206, E$1:E2206&lt;&gt;""""),COUNTA(FILTER(E$1:E2206, E$1:E2206&lt;&gt;""""))), LEN(INDEX(FILTER(E$1:E2206, E$1:E2206&lt;&gt;""""),COUNTA(FILTER(E$1:E2206, E$1:E2206&lt;&gt;""""))))-1), IF('To Order'!$A2207=COL"&amp;"UMNS($A2207:E2226), E2206&amp;RIGHT(INDIRECT(ADDRESS(ROW(E2207)-1, 'From Order'!$A2207)), 1), E2206))"),"FS")</f>
        <v>FS</v>
      </c>
      <c r="F2207" s="2" t="str">
        <f>IFERROR(__xludf.DUMMYFUNCTION("IF('From Order'!$A2207=COLUMNS($A2207:F2226), LEFT(INDEX(FILTER(F$1:F2206, F$1:F2206&lt;&gt;""""),COUNTA(FILTER(F$1:F2206, F$1:F2206&lt;&gt;""""))), LEN(INDEX(FILTER(F$1:F2206, F$1:F2206&lt;&gt;""""),COUNTA(FILTER(F$1:F2206, F$1:F2206&lt;&gt;""""))))-1), IF('To Order'!$A2207=COL"&amp;"UMNS($A2207:F2226), F2206&amp;RIGHT(INDIRECT(ADDRESS(ROW(F2207)-1, 'From Order'!$A2207)), 1), F2206))"),"CJ")</f>
        <v>CJ</v>
      </c>
      <c r="G2207" s="2" t="str">
        <f>IFERROR(__xludf.DUMMYFUNCTION("IF('From Order'!$A2207=COLUMNS($A2207:G2226), LEFT(INDEX(FILTER(G$1:G2206, G$1:G2206&lt;&gt;""""),COUNTA(FILTER(G$1:G2206, G$1:G2206&lt;&gt;""""))), LEN(INDEX(FILTER(G$1:G2206, G$1:G2206&lt;&gt;""""),COUNTA(FILTER(G$1:G2206, G$1:G2206&lt;&gt;""""))))-1), IF('To Order'!$A2207=COL"&amp;"UMNS($A2207:G2226), G2206&amp;RIGHT(INDIRECT(ADDRESS(ROW(G2207)-1, 'From Order'!$A2207)), 1), G2206))"),"RZ")</f>
        <v>RZ</v>
      </c>
      <c r="H2207" s="2" t="str">
        <f>IFERROR(__xludf.DUMMYFUNCTION("IF('From Order'!$A2207=COLUMNS($A2207:H2226), LEFT(INDEX(FILTER(H$1:H2206, H$1:H2206&lt;&gt;""""),COUNTA(FILTER(H$1:H2206, H$1:H2206&lt;&gt;""""))), LEN(INDEX(FILTER(H$1:H2206, H$1:H2206&lt;&gt;""""),COUNTA(FILTER(H$1:H2206, H$1:H2206&lt;&gt;""""))))-1), IF('To Order'!$A2207=COL"&amp;"UMNS($A2207:H2226), H2206&amp;RIGHT(INDIRECT(ADDRESS(ROW(H2207)-1, 'From Order'!$A2207)), 1), H2206))"),"")</f>
        <v/>
      </c>
      <c r="I2207" s="2" t="str">
        <f>IFERROR(__xludf.DUMMYFUNCTION("IF('From Order'!$A2207=COLUMNS($A2207:I2226), LEFT(INDEX(FILTER(I$1:I2206, I$1:I2206&lt;&gt;""""),COUNTA(FILTER(I$1:I2206, I$1:I2206&lt;&gt;""""))), LEN(INDEX(FILTER(I$1:I2206, I$1:I2206&lt;&gt;""""),COUNTA(FILTER(I$1:I2206, I$1:I2206&lt;&gt;""""))))-1), IF('To Order'!$A2207=COL"&amp;"UMNS($A2207:I2226), I2206&amp;RIGHT(INDIRECT(ADDRESS(ROW(I2207)-1, 'From Order'!$A2207)), 1), I2206))"),"DDDVQZDMTTGMJRRLPSSTMZHPRBVJB")</f>
        <v>DDDVQZDMTTGMJRRLPSSTMZHPRBVJB</v>
      </c>
    </row>
    <row r="2208">
      <c r="A2208" s="2" t="str">
        <f>IFERROR(__xludf.DUMMYFUNCTION("IF('From Order'!$A2208=COLUMNS($A2208:A2227), LEFT(INDEX(FILTER(A$1:A2207, A$1:A2207&lt;&gt;""""),COUNTA(FILTER(A$1:A2207, A$1:A2207&lt;&gt;""""))), LEN(INDEX(FILTER(A$1:A2207, A$1:A2207&lt;&gt;""""),COUNTA(FILTER(A$1:A2207, A$1:A2207&lt;&gt;""""))))-1), IF('To Order'!$A2208=COL"&amp;"UMNS($A2208:A2227), A2207&amp;RIGHT(INDIRECT(ADDRESS(ROW(A2208)-1, 'From Order'!$A2208)), 1), A2207))"),"DSPBFLLWTCTTQ")</f>
        <v>DSPBFLLWTCTTQ</v>
      </c>
      <c r="B2208" s="2" t="str">
        <f>IFERROR(__xludf.DUMMYFUNCTION("IF('From Order'!$A2208=COLUMNS($A2208:B2227), LEFT(INDEX(FILTER(B$1:B2207, B$1:B2207&lt;&gt;""""),COUNTA(FILTER(B$1:B2207, B$1:B2207&lt;&gt;""""))), LEN(INDEX(FILTER(B$1:B2207, B$1:B2207&lt;&gt;""""),COUNTA(FILTER(B$1:B2207, B$1:B2207&lt;&gt;""""))))-1), IF('To Order'!$A2208=COL"&amp;"UMNS($A2208:B2227), B2207&amp;RIGHT(INDIRECT(ADDRESS(ROW(B2208)-1, 'From Order'!$A2208)), 1), B2207))"),"")</f>
        <v/>
      </c>
      <c r="C2208" s="2" t="str">
        <f>IFERROR(__xludf.DUMMYFUNCTION("IF('From Order'!$A2208=COLUMNS($A2208:C2227), LEFT(INDEX(FILTER(C$1:C2207, C$1:C2207&lt;&gt;""""),COUNTA(FILTER(C$1:C2207, C$1:C2207&lt;&gt;""""))), LEN(INDEX(FILTER(C$1:C2207, C$1:C2207&lt;&gt;""""),COUNTA(FILTER(C$1:C2207, C$1:C2207&lt;&gt;""""))))-1), IF('To Order'!$A2208=COL"&amp;"UMNS($A2208:C2227), C2207&amp;RIGHT(INDIRECT(ADDRESS(ROW(C2208)-1, 'From Order'!$A2208)), 1), C2207))"),"VBH")</f>
        <v>VBH</v>
      </c>
      <c r="D2208" s="2" t="str">
        <f>IFERROR(__xludf.DUMMYFUNCTION("IF('From Order'!$A2208=COLUMNS($A2208:D2227), LEFT(INDEX(FILTER(D$1:D2207, D$1:D2207&lt;&gt;""""),COUNTA(FILTER(D$1:D2207, D$1:D2207&lt;&gt;""""))), LEN(INDEX(FILTER(D$1:D2207, D$1:D2207&lt;&gt;""""),COUNTA(FILTER(D$1:D2207, D$1:D2207&lt;&gt;""""))))-1), IF('To Order'!$A2208=COL"&amp;"UMNS($A2208:D2227), D2207&amp;RIGHT(INDIRECT(ADDRESS(ROW(D2208)-1, 'From Order'!$A2208)), 1), D2207))"),"RGWD")</f>
        <v>RGWD</v>
      </c>
      <c r="E2208" s="2" t="str">
        <f>IFERROR(__xludf.DUMMYFUNCTION("IF('From Order'!$A2208=COLUMNS($A2208:E2227), LEFT(INDEX(FILTER(E$1:E2207, E$1:E2207&lt;&gt;""""),COUNTA(FILTER(E$1:E2207, E$1:E2207&lt;&gt;""""))), LEN(INDEX(FILTER(E$1:E2207, E$1:E2207&lt;&gt;""""),COUNTA(FILTER(E$1:E2207, E$1:E2207&lt;&gt;""""))))-1), IF('To Order'!$A2208=COL"&amp;"UMNS($A2208:E2227), E2207&amp;RIGHT(INDIRECT(ADDRESS(ROW(E2208)-1, 'From Order'!$A2208)), 1), E2207))"),"FS")</f>
        <v>FS</v>
      </c>
      <c r="F2208" s="2" t="str">
        <f>IFERROR(__xludf.DUMMYFUNCTION("IF('From Order'!$A2208=COLUMNS($A2208:F2227), LEFT(INDEX(FILTER(F$1:F2207, F$1:F2207&lt;&gt;""""),COUNTA(FILTER(F$1:F2207, F$1:F2207&lt;&gt;""""))), LEN(INDEX(FILTER(F$1:F2207, F$1:F2207&lt;&gt;""""),COUNTA(FILTER(F$1:F2207, F$1:F2207&lt;&gt;""""))))-1), IF('To Order'!$A2208=COL"&amp;"UMNS($A2208:F2227), F2207&amp;RIGHT(INDIRECT(ADDRESS(ROW(F2208)-1, 'From Order'!$A2208)), 1), F2207))"),"CJ")</f>
        <v>CJ</v>
      </c>
      <c r="G2208" s="2" t="str">
        <f>IFERROR(__xludf.DUMMYFUNCTION("IF('From Order'!$A2208=COLUMNS($A2208:G2227), LEFT(INDEX(FILTER(G$1:G2207, G$1:G2207&lt;&gt;""""),COUNTA(FILTER(G$1:G2207, G$1:G2207&lt;&gt;""""))), LEN(INDEX(FILTER(G$1:G2207, G$1:G2207&lt;&gt;""""),COUNTA(FILTER(G$1:G2207, G$1:G2207&lt;&gt;""""))))-1), IF('To Order'!$A2208=COL"&amp;"UMNS($A2208:G2227), G2207&amp;RIGHT(INDIRECT(ADDRESS(ROW(G2208)-1, 'From Order'!$A2208)), 1), G2207))"),"RZ")</f>
        <v>RZ</v>
      </c>
      <c r="H2208" s="2" t="str">
        <f>IFERROR(__xludf.DUMMYFUNCTION("IF('From Order'!$A2208=COLUMNS($A2208:H2227), LEFT(INDEX(FILTER(H$1:H2207, H$1:H2207&lt;&gt;""""),COUNTA(FILTER(H$1:H2207, H$1:H2207&lt;&gt;""""))), LEN(INDEX(FILTER(H$1:H2207, H$1:H2207&lt;&gt;""""),COUNTA(FILTER(H$1:H2207, H$1:H2207&lt;&gt;""""))))-1), IF('To Order'!$A2208=COL"&amp;"UMNS($A2208:H2227), H2207&amp;RIGHT(INDIRECT(ADDRESS(ROW(H2208)-1, 'From Order'!$A2208)), 1), H2207))"),"")</f>
        <v/>
      </c>
      <c r="I2208" s="2" t="str">
        <f>IFERROR(__xludf.DUMMYFUNCTION("IF('From Order'!$A2208=COLUMNS($A2208:I2227), LEFT(INDEX(FILTER(I$1:I2207, I$1:I2207&lt;&gt;""""),COUNTA(FILTER(I$1:I2207, I$1:I2207&lt;&gt;""""))), LEN(INDEX(FILTER(I$1:I2207, I$1:I2207&lt;&gt;""""),COUNTA(FILTER(I$1:I2207, I$1:I2207&lt;&gt;""""))))-1), IF('To Order'!$A2208=COL"&amp;"UMNS($A2208:I2227), I2207&amp;RIGHT(INDIRECT(ADDRESS(ROW(I2208)-1, 'From Order'!$A2208)), 1), I2207))"),"DDDVQZDMTTGMJRRLPSSTMZHPRBVJBC")</f>
        <v>DDDVQZDMTTGMJRRLPSSTMZHPRBVJBC</v>
      </c>
    </row>
    <row r="2209">
      <c r="A2209" s="2" t="str">
        <f>IFERROR(__xludf.DUMMYFUNCTION("IF('From Order'!$A2209=COLUMNS($A2209:A2228), LEFT(INDEX(FILTER(A$1:A2208, A$1:A2208&lt;&gt;""""),COUNTA(FILTER(A$1:A2208, A$1:A2208&lt;&gt;""""))), LEN(INDEX(FILTER(A$1:A2208, A$1:A2208&lt;&gt;""""),COUNTA(FILTER(A$1:A2208, A$1:A2208&lt;&gt;""""))))-1), IF('To Order'!$A2209=COL"&amp;"UMNS($A2209:A2228), A2208&amp;RIGHT(INDIRECT(ADDRESS(ROW(A2209)-1, 'From Order'!$A2209)), 1), A2208))"),"DSPBFLLWTCTTQ")</f>
        <v>DSPBFLLWTCTTQ</v>
      </c>
      <c r="B2209" s="2" t="str">
        <f>IFERROR(__xludf.DUMMYFUNCTION("IF('From Order'!$A2209=COLUMNS($A2209:B2228), LEFT(INDEX(FILTER(B$1:B2208, B$1:B2208&lt;&gt;""""),COUNTA(FILTER(B$1:B2208, B$1:B2208&lt;&gt;""""))), LEN(INDEX(FILTER(B$1:B2208, B$1:B2208&lt;&gt;""""),COUNTA(FILTER(B$1:B2208, B$1:B2208&lt;&gt;""""))))-1), IF('To Order'!$A2209=COL"&amp;"UMNS($A2209:B2228), B2208&amp;RIGHT(INDIRECT(ADDRESS(ROW(B2209)-1, 'From Order'!$A2209)), 1), B2208))"),"")</f>
        <v/>
      </c>
      <c r="C2209" s="2" t="str">
        <f>IFERROR(__xludf.DUMMYFUNCTION("IF('From Order'!$A2209=COLUMNS($A2209:C2228), LEFT(INDEX(FILTER(C$1:C2208, C$1:C2208&lt;&gt;""""),COUNTA(FILTER(C$1:C2208, C$1:C2208&lt;&gt;""""))), LEN(INDEX(FILTER(C$1:C2208, C$1:C2208&lt;&gt;""""),COUNTA(FILTER(C$1:C2208, C$1:C2208&lt;&gt;""""))))-1), IF('To Order'!$A2209=COL"&amp;"UMNS($A2209:C2228), C2208&amp;RIGHT(INDIRECT(ADDRESS(ROW(C2209)-1, 'From Order'!$A2209)), 1), C2208))"),"VBH")</f>
        <v>VBH</v>
      </c>
      <c r="D2209" s="2" t="str">
        <f>IFERROR(__xludf.DUMMYFUNCTION("IF('From Order'!$A2209=COLUMNS($A2209:D2228), LEFT(INDEX(FILTER(D$1:D2208, D$1:D2208&lt;&gt;""""),COUNTA(FILTER(D$1:D2208, D$1:D2208&lt;&gt;""""))), LEN(INDEX(FILTER(D$1:D2208, D$1:D2208&lt;&gt;""""),COUNTA(FILTER(D$1:D2208, D$1:D2208&lt;&gt;""""))))-1), IF('To Order'!$A2209=COL"&amp;"UMNS($A2209:D2228), D2208&amp;RIGHT(INDIRECT(ADDRESS(ROW(D2209)-1, 'From Order'!$A2209)), 1), D2208))"),"RGWD")</f>
        <v>RGWD</v>
      </c>
      <c r="E2209" s="2" t="str">
        <f>IFERROR(__xludf.DUMMYFUNCTION("IF('From Order'!$A2209=COLUMNS($A2209:E2228), LEFT(INDEX(FILTER(E$1:E2208, E$1:E2208&lt;&gt;""""),COUNTA(FILTER(E$1:E2208, E$1:E2208&lt;&gt;""""))), LEN(INDEX(FILTER(E$1:E2208, E$1:E2208&lt;&gt;""""),COUNTA(FILTER(E$1:E2208, E$1:E2208&lt;&gt;""""))))-1), IF('To Order'!$A2209=COL"&amp;"UMNS($A2209:E2228), E2208&amp;RIGHT(INDIRECT(ADDRESS(ROW(E2209)-1, 'From Order'!$A2209)), 1), E2208))"),"F")</f>
        <v>F</v>
      </c>
      <c r="F2209" s="2" t="str">
        <f>IFERROR(__xludf.DUMMYFUNCTION("IF('From Order'!$A2209=COLUMNS($A2209:F2228), LEFT(INDEX(FILTER(F$1:F2208, F$1:F2208&lt;&gt;""""),COUNTA(FILTER(F$1:F2208, F$1:F2208&lt;&gt;""""))), LEN(INDEX(FILTER(F$1:F2208, F$1:F2208&lt;&gt;""""),COUNTA(FILTER(F$1:F2208, F$1:F2208&lt;&gt;""""))))-1), IF('To Order'!$A2209=COL"&amp;"UMNS($A2209:F2228), F2208&amp;RIGHT(INDIRECT(ADDRESS(ROW(F2209)-1, 'From Order'!$A2209)), 1), F2208))"),"CJ")</f>
        <v>CJ</v>
      </c>
      <c r="G2209" s="2" t="str">
        <f>IFERROR(__xludf.DUMMYFUNCTION("IF('From Order'!$A2209=COLUMNS($A2209:G2228), LEFT(INDEX(FILTER(G$1:G2208, G$1:G2208&lt;&gt;""""),COUNTA(FILTER(G$1:G2208, G$1:G2208&lt;&gt;""""))), LEN(INDEX(FILTER(G$1:G2208, G$1:G2208&lt;&gt;""""),COUNTA(FILTER(G$1:G2208, G$1:G2208&lt;&gt;""""))))-1), IF('To Order'!$A2209=COL"&amp;"UMNS($A2209:G2228), G2208&amp;RIGHT(INDIRECT(ADDRESS(ROW(G2209)-1, 'From Order'!$A2209)), 1), G2208))"),"RZS")</f>
        <v>RZS</v>
      </c>
      <c r="H2209" s="2" t="str">
        <f>IFERROR(__xludf.DUMMYFUNCTION("IF('From Order'!$A2209=COLUMNS($A2209:H2228), LEFT(INDEX(FILTER(H$1:H2208, H$1:H2208&lt;&gt;""""),COUNTA(FILTER(H$1:H2208, H$1:H2208&lt;&gt;""""))), LEN(INDEX(FILTER(H$1:H2208, H$1:H2208&lt;&gt;""""),COUNTA(FILTER(H$1:H2208, H$1:H2208&lt;&gt;""""))))-1), IF('To Order'!$A2209=COL"&amp;"UMNS($A2209:H2228), H2208&amp;RIGHT(INDIRECT(ADDRESS(ROW(H2209)-1, 'From Order'!$A2209)), 1), H2208))"),"")</f>
        <v/>
      </c>
      <c r="I2209" s="2" t="str">
        <f>IFERROR(__xludf.DUMMYFUNCTION("IF('From Order'!$A2209=COLUMNS($A2209:I2228), LEFT(INDEX(FILTER(I$1:I2208, I$1:I2208&lt;&gt;""""),COUNTA(FILTER(I$1:I2208, I$1:I2208&lt;&gt;""""))), LEN(INDEX(FILTER(I$1:I2208, I$1:I2208&lt;&gt;""""),COUNTA(FILTER(I$1:I2208, I$1:I2208&lt;&gt;""""))))-1), IF('To Order'!$A2209=COL"&amp;"UMNS($A2209:I2228), I2208&amp;RIGHT(INDIRECT(ADDRESS(ROW(I2209)-1, 'From Order'!$A2209)), 1), I2208))"),"DDDVQZDMTTGMJRRLPSSTMZHPRBVJBC")</f>
        <v>DDDVQZDMTTGMJRRLPSSTMZHPRBVJBC</v>
      </c>
    </row>
    <row r="2210">
      <c r="A2210" s="2" t="str">
        <f>IFERROR(__xludf.DUMMYFUNCTION("IF('From Order'!$A2210=COLUMNS($A2210:A2229), LEFT(INDEX(FILTER(A$1:A2209, A$1:A2209&lt;&gt;""""),COUNTA(FILTER(A$1:A2209, A$1:A2209&lt;&gt;""""))), LEN(INDEX(FILTER(A$1:A2209, A$1:A2209&lt;&gt;""""),COUNTA(FILTER(A$1:A2209, A$1:A2209&lt;&gt;""""))))-1), IF('To Order'!$A2210=COL"&amp;"UMNS($A2210:A2229), A2209&amp;RIGHT(INDIRECT(ADDRESS(ROW(A2210)-1, 'From Order'!$A2210)), 1), A2209))"),"DSPBFLLWTCTT")</f>
        <v>DSPBFLLWTCTT</v>
      </c>
      <c r="B2210" s="2" t="str">
        <f>IFERROR(__xludf.DUMMYFUNCTION("IF('From Order'!$A2210=COLUMNS($A2210:B2229), LEFT(INDEX(FILTER(B$1:B2209, B$1:B2209&lt;&gt;""""),COUNTA(FILTER(B$1:B2209, B$1:B2209&lt;&gt;""""))), LEN(INDEX(FILTER(B$1:B2209, B$1:B2209&lt;&gt;""""),COUNTA(FILTER(B$1:B2209, B$1:B2209&lt;&gt;""""))))-1), IF('To Order'!$A2210=COL"&amp;"UMNS($A2210:B2229), B2209&amp;RIGHT(INDIRECT(ADDRESS(ROW(B2210)-1, 'From Order'!$A2210)), 1), B2209))"),"")</f>
        <v/>
      </c>
      <c r="C2210" s="2" t="str">
        <f>IFERROR(__xludf.DUMMYFUNCTION("IF('From Order'!$A2210=COLUMNS($A2210:C2229), LEFT(INDEX(FILTER(C$1:C2209, C$1:C2209&lt;&gt;""""),COUNTA(FILTER(C$1:C2209, C$1:C2209&lt;&gt;""""))), LEN(INDEX(FILTER(C$1:C2209, C$1:C2209&lt;&gt;""""),COUNTA(FILTER(C$1:C2209, C$1:C2209&lt;&gt;""""))))-1), IF('To Order'!$A2210=COL"&amp;"UMNS($A2210:C2229), C2209&amp;RIGHT(INDIRECT(ADDRESS(ROW(C2210)-1, 'From Order'!$A2210)), 1), C2209))"),"VBH")</f>
        <v>VBH</v>
      </c>
      <c r="D2210" s="2" t="str">
        <f>IFERROR(__xludf.DUMMYFUNCTION("IF('From Order'!$A2210=COLUMNS($A2210:D2229), LEFT(INDEX(FILTER(D$1:D2209, D$1:D2209&lt;&gt;""""),COUNTA(FILTER(D$1:D2209, D$1:D2209&lt;&gt;""""))), LEN(INDEX(FILTER(D$1:D2209, D$1:D2209&lt;&gt;""""),COUNTA(FILTER(D$1:D2209, D$1:D2209&lt;&gt;""""))))-1), IF('To Order'!$A2210=COL"&amp;"UMNS($A2210:D2229), D2209&amp;RIGHT(INDIRECT(ADDRESS(ROW(D2210)-1, 'From Order'!$A2210)), 1), D2209))"),"RGWD")</f>
        <v>RGWD</v>
      </c>
      <c r="E2210" s="2" t="str">
        <f>IFERROR(__xludf.DUMMYFUNCTION("IF('From Order'!$A2210=COLUMNS($A2210:E2229), LEFT(INDEX(FILTER(E$1:E2209, E$1:E2209&lt;&gt;""""),COUNTA(FILTER(E$1:E2209, E$1:E2209&lt;&gt;""""))), LEN(INDEX(FILTER(E$1:E2209, E$1:E2209&lt;&gt;""""),COUNTA(FILTER(E$1:E2209, E$1:E2209&lt;&gt;""""))))-1), IF('To Order'!$A2210=COL"&amp;"UMNS($A2210:E2229), E2209&amp;RIGHT(INDIRECT(ADDRESS(ROW(E2210)-1, 'From Order'!$A2210)), 1), E2209))"),"F")</f>
        <v>F</v>
      </c>
      <c r="F2210" s="2" t="str">
        <f>IFERROR(__xludf.DUMMYFUNCTION("IF('From Order'!$A2210=COLUMNS($A2210:F2229), LEFT(INDEX(FILTER(F$1:F2209, F$1:F2209&lt;&gt;""""),COUNTA(FILTER(F$1:F2209, F$1:F2209&lt;&gt;""""))), LEN(INDEX(FILTER(F$1:F2209, F$1:F2209&lt;&gt;""""),COUNTA(FILTER(F$1:F2209, F$1:F2209&lt;&gt;""""))))-1), IF('To Order'!$A2210=COL"&amp;"UMNS($A2210:F2229), F2209&amp;RIGHT(INDIRECT(ADDRESS(ROW(F2210)-1, 'From Order'!$A2210)), 1), F2209))"),"CJQ")</f>
        <v>CJQ</v>
      </c>
      <c r="G2210" s="2" t="str">
        <f>IFERROR(__xludf.DUMMYFUNCTION("IF('From Order'!$A2210=COLUMNS($A2210:G2229), LEFT(INDEX(FILTER(G$1:G2209, G$1:G2209&lt;&gt;""""),COUNTA(FILTER(G$1:G2209, G$1:G2209&lt;&gt;""""))), LEN(INDEX(FILTER(G$1:G2209, G$1:G2209&lt;&gt;""""),COUNTA(FILTER(G$1:G2209, G$1:G2209&lt;&gt;""""))))-1), IF('To Order'!$A2210=COL"&amp;"UMNS($A2210:G2229), G2209&amp;RIGHT(INDIRECT(ADDRESS(ROW(G2210)-1, 'From Order'!$A2210)), 1), G2209))"),"RZS")</f>
        <v>RZS</v>
      </c>
      <c r="H2210" s="2" t="str">
        <f>IFERROR(__xludf.DUMMYFUNCTION("IF('From Order'!$A2210=COLUMNS($A2210:H2229), LEFT(INDEX(FILTER(H$1:H2209, H$1:H2209&lt;&gt;""""),COUNTA(FILTER(H$1:H2209, H$1:H2209&lt;&gt;""""))), LEN(INDEX(FILTER(H$1:H2209, H$1:H2209&lt;&gt;""""),COUNTA(FILTER(H$1:H2209, H$1:H2209&lt;&gt;""""))))-1), IF('To Order'!$A2210=COL"&amp;"UMNS($A2210:H2229), H2209&amp;RIGHT(INDIRECT(ADDRESS(ROW(H2210)-1, 'From Order'!$A2210)), 1), H2209))"),"")</f>
        <v/>
      </c>
      <c r="I2210" s="2" t="str">
        <f>IFERROR(__xludf.DUMMYFUNCTION("IF('From Order'!$A2210=COLUMNS($A2210:I2229), LEFT(INDEX(FILTER(I$1:I2209, I$1:I2209&lt;&gt;""""),COUNTA(FILTER(I$1:I2209, I$1:I2209&lt;&gt;""""))), LEN(INDEX(FILTER(I$1:I2209, I$1:I2209&lt;&gt;""""),COUNTA(FILTER(I$1:I2209, I$1:I2209&lt;&gt;""""))))-1), IF('To Order'!$A2210=COL"&amp;"UMNS($A2210:I2229), I2209&amp;RIGHT(INDIRECT(ADDRESS(ROW(I2210)-1, 'From Order'!$A2210)), 1), I2209))"),"DDDVQZDMTTGMJRRLPSSTMZHPRBVJBC")</f>
        <v>DDDVQZDMTTGMJRRLPSSTMZHPRBVJBC</v>
      </c>
    </row>
    <row r="2211">
      <c r="A2211" s="2" t="str">
        <f>IFERROR(__xludf.DUMMYFUNCTION("IF('From Order'!$A2211=COLUMNS($A2211:A2230), LEFT(INDEX(FILTER(A$1:A2210, A$1:A2210&lt;&gt;""""),COUNTA(FILTER(A$1:A2210, A$1:A2210&lt;&gt;""""))), LEN(INDEX(FILTER(A$1:A2210, A$1:A2210&lt;&gt;""""),COUNTA(FILTER(A$1:A2210, A$1:A2210&lt;&gt;""""))))-1), IF('To Order'!$A2211=COL"&amp;"UMNS($A2211:A2230), A2210&amp;RIGHT(INDIRECT(ADDRESS(ROW(A2211)-1, 'From Order'!$A2211)), 1), A2210))"),"DSPBFLLWTCT")</f>
        <v>DSPBFLLWTCT</v>
      </c>
      <c r="B2211" s="2" t="str">
        <f>IFERROR(__xludf.DUMMYFUNCTION("IF('From Order'!$A2211=COLUMNS($A2211:B2230), LEFT(INDEX(FILTER(B$1:B2210, B$1:B2210&lt;&gt;""""),COUNTA(FILTER(B$1:B2210, B$1:B2210&lt;&gt;""""))), LEN(INDEX(FILTER(B$1:B2210, B$1:B2210&lt;&gt;""""),COUNTA(FILTER(B$1:B2210, B$1:B2210&lt;&gt;""""))))-1), IF('To Order'!$A2211=COL"&amp;"UMNS($A2211:B2230), B2210&amp;RIGHT(INDIRECT(ADDRESS(ROW(B2211)-1, 'From Order'!$A2211)), 1), B2210))"),"")</f>
        <v/>
      </c>
      <c r="C2211" s="2" t="str">
        <f>IFERROR(__xludf.DUMMYFUNCTION("IF('From Order'!$A2211=COLUMNS($A2211:C2230), LEFT(INDEX(FILTER(C$1:C2210, C$1:C2210&lt;&gt;""""),COUNTA(FILTER(C$1:C2210, C$1:C2210&lt;&gt;""""))), LEN(INDEX(FILTER(C$1:C2210, C$1:C2210&lt;&gt;""""),COUNTA(FILTER(C$1:C2210, C$1:C2210&lt;&gt;""""))))-1), IF('To Order'!$A2211=COL"&amp;"UMNS($A2211:C2230), C2210&amp;RIGHT(INDIRECT(ADDRESS(ROW(C2211)-1, 'From Order'!$A2211)), 1), C2210))"),"VBH")</f>
        <v>VBH</v>
      </c>
      <c r="D2211" s="2" t="str">
        <f>IFERROR(__xludf.DUMMYFUNCTION("IF('From Order'!$A2211=COLUMNS($A2211:D2230), LEFT(INDEX(FILTER(D$1:D2210, D$1:D2210&lt;&gt;""""),COUNTA(FILTER(D$1:D2210, D$1:D2210&lt;&gt;""""))), LEN(INDEX(FILTER(D$1:D2210, D$1:D2210&lt;&gt;""""),COUNTA(FILTER(D$1:D2210, D$1:D2210&lt;&gt;""""))))-1), IF('To Order'!$A2211=COL"&amp;"UMNS($A2211:D2230), D2210&amp;RIGHT(INDIRECT(ADDRESS(ROW(D2211)-1, 'From Order'!$A2211)), 1), D2210))"),"RGWD")</f>
        <v>RGWD</v>
      </c>
      <c r="E2211" s="2" t="str">
        <f>IFERROR(__xludf.DUMMYFUNCTION("IF('From Order'!$A2211=COLUMNS($A2211:E2230), LEFT(INDEX(FILTER(E$1:E2210, E$1:E2210&lt;&gt;""""),COUNTA(FILTER(E$1:E2210, E$1:E2210&lt;&gt;""""))), LEN(INDEX(FILTER(E$1:E2210, E$1:E2210&lt;&gt;""""),COUNTA(FILTER(E$1:E2210, E$1:E2210&lt;&gt;""""))))-1), IF('To Order'!$A2211=COL"&amp;"UMNS($A2211:E2230), E2210&amp;RIGHT(INDIRECT(ADDRESS(ROW(E2211)-1, 'From Order'!$A2211)), 1), E2210))"),"F")</f>
        <v>F</v>
      </c>
      <c r="F2211" s="2" t="str">
        <f>IFERROR(__xludf.DUMMYFUNCTION("IF('From Order'!$A2211=COLUMNS($A2211:F2230), LEFT(INDEX(FILTER(F$1:F2210, F$1:F2210&lt;&gt;""""),COUNTA(FILTER(F$1:F2210, F$1:F2210&lt;&gt;""""))), LEN(INDEX(FILTER(F$1:F2210, F$1:F2210&lt;&gt;""""),COUNTA(FILTER(F$1:F2210, F$1:F2210&lt;&gt;""""))))-1), IF('To Order'!$A2211=COL"&amp;"UMNS($A2211:F2230), F2210&amp;RIGHT(INDIRECT(ADDRESS(ROW(F2211)-1, 'From Order'!$A2211)), 1), F2210))"),"CJQT")</f>
        <v>CJQT</v>
      </c>
      <c r="G2211" s="2" t="str">
        <f>IFERROR(__xludf.DUMMYFUNCTION("IF('From Order'!$A2211=COLUMNS($A2211:G2230), LEFT(INDEX(FILTER(G$1:G2210, G$1:G2210&lt;&gt;""""),COUNTA(FILTER(G$1:G2210, G$1:G2210&lt;&gt;""""))), LEN(INDEX(FILTER(G$1:G2210, G$1:G2210&lt;&gt;""""),COUNTA(FILTER(G$1:G2210, G$1:G2210&lt;&gt;""""))))-1), IF('To Order'!$A2211=COL"&amp;"UMNS($A2211:G2230), G2210&amp;RIGHT(INDIRECT(ADDRESS(ROW(G2211)-1, 'From Order'!$A2211)), 1), G2210))"),"RZS")</f>
        <v>RZS</v>
      </c>
      <c r="H2211" s="2" t="str">
        <f>IFERROR(__xludf.DUMMYFUNCTION("IF('From Order'!$A2211=COLUMNS($A2211:H2230), LEFT(INDEX(FILTER(H$1:H2210, H$1:H2210&lt;&gt;""""),COUNTA(FILTER(H$1:H2210, H$1:H2210&lt;&gt;""""))), LEN(INDEX(FILTER(H$1:H2210, H$1:H2210&lt;&gt;""""),COUNTA(FILTER(H$1:H2210, H$1:H2210&lt;&gt;""""))))-1), IF('To Order'!$A2211=COL"&amp;"UMNS($A2211:H2230), H2210&amp;RIGHT(INDIRECT(ADDRESS(ROW(H2211)-1, 'From Order'!$A2211)), 1), H2210))"),"")</f>
        <v/>
      </c>
      <c r="I2211" s="2" t="str">
        <f>IFERROR(__xludf.DUMMYFUNCTION("IF('From Order'!$A2211=COLUMNS($A2211:I2230), LEFT(INDEX(FILTER(I$1:I2210, I$1:I2210&lt;&gt;""""),COUNTA(FILTER(I$1:I2210, I$1:I2210&lt;&gt;""""))), LEN(INDEX(FILTER(I$1:I2210, I$1:I2210&lt;&gt;""""),COUNTA(FILTER(I$1:I2210, I$1:I2210&lt;&gt;""""))))-1), IF('To Order'!$A2211=COL"&amp;"UMNS($A2211:I2230), I2210&amp;RIGHT(INDIRECT(ADDRESS(ROW(I2211)-1, 'From Order'!$A2211)), 1), I2210))"),"DDDVQZDMTTGMJRRLPSSTMZHPRBVJBC")</f>
        <v>DDDVQZDMTTGMJRRLPSSTMZHPRBVJBC</v>
      </c>
    </row>
    <row r="2212">
      <c r="A2212" s="2" t="str">
        <f>IFERROR(__xludf.DUMMYFUNCTION("IF('From Order'!$A2212=COLUMNS($A2212:A2231), LEFT(INDEX(FILTER(A$1:A2211, A$1:A2211&lt;&gt;""""),COUNTA(FILTER(A$1:A2211, A$1:A2211&lt;&gt;""""))), LEN(INDEX(FILTER(A$1:A2211, A$1:A2211&lt;&gt;""""),COUNTA(FILTER(A$1:A2211, A$1:A2211&lt;&gt;""""))))-1), IF('To Order'!$A2212=COL"&amp;"UMNS($A2212:A2231), A2211&amp;RIGHT(INDIRECT(ADDRESS(ROW(A2212)-1, 'From Order'!$A2212)), 1), A2211))"),"DSPBFLLWTC")</f>
        <v>DSPBFLLWTC</v>
      </c>
      <c r="B2212" s="2" t="str">
        <f>IFERROR(__xludf.DUMMYFUNCTION("IF('From Order'!$A2212=COLUMNS($A2212:B2231), LEFT(INDEX(FILTER(B$1:B2211, B$1:B2211&lt;&gt;""""),COUNTA(FILTER(B$1:B2211, B$1:B2211&lt;&gt;""""))), LEN(INDEX(FILTER(B$1:B2211, B$1:B2211&lt;&gt;""""),COUNTA(FILTER(B$1:B2211, B$1:B2211&lt;&gt;""""))))-1), IF('To Order'!$A2212=COL"&amp;"UMNS($A2212:B2231), B2211&amp;RIGHT(INDIRECT(ADDRESS(ROW(B2212)-1, 'From Order'!$A2212)), 1), B2211))"),"")</f>
        <v/>
      </c>
      <c r="C2212" s="2" t="str">
        <f>IFERROR(__xludf.DUMMYFUNCTION("IF('From Order'!$A2212=COLUMNS($A2212:C2231), LEFT(INDEX(FILTER(C$1:C2211, C$1:C2211&lt;&gt;""""),COUNTA(FILTER(C$1:C2211, C$1:C2211&lt;&gt;""""))), LEN(INDEX(FILTER(C$1:C2211, C$1:C2211&lt;&gt;""""),COUNTA(FILTER(C$1:C2211, C$1:C2211&lt;&gt;""""))))-1), IF('To Order'!$A2212=COL"&amp;"UMNS($A2212:C2231), C2211&amp;RIGHT(INDIRECT(ADDRESS(ROW(C2212)-1, 'From Order'!$A2212)), 1), C2211))"),"VBH")</f>
        <v>VBH</v>
      </c>
      <c r="D2212" s="2" t="str">
        <f>IFERROR(__xludf.DUMMYFUNCTION("IF('From Order'!$A2212=COLUMNS($A2212:D2231), LEFT(INDEX(FILTER(D$1:D2211, D$1:D2211&lt;&gt;""""),COUNTA(FILTER(D$1:D2211, D$1:D2211&lt;&gt;""""))), LEN(INDEX(FILTER(D$1:D2211, D$1:D2211&lt;&gt;""""),COUNTA(FILTER(D$1:D2211, D$1:D2211&lt;&gt;""""))))-1), IF('To Order'!$A2212=COL"&amp;"UMNS($A2212:D2231), D2211&amp;RIGHT(INDIRECT(ADDRESS(ROW(D2212)-1, 'From Order'!$A2212)), 1), D2211))"),"RGWD")</f>
        <v>RGWD</v>
      </c>
      <c r="E2212" s="2" t="str">
        <f>IFERROR(__xludf.DUMMYFUNCTION("IF('From Order'!$A2212=COLUMNS($A2212:E2231), LEFT(INDEX(FILTER(E$1:E2211, E$1:E2211&lt;&gt;""""),COUNTA(FILTER(E$1:E2211, E$1:E2211&lt;&gt;""""))), LEN(INDEX(FILTER(E$1:E2211, E$1:E2211&lt;&gt;""""),COUNTA(FILTER(E$1:E2211, E$1:E2211&lt;&gt;""""))))-1), IF('To Order'!$A2212=COL"&amp;"UMNS($A2212:E2231), E2211&amp;RIGHT(INDIRECT(ADDRESS(ROW(E2212)-1, 'From Order'!$A2212)), 1), E2211))"),"F")</f>
        <v>F</v>
      </c>
      <c r="F2212" s="2" t="str">
        <f>IFERROR(__xludf.DUMMYFUNCTION("IF('From Order'!$A2212=COLUMNS($A2212:F2231), LEFT(INDEX(FILTER(F$1:F2211, F$1:F2211&lt;&gt;""""),COUNTA(FILTER(F$1:F2211, F$1:F2211&lt;&gt;""""))), LEN(INDEX(FILTER(F$1:F2211, F$1:F2211&lt;&gt;""""),COUNTA(FILTER(F$1:F2211, F$1:F2211&lt;&gt;""""))))-1), IF('To Order'!$A2212=COL"&amp;"UMNS($A2212:F2231), F2211&amp;RIGHT(INDIRECT(ADDRESS(ROW(F2212)-1, 'From Order'!$A2212)), 1), F2211))"),"CJQTT")</f>
        <v>CJQTT</v>
      </c>
      <c r="G2212" s="2" t="str">
        <f>IFERROR(__xludf.DUMMYFUNCTION("IF('From Order'!$A2212=COLUMNS($A2212:G2231), LEFT(INDEX(FILTER(G$1:G2211, G$1:G2211&lt;&gt;""""),COUNTA(FILTER(G$1:G2211, G$1:G2211&lt;&gt;""""))), LEN(INDEX(FILTER(G$1:G2211, G$1:G2211&lt;&gt;""""),COUNTA(FILTER(G$1:G2211, G$1:G2211&lt;&gt;""""))))-1), IF('To Order'!$A2212=COL"&amp;"UMNS($A2212:G2231), G2211&amp;RIGHT(INDIRECT(ADDRESS(ROW(G2212)-1, 'From Order'!$A2212)), 1), G2211))"),"RZS")</f>
        <v>RZS</v>
      </c>
      <c r="H2212" s="2" t="str">
        <f>IFERROR(__xludf.DUMMYFUNCTION("IF('From Order'!$A2212=COLUMNS($A2212:H2231), LEFT(INDEX(FILTER(H$1:H2211, H$1:H2211&lt;&gt;""""),COUNTA(FILTER(H$1:H2211, H$1:H2211&lt;&gt;""""))), LEN(INDEX(FILTER(H$1:H2211, H$1:H2211&lt;&gt;""""),COUNTA(FILTER(H$1:H2211, H$1:H2211&lt;&gt;""""))))-1), IF('To Order'!$A2212=COL"&amp;"UMNS($A2212:H2231), H2211&amp;RIGHT(INDIRECT(ADDRESS(ROW(H2212)-1, 'From Order'!$A2212)), 1), H2211))"),"")</f>
        <v/>
      </c>
      <c r="I2212" s="2" t="str">
        <f>IFERROR(__xludf.DUMMYFUNCTION("IF('From Order'!$A2212=COLUMNS($A2212:I2231), LEFT(INDEX(FILTER(I$1:I2211, I$1:I2211&lt;&gt;""""),COUNTA(FILTER(I$1:I2211, I$1:I2211&lt;&gt;""""))), LEN(INDEX(FILTER(I$1:I2211, I$1:I2211&lt;&gt;""""),COUNTA(FILTER(I$1:I2211, I$1:I2211&lt;&gt;""""))))-1), IF('To Order'!$A2212=COL"&amp;"UMNS($A2212:I2231), I2211&amp;RIGHT(INDIRECT(ADDRESS(ROW(I2212)-1, 'From Order'!$A2212)), 1), I2211))"),"DDDVQZDMTTGMJRRLPSSTMZHPRBVJBC")</f>
        <v>DDDVQZDMTTGMJRRLPSSTMZHPRBVJBC</v>
      </c>
    </row>
    <row r="2213">
      <c r="A2213" s="2" t="str">
        <f>IFERROR(__xludf.DUMMYFUNCTION("IF('From Order'!$A2213=COLUMNS($A2213:A2232), LEFT(INDEX(FILTER(A$1:A2212, A$1:A2212&lt;&gt;""""),COUNTA(FILTER(A$1:A2212, A$1:A2212&lt;&gt;""""))), LEN(INDEX(FILTER(A$1:A2212, A$1:A2212&lt;&gt;""""),COUNTA(FILTER(A$1:A2212, A$1:A2212&lt;&gt;""""))))-1), IF('To Order'!$A2213=COL"&amp;"UMNS($A2213:A2232), A2212&amp;RIGHT(INDIRECT(ADDRESS(ROW(A2213)-1, 'From Order'!$A2213)), 1), A2212))"),"DSPBFLLWT")</f>
        <v>DSPBFLLWT</v>
      </c>
      <c r="B2213" s="2" t="str">
        <f>IFERROR(__xludf.DUMMYFUNCTION("IF('From Order'!$A2213=COLUMNS($A2213:B2232), LEFT(INDEX(FILTER(B$1:B2212, B$1:B2212&lt;&gt;""""),COUNTA(FILTER(B$1:B2212, B$1:B2212&lt;&gt;""""))), LEN(INDEX(FILTER(B$1:B2212, B$1:B2212&lt;&gt;""""),COUNTA(FILTER(B$1:B2212, B$1:B2212&lt;&gt;""""))))-1), IF('To Order'!$A2213=COL"&amp;"UMNS($A2213:B2232), B2212&amp;RIGHT(INDIRECT(ADDRESS(ROW(B2213)-1, 'From Order'!$A2213)), 1), B2212))"),"")</f>
        <v/>
      </c>
      <c r="C2213" s="2" t="str">
        <f>IFERROR(__xludf.DUMMYFUNCTION("IF('From Order'!$A2213=COLUMNS($A2213:C2232), LEFT(INDEX(FILTER(C$1:C2212, C$1:C2212&lt;&gt;""""),COUNTA(FILTER(C$1:C2212, C$1:C2212&lt;&gt;""""))), LEN(INDEX(FILTER(C$1:C2212, C$1:C2212&lt;&gt;""""),COUNTA(FILTER(C$1:C2212, C$1:C2212&lt;&gt;""""))))-1), IF('To Order'!$A2213=COL"&amp;"UMNS($A2213:C2232), C2212&amp;RIGHT(INDIRECT(ADDRESS(ROW(C2213)-1, 'From Order'!$A2213)), 1), C2212))"),"VBH")</f>
        <v>VBH</v>
      </c>
      <c r="D2213" s="2" t="str">
        <f>IFERROR(__xludf.DUMMYFUNCTION("IF('From Order'!$A2213=COLUMNS($A2213:D2232), LEFT(INDEX(FILTER(D$1:D2212, D$1:D2212&lt;&gt;""""),COUNTA(FILTER(D$1:D2212, D$1:D2212&lt;&gt;""""))), LEN(INDEX(FILTER(D$1:D2212, D$1:D2212&lt;&gt;""""),COUNTA(FILTER(D$1:D2212, D$1:D2212&lt;&gt;""""))))-1), IF('To Order'!$A2213=COL"&amp;"UMNS($A2213:D2232), D2212&amp;RIGHT(INDIRECT(ADDRESS(ROW(D2213)-1, 'From Order'!$A2213)), 1), D2212))"),"RGWD")</f>
        <v>RGWD</v>
      </c>
      <c r="E2213" s="2" t="str">
        <f>IFERROR(__xludf.DUMMYFUNCTION("IF('From Order'!$A2213=COLUMNS($A2213:E2232), LEFT(INDEX(FILTER(E$1:E2212, E$1:E2212&lt;&gt;""""),COUNTA(FILTER(E$1:E2212, E$1:E2212&lt;&gt;""""))), LEN(INDEX(FILTER(E$1:E2212, E$1:E2212&lt;&gt;""""),COUNTA(FILTER(E$1:E2212, E$1:E2212&lt;&gt;""""))))-1), IF('To Order'!$A2213=COL"&amp;"UMNS($A2213:E2232), E2212&amp;RIGHT(INDIRECT(ADDRESS(ROW(E2213)-1, 'From Order'!$A2213)), 1), E2212))"),"F")</f>
        <v>F</v>
      </c>
      <c r="F2213" s="2" t="str">
        <f>IFERROR(__xludf.DUMMYFUNCTION("IF('From Order'!$A2213=COLUMNS($A2213:F2232), LEFT(INDEX(FILTER(F$1:F2212, F$1:F2212&lt;&gt;""""),COUNTA(FILTER(F$1:F2212, F$1:F2212&lt;&gt;""""))), LEN(INDEX(FILTER(F$1:F2212, F$1:F2212&lt;&gt;""""),COUNTA(FILTER(F$1:F2212, F$1:F2212&lt;&gt;""""))))-1), IF('To Order'!$A2213=COL"&amp;"UMNS($A2213:F2232), F2212&amp;RIGHT(INDIRECT(ADDRESS(ROW(F2213)-1, 'From Order'!$A2213)), 1), F2212))"),"CJQTTC")</f>
        <v>CJQTTC</v>
      </c>
      <c r="G2213" s="2" t="str">
        <f>IFERROR(__xludf.DUMMYFUNCTION("IF('From Order'!$A2213=COLUMNS($A2213:G2232), LEFT(INDEX(FILTER(G$1:G2212, G$1:G2212&lt;&gt;""""),COUNTA(FILTER(G$1:G2212, G$1:G2212&lt;&gt;""""))), LEN(INDEX(FILTER(G$1:G2212, G$1:G2212&lt;&gt;""""),COUNTA(FILTER(G$1:G2212, G$1:G2212&lt;&gt;""""))))-1), IF('To Order'!$A2213=COL"&amp;"UMNS($A2213:G2232), G2212&amp;RIGHT(INDIRECT(ADDRESS(ROW(G2213)-1, 'From Order'!$A2213)), 1), G2212))"),"RZS")</f>
        <v>RZS</v>
      </c>
      <c r="H2213" s="2" t="str">
        <f>IFERROR(__xludf.DUMMYFUNCTION("IF('From Order'!$A2213=COLUMNS($A2213:H2232), LEFT(INDEX(FILTER(H$1:H2212, H$1:H2212&lt;&gt;""""),COUNTA(FILTER(H$1:H2212, H$1:H2212&lt;&gt;""""))), LEN(INDEX(FILTER(H$1:H2212, H$1:H2212&lt;&gt;""""),COUNTA(FILTER(H$1:H2212, H$1:H2212&lt;&gt;""""))))-1), IF('To Order'!$A2213=COL"&amp;"UMNS($A2213:H2232), H2212&amp;RIGHT(INDIRECT(ADDRESS(ROW(H2213)-1, 'From Order'!$A2213)), 1), H2212))"),"")</f>
        <v/>
      </c>
      <c r="I2213" s="2" t="str">
        <f>IFERROR(__xludf.DUMMYFUNCTION("IF('From Order'!$A2213=COLUMNS($A2213:I2232), LEFT(INDEX(FILTER(I$1:I2212, I$1:I2212&lt;&gt;""""),COUNTA(FILTER(I$1:I2212, I$1:I2212&lt;&gt;""""))), LEN(INDEX(FILTER(I$1:I2212, I$1:I2212&lt;&gt;""""),COUNTA(FILTER(I$1:I2212, I$1:I2212&lt;&gt;""""))))-1), IF('To Order'!$A2213=COL"&amp;"UMNS($A2213:I2232), I2212&amp;RIGHT(INDIRECT(ADDRESS(ROW(I2213)-1, 'From Order'!$A2213)), 1), I2212))"),"DDDVQZDMTTGMJRRLPSSTMZHPRBVJBC")</f>
        <v>DDDVQZDMTTGMJRRLPSSTMZHPRBVJBC</v>
      </c>
    </row>
    <row r="2214">
      <c r="A2214" s="2" t="str">
        <f>IFERROR(__xludf.DUMMYFUNCTION("IF('From Order'!$A2214=COLUMNS($A2214:A2233), LEFT(INDEX(FILTER(A$1:A2213, A$1:A2213&lt;&gt;""""),COUNTA(FILTER(A$1:A2213, A$1:A2213&lt;&gt;""""))), LEN(INDEX(FILTER(A$1:A2213, A$1:A2213&lt;&gt;""""),COUNTA(FILTER(A$1:A2213, A$1:A2213&lt;&gt;""""))))-1), IF('To Order'!$A2214=COL"&amp;"UMNS($A2214:A2233), A2213&amp;RIGHT(INDIRECT(ADDRESS(ROW(A2214)-1, 'From Order'!$A2214)), 1), A2213))"),"DSPBFLLW")</f>
        <v>DSPBFLLW</v>
      </c>
      <c r="B2214" s="2" t="str">
        <f>IFERROR(__xludf.DUMMYFUNCTION("IF('From Order'!$A2214=COLUMNS($A2214:B2233), LEFT(INDEX(FILTER(B$1:B2213, B$1:B2213&lt;&gt;""""),COUNTA(FILTER(B$1:B2213, B$1:B2213&lt;&gt;""""))), LEN(INDEX(FILTER(B$1:B2213, B$1:B2213&lt;&gt;""""),COUNTA(FILTER(B$1:B2213, B$1:B2213&lt;&gt;""""))))-1), IF('To Order'!$A2214=COL"&amp;"UMNS($A2214:B2233), B2213&amp;RIGHT(INDIRECT(ADDRESS(ROW(B2214)-1, 'From Order'!$A2214)), 1), B2213))"),"")</f>
        <v/>
      </c>
      <c r="C2214" s="2" t="str">
        <f>IFERROR(__xludf.DUMMYFUNCTION("IF('From Order'!$A2214=COLUMNS($A2214:C2233), LEFT(INDEX(FILTER(C$1:C2213, C$1:C2213&lt;&gt;""""),COUNTA(FILTER(C$1:C2213, C$1:C2213&lt;&gt;""""))), LEN(INDEX(FILTER(C$1:C2213, C$1:C2213&lt;&gt;""""),COUNTA(FILTER(C$1:C2213, C$1:C2213&lt;&gt;""""))))-1), IF('To Order'!$A2214=COL"&amp;"UMNS($A2214:C2233), C2213&amp;RIGHT(INDIRECT(ADDRESS(ROW(C2214)-1, 'From Order'!$A2214)), 1), C2213))"),"VBH")</f>
        <v>VBH</v>
      </c>
      <c r="D2214" s="2" t="str">
        <f>IFERROR(__xludf.DUMMYFUNCTION("IF('From Order'!$A2214=COLUMNS($A2214:D2233), LEFT(INDEX(FILTER(D$1:D2213, D$1:D2213&lt;&gt;""""),COUNTA(FILTER(D$1:D2213, D$1:D2213&lt;&gt;""""))), LEN(INDEX(FILTER(D$1:D2213, D$1:D2213&lt;&gt;""""),COUNTA(FILTER(D$1:D2213, D$1:D2213&lt;&gt;""""))))-1), IF('To Order'!$A2214=COL"&amp;"UMNS($A2214:D2233), D2213&amp;RIGHT(INDIRECT(ADDRESS(ROW(D2214)-1, 'From Order'!$A2214)), 1), D2213))"),"RGWD")</f>
        <v>RGWD</v>
      </c>
      <c r="E2214" s="2" t="str">
        <f>IFERROR(__xludf.DUMMYFUNCTION("IF('From Order'!$A2214=COLUMNS($A2214:E2233), LEFT(INDEX(FILTER(E$1:E2213, E$1:E2213&lt;&gt;""""),COUNTA(FILTER(E$1:E2213, E$1:E2213&lt;&gt;""""))), LEN(INDEX(FILTER(E$1:E2213, E$1:E2213&lt;&gt;""""),COUNTA(FILTER(E$1:E2213, E$1:E2213&lt;&gt;""""))))-1), IF('To Order'!$A2214=COL"&amp;"UMNS($A2214:E2233), E2213&amp;RIGHT(INDIRECT(ADDRESS(ROW(E2214)-1, 'From Order'!$A2214)), 1), E2213))"),"FT")</f>
        <v>FT</v>
      </c>
      <c r="F2214" s="2" t="str">
        <f>IFERROR(__xludf.DUMMYFUNCTION("IF('From Order'!$A2214=COLUMNS($A2214:F2233), LEFT(INDEX(FILTER(F$1:F2213, F$1:F2213&lt;&gt;""""),COUNTA(FILTER(F$1:F2213, F$1:F2213&lt;&gt;""""))), LEN(INDEX(FILTER(F$1:F2213, F$1:F2213&lt;&gt;""""),COUNTA(FILTER(F$1:F2213, F$1:F2213&lt;&gt;""""))))-1), IF('To Order'!$A2214=COL"&amp;"UMNS($A2214:F2233), F2213&amp;RIGHT(INDIRECT(ADDRESS(ROW(F2214)-1, 'From Order'!$A2214)), 1), F2213))"),"CJQTTC")</f>
        <v>CJQTTC</v>
      </c>
      <c r="G2214" s="2" t="str">
        <f>IFERROR(__xludf.DUMMYFUNCTION("IF('From Order'!$A2214=COLUMNS($A2214:G2233), LEFT(INDEX(FILTER(G$1:G2213, G$1:G2213&lt;&gt;""""),COUNTA(FILTER(G$1:G2213, G$1:G2213&lt;&gt;""""))), LEN(INDEX(FILTER(G$1:G2213, G$1:G2213&lt;&gt;""""),COUNTA(FILTER(G$1:G2213, G$1:G2213&lt;&gt;""""))))-1), IF('To Order'!$A2214=COL"&amp;"UMNS($A2214:G2233), G2213&amp;RIGHT(INDIRECT(ADDRESS(ROW(G2214)-1, 'From Order'!$A2214)), 1), G2213))"),"RZS")</f>
        <v>RZS</v>
      </c>
      <c r="H2214" s="2" t="str">
        <f>IFERROR(__xludf.DUMMYFUNCTION("IF('From Order'!$A2214=COLUMNS($A2214:H2233), LEFT(INDEX(FILTER(H$1:H2213, H$1:H2213&lt;&gt;""""),COUNTA(FILTER(H$1:H2213, H$1:H2213&lt;&gt;""""))), LEN(INDEX(FILTER(H$1:H2213, H$1:H2213&lt;&gt;""""),COUNTA(FILTER(H$1:H2213, H$1:H2213&lt;&gt;""""))))-1), IF('To Order'!$A2214=COL"&amp;"UMNS($A2214:H2233), H2213&amp;RIGHT(INDIRECT(ADDRESS(ROW(H2214)-1, 'From Order'!$A2214)), 1), H2213))"),"")</f>
        <v/>
      </c>
      <c r="I2214" s="2" t="str">
        <f>IFERROR(__xludf.DUMMYFUNCTION("IF('From Order'!$A2214=COLUMNS($A2214:I2233), LEFT(INDEX(FILTER(I$1:I2213, I$1:I2213&lt;&gt;""""),COUNTA(FILTER(I$1:I2213, I$1:I2213&lt;&gt;""""))), LEN(INDEX(FILTER(I$1:I2213, I$1:I2213&lt;&gt;""""),COUNTA(FILTER(I$1:I2213, I$1:I2213&lt;&gt;""""))))-1), IF('To Order'!$A2214=COL"&amp;"UMNS($A2214:I2233), I2213&amp;RIGHT(INDIRECT(ADDRESS(ROW(I2214)-1, 'From Order'!$A2214)), 1), I2213))"),"DDDVQZDMTTGMJRRLPSSTMZHPRBVJBC")</f>
        <v>DDDVQZDMTTGMJRRLPSSTMZHPRBVJBC</v>
      </c>
    </row>
    <row r="2215">
      <c r="A2215" s="2" t="str">
        <f>IFERROR(__xludf.DUMMYFUNCTION("IF('From Order'!$A2215=COLUMNS($A2215:A2234), LEFT(INDEX(FILTER(A$1:A2214, A$1:A2214&lt;&gt;""""),COUNTA(FILTER(A$1:A2214, A$1:A2214&lt;&gt;""""))), LEN(INDEX(FILTER(A$1:A2214, A$1:A2214&lt;&gt;""""),COUNTA(FILTER(A$1:A2214, A$1:A2214&lt;&gt;""""))))-1), IF('To Order'!$A2215=COL"&amp;"UMNS($A2215:A2234), A2214&amp;RIGHT(INDIRECT(ADDRESS(ROW(A2215)-1, 'From Order'!$A2215)), 1), A2214))"),"DSPBFLL")</f>
        <v>DSPBFLL</v>
      </c>
      <c r="B2215" s="2" t="str">
        <f>IFERROR(__xludf.DUMMYFUNCTION("IF('From Order'!$A2215=COLUMNS($A2215:B2234), LEFT(INDEX(FILTER(B$1:B2214, B$1:B2214&lt;&gt;""""),COUNTA(FILTER(B$1:B2214, B$1:B2214&lt;&gt;""""))), LEN(INDEX(FILTER(B$1:B2214, B$1:B2214&lt;&gt;""""),COUNTA(FILTER(B$1:B2214, B$1:B2214&lt;&gt;""""))))-1), IF('To Order'!$A2215=COL"&amp;"UMNS($A2215:B2234), B2214&amp;RIGHT(INDIRECT(ADDRESS(ROW(B2215)-1, 'From Order'!$A2215)), 1), B2214))"),"")</f>
        <v/>
      </c>
      <c r="C2215" s="2" t="str">
        <f>IFERROR(__xludf.DUMMYFUNCTION("IF('From Order'!$A2215=COLUMNS($A2215:C2234), LEFT(INDEX(FILTER(C$1:C2214, C$1:C2214&lt;&gt;""""),COUNTA(FILTER(C$1:C2214, C$1:C2214&lt;&gt;""""))), LEN(INDEX(FILTER(C$1:C2214, C$1:C2214&lt;&gt;""""),COUNTA(FILTER(C$1:C2214, C$1:C2214&lt;&gt;""""))))-1), IF('To Order'!$A2215=COL"&amp;"UMNS($A2215:C2234), C2214&amp;RIGHT(INDIRECT(ADDRESS(ROW(C2215)-1, 'From Order'!$A2215)), 1), C2214))"),"VBH")</f>
        <v>VBH</v>
      </c>
      <c r="D2215" s="2" t="str">
        <f>IFERROR(__xludf.DUMMYFUNCTION("IF('From Order'!$A2215=COLUMNS($A2215:D2234), LEFT(INDEX(FILTER(D$1:D2214, D$1:D2214&lt;&gt;""""),COUNTA(FILTER(D$1:D2214, D$1:D2214&lt;&gt;""""))), LEN(INDEX(FILTER(D$1:D2214, D$1:D2214&lt;&gt;""""),COUNTA(FILTER(D$1:D2214, D$1:D2214&lt;&gt;""""))))-1), IF('To Order'!$A2215=COL"&amp;"UMNS($A2215:D2234), D2214&amp;RIGHT(INDIRECT(ADDRESS(ROW(D2215)-1, 'From Order'!$A2215)), 1), D2214))"),"RGWD")</f>
        <v>RGWD</v>
      </c>
      <c r="E2215" s="2" t="str">
        <f>IFERROR(__xludf.DUMMYFUNCTION("IF('From Order'!$A2215=COLUMNS($A2215:E2234), LEFT(INDEX(FILTER(E$1:E2214, E$1:E2214&lt;&gt;""""),COUNTA(FILTER(E$1:E2214, E$1:E2214&lt;&gt;""""))), LEN(INDEX(FILTER(E$1:E2214, E$1:E2214&lt;&gt;""""),COUNTA(FILTER(E$1:E2214, E$1:E2214&lt;&gt;""""))))-1), IF('To Order'!$A2215=COL"&amp;"UMNS($A2215:E2234), E2214&amp;RIGHT(INDIRECT(ADDRESS(ROW(E2215)-1, 'From Order'!$A2215)), 1), E2214))"),"FTW")</f>
        <v>FTW</v>
      </c>
      <c r="F2215" s="2" t="str">
        <f>IFERROR(__xludf.DUMMYFUNCTION("IF('From Order'!$A2215=COLUMNS($A2215:F2234), LEFT(INDEX(FILTER(F$1:F2214, F$1:F2214&lt;&gt;""""),COUNTA(FILTER(F$1:F2214, F$1:F2214&lt;&gt;""""))), LEN(INDEX(FILTER(F$1:F2214, F$1:F2214&lt;&gt;""""),COUNTA(FILTER(F$1:F2214, F$1:F2214&lt;&gt;""""))))-1), IF('To Order'!$A2215=COL"&amp;"UMNS($A2215:F2234), F2214&amp;RIGHT(INDIRECT(ADDRESS(ROW(F2215)-1, 'From Order'!$A2215)), 1), F2214))"),"CJQTTC")</f>
        <v>CJQTTC</v>
      </c>
      <c r="G2215" s="2" t="str">
        <f>IFERROR(__xludf.DUMMYFUNCTION("IF('From Order'!$A2215=COLUMNS($A2215:G2234), LEFT(INDEX(FILTER(G$1:G2214, G$1:G2214&lt;&gt;""""),COUNTA(FILTER(G$1:G2214, G$1:G2214&lt;&gt;""""))), LEN(INDEX(FILTER(G$1:G2214, G$1:G2214&lt;&gt;""""),COUNTA(FILTER(G$1:G2214, G$1:G2214&lt;&gt;""""))))-1), IF('To Order'!$A2215=COL"&amp;"UMNS($A2215:G2234), G2214&amp;RIGHT(INDIRECT(ADDRESS(ROW(G2215)-1, 'From Order'!$A2215)), 1), G2214))"),"RZS")</f>
        <v>RZS</v>
      </c>
      <c r="H2215" s="2" t="str">
        <f>IFERROR(__xludf.DUMMYFUNCTION("IF('From Order'!$A2215=COLUMNS($A2215:H2234), LEFT(INDEX(FILTER(H$1:H2214, H$1:H2214&lt;&gt;""""),COUNTA(FILTER(H$1:H2214, H$1:H2214&lt;&gt;""""))), LEN(INDEX(FILTER(H$1:H2214, H$1:H2214&lt;&gt;""""),COUNTA(FILTER(H$1:H2214, H$1:H2214&lt;&gt;""""))))-1), IF('To Order'!$A2215=COL"&amp;"UMNS($A2215:H2234), H2214&amp;RIGHT(INDIRECT(ADDRESS(ROW(H2215)-1, 'From Order'!$A2215)), 1), H2214))"),"")</f>
        <v/>
      </c>
      <c r="I2215" s="2" t="str">
        <f>IFERROR(__xludf.DUMMYFUNCTION("IF('From Order'!$A2215=COLUMNS($A2215:I2234), LEFT(INDEX(FILTER(I$1:I2214, I$1:I2214&lt;&gt;""""),COUNTA(FILTER(I$1:I2214, I$1:I2214&lt;&gt;""""))), LEN(INDEX(FILTER(I$1:I2214, I$1:I2214&lt;&gt;""""),COUNTA(FILTER(I$1:I2214, I$1:I2214&lt;&gt;""""))))-1), IF('To Order'!$A2215=COL"&amp;"UMNS($A2215:I2234), I2214&amp;RIGHT(INDIRECT(ADDRESS(ROW(I2215)-1, 'From Order'!$A2215)), 1), I2214))"),"DDDVQZDMTTGMJRRLPSSTMZHPRBVJBC")</f>
        <v>DDDVQZDMTTGMJRRLPSSTMZHPRBVJBC</v>
      </c>
    </row>
    <row r="2216">
      <c r="A2216" s="2" t="str">
        <f>IFERROR(__xludf.DUMMYFUNCTION("IF('From Order'!$A2216=COLUMNS($A2216:A2235), LEFT(INDEX(FILTER(A$1:A2215, A$1:A2215&lt;&gt;""""),COUNTA(FILTER(A$1:A2215, A$1:A2215&lt;&gt;""""))), LEN(INDEX(FILTER(A$1:A2215, A$1:A2215&lt;&gt;""""),COUNTA(FILTER(A$1:A2215, A$1:A2215&lt;&gt;""""))))-1), IF('To Order'!$A2216=COL"&amp;"UMNS($A2216:A2235), A2215&amp;RIGHT(INDIRECT(ADDRESS(ROW(A2216)-1, 'From Order'!$A2216)), 1), A2215))"),"DSPBFL")</f>
        <v>DSPBFL</v>
      </c>
      <c r="B2216" s="2" t="str">
        <f>IFERROR(__xludf.DUMMYFUNCTION("IF('From Order'!$A2216=COLUMNS($A2216:B2235), LEFT(INDEX(FILTER(B$1:B2215, B$1:B2215&lt;&gt;""""),COUNTA(FILTER(B$1:B2215, B$1:B2215&lt;&gt;""""))), LEN(INDEX(FILTER(B$1:B2215, B$1:B2215&lt;&gt;""""),COUNTA(FILTER(B$1:B2215, B$1:B2215&lt;&gt;""""))))-1), IF('To Order'!$A2216=COL"&amp;"UMNS($A2216:B2235), B2215&amp;RIGHT(INDIRECT(ADDRESS(ROW(B2216)-1, 'From Order'!$A2216)), 1), B2215))"),"")</f>
        <v/>
      </c>
      <c r="C2216" s="2" t="str">
        <f>IFERROR(__xludf.DUMMYFUNCTION("IF('From Order'!$A2216=COLUMNS($A2216:C2235), LEFT(INDEX(FILTER(C$1:C2215, C$1:C2215&lt;&gt;""""),COUNTA(FILTER(C$1:C2215, C$1:C2215&lt;&gt;""""))), LEN(INDEX(FILTER(C$1:C2215, C$1:C2215&lt;&gt;""""),COUNTA(FILTER(C$1:C2215, C$1:C2215&lt;&gt;""""))))-1), IF('To Order'!$A2216=COL"&amp;"UMNS($A2216:C2235), C2215&amp;RIGHT(INDIRECT(ADDRESS(ROW(C2216)-1, 'From Order'!$A2216)), 1), C2215))"),"VBH")</f>
        <v>VBH</v>
      </c>
      <c r="D2216" s="2" t="str">
        <f>IFERROR(__xludf.DUMMYFUNCTION("IF('From Order'!$A2216=COLUMNS($A2216:D2235), LEFT(INDEX(FILTER(D$1:D2215, D$1:D2215&lt;&gt;""""),COUNTA(FILTER(D$1:D2215, D$1:D2215&lt;&gt;""""))), LEN(INDEX(FILTER(D$1:D2215, D$1:D2215&lt;&gt;""""),COUNTA(FILTER(D$1:D2215, D$1:D2215&lt;&gt;""""))))-1), IF('To Order'!$A2216=COL"&amp;"UMNS($A2216:D2235), D2215&amp;RIGHT(INDIRECT(ADDRESS(ROW(D2216)-1, 'From Order'!$A2216)), 1), D2215))"),"RGWD")</f>
        <v>RGWD</v>
      </c>
      <c r="E2216" s="2" t="str">
        <f>IFERROR(__xludf.DUMMYFUNCTION("IF('From Order'!$A2216=COLUMNS($A2216:E2235), LEFT(INDEX(FILTER(E$1:E2215, E$1:E2215&lt;&gt;""""),COUNTA(FILTER(E$1:E2215, E$1:E2215&lt;&gt;""""))), LEN(INDEX(FILTER(E$1:E2215, E$1:E2215&lt;&gt;""""),COUNTA(FILTER(E$1:E2215, E$1:E2215&lt;&gt;""""))))-1), IF('To Order'!$A2216=COL"&amp;"UMNS($A2216:E2235), E2215&amp;RIGHT(INDIRECT(ADDRESS(ROW(E2216)-1, 'From Order'!$A2216)), 1), E2215))"),"FTWL")</f>
        <v>FTWL</v>
      </c>
      <c r="F2216" s="2" t="str">
        <f>IFERROR(__xludf.DUMMYFUNCTION("IF('From Order'!$A2216=COLUMNS($A2216:F2235), LEFT(INDEX(FILTER(F$1:F2215, F$1:F2215&lt;&gt;""""),COUNTA(FILTER(F$1:F2215, F$1:F2215&lt;&gt;""""))), LEN(INDEX(FILTER(F$1:F2215, F$1:F2215&lt;&gt;""""),COUNTA(FILTER(F$1:F2215, F$1:F2215&lt;&gt;""""))))-1), IF('To Order'!$A2216=COL"&amp;"UMNS($A2216:F2235), F2215&amp;RIGHT(INDIRECT(ADDRESS(ROW(F2216)-1, 'From Order'!$A2216)), 1), F2215))"),"CJQTTC")</f>
        <v>CJQTTC</v>
      </c>
      <c r="G2216" s="2" t="str">
        <f>IFERROR(__xludf.DUMMYFUNCTION("IF('From Order'!$A2216=COLUMNS($A2216:G2235), LEFT(INDEX(FILTER(G$1:G2215, G$1:G2215&lt;&gt;""""),COUNTA(FILTER(G$1:G2215, G$1:G2215&lt;&gt;""""))), LEN(INDEX(FILTER(G$1:G2215, G$1:G2215&lt;&gt;""""),COUNTA(FILTER(G$1:G2215, G$1:G2215&lt;&gt;""""))))-1), IF('To Order'!$A2216=COL"&amp;"UMNS($A2216:G2235), G2215&amp;RIGHT(INDIRECT(ADDRESS(ROW(G2216)-1, 'From Order'!$A2216)), 1), G2215))"),"RZS")</f>
        <v>RZS</v>
      </c>
      <c r="H2216" s="2" t="str">
        <f>IFERROR(__xludf.DUMMYFUNCTION("IF('From Order'!$A2216=COLUMNS($A2216:H2235), LEFT(INDEX(FILTER(H$1:H2215, H$1:H2215&lt;&gt;""""),COUNTA(FILTER(H$1:H2215, H$1:H2215&lt;&gt;""""))), LEN(INDEX(FILTER(H$1:H2215, H$1:H2215&lt;&gt;""""),COUNTA(FILTER(H$1:H2215, H$1:H2215&lt;&gt;""""))))-1), IF('To Order'!$A2216=COL"&amp;"UMNS($A2216:H2235), H2215&amp;RIGHT(INDIRECT(ADDRESS(ROW(H2216)-1, 'From Order'!$A2216)), 1), H2215))"),"")</f>
        <v/>
      </c>
      <c r="I2216" s="2" t="str">
        <f>IFERROR(__xludf.DUMMYFUNCTION("IF('From Order'!$A2216=COLUMNS($A2216:I2235), LEFT(INDEX(FILTER(I$1:I2215, I$1:I2215&lt;&gt;""""),COUNTA(FILTER(I$1:I2215, I$1:I2215&lt;&gt;""""))), LEN(INDEX(FILTER(I$1:I2215, I$1:I2215&lt;&gt;""""),COUNTA(FILTER(I$1:I2215, I$1:I2215&lt;&gt;""""))))-1), IF('To Order'!$A2216=COL"&amp;"UMNS($A2216:I2235), I2215&amp;RIGHT(INDIRECT(ADDRESS(ROW(I2216)-1, 'From Order'!$A2216)), 1), I2215))"),"DDDVQZDMTTGMJRRLPSSTMZHPRBVJBC")</f>
        <v>DDDVQZDMTTGMJRRLPSSTMZHPRBVJBC</v>
      </c>
    </row>
    <row r="2217">
      <c r="A2217" s="2" t="str">
        <f>IFERROR(__xludf.DUMMYFUNCTION("IF('From Order'!$A2217=COLUMNS($A2217:A2236), LEFT(INDEX(FILTER(A$1:A2216, A$1:A2216&lt;&gt;""""),COUNTA(FILTER(A$1:A2216, A$1:A2216&lt;&gt;""""))), LEN(INDEX(FILTER(A$1:A2216, A$1:A2216&lt;&gt;""""),COUNTA(FILTER(A$1:A2216, A$1:A2216&lt;&gt;""""))))-1), IF('To Order'!$A2217=COL"&amp;"UMNS($A2217:A2236), A2216&amp;RIGHT(INDIRECT(ADDRESS(ROW(A2217)-1, 'From Order'!$A2217)), 1), A2216))"),"DSPBF")</f>
        <v>DSPBF</v>
      </c>
      <c r="B2217" s="2" t="str">
        <f>IFERROR(__xludf.DUMMYFUNCTION("IF('From Order'!$A2217=COLUMNS($A2217:B2236), LEFT(INDEX(FILTER(B$1:B2216, B$1:B2216&lt;&gt;""""),COUNTA(FILTER(B$1:B2216, B$1:B2216&lt;&gt;""""))), LEN(INDEX(FILTER(B$1:B2216, B$1:B2216&lt;&gt;""""),COUNTA(FILTER(B$1:B2216, B$1:B2216&lt;&gt;""""))))-1), IF('To Order'!$A2217=COL"&amp;"UMNS($A2217:B2236), B2216&amp;RIGHT(INDIRECT(ADDRESS(ROW(B2217)-1, 'From Order'!$A2217)), 1), B2216))"),"")</f>
        <v/>
      </c>
      <c r="C2217" s="2" t="str">
        <f>IFERROR(__xludf.DUMMYFUNCTION("IF('From Order'!$A2217=COLUMNS($A2217:C2236), LEFT(INDEX(FILTER(C$1:C2216, C$1:C2216&lt;&gt;""""),COUNTA(FILTER(C$1:C2216, C$1:C2216&lt;&gt;""""))), LEN(INDEX(FILTER(C$1:C2216, C$1:C2216&lt;&gt;""""),COUNTA(FILTER(C$1:C2216, C$1:C2216&lt;&gt;""""))))-1), IF('To Order'!$A2217=COL"&amp;"UMNS($A2217:C2236), C2216&amp;RIGHT(INDIRECT(ADDRESS(ROW(C2217)-1, 'From Order'!$A2217)), 1), C2216))"),"VBH")</f>
        <v>VBH</v>
      </c>
      <c r="D2217" s="2" t="str">
        <f>IFERROR(__xludf.DUMMYFUNCTION("IF('From Order'!$A2217=COLUMNS($A2217:D2236), LEFT(INDEX(FILTER(D$1:D2216, D$1:D2216&lt;&gt;""""),COUNTA(FILTER(D$1:D2216, D$1:D2216&lt;&gt;""""))), LEN(INDEX(FILTER(D$1:D2216, D$1:D2216&lt;&gt;""""),COUNTA(FILTER(D$1:D2216, D$1:D2216&lt;&gt;""""))))-1), IF('To Order'!$A2217=COL"&amp;"UMNS($A2217:D2236), D2216&amp;RIGHT(INDIRECT(ADDRESS(ROW(D2217)-1, 'From Order'!$A2217)), 1), D2216))"),"RGWD")</f>
        <v>RGWD</v>
      </c>
      <c r="E2217" s="2" t="str">
        <f>IFERROR(__xludf.DUMMYFUNCTION("IF('From Order'!$A2217=COLUMNS($A2217:E2236), LEFT(INDEX(FILTER(E$1:E2216, E$1:E2216&lt;&gt;""""),COUNTA(FILTER(E$1:E2216, E$1:E2216&lt;&gt;""""))), LEN(INDEX(FILTER(E$1:E2216, E$1:E2216&lt;&gt;""""),COUNTA(FILTER(E$1:E2216, E$1:E2216&lt;&gt;""""))))-1), IF('To Order'!$A2217=COL"&amp;"UMNS($A2217:E2236), E2216&amp;RIGHT(INDIRECT(ADDRESS(ROW(E2217)-1, 'From Order'!$A2217)), 1), E2216))"),"FTWLL")</f>
        <v>FTWLL</v>
      </c>
      <c r="F2217" s="2" t="str">
        <f>IFERROR(__xludf.DUMMYFUNCTION("IF('From Order'!$A2217=COLUMNS($A2217:F2236), LEFT(INDEX(FILTER(F$1:F2216, F$1:F2216&lt;&gt;""""),COUNTA(FILTER(F$1:F2216, F$1:F2216&lt;&gt;""""))), LEN(INDEX(FILTER(F$1:F2216, F$1:F2216&lt;&gt;""""),COUNTA(FILTER(F$1:F2216, F$1:F2216&lt;&gt;""""))))-1), IF('To Order'!$A2217=COL"&amp;"UMNS($A2217:F2236), F2216&amp;RIGHT(INDIRECT(ADDRESS(ROW(F2217)-1, 'From Order'!$A2217)), 1), F2216))"),"CJQTTC")</f>
        <v>CJQTTC</v>
      </c>
      <c r="G2217" s="2" t="str">
        <f>IFERROR(__xludf.DUMMYFUNCTION("IF('From Order'!$A2217=COLUMNS($A2217:G2236), LEFT(INDEX(FILTER(G$1:G2216, G$1:G2216&lt;&gt;""""),COUNTA(FILTER(G$1:G2216, G$1:G2216&lt;&gt;""""))), LEN(INDEX(FILTER(G$1:G2216, G$1:G2216&lt;&gt;""""),COUNTA(FILTER(G$1:G2216, G$1:G2216&lt;&gt;""""))))-1), IF('To Order'!$A2217=COL"&amp;"UMNS($A2217:G2236), G2216&amp;RIGHT(INDIRECT(ADDRESS(ROW(G2217)-1, 'From Order'!$A2217)), 1), G2216))"),"RZS")</f>
        <v>RZS</v>
      </c>
      <c r="H2217" s="2" t="str">
        <f>IFERROR(__xludf.DUMMYFUNCTION("IF('From Order'!$A2217=COLUMNS($A2217:H2236), LEFT(INDEX(FILTER(H$1:H2216, H$1:H2216&lt;&gt;""""),COUNTA(FILTER(H$1:H2216, H$1:H2216&lt;&gt;""""))), LEN(INDEX(FILTER(H$1:H2216, H$1:H2216&lt;&gt;""""),COUNTA(FILTER(H$1:H2216, H$1:H2216&lt;&gt;""""))))-1), IF('To Order'!$A2217=COL"&amp;"UMNS($A2217:H2236), H2216&amp;RIGHT(INDIRECT(ADDRESS(ROW(H2217)-1, 'From Order'!$A2217)), 1), H2216))"),"")</f>
        <v/>
      </c>
      <c r="I2217" s="2" t="str">
        <f>IFERROR(__xludf.DUMMYFUNCTION("IF('From Order'!$A2217=COLUMNS($A2217:I2236), LEFT(INDEX(FILTER(I$1:I2216, I$1:I2216&lt;&gt;""""),COUNTA(FILTER(I$1:I2216, I$1:I2216&lt;&gt;""""))), LEN(INDEX(FILTER(I$1:I2216, I$1:I2216&lt;&gt;""""),COUNTA(FILTER(I$1:I2216, I$1:I2216&lt;&gt;""""))))-1), IF('To Order'!$A2217=COL"&amp;"UMNS($A2217:I2236), I2216&amp;RIGHT(INDIRECT(ADDRESS(ROW(I2217)-1, 'From Order'!$A2217)), 1), I2216))"),"DDDVQZDMTTGMJRRLPSSTMZHPRBVJBC")</f>
        <v>DDDVQZDMTTGMJRRLPSSTMZHPRBVJBC</v>
      </c>
    </row>
    <row r="2218">
      <c r="A2218" s="2" t="str">
        <f>IFERROR(__xludf.DUMMYFUNCTION("IF('From Order'!$A2218=COLUMNS($A2218:A2237), LEFT(INDEX(FILTER(A$1:A2217, A$1:A2217&lt;&gt;""""),COUNTA(FILTER(A$1:A2217, A$1:A2217&lt;&gt;""""))), LEN(INDEX(FILTER(A$1:A2217, A$1:A2217&lt;&gt;""""),COUNTA(FILTER(A$1:A2217, A$1:A2217&lt;&gt;""""))))-1), IF('To Order'!$A2218=COL"&amp;"UMNS($A2218:A2237), A2217&amp;RIGHT(INDIRECT(ADDRESS(ROW(A2218)-1, 'From Order'!$A2218)), 1), A2217))"),"DSPB")</f>
        <v>DSPB</v>
      </c>
      <c r="B2218" s="2" t="str">
        <f>IFERROR(__xludf.DUMMYFUNCTION("IF('From Order'!$A2218=COLUMNS($A2218:B2237), LEFT(INDEX(FILTER(B$1:B2217, B$1:B2217&lt;&gt;""""),COUNTA(FILTER(B$1:B2217, B$1:B2217&lt;&gt;""""))), LEN(INDEX(FILTER(B$1:B2217, B$1:B2217&lt;&gt;""""),COUNTA(FILTER(B$1:B2217, B$1:B2217&lt;&gt;""""))))-1), IF('To Order'!$A2218=COL"&amp;"UMNS($A2218:B2237), B2217&amp;RIGHT(INDIRECT(ADDRESS(ROW(B2218)-1, 'From Order'!$A2218)), 1), B2217))"),"")</f>
        <v/>
      </c>
      <c r="C2218" s="2" t="str">
        <f>IFERROR(__xludf.DUMMYFUNCTION("IF('From Order'!$A2218=COLUMNS($A2218:C2237), LEFT(INDEX(FILTER(C$1:C2217, C$1:C2217&lt;&gt;""""),COUNTA(FILTER(C$1:C2217, C$1:C2217&lt;&gt;""""))), LEN(INDEX(FILTER(C$1:C2217, C$1:C2217&lt;&gt;""""),COUNTA(FILTER(C$1:C2217, C$1:C2217&lt;&gt;""""))))-1), IF('To Order'!$A2218=COL"&amp;"UMNS($A2218:C2237), C2217&amp;RIGHT(INDIRECT(ADDRESS(ROW(C2218)-1, 'From Order'!$A2218)), 1), C2217))"),"VBH")</f>
        <v>VBH</v>
      </c>
      <c r="D2218" s="2" t="str">
        <f>IFERROR(__xludf.DUMMYFUNCTION("IF('From Order'!$A2218=COLUMNS($A2218:D2237), LEFT(INDEX(FILTER(D$1:D2217, D$1:D2217&lt;&gt;""""),COUNTA(FILTER(D$1:D2217, D$1:D2217&lt;&gt;""""))), LEN(INDEX(FILTER(D$1:D2217, D$1:D2217&lt;&gt;""""),COUNTA(FILTER(D$1:D2217, D$1:D2217&lt;&gt;""""))))-1), IF('To Order'!$A2218=COL"&amp;"UMNS($A2218:D2237), D2217&amp;RIGHT(INDIRECT(ADDRESS(ROW(D2218)-1, 'From Order'!$A2218)), 1), D2217))"),"RGWD")</f>
        <v>RGWD</v>
      </c>
      <c r="E2218" s="2" t="str">
        <f>IFERROR(__xludf.DUMMYFUNCTION("IF('From Order'!$A2218=COLUMNS($A2218:E2237), LEFT(INDEX(FILTER(E$1:E2217, E$1:E2217&lt;&gt;""""),COUNTA(FILTER(E$1:E2217, E$1:E2217&lt;&gt;""""))), LEN(INDEX(FILTER(E$1:E2217, E$1:E2217&lt;&gt;""""),COUNTA(FILTER(E$1:E2217, E$1:E2217&lt;&gt;""""))))-1), IF('To Order'!$A2218=COL"&amp;"UMNS($A2218:E2237), E2217&amp;RIGHT(INDIRECT(ADDRESS(ROW(E2218)-1, 'From Order'!$A2218)), 1), E2217))"),"FTWLLF")</f>
        <v>FTWLLF</v>
      </c>
      <c r="F2218" s="2" t="str">
        <f>IFERROR(__xludf.DUMMYFUNCTION("IF('From Order'!$A2218=COLUMNS($A2218:F2237), LEFT(INDEX(FILTER(F$1:F2217, F$1:F2217&lt;&gt;""""),COUNTA(FILTER(F$1:F2217, F$1:F2217&lt;&gt;""""))), LEN(INDEX(FILTER(F$1:F2217, F$1:F2217&lt;&gt;""""),COUNTA(FILTER(F$1:F2217, F$1:F2217&lt;&gt;""""))))-1), IF('To Order'!$A2218=COL"&amp;"UMNS($A2218:F2237), F2217&amp;RIGHT(INDIRECT(ADDRESS(ROW(F2218)-1, 'From Order'!$A2218)), 1), F2217))"),"CJQTTC")</f>
        <v>CJQTTC</v>
      </c>
      <c r="G2218" s="2" t="str">
        <f>IFERROR(__xludf.DUMMYFUNCTION("IF('From Order'!$A2218=COLUMNS($A2218:G2237), LEFT(INDEX(FILTER(G$1:G2217, G$1:G2217&lt;&gt;""""),COUNTA(FILTER(G$1:G2217, G$1:G2217&lt;&gt;""""))), LEN(INDEX(FILTER(G$1:G2217, G$1:G2217&lt;&gt;""""),COUNTA(FILTER(G$1:G2217, G$1:G2217&lt;&gt;""""))))-1), IF('To Order'!$A2218=COL"&amp;"UMNS($A2218:G2237), G2217&amp;RIGHT(INDIRECT(ADDRESS(ROW(G2218)-1, 'From Order'!$A2218)), 1), G2217))"),"RZS")</f>
        <v>RZS</v>
      </c>
      <c r="H2218" s="2" t="str">
        <f>IFERROR(__xludf.DUMMYFUNCTION("IF('From Order'!$A2218=COLUMNS($A2218:H2237), LEFT(INDEX(FILTER(H$1:H2217, H$1:H2217&lt;&gt;""""),COUNTA(FILTER(H$1:H2217, H$1:H2217&lt;&gt;""""))), LEN(INDEX(FILTER(H$1:H2217, H$1:H2217&lt;&gt;""""),COUNTA(FILTER(H$1:H2217, H$1:H2217&lt;&gt;""""))))-1), IF('To Order'!$A2218=COL"&amp;"UMNS($A2218:H2237), H2217&amp;RIGHT(INDIRECT(ADDRESS(ROW(H2218)-1, 'From Order'!$A2218)), 1), H2217))"),"")</f>
        <v/>
      </c>
      <c r="I2218" s="2" t="str">
        <f>IFERROR(__xludf.DUMMYFUNCTION("IF('From Order'!$A2218=COLUMNS($A2218:I2237), LEFT(INDEX(FILTER(I$1:I2217, I$1:I2217&lt;&gt;""""),COUNTA(FILTER(I$1:I2217, I$1:I2217&lt;&gt;""""))), LEN(INDEX(FILTER(I$1:I2217, I$1:I2217&lt;&gt;""""),COUNTA(FILTER(I$1:I2217, I$1:I2217&lt;&gt;""""))))-1), IF('To Order'!$A2218=COL"&amp;"UMNS($A2218:I2237), I2217&amp;RIGHT(INDIRECT(ADDRESS(ROW(I2218)-1, 'From Order'!$A2218)), 1), I2217))"),"DDDVQZDMTTGMJRRLPSSTMZHPRBVJBC")</f>
        <v>DDDVQZDMTTGMJRRLPSSTMZHPRBVJBC</v>
      </c>
    </row>
    <row r="2219">
      <c r="A2219" s="2" t="str">
        <f>IFERROR(__xludf.DUMMYFUNCTION("IF('From Order'!$A2219=COLUMNS($A2219:A2238), LEFT(INDEX(FILTER(A$1:A2218, A$1:A2218&lt;&gt;""""),COUNTA(FILTER(A$1:A2218, A$1:A2218&lt;&gt;""""))), LEN(INDEX(FILTER(A$1:A2218, A$1:A2218&lt;&gt;""""),COUNTA(FILTER(A$1:A2218, A$1:A2218&lt;&gt;""""))))-1), IF('To Order'!$A2219=COL"&amp;"UMNS($A2219:A2238), A2218&amp;RIGHT(INDIRECT(ADDRESS(ROW(A2219)-1, 'From Order'!$A2219)), 1), A2218))"),"DSP")</f>
        <v>DSP</v>
      </c>
      <c r="B2219" s="2" t="str">
        <f>IFERROR(__xludf.DUMMYFUNCTION("IF('From Order'!$A2219=COLUMNS($A2219:B2238), LEFT(INDEX(FILTER(B$1:B2218, B$1:B2218&lt;&gt;""""),COUNTA(FILTER(B$1:B2218, B$1:B2218&lt;&gt;""""))), LEN(INDEX(FILTER(B$1:B2218, B$1:B2218&lt;&gt;""""),COUNTA(FILTER(B$1:B2218, B$1:B2218&lt;&gt;""""))))-1), IF('To Order'!$A2219=COL"&amp;"UMNS($A2219:B2238), B2218&amp;RIGHT(INDIRECT(ADDRESS(ROW(B2219)-1, 'From Order'!$A2219)), 1), B2218))"),"")</f>
        <v/>
      </c>
      <c r="C2219" s="2" t="str">
        <f>IFERROR(__xludf.DUMMYFUNCTION("IF('From Order'!$A2219=COLUMNS($A2219:C2238), LEFT(INDEX(FILTER(C$1:C2218, C$1:C2218&lt;&gt;""""),COUNTA(FILTER(C$1:C2218, C$1:C2218&lt;&gt;""""))), LEN(INDEX(FILTER(C$1:C2218, C$1:C2218&lt;&gt;""""),COUNTA(FILTER(C$1:C2218, C$1:C2218&lt;&gt;""""))))-1), IF('To Order'!$A2219=COL"&amp;"UMNS($A2219:C2238), C2218&amp;RIGHT(INDIRECT(ADDRESS(ROW(C2219)-1, 'From Order'!$A2219)), 1), C2218))"),"VBH")</f>
        <v>VBH</v>
      </c>
      <c r="D2219" s="2" t="str">
        <f>IFERROR(__xludf.DUMMYFUNCTION("IF('From Order'!$A2219=COLUMNS($A2219:D2238), LEFT(INDEX(FILTER(D$1:D2218, D$1:D2218&lt;&gt;""""),COUNTA(FILTER(D$1:D2218, D$1:D2218&lt;&gt;""""))), LEN(INDEX(FILTER(D$1:D2218, D$1:D2218&lt;&gt;""""),COUNTA(FILTER(D$1:D2218, D$1:D2218&lt;&gt;""""))))-1), IF('To Order'!$A2219=COL"&amp;"UMNS($A2219:D2238), D2218&amp;RIGHT(INDIRECT(ADDRESS(ROW(D2219)-1, 'From Order'!$A2219)), 1), D2218))"),"RGWD")</f>
        <v>RGWD</v>
      </c>
      <c r="E2219" s="2" t="str">
        <f>IFERROR(__xludf.DUMMYFUNCTION("IF('From Order'!$A2219=COLUMNS($A2219:E2238), LEFT(INDEX(FILTER(E$1:E2218, E$1:E2218&lt;&gt;""""),COUNTA(FILTER(E$1:E2218, E$1:E2218&lt;&gt;""""))), LEN(INDEX(FILTER(E$1:E2218, E$1:E2218&lt;&gt;""""),COUNTA(FILTER(E$1:E2218, E$1:E2218&lt;&gt;""""))))-1), IF('To Order'!$A2219=COL"&amp;"UMNS($A2219:E2238), E2218&amp;RIGHT(INDIRECT(ADDRESS(ROW(E2219)-1, 'From Order'!$A2219)), 1), E2218))"),"FTWLLFB")</f>
        <v>FTWLLFB</v>
      </c>
      <c r="F2219" s="2" t="str">
        <f>IFERROR(__xludf.DUMMYFUNCTION("IF('From Order'!$A2219=COLUMNS($A2219:F2238), LEFT(INDEX(FILTER(F$1:F2218, F$1:F2218&lt;&gt;""""),COUNTA(FILTER(F$1:F2218, F$1:F2218&lt;&gt;""""))), LEN(INDEX(FILTER(F$1:F2218, F$1:F2218&lt;&gt;""""),COUNTA(FILTER(F$1:F2218, F$1:F2218&lt;&gt;""""))))-1), IF('To Order'!$A2219=COL"&amp;"UMNS($A2219:F2238), F2218&amp;RIGHT(INDIRECT(ADDRESS(ROW(F2219)-1, 'From Order'!$A2219)), 1), F2218))"),"CJQTTC")</f>
        <v>CJQTTC</v>
      </c>
      <c r="G2219" s="2" t="str">
        <f>IFERROR(__xludf.DUMMYFUNCTION("IF('From Order'!$A2219=COLUMNS($A2219:G2238), LEFT(INDEX(FILTER(G$1:G2218, G$1:G2218&lt;&gt;""""),COUNTA(FILTER(G$1:G2218, G$1:G2218&lt;&gt;""""))), LEN(INDEX(FILTER(G$1:G2218, G$1:G2218&lt;&gt;""""),COUNTA(FILTER(G$1:G2218, G$1:G2218&lt;&gt;""""))))-1), IF('To Order'!$A2219=COL"&amp;"UMNS($A2219:G2238), G2218&amp;RIGHT(INDIRECT(ADDRESS(ROW(G2219)-1, 'From Order'!$A2219)), 1), G2218))"),"RZS")</f>
        <v>RZS</v>
      </c>
      <c r="H2219" s="2" t="str">
        <f>IFERROR(__xludf.DUMMYFUNCTION("IF('From Order'!$A2219=COLUMNS($A2219:H2238), LEFT(INDEX(FILTER(H$1:H2218, H$1:H2218&lt;&gt;""""),COUNTA(FILTER(H$1:H2218, H$1:H2218&lt;&gt;""""))), LEN(INDEX(FILTER(H$1:H2218, H$1:H2218&lt;&gt;""""),COUNTA(FILTER(H$1:H2218, H$1:H2218&lt;&gt;""""))))-1), IF('To Order'!$A2219=COL"&amp;"UMNS($A2219:H2238), H2218&amp;RIGHT(INDIRECT(ADDRESS(ROW(H2219)-1, 'From Order'!$A2219)), 1), H2218))"),"")</f>
        <v/>
      </c>
      <c r="I2219" s="2" t="str">
        <f>IFERROR(__xludf.DUMMYFUNCTION("IF('From Order'!$A2219=COLUMNS($A2219:I2238), LEFT(INDEX(FILTER(I$1:I2218, I$1:I2218&lt;&gt;""""),COUNTA(FILTER(I$1:I2218, I$1:I2218&lt;&gt;""""))), LEN(INDEX(FILTER(I$1:I2218, I$1:I2218&lt;&gt;""""),COUNTA(FILTER(I$1:I2218, I$1:I2218&lt;&gt;""""))))-1), IF('To Order'!$A2219=COL"&amp;"UMNS($A2219:I2238), I2218&amp;RIGHT(INDIRECT(ADDRESS(ROW(I2219)-1, 'From Order'!$A2219)), 1), I2218))"),"DDDVQZDMTTGMJRRLPSSTMZHPRBVJBC")</f>
        <v>DDDVQZDMTTGMJRRLPSSTMZHPRBVJBC</v>
      </c>
    </row>
    <row r="2220">
      <c r="A2220" s="2" t="str">
        <f>IFERROR(__xludf.DUMMYFUNCTION("IF('From Order'!$A2220=COLUMNS($A2220:A2239), LEFT(INDEX(FILTER(A$1:A2219, A$1:A2219&lt;&gt;""""),COUNTA(FILTER(A$1:A2219, A$1:A2219&lt;&gt;""""))), LEN(INDEX(FILTER(A$1:A2219, A$1:A2219&lt;&gt;""""),COUNTA(FILTER(A$1:A2219, A$1:A2219&lt;&gt;""""))))-1), IF('To Order'!$A2220=COL"&amp;"UMNS($A2220:A2239), A2219&amp;RIGHT(INDIRECT(ADDRESS(ROW(A2220)-1, 'From Order'!$A2220)), 1), A2219))"),"DSP")</f>
        <v>DSP</v>
      </c>
      <c r="B2220" s="2" t="str">
        <f>IFERROR(__xludf.DUMMYFUNCTION("IF('From Order'!$A2220=COLUMNS($A2220:B2239), LEFT(INDEX(FILTER(B$1:B2219, B$1:B2219&lt;&gt;""""),COUNTA(FILTER(B$1:B2219, B$1:B2219&lt;&gt;""""))), LEN(INDEX(FILTER(B$1:B2219, B$1:B2219&lt;&gt;""""),COUNTA(FILTER(B$1:B2219, B$1:B2219&lt;&gt;""""))))-1), IF('To Order'!$A2220=COL"&amp;"UMNS($A2220:B2239), B2219&amp;RIGHT(INDIRECT(ADDRESS(ROW(B2220)-1, 'From Order'!$A2220)), 1), B2219))"),"")</f>
        <v/>
      </c>
      <c r="C2220" s="2" t="str">
        <f>IFERROR(__xludf.DUMMYFUNCTION("IF('From Order'!$A2220=COLUMNS($A2220:C2239), LEFT(INDEX(FILTER(C$1:C2219, C$1:C2219&lt;&gt;""""),COUNTA(FILTER(C$1:C2219, C$1:C2219&lt;&gt;""""))), LEN(INDEX(FILTER(C$1:C2219, C$1:C2219&lt;&gt;""""),COUNTA(FILTER(C$1:C2219, C$1:C2219&lt;&gt;""""))))-1), IF('To Order'!$A2220=COL"&amp;"UMNS($A2220:C2239), C2219&amp;RIGHT(INDIRECT(ADDRESS(ROW(C2220)-1, 'From Order'!$A2220)), 1), C2219))"),"VBH")</f>
        <v>VBH</v>
      </c>
      <c r="D2220" s="2" t="str">
        <f>IFERROR(__xludf.DUMMYFUNCTION("IF('From Order'!$A2220=COLUMNS($A2220:D2239), LEFT(INDEX(FILTER(D$1:D2219, D$1:D2219&lt;&gt;""""),COUNTA(FILTER(D$1:D2219, D$1:D2219&lt;&gt;""""))), LEN(INDEX(FILTER(D$1:D2219, D$1:D2219&lt;&gt;""""),COUNTA(FILTER(D$1:D2219, D$1:D2219&lt;&gt;""""))))-1), IF('To Order'!$A2220=COL"&amp;"UMNS($A2220:D2239), D2219&amp;RIGHT(INDIRECT(ADDRESS(ROW(D2220)-1, 'From Order'!$A2220)), 1), D2219))"),"RGWD")</f>
        <v>RGWD</v>
      </c>
      <c r="E2220" s="2" t="str">
        <f>IFERROR(__xludf.DUMMYFUNCTION("IF('From Order'!$A2220=COLUMNS($A2220:E2239), LEFT(INDEX(FILTER(E$1:E2219, E$1:E2219&lt;&gt;""""),COUNTA(FILTER(E$1:E2219, E$1:E2219&lt;&gt;""""))), LEN(INDEX(FILTER(E$1:E2219, E$1:E2219&lt;&gt;""""),COUNTA(FILTER(E$1:E2219, E$1:E2219&lt;&gt;""""))))-1), IF('To Order'!$A2220=COL"&amp;"UMNS($A2220:E2239), E2219&amp;RIGHT(INDIRECT(ADDRESS(ROW(E2220)-1, 'From Order'!$A2220)), 1), E2219))"),"FTWLLF")</f>
        <v>FTWLLF</v>
      </c>
      <c r="F2220" s="2" t="str">
        <f>IFERROR(__xludf.DUMMYFUNCTION("IF('From Order'!$A2220=COLUMNS($A2220:F2239), LEFT(INDEX(FILTER(F$1:F2219, F$1:F2219&lt;&gt;""""),COUNTA(FILTER(F$1:F2219, F$1:F2219&lt;&gt;""""))), LEN(INDEX(FILTER(F$1:F2219, F$1:F2219&lt;&gt;""""),COUNTA(FILTER(F$1:F2219, F$1:F2219&lt;&gt;""""))))-1), IF('To Order'!$A2220=COL"&amp;"UMNS($A2220:F2239), F2219&amp;RIGHT(INDIRECT(ADDRESS(ROW(F2220)-1, 'From Order'!$A2220)), 1), F2219))"),"CJQTTC")</f>
        <v>CJQTTC</v>
      </c>
      <c r="G2220" s="2" t="str">
        <f>IFERROR(__xludf.DUMMYFUNCTION("IF('From Order'!$A2220=COLUMNS($A2220:G2239), LEFT(INDEX(FILTER(G$1:G2219, G$1:G2219&lt;&gt;""""),COUNTA(FILTER(G$1:G2219, G$1:G2219&lt;&gt;""""))), LEN(INDEX(FILTER(G$1:G2219, G$1:G2219&lt;&gt;""""),COUNTA(FILTER(G$1:G2219, G$1:G2219&lt;&gt;""""))))-1), IF('To Order'!$A2220=COL"&amp;"UMNS($A2220:G2239), G2219&amp;RIGHT(INDIRECT(ADDRESS(ROW(G2220)-1, 'From Order'!$A2220)), 1), G2219))"),"RZS")</f>
        <v>RZS</v>
      </c>
      <c r="H2220" s="2" t="str">
        <f>IFERROR(__xludf.DUMMYFUNCTION("IF('From Order'!$A2220=COLUMNS($A2220:H2239), LEFT(INDEX(FILTER(H$1:H2219, H$1:H2219&lt;&gt;""""),COUNTA(FILTER(H$1:H2219, H$1:H2219&lt;&gt;""""))), LEN(INDEX(FILTER(H$1:H2219, H$1:H2219&lt;&gt;""""),COUNTA(FILTER(H$1:H2219, H$1:H2219&lt;&gt;""""))))-1), IF('To Order'!$A2220=COL"&amp;"UMNS($A2220:H2239), H2219&amp;RIGHT(INDIRECT(ADDRESS(ROW(H2220)-1, 'From Order'!$A2220)), 1), H2219))"),"")</f>
        <v/>
      </c>
      <c r="I2220" s="2" t="str">
        <f>IFERROR(__xludf.DUMMYFUNCTION("IF('From Order'!$A2220=COLUMNS($A2220:I2239), LEFT(INDEX(FILTER(I$1:I2219, I$1:I2219&lt;&gt;""""),COUNTA(FILTER(I$1:I2219, I$1:I2219&lt;&gt;""""))), LEN(INDEX(FILTER(I$1:I2219, I$1:I2219&lt;&gt;""""),COUNTA(FILTER(I$1:I2219, I$1:I2219&lt;&gt;""""))))-1), IF('To Order'!$A2220=COL"&amp;"UMNS($A2220:I2239), I2219&amp;RIGHT(INDIRECT(ADDRESS(ROW(I2220)-1, 'From Order'!$A2220)), 1), I2219))"),"DDDVQZDMTTGMJRRLPSSTMZHPRBVJBCB")</f>
        <v>DDDVQZDMTTGMJRRLPSSTMZHPRBVJBCB</v>
      </c>
    </row>
    <row r="2221">
      <c r="A2221" s="2" t="str">
        <f>IFERROR(__xludf.DUMMYFUNCTION("IF('From Order'!$A2221=COLUMNS($A2221:A2240), LEFT(INDEX(FILTER(A$1:A2220, A$1:A2220&lt;&gt;""""),COUNTA(FILTER(A$1:A2220, A$1:A2220&lt;&gt;""""))), LEN(INDEX(FILTER(A$1:A2220, A$1:A2220&lt;&gt;""""),COUNTA(FILTER(A$1:A2220, A$1:A2220&lt;&gt;""""))))-1), IF('To Order'!$A2221=COL"&amp;"UMNS($A2221:A2240), A2220&amp;RIGHT(INDIRECT(ADDRESS(ROW(A2221)-1, 'From Order'!$A2221)), 1), A2220))"),"DSP")</f>
        <v>DSP</v>
      </c>
      <c r="B2221" s="2" t="str">
        <f>IFERROR(__xludf.DUMMYFUNCTION("IF('From Order'!$A2221=COLUMNS($A2221:B2240), LEFT(INDEX(FILTER(B$1:B2220, B$1:B2220&lt;&gt;""""),COUNTA(FILTER(B$1:B2220, B$1:B2220&lt;&gt;""""))), LEN(INDEX(FILTER(B$1:B2220, B$1:B2220&lt;&gt;""""),COUNTA(FILTER(B$1:B2220, B$1:B2220&lt;&gt;""""))))-1), IF('To Order'!$A2221=COL"&amp;"UMNS($A2221:B2240), B2220&amp;RIGHT(INDIRECT(ADDRESS(ROW(B2221)-1, 'From Order'!$A2221)), 1), B2220))"),"")</f>
        <v/>
      </c>
      <c r="C2221" s="2" t="str">
        <f>IFERROR(__xludf.DUMMYFUNCTION("IF('From Order'!$A2221=COLUMNS($A2221:C2240), LEFT(INDEX(FILTER(C$1:C2220, C$1:C2220&lt;&gt;""""),COUNTA(FILTER(C$1:C2220, C$1:C2220&lt;&gt;""""))), LEN(INDEX(FILTER(C$1:C2220, C$1:C2220&lt;&gt;""""),COUNTA(FILTER(C$1:C2220, C$1:C2220&lt;&gt;""""))))-1), IF('To Order'!$A2221=COL"&amp;"UMNS($A2221:C2240), C2220&amp;RIGHT(INDIRECT(ADDRESS(ROW(C2221)-1, 'From Order'!$A2221)), 1), C2220))"),"VBH")</f>
        <v>VBH</v>
      </c>
      <c r="D2221" s="2" t="str">
        <f>IFERROR(__xludf.DUMMYFUNCTION("IF('From Order'!$A2221=COLUMNS($A2221:D2240), LEFT(INDEX(FILTER(D$1:D2220, D$1:D2220&lt;&gt;""""),COUNTA(FILTER(D$1:D2220, D$1:D2220&lt;&gt;""""))), LEN(INDEX(FILTER(D$1:D2220, D$1:D2220&lt;&gt;""""),COUNTA(FILTER(D$1:D2220, D$1:D2220&lt;&gt;""""))))-1), IF('To Order'!$A2221=COL"&amp;"UMNS($A2221:D2240), D2220&amp;RIGHT(INDIRECT(ADDRESS(ROW(D2221)-1, 'From Order'!$A2221)), 1), D2220))"),"RGWD")</f>
        <v>RGWD</v>
      </c>
      <c r="E2221" s="2" t="str">
        <f>IFERROR(__xludf.DUMMYFUNCTION("IF('From Order'!$A2221=COLUMNS($A2221:E2240), LEFT(INDEX(FILTER(E$1:E2220, E$1:E2220&lt;&gt;""""),COUNTA(FILTER(E$1:E2220, E$1:E2220&lt;&gt;""""))), LEN(INDEX(FILTER(E$1:E2220, E$1:E2220&lt;&gt;""""),COUNTA(FILTER(E$1:E2220, E$1:E2220&lt;&gt;""""))))-1), IF('To Order'!$A2221=COL"&amp;"UMNS($A2221:E2240), E2220&amp;RIGHT(INDIRECT(ADDRESS(ROW(E2221)-1, 'From Order'!$A2221)), 1), E2220))"),"FTWLL")</f>
        <v>FTWLL</v>
      </c>
      <c r="F2221" s="2" t="str">
        <f>IFERROR(__xludf.DUMMYFUNCTION("IF('From Order'!$A2221=COLUMNS($A2221:F2240), LEFT(INDEX(FILTER(F$1:F2220, F$1:F2220&lt;&gt;""""),COUNTA(FILTER(F$1:F2220, F$1:F2220&lt;&gt;""""))), LEN(INDEX(FILTER(F$1:F2220, F$1:F2220&lt;&gt;""""),COUNTA(FILTER(F$1:F2220, F$1:F2220&lt;&gt;""""))))-1), IF('To Order'!$A2221=COL"&amp;"UMNS($A2221:F2240), F2220&amp;RIGHT(INDIRECT(ADDRESS(ROW(F2221)-1, 'From Order'!$A2221)), 1), F2220))"),"CJQTTC")</f>
        <v>CJQTTC</v>
      </c>
      <c r="G2221" s="2" t="str">
        <f>IFERROR(__xludf.DUMMYFUNCTION("IF('From Order'!$A2221=COLUMNS($A2221:G2240), LEFT(INDEX(FILTER(G$1:G2220, G$1:G2220&lt;&gt;""""),COUNTA(FILTER(G$1:G2220, G$1:G2220&lt;&gt;""""))), LEN(INDEX(FILTER(G$1:G2220, G$1:G2220&lt;&gt;""""),COUNTA(FILTER(G$1:G2220, G$1:G2220&lt;&gt;""""))))-1), IF('To Order'!$A2221=COL"&amp;"UMNS($A2221:G2240), G2220&amp;RIGHT(INDIRECT(ADDRESS(ROW(G2221)-1, 'From Order'!$A2221)), 1), G2220))"),"RZS")</f>
        <v>RZS</v>
      </c>
      <c r="H2221" s="2" t="str">
        <f>IFERROR(__xludf.DUMMYFUNCTION("IF('From Order'!$A2221=COLUMNS($A2221:H2240), LEFT(INDEX(FILTER(H$1:H2220, H$1:H2220&lt;&gt;""""),COUNTA(FILTER(H$1:H2220, H$1:H2220&lt;&gt;""""))), LEN(INDEX(FILTER(H$1:H2220, H$1:H2220&lt;&gt;""""),COUNTA(FILTER(H$1:H2220, H$1:H2220&lt;&gt;""""))))-1), IF('To Order'!$A2221=COL"&amp;"UMNS($A2221:H2240), H2220&amp;RIGHT(INDIRECT(ADDRESS(ROW(H2221)-1, 'From Order'!$A2221)), 1), H2220))"),"")</f>
        <v/>
      </c>
      <c r="I2221" s="2" t="str">
        <f>IFERROR(__xludf.DUMMYFUNCTION("IF('From Order'!$A2221=COLUMNS($A2221:I2240), LEFT(INDEX(FILTER(I$1:I2220, I$1:I2220&lt;&gt;""""),COUNTA(FILTER(I$1:I2220, I$1:I2220&lt;&gt;""""))), LEN(INDEX(FILTER(I$1:I2220, I$1:I2220&lt;&gt;""""),COUNTA(FILTER(I$1:I2220, I$1:I2220&lt;&gt;""""))))-1), IF('To Order'!$A2221=COL"&amp;"UMNS($A2221:I2240), I2220&amp;RIGHT(INDIRECT(ADDRESS(ROW(I2221)-1, 'From Order'!$A2221)), 1), I2220))"),"DDDVQZDMTTGMJRRLPSSTMZHPRBVJBCBF")</f>
        <v>DDDVQZDMTTGMJRRLPSSTMZHPRBVJBCBF</v>
      </c>
    </row>
    <row r="2222">
      <c r="A2222" s="2" t="str">
        <f>IFERROR(__xludf.DUMMYFUNCTION("IF('From Order'!$A2222=COLUMNS($A2222:A2241), LEFT(INDEX(FILTER(A$1:A2221, A$1:A2221&lt;&gt;""""),COUNTA(FILTER(A$1:A2221, A$1:A2221&lt;&gt;""""))), LEN(INDEX(FILTER(A$1:A2221, A$1:A2221&lt;&gt;""""),COUNTA(FILTER(A$1:A2221, A$1:A2221&lt;&gt;""""))))-1), IF('To Order'!$A2222=COL"&amp;"UMNS($A2222:A2241), A2221&amp;RIGHT(INDIRECT(ADDRESS(ROW(A2222)-1, 'From Order'!$A2222)), 1), A2221))"),"DSP")</f>
        <v>DSP</v>
      </c>
      <c r="B2222" s="2" t="str">
        <f>IFERROR(__xludf.DUMMYFUNCTION("IF('From Order'!$A2222=COLUMNS($A2222:B2241), LEFT(INDEX(FILTER(B$1:B2221, B$1:B2221&lt;&gt;""""),COUNTA(FILTER(B$1:B2221, B$1:B2221&lt;&gt;""""))), LEN(INDEX(FILTER(B$1:B2221, B$1:B2221&lt;&gt;""""),COUNTA(FILTER(B$1:B2221, B$1:B2221&lt;&gt;""""))))-1), IF('To Order'!$A2222=COL"&amp;"UMNS($A2222:B2241), B2221&amp;RIGHT(INDIRECT(ADDRESS(ROW(B2222)-1, 'From Order'!$A2222)), 1), B2221))"),"")</f>
        <v/>
      </c>
      <c r="C2222" s="2" t="str">
        <f>IFERROR(__xludf.DUMMYFUNCTION("IF('From Order'!$A2222=COLUMNS($A2222:C2241), LEFT(INDEX(FILTER(C$1:C2221, C$1:C2221&lt;&gt;""""),COUNTA(FILTER(C$1:C2221, C$1:C2221&lt;&gt;""""))), LEN(INDEX(FILTER(C$1:C2221, C$1:C2221&lt;&gt;""""),COUNTA(FILTER(C$1:C2221, C$1:C2221&lt;&gt;""""))))-1), IF('To Order'!$A2222=COL"&amp;"UMNS($A2222:C2241), C2221&amp;RIGHT(INDIRECT(ADDRESS(ROW(C2222)-1, 'From Order'!$A2222)), 1), C2221))"),"VBH")</f>
        <v>VBH</v>
      </c>
      <c r="D2222" s="2" t="str">
        <f>IFERROR(__xludf.DUMMYFUNCTION("IF('From Order'!$A2222=COLUMNS($A2222:D2241), LEFT(INDEX(FILTER(D$1:D2221, D$1:D2221&lt;&gt;""""),COUNTA(FILTER(D$1:D2221, D$1:D2221&lt;&gt;""""))), LEN(INDEX(FILTER(D$1:D2221, D$1:D2221&lt;&gt;""""),COUNTA(FILTER(D$1:D2221, D$1:D2221&lt;&gt;""""))))-1), IF('To Order'!$A2222=COL"&amp;"UMNS($A2222:D2241), D2221&amp;RIGHT(INDIRECT(ADDRESS(ROW(D2222)-1, 'From Order'!$A2222)), 1), D2221))"),"RGWD")</f>
        <v>RGWD</v>
      </c>
      <c r="E2222" s="2" t="str">
        <f>IFERROR(__xludf.DUMMYFUNCTION("IF('From Order'!$A2222=COLUMNS($A2222:E2241), LEFT(INDEX(FILTER(E$1:E2221, E$1:E2221&lt;&gt;""""),COUNTA(FILTER(E$1:E2221, E$1:E2221&lt;&gt;""""))), LEN(INDEX(FILTER(E$1:E2221, E$1:E2221&lt;&gt;""""),COUNTA(FILTER(E$1:E2221, E$1:E2221&lt;&gt;""""))))-1), IF('To Order'!$A2222=COL"&amp;"UMNS($A2222:E2241), E2221&amp;RIGHT(INDIRECT(ADDRESS(ROW(E2222)-1, 'From Order'!$A2222)), 1), E2221))"),"FTWL")</f>
        <v>FTWL</v>
      </c>
      <c r="F2222" s="2" t="str">
        <f>IFERROR(__xludf.DUMMYFUNCTION("IF('From Order'!$A2222=COLUMNS($A2222:F2241), LEFT(INDEX(FILTER(F$1:F2221, F$1:F2221&lt;&gt;""""),COUNTA(FILTER(F$1:F2221, F$1:F2221&lt;&gt;""""))), LEN(INDEX(FILTER(F$1:F2221, F$1:F2221&lt;&gt;""""),COUNTA(FILTER(F$1:F2221, F$1:F2221&lt;&gt;""""))))-1), IF('To Order'!$A2222=COL"&amp;"UMNS($A2222:F2241), F2221&amp;RIGHT(INDIRECT(ADDRESS(ROW(F2222)-1, 'From Order'!$A2222)), 1), F2221))"),"CJQTTC")</f>
        <v>CJQTTC</v>
      </c>
      <c r="G2222" s="2" t="str">
        <f>IFERROR(__xludf.DUMMYFUNCTION("IF('From Order'!$A2222=COLUMNS($A2222:G2241), LEFT(INDEX(FILTER(G$1:G2221, G$1:G2221&lt;&gt;""""),COUNTA(FILTER(G$1:G2221, G$1:G2221&lt;&gt;""""))), LEN(INDEX(FILTER(G$1:G2221, G$1:G2221&lt;&gt;""""),COUNTA(FILTER(G$1:G2221, G$1:G2221&lt;&gt;""""))))-1), IF('To Order'!$A2222=COL"&amp;"UMNS($A2222:G2241), G2221&amp;RIGHT(INDIRECT(ADDRESS(ROW(G2222)-1, 'From Order'!$A2222)), 1), G2221))"),"RZS")</f>
        <v>RZS</v>
      </c>
      <c r="H2222" s="2" t="str">
        <f>IFERROR(__xludf.DUMMYFUNCTION("IF('From Order'!$A2222=COLUMNS($A2222:H2241), LEFT(INDEX(FILTER(H$1:H2221, H$1:H2221&lt;&gt;""""),COUNTA(FILTER(H$1:H2221, H$1:H2221&lt;&gt;""""))), LEN(INDEX(FILTER(H$1:H2221, H$1:H2221&lt;&gt;""""),COUNTA(FILTER(H$1:H2221, H$1:H2221&lt;&gt;""""))))-1), IF('To Order'!$A2222=COL"&amp;"UMNS($A2222:H2241), H2221&amp;RIGHT(INDIRECT(ADDRESS(ROW(H2222)-1, 'From Order'!$A2222)), 1), H2221))"),"")</f>
        <v/>
      </c>
      <c r="I2222" s="2" t="str">
        <f>IFERROR(__xludf.DUMMYFUNCTION("IF('From Order'!$A2222=COLUMNS($A2222:I2241), LEFT(INDEX(FILTER(I$1:I2221, I$1:I2221&lt;&gt;""""),COUNTA(FILTER(I$1:I2221, I$1:I2221&lt;&gt;""""))), LEN(INDEX(FILTER(I$1:I2221, I$1:I2221&lt;&gt;""""),COUNTA(FILTER(I$1:I2221, I$1:I2221&lt;&gt;""""))))-1), IF('To Order'!$A2222=COL"&amp;"UMNS($A2222:I2241), I2221&amp;RIGHT(INDIRECT(ADDRESS(ROW(I2222)-1, 'From Order'!$A2222)), 1), I2221))"),"DDDVQZDMTTGMJRRLPSSTMZHPRBVJBCBFL")</f>
        <v>DDDVQZDMTTGMJRRLPSSTMZHPRBVJBCBFL</v>
      </c>
    </row>
    <row r="2223">
      <c r="A2223" s="2" t="str">
        <f>IFERROR(__xludf.DUMMYFUNCTION("IF('From Order'!$A2223=COLUMNS($A2223:A2242), LEFT(INDEX(FILTER(A$1:A2222, A$1:A2222&lt;&gt;""""),COUNTA(FILTER(A$1:A2222, A$1:A2222&lt;&gt;""""))), LEN(INDEX(FILTER(A$1:A2222, A$1:A2222&lt;&gt;""""),COUNTA(FILTER(A$1:A2222, A$1:A2222&lt;&gt;""""))))-1), IF('To Order'!$A2223=COL"&amp;"UMNS($A2223:A2242), A2222&amp;RIGHT(INDIRECT(ADDRESS(ROW(A2223)-1, 'From Order'!$A2223)), 1), A2222))"),"DSP")</f>
        <v>DSP</v>
      </c>
      <c r="B2223" s="2" t="str">
        <f>IFERROR(__xludf.DUMMYFUNCTION("IF('From Order'!$A2223=COLUMNS($A2223:B2242), LEFT(INDEX(FILTER(B$1:B2222, B$1:B2222&lt;&gt;""""),COUNTA(FILTER(B$1:B2222, B$1:B2222&lt;&gt;""""))), LEN(INDEX(FILTER(B$1:B2222, B$1:B2222&lt;&gt;""""),COUNTA(FILTER(B$1:B2222, B$1:B2222&lt;&gt;""""))))-1), IF('To Order'!$A2223=COL"&amp;"UMNS($A2223:B2242), B2222&amp;RIGHT(INDIRECT(ADDRESS(ROW(B2223)-1, 'From Order'!$A2223)), 1), B2222))"),"")</f>
        <v/>
      </c>
      <c r="C2223" s="2" t="str">
        <f>IFERROR(__xludf.DUMMYFUNCTION("IF('From Order'!$A2223=COLUMNS($A2223:C2242), LEFT(INDEX(FILTER(C$1:C2222, C$1:C2222&lt;&gt;""""),COUNTA(FILTER(C$1:C2222, C$1:C2222&lt;&gt;""""))), LEN(INDEX(FILTER(C$1:C2222, C$1:C2222&lt;&gt;""""),COUNTA(FILTER(C$1:C2222, C$1:C2222&lt;&gt;""""))))-1), IF('To Order'!$A2223=COL"&amp;"UMNS($A2223:C2242), C2222&amp;RIGHT(INDIRECT(ADDRESS(ROW(C2223)-1, 'From Order'!$A2223)), 1), C2222))"),"VBH")</f>
        <v>VBH</v>
      </c>
      <c r="D2223" s="2" t="str">
        <f>IFERROR(__xludf.DUMMYFUNCTION("IF('From Order'!$A2223=COLUMNS($A2223:D2242), LEFT(INDEX(FILTER(D$1:D2222, D$1:D2222&lt;&gt;""""),COUNTA(FILTER(D$1:D2222, D$1:D2222&lt;&gt;""""))), LEN(INDEX(FILTER(D$1:D2222, D$1:D2222&lt;&gt;""""),COUNTA(FILTER(D$1:D2222, D$1:D2222&lt;&gt;""""))))-1), IF('To Order'!$A2223=COL"&amp;"UMNS($A2223:D2242), D2222&amp;RIGHT(INDIRECT(ADDRESS(ROW(D2223)-1, 'From Order'!$A2223)), 1), D2222))"),"RGWD")</f>
        <v>RGWD</v>
      </c>
      <c r="E2223" s="2" t="str">
        <f>IFERROR(__xludf.DUMMYFUNCTION("IF('From Order'!$A2223=COLUMNS($A2223:E2242), LEFT(INDEX(FILTER(E$1:E2222, E$1:E2222&lt;&gt;""""),COUNTA(FILTER(E$1:E2222, E$1:E2222&lt;&gt;""""))), LEN(INDEX(FILTER(E$1:E2222, E$1:E2222&lt;&gt;""""),COUNTA(FILTER(E$1:E2222, E$1:E2222&lt;&gt;""""))))-1), IF('To Order'!$A2223=COL"&amp;"UMNS($A2223:E2242), E2222&amp;RIGHT(INDIRECT(ADDRESS(ROW(E2223)-1, 'From Order'!$A2223)), 1), E2222))"),"FTW")</f>
        <v>FTW</v>
      </c>
      <c r="F2223" s="2" t="str">
        <f>IFERROR(__xludf.DUMMYFUNCTION("IF('From Order'!$A2223=COLUMNS($A2223:F2242), LEFT(INDEX(FILTER(F$1:F2222, F$1:F2222&lt;&gt;""""),COUNTA(FILTER(F$1:F2222, F$1:F2222&lt;&gt;""""))), LEN(INDEX(FILTER(F$1:F2222, F$1:F2222&lt;&gt;""""),COUNTA(FILTER(F$1:F2222, F$1:F2222&lt;&gt;""""))))-1), IF('To Order'!$A2223=COL"&amp;"UMNS($A2223:F2242), F2222&amp;RIGHT(INDIRECT(ADDRESS(ROW(F2223)-1, 'From Order'!$A2223)), 1), F2222))"),"CJQTTC")</f>
        <v>CJQTTC</v>
      </c>
      <c r="G2223" s="2" t="str">
        <f>IFERROR(__xludf.DUMMYFUNCTION("IF('From Order'!$A2223=COLUMNS($A2223:G2242), LEFT(INDEX(FILTER(G$1:G2222, G$1:G2222&lt;&gt;""""),COUNTA(FILTER(G$1:G2222, G$1:G2222&lt;&gt;""""))), LEN(INDEX(FILTER(G$1:G2222, G$1:G2222&lt;&gt;""""),COUNTA(FILTER(G$1:G2222, G$1:G2222&lt;&gt;""""))))-1), IF('To Order'!$A2223=COL"&amp;"UMNS($A2223:G2242), G2222&amp;RIGHT(INDIRECT(ADDRESS(ROW(G2223)-1, 'From Order'!$A2223)), 1), G2222))"),"RZS")</f>
        <v>RZS</v>
      </c>
      <c r="H2223" s="2" t="str">
        <f>IFERROR(__xludf.DUMMYFUNCTION("IF('From Order'!$A2223=COLUMNS($A2223:H2242), LEFT(INDEX(FILTER(H$1:H2222, H$1:H2222&lt;&gt;""""),COUNTA(FILTER(H$1:H2222, H$1:H2222&lt;&gt;""""))), LEN(INDEX(FILTER(H$1:H2222, H$1:H2222&lt;&gt;""""),COUNTA(FILTER(H$1:H2222, H$1:H2222&lt;&gt;""""))))-1), IF('To Order'!$A2223=COL"&amp;"UMNS($A2223:H2242), H2222&amp;RIGHT(INDIRECT(ADDRESS(ROW(H2223)-1, 'From Order'!$A2223)), 1), H2222))"),"")</f>
        <v/>
      </c>
      <c r="I2223" s="2" t="str">
        <f>IFERROR(__xludf.DUMMYFUNCTION("IF('From Order'!$A2223=COLUMNS($A2223:I2242), LEFT(INDEX(FILTER(I$1:I2222, I$1:I2222&lt;&gt;""""),COUNTA(FILTER(I$1:I2222, I$1:I2222&lt;&gt;""""))), LEN(INDEX(FILTER(I$1:I2222, I$1:I2222&lt;&gt;""""),COUNTA(FILTER(I$1:I2222, I$1:I2222&lt;&gt;""""))))-1), IF('To Order'!$A2223=COL"&amp;"UMNS($A2223:I2242), I2222&amp;RIGHT(INDIRECT(ADDRESS(ROW(I2223)-1, 'From Order'!$A2223)), 1), I2222))"),"DDDVQZDMTTGMJRRLPSSTMZHPRBVJBCBFLL")</f>
        <v>DDDVQZDMTTGMJRRLPSSTMZHPRBVJBCBFLL</v>
      </c>
    </row>
    <row r="2224">
      <c r="A2224" s="2" t="str">
        <f>IFERROR(__xludf.DUMMYFUNCTION("IF('From Order'!$A2224=COLUMNS($A2224:A2243), LEFT(INDEX(FILTER(A$1:A2223, A$1:A2223&lt;&gt;""""),COUNTA(FILTER(A$1:A2223, A$1:A2223&lt;&gt;""""))), LEN(INDEX(FILTER(A$1:A2223, A$1:A2223&lt;&gt;""""),COUNTA(FILTER(A$1:A2223, A$1:A2223&lt;&gt;""""))))-1), IF('To Order'!$A2224=COL"&amp;"UMNS($A2224:A2243), A2223&amp;RIGHT(INDIRECT(ADDRESS(ROW(A2224)-1, 'From Order'!$A2224)), 1), A2223))"),"DSP")</f>
        <v>DSP</v>
      </c>
      <c r="B2224" s="2" t="str">
        <f>IFERROR(__xludf.DUMMYFUNCTION("IF('From Order'!$A2224=COLUMNS($A2224:B2243), LEFT(INDEX(FILTER(B$1:B2223, B$1:B2223&lt;&gt;""""),COUNTA(FILTER(B$1:B2223, B$1:B2223&lt;&gt;""""))), LEN(INDEX(FILTER(B$1:B2223, B$1:B2223&lt;&gt;""""),COUNTA(FILTER(B$1:B2223, B$1:B2223&lt;&gt;""""))))-1), IF('To Order'!$A2224=COL"&amp;"UMNS($A2224:B2243), B2223&amp;RIGHT(INDIRECT(ADDRESS(ROW(B2224)-1, 'From Order'!$A2224)), 1), B2223))"),"")</f>
        <v/>
      </c>
      <c r="C2224" s="2" t="str">
        <f>IFERROR(__xludf.DUMMYFUNCTION("IF('From Order'!$A2224=COLUMNS($A2224:C2243), LEFT(INDEX(FILTER(C$1:C2223, C$1:C2223&lt;&gt;""""),COUNTA(FILTER(C$1:C2223, C$1:C2223&lt;&gt;""""))), LEN(INDEX(FILTER(C$1:C2223, C$1:C2223&lt;&gt;""""),COUNTA(FILTER(C$1:C2223, C$1:C2223&lt;&gt;""""))))-1), IF('To Order'!$A2224=COL"&amp;"UMNS($A2224:C2243), C2223&amp;RIGHT(INDIRECT(ADDRESS(ROW(C2224)-1, 'From Order'!$A2224)), 1), C2223))"),"VBH")</f>
        <v>VBH</v>
      </c>
      <c r="D2224" s="2" t="str">
        <f>IFERROR(__xludf.DUMMYFUNCTION("IF('From Order'!$A2224=COLUMNS($A2224:D2243), LEFT(INDEX(FILTER(D$1:D2223, D$1:D2223&lt;&gt;""""),COUNTA(FILTER(D$1:D2223, D$1:D2223&lt;&gt;""""))), LEN(INDEX(FILTER(D$1:D2223, D$1:D2223&lt;&gt;""""),COUNTA(FILTER(D$1:D2223, D$1:D2223&lt;&gt;""""))))-1), IF('To Order'!$A2224=COL"&amp;"UMNS($A2224:D2243), D2223&amp;RIGHT(INDIRECT(ADDRESS(ROW(D2224)-1, 'From Order'!$A2224)), 1), D2223))"),"RGWD")</f>
        <v>RGWD</v>
      </c>
      <c r="E2224" s="2" t="str">
        <f>IFERROR(__xludf.DUMMYFUNCTION("IF('From Order'!$A2224=COLUMNS($A2224:E2243), LEFT(INDEX(FILTER(E$1:E2223, E$1:E2223&lt;&gt;""""),COUNTA(FILTER(E$1:E2223, E$1:E2223&lt;&gt;""""))), LEN(INDEX(FILTER(E$1:E2223, E$1:E2223&lt;&gt;""""),COUNTA(FILTER(E$1:E2223, E$1:E2223&lt;&gt;""""))))-1), IF('To Order'!$A2224=COL"&amp;"UMNS($A2224:E2243), E2223&amp;RIGHT(INDIRECT(ADDRESS(ROW(E2224)-1, 'From Order'!$A2224)), 1), E2223))"),"FT")</f>
        <v>FT</v>
      </c>
      <c r="F2224" s="2" t="str">
        <f>IFERROR(__xludf.DUMMYFUNCTION("IF('From Order'!$A2224=COLUMNS($A2224:F2243), LEFT(INDEX(FILTER(F$1:F2223, F$1:F2223&lt;&gt;""""),COUNTA(FILTER(F$1:F2223, F$1:F2223&lt;&gt;""""))), LEN(INDEX(FILTER(F$1:F2223, F$1:F2223&lt;&gt;""""),COUNTA(FILTER(F$1:F2223, F$1:F2223&lt;&gt;""""))))-1), IF('To Order'!$A2224=COL"&amp;"UMNS($A2224:F2243), F2223&amp;RIGHT(INDIRECT(ADDRESS(ROW(F2224)-1, 'From Order'!$A2224)), 1), F2223))"),"CJQTTC")</f>
        <v>CJQTTC</v>
      </c>
      <c r="G2224" s="2" t="str">
        <f>IFERROR(__xludf.DUMMYFUNCTION("IF('From Order'!$A2224=COLUMNS($A2224:G2243), LEFT(INDEX(FILTER(G$1:G2223, G$1:G2223&lt;&gt;""""),COUNTA(FILTER(G$1:G2223, G$1:G2223&lt;&gt;""""))), LEN(INDEX(FILTER(G$1:G2223, G$1:G2223&lt;&gt;""""),COUNTA(FILTER(G$1:G2223, G$1:G2223&lt;&gt;""""))))-1), IF('To Order'!$A2224=COL"&amp;"UMNS($A2224:G2243), G2223&amp;RIGHT(INDIRECT(ADDRESS(ROW(G2224)-1, 'From Order'!$A2224)), 1), G2223))"),"RZS")</f>
        <v>RZS</v>
      </c>
      <c r="H2224" s="2" t="str">
        <f>IFERROR(__xludf.DUMMYFUNCTION("IF('From Order'!$A2224=COLUMNS($A2224:H2243), LEFT(INDEX(FILTER(H$1:H2223, H$1:H2223&lt;&gt;""""),COUNTA(FILTER(H$1:H2223, H$1:H2223&lt;&gt;""""))), LEN(INDEX(FILTER(H$1:H2223, H$1:H2223&lt;&gt;""""),COUNTA(FILTER(H$1:H2223, H$1:H2223&lt;&gt;""""))))-1), IF('To Order'!$A2224=COL"&amp;"UMNS($A2224:H2243), H2223&amp;RIGHT(INDIRECT(ADDRESS(ROW(H2224)-1, 'From Order'!$A2224)), 1), H2223))"),"")</f>
        <v/>
      </c>
      <c r="I2224" s="2" t="str">
        <f>IFERROR(__xludf.DUMMYFUNCTION("IF('From Order'!$A2224=COLUMNS($A2224:I2243), LEFT(INDEX(FILTER(I$1:I2223, I$1:I2223&lt;&gt;""""),COUNTA(FILTER(I$1:I2223, I$1:I2223&lt;&gt;""""))), LEN(INDEX(FILTER(I$1:I2223, I$1:I2223&lt;&gt;""""),COUNTA(FILTER(I$1:I2223, I$1:I2223&lt;&gt;""""))))-1), IF('To Order'!$A2224=COL"&amp;"UMNS($A2224:I2243), I2223&amp;RIGHT(INDIRECT(ADDRESS(ROW(I2224)-1, 'From Order'!$A2224)), 1), I2223))"),"DDDVQZDMTTGMJRRLPSSTMZHPRBVJBCBFLLW")</f>
        <v>DDDVQZDMTTGMJRRLPSSTMZHPRBVJBCBFLLW</v>
      </c>
    </row>
    <row r="2225">
      <c r="A2225" s="2" t="str">
        <f>IFERROR(__xludf.DUMMYFUNCTION("IF('From Order'!$A2225=COLUMNS($A2225:A2244), LEFT(INDEX(FILTER(A$1:A2224, A$1:A2224&lt;&gt;""""),COUNTA(FILTER(A$1:A2224, A$1:A2224&lt;&gt;""""))), LEN(INDEX(FILTER(A$1:A2224, A$1:A2224&lt;&gt;""""),COUNTA(FILTER(A$1:A2224, A$1:A2224&lt;&gt;""""))))-1), IF('To Order'!$A2225=COL"&amp;"UMNS($A2225:A2244), A2224&amp;RIGHT(INDIRECT(ADDRESS(ROW(A2225)-1, 'From Order'!$A2225)), 1), A2224))"),"DSP")</f>
        <v>DSP</v>
      </c>
      <c r="B2225" s="2" t="str">
        <f>IFERROR(__xludf.DUMMYFUNCTION("IF('From Order'!$A2225=COLUMNS($A2225:B2244), LEFT(INDEX(FILTER(B$1:B2224, B$1:B2224&lt;&gt;""""),COUNTA(FILTER(B$1:B2224, B$1:B2224&lt;&gt;""""))), LEN(INDEX(FILTER(B$1:B2224, B$1:B2224&lt;&gt;""""),COUNTA(FILTER(B$1:B2224, B$1:B2224&lt;&gt;""""))))-1), IF('To Order'!$A2225=COL"&amp;"UMNS($A2225:B2244), B2224&amp;RIGHT(INDIRECT(ADDRESS(ROW(B2225)-1, 'From Order'!$A2225)), 1), B2224))"),"")</f>
        <v/>
      </c>
      <c r="C2225" s="2" t="str">
        <f>IFERROR(__xludf.DUMMYFUNCTION("IF('From Order'!$A2225=COLUMNS($A2225:C2244), LEFT(INDEX(FILTER(C$1:C2224, C$1:C2224&lt;&gt;""""),COUNTA(FILTER(C$1:C2224, C$1:C2224&lt;&gt;""""))), LEN(INDEX(FILTER(C$1:C2224, C$1:C2224&lt;&gt;""""),COUNTA(FILTER(C$1:C2224, C$1:C2224&lt;&gt;""""))))-1), IF('To Order'!$A2225=COL"&amp;"UMNS($A2225:C2244), C2224&amp;RIGHT(INDIRECT(ADDRESS(ROW(C2225)-1, 'From Order'!$A2225)), 1), C2224))"),"VBH")</f>
        <v>VBH</v>
      </c>
      <c r="D2225" s="2" t="str">
        <f>IFERROR(__xludf.DUMMYFUNCTION("IF('From Order'!$A2225=COLUMNS($A2225:D2244), LEFT(INDEX(FILTER(D$1:D2224, D$1:D2224&lt;&gt;""""),COUNTA(FILTER(D$1:D2224, D$1:D2224&lt;&gt;""""))), LEN(INDEX(FILTER(D$1:D2224, D$1:D2224&lt;&gt;""""),COUNTA(FILTER(D$1:D2224, D$1:D2224&lt;&gt;""""))))-1), IF('To Order'!$A2225=COL"&amp;"UMNS($A2225:D2244), D2224&amp;RIGHT(INDIRECT(ADDRESS(ROW(D2225)-1, 'From Order'!$A2225)), 1), D2224))"),"RGWD")</f>
        <v>RGWD</v>
      </c>
      <c r="E2225" s="2" t="str">
        <f>IFERROR(__xludf.DUMMYFUNCTION("IF('From Order'!$A2225=COLUMNS($A2225:E2244), LEFT(INDEX(FILTER(E$1:E2224, E$1:E2224&lt;&gt;""""),COUNTA(FILTER(E$1:E2224, E$1:E2224&lt;&gt;""""))), LEN(INDEX(FILTER(E$1:E2224, E$1:E2224&lt;&gt;""""),COUNTA(FILTER(E$1:E2224, E$1:E2224&lt;&gt;""""))))-1), IF('To Order'!$A2225=COL"&amp;"UMNS($A2225:E2244), E2224&amp;RIGHT(INDIRECT(ADDRESS(ROW(E2225)-1, 'From Order'!$A2225)), 1), E2224))"),"F")</f>
        <v>F</v>
      </c>
      <c r="F2225" s="2" t="str">
        <f>IFERROR(__xludf.DUMMYFUNCTION("IF('From Order'!$A2225=COLUMNS($A2225:F2244), LEFT(INDEX(FILTER(F$1:F2224, F$1:F2224&lt;&gt;""""),COUNTA(FILTER(F$1:F2224, F$1:F2224&lt;&gt;""""))), LEN(INDEX(FILTER(F$1:F2224, F$1:F2224&lt;&gt;""""),COUNTA(FILTER(F$1:F2224, F$1:F2224&lt;&gt;""""))))-1), IF('To Order'!$A2225=COL"&amp;"UMNS($A2225:F2244), F2224&amp;RIGHT(INDIRECT(ADDRESS(ROW(F2225)-1, 'From Order'!$A2225)), 1), F2224))"),"CJQTTC")</f>
        <v>CJQTTC</v>
      </c>
      <c r="G2225" s="2" t="str">
        <f>IFERROR(__xludf.DUMMYFUNCTION("IF('From Order'!$A2225=COLUMNS($A2225:G2244), LEFT(INDEX(FILTER(G$1:G2224, G$1:G2224&lt;&gt;""""),COUNTA(FILTER(G$1:G2224, G$1:G2224&lt;&gt;""""))), LEN(INDEX(FILTER(G$1:G2224, G$1:G2224&lt;&gt;""""),COUNTA(FILTER(G$1:G2224, G$1:G2224&lt;&gt;""""))))-1), IF('To Order'!$A2225=COL"&amp;"UMNS($A2225:G2244), G2224&amp;RIGHT(INDIRECT(ADDRESS(ROW(G2225)-1, 'From Order'!$A2225)), 1), G2224))"),"RZS")</f>
        <v>RZS</v>
      </c>
      <c r="H2225" s="2" t="str">
        <f>IFERROR(__xludf.DUMMYFUNCTION("IF('From Order'!$A2225=COLUMNS($A2225:H2244), LEFT(INDEX(FILTER(H$1:H2224, H$1:H2224&lt;&gt;""""),COUNTA(FILTER(H$1:H2224, H$1:H2224&lt;&gt;""""))), LEN(INDEX(FILTER(H$1:H2224, H$1:H2224&lt;&gt;""""),COUNTA(FILTER(H$1:H2224, H$1:H2224&lt;&gt;""""))))-1), IF('To Order'!$A2225=COL"&amp;"UMNS($A2225:H2244), H2224&amp;RIGHT(INDIRECT(ADDRESS(ROW(H2225)-1, 'From Order'!$A2225)), 1), H2224))"),"")</f>
        <v/>
      </c>
      <c r="I2225" s="2" t="str">
        <f>IFERROR(__xludf.DUMMYFUNCTION("IF('From Order'!$A2225=COLUMNS($A2225:I2244), LEFT(INDEX(FILTER(I$1:I2224, I$1:I2224&lt;&gt;""""),COUNTA(FILTER(I$1:I2224, I$1:I2224&lt;&gt;""""))), LEN(INDEX(FILTER(I$1:I2224, I$1:I2224&lt;&gt;""""),COUNTA(FILTER(I$1:I2224, I$1:I2224&lt;&gt;""""))))-1), IF('To Order'!$A2225=COL"&amp;"UMNS($A2225:I2244), I2224&amp;RIGHT(INDIRECT(ADDRESS(ROW(I2225)-1, 'From Order'!$A2225)), 1), I2224))"),"DDDVQZDMTTGMJRRLPSSTMZHPRBVJBCBFLLWT")</f>
        <v>DDDVQZDMTTGMJRRLPSSTMZHPRBVJBCBFLLWT</v>
      </c>
    </row>
    <row r="2226">
      <c r="A2226" s="2" t="str">
        <f>IFERROR(__xludf.DUMMYFUNCTION("IF('From Order'!$A2226=COLUMNS($A2226:A2245), LEFT(INDEX(FILTER(A$1:A2225, A$1:A2225&lt;&gt;""""),COUNTA(FILTER(A$1:A2225, A$1:A2225&lt;&gt;""""))), LEN(INDEX(FILTER(A$1:A2225, A$1:A2225&lt;&gt;""""),COUNTA(FILTER(A$1:A2225, A$1:A2225&lt;&gt;""""))))-1), IF('To Order'!$A2226=COL"&amp;"UMNS($A2226:A2245), A2225&amp;RIGHT(INDIRECT(ADDRESS(ROW(A2226)-1, 'From Order'!$A2226)), 1), A2225))"),"DSP")</f>
        <v>DSP</v>
      </c>
      <c r="B2226" s="2" t="str">
        <f>IFERROR(__xludf.DUMMYFUNCTION("IF('From Order'!$A2226=COLUMNS($A2226:B2245), LEFT(INDEX(FILTER(B$1:B2225, B$1:B2225&lt;&gt;""""),COUNTA(FILTER(B$1:B2225, B$1:B2225&lt;&gt;""""))), LEN(INDEX(FILTER(B$1:B2225, B$1:B2225&lt;&gt;""""),COUNTA(FILTER(B$1:B2225, B$1:B2225&lt;&gt;""""))))-1), IF('To Order'!$A2226=COL"&amp;"UMNS($A2226:B2245), B2225&amp;RIGHT(INDIRECT(ADDRESS(ROW(B2226)-1, 'From Order'!$A2226)), 1), B2225))"),"")</f>
        <v/>
      </c>
      <c r="C2226" s="2" t="str">
        <f>IFERROR(__xludf.DUMMYFUNCTION("IF('From Order'!$A2226=COLUMNS($A2226:C2245), LEFT(INDEX(FILTER(C$1:C2225, C$1:C2225&lt;&gt;""""),COUNTA(FILTER(C$1:C2225, C$1:C2225&lt;&gt;""""))), LEN(INDEX(FILTER(C$1:C2225, C$1:C2225&lt;&gt;""""),COUNTA(FILTER(C$1:C2225, C$1:C2225&lt;&gt;""""))))-1), IF('To Order'!$A2226=COL"&amp;"UMNS($A2226:C2245), C2225&amp;RIGHT(INDIRECT(ADDRESS(ROW(C2226)-1, 'From Order'!$A2226)), 1), C2225))"),"VBH")</f>
        <v>VBH</v>
      </c>
      <c r="D2226" s="2" t="str">
        <f>IFERROR(__xludf.DUMMYFUNCTION("IF('From Order'!$A2226=COLUMNS($A2226:D2245), LEFT(INDEX(FILTER(D$1:D2225, D$1:D2225&lt;&gt;""""),COUNTA(FILTER(D$1:D2225, D$1:D2225&lt;&gt;""""))), LEN(INDEX(FILTER(D$1:D2225, D$1:D2225&lt;&gt;""""),COUNTA(FILTER(D$1:D2225, D$1:D2225&lt;&gt;""""))))-1), IF('To Order'!$A2226=COL"&amp;"UMNS($A2226:D2245), D2225&amp;RIGHT(INDIRECT(ADDRESS(ROW(D2226)-1, 'From Order'!$A2226)), 1), D2225))"),"RGWD")</f>
        <v>RGWD</v>
      </c>
      <c r="E2226" s="2" t="str">
        <f>IFERROR(__xludf.DUMMYFUNCTION("IF('From Order'!$A2226=COLUMNS($A2226:E2245), LEFT(INDEX(FILTER(E$1:E2225, E$1:E2225&lt;&gt;""""),COUNTA(FILTER(E$1:E2225, E$1:E2225&lt;&gt;""""))), LEN(INDEX(FILTER(E$1:E2225, E$1:E2225&lt;&gt;""""),COUNTA(FILTER(E$1:E2225, E$1:E2225&lt;&gt;""""))))-1), IF('To Order'!$A2226=COL"&amp;"UMNS($A2226:E2245), E2225&amp;RIGHT(INDIRECT(ADDRESS(ROW(E2226)-1, 'From Order'!$A2226)), 1), E2225))"),"F")</f>
        <v>F</v>
      </c>
      <c r="F2226" s="2" t="str">
        <f>IFERROR(__xludf.DUMMYFUNCTION("IF('From Order'!$A2226=COLUMNS($A2226:F2245), LEFT(INDEX(FILTER(F$1:F2225, F$1:F2225&lt;&gt;""""),COUNTA(FILTER(F$1:F2225, F$1:F2225&lt;&gt;""""))), LEN(INDEX(FILTER(F$1:F2225, F$1:F2225&lt;&gt;""""),COUNTA(FILTER(F$1:F2225, F$1:F2225&lt;&gt;""""))))-1), IF('To Order'!$A2226=COL"&amp;"UMNS($A2226:F2245), F2225&amp;RIGHT(INDIRECT(ADDRESS(ROW(F2226)-1, 'From Order'!$A2226)), 1), F2225))"),"CJQTTCS")</f>
        <v>CJQTTCS</v>
      </c>
      <c r="G2226" s="2" t="str">
        <f>IFERROR(__xludf.DUMMYFUNCTION("IF('From Order'!$A2226=COLUMNS($A2226:G2245), LEFT(INDEX(FILTER(G$1:G2225, G$1:G2225&lt;&gt;""""),COUNTA(FILTER(G$1:G2225, G$1:G2225&lt;&gt;""""))), LEN(INDEX(FILTER(G$1:G2225, G$1:G2225&lt;&gt;""""),COUNTA(FILTER(G$1:G2225, G$1:G2225&lt;&gt;""""))))-1), IF('To Order'!$A2226=COL"&amp;"UMNS($A2226:G2245), G2225&amp;RIGHT(INDIRECT(ADDRESS(ROW(G2226)-1, 'From Order'!$A2226)), 1), G2225))"),"RZ")</f>
        <v>RZ</v>
      </c>
      <c r="H2226" s="2" t="str">
        <f>IFERROR(__xludf.DUMMYFUNCTION("IF('From Order'!$A2226=COLUMNS($A2226:H2245), LEFT(INDEX(FILTER(H$1:H2225, H$1:H2225&lt;&gt;""""),COUNTA(FILTER(H$1:H2225, H$1:H2225&lt;&gt;""""))), LEN(INDEX(FILTER(H$1:H2225, H$1:H2225&lt;&gt;""""),COUNTA(FILTER(H$1:H2225, H$1:H2225&lt;&gt;""""))))-1), IF('To Order'!$A2226=COL"&amp;"UMNS($A2226:H2245), H2225&amp;RIGHT(INDIRECT(ADDRESS(ROW(H2226)-1, 'From Order'!$A2226)), 1), H2225))"),"")</f>
        <v/>
      </c>
      <c r="I2226" s="2" t="str">
        <f>IFERROR(__xludf.DUMMYFUNCTION("IF('From Order'!$A2226=COLUMNS($A2226:I2245), LEFT(INDEX(FILTER(I$1:I2225, I$1:I2225&lt;&gt;""""),COUNTA(FILTER(I$1:I2225, I$1:I2225&lt;&gt;""""))), LEN(INDEX(FILTER(I$1:I2225, I$1:I2225&lt;&gt;""""),COUNTA(FILTER(I$1:I2225, I$1:I2225&lt;&gt;""""))))-1), IF('To Order'!$A2226=COL"&amp;"UMNS($A2226:I2245), I2225&amp;RIGHT(INDIRECT(ADDRESS(ROW(I2226)-1, 'From Order'!$A2226)), 1), I2225))"),"DDDVQZDMTTGMJRRLPSSTMZHPRBVJBCBFLLWT")</f>
        <v>DDDVQZDMTTGMJRRLPSSTMZHPRBVJBCBFLLWT</v>
      </c>
    </row>
    <row r="2227">
      <c r="A2227" s="2" t="str">
        <f>IFERROR(__xludf.DUMMYFUNCTION("IF('From Order'!$A2227=COLUMNS($A2227:A2246), LEFT(INDEX(FILTER(A$1:A2226, A$1:A2226&lt;&gt;""""),COUNTA(FILTER(A$1:A2226, A$1:A2226&lt;&gt;""""))), LEN(INDEX(FILTER(A$1:A2226, A$1:A2226&lt;&gt;""""),COUNTA(FILTER(A$1:A2226, A$1:A2226&lt;&gt;""""))))-1), IF('To Order'!$A2227=COL"&amp;"UMNS($A2227:A2246), A2226&amp;RIGHT(INDIRECT(ADDRESS(ROW(A2227)-1, 'From Order'!$A2227)), 1), A2226))"),"DSP")</f>
        <v>DSP</v>
      </c>
      <c r="B2227" s="2" t="str">
        <f>IFERROR(__xludf.DUMMYFUNCTION("IF('From Order'!$A2227=COLUMNS($A2227:B2246), LEFT(INDEX(FILTER(B$1:B2226, B$1:B2226&lt;&gt;""""),COUNTA(FILTER(B$1:B2226, B$1:B2226&lt;&gt;""""))), LEN(INDEX(FILTER(B$1:B2226, B$1:B2226&lt;&gt;""""),COUNTA(FILTER(B$1:B2226, B$1:B2226&lt;&gt;""""))))-1), IF('To Order'!$A2227=COL"&amp;"UMNS($A2227:B2246), B2226&amp;RIGHT(INDIRECT(ADDRESS(ROW(B2227)-1, 'From Order'!$A2227)), 1), B2226))"),"")</f>
        <v/>
      </c>
      <c r="C2227" s="2" t="str">
        <f>IFERROR(__xludf.DUMMYFUNCTION("IF('From Order'!$A2227=COLUMNS($A2227:C2246), LEFT(INDEX(FILTER(C$1:C2226, C$1:C2226&lt;&gt;""""),COUNTA(FILTER(C$1:C2226, C$1:C2226&lt;&gt;""""))), LEN(INDEX(FILTER(C$1:C2226, C$1:C2226&lt;&gt;""""),COUNTA(FILTER(C$1:C2226, C$1:C2226&lt;&gt;""""))))-1), IF('To Order'!$A2227=COL"&amp;"UMNS($A2227:C2246), C2226&amp;RIGHT(INDIRECT(ADDRESS(ROW(C2227)-1, 'From Order'!$A2227)), 1), C2226))"),"VBH")</f>
        <v>VBH</v>
      </c>
      <c r="D2227" s="2" t="str">
        <f>IFERROR(__xludf.DUMMYFUNCTION("IF('From Order'!$A2227=COLUMNS($A2227:D2246), LEFT(INDEX(FILTER(D$1:D2226, D$1:D2226&lt;&gt;""""),COUNTA(FILTER(D$1:D2226, D$1:D2226&lt;&gt;""""))), LEN(INDEX(FILTER(D$1:D2226, D$1:D2226&lt;&gt;""""),COUNTA(FILTER(D$1:D2226, D$1:D2226&lt;&gt;""""))))-1), IF('To Order'!$A2227=COL"&amp;"UMNS($A2227:D2246), D2226&amp;RIGHT(INDIRECT(ADDRESS(ROW(D2227)-1, 'From Order'!$A2227)), 1), D2226))"),"RGWD")</f>
        <v>RGWD</v>
      </c>
      <c r="E2227" s="2" t="str">
        <f>IFERROR(__xludf.DUMMYFUNCTION("IF('From Order'!$A2227=COLUMNS($A2227:E2246), LEFT(INDEX(FILTER(E$1:E2226, E$1:E2226&lt;&gt;""""),COUNTA(FILTER(E$1:E2226, E$1:E2226&lt;&gt;""""))), LEN(INDEX(FILTER(E$1:E2226, E$1:E2226&lt;&gt;""""),COUNTA(FILTER(E$1:E2226, E$1:E2226&lt;&gt;""""))))-1), IF('To Order'!$A2227=COL"&amp;"UMNS($A2227:E2246), E2226&amp;RIGHT(INDIRECT(ADDRESS(ROW(E2227)-1, 'From Order'!$A2227)), 1), E2226))"),"F")</f>
        <v>F</v>
      </c>
      <c r="F2227" s="2" t="str">
        <f>IFERROR(__xludf.DUMMYFUNCTION("IF('From Order'!$A2227=COLUMNS($A2227:F2246), LEFT(INDEX(FILTER(F$1:F2226, F$1:F2226&lt;&gt;""""),COUNTA(FILTER(F$1:F2226, F$1:F2226&lt;&gt;""""))), LEN(INDEX(FILTER(F$1:F2226, F$1:F2226&lt;&gt;""""),COUNTA(FILTER(F$1:F2226, F$1:F2226&lt;&gt;""""))))-1), IF('To Order'!$A2227=COL"&amp;"UMNS($A2227:F2246), F2226&amp;RIGHT(INDIRECT(ADDRESS(ROW(F2227)-1, 'From Order'!$A2227)), 1), F2226))"),"CJQTTCSZ")</f>
        <v>CJQTTCSZ</v>
      </c>
      <c r="G2227" s="2" t="str">
        <f>IFERROR(__xludf.DUMMYFUNCTION("IF('From Order'!$A2227=COLUMNS($A2227:G2246), LEFT(INDEX(FILTER(G$1:G2226, G$1:G2226&lt;&gt;""""),COUNTA(FILTER(G$1:G2226, G$1:G2226&lt;&gt;""""))), LEN(INDEX(FILTER(G$1:G2226, G$1:G2226&lt;&gt;""""),COUNTA(FILTER(G$1:G2226, G$1:G2226&lt;&gt;""""))))-1), IF('To Order'!$A2227=COL"&amp;"UMNS($A2227:G2246), G2226&amp;RIGHT(INDIRECT(ADDRESS(ROW(G2227)-1, 'From Order'!$A2227)), 1), G2226))"),"R")</f>
        <v>R</v>
      </c>
      <c r="H2227" s="2" t="str">
        <f>IFERROR(__xludf.DUMMYFUNCTION("IF('From Order'!$A2227=COLUMNS($A2227:H2246), LEFT(INDEX(FILTER(H$1:H2226, H$1:H2226&lt;&gt;""""),COUNTA(FILTER(H$1:H2226, H$1:H2226&lt;&gt;""""))), LEN(INDEX(FILTER(H$1:H2226, H$1:H2226&lt;&gt;""""),COUNTA(FILTER(H$1:H2226, H$1:H2226&lt;&gt;""""))))-1), IF('To Order'!$A2227=COL"&amp;"UMNS($A2227:H2246), H2226&amp;RIGHT(INDIRECT(ADDRESS(ROW(H2227)-1, 'From Order'!$A2227)), 1), H2226))"),"")</f>
        <v/>
      </c>
      <c r="I2227" s="2" t="str">
        <f>IFERROR(__xludf.DUMMYFUNCTION("IF('From Order'!$A2227=COLUMNS($A2227:I2246), LEFT(INDEX(FILTER(I$1:I2226, I$1:I2226&lt;&gt;""""),COUNTA(FILTER(I$1:I2226, I$1:I2226&lt;&gt;""""))), LEN(INDEX(FILTER(I$1:I2226, I$1:I2226&lt;&gt;""""),COUNTA(FILTER(I$1:I2226, I$1:I2226&lt;&gt;""""))))-1), IF('To Order'!$A2227=COL"&amp;"UMNS($A2227:I2246), I2226&amp;RIGHT(INDIRECT(ADDRESS(ROW(I2227)-1, 'From Order'!$A2227)), 1), I2226))"),"DDDVQZDMTTGMJRRLPSSTMZHPRBVJBCBFLLWT")</f>
        <v>DDDVQZDMTTGMJRRLPSSTMZHPRBVJBCBFLLWT</v>
      </c>
    </row>
    <row r="2228">
      <c r="A2228" s="2" t="str">
        <f>IFERROR(__xludf.DUMMYFUNCTION("IF('From Order'!$A2228=COLUMNS($A2228:A2247), LEFT(INDEX(FILTER(A$1:A2227, A$1:A2227&lt;&gt;""""),COUNTA(FILTER(A$1:A2227, A$1:A2227&lt;&gt;""""))), LEN(INDEX(FILTER(A$1:A2227, A$1:A2227&lt;&gt;""""),COUNTA(FILTER(A$1:A2227, A$1:A2227&lt;&gt;""""))))-1), IF('To Order'!$A2228=COL"&amp;"UMNS($A2228:A2247), A2227&amp;RIGHT(INDIRECT(ADDRESS(ROW(A2228)-1, 'From Order'!$A2228)), 1), A2227))"),"DSP")</f>
        <v>DSP</v>
      </c>
      <c r="B2228" s="2" t="str">
        <f>IFERROR(__xludf.DUMMYFUNCTION("IF('From Order'!$A2228=COLUMNS($A2228:B2247), LEFT(INDEX(FILTER(B$1:B2227, B$1:B2227&lt;&gt;""""),COUNTA(FILTER(B$1:B2227, B$1:B2227&lt;&gt;""""))), LEN(INDEX(FILTER(B$1:B2227, B$1:B2227&lt;&gt;""""),COUNTA(FILTER(B$1:B2227, B$1:B2227&lt;&gt;""""))))-1), IF('To Order'!$A2228=COL"&amp;"UMNS($A2228:B2247), B2227&amp;RIGHT(INDIRECT(ADDRESS(ROW(B2228)-1, 'From Order'!$A2228)), 1), B2227))"),"")</f>
        <v/>
      </c>
      <c r="C2228" s="2" t="str">
        <f>IFERROR(__xludf.DUMMYFUNCTION("IF('From Order'!$A2228=COLUMNS($A2228:C2247), LEFT(INDEX(FILTER(C$1:C2227, C$1:C2227&lt;&gt;""""),COUNTA(FILTER(C$1:C2227, C$1:C2227&lt;&gt;""""))), LEN(INDEX(FILTER(C$1:C2227, C$1:C2227&lt;&gt;""""),COUNTA(FILTER(C$1:C2227, C$1:C2227&lt;&gt;""""))))-1), IF('To Order'!$A2228=COL"&amp;"UMNS($A2228:C2247), C2227&amp;RIGHT(INDIRECT(ADDRESS(ROW(C2228)-1, 'From Order'!$A2228)), 1), C2227))"),"VBH")</f>
        <v>VBH</v>
      </c>
      <c r="D2228" s="2" t="str">
        <f>IFERROR(__xludf.DUMMYFUNCTION("IF('From Order'!$A2228=COLUMNS($A2228:D2247), LEFT(INDEX(FILTER(D$1:D2227, D$1:D2227&lt;&gt;""""),COUNTA(FILTER(D$1:D2227, D$1:D2227&lt;&gt;""""))), LEN(INDEX(FILTER(D$1:D2227, D$1:D2227&lt;&gt;""""),COUNTA(FILTER(D$1:D2227, D$1:D2227&lt;&gt;""""))))-1), IF('To Order'!$A2228=COL"&amp;"UMNS($A2228:D2247), D2227&amp;RIGHT(INDIRECT(ADDRESS(ROW(D2228)-1, 'From Order'!$A2228)), 1), D2227))"),"RGWD")</f>
        <v>RGWD</v>
      </c>
      <c r="E2228" s="2" t="str">
        <f>IFERROR(__xludf.DUMMYFUNCTION("IF('From Order'!$A2228=COLUMNS($A2228:E2247), LEFT(INDEX(FILTER(E$1:E2227, E$1:E2227&lt;&gt;""""),COUNTA(FILTER(E$1:E2227, E$1:E2227&lt;&gt;""""))), LEN(INDEX(FILTER(E$1:E2227, E$1:E2227&lt;&gt;""""),COUNTA(FILTER(E$1:E2227, E$1:E2227&lt;&gt;""""))))-1), IF('To Order'!$A2228=COL"&amp;"UMNS($A2228:E2247), E2227&amp;RIGHT(INDIRECT(ADDRESS(ROW(E2228)-1, 'From Order'!$A2228)), 1), E2227))"),"F")</f>
        <v>F</v>
      </c>
      <c r="F2228" s="2" t="str">
        <f>IFERROR(__xludf.DUMMYFUNCTION("IF('From Order'!$A2228=COLUMNS($A2228:F2247), LEFT(INDEX(FILTER(F$1:F2227, F$1:F2227&lt;&gt;""""),COUNTA(FILTER(F$1:F2227, F$1:F2227&lt;&gt;""""))), LEN(INDEX(FILTER(F$1:F2227, F$1:F2227&lt;&gt;""""),COUNTA(FILTER(F$1:F2227, F$1:F2227&lt;&gt;""""))))-1), IF('To Order'!$A2228=COL"&amp;"UMNS($A2228:F2247), F2227&amp;RIGHT(INDIRECT(ADDRESS(ROW(F2228)-1, 'From Order'!$A2228)), 1), F2227))"),"CJQTTCSZR")</f>
        <v>CJQTTCSZR</v>
      </c>
      <c r="G2228" s="2" t="str">
        <f>IFERROR(__xludf.DUMMYFUNCTION("IF('From Order'!$A2228=COLUMNS($A2228:G2247), LEFT(INDEX(FILTER(G$1:G2227, G$1:G2227&lt;&gt;""""),COUNTA(FILTER(G$1:G2227, G$1:G2227&lt;&gt;""""))), LEN(INDEX(FILTER(G$1:G2227, G$1:G2227&lt;&gt;""""),COUNTA(FILTER(G$1:G2227, G$1:G2227&lt;&gt;""""))))-1), IF('To Order'!$A2228=COL"&amp;"UMNS($A2228:G2247), G2227&amp;RIGHT(INDIRECT(ADDRESS(ROW(G2228)-1, 'From Order'!$A2228)), 1), G2227))"),"")</f>
        <v/>
      </c>
      <c r="H2228" s="2" t="str">
        <f>IFERROR(__xludf.DUMMYFUNCTION("IF('From Order'!$A2228=COLUMNS($A2228:H2247), LEFT(INDEX(FILTER(H$1:H2227, H$1:H2227&lt;&gt;""""),COUNTA(FILTER(H$1:H2227, H$1:H2227&lt;&gt;""""))), LEN(INDEX(FILTER(H$1:H2227, H$1:H2227&lt;&gt;""""),COUNTA(FILTER(H$1:H2227, H$1:H2227&lt;&gt;""""))))-1), IF('To Order'!$A2228=COL"&amp;"UMNS($A2228:H2247), H2227&amp;RIGHT(INDIRECT(ADDRESS(ROW(H2228)-1, 'From Order'!$A2228)), 1), H2227))"),"")</f>
        <v/>
      </c>
      <c r="I2228" s="2" t="str">
        <f>IFERROR(__xludf.DUMMYFUNCTION("IF('From Order'!$A2228=COLUMNS($A2228:I2247), LEFT(INDEX(FILTER(I$1:I2227, I$1:I2227&lt;&gt;""""),COUNTA(FILTER(I$1:I2227, I$1:I2227&lt;&gt;""""))), LEN(INDEX(FILTER(I$1:I2227, I$1:I2227&lt;&gt;""""),COUNTA(FILTER(I$1:I2227, I$1:I2227&lt;&gt;""""))))-1), IF('To Order'!$A2228=COL"&amp;"UMNS($A2228:I2247), I2227&amp;RIGHT(INDIRECT(ADDRESS(ROW(I2228)-1, 'From Order'!$A2228)), 1), I2227))"),"DDDVQZDMTTGMJRRLPSSTMZHPRBVJBCBFLLWT")</f>
        <v>DDDVQZDMTTGMJRRLPSSTMZHPRBVJBCBFLLWT</v>
      </c>
    </row>
    <row r="2229">
      <c r="A2229" s="2" t="str">
        <f>IFERROR(__xludf.DUMMYFUNCTION("IF('From Order'!$A2229=COLUMNS($A2229:A2248), LEFT(INDEX(FILTER(A$1:A2228, A$1:A2228&lt;&gt;""""),COUNTA(FILTER(A$1:A2228, A$1:A2228&lt;&gt;""""))), LEN(INDEX(FILTER(A$1:A2228, A$1:A2228&lt;&gt;""""),COUNTA(FILTER(A$1:A2228, A$1:A2228&lt;&gt;""""))))-1), IF('To Order'!$A2229=COL"&amp;"UMNS($A2229:A2248), A2228&amp;RIGHT(INDIRECT(ADDRESS(ROW(A2229)-1, 'From Order'!$A2229)), 1), A2228))"),"DSP")</f>
        <v>DSP</v>
      </c>
      <c r="B2229" s="2" t="str">
        <f>IFERROR(__xludf.DUMMYFUNCTION("IF('From Order'!$A2229=COLUMNS($A2229:B2248), LEFT(INDEX(FILTER(B$1:B2228, B$1:B2228&lt;&gt;""""),COUNTA(FILTER(B$1:B2228, B$1:B2228&lt;&gt;""""))), LEN(INDEX(FILTER(B$1:B2228, B$1:B2228&lt;&gt;""""),COUNTA(FILTER(B$1:B2228, B$1:B2228&lt;&gt;""""))))-1), IF('To Order'!$A2229=COL"&amp;"UMNS($A2229:B2248), B2228&amp;RIGHT(INDIRECT(ADDRESS(ROW(B2229)-1, 'From Order'!$A2229)), 1), B2228))"),"")</f>
        <v/>
      </c>
      <c r="C2229" s="2" t="str">
        <f>IFERROR(__xludf.DUMMYFUNCTION("IF('From Order'!$A2229=COLUMNS($A2229:C2248), LEFT(INDEX(FILTER(C$1:C2228, C$1:C2228&lt;&gt;""""),COUNTA(FILTER(C$1:C2228, C$1:C2228&lt;&gt;""""))), LEN(INDEX(FILTER(C$1:C2228, C$1:C2228&lt;&gt;""""),COUNTA(FILTER(C$1:C2228, C$1:C2228&lt;&gt;""""))))-1), IF('To Order'!$A2229=COL"&amp;"UMNS($A2229:C2248), C2228&amp;RIGHT(INDIRECT(ADDRESS(ROW(C2229)-1, 'From Order'!$A2229)), 1), C2228))"),"VBH")</f>
        <v>VBH</v>
      </c>
      <c r="D2229" s="2" t="str">
        <f>IFERROR(__xludf.DUMMYFUNCTION("IF('From Order'!$A2229=COLUMNS($A2229:D2248), LEFT(INDEX(FILTER(D$1:D2228, D$1:D2228&lt;&gt;""""),COUNTA(FILTER(D$1:D2228, D$1:D2228&lt;&gt;""""))), LEN(INDEX(FILTER(D$1:D2228, D$1:D2228&lt;&gt;""""),COUNTA(FILTER(D$1:D2228, D$1:D2228&lt;&gt;""""))))-1), IF('To Order'!$A2229=COL"&amp;"UMNS($A2229:D2248), D2228&amp;RIGHT(INDIRECT(ADDRESS(ROW(D2229)-1, 'From Order'!$A2229)), 1), D2228))"),"RGWD")</f>
        <v>RGWD</v>
      </c>
      <c r="E2229" s="2" t="str">
        <f>IFERROR(__xludf.DUMMYFUNCTION("IF('From Order'!$A2229=COLUMNS($A2229:E2248), LEFT(INDEX(FILTER(E$1:E2228, E$1:E2228&lt;&gt;""""),COUNTA(FILTER(E$1:E2228, E$1:E2228&lt;&gt;""""))), LEN(INDEX(FILTER(E$1:E2228, E$1:E2228&lt;&gt;""""),COUNTA(FILTER(E$1:E2228, E$1:E2228&lt;&gt;""""))))-1), IF('To Order'!$A2229=COL"&amp;"UMNS($A2229:E2248), E2228&amp;RIGHT(INDIRECT(ADDRESS(ROW(E2229)-1, 'From Order'!$A2229)), 1), E2228))"),"FR")</f>
        <v>FR</v>
      </c>
      <c r="F2229" s="2" t="str">
        <f>IFERROR(__xludf.DUMMYFUNCTION("IF('From Order'!$A2229=COLUMNS($A2229:F2248), LEFT(INDEX(FILTER(F$1:F2228, F$1:F2228&lt;&gt;""""),COUNTA(FILTER(F$1:F2228, F$1:F2228&lt;&gt;""""))), LEN(INDEX(FILTER(F$1:F2228, F$1:F2228&lt;&gt;""""),COUNTA(FILTER(F$1:F2228, F$1:F2228&lt;&gt;""""))))-1), IF('To Order'!$A2229=COL"&amp;"UMNS($A2229:F2248), F2228&amp;RIGHT(INDIRECT(ADDRESS(ROW(F2229)-1, 'From Order'!$A2229)), 1), F2228))"),"CJQTTCSZ")</f>
        <v>CJQTTCSZ</v>
      </c>
      <c r="G2229" s="2" t="str">
        <f>IFERROR(__xludf.DUMMYFUNCTION("IF('From Order'!$A2229=COLUMNS($A2229:G2248), LEFT(INDEX(FILTER(G$1:G2228, G$1:G2228&lt;&gt;""""),COUNTA(FILTER(G$1:G2228, G$1:G2228&lt;&gt;""""))), LEN(INDEX(FILTER(G$1:G2228, G$1:G2228&lt;&gt;""""),COUNTA(FILTER(G$1:G2228, G$1:G2228&lt;&gt;""""))))-1), IF('To Order'!$A2229=COL"&amp;"UMNS($A2229:G2248), G2228&amp;RIGHT(INDIRECT(ADDRESS(ROW(G2229)-1, 'From Order'!$A2229)), 1), G2228))"),"")</f>
        <v/>
      </c>
      <c r="H2229" s="2" t="str">
        <f>IFERROR(__xludf.DUMMYFUNCTION("IF('From Order'!$A2229=COLUMNS($A2229:H2248), LEFT(INDEX(FILTER(H$1:H2228, H$1:H2228&lt;&gt;""""),COUNTA(FILTER(H$1:H2228, H$1:H2228&lt;&gt;""""))), LEN(INDEX(FILTER(H$1:H2228, H$1:H2228&lt;&gt;""""),COUNTA(FILTER(H$1:H2228, H$1:H2228&lt;&gt;""""))))-1), IF('To Order'!$A2229=COL"&amp;"UMNS($A2229:H2248), H2228&amp;RIGHT(INDIRECT(ADDRESS(ROW(H2229)-1, 'From Order'!$A2229)), 1), H2228))"),"")</f>
        <v/>
      </c>
      <c r="I2229" s="2" t="str">
        <f>IFERROR(__xludf.DUMMYFUNCTION("IF('From Order'!$A2229=COLUMNS($A2229:I2248), LEFT(INDEX(FILTER(I$1:I2228, I$1:I2228&lt;&gt;""""),COUNTA(FILTER(I$1:I2228, I$1:I2228&lt;&gt;""""))), LEN(INDEX(FILTER(I$1:I2228, I$1:I2228&lt;&gt;""""),COUNTA(FILTER(I$1:I2228, I$1:I2228&lt;&gt;""""))))-1), IF('To Order'!$A2229=COL"&amp;"UMNS($A2229:I2248), I2228&amp;RIGHT(INDIRECT(ADDRESS(ROW(I2229)-1, 'From Order'!$A2229)), 1), I2228))"),"DDDVQZDMTTGMJRRLPSSTMZHPRBVJBCBFLLWT")</f>
        <v>DDDVQZDMTTGMJRRLPSSTMZHPRBVJBCBFLLWT</v>
      </c>
    </row>
    <row r="2230">
      <c r="A2230" s="2" t="str">
        <f>IFERROR(__xludf.DUMMYFUNCTION("IF('From Order'!$A2230=COLUMNS($A2230:A2249), LEFT(INDEX(FILTER(A$1:A2229, A$1:A2229&lt;&gt;""""),COUNTA(FILTER(A$1:A2229, A$1:A2229&lt;&gt;""""))), LEN(INDEX(FILTER(A$1:A2229, A$1:A2229&lt;&gt;""""),COUNTA(FILTER(A$1:A2229, A$1:A2229&lt;&gt;""""))))-1), IF('To Order'!$A2230=COL"&amp;"UMNS($A2230:A2249), A2229&amp;RIGHT(INDIRECT(ADDRESS(ROW(A2230)-1, 'From Order'!$A2230)), 1), A2229))"),"DSP")</f>
        <v>DSP</v>
      </c>
      <c r="B2230" s="2" t="str">
        <f>IFERROR(__xludf.DUMMYFUNCTION("IF('From Order'!$A2230=COLUMNS($A2230:B2249), LEFT(INDEX(FILTER(B$1:B2229, B$1:B2229&lt;&gt;""""),COUNTA(FILTER(B$1:B2229, B$1:B2229&lt;&gt;""""))), LEN(INDEX(FILTER(B$1:B2229, B$1:B2229&lt;&gt;""""),COUNTA(FILTER(B$1:B2229, B$1:B2229&lt;&gt;""""))))-1), IF('To Order'!$A2230=COL"&amp;"UMNS($A2230:B2249), B2229&amp;RIGHT(INDIRECT(ADDRESS(ROW(B2230)-1, 'From Order'!$A2230)), 1), B2229))"),"")</f>
        <v/>
      </c>
      <c r="C2230" s="2" t="str">
        <f>IFERROR(__xludf.DUMMYFUNCTION("IF('From Order'!$A2230=COLUMNS($A2230:C2249), LEFT(INDEX(FILTER(C$1:C2229, C$1:C2229&lt;&gt;""""),COUNTA(FILTER(C$1:C2229, C$1:C2229&lt;&gt;""""))), LEN(INDEX(FILTER(C$1:C2229, C$1:C2229&lt;&gt;""""),COUNTA(FILTER(C$1:C2229, C$1:C2229&lt;&gt;""""))))-1), IF('To Order'!$A2230=COL"&amp;"UMNS($A2230:C2249), C2229&amp;RIGHT(INDIRECT(ADDRESS(ROW(C2230)-1, 'From Order'!$A2230)), 1), C2229))"),"VBH")</f>
        <v>VBH</v>
      </c>
      <c r="D2230" s="2" t="str">
        <f>IFERROR(__xludf.DUMMYFUNCTION("IF('From Order'!$A2230=COLUMNS($A2230:D2249), LEFT(INDEX(FILTER(D$1:D2229, D$1:D2229&lt;&gt;""""),COUNTA(FILTER(D$1:D2229, D$1:D2229&lt;&gt;""""))), LEN(INDEX(FILTER(D$1:D2229, D$1:D2229&lt;&gt;""""),COUNTA(FILTER(D$1:D2229, D$1:D2229&lt;&gt;""""))))-1), IF('To Order'!$A2230=COL"&amp;"UMNS($A2230:D2249), D2229&amp;RIGHT(INDIRECT(ADDRESS(ROW(D2230)-1, 'From Order'!$A2230)), 1), D2229))"),"RGWD")</f>
        <v>RGWD</v>
      </c>
      <c r="E2230" s="2" t="str">
        <f>IFERROR(__xludf.DUMMYFUNCTION("IF('From Order'!$A2230=COLUMNS($A2230:E2249), LEFT(INDEX(FILTER(E$1:E2229, E$1:E2229&lt;&gt;""""),COUNTA(FILTER(E$1:E2229, E$1:E2229&lt;&gt;""""))), LEN(INDEX(FILTER(E$1:E2229, E$1:E2229&lt;&gt;""""),COUNTA(FILTER(E$1:E2229, E$1:E2229&lt;&gt;""""))))-1), IF('To Order'!$A2230=COL"&amp;"UMNS($A2230:E2249), E2229&amp;RIGHT(INDIRECT(ADDRESS(ROW(E2230)-1, 'From Order'!$A2230)), 1), E2229))"),"FRZ")</f>
        <v>FRZ</v>
      </c>
      <c r="F2230" s="2" t="str">
        <f>IFERROR(__xludf.DUMMYFUNCTION("IF('From Order'!$A2230=COLUMNS($A2230:F2249), LEFT(INDEX(FILTER(F$1:F2229, F$1:F2229&lt;&gt;""""),COUNTA(FILTER(F$1:F2229, F$1:F2229&lt;&gt;""""))), LEN(INDEX(FILTER(F$1:F2229, F$1:F2229&lt;&gt;""""),COUNTA(FILTER(F$1:F2229, F$1:F2229&lt;&gt;""""))))-1), IF('To Order'!$A2230=COL"&amp;"UMNS($A2230:F2249), F2229&amp;RIGHT(INDIRECT(ADDRESS(ROW(F2230)-1, 'From Order'!$A2230)), 1), F2229))"),"CJQTTCS")</f>
        <v>CJQTTCS</v>
      </c>
      <c r="G2230" s="2" t="str">
        <f>IFERROR(__xludf.DUMMYFUNCTION("IF('From Order'!$A2230=COLUMNS($A2230:G2249), LEFT(INDEX(FILTER(G$1:G2229, G$1:G2229&lt;&gt;""""),COUNTA(FILTER(G$1:G2229, G$1:G2229&lt;&gt;""""))), LEN(INDEX(FILTER(G$1:G2229, G$1:G2229&lt;&gt;""""),COUNTA(FILTER(G$1:G2229, G$1:G2229&lt;&gt;""""))))-1), IF('To Order'!$A2230=COL"&amp;"UMNS($A2230:G2249), G2229&amp;RIGHT(INDIRECT(ADDRESS(ROW(G2230)-1, 'From Order'!$A2230)), 1), G2229))"),"")</f>
        <v/>
      </c>
      <c r="H2230" s="2" t="str">
        <f>IFERROR(__xludf.DUMMYFUNCTION("IF('From Order'!$A2230=COLUMNS($A2230:H2249), LEFT(INDEX(FILTER(H$1:H2229, H$1:H2229&lt;&gt;""""),COUNTA(FILTER(H$1:H2229, H$1:H2229&lt;&gt;""""))), LEN(INDEX(FILTER(H$1:H2229, H$1:H2229&lt;&gt;""""),COUNTA(FILTER(H$1:H2229, H$1:H2229&lt;&gt;""""))))-1), IF('To Order'!$A2230=COL"&amp;"UMNS($A2230:H2249), H2229&amp;RIGHT(INDIRECT(ADDRESS(ROW(H2230)-1, 'From Order'!$A2230)), 1), H2229))"),"")</f>
        <v/>
      </c>
      <c r="I2230" s="2" t="str">
        <f>IFERROR(__xludf.DUMMYFUNCTION("IF('From Order'!$A2230=COLUMNS($A2230:I2249), LEFT(INDEX(FILTER(I$1:I2229, I$1:I2229&lt;&gt;""""),COUNTA(FILTER(I$1:I2229, I$1:I2229&lt;&gt;""""))), LEN(INDEX(FILTER(I$1:I2229, I$1:I2229&lt;&gt;""""),COUNTA(FILTER(I$1:I2229, I$1:I2229&lt;&gt;""""))))-1), IF('To Order'!$A2230=COL"&amp;"UMNS($A2230:I2249), I2229&amp;RIGHT(INDIRECT(ADDRESS(ROW(I2230)-1, 'From Order'!$A2230)), 1), I2229))"),"DDDVQZDMTTGMJRRLPSSTMZHPRBVJBCBFLLWT")</f>
        <v>DDDVQZDMTTGMJRRLPSSTMZHPRBVJBCBFLLWT</v>
      </c>
    </row>
    <row r="2231">
      <c r="A2231" s="2" t="str">
        <f>IFERROR(__xludf.DUMMYFUNCTION("IF('From Order'!$A2231=COLUMNS($A2231:A2250), LEFT(INDEX(FILTER(A$1:A2230, A$1:A2230&lt;&gt;""""),COUNTA(FILTER(A$1:A2230, A$1:A2230&lt;&gt;""""))), LEN(INDEX(FILTER(A$1:A2230, A$1:A2230&lt;&gt;""""),COUNTA(FILTER(A$1:A2230, A$1:A2230&lt;&gt;""""))))-1), IF('To Order'!$A2231=COL"&amp;"UMNS($A2231:A2250), A2230&amp;RIGHT(INDIRECT(ADDRESS(ROW(A2231)-1, 'From Order'!$A2231)), 1), A2230))"),"DSP")</f>
        <v>DSP</v>
      </c>
      <c r="B2231" s="2" t="str">
        <f>IFERROR(__xludf.DUMMYFUNCTION("IF('From Order'!$A2231=COLUMNS($A2231:B2250), LEFT(INDEX(FILTER(B$1:B2230, B$1:B2230&lt;&gt;""""),COUNTA(FILTER(B$1:B2230, B$1:B2230&lt;&gt;""""))), LEN(INDEX(FILTER(B$1:B2230, B$1:B2230&lt;&gt;""""),COUNTA(FILTER(B$1:B2230, B$1:B2230&lt;&gt;""""))))-1), IF('To Order'!$A2231=COL"&amp;"UMNS($A2231:B2250), B2230&amp;RIGHT(INDIRECT(ADDRESS(ROW(B2231)-1, 'From Order'!$A2231)), 1), B2230))"),"")</f>
        <v/>
      </c>
      <c r="C2231" s="2" t="str">
        <f>IFERROR(__xludf.DUMMYFUNCTION("IF('From Order'!$A2231=COLUMNS($A2231:C2250), LEFT(INDEX(FILTER(C$1:C2230, C$1:C2230&lt;&gt;""""),COUNTA(FILTER(C$1:C2230, C$1:C2230&lt;&gt;""""))), LEN(INDEX(FILTER(C$1:C2230, C$1:C2230&lt;&gt;""""),COUNTA(FILTER(C$1:C2230, C$1:C2230&lt;&gt;""""))))-1), IF('To Order'!$A2231=COL"&amp;"UMNS($A2231:C2250), C2230&amp;RIGHT(INDIRECT(ADDRESS(ROW(C2231)-1, 'From Order'!$A2231)), 1), C2230))"),"VBH")</f>
        <v>VBH</v>
      </c>
      <c r="D2231" s="2" t="str">
        <f>IFERROR(__xludf.DUMMYFUNCTION("IF('From Order'!$A2231=COLUMNS($A2231:D2250), LEFT(INDEX(FILTER(D$1:D2230, D$1:D2230&lt;&gt;""""),COUNTA(FILTER(D$1:D2230, D$1:D2230&lt;&gt;""""))), LEN(INDEX(FILTER(D$1:D2230, D$1:D2230&lt;&gt;""""),COUNTA(FILTER(D$1:D2230, D$1:D2230&lt;&gt;""""))))-1), IF('To Order'!$A2231=COL"&amp;"UMNS($A2231:D2250), D2230&amp;RIGHT(INDIRECT(ADDRESS(ROW(D2231)-1, 'From Order'!$A2231)), 1), D2230))"),"RGWD")</f>
        <v>RGWD</v>
      </c>
      <c r="E2231" s="2" t="str">
        <f>IFERROR(__xludf.DUMMYFUNCTION("IF('From Order'!$A2231=COLUMNS($A2231:E2250), LEFT(INDEX(FILTER(E$1:E2230, E$1:E2230&lt;&gt;""""),COUNTA(FILTER(E$1:E2230, E$1:E2230&lt;&gt;""""))), LEN(INDEX(FILTER(E$1:E2230, E$1:E2230&lt;&gt;""""),COUNTA(FILTER(E$1:E2230, E$1:E2230&lt;&gt;""""))))-1), IF('To Order'!$A2231=COL"&amp;"UMNS($A2231:E2250), E2230&amp;RIGHT(INDIRECT(ADDRESS(ROW(E2231)-1, 'From Order'!$A2231)), 1), E2230))"),"FRZS")</f>
        <v>FRZS</v>
      </c>
      <c r="F2231" s="2" t="str">
        <f>IFERROR(__xludf.DUMMYFUNCTION("IF('From Order'!$A2231=COLUMNS($A2231:F2250), LEFT(INDEX(FILTER(F$1:F2230, F$1:F2230&lt;&gt;""""),COUNTA(FILTER(F$1:F2230, F$1:F2230&lt;&gt;""""))), LEN(INDEX(FILTER(F$1:F2230, F$1:F2230&lt;&gt;""""),COUNTA(FILTER(F$1:F2230, F$1:F2230&lt;&gt;""""))))-1), IF('To Order'!$A2231=COL"&amp;"UMNS($A2231:F2250), F2230&amp;RIGHT(INDIRECT(ADDRESS(ROW(F2231)-1, 'From Order'!$A2231)), 1), F2230))"),"CJQTTC")</f>
        <v>CJQTTC</v>
      </c>
      <c r="G2231" s="2" t="str">
        <f>IFERROR(__xludf.DUMMYFUNCTION("IF('From Order'!$A2231=COLUMNS($A2231:G2250), LEFT(INDEX(FILTER(G$1:G2230, G$1:G2230&lt;&gt;""""),COUNTA(FILTER(G$1:G2230, G$1:G2230&lt;&gt;""""))), LEN(INDEX(FILTER(G$1:G2230, G$1:G2230&lt;&gt;""""),COUNTA(FILTER(G$1:G2230, G$1:G2230&lt;&gt;""""))))-1), IF('To Order'!$A2231=COL"&amp;"UMNS($A2231:G2250), G2230&amp;RIGHT(INDIRECT(ADDRESS(ROW(G2231)-1, 'From Order'!$A2231)), 1), G2230))"),"")</f>
        <v/>
      </c>
      <c r="H2231" s="2" t="str">
        <f>IFERROR(__xludf.DUMMYFUNCTION("IF('From Order'!$A2231=COLUMNS($A2231:H2250), LEFT(INDEX(FILTER(H$1:H2230, H$1:H2230&lt;&gt;""""),COUNTA(FILTER(H$1:H2230, H$1:H2230&lt;&gt;""""))), LEN(INDEX(FILTER(H$1:H2230, H$1:H2230&lt;&gt;""""),COUNTA(FILTER(H$1:H2230, H$1:H2230&lt;&gt;""""))))-1), IF('To Order'!$A2231=COL"&amp;"UMNS($A2231:H2250), H2230&amp;RIGHT(INDIRECT(ADDRESS(ROW(H2231)-1, 'From Order'!$A2231)), 1), H2230))"),"")</f>
        <v/>
      </c>
      <c r="I2231" s="2" t="str">
        <f>IFERROR(__xludf.DUMMYFUNCTION("IF('From Order'!$A2231=COLUMNS($A2231:I2250), LEFT(INDEX(FILTER(I$1:I2230, I$1:I2230&lt;&gt;""""),COUNTA(FILTER(I$1:I2230, I$1:I2230&lt;&gt;""""))), LEN(INDEX(FILTER(I$1:I2230, I$1:I2230&lt;&gt;""""),COUNTA(FILTER(I$1:I2230, I$1:I2230&lt;&gt;""""))))-1), IF('To Order'!$A2231=COL"&amp;"UMNS($A2231:I2250), I2230&amp;RIGHT(INDIRECT(ADDRESS(ROW(I2231)-1, 'From Order'!$A2231)), 1), I2230))"),"DDDVQZDMTTGMJRRLPSSTMZHPRBVJBCBFLLWT")</f>
        <v>DDDVQZDMTTGMJRRLPSSTMZHPRBVJBCBFLLWT</v>
      </c>
    </row>
    <row r="2232">
      <c r="A2232" s="2" t="str">
        <f>IFERROR(__xludf.DUMMYFUNCTION("IF('From Order'!$A2232=COLUMNS($A2232:A2251), LEFT(INDEX(FILTER(A$1:A2231, A$1:A2231&lt;&gt;""""),COUNTA(FILTER(A$1:A2231, A$1:A2231&lt;&gt;""""))), LEN(INDEX(FILTER(A$1:A2231, A$1:A2231&lt;&gt;""""),COUNTA(FILTER(A$1:A2231, A$1:A2231&lt;&gt;""""))))-1), IF('To Order'!$A2232=COL"&amp;"UMNS($A2232:A2251), A2231&amp;RIGHT(INDIRECT(ADDRESS(ROW(A2232)-1, 'From Order'!$A2232)), 1), A2231))"),"DSP")</f>
        <v>DSP</v>
      </c>
      <c r="B2232" s="2" t="str">
        <f>IFERROR(__xludf.DUMMYFUNCTION("IF('From Order'!$A2232=COLUMNS($A2232:B2251), LEFT(INDEX(FILTER(B$1:B2231, B$1:B2231&lt;&gt;""""),COUNTA(FILTER(B$1:B2231, B$1:B2231&lt;&gt;""""))), LEN(INDEX(FILTER(B$1:B2231, B$1:B2231&lt;&gt;""""),COUNTA(FILTER(B$1:B2231, B$1:B2231&lt;&gt;""""))))-1), IF('To Order'!$A2232=COL"&amp;"UMNS($A2232:B2251), B2231&amp;RIGHT(INDIRECT(ADDRESS(ROW(B2232)-1, 'From Order'!$A2232)), 1), B2231))"),"")</f>
        <v/>
      </c>
      <c r="C2232" s="2" t="str">
        <f>IFERROR(__xludf.DUMMYFUNCTION("IF('From Order'!$A2232=COLUMNS($A2232:C2251), LEFT(INDEX(FILTER(C$1:C2231, C$1:C2231&lt;&gt;""""),COUNTA(FILTER(C$1:C2231, C$1:C2231&lt;&gt;""""))), LEN(INDEX(FILTER(C$1:C2231, C$1:C2231&lt;&gt;""""),COUNTA(FILTER(C$1:C2231, C$1:C2231&lt;&gt;""""))))-1), IF('To Order'!$A2232=COL"&amp;"UMNS($A2232:C2251), C2231&amp;RIGHT(INDIRECT(ADDRESS(ROW(C2232)-1, 'From Order'!$A2232)), 1), C2231))"),"VBH")</f>
        <v>VBH</v>
      </c>
      <c r="D2232" s="2" t="str">
        <f>IFERROR(__xludf.DUMMYFUNCTION("IF('From Order'!$A2232=COLUMNS($A2232:D2251), LEFT(INDEX(FILTER(D$1:D2231, D$1:D2231&lt;&gt;""""),COUNTA(FILTER(D$1:D2231, D$1:D2231&lt;&gt;""""))), LEN(INDEX(FILTER(D$1:D2231, D$1:D2231&lt;&gt;""""),COUNTA(FILTER(D$1:D2231, D$1:D2231&lt;&gt;""""))))-1), IF('To Order'!$A2232=COL"&amp;"UMNS($A2232:D2251), D2231&amp;RIGHT(INDIRECT(ADDRESS(ROW(D2232)-1, 'From Order'!$A2232)), 1), D2231))"),"RGWD")</f>
        <v>RGWD</v>
      </c>
      <c r="E2232" s="2" t="str">
        <f>IFERROR(__xludf.DUMMYFUNCTION("IF('From Order'!$A2232=COLUMNS($A2232:E2251), LEFT(INDEX(FILTER(E$1:E2231, E$1:E2231&lt;&gt;""""),COUNTA(FILTER(E$1:E2231, E$1:E2231&lt;&gt;""""))), LEN(INDEX(FILTER(E$1:E2231, E$1:E2231&lt;&gt;""""),COUNTA(FILTER(E$1:E2231, E$1:E2231&lt;&gt;""""))))-1), IF('To Order'!$A2232=COL"&amp;"UMNS($A2232:E2251), E2231&amp;RIGHT(INDIRECT(ADDRESS(ROW(E2232)-1, 'From Order'!$A2232)), 1), E2231))"),"FRZSC")</f>
        <v>FRZSC</v>
      </c>
      <c r="F2232" s="2" t="str">
        <f>IFERROR(__xludf.DUMMYFUNCTION("IF('From Order'!$A2232=COLUMNS($A2232:F2251), LEFT(INDEX(FILTER(F$1:F2231, F$1:F2231&lt;&gt;""""),COUNTA(FILTER(F$1:F2231, F$1:F2231&lt;&gt;""""))), LEN(INDEX(FILTER(F$1:F2231, F$1:F2231&lt;&gt;""""),COUNTA(FILTER(F$1:F2231, F$1:F2231&lt;&gt;""""))))-1), IF('To Order'!$A2232=COL"&amp;"UMNS($A2232:F2251), F2231&amp;RIGHT(INDIRECT(ADDRESS(ROW(F2232)-1, 'From Order'!$A2232)), 1), F2231))"),"CJQTT")</f>
        <v>CJQTT</v>
      </c>
      <c r="G2232" s="2" t="str">
        <f>IFERROR(__xludf.DUMMYFUNCTION("IF('From Order'!$A2232=COLUMNS($A2232:G2251), LEFT(INDEX(FILTER(G$1:G2231, G$1:G2231&lt;&gt;""""),COUNTA(FILTER(G$1:G2231, G$1:G2231&lt;&gt;""""))), LEN(INDEX(FILTER(G$1:G2231, G$1:G2231&lt;&gt;""""),COUNTA(FILTER(G$1:G2231, G$1:G2231&lt;&gt;""""))))-1), IF('To Order'!$A2232=COL"&amp;"UMNS($A2232:G2251), G2231&amp;RIGHT(INDIRECT(ADDRESS(ROW(G2232)-1, 'From Order'!$A2232)), 1), G2231))"),"")</f>
        <v/>
      </c>
      <c r="H2232" s="2" t="str">
        <f>IFERROR(__xludf.DUMMYFUNCTION("IF('From Order'!$A2232=COLUMNS($A2232:H2251), LEFT(INDEX(FILTER(H$1:H2231, H$1:H2231&lt;&gt;""""),COUNTA(FILTER(H$1:H2231, H$1:H2231&lt;&gt;""""))), LEN(INDEX(FILTER(H$1:H2231, H$1:H2231&lt;&gt;""""),COUNTA(FILTER(H$1:H2231, H$1:H2231&lt;&gt;""""))))-1), IF('To Order'!$A2232=COL"&amp;"UMNS($A2232:H2251), H2231&amp;RIGHT(INDIRECT(ADDRESS(ROW(H2232)-1, 'From Order'!$A2232)), 1), H2231))"),"")</f>
        <v/>
      </c>
      <c r="I2232" s="2" t="str">
        <f>IFERROR(__xludf.DUMMYFUNCTION("IF('From Order'!$A2232=COLUMNS($A2232:I2251), LEFT(INDEX(FILTER(I$1:I2231, I$1:I2231&lt;&gt;""""),COUNTA(FILTER(I$1:I2231, I$1:I2231&lt;&gt;""""))), LEN(INDEX(FILTER(I$1:I2231, I$1:I2231&lt;&gt;""""),COUNTA(FILTER(I$1:I2231, I$1:I2231&lt;&gt;""""))))-1), IF('To Order'!$A2232=COL"&amp;"UMNS($A2232:I2251), I2231&amp;RIGHT(INDIRECT(ADDRESS(ROW(I2232)-1, 'From Order'!$A2232)), 1), I2231))"),"DDDVQZDMTTGMJRRLPSSTMZHPRBVJBCBFLLWT")</f>
        <v>DDDVQZDMTTGMJRRLPSSTMZHPRBVJBCBFLLWT</v>
      </c>
    </row>
    <row r="2233">
      <c r="A2233" s="2" t="str">
        <f>IFERROR(__xludf.DUMMYFUNCTION("IF('From Order'!$A2233=COLUMNS($A2233:A2252), LEFT(INDEX(FILTER(A$1:A2232, A$1:A2232&lt;&gt;""""),COUNTA(FILTER(A$1:A2232, A$1:A2232&lt;&gt;""""))), LEN(INDEX(FILTER(A$1:A2232, A$1:A2232&lt;&gt;""""),COUNTA(FILTER(A$1:A2232, A$1:A2232&lt;&gt;""""))))-1), IF('To Order'!$A2233=COL"&amp;"UMNS($A2233:A2252), A2232&amp;RIGHT(INDIRECT(ADDRESS(ROW(A2233)-1, 'From Order'!$A2233)), 1), A2232))"),"DSP")</f>
        <v>DSP</v>
      </c>
      <c r="B2233" s="2" t="str">
        <f>IFERROR(__xludf.DUMMYFUNCTION("IF('From Order'!$A2233=COLUMNS($A2233:B2252), LEFT(INDEX(FILTER(B$1:B2232, B$1:B2232&lt;&gt;""""),COUNTA(FILTER(B$1:B2232, B$1:B2232&lt;&gt;""""))), LEN(INDEX(FILTER(B$1:B2232, B$1:B2232&lt;&gt;""""),COUNTA(FILTER(B$1:B2232, B$1:B2232&lt;&gt;""""))))-1), IF('To Order'!$A2233=COL"&amp;"UMNS($A2233:B2252), B2232&amp;RIGHT(INDIRECT(ADDRESS(ROW(B2233)-1, 'From Order'!$A2233)), 1), B2232))"),"")</f>
        <v/>
      </c>
      <c r="C2233" s="2" t="str">
        <f>IFERROR(__xludf.DUMMYFUNCTION("IF('From Order'!$A2233=COLUMNS($A2233:C2252), LEFT(INDEX(FILTER(C$1:C2232, C$1:C2232&lt;&gt;""""),COUNTA(FILTER(C$1:C2232, C$1:C2232&lt;&gt;""""))), LEN(INDEX(FILTER(C$1:C2232, C$1:C2232&lt;&gt;""""),COUNTA(FILTER(C$1:C2232, C$1:C2232&lt;&gt;""""))))-1), IF('To Order'!$A2233=COL"&amp;"UMNS($A2233:C2252), C2232&amp;RIGHT(INDIRECT(ADDRESS(ROW(C2233)-1, 'From Order'!$A2233)), 1), C2232))"),"VBH")</f>
        <v>VBH</v>
      </c>
      <c r="D2233" s="2" t="str">
        <f>IFERROR(__xludf.DUMMYFUNCTION("IF('From Order'!$A2233=COLUMNS($A2233:D2252), LEFT(INDEX(FILTER(D$1:D2232, D$1:D2232&lt;&gt;""""),COUNTA(FILTER(D$1:D2232, D$1:D2232&lt;&gt;""""))), LEN(INDEX(FILTER(D$1:D2232, D$1:D2232&lt;&gt;""""),COUNTA(FILTER(D$1:D2232, D$1:D2232&lt;&gt;""""))))-1), IF('To Order'!$A2233=COL"&amp;"UMNS($A2233:D2252), D2232&amp;RIGHT(INDIRECT(ADDRESS(ROW(D2233)-1, 'From Order'!$A2233)), 1), D2232))"),"RGWD")</f>
        <v>RGWD</v>
      </c>
      <c r="E2233" s="2" t="str">
        <f>IFERROR(__xludf.DUMMYFUNCTION("IF('From Order'!$A2233=COLUMNS($A2233:E2252), LEFT(INDEX(FILTER(E$1:E2232, E$1:E2232&lt;&gt;""""),COUNTA(FILTER(E$1:E2232, E$1:E2232&lt;&gt;""""))), LEN(INDEX(FILTER(E$1:E2232, E$1:E2232&lt;&gt;""""),COUNTA(FILTER(E$1:E2232, E$1:E2232&lt;&gt;""""))))-1), IF('To Order'!$A2233=COL"&amp;"UMNS($A2233:E2252), E2232&amp;RIGHT(INDIRECT(ADDRESS(ROW(E2233)-1, 'From Order'!$A2233)), 1), E2232))"),"FRZSCT")</f>
        <v>FRZSCT</v>
      </c>
      <c r="F2233" s="2" t="str">
        <f>IFERROR(__xludf.DUMMYFUNCTION("IF('From Order'!$A2233=COLUMNS($A2233:F2252), LEFT(INDEX(FILTER(F$1:F2232, F$1:F2232&lt;&gt;""""),COUNTA(FILTER(F$1:F2232, F$1:F2232&lt;&gt;""""))), LEN(INDEX(FILTER(F$1:F2232, F$1:F2232&lt;&gt;""""),COUNTA(FILTER(F$1:F2232, F$1:F2232&lt;&gt;""""))))-1), IF('To Order'!$A2233=COL"&amp;"UMNS($A2233:F2252), F2232&amp;RIGHT(INDIRECT(ADDRESS(ROW(F2233)-1, 'From Order'!$A2233)), 1), F2232))"),"CJQT")</f>
        <v>CJQT</v>
      </c>
      <c r="G2233" s="2" t="str">
        <f>IFERROR(__xludf.DUMMYFUNCTION("IF('From Order'!$A2233=COLUMNS($A2233:G2252), LEFT(INDEX(FILTER(G$1:G2232, G$1:G2232&lt;&gt;""""),COUNTA(FILTER(G$1:G2232, G$1:G2232&lt;&gt;""""))), LEN(INDEX(FILTER(G$1:G2232, G$1:G2232&lt;&gt;""""),COUNTA(FILTER(G$1:G2232, G$1:G2232&lt;&gt;""""))))-1), IF('To Order'!$A2233=COL"&amp;"UMNS($A2233:G2252), G2232&amp;RIGHT(INDIRECT(ADDRESS(ROW(G2233)-1, 'From Order'!$A2233)), 1), G2232))"),"")</f>
        <v/>
      </c>
      <c r="H2233" s="2" t="str">
        <f>IFERROR(__xludf.DUMMYFUNCTION("IF('From Order'!$A2233=COLUMNS($A2233:H2252), LEFT(INDEX(FILTER(H$1:H2232, H$1:H2232&lt;&gt;""""),COUNTA(FILTER(H$1:H2232, H$1:H2232&lt;&gt;""""))), LEN(INDEX(FILTER(H$1:H2232, H$1:H2232&lt;&gt;""""),COUNTA(FILTER(H$1:H2232, H$1:H2232&lt;&gt;""""))))-1), IF('To Order'!$A2233=COL"&amp;"UMNS($A2233:H2252), H2232&amp;RIGHT(INDIRECT(ADDRESS(ROW(H2233)-1, 'From Order'!$A2233)), 1), H2232))"),"")</f>
        <v/>
      </c>
      <c r="I2233" s="2" t="str">
        <f>IFERROR(__xludf.DUMMYFUNCTION("IF('From Order'!$A2233=COLUMNS($A2233:I2252), LEFT(INDEX(FILTER(I$1:I2232, I$1:I2232&lt;&gt;""""),COUNTA(FILTER(I$1:I2232, I$1:I2232&lt;&gt;""""))), LEN(INDEX(FILTER(I$1:I2232, I$1:I2232&lt;&gt;""""),COUNTA(FILTER(I$1:I2232, I$1:I2232&lt;&gt;""""))))-1), IF('To Order'!$A2233=COL"&amp;"UMNS($A2233:I2252), I2232&amp;RIGHT(INDIRECT(ADDRESS(ROW(I2233)-1, 'From Order'!$A2233)), 1), I2232))"),"DDDVQZDMTTGMJRRLPSSTMZHPRBVJBCBFLLWT")</f>
        <v>DDDVQZDMTTGMJRRLPSSTMZHPRBVJBCBFLLWT</v>
      </c>
    </row>
    <row r="2234">
      <c r="A2234" s="2" t="str">
        <f>IFERROR(__xludf.DUMMYFUNCTION("IF('From Order'!$A2234=COLUMNS($A2234:A2253), LEFT(INDEX(FILTER(A$1:A2233, A$1:A2233&lt;&gt;""""),COUNTA(FILTER(A$1:A2233, A$1:A2233&lt;&gt;""""))), LEN(INDEX(FILTER(A$1:A2233, A$1:A2233&lt;&gt;""""),COUNTA(FILTER(A$1:A2233, A$1:A2233&lt;&gt;""""))))-1), IF('To Order'!$A2234=COL"&amp;"UMNS($A2234:A2253), A2233&amp;RIGHT(INDIRECT(ADDRESS(ROW(A2234)-1, 'From Order'!$A2234)), 1), A2233))"),"DSP")</f>
        <v>DSP</v>
      </c>
      <c r="B2234" s="2" t="str">
        <f>IFERROR(__xludf.DUMMYFUNCTION("IF('From Order'!$A2234=COLUMNS($A2234:B2253), LEFT(INDEX(FILTER(B$1:B2233, B$1:B2233&lt;&gt;""""),COUNTA(FILTER(B$1:B2233, B$1:B2233&lt;&gt;""""))), LEN(INDEX(FILTER(B$1:B2233, B$1:B2233&lt;&gt;""""),COUNTA(FILTER(B$1:B2233, B$1:B2233&lt;&gt;""""))))-1), IF('To Order'!$A2234=COL"&amp;"UMNS($A2234:B2253), B2233&amp;RIGHT(INDIRECT(ADDRESS(ROW(B2234)-1, 'From Order'!$A2234)), 1), B2233))"),"")</f>
        <v/>
      </c>
      <c r="C2234" s="2" t="str">
        <f>IFERROR(__xludf.DUMMYFUNCTION("IF('From Order'!$A2234=COLUMNS($A2234:C2253), LEFT(INDEX(FILTER(C$1:C2233, C$1:C2233&lt;&gt;""""),COUNTA(FILTER(C$1:C2233, C$1:C2233&lt;&gt;""""))), LEN(INDEX(FILTER(C$1:C2233, C$1:C2233&lt;&gt;""""),COUNTA(FILTER(C$1:C2233, C$1:C2233&lt;&gt;""""))))-1), IF('To Order'!$A2234=COL"&amp;"UMNS($A2234:C2253), C2233&amp;RIGHT(INDIRECT(ADDRESS(ROW(C2234)-1, 'From Order'!$A2234)), 1), C2233))"),"VBH")</f>
        <v>VBH</v>
      </c>
      <c r="D2234" s="2" t="str">
        <f>IFERROR(__xludf.DUMMYFUNCTION("IF('From Order'!$A2234=COLUMNS($A2234:D2253), LEFT(INDEX(FILTER(D$1:D2233, D$1:D2233&lt;&gt;""""),COUNTA(FILTER(D$1:D2233, D$1:D2233&lt;&gt;""""))), LEN(INDEX(FILTER(D$1:D2233, D$1:D2233&lt;&gt;""""),COUNTA(FILTER(D$1:D2233, D$1:D2233&lt;&gt;""""))))-1), IF('To Order'!$A2234=COL"&amp;"UMNS($A2234:D2253), D2233&amp;RIGHT(INDIRECT(ADDRESS(ROW(D2234)-1, 'From Order'!$A2234)), 1), D2233))"),"RGWD")</f>
        <v>RGWD</v>
      </c>
      <c r="E2234" s="2" t="str">
        <f>IFERROR(__xludf.DUMMYFUNCTION("IF('From Order'!$A2234=COLUMNS($A2234:E2253), LEFT(INDEX(FILTER(E$1:E2233, E$1:E2233&lt;&gt;""""),COUNTA(FILTER(E$1:E2233, E$1:E2233&lt;&gt;""""))), LEN(INDEX(FILTER(E$1:E2233, E$1:E2233&lt;&gt;""""),COUNTA(FILTER(E$1:E2233, E$1:E2233&lt;&gt;""""))))-1), IF('To Order'!$A2234=COL"&amp;"UMNS($A2234:E2253), E2233&amp;RIGHT(INDIRECT(ADDRESS(ROW(E2234)-1, 'From Order'!$A2234)), 1), E2233))"),"FRZSCTT")</f>
        <v>FRZSCTT</v>
      </c>
      <c r="F2234" s="2" t="str">
        <f>IFERROR(__xludf.DUMMYFUNCTION("IF('From Order'!$A2234=COLUMNS($A2234:F2253), LEFT(INDEX(FILTER(F$1:F2233, F$1:F2233&lt;&gt;""""),COUNTA(FILTER(F$1:F2233, F$1:F2233&lt;&gt;""""))), LEN(INDEX(FILTER(F$1:F2233, F$1:F2233&lt;&gt;""""),COUNTA(FILTER(F$1:F2233, F$1:F2233&lt;&gt;""""))))-1), IF('To Order'!$A2234=COL"&amp;"UMNS($A2234:F2253), F2233&amp;RIGHT(INDIRECT(ADDRESS(ROW(F2234)-1, 'From Order'!$A2234)), 1), F2233))"),"CJQ")</f>
        <v>CJQ</v>
      </c>
      <c r="G2234" s="2" t="str">
        <f>IFERROR(__xludf.DUMMYFUNCTION("IF('From Order'!$A2234=COLUMNS($A2234:G2253), LEFT(INDEX(FILTER(G$1:G2233, G$1:G2233&lt;&gt;""""),COUNTA(FILTER(G$1:G2233, G$1:G2233&lt;&gt;""""))), LEN(INDEX(FILTER(G$1:G2233, G$1:G2233&lt;&gt;""""),COUNTA(FILTER(G$1:G2233, G$1:G2233&lt;&gt;""""))))-1), IF('To Order'!$A2234=COL"&amp;"UMNS($A2234:G2253), G2233&amp;RIGHT(INDIRECT(ADDRESS(ROW(G2234)-1, 'From Order'!$A2234)), 1), G2233))"),"")</f>
        <v/>
      </c>
      <c r="H2234" s="2" t="str">
        <f>IFERROR(__xludf.DUMMYFUNCTION("IF('From Order'!$A2234=COLUMNS($A2234:H2253), LEFT(INDEX(FILTER(H$1:H2233, H$1:H2233&lt;&gt;""""),COUNTA(FILTER(H$1:H2233, H$1:H2233&lt;&gt;""""))), LEN(INDEX(FILTER(H$1:H2233, H$1:H2233&lt;&gt;""""),COUNTA(FILTER(H$1:H2233, H$1:H2233&lt;&gt;""""))))-1), IF('To Order'!$A2234=COL"&amp;"UMNS($A2234:H2253), H2233&amp;RIGHT(INDIRECT(ADDRESS(ROW(H2234)-1, 'From Order'!$A2234)), 1), H2233))"),"")</f>
        <v/>
      </c>
      <c r="I2234" s="2" t="str">
        <f>IFERROR(__xludf.DUMMYFUNCTION("IF('From Order'!$A2234=COLUMNS($A2234:I2253), LEFT(INDEX(FILTER(I$1:I2233, I$1:I2233&lt;&gt;""""),COUNTA(FILTER(I$1:I2233, I$1:I2233&lt;&gt;""""))), LEN(INDEX(FILTER(I$1:I2233, I$1:I2233&lt;&gt;""""),COUNTA(FILTER(I$1:I2233, I$1:I2233&lt;&gt;""""))))-1), IF('To Order'!$A2234=COL"&amp;"UMNS($A2234:I2253), I2233&amp;RIGHT(INDIRECT(ADDRESS(ROW(I2234)-1, 'From Order'!$A2234)), 1), I2233))"),"DDDVQZDMTTGMJRRLPSSTMZHPRBVJBCBFLLWT")</f>
        <v>DDDVQZDMTTGMJRRLPSSTMZHPRBVJBCBFLLWT</v>
      </c>
    </row>
    <row r="2235">
      <c r="A2235" s="2" t="str">
        <f>IFERROR(__xludf.DUMMYFUNCTION("IF('From Order'!$A2235=COLUMNS($A2235:A2254), LEFT(INDEX(FILTER(A$1:A2234, A$1:A2234&lt;&gt;""""),COUNTA(FILTER(A$1:A2234, A$1:A2234&lt;&gt;""""))), LEN(INDEX(FILTER(A$1:A2234, A$1:A2234&lt;&gt;""""),COUNTA(FILTER(A$1:A2234, A$1:A2234&lt;&gt;""""))))-1), IF('To Order'!$A2235=COL"&amp;"UMNS($A2235:A2254), A2234&amp;RIGHT(INDIRECT(ADDRESS(ROW(A2235)-1, 'From Order'!$A2235)), 1), A2234))"),"DSP")</f>
        <v>DSP</v>
      </c>
      <c r="B2235" s="2" t="str">
        <f>IFERROR(__xludf.DUMMYFUNCTION("IF('From Order'!$A2235=COLUMNS($A2235:B2254), LEFT(INDEX(FILTER(B$1:B2234, B$1:B2234&lt;&gt;""""),COUNTA(FILTER(B$1:B2234, B$1:B2234&lt;&gt;""""))), LEN(INDEX(FILTER(B$1:B2234, B$1:B2234&lt;&gt;""""),COUNTA(FILTER(B$1:B2234, B$1:B2234&lt;&gt;""""))))-1), IF('To Order'!$A2235=COL"&amp;"UMNS($A2235:B2254), B2234&amp;RIGHT(INDIRECT(ADDRESS(ROW(B2235)-1, 'From Order'!$A2235)), 1), B2234))"),"")</f>
        <v/>
      </c>
      <c r="C2235" s="2" t="str">
        <f>IFERROR(__xludf.DUMMYFUNCTION("IF('From Order'!$A2235=COLUMNS($A2235:C2254), LEFT(INDEX(FILTER(C$1:C2234, C$1:C2234&lt;&gt;""""),COUNTA(FILTER(C$1:C2234, C$1:C2234&lt;&gt;""""))), LEN(INDEX(FILTER(C$1:C2234, C$1:C2234&lt;&gt;""""),COUNTA(FILTER(C$1:C2234, C$1:C2234&lt;&gt;""""))))-1), IF('To Order'!$A2235=COL"&amp;"UMNS($A2235:C2254), C2234&amp;RIGHT(INDIRECT(ADDRESS(ROW(C2235)-1, 'From Order'!$A2235)), 1), C2234))"),"VBH")</f>
        <v>VBH</v>
      </c>
      <c r="D2235" s="2" t="str">
        <f>IFERROR(__xludf.DUMMYFUNCTION("IF('From Order'!$A2235=COLUMNS($A2235:D2254), LEFT(INDEX(FILTER(D$1:D2234, D$1:D2234&lt;&gt;""""),COUNTA(FILTER(D$1:D2234, D$1:D2234&lt;&gt;""""))), LEN(INDEX(FILTER(D$1:D2234, D$1:D2234&lt;&gt;""""),COUNTA(FILTER(D$1:D2234, D$1:D2234&lt;&gt;""""))))-1), IF('To Order'!$A2235=COL"&amp;"UMNS($A2235:D2254), D2234&amp;RIGHT(INDIRECT(ADDRESS(ROW(D2235)-1, 'From Order'!$A2235)), 1), D2234))"),"RGWD")</f>
        <v>RGWD</v>
      </c>
      <c r="E2235" s="2" t="str">
        <f>IFERROR(__xludf.DUMMYFUNCTION("IF('From Order'!$A2235=COLUMNS($A2235:E2254), LEFT(INDEX(FILTER(E$1:E2234, E$1:E2234&lt;&gt;""""),COUNTA(FILTER(E$1:E2234, E$1:E2234&lt;&gt;""""))), LEN(INDEX(FILTER(E$1:E2234, E$1:E2234&lt;&gt;""""),COUNTA(FILTER(E$1:E2234, E$1:E2234&lt;&gt;""""))))-1), IF('To Order'!$A2235=COL"&amp;"UMNS($A2235:E2254), E2234&amp;RIGHT(INDIRECT(ADDRESS(ROW(E2235)-1, 'From Order'!$A2235)), 1), E2234))"),"FRZSCTTQ")</f>
        <v>FRZSCTTQ</v>
      </c>
      <c r="F2235" s="2" t="str">
        <f>IFERROR(__xludf.DUMMYFUNCTION("IF('From Order'!$A2235=COLUMNS($A2235:F2254), LEFT(INDEX(FILTER(F$1:F2234, F$1:F2234&lt;&gt;""""),COUNTA(FILTER(F$1:F2234, F$1:F2234&lt;&gt;""""))), LEN(INDEX(FILTER(F$1:F2234, F$1:F2234&lt;&gt;""""),COUNTA(FILTER(F$1:F2234, F$1:F2234&lt;&gt;""""))))-1), IF('To Order'!$A2235=COL"&amp;"UMNS($A2235:F2254), F2234&amp;RIGHT(INDIRECT(ADDRESS(ROW(F2235)-1, 'From Order'!$A2235)), 1), F2234))"),"CJ")</f>
        <v>CJ</v>
      </c>
      <c r="G2235" s="2" t="str">
        <f>IFERROR(__xludf.DUMMYFUNCTION("IF('From Order'!$A2235=COLUMNS($A2235:G2254), LEFT(INDEX(FILTER(G$1:G2234, G$1:G2234&lt;&gt;""""),COUNTA(FILTER(G$1:G2234, G$1:G2234&lt;&gt;""""))), LEN(INDEX(FILTER(G$1:G2234, G$1:G2234&lt;&gt;""""),COUNTA(FILTER(G$1:G2234, G$1:G2234&lt;&gt;""""))))-1), IF('To Order'!$A2235=COL"&amp;"UMNS($A2235:G2254), G2234&amp;RIGHT(INDIRECT(ADDRESS(ROW(G2235)-1, 'From Order'!$A2235)), 1), G2234))"),"")</f>
        <v/>
      </c>
      <c r="H2235" s="2" t="str">
        <f>IFERROR(__xludf.DUMMYFUNCTION("IF('From Order'!$A2235=COLUMNS($A2235:H2254), LEFT(INDEX(FILTER(H$1:H2234, H$1:H2234&lt;&gt;""""),COUNTA(FILTER(H$1:H2234, H$1:H2234&lt;&gt;""""))), LEN(INDEX(FILTER(H$1:H2234, H$1:H2234&lt;&gt;""""),COUNTA(FILTER(H$1:H2234, H$1:H2234&lt;&gt;""""))))-1), IF('To Order'!$A2235=COL"&amp;"UMNS($A2235:H2254), H2234&amp;RIGHT(INDIRECT(ADDRESS(ROW(H2235)-1, 'From Order'!$A2235)), 1), H2234))"),"")</f>
        <v/>
      </c>
      <c r="I2235" s="2" t="str">
        <f>IFERROR(__xludf.DUMMYFUNCTION("IF('From Order'!$A2235=COLUMNS($A2235:I2254), LEFT(INDEX(FILTER(I$1:I2234, I$1:I2234&lt;&gt;""""),COUNTA(FILTER(I$1:I2234, I$1:I2234&lt;&gt;""""))), LEN(INDEX(FILTER(I$1:I2234, I$1:I2234&lt;&gt;""""),COUNTA(FILTER(I$1:I2234, I$1:I2234&lt;&gt;""""))))-1), IF('To Order'!$A2235=COL"&amp;"UMNS($A2235:I2254), I2234&amp;RIGHT(INDIRECT(ADDRESS(ROW(I2235)-1, 'From Order'!$A2235)), 1), I2234))"),"DDDVQZDMTTGMJRRLPSSTMZHPRBVJBCBFLLWT")</f>
        <v>DDDVQZDMTTGMJRRLPSSTMZHPRBVJBCBFLLWT</v>
      </c>
    </row>
    <row r="2236">
      <c r="A2236" s="2" t="str">
        <f>IFERROR(__xludf.DUMMYFUNCTION("IF('From Order'!$A2236=COLUMNS($A2236:A2255), LEFT(INDEX(FILTER(A$1:A2235, A$1:A2235&lt;&gt;""""),COUNTA(FILTER(A$1:A2235, A$1:A2235&lt;&gt;""""))), LEN(INDEX(FILTER(A$1:A2235, A$1:A2235&lt;&gt;""""),COUNTA(FILTER(A$1:A2235, A$1:A2235&lt;&gt;""""))))-1), IF('To Order'!$A2236=COL"&amp;"UMNS($A2236:A2255), A2235&amp;RIGHT(INDIRECT(ADDRESS(ROW(A2236)-1, 'From Order'!$A2236)), 1), A2235))"),"DSP")</f>
        <v>DSP</v>
      </c>
      <c r="B2236" s="2" t="str">
        <f>IFERROR(__xludf.DUMMYFUNCTION("IF('From Order'!$A2236=COLUMNS($A2236:B2255), LEFT(INDEX(FILTER(B$1:B2235, B$1:B2235&lt;&gt;""""),COUNTA(FILTER(B$1:B2235, B$1:B2235&lt;&gt;""""))), LEN(INDEX(FILTER(B$1:B2235, B$1:B2235&lt;&gt;""""),COUNTA(FILTER(B$1:B2235, B$1:B2235&lt;&gt;""""))))-1), IF('To Order'!$A2236=COL"&amp;"UMNS($A2236:B2255), B2235&amp;RIGHT(INDIRECT(ADDRESS(ROW(B2236)-1, 'From Order'!$A2236)), 1), B2235))"),"")</f>
        <v/>
      </c>
      <c r="C2236" s="2" t="str">
        <f>IFERROR(__xludf.DUMMYFUNCTION("IF('From Order'!$A2236=COLUMNS($A2236:C2255), LEFT(INDEX(FILTER(C$1:C2235, C$1:C2235&lt;&gt;""""),COUNTA(FILTER(C$1:C2235, C$1:C2235&lt;&gt;""""))), LEN(INDEX(FILTER(C$1:C2235, C$1:C2235&lt;&gt;""""),COUNTA(FILTER(C$1:C2235, C$1:C2235&lt;&gt;""""))))-1), IF('To Order'!$A2236=COL"&amp;"UMNS($A2236:C2255), C2235&amp;RIGHT(INDIRECT(ADDRESS(ROW(C2236)-1, 'From Order'!$A2236)), 1), C2235))"),"VBH")</f>
        <v>VBH</v>
      </c>
      <c r="D2236" s="2" t="str">
        <f>IFERROR(__xludf.DUMMYFUNCTION("IF('From Order'!$A2236=COLUMNS($A2236:D2255), LEFT(INDEX(FILTER(D$1:D2235, D$1:D2235&lt;&gt;""""),COUNTA(FILTER(D$1:D2235, D$1:D2235&lt;&gt;""""))), LEN(INDEX(FILTER(D$1:D2235, D$1:D2235&lt;&gt;""""),COUNTA(FILTER(D$1:D2235, D$1:D2235&lt;&gt;""""))))-1), IF('To Order'!$A2236=COL"&amp;"UMNS($A2236:D2255), D2235&amp;RIGHT(INDIRECT(ADDRESS(ROW(D2236)-1, 'From Order'!$A2236)), 1), D2235))"),"RGWD")</f>
        <v>RGWD</v>
      </c>
      <c r="E2236" s="2" t="str">
        <f>IFERROR(__xludf.DUMMYFUNCTION("IF('From Order'!$A2236=COLUMNS($A2236:E2255), LEFT(INDEX(FILTER(E$1:E2235, E$1:E2235&lt;&gt;""""),COUNTA(FILTER(E$1:E2235, E$1:E2235&lt;&gt;""""))), LEN(INDEX(FILTER(E$1:E2235, E$1:E2235&lt;&gt;""""),COUNTA(FILTER(E$1:E2235, E$1:E2235&lt;&gt;""""))))-1), IF('To Order'!$A2236=COL"&amp;"UMNS($A2236:E2255), E2235&amp;RIGHT(INDIRECT(ADDRESS(ROW(E2236)-1, 'From Order'!$A2236)), 1), E2235))"),"FRZSCTTQJ")</f>
        <v>FRZSCTTQJ</v>
      </c>
      <c r="F2236" s="2" t="str">
        <f>IFERROR(__xludf.DUMMYFUNCTION("IF('From Order'!$A2236=COLUMNS($A2236:F2255), LEFT(INDEX(FILTER(F$1:F2235, F$1:F2235&lt;&gt;""""),COUNTA(FILTER(F$1:F2235, F$1:F2235&lt;&gt;""""))), LEN(INDEX(FILTER(F$1:F2235, F$1:F2235&lt;&gt;""""),COUNTA(FILTER(F$1:F2235, F$1:F2235&lt;&gt;""""))))-1), IF('To Order'!$A2236=COL"&amp;"UMNS($A2236:F2255), F2235&amp;RIGHT(INDIRECT(ADDRESS(ROW(F2236)-1, 'From Order'!$A2236)), 1), F2235))"),"C")</f>
        <v>C</v>
      </c>
      <c r="G2236" s="2" t="str">
        <f>IFERROR(__xludf.DUMMYFUNCTION("IF('From Order'!$A2236=COLUMNS($A2236:G2255), LEFT(INDEX(FILTER(G$1:G2235, G$1:G2235&lt;&gt;""""),COUNTA(FILTER(G$1:G2235, G$1:G2235&lt;&gt;""""))), LEN(INDEX(FILTER(G$1:G2235, G$1:G2235&lt;&gt;""""),COUNTA(FILTER(G$1:G2235, G$1:G2235&lt;&gt;""""))))-1), IF('To Order'!$A2236=COL"&amp;"UMNS($A2236:G2255), G2235&amp;RIGHT(INDIRECT(ADDRESS(ROW(G2236)-1, 'From Order'!$A2236)), 1), G2235))"),"")</f>
        <v/>
      </c>
      <c r="H2236" s="2" t="str">
        <f>IFERROR(__xludf.DUMMYFUNCTION("IF('From Order'!$A2236=COLUMNS($A2236:H2255), LEFT(INDEX(FILTER(H$1:H2235, H$1:H2235&lt;&gt;""""),COUNTA(FILTER(H$1:H2235, H$1:H2235&lt;&gt;""""))), LEN(INDEX(FILTER(H$1:H2235, H$1:H2235&lt;&gt;""""),COUNTA(FILTER(H$1:H2235, H$1:H2235&lt;&gt;""""))))-1), IF('To Order'!$A2236=COL"&amp;"UMNS($A2236:H2255), H2235&amp;RIGHT(INDIRECT(ADDRESS(ROW(H2236)-1, 'From Order'!$A2236)), 1), H2235))"),"")</f>
        <v/>
      </c>
      <c r="I2236" s="2" t="str">
        <f>IFERROR(__xludf.DUMMYFUNCTION("IF('From Order'!$A2236=COLUMNS($A2236:I2255), LEFT(INDEX(FILTER(I$1:I2235, I$1:I2235&lt;&gt;""""),COUNTA(FILTER(I$1:I2235, I$1:I2235&lt;&gt;""""))), LEN(INDEX(FILTER(I$1:I2235, I$1:I2235&lt;&gt;""""),COUNTA(FILTER(I$1:I2235, I$1:I2235&lt;&gt;""""))))-1), IF('To Order'!$A2236=COL"&amp;"UMNS($A2236:I2255), I2235&amp;RIGHT(INDIRECT(ADDRESS(ROW(I2236)-1, 'From Order'!$A2236)), 1), I2235))"),"DDDVQZDMTTGMJRRLPSSTMZHPRBVJBCBFLLWT")</f>
        <v>DDDVQZDMTTGMJRRLPSSTMZHPRBVJBCBFLLWT</v>
      </c>
    </row>
    <row r="2237">
      <c r="A2237" s="2" t="str">
        <f>IFERROR(__xludf.DUMMYFUNCTION("IF('From Order'!$A2237=COLUMNS($A2237:A2256), LEFT(INDEX(FILTER(A$1:A2236, A$1:A2236&lt;&gt;""""),COUNTA(FILTER(A$1:A2236, A$1:A2236&lt;&gt;""""))), LEN(INDEX(FILTER(A$1:A2236, A$1:A2236&lt;&gt;""""),COUNTA(FILTER(A$1:A2236, A$1:A2236&lt;&gt;""""))))-1), IF('To Order'!$A2237=COL"&amp;"UMNS($A2237:A2256), A2236&amp;RIGHT(INDIRECT(ADDRESS(ROW(A2237)-1, 'From Order'!$A2237)), 1), A2236))"),"DSP")</f>
        <v>DSP</v>
      </c>
      <c r="B2237" s="2" t="str">
        <f>IFERROR(__xludf.DUMMYFUNCTION("IF('From Order'!$A2237=COLUMNS($A2237:B2256), LEFT(INDEX(FILTER(B$1:B2236, B$1:B2236&lt;&gt;""""),COUNTA(FILTER(B$1:B2236, B$1:B2236&lt;&gt;""""))), LEN(INDEX(FILTER(B$1:B2236, B$1:B2236&lt;&gt;""""),COUNTA(FILTER(B$1:B2236, B$1:B2236&lt;&gt;""""))))-1), IF('To Order'!$A2237=COL"&amp;"UMNS($A2237:B2256), B2236&amp;RIGHT(INDIRECT(ADDRESS(ROW(B2237)-1, 'From Order'!$A2237)), 1), B2236))"),"")</f>
        <v/>
      </c>
      <c r="C2237" s="2" t="str">
        <f>IFERROR(__xludf.DUMMYFUNCTION("IF('From Order'!$A2237=COLUMNS($A2237:C2256), LEFT(INDEX(FILTER(C$1:C2236, C$1:C2236&lt;&gt;""""),COUNTA(FILTER(C$1:C2236, C$1:C2236&lt;&gt;""""))), LEN(INDEX(FILTER(C$1:C2236, C$1:C2236&lt;&gt;""""),COUNTA(FILTER(C$1:C2236, C$1:C2236&lt;&gt;""""))))-1), IF('To Order'!$A2237=COL"&amp;"UMNS($A2237:C2256), C2236&amp;RIGHT(INDIRECT(ADDRESS(ROW(C2237)-1, 'From Order'!$A2237)), 1), C2236))"),"VBH")</f>
        <v>VBH</v>
      </c>
      <c r="D2237" s="2" t="str">
        <f>IFERROR(__xludf.DUMMYFUNCTION("IF('From Order'!$A2237=COLUMNS($A2237:D2256), LEFT(INDEX(FILTER(D$1:D2236, D$1:D2236&lt;&gt;""""),COUNTA(FILTER(D$1:D2236, D$1:D2236&lt;&gt;""""))), LEN(INDEX(FILTER(D$1:D2236, D$1:D2236&lt;&gt;""""),COUNTA(FILTER(D$1:D2236, D$1:D2236&lt;&gt;""""))))-1), IF('To Order'!$A2237=COL"&amp;"UMNS($A2237:D2256), D2236&amp;RIGHT(INDIRECT(ADDRESS(ROW(D2237)-1, 'From Order'!$A2237)), 1), D2236))"),"RGWD")</f>
        <v>RGWD</v>
      </c>
      <c r="E2237" s="2" t="str">
        <f>IFERROR(__xludf.DUMMYFUNCTION("IF('From Order'!$A2237=COLUMNS($A2237:E2256), LEFT(INDEX(FILTER(E$1:E2236, E$1:E2236&lt;&gt;""""),COUNTA(FILTER(E$1:E2236, E$1:E2236&lt;&gt;""""))), LEN(INDEX(FILTER(E$1:E2236, E$1:E2236&lt;&gt;""""),COUNTA(FILTER(E$1:E2236, E$1:E2236&lt;&gt;""""))))-1), IF('To Order'!$A2237=COL"&amp;"UMNS($A2237:E2256), E2236&amp;RIGHT(INDIRECT(ADDRESS(ROW(E2237)-1, 'From Order'!$A2237)), 1), E2236))"),"FRZSCTTQJC")</f>
        <v>FRZSCTTQJC</v>
      </c>
      <c r="F2237" s="2" t="str">
        <f>IFERROR(__xludf.DUMMYFUNCTION("IF('From Order'!$A2237=COLUMNS($A2237:F2256), LEFT(INDEX(FILTER(F$1:F2236, F$1:F2236&lt;&gt;""""),COUNTA(FILTER(F$1:F2236, F$1:F2236&lt;&gt;""""))), LEN(INDEX(FILTER(F$1:F2236, F$1:F2236&lt;&gt;""""),COUNTA(FILTER(F$1:F2236, F$1:F2236&lt;&gt;""""))))-1), IF('To Order'!$A2237=COL"&amp;"UMNS($A2237:F2256), F2236&amp;RIGHT(INDIRECT(ADDRESS(ROW(F2237)-1, 'From Order'!$A2237)), 1), F2236))"),"")</f>
        <v/>
      </c>
      <c r="G2237" s="2" t="str">
        <f>IFERROR(__xludf.DUMMYFUNCTION("IF('From Order'!$A2237=COLUMNS($A2237:G2256), LEFT(INDEX(FILTER(G$1:G2236, G$1:G2236&lt;&gt;""""),COUNTA(FILTER(G$1:G2236, G$1:G2236&lt;&gt;""""))), LEN(INDEX(FILTER(G$1:G2236, G$1:G2236&lt;&gt;""""),COUNTA(FILTER(G$1:G2236, G$1:G2236&lt;&gt;""""))))-1), IF('To Order'!$A2237=COL"&amp;"UMNS($A2237:G2256), G2236&amp;RIGHT(INDIRECT(ADDRESS(ROW(G2237)-1, 'From Order'!$A2237)), 1), G2236))"),"")</f>
        <v/>
      </c>
      <c r="H2237" s="2" t="str">
        <f>IFERROR(__xludf.DUMMYFUNCTION("IF('From Order'!$A2237=COLUMNS($A2237:H2256), LEFT(INDEX(FILTER(H$1:H2236, H$1:H2236&lt;&gt;""""),COUNTA(FILTER(H$1:H2236, H$1:H2236&lt;&gt;""""))), LEN(INDEX(FILTER(H$1:H2236, H$1:H2236&lt;&gt;""""),COUNTA(FILTER(H$1:H2236, H$1:H2236&lt;&gt;""""))))-1), IF('To Order'!$A2237=COL"&amp;"UMNS($A2237:H2256), H2236&amp;RIGHT(INDIRECT(ADDRESS(ROW(H2237)-1, 'From Order'!$A2237)), 1), H2236))"),"")</f>
        <v/>
      </c>
      <c r="I2237" s="2" t="str">
        <f>IFERROR(__xludf.DUMMYFUNCTION("IF('From Order'!$A2237=COLUMNS($A2237:I2256), LEFT(INDEX(FILTER(I$1:I2236, I$1:I2236&lt;&gt;""""),COUNTA(FILTER(I$1:I2236, I$1:I2236&lt;&gt;""""))), LEN(INDEX(FILTER(I$1:I2236, I$1:I2236&lt;&gt;""""),COUNTA(FILTER(I$1:I2236, I$1:I2236&lt;&gt;""""))))-1), IF('To Order'!$A2237=COL"&amp;"UMNS($A2237:I2256), I2236&amp;RIGHT(INDIRECT(ADDRESS(ROW(I2237)-1, 'From Order'!$A2237)), 1), I2236))"),"DDDVQZDMTTGMJRRLPSSTMZHPRBVJBCBFLLWT")</f>
        <v>DDDVQZDMTTGMJRRLPSSTMZHPRBVJBCBFLLWT</v>
      </c>
    </row>
    <row r="2238">
      <c r="A2238" s="2" t="str">
        <f>IFERROR(__xludf.DUMMYFUNCTION("IF('From Order'!$A2238=COLUMNS($A2238:A2257), LEFT(INDEX(FILTER(A$1:A2237, A$1:A2237&lt;&gt;""""),COUNTA(FILTER(A$1:A2237, A$1:A2237&lt;&gt;""""))), LEN(INDEX(FILTER(A$1:A2237, A$1:A2237&lt;&gt;""""),COUNTA(FILTER(A$1:A2237, A$1:A2237&lt;&gt;""""))))-1), IF('To Order'!$A2238=COL"&amp;"UMNS($A2238:A2257), A2237&amp;RIGHT(INDIRECT(ADDRESS(ROW(A2238)-1, 'From Order'!$A2238)), 1), A2237))"),"DSP")</f>
        <v>DSP</v>
      </c>
      <c r="B2238" s="2" t="str">
        <f>IFERROR(__xludf.DUMMYFUNCTION("IF('From Order'!$A2238=COLUMNS($A2238:B2257), LEFT(INDEX(FILTER(B$1:B2237, B$1:B2237&lt;&gt;""""),COUNTA(FILTER(B$1:B2237, B$1:B2237&lt;&gt;""""))), LEN(INDEX(FILTER(B$1:B2237, B$1:B2237&lt;&gt;""""),COUNTA(FILTER(B$1:B2237, B$1:B2237&lt;&gt;""""))))-1), IF('To Order'!$A2238=COL"&amp;"UMNS($A2238:B2257), B2237&amp;RIGHT(INDIRECT(ADDRESS(ROW(B2238)-1, 'From Order'!$A2238)), 1), B2237))"),"C")</f>
        <v>C</v>
      </c>
      <c r="C2238" s="2" t="str">
        <f>IFERROR(__xludf.DUMMYFUNCTION("IF('From Order'!$A2238=COLUMNS($A2238:C2257), LEFT(INDEX(FILTER(C$1:C2237, C$1:C2237&lt;&gt;""""),COUNTA(FILTER(C$1:C2237, C$1:C2237&lt;&gt;""""))), LEN(INDEX(FILTER(C$1:C2237, C$1:C2237&lt;&gt;""""),COUNTA(FILTER(C$1:C2237, C$1:C2237&lt;&gt;""""))))-1), IF('To Order'!$A2238=COL"&amp;"UMNS($A2238:C2257), C2237&amp;RIGHT(INDIRECT(ADDRESS(ROW(C2238)-1, 'From Order'!$A2238)), 1), C2237))"),"VBH")</f>
        <v>VBH</v>
      </c>
      <c r="D2238" s="2" t="str">
        <f>IFERROR(__xludf.DUMMYFUNCTION("IF('From Order'!$A2238=COLUMNS($A2238:D2257), LEFT(INDEX(FILTER(D$1:D2237, D$1:D2237&lt;&gt;""""),COUNTA(FILTER(D$1:D2237, D$1:D2237&lt;&gt;""""))), LEN(INDEX(FILTER(D$1:D2237, D$1:D2237&lt;&gt;""""),COUNTA(FILTER(D$1:D2237, D$1:D2237&lt;&gt;""""))))-1), IF('To Order'!$A2238=COL"&amp;"UMNS($A2238:D2257), D2237&amp;RIGHT(INDIRECT(ADDRESS(ROW(D2238)-1, 'From Order'!$A2238)), 1), D2237))"),"RGWD")</f>
        <v>RGWD</v>
      </c>
      <c r="E2238" s="2" t="str">
        <f>IFERROR(__xludf.DUMMYFUNCTION("IF('From Order'!$A2238=COLUMNS($A2238:E2257), LEFT(INDEX(FILTER(E$1:E2237, E$1:E2237&lt;&gt;""""),COUNTA(FILTER(E$1:E2237, E$1:E2237&lt;&gt;""""))), LEN(INDEX(FILTER(E$1:E2237, E$1:E2237&lt;&gt;""""),COUNTA(FILTER(E$1:E2237, E$1:E2237&lt;&gt;""""))))-1), IF('To Order'!$A2238=COL"&amp;"UMNS($A2238:E2257), E2237&amp;RIGHT(INDIRECT(ADDRESS(ROW(E2238)-1, 'From Order'!$A2238)), 1), E2237))"),"FRZSCTTQJ")</f>
        <v>FRZSCTTQJ</v>
      </c>
      <c r="F2238" s="2" t="str">
        <f>IFERROR(__xludf.DUMMYFUNCTION("IF('From Order'!$A2238=COLUMNS($A2238:F2257), LEFT(INDEX(FILTER(F$1:F2237, F$1:F2237&lt;&gt;""""),COUNTA(FILTER(F$1:F2237, F$1:F2237&lt;&gt;""""))), LEN(INDEX(FILTER(F$1:F2237, F$1:F2237&lt;&gt;""""),COUNTA(FILTER(F$1:F2237, F$1:F2237&lt;&gt;""""))))-1), IF('To Order'!$A2238=COL"&amp;"UMNS($A2238:F2257), F2237&amp;RIGHT(INDIRECT(ADDRESS(ROW(F2238)-1, 'From Order'!$A2238)), 1), F2237))"),"")</f>
        <v/>
      </c>
      <c r="G2238" s="2" t="str">
        <f>IFERROR(__xludf.DUMMYFUNCTION("IF('From Order'!$A2238=COLUMNS($A2238:G2257), LEFT(INDEX(FILTER(G$1:G2237, G$1:G2237&lt;&gt;""""),COUNTA(FILTER(G$1:G2237, G$1:G2237&lt;&gt;""""))), LEN(INDEX(FILTER(G$1:G2237, G$1:G2237&lt;&gt;""""),COUNTA(FILTER(G$1:G2237, G$1:G2237&lt;&gt;""""))))-1), IF('To Order'!$A2238=COL"&amp;"UMNS($A2238:G2257), G2237&amp;RIGHT(INDIRECT(ADDRESS(ROW(G2238)-1, 'From Order'!$A2238)), 1), G2237))"),"")</f>
        <v/>
      </c>
      <c r="H2238" s="2" t="str">
        <f>IFERROR(__xludf.DUMMYFUNCTION("IF('From Order'!$A2238=COLUMNS($A2238:H2257), LEFT(INDEX(FILTER(H$1:H2237, H$1:H2237&lt;&gt;""""),COUNTA(FILTER(H$1:H2237, H$1:H2237&lt;&gt;""""))), LEN(INDEX(FILTER(H$1:H2237, H$1:H2237&lt;&gt;""""),COUNTA(FILTER(H$1:H2237, H$1:H2237&lt;&gt;""""))))-1), IF('To Order'!$A2238=COL"&amp;"UMNS($A2238:H2257), H2237&amp;RIGHT(INDIRECT(ADDRESS(ROW(H2238)-1, 'From Order'!$A2238)), 1), H2237))"),"")</f>
        <v/>
      </c>
      <c r="I2238" s="2" t="str">
        <f>IFERROR(__xludf.DUMMYFUNCTION("IF('From Order'!$A2238=COLUMNS($A2238:I2257), LEFT(INDEX(FILTER(I$1:I2237, I$1:I2237&lt;&gt;""""),COUNTA(FILTER(I$1:I2237, I$1:I2237&lt;&gt;""""))), LEN(INDEX(FILTER(I$1:I2237, I$1:I2237&lt;&gt;""""),COUNTA(FILTER(I$1:I2237, I$1:I2237&lt;&gt;""""))))-1), IF('To Order'!$A2238=COL"&amp;"UMNS($A2238:I2257), I2237&amp;RIGHT(INDIRECT(ADDRESS(ROW(I2238)-1, 'From Order'!$A2238)), 1), I2237))"),"DDDVQZDMTTGMJRRLPSSTMZHPRBVJBCBFLLWT")</f>
        <v>DDDVQZDMTTGMJRRLPSSTMZHPRBVJBCBFLLWT</v>
      </c>
    </row>
    <row r="2239">
      <c r="A2239" s="2" t="str">
        <f>IFERROR(__xludf.DUMMYFUNCTION("IF('From Order'!$A2239=COLUMNS($A2239:A2258), LEFT(INDEX(FILTER(A$1:A2238, A$1:A2238&lt;&gt;""""),COUNTA(FILTER(A$1:A2238, A$1:A2238&lt;&gt;""""))), LEN(INDEX(FILTER(A$1:A2238, A$1:A2238&lt;&gt;""""),COUNTA(FILTER(A$1:A2238, A$1:A2238&lt;&gt;""""))))-1), IF('To Order'!$A2239=COL"&amp;"UMNS($A2239:A2258), A2238&amp;RIGHT(INDIRECT(ADDRESS(ROW(A2239)-1, 'From Order'!$A2239)), 1), A2238))"),"DSP")</f>
        <v>DSP</v>
      </c>
      <c r="B2239" s="2" t="str">
        <f>IFERROR(__xludf.DUMMYFUNCTION("IF('From Order'!$A2239=COLUMNS($A2239:B2258), LEFT(INDEX(FILTER(B$1:B2238, B$1:B2238&lt;&gt;""""),COUNTA(FILTER(B$1:B2238, B$1:B2238&lt;&gt;""""))), LEN(INDEX(FILTER(B$1:B2238, B$1:B2238&lt;&gt;""""),COUNTA(FILTER(B$1:B2238, B$1:B2238&lt;&gt;""""))))-1), IF('To Order'!$A2239=COL"&amp;"UMNS($A2239:B2258), B2238&amp;RIGHT(INDIRECT(ADDRESS(ROW(B2239)-1, 'From Order'!$A2239)), 1), B2238))"),"CJ")</f>
        <v>CJ</v>
      </c>
      <c r="C2239" s="2" t="str">
        <f>IFERROR(__xludf.DUMMYFUNCTION("IF('From Order'!$A2239=COLUMNS($A2239:C2258), LEFT(INDEX(FILTER(C$1:C2238, C$1:C2238&lt;&gt;""""),COUNTA(FILTER(C$1:C2238, C$1:C2238&lt;&gt;""""))), LEN(INDEX(FILTER(C$1:C2238, C$1:C2238&lt;&gt;""""),COUNTA(FILTER(C$1:C2238, C$1:C2238&lt;&gt;""""))))-1), IF('To Order'!$A2239=COL"&amp;"UMNS($A2239:C2258), C2238&amp;RIGHT(INDIRECT(ADDRESS(ROW(C2239)-1, 'From Order'!$A2239)), 1), C2238))"),"VBH")</f>
        <v>VBH</v>
      </c>
      <c r="D2239" s="2" t="str">
        <f>IFERROR(__xludf.DUMMYFUNCTION("IF('From Order'!$A2239=COLUMNS($A2239:D2258), LEFT(INDEX(FILTER(D$1:D2238, D$1:D2238&lt;&gt;""""),COUNTA(FILTER(D$1:D2238, D$1:D2238&lt;&gt;""""))), LEN(INDEX(FILTER(D$1:D2238, D$1:D2238&lt;&gt;""""),COUNTA(FILTER(D$1:D2238, D$1:D2238&lt;&gt;""""))))-1), IF('To Order'!$A2239=COL"&amp;"UMNS($A2239:D2258), D2238&amp;RIGHT(INDIRECT(ADDRESS(ROW(D2239)-1, 'From Order'!$A2239)), 1), D2238))"),"RGWD")</f>
        <v>RGWD</v>
      </c>
      <c r="E2239" s="2" t="str">
        <f>IFERROR(__xludf.DUMMYFUNCTION("IF('From Order'!$A2239=COLUMNS($A2239:E2258), LEFT(INDEX(FILTER(E$1:E2238, E$1:E2238&lt;&gt;""""),COUNTA(FILTER(E$1:E2238, E$1:E2238&lt;&gt;""""))), LEN(INDEX(FILTER(E$1:E2238, E$1:E2238&lt;&gt;""""),COUNTA(FILTER(E$1:E2238, E$1:E2238&lt;&gt;""""))))-1), IF('To Order'!$A2239=COL"&amp;"UMNS($A2239:E2258), E2238&amp;RIGHT(INDIRECT(ADDRESS(ROW(E2239)-1, 'From Order'!$A2239)), 1), E2238))"),"FRZSCTTQ")</f>
        <v>FRZSCTTQ</v>
      </c>
      <c r="F2239" s="2" t="str">
        <f>IFERROR(__xludf.DUMMYFUNCTION("IF('From Order'!$A2239=COLUMNS($A2239:F2258), LEFT(INDEX(FILTER(F$1:F2238, F$1:F2238&lt;&gt;""""),COUNTA(FILTER(F$1:F2238, F$1:F2238&lt;&gt;""""))), LEN(INDEX(FILTER(F$1:F2238, F$1:F2238&lt;&gt;""""),COUNTA(FILTER(F$1:F2238, F$1:F2238&lt;&gt;""""))))-1), IF('To Order'!$A2239=COL"&amp;"UMNS($A2239:F2258), F2238&amp;RIGHT(INDIRECT(ADDRESS(ROW(F2239)-1, 'From Order'!$A2239)), 1), F2238))"),"")</f>
        <v/>
      </c>
      <c r="G2239" s="2" t="str">
        <f>IFERROR(__xludf.DUMMYFUNCTION("IF('From Order'!$A2239=COLUMNS($A2239:G2258), LEFT(INDEX(FILTER(G$1:G2238, G$1:G2238&lt;&gt;""""),COUNTA(FILTER(G$1:G2238, G$1:G2238&lt;&gt;""""))), LEN(INDEX(FILTER(G$1:G2238, G$1:G2238&lt;&gt;""""),COUNTA(FILTER(G$1:G2238, G$1:G2238&lt;&gt;""""))))-1), IF('To Order'!$A2239=COL"&amp;"UMNS($A2239:G2258), G2238&amp;RIGHT(INDIRECT(ADDRESS(ROW(G2239)-1, 'From Order'!$A2239)), 1), G2238))"),"")</f>
        <v/>
      </c>
      <c r="H2239" s="2" t="str">
        <f>IFERROR(__xludf.DUMMYFUNCTION("IF('From Order'!$A2239=COLUMNS($A2239:H2258), LEFT(INDEX(FILTER(H$1:H2238, H$1:H2238&lt;&gt;""""),COUNTA(FILTER(H$1:H2238, H$1:H2238&lt;&gt;""""))), LEN(INDEX(FILTER(H$1:H2238, H$1:H2238&lt;&gt;""""),COUNTA(FILTER(H$1:H2238, H$1:H2238&lt;&gt;""""))))-1), IF('To Order'!$A2239=COL"&amp;"UMNS($A2239:H2258), H2238&amp;RIGHT(INDIRECT(ADDRESS(ROW(H2239)-1, 'From Order'!$A2239)), 1), H2238))"),"")</f>
        <v/>
      </c>
      <c r="I2239" s="2" t="str">
        <f>IFERROR(__xludf.DUMMYFUNCTION("IF('From Order'!$A2239=COLUMNS($A2239:I2258), LEFT(INDEX(FILTER(I$1:I2238, I$1:I2238&lt;&gt;""""),COUNTA(FILTER(I$1:I2238, I$1:I2238&lt;&gt;""""))), LEN(INDEX(FILTER(I$1:I2238, I$1:I2238&lt;&gt;""""),COUNTA(FILTER(I$1:I2238, I$1:I2238&lt;&gt;""""))))-1), IF('To Order'!$A2239=COL"&amp;"UMNS($A2239:I2258), I2238&amp;RIGHT(INDIRECT(ADDRESS(ROW(I2239)-1, 'From Order'!$A2239)), 1), I2238))"),"DDDVQZDMTTGMJRRLPSSTMZHPRBVJBCBFLLWT")</f>
        <v>DDDVQZDMTTGMJRRLPSSTMZHPRBVJBCBFLLWT</v>
      </c>
    </row>
    <row r="2240">
      <c r="A2240" s="2" t="str">
        <f>IFERROR(__xludf.DUMMYFUNCTION("IF('From Order'!$A2240=COLUMNS($A2240:A2259), LEFT(INDEX(FILTER(A$1:A2239, A$1:A2239&lt;&gt;""""),COUNTA(FILTER(A$1:A2239, A$1:A2239&lt;&gt;""""))), LEN(INDEX(FILTER(A$1:A2239, A$1:A2239&lt;&gt;""""),COUNTA(FILTER(A$1:A2239, A$1:A2239&lt;&gt;""""))))-1), IF('To Order'!$A2240=COL"&amp;"UMNS($A2240:A2259), A2239&amp;RIGHT(INDIRECT(ADDRESS(ROW(A2240)-1, 'From Order'!$A2240)), 1), A2239))"),"DSP")</f>
        <v>DSP</v>
      </c>
      <c r="B2240" s="2" t="str">
        <f>IFERROR(__xludf.DUMMYFUNCTION("IF('From Order'!$A2240=COLUMNS($A2240:B2259), LEFT(INDEX(FILTER(B$1:B2239, B$1:B2239&lt;&gt;""""),COUNTA(FILTER(B$1:B2239, B$1:B2239&lt;&gt;""""))), LEN(INDEX(FILTER(B$1:B2239, B$1:B2239&lt;&gt;""""),COUNTA(FILTER(B$1:B2239, B$1:B2239&lt;&gt;""""))))-1), IF('To Order'!$A2240=COL"&amp;"UMNS($A2240:B2259), B2239&amp;RIGHT(INDIRECT(ADDRESS(ROW(B2240)-1, 'From Order'!$A2240)), 1), B2239))"),"CJQ")</f>
        <v>CJQ</v>
      </c>
      <c r="C2240" s="2" t="str">
        <f>IFERROR(__xludf.DUMMYFUNCTION("IF('From Order'!$A2240=COLUMNS($A2240:C2259), LEFT(INDEX(FILTER(C$1:C2239, C$1:C2239&lt;&gt;""""),COUNTA(FILTER(C$1:C2239, C$1:C2239&lt;&gt;""""))), LEN(INDEX(FILTER(C$1:C2239, C$1:C2239&lt;&gt;""""),COUNTA(FILTER(C$1:C2239, C$1:C2239&lt;&gt;""""))))-1), IF('To Order'!$A2240=COL"&amp;"UMNS($A2240:C2259), C2239&amp;RIGHT(INDIRECT(ADDRESS(ROW(C2240)-1, 'From Order'!$A2240)), 1), C2239))"),"VBH")</f>
        <v>VBH</v>
      </c>
      <c r="D2240" s="2" t="str">
        <f>IFERROR(__xludf.DUMMYFUNCTION("IF('From Order'!$A2240=COLUMNS($A2240:D2259), LEFT(INDEX(FILTER(D$1:D2239, D$1:D2239&lt;&gt;""""),COUNTA(FILTER(D$1:D2239, D$1:D2239&lt;&gt;""""))), LEN(INDEX(FILTER(D$1:D2239, D$1:D2239&lt;&gt;""""),COUNTA(FILTER(D$1:D2239, D$1:D2239&lt;&gt;""""))))-1), IF('To Order'!$A2240=COL"&amp;"UMNS($A2240:D2259), D2239&amp;RIGHT(INDIRECT(ADDRESS(ROW(D2240)-1, 'From Order'!$A2240)), 1), D2239))"),"RGWD")</f>
        <v>RGWD</v>
      </c>
      <c r="E2240" s="2" t="str">
        <f>IFERROR(__xludf.DUMMYFUNCTION("IF('From Order'!$A2240=COLUMNS($A2240:E2259), LEFT(INDEX(FILTER(E$1:E2239, E$1:E2239&lt;&gt;""""),COUNTA(FILTER(E$1:E2239, E$1:E2239&lt;&gt;""""))), LEN(INDEX(FILTER(E$1:E2239, E$1:E2239&lt;&gt;""""),COUNTA(FILTER(E$1:E2239, E$1:E2239&lt;&gt;""""))))-1), IF('To Order'!$A2240=COL"&amp;"UMNS($A2240:E2259), E2239&amp;RIGHT(INDIRECT(ADDRESS(ROW(E2240)-1, 'From Order'!$A2240)), 1), E2239))"),"FRZSCTT")</f>
        <v>FRZSCTT</v>
      </c>
      <c r="F2240" s="2" t="str">
        <f>IFERROR(__xludf.DUMMYFUNCTION("IF('From Order'!$A2240=COLUMNS($A2240:F2259), LEFT(INDEX(FILTER(F$1:F2239, F$1:F2239&lt;&gt;""""),COUNTA(FILTER(F$1:F2239, F$1:F2239&lt;&gt;""""))), LEN(INDEX(FILTER(F$1:F2239, F$1:F2239&lt;&gt;""""),COUNTA(FILTER(F$1:F2239, F$1:F2239&lt;&gt;""""))))-1), IF('To Order'!$A2240=COL"&amp;"UMNS($A2240:F2259), F2239&amp;RIGHT(INDIRECT(ADDRESS(ROW(F2240)-1, 'From Order'!$A2240)), 1), F2239))"),"")</f>
        <v/>
      </c>
      <c r="G2240" s="2" t="str">
        <f>IFERROR(__xludf.DUMMYFUNCTION("IF('From Order'!$A2240=COLUMNS($A2240:G2259), LEFT(INDEX(FILTER(G$1:G2239, G$1:G2239&lt;&gt;""""),COUNTA(FILTER(G$1:G2239, G$1:G2239&lt;&gt;""""))), LEN(INDEX(FILTER(G$1:G2239, G$1:G2239&lt;&gt;""""),COUNTA(FILTER(G$1:G2239, G$1:G2239&lt;&gt;""""))))-1), IF('To Order'!$A2240=COL"&amp;"UMNS($A2240:G2259), G2239&amp;RIGHT(INDIRECT(ADDRESS(ROW(G2240)-1, 'From Order'!$A2240)), 1), G2239))"),"")</f>
        <v/>
      </c>
      <c r="H2240" s="2" t="str">
        <f>IFERROR(__xludf.DUMMYFUNCTION("IF('From Order'!$A2240=COLUMNS($A2240:H2259), LEFT(INDEX(FILTER(H$1:H2239, H$1:H2239&lt;&gt;""""),COUNTA(FILTER(H$1:H2239, H$1:H2239&lt;&gt;""""))), LEN(INDEX(FILTER(H$1:H2239, H$1:H2239&lt;&gt;""""),COUNTA(FILTER(H$1:H2239, H$1:H2239&lt;&gt;""""))))-1), IF('To Order'!$A2240=COL"&amp;"UMNS($A2240:H2259), H2239&amp;RIGHT(INDIRECT(ADDRESS(ROW(H2240)-1, 'From Order'!$A2240)), 1), H2239))"),"")</f>
        <v/>
      </c>
      <c r="I2240" s="2" t="str">
        <f>IFERROR(__xludf.DUMMYFUNCTION("IF('From Order'!$A2240=COLUMNS($A2240:I2259), LEFT(INDEX(FILTER(I$1:I2239, I$1:I2239&lt;&gt;""""),COUNTA(FILTER(I$1:I2239, I$1:I2239&lt;&gt;""""))), LEN(INDEX(FILTER(I$1:I2239, I$1:I2239&lt;&gt;""""),COUNTA(FILTER(I$1:I2239, I$1:I2239&lt;&gt;""""))))-1), IF('To Order'!$A2240=COL"&amp;"UMNS($A2240:I2259), I2239&amp;RIGHT(INDIRECT(ADDRESS(ROW(I2240)-1, 'From Order'!$A2240)), 1), I2239))"),"DDDVQZDMTTGMJRRLPSSTMZHPRBVJBCBFLLWT")</f>
        <v>DDDVQZDMTTGMJRRLPSSTMZHPRBVJBCBFLLWT</v>
      </c>
    </row>
    <row r="2241">
      <c r="A2241" s="2" t="str">
        <f>IFERROR(__xludf.DUMMYFUNCTION("IF('From Order'!$A2241=COLUMNS($A2241:A2260), LEFT(INDEX(FILTER(A$1:A2240, A$1:A2240&lt;&gt;""""),COUNTA(FILTER(A$1:A2240, A$1:A2240&lt;&gt;""""))), LEN(INDEX(FILTER(A$1:A2240, A$1:A2240&lt;&gt;""""),COUNTA(FILTER(A$1:A2240, A$1:A2240&lt;&gt;""""))))-1), IF('To Order'!$A2241=COL"&amp;"UMNS($A2241:A2260), A2240&amp;RIGHT(INDIRECT(ADDRESS(ROW(A2241)-1, 'From Order'!$A2241)), 1), A2240))"),"DSP")</f>
        <v>DSP</v>
      </c>
      <c r="B2241" s="2" t="str">
        <f>IFERROR(__xludf.DUMMYFUNCTION("IF('From Order'!$A2241=COLUMNS($A2241:B2260), LEFT(INDEX(FILTER(B$1:B2240, B$1:B2240&lt;&gt;""""),COUNTA(FILTER(B$1:B2240, B$1:B2240&lt;&gt;""""))), LEN(INDEX(FILTER(B$1:B2240, B$1:B2240&lt;&gt;""""),COUNTA(FILTER(B$1:B2240, B$1:B2240&lt;&gt;""""))))-1), IF('To Order'!$A2241=COL"&amp;"UMNS($A2241:B2260), B2240&amp;RIGHT(INDIRECT(ADDRESS(ROW(B2241)-1, 'From Order'!$A2241)), 1), B2240))"),"CJQT")</f>
        <v>CJQT</v>
      </c>
      <c r="C2241" s="2" t="str">
        <f>IFERROR(__xludf.DUMMYFUNCTION("IF('From Order'!$A2241=COLUMNS($A2241:C2260), LEFT(INDEX(FILTER(C$1:C2240, C$1:C2240&lt;&gt;""""),COUNTA(FILTER(C$1:C2240, C$1:C2240&lt;&gt;""""))), LEN(INDEX(FILTER(C$1:C2240, C$1:C2240&lt;&gt;""""),COUNTA(FILTER(C$1:C2240, C$1:C2240&lt;&gt;""""))))-1), IF('To Order'!$A2241=COL"&amp;"UMNS($A2241:C2260), C2240&amp;RIGHT(INDIRECT(ADDRESS(ROW(C2241)-1, 'From Order'!$A2241)), 1), C2240))"),"VBH")</f>
        <v>VBH</v>
      </c>
      <c r="D2241" s="2" t="str">
        <f>IFERROR(__xludf.DUMMYFUNCTION("IF('From Order'!$A2241=COLUMNS($A2241:D2260), LEFT(INDEX(FILTER(D$1:D2240, D$1:D2240&lt;&gt;""""),COUNTA(FILTER(D$1:D2240, D$1:D2240&lt;&gt;""""))), LEN(INDEX(FILTER(D$1:D2240, D$1:D2240&lt;&gt;""""),COUNTA(FILTER(D$1:D2240, D$1:D2240&lt;&gt;""""))))-1), IF('To Order'!$A2241=COL"&amp;"UMNS($A2241:D2260), D2240&amp;RIGHT(INDIRECT(ADDRESS(ROW(D2241)-1, 'From Order'!$A2241)), 1), D2240))"),"RGWD")</f>
        <v>RGWD</v>
      </c>
      <c r="E2241" s="2" t="str">
        <f>IFERROR(__xludf.DUMMYFUNCTION("IF('From Order'!$A2241=COLUMNS($A2241:E2260), LEFT(INDEX(FILTER(E$1:E2240, E$1:E2240&lt;&gt;""""),COUNTA(FILTER(E$1:E2240, E$1:E2240&lt;&gt;""""))), LEN(INDEX(FILTER(E$1:E2240, E$1:E2240&lt;&gt;""""),COUNTA(FILTER(E$1:E2240, E$1:E2240&lt;&gt;""""))))-1), IF('To Order'!$A2241=COL"&amp;"UMNS($A2241:E2260), E2240&amp;RIGHT(INDIRECT(ADDRESS(ROW(E2241)-1, 'From Order'!$A2241)), 1), E2240))"),"FRZSCT")</f>
        <v>FRZSCT</v>
      </c>
      <c r="F2241" s="2" t="str">
        <f>IFERROR(__xludf.DUMMYFUNCTION("IF('From Order'!$A2241=COLUMNS($A2241:F2260), LEFT(INDEX(FILTER(F$1:F2240, F$1:F2240&lt;&gt;""""),COUNTA(FILTER(F$1:F2240, F$1:F2240&lt;&gt;""""))), LEN(INDEX(FILTER(F$1:F2240, F$1:F2240&lt;&gt;""""),COUNTA(FILTER(F$1:F2240, F$1:F2240&lt;&gt;""""))))-1), IF('To Order'!$A2241=COL"&amp;"UMNS($A2241:F2260), F2240&amp;RIGHT(INDIRECT(ADDRESS(ROW(F2241)-1, 'From Order'!$A2241)), 1), F2240))"),"")</f>
        <v/>
      </c>
      <c r="G2241" s="2" t="str">
        <f>IFERROR(__xludf.DUMMYFUNCTION("IF('From Order'!$A2241=COLUMNS($A2241:G2260), LEFT(INDEX(FILTER(G$1:G2240, G$1:G2240&lt;&gt;""""),COUNTA(FILTER(G$1:G2240, G$1:G2240&lt;&gt;""""))), LEN(INDEX(FILTER(G$1:G2240, G$1:G2240&lt;&gt;""""),COUNTA(FILTER(G$1:G2240, G$1:G2240&lt;&gt;""""))))-1), IF('To Order'!$A2241=COL"&amp;"UMNS($A2241:G2260), G2240&amp;RIGHT(INDIRECT(ADDRESS(ROW(G2241)-1, 'From Order'!$A2241)), 1), G2240))"),"")</f>
        <v/>
      </c>
      <c r="H2241" s="2" t="str">
        <f>IFERROR(__xludf.DUMMYFUNCTION("IF('From Order'!$A2241=COLUMNS($A2241:H2260), LEFT(INDEX(FILTER(H$1:H2240, H$1:H2240&lt;&gt;""""),COUNTA(FILTER(H$1:H2240, H$1:H2240&lt;&gt;""""))), LEN(INDEX(FILTER(H$1:H2240, H$1:H2240&lt;&gt;""""),COUNTA(FILTER(H$1:H2240, H$1:H2240&lt;&gt;""""))))-1), IF('To Order'!$A2241=COL"&amp;"UMNS($A2241:H2260), H2240&amp;RIGHT(INDIRECT(ADDRESS(ROW(H2241)-1, 'From Order'!$A2241)), 1), H2240))"),"")</f>
        <v/>
      </c>
      <c r="I2241" s="2" t="str">
        <f>IFERROR(__xludf.DUMMYFUNCTION("IF('From Order'!$A2241=COLUMNS($A2241:I2260), LEFT(INDEX(FILTER(I$1:I2240, I$1:I2240&lt;&gt;""""),COUNTA(FILTER(I$1:I2240, I$1:I2240&lt;&gt;""""))), LEN(INDEX(FILTER(I$1:I2240, I$1:I2240&lt;&gt;""""),COUNTA(FILTER(I$1:I2240, I$1:I2240&lt;&gt;""""))))-1), IF('To Order'!$A2241=COL"&amp;"UMNS($A2241:I2260), I2240&amp;RIGHT(INDIRECT(ADDRESS(ROW(I2241)-1, 'From Order'!$A2241)), 1), I2240))"),"DDDVQZDMTTGMJRRLPSSTMZHPRBVJBCBFLLWT")</f>
        <v>DDDVQZDMTTGMJRRLPSSTMZHPRBVJBCBFLLWT</v>
      </c>
    </row>
    <row r="2242">
      <c r="A2242" s="2" t="str">
        <f>IFERROR(__xludf.DUMMYFUNCTION("IF('From Order'!$A2242=COLUMNS($A2242:A2261), LEFT(INDEX(FILTER(A$1:A2241, A$1:A2241&lt;&gt;""""),COUNTA(FILTER(A$1:A2241, A$1:A2241&lt;&gt;""""))), LEN(INDEX(FILTER(A$1:A2241, A$1:A2241&lt;&gt;""""),COUNTA(FILTER(A$1:A2241, A$1:A2241&lt;&gt;""""))))-1), IF('To Order'!$A2242=COL"&amp;"UMNS($A2242:A2261), A2241&amp;RIGHT(INDIRECT(ADDRESS(ROW(A2242)-1, 'From Order'!$A2242)), 1), A2241))"),"DSP")</f>
        <v>DSP</v>
      </c>
      <c r="B2242" s="2" t="str">
        <f>IFERROR(__xludf.DUMMYFUNCTION("IF('From Order'!$A2242=COLUMNS($A2242:B2261), LEFT(INDEX(FILTER(B$1:B2241, B$1:B2241&lt;&gt;""""),COUNTA(FILTER(B$1:B2241, B$1:B2241&lt;&gt;""""))), LEN(INDEX(FILTER(B$1:B2241, B$1:B2241&lt;&gt;""""),COUNTA(FILTER(B$1:B2241, B$1:B2241&lt;&gt;""""))))-1), IF('To Order'!$A2242=COL"&amp;"UMNS($A2242:B2261), B2241&amp;RIGHT(INDIRECT(ADDRESS(ROW(B2242)-1, 'From Order'!$A2242)), 1), B2241))"),"CJQTT")</f>
        <v>CJQTT</v>
      </c>
      <c r="C2242" s="2" t="str">
        <f>IFERROR(__xludf.DUMMYFUNCTION("IF('From Order'!$A2242=COLUMNS($A2242:C2261), LEFT(INDEX(FILTER(C$1:C2241, C$1:C2241&lt;&gt;""""),COUNTA(FILTER(C$1:C2241, C$1:C2241&lt;&gt;""""))), LEN(INDEX(FILTER(C$1:C2241, C$1:C2241&lt;&gt;""""),COUNTA(FILTER(C$1:C2241, C$1:C2241&lt;&gt;""""))))-1), IF('To Order'!$A2242=COL"&amp;"UMNS($A2242:C2261), C2241&amp;RIGHT(INDIRECT(ADDRESS(ROW(C2242)-1, 'From Order'!$A2242)), 1), C2241))"),"VBH")</f>
        <v>VBH</v>
      </c>
      <c r="D2242" s="2" t="str">
        <f>IFERROR(__xludf.DUMMYFUNCTION("IF('From Order'!$A2242=COLUMNS($A2242:D2261), LEFT(INDEX(FILTER(D$1:D2241, D$1:D2241&lt;&gt;""""),COUNTA(FILTER(D$1:D2241, D$1:D2241&lt;&gt;""""))), LEN(INDEX(FILTER(D$1:D2241, D$1:D2241&lt;&gt;""""),COUNTA(FILTER(D$1:D2241, D$1:D2241&lt;&gt;""""))))-1), IF('To Order'!$A2242=COL"&amp;"UMNS($A2242:D2261), D2241&amp;RIGHT(INDIRECT(ADDRESS(ROW(D2242)-1, 'From Order'!$A2242)), 1), D2241))"),"RGWD")</f>
        <v>RGWD</v>
      </c>
      <c r="E2242" s="2" t="str">
        <f>IFERROR(__xludf.DUMMYFUNCTION("IF('From Order'!$A2242=COLUMNS($A2242:E2261), LEFT(INDEX(FILTER(E$1:E2241, E$1:E2241&lt;&gt;""""),COUNTA(FILTER(E$1:E2241, E$1:E2241&lt;&gt;""""))), LEN(INDEX(FILTER(E$1:E2241, E$1:E2241&lt;&gt;""""),COUNTA(FILTER(E$1:E2241, E$1:E2241&lt;&gt;""""))))-1), IF('To Order'!$A2242=COL"&amp;"UMNS($A2242:E2261), E2241&amp;RIGHT(INDIRECT(ADDRESS(ROW(E2242)-1, 'From Order'!$A2242)), 1), E2241))"),"FRZSC")</f>
        <v>FRZSC</v>
      </c>
      <c r="F2242" s="2" t="str">
        <f>IFERROR(__xludf.DUMMYFUNCTION("IF('From Order'!$A2242=COLUMNS($A2242:F2261), LEFT(INDEX(FILTER(F$1:F2241, F$1:F2241&lt;&gt;""""),COUNTA(FILTER(F$1:F2241, F$1:F2241&lt;&gt;""""))), LEN(INDEX(FILTER(F$1:F2241, F$1:F2241&lt;&gt;""""),COUNTA(FILTER(F$1:F2241, F$1:F2241&lt;&gt;""""))))-1), IF('To Order'!$A2242=COL"&amp;"UMNS($A2242:F2261), F2241&amp;RIGHT(INDIRECT(ADDRESS(ROW(F2242)-1, 'From Order'!$A2242)), 1), F2241))"),"")</f>
        <v/>
      </c>
      <c r="G2242" s="2" t="str">
        <f>IFERROR(__xludf.DUMMYFUNCTION("IF('From Order'!$A2242=COLUMNS($A2242:G2261), LEFT(INDEX(FILTER(G$1:G2241, G$1:G2241&lt;&gt;""""),COUNTA(FILTER(G$1:G2241, G$1:G2241&lt;&gt;""""))), LEN(INDEX(FILTER(G$1:G2241, G$1:G2241&lt;&gt;""""),COUNTA(FILTER(G$1:G2241, G$1:G2241&lt;&gt;""""))))-1), IF('To Order'!$A2242=COL"&amp;"UMNS($A2242:G2261), G2241&amp;RIGHT(INDIRECT(ADDRESS(ROW(G2242)-1, 'From Order'!$A2242)), 1), G2241))"),"")</f>
        <v/>
      </c>
      <c r="H2242" s="2" t="str">
        <f>IFERROR(__xludf.DUMMYFUNCTION("IF('From Order'!$A2242=COLUMNS($A2242:H2261), LEFT(INDEX(FILTER(H$1:H2241, H$1:H2241&lt;&gt;""""),COUNTA(FILTER(H$1:H2241, H$1:H2241&lt;&gt;""""))), LEN(INDEX(FILTER(H$1:H2241, H$1:H2241&lt;&gt;""""),COUNTA(FILTER(H$1:H2241, H$1:H2241&lt;&gt;""""))))-1), IF('To Order'!$A2242=COL"&amp;"UMNS($A2242:H2261), H2241&amp;RIGHT(INDIRECT(ADDRESS(ROW(H2242)-1, 'From Order'!$A2242)), 1), H2241))"),"")</f>
        <v/>
      </c>
      <c r="I2242" s="2" t="str">
        <f>IFERROR(__xludf.DUMMYFUNCTION("IF('From Order'!$A2242=COLUMNS($A2242:I2261), LEFT(INDEX(FILTER(I$1:I2241, I$1:I2241&lt;&gt;""""),COUNTA(FILTER(I$1:I2241, I$1:I2241&lt;&gt;""""))), LEN(INDEX(FILTER(I$1:I2241, I$1:I2241&lt;&gt;""""),COUNTA(FILTER(I$1:I2241, I$1:I2241&lt;&gt;""""))))-1), IF('To Order'!$A2242=COL"&amp;"UMNS($A2242:I2261), I2241&amp;RIGHT(INDIRECT(ADDRESS(ROW(I2242)-1, 'From Order'!$A2242)), 1), I2241))"),"DDDVQZDMTTGMJRRLPSSTMZHPRBVJBCBFLLWT")</f>
        <v>DDDVQZDMTTGMJRRLPSSTMZHPRBVJBCBFLLWT</v>
      </c>
    </row>
    <row r="2243">
      <c r="A2243" s="2" t="str">
        <f>IFERROR(__xludf.DUMMYFUNCTION("IF('From Order'!$A2243=COLUMNS($A2243:A2262), LEFT(INDEX(FILTER(A$1:A2242, A$1:A2242&lt;&gt;""""),COUNTA(FILTER(A$1:A2242, A$1:A2242&lt;&gt;""""))), LEN(INDEX(FILTER(A$1:A2242, A$1:A2242&lt;&gt;""""),COUNTA(FILTER(A$1:A2242, A$1:A2242&lt;&gt;""""))))-1), IF('To Order'!$A2243=COL"&amp;"UMNS($A2243:A2262), A2242&amp;RIGHT(INDIRECT(ADDRESS(ROW(A2243)-1, 'From Order'!$A2243)), 1), A2242))"),"DSP")</f>
        <v>DSP</v>
      </c>
      <c r="B2243" s="2" t="str">
        <f>IFERROR(__xludf.DUMMYFUNCTION("IF('From Order'!$A2243=COLUMNS($A2243:B2262), LEFT(INDEX(FILTER(B$1:B2242, B$1:B2242&lt;&gt;""""),COUNTA(FILTER(B$1:B2242, B$1:B2242&lt;&gt;""""))), LEN(INDEX(FILTER(B$1:B2242, B$1:B2242&lt;&gt;""""),COUNTA(FILTER(B$1:B2242, B$1:B2242&lt;&gt;""""))))-1), IF('To Order'!$A2243=COL"&amp;"UMNS($A2243:B2262), B2242&amp;RIGHT(INDIRECT(ADDRESS(ROW(B2243)-1, 'From Order'!$A2243)), 1), B2242))"),"CJQTTC")</f>
        <v>CJQTTC</v>
      </c>
      <c r="C2243" s="2" t="str">
        <f>IFERROR(__xludf.DUMMYFUNCTION("IF('From Order'!$A2243=COLUMNS($A2243:C2262), LEFT(INDEX(FILTER(C$1:C2242, C$1:C2242&lt;&gt;""""),COUNTA(FILTER(C$1:C2242, C$1:C2242&lt;&gt;""""))), LEN(INDEX(FILTER(C$1:C2242, C$1:C2242&lt;&gt;""""),COUNTA(FILTER(C$1:C2242, C$1:C2242&lt;&gt;""""))))-1), IF('To Order'!$A2243=COL"&amp;"UMNS($A2243:C2262), C2242&amp;RIGHT(INDIRECT(ADDRESS(ROW(C2243)-1, 'From Order'!$A2243)), 1), C2242))"),"VBH")</f>
        <v>VBH</v>
      </c>
      <c r="D2243" s="2" t="str">
        <f>IFERROR(__xludf.DUMMYFUNCTION("IF('From Order'!$A2243=COLUMNS($A2243:D2262), LEFT(INDEX(FILTER(D$1:D2242, D$1:D2242&lt;&gt;""""),COUNTA(FILTER(D$1:D2242, D$1:D2242&lt;&gt;""""))), LEN(INDEX(FILTER(D$1:D2242, D$1:D2242&lt;&gt;""""),COUNTA(FILTER(D$1:D2242, D$1:D2242&lt;&gt;""""))))-1), IF('To Order'!$A2243=COL"&amp;"UMNS($A2243:D2262), D2242&amp;RIGHT(INDIRECT(ADDRESS(ROW(D2243)-1, 'From Order'!$A2243)), 1), D2242))"),"RGWD")</f>
        <v>RGWD</v>
      </c>
      <c r="E2243" s="2" t="str">
        <f>IFERROR(__xludf.DUMMYFUNCTION("IF('From Order'!$A2243=COLUMNS($A2243:E2262), LEFT(INDEX(FILTER(E$1:E2242, E$1:E2242&lt;&gt;""""),COUNTA(FILTER(E$1:E2242, E$1:E2242&lt;&gt;""""))), LEN(INDEX(FILTER(E$1:E2242, E$1:E2242&lt;&gt;""""),COUNTA(FILTER(E$1:E2242, E$1:E2242&lt;&gt;""""))))-1), IF('To Order'!$A2243=COL"&amp;"UMNS($A2243:E2262), E2242&amp;RIGHT(INDIRECT(ADDRESS(ROW(E2243)-1, 'From Order'!$A2243)), 1), E2242))"),"FRZS")</f>
        <v>FRZS</v>
      </c>
      <c r="F2243" s="2" t="str">
        <f>IFERROR(__xludf.DUMMYFUNCTION("IF('From Order'!$A2243=COLUMNS($A2243:F2262), LEFT(INDEX(FILTER(F$1:F2242, F$1:F2242&lt;&gt;""""),COUNTA(FILTER(F$1:F2242, F$1:F2242&lt;&gt;""""))), LEN(INDEX(FILTER(F$1:F2242, F$1:F2242&lt;&gt;""""),COUNTA(FILTER(F$1:F2242, F$1:F2242&lt;&gt;""""))))-1), IF('To Order'!$A2243=COL"&amp;"UMNS($A2243:F2262), F2242&amp;RIGHT(INDIRECT(ADDRESS(ROW(F2243)-1, 'From Order'!$A2243)), 1), F2242))"),"")</f>
        <v/>
      </c>
      <c r="G2243" s="2" t="str">
        <f>IFERROR(__xludf.DUMMYFUNCTION("IF('From Order'!$A2243=COLUMNS($A2243:G2262), LEFT(INDEX(FILTER(G$1:G2242, G$1:G2242&lt;&gt;""""),COUNTA(FILTER(G$1:G2242, G$1:G2242&lt;&gt;""""))), LEN(INDEX(FILTER(G$1:G2242, G$1:G2242&lt;&gt;""""),COUNTA(FILTER(G$1:G2242, G$1:G2242&lt;&gt;""""))))-1), IF('To Order'!$A2243=COL"&amp;"UMNS($A2243:G2262), G2242&amp;RIGHT(INDIRECT(ADDRESS(ROW(G2243)-1, 'From Order'!$A2243)), 1), G2242))"),"")</f>
        <v/>
      </c>
      <c r="H2243" s="2" t="str">
        <f>IFERROR(__xludf.DUMMYFUNCTION("IF('From Order'!$A2243=COLUMNS($A2243:H2262), LEFT(INDEX(FILTER(H$1:H2242, H$1:H2242&lt;&gt;""""),COUNTA(FILTER(H$1:H2242, H$1:H2242&lt;&gt;""""))), LEN(INDEX(FILTER(H$1:H2242, H$1:H2242&lt;&gt;""""),COUNTA(FILTER(H$1:H2242, H$1:H2242&lt;&gt;""""))))-1), IF('To Order'!$A2243=COL"&amp;"UMNS($A2243:H2262), H2242&amp;RIGHT(INDIRECT(ADDRESS(ROW(H2243)-1, 'From Order'!$A2243)), 1), H2242))"),"")</f>
        <v/>
      </c>
      <c r="I2243" s="2" t="str">
        <f>IFERROR(__xludf.DUMMYFUNCTION("IF('From Order'!$A2243=COLUMNS($A2243:I2262), LEFT(INDEX(FILTER(I$1:I2242, I$1:I2242&lt;&gt;""""),COUNTA(FILTER(I$1:I2242, I$1:I2242&lt;&gt;""""))), LEN(INDEX(FILTER(I$1:I2242, I$1:I2242&lt;&gt;""""),COUNTA(FILTER(I$1:I2242, I$1:I2242&lt;&gt;""""))))-1), IF('To Order'!$A2243=COL"&amp;"UMNS($A2243:I2262), I2242&amp;RIGHT(INDIRECT(ADDRESS(ROW(I2243)-1, 'From Order'!$A2243)), 1), I2242))"),"DDDVQZDMTTGMJRRLPSSTMZHPRBVJBCBFLLWT")</f>
        <v>DDDVQZDMTTGMJRRLPSSTMZHPRBVJBCBFLLWT</v>
      </c>
    </row>
    <row r="2244">
      <c r="A2244" s="2" t="str">
        <f>IFERROR(__xludf.DUMMYFUNCTION("IF('From Order'!$A2244=COLUMNS($A2244:A2263), LEFT(INDEX(FILTER(A$1:A2243, A$1:A2243&lt;&gt;""""),COUNTA(FILTER(A$1:A2243, A$1:A2243&lt;&gt;""""))), LEN(INDEX(FILTER(A$1:A2243, A$1:A2243&lt;&gt;""""),COUNTA(FILTER(A$1:A2243, A$1:A2243&lt;&gt;""""))))-1), IF('To Order'!$A2244=COL"&amp;"UMNS($A2244:A2263), A2243&amp;RIGHT(INDIRECT(ADDRESS(ROW(A2244)-1, 'From Order'!$A2244)), 1), A2243))"),"DSP")</f>
        <v>DSP</v>
      </c>
      <c r="B2244" s="2" t="str">
        <f>IFERROR(__xludf.DUMMYFUNCTION("IF('From Order'!$A2244=COLUMNS($A2244:B2263), LEFT(INDEX(FILTER(B$1:B2243, B$1:B2243&lt;&gt;""""),COUNTA(FILTER(B$1:B2243, B$1:B2243&lt;&gt;""""))), LEN(INDEX(FILTER(B$1:B2243, B$1:B2243&lt;&gt;""""),COUNTA(FILTER(B$1:B2243, B$1:B2243&lt;&gt;""""))))-1), IF('To Order'!$A2244=COL"&amp;"UMNS($A2244:B2263), B2243&amp;RIGHT(INDIRECT(ADDRESS(ROW(B2244)-1, 'From Order'!$A2244)), 1), B2243))"),"CJQTTCS")</f>
        <v>CJQTTCS</v>
      </c>
      <c r="C2244" s="2" t="str">
        <f>IFERROR(__xludf.DUMMYFUNCTION("IF('From Order'!$A2244=COLUMNS($A2244:C2263), LEFT(INDEX(FILTER(C$1:C2243, C$1:C2243&lt;&gt;""""),COUNTA(FILTER(C$1:C2243, C$1:C2243&lt;&gt;""""))), LEN(INDEX(FILTER(C$1:C2243, C$1:C2243&lt;&gt;""""),COUNTA(FILTER(C$1:C2243, C$1:C2243&lt;&gt;""""))))-1), IF('To Order'!$A2244=COL"&amp;"UMNS($A2244:C2263), C2243&amp;RIGHT(INDIRECT(ADDRESS(ROW(C2244)-1, 'From Order'!$A2244)), 1), C2243))"),"VBH")</f>
        <v>VBH</v>
      </c>
      <c r="D2244" s="2" t="str">
        <f>IFERROR(__xludf.DUMMYFUNCTION("IF('From Order'!$A2244=COLUMNS($A2244:D2263), LEFT(INDEX(FILTER(D$1:D2243, D$1:D2243&lt;&gt;""""),COUNTA(FILTER(D$1:D2243, D$1:D2243&lt;&gt;""""))), LEN(INDEX(FILTER(D$1:D2243, D$1:D2243&lt;&gt;""""),COUNTA(FILTER(D$1:D2243, D$1:D2243&lt;&gt;""""))))-1), IF('To Order'!$A2244=COL"&amp;"UMNS($A2244:D2263), D2243&amp;RIGHT(INDIRECT(ADDRESS(ROW(D2244)-1, 'From Order'!$A2244)), 1), D2243))"),"RGWD")</f>
        <v>RGWD</v>
      </c>
      <c r="E2244" s="2" t="str">
        <f>IFERROR(__xludf.DUMMYFUNCTION("IF('From Order'!$A2244=COLUMNS($A2244:E2263), LEFT(INDEX(FILTER(E$1:E2243, E$1:E2243&lt;&gt;""""),COUNTA(FILTER(E$1:E2243, E$1:E2243&lt;&gt;""""))), LEN(INDEX(FILTER(E$1:E2243, E$1:E2243&lt;&gt;""""),COUNTA(FILTER(E$1:E2243, E$1:E2243&lt;&gt;""""))))-1), IF('To Order'!$A2244=COL"&amp;"UMNS($A2244:E2263), E2243&amp;RIGHT(INDIRECT(ADDRESS(ROW(E2244)-1, 'From Order'!$A2244)), 1), E2243))"),"FRZ")</f>
        <v>FRZ</v>
      </c>
      <c r="F2244" s="2" t="str">
        <f>IFERROR(__xludf.DUMMYFUNCTION("IF('From Order'!$A2244=COLUMNS($A2244:F2263), LEFT(INDEX(FILTER(F$1:F2243, F$1:F2243&lt;&gt;""""),COUNTA(FILTER(F$1:F2243, F$1:F2243&lt;&gt;""""))), LEN(INDEX(FILTER(F$1:F2243, F$1:F2243&lt;&gt;""""),COUNTA(FILTER(F$1:F2243, F$1:F2243&lt;&gt;""""))))-1), IF('To Order'!$A2244=COL"&amp;"UMNS($A2244:F2263), F2243&amp;RIGHT(INDIRECT(ADDRESS(ROW(F2244)-1, 'From Order'!$A2244)), 1), F2243))"),"")</f>
        <v/>
      </c>
      <c r="G2244" s="2" t="str">
        <f>IFERROR(__xludf.DUMMYFUNCTION("IF('From Order'!$A2244=COLUMNS($A2244:G2263), LEFT(INDEX(FILTER(G$1:G2243, G$1:G2243&lt;&gt;""""),COUNTA(FILTER(G$1:G2243, G$1:G2243&lt;&gt;""""))), LEN(INDEX(FILTER(G$1:G2243, G$1:G2243&lt;&gt;""""),COUNTA(FILTER(G$1:G2243, G$1:G2243&lt;&gt;""""))))-1), IF('To Order'!$A2244=COL"&amp;"UMNS($A2244:G2263), G2243&amp;RIGHT(INDIRECT(ADDRESS(ROW(G2244)-1, 'From Order'!$A2244)), 1), G2243))"),"")</f>
        <v/>
      </c>
      <c r="H2244" s="2" t="str">
        <f>IFERROR(__xludf.DUMMYFUNCTION("IF('From Order'!$A2244=COLUMNS($A2244:H2263), LEFT(INDEX(FILTER(H$1:H2243, H$1:H2243&lt;&gt;""""),COUNTA(FILTER(H$1:H2243, H$1:H2243&lt;&gt;""""))), LEN(INDEX(FILTER(H$1:H2243, H$1:H2243&lt;&gt;""""),COUNTA(FILTER(H$1:H2243, H$1:H2243&lt;&gt;""""))))-1), IF('To Order'!$A2244=COL"&amp;"UMNS($A2244:H2263), H2243&amp;RIGHT(INDIRECT(ADDRESS(ROW(H2244)-1, 'From Order'!$A2244)), 1), H2243))"),"")</f>
        <v/>
      </c>
      <c r="I2244" s="2" t="str">
        <f>IFERROR(__xludf.DUMMYFUNCTION("IF('From Order'!$A2244=COLUMNS($A2244:I2263), LEFT(INDEX(FILTER(I$1:I2243, I$1:I2243&lt;&gt;""""),COUNTA(FILTER(I$1:I2243, I$1:I2243&lt;&gt;""""))), LEN(INDEX(FILTER(I$1:I2243, I$1:I2243&lt;&gt;""""),COUNTA(FILTER(I$1:I2243, I$1:I2243&lt;&gt;""""))))-1), IF('To Order'!$A2244=COL"&amp;"UMNS($A2244:I2263), I2243&amp;RIGHT(INDIRECT(ADDRESS(ROW(I2244)-1, 'From Order'!$A2244)), 1), I2243))"),"DDDVQZDMTTGMJRRLPSSTMZHPRBVJBCBFLLWT")</f>
        <v>DDDVQZDMTTGMJRRLPSSTMZHPRBVJBCBFLLWT</v>
      </c>
    </row>
    <row r="2245">
      <c r="A2245" s="2" t="str">
        <f>IFERROR(__xludf.DUMMYFUNCTION("IF('From Order'!$A2245=COLUMNS($A2245:A2264), LEFT(INDEX(FILTER(A$1:A2244, A$1:A2244&lt;&gt;""""),COUNTA(FILTER(A$1:A2244, A$1:A2244&lt;&gt;""""))), LEN(INDEX(FILTER(A$1:A2244, A$1:A2244&lt;&gt;""""),COUNTA(FILTER(A$1:A2244, A$1:A2244&lt;&gt;""""))))-1), IF('To Order'!$A2245=COL"&amp;"UMNS($A2245:A2264), A2244&amp;RIGHT(INDIRECT(ADDRESS(ROW(A2245)-1, 'From Order'!$A2245)), 1), A2244))"),"DSP")</f>
        <v>DSP</v>
      </c>
      <c r="B2245" s="2" t="str">
        <f>IFERROR(__xludf.DUMMYFUNCTION("IF('From Order'!$A2245=COLUMNS($A2245:B2264), LEFT(INDEX(FILTER(B$1:B2244, B$1:B2244&lt;&gt;""""),COUNTA(FILTER(B$1:B2244, B$1:B2244&lt;&gt;""""))), LEN(INDEX(FILTER(B$1:B2244, B$1:B2244&lt;&gt;""""),COUNTA(FILTER(B$1:B2244, B$1:B2244&lt;&gt;""""))))-1), IF('To Order'!$A2245=COL"&amp;"UMNS($A2245:B2264), B2244&amp;RIGHT(INDIRECT(ADDRESS(ROW(B2245)-1, 'From Order'!$A2245)), 1), B2244))"),"CJQTTCSZ")</f>
        <v>CJQTTCSZ</v>
      </c>
      <c r="C2245" s="2" t="str">
        <f>IFERROR(__xludf.DUMMYFUNCTION("IF('From Order'!$A2245=COLUMNS($A2245:C2264), LEFT(INDEX(FILTER(C$1:C2244, C$1:C2244&lt;&gt;""""),COUNTA(FILTER(C$1:C2244, C$1:C2244&lt;&gt;""""))), LEN(INDEX(FILTER(C$1:C2244, C$1:C2244&lt;&gt;""""),COUNTA(FILTER(C$1:C2244, C$1:C2244&lt;&gt;""""))))-1), IF('To Order'!$A2245=COL"&amp;"UMNS($A2245:C2264), C2244&amp;RIGHT(INDIRECT(ADDRESS(ROW(C2245)-1, 'From Order'!$A2245)), 1), C2244))"),"VBH")</f>
        <v>VBH</v>
      </c>
      <c r="D2245" s="2" t="str">
        <f>IFERROR(__xludf.DUMMYFUNCTION("IF('From Order'!$A2245=COLUMNS($A2245:D2264), LEFT(INDEX(FILTER(D$1:D2244, D$1:D2244&lt;&gt;""""),COUNTA(FILTER(D$1:D2244, D$1:D2244&lt;&gt;""""))), LEN(INDEX(FILTER(D$1:D2244, D$1:D2244&lt;&gt;""""),COUNTA(FILTER(D$1:D2244, D$1:D2244&lt;&gt;""""))))-1), IF('To Order'!$A2245=COL"&amp;"UMNS($A2245:D2264), D2244&amp;RIGHT(INDIRECT(ADDRESS(ROW(D2245)-1, 'From Order'!$A2245)), 1), D2244))"),"RGWD")</f>
        <v>RGWD</v>
      </c>
      <c r="E2245" s="2" t="str">
        <f>IFERROR(__xludf.DUMMYFUNCTION("IF('From Order'!$A2245=COLUMNS($A2245:E2264), LEFT(INDEX(FILTER(E$1:E2244, E$1:E2244&lt;&gt;""""),COUNTA(FILTER(E$1:E2244, E$1:E2244&lt;&gt;""""))), LEN(INDEX(FILTER(E$1:E2244, E$1:E2244&lt;&gt;""""),COUNTA(FILTER(E$1:E2244, E$1:E2244&lt;&gt;""""))))-1), IF('To Order'!$A2245=COL"&amp;"UMNS($A2245:E2264), E2244&amp;RIGHT(INDIRECT(ADDRESS(ROW(E2245)-1, 'From Order'!$A2245)), 1), E2244))"),"FR")</f>
        <v>FR</v>
      </c>
      <c r="F2245" s="2" t="str">
        <f>IFERROR(__xludf.DUMMYFUNCTION("IF('From Order'!$A2245=COLUMNS($A2245:F2264), LEFT(INDEX(FILTER(F$1:F2244, F$1:F2244&lt;&gt;""""),COUNTA(FILTER(F$1:F2244, F$1:F2244&lt;&gt;""""))), LEN(INDEX(FILTER(F$1:F2244, F$1:F2244&lt;&gt;""""),COUNTA(FILTER(F$1:F2244, F$1:F2244&lt;&gt;""""))))-1), IF('To Order'!$A2245=COL"&amp;"UMNS($A2245:F2264), F2244&amp;RIGHT(INDIRECT(ADDRESS(ROW(F2245)-1, 'From Order'!$A2245)), 1), F2244))"),"")</f>
        <v/>
      </c>
      <c r="G2245" s="2" t="str">
        <f>IFERROR(__xludf.DUMMYFUNCTION("IF('From Order'!$A2245=COLUMNS($A2245:G2264), LEFT(INDEX(FILTER(G$1:G2244, G$1:G2244&lt;&gt;""""),COUNTA(FILTER(G$1:G2244, G$1:G2244&lt;&gt;""""))), LEN(INDEX(FILTER(G$1:G2244, G$1:G2244&lt;&gt;""""),COUNTA(FILTER(G$1:G2244, G$1:G2244&lt;&gt;""""))))-1), IF('To Order'!$A2245=COL"&amp;"UMNS($A2245:G2264), G2244&amp;RIGHT(INDIRECT(ADDRESS(ROW(G2245)-1, 'From Order'!$A2245)), 1), G2244))"),"")</f>
        <v/>
      </c>
      <c r="H2245" s="2" t="str">
        <f>IFERROR(__xludf.DUMMYFUNCTION("IF('From Order'!$A2245=COLUMNS($A2245:H2264), LEFT(INDEX(FILTER(H$1:H2244, H$1:H2244&lt;&gt;""""),COUNTA(FILTER(H$1:H2244, H$1:H2244&lt;&gt;""""))), LEN(INDEX(FILTER(H$1:H2244, H$1:H2244&lt;&gt;""""),COUNTA(FILTER(H$1:H2244, H$1:H2244&lt;&gt;""""))))-1), IF('To Order'!$A2245=COL"&amp;"UMNS($A2245:H2264), H2244&amp;RIGHT(INDIRECT(ADDRESS(ROW(H2245)-1, 'From Order'!$A2245)), 1), H2244))"),"")</f>
        <v/>
      </c>
      <c r="I2245" s="2" t="str">
        <f>IFERROR(__xludf.DUMMYFUNCTION("IF('From Order'!$A2245=COLUMNS($A2245:I2264), LEFT(INDEX(FILTER(I$1:I2244, I$1:I2244&lt;&gt;""""),COUNTA(FILTER(I$1:I2244, I$1:I2244&lt;&gt;""""))), LEN(INDEX(FILTER(I$1:I2244, I$1:I2244&lt;&gt;""""),COUNTA(FILTER(I$1:I2244, I$1:I2244&lt;&gt;""""))))-1), IF('To Order'!$A2245=COL"&amp;"UMNS($A2245:I2264), I2244&amp;RIGHT(INDIRECT(ADDRESS(ROW(I2245)-1, 'From Order'!$A2245)), 1), I2244))"),"DDDVQZDMTTGMJRRLPSSTMZHPRBVJBCBFLLWT")</f>
        <v>DDDVQZDMTTGMJRRLPSSTMZHPRBVJBCBFLLWT</v>
      </c>
    </row>
    <row r="2246">
      <c r="A2246" s="2" t="str">
        <f>IFERROR(__xludf.DUMMYFUNCTION("IF('From Order'!$A2246=COLUMNS($A2246:A2265), LEFT(INDEX(FILTER(A$1:A2245, A$1:A2245&lt;&gt;""""),COUNTA(FILTER(A$1:A2245, A$1:A2245&lt;&gt;""""))), LEN(INDEX(FILTER(A$1:A2245, A$1:A2245&lt;&gt;""""),COUNTA(FILTER(A$1:A2245, A$1:A2245&lt;&gt;""""))))-1), IF('To Order'!$A2246=COL"&amp;"UMNS($A2246:A2265), A2245&amp;RIGHT(INDIRECT(ADDRESS(ROW(A2246)-1, 'From Order'!$A2246)), 1), A2245))"),"DSP")</f>
        <v>DSP</v>
      </c>
      <c r="B2246" s="2" t="str">
        <f>IFERROR(__xludf.DUMMYFUNCTION("IF('From Order'!$A2246=COLUMNS($A2246:B2265), LEFT(INDEX(FILTER(B$1:B2245, B$1:B2245&lt;&gt;""""),COUNTA(FILTER(B$1:B2245, B$1:B2245&lt;&gt;""""))), LEN(INDEX(FILTER(B$1:B2245, B$1:B2245&lt;&gt;""""),COUNTA(FILTER(B$1:B2245, B$1:B2245&lt;&gt;""""))))-1), IF('To Order'!$A2246=COL"&amp;"UMNS($A2246:B2265), B2245&amp;RIGHT(INDIRECT(ADDRESS(ROW(B2246)-1, 'From Order'!$A2246)), 1), B2245))"),"CJQTTCS")</f>
        <v>CJQTTCS</v>
      </c>
      <c r="C2246" s="2" t="str">
        <f>IFERROR(__xludf.DUMMYFUNCTION("IF('From Order'!$A2246=COLUMNS($A2246:C2265), LEFT(INDEX(FILTER(C$1:C2245, C$1:C2245&lt;&gt;""""),COUNTA(FILTER(C$1:C2245, C$1:C2245&lt;&gt;""""))), LEN(INDEX(FILTER(C$1:C2245, C$1:C2245&lt;&gt;""""),COUNTA(FILTER(C$1:C2245, C$1:C2245&lt;&gt;""""))))-1), IF('To Order'!$A2246=COL"&amp;"UMNS($A2246:C2265), C2245&amp;RIGHT(INDIRECT(ADDRESS(ROW(C2246)-1, 'From Order'!$A2246)), 1), C2245))"),"VBHZ")</f>
        <v>VBHZ</v>
      </c>
      <c r="D2246" s="2" t="str">
        <f>IFERROR(__xludf.DUMMYFUNCTION("IF('From Order'!$A2246=COLUMNS($A2246:D2265), LEFT(INDEX(FILTER(D$1:D2245, D$1:D2245&lt;&gt;""""),COUNTA(FILTER(D$1:D2245, D$1:D2245&lt;&gt;""""))), LEN(INDEX(FILTER(D$1:D2245, D$1:D2245&lt;&gt;""""),COUNTA(FILTER(D$1:D2245, D$1:D2245&lt;&gt;""""))))-1), IF('To Order'!$A2246=COL"&amp;"UMNS($A2246:D2265), D2245&amp;RIGHT(INDIRECT(ADDRESS(ROW(D2246)-1, 'From Order'!$A2246)), 1), D2245))"),"RGWD")</f>
        <v>RGWD</v>
      </c>
      <c r="E2246" s="2" t="str">
        <f>IFERROR(__xludf.DUMMYFUNCTION("IF('From Order'!$A2246=COLUMNS($A2246:E2265), LEFT(INDEX(FILTER(E$1:E2245, E$1:E2245&lt;&gt;""""),COUNTA(FILTER(E$1:E2245, E$1:E2245&lt;&gt;""""))), LEN(INDEX(FILTER(E$1:E2245, E$1:E2245&lt;&gt;""""),COUNTA(FILTER(E$1:E2245, E$1:E2245&lt;&gt;""""))))-1), IF('To Order'!$A2246=COL"&amp;"UMNS($A2246:E2265), E2245&amp;RIGHT(INDIRECT(ADDRESS(ROW(E2246)-1, 'From Order'!$A2246)), 1), E2245))"),"FR")</f>
        <v>FR</v>
      </c>
      <c r="F2246" s="2" t="str">
        <f>IFERROR(__xludf.DUMMYFUNCTION("IF('From Order'!$A2246=COLUMNS($A2246:F2265), LEFT(INDEX(FILTER(F$1:F2245, F$1:F2245&lt;&gt;""""),COUNTA(FILTER(F$1:F2245, F$1:F2245&lt;&gt;""""))), LEN(INDEX(FILTER(F$1:F2245, F$1:F2245&lt;&gt;""""),COUNTA(FILTER(F$1:F2245, F$1:F2245&lt;&gt;""""))))-1), IF('To Order'!$A2246=COL"&amp;"UMNS($A2246:F2265), F2245&amp;RIGHT(INDIRECT(ADDRESS(ROW(F2246)-1, 'From Order'!$A2246)), 1), F2245))"),"")</f>
        <v/>
      </c>
      <c r="G2246" s="2" t="str">
        <f>IFERROR(__xludf.DUMMYFUNCTION("IF('From Order'!$A2246=COLUMNS($A2246:G2265), LEFT(INDEX(FILTER(G$1:G2245, G$1:G2245&lt;&gt;""""),COUNTA(FILTER(G$1:G2245, G$1:G2245&lt;&gt;""""))), LEN(INDEX(FILTER(G$1:G2245, G$1:G2245&lt;&gt;""""),COUNTA(FILTER(G$1:G2245, G$1:G2245&lt;&gt;""""))))-1), IF('To Order'!$A2246=COL"&amp;"UMNS($A2246:G2265), G2245&amp;RIGHT(INDIRECT(ADDRESS(ROW(G2246)-1, 'From Order'!$A2246)), 1), G2245))"),"")</f>
        <v/>
      </c>
      <c r="H2246" s="2" t="str">
        <f>IFERROR(__xludf.DUMMYFUNCTION("IF('From Order'!$A2246=COLUMNS($A2246:H2265), LEFT(INDEX(FILTER(H$1:H2245, H$1:H2245&lt;&gt;""""),COUNTA(FILTER(H$1:H2245, H$1:H2245&lt;&gt;""""))), LEN(INDEX(FILTER(H$1:H2245, H$1:H2245&lt;&gt;""""),COUNTA(FILTER(H$1:H2245, H$1:H2245&lt;&gt;""""))))-1), IF('To Order'!$A2246=COL"&amp;"UMNS($A2246:H2265), H2245&amp;RIGHT(INDIRECT(ADDRESS(ROW(H2246)-1, 'From Order'!$A2246)), 1), H2245))"),"")</f>
        <v/>
      </c>
      <c r="I2246" s="2" t="str">
        <f>IFERROR(__xludf.DUMMYFUNCTION("IF('From Order'!$A2246=COLUMNS($A2246:I2265), LEFT(INDEX(FILTER(I$1:I2245, I$1:I2245&lt;&gt;""""),COUNTA(FILTER(I$1:I2245, I$1:I2245&lt;&gt;""""))), LEN(INDEX(FILTER(I$1:I2245, I$1:I2245&lt;&gt;""""),COUNTA(FILTER(I$1:I2245, I$1:I2245&lt;&gt;""""))))-1), IF('To Order'!$A2246=COL"&amp;"UMNS($A2246:I2265), I2245&amp;RIGHT(INDIRECT(ADDRESS(ROW(I2246)-1, 'From Order'!$A2246)), 1), I2245))"),"DDDVQZDMTTGMJRRLPSSTMZHPRBVJBCBFLLWT")</f>
        <v>DDDVQZDMTTGMJRRLPSSTMZHPRBVJBCBFLLWT</v>
      </c>
    </row>
    <row r="2247">
      <c r="A2247" s="2" t="str">
        <f>IFERROR(__xludf.DUMMYFUNCTION("IF('From Order'!$A2247=COLUMNS($A2247:A2266), LEFT(INDEX(FILTER(A$1:A2246, A$1:A2246&lt;&gt;""""),COUNTA(FILTER(A$1:A2246, A$1:A2246&lt;&gt;""""))), LEN(INDEX(FILTER(A$1:A2246, A$1:A2246&lt;&gt;""""),COUNTA(FILTER(A$1:A2246, A$1:A2246&lt;&gt;""""))))-1), IF('To Order'!$A2247=COL"&amp;"UMNS($A2247:A2266), A2246&amp;RIGHT(INDIRECT(ADDRESS(ROW(A2247)-1, 'From Order'!$A2247)), 1), A2246))"),"DSP")</f>
        <v>DSP</v>
      </c>
      <c r="B2247" s="2" t="str">
        <f>IFERROR(__xludf.DUMMYFUNCTION("IF('From Order'!$A2247=COLUMNS($A2247:B2266), LEFT(INDEX(FILTER(B$1:B2246, B$1:B2246&lt;&gt;""""),COUNTA(FILTER(B$1:B2246, B$1:B2246&lt;&gt;""""))), LEN(INDEX(FILTER(B$1:B2246, B$1:B2246&lt;&gt;""""),COUNTA(FILTER(B$1:B2246, B$1:B2246&lt;&gt;""""))))-1), IF('To Order'!$A2247=COL"&amp;"UMNS($A2247:B2266), B2246&amp;RIGHT(INDIRECT(ADDRESS(ROW(B2247)-1, 'From Order'!$A2247)), 1), B2246))"),"CJQTTC")</f>
        <v>CJQTTC</v>
      </c>
      <c r="C2247" s="2" t="str">
        <f>IFERROR(__xludf.DUMMYFUNCTION("IF('From Order'!$A2247=COLUMNS($A2247:C2266), LEFT(INDEX(FILTER(C$1:C2246, C$1:C2246&lt;&gt;""""),COUNTA(FILTER(C$1:C2246, C$1:C2246&lt;&gt;""""))), LEN(INDEX(FILTER(C$1:C2246, C$1:C2246&lt;&gt;""""),COUNTA(FILTER(C$1:C2246, C$1:C2246&lt;&gt;""""))))-1), IF('To Order'!$A2247=COL"&amp;"UMNS($A2247:C2266), C2246&amp;RIGHT(INDIRECT(ADDRESS(ROW(C2247)-1, 'From Order'!$A2247)), 1), C2246))"),"VBHZS")</f>
        <v>VBHZS</v>
      </c>
      <c r="D2247" s="2" t="str">
        <f>IFERROR(__xludf.DUMMYFUNCTION("IF('From Order'!$A2247=COLUMNS($A2247:D2266), LEFT(INDEX(FILTER(D$1:D2246, D$1:D2246&lt;&gt;""""),COUNTA(FILTER(D$1:D2246, D$1:D2246&lt;&gt;""""))), LEN(INDEX(FILTER(D$1:D2246, D$1:D2246&lt;&gt;""""),COUNTA(FILTER(D$1:D2246, D$1:D2246&lt;&gt;""""))))-1), IF('To Order'!$A2247=COL"&amp;"UMNS($A2247:D2266), D2246&amp;RIGHT(INDIRECT(ADDRESS(ROW(D2247)-1, 'From Order'!$A2247)), 1), D2246))"),"RGWD")</f>
        <v>RGWD</v>
      </c>
      <c r="E2247" s="2" t="str">
        <f>IFERROR(__xludf.DUMMYFUNCTION("IF('From Order'!$A2247=COLUMNS($A2247:E2266), LEFT(INDEX(FILTER(E$1:E2246, E$1:E2246&lt;&gt;""""),COUNTA(FILTER(E$1:E2246, E$1:E2246&lt;&gt;""""))), LEN(INDEX(FILTER(E$1:E2246, E$1:E2246&lt;&gt;""""),COUNTA(FILTER(E$1:E2246, E$1:E2246&lt;&gt;""""))))-1), IF('To Order'!$A2247=COL"&amp;"UMNS($A2247:E2266), E2246&amp;RIGHT(INDIRECT(ADDRESS(ROW(E2247)-1, 'From Order'!$A2247)), 1), E2246))"),"FR")</f>
        <v>FR</v>
      </c>
      <c r="F2247" s="2" t="str">
        <f>IFERROR(__xludf.DUMMYFUNCTION("IF('From Order'!$A2247=COLUMNS($A2247:F2266), LEFT(INDEX(FILTER(F$1:F2246, F$1:F2246&lt;&gt;""""),COUNTA(FILTER(F$1:F2246, F$1:F2246&lt;&gt;""""))), LEN(INDEX(FILTER(F$1:F2246, F$1:F2246&lt;&gt;""""),COUNTA(FILTER(F$1:F2246, F$1:F2246&lt;&gt;""""))))-1), IF('To Order'!$A2247=COL"&amp;"UMNS($A2247:F2266), F2246&amp;RIGHT(INDIRECT(ADDRESS(ROW(F2247)-1, 'From Order'!$A2247)), 1), F2246))"),"")</f>
        <v/>
      </c>
      <c r="G2247" s="2" t="str">
        <f>IFERROR(__xludf.DUMMYFUNCTION("IF('From Order'!$A2247=COLUMNS($A2247:G2266), LEFT(INDEX(FILTER(G$1:G2246, G$1:G2246&lt;&gt;""""),COUNTA(FILTER(G$1:G2246, G$1:G2246&lt;&gt;""""))), LEN(INDEX(FILTER(G$1:G2246, G$1:G2246&lt;&gt;""""),COUNTA(FILTER(G$1:G2246, G$1:G2246&lt;&gt;""""))))-1), IF('To Order'!$A2247=COL"&amp;"UMNS($A2247:G2266), G2246&amp;RIGHT(INDIRECT(ADDRESS(ROW(G2247)-1, 'From Order'!$A2247)), 1), G2246))"),"")</f>
        <v/>
      </c>
      <c r="H2247" s="2" t="str">
        <f>IFERROR(__xludf.DUMMYFUNCTION("IF('From Order'!$A2247=COLUMNS($A2247:H2266), LEFT(INDEX(FILTER(H$1:H2246, H$1:H2246&lt;&gt;""""),COUNTA(FILTER(H$1:H2246, H$1:H2246&lt;&gt;""""))), LEN(INDEX(FILTER(H$1:H2246, H$1:H2246&lt;&gt;""""),COUNTA(FILTER(H$1:H2246, H$1:H2246&lt;&gt;""""))))-1), IF('To Order'!$A2247=COL"&amp;"UMNS($A2247:H2266), H2246&amp;RIGHT(INDIRECT(ADDRESS(ROW(H2247)-1, 'From Order'!$A2247)), 1), H2246))"),"")</f>
        <v/>
      </c>
      <c r="I2247" s="2" t="str">
        <f>IFERROR(__xludf.DUMMYFUNCTION("IF('From Order'!$A2247=COLUMNS($A2247:I2266), LEFT(INDEX(FILTER(I$1:I2246, I$1:I2246&lt;&gt;""""),COUNTA(FILTER(I$1:I2246, I$1:I2246&lt;&gt;""""))), LEN(INDEX(FILTER(I$1:I2246, I$1:I2246&lt;&gt;""""),COUNTA(FILTER(I$1:I2246, I$1:I2246&lt;&gt;""""))))-1), IF('To Order'!$A2247=COL"&amp;"UMNS($A2247:I2266), I2246&amp;RIGHT(INDIRECT(ADDRESS(ROW(I2247)-1, 'From Order'!$A2247)), 1), I2246))"),"DDDVQZDMTTGMJRRLPSSTMZHPRBVJBCBFLLWT")</f>
        <v>DDDVQZDMTTGMJRRLPSSTMZHPRBVJBCBFLLWT</v>
      </c>
    </row>
    <row r="2248">
      <c r="A2248" s="2" t="str">
        <f>IFERROR(__xludf.DUMMYFUNCTION("IF('From Order'!$A2248=COLUMNS($A2248:A2267), LEFT(INDEX(FILTER(A$1:A2247, A$1:A2247&lt;&gt;""""),COUNTA(FILTER(A$1:A2247, A$1:A2247&lt;&gt;""""))), LEN(INDEX(FILTER(A$1:A2247, A$1:A2247&lt;&gt;""""),COUNTA(FILTER(A$1:A2247, A$1:A2247&lt;&gt;""""))))-1), IF('To Order'!$A2248=COL"&amp;"UMNS($A2248:A2267), A2247&amp;RIGHT(INDIRECT(ADDRESS(ROW(A2248)-1, 'From Order'!$A2248)), 1), A2247))"),"DSP")</f>
        <v>DSP</v>
      </c>
      <c r="B2248" s="2" t="str">
        <f>IFERROR(__xludf.DUMMYFUNCTION("IF('From Order'!$A2248=COLUMNS($A2248:B2267), LEFT(INDEX(FILTER(B$1:B2247, B$1:B2247&lt;&gt;""""),COUNTA(FILTER(B$1:B2247, B$1:B2247&lt;&gt;""""))), LEN(INDEX(FILTER(B$1:B2247, B$1:B2247&lt;&gt;""""),COUNTA(FILTER(B$1:B2247, B$1:B2247&lt;&gt;""""))))-1), IF('To Order'!$A2248=COL"&amp;"UMNS($A2248:B2267), B2247&amp;RIGHT(INDIRECT(ADDRESS(ROW(B2248)-1, 'From Order'!$A2248)), 1), B2247))"),"CJQTT")</f>
        <v>CJQTT</v>
      </c>
      <c r="C2248" s="2" t="str">
        <f>IFERROR(__xludf.DUMMYFUNCTION("IF('From Order'!$A2248=COLUMNS($A2248:C2267), LEFT(INDEX(FILTER(C$1:C2247, C$1:C2247&lt;&gt;""""),COUNTA(FILTER(C$1:C2247, C$1:C2247&lt;&gt;""""))), LEN(INDEX(FILTER(C$1:C2247, C$1:C2247&lt;&gt;""""),COUNTA(FILTER(C$1:C2247, C$1:C2247&lt;&gt;""""))))-1), IF('To Order'!$A2248=COL"&amp;"UMNS($A2248:C2267), C2247&amp;RIGHT(INDIRECT(ADDRESS(ROW(C2248)-1, 'From Order'!$A2248)), 1), C2247))"),"VBHZSC")</f>
        <v>VBHZSC</v>
      </c>
      <c r="D2248" s="2" t="str">
        <f>IFERROR(__xludf.DUMMYFUNCTION("IF('From Order'!$A2248=COLUMNS($A2248:D2267), LEFT(INDEX(FILTER(D$1:D2247, D$1:D2247&lt;&gt;""""),COUNTA(FILTER(D$1:D2247, D$1:D2247&lt;&gt;""""))), LEN(INDEX(FILTER(D$1:D2247, D$1:D2247&lt;&gt;""""),COUNTA(FILTER(D$1:D2247, D$1:D2247&lt;&gt;""""))))-1), IF('To Order'!$A2248=COL"&amp;"UMNS($A2248:D2267), D2247&amp;RIGHT(INDIRECT(ADDRESS(ROW(D2248)-1, 'From Order'!$A2248)), 1), D2247))"),"RGWD")</f>
        <v>RGWD</v>
      </c>
      <c r="E2248" s="2" t="str">
        <f>IFERROR(__xludf.DUMMYFUNCTION("IF('From Order'!$A2248=COLUMNS($A2248:E2267), LEFT(INDEX(FILTER(E$1:E2247, E$1:E2247&lt;&gt;""""),COUNTA(FILTER(E$1:E2247, E$1:E2247&lt;&gt;""""))), LEN(INDEX(FILTER(E$1:E2247, E$1:E2247&lt;&gt;""""),COUNTA(FILTER(E$1:E2247, E$1:E2247&lt;&gt;""""))))-1), IF('To Order'!$A2248=COL"&amp;"UMNS($A2248:E2267), E2247&amp;RIGHT(INDIRECT(ADDRESS(ROW(E2248)-1, 'From Order'!$A2248)), 1), E2247))"),"FR")</f>
        <v>FR</v>
      </c>
      <c r="F2248" s="2" t="str">
        <f>IFERROR(__xludf.DUMMYFUNCTION("IF('From Order'!$A2248=COLUMNS($A2248:F2267), LEFT(INDEX(FILTER(F$1:F2247, F$1:F2247&lt;&gt;""""),COUNTA(FILTER(F$1:F2247, F$1:F2247&lt;&gt;""""))), LEN(INDEX(FILTER(F$1:F2247, F$1:F2247&lt;&gt;""""),COUNTA(FILTER(F$1:F2247, F$1:F2247&lt;&gt;""""))))-1), IF('To Order'!$A2248=COL"&amp;"UMNS($A2248:F2267), F2247&amp;RIGHT(INDIRECT(ADDRESS(ROW(F2248)-1, 'From Order'!$A2248)), 1), F2247))"),"")</f>
        <v/>
      </c>
      <c r="G2248" s="2" t="str">
        <f>IFERROR(__xludf.DUMMYFUNCTION("IF('From Order'!$A2248=COLUMNS($A2248:G2267), LEFT(INDEX(FILTER(G$1:G2247, G$1:G2247&lt;&gt;""""),COUNTA(FILTER(G$1:G2247, G$1:G2247&lt;&gt;""""))), LEN(INDEX(FILTER(G$1:G2247, G$1:G2247&lt;&gt;""""),COUNTA(FILTER(G$1:G2247, G$1:G2247&lt;&gt;""""))))-1), IF('To Order'!$A2248=COL"&amp;"UMNS($A2248:G2267), G2247&amp;RIGHT(INDIRECT(ADDRESS(ROW(G2248)-1, 'From Order'!$A2248)), 1), G2247))"),"")</f>
        <v/>
      </c>
      <c r="H2248" s="2" t="str">
        <f>IFERROR(__xludf.DUMMYFUNCTION("IF('From Order'!$A2248=COLUMNS($A2248:H2267), LEFT(INDEX(FILTER(H$1:H2247, H$1:H2247&lt;&gt;""""),COUNTA(FILTER(H$1:H2247, H$1:H2247&lt;&gt;""""))), LEN(INDEX(FILTER(H$1:H2247, H$1:H2247&lt;&gt;""""),COUNTA(FILTER(H$1:H2247, H$1:H2247&lt;&gt;""""))))-1), IF('To Order'!$A2248=COL"&amp;"UMNS($A2248:H2267), H2247&amp;RIGHT(INDIRECT(ADDRESS(ROW(H2248)-1, 'From Order'!$A2248)), 1), H2247))"),"")</f>
        <v/>
      </c>
      <c r="I2248" s="2" t="str">
        <f>IFERROR(__xludf.DUMMYFUNCTION("IF('From Order'!$A2248=COLUMNS($A2248:I2267), LEFT(INDEX(FILTER(I$1:I2247, I$1:I2247&lt;&gt;""""),COUNTA(FILTER(I$1:I2247, I$1:I2247&lt;&gt;""""))), LEN(INDEX(FILTER(I$1:I2247, I$1:I2247&lt;&gt;""""),COUNTA(FILTER(I$1:I2247, I$1:I2247&lt;&gt;""""))))-1), IF('To Order'!$A2248=COL"&amp;"UMNS($A2248:I2267), I2247&amp;RIGHT(INDIRECT(ADDRESS(ROW(I2248)-1, 'From Order'!$A2248)), 1), I2247))"),"DDDVQZDMTTGMJRRLPSSTMZHPRBVJBCBFLLWT")</f>
        <v>DDDVQZDMTTGMJRRLPSSTMZHPRBVJBCBFLLWT</v>
      </c>
    </row>
    <row r="2249">
      <c r="A2249" s="2" t="str">
        <f>IFERROR(__xludf.DUMMYFUNCTION("IF('From Order'!$A2249=COLUMNS($A2249:A2268), LEFT(INDEX(FILTER(A$1:A2248, A$1:A2248&lt;&gt;""""),COUNTA(FILTER(A$1:A2248, A$1:A2248&lt;&gt;""""))), LEN(INDEX(FILTER(A$1:A2248, A$1:A2248&lt;&gt;""""),COUNTA(FILTER(A$1:A2248, A$1:A2248&lt;&gt;""""))))-1), IF('To Order'!$A2249=COL"&amp;"UMNS($A2249:A2268), A2248&amp;RIGHT(INDIRECT(ADDRESS(ROW(A2249)-1, 'From Order'!$A2249)), 1), A2248))"),"DSP")</f>
        <v>DSP</v>
      </c>
      <c r="B2249" s="2" t="str">
        <f>IFERROR(__xludf.DUMMYFUNCTION("IF('From Order'!$A2249=COLUMNS($A2249:B2268), LEFT(INDEX(FILTER(B$1:B2248, B$1:B2248&lt;&gt;""""),COUNTA(FILTER(B$1:B2248, B$1:B2248&lt;&gt;""""))), LEN(INDEX(FILTER(B$1:B2248, B$1:B2248&lt;&gt;""""),COUNTA(FILTER(B$1:B2248, B$1:B2248&lt;&gt;""""))))-1), IF('To Order'!$A2249=COL"&amp;"UMNS($A2249:B2268), B2248&amp;RIGHT(INDIRECT(ADDRESS(ROW(B2249)-1, 'From Order'!$A2249)), 1), B2248))"),"CJQT")</f>
        <v>CJQT</v>
      </c>
      <c r="C2249" s="2" t="str">
        <f>IFERROR(__xludf.DUMMYFUNCTION("IF('From Order'!$A2249=COLUMNS($A2249:C2268), LEFT(INDEX(FILTER(C$1:C2248, C$1:C2248&lt;&gt;""""),COUNTA(FILTER(C$1:C2248, C$1:C2248&lt;&gt;""""))), LEN(INDEX(FILTER(C$1:C2248, C$1:C2248&lt;&gt;""""),COUNTA(FILTER(C$1:C2248, C$1:C2248&lt;&gt;""""))))-1), IF('To Order'!$A2249=COL"&amp;"UMNS($A2249:C2268), C2248&amp;RIGHT(INDIRECT(ADDRESS(ROW(C2249)-1, 'From Order'!$A2249)), 1), C2248))"),"VBHZSCT")</f>
        <v>VBHZSCT</v>
      </c>
      <c r="D2249" s="2" t="str">
        <f>IFERROR(__xludf.DUMMYFUNCTION("IF('From Order'!$A2249=COLUMNS($A2249:D2268), LEFT(INDEX(FILTER(D$1:D2248, D$1:D2248&lt;&gt;""""),COUNTA(FILTER(D$1:D2248, D$1:D2248&lt;&gt;""""))), LEN(INDEX(FILTER(D$1:D2248, D$1:D2248&lt;&gt;""""),COUNTA(FILTER(D$1:D2248, D$1:D2248&lt;&gt;""""))))-1), IF('To Order'!$A2249=COL"&amp;"UMNS($A2249:D2268), D2248&amp;RIGHT(INDIRECT(ADDRESS(ROW(D2249)-1, 'From Order'!$A2249)), 1), D2248))"),"RGWD")</f>
        <v>RGWD</v>
      </c>
      <c r="E2249" s="2" t="str">
        <f>IFERROR(__xludf.DUMMYFUNCTION("IF('From Order'!$A2249=COLUMNS($A2249:E2268), LEFT(INDEX(FILTER(E$1:E2248, E$1:E2248&lt;&gt;""""),COUNTA(FILTER(E$1:E2248, E$1:E2248&lt;&gt;""""))), LEN(INDEX(FILTER(E$1:E2248, E$1:E2248&lt;&gt;""""),COUNTA(FILTER(E$1:E2248, E$1:E2248&lt;&gt;""""))))-1), IF('To Order'!$A2249=COL"&amp;"UMNS($A2249:E2268), E2248&amp;RIGHT(INDIRECT(ADDRESS(ROW(E2249)-1, 'From Order'!$A2249)), 1), E2248))"),"FR")</f>
        <v>FR</v>
      </c>
      <c r="F2249" s="2" t="str">
        <f>IFERROR(__xludf.DUMMYFUNCTION("IF('From Order'!$A2249=COLUMNS($A2249:F2268), LEFT(INDEX(FILTER(F$1:F2248, F$1:F2248&lt;&gt;""""),COUNTA(FILTER(F$1:F2248, F$1:F2248&lt;&gt;""""))), LEN(INDEX(FILTER(F$1:F2248, F$1:F2248&lt;&gt;""""),COUNTA(FILTER(F$1:F2248, F$1:F2248&lt;&gt;""""))))-1), IF('To Order'!$A2249=COL"&amp;"UMNS($A2249:F2268), F2248&amp;RIGHT(INDIRECT(ADDRESS(ROW(F2249)-1, 'From Order'!$A2249)), 1), F2248))"),"")</f>
        <v/>
      </c>
      <c r="G2249" s="2" t="str">
        <f>IFERROR(__xludf.DUMMYFUNCTION("IF('From Order'!$A2249=COLUMNS($A2249:G2268), LEFT(INDEX(FILTER(G$1:G2248, G$1:G2248&lt;&gt;""""),COUNTA(FILTER(G$1:G2248, G$1:G2248&lt;&gt;""""))), LEN(INDEX(FILTER(G$1:G2248, G$1:G2248&lt;&gt;""""),COUNTA(FILTER(G$1:G2248, G$1:G2248&lt;&gt;""""))))-1), IF('To Order'!$A2249=COL"&amp;"UMNS($A2249:G2268), G2248&amp;RIGHT(INDIRECT(ADDRESS(ROW(G2249)-1, 'From Order'!$A2249)), 1), G2248))"),"")</f>
        <v/>
      </c>
      <c r="H2249" s="2" t="str">
        <f>IFERROR(__xludf.DUMMYFUNCTION("IF('From Order'!$A2249=COLUMNS($A2249:H2268), LEFT(INDEX(FILTER(H$1:H2248, H$1:H2248&lt;&gt;""""),COUNTA(FILTER(H$1:H2248, H$1:H2248&lt;&gt;""""))), LEN(INDEX(FILTER(H$1:H2248, H$1:H2248&lt;&gt;""""),COUNTA(FILTER(H$1:H2248, H$1:H2248&lt;&gt;""""))))-1), IF('To Order'!$A2249=COL"&amp;"UMNS($A2249:H2268), H2248&amp;RIGHT(INDIRECT(ADDRESS(ROW(H2249)-1, 'From Order'!$A2249)), 1), H2248))"),"")</f>
        <v/>
      </c>
      <c r="I2249" s="2" t="str">
        <f>IFERROR(__xludf.DUMMYFUNCTION("IF('From Order'!$A2249=COLUMNS($A2249:I2268), LEFT(INDEX(FILTER(I$1:I2248, I$1:I2248&lt;&gt;""""),COUNTA(FILTER(I$1:I2248, I$1:I2248&lt;&gt;""""))), LEN(INDEX(FILTER(I$1:I2248, I$1:I2248&lt;&gt;""""),COUNTA(FILTER(I$1:I2248, I$1:I2248&lt;&gt;""""))))-1), IF('To Order'!$A2249=COL"&amp;"UMNS($A2249:I2268), I2248&amp;RIGHT(INDIRECT(ADDRESS(ROW(I2249)-1, 'From Order'!$A2249)), 1), I2248))"),"DDDVQZDMTTGMJRRLPSSTMZHPRBVJBCBFLLWT")</f>
        <v>DDDVQZDMTTGMJRRLPSSTMZHPRBVJBCBFLLWT</v>
      </c>
    </row>
    <row r="2250">
      <c r="A2250" s="2" t="str">
        <f>IFERROR(__xludf.DUMMYFUNCTION("IF('From Order'!$A2250=COLUMNS($A2250:A2269), LEFT(INDEX(FILTER(A$1:A2249, A$1:A2249&lt;&gt;""""),COUNTA(FILTER(A$1:A2249, A$1:A2249&lt;&gt;""""))), LEN(INDEX(FILTER(A$1:A2249, A$1:A2249&lt;&gt;""""),COUNTA(FILTER(A$1:A2249, A$1:A2249&lt;&gt;""""))))-1), IF('To Order'!$A2250=COL"&amp;"UMNS($A2250:A2269), A2249&amp;RIGHT(INDIRECT(ADDRESS(ROW(A2250)-1, 'From Order'!$A2250)), 1), A2249))"),"DSP")</f>
        <v>DSP</v>
      </c>
      <c r="B2250" s="2" t="str">
        <f>IFERROR(__xludf.DUMMYFUNCTION("IF('From Order'!$A2250=COLUMNS($A2250:B2269), LEFT(INDEX(FILTER(B$1:B2249, B$1:B2249&lt;&gt;""""),COUNTA(FILTER(B$1:B2249, B$1:B2249&lt;&gt;""""))), LEN(INDEX(FILTER(B$1:B2249, B$1:B2249&lt;&gt;""""),COUNTA(FILTER(B$1:B2249, B$1:B2249&lt;&gt;""""))))-1), IF('To Order'!$A2250=COL"&amp;"UMNS($A2250:B2269), B2249&amp;RIGHT(INDIRECT(ADDRESS(ROW(B2250)-1, 'From Order'!$A2250)), 1), B2249))"),"CJQ")</f>
        <v>CJQ</v>
      </c>
      <c r="C2250" s="2" t="str">
        <f>IFERROR(__xludf.DUMMYFUNCTION("IF('From Order'!$A2250=COLUMNS($A2250:C2269), LEFT(INDEX(FILTER(C$1:C2249, C$1:C2249&lt;&gt;""""),COUNTA(FILTER(C$1:C2249, C$1:C2249&lt;&gt;""""))), LEN(INDEX(FILTER(C$1:C2249, C$1:C2249&lt;&gt;""""),COUNTA(FILTER(C$1:C2249, C$1:C2249&lt;&gt;""""))))-1), IF('To Order'!$A2250=COL"&amp;"UMNS($A2250:C2269), C2249&amp;RIGHT(INDIRECT(ADDRESS(ROW(C2250)-1, 'From Order'!$A2250)), 1), C2249))"),"VBHZSCTT")</f>
        <v>VBHZSCTT</v>
      </c>
      <c r="D2250" s="2" t="str">
        <f>IFERROR(__xludf.DUMMYFUNCTION("IF('From Order'!$A2250=COLUMNS($A2250:D2269), LEFT(INDEX(FILTER(D$1:D2249, D$1:D2249&lt;&gt;""""),COUNTA(FILTER(D$1:D2249, D$1:D2249&lt;&gt;""""))), LEN(INDEX(FILTER(D$1:D2249, D$1:D2249&lt;&gt;""""),COUNTA(FILTER(D$1:D2249, D$1:D2249&lt;&gt;""""))))-1), IF('To Order'!$A2250=COL"&amp;"UMNS($A2250:D2269), D2249&amp;RIGHT(INDIRECT(ADDRESS(ROW(D2250)-1, 'From Order'!$A2250)), 1), D2249))"),"RGWD")</f>
        <v>RGWD</v>
      </c>
      <c r="E2250" s="2" t="str">
        <f>IFERROR(__xludf.DUMMYFUNCTION("IF('From Order'!$A2250=COLUMNS($A2250:E2269), LEFT(INDEX(FILTER(E$1:E2249, E$1:E2249&lt;&gt;""""),COUNTA(FILTER(E$1:E2249, E$1:E2249&lt;&gt;""""))), LEN(INDEX(FILTER(E$1:E2249, E$1:E2249&lt;&gt;""""),COUNTA(FILTER(E$1:E2249, E$1:E2249&lt;&gt;""""))))-1), IF('To Order'!$A2250=COL"&amp;"UMNS($A2250:E2269), E2249&amp;RIGHT(INDIRECT(ADDRESS(ROW(E2250)-1, 'From Order'!$A2250)), 1), E2249))"),"FR")</f>
        <v>FR</v>
      </c>
      <c r="F2250" s="2" t="str">
        <f>IFERROR(__xludf.DUMMYFUNCTION("IF('From Order'!$A2250=COLUMNS($A2250:F2269), LEFT(INDEX(FILTER(F$1:F2249, F$1:F2249&lt;&gt;""""),COUNTA(FILTER(F$1:F2249, F$1:F2249&lt;&gt;""""))), LEN(INDEX(FILTER(F$1:F2249, F$1:F2249&lt;&gt;""""),COUNTA(FILTER(F$1:F2249, F$1:F2249&lt;&gt;""""))))-1), IF('To Order'!$A2250=COL"&amp;"UMNS($A2250:F2269), F2249&amp;RIGHT(INDIRECT(ADDRESS(ROW(F2250)-1, 'From Order'!$A2250)), 1), F2249))"),"")</f>
        <v/>
      </c>
      <c r="G2250" s="2" t="str">
        <f>IFERROR(__xludf.DUMMYFUNCTION("IF('From Order'!$A2250=COLUMNS($A2250:G2269), LEFT(INDEX(FILTER(G$1:G2249, G$1:G2249&lt;&gt;""""),COUNTA(FILTER(G$1:G2249, G$1:G2249&lt;&gt;""""))), LEN(INDEX(FILTER(G$1:G2249, G$1:G2249&lt;&gt;""""),COUNTA(FILTER(G$1:G2249, G$1:G2249&lt;&gt;""""))))-1), IF('To Order'!$A2250=COL"&amp;"UMNS($A2250:G2269), G2249&amp;RIGHT(INDIRECT(ADDRESS(ROW(G2250)-1, 'From Order'!$A2250)), 1), G2249))"),"")</f>
        <v/>
      </c>
      <c r="H2250" s="2" t="str">
        <f>IFERROR(__xludf.DUMMYFUNCTION("IF('From Order'!$A2250=COLUMNS($A2250:H2269), LEFT(INDEX(FILTER(H$1:H2249, H$1:H2249&lt;&gt;""""),COUNTA(FILTER(H$1:H2249, H$1:H2249&lt;&gt;""""))), LEN(INDEX(FILTER(H$1:H2249, H$1:H2249&lt;&gt;""""),COUNTA(FILTER(H$1:H2249, H$1:H2249&lt;&gt;""""))))-1), IF('To Order'!$A2250=COL"&amp;"UMNS($A2250:H2269), H2249&amp;RIGHT(INDIRECT(ADDRESS(ROW(H2250)-1, 'From Order'!$A2250)), 1), H2249))"),"")</f>
        <v/>
      </c>
      <c r="I2250" s="2" t="str">
        <f>IFERROR(__xludf.DUMMYFUNCTION("IF('From Order'!$A2250=COLUMNS($A2250:I2269), LEFT(INDEX(FILTER(I$1:I2249, I$1:I2249&lt;&gt;""""),COUNTA(FILTER(I$1:I2249, I$1:I2249&lt;&gt;""""))), LEN(INDEX(FILTER(I$1:I2249, I$1:I2249&lt;&gt;""""),COUNTA(FILTER(I$1:I2249, I$1:I2249&lt;&gt;""""))))-1), IF('To Order'!$A2250=COL"&amp;"UMNS($A2250:I2269), I2249&amp;RIGHT(INDIRECT(ADDRESS(ROW(I2250)-1, 'From Order'!$A2250)), 1), I2249))"),"DDDVQZDMTTGMJRRLPSSTMZHPRBVJBCBFLLWT")</f>
        <v>DDDVQZDMTTGMJRRLPSSTMZHPRBVJBCBFLLWT</v>
      </c>
    </row>
    <row r="2251">
      <c r="A2251" s="2" t="str">
        <f>IFERROR(__xludf.DUMMYFUNCTION("IF('From Order'!$A2251=COLUMNS($A2251:A2270), LEFT(INDEX(FILTER(A$1:A2250, A$1:A2250&lt;&gt;""""),COUNTA(FILTER(A$1:A2250, A$1:A2250&lt;&gt;""""))), LEN(INDEX(FILTER(A$1:A2250, A$1:A2250&lt;&gt;""""),COUNTA(FILTER(A$1:A2250, A$1:A2250&lt;&gt;""""))))-1), IF('To Order'!$A2251=COL"&amp;"UMNS($A2251:A2270), A2250&amp;RIGHT(INDIRECT(ADDRESS(ROW(A2251)-1, 'From Order'!$A2251)), 1), A2250))"),"DSP")</f>
        <v>DSP</v>
      </c>
      <c r="B2251" s="2" t="str">
        <f>IFERROR(__xludf.DUMMYFUNCTION("IF('From Order'!$A2251=COLUMNS($A2251:B2270), LEFT(INDEX(FILTER(B$1:B2250, B$1:B2250&lt;&gt;""""),COUNTA(FILTER(B$1:B2250, B$1:B2250&lt;&gt;""""))), LEN(INDEX(FILTER(B$1:B2250, B$1:B2250&lt;&gt;""""),COUNTA(FILTER(B$1:B2250, B$1:B2250&lt;&gt;""""))))-1), IF('To Order'!$A2251=COL"&amp;"UMNS($A2251:B2270), B2250&amp;RIGHT(INDIRECT(ADDRESS(ROW(B2251)-1, 'From Order'!$A2251)), 1), B2250))"),"CJ")</f>
        <v>CJ</v>
      </c>
      <c r="C2251" s="2" t="str">
        <f>IFERROR(__xludf.DUMMYFUNCTION("IF('From Order'!$A2251=COLUMNS($A2251:C2270), LEFT(INDEX(FILTER(C$1:C2250, C$1:C2250&lt;&gt;""""),COUNTA(FILTER(C$1:C2250, C$1:C2250&lt;&gt;""""))), LEN(INDEX(FILTER(C$1:C2250, C$1:C2250&lt;&gt;""""),COUNTA(FILTER(C$1:C2250, C$1:C2250&lt;&gt;""""))))-1), IF('To Order'!$A2251=COL"&amp;"UMNS($A2251:C2270), C2250&amp;RIGHT(INDIRECT(ADDRESS(ROW(C2251)-1, 'From Order'!$A2251)), 1), C2250))"),"VBHZSCTTQ")</f>
        <v>VBHZSCTTQ</v>
      </c>
      <c r="D2251" s="2" t="str">
        <f>IFERROR(__xludf.DUMMYFUNCTION("IF('From Order'!$A2251=COLUMNS($A2251:D2270), LEFT(INDEX(FILTER(D$1:D2250, D$1:D2250&lt;&gt;""""),COUNTA(FILTER(D$1:D2250, D$1:D2250&lt;&gt;""""))), LEN(INDEX(FILTER(D$1:D2250, D$1:D2250&lt;&gt;""""),COUNTA(FILTER(D$1:D2250, D$1:D2250&lt;&gt;""""))))-1), IF('To Order'!$A2251=COL"&amp;"UMNS($A2251:D2270), D2250&amp;RIGHT(INDIRECT(ADDRESS(ROW(D2251)-1, 'From Order'!$A2251)), 1), D2250))"),"RGWD")</f>
        <v>RGWD</v>
      </c>
      <c r="E2251" s="2" t="str">
        <f>IFERROR(__xludf.DUMMYFUNCTION("IF('From Order'!$A2251=COLUMNS($A2251:E2270), LEFT(INDEX(FILTER(E$1:E2250, E$1:E2250&lt;&gt;""""),COUNTA(FILTER(E$1:E2250, E$1:E2250&lt;&gt;""""))), LEN(INDEX(FILTER(E$1:E2250, E$1:E2250&lt;&gt;""""),COUNTA(FILTER(E$1:E2250, E$1:E2250&lt;&gt;""""))))-1), IF('To Order'!$A2251=COL"&amp;"UMNS($A2251:E2270), E2250&amp;RIGHT(INDIRECT(ADDRESS(ROW(E2251)-1, 'From Order'!$A2251)), 1), E2250))"),"FR")</f>
        <v>FR</v>
      </c>
      <c r="F2251" s="2" t="str">
        <f>IFERROR(__xludf.DUMMYFUNCTION("IF('From Order'!$A2251=COLUMNS($A2251:F2270), LEFT(INDEX(FILTER(F$1:F2250, F$1:F2250&lt;&gt;""""),COUNTA(FILTER(F$1:F2250, F$1:F2250&lt;&gt;""""))), LEN(INDEX(FILTER(F$1:F2250, F$1:F2250&lt;&gt;""""),COUNTA(FILTER(F$1:F2250, F$1:F2250&lt;&gt;""""))))-1), IF('To Order'!$A2251=COL"&amp;"UMNS($A2251:F2270), F2250&amp;RIGHT(INDIRECT(ADDRESS(ROW(F2251)-1, 'From Order'!$A2251)), 1), F2250))"),"")</f>
        <v/>
      </c>
      <c r="G2251" s="2" t="str">
        <f>IFERROR(__xludf.DUMMYFUNCTION("IF('From Order'!$A2251=COLUMNS($A2251:G2270), LEFT(INDEX(FILTER(G$1:G2250, G$1:G2250&lt;&gt;""""),COUNTA(FILTER(G$1:G2250, G$1:G2250&lt;&gt;""""))), LEN(INDEX(FILTER(G$1:G2250, G$1:G2250&lt;&gt;""""),COUNTA(FILTER(G$1:G2250, G$1:G2250&lt;&gt;""""))))-1), IF('To Order'!$A2251=COL"&amp;"UMNS($A2251:G2270), G2250&amp;RIGHT(INDIRECT(ADDRESS(ROW(G2251)-1, 'From Order'!$A2251)), 1), G2250))"),"")</f>
        <v/>
      </c>
      <c r="H2251" s="2" t="str">
        <f>IFERROR(__xludf.DUMMYFUNCTION("IF('From Order'!$A2251=COLUMNS($A2251:H2270), LEFT(INDEX(FILTER(H$1:H2250, H$1:H2250&lt;&gt;""""),COUNTA(FILTER(H$1:H2250, H$1:H2250&lt;&gt;""""))), LEN(INDEX(FILTER(H$1:H2250, H$1:H2250&lt;&gt;""""),COUNTA(FILTER(H$1:H2250, H$1:H2250&lt;&gt;""""))))-1), IF('To Order'!$A2251=COL"&amp;"UMNS($A2251:H2270), H2250&amp;RIGHT(INDIRECT(ADDRESS(ROW(H2251)-1, 'From Order'!$A2251)), 1), H2250))"),"")</f>
        <v/>
      </c>
      <c r="I2251" s="2" t="str">
        <f>IFERROR(__xludf.DUMMYFUNCTION("IF('From Order'!$A2251=COLUMNS($A2251:I2270), LEFT(INDEX(FILTER(I$1:I2250, I$1:I2250&lt;&gt;""""),COUNTA(FILTER(I$1:I2250, I$1:I2250&lt;&gt;""""))), LEN(INDEX(FILTER(I$1:I2250, I$1:I2250&lt;&gt;""""),COUNTA(FILTER(I$1:I2250, I$1:I2250&lt;&gt;""""))))-1), IF('To Order'!$A2251=COL"&amp;"UMNS($A2251:I2270), I2250&amp;RIGHT(INDIRECT(ADDRESS(ROW(I2251)-1, 'From Order'!$A2251)), 1), I2250))"),"DDDVQZDMTTGMJRRLPSSTMZHPRBVJBCBFLLWT")</f>
        <v>DDDVQZDMTTGMJRRLPSSTMZHPRBVJBCBFLLWT</v>
      </c>
    </row>
    <row r="2252">
      <c r="A2252" s="2" t="str">
        <f>IFERROR(__xludf.DUMMYFUNCTION("IF('From Order'!$A2252=COLUMNS($A2252:A2271), LEFT(INDEX(FILTER(A$1:A2251, A$1:A2251&lt;&gt;""""),COUNTA(FILTER(A$1:A2251, A$1:A2251&lt;&gt;""""))), LEN(INDEX(FILTER(A$1:A2251, A$1:A2251&lt;&gt;""""),COUNTA(FILTER(A$1:A2251, A$1:A2251&lt;&gt;""""))))-1), IF('To Order'!$A2252=COL"&amp;"UMNS($A2252:A2271), A2251&amp;RIGHT(INDIRECT(ADDRESS(ROW(A2252)-1, 'From Order'!$A2252)), 1), A2251))"),"DSP")</f>
        <v>DSP</v>
      </c>
      <c r="B2252" s="2" t="str">
        <f>IFERROR(__xludf.DUMMYFUNCTION("IF('From Order'!$A2252=COLUMNS($A2252:B2271), LEFT(INDEX(FILTER(B$1:B2251, B$1:B2251&lt;&gt;""""),COUNTA(FILTER(B$1:B2251, B$1:B2251&lt;&gt;""""))), LEN(INDEX(FILTER(B$1:B2251, B$1:B2251&lt;&gt;""""),COUNTA(FILTER(B$1:B2251, B$1:B2251&lt;&gt;""""))))-1), IF('To Order'!$A2252=COL"&amp;"UMNS($A2252:B2271), B2251&amp;RIGHT(INDIRECT(ADDRESS(ROW(B2252)-1, 'From Order'!$A2252)), 1), B2251))"),"C")</f>
        <v>C</v>
      </c>
      <c r="C2252" s="2" t="str">
        <f>IFERROR(__xludf.DUMMYFUNCTION("IF('From Order'!$A2252=COLUMNS($A2252:C2271), LEFT(INDEX(FILTER(C$1:C2251, C$1:C2251&lt;&gt;""""),COUNTA(FILTER(C$1:C2251, C$1:C2251&lt;&gt;""""))), LEN(INDEX(FILTER(C$1:C2251, C$1:C2251&lt;&gt;""""),COUNTA(FILTER(C$1:C2251, C$1:C2251&lt;&gt;""""))))-1), IF('To Order'!$A2252=COL"&amp;"UMNS($A2252:C2271), C2251&amp;RIGHT(INDIRECT(ADDRESS(ROW(C2252)-1, 'From Order'!$A2252)), 1), C2251))"),"VBHZSCTTQJ")</f>
        <v>VBHZSCTTQJ</v>
      </c>
      <c r="D2252" s="2" t="str">
        <f>IFERROR(__xludf.DUMMYFUNCTION("IF('From Order'!$A2252=COLUMNS($A2252:D2271), LEFT(INDEX(FILTER(D$1:D2251, D$1:D2251&lt;&gt;""""),COUNTA(FILTER(D$1:D2251, D$1:D2251&lt;&gt;""""))), LEN(INDEX(FILTER(D$1:D2251, D$1:D2251&lt;&gt;""""),COUNTA(FILTER(D$1:D2251, D$1:D2251&lt;&gt;""""))))-1), IF('To Order'!$A2252=COL"&amp;"UMNS($A2252:D2271), D2251&amp;RIGHT(INDIRECT(ADDRESS(ROW(D2252)-1, 'From Order'!$A2252)), 1), D2251))"),"RGWD")</f>
        <v>RGWD</v>
      </c>
      <c r="E2252" s="2" t="str">
        <f>IFERROR(__xludf.DUMMYFUNCTION("IF('From Order'!$A2252=COLUMNS($A2252:E2271), LEFT(INDEX(FILTER(E$1:E2251, E$1:E2251&lt;&gt;""""),COUNTA(FILTER(E$1:E2251, E$1:E2251&lt;&gt;""""))), LEN(INDEX(FILTER(E$1:E2251, E$1:E2251&lt;&gt;""""),COUNTA(FILTER(E$1:E2251, E$1:E2251&lt;&gt;""""))))-1), IF('To Order'!$A2252=COL"&amp;"UMNS($A2252:E2271), E2251&amp;RIGHT(INDIRECT(ADDRESS(ROW(E2252)-1, 'From Order'!$A2252)), 1), E2251))"),"FR")</f>
        <v>FR</v>
      </c>
      <c r="F2252" s="2" t="str">
        <f>IFERROR(__xludf.DUMMYFUNCTION("IF('From Order'!$A2252=COLUMNS($A2252:F2271), LEFT(INDEX(FILTER(F$1:F2251, F$1:F2251&lt;&gt;""""),COUNTA(FILTER(F$1:F2251, F$1:F2251&lt;&gt;""""))), LEN(INDEX(FILTER(F$1:F2251, F$1:F2251&lt;&gt;""""),COUNTA(FILTER(F$1:F2251, F$1:F2251&lt;&gt;""""))))-1), IF('To Order'!$A2252=COL"&amp;"UMNS($A2252:F2271), F2251&amp;RIGHT(INDIRECT(ADDRESS(ROW(F2252)-1, 'From Order'!$A2252)), 1), F2251))"),"")</f>
        <v/>
      </c>
      <c r="G2252" s="2" t="str">
        <f>IFERROR(__xludf.DUMMYFUNCTION("IF('From Order'!$A2252=COLUMNS($A2252:G2271), LEFT(INDEX(FILTER(G$1:G2251, G$1:G2251&lt;&gt;""""),COUNTA(FILTER(G$1:G2251, G$1:G2251&lt;&gt;""""))), LEN(INDEX(FILTER(G$1:G2251, G$1:G2251&lt;&gt;""""),COUNTA(FILTER(G$1:G2251, G$1:G2251&lt;&gt;""""))))-1), IF('To Order'!$A2252=COL"&amp;"UMNS($A2252:G2271), G2251&amp;RIGHT(INDIRECT(ADDRESS(ROW(G2252)-1, 'From Order'!$A2252)), 1), G2251))"),"")</f>
        <v/>
      </c>
      <c r="H2252" s="2" t="str">
        <f>IFERROR(__xludf.DUMMYFUNCTION("IF('From Order'!$A2252=COLUMNS($A2252:H2271), LEFT(INDEX(FILTER(H$1:H2251, H$1:H2251&lt;&gt;""""),COUNTA(FILTER(H$1:H2251, H$1:H2251&lt;&gt;""""))), LEN(INDEX(FILTER(H$1:H2251, H$1:H2251&lt;&gt;""""),COUNTA(FILTER(H$1:H2251, H$1:H2251&lt;&gt;""""))))-1), IF('To Order'!$A2252=COL"&amp;"UMNS($A2252:H2271), H2251&amp;RIGHT(INDIRECT(ADDRESS(ROW(H2252)-1, 'From Order'!$A2252)), 1), H2251))"),"")</f>
        <v/>
      </c>
      <c r="I2252" s="2" t="str">
        <f>IFERROR(__xludf.DUMMYFUNCTION("IF('From Order'!$A2252=COLUMNS($A2252:I2271), LEFT(INDEX(FILTER(I$1:I2251, I$1:I2251&lt;&gt;""""),COUNTA(FILTER(I$1:I2251, I$1:I2251&lt;&gt;""""))), LEN(INDEX(FILTER(I$1:I2251, I$1:I2251&lt;&gt;""""),COUNTA(FILTER(I$1:I2251, I$1:I2251&lt;&gt;""""))))-1), IF('To Order'!$A2252=COL"&amp;"UMNS($A2252:I2271), I2251&amp;RIGHT(INDIRECT(ADDRESS(ROW(I2252)-1, 'From Order'!$A2252)), 1), I2251))"),"DDDVQZDMTTGMJRRLPSSTMZHPRBVJBCBFLLWT")</f>
        <v>DDDVQZDMTTGMJRRLPSSTMZHPRBVJBCBFLLWT</v>
      </c>
    </row>
    <row r="2253">
      <c r="A2253" s="2" t="str">
        <f>IFERROR(__xludf.DUMMYFUNCTION("IF('From Order'!$A2253=COLUMNS($A2253:A2272), LEFT(INDEX(FILTER(A$1:A2252, A$1:A2252&lt;&gt;""""),COUNTA(FILTER(A$1:A2252, A$1:A2252&lt;&gt;""""))), LEN(INDEX(FILTER(A$1:A2252, A$1:A2252&lt;&gt;""""),COUNTA(FILTER(A$1:A2252, A$1:A2252&lt;&gt;""""))))-1), IF('To Order'!$A2253=COL"&amp;"UMNS($A2253:A2272), A2252&amp;RIGHT(INDIRECT(ADDRESS(ROW(A2253)-1, 'From Order'!$A2253)), 1), A2252))"),"DSPJ")</f>
        <v>DSPJ</v>
      </c>
      <c r="B2253" s="2" t="str">
        <f>IFERROR(__xludf.DUMMYFUNCTION("IF('From Order'!$A2253=COLUMNS($A2253:B2272), LEFT(INDEX(FILTER(B$1:B2252, B$1:B2252&lt;&gt;""""),COUNTA(FILTER(B$1:B2252, B$1:B2252&lt;&gt;""""))), LEN(INDEX(FILTER(B$1:B2252, B$1:B2252&lt;&gt;""""),COUNTA(FILTER(B$1:B2252, B$1:B2252&lt;&gt;""""))))-1), IF('To Order'!$A2253=COL"&amp;"UMNS($A2253:B2272), B2252&amp;RIGHT(INDIRECT(ADDRESS(ROW(B2253)-1, 'From Order'!$A2253)), 1), B2252))"),"C")</f>
        <v>C</v>
      </c>
      <c r="C2253" s="2" t="str">
        <f>IFERROR(__xludf.DUMMYFUNCTION("IF('From Order'!$A2253=COLUMNS($A2253:C2272), LEFT(INDEX(FILTER(C$1:C2252, C$1:C2252&lt;&gt;""""),COUNTA(FILTER(C$1:C2252, C$1:C2252&lt;&gt;""""))), LEN(INDEX(FILTER(C$1:C2252, C$1:C2252&lt;&gt;""""),COUNTA(FILTER(C$1:C2252, C$1:C2252&lt;&gt;""""))))-1), IF('To Order'!$A2253=COL"&amp;"UMNS($A2253:C2272), C2252&amp;RIGHT(INDIRECT(ADDRESS(ROW(C2253)-1, 'From Order'!$A2253)), 1), C2252))"),"VBHZSCTTQ")</f>
        <v>VBHZSCTTQ</v>
      </c>
      <c r="D2253" s="2" t="str">
        <f>IFERROR(__xludf.DUMMYFUNCTION("IF('From Order'!$A2253=COLUMNS($A2253:D2272), LEFT(INDEX(FILTER(D$1:D2252, D$1:D2252&lt;&gt;""""),COUNTA(FILTER(D$1:D2252, D$1:D2252&lt;&gt;""""))), LEN(INDEX(FILTER(D$1:D2252, D$1:D2252&lt;&gt;""""),COUNTA(FILTER(D$1:D2252, D$1:D2252&lt;&gt;""""))))-1), IF('To Order'!$A2253=COL"&amp;"UMNS($A2253:D2272), D2252&amp;RIGHT(INDIRECT(ADDRESS(ROW(D2253)-1, 'From Order'!$A2253)), 1), D2252))"),"RGWD")</f>
        <v>RGWD</v>
      </c>
      <c r="E2253" s="2" t="str">
        <f>IFERROR(__xludf.DUMMYFUNCTION("IF('From Order'!$A2253=COLUMNS($A2253:E2272), LEFT(INDEX(FILTER(E$1:E2252, E$1:E2252&lt;&gt;""""),COUNTA(FILTER(E$1:E2252, E$1:E2252&lt;&gt;""""))), LEN(INDEX(FILTER(E$1:E2252, E$1:E2252&lt;&gt;""""),COUNTA(FILTER(E$1:E2252, E$1:E2252&lt;&gt;""""))))-1), IF('To Order'!$A2253=COL"&amp;"UMNS($A2253:E2272), E2252&amp;RIGHT(INDIRECT(ADDRESS(ROW(E2253)-1, 'From Order'!$A2253)), 1), E2252))"),"FR")</f>
        <v>FR</v>
      </c>
      <c r="F2253" s="2" t="str">
        <f>IFERROR(__xludf.DUMMYFUNCTION("IF('From Order'!$A2253=COLUMNS($A2253:F2272), LEFT(INDEX(FILTER(F$1:F2252, F$1:F2252&lt;&gt;""""),COUNTA(FILTER(F$1:F2252, F$1:F2252&lt;&gt;""""))), LEN(INDEX(FILTER(F$1:F2252, F$1:F2252&lt;&gt;""""),COUNTA(FILTER(F$1:F2252, F$1:F2252&lt;&gt;""""))))-1), IF('To Order'!$A2253=COL"&amp;"UMNS($A2253:F2272), F2252&amp;RIGHT(INDIRECT(ADDRESS(ROW(F2253)-1, 'From Order'!$A2253)), 1), F2252))"),"")</f>
        <v/>
      </c>
      <c r="G2253" s="2" t="str">
        <f>IFERROR(__xludf.DUMMYFUNCTION("IF('From Order'!$A2253=COLUMNS($A2253:G2272), LEFT(INDEX(FILTER(G$1:G2252, G$1:G2252&lt;&gt;""""),COUNTA(FILTER(G$1:G2252, G$1:G2252&lt;&gt;""""))), LEN(INDEX(FILTER(G$1:G2252, G$1:G2252&lt;&gt;""""),COUNTA(FILTER(G$1:G2252, G$1:G2252&lt;&gt;""""))))-1), IF('To Order'!$A2253=COL"&amp;"UMNS($A2253:G2272), G2252&amp;RIGHT(INDIRECT(ADDRESS(ROW(G2253)-1, 'From Order'!$A2253)), 1), G2252))"),"")</f>
        <v/>
      </c>
      <c r="H2253" s="2" t="str">
        <f>IFERROR(__xludf.DUMMYFUNCTION("IF('From Order'!$A2253=COLUMNS($A2253:H2272), LEFT(INDEX(FILTER(H$1:H2252, H$1:H2252&lt;&gt;""""),COUNTA(FILTER(H$1:H2252, H$1:H2252&lt;&gt;""""))), LEN(INDEX(FILTER(H$1:H2252, H$1:H2252&lt;&gt;""""),COUNTA(FILTER(H$1:H2252, H$1:H2252&lt;&gt;""""))))-1), IF('To Order'!$A2253=COL"&amp;"UMNS($A2253:H2272), H2252&amp;RIGHT(INDIRECT(ADDRESS(ROW(H2253)-1, 'From Order'!$A2253)), 1), H2252))"),"")</f>
        <v/>
      </c>
      <c r="I2253" s="2" t="str">
        <f>IFERROR(__xludf.DUMMYFUNCTION("IF('From Order'!$A2253=COLUMNS($A2253:I2272), LEFT(INDEX(FILTER(I$1:I2252, I$1:I2252&lt;&gt;""""),COUNTA(FILTER(I$1:I2252, I$1:I2252&lt;&gt;""""))), LEN(INDEX(FILTER(I$1:I2252, I$1:I2252&lt;&gt;""""),COUNTA(FILTER(I$1:I2252, I$1:I2252&lt;&gt;""""))))-1), IF('To Order'!$A2253=COL"&amp;"UMNS($A2253:I2272), I2252&amp;RIGHT(INDIRECT(ADDRESS(ROW(I2253)-1, 'From Order'!$A2253)), 1), I2252))"),"DDDVQZDMTTGMJRRLPSSTMZHPRBVJBCBFLLWT")</f>
        <v>DDDVQZDMTTGMJRRLPSSTMZHPRBVJBCBFLLWT</v>
      </c>
    </row>
    <row r="2254">
      <c r="A2254" s="2" t="str">
        <f>IFERROR(__xludf.DUMMYFUNCTION("IF('From Order'!$A2254=COLUMNS($A2254:A2273), LEFT(INDEX(FILTER(A$1:A2253, A$1:A2253&lt;&gt;""""),COUNTA(FILTER(A$1:A2253, A$1:A2253&lt;&gt;""""))), LEN(INDEX(FILTER(A$1:A2253, A$1:A2253&lt;&gt;""""),COUNTA(FILTER(A$1:A2253, A$1:A2253&lt;&gt;""""))))-1), IF('To Order'!$A2254=COL"&amp;"UMNS($A2254:A2273), A2253&amp;RIGHT(INDIRECT(ADDRESS(ROW(A2254)-1, 'From Order'!$A2254)), 1), A2253))"),"DSPJ")</f>
        <v>DSPJ</v>
      </c>
      <c r="B2254" s="2" t="str">
        <f>IFERROR(__xludf.DUMMYFUNCTION("IF('From Order'!$A2254=COLUMNS($A2254:B2273), LEFT(INDEX(FILTER(B$1:B2253, B$1:B2253&lt;&gt;""""),COUNTA(FILTER(B$1:B2253, B$1:B2253&lt;&gt;""""))), LEN(INDEX(FILTER(B$1:B2253, B$1:B2253&lt;&gt;""""),COUNTA(FILTER(B$1:B2253, B$1:B2253&lt;&gt;""""))))-1), IF('To Order'!$A2254=COL"&amp;"UMNS($A2254:B2273), B2253&amp;RIGHT(INDIRECT(ADDRESS(ROW(B2254)-1, 'From Order'!$A2254)), 1), B2253))"),"C")</f>
        <v>C</v>
      </c>
      <c r="C2254" s="2" t="str">
        <f>IFERROR(__xludf.DUMMYFUNCTION("IF('From Order'!$A2254=COLUMNS($A2254:C2273), LEFT(INDEX(FILTER(C$1:C2253, C$1:C2253&lt;&gt;""""),COUNTA(FILTER(C$1:C2253, C$1:C2253&lt;&gt;""""))), LEN(INDEX(FILTER(C$1:C2253, C$1:C2253&lt;&gt;""""),COUNTA(FILTER(C$1:C2253, C$1:C2253&lt;&gt;""""))))-1), IF('To Order'!$A2254=COL"&amp;"UMNS($A2254:C2273), C2253&amp;RIGHT(INDIRECT(ADDRESS(ROW(C2254)-1, 'From Order'!$A2254)), 1), C2253))"),"VBHZSCTT")</f>
        <v>VBHZSCTT</v>
      </c>
      <c r="D2254" s="2" t="str">
        <f>IFERROR(__xludf.DUMMYFUNCTION("IF('From Order'!$A2254=COLUMNS($A2254:D2273), LEFT(INDEX(FILTER(D$1:D2253, D$1:D2253&lt;&gt;""""),COUNTA(FILTER(D$1:D2253, D$1:D2253&lt;&gt;""""))), LEN(INDEX(FILTER(D$1:D2253, D$1:D2253&lt;&gt;""""),COUNTA(FILTER(D$1:D2253, D$1:D2253&lt;&gt;""""))))-1), IF('To Order'!$A2254=COL"&amp;"UMNS($A2254:D2273), D2253&amp;RIGHT(INDIRECT(ADDRESS(ROW(D2254)-1, 'From Order'!$A2254)), 1), D2253))"),"RGWD")</f>
        <v>RGWD</v>
      </c>
      <c r="E2254" s="2" t="str">
        <f>IFERROR(__xludf.DUMMYFUNCTION("IF('From Order'!$A2254=COLUMNS($A2254:E2273), LEFT(INDEX(FILTER(E$1:E2253, E$1:E2253&lt;&gt;""""),COUNTA(FILTER(E$1:E2253, E$1:E2253&lt;&gt;""""))), LEN(INDEX(FILTER(E$1:E2253, E$1:E2253&lt;&gt;""""),COUNTA(FILTER(E$1:E2253, E$1:E2253&lt;&gt;""""))))-1), IF('To Order'!$A2254=COL"&amp;"UMNS($A2254:E2273), E2253&amp;RIGHT(INDIRECT(ADDRESS(ROW(E2254)-1, 'From Order'!$A2254)), 1), E2253))"),"FRQ")</f>
        <v>FRQ</v>
      </c>
      <c r="F2254" s="2" t="str">
        <f>IFERROR(__xludf.DUMMYFUNCTION("IF('From Order'!$A2254=COLUMNS($A2254:F2273), LEFT(INDEX(FILTER(F$1:F2253, F$1:F2253&lt;&gt;""""),COUNTA(FILTER(F$1:F2253, F$1:F2253&lt;&gt;""""))), LEN(INDEX(FILTER(F$1:F2253, F$1:F2253&lt;&gt;""""),COUNTA(FILTER(F$1:F2253, F$1:F2253&lt;&gt;""""))))-1), IF('To Order'!$A2254=COL"&amp;"UMNS($A2254:F2273), F2253&amp;RIGHT(INDIRECT(ADDRESS(ROW(F2254)-1, 'From Order'!$A2254)), 1), F2253))"),"")</f>
        <v/>
      </c>
      <c r="G2254" s="2" t="str">
        <f>IFERROR(__xludf.DUMMYFUNCTION("IF('From Order'!$A2254=COLUMNS($A2254:G2273), LEFT(INDEX(FILTER(G$1:G2253, G$1:G2253&lt;&gt;""""),COUNTA(FILTER(G$1:G2253, G$1:G2253&lt;&gt;""""))), LEN(INDEX(FILTER(G$1:G2253, G$1:G2253&lt;&gt;""""),COUNTA(FILTER(G$1:G2253, G$1:G2253&lt;&gt;""""))))-1), IF('To Order'!$A2254=COL"&amp;"UMNS($A2254:G2273), G2253&amp;RIGHT(INDIRECT(ADDRESS(ROW(G2254)-1, 'From Order'!$A2254)), 1), G2253))"),"")</f>
        <v/>
      </c>
      <c r="H2254" s="2" t="str">
        <f>IFERROR(__xludf.DUMMYFUNCTION("IF('From Order'!$A2254=COLUMNS($A2254:H2273), LEFT(INDEX(FILTER(H$1:H2253, H$1:H2253&lt;&gt;""""),COUNTA(FILTER(H$1:H2253, H$1:H2253&lt;&gt;""""))), LEN(INDEX(FILTER(H$1:H2253, H$1:H2253&lt;&gt;""""),COUNTA(FILTER(H$1:H2253, H$1:H2253&lt;&gt;""""))))-1), IF('To Order'!$A2254=COL"&amp;"UMNS($A2254:H2273), H2253&amp;RIGHT(INDIRECT(ADDRESS(ROW(H2254)-1, 'From Order'!$A2254)), 1), H2253))"),"")</f>
        <v/>
      </c>
      <c r="I2254" s="2" t="str">
        <f>IFERROR(__xludf.DUMMYFUNCTION("IF('From Order'!$A2254=COLUMNS($A2254:I2273), LEFT(INDEX(FILTER(I$1:I2253, I$1:I2253&lt;&gt;""""),COUNTA(FILTER(I$1:I2253, I$1:I2253&lt;&gt;""""))), LEN(INDEX(FILTER(I$1:I2253, I$1:I2253&lt;&gt;""""),COUNTA(FILTER(I$1:I2253, I$1:I2253&lt;&gt;""""))))-1), IF('To Order'!$A2254=COL"&amp;"UMNS($A2254:I2273), I2253&amp;RIGHT(INDIRECT(ADDRESS(ROW(I2254)-1, 'From Order'!$A2254)), 1), I2253))"),"DDDVQZDMTTGMJRRLPSSTMZHPRBVJBCBFLLWT")</f>
        <v>DDDVQZDMTTGMJRRLPSSTMZHPRBVJBCBFLLWT</v>
      </c>
    </row>
    <row r="2255">
      <c r="A2255" s="2" t="str">
        <f>IFERROR(__xludf.DUMMYFUNCTION("IF('From Order'!$A2255=COLUMNS($A2255:A2274), LEFT(INDEX(FILTER(A$1:A2254, A$1:A2254&lt;&gt;""""),COUNTA(FILTER(A$1:A2254, A$1:A2254&lt;&gt;""""))), LEN(INDEX(FILTER(A$1:A2254, A$1:A2254&lt;&gt;""""),COUNTA(FILTER(A$1:A2254, A$1:A2254&lt;&gt;""""))))-1), IF('To Order'!$A2255=COL"&amp;"UMNS($A2255:A2274), A2254&amp;RIGHT(INDIRECT(ADDRESS(ROW(A2255)-1, 'From Order'!$A2255)), 1), A2254))"),"DSPJ")</f>
        <v>DSPJ</v>
      </c>
      <c r="B2255" s="2" t="str">
        <f>IFERROR(__xludf.DUMMYFUNCTION("IF('From Order'!$A2255=COLUMNS($A2255:B2274), LEFT(INDEX(FILTER(B$1:B2254, B$1:B2254&lt;&gt;""""),COUNTA(FILTER(B$1:B2254, B$1:B2254&lt;&gt;""""))), LEN(INDEX(FILTER(B$1:B2254, B$1:B2254&lt;&gt;""""),COUNTA(FILTER(B$1:B2254, B$1:B2254&lt;&gt;""""))))-1), IF('To Order'!$A2255=COL"&amp;"UMNS($A2255:B2274), B2254&amp;RIGHT(INDIRECT(ADDRESS(ROW(B2255)-1, 'From Order'!$A2255)), 1), B2254))"),"C")</f>
        <v>C</v>
      </c>
      <c r="C2255" s="2" t="str">
        <f>IFERROR(__xludf.DUMMYFUNCTION("IF('From Order'!$A2255=COLUMNS($A2255:C2274), LEFT(INDEX(FILTER(C$1:C2254, C$1:C2254&lt;&gt;""""),COUNTA(FILTER(C$1:C2254, C$1:C2254&lt;&gt;""""))), LEN(INDEX(FILTER(C$1:C2254, C$1:C2254&lt;&gt;""""),COUNTA(FILTER(C$1:C2254, C$1:C2254&lt;&gt;""""))))-1), IF('To Order'!$A2255=COL"&amp;"UMNS($A2255:C2274), C2254&amp;RIGHT(INDIRECT(ADDRESS(ROW(C2255)-1, 'From Order'!$A2255)), 1), C2254))"),"VBHZSCT")</f>
        <v>VBHZSCT</v>
      </c>
      <c r="D2255" s="2" t="str">
        <f>IFERROR(__xludf.DUMMYFUNCTION("IF('From Order'!$A2255=COLUMNS($A2255:D2274), LEFT(INDEX(FILTER(D$1:D2254, D$1:D2254&lt;&gt;""""),COUNTA(FILTER(D$1:D2254, D$1:D2254&lt;&gt;""""))), LEN(INDEX(FILTER(D$1:D2254, D$1:D2254&lt;&gt;""""),COUNTA(FILTER(D$1:D2254, D$1:D2254&lt;&gt;""""))))-1), IF('To Order'!$A2255=COL"&amp;"UMNS($A2255:D2274), D2254&amp;RIGHT(INDIRECT(ADDRESS(ROW(D2255)-1, 'From Order'!$A2255)), 1), D2254))"),"RGWD")</f>
        <v>RGWD</v>
      </c>
      <c r="E2255" s="2" t="str">
        <f>IFERROR(__xludf.DUMMYFUNCTION("IF('From Order'!$A2255=COLUMNS($A2255:E2274), LEFT(INDEX(FILTER(E$1:E2254, E$1:E2254&lt;&gt;""""),COUNTA(FILTER(E$1:E2254, E$1:E2254&lt;&gt;""""))), LEN(INDEX(FILTER(E$1:E2254, E$1:E2254&lt;&gt;""""),COUNTA(FILTER(E$1:E2254, E$1:E2254&lt;&gt;""""))))-1), IF('To Order'!$A2255=COL"&amp;"UMNS($A2255:E2274), E2254&amp;RIGHT(INDIRECT(ADDRESS(ROW(E2255)-1, 'From Order'!$A2255)), 1), E2254))"),"FRQT")</f>
        <v>FRQT</v>
      </c>
      <c r="F2255" s="2" t="str">
        <f>IFERROR(__xludf.DUMMYFUNCTION("IF('From Order'!$A2255=COLUMNS($A2255:F2274), LEFT(INDEX(FILTER(F$1:F2254, F$1:F2254&lt;&gt;""""),COUNTA(FILTER(F$1:F2254, F$1:F2254&lt;&gt;""""))), LEN(INDEX(FILTER(F$1:F2254, F$1:F2254&lt;&gt;""""),COUNTA(FILTER(F$1:F2254, F$1:F2254&lt;&gt;""""))))-1), IF('To Order'!$A2255=COL"&amp;"UMNS($A2255:F2274), F2254&amp;RIGHT(INDIRECT(ADDRESS(ROW(F2255)-1, 'From Order'!$A2255)), 1), F2254))"),"")</f>
        <v/>
      </c>
      <c r="G2255" s="2" t="str">
        <f>IFERROR(__xludf.DUMMYFUNCTION("IF('From Order'!$A2255=COLUMNS($A2255:G2274), LEFT(INDEX(FILTER(G$1:G2254, G$1:G2254&lt;&gt;""""),COUNTA(FILTER(G$1:G2254, G$1:G2254&lt;&gt;""""))), LEN(INDEX(FILTER(G$1:G2254, G$1:G2254&lt;&gt;""""),COUNTA(FILTER(G$1:G2254, G$1:G2254&lt;&gt;""""))))-1), IF('To Order'!$A2255=COL"&amp;"UMNS($A2255:G2274), G2254&amp;RIGHT(INDIRECT(ADDRESS(ROW(G2255)-1, 'From Order'!$A2255)), 1), G2254))"),"")</f>
        <v/>
      </c>
      <c r="H2255" s="2" t="str">
        <f>IFERROR(__xludf.DUMMYFUNCTION("IF('From Order'!$A2255=COLUMNS($A2255:H2274), LEFT(INDEX(FILTER(H$1:H2254, H$1:H2254&lt;&gt;""""),COUNTA(FILTER(H$1:H2254, H$1:H2254&lt;&gt;""""))), LEN(INDEX(FILTER(H$1:H2254, H$1:H2254&lt;&gt;""""),COUNTA(FILTER(H$1:H2254, H$1:H2254&lt;&gt;""""))))-1), IF('To Order'!$A2255=COL"&amp;"UMNS($A2255:H2274), H2254&amp;RIGHT(INDIRECT(ADDRESS(ROW(H2255)-1, 'From Order'!$A2255)), 1), H2254))"),"")</f>
        <v/>
      </c>
      <c r="I2255" s="2" t="str">
        <f>IFERROR(__xludf.DUMMYFUNCTION("IF('From Order'!$A2255=COLUMNS($A2255:I2274), LEFT(INDEX(FILTER(I$1:I2254, I$1:I2254&lt;&gt;""""),COUNTA(FILTER(I$1:I2254, I$1:I2254&lt;&gt;""""))), LEN(INDEX(FILTER(I$1:I2254, I$1:I2254&lt;&gt;""""),COUNTA(FILTER(I$1:I2254, I$1:I2254&lt;&gt;""""))))-1), IF('To Order'!$A2255=COL"&amp;"UMNS($A2255:I2274), I2254&amp;RIGHT(INDIRECT(ADDRESS(ROW(I2255)-1, 'From Order'!$A2255)), 1), I2254))"),"DDDVQZDMTTGMJRRLPSSTMZHPRBVJBCBFLLWT")</f>
        <v>DDDVQZDMTTGMJRRLPSSTMZHPRBVJBCBFLLWT</v>
      </c>
    </row>
    <row r="2256">
      <c r="A2256" s="2" t="str">
        <f>IFERROR(__xludf.DUMMYFUNCTION("IF('From Order'!$A2256=COLUMNS($A2256:A2275), LEFT(INDEX(FILTER(A$1:A2255, A$1:A2255&lt;&gt;""""),COUNTA(FILTER(A$1:A2255, A$1:A2255&lt;&gt;""""))), LEN(INDEX(FILTER(A$1:A2255, A$1:A2255&lt;&gt;""""),COUNTA(FILTER(A$1:A2255, A$1:A2255&lt;&gt;""""))))-1), IF('To Order'!$A2256=COL"&amp;"UMNS($A2256:A2275), A2255&amp;RIGHT(INDIRECT(ADDRESS(ROW(A2256)-1, 'From Order'!$A2256)), 1), A2255))"),"DSPJ")</f>
        <v>DSPJ</v>
      </c>
      <c r="B2256" s="2" t="str">
        <f>IFERROR(__xludf.DUMMYFUNCTION("IF('From Order'!$A2256=COLUMNS($A2256:B2275), LEFT(INDEX(FILTER(B$1:B2255, B$1:B2255&lt;&gt;""""),COUNTA(FILTER(B$1:B2255, B$1:B2255&lt;&gt;""""))), LEN(INDEX(FILTER(B$1:B2255, B$1:B2255&lt;&gt;""""),COUNTA(FILTER(B$1:B2255, B$1:B2255&lt;&gt;""""))))-1), IF('To Order'!$A2256=COL"&amp;"UMNS($A2256:B2275), B2255&amp;RIGHT(INDIRECT(ADDRESS(ROW(B2256)-1, 'From Order'!$A2256)), 1), B2255))"),"C")</f>
        <v>C</v>
      </c>
      <c r="C2256" s="2" t="str">
        <f>IFERROR(__xludf.DUMMYFUNCTION("IF('From Order'!$A2256=COLUMNS($A2256:C2275), LEFT(INDEX(FILTER(C$1:C2255, C$1:C2255&lt;&gt;""""),COUNTA(FILTER(C$1:C2255, C$1:C2255&lt;&gt;""""))), LEN(INDEX(FILTER(C$1:C2255, C$1:C2255&lt;&gt;""""),COUNTA(FILTER(C$1:C2255, C$1:C2255&lt;&gt;""""))))-1), IF('To Order'!$A2256=COL"&amp;"UMNS($A2256:C2275), C2255&amp;RIGHT(INDIRECT(ADDRESS(ROW(C2256)-1, 'From Order'!$A2256)), 1), C2255))"),"VBHZSC")</f>
        <v>VBHZSC</v>
      </c>
      <c r="D2256" s="2" t="str">
        <f>IFERROR(__xludf.DUMMYFUNCTION("IF('From Order'!$A2256=COLUMNS($A2256:D2275), LEFT(INDEX(FILTER(D$1:D2255, D$1:D2255&lt;&gt;""""),COUNTA(FILTER(D$1:D2255, D$1:D2255&lt;&gt;""""))), LEN(INDEX(FILTER(D$1:D2255, D$1:D2255&lt;&gt;""""),COUNTA(FILTER(D$1:D2255, D$1:D2255&lt;&gt;""""))))-1), IF('To Order'!$A2256=COL"&amp;"UMNS($A2256:D2275), D2255&amp;RIGHT(INDIRECT(ADDRESS(ROW(D2256)-1, 'From Order'!$A2256)), 1), D2255))"),"RGWD")</f>
        <v>RGWD</v>
      </c>
      <c r="E2256" s="2" t="str">
        <f>IFERROR(__xludf.DUMMYFUNCTION("IF('From Order'!$A2256=COLUMNS($A2256:E2275), LEFT(INDEX(FILTER(E$1:E2255, E$1:E2255&lt;&gt;""""),COUNTA(FILTER(E$1:E2255, E$1:E2255&lt;&gt;""""))), LEN(INDEX(FILTER(E$1:E2255, E$1:E2255&lt;&gt;""""),COUNTA(FILTER(E$1:E2255, E$1:E2255&lt;&gt;""""))))-1), IF('To Order'!$A2256=COL"&amp;"UMNS($A2256:E2275), E2255&amp;RIGHT(INDIRECT(ADDRESS(ROW(E2256)-1, 'From Order'!$A2256)), 1), E2255))"),"FRQTT")</f>
        <v>FRQTT</v>
      </c>
      <c r="F2256" s="2" t="str">
        <f>IFERROR(__xludf.DUMMYFUNCTION("IF('From Order'!$A2256=COLUMNS($A2256:F2275), LEFT(INDEX(FILTER(F$1:F2255, F$1:F2255&lt;&gt;""""),COUNTA(FILTER(F$1:F2255, F$1:F2255&lt;&gt;""""))), LEN(INDEX(FILTER(F$1:F2255, F$1:F2255&lt;&gt;""""),COUNTA(FILTER(F$1:F2255, F$1:F2255&lt;&gt;""""))))-1), IF('To Order'!$A2256=COL"&amp;"UMNS($A2256:F2275), F2255&amp;RIGHT(INDIRECT(ADDRESS(ROW(F2256)-1, 'From Order'!$A2256)), 1), F2255))"),"")</f>
        <v/>
      </c>
      <c r="G2256" s="2" t="str">
        <f>IFERROR(__xludf.DUMMYFUNCTION("IF('From Order'!$A2256=COLUMNS($A2256:G2275), LEFT(INDEX(FILTER(G$1:G2255, G$1:G2255&lt;&gt;""""),COUNTA(FILTER(G$1:G2255, G$1:G2255&lt;&gt;""""))), LEN(INDEX(FILTER(G$1:G2255, G$1:G2255&lt;&gt;""""),COUNTA(FILTER(G$1:G2255, G$1:G2255&lt;&gt;""""))))-1), IF('To Order'!$A2256=COL"&amp;"UMNS($A2256:G2275), G2255&amp;RIGHT(INDIRECT(ADDRESS(ROW(G2256)-1, 'From Order'!$A2256)), 1), G2255))"),"")</f>
        <v/>
      </c>
      <c r="H2256" s="2" t="str">
        <f>IFERROR(__xludf.DUMMYFUNCTION("IF('From Order'!$A2256=COLUMNS($A2256:H2275), LEFT(INDEX(FILTER(H$1:H2255, H$1:H2255&lt;&gt;""""),COUNTA(FILTER(H$1:H2255, H$1:H2255&lt;&gt;""""))), LEN(INDEX(FILTER(H$1:H2255, H$1:H2255&lt;&gt;""""),COUNTA(FILTER(H$1:H2255, H$1:H2255&lt;&gt;""""))))-1), IF('To Order'!$A2256=COL"&amp;"UMNS($A2256:H2275), H2255&amp;RIGHT(INDIRECT(ADDRESS(ROW(H2256)-1, 'From Order'!$A2256)), 1), H2255))"),"")</f>
        <v/>
      </c>
      <c r="I2256" s="2" t="str">
        <f>IFERROR(__xludf.DUMMYFUNCTION("IF('From Order'!$A2256=COLUMNS($A2256:I2275), LEFT(INDEX(FILTER(I$1:I2255, I$1:I2255&lt;&gt;""""),COUNTA(FILTER(I$1:I2255, I$1:I2255&lt;&gt;""""))), LEN(INDEX(FILTER(I$1:I2255, I$1:I2255&lt;&gt;""""),COUNTA(FILTER(I$1:I2255, I$1:I2255&lt;&gt;""""))))-1), IF('To Order'!$A2256=COL"&amp;"UMNS($A2256:I2275), I2255&amp;RIGHT(INDIRECT(ADDRESS(ROW(I2256)-1, 'From Order'!$A2256)), 1), I2255))"),"DDDVQZDMTTGMJRRLPSSTMZHPRBVJBCBFLLWT")</f>
        <v>DDDVQZDMTTGMJRRLPSSTMZHPRBVJBCBFLLWT</v>
      </c>
    </row>
    <row r="2257">
      <c r="A2257" s="2" t="str">
        <f>IFERROR(__xludf.DUMMYFUNCTION("IF('From Order'!$A2257=COLUMNS($A2257:A2276), LEFT(INDEX(FILTER(A$1:A2256, A$1:A2256&lt;&gt;""""),COUNTA(FILTER(A$1:A2256, A$1:A2256&lt;&gt;""""))), LEN(INDEX(FILTER(A$1:A2256, A$1:A2256&lt;&gt;""""),COUNTA(FILTER(A$1:A2256, A$1:A2256&lt;&gt;""""))))-1), IF('To Order'!$A2257=COL"&amp;"UMNS($A2257:A2276), A2256&amp;RIGHT(INDIRECT(ADDRESS(ROW(A2257)-1, 'From Order'!$A2257)), 1), A2256))"),"DSPJ")</f>
        <v>DSPJ</v>
      </c>
      <c r="B2257" s="2" t="str">
        <f>IFERROR(__xludf.DUMMYFUNCTION("IF('From Order'!$A2257=COLUMNS($A2257:B2276), LEFT(INDEX(FILTER(B$1:B2256, B$1:B2256&lt;&gt;""""),COUNTA(FILTER(B$1:B2256, B$1:B2256&lt;&gt;""""))), LEN(INDEX(FILTER(B$1:B2256, B$1:B2256&lt;&gt;""""),COUNTA(FILTER(B$1:B2256, B$1:B2256&lt;&gt;""""))))-1), IF('To Order'!$A2257=COL"&amp;"UMNS($A2257:B2276), B2256&amp;RIGHT(INDIRECT(ADDRESS(ROW(B2257)-1, 'From Order'!$A2257)), 1), B2256))"),"C")</f>
        <v>C</v>
      </c>
      <c r="C2257" s="2" t="str">
        <f>IFERROR(__xludf.DUMMYFUNCTION("IF('From Order'!$A2257=COLUMNS($A2257:C2276), LEFT(INDEX(FILTER(C$1:C2256, C$1:C2256&lt;&gt;""""),COUNTA(FILTER(C$1:C2256, C$1:C2256&lt;&gt;""""))), LEN(INDEX(FILTER(C$1:C2256, C$1:C2256&lt;&gt;""""),COUNTA(FILTER(C$1:C2256, C$1:C2256&lt;&gt;""""))))-1), IF('To Order'!$A2257=COL"&amp;"UMNS($A2257:C2276), C2256&amp;RIGHT(INDIRECT(ADDRESS(ROW(C2257)-1, 'From Order'!$A2257)), 1), C2256))"),"VBHZS")</f>
        <v>VBHZS</v>
      </c>
      <c r="D2257" s="2" t="str">
        <f>IFERROR(__xludf.DUMMYFUNCTION("IF('From Order'!$A2257=COLUMNS($A2257:D2276), LEFT(INDEX(FILTER(D$1:D2256, D$1:D2256&lt;&gt;""""),COUNTA(FILTER(D$1:D2256, D$1:D2256&lt;&gt;""""))), LEN(INDEX(FILTER(D$1:D2256, D$1:D2256&lt;&gt;""""),COUNTA(FILTER(D$1:D2256, D$1:D2256&lt;&gt;""""))))-1), IF('To Order'!$A2257=COL"&amp;"UMNS($A2257:D2276), D2256&amp;RIGHT(INDIRECT(ADDRESS(ROW(D2257)-1, 'From Order'!$A2257)), 1), D2256))"),"RGWD")</f>
        <v>RGWD</v>
      </c>
      <c r="E2257" s="2" t="str">
        <f>IFERROR(__xludf.DUMMYFUNCTION("IF('From Order'!$A2257=COLUMNS($A2257:E2276), LEFT(INDEX(FILTER(E$1:E2256, E$1:E2256&lt;&gt;""""),COUNTA(FILTER(E$1:E2256, E$1:E2256&lt;&gt;""""))), LEN(INDEX(FILTER(E$1:E2256, E$1:E2256&lt;&gt;""""),COUNTA(FILTER(E$1:E2256, E$1:E2256&lt;&gt;""""))))-1), IF('To Order'!$A2257=COL"&amp;"UMNS($A2257:E2276), E2256&amp;RIGHT(INDIRECT(ADDRESS(ROW(E2257)-1, 'From Order'!$A2257)), 1), E2256))"),"FRQTTC")</f>
        <v>FRQTTC</v>
      </c>
      <c r="F2257" s="2" t="str">
        <f>IFERROR(__xludf.DUMMYFUNCTION("IF('From Order'!$A2257=COLUMNS($A2257:F2276), LEFT(INDEX(FILTER(F$1:F2256, F$1:F2256&lt;&gt;""""),COUNTA(FILTER(F$1:F2256, F$1:F2256&lt;&gt;""""))), LEN(INDEX(FILTER(F$1:F2256, F$1:F2256&lt;&gt;""""),COUNTA(FILTER(F$1:F2256, F$1:F2256&lt;&gt;""""))))-1), IF('To Order'!$A2257=COL"&amp;"UMNS($A2257:F2276), F2256&amp;RIGHT(INDIRECT(ADDRESS(ROW(F2257)-1, 'From Order'!$A2257)), 1), F2256))"),"")</f>
        <v/>
      </c>
      <c r="G2257" s="2" t="str">
        <f>IFERROR(__xludf.DUMMYFUNCTION("IF('From Order'!$A2257=COLUMNS($A2257:G2276), LEFT(INDEX(FILTER(G$1:G2256, G$1:G2256&lt;&gt;""""),COUNTA(FILTER(G$1:G2256, G$1:G2256&lt;&gt;""""))), LEN(INDEX(FILTER(G$1:G2256, G$1:G2256&lt;&gt;""""),COUNTA(FILTER(G$1:G2256, G$1:G2256&lt;&gt;""""))))-1), IF('To Order'!$A2257=COL"&amp;"UMNS($A2257:G2276), G2256&amp;RIGHT(INDIRECT(ADDRESS(ROW(G2257)-1, 'From Order'!$A2257)), 1), G2256))"),"")</f>
        <v/>
      </c>
      <c r="H2257" s="2" t="str">
        <f>IFERROR(__xludf.DUMMYFUNCTION("IF('From Order'!$A2257=COLUMNS($A2257:H2276), LEFT(INDEX(FILTER(H$1:H2256, H$1:H2256&lt;&gt;""""),COUNTA(FILTER(H$1:H2256, H$1:H2256&lt;&gt;""""))), LEN(INDEX(FILTER(H$1:H2256, H$1:H2256&lt;&gt;""""),COUNTA(FILTER(H$1:H2256, H$1:H2256&lt;&gt;""""))))-1), IF('To Order'!$A2257=COL"&amp;"UMNS($A2257:H2276), H2256&amp;RIGHT(INDIRECT(ADDRESS(ROW(H2257)-1, 'From Order'!$A2257)), 1), H2256))"),"")</f>
        <v/>
      </c>
      <c r="I2257" s="2" t="str">
        <f>IFERROR(__xludf.DUMMYFUNCTION("IF('From Order'!$A2257=COLUMNS($A2257:I2276), LEFT(INDEX(FILTER(I$1:I2256, I$1:I2256&lt;&gt;""""),COUNTA(FILTER(I$1:I2256, I$1:I2256&lt;&gt;""""))), LEN(INDEX(FILTER(I$1:I2256, I$1:I2256&lt;&gt;""""),COUNTA(FILTER(I$1:I2256, I$1:I2256&lt;&gt;""""))))-1), IF('To Order'!$A2257=COL"&amp;"UMNS($A2257:I2276), I2256&amp;RIGHT(INDIRECT(ADDRESS(ROW(I2257)-1, 'From Order'!$A2257)), 1), I2256))"),"DDDVQZDMTTGMJRRLPSSTMZHPRBVJBCBFLLWT")</f>
        <v>DDDVQZDMTTGMJRRLPSSTMZHPRBVJBCBFLLWT</v>
      </c>
    </row>
    <row r="2258">
      <c r="A2258" s="2" t="str">
        <f>IFERROR(__xludf.DUMMYFUNCTION("IF('From Order'!$A2258=COLUMNS($A2258:A2277), LEFT(INDEX(FILTER(A$1:A2257, A$1:A2257&lt;&gt;""""),COUNTA(FILTER(A$1:A2257, A$1:A2257&lt;&gt;""""))), LEN(INDEX(FILTER(A$1:A2257, A$1:A2257&lt;&gt;""""),COUNTA(FILTER(A$1:A2257, A$1:A2257&lt;&gt;""""))))-1), IF('To Order'!$A2258=COL"&amp;"UMNS($A2258:A2277), A2257&amp;RIGHT(INDIRECT(ADDRESS(ROW(A2258)-1, 'From Order'!$A2258)), 1), A2257))"),"DSPJ")</f>
        <v>DSPJ</v>
      </c>
      <c r="B2258" s="2" t="str">
        <f>IFERROR(__xludf.DUMMYFUNCTION("IF('From Order'!$A2258=COLUMNS($A2258:B2277), LEFT(INDEX(FILTER(B$1:B2257, B$1:B2257&lt;&gt;""""),COUNTA(FILTER(B$1:B2257, B$1:B2257&lt;&gt;""""))), LEN(INDEX(FILTER(B$1:B2257, B$1:B2257&lt;&gt;""""),COUNTA(FILTER(B$1:B2257, B$1:B2257&lt;&gt;""""))))-1), IF('To Order'!$A2258=COL"&amp;"UMNS($A2258:B2277), B2257&amp;RIGHT(INDIRECT(ADDRESS(ROW(B2258)-1, 'From Order'!$A2258)), 1), B2257))"),"C")</f>
        <v>C</v>
      </c>
      <c r="C2258" s="2" t="str">
        <f>IFERROR(__xludf.DUMMYFUNCTION("IF('From Order'!$A2258=COLUMNS($A2258:C2277), LEFT(INDEX(FILTER(C$1:C2257, C$1:C2257&lt;&gt;""""),COUNTA(FILTER(C$1:C2257, C$1:C2257&lt;&gt;""""))), LEN(INDEX(FILTER(C$1:C2257, C$1:C2257&lt;&gt;""""),COUNTA(FILTER(C$1:C2257, C$1:C2257&lt;&gt;""""))))-1), IF('To Order'!$A2258=COL"&amp;"UMNS($A2258:C2277), C2257&amp;RIGHT(INDIRECT(ADDRESS(ROW(C2258)-1, 'From Order'!$A2258)), 1), C2257))"),"VBHZ")</f>
        <v>VBHZ</v>
      </c>
      <c r="D2258" s="2" t="str">
        <f>IFERROR(__xludf.DUMMYFUNCTION("IF('From Order'!$A2258=COLUMNS($A2258:D2277), LEFT(INDEX(FILTER(D$1:D2257, D$1:D2257&lt;&gt;""""),COUNTA(FILTER(D$1:D2257, D$1:D2257&lt;&gt;""""))), LEN(INDEX(FILTER(D$1:D2257, D$1:D2257&lt;&gt;""""),COUNTA(FILTER(D$1:D2257, D$1:D2257&lt;&gt;""""))))-1), IF('To Order'!$A2258=COL"&amp;"UMNS($A2258:D2277), D2257&amp;RIGHT(INDIRECT(ADDRESS(ROW(D2258)-1, 'From Order'!$A2258)), 1), D2257))"),"RGWD")</f>
        <v>RGWD</v>
      </c>
      <c r="E2258" s="2" t="str">
        <f>IFERROR(__xludf.DUMMYFUNCTION("IF('From Order'!$A2258=COLUMNS($A2258:E2277), LEFT(INDEX(FILTER(E$1:E2257, E$1:E2257&lt;&gt;""""),COUNTA(FILTER(E$1:E2257, E$1:E2257&lt;&gt;""""))), LEN(INDEX(FILTER(E$1:E2257, E$1:E2257&lt;&gt;""""),COUNTA(FILTER(E$1:E2257, E$1:E2257&lt;&gt;""""))))-1), IF('To Order'!$A2258=COL"&amp;"UMNS($A2258:E2277), E2257&amp;RIGHT(INDIRECT(ADDRESS(ROW(E2258)-1, 'From Order'!$A2258)), 1), E2257))"),"FRQTTCS")</f>
        <v>FRQTTCS</v>
      </c>
      <c r="F2258" s="2" t="str">
        <f>IFERROR(__xludf.DUMMYFUNCTION("IF('From Order'!$A2258=COLUMNS($A2258:F2277), LEFT(INDEX(FILTER(F$1:F2257, F$1:F2257&lt;&gt;""""),COUNTA(FILTER(F$1:F2257, F$1:F2257&lt;&gt;""""))), LEN(INDEX(FILTER(F$1:F2257, F$1:F2257&lt;&gt;""""),COUNTA(FILTER(F$1:F2257, F$1:F2257&lt;&gt;""""))))-1), IF('To Order'!$A2258=COL"&amp;"UMNS($A2258:F2277), F2257&amp;RIGHT(INDIRECT(ADDRESS(ROW(F2258)-1, 'From Order'!$A2258)), 1), F2257))"),"")</f>
        <v/>
      </c>
      <c r="G2258" s="2" t="str">
        <f>IFERROR(__xludf.DUMMYFUNCTION("IF('From Order'!$A2258=COLUMNS($A2258:G2277), LEFT(INDEX(FILTER(G$1:G2257, G$1:G2257&lt;&gt;""""),COUNTA(FILTER(G$1:G2257, G$1:G2257&lt;&gt;""""))), LEN(INDEX(FILTER(G$1:G2257, G$1:G2257&lt;&gt;""""),COUNTA(FILTER(G$1:G2257, G$1:G2257&lt;&gt;""""))))-1), IF('To Order'!$A2258=COL"&amp;"UMNS($A2258:G2277), G2257&amp;RIGHT(INDIRECT(ADDRESS(ROW(G2258)-1, 'From Order'!$A2258)), 1), G2257))"),"")</f>
        <v/>
      </c>
      <c r="H2258" s="2" t="str">
        <f>IFERROR(__xludf.DUMMYFUNCTION("IF('From Order'!$A2258=COLUMNS($A2258:H2277), LEFT(INDEX(FILTER(H$1:H2257, H$1:H2257&lt;&gt;""""),COUNTA(FILTER(H$1:H2257, H$1:H2257&lt;&gt;""""))), LEN(INDEX(FILTER(H$1:H2257, H$1:H2257&lt;&gt;""""),COUNTA(FILTER(H$1:H2257, H$1:H2257&lt;&gt;""""))))-1), IF('To Order'!$A2258=COL"&amp;"UMNS($A2258:H2277), H2257&amp;RIGHT(INDIRECT(ADDRESS(ROW(H2258)-1, 'From Order'!$A2258)), 1), H2257))"),"")</f>
        <v/>
      </c>
      <c r="I2258" s="2" t="str">
        <f>IFERROR(__xludf.DUMMYFUNCTION("IF('From Order'!$A2258=COLUMNS($A2258:I2277), LEFT(INDEX(FILTER(I$1:I2257, I$1:I2257&lt;&gt;""""),COUNTA(FILTER(I$1:I2257, I$1:I2257&lt;&gt;""""))), LEN(INDEX(FILTER(I$1:I2257, I$1:I2257&lt;&gt;""""),COUNTA(FILTER(I$1:I2257, I$1:I2257&lt;&gt;""""))))-1), IF('To Order'!$A2258=COL"&amp;"UMNS($A2258:I2277), I2257&amp;RIGHT(INDIRECT(ADDRESS(ROW(I2258)-1, 'From Order'!$A2258)), 1), I2257))"),"DDDVQZDMTTGMJRRLPSSTMZHPRBVJBCBFLLWT")</f>
        <v>DDDVQZDMTTGMJRRLPSSTMZHPRBVJBCBFLLWT</v>
      </c>
    </row>
    <row r="2259">
      <c r="A2259" s="2" t="str">
        <f>IFERROR(__xludf.DUMMYFUNCTION("IF('From Order'!$A2259=COLUMNS($A2259:A2278), LEFT(INDEX(FILTER(A$1:A2258, A$1:A2258&lt;&gt;""""),COUNTA(FILTER(A$1:A2258, A$1:A2258&lt;&gt;""""))), LEN(INDEX(FILTER(A$1:A2258, A$1:A2258&lt;&gt;""""),COUNTA(FILTER(A$1:A2258, A$1:A2258&lt;&gt;""""))))-1), IF('To Order'!$A2259=COL"&amp;"UMNS($A2259:A2278), A2258&amp;RIGHT(INDIRECT(ADDRESS(ROW(A2259)-1, 'From Order'!$A2259)), 1), A2258))"),"DSPJ")</f>
        <v>DSPJ</v>
      </c>
      <c r="B2259" s="2" t="str">
        <f>IFERROR(__xludf.DUMMYFUNCTION("IF('From Order'!$A2259=COLUMNS($A2259:B2278), LEFT(INDEX(FILTER(B$1:B2258, B$1:B2258&lt;&gt;""""),COUNTA(FILTER(B$1:B2258, B$1:B2258&lt;&gt;""""))), LEN(INDEX(FILTER(B$1:B2258, B$1:B2258&lt;&gt;""""),COUNTA(FILTER(B$1:B2258, B$1:B2258&lt;&gt;""""))))-1), IF('To Order'!$A2259=COL"&amp;"UMNS($A2259:B2278), B2258&amp;RIGHT(INDIRECT(ADDRESS(ROW(B2259)-1, 'From Order'!$A2259)), 1), B2258))"),"C")</f>
        <v>C</v>
      </c>
      <c r="C2259" s="2" t="str">
        <f>IFERROR(__xludf.DUMMYFUNCTION("IF('From Order'!$A2259=COLUMNS($A2259:C2278), LEFT(INDEX(FILTER(C$1:C2258, C$1:C2258&lt;&gt;""""),COUNTA(FILTER(C$1:C2258, C$1:C2258&lt;&gt;""""))), LEN(INDEX(FILTER(C$1:C2258, C$1:C2258&lt;&gt;""""),COUNTA(FILTER(C$1:C2258, C$1:C2258&lt;&gt;""""))))-1), IF('To Order'!$A2259=COL"&amp;"UMNS($A2259:C2278), C2258&amp;RIGHT(INDIRECT(ADDRESS(ROW(C2259)-1, 'From Order'!$A2259)), 1), C2258))"),"VBH")</f>
        <v>VBH</v>
      </c>
      <c r="D2259" s="2" t="str">
        <f>IFERROR(__xludf.DUMMYFUNCTION("IF('From Order'!$A2259=COLUMNS($A2259:D2278), LEFT(INDEX(FILTER(D$1:D2258, D$1:D2258&lt;&gt;""""),COUNTA(FILTER(D$1:D2258, D$1:D2258&lt;&gt;""""))), LEN(INDEX(FILTER(D$1:D2258, D$1:D2258&lt;&gt;""""),COUNTA(FILTER(D$1:D2258, D$1:D2258&lt;&gt;""""))))-1), IF('To Order'!$A2259=COL"&amp;"UMNS($A2259:D2278), D2258&amp;RIGHT(INDIRECT(ADDRESS(ROW(D2259)-1, 'From Order'!$A2259)), 1), D2258))"),"RGWD")</f>
        <v>RGWD</v>
      </c>
      <c r="E2259" s="2" t="str">
        <f>IFERROR(__xludf.DUMMYFUNCTION("IF('From Order'!$A2259=COLUMNS($A2259:E2278), LEFT(INDEX(FILTER(E$1:E2258, E$1:E2258&lt;&gt;""""),COUNTA(FILTER(E$1:E2258, E$1:E2258&lt;&gt;""""))), LEN(INDEX(FILTER(E$1:E2258, E$1:E2258&lt;&gt;""""),COUNTA(FILTER(E$1:E2258, E$1:E2258&lt;&gt;""""))))-1), IF('To Order'!$A2259=COL"&amp;"UMNS($A2259:E2278), E2258&amp;RIGHT(INDIRECT(ADDRESS(ROW(E2259)-1, 'From Order'!$A2259)), 1), E2258))"),"FRQTTCSZ")</f>
        <v>FRQTTCSZ</v>
      </c>
      <c r="F2259" s="2" t="str">
        <f>IFERROR(__xludf.DUMMYFUNCTION("IF('From Order'!$A2259=COLUMNS($A2259:F2278), LEFT(INDEX(FILTER(F$1:F2258, F$1:F2258&lt;&gt;""""),COUNTA(FILTER(F$1:F2258, F$1:F2258&lt;&gt;""""))), LEN(INDEX(FILTER(F$1:F2258, F$1:F2258&lt;&gt;""""),COUNTA(FILTER(F$1:F2258, F$1:F2258&lt;&gt;""""))))-1), IF('To Order'!$A2259=COL"&amp;"UMNS($A2259:F2278), F2258&amp;RIGHT(INDIRECT(ADDRESS(ROW(F2259)-1, 'From Order'!$A2259)), 1), F2258))"),"")</f>
        <v/>
      </c>
      <c r="G2259" s="2" t="str">
        <f>IFERROR(__xludf.DUMMYFUNCTION("IF('From Order'!$A2259=COLUMNS($A2259:G2278), LEFT(INDEX(FILTER(G$1:G2258, G$1:G2258&lt;&gt;""""),COUNTA(FILTER(G$1:G2258, G$1:G2258&lt;&gt;""""))), LEN(INDEX(FILTER(G$1:G2258, G$1:G2258&lt;&gt;""""),COUNTA(FILTER(G$1:G2258, G$1:G2258&lt;&gt;""""))))-1), IF('To Order'!$A2259=COL"&amp;"UMNS($A2259:G2278), G2258&amp;RIGHT(INDIRECT(ADDRESS(ROW(G2259)-1, 'From Order'!$A2259)), 1), G2258))"),"")</f>
        <v/>
      </c>
      <c r="H2259" s="2" t="str">
        <f>IFERROR(__xludf.DUMMYFUNCTION("IF('From Order'!$A2259=COLUMNS($A2259:H2278), LEFT(INDEX(FILTER(H$1:H2258, H$1:H2258&lt;&gt;""""),COUNTA(FILTER(H$1:H2258, H$1:H2258&lt;&gt;""""))), LEN(INDEX(FILTER(H$1:H2258, H$1:H2258&lt;&gt;""""),COUNTA(FILTER(H$1:H2258, H$1:H2258&lt;&gt;""""))))-1), IF('To Order'!$A2259=COL"&amp;"UMNS($A2259:H2278), H2258&amp;RIGHT(INDIRECT(ADDRESS(ROW(H2259)-1, 'From Order'!$A2259)), 1), H2258))"),"")</f>
        <v/>
      </c>
      <c r="I2259" s="2" t="str">
        <f>IFERROR(__xludf.DUMMYFUNCTION("IF('From Order'!$A2259=COLUMNS($A2259:I2278), LEFT(INDEX(FILTER(I$1:I2258, I$1:I2258&lt;&gt;""""),COUNTA(FILTER(I$1:I2258, I$1:I2258&lt;&gt;""""))), LEN(INDEX(FILTER(I$1:I2258, I$1:I2258&lt;&gt;""""),COUNTA(FILTER(I$1:I2258, I$1:I2258&lt;&gt;""""))))-1), IF('To Order'!$A2259=COL"&amp;"UMNS($A2259:I2278), I2258&amp;RIGHT(INDIRECT(ADDRESS(ROW(I2259)-1, 'From Order'!$A2259)), 1), I2258))"),"DDDVQZDMTTGMJRRLPSSTMZHPRBVJBCBFLLWT")</f>
        <v>DDDVQZDMTTGMJRRLPSSTMZHPRBVJBCBFLLWT</v>
      </c>
    </row>
    <row r="2260">
      <c r="A2260" s="2" t="str">
        <f>IFERROR(__xludf.DUMMYFUNCTION("IF('From Order'!$A2260=COLUMNS($A2260:A2279), LEFT(INDEX(FILTER(A$1:A2259, A$1:A2259&lt;&gt;""""),COUNTA(FILTER(A$1:A2259, A$1:A2259&lt;&gt;""""))), LEN(INDEX(FILTER(A$1:A2259, A$1:A2259&lt;&gt;""""),COUNTA(FILTER(A$1:A2259, A$1:A2259&lt;&gt;""""))))-1), IF('To Order'!$A2260=COL"&amp;"UMNS($A2260:A2279), A2259&amp;RIGHT(INDIRECT(ADDRESS(ROW(A2260)-1, 'From Order'!$A2260)), 1), A2259))"),"DSPJ")</f>
        <v>DSPJ</v>
      </c>
      <c r="B2260" s="2" t="str">
        <f>IFERROR(__xludf.DUMMYFUNCTION("IF('From Order'!$A2260=COLUMNS($A2260:B2279), LEFT(INDEX(FILTER(B$1:B2259, B$1:B2259&lt;&gt;""""),COUNTA(FILTER(B$1:B2259, B$1:B2259&lt;&gt;""""))), LEN(INDEX(FILTER(B$1:B2259, B$1:B2259&lt;&gt;""""),COUNTA(FILTER(B$1:B2259, B$1:B2259&lt;&gt;""""))))-1), IF('To Order'!$A2260=COL"&amp;"UMNS($A2260:B2279), B2259&amp;RIGHT(INDIRECT(ADDRESS(ROW(B2260)-1, 'From Order'!$A2260)), 1), B2259))"),"C")</f>
        <v>C</v>
      </c>
      <c r="C2260" s="2" t="str">
        <f>IFERROR(__xludf.DUMMYFUNCTION("IF('From Order'!$A2260=COLUMNS($A2260:C2279), LEFT(INDEX(FILTER(C$1:C2259, C$1:C2259&lt;&gt;""""),COUNTA(FILTER(C$1:C2259, C$1:C2259&lt;&gt;""""))), LEN(INDEX(FILTER(C$1:C2259, C$1:C2259&lt;&gt;""""),COUNTA(FILTER(C$1:C2259, C$1:C2259&lt;&gt;""""))))-1), IF('To Order'!$A2260=COL"&amp;"UMNS($A2260:C2279), C2259&amp;RIGHT(INDIRECT(ADDRESS(ROW(C2260)-1, 'From Order'!$A2260)), 1), C2259))"),"VB")</f>
        <v>VB</v>
      </c>
      <c r="D2260" s="2" t="str">
        <f>IFERROR(__xludf.DUMMYFUNCTION("IF('From Order'!$A2260=COLUMNS($A2260:D2279), LEFT(INDEX(FILTER(D$1:D2259, D$1:D2259&lt;&gt;""""),COUNTA(FILTER(D$1:D2259, D$1:D2259&lt;&gt;""""))), LEN(INDEX(FILTER(D$1:D2259, D$1:D2259&lt;&gt;""""),COUNTA(FILTER(D$1:D2259, D$1:D2259&lt;&gt;""""))))-1), IF('To Order'!$A2260=COL"&amp;"UMNS($A2260:D2279), D2259&amp;RIGHT(INDIRECT(ADDRESS(ROW(D2260)-1, 'From Order'!$A2260)), 1), D2259))"),"RGWD")</f>
        <v>RGWD</v>
      </c>
      <c r="E2260" s="2" t="str">
        <f>IFERROR(__xludf.DUMMYFUNCTION("IF('From Order'!$A2260=COLUMNS($A2260:E2279), LEFT(INDEX(FILTER(E$1:E2259, E$1:E2259&lt;&gt;""""),COUNTA(FILTER(E$1:E2259, E$1:E2259&lt;&gt;""""))), LEN(INDEX(FILTER(E$1:E2259, E$1:E2259&lt;&gt;""""),COUNTA(FILTER(E$1:E2259, E$1:E2259&lt;&gt;""""))))-1), IF('To Order'!$A2260=COL"&amp;"UMNS($A2260:E2279), E2259&amp;RIGHT(INDIRECT(ADDRESS(ROW(E2260)-1, 'From Order'!$A2260)), 1), E2259))"),"FRQTTCSZH")</f>
        <v>FRQTTCSZH</v>
      </c>
      <c r="F2260" s="2" t="str">
        <f>IFERROR(__xludf.DUMMYFUNCTION("IF('From Order'!$A2260=COLUMNS($A2260:F2279), LEFT(INDEX(FILTER(F$1:F2259, F$1:F2259&lt;&gt;""""),COUNTA(FILTER(F$1:F2259, F$1:F2259&lt;&gt;""""))), LEN(INDEX(FILTER(F$1:F2259, F$1:F2259&lt;&gt;""""),COUNTA(FILTER(F$1:F2259, F$1:F2259&lt;&gt;""""))))-1), IF('To Order'!$A2260=COL"&amp;"UMNS($A2260:F2279), F2259&amp;RIGHT(INDIRECT(ADDRESS(ROW(F2260)-1, 'From Order'!$A2260)), 1), F2259))"),"")</f>
        <v/>
      </c>
      <c r="G2260" s="2" t="str">
        <f>IFERROR(__xludf.DUMMYFUNCTION("IF('From Order'!$A2260=COLUMNS($A2260:G2279), LEFT(INDEX(FILTER(G$1:G2259, G$1:G2259&lt;&gt;""""),COUNTA(FILTER(G$1:G2259, G$1:G2259&lt;&gt;""""))), LEN(INDEX(FILTER(G$1:G2259, G$1:G2259&lt;&gt;""""),COUNTA(FILTER(G$1:G2259, G$1:G2259&lt;&gt;""""))))-1), IF('To Order'!$A2260=COL"&amp;"UMNS($A2260:G2279), G2259&amp;RIGHT(INDIRECT(ADDRESS(ROW(G2260)-1, 'From Order'!$A2260)), 1), G2259))"),"")</f>
        <v/>
      </c>
      <c r="H2260" s="2" t="str">
        <f>IFERROR(__xludf.DUMMYFUNCTION("IF('From Order'!$A2260=COLUMNS($A2260:H2279), LEFT(INDEX(FILTER(H$1:H2259, H$1:H2259&lt;&gt;""""),COUNTA(FILTER(H$1:H2259, H$1:H2259&lt;&gt;""""))), LEN(INDEX(FILTER(H$1:H2259, H$1:H2259&lt;&gt;""""),COUNTA(FILTER(H$1:H2259, H$1:H2259&lt;&gt;""""))))-1), IF('To Order'!$A2260=COL"&amp;"UMNS($A2260:H2279), H2259&amp;RIGHT(INDIRECT(ADDRESS(ROW(H2260)-1, 'From Order'!$A2260)), 1), H2259))"),"")</f>
        <v/>
      </c>
      <c r="I2260" s="2" t="str">
        <f>IFERROR(__xludf.DUMMYFUNCTION("IF('From Order'!$A2260=COLUMNS($A2260:I2279), LEFT(INDEX(FILTER(I$1:I2259, I$1:I2259&lt;&gt;""""),COUNTA(FILTER(I$1:I2259, I$1:I2259&lt;&gt;""""))), LEN(INDEX(FILTER(I$1:I2259, I$1:I2259&lt;&gt;""""),COUNTA(FILTER(I$1:I2259, I$1:I2259&lt;&gt;""""))))-1), IF('To Order'!$A2260=COL"&amp;"UMNS($A2260:I2279), I2259&amp;RIGHT(INDIRECT(ADDRESS(ROW(I2260)-1, 'From Order'!$A2260)), 1), I2259))"),"DDDVQZDMTTGMJRRLPSSTMZHPRBVJBCBFLLWT")</f>
        <v>DDDVQZDMTTGMJRRLPSSTMZHPRBVJBCBFLLWT</v>
      </c>
    </row>
    <row r="2261">
      <c r="A2261" s="2" t="str">
        <f>IFERROR(__xludf.DUMMYFUNCTION("IF('From Order'!$A2261=COLUMNS($A2261:A2280), LEFT(INDEX(FILTER(A$1:A2260, A$1:A2260&lt;&gt;""""),COUNTA(FILTER(A$1:A2260, A$1:A2260&lt;&gt;""""))), LEN(INDEX(FILTER(A$1:A2260, A$1:A2260&lt;&gt;""""),COUNTA(FILTER(A$1:A2260, A$1:A2260&lt;&gt;""""))))-1), IF('To Order'!$A2261=COL"&amp;"UMNS($A2261:A2280), A2260&amp;RIGHT(INDIRECT(ADDRESS(ROW(A2261)-1, 'From Order'!$A2261)), 1), A2260))"),"DSPJD")</f>
        <v>DSPJD</v>
      </c>
      <c r="B2261" s="2" t="str">
        <f>IFERROR(__xludf.DUMMYFUNCTION("IF('From Order'!$A2261=COLUMNS($A2261:B2280), LEFT(INDEX(FILTER(B$1:B2260, B$1:B2260&lt;&gt;""""),COUNTA(FILTER(B$1:B2260, B$1:B2260&lt;&gt;""""))), LEN(INDEX(FILTER(B$1:B2260, B$1:B2260&lt;&gt;""""),COUNTA(FILTER(B$1:B2260, B$1:B2260&lt;&gt;""""))))-1), IF('To Order'!$A2261=COL"&amp;"UMNS($A2261:B2280), B2260&amp;RIGHT(INDIRECT(ADDRESS(ROW(B2261)-1, 'From Order'!$A2261)), 1), B2260))"),"C")</f>
        <v>C</v>
      </c>
      <c r="C2261" s="2" t="str">
        <f>IFERROR(__xludf.DUMMYFUNCTION("IF('From Order'!$A2261=COLUMNS($A2261:C2280), LEFT(INDEX(FILTER(C$1:C2260, C$1:C2260&lt;&gt;""""),COUNTA(FILTER(C$1:C2260, C$1:C2260&lt;&gt;""""))), LEN(INDEX(FILTER(C$1:C2260, C$1:C2260&lt;&gt;""""),COUNTA(FILTER(C$1:C2260, C$1:C2260&lt;&gt;""""))))-1), IF('To Order'!$A2261=COL"&amp;"UMNS($A2261:C2280), C2260&amp;RIGHT(INDIRECT(ADDRESS(ROW(C2261)-1, 'From Order'!$A2261)), 1), C2260))"),"VB")</f>
        <v>VB</v>
      </c>
      <c r="D2261" s="2" t="str">
        <f>IFERROR(__xludf.DUMMYFUNCTION("IF('From Order'!$A2261=COLUMNS($A2261:D2280), LEFT(INDEX(FILTER(D$1:D2260, D$1:D2260&lt;&gt;""""),COUNTA(FILTER(D$1:D2260, D$1:D2260&lt;&gt;""""))), LEN(INDEX(FILTER(D$1:D2260, D$1:D2260&lt;&gt;""""),COUNTA(FILTER(D$1:D2260, D$1:D2260&lt;&gt;""""))))-1), IF('To Order'!$A2261=COL"&amp;"UMNS($A2261:D2280), D2260&amp;RIGHT(INDIRECT(ADDRESS(ROW(D2261)-1, 'From Order'!$A2261)), 1), D2260))"),"RGW")</f>
        <v>RGW</v>
      </c>
      <c r="E2261" s="2" t="str">
        <f>IFERROR(__xludf.DUMMYFUNCTION("IF('From Order'!$A2261=COLUMNS($A2261:E2280), LEFT(INDEX(FILTER(E$1:E2260, E$1:E2260&lt;&gt;""""),COUNTA(FILTER(E$1:E2260, E$1:E2260&lt;&gt;""""))), LEN(INDEX(FILTER(E$1:E2260, E$1:E2260&lt;&gt;""""),COUNTA(FILTER(E$1:E2260, E$1:E2260&lt;&gt;""""))))-1), IF('To Order'!$A2261=COL"&amp;"UMNS($A2261:E2280), E2260&amp;RIGHT(INDIRECT(ADDRESS(ROW(E2261)-1, 'From Order'!$A2261)), 1), E2260))"),"FRQTTCSZH")</f>
        <v>FRQTTCSZH</v>
      </c>
      <c r="F2261" s="2" t="str">
        <f>IFERROR(__xludf.DUMMYFUNCTION("IF('From Order'!$A2261=COLUMNS($A2261:F2280), LEFT(INDEX(FILTER(F$1:F2260, F$1:F2260&lt;&gt;""""),COUNTA(FILTER(F$1:F2260, F$1:F2260&lt;&gt;""""))), LEN(INDEX(FILTER(F$1:F2260, F$1:F2260&lt;&gt;""""),COUNTA(FILTER(F$1:F2260, F$1:F2260&lt;&gt;""""))))-1), IF('To Order'!$A2261=COL"&amp;"UMNS($A2261:F2280), F2260&amp;RIGHT(INDIRECT(ADDRESS(ROW(F2261)-1, 'From Order'!$A2261)), 1), F2260))"),"")</f>
        <v/>
      </c>
      <c r="G2261" s="2" t="str">
        <f>IFERROR(__xludf.DUMMYFUNCTION("IF('From Order'!$A2261=COLUMNS($A2261:G2280), LEFT(INDEX(FILTER(G$1:G2260, G$1:G2260&lt;&gt;""""),COUNTA(FILTER(G$1:G2260, G$1:G2260&lt;&gt;""""))), LEN(INDEX(FILTER(G$1:G2260, G$1:G2260&lt;&gt;""""),COUNTA(FILTER(G$1:G2260, G$1:G2260&lt;&gt;""""))))-1), IF('To Order'!$A2261=COL"&amp;"UMNS($A2261:G2280), G2260&amp;RIGHT(INDIRECT(ADDRESS(ROW(G2261)-1, 'From Order'!$A2261)), 1), G2260))"),"")</f>
        <v/>
      </c>
      <c r="H2261" s="2" t="str">
        <f>IFERROR(__xludf.DUMMYFUNCTION("IF('From Order'!$A2261=COLUMNS($A2261:H2280), LEFT(INDEX(FILTER(H$1:H2260, H$1:H2260&lt;&gt;""""),COUNTA(FILTER(H$1:H2260, H$1:H2260&lt;&gt;""""))), LEN(INDEX(FILTER(H$1:H2260, H$1:H2260&lt;&gt;""""),COUNTA(FILTER(H$1:H2260, H$1:H2260&lt;&gt;""""))))-1), IF('To Order'!$A2261=COL"&amp;"UMNS($A2261:H2280), H2260&amp;RIGHT(INDIRECT(ADDRESS(ROW(H2261)-1, 'From Order'!$A2261)), 1), H2260))"),"")</f>
        <v/>
      </c>
      <c r="I2261" s="2" t="str">
        <f>IFERROR(__xludf.DUMMYFUNCTION("IF('From Order'!$A2261=COLUMNS($A2261:I2280), LEFT(INDEX(FILTER(I$1:I2260, I$1:I2260&lt;&gt;""""),COUNTA(FILTER(I$1:I2260, I$1:I2260&lt;&gt;""""))), LEN(INDEX(FILTER(I$1:I2260, I$1:I2260&lt;&gt;""""),COUNTA(FILTER(I$1:I2260, I$1:I2260&lt;&gt;""""))))-1), IF('To Order'!$A2261=COL"&amp;"UMNS($A2261:I2280), I2260&amp;RIGHT(INDIRECT(ADDRESS(ROW(I2261)-1, 'From Order'!$A2261)), 1), I2260))"),"DDDVQZDMTTGMJRRLPSSTMZHPRBVJBCBFLLWT")</f>
        <v>DDDVQZDMTTGMJRRLPSSTMZHPRBVJBCBFLLWT</v>
      </c>
    </row>
    <row r="2262">
      <c r="A2262" s="2" t="str">
        <f>IFERROR(__xludf.DUMMYFUNCTION("IF('From Order'!$A2262=COLUMNS($A2262:A2281), LEFT(INDEX(FILTER(A$1:A2261, A$1:A2261&lt;&gt;""""),COUNTA(FILTER(A$1:A2261, A$1:A2261&lt;&gt;""""))), LEN(INDEX(FILTER(A$1:A2261, A$1:A2261&lt;&gt;""""),COUNTA(FILTER(A$1:A2261, A$1:A2261&lt;&gt;""""))))-1), IF('To Order'!$A2262=COL"&amp;"UMNS($A2262:A2281), A2261&amp;RIGHT(INDIRECT(ADDRESS(ROW(A2262)-1, 'From Order'!$A2262)), 1), A2261))"),"DSPJDW")</f>
        <v>DSPJDW</v>
      </c>
      <c r="B2262" s="2" t="str">
        <f>IFERROR(__xludf.DUMMYFUNCTION("IF('From Order'!$A2262=COLUMNS($A2262:B2281), LEFT(INDEX(FILTER(B$1:B2261, B$1:B2261&lt;&gt;""""),COUNTA(FILTER(B$1:B2261, B$1:B2261&lt;&gt;""""))), LEN(INDEX(FILTER(B$1:B2261, B$1:B2261&lt;&gt;""""),COUNTA(FILTER(B$1:B2261, B$1:B2261&lt;&gt;""""))))-1), IF('To Order'!$A2262=COL"&amp;"UMNS($A2262:B2281), B2261&amp;RIGHT(INDIRECT(ADDRESS(ROW(B2262)-1, 'From Order'!$A2262)), 1), B2261))"),"C")</f>
        <v>C</v>
      </c>
      <c r="C2262" s="2" t="str">
        <f>IFERROR(__xludf.DUMMYFUNCTION("IF('From Order'!$A2262=COLUMNS($A2262:C2281), LEFT(INDEX(FILTER(C$1:C2261, C$1:C2261&lt;&gt;""""),COUNTA(FILTER(C$1:C2261, C$1:C2261&lt;&gt;""""))), LEN(INDEX(FILTER(C$1:C2261, C$1:C2261&lt;&gt;""""),COUNTA(FILTER(C$1:C2261, C$1:C2261&lt;&gt;""""))))-1), IF('To Order'!$A2262=COL"&amp;"UMNS($A2262:C2281), C2261&amp;RIGHT(INDIRECT(ADDRESS(ROW(C2262)-1, 'From Order'!$A2262)), 1), C2261))"),"VB")</f>
        <v>VB</v>
      </c>
      <c r="D2262" s="2" t="str">
        <f>IFERROR(__xludf.DUMMYFUNCTION("IF('From Order'!$A2262=COLUMNS($A2262:D2281), LEFT(INDEX(FILTER(D$1:D2261, D$1:D2261&lt;&gt;""""),COUNTA(FILTER(D$1:D2261, D$1:D2261&lt;&gt;""""))), LEN(INDEX(FILTER(D$1:D2261, D$1:D2261&lt;&gt;""""),COUNTA(FILTER(D$1:D2261, D$1:D2261&lt;&gt;""""))))-1), IF('To Order'!$A2262=COL"&amp;"UMNS($A2262:D2281), D2261&amp;RIGHT(INDIRECT(ADDRESS(ROW(D2262)-1, 'From Order'!$A2262)), 1), D2261))"),"RG")</f>
        <v>RG</v>
      </c>
      <c r="E2262" s="2" t="str">
        <f>IFERROR(__xludf.DUMMYFUNCTION("IF('From Order'!$A2262=COLUMNS($A2262:E2281), LEFT(INDEX(FILTER(E$1:E2261, E$1:E2261&lt;&gt;""""),COUNTA(FILTER(E$1:E2261, E$1:E2261&lt;&gt;""""))), LEN(INDEX(FILTER(E$1:E2261, E$1:E2261&lt;&gt;""""),COUNTA(FILTER(E$1:E2261, E$1:E2261&lt;&gt;""""))))-1), IF('To Order'!$A2262=COL"&amp;"UMNS($A2262:E2281), E2261&amp;RIGHT(INDIRECT(ADDRESS(ROW(E2262)-1, 'From Order'!$A2262)), 1), E2261))"),"FRQTTCSZH")</f>
        <v>FRQTTCSZH</v>
      </c>
      <c r="F2262" s="2" t="str">
        <f>IFERROR(__xludf.DUMMYFUNCTION("IF('From Order'!$A2262=COLUMNS($A2262:F2281), LEFT(INDEX(FILTER(F$1:F2261, F$1:F2261&lt;&gt;""""),COUNTA(FILTER(F$1:F2261, F$1:F2261&lt;&gt;""""))), LEN(INDEX(FILTER(F$1:F2261, F$1:F2261&lt;&gt;""""),COUNTA(FILTER(F$1:F2261, F$1:F2261&lt;&gt;""""))))-1), IF('To Order'!$A2262=COL"&amp;"UMNS($A2262:F2281), F2261&amp;RIGHT(INDIRECT(ADDRESS(ROW(F2262)-1, 'From Order'!$A2262)), 1), F2261))"),"")</f>
        <v/>
      </c>
      <c r="G2262" s="2" t="str">
        <f>IFERROR(__xludf.DUMMYFUNCTION("IF('From Order'!$A2262=COLUMNS($A2262:G2281), LEFT(INDEX(FILTER(G$1:G2261, G$1:G2261&lt;&gt;""""),COUNTA(FILTER(G$1:G2261, G$1:G2261&lt;&gt;""""))), LEN(INDEX(FILTER(G$1:G2261, G$1:G2261&lt;&gt;""""),COUNTA(FILTER(G$1:G2261, G$1:G2261&lt;&gt;""""))))-1), IF('To Order'!$A2262=COL"&amp;"UMNS($A2262:G2281), G2261&amp;RIGHT(INDIRECT(ADDRESS(ROW(G2262)-1, 'From Order'!$A2262)), 1), G2261))"),"")</f>
        <v/>
      </c>
      <c r="H2262" s="2" t="str">
        <f>IFERROR(__xludf.DUMMYFUNCTION("IF('From Order'!$A2262=COLUMNS($A2262:H2281), LEFT(INDEX(FILTER(H$1:H2261, H$1:H2261&lt;&gt;""""),COUNTA(FILTER(H$1:H2261, H$1:H2261&lt;&gt;""""))), LEN(INDEX(FILTER(H$1:H2261, H$1:H2261&lt;&gt;""""),COUNTA(FILTER(H$1:H2261, H$1:H2261&lt;&gt;""""))))-1), IF('To Order'!$A2262=COL"&amp;"UMNS($A2262:H2281), H2261&amp;RIGHT(INDIRECT(ADDRESS(ROW(H2262)-1, 'From Order'!$A2262)), 1), H2261))"),"")</f>
        <v/>
      </c>
      <c r="I2262" s="2" t="str">
        <f>IFERROR(__xludf.DUMMYFUNCTION("IF('From Order'!$A2262=COLUMNS($A2262:I2281), LEFT(INDEX(FILTER(I$1:I2261, I$1:I2261&lt;&gt;""""),COUNTA(FILTER(I$1:I2261, I$1:I2261&lt;&gt;""""))), LEN(INDEX(FILTER(I$1:I2261, I$1:I2261&lt;&gt;""""),COUNTA(FILTER(I$1:I2261, I$1:I2261&lt;&gt;""""))))-1), IF('To Order'!$A2262=COL"&amp;"UMNS($A2262:I2281), I2261&amp;RIGHT(INDIRECT(ADDRESS(ROW(I2262)-1, 'From Order'!$A2262)), 1), I2261))"),"DDDVQZDMTTGMJRRLPSSTMZHPRBVJBCBFLLWT")</f>
        <v>DDDVQZDMTTGMJRRLPSSTMZHPRBVJBCBFLLWT</v>
      </c>
    </row>
    <row r="2263">
      <c r="A2263" s="2" t="str">
        <f>IFERROR(__xludf.DUMMYFUNCTION("IF('From Order'!$A2263=COLUMNS($A2263:A2282), LEFT(INDEX(FILTER(A$1:A2262, A$1:A2262&lt;&gt;""""),COUNTA(FILTER(A$1:A2262, A$1:A2262&lt;&gt;""""))), LEN(INDEX(FILTER(A$1:A2262, A$1:A2262&lt;&gt;""""),COUNTA(FILTER(A$1:A2262, A$1:A2262&lt;&gt;""""))))-1), IF('To Order'!$A2263=COL"&amp;"UMNS($A2263:A2282), A2262&amp;RIGHT(INDIRECT(ADDRESS(ROW(A2263)-1, 'From Order'!$A2263)), 1), A2262))"),"DSPJDW")</f>
        <v>DSPJDW</v>
      </c>
      <c r="B2263" s="2" t="str">
        <f>IFERROR(__xludf.DUMMYFUNCTION("IF('From Order'!$A2263=COLUMNS($A2263:B2282), LEFT(INDEX(FILTER(B$1:B2262, B$1:B2262&lt;&gt;""""),COUNTA(FILTER(B$1:B2262, B$1:B2262&lt;&gt;""""))), LEN(INDEX(FILTER(B$1:B2262, B$1:B2262&lt;&gt;""""),COUNTA(FILTER(B$1:B2262, B$1:B2262&lt;&gt;""""))))-1), IF('To Order'!$A2263=COL"&amp;"UMNS($A2263:B2282), B2262&amp;RIGHT(INDIRECT(ADDRESS(ROW(B2263)-1, 'From Order'!$A2263)), 1), B2262))"),"")</f>
        <v/>
      </c>
      <c r="C2263" s="2" t="str">
        <f>IFERROR(__xludf.DUMMYFUNCTION("IF('From Order'!$A2263=COLUMNS($A2263:C2282), LEFT(INDEX(FILTER(C$1:C2262, C$1:C2262&lt;&gt;""""),COUNTA(FILTER(C$1:C2262, C$1:C2262&lt;&gt;""""))), LEN(INDEX(FILTER(C$1:C2262, C$1:C2262&lt;&gt;""""),COUNTA(FILTER(C$1:C2262, C$1:C2262&lt;&gt;""""))))-1), IF('To Order'!$A2263=COL"&amp;"UMNS($A2263:C2282), C2262&amp;RIGHT(INDIRECT(ADDRESS(ROW(C2263)-1, 'From Order'!$A2263)), 1), C2262))"),"VB")</f>
        <v>VB</v>
      </c>
      <c r="D2263" s="2" t="str">
        <f>IFERROR(__xludf.DUMMYFUNCTION("IF('From Order'!$A2263=COLUMNS($A2263:D2282), LEFT(INDEX(FILTER(D$1:D2262, D$1:D2262&lt;&gt;""""),COUNTA(FILTER(D$1:D2262, D$1:D2262&lt;&gt;""""))), LEN(INDEX(FILTER(D$1:D2262, D$1:D2262&lt;&gt;""""),COUNTA(FILTER(D$1:D2262, D$1:D2262&lt;&gt;""""))))-1), IF('To Order'!$A2263=COL"&amp;"UMNS($A2263:D2282), D2262&amp;RIGHT(INDIRECT(ADDRESS(ROW(D2263)-1, 'From Order'!$A2263)), 1), D2262))"),"RG")</f>
        <v>RG</v>
      </c>
      <c r="E2263" s="2" t="str">
        <f>IFERROR(__xludf.DUMMYFUNCTION("IF('From Order'!$A2263=COLUMNS($A2263:E2282), LEFT(INDEX(FILTER(E$1:E2262, E$1:E2262&lt;&gt;""""),COUNTA(FILTER(E$1:E2262, E$1:E2262&lt;&gt;""""))), LEN(INDEX(FILTER(E$1:E2262, E$1:E2262&lt;&gt;""""),COUNTA(FILTER(E$1:E2262, E$1:E2262&lt;&gt;""""))))-1), IF('To Order'!$A2263=COL"&amp;"UMNS($A2263:E2282), E2262&amp;RIGHT(INDIRECT(ADDRESS(ROW(E2263)-1, 'From Order'!$A2263)), 1), E2262))"),"FRQTTCSZH")</f>
        <v>FRQTTCSZH</v>
      </c>
      <c r="F2263" s="2" t="str">
        <f>IFERROR(__xludf.DUMMYFUNCTION("IF('From Order'!$A2263=COLUMNS($A2263:F2282), LEFT(INDEX(FILTER(F$1:F2262, F$1:F2262&lt;&gt;""""),COUNTA(FILTER(F$1:F2262, F$1:F2262&lt;&gt;""""))), LEN(INDEX(FILTER(F$1:F2262, F$1:F2262&lt;&gt;""""),COUNTA(FILTER(F$1:F2262, F$1:F2262&lt;&gt;""""))))-1), IF('To Order'!$A2263=COL"&amp;"UMNS($A2263:F2282), F2262&amp;RIGHT(INDIRECT(ADDRESS(ROW(F2263)-1, 'From Order'!$A2263)), 1), F2262))"),"C")</f>
        <v>C</v>
      </c>
      <c r="G2263" s="2" t="str">
        <f>IFERROR(__xludf.DUMMYFUNCTION("IF('From Order'!$A2263=COLUMNS($A2263:G2282), LEFT(INDEX(FILTER(G$1:G2262, G$1:G2262&lt;&gt;""""),COUNTA(FILTER(G$1:G2262, G$1:G2262&lt;&gt;""""))), LEN(INDEX(FILTER(G$1:G2262, G$1:G2262&lt;&gt;""""),COUNTA(FILTER(G$1:G2262, G$1:G2262&lt;&gt;""""))))-1), IF('To Order'!$A2263=COL"&amp;"UMNS($A2263:G2282), G2262&amp;RIGHT(INDIRECT(ADDRESS(ROW(G2263)-1, 'From Order'!$A2263)), 1), G2262))"),"")</f>
        <v/>
      </c>
      <c r="H2263" s="2" t="str">
        <f>IFERROR(__xludf.DUMMYFUNCTION("IF('From Order'!$A2263=COLUMNS($A2263:H2282), LEFT(INDEX(FILTER(H$1:H2262, H$1:H2262&lt;&gt;""""),COUNTA(FILTER(H$1:H2262, H$1:H2262&lt;&gt;""""))), LEN(INDEX(FILTER(H$1:H2262, H$1:H2262&lt;&gt;""""),COUNTA(FILTER(H$1:H2262, H$1:H2262&lt;&gt;""""))))-1), IF('To Order'!$A2263=COL"&amp;"UMNS($A2263:H2282), H2262&amp;RIGHT(INDIRECT(ADDRESS(ROW(H2263)-1, 'From Order'!$A2263)), 1), H2262))"),"")</f>
        <v/>
      </c>
      <c r="I2263" s="2" t="str">
        <f>IFERROR(__xludf.DUMMYFUNCTION("IF('From Order'!$A2263=COLUMNS($A2263:I2282), LEFT(INDEX(FILTER(I$1:I2262, I$1:I2262&lt;&gt;""""),COUNTA(FILTER(I$1:I2262, I$1:I2262&lt;&gt;""""))), LEN(INDEX(FILTER(I$1:I2262, I$1:I2262&lt;&gt;""""),COUNTA(FILTER(I$1:I2262, I$1:I2262&lt;&gt;""""))))-1), IF('To Order'!$A2263=COL"&amp;"UMNS($A2263:I2282), I2262&amp;RIGHT(INDIRECT(ADDRESS(ROW(I2263)-1, 'From Order'!$A2263)), 1), I2262))"),"DDDVQZDMTTGMJRRLPSSTMZHPRBVJBCBFLLWT")</f>
        <v>DDDVQZDMTTGMJRRLPSSTMZHPRBVJBCBFLLWT</v>
      </c>
    </row>
    <row r="2264">
      <c r="A2264" s="2" t="str">
        <f>IFERROR(__xludf.DUMMYFUNCTION("IF('From Order'!$A2264=COLUMNS($A2264:A2283), LEFT(INDEX(FILTER(A$1:A2263, A$1:A2263&lt;&gt;""""),COUNTA(FILTER(A$1:A2263, A$1:A2263&lt;&gt;""""))), LEN(INDEX(FILTER(A$1:A2263, A$1:A2263&lt;&gt;""""),COUNTA(FILTER(A$1:A2263, A$1:A2263&lt;&gt;""""))))-1), IF('To Order'!$A2264=COL"&amp;"UMNS($A2264:A2283), A2263&amp;RIGHT(INDIRECT(ADDRESS(ROW(A2264)-1, 'From Order'!$A2264)), 1), A2263))"),"DSPJD")</f>
        <v>DSPJD</v>
      </c>
      <c r="B2264" s="2" t="str">
        <f>IFERROR(__xludf.DUMMYFUNCTION("IF('From Order'!$A2264=COLUMNS($A2264:B2283), LEFT(INDEX(FILTER(B$1:B2263, B$1:B2263&lt;&gt;""""),COUNTA(FILTER(B$1:B2263, B$1:B2263&lt;&gt;""""))), LEN(INDEX(FILTER(B$1:B2263, B$1:B2263&lt;&gt;""""),COUNTA(FILTER(B$1:B2263, B$1:B2263&lt;&gt;""""))))-1), IF('To Order'!$A2264=COL"&amp;"UMNS($A2264:B2283), B2263&amp;RIGHT(INDIRECT(ADDRESS(ROW(B2264)-1, 'From Order'!$A2264)), 1), B2263))"),"")</f>
        <v/>
      </c>
      <c r="C2264" s="2" t="str">
        <f>IFERROR(__xludf.DUMMYFUNCTION("IF('From Order'!$A2264=COLUMNS($A2264:C2283), LEFT(INDEX(FILTER(C$1:C2263, C$1:C2263&lt;&gt;""""),COUNTA(FILTER(C$1:C2263, C$1:C2263&lt;&gt;""""))), LEN(INDEX(FILTER(C$1:C2263, C$1:C2263&lt;&gt;""""),COUNTA(FILTER(C$1:C2263, C$1:C2263&lt;&gt;""""))))-1), IF('To Order'!$A2264=COL"&amp;"UMNS($A2264:C2283), C2263&amp;RIGHT(INDIRECT(ADDRESS(ROW(C2264)-1, 'From Order'!$A2264)), 1), C2263))"),"VBW")</f>
        <v>VBW</v>
      </c>
      <c r="D2264" s="2" t="str">
        <f>IFERROR(__xludf.DUMMYFUNCTION("IF('From Order'!$A2264=COLUMNS($A2264:D2283), LEFT(INDEX(FILTER(D$1:D2263, D$1:D2263&lt;&gt;""""),COUNTA(FILTER(D$1:D2263, D$1:D2263&lt;&gt;""""))), LEN(INDEX(FILTER(D$1:D2263, D$1:D2263&lt;&gt;""""),COUNTA(FILTER(D$1:D2263, D$1:D2263&lt;&gt;""""))))-1), IF('To Order'!$A2264=COL"&amp;"UMNS($A2264:D2283), D2263&amp;RIGHT(INDIRECT(ADDRESS(ROW(D2264)-1, 'From Order'!$A2264)), 1), D2263))"),"RG")</f>
        <v>RG</v>
      </c>
      <c r="E2264" s="2" t="str">
        <f>IFERROR(__xludf.DUMMYFUNCTION("IF('From Order'!$A2264=COLUMNS($A2264:E2283), LEFT(INDEX(FILTER(E$1:E2263, E$1:E2263&lt;&gt;""""),COUNTA(FILTER(E$1:E2263, E$1:E2263&lt;&gt;""""))), LEN(INDEX(FILTER(E$1:E2263, E$1:E2263&lt;&gt;""""),COUNTA(FILTER(E$1:E2263, E$1:E2263&lt;&gt;""""))))-1), IF('To Order'!$A2264=COL"&amp;"UMNS($A2264:E2283), E2263&amp;RIGHT(INDIRECT(ADDRESS(ROW(E2264)-1, 'From Order'!$A2264)), 1), E2263))"),"FRQTTCSZH")</f>
        <v>FRQTTCSZH</v>
      </c>
      <c r="F2264" s="2" t="str">
        <f>IFERROR(__xludf.DUMMYFUNCTION("IF('From Order'!$A2264=COLUMNS($A2264:F2283), LEFT(INDEX(FILTER(F$1:F2263, F$1:F2263&lt;&gt;""""),COUNTA(FILTER(F$1:F2263, F$1:F2263&lt;&gt;""""))), LEN(INDEX(FILTER(F$1:F2263, F$1:F2263&lt;&gt;""""),COUNTA(FILTER(F$1:F2263, F$1:F2263&lt;&gt;""""))))-1), IF('To Order'!$A2264=COL"&amp;"UMNS($A2264:F2283), F2263&amp;RIGHT(INDIRECT(ADDRESS(ROW(F2264)-1, 'From Order'!$A2264)), 1), F2263))"),"C")</f>
        <v>C</v>
      </c>
      <c r="G2264" s="2" t="str">
        <f>IFERROR(__xludf.DUMMYFUNCTION("IF('From Order'!$A2264=COLUMNS($A2264:G2283), LEFT(INDEX(FILTER(G$1:G2263, G$1:G2263&lt;&gt;""""),COUNTA(FILTER(G$1:G2263, G$1:G2263&lt;&gt;""""))), LEN(INDEX(FILTER(G$1:G2263, G$1:G2263&lt;&gt;""""),COUNTA(FILTER(G$1:G2263, G$1:G2263&lt;&gt;""""))))-1), IF('To Order'!$A2264=COL"&amp;"UMNS($A2264:G2283), G2263&amp;RIGHT(INDIRECT(ADDRESS(ROW(G2264)-1, 'From Order'!$A2264)), 1), G2263))"),"")</f>
        <v/>
      </c>
      <c r="H2264" s="2" t="str">
        <f>IFERROR(__xludf.DUMMYFUNCTION("IF('From Order'!$A2264=COLUMNS($A2264:H2283), LEFT(INDEX(FILTER(H$1:H2263, H$1:H2263&lt;&gt;""""),COUNTA(FILTER(H$1:H2263, H$1:H2263&lt;&gt;""""))), LEN(INDEX(FILTER(H$1:H2263, H$1:H2263&lt;&gt;""""),COUNTA(FILTER(H$1:H2263, H$1:H2263&lt;&gt;""""))))-1), IF('To Order'!$A2264=COL"&amp;"UMNS($A2264:H2283), H2263&amp;RIGHT(INDIRECT(ADDRESS(ROW(H2264)-1, 'From Order'!$A2264)), 1), H2263))"),"")</f>
        <v/>
      </c>
      <c r="I2264" s="2" t="str">
        <f>IFERROR(__xludf.DUMMYFUNCTION("IF('From Order'!$A2264=COLUMNS($A2264:I2283), LEFT(INDEX(FILTER(I$1:I2263, I$1:I2263&lt;&gt;""""),COUNTA(FILTER(I$1:I2263, I$1:I2263&lt;&gt;""""))), LEN(INDEX(FILTER(I$1:I2263, I$1:I2263&lt;&gt;""""),COUNTA(FILTER(I$1:I2263, I$1:I2263&lt;&gt;""""))))-1), IF('To Order'!$A2264=COL"&amp;"UMNS($A2264:I2283), I2263&amp;RIGHT(INDIRECT(ADDRESS(ROW(I2264)-1, 'From Order'!$A2264)), 1), I2263))"),"DDDVQZDMTTGMJRRLPSSTMZHPRBVJBCBFLLWT")</f>
        <v>DDDVQZDMTTGMJRRLPSSTMZHPRBVJBCBFLLWT</v>
      </c>
    </row>
    <row r="2265">
      <c r="A2265" s="2" t="str">
        <f>IFERROR(__xludf.DUMMYFUNCTION("IF('From Order'!$A2265=COLUMNS($A2265:A2284), LEFT(INDEX(FILTER(A$1:A2264, A$1:A2264&lt;&gt;""""),COUNTA(FILTER(A$1:A2264, A$1:A2264&lt;&gt;""""))), LEN(INDEX(FILTER(A$1:A2264, A$1:A2264&lt;&gt;""""),COUNTA(FILTER(A$1:A2264, A$1:A2264&lt;&gt;""""))))-1), IF('To Order'!$A2265=COL"&amp;"UMNS($A2265:A2284), A2264&amp;RIGHT(INDIRECT(ADDRESS(ROW(A2265)-1, 'From Order'!$A2265)), 1), A2264))"),"DSPJ")</f>
        <v>DSPJ</v>
      </c>
      <c r="B2265" s="2" t="str">
        <f>IFERROR(__xludf.DUMMYFUNCTION("IF('From Order'!$A2265=COLUMNS($A2265:B2284), LEFT(INDEX(FILTER(B$1:B2264, B$1:B2264&lt;&gt;""""),COUNTA(FILTER(B$1:B2264, B$1:B2264&lt;&gt;""""))), LEN(INDEX(FILTER(B$1:B2264, B$1:B2264&lt;&gt;""""),COUNTA(FILTER(B$1:B2264, B$1:B2264&lt;&gt;""""))))-1), IF('To Order'!$A2265=COL"&amp;"UMNS($A2265:B2284), B2264&amp;RIGHT(INDIRECT(ADDRESS(ROW(B2265)-1, 'From Order'!$A2265)), 1), B2264))"),"")</f>
        <v/>
      </c>
      <c r="C2265" s="2" t="str">
        <f>IFERROR(__xludf.DUMMYFUNCTION("IF('From Order'!$A2265=COLUMNS($A2265:C2284), LEFT(INDEX(FILTER(C$1:C2264, C$1:C2264&lt;&gt;""""),COUNTA(FILTER(C$1:C2264, C$1:C2264&lt;&gt;""""))), LEN(INDEX(FILTER(C$1:C2264, C$1:C2264&lt;&gt;""""),COUNTA(FILTER(C$1:C2264, C$1:C2264&lt;&gt;""""))))-1), IF('To Order'!$A2265=COL"&amp;"UMNS($A2265:C2284), C2264&amp;RIGHT(INDIRECT(ADDRESS(ROW(C2265)-1, 'From Order'!$A2265)), 1), C2264))"),"VBWD")</f>
        <v>VBWD</v>
      </c>
      <c r="D2265" s="2" t="str">
        <f>IFERROR(__xludf.DUMMYFUNCTION("IF('From Order'!$A2265=COLUMNS($A2265:D2284), LEFT(INDEX(FILTER(D$1:D2264, D$1:D2264&lt;&gt;""""),COUNTA(FILTER(D$1:D2264, D$1:D2264&lt;&gt;""""))), LEN(INDEX(FILTER(D$1:D2264, D$1:D2264&lt;&gt;""""),COUNTA(FILTER(D$1:D2264, D$1:D2264&lt;&gt;""""))))-1), IF('To Order'!$A2265=COL"&amp;"UMNS($A2265:D2284), D2264&amp;RIGHT(INDIRECT(ADDRESS(ROW(D2265)-1, 'From Order'!$A2265)), 1), D2264))"),"RG")</f>
        <v>RG</v>
      </c>
      <c r="E2265" s="2" t="str">
        <f>IFERROR(__xludf.DUMMYFUNCTION("IF('From Order'!$A2265=COLUMNS($A2265:E2284), LEFT(INDEX(FILTER(E$1:E2264, E$1:E2264&lt;&gt;""""),COUNTA(FILTER(E$1:E2264, E$1:E2264&lt;&gt;""""))), LEN(INDEX(FILTER(E$1:E2264, E$1:E2264&lt;&gt;""""),COUNTA(FILTER(E$1:E2264, E$1:E2264&lt;&gt;""""))))-1), IF('To Order'!$A2265=COL"&amp;"UMNS($A2265:E2284), E2264&amp;RIGHT(INDIRECT(ADDRESS(ROW(E2265)-1, 'From Order'!$A2265)), 1), E2264))"),"FRQTTCSZH")</f>
        <v>FRQTTCSZH</v>
      </c>
      <c r="F2265" s="2" t="str">
        <f>IFERROR(__xludf.DUMMYFUNCTION("IF('From Order'!$A2265=COLUMNS($A2265:F2284), LEFT(INDEX(FILTER(F$1:F2264, F$1:F2264&lt;&gt;""""),COUNTA(FILTER(F$1:F2264, F$1:F2264&lt;&gt;""""))), LEN(INDEX(FILTER(F$1:F2264, F$1:F2264&lt;&gt;""""),COUNTA(FILTER(F$1:F2264, F$1:F2264&lt;&gt;""""))))-1), IF('To Order'!$A2265=COL"&amp;"UMNS($A2265:F2284), F2264&amp;RIGHT(INDIRECT(ADDRESS(ROW(F2265)-1, 'From Order'!$A2265)), 1), F2264))"),"C")</f>
        <v>C</v>
      </c>
      <c r="G2265" s="2" t="str">
        <f>IFERROR(__xludf.DUMMYFUNCTION("IF('From Order'!$A2265=COLUMNS($A2265:G2284), LEFT(INDEX(FILTER(G$1:G2264, G$1:G2264&lt;&gt;""""),COUNTA(FILTER(G$1:G2264, G$1:G2264&lt;&gt;""""))), LEN(INDEX(FILTER(G$1:G2264, G$1:G2264&lt;&gt;""""),COUNTA(FILTER(G$1:G2264, G$1:G2264&lt;&gt;""""))))-1), IF('To Order'!$A2265=COL"&amp;"UMNS($A2265:G2284), G2264&amp;RIGHT(INDIRECT(ADDRESS(ROW(G2265)-1, 'From Order'!$A2265)), 1), G2264))"),"")</f>
        <v/>
      </c>
      <c r="H2265" s="2" t="str">
        <f>IFERROR(__xludf.DUMMYFUNCTION("IF('From Order'!$A2265=COLUMNS($A2265:H2284), LEFT(INDEX(FILTER(H$1:H2264, H$1:H2264&lt;&gt;""""),COUNTA(FILTER(H$1:H2264, H$1:H2264&lt;&gt;""""))), LEN(INDEX(FILTER(H$1:H2264, H$1:H2264&lt;&gt;""""),COUNTA(FILTER(H$1:H2264, H$1:H2264&lt;&gt;""""))))-1), IF('To Order'!$A2265=COL"&amp;"UMNS($A2265:H2284), H2264&amp;RIGHT(INDIRECT(ADDRESS(ROW(H2265)-1, 'From Order'!$A2265)), 1), H2264))"),"")</f>
        <v/>
      </c>
      <c r="I2265" s="2" t="str">
        <f>IFERROR(__xludf.DUMMYFUNCTION("IF('From Order'!$A2265=COLUMNS($A2265:I2284), LEFT(INDEX(FILTER(I$1:I2264, I$1:I2264&lt;&gt;""""),COUNTA(FILTER(I$1:I2264, I$1:I2264&lt;&gt;""""))), LEN(INDEX(FILTER(I$1:I2264, I$1:I2264&lt;&gt;""""),COUNTA(FILTER(I$1:I2264, I$1:I2264&lt;&gt;""""))))-1), IF('To Order'!$A2265=COL"&amp;"UMNS($A2265:I2284), I2264&amp;RIGHT(INDIRECT(ADDRESS(ROW(I2265)-1, 'From Order'!$A2265)), 1), I2264))"),"DDDVQZDMTTGMJRRLPSSTMZHPRBVJBCBFLLWT")</f>
        <v>DDDVQZDMTTGMJRRLPSSTMZHPRBVJBCBFLLWT</v>
      </c>
    </row>
    <row r="2266">
      <c r="A2266" s="2" t="str">
        <f>IFERROR(__xludf.DUMMYFUNCTION("IF('From Order'!$A2266=COLUMNS($A2266:A2285), LEFT(INDEX(FILTER(A$1:A2265, A$1:A2265&lt;&gt;""""),COUNTA(FILTER(A$1:A2265, A$1:A2265&lt;&gt;""""))), LEN(INDEX(FILTER(A$1:A2265, A$1:A2265&lt;&gt;""""),COUNTA(FILTER(A$1:A2265, A$1:A2265&lt;&gt;""""))))-1), IF('To Order'!$A2266=COL"&amp;"UMNS($A2266:A2285), A2265&amp;RIGHT(INDIRECT(ADDRESS(ROW(A2266)-1, 'From Order'!$A2266)), 1), A2265))"),"DSPJ")</f>
        <v>DSPJ</v>
      </c>
      <c r="B2266" s="2" t="str">
        <f>IFERROR(__xludf.DUMMYFUNCTION("IF('From Order'!$A2266=COLUMNS($A2266:B2285), LEFT(INDEX(FILTER(B$1:B2265, B$1:B2265&lt;&gt;""""),COUNTA(FILTER(B$1:B2265, B$1:B2265&lt;&gt;""""))), LEN(INDEX(FILTER(B$1:B2265, B$1:B2265&lt;&gt;""""),COUNTA(FILTER(B$1:B2265, B$1:B2265&lt;&gt;""""))))-1), IF('To Order'!$A2266=COL"&amp;"UMNS($A2266:B2285), B2265&amp;RIGHT(INDIRECT(ADDRESS(ROW(B2266)-1, 'From Order'!$A2266)), 1), B2265))"),"")</f>
        <v/>
      </c>
      <c r="C2266" s="2" t="str">
        <f>IFERROR(__xludf.DUMMYFUNCTION("IF('From Order'!$A2266=COLUMNS($A2266:C2285), LEFT(INDEX(FILTER(C$1:C2265, C$1:C2265&lt;&gt;""""),COUNTA(FILTER(C$1:C2265, C$1:C2265&lt;&gt;""""))), LEN(INDEX(FILTER(C$1:C2265, C$1:C2265&lt;&gt;""""),COUNTA(FILTER(C$1:C2265, C$1:C2265&lt;&gt;""""))))-1), IF('To Order'!$A2266=COL"&amp;"UMNS($A2266:C2285), C2265&amp;RIGHT(INDIRECT(ADDRESS(ROW(C2266)-1, 'From Order'!$A2266)), 1), C2265))"),"VBWD")</f>
        <v>VBWD</v>
      </c>
      <c r="D2266" s="2" t="str">
        <f>IFERROR(__xludf.DUMMYFUNCTION("IF('From Order'!$A2266=COLUMNS($A2266:D2285), LEFT(INDEX(FILTER(D$1:D2265, D$1:D2265&lt;&gt;""""),COUNTA(FILTER(D$1:D2265, D$1:D2265&lt;&gt;""""))), LEN(INDEX(FILTER(D$1:D2265, D$1:D2265&lt;&gt;""""),COUNTA(FILTER(D$1:D2265, D$1:D2265&lt;&gt;""""))))-1), IF('To Order'!$A2266=COL"&amp;"UMNS($A2266:D2285), D2265&amp;RIGHT(INDIRECT(ADDRESS(ROW(D2266)-1, 'From Order'!$A2266)), 1), D2265))"),"RG")</f>
        <v>RG</v>
      </c>
      <c r="E2266" s="2" t="str">
        <f>IFERROR(__xludf.DUMMYFUNCTION("IF('From Order'!$A2266=COLUMNS($A2266:E2285), LEFT(INDEX(FILTER(E$1:E2265, E$1:E2265&lt;&gt;""""),COUNTA(FILTER(E$1:E2265, E$1:E2265&lt;&gt;""""))), LEN(INDEX(FILTER(E$1:E2265, E$1:E2265&lt;&gt;""""),COUNTA(FILTER(E$1:E2265, E$1:E2265&lt;&gt;""""))))-1), IF('To Order'!$A2266=COL"&amp;"UMNS($A2266:E2285), E2265&amp;RIGHT(INDIRECT(ADDRESS(ROW(E2266)-1, 'From Order'!$A2266)), 1), E2265))"),"FRQTTCSZ")</f>
        <v>FRQTTCSZ</v>
      </c>
      <c r="F2266" s="2" t="str">
        <f>IFERROR(__xludf.DUMMYFUNCTION("IF('From Order'!$A2266=COLUMNS($A2266:F2285), LEFT(INDEX(FILTER(F$1:F2265, F$1:F2265&lt;&gt;""""),COUNTA(FILTER(F$1:F2265, F$1:F2265&lt;&gt;""""))), LEN(INDEX(FILTER(F$1:F2265, F$1:F2265&lt;&gt;""""),COUNTA(FILTER(F$1:F2265, F$1:F2265&lt;&gt;""""))))-1), IF('To Order'!$A2266=COL"&amp;"UMNS($A2266:F2285), F2265&amp;RIGHT(INDIRECT(ADDRESS(ROW(F2266)-1, 'From Order'!$A2266)), 1), F2265))"),"C")</f>
        <v>C</v>
      </c>
      <c r="G2266" s="2" t="str">
        <f>IFERROR(__xludf.DUMMYFUNCTION("IF('From Order'!$A2266=COLUMNS($A2266:G2285), LEFT(INDEX(FILTER(G$1:G2265, G$1:G2265&lt;&gt;""""),COUNTA(FILTER(G$1:G2265, G$1:G2265&lt;&gt;""""))), LEN(INDEX(FILTER(G$1:G2265, G$1:G2265&lt;&gt;""""),COUNTA(FILTER(G$1:G2265, G$1:G2265&lt;&gt;""""))))-1), IF('To Order'!$A2266=COL"&amp;"UMNS($A2266:G2285), G2265&amp;RIGHT(INDIRECT(ADDRESS(ROW(G2266)-1, 'From Order'!$A2266)), 1), G2265))"),"")</f>
        <v/>
      </c>
      <c r="H2266" s="2" t="str">
        <f>IFERROR(__xludf.DUMMYFUNCTION("IF('From Order'!$A2266=COLUMNS($A2266:H2285), LEFT(INDEX(FILTER(H$1:H2265, H$1:H2265&lt;&gt;""""),COUNTA(FILTER(H$1:H2265, H$1:H2265&lt;&gt;""""))), LEN(INDEX(FILTER(H$1:H2265, H$1:H2265&lt;&gt;""""),COUNTA(FILTER(H$1:H2265, H$1:H2265&lt;&gt;""""))))-1), IF('To Order'!$A2266=COL"&amp;"UMNS($A2266:H2285), H2265&amp;RIGHT(INDIRECT(ADDRESS(ROW(H2266)-1, 'From Order'!$A2266)), 1), H2265))"),"")</f>
        <v/>
      </c>
      <c r="I2266" s="2" t="str">
        <f>IFERROR(__xludf.DUMMYFUNCTION("IF('From Order'!$A2266=COLUMNS($A2266:I2285), LEFT(INDEX(FILTER(I$1:I2265, I$1:I2265&lt;&gt;""""),COUNTA(FILTER(I$1:I2265, I$1:I2265&lt;&gt;""""))), LEN(INDEX(FILTER(I$1:I2265, I$1:I2265&lt;&gt;""""),COUNTA(FILTER(I$1:I2265, I$1:I2265&lt;&gt;""""))))-1), IF('To Order'!$A2266=COL"&amp;"UMNS($A2266:I2285), I2265&amp;RIGHT(INDIRECT(ADDRESS(ROW(I2266)-1, 'From Order'!$A2266)), 1), I2265))"),"DDDVQZDMTTGMJRRLPSSTMZHPRBVJBCBFLLWTH")</f>
        <v>DDDVQZDMTTGMJRRLPSSTMZHPRBVJBCBFLLWTH</v>
      </c>
    </row>
    <row r="2267">
      <c r="A2267" s="2" t="str">
        <f>IFERROR(__xludf.DUMMYFUNCTION("IF('From Order'!$A2267=COLUMNS($A2267:A2286), LEFT(INDEX(FILTER(A$1:A2266, A$1:A2266&lt;&gt;""""),COUNTA(FILTER(A$1:A2266, A$1:A2266&lt;&gt;""""))), LEN(INDEX(FILTER(A$1:A2266, A$1:A2266&lt;&gt;""""),COUNTA(FILTER(A$1:A2266, A$1:A2266&lt;&gt;""""))))-1), IF('To Order'!$A2267=COL"&amp;"UMNS($A2267:A2286), A2266&amp;RIGHT(INDIRECT(ADDRESS(ROW(A2267)-1, 'From Order'!$A2267)), 1), A2266))"),"DSPJ")</f>
        <v>DSPJ</v>
      </c>
      <c r="B2267" s="2" t="str">
        <f>IFERROR(__xludf.DUMMYFUNCTION("IF('From Order'!$A2267=COLUMNS($A2267:B2286), LEFT(INDEX(FILTER(B$1:B2266, B$1:B2266&lt;&gt;""""),COUNTA(FILTER(B$1:B2266, B$1:B2266&lt;&gt;""""))), LEN(INDEX(FILTER(B$1:B2266, B$1:B2266&lt;&gt;""""),COUNTA(FILTER(B$1:B2266, B$1:B2266&lt;&gt;""""))))-1), IF('To Order'!$A2267=COL"&amp;"UMNS($A2267:B2286), B2266&amp;RIGHT(INDIRECT(ADDRESS(ROW(B2267)-1, 'From Order'!$A2267)), 1), B2266))"),"")</f>
        <v/>
      </c>
      <c r="C2267" s="2" t="str">
        <f>IFERROR(__xludf.DUMMYFUNCTION("IF('From Order'!$A2267=COLUMNS($A2267:C2286), LEFT(INDEX(FILTER(C$1:C2266, C$1:C2266&lt;&gt;""""),COUNTA(FILTER(C$1:C2266, C$1:C2266&lt;&gt;""""))), LEN(INDEX(FILTER(C$1:C2266, C$1:C2266&lt;&gt;""""),COUNTA(FILTER(C$1:C2266, C$1:C2266&lt;&gt;""""))))-1), IF('To Order'!$A2267=COL"&amp;"UMNS($A2267:C2286), C2266&amp;RIGHT(INDIRECT(ADDRESS(ROW(C2267)-1, 'From Order'!$A2267)), 1), C2266))"),"VBWD")</f>
        <v>VBWD</v>
      </c>
      <c r="D2267" s="2" t="str">
        <f>IFERROR(__xludf.DUMMYFUNCTION("IF('From Order'!$A2267=COLUMNS($A2267:D2286), LEFT(INDEX(FILTER(D$1:D2266, D$1:D2266&lt;&gt;""""),COUNTA(FILTER(D$1:D2266, D$1:D2266&lt;&gt;""""))), LEN(INDEX(FILTER(D$1:D2266, D$1:D2266&lt;&gt;""""),COUNTA(FILTER(D$1:D2266, D$1:D2266&lt;&gt;""""))))-1), IF('To Order'!$A2267=COL"&amp;"UMNS($A2267:D2286), D2266&amp;RIGHT(INDIRECT(ADDRESS(ROW(D2267)-1, 'From Order'!$A2267)), 1), D2266))"),"RG")</f>
        <v>RG</v>
      </c>
      <c r="E2267" s="2" t="str">
        <f>IFERROR(__xludf.DUMMYFUNCTION("IF('From Order'!$A2267=COLUMNS($A2267:E2286), LEFT(INDEX(FILTER(E$1:E2266, E$1:E2266&lt;&gt;""""),COUNTA(FILTER(E$1:E2266, E$1:E2266&lt;&gt;""""))), LEN(INDEX(FILTER(E$1:E2266, E$1:E2266&lt;&gt;""""),COUNTA(FILTER(E$1:E2266, E$1:E2266&lt;&gt;""""))))-1), IF('To Order'!$A2267=COL"&amp;"UMNS($A2267:E2286), E2266&amp;RIGHT(INDIRECT(ADDRESS(ROW(E2267)-1, 'From Order'!$A2267)), 1), E2266))"),"FRQTTCS")</f>
        <v>FRQTTCS</v>
      </c>
      <c r="F2267" s="2" t="str">
        <f>IFERROR(__xludf.DUMMYFUNCTION("IF('From Order'!$A2267=COLUMNS($A2267:F2286), LEFT(INDEX(FILTER(F$1:F2266, F$1:F2266&lt;&gt;""""),COUNTA(FILTER(F$1:F2266, F$1:F2266&lt;&gt;""""))), LEN(INDEX(FILTER(F$1:F2266, F$1:F2266&lt;&gt;""""),COUNTA(FILTER(F$1:F2266, F$1:F2266&lt;&gt;""""))))-1), IF('To Order'!$A2267=COL"&amp;"UMNS($A2267:F2286), F2266&amp;RIGHT(INDIRECT(ADDRESS(ROW(F2267)-1, 'From Order'!$A2267)), 1), F2266))"),"C")</f>
        <v>C</v>
      </c>
      <c r="G2267" s="2" t="str">
        <f>IFERROR(__xludf.DUMMYFUNCTION("IF('From Order'!$A2267=COLUMNS($A2267:G2286), LEFT(INDEX(FILTER(G$1:G2266, G$1:G2266&lt;&gt;""""),COUNTA(FILTER(G$1:G2266, G$1:G2266&lt;&gt;""""))), LEN(INDEX(FILTER(G$1:G2266, G$1:G2266&lt;&gt;""""),COUNTA(FILTER(G$1:G2266, G$1:G2266&lt;&gt;""""))))-1), IF('To Order'!$A2267=COL"&amp;"UMNS($A2267:G2286), G2266&amp;RIGHT(INDIRECT(ADDRESS(ROW(G2267)-1, 'From Order'!$A2267)), 1), G2266))"),"")</f>
        <v/>
      </c>
      <c r="H2267" s="2" t="str">
        <f>IFERROR(__xludf.DUMMYFUNCTION("IF('From Order'!$A2267=COLUMNS($A2267:H2286), LEFT(INDEX(FILTER(H$1:H2266, H$1:H2266&lt;&gt;""""),COUNTA(FILTER(H$1:H2266, H$1:H2266&lt;&gt;""""))), LEN(INDEX(FILTER(H$1:H2266, H$1:H2266&lt;&gt;""""),COUNTA(FILTER(H$1:H2266, H$1:H2266&lt;&gt;""""))))-1), IF('To Order'!$A2267=COL"&amp;"UMNS($A2267:H2286), H2266&amp;RIGHT(INDIRECT(ADDRESS(ROW(H2267)-1, 'From Order'!$A2267)), 1), H2266))"),"")</f>
        <v/>
      </c>
      <c r="I2267" s="2" t="str">
        <f>IFERROR(__xludf.DUMMYFUNCTION("IF('From Order'!$A2267=COLUMNS($A2267:I2286), LEFT(INDEX(FILTER(I$1:I2266, I$1:I2266&lt;&gt;""""),COUNTA(FILTER(I$1:I2266, I$1:I2266&lt;&gt;""""))), LEN(INDEX(FILTER(I$1:I2266, I$1:I2266&lt;&gt;""""),COUNTA(FILTER(I$1:I2266, I$1:I2266&lt;&gt;""""))))-1), IF('To Order'!$A2267=COL"&amp;"UMNS($A2267:I2286), I2266&amp;RIGHT(INDIRECT(ADDRESS(ROW(I2267)-1, 'From Order'!$A2267)), 1), I2266))"),"DDDVQZDMTTGMJRRLPSSTMZHPRBVJBCBFLLWTHZ")</f>
        <v>DDDVQZDMTTGMJRRLPSSTMZHPRBVJBCBFLLWTHZ</v>
      </c>
    </row>
    <row r="2268">
      <c r="A2268" s="2" t="str">
        <f>IFERROR(__xludf.DUMMYFUNCTION("IF('From Order'!$A2268=COLUMNS($A2268:A2287), LEFT(INDEX(FILTER(A$1:A2267, A$1:A2267&lt;&gt;""""),COUNTA(FILTER(A$1:A2267, A$1:A2267&lt;&gt;""""))), LEN(INDEX(FILTER(A$1:A2267, A$1:A2267&lt;&gt;""""),COUNTA(FILTER(A$1:A2267, A$1:A2267&lt;&gt;""""))))-1), IF('To Order'!$A2268=COL"&amp;"UMNS($A2268:A2287), A2267&amp;RIGHT(INDIRECT(ADDRESS(ROW(A2268)-1, 'From Order'!$A2268)), 1), A2267))"),"DSPJ")</f>
        <v>DSPJ</v>
      </c>
      <c r="B2268" s="2" t="str">
        <f>IFERROR(__xludf.DUMMYFUNCTION("IF('From Order'!$A2268=COLUMNS($A2268:B2287), LEFT(INDEX(FILTER(B$1:B2267, B$1:B2267&lt;&gt;""""),COUNTA(FILTER(B$1:B2267, B$1:B2267&lt;&gt;""""))), LEN(INDEX(FILTER(B$1:B2267, B$1:B2267&lt;&gt;""""),COUNTA(FILTER(B$1:B2267, B$1:B2267&lt;&gt;""""))))-1), IF('To Order'!$A2268=COL"&amp;"UMNS($A2268:B2287), B2267&amp;RIGHT(INDIRECT(ADDRESS(ROW(B2268)-1, 'From Order'!$A2268)), 1), B2267))"),"")</f>
        <v/>
      </c>
      <c r="C2268" s="2" t="str">
        <f>IFERROR(__xludf.DUMMYFUNCTION("IF('From Order'!$A2268=COLUMNS($A2268:C2287), LEFT(INDEX(FILTER(C$1:C2267, C$1:C2267&lt;&gt;""""),COUNTA(FILTER(C$1:C2267, C$1:C2267&lt;&gt;""""))), LEN(INDEX(FILTER(C$1:C2267, C$1:C2267&lt;&gt;""""),COUNTA(FILTER(C$1:C2267, C$1:C2267&lt;&gt;""""))))-1), IF('To Order'!$A2268=COL"&amp;"UMNS($A2268:C2287), C2267&amp;RIGHT(INDIRECT(ADDRESS(ROW(C2268)-1, 'From Order'!$A2268)), 1), C2267))"),"VBWD")</f>
        <v>VBWD</v>
      </c>
      <c r="D2268" s="2" t="str">
        <f>IFERROR(__xludf.DUMMYFUNCTION("IF('From Order'!$A2268=COLUMNS($A2268:D2287), LEFT(INDEX(FILTER(D$1:D2267, D$1:D2267&lt;&gt;""""),COUNTA(FILTER(D$1:D2267, D$1:D2267&lt;&gt;""""))), LEN(INDEX(FILTER(D$1:D2267, D$1:D2267&lt;&gt;""""),COUNTA(FILTER(D$1:D2267, D$1:D2267&lt;&gt;""""))))-1), IF('To Order'!$A2268=COL"&amp;"UMNS($A2268:D2287), D2267&amp;RIGHT(INDIRECT(ADDRESS(ROW(D2268)-1, 'From Order'!$A2268)), 1), D2267))"),"RG")</f>
        <v>RG</v>
      </c>
      <c r="E2268" s="2" t="str">
        <f>IFERROR(__xludf.DUMMYFUNCTION("IF('From Order'!$A2268=COLUMNS($A2268:E2287), LEFT(INDEX(FILTER(E$1:E2267, E$1:E2267&lt;&gt;""""),COUNTA(FILTER(E$1:E2267, E$1:E2267&lt;&gt;""""))), LEN(INDEX(FILTER(E$1:E2267, E$1:E2267&lt;&gt;""""),COUNTA(FILTER(E$1:E2267, E$1:E2267&lt;&gt;""""))))-1), IF('To Order'!$A2268=COL"&amp;"UMNS($A2268:E2287), E2267&amp;RIGHT(INDIRECT(ADDRESS(ROW(E2268)-1, 'From Order'!$A2268)), 1), E2267))"),"FRQTTC")</f>
        <v>FRQTTC</v>
      </c>
      <c r="F2268" s="2" t="str">
        <f>IFERROR(__xludf.DUMMYFUNCTION("IF('From Order'!$A2268=COLUMNS($A2268:F2287), LEFT(INDEX(FILTER(F$1:F2267, F$1:F2267&lt;&gt;""""),COUNTA(FILTER(F$1:F2267, F$1:F2267&lt;&gt;""""))), LEN(INDEX(FILTER(F$1:F2267, F$1:F2267&lt;&gt;""""),COUNTA(FILTER(F$1:F2267, F$1:F2267&lt;&gt;""""))))-1), IF('To Order'!$A2268=COL"&amp;"UMNS($A2268:F2287), F2267&amp;RIGHT(INDIRECT(ADDRESS(ROW(F2268)-1, 'From Order'!$A2268)), 1), F2267))"),"C")</f>
        <v>C</v>
      </c>
      <c r="G2268" s="2" t="str">
        <f>IFERROR(__xludf.DUMMYFUNCTION("IF('From Order'!$A2268=COLUMNS($A2268:G2287), LEFT(INDEX(FILTER(G$1:G2267, G$1:G2267&lt;&gt;""""),COUNTA(FILTER(G$1:G2267, G$1:G2267&lt;&gt;""""))), LEN(INDEX(FILTER(G$1:G2267, G$1:G2267&lt;&gt;""""),COUNTA(FILTER(G$1:G2267, G$1:G2267&lt;&gt;""""))))-1), IF('To Order'!$A2268=COL"&amp;"UMNS($A2268:G2287), G2267&amp;RIGHT(INDIRECT(ADDRESS(ROW(G2268)-1, 'From Order'!$A2268)), 1), G2267))"),"")</f>
        <v/>
      </c>
      <c r="H2268" s="2" t="str">
        <f>IFERROR(__xludf.DUMMYFUNCTION("IF('From Order'!$A2268=COLUMNS($A2268:H2287), LEFT(INDEX(FILTER(H$1:H2267, H$1:H2267&lt;&gt;""""),COUNTA(FILTER(H$1:H2267, H$1:H2267&lt;&gt;""""))), LEN(INDEX(FILTER(H$1:H2267, H$1:H2267&lt;&gt;""""),COUNTA(FILTER(H$1:H2267, H$1:H2267&lt;&gt;""""))))-1), IF('To Order'!$A2268=COL"&amp;"UMNS($A2268:H2287), H2267&amp;RIGHT(INDIRECT(ADDRESS(ROW(H2268)-1, 'From Order'!$A2268)), 1), H2267))"),"")</f>
        <v/>
      </c>
      <c r="I2268" s="2" t="str">
        <f>IFERROR(__xludf.DUMMYFUNCTION("IF('From Order'!$A2268=COLUMNS($A2268:I2287), LEFT(INDEX(FILTER(I$1:I2267, I$1:I2267&lt;&gt;""""),COUNTA(FILTER(I$1:I2267, I$1:I2267&lt;&gt;""""))), LEN(INDEX(FILTER(I$1:I2267, I$1:I2267&lt;&gt;""""),COUNTA(FILTER(I$1:I2267, I$1:I2267&lt;&gt;""""))))-1), IF('To Order'!$A2268=COL"&amp;"UMNS($A2268:I2287), I2267&amp;RIGHT(INDIRECT(ADDRESS(ROW(I2268)-1, 'From Order'!$A2268)), 1), I2267))"),"DDDVQZDMTTGMJRRLPSSTMZHPRBVJBCBFLLWTHZS")</f>
        <v>DDDVQZDMTTGMJRRLPSSTMZHPRBVJBCBFLLWTHZS</v>
      </c>
    </row>
    <row r="2269">
      <c r="A2269" s="2" t="str">
        <f>IFERROR(__xludf.DUMMYFUNCTION("IF('From Order'!$A2269=COLUMNS($A2269:A2288), LEFT(INDEX(FILTER(A$1:A2268, A$1:A2268&lt;&gt;""""),COUNTA(FILTER(A$1:A2268, A$1:A2268&lt;&gt;""""))), LEN(INDEX(FILTER(A$1:A2268, A$1:A2268&lt;&gt;""""),COUNTA(FILTER(A$1:A2268, A$1:A2268&lt;&gt;""""))))-1), IF('To Order'!$A2269=COL"&amp;"UMNS($A2269:A2288), A2268&amp;RIGHT(INDIRECT(ADDRESS(ROW(A2269)-1, 'From Order'!$A2269)), 1), A2268))"),"DSPJ")</f>
        <v>DSPJ</v>
      </c>
      <c r="B2269" s="2" t="str">
        <f>IFERROR(__xludf.DUMMYFUNCTION("IF('From Order'!$A2269=COLUMNS($A2269:B2288), LEFT(INDEX(FILTER(B$1:B2268, B$1:B2268&lt;&gt;""""),COUNTA(FILTER(B$1:B2268, B$1:B2268&lt;&gt;""""))), LEN(INDEX(FILTER(B$1:B2268, B$1:B2268&lt;&gt;""""),COUNTA(FILTER(B$1:B2268, B$1:B2268&lt;&gt;""""))))-1), IF('To Order'!$A2269=COL"&amp;"UMNS($A2269:B2288), B2268&amp;RIGHT(INDIRECT(ADDRESS(ROW(B2269)-1, 'From Order'!$A2269)), 1), B2268))"),"")</f>
        <v/>
      </c>
      <c r="C2269" s="2" t="str">
        <f>IFERROR(__xludf.DUMMYFUNCTION("IF('From Order'!$A2269=COLUMNS($A2269:C2288), LEFT(INDEX(FILTER(C$1:C2268, C$1:C2268&lt;&gt;""""),COUNTA(FILTER(C$1:C2268, C$1:C2268&lt;&gt;""""))), LEN(INDEX(FILTER(C$1:C2268, C$1:C2268&lt;&gt;""""),COUNTA(FILTER(C$1:C2268, C$1:C2268&lt;&gt;""""))))-1), IF('To Order'!$A2269=COL"&amp;"UMNS($A2269:C2288), C2268&amp;RIGHT(INDIRECT(ADDRESS(ROW(C2269)-1, 'From Order'!$A2269)), 1), C2268))"),"VBWD")</f>
        <v>VBWD</v>
      </c>
      <c r="D2269" s="2" t="str">
        <f>IFERROR(__xludf.DUMMYFUNCTION("IF('From Order'!$A2269=COLUMNS($A2269:D2288), LEFT(INDEX(FILTER(D$1:D2268, D$1:D2268&lt;&gt;""""),COUNTA(FILTER(D$1:D2268, D$1:D2268&lt;&gt;""""))), LEN(INDEX(FILTER(D$1:D2268, D$1:D2268&lt;&gt;""""),COUNTA(FILTER(D$1:D2268, D$1:D2268&lt;&gt;""""))))-1), IF('To Order'!$A2269=COL"&amp;"UMNS($A2269:D2288), D2268&amp;RIGHT(INDIRECT(ADDRESS(ROW(D2269)-1, 'From Order'!$A2269)), 1), D2268))"),"RG")</f>
        <v>RG</v>
      </c>
      <c r="E2269" s="2" t="str">
        <f>IFERROR(__xludf.DUMMYFUNCTION("IF('From Order'!$A2269=COLUMNS($A2269:E2288), LEFT(INDEX(FILTER(E$1:E2268, E$1:E2268&lt;&gt;""""),COUNTA(FILTER(E$1:E2268, E$1:E2268&lt;&gt;""""))), LEN(INDEX(FILTER(E$1:E2268, E$1:E2268&lt;&gt;""""),COUNTA(FILTER(E$1:E2268, E$1:E2268&lt;&gt;""""))))-1), IF('To Order'!$A2269=COL"&amp;"UMNS($A2269:E2288), E2268&amp;RIGHT(INDIRECT(ADDRESS(ROW(E2269)-1, 'From Order'!$A2269)), 1), E2268))"),"FRQTT")</f>
        <v>FRQTT</v>
      </c>
      <c r="F2269" s="2" t="str">
        <f>IFERROR(__xludf.DUMMYFUNCTION("IF('From Order'!$A2269=COLUMNS($A2269:F2288), LEFT(INDEX(FILTER(F$1:F2268, F$1:F2268&lt;&gt;""""),COUNTA(FILTER(F$1:F2268, F$1:F2268&lt;&gt;""""))), LEN(INDEX(FILTER(F$1:F2268, F$1:F2268&lt;&gt;""""),COUNTA(FILTER(F$1:F2268, F$1:F2268&lt;&gt;""""))))-1), IF('To Order'!$A2269=COL"&amp;"UMNS($A2269:F2288), F2268&amp;RIGHT(INDIRECT(ADDRESS(ROW(F2269)-1, 'From Order'!$A2269)), 1), F2268))"),"C")</f>
        <v>C</v>
      </c>
      <c r="G2269" s="2" t="str">
        <f>IFERROR(__xludf.DUMMYFUNCTION("IF('From Order'!$A2269=COLUMNS($A2269:G2288), LEFT(INDEX(FILTER(G$1:G2268, G$1:G2268&lt;&gt;""""),COUNTA(FILTER(G$1:G2268, G$1:G2268&lt;&gt;""""))), LEN(INDEX(FILTER(G$1:G2268, G$1:G2268&lt;&gt;""""),COUNTA(FILTER(G$1:G2268, G$1:G2268&lt;&gt;""""))))-1), IF('To Order'!$A2269=COL"&amp;"UMNS($A2269:G2288), G2268&amp;RIGHT(INDIRECT(ADDRESS(ROW(G2269)-1, 'From Order'!$A2269)), 1), G2268))"),"")</f>
        <v/>
      </c>
      <c r="H2269" s="2" t="str">
        <f>IFERROR(__xludf.DUMMYFUNCTION("IF('From Order'!$A2269=COLUMNS($A2269:H2288), LEFT(INDEX(FILTER(H$1:H2268, H$1:H2268&lt;&gt;""""),COUNTA(FILTER(H$1:H2268, H$1:H2268&lt;&gt;""""))), LEN(INDEX(FILTER(H$1:H2268, H$1:H2268&lt;&gt;""""),COUNTA(FILTER(H$1:H2268, H$1:H2268&lt;&gt;""""))))-1), IF('To Order'!$A2269=COL"&amp;"UMNS($A2269:H2288), H2268&amp;RIGHT(INDIRECT(ADDRESS(ROW(H2269)-1, 'From Order'!$A2269)), 1), H2268))"),"")</f>
        <v/>
      </c>
      <c r="I2269" s="2" t="str">
        <f>IFERROR(__xludf.DUMMYFUNCTION("IF('From Order'!$A2269=COLUMNS($A2269:I2288), LEFT(INDEX(FILTER(I$1:I2268, I$1:I2268&lt;&gt;""""),COUNTA(FILTER(I$1:I2268, I$1:I2268&lt;&gt;""""))), LEN(INDEX(FILTER(I$1:I2268, I$1:I2268&lt;&gt;""""),COUNTA(FILTER(I$1:I2268, I$1:I2268&lt;&gt;""""))))-1), IF('To Order'!$A2269=COL"&amp;"UMNS($A2269:I2288), I2268&amp;RIGHT(INDIRECT(ADDRESS(ROW(I2269)-1, 'From Order'!$A2269)), 1), I2268))"),"DDDVQZDMTTGMJRRLPSSTMZHPRBVJBCBFLLWTHZSC")</f>
        <v>DDDVQZDMTTGMJRRLPSSTMZHPRBVJBCBFLLWTHZSC</v>
      </c>
    </row>
    <row r="2270">
      <c r="A2270" s="2" t="str">
        <f>IFERROR(__xludf.DUMMYFUNCTION("IF('From Order'!$A2270=COLUMNS($A2270:A2289), LEFT(INDEX(FILTER(A$1:A2269, A$1:A2269&lt;&gt;""""),COUNTA(FILTER(A$1:A2269, A$1:A2269&lt;&gt;""""))), LEN(INDEX(FILTER(A$1:A2269, A$1:A2269&lt;&gt;""""),COUNTA(FILTER(A$1:A2269, A$1:A2269&lt;&gt;""""))))-1), IF('To Order'!$A2270=COL"&amp;"UMNS($A2270:A2289), A2269&amp;RIGHT(INDIRECT(ADDRESS(ROW(A2270)-1, 'From Order'!$A2270)), 1), A2269))"),"DSPJ")</f>
        <v>DSPJ</v>
      </c>
      <c r="B2270" s="2" t="str">
        <f>IFERROR(__xludf.DUMMYFUNCTION("IF('From Order'!$A2270=COLUMNS($A2270:B2289), LEFT(INDEX(FILTER(B$1:B2269, B$1:B2269&lt;&gt;""""),COUNTA(FILTER(B$1:B2269, B$1:B2269&lt;&gt;""""))), LEN(INDEX(FILTER(B$1:B2269, B$1:B2269&lt;&gt;""""),COUNTA(FILTER(B$1:B2269, B$1:B2269&lt;&gt;""""))))-1), IF('To Order'!$A2270=COL"&amp;"UMNS($A2270:B2289), B2269&amp;RIGHT(INDIRECT(ADDRESS(ROW(B2270)-1, 'From Order'!$A2270)), 1), B2269))"),"")</f>
        <v/>
      </c>
      <c r="C2270" s="2" t="str">
        <f>IFERROR(__xludf.DUMMYFUNCTION("IF('From Order'!$A2270=COLUMNS($A2270:C2289), LEFT(INDEX(FILTER(C$1:C2269, C$1:C2269&lt;&gt;""""),COUNTA(FILTER(C$1:C2269, C$1:C2269&lt;&gt;""""))), LEN(INDEX(FILTER(C$1:C2269, C$1:C2269&lt;&gt;""""),COUNTA(FILTER(C$1:C2269, C$1:C2269&lt;&gt;""""))))-1), IF('To Order'!$A2270=COL"&amp;"UMNS($A2270:C2289), C2269&amp;RIGHT(INDIRECT(ADDRESS(ROW(C2270)-1, 'From Order'!$A2270)), 1), C2269))"),"VBWD")</f>
        <v>VBWD</v>
      </c>
      <c r="D2270" s="2" t="str">
        <f>IFERROR(__xludf.DUMMYFUNCTION("IF('From Order'!$A2270=COLUMNS($A2270:D2289), LEFT(INDEX(FILTER(D$1:D2269, D$1:D2269&lt;&gt;""""),COUNTA(FILTER(D$1:D2269, D$1:D2269&lt;&gt;""""))), LEN(INDEX(FILTER(D$1:D2269, D$1:D2269&lt;&gt;""""),COUNTA(FILTER(D$1:D2269, D$1:D2269&lt;&gt;""""))))-1), IF('To Order'!$A2270=COL"&amp;"UMNS($A2270:D2289), D2269&amp;RIGHT(INDIRECT(ADDRESS(ROW(D2270)-1, 'From Order'!$A2270)), 1), D2269))"),"RG")</f>
        <v>RG</v>
      </c>
      <c r="E2270" s="2" t="str">
        <f>IFERROR(__xludf.DUMMYFUNCTION("IF('From Order'!$A2270=COLUMNS($A2270:E2289), LEFT(INDEX(FILTER(E$1:E2269, E$1:E2269&lt;&gt;""""),COUNTA(FILTER(E$1:E2269, E$1:E2269&lt;&gt;""""))), LEN(INDEX(FILTER(E$1:E2269, E$1:E2269&lt;&gt;""""),COUNTA(FILTER(E$1:E2269, E$1:E2269&lt;&gt;""""))))-1), IF('To Order'!$A2270=COL"&amp;"UMNS($A2270:E2289), E2269&amp;RIGHT(INDIRECT(ADDRESS(ROW(E2270)-1, 'From Order'!$A2270)), 1), E2269))"),"FRQT")</f>
        <v>FRQT</v>
      </c>
      <c r="F2270" s="2" t="str">
        <f>IFERROR(__xludf.DUMMYFUNCTION("IF('From Order'!$A2270=COLUMNS($A2270:F2289), LEFT(INDEX(FILTER(F$1:F2269, F$1:F2269&lt;&gt;""""),COUNTA(FILTER(F$1:F2269, F$1:F2269&lt;&gt;""""))), LEN(INDEX(FILTER(F$1:F2269, F$1:F2269&lt;&gt;""""),COUNTA(FILTER(F$1:F2269, F$1:F2269&lt;&gt;""""))))-1), IF('To Order'!$A2270=COL"&amp;"UMNS($A2270:F2289), F2269&amp;RIGHT(INDIRECT(ADDRESS(ROW(F2270)-1, 'From Order'!$A2270)), 1), F2269))"),"C")</f>
        <v>C</v>
      </c>
      <c r="G2270" s="2" t="str">
        <f>IFERROR(__xludf.DUMMYFUNCTION("IF('From Order'!$A2270=COLUMNS($A2270:G2289), LEFT(INDEX(FILTER(G$1:G2269, G$1:G2269&lt;&gt;""""),COUNTA(FILTER(G$1:G2269, G$1:G2269&lt;&gt;""""))), LEN(INDEX(FILTER(G$1:G2269, G$1:G2269&lt;&gt;""""),COUNTA(FILTER(G$1:G2269, G$1:G2269&lt;&gt;""""))))-1), IF('To Order'!$A2270=COL"&amp;"UMNS($A2270:G2289), G2269&amp;RIGHT(INDIRECT(ADDRESS(ROW(G2270)-1, 'From Order'!$A2270)), 1), G2269))"),"")</f>
        <v/>
      </c>
      <c r="H2270" s="2" t="str">
        <f>IFERROR(__xludf.DUMMYFUNCTION("IF('From Order'!$A2270=COLUMNS($A2270:H2289), LEFT(INDEX(FILTER(H$1:H2269, H$1:H2269&lt;&gt;""""),COUNTA(FILTER(H$1:H2269, H$1:H2269&lt;&gt;""""))), LEN(INDEX(FILTER(H$1:H2269, H$1:H2269&lt;&gt;""""),COUNTA(FILTER(H$1:H2269, H$1:H2269&lt;&gt;""""))))-1), IF('To Order'!$A2270=COL"&amp;"UMNS($A2270:H2289), H2269&amp;RIGHT(INDIRECT(ADDRESS(ROW(H2270)-1, 'From Order'!$A2270)), 1), H2269))"),"")</f>
        <v/>
      </c>
      <c r="I2270" s="2" t="str">
        <f>IFERROR(__xludf.DUMMYFUNCTION("IF('From Order'!$A2270=COLUMNS($A2270:I2289), LEFT(INDEX(FILTER(I$1:I2269, I$1:I2269&lt;&gt;""""),COUNTA(FILTER(I$1:I2269, I$1:I2269&lt;&gt;""""))), LEN(INDEX(FILTER(I$1:I2269, I$1:I2269&lt;&gt;""""),COUNTA(FILTER(I$1:I2269, I$1:I2269&lt;&gt;""""))))-1), IF('To Order'!$A2270=COL"&amp;"UMNS($A2270:I2289), I2269&amp;RIGHT(INDIRECT(ADDRESS(ROW(I2270)-1, 'From Order'!$A2270)), 1), I2269))"),"DDDVQZDMTTGMJRRLPSSTMZHPRBVJBCBFLLWTHZSCT")</f>
        <v>DDDVQZDMTTGMJRRLPSSTMZHPRBVJBCBFLLWTHZSCT</v>
      </c>
    </row>
    <row r="2271">
      <c r="A2271" s="2" t="str">
        <f>IFERROR(__xludf.DUMMYFUNCTION("IF('From Order'!$A2271=COLUMNS($A2271:A2290), LEFT(INDEX(FILTER(A$1:A2270, A$1:A2270&lt;&gt;""""),COUNTA(FILTER(A$1:A2270, A$1:A2270&lt;&gt;""""))), LEN(INDEX(FILTER(A$1:A2270, A$1:A2270&lt;&gt;""""),COUNTA(FILTER(A$1:A2270, A$1:A2270&lt;&gt;""""))))-1), IF('To Order'!$A2271=COL"&amp;"UMNS($A2271:A2290), A2270&amp;RIGHT(INDIRECT(ADDRESS(ROW(A2271)-1, 'From Order'!$A2271)), 1), A2270))"),"DSPJ")</f>
        <v>DSPJ</v>
      </c>
      <c r="B2271" s="2" t="str">
        <f>IFERROR(__xludf.DUMMYFUNCTION("IF('From Order'!$A2271=COLUMNS($A2271:B2290), LEFT(INDEX(FILTER(B$1:B2270, B$1:B2270&lt;&gt;""""),COUNTA(FILTER(B$1:B2270, B$1:B2270&lt;&gt;""""))), LEN(INDEX(FILTER(B$1:B2270, B$1:B2270&lt;&gt;""""),COUNTA(FILTER(B$1:B2270, B$1:B2270&lt;&gt;""""))))-1), IF('To Order'!$A2271=COL"&amp;"UMNS($A2271:B2290), B2270&amp;RIGHT(INDIRECT(ADDRESS(ROW(B2271)-1, 'From Order'!$A2271)), 1), B2270))"),"")</f>
        <v/>
      </c>
      <c r="C2271" s="2" t="str">
        <f>IFERROR(__xludf.DUMMYFUNCTION("IF('From Order'!$A2271=COLUMNS($A2271:C2290), LEFT(INDEX(FILTER(C$1:C2270, C$1:C2270&lt;&gt;""""),COUNTA(FILTER(C$1:C2270, C$1:C2270&lt;&gt;""""))), LEN(INDEX(FILTER(C$1:C2270, C$1:C2270&lt;&gt;""""),COUNTA(FILTER(C$1:C2270, C$1:C2270&lt;&gt;""""))))-1), IF('To Order'!$A2271=COL"&amp;"UMNS($A2271:C2290), C2270&amp;RIGHT(INDIRECT(ADDRESS(ROW(C2271)-1, 'From Order'!$A2271)), 1), C2270))"),"VBWD")</f>
        <v>VBWD</v>
      </c>
      <c r="D2271" s="2" t="str">
        <f>IFERROR(__xludf.DUMMYFUNCTION("IF('From Order'!$A2271=COLUMNS($A2271:D2290), LEFT(INDEX(FILTER(D$1:D2270, D$1:D2270&lt;&gt;""""),COUNTA(FILTER(D$1:D2270, D$1:D2270&lt;&gt;""""))), LEN(INDEX(FILTER(D$1:D2270, D$1:D2270&lt;&gt;""""),COUNTA(FILTER(D$1:D2270, D$1:D2270&lt;&gt;""""))))-1), IF('To Order'!$A2271=COL"&amp;"UMNS($A2271:D2290), D2270&amp;RIGHT(INDIRECT(ADDRESS(ROW(D2271)-1, 'From Order'!$A2271)), 1), D2270))"),"RG")</f>
        <v>RG</v>
      </c>
      <c r="E2271" s="2" t="str">
        <f>IFERROR(__xludf.DUMMYFUNCTION("IF('From Order'!$A2271=COLUMNS($A2271:E2290), LEFT(INDEX(FILTER(E$1:E2270, E$1:E2270&lt;&gt;""""),COUNTA(FILTER(E$1:E2270, E$1:E2270&lt;&gt;""""))), LEN(INDEX(FILTER(E$1:E2270, E$1:E2270&lt;&gt;""""),COUNTA(FILTER(E$1:E2270, E$1:E2270&lt;&gt;""""))))-1), IF('To Order'!$A2271=COL"&amp;"UMNS($A2271:E2290), E2270&amp;RIGHT(INDIRECT(ADDRESS(ROW(E2271)-1, 'From Order'!$A2271)), 1), E2270))"),"FRQ")</f>
        <v>FRQ</v>
      </c>
      <c r="F2271" s="2" t="str">
        <f>IFERROR(__xludf.DUMMYFUNCTION("IF('From Order'!$A2271=COLUMNS($A2271:F2290), LEFT(INDEX(FILTER(F$1:F2270, F$1:F2270&lt;&gt;""""),COUNTA(FILTER(F$1:F2270, F$1:F2270&lt;&gt;""""))), LEN(INDEX(FILTER(F$1:F2270, F$1:F2270&lt;&gt;""""),COUNTA(FILTER(F$1:F2270, F$1:F2270&lt;&gt;""""))))-1), IF('To Order'!$A2271=COL"&amp;"UMNS($A2271:F2290), F2270&amp;RIGHT(INDIRECT(ADDRESS(ROW(F2271)-1, 'From Order'!$A2271)), 1), F2270))"),"C")</f>
        <v>C</v>
      </c>
      <c r="G2271" s="2" t="str">
        <f>IFERROR(__xludf.DUMMYFUNCTION("IF('From Order'!$A2271=COLUMNS($A2271:G2290), LEFT(INDEX(FILTER(G$1:G2270, G$1:G2270&lt;&gt;""""),COUNTA(FILTER(G$1:G2270, G$1:G2270&lt;&gt;""""))), LEN(INDEX(FILTER(G$1:G2270, G$1:G2270&lt;&gt;""""),COUNTA(FILTER(G$1:G2270, G$1:G2270&lt;&gt;""""))))-1), IF('To Order'!$A2271=COL"&amp;"UMNS($A2271:G2290), G2270&amp;RIGHT(INDIRECT(ADDRESS(ROW(G2271)-1, 'From Order'!$A2271)), 1), G2270))"),"")</f>
        <v/>
      </c>
      <c r="H2271" s="2" t="str">
        <f>IFERROR(__xludf.DUMMYFUNCTION("IF('From Order'!$A2271=COLUMNS($A2271:H2290), LEFT(INDEX(FILTER(H$1:H2270, H$1:H2270&lt;&gt;""""),COUNTA(FILTER(H$1:H2270, H$1:H2270&lt;&gt;""""))), LEN(INDEX(FILTER(H$1:H2270, H$1:H2270&lt;&gt;""""),COUNTA(FILTER(H$1:H2270, H$1:H2270&lt;&gt;""""))))-1), IF('To Order'!$A2271=COL"&amp;"UMNS($A2271:H2290), H2270&amp;RIGHT(INDIRECT(ADDRESS(ROW(H2271)-1, 'From Order'!$A2271)), 1), H2270))"),"")</f>
        <v/>
      </c>
      <c r="I2271" s="2" t="str">
        <f>IFERROR(__xludf.DUMMYFUNCTION("IF('From Order'!$A2271=COLUMNS($A2271:I2290), LEFT(INDEX(FILTER(I$1:I2270, I$1:I2270&lt;&gt;""""),COUNTA(FILTER(I$1:I2270, I$1:I2270&lt;&gt;""""))), LEN(INDEX(FILTER(I$1:I2270, I$1:I2270&lt;&gt;""""),COUNTA(FILTER(I$1:I2270, I$1:I2270&lt;&gt;""""))))-1), IF('To Order'!$A2271=COL"&amp;"UMNS($A2271:I2290), I2270&amp;RIGHT(INDIRECT(ADDRESS(ROW(I2271)-1, 'From Order'!$A2271)), 1), I2270))"),"DDDVQZDMTTGMJRRLPSSTMZHPRBVJBCBFLLWTHZSCTT")</f>
        <v>DDDVQZDMTTGMJRRLPSSTMZHPRBVJBCBFLLWTHZSCTT</v>
      </c>
    </row>
    <row r="2272">
      <c r="A2272" s="2" t="str">
        <f>IFERROR(__xludf.DUMMYFUNCTION("IF('From Order'!$A2272=COLUMNS($A2272:A2291), LEFT(INDEX(FILTER(A$1:A2271, A$1:A2271&lt;&gt;""""),COUNTA(FILTER(A$1:A2271, A$1:A2271&lt;&gt;""""))), LEN(INDEX(FILTER(A$1:A2271, A$1:A2271&lt;&gt;""""),COUNTA(FILTER(A$1:A2271, A$1:A2271&lt;&gt;""""))))-1), IF('To Order'!$A2272=COL"&amp;"UMNS($A2272:A2291), A2271&amp;RIGHT(INDIRECT(ADDRESS(ROW(A2272)-1, 'From Order'!$A2272)), 1), A2271))"),"DSPJ")</f>
        <v>DSPJ</v>
      </c>
      <c r="B2272" s="2" t="str">
        <f>IFERROR(__xludf.DUMMYFUNCTION("IF('From Order'!$A2272=COLUMNS($A2272:B2291), LEFT(INDEX(FILTER(B$1:B2271, B$1:B2271&lt;&gt;""""),COUNTA(FILTER(B$1:B2271, B$1:B2271&lt;&gt;""""))), LEN(INDEX(FILTER(B$1:B2271, B$1:B2271&lt;&gt;""""),COUNTA(FILTER(B$1:B2271, B$1:B2271&lt;&gt;""""))))-1), IF('To Order'!$A2272=COL"&amp;"UMNS($A2272:B2291), B2271&amp;RIGHT(INDIRECT(ADDRESS(ROW(B2272)-1, 'From Order'!$A2272)), 1), B2271))"),"")</f>
        <v/>
      </c>
      <c r="C2272" s="2" t="str">
        <f>IFERROR(__xludf.DUMMYFUNCTION("IF('From Order'!$A2272=COLUMNS($A2272:C2291), LEFT(INDEX(FILTER(C$1:C2271, C$1:C2271&lt;&gt;""""),COUNTA(FILTER(C$1:C2271, C$1:C2271&lt;&gt;""""))), LEN(INDEX(FILTER(C$1:C2271, C$1:C2271&lt;&gt;""""),COUNTA(FILTER(C$1:C2271, C$1:C2271&lt;&gt;""""))))-1), IF('To Order'!$A2272=COL"&amp;"UMNS($A2272:C2291), C2271&amp;RIGHT(INDIRECT(ADDRESS(ROW(C2272)-1, 'From Order'!$A2272)), 1), C2271))"),"VBWD")</f>
        <v>VBWD</v>
      </c>
      <c r="D2272" s="2" t="str">
        <f>IFERROR(__xludf.DUMMYFUNCTION("IF('From Order'!$A2272=COLUMNS($A2272:D2291), LEFT(INDEX(FILTER(D$1:D2271, D$1:D2271&lt;&gt;""""),COUNTA(FILTER(D$1:D2271, D$1:D2271&lt;&gt;""""))), LEN(INDEX(FILTER(D$1:D2271, D$1:D2271&lt;&gt;""""),COUNTA(FILTER(D$1:D2271, D$1:D2271&lt;&gt;""""))))-1), IF('To Order'!$A2272=COL"&amp;"UMNS($A2272:D2291), D2271&amp;RIGHT(INDIRECT(ADDRESS(ROW(D2272)-1, 'From Order'!$A2272)), 1), D2271))"),"RG")</f>
        <v>RG</v>
      </c>
      <c r="E2272" s="2" t="str">
        <f>IFERROR(__xludf.DUMMYFUNCTION("IF('From Order'!$A2272=COLUMNS($A2272:E2291), LEFT(INDEX(FILTER(E$1:E2271, E$1:E2271&lt;&gt;""""),COUNTA(FILTER(E$1:E2271, E$1:E2271&lt;&gt;""""))), LEN(INDEX(FILTER(E$1:E2271, E$1:E2271&lt;&gt;""""),COUNTA(FILTER(E$1:E2271, E$1:E2271&lt;&gt;""""))))-1), IF('To Order'!$A2272=COL"&amp;"UMNS($A2272:E2291), E2271&amp;RIGHT(INDIRECT(ADDRESS(ROW(E2272)-1, 'From Order'!$A2272)), 1), E2271))"),"FR")</f>
        <v>FR</v>
      </c>
      <c r="F2272" s="2" t="str">
        <f>IFERROR(__xludf.DUMMYFUNCTION("IF('From Order'!$A2272=COLUMNS($A2272:F2291), LEFT(INDEX(FILTER(F$1:F2271, F$1:F2271&lt;&gt;""""),COUNTA(FILTER(F$1:F2271, F$1:F2271&lt;&gt;""""))), LEN(INDEX(FILTER(F$1:F2271, F$1:F2271&lt;&gt;""""),COUNTA(FILTER(F$1:F2271, F$1:F2271&lt;&gt;""""))))-1), IF('To Order'!$A2272=COL"&amp;"UMNS($A2272:F2291), F2271&amp;RIGHT(INDIRECT(ADDRESS(ROW(F2272)-1, 'From Order'!$A2272)), 1), F2271))"),"C")</f>
        <v>C</v>
      </c>
      <c r="G2272" s="2" t="str">
        <f>IFERROR(__xludf.DUMMYFUNCTION("IF('From Order'!$A2272=COLUMNS($A2272:G2291), LEFT(INDEX(FILTER(G$1:G2271, G$1:G2271&lt;&gt;""""),COUNTA(FILTER(G$1:G2271, G$1:G2271&lt;&gt;""""))), LEN(INDEX(FILTER(G$1:G2271, G$1:G2271&lt;&gt;""""),COUNTA(FILTER(G$1:G2271, G$1:G2271&lt;&gt;""""))))-1), IF('To Order'!$A2272=COL"&amp;"UMNS($A2272:G2291), G2271&amp;RIGHT(INDIRECT(ADDRESS(ROW(G2272)-1, 'From Order'!$A2272)), 1), G2271))"),"")</f>
        <v/>
      </c>
      <c r="H2272" s="2" t="str">
        <f>IFERROR(__xludf.DUMMYFUNCTION("IF('From Order'!$A2272=COLUMNS($A2272:H2291), LEFT(INDEX(FILTER(H$1:H2271, H$1:H2271&lt;&gt;""""),COUNTA(FILTER(H$1:H2271, H$1:H2271&lt;&gt;""""))), LEN(INDEX(FILTER(H$1:H2271, H$1:H2271&lt;&gt;""""),COUNTA(FILTER(H$1:H2271, H$1:H2271&lt;&gt;""""))))-1), IF('To Order'!$A2272=COL"&amp;"UMNS($A2272:H2291), H2271&amp;RIGHT(INDIRECT(ADDRESS(ROW(H2272)-1, 'From Order'!$A2272)), 1), H2271))"),"")</f>
        <v/>
      </c>
      <c r="I2272" s="2" t="str">
        <f>IFERROR(__xludf.DUMMYFUNCTION("IF('From Order'!$A2272=COLUMNS($A2272:I2291), LEFT(INDEX(FILTER(I$1:I2271, I$1:I2271&lt;&gt;""""),COUNTA(FILTER(I$1:I2271, I$1:I2271&lt;&gt;""""))), LEN(INDEX(FILTER(I$1:I2271, I$1:I2271&lt;&gt;""""),COUNTA(FILTER(I$1:I2271, I$1:I2271&lt;&gt;""""))))-1), IF('To Order'!$A2272=COL"&amp;"UMNS($A2272:I2291), I2271&amp;RIGHT(INDIRECT(ADDRESS(ROW(I2272)-1, 'From Order'!$A2272)), 1), I2271))"),"DDDVQZDMTTGMJRRLPSSTMZHPRBVJBCBFLLWTHZSCTTQ")</f>
        <v>DDDVQZDMTTGMJRRLPSSTMZHPRBVJBCBFLLWTHZSCTTQ</v>
      </c>
    </row>
    <row r="2273">
      <c r="A2273" s="2" t="str">
        <f>IFERROR(__xludf.DUMMYFUNCTION("IF('From Order'!$A2273=COLUMNS($A2273:A2292), LEFT(INDEX(FILTER(A$1:A2272, A$1:A2272&lt;&gt;""""),COUNTA(FILTER(A$1:A2272, A$1:A2272&lt;&gt;""""))), LEN(INDEX(FILTER(A$1:A2272, A$1:A2272&lt;&gt;""""),COUNTA(FILTER(A$1:A2272, A$1:A2272&lt;&gt;""""))))-1), IF('To Order'!$A2273=COL"&amp;"UMNS($A2273:A2292), A2272&amp;RIGHT(INDIRECT(ADDRESS(ROW(A2273)-1, 'From Order'!$A2273)), 1), A2272))"),"DSPJ")</f>
        <v>DSPJ</v>
      </c>
      <c r="B2273" s="2" t="str">
        <f>IFERROR(__xludf.DUMMYFUNCTION("IF('From Order'!$A2273=COLUMNS($A2273:B2292), LEFT(INDEX(FILTER(B$1:B2272, B$1:B2272&lt;&gt;""""),COUNTA(FILTER(B$1:B2272, B$1:B2272&lt;&gt;""""))), LEN(INDEX(FILTER(B$1:B2272, B$1:B2272&lt;&gt;""""),COUNTA(FILTER(B$1:B2272, B$1:B2272&lt;&gt;""""))))-1), IF('To Order'!$A2273=COL"&amp;"UMNS($A2273:B2292), B2272&amp;RIGHT(INDIRECT(ADDRESS(ROW(B2273)-1, 'From Order'!$A2273)), 1), B2272))"),"")</f>
        <v/>
      </c>
      <c r="C2273" s="2" t="str">
        <f>IFERROR(__xludf.DUMMYFUNCTION("IF('From Order'!$A2273=COLUMNS($A2273:C2292), LEFT(INDEX(FILTER(C$1:C2272, C$1:C2272&lt;&gt;""""),COUNTA(FILTER(C$1:C2272, C$1:C2272&lt;&gt;""""))), LEN(INDEX(FILTER(C$1:C2272, C$1:C2272&lt;&gt;""""),COUNTA(FILTER(C$1:C2272, C$1:C2272&lt;&gt;""""))))-1), IF('To Order'!$A2273=COL"&amp;"UMNS($A2273:C2292), C2272&amp;RIGHT(INDIRECT(ADDRESS(ROW(C2273)-1, 'From Order'!$A2273)), 1), C2272))"),"VBWD")</f>
        <v>VBWD</v>
      </c>
      <c r="D2273" s="2" t="str">
        <f>IFERROR(__xludf.DUMMYFUNCTION("IF('From Order'!$A2273=COLUMNS($A2273:D2292), LEFT(INDEX(FILTER(D$1:D2272, D$1:D2272&lt;&gt;""""),COUNTA(FILTER(D$1:D2272, D$1:D2272&lt;&gt;""""))), LEN(INDEX(FILTER(D$1:D2272, D$1:D2272&lt;&gt;""""),COUNTA(FILTER(D$1:D2272, D$1:D2272&lt;&gt;""""))))-1), IF('To Order'!$A2273=COL"&amp;"UMNS($A2273:D2292), D2272&amp;RIGHT(INDIRECT(ADDRESS(ROW(D2273)-1, 'From Order'!$A2273)), 1), D2272))"),"RG")</f>
        <v>RG</v>
      </c>
      <c r="E2273" s="2" t="str">
        <f>IFERROR(__xludf.DUMMYFUNCTION("IF('From Order'!$A2273=COLUMNS($A2273:E2292), LEFT(INDEX(FILTER(E$1:E2272, E$1:E2272&lt;&gt;""""),COUNTA(FILTER(E$1:E2272, E$1:E2272&lt;&gt;""""))), LEN(INDEX(FILTER(E$1:E2272, E$1:E2272&lt;&gt;""""),COUNTA(FILTER(E$1:E2272, E$1:E2272&lt;&gt;""""))))-1), IF('To Order'!$A2273=COL"&amp;"UMNS($A2273:E2292), E2272&amp;RIGHT(INDIRECT(ADDRESS(ROW(E2273)-1, 'From Order'!$A2273)), 1), E2272))"),"F")</f>
        <v>F</v>
      </c>
      <c r="F2273" s="2" t="str">
        <f>IFERROR(__xludf.DUMMYFUNCTION("IF('From Order'!$A2273=COLUMNS($A2273:F2292), LEFT(INDEX(FILTER(F$1:F2272, F$1:F2272&lt;&gt;""""),COUNTA(FILTER(F$1:F2272, F$1:F2272&lt;&gt;""""))), LEN(INDEX(FILTER(F$1:F2272, F$1:F2272&lt;&gt;""""),COUNTA(FILTER(F$1:F2272, F$1:F2272&lt;&gt;""""))))-1), IF('To Order'!$A2273=COL"&amp;"UMNS($A2273:F2292), F2272&amp;RIGHT(INDIRECT(ADDRESS(ROW(F2273)-1, 'From Order'!$A2273)), 1), F2272))"),"C")</f>
        <v>C</v>
      </c>
      <c r="G2273" s="2" t="str">
        <f>IFERROR(__xludf.DUMMYFUNCTION("IF('From Order'!$A2273=COLUMNS($A2273:G2292), LEFT(INDEX(FILTER(G$1:G2272, G$1:G2272&lt;&gt;""""),COUNTA(FILTER(G$1:G2272, G$1:G2272&lt;&gt;""""))), LEN(INDEX(FILTER(G$1:G2272, G$1:G2272&lt;&gt;""""),COUNTA(FILTER(G$1:G2272, G$1:G2272&lt;&gt;""""))))-1), IF('To Order'!$A2273=COL"&amp;"UMNS($A2273:G2292), G2272&amp;RIGHT(INDIRECT(ADDRESS(ROW(G2273)-1, 'From Order'!$A2273)), 1), G2272))"),"")</f>
        <v/>
      </c>
      <c r="H2273" s="2" t="str">
        <f>IFERROR(__xludf.DUMMYFUNCTION("IF('From Order'!$A2273=COLUMNS($A2273:H2292), LEFT(INDEX(FILTER(H$1:H2272, H$1:H2272&lt;&gt;""""),COUNTA(FILTER(H$1:H2272, H$1:H2272&lt;&gt;""""))), LEN(INDEX(FILTER(H$1:H2272, H$1:H2272&lt;&gt;""""),COUNTA(FILTER(H$1:H2272, H$1:H2272&lt;&gt;""""))))-1), IF('To Order'!$A2273=COL"&amp;"UMNS($A2273:H2292), H2272&amp;RIGHT(INDIRECT(ADDRESS(ROW(H2273)-1, 'From Order'!$A2273)), 1), H2272))"),"")</f>
        <v/>
      </c>
      <c r="I2273" s="2" t="str">
        <f>IFERROR(__xludf.DUMMYFUNCTION("IF('From Order'!$A2273=COLUMNS($A2273:I2292), LEFT(INDEX(FILTER(I$1:I2272, I$1:I2272&lt;&gt;""""),COUNTA(FILTER(I$1:I2272, I$1:I2272&lt;&gt;""""))), LEN(INDEX(FILTER(I$1:I2272, I$1:I2272&lt;&gt;""""),COUNTA(FILTER(I$1:I2272, I$1:I2272&lt;&gt;""""))))-1), IF('To Order'!$A2273=COL"&amp;"UMNS($A2273:I2292), I2272&amp;RIGHT(INDIRECT(ADDRESS(ROW(I2273)-1, 'From Order'!$A2273)), 1), I2272))"),"DDDVQZDMTTGMJRRLPSSTMZHPRBVJBCBFLLWTHZSCTTQR")</f>
        <v>DDDVQZDMTTGMJRRLPSSTMZHPRBVJBCBFLLWTHZSCTTQR</v>
      </c>
    </row>
    <row r="2274">
      <c r="A2274" s="2" t="str">
        <f>IFERROR(__xludf.DUMMYFUNCTION("IF('From Order'!$A2274=COLUMNS($A2274:A2293), LEFT(INDEX(FILTER(A$1:A2273, A$1:A2273&lt;&gt;""""),COUNTA(FILTER(A$1:A2273, A$1:A2273&lt;&gt;""""))), LEN(INDEX(FILTER(A$1:A2273, A$1:A2273&lt;&gt;""""),COUNTA(FILTER(A$1:A2273, A$1:A2273&lt;&gt;""""))))-1), IF('To Order'!$A2274=COL"&amp;"UMNS($A2274:A2293), A2273&amp;RIGHT(INDIRECT(ADDRESS(ROW(A2274)-1, 'From Order'!$A2274)), 1), A2273))"),"DSP")</f>
        <v>DSP</v>
      </c>
      <c r="B2274" s="2" t="str">
        <f>IFERROR(__xludf.DUMMYFUNCTION("IF('From Order'!$A2274=COLUMNS($A2274:B2293), LEFT(INDEX(FILTER(B$1:B2273, B$1:B2273&lt;&gt;""""),COUNTA(FILTER(B$1:B2273, B$1:B2273&lt;&gt;""""))), LEN(INDEX(FILTER(B$1:B2273, B$1:B2273&lt;&gt;""""),COUNTA(FILTER(B$1:B2273, B$1:B2273&lt;&gt;""""))))-1), IF('To Order'!$A2274=COL"&amp;"UMNS($A2274:B2293), B2273&amp;RIGHT(INDIRECT(ADDRESS(ROW(B2274)-1, 'From Order'!$A2274)), 1), B2273))"),"")</f>
        <v/>
      </c>
      <c r="C2274" s="2" t="str">
        <f>IFERROR(__xludf.DUMMYFUNCTION("IF('From Order'!$A2274=COLUMNS($A2274:C2293), LEFT(INDEX(FILTER(C$1:C2273, C$1:C2273&lt;&gt;""""),COUNTA(FILTER(C$1:C2273, C$1:C2273&lt;&gt;""""))), LEN(INDEX(FILTER(C$1:C2273, C$1:C2273&lt;&gt;""""),COUNTA(FILTER(C$1:C2273, C$1:C2273&lt;&gt;""""))))-1), IF('To Order'!$A2274=COL"&amp;"UMNS($A2274:C2293), C2273&amp;RIGHT(INDIRECT(ADDRESS(ROW(C2274)-1, 'From Order'!$A2274)), 1), C2273))"),"VBWDJ")</f>
        <v>VBWDJ</v>
      </c>
      <c r="D2274" s="2" t="str">
        <f>IFERROR(__xludf.DUMMYFUNCTION("IF('From Order'!$A2274=COLUMNS($A2274:D2293), LEFT(INDEX(FILTER(D$1:D2273, D$1:D2273&lt;&gt;""""),COUNTA(FILTER(D$1:D2273, D$1:D2273&lt;&gt;""""))), LEN(INDEX(FILTER(D$1:D2273, D$1:D2273&lt;&gt;""""),COUNTA(FILTER(D$1:D2273, D$1:D2273&lt;&gt;""""))))-1), IF('To Order'!$A2274=COL"&amp;"UMNS($A2274:D2293), D2273&amp;RIGHT(INDIRECT(ADDRESS(ROW(D2274)-1, 'From Order'!$A2274)), 1), D2273))"),"RG")</f>
        <v>RG</v>
      </c>
      <c r="E2274" s="2" t="str">
        <f>IFERROR(__xludf.DUMMYFUNCTION("IF('From Order'!$A2274=COLUMNS($A2274:E2293), LEFT(INDEX(FILTER(E$1:E2273, E$1:E2273&lt;&gt;""""),COUNTA(FILTER(E$1:E2273, E$1:E2273&lt;&gt;""""))), LEN(INDEX(FILTER(E$1:E2273, E$1:E2273&lt;&gt;""""),COUNTA(FILTER(E$1:E2273, E$1:E2273&lt;&gt;""""))))-1), IF('To Order'!$A2274=COL"&amp;"UMNS($A2274:E2293), E2273&amp;RIGHT(INDIRECT(ADDRESS(ROW(E2274)-1, 'From Order'!$A2274)), 1), E2273))"),"F")</f>
        <v>F</v>
      </c>
      <c r="F2274" s="2" t="str">
        <f>IFERROR(__xludf.DUMMYFUNCTION("IF('From Order'!$A2274=COLUMNS($A2274:F2293), LEFT(INDEX(FILTER(F$1:F2273, F$1:F2273&lt;&gt;""""),COUNTA(FILTER(F$1:F2273, F$1:F2273&lt;&gt;""""))), LEN(INDEX(FILTER(F$1:F2273, F$1:F2273&lt;&gt;""""),COUNTA(FILTER(F$1:F2273, F$1:F2273&lt;&gt;""""))))-1), IF('To Order'!$A2274=COL"&amp;"UMNS($A2274:F2293), F2273&amp;RIGHT(INDIRECT(ADDRESS(ROW(F2274)-1, 'From Order'!$A2274)), 1), F2273))"),"C")</f>
        <v>C</v>
      </c>
      <c r="G2274" s="2" t="str">
        <f>IFERROR(__xludf.DUMMYFUNCTION("IF('From Order'!$A2274=COLUMNS($A2274:G2293), LEFT(INDEX(FILTER(G$1:G2273, G$1:G2273&lt;&gt;""""),COUNTA(FILTER(G$1:G2273, G$1:G2273&lt;&gt;""""))), LEN(INDEX(FILTER(G$1:G2273, G$1:G2273&lt;&gt;""""),COUNTA(FILTER(G$1:G2273, G$1:G2273&lt;&gt;""""))))-1), IF('To Order'!$A2274=COL"&amp;"UMNS($A2274:G2293), G2273&amp;RIGHT(INDIRECT(ADDRESS(ROW(G2274)-1, 'From Order'!$A2274)), 1), G2273))"),"")</f>
        <v/>
      </c>
      <c r="H2274" s="2" t="str">
        <f>IFERROR(__xludf.DUMMYFUNCTION("IF('From Order'!$A2274=COLUMNS($A2274:H2293), LEFT(INDEX(FILTER(H$1:H2273, H$1:H2273&lt;&gt;""""),COUNTA(FILTER(H$1:H2273, H$1:H2273&lt;&gt;""""))), LEN(INDEX(FILTER(H$1:H2273, H$1:H2273&lt;&gt;""""),COUNTA(FILTER(H$1:H2273, H$1:H2273&lt;&gt;""""))))-1), IF('To Order'!$A2274=COL"&amp;"UMNS($A2274:H2293), H2273&amp;RIGHT(INDIRECT(ADDRESS(ROW(H2274)-1, 'From Order'!$A2274)), 1), H2273))"),"")</f>
        <v/>
      </c>
      <c r="I2274" s="2" t="str">
        <f>IFERROR(__xludf.DUMMYFUNCTION("IF('From Order'!$A2274=COLUMNS($A2274:I2293), LEFT(INDEX(FILTER(I$1:I2273, I$1:I2273&lt;&gt;""""),COUNTA(FILTER(I$1:I2273, I$1:I2273&lt;&gt;""""))), LEN(INDEX(FILTER(I$1:I2273, I$1:I2273&lt;&gt;""""),COUNTA(FILTER(I$1:I2273, I$1:I2273&lt;&gt;""""))))-1), IF('To Order'!$A2274=COL"&amp;"UMNS($A2274:I2293), I2273&amp;RIGHT(INDIRECT(ADDRESS(ROW(I2274)-1, 'From Order'!$A2274)), 1), I2273))"),"DDDVQZDMTTGMJRRLPSSTMZHPRBVJBCBFLLWTHZSCTTQR")</f>
        <v>DDDVQZDMTTGMJRRLPSSTMZHPRBVJBCBFLLWTHZSCTTQR</v>
      </c>
    </row>
    <row r="2275">
      <c r="A2275" s="2" t="str">
        <f>IFERROR(__xludf.DUMMYFUNCTION("IF('From Order'!$A2275=COLUMNS($A2275:A2294), LEFT(INDEX(FILTER(A$1:A2274, A$1:A2274&lt;&gt;""""),COUNTA(FILTER(A$1:A2274, A$1:A2274&lt;&gt;""""))), LEN(INDEX(FILTER(A$1:A2274, A$1:A2274&lt;&gt;""""),COUNTA(FILTER(A$1:A2274, A$1:A2274&lt;&gt;""""))))-1), IF('To Order'!$A2275=COL"&amp;"UMNS($A2275:A2294), A2274&amp;RIGHT(INDIRECT(ADDRESS(ROW(A2275)-1, 'From Order'!$A2275)), 1), A2274))"),"DS")</f>
        <v>DS</v>
      </c>
      <c r="B2275" s="2" t="str">
        <f>IFERROR(__xludf.DUMMYFUNCTION("IF('From Order'!$A2275=COLUMNS($A2275:B2294), LEFT(INDEX(FILTER(B$1:B2274, B$1:B2274&lt;&gt;""""),COUNTA(FILTER(B$1:B2274, B$1:B2274&lt;&gt;""""))), LEN(INDEX(FILTER(B$1:B2274, B$1:B2274&lt;&gt;""""),COUNTA(FILTER(B$1:B2274, B$1:B2274&lt;&gt;""""))))-1), IF('To Order'!$A2275=COL"&amp;"UMNS($A2275:B2294), B2274&amp;RIGHT(INDIRECT(ADDRESS(ROW(B2275)-1, 'From Order'!$A2275)), 1), B2274))"),"")</f>
        <v/>
      </c>
      <c r="C2275" s="2" t="str">
        <f>IFERROR(__xludf.DUMMYFUNCTION("IF('From Order'!$A2275=COLUMNS($A2275:C2294), LEFT(INDEX(FILTER(C$1:C2274, C$1:C2274&lt;&gt;""""),COUNTA(FILTER(C$1:C2274, C$1:C2274&lt;&gt;""""))), LEN(INDEX(FILTER(C$1:C2274, C$1:C2274&lt;&gt;""""),COUNTA(FILTER(C$1:C2274, C$1:C2274&lt;&gt;""""))))-1), IF('To Order'!$A2275=COL"&amp;"UMNS($A2275:C2294), C2274&amp;RIGHT(INDIRECT(ADDRESS(ROW(C2275)-1, 'From Order'!$A2275)), 1), C2274))"),"VBWDJP")</f>
        <v>VBWDJP</v>
      </c>
      <c r="D2275" s="2" t="str">
        <f>IFERROR(__xludf.DUMMYFUNCTION("IF('From Order'!$A2275=COLUMNS($A2275:D2294), LEFT(INDEX(FILTER(D$1:D2274, D$1:D2274&lt;&gt;""""),COUNTA(FILTER(D$1:D2274, D$1:D2274&lt;&gt;""""))), LEN(INDEX(FILTER(D$1:D2274, D$1:D2274&lt;&gt;""""),COUNTA(FILTER(D$1:D2274, D$1:D2274&lt;&gt;""""))))-1), IF('To Order'!$A2275=COL"&amp;"UMNS($A2275:D2294), D2274&amp;RIGHT(INDIRECT(ADDRESS(ROW(D2275)-1, 'From Order'!$A2275)), 1), D2274))"),"RG")</f>
        <v>RG</v>
      </c>
      <c r="E2275" s="2" t="str">
        <f>IFERROR(__xludf.DUMMYFUNCTION("IF('From Order'!$A2275=COLUMNS($A2275:E2294), LEFT(INDEX(FILTER(E$1:E2274, E$1:E2274&lt;&gt;""""),COUNTA(FILTER(E$1:E2274, E$1:E2274&lt;&gt;""""))), LEN(INDEX(FILTER(E$1:E2274, E$1:E2274&lt;&gt;""""),COUNTA(FILTER(E$1:E2274, E$1:E2274&lt;&gt;""""))))-1), IF('To Order'!$A2275=COL"&amp;"UMNS($A2275:E2294), E2274&amp;RIGHT(INDIRECT(ADDRESS(ROW(E2275)-1, 'From Order'!$A2275)), 1), E2274))"),"F")</f>
        <v>F</v>
      </c>
      <c r="F2275" s="2" t="str">
        <f>IFERROR(__xludf.DUMMYFUNCTION("IF('From Order'!$A2275=COLUMNS($A2275:F2294), LEFT(INDEX(FILTER(F$1:F2274, F$1:F2274&lt;&gt;""""),COUNTA(FILTER(F$1:F2274, F$1:F2274&lt;&gt;""""))), LEN(INDEX(FILTER(F$1:F2274, F$1:F2274&lt;&gt;""""),COUNTA(FILTER(F$1:F2274, F$1:F2274&lt;&gt;""""))))-1), IF('To Order'!$A2275=COL"&amp;"UMNS($A2275:F2294), F2274&amp;RIGHT(INDIRECT(ADDRESS(ROW(F2275)-1, 'From Order'!$A2275)), 1), F2274))"),"C")</f>
        <v>C</v>
      </c>
      <c r="G2275" s="2" t="str">
        <f>IFERROR(__xludf.DUMMYFUNCTION("IF('From Order'!$A2275=COLUMNS($A2275:G2294), LEFT(INDEX(FILTER(G$1:G2274, G$1:G2274&lt;&gt;""""),COUNTA(FILTER(G$1:G2274, G$1:G2274&lt;&gt;""""))), LEN(INDEX(FILTER(G$1:G2274, G$1:G2274&lt;&gt;""""),COUNTA(FILTER(G$1:G2274, G$1:G2274&lt;&gt;""""))))-1), IF('To Order'!$A2275=COL"&amp;"UMNS($A2275:G2294), G2274&amp;RIGHT(INDIRECT(ADDRESS(ROW(G2275)-1, 'From Order'!$A2275)), 1), G2274))"),"")</f>
        <v/>
      </c>
      <c r="H2275" s="2" t="str">
        <f>IFERROR(__xludf.DUMMYFUNCTION("IF('From Order'!$A2275=COLUMNS($A2275:H2294), LEFT(INDEX(FILTER(H$1:H2274, H$1:H2274&lt;&gt;""""),COUNTA(FILTER(H$1:H2274, H$1:H2274&lt;&gt;""""))), LEN(INDEX(FILTER(H$1:H2274, H$1:H2274&lt;&gt;""""),COUNTA(FILTER(H$1:H2274, H$1:H2274&lt;&gt;""""))))-1), IF('To Order'!$A2275=COL"&amp;"UMNS($A2275:H2294), H2274&amp;RIGHT(INDIRECT(ADDRESS(ROW(H2275)-1, 'From Order'!$A2275)), 1), H2274))"),"")</f>
        <v/>
      </c>
      <c r="I2275" s="2" t="str">
        <f>IFERROR(__xludf.DUMMYFUNCTION("IF('From Order'!$A2275=COLUMNS($A2275:I2294), LEFT(INDEX(FILTER(I$1:I2274, I$1:I2274&lt;&gt;""""),COUNTA(FILTER(I$1:I2274, I$1:I2274&lt;&gt;""""))), LEN(INDEX(FILTER(I$1:I2274, I$1:I2274&lt;&gt;""""),COUNTA(FILTER(I$1:I2274, I$1:I2274&lt;&gt;""""))))-1), IF('To Order'!$A2275=COL"&amp;"UMNS($A2275:I2294), I2274&amp;RIGHT(INDIRECT(ADDRESS(ROW(I2275)-1, 'From Order'!$A2275)), 1), I2274))"),"DDDVQZDMTTGMJRRLPSSTMZHPRBVJBCBFLLWTHZSCTTQR")</f>
        <v>DDDVQZDMTTGMJRRLPSSTMZHPRBVJBCBFLLWTHZSCTTQR</v>
      </c>
    </row>
    <row r="2276">
      <c r="A2276" s="2" t="str">
        <f>IFERROR(__xludf.DUMMYFUNCTION("IF('From Order'!$A2276=COLUMNS($A2276:A2295), LEFT(INDEX(FILTER(A$1:A2275, A$1:A2275&lt;&gt;""""),COUNTA(FILTER(A$1:A2275, A$1:A2275&lt;&gt;""""))), LEN(INDEX(FILTER(A$1:A2275, A$1:A2275&lt;&gt;""""),COUNTA(FILTER(A$1:A2275, A$1:A2275&lt;&gt;""""))))-1), IF('To Order'!$A2276=COL"&amp;"UMNS($A2276:A2295), A2275&amp;RIGHT(INDIRECT(ADDRESS(ROW(A2276)-1, 'From Order'!$A2276)), 1), A2275))"),"D")</f>
        <v>D</v>
      </c>
      <c r="B2276" s="2" t="str">
        <f>IFERROR(__xludf.DUMMYFUNCTION("IF('From Order'!$A2276=COLUMNS($A2276:B2295), LEFT(INDEX(FILTER(B$1:B2275, B$1:B2275&lt;&gt;""""),COUNTA(FILTER(B$1:B2275, B$1:B2275&lt;&gt;""""))), LEN(INDEX(FILTER(B$1:B2275, B$1:B2275&lt;&gt;""""),COUNTA(FILTER(B$1:B2275, B$1:B2275&lt;&gt;""""))))-1), IF('To Order'!$A2276=COL"&amp;"UMNS($A2276:B2295), B2275&amp;RIGHT(INDIRECT(ADDRESS(ROW(B2276)-1, 'From Order'!$A2276)), 1), B2275))"),"")</f>
        <v/>
      </c>
      <c r="C2276" s="2" t="str">
        <f>IFERROR(__xludf.DUMMYFUNCTION("IF('From Order'!$A2276=COLUMNS($A2276:C2295), LEFT(INDEX(FILTER(C$1:C2275, C$1:C2275&lt;&gt;""""),COUNTA(FILTER(C$1:C2275, C$1:C2275&lt;&gt;""""))), LEN(INDEX(FILTER(C$1:C2275, C$1:C2275&lt;&gt;""""),COUNTA(FILTER(C$1:C2275, C$1:C2275&lt;&gt;""""))))-1), IF('To Order'!$A2276=COL"&amp;"UMNS($A2276:C2295), C2275&amp;RIGHT(INDIRECT(ADDRESS(ROW(C2276)-1, 'From Order'!$A2276)), 1), C2275))"),"VBWDJPS")</f>
        <v>VBWDJPS</v>
      </c>
      <c r="D2276" s="2" t="str">
        <f>IFERROR(__xludf.DUMMYFUNCTION("IF('From Order'!$A2276=COLUMNS($A2276:D2295), LEFT(INDEX(FILTER(D$1:D2275, D$1:D2275&lt;&gt;""""),COUNTA(FILTER(D$1:D2275, D$1:D2275&lt;&gt;""""))), LEN(INDEX(FILTER(D$1:D2275, D$1:D2275&lt;&gt;""""),COUNTA(FILTER(D$1:D2275, D$1:D2275&lt;&gt;""""))))-1), IF('To Order'!$A2276=COL"&amp;"UMNS($A2276:D2295), D2275&amp;RIGHT(INDIRECT(ADDRESS(ROW(D2276)-1, 'From Order'!$A2276)), 1), D2275))"),"RG")</f>
        <v>RG</v>
      </c>
      <c r="E2276" s="2" t="str">
        <f>IFERROR(__xludf.DUMMYFUNCTION("IF('From Order'!$A2276=COLUMNS($A2276:E2295), LEFT(INDEX(FILTER(E$1:E2275, E$1:E2275&lt;&gt;""""),COUNTA(FILTER(E$1:E2275, E$1:E2275&lt;&gt;""""))), LEN(INDEX(FILTER(E$1:E2275, E$1:E2275&lt;&gt;""""),COUNTA(FILTER(E$1:E2275, E$1:E2275&lt;&gt;""""))))-1), IF('To Order'!$A2276=COL"&amp;"UMNS($A2276:E2295), E2275&amp;RIGHT(INDIRECT(ADDRESS(ROW(E2276)-1, 'From Order'!$A2276)), 1), E2275))"),"F")</f>
        <v>F</v>
      </c>
      <c r="F2276" s="2" t="str">
        <f>IFERROR(__xludf.DUMMYFUNCTION("IF('From Order'!$A2276=COLUMNS($A2276:F2295), LEFT(INDEX(FILTER(F$1:F2275, F$1:F2275&lt;&gt;""""),COUNTA(FILTER(F$1:F2275, F$1:F2275&lt;&gt;""""))), LEN(INDEX(FILTER(F$1:F2275, F$1:F2275&lt;&gt;""""),COUNTA(FILTER(F$1:F2275, F$1:F2275&lt;&gt;""""))))-1), IF('To Order'!$A2276=COL"&amp;"UMNS($A2276:F2295), F2275&amp;RIGHT(INDIRECT(ADDRESS(ROW(F2276)-1, 'From Order'!$A2276)), 1), F2275))"),"C")</f>
        <v>C</v>
      </c>
      <c r="G2276" s="2" t="str">
        <f>IFERROR(__xludf.DUMMYFUNCTION("IF('From Order'!$A2276=COLUMNS($A2276:G2295), LEFT(INDEX(FILTER(G$1:G2275, G$1:G2275&lt;&gt;""""),COUNTA(FILTER(G$1:G2275, G$1:G2275&lt;&gt;""""))), LEN(INDEX(FILTER(G$1:G2275, G$1:G2275&lt;&gt;""""),COUNTA(FILTER(G$1:G2275, G$1:G2275&lt;&gt;""""))))-1), IF('To Order'!$A2276=COL"&amp;"UMNS($A2276:G2295), G2275&amp;RIGHT(INDIRECT(ADDRESS(ROW(G2276)-1, 'From Order'!$A2276)), 1), G2275))"),"")</f>
        <v/>
      </c>
      <c r="H2276" s="2" t="str">
        <f>IFERROR(__xludf.DUMMYFUNCTION("IF('From Order'!$A2276=COLUMNS($A2276:H2295), LEFT(INDEX(FILTER(H$1:H2275, H$1:H2275&lt;&gt;""""),COUNTA(FILTER(H$1:H2275, H$1:H2275&lt;&gt;""""))), LEN(INDEX(FILTER(H$1:H2275, H$1:H2275&lt;&gt;""""),COUNTA(FILTER(H$1:H2275, H$1:H2275&lt;&gt;""""))))-1), IF('To Order'!$A2276=COL"&amp;"UMNS($A2276:H2295), H2275&amp;RIGHT(INDIRECT(ADDRESS(ROW(H2276)-1, 'From Order'!$A2276)), 1), H2275))"),"")</f>
        <v/>
      </c>
      <c r="I2276" s="2" t="str">
        <f>IFERROR(__xludf.DUMMYFUNCTION("IF('From Order'!$A2276=COLUMNS($A2276:I2295), LEFT(INDEX(FILTER(I$1:I2275, I$1:I2275&lt;&gt;""""),COUNTA(FILTER(I$1:I2275, I$1:I2275&lt;&gt;""""))), LEN(INDEX(FILTER(I$1:I2275, I$1:I2275&lt;&gt;""""),COUNTA(FILTER(I$1:I2275, I$1:I2275&lt;&gt;""""))))-1), IF('To Order'!$A2276=COL"&amp;"UMNS($A2276:I2295), I2275&amp;RIGHT(INDIRECT(ADDRESS(ROW(I2276)-1, 'From Order'!$A2276)), 1), I2275))"),"DDDVQZDMTTGMJRRLPSSTMZHPRBVJBCBFLLWTHZSCTTQR")</f>
        <v>DDDVQZDMTTGMJRRLPSSTMZHPRBVJBCBFLLWTHZSCTTQR</v>
      </c>
    </row>
    <row r="2277">
      <c r="A2277" s="2" t="str">
        <f>IFERROR(__xludf.DUMMYFUNCTION("IF('From Order'!$A2277=COLUMNS($A2277:A2296), LEFT(INDEX(FILTER(A$1:A2276, A$1:A2276&lt;&gt;""""),COUNTA(FILTER(A$1:A2276, A$1:A2276&lt;&gt;""""))), LEN(INDEX(FILTER(A$1:A2276, A$1:A2276&lt;&gt;""""),COUNTA(FILTER(A$1:A2276, A$1:A2276&lt;&gt;""""))))-1), IF('To Order'!$A2277=COL"&amp;"UMNS($A2277:A2296), A2276&amp;RIGHT(INDIRECT(ADDRESS(ROW(A2277)-1, 'From Order'!$A2277)), 1), A2276))"),"DC")</f>
        <v>DC</v>
      </c>
      <c r="B2277" s="2" t="str">
        <f>IFERROR(__xludf.DUMMYFUNCTION("IF('From Order'!$A2277=COLUMNS($A2277:B2296), LEFT(INDEX(FILTER(B$1:B2276, B$1:B2276&lt;&gt;""""),COUNTA(FILTER(B$1:B2276, B$1:B2276&lt;&gt;""""))), LEN(INDEX(FILTER(B$1:B2276, B$1:B2276&lt;&gt;""""),COUNTA(FILTER(B$1:B2276, B$1:B2276&lt;&gt;""""))))-1), IF('To Order'!$A2277=COL"&amp;"UMNS($A2277:B2296), B2276&amp;RIGHT(INDIRECT(ADDRESS(ROW(B2277)-1, 'From Order'!$A2277)), 1), B2276))"),"")</f>
        <v/>
      </c>
      <c r="C2277" s="2" t="str">
        <f>IFERROR(__xludf.DUMMYFUNCTION("IF('From Order'!$A2277=COLUMNS($A2277:C2296), LEFT(INDEX(FILTER(C$1:C2276, C$1:C2276&lt;&gt;""""),COUNTA(FILTER(C$1:C2276, C$1:C2276&lt;&gt;""""))), LEN(INDEX(FILTER(C$1:C2276, C$1:C2276&lt;&gt;""""),COUNTA(FILTER(C$1:C2276, C$1:C2276&lt;&gt;""""))))-1), IF('To Order'!$A2277=COL"&amp;"UMNS($A2277:C2296), C2276&amp;RIGHT(INDIRECT(ADDRESS(ROW(C2277)-1, 'From Order'!$A2277)), 1), C2276))"),"VBWDJPS")</f>
        <v>VBWDJPS</v>
      </c>
      <c r="D2277" s="2" t="str">
        <f>IFERROR(__xludf.DUMMYFUNCTION("IF('From Order'!$A2277=COLUMNS($A2277:D2296), LEFT(INDEX(FILTER(D$1:D2276, D$1:D2276&lt;&gt;""""),COUNTA(FILTER(D$1:D2276, D$1:D2276&lt;&gt;""""))), LEN(INDEX(FILTER(D$1:D2276, D$1:D2276&lt;&gt;""""),COUNTA(FILTER(D$1:D2276, D$1:D2276&lt;&gt;""""))))-1), IF('To Order'!$A2277=COL"&amp;"UMNS($A2277:D2296), D2276&amp;RIGHT(INDIRECT(ADDRESS(ROW(D2277)-1, 'From Order'!$A2277)), 1), D2276))"),"RG")</f>
        <v>RG</v>
      </c>
      <c r="E2277" s="2" t="str">
        <f>IFERROR(__xludf.DUMMYFUNCTION("IF('From Order'!$A2277=COLUMNS($A2277:E2296), LEFT(INDEX(FILTER(E$1:E2276, E$1:E2276&lt;&gt;""""),COUNTA(FILTER(E$1:E2276, E$1:E2276&lt;&gt;""""))), LEN(INDEX(FILTER(E$1:E2276, E$1:E2276&lt;&gt;""""),COUNTA(FILTER(E$1:E2276, E$1:E2276&lt;&gt;""""))))-1), IF('To Order'!$A2277=COL"&amp;"UMNS($A2277:E2296), E2276&amp;RIGHT(INDIRECT(ADDRESS(ROW(E2277)-1, 'From Order'!$A2277)), 1), E2276))"),"F")</f>
        <v>F</v>
      </c>
      <c r="F2277" s="2" t="str">
        <f>IFERROR(__xludf.DUMMYFUNCTION("IF('From Order'!$A2277=COLUMNS($A2277:F2296), LEFT(INDEX(FILTER(F$1:F2276, F$1:F2276&lt;&gt;""""),COUNTA(FILTER(F$1:F2276, F$1:F2276&lt;&gt;""""))), LEN(INDEX(FILTER(F$1:F2276, F$1:F2276&lt;&gt;""""),COUNTA(FILTER(F$1:F2276, F$1:F2276&lt;&gt;""""))))-1), IF('To Order'!$A2277=COL"&amp;"UMNS($A2277:F2296), F2276&amp;RIGHT(INDIRECT(ADDRESS(ROW(F2277)-1, 'From Order'!$A2277)), 1), F2276))"),"")</f>
        <v/>
      </c>
      <c r="G2277" s="2" t="str">
        <f>IFERROR(__xludf.DUMMYFUNCTION("IF('From Order'!$A2277=COLUMNS($A2277:G2296), LEFT(INDEX(FILTER(G$1:G2276, G$1:G2276&lt;&gt;""""),COUNTA(FILTER(G$1:G2276, G$1:G2276&lt;&gt;""""))), LEN(INDEX(FILTER(G$1:G2276, G$1:G2276&lt;&gt;""""),COUNTA(FILTER(G$1:G2276, G$1:G2276&lt;&gt;""""))))-1), IF('To Order'!$A2277=COL"&amp;"UMNS($A2277:G2296), G2276&amp;RIGHT(INDIRECT(ADDRESS(ROW(G2277)-1, 'From Order'!$A2277)), 1), G2276))"),"")</f>
        <v/>
      </c>
      <c r="H2277" s="2" t="str">
        <f>IFERROR(__xludf.DUMMYFUNCTION("IF('From Order'!$A2277=COLUMNS($A2277:H2296), LEFT(INDEX(FILTER(H$1:H2276, H$1:H2276&lt;&gt;""""),COUNTA(FILTER(H$1:H2276, H$1:H2276&lt;&gt;""""))), LEN(INDEX(FILTER(H$1:H2276, H$1:H2276&lt;&gt;""""),COUNTA(FILTER(H$1:H2276, H$1:H2276&lt;&gt;""""))))-1), IF('To Order'!$A2277=COL"&amp;"UMNS($A2277:H2296), H2276&amp;RIGHT(INDIRECT(ADDRESS(ROW(H2277)-1, 'From Order'!$A2277)), 1), H2276))"),"")</f>
        <v/>
      </c>
      <c r="I2277" s="2" t="str">
        <f>IFERROR(__xludf.DUMMYFUNCTION("IF('From Order'!$A2277=COLUMNS($A2277:I2296), LEFT(INDEX(FILTER(I$1:I2276, I$1:I2276&lt;&gt;""""),COUNTA(FILTER(I$1:I2276, I$1:I2276&lt;&gt;""""))), LEN(INDEX(FILTER(I$1:I2276, I$1:I2276&lt;&gt;""""),COUNTA(FILTER(I$1:I2276, I$1:I2276&lt;&gt;""""))))-1), IF('To Order'!$A2277=COL"&amp;"UMNS($A2277:I2296), I2276&amp;RIGHT(INDIRECT(ADDRESS(ROW(I2277)-1, 'From Order'!$A2277)), 1), I2276))"),"DDDVQZDMTTGMJRRLPSSTMZHPRBVJBCBFLLWTHZSCTTQR")</f>
        <v>DDDVQZDMTTGMJRRLPSSTMZHPRBVJBCBFLLWTHZSCTTQR</v>
      </c>
    </row>
    <row r="2278">
      <c r="A2278" s="2" t="str">
        <f>IFERROR(__xludf.DUMMYFUNCTION("IF('From Order'!$A2278=COLUMNS($A2278:A2297), LEFT(INDEX(FILTER(A$1:A2277, A$1:A2277&lt;&gt;""""),COUNTA(FILTER(A$1:A2277, A$1:A2277&lt;&gt;""""))), LEN(INDEX(FILTER(A$1:A2277, A$1:A2277&lt;&gt;""""),COUNTA(FILTER(A$1:A2277, A$1:A2277&lt;&gt;""""))))-1), IF('To Order'!$A2278=COL"&amp;"UMNS($A2278:A2297), A2277&amp;RIGHT(INDIRECT(ADDRESS(ROW(A2278)-1, 'From Order'!$A2278)), 1), A2277))"),"DCG")</f>
        <v>DCG</v>
      </c>
      <c r="B2278" s="2" t="str">
        <f>IFERROR(__xludf.DUMMYFUNCTION("IF('From Order'!$A2278=COLUMNS($A2278:B2297), LEFT(INDEX(FILTER(B$1:B2277, B$1:B2277&lt;&gt;""""),COUNTA(FILTER(B$1:B2277, B$1:B2277&lt;&gt;""""))), LEN(INDEX(FILTER(B$1:B2277, B$1:B2277&lt;&gt;""""),COUNTA(FILTER(B$1:B2277, B$1:B2277&lt;&gt;""""))))-1), IF('To Order'!$A2278=COL"&amp;"UMNS($A2278:B2297), B2277&amp;RIGHT(INDIRECT(ADDRESS(ROW(B2278)-1, 'From Order'!$A2278)), 1), B2277))"),"")</f>
        <v/>
      </c>
      <c r="C2278" s="2" t="str">
        <f>IFERROR(__xludf.DUMMYFUNCTION("IF('From Order'!$A2278=COLUMNS($A2278:C2297), LEFT(INDEX(FILTER(C$1:C2277, C$1:C2277&lt;&gt;""""),COUNTA(FILTER(C$1:C2277, C$1:C2277&lt;&gt;""""))), LEN(INDEX(FILTER(C$1:C2277, C$1:C2277&lt;&gt;""""),COUNTA(FILTER(C$1:C2277, C$1:C2277&lt;&gt;""""))))-1), IF('To Order'!$A2278=COL"&amp;"UMNS($A2278:C2297), C2277&amp;RIGHT(INDIRECT(ADDRESS(ROW(C2278)-1, 'From Order'!$A2278)), 1), C2277))"),"VBWDJPS")</f>
        <v>VBWDJPS</v>
      </c>
      <c r="D2278" s="2" t="str">
        <f>IFERROR(__xludf.DUMMYFUNCTION("IF('From Order'!$A2278=COLUMNS($A2278:D2297), LEFT(INDEX(FILTER(D$1:D2277, D$1:D2277&lt;&gt;""""),COUNTA(FILTER(D$1:D2277, D$1:D2277&lt;&gt;""""))), LEN(INDEX(FILTER(D$1:D2277, D$1:D2277&lt;&gt;""""),COUNTA(FILTER(D$1:D2277, D$1:D2277&lt;&gt;""""))))-1), IF('To Order'!$A2278=COL"&amp;"UMNS($A2278:D2297), D2277&amp;RIGHT(INDIRECT(ADDRESS(ROW(D2278)-1, 'From Order'!$A2278)), 1), D2277))"),"R")</f>
        <v>R</v>
      </c>
      <c r="E2278" s="2" t="str">
        <f>IFERROR(__xludf.DUMMYFUNCTION("IF('From Order'!$A2278=COLUMNS($A2278:E2297), LEFT(INDEX(FILTER(E$1:E2277, E$1:E2277&lt;&gt;""""),COUNTA(FILTER(E$1:E2277, E$1:E2277&lt;&gt;""""))), LEN(INDEX(FILTER(E$1:E2277, E$1:E2277&lt;&gt;""""),COUNTA(FILTER(E$1:E2277, E$1:E2277&lt;&gt;""""))))-1), IF('To Order'!$A2278=COL"&amp;"UMNS($A2278:E2297), E2277&amp;RIGHT(INDIRECT(ADDRESS(ROW(E2278)-1, 'From Order'!$A2278)), 1), E2277))"),"F")</f>
        <v>F</v>
      </c>
      <c r="F2278" s="2" t="str">
        <f>IFERROR(__xludf.DUMMYFUNCTION("IF('From Order'!$A2278=COLUMNS($A2278:F2297), LEFT(INDEX(FILTER(F$1:F2277, F$1:F2277&lt;&gt;""""),COUNTA(FILTER(F$1:F2277, F$1:F2277&lt;&gt;""""))), LEN(INDEX(FILTER(F$1:F2277, F$1:F2277&lt;&gt;""""),COUNTA(FILTER(F$1:F2277, F$1:F2277&lt;&gt;""""))))-1), IF('To Order'!$A2278=COL"&amp;"UMNS($A2278:F2297), F2277&amp;RIGHT(INDIRECT(ADDRESS(ROW(F2278)-1, 'From Order'!$A2278)), 1), F2277))"),"")</f>
        <v/>
      </c>
      <c r="G2278" s="2" t="str">
        <f>IFERROR(__xludf.DUMMYFUNCTION("IF('From Order'!$A2278=COLUMNS($A2278:G2297), LEFT(INDEX(FILTER(G$1:G2277, G$1:G2277&lt;&gt;""""),COUNTA(FILTER(G$1:G2277, G$1:G2277&lt;&gt;""""))), LEN(INDEX(FILTER(G$1:G2277, G$1:G2277&lt;&gt;""""),COUNTA(FILTER(G$1:G2277, G$1:G2277&lt;&gt;""""))))-1), IF('To Order'!$A2278=COL"&amp;"UMNS($A2278:G2297), G2277&amp;RIGHT(INDIRECT(ADDRESS(ROW(G2278)-1, 'From Order'!$A2278)), 1), G2277))"),"")</f>
        <v/>
      </c>
      <c r="H2278" s="2" t="str">
        <f>IFERROR(__xludf.DUMMYFUNCTION("IF('From Order'!$A2278=COLUMNS($A2278:H2297), LEFT(INDEX(FILTER(H$1:H2277, H$1:H2277&lt;&gt;""""),COUNTA(FILTER(H$1:H2277, H$1:H2277&lt;&gt;""""))), LEN(INDEX(FILTER(H$1:H2277, H$1:H2277&lt;&gt;""""),COUNTA(FILTER(H$1:H2277, H$1:H2277&lt;&gt;""""))))-1), IF('To Order'!$A2278=COL"&amp;"UMNS($A2278:H2297), H2277&amp;RIGHT(INDIRECT(ADDRESS(ROW(H2278)-1, 'From Order'!$A2278)), 1), H2277))"),"")</f>
        <v/>
      </c>
      <c r="I2278" s="2" t="str">
        <f>IFERROR(__xludf.DUMMYFUNCTION("IF('From Order'!$A2278=COLUMNS($A2278:I2297), LEFT(INDEX(FILTER(I$1:I2277, I$1:I2277&lt;&gt;""""),COUNTA(FILTER(I$1:I2277, I$1:I2277&lt;&gt;""""))), LEN(INDEX(FILTER(I$1:I2277, I$1:I2277&lt;&gt;""""),COUNTA(FILTER(I$1:I2277, I$1:I2277&lt;&gt;""""))))-1), IF('To Order'!$A2278=COL"&amp;"UMNS($A2278:I2297), I2277&amp;RIGHT(INDIRECT(ADDRESS(ROW(I2278)-1, 'From Order'!$A2278)), 1), I2277))"),"DDDVQZDMTTGMJRRLPSSTMZHPRBVJBCBFLLWTHZSCTTQR")</f>
        <v>DDDVQZDMTTGMJRRLPSSTMZHPRBVJBCBFLLWTHZSCTTQR</v>
      </c>
    </row>
    <row r="2279">
      <c r="A2279" s="2" t="str">
        <f>IFERROR(__xludf.DUMMYFUNCTION("IF('From Order'!$A2279=COLUMNS($A2279:A2298), LEFT(INDEX(FILTER(A$1:A2278, A$1:A2278&lt;&gt;""""),COUNTA(FILTER(A$1:A2278, A$1:A2278&lt;&gt;""""))), LEN(INDEX(FILTER(A$1:A2278, A$1:A2278&lt;&gt;""""),COUNTA(FILTER(A$1:A2278, A$1:A2278&lt;&gt;""""))))-1), IF('To Order'!$A2279=COL"&amp;"UMNS($A2279:A2298), A2278&amp;RIGHT(INDIRECT(ADDRESS(ROW(A2279)-1, 'From Order'!$A2279)), 1), A2278))"),"DCGR")</f>
        <v>DCGR</v>
      </c>
      <c r="B2279" s="2" t="str">
        <f>IFERROR(__xludf.DUMMYFUNCTION("IF('From Order'!$A2279=COLUMNS($A2279:B2298), LEFT(INDEX(FILTER(B$1:B2278, B$1:B2278&lt;&gt;""""),COUNTA(FILTER(B$1:B2278, B$1:B2278&lt;&gt;""""))), LEN(INDEX(FILTER(B$1:B2278, B$1:B2278&lt;&gt;""""),COUNTA(FILTER(B$1:B2278, B$1:B2278&lt;&gt;""""))))-1), IF('To Order'!$A2279=COL"&amp;"UMNS($A2279:B2298), B2278&amp;RIGHT(INDIRECT(ADDRESS(ROW(B2279)-1, 'From Order'!$A2279)), 1), B2278))"),"")</f>
        <v/>
      </c>
      <c r="C2279" s="2" t="str">
        <f>IFERROR(__xludf.DUMMYFUNCTION("IF('From Order'!$A2279=COLUMNS($A2279:C2298), LEFT(INDEX(FILTER(C$1:C2278, C$1:C2278&lt;&gt;""""),COUNTA(FILTER(C$1:C2278, C$1:C2278&lt;&gt;""""))), LEN(INDEX(FILTER(C$1:C2278, C$1:C2278&lt;&gt;""""),COUNTA(FILTER(C$1:C2278, C$1:C2278&lt;&gt;""""))))-1), IF('To Order'!$A2279=COL"&amp;"UMNS($A2279:C2298), C2278&amp;RIGHT(INDIRECT(ADDRESS(ROW(C2279)-1, 'From Order'!$A2279)), 1), C2278))"),"VBWDJPS")</f>
        <v>VBWDJPS</v>
      </c>
      <c r="D2279" s="2" t="str">
        <f>IFERROR(__xludf.DUMMYFUNCTION("IF('From Order'!$A2279=COLUMNS($A2279:D2298), LEFT(INDEX(FILTER(D$1:D2278, D$1:D2278&lt;&gt;""""),COUNTA(FILTER(D$1:D2278, D$1:D2278&lt;&gt;""""))), LEN(INDEX(FILTER(D$1:D2278, D$1:D2278&lt;&gt;""""),COUNTA(FILTER(D$1:D2278, D$1:D2278&lt;&gt;""""))))-1), IF('To Order'!$A2279=COL"&amp;"UMNS($A2279:D2298), D2278&amp;RIGHT(INDIRECT(ADDRESS(ROW(D2279)-1, 'From Order'!$A2279)), 1), D2278))"),"")</f>
        <v/>
      </c>
      <c r="E2279" s="2" t="str">
        <f>IFERROR(__xludf.DUMMYFUNCTION("IF('From Order'!$A2279=COLUMNS($A2279:E2298), LEFT(INDEX(FILTER(E$1:E2278, E$1:E2278&lt;&gt;""""),COUNTA(FILTER(E$1:E2278, E$1:E2278&lt;&gt;""""))), LEN(INDEX(FILTER(E$1:E2278, E$1:E2278&lt;&gt;""""),COUNTA(FILTER(E$1:E2278, E$1:E2278&lt;&gt;""""))))-1), IF('To Order'!$A2279=COL"&amp;"UMNS($A2279:E2298), E2278&amp;RIGHT(INDIRECT(ADDRESS(ROW(E2279)-1, 'From Order'!$A2279)), 1), E2278))"),"F")</f>
        <v>F</v>
      </c>
      <c r="F2279" s="2" t="str">
        <f>IFERROR(__xludf.DUMMYFUNCTION("IF('From Order'!$A2279=COLUMNS($A2279:F2298), LEFT(INDEX(FILTER(F$1:F2278, F$1:F2278&lt;&gt;""""),COUNTA(FILTER(F$1:F2278, F$1:F2278&lt;&gt;""""))), LEN(INDEX(FILTER(F$1:F2278, F$1:F2278&lt;&gt;""""),COUNTA(FILTER(F$1:F2278, F$1:F2278&lt;&gt;""""))))-1), IF('To Order'!$A2279=COL"&amp;"UMNS($A2279:F2298), F2278&amp;RIGHT(INDIRECT(ADDRESS(ROW(F2279)-1, 'From Order'!$A2279)), 1), F2278))"),"")</f>
        <v/>
      </c>
      <c r="G2279" s="2" t="str">
        <f>IFERROR(__xludf.DUMMYFUNCTION("IF('From Order'!$A2279=COLUMNS($A2279:G2298), LEFT(INDEX(FILTER(G$1:G2278, G$1:G2278&lt;&gt;""""),COUNTA(FILTER(G$1:G2278, G$1:G2278&lt;&gt;""""))), LEN(INDEX(FILTER(G$1:G2278, G$1:G2278&lt;&gt;""""),COUNTA(FILTER(G$1:G2278, G$1:G2278&lt;&gt;""""))))-1), IF('To Order'!$A2279=COL"&amp;"UMNS($A2279:G2298), G2278&amp;RIGHT(INDIRECT(ADDRESS(ROW(G2279)-1, 'From Order'!$A2279)), 1), G2278))"),"")</f>
        <v/>
      </c>
      <c r="H2279" s="2" t="str">
        <f>IFERROR(__xludf.DUMMYFUNCTION("IF('From Order'!$A2279=COLUMNS($A2279:H2298), LEFT(INDEX(FILTER(H$1:H2278, H$1:H2278&lt;&gt;""""),COUNTA(FILTER(H$1:H2278, H$1:H2278&lt;&gt;""""))), LEN(INDEX(FILTER(H$1:H2278, H$1:H2278&lt;&gt;""""),COUNTA(FILTER(H$1:H2278, H$1:H2278&lt;&gt;""""))))-1), IF('To Order'!$A2279=COL"&amp;"UMNS($A2279:H2298), H2278&amp;RIGHT(INDIRECT(ADDRESS(ROW(H2279)-1, 'From Order'!$A2279)), 1), H2278))"),"")</f>
        <v/>
      </c>
      <c r="I2279" s="2" t="str">
        <f>IFERROR(__xludf.DUMMYFUNCTION("IF('From Order'!$A2279=COLUMNS($A2279:I2298), LEFT(INDEX(FILTER(I$1:I2278, I$1:I2278&lt;&gt;""""),COUNTA(FILTER(I$1:I2278, I$1:I2278&lt;&gt;""""))), LEN(INDEX(FILTER(I$1:I2278, I$1:I2278&lt;&gt;""""),COUNTA(FILTER(I$1:I2278, I$1:I2278&lt;&gt;""""))))-1), IF('To Order'!$A2279=COL"&amp;"UMNS($A2279:I2298), I2278&amp;RIGHT(INDIRECT(ADDRESS(ROW(I2279)-1, 'From Order'!$A2279)), 1), I2278))"),"DDDVQZDMTTGMJRRLPSSTMZHPRBVJBCBFLLWTHZSCTTQR")</f>
        <v>DDDVQZDMTTGMJRRLPSSTMZHPRBVJBCBFLLWTHZSCTTQR</v>
      </c>
    </row>
    <row r="2280">
      <c r="A2280" s="2" t="str">
        <f>IFERROR(__xludf.DUMMYFUNCTION("IF('From Order'!$A2280=COLUMNS($A2280:A2299), LEFT(INDEX(FILTER(A$1:A2279, A$1:A2279&lt;&gt;""""),COUNTA(FILTER(A$1:A2279, A$1:A2279&lt;&gt;""""))), LEN(INDEX(FILTER(A$1:A2279, A$1:A2279&lt;&gt;""""),COUNTA(FILTER(A$1:A2279, A$1:A2279&lt;&gt;""""))))-1), IF('To Order'!$A2280=COL"&amp;"UMNS($A2280:A2299), A2279&amp;RIGHT(INDIRECT(ADDRESS(ROW(A2280)-1, 'From Order'!$A2280)), 1), A2279))"),"DCGR")</f>
        <v>DCGR</v>
      </c>
      <c r="B2280" s="2" t="str">
        <f>IFERROR(__xludf.DUMMYFUNCTION("IF('From Order'!$A2280=COLUMNS($A2280:B2299), LEFT(INDEX(FILTER(B$1:B2279, B$1:B2279&lt;&gt;""""),COUNTA(FILTER(B$1:B2279, B$1:B2279&lt;&gt;""""))), LEN(INDEX(FILTER(B$1:B2279, B$1:B2279&lt;&gt;""""),COUNTA(FILTER(B$1:B2279, B$1:B2279&lt;&gt;""""))))-1), IF('To Order'!$A2280=COL"&amp;"UMNS($A2280:B2299), B2279&amp;RIGHT(INDIRECT(ADDRESS(ROW(B2280)-1, 'From Order'!$A2280)), 1), B2279))"),"F")</f>
        <v>F</v>
      </c>
      <c r="C2280" s="2" t="str">
        <f>IFERROR(__xludf.DUMMYFUNCTION("IF('From Order'!$A2280=COLUMNS($A2280:C2299), LEFT(INDEX(FILTER(C$1:C2279, C$1:C2279&lt;&gt;""""),COUNTA(FILTER(C$1:C2279, C$1:C2279&lt;&gt;""""))), LEN(INDEX(FILTER(C$1:C2279, C$1:C2279&lt;&gt;""""),COUNTA(FILTER(C$1:C2279, C$1:C2279&lt;&gt;""""))))-1), IF('To Order'!$A2280=COL"&amp;"UMNS($A2280:C2299), C2279&amp;RIGHT(INDIRECT(ADDRESS(ROW(C2280)-1, 'From Order'!$A2280)), 1), C2279))"),"VBWDJPS")</f>
        <v>VBWDJPS</v>
      </c>
      <c r="D2280" s="2" t="str">
        <f>IFERROR(__xludf.DUMMYFUNCTION("IF('From Order'!$A2280=COLUMNS($A2280:D2299), LEFT(INDEX(FILTER(D$1:D2279, D$1:D2279&lt;&gt;""""),COUNTA(FILTER(D$1:D2279, D$1:D2279&lt;&gt;""""))), LEN(INDEX(FILTER(D$1:D2279, D$1:D2279&lt;&gt;""""),COUNTA(FILTER(D$1:D2279, D$1:D2279&lt;&gt;""""))))-1), IF('To Order'!$A2280=COL"&amp;"UMNS($A2280:D2299), D2279&amp;RIGHT(INDIRECT(ADDRESS(ROW(D2280)-1, 'From Order'!$A2280)), 1), D2279))"),"")</f>
        <v/>
      </c>
      <c r="E2280" s="2" t="str">
        <f>IFERROR(__xludf.DUMMYFUNCTION("IF('From Order'!$A2280=COLUMNS($A2280:E2299), LEFT(INDEX(FILTER(E$1:E2279, E$1:E2279&lt;&gt;""""),COUNTA(FILTER(E$1:E2279, E$1:E2279&lt;&gt;""""))), LEN(INDEX(FILTER(E$1:E2279, E$1:E2279&lt;&gt;""""),COUNTA(FILTER(E$1:E2279, E$1:E2279&lt;&gt;""""))))-1), IF('To Order'!$A2280=COL"&amp;"UMNS($A2280:E2299), E2279&amp;RIGHT(INDIRECT(ADDRESS(ROW(E2280)-1, 'From Order'!$A2280)), 1), E2279))"),"")</f>
        <v/>
      </c>
      <c r="F2280" s="2" t="str">
        <f>IFERROR(__xludf.DUMMYFUNCTION("IF('From Order'!$A2280=COLUMNS($A2280:F2299), LEFT(INDEX(FILTER(F$1:F2279, F$1:F2279&lt;&gt;""""),COUNTA(FILTER(F$1:F2279, F$1:F2279&lt;&gt;""""))), LEN(INDEX(FILTER(F$1:F2279, F$1:F2279&lt;&gt;""""),COUNTA(FILTER(F$1:F2279, F$1:F2279&lt;&gt;""""))))-1), IF('To Order'!$A2280=COL"&amp;"UMNS($A2280:F2299), F2279&amp;RIGHT(INDIRECT(ADDRESS(ROW(F2280)-1, 'From Order'!$A2280)), 1), F2279))"),"")</f>
        <v/>
      </c>
      <c r="G2280" s="2" t="str">
        <f>IFERROR(__xludf.DUMMYFUNCTION("IF('From Order'!$A2280=COLUMNS($A2280:G2299), LEFT(INDEX(FILTER(G$1:G2279, G$1:G2279&lt;&gt;""""),COUNTA(FILTER(G$1:G2279, G$1:G2279&lt;&gt;""""))), LEN(INDEX(FILTER(G$1:G2279, G$1:G2279&lt;&gt;""""),COUNTA(FILTER(G$1:G2279, G$1:G2279&lt;&gt;""""))))-1), IF('To Order'!$A2280=COL"&amp;"UMNS($A2280:G2299), G2279&amp;RIGHT(INDIRECT(ADDRESS(ROW(G2280)-1, 'From Order'!$A2280)), 1), G2279))"),"")</f>
        <v/>
      </c>
      <c r="H2280" s="2" t="str">
        <f>IFERROR(__xludf.DUMMYFUNCTION("IF('From Order'!$A2280=COLUMNS($A2280:H2299), LEFT(INDEX(FILTER(H$1:H2279, H$1:H2279&lt;&gt;""""),COUNTA(FILTER(H$1:H2279, H$1:H2279&lt;&gt;""""))), LEN(INDEX(FILTER(H$1:H2279, H$1:H2279&lt;&gt;""""),COUNTA(FILTER(H$1:H2279, H$1:H2279&lt;&gt;""""))))-1), IF('To Order'!$A2280=COL"&amp;"UMNS($A2280:H2299), H2279&amp;RIGHT(INDIRECT(ADDRESS(ROW(H2280)-1, 'From Order'!$A2280)), 1), H2279))"),"")</f>
        <v/>
      </c>
      <c r="I2280" s="2" t="str">
        <f>IFERROR(__xludf.DUMMYFUNCTION("IF('From Order'!$A2280=COLUMNS($A2280:I2299), LEFT(INDEX(FILTER(I$1:I2279, I$1:I2279&lt;&gt;""""),COUNTA(FILTER(I$1:I2279, I$1:I2279&lt;&gt;""""))), LEN(INDEX(FILTER(I$1:I2279, I$1:I2279&lt;&gt;""""),COUNTA(FILTER(I$1:I2279, I$1:I2279&lt;&gt;""""))))-1), IF('To Order'!$A2280=COL"&amp;"UMNS($A2280:I2299), I2279&amp;RIGHT(INDIRECT(ADDRESS(ROW(I2280)-1, 'From Order'!$A2280)), 1), I2279))"),"DDDVQZDMTTGMJRRLPSSTMZHPRBVJBCBFLLWTHZSCTTQR")</f>
        <v>DDDVQZDMTTGMJRRLPSSTMZHPRBVJBCBFLLWTHZSCTTQR</v>
      </c>
    </row>
    <row r="2281">
      <c r="A2281" s="2" t="str">
        <f>IFERROR(__xludf.DUMMYFUNCTION("IF('From Order'!$A2281=COLUMNS($A2281:A2300), LEFT(INDEX(FILTER(A$1:A2280, A$1:A2280&lt;&gt;""""),COUNTA(FILTER(A$1:A2280, A$1:A2280&lt;&gt;""""))), LEN(INDEX(FILTER(A$1:A2280, A$1:A2280&lt;&gt;""""),COUNTA(FILTER(A$1:A2280, A$1:A2280&lt;&gt;""""))))-1), IF('To Order'!$A2281=COL"&amp;"UMNS($A2281:A2300), A2280&amp;RIGHT(INDIRECT(ADDRESS(ROW(A2281)-1, 'From Order'!$A2281)), 1), A2280))"),"DCG")</f>
        <v>DCG</v>
      </c>
      <c r="B2281" s="2" t="str">
        <f>IFERROR(__xludf.DUMMYFUNCTION("IF('From Order'!$A2281=COLUMNS($A2281:B2300), LEFT(INDEX(FILTER(B$1:B2280, B$1:B2280&lt;&gt;""""),COUNTA(FILTER(B$1:B2280, B$1:B2280&lt;&gt;""""))), LEN(INDEX(FILTER(B$1:B2280, B$1:B2280&lt;&gt;""""),COUNTA(FILTER(B$1:B2280, B$1:B2280&lt;&gt;""""))))-1), IF('To Order'!$A2281=COL"&amp;"UMNS($A2281:B2300), B2280&amp;RIGHT(INDIRECT(ADDRESS(ROW(B2281)-1, 'From Order'!$A2281)), 1), B2280))"),"F")</f>
        <v>F</v>
      </c>
      <c r="C2281" s="2" t="str">
        <f>IFERROR(__xludf.DUMMYFUNCTION("IF('From Order'!$A2281=COLUMNS($A2281:C2300), LEFT(INDEX(FILTER(C$1:C2280, C$1:C2280&lt;&gt;""""),COUNTA(FILTER(C$1:C2280, C$1:C2280&lt;&gt;""""))), LEN(INDEX(FILTER(C$1:C2280, C$1:C2280&lt;&gt;""""),COUNTA(FILTER(C$1:C2280, C$1:C2280&lt;&gt;""""))))-1), IF('To Order'!$A2281=COL"&amp;"UMNS($A2281:C2300), C2280&amp;RIGHT(INDIRECT(ADDRESS(ROW(C2281)-1, 'From Order'!$A2281)), 1), C2280))"),"VBWDJPS")</f>
        <v>VBWDJPS</v>
      </c>
      <c r="D2281" s="2" t="str">
        <f>IFERROR(__xludf.DUMMYFUNCTION("IF('From Order'!$A2281=COLUMNS($A2281:D2300), LEFT(INDEX(FILTER(D$1:D2280, D$1:D2280&lt;&gt;""""),COUNTA(FILTER(D$1:D2280, D$1:D2280&lt;&gt;""""))), LEN(INDEX(FILTER(D$1:D2280, D$1:D2280&lt;&gt;""""),COUNTA(FILTER(D$1:D2280, D$1:D2280&lt;&gt;""""))))-1), IF('To Order'!$A2281=COL"&amp;"UMNS($A2281:D2300), D2280&amp;RIGHT(INDIRECT(ADDRESS(ROW(D2281)-1, 'From Order'!$A2281)), 1), D2280))"),"")</f>
        <v/>
      </c>
      <c r="E2281" s="2" t="str">
        <f>IFERROR(__xludf.DUMMYFUNCTION("IF('From Order'!$A2281=COLUMNS($A2281:E2300), LEFT(INDEX(FILTER(E$1:E2280, E$1:E2280&lt;&gt;""""),COUNTA(FILTER(E$1:E2280, E$1:E2280&lt;&gt;""""))), LEN(INDEX(FILTER(E$1:E2280, E$1:E2280&lt;&gt;""""),COUNTA(FILTER(E$1:E2280, E$1:E2280&lt;&gt;""""))))-1), IF('To Order'!$A2281=COL"&amp;"UMNS($A2281:E2300), E2280&amp;RIGHT(INDIRECT(ADDRESS(ROW(E2281)-1, 'From Order'!$A2281)), 1), E2280))"),"")</f>
        <v/>
      </c>
      <c r="F2281" s="2" t="str">
        <f>IFERROR(__xludf.DUMMYFUNCTION("IF('From Order'!$A2281=COLUMNS($A2281:F2300), LEFT(INDEX(FILTER(F$1:F2280, F$1:F2280&lt;&gt;""""),COUNTA(FILTER(F$1:F2280, F$1:F2280&lt;&gt;""""))), LEN(INDEX(FILTER(F$1:F2280, F$1:F2280&lt;&gt;""""),COUNTA(FILTER(F$1:F2280, F$1:F2280&lt;&gt;""""))))-1), IF('To Order'!$A2281=COL"&amp;"UMNS($A2281:F2300), F2280&amp;RIGHT(INDIRECT(ADDRESS(ROW(F2281)-1, 'From Order'!$A2281)), 1), F2280))"),"R")</f>
        <v>R</v>
      </c>
      <c r="G2281" s="2" t="str">
        <f>IFERROR(__xludf.DUMMYFUNCTION("IF('From Order'!$A2281=COLUMNS($A2281:G2300), LEFT(INDEX(FILTER(G$1:G2280, G$1:G2280&lt;&gt;""""),COUNTA(FILTER(G$1:G2280, G$1:G2280&lt;&gt;""""))), LEN(INDEX(FILTER(G$1:G2280, G$1:G2280&lt;&gt;""""),COUNTA(FILTER(G$1:G2280, G$1:G2280&lt;&gt;""""))))-1), IF('To Order'!$A2281=COL"&amp;"UMNS($A2281:G2300), G2280&amp;RIGHT(INDIRECT(ADDRESS(ROW(G2281)-1, 'From Order'!$A2281)), 1), G2280))"),"")</f>
        <v/>
      </c>
      <c r="H2281" s="2" t="str">
        <f>IFERROR(__xludf.DUMMYFUNCTION("IF('From Order'!$A2281=COLUMNS($A2281:H2300), LEFT(INDEX(FILTER(H$1:H2280, H$1:H2280&lt;&gt;""""),COUNTA(FILTER(H$1:H2280, H$1:H2280&lt;&gt;""""))), LEN(INDEX(FILTER(H$1:H2280, H$1:H2280&lt;&gt;""""),COUNTA(FILTER(H$1:H2280, H$1:H2280&lt;&gt;""""))))-1), IF('To Order'!$A2281=COL"&amp;"UMNS($A2281:H2300), H2280&amp;RIGHT(INDIRECT(ADDRESS(ROW(H2281)-1, 'From Order'!$A2281)), 1), H2280))"),"")</f>
        <v/>
      </c>
      <c r="I2281" s="2" t="str">
        <f>IFERROR(__xludf.DUMMYFUNCTION("IF('From Order'!$A2281=COLUMNS($A2281:I2300), LEFT(INDEX(FILTER(I$1:I2280, I$1:I2280&lt;&gt;""""),COUNTA(FILTER(I$1:I2280, I$1:I2280&lt;&gt;""""))), LEN(INDEX(FILTER(I$1:I2280, I$1:I2280&lt;&gt;""""),COUNTA(FILTER(I$1:I2280, I$1:I2280&lt;&gt;""""))))-1), IF('To Order'!$A2281=COL"&amp;"UMNS($A2281:I2300), I2280&amp;RIGHT(INDIRECT(ADDRESS(ROW(I2281)-1, 'From Order'!$A2281)), 1), I2280))"),"DDDVQZDMTTGMJRRLPSSTMZHPRBVJBCBFLLWTHZSCTTQR")</f>
        <v>DDDVQZDMTTGMJRRLPSSTMZHPRBVJBCBFLLWTHZSCTTQR</v>
      </c>
    </row>
    <row r="2282">
      <c r="A2282" s="2" t="str">
        <f>IFERROR(__xludf.DUMMYFUNCTION("IF('From Order'!$A2282=COLUMNS($A2282:A2301), LEFT(INDEX(FILTER(A$1:A2281, A$1:A2281&lt;&gt;""""),COUNTA(FILTER(A$1:A2281, A$1:A2281&lt;&gt;""""))), LEN(INDEX(FILTER(A$1:A2281, A$1:A2281&lt;&gt;""""),COUNTA(FILTER(A$1:A2281, A$1:A2281&lt;&gt;""""))))-1), IF('To Order'!$A2282=COL"&amp;"UMNS($A2282:A2301), A2281&amp;RIGHT(INDIRECT(ADDRESS(ROW(A2282)-1, 'From Order'!$A2282)), 1), A2281))"),"DC")</f>
        <v>DC</v>
      </c>
      <c r="B2282" s="2" t="str">
        <f>IFERROR(__xludf.DUMMYFUNCTION("IF('From Order'!$A2282=COLUMNS($A2282:B2301), LEFT(INDEX(FILTER(B$1:B2281, B$1:B2281&lt;&gt;""""),COUNTA(FILTER(B$1:B2281, B$1:B2281&lt;&gt;""""))), LEN(INDEX(FILTER(B$1:B2281, B$1:B2281&lt;&gt;""""),COUNTA(FILTER(B$1:B2281, B$1:B2281&lt;&gt;""""))))-1), IF('To Order'!$A2282=COL"&amp;"UMNS($A2282:B2301), B2281&amp;RIGHT(INDIRECT(ADDRESS(ROW(B2282)-1, 'From Order'!$A2282)), 1), B2281))"),"F")</f>
        <v>F</v>
      </c>
      <c r="C2282" s="2" t="str">
        <f>IFERROR(__xludf.DUMMYFUNCTION("IF('From Order'!$A2282=COLUMNS($A2282:C2301), LEFT(INDEX(FILTER(C$1:C2281, C$1:C2281&lt;&gt;""""),COUNTA(FILTER(C$1:C2281, C$1:C2281&lt;&gt;""""))), LEN(INDEX(FILTER(C$1:C2281, C$1:C2281&lt;&gt;""""),COUNTA(FILTER(C$1:C2281, C$1:C2281&lt;&gt;""""))))-1), IF('To Order'!$A2282=COL"&amp;"UMNS($A2282:C2301), C2281&amp;RIGHT(INDIRECT(ADDRESS(ROW(C2282)-1, 'From Order'!$A2282)), 1), C2281))"),"VBWDJPS")</f>
        <v>VBWDJPS</v>
      </c>
      <c r="D2282" s="2" t="str">
        <f>IFERROR(__xludf.DUMMYFUNCTION("IF('From Order'!$A2282=COLUMNS($A2282:D2301), LEFT(INDEX(FILTER(D$1:D2281, D$1:D2281&lt;&gt;""""),COUNTA(FILTER(D$1:D2281, D$1:D2281&lt;&gt;""""))), LEN(INDEX(FILTER(D$1:D2281, D$1:D2281&lt;&gt;""""),COUNTA(FILTER(D$1:D2281, D$1:D2281&lt;&gt;""""))))-1), IF('To Order'!$A2282=COL"&amp;"UMNS($A2282:D2301), D2281&amp;RIGHT(INDIRECT(ADDRESS(ROW(D2282)-1, 'From Order'!$A2282)), 1), D2281))"),"")</f>
        <v/>
      </c>
      <c r="E2282" s="2" t="str">
        <f>IFERROR(__xludf.DUMMYFUNCTION("IF('From Order'!$A2282=COLUMNS($A2282:E2301), LEFT(INDEX(FILTER(E$1:E2281, E$1:E2281&lt;&gt;""""),COUNTA(FILTER(E$1:E2281, E$1:E2281&lt;&gt;""""))), LEN(INDEX(FILTER(E$1:E2281, E$1:E2281&lt;&gt;""""),COUNTA(FILTER(E$1:E2281, E$1:E2281&lt;&gt;""""))))-1), IF('To Order'!$A2282=COL"&amp;"UMNS($A2282:E2301), E2281&amp;RIGHT(INDIRECT(ADDRESS(ROW(E2282)-1, 'From Order'!$A2282)), 1), E2281))"),"")</f>
        <v/>
      </c>
      <c r="F2282" s="2" t="str">
        <f>IFERROR(__xludf.DUMMYFUNCTION("IF('From Order'!$A2282=COLUMNS($A2282:F2301), LEFT(INDEX(FILTER(F$1:F2281, F$1:F2281&lt;&gt;""""),COUNTA(FILTER(F$1:F2281, F$1:F2281&lt;&gt;""""))), LEN(INDEX(FILTER(F$1:F2281, F$1:F2281&lt;&gt;""""),COUNTA(FILTER(F$1:F2281, F$1:F2281&lt;&gt;""""))))-1), IF('To Order'!$A2282=COL"&amp;"UMNS($A2282:F2301), F2281&amp;RIGHT(INDIRECT(ADDRESS(ROW(F2282)-1, 'From Order'!$A2282)), 1), F2281))"),"RG")</f>
        <v>RG</v>
      </c>
      <c r="G2282" s="2" t="str">
        <f>IFERROR(__xludf.DUMMYFUNCTION("IF('From Order'!$A2282=COLUMNS($A2282:G2301), LEFT(INDEX(FILTER(G$1:G2281, G$1:G2281&lt;&gt;""""),COUNTA(FILTER(G$1:G2281, G$1:G2281&lt;&gt;""""))), LEN(INDEX(FILTER(G$1:G2281, G$1:G2281&lt;&gt;""""),COUNTA(FILTER(G$1:G2281, G$1:G2281&lt;&gt;""""))))-1), IF('To Order'!$A2282=COL"&amp;"UMNS($A2282:G2301), G2281&amp;RIGHT(INDIRECT(ADDRESS(ROW(G2282)-1, 'From Order'!$A2282)), 1), G2281))"),"")</f>
        <v/>
      </c>
      <c r="H2282" s="2" t="str">
        <f>IFERROR(__xludf.DUMMYFUNCTION("IF('From Order'!$A2282=COLUMNS($A2282:H2301), LEFT(INDEX(FILTER(H$1:H2281, H$1:H2281&lt;&gt;""""),COUNTA(FILTER(H$1:H2281, H$1:H2281&lt;&gt;""""))), LEN(INDEX(FILTER(H$1:H2281, H$1:H2281&lt;&gt;""""),COUNTA(FILTER(H$1:H2281, H$1:H2281&lt;&gt;""""))))-1), IF('To Order'!$A2282=COL"&amp;"UMNS($A2282:H2301), H2281&amp;RIGHT(INDIRECT(ADDRESS(ROW(H2282)-1, 'From Order'!$A2282)), 1), H2281))"),"")</f>
        <v/>
      </c>
      <c r="I2282" s="2" t="str">
        <f>IFERROR(__xludf.DUMMYFUNCTION("IF('From Order'!$A2282=COLUMNS($A2282:I2301), LEFT(INDEX(FILTER(I$1:I2281, I$1:I2281&lt;&gt;""""),COUNTA(FILTER(I$1:I2281, I$1:I2281&lt;&gt;""""))), LEN(INDEX(FILTER(I$1:I2281, I$1:I2281&lt;&gt;""""),COUNTA(FILTER(I$1:I2281, I$1:I2281&lt;&gt;""""))))-1), IF('To Order'!$A2282=COL"&amp;"UMNS($A2282:I2301), I2281&amp;RIGHT(INDIRECT(ADDRESS(ROW(I2282)-1, 'From Order'!$A2282)), 1), I2281))"),"DDDVQZDMTTGMJRRLPSSTMZHPRBVJBCBFLLWTHZSCTTQR")</f>
        <v>DDDVQZDMTTGMJRRLPSSTMZHPRBVJBCBFLLWTHZSCTTQR</v>
      </c>
    </row>
    <row r="2283">
      <c r="A2283" s="2" t="str">
        <f>IFERROR(__xludf.DUMMYFUNCTION("IF('From Order'!$A2283=COLUMNS($A2283:A2302), LEFT(INDEX(FILTER(A$1:A2282, A$1:A2282&lt;&gt;""""),COUNTA(FILTER(A$1:A2282, A$1:A2282&lt;&gt;""""))), LEN(INDEX(FILTER(A$1:A2282, A$1:A2282&lt;&gt;""""),COUNTA(FILTER(A$1:A2282, A$1:A2282&lt;&gt;""""))))-1), IF('To Order'!$A2283=COL"&amp;"UMNS($A2283:A2302), A2282&amp;RIGHT(INDIRECT(ADDRESS(ROW(A2283)-1, 'From Order'!$A2283)), 1), A2282))"),"DC")</f>
        <v>DC</v>
      </c>
      <c r="B2283" s="2" t="str">
        <f>IFERROR(__xludf.DUMMYFUNCTION("IF('From Order'!$A2283=COLUMNS($A2283:B2302), LEFT(INDEX(FILTER(B$1:B2282, B$1:B2282&lt;&gt;""""),COUNTA(FILTER(B$1:B2282, B$1:B2282&lt;&gt;""""))), LEN(INDEX(FILTER(B$1:B2282, B$1:B2282&lt;&gt;""""),COUNTA(FILTER(B$1:B2282, B$1:B2282&lt;&gt;""""))))-1), IF('To Order'!$A2283=COL"&amp;"UMNS($A2283:B2302), B2282&amp;RIGHT(INDIRECT(ADDRESS(ROW(B2283)-1, 'From Order'!$A2283)), 1), B2282))"),"F")</f>
        <v>F</v>
      </c>
      <c r="C2283" s="2" t="str">
        <f>IFERROR(__xludf.DUMMYFUNCTION("IF('From Order'!$A2283=COLUMNS($A2283:C2302), LEFT(INDEX(FILTER(C$1:C2282, C$1:C2282&lt;&gt;""""),COUNTA(FILTER(C$1:C2282, C$1:C2282&lt;&gt;""""))), LEN(INDEX(FILTER(C$1:C2282, C$1:C2282&lt;&gt;""""),COUNTA(FILTER(C$1:C2282, C$1:C2282&lt;&gt;""""))))-1), IF('To Order'!$A2283=COL"&amp;"UMNS($A2283:C2302), C2282&amp;RIGHT(INDIRECT(ADDRESS(ROW(C2283)-1, 'From Order'!$A2283)), 1), C2282))"),"VBWDJPSG")</f>
        <v>VBWDJPSG</v>
      </c>
      <c r="D2283" s="2" t="str">
        <f>IFERROR(__xludf.DUMMYFUNCTION("IF('From Order'!$A2283=COLUMNS($A2283:D2302), LEFT(INDEX(FILTER(D$1:D2282, D$1:D2282&lt;&gt;""""),COUNTA(FILTER(D$1:D2282, D$1:D2282&lt;&gt;""""))), LEN(INDEX(FILTER(D$1:D2282, D$1:D2282&lt;&gt;""""),COUNTA(FILTER(D$1:D2282, D$1:D2282&lt;&gt;""""))))-1), IF('To Order'!$A2283=COL"&amp;"UMNS($A2283:D2302), D2282&amp;RIGHT(INDIRECT(ADDRESS(ROW(D2283)-1, 'From Order'!$A2283)), 1), D2282))"),"")</f>
        <v/>
      </c>
      <c r="E2283" s="2" t="str">
        <f>IFERROR(__xludf.DUMMYFUNCTION("IF('From Order'!$A2283=COLUMNS($A2283:E2302), LEFT(INDEX(FILTER(E$1:E2282, E$1:E2282&lt;&gt;""""),COUNTA(FILTER(E$1:E2282, E$1:E2282&lt;&gt;""""))), LEN(INDEX(FILTER(E$1:E2282, E$1:E2282&lt;&gt;""""),COUNTA(FILTER(E$1:E2282, E$1:E2282&lt;&gt;""""))))-1), IF('To Order'!$A2283=COL"&amp;"UMNS($A2283:E2302), E2282&amp;RIGHT(INDIRECT(ADDRESS(ROW(E2283)-1, 'From Order'!$A2283)), 1), E2282))"),"")</f>
        <v/>
      </c>
      <c r="F2283" s="2" t="str">
        <f>IFERROR(__xludf.DUMMYFUNCTION("IF('From Order'!$A2283=COLUMNS($A2283:F2302), LEFT(INDEX(FILTER(F$1:F2282, F$1:F2282&lt;&gt;""""),COUNTA(FILTER(F$1:F2282, F$1:F2282&lt;&gt;""""))), LEN(INDEX(FILTER(F$1:F2282, F$1:F2282&lt;&gt;""""),COUNTA(FILTER(F$1:F2282, F$1:F2282&lt;&gt;""""))))-1), IF('To Order'!$A2283=COL"&amp;"UMNS($A2283:F2302), F2282&amp;RIGHT(INDIRECT(ADDRESS(ROW(F2283)-1, 'From Order'!$A2283)), 1), F2282))"),"R")</f>
        <v>R</v>
      </c>
      <c r="G2283" s="2" t="str">
        <f>IFERROR(__xludf.DUMMYFUNCTION("IF('From Order'!$A2283=COLUMNS($A2283:G2302), LEFT(INDEX(FILTER(G$1:G2282, G$1:G2282&lt;&gt;""""),COUNTA(FILTER(G$1:G2282, G$1:G2282&lt;&gt;""""))), LEN(INDEX(FILTER(G$1:G2282, G$1:G2282&lt;&gt;""""),COUNTA(FILTER(G$1:G2282, G$1:G2282&lt;&gt;""""))))-1), IF('To Order'!$A2283=COL"&amp;"UMNS($A2283:G2302), G2282&amp;RIGHT(INDIRECT(ADDRESS(ROW(G2283)-1, 'From Order'!$A2283)), 1), G2282))"),"")</f>
        <v/>
      </c>
      <c r="H2283" s="2" t="str">
        <f>IFERROR(__xludf.DUMMYFUNCTION("IF('From Order'!$A2283=COLUMNS($A2283:H2302), LEFT(INDEX(FILTER(H$1:H2282, H$1:H2282&lt;&gt;""""),COUNTA(FILTER(H$1:H2282, H$1:H2282&lt;&gt;""""))), LEN(INDEX(FILTER(H$1:H2282, H$1:H2282&lt;&gt;""""),COUNTA(FILTER(H$1:H2282, H$1:H2282&lt;&gt;""""))))-1), IF('To Order'!$A2283=COL"&amp;"UMNS($A2283:H2302), H2282&amp;RIGHT(INDIRECT(ADDRESS(ROW(H2283)-1, 'From Order'!$A2283)), 1), H2282))"),"")</f>
        <v/>
      </c>
      <c r="I2283" s="2" t="str">
        <f>IFERROR(__xludf.DUMMYFUNCTION("IF('From Order'!$A2283=COLUMNS($A2283:I2302), LEFT(INDEX(FILTER(I$1:I2282, I$1:I2282&lt;&gt;""""),COUNTA(FILTER(I$1:I2282, I$1:I2282&lt;&gt;""""))), LEN(INDEX(FILTER(I$1:I2282, I$1:I2282&lt;&gt;""""),COUNTA(FILTER(I$1:I2282, I$1:I2282&lt;&gt;""""))))-1), IF('To Order'!$A2283=COL"&amp;"UMNS($A2283:I2302), I2282&amp;RIGHT(INDIRECT(ADDRESS(ROW(I2283)-1, 'From Order'!$A2283)), 1), I2282))"),"DDDVQZDMTTGMJRRLPSSTMZHPRBVJBCBFLLWTHZSCTTQR")</f>
        <v>DDDVQZDMTTGMJRRLPSSTMZHPRBVJBCBFLLWTHZSCTTQR</v>
      </c>
    </row>
    <row r="2284">
      <c r="A2284" s="2" t="str">
        <f>IFERROR(__xludf.DUMMYFUNCTION("IF('From Order'!$A2284=COLUMNS($A2284:A2303), LEFT(INDEX(FILTER(A$1:A2283, A$1:A2283&lt;&gt;""""),COUNTA(FILTER(A$1:A2283, A$1:A2283&lt;&gt;""""))), LEN(INDEX(FILTER(A$1:A2283, A$1:A2283&lt;&gt;""""),COUNTA(FILTER(A$1:A2283, A$1:A2283&lt;&gt;""""))))-1), IF('To Order'!$A2284=COL"&amp;"UMNS($A2284:A2303), A2283&amp;RIGHT(INDIRECT(ADDRESS(ROW(A2284)-1, 'From Order'!$A2284)), 1), A2283))"),"DC")</f>
        <v>DC</v>
      </c>
      <c r="B2284" s="2" t="str">
        <f>IFERROR(__xludf.DUMMYFUNCTION("IF('From Order'!$A2284=COLUMNS($A2284:B2303), LEFT(INDEX(FILTER(B$1:B2283, B$1:B2283&lt;&gt;""""),COUNTA(FILTER(B$1:B2283, B$1:B2283&lt;&gt;""""))), LEN(INDEX(FILTER(B$1:B2283, B$1:B2283&lt;&gt;""""),COUNTA(FILTER(B$1:B2283, B$1:B2283&lt;&gt;""""))))-1), IF('To Order'!$A2284=COL"&amp;"UMNS($A2284:B2303), B2283&amp;RIGHT(INDIRECT(ADDRESS(ROW(B2284)-1, 'From Order'!$A2284)), 1), B2283))"),"F")</f>
        <v>F</v>
      </c>
      <c r="C2284" s="2" t="str">
        <f>IFERROR(__xludf.DUMMYFUNCTION("IF('From Order'!$A2284=COLUMNS($A2284:C2303), LEFT(INDEX(FILTER(C$1:C2283, C$1:C2283&lt;&gt;""""),COUNTA(FILTER(C$1:C2283, C$1:C2283&lt;&gt;""""))), LEN(INDEX(FILTER(C$1:C2283, C$1:C2283&lt;&gt;""""),COUNTA(FILTER(C$1:C2283, C$1:C2283&lt;&gt;""""))))-1), IF('To Order'!$A2284=COL"&amp;"UMNS($A2284:C2303), C2283&amp;RIGHT(INDIRECT(ADDRESS(ROW(C2284)-1, 'From Order'!$A2284)), 1), C2283))"),"VBWDJPSGR")</f>
        <v>VBWDJPSGR</v>
      </c>
      <c r="D2284" s="2" t="str">
        <f>IFERROR(__xludf.DUMMYFUNCTION("IF('From Order'!$A2284=COLUMNS($A2284:D2303), LEFT(INDEX(FILTER(D$1:D2283, D$1:D2283&lt;&gt;""""),COUNTA(FILTER(D$1:D2283, D$1:D2283&lt;&gt;""""))), LEN(INDEX(FILTER(D$1:D2283, D$1:D2283&lt;&gt;""""),COUNTA(FILTER(D$1:D2283, D$1:D2283&lt;&gt;""""))))-1), IF('To Order'!$A2284=COL"&amp;"UMNS($A2284:D2303), D2283&amp;RIGHT(INDIRECT(ADDRESS(ROW(D2284)-1, 'From Order'!$A2284)), 1), D2283))"),"")</f>
        <v/>
      </c>
      <c r="E2284" s="2" t="str">
        <f>IFERROR(__xludf.DUMMYFUNCTION("IF('From Order'!$A2284=COLUMNS($A2284:E2303), LEFT(INDEX(FILTER(E$1:E2283, E$1:E2283&lt;&gt;""""),COUNTA(FILTER(E$1:E2283, E$1:E2283&lt;&gt;""""))), LEN(INDEX(FILTER(E$1:E2283, E$1:E2283&lt;&gt;""""),COUNTA(FILTER(E$1:E2283, E$1:E2283&lt;&gt;""""))))-1), IF('To Order'!$A2284=COL"&amp;"UMNS($A2284:E2303), E2283&amp;RIGHT(INDIRECT(ADDRESS(ROW(E2284)-1, 'From Order'!$A2284)), 1), E2283))"),"")</f>
        <v/>
      </c>
      <c r="F2284" s="2" t="str">
        <f>IFERROR(__xludf.DUMMYFUNCTION("IF('From Order'!$A2284=COLUMNS($A2284:F2303), LEFT(INDEX(FILTER(F$1:F2283, F$1:F2283&lt;&gt;""""),COUNTA(FILTER(F$1:F2283, F$1:F2283&lt;&gt;""""))), LEN(INDEX(FILTER(F$1:F2283, F$1:F2283&lt;&gt;""""),COUNTA(FILTER(F$1:F2283, F$1:F2283&lt;&gt;""""))))-1), IF('To Order'!$A2284=COL"&amp;"UMNS($A2284:F2303), F2283&amp;RIGHT(INDIRECT(ADDRESS(ROW(F2284)-1, 'From Order'!$A2284)), 1), F2283))"),"")</f>
        <v/>
      </c>
      <c r="G2284" s="2" t="str">
        <f>IFERROR(__xludf.DUMMYFUNCTION("IF('From Order'!$A2284=COLUMNS($A2284:G2303), LEFT(INDEX(FILTER(G$1:G2283, G$1:G2283&lt;&gt;""""),COUNTA(FILTER(G$1:G2283, G$1:G2283&lt;&gt;""""))), LEN(INDEX(FILTER(G$1:G2283, G$1:G2283&lt;&gt;""""),COUNTA(FILTER(G$1:G2283, G$1:G2283&lt;&gt;""""))))-1), IF('To Order'!$A2284=COL"&amp;"UMNS($A2284:G2303), G2283&amp;RIGHT(INDIRECT(ADDRESS(ROW(G2284)-1, 'From Order'!$A2284)), 1), G2283))"),"")</f>
        <v/>
      </c>
      <c r="H2284" s="2" t="str">
        <f>IFERROR(__xludf.DUMMYFUNCTION("IF('From Order'!$A2284=COLUMNS($A2284:H2303), LEFT(INDEX(FILTER(H$1:H2283, H$1:H2283&lt;&gt;""""),COUNTA(FILTER(H$1:H2283, H$1:H2283&lt;&gt;""""))), LEN(INDEX(FILTER(H$1:H2283, H$1:H2283&lt;&gt;""""),COUNTA(FILTER(H$1:H2283, H$1:H2283&lt;&gt;""""))))-1), IF('To Order'!$A2284=COL"&amp;"UMNS($A2284:H2303), H2283&amp;RIGHT(INDIRECT(ADDRESS(ROW(H2284)-1, 'From Order'!$A2284)), 1), H2283))"),"")</f>
        <v/>
      </c>
      <c r="I2284" s="2" t="str">
        <f>IFERROR(__xludf.DUMMYFUNCTION("IF('From Order'!$A2284=COLUMNS($A2284:I2303), LEFT(INDEX(FILTER(I$1:I2283, I$1:I2283&lt;&gt;""""),COUNTA(FILTER(I$1:I2283, I$1:I2283&lt;&gt;""""))), LEN(INDEX(FILTER(I$1:I2283, I$1:I2283&lt;&gt;""""),COUNTA(FILTER(I$1:I2283, I$1:I2283&lt;&gt;""""))))-1), IF('To Order'!$A2284=COL"&amp;"UMNS($A2284:I2303), I2283&amp;RIGHT(INDIRECT(ADDRESS(ROW(I2284)-1, 'From Order'!$A2284)), 1), I2283))"),"DDDVQZDMTTGMJRRLPSSTMZHPRBVJBCBFLLWTHZSCTTQR")</f>
        <v>DDDVQZDMTTGMJRRLPSSTMZHPRBVJBCBFLLWTHZSCTTQR</v>
      </c>
    </row>
    <row r="2285">
      <c r="A2285" s="2" t="str">
        <f>IFERROR(__xludf.DUMMYFUNCTION("IF('From Order'!$A2285=COLUMNS($A2285:A2304), LEFT(INDEX(FILTER(A$1:A2284, A$1:A2284&lt;&gt;""""),COUNTA(FILTER(A$1:A2284, A$1:A2284&lt;&gt;""""))), LEN(INDEX(FILTER(A$1:A2284, A$1:A2284&lt;&gt;""""),COUNTA(FILTER(A$1:A2284, A$1:A2284&lt;&gt;""""))))-1), IF('To Order'!$A2285=COL"&amp;"UMNS($A2285:A2304), A2284&amp;RIGHT(INDIRECT(ADDRESS(ROW(A2285)-1, 'From Order'!$A2285)), 1), A2284))"),"DC")</f>
        <v>DC</v>
      </c>
      <c r="B2285" s="2" t="str">
        <f>IFERROR(__xludf.DUMMYFUNCTION("IF('From Order'!$A2285=COLUMNS($A2285:B2304), LEFT(INDEX(FILTER(B$1:B2284, B$1:B2284&lt;&gt;""""),COUNTA(FILTER(B$1:B2284, B$1:B2284&lt;&gt;""""))), LEN(INDEX(FILTER(B$1:B2284, B$1:B2284&lt;&gt;""""),COUNTA(FILTER(B$1:B2284, B$1:B2284&lt;&gt;""""))))-1), IF('To Order'!$A2285=COL"&amp;"UMNS($A2285:B2304), B2284&amp;RIGHT(INDIRECT(ADDRESS(ROW(B2285)-1, 'From Order'!$A2285)), 1), B2284))"),"FR")</f>
        <v>FR</v>
      </c>
      <c r="C2285" s="2" t="str">
        <f>IFERROR(__xludf.DUMMYFUNCTION("IF('From Order'!$A2285=COLUMNS($A2285:C2304), LEFT(INDEX(FILTER(C$1:C2284, C$1:C2284&lt;&gt;""""),COUNTA(FILTER(C$1:C2284, C$1:C2284&lt;&gt;""""))), LEN(INDEX(FILTER(C$1:C2284, C$1:C2284&lt;&gt;""""),COUNTA(FILTER(C$1:C2284, C$1:C2284&lt;&gt;""""))))-1), IF('To Order'!$A2285=COL"&amp;"UMNS($A2285:C2304), C2284&amp;RIGHT(INDIRECT(ADDRESS(ROW(C2285)-1, 'From Order'!$A2285)), 1), C2284))"),"VBWDJPSG")</f>
        <v>VBWDJPSG</v>
      </c>
      <c r="D2285" s="2" t="str">
        <f>IFERROR(__xludf.DUMMYFUNCTION("IF('From Order'!$A2285=COLUMNS($A2285:D2304), LEFT(INDEX(FILTER(D$1:D2284, D$1:D2284&lt;&gt;""""),COUNTA(FILTER(D$1:D2284, D$1:D2284&lt;&gt;""""))), LEN(INDEX(FILTER(D$1:D2284, D$1:D2284&lt;&gt;""""),COUNTA(FILTER(D$1:D2284, D$1:D2284&lt;&gt;""""))))-1), IF('To Order'!$A2285=COL"&amp;"UMNS($A2285:D2304), D2284&amp;RIGHT(INDIRECT(ADDRESS(ROW(D2285)-1, 'From Order'!$A2285)), 1), D2284))"),"")</f>
        <v/>
      </c>
      <c r="E2285" s="2" t="str">
        <f>IFERROR(__xludf.DUMMYFUNCTION("IF('From Order'!$A2285=COLUMNS($A2285:E2304), LEFT(INDEX(FILTER(E$1:E2284, E$1:E2284&lt;&gt;""""),COUNTA(FILTER(E$1:E2284, E$1:E2284&lt;&gt;""""))), LEN(INDEX(FILTER(E$1:E2284, E$1:E2284&lt;&gt;""""),COUNTA(FILTER(E$1:E2284, E$1:E2284&lt;&gt;""""))))-1), IF('To Order'!$A2285=COL"&amp;"UMNS($A2285:E2304), E2284&amp;RIGHT(INDIRECT(ADDRESS(ROW(E2285)-1, 'From Order'!$A2285)), 1), E2284))"),"")</f>
        <v/>
      </c>
      <c r="F2285" s="2" t="str">
        <f>IFERROR(__xludf.DUMMYFUNCTION("IF('From Order'!$A2285=COLUMNS($A2285:F2304), LEFT(INDEX(FILTER(F$1:F2284, F$1:F2284&lt;&gt;""""),COUNTA(FILTER(F$1:F2284, F$1:F2284&lt;&gt;""""))), LEN(INDEX(FILTER(F$1:F2284, F$1:F2284&lt;&gt;""""),COUNTA(FILTER(F$1:F2284, F$1:F2284&lt;&gt;""""))))-1), IF('To Order'!$A2285=COL"&amp;"UMNS($A2285:F2304), F2284&amp;RIGHT(INDIRECT(ADDRESS(ROW(F2285)-1, 'From Order'!$A2285)), 1), F2284))"),"")</f>
        <v/>
      </c>
      <c r="G2285" s="2" t="str">
        <f>IFERROR(__xludf.DUMMYFUNCTION("IF('From Order'!$A2285=COLUMNS($A2285:G2304), LEFT(INDEX(FILTER(G$1:G2284, G$1:G2284&lt;&gt;""""),COUNTA(FILTER(G$1:G2284, G$1:G2284&lt;&gt;""""))), LEN(INDEX(FILTER(G$1:G2284, G$1:G2284&lt;&gt;""""),COUNTA(FILTER(G$1:G2284, G$1:G2284&lt;&gt;""""))))-1), IF('To Order'!$A2285=COL"&amp;"UMNS($A2285:G2304), G2284&amp;RIGHT(INDIRECT(ADDRESS(ROW(G2285)-1, 'From Order'!$A2285)), 1), G2284))"),"")</f>
        <v/>
      </c>
      <c r="H2285" s="2" t="str">
        <f>IFERROR(__xludf.DUMMYFUNCTION("IF('From Order'!$A2285=COLUMNS($A2285:H2304), LEFT(INDEX(FILTER(H$1:H2284, H$1:H2284&lt;&gt;""""),COUNTA(FILTER(H$1:H2284, H$1:H2284&lt;&gt;""""))), LEN(INDEX(FILTER(H$1:H2284, H$1:H2284&lt;&gt;""""),COUNTA(FILTER(H$1:H2284, H$1:H2284&lt;&gt;""""))))-1), IF('To Order'!$A2285=COL"&amp;"UMNS($A2285:H2304), H2284&amp;RIGHT(INDIRECT(ADDRESS(ROW(H2285)-1, 'From Order'!$A2285)), 1), H2284))"),"")</f>
        <v/>
      </c>
      <c r="I2285" s="2" t="str">
        <f>IFERROR(__xludf.DUMMYFUNCTION("IF('From Order'!$A2285=COLUMNS($A2285:I2304), LEFT(INDEX(FILTER(I$1:I2284, I$1:I2284&lt;&gt;""""),COUNTA(FILTER(I$1:I2284, I$1:I2284&lt;&gt;""""))), LEN(INDEX(FILTER(I$1:I2284, I$1:I2284&lt;&gt;""""),COUNTA(FILTER(I$1:I2284, I$1:I2284&lt;&gt;""""))))-1), IF('To Order'!$A2285=COL"&amp;"UMNS($A2285:I2304), I2284&amp;RIGHT(INDIRECT(ADDRESS(ROW(I2285)-1, 'From Order'!$A2285)), 1), I2284))"),"DDDVQZDMTTGMJRRLPSSTMZHPRBVJBCBFLLWTHZSCTTQR")</f>
        <v>DDDVQZDMTTGMJRRLPSSTMZHPRBVJBCBFLLWTHZSCTTQR</v>
      </c>
    </row>
    <row r="2286">
      <c r="A2286" s="2" t="str">
        <f>IFERROR(__xludf.DUMMYFUNCTION("IF('From Order'!$A2286=COLUMNS($A2286:A2305), LEFT(INDEX(FILTER(A$1:A2285, A$1:A2285&lt;&gt;""""),COUNTA(FILTER(A$1:A2285, A$1:A2285&lt;&gt;""""))), LEN(INDEX(FILTER(A$1:A2285, A$1:A2285&lt;&gt;""""),COUNTA(FILTER(A$1:A2285, A$1:A2285&lt;&gt;""""))))-1), IF('To Order'!$A2286=COL"&amp;"UMNS($A2286:A2305), A2285&amp;RIGHT(INDIRECT(ADDRESS(ROW(A2286)-1, 'From Order'!$A2286)), 1), A2285))"),"DC")</f>
        <v>DC</v>
      </c>
      <c r="B2286" s="2" t="str">
        <f>IFERROR(__xludf.DUMMYFUNCTION("IF('From Order'!$A2286=COLUMNS($A2286:B2305), LEFT(INDEX(FILTER(B$1:B2285, B$1:B2285&lt;&gt;""""),COUNTA(FILTER(B$1:B2285, B$1:B2285&lt;&gt;""""))), LEN(INDEX(FILTER(B$1:B2285, B$1:B2285&lt;&gt;""""),COUNTA(FILTER(B$1:B2285, B$1:B2285&lt;&gt;""""))))-1), IF('To Order'!$A2286=COL"&amp;"UMNS($A2286:B2305), B2285&amp;RIGHT(INDIRECT(ADDRESS(ROW(B2286)-1, 'From Order'!$A2286)), 1), B2285))"),"FRG")</f>
        <v>FRG</v>
      </c>
      <c r="C2286" s="2" t="str">
        <f>IFERROR(__xludf.DUMMYFUNCTION("IF('From Order'!$A2286=COLUMNS($A2286:C2305), LEFT(INDEX(FILTER(C$1:C2285, C$1:C2285&lt;&gt;""""),COUNTA(FILTER(C$1:C2285, C$1:C2285&lt;&gt;""""))), LEN(INDEX(FILTER(C$1:C2285, C$1:C2285&lt;&gt;""""),COUNTA(FILTER(C$1:C2285, C$1:C2285&lt;&gt;""""))))-1), IF('To Order'!$A2286=COL"&amp;"UMNS($A2286:C2305), C2285&amp;RIGHT(INDIRECT(ADDRESS(ROW(C2286)-1, 'From Order'!$A2286)), 1), C2285))"),"VBWDJPS")</f>
        <v>VBWDJPS</v>
      </c>
      <c r="D2286" s="2" t="str">
        <f>IFERROR(__xludf.DUMMYFUNCTION("IF('From Order'!$A2286=COLUMNS($A2286:D2305), LEFT(INDEX(FILTER(D$1:D2285, D$1:D2285&lt;&gt;""""),COUNTA(FILTER(D$1:D2285, D$1:D2285&lt;&gt;""""))), LEN(INDEX(FILTER(D$1:D2285, D$1:D2285&lt;&gt;""""),COUNTA(FILTER(D$1:D2285, D$1:D2285&lt;&gt;""""))))-1), IF('To Order'!$A2286=COL"&amp;"UMNS($A2286:D2305), D2285&amp;RIGHT(INDIRECT(ADDRESS(ROW(D2286)-1, 'From Order'!$A2286)), 1), D2285))"),"")</f>
        <v/>
      </c>
      <c r="E2286" s="2" t="str">
        <f>IFERROR(__xludf.DUMMYFUNCTION("IF('From Order'!$A2286=COLUMNS($A2286:E2305), LEFT(INDEX(FILTER(E$1:E2285, E$1:E2285&lt;&gt;""""),COUNTA(FILTER(E$1:E2285, E$1:E2285&lt;&gt;""""))), LEN(INDEX(FILTER(E$1:E2285, E$1:E2285&lt;&gt;""""),COUNTA(FILTER(E$1:E2285, E$1:E2285&lt;&gt;""""))))-1), IF('To Order'!$A2286=COL"&amp;"UMNS($A2286:E2305), E2285&amp;RIGHT(INDIRECT(ADDRESS(ROW(E2286)-1, 'From Order'!$A2286)), 1), E2285))"),"")</f>
        <v/>
      </c>
      <c r="F2286" s="2" t="str">
        <f>IFERROR(__xludf.DUMMYFUNCTION("IF('From Order'!$A2286=COLUMNS($A2286:F2305), LEFT(INDEX(FILTER(F$1:F2285, F$1:F2285&lt;&gt;""""),COUNTA(FILTER(F$1:F2285, F$1:F2285&lt;&gt;""""))), LEN(INDEX(FILTER(F$1:F2285, F$1:F2285&lt;&gt;""""),COUNTA(FILTER(F$1:F2285, F$1:F2285&lt;&gt;""""))))-1), IF('To Order'!$A2286=COL"&amp;"UMNS($A2286:F2305), F2285&amp;RIGHT(INDIRECT(ADDRESS(ROW(F2286)-1, 'From Order'!$A2286)), 1), F2285))"),"")</f>
        <v/>
      </c>
      <c r="G2286" s="2" t="str">
        <f>IFERROR(__xludf.DUMMYFUNCTION("IF('From Order'!$A2286=COLUMNS($A2286:G2305), LEFT(INDEX(FILTER(G$1:G2285, G$1:G2285&lt;&gt;""""),COUNTA(FILTER(G$1:G2285, G$1:G2285&lt;&gt;""""))), LEN(INDEX(FILTER(G$1:G2285, G$1:G2285&lt;&gt;""""),COUNTA(FILTER(G$1:G2285, G$1:G2285&lt;&gt;""""))))-1), IF('To Order'!$A2286=COL"&amp;"UMNS($A2286:G2305), G2285&amp;RIGHT(INDIRECT(ADDRESS(ROW(G2286)-1, 'From Order'!$A2286)), 1), G2285))"),"")</f>
        <v/>
      </c>
      <c r="H2286" s="2" t="str">
        <f>IFERROR(__xludf.DUMMYFUNCTION("IF('From Order'!$A2286=COLUMNS($A2286:H2305), LEFT(INDEX(FILTER(H$1:H2285, H$1:H2285&lt;&gt;""""),COUNTA(FILTER(H$1:H2285, H$1:H2285&lt;&gt;""""))), LEN(INDEX(FILTER(H$1:H2285, H$1:H2285&lt;&gt;""""),COUNTA(FILTER(H$1:H2285, H$1:H2285&lt;&gt;""""))))-1), IF('To Order'!$A2286=COL"&amp;"UMNS($A2286:H2305), H2285&amp;RIGHT(INDIRECT(ADDRESS(ROW(H2286)-1, 'From Order'!$A2286)), 1), H2285))"),"")</f>
        <v/>
      </c>
      <c r="I2286" s="2" t="str">
        <f>IFERROR(__xludf.DUMMYFUNCTION("IF('From Order'!$A2286=COLUMNS($A2286:I2305), LEFT(INDEX(FILTER(I$1:I2285, I$1:I2285&lt;&gt;""""),COUNTA(FILTER(I$1:I2285, I$1:I2285&lt;&gt;""""))), LEN(INDEX(FILTER(I$1:I2285, I$1:I2285&lt;&gt;""""),COUNTA(FILTER(I$1:I2285, I$1:I2285&lt;&gt;""""))))-1), IF('To Order'!$A2286=COL"&amp;"UMNS($A2286:I2305), I2285&amp;RIGHT(INDIRECT(ADDRESS(ROW(I2286)-1, 'From Order'!$A2286)), 1), I2285))"),"DDDVQZDMTTGMJRRLPSSTMZHPRBVJBCBFLLWTHZSCTTQR")</f>
        <v>DDDVQZDMTTGMJRRLPSSTMZHPRBVJBCBFLLWTHZSCTTQR</v>
      </c>
    </row>
    <row r="2287">
      <c r="A2287" s="2" t="str">
        <f>IFERROR(__xludf.DUMMYFUNCTION("IF('From Order'!$A2287=COLUMNS($A2287:A2306), LEFT(INDEX(FILTER(A$1:A2286, A$1:A2286&lt;&gt;""""),COUNTA(FILTER(A$1:A2286, A$1:A2286&lt;&gt;""""))), LEN(INDEX(FILTER(A$1:A2286, A$1:A2286&lt;&gt;""""),COUNTA(FILTER(A$1:A2286, A$1:A2286&lt;&gt;""""))))-1), IF('To Order'!$A2287=COL"&amp;"UMNS($A2287:A2306), A2286&amp;RIGHT(INDIRECT(ADDRESS(ROW(A2287)-1, 'From Order'!$A2287)), 1), A2286))"),"DC")</f>
        <v>DC</v>
      </c>
      <c r="B2287" s="2" t="str">
        <f>IFERROR(__xludf.DUMMYFUNCTION("IF('From Order'!$A2287=COLUMNS($A2287:B2306), LEFT(INDEX(FILTER(B$1:B2286, B$1:B2286&lt;&gt;""""),COUNTA(FILTER(B$1:B2286, B$1:B2286&lt;&gt;""""))), LEN(INDEX(FILTER(B$1:B2286, B$1:B2286&lt;&gt;""""),COUNTA(FILTER(B$1:B2286, B$1:B2286&lt;&gt;""""))))-1), IF('To Order'!$A2287=COL"&amp;"UMNS($A2287:B2306), B2286&amp;RIGHT(INDIRECT(ADDRESS(ROW(B2287)-1, 'From Order'!$A2287)), 1), B2286))"),"FR")</f>
        <v>FR</v>
      </c>
      <c r="C2287" s="2" t="str">
        <f>IFERROR(__xludf.DUMMYFUNCTION("IF('From Order'!$A2287=COLUMNS($A2287:C2306), LEFT(INDEX(FILTER(C$1:C2286, C$1:C2286&lt;&gt;""""),COUNTA(FILTER(C$1:C2286, C$1:C2286&lt;&gt;""""))), LEN(INDEX(FILTER(C$1:C2286, C$1:C2286&lt;&gt;""""),COUNTA(FILTER(C$1:C2286, C$1:C2286&lt;&gt;""""))))-1), IF('To Order'!$A2287=COL"&amp;"UMNS($A2287:C2306), C2286&amp;RIGHT(INDIRECT(ADDRESS(ROW(C2287)-1, 'From Order'!$A2287)), 1), C2286))"),"VBWDJPS")</f>
        <v>VBWDJPS</v>
      </c>
      <c r="D2287" s="2" t="str">
        <f>IFERROR(__xludf.DUMMYFUNCTION("IF('From Order'!$A2287=COLUMNS($A2287:D2306), LEFT(INDEX(FILTER(D$1:D2286, D$1:D2286&lt;&gt;""""),COUNTA(FILTER(D$1:D2286, D$1:D2286&lt;&gt;""""))), LEN(INDEX(FILTER(D$1:D2286, D$1:D2286&lt;&gt;""""),COUNTA(FILTER(D$1:D2286, D$1:D2286&lt;&gt;""""))))-1), IF('To Order'!$A2287=COL"&amp;"UMNS($A2287:D2306), D2286&amp;RIGHT(INDIRECT(ADDRESS(ROW(D2287)-1, 'From Order'!$A2287)), 1), D2286))"),"G")</f>
        <v>G</v>
      </c>
      <c r="E2287" s="2" t="str">
        <f>IFERROR(__xludf.DUMMYFUNCTION("IF('From Order'!$A2287=COLUMNS($A2287:E2306), LEFT(INDEX(FILTER(E$1:E2286, E$1:E2286&lt;&gt;""""),COUNTA(FILTER(E$1:E2286, E$1:E2286&lt;&gt;""""))), LEN(INDEX(FILTER(E$1:E2286, E$1:E2286&lt;&gt;""""),COUNTA(FILTER(E$1:E2286, E$1:E2286&lt;&gt;""""))))-1), IF('To Order'!$A2287=COL"&amp;"UMNS($A2287:E2306), E2286&amp;RIGHT(INDIRECT(ADDRESS(ROW(E2287)-1, 'From Order'!$A2287)), 1), E2286))"),"")</f>
        <v/>
      </c>
      <c r="F2287" s="2" t="str">
        <f>IFERROR(__xludf.DUMMYFUNCTION("IF('From Order'!$A2287=COLUMNS($A2287:F2306), LEFT(INDEX(FILTER(F$1:F2286, F$1:F2286&lt;&gt;""""),COUNTA(FILTER(F$1:F2286, F$1:F2286&lt;&gt;""""))), LEN(INDEX(FILTER(F$1:F2286, F$1:F2286&lt;&gt;""""),COUNTA(FILTER(F$1:F2286, F$1:F2286&lt;&gt;""""))))-1), IF('To Order'!$A2287=COL"&amp;"UMNS($A2287:F2306), F2286&amp;RIGHT(INDIRECT(ADDRESS(ROW(F2287)-1, 'From Order'!$A2287)), 1), F2286))"),"")</f>
        <v/>
      </c>
      <c r="G2287" s="2" t="str">
        <f>IFERROR(__xludf.DUMMYFUNCTION("IF('From Order'!$A2287=COLUMNS($A2287:G2306), LEFT(INDEX(FILTER(G$1:G2286, G$1:G2286&lt;&gt;""""),COUNTA(FILTER(G$1:G2286, G$1:G2286&lt;&gt;""""))), LEN(INDEX(FILTER(G$1:G2286, G$1:G2286&lt;&gt;""""),COUNTA(FILTER(G$1:G2286, G$1:G2286&lt;&gt;""""))))-1), IF('To Order'!$A2287=COL"&amp;"UMNS($A2287:G2306), G2286&amp;RIGHT(INDIRECT(ADDRESS(ROW(G2287)-1, 'From Order'!$A2287)), 1), G2286))"),"")</f>
        <v/>
      </c>
      <c r="H2287" s="2" t="str">
        <f>IFERROR(__xludf.DUMMYFUNCTION("IF('From Order'!$A2287=COLUMNS($A2287:H2306), LEFT(INDEX(FILTER(H$1:H2286, H$1:H2286&lt;&gt;""""),COUNTA(FILTER(H$1:H2286, H$1:H2286&lt;&gt;""""))), LEN(INDEX(FILTER(H$1:H2286, H$1:H2286&lt;&gt;""""),COUNTA(FILTER(H$1:H2286, H$1:H2286&lt;&gt;""""))))-1), IF('To Order'!$A2287=COL"&amp;"UMNS($A2287:H2306), H2286&amp;RIGHT(INDIRECT(ADDRESS(ROW(H2287)-1, 'From Order'!$A2287)), 1), H2286))"),"")</f>
        <v/>
      </c>
      <c r="I2287" s="2" t="str">
        <f>IFERROR(__xludf.DUMMYFUNCTION("IF('From Order'!$A2287=COLUMNS($A2287:I2306), LEFT(INDEX(FILTER(I$1:I2286, I$1:I2286&lt;&gt;""""),COUNTA(FILTER(I$1:I2286, I$1:I2286&lt;&gt;""""))), LEN(INDEX(FILTER(I$1:I2286, I$1:I2286&lt;&gt;""""),COUNTA(FILTER(I$1:I2286, I$1:I2286&lt;&gt;""""))))-1), IF('To Order'!$A2287=COL"&amp;"UMNS($A2287:I2306), I2286&amp;RIGHT(INDIRECT(ADDRESS(ROW(I2287)-1, 'From Order'!$A2287)), 1), I2286))"),"DDDVQZDMTTGMJRRLPSSTMZHPRBVJBCBFLLWTHZSCTTQR")</f>
        <v>DDDVQZDMTTGMJRRLPSSTMZHPRBVJBCBFLLWTHZSCTTQR</v>
      </c>
    </row>
    <row r="2288">
      <c r="A2288" s="2" t="str">
        <f>IFERROR(__xludf.DUMMYFUNCTION("IF('From Order'!$A2288=COLUMNS($A2288:A2307), LEFT(INDEX(FILTER(A$1:A2287, A$1:A2287&lt;&gt;""""),COUNTA(FILTER(A$1:A2287, A$1:A2287&lt;&gt;""""))), LEN(INDEX(FILTER(A$1:A2287, A$1:A2287&lt;&gt;""""),COUNTA(FILTER(A$1:A2287, A$1:A2287&lt;&gt;""""))))-1), IF('To Order'!$A2288=COL"&amp;"UMNS($A2288:A2307), A2287&amp;RIGHT(INDIRECT(ADDRESS(ROW(A2288)-1, 'From Order'!$A2288)), 1), A2287))"),"DC")</f>
        <v>DC</v>
      </c>
      <c r="B2288" s="2" t="str">
        <f>IFERROR(__xludf.DUMMYFUNCTION("IF('From Order'!$A2288=COLUMNS($A2288:B2307), LEFT(INDEX(FILTER(B$1:B2287, B$1:B2287&lt;&gt;""""),COUNTA(FILTER(B$1:B2287, B$1:B2287&lt;&gt;""""))), LEN(INDEX(FILTER(B$1:B2287, B$1:B2287&lt;&gt;""""),COUNTA(FILTER(B$1:B2287, B$1:B2287&lt;&gt;""""))))-1), IF('To Order'!$A2288=COL"&amp;"UMNS($A2288:B2307), B2287&amp;RIGHT(INDIRECT(ADDRESS(ROW(B2288)-1, 'From Order'!$A2288)), 1), B2287))"),"F")</f>
        <v>F</v>
      </c>
      <c r="C2288" s="2" t="str">
        <f>IFERROR(__xludf.DUMMYFUNCTION("IF('From Order'!$A2288=COLUMNS($A2288:C2307), LEFT(INDEX(FILTER(C$1:C2287, C$1:C2287&lt;&gt;""""),COUNTA(FILTER(C$1:C2287, C$1:C2287&lt;&gt;""""))), LEN(INDEX(FILTER(C$1:C2287, C$1:C2287&lt;&gt;""""),COUNTA(FILTER(C$1:C2287, C$1:C2287&lt;&gt;""""))))-1), IF('To Order'!$A2288=COL"&amp;"UMNS($A2288:C2307), C2287&amp;RIGHT(INDIRECT(ADDRESS(ROW(C2288)-1, 'From Order'!$A2288)), 1), C2287))"),"VBWDJPS")</f>
        <v>VBWDJPS</v>
      </c>
      <c r="D2288" s="2" t="str">
        <f>IFERROR(__xludf.DUMMYFUNCTION("IF('From Order'!$A2288=COLUMNS($A2288:D2307), LEFT(INDEX(FILTER(D$1:D2287, D$1:D2287&lt;&gt;""""),COUNTA(FILTER(D$1:D2287, D$1:D2287&lt;&gt;""""))), LEN(INDEX(FILTER(D$1:D2287, D$1:D2287&lt;&gt;""""),COUNTA(FILTER(D$1:D2287, D$1:D2287&lt;&gt;""""))))-1), IF('To Order'!$A2288=COL"&amp;"UMNS($A2288:D2307), D2287&amp;RIGHT(INDIRECT(ADDRESS(ROW(D2288)-1, 'From Order'!$A2288)), 1), D2287))"),"GR")</f>
        <v>GR</v>
      </c>
      <c r="E2288" s="2" t="str">
        <f>IFERROR(__xludf.DUMMYFUNCTION("IF('From Order'!$A2288=COLUMNS($A2288:E2307), LEFT(INDEX(FILTER(E$1:E2287, E$1:E2287&lt;&gt;""""),COUNTA(FILTER(E$1:E2287, E$1:E2287&lt;&gt;""""))), LEN(INDEX(FILTER(E$1:E2287, E$1:E2287&lt;&gt;""""),COUNTA(FILTER(E$1:E2287, E$1:E2287&lt;&gt;""""))))-1), IF('To Order'!$A2288=COL"&amp;"UMNS($A2288:E2307), E2287&amp;RIGHT(INDIRECT(ADDRESS(ROW(E2288)-1, 'From Order'!$A2288)), 1), E2287))"),"")</f>
        <v/>
      </c>
      <c r="F2288" s="2" t="str">
        <f>IFERROR(__xludf.DUMMYFUNCTION("IF('From Order'!$A2288=COLUMNS($A2288:F2307), LEFT(INDEX(FILTER(F$1:F2287, F$1:F2287&lt;&gt;""""),COUNTA(FILTER(F$1:F2287, F$1:F2287&lt;&gt;""""))), LEN(INDEX(FILTER(F$1:F2287, F$1:F2287&lt;&gt;""""),COUNTA(FILTER(F$1:F2287, F$1:F2287&lt;&gt;""""))))-1), IF('To Order'!$A2288=COL"&amp;"UMNS($A2288:F2307), F2287&amp;RIGHT(INDIRECT(ADDRESS(ROW(F2288)-1, 'From Order'!$A2288)), 1), F2287))"),"")</f>
        <v/>
      </c>
      <c r="G2288" s="2" t="str">
        <f>IFERROR(__xludf.DUMMYFUNCTION("IF('From Order'!$A2288=COLUMNS($A2288:G2307), LEFT(INDEX(FILTER(G$1:G2287, G$1:G2287&lt;&gt;""""),COUNTA(FILTER(G$1:G2287, G$1:G2287&lt;&gt;""""))), LEN(INDEX(FILTER(G$1:G2287, G$1:G2287&lt;&gt;""""),COUNTA(FILTER(G$1:G2287, G$1:G2287&lt;&gt;""""))))-1), IF('To Order'!$A2288=COL"&amp;"UMNS($A2288:G2307), G2287&amp;RIGHT(INDIRECT(ADDRESS(ROW(G2288)-1, 'From Order'!$A2288)), 1), G2287))"),"")</f>
        <v/>
      </c>
      <c r="H2288" s="2" t="str">
        <f>IFERROR(__xludf.DUMMYFUNCTION("IF('From Order'!$A2288=COLUMNS($A2288:H2307), LEFT(INDEX(FILTER(H$1:H2287, H$1:H2287&lt;&gt;""""),COUNTA(FILTER(H$1:H2287, H$1:H2287&lt;&gt;""""))), LEN(INDEX(FILTER(H$1:H2287, H$1:H2287&lt;&gt;""""),COUNTA(FILTER(H$1:H2287, H$1:H2287&lt;&gt;""""))))-1), IF('To Order'!$A2288=COL"&amp;"UMNS($A2288:H2307), H2287&amp;RIGHT(INDIRECT(ADDRESS(ROW(H2288)-1, 'From Order'!$A2288)), 1), H2287))"),"")</f>
        <v/>
      </c>
      <c r="I2288" s="2" t="str">
        <f>IFERROR(__xludf.DUMMYFUNCTION("IF('From Order'!$A2288=COLUMNS($A2288:I2307), LEFT(INDEX(FILTER(I$1:I2287, I$1:I2287&lt;&gt;""""),COUNTA(FILTER(I$1:I2287, I$1:I2287&lt;&gt;""""))), LEN(INDEX(FILTER(I$1:I2287, I$1:I2287&lt;&gt;""""),COUNTA(FILTER(I$1:I2287, I$1:I2287&lt;&gt;""""))))-1), IF('To Order'!$A2288=COL"&amp;"UMNS($A2288:I2307), I2287&amp;RIGHT(INDIRECT(ADDRESS(ROW(I2288)-1, 'From Order'!$A2288)), 1), I2287))"),"DDDVQZDMTTGMJRRLPSSTMZHPRBVJBCBFLLWTHZSCTTQR")</f>
        <v>DDDVQZDMTTGMJRRLPSSTMZHPRBVJBCBFLLWTHZSCTTQR</v>
      </c>
    </row>
    <row r="2289">
      <c r="A2289" s="2" t="str">
        <f>IFERROR(__xludf.DUMMYFUNCTION("IF('From Order'!$A2289=COLUMNS($A2289:A2308), LEFT(INDEX(FILTER(A$1:A2288, A$1:A2288&lt;&gt;""""),COUNTA(FILTER(A$1:A2288, A$1:A2288&lt;&gt;""""))), LEN(INDEX(FILTER(A$1:A2288, A$1:A2288&lt;&gt;""""),COUNTA(FILTER(A$1:A2288, A$1:A2288&lt;&gt;""""))))-1), IF('To Order'!$A2289=COL"&amp;"UMNS($A2289:A2308), A2288&amp;RIGHT(INDIRECT(ADDRESS(ROW(A2289)-1, 'From Order'!$A2289)), 1), A2288))"),"DC")</f>
        <v>DC</v>
      </c>
      <c r="B2289" s="2" t="str">
        <f>IFERROR(__xludf.DUMMYFUNCTION("IF('From Order'!$A2289=COLUMNS($A2289:B2308), LEFT(INDEX(FILTER(B$1:B2288, B$1:B2288&lt;&gt;""""),COUNTA(FILTER(B$1:B2288, B$1:B2288&lt;&gt;""""))), LEN(INDEX(FILTER(B$1:B2288, B$1:B2288&lt;&gt;""""),COUNTA(FILTER(B$1:B2288, B$1:B2288&lt;&gt;""""))))-1), IF('To Order'!$A2289=COL"&amp;"UMNS($A2289:B2308), B2288&amp;RIGHT(INDIRECT(ADDRESS(ROW(B2289)-1, 'From Order'!$A2289)), 1), B2288))"),"")</f>
        <v/>
      </c>
      <c r="C2289" s="2" t="str">
        <f>IFERROR(__xludf.DUMMYFUNCTION("IF('From Order'!$A2289=COLUMNS($A2289:C2308), LEFT(INDEX(FILTER(C$1:C2288, C$1:C2288&lt;&gt;""""),COUNTA(FILTER(C$1:C2288, C$1:C2288&lt;&gt;""""))), LEN(INDEX(FILTER(C$1:C2288, C$1:C2288&lt;&gt;""""),COUNTA(FILTER(C$1:C2288, C$1:C2288&lt;&gt;""""))))-1), IF('To Order'!$A2289=COL"&amp;"UMNS($A2289:C2308), C2288&amp;RIGHT(INDIRECT(ADDRESS(ROW(C2289)-1, 'From Order'!$A2289)), 1), C2288))"),"VBWDJPS")</f>
        <v>VBWDJPS</v>
      </c>
      <c r="D2289" s="2" t="str">
        <f>IFERROR(__xludf.DUMMYFUNCTION("IF('From Order'!$A2289=COLUMNS($A2289:D2308), LEFT(INDEX(FILTER(D$1:D2288, D$1:D2288&lt;&gt;""""),COUNTA(FILTER(D$1:D2288, D$1:D2288&lt;&gt;""""))), LEN(INDEX(FILTER(D$1:D2288, D$1:D2288&lt;&gt;""""),COUNTA(FILTER(D$1:D2288, D$1:D2288&lt;&gt;""""))))-1), IF('To Order'!$A2289=COL"&amp;"UMNS($A2289:D2308), D2288&amp;RIGHT(INDIRECT(ADDRESS(ROW(D2289)-1, 'From Order'!$A2289)), 1), D2288))"),"GR")</f>
        <v>GR</v>
      </c>
      <c r="E2289" s="2" t="str">
        <f>IFERROR(__xludf.DUMMYFUNCTION("IF('From Order'!$A2289=COLUMNS($A2289:E2308), LEFT(INDEX(FILTER(E$1:E2288, E$1:E2288&lt;&gt;""""),COUNTA(FILTER(E$1:E2288, E$1:E2288&lt;&gt;""""))), LEN(INDEX(FILTER(E$1:E2288, E$1:E2288&lt;&gt;""""),COUNTA(FILTER(E$1:E2288, E$1:E2288&lt;&gt;""""))))-1), IF('To Order'!$A2289=COL"&amp;"UMNS($A2289:E2308), E2288&amp;RIGHT(INDIRECT(ADDRESS(ROW(E2289)-1, 'From Order'!$A2289)), 1), E2288))"),"")</f>
        <v/>
      </c>
      <c r="F2289" s="2" t="str">
        <f>IFERROR(__xludf.DUMMYFUNCTION("IF('From Order'!$A2289=COLUMNS($A2289:F2308), LEFT(INDEX(FILTER(F$1:F2288, F$1:F2288&lt;&gt;""""),COUNTA(FILTER(F$1:F2288, F$1:F2288&lt;&gt;""""))), LEN(INDEX(FILTER(F$1:F2288, F$1:F2288&lt;&gt;""""),COUNTA(FILTER(F$1:F2288, F$1:F2288&lt;&gt;""""))))-1), IF('To Order'!$A2289=COL"&amp;"UMNS($A2289:F2308), F2288&amp;RIGHT(INDIRECT(ADDRESS(ROW(F2289)-1, 'From Order'!$A2289)), 1), F2288))"),"F")</f>
        <v>F</v>
      </c>
      <c r="G2289" s="2" t="str">
        <f>IFERROR(__xludf.DUMMYFUNCTION("IF('From Order'!$A2289=COLUMNS($A2289:G2308), LEFT(INDEX(FILTER(G$1:G2288, G$1:G2288&lt;&gt;""""),COUNTA(FILTER(G$1:G2288, G$1:G2288&lt;&gt;""""))), LEN(INDEX(FILTER(G$1:G2288, G$1:G2288&lt;&gt;""""),COUNTA(FILTER(G$1:G2288, G$1:G2288&lt;&gt;""""))))-1), IF('To Order'!$A2289=COL"&amp;"UMNS($A2289:G2308), G2288&amp;RIGHT(INDIRECT(ADDRESS(ROW(G2289)-1, 'From Order'!$A2289)), 1), G2288))"),"")</f>
        <v/>
      </c>
      <c r="H2289" s="2" t="str">
        <f>IFERROR(__xludf.DUMMYFUNCTION("IF('From Order'!$A2289=COLUMNS($A2289:H2308), LEFT(INDEX(FILTER(H$1:H2288, H$1:H2288&lt;&gt;""""),COUNTA(FILTER(H$1:H2288, H$1:H2288&lt;&gt;""""))), LEN(INDEX(FILTER(H$1:H2288, H$1:H2288&lt;&gt;""""),COUNTA(FILTER(H$1:H2288, H$1:H2288&lt;&gt;""""))))-1), IF('To Order'!$A2289=COL"&amp;"UMNS($A2289:H2308), H2288&amp;RIGHT(INDIRECT(ADDRESS(ROW(H2289)-1, 'From Order'!$A2289)), 1), H2288))"),"")</f>
        <v/>
      </c>
      <c r="I2289" s="2" t="str">
        <f>IFERROR(__xludf.DUMMYFUNCTION("IF('From Order'!$A2289=COLUMNS($A2289:I2308), LEFT(INDEX(FILTER(I$1:I2288, I$1:I2288&lt;&gt;""""),COUNTA(FILTER(I$1:I2288, I$1:I2288&lt;&gt;""""))), LEN(INDEX(FILTER(I$1:I2288, I$1:I2288&lt;&gt;""""),COUNTA(FILTER(I$1:I2288, I$1:I2288&lt;&gt;""""))))-1), IF('To Order'!$A2289=COL"&amp;"UMNS($A2289:I2308), I2288&amp;RIGHT(INDIRECT(ADDRESS(ROW(I2289)-1, 'From Order'!$A2289)), 1), I2288))"),"DDDVQZDMTTGMJRRLPSSTMZHPRBVJBCBFLLWTHZSCTTQR")</f>
        <v>DDDVQZDMTTGMJRRLPSSTMZHPRBVJBCBFLLWTHZSCTTQR</v>
      </c>
    </row>
    <row r="2290">
      <c r="A2290" s="2" t="str">
        <f>IFERROR(__xludf.DUMMYFUNCTION("IF('From Order'!$A2290=COLUMNS($A2290:A2309), LEFT(INDEX(FILTER(A$1:A2289, A$1:A2289&lt;&gt;""""),COUNTA(FILTER(A$1:A2289, A$1:A2289&lt;&gt;""""))), LEN(INDEX(FILTER(A$1:A2289, A$1:A2289&lt;&gt;""""),COUNTA(FILTER(A$1:A2289, A$1:A2289&lt;&gt;""""))))-1), IF('To Order'!$A2290=COL"&amp;"UMNS($A2290:A2309), A2289&amp;RIGHT(INDIRECT(ADDRESS(ROW(A2290)-1, 'From Order'!$A2290)), 1), A2289))"),"DC")</f>
        <v>DC</v>
      </c>
      <c r="B2290" s="2" t="str">
        <f>IFERROR(__xludf.DUMMYFUNCTION("IF('From Order'!$A2290=COLUMNS($A2290:B2309), LEFT(INDEX(FILTER(B$1:B2289, B$1:B2289&lt;&gt;""""),COUNTA(FILTER(B$1:B2289, B$1:B2289&lt;&gt;""""))), LEN(INDEX(FILTER(B$1:B2289, B$1:B2289&lt;&gt;""""),COUNTA(FILTER(B$1:B2289, B$1:B2289&lt;&gt;""""))))-1), IF('To Order'!$A2290=COL"&amp;"UMNS($A2290:B2309), B2289&amp;RIGHT(INDIRECT(ADDRESS(ROW(B2290)-1, 'From Order'!$A2290)), 1), B2289))"),"")</f>
        <v/>
      </c>
      <c r="C2290" s="2" t="str">
        <f>IFERROR(__xludf.DUMMYFUNCTION("IF('From Order'!$A2290=COLUMNS($A2290:C2309), LEFT(INDEX(FILTER(C$1:C2289, C$1:C2289&lt;&gt;""""),COUNTA(FILTER(C$1:C2289, C$1:C2289&lt;&gt;""""))), LEN(INDEX(FILTER(C$1:C2289, C$1:C2289&lt;&gt;""""),COUNTA(FILTER(C$1:C2289, C$1:C2289&lt;&gt;""""))))-1), IF('To Order'!$A2290=COL"&amp;"UMNS($A2290:C2309), C2289&amp;RIGHT(INDIRECT(ADDRESS(ROW(C2290)-1, 'From Order'!$A2290)), 1), C2289))"),"VBWDJP")</f>
        <v>VBWDJP</v>
      </c>
      <c r="D2290" s="2" t="str">
        <f>IFERROR(__xludf.DUMMYFUNCTION("IF('From Order'!$A2290=COLUMNS($A2290:D2309), LEFT(INDEX(FILTER(D$1:D2289, D$1:D2289&lt;&gt;""""),COUNTA(FILTER(D$1:D2289, D$1:D2289&lt;&gt;""""))), LEN(INDEX(FILTER(D$1:D2289, D$1:D2289&lt;&gt;""""),COUNTA(FILTER(D$1:D2289, D$1:D2289&lt;&gt;""""))))-1), IF('To Order'!$A2290=COL"&amp;"UMNS($A2290:D2309), D2289&amp;RIGHT(INDIRECT(ADDRESS(ROW(D2290)-1, 'From Order'!$A2290)), 1), D2289))"),"GR")</f>
        <v>GR</v>
      </c>
      <c r="E2290" s="2" t="str">
        <f>IFERROR(__xludf.DUMMYFUNCTION("IF('From Order'!$A2290=COLUMNS($A2290:E2309), LEFT(INDEX(FILTER(E$1:E2289, E$1:E2289&lt;&gt;""""),COUNTA(FILTER(E$1:E2289, E$1:E2289&lt;&gt;""""))), LEN(INDEX(FILTER(E$1:E2289, E$1:E2289&lt;&gt;""""),COUNTA(FILTER(E$1:E2289, E$1:E2289&lt;&gt;""""))))-1), IF('To Order'!$A2290=COL"&amp;"UMNS($A2290:E2309), E2289&amp;RIGHT(INDIRECT(ADDRESS(ROW(E2290)-1, 'From Order'!$A2290)), 1), E2289))"),"")</f>
        <v/>
      </c>
      <c r="F2290" s="2" t="str">
        <f>IFERROR(__xludf.DUMMYFUNCTION("IF('From Order'!$A2290=COLUMNS($A2290:F2309), LEFT(INDEX(FILTER(F$1:F2289, F$1:F2289&lt;&gt;""""),COUNTA(FILTER(F$1:F2289, F$1:F2289&lt;&gt;""""))), LEN(INDEX(FILTER(F$1:F2289, F$1:F2289&lt;&gt;""""),COUNTA(FILTER(F$1:F2289, F$1:F2289&lt;&gt;""""))))-1), IF('To Order'!$A2290=COL"&amp;"UMNS($A2290:F2309), F2289&amp;RIGHT(INDIRECT(ADDRESS(ROW(F2290)-1, 'From Order'!$A2290)), 1), F2289))"),"F")</f>
        <v>F</v>
      </c>
      <c r="G2290" s="2" t="str">
        <f>IFERROR(__xludf.DUMMYFUNCTION("IF('From Order'!$A2290=COLUMNS($A2290:G2309), LEFT(INDEX(FILTER(G$1:G2289, G$1:G2289&lt;&gt;""""),COUNTA(FILTER(G$1:G2289, G$1:G2289&lt;&gt;""""))), LEN(INDEX(FILTER(G$1:G2289, G$1:G2289&lt;&gt;""""),COUNTA(FILTER(G$1:G2289, G$1:G2289&lt;&gt;""""))))-1), IF('To Order'!$A2290=COL"&amp;"UMNS($A2290:G2309), G2289&amp;RIGHT(INDIRECT(ADDRESS(ROW(G2290)-1, 'From Order'!$A2290)), 1), G2289))"),"")</f>
        <v/>
      </c>
      <c r="H2290" s="2" t="str">
        <f>IFERROR(__xludf.DUMMYFUNCTION("IF('From Order'!$A2290=COLUMNS($A2290:H2309), LEFT(INDEX(FILTER(H$1:H2289, H$1:H2289&lt;&gt;""""),COUNTA(FILTER(H$1:H2289, H$1:H2289&lt;&gt;""""))), LEN(INDEX(FILTER(H$1:H2289, H$1:H2289&lt;&gt;""""),COUNTA(FILTER(H$1:H2289, H$1:H2289&lt;&gt;""""))))-1), IF('To Order'!$A2290=COL"&amp;"UMNS($A2290:H2309), H2289&amp;RIGHT(INDIRECT(ADDRESS(ROW(H2290)-1, 'From Order'!$A2290)), 1), H2289))"),"")</f>
        <v/>
      </c>
      <c r="I2290" s="2" t="str">
        <f>IFERROR(__xludf.DUMMYFUNCTION("IF('From Order'!$A2290=COLUMNS($A2290:I2309), LEFT(INDEX(FILTER(I$1:I2289, I$1:I2289&lt;&gt;""""),COUNTA(FILTER(I$1:I2289, I$1:I2289&lt;&gt;""""))), LEN(INDEX(FILTER(I$1:I2289, I$1:I2289&lt;&gt;""""),COUNTA(FILTER(I$1:I2289, I$1:I2289&lt;&gt;""""))))-1), IF('To Order'!$A2290=COL"&amp;"UMNS($A2290:I2309), I2289&amp;RIGHT(INDIRECT(ADDRESS(ROW(I2290)-1, 'From Order'!$A2290)), 1), I2289))"),"DDDVQZDMTTGMJRRLPSSTMZHPRBVJBCBFLLWTHZSCTTQRS")</f>
        <v>DDDVQZDMTTGMJRRLPSSTMZHPRBVJBCBFLLWTHZSCTTQRS</v>
      </c>
    </row>
    <row r="2291">
      <c r="A2291" s="2" t="str">
        <f>IFERROR(__xludf.DUMMYFUNCTION("IF('From Order'!$A2291=COLUMNS($A2291:A2310), LEFT(INDEX(FILTER(A$1:A2290, A$1:A2290&lt;&gt;""""),COUNTA(FILTER(A$1:A2290, A$1:A2290&lt;&gt;""""))), LEN(INDEX(FILTER(A$1:A2290, A$1:A2290&lt;&gt;""""),COUNTA(FILTER(A$1:A2290, A$1:A2290&lt;&gt;""""))))-1), IF('To Order'!$A2291=COL"&amp;"UMNS($A2291:A2310), A2290&amp;RIGHT(INDIRECT(ADDRESS(ROW(A2291)-1, 'From Order'!$A2291)), 1), A2290))"),"DC")</f>
        <v>DC</v>
      </c>
      <c r="B2291" s="2" t="str">
        <f>IFERROR(__xludf.DUMMYFUNCTION("IF('From Order'!$A2291=COLUMNS($A2291:B2310), LEFT(INDEX(FILTER(B$1:B2290, B$1:B2290&lt;&gt;""""),COUNTA(FILTER(B$1:B2290, B$1:B2290&lt;&gt;""""))), LEN(INDEX(FILTER(B$1:B2290, B$1:B2290&lt;&gt;""""),COUNTA(FILTER(B$1:B2290, B$1:B2290&lt;&gt;""""))))-1), IF('To Order'!$A2291=COL"&amp;"UMNS($A2291:B2310), B2290&amp;RIGHT(INDIRECT(ADDRESS(ROW(B2291)-1, 'From Order'!$A2291)), 1), B2290))"),"")</f>
        <v/>
      </c>
      <c r="C2291" s="2" t="str">
        <f>IFERROR(__xludf.DUMMYFUNCTION("IF('From Order'!$A2291=COLUMNS($A2291:C2310), LEFT(INDEX(FILTER(C$1:C2290, C$1:C2290&lt;&gt;""""),COUNTA(FILTER(C$1:C2290, C$1:C2290&lt;&gt;""""))), LEN(INDEX(FILTER(C$1:C2290, C$1:C2290&lt;&gt;""""),COUNTA(FILTER(C$1:C2290, C$1:C2290&lt;&gt;""""))))-1), IF('To Order'!$A2291=COL"&amp;"UMNS($A2291:C2310), C2290&amp;RIGHT(INDIRECT(ADDRESS(ROW(C2291)-1, 'From Order'!$A2291)), 1), C2290))"),"VBWDJ")</f>
        <v>VBWDJ</v>
      </c>
      <c r="D2291" s="2" t="str">
        <f>IFERROR(__xludf.DUMMYFUNCTION("IF('From Order'!$A2291=COLUMNS($A2291:D2310), LEFT(INDEX(FILTER(D$1:D2290, D$1:D2290&lt;&gt;""""),COUNTA(FILTER(D$1:D2290, D$1:D2290&lt;&gt;""""))), LEN(INDEX(FILTER(D$1:D2290, D$1:D2290&lt;&gt;""""),COUNTA(FILTER(D$1:D2290, D$1:D2290&lt;&gt;""""))))-1), IF('To Order'!$A2291=COL"&amp;"UMNS($A2291:D2310), D2290&amp;RIGHT(INDIRECT(ADDRESS(ROW(D2291)-1, 'From Order'!$A2291)), 1), D2290))"),"GR")</f>
        <v>GR</v>
      </c>
      <c r="E2291" s="2" t="str">
        <f>IFERROR(__xludf.DUMMYFUNCTION("IF('From Order'!$A2291=COLUMNS($A2291:E2310), LEFT(INDEX(FILTER(E$1:E2290, E$1:E2290&lt;&gt;""""),COUNTA(FILTER(E$1:E2290, E$1:E2290&lt;&gt;""""))), LEN(INDEX(FILTER(E$1:E2290, E$1:E2290&lt;&gt;""""),COUNTA(FILTER(E$1:E2290, E$1:E2290&lt;&gt;""""))))-1), IF('To Order'!$A2291=COL"&amp;"UMNS($A2291:E2310), E2290&amp;RIGHT(INDIRECT(ADDRESS(ROW(E2291)-1, 'From Order'!$A2291)), 1), E2290))"),"")</f>
        <v/>
      </c>
      <c r="F2291" s="2" t="str">
        <f>IFERROR(__xludf.DUMMYFUNCTION("IF('From Order'!$A2291=COLUMNS($A2291:F2310), LEFT(INDEX(FILTER(F$1:F2290, F$1:F2290&lt;&gt;""""),COUNTA(FILTER(F$1:F2290, F$1:F2290&lt;&gt;""""))), LEN(INDEX(FILTER(F$1:F2290, F$1:F2290&lt;&gt;""""),COUNTA(FILTER(F$1:F2290, F$1:F2290&lt;&gt;""""))))-1), IF('To Order'!$A2291=COL"&amp;"UMNS($A2291:F2310), F2290&amp;RIGHT(INDIRECT(ADDRESS(ROW(F2291)-1, 'From Order'!$A2291)), 1), F2290))"),"F")</f>
        <v>F</v>
      </c>
      <c r="G2291" s="2" t="str">
        <f>IFERROR(__xludf.DUMMYFUNCTION("IF('From Order'!$A2291=COLUMNS($A2291:G2310), LEFT(INDEX(FILTER(G$1:G2290, G$1:G2290&lt;&gt;""""),COUNTA(FILTER(G$1:G2290, G$1:G2290&lt;&gt;""""))), LEN(INDEX(FILTER(G$1:G2290, G$1:G2290&lt;&gt;""""),COUNTA(FILTER(G$1:G2290, G$1:G2290&lt;&gt;""""))))-1), IF('To Order'!$A2291=COL"&amp;"UMNS($A2291:G2310), G2290&amp;RIGHT(INDIRECT(ADDRESS(ROW(G2291)-1, 'From Order'!$A2291)), 1), G2290))"),"")</f>
        <v/>
      </c>
      <c r="H2291" s="2" t="str">
        <f>IFERROR(__xludf.DUMMYFUNCTION("IF('From Order'!$A2291=COLUMNS($A2291:H2310), LEFT(INDEX(FILTER(H$1:H2290, H$1:H2290&lt;&gt;""""),COUNTA(FILTER(H$1:H2290, H$1:H2290&lt;&gt;""""))), LEN(INDEX(FILTER(H$1:H2290, H$1:H2290&lt;&gt;""""),COUNTA(FILTER(H$1:H2290, H$1:H2290&lt;&gt;""""))))-1), IF('To Order'!$A2291=COL"&amp;"UMNS($A2291:H2310), H2290&amp;RIGHT(INDIRECT(ADDRESS(ROW(H2291)-1, 'From Order'!$A2291)), 1), H2290))"),"")</f>
        <v/>
      </c>
      <c r="I2291" s="2" t="str">
        <f>IFERROR(__xludf.DUMMYFUNCTION("IF('From Order'!$A2291=COLUMNS($A2291:I2310), LEFT(INDEX(FILTER(I$1:I2290, I$1:I2290&lt;&gt;""""),COUNTA(FILTER(I$1:I2290, I$1:I2290&lt;&gt;""""))), LEN(INDEX(FILTER(I$1:I2290, I$1:I2290&lt;&gt;""""),COUNTA(FILTER(I$1:I2290, I$1:I2290&lt;&gt;""""))))-1), IF('To Order'!$A2291=COL"&amp;"UMNS($A2291:I2310), I2290&amp;RIGHT(INDIRECT(ADDRESS(ROW(I2291)-1, 'From Order'!$A2291)), 1), I2290))"),"DDDVQZDMTTGMJRRLPSSTMZHPRBVJBCBFLLWTHZSCTTQRSP")</f>
        <v>DDDVQZDMTTGMJRRLPSSTMZHPRBVJBCBFLLWTHZSCTTQRSP</v>
      </c>
    </row>
    <row r="2292">
      <c r="A2292" s="2" t="str">
        <f>IFERROR(__xludf.DUMMYFUNCTION("IF('From Order'!$A2292=COLUMNS($A2292:A2311), LEFT(INDEX(FILTER(A$1:A2291, A$1:A2291&lt;&gt;""""),COUNTA(FILTER(A$1:A2291, A$1:A2291&lt;&gt;""""))), LEN(INDEX(FILTER(A$1:A2291, A$1:A2291&lt;&gt;""""),COUNTA(FILTER(A$1:A2291, A$1:A2291&lt;&gt;""""))))-1), IF('To Order'!$A2292=COL"&amp;"UMNS($A2292:A2311), A2291&amp;RIGHT(INDIRECT(ADDRESS(ROW(A2292)-1, 'From Order'!$A2292)), 1), A2291))"),"DC")</f>
        <v>DC</v>
      </c>
      <c r="B2292" s="2" t="str">
        <f>IFERROR(__xludf.DUMMYFUNCTION("IF('From Order'!$A2292=COLUMNS($A2292:B2311), LEFT(INDEX(FILTER(B$1:B2291, B$1:B2291&lt;&gt;""""),COUNTA(FILTER(B$1:B2291, B$1:B2291&lt;&gt;""""))), LEN(INDEX(FILTER(B$1:B2291, B$1:B2291&lt;&gt;""""),COUNTA(FILTER(B$1:B2291, B$1:B2291&lt;&gt;""""))))-1), IF('To Order'!$A2292=COL"&amp;"UMNS($A2292:B2311), B2291&amp;RIGHT(INDIRECT(ADDRESS(ROW(B2292)-1, 'From Order'!$A2292)), 1), B2291))"),"")</f>
        <v/>
      </c>
      <c r="C2292" s="2" t="str">
        <f>IFERROR(__xludf.DUMMYFUNCTION("IF('From Order'!$A2292=COLUMNS($A2292:C2311), LEFT(INDEX(FILTER(C$1:C2291, C$1:C2291&lt;&gt;""""),COUNTA(FILTER(C$1:C2291, C$1:C2291&lt;&gt;""""))), LEN(INDEX(FILTER(C$1:C2291, C$1:C2291&lt;&gt;""""),COUNTA(FILTER(C$1:C2291, C$1:C2291&lt;&gt;""""))))-1), IF('To Order'!$A2292=COL"&amp;"UMNS($A2292:C2311), C2291&amp;RIGHT(INDIRECT(ADDRESS(ROW(C2292)-1, 'From Order'!$A2292)), 1), C2291))"),"VBWD")</f>
        <v>VBWD</v>
      </c>
      <c r="D2292" s="2" t="str">
        <f>IFERROR(__xludf.DUMMYFUNCTION("IF('From Order'!$A2292=COLUMNS($A2292:D2311), LEFT(INDEX(FILTER(D$1:D2291, D$1:D2291&lt;&gt;""""),COUNTA(FILTER(D$1:D2291, D$1:D2291&lt;&gt;""""))), LEN(INDEX(FILTER(D$1:D2291, D$1:D2291&lt;&gt;""""),COUNTA(FILTER(D$1:D2291, D$1:D2291&lt;&gt;""""))))-1), IF('To Order'!$A2292=COL"&amp;"UMNS($A2292:D2311), D2291&amp;RIGHT(INDIRECT(ADDRESS(ROW(D2292)-1, 'From Order'!$A2292)), 1), D2291))"),"GR")</f>
        <v>GR</v>
      </c>
      <c r="E2292" s="2" t="str">
        <f>IFERROR(__xludf.DUMMYFUNCTION("IF('From Order'!$A2292=COLUMNS($A2292:E2311), LEFT(INDEX(FILTER(E$1:E2291, E$1:E2291&lt;&gt;""""),COUNTA(FILTER(E$1:E2291, E$1:E2291&lt;&gt;""""))), LEN(INDEX(FILTER(E$1:E2291, E$1:E2291&lt;&gt;""""),COUNTA(FILTER(E$1:E2291, E$1:E2291&lt;&gt;""""))))-1), IF('To Order'!$A2292=COL"&amp;"UMNS($A2292:E2311), E2291&amp;RIGHT(INDIRECT(ADDRESS(ROW(E2292)-1, 'From Order'!$A2292)), 1), E2291))"),"")</f>
        <v/>
      </c>
      <c r="F2292" s="2" t="str">
        <f>IFERROR(__xludf.DUMMYFUNCTION("IF('From Order'!$A2292=COLUMNS($A2292:F2311), LEFT(INDEX(FILTER(F$1:F2291, F$1:F2291&lt;&gt;""""),COUNTA(FILTER(F$1:F2291, F$1:F2291&lt;&gt;""""))), LEN(INDEX(FILTER(F$1:F2291, F$1:F2291&lt;&gt;""""),COUNTA(FILTER(F$1:F2291, F$1:F2291&lt;&gt;""""))))-1), IF('To Order'!$A2292=COL"&amp;"UMNS($A2292:F2311), F2291&amp;RIGHT(INDIRECT(ADDRESS(ROW(F2292)-1, 'From Order'!$A2292)), 1), F2291))"),"F")</f>
        <v>F</v>
      </c>
      <c r="G2292" s="2" t="str">
        <f>IFERROR(__xludf.DUMMYFUNCTION("IF('From Order'!$A2292=COLUMNS($A2292:G2311), LEFT(INDEX(FILTER(G$1:G2291, G$1:G2291&lt;&gt;""""),COUNTA(FILTER(G$1:G2291, G$1:G2291&lt;&gt;""""))), LEN(INDEX(FILTER(G$1:G2291, G$1:G2291&lt;&gt;""""),COUNTA(FILTER(G$1:G2291, G$1:G2291&lt;&gt;""""))))-1), IF('To Order'!$A2292=COL"&amp;"UMNS($A2292:G2311), G2291&amp;RIGHT(INDIRECT(ADDRESS(ROW(G2292)-1, 'From Order'!$A2292)), 1), G2291))"),"")</f>
        <v/>
      </c>
      <c r="H2292" s="2" t="str">
        <f>IFERROR(__xludf.DUMMYFUNCTION("IF('From Order'!$A2292=COLUMNS($A2292:H2311), LEFT(INDEX(FILTER(H$1:H2291, H$1:H2291&lt;&gt;""""),COUNTA(FILTER(H$1:H2291, H$1:H2291&lt;&gt;""""))), LEN(INDEX(FILTER(H$1:H2291, H$1:H2291&lt;&gt;""""),COUNTA(FILTER(H$1:H2291, H$1:H2291&lt;&gt;""""))))-1), IF('To Order'!$A2292=COL"&amp;"UMNS($A2292:H2311), H2291&amp;RIGHT(INDIRECT(ADDRESS(ROW(H2292)-1, 'From Order'!$A2292)), 1), H2291))"),"")</f>
        <v/>
      </c>
      <c r="I2292" s="2" t="str">
        <f>IFERROR(__xludf.DUMMYFUNCTION("IF('From Order'!$A2292=COLUMNS($A2292:I2311), LEFT(INDEX(FILTER(I$1:I2291, I$1:I2291&lt;&gt;""""),COUNTA(FILTER(I$1:I2291, I$1:I2291&lt;&gt;""""))), LEN(INDEX(FILTER(I$1:I2291, I$1:I2291&lt;&gt;""""),COUNTA(FILTER(I$1:I2291, I$1:I2291&lt;&gt;""""))))-1), IF('To Order'!$A2292=COL"&amp;"UMNS($A2292:I2311), I2291&amp;RIGHT(INDIRECT(ADDRESS(ROW(I2292)-1, 'From Order'!$A2292)), 1), I2291))"),"DDDVQZDMTTGMJRRLPSSTMZHPRBVJBCBFLLWTHZSCTTQRSPJ")</f>
        <v>DDDVQZDMTTGMJRRLPSSTMZHPRBVJBCBFLLWTHZSCTTQRSPJ</v>
      </c>
    </row>
    <row r="2293">
      <c r="A2293" s="2" t="str">
        <f>IFERROR(__xludf.DUMMYFUNCTION("IF('From Order'!$A2293=COLUMNS($A2293:A2312), LEFT(INDEX(FILTER(A$1:A2292, A$1:A2292&lt;&gt;""""),COUNTA(FILTER(A$1:A2292, A$1:A2292&lt;&gt;""""))), LEN(INDEX(FILTER(A$1:A2292, A$1:A2292&lt;&gt;""""),COUNTA(FILTER(A$1:A2292, A$1:A2292&lt;&gt;""""))))-1), IF('To Order'!$A2293=COL"&amp;"UMNS($A2293:A2312), A2292&amp;RIGHT(INDIRECT(ADDRESS(ROW(A2293)-1, 'From Order'!$A2293)), 1), A2292))"),"DC")</f>
        <v>DC</v>
      </c>
      <c r="B2293" s="2" t="str">
        <f>IFERROR(__xludf.DUMMYFUNCTION("IF('From Order'!$A2293=COLUMNS($A2293:B2312), LEFT(INDEX(FILTER(B$1:B2292, B$1:B2292&lt;&gt;""""),COUNTA(FILTER(B$1:B2292, B$1:B2292&lt;&gt;""""))), LEN(INDEX(FILTER(B$1:B2292, B$1:B2292&lt;&gt;""""),COUNTA(FILTER(B$1:B2292, B$1:B2292&lt;&gt;""""))))-1), IF('To Order'!$A2293=COL"&amp;"UMNS($A2293:B2312), B2292&amp;RIGHT(INDIRECT(ADDRESS(ROW(B2293)-1, 'From Order'!$A2293)), 1), B2292))"),"")</f>
        <v/>
      </c>
      <c r="C2293" s="2" t="str">
        <f>IFERROR(__xludf.DUMMYFUNCTION("IF('From Order'!$A2293=COLUMNS($A2293:C2312), LEFT(INDEX(FILTER(C$1:C2292, C$1:C2292&lt;&gt;""""),COUNTA(FILTER(C$1:C2292, C$1:C2292&lt;&gt;""""))), LEN(INDEX(FILTER(C$1:C2292, C$1:C2292&lt;&gt;""""),COUNTA(FILTER(C$1:C2292, C$1:C2292&lt;&gt;""""))))-1), IF('To Order'!$A2293=COL"&amp;"UMNS($A2293:C2312), C2292&amp;RIGHT(INDIRECT(ADDRESS(ROW(C2293)-1, 'From Order'!$A2293)), 1), C2292))"),"VBWD")</f>
        <v>VBWD</v>
      </c>
      <c r="D2293" s="2" t="str">
        <f>IFERROR(__xludf.DUMMYFUNCTION("IF('From Order'!$A2293=COLUMNS($A2293:D2312), LEFT(INDEX(FILTER(D$1:D2292, D$1:D2292&lt;&gt;""""),COUNTA(FILTER(D$1:D2292, D$1:D2292&lt;&gt;""""))), LEN(INDEX(FILTER(D$1:D2292, D$1:D2292&lt;&gt;""""),COUNTA(FILTER(D$1:D2292, D$1:D2292&lt;&gt;""""))))-1), IF('To Order'!$A2293=COL"&amp;"UMNS($A2293:D2312), D2292&amp;RIGHT(INDIRECT(ADDRESS(ROW(D2293)-1, 'From Order'!$A2293)), 1), D2292))"),"G")</f>
        <v>G</v>
      </c>
      <c r="E2293" s="2" t="str">
        <f>IFERROR(__xludf.DUMMYFUNCTION("IF('From Order'!$A2293=COLUMNS($A2293:E2312), LEFT(INDEX(FILTER(E$1:E2292, E$1:E2292&lt;&gt;""""),COUNTA(FILTER(E$1:E2292, E$1:E2292&lt;&gt;""""))), LEN(INDEX(FILTER(E$1:E2292, E$1:E2292&lt;&gt;""""),COUNTA(FILTER(E$1:E2292, E$1:E2292&lt;&gt;""""))))-1), IF('To Order'!$A2293=COL"&amp;"UMNS($A2293:E2312), E2292&amp;RIGHT(INDIRECT(ADDRESS(ROW(E2293)-1, 'From Order'!$A2293)), 1), E2292))"),"")</f>
        <v/>
      </c>
      <c r="F2293" s="2" t="str">
        <f>IFERROR(__xludf.DUMMYFUNCTION("IF('From Order'!$A2293=COLUMNS($A2293:F2312), LEFT(INDEX(FILTER(F$1:F2292, F$1:F2292&lt;&gt;""""),COUNTA(FILTER(F$1:F2292, F$1:F2292&lt;&gt;""""))), LEN(INDEX(FILTER(F$1:F2292, F$1:F2292&lt;&gt;""""),COUNTA(FILTER(F$1:F2292, F$1:F2292&lt;&gt;""""))))-1), IF('To Order'!$A2293=COL"&amp;"UMNS($A2293:F2312), F2292&amp;RIGHT(INDIRECT(ADDRESS(ROW(F2293)-1, 'From Order'!$A2293)), 1), F2292))"),"F")</f>
        <v>F</v>
      </c>
      <c r="G2293" s="2" t="str">
        <f>IFERROR(__xludf.DUMMYFUNCTION("IF('From Order'!$A2293=COLUMNS($A2293:G2312), LEFT(INDEX(FILTER(G$1:G2292, G$1:G2292&lt;&gt;""""),COUNTA(FILTER(G$1:G2292, G$1:G2292&lt;&gt;""""))), LEN(INDEX(FILTER(G$1:G2292, G$1:G2292&lt;&gt;""""),COUNTA(FILTER(G$1:G2292, G$1:G2292&lt;&gt;""""))))-1), IF('To Order'!$A2293=COL"&amp;"UMNS($A2293:G2312), G2292&amp;RIGHT(INDIRECT(ADDRESS(ROW(G2293)-1, 'From Order'!$A2293)), 1), G2292))"),"")</f>
        <v/>
      </c>
      <c r="H2293" s="2" t="str">
        <f>IFERROR(__xludf.DUMMYFUNCTION("IF('From Order'!$A2293=COLUMNS($A2293:H2312), LEFT(INDEX(FILTER(H$1:H2292, H$1:H2292&lt;&gt;""""),COUNTA(FILTER(H$1:H2292, H$1:H2292&lt;&gt;""""))), LEN(INDEX(FILTER(H$1:H2292, H$1:H2292&lt;&gt;""""),COUNTA(FILTER(H$1:H2292, H$1:H2292&lt;&gt;""""))))-1), IF('To Order'!$A2293=COL"&amp;"UMNS($A2293:H2312), H2292&amp;RIGHT(INDIRECT(ADDRESS(ROW(H2293)-1, 'From Order'!$A2293)), 1), H2292))"),"R")</f>
        <v>R</v>
      </c>
      <c r="I2293" s="2" t="str">
        <f>IFERROR(__xludf.DUMMYFUNCTION("IF('From Order'!$A2293=COLUMNS($A2293:I2312), LEFT(INDEX(FILTER(I$1:I2292, I$1:I2292&lt;&gt;""""),COUNTA(FILTER(I$1:I2292, I$1:I2292&lt;&gt;""""))), LEN(INDEX(FILTER(I$1:I2292, I$1:I2292&lt;&gt;""""),COUNTA(FILTER(I$1:I2292, I$1:I2292&lt;&gt;""""))))-1), IF('To Order'!$A2293=COL"&amp;"UMNS($A2293:I2312), I2292&amp;RIGHT(INDIRECT(ADDRESS(ROW(I2293)-1, 'From Order'!$A2293)), 1), I2292))"),"DDDVQZDMTTGMJRRLPSSTMZHPRBVJBCBFLLWTHZSCTTQRSPJ")</f>
        <v>DDDVQZDMTTGMJRRLPSSTMZHPRBVJBCBFLLWTHZSCTTQRSPJ</v>
      </c>
    </row>
    <row r="2294">
      <c r="A2294" s="2" t="str">
        <f>IFERROR(__xludf.DUMMYFUNCTION("IF('From Order'!$A2294=COLUMNS($A2294:A2313), LEFT(INDEX(FILTER(A$1:A2293, A$1:A2293&lt;&gt;""""),COUNTA(FILTER(A$1:A2293, A$1:A2293&lt;&gt;""""))), LEN(INDEX(FILTER(A$1:A2293, A$1:A2293&lt;&gt;""""),COUNTA(FILTER(A$1:A2293, A$1:A2293&lt;&gt;""""))))-1), IF('To Order'!$A2294=COL"&amp;"UMNS($A2294:A2313), A2293&amp;RIGHT(INDIRECT(ADDRESS(ROW(A2294)-1, 'From Order'!$A2294)), 1), A2293))"),"DC")</f>
        <v>DC</v>
      </c>
      <c r="B2294" s="2" t="str">
        <f>IFERROR(__xludf.DUMMYFUNCTION("IF('From Order'!$A2294=COLUMNS($A2294:B2313), LEFT(INDEX(FILTER(B$1:B2293, B$1:B2293&lt;&gt;""""),COUNTA(FILTER(B$1:B2293, B$1:B2293&lt;&gt;""""))), LEN(INDEX(FILTER(B$1:B2293, B$1:B2293&lt;&gt;""""),COUNTA(FILTER(B$1:B2293, B$1:B2293&lt;&gt;""""))))-1), IF('To Order'!$A2294=COL"&amp;"UMNS($A2294:B2313), B2293&amp;RIGHT(INDIRECT(ADDRESS(ROW(B2294)-1, 'From Order'!$A2294)), 1), B2293))"),"")</f>
        <v/>
      </c>
      <c r="C2294" s="2" t="str">
        <f>IFERROR(__xludf.DUMMYFUNCTION("IF('From Order'!$A2294=COLUMNS($A2294:C2313), LEFT(INDEX(FILTER(C$1:C2293, C$1:C2293&lt;&gt;""""),COUNTA(FILTER(C$1:C2293, C$1:C2293&lt;&gt;""""))), LEN(INDEX(FILTER(C$1:C2293, C$1:C2293&lt;&gt;""""),COUNTA(FILTER(C$1:C2293, C$1:C2293&lt;&gt;""""))))-1), IF('To Order'!$A2294=COL"&amp;"UMNS($A2294:C2313), C2293&amp;RIGHT(INDIRECT(ADDRESS(ROW(C2294)-1, 'From Order'!$A2294)), 1), C2293))"),"VBWD")</f>
        <v>VBWD</v>
      </c>
      <c r="D2294" s="2" t="str">
        <f>IFERROR(__xludf.DUMMYFUNCTION("IF('From Order'!$A2294=COLUMNS($A2294:D2313), LEFT(INDEX(FILTER(D$1:D2293, D$1:D2293&lt;&gt;""""),COUNTA(FILTER(D$1:D2293, D$1:D2293&lt;&gt;""""))), LEN(INDEX(FILTER(D$1:D2293, D$1:D2293&lt;&gt;""""),COUNTA(FILTER(D$1:D2293, D$1:D2293&lt;&gt;""""))))-1), IF('To Order'!$A2294=COL"&amp;"UMNS($A2294:D2313), D2293&amp;RIGHT(INDIRECT(ADDRESS(ROW(D2294)-1, 'From Order'!$A2294)), 1), D2293))"),"")</f>
        <v/>
      </c>
      <c r="E2294" s="2" t="str">
        <f>IFERROR(__xludf.DUMMYFUNCTION("IF('From Order'!$A2294=COLUMNS($A2294:E2313), LEFT(INDEX(FILTER(E$1:E2293, E$1:E2293&lt;&gt;""""),COUNTA(FILTER(E$1:E2293, E$1:E2293&lt;&gt;""""))), LEN(INDEX(FILTER(E$1:E2293, E$1:E2293&lt;&gt;""""),COUNTA(FILTER(E$1:E2293, E$1:E2293&lt;&gt;""""))))-1), IF('To Order'!$A2294=COL"&amp;"UMNS($A2294:E2313), E2293&amp;RIGHT(INDIRECT(ADDRESS(ROW(E2294)-1, 'From Order'!$A2294)), 1), E2293))"),"")</f>
        <v/>
      </c>
      <c r="F2294" s="2" t="str">
        <f>IFERROR(__xludf.DUMMYFUNCTION("IF('From Order'!$A2294=COLUMNS($A2294:F2313), LEFT(INDEX(FILTER(F$1:F2293, F$1:F2293&lt;&gt;""""),COUNTA(FILTER(F$1:F2293, F$1:F2293&lt;&gt;""""))), LEN(INDEX(FILTER(F$1:F2293, F$1:F2293&lt;&gt;""""),COUNTA(FILTER(F$1:F2293, F$1:F2293&lt;&gt;""""))))-1), IF('To Order'!$A2294=COL"&amp;"UMNS($A2294:F2313), F2293&amp;RIGHT(INDIRECT(ADDRESS(ROW(F2294)-1, 'From Order'!$A2294)), 1), F2293))"),"F")</f>
        <v>F</v>
      </c>
      <c r="G2294" s="2" t="str">
        <f>IFERROR(__xludf.DUMMYFUNCTION("IF('From Order'!$A2294=COLUMNS($A2294:G2313), LEFT(INDEX(FILTER(G$1:G2293, G$1:G2293&lt;&gt;""""),COUNTA(FILTER(G$1:G2293, G$1:G2293&lt;&gt;""""))), LEN(INDEX(FILTER(G$1:G2293, G$1:G2293&lt;&gt;""""),COUNTA(FILTER(G$1:G2293, G$1:G2293&lt;&gt;""""))))-1), IF('To Order'!$A2294=COL"&amp;"UMNS($A2294:G2313), G2293&amp;RIGHT(INDIRECT(ADDRESS(ROW(G2294)-1, 'From Order'!$A2294)), 1), G2293))"),"")</f>
        <v/>
      </c>
      <c r="H2294" s="2" t="str">
        <f>IFERROR(__xludf.DUMMYFUNCTION("IF('From Order'!$A2294=COLUMNS($A2294:H2313), LEFT(INDEX(FILTER(H$1:H2293, H$1:H2293&lt;&gt;""""),COUNTA(FILTER(H$1:H2293, H$1:H2293&lt;&gt;""""))), LEN(INDEX(FILTER(H$1:H2293, H$1:H2293&lt;&gt;""""),COUNTA(FILTER(H$1:H2293, H$1:H2293&lt;&gt;""""))))-1), IF('To Order'!$A2294=COL"&amp;"UMNS($A2294:H2313), H2293&amp;RIGHT(INDIRECT(ADDRESS(ROW(H2294)-1, 'From Order'!$A2294)), 1), H2293))"),"RG")</f>
        <v>RG</v>
      </c>
      <c r="I2294" s="2" t="str">
        <f>IFERROR(__xludf.DUMMYFUNCTION("IF('From Order'!$A2294=COLUMNS($A2294:I2313), LEFT(INDEX(FILTER(I$1:I2293, I$1:I2293&lt;&gt;""""),COUNTA(FILTER(I$1:I2293, I$1:I2293&lt;&gt;""""))), LEN(INDEX(FILTER(I$1:I2293, I$1:I2293&lt;&gt;""""),COUNTA(FILTER(I$1:I2293, I$1:I2293&lt;&gt;""""))))-1), IF('To Order'!$A2294=COL"&amp;"UMNS($A2294:I2313), I2293&amp;RIGHT(INDIRECT(ADDRESS(ROW(I2294)-1, 'From Order'!$A2294)), 1), I2293))"),"DDDVQZDMTTGMJRRLPSSTMZHPRBVJBCBFLLWTHZSCTTQRSPJ")</f>
        <v>DDDVQZDMTTGMJRRLPSSTMZHPRBVJBCBFLLWTHZSCTTQRSPJ</v>
      </c>
    </row>
    <row r="2295">
      <c r="A2295" s="2" t="str">
        <f>IFERROR(__xludf.DUMMYFUNCTION("IF('From Order'!$A2295=COLUMNS($A2295:A2314), LEFT(INDEX(FILTER(A$1:A2294, A$1:A2294&lt;&gt;""""),COUNTA(FILTER(A$1:A2294, A$1:A2294&lt;&gt;""""))), LEN(INDEX(FILTER(A$1:A2294, A$1:A2294&lt;&gt;""""),COUNTA(FILTER(A$1:A2294, A$1:A2294&lt;&gt;""""))))-1), IF('To Order'!$A2295=COL"&amp;"UMNS($A2295:A2314), A2294&amp;RIGHT(INDIRECT(ADDRESS(ROW(A2295)-1, 'From Order'!$A2295)), 1), A2294))"),"DCD")</f>
        <v>DCD</v>
      </c>
      <c r="B2295" s="2" t="str">
        <f>IFERROR(__xludf.DUMMYFUNCTION("IF('From Order'!$A2295=COLUMNS($A2295:B2314), LEFT(INDEX(FILTER(B$1:B2294, B$1:B2294&lt;&gt;""""),COUNTA(FILTER(B$1:B2294, B$1:B2294&lt;&gt;""""))), LEN(INDEX(FILTER(B$1:B2294, B$1:B2294&lt;&gt;""""),COUNTA(FILTER(B$1:B2294, B$1:B2294&lt;&gt;""""))))-1), IF('To Order'!$A2295=COL"&amp;"UMNS($A2295:B2314), B2294&amp;RIGHT(INDIRECT(ADDRESS(ROW(B2295)-1, 'From Order'!$A2295)), 1), B2294))"),"")</f>
        <v/>
      </c>
      <c r="C2295" s="2" t="str">
        <f>IFERROR(__xludf.DUMMYFUNCTION("IF('From Order'!$A2295=COLUMNS($A2295:C2314), LEFT(INDEX(FILTER(C$1:C2294, C$1:C2294&lt;&gt;""""),COUNTA(FILTER(C$1:C2294, C$1:C2294&lt;&gt;""""))), LEN(INDEX(FILTER(C$1:C2294, C$1:C2294&lt;&gt;""""),COUNTA(FILTER(C$1:C2294, C$1:C2294&lt;&gt;""""))))-1), IF('To Order'!$A2295=COL"&amp;"UMNS($A2295:C2314), C2294&amp;RIGHT(INDIRECT(ADDRESS(ROW(C2295)-1, 'From Order'!$A2295)), 1), C2294))"),"VBW")</f>
        <v>VBW</v>
      </c>
      <c r="D2295" s="2" t="str">
        <f>IFERROR(__xludf.DUMMYFUNCTION("IF('From Order'!$A2295=COLUMNS($A2295:D2314), LEFT(INDEX(FILTER(D$1:D2294, D$1:D2294&lt;&gt;""""),COUNTA(FILTER(D$1:D2294, D$1:D2294&lt;&gt;""""))), LEN(INDEX(FILTER(D$1:D2294, D$1:D2294&lt;&gt;""""),COUNTA(FILTER(D$1:D2294, D$1:D2294&lt;&gt;""""))))-1), IF('To Order'!$A2295=COL"&amp;"UMNS($A2295:D2314), D2294&amp;RIGHT(INDIRECT(ADDRESS(ROW(D2295)-1, 'From Order'!$A2295)), 1), D2294))"),"")</f>
        <v/>
      </c>
      <c r="E2295" s="2" t="str">
        <f>IFERROR(__xludf.DUMMYFUNCTION("IF('From Order'!$A2295=COLUMNS($A2295:E2314), LEFT(INDEX(FILTER(E$1:E2294, E$1:E2294&lt;&gt;""""),COUNTA(FILTER(E$1:E2294, E$1:E2294&lt;&gt;""""))), LEN(INDEX(FILTER(E$1:E2294, E$1:E2294&lt;&gt;""""),COUNTA(FILTER(E$1:E2294, E$1:E2294&lt;&gt;""""))))-1), IF('To Order'!$A2295=COL"&amp;"UMNS($A2295:E2314), E2294&amp;RIGHT(INDIRECT(ADDRESS(ROW(E2295)-1, 'From Order'!$A2295)), 1), E2294))"),"")</f>
        <v/>
      </c>
      <c r="F2295" s="2" t="str">
        <f>IFERROR(__xludf.DUMMYFUNCTION("IF('From Order'!$A2295=COLUMNS($A2295:F2314), LEFT(INDEX(FILTER(F$1:F2294, F$1:F2294&lt;&gt;""""),COUNTA(FILTER(F$1:F2294, F$1:F2294&lt;&gt;""""))), LEN(INDEX(FILTER(F$1:F2294, F$1:F2294&lt;&gt;""""),COUNTA(FILTER(F$1:F2294, F$1:F2294&lt;&gt;""""))))-1), IF('To Order'!$A2295=COL"&amp;"UMNS($A2295:F2314), F2294&amp;RIGHT(INDIRECT(ADDRESS(ROW(F2295)-1, 'From Order'!$A2295)), 1), F2294))"),"F")</f>
        <v>F</v>
      </c>
      <c r="G2295" s="2" t="str">
        <f>IFERROR(__xludf.DUMMYFUNCTION("IF('From Order'!$A2295=COLUMNS($A2295:G2314), LEFT(INDEX(FILTER(G$1:G2294, G$1:G2294&lt;&gt;""""),COUNTA(FILTER(G$1:G2294, G$1:G2294&lt;&gt;""""))), LEN(INDEX(FILTER(G$1:G2294, G$1:G2294&lt;&gt;""""),COUNTA(FILTER(G$1:G2294, G$1:G2294&lt;&gt;""""))))-1), IF('To Order'!$A2295=COL"&amp;"UMNS($A2295:G2314), G2294&amp;RIGHT(INDIRECT(ADDRESS(ROW(G2295)-1, 'From Order'!$A2295)), 1), G2294))"),"")</f>
        <v/>
      </c>
      <c r="H2295" s="2" t="str">
        <f>IFERROR(__xludf.DUMMYFUNCTION("IF('From Order'!$A2295=COLUMNS($A2295:H2314), LEFT(INDEX(FILTER(H$1:H2294, H$1:H2294&lt;&gt;""""),COUNTA(FILTER(H$1:H2294, H$1:H2294&lt;&gt;""""))), LEN(INDEX(FILTER(H$1:H2294, H$1:H2294&lt;&gt;""""),COUNTA(FILTER(H$1:H2294, H$1:H2294&lt;&gt;""""))))-1), IF('To Order'!$A2295=COL"&amp;"UMNS($A2295:H2314), H2294&amp;RIGHT(INDIRECT(ADDRESS(ROW(H2295)-1, 'From Order'!$A2295)), 1), H2294))"),"RG")</f>
        <v>RG</v>
      </c>
      <c r="I2295" s="2" t="str">
        <f>IFERROR(__xludf.DUMMYFUNCTION("IF('From Order'!$A2295=COLUMNS($A2295:I2314), LEFT(INDEX(FILTER(I$1:I2294, I$1:I2294&lt;&gt;""""),COUNTA(FILTER(I$1:I2294, I$1:I2294&lt;&gt;""""))), LEN(INDEX(FILTER(I$1:I2294, I$1:I2294&lt;&gt;""""),COUNTA(FILTER(I$1:I2294, I$1:I2294&lt;&gt;""""))))-1), IF('To Order'!$A2295=COL"&amp;"UMNS($A2295:I2314), I2294&amp;RIGHT(INDIRECT(ADDRESS(ROW(I2295)-1, 'From Order'!$A2295)), 1), I2294))"),"DDDVQZDMTTGMJRRLPSSTMZHPRBVJBCBFLLWTHZSCTTQRSPJ")</f>
        <v>DDDVQZDMTTGMJRRLPSSTMZHPRBVJBCBFLLWTHZSCTTQRSPJ</v>
      </c>
    </row>
    <row r="2296">
      <c r="A2296" s="2" t="str">
        <f>IFERROR(__xludf.DUMMYFUNCTION("IF('From Order'!$A2296=COLUMNS($A2296:A2315), LEFT(INDEX(FILTER(A$1:A2295, A$1:A2295&lt;&gt;""""),COUNTA(FILTER(A$1:A2295, A$1:A2295&lt;&gt;""""))), LEN(INDEX(FILTER(A$1:A2295, A$1:A2295&lt;&gt;""""),COUNTA(FILTER(A$1:A2295, A$1:A2295&lt;&gt;""""))))-1), IF('To Order'!$A2296=COL"&amp;"UMNS($A2296:A2315), A2295&amp;RIGHT(INDIRECT(ADDRESS(ROW(A2296)-1, 'From Order'!$A2296)), 1), A2295))"),"DCDW")</f>
        <v>DCDW</v>
      </c>
      <c r="B2296" s="2" t="str">
        <f>IFERROR(__xludf.DUMMYFUNCTION("IF('From Order'!$A2296=COLUMNS($A2296:B2315), LEFT(INDEX(FILTER(B$1:B2295, B$1:B2295&lt;&gt;""""),COUNTA(FILTER(B$1:B2295, B$1:B2295&lt;&gt;""""))), LEN(INDEX(FILTER(B$1:B2295, B$1:B2295&lt;&gt;""""),COUNTA(FILTER(B$1:B2295, B$1:B2295&lt;&gt;""""))))-1), IF('To Order'!$A2296=COL"&amp;"UMNS($A2296:B2315), B2295&amp;RIGHT(INDIRECT(ADDRESS(ROW(B2296)-1, 'From Order'!$A2296)), 1), B2295))"),"")</f>
        <v/>
      </c>
      <c r="C2296" s="2" t="str">
        <f>IFERROR(__xludf.DUMMYFUNCTION("IF('From Order'!$A2296=COLUMNS($A2296:C2315), LEFT(INDEX(FILTER(C$1:C2295, C$1:C2295&lt;&gt;""""),COUNTA(FILTER(C$1:C2295, C$1:C2295&lt;&gt;""""))), LEN(INDEX(FILTER(C$1:C2295, C$1:C2295&lt;&gt;""""),COUNTA(FILTER(C$1:C2295, C$1:C2295&lt;&gt;""""))))-1), IF('To Order'!$A2296=COL"&amp;"UMNS($A2296:C2315), C2295&amp;RIGHT(INDIRECT(ADDRESS(ROW(C2296)-1, 'From Order'!$A2296)), 1), C2295))"),"VB")</f>
        <v>VB</v>
      </c>
      <c r="D2296" s="2" t="str">
        <f>IFERROR(__xludf.DUMMYFUNCTION("IF('From Order'!$A2296=COLUMNS($A2296:D2315), LEFT(INDEX(FILTER(D$1:D2295, D$1:D2295&lt;&gt;""""),COUNTA(FILTER(D$1:D2295, D$1:D2295&lt;&gt;""""))), LEN(INDEX(FILTER(D$1:D2295, D$1:D2295&lt;&gt;""""),COUNTA(FILTER(D$1:D2295, D$1:D2295&lt;&gt;""""))))-1), IF('To Order'!$A2296=COL"&amp;"UMNS($A2296:D2315), D2295&amp;RIGHT(INDIRECT(ADDRESS(ROW(D2296)-1, 'From Order'!$A2296)), 1), D2295))"),"")</f>
        <v/>
      </c>
      <c r="E2296" s="2" t="str">
        <f>IFERROR(__xludf.DUMMYFUNCTION("IF('From Order'!$A2296=COLUMNS($A2296:E2315), LEFT(INDEX(FILTER(E$1:E2295, E$1:E2295&lt;&gt;""""),COUNTA(FILTER(E$1:E2295, E$1:E2295&lt;&gt;""""))), LEN(INDEX(FILTER(E$1:E2295, E$1:E2295&lt;&gt;""""),COUNTA(FILTER(E$1:E2295, E$1:E2295&lt;&gt;""""))))-1), IF('To Order'!$A2296=COL"&amp;"UMNS($A2296:E2315), E2295&amp;RIGHT(INDIRECT(ADDRESS(ROW(E2296)-1, 'From Order'!$A2296)), 1), E2295))"),"")</f>
        <v/>
      </c>
      <c r="F2296" s="2" t="str">
        <f>IFERROR(__xludf.DUMMYFUNCTION("IF('From Order'!$A2296=COLUMNS($A2296:F2315), LEFT(INDEX(FILTER(F$1:F2295, F$1:F2295&lt;&gt;""""),COUNTA(FILTER(F$1:F2295, F$1:F2295&lt;&gt;""""))), LEN(INDEX(FILTER(F$1:F2295, F$1:F2295&lt;&gt;""""),COUNTA(FILTER(F$1:F2295, F$1:F2295&lt;&gt;""""))))-1), IF('To Order'!$A2296=COL"&amp;"UMNS($A2296:F2315), F2295&amp;RIGHT(INDIRECT(ADDRESS(ROW(F2296)-1, 'From Order'!$A2296)), 1), F2295))"),"F")</f>
        <v>F</v>
      </c>
      <c r="G2296" s="2" t="str">
        <f>IFERROR(__xludf.DUMMYFUNCTION("IF('From Order'!$A2296=COLUMNS($A2296:G2315), LEFT(INDEX(FILTER(G$1:G2295, G$1:G2295&lt;&gt;""""),COUNTA(FILTER(G$1:G2295, G$1:G2295&lt;&gt;""""))), LEN(INDEX(FILTER(G$1:G2295, G$1:G2295&lt;&gt;""""),COUNTA(FILTER(G$1:G2295, G$1:G2295&lt;&gt;""""))))-1), IF('To Order'!$A2296=COL"&amp;"UMNS($A2296:G2315), G2295&amp;RIGHT(INDIRECT(ADDRESS(ROW(G2296)-1, 'From Order'!$A2296)), 1), G2295))"),"")</f>
        <v/>
      </c>
      <c r="H2296" s="2" t="str">
        <f>IFERROR(__xludf.DUMMYFUNCTION("IF('From Order'!$A2296=COLUMNS($A2296:H2315), LEFT(INDEX(FILTER(H$1:H2295, H$1:H2295&lt;&gt;""""),COUNTA(FILTER(H$1:H2295, H$1:H2295&lt;&gt;""""))), LEN(INDEX(FILTER(H$1:H2295, H$1:H2295&lt;&gt;""""),COUNTA(FILTER(H$1:H2295, H$1:H2295&lt;&gt;""""))))-1), IF('To Order'!$A2296=COL"&amp;"UMNS($A2296:H2315), H2295&amp;RIGHT(INDIRECT(ADDRESS(ROW(H2296)-1, 'From Order'!$A2296)), 1), H2295))"),"RG")</f>
        <v>RG</v>
      </c>
      <c r="I2296" s="2" t="str">
        <f>IFERROR(__xludf.DUMMYFUNCTION("IF('From Order'!$A2296=COLUMNS($A2296:I2315), LEFT(INDEX(FILTER(I$1:I2295, I$1:I2295&lt;&gt;""""),COUNTA(FILTER(I$1:I2295, I$1:I2295&lt;&gt;""""))), LEN(INDEX(FILTER(I$1:I2295, I$1:I2295&lt;&gt;""""),COUNTA(FILTER(I$1:I2295, I$1:I2295&lt;&gt;""""))))-1), IF('To Order'!$A2296=COL"&amp;"UMNS($A2296:I2315), I2295&amp;RIGHT(INDIRECT(ADDRESS(ROW(I2296)-1, 'From Order'!$A2296)), 1), I2295))"),"DDDVQZDMTTGMJRRLPSSTMZHPRBVJBCBFLLWTHZSCTTQRSPJ")</f>
        <v>DDDVQZDMTTGMJRRLPSSTMZHPRBVJBCBFLLWTHZSCTTQRSPJ</v>
      </c>
    </row>
    <row r="2297">
      <c r="A2297" s="2" t="str">
        <f>IFERROR(__xludf.DUMMYFUNCTION("IF('From Order'!$A2297=COLUMNS($A2297:A2316), LEFT(INDEX(FILTER(A$1:A2296, A$1:A2296&lt;&gt;""""),COUNTA(FILTER(A$1:A2296, A$1:A2296&lt;&gt;""""))), LEN(INDEX(FILTER(A$1:A2296, A$1:A2296&lt;&gt;""""),COUNTA(FILTER(A$1:A2296, A$1:A2296&lt;&gt;""""))))-1), IF('To Order'!$A2297=COL"&amp;"UMNS($A2297:A2316), A2296&amp;RIGHT(INDIRECT(ADDRESS(ROW(A2297)-1, 'From Order'!$A2297)), 1), A2296))"),"DCDWB")</f>
        <v>DCDWB</v>
      </c>
      <c r="B2297" s="2" t="str">
        <f>IFERROR(__xludf.DUMMYFUNCTION("IF('From Order'!$A2297=COLUMNS($A2297:B2316), LEFT(INDEX(FILTER(B$1:B2296, B$1:B2296&lt;&gt;""""),COUNTA(FILTER(B$1:B2296, B$1:B2296&lt;&gt;""""))), LEN(INDEX(FILTER(B$1:B2296, B$1:B2296&lt;&gt;""""),COUNTA(FILTER(B$1:B2296, B$1:B2296&lt;&gt;""""))))-1), IF('To Order'!$A2297=COL"&amp;"UMNS($A2297:B2316), B2296&amp;RIGHT(INDIRECT(ADDRESS(ROW(B2297)-1, 'From Order'!$A2297)), 1), B2296))"),"")</f>
        <v/>
      </c>
      <c r="C2297" s="2" t="str">
        <f>IFERROR(__xludf.DUMMYFUNCTION("IF('From Order'!$A2297=COLUMNS($A2297:C2316), LEFT(INDEX(FILTER(C$1:C2296, C$1:C2296&lt;&gt;""""),COUNTA(FILTER(C$1:C2296, C$1:C2296&lt;&gt;""""))), LEN(INDEX(FILTER(C$1:C2296, C$1:C2296&lt;&gt;""""),COUNTA(FILTER(C$1:C2296, C$1:C2296&lt;&gt;""""))))-1), IF('To Order'!$A2297=COL"&amp;"UMNS($A2297:C2316), C2296&amp;RIGHT(INDIRECT(ADDRESS(ROW(C2297)-1, 'From Order'!$A2297)), 1), C2296))"),"V")</f>
        <v>V</v>
      </c>
      <c r="D2297" s="2" t="str">
        <f>IFERROR(__xludf.DUMMYFUNCTION("IF('From Order'!$A2297=COLUMNS($A2297:D2316), LEFT(INDEX(FILTER(D$1:D2296, D$1:D2296&lt;&gt;""""),COUNTA(FILTER(D$1:D2296, D$1:D2296&lt;&gt;""""))), LEN(INDEX(FILTER(D$1:D2296, D$1:D2296&lt;&gt;""""),COUNTA(FILTER(D$1:D2296, D$1:D2296&lt;&gt;""""))))-1), IF('To Order'!$A2297=COL"&amp;"UMNS($A2297:D2316), D2296&amp;RIGHT(INDIRECT(ADDRESS(ROW(D2297)-1, 'From Order'!$A2297)), 1), D2296))"),"")</f>
        <v/>
      </c>
      <c r="E2297" s="2" t="str">
        <f>IFERROR(__xludf.DUMMYFUNCTION("IF('From Order'!$A2297=COLUMNS($A2297:E2316), LEFT(INDEX(FILTER(E$1:E2296, E$1:E2296&lt;&gt;""""),COUNTA(FILTER(E$1:E2296, E$1:E2296&lt;&gt;""""))), LEN(INDEX(FILTER(E$1:E2296, E$1:E2296&lt;&gt;""""),COUNTA(FILTER(E$1:E2296, E$1:E2296&lt;&gt;""""))))-1), IF('To Order'!$A2297=COL"&amp;"UMNS($A2297:E2316), E2296&amp;RIGHT(INDIRECT(ADDRESS(ROW(E2297)-1, 'From Order'!$A2297)), 1), E2296))"),"")</f>
        <v/>
      </c>
      <c r="F2297" s="2" t="str">
        <f>IFERROR(__xludf.DUMMYFUNCTION("IF('From Order'!$A2297=COLUMNS($A2297:F2316), LEFT(INDEX(FILTER(F$1:F2296, F$1:F2296&lt;&gt;""""),COUNTA(FILTER(F$1:F2296, F$1:F2296&lt;&gt;""""))), LEN(INDEX(FILTER(F$1:F2296, F$1:F2296&lt;&gt;""""),COUNTA(FILTER(F$1:F2296, F$1:F2296&lt;&gt;""""))))-1), IF('To Order'!$A2297=COL"&amp;"UMNS($A2297:F2316), F2296&amp;RIGHT(INDIRECT(ADDRESS(ROW(F2297)-1, 'From Order'!$A2297)), 1), F2296))"),"F")</f>
        <v>F</v>
      </c>
      <c r="G2297" s="2" t="str">
        <f>IFERROR(__xludf.DUMMYFUNCTION("IF('From Order'!$A2297=COLUMNS($A2297:G2316), LEFT(INDEX(FILTER(G$1:G2296, G$1:G2296&lt;&gt;""""),COUNTA(FILTER(G$1:G2296, G$1:G2296&lt;&gt;""""))), LEN(INDEX(FILTER(G$1:G2296, G$1:G2296&lt;&gt;""""),COUNTA(FILTER(G$1:G2296, G$1:G2296&lt;&gt;""""))))-1), IF('To Order'!$A2297=COL"&amp;"UMNS($A2297:G2316), G2296&amp;RIGHT(INDIRECT(ADDRESS(ROW(G2297)-1, 'From Order'!$A2297)), 1), G2296))"),"")</f>
        <v/>
      </c>
      <c r="H2297" s="2" t="str">
        <f>IFERROR(__xludf.DUMMYFUNCTION("IF('From Order'!$A2297=COLUMNS($A2297:H2316), LEFT(INDEX(FILTER(H$1:H2296, H$1:H2296&lt;&gt;""""),COUNTA(FILTER(H$1:H2296, H$1:H2296&lt;&gt;""""))), LEN(INDEX(FILTER(H$1:H2296, H$1:H2296&lt;&gt;""""),COUNTA(FILTER(H$1:H2296, H$1:H2296&lt;&gt;""""))))-1), IF('To Order'!$A2297=COL"&amp;"UMNS($A2297:H2316), H2296&amp;RIGHT(INDIRECT(ADDRESS(ROW(H2297)-1, 'From Order'!$A2297)), 1), H2296))"),"RG")</f>
        <v>RG</v>
      </c>
      <c r="I2297" s="2" t="str">
        <f>IFERROR(__xludf.DUMMYFUNCTION("IF('From Order'!$A2297=COLUMNS($A2297:I2316), LEFT(INDEX(FILTER(I$1:I2296, I$1:I2296&lt;&gt;""""),COUNTA(FILTER(I$1:I2296, I$1:I2296&lt;&gt;""""))), LEN(INDEX(FILTER(I$1:I2296, I$1:I2296&lt;&gt;""""),COUNTA(FILTER(I$1:I2296, I$1:I2296&lt;&gt;""""))))-1), IF('To Order'!$A2297=COL"&amp;"UMNS($A2297:I2316), I2296&amp;RIGHT(INDIRECT(ADDRESS(ROW(I2297)-1, 'From Order'!$A2297)), 1), I2296))"),"DDDVQZDMTTGMJRRLPSSTMZHPRBVJBCBFLLWTHZSCTTQRSPJ")</f>
        <v>DDDVQZDMTTGMJRRLPSSTMZHPRBVJBCBFLLWTHZSCTTQRSPJ</v>
      </c>
    </row>
    <row r="2298">
      <c r="A2298" s="2" t="str">
        <f>IFERROR(__xludf.DUMMYFUNCTION("IF('From Order'!$A2298=COLUMNS($A2298:A2317), LEFT(INDEX(FILTER(A$1:A2297, A$1:A2297&lt;&gt;""""),COUNTA(FILTER(A$1:A2297, A$1:A2297&lt;&gt;""""))), LEN(INDEX(FILTER(A$1:A2297, A$1:A2297&lt;&gt;""""),COUNTA(FILTER(A$1:A2297, A$1:A2297&lt;&gt;""""))))-1), IF('To Order'!$A2298=COL"&amp;"UMNS($A2298:A2317), A2297&amp;RIGHT(INDIRECT(ADDRESS(ROW(A2298)-1, 'From Order'!$A2298)), 1), A2297))"),"DCDW")</f>
        <v>DCDW</v>
      </c>
      <c r="B2298" s="2" t="str">
        <f>IFERROR(__xludf.DUMMYFUNCTION("IF('From Order'!$A2298=COLUMNS($A2298:B2317), LEFT(INDEX(FILTER(B$1:B2297, B$1:B2297&lt;&gt;""""),COUNTA(FILTER(B$1:B2297, B$1:B2297&lt;&gt;""""))), LEN(INDEX(FILTER(B$1:B2297, B$1:B2297&lt;&gt;""""),COUNTA(FILTER(B$1:B2297, B$1:B2297&lt;&gt;""""))))-1), IF('To Order'!$A2298=COL"&amp;"UMNS($A2298:B2317), B2297&amp;RIGHT(INDIRECT(ADDRESS(ROW(B2298)-1, 'From Order'!$A2298)), 1), B2297))"),"")</f>
        <v/>
      </c>
      <c r="C2298" s="2" t="str">
        <f>IFERROR(__xludf.DUMMYFUNCTION("IF('From Order'!$A2298=COLUMNS($A2298:C2317), LEFT(INDEX(FILTER(C$1:C2297, C$1:C2297&lt;&gt;""""),COUNTA(FILTER(C$1:C2297, C$1:C2297&lt;&gt;""""))), LEN(INDEX(FILTER(C$1:C2297, C$1:C2297&lt;&gt;""""),COUNTA(FILTER(C$1:C2297, C$1:C2297&lt;&gt;""""))))-1), IF('To Order'!$A2298=COL"&amp;"UMNS($A2298:C2317), C2297&amp;RIGHT(INDIRECT(ADDRESS(ROW(C2298)-1, 'From Order'!$A2298)), 1), C2297))"),"V")</f>
        <v>V</v>
      </c>
      <c r="D2298" s="2" t="str">
        <f>IFERROR(__xludf.DUMMYFUNCTION("IF('From Order'!$A2298=COLUMNS($A2298:D2317), LEFT(INDEX(FILTER(D$1:D2297, D$1:D2297&lt;&gt;""""),COUNTA(FILTER(D$1:D2297, D$1:D2297&lt;&gt;""""))), LEN(INDEX(FILTER(D$1:D2297, D$1:D2297&lt;&gt;""""),COUNTA(FILTER(D$1:D2297, D$1:D2297&lt;&gt;""""))))-1), IF('To Order'!$A2298=COL"&amp;"UMNS($A2298:D2317), D2297&amp;RIGHT(INDIRECT(ADDRESS(ROW(D2298)-1, 'From Order'!$A2298)), 1), D2297))"),"")</f>
        <v/>
      </c>
      <c r="E2298" s="2" t="str">
        <f>IFERROR(__xludf.DUMMYFUNCTION("IF('From Order'!$A2298=COLUMNS($A2298:E2317), LEFT(INDEX(FILTER(E$1:E2297, E$1:E2297&lt;&gt;""""),COUNTA(FILTER(E$1:E2297, E$1:E2297&lt;&gt;""""))), LEN(INDEX(FILTER(E$1:E2297, E$1:E2297&lt;&gt;""""),COUNTA(FILTER(E$1:E2297, E$1:E2297&lt;&gt;""""))))-1), IF('To Order'!$A2298=COL"&amp;"UMNS($A2298:E2317), E2297&amp;RIGHT(INDIRECT(ADDRESS(ROW(E2298)-1, 'From Order'!$A2298)), 1), E2297))"),"")</f>
        <v/>
      </c>
      <c r="F2298" s="2" t="str">
        <f>IFERROR(__xludf.DUMMYFUNCTION("IF('From Order'!$A2298=COLUMNS($A2298:F2317), LEFT(INDEX(FILTER(F$1:F2297, F$1:F2297&lt;&gt;""""),COUNTA(FILTER(F$1:F2297, F$1:F2297&lt;&gt;""""))), LEN(INDEX(FILTER(F$1:F2297, F$1:F2297&lt;&gt;""""),COUNTA(FILTER(F$1:F2297, F$1:F2297&lt;&gt;""""))))-1), IF('To Order'!$A2298=COL"&amp;"UMNS($A2298:F2317), F2297&amp;RIGHT(INDIRECT(ADDRESS(ROW(F2298)-1, 'From Order'!$A2298)), 1), F2297))"),"F")</f>
        <v>F</v>
      </c>
      <c r="G2298" s="2" t="str">
        <f>IFERROR(__xludf.DUMMYFUNCTION("IF('From Order'!$A2298=COLUMNS($A2298:G2317), LEFT(INDEX(FILTER(G$1:G2297, G$1:G2297&lt;&gt;""""),COUNTA(FILTER(G$1:G2297, G$1:G2297&lt;&gt;""""))), LEN(INDEX(FILTER(G$1:G2297, G$1:G2297&lt;&gt;""""),COUNTA(FILTER(G$1:G2297, G$1:G2297&lt;&gt;""""))))-1), IF('To Order'!$A2298=COL"&amp;"UMNS($A2298:G2317), G2297&amp;RIGHT(INDIRECT(ADDRESS(ROW(G2298)-1, 'From Order'!$A2298)), 1), G2297))"),"B")</f>
        <v>B</v>
      </c>
      <c r="H2298" s="2" t="str">
        <f>IFERROR(__xludf.DUMMYFUNCTION("IF('From Order'!$A2298=COLUMNS($A2298:H2317), LEFT(INDEX(FILTER(H$1:H2297, H$1:H2297&lt;&gt;""""),COUNTA(FILTER(H$1:H2297, H$1:H2297&lt;&gt;""""))), LEN(INDEX(FILTER(H$1:H2297, H$1:H2297&lt;&gt;""""),COUNTA(FILTER(H$1:H2297, H$1:H2297&lt;&gt;""""))))-1), IF('To Order'!$A2298=COL"&amp;"UMNS($A2298:H2317), H2297&amp;RIGHT(INDIRECT(ADDRESS(ROW(H2298)-1, 'From Order'!$A2298)), 1), H2297))"),"RG")</f>
        <v>RG</v>
      </c>
      <c r="I2298" s="2" t="str">
        <f>IFERROR(__xludf.DUMMYFUNCTION("IF('From Order'!$A2298=COLUMNS($A2298:I2317), LEFT(INDEX(FILTER(I$1:I2297, I$1:I2297&lt;&gt;""""),COUNTA(FILTER(I$1:I2297, I$1:I2297&lt;&gt;""""))), LEN(INDEX(FILTER(I$1:I2297, I$1:I2297&lt;&gt;""""),COUNTA(FILTER(I$1:I2297, I$1:I2297&lt;&gt;""""))))-1), IF('To Order'!$A2298=COL"&amp;"UMNS($A2298:I2317), I2297&amp;RIGHT(INDIRECT(ADDRESS(ROW(I2298)-1, 'From Order'!$A2298)), 1), I2297))"),"DDDVQZDMTTGMJRRLPSSTMZHPRBVJBCBFLLWTHZSCTTQRSPJ")</f>
        <v>DDDVQZDMTTGMJRRLPSSTMZHPRBVJBCBFLLWTHZSCTTQRSPJ</v>
      </c>
    </row>
    <row r="2299">
      <c r="A2299" s="2" t="str">
        <f>IFERROR(__xludf.DUMMYFUNCTION("IF('From Order'!$A2299=COLUMNS($A2299:A2318), LEFT(INDEX(FILTER(A$1:A2298, A$1:A2298&lt;&gt;""""),COUNTA(FILTER(A$1:A2298, A$1:A2298&lt;&gt;""""))), LEN(INDEX(FILTER(A$1:A2298, A$1:A2298&lt;&gt;""""),COUNTA(FILTER(A$1:A2298, A$1:A2298&lt;&gt;""""))))-1), IF('To Order'!$A2299=COL"&amp;"UMNS($A2299:A2318), A2298&amp;RIGHT(INDIRECT(ADDRESS(ROW(A2299)-1, 'From Order'!$A2299)), 1), A2298))"),"DCD")</f>
        <v>DCD</v>
      </c>
      <c r="B2299" s="2" t="str">
        <f>IFERROR(__xludf.DUMMYFUNCTION("IF('From Order'!$A2299=COLUMNS($A2299:B2318), LEFT(INDEX(FILTER(B$1:B2298, B$1:B2298&lt;&gt;""""),COUNTA(FILTER(B$1:B2298, B$1:B2298&lt;&gt;""""))), LEN(INDEX(FILTER(B$1:B2298, B$1:B2298&lt;&gt;""""),COUNTA(FILTER(B$1:B2298, B$1:B2298&lt;&gt;""""))))-1), IF('To Order'!$A2299=COL"&amp;"UMNS($A2299:B2318), B2298&amp;RIGHT(INDIRECT(ADDRESS(ROW(B2299)-1, 'From Order'!$A2299)), 1), B2298))"),"")</f>
        <v/>
      </c>
      <c r="C2299" s="2" t="str">
        <f>IFERROR(__xludf.DUMMYFUNCTION("IF('From Order'!$A2299=COLUMNS($A2299:C2318), LEFT(INDEX(FILTER(C$1:C2298, C$1:C2298&lt;&gt;""""),COUNTA(FILTER(C$1:C2298, C$1:C2298&lt;&gt;""""))), LEN(INDEX(FILTER(C$1:C2298, C$1:C2298&lt;&gt;""""),COUNTA(FILTER(C$1:C2298, C$1:C2298&lt;&gt;""""))))-1), IF('To Order'!$A2299=COL"&amp;"UMNS($A2299:C2318), C2298&amp;RIGHT(INDIRECT(ADDRESS(ROW(C2299)-1, 'From Order'!$A2299)), 1), C2298))"),"V")</f>
        <v>V</v>
      </c>
      <c r="D2299" s="2" t="str">
        <f>IFERROR(__xludf.DUMMYFUNCTION("IF('From Order'!$A2299=COLUMNS($A2299:D2318), LEFT(INDEX(FILTER(D$1:D2298, D$1:D2298&lt;&gt;""""),COUNTA(FILTER(D$1:D2298, D$1:D2298&lt;&gt;""""))), LEN(INDEX(FILTER(D$1:D2298, D$1:D2298&lt;&gt;""""),COUNTA(FILTER(D$1:D2298, D$1:D2298&lt;&gt;""""))))-1), IF('To Order'!$A2299=COL"&amp;"UMNS($A2299:D2318), D2298&amp;RIGHT(INDIRECT(ADDRESS(ROW(D2299)-1, 'From Order'!$A2299)), 1), D2298))"),"")</f>
        <v/>
      </c>
      <c r="E2299" s="2" t="str">
        <f>IFERROR(__xludf.DUMMYFUNCTION("IF('From Order'!$A2299=COLUMNS($A2299:E2318), LEFT(INDEX(FILTER(E$1:E2298, E$1:E2298&lt;&gt;""""),COUNTA(FILTER(E$1:E2298, E$1:E2298&lt;&gt;""""))), LEN(INDEX(FILTER(E$1:E2298, E$1:E2298&lt;&gt;""""),COUNTA(FILTER(E$1:E2298, E$1:E2298&lt;&gt;""""))))-1), IF('To Order'!$A2299=COL"&amp;"UMNS($A2299:E2318), E2298&amp;RIGHT(INDIRECT(ADDRESS(ROW(E2299)-1, 'From Order'!$A2299)), 1), E2298))"),"")</f>
        <v/>
      </c>
      <c r="F2299" s="2" t="str">
        <f>IFERROR(__xludf.DUMMYFUNCTION("IF('From Order'!$A2299=COLUMNS($A2299:F2318), LEFT(INDEX(FILTER(F$1:F2298, F$1:F2298&lt;&gt;""""),COUNTA(FILTER(F$1:F2298, F$1:F2298&lt;&gt;""""))), LEN(INDEX(FILTER(F$1:F2298, F$1:F2298&lt;&gt;""""),COUNTA(FILTER(F$1:F2298, F$1:F2298&lt;&gt;""""))))-1), IF('To Order'!$A2299=COL"&amp;"UMNS($A2299:F2318), F2298&amp;RIGHT(INDIRECT(ADDRESS(ROW(F2299)-1, 'From Order'!$A2299)), 1), F2298))"),"F")</f>
        <v>F</v>
      </c>
      <c r="G2299" s="2" t="str">
        <f>IFERROR(__xludf.DUMMYFUNCTION("IF('From Order'!$A2299=COLUMNS($A2299:G2318), LEFT(INDEX(FILTER(G$1:G2298, G$1:G2298&lt;&gt;""""),COUNTA(FILTER(G$1:G2298, G$1:G2298&lt;&gt;""""))), LEN(INDEX(FILTER(G$1:G2298, G$1:G2298&lt;&gt;""""),COUNTA(FILTER(G$1:G2298, G$1:G2298&lt;&gt;""""))))-1), IF('To Order'!$A2299=COL"&amp;"UMNS($A2299:G2318), G2298&amp;RIGHT(INDIRECT(ADDRESS(ROW(G2299)-1, 'From Order'!$A2299)), 1), G2298))"),"BW")</f>
        <v>BW</v>
      </c>
      <c r="H2299" s="2" t="str">
        <f>IFERROR(__xludf.DUMMYFUNCTION("IF('From Order'!$A2299=COLUMNS($A2299:H2318), LEFT(INDEX(FILTER(H$1:H2298, H$1:H2298&lt;&gt;""""),COUNTA(FILTER(H$1:H2298, H$1:H2298&lt;&gt;""""))), LEN(INDEX(FILTER(H$1:H2298, H$1:H2298&lt;&gt;""""),COUNTA(FILTER(H$1:H2298, H$1:H2298&lt;&gt;""""))))-1), IF('To Order'!$A2299=COL"&amp;"UMNS($A2299:H2318), H2298&amp;RIGHT(INDIRECT(ADDRESS(ROW(H2299)-1, 'From Order'!$A2299)), 1), H2298))"),"RG")</f>
        <v>RG</v>
      </c>
      <c r="I2299" s="2" t="str">
        <f>IFERROR(__xludf.DUMMYFUNCTION("IF('From Order'!$A2299=COLUMNS($A2299:I2318), LEFT(INDEX(FILTER(I$1:I2298, I$1:I2298&lt;&gt;""""),COUNTA(FILTER(I$1:I2298, I$1:I2298&lt;&gt;""""))), LEN(INDEX(FILTER(I$1:I2298, I$1:I2298&lt;&gt;""""),COUNTA(FILTER(I$1:I2298, I$1:I2298&lt;&gt;""""))))-1), IF('To Order'!$A2299=COL"&amp;"UMNS($A2299:I2318), I2298&amp;RIGHT(INDIRECT(ADDRESS(ROW(I2299)-1, 'From Order'!$A2299)), 1), I2298))"),"DDDVQZDMTTGMJRRLPSSTMZHPRBVJBCBFLLWTHZSCTTQRSPJ")</f>
        <v>DDDVQZDMTTGMJRRLPSSTMZHPRBVJBCBFLLWTHZSCTTQRSPJ</v>
      </c>
    </row>
    <row r="2300">
      <c r="A2300" s="2" t="str">
        <f>IFERROR(__xludf.DUMMYFUNCTION("IF('From Order'!$A2300=COLUMNS($A2300:A2319), LEFT(INDEX(FILTER(A$1:A2299, A$1:A2299&lt;&gt;""""),COUNTA(FILTER(A$1:A2299, A$1:A2299&lt;&gt;""""))), LEN(INDEX(FILTER(A$1:A2299, A$1:A2299&lt;&gt;""""),COUNTA(FILTER(A$1:A2299, A$1:A2299&lt;&gt;""""))))-1), IF('To Order'!$A2300=COL"&amp;"UMNS($A2300:A2319), A2299&amp;RIGHT(INDIRECT(ADDRESS(ROW(A2300)-1, 'From Order'!$A2300)), 1), A2299))"),"DC")</f>
        <v>DC</v>
      </c>
      <c r="B2300" s="2" t="str">
        <f>IFERROR(__xludf.DUMMYFUNCTION("IF('From Order'!$A2300=COLUMNS($A2300:B2319), LEFT(INDEX(FILTER(B$1:B2299, B$1:B2299&lt;&gt;""""),COUNTA(FILTER(B$1:B2299, B$1:B2299&lt;&gt;""""))), LEN(INDEX(FILTER(B$1:B2299, B$1:B2299&lt;&gt;""""),COUNTA(FILTER(B$1:B2299, B$1:B2299&lt;&gt;""""))))-1), IF('To Order'!$A2300=COL"&amp;"UMNS($A2300:B2319), B2299&amp;RIGHT(INDIRECT(ADDRESS(ROW(B2300)-1, 'From Order'!$A2300)), 1), B2299))"),"")</f>
        <v/>
      </c>
      <c r="C2300" s="2" t="str">
        <f>IFERROR(__xludf.DUMMYFUNCTION("IF('From Order'!$A2300=COLUMNS($A2300:C2319), LEFT(INDEX(FILTER(C$1:C2299, C$1:C2299&lt;&gt;""""),COUNTA(FILTER(C$1:C2299, C$1:C2299&lt;&gt;""""))), LEN(INDEX(FILTER(C$1:C2299, C$1:C2299&lt;&gt;""""),COUNTA(FILTER(C$1:C2299, C$1:C2299&lt;&gt;""""))))-1), IF('To Order'!$A2300=COL"&amp;"UMNS($A2300:C2319), C2299&amp;RIGHT(INDIRECT(ADDRESS(ROW(C2300)-1, 'From Order'!$A2300)), 1), C2299))"),"V")</f>
        <v>V</v>
      </c>
      <c r="D2300" s="2" t="str">
        <f>IFERROR(__xludf.DUMMYFUNCTION("IF('From Order'!$A2300=COLUMNS($A2300:D2319), LEFT(INDEX(FILTER(D$1:D2299, D$1:D2299&lt;&gt;""""),COUNTA(FILTER(D$1:D2299, D$1:D2299&lt;&gt;""""))), LEN(INDEX(FILTER(D$1:D2299, D$1:D2299&lt;&gt;""""),COUNTA(FILTER(D$1:D2299, D$1:D2299&lt;&gt;""""))))-1), IF('To Order'!$A2300=COL"&amp;"UMNS($A2300:D2319), D2299&amp;RIGHT(INDIRECT(ADDRESS(ROW(D2300)-1, 'From Order'!$A2300)), 1), D2299))"),"")</f>
        <v/>
      </c>
      <c r="E2300" s="2" t="str">
        <f>IFERROR(__xludf.DUMMYFUNCTION("IF('From Order'!$A2300=COLUMNS($A2300:E2319), LEFT(INDEX(FILTER(E$1:E2299, E$1:E2299&lt;&gt;""""),COUNTA(FILTER(E$1:E2299, E$1:E2299&lt;&gt;""""))), LEN(INDEX(FILTER(E$1:E2299, E$1:E2299&lt;&gt;""""),COUNTA(FILTER(E$1:E2299, E$1:E2299&lt;&gt;""""))))-1), IF('To Order'!$A2300=COL"&amp;"UMNS($A2300:E2319), E2299&amp;RIGHT(INDIRECT(ADDRESS(ROW(E2300)-1, 'From Order'!$A2300)), 1), E2299))"),"")</f>
        <v/>
      </c>
      <c r="F2300" s="2" t="str">
        <f>IFERROR(__xludf.DUMMYFUNCTION("IF('From Order'!$A2300=COLUMNS($A2300:F2319), LEFT(INDEX(FILTER(F$1:F2299, F$1:F2299&lt;&gt;""""),COUNTA(FILTER(F$1:F2299, F$1:F2299&lt;&gt;""""))), LEN(INDEX(FILTER(F$1:F2299, F$1:F2299&lt;&gt;""""),COUNTA(FILTER(F$1:F2299, F$1:F2299&lt;&gt;""""))))-1), IF('To Order'!$A2300=COL"&amp;"UMNS($A2300:F2319), F2299&amp;RIGHT(INDIRECT(ADDRESS(ROW(F2300)-1, 'From Order'!$A2300)), 1), F2299))"),"F")</f>
        <v>F</v>
      </c>
      <c r="G2300" s="2" t="str">
        <f>IFERROR(__xludf.DUMMYFUNCTION("IF('From Order'!$A2300=COLUMNS($A2300:G2319), LEFT(INDEX(FILTER(G$1:G2299, G$1:G2299&lt;&gt;""""),COUNTA(FILTER(G$1:G2299, G$1:G2299&lt;&gt;""""))), LEN(INDEX(FILTER(G$1:G2299, G$1:G2299&lt;&gt;""""),COUNTA(FILTER(G$1:G2299, G$1:G2299&lt;&gt;""""))))-1), IF('To Order'!$A2300=COL"&amp;"UMNS($A2300:G2319), G2299&amp;RIGHT(INDIRECT(ADDRESS(ROW(G2300)-1, 'From Order'!$A2300)), 1), G2299))"),"BWD")</f>
        <v>BWD</v>
      </c>
      <c r="H2300" s="2" t="str">
        <f>IFERROR(__xludf.DUMMYFUNCTION("IF('From Order'!$A2300=COLUMNS($A2300:H2319), LEFT(INDEX(FILTER(H$1:H2299, H$1:H2299&lt;&gt;""""),COUNTA(FILTER(H$1:H2299, H$1:H2299&lt;&gt;""""))), LEN(INDEX(FILTER(H$1:H2299, H$1:H2299&lt;&gt;""""),COUNTA(FILTER(H$1:H2299, H$1:H2299&lt;&gt;""""))))-1), IF('To Order'!$A2300=COL"&amp;"UMNS($A2300:H2319), H2299&amp;RIGHT(INDIRECT(ADDRESS(ROW(H2300)-1, 'From Order'!$A2300)), 1), H2299))"),"RG")</f>
        <v>RG</v>
      </c>
      <c r="I2300" s="2" t="str">
        <f>IFERROR(__xludf.DUMMYFUNCTION("IF('From Order'!$A2300=COLUMNS($A2300:I2319), LEFT(INDEX(FILTER(I$1:I2299, I$1:I2299&lt;&gt;""""),COUNTA(FILTER(I$1:I2299, I$1:I2299&lt;&gt;""""))), LEN(INDEX(FILTER(I$1:I2299, I$1:I2299&lt;&gt;""""),COUNTA(FILTER(I$1:I2299, I$1:I2299&lt;&gt;""""))))-1), IF('To Order'!$A2300=COL"&amp;"UMNS($A2300:I2319), I2299&amp;RIGHT(INDIRECT(ADDRESS(ROW(I2300)-1, 'From Order'!$A2300)), 1), I2299))"),"DDDVQZDMTTGMJRRLPSSTMZHPRBVJBCBFLLWTHZSCTTQRSPJ")</f>
        <v>DDDVQZDMTTGMJRRLPSSTMZHPRBVJBCBFLLWTHZSCTTQRSPJ</v>
      </c>
    </row>
    <row r="2301">
      <c r="A2301" s="2" t="str">
        <f>IFERROR(__xludf.DUMMYFUNCTION("IF('From Order'!$A2301=COLUMNS($A2301:A2320), LEFT(INDEX(FILTER(A$1:A2300, A$1:A2300&lt;&gt;""""),COUNTA(FILTER(A$1:A2300, A$1:A2300&lt;&gt;""""))), LEN(INDEX(FILTER(A$1:A2300, A$1:A2300&lt;&gt;""""),COUNTA(FILTER(A$1:A2300, A$1:A2300&lt;&gt;""""))))-1), IF('To Order'!$A2301=COL"&amp;"UMNS($A2301:A2320), A2300&amp;RIGHT(INDIRECT(ADDRESS(ROW(A2301)-1, 'From Order'!$A2301)), 1), A2300))"),"D")</f>
        <v>D</v>
      </c>
      <c r="B2301" s="2" t="str">
        <f>IFERROR(__xludf.DUMMYFUNCTION("IF('From Order'!$A2301=COLUMNS($A2301:B2320), LEFT(INDEX(FILTER(B$1:B2300, B$1:B2300&lt;&gt;""""),COUNTA(FILTER(B$1:B2300, B$1:B2300&lt;&gt;""""))), LEN(INDEX(FILTER(B$1:B2300, B$1:B2300&lt;&gt;""""),COUNTA(FILTER(B$1:B2300, B$1:B2300&lt;&gt;""""))))-1), IF('To Order'!$A2301=COL"&amp;"UMNS($A2301:B2320), B2300&amp;RIGHT(INDIRECT(ADDRESS(ROW(B2301)-1, 'From Order'!$A2301)), 1), B2300))"),"")</f>
        <v/>
      </c>
      <c r="C2301" s="2" t="str">
        <f>IFERROR(__xludf.DUMMYFUNCTION("IF('From Order'!$A2301=COLUMNS($A2301:C2320), LEFT(INDEX(FILTER(C$1:C2300, C$1:C2300&lt;&gt;""""),COUNTA(FILTER(C$1:C2300, C$1:C2300&lt;&gt;""""))), LEN(INDEX(FILTER(C$1:C2300, C$1:C2300&lt;&gt;""""),COUNTA(FILTER(C$1:C2300, C$1:C2300&lt;&gt;""""))))-1), IF('To Order'!$A2301=COL"&amp;"UMNS($A2301:C2320), C2300&amp;RIGHT(INDIRECT(ADDRESS(ROW(C2301)-1, 'From Order'!$A2301)), 1), C2300))"),"V")</f>
        <v>V</v>
      </c>
      <c r="D2301" s="2" t="str">
        <f>IFERROR(__xludf.DUMMYFUNCTION("IF('From Order'!$A2301=COLUMNS($A2301:D2320), LEFT(INDEX(FILTER(D$1:D2300, D$1:D2300&lt;&gt;""""),COUNTA(FILTER(D$1:D2300, D$1:D2300&lt;&gt;""""))), LEN(INDEX(FILTER(D$1:D2300, D$1:D2300&lt;&gt;""""),COUNTA(FILTER(D$1:D2300, D$1:D2300&lt;&gt;""""))))-1), IF('To Order'!$A2301=COL"&amp;"UMNS($A2301:D2320), D2300&amp;RIGHT(INDIRECT(ADDRESS(ROW(D2301)-1, 'From Order'!$A2301)), 1), D2300))"),"")</f>
        <v/>
      </c>
      <c r="E2301" s="2" t="str">
        <f>IFERROR(__xludf.DUMMYFUNCTION("IF('From Order'!$A2301=COLUMNS($A2301:E2320), LEFT(INDEX(FILTER(E$1:E2300, E$1:E2300&lt;&gt;""""),COUNTA(FILTER(E$1:E2300, E$1:E2300&lt;&gt;""""))), LEN(INDEX(FILTER(E$1:E2300, E$1:E2300&lt;&gt;""""),COUNTA(FILTER(E$1:E2300, E$1:E2300&lt;&gt;""""))))-1), IF('To Order'!$A2301=COL"&amp;"UMNS($A2301:E2320), E2300&amp;RIGHT(INDIRECT(ADDRESS(ROW(E2301)-1, 'From Order'!$A2301)), 1), E2300))"),"")</f>
        <v/>
      </c>
      <c r="F2301" s="2" t="str">
        <f>IFERROR(__xludf.DUMMYFUNCTION("IF('From Order'!$A2301=COLUMNS($A2301:F2320), LEFT(INDEX(FILTER(F$1:F2300, F$1:F2300&lt;&gt;""""),COUNTA(FILTER(F$1:F2300, F$1:F2300&lt;&gt;""""))), LEN(INDEX(FILTER(F$1:F2300, F$1:F2300&lt;&gt;""""),COUNTA(FILTER(F$1:F2300, F$1:F2300&lt;&gt;""""))))-1), IF('To Order'!$A2301=COL"&amp;"UMNS($A2301:F2320), F2300&amp;RIGHT(INDIRECT(ADDRESS(ROW(F2301)-1, 'From Order'!$A2301)), 1), F2300))"),"F")</f>
        <v>F</v>
      </c>
      <c r="G2301" s="2" t="str">
        <f>IFERROR(__xludf.DUMMYFUNCTION("IF('From Order'!$A2301=COLUMNS($A2301:G2320), LEFT(INDEX(FILTER(G$1:G2300, G$1:G2300&lt;&gt;""""),COUNTA(FILTER(G$1:G2300, G$1:G2300&lt;&gt;""""))), LEN(INDEX(FILTER(G$1:G2300, G$1:G2300&lt;&gt;""""),COUNTA(FILTER(G$1:G2300, G$1:G2300&lt;&gt;""""))))-1), IF('To Order'!$A2301=COL"&amp;"UMNS($A2301:G2320), G2300&amp;RIGHT(INDIRECT(ADDRESS(ROW(G2301)-1, 'From Order'!$A2301)), 1), G2300))"),"BWDC")</f>
        <v>BWDC</v>
      </c>
      <c r="H2301" s="2" t="str">
        <f>IFERROR(__xludf.DUMMYFUNCTION("IF('From Order'!$A2301=COLUMNS($A2301:H2320), LEFT(INDEX(FILTER(H$1:H2300, H$1:H2300&lt;&gt;""""),COUNTA(FILTER(H$1:H2300, H$1:H2300&lt;&gt;""""))), LEN(INDEX(FILTER(H$1:H2300, H$1:H2300&lt;&gt;""""),COUNTA(FILTER(H$1:H2300, H$1:H2300&lt;&gt;""""))))-1), IF('To Order'!$A2301=COL"&amp;"UMNS($A2301:H2320), H2300&amp;RIGHT(INDIRECT(ADDRESS(ROW(H2301)-1, 'From Order'!$A2301)), 1), H2300))"),"RG")</f>
        <v>RG</v>
      </c>
      <c r="I2301" s="2" t="str">
        <f>IFERROR(__xludf.DUMMYFUNCTION("IF('From Order'!$A2301=COLUMNS($A2301:I2320), LEFT(INDEX(FILTER(I$1:I2300, I$1:I2300&lt;&gt;""""),COUNTA(FILTER(I$1:I2300, I$1:I2300&lt;&gt;""""))), LEN(INDEX(FILTER(I$1:I2300, I$1:I2300&lt;&gt;""""),COUNTA(FILTER(I$1:I2300, I$1:I2300&lt;&gt;""""))))-1), IF('To Order'!$A2301=COL"&amp;"UMNS($A2301:I2320), I2300&amp;RIGHT(INDIRECT(ADDRESS(ROW(I2301)-1, 'From Order'!$A2301)), 1), I2300))"),"DDDVQZDMTTGMJRRLPSSTMZHPRBVJBCBFLLWTHZSCTTQRSPJ")</f>
        <v>DDDVQZDMTTGMJRRLPSSTMZHPRBVJBCBFLLWTHZSCTTQRSPJ</v>
      </c>
    </row>
    <row r="2302">
      <c r="A2302" s="2" t="str">
        <f>IFERROR(__xludf.DUMMYFUNCTION("IF('From Order'!$A2302=COLUMNS($A2302:A2321), LEFT(INDEX(FILTER(A$1:A2301, A$1:A2301&lt;&gt;""""),COUNTA(FILTER(A$1:A2301, A$1:A2301&lt;&gt;""""))), LEN(INDEX(FILTER(A$1:A2301, A$1:A2301&lt;&gt;""""),COUNTA(FILTER(A$1:A2301, A$1:A2301&lt;&gt;""""))))-1), IF('To Order'!$A2302=COL"&amp;"UMNS($A2302:A2321), A2301&amp;RIGHT(INDIRECT(ADDRESS(ROW(A2302)-1, 'From Order'!$A2302)), 1), A2301))"),"D")</f>
        <v>D</v>
      </c>
      <c r="B2302" s="2" t="str">
        <f>IFERROR(__xludf.DUMMYFUNCTION("IF('From Order'!$A2302=COLUMNS($A2302:B2321), LEFT(INDEX(FILTER(B$1:B2301, B$1:B2301&lt;&gt;""""),COUNTA(FILTER(B$1:B2301, B$1:B2301&lt;&gt;""""))), LEN(INDEX(FILTER(B$1:B2301, B$1:B2301&lt;&gt;""""),COUNTA(FILTER(B$1:B2301, B$1:B2301&lt;&gt;""""))))-1), IF('To Order'!$A2302=COL"&amp;"UMNS($A2302:B2321), B2301&amp;RIGHT(INDIRECT(ADDRESS(ROW(B2302)-1, 'From Order'!$A2302)), 1), B2301))"),"")</f>
        <v/>
      </c>
      <c r="C2302" s="2" t="str">
        <f>IFERROR(__xludf.DUMMYFUNCTION("IF('From Order'!$A2302=COLUMNS($A2302:C2321), LEFT(INDEX(FILTER(C$1:C2301, C$1:C2301&lt;&gt;""""),COUNTA(FILTER(C$1:C2301, C$1:C2301&lt;&gt;""""))), LEN(INDEX(FILTER(C$1:C2301, C$1:C2301&lt;&gt;""""),COUNTA(FILTER(C$1:C2301, C$1:C2301&lt;&gt;""""))))-1), IF('To Order'!$A2302=COL"&amp;"UMNS($A2302:C2321), C2301&amp;RIGHT(INDIRECT(ADDRESS(ROW(C2302)-1, 'From Order'!$A2302)), 1), C2301))"),"V")</f>
        <v>V</v>
      </c>
      <c r="D2302" s="2" t="str">
        <f>IFERROR(__xludf.DUMMYFUNCTION("IF('From Order'!$A2302=COLUMNS($A2302:D2321), LEFT(INDEX(FILTER(D$1:D2301, D$1:D2301&lt;&gt;""""),COUNTA(FILTER(D$1:D2301, D$1:D2301&lt;&gt;""""))), LEN(INDEX(FILTER(D$1:D2301, D$1:D2301&lt;&gt;""""),COUNTA(FILTER(D$1:D2301, D$1:D2301&lt;&gt;""""))))-1), IF('To Order'!$A2302=COL"&amp;"UMNS($A2302:D2321), D2301&amp;RIGHT(INDIRECT(ADDRESS(ROW(D2302)-1, 'From Order'!$A2302)), 1), D2301))"),"G")</f>
        <v>G</v>
      </c>
      <c r="E2302" s="2" t="str">
        <f>IFERROR(__xludf.DUMMYFUNCTION("IF('From Order'!$A2302=COLUMNS($A2302:E2321), LEFT(INDEX(FILTER(E$1:E2301, E$1:E2301&lt;&gt;""""),COUNTA(FILTER(E$1:E2301, E$1:E2301&lt;&gt;""""))), LEN(INDEX(FILTER(E$1:E2301, E$1:E2301&lt;&gt;""""),COUNTA(FILTER(E$1:E2301, E$1:E2301&lt;&gt;""""))))-1), IF('To Order'!$A2302=COL"&amp;"UMNS($A2302:E2321), E2301&amp;RIGHT(INDIRECT(ADDRESS(ROW(E2302)-1, 'From Order'!$A2302)), 1), E2301))"),"")</f>
        <v/>
      </c>
      <c r="F2302" s="2" t="str">
        <f>IFERROR(__xludf.DUMMYFUNCTION("IF('From Order'!$A2302=COLUMNS($A2302:F2321), LEFT(INDEX(FILTER(F$1:F2301, F$1:F2301&lt;&gt;""""),COUNTA(FILTER(F$1:F2301, F$1:F2301&lt;&gt;""""))), LEN(INDEX(FILTER(F$1:F2301, F$1:F2301&lt;&gt;""""),COUNTA(FILTER(F$1:F2301, F$1:F2301&lt;&gt;""""))))-1), IF('To Order'!$A2302=COL"&amp;"UMNS($A2302:F2321), F2301&amp;RIGHT(INDIRECT(ADDRESS(ROW(F2302)-1, 'From Order'!$A2302)), 1), F2301))"),"F")</f>
        <v>F</v>
      </c>
      <c r="G2302" s="2" t="str">
        <f>IFERROR(__xludf.DUMMYFUNCTION("IF('From Order'!$A2302=COLUMNS($A2302:G2321), LEFT(INDEX(FILTER(G$1:G2301, G$1:G2301&lt;&gt;""""),COUNTA(FILTER(G$1:G2301, G$1:G2301&lt;&gt;""""))), LEN(INDEX(FILTER(G$1:G2301, G$1:G2301&lt;&gt;""""),COUNTA(FILTER(G$1:G2301, G$1:G2301&lt;&gt;""""))))-1), IF('To Order'!$A2302=COL"&amp;"UMNS($A2302:G2321), G2301&amp;RIGHT(INDIRECT(ADDRESS(ROW(G2302)-1, 'From Order'!$A2302)), 1), G2301))"),"BWDC")</f>
        <v>BWDC</v>
      </c>
      <c r="H2302" s="2" t="str">
        <f>IFERROR(__xludf.DUMMYFUNCTION("IF('From Order'!$A2302=COLUMNS($A2302:H2321), LEFT(INDEX(FILTER(H$1:H2301, H$1:H2301&lt;&gt;""""),COUNTA(FILTER(H$1:H2301, H$1:H2301&lt;&gt;""""))), LEN(INDEX(FILTER(H$1:H2301, H$1:H2301&lt;&gt;""""),COUNTA(FILTER(H$1:H2301, H$1:H2301&lt;&gt;""""))))-1), IF('To Order'!$A2302=COL"&amp;"UMNS($A2302:H2321), H2301&amp;RIGHT(INDIRECT(ADDRESS(ROW(H2302)-1, 'From Order'!$A2302)), 1), H2301))"),"R")</f>
        <v>R</v>
      </c>
      <c r="I2302" s="2" t="str">
        <f>IFERROR(__xludf.DUMMYFUNCTION("IF('From Order'!$A2302=COLUMNS($A2302:I2321), LEFT(INDEX(FILTER(I$1:I2301, I$1:I2301&lt;&gt;""""),COUNTA(FILTER(I$1:I2301, I$1:I2301&lt;&gt;""""))), LEN(INDEX(FILTER(I$1:I2301, I$1:I2301&lt;&gt;""""),COUNTA(FILTER(I$1:I2301, I$1:I2301&lt;&gt;""""))))-1), IF('To Order'!$A2302=COL"&amp;"UMNS($A2302:I2321), I2301&amp;RIGHT(INDIRECT(ADDRESS(ROW(I2302)-1, 'From Order'!$A2302)), 1), I2301))"),"DDDVQZDMTTGMJRRLPSSTMZHPRBVJBCBFLLWTHZSCTTQRSPJ")</f>
        <v>DDDVQZDMTTGMJRRLPSSTMZHPRBVJBCBFLLWTHZSCTTQRSPJ</v>
      </c>
    </row>
    <row r="2303">
      <c r="A2303" s="2" t="str">
        <f>IFERROR(__xludf.DUMMYFUNCTION("IF('From Order'!$A2303=COLUMNS($A2303:A2322), LEFT(INDEX(FILTER(A$1:A2302, A$1:A2302&lt;&gt;""""),COUNTA(FILTER(A$1:A2302, A$1:A2302&lt;&gt;""""))), LEN(INDEX(FILTER(A$1:A2302, A$1:A2302&lt;&gt;""""),COUNTA(FILTER(A$1:A2302, A$1:A2302&lt;&gt;""""))))-1), IF('To Order'!$A2303=COL"&amp;"UMNS($A2303:A2322), A2302&amp;RIGHT(INDIRECT(ADDRESS(ROW(A2303)-1, 'From Order'!$A2303)), 1), A2302))"),"D")</f>
        <v>D</v>
      </c>
      <c r="B2303" s="2" t="str">
        <f>IFERROR(__xludf.DUMMYFUNCTION("IF('From Order'!$A2303=COLUMNS($A2303:B2322), LEFT(INDEX(FILTER(B$1:B2302, B$1:B2302&lt;&gt;""""),COUNTA(FILTER(B$1:B2302, B$1:B2302&lt;&gt;""""))), LEN(INDEX(FILTER(B$1:B2302, B$1:B2302&lt;&gt;""""),COUNTA(FILTER(B$1:B2302, B$1:B2302&lt;&gt;""""))))-1), IF('To Order'!$A2303=COL"&amp;"UMNS($A2303:B2322), B2302&amp;RIGHT(INDIRECT(ADDRESS(ROW(B2303)-1, 'From Order'!$A2303)), 1), B2302))"),"")</f>
        <v/>
      </c>
      <c r="C2303" s="2" t="str">
        <f>IFERROR(__xludf.DUMMYFUNCTION("IF('From Order'!$A2303=COLUMNS($A2303:C2322), LEFT(INDEX(FILTER(C$1:C2302, C$1:C2302&lt;&gt;""""),COUNTA(FILTER(C$1:C2302, C$1:C2302&lt;&gt;""""))), LEN(INDEX(FILTER(C$1:C2302, C$1:C2302&lt;&gt;""""),COUNTA(FILTER(C$1:C2302, C$1:C2302&lt;&gt;""""))))-1), IF('To Order'!$A2303=COL"&amp;"UMNS($A2303:C2322), C2302&amp;RIGHT(INDIRECT(ADDRESS(ROW(C2303)-1, 'From Order'!$A2303)), 1), C2302))"),"V")</f>
        <v>V</v>
      </c>
      <c r="D2303" s="2" t="str">
        <f>IFERROR(__xludf.DUMMYFUNCTION("IF('From Order'!$A2303=COLUMNS($A2303:D2322), LEFT(INDEX(FILTER(D$1:D2302, D$1:D2302&lt;&gt;""""),COUNTA(FILTER(D$1:D2302, D$1:D2302&lt;&gt;""""))), LEN(INDEX(FILTER(D$1:D2302, D$1:D2302&lt;&gt;""""),COUNTA(FILTER(D$1:D2302, D$1:D2302&lt;&gt;""""))))-1), IF('To Order'!$A2303=COL"&amp;"UMNS($A2303:D2322), D2302&amp;RIGHT(INDIRECT(ADDRESS(ROW(D2303)-1, 'From Order'!$A2303)), 1), D2302))"),"GR")</f>
        <v>GR</v>
      </c>
      <c r="E2303" s="2" t="str">
        <f>IFERROR(__xludf.DUMMYFUNCTION("IF('From Order'!$A2303=COLUMNS($A2303:E2322), LEFT(INDEX(FILTER(E$1:E2302, E$1:E2302&lt;&gt;""""),COUNTA(FILTER(E$1:E2302, E$1:E2302&lt;&gt;""""))), LEN(INDEX(FILTER(E$1:E2302, E$1:E2302&lt;&gt;""""),COUNTA(FILTER(E$1:E2302, E$1:E2302&lt;&gt;""""))))-1), IF('To Order'!$A2303=COL"&amp;"UMNS($A2303:E2322), E2302&amp;RIGHT(INDIRECT(ADDRESS(ROW(E2303)-1, 'From Order'!$A2303)), 1), E2302))"),"")</f>
        <v/>
      </c>
      <c r="F2303" s="2" t="str">
        <f>IFERROR(__xludf.DUMMYFUNCTION("IF('From Order'!$A2303=COLUMNS($A2303:F2322), LEFT(INDEX(FILTER(F$1:F2302, F$1:F2302&lt;&gt;""""),COUNTA(FILTER(F$1:F2302, F$1:F2302&lt;&gt;""""))), LEN(INDEX(FILTER(F$1:F2302, F$1:F2302&lt;&gt;""""),COUNTA(FILTER(F$1:F2302, F$1:F2302&lt;&gt;""""))))-1), IF('To Order'!$A2303=COL"&amp;"UMNS($A2303:F2322), F2302&amp;RIGHT(INDIRECT(ADDRESS(ROW(F2303)-1, 'From Order'!$A2303)), 1), F2302))"),"F")</f>
        <v>F</v>
      </c>
      <c r="G2303" s="2" t="str">
        <f>IFERROR(__xludf.DUMMYFUNCTION("IF('From Order'!$A2303=COLUMNS($A2303:G2322), LEFT(INDEX(FILTER(G$1:G2302, G$1:G2302&lt;&gt;""""),COUNTA(FILTER(G$1:G2302, G$1:G2302&lt;&gt;""""))), LEN(INDEX(FILTER(G$1:G2302, G$1:G2302&lt;&gt;""""),COUNTA(FILTER(G$1:G2302, G$1:G2302&lt;&gt;""""))))-1), IF('To Order'!$A2303=COL"&amp;"UMNS($A2303:G2322), G2302&amp;RIGHT(INDIRECT(ADDRESS(ROW(G2303)-1, 'From Order'!$A2303)), 1), G2302))"),"BWDC")</f>
        <v>BWDC</v>
      </c>
      <c r="H2303" s="2" t="str">
        <f>IFERROR(__xludf.DUMMYFUNCTION("IF('From Order'!$A2303=COLUMNS($A2303:H2322), LEFT(INDEX(FILTER(H$1:H2302, H$1:H2302&lt;&gt;""""),COUNTA(FILTER(H$1:H2302, H$1:H2302&lt;&gt;""""))), LEN(INDEX(FILTER(H$1:H2302, H$1:H2302&lt;&gt;""""),COUNTA(FILTER(H$1:H2302, H$1:H2302&lt;&gt;""""))))-1), IF('To Order'!$A2303=COL"&amp;"UMNS($A2303:H2322), H2302&amp;RIGHT(INDIRECT(ADDRESS(ROW(H2303)-1, 'From Order'!$A2303)), 1), H2302))"),"")</f>
        <v/>
      </c>
      <c r="I2303" s="2" t="str">
        <f>IFERROR(__xludf.DUMMYFUNCTION("IF('From Order'!$A2303=COLUMNS($A2303:I2322), LEFT(INDEX(FILTER(I$1:I2302, I$1:I2302&lt;&gt;""""),COUNTA(FILTER(I$1:I2302, I$1:I2302&lt;&gt;""""))), LEN(INDEX(FILTER(I$1:I2302, I$1:I2302&lt;&gt;""""),COUNTA(FILTER(I$1:I2302, I$1:I2302&lt;&gt;""""))))-1), IF('To Order'!$A2303=COL"&amp;"UMNS($A2303:I2322), I2302&amp;RIGHT(INDIRECT(ADDRESS(ROW(I2303)-1, 'From Order'!$A2303)), 1), I2302))"),"DDDVQZDMTTGMJRRLPSSTMZHPRBVJBCBFLLWTHZSCTTQRSPJ")</f>
        <v>DDDVQZDMTTGMJRRLPSSTMZHPRBVJBCBFLLWTHZSCTTQRSPJ</v>
      </c>
    </row>
    <row r="2304">
      <c r="A2304" s="2" t="str">
        <f>IFERROR(__xludf.DUMMYFUNCTION("IF('From Order'!$A2304=COLUMNS($A2304:A2323), LEFT(INDEX(FILTER(A$1:A2303, A$1:A2303&lt;&gt;""""),COUNTA(FILTER(A$1:A2303, A$1:A2303&lt;&gt;""""))), LEN(INDEX(FILTER(A$1:A2303, A$1:A2303&lt;&gt;""""),COUNTA(FILTER(A$1:A2303, A$1:A2303&lt;&gt;""""))))-1), IF('To Order'!$A2304=COL"&amp;"UMNS($A2304:A2323), A2303&amp;RIGHT(INDIRECT(ADDRESS(ROW(A2304)-1, 'From Order'!$A2304)), 1), A2303))"),"D")</f>
        <v>D</v>
      </c>
      <c r="B2304" s="2" t="str">
        <f>IFERROR(__xludf.DUMMYFUNCTION("IF('From Order'!$A2304=COLUMNS($A2304:B2323), LEFT(INDEX(FILTER(B$1:B2303, B$1:B2303&lt;&gt;""""),COUNTA(FILTER(B$1:B2303, B$1:B2303&lt;&gt;""""))), LEN(INDEX(FILTER(B$1:B2303, B$1:B2303&lt;&gt;""""),COUNTA(FILTER(B$1:B2303, B$1:B2303&lt;&gt;""""))))-1), IF('To Order'!$A2304=COL"&amp;"UMNS($A2304:B2323), B2303&amp;RIGHT(INDIRECT(ADDRESS(ROW(B2304)-1, 'From Order'!$A2304)), 1), B2303))"),"")</f>
        <v/>
      </c>
      <c r="C2304" s="2" t="str">
        <f>IFERROR(__xludf.DUMMYFUNCTION("IF('From Order'!$A2304=COLUMNS($A2304:C2323), LEFT(INDEX(FILTER(C$1:C2303, C$1:C2303&lt;&gt;""""),COUNTA(FILTER(C$1:C2303, C$1:C2303&lt;&gt;""""))), LEN(INDEX(FILTER(C$1:C2303, C$1:C2303&lt;&gt;""""),COUNTA(FILTER(C$1:C2303, C$1:C2303&lt;&gt;""""))))-1), IF('To Order'!$A2304=COL"&amp;"UMNS($A2304:C2323), C2303&amp;RIGHT(INDIRECT(ADDRESS(ROW(C2304)-1, 'From Order'!$A2304)), 1), C2303))"),"V")</f>
        <v>V</v>
      </c>
      <c r="D2304" s="2" t="str">
        <f>IFERROR(__xludf.DUMMYFUNCTION("IF('From Order'!$A2304=COLUMNS($A2304:D2323), LEFT(INDEX(FILTER(D$1:D2303, D$1:D2303&lt;&gt;""""),COUNTA(FILTER(D$1:D2303, D$1:D2303&lt;&gt;""""))), LEN(INDEX(FILTER(D$1:D2303, D$1:D2303&lt;&gt;""""),COUNTA(FILTER(D$1:D2303, D$1:D2303&lt;&gt;""""))))-1), IF('To Order'!$A2304=COL"&amp;"UMNS($A2304:D2323), D2303&amp;RIGHT(INDIRECT(ADDRESS(ROW(D2304)-1, 'From Order'!$A2304)), 1), D2303))"),"GR")</f>
        <v>GR</v>
      </c>
      <c r="E2304" s="2" t="str">
        <f>IFERROR(__xludf.DUMMYFUNCTION("IF('From Order'!$A2304=COLUMNS($A2304:E2323), LEFT(INDEX(FILTER(E$1:E2303, E$1:E2303&lt;&gt;""""),COUNTA(FILTER(E$1:E2303, E$1:E2303&lt;&gt;""""))), LEN(INDEX(FILTER(E$1:E2303, E$1:E2303&lt;&gt;""""),COUNTA(FILTER(E$1:E2303, E$1:E2303&lt;&gt;""""))))-1), IF('To Order'!$A2304=COL"&amp;"UMNS($A2304:E2323), E2303&amp;RIGHT(INDIRECT(ADDRESS(ROW(E2304)-1, 'From Order'!$A2304)), 1), E2303))"),"")</f>
        <v/>
      </c>
      <c r="F2304" s="2" t="str">
        <f>IFERROR(__xludf.DUMMYFUNCTION("IF('From Order'!$A2304=COLUMNS($A2304:F2323), LEFT(INDEX(FILTER(F$1:F2303, F$1:F2303&lt;&gt;""""),COUNTA(FILTER(F$1:F2303, F$1:F2303&lt;&gt;""""))), LEN(INDEX(FILTER(F$1:F2303, F$1:F2303&lt;&gt;""""),COUNTA(FILTER(F$1:F2303, F$1:F2303&lt;&gt;""""))))-1), IF('To Order'!$A2304=COL"&amp;"UMNS($A2304:F2323), F2303&amp;RIGHT(INDIRECT(ADDRESS(ROW(F2304)-1, 'From Order'!$A2304)), 1), F2303))"),"FJ")</f>
        <v>FJ</v>
      </c>
      <c r="G2304" s="2" t="str">
        <f>IFERROR(__xludf.DUMMYFUNCTION("IF('From Order'!$A2304=COLUMNS($A2304:G2323), LEFT(INDEX(FILTER(G$1:G2303, G$1:G2303&lt;&gt;""""),COUNTA(FILTER(G$1:G2303, G$1:G2303&lt;&gt;""""))), LEN(INDEX(FILTER(G$1:G2303, G$1:G2303&lt;&gt;""""),COUNTA(FILTER(G$1:G2303, G$1:G2303&lt;&gt;""""))))-1), IF('To Order'!$A2304=COL"&amp;"UMNS($A2304:G2323), G2303&amp;RIGHT(INDIRECT(ADDRESS(ROW(G2304)-1, 'From Order'!$A2304)), 1), G2303))"),"BWDC")</f>
        <v>BWDC</v>
      </c>
      <c r="H2304" s="2" t="str">
        <f>IFERROR(__xludf.DUMMYFUNCTION("IF('From Order'!$A2304=COLUMNS($A2304:H2323), LEFT(INDEX(FILTER(H$1:H2303, H$1:H2303&lt;&gt;""""),COUNTA(FILTER(H$1:H2303, H$1:H2303&lt;&gt;""""))), LEN(INDEX(FILTER(H$1:H2303, H$1:H2303&lt;&gt;""""),COUNTA(FILTER(H$1:H2303, H$1:H2303&lt;&gt;""""))))-1), IF('To Order'!$A2304=COL"&amp;"UMNS($A2304:H2323), H2303&amp;RIGHT(INDIRECT(ADDRESS(ROW(H2304)-1, 'From Order'!$A2304)), 1), H2303))"),"")</f>
        <v/>
      </c>
      <c r="I2304" s="2" t="str">
        <f>IFERROR(__xludf.DUMMYFUNCTION("IF('From Order'!$A2304=COLUMNS($A2304:I2323), LEFT(INDEX(FILTER(I$1:I2303, I$1:I2303&lt;&gt;""""),COUNTA(FILTER(I$1:I2303, I$1:I2303&lt;&gt;""""))), LEN(INDEX(FILTER(I$1:I2303, I$1:I2303&lt;&gt;""""),COUNTA(FILTER(I$1:I2303, I$1:I2303&lt;&gt;""""))))-1), IF('To Order'!$A2304=COL"&amp;"UMNS($A2304:I2323), I2303&amp;RIGHT(INDIRECT(ADDRESS(ROW(I2304)-1, 'From Order'!$A2304)), 1), I2303))"),"DDDVQZDMTTGMJRRLPSSTMZHPRBVJBCBFLLWTHZSCTTQRSP")</f>
        <v>DDDVQZDMTTGMJRRLPSSTMZHPRBVJBCBFLLWTHZSCTTQRSP</v>
      </c>
    </row>
    <row r="2305">
      <c r="A2305" s="2" t="str">
        <f>IFERROR(__xludf.DUMMYFUNCTION("IF('From Order'!$A2305=COLUMNS($A2305:A2324), LEFT(INDEX(FILTER(A$1:A2304, A$1:A2304&lt;&gt;""""),COUNTA(FILTER(A$1:A2304, A$1:A2304&lt;&gt;""""))), LEN(INDEX(FILTER(A$1:A2304, A$1:A2304&lt;&gt;""""),COUNTA(FILTER(A$1:A2304, A$1:A2304&lt;&gt;""""))))-1), IF('To Order'!$A2305=COL"&amp;"UMNS($A2305:A2324), A2304&amp;RIGHT(INDIRECT(ADDRESS(ROW(A2305)-1, 'From Order'!$A2305)), 1), A2304))"),"D")</f>
        <v>D</v>
      </c>
      <c r="B2305" s="2" t="str">
        <f>IFERROR(__xludf.DUMMYFUNCTION("IF('From Order'!$A2305=COLUMNS($A2305:B2324), LEFT(INDEX(FILTER(B$1:B2304, B$1:B2304&lt;&gt;""""),COUNTA(FILTER(B$1:B2304, B$1:B2304&lt;&gt;""""))), LEN(INDEX(FILTER(B$1:B2304, B$1:B2304&lt;&gt;""""),COUNTA(FILTER(B$1:B2304, B$1:B2304&lt;&gt;""""))))-1), IF('To Order'!$A2305=COL"&amp;"UMNS($A2305:B2324), B2304&amp;RIGHT(INDIRECT(ADDRESS(ROW(B2305)-1, 'From Order'!$A2305)), 1), B2304))"),"")</f>
        <v/>
      </c>
      <c r="C2305" s="2" t="str">
        <f>IFERROR(__xludf.DUMMYFUNCTION("IF('From Order'!$A2305=COLUMNS($A2305:C2324), LEFT(INDEX(FILTER(C$1:C2304, C$1:C2304&lt;&gt;""""),COUNTA(FILTER(C$1:C2304, C$1:C2304&lt;&gt;""""))), LEN(INDEX(FILTER(C$1:C2304, C$1:C2304&lt;&gt;""""),COUNTA(FILTER(C$1:C2304, C$1:C2304&lt;&gt;""""))))-1), IF('To Order'!$A2305=COL"&amp;"UMNS($A2305:C2324), C2304&amp;RIGHT(INDIRECT(ADDRESS(ROW(C2305)-1, 'From Order'!$A2305)), 1), C2304))"),"V")</f>
        <v>V</v>
      </c>
      <c r="D2305" s="2" t="str">
        <f>IFERROR(__xludf.DUMMYFUNCTION("IF('From Order'!$A2305=COLUMNS($A2305:D2324), LEFT(INDEX(FILTER(D$1:D2304, D$1:D2304&lt;&gt;""""),COUNTA(FILTER(D$1:D2304, D$1:D2304&lt;&gt;""""))), LEN(INDEX(FILTER(D$1:D2304, D$1:D2304&lt;&gt;""""),COUNTA(FILTER(D$1:D2304, D$1:D2304&lt;&gt;""""))))-1), IF('To Order'!$A2305=COL"&amp;"UMNS($A2305:D2324), D2304&amp;RIGHT(INDIRECT(ADDRESS(ROW(D2305)-1, 'From Order'!$A2305)), 1), D2304))"),"GR")</f>
        <v>GR</v>
      </c>
      <c r="E2305" s="2" t="str">
        <f>IFERROR(__xludf.DUMMYFUNCTION("IF('From Order'!$A2305=COLUMNS($A2305:E2324), LEFT(INDEX(FILTER(E$1:E2304, E$1:E2304&lt;&gt;""""),COUNTA(FILTER(E$1:E2304, E$1:E2304&lt;&gt;""""))), LEN(INDEX(FILTER(E$1:E2304, E$1:E2304&lt;&gt;""""),COUNTA(FILTER(E$1:E2304, E$1:E2304&lt;&gt;""""))))-1), IF('To Order'!$A2305=COL"&amp;"UMNS($A2305:E2324), E2304&amp;RIGHT(INDIRECT(ADDRESS(ROW(E2305)-1, 'From Order'!$A2305)), 1), E2304))"),"")</f>
        <v/>
      </c>
      <c r="F2305" s="2" t="str">
        <f>IFERROR(__xludf.DUMMYFUNCTION("IF('From Order'!$A2305=COLUMNS($A2305:F2324), LEFT(INDEX(FILTER(F$1:F2304, F$1:F2304&lt;&gt;""""),COUNTA(FILTER(F$1:F2304, F$1:F2304&lt;&gt;""""))), LEN(INDEX(FILTER(F$1:F2304, F$1:F2304&lt;&gt;""""),COUNTA(FILTER(F$1:F2304, F$1:F2304&lt;&gt;""""))))-1), IF('To Order'!$A2305=COL"&amp;"UMNS($A2305:F2324), F2304&amp;RIGHT(INDIRECT(ADDRESS(ROW(F2305)-1, 'From Order'!$A2305)), 1), F2304))"),"FJP")</f>
        <v>FJP</v>
      </c>
      <c r="G2305" s="2" t="str">
        <f>IFERROR(__xludf.DUMMYFUNCTION("IF('From Order'!$A2305=COLUMNS($A2305:G2324), LEFT(INDEX(FILTER(G$1:G2304, G$1:G2304&lt;&gt;""""),COUNTA(FILTER(G$1:G2304, G$1:G2304&lt;&gt;""""))), LEN(INDEX(FILTER(G$1:G2304, G$1:G2304&lt;&gt;""""),COUNTA(FILTER(G$1:G2304, G$1:G2304&lt;&gt;""""))))-1), IF('To Order'!$A2305=COL"&amp;"UMNS($A2305:G2324), G2304&amp;RIGHT(INDIRECT(ADDRESS(ROW(G2305)-1, 'From Order'!$A2305)), 1), G2304))"),"BWDC")</f>
        <v>BWDC</v>
      </c>
      <c r="H2305" s="2" t="str">
        <f>IFERROR(__xludf.DUMMYFUNCTION("IF('From Order'!$A2305=COLUMNS($A2305:H2324), LEFT(INDEX(FILTER(H$1:H2304, H$1:H2304&lt;&gt;""""),COUNTA(FILTER(H$1:H2304, H$1:H2304&lt;&gt;""""))), LEN(INDEX(FILTER(H$1:H2304, H$1:H2304&lt;&gt;""""),COUNTA(FILTER(H$1:H2304, H$1:H2304&lt;&gt;""""))))-1), IF('To Order'!$A2305=COL"&amp;"UMNS($A2305:H2324), H2304&amp;RIGHT(INDIRECT(ADDRESS(ROW(H2305)-1, 'From Order'!$A2305)), 1), H2304))"),"")</f>
        <v/>
      </c>
      <c r="I2305" s="2" t="str">
        <f>IFERROR(__xludf.DUMMYFUNCTION("IF('From Order'!$A2305=COLUMNS($A2305:I2324), LEFT(INDEX(FILTER(I$1:I2304, I$1:I2304&lt;&gt;""""),COUNTA(FILTER(I$1:I2304, I$1:I2304&lt;&gt;""""))), LEN(INDEX(FILTER(I$1:I2304, I$1:I2304&lt;&gt;""""),COUNTA(FILTER(I$1:I2304, I$1:I2304&lt;&gt;""""))))-1), IF('To Order'!$A2305=COL"&amp;"UMNS($A2305:I2324), I2304&amp;RIGHT(INDIRECT(ADDRESS(ROW(I2305)-1, 'From Order'!$A2305)), 1), I2304))"),"DDDVQZDMTTGMJRRLPSSTMZHPRBVJBCBFLLWTHZSCTTQRS")</f>
        <v>DDDVQZDMTTGMJRRLPSSTMZHPRBVJBCBFLLWTHZSCTTQRS</v>
      </c>
    </row>
    <row r="2306">
      <c r="A2306" s="2" t="str">
        <f>IFERROR(__xludf.DUMMYFUNCTION("IF('From Order'!$A2306=COLUMNS($A2306:A2325), LEFT(INDEX(FILTER(A$1:A2305, A$1:A2305&lt;&gt;""""),COUNTA(FILTER(A$1:A2305, A$1:A2305&lt;&gt;""""))), LEN(INDEX(FILTER(A$1:A2305, A$1:A2305&lt;&gt;""""),COUNTA(FILTER(A$1:A2305, A$1:A2305&lt;&gt;""""))))-1), IF('To Order'!$A2306=COL"&amp;"UMNS($A2306:A2325), A2305&amp;RIGHT(INDIRECT(ADDRESS(ROW(A2306)-1, 'From Order'!$A2306)), 1), A2305))"),"D")</f>
        <v>D</v>
      </c>
      <c r="B2306" s="2" t="str">
        <f>IFERROR(__xludf.DUMMYFUNCTION("IF('From Order'!$A2306=COLUMNS($A2306:B2325), LEFT(INDEX(FILTER(B$1:B2305, B$1:B2305&lt;&gt;""""),COUNTA(FILTER(B$1:B2305, B$1:B2305&lt;&gt;""""))), LEN(INDEX(FILTER(B$1:B2305, B$1:B2305&lt;&gt;""""),COUNTA(FILTER(B$1:B2305, B$1:B2305&lt;&gt;""""))))-1), IF('To Order'!$A2306=COL"&amp;"UMNS($A2306:B2325), B2305&amp;RIGHT(INDIRECT(ADDRESS(ROW(B2306)-1, 'From Order'!$A2306)), 1), B2305))"),"")</f>
        <v/>
      </c>
      <c r="C2306" s="2" t="str">
        <f>IFERROR(__xludf.DUMMYFUNCTION("IF('From Order'!$A2306=COLUMNS($A2306:C2325), LEFT(INDEX(FILTER(C$1:C2305, C$1:C2305&lt;&gt;""""),COUNTA(FILTER(C$1:C2305, C$1:C2305&lt;&gt;""""))), LEN(INDEX(FILTER(C$1:C2305, C$1:C2305&lt;&gt;""""),COUNTA(FILTER(C$1:C2305, C$1:C2305&lt;&gt;""""))))-1), IF('To Order'!$A2306=COL"&amp;"UMNS($A2306:C2325), C2305&amp;RIGHT(INDIRECT(ADDRESS(ROW(C2306)-1, 'From Order'!$A2306)), 1), C2305))"),"V")</f>
        <v>V</v>
      </c>
      <c r="D2306" s="2" t="str">
        <f>IFERROR(__xludf.DUMMYFUNCTION("IF('From Order'!$A2306=COLUMNS($A2306:D2325), LEFT(INDEX(FILTER(D$1:D2305, D$1:D2305&lt;&gt;""""),COUNTA(FILTER(D$1:D2305, D$1:D2305&lt;&gt;""""))), LEN(INDEX(FILTER(D$1:D2305, D$1:D2305&lt;&gt;""""),COUNTA(FILTER(D$1:D2305, D$1:D2305&lt;&gt;""""))))-1), IF('To Order'!$A2306=COL"&amp;"UMNS($A2306:D2325), D2305&amp;RIGHT(INDIRECT(ADDRESS(ROW(D2306)-1, 'From Order'!$A2306)), 1), D2305))"),"GR")</f>
        <v>GR</v>
      </c>
      <c r="E2306" s="2" t="str">
        <f>IFERROR(__xludf.DUMMYFUNCTION("IF('From Order'!$A2306=COLUMNS($A2306:E2325), LEFT(INDEX(FILTER(E$1:E2305, E$1:E2305&lt;&gt;""""),COUNTA(FILTER(E$1:E2305, E$1:E2305&lt;&gt;""""))), LEN(INDEX(FILTER(E$1:E2305, E$1:E2305&lt;&gt;""""),COUNTA(FILTER(E$1:E2305, E$1:E2305&lt;&gt;""""))))-1), IF('To Order'!$A2306=COL"&amp;"UMNS($A2306:E2325), E2305&amp;RIGHT(INDIRECT(ADDRESS(ROW(E2306)-1, 'From Order'!$A2306)), 1), E2305))"),"")</f>
        <v/>
      </c>
      <c r="F2306" s="2" t="str">
        <f>IFERROR(__xludf.DUMMYFUNCTION("IF('From Order'!$A2306=COLUMNS($A2306:F2325), LEFT(INDEX(FILTER(F$1:F2305, F$1:F2305&lt;&gt;""""),COUNTA(FILTER(F$1:F2305, F$1:F2305&lt;&gt;""""))), LEN(INDEX(FILTER(F$1:F2305, F$1:F2305&lt;&gt;""""),COUNTA(FILTER(F$1:F2305, F$1:F2305&lt;&gt;""""))))-1), IF('To Order'!$A2306=COL"&amp;"UMNS($A2306:F2325), F2305&amp;RIGHT(INDIRECT(ADDRESS(ROW(F2306)-1, 'From Order'!$A2306)), 1), F2305))"),"FJPS")</f>
        <v>FJPS</v>
      </c>
      <c r="G2306" s="2" t="str">
        <f>IFERROR(__xludf.DUMMYFUNCTION("IF('From Order'!$A2306=COLUMNS($A2306:G2325), LEFT(INDEX(FILTER(G$1:G2305, G$1:G2305&lt;&gt;""""),COUNTA(FILTER(G$1:G2305, G$1:G2305&lt;&gt;""""))), LEN(INDEX(FILTER(G$1:G2305, G$1:G2305&lt;&gt;""""),COUNTA(FILTER(G$1:G2305, G$1:G2305&lt;&gt;""""))))-1), IF('To Order'!$A2306=COL"&amp;"UMNS($A2306:G2325), G2305&amp;RIGHT(INDIRECT(ADDRESS(ROW(G2306)-1, 'From Order'!$A2306)), 1), G2305))"),"BWDC")</f>
        <v>BWDC</v>
      </c>
      <c r="H2306" s="2" t="str">
        <f>IFERROR(__xludf.DUMMYFUNCTION("IF('From Order'!$A2306=COLUMNS($A2306:H2325), LEFT(INDEX(FILTER(H$1:H2305, H$1:H2305&lt;&gt;""""),COUNTA(FILTER(H$1:H2305, H$1:H2305&lt;&gt;""""))), LEN(INDEX(FILTER(H$1:H2305, H$1:H2305&lt;&gt;""""),COUNTA(FILTER(H$1:H2305, H$1:H2305&lt;&gt;""""))))-1), IF('To Order'!$A2306=COL"&amp;"UMNS($A2306:H2325), H2305&amp;RIGHT(INDIRECT(ADDRESS(ROW(H2306)-1, 'From Order'!$A2306)), 1), H2305))"),"")</f>
        <v/>
      </c>
      <c r="I2306" s="2" t="str">
        <f>IFERROR(__xludf.DUMMYFUNCTION("IF('From Order'!$A2306=COLUMNS($A2306:I2325), LEFT(INDEX(FILTER(I$1:I2305, I$1:I2305&lt;&gt;""""),COUNTA(FILTER(I$1:I2305, I$1:I2305&lt;&gt;""""))), LEN(INDEX(FILTER(I$1:I2305, I$1:I2305&lt;&gt;""""),COUNTA(FILTER(I$1:I2305, I$1:I2305&lt;&gt;""""))))-1), IF('To Order'!$A2306=COL"&amp;"UMNS($A2306:I2325), I2305&amp;RIGHT(INDIRECT(ADDRESS(ROW(I2306)-1, 'From Order'!$A2306)), 1), I2305))"),"DDDVQZDMTTGMJRRLPSSTMZHPRBVJBCBFLLWTHZSCTTQR")</f>
        <v>DDDVQZDMTTGMJRRLPSSTMZHPRBVJBCBFLLWTHZSCTTQR</v>
      </c>
    </row>
    <row r="2307">
      <c r="A2307" s="2" t="str">
        <f>IFERROR(__xludf.DUMMYFUNCTION("IF('From Order'!$A2307=COLUMNS($A2307:A2326), LEFT(INDEX(FILTER(A$1:A2306, A$1:A2306&lt;&gt;""""),COUNTA(FILTER(A$1:A2306, A$1:A2306&lt;&gt;""""))), LEN(INDEX(FILTER(A$1:A2306, A$1:A2306&lt;&gt;""""),COUNTA(FILTER(A$1:A2306, A$1:A2306&lt;&gt;""""))))-1), IF('To Order'!$A2307=COL"&amp;"UMNS($A2307:A2326), A2306&amp;RIGHT(INDIRECT(ADDRESS(ROW(A2307)-1, 'From Order'!$A2307)), 1), A2306))"),"D")</f>
        <v>D</v>
      </c>
      <c r="B2307" s="2" t="str">
        <f>IFERROR(__xludf.DUMMYFUNCTION("IF('From Order'!$A2307=COLUMNS($A2307:B2326), LEFT(INDEX(FILTER(B$1:B2306, B$1:B2306&lt;&gt;""""),COUNTA(FILTER(B$1:B2306, B$1:B2306&lt;&gt;""""))), LEN(INDEX(FILTER(B$1:B2306, B$1:B2306&lt;&gt;""""),COUNTA(FILTER(B$1:B2306, B$1:B2306&lt;&gt;""""))))-1), IF('To Order'!$A2307=COL"&amp;"UMNS($A2307:B2326), B2306&amp;RIGHT(INDIRECT(ADDRESS(ROW(B2307)-1, 'From Order'!$A2307)), 1), B2306))"),"")</f>
        <v/>
      </c>
      <c r="C2307" s="2" t="str">
        <f>IFERROR(__xludf.DUMMYFUNCTION("IF('From Order'!$A2307=COLUMNS($A2307:C2326), LEFT(INDEX(FILTER(C$1:C2306, C$1:C2306&lt;&gt;""""),COUNTA(FILTER(C$1:C2306, C$1:C2306&lt;&gt;""""))), LEN(INDEX(FILTER(C$1:C2306, C$1:C2306&lt;&gt;""""),COUNTA(FILTER(C$1:C2306, C$1:C2306&lt;&gt;""""))))-1), IF('To Order'!$A2307=COL"&amp;"UMNS($A2307:C2326), C2306&amp;RIGHT(INDIRECT(ADDRESS(ROW(C2307)-1, 'From Order'!$A2307)), 1), C2306))"),"V")</f>
        <v>V</v>
      </c>
      <c r="D2307" s="2" t="str">
        <f>IFERROR(__xludf.DUMMYFUNCTION("IF('From Order'!$A2307=COLUMNS($A2307:D2326), LEFT(INDEX(FILTER(D$1:D2306, D$1:D2306&lt;&gt;""""),COUNTA(FILTER(D$1:D2306, D$1:D2306&lt;&gt;""""))), LEN(INDEX(FILTER(D$1:D2306, D$1:D2306&lt;&gt;""""),COUNTA(FILTER(D$1:D2306, D$1:D2306&lt;&gt;""""))))-1), IF('To Order'!$A2307=COL"&amp;"UMNS($A2307:D2326), D2306&amp;RIGHT(INDIRECT(ADDRESS(ROW(D2307)-1, 'From Order'!$A2307)), 1), D2306))"),"GR")</f>
        <v>GR</v>
      </c>
      <c r="E2307" s="2" t="str">
        <f>IFERROR(__xludf.DUMMYFUNCTION("IF('From Order'!$A2307=COLUMNS($A2307:E2326), LEFT(INDEX(FILTER(E$1:E2306, E$1:E2306&lt;&gt;""""),COUNTA(FILTER(E$1:E2306, E$1:E2306&lt;&gt;""""))), LEN(INDEX(FILTER(E$1:E2306, E$1:E2306&lt;&gt;""""),COUNTA(FILTER(E$1:E2306, E$1:E2306&lt;&gt;""""))))-1), IF('To Order'!$A2307=COL"&amp;"UMNS($A2307:E2326), E2306&amp;RIGHT(INDIRECT(ADDRESS(ROW(E2307)-1, 'From Order'!$A2307)), 1), E2306))"),"")</f>
        <v/>
      </c>
      <c r="F2307" s="2" t="str">
        <f>IFERROR(__xludf.DUMMYFUNCTION("IF('From Order'!$A2307=COLUMNS($A2307:F2326), LEFT(INDEX(FILTER(F$1:F2306, F$1:F2306&lt;&gt;""""),COUNTA(FILTER(F$1:F2306, F$1:F2306&lt;&gt;""""))), LEN(INDEX(FILTER(F$1:F2306, F$1:F2306&lt;&gt;""""),COUNTA(FILTER(F$1:F2306, F$1:F2306&lt;&gt;""""))))-1), IF('To Order'!$A2307=COL"&amp;"UMNS($A2307:F2326), F2306&amp;RIGHT(INDIRECT(ADDRESS(ROW(F2307)-1, 'From Order'!$A2307)), 1), F2306))"),"FJPSR")</f>
        <v>FJPSR</v>
      </c>
      <c r="G2307" s="2" t="str">
        <f>IFERROR(__xludf.DUMMYFUNCTION("IF('From Order'!$A2307=COLUMNS($A2307:G2326), LEFT(INDEX(FILTER(G$1:G2306, G$1:G2306&lt;&gt;""""),COUNTA(FILTER(G$1:G2306, G$1:G2306&lt;&gt;""""))), LEN(INDEX(FILTER(G$1:G2306, G$1:G2306&lt;&gt;""""),COUNTA(FILTER(G$1:G2306, G$1:G2306&lt;&gt;""""))))-1), IF('To Order'!$A2307=COL"&amp;"UMNS($A2307:G2326), G2306&amp;RIGHT(INDIRECT(ADDRESS(ROW(G2307)-1, 'From Order'!$A2307)), 1), G2306))"),"BWDC")</f>
        <v>BWDC</v>
      </c>
      <c r="H2307" s="2" t="str">
        <f>IFERROR(__xludf.DUMMYFUNCTION("IF('From Order'!$A2307=COLUMNS($A2307:H2326), LEFT(INDEX(FILTER(H$1:H2306, H$1:H2306&lt;&gt;""""),COUNTA(FILTER(H$1:H2306, H$1:H2306&lt;&gt;""""))), LEN(INDEX(FILTER(H$1:H2306, H$1:H2306&lt;&gt;""""),COUNTA(FILTER(H$1:H2306, H$1:H2306&lt;&gt;""""))))-1), IF('To Order'!$A2307=COL"&amp;"UMNS($A2307:H2326), H2306&amp;RIGHT(INDIRECT(ADDRESS(ROW(H2307)-1, 'From Order'!$A2307)), 1), H2306))"),"")</f>
        <v/>
      </c>
      <c r="I2307" s="2" t="str">
        <f>IFERROR(__xludf.DUMMYFUNCTION("IF('From Order'!$A2307=COLUMNS($A2307:I2326), LEFT(INDEX(FILTER(I$1:I2306, I$1:I2306&lt;&gt;""""),COUNTA(FILTER(I$1:I2306, I$1:I2306&lt;&gt;""""))), LEN(INDEX(FILTER(I$1:I2306, I$1:I2306&lt;&gt;""""),COUNTA(FILTER(I$1:I2306, I$1:I2306&lt;&gt;""""))))-1), IF('To Order'!$A2307=COL"&amp;"UMNS($A2307:I2326), I2306&amp;RIGHT(INDIRECT(ADDRESS(ROW(I2307)-1, 'From Order'!$A2307)), 1), I2306))"),"DDDVQZDMTTGMJRRLPSSTMZHPRBVJBCBFLLWTHZSCTTQ")</f>
        <v>DDDVQZDMTTGMJRRLPSSTMZHPRBVJBCBFLLWTHZSCTTQ</v>
      </c>
    </row>
    <row r="2308">
      <c r="A2308" s="2" t="str">
        <f>IFERROR(__xludf.DUMMYFUNCTION("IF('From Order'!$A2308=COLUMNS($A2308:A2327), LEFT(INDEX(FILTER(A$1:A2307, A$1:A2307&lt;&gt;""""),COUNTA(FILTER(A$1:A2307, A$1:A2307&lt;&gt;""""))), LEN(INDEX(FILTER(A$1:A2307, A$1:A2307&lt;&gt;""""),COUNTA(FILTER(A$1:A2307, A$1:A2307&lt;&gt;""""))))-1), IF('To Order'!$A2308=COL"&amp;"UMNS($A2308:A2327), A2307&amp;RIGHT(INDIRECT(ADDRESS(ROW(A2308)-1, 'From Order'!$A2308)), 1), A2307))"),"D")</f>
        <v>D</v>
      </c>
      <c r="B2308" s="2" t="str">
        <f>IFERROR(__xludf.DUMMYFUNCTION("IF('From Order'!$A2308=COLUMNS($A2308:B2327), LEFT(INDEX(FILTER(B$1:B2307, B$1:B2307&lt;&gt;""""),COUNTA(FILTER(B$1:B2307, B$1:B2307&lt;&gt;""""))), LEN(INDEX(FILTER(B$1:B2307, B$1:B2307&lt;&gt;""""),COUNTA(FILTER(B$1:B2307, B$1:B2307&lt;&gt;""""))))-1), IF('To Order'!$A2308=COL"&amp;"UMNS($A2308:B2327), B2307&amp;RIGHT(INDIRECT(ADDRESS(ROW(B2308)-1, 'From Order'!$A2308)), 1), B2307))"),"")</f>
        <v/>
      </c>
      <c r="C2308" s="2" t="str">
        <f>IFERROR(__xludf.DUMMYFUNCTION("IF('From Order'!$A2308=COLUMNS($A2308:C2327), LEFT(INDEX(FILTER(C$1:C2307, C$1:C2307&lt;&gt;""""),COUNTA(FILTER(C$1:C2307, C$1:C2307&lt;&gt;""""))), LEN(INDEX(FILTER(C$1:C2307, C$1:C2307&lt;&gt;""""),COUNTA(FILTER(C$1:C2307, C$1:C2307&lt;&gt;""""))))-1), IF('To Order'!$A2308=COL"&amp;"UMNS($A2308:C2327), C2307&amp;RIGHT(INDIRECT(ADDRESS(ROW(C2308)-1, 'From Order'!$A2308)), 1), C2307))"),"V")</f>
        <v>V</v>
      </c>
      <c r="D2308" s="2" t="str">
        <f>IFERROR(__xludf.DUMMYFUNCTION("IF('From Order'!$A2308=COLUMNS($A2308:D2327), LEFT(INDEX(FILTER(D$1:D2307, D$1:D2307&lt;&gt;""""),COUNTA(FILTER(D$1:D2307, D$1:D2307&lt;&gt;""""))), LEN(INDEX(FILTER(D$1:D2307, D$1:D2307&lt;&gt;""""),COUNTA(FILTER(D$1:D2307, D$1:D2307&lt;&gt;""""))))-1), IF('To Order'!$A2308=COL"&amp;"UMNS($A2308:D2327), D2307&amp;RIGHT(INDIRECT(ADDRESS(ROW(D2308)-1, 'From Order'!$A2308)), 1), D2307))"),"GR")</f>
        <v>GR</v>
      </c>
      <c r="E2308" s="2" t="str">
        <f>IFERROR(__xludf.DUMMYFUNCTION("IF('From Order'!$A2308=COLUMNS($A2308:E2327), LEFT(INDEX(FILTER(E$1:E2307, E$1:E2307&lt;&gt;""""),COUNTA(FILTER(E$1:E2307, E$1:E2307&lt;&gt;""""))), LEN(INDEX(FILTER(E$1:E2307, E$1:E2307&lt;&gt;""""),COUNTA(FILTER(E$1:E2307, E$1:E2307&lt;&gt;""""))))-1), IF('To Order'!$A2308=COL"&amp;"UMNS($A2308:E2327), E2307&amp;RIGHT(INDIRECT(ADDRESS(ROW(E2308)-1, 'From Order'!$A2308)), 1), E2307))"),"")</f>
        <v/>
      </c>
      <c r="F2308" s="2" t="str">
        <f>IFERROR(__xludf.DUMMYFUNCTION("IF('From Order'!$A2308=COLUMNS($A2308:F2327), LEFT(INDEX(FILTER(F$1:F2307, F$1:F2307&lt;&gt;""""),COUNTA(FILTER(F$1:F2307, F$1:F2307&lt;&gt;""""))), LEN(INDEX(FILTER(F$1:F2307, F$1:F2307&lt;&gt;""""),COUNTA(FILTER(F$1:F2307, F$1:F2307&lt;&gt;""""))))-1), IF('To Order'!$A2308=COL"&amp;"UMNS($A2308:F2327), F2307&amp;RIGHT(INDIRECT(ADDRESS(ROW(F2308)-1, 'From Order'!$A2308)), 1), F2307))"),"FJPSRQ")</f>
        <v>FJPSRQ</v>
      </c>
      <c r="G2308" s="2" t="str">
        <f>IFERROR(__xludf.DUMMYFUNCTION("IF('From Order'!$A2308=COLUMNS($A2308:G2327), LEFT(INDEX(FILTER(G$1:G2307, G$1:G2307&lt;&gt;""""),COUNTA(FILTER(G$1:G2307, G$1:G2307&lt;&gt;""""))), LEN(INDEX(FILTER(G$1:G2307, G$1:G2307&lt;&gt;""""),COUNTA(FILTER(G$1:G2307, G$1:G2307&lt;&gt;""""))))-1), IF('To Order'!$A2308=COL"&amp;"UMNS($A2308:G2327), G2307&amp;RIGHT(INDIRECT(ADDRESS(ROW(G2308)-1, 'From Order'!$A2308)), 1), G2307))"),"BWDC")</f>
        <v>BWDC</v>
      </c>
      <c r="H2308" s="2" t="str">
        <f>IFERROR(__xludf.DUMMYFUNCTION("IF('From Order'!$A2308=COLUMNS($A2308:H2327), LEFT(INDEX(FILTER(H$1:H2307, H$1:H2307&lt;&gt;""""),COUNTA(FILTER(H$1:H2307, H$1:H2307&lt;&gt;""""))), LEN(INDEX(FILTER(H$1:H2307, H$1:H2307&lt;&gt;""""),COUNTA(FILTER(H$1:H2307, H$1:H2307&lt;&gt;""""))))-1), IF('To Order'!$A2308=COL"&amp;"UMNS($A2308:H2327), H2307&amp;RIGHT(INDIRECT(ADDRESS(ROW(H2308)-1, 'From Order'!$A2308)), 1), H2307))"),"")</f>
        <v/>
      </c>
      <c r="I2308" s="2" t="str">
        <f>IFERROR(__xludf.DUMMYFUNCTION("IF('From Order'!$A2308=COLUMNS($A2308:I2327), LEFT(INDEX(FILTER(I$1:I2307, I$1:I2307&lt;&gt;""""),COUNTA(FILTER(I$1:I2307, I$1:I2307&lt;&gt;""""))), LEN(INDEX(FILTER(I$1:I2307, I$1:I2307&lt;&gt;""""),COUNTA(FILTER(I$1:I2307, I$1:I2307&lt;&gt;""""))))-1), IF('To Order'!$A2308=COL"&amp;"UMNS($A2308:I2327), I2307&amp;RIGHT(INDIRECT(ADDRESS(ROW(I2308)-1, 'From Order'!$A2308)), 1), I2307))"),"DDDVQZDMTTGMJRRLPSSTMZHPRBVJBCBFLLWTHZSCTT")</f>
        <v>DDDVQZDMTTGMJRRLPSSTMZHPRBVJBCBFLLWTHZSCTT</v>
      </c>
    </row>
    <row r="2309">
      <c r="A2309" s="2" t="str">
        <f>IFERROR(__xludf.DUMMYFUNCTION("IF('From Order'!$A2309=COLUMNS($A2309:A2328), LEFT(INDEX(FILTER(A$1:A2308, A$1:A2308&lt;&gt;""""),COUNTA(FILTER(A$1:A2308, A$1:A2308&lt;&gt;""""))), LEN(INDEX(FILTER(A$1:A2308, A$1:A2308&lt;&gt;""""),COUNTA(FILTER(A$1:A2308, A$1:A2308&lt;&gt;""""))))-1), IF('To Order'!$A2309=COL"&amp;"UMNS($A2309:A2328), A2308&amp;RIGHT(INDIRECT(ADDRESS(ROW(A2309)-1, 'From Order'!$A2309)), 1), A2308))"),"D")</f>
        <v>D</v>
      </c>
      <c r="B2309" s="2" t="str">
        <f>IFERROR(__xludf.DUMMYFUNCTION("IF('From Order'!$A2309=COLUMNS($A2309:B2328), LEFT(INDEX(FILTER(B$1:B2308, B$1:B2308&lt;&gt;""""),COUNTA(FILTER(B$1:B2308, B$1:B2308&lt;&gt;""""))), LEN(INDEX(FILTER(B$1:B2308, B$1:B2308&lt;&gt;""""),COUNTA(FILTER(B$1:B2308, B$1:B2308&lt;&gt;""""))))-1), IF('To Order'!$A2309=COL"&amp;"UMNS($A2309:B2328), B2308&amp;RIGHT(INDIRECT(ADDRESS(ROW(B2309)-1, 'From Order'!$A2309)), 1), B2308))"),"")</f>
        <v/>
      </c>
      <c r="C2309" s="2" t="str">
        <f>IFERROR(__xludf.DUMMYFUNCTION("IF('From Order'!$A2309=COLUMNS($A2309:C2328), LEFT(INDEX(FILTER(C$1:C2308, C$1:C2308&lt;&gt;""""),COUNTA(FILTER(C$1:C2308, C$1:C2308&lt;&gt;""""))), LEN(INDEX(FILTER(C$1:C2308, C$1:C2308&lt;&gt;""""),COUNTA(FILTER(C$1:C2308, C$1:C2308&lt;&gt;""""))))-1), IF('To Order'!$A2309=COL"&amp;"UMNS($A2309:C2328), C2308&amp;RIGHT(INDIRECT(ADDRESS(ROW(C2309)-1, 'From Order'!$A2309)), 1), C2308))"),"V")</f>
        <v>V</v>
      </c>
      <c r="D2309" s="2" t="str">
        <f>IFERROR(__xludf.DUMMYFUNCTION("IF('From Order'!$A2309=COLUMNS($A2309:D2328), LEFT(INDEX(FILTER(D$1:D2308, D$1:D2308&lt;&gt;""""),COUNTA(FILTER(D$1:D2308, D$1:D2308&lt;&gt;""""))), LEN(INDEX(FILTER(D$1:D2308, D$1:D2308&lt;&gt;""""),COUNTA(FILTER(D$1:D2308, D$1:D2308&lt;&gt;""""))))-1), IF('To Order'!$A2309=COL"&amp;"UMNS($A2309:D2328), D2308&amp;RIGHT(INDIRECT(ADDRESS(ROW(D2309)-1, 'From Order'!$A2309)), 1), D2308))"),"GR")</f>
        <v>GR</v>
      </c>
      <c r="E2309" s="2" t="str">
        <f>IFERROR(__xludf.DUMMYFUNCTION("IF('From Order'!$A2309=COLUMNS($A2309:E2328), LEFT(INDEX(FILTER(E$1:E2308, E$1:E2308&lt;&gt;""""),COUNTA(FILTER(E$1:E2308, E$1:E2308&lt;&gt;""""))), LEN(INDEX(FILTER(E$1:E2308, E$1:E2308&lt;&gt;""""),COUNTA(FILTER(E$1:E2308, E$1:E2308&lt;&gt;""""))))-1), IF('To Order'!$A2309=COL"&amp;"UMNS($A2309:E2328), E2308&amp;RIGHT(INDIRECT(ADDRESS(ROW(E2309)-1, 'From Order'!$A2309)), 1), E2308))"),"")</f>
        <v/>
      </c>
      <c r="F2309" s="2" t="str">
        <f>IFERROR(__xludf.DUMMYFUNCTION("IF('From Order'!$A2309=COLUMNS($A2309:F2328), LEFT(INDEX(FILTER(F$1:F2308, F$1:F2308&lt;&gt;""""),COUNTA(FILTER(F$1:F2308, F$1:F2308&lt;&gt;""""))), LEN(INDEX(FILTER(F$1:F2308, F$1:F2308&lt;&gt;""""),COUNTA(FILTER(F$1:F2308, F$1:F2308&lt;&gt;""""))))-1), IF('To Order'!$A2309=COL"&amp;"UMNS($A2309:F2328), F2308&amp;RIGHT(INDIRECT(ADDRESS(ROW(F2309)-1, 'From Order'!$A2309)), 1), F2308))"),"FJPSRQT")</f>
        <v>FJPSRQT</v>
      </c>
      <c r="G2309" s="2" t="str">
        <f>IFERROR(__xludf.DUMMYFUNCTION("IF('From Order'!$A2309=COLUMNS($A2309:G2328), LEFT(INDEX(FILTER(G$1:G2308, G$1:G2308&lt;&gt;""""),COUNTA(FILTER(G$1:G2308, G$1:G2308&lt;&gt;""""))), LEN(INDEX(FILTER(G$1:G2308, G$1:G2308&lt;&gt;""""),COUNTA(FILTER(G$1:G2308, G$1:G2308&lt;&gt;""""))))-1), IF('To Order'!$A2309=COL"&amp;"UMNS($A2309:G2328), G2308&amp;RIGHT(INDIRECT(ADDRESS(ROW(G2309)-1, 'From Order'!$A2309)), 1), G2308))"),"BWDC")</f>
        <v>BWDC</v>
      </c>
      <c r="H2309" s="2" t="str">
        <f>IFERROR(__xludf.DUMMYFUNCTION("IF('From Order'!$A2309=COLUMNS($A2309:H2328), LEFT(INDEX(FILTER(H$1:H2308, H$1:H2308&lt;&gt;""""),COUNTA(FILTER(H$1:H2308, H$1:H2308&lt;&gt;""""))), LEN(INDEX(FILTER(H$1:H2308, H$1:H2308&lt;&gt;""""),COUNTA(FILTER(H$1:H2308, H$1:H2308&lt;&gt;""""))))-1), IF('To Order'!$A2309=COL"&amp;"UMNS($A2309:H2328), H2308&amp;RIGHT(INDIRECT(ADDRESS(ROW(H2309)-1, 'From Order'!$A2309)), 1), H2308))"),"")</f>
        <v/>
      </c>
      <c r="I2309" s="2" t="str">
        <f>IFERROR(__xludf.DUMMYFUNCTION("IF('From Order'!$A2309=COLUMNS($A2309:I2328), LEFT(INDEX(FILTER(I$1:I2308, I$1:I2308&lt;&gt;""""),COUNTA(FILTER(I$1:I2308, I$1:I2308&lt;&gt;""""))), LEN(INDEX(FILTER(I$1:I2308, I$1:I2308&lt;&gt;""""),COUNTA(FILTER(I$1:I2308, I$1:I2308&lt;&gt;""""))))-1), IF('To Order'!$A2309=COL"&amp;"UMNS($A2309:I2328), I2308&amp;RIGHT(INDIRECT(ADDRESS(ROW(I2309)-1, 'From Order'!$A2309)), 1), I2308))"),"DDDVQZDMTTGMJRRLPSSTMZHPRBVJBCBFLLWTHZSCT")</f>
        <v>DDDVQZDMTTGMJRRLPSSTMZHPRBVJBCBFLLWTHZSCT</v>
      </c>
    </row>
    <row r="2310">
      <c r="A2310" s="2" t="str">
        <f>IFERROR(__xludf.DUMMYFUNCTION("IF('From Order'!$A2310=COLUMNS($A2310:A2329), LEFT(INDEX(FILTER(A$1:A2309, A$1:A2309&lt;&gt;""""),COUNTA(FILTER(A$1:A2309, A$1:A2309&lt;&gt;""""))), LEN(INDEX(FILTER(A$1:A2309, A$1:A2309&lt;&gt;""""),COUNTA(FILTER(A$1:A2309, A$1:A2309&lt;&gt;""""))))-1), IF('To Order'!$A2310=COL"&amp;"UMNS($A2310:A2329), A2309&amp;RIGHT(INDIRECT(ADDRESS(ROW(A2310)-1, 'From Order'!$A2310)), 1), A2309))"),"D")</f>
        <v>D</v>
      </c>
      <c r="B2310" s="2" t="str">
        <f>IFERROR(__xludf.DUMMYFUNCTION("IF('From Order'!$A2310=COLUMNS($A2310:B2329), LEFT(INDEX(FILTER(B$1:B2309, B$1:B2309&lt;&gt;""""),COUNTA(FILTER(B$1:B2309, B$1:B2309&lt;&gt;""""))), LEN(INDEX(FILTER(B$1:B2309, B$1:B2309&lt;&gt;""""),COUNTA(FILTER(B$1:B2309, B$1:B2309&lt;&gt;""""))))-1), IF('To Order'!$A2310=COL"&amp;"UMNS($A2310:B2329), B2309&amp;RIGHT(INDIRECT(ADDRESS(ROW(B2310)-1, 'From Order'!$A2310)), 1), B2309))"),"")</f>
        <v/>
      </c>
      <c r="C2310" s="2" t="str">
        <f>IFERROR(__xludf.DUMMYFUNCTION("IF('From Order'!$A2310=COLUMNS($A2310:C2329), LEFT(INDEX(FILTER(C$1:C2309, C$1:C2309&lt;&gt;""""),COUNTA(FILTER(C$1:C2309, C$1:C2309&lt;&gt;""""))), LEN(INDEX(FILTER(C$1:C2309, C$1:C2309&lt;&gt;""""),COUNTA(FILTER(C$1:C2309, C$1:C2309&lt;&gt;""""))))-1), IF('To Order'!$A2310=COL"&amp;"UMNS($A2310:C2329), C2309&amp;RIGHT(INDIRECT(ADDRESS(ROW(C2310)-1, 'From Order'!$A2310)), 1), C2309))"),"V")</f>
        <v>V</v>
      </c>
      <c r="D2310" s="2" t="str">
        <f>IFERROR(__xludf.DUMMYFUNCTION("IF('From Order'!$A2310=COLUMNS($A2310:D2329), LEFT(INDEX(FILTER(D$1:D2309, D$1:D2309&lt;&gt;""""),COUNTA(FILTER(D$1:D2309, D$1:D2309&lt;&gt;""""))), LEN(INDEX(FILTER(D$1:D2309, D$1:D2309&lt;&gt;""""),COUNTA(FILTER(D$1:D2309, D$1:D2309&lt;&gt;""""))))-1), IF('To Order'!$A2310=COL"&amp;"UMNS($A2310:D2329), D2309&amp;RIGHT(INDIRECT(ADDRESS(ROW(D2310)-1, 'From Order'!$A2310)), 1), D2309))"),"GR")</f>
        <v>GR</v>
      </c>
      <c r="E2310" s="2" t="str">
        <f>IFERROR(__xludf.DUMMYFUNCTION("IF('From Order'!$A2310=COLUMNS($A2310:E2329), LEFT(INDEX(FILTER(E$1:E2309, E$1:E2309&lt;&gt;""""),COUNTA(FILTER(E$1:E2309, E$1:E2309&lt;&gt;""""))), LEN(INDEX(FILTER(E$1:E2309, E$1:E2309&lt;&gt;""""),COUNTA(FILTER(E$1:E2309, E$1:E2309&lt;&gt;""""))))-1), IF('To Order'!$A2310=COL"&amp;"UMNS($A2310:E2329), E2309&amp;RIGHT(INDIRECT(ADDRESS(ROW(E2310)-1, 'From Order'!$A2310)), 1), E2309))"),"")</f>
        <v/>
      </c>
      <c r="F2310" s="2" t="str">
        <f>IFERROR(__xludf.DUMMYFUNCTION("IF('From Order'!$A2310=COLUMNS($A2310:F2329), LEFT(INDEX(FILTER(F$1:F2309, F$1:F2309&lt;&gt;""""),COUNTA(FILTER(F$1:F2309, F$1:F2309&lt;&gt;""""))), LEN(INDEX(FILTER(F$1:F2309, F$1:F2309&lt;&gt;""""),COUNTA(FILTER(F$1:F2309, F$1:F2309&lt;&gt;""""))))-1), IF('To Order'!$A2310=COL"&amp;"UMNS($A2310:F2329), F2309&amp;RIGHT(INDIRECT(ADDRESS(ROW(F2310)-1, 'From Order'!$A2310)), 1), F2309))"),"FJPSRQTT")</f>
        <v>FJPSRQTT</v>
      </c>
      <c r="G2310" s="2" t="str">
        <f>IFERROR(__xludf.DUMMYFUNCTION("IF('From Order'!$A2310=COLUMNS($A2310:G2329), LEFT(INDEX(FILTER(G$1:G2309, G$1:G2309&lt;&gt;""""),COUNTA(FILTER(G$1:G2309, G$1:G2309&lt;&gt;""""))), LEN(INDEX(FILTER(G$1:G2309, G$1:G2309&lt;&gt;""""),COUNTA(FILTER(G$1:G2309, G$1:G2309&lt;&gt;""""))))-1), IF('To Order'!$A2310=COL"&amp;"UMNS($A2310:G2329), G2309&amp;RIGHT(INDIRECT(ADDRESS(ROW(G2310)-1, 'From Order'!$A2310)), 1), G2309))"),"BWDC")</f>
        <v>BWDC</v>
      </c>
      <c r="H2310" s="2" t="str">
        <f>IFERROR(__xludf.DUMMYFUNCTION("IF('From Order'!$A2310=COLUMNS($A2310:H2329), LEFT(INDEX(FILTER(H$1:H2309, H$1:H2309&lt;&gt;""""),COUNTA(FILTER(H$1:H2309, H$1:H2309&lt;&gt;""""))), LEN(INDEX(FILTER(H$1:H2309, H$1:H2309&lt;&gt;""""),COUNTA(FILTER(H$1:H2309, H$1:H2309&lt;&gt;""""))))-1), IF('To Order'!$A2310=COL"&amp;"UMNS($A2310:H2329), H2309&amp;RIGHT(INDIRECT(ADDRESS(ROW(H2310)-1, 'From Order'!$A2310)), 1), H2309))"),"")</f>
        <v/>
      </c>
      <c r="I2310" s="2" t="str">
        <f>IFERROR(__xludf.DUMMYFUNCTION("IF('From Order'!$A2310=COLUMNS($A2310:I2329), LEFT(INDEX(FILTER(I$1:I2309, I$1:I2309&lt;&gt;""""),COUNTA(FILTER(I$1:I2309, I$1:I2309&lt;&gt;""""))), LEN(INDEX(FILTER(I$1:I2309, I$1:I2309&lt;&gt;""""),COUNTA(FILTER(I$1:I2309, I$1:I2309&lt;&gt;""""))))-1), IF('To Order'!$A2310=COL"&amp;"UMNS($A2310:I2329), I2309&amp;RIGHT(INDIRECT(ADDRESS(ROW(I2310)-1, 'From Order'!$A2310)), 1), I2309))"),"DDDVQZDMTTGMJRRLPSSTMZHPRBVJBCBFLLWTHZSC")</f>
        <v>DDDVQZDMTTGMJRRLPSSTMZHPRBVJBCBFLLWTHZSC</v>
      </c>
    </row>
    <row r="2311">
      <c r="A2311" s="2" t="str">
        <f>IFERROR(__xludf.DUMMYFUNCTION("IF('From Order'!$A2311=COLUMNS($A2311:A2330), LEFT(INDEX(FILTER(A$1:A2310, A$1:A2310&lt;&gt;""""),COUNTA(FILTER(A$1:A2310, A$1:A2310&lt;&gt;""""))), LEN(INDEX(FILTER(A$1:A2310, A$1:A2310&lt;&gt;""""),COUNTA(FILTER(A$1:A2310, A$1:A2310&lt;&gt;""""))))-1), IF('To Order'!$A2311=COL"&amp;"UMNS($A2311:A2330), A2310&amp;RIGHT(INDIRECT(ADDRESS(ROW(A2311)-1, 'From Order'!$A2311)), 1), A2310))"),"")</f>
        <v/>
      </c>
      <c r="B2311" s="2" t="str">
        <f>IFERROR(__xludf.DUMMYFUNCTION("IF('From Order'!$A2311=COLUMNS($A2311:B2330), LEFT(INDEX(FILTER(B$1:B2310, B$1:B2310&lt;&gt;""""),COUNTA(FILTER(B$1:B2310, B$1:B2310&lt;&gt;""""))), LEN(INDEX(FILTER(B$1:B2310, B$1:B2310&lt;&gt;""""),COUNTA(FILTER(B$1:B2310, B$1:B2310&lt;&gt;""""))))-1), IF('To Order'!$A2311=COL"&amp;"UMNS($A2311:B2330), B2310&amp;RIGHT(INDIRECT(ADDRESS(ROW(B2311)-1, 'From Order'!$A2311)), 1), B2310))"),"")</f>
        <v/>
      </c>
      <c r="C2311" s="2" t="str">
        <f>IFERROR(__xludf.DUMMYFUNCTION("IF('From Order'!$A2311=COLUMNS($A2311:C2330), LEFT(INDEX(FILTER(C$1:C2310, C$1:C2310&lt;&gt;""""),COUNTA(FILTER(C$1:C2310, C$1:C2310&lt;&gt;""""))), LEN(INDEX(FILTER(C$1:C2310, C$1:C2310&lt;&gt;""""),COUNTA(FILTER(C$1:C2310, C$1:C2310&lt;&gt;""""))))-1), IF('To Order'!$A2311=COL"&amp;"UMNS($A2311:C2330), C2310&amp;RIGHT(INDIRECT(ADDRESS(ROW(C2311)-1, 'From Order'!$A2311)), 1), C2310))"),"V")</f>
        <v>V</v>
      </c>
      <c r="D2311" s="2" t="str">
        <f>IFERROR(__xludf.DUMMYFUNCTION("IF('From Order'!$A2311=COLUMNS($A2311:D2330), LEFT(INDEX(FILTER(D$1:D2310, D$1:D2310&lt;&gt;""""),COUNTA(FILTER(D$1:D2310, D$1:D2310&lt;&gt;""""))), LEN(INDEX(FILTER(D$1:D2310, D$1:D2310&lt;&gt;""""),COUNTA(FILTER(D$1:D2310, D$1:D2310&lt;&gt;""""))))-1), IF('To Order'!$A2311=COL"&amp;"UMNS($A2311:D2330), D2310&amp;RIGHT(INDIRECT(ADDRESS(ROW(D2311)-1, 'From Order'!$A2311)), 1), D2310))"),"GRD")</f>
        <v>GRD</v>
      </c>
      <c r="E2311" s="2" t="str">
        <f>IFERROR(__xludf.DUMMYFUNCTION("IF('From Order'!$A2311=COLUMNS($A2311:E2330), LEFT(INDEX(FILTER(E$1:E2310, E$1:E2310&lt;&gt;""""),COUNTA(FILTER(E$1:E2310, E$1:E2310&lt;&gt;""""))), LEN(INDEX(FILTER(E$1:E2310, E$1:E2310&lt;&gt;""""),COUNTA(FILTER(E$1:E2310, E$1:E2310&lt;&gt;""""))))-1), IF('To Order'!$A2311=COL"&amp;"UMNS($A2311:E2330), E2310&amp;RIGHT(INDIRECT(ADDRESS(ROW(E2311)-1, 'From Order'!$A2311)), 1), E2310))"),"")</f>
        <v/>
      </c>
      <c r="F2311" s="2" t="str">
        <f>IFERROR(__xludf.DUMMYFUNCTION("IF('From Order'!$A2311=COLUMNS($A2311:F2330), LEFT(INDEX(FILTER(F$1:F2310, F$1:F2310&lt;&gt;""""),COUNTA(FILTER(F$1:F2310, F$1:F2310&lt;&gt;""""))), LEN(INDEX(FILTER(F$1:F2310, F$1:F2310&lt;&gt;""""),COUNTA(FILTER(F$1:F2310, F$1:F2310&lt;&gt;""""))))-1), IF('To Order'!$A2311=COL"&amp;"UMNS($A2311:F2330), F2310&amp;RIGHT(INDIRECT(ADDRESS(ROW(F2311)-1, 'From Order'!$A2311)), 1), F2310))"),"FJPSRQTT")</f>
        <v>FJPSRQTT</v>
      </c>
      <c r="G2311" s="2" t="str">
        <f>IFERROR(__xludf.DUMMYFUNCTION("IF('From Order'!$A2311=COLUMNS($A2311:G2330), LEFT(INDEX(FILTER(G$1:G2310, G$1:G2310&lt;&gt;""""),COUNTA(FILTER(G$1:G2310, G$1:G2310&lt;&gt;""""))), LEN(INDEX(FILTER(G$1:G2310, G$1:G2310&lt;&gt;""""),COUNTA(FILTER(G$1:G2310, G$1:G2310&lt;&gt;""""))))-1), IF('To Order'!$A2311=COL"&amp;"UMNS($A2311:G2330), G2310&amp;RIGHT(INDIRECT(ADDRESS(ROW(G2311)-1, 'From Order'!$A2311)), 1), G2310))"),"BWDC")</f>
        <v>BWDC</v>
      </c>
      <c r="H2311" s="2" t="str">
        <f>IFERROR(__xludf.DUMMYFUNCTION("IF('From Order'!$A2311=COLUMNS($A2311:H2330), LEFT(INDEX(FILTER(H$1:H2310, H$1:H2310&lt;&gt;""""),COUNTA(FILTER(H$1:H2310, H$1:H2310&lt;&gt;""""))), LEN(INDEX(FILTER(H$1:H2310, H$1:H2310&lt;&gt;""""),COUNTA(FILTER(H$1:H2310, H$1:H2310&lt;&gt;""""))))-1), IF('To Order'!$A2311=COL"&amp;"UMNS($A2311:H2330), H2310&amp;RIGHT(INDIRECT(ADDRESS(ROW(H2311)-1, 'From Order'!$A2311)), 1), H2310))"),"")</f>
        <v/>
      </c>
      <c r="I2311" s="2" t="str">
        <f>IFERROR(__xludf.DUMMYFUNCTION("IF('From Order'!$A2311=COLUMNS($A2311:I2330), LEFT(INDEX(FILTER(I$1:I2310, I$1:I2310&lt;&gt;""""),COUNTA(FILTER(I$1:I2310, I$1:I2310&lt;&gt;""""))), LEN(INDEX(FILTER(I$1:I2310, I$1:I2310&lt;&gt;""""),COUNTA(FILTER(I$1:I2310, I$1:I2310&lt;&gt;""""))))-1), IF('To Order'!$A2311=COL"&amp;"UMNS($A2311:I2330), I2310&amp;RIGHT(INDIRECT(ADDRESS(ROW(I2311)-1, 'From Order'!$A2311)), 1), I2310))"),"DDDVQZDMTTGMJRRLPSSTMZHPRBVJBCBFLLWTHZSC")</f>
        <v>DDDVQZDMTTGMJRRLPSSTMZHPRBVJBCBFLLWTHZSC</v>
      </c>
    </row>
    <row r="2312">
      <c r="A2312" s="2" t="str">
        <f>IFERROR(__xludf.DUMMYFUNCTION("IF('From Order'!$A2312=COLUMNS($A2312:A2331), LEFT(INDEX(FILTER(A$1:A2311, A$1:A2311&lt;&gt;""""),COUNTA(FILTER(A$1:A2311, A$1:A2311&lt;&gt;""""))), LEN(INDEX(FILTER(A$1:A2311, A$1:A2311&lt;&gt;""""),COUNTA(FILTER(A$1:A2311, A$1:A2311&lt;&gt;""""))))-1), IF('To Order'!$A2312=COL"&amp;"UMNS($A2312:A2331), A2311&amp;RIGHT(INDIRECT(ADDRESS(ROW(A2312)-1, 'From Order'!$A2312)), 1), A2311))"),"")</f>
        <v/>
      </c>
      <c r="B2312" s="2" t="str">
        <f>IFERROR(__xludf.DUMMYFUNCTION("IF('From Order'!$A2312=COLUMNS($A2312:B2331), LEFT(INDEX(FILTER(B$1:B2311, B$1:B2311&lt;&gt;""""),COUNTA(FILTER(B$1:B2311, B$1:B2311&lt;&gt;""""))), LEN(INDEX(FILTER(B$1:B2311, B$1:B2311&lt;&gt;""""),COUNTA(FILTER(B$1:B2311, B$1:B2311&lt;&gt;""""))))-1), IF('To Order'!$A2312=COL"&amp;"UMNS($A2312:B2331), B2311&amp;RIGHT(INDIRECT(ADDRESS(ROW(B2312)-1, 'From Order'!$A2312)), 1), B2311))"),"")</f>
        <v/>
      </c>
      <c r="C2312" s="2" t="str">
        <f>IFERROR(__xludf.DUMMYFUNCTION("IF('From Order'!$A2312=COLUMNS($A2312:C2331), LEFT(INDEX(FILTER(C$1:C2311, C$1:C2311&lt;&gt;""""),COUNTA(FILTER(C$1:C2311, C$1:C2311&lt;&gt;""""))), LEN(INDEX(FILTER(C$1:C2311, C$1:C2311&lt;&gt;""""),COUNTA(FILTER(C$1:C2311, C$1:C2311&lt;&gt;""""))))-1), IF('To Order'!$A2312=COL"&amp;"UMNS($A2312:C2331), C2311&amp;RIGHT(INDIRECT(ADDRESS(ROW(C2312)-1, 'From Order'!$A2312)), 1), C2311))"),"V")</f>
        <v>V</v>
      </c>
      <c r="D2312" s="2" t="str">
        <f>IFERROR(__xludf.DUMMYFUNCTION("IF('From Order'!$A2312=COLUMNS($A2312:D2331), LEFT(INDEX(FILTER(D$1:D2311, D$1:D2311&lt;&gt;""""),COUNTA(FILTER(D$1:D2311, D$1:D2311&lt;&gt;""""))), LEN(INDEX(FILTER(D$1:D2311, D$1:D2311&lt;&gt;""""),COUNTA(FILTER(D$1:D2311, D$1:D2311&lt;&gt;""""))))-1), IF('To Order'!$A2312=COL"&amp;"UMNS($A2312:D2331), D2311&amp;RIGHT(INDIRECT(ADDRESS(ROW(D2312)-1, 'From Order'!$A2312)), 1), D2311))"),"GRD")</f>
        <v>GRD</v>
      </c>
      <c r="E2312" s="2" t="str">
        <f>IFERROR(__xludf.DUMMYFUNCTION("IF('From Order'!$A2312=COLUMNS($A2312:E2331), LEFT(INDEX(FILTER(E$1:E2311, E$1:E2311&lt;&gt;""""),COUNTA(FILTER(E$1:E2311, E$1:E2311&lt;&gt;""""))), LEN(INDEX(FILTER(E$1:E2311, E$1:E2311&lt;&gt;""""),COUNTA(FILTER(E$1:E2311, E$1:E2311&lt;&gt;""""))))-1), IF('To Order'!$A2312=COL"&amp;"UMNS($A2312:E2331), E2311&amp;RIGHT(INDIRECT(ADDRESS(ROW(E2312)-1, 'From Order'!$A2312)), 1), E2311))"),"")</f>
        <v/>
      </c>
      <c r="F2312" s="2" t="str">
        <f>IFERROR(__xludf.DUMMYFUNCTION("IF('From Order'!$A2312=COLUMNS($A2312:F2331), LEFT(INDEX(FILTER(F$1:F2311, F$1:F2311&lt;&gt;""""),COUNTA(FILTER(F$1:F2311, F$1:F2311&lt;&gt;""""))), LEN(INDEX(FILTER(F$1:F2311, F$1:F2311&lt;&gt;""""),COUNTA(FILTER(F$1:F2311, F$1:F2311&lt;&gt;""""))))-1), IF('To Order'!$A2312=COL"&amp;"UMNS($A2312:F2331), F2311&amp;RIGHT(INDIRECT(ADDRESS(ROW(F2312)-1, 'From Order'!$A2312)), 1), F2311))"),"FJPSRQTT")</f>
        <v>FJPSRQTT</v>
      </c>
      <c r="G2312" s="2" t="str">
        <f>IFERROR(__xludf.DUMMYFUNCTION("IF('From Order'!$A2312=COLUMNS($A2312:G2331), LEFT(INDEX(FILTER(G$1:G2311, G$1:G2311&lt;&gt;""""),COUNTA(FILTER(G$1:G2311, G$1:G2311&lt;&gt;""""))), LEN(INDEX(FILTER(G$1:G2311, G$1:G2311&lt;&gt;""""),COUNTA(FILTER(G$1:G2311, G$1:G2311&lt;&gt;""""))))-1), IF('To Order'!$A2312=COL"&amp;"UMNS($A2312:G2331), G2311&amp;RIGHT(INDIRECT(ADDRESS(ROW(G2312)-1, 'From Order'!$A2312)), 1), G2311))"),"BWDCC")</f>
        <v>BWDCC</v>
      </c>
      <c r="H2312" s="2" t="str">
        <f>IFERROR(__xludf.DUMMYFUNCTION("IF('From Order'!$A2312=COLUMNS($A2312:H2331), LEFT(INDEX(FILTER(H$1:H2311, H$1:H2311&lt;&gt;""""),COUNTA(FILTER(H$1:H2311, H$1:H2311&lt;&gt;""""))), LEN(INDEX(FILTER(H$1:H2311, H$1:H2311&lt;&gt;""""),COUNTA(FILTER(H$1:H2311, H$1:H2311&lt;&gt;""""))))-1), IF('To Order'!$A2312=COL"&amp;"UMNS($A2312:H2331), H2311&amp;RIGHT(INDIRECT(ADDRESS(ROW(H2312)-1, 'From Order'!$A2312)), 1), H2311))"),"")</f>
        <v/>
      </c>
      <c r="I2312" s="2" t="str">
        <f>IFERROR(__xludf.DUMMYFUNCTION("IF('From Order'!$A2312=COLUMNS($A2312:I2331), LEFT(INDEX(FILTER(I$1:I2311, I$1:I2311&lt;&gt;""""),COUNTA(FILTER(I$1:I2311, I$1:I2311&lt;&gt;""""))), LEN(INDEX(FILTER(I$1:I2311, I$1:I2311&lt;&gt;""""),COUNTA(FILTER(I$1:I2311, I$1:I2311&lt;&gt;""""))))-1), IF('To Order'!$A2312=COL"&amp;"UMNS($A2312:I2331), I2311&amp;RIGHT(INDIRECT(ADDRESS(ROW(I2312)-1, 'From Order'!$A2312)), 1), I2311))"),"DDDVQZDMTTGMJRRLPSSTMZHPRBVJBCBFLLWTHZS")</f>
        <v>DDDVQZDMTTGMJRRLPSSTMZHPRBVJBCBFLLWTHZS</v>
      </c>
    </row>
    <row r="2313">
      <c r="A2313" s="2" t="str">
        <f>IFERROR(__xludf.DUMMYFUNCTION("IF('From Order'!$A2313=COLUMNS($A2313:A2332), LEFT(INDEX(FILTER(A$1:A2312, A$1:A2312&lt;&gt;""""),COUNTA(FILTER(A$1:A2312, A$1:A2312&lt;&gt;""""))), LEN(INDEX(FILTER(A$1:A2312, A$1:A2312&lt;&gt;""""),COUNTA(FILTER(A$1:A2312, A$1:A2312&lt;&gt;""""))))-1), IF('To Order'!$A2313=COL"&amp;"UMNS($A2313:A2332), A2312&amp;RIGHT(INDIRECT(ADDRESS(ROW(A2313)-1, 'From Order'!$A2313)), 1), A2312))"),"")</f>
        <v/>
      </c>
      <c r="B2313" s="2" t="str">
        <f>IFERROR(__xludf.DUMMYFUNCTION("IF('From Order'!$A2313=COLUMNS($A2313:B2332), LEFT(INDEX(FILTER(B$1:B2312, B$1:B2312&lt;&gt;""""),COUNTA(FILTER(B$1:B2312, B$1:B2312&lt;&gt;""""))), LEN(INDEX(FILTER(B$1:B2312, B$1:B2312&lt;&gt;""""),COUNTA(FILTER(B$1:B2312, B$1:B2312&lt;&gt;""""))))-1), IF('To Order'!$A2313=COL"&amp;"UMNS($A2313:B2332), B2312&amp;RIGHT(INDIRECT(ADDRESS(ROW(B2313)-1, 'From Order'!$A2313)), 1), B2312))"),"")</f>
        <v/>
      </c>
      <c r="C2313" s="2" t="str">
        <f>IFERROR(__xludf.DUMMYFUNCTION("IF('From Order'!$A2313=COLUMNS($A2313:C2332), LEFT(INDEX(FILTER(C$1:C2312, C$1:C2312&lt;&gt;""""),COUNTA(FILTER(C$1:C2312, C$1:C2312&lt;&gt;""""))), LEN(INDEX(FILTER(C$1:C2312, C$1:C2312&lt;&gt;""""),COUNTA(FILTER(C$1:C2312, C$1:C2312&lt;&gt;""""))))-1), IF('To Order'!$A2313=COL"&amp;"UMNS($A2313:C2332), C2312&amp;RIGHT(INDIRECT(ADDRESS(ROW(C2313)-1, 'From Order'!$A2313)), 1), C2312))"),"V")</f>
        <v>V</v>
      </c>
      <c r="D2313" s="2" t="str">
        <f>IFERROR(__xludf.DUMMYFUNCTION("IF('From Order'!$A2313=COLUMNS($A2313:D2332), LEFT(INDEX(FILTER(D$1:D2312, D$1:D2312&lt;&gt;""""),COUNTA(FILTER(D$1:D2312, D$1:D2312&lt;&gt;""""))), LEN(INDEX(FILTER(D$1:D2312, D$1:D2312&lt;&gt;""""),COUNTA(FILTER(D$1:D2312, D$1:D2312&lt;&gt;""""))))-1), IF('To Order'!$A2313=COL"&amp;"UMNS($A2313:D2332), D2312&amp;RIGHT(INDIRECT(ADDRESS(ROW(D2313)-1, 'From Order'!$A2313)), 1), D2312))"),"GRD")</f>
        <v>GRD</v>
      </c>
      <c r="E2313" s="2" t="str">
        <f>IFERROR(__xludf.DUMMYFUNCTION("IF('From Order'!$A2313=COLUMNS($A2313:E2332), LEFT(INDEX(FILTER(E$1:E2312, E$1:E2312&lt;&gt;""""),COUNTA(FILTER(E$1:E2312, E$1:E2312&lt;&gt;""""))), LEN(INDEX(FILTER(E$1:E2312, E$1:E2312&lt;&gt;""""),COUNTA(FILTER(E$1:E2312, E$1:E2312&lt;&gt;""""))))-1), IF('To Order'!$A2313=COL"&amp;"UMNS($A2313:E2332), E2312&amp;RIGHT(INDIRECT(ADDRESS(ROW(E2313)-1, 'From Order'!$A2313)), 1), E2312))"),"")</f>
        <v/>
      </c>
      <c r="F2313" s="2" t="str">
        <f>IFERROR(__xludf.DUMMYFUNCTION("IF('From Order'!$A2313=COLUMNS($A2313:F2332), LEFT(INDEX(FILTER(F$1:F2312, F$1:F2312&lt;&gt;""""),COUNTA(FILTER(F$1:F2312, F$1:F2312&lt;&gt;""""))), LEN(INDEX(FILTER(F$1:F2312, F$1:F2312&lt;&gt;""""),COUNTA(FILTER(F$1:F2312, F$1:F2312&lt;&gt;""""))))-1), IF('To Order'!$A2313=COL"&amp;"UMNS($A2313:F2332), F2312&amp;RIGHT(INDIRECT(ADDRESS(ROW(F2313)-1, 'From Order'!$A2313)), 1), F2312))"),"FJPSRQTT")</f>
        <v>FJPSRQTT</v>
      </c>
      <c r="G2313" s="2" t="str">
        <f>IFERROR(__xludf.DUMMYFUNCTION("IF('From Order'!$A2313=COLUMNS($A2313:G2332), LEFT(INDEX(FILTER(G$1:G2312, G$1:G2312&lt;&gt;""""),COUNTA(FILTER(G$1:G2312, G$1:G2312&lt;&gt;""""))), LEN(INDEX(FILTER(G$1:G2312, G$1:G2312&lt;&gt;""""),COUNTA(FILTER(G$1:G2312, G$1:G2312&lt;&gt;""""))))-1), IF('To Order'!$A2313=COL"&amp;"UMNS($A2313:G2332), G2312&amp;RIGHT(INDIRECT(ADDRESS(ROW(G2313)-1, 'From Order'!$A2313)), 1), G2312))"),"BWDCCS")</f>
        <v>BWDCCS</v>
      </c>
      <c r="H2313" s="2" t="str">
        <f>IFERROR(__xludf.DUMMYFUNCTION("IF('From Order'!$A2313=COLUMNS($A2313:H2332), LEFT(INDEX(FILTER(H$1:H2312, H$1:H2312&lt;&gt;""""),COUNTA(FILTER(H$1:H2312, H$1:H2312&lt;&gt;""""))), LEN(INDEX(FILTER(H$1:H2312, H$1:H2312&lt;&gt;""""),COUNTA(FILTER(H$1:H2312, H$1:H2312&lt;&gt;""""))))-1), IF('To Order'!$A2313=COL"&amp;"UMNS($A2313:H2332), H2312&amp;RIGHT(INDIRECT(ADDRESS(ROW(H2313)-1, 'From Order'!$A2313)), 1), H2312))"),"")</f>
        <v/>
      </c>
      <c r="I2313" s="2" t="str">
        <f>IFERROR(__xludf.DUMMYFUNCTION("IF('From Order'!$A2313=COLUMNS($A2313:I2332), LEFT(INDEX(FILTER(I$1:I2312, I$1:I2312&lt;&gt;""""),COUNTA(FILTER(I$1:I2312, I$1:I2312&lt;&gt;""""))), LEN(INDEX(FILTER(I$1:I2312, I$1:I2312&lt;&gt;""""),COUNTA(FILTER(I$1:I2312, I$1:I2312&lt;&gt;""""))))-1), IF('To Order'!$A2313=COL"&amp;"UMNS($A2313:I2332), I2312&amp;RIGHT(INDIRECT(ADDRESS(ROW(I2313)-1, 'From Order'!$A2313)), 1), I2312))"),"DDDVQZDMTTGMJRRLPSSTMZHPRBVJBCBFLLWTHZ")</f>
        <v>DDDVQZDMTTGMJRRLPSSTMZHPRBVJBCBFLLWTHZ</v>
      </c>
    </row>
    <row r="2314">
      <c r="A2314" s="2" t="str">
        <f>IFERROR(__xludf.DUMMYFUNCTION("IF('From Order'!$A2314=COLUMNS($A2314:A2333), LEFT(INDEX(FILTER(A$1:A2313, A$1:A2313&lt;&gt;""""),COUNTA(FILTER(A$1:A2313, A$1:A2313&lt;&gt;""""))), LEN(INDEX(FILTER(A$1:A2313, A$1:A2313&lt;&gt;""""),COUNTA(FILTER(A$1:A2313, A$1:A2313&lt;&gt;""""))))-1), IF('To Order'!$A2314=COL"&amp;"UMNS($A2314:A2333), A2313&amp;RIGHT(INDIRECT(ADDRESS(ROW(A2314)-1, 'From Order'!$A2314)), 1), A2313))"),"")</f>
        <v/>
      </c>
      <c r="B2314" s="2" t="str">
        <f>IFERROR(__xludf.DUMMYFUNCTION("IF('From Order'!$A2314=COLUMNS($A2314:B2333), LEFT(INDEX(FILTER(B$1:B2313, B$1:B2313&lt;&gt;""""),COUNTA(FILTER(B$1:B2313, B$1:B2313&lt;&gt;""""))), LEN(INDEX(FILTER(B$1:B2313, B$1:B2313&lt;&gt;""""),COUNTA(FILTER(B$1:B2313, B$1:B2313&lt;&gt;""""))))-1), IF('To Order'!$A2314=COL"&amp;"UMNS($A2314:B2333), B2313&amp;RIGHT(INDIRECT(ADDRESS(ROW(B2314)-1, 'From Order'!$A2314)), 1), B2313))"),"")</f>
        <v/>
      </c>
      <c r="C2314" s="2" t="str">
        <f>IFERROR(__xludf.DUMMYFUNCTION("IF('From Order'!$A2314=COLUMNS($A2314:C2333), LEFT(INDEX(FILTER(C$1:C2313, C$1:C2313&lt;&gt;""""),COUNTA(FILTER(C$1:C2313, C$1:C2313&lt;&gt;""""))), LEN(INDEX(FILTER(C$1:C2313, C$1:C2313&lt;&gt;""""),COUNTA(FILTER(C$1:C2313, C$1:C2313&lt;&gt;""""))))-1), IF('To Order'!$A2314=COL"&amp;"UMNS($A2314:C2333), C2313&amp;RIGHT(INDIRECT(ADDRESS(ROW(C2314)-1, 'From Order'!$A2314)), 1), C2313))"),"V")</f>
        <v>V</v>
      </c>
      <c r="D2314" s="2" t="str">
        <f>IFERROR(__xludf.DUMMYFUNCTION("IF('From Order'!$A2314=COLUMNS($A2314:D2333), LEFT(INDEX(FILTER(D$1:D2313, D$1:D2313&lt;&gt;""""),COUNTA(FILTER(D$1:D2313, D$1:D2313&lt;&gt;""""))), LEN(INDEX(FILTER(D$1:D2313, D$1:D2313&lt;&gt;""""),COUNTA(FILTER(D$1:D2313, D$1:D2313&lt;&gt;""""))))-1), IF('To Order'!$A2314=COL"&amp;"UMNS($A2314:D2333), D2313&amp;RIGHT(INDIRECT(ADDRESS(ROW(D2314)-1, 'From Order'!$A2314)), 1), D2313))"),"GRD")</f>
        <v>GRD</v>
      </c>
      <c r="E2314" s="2" t="str">
        <f>IFERROR(__xludf.DUMMYFUNCTION("IF('From Order'!$A2314=COLUMNS($A2314:E2333), LEFT(INDEX(FILTER(E$1:E2313, E$1:E2313&lt;&gt;""""),COUNTA(FILTER(E$1:E2313, E$1:E2313&lt;&gt;""""))), LEN(INDEX(FILTER(E$1:E2313, E$1:E2313&lt;&gt;""""),COUNTA(FILTER(E$1:E2313, E$1:E2313&lt;&gt;""""))))-1), IF('To Order'!$A2314=COL"&amp;"UMNS($A2314:E2333), E2313&amp;RIGHT(INDIRECT(ADDRESS(ROW(E2314)-1, 'From Order'!$A2314)), 1), E2313))"),"")</f>
        <v/>
      </c>
      <c r="F2314" s="2" t="str">
        <f>IFERROR(__xludf.DUMMYFUNCTION("IF('From Order'!$A2314=COLUMNS($A2314:F2333), LEFT(INDEX(FILTER(F$1:F2313, F$1:F2313&lt;&gt;""""),COUNTA(FILTER(F$1:F2313, F$1:F2313&lt;&gt;""""))), LEN(INDEX(FILTER(F$1:F2313, F$1:F2313&lt;&gt;""""),COUNTA(FILTER(F$1:F2313, F$1:F2313&lt;&gt;""""))))-1), IF('To Order'!$A2314=COL"&amp;"UMNS($A2314:F2333), F2313&amp;RIGHT(INDIRECT(ADDRESS(ROW(F2314)-1, 'From Order'!$A2314)), 1), F2313))"),"FJPSRQTT")</f>
        <v>FJPSRQTT</v>
      </c>
      <c r="G2314" s="2" t="str">
        <f>IFERROR(__xludf.DUMMYFUNCTION("IF('From Order'!$A2314=COLUMNS($A2314:G2333), LEFT(INDEX(FILTER(G$1:G2313, G$1:G2313&lt;&gt;""""),COUNTA(FILTER(G$1:G2313, G$1:G2313&lt;&gt;""""))), LEN(INDEX(FILTER(G$1:G2313, G$1:G2313&lt;&gt;""""),COUNTA(FILTER(G$1:G2313, G$1:G2313&lt;&gt;""""))))-1), IF('To Order'!$A2314=COL"&amp;"UMNS($A2314:G2333), G2313&amp;RIGHT(INDIRECT(ADDRESS(ROW(G2314)-1, 'From Order'!$A2314)), 1), G2313))"),"BWDCCSZ")</f>
        <v>BWDCCSZ</v>
      </c>
      <c r="H2314" s="2" t="str">
        <f>IFERROR(__xludf.DUMMYFUNCTION("IF('From Order'!$A2314=COLUMNS($A2314:H2333), LEFT(INDEX(FILTER(H$1:H2313, H$1:H2313&lt;&gt;""""),COUNTA(FILTER(H$1:H2313, H$1:H2313&lt;&gt;""""))), LEN(INDEX(FILTER(H$1:H2313, H$1:H2313&lt;&gt;""""),COUNTA(FILTER(H$1:H2313, H$1:H2313&lt;&gt;""""))))-1), IF('To Order'!$A2314=COL"&amp;"UMNS($A2314:H2333), H2313&amp;RIGHT(INDIRECT(ADDRESS(ROW(H2314)-1, 'From Order'!$A2314)), 1), H2313))"),"")</f>
        <v/>
      </c>
      <c r="I2314" s="2" t="str">
        <f>IFERROR(__xludf.DUMMYFUNCTION("IF('From Order'!$A2314=COLUMNS($A2314:I2333), LEFT(INDEX(FILTER(I$1:I2313, I$1:I2313&lt;&gt;""""),COUNTA(FILTER(I$1:I2313, I$1:I2313&lt;&gt;""""))), LEN(INDEX(FILTER(I$1:I2313, I$1:I2313&lt;&gt;""""),COUNTA(FILTER(I$1:I2313, I$1:I2313&lt;&gt;""""))))-1), IF('To Order'!$A2314=COL"&amp;"UMNS($A2314:I2333), I2313&amp;RIGHT(INDIRECT(ADDRESS(ROW(I2314)-1, 'From Order'!$A2314)), 1), I2313))"),"DDDVQZDMTTGMJRRLPSSTMZHPRBVJBCBFLLWTH")</f>
        <v>DDDVQZDMTTGMJRRLPSSTMZHPRBVJBCBFLLWTH</v>
      </c>
    </row>
    <row r="2315">
      <c r="A2315" s="2" t="str">
        <f>IFERROR(__xludf.DUMMYFUNCTION("IF('From Order'!$A2315=COLUMNS($A2315:A2334), LEFT(INDEX(FILTER(A$1:A2314, A$1:A2314&lt;&gt;""""),COUNTA(FILTER(A$1:A2314, A$1:A2314&lt;&gt;""""))), LEN(INDEX(FILTER(A$1:A2314, A$1:A2314&lt;&gt;""""),COUNTA(FILTER(A$1:A2314, A$1:A2314&lt;&gt;""""))))-1), IF('To Order'!$A2315=COL"&amp;"UMNS($A2315:A2334), A2314&amp;RIGHT(INDIRECT(ADDRESS(ROW(A2315)-1, 'From Order'!$A2315)), 1), A2314))"),"")</f>
        <v/>
      </c>
      <c r="B2315" s="2" t="str">
        <f>IFERROR(__xludf.DUMMYFUNCTION("IF('From Order'!$A2315=COLUMNS($A2315:B2334), LEFT(INDEX(FILTER(B$1:B2314, B$1:B2314&lt;&gt;""""),COUNTA(FILTER(B$1:B2314, B$1:B2314&lt;&gt;""""))), LEN(INDEX(FILTER(B$1:B2314, B$1:B2314&lt;&gt;""""),COUNTA(FILTER(B$1:B2314, B$1:B2314&lt;&gt;""""))))-1), IF('To Order'!$A2315=COL"&amp;"UMNS($A2315:B2334), B2314&amp;RIGHT(INDIRECT(ADDRESS(ROW(B2315)-1, 'From Order'!$A2315)), 1), B2314))"),"")</f>
        <v/>
      </c>
      <c r="C2315" s="2" t="str">
        <f>IFERROR(__xludf.DUMMYFUNCTION("IF('From Order'!$A2315=COLUMNS($A2315:C2334), LEFT(INDEX(FILTER(C$1:C2314, C$1:C2314&lt;&gt;""""),COUNTA(FILTER(C$1:C2314, C$1:C2314&lt;&gt;""""))), LEN(INDEX(FILTER(C$1:C2314, C$1:C2314&lt;&gt;""""),COUNTA(FILTER(C$1:C2314, C$1:C2314&lt;&gt;""""))))-1), IF('To Order'!$A2315=COL"&amp;"UMNS($A2315:C2334), C2314&amp;RIGHT(INDIRECT(ADDRESS(ROW(C2315)-1, 'From Order'!$A2315)), 1), C2314))"),"V")</f>
        <v>V</v>
      </c>
      <c r="D2315" s="2" t="str">
        <f>IFERROR(__xludf.DUMMYFUNCTION("IF('From Order'!$A2315=COLUMNS($A2315:D2334), LEFT(INDEX(FILTER(D$1:D2314, D$1:D2314&lt;&gt;""""),COUNTA(FILTER(D$1:D2314, D$1:D2314&lt;&gt;""""))), LEN(INDEX(FILTER(D$1:D2314, D$1:D2314&lt;&gt;""""),COUNTA(FILTER(D$1:D2314, D$1:D2314&lt;&gt;""""))))-1), IF('To Order'!$A2315=COL"&amp;"UMNS($A2315:D2334), D2314&amp;RIGHT(INDIRECT(ADDRESS(ROW(D2315)-1, 'From Order'!$A2315)), 1), D2314))"),"GRD")</f>
        <v>GRD</v>
      </c>
      <c r="E2315" s="2" t="str">
        <f>IFERROR(__xludf.DUMMYFUNCTION("IF('From Order'!$A2315=COLUMNS($A2315:E2334), LEFT(INDEX(FILTER(E$1:E2314, E$1:E2314&lt;&gt;""""),COUNTA(FILTER(E$1:E2314, E$1:E2314&lt;&gt;""""))), LEN(INDEX(FILTER(E$1:E2314, E$1:E2314&lt;&gt;""""),COUNTA(FILTER(E$1:E2314, E$1:E2314&lt;&gt;""""))))-1), IF('To Order'!$A2315=COL"&amp;"UMNS($A2315:E2334), E2314&amp;RIGHT(INDIRECT(ADDRESS(ROW(E2315)-1, 'From Order'!$A2315)), 1), E2314))"),"")</f>
        <v/>
      </c>
      <c r="F2315" s="2" t="str">
        <f>IFERROR(__xludf.DUMMYFUNCTION("IF('From Order'!$A2315=COLUMNS($A2315:F2334), LEFT(INDEX(FILTER(F$1:F2314, F$1:F2314&lt;&gt;""""),COUNTA(FILTER(F$1:F2314, F$1:F2314&lt;&gt;""""))), LEN(INDEX(FILTER(F$1:F2314, F$1:F2314&lt;&gt;""""),COUNTA(FILTER(F$1:F2314, F$1:F2314&lt;&gt;""""))))-1), IF('To Order'!$A2315=COL"&amp;"UMNS($A2315:F2334), F2314&amp;RIGHT(INDIRECT(ADDRESS(ROW(F2315)-1, 'From Order'!$A2315)), 1), F2314))"),"FJPSRQTT")</f>
        <v>FJPSRQTT</v>
      </c>
      <c r="G2315" s="2" t="str">
        <f>IFERROR(__xludf.DUMMYFUNCTION("IF('From Order'!$A2315=COLUMNS($A2315:G2334), LEFT(INDEX(FILTER(G$1:G2314, G$1:G2314&lt;&gt;""""),COUNTA(FILTER(G$1:G2314, G$1:G2314&lt;&gt;""""))), LEN(INDEX(FILTER(G$1:G2314, G$1:G2314&lt;&gt;""""),COUNTA(FILTER(G$1:G2314, G$1:G2314&lt;&gt;""""))))-1), IF('To Order'!$A2315=COL"&amp;"UMNS($A2315:G2334), G2314&amp;RIGHT(INDIRECT(ADDRESS(ROW(G2315)-1, 'From Order'!$A2315)), 1), G2314))"),"BWDCCSZH")</f>
        <v>BWDCCSZH</v>
      </c>
      <c r="H2315" s="2" t="str">
        <f>IFERROR(__xludf.DUMMYFUNCTION("IF('From Order'!$A2315=COLUMNS($A2315:H2334), LEFT(INDEX(FILTER(H$1:H2314, H$1:H2314&lt;&gt;""""),COUNTA(FILTER(H$1:H2314, H$1:H2314&lt;&gt;""""))), LEN(INDEX(FILTER(H$1:H2314, H$1:H2314&lt;&gt;""""),COUNTA(FILTER(H$1:H2314, H$1:H2314&lt;&gt;""""))))-1), IF('To Order'!$A2315=COL"&amp;"UMNS($A2315:H2334), H2314&amp;RIGHT(INDIRECT(ADDRESS(ROW(H2315)-1, 'From Order'!$A2315)), 1), H2314))"),"")</f>
        <v/>
      </c>
      <c r="I2315" s="2" t="str">
        <f>IFERROR(__xludf.DUMMYFUNCTION("IF('From Order'!$A2315=COLUMNS($A2315:I2334), LEFT(INDEX(FILTER(I$1:I2314, I$1:I2314&lt;&gt;""""),COUNTA(FILTER(I$1:I2314, I$1:I2314&lt;&gt;""""))), LEN(INDEX(FILTER(I$1:I2314, I$1:I2314&lt;&gt;""""),COUNTA(FILTER(I$1:I2314, I$1:I2314&lt;&gt;""""))))-1), IF('To Order'!$A2315=COL"&amp;"UMNS($A2315:I2334), I2314&amp;RIGHT(INDIRECT(ADDRESS(ROW(I2315)-1, 'From Order'!$A2315)), 1), I2314))"),"DDDVQZDMTTGMJRRLPSSTMZHPRBVJBCBFLLWT")</f>
        <v>DDDVQZDMTTGMJRRLPSSTMZHPRBVJBCBFLLWT</v>
      </c>
    </row>
    <row r="2316">
      <c r="A2316" s="2" t="str">
        <f>IFERROR(__xludf.DUMMYFUNCTION("IF('From Order'!$A2316=COLUMNS($A2316:A2335), LEFT(INDEX(FILTER(A$1:A2315, A$1:A2315&lt;&gt;""""),COUNTA(FILTER(A$1:A2315, A$1:A2315&lt;&gt;""""))), LEN(INDEX(FILTER(A$1:A2315, A$1:A2315&lt;&gt;""""),COUNTA(FILTER(A$1:A2315, A$1:A2315&lt;&gt;""""))))-1), IF('To Order'!$A2316=COL"&amp;"UMNS($A2316:A2335), A2315&amp;RIGHT(INDIRECT(ADDRESS(ROW(A2316)-1, 'From Order'!$A2316)), 1), A2315))"),"")</f>
        <v/>
      </c>
      <c r="B2316" s="2" t="str">
        <f>IFERROR(__xludf.DUMMYFUNCTION("IF('From Order'!$A2316=COLUMNS($A2316:B2335), LEFT(INDEX(FILTER(B$1:B2315, B$1:B2315&lt;&gt;""""),COUNTA(FILTER(B$1:B2315, B$1:B2315&lt;&gt;""""))), LEN(INDEX(FILTER(B$1:B2315, B$1:B2315&lt;&gt;""""),COUNTA(FILTER(B$1:B2315, B$1:B2315&lt;&gt;""""))))-1), IF('To Order'!$A2316=COL"&amp;"UMNS($A2316:B2335), B2315&amp;RIGHT(INDIRECT(ADDRESS(ROW(B2316)-1, 'From Order'!$A2316)), 1), B2315))"),"")</f>
        <v/>
      </c>
      <c r="C2316" s="2" t="str">
        <f>IFERROR(__xludf.DUMMYFUNCTION("IF('From Order'!$A2316=COLUMNS($A2316:C2335), LEFT(INDEX(FILTER(C$1:C2315, C$1:C2315&lt;&gt;""""),COUNTA(FILTER(C$1:C2315, C$1:C2315&lt;&gt;""""))), LEN(INDEX(FILTER(C$1:C2315, C$1:C2315&lt;&gt;""""),COUNTA(FILTER(C$1:C2315, C$1:C2315&lt;&gt;""""))))-1), IF('To Order'!$A2316=COL"&amp;"UMNS($A2316:C2335), C2315&amp;RIGHT(INDIRECT(ADDRESS(ROW(C2316)-1, 'From Order'!$A2316)), 1), C2315))"),"V")</f>
        <v>V</v>
      </c>
      <c r="D2316" s="2" t="str">
        <f>IFERROR(__xludf.DUMMYFUNCTION("IF('From Order'!$A2316=COLUMNS($A2316:D2335), LEFT(INDEX(FILTER(D$1:D2315, D$1:D2315&lt;&gt;""""),COUNTA(FILTER(D$1:D2315, D$1:D2315&lt;&gt;""""))), LEN(INDEX(FILTER(D$1:D2315, D$1:D2315&lt;&gt;""""),COUNTA(FILTER(D$1:D2315, D$1:D2315&lt;&gt;""""))))-1), IF('To Order'!$A2316=COL"&amp;"UMNS($A2316:D2335), D2315&amp;RIGHT(INDIRECT(ADDRESS(ROW(D2316)-1, 'From Order'!$A2316)), 1), D2315))"),"GRD")</f>
        <v>GRD</v>
      </c>
      <c r="E2316" s="2" t="str">
        <f>IFERROR(__xludf.DUMMYFUNCTION("IF('From Order'!$A2316=COLUMNS($A2316:E2335), LEFT(INDEX(FILTER(E$1:E2315, E$1:E2315&lt;&gt;""""),COUNTA(FILTER(E$1:E2315, E$1:E2315&lt;&gt;""""))), LEN(INDEX(FILTER(E$1:E2315, E$1:E2315&lt;&gt;""""),COUNTA(FILTER(E$1:E2315, E$1:E2315&lt;&gt;""""))))-1), IF('To Order'!$A2316=COL"&amp;"UMNS($A2316:E2335), E2315&amp;RIGHT(INDIRECT(ADDRESS(ROW(E2316)-1, 'From Order'!$A2316)), 1), E2315))"),"")</f>
        <v/>
      </c>
      <c r="F2316" s="2" t="str">
        <f>IFERROR(__xludf.DUMMYFUNCTION("IF('From Order'!$A2316=COLUMNS($A2316:F2335), LEFT(INDEX(FILTER(F$1:F2315, F$1:F2315&lt;&gt;""""),COUNTA(FILTER(F$1:F2315, F$1:F2315&lt;&gt;""""))), LEN(INDEX(FILTER(F$1:F2315, F$1:F2315&lt;&gt;""""),COUNTA(FILTER(F$1:F2315, F$1:F2315&lt;&gt;""""))))-1), IF('To Order'!$A2316=COL"&amp;"UMNS($A2316:F2335), F2315&amp;RIGHT(INDIRECT(ADDRESS(ROW(F2316)-1, 'From Order'!$A2316)), 1), F2315))"),"FJPSRQTT")</f>
        <v>FJPSRQTT</v>
      </c>
      <c r="G2316" s="2" t="str">
        <f>IFERROR(__xludf.DUMMYFUNCTION("IF('From Order'!$A2316=COLUMNS($A2316:G2335), LEFT(INDEX(FILTER(G$1:G2315, G$1:G2315&lt;&gt;""""),COUNTA(FILTER(G$1:G2315, G$1:G2315&lt;&gt;""""))), LEN(INDEX(FILTER(G$1:G2315, G$1:G2315&lt;&gt;""""),COUNTA(FILTER(G$1:G2315, G$1:G2315&lt;&gt;""""))))-1), IF('To Order'!$A2316=COL"&amp;"UMNS($A2316:G2335), G2315&amp;RIGHT(INDIRECT(ADDRESS(ROW(G2316)-1, 'From Order'!$A2316)), 1), G2315))"),"BWDCCSZHT")</f>
        <v>BWDCCSZHT</v>
      </c>
      <c r="H2316" s="2" t="str">
        <f>IFERROR(__xludf.DUMMYFUNCTION("IF('From Order'!$A2316=COLUMNS($A2316:H2335), LEFT(INDEX(FILTER(H$1:H2315, H$1:H2315&lt;&gt;""""),COUNTA(FILTER(H$1:H2315, H$1:H2315&lt;&gt;""""))), LEN(INDEX(FILTER(H$1:H2315, H$1:H2315&lt;&gt;""""),COUNTA(FILTER(H$1:H2315, H$1:H2315&lt;&gt;""""))))-1), IF('To Order'!$A2316=COL"&amp;"UMNS($A2316:H2335), H2315&amp;RIGHT(INDIRECT(ADDRESS(ROW(H2316)-1, 'From Order'!$A2316)), 1), H2315))"),"")</f>
        <v/>
      </c>
      <c r="I2316" s="2" t="str">
        <f>IFERROR(__xludf.DUMMYFUNCTION("IF('From Order'!$A2316=COLUMNS($A2316:I2335), LEFT(INDEX(FILTER(I$1:I2315, I$1:I2315&lt;&gt;""""),COUNTA(FILTER(I$1:I2315, I$1:I2315&lt;&gt;""""))), LEN(INDEX(FILTER(I$1:I2315, I$1:I2315&lt;&gt;""""),COUNTA(FILTER(I$1:I2315, I$1:I2315&lt;&gt;""""))))-1), IF('To Order'!$A2316=COL"&amp;"UMNS($A2316:I2335), I2315&amp;RIGHT(INDIRECT(ADDRESS(ROW(I2316)-1, 'From Order'!$A2316)), 1), I2315))"),"DDDVQZDMTTGMJRRLPSSTMZHPRBVJBCBFLLW")</f>
        <v>DDDVQZDMTTGMJRRLPSSTMZHPRBVJBCBFLLW</v>
      </c>
    </row>
    <row r="2317">
      <c r="A2317" s="2" t="str">
        <f>IFERROR(__xludf.DUMMYFUNCTION("IF('From Order'!$A2317=COLUMNS($A2317:A2336), LEFT(INDEX(FILTER(A$1:A2316, A$1:A2316&lt;&gt;""""),COUNTA(FILTER(A$1:A2316, A$1:A2316&lt;&gt;""""))), LEN(INDEX(FILTER(A$1:A2316, A$1:A2316&lt;&gt;""""),COUNTA(FILTER(A$1:A2316, A$1:A2316&lt;&gt;""""))))-1), IF('To Order'!$A2317=COL"&amp;"UMNS($A2317:A2336), A2316&amp;RIGHT(INDIRECT(ADDRESS(ROW(A2317)-1, 'From Order'!$A2317)), 1), A2316))"),"")</f>
        <v/>
      </c>
      <c r="B2317" s="2" t="str">
        <f>IFERROR(__xludf.DUMMYFUNCTION("IF('From Order'!$A2317=COLUMNS($A2317:B2336), LEFT(INDEX(FILTER(B$1:B2316, B$1:B2316&lt;&gt;""""),COUNTA(FILTER(B$1:B2316, B$1:B2316&lt;&gt;""""))), LEN(INDEX(FILTER(B$1:B2316, B$1:B2316&lt;&gt;""""),COUNTA(FILTER(B$1:B2316, B$1:B2316&lt;&gt;""""))))-1), IF('To Order'!$A2317=COL"&amp;"UMNS($A2317:B2336), B2316&amp;RIGHT(INDIRECT(ADDRESS(ROW(B2317)-1, 'From Order'!$A2317)), 1), B2316))"),"")</f>
        <v/>
      </c>
      <c r="C2317" s="2" t="str">
        <f>IFERROR(__xludf.DUMMYFUNCTION("IF('From Order'!$A2317=COLUMNS($A2317:C2336), LEFT(INDEX(FILTER(C$1:C2316, C$1:C2316&lt;&gt;""""),COUNTA(FILTER(C$1:C2316, C$1:C2316&lt;&gt;""""))), LEN(INDEX(FILTER(C$1:C2316, C$1:C2316&lt;&gt;""""),COUNTA(FILTER(C$1:C2316, C$1:C2316&lt;&gt;""""))))-1), IF('To Order'!$A2317=COL"&amp;"UMNS($A2317:C2336), C2316&amp;RIGHT(INDIRECT(ADDRESS(ROW(C2317)-1, 'From Order'!$A2317)), 1), C2316))"),"V")</f>
        <v>V</v>
      </c>
      <c r="D2317" s="2" t="str">
        <f>IFERROR(__xludf.DUMMYFUNCTION("IF('From Order'!$A2317=COLUMNS($A2317:D2336), LEFT(INDEX(FILTER(D$1:D2316, D$1:D2316&lt;&gt;""""),COUNTA(FILTER(D$1:D2316, D$1:D2316&lt;&gt;""""))), LEN(INDEX(FILTER(D$1:D2316, D$1:D2316&lt;&gt;""""),COUNTA(FILTER(D$1:D2316, D$1:D2316&lt;&gt;""""))))-1), IF('To Order'!$A2317=COL"&amp;"UMNS($A2317:D2336), D2316&amp;RIGHT(INDIRECT(ADDRESS(ROW(D2317)-1, 'From Order'!$A2317)), 1), D2316))"),"GRD")</f>
        <v>GRD</v>
      </c>
      <c r="E2317" s="2" t="str">
        <f>IFERROR(__xludf.DUMMYFUNCTION("IF('From Order'!$A2317=COLUMNS($A2317:E2336), LEFT(INDEX(FILTER(E$1:E2316, E$1:E2316&lt;&gt;""""),COUNTA(FILTER(E$1:E2316, E$1:E2316&lt;&gt;""""))), LEN(INDEX(FILTER(E$1:E2316, E$1:E2316&lt;&gt;""""),COUNTA(FILTER(E$1:E2316, E$1:E2316&lt;&gt;""""))))-1), IF('To Order'!$A2317=COL"&amp;"UMNS($A2317:E2336), E2316&amp;RIGHT(INDIRECT(ADDRESS(ROW(E2317)-1, 'From Order'!$A2317)), 1), E2316))"),"")</f>
        <v/>
      </c>
      <c r="F2317" s="2" t="str">
        <f>IFERROR(__xludf.DUMMYFUNCTION("IF('From Order'!$A2317=COLUMNS($A2317:F2336), LEFT(INDEX(FILTER(F$1:F2316, F$1:F2316&lt;&gt;""""),COUNTA(FILTER(F$1:F2316, F$1:F2316&lt;&gt;""""))), LEN(INDEX(FILTER(F$1:F2316, F$1:F2316&lt;&gt;""""),COUNTA(FILTER(F$1:F2316, F$1:F2316&lt;&gt;""""))))-1), IF('To Order'!$A2317=COL"&amp;"UMNS($A2317:F2336), F2316&amp;RIGHT(INDIRECT(ADDRESS(ROW(F2317)-1, 'From Order'!$A2317)), 1), F2316))"),"FJPSRQTT")</f>
        <v>FJPSRQTT</v>
      </c>
      <c r="G2317" s="2" t="str">
        <f>IFERROR(__xludf.DUMMYFUNCTION("IF('From Order'!$A2317=COLUMNS($A2317:G2336), LEFT(INDEX(FILTER(G$1:G2316, G$1:G2316&lt;&gt;""""),COUNTA(FILTER(G$1:G2316, G$1:G2316&lt;&gt;""""))), LEN(INDEX(FILTER(G$1:G2316, G$1:G2316&lt;&gt;""""),COUNTA(FILTER(G$1:G2316, G$1:G2316&lt;&gt;""""))))-1), IF('To Order'!$A2317=COL"&amp;"UMNS($A2317:G2336), G2316&amp;RIGHT(INDIRECT(ADDRESS(ROW(G2317)-1, 'From Order'!$A2317)), 1), G2316))"),"BWDCCSZHTW")</f>
        <v>BWDCCSZHTW</v>
      </c>
      <c r="H2317" s="2" t="str">
        <f>IFERROR(__xludf.DUMMYFUNCTION("IF('From Order'!$A2317=COLUMNS($A2317:H2336), LEFT(INDEX(FILTER(H$1:H2316, H$1:H2316&lt;&gt;""""),COUNTA(FILTER(H$1:H2316, H$1:H2316&lt;&gt;""""))), LEN(INDEX(FILTER(H$1:H2316, H$1:H2316&lt;&gt;""""),COUNTA(FILTER(H$1:H2316, H$1:H2316&lt;&gt;""""))))-1), IF('To Order'!$A2317=COL"&amp;"UMNS($A2317:H2336), H2316&amp;RIGHT(INDIRECT(ADDRESS(ROW(H2317)-1, 'From Order'!$A2317)), 1), H2316))"),"")</f>
        <v/>
      </c>
      <c r="I2317" s="2" t="str">
        <f>IFERROR(__xludf.DUMMYFUNCTION("IF('From Order'!$A2317=COLUMNS($A2317:I2336), LEFT(INDEX(FILTER(I$1:I2316, I$1:I2316&lt;&gt;""""),COUNTA(FILTER(I$1:I2316, I$1:I2316&lt;&gt;""""))), LEN(INDEX(FILTER(I$1:I2316, I$1:I2316&lt;&gt;""""),COUNTA(FILTER(I$1:I2316, I$1:I2316&lt;&gt;""""))))-1), IF('To Order'!$A2317=COL"&amp;"UMNS($A2317:I2336), I2316&amp;RIGHT(INDIRECT(ADDRESS(ROW(I2317)-1, 'From Order'!$A2317)), 1), I2316))"),"DDDVQZDMTTGMJRRLPSSTMZHPRBVJBCBFLL")</f>
        <v>DDDVQZDMTTGMJRRLPSSTMZHPRBVJBCBFLL</v>
      </c>
    </row>
    <row r="2318">
      <c r="A2318" s="2" t="str">
        <f>IFERROR(__xludf.DUMMYFUNCTION("IF('From Order'!$A2318=COLUMNS($A2318:A2337), LEFT(INDEX(FILTER(A$1:A2317, A$1:A2317&lt;&gt;""""),COUNTA(FILTER(A$1:A2317, A$1:A2317&lt;&gt;""""))), LEN(INDEX(FILTER(A$1:A2317, A$1:A2317&lt;&gt;""""),COUNTA(FILTER(A$1:A2317, A$1:A2317&lt;&gt;""""))))-1), IF('To Order'!$A2318=COL"&amp;"UMNS($A2318:A2337), A2317&amp;RIGHT(INDIRECT(ADDRESS(ROW(A2318)-1, 'From Order'!$A2318)), 1), A2317))"),"")</f>
        <v/>
      </c>
      <c r="B2318" s="2" t="str">
        <f>IFERROR(__xludf.DUMMYFUNCTION("IF('From Order'!$A2318=COLUMNS($A2318:B2337), LEFT(INDEX(FILTER(B$1:B2317, B$1:B2317&lt;&gt;""""),COUNTA(FILTER(B$1:B2317, B$1:B2317&lt;&gt;""""))), LEN(INDEX(FILTER(B$1:B2317, B$1:B2317&lt;&gt;""""),COUNTA(FILTER(B$1:B2317, B$1:B2317&lt;&gt;""""))))-1), IF('To Order'!$A2318=COL"&amp;"UMNS($A2318:B2337), B2317&amp;RIGHT(INDIRECT(ADDRESS(ROW(B2318)-1, 'From Order'!$A2318)), 1), B2317))"),"")</f>
        <v/>
      </c>
      <c r="C2318" s="2" t="str">
        <f>IFERROR(__xludf.DUMMYFUNCTION("IF('From Order'!$A2318=COLUMNS($A2318:C2337), LEFT(INDEX(FILTER(C$1:C2317, C$1:C2317&lt;&gt;""""),COUNTA(FILTER(C$1:C2317, C$1:C2317&lt;&gt;""""))), LEN(INDEX(FILTER(C$1:C2317, C$1:C2317&lt;&gt;""""),COUNTA(FILTER(C$1:C2317, C$1:C2317&lt;&gt;""""))))-1), IF('To Order'!$A2318=COL"&amp;"UMNS($A2318:C2337), C2317&amp;RIGHT(INDIRECT(ADDRESS(ROW(C2318)-1, 'From Order'!$A2318)), 1), C2317))"),"V")</f>
        <v>V</v>
      </c>
      <c r="D2318" s="2" t="str">
        <f>IFERROR(__xludf.DUMMYFUNCTION("IF('From Order'!$A2318=COLUMNS($A2318:D2337), LEFT(INDEX(FILTER(D$1:D2317, D$1:D2317&lt;&gt;""""),COUNTA(FILTER(D$1:D2317, D$1:D2317&lt;&gt;""""))), LEN(INDEX(FILTER(D$1:D2317, D$1:D2317&lt;&gt;""""),COUNTA(FILTER(D$1:D2317, D$1:D2317&lt;&gt;""""))))-1), IF('To Order'!$A2318=COL"&amp;"UMNS($A2318:D2337), D2317&amp;RIGHT(INDIRECT(ADDRESS(ROW(D2318)-1, 'From Order'!$A2318)), 1), D2317))"),"GRD")</f>
        <v>GRD</v>
      </c>
      <c r="E2318" s="2" t="str">
        <f>IFERROR(__xludf.DUMMYFUNCTION("IF('From Order'!$A2318=COLUMNS($A2318:E2337), LEFT(INDEX(FILTER(E$1:E2317, E$1:E2317&lt;&gt;""""),COUNTA(FILTER(E$1:E2317, E$1:E2317&lt;&gt;""""))), LEN(INDEX(FILTER(E$1:E2317, E$1:E2317&lt;&gt;""""),COUNTA(FILTER(E$1:E2317, E$1:E2317&lt;&gt;""""))))-1), IF('To Order'!$A2318=COL"&amp;"UMNS($A2318:E2337), E2317&amp;RIGHT(INDIRECT(ADDRESS(ROW(E2318)-1, 'From Order'!$A2318)), 1), E2317))"),"")</f>
        <v/>
      </c>
      <c r="F2318" s="2" t="str">
        <f>IFERROR(__xludf.DUMMYFUNCTION("IF('From Order'!$A2318=COLUMNS($A2318:F2337), LEFT(INDEX(FILTER(F$1:F2317, F$1:F2317&lt;&gt;""""),COUNTA(FILTER(F$1:F2317, F$1:F2317&lt;&gt;""""))), LEN(INDEX(FILTER(F$1:F2317, F$1:F2317&lt;&gt;""""),COUNTA(FILTER(F$1:F2317, F$1:F2317&lt;&gt;""""))))-1), IF('To Order'!$A2318=COL"&amp;"UMNS($A2318:F2337), F2317&amp;RIGHT(INDIRECT(ADDRESS(ROW(F2318)-1, 'From Order'!$A2318)), 1), F2317))"),"FJPSRQTT")</f>
        <v>FJPSRQTT</v>
      </c>
      <c r="G2318" s="2" t="str">
        <f>IFERROR(__xludf.DUMMYFUNCTION("IF('From Order'!$A2318=COLUMNS($A2318:G2337), LEFT(INDEX(FILTER(G$1:G2317, G$1:G2317&lt;&gt;""""),COUNTA(FILTER(G$1:G2317, G$1:G2317&lt;&gt;""""))), LEN(INDEX(FILTER(G$1:G2317, G$1:G2317&lt;&gt;""""),COUNTA(FILTER(G$1:G2317, G$1:G2317&lt;&gt;""""))))-1), IF('To Order'!$A2318=COL"&amp;"UMNS($A2318:G2337), G2317&amp;RIGHT(INDIRECT(ADDRESS(ROW(G2318)-1, 'From Order'!$A2318)), 1), G2317))"),"BWDCCSZHTWL")</f>
        <v>BWDCCSZHTWL</v>
      </c>
      <c r="H2318" s="2" t="str">
        <f>IFERROR(__xludf.DUMMYFUNCTION("IF('From Order'!$A2318=COLUMNS($A2318:H2337), LEFT(INDEX(FILTER(H$1:H2317, H$1:H2317&lt;&gt;""""),COUNTA(FILTER(H$1:H2317, H$1:H2317&lt;&gt;""""))), LEN(INDEX(FILTER(H$1:H2317, H$1:H2317&lt;&gt;""""),COUNTA(FILTER(H$1:H2317, H$1:H2317&lt;&gt;""""))))-1), IF('To Order'!$A2318=COL"&amp;"UMNS($A2318:H2337), H2317&amp;RIGHT(INDIRECT(ADDRESS(ROW(H2318)-1, 'From Order'!$A2318)), 1), H2317))"),"")</f>
        <v/>
      </c>
      <c r="I2318" s="2" t="str">
        <f>IFERROR(__xludf.DUMMYFUNCTION("IF('From Order'!$A2318=COLUMNS($A2318:I2337), LEFT(INDEX(FILTER(I$1:I2317, I$1:I2317&lt;&gt;""""),COUNTA(FILTER(I$1:I2317, I$1:I2317&lt;&gt;""""))), LEN(INDEX(FILTER(I$1:I2317, I$1:I2317&lt;&gt;""""),COUNTA(FILTER(I$1:I2317, I$1:I2317&lt;&gt;""""))))-1), IF('To Order'!$A2318=COL"&amp;"UMNS($A2318:I2337), I2317&amp;RIGHT(INDIRECT(ADDRESS(ROW(I2318)-1, 'From Order'!$A2318)), 1), I2317))"),"DDDVQZDMTTGMJRRLPSSTMZHPRBVJBCBFL")</f>
        <v>DDDVQZDMTTGMJRRLPSSTMZHPRBVJBCBFL</v>
      </c>
    </row>
    <row r="2319">
      <c r="A2319" s="2" t="str">
        <f>IFERROR(__xludf.DUMMYFUNCTION("IF('From Order'!$A2319=COLUMNS($A2319:A2338), LEFT(INDEX(FILTER(A$1:A2318, A$1:A2318&lt;&gt;""""),COUNTA(FILTER(A$1:A2318, A$1:A2318&lt;&gt;""""))), LEN(INDEX(FILTER(A$1:A2318, A$1:A2318&lt;&gt;""""),COUNTA(FILTER(A$1:A2318, A$1:A2318&lt;&gt;""""))))-1), IF('To Order'!$A2319=COL"&amp;"UMNS($A2319:A2338), A2318&amp;RIGHT(INDIRECT(ADDRESS(ROW(A2319)-1, 'From Order'!$A2319)), 1), A2318))"),"")</f>
        <v/>
      </c>
      <c r="B2319" s="2" t="str">
        <f>IFERROR(__xludf.DUMMYFUNCTION("IF('From Order'!$A2319=COLUMNS($A2319:B2338), LEFT(INDEX(FILTER(B$1:B2318, B$1:B2318&lt;&gt;""""),COUNTA(FILTER(B$1:B2318, B$1:B2318&lt;&gt;""""))), LEN(INDEX(FILTER(B$1:B2318, B$1:B2318&lt;&gt;""""),COUNTA(FILTER(B$1:B2318, B$1:B2318&lt;&gt;""""))))-1), IF('To Order'!$A2319=COL"&amp;"UMNS($A2319:B2338), B2318&amp;RIGHT(INDIRECT(ADDRESS(ROW(B2319)-1, 'From Order'!$A2319)), 1), B2318))"),"")</f>
        <v/>
      </c>
      <c r="C2319" s="2" t="str">
        <f>IFERROR(__xludf.DUMMYFUNCTION("IF('From Order'!$A2319=COLUMNS($A2319:C2338), LEFT(INDEX(FILTER(C$1:C2318, C$1:C2318&lt;&gt;""""),COUNTA(FILTER(C$1:C2318, C$1:C2318&lt;&gt;""""))), LEN(INDEX(FILTER(C$1:C2318, C$1:C2318&lt;&gt;""""),COUNTA(FILTER(C$1:C2318, C$1:C2318&lt;&gt;""""))))-1), IF('To Order'!$A2319=COL"&amp;"UMNS($A2319:C2338), C2318&amp;RIGHT(INDIRECT(ADDRESS(ROW(C2319)-1, 'From Order'!$A2319)), 1), C2318))"),"V")</f>
        <v>V</v>
      </c>
      <c r="D2319" s="2" t="str">
        <f>IFERROR(__xludf.DUMMYFUNCTION("IF('From Order'!$A2319=COLUMNS($A2319:D2338), LEFT(INDEX(FILTER(D$1:D2318, D$1:D2318&lt;&gt;""""),COUNTA(FILTER(D$1:D2318, D$1:D2318&lt;&gt;""""))), LEN(INDEX(FILTER(D$1:D2318, D$1:D2318&lt;&gt;""""),COUNTA(FILTER(D$1:D2318, D$1:D2318&lt;&gt;""""))))-1), IF('To Order'!$A2319=COL"&amp;"UMNS($A2319:D2338), D2318&amp;RIGHT(INDIRECT(ADDRESS(ROW(D2319)-1, 'From Order'!$A2319)), 1), D2318))"),"GRD")</f>
        <v>GRD</v>
      </c>
      <c r="E2319" s="2" t="str">
        <f>IFERROR(__xludf.DUMMYFUNCTION("IF('From Order'!$A2319=COLUMNS($A2319:E2338), LEFT(INDEX(FILTER(E$1:E2318, E$1:E2318&lt;&gt;""""),COUNTA(FILTER(E$1:E2318, E$1:E2318&lt;&gt;""""))), LEN(INDEX(FILTER(E$1:E2318, E$1:E2318&lt;&gt;""""),COUNTA(FILTER(E$1:E2318, E$1:E2318&lt;&gt;""""))))-1), IF('To Order'!$A2319=COL"&amp;"UMNS($A2319:E2338), E2318&amp;RIGHT(INDIRECT(ADDRESS(ROW(E2319)-1, 'From Order'!$A2319)), 1), E2318))"),"")</f>
        <v/>
      </c>
      <c r="F2319" s="2" t="str">
        <f>IFERROR(__xludf.DUMMYFUNCTION("IF('From Order'!$A2319=COLUMNS($A2319:F2338), LEFT(INDEX(FILTER(F$1:F2318, F$1:F2318&lt;&gt;""""),COUNTA(FILTER(F$1:F2318, F$1:F2318&lt;&gt;""""))), LEN(INDEX(FILTER(F$1:F2318, F$1:F2318&lt;&gt;""""),COUNTA(FILTER(F$1:F2318, F$1:F2318&lt;&gt;""""))))-1), IF('To Order'!$A2319=COL"&amp;"UMNS($A2319:F2338), F2318&amp;RIGHT(INDIRECT(ADDRESS(ROW(F2319)-1, 'From Order'!$A2319)), 1), F2318))"),"FJPSRQTT")</f>
        <v>FJPSRQTT</v>
      </c>
      <c r="G2319" s="2" t="str">
        <f>IFERROR(__xludf.DUMMYFUNCTION("IF('From Order'!$A2319=COLUMNS($A2319:G2338), LEFT(INDEX(FILTER(G$1:G2318, G$1:G2318&lt;&gt;""""),COUNTA(FILTER(G$1:G2318, G$1:G2318&lt;&gt;""""))), LEN(INDEX(FILTER(G$1:G2318, G$1:G2318&lt;&gt;""""),COUNTA(FILTER(G$1:G2318, G$1:G2318&lt;&gt;""""))))-1), IF('To Order'!$A2319=COL"&amp;"UMNS($A2319:G2338), G2318&amp;RIGHT(INDIRECT(ADDRESS(ROW(G2319)-1, 'From Order'!$A2319)), 1), G2318))"),"BWDCCSZHTWLL")</f>
        <v>BWDCCSZHTWLL</v>
      </c>
      <c r="H2319" s="2" t="str">
        <f>IFERROR(__xludf.DUMMYFUNCTION("IF('From Order'!$A2319=COLUMNS($A2319:H2338), LEFT(INDEX(FILTER(H$1:H2318, H$1:H2318&lt;&gt;""""),COUNTA(FILTER(H$1:H2318, H$1:H2318&lt;&gt;""""))), LEN(INDEX(FILTER(H$1:H2318, H$1:H2318&lt;&gt;""""),COUNTA(FILTER(H$1:H2318, H$1:H2318&lt;&gt;""""))))-1), IF('To Order'!$A2319=COL"&amp;"UMNS($A2319:H2338), H2318&amp;RIGHT(INDIRECT(ADDRESS(ROW(H2319)-1, 'From Order'!$A2319)), 1), H2318))"),"")</f>
        <v/>
      </c>
      <c r="I2319" s="2" t="str">
        <f>IFERROR(__xludf.DUMMYFUNCTION("IF('From Order'!$A2319=COLUMNS($A2319:I2338), LEFT(INDEX(FILTER(I$1:I2318, I$1:I2318&lt;&gt;""""),COUNTA(FILTER(I$1:I2318, I$1:I2318&lt;&gt;""""))), LEN(INDEX(FILTER(I$1:I2318, I$1:I2318&lt;&gt;""""),COUNTA(FILTER(I$1:I2318, I$1:I2318&lt;&gt;""""))))-1), IF('To Order'!$A2319=COL"&amp;"UMNS($A2319:I2338), I2318&amp;RIGHT(INDIRECT(ADDRESS(ROW(I2319)-1, 'From Order'!$A2319)), 1), I2318))"),"DDDVQZDMTTGMJRRLPSSTMZHPRBVJBCBF")</f>
        <v>DDDVQZDMTTGMJRRLPSSTMZHPRBVJBCBF</v>
      </c>
    </row>
    <row r="2320">
      <c r="A2320" s="2" t="str">
        <f>IFERROR(__xludf.DUMMYFUNCTION("IF('From Order'!$A2320=COLUMNS($A2320:A2339), LEFT(INDEX(FILTER(A$1:A2319, A$1:A2319&lt;&gt;""""),COUNTA(FILTER(A$1:A2319, A$1:A2319&lt;&gt;""""))), LEN(INDEX(FILTER(A$1:A2319, A$1:A2319&lt;&gt;""""),COUNTA(FILTER(A$1:A2319, A$1:A2319&lt;&gt;""""))))-1), IF('To Order'!$A2320=COL"&amp;"UMNS($A2320:A2339), A2319&amp;RIGHT(INDIRECT(ADDRESS(ROW(A2320)-1, 'From Order'!$A2320)), 1), A2319))"),"")</f>
        <v/>
      </c>
      <c r="B2320" s="2" t="str">
        <f>IFERROR(__xludf.DUMMYFUNCTION("IF('From Order'!$A2320=COLUMNS($A2320:B2339), LEFT(INDEX(FILTER(B$1:B2319, B$1:B2319&lt;&gt;""""),COUNTA(FILTER(B$1:B2319, B$1:B2319&lt;&gt;""""))), LEN(INDEX(FILTER(B$1:B2319, B$1:B2319&lt;&gt;""""),COUNTA(FILTER(B$1:B2319, B$1:B2319&lt;&gt;""""))))-1), IF('To Order'!$A2320=COL"&amp;"UMNS($A2320:B2339), B2319&amp;RIGHT(INDIRECT(ADDRESS(ROW(B2320)-1, 'From Order'!$A2320)), 1), B2319))"),"")</f>
        <v/>
      </c>
      <c r="C2320" s="2" t="str">
        <f>IFERROR(__xludf.DUMMYFUNCTION("IF('From Order'!$A2320=COLUMNS($A2320:C2339), LEFT(INDEX(FILTER(C$1:C2319, C$1:C2319&lt;&gt;""""),COUNTA(FILTER(C$1:C2319, C$1:C2319&lt;&gt;""""))), LEN(INDEX(FILTER(C$1:C2319, C$1:C2319&lt;&gt;""""),COUNTA(FILTER(C$1:C2319, C$1:C2319&lt;&gt;""""))))-1), IF('To Order'!$A2320=COL"&amp;"UMNS($A2320:C2339), C2319&amp;RIGHT(INDIRECT(ADDRESS(ROW(C2320)-1, 'From Order'!$A2320)), 1), C2319))"),"V")</f>
        <v>V</v>
      </c>
      <c r="D2320" s="2" t="str">
        <f>IFERROR(__xludf.DUMMYFUNCTION("IF('From Order'!$A2320=COLUMNS($A2320:D2339), LEFT(INDEX(FILTER(D$1:D2319, D$1:D2319&lt;&gt;""""),COUNTA(FILTER(D$1:D2319, D$1:D2319&lt;&gt;""""))), LEN(INDEX(FILTER(D$1:D2319, D$1:D2319&lt;&gt;""""),COUNTA(FILTER(D$1:D2319, D$1:D2319&lt;&gt;""""))))-1), IF('To Order'!$A2320=COL"&amp;"UMNS($A2320:D2339), D2319&amp;RIGHT(INDIRECT(ADDRESS(ROW(D2320)-1, 'From Order'!$A2320)), 1), D2319))"),"GRD")</f>
        <v>GRD</v>
      </c>
      <c r="E2320" s="2" t="str">
        <f>IFERROR(__xludf.DUMMYFUNCTION("IF('From Order'!$A2320=COLUMNS($A2320:E2339), LEFT(INDEX(FILTER(E$1:E2319, E$1:E2319&lt;&gt;""""),COUNTA(FILTER(E$1:E2319, E$1:E2319&lt;&gt;""""))), LEN(INDEX(FILTER(E$1:E2319, E$1:E2319&lt;&gt;""""),COUNTA(FILTER(E$1:E2319, E$1:E2319&lt;&gt;""""))))-1), IF('To Order'!$A2320=COL"&amp;"UMNS($A2320:E2339), E2319&amp;RIGHT(INDIRECT(ADDRESS(ROW(E2320)-1, 'From Order'!$A2320)), 1), E2319))"),"")</f>
        <v/>
      </c>
      <c r="F2320" s="2" t="str">
        <f>IFERROR(__xludf.DUMMYFUNCTION("IF('From Order'!$A2320=COLUMNS($A2320:F2339), LEFT(INDEX(FILTER(F$1:F2319, F$1:F2319&lt;&gt;""""),COUNTA(FILTER(F$1:F2319, F$1:F2319&lt;&gt;""""))), LEN(INDEX(FILTER(F$1:F2319, F$1:F2319&lt;&gt;""""),COUNTA(FILTER(F$1:F2319, F$1:F2319&lt;&gt;""""))))-1), IF('To Order'!$A2320=COL"&amp;"UMNS($A2320:F2339), F2319&amp;RIGHT(INDIRECT(ADDRESS(ROW(F2320)-1, 'From Order'!$A2320)), 1), F2319))"),"FJPSRQTT")</f>
        <v>FJPSRQTT</v>
      </c>
      <c r="G2320" s="2" t="str">
        <f>IFERROR(__xludf.DUMMYFUNCTION("IF('From Order'!$A2320=COLUMNS($A2320:G2339), LEFT(INDEX(FILTER(G$1:G2319, G$1:G2319&lt;&gt;""""),COUNTA(FILTER(G$1:G2319, G$1:G2319&lt;&gt;""""))), LEN(INDEX(FILTER(G$1:G2319, G$1:G2319&lt;&gt;""""),COUNTA(FILTER(G$1:G2319, G$1:G2319&lt;&gt;""""))))-1), IF('To Order'!$A2320=COL"&amp;"UMNS($A2320:G2339), G2319&amp;RIGHT(INDIRECT(ADDRESS(ROW(G2320)-1, 'From Order'!$A2320)), 1), G2319))"),"BWDCCSZHTWLLF")</f>
        <v>BWDCCSZHTWLLF</v>
      </c>
      <c r="H2320" s="2" t="str">
        <f>IFERROR(__xludf.DUMMYFUNCTION("IF('From Order'!$A2320=COLUMNS($A2320:H2339), LEFT(INDEX(FILTER(H$1:H2319, H$1:H2319&lt;&gt;""""),COUNTA(FILTER(H$1:H2319, H$1:H2319&lt;&gt;""""))), LEN(INDEX(FILTER(H$1:H2319, H$1:H2319&lt;&gt;""""),COUNTA(FILTER(H$1:H2319, H$1:H2319&lt;&gt;""""))))-1), IF('To Order'!$A2320=COL"&amp;"UMNS($A2320:H2339), H2319&amp;RIGHT(INDIRECT(ADDRESS(ROW(H2320)-1, 'From Order'!$A2320)), 1), H2319))"),"")</f>
        <v/>
      </c>
      <c r="I2320" s="2" t="str">
        <f>IFERROR(__xludf.DUMMYFUNCTION("IF('From Order'!$A2320=COLUMNS($A2320:I2339), LEFT(INDEX(FILTER(I$1:I2319, I$1:I2319&lt;&gt;""""),COUNTA(FILTER(I$1:I2319, I$1:I2319&lt;&gt;""""))), LEN(INDEX(FILTER(I$1:I2319, I$1:I2319&lt;&gt;""""),COUNTA(FILTER(I$1:I2319, I$1:I2319&lt;&gt;""""))))-1), IF('To Order'!$A2320=COL"&amp;"UMNS($A2320:I2339), I2319&amp;RIGHT(INDIRECT(ADDRESS(ROW(I2320)-1, 'From Order'!$A2320)), 1), I2319))"),"DDDVQZDMTTGMJRRLPSSTMZHPRBVJBCB")</f>
        <v>DDDVQZDMTTGMJRRLPSSTMZHPRBVJBCB</v>
      </c>
    </row>
    <row r="2321">
      <c r="A2321" s="2" t="str">
        <f>IFERROR(__xludf.DUMMYFUNCTION("IF('From Order'!$A2321=COLUMNS($A2321:A2340), LEFT(INDEX(FILTER(A$1:A2320, A$1:A2320&lt;&gt;""""),COUNTA(FILTER(A$1:A2320, A$1:A2320&lt;&gt;""""))), LEN(INDEX(FILTER(A$1:A2320, A$1:A2320&lt;&gt;""""),COUNTA(FILTER(A$1:A2320, A$1:A2320&lt;&gt;""""))))-1), IF('To Order'!$A2321=COL"&amp;"UMNS($A2321:A2340), A2320&amp;RIGHT(INDIRECT(ADDRESS(ROW(A2321)-1, 'From Order'!$A2321)), 1), A2320))"),"")</f>
        <v/>
      </c>
      <c r="B2321" s="2" t="str">
        <f>IFERROR(__xludf.DUMMYFUNCTION("IF('From Order'!$A2321=COLUMNS($A2321:B2340), LEFT(INDEX(FILTER(B$1:B2320, B$1:B2320&lt;&gt;""""),COUNTA(FILTER(B$1:B2320, B$1:B2320&lt;&gt;""""))), LEN(INDEX(FILTER(B$1:B2320, B$1:B2320&lt;&gt;""""),COUNTA(FILTER(B$1:B2320, B$1:B2320&lt;&gt;""""))))-1), IF('To Order'!$A2321=COL"&amp;"UMNS($A2321:B2340), B2320&amp;RIGHT(INDIRECT(ADDRESS(ROW(B2321)-1, 'From Order'!$A2321)), 1), B2320))"),"")</f>
        <v/>
      </c>
      <c r="C2321" s="2" t="str">
        <f>IFERROR(__xludf.DUMMYFUNCTION("IF('From Order'!$A2321=COLUMNS($A2321:C2340), LEFT(INDEX(FILTER(C$1:C2320, C$1:C2320&lt;&gt;""""),COUNTA(FILTER(C$1:C2320, C$1:C2320&lt;&gt;""""))), LEN(INDEX(FILTER(C$1:C2320, C$1:C2320&lt;&gt;""""),COUNTA(FILTER(C$1:C2320, C$1:C2320&lt;&gt;""""))))-1), IF('To Order'!$A2321=COL"&amp;"UMNS($A2321:C2340), C2320&amp;RIGHT(INDIRECT(ADDRESS(ROW(C2321)-1, 'From Order'!$A2321)), 1), C2320))"),"V")</f>
        <v>V</v>
      </c>
      <c r="D2321" s="2" t="str">
        <f>IFERROR(__xludf.DUMMYFUNCTION("IF('From Order'!$A2321=COLUMNS($A2321:D2340), LEFT(INDEX(FILTER(D$1:D2320, D$1:D2320&lt;&gt;""""),COUNTA(FILTER(D$1:D2320, D$1:D2320&lt;&gt;""""))), LEN(INDEX(FILTER(D$1:D2320, D$1:D2320&lt;&gt;""""),COUNTA(FILTER(D$1:D2320, D$1:D2320&lt;&gt;""""))))-1), IF('To Order'!$A2321=COL"&amp;"UMNS($A2321:D2340), D2320&amp;RIGHT(INDIRECT(ADDRESS(ROW(D2321)-1, 'From Order'!$A2321)), 1), D2320))"),"GRD")</f>
        <v>GRD</v>
      </c>
      <c r="E2321" s="2" t="str">
        <f>IFERROR(__xludf.DUMMYFUNCTION("IF('From Order'!$A2321=COLUMNS($A2321:E2340), LEFT(INDEX(FILTER(E$1:E2320, E$1:E2320&lt;&gt;""""),COUNTA(FILTER(E$1:E2320, E$1:E2320&lt;&gt;""""))), LEN(INDEX(FILTER(E$1:E2320, E$1:E2320&lt;&gt;""""),COUNTA(FILTER(E$1:E2320, E$1:E2320&lt;&gt;""""))))-1), IF('To Order'!$A2321=COL"&amp;"UMNS($A2321:E2340), E2320&amp;RIGHT(INDIRECT(ADDRESS(ROW(E2321)-1, 'From Order'!$A2321)), 1), E2320))"),"")</f>
        <v/>
      </c>
      <c r="F2321" s="2" t="str">
        <f>IFERROR(__xludf.DUMMYFUNCTION("IF('From Order'!$A2321=COLUMNS($A2321:F2340), LEFT(INDEX(FILTER(F$1:F2320, F$1:F2320&lt;&gt;""""),COUNTA(FILTER(F$1:F2320, F$1:F2320&lt;&gt;""""))), LEN(INDEX(FILTER(F$1:F2320, F$1:F2320&lt;&gt;""""),COUNTA(FILTER(F$1:F2320, F$1:F2320&lt;&gt;""""))))-1), IF('To Order'!$A2321=COL"&amp;"UMNS($A2321:F2340), F2320&amp;RIGHT(INDIRECT(ADDRESS(ROW(F2321)-1, 'From Order'!$A2321)), 1), F2320))"),"FJPSRQTT")</f>
        <v>FJPSRQTT</v>
      </c>
      <c r="G2321" s="2" t="str">
        <f>IFERROR(__xludf.DUMMYFUNCTION("IF('From Order'!$A2321=COLUMNS($A2321:G2340), LEFT(INDEX(FILTER(G$1:G2320, G$1:G2320&lt;&gt;""""),COUNTA(FILTER(G$1:G2320, G$1:G2320&lt;&gt;""""))), LEN(INDEX(FILTER(G$1:G2320, G$1:G2320&lt;&gt;""""),COUNTA(FILTER(G$1:G2320, G$1:G2320&lt;&gt;""""))))-1), IF('To Order'!$A2321=COL"&amp;"UMNS($A2321:G2340), G2320&amp;RIGHT(INDIRECT(ADDRESS(ROW(G2321)-1, 'From Order'!$A2321)), 1), G2320))"),"BWDCCSZHTWLLFB")</f>
        <v>BWDCCSZHTWLLFB</v>
      </c>
      <c r="H2321" s="2" t="str">
        <f>IFERROR(__xludf.DUMMYFUNCTION("IF('From Order'!$A2321=COLUMNS($A2321:H2340), LEFT(INDEX(FILTER(H$1:H2320, H$1:H2320&lt;&gt;""""),COUNTA(FILTER(H$1:H2320, H$1:H2320&lt;&gt;""""))), LEN(INDEX(FILTER(H$1:H2320, H$1:H2320&lt;&gt;""""),COUNTA(FILTER(H$1:H2320, H$1:H2320&lt;&gt;""""))))-1), IF('To Order'!$A2321=COL"&amp;"UMNS($A2321:H2340), H2320&amp;RIGHT(INDIRECT(ADDRESS(ROW(H2321)-1, 'From Order'!$A2321)), 1), H2320))"),"")</f>
        <v/>
      </c>
      <c r="I2321" s="2" t="str">
        <f>IFERROR(__xludf.DUMMYFUNCTION("IF('From Order'!$A2321=COLUMNS($A2321:I2340), LEFT(INDEX(FILTER(I$1:I2320, I$1:I2320&lt;&gt;""""),COUNTA(FILTER(I$1:I2320, I$1:I2320&lt;&gt;""""))), LEN(INDEX(FILTER(I$1:I2320, I$1:I2320&lt;&gt;""""),COUNTA(FILTER(I$1:I2320, I$1:I2320&lt;&gt;""""))))-1), IF('To Order'!$A2321=COL"&amp;"UMNS($A2321:I2340), I2320&amp;RIGHT(INDIRECT(ADDRESS(ROW(I2321)-1, 'From Order'!$A2321)), 1), I2320))"),"DDDVQZDMTTGMJRRLPSSTMZHPRBVJBC")</f>
        <v>DDDVQZDMTTGMJRRLPSSTMZHPRBVJBC</v>
      </c>
    </row>
    <row r="2322">
      <c r="A2322" s="2" t="str">
        <f>IFERROR(__xludf.DUMMYFUNCTION("IF('From Order'!$A2322=COLUMNS($A2322:A2341), LEFT(INDEX(FILTER(A$1:A2321, A$1:A2321&lt;&gt;""""),COUNTA(FILTER(A$1:A2321, A$1:A2321&lt;&gt;""""))), LEN(INDEX(FILTER(A$1:A2321, A$1:A2321&lt;&gt;""""),COUNTA(FILTER(A$1:A2321, A$1:A2321&lt;&gt;""""))))-1), IF('To Order'!$A2322=COL"&amp;"UMNS($A2322:A2341), A2321&amp;RIGHT(INDIRECT(ADDRESS(ROW(A2322)-1, 'From Order'!$A2322)), 1), A2321))"),"")</f>
        <v/>
      </c>
      <c r="B2322" s="2" t="str">
        <f>IFERROR(__xludf.DUMMYFUNCTION("IF('From Order'!$A2322=COLUMNS($A2322:B2341), LEFT(INDEX(FILTER(B$1:B2321, B$1:B2321&lt;&gt;""""),COUNTA(FILTER(B$1:B2321, B$1:B2321&lt;&gt;""""))), LEN(INDEX(FILTER(B$1:B2321, B$1:B2321&lt;&gt;""""),COUNTA(FILTER(B$1:B2321, B$1:B2321&lt;&gt;""""))))-1), IF('To Order'!$A2322=COL"&amp;"UMNS($A2322:B2341), B2321&amp;RIGHT(INDIRECT(ADDRESS(ROW(B2322)-1, 'From Order'!$A2322)), 1), B2321))"),"")</f>
        <v/>
      </c>
      <c r="C2322" s="2" t="str">
        <f>IFERROR(__xludf.DUMMYFUNCTION("IF('From Order'!$A2322=COLUMNS($A2322:C2341), LEFT(INDEX(FILTER(C$1:C2321, C$1:C2321&lt;&gt;""""),COUNTA(FILTER(C$1:C2321, C$1:C2321&lt;&gt;""""))), LEN(INDEX(FILTER(C$1:C2321, C$1:C2321&lt;&gt;""""),COUNTA(FILTER(C$1:C2321, C$1:C2321&lt;&gt;""""))))-1), IF('To Order'!$A2322=COL"&amp;"UMNS($A2322:C2341), C2321&amp;RIGHT(INDIRECT(ADDRESS(ROW(C2322)-1, 'From Order'!$A2322)), 1), C2321))"),"V")</f>
        <v>V</v>
      </c>
      <c r="D2322" s="2" t="str">
        <f>IFERROR(__xludf.DUMMYFUNCTION("IF('From Order'!$A2322=COLUMNS($A2322:D2341), LEFT(INDEX(FILTER(D$1:D2321, D$1:D2321&lt;&gt;""""),COUNTA(FILTER(D$1:D2321, D$1:D2321&lt;&gt;""""))), LEN(INDEX(FILTER(D$1:D2321, D$1:D2321&lt;&gt;""""),COUNTA(FILTER(D$1:D2321, D$1:D2321&lt;&gt;""""))))-1), IF('To Order'!$A2322=COL"&amp;"UMNS($A2322:D2341), D2321&amp;RIGHT(INDIRECT(ADDRESS(ROW(D2322)-1, 'From Order'!$A2322)), 1), D2321))"),"GRD")</f>
        <v>GRD</v>
      </c>
      <c r="E2322" s="2" t="str">
        <f>IFERROR(__xludf.DUMMYFUNCTION("IF('From Order'!$A2322=COLUMNS($A2322:E2341), LEFT(INDEX(FILTER(E$1:E2321, E$1:E2321&lt;&gt;""""),COUNTA(FILTER(E$1:E2321, E$1:E2321&lt;&gt;""""))), LEN(INDEX(FILTER(E$1:E2321, E$1:E2321&lt;&gt;""""),COUNTA(FILTER(E$1:E2321, E$1:E2321&lt;&gt;""""))))-1), IF('To Order'!$A2322=COL"&amp;"UMNS($A2322:E2341), E2321&amp;RIGHT(INDIRECT(ADDRESS(ROW(E2322)-1, 'From Order'!$A2322)), 1), E2321))"),"")</f>
        <v/>
      </c>
      <c r="F2322" s="2" t="str">
        <f>IFERROR(__xludf.DUMMYFUNCTION("IF('From Order'!$A2322=COLUMNS($A2322:F2341), LEFT(INDEX(FILTER(F$1:F2321, F$1:F2321&lt;&gt;""""),COUNTA(FILTER(F$1:F2321, F$1:F2321&lt;&gt;""""))), LEN(INDEX(FILTER(F$1:F2321, F$1:F2321&lt;&gt;""""),COUNTA(FILTER(F$1:F2321, F$1:F2321&lt;&gt;""""))))-1), IF('To Order'!$A2322=COL"&amp;"UMNS($A2322:F2341), F2321&amp;RIGHT(INDIRECT(ADDRESS(ROW(F2322)-1, 'From Order'!$A2322)), 1), F2321))"),"FJPSRQTT")</f>
        <v>FJPSRQTT</v>
      </c>
      <c r="G2322" s="2" t="str">
        <f>IFERROR(__xludf.DUMMYFUNCTION("IF('From Order'!$A2322=COLUMNS($A2322:G2341), LEFT(INDEX(FILTER(G$1:G2321, G$1:G2321&lt;&gt;""""),COUNTA(FILTER(G$1:G2321, G$1:G2321&lt;&gt;""""))), LEN(INDEX(FILTER(G$1:G2321, G$1:G2321&lt;&gt;""""),COUNTA(FILTER(G$1:G2321, G$1:G2321&lt;&gt;""""))))-1), IF('To Order'!$A2322=COL"&amp;"UMNS($A2322:G2341), G2321&amp;RIGHT(INDIRECT(ADDRESS(ROW(G2322)-1, 'From Order'!$A2322)), 1), G2321))"),"BWDCCSZHTWLLFBC")</f>
        <v>BWDCCSZHTWLLFBC</v>
      </c>
      <c r="H2322" s="2" t="str">
        <f>IFERROR(__xludf.DUMMYFUNCTION("IF('From Order'!$A2322=COLUMNS($A2322:H2341), LEFT(INDEX(FILTER(H$1:H2321, H$1:H2321&lt;&gt;""""),COUNTA(FILTER(H$1:H2321, H$1:H2321&lt;&gt;""""))), LEN(INDEX(FILTER(H$1:H2321, H$1:H2321&lt;&gt;""""),COUNTA(FILTER(H$1:H2321, H$1:H2321&lt;&gt;""""))))-1), IF('To Order'!$A2322=COL"&amp;"UMNS($A2322:H2341), H2321&amp;RIGHT(INDIRECT(ADDRESS(ROW(H2322)-1, 'From Order'!$A2322)), 1), H2321))"),"")</f>
        <v/>
      </c>
      <c r="I2322" s="2" t="str">
        <f>IFERROR(__xludf.DUMMYFUNCTION("IF('From Order'!$A2322=COLUMNS($A2322:I2341), LEFT(INDEX(FILTER(I$1:I2321, I$1:I2321&lt;&gt;""""),COUNTA(FILTER(I$1:I2321, I$1:I2321&lt;&gt;""""))), LEN(INDEX(FILTER(I$1:I2321, I$1:I2321&lt;&gt;""""),COUNTA(FILTER(I$1:I2321, I$1:I2321&lt;&gt;""""))))-1), IF('To Order'!$A2322=COL"&amp;"UMNS($A2322:I2341), I2321&amp;RIGHT(INDIRECT(ADDRESS(ROW(I2322)-1, 'From Order'!$A2322)), 1), I2321))"),"DDDVQZDMTTGMJRRLPSSTMZHPRBVJB")</f>
        <v>DDDVQZDMTTGMJRRLPSSTMZHPRBVJB</v>
      </c>
    </row>
    <row r="2323">
      <c r="A2323" s="2" t="str">
        <f>IFERROR(__xludf.DUMMYFUNCTION("IF('From Order'!$A2323=COLUMNS($A2323:A2342), LEFT(INDEX(FILTER(A$1:A2322, A$1:A2322&lt;&gt;""""),COUNTA(FILTER(A$1:A2322, A$1:A2322&lt;&gt;""""))), LEN(INDEX(FILTER(A$1:A2322, A$1:A2322&lt;&gt;""""),COUNTA(FILTER(A$1:A2322, A$1:A2322&lt;&gt;""""))))-1), IF('To Order'!$A2323=COL"&amp;"UMNS($A2323:A2342), A2322&amp;RIGHT(INDIRECT(ADDRESS(ROW(A2323)-1, 'From Order'!$A2323)), 1), A2322))"),"")</f>
        <v/>
      </c>
      <c r="B2323" s="2" t="str">
        <f>IFERROR(__xludf.DUMMYFUNCTION("IF('From Order'!$A2323=COLUMNS($A2323:B2342), LEFT(INDEX(FILTER(B$1:B2322, B$1:B2322&lt;&gt;""""),COUNTA(FILTER(B$1:B2322, B$1:B2322&lt;&gt;""""))), LEN(INDEX(FILTER(B$1:B2322, B$1:B2322&lt;&gt;""""),COUNTA(FILTER(B$1:B2322, B$1:B2322&lt;&gt;""""))))-1), IF('To Order'!$A2323=COL"&amp;"UMNS($A2323:B2342), B2322&amp;RIGHT(INDIRECT(ADDRESS(ROW(B2323)-1, 'From Order'!$A2323)), 1), B2322))"),"")</f>
        <v/>
      </c>
      <c r="C2323" s="2" t="str">
        <f>IFERROR(__xludf.DUMMYFUNCTION("IF('From Order'!$A2323=COLUMNS($A2323:C2342), LEFT(INDEX(FILTER(C$1:C2322, C$1:C2322&lt;&gt;""""),COUNTA(FILTER(C$1:C2322, C$1:C2322&lt;&gt;""""))), LEN(INDEX(FILTER(C$1:C2322, C$1:C2322&lt;&gt;""""),COUNTA(FILTER(C$1:C2322, C$1:C2322&lt;&gt;""""))))-1), IF('To Order'!$A2323=COL"&amp;"UMNS($A2323:C2342), C2322&amp;RIGHT(INDIRECT(ADDRESS(ROW(C2323)-1, 'From Order'!$A2323)), 1), C2322))"),"VB")</f>
        <v>VB</v>
      </c>
      <c r="D2323" s="2" t="str">
        <f>IFERROR(__xludf.DUMMYFUNCTION("IF('From Order'!$A2323=COLUMNS($A2323:D2342), LEFT(INDEX(FILTER(D$1:D2322, D$1:D2322&lt;&gt;""""),COUNTA(FILTER(D$1:D2322, D$1:D2322&lt;&gt;""""))), LEN(INDEX(FILTER(D$1:D2322, D$1:D2322&lt;&gt;""""),COUNTA(FILTER(D$1:D2322, D$1:D2322&lt;&gt;""""))))-1), IF('To Order'!$A2323=COL"&amp;"UMNS($A2323:D2342), D2322&amp;RIGHT(INDIRECT(ADDRESS(ROW(D2323)-1, 'From Order'!$A2323)), 1), D2322))"),"GRD")</f>
        <v>GRD</v>
      </c>
      <c r="E2323" s="2" t="str">
        <f>IFERROR(__xludf.DUMMYFUNCTION("IF('From Order'!$A2323=COLUMNS($A2323:E2342), LEFT(INDEX(FILTER(E$1:E2322, E$1:E2322&lt;&gt;""""),COUNTA(FILTER(E$1:E2322, E$1:E2322&lt;&gt;""""))), LEN(INDEX(FILTER(E$1:E2322, E$1:E2322&lt;&gt;""""),COUNTA(FILTER(E$1:E2322, E$1:E2322&lt;&gt;""""))))-1), IF('To Order'!$A2323=COL"&amp;"UMNS($A2323:E2342), E2322&amp;RIGHT(INDIRECT(ADDRESS(ROW(E2323)-1, 'From Order'!$A2323)), 1), E2322))"),"")</f>
        <v/>
      </c>
      <c r="F2323" s="2" t="str">
        <f>IFERROR(__xludf.DUMMYFUNCTION("IF('From Order'!$A2323=COLUMNS($A2323:F2342), LEFT(INDEX(FILTER(F$1:F2322, F$1:F2322&lt;&gt;""""),COUNTA(FILTER(F$1:F2322, F$1:F2322&lt;&gt;""""))), LEN(INDEX(FILTER(F$1:F2322, F$1:F2322&lt;&gt;""""),COUNTA(FILTER(F$1:F2322, F$1:F2322&lt;&gt;""""))))-1), IF('To Order'!$A2323=COL"&amp;"UMNS($A2323:F2342), F2322&amp;RIGHT(INDIRECT(ADDRESS(ROW(F2323)-1, 'From Order'!$A2323)), 1), F2322))"),"FJPSRQTT")</f>
        <v>FJPSRQTT</v>
      </c>
      <c r="G2323" s="2" t="str">
        <f>IFERROR(__xludf.DUMMYFUNCTION("IF('From Order'!$A2323=COLUMNS($A2323:G2342), LEFT(INDEX(FILTER(G$1:G2322, G$1:G2322&lt;&gt;""""),COUNTA(FILTER(G$1:G2322, G$1:G2322&lt;&gt;""""))), LEN(INDEX(FILTER(G$1:G2322, G$1:G2322&lt;&gt;""""),COUNTA(FILTER(G$1:G2322, G$1:G2322&lt;&gt;""""))))-1), IF('To Order'!$A2323=COL"&amp;"UMNS($A2323:G2342), G2322&amp;RIGHT(INDIRECT(ADDRESS(ROW(G2323)-1, 'From Order'!$A2323)), 1), G2322))"),"BWDCCSZHTWLLFBC")</f>
        <v>BWDCCSZHTWLLFBC</v>
      </c>
      <c r="H2323" s="2" t="str">
        <f>IFERROR(__xludf.DUMMYFUNCTION("IF('From Order'!$A2323=COLUMNS($A2323:H2342), LEFT(INDEX(FILTER(H$1:H2322, H$1:H2322&lt;&gt;""""),COUNTA(FILTER(H$1:H2322, H$1:H2322&lt;&gt;""""))), LEN(INDEX(FILTER(H$1:H2322, H$1:H2322&lt;&gt;""""),COUNTA(FILTER(H$1:H2322, H$1:H2322&lt;&gt;""""))))-1), IF('To Order'!$A2323=COL"&amp;"UMNS($A2323:H2342), H2322&amp;RIGHT(INDIRECT(ADDRESS(ROW(H2323)-1, 'From Order'!$A2323)), 1), H2322))"),"")</f>
        <v/>
      </c>
      <c r="I2323" s="2" t="str">
        <f>IFERROR(__xludf.DUMMYFUNCTION("IF('From Order'!$A2323=COLUMNS($A2323:I2342), LEFT(INDEX(FILTER(I$1:I2322, I$1:I2322&lt;&gt;""""),COUNTA(FILTER(I$1:I2322, I$1:I2322&lt;&gt;""""))), LEN(INDEX(FILTER(I$1:I2322, I$1:I2322&lt;&gt;""""),COUNTA(FILTER(I$1:I2322, I$1:I2322&lt;&gt;""""))))-1), IF('To Order'!$A2323=COL"&amp;"UMNS($A2323:I2342), I2322&amp;RIGHT(INDIRECT(ADDRESS(ROW(I2323)-1, 'From Order'!$A2323)), 1), I2322))"),"DDDVQZDMTTGMJRRLPSSTMZHPRBVJ")</f>
        <v>DDDVQZDMTTGMJRRLPSSTMZHPRBVJ</v>
      </c>
    </row>
    <row r="2324">
      <c r="A2324" s="2" t="str">
        <f>IFERROR(__xludf.DUMMYFUNCTION("IF('From Order'!$A2324=COLUMNS($A2324:A2343), LEFT(INDEX(FILTER(A$1:A2323, A$1:A2323&lt;&gt;""""),COUNTA(FILTER(A$1:A2323, A$1:A2323&lt;&gt;""""))), LEN(INDEX(FILTER(A$1:A2323, A$1:A2323&lt;&gt;""""),COUNTA(FILTER(A$1:A2323, A$1:A2323&lt;&gt;""""))))-1), IF('To Order'!$A2324=COL"&amp;"UMNS($A2324:A2343), A2323&amp;RIGHT(INDIRECT(ADDRESS(ROW(A2324)-1, 'From Order'!$A2324)), 1), A2323))"),"")</f>
        <v/>
      </c>
      <c r="B2324" s="2" t="str">
        <f>IFERROR(__xludf.DUMMYFUNCTION("IF('From Order'!$A2324=COLUMNS($A2324:B2343), LEFT(INDEX(FILTER(B$1:B2323, B$1:B2323&lt;&gt;""""),COUNTA(FILTER(B$1:B2323, B$1:B2323&lt;&gt;""""))), LEN(INDEX(FILTER(B$1:B2323, B$1:B2323&lt;&gt;""""),COUNTA(FILTER(B$1:B2323, B$1:B2323&lt;&gt;""""))))-1), IF('To Order'!$A2324=COL"&amp;"UMNS($A2324:B2343), B2323&amp;RIGHT(INDIRECT(ADDRESS(ROW(B2324)-1, 'From Order'!$A2324)), 1), B2323))"),"")</f>
        <v/>
      </c>
      <c r="C2324" s="2" t="str">
        <f>IFERROR(__xludf.DUMMYFUNCTION("IF('From Order'!$A2324=COLUMNS($A2324:C2343), LEFT(INDEX(FILTER(C$1:C2323, C$1:C2323&lt;&gt;""""),COUNTA(FILTER(C$1:C2323, C$1:C2323&lt;&gt;""""))), LEN(INDEX(FILTER(C$1:C2323, C$1:C2323&lt;&gt;""""),COUNTA(FILTER(C$1:C2323, C$1:C2323&lt;&gt;""""))))-1), IF('To Order'!$A2324=COL"&amp;"UMNS($A2324:C2343), C2323&amp;RIGHT(INDIRECT(ADDRESS(ROW(C2324)-1, 'From Order'!$A2324)), 1), C2323))"),"VBJ")</f>
        <v>VBJ</v>
      </c>
      <c r="D2324" s="2" t="str">
        <f>IFERROR(__xludf.DUMMYFUNCTION("IF('From Order'!$A2324=COLUMNS($A2324:D2343), LEFT(INDEX(FILTER(D$1:D2323, D$1:D2323&lt;&gt;""""),COUNTA(FILTER(D$1:D2323, D$1:D2323&lt;&gt;""""))), LEN(INDEX(FILTER(D$1:D2323, D$1:D2323&lt;&gt;""""),COUNTA(FILTER(D$1:D2323, D$1:D2323&lt;&gt;""""))))-1), IF('To Order'!$A2324=COL"&amp;"UMNS($A2324:D2343), D2323&amp;RIGHT(INDIRECT(ADDRESS(ROW(D2324)-1, 'From Order'!$A2324)), 1), D2323))"),"GRD")</f>
        <v>GRD</v>
      </c>
      <c r="E2324" s="2" t="str">
        <f>IFERROR(__xludf.DUMMYFUNCTION("IF('From Order'!$A2324=COLUMNS($A2324:E2343), LEFT(INDEX(FILTER(E$1:E2323, E$1:E2323&lt;&gt;""""),COUNTA(FILTER(E$1:E2323, E$1:E2323&lt;&gt;""""))), LEN(INDEX(FILTER(E$1:E2323, E$1:E2323&lt;&gt;""""),COUNTA(FILTER(E$1:E2323, E$1:E2323&lt;&gt;""""))))-1), IF('To Order'!$A2324=COL"&amp;"UMNS($A2324:E2343), E2323&amp;RIGHT(INDIRECT(ADDRESS(ROW(E2324)-1, 'From Order'!$A2324)), 1), E2323))"),"")</f>
        <v/>
      </c>
      <c r="F2324" s="2" t="str">
        <f>IFERROR(__xludf.DUMMYFUNCTION("IF('From Order'!$A2324=COLUMNS($A2324:F2343), LEFT(INDEX(FILTER(F$1:F2323, F$1:F2323&lt;&gt;""""),COUNTA(FILTER(F$1:F2323, F$1:F2323&lt;&gt;""""))), LEN(INDEX(FILTER(F$1:F2323, F$1:F2323&lt;&gt;""""),COUNTA(FILTER(F$1:F2323, F$1:F2323&lt;&gt;""""))))-1), IF('To Order'!$A2324=COL"&amp;"UMNS($A2324:F2343), F2323&amp;RIGHT(INDIRECT(ADDRESS(ROW(F2324)-1, 'From Order'!$A2324)), 1), F2323))"),"FJPSRQTT")</f>
        <v>FJPSRQTT</v>
      </c>
      <c r="G2324" s="2" t="str">
        <f>IFERROR(__xludf.DUMMYFUNCTION("IF('From Order'!$A2324=COLUMNS($A2324:G2343), LEFT(INDEX(FILTER(G$1:G2323, G$1:G2323&lt;&gt;""""),COUNTA(FILTER(G$1:G2323, G$1:G2323&lt;&gt;""""))), LEN(INDEX(FILTER(G$1:G2323, G$1:G2323&lt;&gt;""""),COUNTA(FILTER(G$1:G2323, G$1:G2323&lt;&gt;""""))))-1), IF('To Order'!$A2324=COL"&amp;"UMNS($A2324:G2343), G2323&amp;RIGHT(INDIRECT(ADDRESS(ROW(G2324)-1, 'From Order'!$A2324)), 1), G2323))"),"BWDCCSZHTWLLFBC")</f>
        <v>BWDCCSZHTWLLFBC</v>
      </c>
      <c r="H2324" s="2" t="str">
        <f>IFERROR(__xludf.DUMMYFUNCTION("IF('From Order'!$A2324=COLUMNS($A2324:H2343), LEFT(INDEX(FILTER(H$1:H2323, H$1:H2323&lt;&gt;""""),COUNTA(FILTER(H$1:H2323, H$1:H2323&lt;&gt;""""))), LEN(INDEX(FILTER(H$1:H2323, H$1:H2323&lt;&gt;""""),COUNTA(FILTER(H$1:H2323, H$1:H2323&lt;&gt;""""))))-1), IF('To Order'!$A2324=COL"&amp;"UMNS($A2324:H2343), H2323&amp;RIGHT(INDIRECT(ADDRESS(ROW(H2324)-1, 'From Order'!$A2324)), 1), H2323))"),"")</f>
        <v/>
      </c>
      <c r="I2324" s="2" t="str">
        <f>IFERROR(__xludf.DUMMYFUNCTION("IF('From Order'!$A2324=COLUMNS($A2324:I2343), LEFT(INDEX(FILTER(I$1:I2323, I$1:I2323&lt;&gt;""""),COUNTA(FILTER(I$1:I2323, I$1:I2323&lt;&gt;""""))), LEN(INDEX(FILTER(I$1:I2323, I$1:I2323&lt;&gt;""""),COUNTA(FILTER(I$1:I2323, I$1:I2323&lt;&gt;""""))))-1), IF('To Order'!$A2324=COL"&amp;"UMNS($A2324:I2343), I2323&amp;RIGHT(INDIRECT(ADDRESS(ROW(I2324)-1, 'From Order'!$A2324)), 1), I2323))"),"DDDVQZDMTTGMJRRLPSSTMZHPRBV")</f>
        <v>DDDVQZDMTTGMJRRLPSSTMZHPRBV</v>
      </c>
    </row>
    <row r="2325">
      <c r="A2325" s="2" t="str">
        <f>IFERROR(__xludf.DUMMYFUNCTION("IF('From Order'!$A2325=COLUMNS($A2325:A2344), LEFT(INDEX(FILTER(A$1:A2324, A$1:A2324&lt;&gt;""""),COUNTA(FILTER(A$1:A2324, A$1:A2324&lt;&gt;""""))), LEN(INDEX(FILTER(A$1:A2324, A$1:A2324&lt;&gt;""""),COUNTA(FILTER(A$1:A2324, A$1:A2324&lt;&gt;""""))))-1), IF('To Order'!$A2325=COL"&amp;"UMNS($A2325:A2344), A2324&amp;RIGHT(INDIRECT(ADDRESS(ROW(A2325)-1, 'From Order'!$A2325)), 1), A2324))"),"")</f>
        <v/>
      </c>
      <c r="B2325" s="2" t="str">
        <f>IFERROR(__xludf.DUMMYFUNCTION("IF('From Order'!$A2325=COLUMNS($A2325:B2344), LEFT(INDEX(FILTER(B$1:B2324, B$1:B2324&lt;&gt;""""),COUNTA(FILTER(B$1:B2324, B$1:B2324&lt;&gt;""""))), LEN(INDEX(FILTER(B$1:B2324, B$1:B2324&lt;&gt;""""),COUNTA(FILTER(B$1:B2324, B$1:B2324&lt;&gt;""""))))-1), IF('To Order'!$A2325=COL"&amp;"UMNS($A2325:B2344), B2324&amp;RIGHT(INDIRECT(ADDRESS(ROW(B2325)-1, 'From Order'!$A2325)), 1), B2324))"),"")</f>
        <v/>
      </c>
      <c r="C2325" s="2" t="str">
        <f>IFERROR(__xludf.DUMMYFUNCTION("IF('From Order'!$A2325=COLUMNS($A2325:C2344), LEFT(INDEX(FILTER(C$1:C2324, C$1:C2324&lt;&gt;""""),COUNTA(FILTER(C$1:C2324, C$1:C2324&lt;&gt;""""))), LEN(INDEX(FILTER(C$1:C2324, C$1:C2324&lt;&gt;""""),COUNTA(FILTER(C$1:C2324, C$1:C2324&lt;&gt;""""))))-1), IF('To Order'!$A2325=COL"&amp;"UMNS($A2325:C2344), C2324&amp;RIGHT(INDIRECT(ADDRESS(ROW(C2325)-1, 'From Order'!$A2325)), 1), C2324))"),"VBJV")</f>
        <v>VBJV</v>
      </c>
      <c r="D2325" s="2" t="str">
        <f>IFERROR(__xludf.DUMMYFUNCTION("IF('From Order'!$A2325=COLUMNS($A2325:D2344), LEFT(INDEX(FILTER(D$1:D2324, D$1:D2324&lt;&gt;""""),COUNTA(FILTER(D$1:D2324, D$1:D2324&lt;&gt;""""))), LEN(INDEX(FILTER(D$1:D2324, D$1:D2324&lt;&gt;""""),COUNTA(FILTER(D$1:D2324, D$1:D2324&lt;&gt;""""))))-1), IF('To Order'!$A2325=COL"&amp;"UMNS($A2325:D2344), D2324&amp;RIGHT(INDIRECT(ADDRESS(ROW(D2325)-1, 'From Order'!$A2325)), 1), D2324))"),"GRD")</f>
        <v>GRD</v>
      </c>
      <c r="E2325" s="2" t="str">
        <f>IFERROR(__xludf.DUMMYFUNCTION("IF('From Order'!$A2325=COLUMNS($A2325:E2344), LEFT(INDEX(FILTER(E$1:E2324, E$1:E2324&lt;&gt;""""),COUNTA(FILTER(E$1:E2324, E$1:E2324&lt;&gt;""""))), LEN(INDEX(FILTER(E$1:E2324, E$1:E2324&lt;&gt;""""),COUNTA(FILTER(E$1:E2324, E$1:E2324&lt;&gt;""""))))-1), IF('To Order'!$A2325=COL"&amp;"UMNS($A2325:E2344), E2324&amp;RIGHT(INDIRECT(ADDRESS(ROW(E2325)-1, 'From Order'!$A2325)), 1), E2324))"),"")</f>
        <v/>
      </c>
      <c r="F2325" s="2" t="str">
        <f>IFERROR(__xludf.DUMMYFUNCTION("IF('From Order'!$A2325=COLUMNS($A2325:F2344), LEFT(INDEX(FILTER(F$1:F2324, F$1:F2324&lt;&gt;""""),COUNTA(FILTER(F$1:F2324, F$1:F2324&lt;&gt;""""))), LEN(INDEX(FILTER(F$1:F2324, F$1:F2324&lt;&gt;""""),COUNTA(FILTER(F$1:F2324, F$1:F2324&lt;&gt;""""))))-1), IF('To Order'!$A2325=COL"&amp;"UMNS($A2325:F2344), F2324&amp;RIGHT(INDIRECT(ADDRESS(ROW(F2325)-1, 'From Order'!$A2325)), 1), F2324))"),"FJPSRQTT")</f>
        <v>FJPSRQTT</v>
      </c>
      <c r="G2325" s="2" t="str">
        <f>IFERROR(__xludf.DUMMYFUNCTION("IF('From Order'!$A2325=COLUMNS($A2325:G2344), LEFT(INDEX(FILTER(G$1:G2324, G$1:G2324&lt;&gt;""""),COUNTA(FILTER(G$1:G2324, G$1:G2324&lt;&gt;""""))), LEN(INDEX(FILTER(G$1:G2324, G$1:G2324&lt;&gt;""""),COUNTA(FILTER(G$1:G2324, G$1:G2324&lt;&gt;""""))))-1), IF('To Order'!$A2325=COL"&amp;"UMNS($A2325:G2344), G2324&amp;RIGHT(INDIRECT(ADDRESS(ROW(G2325)-1, 'From Order'!$A2325)), 1), G2324))"),"BWDCCSZHTWLLFBC")</f>
        <v>BWDCCSZHTWLLFBC</v>
      </c>
      <c r="H2325" s="2" t="str">
        <f>IFERROR(__xludf.DUMMYFUNCTION("IF('From Order'!$A2325=COLUMNS($A2325:H2344), LEFT(INDEX(FILTER(H$1:H2324, H$1:H2324&lt;&gt;""""),COUNTA(FILTER(H$1:H2324, H$1:H2324&lt;&gt;""""))), LEN(INDEX(FILTER(H$1:H2324, H$1:H2324&lt;&gt;""""),COUNTA(FILTER(H$1:H2324, H$1:H2324&lt;&gt;""""))))-1), IF('To Order'!$A2325=COL"&amp;"UMNS($A2325:H2344), H2324&amp;RIGHT(INDIRECT(ADDRESS(ROW(H2325)-1, 'From Order'!$A2325)), 1), H2324))"),"")</f>
        <v/>
      </c>
      <c r="I2325" s="2" t="str">
        <f>IFERROR(__xludf.DUMMYFUNCTION("IF('From Order'!$A2325=COLUMNS($A2325:I2344), LEFT(INDEX(FILTER(I$1:I2324, I$1:I2324&lt;&gt;""""),COUNTA(FILTER(I$1:I2324, I$1:I2324&lt;&gt;""""))), LEN(INDEX(FILTER(I$1:I2324, I$1:I2324&lt;&gt;""""),COUNTA(FILTER(I$1:I2324, I$1:I2324&lt;&gt;""""))))-1), IF('To Order'!$A2325=COL"&amp;"UMNS($A2325:I2344), I2324&amp;RIGHT(INDIRECT(ADDRESS(ROW(I2325)-1, 'From Order'!$A2325)), 1), I2324))"),"DDDVQZDMTTGMJRRLPSSTMZHPRB")</f>
        <v>DDDVQZDMTTGMJRRLPSSTMZHPRB</v>
      </c>
    </row>
    <row r="2326">
      <c r="A2326" s="2" t="str">
        <f>IFERROR(__xludf.DUMMYFUNCTION("IF('From Order'!$A2326=COLUMNS($A2326:A2345), LEFT(INDEX(FILTER(A$1:A2325, A$1:A2325&lt;&gt;""""),COUNTA(FILTER(A$1:A2325, A$1:A2325&lt;&gt;""""))), LEN(INDEX(FILTER(A$1:A2325, A$1:A2325&lt;&gt;""""),COUNTA(FILTER(A$1:A2325, A$1:A2325&lt;&gt;""""))))-1), IF('To Order'!$A2326=COL"&amp;"UMNS($A2326:A2345), A2325&amp;RIGHT(INDIRECT(ADDRESS(ROW(A2326)-1, 'From Order'!$A2326)), 1), A2325))"),"")</f>
        <v/>
      </c>
      <c r="B2326" s="2" t="str">
        <f>IFERROR(__xludf.DUMMYFUNCTION("IF('From Order'!$A2326=COLUMNS($A2326:B2345), LEFT(INDEX(FILTER(B$1:B2325, B$1:B2325&lt;&gt;""""),COUNTA(FILTER(B$1:B2325, B$1:B2325&lt;&gt;""""))), LEN(INDEX(FILTER(B$1:B2325, B$1:B2325&lt;&gt;""""),COUNTA(FILTER(B$1:B2325, B$1:B2325&lt;&gt;""""))))-1), IF('To Order'!$A2326=COL"&amp;"UMNS($A2326:B2345), B2325&amp;RIGHT(INDIRECT(ADDRESS(ROW(B2326)-1, 'From Order'!$A2326)), 1), B2325))"),"")</f>
        <v/>
      </c>
      <c r="C2326" s="2" t="str">
        <f>IFERROR(__xludf.DUMMYFUNCTION("IF('From Order'!$A2326=COLUMNS($A2326:C2345), LEFT(INDEX(FILTER(C$1:C2325, C$1:C2325&lt;&gt;""""),COUNTA(FILTER(C$1:C2325, C$1:C2325&lt;&gt;""""))), LEN(INDEX(FILTER(C$1:C2325, C$1:C2325&lt;&gt;""""),COUNTA(FILTER(C$1:C2325, C$1:C2325&lt;&gt;""""))))-1), IF('To Order'!$A2326=COL"&amp;"UMNS($A2326:C2345), C2325&amp;RIGHT(INDIRECT(ADDRESS(ROW(C2326)-1, 'From Order'!$A2326)), 1), C2325))"),"VBJV")</f>
        <v>VBJV</v>
      </c>
      <c r="D2326" s="2" t="str">
        <f>IFERROR(__xludf.DUMMYFUNCTION("IF('From Order'!$A2326=COLUMNS($A2326:D2345), LEFT(INDEX(FILTER(D$1:D2325, D$1:D2325&lt;&gt;""""),COUNTA(FILTER(D$1:D2325, D$1:D2325&lt;&gt;""""))), LEN(INDEX(FILTER(D$1:D2325, D$1:D2325&lt;&gt;""""),COUNTA(FILTER(D$1:D2325, D$1:D2325&lt;&gt;""""))))-1), IF('To Order'!$A2326=COL"&amp;"UMNS($A2326:D2345), D2325&amp;RIGHT(INDIRECT(ADDRESS(ROW(D2326)-1, 'From Order'!$A2326)), 1), D2325))"),"GRD")</f>
        <v>GRD</v>
      </c>
      <c r="E2326" s="2" t="str">
        <f>IFERROR(__xludf.DUMMYFUNCTION("IF('From Order'!$A2326=COLUMNS($A2326:E2345), LEFT(INDEX(FILTER(E$1:E2325, E$1:E2325&lt;&gt;""""),COUNTA(FILTER(E$1:E2325, E$1:E2325&lt;&gt;""""))), LEN(INDEX(FILTER(E$1:E2325, E$1:E2325&lt;&gt;""""),COUNTA(FILTER(E$1:E2325, E$1:E2325&lt;&gt;""""))))-1), IF('To Order'!$A2326=COL"&amp;"UMNS($A2326:E2345), E2325&amp;RIGHT(INDIRECT(ADDRESS(ROW(E2326)-1, 'From Order'!$A2326)), 1), E2325))"),"B")</f>
        <v>B</v>
      </c>
      <c r="F2326" s="2" t="str">
        <f>IFERROR(__xludf.DUMMYFUNCTION("IF('From Order'!$A2326=COLUMNS($A2326:F2345), LEFT(INDEX(FILTER(F$1:F2325, F$1:F2325&lt;&gt;""""),COUNTA(FILTER(F$1:F2325, F$1:F2325&lt;&gt;""""))), LEN(INDEX(FILTER(F$1:F2325, F$1:F2325&lt;&gt;""""),COUNTA(FILTER(F$1:F2325, F$1:F2325&lt;&gt;""""))))-1), IF('To Order'!$A2326=COL"&amp;"UMNS($A2326:F2345), F2325&amp;RIGHT(INDIRECT(ADDRESS(ROW(F2326)-1, 'From Order'!$A2326)), 1), F2325))"),"FJPSRQTT")</f>
        <v>FJPSRQTT</v>
      </c>
      <c r="G2326" s="2" t="str">
        <f>IFERROR(__xludf.DUMMYFUNCTION("IF('From Order'!$A2326=COLUMNS($A2326:G2345), LEFT(INDEX(FILTER(G$1:G2325, G$1:G2325&lt;&gt;""""),COUNTA(FILTER(G$1:G2325, G$1:G2325&lt;&gt;""""))), LEN(INDEX(FILTER(G$1:G2325, G$1:G2325&lt;&gt;""""),COUNTA(FILTER(G$1:G2325, G$1:G2325&lt;&gt;""""))))-1), IF('To Order'!$A2326=COL"&amp;"UMNS($A2326:G2345), G2325&amp;RIGHT(INDIRECT(ADDRESS(ROW(G2326)-1, 'From Order'!$A2326)), 1), G2325))"),"BWDCCSZHTWLLFBC")</f>
        <v>BWDCCSZHTWLLFBC</v>
      </c>
      <c r="H2326" s="2" t="str">
        <f>IFERROR(__xludf.DUMMYFUNCTION("IF('From Order'!$A2326=COLUMNS($A2326:H2345), LEFT(INDEX(FILTER(H$1:H2325, H$1:H2325&lt;&gt;""""),COUNTA(FILTER(H$1:H2325, H$1:H2325&lt;&gt;""""))), LEN(INDEX(FILTER(H$1:H2325, H$1:H2325&lt;&gt;""""),COUNTA(FILTER(H$1:H2325, H$1:H2325&lt;&gt;""""))))-1), IF('To Order'!$A2326=COL"&amp;"UMNS($A2326:H2345), H2325&amp;RIGHT(INDIRECT(ADDRESS(ROW(H2326)-1, 'From Order'!$A2326)), 1), H2325))"),"")</f>
        <v/>
      </c>
      <c r="I2326" s="2" t="str">
        <f>IFERROR(__xludf.DUMMYFUNCTION("IF('From Order'!$A2326=COLUMNS($A2326:I2345), LEFT(INDEX(FILTER(I$1:I2325, I$1:I2325&lt;&gt;""""),COUNTA(FILTER(I$1:I2325, I$1:I2325&lt;&gt;""""))), LEN(INDEX(FILTER(I$1:I2325, I$1:I2325&lt;&gt;""""),COUNTA(FILTER(I$1:I2325, I$1:I2325&lt;&gt;""""))))-1), IF('To Order'!$A2326=COL"&amp;"UMNS($A2326:I2345), I2325&amp;RIGHT(INDIRECT(ADDRESS(ROW(I2326)-1, 'From Order'!$A2326)), 1), I2325))"),"DDDVQZDMTTGMJRRLPSSTMZHPR")</f>
        <v>DDDVQZDMTTGMJRRLPSSTMZHPR</v>
      </c>
    </row>
    <row r="2327">
      <c r="A2327" s="2" t="str">
        <f>IFERROR(__xludf.DUMMYFUNCTION("IF('From Order'!$A2327=COLUMNS($A2327:A2346), LEFT(INDEX(FILTER(A$1:A2326, A$1:A2326&lt;&gt;""""),COUNTA(FILTER(A$1:A2326, A$1:A2326&lt;&gt;""""))), LEN(INDEX(FILTER(A$1:A2326, A$1:A2326&lt;&gt;""""),COUNTA(FILTER(A$1:A2326, A$1:A2326&lt;&gt;""""))))-1), IF('To Order'!$A2327=COL"&amp;"UMNS($A2327:A2346), A2326&amp;RIGHT(INDIRECT(ADDRESS(ROW(A2327)-1, 'From Order'!$A2327)), 1), A2326))"),"")</f>
        <v/>
      </c>
      <c r="B2327" s="2" t="str">
        <f>IFERROR(__xludf.DUMMYFUNCTION("IF('From Order'!$A2327=COLUMNS($A2327:B2346), LEFT(INDEX(FILTER(B$1:B2326, B$1:B2326&lt;&gt;""""),COUNTA(FILTER(B$1:B2326, B$1:B2326&lt;&gt;""""))), LEN(INDEX(FILTER(B$1:B2326, B$1:B2326&lt;&gt;""""),COUNTA(FILTER(B$1:B2326, B$1:B2326&lt;&gt;""""))))-1), IF('To Order'!$A2327=COL"&amp;"UMNS($A2327:B2346), B2326&amp;RIGHT(INDIRECT(ADDRESS(ROW(B2327)-1, 'From Order'!$A2327)), 1), B2326))"),"")</f>
        <v/>
      </c>
      <c r="C2327" s="2" t="str">
        <f>IFERROR(__xludf.DUMMYFUNCTION("IF('From Order'!$A2327=COLUMNS($A2327:C2346), LEFT(INDEX(FILTER(C$1:C2326, C$1:C2326&lt;&gt;""""),COUNTA(FILTER(C$1:C2326, C$1:C2326&lt;&gt;""""))), LEN(INDEX(FILTER(C$1:C2326, C$1:C2326&lt;&gt;""""),COUNTA(FILTER(C$1:C2326, C$1:C2326&lt;&gt;""""))))-1), IF('To Order'!$A2327=COL"&amp;"UMNS($A2327:C2346), C2326&amp;RIGHT(INDIRECT(ADDRESS(ROW(C2327)-1, 'From Order'!$A2327)), 1), C2326))"),"VBJV")</f>
        <v>VBJV</v>
      </c>
      <c r="D2327" s="2" t="str">
        <f>IFERROR(__xludf.DUMMYFUNCTION("IF('From Order'!$A2327=COLUMNS($A2327:D2346), LEFT(INDEX(FILTER(D$1:D2326, D$1:D2326&lt;&gt;""""),COUNTA(FILTER(D$1:D2326, D$1:D2326&lt;&gt;""""))), LEN(INDEX(FILTER(D$1:D2326, D$1:D2326&lt;&gt;""""),COUNTA(FILTER(D$1:D2326, D$1:D2326&lt;&gt;""""))))-1), IF('To Order'!$A2327=COL"&amp;"UMNS($A2327:D2346), D2326&amp;RIGHT(INDIRECT(ADDRESS(ROW(D2327)-1, 'From Order'!$A2327)), 1), D2326))"),"GRD")</f>
        <v>GRD</v>
      </c>
      <c r="E2327" s="2" t="str">
        <f>IFERROR(__xludf.DUMMYFUNCTION("IF('From Order'!$A2327=COLUMNS($A2327:E2346), LEFT(INDEX(FILTER(E$1:E2326, E$1:E2326&lt;&gt;""""),COUNTA(FILTER(E$1:E2326, E$1:E2326&lt;&gt;""""))), LEN(INDEX(FILTER(E$1:E2326, E$1:E2326&lt;&gt;""""),COUNTA(FILTER(E$1:E2326, E$1:E2326&lt;&gt;""""))))-1), IF('To Order'!$A2327=COL"&amp;"UMNS($A2327:E2346), E2326&amp;RIGHT(INDIRECT(ADDRESS(ROW(E2327)-1, 'From Order'!$A2327)), 1), E2326))"),"BR")</f>
        <v>BR</v>
      </c>
      <c r="F2327" s="2" t="str">
        <f>IFERROR(__xludf.DUMMYFUNCTION("IF('From Order'!$A2327=COLUMNS($A2327:F2346), LEFT(INDEX(FILTER(F$1:F2326, F$1:F2326&lt;&gt;""""),COUNTA(FILTER(F$1:F2326, F$1:F2326&lt;&gt;""""))), LEN(INDEX(FILTER(F$1:F2326, F$1:F2326&lt;&gt;""""),COUNTA(FILTER(F$1:F2326, F$1:F2326&lt;&gt;""""))))-1), IF('To Order'!$A2327=COL"&amp;"UMNS($A2327:F2346), F2326&amp;RIGHT(INDIRECT(ADDRESS(ROW(F2327)-1, 'From Order'!$A2327)), 1), F2326))"),"FJPSRQTT")</f>
        <v>FJPSRQTT</v>
      </c>
      <c r="G2327" s="2" t="str">
        <f>IFERROR(__xludf.DUMMYFUNCTION("IF('From Order'!$A2327=COLUMNS($A2327:G2346), LEFT(INDEX(FILTER(G$1:G2326, G$1:G2326&lt;&gt;""""),COUNTA(FILTER(G$1:G2326, G$1:G2326&lt;&gt;""""))), LEN(INDEX(FILTER(G$1:G2326, G$1:G2326&lt;&gt;""""),COUNTA(FILTER(G$1:G2326, G$1:G2326&lt;&gt;""""))))-1), IF('To Order'!$A2327=COL"&amp;"UMNS($A2327:G2346), G2326&amp;RIGHT(INDIRECT(ADDRESS(ROW(G2327)-1, 'From Order'!$A2327)), 1), G2326))"),"BWDCCSZHTWLLFBC")</f>
        <v>BWDCCSZHTWLLFBC</v>
      </c>
      <c r="H2327" s="2" t="str">
        <f>IFERROR(__xludf.DUMMYFUNCTION("IF('From Order'!$A2327=COLUMNS($A2327:H2346), LEFT(INDEX(FILTER(H$1:H2326, H$1:H2326&lt;&gt;""""),COUNTA(FILTER(H$1:H2326, H$1:H2326&lt;&gt;""""))), LEN(INDEX(FILTER(H$1:H2326, H$1:H2326&lt;&gt;""""),COUNTA(FILTER(H$1:H2326, H$1:H2326&lt;&gt;""""))))-1), IF('To Order'!$A2327=COL"&amp;"UMNS($A2327:H2346), H2326&amp;RIGHT(INDIRECT(ADDRESS(ROW(H2327)-1, 'From Order'!$A2327)), 1), H2326))"),"")</f>
        <v/>
      </c>
      <c r="I2327" s="2" t="str">
        <f>IFERROR(__xludf.DUMMYFUNCTION("IF('From Order'!$A2327=COLUMNS($A2327:I2346), LEFT(INDEX(FILTER(I$1:I2326, I$1:I2326&lt;&gt;""""),COUNTA(FILTER(I$1:I2326, I$1:I2326&lt;&gt;""""))), LEN(INDEX(FILTER(I$1:I2326, I$1:I2326&lt;&gt;""""),COUNTA(FILTER(I$1:I2326, I$1:I2326&lt;&gt;""""))))-1), IF('To Order'!$A2327=COL"&amp;"UMNS($A2327:I2346), I2326&amp;RIGHT(INDIRECT(ADDRESS(ROW(I2327)-1, 'From Order'!$A2327)), 1), I2326))"),"DDDVQZDMTTGMJRRLPSSTMZHP")</f>
        <v>DDDVQZDMTTGMJRRLPSSTMZHP</v>
      </c>
    </row>
    <row r="2328">
      <c r="A2328" s="2" t="str">
        <f>IFERROR(__xludf.DUMMYFUNCTION("IF('From Order'!$A2328=COLUMNS($A2328:A2347), LEFT(INDEX(FILTER(A$1:A2327, A$1:A2327&lt;&gt;""""),COUNTA(FILTER(A$1:A2327, A$1:A2327&lt;&gt;""""))), LEN(INDEX(FILTER(A$1:A2327, A$1:A2327&lt;&gt;""""),COUNTA(FILTER(A$1:A2327, A$1:A2327&lt;&gt;""""))))-1), IF('To Order'!$A2328=COL"&amp;"UMNS($A2328:A2347), A2327&amp;RIGHT(INDIRECT(ADDRESS(ROW(A2328)-1, 'From Order'!$A2328)), 1), A2327))"),"")</f>
        <v/>
      </c>
      <c r="B2328" s="2" t="str">
        <f>IFERROR(__xludf.DUMMYFUNCTION("IF('From Order'!$A2328=COLUMNS($A2328:B2347), LEFT(INDEX(FILTER(B$1:B2327, B$1:B2327&lt;&gt;""""),COUNTA(FILTER(B$1:B2327, B$1:B2327&lt;&gt;""""))), LEN(INDEX(FILTER(B$1:B2327, B$1:B2327&lt;&gt;""""),COUNTA(FILTER(B$1:B2327, B$1:B2327&lt;&gt;""""))))-1), IF('To Order'!$A2328=COL"&amp;"UMNS($A2328:B2347), B2327&amp;RIGHT(INDIRECT(ADDRESS(ROW(B2328)-1, 'From Order'!$A2328)), 1), B2327))"),"")</f>
        <v/>
      </c>
      <c r="C2328" s="2" t="str">
        <f>IFERROR(__xludf.DUMMYFUNCTION("IF('From Order'!$A2328=COLUMNS($A2328:C2347), LEFT(INDEX(FILTER(C$1:C2327, C$1:C2327&lt;&gt;""""),COUNTA(FILTER(C$1:C2327, C$1:C2327&lt;&gt;""""))), LEN(INDEX(FILTER(C$1:C2327, C$1:C2327&lt;&gt;""""),COUNTA(FILTER(C$1:C2327, C$1:C2327&lt;&gt;""""))))-1), IF('To Order'!$A2328=COL"&amp;"UMNS($A2328:C2347), C2327&amp;RIGHT(INDIRECT(ADDRESS(ROW(C2328)-1, 'From Order'!$A2328)), 1), C2327))"),"VBJV")</f>
        <v>VBJV</v>
      </c>
      <c r="D2328" s="2" t="str">
        <f>IFERROR(__xludf.DUMMYFUNCTION("IF('From Order'!$A2328=COLUMNS($A2328:D2347), LEFT(INDEX(FILTER(D$1:D2327, D$1:D2327&lt;&gt;""""),COUNTA(FILTER(D$1:D2327, D$1:D2327&lt;&gt;""""))), LEN(INDEX(FILTER(D$1:D2327, D$1:D2327&lt;&gt;""""),COUNTA(FILTER(D$1:D2327, D$1:D2327&lt;&gt;""""))))-1), IF('To Order'!$A2328=COL"&amp;"UMNS($A2328:D2347), D2327&amp;RIGHT(INDIRECT(ADDRESS(ROW(D2328)-1, 'From Order'!$A2328)), 1), D2327))"),"GRD")</f>
        <v>GRD</v>
      </c>
      <c r="E2328" s="2" t="str">
        <f>IFERROR(__xludf.DUMMYFUNCTION("IF('From Order'!$A2328=COLUMNS($A2328:E2347), LEFT(INDEX(FILTER(E$1:E2327, E$1:E2327&lt;&gt;""""),COUNTA(FILTER(E$1:E2327, E$1:E2327&lt;&gt;""""))), LEN(INDEX(FILTER(E$1:E2327, E$1:E2327&lt;&gt;""""),COUNTA(FILTER(E$1:E2327, E$1:E2327&lt;&gt;""""))))-1), IF('To Order'!$A2328=COL"&amp;"UMNS($A2328:E2347), E2327&amp;RIGHT(INDIRECT(ADDRESS(ROW(E2328)-1, 'From Order'!$A2328)), 1), E2327))"),"BRP")</f>
        <v>BRP</v>
      </c>
      <c r="F2328" s="2" t="str">
        <f>IFERROR(__xludf.DUMMYFUNCTION("IF('From Order'!$A2328=COLUMNS($A2328:F2347), LEFT(INDEX(FILTER(F$1:F2327, F$1:F2327&lt;&gt;""""),COUNTA(FILTER(F$1:F2327, F$1:F2327&lt;&gt;""""))), LEN(INDEX(FILTER(F$1:F2327, F$1:F2327&lt;&gt;""""),COUNTA(FILTER(F$1:F2327, F$1:F2327&lt;&gt;""""))))-1), IF('To Order'!$A2328=COL"&amp;"UMNS($A2328:F2347), F2327&amp;RIGHT(INDIRECT(ADDRESS(ROW(F2328)-1, 'From Order'!$A2328)), 1), F2327))"),"FJPSRQTT")</f>
        <v>FJPSRQTT</v>
      </c>
      <c r="G2328" s="2" t="str">
        <f>IFERROR(__xludf.DUMMYFUNCTION("IF('From Order'!$A2328=COLUMNS($A2328:G2347), LEFT(INDEX(FILTER(G$1:G2327, G$1:G2327&lt;&gt;""""),COUNTA(FILTER(G$1:G2327, G$1:G2327&lt;&gt;""""))), LEN(INDEX(FILTER(G$1:G2327, G$1:G2327&lt;&gt;""""),COUNTA(FILTER(G$1:G2327, G$1:G2327&lt;&gt;""""))))-1), IF('To Order'!$A2328=COL"&amp;"UMNS($A2328:G2347), G2327&amp;RIGHT(INDIRECT(ADDRESS(ROW(G2328)-1, 'From Order'!$A2328)), 1), G2327))"),"BWDCCSZHTWLLFBC")</f>
        <v>BWDCCSZHTWLLFBC</v>
      </c>
      <c r="H2328" s="2" t="str">
        <f>IFERROR(__xludf.DUMMYFUNCTION("IF('From Order'!$A2328=COLUMNS($A2328:H2347), LEFT(INDEX(FILTER(H$1:H2327, H$1:H2327&lt;&gt;""""),COUNTA(FILTER(H$1:H2327, H$1:H2327&lt;&gt;""""))), LEN(INDEX(FILTER(H$1:H2327, H$1:H2327&lt;&gt;""""),COUNTA(FILTER(H$1:H2327, H$1:H2327&lt;&gt;""""))))-1), IF('To Order'!$A2328=COL"&amp;"UMNS($A2328:H2347), H2327&amp;RIGHT(INDIRECT(ADDRESS(ROW(H2328)-1, 'From Order'!$A2328)), 1), H2327))"),"")</f>
        <v/>
      </c>
      <c r="I2328" s="2" t="str">
        <f>IFERROR(__xludf.DUMMYFUNCTION("IF('From Order'!$A2328=COLUMNS($A2328:I2347), LEFT(INDEX(FILTER(I$1:I2327, I$1:I2327&lt;&gt;""""),COUNTA(FILTER(I$1:I2327, I$1:I2327&lt;&gt;""""))), LEN(INDEX(FILTER(I$1:I2327, I$1:I2327&lt;&gt;""""),COUNTA(FILTER(I$1:I2327, I$1:I2327&lt;&gt;""""))))-1), IF('To Order'!$A2328=COL"&amp;"UMNS($A2328:I2347), I2327&amp;RIGHT(INDIRECT(ADDRESS(ROW(I2328)-1, 'From Order'!$A2328)), 1), I2327))"),"DDDVQZDMTTGMJRRLPSSTMZH")</f>
        <v>DDDVQZDMTTGMJRRLPSSTMZH</v>
      </c>
    </row>
    <row r="2329">
      <c r="A2329" s="2" t="str">
        <f>IFERROR(__xludf.DUMMYFUNCTION("IF('From Order'!$A2329=COLUMNS($A2329:A2348), LEFT(INDEX(FILTER(A$1:A2328, A$1:A2328&lt;&gt;""""),COUNTA(FILTER(A$1:A2328, A$1:A2328&lt;&gt;""""))), LEN(INDEX(FILTER(A$1:A2328, A$1:A2328&lt;&gt;""""),COUNTA(FILTER(A$1:A2328, A$1:A2328&lt;&gt;""""))))-1), IF('To Order'!$A2329=COL"&amp;"UMNS($A2329:A2348), A2328&amp;RIGHT(INDIRECT(ADDRESS(ROW(A2329)-1, 'From Order'!$A2329)), 1), A2328))"),"")</f>
        <v/>
      </c>
      <c r="B2329" s="2" t="str">
        <f>IFERROR(__xludf.DUMMYFUNCTION("IF('From Order'!$A2329=COLUMNS($A2329:B2348), LEFT(INDEX(FILTER(B$1:B2328, B$1:B2328&lt;&gt;""""),COUNTA(FILTER(B$1:B2328, B$1:B2328&lt;&gt;""""))), LEN(INDEX(FILTER(B$1:B2328, B$1:B2328&lt;&gt;""""),COUNTA(FILTER(B$1:B2328, B$1:B2328&lt;&gt;""""))))-1), IF('To Order'!$A2329=COL"&amp;"UMNS($A2329:B2348), B2328&amp;RIGHT(INDIRECT(ADDRESS(ROW(B2329)-1, 'From Order'!$A2329)), 1), B2328))"),"")</f>
        <v/>
      </c>
      <c r="C2329" s="2" t="str">
        <f>IFERROR(__xludf.DUMMYFUNCTION("IF('From Order'!$A2329=COLUMNS($A2329:C2348), LEFT(INDEX(FILTER(C$1:C2328, C$1:C2328&lt;&gt;""""),COUNTA(FILTER(C$1:C2328, C$1:C2328&lt;&gt;""""))), LEN(INDEX(FILTER(C$1:C2328, C$1:C2328&lt;&gt;""""),COUNTA(FILTER(C$1:C2328, C$1:C2328&lt;&gt;""""))))-1), IF('To Order'!$A2329=COL"&amp;"UMNS($A2329:C2348), C2328&amp;RIGHT(INDIRECT(ADDRESS(ROW(C2329)-1, 'From Order'!$A2329)), 1), C2328))"),"VBJV")</f>
        <v>VBJV</v>
      </c>
      <c r="D2329" s="2" t="str">
        <f>IFERROR(__xludf.DUMMYFUNCTION("IF('From Order'!$A2329=COLUMNS($A2329:D2348), LEFT(INDEX(FILTER(D$1:D2328, D$1:D2328&lt;&gt;""""),COUNTA(FILTER(D$1:D2328, D$1:D2328&lt;&gt;""""))), LEN(INDEX(FILTER(D$1:D2328, D$1:D2328&lt;&gt;""""),COUNTA(FILTER(D$1:D2328, D$1:D2328&lt;&gt;""""))))-1), IF('To Order'!$A2329=COL"&amp;"UMNS($A2329:D2348), D2328&amp;RIGHT(INDIRECT(ADDRESS(ROW(D2329)-1, 'From Order'!$A2329)), 1), D2328))"),"GRD")</f>
        <v>GRD</v>
      </c>
      <c r="E2329" s="2" t="str">
        <f>IFERROR(__xludf.DUMMYFUNCTION("IF('From Order'!$A2329=COLUMNS($A2329:E2348), LEFT(INDEX(FILTER(E$1:E2328, E$1:E2328&lt;&gt;""""),COUNTA(FILTER(E$1:E2328, E$1:E2328&lt;&gt;""""))), LEN(INDEX(FILTER(E$1:E2328, E$1:E2328&lt;&gt;""""),COUNTA(FILTER(E$1:E2328, E$1:E2328&lt;&gt;""""))))-1), IF('To Order'!$A2329=COL"&amp;"UMNS($A2329:E2348), E2328&amp;RIGHT(INDIRECT(ADDRESS(ROW(E2329)-1, 'From Order'!$A2329)), 1), E2328))"),"BRPH")</f>
        <v>BRPH</v>
      </c>
      <c r="F2329" s="2" t="str">
        <f>IFERROR(__xludf.DUMMYFUNCTION("IF('From Order'!$A2329=COLUMNS($A2329:F2348), LEFT(INDEX(FILTER(F$1:F2328, F$1:F2328&lt;&gt;""""),COUNTA(FILTER(F$1:F2328, F$1:F2328&lt;&gt;""""))), LEN(INDEX(FILTER(F$1:F2328, F$1:F2328&lt;&gt;""""),COUNTA(FILTER(F$1:F2328, F$1:F2328&lt;&gt;""""))))-1), IF('To Order'!$A2329=COL"&amp;"UMNS($A2329:F2348), F2328&amp;RIGHT(INDIRECT(ADDRESS(ROW(F2329)-1, 'From Order'!$A2329)), 1), F2328))"),"FJPSRQTT")</f>
        <v>FJPSRQTT</v>
      </c>
      <c r="G2329" s="2" t="str">
        <f>IFERROR(__xludf.DUMMYFUNCTION("IF('From Order'!$A2329=COLUMNS($A2329:G2348), LEFT(INDEX(FILTER(G$1:G2328, G$1:G2328&lt;&gt;""""),COUNTA(FILTER(G$1:G2328, G$1:G2328&lt;&gt;""""))), LEN(INDEX(FILTER(G$1:G2328, G$1:G2328&lt;&gt;""""),COUNTA(FILTER(G$1:G2328, G$1:G2328&lt;&gt;""""))))-1), IF('To Order'!$A2329=COL"&amp;"UMNS($A2329:G2348), G2328&amp;RIGHT(INDIRECT(ADDRESS(ROW(G2329)-1, 'From Order'!$A2329)), 1), G2328))"),"BWDCCSZHTWLLFBC")</f>
        <v>BWDCCSZHTWLLFBC</v>
      </c>
      <c r="H2329" s="2" t="str">
        <f>IFERROR(__xludf.DUMMYFUNCTION("IF('From Order'!$A2329=COLUMNS($A2329:H2348), LEFT(INDEX(FILTER(H$1:H2328, H$1:H2328&lt;&gt;""""),COUNTA(FILTER(H$1:H2328, H$1:H2328&lt;&gt;""""))), LEN(INDEX(FILTER(H$1:H2328, H$1:H2328&lt;&gt;""""),COUNTA(FILTER(H$1:H2328, H$1:H2328&lt;&gt;""""))))-1), IF('To Order'!$A2329=COL"&amp;"UMNS($A2329:H2348), H2328&amp;RIGHT(INDIRECT(ADDRESS(ROW(H2329)-1, 'From Order'!$A2329)), 1), H2328))"),"")</f>
        <v/>
      </c>
      <c r="I2329" s="2" t="str">
        <f>IFERROR(__xludf.DUMMYFUNCTION("IF('From Order'!$A2329=COLUMNS($A2329:I2348), LEFT(INDEX(FILTER(I$1:I2328, I$1:I2328&lt;&gt;""""),COUNTA(FILTER(I$1:I2328, I$1:I2328&lt;&gt;""""))), LEN(INDEX(FILTER(I$1:I2328, I$1:I2328&lt;&gt;""""),COUNTA(FILTER(I$1:I2328, I$1:I2328&lt;&gt;""""))))-1), IF('To Order'!$A2329=COL"&amp;"UMNS($A2329:I2348), I2328&amp;RIGHT(INDIRECT(ADDRESS(ROW(I2329)-1, 'From Order'!$A2329)), 1), I2328))"),"DDDVQZDMTTGMJRRLPSSTMZ")</f>
        <v>DDDVQZDMTTGMJRRLPSSTMZ</v>
      </c>
    </row>
    <row r="2330">
      <c r="A2330" s="2" t="str">
        <f>IFERROR(__xludf.DUMMYFUNCTION("IF('From Order'!$A2330=COLUMNS($A2330:A2349), LEFT(INDEX(FILTER(A$1:A2329, A$1:A2329&lt;&gt;""""),COUNTA(FILTER(A$1:A2329, A$1:A2329&lt;&gt;""""))), LEN(INDEX(FILTER(A$1:A2329, A$1:A2329&lt;&gt;""""),COUNTA(FILTER(A$1:A2329, A$1:A2329&lt;&gt;""""))))-1), IF('To Order'!$A2330=COL"&amp;"UMNS($A2330:A2349), A2329&amp;RIGHT(INDIRECT(ADDRESS(ROW(A2330)-1, 'From Order'!$A2330)), 1), A2329))"),"")</f>
        <v/>
      </c>
      <c r="B2330" s="2" t="str">
        <f>IFERROR(__xludf.DUMMYFUNCTION("IF('From Order'!$A2330=COLUMNS($A2330:B2349), LEFT(INDEX(FILTER(B$1:B2329, B$1:B2329&lt;&gt;""""),COUNTA(FILTER(B$1:B2329, B$1:B2329&lt;&gt;""""))), LEN(INDEX(FILTER(B$1:B2329, B$1:B2329&lt;&gt;""""),COUNTA(FILTER(B$1:B2329, B$1:B2329&lt;&gt;""""))))-1), IF('To Order'!$A2330=COL"&amp;"UMNS($A2330:B2349), B2329&amp;RIGHT(INDIRECT(ADDRESS(ROW(B2330)-1, 'From Order'!$A2330)), 1), B2329))"),"")</f>
        <v/>
      </c>
      <c r="C2330" s="2" t="str">
        <f>IFERROR(__xludf.DUMMYFUNCTION("IF('From Order'!$A2330=COLUMNS($A2330:C2349), LEFT(INDEX(FILTER(C$1:C2329, C$1:C2329&lt;&gt;""""),COUNTA(FILTER(C$1:C2329, C$1:C2329&lt;&gt;""""))), LEN(INDEX(FILTER(C$1:C2329, C$1:C2329&lt;&gt;""""),COUNTA(FILTER(C$1:C2329, C$1:C2329&lt;&gt;""""))))-1), IF('To Order'!$A2330=COL"&amp;"UMNS($A2330:C2349), C2329&amp;RIGHT(INDIRECT(ADDRESS(ROW(C2330)-1, 'From Order'!$A2330)), 1), C2329))"),"VBJV")</f>
        <v>VBJV</v>
      </c>
      <c r="D2330" s="2" t="str">
        <f>IFERROR(__xludf.DUMMYFUNCTION("IF('From Order'!$A2330=COLUMNS($A2330:D2349), LEFT(INDEX(FILTER(D$1:D2329, D$1:D2329&lt;&gt;""""),COUNTA(FILTER(D$1:D2329, D$1:D2329&lt;&gt;""""))), LEN(INDEX(FILTER(D$1:D2329, D$1:D2329&lt;&gt;""""),COUNTA(FILTER(D$1:D2329, D$1:D2329&lt;&gt;""""))))-1), IF('To Order'!$A2330=COL"&amp;"UMNS($A2330:D2349), D2329&amp;RIGHT(INDIRECT(ADDRESS(ROW(D2330)-1, 'From Order'!$A2330)), 1), D2329))"),"GRD")</f>
        <v>GRD</v>
      </c>
      <c r="E2330" s="2" t="str">
        <f>IFERROR(__xludf.DUMMYFUNCTION("IF('From Order'!$A2330=COLUMNS($A2330:E2349), LEFT(INDEX(FILTER(E$1:E2329, E$1:E2329&lt;&gt;""""),COUNTA(FILTER(E$1:E2329, E$1:E2329&lt;&gt;""""))), LEN(INDEX(FILTER(E$1:E2329, E$1:E2329&lt;&gt;""""),COUNTA(FILTER(E$1:E2329, E$1:E2329&lt;&gt;""""))))-1), IF('To Order'!$A2330=COL"&amp;"UMNS($A2330:E2349), E2329&amp;RIGHT(INDIRECT(ADDRESS(ROW(E2330)-1, 'From Order'!$A2330)), 1), E2329))"),"BRPHZ")</f>
        <v>BRPHZ</v>
      </c>
      <c r="F2330" s="2" t="str">
        <f>IFERROR(__xludf.DUMMYFUNCTION("IF('From Order'!$A2330=COLUMNS($A2330:F2349), LEFT(INDEX(FILTER(F$1:F2329, F$1:F2329&lt;&gt;""""),COUNTA(FILTER(F$1:F2329, F$1:F2329&lt;&gt;""""))), LEN(INDEX(FILTER(F$1:F2329, F$1:F2329&lt;&gt;""""),COUNTA(FILTER(F$1:F2329, F$1:F2329&lt;&gt;""""))))-1), IF('To Order'!$A2330=COL"&amp;"UMNS($A2330:F2349), F2329&amp;RIGHT(INDIRECT(ADDRESS(ROW(F2330)-1, 'From Order'!$A2330)), 1), F2329))"),"FJPSRQTT")</f>
        <v>FJPSRQTT</v>
      </c>
      <c r="G2330" s="2" t="str">
        <f>IFERROR(__xludf.DUMMYFUNCTION("IF('From Order'!$A2330=COLUMNS($A2330:G2349), LEFT(INDEX(FILTER(G$1:G2329, G$1:G2329&lt;&gt;""""),COUNTA(FILTER(G$1:G2329, G$1:G2329&lt;&gt;""""))), LEN(INDEX(FILTER(G$1:G2329, G$1:G2329&lt;&gt;""""),COUNTA(FILTER(G$1:G2329, G$1:G2329&lt;&gt;""""))))-1), IF('To Order'!$A2330=COL"&amp;"UMNS($A2330:G2349), G2329&amp;RIGHT(INDIRECT(ADDRESS(ROW(G2330)-1, 'From Order'!$A2330)), 1), G2329))"),"BWDCCSZHTWLLFBC")</f>
        <v>BWDCCSZHTWLLFBC</v>
      </c>
      <c r="H2330" s="2" t="str">
        <f>IFERROR(__xludf.DUMMYFUNCTION("IF('From Order'!$A2330=COLUMNS($A2330:H2349), LEFT(INDEX(FILTER(H$1:H2329, H$1:H2329&lt;&gt;""""),COUNTA(FILTER(H$1:H2329, H$1:H2329&lt;&gt;""""))), LEN(INDEX(FILTER(H$1:H2329, H$1:H2329&lt;&gt;""""),COUNTA(FILTER(H$1:H2329, H$1:H2329&lt;&gt;""""))))-1), IF('To Order'!$A2330=COL"&amp;"UMNS($A2330:H2349), H2329&amp;RIGHT(INDIRECT(ADDRESS(ROW(H2330)-1, 'From Order'!$A2330)), 1), H2329))"),"")</f>
        <v/>
      </c>
      <c r="I2330" s="2" t="str">
        <f>IFERROR(__xludf.DUMMYFUNCTION("IF('From Order'!$A2330=COLUMNS($A2330:I2349), LEFT(INDEX(FILTER(I$1:I2329, I$1:I2329&lt;&gt;""""),COUNTA(FILTER(I$1:I2329, I$1:I2329&lt;&gt;""""))), LEN(INDEX(FILTER(I$1:I2329, I$1:I2329&lt;&gt;""""),COUNTA(FILTER(I$1:I2329, I$1:I2329&lt;&gt;""""))))-1), IF('To Order'!$A2330=COL"&amp;"UMNS($A2330:I2349), I2329&amp;RIGHT(INDIRECT(ADDRESS(ROW(I2330)-1, 'From Order'!$A2330)), 1), I2329))"),"DDDVQZDMTTGMJRRLPSSTM")</f>
        <v>DDDVQZDMTTGMJRRLPSSTM</v>
      </c>
    </row>
    <row r="2331">
      <c r="A2331" s="2" t="str">
        <f>IFERROR(__xludf.DUMMYFUNCTION("IF('From Order'!$A2331=COLUMNS($A2331:A2350), LEFT(INDEX(FILTER(A$1:A2330, A$1:A2330&lt;&gt;""""),COUNTA(FILTER(A$1:A2330, A$1:A2330&lt;&gt;""""))), LEN(INDEX(FILTER(A$1:A2330, A$1:A2330&lt;&gt;""""),COUNTA(FILTER(A$1:A2330, A$1:A2330&lt;&gt;""""))))-1), IF('To Order'!$A2331=COL"&amp;"UMNS($A2331:A2350), A2330&amp;RIGHT(INDIRECT(ADDRESS(ROW(A2331)-1, 'From Order'!$A2331)), 1), A2330))"),"")</f>
        <v/>
      </c>
      <c r="B2331" s="2" t="str">
        <f>IFERROR(__xludf.DUMMYFUNCTION("IF('From Order'!$A2331=COLUMNS($A2331:B2350), LEFT(INDEX(FILTER(B$1:B2330, B$1:B2330&lt;&gt;""""),COUNTA(FILTER(B$1:B2330, B$1:B2330&lt;&gt;""""))), LEN(INDEX(FILTER(B$1:B2330, B$1:B2330&lt;&gt;""""),COUNTA(FILTER(B$1:B2330, B$1:B2330&lt;&gt;""""))))-1), IF('To Order'!$A2331=COL"&amp;"UMNS($A2331:B2350), B2330&amp;RIGHT(INDIRECT(ADDRESS(ROW(B2331)-1, 'From Order'!$A2331)), 1), B2330))"),"")</f>
        <v/>
      </c>
      <c r="C2331" s="2" t="str">
        <f>IFERROR(__xludf.DUMMYFUNCTION("IF('From Order'!$A2331=COLUMNS($A2331:C2350), LEFT(INDEX(FILTER(C$1:C2330, C$1:C2330&lt;&gt;""""),COUNTA(FILTER(C$1:C2330, C$1:C2330&lt;&gt;""""))), LEN(INDEX(FILTER(C$1:C2330, C$1:C2330&lt;&gt;""""),COUNTA(FILTER(C$1:C2330, C$1:C2330&lt;&gt;""""))))-1), IF('To Order'!$A2331=COL"&amp;"UMNS($A2331:C2350), C2330&amp;RIGHT(INDIRECT(ADDRESS(ROW(C2331)-1, 'From Order'!$A2331)), 1), C2330))"),"VBJV")</f>
        <v>VBJV</v>
      </c>
      <c r="D2331" s="2" t="str">
        <f>IFERROR(__xludf.DUMMYFUNCTION("IF('From Order'!$A2331=COLUMNS($A2331:D2350), LEFT(INDEX(FILTER(D$1:D2330, D$1:D2330&lt;&gt;""""),COUNTA(FILTER(D$1:D2330, D$1:D2330&lt;&gt;""""))), LEN(INDEX(FILTER(D$1:D2330, D$1:D2330&lt;&gt;""""),COUNTA(FILTER(D$1:D2330, D$1:D2330&lt;&gt;""""))))-1), IF('To Order'!$A2331=COL"&amp;"UMNS($A2331:D2350), D2330&amp;RIGHT(INDIRECT(ADDRESS(ROW(D2331)-1, 'From Order'!$A2331)), 1), D2330))"),"GRD")</f>
        <v>GRD</v>
      </c>
      <c r="E2331" s="2" t="str">
        <f>IFERROR(__xludf.DUMMYFUNCTION("IF('From Order'!$A2331=COLUMNS($A2331:E2350), LEFT(INDEX(FILTER(E$1:E2330, E$1:E2330&lt;&gt;""""),COUNTA(FILTER(E$1:E2330, E$1:E2330&lt;&gt;""""))), LEN(INDEX(FILTER(E$1:E2330, E$1:E2330&lt;&gt;""""),COUNTA(FILTER(E$1:E2330, E$1:E2330&lt;&gt;""""))))-1), IF('To Order'!$A2331=COL"&amp;"UMNS($A2331:E2350), E2330&amp;RIGHT(INDIRECT(ADDRESS(ROW(E2331)-1, 'From Order'!$A2331)), 1), E2330))"),"BRPHZM")</f>
        <v>BRPHZM</v>
      </c>
      <c r="F2331" s="2" t="str">
        <f>IFERROR(__xludf.DUMMYFUNCTION("IF('From Order'!$A2331=COLUMNS($A2331:F2350), LEFT(INDEX(FILTER(F$1:F2330, F$1:F2330&lt;&gt;""""),COUNTA(FILTER(F$1:F2330, F$1:F2330&lt;&gt;""""))), LEN(INDEX(FILTER(F$1:F2330, F$1:F2330&lt;&gt;""""),COUNTA(FILTER(F$1:F2330, F$1:F2330&lt;&gt;""""))))-1), IF('To Order'!$A2331=COL"&amp;"UMNS($A2331:F2350), F2330&amp;RIGHT(INDIRECT(ADDRESS(ROW(F2331)-1, 'From Order'!$A2331)), 1), F2330))"),"FJPSRQTT")</f>
        <v>FJPSRQTT</v>
      </c>
      <c r="G2331" s="2" t="str">
        <f>IFERROR(__xludf.DUMMYFUNCTION("IF('From Order'!$A2331=COLUMNS($A2331:G2350), LEFT(INDEX(FILTER(G$1:G2330, G$1:G2330&lt;&gt;""""),COUNTA(FILTER(G$1:G2330, G$1:G2330&lt;&gt;""""))), LEN(INDEX(FILTER(G$1:G2330, G$1:G2330&lt;&gt;""""),COUNTA(FILTER(G$1:G2330, G$1:G2330&lt;&gt;""""))))-1), IF('To Order'!$A2331=COL"&amp;"UMNS($A2331:G2350), G2330&amp;RIGHT(INDIRECT(ADDRESS(ROW(G2331)-1, 'From Order'!$A2331)), 1), G2330))"),"BWDCCSZHTWLLFBC")</f>
        <v>BWDCCSZHTWLLFBC</v>
      </c>
      <c r="H2331" s="2" t="str">
        <f>IFERROR(__xludf.DUMMYFUNCTION("IF('From Order'!$A2331=COLUMNS($A2331:H2350), LEFT(INDEX(FILTER(H$1:H2330, H$1:H2330&lt;&gt;""""),COUNTA(FILTER(H$1:H2330, H$1:H2330&lt;&gt;""""))), LEN(INDEX(FILTER(H$1:H2330, H$1:H2330&lt;&gt;""""),COUNTA(FILTER(H$1:H2330, H$1:H2330&lt;&gt;""""))))-1), IF('To Order'!$A2331=COL"&amp;"UMNS($A2331:H2350), H2330&amp;RIGHT(INDIRECT(ADDRESS(ROW(H2331)-1, 'From Order'!$A2331)), 1), H2330))"),"")</f>
        <v/>
      </c>
      <c r="I2331" s="2" t="str">
        <f>IFERROR(__xludf.DUMMYFUNCTION("IF('From Order'!$A2331=COLUMNS($A2331:I2350), LEFT(INDEX(FILTER(I$1:I2330, I$1:I2330&lt;&gt;""""),COUNTA(FILTER(I$1:I2330, I$1:I2330&lt;&gt;""""))), LEN(INDEX(FILTER(I$1:I2330, I$1:I2330&lt;&gt;""""),COUNTA(FILTER(I$1:I2330, I$1:I2330&lt;&gt;""""))))-1), IF('To Order'!$A2331=COL"&amp;"UMNS($A2331:I2350), I2330&amp;RIGHT(INDIRECT(ADDRESS(ROW(I2331)-1, 'From Order'!$A2331)), 1), I2330))"),"DDDVQZDMTTGMJRRLPSST")</f>
        <v>DDDVQZDMTTGMJRRLPSST</v>
      </c>
    </row>
    <row r="2332">
      <c r="A2332" s="2" t="str">
        <f>IFERROR(__xludf.DUMMYFUNCTION("IF('From Order'!$A2332=COLUMNS($A2332:A2351), LEFT(INDEX(FILTER(A$1:A2331, A$1:A2331&lt;&gt;""""),COUNTA(FILTER(A$1:A2331, A$1:A2331&lt;&gt;""""))), LEN(INDEX(FILTER(A$1:A2331, A$1:A2331&lt;&gt;""""),COUNTA(FILTER(A$1:A2331, A$1:A2331&lt;&gt;""""))))-1), IF('To Order'!$A2332=COL"&amp;"UMNS($A2332:A2351), A2331&amp;RIGHT(INDIRECT(ADDRESS(ROW(A2332)-1, 'From Order'!$A2332)), 1), A2331))"),"")</f>
        <v/>
      </c>
      <c r="B2332" s="2" t="str">
        <f>IFERROR(__xludf.DUMMYFUNCTION("IF('From Order'!$A2332=COLUMNS($A2332:B2351), LEFT(INDEX(FILTER(B$1:B2331, B$1:B2331&lt;&gt;""""),COUNTA(FILTER(B$1:B2331, B$1:B2331&lt;&gt;""""))), LEN(INDEX(FILTER(B$1:B2331, B$1:B2331&lt;&gt;""""),COUNTA(FILTER(B$1:B2331, B$1:B2331&lt;&gt;""""))))-1), IF('To Order'!$A2332=COL"&amp;"UMNS($A2332:B2351), B2331&amp;RIGHT(INDIRECT(ADDRESS(ROW(B2332)-1, 'From Order'!$A2332)), 1), B2331))"),"")</f>
        <v/>
      </c>
      <c r="C2332" s="2" t="str">
        <f>IFERROR(__xludf.DUMMYFUNCTION("IF('From Order'!$A2332=COLUMNS($A2332:C2351), LEFT(INDEX(FILTER(C$1:C2331, C$1:C2331&lt;&gt;""""),COUNTA(FILTER(C$1:C2331, C$1:C2331&lt;&gt;""""))), LEN(INDEX(FILTER(C$1:C2331, C$1:C2331&lt;&gt;""""),COUNTA(FILTER(C$1:C2331, C$1:C2331&lt;&gt;""""))))-1), IF('To Order'!$A2332=COL"&amp;"UMNS($A2332:C2351), C2331&amp;RIGHT(INDIRECT(ADDRESS(ROW(C2332)-1, 'From Order'!$A2332)), 1), C2331))"),"VBJV")</f>
        <v>VBJV</v>
      </c>
      <c r="D2332" s="2" t="str">
        <f>IFERROR(__xludf.DUMMYFUNCTION("IF('From Order'!$A2332=COLUMNS($A2332:D2351), LEFT(INDEX(FILTER(D$1:D2331, D$1:D2331&lt;&gt;""""),COUNTA(FILTER(D$1:D2331, D$1:D2331&lt;&gt;""""))), LEN(INDEX(FILTER(D$1:D2331, D$1:D2331&lt;&gt;""""),COUNTA(FILTER(D$1:D2331, D$1:D2331&lt;&gt;""""))))-1), IF('To Order'!$A2332=COL"&amp;"UMNS($A2332:D2351), D2331&amp;RIGHT(INDIRECT(ADDRESS(ROW(D2332)-1, 'From Order'!$A2332)), 1), D2331))"),"GRD")</f>
        <v>GRD</v>
      </c>
      <c r="E2332" s="2" t="str">
        <f>IFERROR(__xludf.DUMMYFUNCTION("IF('From Order'!$A2332=COLUMNS($A2332:E2351), LEFT(INDEX(FILTER(E$1:E2331, E$1:E2331&lt;&gt;""""),COUNTA(FILTER(E$1:E2331, E$1:E2331&lt;&gt;""""))), LEN(INDEX(FILTER(E$1:E2331, E$1:E2331&lt;&gt;""""),COUNTA(FILTER(E$1:E2331, E$1:E2331&lt;&gt;""""))))-1), IF('To Order'!$A2332=COL"&amp;"UMNS($A2332:E2351), E2331&amp;RIGHT(INDIRECT(ADDRESS(ROW(E2332)-1, 'From Order'!$A2332)), 1), E2331))"),"BRPHZMT")</f>
        <v>BRPHZMT</v>
      </c>
      <c r="F2332" s="2" t="str">
        <f>IFERROR(__xludf.DUMMYFUNCTION("IF('From Order'!$A2332=COLUMNS($A2332:F2351), LEFT(INDEX(FILTER(F$1:F2331, F$1:F2331&lt;&gt;""""),COUNTA(FILTER(F$1:F2331, F$1:F2331&lt;&gt;""""))), LEN(INDEX(FILTER(F$1:F2331, F$1:F2331&lt;&gt;""""),COUNTA(FILTER(F$1:F2331, F$1:F2331&lt;&gt;""""))))-1), IF('To Order'!$A2332=COL"&amp;"UMNS($A2332:F2351), F2331&amp;RIGHT(INDIRECT(ADDRESS(ROW(F2332)-1, 'From Order'!$A2332)), 1), F2331))"),"FJPSRQTT")</f>
        <v>FJPSRQTT</v>
      </c>
      <c r="G2332" s="2" t="str">
        <f>IFERROR(__xludf.DUMMYFUNCTION("IF('From Order'!$A2332=COLUMNS($A2332:G2351), LEFT(INDEX(FILTER(G$1:G2331, G$1:G2331&lt;&gt;""""),COUNTA(FILTER(G$1:G2331, G$1:G2331&lt;&gt;""""))), LEN(INDEX(FILTER(G$1:G2331, G$1:G2331&lt;&gt;""""),COUNTA(FILTER(G$1:G2331, G$1:G2331&lt;&gt;""""))))-1), IF('To Order'!$A2332=COL"&amp;"UMNS($A2332:G2351), G2331&amp;RIGHT(INDIRECT(ADDRESS(ROW(G2332)-1, 'From Order'!$A2332)), 1), G2331))"),"BWDCCSZHTWLLFBC")</f>
        <v>BWDCCSZHTWLLFBC</v>
      </c>
      <c r="H2332" s="2" t="str">
        <f>IFERROR(__xludf.DUMMYFUNCTION("IF('From Order'!$A2332=COLUMNS($A2332:H2351), LEFT(INDEX(FILTER(H$1:H2331, H$1:H2331&lt;&gt;""""),COUNTA(FILTER(H$1:H2331, H$1:H2331&lt;&gt;""""))), LEN(INDEX(FILTER(H$1:H2331, H$1:H2331&lt;&gt;""""),COUNTA(FILTER(H$1:H2331, H$1:H2331&lt;&gt;""""))))-1), IF('To Order'!$A2332=COL"&amp;"UMNS($A2332:H2351), H2331&amp;RIGHT(INDIRECT(ADDRESS(ROW(H2332)-1, 'From Order'!$A2332)), 1), H2331))"),"")</f>
        <v/>
      </c>
      <c r="I2332" s="2" t="str">
        <f>IFERROR(__xludf.DUMMYFUNCTION("IF('From Order'!$A2332=COLUMNS($A2332:I2351), LEFT(INDEX(FILTER(I$1:I2331, I$1:I2331&lt;&gt;""""),COUNTA(FILTER(I$1:I2331, I$1:I2331&lt;&gt;""""))), LEN(INDEX(FILTER(I$1:I2331, I$1:I2331&lt;&gt;""""),COUNTA(FILTER(I$1:I2331, I$1:I2331&lt;&gt;""""))))-1), IF('To Order'!$A2332=COL"&amp;"UMNS($A2332:I2351), I2331&amp;RIGHT(INDIRECT(ADDRESS(ROW(I2332)-1, 'From Order'!$A2332)), 1), I2331))"),"DDDVQZDMTTGMJRRLPSS")</f>
        <v>DDDVQZDMTTGMJRRLPSS</v>
      </c>
    </row>
    <row r="2333">
      <c r="A2333" s="2" t="str">
        <f>IFERROR(__xludf.DUMMYFUNCTION("IF('From Order'!$A2333=COLUMNS($A2333:A2352), LEFT(INDEX(FILTER(A$1:A2332, A$1:A2332&lt;&gt;""""),COUNTA(FILTER(A$1:A2332, A$1:A2332&lt;&gt;""""))), LEN(INDEX(FILTER(A$1:A2332, A$1:A2332&lt;&gt;""""),COUNTA(FILTER(A$1:A2332, A$1:A2332&lt;&gt;""""))))-1), IF('To Order'!$A2333=COL"&amp;"UMNS($A2333:A2352), A2332&amp;RIGHT(INDIRECT(ADDRESS(ROW(A2333)-1, 'From Order'!$A2333)), 1), A2332))"),"")</f>
        <v/>
      </c>
      <c r="B2333" s="2" t="str">
        <f>IFERROR(__xludf.DUMMYFUNCTION("IF('From Order'!$A2333=COLUMNS($A2333:B2352), LEFT(INDEX(FILTER(B$1:B2332, B$1:B2332&lt;&gt;""""),COUNTA(FILTER(B$1:B2332, B$1:B2332&lt;&gt;""""))), LEN(INDEX(FILTER(B$1:B2332, B$1:B2332&lt;&gt;""""),COUNTA(FILTER(B$1:B2332, B$1:B2332&lt;&gt;""""))))-1), IF('To Order'!$A2333=COL"&amp;"UMNS($A2333:B2352), B2332&amp;RIGHT(INDIRECT(ADDRESS(ROW(B2333)-1, 'From Order'!$A2333)), 1), B2332))"),"")</f>
        <v/>
      </c>
      <c r="C2333" s="2" t="str">
        <f>IFERROR(__xludf.DUMMYFUNCTION("IF('From Order'!$A2333=COLUMNS($A2333:C2352), LEFT(INDEX(FILTER(C$1:C2332, C$1:C2332&lt;&gt;""""),COUNTA(FILTER(C$1:C2332, C$1:C2332&lt;&gt;""""))), LEN(INDEX(FILTER(C$1:C2332, C$1:C2332&lt;&gt;""""),COUNTA(FILTER(C$1:C2332, C$1:C2332&lt;&gt;""""))))-1), IF('To Order'!$A2333=COL"&amp;"UMNS($A2333:C2352), C2332&amp;RIGHT(INDIRECT(ADDRESS(ROW(C2333)-1, 'From Order'!$A2333)), 1), C2332))"),"VBJV")</f>
        <v>VBJV</v>
      </c>
      <c r="D2333" s="2" t="str">
        <f>IFERROR(__xludf.DUMMYFUNCTION("IF('From Order'!$A2333=COLUMNS($A2333:D2352), LEFT(INDEX(FILTER(D$1:D2332, D$1:D2332&lt;&gt;""""),COUNTA(FILTER(D$1:D2332, D$1:D2332&lt;&gt;""""))), LEN(INDEX(FILTER(D$1:D2332, D$1:D2332&lt;&gt;""""),COUNTA(FILTER(D$1:D2332, D$1:D2332&lt;&gt;""""))))-1), IF('To Order'!$A2333=COL"&amp;"UMNS($A2333:D2352), D2332&amp;RIGHT(INDIRECT(ADDRESS(ROW(D2333)-1, 'From Order'!$A2333)), 1), D2332))"),"GRD")</f>
        <v>GRD</v>
      </c>
      <c r="E2333" s="2" t="str">
        <f>IFERROR(__xludf.DUMMYFUNCTION("IF('From Order'!$A2333=COLUMNS($A2333:E2352), LEFT(INDEX(FILTER(E$1:E2332, E$1:E2332&lt;&gt;""""),COUNTA(FILTER(E$1:E2332, E$1:E2332&lt;&gt;""""))), LEN(INDEX(FILTER(E$1:E2332, E$1:E2332&lt;&gt;""""),COUNTA(FILTER(E$1:E2332, E$1:E2332&lt;&gt;""""))))-1), IF('To Order'!$A2333=COL"&amp;"UMNS($A2333:E2352), E2332&amp;RIGHT(INDIRECT(ADDRESS(ROW(E2333)-1, 'From Order'!$A2333)), 1), E2332))"),"BRPHZMTS")</f>
        <v>BRPHZMTS</v>
      </c>
      <c r="F2333" s="2" t="str">
        <f>IFERROR(__xludf.DUMMYFUNCTION("IF('From Order'!$A2333=COLUMNS($A2333:F2352), LEFT(INDEX(FILTER(F$1:F2332, F$1:F2332&lt;&gt;""""),COUNTA(FILTER(F$1:F2332, F$1:F2332&lt;&gt;""""))), LEN(INDEX(FILTER(F$1:F2332, F$1:F2332&lt;&gt;""""),COUNTA(FILTER(F$1:F2332, F$1:F2332&lt;&gt;""""))))-1), IF('To Order'!$A2333=COL"&amp;"UMNS($A2333:F2352), F2332&amp;RIGHT(INDIRECT(ADDRESS(ROW(F2333)-1, 'From Order'!$A2333)), 1), F2332))"),"FJPSRQTT")</f>
        <v>FJPSRQTT</v>
      </c>
      <c r="G2333" s="2" t="str">
        <f>IFERROR(__xludf.DUMMYFUNCTION("IF('From Order'!$A2333=COLUMNS($A2333:G2352), LEFT(INDEX(FILTER(G$1:G2332, G$1:G2332&lt;&gt;""""),COUNTA(FILTER(G$1:G2332, G$1:G2332&lt;&gt;""""))), LEN(INDEX(FILTER(G$1:G2332, G$1:G2332&lt;&gt;""""),COUNTA(FILTER(G$1:G2332, G$1:G2332&lt;&gt;""""))))-1), IF('To Order'!$A2333=COL"&amp;"UMNS($A2333:G2352), G2332&amp;RIGHT(INDIRECT(ADDRESS(ROW(G2333)-1, 'From Order'!$A2333)), 1), G2332))"),"BWDCCSZHTWLLFBC")</f>
        <v>BWDCCSZHTWLLFBC</v>
      </c>
      <c r="H2333" s="2" t="str">
        <f>IFERROR(__xludf.DUMMYFUNCTION("IF('From Order'!$A2333=COLUMNS($A2333:H2352), LEFT(INDEX(FILTER(H$1:H2332, H$1:H2332&lt;&gt;""""),COUNTA(FILTER(H$1:H2332, H$1:H2332&lt;&gt;""""))), LEN(INDEX(FILTER(H$1:H2332, H$1:H2332&lt;&gt;""""),COUNTA(FILTER(H$1:H2332, H$1:H2332&lt;&gt;""""))))-1), IF('To Order'!$A2333=COL"&amp;"UMNS($A2333:H2352), H2332&amp;RIGHT(INDIRECT(ADDRESS(ROW(H2333)-1, 'From Order'!$A2333)), 1), H2332))"),"")</f>
        <v/>
      </c>
      <c r="I2333" s="2" t="str">
        <f>IFERROR(__xludf.DUMMYFUNCTION("IF('From Order'!$A2333=COLUMNS($A2333:I2352), LEFT(INDEX(FILTER(I$1:I2332, I$1:I2332&lt;&gt;""""),COUNTA(FILTER(I$1:I2332, I$1:I2332&lt;&gt;""""))), LEN(INDEX(FILTER(I$1:I2332, I$1:I2332&lt;&gt;""""),COUNTA(FILTER(I$1:I2332, I$1:I2332&lt;&gt;""""))))-1), IF('To Order'!$A2333=COL"&amp;"UMNS($A2333:I2352), I2332&amp;RIGHT(INDIRECT(ADDRESS(ROW(I2333)-1, 'From Order'!$A2333)), 1), I2332))"),"DDDVQZDMTTGMJRRLPS")</f>
        <v>DDDVQZDMTTGMJRRLPS</v>
      </c>
    </row>
    <row r="2334">
      <c r="A2334" s="2" t="str">
        <f>IFERROR(__xludf.DUMMYFUNCTION("IF('From Order'!$A2334=COLUMNS($A2334:A2353), LEFT(INDEX(FILTER(A$1:A2333, A$1:A2333&lt;&gt;""""),COUNTA(FILTER(A$1:A2333, A$1:A2333&lt;&gt;""""))), LEN(INDEX(FILTER(A$1:A2333, A$1:A2333&lt;&gt;""""),COUNTA(FILTER(A$1:A2333, A$1:A2333&lt;&gt;""""))))-1), IF('To Order'!$A2334=COL"&amp;"UMNS($A2334:A2353), A2333&amp;RIGHT(INDIRECT(ADDRESS(ROW(A2334)-1, 'From Order'!$A2334)), 1), A2333))"),"")</f>
        <v/>
      </c>
      <c r="B2334" s="2" t="str">
        <f>IFERROR(__xludf.DUMMYFUNCTION("IF('From Order'!$A2334=COLUMNS($A2334:B2353), LEFT(INDEX(FILTER(B$1:B2333, B$1:B2333&lt;&gt;""""),COUNTA(FILTER(B$1:B2333, B$1:B2333&lt;&gt;""""))), LEN(INDEX(FILTER(B$1:B2333, B$1:B2333&lt;&gt;""""),COUNTA(FILTER(B$1:B2333, B$1:B2333&lt;&gt;""""))))-1), IF('To Order'!$A2334=COL"&amp;"UMNS($A2334:B2353), B2333&amp;RIGHT(INDIRECT(ADDRESS(ROW(B2334)-1, 'From Order'!$A2334)), 1), B2333))"),"")</f>
        <v/>
      </c>
      <c r="C2334" s="2" t="str">
        <f>IFERROR(__xludf.DUMMYFUNCTION("IF('From Order'!$A2334=COLUMNS($A2334:C2353), LEFT(INDEX(FILTER(C$1:C2333, C$1:C2333&lt;&gt;""""),COUNTA(FILTER(C$1:C2333, C$1:C2333&lt;&gt;""""))), LEN(INDEX(FILTER(C$1:C2333, C$1:C2333&lt;&gt;""""),COUNTA(FILTER(C$1:C2333, C$1:C2333&lt;&gt;""""))))-1), IF('To Order'!$A2334=COL"&amp;"UMNS($A2334:C2353), C2333&amp;RIGHT(INDIRECT(ADDRESS(ROW(C2334)-1, 'From Order'!$A2334)), 1), C2333))"),"VBJV")</f>
        <v>VBJV</v>
      </c>
      <c r="D2334" s="2" t="str">
        <f>IFERROR(__xludf.DUMMYFUNCTION("IF('From Order'!$A2334=COLUMNS($A2334:D2353), LEFT(INDEX(FILTER(D$1:D2333, D$1:D2333&lt;&gt;""""),COUNTA(FILTER(D$1:D2333, D$1:D2333&lt;&gt;""""))), LEN(INDEX(FILTER(D$1:D2333, D$1:D2333&lt;&gt;""""),COUNTA(FILTER(D$1:D2333, D$1:D2333&lt;&gt;""""))))-1), IF('To Order'!$A2334=COL"&amp;"UMNS($A2334:D2353), D2333&amp;RIGHT(INDIRECT(ADDRESS(ROW(D2334)-1, 'From Order'!$A2334)), 1), D2333))"),"GRD")</f>
        <v>GRD</v>
      </c>
      <c r="E2334" s="2" t="str">
        <f>IFERROR(__xludf.DUMMYFUNCTION("IF('From Order'!$A2334=COLUMNS($A2334:E2353), LEFT(INDEX(FILTER(E$1:E2333, E$1:E2333&lt;&gt;""""),COUNTA(FILTER(E$1:E2333, E$1:E2333&lt;&gt;""""))), LEN(INDEX(FILTER(E$1:E2333, E$1:E2333&lt;&gt;""""),COUNTA(FILTER(E$1:E2333, E$1:E2333&lt;&gt;""""))))-1), IF('To Order'!$A2334=COL"&amp;"UMNS($A2334:E2353), E2333&amp;RIGHT(INDIRECT(ADDRESS(ROW(E2334)-1, 'From Order'!$A2334)), 1), E2333))"),"BRPHZMTSS")</f>
        <v>BRPHZMTSS</v>
      </c>
      <c r="F2334" s="2" t="str">
        <f>IFERROR(__xludf.DUMMYFUNCTION("IF('From Order'!$A2334=COLUMNS($A2334:F2353), LEFT(INDEX(FILTER(F$1:F2333, F$1:F2333&lt;&gt;""""),COUNTA(FILTER(F$1:F2333, F$1:F2333&lt;&gt;""""))), LEN(INDEX(FILTER(F$1:F2333, F$1:F2333&lt;&gt;""""),COUNTA(FILTER(F$1:F2333, F$1:F2333&lt;&gt;""""))))-1), IF('To Order'!$A2334=COL"&amp;"UMNS($A2334:F2353), F2333&amp;RIGHT(INDIRECT(ADDRESS(ROW(F2334)-1, 'From Order'!$A2334)), 1), F2333))"),"FJPSRQTT")</f>
        <v>FJPSRQTT</v>
      </c>
      <c r="G2334" s="2" t="str">
        <f>IFERROR(__xludf.DUMMYFUNCTION("IF('From Order'!$A2334=COLUMNS($A2334:G2353), LEFT(INDEX(FILTER(G$1:G2333, G$1:G2333&lt;&gt;""""),COUNTA(FILTER(G$1:G2333, G$1:G2333&lt;&gt;""""))), LEN(INDEX(FILTER(G$1:G2333, G$1:G2333&lt;&gt;""""),COUNTA(FILTER(G$1:G2333, G$1:G2333&lt;&gt;""""))))-1), IF('To Order'!$A2334=COL"&amp;"UMNS($A2334:G2353), G2333&amp;RIGHT(INDIRECT(ADDRESS(ROW(G2334)-1, 'From Order'!$A2334)), 1), G2333))"),"BWDCCSZHTWLLFBC")</f>
        <v>BWDCCSZHTWLLFBC</v>
      </c>
      <c r="H2334" s="2" t="str">
        <f>IFERROR(__xludf.DUMMYFUNCTION("IF('From Order'!$A2334=COLUMNS($A2334:H2353), LEFT(INDEX(FILTER(H$1:H2333, H$1:H2333&lt;&gt;""""),COUNTA(FILTER(H$1:H2333, H$1:H2333&lt;&gt;""""))), LEN(INDEX(FILTER(H$1:H2333, H$1:H2333&lt;&gt;""""),COUNTA(FILTER(H$1:H2333, H$1:H2333&lt;&gt;""""))))-1), IF('To Order'!$A2334=COL"&amp;"UMNS($A2334:H2353), H2333&amp;RIGHT(INDIRECT(ADDRESS(ROW(H2334)-1, 'From Order'!$A2334)), 1), H2333))"),"")</f>
        <v/>
      </c>
      <c r="I2334" s="2" t="str">
        <f>IFERROR(__xludf.DUMMYFUNCTION("IF('From Order'!$A2334=COLUMNS($A2334:I2353), LEFT(INDEX(FILTER(I$1:I2333, I$1:I2333&lt;&gt;""""),COUNTA(FILTER(I$1:I2333, I$1:I2333&lt;&gt;""""))), LEN(INDEX(FILTER(I$1:I2333, I$1:I2333&lt;&gt;""""),COUNTA(FILTER(I$1:I2333, I$1:I2333&lt;&gt;""""))))-1), IF('To Order'!$A2334=COL"&amp;"UMNS($A2334:I2353), I2333&amp;RIGHT(INDIRECT(ADDRESS(ROW(I2334)-1, 'From Order'!$A2334)), 1), I2333))"),"DDDVQZDMTTGMJRRLP")</f>
        <v>DDDVQZDMTTGMJRRLP</v>
      </c>
    </row>
    <row r="2335">
      <c r="A2335" s="2" t="str">
        <f>IFERROR(__xludf.DUMMYFUNCTION("IF('From Order'!$A2335=COLUMNS($A2335:A2354), LEFT(INDEX(FILTER(A$1:A2334, A$1:A2334&lt;&gt;""""),COUNTA(FILTER(A$1:A2334, A$1:A2334&lt;&gt;""""))), LEN(INDEX(FILTER(A$1:A2334, A$1:A2334&lt;&gt;""""),COUNTA(FILTER(A$1:A2334, A$1:A2334&lt;&gt;""""))))-1), IF('To Order'!$A2335=COL"&amp;"UMNS($A2335:A2354), A2334&amp;RIGHT(INDIRECT(ADDRESS(ROW(A2335)-1, 'From Order'!$A2335)), 1), A2334))"),"")</f>
        <v/>
      </c>
      <c r="B2335" s="2" t="str">
        <f>IFERROR(__xludf.DUMMYFUNCTION("IF('From Order'!$A2335=COLUMNS($A2335:B2354), LEFT(INDEX(FILTER(B$1:B2334, B$1:B2334&lt;&gt;""""),COUNTA(FILTER(B$1:B2334, B$1:B2334&lt;&gt;""""))), LEN(INDEX(FILTER(B$1:B2334, B$1:B2334&lt;&gt;""""),COUNTA(FILTER(B$1:B2334, B$1:B2334&lt;&gt;""""))))-1), IF('To Order'!$A2335=COL"&amp;"UMNS($A2335:B2354), B2334&amp;RIGHT(INDIRECT(ADDRESS(ROW(B2335)-1, 'From Order'!$A2335)), 1), B2334))"),"")</f>
        <v/>
      </c>
      <c r="C2335" s="2" t="str">
        <f>IFERROR(__xludf.DUMMYFUNCTION("IF('From Order'!$A2335=COLUMNS($A2335:C2354), LEFT(INDEX(FILTER(C$1:C2334, C$1:C2334&lt;&gt;""""),COUNTA(FILTER(C$1:C2334, C$1:C2334&lt;&gt;""""))), LEN(INDEX(FILTER(C$1:C2334, C$1:C2334&lt;&gt;""""),COUNTA(FILTER(C$1:C2334, C$1:C2334&lt;&gt;""""))))-1), IF('To Order'!$A2335=COL"&amp;"UMNS($A2335:C2354), C2334&amp;RIGHT(INDIRECT(ADDRESS(ROW(C2335)-1, 'From Order'!$A2335)), 1), C2334))"),"VBJV")</f>
        <v>VBJV</v>
      </c>
      <c r="D2335" s="2" t="str">
        <f>IFERROR(__xludf.DUMMYFUNCTION("IF('From Order'!$A2335=COLUMNS($A2335:D2354), LEFT(INDEX(FILTER(D$1:D2334, D$1:D2334&lt;&gt;""""),COUNTA(FILTER(D$1:D2334, D$1:D2334&lt;&gt;""""))), LEN(INDEX(FILTER(D$1:D2334, D$1:D2334&lt;&gt;""""),COUNTA(FILTER(D$1:D2334, D$1:D2334&lt;&gt;""""))))-1), IF('To Order'!$A2335=COL"&amp;"UMNS($A2335:D2354), D2334&amp;RIGHT(INDIRECT(ADDRESS(ROW(D2335)-1, 'From Order'!$A2335)), 1), D2334))"),"GRD")</f>
        <v>GRD</v>
      </c>
      <c r="E2335" s="2" t="str">
        <f>IFERROR(__xludf.DUMMYFUNCTION("IF('From Order'!$A2335=COLUMNS($A2335:E2354), LEFT(INDEX(FILTER(E$1:E2334, E$1:E2334&lt;&gt;""""),COUNTA(FILTER(E$1:E2334, E$1:E2334&lt;&gt;""""))), LEN(INDEX(FILTER(E$1:E2334, E$1:E2334&lt;&gt;""""),COUNTA(FILTER(E$1:E2334, E$1:E2334&lt;&gt;""""))))-1), IF('To Order'!$A2335=COL"&amp;"UMNS($A2335:E2354), E2334&amp;RIGHT(INDIRECT(ADDRESS(ROW(E2335)-1, 'From Order'!$A2335)), 1), E2334))"),"BRPHZMTSSP")</f>
        <v>BRPHZMTSSP</v>
      </c>
      <c r="F2335" s="2" t="str">
        <f>IFERROR(__xludf.DUMMYFUNCTION("IF('From Order'!$A2335=COLUMNS($A2335:F2354), LEFT(INDEX(FILTER(F$1:F2334, F$1:F2334&lt;&gt;""""),COUNTA(FILTER(F$1:F2334, F$1:F2334&lt;&gt;""""))), LEN(INDEX(FILTER(F$1:F2334, F$1:F2334&lt;&gt;""""),COUNTA(FILTER(F$1:F2334, F$1:F2334&lt;&gt;""""))))-1), IF('To Order'!$A2335=COL"&amp;"UMNS($A2335:F2354), F2334&amp;RIGHT(INDIRECT(ADDRESS(ROW(F2335)-1, 'From Order'!$A2335)), 1), F2334))"),"FJPSRQTT")</f>
        <v>FJPSRQTT</v>
      </c>
      <c r="G2335" s="2" t="str">
        <f>IFERROR(__xludf.DUMMYFUNCTION("IF('From Order'!$A2335=COLUMNS($A2335:G2354), LEFT(INDEX(FILTER(G$1:G2334, G$1:G2334&lt;&gt;""""),COUNTA(FILTER(G$1:G2334, G$1:G2334&lt;&gt;""""))), LEN(INDEX(FILTER(G$1:G2334, G$1:G2334&lt;&gt;""""),COUNTA(FILTER(G$1:G2334, G$1:G2334&lt;&gt;""""))))-1), IF('To Order'!$A2335=COL"&amp;"UMNS($A2335:G2354), G2334&amp;RIGHT(INDIRECT(ADDRESS(ROW(G2335)-1, 'From Order'!$A2335)), 1), G2334))"),"BWDCCSZHTWLLFBC")</f>
        <v>BWDCCSZHTWLLFBC</v>
      </c>
      <c r="H2335" s="2" t="str">
        <f>IFERROR(__xludf.DUMMYFUNCTION("IF('From Order'!$A2335=COLUMNS($A2335:H2354), LEFT(INDEX(FILTER(H$1:H2334, H$1:H2334&lt;&gt;""""),COUNTA(FILTER(H$1:H2334, H$1:H2334&lt;&gt;""""))), LEN(INDEX(FILTER(H$1:H2334, H$1:H2334&lt;&gt;""""),COUNTA(FILTER(H$1:H2334, H$1:H2334&lt;&gt;""""))))-1), IF('To Order'!$A2335=COL"&amp;"UMNS($A2335:H2354), H2334&amp;RIGHT(INDIRECT(ADDRESS(ROW(H2335)-1, 'From Order'!$A2335)), 1), H2334))"),"")</f>
        <v/>
      </c>
      <c r="I2335" s="2" t="str">
        <f>IFERROR(__xludf.DUMMYFUNCTION("IF('From Order'!$A2335=COLUMNS($A2335:I2354), LEFT(INDEX(FILTER(I$1:I2334, I$1:I2334&lt;&gt;""""),COUNTA(FILTER(I$1:I2334, I$1:I2334&lt;&gt;""""))), LEN(INDEX(FILTER(I$1:I2334, I$1:I2334&lt;&gt;""""),COUNTA(FILTER(I$1:I2334, I$1:I2334&lt;&gt;""""))))-1), IF('To Order'!$A2335=COL"&amp;"UMNS($A2335:I2354), I2334&amp;RIGHT(INDIRECT(ADDRESS(ROW(I2335)-1, 'From Order'!$A2335)), 1), I2334))"),"DDDVQZDMTTGMJRRL")</f>
        <v>DDDVQZDMTTGMJRRL</v>
      </c>
    </row>
    <row r="2336">
      <c r="A2336" s="2" t="str">
        <f>IFERROR(__xludf.DUMMYFUNCTION("IF('From Order'!$A2336=COLUMNS($A2336:A2355), LEFT(INDEX(FILTER(A$1:A2335, A$1:A2335&lt;&gt;""""),COUNTA(FILTER(A$1:A2335, A$1:A2335&lt;&gt;""""))), LEN(INDEX(FILTER(A$1:A2335, A$1:A2335&lt;&gt;""""),COUNTA(FILTER(A$1:A2335, A$1:A2335&lt;&gt;""""))))-1), IF('To Order'!$A2336=COL"&amp;"UMNS($A2336:A2355), A2335&amp;RIGHT(INDIRECT(ADDRESS(ROW(A2336)-1, 'From Order'!$A2336)), 1), A2335))"),"")</f>
        <v/>
      </c>
      <c r="B2336" s="2" t="str">
        <f>IFERROR(__xludf.DUMMYFUNCTION("IF('From Order'!$A2336=COLUMNS($A2336:B2355), LEFT(INDEX(FILTER(B$1:B2335, B$1:B2335&lt;&gt;""""),COUNTA(FILTER(B$1:B2335, B$1:B2335&lt;&gt;""""))), LEN(INDEX(FILTER(B$1:B2335, B$1:B2335&lt;&gt;""""),COUNTA(FILTER(B$1:B2335, B$1:B2335&lt;&gt;""""))))-1), IF('To Order'!$A2336=COL"&amp;"UMNS($A2336:B2355), B2335&amp;RIGHT(INDIRECT(ADDRESS(ROW(B2336)-1, 'From Order'!$A2336)), 1), B2335))"),"")</f>
        <v/>
      </c>
      <c r="C2336" s="2" t="str">
        <f>IFERROR(__xludf.DUMMYFUNCTION("IF('From Order'!$A2336=COLUMNS($A2336:C2355), LEFT(INDEX(FILTER(C$1:C2335, C$1:C2335&lt;&gt;""""),COUNTA(FILTER(C$1:C2335, C$1:C2335&lt;&gt;""""))), LEN(INDEX(FILTER(C$1:C2335, C$1:C2335&lt;&gt;""""),COUNTA(FILTER(C$1:C2335, C$1:C2335&lt;&gt;""""))))-1), IF('To Order'!$A2336=COL"&amp;"UMNS($A2336:C2355), C2335&amp;RIGHT(INDIRECT(ADDRESS(ROW(C2336)-1, 'From Order'!$A2336)), 1), C2335))"),"VBJV")</f>
        <v>VBJV</v>
      </c>
      <c r="D2336" s="2" t="str">
        <f>IFERROR(__xludf.DUMMYFUNCTION("IF('From Order'!$A2336=COLUMNS($A2336:D2355), LEFT(INDEX(FILTER(D$1:D2335, D$1:D2335&lt;&gt;""""),COUNTA(FILTER(D$1:D2335, D$1:D2335&lt;&gt;""""))), LEN(INDEX(FILTER(D$1:D2335, D$1:D2335&lt;&gt;""""),COUNTA(FILTER(D$1:D2335, D$1:D2335&lt;&gt;""""))))-1), IF('To Order'!$A2336=COL"&amp;"UMNS($A2336:D2355), D2335&amp;RIGHT(INDIRECT(ADDRESS(ROW(D2336)-1, 'From Order'!$A2336)), 1), D2335))"),"GRD")</f>
        <v>GRD</v>
      </c>
      <c r="E2336" s="2" t="str">
        <f>IFERROR(__xludf.DUMMYFUNCTION("IF('From Order'!$A2336=COLUMNS($A2336:E2355), LEFT(INDEX(FILTER(E$1:E2335, E$1:E2335&lt;&gt;""""),COUNTA(FILTER(E$1:E2335, E$1:E2335&lt;&gt;""""))), LEN(INDEX(FILTER(E$1:E2335, E$1:E2335&lt;&gt;""""),COUNTA(FILTER(E$1:E2335, E$1:E2335&lt;&gt;""""))))-1), IF('To Order'!$A2336=COL"&amp;"UMNS($A2336:E2355), E2335&amp;RIGHT(INDIRECT(ADDRESS(ROW(E2336)-1, 'From Order'!$A2336)), 1), E2335))"),"BRPHZMTSSPL")</f>
        <v>BRPHZMTSSPL</v>
      </c>
      <c r="F2336" s="2" t="str">
        <f>IFERROR(__xludf.DUMMYFUNCTION("IF('From Order'!$A2336=COLUMNS($A2336:F2355), LEFT(INDEX(FILTER(F$1:F2335, F$1:F2335&lt;&gt;""""),COUNTA(FILTER(F$1:F2335, F$1:F2335&lt;&gt;""""))), LEN(INDEX(FILTER(F$1:F2335, F$1:F2335&lt;&gt;""""),COUNTA(FILTER(F$1:F2335, F$1:F2335&lt;&gt;""""))))-1), IF('To Order'!$A2336=COL"&amp;"UMNS($A2336:F2355), F2335&amp;RIGHT(INDIRECT(ADDRESS(ROW(F2336)-1, 'From Order'!$A2336)), 1), F2335))"),"FJPSRQTT")</f>
        <v>FJPSRQTT</v>
      </c>
      <c r="G2336" s="2" t="str">
        <f>IFERROR(__xludf.DUMMYFUNCTION("IF('From Order'!$A2336=COLUMNS($A2336:G2355), LEFT(INDEX(FILTER(G$1:G2335, G$1:G2335&lt;&gt;""""),COUNTA(FILTER(G$1:G2335, G$1:G2335&lt;&gt;""""))), LEN(INDEX(FILTER(G$1:G2335, G$1:G2335&lt;&gt;""""),COUNTA(FILTER(G$1:G2335, G$1:G2335&lt;&gt;""""))))-1), IF('To Order'!$A2336=COL"&amp;"UMNS($A2336:G2355), G2335&amp;RIGHT(INDIRECT(ADDRESS(ROW(G2336)-1, 'From Order'!$A2336)), 1), G2335))"),"BWDCCSZHTWLLFBC")</f>
        <v>BWDCCSZHTWLLFBC</v>
      </c>
      <c r="H2336" s="2" t="str">
        <f>IFERROR(__xludf.DUMMYFUNCTION("IF('From Order'!$A2336=COLUMNS($A2336:H2355), LEFT(INDEX(FILTER(H$1:H2335, H$1:H2335&lt;&gt;""""),COUNTA(FILTER(H$1:H2335, H$1:H2335&lt;&gt;""""))), LEN(INDEX(FILTER(H$1:H2335, H$1:H2335&lt;&gt;""""),COUNTA(FILTER(H$1:H2335, H$1:H2335&lt;&gt;""""))))-1), IF('To Order'!$A2336=COL"&amp;"UMNS($A2336:H2355), H2335&amp;RIGHT(INDIRECT(ADDRESS(ROW(H2336)-1, 'From Order'!$A2336)), 1), H2335))"),"")</f>
        <v/>
      </c>
      <c r="I2336" s="2" t="str">
        <f>IFERROR(__xludf.DUMMYFUNCTION("IF('From Order'!$A2336=COLUMNS($A2336:I2355), LEFT(INDEX(FILTER(I$1:I2335, I$1:I2335&lt;&gt;""""),COUNTA(FILTER(I$1:I2335, I$1:I2335&lt;&gt;""""))), LEN(INDEX(FILTER(I$1:I2335, I$1:I2335&lt;&gt;""""),COUNTA(FILTER(I$1:I2335, I$1:I2335&lt;&gt;""""))))-1), IF('To Order'!$A2336=COL"&amp;"UMNS($A2336:I2355), I2335&amp;RIGHT(INDIRECT(ADDRESS(ROW(I2336)-1, 'From Order'!$A2336)), 1), I2335))"),"DDDVQZDMTTGMJRR")</f>
        <v>DDDVQZDMTTGMJRR</v>
      </c>
    </row>
    <row r="2337">
      <c r="A2337" s="2" t="str">
        <f>IFERROR(__xludf.DUMMYFUNCTION("IF('From Order'!$A2337=COLUMNS($A2337:A2356), LEFT(INDEX(FILTER(A$1:A2336, A$1:A2336&lt;&gt;""""),COUNTA(FILTER(A$1:A2336, A$1:A2336&lt;&gt;""""))), LEN(INDEX(FILTER(A$1:A2336, A$1:A2336&lt;&gt;""""),COUNTA(FILTER(A$1:A2336, A$1:A2336&lt;&gt;""""))))-1), IF('To Order'!$A2337=COL"&amp;"UMNS($A2337:A2356), A2336&amp;RIGHT(INDIRECT(ADDRESS(ROW(A2337)-1, 'From Order'!$A2337)), 1), A2336))"),"")</f>
        <v/>
      </c>
      <c r="B2337" s="2" t="str">
        <f>IFERROR(__xludf.DUMMYFUNCTION("IF('From Order'!$A2337=COLUMNS($A2337:B2356), LEFT(INDEX(FILTER(B$1:B2336, B$1:B2336&lt;&gt;""""),COUNTA(FILTER(B$1:B2336, B$1:B2336&lt;&gt;""""))), LEN(INDEX(FILTER(B$1:B2336, B$1:B2336&lt;&gt;""""),COUNTA(FILTER(B$1:B2336, B$1:B2336&lt;&gt;""""))))-1), IF('To Order'!$A2337=COL"&amp;"UMNS($A2337:B2356), B2336&amp;RIGHT(INDIRECT(ADDRESS(ROW(B2337)-1, 'From Order'!$A2337)), 1), B2336))"),"")</f>
        <v/>
      </c>
      <c r="C2337" s="2" t="str">
        <f>IFERROR(__xludf.DUMMYFUNCTION("IF('From Order'!$A2337=COLUMNS($A2337:C2356), LEFT(INDEX(FILTER(C$1:C2336, C$1:C2336&lt;&gt;""""),COUNTA(FILTER(C$1:C2336, C$1:C2336&lt;&gt;""""))), LEN(INDEX(FILTER(C$1:C2336, C$1:C2336&lt;&gt;""""),COUNTA(FILTER(C$1:C2336, C$1:C2336&lt;&gt;""""))))-1), IF('To Order'!$A2337=COL"&amp;"UMNS($A2337:C2356), C2336&amp;RIGHT(INDIRECT(ADDRESS(ROW(C2337)-1, 'From Order'!$A2337)), 1), C2336))"),"VBJV")</f>
        <v>VBJV</v>
      </c>
      <c r="D2337" s="2" t="str">
        <f>IFERROR(__xludf.DUMMYFUNCTION("IF('From Order'!$A2337=COLUMNS($A2337:D2356), LEFT(INDEX(FILTER(D$1:D2336, D$1:D2336&lt;&gt;""""),COUNTA(FILTER(D$1:D2336, D$1:D2336&lt;&gt;""""))), LEN(INDEX(FILTER(D$1:D2336, D$1:D2336&lt;&gt;""""),COUNTA(FILTER(D$1:D2336, D$1:D2336&lt;&gt;""""))))-1), IF('To Order'!$A2337=COL"&amp;"UMNS($A2337:D2356), D2336&amp;RIGHT(INDIRECT(ADDRESS(ROW(D2337)-1, 'From Order'!$A2337)), 1), D2336))"),"GRD")</f>
        <v>GRD</v>
      </c>
      <c r="E2337" s="2" t="str">
        <f>IFERROR(__xludf.DUMMYFUNCTION("IF('From Order'!$A2337=COLUMNS($A2337:E2356), LEFT(INDEX(FILTER(E$1:E2336, E$1:E2336&lt;&gt;""""),COUNTA(FILTER(E$1:E2336, E$1:E2336&lt;&gt;""""))), LEN(INDEX(FILTER(E$1:E2336, E$1:E2336&lt;&gt;""""),COUNTA(FILTER(E$1:E2336, E$1:E2336&lt;&gt;""""))))-1), IF('To Order'!$A2337=COL"&amp;"UMNS($A2337:E2356), E2336&amp;RIGHT(INDIRECT(ADDRESS(ROW(E2337)-1, 'From Order'!$A2337)), 1), E2336))"),"BRPHZMTSSPLR")</f>
        <v>BRPHZMTSSPLR</v>
      </c>
      <c r="F2337" s="2" t="str">
        <f>IFERROR(__xludf.DUMMYFUNCTION("IF('From Order'!$A2337=COLUMNS($A2337:F2356), LEFT(INDEX(FILTER(F$1:F2336, F$1:F2336&lt;&gt;""""),COUNTA(FILTER(F$1:F2336, F$1:F2336&lt;&gt;""""))), LEN(INDEX(FILTER(F$1:F2336, F$1:F2336&lt;&gt;""""),COUNTA(FILTER(F$1:F2336, F$1:F2336&lt;&gt;""""))))-1), IF('To Order'!$A2337=COL"&amp;"UMNS($A2337:F2356), F2336&amp;RIGHT(INDIRECT(ADDRESS(ROW(F2337)-1, 'From Order'!$A2337)), 1), F2336))"),"FJPSRQTT")</f>
        <v>FJPSRQTT</v>
      </c>
      <c r="G2337" s="2" t="str">
        <f>IFERROR(__xludf.DUMMYFUNCTION("IF('From Order'!$A2337=COLUMNS($A2337:G2356), LEFT(INDEX(FILTER(G$1:G2336, G$1:G2336&lt;&gt;""""),COUNTA(FILTER(G$1:G2336, G$1:G2336&lt;&gt;""""))), LEN(INDEX(FILTER(G$1:G2336, G$1:G2336&lt;&gt;""""),COUNTA(FILTER(G$1:G2336, G$1:G2336&lt;&gt;""""))))-1), IF('To Order'!$A2337=COL"&amp;"UMNS($A2337:G2356), G2336&amp;RIGHT(INDIRECT(ADDRESS(ROW(G2337)-1, 'From Order'!$A2337)), 1), G2336))"),"BWDCCSZHTWLLFBC")</f>
        <v>BWDCCSZHTWLLFBC</v>
      </c>
      <c r="H2337" s="2" t="str">
        <f>IFERROR(__xludf.DUMMYFUNCTION("IF('From Order'!$A2337=COLUMNS($A2337:H2356), LEFT(INDEX(FILTER(H$1:H2336, H$1:H2336&lt;&gt;""""),COUNTA(FILTER(H$1:H2336, H$1:H2336&lt;&gt;""""))), LEN(INDEX(FILTER(H$1:H2336, H$1:H2336&lt;&gt;""""),COUNTA(FILTER(H$1:H2336, H$1:H2336&lt;&gt;""""))))-1), IF('To Order'!$A2337=COL"&amp;"UMNS($A2337:H2356), H2336&amp;RIGHT(INDIRECT(ADDRESS(ROW(H2337)-1, 'From Order'!$A2337)), 1), H2336))"),"")</f>
        <v/>
      </c>
      <c r="I2337" s="2" t="str">
        <f>IFERROR(__xludf.DUMMYFUNCTION("IF('From Order'!$A2337=COLUMNS($A2337:I2356), LEFT(INDEX(FILTER(I$1:I2336, I$1:I2336&lt;&gt;""""),COUNTA(FILTER(I$1:I2336, I$1:I2336&lt;&gt;""""))), LEN(INDEX(FILTER(I$1:I2336, I$1:I2336&lt;&gt;""""),COUNTA(FILTER(I$1:I2336, I$1:I2336&lt;&gt;""""))))-1), IF('To Order'!$A2337=COL"&amp;"UMNS($A2337:I2356), I2336&amp;RIGHT(INDIRECT(ADDRESS(ROW(I2337)-1, 'From Order'!$A2337)), 1), I2336))"),"DDDVQZDMTTGMJR")</f>
        <v>DDDVQZDMTTGMJR</v>
      </c>
    </row>
    <row r="2338">
      <c r="A2338" s="2" t="str">
        <f>IFERROR(__xludf.DUMMYFUNCTION("IF('From Order'!$A2338=COLUMNS($A2338:A2357), LEFT(INDEX(FILTER(A$1:A2337, A$1:A2337&lt;&gt;""""),COUNTA(FILTER(A$1:A2337, A$1:A2337&lt;&gt;""""))), LEN(INDEX(FILTER(A$1:A2337, A$1:A2337&lt;&gt;""""),COUNTA(FILTER(A$1:A2337, A$1:A2337&lt;&gt;""""))))-1), IF('To Order'!$A2338=COL"&amp;"UMNS($A2338:A2357), A2337&amp;RIGHT(INDIRECT(ADDRESS(ROW(A2338)-1, 'From Order'!$A2338)), 1), A2337))"),"")</f>
        <v/>
      </c>
      <c r="B2338" s="2" t="str">
        <f>IFERROR(__xludf.DUMMYFUNCTION("IF('From Order'!$A2338=COLUMNS($A2338:B2357), LEFT(INDEX(FILTER(B$1:B2337, B$1:B2337&lt;&gt;""""),COUNTA(FILTER(B$1:B2337, B$1:B2337&lt;&gt;""""))), LEN(INDEX(FILTER(B$1:B2337, B$1:B2337&lt;&gt;""""),COUNTA(FILTER(B$1:B2337, B$1:B2337&lt;&gt;""""))))-1), IF('To Order'!$A2338=COL"&amp;"UMNS($A2338:B2357), B2337&amp;RIGHT(INDIRECT(ADDRESS(ROW(B2338)-1, 'From Order'!$A2338)), 1), B2337))"),"")</f>
        <v/>
      </c>
      <c r="C2338" s="2" t="str">
        <f>IFERROR(__xludf.DUMMYFUNCTION("IF('From Order'!$A2338=COLUMNS($A2338:C2357), LEFT(INDEX(FILTER(C$1:C2337, C$1:C2337&lt;&gt;""""),COUNTA(FILTER(C$1:C2337, C$1:C2337&lt;&gt;""""))), LEN(INDEX(FILTER(C$1:C2337, C$1:C2337&lt;&gt;""""),COUNTA(FILTER(C$1:C2337, C$1:C2337&lt;&gt;""""))))-1), IF('To Order'!$A2338=COL"&amp;"UMNS($A2338:C2357), C2337&amp;RIGHT(INDIRECT(ADDRESS(ROW(C2338)-1, 'From Order'!$A2338)), 1), C2337))"),"VBJV")</f>
        <v>VBJV</v>
      </c>
      <c r="D2338" s="2" t="str">
        <f>IFERROR(__xludf.DUMMYFUNCTION("IF('From Order'!$A2338=COLUMNS($A2338:D2357), LEFT(INDEX(FILTER(D$1:D2337, D$1:D2337&lt;&gt;""""),COUNTA(FILTER(D$1:D2337, D$1:D2337&lt;&gt;""""))), LEN(INDEX(FILTER(D$1:D2337, D$1:D2337&lt;&gt;""""),COUNTA(FILTER(D$1:D2337, D$1:D2337&lt;&gt;""""))))-1), IF('To Order'!$A2338=COL"&amp;"UMNS($A2338:D2357), D2337&amp;RIGHT(INDIRECT(ADDRESS(ROW(D2338)-1, 'From Order'!$A2338)), 1), D2337))"),"GRD")</f>
        <v>GRD</v>
      </c>
      <c r="E2338" s="2" t="str">
        <f>IFERROR(__xludf.DUMMYFUNCTION("IF('From Order'!$A2338=COLUMNS($A2338:E2357), LEFT(INDEX(FILTER(E$1:E2337, E$1:E2337&lt;&gt;""""),COUNTA(FILTER(E$1:E2337, E$1:E2337&lt;&gt;""""))), LEN(INDEX(FILTER(E$1:E2337, E$1:E2337&lt;&gt;""""),COUNTA(FILTER(E$1:E2337, E$1:E2337&lt;&gt;""""))))-1), IF('To Order'!$A2338=COL"&amp;"UMNS($A2338:E2357), E2337&amp;RIGHT(INDIRECT(ADDRESS(ROW(E2338)-1, 'From Order'!$A2338)), 1), E2337))"),"BRPHZMTSSPLRR")</f>
        <v>BRPHZMTSSPLRR</v>
      </c>
      <c r="F2338" s="2" t="str">
        <f>IFERROR(__xludf.DUMMYFUNCTION("IF('From Order'!$A2338=COLUMNS($A2338:F2357), LEFT(INDEX(FILTER(F$1:F2337, F$1:F2337&lt;&gt;""""),COUNTA(FILTER(F$1:F2337, F$1:F2337&lt;&gt;""""))), LEN(INDEX(FILTER(F$1:F2337, F$1:F2337&lt;&gt;""""),COUNTA(FILTER(F$1:F2337, F$1:F2337&lt;&gt;""""))))-1), IF('To Order'!$A2338=COL"&amp;"UMNS($A2338:F2357), F2337&amp;RIGHT(INDIRECT(ADDRESS(ROW(F2338)-1, 'From Order'!$A2338)), 1), F2337))"),"FJPSRQTT")</f>
        <v>FJPSRQTT</v>
      </c>
      <c r="G2338" s="2" t="str">
        <f>IFERROR(__xludf.DUMMYFUNCTION("IF('From Order'!$A2338=COLUMNS($A2338:G2357), LEFT(INDEX(FILTER(G$1:G2337, G$1:G2337&lt;&gt;""""),COUNTA(FILTER(G$1:G2337, G$1:G2337&lt;&gt;""""))), LEN(INDEX(FILTER(G$1:G2337, G$1:G2337&lt;&gt;""""),COUNTA(FILTER(G$1:G2337, G$1:G2337&lt;&gt;""""))))-1), IF('To Order'!$A2338=COL"&amp;"UMNS($A2338:G2357), G2337&amp;RIGHT(INDIRECT(ADDRESS(ROW(G2338)-1, 'From Order'!$A2338)), 1), G2337))"),"BWDCCSZHTWLLFBC")</f>
        <v>BWDCCSZHTWLLFBC</v>
      </c>
      <c r="H2338" s="2" t="str">
        <f>IFERROR(__xludf.DUMMYFUNCTION("IF('From Order'!$A2338=COLUMNS($A2338:H2357), LEFT(INDEX(FILTER(H$1:H2337, H$1:H2337&lt;&gt;""""),COUNTA(FILTER(H$1:H2337, H$1:H2337&lt;&gt;""""))), LEN(INDEX(FILTER(H$1:H2337, H$1:H2337&lt;&gt;""""),COUNTA(FILTER(H$1:H2337, H$1:H2337&lt;&gt;""""))))-1), IF('To Order'!$A2338=COL"&amp;"UMNS($A2338:H2357), H2337&amp;RIGHT(INDIRECT(ADDRESS(ROW(H2338)-1, 'From Order'!$A2338)), 1), H2337))"),"")</f>
        <v/>
      </c>
      <c r="I2338" s="2" t="str">
        <f>IFERROR(__xludf.DUMMYFUNCTION("IF('From Order'!$A2338=COLUMNS($A2338:I2357), LEFT(INDEX(FILTER(I$1:I2337, I$1:I2337&lt;&gt;""""),COUNTA(FILTER(I$1:I2337, I$1:I2337&lt;&gt;""""))), LEN(INDEX(FILTER(I$1:I2337, I$1:I2337&lt;&gt;""""),COUNTA(FILTER(I$1:I2337, I$1:I2337&lt;&gt;""""))))-1), IF('To Order'!$A2338=COL"&amp;"UMNS($A2338:I2357), I2337&amp;RIGHT(INDIRECT(ADDRESS(ROW(I2338)-1, 'From Order'!$A2338)), 1), I2337))"),"DDDVQZDMTTGMJ")</f>
        <v>DDDVQZDMTTGMJ</v>
      </c>
    </row>
    <row r="2339">
      <c r="A2339" s="2" t="str">
        <f>IFERROR(__xludf.DUMMYFUNCTION("IF('From Order'!$A2339=COLUMNS($A2339:A2358), LEFT(INDEX(FILTER(A$1:A2338, A$1:A2338&lt;&gt;""""),COUNTA(FILTER(A$1:A2338, A$1:A2338&lt;&gt;""""))), LEN(INDEX(FILTER(A$1:A2338, A$1:A2338&lt;&gt;""""),COUNTA(FILTER(A$1:A2338, A$1:A2338&lt;&gt;""""))))-1), IF('To Order'!$A2339=COL"&amp;"UMNS($A2339:A2358), A2338&amp;RIGHT(INDIRECT(ADDRESS(ROW(A2339)-1, 'From Order'!$A2339)), 1), A2338))"),"")</f>
        <v/>
      </c>
      <c r="B2339" s="2" t="str">
        <f>IFERROR(__xludf.DUMMYFUNCTION("IF('From Order'!$A2339=COLUMNS($A2339:B2358), LEFT(INDEX(FILTER(B$1:B2338, B$1:B2338&lt;&gt;""""),COUNTA(FILTER(B$1:B2338, B$1:B2338&lt;&gt;""""))), LEN(INDEX(FILTER(B$1:B2338, B$1:B2338&lt;&gt;""""),COUNTA(FILTER(B$1:B2338, B$1:B2338&lt;&gt;""""))))-1), IF('To Order'!$A2339=COL"&amp;"UMNS($A2339:B2358), B2338&amp;RIGHT(INDIRECT(ADDRESS(ROW(B2339)-1, 'From Order'!$A2339)), 1), B2338))"),"")</f>
        <v/>
      </c>
      <c r="C2339" s="2" t="str">
        <f>IFERROR(__xludf.DUMMYFUNCTION("IF('From Order'!$A2339=COLUMNS($A2339:C2358), LEFT(INDEX(FILTER(C$1:C2338, C$1:C2338&lt;&gt;""""),COUNTA(FILTER(C$1:C2338, C$1:C2338&lt;&gt;""""))), LEN(INDEX(FILTER(C$1:C2338, C$1:C2338&lt;&gt;""""),COUNTA(FILTER(C$1:C2338, C$1:C2338&lt;&gt;""""))))-1), IF('To Order'!$A2339=COL"&amp;"UMNS($A2339:C2358), C2338&amp;RIGHT(INDIRECT(ADDRESS(ROW(C2339)-1, 'From Order'!$A2339)), 1), C2338))"),"VBJV")</f>
        <v>VBJV</v>
      </c>
      <c r="D2339" s="2" t="str">
        <f>IFERROR(__xludf.DUMMYFUNCTION("IF('From Order'!$A2339=COLUMNS($A2339:D2358), LEFT(INDEX(FILTER(D$1:D2338, D$1:D2338&lt;&gt;""""),COUNTA(FILTER(D$1:D2338, D$1:D2338&lt;&gt;""""))), LEN(INDEX(FILTER(D$1:D2338, D$1:D2338&lt;&gt;""""),COUNTA(FILTER(D$1:D2338, D$1:D2338&lt;&gt;""""))))-1), IF('To Order'!$A2339=COL"&amp;"UMNS($A2339:D2358), D2338&amp;RIGHT(INDIRECT(ADDRESS(ROW(D2339)-1, 'From Order'!$A2339)), 1), D2338))"),"GRD")</f>
        <v>GRD</v>
      </c>
      <c r="E2339" s="2" t="str">
        <f>IFERROR(__xludf.DUMMYFUNCTION("IF('From Order'!$A2339=COLUMNS($A2339:E2358), LEFT(INDEX(FILTER(E$1:E2338, E$1:E2338&lt;&gt;""""),COUNTA(FILTER(E$1:E2338, E$1:E2338&lt;&gt;""""))), LEN(INDEX(FILTER(E$1:E2338, E$1:E2338&lt;&gt;""""),COUNTA(FILTER(E$1:E2338, E$1:E2338&lt;&gt;""""))))-1), IF('To Order'!$A2339=COL"&amp;"UMNS($A2339:E2358), E2338&amp;RIGHT(INDIRECT(ADDRESS(ROW(E2339)-1, 'From Order'!$A2339)), 1), E2338))"),"BRPHZMTSSPLRRJ")</f>
        <v>BRPHZMTSSPLRRJ</v>
      </c>
      <c r="F2339" s="2" t="str">
        <f>IFERROR(__xludf.DUMMYFUNCTION("IF('From Order'!$A2339=COLUMNS($A2339:F2358), LEFT(INDEX(FILTER(F$1:F2338, F$1:F2338&lt;&gt;""""),COUNTA(FILTER(F$1:F2338, F$1:F2338&lt;&gt;""""))), LEN(INDEX(FILTER(F$1:F2338, F$1:F2338&lt;&gt;""""),COUNTA(FILTER(F$1:F2338, F$1:F2338&lt;&gt;""""))))-1), IF('To Order'!$A2339=COL"&amp;"UMNS($A2339:F2358), F2338&amp;RIGHT(INDIRECT(ADDRESS(ROW(F2339)-1, 'From Order'!$A2339)), 1), F2338))"),"FJPSRQTT")</f>
        <v>FJPSRQTT</v>
      </c>
      <c r="G2339" s="2" t="str">
        <f>IFERROR(__xludf.DUMMYFUNCTION("IF('From Order'!$A2339=COLUMNS($A2339:G2358), LEFT(INDEX(FILTER(G$1:G2338, G$1:G2338&lt;&gt;""""),COUNTA(FILTER(G$1:G2338, G$1:G2338&lt;&gt;""""))), LEN(INDEX(FILTER(G$1:G2338, G$1:G2338&lt;&gt;""""),COUNTA(FILTER(G$1:G2338, G$1:G2338&lt;&gt;""""))))-1), IF('To Order'!$A2339=COL"&amp;"UMNS($A2339:G2358), G2338&amp;RIGHT(INDIRECT(ADDRESS(ROW(G2339)-1, 'From Order'!$A2339)), 1), G2338))"),"BWDCCSZHTWLLFBC")</f>
        <v>BWDCCSZHTWLLFBC</v>
      </c>
      <c r="H2339" s="2" t="str">
        <f>IFERROR(__xludf.DUMMYFUNCTION("IF('From Order'!$A2339=COLUMNS($A2339:H2358), LEFT(INDEX(FILTER(H$1:H2338, H$1:H2338&lt;&gt;""""),COUNTA(FILTER(H$1:H2338, H$1:H2338&lt;&gt;""""))), LEN(INDEX(FILTER(H$1:H2338, H$1:H2338&lt;&gt;""""),COUNTA(FILTER(H$1:H2338, H$1:H2338&lt;&gt;""""))))-1), IF('To Order'!$A2339=COL"&amp;"UMNS($A2339:H2358), H2338&amp;RIGHT(INDIRECT(ADDRESS(ROW(H2339)-1, 'From Order'!$A2339)), 1), H2338))"),"")</f>
        <v/>
      </c>
      <c r="I2339" s="2" t="str">
        <f>IFERROR(__xludf.DUMMYFUNCTION("IF('From Order'!$A2339=COLUMNS($A2339:I2358), LEFT(INDEX(FILTER(I$1:I2338, I$1:I2338&lt;&gt;""""),COUNTA(FILTER(I$1:I2338, I$1:I2338&lt;&gt;""""))), LEN(INDEX(FILTER(I$1:I2338, I$1:I2338&lt;&gt;""""),COUNTA(FILTER(I$1:I2338, I$1:I2338&lt;&gt;""""))))-1), IF('To Order'!$A2339=COL"&amp;"UMNS($A2339:I2358), I2338&amp;RIGHT(INDIRECT(ADDRESS(ROW(I2339)-1, 'From Order'!$A2339)), 1), I2338))"),"DDDVQZDMTTGM")</f>
        <v>DDDVQZDMTTGM</v>
      </c>
    </row>
    <row r="2340">
      <c r="A2340" s="2" t="str">
        <f>IFERROR(__xludf.DUMMYFUNCTION("IF('From Order'!$A2340=COLUMNS($A2340:A2359), LEFT(INDEX(FILTER(A$1:A2339, A$1:A2339&lt;&gt;""""),COUNTA(FILTER(A$1:A2339, A$1:A2339&lt;&gt;""""))), LEN(INDEX(FILTER(A$1:A2339, A$1:A2339&lt;&gt;""""),COUNTA(FILTER(A$1:A2339, A$1:A2339&lt;&gt;""""))))-1), IF('To Order'!$A2340=COL"&amp;"UMNS($A2340:A2359), A2339&amp;RIGHT(INDIRECT(ADDRESS(ROW(A2340)-1, 'From Order'!$A2340)), 1), A2339))"),"")</f>
        <v/>
      </c>
      <c r="B2340" s="2" t="str">
        <f>IFERROR(__xludf.DUMMYFUNCTION("IF('From Order'!$A2340=COLUMNS($A2340:B2359), LEFT(INDEX(FILTER(B$1:B2339, B$1:B2339&lt;&gt;""""),COUNTA(FILTER(B$1:B2339, B$1:B2339&lt;&gt;""""))), LEN(INDEX(FILTER(B$1:B2339, B$1:B2339&lt;&gt;""""),COUNTA(FILTER(B$1:B2339, B$1:B2339&lt;&gt;""""))))-1), IF('To Order'!$A2340=COL"&amp;"UMNS($A2340:B2359), B2339&amp;RIGHT(INDIRECT(ADDRESS(ROW(B2340)-1, 'From Order'!$A2340)), 1), B2339))"),"")</f>
        <v/>
      </c>
      <c r="C2340" s="2" t="str">
        <f>IFERROR(__xludf.DUMMYFUNCTION("IF('From Order'!$A2340=COLUMNS($A2340:C2359), LEFT(INDEX(FILTER(C$1:C2339, C$1:C2339&lt;&gt;""""),COUNTA(FILTER(C$1:C2339, C$1:C2339&lt;&gt;""""))), LEN(INDEX(FILTER(C$1:C2339, C$1:C2339&lt;&gt;""""),COUNTA(FILTER(C$1:C2339, C$1:C2339&lt;&gt;""""))))-1), IF('To Order'!$A2340=COL"&amp;"UMNS($A2340:C2359), C2339&amp;RIGHT(INDIRECT(ADDRESS(ROW(C2340)-1, 'From Order'!$A2340)), 1), C2339))"),"VBJV")</f>
        <v>VBJV</v>
      </c>
      <c r="D2340" s="2" t="str">
        <f>IFERROR(__xludf.DUMMYFUNCTION("IF('From Order'!$A2340=COLUMNS($A2340:D2359), LEFT(INDEX(FILTER(D$1:D2339, D$1:D2339&lt;&gt;""""),COUNTA(FILTER(D$1:D2339, D$1:D2339&lt;&gt;""""))), LEN(INDEX(FILTER(D$1:D2339, D$1:D2339&lt;&gt;""""),COUNTA(FILTER(D$1:D2339, D$1:D2339&lt;&gt;""""))))-1), IF('To Order'!$A2340=COL"&amp;"UMNS($A2340:D2359), D2339&amp;RIGHT(INDIRECT(ADDRESS(ROW(D2340)-1, 'From Order'!$A2340)), 1), D2339))"),"GRD")</f>
        <v>GRD</v>
      </c>
      <c r="E2340" s="2" t="str">
        <f>IFERROR(__xludf.DUMMYFUNCTION("IF('From Order'!$A2340=COLUMNS($A2340:E2359), LEFT(INDEX(FILTER(E$1:E2339, E$1:E2339&lt;&gt;""""),COUNTA(FILTER(E$1:E2339, E$1:E2339&lt;&gt;""""))), LEN(INDEX(FILTER(E$1:E2339, E$1:E2339&lt;&gt;""""),COUNTA(FILTER(E$1:E2339, E$1:E2339&lt;&gt;""""))))-1), IF('To Order'!$A2340=COL"&amp;"UMNS($A2340:E2359), E2339&amp;RIGHT(INDIRECT(ADDRESS(ROW(E2340)-1, 'From Order'!$A2340)), 1), E2339))"),"BRPHZMTSSPLRRJT")</f>
        <v>BRPHZMTSSPLRRJT</v>
      </c>
      <c r="F2340" s="2" t="str">
        <f>IFERROR(__xludf.DUMMYFUNCTION("IF('From Order'!$A2340=COLUMNS($A2340:F2359), LEFT(INDEX(FILTER(F$1:F2339, F$1:F2339&lt;&gt;""""),COUNTA(FILTER(F$1:F2339, F$1:F2339&lt;&gt;""""))), LEN(INDEX(FILTER(F$1:F2339, F$1:F2339&lt;&gt;""""),COUNTA(FILTER(F$1:F2339, F$1:F2339&lt;&gt;""""))))-1), IF('To Order'!$A2340=COL"&amp;"UMNS($A2340:F2359), F2339&amp;RIGHT(INDIRECT(ADDRESS(ROW(F2340)-1, 'From Order'!$A2340)), 1), F2339))"),"FJPSRQT")</f>
        <v>FJPSRQT</v>
      </c>
      <c r="G2340" s="2" t="str">
        <f>IFERROR(__xludf.DUMMYFUNCTION("IF('From Order'!$A2340=COLUMNS($A2340:G2359), LEFT(INDEX(FILTER(G$1:G2339, G$1:G2339&lt;&gt;""""),COUNTA(FILTER(G$1:G2339, G$1:G2339&lt;&gt;""""))), LEN(INDEX(FILTER(G$1:G2339, G$1:G2339&lt;&gt;""""),COUNTA(FILTER(G$1:G2339, G$1:G2339&lt;&gt;""""))))-1), IF('To Order'!$A2340=COL"&amp;"UMNS($A2340:G2359), G2339&amp;RIGHT(INDIRECT(ADDRESS(ROW(G2340)-1, 'From Order'!$A2340)), 1), G2339))"),"BWDCCSZHTWLLFBC")</f>
        <v>BWDCCSZHTWLLFBC</v>
      </c>
      <c r="H2340" s="2" t="str">
        <f>IFERROR(__xludf.DUMMYFUNCTION("IF('From Order'!$A2340=COLUMNS($A2340:H2359), LEFT(INDEX(FILTER(H$1:H2339, H$1:H2339&lt;&gt;""""),COUNTA(FILTER(H$1:H2339, H$1:H2339&lt;&gt;""""))), LEN(INDEX(FILTER(H$1:H2339, H$1:H2339&lt;&gt;""""),COUNTA(FILTER(H$1:H2339, H$1:H2339&lt;&gt;""""))))-1), IF('To Order'!$A2340=COL"&amp;"UMNS($A2340:H2359), H2339&amp;RIGHT(INDIRECT(ADDRESS(ROW(H2340)-1, 'From Order'!$A2340)), 1), H2339))"),"")</f>
        <v/>
      </c>
      <c r="I2340" s="2" t="str">
        <f>IFERROR(__xludf.DUMMYFUNCTION("IF('From Order'!$A2340=COLUMNS($A2340:I2359), LEFT(INDEX(FILTER(I$1:I2339, I$1:I2339&lt;&gt;""""),COUNTA(FILTER(I$1:I2339, I$1:I2339&lt;&gt;""""))), LEN(INDEX(FILTER(I$1:I2339, I$1:I2339&lt;&gt;""""),COUNTA(FILTER(I$1:I2339, I$1:I2339&lt;&gt;""""))))-1), IF('To Order'!$A2340=COL"&amp;"UMNS($A2340:I2359), I2339&amp;RIGHT(INDIRECT(ADDRESS(ROW(I2340)-1, 'From Order'!$A2340)), 1), I2339))"),"DDDVQZDMTTGM")</f>
        <v>DDDVQZDMTTGM</v>
      </c>
    </row>
    <row r="2341">
      <c r="A2341" s="2" t="str">
        <f>IFERROR(__xludf.DUMMYFUNCTION("IF('From Order'!$A2341=COLUMNS($A2341:A2360), LEFT(INDEX(FILTER(A$1:A2340, A$1:A2340&lt;&gt;""""),COUNTA(FILTER(A$1:A2340, A$1:A2340&lt;&gt;""""))), LEN(INDEX(FILTER(A$1:A2340, A$1:A2340&lt;&gt;""""),COUNTA(FILTER(A$1:A2340, A$1:A2340&lt;&gt;""""))))-1), IF('To Order'!$A2341=COL"&amp;"UMNS($A2341:A2360), A2340&amp;RIGHT(INDIRECT(ADDRESS(ROW(A2341)-1, 'From Order'!$A2341)), 1), A2340))"),"")</f>
        <v/>
      </c>
      <c r="B2341" s="2" t="str">
        <f>IFERROR(__xludf.DUMMYFUNCTION("IF('From Order'!$A2341=COLUMNS($A2341:B2360), LEFT(INDEX(FILTER(B$1:B2340, B$1:B2340&lt;&gt;""""),COUNTA(FILTER(B$1:B2340, B$1:B2340&lt;&gt;""""))), LEN(INDEX(FILTER(B$1:B2340, B$1:B2340&lt;&gt;""""),COUNTA(FILTER(B$1:B2340, B$1:B2340&lt;&gt;""""))))-1), IF('To Order'!$A2341=COL"&amp;"UMNS($A2341:B2360), B2340&amp;RIGHT(INDIRECT(ADDRESS(ROW(B2341)-1, 'From Order'!$A2341)), 1), B2340))"),"")</f>
        <v/>
      </c>
      <c r="C2341" s="2" t="str">
        <f>IFERROR(__xludf.DUMMYFUNCTION("IF('From Order'!$A2341=COLUMNS($A2341:C2360), LEFT(INDEX(FILTER(C$1:C2340, C$1:C2340&lt;&gt;""""),COUNTA(FILTER(C$1:C2340, C$1:C2340&lt;&gt;""""))), LEN(INDEX(FILTER(C$1:C2340, C$1:C2340&lt;&gt;""""),COUNTA(FILTER(C$1:C2340, C$1:C2340&lt;&gt;""""))))-1), IF('To Order'!$A2341=COL"&amp;"UMNS($A2341:C2360), C2340&amp;RIGHT(INDIRECT(ADDRESS(ROW(C2341)-1, 'From Order'!$A2341)), 1), C2340))"),"VBJV")</f>
        <v>VBJV</v>
      </c>
      <c r="D2341" s="2" t="str">
        <f>IFERROR(__xludf.DUMMYFUNCTION("IF('From Order'!$A2341=COLUMNS($A2341:D2360), LEFT(INDEX(FILTER(D$1:D2340, D$1:D2340&lt;&gt;""""),COUNTA(FILTER(D$1:D2340, D$1:D2340&lt;&gt;""""))), LEN(INDEX(FILTER(D$1:D2340, D$1:D2340&lt;&gt;""""),COUNTA(FILTER(D$1:D2340, D$1:D2340&lt;&gt;""""))))-1), IF('To Order'!$A2341=COL"&amp;"UMNS($A2341:D2360), D2340&amp;RIGHT(INDIRECT(ADDRESS(ROW(D2341)-1, 'From Order'!$A2341)), 1), D2340))"),"GRD")</f>
        <v>GRD</v>
      </c>
      <c r="E2341" s="2" t="str">
        <f>IFERROR(__xludf.DUMMYFUNCTION("IF('From Order'!$A2341=COLUMNS($A2341:E2360), LEFT(INDEX(FILTER(E$1:E2340, E$1:E2340&lt;&gt;""""),COUNTA(FILTER(E$1:E2340, E$1:E2340&lt;&gt;""""))), LEN(INDEX(FILTER(E$1:E2340, E$1:E2340&lt;&gt;""""),COUNTA(FILTER(E$1:E2340, E$1:E2340&lt;&gt;""""))))-1), IF('To Order'!$A2341=COL"&amp;"UMNS($A2341:E2360), E2340&amp;RIGHT(INDIRECT(ADDRESS(ROW(E2341)-1, 'From Order'!$A2341)), 1), E2340))"),"BRPHZMTSSPLRRJTT")</f>
        <v>BRPHZMTSSPLRRJTT</v>
      </c>
      <c r="F2341" s="2" t="str">
        <f>IFERROR(__xludf.DUMMYFUNCTION("IF('From Order'!$A2341=COLUMNS($A2341:F2360), LEFT(INDEX(FILTER(F$1:F2340, F$1:F2340&lt;&gt;""""),COUNTA(FILTER(F$1:F2340, F$1:F2340&lt;&gt;""""))), LEN(INDEX(FILTER(F$1:F2340, F$1:F2340&lt;&gt;""""),COUNTA(FILTER(F$1:F2340, F$1:F2340&lt;&gt;""""))))-1), IF('To Order'!$A2341=COL"&amp;"UMNS($A2341:F2360), F2340&amp;RIGHT(INDIRECT(ADDRESS(ROW(F2341)-1, 'From Order'!$A2341)), 1), F2340))"),"FJPSRQ")</f>
        <v>FJPSRQ</v>
      </c>
      <c r="G2341" s="2" t="str">
        <f>IFERROR(__xludf.DUMMYFUNCTION("IF('From Order'!$A2341=COLUMNS($A2341:G2360), LEFT(INDEX(FILTER(G$1:G2340, G$1:G2340&lt;&gt;""""),COUNTA(FILTER(G$1:G2340, G$1:G2340&lt;&gt;""""))), LEN(INDEX(FILTER(G$1:G2340, G$1:G2340&lt;&gt;""""),COUNTA(FILTER(G$1:G2340, G$1:G2340&lt;&gt;""""))))-1), IF('To Order'!$A2341=COL"&amp;"UMNS($A2341:G2360), G2340&amp;RIGHT(INDIRECT(ADDRESS(ROW(G2341)-1, 'From Order'!$A2341)), 1), G2340))"),"BWDCCSZHTWLLFBC")</f>
        <v>BWDCCSZHTWLLFBC</v>
      </c>
      <c r="H2341" s="2" t="str">
        <f>IFERROR(__xludf.DUMMYFUNCTION("IF('From Order'!$A2341=COLUMNS($A2341:H2360), LEFT(INDEX(FILTER(H$1:H2340, H$1:H2340&lt;&gt;""""),COUNTA(FILTER(H$1:H2340, H$1:H2340&lt;&gt;""""))), LEN(INDEX(FILTER(H$1:H2340, H$1:H2340&lt;&gt;""""),COUNTA(FILTER(H$1:H2340, H$1:H2340&lt;&gt;""""))))-1), IF('To Order'!$A2341=COL"&amp;"UMNS($A2341:H2360), H2340&amp;RIGHT(INDIRECT(ADDRESS(ROW(H2341)-1, 'From Order'!$A2341)), 1), H2340))"),"")</f>
        <v/>
      </c>
      <c r="I2341" s="2" t="str">
        <f>IFERROR(__xludf.DUMMYFUNCTION("IF('From Order'!$A2341=COLUMNS($A2341:I2360), LEFT(INDEX(FILTER(I$1:I2340, I$1:I2340&lt;&gt;""""),COUNTA(FILTER(I$1:I2340, I$1:I2340&lt;&gt;""""))), LEN(INDEX(FILTER(I$1:I2340, I$1:I2340&lt;&gt;""""),COUNTA(FILTER(I$1:I2340, I$1:I2340&lt;&gt;""""))))-1), IF('To Order'!$A2341=COL"&amp;"UMNS($A2341:I2360), I2340&amp;RIGHT(INDIRECT(ADDRESS(ROW(I2341)-1, 'From Order'!$A2341)), 1), I2340))"),"DDDVQZDMTTGM")</f>
        <v>DDDVQZDMTTGM</v>
      </c>
    </row>
    <row r="2342">
      <c r="A2342" s="2" t="str">
        <f>IFERROR(__xludf.DUMMYFUNCTION("IF('From Order'!$A2342=COLUMNS($A2342:A2361), LEFT(INDEX(FILTER(A$1:A2341, A$1:A2341&lt;&gt;""""),COUNTA(FILTER(A$1:A2341, A$1:A2341&lt;&gt;""""))), LEN(INDEX(FILTER(A$1:A2341, A$1:A2341&lt;&gt;""""),COUNTA(FILTER(A$1:A2341, A$1:A2341&lt;&gt;""""))))-1), IF('To Order'!$A2342=COL"&amp;"UMNS($A2342:A2361), A2341&amp;RIGHT(INDIRECT(ADDRESS(ROW(A2342)-1, 'From Order'!$A2342)), 1), A2341))"),"")</f>
        <v/>
      </c>
      <c r="B2342" s="2" t="str">
        <f>IFERROR(__xludf.DUMMYFUNCTION("IF('From Order'!$A2342=COLUMNS($A2342:B2361), LEFT(INDEX(FILTER(B$1:B2341, B$1:B2341&lt;&gt;""""),COUNTA(FILTER(B$1:B2341, B$1:B2341&lt;&gt;""""))), LEN(INDEX(FILTER(B$1:B2341, B$1:B2341&lt;&gt;""""),COUNTA(FILTER(B$1:B2341, B$1:B2341&lt;&gt;""""))))-1), IF('To Order'!$A2342=COL"&amp;"UMNS($A2342:B2361), B2341&amp;RIGHT(INDIRECT(ADDRESS(ROW(B2342)-1, 'From Order'!$A2342)), 1), B2341))"),"")</f>
        <v/>
      </c>
      <c r="C2342" s="2" t="str">
        <f>IFERROR(__xludf.DUMMYFUNCTION("IF('From Order'!$A2342=COLUMNS($A2342:C2361), LEFT(INDEX(FILTER(C$1:C2341, C$1:C2341&lt;&gt;""""),COUNTA(FILTER(C$1:C2341, C$1:C2341&lt;&gt;""""))), LEN(INDEX(FILTER(C$1:C2341, C$1:C2341&lt;&gt;""""),COUNTA(FILTER(C$1:C2341, C$1:C2341&lt;&gt;""""))))-1), IF('To Order'!$A2342=COL"&amp;"UMNS($A2342:C2361), C2341&amp;RIGHT(INDIRECT(ADDRESS(ROW(C2342)-1, 'From Order'!$A2342)), 1), C2341))"),"VBJV")</f>
        <v>VBJV</v>
      </c>
      <c r="D2342" s="2" t="str">
        <f>IFERROR(__xludf.DUMMYFUNCTION("IF('From Order'!$A2342=COLUMNS($A2342:D2361), LEFT(INDEX(FILTER(D$1:D2341, D$1:D2341&lt;&gt;""""),COUNTA(FILTER(D$1:D2341, D$1:D2341&lt;&gt;""""))), LEN(INDEX(FILTER(D$1:D2341, D$1:D2341&lt;&gt;""""),COUNTA(FILTER(D$1:D2341, D$1:D2341&lt;&gt;""""))))-1), IF('To Order'!$A2342=COL"&amp;"UMNS($A2342:D2361), D2341&amp;RIGHT(INDIRECT(ADDRESS(ROW(D2342)-1, 'From Order'!$A2342)), 1), D2341))"),"GRD")</f>
        <v>GRD</v>
      </c>
      <c r="E2342" s="2" t="str">
        <f>IFERROR(__xludf.DUMMYFUNCTION("IF('From Order'!$A2342=COLUMNS($A2342:E2361), LEFT(INDEX(FILTER(E$1:E2341, E$1:E2341&lt;&gt;""""),COUNTA(FILTER(E$1:E2341, E$1:E2341&lt;&gt;""""))), LEN(INDEX(FILTER(E$1:E2341, E$1:E2341&lt;&gt;""""),COUNTA(FILTER(E$1:E2341, E$1:E2341&lt;&gt;""""))))-1), IF('To Order'!$A2342=COL"&amp;"UMNS($A2342:E2361), E2341&amp;RIGHT(INDIRECT(ADDRESS(ROW(E2342)-1, 'From Order'!$A2342)), 1), E2341))"),"BRPHZMTSSPLRRJTTQ")</f>
        <v>BRPHZMTSSPLRRJTTQ</v>
      </c>
      <c r="F2342" s="2" t="str">
        <f>IFERROR(__xludf.DUMMYFUNCTION("IF('From Order'!$A2342=COLUMNS($A2342:F2361), LEFT(INDEX(FILTER(F$1:F2341, F$1:F2341&lt;&gt;""""),COUNTA(FILTER(F$1:F2341, F$1:F2341&lt;&gt;""""))), LEN(INDEX(FILTER(F$1:F2341, F$1:F2341&lt;&gt;""""),COUNTA(FILTER(F$1:F2341, F$1:F2341&lt;&gt;""""))))-1), IF('To Order'!$A2342=COL"&amp;"UMNS($A2342:F2361), F2341&amp;RIGHT(INDIRECT(ADDRESS(ROW(F2342)-1, 'From Order'!$A2342)), 1), F2341))"),"FJPSR")</f>
        <v>FJPSR</v>
      </c>
      <c r="G2342" s="2" t="str">
        <f>IFERROR(__xludf.DUMMYFUNCTION("IF('From Order'!$A2342=COLUMNS($A2342:G2361), LEFT(INDEX(FILTER(G$1:G2341, G$1:G2341&lt;&gt;""""),COUNTA(FILTER(G$1:G2341, G$1:G2341&lt;&gt;""""))), LEN(INDEX(FILTER(G$1:G2341, G$1:G2341&lt;&gt;""""),COUNTA(FILTER(G$1:G2341, G$1:G2341&lt;&gt;""""))))-1), IF('To Order'!$A2342=COL"&amp;"UMNS($A2342:G2361), G2341&amp;RIGHT(INDIRECT(ADDRESS(ROW(G2342)-1, 'From Order'!$A2342)), 1), G2341))"),"BWDCCSZHTWLLFBC")</f>
        <v>BWDCCSZHTWLLFBC</v>
      </c>
      <c r="H2342" s="2" t="str">
        <f>IFERROR(__xludf.DUMMYFUNCTION("IF('From Order'!$A2342=COLUMNS($A2342:H2361), LEFT(INDEX(FILTER(H$1:H2341, H$1:H2341&lt;&gt;""""),COUNTA(FILTER(H$1:H2341, H$1:H2341&lt;&gt;""""))), LEN(INDEX(FILTER(H$1:H2341, H$1:H2341&lt;&gt;""""),COUNTA(FILTER(H$1:H2341, H$1:H2341&lt;&gt;""""))))-1), IF('To Order'!$A2342=COL"&amp;"UMNS($A2342:H2361), H2341&amp;RIGHT(INDIRECT(ADDRESS(ROW(H2342)-1, 'From Order'!$A2342)), 1), H2341))"),"")</f>
        <v/>
      </c>
      <c r="I2342" s="2" t="str">
        <f>IFERROR(__xludf.DUMMYFUNCTION("IF('From Order'!$A2342=COLUMNS($A2342:I2361), LEFT(INDEX(FILTER(I$1:I2341, I$1:I2341&lt;&gt;""""),COUNTA(FILTER(I$1:I2341, I$1:I2341&lt;&gt;""""))), LEN(INDEX(FILTER(I$1:I2341, I$1:I2341&lt;&gt;""""),COUNTA(FILTER(I$1:I2341, I$1:I2341&lt;&gt;""""))))-1), IF('To Order'!$A2342=COL"&amp;"UMNS($A2342:I2361), I2341&amp;RIGHT(INDIRECT(ADDRESS(ROW(I2342)-1, 'From Order'!$A2342)), 1), I2341))"),"DDDVQZDMTTGM")</f>
        <v>DDDVQZDMTTGM</v>
      </c>
    </row>
    <row r="2343">
      <c r="A2343" s="2" t="str">
        <f>IFERROR(__xludf.DUMMYFUNCTION("IF('From Order'!$A2343=COLUMNS($A2343:A2362), LEFT(INDEX(FILTER(A$1:A2342, A$1:A2342&lt;&gt;""""),COUNTA(FILTER(A$1:A2342, A$1:A2342&lt;&gt;""""))), LEN(INDEX(FILTER(A$1:A2342, A$1:A2342&lt;&gt;""""),COUNTA(FILTER(A$1:A2342, A$1:A2342&lt;&gt;""""))))-1), IF('To Order'!$A2343=COL"&amp;"UMNS($A2343:A2362), A2342&amp;RIGHT(INDIRECT(ADDRESS(ROW(A2343)-1, 'From Order'!$A2343)), 1), A2342))"),"")</f>
        <v/>
      </c>
      <c r="B2343" s="2" t="str">
        <f>IFERROR(__xludf.DUMMYFUNCTION("IF('From Order'!$A2343=COLUMNS($A2343:B2362), LEFT(INDEX(FILTER(B$1:B2342, B$1:B2342&lt;&gt;""""),COUNTA(FILTER(B$1:B2342, B$1:B2342&lt;&gt;""""))), LEN(INDEX(FILTER(B$1:B2342, B$1:B2342&lt;&gt;""""),COUNTA(FILTER(B$1:B2342, B$1:B2342&lt;&gt;""""))))-1), IF('To Order'!$A2343=COL"&amp;"UMNS($A2343:B2362), B2342&amp;RIGHT(INDIRECT(ADDRESS(ROW(B2343)-1, 'From Order'!$A2343)), 1), B2342))"),"")</f>
        <v/>
      </c>
      <c r="C2343" s="2" t="str">
        <f>IFERROR(__xludf.DUMMYFUNCTION("IF('From Order'!$A2343=COLUMNS($A2343:C2362), LEFT(INDEX(FILTER(C$1:C2342, C$1:C2342&lt;&gt;""""),COUNTA(FILTER(C$1:C2342, C$1:C2342&lt;&gt;""""))), LEN(INDEX(FILTER(C$1:C2342, C$1:C2342&lt;&gt;""""),COUNTA(FILTER(C$1:C2342, C$1:C2342&lt;&gt;""""))))-1), IF('To Order'!$A2343=COL"&amp;"UMNS($A2343:C2362), C2342&amp;RIGHT(INDIRECT(ADDRESS(ROW(C2343)-1, 'From Order'!$A2343)), 1), C2342))"),"VBJV")</f>
        <v>VBJV</v>
      </c>
      <c r="D2343" s="2" t="str">
        <f>IFERROR(__xludf.DUMMYFUNCTION("IF('From Order'!$A2343=COLUMNS($A2343:D2362), LEFT(INDEX(FILTER(D$1:D2342, D$1:D2342&lt;&gt;""""),COUNTA(FILTER(D$1:D2342, D$1:D2342&lt;&gt;""""))), LEN(INDEX(FILTER(D$1:D2342, D$1:D2342&lt;&gt;""""),COUNTA(FILTER(D$1:D2342, D$1:D2342&lt;&gt;""""))))-1), IF('To Order'!$A2343=COL"&amp;"UMNS($A2343:D2362), D2342&amp;RIGHT(INDIRECT(ADDRESS(ROW(D2343)-1, 'From Order'!$A2343)), 1), D2342))"),"GRD")</f>
        <v>GRD</v>
      </c>
      <c r="E2343" s="2" t="str">
        <f>IFERROR(__xludf.DUMMYFUNCTION("IF('From Order'!$A2343=COLUMNS($A2343:E2362), LEFT(INDEX(FILTER(E$1:E2342, E$1:E2342&lt;&gt;""""),COUNTA(FILTER(E$1:E2342, E$1:E2342&lt;&gt;""""))), LEN(INDEX(FILTER(E$1:E2342, E$1:E2342&lt;&gt;""""),COUNTA(FILTER(E$1:E2342, E$1:E2342&lt;&gt;""""))))-1), IF('To Order'!$A2343=COL"&amp;"UMNS($A2343:E2362), E2342&amp;RIGHT(INDIRECT(ADDRESS(ROW(E2343)-1, 'From Order'!$A2343)), 1), E2342))"),"BRPHZMTSSPLRRJTTQR")</f>
        <v>BRPHZMTSSPLRRJTTQR</v>
      </c>
      <c r="F2343" s="2" t="str">
        <f>IFERROR(__xludf.DUMMYFUNCTION("IF('From Order'!$A2343=COLUMNS($A2343:F2362), LEFT(INDEX(FILTER(F$1:F2342, F$1:F2342&lt;&gt;""""),COUNTA(FILTER(F$1:F2342, F$1:F2342&lt;&gt;""""))), LEN(INDEX(FILTER(F$1:F2342, F$1:F2342&lt;&gt;""""),COUNTA(FILTER(F$1:F2342, F$1:F2342&lt;&gt;""""))))-1), IF('To Order'!$A2343=COL"&amp;"UMNS($A2343:F2362), F2342&amp;RIGHT(INDIRECT(ADDRESS(ROW(F2343)-1, 'From Order'!$A2343)), 1), F2342))"),"FJPS")</f>
        <v>FJPS</v>
      </c>
      <c r="G2343" s="2" t="str">
        <f>IFERROR(__xludf.DUMMYFUNCTION("IF('From Order'!$A2343=COLUMNS($A2343:G2362), LEFT(INDEX(FILTER(G$1:G2342, G$1:G2342&lt;&gt;""""),COUNTA(FILTER(G$1:G2342, G$1:G2342&lt;&gt;""""))), LEN(INDEX(FILTER(G$1:G2342, G$1:G2342&lt;&gt;""""),COUNTA(FILTER(G$1:G2342, G$1:G2342&lt;&gt;""""))))-1), IF('To Order'!$A2343=COL"&amp;"UMNS($A2343:G2362), G2342&amp;RIGHT(INDIRECT(ADDRESS(ROW(G2343)-1, 'From Order'!$A2343)), 1), G2342))"),"BWDCCSZHTWLLFBC")</f>
        <v>BWDCCSZHTWLLFBC</v>
      </c>
      <c r="H2343" s="2" t="str">
        <f>IFERROR(__xludf.DUMMYFUNCTION("IF('From Order'!$A2343=COLUMNS($A2343:H2362), LEFT(INDEX(FILTER(H$1:H2342, H$1:H2342&lt;&gt;""""),COUNTA(FILTER(H$1:H2342, H$1:H2342&lt;&gt;""""))), LEN(INDEX(FILTER(H$1:H2342, H$1:H2342&lt;&gt;""""),COUNTA(FILTER(H$1:H2342, H$1:H2342&lt;&gt;""""))))-1), IF('To Order'!$A2343=COL"&amp;"UMNS($A2343:H2362), H2342&amp;RIGHT(INDIRECT(ADDRESS(ROW(H2343)-1, 'From Order'!$A2343)), 1), H2342))"),"")</f>
        <v/>
      </c>
      <c r="I2343" s="2" t="str">
        <f>IFERROR(__xludf.DUMMYFUNCTION("IF('From Order'!$A2343=COLUMNS($A2343:I2362), LEFT(INDEX(FILTER(I$1:I2342, I$1:I2342&lt;&gt;""""),COUNTA(FILTER(I$1:I2342, I$1:I2342&lt;&gt;""""))), LEN(INDEX(FILTER(I$1:I2342, I$1:I2342&lt;&gt;""""),COUNTA(FILTER(I$1:I2342, I$1:I2342&lt;&gt;""""))))-1), IF('To Order'!$A2343=COL"&amp;"UMNS($A2343:I2362), I2342&amp;RIGHT(INDIRECT(ADDRESS(ROW(I2343)-1, 'From Order'!$A2343)), 1), I2342))"),"DDDVQZDMTTGM")</f>
        <v>DDDVQZDMTTGM</v>
      </c>
    </row>
    <row r="2344">
      <c r="A2344" s="2" t="str">
        <f>IFERROR(__xludf.DUMMYFUNCTION("IF('From Order'!$A2344=COLUMNS($A2344:A2363), LEFT(INDEX(FILTER(A$1:A2343, A$1:A2343&lt;&gt;""""),COUNTA(FILTER(A$1:A2343, A$1:A2343&lt;&gt;""""))), LEN(INDEX(FILTER(A$1:A2343, A$1:A2343&lt;&gt;""""),COUNTA(FILTER(A$1:A2343, A$1:A2343&lt;&gt;""""))))-1), IF('To Order'!$A2344=COL"&amp;"UMNS($A2344:A2363), A2343&amp;RIGHT(INDIRECT(ADDRESS(ROW(A2344)-1, 'From Order'!$A2344)), 1), A2343))"),"")</f>
        <v/>
      </c>
      <c r="B2344" s="2" t="str">
        <f>IFERROR(__xludf.DUMMYFUNCTION("IF('From Order'!$A2344=COLUMNS($A2344:B2363), LEFT(INDEX(FILTER(B$1:B2343, B$1:B2343&lt;&gt;""""),COUNTA(FILTER(B$1:B2343, B$1:B2343&lt;&gt;""""))), LEN(INDEX(FILTER(B$1:B2343, B$1:B2343&lt;&gt;""""),COUNTA(FILTER(B$1:B2343, B$1:B2343&lt;&gt;""""))))-1), IF('To Order'!$A2344=COL"&amp;"UMNS($A2344:B2363), B2343&amp;RIGHT(INDIRECT(ADDRESS(ROW(B2344)-1, 'From Order'!$A2344)), 1), B2343))"),"")</f>
        <v/>
      </c>
      <c r="C2344" s="2" t="str">
        <f>IFERROR(__xludf.DUMMYFUNCTION("IF('From Order'!$A2344=COLUMNS($A2344:C2363), LEFT(INDEX(FILTER(C$1:C2343, C$1:C2343&lt;&gt;""""),COUNTA(FILTER(C$1:C2343, C$1:C2343&lt;&gt;""""))), LEN(INDEX(FILTER(C$1:C2343, C$1:C2343&lt;&gt;""""),COUNTA(FILTER(C$1:C2343, C$1:C2343&lt;&gt;""""))))-1), IF('To Order'!$A2344=COL"&amp;"UMNS($A2344:C2363), C2343&amp;RIGHT(INDIRECT(ADDRESS(ROW(C2344)-1, 'From Order'!$A2344)), 1), C2343))"),"VBJV")</f>
        <v>VBJV</v>
      </c>
      <c r="D2344" s="2" t="str">
        <f>IFERROR(__xludf.DUMMYFUNCTION("IF('From Order'!$A2344=COLUMNS($A2344:D2363), LEFT(INDEX(FILTER(D$1:D2343, D$1:D2343&lt;&gt;""""),COUNTA(FILTER(D$1:D2343, D$1:D2343&lt;&gt;""""))), LEN(INDEX(FILTER(D$1:D2343, D$1:D2343&lt;&gt;""""),COUNTA(FILTER(D$1:D2343, D$1:D2343&lt;&gt;""""))))-1), IF('To Order'!$A2344=COL"&amp;"UMNS($A2344:D2363), D2343&amp;RIGHT(INDIRECT(ADDRESS(ROW(D2344)-1, 'From Order'!$A2344)), 1), D2343))"),"GRD")</f>
        <v>GRD</v>
      </c>
      <c r="E2344" s="2" t="str">
        <f>IFERROR(__xludf.DUMMYFUNCTION("IF('From Order'!$A2344=COLUMNS($A2344:E2363), LEFT(INDEX(FILTER(E$1:E2343, E$1:E2343&lt;&gt;""""),COUNTA(FILTER(E$1:E2343, E$1:E2343&lt;&gt;""""))), LEN(INDEX(FILTER(E$1:E2343, E$1:E2343&lt;&gt;""""),COUNTA(FILTER(E$1:E2343, E$1:E2343&lt;&gt;""""))))-1), IF('To Order'!$A2344=COL"&amp;"UMNS($A2344:E2363), E2343&amp;RIGHT(INDIRECT(ADDRESS(ROW(E2344)-1, 'From Order'!$A2344)), 1), E2343))"),"BRPHZMTSSPLRRJTTQRS")</f>
        <v>BRPHZMTSSPLRRJTTQRS</v>
      </c>
      <c r="F2344" s="2" t="str">
        <f>IFERROR(__xludf.DUMMYFUNCTION("IF('From Order'!$A2344=COLUMNS($A2344:F2363), LEFT(INDEX(FILTER(F$1:F2343, F$1:F2343&lt;&gt;""""),COUNTA(FILTER(F$1:F2343, F$1:F2343&lt;&gt;""""))), LEN(INDEX(FILTER(F$1:F2343, F$1:F2343&lt;&gt;""""),COUNTA(FILTER(F$1:F2343, F$1:F2343&lt;&gt;""""))))-1), IF('To Order'!$A2344=COL"&amp;"UMNS($A2344:F2363), F2343&amp;RIGHT(INDIRECT(ADDRESS(ROW(F2344)-1, 'From Order'!$A2344)), 1), F2343))"),"FJP")</f>
        <v>FJP</v>
      </c>
      <c r="G2344" s="2" t="str">
        <f>IFERROR(__xludf.DUMMYFUNCTION("IF('From Order'!$A2344=COLUMNS($A2344:G2363), LEFT(INDEX(FILTER(G$1:G2343, G$1:G2343&lt;&gt;""""),COUNTA(FILTER(G$1:G2343, G$1:G2343&lt;&gt;""""))), LEN(INDEX(FILTER(G$1:G2343, G$1:G2343&lt;&gt;""""),COUNTA(FILTER(G$1:G2343, G$1:G2343&lt;&gt;""""))))-1), IF('To Order'!$A2344=COL"&amp;"UMNS($A2344:G2363), G2343&amp;RIGHT(INDIRECT(ADDRESS(ROW(G2344)-1, 'From Order'!$A2344)), 1), G2343))"),"BWDCCSZHTWLLFBC")</f>
        <v>BWDCCSZHTWLLFBC</v>
      </c>
      <c r="H2344" s="2" t="str">
        <f>IFERROR(__xludf.DUMMYFUNCTION("IF('From Order'!$A2344=COLUMNS($A2344:H2363), LEFT(INDEX(FILTER(H$1:H2343, H$1:H2343&lt;&gt;""""),COUNTA(FILTER(H$1:H2343, H$1:H2343&lt;&gt;""""))), LEN(INDEX(FILTER(H$1:H2343, H$1:H2343&lt;&gt;""""),COUNTA(FILTER(H$1:H2343, H$1:H2343&lt;&gt;""""))))-1), IF('To Order'!$A2344=COL"&amp;"UMNS($A2344:H2363), H2343&amp;RIGHT(INDIRECT(ADDRESS(ROW(H2344)-1, 'From Order'!$A2344)), 1), H2343))"),"")</f>
        <v/>
      </c>
      <c r="I2344" s="2" t="str">
        <f>IFERROR(__xludf.DUMMYFUNCTION("IF('From Order'!$A2344=COLUMNS($A2344:I2363), LEFT(INDEX(FILTER(I$1:I2343, I$1:I2343&lt;&gt;""""),COUNTA(FILTER(I$1:I2343, I$1:I2343&lt;&gt;""""))), LEN(INDEX(FILTER(I$1:I2343, I$1:I2343&lt;&gt;""""),COUNTA(FILTER(I$1:I2343, I$1:I2343&lt;&gt;""""))))-1), IF('To Order'!$A2344=COL"&amp;"UMNS($A2344:I2363), I2343&amp;RIGHT(INDIRECT(ADDRESS(ROW(I2344)-1, 'From Order'!$A2344)), 1), I2343))"),"DDDVQZDMTTGM")</f>
        <v>DDDVQZDMTTGM</v>
      </c>
    </row>
    <row r="2345">
      <c r="A2345" s="2" t="str">
        <f>IFERROR(__xludf.DUMMYFUNCTION("IF('From Order'!$A2345=COLUMNS($A2345:A2364), LEFT(INDEX(FILTER(A$1:A2344, A$1:A2344&lt;&gt;""""),COUNTA(FILTER(A$1:A2344, A$1:A2344&lt;&gt;""""))), LEN(INDEX(FILTER(A$1:A2344, A$1:A2344&lt;&gt;""""),COUNTA(FILTER(A$1:A2344, A$1:A2344&lt;&gt;""""))))-1), IF('To Order'!$A2345=COL"&amp;"UMNS($A2345:A2364), A2344&amp;RIGHT(INDIRECT(ADDRESS(ROW(A2345)-1, 'From Order'!$A2345)), 1), A2344))"),"")</f>
        <v/>
      </c>
      <c r="B2345" s="2" t="str">
        <f>IFERROR(__xludf.DUMMYFUNCTION("IF('From Order'!$A2345=COLUMNS($A2345:B2364), LEFT(INDEX(FILTER(B$1:B2344, B$1:B2344&lt;&gt;""""),COUNTA(FILTER(B$1:B2344, B$1:B2344&lt;&gt;""""))), LEN(INDEX(FILTER(B$1:B2344, B$1:B2344&lt;&gt;""""),COUNTA(FILTER(B$1:B2344, B$1:B2344&lt;&gt;""""))))-1), IF('To Order'!$A2345=COL"&amp;"UMNS($A2345:B2364), B2344&amp;RIGHT(INDIRECT(ADDRESS(ROW(B2345)-1, 'From Order'!$A2345)), 1), B2344))"),"")</f>
        <v/>
      </c>
      <c r="C2345" s="2" t="str">
        <f>IFERROR(__xludf.DUMMYFUNCTION("IF('From Order'!$A2345=COLUMNS($A2345:C2364), LEFT(INDEX(FILTER(C$1:C2344, C$1:C2344&lt;&gt;""""),COUNTA(FILTER(C$1:C2344, C$1:C2344&lt;&gt;""""))), LEN(INDEX(FILTER(C$1:C2344, C$1:C2344&lt;&gt;""""),COUNTA(FILTER(C$1:C2344, C$1:C2344&lt;&gt;""""))))-1), IF('To Order'!$A2345=COL"&amp;"UMNS($A2345:C2364), C2344&amp;RIGHT(INDIRECT(ADDRESS(ROW(C2345)-1, 'From Order'!$A2345)), 1), C2344))"),"VBJV")</f>
        <v>VBJV</v>
      </c>
      <c r="D2345" s="2" t="str">
        <f>IFERROR(__xludf.DUMMYFUNCTION("IF('From Order'!$A2345=COLUMNS($A2345:D2364), LEFT(INDEX(FILTER(D$1:D2344, D$1:D2344&lt;&gt;""""),COUNTA(FILTER(D$1:D2344, D$1:D2344&lt;&gt;""""))), LEN(INDEX(FILTER(D$1:D2344, D$1:D2344&lt;&gt;""""),COUNTA(FILTER(D$1:D2344, D$1:D2344&lt;&gt;""""))))-1), IF('To Order'!$A2345=COL"&amp;"UMNS($A2345:D2364), D2344&amp;RIGHT(INDIRECT(ADDRESS(ROW(D2345)-1, 'From Order'!$A2345)), 1), D2344))"),"GRD")</f>
        <v>GRD</v>
      </c>
      <c r="E2345" s="2" t="str">
        <f>IFERROR(__xludf.DUMMYFUNCTION("IF('From Order'!$A2345=COLUMNS($A2345:E2364), LEFT(INDEX(FILTER(E$1:E2344, E$1:E2344&lt;&gt;""""),COUNTA(FILTER(E$1:E2344, E$1:E2344&lt;&gt;""""))), LEN(INDEX(FILTER(E$1:E2344, E$1:E2344&lt;&gt;""""),COUNTA(FILTER(E$1:E2344, E$1:E2344&lt;&gt;""""))))-1), IF('To Order'!$A2345=COL"&amp;"UMNS($A2345:E2364), E2344&amp;RIGHT(INDIRECT(ADDRESS(ROW(E2345)-1, 'From Order'!$A2345)), 1), E2344))"),"BRPHZMTSSPLRRJTTQRSP")</f>
        <v>BRPHZMTSSPLRRJTTQRSP</v>
      </c>
      <c r="F2345" s="2" t="str">
        <f>IFERROR(__xludf.DUMMYFUNCTION("IF('From Order'!$A2345=COLUMNS($A2345:F2364), LEFT(INDEX(FILTER(F$1:F2344, F$1:F2344&lt;&gt;""""),COUNTA(FILTER(F$1:F2344, F$1:F2344&lt;&gt;""""))), LEN(INDEX(FILTER(F$1:F2344, F$1:F2344&lt;&gt;""""),COUNTA(FILTER(F$1:F2344, F$1:F2344&lt;&gt;""""))))-1), IF('To Order'!$A2345=COL"&amp;"UMNS($A2345:F2364), F2344&amp;RIGHT(INDIRECT(ADDRESS(ROW(F2345)-1, 'From Order'!$A2345)), 1), F2344))"),"FJ")</f>
        <v>FJ</v>
      </c>
      <c r="G2345" s="2" t="str">
        <f>IFERROR(__xludf.DUMMYFUNCTION("IF('From Order'!$A2345=COLUMNS($A2345:G2364), LEFT(INDEX(FILTER(G$1:G2344, G$1:G2344&lt;&gt;""""),COUNTA(FILTER(G$1:G2344, G$1:G2344&lt;&gt;""""))), LEN(INDEX(FILTER(G$1:G2344, G$1:G2344&lt;&gt;""""),COUNTA(FILTER(G$1:G2344, G$1:G2344&lt;&gt;""""))))-1), IF('To Order'!$A2345=COL"&amp;"UMNS($A2345:G2364), G2344&amp;RIGHT(INDIRECT(ADDRESS(ROW(G2345)-1, 'From Order'!$A2345)), 1), G2344))"),"BWDCCSZHTWLLFBC")</f>
        <v>BWDCCSZHTWLLFBC</v>
      </c>
      <c r="H2345" s="2" t="str">
        <f>IFERROR(__xludf.DUMMYFUNCTION("IF('From Order'!$A2345=COLUMNS($A2345:H2364), LEFT(INDEX(FILTER(H$1:H2344, H$1:H2344&lt;&gt;""""),COUNTA(FILTER(H$1:H2344, H$1:H2344&lt;&gt;""""))), LEN(INDEX(FILTER(H$1:H2344, H$1:H2344&lt;&gt;""""),COUNTA(FILTER(H$1:H2344, H$1:H2344&lt;&gt;""""))))-1), IF('To Order'!$A2345=COL"&amp;"UMNS($A2345:H2364), H2344&amp;RIGHT(INDIRECT(ADDRESS(ROW(H2345)-1, 'From Order'!$A2345)), 1), H2344))"),"")</f>
        <v/>
      </c>
      <c r="I2345" s="2" t="str">
        <f>IFERROR(__xludf.DUMMYFUNCTION("IF('From Order'!$A2345=COLUMNS($A2345:I2364), LEFT(INDEX(FILTER(I$1:I2344, I$1:I2344&lt;&gt;""""),COUNTA(FILTER(I$1:I2344, I$1:I2344&lt;&gt;""""))), LEN(INDEX(FILTER(I$1:I2344, I$1:I2344&lt;&gt;""""),COUNTA(FILTER(I$1:I2344, I$1:I2344&lt;&gt;""""))))-1), IF('To Order'!$A2345=COL"&amp;"UMNS($A2345:I2364), I2344&amp;RIGHT(INDIRECT(ADDRESS(ROW(I2345)-1, 'From Order'!$A2345)), 1), I2344))"),"DDDVQZDMTTGM")</f>
        <v>DDDVQZDMTTGM</v>
      </c>
    </row>
    <row r="2346">
      <c r="A2346" s="2" t="str">
        <f>IFERROR(__xludf.DUMMYFUNCTION("IF('From Order'!$A2346=COLUMNS($A2346:A2365), LEFT(INDEX(FILTER(A$1:A2345, A$1:A2345&lt;&gt;""""),COUNTA(FILTER(A$1:A2345, A$1:A2345&lt;&gt;""""))), LEN(INDEX(FILTER(A$1:A2345, A$1:A2345&lt;&gt;""""),COUNTA(FILTER(A$1:A2345, A$1:A2345&lt;&gt;""""))))-1), IF('To Order'!$A2346=COL"&amp;"UMNS($A2346:A2365), A2345&amp;RIGHT(INDIRECT(ADDRESS(ROW(A2346)-1, 'From Order'!$A2346)), 1), A2345))"),"")</f>
        <v/>
      </c>
      <c r="B2346" s="2" t="str">
        <f>IFERROR(__xludf.DUMMYFUNCTION("IF('From Order'!$A2346=COLUMNS($A2346:B2365), LEFT(INDEX(FILTER(B$1:B2345, B$1:B2345&lt;&gt;""""),COUNTA(FILTER(B$1:B2345, B$1:B2345&lt;&gt;""""))), LEN(INDEX(FILTER(B$1:B2345, B$1:B2345&lt;&gt;""""),COUNTA(FILTER(B$1:B2345, B$1:B2345&lt;&gt;""""))))-1), IF('To Order'!$A2346=COL"&amp;"UMNS($A2346:B2365), B2345&amp;RIGHT(INDIRECT(ADDRESS(ROW(B2346)-1, 'From Order'!$A2346)), 1), B2345))"),"")</f>
        <v/>
      </c>
      <c r="C2346" s="2" t="str">
        <f>IFERROR(__xludf.DUMMYFUNCTION("IF('From Order'!$A2346=COLUMNS($A2346:C2365), LEFT(INDEX(FILTER(C$1:C2345, C$1:C2345&lt;&gt;""""),COUNTA(FILTER(C$1:C2345, C$1:C2345&lt;&gt;""""))), LEN(INDEX(FILTER(C$1:C2345, C$1:C2345&lt;&gt;""""),COUNTA(FILTER(C$1:C2345, C$1:C2345&lt;&gt;""""))))-1), IF('To Order'!$A2346=COL"&amp;"UMNS($A2346:C2365), C2345&amp;RIGHT(INDIRECT(ADDRESS(ROW(C2346)-1, 'From Order'!$A2346)), 1), C2345))"),"VBJV")</f>
        <v>VBJV</v>
      </c>
      <c r="D2346" s="2" t="str">
        <f>IFERROR(__xludf.DUMMYFUNCTION("IF('From Order'!$A2346=COLUMNS($A2346:D2365), LEFT(INDEX(FILTER(D$1:D2345, D$1:D2345&lt;&gt;""""),COUNTA(FILTER(D$1:D2345, D$1:D2345&lt;&gt;""""))), LEN(INDEX(FILTER(D$1:D2345, D$1:D2345&lt;&gt;""""),COUNTA(FILTER(D$1:D2345, D$1:D2345&lt;&gt;""""))))-1), IF('To Order'!$A2346=COL"&amp;"UMNS($A2346:D2365), D2345&amp;RIGHT(INDIRECT(ADDRESS(ROW(D2346)-1, 'From Order'!$A2346)), 1), D2345))"),"GRD")</f>
        <v>GRD</v>
      </c>
      <c r="E2346" s="2" t="str">
        <f>IFERROR(__xludf.DUMMYFUNCTION("IF('From Order'!$A2346=COLUMNS($A2346:E2365), LEFT(INDEX(FILTER(E$1:E2345, E$1:E2345&lt;&gt;""""),COUNTA(FILTER(E$1:E2345, E$1:E2345&lt;&gt;""""))), LEN(INDEX(FILTER(E$1:E2345, E$1:E2345&lt;&gt;""""),COUNTA(FILTER(E$1:E2345, E$1:E2345&lt;&gt;""""))))-1), IF('To Order'!$A2346=COL"&amp;"UMNS($A2346:E2365), E2345&amp;RIGHT(INDIRECT(ADDRESS(ROW(E2346)-1, 'From Order'!$A2346)), 1), E2345))"),"BRPHZMTSSPLRRJTTQRS")</f>
        <v>BRPHZMTSSPLRRJTTQRS</v>
      </c>
      <c r="F2346" s="2" t="str">
        <f>IFERROR(__xludf.DUMMYFUNCTION("IF('From Order'!$A2346=COLUMNS($A2346:F2365), LEFT(INDEX(FILTER(F$1:F2345, F$1:F2345&lt;&gt;""""),COUNTA(FILTER(F$1:F2345, F$1:F2345&lt;&gt;""""))), LEN(INDEX(FILTER(F$1:F2345, F$1:F2345&lt;&gt;""""),COUNTA(FILTER(F$1:F2345, F$1:F2345&lt;&gt;""""))))-1), IF('To Order'!$A2346=COL"&amp;"UMNS($A2346:F2365), F2345&amp;RIGHT(INDIRECT(ADDRESS(ROW(F2346)-1, 'From Order'!$A2346)), 1), F2345))"),"FJ")</f>
        <v>FJ</v>
      </c>
      <c r="G2346" s="2" t="str">
        <f>IFERROR(__xludf.DUMMYFUNCTION("IF('From Order'!$A2346=COLUMNS($A2346:G2365), LEFT(INDEX(FILTER(G$1:G2345, G$1:G2345&lt;&gt;""""),COUNTA(FILTER(G$1:G2345, G$1:G2345&lt;&gt;""""))), LEN(INDEX(FILTER(G$1:G2345, G$1:G2345&lt;&gt;""""),COUNTA(FILTER(G$1:G2345, G$1:G2345&lt;&gt;""""))))-1), IF('To Order'!$A2346=COL"&amp;"UMNS($A2346:G2365), G2345&amp;RIGHT(INDIRECT(ADDRESS(ROW(G2346)-1, 'From Order'!$A2346)), 1), G2345))"),"BWDCCSZHTWLLFBC")</f>
        <v>BWDCCSZHTWLLFBC</v>
      </c>
      <c r="H2346" s="2" t="str">
        <f>IFERROR(__xludf.DUMMYFUNCTION("IF('From Order'!$A2346=COLUMNS($A2346:H2365), LEFT(INDEX(FILTER(H$1:H2345, H$1:H2345&lt;&gt;""""),COUNTA(FILTER(H$1:H2345, H$1:H2345&lt;&gt;""""))), LEN(INDEX(FILTER(H$1:H2345, H$1:H2345&lt;&gt;""""),COUNTA(FILTER(H$1:H2345, H$1:H2345&lt;&gt;""""))))-1), IF('To Order'!$A2346=COL"&amp;"UMNS($A2346:H2365), H2345&amp;RIGHT(INDIRECT(ADDRESS(ROW(H2346)-1, 'From Order'!$A2346)), 1), H2345))"),"")</f>
        <v/>
      </c>
      <c r="I2346" s="2" t="str">
        <f>IFERROR(__xludf.DUMMYFUNCTION("IF('From Order'!$A2346=COLUMNS($A2346:I2365), LEFT(INDEX(FILTER(I$1:I2345, I$1:I2345&lt;&gt;""""),COUNTA(FILTER(I$1:I2345, I$1:I2345&lt;&gt;""""))), LEN(INDEX(FILTER(I$1:I2345, I$1:I2345&lt;&gt;""""),COUNTA(FILTER(I$1:I2345, I$1:I2345&lt;&gt;""""))))-1), IF('To Order'!$A2346=COL"&amp;"UMNS($A2346:I2365), I2345&amp;RIGHT(INDIRECT(ADDRESS(ROW(I2346)-1, 'From Order'!$A2346)), 1), I2345))"),"DDDVQZDMTTGMP")</f>
        <v>DDDVQZDMTTGMP</v>
      </c>
    </row>
    <row r="2347">
      <c r="A2347" s="2" t="str">
        <f>IFERROR(__xludf.DUMMYFUNCTION("IF('From Order'!$A2347=COLUMNS($A2347:A2366), LEFT(INDEX(FILTER(A$1:A2346, A$1:A2346&lt;&gt;""""),COUNTA(FILTER(A$1:A2346, A$1:A2346&lt;&gt;""""))), LEN(INDEX(FILTER(A$1:A2346, A$1:A2346&lt;&gt;""""),COUNTA(FILTER(A$1:A2346, A$1:A2346&lt;&gt;""""))))-1), IF('To Order'!$A2347=COL"&amp;"UMNS($A2347:A2366), A2346&amp;RIGHT(INDIRECT(ADDRESS(ROW(A2347)-1, 'From Order'!$A2347)), 1), A2346))"),"")</f>
        <v/>
      </c>
      <c r="B2347" s="2" t="str">
        <f>IFERROR(__xludf.DUMMYFUNCTION("IF('From Order'!$A2347=COLUMNS($A2347:B2366), LEFT(INDEX(FILTER(B$1:B2346, B$1:B2346&lt;&gt;""""),COUNTA(FILTER(B$1:B2346, B$1:B2346&lt;&gt;""""))), LEN(INDEX(FILTER(B$1:B2346, B$1:B2346&lt;&gt;""""),COUNTA(FILTER(B$1:B2346, B$1:B2346&lt;&gt;""""))))-1), IF('To Order'!$A2347=COL"&amp;"UMNS($A2347:B2366), B2346&amp;RIGHT(INDIRECT(ADDRESS(ROW(B2347)-1, 'From Order'!$A2347)), 1), B2346))"),"")</f>
        <v/>
      </c>
      <c r="C2347" s="2" t="str">
        <f>IFERROR(__xludf.DUMMYFUNCTION("IF('From Order'!$A2347=COLUMNS($A2347:C2366), LEFT(INDEX(FILTER(C$1:C2346, C$1:C2346&lt;&gt;""""),COUNTA(FILTER(C$1:C2346, C$1:C2346&lt;&gt;""""))), LEN(INDEX(FILTER(C$1:C2346, C$1:C2346&lt;&gt;""""),COUNTA(FILTER(C$1:C2346, C$1:C2346&lt;&gt;""""))))-1), IF('To Order'!$A2347=COL"&amp;"UMNS($A2347:C2366), C2346&amp;RIGHT(INDIRECT(ADDRESS(ROW(C2347)-1, 'From Order'!$A2347)), 1), C2346))"),"VBJV")</f>
        <v>VBJV</v>
      </c>
      <c r="D2347" s="2" t="str">
        <f>IFERROR(__xludf.DUMMYFUNCTION("IF('From Order'!$A2347=COLUMNS($A2347:D2366), LEFT(INDEX(FILTER(D$1:D2346, D$1:D2346&lt;&gt;""""),COUNTA(FILTER(D$1:D2346, D$1:D2346&lt;&gt;""""))), LEN(INDEX(FILTER(D$1:D2346, D$1:D2346&lt;&gt;""""),COUNTA(FILTER(D$1:D2346, D$1:D2346&lt;&gt;""""))))-1), IF('To Order'!$A2347=COL"&amp;"UMNS($A2347:D2366), D2346&amp;RIGHT(INDIRECT(ADDRESS(ROW(D2347)-1, 'From Order'!$A2347)), 1), D2346))"),"GRD")</f>
        <v>GRD</v>
      </c>
      <c r="E2347" s="2" t="str">
        <f>IFERROR(__xludf.DUMMYFUNCTION("IF('From Order'!$A2347=COLUMNS($A2347:E2366), LEFT(INDEX(FILTER(E$1:E2346, E$1:E2346&lt;&gt;""""),COUNTA(FILTER(E$1:E2346, E$1:E2346&lt;&gt;""""))), LEN(INDEX(FILTER(E$1:E2346, E$1:E2346&lt;&gt;""""),COUNTA(FILTER(E$1:E2346, E$1:E2346&lt;&gt;""""))))-1), IF('To Order'!$A2347=COL"&amp;"UMNS($A2347:E2366), E2346&amp;RIGHT(INDIRECT(ADDRESS(ROW(E2347)-1, 'From Order'!$A2347)), 1), E2346))"),"BRPHZMTSSPLRRJTTQR")</f>
        <v>BRPHZMTSSPLRRJTTQR</v>
      </c>
      <c r="F2347" s="2" t="str">
        <f>IFERROR(__xludf.DUMMYFUNCTION("IF('From Order'!$A2347=COLUMNS($A2347:F2366), LEFT(INDEX(FILTER(F$1:F2346, F$1:F2346&lt;&gt;""""),COUNTA(FILTER(F$1:F2346, F$1:F2346&lt;&gt;""""))), LEN(INDEX(FILTER(F$1:F2346, F$1:F2346&lt;&gt;""""),COUNTA(FILTER(F$1:F2346, F$1:F2346&lt;&gt;""""))))-1), IF('To Order'!$A2347=COL"&amp;"UMNS($A2347:F2366), F2346&amp;RIGHT(INDIRECT(ADDRESS(ROW(F2347)-1, 'From Order'!$A2347)), 1), F2346))"),"FJ")</f>
        <v>FJ</v>
      </c>
      <c r="G2347" s="2" t="str">
        <f>IFERROR(__xludf.DUMMYFUNCTION("IF('From Order'!$A2347=COLUMNS($A2347:G2366), LEFT(INDEX(FILTER(G$1:G2346, G$1:G2346&lt;&gt;""""),COUNTA(FILTER(G$1:G2346, G$1:G2346&lt;&gt;""""))), LEN(INDEX(FILTER(G$1:G2346, G$1:G2346&lt;&gt;""""),COUNTA(FILTER(G$1:G2346, G$1:G2346&lt;&gt;""""))))-1), IF('To Order'!$A2347=COL"&amp;"UMNS($A2347:G2366), G2346&amp;RIGHT(INDIRECT(ADDRESS(ROW(G2347)-1, 'From Order'!$A2347)), 1), G2346))"),"BWDCCSZHTWLLFBC")</f>
        <v>BWDCCSZHTWLLFBC</v>
      </c>
      <c r="H2347" s="2" t="str">
        <f>IFERROR(__xludf.DUMMYFUNCTION("IF('From Order'!$A2347=COLUMNS($A2347:H2366), LEFT(INDEX(FILTER(H$1:H2346, H$1:H2346&lt;&gt;""""),COUNTA(FILTER(H$1:H2346, H$1:H2346&lt;&gt;""""))), LEN(INDEX(FILTER(H$1:H2346, H$1:H2346&lt;&gt;""""),COUNTA(FILTER(H$1:H2346, H$1:H2346&lt;&gt;""""))))-1), IF('To Order'!$A2347=COL"&amp;"UMNS($A2347:H2366), H2346&amp;RIGHT(INDIRECT(ADDRESS(ROW(H2347)-1, 'From Order'!$A2347)), 1), H2346))"),"")</f>
        <v/>
      </c>
      <c r="I2347" s="2" t="str">
        <f>IFERROR(__xludf.DUMMYFUNCTION("IF('From Order'!$A2347=COLUMNS($A2347:I2366), LEFT(INDEX(FILTER(I$1:I2346, I$1:I2346&lt;&gt;""""),COUNTA(FILTER(I$1:I2346, I$1:I2346&lt;&gt;""""))), LEN(INDEX(FILTER(I$1:I2346, I$1:I2346&lt;&gt;""""),COUNTA(FILTER(I$1:I2346, I$1:I2346&lt;&gt;""""))))-1), IF('To Order'!$A2347=COL"&amp;"UMNS($A2347:I2366), I2346&amp;RIGHT(INDIRECT(ADDRESS(ROW(I2347)-1, 'From Order'!$A2347)), 1), I2346))"),"DDDVQZDMTTGMPS")</f>
        <v>DDDVQZDMTTGMPS</v>
      </c>
    </row>
    <row r="2348">
      <c r="A2348" s="2" t="str">
        <f>IFERROR(__xludf.DUMMYFUNCTION("IF('From Order'!$A2348=COLUMNS($A2348:A2367), LEFT(INDEX(FILTER(A$1:A2347, A$1:A2347&lt;&gt;""""),COUNTA(FILTER(A$1:A2347, A$1:A2347&lt;&gt;""""))), LEN(INDEX(FILTER(A$1:A2347, A$1:A2347&lt;&gt;""""),COUNTA(FILTER(A$1:A2347, A$1:A2347&lt;&gt;""""))))-1), IF('To Order'!$A2348=COL"&amp;"UMNS($A2348:A2367), A2347&amp;RIGHT(INDIRECT(ADDRESS(ROW(A2348)-1, 'From Order'!$A2348)), 1), A2347))"),"")</f>
        <v/>
      </c>
      <c r="B2348" s="2" t="str">
        <f>IFERROR(__xludf.DUMMYFUNCTION("IF('From Order'!$A2348=COLUMNS($A2348:B2367), LEFT(INDEX(FILTER(B$1:B2347, B$1:B2347&lt;&gt;""""),COUNTA(FILTER(B$1:B2347, B$1:B2347&lt;&gt;""""))), LEN(INDEX(FILTER(B$1:B2347, B$1:B2347&lt;&gt;""""),COUNTA(FILTER(B$1:B2347, B$1:B2347&lt;&gt;""""))))-1), IF('To Order'!$A2348=COL"&amp;"UMNS($A2348:B2367), B2347&amp;RIGHT(INDIRECT(ADDRESS(ROW(B2348)-1, 'From Order'!$A2348)), 1), B2347))"),"")</f>
        <v/>
      </c>
      <c r="C2348" s="2" t="str">
        <f>IFERROR(__xludf.DUMMYFUNCTION("IF('From Order'!$A2348=COLUMNS($A2348:C2367), LEFT(INDEX(FILTER(C$1:C2347, C$1:C2347&lt;&gt;""""),COUNTA(FILTER(C$1:C2347, C$1:C2347&lt;&gt;""""))), LEN(INDEX(FILTER(C$1:C2347, C$1:C2347&lt;&gt;""""),COUNTA(FILTER(C$1:C2347, C$1:C2347&lt;&gt;""""))))-1), IF('To Order'!$A2348=COL"&amp;"UMNS($A2348:C2367), C2347&amp;RIGHT(INDIRECT(ADDRESS(ROW(C2348)-1, 'From Order'!$A2348)), 1), C2347))"),"VBJV")</f>
        <v>VBJV</v>
      </c>
      <c r="D2348" s="2" t="str">
        <f>IFERROR(__xludf.DUMMYFUNCTION("IF('From Order'!$A2348=COLUMNS($A2348:D2367), LEFT(INDEX(FILTER(D$1:D2347, D$1:D2347&lt;&gt;""""),COUNTA(FILTER(D$1:D2347, D$1:D2347&lt;&gt;""""))), LEN(INDEX(FILTER(D$1:D2347, D$1:D2347&lt;&gt;""""),COUNTA(FILTER(D$1:D2347, D$1:D2347&lt;&gt;""""))))-1), IF('To Order'!$A2348=COL"&amp;"UMNS($A2348:D2367), D2347&amp;RIGHT(INDIRECT(ADDRESS(ROW(D2348)-1, 'From Order'!$A2348)), 1), D2347))"),"GRD")</f>
        <v>GRD</v>
      </c>
      <c r="E2348" s="2" t="str">
        <f>IFERROR(__xludf.DUMMYFUNCTION("IF('From Order'!$A2348=COLUMNS($A2348:E2367), LEFT(INDEX(FILTER(E$1:E2347, E$1:E2347&lt;&gt;""""),COUNTA(FILTER(E$1:E2347, E$1:E2347&lt;&gt;""""))), LEN(INDEX(FILTER(E$1:E2347, E$1:E2347&lt;&gt;""""),COUNTA(FILTER(E$1:E2347, E$1:E2347&lt;&gt;""""))))-1), IF('To Order'!$A2348=COL"&amp;"UMNS($A2348:E2367), E2347&amp;RIGHT(INDIRECT(ADDRESS(ROW(E2348)-1, 'From Order'!$A2348)), 1), E2347))"),"BRPHZMTSSPLRRJTTQ")</f>
        <v>BRPHZMTSSPLRRJTTQ</v>
      </c>
      <c r="F2348" s="2" t="str">
        <f>IFERROR(__xludf.DUMMYFUNCTION("IF('From Order'!$A2348=COLUMNS($A2348:F2367), LEFT(INDEX(FILTER(F$1:F2347, F$1:F2347&lt;&gt;""""),COUNTA(FILTER(F$1:F2347, F$1:F2347&lt;&gt;""""))), LEN(INDEX(FILTER(F$1:F2347, F$1:F2347&lt;&gt;""""),COUNTA(FILTER(F$1:F2347, F$1:F2347&lt;&gt;""""))))-1), IF('To Order'!$A2348=COL"&amp;"UMNS($A2348:F2367), F2347&amp;RIGHT(INDIRECT(ADDRESS(ROW(F2348)-1, 'From Order'!$A2348)), 1), F2347))"),"FJ")</f>
        <v>FJ</v>
      </c>
      <c r="G2348" s="2" t="str">
        <f>IFERROR(__xludf.DUMMYFUNCTION("IF('From Order'!$A2348=COLUMNS($A2348:G2367), LEFT(INDEX(FILTER(G$1:G2347, G$1:G2347&lt;&gt;""""),COUNTA(FILTER(G$1:G2347, G$1:G2347&lt;&gt;""""))), LEN(INDEX(FILTER(G$1:G2347, G$1:G2347&lt;&gt;""""),COUNTA(FILTER(G$1:G2347, G$1:G2347&lt;&gt;""""))))-1), IF('To Order'!$A2348=COL"&amp;"UMNS($A2348:G2367), G2347&amp;RIGHT(INDIRECT(ADDRESS(ROW(G2348)-1, 'From Order'!$A2348)), 1), G2347))"),"BWDCCSZHTWLLFBC")</f>
        <v>BWDCCSZHTWLLFBC</v>
      </c>
      <c r="H2348" s="2" t="str">
        <f>IFERROR(__xludf.DUMMYFUNCTION("IF('From Order'!$A2348=COLUMNS($A2348:H2367), LEFT(INDEX(FILTER(H$1:H2347, H$1:H2347&lt;&gt;""""),COUNTA(FILTER(H$1:H2347, H$1:H2347&lt;&gt;""""))), LEN(INDEX(FILTER(H$1:H2347, H$1:H2347&lt;&gt;""""),COUNTA(FILTER(H$1:H2347, H$1:H2347&lt;&gt;""""))))-1), IF('To Order'!$A2348=COL"&amp;"UMNS($A2348:H2367), H2347&amp;RIGHT(INDIRECT(ADDRESS(ROW(H2348)-1, 'From Order'!$A2348)), 1), H2347))"),"")</f>
        <v/>
      </c>
      <c r="I2348" s="2" t="str">
        <f>IFERROR(__xludf.DUMMYFUNCTION("IF('From Order'!$A2348=COLUMNS($A2348:I2367), LEFT(INDEX(FILTER(I$1:I2347, I$1:I2347&lt;&gt;""""),COUNTA(FILTER(I$1:I2347, I$1:I2347&lt;&gt;""""))), LEN(INDEX(FILTER(I$1:I2347, I$1:I2347&lt;&gt;""""),COUNTA(FILTER(I$1:I2347, I$1:I2347&lt;&gt;""""))))-1), IF('To Order'!$A2348=COL"&amp;"UMNS($A2348:I2367), I2347&amp;RIGHT(INDIRECT(ADDRESS(ROW(I2348)-1, 'From Order'!$A2348)), 1), I2347))"),"DDDVQZDMTTGMPSR")</f>
        <v>DDDVQZDMTTGMPSR</v>
      </c>
    </row>
    <row r="2349">
      <c r="A2349" s="2" t="str">
        <f>IFERROR(__xludf.DUMMYFUNCTION("IF('From Order'!$A2349=COLUMNS($A2349:A2368), LEFT(INDEX(FILTER(A$1:A2348, A$1:A2348&lt;&gt;""""),COUNTA(FILTER(A$1:A2348, A$1:A2348&lt;&gt;""""))), LEN(INDEX(FILTER(A$1:A2348, A$1:A2348&lt;&gt;""""),COUNTA(FILTER(A$1:A2348, A$1:A2348&lt;&gt;""""))))-1), IF('To Order'!$A2349=COL"&amp;"UMNS($A2349:A2368), A2348&amp;RIGHT(INDIRECT(ADDRESS(ROW(A2349)-1, 'From Order'!$A2349)), 1), A2348))"),"")</f>
        <v/>
      </c>
      <c r="B2349" s="2" t="str">
        <f>IFERROR(__xludf.DUMMYFUNCTION("IF('From Order'!$A2349=COLUMNS($A2349:B2368), LEFT(INDEX(FILTER(B$1:B2348, B$1:B2348&lt;&gt;""""),COUNTA(FILTER(B$1:B2348, B$1:B2348&lt;&gt;""""))), LEN(INDEX(FILTER(B$1:B2348, B$1:B2348&lt;&gt;""""),COUNTA(FILTER(B$1:B2348, B$1:B2348&lt;&gt;""""))))-1), IF('To Order'!$A2349=COL"&amp;"UMNS($A2349:B2368), B2348&amp;RIGHT(INDIRECT(ADDRESS(ROW(B2349)-1, 'From Order'!$A2349)), 1), B2348))"),"")</f>
        <v/>
      </c>
      <c r="C2349" s="2" t="str">
        <f>IFERROR(__xludf.DUMMYFUNCTION("IF('From Order'!$A2349=COLUMNS($A2349:C2368), LEFT(INDEX(FILTER(C$1:C2348, C$1:C2348&lt;&gt;""""),COUNTA(FILTER(C$1:C2348, C$1:C2348&lt;&gt;""""))), LEN(INDEX(FILTER(C$1:C2348, C$1:C2348&lt;&gt;""""),COUNTA(FILTER(C$1:C2348, C$1:C2348&lt;&gt;""""))))-1), IF('To Order'!$A2349=COL"&amp;"UMNS($A2349:C2368), C2348&amp;RIGHT(INDIRECT(ADDRESS(ROW(C2349)-1, 'From Order'!$A2349)), 1), C2348))"),"VBJV")</f>
        <v>VBJV</v>
      </c>
      <c r="D2349" s="2" t="str">
        <f>IFERROR(__xludf.DUMMYFUNCTION("IF('From Order'!$A2349=COLUMNS($A2349:D2368), LEFT(INDEX(FILTER(D$1:D2348, D$1:D2348&lt;&gt;""""),COUNTA(FILTER(D$1:D2348, D$1:D2348&lt;&gt;""""))), LEN(INDEX(FILTER(D$1:D2348, D$1:D2348&lt;&gt;""""),COUNTA(FILTER(D$1:D2348, D$1:D2348&lt;&gt;""""))))-1), IF('To Order'!$A2349=COL"&amp;"UMNS($A2349:D2368), D2348&amp;RIGHT(INDIRECT(ADDRESS(ROW(D2349)-1, 'From Order'!$A2349)), 1), D2348))"),"GRD")</f>
        <v>GRD</v>
      </c>
      <c r="E2349" s="2" t="str">
        <f>IFERROR(__xludf.DUMMYFUNCTION("IF('From Order'!$A2349=COLUMNS($A2349:E2368), LEFT(INDEX(FILTER(E$1:E2348, E$1:E2348&lt;&gt;""""),COUNTA(FILTER(E$1:E2348, E$1:E2348&lt;&gt;""""))), LEN(INDEX(FILTER(E$1:E2348, E$1:E2348&lt;&gt;""""),COUNTA(FILTER(E$1:E2348, E$1:E2348&lt;&gt;""""))))-1), IF('To Order'!$A2349=COL"&amp;"UMNS($A2349:E2368), E2348&amp;RIGHT(INDIRECT(ADDRESS(ROW(E2349)-1, 'From Order'!$A2349)), 1), E2348))"),"BRPHZMTSSPLRRJTT")</f>
        <v>BRPHZMTSSPLRRJTT</v>
      </c>
      <c r="F2349" s="2" t="str">
        <f>IFERROR(__xludf.DUMMYFUNCTION("IF('From Order'!$A2349=COLUMNS($A2349:F2368), LEFT(INDEX(FILTER(F$1:F2348, F$1:F2348&lt;&gt;""""),COUNTA(FILTER(F$1:F2348, F$1:F2348&lt;&gt;""""))), LEN(INDEX(FILTER(F$1:F2348, F$1:F2348&lt;&gt;""""),COUNTA(FILTER(F$1:F2348, F$1:F2348&lt;&gt;""""))))-1), IF('To Order'!$A2349=COL"&amp;"UMNS($A2349:F2368), F2348&amp;RIGHT(INDIRECT(ADDRESS(ROW(F2349)-1, 'From Order'!$A2349)), 1), F2348))"),"FJ")</f>
        <v>FJ</v>
      </c>
      <c r="G2349" s="2" t="str">
        <f>IFERROR(__xludf.DUMMYFUNCTION("IF('From Order'!$A2349=COLUMNS($A2349:G2368), LEFT(INDEX(FILTER(G$1:G2348, G$1:G2348&lt;&gt;""""),COUNTA(FILTER(G$1:G2348, G$1:G2348&lt;&gt;""""))), LEN(INDEX(FILTER(G$1:G2348, G$1:G2348&lt;&gt;""""),COUNTA(FILTER(G$1:G2348, G$1:G2348&lt;&gt;""""))))-1), IF('To Order'!$A2349=COL"&amp;"UMNS($A2349:G2368), G2348&amp;RIGHT(INDIRECT(ADDRESS(ROW(G2349)-1, 'From Order'!$A2349)), 1), G2348))"),"BWDCCSZHTWLLFBC")</f>
        <v>BWDCCSZHTWLLFBC</v>
      </c>
      <c r="H2349" s="2" t="str">
        <f>IFERROR(__xludf.DUMMYFUNCTION("IF('From Order'!$A2349=COLUMNS($A2349:H2368), LEFT(INDEX(FILTER(H$1:H2348, H$1:H2348&lt;&gt;""""),COUNTA(FILTER(H$1:H2348, H$1:H2348&lt;&gt;""""))), LEN(INDEX(FILTER(H$1:H2348, H$1:H2348&lt;&gt;""""),COUNTA(FILTER(H$1:H2348, H$1:H2348&lt;&gt;""""))))-1), IF('To Order'!$A2349=COL"&amp;"UMNS($A2349:H2368), H2348&amp;RIGHT(INDIRECT(ADDRESS(ROW(H2349)-1, 'From Order'!$A2349)), 1), H2348))"),"")</f>
        <v/>
      </c>
      <c r="I2349" s="2" t="str">
        <f>IFERROR(__xludf.DUMMYFUNCTION("IF('From Order'!$A2349=COLUMNS($A2349:I2368), LEFT(INDEX(FILTER(I$1:I2348, I$1:I2348&lt;&gt;""""),COUNTA(FILTER(I$1:I2348, I$1:I2348&lt;&gt;""""))), LEN(INDEX(FILTER(I$1:I2348, I$1:I2348&lt;&gt;""""),COUNTA(FILTER(I$1:I2348, I$1:I2348&lt;&gt;""""))))-1), IF('To Order'!$A2349=COL"&amp;"UMNS($A2349:I2368), I2348&amp;RIGHT(INDIRECT(ADDRESS(ROW(I2349)-1, 'From Order'!$A2349)), 1), I2348))"),"DDDVQZDMTTGMPSRQ")</f>
        <v>DDDVQZDMTTGMPSRQ</v>
      </c>
    </row>
    <row r="2350">
      <c r="A2350" s="2" t="str">
        <f>IFERROR(__xludf.DUMMYFUNCTION("IF('From Order'!$A2350=COLUMNS($A2350:A2369), LEFT(INDEX(FILTER(A$1:A2349, A$1:A2349&lt;&gt;""""),COUNTA(FILTER(A$1:A2349, A$1:A2349&lt;&gt;""""))), LEN(INDEX(FILTER(A$1:A2349, A$1:A2349&lt;&gt;""""),COUNTA(FILTER(A$1:A2349, A$1:A2349&lt;&gt;""""))))-1), IF('To Order'!$A2350=COL"&amp;"UMNS($A2350:A2369), A2349&amp;RIGHT(INDIRECT(ADDRESS(ROW(A2350)-1, 'From Order'!$A2350)), 1), A2349))"),"")</f>
        <v/>
      </c>
      <c r="B2350" s="2" t="str">
        <f>IFERROR(__xludf.DUMMYFUNCTION("IF('From Order'!$A2350=COLUMNS($A2350:B2369), LEFT(INDEX(FILTER(B$1:B2349, B$1:B2349&lt;&gt;""""),COUNTA(FILTER(B$1:B2349, B$1:B2349&lt;&gt;""""))), LEN(INDEX(FILTER(B$1:B2349, B$1:B2349&lt;&gt;""""),COUNTA(FILTER(B$1:B2349, B$1:B2349&lt;&gt;""""))))-1), IF('To Order'!$A2350=COL"&amp;"UMNS($A2350:B2369), B2349&amp;RIGHT(INDIRECT(ADDRESS(ROW(B2350)-1, 'From Order'!$A2350)), 1), B2349))"),"")</f>
        <v/>
      </c>
      <c r="C2350" s="2" t="str">
        <f>IFERROR(__xludf.DUMMYFUNCTION("IF('From Order'!$A2350=COLUMNS($A2350:C2369), LEFT(INDEX(FILTER(C$1:C2349, C$1:C2349&lt;&gt;""""),COUNTA(FILTER(C$1:C2349, C$1:C2349&lt;&gt;""""))), LEN(INDEX(FILTER(C$1:C2349, C$1:C2349&lt;&gt;""""),COUNTA(FILTER(C$1:C2349, C$1:C2349&lt;&gt;""""))))-1), IF('To Order'!$A2350=COL"&amp;"UMNS($A2350:C2369), C2349&amp;RIGHT(INDIRECT(ADDRESS(ROW(C2350)-1, 'From Order'!$A2350)), 1), C2349))"),"VBJV")</f>
        <v>VBJV</v>
      </c>
      <c r="D2350" s="2" t="str">
        <f>IFERROR(__xludf.DUMMYFUNCTION("IF('From Order'!$A2350=COLUMNS($A2350:D2369), LEFT(INDEX(FILTER(D$1:D2349, D$1:D2349&lt;&gt;""""),COUNTA(FILTER(D$1:D2349, D$1:D2349&lt;&gt;""""))), LEN(INDEX(FILTER(D$1:D2349, D$1:D2349&lt;&gt;""""),COUNTA(FILTER(D$1:D2349, D$1:D2349&lt;&gt;""""))))-1), IF('To Order'!$A2350=COL"&amp;"UMNS($A2350:D2369), D2349&amp;RIGHT(INDIRECT(ADDRESS(ROW(D2350)-1, 'From Order'!$A2350)), 1), D2349))"),"GRD")</f>
        <v>GRD</v>
      </c>
      <c r="E2350" s="2" t="str">
        <f>IFERROR(__xludf.DUMMYFUNCTION("IF('From Order'!$A2350=COLUMNS($A2350:E2369), LEFT(INDEX(FILTER(E$1:E2349, E$1:E2349&lt;&gt;""""),COUNTA(FILTER(E$1:E2349, E$1:E2349&lt;&gt;""""))), LEN(INDEX(FILTER(E$1:E2349, E$1:E2349&lt;&gt;""""),COUNTA(FILTER(E$1:E2349, E$1:E2349&lt;&gt;""""))))-1), IF('To Order'!$A2350=COL"&amp;"UMNS($A2350:E2369), E2349&amp;RIGHT(INDIRECT(ADDRESS(ROW(E2350)-1, 'From Order'!$A2350)), 1), E2349))"),"BRPHZMTSSPLRRJTT")</f>
        <v>BRPHZMTSSPLRRJTT</v>
      </c>
      <c r="F2350" s="2" t="str">
        <f>IFERROR(__xludf.DUMMYFUNCTION("IF('From Order'!$A2350=COLUMNS($A2350:F2369), LEFT(INDEX(FILTER(F$1:F2349, F$1:F2349&lt;&gt;""""),COUNTA(FILTER(F$1:F2349, F$1:F2349&lt;&gt;""""))), LEN(INDEX(FILTER(F$1:F2349, F$1:F2349&lt;&gt;""""),COUNTA(FILTER(F$1:F2349, F$1:F2349&lt;&gt;""""))))-1), IF('To Order'!$A2350=COL"&amp;"UMNS($A2350:F2369), F2349&amp;RIGHT(INDIRECT(ADDRESS(ROW(F2350)-1, 'From Order'!$A2350)), 1), F2349))"),"FJC")</f>
        <v>FJC</v>
      </c>
      <c r="G2350" s="2" t="str">
        <f>IFERROR(__xludf.DUMMYFUNCTION("IF('From Order'!$A2350=COLUMNS($A2350:G2369), LEFT(INDEX(FILTER(G$1:G2349, G$1:G2349&lt;&gt;""""),COUNTA(FILTER(G$1:G2349, G$1:G2349&lt;&gt;""""))), LEN(INDEX(FILTER(G$1:G2349, G$1:G2349&lt;&gt;""""),COUNTA(FILTER(G$1:G2349, G$1:G2349&lt;&gt;""""))))-1), IF('To Order'!$A2350=COL"&amp;"UMNS($A2350:G2369), G2349&amp;RIGHT(INDIRECT(ADDRESS(ROW(G2350)-1, 'From Order'!$A2350)), 1), G2349))"),"BWDCCSZHTWLLFB")</f>
        <v>BWDCCSZHTWLLFB</v>
      </c>
      <c r="H2350" s="2" t="str">
        <f>IFERROR(__xludf.DUMMYFUNCTION("IF('From Order'!$A2350=COLUMNS($A2350:H2369), LEFT(INDEX(FILTER(H$1:H2349, H$1:H2349&lt;&gt;""""),COUNTA(FILTER(H$1:H2349, H$1:H2349&lt;&gt;""""))), LEN(INDEX(FILTER(H$1:H2349, H$1:H2349&lt;&gt;""""),COUNTA(FILTER(H$1:H2349, H$1:H2349&lt;&gt;""""))))-1), IF('To Order'!$A2350=COL"&amp;"UMNS($A2350:H2369), H2349&amp;RIGHT(INDIRECT(ADDRESS(ROW(H2350)-1, 'From Order'!$A2350)), 1), H2349))"),"")</f>
        <v/>
      </c>
      <c r="I2350" s="2" t="str">
        <f>IFERROR(__xludf.DUMMYFUNCTION("IF('From Order'!$A2350=COLUMNS($A2350:I2369), LEFT(INDEX(FILTER(I$1:I2349, I$1:I2349&lt;&gt;""""),COUNTA(FILTER(I$1:I2349, I$1:I2349&lt;&gt;""""))), LEN(INDEX(FILTER(I$1:I2349, I$1:I2349&lt;&gt;""""),COUNTA(FILTER(I$1:I2349, I$1:I2349&lt;&gt;""""))))-1), IF('To Order'!$A2350=COL"&amp;"UMNS($A2350:I2369), I2349&amp;RIGHT(INDIRECT(ADDRESS(ROW(I2350)-1, 'From Order'!$A2350)), 1), I2349))"),"DDDVQZDMTTGMPSRQ")</f>
        <v>DDDVQZDMTTGMPSRQ</v>
      </c>
    </row>
    <row r="2351">
      <c r="A2351" s="2" t="str">
        <f>IFERROR(__xludf.DUMMYFUNCTION("IF('From Order'!$A2351=COLUMNS($A2351:A2370), LEFT(INDEX(FILTER(A$1:A2350, A$1:A2350&lt;&gt;""""),COUNTA(FILTER(A$1:A2350, A$1:A2350&lt;&gt;""""))), LEN(INDEX(FILTER(A$1:A2350, A$1:A2350&lt;&gt;""""),COUNTA(FILTER(A$1:A2350, A$1:A2350&lt;&gt;""""))))-1), IF('To Order'!$A2351=COL"&amp;"UMNS($A2351:A2370), A2350&amp;RIGHT(INDIRECT(ADDRESS(ROW(A2351)-1, 'From Order'!$A2351)), 1), A2350))"),"")</f>
        <v/>
      </c>
      <c r="B2351" s="2" t="str">
        <f>IFERROR(__xludf.DUMMYFUNCTION("IF('From Order'!$A2351=COLUMNS($A2351:B2370), LEFT(INDEX(FILTER(B$1:B2350, B$1:B2350&lt;&gt;""""),COUNTA(FILTER(B$1:B2350, B$1:B2350&lt;&gt;""""))), LEN(INDEX(FILTER(B$1:B2350, B$1:B2350&lt;&gt;""""),COUNTA(FILTER(B$1:B2350, B$1:B2350&lt;&gt;""""))))-1), IF('To Order'!$A2351=COL"&amp;"UMNS($A2351:B2370), B2350&amp;RIGHT(INDIRECT(ADDRESS(ROW(B2351)-1, 'From Order'!$A2351)), 1), B2350))"),"")</f>
        <v/>
      </c>
      <c r="C2351" s="2" t="str">
        <f>IFERROR(__xludf.DUMMYFUNCTION("IF('From Order'!$A2351=COLUMNS($A2351:C2370), LEFT(INDEX(FILTER(C$1:C2350, C$1:C2350&lt;&gt;""""),COUNTA(FILTER(C$1:C2350, C$1:C2350&lt;&gt;""""))), LEN(INDEX(FILTER(C$1:C2350, C$1:C2350&lt;&gt;""""),COUNTA(FILTER(C$1:C2350, C$1:C2350&lt;&gt;""""))))-1), IF('To Order'!$A2351=COL"&amp;"UMNS($A2351:C2370), C2350&amp;RIGHT(INDIRECT(ADDRESS(ROW(C2351)-1, 'From Order'!$A2351)), 1), C2350))"),"VBJV")</f>
        <v>VBJV</v>
      </c>
      <c r="D2351" s="2" t="str">
        <f>IFERROR(__xludf.DUMMYFUNCTION("IF('From Order'!$A2351=COLUMNS($A2351:D2370), LEFT(INDEX(FILTER(D$1:D2350, D$1:D2350&lt;&gt;""""),COUNTA(FILTER(D$1:D2350, D$1:D2350&lt;&gt;""""))), LEN(INDEX(FILTER(D$1:D2350, D$1:D2350&lt;&gt;""""),COUNTA(FILTER(D$1:D2350, D$1:D2350&lt;&gt;""""))))-1), IF('To Order'!$A2351=COL"&amp;"UMNS($A2351:D2370), D2350&amp;RIGHT(INDIRECT(ADDRESS(ROW(D2351)-1, 'From Order'!$A2351)), 1), D2350))"),"GRD")</f>
        <v>GRD</v>
      </c>
      <c r="E2351" s="2" t="str">
        <f>IFERROR(__xludf.DUMMYFUNCTION("IF('From Order'!$A2351=COLUMNS($A2351:E2370), LEFT(INDEX(FILTER(E$1:E2350, E$1:E2350&lt;&gt;""""),COUNTA(FILTER(E$1:E2350, E$1:E2350&lt;&gt;""""))), LEN(INDEX(FILTER(E$1:E2350, E$1:E2350&lt;&gt;""""),COUNTA(FILTER(E$1:E2350, E$1:E2350&lt;&gt;""""))))-1), IF('To Order'!$A2351=COL"&amp;"UMNS($A2351:E2370), E2350&amp;RIGHT(INDIRECT(ADDRESS(ROW(E2351)-1, 'From Order'!$A2351)), 1), E2350))"),"BRPHZMTSSPLRRJTT")</f>
        <v>BRPHZMTSSPLRRJTT</v>
      </c>
      <c r="F2351" s="2" t="str">
        <f>IFERROR(__xludf.DUMMYFUNCTION("IF('From Order'!$A2351=COLUMNS($A2351:F2370), LEFT(INDEX(FILTER(F$1:F2350, F$1:F2350&lt;&gt;""""),COUNTA(FILTER(F$1:F2350, F$1:F2350&lt;&gt;""""))), LEN(INDEX(FILTER(F$1:F2350, F$1:F2350&lt;&gt;""""),COUNTA(FILTER(F$1:F2350, F$1:F2350&lt;&gt;""""))))-1), IF('To Order'!$A2351=COL"&amp;"UMNS($A2351:F2370), F2350&amp;RIGHT(INDIRECT(ADDRESS(ROW(F2351)-1, 'From Order'!$A2351)), 1), F2350))"),"FJCB")</f>
        <v>FJCB</v>
      </c>
      <c r="G2351" s="2" t="str">
        <f>IFERROR(__xludf.DUMMYFUNCTION("IF('From Order'!$A2351=COLUMNS($A2351:G2370), LEFT(INDEX(FILTER(G$1:G2350, G$1:G2350&lt;&gt;""""),COUNTA(FILTER(G$1:G2350, G$1:G2350&lt;&gt;""""))), LEN(INDEX(FILTER(G$1:G2350, G$1:G2350&lt;&gt;""""),COUNTA(FILTER(G$1:G2350, G$1:G2350&lt;&gt;""""))))-1), IF('To Order'!$A2351=COL"&amp;"UMNS($A2351:G2370), G2350&amp;RIGHT(INDIRECT(ADDRESS(ROW(G2351)-1, 'From Order'!$A2351)), 1), G2350))"),"BWDCCSZHTWLLF")</f>
        <v>BWDCCSZHTWLLF</v>
      </c>
      <c r="H2351" s="2" t="str">
        <f>IFERROR(__xludf.DUMMYFUNCTION("IF('From Order'!$A2351=COLUMNS($A2351:H2370), LEFT(INDEX(FILTER(H$1:H2350, H$1:H2350&lt;&gt;""""),COUNTA(FILTER(H$1:H2350, H$1:H2350&lt;&gt;""""))), LEN(INDEX(FILTER(H$1:H2350, H$1:H2350&lt;&gt;""""),COUNTA(FILTER(H$1:H2350, H$1:H2350&lt;&gt;""""))))-1), IF('To Order'!$A2351=COL"&amp;"UMNS($A2351:H2370), H2350&amp;RIGHT(INDIRECT(ADDRESS(ROW(H2351)-1, 'From Order'!$A2351)), 1), H2350))"),"")</f>
        <v/>
      </c>
      <c r="I2351" s="2" t="str">
        <f>IFERROR(__xludf.DUMMYFUNCTION("IF('From Order'!$A2351=COLUMNS($A2351:I2370), LEFT(INDEX(FILTER(I$1:I2350, I$1:I2350&lt;&gt;""""),COUNTA(FILTER(I$1:I2350, I$1:I2350&lt;&gt;""""))), LEN(INDEX(FILTER(I$1:I2350, I$1:I2350&lt;&gt;""""),COUNTA(FILTER(I$1:I2350, I$1:I2350&lt;&gt;""""))))-1), IF('To Order'!$A2351=COL"&amp;"UMNS($A2351:I2370), I2350&amp;RIGHT(INDIRECT(ADDRESS(ROW(I2351)-1, 'From Order'!$A2351)), 1), I2350))"),"DDDVQZDMTTGMPSRQ")</f>
        <v>DDDVQZDMTTGMPSRQ</v>
      </c>
    </row>
    <row r="2352">
      <c r="A2352" s="2" t="str">
        <f>IFERROR(__xludf.DUMMYFUNCTION("IF('From Order'!$A2352=COLUMNS($A2352:A2371), LEFT(INDEX(FILTER(A$1:A2351, A$1:A2351&lt;&gt;""""),COUNTA(FILTER(A$1:A2351, A$1:A2351&lt;&gt;""""))), LEN(INDEX(FILTER(A$1:A2351, A$1:A2351&lt;&gt;""""),COUNTA(FILTER(A$1:A2351, A$1:A2351&lt;&gt;""""))))-1), IF('To Order'!$A2352=COL"&amp;"UMNS($A2352:A2371), A2351&amp;RIGHT(INDIRECT(ADDRESS(ROW(A2352)-1, 'From Order'!$A2352)), 1), A2351))"),"")</f>
        <v/>
      </c>
      <c r="B2352" s="2" t="str">
        <f>IFERROR(__xludf.DUMMYFUNCTION("IF('From Order'!$A2352=COLUMNS($A2352:B2371), LEFT(INDEX(FILTER(B$1:B2351, B$1:B2351&lt;&gt;""""),COUNTA(FILTER(B$1:B2351, B$1:B2351&lt;&gt;""""))), LEN(INDEX(FILTER(B$1:B2351, B$1:B2351&lt;&gt;""""),COUNTA(FILTER(B$1:B2351, B$1:B2351&lt;&gt;""""))))-1), IF('To Order'!$A2352=COL"&amp;"UMNS($A2352:B2371), B2351&amp;RIGHT(INDIRECT(ADDRESS(ROW(B2352)-1, 'From Order'!$A2352)), 1), B2351))"),"")</f>
        <v/>
      </c>
      <c r="C2352" s="2" t="str">
        <f>IFERROR(__xludf.DUMMYFUNCTION("IF('From Order'!$A2352=COLUMNS($A2352:C2371), LEFT(INDEX(FILTER(C$1:C2351, C$1:C2351&lt;&gt;""""),COUNTA(FILTER(C$1:C2351, C$1:C2351&lt;&gt;""""))), LEN(INDEX(FILTER(C$1:C2351, C$1:C2351&lt;&gt;""""),COUNTA(FILTER(C$1:C2351, C$1:C2351&lt;&gt;""""))))-1), IF('To Order'!$A2352=COL"&amp;"UMNS($A2352:C2371), C2351&amp;RIGHT(INDIRECT(ADDRESS(ROW(C2352)-1, 'From Order'!$A2352)), 1), C2351))"),"VBJV")</f>
        <v>VBJV</v>
      </c>
      <c r="D2352" s="2" t="str">
        <f>IFERROR(__xludf.DUMMYFUNCTION("IF('From Order'!$A2352=COLUMNS($A2352:D2371), LEFT(INDEX(FILTER(D$1:D2351, D$1:D2351&lt;&gt;""""),COUNTA(FILTER(D$1:D2351, D$1:D2351&lt;&gt;""""))), LEN(INDEX(FILTER(D$1:D2351, D$1:D2351&lt;&gt;""""),COUNTA(FILTER(D$1:D2351, D$1:D2351&lt;&gt;""""))))-1), IF('To Order'!$A2352=COL"&amp;"UMNS($A2352:D2371), D2351&amp;RIGHT(INDIRECT(ADDRESS(ROW(D2352)-1, 'From Order'!$A2352)), 1), D2351))"),"GRD")</f>
        <v>GRD</v>
      </c>
      <c r="E2352" s="2" t="str">
        <f>IFERROR(__xludf.DUMMYFUNCTION("IF('From Order'!$A2352=COLUMNS($A2352:E2371), LEFT(INDEX(FILTER(E$1:E2351, E$1:E2351&lt;&gt;""""),COUNTA(FILTER(E$1:E2351, E$1:E2351&lt;&gt;""""))), LEN(INDEX(FILTER(E$1:E2351, E$1:E2351&lt;&gt;""""),COUNTA(FILTER(E$1:E2351, E$1:E2351&lt;&gt;""""))))-1), IF('To Order'!$A2352=COL"&amp;"UMNS($A2352:E2371), E2351&amp;RIGHT(INDIRECT(ADDRESS(ROW(E2352)-1, 'From Order'!$A2352)), 1), E2351))"),"BRPHZMTSSPLRRJTT")</f>
        <v>BRPHZMTSSPLRRJTT</v>
      </c>
      <c r="F2352" s="2" t="str">
        <f>IFERROR(__xludf.DUMMYFUNCTION("IF('From Order'!$A2352=COLUMNS($A2352:F2371), LEFT(INDEX(FILTER(F$1:F2351, F$1:F2351&lt;&gt;""""),COUNTA(FILTER(F$1:F2351, F$1:F2351&lt;&gt;""""))), LEN(INDEX(FILTER(F$1:F2351, F$1:F2351&lt;&gt;""""),COUNTA(FILTER(F$1:F2351, F$1:F2351&lt;&gt;""""))))-1), IF('To Order'!$A2352=COL"&amp;"UMNS($A2352:F2371), F2351&amp;RIGHT(INDIRECT(ADDRESS(ROW(F2352)-1, 'From Order'!$A2352)), 1), F2351))"),"FJCBF")</f>
        <v>FJCBF</v>
      </c>
      <c r="G2352" s="2" t="str">
        <f>IFERROR(__xludf.DUMMYFUNCTION("IF('From Order'!$A2352=COLUMNS($A2352:G2371), LEFT(INDEX(FILTER(G$1:G2351, G$1:G2351&lt;&gt;""""),COUNTA(FILTER(G$1:G2351, G$1:G2351&lt;&gt;""""))), LEN(INDEX(FILTER(G$1:G2351, G$1:G2351&lt;&gt;""""),COUNTA(FILTER(G$1:G2351, G$1:G2351&lt;&gt;""""))))-1), IF('To Order'!$A2352=COL"&amp;"UMNS($A2352:G2371), G2351&amp;RIGHT(INDIRECT(ADDRESS(ROW(G2352)-1, 'From Order'!$A2352)), 1), G2351))"),"BWDCCSZHTWLL")</f>
        <v>BWDCCSZHTWLL</v>
      </c>
      <c r="H2352" s="2" t="str">
        <f>IFERROR(__xludf.DUMMYFUNCTION("IF('From Order'!$A2352=COLUMNS($A2352:H2371), LEFT(INDEX(FILTER(H$1:H2351, H$1:H2351&lt;&gt;""""),COUNTA(FILTER(H$1:H2351, H$1:H2351&lt;&gt;""""))), LEN(INDEX(FILTER(H$1:H2351, H$1:H2351&lt;&gt;""""),COUNTA(FILTER(H$1:H2351, H$1:H2351&lt;&gt;""""))))-1), IF('To Order'!$A2352=COL"&amp;"UMNS($A2352:H2371), H2351&amp;RIGHT(INDIRECT(ADDRESS(ROW(H2352)-1, 'From Order'!$A2352)), 1), H2351))"),"")</f>
        <v/>
      </c>
      <c r="I2352" s="2" t="str">
        <f>IFERROR(__xludf.DUMMYFUNCTION("IF('From Order'!$A2352=COLUMNS($A2352:I2371), LEFT(INDEX(FILTER(I$1:I2351, I$1:I2351&lt;&gt;""""),COUNTA(FILTER(I$1:I2351, I$1:I2351&lt;&gt;""""))), LEN(INDEX(FILTER(I$1:I2351, I$1:I2351&lt;&gt;""""),COUNTA(FILTER(I$1:I2351, I$1:I2351&lt;&gt;""""))))-1), IF('To Order'!$A2352=COL"&amp;"UMNS($A2352:I2371), I2351&amp;RIGHT(INDIRECT(ADDRESS(ROW(I2352)-1, 'From Order'!$A2352)), 1), I2351))"),"DDDVQZDMTTGMPSRQ")</f>
        <v>DDDVQZDMTTGMPSRQ</v>
      </c>
    </row>
    <row r="2353">
      <c r="A2353" s="2" t="str">
        <f>IFERROR(__xludf.DUMMYFUNCTION("IF('From Order'!$A2353=COLUMNS($A2353:A2372), LEFT(INDEX(FILTER(A$1:A2352, A$1:A2352&lt;&gt;""""),COUNTA(FILTER(A$1:A2352, A$1:A2352&lt;&gt;""""))), LEN(INDEX(FILTER(A$1:A2352, A$1:A2352&lt;&gt;""""),COUNTA(FILTER(A$1:A2352, A$1:A2352&lt;&gt;""""))))-1), IF('To Order'!$A2353=COL"&amp;"UMNS($A2353:A2372), A2352&amp;RIGHT(INDIRECT(ADDRESS(ROW(A2353)-1, 'From Order'!$A2353)), 1), A2352))"),"")</f>
        <v/>
      </c>
      <c r="B2353" s="2" t="str">
        <f>IFERROR(__xludf.DUMMYFUNCTION("IF('From Order'!$A2353=COLUMNS($A2353:B2372), LEFT(INDEX(FILTER(B$1:B2352, B$1:B2352&lt;&gt;""""),COUNTA(FILTER(B$1:B2352, B$1:B2352&lt;&gt;""""))), LEN(INDEX(FILTER(B$1:B2352, B$1:B2352&lt;&gt;""""),COUNTA(FILTER(B$1:B2352, B$1:B2352&lt;&gt;""""))))-1), IF('To Order'!$A2353=COL"&amp;"UMNS($A2353:B2372), B2352&amp;RIGHT(INDIRECT(ADDRESS(ROW(B2353)-1, 'From Order'!$A2353)), 1), B2352))"),"")</f>
        <v/>
      </c>
      <c r="C2353" s="2" t="str">
        <f>IFERROR(__xludf.DUMMYFUNCTION("IF('From Order'!$A2353=COLUMNS($A2353:C2372), LEFT(INDEX(FILTER(C$1:C2352, C$1:C2352&lt;&gt;""""),COUNTA(FILTER(C$1:C2352, C$1:C2352&lt;&gt;""""))), LEN(INDEX(FILTER(C$1:C2352, C$1:C2352&lt;&gt;""""),COUNTA(FILTER(C$1:C2352, C$1:C2352&lt;&gt;""""))))-1), IF('To Order'!$A2353=COL"&amp;"UMNS($A2353:C2372), C2352&amp;RIGHT(INDIRECT(ADDRESS(ROW(C2353)-1, 'From Order'!$A2353)), 1), C2352))"),"VBJV")</f>
        <v>VBJV</v>
      </c>
      <c r="D2353" s="2" t="str">
        <f>IFERROR(__xludf.DUMMYFUNCTION("IF('From Order'!$A2353=COLUMNS($A2353:D2372), LEFT(INDEX(FILTER(D$1:D2352, D$1:D2352&lt;&gt;""""),COUNTA(FILTER(D$1:D2352, D$1:D2352&lt;&gt;""""))), LEN(INDEX(FILTER(D$1:D2352, D$1:D2352&lt;&gt;""""),COUNTA(FILTER(D$1:D2352, D$1:D2352&lt;&gt;""""))))-1), IF('To Order'!$A2353=COL"&amp;"UMNS($A2353:D2372), D2352&amp;RIGHT(INDIRECT(ADDRESS(ROW(D2353)-1, 'From Order'!$A2353)), 1), D2352))"),"GRD")</f>
        <v>GRD</v>
      </c>
      <c r="E2353" s="2" t="str">
        <f>IFERROR(__xludf.DUMMYFUNCTION("IF('From Order'!$A2353=COLUMNS($A2353:E2372), LEFT(INDEX(FILTER(E$1:E2352, E$1:E2352&lt;&gt;""""),COUNTA(FILTER(E$1:E2352, E$1:E2352&lt;&gt;""""))), LEN(INDEX(FILTER(E$1:E2352, E$1:E2352&lt;&gt;""""),COUNTA(FILTER(E$1:E2352, E$1:E2352&lt;&gt;""""))))-1), IF('To Order'!$A2353=COL"&amp;"UMNS($A2353:E2372), E2352&amp;RIGHT(INDIRECT(ADDRESS(ROW(E2353)-1, 'From Order'!$A2353)), 1), E2352))"),"BRPHZMTSSPLRRJTT")</f>
        <v>BRPHZMTSSPLRRJTT</v>
      </c>
      <c r="F2353" s="2" t="str">
        <f>IFERROR(__xludf.DUMMYFUNCTION("IF('From Order'!$A2353=COLUMNS($A2353:F2372), LEFT(INDEX(FILTER(F$1:F2352, F$1:F2352&lt;&gt;""""),COUNTA(FILTER(F$1:F2352, F$1:F2352&lt;&gt;""""))), LEN(INDEX(FILTER(F$1:F2352, F$1:F2352&lt;&gt;""""),COUNTA(FILTER(F$1:F2352, F$1:F2352&lt;&gt;""""))))-1), IF('To Order'!$A2353=COL"&amp;"UMNS($A2353:F2372), F2352&amp;RIGHT(INDIRECT(ADDRESS(ROW(F2353)-1, 'From Order'!$A2353)), 1), F2352))"),"FJCBFL")</f>
        <v>FJCBFL</v>
      </c>
      <c r="G2353" s="2" t="str">
        <f>IFERROR(__xludf.DUMMYFUNCTION("IF('From Order'!$A2353=COLUMNS($A2353:G2372), LEFT(INDEX(FILTER(G$1:G2352, G$1:G2352&lt;&gt;""""),COUNTA(FILTER(G$1:G2352, G$1:G2352&lt;&gt;""""))), LEN(INDEX(FILTER(G$1:G2352, G$1:G2352&lt;&gt;""""),COUNTA(FILTER(G$1:G2352, G$1:G2352&lt;&gt;""""))))-1), IF('To Order'!$A2353=COL"&amp;"UMNS($A2353:G2372), G2352&amp;RIGHT(INDIRECT(ADDRESS(ROW(G2353)-1, 'From Order'!$A2353)), 1), G2352))"),"BWDCCSZHTWL")</f>
        <v>BWDCCSZHTWL</v>
      </c>
      <c r="H2353" s="2" t="str">
        <f>IFERROR(__xludf.DUMMYFUNCTION("IF('From Order'!$A2353=COLUMNS($A2353:H2372), LEFT(INDEX(FILTER(H$1:H2352, H$1:H2352&lt;&gt;""""),COUNTA(FILTER(H$1:H2352, H$1:H2352&lt;&gt;""""))), LEN(INDEX(FILTER(H$1:H2352, H$1:H2352&lt;&gt;""""),COUNTA(FILTER(H$1:H2352, H$1:H2352&lt;&gt;""""))))-1), IF('To Order'!$A2353=COL"&amp;"UMNS($A2353:H2372), H2352&amp;RIGHT(INDIRECT(ADDRESS(ROW(H2353)-1, 'From Order'!$A2353)), 1), H2352))"),"")</f>
        <v/>
      </c>
      <c r="I2353" s="2" t="str">
        <f>IFERROR(__xludf.DUMMYFUNCTION("IF('From Order'!$A2353=COLUMNS($A2353:I2372), LEFT(INDEX(FILTER(I$1:I2352, I$1:I2352&lt;&gt;""""),COUNTA(FILTER(I$1:I2352, I$1:I2352&lt;&gt;""""))), LEN(INDEX(FILTER(I$1:I2352, I$1:I2352&lt;&gt;""""),COUNTA(FILTER(I$1:I2352, I$1:I2352&lt;&gt;""""))))-1), IF('To Order'!$A2353=COL"&amp;"UMNS($A2353:I2372), I2352&amp;RIGHT(INDIRECT(ADDRESS(ROW(I2353)-1, 'From Order'!$A2353)), 1), I2352))"),"DDDVQZDMTTGMPSRQ")</f>
        <v>DDDVQZDMTTGMPSRQ</v>
      </c>
    </row>
    <row r="2354">
      <c r="A2354" s="2" t="str">
        <f>IFERROR(__xludf.DUMMYFUNCTION("IF('From Order'!$A2354=COLUMNS($A2354:A2373), LEFT(INDEX(FILTER(A$1:A2353, A$1:A2353&lt;&gt;""""),COUNTA(FILTER(A$1:A2353, A$1:A2353&lt;&gt;""""))), LEN(INDEX(FILTER(A$1:A2353, A$1:A2353&lt;&gt;""""),COUNTA(FILTER(A$1:A2353, A$1:A2353&lt;&gt;""""))))-1), IF('To Order'!$A2354=COL"&amp;"UMNS($A2354:A2373), A2353&amp;RIGHT(INDIRECT(ADDRESS(ROW(A2354)-1, 'From Order'!$A2354)), 1), A2353))"),"")</f>
        <v/>
      </c>
      <c r="B2354" s="2" t="str">
        <f>IFERROR(__xludf.DUMMYFUNCTION("IF('From Order'!$A2354=COLUMNS($A2354:B2373), LEFT(INDEX(FILTER(B$1:B2353, B$1:B2353&lt;&gt;""""),COUNTA(FILTER(B$1:B2353, B$1:B2353&lt;&gt;""""))), LEN(INDEX(FILTER(B$1:B2353, B$1:B2353&lt;&gt;""""),COUNTA(FILTER(B$1:B2353, B$1:B2353&lt;&gt;""""))))-1), IF('To Order'!$A2354=COL"&amp;"UMNS($A2354:B2373), B2353&amp;RIGHT(INDIRECT(ADDRESS(ROW(B2354)-1, 'From Order'!$A2354)), 1), B2353))"),"")</f>
        <v/>
      </c>
      <c r="C2354" s="2" t="str">
        <f>IFERROR(__xludf.DUMMYFUNCTION("IF('From Order'!$A2354=COLUMNS($A2354:C2373), LEFT(INDEX(FILTER(C$1:C2353, C$1:C2353&lt;&gt;""""),COUNTA(FILTER(C$1:C2353, C$1:C2353&lt;&gt;""""))), LEN(INDEX(FILTER(C$1:C2353, C$1:C2353&lt;&gt;""""),COUNTA(FILTER(C$1:C2353, C$1:C2353&lt;&gt;""""))))-1), IF('To Order'!$A2354=COL"&amp;"UMNS($A2354:C2373), C2353&amp;RIGHT(INDIRECT(ADDRESS(ROW(C2354)-1, 'From Order'!$A2354)), 1), C2353))"),"VBJV")</f>
        <v>VBJV</v>
      </c>
      <c r="D2354" s="2" t="str">
        <f>IFERROR(__xludf.DUMMYFUNCTION("IF('From Order'!$A2354=COLUMNS($A2354:D2373), LEFT(INDEX(FILTER(D$1:D2353, D$1:D2353&lt;&gt;""""),COUNTA(FILTER(D$1:D2353, D$1:D2353&lt;&gt;""""))), LEN(INDEX(FILTER(D$1:D2353, D$1:D2353&lt;&gt;""""),COUNTA(FILTER(D$1:D2353, D$1:D2353&lt;&gt;""""))))-1), IF('To Order'!$A2354=COL"&amp;"UMNS($A2354:D2373), D2353&amp;RIGHT(INDIRECT(ADDRESS(ROW(D2354)-1, 'From Order'!$A2354)), 1), D2353))"),"GRD")</f>
        <v>GRD</v>
      </c>
      <c r="E2354" s="2" t="str">
        <f>IFERROR(__xludf.DUMMYFUNCTION("IF('From Order'!$A2354=COLUMNS($A2354:E2373), LEFT(INDEX(FILTER(E$1:E2353, E$1:E2353&lt;&gt;""""),COUNTA(FILTER(E$1:E2353, E$1:E2353&lt;&gt;""""))), LEN(INDEX(FILTER(E$1:E2353, E$1:E2353&lt;&gt;""""),COUNTA(FILTER(E$1:E2353, E$1:E2353&lt;&gt;""""))))-1), IF('To Order'!$A2354=COL"&amp;"UMNS($A2354:E2373), E2353&amp;RIGHT(INDIRECT(ADDRESS(ROW(E2354)-1, 'From Order'!$A2354)), 1), E2353))"),"BRPHZMTSSPLRRJTT")</f>
        <v>BRPHZMTSSPLRRJTT</v>
      </c>
      <c r="F2354" s="2" t="str">
        <f>IFERROR(__xludf.DUMMYFUNCTION("IF('From Order'!$A2354=COLUMNS($A2354:F2373), LEFT(INDEX(FILTER(F$1:F2353, F$1:F2353&lt;&gt;""""),COUNTA(FILTER(F$1:F2353, F$1:F2353&lt;&gt;""""))), LEN(INDEX(FILTER(F$1:F2353, F$1:F2353&lt;&gt;""""),COUNTA(FILTER(F$1:F2353, F$1:F2353&lt;&gt;""""))))-1), IF('To Order'!$A2354=COL"&amp;"UMNS($A2354:F2373), F2353&amp;RIGHT(INDIRECT(ADDRESS(ROW(F2354)-1, 'From Order'!$A2354)), 1), F2353))"),"FJCBFLL")</f>
        <v>FJCBFLL</v>
      </c>
      <c r="G2354" s="2" t="str">
        <f>IFERROR(__xludf.DUMMYFUNCTION("IF('From Order'!$A2354=COLUMNS($A2354:G2373), LEFT(INDEX(FILTER(G$1:G2353, G$1:G2353&lt;&gt;""""),COUNTA(FILTER(G$1:G2353, G$1:G2353&lt;&gt;""""))), LEN(INDEX(FILTER(G$1:G2353, G$1:G2353&lt;&gt;""""),COUNTA(FILTER(G$1:G2353, G$1:G2353&lt;&gt;""""))))-1), IF('To Order'!$A2354=COL"&amp;"UMNS($A2354:G2373), G2353&amp;RIGHT(INDIRECT(ADDRESS(ROW(G2354)-1, 'From Order'!$A2354)), 1), G2353))"),"BWDCCSZHTW")</f>
        <v>BWDCCSZHTW</v>
      </c>
      <c r="H2354" s="2" t="str">
        <f>IFERROR(__xludf.DUMMYFUNCTION("IF('From Order'!$A2354=COLUMNS($A2354:H2373), LEFT(INDEX(FILTER(H$1:H2353, H$1:H2353&lt;&gt;""""),COUNTA(FILTER(H$1:H2353, H$1:H2353&lt;&gt;""""))), LEN(INDEX(FILTER(H$1:H2353, H$1:H2353&lt;&gt;""""),COUNTA(FILTER(H$1:H2353, H$1:H2353&lt;&gt;""""))))-1), IF('To Order'!$A2354=COL"&amp;"UMNS($A2354:H2373), H2353&amp;RIGHT(INDIRECT(ADDRESS(ROW(H2354)-1, 'From Order'!$A2354)), 1), H2353))"),"")</f>
        <v/>
      </c>
      <c r="I2354" s="2" t="str">
        <f>IFERROR(__xludf.DUMMYFUNCTION("IF('From Order'!$A2354=COLUMNS($A2354:I2373), LEFT(INDEX(FILTER(I$1:I2353, I$1:I2353&lt;&gt;""""),COUNTA(FILTER(I$1:I2353, I$1:I2353&lt;&gt;""""))), LEN(INDEX(FILTER(I$1:I2353, I$1:I2353&lt;&gt;""""),COUNTA(FILTER(I$1:I2353, I$1:I2353&lt;&gt;""""))))-1), IF('To Order'!$A2354=COL"&amp;"UMNS($A2354:I2373), I2353&amp;RIGHT(INDIRECT(ADDRESS(ROW(I2354)-1, 'From Order'!$A2354)), 1), I2353))"),"DDDVQZDMTTGMPSRQ")</f>
        <v>DDDVQZDMTTGMPSRQ</v>
      </c>
    </row>
    <row r="2355">
      <c r="A2355" s="2" t="str">
        <f>IFERROR(__xludf.DUMMYFUNCTION("IF('From Order'!$A2355=COLUMNS($A2355:A2374), LEFT(INDEX(FILTER(A$1:A2354, A$1:A2354&lt;&gt;""""),COUNTA(FILTER(A$1:A2354, A$1:A2354&lt;&gt;""""))), LEN(INDEX(FILTER(A$1:A2354, A$1:A2354&lt;&gt;""""),COUNTA(FILTER(A$1:A2354, A$1:A2354&lt;&gt;""""))))-1), IF('To Order'!$A2355=COL"&amp;"UMNS($A2355:A2374), A2354&amp;RIGHT(INDIRECT(ADDRESS(ROW(A2355)-1, 'From Order'!$A2355)), 1), A2354))"),"")</f>
        <v/>
      </c>
      <c r="B2355" s="2" t="str">
        <f>IFERROR(__xludf.DUMMYFUNCTION("IF('From Order'!$A2355=COLUMNS($A2355:B2374), LEFT(INDEX(FILTER(B$1:B2354, B$1:B2354&lt;&gt;""""),COUNTA(FILTER(B$1:B2354, B$1:B2354&lt;&gt;""""))), LEN(INDEX(FILTER(B$1:B2354, B$1:B2354&lt;&gt;""""),COUNTA(FILTER(B$1:B2354, B$1:B2354&lt;&gt;""""))))-1), IF('To Order'!$A2355=COL"&amp;"UMNS($A2355:B2374), B2354&amp;RIGHT(INDIRECT(ADDRESS(ROW(B2355)-1, 'From Order'!$A2355)), 1), B2354))"),"")</f>
        <v/>
      </c>
      <c r="C2355" s="2" t="str">
        <f>IFERROR(__xludf.DUMMYFUNCTION("IF('From Order'!$A2355=COLUMNS($A2355:C2374), LEFT(INDEX(FILTER(C$1:C2354, C$1:C2354&lt;&gt;""""),COUNTA(FILTER(C$1:C2354, C$1:C2354&lt;&gt;""""))), LEN(INDEX(FILTER(C$1:C2354, C$1:C2354&lt;&gt;""""),COUNTA(FILTER(C$1:C2354, C$1:C2354&lt;&gt;""""))))-1), IF('To Order'!$A2355=COL"&amp;"UMNS($A2355:C2374), C2354&amp;RIGHT(INDIRECT(ADDRESS(ROW(C2355)-1, 'From Order'!$A2355)), 1), C2354))"),"VBJV")</f>
        <v>VBJV</v>
      </c>
      <c r="D2355" s="2" t="str">
        <f>IFERROR(__xludf.DUMMYFUNCTION("IF('From Order'!$A2355=COLUMNS($A2355:D2374), LEFT(INDEX(FILTER(D$1:D2354, D$1:D2354&lt;&gt;""""),COUNTA(FILTER(D$1:D2354, D$1:D2354&lt;&gt;""""))), LEN(INDEX(FILTER(D$1:D2354, D$1:D2354&lt;&gt;""""),COUNTA(FILTER(D$1:D2354, D$1:D2354&lt;&gt;""""))))-1), IF('To Order'!$A2355=COL"&amp;"UMNS($A2355:D2374), D2354&amp;RIGHT(INDIRECT(ADDRESS(ROW(D2355)-1, 'From Order'!$A2355)), 1), D2354))"),"GRD")</f>
        <v>GRD</v>
      </c>
      <c r="E2355" s="2" t="str">
        <f>IFERROR(__xludf.DUMMYFUNCTION("IF('From Order'!$A2355=COLUMNS($A2355:E2374), LEFT(INDEX(FILTER(E$1:E2354, E$1:E2354&lt;&gt;""""),COUNTA(FILTER(E$1:E2354, E$1:E2354&lt;&gt;""""))), LEN(INDEX(FILTER(E$1:E2354, E$1:E2354&lt;&gt;""""),COUNTA(FILTER(E$1:E2354, E$1:E2354&lt;&gt;""""))))-1), IF('To Order'!$A2355=COL"&amp;"UMNS($A2355:E2374), E2354&amp;RIGHT(INDIRECT(ADDRESS(ROW(E2355)-1, 'From Order'!$A2355)), 1), E2354))"),"BRPHZMTSSPLRRJTT")</f>
        <v>BRPHZMTSSPLRRJTT</v>
      </c>
      <c r="F2355" s="2" t="str">
        <f>IFERROR(__xludf.DUMMYFUNCTION("IF('From Order'!$A2355=COLUMNS($A2355:F2374), LEFT(INDEX(FILTER(F$1:F2354, F$1:F2354&lt;&gt;""""),COUNTA(FILTER(F$1:F2354, F$1:F2354&lt;&gt;""""))), LEN(INDEX(FILTER(F$1:F2354, F$1:F2354&lt;&gt;""""),COUNTA(FILTER(F$1:F2354, F$1:F2354&lt;&gt;""""))))-1), IF('To Order'!$A2355=COL"&amp;"UMNS($A2355:F2374), F2354&amp;RIGHT(INDIRECT(ADDRESS(ROW(F2355)-1, 'From Order'!$A2355)), 1), F2354))"),"FJCBFLLW")</f>
        <v>FJCBFLLW</v>
      </c>
      <c r="G2355" s="2" t="str">
        <f>IFERROR(__xludf.DUMMYFUNCTION("IF('From Order'!$A2355=COLUMNS($A2355:G2374), LEFT(INDEX(FILTER(G$1:G2354, G$1:G2354&lt;&gt;""""),COUNTA(FILTER(G$1:G2354, G$1:G2354&lt;&gt;""""))), LEN(INDEX(FILTER(G$1:G2354, G$1:G2354&lt;&gt;""""),COUNTA(FILTER(G$1:G2354, G$1:G2354&lt;&gt;""""))))-1), IF('To Order'!$A2355=COL"&amp;"UMNS($A2355:G2374), G2354&amp;RIGHT(INDIRECT(ADDRESS(ROW(G2355)-1, 'From Order'!$A2355)), 1), G2354))"),"BWDCCSZHT")</f>
        <v>BWDCCSZHT</v>
      </c>
      <c r="H2355" s="2" t="str">
        <f>IFERROR(__xludf.DUMMYFUNCTION("IF('From Order'!$A2355=COLUMNS($A2355:H2374), LEFT(INDEX(FILTER(H$1:H2354, H$1:H2354&lt;&gt;""""),COUNTA(FILTER(H$1:H2354, H$1:H2354&lt;&gt;""""))), LEN(INDEX(FILTER(H$1:H2354, H$1:H2354&lt;&gt;""""),COUNTA(FILTER(H$1:H2354, H$1:H2354&lt;&gt;""""))))-1), IF('To Order'!$A2355=COL"&amp;"UMNS($A2355:H2374), H2354&amp;RIGHT(INDIRECT(ADDRESS(ROW(H2355)-1, 'From Order'!$A2355)), 1), H2354))"),"")</f>
        <v/>
      </c>
      <c r="I2355" s="2" t="str">
        <f>IFERROR(__xludf.DUMMYFUNCTION("IF('From Order'!$A2355=COLUMNS($A2355:I2374), LEFT(INDEX(FILTER(I$1:I2354, I$1:I2354&lt;&gt;""""),COUNTA(FILTER(I$1:I2354, I$1:I2354&lt;&gt;""""))), LEN(INDEX(FILTER(I$1:I2354, I$1:I2354&lt;&gt;""""),COUNTA(FILTER(I$1:I2354, I$1:I2354&lt;&gt;""""))))-1), IF('To Order'!$A2355=COL"&amp;"UMNS($A2355:I2374), I2354&amp;RIGHT(INDIRECT(ADDRESS(ROW(I2355)-1, 'From Order'!$A2355)), 1), I2354))"),"DDDVQZDMTTGMPSRQ")</f>
        <v>DDDVQZDMTTGMPSRQ</v>
      </c>
    </row>
    <row r="2356">
      <c r="A2356" s="2" t="str">
        <f>IFERROR(__xludf.DUMMYFUNCTION("IF('From Order'!$A2356=COLUMNS($A2356:A2375), LEFT(INDEX(FILTER(A$1:A2355, A$1:A2355&lt;&gt;""""),COUNTA(FILTER(A$1:A2355, A$1:A2355&lt;&gt;""""))), LEN(INDEX(FILTER(A$1:A2355, A$1:A2355&lt;&gt;""""),COUNTA(FILTER(A$1:A2355, A$1:A2355&lt;&gt;""""))))-1), IF('To Order'!$A2356=COL"&amp;"UMNS($A2356:A2375), A2355&amp;RIGHT(INDIRECT(ADDRESS(ROW(A2356)-1, 'From Order'!$A2356)), 1), A2355))"),"")</f>
        <v/>
      </c>
      <c r="B2356" s="2" t="str">
        <f>IFERROR(__xludf.DUMMYFUNCTION("IF('From Order'!$A2356=COLUMNS($A2356:B2375), LEFT(INDEX(FILTER(B$1:B2355, B$1:B2355&lt;&gt;""""),COUNTA(FILTER(B$1:B2355, B$1:B2355&lt;&gt;""""))), LEN(INDEX(FILTER(B$1:B2355, B$1:B2355&lt;&gt;""""),COUNTA(FILTER(B$1:B2355, B$1:B2355&lt;&gt;""""))))-1), IF('To Order'!$A2356=COL"&amp;"UMNS($A2356:B2375), B2355&amp;RIGHT(INDIRECT(ADDRESS(ROW(B2356)-1, 'From Order'!$A2356)), 1), B2355))"),"")</f>
        <v/>
      </c>
      <c r="C2356" s="2" t="str">
        <f>IFERROR(__xludf.DUMMYFUNCTION("IF('From Order'!$A2356=COLUMNS($A2356:C2375), LEFT(INDEX(FILTER(C$1:C2355, C$1:C2355&lt;&gt;""""),COUNTA(FILTER(C$1:C2355, C$1:C2355&lt;&gt;""""))), LEN(INDEX(FILTER(C$1:C2355, C$1:C2355&lt;&gt;""""),COUNTA(FILTER(C$1:C2355, C$1:C2355&lt;&gt;""""))))-1), IF('To Order'!$A2356=COL"&amp;"UMNS($A2356:C2375), C2355&amp;RIGHT(INDIRECT(ADDRESS(ROW(C2356)-1, 'From Order'!$A2356)), 1), C2355))"),"VBJV")</f>
        <v>VBJV</v>
      </c>
      <c r="D2356" s="2" t="str">
        <f>IFERROR(__xludf.DUMMYFUNCTION("IF('From Order'!$A2356=COLUMNS($A2356:D2375), LEFT(INDEX(FILTER(D$1:D2355, D$1:D2355&lt;&gt;""""),COUNTA(FILTER(D$1:D2355, D$1:D2355&lt;&gt;""""))), LEN(INDEX(FILTER(D$1:D2355, D$1:D2355&lt;&gt;""""),COUNTA(FILTER(D$1:D2355, D$1:D2355&lt;&gt;""""))))-1), IF('To Order'!$A2356=COL"&amp;"UMNS($A2356:D2375), D2355&amp;RIGHT(INDIRECT(ADDRESS(ROW(D2356)-1, 'From Order'!$A2356)), 1), D2355))"),"GRD")</f>
        <v>GRD</v>
      </c>
      <c r="E2356" s="2" t="str">
        <f>IFERROR(__xludf.DUMMYFUNCTION("IF('From Order'!$A2356=COLUMNS($A2356:E2375), LEFT(INDEX(FILTER(E$1:E2355, E$1:E2355&lt;&gt;""""),COUNTA(FILTER(E$1:E2355, E$1:E2355&lt;&gt;""""))), LEN(INDEX(FILTER(E$1:E2355, E$1:E2355&lt;&gt;""""),COUNTA(FILTER(E$1:E2355, E$1:E2355&lt;&gt;""""))))-1), IF('To Order'!$A2356=COL"&amp;"UMNS($A2356:E2375), E2355&amp;RIGHT(INDIRECT(ADDRESS(ROW(E2356)-1, 'From Order'!$A2356)), 1), E2355))"),"BRPHZMTSSPLRRJTT")</f>
        <v>BRPHZMTSSPLRRJTT</v>
      </c>
      <c r="F2356" s="2" t="str">
        <f>IFERROR(__xludf.DUMMYFUNCTION("IF('From Order'!$A2356=COLUMNS($A2356:F2375), LEFT(INDEX(FILTER(F$1:F2355, F$1:F2355&lt;&gt;""""),COUNTA(FILTER(F$1:F2355, F$1:F2355&lt;&gt;""""))), LEN(INDEX(FILTER(F$1:F2355, F$1:F2355&lt;&gt;""""),COUNTA(FILTER(F$1:F2355, F$1:F2355&lt;&gt;""""))))-1), IF('To Order'!$A2356=COL"&amp;"UMNS($A2356:F2375), F2355&amp;RIGHT(INDIRECT(ADDRESS(ROW(F2356)-1, 'From Order'!$A2356)), 1), F2355))"),"FJCBFLLWT")</f>
        <v>FJCBFLLWT</v>
      </c>
      <c r="G2356" s="2" t="str">
        <f>IFERROR(__xludf.DUMMYFUNCTION("IF('From Order'!$A2356=COLUMNS($A2356:G2375), LEFT(INDEX(FILTER(G$1:G2355, G$1:G2355&lt;&gt;""""),COUNTA(FILTER(G$1:G2355, G$1:G2355&lt;&gt;""""))), LEN(INDEX(FILTER(G$1:G2355, G$1:G2355&lt;&gt;""""),COUNTA(FILTER(G$1:G2355, G$1:G2355&lt;&gt;""""))))-1), IF('To Order'!$A2356=COL"&amp;"UMNS($A2356:G2375), G2355&amp;RIGHT(INDIRECT(ADDRESS(ROW(G2356)-1, 'From Order'!$A2356)), 1), G2355))"),"BWDCCSZH")</f>
        <v>BWDCCSZH</v>
      </c>
      <c r="H2356" s="2" t="str">
        <f>IFERROR(__xludf.DUMMYFUNCTION("IF('From Order'!$A2356=COLUMNS($A2356:H2375), LEFT(INDEX(FILTER(H$1:H2355, H$1:H2355&lt;&gt;""""),COUNTA(FILTER(H$1:H2355, H$1:H2355&lt;&gt;""""))), LEN(INDEX(FILTER(H$1:H2355, H$1:H2355&lt;&gt;""""),COUNTA(FILTER(H$1:H2355, H$1:H2355&lt;&gt;""""))))-1), IF('To Order'!$A2356=COL"&amp;"UMNS($A2356:H2375), H2355&amp;RIGHT(INDIRECT(ADDRESS(ROW(H2356)-1, 'From Order'!$A2356)), 1), H2355))"),"")</f>
        <v/>
      </c>
      <c r="I2356" s="2" t="str">
        <f>IFERROR(__xludf.DUMMYFUNCTION("IF('From Order'!$A2356=COLUMNS($A2356:I2375), LEFT(INDEX(FILTER(I$1:I2355, I$1:I2355&lt;&gt;""""),COUNTA(FILTER(I$1:I2355, I$1:I2355&lt;&gt;""""))), LEN(INDEX(FILTER(I$1:I2355, I$1:I2355&lt;&gt;""""),COUNTA(FILTER(I$1:I2355, I$1:I2355&lt;&gt;""""))))-1), IF('To Order'!$A2356=COL"&amp;"UMNS($A2356:I2375), I2355&amp;RIGHT(INDIRECT(ADDRESS(ROW(I2356)-1, 'From Order'!$A2356)), 1), I2355))"),"DDDVQZDMTTGMPSRQ")</f>
        <v>DDDVQZDMTTGMPSRQ</v>
      </c>
    </row>
    <row r="2357">
      <c r="A2357" s="2" t="str">
        <f>IFERROR(__xludf.DUMMYFUNCTION("IF('From Order'!$A2357=COLUMNS($A2357:A2376), LEFT(INDEX(FILTER(A$1:A2356, A$1:A2356&lt;&gt;""""),COUNTA(FILTER(A$1:A2356, A$1:A2356&lt;&gt;""""))), LEN(INDEX(FILTER(A$1:A2356, A$1:A2356&lt;&gt;""""),COUNTA(FILTER(A$1:A2356, A$1:A2356&lt;&gt;""""))))-1), IF('To Order'!$A2357=COL"&amp;"UMNS($A2357:A2376), A2356&amp;RIGHT(INDIRECT(ADDRESS(ROW(A2357)-1, 'From Order'!$A2357)), 1), A2356))"),"")</f>
        <v/>
      </c>
      <c r="B2357" s="2" t="str">
        <f>IFERROR(__xludf.DUMMYFUNCTION("IF('From Order'!$A2357=COLUMNS($A2357:B2376), LEFT(INDEX(FILTER(B$1:B2356, B$1:B2356&lt;&gt;""""),COUNTA(FILTER(B$1:B2356, B$1:B2356&lt;&gt;""""))), LEN(INDEX(FILTER(B$1:B2356, B$1:B2356&lt;&gt;""""),COUNTA(FILTER(B$1:B2356, B$1:B2356&lt;&gt;""""))))-1), IF('To Order'!$A2357=COL"&amp;"UMNS($A2357:B2376), B2356&amp;RIGHT(INDIRECT(ADDRESS(ROW(B2357)-1, 'From Order'!$A2357)), 1), B2356))"),"")</f>
        <v/>
      </c>
      <c r="C2357" s="2" t="str">
        <f>IFERROR(__xludf.DUMMYFUNCTION("IF('From Order'!$A2357=COLUMNS($A2357:C2376), LEFT(INDEX(FILTER(C$1:C2356, C$1:C2356&lt;&gt;""""),COUNTA(FILTER(C$1:C2356, C$1:C2356&lt;&gt;""""))), LEN(INDEX(FILTER(C$1:C2356, C$1:C2356&lt;&gt;""""),COUNTA(FILTER(C$1:C2356, C$1:C2356&lt;&gt;""""))))-1), IF('To Order'!$A2357=COL"&amp;"UMNS($A2357:C2376), C2356&amp;RIGHT(INDIRECT(ADDRESS(ROW(C2357)-1, 'From Order'!$A2357)), 1), C2356))"),"VBJV")</f>
        <v>VBJV</v>
      </c>
      <c r="D2357" s="2" t="str">
        <f>IFERROR(__xludf.DUMMYFUNCTION("IF('From Order'!$A2357=COLUMNS($A2357:D2376), LEFT(INDEX(FILTER(D$1:D2356, D$1:D2356&lt;&gt;""""),COUNTA(FILTER(D$1:D2356, D$1:D2356&lt;&gt;""""))), LEN(INDEX(FILTER(D$1:D2356, D$1:D2356&lt;&gt;""""),COUNTA(FILTER(D$1:D2356, D$1:D2356&lt;&gt;""""))))-1), IF('To Order'!$A2357=COL"&amp;"UMNS($A2357:D2376), D2356&amp;RIGHT(INDIRECT(ADDRESS(ROW(D2357)-1, 'From Order'!$A2357)), 1), D2356))"),"GRD")</f>
        <v>GRD</v>
      </c>
      <c r="E2357" s="2" t="str">
        <f>IFERROR(__xludf.DUMMYFUNCTION("IF('From Order'!$A2357=COLUMNS($A2357:E2376), LEFT(INDEX(FILTER(E$1:E2356, E$1:E2356&lt;&gt;""""),COUNTA(FILTER(E$1:E2356, E$1:E2356&lt;&gt;""""))), LEN(INDEX(FILTER(E$1:E2356, E$1:E2356&lt;&gt;""""),COUNTA(FILTER(E$1:E2356, E$1:E2356&lt;&gt;""""))))-1), IF('To Order'!$A2357=COL"&amp;"UMNS($A2357:E2376), E2356&amp;RIGHT(INDIRECT(ADDRESS(ROW(E2357)-1, 'From Order'!$A2357)), 1), E2356))"),"BRPHZMTSSPLRRJTT")</f>
        <v>BRPHZMTSSPLRRJTT</v>
      </c>
      <c r="F2357" s="2" t="str">
        <f>IFERROR(__xludf.DUMMYFUNCTION("IF('From Order'!$A2357=COLUMNS($A2357:F2376), LEFT(INDEX(FILTER(F$1:F2356, F$1:F2356&lt;&gt;""""),COUNTA(FILTER(F$1:F2356, F$1:F2356&lt;&gt;""""))), LEN(INDEX(FILTER(F$1:F2356, F$1:F2356&lt;&gt;""""),COUNTA(FILTER(F$1:F2356, F$1:F2356&lt;&gt;""""))))-1), IF('To Order'!$A2357=COL"&amp;"UMNS($A2357:F2376), F2356&amp;RIGHT(INDIRECT(ADDRESS(ROW(F2357)-1, 'From Order'!$A2357)), 1), F2356))"),"FJCBFLLWTH")</f>
        <v>FJCBFLLWTH</v>
      </c>
      <c r="G2357" s="2" t="str">
        <f>IFERROR(__xludf.DUMMYFUNCTION("IF('From Order'!$A2357=COLUMNS($A2357:G2376), LEFT(INDEX(FILTER(G$1:G2356, G$1:G2356&lt;&gt;""""),COUNTA(FILTER(G$1:G2356, G$1:G2356&lt;&gt;""""))), LEN(INDEX(FILTER(G$1:G2356, G$1:G2356&lt;&gt;""""),COUNTA(FILTER(G$1:G2356, G$1:G2356&lt;&gt;""""))))-1), IF('To Order'!$A2357=COL"&amp;"UMNS($A2357:G2376), G2356&amp;RIGHT(INDIRECT(ADDRESS(ROW(G2357)-1, 'From Order'!$A2357)), 1), G2356))"),"BWDCCSZ")</f>
        <v>BWDCCSZ</v>
      </c>
      <c r="H2357" s="2" t="str">
        <f>IFERROR(__xludf.DUMMYFUNCTION("IF('From Order'!$A2357=COLUMNS($A2357:H2376), LEFT(INDEX(FILTER(H$1:H2356, H$1:H2356&lt;&gt;""""),COUNTA(FILTER(H$1:H2356, H$1:H2356&lt;&gt;""""))), LEN(INDEX(FILTER(H$1:H2356, H$1:H2356&lt;&gt;""""),COUNTA(FILTER(H$1:H2356, H$1:H2356&lt;&gt;""""))))-1), IF('To Order'!$A2357=COL"&amp;"UMNS($A2357:H2376), H2356&amp;RIGHT(INDIRECT(ADDRESS(ROW(H2357)-1, 'From Order'!$A2357)), 1), H2356))"),"")</f>
        <v/>
      </c>
      <c r="I2357" s="2" t="str">
        <f>IFERROR(__xludf.DUMMYFUNCTION("IF('From Order'!$A2357=COLUMNS($A2357:I2376), LEFT(INDEX(FILTER(I$1:I2356, I$1:I2356&lt;&gt;""""),COUNTA(FILTER(I$1:I2356, I$1:I2356&lt;&gt;""""))), LEN(INDEX(FILTER(I$1:I2356, I$1:I2356&lt;&gt;""""),COUNTA(FILTER(I$1:I2356, I$1:I2356&lt;&gt;""""))))-1), IF('To Order'!$A2357=COL"&amp;"UMNS($A2357:I2376), I2356&amp;RIGHT(INDIRECT(ADDRESS(ROW(I2357)-1, 'From Order'!$A2357)), 1), I2356))"),"DDDVQZDMTTGMPSRQ")</f>
        <v>DDDVQZDMTTGMPSRQ</v>
      </c>
    </row>
    <row r="2358">
      <c r="A2358" s="2" t="str">
        <f>IFERROR(__xludf.DUMMYFUNCTION("IF('From Order'!$A2358=COLUMNS($A2358:A2377), LEFT(INDEX(FILTER(A$1:A2357, A$1:A2357&lt;&gt;""""),COUNTA(FILTER(A$1:A2357, A$1:A2357&lt;&gt;""""))), LEN(INDEX(FILTER(A$1:A2357, A$1:A2357&lt;&gt;""""),COUNTA(FILTER(A$1:A2357, A$1:A2357&lt;&gt;""""))))-1), IF('To Order'!$A2358=COL"&amp;"UMNS($A2358:A2377), A2357&amp;RIGHT(INDIRECT(ADDRESS(ROW(A2358)-1, 'From Order'!$A2358)), 1), A2357))"),"")</f>
        <v/>
      </c>
      <c r="B2358" s="2" t="str">
        <f>IFERROR(__xludf.DUMMYFUNCTION("IF('From Order'!$A2358=COLUMNS($A2358:B2377), LEFT(INDEX(FILTER(B$1:B2357, B$1:B2357&lt;&gt;""""),COUNTA(FILTER(B$1:B2357, B$1:B2357&lt;&gt;""""))), LEN(INDEX(FILTER(B$1:B2357, B$1:B2357&lt;&gt;""""),COUNTA(FILTER(B$1:B2357, B$1:B2357&lt;&gt;""""))))-1), IF('To Order'!$A2358=COL"&amp;"UMNS($A2358:B2377), B2357&amp;RIGHT(INDIRECT(ADDRESS(ROW(B2358)-1, 'From Order'!$A2358)), 1), B2357))"),"")</f>
        <v/>
      </c>
      <c r="C2358" s="2" t="str">
        <f>IFERROR(__xludf.DUMMYFUNCTION("IF('From Order'!$A2358=COLUMNS($A2358:C2377), LEFT(INDEX(FILTER(C$1:C2357, C$1:C2357&lt;&gt;""""),COUNTA(FILTER(C$1:C2357, C$1:C2357&lt;&gt;""""))), LEN(INDEX(FILTER(C$1:C2357, C$1:C2357&lt;&gt;""""),COUNTA(FILTER(C$1:C2357, C$1:C2357&lt;&gt;""""))))-1), IF('To Order'!$A2358=COL"&amp;"UMNS($A2358:C2377), C2357&amp;RIGHT(INDIRECT(ADDRESS(ROW(C2358)-1, 'From Order'!$A2358)), 1), C2357))"),"VBJV")</f>
        <v>VBJV</v>
      </c>
      <c r="D2358" s="2" t="str">
        <f>IFERROR(__xludf.DUMMYFUNCTION("IF('From Order'!$A2358=COLUMNS($A2358:D2377), LEFT(INDEX(FILTER(D$1:D2357, D$1:D2357&lt;&gt;""""),COUNTA(FILTER(D$1:D2357, D$1:D2357&lt;&gt;""""))), LEN(INDEX(FILTER(D$1:D2357, D$1:D2357&lt;&gt;""""),COUNTA(FILTER(D$1:D2357, D$1:D2357&lt;&gt;""""))))-1), IF('To Order'!$A2358=COL"&amp;"UMNS($A2358:D2377), D2357&amp;RIGHT(INDIRECT(ADDRESS(ROW(D2358)-1, 'From Order'!$A2358)), 1), D2357))"),"GRD")</f>
        <v>GRD</v>
      </c>
      <c r="E2358" s="2" t="str">
        <f>IFERROR(__xludf.DUMMYFUNCTION("IF('From Order'!$A2358=COLUMNS($A2358:E2377), LEFT(INDEX(FILTER(E$1:E2357, E$1:E2357&lt;&gt;""""),COUNTA(FILTER(E$1:E2357, E$1:E2357&lt;&gt;""""))), LEN(INDEX(FILTER(E$1:E2357, E$1:E2357&lt;&gt;""""),COUNTA(FILTER(E$1:E2357, E$1:E2357&lt;&gt;""""))))-1), IF('To Order'!$A2358=COL"&amp;"UMNS($A2358:E2377), E2357&amp;RIGHT(INDIRECT(ADDRESS(ROW(E2358)-1, 'From Order'!$A2358)), 1), E2357))"),"BRPHZMTSSPLRRJTT")</f>
        <v>BRPHZMTSSPLRRJTT</v>
      </c>
      <c r="F2358" s="2" t="str">
        <f>IFERROR(__xludf.DUMMYFUNCTION("IF('From Order'!$A2358=COLUMNS($A2358:F2377), LEFT(INDEX(FILTER(F$1:F2357, F$1:F2357&lt;&gt;""""),COUNTA(FILTER(F$1:F2357, F$1:F2357&lt;&gt;""""))), LEN(INDEX(FILTER(F$1:F2357, F$1:F2357&lt;&gt;""""),COUNTA(FILTER(F$1:F2357, F$1:F2357&lt;&gt;""""))))-1), IF('To Order'!$A2358=COL"&amp;"UMNS($A2358:F2377), F2357&amp;RIGHT(INDIRECT(ADDRESS(ROW(F2358)-1, 'From Order'!$A2358)), 1), F2357))"),"FJCBFLLWTHZ")</f>
        <v>FJCBFLLWTHZ</v>
      </c>
      <c r="G2358" s="2" t="str">
        <f>IFERROR(__xludf.DUMMYFUNCTION("IF('From Order'!$A2358=COLUMNS($A2358:G2377), LEFT(INDEX(FILTER(G$1:G2357, G$1:G2357&lt;&gt;""""),COUNTA(FILTER(G$1:G2357, G$1:G2357&lt;&gt;""""))), LEN(INDEX(FILTER(G$1:G2357, G$1:G2357&lt;&gt;""""),COUNTA(FILTER(G$1:G2357, G$1:G2357&lt;&gt;""""))))-1), IF('To Order'!$A2358=COL"&amp;"UMNS($A2358:G2377), G2357&amp;RIGHT(INDIRECT(ADDRESS(ROW(G2358)-1, 'From Order'!$A2358)), 1), G2357))"),"BWDCCS")</f>
        <v>BWDCCS</v>
      </c>
      <c r="H2358" s="2" t="str">
        <f>IFERROR(__xludf.DUMMYFUNCTION("IF('From Order'!$A2358=COLUMNS($A2358:H2377), LEFT(INDEX(FILTER(H$1:H2357, H$1:H2357&lt;&gt;""""),COUNTA(FILTER(H$1:H2357, H$1:H2357&lt;&gt;""""))), LEN(INDEX(FILTER(H$1:H2357, H$1:H2357&lt;&gt;""""),COUNTA(FILTER(H$1:H2357, H$1:H2357&lt;&gt;""""))))-1), IF('To Order'!$A2358=COL"&amp;"UMNS($A2358:H2377), H2357&amp;RIGHT(INDIRECT(ADDRESS(ROW(H2358)-1, 'From Order'!$A2358)), 1), H2357))"),"")</f>
        <v/>
      </c>
      <c r="I2358" s="2" t="str">
        <f>IFERROR(__xludf.DUMMYFUNCTION("IF('From Order'!$A2358=COLUMNS($A2358:I2377), LEFT(INDEX(FILTER(I$1:I2357, I$1:I2357&lt;&gt;""""),COUNTA(FILTER(I$1:I2357, I$1:I2357&lt;&gt;""""))), LEN(INDEX(FILTER(I$1:I2357, I$1:I2357&lt;&gt;""""),COUNTA(FILTER(I$1:I2357, I$1:I2357&lt;&gt;""""))))-1), IF('To Order'!$A2358=COL"&amp;"UMNS($A2358:I2377), I2357&amp;RIGHT(INDIRECT(ADDRESS(ROW(I2358)-1, 'From Order'!$A2358)), 1), I2357))"),"DDDVQZDMTTGMPSRQ")</f>
        <v>DDDVQZDMTTGMPSRQ</v>
      </c>
    </row>
    <row r="2359">
      <c r="A2359" s="2" t="str">
        <f>IFERROR(__xludf.DUMMYFUNCTION("IF('From Order'!$A2359=COLUMNS($A2359:A2378), LEFT(INDEX(FILTER(A$1:A2358, A$1:A2358&lt;&gt;""""),COUNTA(FILTER(A$1:A2358, A$1:A2358&lt;&gt;""""))), LEN(INDEX(FILTER(A$1:A2358, A$1:A2358&lt;&gt;""""),COUNTA(FILTER(A$1:A2358, A$1:A2358&lt;&gt;""""))))-1), IF('To Order'!$A2359=COL"&amp;"UMNS($A2359:A2378), A2358&amp;RIGHT(INDIRECT(ADDRESS(ROW(A2359)-1, 'From Order'!$A2359)), 1), A2358))"),"")</f>
        <v/>
      </c>
      <c r="B2359" s="2" t="str">
        <f>IFERROR(__xludf.DUMMYFUNCTION("IF('From Order'!$A2359=COLUMNS($A2359:B2378), LEFT(INDEX(FILTER(B$1:B2358, B$1:B2358&lt;&gt;""""),COUNTA(FILTER(B$1:B2358, B$1:B2358&lt;&gt;""""))), LEN(INDEX(FILTER(B$1:B2358, B$1:B2358&lt;&gt;""""),COUNTA(FILTER(B$1:B2358, B$1:B2358&lt;&gt;""""))))-1), IF('To Order'!$A2359=COL"&amp;"UMNS($A2359:B2378), B2358&amp;RIGHT(INDIRECT(ADDRESS(ROW(B2359)-1, 'From Order'!$A2359)), 1), B2358))"),"")</f>
        <v/>
      </c>
      <c r="C2359" s="2" t="str">
        <f>IFERROR(__xludf.DUMMYFUNCTION("IF('From Order'!$A2359=COLUMNS($A2359:C2378), LEFT(INDEX(FILTER(C$1:C2358, C$1:C2358&lt;&gt;""""),COUNTA(FILTER(C$1:C2358, C$1:C2358&lt;&gt;""""))), LEN(INDEX(FILTER(C$1:C2358, C$1:C2358&lt;&gt;""""),COUNTA(FILTER(C$1:C2358, C$1:C2358&lt;&gt;""""))))-1), IF('To Order'!$A2359=COL"&amp;"UMNS($A2359:C2378), C2358&amp;RIGHT(INDIRECT(ADDRESS(ROW(C2359)-1, 'From Order'!$A2359)), 1), C2358))"),"VBJV")</f>
        <v>VBJV</v>
      </c>
      <c r="D2359" s="2" t="str">
        <f>IFERROR(__xludf.DUMMYFUNCTION("IF('From Order'!$A2359=COLUMNS($A2359:D2378), LEFT(INDEX(FILTER(D$1:D2358, D$1:D2358&lt;&gt;""""),COUNTA(FILTER(D$1:D2358, D$1:D2358&lt;&gt;""""))), LEN(INDEX(FILTER(D$1:D2358, D$1:D2358&lt;&gt;""""),COUNTA(FILTER(D$1:D2358, D$1:D2358&lt;&gt;""""))))-1), IF('To Order'!$A2359=COL"&amp;"UMNS($A2359:D2378), D2358&amp;RIGHT(INDIRECT(ADDRESS(ROW(D2359)-1, 'From Order'!$A2359)), 1), D2358))"),"GRD")</f>
        <v>GRD</v>
      </c>
      <c r="E2359" s="2" t="str">
        <f>IFERROR(__xludf.DUMMYFUNCTION("IF('From Order'!$A2359=COLUMNS($A2359:E2378), LEFT(INDEX(FILTER(E$1:E2358, E$1:E2358&lt;&gt;""""),COUNTA(FILTER(E$1:E2358, E$1:E2358&lt;&gt;""""))), LEN(INDEX(FILTER(E$1:E2358, E$1:E2358&lt;&gt;""""),COUNTA(FILTER(E$1:E2358, E$1:E2358&lt;&gt;""""))))-1), IF('To Order'!$A2359=COL"&amp;"UMNS($A2359:E2378), E2358&amp;RIGHT(INDIRECT(ADDRESS(ROW(E2359)-1, 'From Order'!$A2359)), 1), E2358))"),"BRPHZMTSSPLRRJTT")</f>
        <v>BRPHZMTSSPLRRJTT</v>
      </c>
      <c r="F2359" s="2" t="str">
        <f>IFERROR(__xludf.DUMMYFUNCTION("IF('From Order'!$A2359=COLUMNS($A2359:F2378), LEFT(INDEX(FILTER(F$1:F2358, F$1:F2358&lt;&gt;""""),COUNTA(FILTER(F$1:F2358, F$1:F2358&lt;&gt;""""))), LEN(INDEX(FILTER(F$1:F2358, F$1:F2358&lt;&gt;""""),COUNTA(FILTER(F$1:F2358, F$1:F2358&lt;&gt;""""))))-1), IF('To Order'!$A2359=COL"&amp;"UMNS($A2359:F2378), F2358&amp;RIGHT(INDIRECT(ADDRESS(ROW(F2359)-1, 'From Order'!$A2359)), 1), F2358))"),"FJCBFLLWTHZS")</f>
        <v>FJCBFLLWTHZS</v>
      </c>
      <c r="G2359" s="2" t="str">
        <f>IFERROR(__xludf.DUMMYFUNCTION("IF('From Order'!$A2359=COLUMNS($A2359:G2378), LEFT(INDEX(FILTER(G$1:G2358, G$1:G2358&lt;&gt;""""),COUNTA(FILTER(G$1:G2358, G$1:G2358&lt;&gt;""""))), LEN(INDEX(FILTER(G$1:G2358, G$1:G2358&lt;&gt;""""),COUNTA(FILTER(G$1:G2358, G$1:G2358&lt;&gt;""""))))-1), IF('To Order'!$A2359=COL"&amp;"UMNS($A2359:G2378), G2358&amp;RIGHT(INDIRECT(ADDRESS(ROW(G2359)-1, 'From Order'!$A2359)), 1), G2358))"),"BWDCC")</f>
        <v>BWDCC</v>
      </c>
      <c r="H2359" s="2" t="str">
        <f>IFERROR(__xludf.DUMMYFUNCTION("IF('From Order'!$A2359=COLUMNS($A2359:H2378), LEFT(INDEX(FILTER(H$1:H2358, H$1:H2358&lt;&gt;""""),COUNTA(FILTER(H$1:H2358, H$1:H2358&lt;&gt;""""))), LEN(INDEX(FILTER(H$1:H2358, H$1:H2358&lt;&gt;""""),COUNTA(FILTER(H$1:H2358, H$1:H2358&lt;&gt;""""))))-1), IF('To Order'!$A2359=COL"&amp;"UMNS($A2359:H2378), H2358&amp;RIGHT(INDIRECT(ADDRESS(ROW(H2359)-1, 'From Order'!$A2359)), 1), H2358))"),"")</f>
        <v/>
      </c>
      <c r="I2359" s="2" t="str">
        <f>IFERROR(__xludf.DUMMYFUNCTION("IF('From Order'!$A2359=COLUMNS($A2359:I2378), LEFT(INDEX(FILTER(I$1:I2358, I$1:I2358&lt;&gt;""""),COUNTA(FILTER(I$1:I2358, I$1:I2358&lt;&gt;""""))), LEN(INDEX(FILTER(I$1:I2358, I$1:I2358&lt;&gt;""""),COUNTA(FILTER(I$1:I2358, I$1:I2358&lt;&gt;""""))))-1), IF('To Order'!$A2359=COL"&amp;"UMNS($A2359:I2378), I2358&amp;RIGHT(INDIRECT(ADDRESS(ROW(I2359)-1, 'From Order'!$A2359)), 1), I2358))"),"DDDVQZDMTTGMPSRQ")</f>
        <v>DDDVQZDMTTGMPSRQ</v>
      </c>
    </row>
    <row r="2360">
      <c r="A2360" s="2" t="str">
        <f>IFERROR(__xludf.DUMMYFUNCTION("IF('From Order'!$A2360=COLUMNS($A2360:A2379), LEFT(INDEX(FILTER(A$1:A2359, A$1:A2359&lt;&gt;""""),COUNTA(FILTER(A$1:A2359, A$1:A2359&lt;&gt;""""))), LEN(INDEX(FILTER(A$1:A2359, A$1:A2359&lt;&gt;""""),COUNTA(FILTER(A$1:A2359, A$1:A2359&lt;&gt;""""))))-1), IF('To Order'!$A2360=COL"&amp;"UMNS($A2360:A2379), A2359&amp;RIGHT(INDIRECT(ADDRESS(ROW(A2360)-1, 'From Order'!$A2360)), 1), A2359))"),"")</f>
        <v/>
      </c>
      <c r="B2360" s="2" t="str">
        <f>IFERROR(__xludf.DUMMYFUNCTION("IF('From Order'!$A2360=COLUMNS($A2360:B2379), LEFT(INDEX(FILTER(B$1:B2359, B$1:B2359&lt;&gt;""""),COUNTA(FILTER(B$1:B2359, B$1:B2359&lt;&gt;""""))), LEN(INDEX(FILTER(B$1:B2359, B$1:B2359&lt;&gt;""""),COUNTA(FILTER(B$1:B2359, B$1:B2359&lt;&gt;""""))))-1), IF('To Order'!$A2360=COL"&amp;"UMNS($A2360:B2379), B2359&amp;RIGHT(INDIRECT(ADDRESS(ROW(B2360)-1, 'From Order'!$A2360)), 1), B2359))"),"")</f>
        <v/>
      </c>
      <c r="C2360" s="2" t="str">
        <f>IFERROR(__xludf.DUMMYFUNCTION("IF('From Order'!$A2360=COLUMNS($A2360:C2379), LEFT(INDEX(FILTER(C$1:C2359, C$1:C2359&lt;&gt;""""),COUNTA(FILTER(C$1:C2359, C$1:C2359&lt;&gt;""""))), LEN(INDEX(FILTER(C$1:C2359, C$1:C2359&lt;&gt;""""),COUNTA(FILTER(C$1:C2359, C$1:C2359&lt;&gt;""""))))-1), IF('To Order'!$A2360=COL"&amp;"UMNS($A2360:C2379), C2359&amp;RIGHT(INDIRECT(ADDRESS(ROW(C2360)-1, 'From Order'!$A2360)), 1), C2359))"),"VBJ")</f>
        <v>VBJ</v>
      </c>
      <c r="D2360" s="2" t="str">
        <f>IFERROR(__xludf.DUMMYFUNCTION("IF('From Order'!$A2360=COLUMNS($A2360:D2379), LEFT(INDEX(FILTER(D$1:D2359, D$1:D2359&lt;&gt;""""),COUNTA(FILTER(D$1:D2359, D$1:D2359&lt;&gt;""""))), LEN(INDEX(FILTER(D$1:D2359, D$1:D2359&lt;&gt;""""),COUNTA(FILTER(D$1:D2359, D$1:D2359&lt;&gt;""""))))-1), IF('To Order'!$A2360=COL"&amp;"UMNS($A2360:D2379), D2359&amp;RIGHT(INDIRECT(ADDRESS(ROW(D2360)-1, 'From Order'!$A2360)), 1), D2359))"),"GRD")</f>
        <v>GRD</v>
      </c>
      <c r="E2360" s="2" t="str">
        <f>IFERROR(__xludf.DUMMYFUNCTION("IF('From Order'!$A2360=COLUMNS($A2360:E2379), LEFT(INDEX(FILTER(E$1:E2359, E$1:E2359&lt;&gt;""""),COUNTA(FILTER(E$1:E2359, E$1:E2359&lt;&gt;""""))), LEN(INDEX(FILTER(E$1:E2359, E$1:E2359&lt;&gt;""""),COUNTA(FILTER(E$1:E2359, E$1:E2359&lt;&gt;""""))))-1), IF('To Order'!$A2360=COL"&amp;"UMNS($A2360:E2379), E2359&amp;RIGHT(INDIRECT(ADDRESS(ROW(E2360)-1, 'From Order'!$A2360)), 1), E2359))"),"BRPHZMTSSPLRRJTT")</f>
        <v>BRPHZMTSSPLRRJTT</v>
      </c>
      <c r="F2360" s="2" t="str">
        <f>IFERROR(__xludf.DUMMYFUNCTION("IF('From Order'!$A2360=COLUMNS($A2360:F2379), LEFT(INDEX(FILTER(F$1:F2359, F$1:F2359&lt;&gt;""""),COUNTA(FILTER(F$1:F2359, F$1:F2359&lt;&gt;""""))), LEN(INDEX(FILTER(F$1:F2359, F$1:F2359&lt;&gt;""""),COUNTA(FILTER(F$1:F2359, F$1:F2359&lt;&gt;""""))))-1), IF('To Order'!$A2360=COL"&amp;"UMNS($A2360:F2379), F2359&amp;RIGHT(INDIRECT(ADDRESS(ROW(F2360)-1, 'From Order'!$A2360)), 1), F2359))"),"FJCBFLLWTHZS")</f>
        <v>FJCBFLLWTHZS</v>
      </c>
      <c r="G2360" s="2" t="str">
        <f>IFERROR(__xludf.DUMMYFUNCTION("IF('From Order'!$A2360=COLUMNS($A2360:G2379), LEFT(INDEX(FILTER(G$1:G2359, G$1:G2359&lt;&gt;""""),COUNTA(FILTER(G$1:G2359, G$1:G2359&lt;&gt;""""))), LEN(INDEX(FILTER(G$1:G2359, G$1:G2359&lt;&gt;""""),COUNTA(FILTER(G$1:G2359, G$1:G2359&lt;&gt;""""))))-1), IF('To Order'!$A2360=COL"&amp;"UMNS($A2360:G2379), G2359&amp;RIGHT(INDIRECT(ADDRESS(ROW(G2360)-1, 'From Order'!$A2360)), 1), G2359))"),"BWDCCV")</f>
        <v>BWDCCV</v>
      </c>
      <c r="H2360" s="2" t="str">
        <f>IFERROR(__xludf.DUMMYFUNCTION("IF('From Order'!$A2360=COLUMNS($A2360:H2379), LEFT(INDEX(FILTER(H$1:H2359, H$1:H2359&lt;&gt;""""),COUNTA(FILTER(H$1:H2359, H$1:H2359&lt;&gt;""""))), LEN(INDEX(FILTER(H$1:H2359, H$1:H2359&lt;&gt;""""),COUNTA(FILTER(H$1:H2359, H$1:H2359&lt;&gt;""""))))-1), IF('To Order'!$A2360=COL"&amp;"UMNS($A2360:H2379), H2359&amp;RIGHT(INDIRECT(ADDRESS(ROW(H2360)-1, 'From Order'!$A2360)), 1), H2359))"),"")</f>
        <v/>
      </c>
      <c r="I2360" s="2" t="str">
        <f>IFERROR(__xludf.DUMMYFUNCTION("IF('From Order'!$A2360=COLUMNS($A2360:I2379), LEFT(INDEX(FILTER(I$1:I2359, I$1:I2359&lt;&gt;""""),COUNTA(FILTER(I$1:I2359, I$1:I2359&lt;&gt;""""))), LEN(INDEX(FILTER(I$1:I2359, I$1:I2359&lt;&gt;""""),COUNTA(FILTER(I$1:I2359, I$1:I2359&lt;&gt;""""))))-1), IF('To Order'!$A2360=COL"&amp;"UMNS($A2360:I2379), I2359&amp;RIGHT(INDIRECT(ADDRESS(ROW(I2360)-1, 'From Order'!$A2360)), 1), I2359))"),"DDDVQZDMTTGMPSRQ")</f>
        <v>DDDVQZDMTTGMPSRQ</v>
      </c>
    </row>
    <row r="2361">
      <c r="A2361" s="2" t="str">
        <f>IFERROR(__xludf.DUMMYFUNCTION("IF('From Order'!$A2361=COLUMNS($A2361:A2380), LEFT(INDEX(FILTER(A$1:A2360, A$1:A2360&lt;&gt;""""),COUNTA(FILTER(A$1:A2360, A$1:A2360&lt;&gt;""""))), LEN(INDEX(FILTER(A$1:A2360, A$1:A2360&lt;&gt;""""),COUNTA(FILTER(A$1:A2360, A$1:A2360&lt;&gt;""""))))-1), IF('To Order'!$A2361=COL"&amp;"UMNS($A2361:A2380), A2360&amp;RIGHT(INDIRECT(ADDRESS(ROW(A2361)-1, 'From Order'!$A2361)), 1), A2360))"),"D")</f>
        <v>D</v>
      </c>
      <c r="B2361" s="2" t="str">
        <f>IFERROR(__xludf.DUMMYFUNCTION("IF('From Order'!$A2361=COLUMNS($A2361:B2380), LEFT(INDEX(FILTER(B$1:B2360, B$1:B2360&lt;&gt;""""),COUNTA(FILTER(B$1:B2360, B$1:B2360&lt;&gt;""""))), LEN(INDEX(FILTER(B$1:B2360, B$1:B2360&lt;&gt;""""),COUNTA(FILTER(B$1:B2360, B$1:B2360&lt;&gt;""""))))-1), IF('To Order'!$A2361=COL"&amp;"UMNS($A2361:B2380), B2360&amp;RIGHT(INDIRECT(ADDRESS(ROW(B2361)-1, 'From Order'!$A2361)), 1), B2360))"),"")</f>
        <v/>
      </c>
      <c r="C2361" s="2" t="str">
        <f>IFERROR(__xludf.DUMMYFUNCTION("IF('From Order'!$A2361=COLUMNS($A2361:C2380), LEFT(INDEX(FILTER(C$1:C2360, C$1:C2360&lt;&gt;""""),COUNTA(FILTER(C$1:C2360, C$1:C2360&lt;&gt;""""))), LEN(INDEX(FILTER(C$1:C2360, C$1:C2360&lt;&gt;""""),COUNTA(FILTER(C$1:C2360, C$1:C2360&lt;&gt;""""))))-1), IF('To Order'!$A2361=COL"&amp;"UMNS($A2361:C2380), C2360&amp;RIGHT(INDIRECT(ADDRESS(ROW(C2361)-1, 'From Order'!$A2361)), 1), C2360))"),"VBJ")</f>
        <v>VBJ</v>
      </c>
      <c r="D2361" s="2" t="str">
        <f>IFERROR(__xludf.DUMMYFUNCTION("IF('From Order'!$A2361=COLUMNS($A2361:D2380), LEFT(INDEX(FILTER(D$1:D2360, D$1:D2360&lt;&gt;""""),COUNTA(FILTER(D$1:D2360, D$1:D2360&lt;&gt;""""))), LEN(INDEX(FILTER(D$1:D2360, D$1:D2360&lt;&gt;""""),COUNTA(FILTER(D$1:D2360, D$1:D2360&lt;&gt;""""))))-1), IF('To Order'!$A2361=COL"&amp;"UMNS($A2361:D2380), D2360&amp;RIGHT(INDIRECT(ADDRESS(ROW(D2361)-1, 'From Order'!$A2361)), 1), D2360))"),"GR")</f>
        <v>GR</v>
      </c>
      <c r="E2361" s="2" t="str">
        <f>IFERROR(__xludf.DUMMYFUNCTION("IF('From Order'!$A2361=COLUMNS($A2361:E2380), LEFT(INDEX(FILTER(E$1:E2360, E$1:E2360&lt;&gt;""""),COUNTA(FILTER(E$1:E2360, E$1:E2360&lt;&gt;""""))), LEN(INDEX(FILTER(E$1:E2360, E$1:E2360&lt;&gt;""""),COUNTA(FILTER(E$1:E2360, E$1:E2360&lt;&gt;""""))))-1), IF('To Order'!$A2361=COL"&amp;"UMNS($A2361:E2380), E2360&amp;RIGHT(INDIRECT(ADDRESS(ROW(E2361)-1, 'From Order'!$A2361)), 1), E2360))"),"BRPHZMTSSPLRRJTT")</f>
        <v>BRPHZMTSSPLRRJTT</v>
      </c>
      <c r="F2361" s="2" t="str">
        <f>IFERROR(__xludf.DUMMYFUNCTION("IF('From Order'!$A2361=COLUMNS($A2361:F2380), LEFT(INDEX(FILTER(F$1:F2360, F$1:F2360&lt;&gt;""""),COUNTA(FILTER(F$1:F2360, F$1:F2360&lt;&gt;""""))), LEN(INDEX(FILTER(F$1:F2360, F$1:F2360&lt;&gt;""""),COUNTA(FILTER(F$1:F2360, F$1:F2360&lt;&gt;""""))))-1), IF('To Order'!$A2361=COL"&amp;"UMNS($A2361:F2380), F2360&amp;RIGHT(INDIRECT(ADDRESS(ROW(F2361)-1, 'From Order'!$A2361)), 1), F2360))"),"FJCBFLLWTHZS")</f>
        <v>FJCBFLLWTHZS</v>
      </c>
      <c r="G2361" s="2" t="str">
        <f>IFERROR(__xludf.DUMMYFUNCTION("IF('From Order'!$A2361=COLUMNS($A2361:G2380), LEFT(INDEX(FILTER(G$1:G2360, G$1:G2360&lt;&gt;""""),COUNTA(FILTER(G$1:G2360, G$1:G2360&lt;&gt;""""))), LEN(INDEX(FILTER(G$1:G2360, G$1:G2360&lt;&gt;""""),COUNTA(FILTER(G$1:G2360, G$1:G2360&lt;&gt;""""))))-1), IF('To Order'!$A2361=COL"&amp;"UMNS($A2361:G2380), G2360&amp;RIGHT(INDIRECT(ADDRESS(ROW(G2361)-1, 'From Order'!$A2361)), 1), G2360))"),"BWDCCV")</f>
        <v>BWDCCV</v>
      </c>
      <c r="H2361" s="2" t="str">
        <f>IFERROR(__xludf.DUMMYFUNCTION("IF('From Order'!$A2361=COLUMNS($A2361:H2380), LEFT(INDEX(FILTER(H$1:H2360, H$1:H2360&lt;&gt;""""),COUNTA(FILTER(H$1:H2360, H$1:H2360&lt;&gt;""""))), LEN(INDEX(FILTER(H$1:H2360, H$1:H2360&lt;&gt;""""),COUNTA(FILTER(H$1:H2360, H$1:H2360&lt;&gt;""""))))-1), IF('To Order'!$A2361=COL"&amp;"UMNS($A2361:H2380), H2360&amp;RIGHT(INDIRECT(ADDRESS(ROW(H2361)-1, 'From Order'!$A2361)), 1), H2360))"),"")</f>
        <v/>
      </c>
      <c r="I2361" s="2" t="str">
        <f>IFERROR(__xludf.DUMMYFUNCTION("IF('From Order'!$A2361=COLUMNS($A2361:I2380), LEFT(INDEX(FILTER(I$1:I2360, I$1:I2360&lt;&gt;""""),COUNTA(FILTER(I$1:I2360, I$1:I2360&lt;&gt;""""))), LEN(INDEX(FILTER(I$1:I2360, I$1:I2360&lt;&gt;""""),COUNTA(FILTER(I$1:I2360, I$1:I2360&lt;&gt;""""))))-1), IF('To Order'!$A2361=COL"&amp;"UMNS($A2361:I2380), I2360&amp;RIGHT(INDIRECT(ADDRESS(ROW(I2361)-1, 'From Order'!$A2361)), 1), I2360))"),"DDDVQZDMTTGMPSRQ")</f>
        <v>DDDVQZDMTTGMPSRQ</v>
      </c>
    </row>
    <row r="2362">
      <c r="A2362" s="2" t="str">
        <f>IFERROR(__xludf.DUMMYFUNCTION("IF('From Order'!$A2362=COLUMNS($A2362:A2381), LEFT(INDEX(FILTER(A$1:A2361, A$1:A2361&lt;&gt;""""),COUNTA(FILTER(A$1:A2361, A$1:A2361&lt;&gt;""""))), LEN(INDEX(FILTER(A$1:A2361, A$1:A2361&lt;&gt;""""),COUNTA(FILTER(A$1:A2361, A$1:A2361&lt;&gt;""""))))-1), IF('To Order'!$A2362=COL"&amp;"UMNS($A2362:A2381), A2361&amp;RIGHT(INDIRECT(ADDRESS(ROW(A2362)-1, 'From Order'!$A2362)), 1), A2361))"),"DR")</f>
        <v>DR</v>
      </c>
      <c r="B2362" s="2" t="str">
        <f>IFERROR(__xludf.DUMMYFUNCTION("IF('From Order'!$A2362=COLUMNS($A2362:B2381), LEFT(INDEX(FILTER(B$1:B2361, B$1:B2361&lt;&gt;""""),COUNTA(FILTER(B$1:B2361, B$1:B2361&lt;&gt;""""))), LEN(INDEX(FILTER(B$1:B2361, B$1:B2361&lt;&gt;""""),COUNTA(FILTER(B$1:B2361, B$1:B2361&lt;&gt;""""))))-1), IF('To Order'!$A2362=COL"&amp;"UMNS($A2362:B2381), B2361&amp;RIGHT(INDIRECT(ADDRESS(ROW(B2362)-1, 'From Order'!$A2362)), 1), B2361))"),"")</f>
        <v/>
      </c>
      <c r="C2362" s="2" t="str">
        <f>IFERROR(__xludf.DUMMYFUNCTION("IF('From Order'!$A2362=COLUMNS($A2362:C2381), LEFT(INDEX(FILTER(C$1:C2361, C$1:C2361&lt;&gt;""""),COUNTA(FILTER(C$1:C2361, C$1:C2361&lt;&gt;""""))), LEN(INDEX(FILTER(C$1:C2361, C$1:C2361&lt;&gt;""""),COUNTA(FILTER(C$1:C2361, C$1:C2361&lt;&gt;""""))))-1), IF('To Order'!$A2362=COL"&amp;"UMNS($A2362:C2381), C2361&amp;RIGHT(INDIRECT(ADDRESS(ROW(C2362)-1, 'From Order'!$A2362)), 1), C2361))"),"VBJ")</f>
        <v>VBJ</v>
      </c>
      <c r="D2362" s="2" t="str">
        <f>IFERROR(__xludf.DUMMYFUNCTION("IF('From Order'!$A2362=COLUMNS($A2362:D2381), LEFT(INDEX(FILTER(D$1:D2361, D$1:D2361&lt;&gt;""""),COUNTA(FILTER(D$1:D2361, D$1:D2361&lt;&gt;""""))), LEN(INDEX(FILTER(D$1:D2361, D$1:D2361&lt;&gt;""""),COUNTA(FILTER(D$1:D2361, D$1:D2361&lt;&gt;""""))))-1), IF('To Order'!$A2362=COL"&amp;"UMNS($A2362:D2381), D2361&amp;RIGHT(INDIRECT(ADDRESS(ROW(D2362)-1, 'From Order'!$A2362)), 1), D2361))"),"G")</f>
        <v>G</v>
      </c>
      <c r="E2362" s="2" t="str">
        <f>IFERROR(__xludf.DUMMYFUNCTION("IF('From Order'!$A2362=COLUMNS($A2362:E2381), LEFT(INDEX(FILTER(E$1:E2361, E$1:E2361&lt;&gt;""""),COUNTA(FILTER(E$1:E2361, E$1:E2361&lt;&gt;""""))), LEN(INDEX(FILTER(E$1:E2361, E$1:E2361&lt;&gt;""""),COUNTA(FILTER(E$1:E2361, E$1:E2361&lt;&gt;""""))))-1), IF('To Order'!$A2362=COL"&amp;"UMNS($A2362:E2381), E2361&amp;RIGHT(INDIRECT(ADDRESS(ROW(E2362)-1, 'From Order'!$A2362)), 1), E2361))"),"BRPHZMTSSPLRRJTT")</f>
        <v>BRPHZMTSSPLRRJTT</v>
      </c>
      <c r="F2362" s="2" t="str">
        <f>IFERROR(__xludf.DUMMYFUNCTION("IF('From Order'!$A2362=COLUMNS($A2362:F2381), LEFT(INDEX(FILTER(F$1:F2361, F$1:F2361&lt;&gt;""""),COUNTA(FILTER(F$1:F2361, F$1:F2361&lt;&gt;""""))), LEN(INDEX(FILTER(F$1:F2361, F$1:F2361&lt;&gt;""""),COUNTA(FILTER(F$1:F2361, F$1:F2361&lt;&gt;""""))))-1), IF('To Order'!$A2362=COL"&amp;"UMNS($A2362:F2381), F2361&amp;RIGHT(INDIRECT(ADDRESS(ROW(F2362)-1, 'From Order'!$A2362)), 1), F2361))"),"FJCBFLLWTHZS")</f>
        <v>FJCBFLLWTHZS</v>
      </c>
      <c r="G2362" s="2" t="str">
        <f>IFERROR(__xludf.DUMMYFUNCTION("IF('From Order'!$A2362=COLUMNS($A2362:G2381), LEFT(INDEX(FILTER(G$1:G2361, G$1:G2361&lt;&gt;""""),COUNTA(FILTER(G$1:G2361, G$1:G2361&lt;&gt;""""))), LEN(INDEX(FILTER(G$1:G2361, G$1:G2361&lt;&gt;""""),COUNTA(FILTER(G$1:G2361, G$1:G2361&lt;&gt;""""))))-1), IF('To Order'!$A2362=COL"&amp;"UMNS($A2362:G2381), G2361&amp;RIGHT(INDIRECT(ADDRESS(ROW(G2362)-1, 'From Order'!$A2362)), 1), G2361))"),"BWDCCV")</f>
        <v>BWDCCV</v>
      </c>
      <c r="H2362" s="2" t="str">
        <f>IFERROR(__xludf.DUMMYFUNCTION("IF('From Order'!$A2362=COLUMNS($A2362:H2381), LEFT(INDEX(FILTER(H$1:H2361, H$1:H2361&lt;&gt;""""),COUNTA(FILTER(H$1:H2361, H$1:H2361&lt;&gt;""""))), LEN(INDEX(FILTER(H$1:H2361, H$1:H2361&lt;&gt;""""),COUNTA(FILTER(H$1:H2361, H$1:H2361&lt;&gt;""""))))-1), IF('To Order'!$A2362=COL"&amp;"UMNS($A2362:H2381), H2361&amp;RIGHT(INDIRECT(ADDRESS(ROW(H2362)-1, 'From Order'!$A2362)), 1), H2361))"),"")</f>
        <v/>
      </c>
      <c r="I2362" s="2" t="str">
        <f>IFERROR(__xludf.DUMMYFUNCTION("IF('From Order'!$A2362=COLUMNS($A2362:I2381), LEFT(INDEX(FILTER(I$1:I2361, I$1:I2361&lt;&gt;""""),COUNTA(FILTER(I$1:I2361, I$1:I2361&lt;&gt;""""))), LEN(INDEX(FILTER(I$1:I2361, I$1:I2361&lt;&gt;""""),COUNTA(FILTER(I$1:I2361, I$1:I2361&lt;&gt;""""))))-1), IF('To Order'!$A2362=COL"&amp;"UMNS($A2362:I2381), I2361&amp;RIGHT(INDIRECT(ADDRESS(ROW(I2362)-1, 'From Order'!$A2362)), 1), I2361))"),"DDDVQZDMTTGMPSRQ")</f>
        <v>DDDVQZDMTTGMPSRQ</v>
      </c>
    </row>
    <row r="2363">
      <c r="A2363" s="2" t="str">
        <f>IFERROR(__xludf.DUMMYFUNCTION("IF('From Order'!$A2363=COLUMNS($A2363:A2382), LEFT(INDEX(FILTER(A$1:A2362, A$1:A2362&lt;&gt;""""),COUNTA(FILTER(A$1:A2362, A$1:A2362&lt;&gt;""""))), LEN(INDEX(FILTER(A$1:A2362, A$1:A2362&lt;&gt;""""),COUNTA(FILTER(A$1:A2362, A$1:A2362&lt;&gt;""""))))-1), IF('To Order'!$A2363=COL"&amp;"UMNS($A2363:A2382), A2362&amp;RIGHT(INDIRECT(ADDRESS(ROW(A2363)-1, 'From Order'!$A2363)), 1), A2362))"),"DR")</f>
        <v>DR</v>
      </c>
      <c r="B2363" s="2" t="str">
        <f>IFERROR(__xludf.DUMMYFUNCTION("IF('From Order'!$A2363=COLUMNS($A2363:B2382), LEFT(INDEX(FILTER(B$1:B2362, B$1:B2362&lt;&gt;""""),COUNTA(FILTER(B$1:B2362, B$1:B2362&lt;&gt;""""))), LEN(INDEX(FILTER(B$1:B2362, B$1:B2362&lt;&gt;""""),COUNTA(FILTER(B$1:B2362, B$1:B2362&lt;&gt;""""))))-1), IF('To Order'!$A2363=COL"&amp;"UMNS($A2363:B2382), B2362&amp;RIGHT(INDIRECT(ADDRESS(ROW(B2363)-1, 'From Order'!$A2363)), 1), B2362))"),"")</f>
        <v/>
      </c>
      <c r="C2363" s="2" t="str">
        <f>IFERROR(__xludf.DUMMYFUNCTION("IF('From Order'!$A2363=COLUMNS($A2363:C2382), LEFT(INDEX(FILTER(C$1:C2362, C$1:C2362&lt;&gt;""""),COUNTA(FILTER(C$1:C2362, C$1:C2362&lt;&gt;""""))), LEN(INDEX(FILTER(C$1:C2362, C$1:C2362&lt;&gt;""""),COUNTA(FILTER(C$1:C2362, C$1:C2362&lt;&gt;""""))))-1), IF('To Order'!$A2363=COL"&amp;"UMNS($A2363:C2382), C2362&amp;RIGHT(INDIRECT(ADDRESS(ROW(C2363)-1, 'From Order'!$A2363)), 1), C2362))"),"VBJ")</f>
        <v>VBJ</v>
      </c>
      <c r="D2363" s="2" t="str">
        <f>IFERROR(__xludf.DUMMYFUNCTION("IF('From Order'!$A2363=COLUMNS($A2363:D2382), LEFT(INDEX(FILTER(D$1:D2362, D$1:D2362&lt;&gt;""""),COUNTA(FILTER(D$1:D2362, D$1:D2362&lt;&gt;""""))), LEN(INDEX(FILTER(D$1:D2362, D$1:D2362&lt;&gt;""""),COUNTA(FILTER(D$1:D2362, D$1:D2362&lt;&gt;""""))))-1), IF('To Order'!$A2363=COL"&amp;"UMNS($A2363:D2382), D2362&amp;RIGHT(INDIRECT(ADDRESS(ROW(D2363)-1, 'From Order'!$A2363)), 1), D2362))"),"G")</f>
        <v>G</v>
      </c>
      <c r="E2363" s="2" t="str">
        <f>IFERROR(__xludf.DUMMYFUNCTION("IF('From Order'!$A2363=COLUMNS($A2363:E2382), LEFT(INDEX(FILTER(E$1:E2362, E$1:E2362&lt;&gt;""""),COUNTA(FILTER(E$1:E2362, E$1:E2362&lt;&gt;""""))), LEN(INDEX(FILTER(E$1:E2362, E$1:E2362&lt;&gt;""""),COUNTA(FILTER(E$1:E2362, E$1:E2362&lt;&gt;""""))))-1), IF('To Order'!$A2363=COL"&amp;"UMNS($A2363:E2382), E2362&amp;RIGHT(INDIRECT(ADDRESS(ROW(E2363)-1, 'From Order'!$A2363)), 1), E2362))"),"BRPHZMTSSPLRRJTT")</f>
        <v>BRPHZMTSSPLRRJTT</v>
      </c>
      <c r="F2363" s="2" t="str">
        <f>IFERROR(__xludf.DUMMYFUNCTION("IF('From Order'!$A2363=COLUMNS($A2363:F2382), LEFT(INDEX(FILTER(F$1:F2362, F$1:F2362&lt;&gt;""""),COUNTA(FILTER(F$1:F2362, F$1:F2362&lt;&gt;""""))), LEN(INDEX(FILTER(F$1:F2362, F$1:F2362&lt;&gt;""""),COUNTA(FILTER(F$1:F2362, F$1:F2362&lt;&gt;""""))))-1), IF('To Order'!$A2363=COL"&amp;"UMNS($A2363:F2382), F2362&amp;RIGHT(INDIRECT(ADDRESS(ROW(F2363)-1, 'From Order'!$A2363)), 1), F2362))"),"FJCBFLLWTHZS")</f>
        <v>FJCBFLLWTHZS</v>
      </c>
      <c r="G2363" s="2" t="str">
        <f>IFERROR(__xludf.DUMMYFUNCTION("IF('From Order'!$A2363=COLUMNS($A2363:G2382), LEFT(INDEX(FILTER(G$1:G2362, G$1:G2362&lt;&gt;""""),COUNTA(FILTER(G$1:G2362, G$1:G2362&lt;&gt;""""))), LEN(INDEX(FILTER(G$1:G2362, G$1:G2362&lt;&gt;""""),COUNTA(FILTER(G$1:G2362, G$1:G2362&lt;&gt;""""))))-1), IF('To Order'!$A2363=COL"&amp;"UMNS($A2363:G2382), G2362&amp;RIGHT(INDIRECT(ADDRESS(ROW(G2363)-1, 'From Order'!$A2363)), 1), G2362))"),"BWDCC")</f>
        <v>BWDCC</v>
      </c>
      <c r="H2363" s="2" t="str">
        <f>IFERROR(__xludf.DUMMYFUNCTION("IF('From Order'!$A2363=COLUMNS($A2363:H2382), LEFT(INDEX(FILTER(H$1:H2362, H$1:H2362&lt;&gt;""""),COUNTA(FILTER(H$1:H2362, H$1:H2362&lt;&gt;""""))), LEN(INDEX(FILTER(H$1:H2362, H$1:H2362&lt;&gt;""""),COUNTA(FILTER(H$1:H2362, H$1:H2362&lt;&gt;""""))))-1), IF('To Order'!$A2363=COL"&amp;"UMNS($A2363:H2382), H2362&amp;RIGHT(INDIRECT(ADDRESS(ROW(H2363)-1, 'From Order'!$A2363)), 1), H2362))"),"")</f>
        <v/>
      </c>
      <c r="I2363" s="2" t="str">
        <f>IFERROR(__xludf.DUMMYFUNCTION("IF('From Order'!$A2363=COLUMNS($A2363:I2382), LEFT(INDEX(FILTER(I$1:I2362, I$1:I2362&lt;&gt;""""),COUNTA(FILTER(I$1:I2362, I$1:I2362&lt;&gt;""""))), LEN(INDEX(FILTER(I$1:I2362, I$1:I2362&lt;&gt;""""),COUNTA(FILTER(I$1:I2362, I$1:I2362&lt;&gt;""""))))-1), IF('To Order'!$A2363=COL"&amp;"UMNS($A2363:I2382), I2362&amp;RIGHT(INDIRECT(ADDRESS(ROW(I2363)-1, 'From Order'!$A2363)), 1), I2362))"),"DDDVQZDMTTGMPSRQV")</f>
        <v>DDDVQZDMTTGMPSRQV</v>
      </c>
    </row>
    <row r="2364">
      <c r="A2364" s="2" t="str">
        <f>IFERROR(__xludf.DUMMYFUNCTION("IF('From Order'!$A2364=COLUMNS($A2364:A2383), LEFT(INDEX(FILTER(A$1:A2363, A$1:A2363&lt;&gt;""""),COUNTA(FILTER(A$1:A2363, A$1:A2363&lt;&gt;""""))), LEN(INDEX(FILTER(A$1:A2363, A$1:A2363&lt;&gt;""""),COUNTA(FILTER(A$1:A2363, A$1:A2363&lt;&gt;""""))))-1), IF('To Order'!$A2364=COL"&amp;"UMNS($A2364:A2383), A2363&amp;RIGHT(INDIRECT(ADDRESS(ROW(A2364)-1, 'From Order'!$A2364)), 1), A2363))"),"DR")</f>
        <v>DR</v>
      </c>
      <c r="B2364" s="2" t="str">
        <f>IFERROR(__xludf.DUMMYFUNCTION("IF('From Order'!$A2364=COLUMNS($A2364:B2383), LEFT(INDEX(FILTER(B$1:B2363, B$1:B2363&lt;&gt;""""),COUNTA(FILTER(B$1:B2363, B$1:B2363&lt;&gt;""""))), LEN(INDEX(FILTER(B$1:B2363, B$1:B2363&lt;&gt;""""),COUNTA(FILTER(B$1:B2363, B$1:B2363&lt;&gt;""""))))-1), IF('To Order'!$A2364=COL"&amp;"UMNS($A2364:B2383), B2363&amp;RIGHT(INDIRECT(ADDRESS(ROW(B2364)-1, 'From Order'!$A2364)), 1), B2363))"),"")</f>
        <v/>
      </c>
      <c r="C2364" s="2" t="str">
        <f>IFERROR(__xludf.DUMMYFUNCTION("IF('From Order'!$A2364=COLUMNS($A2364:C2383), LEFT(INDEX(FILTER(C$1:C2363, C$1:C2363&lt;&gt;""""),COUNTA(FILTER(C$1:C2363, C$1:C2363&lt;&gt;""""))), LEN(INDEX(FILTER(C$1:C2363, C$1:C2363&lt;&gt;""""),COUNTA(FILTER(C$1:C2363, C$1:C2363&lt;&gt;""""))))-1), IF('To Order'!$A2364=COL"&amp;"UMNS($A2364:C2383), C2363&amp;RIGHT(INDIRECT(ADDRESS(ROW(C2364)-1, 'From Order'!$A2364)), 1), C2363))"),"VBJ")</f>
        <v>VBJ</v>
      </c>
      <c r="D2364" s="2" t="str">
        <f>IFERROR(__xludf.DUMMYFUNCTION("IF('From Order'!$A2364=COLUMNS($A2364:D2383), LEFT(INDEX(FILTER(D$1:D2363, D$1:D2363&lt;&gt;""""),COUNTA(FILTER(D$1:D2363, D$1:D2363&lt;&gt;""""))), LEN(INDEX(FILTER(D$1:D2363, D$1:D2363&lt;&gt;""""),COUNTA(FILTER(D$1:D2363, D$1:D2363&lt;&gt;""""))))-1), IF('To Order'!$A2364=COL"&amp;"UMNS($A2364:D2383), D2363&amp;RIGHT(INDIRECT(ADDRESS(ROW(D2364)-1, 'From Order'!$A2364)), 1), D2363))"),"G")</f>
        <v>G</v>
      </c>
      <c r="E2364" s="2" t="str">
        <f>IFERROR(__xludf.DUMMYFUNCTION("IF('From Order'!$A2364=COLUMNS($A2364:E2383), LEFT(INDEX(FILTER(E$1:E2363, E$1:E2363&lt;&gt;""""),COUNTA(FILTER(E$1:E2363, E$1:E2363&lt;&gt;""""))), LEN(INDEX(FILTER(E$1:E2363, E$1:E2363&lt;&gt;""""),COUNTA(FILTER(E$1:E2363, E$1:E2363&lt;&gt;""""))))-1), IF('To Order'!$A2364=COL"&amp;"UMNS($A2364:E2383), E2363&amp;RIGHT(INDIRECT(ADDRESS(ROW(E2364)-1, 'From Order'!$A2364)), 1), E2363))"),"BRPHZMTSSPLRRJTT")</f>
        <v>BRPHZMTSSPLRRJTT</v>
      </c>
      <c r="F2364" s="2" t="str">
        <f>IFERROR(__xludf.DUMMYFUNCTION("IF('From Order'!$A2364=COLUMNS($A2364:F2383), LEFT(INDEX(FILTER(F$1:F2363, F$1:F2363&lt;&gt;""""),COUNTA(FILTER(F$1:F2363, F$1:F2363&lt;&gt;""""))), LEN(INDEX(FILTER(F$1:F2363, F$1:F2363&lt;&gt;""""),COUNTA(FILTER(F$1:F2363, F$1:F2363&lt;&gt;""""))))-1), IF('To Order'!$A2364=COL"&amp;"UMNS($A2364:F2383), F2363&amp;RIGHT(INDIRECT(ADDRESS(ROW(F2364)-1, 'From Order'!$A2364)), 1), F2363))"),"FJCBFLLWTHZS")</f>
        <v>FJCBFLLWTHZS</v>
      </c>
      <c r="G2364" s="2" t="str">
        <f>IFERROR(__xludf.DUMMYFUNCTION("IF('From Order'!$A2364=COLUMNS($A2364:G2383), LEFT(INDEX(FILTER(G$1:G2363, G$1:G2363&lt;&gt;""""),COUNTA(FILTER(G$1:G2363, G$1:G2363&lt;&gt;""""))), LEN(INDEX(FILTER(G$1:G2363, G$1:G2363&lt;&gt;""""),COUNTA(FILTER(G$1:G2363, G$1:G2363&lt;&gt;""""))))-1), IF('To Order'!$A2364=COL"&amp;"UMNS($A2364:G2383), G2363&amp;RIGHT(INDIRECT(ADDRESS(ROW(G2364)-1, 'From Order'!$A2364)), 1), G2363))"),"BWDC")</f>
        <v>BWDC</v>
      </c>
      <c r="H2364" s="2" t="str">
        <f>IFERROR(__xludf.DUMMYFUNCTION("IF('From Order'!$A2364=COLUMNS($A2364:H2383), LEFT(INDEX(FILTER(H$1:H2363, H$1:H2363&lt;&gt;""""),COUNTA(FILTER(H$1:H2363, H$1:H2363&lt;&gt;""""))), LEN(INDEX(FILTER(H$1:H2363, H$1:H2363&lt;&gt;""""),COUNTA(FILTER(H$1:H2363, H$1:H2363&lt;&gt;""""))))-1), IF('To Order'!$A2364=COL"&amp;"UMNS($A2364:H2383), H2363&amp;RIGHT(INDIRECT(ADDRESS(ROW(H2364)-1, 'From Order'!$A2364)), 1), H2363))"),"")</f>
        <v/>
      </c>
      <c r="I2364" s="2" t="str">
        <f>IFERROR(__xludf.DUMMYFUNCTION("IF('From Order'!$A2364=COLUMNS($A2364:I2383), LEFT(INDEX(FILTER(I$1:I2363, I$1:I2363&lt;&gt;""""),COUNTA(FILTER(I$1:I2363, I$1:I2363&lt;&gt;""""))), LEN(INDEX(FILTER(I$1:I2363, I$1:I2363&lt;&gt;""""),COUNTA(FILTER(I$1:I2363, I$1:I2363&lt;&gt;""""))))-1), IF('To Order'!$A2364=COL"&amp;"UMNS($A2364:I2383), I2363&amp;RIGHT(INDIRECT(ADDRESS(ROW(I2364)-1, 'From Order'!$A2364)), 1), I2363))"),"DDDVQZDMTTGMPSRQVC")</f>
        <v>DDDVQZDMTTGMPSRQVC</v>
      </c>
    </row>
    <row r="2365">
      <c r="A2365" s="2" t="str">
        <f>IFERROR(__xludf.DUMMYFUNCTION("IF('From Order'!$A2365=COLUMNS($A2365:A2384), LEFT(INDEX(FILTER(A$1:A2364, A$1:A2364&lt;&gt;""""),COUNTA(FILTER(A$1:A2364, A$1:A2364&lt;&gt;""""))), LEN(INDEX(FILTER(A$1:A2364, A$1:A2364&lt;&gt;""""),COUNTA(FILTER(A$1:A2364, A$1:A2364&lt;&gt;""""))))-1), IF('To Order'!$A2365=COL"&amp;"UMNS($A2365:A2384), A2364&amp;RIGHT(INDIRECT(ADDRESS(ROW(A2365)-1, 'From Order'!$A2365)), 1), A2364))"),"DR")</f>
        <v>DR</v>
      </c>
      <c r="B2365" s="2" t="str">
        <f>IFERROR(__xludf.DUMMYFUNCTION("IF('From Order'!$A2365=COLUMNS($A2365:B2384), LEFT(INDEX(FILTER(B$1:B2364, B$1:B2364&lt;&gt;""""),COUNTA(FILTER(B$1:B2364, B$1:B2364&lt;&gt;""""))), LEN(INDEX(FILTER(B$1:B2364, B$1:B2364&lt;&gt;""""),COUNTA(FILTER(B$1:B2364, B$1:B2364&lt;&gt;""""))))-1), IF('To Order'!$A2365=COL"&amp;"UMNS($A2365:B2384), B2364&amp;RIGHT(INDIRECT(ADDRESS(ROW(B2365)-1, 'From Order'!$A2365)), 1), B2364))"),"")</f>
        <v/>
      </c>
      <c r="C2365" s="2" t="str">
        <f>IFERROR(__xludf.DUMMYFUNCTION("IF('From Order'!$A2365=COLUMNS($A2365:C2384), LEFT(INDEX(FILTER(C$1:C2364, C$1:C2364&lt;&gt;""""),COUNTA(FILTER(C$1:C2364, C$1:C2364&lt;&gt;""""))), LEN(INDEX(FILTER(C$1:C2364, C$1:C2364&lt;&gt;""""),COUNTA(FILTER(C$1:C2364, C$1:C2364&lt;&gt;""""))))-1), IF('To Order'!$A2365=COL"&amp;"UMNS($A2365:C2384), C2364&amp;RIGHT(INDIRECT(ADDRESS(ROW(C2365)-1, 'From Order'!$A2365)), 1), C2364))"),"VBJ")</f>
        <v>VBJ</v>
      </c>
      <c r="D2365" s="2" t="str">
        <f>IFERROR(__xludf.DUMMYFUNCTION("IF('From Order'!$A2365=COLUMNS($A2365:D2384), LEFT(INDEX(FILTER(D$1:D2364, D$1:D2364&lt;&gt;""""),COUNTA(FILTER(D$1:D2364, D$1:D2364&lt;&gt;""""))), LEN(INDEX(FILTER(D$1:D2364, D$1:D2364&lt;&gt;""""),COUNTA(FILTER(D$1:D2364, D$1:D2364&lt;&gt;""""))))-1), IF('To Order'!$A2365=COL"&amp;"UMNS($A2365:D2384), D2364&amp;RIGHT(INDIRECT(ADDRESS(ROW(D2365)-1, 'From Order'!$A2365)), 1), D2364))"),"G")</f>
        <v>G</v>
      </c>
      <c r="E2365" s="2" t="str">
        <f>IFERROR(__xludf.DUMMYFUNCTION("IF('From Order'!$A2365=COLUMNS($A2365:E2384), LEFT(INDEX(FILTER(E$1:E2364, E$1:E2364&lt;&gt;""""),COUNTA(FILTER(E$1:E2364, E$1:E2364&lt;&gt;""""))), LEN(INDEX(FILTER(E$1:E2364, E$1:E2364&lt;&gt;""""),COUNTA(FILTER(E$1:E2364, E$1:E2364&lt;&gt;""""))))-1), IF('To Order'!$A2365=COL"&amp;"UMNS($A2365:E2384), E2364&amp;RIGHT(INDIRECT(ADDRESS(ROW(E2365)-1, 'From Order'!$A2365)), 1), E2364))"),"BRPHZMTSSPLRRJTT")</f>
        <v>BRPHZMTSSPLRRJTT</v>
      </c>
      <c r="F2365" s="2" t="str">
        <f>IFERROR(__xludf.DUMMYFUNCTION("IF('From Order'!$A2365=COLUMNS($A2365:F2384), LEFT(INDEX(FILTER(F$1:F2364, F$1:F2364&lt;&gt;""""),COUNTA(FILTER(F$1:F2364, F$1:F2364&lt;&gt;""""))), LEN(INDEX(FILTER(F$1:F2364, F$1:F2364&lt;&gt;""""),COUNTA(FILTER(F$1:F2364, F$1:F2364&lt;&gt;""""))))-1), IF('To Order'!$A2365=COL"&amp;"UMNS($A2365:F2384), F2364&amp;RIGHT(INDIRECT(ADDRESS(ROW(F2365)-1, 'From Order'!$A2365)), 1), F2364))"),"FJCBFLLWTHZS")</f>
        <v>FJCBFLLWTHZS</v>
      </c>
      <c r="G2365" s="2" t="str">
        <f>IFERROR(__xludf.DUMMYFUNCTION("IF('From Order'!$A2365=COLUMNS($A2365:G2384), LEFT(INDEX(FILTER(G$1:G2364, G$1:G2364&lt;&gt;""""),COUNTA(FILTER(G$1:G2364, G$1:G2364&lt;&gt;""""))), LEN(INDEX(FILTER(G$1:G2364, G$1:G2364&lt;&gt;""""),COUNTA(FILTER(G$1:G2364, G$1:G2364&lt;&gt;""""))))-1), IF('To Order'!$A2365=COL"&amp;"UMNS($A2365:G2384), G2364&amp;RIGHT(INDIRECT(ADDRESS(ROW(G2365)-1, 'From Order'!$A2365)), 1), G2364))"),"BWD")</f>
        <v>BWD</v>
      </c>
      <c r="H2365" s="2" t="str">
        <f>IFERROR(__xludf.DUMMYFUNCTION("IF('From Order'!$A2365=COLUMNS($A2365:H2384), LEFT(INDEX(FILTER(H$1:H2364, H$1:H2364&lt;&gt;""""),COUNTA(FILTER(H$1:H2364, H$1:H2364&lt;&gt;""""))), LEN(INDEX(FILTER(H$1:H2364, H$1:H2364&lt;&gt;""""),COUNTA(FILTER(H$1:H2364, H$1:H2364&lt;&gt;""""))))-1), IF('To Order'!$A2365=COL"&amp;"UMNS($A2365:H2384), H2364&amp;RIGHT(INDIRECT(ADDRESS(ROW(H2365)-1, 'From Order'!$A2365)), 1), H2364))"),"")</f>
        <v/>
      </c>
      <c r="I2365" s="2" t="str">
        <f>IFERROR(__xludf.DUMMYFUNCTION("IF('From Order'!$A2365=COLUMNS($A2365:I2384), LEFT(INDEX(FILTER(I$1:I2364, I$1:I2364&lt;&gt;""""),COUNTA(FILTER(I$1:I2364, I$1:I2364&lt;&gt;""""))), LEN(INDEX(FILTER(I$1:I2364, I$1:I2364&lt;&gt;""""),COUNTA(FILTER(I$1:I2364, I$1:I2364&lt;&gt;""""))))-1), IF('To Order'!$A2365=COL"&amp;"UMNS($A2365:I2384), I2364&amp;RIGHT(INDIRECT(ADDRESS(ROW(I2365)-1, 'From Order'!$A2365)), 1), I2364))"),"DDDVQZDMTTGMPSRQVCC")</f>
        <v>DDDVQZDMTTGMPSRQVCC</v>
      </c>
    </row>
    <row r="2366">
      <c r="A2366" s="2" t="str">
        <f>IFERROR(__xludf.DUMMYFUNCTION("IF('From Order'!$A2366=COLUMNS($A2366:A2385), LEFT(INDEX(FILTER(A$1:A2365, A$1:A2365&lt;&gt;""""),COUNTA(FILTER(A$1:A2365, A$1:A2365&lt;&gt;""""))), LEN(INDEX(FILTER(A$1:A2365, A$1:A2365&lt;&gt;""""),COUNTA(FILTER(A$1:A2365, A$1:A2365&lt;&gt;""""))))-1), IF('To Order'!$A2366=COL"&amp;"UMNS($A2366:A2385), A2365&amp;RIGHT(INDIRECT(ADDRESS(ROW(A2366)-1, 'From Order'!$A2366)), 1), A2365))"),"DR")</f>
        <v>DR</v>
      </c>
      <c r="B2366" s="2" t="str">
        <f>IFERROR(__xludf.DUMMYFUNCTION("IF('From Order'!$A2366=COLUMNS($A2366:B2385), LEFT(INDEX(FILTER(B$1:B2365, B$1:B2365&lt;&gt;""""),COUNTA(FILTER(B$1:B2365, B$1:B2365&lt;&gt;""""))), LEN(INDEX(FILTER(B$1:B2365, B$1:B2365&lt;&gt;""""),COUNTA(FILTER(B$1:B2365, B$1:B2365&lt;&gt;""""))))-1), IF('To Order'!$A2366=COL"&amp;"UMNS($A2366:B2385), B2365&amp;RIGHT(INDIRECT(ADDRESS(ROW(B2366)-1, 'From Order'!$A2366)), 1), B2365))"),"")</f>
        <v/>
      </c>
      <c r="C2366" s="2" t="str">
        <f>IFERROR(__xludf.DUMMYFUNCTION("IF('From Order'!$A2366=COLUMNS($A2366:C2385), LEFT(INDEX(FILTER(C$1:C2365, C$1:C2365&lt;&gt;""""),COUNTA(FILTER(C$1:C2365, C$1:C2365&lt;&gt;""""))), LEN(INDEX(FILTER(C$1:C2365, C$1:C2365&lt;&gt;""""),COUNTA(FILTER(C$1:C2365, C$1:C2365&lt;&gt;""""))))-1), IF('To Order'!$A2366=COL"&amp;"UMNS($A2366:C2385), C2365&amp;RIGHT(INDIRECT(ADDRESS(ROW(C2366)-1, 'From Order'!$A2366)), 1), C2365))"),"VBJ")</f>
        <v>VBJ</v>
      </c>
      <c r="D2366" s="2" t="str">
        <f>IFERROR(__xludf.DUMMYFUNCTION("IF('From Order'!$A2366=COLUMNS($A2366:D2385), LEFT(INDEX(FILTER(D$1:D2365, D$1:D2365&lt;&gt;""""),COUNTA(FILTER(D$1:D2365, D$1:D2365&lt;&gt;""""))), LEN(INDEX(FILTER(D$1:D2365, D$1:D2365&lt;&gt;""""),COUNTA(FILTER(D$1:D2365, D$1:D2365&lt;&gt;""""))))-1), IF('To Order'!$A2366=COL"&amp;"UMNS($A2366:D2385), D2365&amp;RIGHT(INDIRECT(ADDRESS(ROW(D2366)-1, 'From Order'!$A2366)), 1), D2365))"),"G")</f>
        <v>G</v>
      </c>
      <c r="E2366" s="2" t="str">
        <f>IFERROR(__xludf.DUMMYFUNCTION("IF('From Order'!$A2366=COLUMNS($A2366:E2385), LEFT(INDEX(FILTER(E$1:E2365, E$1:E2365&lt;&gt;""""),COUNTA(FILTER(E$1:E2365, E$1:E2365&lt;&gt;""""))), LEN(INDEX(FILTER(E$1:E2365, E$1:E2365&lt;&gt;""""),COUNTA(FILTER(E$1:E2365, E$1:E2365&lt;&gt;""""))))-1), IF('To Order'!$A2366=COL"&amp;"UMNS($A2366:E2385), E2365&amp;RIGHT(INDIRECT(ADDRESS(ROW(E2366)-1, 'From Order'!$A2366)), 1), E2365))"),"BRPHZMTSSPLRRJTT")</f>
        <v>BRPHZMTSSPLRRJTT</v>
      </c>
      <c r="F2366" s="2" t="str">
        <f>IFERROR(__xludf.DUMMYFUNCTION("IF('From Order'!$A2366=COLUMNS($A2366:F2385), LEFT(INDEX(FILTER(F$1:F2365, F$1:F2365&lt;&gt;""""),COUNTA(FILTER(F$1:F2365, F$1:F2365&lt;&gt;""""))), LEN(INDEX(FILTER(F$1:F2365, F$1:F2365&lt;&gt;""""),COUNTA(FILTER(F$1:F2365, F$1:F2365&lt;&gt;""""))))-1), IF('To Order'!$A2366=COL"&amp;"UMNS($A2366:F2385), F2365&amp;RIGHT(INDIRECT(ADDRESS(ROW(F2366)-1, 'From Order'!$A2366)), 1), F2365))"),"FJCBFLLWTHZS")</f>
        <v>FJCBFLLWTHZS</v>
      </c>
      <c r="G2366" s="2" t="str">
        <f>IFERROR(__xludf.DUMMYFUNCTION("IF('From Order'!$A2366=COLUMNS($A2366:G2385), LEFT(INDEX(FILTER(G$1:G2365, G$1:G2365&lt;&gt;""""),COUNTA(FILTER(G$1:G2365, G$1:G2365&lt;&gt;""""))), LEN(INDEX(FILTER(G$1:G2365, G$1:G2365&lt;&gt;""""),COUNTA(FILTER(G$1:G2365, G$1:G2365&lt;&gt;""""))))-1), IF('To Order'!$A2366=COL"&amp;"UMNS($A2366:G2385), G2365&amp;RIGHT(INDIRECT(ADDRESS(ROW(G2366)-1, 'From Order'!$A2366)), 1), G2365))"),"BW")</f>
        <v>BW</v>
      </c>
      <c r="H2366" s="2" t="str">
        <f>IFERROR(__xludf.DUMMYFUNCTION("IF('From Order'!$A2366=COLUMNS($A2366:H2385), LEFT(INDEX(FILTER(H$1:H2365, H$1:H2365&lt;&gt;""""),COUNTA(FILTER(H$1:H2365, H$1:H2365&lt;&gt;""""))), LEN(INDEX(FILTER(H$1:H2365, H$1:H2365&lt;&gt;""""),COUNTA(FILTER(H$1:H2365, H$1:H2365&lt;&gt;""""))))-1), IF('To Order'!$A2366=COL"&amp;"UMNS($A2366:H2385), H2365&amp;RIGHT(INDIRECT(ADDRESS(ROW(H2366)-1, 'From Order'!$A2366)), 1), H2365))"),"")</f>
        <v/>
      </c>
      <c r="I2366" s="2" t="str">
        <f>IFERROR(__xludf.DUMMYFUNCTION("IF('From Order'!$A2366=COLUMNS($A2366:I2385), LEFT(INDEX(FILTER(I$1:I2365, I$1:I2365&lt;&gt;""""),COUNTA(FILTER(I$1:I2365, I$1:I2365&lt;&gt;""""))), LEN(INDEX(FILTER(I$1:I2365, I$1:I2365&lt;&gt;""""),COUNTA(FILTER(I$1:I2365, I$1:I2365&lt;&gt;""""))))-1), IF('To Order'!$A2366=COL"&amp;"UMNS($A2366:I2385), I2365&amp;RIGHT(INDIRECT(ADDRESS(ROW(I2366)-1, 'From Order'!$A2366)), 1), I2365))"),"DDDVQZDMTTGMPSRQVCCD")</f>
        <v>DDDVQZDMTTGMPSRQVCCD</v>
      </c>
    </row>
    <row r="2367">
      <c r="A2367" s="2" t="str">
        <f>IFERROR(__xludf.DUMMYFUNCTION("IF('From Order'!$A2367=COLUMNS($A2367:A2386), LEFT(INDEX(FILTER(A$1:A2366, A$1:A2366&lt;&gt;""""),COUNTA(FILTER(A$1:A2366, A$1:A2366&lt;&gt;""""))), LEN(INDEX(FILTER(A$1:A2366, A$1:A2366&lt;&gt;""""),COUNTA(FILTER(A$1:A2366, A$1:A2366&lt;&gt;""""))))-1), IF('To Order'!$A2367=COL"&amp;"UMNS($A2367:A2386), A2366&amp;RIGHT(INDIRECT(ADDRESS(ROW(A2367)-1, 'From Order'!$A2367)), 1), A2366))"),"DRS")</f>
        <v>DRS</v>
      </c>
      <c r="B2367" s="2" t="str">
        <f>IFERROR(__xludf.DUMMYFUNCTION("IF('From Order'!$A2367=COLUMNS($A2367:B2386), LEFT(INDEX(FILTER(B$1:B2366, B$1:B2366&lt;&gt;""""),COUNTA(FILTER(B$1:B2366, B$1:B2366&lt;&gt;""""))), LEN(INDEX(FILTER(B$1:B2366, B$1:B2366&lt;&gt;""""),COUNTA(FILTER(B$1:B2366, B$1:B2366&lt;&gt;""""))))-1), IF('To Order'!$A2367=COL"&amp;"UMNS($A2367:B2386), B2366&amp;RIGHT(INDIRECT(ADDRESS(ROW(B2367)-1, 'From Order'!$A2367)), 1), B2366))"),"")</f>
        <v/>
      </c>
      <c r="C2367" s="2" t="str">
        <f>IFERROR(__xludf.DUMMYFUNCTION("IF('From Order'!$A2367=COLUMNS($A2367:C2386), LEFT(INDEX(FILTER(C$1:C2366, C$1:C2366&lt;&gt;""""),COUNTA(FILTER(C$1:C2366, C$1:C2366&lt;&gt;""""))), LEN(INDEX(FILTER(C$1:C2366, C$1:C2366&lt;&gt;""""),COUNTA(FILTER(C$1:C2366, C$1:C2366&lt;&gt;""""))))-1), IF('To Order'!$A2367=COL"&amp;"UMNS($A2367:C2386), C2366&amp;RIGHT(INDIRECT(ADDRESS(ROW(C2367)-1, 'From Order'!$A2367)), 1), C2366))"),"VBJ")</f>
        <v>VBJ</v>
      </c>
      <c r="D2367" s="2" t="str">
        <f>IFERROR(__xludf.DUMMYFUNCTION("IF('From Order'!$A2367=COLUMNS($A2367:D2386), LEFT(INDEX(FILTER(D$1:D2366, D$1:D2366&lt;&gt;""""),COUNTA(FILTER(D$1:D2366, D$1:D2366&lt;&gt;""""))), LEN(INDEX(FILTER(D$1:D2366, D$1:D2366&lt;&gt;""""),COUNTA(FILTER(D$1:D2366, D$1:D2366&lt;&gt;""""))))-1), IF('To Order'!$A2367=COL"&amp;"UMNS($A2367:D2386), D2366&amp;RIGHT(INDIRECT(ADDRESS(ROW(D2367)-1, 'From Order'!$A2367)), 1), D2366))"),"G")</f>
        <v>G</v>
      </c>
      <c r="E2367" s="2" t="str">
        <f>IFERROR(__xludf.DUMMYFUNCTION("IF('From Order'!$A2367=COLUMNS($A2367:E2386), LEFT(INDEX(FILTER(E$1:E2366, E$1:E2366&lt;&gt;""""),COUNTA(FILTER(E$1:E2366, E$1:E2366&lt;&gt;""""))), LEN(INDEX(FILTER(E$1:E2366, E$1:E2366&lt;&gt;""""),COUNTA(FILTER(E$1:E2366, E$1:E2366&lt;&gt;""""))))-1), IF('To Order'!$A2367=COL"&amp;"UMNS($A2367:E2386), E2366&amp;RIGHT(INDIRECT(ADDRESS(ROW(E2367)-1, 'From Order'!$A2367)), 1), E2366))"),"BRPHZMTSSPLRRJTT")</f>
        <v>BRPHZMTSSPLRRJTT</v>
      </c>
      <c r="F2367" s="2" t="str">
        <f>IFERROR(__xludf.DUMMYFUNCTION("IF('From Order'!$A2367=COLUMNS($A2367:F2386), LEFT(INDEX(FILTER(F$1:F2366, F$1:F2366&lt;&gt;""""),COUNTA(FILTER(F$1:F2366, F$1:F2366&lt;&gt;""""))), LEN(INDEX(FILTER(F$1:F2366, F$1:F2366&lt;&gt;""""),COUNTA(FILTER(F$1:F2366, F$1:F2366&lt;&gt;""""))))-1), IF('To Order'!$A2367=COL"&amp;"UMNS($A2367:F2386), F2366&amp;RIGHT(INDIRECT(ADDRESS(ROW(F2367)-1, 'From Order'!$A2367)), 1), F2366))"),"FJCBFLLWTHZ")</f>
        <v>FJCBFLLWTHZ</v>
      </c>
      <c r="G2367" s="2" t="str">
        <f>IFERROR(__xludf.DUMMYFUNCTION("IF('From Order'!$A2367=COLUMNS($A2367:G2386), LEFT(INDEX(FILTER(G$1:G2366, G$1:G2366&lt;&gt;""""),COUNTA(FILTER(G$1:G2366, G$1:G2366&lt;&gt;""""))), LEN(INDEX(FILTER(G$1:G2366, G$1:G2366&lt;&gt;""""),COUNTA(FILTER(G$1:G2366, G$1:G2366&lt;&gt;""""))))-1), IF('To Order'!$A2367=COL"&amp;"UMNS($A2367:G2386), G2366&amp;RIGHT(INDIRECT(ADDRESS(ROW(G2367)-1, 'From Order'!$A2367)), 1), G2366))"),"BW")</f>
        <v>BW</v>
      </c>
      <c r="H2367" s="2" t="str">
        <f>IFERROR(__xludf.DUMMYFUNCTION("IF('From Order'!$A2367=COLUMNS($A2367:H2386), LEFT(INDEX(FILTER(H$1:H2366, H$1:H2366&lt;&gt;""""),COUNTA(FILTER(H$1:H2366, H$1:H2366&lt;&gt;""""))), LEN(INDEX(FILTER(H$1:H2366, H$1:H2366&lt;&gt;""""),COUNTA(FILTER(H$1:H2366, H$1:H2366&lt;&gt;""""))))-1), IF('To Order'!$A2367=COL"&amp;"UMNS($A2367:H2386), H2366&amp;RIGHT(INDIRECT(ADDRESS(ROW(H2367)-1, 'From Order'!$A2367)), 1), H2366))"),"")</f>
        <v/>
      </c>
      <c r="I2367" s="2" t="str">
        <f>IFERROR(__xludf.DUMMYFUNCTION("IF('From Order'!$A2367=COLUMNS($A2367:I2386), LEFT(INDEX(FILTER(I$1:I2366, I$1:I2366&lt;&gt;""""),COUNTA(FILTER(I$1:I2366, I$1:I2366&lt;&gt;""""))), LEN(INDEX(FILTER(I$1:I2366, I$1:I2366&lt;&gt;""""),COUNTA(FILTER(I$1:I2366, I$1:I2366&lt;&gt;""""))))-1), IF('To Order'!$A2367=COL"&amp;"UMNS($A2367:I2386), I2366&amp;RIGHT(INDIRECT(ADDRESS(ROW(I2367)-1, 'From Order'!$A2367)), 1), I2366))"),"DDDVQZDMTTGMPSRQVCCD")</f>
        <v>DDDVQZDMTTGMPSRQVCCD</v>
      </c>
    </row>
    <row r="2368">
      <c r="A2368" s="2" t="str">
        <f>IFERROR(__xludf.DUMMYFUNCTION("IF('From Order'!$A2368=COLUMNS($A2368:A2387), LEFT(INDEX(FILTER(A$1:A2367, A$1:A2367&lt;&gt;""""),COUNTA(FILTER(A$1:A2367, A$1:A2367&lt;&gt;""""))), LEN(INDEX(FILTER(A$1:A2367, A$1:A2367&lt;&gt;""""),COUNTA(FILTER(A$1:A2367, A$1:A2367&lt;&gt;""""))))-1), IF('To Order'!$A2368=COL"&amp;"UMNS($A2368:A2387), A2367&amp;RIGHT(INDIRECT(ADDRESS(ROW(A2368)-1, 'From Order'!$A2368)), 1), A2367))"),"DRSZ")</f>
        <v>DRSZ</v>
      </c>
      <c r="B2368" s="2" t="str">
        <f>IFERROR(__xludf.DUMMYFUNCTION("IF('From Order'!$A2368=COLUMNS($A2368:B2387), LEFT(INDEX(FILTER(B$1:B2367, B$1:B2367&lt;&gt;""""),COUNTA(FILTER(B$1:B2367, B$1:B2367&lt;&gt;""""))), LEN(INDEX(FILTER(B$1:B2367, B$1:B2367&lt;&gt;""""),COUNTA(FILTER(B$1:B2367, B$1:B2367&lt;&gt;""""))))-1), IF('To Order'!$A2368=COL"&amp;"UMNS($A2368:B2387), B2367&amp;RIGHT(INDIRECT(ADDRESS(ROW(B2368)-1, 'From Order'!$A2368)), 1), B2367))"),"")</f>
        <v/>
      </c>
      <c r="C2368" s="2" t="str">
        <f>IFERROR(__xludf.DUMMYFUNCTION("IF('From Order'!$A2368=COLUMNS($A2368:C2387), LEFT(INDEX(FILTER(C$1:C2367, C$1:C2367&lt;&gt;""""),COUNTA(FILTER(C$1:C2367, C$1:C2367&lt;&gt;""""))), LEN(INDEX(FILTER(C$1:C2367, C$1:C2367&lt;&gt;""""),COUNTA(FILTER(C$1:C2367, C$1:C2367&lt;&gt;""""))))-1), IF('To Order'!$A2368=COL"&amp;"UMNS($A2368:C2387), C2367&amp;RIGHT(INDIRECT(ADDRESS(ROW(C2368)-1, 'From Order'!$A2368)), 1), C2367))"),"VBJ")</f>
        <v>VBJ</v>
      </c>
      <c r="D2368" s="2" t="str">
        <f>IFERROR(__xludf.DUMMYFUNCTION("IF('From Order'!$A2368=COLUMNS($A2368:D2387), LEFT(INDEX(FILTER(D$1:D2367, D$1:D2367&lt;&gt;""""),COUNTA(FILTER(D$1:D2367, D$1:D2367&lt;&gt;""""))), LEN(INDEX(FILTER(D$1:D2367, D$1:D2367&lt;&gt;""""),COUNTA(FILTER(D$1:D2367, D$1:D2367&lt;&gt;""""))))-1), IF('To Order'!$A2368=COL"&amp;"UMNS($A2368:D2387), D2367&amp;RIGHT(INDIRECT(ADDRESS(ROW(D2368)-1, 'From Order'!$A2368)), 1), D2367))"),"G")</f>
        <v>G</v>
      </c>
      <c r="E2368" s="2" t="str">
        <f>IFERROR(__xludf.DUMMYFUNCTION("IF('From Order'!$A2368=COLUMNS($A2368:E2387), LEFT(INDEX(FILTER(E$1:E2367, E$1:E2367&lt;&gt;""""),COUNTA(FILTER(E$1:E2367, E$1:E2367&lt;&gt;""""))), LEN(INDEX(FILTER(E$1:E2367, E$1:E2367&lt;&gt;""""),COUNTA(FILTER(E$1:E2367, E$1:E2367&lt;&gt;""""))))-1), IF('To Order'!$A2368=COL"&amp;"UMNS($A2368:E2387), E2367&amp;RIGHT(INDIRECT(ADDRESS(ROW(E2368)-1, 'From Order'!$A2368)), 1), E2367))"),"BRPHZMTSSPLRRJTT")</f>
        <v>BRPHZMTSSPLRRJTT</v>
      </c>
      <c r="F2368" s="2" t="str">
        <f>IFERROR(__xludf.DUMMYFUNCTION("IF('From Order'!$A2368=COLUMNS($A2368:F2387), LEFT(INDEX(FILTER(F$1:F2367, F$1:F2367&lt;&gt;""""),COUNTA(FILTER(F$1:F2367, F$1:F2367&lt;&gt;""""))), LEN(INDEX(FILTER(F$1:F2367, F$1:F2367&lt;&gt;""""),COUNTA(FILTER(F$1:F2367, F$1:F2367&lt;&gt;""""))))-1), IF('To Order'!$A2368=COL"&amp;"UMNS($A2368:F2387), F2367&amp;RIGHT(INDIRECT(ADDRESS(ROW(F2368)-1, 'From Order'!$A2368)), 1), F2367))"),"FJCBFLLWTH")</f>
        <v>FJCBFLLWTH</v>
      </c>
      <c r="G2368" s="2" t="str">
        <f>IFERROR(__xludf.DUMMYFUNCTION("IF('From Order'!$A2368=COLUMNS($A2368:G2387), LEFT(INDEX(FILTER(G$1:G2367, G$1:G2367&lt;&gt;""""),COUNTA(FILTER(G$1:G2367, G$1:G2367&lt;&gt;""""))), LEN(INDEX(FILTER(G$1:G2367, G$1:G2367&lt;&gt;""""),COUNTA(FILTER(G$1:G2367, G$1:G2367&lt;&gt;""""))))-1), IF('To Order'!$A2368=COL"&amp;"UMNS($A2368:G2387), G2367&amp;RIGHT(INDIRECT(ADDRESS(ROW(G2368)-1, 'From Order'!$A2368)), 1), G2367))"),"BW")</f>
        <v>BW</v>
      </c>
      <c r="H2368" s="2" t="str">
        <f>IFERROR(__xludf.DUMMYFUNCTION("IF('From Order'!$A2368=COLUMNS($A2368:H2387), LEFT(INDEX(FILTER(H$1:H2367, H$1:H2367&lt;&gt;""""),COUNTA(FILTER(H$1:H2367, H$1:H2367&lt;&gt;""""))), LEN(INDEX(FILTER(H$1:H2367, H$1:H2367&lt;&gt;""""),COUNTA(FILTER(H$1:H2367, H$1:H2367&lt;&gt;""""))))-1), IF('To Order'!$A2368=COL"&amp;"UMNS($A2368:H2387), H2367&amp;RIGHT(INDIRECT(ADDRESS(ROW(H2368)-1, 'From Order'!$A2368)), 1), H2367))"),"")</f>
        <v/>
      </c>
      <c r="I2368" s="2" t="str">
        <f>IFERROR(__xludf.DUMMYFUNCTION("IF('From Order'!$A2368=COLUMNS($A2368:I2387), LEFT(INDEX(FILTER(I$1:I2367, I$1:I2367&lt;&gt;""""),COUNTA(FILTER(I$1:I2367, I$1:I2367&lt;&gt;""""))), LEN(INDEX(FILTER(I$1:I2367, I$1:I2367&lt;&gt;""""),COUNTA(FILTER(I$1:I2367, I$1:I2367&lt;&gt;""""))))-1), IF('To Order'!$A2368=COL"&amp;"UMNS($A2368:I2387), I2367&amp;RIGHT(INDIRECT(ADDRESS(ROW(I2368)-1, 'From Order'!$A2368)), 1), I2367))"),"DDDVQZDMTTGMPSRQVCCD")</f>
        <v>DDDVQZDMTTGMPSRQVCCD</v>
      </c>
    </row>
    <row r="2369">
      <c r="A2369" s="2" t="str">
        <f>IFERROR(__xludf.DUMMYFUNCTION("IF('From Order'!$A2369=COLUMNS($A2369:A2388), LEFT(INDEX(FILTER(A$1:A2368, A$1:A2368&lt;&gt;""""),COUNTA(FILTER(A$1:A2368, A$1:A2368&lt;&gt;""""))), LEN(INDEX(FILTER(A$1:A2368, A$1:A2368&lt;&gt;""""),COUNTA(FILTER(A$1:A2368, A$1:A2368&lt;&gt;""""))))-1), IF('To Order'!$A2369=COL"&amp;"UMNS($A2369:A2388), A2368&amp;RIGHT(INDIRECT(ADDRESS(ROW(A2369)-1, 'From Order'!$A2369)), 1), A2368))"),"DRSZH")</f>
        <v>DRSZH</v>
      </c>
      <c r="B2369" s="2" t="str">
        <f>IFERROR(__xludf.DUMMYFUNCTION("IF('From Order'!$A2369=COLUMNS($A2369:B2388), LEFT(INDEX(FILTER(B$1:B2368, B$1:B2368&lt;&gt;""""),COUNTA(FILTER(B$1:B2368, B$1:B2368&lt;&gt;""""))), LEN(INDEX(FILTER(B$1:B2368, B$1:B2368&lt;&gt;""""),COUNTA(FILTER(B$1:B2368, B$1:B2368&lt;&gt;""""))))-1), IF('To Order'!$A2369=COL"&amp;"UMNS($A2369:B2388), B2368&amp;RIGHT(INDIRECT(ADDRESS(ROW(B2369)-1, 'From Order'!$A2369)), 1), B2368))"),"")</f>
        <v/>
      </c>
      <c r="C2369" s="2" t="str">
        <f>IFERROR(__xludf.DUMMYFUNCTION("IF('From Order'!$A2369=COLUMNS($A2369:C2388), LEFT(INDEX(FILTER(C$1:C2368, C$1:C2368&lt;&gt;""""),COUNTA(FILTER(C$1:C2368, C$1:C2368&lt;&gt;""""))), LEN(INDEX(FILTER(C$1:C2368, C$1:C2368&lt;&gt;""""),COUNTA(FILTER(C$1:C2368, C$1:C2368&lt;&gt;""""))))-1), IF('To Order'!$A2369=COL"&amp;"UMNS($A2369:C2388), C2368&amp;RIGHT(INDIRECT(ADDRESS(ROW(C2369)-1, 'From Order'!$A2369)), 1), C2368))"),"VBJ")</f>
        <v>VBJ</v>
      </c>
      <c r="D2369" s="2" t="str">
        <f>IFERROR(__xludf.DUMMYFUNCTION("IF('From Order'!$A2369=COLUMNS($A2369:D2388), LEFT(INDEX(FILTER(D$1:D2368, D$1:D2368&lt;&gt;""""),COUNTA(FILTER(D$1:D2368, D$1:D2368&lt;&gt;""""))), LEN(INDEX(FILTER(D$1:D2368, D$1:D2368&lt;&gt;""""),COUNTA(FILTER(D$1:D2368, D$1:D2368&lt;&gt;""""))))-1), IF('To Order'!$A2369=COL"&amp;"UMNS($A2369:D2388), D2368&amp;RIGHT(INDIRECT(ADDRESS(ROW(D2369)-1, 'From Order'!$A2369)), 1), D2368))"),"G")</f>
        <v>G</v>
      </c>
      <c r="E2369" s="2" t="str">
        <f>IFERROR(__xludf.DUMMYFUNCTION("IF('From Order'!$A2369=COLUMNS($A2369:E2388), LEFT(INDEX(FILTER(E$1:E2368, E$1:E2368&lt;&gt;""""),COUNTA(FILTER(E$1:E2368, E$1:E2368&lt;&gt;""""))), LEN(INDEX(FILTER(E$1:E2368, E$1:E2368&lt;&gt;""""),COUNTA(FILTER(E$1:E2368, E$1:E2368&lt;&gt;""""))))-1), IF('To Order'!$A2369=COL"&amp;"UMNS($A2369:E2388), E2368&amp;RIGHT(INDIRECT(ADDRESS(ROW(E2369)-1, 'From Order'!$A2369)), 1), E2368))"),"BRPHZMTSSPLRRJTT")</f>
        <v>BRPHZMTSSPLRRJTT</v>
      </c>
      <c r="F2369" s="2" t="str">
        <f>IFERROR(__xludf.DUMMYFUNCTION("IF('From Order'!$A2369=COLUMNS($A2369:F2388), LEFT(INDEX(FILTER(F$1:F2368, F$1:F2368&lt;&gt;""""),COUNTA(FILTER(F$1:F2368, F$1:F2368&lt;&gt;""""))), LEN(INDEX(FILTER(F$1:F2368, F$1:F2368&lt;&gt;""""),COUNTA(FILTER(F$1:F2368, F$1:F2368&lt;&gt;""""))))-1), IF('To Order'!$A2369=COL"&amp;"UMNS($A2369:F2388), F2368&amp;RIGHT(INDIRECT(ADDRESS(ROW(F2369)-1, 'From Order'!$A2369)), 1), F2368))"),"FJCBFLLWT")</f>
        <v>FJCBFLLWT</v>
      </c>
      <c r="G2369" s="2" t="str">
        <f>IFERROR(__xludf.DUMMYFUNCTION("IF('From Order'!$A2369=COLUMNS($A2369:G2388), LEFT(INDEX(FILTER(G$1:G2368, G$1:G2368&lt;&gt;""""),COUNTA(FILTER(G$1:G2368, G$1:G2368&lt;&gt;""""))), LEN(INDEX(FILTER(G$1:G2368, G$1:G2368&lt;&gt;""""),COUNTA(FILTER(G$1:G2368, G$1:G2368&lt;&gt;""""))))-1), IF('To Order'!$A2369=COL"&amp;"UMNS($A2369:G2388), G2368&amp;RIGHT(INDIRECT(ADDRESS(ROW(G2369)-1, 'From Order'!$A2369)), 1), G2368))"),"BW")</f>
        <v>BW</v>
      </c>
      <c r="H2369" s="2" t="str">
        <f>IFERROR(__xludf.DUMMYFUNCTION("IF('From Order'!$A2369=COLUMNS($A2369:H2388), LEFT(INDEX(FILTER(H$1:H2368, H$1:H2368&lt;&gt;""""),COUNTA(FILTER(H$1:H2368, H$1:H2368&lt;&gt;""""))), LEN(INDEX(FILTER(H$1:H2368, H$1:H2368&lt;&gt;""""),COUNTA(FILTER(H$1:H2368, H$1:H2368&lt;&gt;""""))))-1), IF('To Order'!$A2369=COL"&amp;"UMNS($A2369:H2388), H2368&amp;RIGHT(INDIRECT(ADDRESS(ROW(H2369)-1, 'From Order'!$A2369)), 1), H2368))"),"")</f>
        <v/>
      </c>
      <c r="I2369" s="2" t="str">
        <f>IFERROR(__xludf.DUMMYFUNCTION("IF('From Order'!$A2369=COLUMNS($A2369:I2388), LEFT(INDEX(FILTER(I$1:I2368, I$1:I2368&lt;&gt;""""),COUNTA(FILTER(I$1:I2368, I$1:I2368&lt;&gt;""""))), LEN(INDEX(FILTER(I$1:I2368, I$1:I2368&lt;&gt;""""),COUNTA(FILTER(I$1:I2368, I$1:I2368&lt;&gt;""""))))-1), IF('To Order'!$A2369=COL"&amp;"UMNS($A2369:I2388), I2368&amp;RIGHT(INDIRECT(ADDRESS(ROW(I2369)-1, 'From Order'!$A2369)), 1), I2368))"),"DDDVQZDMTTGMPSRQVCCD")</f>
        <v>DDDVQZDMTTGMPSRQVCCD</v>
      </c>
    </row>
    <row r="2370">
      <c r="A2370" s="2" t="str">
        <f>IFERROR(__xludf.DUMMYFUNCTION("IF('From Order'!$A2370=COLUMNS($A2370:A2389), LEFT(INDEX(FILTER(A$1:A2369, A$1:A2369&lt;&gt;""""),COUNTA(FILTER(A$1:A2369, A$1:A2369&lt;&gt;""""))), LEN(INDEX(FILTER(A$1:A2369, A$1:A2369&lt;&gt;""""),COUNTA(FILTER(A$1:A2369, A$1:A2369&lt;&gt;""""))))-1), IF('To Order'!$A2370=COL"&amp;"UMNS($A2370:A2389), A2369&amp;RIGHT(INDIRECT(ADDRESS(ROW(A2370)-1, 'From Order'!$A2370)), 1), A2369))"),"DRSZHT")</f>
        <v>DRSZHT</v>
      </c>
      <c r="B2370" s="2" t="str">
        <f>IFERROR(__xludf.DUMMYFUNCTION("IF('From Order'!$A2370=COLUMNS($A2370:B2389), LEFT(INDEX(FILTER(B$1:B2369, B$1:B2369&lt;&gt;""""),COUNTA(FILTER(B$1:B2369, B$1:B2369&lt;&gt;""""))), LEN(INDEX(FILTER(B$1:B2369, B$1:B2369&lt;&gt;""""),COUNTA(FILTER(B$1:B2369, B$1:B2369&lt;&gt;""""))))-1), IF('To Order'!$A2370=COL"&amp;"UMNS($A2370:B2389), B2369&amp;RIGHT(INDIRECT(ADDRESS(ROW(B2370)-1, 'From Order'!$A2370)), 1), B2369))"),"")</f>
        <v/>
      </c>
      <c r="C2370" s="2" t="str">
        <f>IFERROR(__xludf.DUMMYFUNCTION("IF('From Order'!$A2370=COLUMNS($A2370:C2389), LEFT(INDEX(FILTER(C$1:C2369, C$1:C2369&lt;&gt;""""),COUNTA(FILTER(C$1:C2369, C$1:C2369&lt;&gt;""""))), LEN(INDEX(FILTER(C$1:C2369, C$1:C2369&lt;&gt;""""),COUNTA(FILTER(C$1:C2369, C$1:C2369&lt;&gt;""""))))-1), IF('To Order'!$A2370=COL"&amp;"UMNS($A2370:C2389), C2369&amp;RIGHT(INDIRECT(ADDRESS(ROW(C2370)-1, 'From Order'!$A2370)), 1), C2369))"),"VBJ")</f>
        <v>VBJ</v>
      </c>
      <c r="D2370" s="2" t="str">
        <f>IFERROR(__xludf.DUMMYFUNCTION("IF('From Order'!$A2370=COLUMNS($A2370:D2389), LEFT(INDEX(FILTER(D$1:D2369, D$1:D2369&lt;&gt;""""),COUNTA(FILTER(D$1:D2369, D$1:D2369&lt;&gt;""""))), LEN(INDEX(FILTER(D$1:D2369, D$1:D2369&lt;&gt;""""),COUNTA(FILTER(D$1:D2369, D$1:D2369&lt;&gt;""""))))-1), IF('To Order'!$A2370=COL"&amp;"UMNS($A2370:D2389), D2369&amp;RIGHT(INDIRECT(ADDRESS(ROW(D2370)-1, 'From Order'!$A2370)), 1), D2369))"),"G")</f>
        <v>G</v>
      </c>
      <c r="E2370" s="2" t="str">
        <f>IFERROR(__xludf.DUMMYFUNCTION("IF('From Order'!$A2370=COLUMNS($A2370:E2389), LEFT(INDEX(FILTER(E$1:E2369, E$1:E2369&lt;&gt;""""),COUNTA(FILTER(E$1:E2369, E$1:E2369&lt;&gt;""""))), LEN(INDEX(FILTER(E$1:E2369, E$1:E2369&lt;&gt;""""),COUNTA(FILTER(E$1:E2369, E$1:E2369&lt;&gt;""""))))-1), IF('To Order'!$A2370=COL"&amp;"UMNS($A2370:E2389), E2369&amp;RIGHT(INDIRECT(ADDRESS(ROW(E2370)-1, 'From Order'!$A2370)), 1), E2369))"),"BRPHZMTSSPLRRJTT")</f>
        <v>BRPHZMTSSPLRRJTT</v>
      </c>
      <c r="F2370" s="2" t="str">
        <f>IFERROR(__xludf.DUMMYFUNCTION("IF('From Order'!$A2370=COLUMNS($A2370:F2389), LEFT(INDEX(FILTER(F$1:F2369, F$1:F2369&lt;&gt;""""),COUNTA(FILTER(F$1:F2369, F$1:F2369&lt;&gt;""""))), LEN(INDEX(FILTER(F$1:F2369, F$1:F2369&lt;&gt;""""),COUNTA(FILTER(F$1:F2369, F$1:F2369&lt;&gt;""""))))-1), IF('To Order'!$A2370=COL"&amp;"UMNS($A2370:F2389), F2369&amp;RIGHT(INDIRECT(ADDRESS(ROW(F2370)-1, 'From Order'!$A2370)), 1), F2369))"),"FJCBFLLW")</f>
        <v>FJCBFLLW</v>
      </c>
      <c r="G2370" s="2" t="str">
        <f>IFERROR(__xludf.DUMMYFUNCTION("IF('From Order'!$A2370=COLUMNS($A2370:G2389), LEFT(INDEX(FILTER(G$1:G2369, G$1:G2369&lt;&gt;""""),COUNTA(FILTER(G$1:G2369, G$1:G2369&lt;&gt;""""))), LEN(INDEX(FILTER(G$1:G2369, G$1:G2369&lt;&gt;""""),COUNTA(FILTER(G$1:G2369, G$1:G2369&lt;&gt;""""))))-1), IF('To Order'!$A2370=COL"&amp;"UMNS($A2370:G2389), G2369&amp;RIGHT(INDIRECT(ADDRESS(ROW(G2370)-1, 'From Order'!$A2370)), 1), G2369))"),"BW")</f>
        <v>BW</v>
      </c>
      <c r="H2370" s="2" t="str">
        <f>IFERROR(__xludf.DUMMYFUNCTION("IF('From Order'!$A2370=COLUMNS($A2370:H2389), LEFT(INDEX(FILTER(H$1:H2369, H$1:H2369&lt;&gt;""""),COUNTA(FILTER(H$1:H2369, H$1:H2369&lt;&gt;""""))), LEN(INDEX(FILTER(H$1:H2369, H$1:H2369&lt;&gt;""""),COUNTA(FILTER(H$1:H2369, H$1:H2369&lt;&gt;""""))))-1), IF('To Order'!$A2370=COL"&amp;"UMNS($A2370:H2389), H2369&amp;RIGHT(INDIRECT(ADDRESS(ROW(H2370)-1, 'From Order'!$A2370)), 1), H2369))"),"")</f>
        <v/>
      </c>
      <c r="I2370" s="2" t="str">
        <f>IFERROR(__xludf.DUMMYFUNCTION("IF('From Order'!$A2370=COLUMNS($A2370:I2389), LEFT(INDEX(FILTER(I$1:I2369, I$1:I2369&lt;&gt;""""),COUNTA(FILTER(I$1:I2369, I$1:I2369&lt;&gt;""""))), LEN(INDEX(FILTER(I$1:I2369, I$1:I2369&lt;&gt;""""),COUNTA(FILTER(I$1:I2369, I$1:I2369&lt;&gt;""""))))-1), IF('To Order'!$A2370=COL"&amp;"UMNS($A2370:I2389), I2369&amp;RIGHT(INDIRECT(ADDRESS(ROW(I2370)-1, 'From Order'!$A2370)), 1), I2369))"),"DDDVQZDMTTGMPSRQVCCD")</f>
        <v>DDDVQZDMTTGMPSRQVCCD</v>
      </c>
    </row>
    <row r="2371">
      <c r="A2371" s="2" t="str">
        <f>IFERROR(__xludf.DUMMYFUNCTION("IF('From Order'!$A2371=COLUMNS($A2371:A2390), LEFT(INDEX(FILTER(A$1:A2370, A$1:A2370&lt;&gt;""""),COUNTA(FILTER(A$1:A2370, A$1:A2370&lt;&gt;""""))), LEN(INDEX(FILTER(A$1:A2370, A$1:A2370&lt;&gt;""""),COUNTA(FILTER(A$1:A2370, A$1:A2370&lt;&gt;""""))))-1), IF('To Order'!$A2371=COL"&amp;"UMNS($A2371:A2390), A2370&amp;RIGHT(INDIRECT(ADDRESS(ROW(A2371)-1, 'From Order'!$A2371)), 1), A2370))"),"DRSZHTW")</f>
        <v>DRSZHTW</v>
      </c>
      <c r="B2371" s="2" t="str">
        <f>IFERROR(__xludf.DUMMYFUNCTION("IF('From Order'!$A2371=COLUMNS($A2371:B2390), LEFT(INDEX(FILTER(B$1:B2370, B$1:B2370&lt;&gt;""""),COUNTA(FILTER(B$1:B2370, B$1:B2370&lt;&gt;""""))), LEN(INDEX(FILTER(B$1:B2370, B$1:B2370&lt;&gt;""""),COUNTA(FILTER(B$1:B2370, B$1:B2370&lt;&gt;""""))))-1), IF('To Order'!$A2371=COL"&amp;"UMNS($A2371:B2390), B2370&amp;RIGHT(INDIRECT(ADDRESS(ROW(B2371)-1, 'From Order'!$A2371)), 1), B2370))"),"")</f>
        <v/>
      </c>
      <c r="C2371" s="2" t="str">
        <f>IFERROR(__xludf.DUMMYFUNCTION("IF('From Order'!$A2371=COLUMNS($A2371:C2390), LEFT(INDEX(FILTER(C$1:C2370, C$1:C2370&lt;&gt;""""),COUNTA(FILTER(C$1:C2370, C$1:C2370&lt;&gt;""""))), LEN(INDEX(FILTER(C$1:C2370, C$1:C2370&lt;&gt;""""),COUNTA(FILTER(C$1:C2370, C$1:C2370&lt;&gt;""""))))-1), IF('To Order'!$A2371=COL"&amp;"UMNS($A2371:C2390), C2370&amp;RIGHT(INDIRECT(ADDRESS(ROW(C2371)-1, 'From Order'!$A2371)), 1), C2370))"),"VBJ")</f>
        <v>VBJ</v>
      </c>
      <c r="D2371" s="2" t="str">
        <f>IFERROR(__xludf.DUMMYFUNCTION("IF('From Order'!$A2371=COLUMNS($A2371:D2390), LEFT(INDEX(FILTER(D$1:D2370, D$1:D2370&lt;&gt;""""),COUNTA(FILTER(D$1:D2370, D$1:D2370&lt;&gt;""""))), LEN(INDEX(FILTER(D$1:D2370, D$1:D2370&lt;&gt;""""),COUNTA(FILTER(D$1:D2370, D$1:D2370&lt;&gt;""""))))-1), IF('To Order'!$A2371=COL"&amp;"UMNS($A2371:D2390), D2370&amp;RIGHT(INDIRECT(ADDRESS(ROW(D2371)-1, 'From Order'!$A2371)), 1), D2370))"),"G")</f>
        <v>G</v>
      </c>
      <c r="E2371" s="2" t="str">
        <f>IFERROR(__xludf.DUMMYFUNCTION("IF('From Order'!$A2371=COLUMNS($A2371:E2390), LEFT(INDEX(FILTER(E$1:E2370, E$1:E2370&lt;&gt;""""),COUNTA(FILTER(E$1:E2370, E$1:E2370&lt;&gt;""""))), LEN(INDEX(FILTER(E$1:E2370, E$1:E2370&lt;&gt;""""),COUNTA(FILTER(E$1:E2370, E$1:E2370&lt;&gt;""""))))-1), IF('To Order'!$A2371=COL"&amp;"UMNS($A2371:E2390), E2370&amp;RIGHT(INDIRECT(ADDRESS(ROW(E2371)-1, 'From Order'!$A2371)), 1), E2370))"),"BRPHZMTSSPLRRJTT")</f>
        <v>BRPHZMTSSPLRRJTT</v>
      </c>
      <c r="F2371" s="2" t="str">
        <f>IFERROR(__xludf.DUMMYFUNCTION("IF('From Order'!$A2371=COLUMNS($A2371:F2390), LEFT(INDEX(FILTER(F$1:F2370, F$1:F2370&lt;&gt;""""),COUNTA(FILTER(F$1:F2370, F$1:F2370&lt;&gt;""""))), LEN(INDEX(FILTER(F$1:F2370, F$1:F2370&lt;&gt;""""),COUNTA(FILTER(F$1:F2370, F$1:F2370&lt;&gt;""""))))-1), IF('To Order'!$A2371=COL"&amp;"UMNS($A2371:F2390), F2370&amp;RIGHT(INDIRECT(ADDRESS(ROW(F2371)-1, 'From Order'!$A2371)), 1), F2370))"),"FJCBFLL")</f>
        <v>FJCBFLL</v>
      </c>
      <c r="G2371" s="2" t="str">
        <f>IFERROR(__xludf.DUMMYFUNCTION("IF('From Order'!$A2371=COLUMNS($A2371:G2390), LEFT(INDEX(FILTER(G$1:G2370, G$1:G2370&lt;&gt;""""),COUNTA(FILTER(G$1:G2370, G$1:G2370&lt;&gt;""""))), LEN(INDEX(FILTER(G$1:G2370, G$1:G2370&lt;&gt;""""),COUNTA(FILTER(G$1:G2370, G$1:G2370&lt;&gt;""""))))-1), IF('To Order'!$A2371=COL"&amp;"UMNS($A2371:G2390), G2370&amp;RIGHT(INDIRECT(ADDRESS(ROW(G2371)-1, 'From Order'!$A2371)), 1), G2370))"),"BW")</f>
        <v>BW</v>
      </c>
      <c r="H2371" s="2" t="str">
        <f>IFERROR(__xludf.DUMMYFUNCTION("IF('From Order'!$A2371=COLUMNS($A2371:H2390), LEFT(INDEX(FILTER(H$1:H2370, H$1:H2370&lt;&gt;""""),COUNTA(FILTER(H$1:H2370, H$1:H2370&lt;&gt;""""))), LEN(INDEX(FILTER(H$1:H2370, H$1:H2370&lt;&gt;""""),COUNTA(FILTER(H$1:H2370, H$1:H2370&lt;&gt;""""))))-1), IF('To Order'!$A2371=COL"&amp;"UMNS($A2371:H2390), H2370&amp;RIGHT(INDIRECT(ADDRESS(ROW(H2371)-1, 'From Order'!$A2371)), 1), H2370))"),"")</f>
        <v/>
      </c>
      <c r="I2371" s="2" t="str">
        <f>IFERROR(__xludf.DUMMYFUNCTION("IF('From Order'!$A2371=COLUMNS($A2371:I2390), LEFT(INDEX(FILTER(I$1:I2370, I$1:I2370&lt;&gt;""""),COUNTA(FILTER(I$1:I2370, I$1:I2370&lt;&gt;""""))), LEN(INDEX(FILTER(I$1:I2370, I$1:I2370&lt;&gt;""""),COUNTA(FILTER(I$1:I2370, I$1:I2370&lt;&gt;""""))))-1), IF('To Order'!$A2371=COL"&amp;"UMNS($A2371:I2390), I2370&amp;RIGHT(INDIRECT(ADDRESS(ROW(I2371)-1, 'From Order'!$A2371)), 1), I2370))"),"DDDVQZDMTTGMPSRQVCCD")</f>
        <v>DDDVQZDMTTGMPSRQVCCD</v>
      </c>
    </row>
    <row r="2372">
      <c r="A2372" s="2" t="str">
        <f>IFERROR(__xludf.DUMMYFUNCTION("IF('From Order'!$A2372=COLUMNS($A2372:A2391), LEFT(INDEX(FILTER(A$1:A2371, A$1:A2371&lt;&gt;""""),COUNTA(FILTER(A$1:A2371, A$1:A2371&lt;&gt;""""))), LEN(INDEX(FILTER(A$1:A2371, A$1:A2371&lt;&gt;""""),COUNTA(FILTER(A$1:A2371, A$1:A2371&lt;&gt;""""))))-1), IF('To Order'!$A2372=COL"&amp;"UMNS($A2372:A2391), A2371&amp;RIGHT(INDIRECT(ADDRESS(ROW(A2372)-1, 'From Order'!$A2372)), 1), A2371))"),"DRSZHTWL")</f>
        <v>DRSZHTWL</v>
      </c>
      <c r="B2372" s="2" t="str">
        <f>IFERROR(__xludf.DUMMYFUNCTION("IF('From Order'!$A2372=COLUMNS($A2372:B2391), LEFT(INDEX(FILTER(B$1:B2371, B$1:B2371&lt;&gt;""""),COUNTA(FILTER(B$1:B2371, B$1:B2371&lt;&gt;""""))), LEN(INDEX(FILTER(B$1:B2371, B$1:B2371&lt;&gt;""""),COUNTA(FILTER(B$1:B2371, B$1:B2371&lt;&gt;""""))))-1), IF('To Order'!$A2372=COL"&amp;"UMNS($A2372:B2391), B2371&amp;RIGHT(INDIRECT(ADDRESS(ROW(B2372)-1, 'From Order'!$A2372)), 1), B2371))"),"")</f>
        <v/>
      </c>
      <c r="C2372" s="2" t="str">
        <f>IFERROR(__xludf.DUMMYFUNCTION("IF('From Order'!$A2372=COLUMNS($A2372:C2391), LEFT(INDEX(FILTER(C$1:C2371, C$1:C2371&lt;&gt;""""),COUNTA(FILTER(C$1:C2371, C$1:C2371&lt;&gt;""""))), LEN(INDEX(FILTER(C$1:C2371, C$1:C2371&lt;&gt;""""),COUNTA(FILTER(C$1:C2371, C$1:C2371&lt;&gt;""""))))-1), IF('To Order'!$A2372=COL"&amp;"UMNS($A2372:C2391), C2371&amp;RIGHT(INDIRECT(ADDRESS(ROW(C2372)-1, 'From Order'!$A2372)), 1), C2371))"),"VBJ")</f>
        <v>VBJ</v>
      </c>
      <c r="D2372" s="2" t="str">
        <f>IFERROR(__xludf.DUMMYFUNCTION("IF('From Order'!$A2372=COLUMNS($A2372:D2391), LEFT(INDEX(FILTER(D$1:D2371, D$1:D2371&lt;&gt;""""),COUNTA(FILTER(D$1:D2371, D$1:D2371&lt;&gt;""""))), LEN(INDEX(FILTER(D$1:D2371, D$1:D2371&lt;&gt;""""),COUNTA(FILTER(D$1:D2371, D$1:D2371&lt;&gt;""""))))-1), IF('To Order'!$A2372=COL"&amp;"UMNS($A2372:D2391), D2371&amp;RIGHT(INDIRECT(ADDRESS(ROW(D2372)-1, 'From Order'!$A2372)), 1), D2371))"),"G")</f>
        <v>G</v>
      </c>
      <c r="E2372" s="2" t="str">
        <f>IFERROR(__xludf.DUMMYFUNCTION("IF('From Order'!$A2372=COLUMNS($A2372:E2391), LEFT(INDEX(FILTER(E$1:E2371, E$1:E2371&lt;&gt;""""),COUNTA(FILTER(E$1:E2371, E$1:E2371&lt;&gt;""""))), LEN(INDEX(FILTER(E$1:E2371, E$1:E2371&lt;&gt;""""),COUNTA(FILTER(E$1:E2371, E$1:E2371&lt;&gt;""""))))-1), IF('To Order'!$A2372=COL"&amp;"UMNS($A2372:E2391), E2371&amp;RIGHT(INDIRECT(ADDRESS(ROW(E2372)-1, 'From Order'!$A2372)), 1), E2371))"),"BRPHZMTSSPLRRJTT")</f>
        <v>BRPHZMTSSPLRRJTT</v>
      </c>
      <c r="F2372" s="2" t="str">
        <f>IFERROR(__xludf.DUMMYFUNCTION("IF('From Order'!$A2372=COLUMNS($A2372:F2391), LEFT(INDEX(FILTER(F$1:F2371, F$1:F2371&lt;&gt;""""),COUNTA(FILTER(F$1:F2371, F$1:F2371&lt;&gt;""""))), LEN(INDEX(FILTER(F$1:F2371, F$1:F2371&lt;&gt;""""),COUNTA(FILTER(F$1:F2371, F$1:F2371&lt;&gt;""""))))-1), IF('To Order'!$A2372=COL"&amp;"UMNS($A2372:F2391), F2371&amp;RIGHT(INDIRECT(ADDRESS(ROW(F2372)-1, 'From Order'!$A2372)), 1), F2371))"),"FJCBFL")</f>
        <v>FJCBFL</v>
      </c>
      <c r="G2372" s="2" t="str">
        <f>IFERROR(__xludf.DUMMYFUNCTION("IF('From Order'!$A2372=COLUMNS($A2372:G2391), LEFT(INDEX(FILTER(G$1:G2371, G$1:G2371&lt;&gt;""""),COUNTA(FILTER(G$1:G2371, G$1:G2371&lt;&gt;""""))), LEN(INDEX(FILTER(G$1:G2371, G$1:G2371&lt;&gt;""""),COUNTA(FILTER(G$1:G2371, G$1:G2371&lt;&gt;""""))))-1), IF('To Order'!$A2372=COL"&amp;"UMNS($A2372:G2391), G2371&amp;RIGHT(INDIRECT(ADDRESS(ROW(G2372)-1, 'From Order'!$A2372)), 1), G2371))"),"BW")</f>
        <v>BW</v>
      </c>
      <c r="H2372" s="2" t="str">
        <f>IFERROR(__xludf.DUMMYFUNCTION("IF('From Order'!$A2372=COLUMNS($A2372:H2391), LEFT(INDEX(FILTER(H$1:H2371, H$1:H2371&lt;&gt;""""),COUNTA(FILTER(H$1:H2371, H$1:H2371&lt;&gt;""""))), LEN(INDEX(FILTER(H$1:H2371, H$1:H2371&lt;&gt;""""),COUNTA(FILTER(H$1:H2371, H$1:H2371&lt;&gt;""""))))-1), IF('To Order'!$A2372=COL"&amp;"UMNS($A2372:H2391), H2371&amp;RIGHT(INDIRECT(ADDRESS(ROW(H2372)-1, 'From Order'!$A2372)), 1), H2371))"),"")</f>
        <v/>
      </c>
      <c r="I2372" s="2" t="str">
        <f>IFERROR(__xludf.DUMMYFUNCTION("IF('From Order'!$A2372=COLUMNS($A2372:I2391), LEFT(INDEX(FILTER(I$1:I2371, I$1:I2371&lt;&gt;""""),COUNTA(FILTER(I$1:I2371, I$1:I2371&lt;&gt;""""))), LEN(INDEX(FILTER(I$1:I2371, I$1:I2371&lt;&gt;""""),COUNTA(FILTER(I$1:I2371, I$1:I2371&lt;&gt;""""))))-1), IF('To Order'!$A2372=COL"&amp;"UMNS($A2372:I2391), I2371&amp;RIGHT(INDIRECT(ADDRESS(ROW(I2372)-1, 'From Order'!$A2372)), 1), I2371))"),"DDDVQZDMTTGMPSRQVCCD")</f>
        <v>DDDVQZDMTTGMPSRQVCCD</v>
      </c>
    </row>
    <row r="2373">
      <c r="A2373" s="2" t="str">
        <f>IFERROR(__xludf.DUMMYFUNCTION("IF('From Order'!$A2373=COLUMNS($A2373:A2392), LEFT(INDEX(FILTER(A$1:A2372, A$1:A2372&lt;&gt;""""),COUNTA(FILTER(A$1:A2372, A$1:A2372&lt;&gt;""""))), LEN(INDEX(FILTER(A$1:A2372, A$1:A2372&lt;&gt;""""),COUNTA(FILTER(A$1:A2372, A$1:A2372&lt;&gt;""""))))-1), IF('To Order'!$A2373=COL"&amp;"UMNS($A2373:A2392), A2372&amp;RIGHT(INDIRECT(ADDRESS(ROW(A2373)-1, 'From Order'!$A2373)), 1), A2372))"),"DRSZHTWLL")</f>
        <v>DRSZHTWLL</v>
      </c>
      <c r="B2373" s="2" t="str">
        <f>IFERROR(__xludf.DUMMYFUNCTION("IF('From Order'!$A2373=COLUMNS($A2373:B2392), LEFT(INDEX(FILTER(B$1:B2372, B$1:B2372&lt;&gt;""""),COUNTA(FILTER(B$1:B2372, B$1:B2372&lt;&gt;""""))), LEN(INDEX(FILTER(B$1:B2372, B$1:B2372&lt;&gt;""""),COUNTA(FILTER(B$1:B2372, B$1:B2372&lt;&gt;""""))))-1), IF('To Order'!$A2373=COL"&amp;"UMNS($A2373:B2392), B2372&amp;RIGHT(INDIRECT(ADDRESS(ROW(B2373)-1, 'From Order'!$A2373)), 1), B2372))"),"")</f>
        <v/>
      </c>
      <c r="C2373" s="2" t="str">
        <f>IFERROR(__xludf.DUMMYFUNCTION("IF('From Order'!$A2373=COLUMNS($A2373:C2392), LEFT(INDEX(FILTER(C$1:C2372, C$1:C2372&lt;&gt;""""),COUNTA(FILTER(C$1:C2372, C$1:C2372&lt;&gt;""""))), LEN(INDEX(FILTER(C$1:C2372, C$1:C2372&lt;&gt;""""),COUNTA(FILTER(C$1:C2372, C$1:C2372&lt;&gt;""""))))-1), IF('To Order'!$A2373=COL"&amp;"UMNS($A2373:C2392), C2372&amp;RIGHT(INDIRECT(ADDRESS(ROW(C2373)-1, 'From Order'!$A2373)), 1), C2372))"),"VBJ")</f>
        <v>VBJ</v>
      </c>
      <c r="D2373" s="2" t="str">
        <f>IFERROR(__xludf.DUMMYFUNCTION("IF('From Order'!$A2373=COLUMNS($A2373:D2392), LEFT(INDEX(FILTER(D$1:D2372, D$1:D2372&lt;&gt;""""),COUNTA(FILTER(D$1:D2372, D$1:D2372&lt;&gt;""""))), LEN(INDEX(FILTER(D$1:D2372, D$1:D2372&lt;&gt;""""),COUNTA(FILTER(D$1:D2372, D$1:D2372&lt;&gt;""""))))-1), IF('To Order'!$A2373=COL"&amp;"UMNS($A2373:D2392), D2372&amp;RIGHT(INDIRECT(ADDRESS(ROW(D2373)-1, 'From Order'!$A2373)), 1), D2372))"),"G")</f>
        <v>G</v>
      </c>
      <c r="E2373" s="2" t="str">
        <f>IFERROR(__xludf.DUMMYFUNCTION("IF('From Order'!$A2373=COLUMNS($A2373:E2392), LEFT(INDEX(FILTER(E$1:E2372, E$1:E2372&lt;&gt;""""),COUNTA(FILTER(E$1:E2372, E$1:E2372&lt;&gt;""""))), LEN(INDEX(FILTER(E$1:E2372, E$1:E2372&lt;&gt;""""),COUNTA(FILTER(E$1:E2372, E$1:E2372&lt;&gt;""""))))-1), IF('To Order'!$A2373=COL"&amp;"UMNS($A2373:E2392), E2372&amp;RIGHT(INDIRECT(ADDRESS(ROW(E2373)-1, 'From Order'!$A2373)), 1), E2372))"),"BRPHZMTSSPLRRJTT")</f>
        <v>BRPHZMTSSPLRRJTT</v>
      </c>
      <c r="F2373" s="2" t="str">
        <f>IFERROR(__xludf.DUMMYFUNCTION("IF('From Order'!$A2373=COLUMNS($A2373:F2392), LEFT(INDEX(FILTER(F$1:F2372, F$1:F2372&lt;&gt;""""),COUNTA(FILTER(F$1:F2372, F$1:F2372&lt;&gt;""""))), LEN(INDEX(FILTER(F$1:F2372, F$1:F2372&lt;&gt;""""),COUNTA(FILTER(F$1:F2372, F$1:F2372&lt;&gt;""""))))-1), IF('To Order'!$A2373=COL"&amp;"UMNS($A2373:F2392), F2372&amp;RIGHT(INDIRECT(ADDRESS(ROW(F2373)-1, 'From Order'!$A2373)), 1), F2372))"),"FJCBF")</f>
        <v>FJCBF</v>
      </c>
      <c r="G2373" s="2" t="str">
        <f>IFERROR(__xludf.DUMMYFUNCTION("IF('From Order'!$A2373=COLUMNS($A2373:G2392), LEFT(INDEX(FILTER(G$1:G2372, G$1:G2372&lt;&gt;""""),COUNTA(FILTER(G$1:G2372, G$1:G2372&lt;&gt;""""))), LEN(INDEX(FILTER(G$1:G2372, G$1:G2372&lt;&gt;""""),COUNTA(FILTER(G$1:G2372, G$1:G2372&lt;&gt;""""))))-1), IF('To Order'!$A2373=COL"&amp;"UMNS($A2373:G2392), G2372&amp;RIGHT(INDIRECT(ADDRESS(ROW(G2373)-1, 'From Order'!$A2373)), 1), G2372))"),"BW")</f>
        <v>BW</v>
      </c>
      <c r="H2373" s="2" t="str">
        <f>IFERROR(__xludf.DUMMYFUNCTION("IF('From Order'!$A2373=COLUMNS($A2373:H2392), LEFT(INDEX(FILTER(H$1:H2372, H$1:H2372&lt;&gt;""""),COUNTA(FILTER(H$1:H2372, H$1:H2372&lt;&gt;""""))), LEN(INDEX(FILTER(H$1:H2372, H$1:H2372&lt;&gt;""""),COUNTA(FILTER(H$1:H2372, H$1:H2372&lt;&gt;""""))))-1), IF('To Order'!$A2373=COL"&amp;"UMNS($A2373:H2392), H2372&amp;RIGHT(INDIRECT(ADDRESS(ROW(H2373)-1, 'From Order'!$A2373)), 1), H2372))"),"")</f>
        <v/>
      </c>
      <c r="I2373" s="2" t="str">
        <f>IFERROR(__xludf.DUMMYFUNCTION("IF('From Order'!$A2373=COLUMNS($A2373:I2392), LEFT(INDEX(FILTER(I$1:I2372, I$1:I2372&lt;&gt;""""),COUNTA(FILTER(I$1:I2372, I$1:I2372&lt;&gt;""""))), LEN(INDEX(FILTER(I$1:I2372, I$1:I2372&lt;&gt;""""),COUNTA(FILTER(I$1:I2372, I$1:I2372&lt;&gt;""""))))-1), IF('To Order'!$A2373=COL"&amp;"UMNS($A2373:I2392), I2372&amp;RIGHT(INDIRECT(ADDRESS(ROW(I2373)-1, 'From Order'!$A2373)), 1), I2372))"),"DDDVQZDMTTGMPSRQVCCD")</f>
        <v>DDDVQZDMTTGMPSRQVCCD</v>
      </c>
    </row>
    <row r="2374">
      <c r="A2374" s="2" t="str">
        <f>IFERROR(__xludf.DUMMYFUNCTION("IF('From Order'!$A2374=COLUMNS($A2374:A2393), LEFT(INDEX(FILTER(A$1:A2373, A$1:A2373&lt;&gt;""""),COUNTA(FILTER(A$1:A2373, A$1:A2373&lt;&gt;""""))), LEN(INDEX(FILTER(A$1:A2373, A$1:A2373&lt;&gt;""""),COUNTA(FILTER(A$1:A2373, A$1:A2373&lt;&gt;""""))))-1), IF('To Order'!$A2374=COL"&amp;"UMNS($A2374:A2393), A2373&amp;RIGHT(INDIRECT(ADDRESS(ROW(A2374)-1, 'From Order'!$A2374)), 1), A2373))"),"DRSZHTWLLF")</f>
        <v>DRSZHTWLLF</v>
      </c>
      <c r="B2374" s="2" t="str">
        <f>IFERROR(__xludf.DUMMYFUNCTION("IF('From Order'!$A2374=COLUMNS($A2374:B2393), LEFT(INDEX(FILTER(B$1:B2373, B$1:B2373&lt;&gt;""""),COUNTA(FILTER(B$1:B2373, B$1:B2373&lt;&gt;""""))), LEN(INDEX(FILTER(B$1:B2373, B$1:B2373&lt;&gt;""""),COUNTA(FILTER(B$1:B2373, B$1:B2373&lt;&gt;""""))))-1), IF('To Order'!$A2374=COL"&amp;"UMNS($A2374:B2393), B2373&amp;RIGHT(INDIRECT(ADDRESS(ROW(B2374)-1, 'From Order'!$A2374)), 1), B2373))"),"")</f>
        <v/>
      </c>
      <c r="C2374" s="2" t="str">
        <f>IFERROR(__xludf.DUMMYFUNCTION("IF('From Order'!$A2374=COLUMNS($A2374:C2393), LEFT(INDEX(FILTER(C$1:C2373, C$1:C2373&lt;&gt;""""),COUNTA(FILTER(C$1:C2373, C$1:C2373&lt;&gt;""""))), LEN(INDEX(FILTER(C$1:C2373, C$1:C2373&lt;&gt;""""),COUNTA(FILTER(C$1:C2373, C$1:C2373&lt;&gt;""""))))-1), IF('To Order'!$A2374=COL"&amp;"UMNS($A2374:C2393), C2373&amp;RIGHT(INDIRECT(ADDRESS(ROW(C2374)-1, 'From Order'!$A2374)), 1), C2373))"),"VBJ")</f>
        <v>VBJ</v>
      </c>
      <c r="D2374" s="2" t="str">
        <f>IFERROR(__xludf.DUMMYFUNCTION("IF('From Order'!$A2374=COLUMNS($A2374:D2393), LEFT(INDEX(FILTER(D$1:D2373, D$1:D2373&lt;&gt;""""),COUNTA(FILTER(D$1:D2373, D$1:D2373&lt;&gt;""""))), LEN(INDEX(FILTER(D$1:D2373, D$1:D2373&lt;&gt;""""),COUNTA(FILTER(D$1:D2373, D$1:D2373&lt;&gt;""""))))-1), IF('To Order'!$A2374=COL"&amp;"UMNS($A2374:D2393), D2373&amp;RIGHT(INDIRECT(ADDRESS(ROW(D2374)-1, 'From Order'!$A2374)), 1), D2373))"),"G")</f>
        <v>G</v>
      </c>
      <c r="E2374" s="2" t="str">
        <f>IFERROR(__xludf.DUMMYFUNCTION("IF('From Order'!$A2374=COLUMNS($A2374:E2393), LEFT(INDEX(FILTER(E$1:E2373, E$1:E2373&lt;&gt;""""),COUNTA(FILTER(E$1:E2373, E$1:E2373&lt;&gt;""""))), LEN(INDEX(FILTER(E$1:E2373, E$1:E2373&lt;&gt;""""),COUNTA(FILTER(E$1:E2373, E$1:E2373&lt;&gt;""""))))-1), IF('To Order'!$A2374=COL"&amp;"UMNS($A2374:E2393), E2373&amp;RIGHT(INDIRECT(ADDRESS(ROW(E2374)-1, 'From Order'!$A2374)), 1), E2373))"),"BRPHZMTSSPLRRJTT")</f>
        <v>BRPHZMTSSPLRRJTT</v>
      </c>
      <c r="F2374" s="2" t="str">
        <f>IFERROR(__xludf.DUMMYFUNCTION("IF('From Order'!$A2374=COLUMNS($A2374:F2393), LEFT(INDEX(FILTER(F$1:F2373, F$1:F2373&lt;&gt;""""),COUNTA(FILTER(F$1:F2373, F$1:F2373&lt;&gt;""""))), LEN(INDEX(FILTER(F$1:F2373, F$1:F2373&lt;&gt;""""),COUNTA(FILTER(F$1:F2373, F$1:F2373&lt;&gt;""""))))-1), IF('To Order'!$A2374=COL"&amp;"UMNS($A2374:F2393), F2373&amp;RIGHT(INDIRECT(ADDRESS(ROW(F2374)-1, 'From Order'!$A2374)), 1), F2373))"),"FJCB")</f>
        <v>FJCB</v>
      </c>
      <c r="G2374" s="2" t="str">
        <f>IFERROR(__xludf.DUMMYFUNCTION("IF('From Order'!$A2374=COLUMNS($A2374:G2393), LEFT(INDEX(FILTER(G$1:G2373, G$1:G2373&lt;&gt;""""),COUNTA(FILTER(G$1:G2373, G$1:G2373&lt;&gt;""""))), LEN(INDEX(FILTER(G$1:G2373, G$1:G2373&lt;&gt;""""),COUNTA(FILTER(G$1:G2373, G$1:G2373&lt;&gt;""""))))-1), IF('To Order'!$A2374=COL"&amp;"UMNS($A2374:G2393), G2373&amp;RIGHT(INDIRECT(ADDRESS(ROW(G2374)-1, 'From Order'!$A2374)), 1), G2373))"),"BW")</f>
        <v>BW</v>
      </c>
      <c r="H2374" s="2" t="str">
        <f>IFERROR(__xludf.DUMMYFUNCTION("IF('From Order'!$A2374=COLUMNS($A2374:H2393), LEFT(INDEX(FILTER(H$1:H2373, H$1:H2373&lt;&gt;""""),COUNTA(FILTER(H$1:H2373, H$1:H2373&lt;&gt;""""))), LEN(INDEX(FILTER(H$1:H2373, H$1:H2373&lt;&gt;""""),COUNTA(FILTER(H$1:H2373, H$1:H2373&lt;&gt;""""))))-1), IF('To Order'!$A2374=COL"&amp;"UMNS($A2374:H2393), H2373&amp;RIGHT(INDIRECT(ADDRESS(ROW(H2374)-1, 'From Order'!$A2374)), 1), H2373))"),"")</f>
        <v/>
      </c>
      <c r="I2374" s="2" t="str">
        <f>IFERROR(__xludf.DUMMYFUNCTION("IF('From Order'!$A2374=COLUMNS($A2374:I2393), LEFT(INDEX(FILTER(I$1:I2373, I$1:I2373&lt;&gt;""""),COUNTA(FILTER(I$1:I2373, I$1:I2373&lt;&gt;""""))), LEN(INDEX(FILTER(I$1:I2373, I$1:I2373&lt;&gt;""""),COUNTA(FILTER(I$1:I2373, I$1:I2373&lt;&gt;""""))))-1), IF('To Order'!$A2374=COL"&amp;"UMNS($A2374:I2393), I2373&amp;RIGHT(INDIRECT(ADDRESS(ROW(I2374)-1, 'From Order'!$A2374)), 1), I2373))"),"DDDVQZDMTTGMPSRQVCCD")</f>
        <v>DDDVQZDMTTGMPSRQVCCD</v>
      </c>
    </row>
    <row r="2375">
      <c r="A2375" s="2" t="str">
        <f>IFERROR(__xludf.DUMMYFUNCTION("IF('From Order'!$A2375=COLUMNS($A2375:A2394), LEFT(INDEX(FILTER(A$1:A2374, A$1:A2374&lt;&gt;""""),COUNTA(FILTER(A$1:A2374, A$1:A2374&lt;&gt;""""))), LEN(INDEX(FILTER(A$1:A2374, A$1:A2374&lt;&gt;""""),COUNTA(FILTER(A$1:A2374, A$1:A2374&lt;&gt;""""))))-1), IF('To Order'!$A2375=COL"&amp;"UMNS($A2375:A2394), A2374&amp;RIGHT(INDIRECT(ADDRESS(ROW(A2375)-1, 'From Order'!$A2375)), 1), A2374))"),"DRSZHTWLLFB")</f>
        <v>DRSZHTWLLFB</v>
      </c>
      <c r="B2375" s="2" t="str">
        <f>IFERROR(__xludf.DUMMYFUNCTION("IF('From Order'!$A2375=COLUMNS($A2375:B2394), LEFT(INDEX(FILTER(B$1:B2374, B$1:B2374&lt;&gt;""""),COUNTA(FILTER(B$1:B2374, B$1:B2374&lt;&gt;""""))), LEN(INDEX(FILTER(B$1:B2374, B$1:B2374&lt;&gt;""""),COUNTA(FILTER(B$1:B2374, B$1:B2374&lt;&gt;""""))))-1), IF('To Order'!$A2375=COL"&amp;"UMNS($A2375:B2394), B2374&amp;RIGHT(INDIRECT(ADDRESS(ROW(B2375)-1, 'From Order'!$A2375)), 1), B2374))"),"")</f>
        <v/>
      </c>
      <c r="C2375" s="2" t="str">
        <f>IFERROR(__xludf.DUMMYFUNCTION("IF('From Order'!$A2375=COLUMNS($A2375:C2394), LEFT(INDEX(FILTER(C$1:C2374, C$1:C2374&lt;&gt;""""),COUNTA(FILTER(C$1:C2374, C$1:C2374&lt;&gt;""""))), LEN(INDEX(FILTER(C$1:C2374, C$1:C2374&lt;&gt;""""),COUNTA(FILTER(C$1:C2374, C$1:C2374&lt;&gt;""""))))-1), IF('To Order'!$A2375=COL"&amp;"UMNS($A2375:C2394), C2374&amp;RIGHT(INDIRECT(ADDRESS(ROW(C2375)-1, 'From Order'!$A2375)), 1), C2374))"),"VBJ")</f>
        <v>VBJ</v>
      </c>
      <c r="D2375" s="2" t="str">
        <f>IFERROR(__xludf.DUMMYFUNCTION("IF('From Order'!$A2375=COLUMNS($A2375:D2394), LEFT(INDEX(FILTER(D$1:D2374, D$1:D2374&lt;&gt;""""),COUNTA(FILTER(D$1:D2374, D$1:D2374&lt;&gt;""""))), LEN(INDEX(FILTER(D$1:D2374, D$1:D2374&lt;&gt;""""),COUNTA(FILTER(D$1:D2374, D$1:D2374&lt;&gt;""""))))-1), IF('To Order'!$A2375=COL"&amp;"UMNS($A2375:D2394), D2374&amp;RIGHT(INDIRECT(ADDRESS(ROW(D2375)-1, 'From Order'!$A2375)), 1), D2374))"),"G")</f>
        <v>G</v>
      </c>
      <c r="E2375" s="2" t="str">
        <f>IFERROR(__xludf.DUMMYFUNCTION("IF('From Order'!$A2375=COLUMNS($A2375:E2394), LEFT(INDEX(FILTER(E$1:E2374, E$1:E2374&lt;&gt;""""),COUNTA(FILTER(E$1:E2374, E$1:E2374&lt;&gt;""""))), LEN(INDEX(FILTER(E$1:E2374, E$1:E2374&lt;&gt;""""),COUNTA(FILTER(E$1:E2374, E$1:E2374&lt;&gt;""""))))-1), IF('To Order'!$A2375=COL"&amp;"UMNS($A2375:E2394), E2374&amp;RIGHT(INDIRECT(ADDRESS(ROW(E2375)-1, 'From Order'!$A2375)), 1), E2374))"),"BRPHZMTSSPLRRJTT")</f>
        <v>BRPHZMTSSPLRRJTT</v>
      </c>
      <c r="F2375" s="2" t="str">
        <f>IFERROR(__xludf.DUMMYFUNCTION("IF('From Order'!$A2375=COLUMNS($A2375:F2394), LEFT(INDEX(FILTER(F$1:F2374, F$1:F2374&lt;&gt;""""),COUNTA(FILTER(F$1:F2374, F$1:F2374&lt;&gt;""""))), LEN(INDEX(FILTER(F$1:F2374, F$1:F2374&lt;&gt;""""),COUNTA(FILTER(F$1:F2374, F$1:F2374&lt;&gt;""""))))-1), IF('To Order'!$A2375=COL"&amp;"UMNS($A2375:F2394), F2374&amp;RIGHT(INDIRECT(ADDRESS(ROW(F2375)-1, 'From Order'!$A2375)), 1), F2374))"),"FJC")</f>
        <v>FJC</v>
      </c>
      <c r="G2375" s="2" t="str">
        <f>IFERROR(__xludf.DUMMYFUNCTION("IF('From Order'!$A2375=COLUMNS($A2375:G2394), LEFT(INDEX(FILTER(G$1:G2374, G$1:G2374&lt;&gt;""""),COUNTA(FILTER(G$1:G2374, G$1:G2374&lt;&gt;""""))), LEN(INDEX(FILTER(G$1:G2374, G$1:G2374&lt;&gt;""""),COUNTA(FILTER(G$1:G2374, G$1:G2374&lt;&gt;""""))))-1), IF('To Order'!$A2375=COL"&amp;"UMNS($A2375:G2394), G2374&amp;RIGHT(INDIRECT(ADDRESS(ROW(G2375)-1, 'From Order'!$A2375)), 1), G2374))"),"BW")</f>
        <v>BW</v>
      </c>
      <c r="H2375" s="2" t="str">
        <f>IFERROR(__xludf.DUMMYFUNCTION("IF('From Order'!$A2375=COLUMNS($A2375:H2394), LEFT(INDEX(FILTER(H$1:H2374, H$1:H2374&lt;&gt;""""),COUNTA(FILTER(H$1:H2374, H$1:H2374&lt;&gt;""""))), LEN(INDEX(FILTER(H$1:H2374, H$1:H2374&lt;&gt;""""),COUNTA(FILTER(H$1:H2374, H$1:H2374&lt;&gt;""""))))-1), IF('To Order'!$A2375=COL"&amp;"UMNS($A2375:H2394), H2374&amp;RIGHT(INDIRECT(ADDRESS(ROW(H2375)-1, 'From Order'!$A2375)), 1), H2374))"),"")</f>
        <v/>
      </c>
      <c r="I2375" s="2" t="str">
        <f>IFERROR(__xludf.DUMMYFUNCTION("IF('From Order'!$A2375=COLUMNS($A2375:I2394), LEFT(INDEX(FILTER(I$1:I2374, I$1:I2374&lt;&gt;""""),COUNTA(FILTER(I$1:I2374, I$1:I2374&lt;&gt;""""))), LEN(INDEX(FILTER(I$1:I2374, I$1:I2374&lt;&gt;""""),COUNTA(FILTER(I$1:I2374, I$1:I2374&lt;&gt;""""))))-1), IF('To Order'!$A2375=COL"&amp;"UMNS($A2375:I2394), I2374&amp;RIGHT(INDIRECT(ADDRESS(ROW(I2375)-1, 'From Order'!$A2375)), 1), I2374))"),"DDDVQZDMTTGMPSRQVCCD")</f>
        <v>DDDVQZDMTTGMPSRQVCCD</v>
      </c>
    </row>
    <row r="2376">
      <c r="A2376" s="2" t="str">
        <f>IFERROR(__xludf.DUMMYFUNCTION("IF('From Order'!$A2376=COLUMNS($A2376:A2395), LEFT(INDEX(FILTER(A$1:A2375, A$1:A2375&lt;&gt;""""),COUNTA(FILTER(A$1:A2375, A$1:A2375&lt;&gt;""""))), LEN(INDEX(FILTER(A$1:A2375, A$1:A2375&lt;&gt;""""),COUNTA(FILTER(A$1:A2375, A$1:A2375&lt;&gt;""""))))-1), IF('To Order'!$A2376=COL"&amp;"UMNS($A2376:A2395), A2375&amp;RIGHT(INDIRECT(ADDRESS(ROW(A2376)-1, 'From Order'!$A2376)), 1), A2375))"),"DRSZHTWLLFB")</f>
        <v>DRSZHTWLLFB</v>
      </c>
      <c r="B2376" s="2" t="str">
        <f>IFERROR(__xludf.DUMMYFUNCTION("IF('From Order'!$A2376=COLUMNS($A2376:B2395), LEFT(INDEX(FILTER(B$1:B2375, B$1:B2375&lt;&gt;""""),COUNTA(FILTER(B$1:B2375, B$1:B2375&lt;&gt;""""))), LEN(INDEX(FILTER(B$1:B2375, B$1:B2375&lt;&gt;""""),COUNTA(FILTER(B$1:B2375, B$1:B2375&lt;&gt;""""))))-1), IF('To Order'!$A2376=COL"&amp;"UMNS($A2376:B2395), B2375&amp;RIGHT(INDIRECT(ADDRESS(ROW(B2376)-1, 'From Order'!$A2376)), 1), B2375))"),"")</f>
        <v/>
      </c>
      <c r="C2376" s="2" t="str">
        <f>IFERROR(__xludf.DUMMYFUNCTION("IF('From Order'!$A2376=COLUMNS($A2376:C2395), LEFT(INDEX(FILTER(C$1:C2375, C$1:C2375&lt;&gt;""""),COUNTA(FILTER(C$1:C2375, C$1:C2375&lt;&gt;""""))), LEN(INDEX(FILTER(C$1:C2375, C$1:C2375&lt;&gt;""""),COUNTA(FILTER(C$1:C2375, C$1:C2375&lt;&gt;""""))))-1), IF('To Order'!$A2376=COL"&amp;"UMNS($A2376:C2395), C2375&amp;RIGHT(INDIRECT(ADDRESS(ROW(C2376)-1, 'From Order'!$A2376)), 1), C2375))"),"VBJ")</f>
        <v>VBJ</v>
      </c>
      <c r="D2376" s="2" t="str">
        <f>IFERROR(__xludf.DUMMYFUNCTION("IF('From Order'!$A2376=COLUMNS($A2376:D2395), LEFT(INDEX(FILTER(D$1:D2375, D$1:D2375&lt;&gt;""""),COUNTA(FILTER(D$1:D2375, D$1:D2375&lt;&gt;""""))), LEN(INDEX(FILTER(D$1:D2375, D$1:D2375&lt;&gt;""""),COUNTA(FILTER(D$1:D2375, D$1:D2375&lt;&gt;""""))))-1), IF('To Order'!$A2376=COL"&amp;"UMNS($A2376:D2395), D2375&amp;RIGHT(INDIRECT(ADDRESS(ROW(D2376)-1, 'From Order'!$A2376)), 1), D2375))"),"G")</f>
        <v>G</v>
      </c>
      <c r="E2376" s="2" t="str">
        <f>IFERROR(__xludf.DUMMYFUNCTION("IF('From Order'!$A2376=COLUMNS($A2376:E2395), LEFT(INDEX(FILTER(E$1:E2375, E$1:E2375&lt;&gt;""""),COUNTA(FILTER(E$1:E2375, E$1:E2375&lt;&gt;""""))), LEN(INDEX(FILTER(E$1:E2375, E$1:E2375&lt;&gt;""""),COUNTA(FILTER(E$1:E2375, E$1:E2375&lt;&gt;""""))))-1), IF('To Order'!$A2376=COL"&amp;"UMNS($A2376:E2395), E2375&amp;RIGHT(INDIRECT(ADDRESS(ROW(E2376)-1, 'From Order'!$A2376)), 1), E2375))"),"BRPHZMTSSPLRRJTTC")</f>
        <v>BRPHZMTSSPLRRJTTC</v>
      </c>
      <c r="F2376" s="2" t="str">
        <f>IFERROR(__xludf.DUMMYFUNCTION("IF('From Order'!$A2376=COLUMNS($A2376:F2395), LEFT(INDEX(FILTER(F$1:F2375, F$1:F2375&lt;&gt;""""),COUNTA(FILTER(F$1:F2375, F$1:F2375&lt;&gt;""""))), LEN(INDEX(FILTER(F$1:F2375, F$1:F2375&lt;&gt;""""),COUNTA(FILTER(F$1:F2375, F$1:F2375&lt;&gt;""""))))-1), IF('To Order'!$A2376=COL"&amp;"UMNS($A2376:F2395), F2375&amp;RIGHT(INDIRECT(ADDRESS(ROW(F2376)-1, 'From Order'!$A2376)), 1), F2375))"),"FJ")</f>
        <v>FJ</v>
      </c>
      <c r="G2376" s="2" t="str">
        <f>IFERROR(__xludf.DUMMYFUNCTION("IF('From Order'!$A2376=COLUMNS($A2376:G2395), LEFT(INDEX(FILTER(G$1:G2375, G$1:G2375&lt;&gt;""""),COUNTA(FILTER(G$1:G2375, G$1:G2375&lt;&gt;""""))), LEN(INDEX(FILTER(G$1:G2375, G$1:G2375&lt;&gt;""""),COUNTA(FILTER(G$1:G2375, G$1:G2375&lt;&gt;""""))))-1), IF('To Order'!$A2376=COL"&amp;"UMNS($A2376:G2395), G2375&amp;RIGHT(INDIRECT(ADDRESS(ROW(G2376)-1, 'From Order'!$A2376)), 1), G2375))"),"BW")</f>
        <v>BW</v>
      </c>
      <c r="H2376" s="2" t="str">
        <f>IFERROR(__xludf.DUMMYFUNCTION("IF('From Order'!$A2376=COLUMNS($A2376:H2395), LEFT(INDEX(FILTER(H$1:H2375, H$1:H2375&lt;&gt;""""),COUNTA(FILTER(H$1:H2375, H$1:H2375&lt;&gt;""""))), LEN(INDEX(FILTER(H$1:H2375, H$1:H2375&lt;&gt;""""),COUNTA(FILTER(H$1:H2375, H$1:H2375&lt;&gt;""""))))-1), IF('To Order'!$A2376=COL"&amp;"UMNS($A2376:H2395), H2375&amp;RIGHT(INDIRECT(ADDRESS(ROW(H2376)-1, 'From Order'!$A2376)), 1), H2375))"),"")</f>
        <v/>
      </c>
      <c r="I2376" s="2" t="str">
        <f>IFERROR(__xludf.DUMMYFUNCTION("IF('From Order'!$A2376=COLUMNS($A2376:I2395), LEFT(INDEX(FILTER(I$1:I2375, I$1:I2375&lt;&gt;""""),COUNTA(FILTER(I$1:I2375, I$1:I2375&lt;&gt;""""))), LEN(INDEX(FILTER(I$1:I2375, I$1:I2375&lt;&gt;""""),COUNTA(FILTER(I$1:I2375, I$1:I2375&lt;&gt;""""))))-1), IF('To Order'!$A2376=COL"&amp;"UMNS($A2376:I2395), I2375&amp;RIGHT(INDIRECT(ADDRESS(ROW(I2376)-1, 'From Order'!$A2376)), 1), I2375))"),"DDDVQZDMTTGMPSRQVCCD")</f>
        <v>DDDVQZDMTTGMPSRQVCCD</v>
      </c>
    </row>
    <row r="2377">
      <c r="A2377" s="2" t="str">
        <f>IFERROR(__xludf.DUMMYFUNCTION("IF('From Order'!$A2377=COLUMNS($A2377:A2396), LEFT(INDEX(FILTER(A$1:A2376, A$1:A2376&lt;&gt;""""),COUNTA(FILTER(A$1:A2376, A$1:A2376&lt;&gt;""""))), LEN(INDEX(FILTER(A$1:A2376, A$1:A2376&lt;&gt;""""),COUNTA(FILTER(A$1:A2376, A$1:A2376&lt;&gt;""""))))-1), IF('To Order'!$A2377=COL"&amp;"UMNS($A2377:A2396), A2376&amp;RIGHT(INDIRECT(ADDRESS(ROW(A2377)-1, 'From Order'!$A2377)), 1), A2376))"),"DRSZHTWLLFB")</f>
        <v>DRSZHTWLLFB</v>
      </c>
      <c r="B2377" s="2" t="str">
        <f>IFERROR(__xludf.DUMMYFUNCTION("IF('From Order'!$A2377=COLUMNS($A2377:B2396), LEFT(INDEX(FILTER(B$1:B2376, B$1:B2376&lt;&gt;""""),COUNTA(FILTER(B$1:B2376, B$1:B2376&lt;&gt;""""))), LEN(INDEX(FILTER(B$1:B2376, B$1:B2376&lt;&gt;""""),COUNTA(FILTER(B$1:B2376, B$1:B2376&lt;&gt;""""))))-1), IF('To Order'!$A2377=COL"&amp;"UMNS($A2377:B2396), B2376&amp;RIGHT(INDIRECT(ADDRESS(ROW(B2377)-1, 'From Order'!$A2377)), 1), B2376))"),"")</f>
        <v/>
      </c>
      <c r="C2377" s="2" t="str">
        <f>IFERROR(__xludf.DUMMYFUNCTION("IF('From Order'!$A2377=COLUMNS($A2377:C2396), LEFT(INDEX(FILTER(C$1:C2376, C$1:C2376&lt;&gt;""""),COUNTA(FILTER(C$1:C2376, C$1:C2376&lt;&gt;""""))), LEN(INDEX(FILTER(C$1:C2376, C$1:C2376&lt;&gt;""""),COUNTA(FILTER(C$1:C2376, C$1:C2376&lt;&gt;""""))))-1), IF('To Order'!$A2377=COL"&amp;"UMNS($A2377:C2396), C2376&amp;RIGHT(INDIRECT(ADDRESS(ROW(C2377)-1, 'From Order'!$A2377)), 1), C2376))"),"VBJ")</f>
        <v>VBJ</v>
      </c>
      <c r="D2377" s="2" t="str">
        <f>IFERROR(__xludf.DUMMYFUNCTION("IF('From Order'!$A2377=COLUMNS($A2377:D2396), LEFT(INDEX(FILTER(D$1:D2376, D$1:D2376&lt;&gt;""""),COUNTA(FILTER(D$1:D2376, D$1:D2376&lt;&gt;""""))), LEN(INDEX(FILTER(D$1:D2376, D$1:D2376&lt;&gt;""""),COUNTA(FILTER(D$1:D2376, D$1:D2376&lt;&gt;""""))))-1), IF('To Order'!$A2377=COL"&amp;"UMNS($A2377:D2396), D2376&amp;RIGHT(INDIRECT(ADDRESS(ROW(D2377)-1, 'From Order'!$A2377)), 1), D2376))"),"G")</f>
        <v>G</v>
      </c>
      <c r="E2377" s="2" t="str">
        <f>IFERROR(__xludf.DUMMYFUNCTION("IF('From Order'!$A2377=COLUMNS($A2377:E2396), LEFT(INDEX(FILTER(E$1:E2376, E$1:E2376&lt;&gt;""""),COUNTA(FILTER(E$1:E2376, E$1:E2376&lt;&gt;""""))), LEN(INDEX(FILTER(E$1:E2376, E$1:E2376&lt;&gt;""""),COUNTA(FILTER(E$1:E2376, E$1:E2376&lt;&gt;""""))))-1), IF('To Order'!$A2377=COL"&amp;"UMNS($A2377:E2396), E2376&amp;RIGHT(INDIRECT(ADDRESS(ROW(E2377)-1, 'From Order'!$A2377)), 1), E2376))"),"BRPHZMTSSPLRRJTTCJ")</f>
        <v>BRPHZMTSSPLRRJTTCJ</v>
      </c>
      <c r="F2377" s="2" t="str">
        <f>IFERROR(__xludf.DUMMYFUNCTION("IF('From Order'!$A2377=COLUMNS($A2377:F2396), LEFT(INDEX(FILTER(F$1:F2376, F$1:F2376&lt;&gt;""""),COUNTA(FILTER(F$1:F2376, F$1:F2376&lt;&gt;""""))), LEN(INDEX(FILTER(F$1:F2376, F$1:F2376&lt;&gt;""""),COUNTA(FILTER(F$1:F2376, F$1:F2376&lt;&gt;""""))))-1), IF('To Order'!$A2377=COL"&amp;"UMNS($A2377:F2396), F2376&amp;RIGHT(INDIRECT(ADDRESS(ROW(F2377)-1, 'From Order'!$A2377)), 1), F2376))"),"F")</f>
        <v>F</v>
      </c>
      <c r="G2377" s="2" t="str">
        <f>IFERROR(__xludf.DUMMYFUNCTION("IF('From Order'!$A2377=COLUMNS($A2377:G2396), LEFT(INDEX(FILTER(G$1:G2376, G$1:G2376&lt;&gt;""""),COUNTA(FILTER(G$1:G2376, G$1:G2376&lt;&gt;""""))), LEN(INDEX(FILTER(G$1:G2376, G$1:G2376&lt;&gt;""""),COUNTA(FILTER(G$1:G2376, G$1:G2376&lt;&gt;""""))))-1), IF('To Order'!$A2377=COL"&amp;"UMNS($A2377:G2396), G2376&amp;RIGHT(INDIRECT(ADDRESS(ROW(G2377)-1, 'From Order'!$A2377)), 1), G2376))"),"BW")</f>
        <v>BW</v>
      </c>
      <c r="H2377" s="2" t="str">
        <f>IFERROR(__xludf.DUMMYFUNCTION("IF('From Order'!$A2377=COLUMNS($A2377:H2396), LEFT(INDEX(FILTER(H$1:H2376, H$1:H2376&lt;&gt;""""),COUNTA(FILTER(H$1:H2376, H$1:H2376&lt;&gt;""""))), LEN(INDEX(FILTER(H$1:H2376, H$1:H2376&lt;&gt;""""),COUNTA(FILTER(H$1:H2376, H$1:H2376&lt;&gt;""""))))-1), IF('To Order'!$A2377=COL"&amp;"UMNS($A2377:H2396), H2376&amp;RIGHT(INDIRECT(ADDRESS(ROW(H2377)-1, 'From Order'!$A2377)), 1), H2376))"),"")</f>
        <v/>
      </c>
      <c r="I2377" s="2" t="str">
        <f>IFERROR(__xludf.DUMMYFUNCTION("IF('From Order'!$A2377=COLUMNS($A2377:I2396), LEFT(INDEX(FILTER(I$1:I2376, I$1:I2376&lt;&gt;""""),COUNTA(FILTER(I$1:I2376, I$1:I2376&lt;&gt;""""))), LEN(INDEX(FILTER(I$1:I2376, I$1:I2376&lt;&gt;""""),COUNTA(FILTER(I$1:I2376, I$1:I2376&lt;&gt;""""))))-1), IF('To Order'!$A2377=COL"&amp;"UMNS($A2377:I2396), I2376&amp;RIGHT(INDIRECT(ADDRESS(ROW(I2377)-1, 'From Order'!$A2377)), 1), I2376))"),"DDDVQZDMTTGMPSRQVCCD")</f>
        <v>DDDVQZDMTTGMPSRQVCCD</v>
      </c>
    </row>
    <row r="2378">
      <c r="A2378" s="2" t="str">
        <f>IFERROR(__xludf.DUMMYFUNCTION("IF('From Order'!$A2378=COLUMNS($A2378:A2397), LEFT(INDEX(FILTER(A$1:A2377, A$1:A2377&lt;&gt;""""),COUNTA(FILTER(A$1:A2377, A$1:A2377&lt;&gt;""""))), LEN(INDEX(FILTER(A$1:A2377, A$1:A2377&lt;&gt;""""),COUNTA(FILTER(A$1:A2377, A$1:A2377&lt;&gt;""""))))-1), IF('To Order'!$A2378=COL"&amp;"UMNS($A2378:A2397), A2377&amp;RIGHT(INDIRECT(ADDRESS(ROW(A2378)-1, 'From Order'!$A2378)), 1), A2377))"),"DRSZHTWLLFB")</f>
        <v>DRSZHTWLLFB</v>
      </c>
      <c r="B2378" s="2" t="str">
        <f>IFERROR(__xludf.DUMMYFUNCTION("IF('From Order'!$A2378=COLUMNS($A2378:B2397), LEFT(INDEX(FILTER(B$1:B2377, B$1:B2377&lt;&gt;""""),COUNTA(FILTER(B$1:B2377, B$1:B2377&lt;&gt;""""))), LEN(INDEX(FILTER(B$1:B2377, B$1:B2377&lt;&gt;""""),COUNTA(FILTER(B$1:B2377, B$1:B2377&lt;&gt;""""))))-1), IF('To Order'!$A2378=COL"&amp;"UMNS($A2378:B2397), B2377&amp;RIGHT(INDIRECT(ADDRESS(ROW(B2378)-1, 'From Order'!$A2378)), 1), B2377))"),"")</f>
        <v/>
      </c>
      <c r="C2378" s="2" t="str">
        <f>IFERROR(__xludf.DUMMYFUNCTION("IF('From Order'!$A2378=COLUMNS($A2378:C2397), LEFT(INDEX(FILTER(C$1:C2377, C$1:C2377&lt;&gt;""""),COUNTA(FILTER(C$1:C2377, C$1:C2377&lt;&gt;""""))), LEN(INDEX(FILTER(C$1:C2377, C$1:C2377&lt;&gt;""""),COUNTA(FILTER(C$1:C2377, C$1:C2377&lt;&gt;""""))))-1), IF('To Order'!$A2378=COL"&amp;"UMNS($A2378:C2397), C2377&amp;RIGHT(INDIRECT(ADDRESS(ROW(C2378)-1, 'From Order'!$A2378)), 1), C2377))"),"VBJ")</f>
        <v>VBJ</v>
      </c>
      <c r="D2378" s="2" t="str">
        <f>IFERROR(__xludf.DUMMYFUNCTION("IF('From Order'!$A2378=COLUMNS($A2378:D2397), LEFT(INDEX(FILTER(D$1:D2377, D$1:D2377&lt;&gt;""""),COUNTA(FILTER(D$1:D2377, D$1:D2377&lt;&gt;""""))), LEN(INDEX(FILTER(D$1:D2377, D$1:D2377&lt;&gt;""""),COUNTA(FILTER(D$1:D2377, D$1:D2377&lt;&gt;""""))))-1), IF('To Order'!$A2378=COL"&amp;"UMNS($A2378:D2397), D2377&amp;RIGHT(INDIRECT(ADDRESS(ROW(D2378)-1, 'From Order'!$A2378)), 1), D2377))"),"G")</f>
        <v>G</v>
      </c>
      <c r="E2378" s="2" t="str">
        <f>IFERROR(__xludf.DUMMYFUNCTION("IF('From Order'!$A2378=COLUMNS($A2378:E2397), LEFT(INDEX(FILTER(E$1:E2377, E$1:E2377&lt;&gt;""""),COUNTA(FILTER(E$1:E2377, E$1:E2377&lt;&gt;""""))), LEN(INDEX(FILTER(E$1:E2377, E$1:E2377&lt;&gt;""""),COUNTA(FILTER(E$1:E2377, E$1:E2377&lt;&gt;""""))))-1), IF('To Order'!$A2378=COL"&amp;"UMNS($A2378:E2397), E2377&amp;RIGHT(INDIRECT(ADDRESS(ROW(E2378)-1, 'From Order'!$A2378)), 1), E2377))"),"BRPHZMTSSPLRRJTTCJF")</f>
        <v>BRPHZMTSSPLRRJTTCJF</v>
      </c>
      <c r="F2378" s="2" t="str">
        <f>IFERROR(__xludf.DUMMYFUNCTION("IF('From Order'!$A2378=COLUMNS($A2378:F2397), LEFT(INDEX(FILTER(F$1:F2377, F$1:F2377&lt;&gt;""""),COUNTA(FILTER(F$1:F2377, F$1:F2377&lt;&gt;""""))), LEN(INDEX(FILTER(F$1:F2377, F$1:F2377&lt;&gt;""""),COUNTA(FILTER(F$1:F2377, F$1:F2377&lt;&gt;""""))))-1), IF('To Order'!$A2378=COL"&amp;"UMNS($A2378:F2397), F2377&amp;RIGHT(INDIRECT(ADDRESS(ROW(F2378)-1, 'From Order'!$A2378)), 1), F2377))"),"")</f>
        <v/>
      </c>
      <c r="G2378" s="2" t="str">
        <f>IFERROR(__xludf.DUMMYFUNCTION("IF('From Order'!$A2378=COLUMNS($A2378:G2397), LEFT(INDEX(FILTER(G$1:G2377, G$1:G2377&lt;&gt;""""),COUNTA(FILTER(G$1:G2377, G$1:G2377&lt;&gt;""""))), LEN(INDEX(FILTER(G$1:G2377, G$1:G2377&lt;&gt;""""),COUNTA(FILTER(G$1:G2377, G$1:G2377&lt;&gt;""""))))-1), IF('To Order'!$A2378=COL"&amp;"UMNS($A2378:G2397), G2377&amp;RIGHT(INDIRECT(ADDRESS(ROW(G2378)-1, 'From Order'!$A2378)), 1), G2377))"),"BW")</f>
        <v>BW</v>
      </c>
      <c r="H2378" s="2" t="str">
        <f>IFERROR(__xludf.DUMMYFUNCTION("IF('From Order'!$A2378=COLUMNS($A2378:H2397), LEFT(INDEX(FILTER(H$1:H2377, H$1:H2377&lt;&gt;""""),COUNTA(FILTER(H$1:H2377, H$1:H2377&lt;&gt;""""))), LEN(INDEX(FILTER(H$1:H2377, H$1:H2377&lt;&gt;""""),COUNTA(FILTER(H$1:H2377, H$1:H2377&lt;&gt;""""))))-1), IF('To Order'!$A2378=COL"&amp;"UMNS($A2378:H2397), H2377&amp;RIGHT(INDIRECT(ADDRESS(ROW(H2378)-1, 'From Order'!$A2378)), 1), H2377))"),"")</f>
        <v/>
      </c>
      <c r="I2378" s="2" t="str">
        <f>IFERROR(__xludf.DUMMYFUNCTION("IF('From Order'!$A2378=COLUMNS($A2378:I2397), LEFT(INDEX(FILTER(I$1:I2377, I$1:I2377&lt;&gt;""""),COUNTA(FILTER(I$1:I2377, I$1:I2377&lt;&gt;""""))), LEN(INDEX(FILTER(I$1:I2377, I$1:I2377&lt;&gt;""""),COUNTA(FILTER(I$1:I2377, I$1:I2377&lt;&gt;""""))))-1), IF('To Order'!$A2378=COL"&amp;"UMNS($A2378:I2397), I2377&amp;RIGHT(INDIRECT(ADDRESS(ROW(I2378)-1, 'From Order'!$A2378)), 1), I2377))"),"DDDVQZDMTTGMPSRQVCCD")</f>
        <v>DDDVQZDMTTGMPSRQVCCD</v>
      </c>
    </row>
    <row r="2379">
      <c r="A2379" s="2" t="str">
        <f>IFERROR(__xludf.DUMMYFUNCTION("IF('From Order'!$A2379=COLUMNS($A2379:A2398), LEFT(INDEX(FILTER(A$1:A2378, A$1:A2378&lt;&gt;""""),COUNTA(FILTER(A$1:A2378, A$1:A2378&lt;&gt;""""))), LEN(INDEX(FILTER(A$1:A2378, A$1:A2378&lt;&gt;""""),COUNTA(FILTER(A$1:A2378, A$1:A2378&lt;&gt;""""))))-1), IF('To Order'!$A2379=COL"&amp;"UMNS($A2379:A2398), A2378&amp;RIGHT(INDIRECT(ADDRESS(ROW(A2379)-1, 'From Order'!$A2379)), 1), A2378))"),"DRSZHTWLLFBD")</f>
        <v>DRSZHTWLLFBD</v>
      </c>
      <c r="B2379" s="2" t="str">
        <f>IFERROR(__xludf.DUMMYFUNCTION("IF('From Order'!$A2379=COLUMNS($A2379:B2398), LEFT(INDEX(FILTER(B$1:B2378, B$1:B2378&lt;&gt;""""),COUNTA(FILTER(B$1:B2378, B$1:B2378&lt;&gt;""""))), LEN(INDEX(FILTER(B$1:B2378, B$1:B2378&lt;&gt;""""),COUNTA(FILTER(B$1:B2378, B$1:B2378&lt;&gt;""""))))-1), IF('To Order'!$A2379=COL"&amp;"UMNS($A2379:B2398), B2378&amp;RIGHT(INDIRECT(ADDRESS(ROW(B2379)-1, 'From Order'!$A2379)), 1), B2378))"),"")</f>
        <v/>
      </c>
      <c r="C2379" s="2" t="str">
        <f>IFERROR(__xludf.DUMMYFUNCTION("IF('From Order'!$A2379=COLUMNS($A2379:C2398), LEFT(INDEX(FILTER(C$1:C2378, C$1:C2378&lt;&gt;""""),COUNTA(FILTER(C$1:C2378, C$1:C2378&lt;&gt;""""))), LEN(INDEX(FILTER(C$1:C2378, C$1:C2378&lt;&gt;""""),COUNTA(FILTER(C$1:C2378, C$1:C2378&lt;&gt;""""))))-1), IF('To Order'!$A2379=COL"&amp;"UMNS($A2379:C2398), C2378&amp;RIGHT(INDIRECT(ADDRESS(ROW(C2379)-1, 'From Order'!$A2379)), 1), C2378))"),"VBJ")</f>
        <v>VBJ</v>
      </c>
      <c r="D2379" s="2" t="str">
        <f>IFERROR(__xludf.DUMMYFUNCTION("IF('From Order'!$A2379=COLUMNS($A2379:D2398), LEFT(INDEX(FILTER(D$1:D2378, D$1:D2378&lt;&gt;""""),COUNTA(FILTER(D$1:D2378, D$1:D2378&lt;&gt;""""))), LEN(INDEX(FILTER(D$1:D2378, D$1:D2378&lt;&gt;""""),COUNTA(FILTER(D$1:D2378, D$1:D2378&lt;&gt;""""))))-1), IF('To Order'!$A2379=COL"&amp;"UMNS($A2379:D2398), D2378&amp;RIGHT(INDIRECT(ADDRESS(ROW(D2379)-1, 'From Order'!$A2379)), 1), D2378))"),"G")</f>
        <v>G</v>
      </c>
      <c r="E2379" s="2" t="str">
        <f>IFERROR(__xludf.DUMMYFUNCTION("IF('From Order'!$A2379=COLUMNS($A2379:E2398), LEFT(INDEX(FILTER(E$1:E2378, E$1:E2378&lt;&gt;""""),COUNTA(FILTER(E$1:E2378, E$1:E2378&lt;&gt;""""))), LEN(INDEX(FILTER(E$1:E2378, E$1:E2378&lt;&gt;""""),COUNTA(FILTER(E$1:E2378, E$1:E2378&lt;&gt;""""))))-1), IF('To Order'!$A2379=COL"&amp;"UMNS($A2379:E2398), E2378&amp;RIGHT(INDIRECT(ADDRESS(ROW(E2379)-1, 'From Order'!$A2379)), 1), E2378))"),"BRPHZMTSSPLRRJTTCJF")</f>
        <v>BRPHZMTSSPLRRJTTCJF</v>
      </c>
      <c r="F2379" s="2" t="str">
        <f>IFERROR(__xludf.DUMMYFUNCTION("IF('From Order'!$A2379=COLUMNS($A2379:F2398), LEFT(INDEX(FILTER(F$1:F2378, F$1:F2378&lt;&gt;""""),COUNTA(FILTER(F$1:F2378, F$1:F2378&lt;&gt;""""))), LEN(INDEX(FILTER(F$1:F2378, F$1:F2378&lt;&gt;""""),COUNTA(FILTER(F$1:F2378, F$1:F2378&lt;&gt;""""))))-1), IF('To Order'!$A2379=COL"&amp;"UMNS($A2379:F2398), F2378&amp;RIGHT(INDIRECT(ADDRESS(ROW(F2379)-1, 'From Order'!$A2379)), 1), F2378))"),"")</f>
        <v/>
      </c>
      <c r="G2379" s="2" t="str">
        <f>IFERROR(__xludf.DUMMYFUNCTION("IF('From Order'!$A2379=COLUMNS($A2379:G2398), LEFT(INDEX(FILTER(G$1:G2378, G$1:G2378&lt;&gt;""""),COUNTA(FILTER(G$1:G2378, G$1:G2378&lt;&gt;""""))), LEN(INDEX(FILTER(G$1:G2378, G$1:G2378&lt;&gt;""""),COUNTA(FILTER(G$1:G2378, G$1:G2378&lt;&gt;""""))))-1), IF('To Order'!$A2379=COL"&amp;"UMNS($A2379:G2398), G2378&amp;RIGHT(INDIRECT(ADDRESS(ROW(G2379)-1, 'From Order'!$A2379)), 1), G2378))"),"BW")</f>
        <v>BW</v>
      </c>
      <c r="H2379" s="2" t="str">
        <f>IFERROR(__xludf.DUMMYFUNCTION("IF('From Order'!$A2379=COLUMNS($A2379:H2398), LEFT(INDEX(FILTER(H$1:H2378, H$1:H2378&lt;&gt;""""),COUNTA(FILTER(H$1:H2378, H$1:H2378&lt;&gt;""""))), LEN(INDEX(FILTER(H$1:H2378, H$1:H2378&lt;&gt;""""),COUNTA(FILTER(H$1:H2378, H$1:H2378&lt;&gt;""""))))-1), IF('To Order'!$A2379=COL"&amp;"UMNS($A2379:H2398), H2378&amp;RIGHT(INDIRECT(ADDRESS(ROW(H2379)-1, 'From Order'!$A2379)), 1), H2378))"),"")</f>
        <v/>
      </c>
      <c r="I2379" s="2" t="str">
        <f>IFERROR(__xludf.DUMMYFUNCTION("IF('From Order'!$A2379=COLUMNS($A2379:I2398), LEFT(INDEX(FILTER(I$1:I2378, I$1:I2378&lt;&gt;""""),COUNTA(FILTER(I$1:I2378, I$1:I2378&lt;&gt;""""))), LEN(INDEX(FILTER(I$1:I2378, I$1:I2378&lt;&gt;""""),COUNTA(FILTER(I$1:I2378, I$1:I2378&lt;&gt;""""))))-1), IF('To Order'!$A2379=COL"&amp;"UMNS($A2379:I2398), I2378&amp;RIGHT(INDIRECT(ADDRESS(ROW(I2379)-1, 'From Order'!$A2379)), 1), I2378))"),"DDDVQZDMTTGMPSRQVCC")</f>
        <v>DDDVQZDMTTGMPSRQVCC</v>
      </c>
    </row>
    <row r="2380">
      <c r="A2380" s="2" t="str">
        <f>IFERROR(__xludf.DUMMYFUNCTION("IF('From Order'!$A2380=COLUMNS($A2380:A2399), LEFT(INDEX(FILTER(A$1:A2379, A$1:A2379&lt;&gt;""""),COUNTA(FILTER(A$1:A2379, A$1:A2379&lt;&gt;""""))), LEN(INDEX(FILTER(A$1:A2379, A$1:A2379&lt;&gt;""""),COUNTA(FILTER(A$1:A2379, A$1:A2379&lt;&gt;""""))))-1), IF('To Order'!$A2380=COL"&amp;"UMNS($A2380:A2399), A2379&amp;RIGHT(INDIRECT(ADDRESS(ROW(A2380)-1, 'From Order'!$A2380)), 1), A2379))"),"DRSZHTWLLFBDC")</f>
        <v>DRSZHTWLLFBDC</v>
      </c>
      <c r="B2380" s="2" t="str">
        <f>IFERROR(__xludf.DUMMYFUNCTION("IF('From Order'!$A2380=COLUMNS($A2380:B2399), LEFT(INDEX(FILTER(B$1:B2379, B$1:B2379&lt;&gt;""""),COUNTA(FILTER(B$1:B2379, B$1:B2379&lt;&gt;""""))), LEN(INDEX(FILTER(B$1:B2379, B$1:B2379&lt;&gt;""""),COUNTA(FILTER(B$1:B2379, B$1:B2379&lt;&gt;""""))))-1), IF('To Order'!$A2380=COL"&amp;"UMNS($A2380:B2399), B2379&amp;RIGHT(INDIRECT(ADDRESS(ROW(B2380)-1, 'From Order'!$A2380)), 1), B2379))"),"")</f>
        <v/>
      </c>
      <c r="C2380" s="2" t="str">
        <f>IFERROR(__xludf.DUMMYFUNCTION("IF('From Order'!$A2380=COLUMNS($A2380:C2399), LEFT(INDEX(FILTER(C$1:C2379, C$1:C2379&lt;&gt;""""),COUNTA(FILTER(C$1:C2379, C$1:C2379&lt;&gt;""""))), LEN(INDEX(FILTER(C$1:C2379, C$1:C2379&lt;&gt;""""),COUNTA(FILTER(C$1:C2379, C$1:C2379&lt;&gt;""""))))-1), IF('To Order'!$A2380=COL"&amp;"UMNS($A2380:C2399), C2379&amp;RIGHT(INDIRECT(ADDRESS(ROW(C2380)-1, 'From Order'!$A2380)), 1), C2379))"),"VBJ")</f>
        <v>VBJ</v>
      </c>
      <c r="D2380" s="2" t="str">
        <f>IFERROR(__xludf.DUMMYFUNCTION("IF('From Order'!$A2380=COLUMNS($A2380:D2399), LEFT(INDEX(FILTER(D$1:D2379, D$1:D2379&lt;&gt;""""),COUNTA(FILTER(D$1:D2379, D$1:D2379&lt;&gt;""""))), LEN(INDEX(FILTER(D$1:D2379, D$1:D2379&lt;&gt;""""),COUNTA(FILTER(D$1:D2379, D$1:D2379&lt;&gt;""""))))-1), IF('To Order'!$A2380=COL"&amp;"UMNS($A2380:D2399), D2379&amp;RIGHT(INDIRECT(ADDRESS(ROW(D2380)-1, 'From Order'!$A2380)), 1), D2379))"),"G")</f>
        <v>G</v>
      </c>
      <c r="E2380" s="2" t="str">
        <f>IFERROR(__xludf.DUMMYFUNCTION("IF('From Order'!$A2380=COLUMNS($A2380:E2399), LEFT(INDEX(FILTER(E$1:E2379, E$1:E2379&lt;&gt;""""),COUNTA(FILTER(E$1:E2379, E$1:E2379&lt;&gt;""""))), LEN(INDEX(FILTER(E$1:E2379, E$1:E2379&lt;&gt;""""),COUNTA(FILTER(E$1:E2379, E$1:E2379&lt;&gt;""""))))-1), IF('To Order'!$A2380=COL"&amp;"UMNS($A2380:E2399), E2379&amp;RIGHT(INDIRECT(ADDRESS(ROW(E2380)-1, 'From Order'!$A2380)), 1), E2379))"),"BRPHZMTSSPLRRJTTCJF")</f>
        <v>BRPHZMTSSPLRRJTTCJF</v>
      </c>
      <c r="F2380" s="2" t="str">
        <f>IFERROR(__xludf.DUMMYFUNCTION("IF('From Order'!$A2380=COLUMNS($A2380:F2399), LEFT(INDEX(FILTER(F$1:F2379, F$1:F2379&lt;&gt;""""),COUNTA(FILTER(F$1:F2379, F$1:F2379&lt;&gt;""""))), LEN(INDEX(FILTER(F$1:F2379, F$1:F2379&lt;&gt;""""),COUNTA(FILTER(F$1:F2379, F$1:F2379&lt;&gt;""""))))-1), IF('To Order'!$A2380=COL"&amp;"UMNS($A2380:F2399), F2379&amp;RIGHT(INDIRECT(ADDRESS(ROW(F2380)-1, 'From Order'!$A2380)), 1), F2379))"),"")</f>
        <v/>
      </c>
      <c r="G2380" s="2" t="str">
        <f>IFERROR(__xludf.DUMMYFUNCTION("IF('From Order'!$A2380=COLUMNS($A2380:G2399), LEFT(INDEX(FILTER(G$1:G2379, G$1:G2379&lt;&gt;""""),COUNTA(FILTER(G$1:G2379, G$1:G2379&lt;&gt;""""))), LEN(INDEX(FILTER(G$1:G2379, G$1:G2379&lt;&gt;""""),COUNTA(FILTER(G$1:G2379, G$1:G2379&lt;&gt;""""))))-1), IF('To Order'!$A2380=COL"&amp;"UMNS($A2380:G2399), G2379&amp;RIGHT(INDIRECT(ADDRESS(ROW(G2380)-1, 'From Order'!$A2380)), 1), G2379))"),"BW")</f>
        <v>BW</v>
      </c>
      <c r="H2380" s="2" t="str">
        <f>IFERROR(__xludf.DUMMYFUNCTION("IF('From Order'!$A2380=COLUMNS($A2380:H2399), LEFT(INDEX(FILTER(H$1:H2379, H$1:H2379&lt;&gt;""""),COUNTA(FILTER(H$1:H2379, H$1:H2379&lt;&gt;""""))), LEN(INDEX(FILTER(H$1:H2379, H$1:H2379&lt;&gt;""""),COUNTA(FILTER(H$1:H2379, H$1:H2379&lt;&gt;""""))))-1), IF('To Order'!$A2380=COL"&amp;"UMNS($A2380:H2399), H2379&amp;RIGHT(INDIRECT(ADDRESS(ROW(H2380)-1, 'From Order'!$A2380)), 1), H2379))"),"")</f>
        <v/>
      </c>
      <c r="I2380" s="2" t="str">
        <f>IFERROR(__xludf.DUMMYFUNCTION("IF('From Order'!$A2380=COLUMNS($A2380:I2399), LEFT(INDEX(FILTER(I$1:I2379, I$1:I2379&lt;&gt;""""),COUNTA(FILTER(I$1:I2379, I$1:I2379&lt;&gt;""""))), LEN(INDEX(FILTER(I$1:I2379, I$1:I2379&lt;&gt;""""),COUNTA(FILTER(I$1:I2379, I$1:I2379&lt;&gt;""""))))-1), IF('To Order'!$A2380=COL"&amp;"UMNS($A2380:I2399), I2379&amp;RIGHT(INDIRECT(ADDRESS(ROW(I2380)-1, 'From Order'!$A2380)), 1), I2379))"),"DDDVQZDMTTGMPSRQVC")</f>
        <v>DDDVQZDMTTGMPSRQVC</v>
      </c>
    </row>
    <row r="2381">
      <c r="A2381" s="2" t="str">
        <f>IFERROR(__xludf.DUMMYFUNCTION("IF('From Order'!$A2381=COLUMNS($A2381:A2400), LEFT(INDEX(FILTER(A$1:A2380, A$1:A2380&lt;&gt;""""),COUNTA(FILTER(A$1:A2380, A$1:A2380&lt;&gt;""""))), LEN(INDEX(FILTER(A$1:A2380, A$1:A2380&lt;&gt;""""),COUNTA(FILTER(A$1:A2380, A$1:A2380&lt;&gt;""""))))-1), IF('To Order'!$A2381=COL"&amp;"UMNS($A2381:A2400), A2380&amp;RIGHT(INDIRECT(ADDRESS(ROW(A2381)-1, 'From Order'!$A2381)), 1), A2380))"),"DRSZHTWLLFBDCC")</f>
        <v>DRSZHTWLLFBDCC</v>
      </c>
      <c r="B2381" s="2" t="str">
        <f>IFERROR(__xludf.DUMMYFUNCTION("IF('From Order'!$A2381=COLUMNS($A2381:B2400), LEFT(INDEX(FILTER(B$1:B2380, B$1:B2380&lt;&gt;""""),COUNTA(FILTER(B$1:B2380, B$1:B2380&lt;&gt;""""))), LEN(INDEX(FILTER(B$1:B2380, B$1:B2380&lt;&gt;""""),COUNTA(FILTER(B$1:B2380, B$1:B2380&lt;&gt;""""))))-1), IF('To Order'!$A2381=COL"&amp;"UMNS($A2381:B2400), B2380&amp;RIGHT(INDIRECT(ADDRESS(ROW(B2381)-1, 'From Order'!$A2381)), 1), B2380))"),"")</f>
        <v/>
      </c>
      <c r="C2381" s="2" t="str">
        <f>IFERROR(__xludf.DUMMYFUNCTION("IF('From Order'!$A2381=COLUMNS($A2381:C2400), LEFT(INDEX(FILTER(C$1:C2380, C$1:C2380&lt;&gt;""""),COUNTA(FILTER(C$1:C2380, C$1:C2380&lt;&gt;""""))), LEN(INDEX(FILTER(C$1:C2380, C$1:C2380&lt;&gt;""""),COUNTA(FILTER(C$1:C2380, C$1:C2380&lt;&gt;""""))))-1), IF('To Order'!$A2381=COL"&amp;"UMNS($A2381:C2400), C2380&amp;RIGHT(INDIRECT(ADDRESS(ROW(C2381)-1, 'From Order'!$A2381)), 1), C2380))"),"VBJ")</f>
        <v>VBJ</v>
      </c>
      <c r="D2381" s="2" t="str">
        <f>IFERROR(__xludf.DUMMYFUNCTION("IF('From Order'!$A2381=COLUMNS($A2381:D2400), LEFT(INDEX(FILTER(D$1:D2380, D$1:D2380&lt;&gt;""""),COUNTA(FILTER(D$1:D2380, D$1:D2380&lt;&gt;""""))), LEN(INDEX(FILTER(D$1:D2380, D$1:D2380&lt;&gt;""""),COUNTA(FILTER(D$1:D2380, D$1:D2380&lt;&gt;""""))))-1), IF('To Order'!$A2381=COL"&amp;"UMNS($A2381:D2400), D2380&amp;RIGHT(INDIRECT(ADDRESS(ROW(D2381)-1, 'From Order'!$A2381)), 1), D2380))"),"G")</f>
        <v>G</v>
      </c>
      <c r="E2381" s="2" t="str">
        <f>IFERROR(__xludf.DUMMYFUNCTION("IF('From Order'!$A2381=COLUMNS($A2381:E2400), LEFT(INDEX(FILTER(E$1:E2380, E$1:E2380&lt;&gt;""""),COUNTA(FILTER(E$1:E2380, E$1:E2380&lt;&gt;""""))), LEN(INDEX(FILTER(E$1:E2380, E$1:E2380&lt;&gt;""""),COUNTA(FILTER(E$1:E2380, E$1:E2380&lt;&gt;""""))))-1), IF('To Order'!$A2381=COL"&amp;"UMNS($A2381:E2400), E2380&amp;RIGHT(INDIRECT(ADDRESS(ROW(E2381)-1, 'From Order'!$A2381)), 1), E2380))"),"BRPHZMTSSPLRRJTTCJF")</f>
        <v>BRPHZMTSSPLRRJTTCJF</v>
      </c>
      <c r="F2381" s="2" t="str">
        <f>IFERROR(__xludf.DUMMYFUNCTION("IF('From Order'!$A2381=COLUMNS($A2381:F2400), LEFT(INDEX(FILTER(F$1:F2380, F$1:F2380&lt;&gt;""""),COUNTA(FILTER(F$1:F2380, F$1:F2380&lt;&gt;""""))), LEN(INDEX(FILTER(F$1:F2380, F$1:F2380&lt;&gt;""""),COUNTA(FILTER(F$1:F2380, F$1:F2380&lt;&gt;""""))))-1), IF('To Order'!$A2381=COL"&amp;"UMNS($A2381:F2400), F2380&amp;RIGHT(INDIRECT(ADDRESS(ROW(F2381)-1, 'From Order'!$A2381)), 1), F2380))"),"")</f>
        <v/>
      </c>
      <c r="G2381" s="2" t="str">
        <f>IFERROR(__xludf.DUMMYFUNCTION("IF('From Order'!$A2381=COLUMNS($A2381:G2400), LEFT(INDEX(FILTER(G$1:G2380, G$1:G2380&lt;&gt;""""),COUNTA(FILTER(G$1:G2380, G$1:G2380&lt;&gt;""""))), LEN(INDEX(FILTER(G$1:G2380, G$1:G2380&lt;&gt;""""),COUNTA(FILTER(G$1:G2380, G$1:G2380&lt;&gt;""""))))-1), IF('To Order'!$A2381=COL"&amp;"UMNS($A2381:G2400), G2380&amp;RIGHT(INDIRECT(ADDRESS(ROW(G2381)-1, 'From Order'!$A2381)), 1), G2380))"),"BW")</f>
        <v>BW</v>
      </c>
      <c r="H2381" s="2" t="str">
        <f>IFERROR(__xludf.DUMMYFUNCTION("IF('From Order'!$A2381=COLUMNS($A2381:H2400), LEFT(INDEX(FILTER(H$1:H2380, H$1:H2380&lt;&gt;""""),COUNTA(FILTER(H$1:H2380, H$1:H2380&lt;&gt;""""))), LEN(INDEX(FILTER(H$1:H2380, H$1:H2380&lt;&gt;""""),COUNTA(FILTER(H$1:H2380, H$1:H2380&lt;&gt;""""))))-1), IF('To Order'!$A2381=COL"&amp;"UMNS($A2381:H2400), H2380&amp;RIGHT(INDIRECT(ADDRESS(ROW(H2381)-1, 'From Order'!$A2381)), 1), H2380))"),"")</f>
        <v/>
      </c>
      <c r="I2381" s="2" t="str">
        <f>IFERROR(__xludf.DUMMYFUNCTION("IF('From Order'!$A2381=COLUMNS($A2381:I2400), LEFT(INDEX(FILTER(I$1:I2380, I$1:I2380&lt;&gt;""""),COUNTA(FILTER(I$1:I2380, I$1:I2380&lt;&gt;""""))), LEN(INDEX(FILTER(I$1:I2380, I$1:I2380&lt;&gt;""""),COUNTA(FILTER(I$1:I2380, I$1:I2380&lt;&gt;""""))))-1), IF('To Order'!$A2381=COL"&amp;"UMNS($A2381:I2400), I2380&amp;RIGHT(INDIRECT(ADDRESS(ROW(I2381)-1, 'From Order'!$A2381)), 1), I2380))"),"DDDVQZDMTTGMPSRQV")</f>
        <v>DDDVQZDMTTGMPSRQV</v>
      </c>
    </row>
    <row r="2382">
      <c r="A2382" s="2" t="str">
        <f>IFERROR(__xludf.DUMMYFUNCTION("IF('From Order'!$A2382=COLUMNS($A2382:A2401), LEFT(INDEX(FILTER(A$1:A2381, A$1:A2381&lt;&gt;""""),COUNTA(FILTER(A$1:A2381, A$1:A2381&lt;&gt;""""))), LEN(INDEX(FILTER(A$1:A2381, A$1:A2381&lt;&gt;""""),COUNTA(FILTER(A$1:A2381, A$1:A2381&lt;&gt;""""))))-1), IF('To Order'!$A2382=COL"&amp;"UMNS($A2382:A2401), A2381&amp;RIGHT(INDIRECT(ADDRESS(ROW(A2382)-1, 'From Order'!$A2382)), 1), A2381))"),"DRSZHTWLLFBDCCV")</f>
        <v>DRSZHTWLLFBDCCV</v>
      </c>
      <c r="B2382" s="2" t="str">
        <f>IFERROR(__xludf.DUMMYFUNCTION("IF('From Order'!$A2382=COLUMNS($A2382:B2401), LEFT(INDEX(FILTER(B$1:B2381, B$1:B2381&lt;&gt;""""),COUNTA(FILTER(B$1:B2381, B$1:B2381&lt;&gt;""""))), LEN(INDEX(FILTER(B$1:B2381, B$1:B2381&lt;&gt;""""),COUNTA(FILTER(B$1:B2381, B$1:B2381&lt;&gt;""""))))-1), IF('To Order'!$A2382=COL"&amp;"UMNS($A2382:B2401), B2381&amp;RIGHT(INDIRECT(ADDRESS(ROW(B2382)-1, 'From Order'!$A2382)), 1), B2381))"),"")</f>
        <v/>
      </c>
      <c r="C2382" s="2" t="str">
        <f>IFERROR(__xludf.DUMMYFUNCTION("IF('From Order'!$A2382=COLUMNS($A2382:C2401), LEFT(INDEX(FILTER(C$1:C2381, C$1:C2381&lt;&gt;""""),COUNTA(FILTER(C$1:C2381, C$1:C2381&lt;&gt;""""))), LEN(INDEX(FILTER(C$1:C2381, C$1:C2381&lt;&gt;""""),COUNTA(FILTER(C$1:C2381, C$1:C2381&lt;&gt;""""))))-1), IF('To Order'!$A2382=COL"&amp;"UMNS($A2382:C2401), C2381&amp;RIGHT(INDIRECT(ADDRESS(ROW(C2382)-1, 'From Order'!$A2382)), 1), C2381))"),"VBJ")</f>
        <v>VBJ</v>
      </c>
      <c r="D2382" s="2" t="str">
        <f>IFERROR(__xludf.DUMMYFUNCTION("IF('From Order'!$A2382=COLUMNS($A2382:D2401), LEFT(INDEX(FILTER(D$1:D2381, D$1:D2381&lt;&gt;""""),COUNTA(FILTER(D$1:D2381, D$1:D2381&lt;&gt;""""))), LEN(INDEX(FILTER(D$1:D2381, D$1:D2381&lt;&gt;""""),COUNTA(FILTER(D$1:D2381, D$1:D2381&lt;&gt;""""))))-1), IF('To Order'!$A2382=COL"&amp;"UMNS($A2382:D2401), D2381&amp;RIGHT(INDIRECT(ADDRESS(ROW(D2382)-1, 'From Order'!$A2382)), 1), D2381))"),"G")</f>
        <v>G</v>
      </c>
      <c r="E2382" s="2" t="str">
        <f>IFERROR(__xludf.DUMMYFUNCTION("IF('From Order'!$A2382=COLUMNS($A2382:E2401), LEFT(INDEX(FILTER(E$1:E2381, E$1:E2381&lt;&gt;""""),COUNTA(FILTER(E$1:E2381, E$1:E2381&lt;&gt;""""))), LEN(INDEX(FILTER(E$1:E2381, E$1:E2381&lt;&gt;""""),COUNTA(FILTER(E$1:E2381, E$1:E2381&lt;&gt;""""))))-1), IF('To Order'!$A2382=COL"&amp;"UMNS($A2382:E2401), E2381&amp;RIGHT(INDIRECT(ADDRESS(ROW(E2382)-1, 'From Order'!$A2382)), 1), E2381))"),"BRPHZMTSSPLRRJTTCJF")</f>
        <v>BRPHZMTSSPLRRJTTCJF</v>
      </c>
      <c r="F2382" s="2" t="str">
        <f>IFERROR(__xludf.DUMMYFUNCTION("IF('From Order'!$A2382=COLUMNS($A2382:F2401), LEFT(INDEX(FILTER(F$1:F2381, F$1:F2381&lt;&gt;""""),COUNTA(FILTER(F$1:F2381, F$1:F2381&lt;&gt;""""))), LEN(INDEX(FILTER(F$1:F2381, F$1:F2381&lt;&gt;""""),COUNTA(FILTER(F$1:F2381, F$1:F2381&lt;&gt;""""))))-1), IF('To Order'!$A2382=COL"&amp;"UMNS($A2382:F2401), F2381&amp;RIGHT(INDIRECT(ADDRESS(ROW(F2382)-1, 'From Order'!$A2382)), 1), F2381))"),"")</f>
        <v/>
      </c>
      <c r="G2382" s="2" t="str">
        <f>IFERROR(__xludf.DUMMYFUNCTION("IF('From Order'!$A2382=COLUMNS($A2382:G2401), LEFT(INDEX(FILTER(G$1:G2381, G$1:G2381&lt;&gt;""""),COUNTA(FILTER(G$1:G2381, G$1:G2381&lt;&gt;""""))), LEN(INDEX(FILTER(G$1:G2381, G$1:G2381&lt;&gt;""""),COUNTA(FILTER(G$1:G2381, G$1:G2381&lt;&gt;""""))))-1), IF('To Order'!$A2382=COL"&amp;"UMNS($A2382:G2401), G2381&amp;RIGHT(INDIRECT(ADDRESS(ROW(G2382)-1, 'From Order'!$A2382)), 1), G2381))"),"BW")</f>
        <v>BW</v>
      </c>
      <c r="H2382" s="2" t="str">
        <f>IFERROR(__xludf.DUMMYFUNCTION("IF('From Order'!$A2382=COLUMNS($A2382:H2401), LEFT(INDEX(FILTER(H$1:H2381, H$1:H2381&lt;&gt;""""),COUNTA(FILTER(H$1:H2381, H$1:H2381&lt;&gt;""""))), LEN(INDEX(FILTER(H$1:H2381, H$1:H2381&lt;&gt;""""),COUNTA(FILTER(H$1:H2381, H$1:H2381&lt;&gt;""""))))-1), IF('To Order'!$A2382=COL"&amp;"UMNS($A2382:H2401), H2381&amp;RIGHT(INDIRECT(ADDRESS(ROW(H2382)-1, 'From Order'!$A2382)), 1), H2381))"),"")</f>
        <v/>
      </c>
      <c r="I2382" s="2" t="str">
        <f>IFERROR(__xludf.DUMMYFUNCTION("IF('From Order'!$A2382=COLUMNS($A2382:I2401), LEFT(INDEX(FILTER(I$1:I2381, I$1:I2381&lt;&gt;""""),COUNTA(FILTER(I$1:I2381, I$1:I2381&lt;&gt;""""))), LEN(INDEX(FILTER(I$1:I2381, I$1:I2381&lt;&gt;""""),COUNTA(FILTER(I$1:I2381, I$1:I2381&lt;&gt;""""))))-1), IF('To Order'!$A2382=COL"&amp;"UMNS($A2382:I2401), I2381&amp;RIGHT(INDIRECT(ADDRESS(ROW(I2382)-1, 'From Order'!$A2382)), 1), I2381))"),"DDDVQZDMTTGMPSRQ")</f>
        <v>DDDVQZDMTTGMPSRQ</v>
      </c>
    </row>
    <row r="2383">
      <c r="A2383" s="2" t="str">
        <f>IFERROR(__xludf.DUMMYFUNCTION("IF('From Order'!$A2383=COLUMNS($A2383:A2402), LEFT(INDEX(FILTER(A$1:A2382, A$1:A2382&lt;&gt;""""),COUNTA(FILTER(A$1:A2382, A$1:A2382&lt;&gt;""""))), LEN(INDEX(FILTER(A$1:A2382, A$1:A2382&lt;&gt;""""),COUNTA(FILTER(A$1:A2382, A$1:A2382&lt;&gt;""""))))-1), IF('To Order'!$A2383=COL"&amp;"UMNS($A2383:A2402), A2382&amp;RIGHT(INDIRECT(ADDRESS(ROW(A2383)-1, 'From Order'!$A2383)), 1), A2382))"),"DRSZHTWLLFBDCCVQ")</f>
        <v>DRSZHTWLLFBDCCVQ</v>
      </c>
      <c r="B2383" s="2" t="str">
        <f>IFERROR(__xludf.DUMMYFUNCTION("IF('From Order'!$A2383=COLUMNS($A2383:B2402), LEFT(INDEX(FILTER(B$1:B2382, B$1:B2382&lt;&gt;""""),COUNTA(FILTER(B$1:B2382, B$1:B2382&lt;&gt;""""))), LEN(INDEX(FILTER(B$1:B2382, B$1:B2382&lt;&gt;""""),COUNTA(FILTER(B$1:B2382, B$1:B2382&lt;&gt;""""))))-1), IF('To Order'!$A2383=COL"&amp;"UMNS($A2383:B2402), B2382&amp;RIGHT(INDIRECT(ADDRESS(ROW(B2383)-1, 'From Order'!$A2383)), 1), B2382))"),"")</f>
        <v/>
      </c>
      <c r="C2383" s="2" t="str">
        <f>IFERROR(__xludf.DUMMYFUNCTION("IF('From Order'!$A2383=COLUMNS($A2383:C2402), LEFT(INDEX(FILTER(C$1:C2382, C$1:C2382&lt;&gt;""""),COUNTA(FILTER(C$1:C2382, C$1:C2382&lt;&gt;""""))), LEN(INDEX(FILTER(C$1:C2382, C$1:C2382&lt;&gt;""""),COUNTA(FILTER(C$1:C2382, C$1:C2382&lt;&gt;""""))))-1), IF('To Order'!$A2383=COL"&amp;"UMNS($A2383:C2402), C2382&amp;RIGHT(INDIRECT(ADDRESS(ROW(C2383)-1, 'From Order'!$A2383)), 1), C2382))"),"VBJ")</f>
        <v>VBJ</v>
      </c>
      <c r="D2383" s="2" t="str">
        <f>IFERROR(__xludf.DUMMYFUNCTION("IF('From Order'!$A2383=COLUMNS($A2383:D2402), LEFT(INDEX(FILTER(D$1:D2382, D$1:D2382&lt;&gt;""""),COUNTA(FILTER(D$1:D2382, D$1:D2382&lt;&gt;""""))), LEN(INDEX(FILTER(D$1:D2382, D$1:D2382&lt;&gt;""""),COUNTA(FILTER(D$1:D2382, D$1:D2382&lt;&gt;""""))))-1), IF('To Order'!$A2383=COL"&amp;"UMNS($A2383:D2402), D2382&amp;RIGHT(INDIRECT(ADDRESS(ROW(D2383)-1, 'From Order'!$A2383)), 1), D2382))"),"G")</f>
        <v>G</v>
      </c>
      <c r="E2383" s="2" t="str">
        <f>IFERROR(__xludf.DUMMYFUNCTION("IF('From Order'!$A2383=COLUMNS($A2383:E2402), LEFT(INDEX(FILTER(E$1:E2382, E$1:E2382&lt;&gt;""""),COUNTA(FILTER(E$1:E2382, E$1:E2382&lt;&gt;""""))), LEN(INDEX(FILTER(E$1:E2382, E$1:E2382&lt;&gt;""""),COUNTA(FILTER(E$1:E2382, E$1:E2382&lt;&gt;""""))))-1), IF('To Order'!$A2383=COL"&amp;"UMNS($A2383:E2402), E2382&amp;RIGHT(INDIRECT(ADDRESS(ROW(E2383)-1, 'From Order'!$A2383)), 1), E2382))"),"BRPHZMTSSPLRRJTTCJF")</f>
        <v>BRPHZMTSSPLRRJTTCJF</v>
      </c>
      <c r="F2383" s="2" t="str">
        <f>IFERROR(__xludf.DUMMYFUNCTION("IF('From Order'!$A2383=COLUMNS($A2383:F2402), LEFT(INDEX(FILTER(F$1:F2382, F$1:F2382&lt;&gt;""""),COUNTA(FILTER(F$1:F2382, F$1:F2382&lt;&gt;""""))), LEN(INDEX(FILTER(F$1:F2382, F$1:F2382&lt;&gt;""""),COUNTA(FILTER(F$1:F2382, F$1:F2382&lt;&gt;""""))))-1), IF('To Order'!$A2383=COL"&amp;"UMNS($A2383:F2402), F2382&amp;RIGHT(INDIRECT(ADDRESS(ROW(F2383)-1, 'From Order'!$A2383)), 1), F2382))"),"")</f>
        <v/>
      </c>
      <c r="G2383" s="2" t="str">
        <f>IFERROR(__xludf.DUMMYFUNCTION("IF('From Order'!$A2383=COLUMNS($A2383:G2402), LEFT(INDEX(FILTER(G$1:G2382, G$1:G2382&lt;&gt;""""),COUNTA(FILTER(G$1:G2382, G$1:G2382&lt;&gt;""""))), LEN(INDEX(FILTER(G$1:G2382, G$1:G2382&lt;&gt;""""),COUNTA(FILTER(G$1:G2382, G$1:G2382&lt;&gt;""""))))-1), IF('To Order'!$A2383=COL"&amp;"UMNS($A2383:G2402), G2382&amp;RIGHT(INDIRECT(ADDRESS(ROW(G2383)-1, 'From Order'!$A2383)), 1), G2382))"),"BW")</f>
        <v>BW</v>
      </c>
      <c r="H2383" s="2" t="str">
        <f>IFERROR(__xludf.DUMMYFUNCTION("IF('From Order'!$A2383=COLUMNS($A2383:H2402), LEFT(INDEX(FILTER(H$1:H2382, H$1:H2382&lt;&gt;""""),COUNTA(FILTER(H$1:H2382, H$1:H2382&lt;&gt;""""))), LEN(INDEX(FILTER(H$1:H2382, H$1:H2382&lt;&gt;""""),COUNTA(FILTER(H$1:H2382, H$1:H2382&lt;&gt;""""))))-1), IF('To Order'!$A2383=COL"&amp;"UMNS($A2383:H2402), H2382&amp;RIGHT(INDIRECT(ADDRESS(ROW(H2383)-1, 'From Order'!$A2383)), 1), H2382))"),"")</f>
        <v/>
      </c>
      <c r="I2383" s="2" t="str">
        <f>IFERROR(__xludf.DUMMYFUNCTION("IF('From Order'!$A2383=COLUMNS($A2383:I2402), LEFT(INDEX(FILTER(I$1:I2382, I$1:I2382&lt;&gt;""""),COUNTA(FILTER(I$1:I2382, I$1:I2382&lt;&gt;""""))), LEN(INDEX(FILTER(I$1:I2382, I$1:I2382&lt;&gt;""""),COUNTA(FILTER(I$1:I2382, I$1:I2382&lt;&gt;""""))))-1), IF('To Order'!$A2383=COL"&amp;"UMNS($A2383:I2402), I2382&amp;RIGHT(INDIRECT(ADDRESS(ROW(I2383)-1, 'From Order'!$A2383)), 1), I2382))"),"DDDVQZDMTTGMPSR")</f>
        <v>DDDVQZDMTTGMPSR</v>
      </c>
    </row>
    <row r="2384">
      <c r="A2384" s="2" t="str">
        <f>IFERROR(__xludf.DUMMYFUNCTION("IF('From Order'!$A2384=COLUMNS($A2384:A2403), LEFT(INDEX(FILTER(A$1:A2383, A$1:A2383&lt;&gt;""""),COUNTA(FILTER(A$1:A2383, A$1:A2383&lt;&gt;""""))), LEN(INDEX(FILTER(A$1:A2383, A$1:A2383&lt;&gt;""""),COUNTA(FILTER(A$1:A2383, A$1:A2383&lt;&gt;""""))))-1), IF('To Order'!$A2384=COL"&amp;"UMNS($A2384:A2403), A2383&amp;RIGHT(INDIRECT(ADDRESS(ROW(A2384)-1, 'From Order'!$A2384)), 1), A2383))"),"DRSZHTWLLFBDCCVQR")</f>
        <v>DRSZHTWLLFBDCCVQR</v>
      </c>
      <c r="B2384" s="2" t="str">
        <f>IFERROR(__xludf.DUMMYFUNCTION("IF('From Order'!$A2384=COLUMNS($A2384:B2403), LEFT(INDEX(FILTER(B$1:B2383, B$1:B2383&lt;&gt;""""),COUNTA(FILTER(B$1:B2383, B$1:B2383&lt;&gt;""""))), LEN(INDEX(FILTER(B$1:B2383, B$1:B2383&lt;&gt;""""),COUNTA(FILTER(B$1:B2383, B$1:B2383&lt;&gt;""""))))-1), IF('To Order'!$A2384=COL"&amp;"UMNS($A2384:B2403), B2383&amp;RIGHT(INDIRECT(ADDRESS(ROW(B2384)-1, 'From Order'!$A2384)), 1), B2383))"),"")</f>
        <v/>
      </c>
      <c r="C2384" s="2" t="str">
        <f>IFERROR(__xludf.DUMMYFUNCTION("IF('From Order'!$A2384=COLUMNS($A2384:C2403), LEFT(INDEX(FILTER(C$1:C2383, C$1:C2383&lt;&gt;""""),COUNTA(FILTER(C$1:C2383, C$1:C2383&lt;&gt;""""))), LEN(INDEX(FILTER(C$1:C2383, C$1:C2383&lt;&gt;""""),COUNTA(FILTER(C$1:C2383, C$1:C2383&lt;&gt;""""))))-1), IF('To Order'!$A2384=COL"&amp;"UMNS($A2384:C2403), C2383&amp;RIGHT(INDIRECT(ADDRESS(ROW(C2384)-1, 'From Order'!$A2384)), 1), C2383))"),"VBJ")</f>
        <v>VBJ</v>
      </c>
      <c r="D2384" s="2" t="str">
        <f>IFERROR(__xludf.DUMMYFUNCTION("IF('From Order'!$A2384=COLUMNS($A2384:D2403), LEFT(INDEX(FILTER(D$1:D2383, D$1:D2383&lt;&gt;""""),COUNTA(FILTER(D$1:D2383, D$1:D2383&lt;&gt;""""))), LEN(INDEX(FILTER(D$1:D2383, D$1:D2383&lt;&gt;""""),COUNTA(FILTER(D$1:D2383, D$1:D2383&lt;&gt;""""))))-1), IF('To Order'!$A2384=COL"&amp;"UMNS($A2384:D2403), D2383&amp;RIGHT(INDIRECT(ADDRESS(ROW(D2384)-1, 'From Order'!$A2384)), 1), D2383))"),"G")</f>
        <v>G</v>
      </c>
      <c r="E2384" s="2" t="str">
        <f>IFERROR(__xludf.DUMMYFUNCTION("IF('From Order'!$A2384=COLUMNS($A2384:E2403), LEFT(INDEX(FILTER(E$1:E2383, E$1:E2383&lt;&gt;""""),COUNTA(FILTER(E$1:E2383, E$1:E2383&lt;&gt;""""))), LEN(INDEX(FILTER(E$1:E2383, E$1:E2383&lt;&gt;""""),COUNTA(FILTER(E$1:E2383, E$1:E2383&lt;&gt;""""))))-1), IF('To Order'!$A2384=COL"&amp;"UMNS($A2384:E2403), E2383&amp;RIGHT(INDIRECT(ADDRESS(ROW(E2384)-1, 'From Order'!$A2384)), 1), E2383))"),"BRPHZMTSSPLRRJTTCJF")</f>
        <v>BRPHZMTSSPLRRJTTCJF</v>
      </c>
      <c r="F2384" s="2" t="str">
        <f>IFERROR(__xludf.DUMMYFUNCTION("IF('From Order'!$A2384=COLUMNS($A2384:F2403), LEFT(INDEX(FILTER(F$1:F2383, F$1:F2383&lt;&gt;""""),COUNTA(FILTER(F$1:F2383, F$1:F2383&lt;&gt;""""))), LEN(INDEX(FILTER(F$1:F2383, F$1:F2383&lt;&gt;""""),COUNTA(FILTER(F$1:F2383, F$1:F2383&lt;&gt;""""))))-1), IF('To Order'!$A2384=COL"&amp;"UMNS($A2384:F2403), F2383&amp;RIGHT(INDIRECT(ADDRESS(ROW(F2384)-1, 'From Order'!$A2384)), 1), F2383))"),"")</f>
        <v/>
      </c>
      <c r="G2384" s="2" t="str">
        <f>IFERROR(__xludf.DUMMYFUNCTION("IF('From Order'!$A2384=COLUMNS($A2384:G2403), LEFT(INDEX(FILTER(G$1:G2383, G$1:G2383&lt;&gt;""""),COUNTA(FILTER(G$1:G2383, G$1:G2383&lt;&gt;""""))), LEN(INDEX(FILTER(G$1:G2383, G$1:G2383&lt;&gt;""""),COUNTA(FILTER(G$1:G2383, G$1:G2383&lt;&gt;""""))))-1), IF('To Order'!$A2384=COL"&amp;"UMNS($A2384:G2403), G2383&amp;RIGHT(INDIRECT(ADDRESS(ROW(G2384)-1, 'From Order'!$A2384)), 1), G2383))"),"BW")</f>
        <v>BW</v>
      </c>
      <c r="H2384" s="2" t="str">
        <f>IFERROR(__xludf.DUMMYFUNCTION("IF('From Order'!$A2384=COLUMNS($A2384:H2403), LEFT(INDEX(FILTER(H$1:H2383, H$1:H2383&lt;&gt;""""),COUNTA(FILTER(H$1:H2383, H$1:H2383&lt;&gt;""""))), LEN(INDEX(FILTER(H$1:H2383, H$1:H2383&lt;&gt;""""),COUNTA(FILTER(H$1:H2383, H$1:H2383&lt;&gt;""""))))-1), IF('To Order'!$A2384=COL"&amp;"UMNS($A2384:H2403), H2383&amp;RIGHT(INDIRECT(ADDRESS(ROW(H2384)-1, 'From Order'!$A2384)), 1), H2383))"),"")</f>
        <v/>
      </c>
      <c r="I2384" s="2" t="str">
        <f>IFERROR(__xludf.DUMMYFUNCTION("IF('From Order'!$A2384=COLUMNS($A2384:I2403), LEFT(INDEX(FILTER(I$1:I2383, I$1:I2383&lt;&gt;""""),COUNTA(FILTER(I$1:I2383, I$1:I2383&lt;&gt;""""))), LEN(INDEX(FILTER(I$1:I2383, I$1:I2383&lt;&gt;""""),COUNTA(FILTER(I$1:I2383, I$1:I2383&lt;&gt;""""))))-1), IF('To Order'!$A2384=COL"&amp;"UMNS($A2384:I2403), I2383&amp;RIGHT(INDIRECT(ADDRESS(ROW(I2384)-1, 'From Order'!$A2384)), 1), I2383))"),"DDDVQZDMTTGMPS")</f>
        <v>DDDVQZDMTTGMPS</v>
      </c>
    </row>
    <row r="2385">
      <c r="A2385" s="2" t="str">
        <f>IFERROR(__xludf.DUMMYFUNCTION("IF('From Order'!$A2385=COLUMNS($A2385:A2404), LEFT(INDEX(FILTER(A$1:A2384, A$1:A2384&lt;&gt;""""),COUNTA(FILTER(A$1:A2384, A$1:A2384&lt;&gt;""""))), LEN(INDEX(FILTER(A$1:A2384, A$1:A2384&lt;&gt;""""),COUNTA(FILTER(A$1:A2384, A$1:A2384&lt;&gt;""""))))-1), IF('To Order'!$A2385=COL"&amp;"UMNS($A2385:A2404), A2384&amp;RIGHT(INDIRECT(ADDRESS(ROW(A2385)-1, 'From Order'!$A2385)), 1), A2384))"),"DRSZHTWLLFBDCCVQRS")</f>
        <v>DRSZHTWLLFBDCCVQRS</v>
      </c>
      <c r="B2385" s="2" t="str">
        <f>IFERROR(__xludf.DUMMYFUNCTION("IF('From Order'!$A2385=COLUMNS($A2385:B2404), LEFT(INDEX(FILTER(B$1:B2384, B$1:B2384&lt;&gt;""""),COUNTA(FILTER(B$1:B2384, B$1:B2384&lt;&gt;""""))), LEN(INDEX(FILTER(B$1:B2384, B$1:B2384&lt;&gt;""""),COUNTA(FILTER(B$1:B2384, B$1:B2384&lt;&gt;""""))))-1), IF('To Order'!$A2385=COL"&amp;"UMNS($A2385:B2404), B2384&amp;RIGHT(INDIRECT(ADDRESS(ROW(B2385)-1, 'From Order'!$A2385)), 1), B2384))"),"")</f>
        <v/>
      </c>
      <c r="C2385" s="2" t="str">
        <f>IFERROR(__xludf.DUMMYFUNCTION("IF('From Order'!$A2385=COLUMNS($A2385:C2404), LEFT(INDEX(FILTER(C$1:C2384, C$1:C2384&lt;&gt;""""),COUNTA(FILTER(C$1:C2384, C$1:C2384&lt;&gt;""""))), LEN(INDEX(FILTER(C$1:C2384, C$1:C2384&lt;&gt;""""),COUNTA(FILTER(C$1:C2384, C$1:C2384&lt;&gt;""""))))-1), IF('To Order'!$A2385=COL"&amp;"UMNS($A2385:C2404), C2384&amp;RIGHT(INDIRECT(ADDRESS(ROW(C2385)-1, 'From Order'!$A2385)), 1), C2384))"),"VBJ")</f>
        <v>VBJ</v>
      </c>
      <c r="D2385" s="2" t="str">
        <f>IFERROR(__xludf.DUMMYFUNCTION("IF('From Order'!$A2385=COLUMNS($A2385:D2404), LEFT(INDEX(FILTER(D$1:D2384, D$1:D2384&lt;&gt;""""),COUNTA(FILTER(D$1:D2384, D$1:D2384&lt;&gt;""""))), LEN(INDEX(FILTER(D$1:D2384, D$1:D2384&lt;&gt;""""),COUNTA(FILTER(D$1:D2384, D$1:D2384&lt;&gt;""""))))-1), IF('To Order'!$A2385=COL"&amp;"UMNS($A2385:D2404), D2384&amp;RIGHT(INDIRECT(ADDRESS(ROW(D2385)-1, 'From Order'!$A2385)), 1), D2384))"),"G")</f>
        <v>G</v>
      </c>
      <c r="E2385" s="2" t="str">
        <f>IFERROR(__xludf.DUMMYFUNCTION("IF('From Order'!$A2385=COLUMNS($A2385:E2404), LEFT(INDEX(FILTER(E$1:E2384, E$1:E2384&lt;&gt;""""),COUNTA(FILTER(E$1:E2384, E$1:E2384&lt;&gt;""""))), LEN(INDEX(FILTER(E$1:E2384, E$1:E2384&lt;&gt;""""),COUNTA(FILTER(E$1:E2384, E$1:E2384&lt;&gt;""""))))-1), IF('To Order'!$A2385=COL"&amp;"UMNS($A2385:E2404), E2384&amp;RIGHT(INDIRECT(ADDRESS(ROW(E2385)-1, 'From Order'!$A2385)), 1), E2384))"),"BRPHZMTSSPLRRJTTCJF")</f>
        <v>BRPHZMTSSPLRRJTTCJF</v>
      </c>
      <c r="F2385" s="2" t="str">
        <f>IFERROR(__xludf.DUMMYFUNCTION("IF('From Order'!$A2385=COLUMNS($A2385:F2404), LEFT(INDEX(FILTER(F$1:F2384, F$1:F2384&lt;&gt;""""),COUNTA(FILTER(F$1:F2384, F$1:F2384&lt;&gt;""""))), LEN(INDEX(FILTER(F$1:F2384, F$1:F2384&lt;&gt;""""),COUNTA(FILTER(F$1:F2384, F$1:F2384&lt;&gt;""""))))-1), IF('To Order'!$A2385=COL"&amp;"UMNS($A2385:F2404), F2384&amp;RIGHT(INDIRECT(ADDRESS(ROW(F2385)-1, 'From Order'!$A2385)), 1), F2384))"),"")</f>
        <v/>
      </c>
      <c r="G2385" s="2" t="str">
        <f>IFERROR(__xludf.DUMMYFUNCTION("IF('From Order'!$A2385=COLUMNS($A2385:G2404), LEFT(INDEX(FILTER(G$1:G2384, G$1:G2384&lt;&gt;""""),COUNTA(FILTER(G$1:G2384, G$1:G2384&lt;&gt;""""))), LEN(INDEX(FILTER(G$1:G2384, G$1:G2384&lt;&gt;""""),COUNTA(FILTER(G$1:G2384, G$1:G2384&lt;&gt;""""))))-1), IF('To Order'!$A2385=COL"&amp;"UMNS($A2385:G2404), G2384&amp;RIGHT(INDIRECT(ADDRESS(ROW(G2385)-1, 'From Order'!$A2385)), 1), G2384))"),"BW")</f>
        <v>BW</v>
      </c>
      <c r="H2385" s="2" t="str">
        <f>IFERROR(__xludf.DUMMYFUNCTION("IF('From Order'!$A2385=COLUMNS($A2385:H2404), LEFT(INDEX(FILTER(H$1:H2384, H$1:H2384&lt;&gt;""""),COUNTA(FILTER(H$1:H2384, H$1:H2384&lt;&gt;""""))), LEN(INDEX(FILTER(H$1:H2384, H$1:H2384&lt;&gt;""""),COUNTA(FILTER(H$1:H2384, H$1:H2384&lt;&gt;""""))))-1), IF('To Order'!$A2385=COL"&amp;"UMNS($A2385:H2404), H2384&amp;RIGHT(INDIRECT(ADDRESS(ROW(H2385)-1, 'From Order'!$A2385)), 1), H2384))"),"")</f>
        <v/>
      </c>
      <c r="I2385" s="2" t="str">
        <f>IFERROR(__xludf.DUMMYFUNCTION("IF('From Order'!$A2385=COLUMNS($A2385:I2404), LEFT(INDEX(FILTER(I$1:I2384, I$1:I2384&lt;&gt;""""),COUNTA(FILTER(I$1:I2384, I$1:I2384&lt;&gt;""""))), LEN(INDEX(FILTER(I$1:I2384, I$1:I2384&lt;&gt;""""),COUNTA(FILTER(I$1:I2384, I$1:I2384&lt;&gt;""""))))-1), IF('To Order'!$A2385=COL"&amp;"UMNS($A2385:I2404), I2384&amp;RIGHT(INDIRECT(ADDRESS(ROW(I2385)-1, 'From Order'!$A2385)), 1), I2384))"),"DDDVQZDMTTGMP")</f>
        <v>DDDVQZDMTTGMP</v>
      </c>
    </row>
    <row r="2386">
      <c r="A2386" s="2" t="str">
        <f>IFERROR(__xludf.DUMMYFUNCTION("IF('From Order'!$A2386=COLUMNS($A2386:A2405), LEFT(INDEX(FILTER(A$1:A2385, A$1:A2385&lt;&gt;""""),COUNTA(FILTER(A$1:A2385, A$1:A2385&lt;&gt;""""))), LEN(INDEX(FILTER(A$1:A2385, A$1:A2385&lt;&gt;""""),COUNTA(FILTER(A$1:A2385, A$1:A2385&lt;&gt;""""))))-1), IF('To Order'!$A2386=COL"&amp;"UMNS($A2386:A2405), A2385&amp;RIGHT(INDIRECT(ADDRESS(ROW(A2386)-1, 'From Order'!$A2386)), 1), A2385))"),"DRSZHTWLLFBDCCVQRSP")</f>
        <v>DRSZHTWLLFBDCCVQRSP</v>
      </c>
      <c r="B2386" s="2" t="str">
        <f>IFERROR(__xludf.DUMMYFUNCTION("IF('From Order'!$A2386=COLUMNS($A2386:B2405), LEFT(INDEX(FILTER(B$1:B2385, B$1:B2385&lt;&gt;""""),COUNTA(FILTER(B$1:B2385, B$1:B2385&lt;&gt;""""))), LEN(INDEX(FILTER(B$1:B2385, B$1:B2385&lt;&gt;""""),COUNTA(FILTER(B$1:B2385, B$1:B2385&lt;&gt;""""))))-1), IF('To Order'!$A2386=COL"&amp;"UMNS($A2386:B2405), B2385&amp;RIGHT(INDIRECT(ADDRESS(ROW(B2386)-1, 'From Order'!$A2386)), 1), B2385))"),"")</f>
        <v/>
      </c>
      <c r="C2386" s="2" t="str">
        <f>IFERROR(__xludf.DUMMYFUNCTION("IF('From Order'!$A2386=COLUMNS($A2386:C2405), LEFT(INDEX(FILTER(C$1:C2385, C$1:C2385&lt;&gt;""""),COUNTA(FILTER(C$1:C2385, C$1:C2385&lt;&gt;""""))), LEN(INDEX(FILTER(C$1:C2385, C$1:C2385&lt;&gt;""""),COUNTA(FILTER(C$1:C2385, C$1:C2385&lt;&gt;""""))))-1), IF('To Order'!$A2386=COL"&amp;"UMNS($A2386:C2405), C2385&amp;RIGHT(INDIRECT(ADDRESS(ROW(C2386)-1, 'From Order'!$A2386)), 1), C2385))"),"VBJ")</f>
        <v>VBJ</v>
      </c>
      <c r="D2386" s="2" t="str">
        <f>IFERROR(__xludf.DUMMYFUNCTION("IF('From Order'!$A2386=COLUMNS($A2386:D2405), LEFT(INDEX(FILTER(D$1:D2385, D$1:D2385&lt;&gt;""""),COUNTA(FILTER(D$1:D2385, D$1:D2385&lt;&gt;""""))), LEN(INDEX(FILTER(D$1:D2385, D$1:D2385&lt;&gt;""""),COUNTA(FILTER(D$1:D2385, D$1:D2385&lt;&gt;""""))))-1), IF('To Order'!$A2386=COL"&amp;"UMNS($A2386:D2405), D2385&amp;RIGHT(INDIRECT(ADDRESS(ROW(D2386)-1, 'From Order'!$A2386)), 1), D2385))"),"G")</f>
        <v>G</v>
      </c>
      <c r="E2386" s="2" t="str">
        <f>IFERROR(__xludf.DUMMYFUNCTION("IF('From Order'!$A2386=COLUMNS($A2386:E2405), LEFT(INDEX(FILTER(E$1:E2385, E$1:E2385&lt;&gt;""""),COUNTA(FILTER(E$1:E2385, E$1:E2385&lt;&gt;""""))), LEN(INDEX(FILTER(E$1:E2385, E$1:E2385&lt;&gt;""""),COUNTA(FILTER(E$1:E2385, E$1:E2385&lt;&gt;""""))))-1), IF('To Order'!$A2386=COL"&amp;"UMNS($A2386:E2405), E2385&amp;RIGHT(INDIRECT(ADDRESS(ROW(E2386)-1, 'From Order'!$A2386)), 1), E2385))"),"BRPHZMTSSPLRRJTTCJF")</f>
        <v>BRPHZMTSSPLRRJTTCJF</v>
      </c>
      <c r="F2386" s="2" t="str">
        <f>IFERROR(__xludf.DUMMYFUNCTION("IF('From Order'!$A2386=COLUMNS($A2386:F2405), LEFT(INDEX(FILTER(F$1:F2385, F$1:F2385&lt;&gt;""""),COUNTA(FILTER(F$1:F2385, F$1:F2385&lt;&gt;""""))), LEN(INDEX(FILTER(F$1:F2385, F$1:F2385&lt;&gt;""""),COUNTA(FILTER(F$1:F2385, F$1:F2385&lt;&gt;""""))))-1), IF('To Order'!$A2386=COL"&amp;"UMNS($A2386:F2405), F2385&amp;RIGHT(INDIRECT(ADDRESS(ROW(F2386)-1, 'From Order'!$A2386)), 1), F2385))"),"")</f>
        <v/>
      </c>
      <c r="G2386" s="2" t="str">
        <f>IFERROR(__xludf.DUMMYFUNCTION("IF('From Order'!$A2386=COLUMNS($A2386:G2405), LEFT(INDEX(FILTER(G$1:G2385, G$1:G2385&lt;&gt;""""),COUNTA(FILTER(G$1:G2385, G$1:G2385&lt;&gt;""""))), LEN(INDEX(FILTER(G$1:G2385, G$1:G2385&lt;&gt;""""),COUNTA(FILTER(G$1:G2385, G$1:G2385&lt;&gt;""""))))-1), IF('To Order'!$A2386=COL"&amp;"UMNS($A2386:G2405), G2385&amp;RIGHT(INDIRECT(ADDRESS(ROW(G2386)-1, 'From Order'!$A2386)), 1), G2385))"),"BW")</f>
        <v>BW</v>
      </c>
      <c r="H2386" s="2" t="str">
        <f>IFERROR(__xludf.DUMMYFUNCTION("IF('From Order'!$A2386=COLUMNS($A2386:H2405), LEFT(INDEX(FILTER(H$1:H2385, H$1:H2385&lt;&gt;""""),COUNTA(FILTER(H$1:H2385, H$1:H2385&lt;&gt;""""))), LEN(INDEX(FILTER(H$1:H2385, H$1:H2385&lt;&gt;""""),COUNTA(FILTER(H$1:H2385, H$1:H2385&lt;&gt;""""))))-1), IF('To Order'!$A2386=COL"&amp;"UMNS($A2386:H2405), H2385&amp;RIGHT(INDIRECT(ADDRESS(ROW(H2386)-1, 'From Order'!$A2386)), 1), H2385))"),"")</f>
        <v/>
      </c>
      <c r="I2386" s="2" t="str">
        <f>IFERROR(__xludf.DUMMYFUNCTION("IF('From Order'!$A2386=COLUMNS($A2386:I2405), LEFT(INDEX(FILTER(I$1:I2385, I$1:I2385&lt;&gt;""""),COUNTA(FILTER(I$1:I2385, I$1:I2385&lt;&gt;""""))), LEN(INDEX(FILTER(I$1:I2385, I$1:I2385&lt;&gt;""""),COUNTA(FILTER(I$1:I2385, I$1:I2385&lt;&gt;""""))))-1), IF('To Order'!$A2386=COL"&amp;"UMNS($A2386:I2405), I2385&amp;RIGHT(INDIRECT(ADDRESS(ROW(I2386)-1, 'From Order'!$A2386)), 1), I2385))"),"DDDVQZDMTTGM")</f>
        <v>DDDVQZDMTTGM</v>
      </c>
    </row>
    <row r="2387">
      <c r="A2387" s="2" t="str">
        <f>IFERROR(__xludf.DUMMYFUNCTION("IF('From Order'!$A2387=COLUMNS($A2387:A2406), LEFT(INDEX(FILTER(A$1:A2386, A$1:A2386&lt;&gt;""""),COUNTA(FILTER(A$1:A2386, A$1:A2386&lt;&gt;""""))), LEN(INDEX(FILTER(A$1:A2386, A$1:A2386&lt;&gt;""""),COUNTA(FILTER(A$1:A2386, A$1:A2386&lt;&gt;""""))))-1), IF('To Order'!$A2387=COL"&amp;"UMNS($A2387:A2406), A2386&amp;RIGHT(INDIRECT(ADDRESS(ROW(A2387)-1, 'From Order'!$A2387)), 1), A2386))"),"DRSZHTWLLFBDCCVQRSPM")</f>
        <v>DRSZHTWLLFBDCCVQRSPM</v>
      </c>
      <c r="B2387" s="2" t="str">
        <f>IFERROR(__xludf.DUMMYFUNCTION("IF('From Order'!$A2387=COLUMNS($A2387:B2406), LEFT(INDEX(FILTER(B$1:B2386, B$1:B2386&lt;&gt;""""),COUNTA(FILTER(B$1:B2386, B$1:B2386&lt;&gt;""""))), LEN(INDEX(FILTER(B$1:B2386, B$1:B2386&lt;&gt;""""),COUNTA(FILTER(B$1:B2386, B$1:B2386&lt;&gt;""""))))-1), IF('To Order'!$A2387=COL"&amp;"UMNS($A2387:B2406), B2386&amp;RIGHT(INDIRECT(ADDRESS(ROW(B2387)-1, 'From Order'!$A2387)), 1), B2386))"),"")</f>
        <v/>
      </c>
      <c r="C2387" s="2" t="str">
        <f>IFERROR(__xludf.DUMMYFUNCTION("IF('From Order'!$A2387=COLUMNS($A2387:C2406), LEFT(INDEX(FILTER(C$1:C2386, C$1:C2386&lt;&gt;""""),COUNTA(FILTER(C$1:C2386, C$1:C2386&lt;&gt;""""))), LEN(INDEX(FILTER(C$1:C2386, C$1:C2386&lt;&gt;""""),COUNTA(FILTER(C$1:C2386, C$1:C2386&lt;&gt;""""))))-1), IF('To Order'!$A2387=COL"&amp;"UMNS($A2387:C2406), C2386&amp;RIGHT(INDIRECT(ADDRESS(ROW(C2387)-1, 'From Order'!$A2387)), 1), C2386))"),"VBJ")</f>
        <v>VBJ</v>
      </c>
      <c r="D2387" s="2" t="str">
        <f>IFERROR(__xludf.DUMMYFUNCTION("IF('From Order'!$A2387=COLUMNS($A2387:D2406), LEFT(INDEX(FILTER(D$1:D2386, D$1:D2386&lt;&gt;""""),COUNTA(FILTER(D$1:D2386, D$1:D2386&lt;&gt;""""))), LEN(INDEX(FILTER(D$1:D2386, D$1:D2386&lt;&gt;""""),COUNTA(FILTER(D$1:D2386, D$1:D2386&lt;&gt;""""))))-1), IF('To Order'!$A2387=COL"&amp;"UMNS($A2387:D2406), D2386&amp;RIGHT(INDIRECT(ADDRESS(ROW(D2387)-1, 'From Order'!$A2387)), 1), D2386))"),"G")</f>
        <v>G</v>
      </c>
      <c r="E2387" s="2" t="str">
        <f>IFERROR(__xludf.DUMMYFUNCTION("IF('From Order'!$A2387=COLUMNS($A2387:E2406), LEFT(INDEX(FILTER(E$1:E2386, E$1:E2386&lt;&gt;""""),COUNTA(FILTER(E$1:E2386, E$1:E2386&lt;&gt;""""))), LEN(INDEX(FILTER(E$1:E2386, E$1:E2386&lt;&gt;""""),COUNTA(FILTER(E$1:E2386, E$1:E2386&lt;&gt;""""))))-1), IF('To Order'!$A2387=COL"&amp;"UMNS($A2387:E2406), E2386&amp;RIGHT(INDIRECT(ADDRESS(ROW(E2387)-1, 'From Order'!$A2387)), 1), E2386))"),"BRPHZMTSSPLRRJTTCJF")</f>
        <v>BRPHZMTSSPLRRJTTCJF</v>
      </c>
      <c r="F2387" s="2" t="str">
        <f>IFERROR(__xludf.DUMMYFUNCTION("IF('From Order'!$A2387=COLUMNS($A2387:F2406), LEFT(INDEX(FILTER(F$1:F2386, F$1:F2386&lt;&gt;""""),COUNTA(FILTER(F$1:F2386, F$1:F2386&lt;&gt;""""))), LEN(INDEX(FILTER(F$1:F2386, F$1:F2386&lt;&gt;""""),COUNTA(FILTER(F$1:F2386, F$1:F2386&lt;&gt;""""))))-1), IF('To Order'!$A2387=COL"&amp;"UMNS($A2387:F2406), F2386&amp;RIGHT(INDIRECT(ADDRESS(ROW(F2387)-1, 'From Order'!$A2387)), 1), F2386))"),"")</f>
        <v/>
      </c>
      <c r="G2387" s="2" t="str">
        <f>IFERROR(__xludf.DUMMYFUNCTION("IF('From Order'!$A2387=COLUMNS($A2387:G2406), LEFT(INDEX(FILTER(G$1:G2386, G$1:G2386&lt;&gt;""""),COUNTA(FILTER(G$1:G2386, G$1:G2386&lt;&gt;""""))), LEN(INDEX(FILTER(G$1:G2386, G$1:G2386&lt;&gt;""""),COUNTA(FILTER(G$1:G2386, G$1:G2386&lt;&gt;""""))))-1), IF('To Order'!$A2387=COL"&amp;"UMNS($A2387:G2406), G2386&amp;RIGHT(INDIRECT(ADDRESS(ROW(G2387)-1, 'From Order'!$A2387)), 1), G2386))"),"BW")</f>
        <v>BW</v>
      </c>
      <c r="H2387" s="2" t="str">
        <f>IFERROR(__xludf.DUMMYFUNCTION("IF('From Order'!$A2387=COLUMNS($A2387:H2406), LEFT(INDEX(FILTER(H$1:H2386, H$1:H2386&lt;&gt;""""),COUNTA(FILTER(H$1:H2386, H$1:H2386&lt;&gt;""""))), LEN(INDEX(FILTER(H$1:H2386, H$1:H2386&lt;&gt;""""),COUNTA(FILTER(H$1:H2386, H$1:H2386&lt;&gt;""""))))-1), IF('To Order'!$A2387=COL"&amp;"UMNS($A2387:H2406), H2386&amp;RIGHT(INDIRECT(ADDRESS(ROW(H2387)-1, 'From Order'!$A2387)), 1), H2386))"),"")</f>
        <v/>
      </c>
      <c r="I2387" s="2" t="str">
        <f>IFERROR(__xludf.DUMMYFUNCTION("IF('From Order'!$A2387=COLUMNS($A2387:I2406), LEFT(INDEX(FILTER(I$1:I2386, I$1:I2386&lt;&gt;""""),COUNTA(FILTER(I$1:I2386, I$1:I2386&lt;&gt;""""))), LEN(INDEX(FILTER(I$1:I2386, I$1:I2386&lt;&gt;""""),COUNTA(FILTER(I$1:I2386, I$1:I2386&lt;&gt;""""))))-1), IF('To Order'!$A2387=COL"&amp;"UMNS($A2387:I2406), I2386&amp;RIGHT(INDIRECT(ADDRESS(ROW(I2387)-1, 'From Order'!$A2387)), 1), I2386))"),"DDDVQZDMTTG")</f>
        <v>DDDVQZDMTTG</v>
      </c>
    </row>
    <row r="2388">
      <c r="A2388" s="2" t="str">
        <f>IFERROR(__xludf.DUMMYFUNCTION("IF('From Order'!$A2388=COLUMNS($A2388:A2407), LEFT(INDEX(FILTER(A$1:A2387, A$1:A2387&lt;&gt;""""),COUNTA(FILTER(A$1:A2387, A$1:A2387&lt;&gt;""""))), LEN(INDEX(FILTER(A$1:A2387, A$1:A2387&lt;&gt;""""),COUNTA(FILTER(A$1:A2387, A$1:A2387&lt;&gt;""""))))-1), IF('To Order'!$A2388=COL"&amp;"UMNS($A2388:A2407), A2387&amp;RIGHT(INDIRECT(ADDRESS(ROW(A2388)-1, 'From Order'!$A2388)), 1), A2387))"),"DRSZHTWLLFBDCCVQRSPMG")</f>
        <v>DRSZHTWLLFBDCCVQRSPMG</v>
      </c>
      <c r="B2388" s="2" t="str">
        <f>IFERROR(__xludf.DUMMYFUNCTION("IF('From Order'!$A2388=COLUMNS($A2388:B2407), LEFT(INDEX(FILTER(B$1:B2387, B$1:B2387&lt;&gt;""""),COUNTA(FILTER(B$1:B2387, B$1:B2387&lt;&gt;""""))), LEN(INDEX(FILTER(B$1:B2387, B$1:B2387&lt;&gt;""""),COUNTA(FILTER(B$1:B2387, B$1:B2387&lt;&gt;""""))))-1), IF('To Order'!$A2388=COL"&amp;"UMNS($A2388:B2407), B2387&amp;RIGHT(INDIRECT(ADDRESS(ROW(B2388)-1, 'From Order'!$A2388)), 1), B2387))"),"")</f>
        <v/>
      </c>
      <c r="C2388" s="2" t="str">
        <f>IFERROR(__xludf.DUMMYFUNCTION("IF('From Order'!$A2388=COLUMNS($A2388:C2407), LEFT(INDEX(FILTER(C$1:C2387, C$1:C2387&lt;&gt;""""),COUNTA(FILTER(C$1:C2387, C$1:C2387&lt;&gt;""""))), LEN(INDEX(FILTER(C$1:C2387, C$1:C2387&lt;&gt;""""),COUNTA(FILTER(C$1:C2387, C$1:C2387&lt;&gt;""""))))-1), IF('To Order'!$A2388=COL"&amp;"UMNS($A2388:C2407), C2387&amp;RIGHT(INDIRECT(ADDRESS(ROW(C2388)-1, 'From Order'!$A2388)), 1), C2387))"),"VBJ")</f>
        <v>VBJ</v>
      </c>
      <c r="D2388" s="2" t="str">
        <f>IFERROR(__xludf.DUMMYFUNCTION("IF('From Order'!$A2388=COLUMNS($A2388:D2407), LEFT(INDEX(FILTER(D$1:D2387, D$1:D2387&lt;&gt;""""),COUNTA(FILTER(D$1:D2387, D$1:D2387&lt;&gt;""""))), LEN(INDEX(FILTER(D$1:D2387, D$1:D2387&lt;&gt;""""),COUNTA(FILTER(D$1:D2387, D$1:D2387&lt;&gt;""""))))-1), IF('To Order'!$A2388=COL"&amp;"UMNS($A2388:D2407), D2387&amp;RIGHT(INDIRECT(ADDRESS(ROW(D2388)-1, 'From Order'!$A2388)), 1), D2387))"),"G")</f>
        <v>G</v>
      </c>
      <c r="E2388" s="2" t="str">
        <f>IFERROR(__xludf.DUMMYFUNCTION("IF('From Order'!$A2388=COLUMNS($A2388:E2407), LEFT(INDEX(FILTER(E$1:E2387, E$1:E2387&lt;&gt;""""),COUNTA(FILTER(E$1:E2387, E$1:E2387&lt;&gt;""""))), LEN(INDEX(FILTER(E$1:E2387, E$1:E2387&lt;&gt;""""),COUNTA(FILTER(E$1:E2387, E$1:E2387&lt;&gt;""""))))-1), IF('To Order'!$A2388=COL"&amp;"UMNS($A2388:E2407), E2387&amp;RIGHT(INDIRECT(ADDRESS(ROW(E2388)-1, 'From Order'!$A2388)), 1), E2387))"),"BRPHZMTSSPLRRJTTCJF")</f>
        <v>BRPHZMTSSPLRRJTTCJF</v>
      </c>
      <c r="F2388" s="2" t="str">
        <f>IFERROR(__xludf.DUMMYFUNCTION("IF('From Order'!$A2388=COLUMNS($A2388:F2407), LEFT(INDEX(FILTER(F$1:F2387, F$1:F2387&lt;&gt;""""),COUNTA(FILTER(F$1:F2387, F$1:F2387&lt;&gt;""""))), LEN(INDEX(FILTER(F$1:F2387, F$1:F2387&lt;&gt;""""),COUNTA(FILTER(F$1:F2387, F$1:F2387&lt;&gt;""""))))-1), IF('To Order'!$A2388=COL"&amp;"UMNS($A2388:F2407), F2387&amp;RIGHT(INDIRECT(ADDRESS(ROW(F2388)-1, 'From Order'!$A2388)), 1), F2387))"),"")</f>
        <v/>
      </c>
      <c r="G2388" s="2" t="str">
        <f>IFERROR(__xludf.DUMMYFUNCTION("IF('From Order'!$A2388=COLUMNS($A2388:G2407), LEFT(INDEX(FILTER(G$1:G2387, G$1:G2387&lt;&gt;""""),COUNTA(FILTER(G$1:G2387, G$1:G2387&lt;&gt;""""))), LEN(INDEX(FILTER(G$1:G2387, G$1:G2387&lt;&gt;""""),COUNTA(FILTER(G$1:G2387, G$1:G2387&lt;&gt;""""))))-1), IF('To Order'!$A2388=COL"&amp;"UMNS($A2388:G2407), G2387&amp;RIGHT(INDIRECT(ADDRESS(ROW(G2388)-1, 'From Order'!$A2388)), 1), G2387))"),"BW")</f>
        <v>BW</v>
      </c>
      <c r="H2388" s="2" t="str">
        <f>IFERROR(__xludf.DUMMYFUNCTION("IF('From Order'!$A2388=COLUMNS($A2388:H2407), LEFT(INDEX(FILTER(H$1:H2387, H$1:H2387&lt;&gt;""""),COUNTA(FILTER(H$1:H2387, H$1:H2387&lt;&gt;""""))), LEN(INDEX(FILTER(H$1:H2387, H$1:H2387&lt;&gt;""""),COUNTA(FILTER(H$1:H2387, H$1:H2387&lt;&gt;""""))))-1), IF('To Order'!$A2388=COL"&amp;"UMNS($A2388:H2407), H2387&amp;RIGHT(INDIRECT(ADDRESS(ROW(H2388)-1, 'From Order'!$A2388)), 1), H2387))"),"")</f>
        <v/>
      </c>
      <c r="I2388" s="2" t="str">
        <f>IFERROR(__xludf.DUMMYFUNCTION("IF('From Order'!$A2388=COLUMNS($A2388:I2407), LEFT(INDEX(FILTER(I$1:I2387, I$1:I2387&lt;&gt;""""),COUNTA(FILTER(I$1:I2387, I$1:I2387&lt;&gt;""""))), LEN(INDEX(FILTER(I$1:I2387, I$1:I2387&lt;&gt;""""),COUNTA(FILTER(I$1:I2387, I$1:I2387&lt;&gt;""""))))-1), IF('To Order'!$A2388=COL"&amp;"UMNS($A2388:I2407), I2387&amp;RIGHT(INDIRECT(ADDRESS(ROW(I2388)-1, 'From Order'!$A2388)), 1), I2387))"),"DDDVQZDMTT")</f>
        <v>DDDVQZDMTT</v>
      </c>
    </row>
    <row r="2389">
      <c r="A2389" s="2" t="str">
        <f>IFERROR(__xludf.DUMMYFUNCTION("IF('From Order'!$A2389=COLUMNS($A2389:A2408), LEFT(INDEX(FILTER(A$1:A2388, A$1:A2388&lt;&gt;""""),COUNTA(FILTER(A$1:A2388, A$1:A2388&lt;&gt;""""))), LEN(INDEX(FILTER(A$1:A2388, A$1:A2388&lt;&gt;""""),COUNTA(FILTER(A$1:A2388, A$1:A2388&lt;&gt;""""))))-1), IF('To Order'!$A2389=COL"&amp;"UMNS($A2389:A2408), A2388&amp;RIGHT(INDIRECT(ADDRESS(ROW(A2389)-1, 'From Order'!$A2389)), 1), A2388))"),"DRSZHTWLLFBDCCVQRSPMGT")</f>
        <v>DRSZHTWLLFBDCCVQRSPMGT</v>
      </c>
      <c r="B2389" s="2" t="str">
        <f>IFERROR(__xludf.DUMMYFUNCTION("IF('From Order'!$A2389=COLUMNS($A2389:B2408), LEFT(INDEX(FILTER(B$1:B2388, B$1:B2388&lt;&gt;""""),COUNTA(FILTER(B$1:B2388, B$1:B2388&lt;&gt;""""))), LEN(INDEX(FILTER(B$1:B2388, B$1:B2388&lt;&gt;""""),COUNTA(FILTER(B$1:B2388, B$1:B2388&lt;&gt;""""))))-1), IF('To Order'!$A2389=COL"&amp;"UMNS($A2389:B2408), B2388&amp;RIGHT(INDIRECT(ADDRESS(ROW(B2389)-1, 'From Order'!$A2389)), 1), B2388))"),"")</f>
        <v/>
      </c>
      <c r="C2389" s="2" t="str">
        <f>IFERROR(__xludf.DUMMYFUNCTION("IF('From Order'!$A2389=COLUMNS($A2389:C2408), LEFT(INDEX(FILTER(C$1:C2388, C$1:C2388&lt;&gt;""""),COUNTA(FILTER(C$1:C2388, C$1:C2388&lt;&gt;""""))), LEN(INDEX(FILTER(C$1:C2388, C$1:C2388&lt;&gt;""""),COUNTA(FILTER(C$1:C2388, C$1:C2388&lt;&gt;""""))))-1), IF('To Order'!$A2389=COL"&amp;"UMNS($A2389:C2408), C2388&amp;RIGHT(INDIRECT(ADDRESS(ROW(C2389)-1, 'From Order'!$A2389)), 1), C2388))"),"VBJ")</f>
        <v>VBJ</v>
      </c>
      <c r="D2389" s="2" t="str">
        <f>IFERROR(__xludf.DUMMYFUNCTION("IF('From Order'!$A2389=COLUMNS($A2389:D2408), LEFT(INDEX(FILTER(D$1:D2388, D$1:D2388&lt;&gt;""""),COUNTA(FILTER(D$1:D2388, D$1:D2388&lt;&gt;""""))), LEN(INDEX(FILTER(D$1:D2388, D$1:D2388&lt;&gt;""""),COUNTA(FILTER(D$1:D2388, D$1:D2388&lt;&gt;""""))))-1), IF('To Order'!$A2389=COL"&amp;"UMNS($A2389:D2408), D2388&amp;RIGHT(INDIRECT(ADDRESS(ROW(D2389)-1, 'From Order'!$A2389)), 1), D2388))"),"G")</f>
        <v>G</v>
      </c>
      <c r="E2389" s="2" t="str">
        <f>IFERROR(__xludf.DUMMYFUNCTION("IF('From Order'!$A2389=COLUMNS($A2389:E2408), LEFT(INDEX(FILTER(E$1:E2388, E$1:E2388&lt;&gt;""""),COUNTA(FILTER(E$1:E2388, E$1:E2388&lt;&gt;""""))), LEN(INDEX(FILTER(E$1:E2388, E$1:E2388&lt;&gt;""""),COUNTA(FILTER(E$1:E2388, E$1:E2388&lt;&gt;""""))))-1), IF('To Order'!$A2389=COL"&amp;"UMNS($A2389:E2408), E2388&amp;RIGHT(INDIRECT(ADDRESS(ROW(E2389)-1, 'From Order'!$A2389)), 1), E2388))"),"BRPHZMTSSPLRRJTTCJF")</f>
        <v>BRPHZMTSSPLRRJTTCJF</v>
      </c>
      <c r="F2389" s="2" t="str">
        <f>IFERROR(__xludf.DUMMYFUNCTION("IF('From Order'!$A2389=COLUMNS($A2389:F2408), LEFT(INDEX(FILTER(F$1:F2388, F$1:F2388&lt;&gt;""""),COUNTA(FILTER(F$1:F2388, F$1:F2388&lt;&gt;""""))), LEN(INDEX(FILTER(F$1:F2388, F$1:F2388&lt;&gt;""""),COUNTA(FILTER(F$1:F2388, F$1:F2388&lt;&gt;""""))))-1), IF('To Order'!$A2389=COL"&amp;"UMNS($A2389:F2408), F2388&amp;RIGHT(INDIRECT(ADDRESS(ROW(F2389)-1, 'From Order'!$A2389)), 1), F2388))"),"")</f>
        <v/>
      </c>
      <c r="G2389" s="2" t="str">
        <f>IFERROR(__xludf.DUMMYFUNCTION("IF('From Order'!$A2389=COLUMNS($A2389:G2408), LEFT(INDEX(FILTER(G$1:G2388, G$1:G2388&lt;&gt;""""),COUNTA(FILTER(G$1:G2388, G$1:G2388&lt;&gt;""""))), LEN(INDEX(FILTER(G$1:G2388, G$1:G2388&lt;&gt;""""),COUNTA(FILTER(G$1:G2388, G$1:G2388&lt;&gt;""""))))-1), IF('To Order'!$A2389=COL"&amp;"UMNS($A2389:G2408), G2388&amp;RIGHT(INDIRECT(ADDRESS(ROW(G2389)-1, 'From Order'!$A2389)), 1), G2388))"),"BW")</f>
        <v>BW</v>
      </c>
      <c r="H2389" s="2" t="str">
        <f>IFERROR(__xludf.DUMMYFUNCTION("IF('From Order'!$A2389=COLUMNS($A2389:H2408), LEFT(INDEX(FILTER(H$1:H2388, H$1:H2388&lt;&gt;""""),COUNTA(FILTER(H$1:H2388, H$1:H2388&lt;&gt;""""))), LEN(INDEX(FILTER(H$1:H2388, H$1:H2388&lt;&gt;""""),COUNTA(FILTER(H$1:H2388, H$1:H2388&lt;&gt;""""))))-1), IF('To Order'!$A2389=COL"&amp;"UMNS($A2389:H2408), H2388&amp;RIGHT(INDIRECT(ADDRESS(ROW(H2389)-1, 'From Order'!$A2389)), 1), H2388))"),"")</f>
        <v/>
      </c>
      <c r="I2389" s="2" t="str">
        <f>IFERROR(__xludf.DUMMYFUNCTION("IF('From Order'!$A2389=COLUMNS($A2389:I2408), LEFT(INDEX(FILTER(I$1:I2388, I$1:I2388&lt;&gt;""""),COUNTA(FILTER(I$1:I2388, I$1:I2388&lt;&gt;""""))), LEN(INDEX(FILTER(I$1:I2388, I$1:I2388&lt;&gt;""""),COUNTA(FILTER(I$1:I2388, I$1:I2388&lt;&gt;""""))))-1), IF('To Order'!$A2389=COL"&amp;"UMNS($A2389:I2408), I2388&amp;RIGHT(INDIRECT(ADDRESS(ROW(I2389)-1, 'From Order'!$A2389)), 1), I2388))"),"DDDVQZDMT")</f>
        <v>DDDVQZDMT</v>
      </c>
    </row>
    <row r="2390">
      <c r="A2390" s="2" t="str">
        <f>IFERROR(__xludf.DUMMYFUNCTION("IF('From Order'!$A2390=COLUMNS($A2390:A2409), LEFT(INDEX(FILTER(A$1:A2389, A$1:A2389&lt;&gt;""""),COUNTA(FILTER(A$1:A2389, A$1:A2389&lt;&gt;""""))), LEN(INDEX(FILTER(A$1:A2389, A$1:A2389&lt;&gt;""""),COUNTA(FILTER(A$1:A2389, A$1:A2389&lt;&gt;""""))))-1), IF('To Order'!$A2390=COL"&amp;"UMNS($A2390:A2409), A2389&amp;RIGHT(INDIRECT(ADDRESS(ROW(A2390)-1, 'From Order'!$A2390)), 1), A2389))"),"DRSZHTWLLFBDCCVQRSPMGTT")</f>
        <v>DRSZHTWLLFBDCCVQRSPMGTT</v>
      </c>
      <c r="B2390" s="2" t="str">
        <f>IFERROR(__xludf.DUMMYFUNCTION("IF('From Order'!$A2390=COLUMNS($A2390:B2409), LEFT(INDEX(FILTER(B$1:B2389, B$1:B2389&lt;&gt;""""),COUNTA(FILTER(B$1:B2389, B$1:B2389&lt;&gt;""""))), LEN(INDEX(FILTER(B$1:B2389, B$1:B2389&lt;&gt;""""),COUNTA(FILTER(B$1:B2389, B$1:B2389&lt;&gt;""""))))-1), IF('To Order'!$A2390=COL"&amp;"UMNS($A2390:B2409), B2389&amp;RIGHT(INDIRECT(ADDRESS(ROW(B2390)-1, 'From Order'!$A2390)), 1), B2389))"),"")</f>
        <v/>
      </c>
      <c r="C2390" s="2" t="str">
        <f>IFERROR(__xludf.DUMMYFUNCTION("IF('From Order'!$A2390=COLUMNS($A2390:C2409), LEFT(INDEX(FILTER(C$1:C2389, C$1:C2389&lt;&gt;""""),COUNTA(FILTER(C$1:C2389, C$1:C2389&lt;&gt;""""))), LEN(INDEX(FILTER(C$1:C2389, C$1:C2389&lt;&gt;""""),COUNTA(FILTER(C$1:C2389, C$1:C2389&lt;&gt;""""))))-1), IF('To Order'!$A2390=COL"&amp;"UMNS($A2390:C2409), C2389&amp;RIGHT(INDIRECT(ADDRESS(ROW(C2390)-1, 'From Order'!$A2390)), 1), C2389))"),"VBJ")</f>
        <v>VBJ</v>
      </c>
      <c r="D2390" s="2" t="str">
        <f>IFERROR(__xludf.DUMMYFUNCTION("IF('From Order'!$A2390=COLUMNS($A2390:D2409), LEFT(INDEX(FILTER(D$1:D2389, D$1:D2389&lt;&gt;""""),COUNTA(FILTER(D$1:D2389, D$1:D2389&lt;&gt;""""))), LEN(INDEX(FILTER(D$1:D2389, D$1:D2389&lt;&gt;""""),COUNTA(FILTER(D$1:D2389, D$1:D2389&lt;&gt;""""))))-1), IF('To Order'!$A2390=COL"&amp;"UMNS($A2390:D2409), D2389&amp;RIGHT(INDIRECT(ADDRESS(ROW(D2390)-1, 'From Order'!$A2390)), 1), D2389))"),"G")</f>
        <v>G</v>
      </c>
      <c r="E2390" s="2" t="str">
        <f>IFERROR(__xludf.DUMMYFUNCTION("IF('From Order'!$A2390=COLUMNS($A2390:E2409), LEFT(INDEX(FILTER(E$1:E2389, E$1:E2389&lt;&gt;""""),COUNTA(FILTER(E$1:E2389, E$1:E2389&lt;&gt;""""))), LEN(INDEX(FILTER(E$1:E2389, E$1:E2389&lt;&gt;""""),COUNTA(FILTER(E$1:E2389, E$1:E2389&lt;&gt;""""))))-1), IF('To Order'!$A2390=COL"&amp;"UMNS($A2390:E2409), E2389&amp;RIGHT(INDIRECT(ADDRESS(ROW(E2390)-1, 'From Order'!$A2390)), 1), E2389))"),"BRPHZMTSSPLRRJTTCJF")</f>
        <v>BRPHZMTSSPLRRJTTCJF</v>
      </c>
      <c r="F2390" s="2" t="str">
        <f>IFERROR(__xludf.DUMMYFUNCTION("IF('From Order'!$A2390=COLUMNS($A2390:F2409), LEFT(INDEX(FILTER(F$1:F2389, F$1:F2389&lt;&gt;""""),COUNTA(FILTER(F$1:F2389, F$1:F2389&lt;&gt;""""))), LEN(INDEX(FILTER(F$1:F2389, F$1:F2389&lt;&gt;""""),COUNTA(FILTER(F$1:F2389, F$1:F2389&lt;&gt;""""))))-1), IF('To Order'!$A2390=COL"&amp;"UMNS($A2390:F2409), F2389&amp;RIGHT(INDIRECT(ADDRESS(ROW(F2390)-1, 'From Order'!$A2390)), 1), F2389))"),"")</f>
        <v/>
      </c>
      <c r="G2390" s="2" t="str">
        <f>IFERROR(__xludf.DUMMYFUNCTION("IF('From Order'!$A2390=COLUMNS($A2390:G2409), LEFT(INDEX(FILTER(G$1:G2389, G$1:G2389&lt;&gt;""""),COUNTA(FILTER(G$1:G2389, G$1:G2389&lt;&gt;""""))), LEN(INDEX(FILTER(G$1:G2389, G$1:G2389&lt;&gt;""""),COUNTA(FILTER(G$1:G2389, G$1:G2389&lt;&gt;""""))))-1), IF('To Order'!$A2390=COL"&amp;"UMNS($A2390:G2409), G2389&amp;RIGHT(INDIRECT(ADDRESS(ROW(G2390)-1, 'From Order'!$A2390)), 1), G2389))"),"BW")</f>
        <v>BW</v>
      </c>
      <c r="H2390" s="2" t="str">
        <f>IFERROR(__xludf.DUMMYFUNCTION("IF('From Order'!$A2390=COLUMNS($A2390:H2409), LEFT(INDEX(FILTER(H$1:H2389, H$1:H2389&lt;&gt;""""),COUNTA(FILTER(H$1:H2389, H$1:H2389&lt;&gt;""""))), LEN(INDEX(FILTER(H$1:H2389, H$1:H2389&lt;&gt;""""),COUNTA(FILTER(H$1:H2389, H$1:H2389&lt;&gt;""""))))-1), IF('To Order'!$A2390=COL"&amp;"UMNS($A2390:H2409), H2389&amp;RIGHT(INDIRECT(ADDRESS(ROW(H2390)-1, 'From Order'!$A2390)), 1), H2389))"),"")</f>
        <v/>
      </c>
      <c r="I2390" s="2" t="str">
        <f>IFERROR(__xludf.DUMMYFUNCTION("IF('From Order'!$A2390=COLUMNS($A2390:I2409), LEFT(INDEX(FILTER(I$1:I2389, I$1:I2389&lt;&gt;""""),COUNTA(FILTER(I$1:I2389, I$1:I2389&lt;&gt;""""))), LEN(INDEX(FILTER(I$1:I2389, I$1:I2389&lt;&gt;""""),COUNTA(FILTER(I$1:I2389, I$1:I2389&lt;&gt;""""))))-1), IF('To Order'!$A2390=COL"&amp;"UMNS($A2390:I2409), I2389&amp;RIGHT(INDIRECT(ADDRESS(ROW(I2390)-1, 'From Order'!$A2390)), 1), I2389))"),"DDDVQZDM")</f>
        <v>DDDVQZDM</v>
      </c>
    </row>
    <row r="2391">
      <c r="A2391" s="2" t="str">
        <f>IFERROR(__xludf.DUMMYFUNCTION("IF('From Order'!$A2391=COLUMNS($A2391:A2410), LEFT(INDEX(FILTER(A$1:A2390, A$1:A2390&lt;&gt;""""),COUNTA(FILTER(A$1:A2390, A$1:A2390&lt;&gt;""""))), LEN(INDEX(FILTER(A$1:A2390, A$1:A2390&lt;&gt;""""),COUNTA(FILTER(A$1:A2390, A$1:A2390&lt;&gt;""""))))-1), IF('To Order'!$A2391=COL"&amp;"UMNS($A2391:A2410), A2390&amp;RIGHT(INDIRECT(ADDRESS(ROW(A2391)-1, 'From Order'!$A2391)), 1), A2390))"),"DRSZHTWLLFBDCCVQRSPMGTTM")</f>
        <v>DRSZHTWLLFBDCCVQRSPMGTTM</v>
      </c>
      <c r="B2391" s="2" t="str">
        <f>IFERROR(__xludf.DUMMYFUNCTION("IF('From Order'!$A2391=COLUMNS($A2391:B2410), LEFT(INDEX(FILTER(B$1:B2390, B$1:B2390&lt;&gt;""""),COUNTA(FILTER(B$1:B2390, B$1:B2390&lt;&gt;""""))), LEN(INDEX(FILTER(B$1:B2390, B$1:B2390&lt;&gt;""""),COUNTA(FILTER(B$1:B2390, B$1:B2390&lt;&gt;""""))))-1), IF('To Order'!$A2391=COL"&amp;"UMNS($A2391:B2410), B2390&amp;RIGHT(INDIRECT(ADDRESS(ROW(B2391)-1, 'From Order'!$A2391)), 1), B2390))"),"")</f>
        <v/>
      </c>
      <c r="C2391" s="2" t="str">
        <f>IFERROR(__xludf.DUMMYFUNCTION("IF('From Order'!$A2391=COLUMNS($A2391:C2410), LEFT(INDEX(FILTER(C$1:C2390, C$1:C2390&lt;&gt;""""),COUNTA(FILTER(C$1:C2390, C$1:C2390&lt;&gt;""""))), LEN(INDEX(FILTER(C$1:C2390, C$1:C2390&lt;&gt;""""),COUNTA(FILTER(C$1:C2390, C$1:C2390&lt;&gt;""""))))-1), IF('To Order'!$A2391=COL"&amp;"UMNS($A2391:C2410), C2390&amp;RIGHT(INDIRECT(ADDRESS(ROW(C2391)-1, 'From Order'!$A2391)), 1), C2390))"),"VBJ")</f>
        <v>VBJ</v>
      </c>
      <c r="D2391" s="2" t="str">
        <f>IFERROR(__xludf.DUMMYFUNCTION("IF('From Order'!$A2391=COLUMNS($A2391:D2410), LEFT(INDEX(FILTER(D$1:D2390, D$1:D2390&lt;&gt;""""),COUNTA(FILTER(D$1:D2390, D$1:D2390&lt;&gt;""""))), LEN(INDEX(FILTER(D$1:D2390, D$1:D2390&lt;&gt;""""),COUNTA(FILTER(D$1:D2390, D$1:D2390&lt;&gt;""""))))-1), IF('To Order'!$A2391=COL"&amp;"UMNS($A2391:D2410), D2390&amp;RIGHT(INDIRECT(ADDRESS(ROW(D2391)-1, 'From Order'!$A2391)), 1), D2390))"),"G")</f>
        <v>G</v>
      </c>
      <c r="E2391" s="2" t="str">
        <f>IFERROR(__xludf.DUMMYFUNCTION("IF('From Order'!$A2391=COLUMNS($A2391:E2410), LEFT(INDEX(FILTER(E$1:E2390, E$1:E2390&lt;&gt;""""),COUNTA(FILTER(E$1:E2390, E$1:E2390&lt;&gt;""""))), LEN(INDEX(FILTER(E$1:E2390, E$1:E2390&lt;&gt;""""),COUNTA(FILTER(E$1:E2390, E$1:E2390&lt;&gt;""""))))-1), IF('To Order'!$A2391=COL"&amp;"UMNS($A2391:E2410), E2390&amp;RIGHT(INDIRECT(ADDRESS(ROW(E2391)-1, 'From Order'!$A2391)), 1), E2390))"),"BRPHZMTSSPLRRJTTCJF")</f>
        <v>BRPHZMTSSPLRRJTTCJF</v>
      </c>
      <c r="F2391" s="2" t="str">
        <f>IFERROR(__xludf.DUMMYFUNCTION("IF('From Order'!$A2391=COLUMNS($A2391:F2410), LEFT(INDEX(FILTER(F$1:F2390, F$1:F2390&lt;&gt;""""),COUNTA(FILTER(F$1:F2390, F$1:F2390&lt;&gt;""""))), LEN(INDEX(FILTER(F$1:F2390, F$1:F2390&lt;&gt;""""),COUNTA(FILTER(F$1:F2390, F$1:F2390&lt;&gt;""""))))-1), IF('To Order'!$A2391=COL"&amp;"UMNS($A2391:F2410), F2390&amp;RIGHT(INDIRECT(ADDRESS(ROW(F2391)-1, 'From Order'!$A2391)), 1), F2390))"),"")</f>
        <v/>
      </c>
      <c r="G2391" s="2" t="str">
        <f>IFERROR(__xludf.DUMMYFUNCTION("IF('From Order'!$A2391=COLUMNS($A2391:G2410), LEFT(INDEX(FILTER(G$1:G2390, G$1:G2390&lt;&gt;""""),COUNTA(FILTER(G$1:G2390, G$1:G2390&lt;&gt;""""))), LEN(INDEX(FILTER(G$1:G2390, G$1:G2390&lt;&gt;""""),COUNTA(FILTER(G$1:G2390, G$1:G2390&lt;&gt;""""))))-1), IF('To Order'!$A2391=COL"&amp;"UMNS($A2391:G2410), G2390&amp;RIGHT(INDIRECT(ADDRESS(ROW(G2391)-1, 'From Order'!$A2391)), 1), G2390))"),"BW")</f>
        <v>BW</v>
      </c>
      <c r="H2391" s="2" t="str">
        <f>IFERROR(__xludf.DUMMYFUNCTION("IF('From Order'!$A2391=COLUMNS($A2391:H2410), LEFT(INDEX(FILTER(H$1:H2390, H$1:H2390&lt;&gt;""""),COUNTA(FILTER(H$1:H2390, H$1:H2390&lt;&gt;""""))), LEN(INDEX(FILTER(H$1:H2390, H$1:H2390&lt;&gt;""""),COUNTA(FILTER(H$1:H2390, H$1:H2390&lt;&gt;""""))))-1), IF('To Order'!$A2391=COL"&amp;"UMNS($A2391:H2410), H2390&amp;RIGHT(INDIRECT(ADDRESS(ROW(H2391)-1, 'From Order'!$A2391)), 1), H2390))"),"")</f>
        <v/>
      </c>
      <c r="I2391" s="2" t="str">
        <f>IFERROR(__xludf.DUMMYFUNCTION("IF('From Order'!$A2391=COLUMNS($A2391:I2410), LEFT(INDEX(FILTER(I$1:I2390, I$1:I2390&lt;&gt;""""),COUNTA(FILTER(I$1:I2390, I$1:I2390&lt;&gt;""""))), LEN(INDEX(FILTER(I$1:I2390, I$1:I2390&lt;&gt;""""),COUNTA(FILTER(I$1:I2390, I$1:I2390&lt;&gt;""""))))-1), IF('To Order'!$A2391=COL"&amp;"UMNS($A2391:I2410), I2390&amp;RIGHT(INDIRECT(ADDRESS(ROW(I2391)-1, 'From Order'!$A2391)), 1), I2390))"),"DDDVQZD")</f>
        <v>DDDVQZD</v>
      </c>
    </row>
    <row r="2392">
      <c r="A2392" s="2" t="str">
        <f>IFERROR(__xludf.DUMMYFUNCTION("IF('From Order'!$A2392=COLUMNS($A2392:A2411), LEFT(INDEX(FILTER(A$1:A2391, A$1:A2391&lt;&gt;""""),COUNTA(FILTER(A$1:A2391, A$1:A2391&lt;&gt;""""))), LEN(INDEX(FILTER(A$1:A2391, A$1:A2391&lt;&gt;""""),COUNTA(FILTER(A$1:A2391, A$1:A2391&lt;&gt;""""))))-1), IF('To Order'!$A2392=COL"&amp;"UMNS($A2392:A2411), A2391&amp;RIGHT(INDIRECT(ADDRESS(ROW(A2392)-1, 'From Order'!$A2392)), 1), A2391))"),"DRSZHTWLLFBDCCVQRSPMGTTMD")</f>
        <v>DRSZHTWLLFBDCCVQRSPMGTTMD</v>
      </c>
      <c r="B2392" s="2" t="str">
        <f>IFERROR(__xludf.DUMMYFUNCTION("IF('From Order'!$A2392=COLUMNS($A2392:B2411), LEFT(INDEX(FILTER(B$1:B2391, B$1:B2391&lt;&gt;""""),COUNTA(FILTER(B$1:B2391, B$1:B2391&lt;&gt;""""))), LEN(INDEX(FILTER(B$1:B2391, B$1:B2391&lt;&gt;""""),COUNTA(FILTER(B$1:B2391, B$1:B2391&lt;&gt;""""))))-1), IF('To Order'!$A2392=COL"&amp;"UMNS($A2392:B2411), B2391&amp;RIGHT(INDIRECT(ADDRESS(ROW(B2392)-1, 'From Order'!$A2392)), 1), B2391))"),"")</f>
        <v/>
      </c>
      <c r="C2392" s="2" t="str">
        <f>IFERROR(__xludf.DUMMYFUNCTION("IF('From Order'!$A2392=COLUMNS($A2392:C2411), LEFT(INDEX(FILTER(C$1:C2391, C$1:C2391&lt;&gt;""""),COUNTA(FILTER(C$1:C2391, C$1:C2391&lt;&gt;""""))), LEN(INDEX(FILTER(C$1:C2391, C$1:C2391&lt;&gt;""""),COUNTA(FILTER(C$1:C2391, C$1:C2391&lt;&gt;""""))))-1), IF('To Order'!$A2392=COL"&amp;"UMNS($A2392:C2411), C2391&amp;RIGHT(INDIRECT(ADDRESS(ROW(C2392)-1, 'From Order'!$A2392)), 1), C2391))"),"VBJ")</f>
        <v>VBJ</v>
      </c>
      <c r="D2392" s="2" t="str">
        <f>IFERROR(__xludf.DUMMYFUNCTION("IF('From Order'!$A2392=COLUMNS($A2392:D2411), LEFT(INDEX(FILTER(D$1:D2391, D$1:D2391&lt;&gt;""""),COUNTA(FILTER(D$1:D2391, D$1:D2391&lt;&gt;""""))), LEN(INDEX(FILTER(D$1:D2391, D$1:D2391&lt;&gt;""""),COUNTA(FILTER(D$1:D2391, D$1:D2391&lt;&gt;""""))))-1), IF('To Order'!$A2392=COL"&amp;"UMNS($A2392:D2411), D2391&amp;RIGHT(INDIRECT(ADDRESS(ROW(D2392)-1, 'From Order'!$A2392)), 1), D2391))"),"G")</f>
        <v>G</v>
      </c>
      <c r="E2392" s="2" t="str">
        <f>IFERROR(__xludf.DUMMYFUNCTION("IF('From Order'!$A2392=COLUMNS($A2392:E2411), LEFT(INDEX(FILTER(E$1:E2391, E$1:E2391&lt;&gt;""""),COUNTA(FILTER(E$1:E2391, E$1:E2391&lt;&gt;""""))), LEN(INDEX(FILTER(E$1:E2391, E$1:E2391&lt;&gt;""""),COUNTA(FILTER(E$1:E2391, E$1:E2391&lt;&gt;""""))))-1), IF('To Order'!$A2392=COL"&amp;"UMNS($A2392:E2411), E2391&amp;RIGHT(INDIRECT(ADDRESS(ROW(E2392)-1, 'From Order'!$A2392)), 1), E2391))"),"BRPHZMTSSPLRRJTTCJF")</f>
        <v>BRPHZMTSSPLRRJTTCJF</v>
      </c>
      <c r="F2392" s="2" t="str">
        <f>IFERROR(__xludf.DUMMYFUNCTION("IF('From Order'!$A2392=COLUMNS($A2392:F2411), LEFT(INDEX(FILTER(F$1:F2391, F$1:F2391&lt;&gt;""""),COUNTA(FILTER(F$1:F2391, F$1:F2391&lt;&gt;""""))), LEN(INDEX(FILTER(F$1:F2391, F$1:F2391&lt;&gt;""""),COUNTA(FILTER(F$1:F2391, F$1:F2391&lt;&gt;""""))))-1), IF('To Order'!$A2392=COL"&amp;"UMNS($A2392:F2411), F2391&amp;RIGHT(INDIRECT(ADDRESS(ROW(F2392)-1, 'From Order'!$A2392)), 1), F2391))"),"")</f>
        <v/>
      </c>
      <c r="G2392" s="2" t="str">
        <f>IFERROR(__xludf.DUMMYFUNCTION("IF('From Order'!$A2392=COLUMNS($A2392:G2411), LEFT(INDEX(FILTER(G$1:G2391, G$1:G2391&lt;&gt;""""),COUNTA(FILTER(G$1:G2391, G$1:G2391&lt;&gt;""""))), LEN(INDEX(FILTER(G$1:G2391, G$1:G2391&lt;&gt;""""),COUNTA(FILTER(G$1:G2391, G$1:G2391&lt;&gt;""""))))-1), IF('To Order'!$A2392=COL"&amp;"UMNS($A2392:G2411), G2391&amp;RIGHT(INDIRECT(ADDRESS(ROW(G2392)-1, 'From Order'!$A2392)), 1), G2391))"),"BW")</f>
        <v>BW</v>
      </c>
      <c r="H2392" s="2" t="str">
        <f>IFERROR(__xludf.DUMMYFUNCTION("IF('From Order'!$A2392=COLUMNS($A2392:H2411), LEFT(INDEX(FILTER(H$1:H2391, H$1:H2391&lt;&gt;""""),COUNTA(FILTER(H$1:H2391, H$1:H2391&lt;&gt;""""))), LEN(INDEX(FILTER(H$1:H2391, H$1:H2391&lt;&gt;""""),COUNTA(FILTER(H$1:H2391, H$1:H2391&lt;&gt;""""))))-1), IF('To Order'!$A2392=COL"&amp;"UMNS($A2392:H2411), H2391&amp;RIGHT(INDIRECT(ADDRESS(ROW(H2392)-1, 'From Order'!$A2392)), 1), H2391))"),"")</f>
        <v/>
      </c>
      <c r="I2392" s="2" t="str">
        <f>IFERROR(__xludf.DUMMYFUNCTION("IF('From Order'!$A2392=COLUMNS($A2392:I2411), LEFT(INDEX(FILTER(I$1:I2391, I$1:I2391&lt;&gt;""""),COUNTA(FILTER(I$1:I2391, I$1:I2391&lt;&gt;""""))), LEN(INDEX(FILTER(I$1:I2391, I$1:I2391&lt;&gt;""""),COUNTA(FILTER(I$1:I2391, I$1:I2391&lt;&gt;""""))))-1), IF('To Order'!$A2392=COL"&amp;"UMNS($A2392:I2411), I2391&amp;RIGHT(INDIRECT(ADDRESS(ROW(I2392)-1, 'From Order'!$A2392)), 1), I2391))"),"DDDVQZ")</f>
        <v>DDDVQZ</v>
      </c>
    </row>
    <row r="2393">
      <c r="A2393" s="2" t="str">
        <f>IFERROR(__xludf.DUMMYFUNCTION("IF('From Order'!$A2393=COLUMNS($A2393:A2412), LEFT(INDEX(FILTER(A$1:A2392, A$1:A2392&lt;&gt;""""),COUNTA(FILTER(A$1:A2392, A$1:A2392&lt;&gt;""""))), LEN(INDEX(FILTER(A$1:A2392, A$1:A2392&lt;&gt;""""),COUNTA(FILTER(A$1:A2392, A$1:A2392&lt;&gt;""""))))-1), IF('To Order'!$A2393=COL"&amp;"UMNS($A2393:A2412), A2392&amp;RIGHT(INDIRECT(ADDRESS(ROW(A2393)-1, 'From Order'!$A2393)), 1), A2392))"),"DRSZHTWLLFBDCCVQRSPMGTTMDZ")</f>
        <v>DRSZHTWLLFBDCCVQRSPMGTTMDZ</v>
      </c>
      <c r="B2393" s="2" t="str">
        <f>IFERROR(__xludf.DUMMYFUNCTION("IF('From Order'!$A2393=COLUMNS($A2393:B2412), LEFT(INDEX(FILTER(B$1:B2392, B$1:B2392&lt;&gt;""""),COUNTA(FILTER(B$1:B2392, B$1:B2392&lt;&gt;""""))), LEN(INDEX(FILTER(B$1:B2392, B$1:B2392&lt;&gt;""""),COUNTA(FILTER(B$1:B2392, B$1:B2392&lt;&gt;""""))))-1), IF('To Order'!$A2393=COL"&amp;"UMNS($A2393:B2412), B2392&amp;RIGHT(INDIRECT(ADDRESS(ROW(B2393)-1, 'From Order'!$A2393)), 1), B2392))"),"")</f>
        <v/>
      </c>
      <c r="C2393" s="2" t="str">
        <f>IFERROR(__xludf.DUMMYFUNCTION("IF('From Order'!$A2393=COLUMNS($A2393:C2412), LEFT(INDEX(FILTER(C$1:C2392, C$1:C2392&lt;&gt;""""),COUNTA(FILTER(C$1:C2392, C$1:C2392&lt;&gt;""""))), LEN(INDEX(FILTER(C$1:C2392, C$1:C2392&lt;&gt;""""),COUNTA(FILTER(C$1:C2392, C$1:C2392&lt;&gt;""""))))-1), IF('To Order'!$A2393=COL"&amp;"UMNS($A2393:C2412), C2392&amp;RIGHT(INDIRECT(ADDRESS(ROW(C2393)-1, 'From Order'!$A2393)), 1), C2392))"),"VBJ")</f>
        <v>VBJ</v>
      </c>
      <c r="D2393" s="2" t="str">
        <f>IFERROR(__xludf.DUMMYFUNCTION("IF('From Order'!$A2393=COLUMNS($A2393:D2412), LEFT(INDEX(FILTER(D$1:D2392, D$1:D2392&lt;&gt;""""),COUNTA(FILTER(D$1:D2392, D$1:D2392&lt;&gt;""""))), LEN(INDEX(FILTER(D$1:D2392, D$1:D2392&lt;&gt;""""),COUNTA(FILTER(D$1:D2392, D$1:D2392&lt;&gt;""""))))-1), IF('To Order'!$A2393=COL"&amp;"UMNS($A2393:D2412), D2392&amp;RIGHT(INDIRECT(ADDRESS(ROW(D2393)-1, 'From Order'!$A2393)), 1), D2392))"),"G")</f>
        <v>G</v>
      </c>
      <c r="E2393" s="2" t="str">
        <f>IFERROR(__xludf.DUMMYFUNCTION("IF('From Order'!$A2393=COLUMNS($A2393:E2412), LEFT(INDEX(FILTER(E$1:E2392, E$1:E2392&lt;&gt;""""),COUNTA(FILTER(E$1:E2392, E$1:E2392&lt;&gt;""""))), LEN(INDEX(FILTER(E$1:E2392, E$1:E2392&lt;&gt;""""),COUNTA(FILTER(E$1:E2392, E$1:E2392&lt;&gt;""""))))-1), IF('To Order'!$A2393=COL"&amp;"UMNS($A2393:E2412), E2392&amp;RIGHT(INDIRECT(ADDRESS(ROW(E2393)-1, 'From Order'!$A2393)), 1), E2392))"),"BRPHZMTSSPLRRJTTCJF")</f>
        <v>BRPHZMTSSPLRRJTTCJF</v>
      </c>
      <c r="F2393" s="2" t="str">
        <f>IFERROR(__xludf.DUMMYFUNCTION("IF('From Order'!$A2393=COLUMNS($A2393:F2412), LEFT(INDEX(FILTER(F$1:F2392, F$1:F2392&lt;&gt;""""),COUNTA(FILTER(F$1:F2392, F$1:F2392&lt;&gt;""""))), LEN(INDEX(FILTER(F$1:F2392, F$1:F2392&lt;&gt;""""),COUNTA(FILTER(F$1:F2392, F$1:F2392&lt;&gt;""""))))-1), IF('To Order'!$A2393=COL"&amp;"UMNS($A2393:F2412), F2392&amp;RIGHT(INDIRECT(ADDRESS(ROW(F2393)-1, 'From Order'!$A2393)), 1), F2392))"),"")</f>
        <v/>
      </c>
      <c r="G2393" s="2" t="str">
        <f>IFERROR(__xludf.DUMMYFUNCTION("IF('From Order'!$A2393=COLUMNS($A2393:G2412), LEFT(INDEX(FILTER(G$1:G2392, G$1:G2392&lt;&gt;""""),COUNTA(FILTER(G$1:G2392, G$1:G2392&lt;&gt;""""))), LEN(INDEX(FILTER(G$1:G2392, G$1:G2392&lt;&gt;""""),COUNTA(FILTER(G$1:G2392, G$1:G2392&lt;&gt;""""))))-1), IF('To Order'!$A2393=COL"&amp;"UMNS($A2393:G2412), G2392&amp;RIGHT(INDIRECT(ADDRESS(ROW(G2393)-1, 'From Order'!$A2393)), 1), G2392))"),"BW")</f>
        <v>BW</v>
      </c>
      <c r="H2393" s="2" t="str">
        <f>IFERROR(__xludf.DUMMYFUNCTION("IF('From Order'!$A2393=COLUMNS($A2393:H2412), LEFT(INDEX(FILTER(H$1:H2392, H$1:H2392&lt;&gt;""""),COUNTA(FILTER(H$1:H2392, H$1:H2392&lt;&gt;""""))), LEN(INDEX(FILTER(H$1:H2392, H$1:H2392&lt;&gt;""""),COUNTA(FILTER(H$1:H2392, H$1:H2392&lt;&gt;""""))))-1), IF('To Order'!$A2393=COL"&amp;"UMNS($A2393:H2412), H2392&amp;RIGHT(INDIRECT(ADDRESS(ROW(H2393)-1, 'From Order'!$A2393)), 1), H2392))"),"")</f>
        <v/>
      </c>
      <c r="I2393" s="2" t="str">
        <f>IFERROR(__xludf.DUMMYFUNCTION("IF('From Order'!$A2393=COLUMNS($A2393:I2412), LEFT(INDEX(FILTER(I$1:I2392, I$1:I2392&lt;&gt;""""),COUNTA(FILTER(I$1:I2392, I$1:I2392&lt;&gt;""""))), LEN(INDEX(FILTER(I$1:I2392, I$1:I2392&lt;&gt;""""),COUNTA(FILTER(I$1:I2392, I$1:I2392&lt;&gt;""""))))-1), IF('To Order'!$A2393=COL"&amp;"UMNS($A2393:I2412), I2392&amp;RIGHT(INDIRECT(ADDRESS(ROW(I2393)-1, 'From Order'!$A2393)), 1), I2392))"),"DDDVQ")</f>
        <v>DDDVQ</v>
      </c>
    </row>
    <row r="2394">
      <c r="A2394" s="2" t="str">
        <f>IFERROR(__xludf.DUMMYFUNCTION("IF('From Order'!$A2394=COLUMNS($A2394:A2413), LEFT(INDEX(FILTER(A$1:A2393, A$1:A2393&lt;&gt;""""),COUNTA(FILTER(A$1:A2393, A$1:A2393&lt;&gt;""""))), LEN(INDEX(FILTER(A$1:A2393, A$1:A2393&lt;&gt;""""),COUNTA(FILTER(A$1:A2393, A$1:A2393&lt;&gt;""""))))-1), IF('To Order'!$A2394=COL"&amp;"UMNS($A2394:A2413), A2393&amp;RIGHT(INDIRECT(ADDRESS(ROW(A2394)-1, 'From Order'!$A2394)), 1), A2393))"),"DRSZHTWLLFBDCCVQRSPMGTTMDZ")</f>
        <v>DRSZHTWLLFBDCCVQRSPMGTTMDZ</v>
      </c>
      <c r="B2394" s="2" t="str">
        <f>IFERROR(__xludf.DUMMYFUNCTION("IF('From Order'!$A2394=COLUMNS($A2394:B2413), LEFT(INDEX(FILTER(B$1:B2393, B$1:B2393&lt;&gt;""""),COUNTA(FILTER(B$1:B2393, B$1:B2393&lt;&gt;""""))), LEN(INDEX(FILTER(B$1:B2393, B$1:B2393&lt;&gt;""""),COUNTA(FILTER(B$1:B2393, B$1:B2393&lt;&gt;""""))))-1), IF('To Order'!$A2394=COL"&amp;"UMNS($A2394:B2413), B2393&amp;RIGHT(INDIRECT(ADDRESS(ROW(B2394)-1, 'From Order'!$A2394)), 1), B2393))"),"")</f>
        <v/>
      </c>
      <c r="C2394" s="2" t="str">
        <f>IFERROR(__xludf.DUMMYFUNCTION("IF('From Order'!$A2394=COLUMNS($A2394:C2413), LEFT(INDEX(FILTER(C$1:C2393, C$1:C2393&lt;&gt;""""),COUNTA(FILTER(C$1:C2393, C$1:C2393&lt;&gt;""""))), LEN(INDEX(FILTER(C$1:C2393, C$1:C2393&lt;&gt;""""),COUNTA(FILTER(C$1:C2393, C$1:C2393&lt;&gt;""""))))-1), IF('To Order'!$A2394=COL"&amp;"UMNS($A2394:C2413), C2393&amp;RIGHT(INDIRECT(ADDRESS(ROW(C2394)-1, 'From Order'!$A2394)), 1), C2393))"),"VBJ")</f>
        <v>VBJ</v>
      </c>
      <c r="D2394" s="2" t="str">
        <f>IFERROR(__xludf.DUMMYFUNCTION("IF('From Order'!$A2394=COLUMNS($A2394:D2413), LEFT(INDEX(FILTER(D$1:D2393, D$1:D2393&lt;&gt;""""),COUNTA(FILTER(D$1:D2393, D$1:D2393&lt;&gt;""""))), LEN(INDEX(FILTER(D$1:D2393, D$1:D2393&lt;&gt;""""),COUNTA(FILTER(D$1:D2393, D$1:D2393&lt;&gt;""""))))-1), IF('To Order'!$A2394=COL"&amp;"UMNS($A2394:D2413), D2393&amp;RIGHT(INDIRECT(ADDRESS(ROW(D2394)-1, 'From Order'!$A2394)), 1), D2393))"),"")</f>
        <v/>
      </c>
      <c r="E2394" s="2" t="str">
        <f>IFERROR(__xludf.DUMMYFUNCTION("IF('From Order'!$A2394=COLUMNS($A2394:E2413), LEFT(INDEX(FILTER(E$1:E2393, E$1:E2393&lt;&gt;""""),COUNTA(FILTER(E$1:E2393, E$1:E2393&lt;&gt;""""))), LEN(INDEX(FILTER(E$1:E2393, E$1:E2393&lt;&gt;""""),COUNTA(FILTER(E$1:E2393, E$1:E2393&lt;&gt;""""))))-1), IF('To Order'!$A2394=COL"&amp;"UMNS($A2394:E2413), E2393&amp;RIGHT(INDIRECT(ADDRESS(ROW(E2394)-1, 'From Order'!$A2394)), 1), E2393))"),"BRPHZMTSSPLRRJTTCJF")</f>
        <v>BRPHZMTSSPLRRJTTCJF</v>
      </c>
      <c r="F2394" s="2" t="str">
        <f>IFERROR(__xludf.DUMMYFUNCTION("IF('From Order'!$A2394=COLUMNS($A2394:F2413), LEFT(INDEX(FILTER(F$1:F2393, F$1:F2393&lt;&gt;""""),COUNTA(FILTER(F$1:F2393, F$1:F2393&lt;&gt;""""))), LEN(INDEX(FILTER(F$1:F2393, F$1:F2393&lt;&gt;""""),COUNTA(FILTER(F$1:F2393, F$1:F2393&lt;&gt;""""))))-1), IF('To Order'!$A2394=COL"&amp;"UMNS($A2394:F2413), F2393&amp;RIGHT(INDIRECT(ADDRESS(ROW(F2394)-1, 'From Order'!$A2394)), 1), F2393))"),"")</f>
        <v/>
      </c>
      <c r="G2394" s="2" t="str">
        <f>IFERROR(__xludf.DUMMYFUNCTION("IF('From Order'!$A2394=COLUMNS($A2394:G2413), LEFT(INDEX(FILTER(G$1:G2393, G$1:G2393&lt;&gt;""""),COUNTA(FILTER(G$1:G2393, G$1:G2393&lt;&gt;""""))), LEN(INDEX(FILTER(G$1:G2393, G$1:G2393&lt;&gt;""""),COUNTA(FILTER(G$1:G2393, G$1:G2393&lt;&gt;""""))))-1), IF('To Order'!$A2394=COL"&amp;"UMNS($A2394:G2413), G2393&amp;RIGHT(INDIRECT(ADDRESS(ROW(G2394)-1, 'From Order'!$A2394)), 1), G2393))"),"BWG")</f>
        <v>BWG</v>
      </c>
      <c r="H2394" s="2" t="str">
        <f>IFERROR(__xludf.DUMMYFUNCTION("IF('From Order'!$A2394=COLUMNS($A2394:H2413), LEFT(INDEX(FILTER(H$1:H2393, H$1:H2393&lt;&gt;""""),COUNTA(FILTER(H$1:H2393, H$1:H2393&lt;&gt;""""))), LEN(INDEX(FILTER(H$1:H2393, H$1:H2393&lt;&gt;""""),COUNTA(FILTER(H$1:H2393, H$1:H2393&lt;&gt;""""))))-1), IF('To Order'!$A2394=COL"&amp;"UMNS($A2394:H2413), H2393&amp;RIGHT(INDIRECT(ADDRESS(ROW(H2394)-1, 'From Order'!$A2394)), 1), H2393))"),"")</f>
        <v/>
      </c>
      <c r="I2394" s="2" t="str">
        <f>IFERROR(__xludf.DUMMYFUNCTION("IF('From Order'!$A2394=COLUMNS($A2394:I2413), LEFT(INDEX(FILTER(I$1:I2393, I$1:I2393&lt;&gt;""""),COUNTA(FILTER(I$1:I2393, I$1:I2393&lt;&gt;""""))), LEN(INDEX(FILTER(I$1:I2393, I$1:I2393&lt;&gt;""""),COUNTA(FILTER(I$1:I2393, I$1:I2393&lt;&gt;""""))))-1), IF('To Order'!$A2394=COL"&amp;"UMNS($A2394:I2413), I2393&amp;RIGHT(INDIRECT(ADDRESS(ROW(I2394)-1, 'From Order'!$A2394)), 1), I2393))"),"DDDVQ")</f>
        <v>DDDVQ</v>
      </c>
    </row>
    <row r="2395">
      <c r="A2395" s="2" t="str">
        <f>IFERROR(__xludf.DUMMYFUNCTION("IF('From Order'!$A2395=COLUMNS($A2395:A2414), LEFT(INDEX(FILTER(A$1:A2394, A$1:A2394&lt;&gt;""""),COUNTA(FILTER(A$1:A2394, A$1:A2394&lt;&gt;""""))), LEN(INDEX(FILTER(A$1:A2394, A$1:A2394&lt;&gt;""""),COUNTA(FILTER(A$1:A2394, A$1:A2394&lt;&gt;""""))))-1), IF('To Order'!$A2395=COL"&amp;"UMNS($A2395:A2414), A2394&amp;RIGHT(INDIRECT(ADDRESS(ROW(A2395)-1, 'From Order'!$A2395)), 1), A2394))"),"DRSZHTWLLFBDCCVQRSPMGTTMDZ")</f>
        <v>DRSZHTWLLFBDCCVQRSPMGTTMDZ</v>
      </c>
      <c r="B2395" s="2" t="str">
        <f>IFERROR(__xludf.DUMMYFUNCTION("IF('From Order'!$A2395=COLUMNS($A2395:B2414), LEFT(INDEX(FILTER(B$1:B2394, B$1:B2394&lt;&gt;""""),COUNTA(FILTER(B$1:B2394, B$1:B2394&lt;&gt;""""))), LEN(INDEX(FILTER(B$1:B2394, B$1:B2394&lt;&gt;""""),COUNTA(FILTER(B$1:B2394, B$1:B2394&lt;&gt;""""))))-1), IF('To Order'!$A2395=COL"&amp;"UMNS($A2395:B2414), B2394&amp;RIGHT(INDIRECT(ADDRESS(ROW(B2395)-1, 'From Order'!$A2395)), 1), B2394))"),"")</f>
        <v/>
      </c>
      <c r="C2395" s="2" t="str">
        <f>IFERROR(__xludf.DUMMYFUNCTION("IF('From Order'!$A2395=COLUMNS($A2395:C2414), LEFT(INDEX(FILTER(C$1:C2394, C$1:C2394&lt;&gt;""""),COUNTA(FILTER(C$1:C2394, C$1:C2394&lt;&gt;""""))), LEN(INDEX(FILTER(C$1:C2394, C$1:C2394&lt;&gt;""""),COUNTA(FILTER(C$1:C2394, C$1:C2394&lt;&gt;""""))))-1), IF('To Order'!$A2395=COL"&amp;"UMNS($A2395:C2414), C2394&amp;RIGHT(INDIRECT(ADDRESS(ROW(C2395)-1, 'From Order'!$A2395)), 1), C2394))"),"VBJ")</f>
        <v>VBJ</v>
      </c>
      <c r="D2395" s="2" t="str">
        <f>IFERROR(__xludf.DUMMYFUNCTION("IF('From Order'!$A2395=COLUMNS($A2395:D2414), LEFT(INDEX(FILTER(D$1:D2394, D$1:D2394&lt;&gt;""""),COUNTA(FILTER(D$1:D2394, D$1:D2394&lt;&gt;""""))), LEN(INDEX(FILTER(D$1:D2394, D$1:D2394&lt;&gt;""""),COUNTA(FILTER(D$1:D2394, D$1:D2394&lt;&gt;""""))))-1), IF('To Order'!$A2395=COL"&amp;"UMNS($A2395:D2414), D2394&amp;RIGHT(INDIRECT(ADDRESS(ROW(D2395)-1, 'From Order'!$A2395)), 1), D2394))"),"")</f>
        <v/>
      </c>
      <c r="E2395" s="2" t="str">
        <f>IFERROR(__xludf.DUMMYFUNCTION("IF('From Order'!$A2395=COLUMNS($A2395:E2414), LEFT(INDEX(FILTER(E$1:E2394, E$1:E2394&lt;&gt;""""),COUNTA(FILTER(E$1:E2394, E$1:E2394&lt;&gt;""""))), LEN(INDEX(FILTER(E$1:E2394, E$1:E2394&lt;&gt;""""),COUNTA(FILTER(E$1:E2394, E$1:E2394&lt;&gt;""""))))-1), IF('To Order'!$A2395=COL"&amp;"UMNS($A2395:E2414), E2394&amp;RIGHT(INDIRECT(ADDRESS(ROW(E2395)-1, 'From Order'!$A2395)), 1), E2394))"),"BRPHZMTSSPLRRJTTCJF")</f>
        <v>BRPHZMTSSPLRRJTTCJF</v>
      </c>
      <c r="F2395" s="2" t="str">
        <f>IFERROR(__xludf.DUMMYFUNCTION("IF('From Order'!$A2395=COLUMNS($A2395:F2414), LEFT(INDEX(FILTER(F$1:F2394, F$1:F2394&lt;&gt;""""),COUNTA(FILTER(F$1:F2394, F$1:F2394&lt;&gt;""""))), LEN(INDEX(FILTER(F$1:F2394, F$1:F2394&lt;&gt;""""),COUNTA(FILTER(F$1:F2394, F$1:F2394&lt;&gt;""""))))-1), IF('To Order'!$A2395=COL"&amp;"UMNS($A2395:F2414), F2394&amp;RIGHT(INDIRECT(ADDRESS(ROW(F2395)-1, 'From Order'!$A2395)), 1), F2394))"),"")</f>
        <v/>
      </c>
      <c r="G2395" s="2" t="str">
        <f>IFERROR(__xludf.DUMMYFUNCTION("IF('From Order'!$A2395=COLUMNS($A2395:G2414), LEFT(INDEX(FILTER(G$1:G2394, G$1:G2394&lt;&gt;""""),COUNTA(FILTER(G$1:G2394, G$1:G2394&lt;&gt;""""))), LEN(INDEX(FILTER(G$1:G2394, G$1:G2394&lt;&gt;""""),COUNTA(FILTER(G$1:G2394, G$1:G2394&lt;&gt;""""))))-1), IF('To Order'!$A2395=COL"&amp;"UMNS($A2395:G2414), G2394&amp;RIGHT(INDIRECT(ADDRESS(ROW(G2395)-1, 'From Order'!$A2395)), 1), G2394))"),"BWGQ")</f>
        <v>BWGQ</v>
      </c>
      <c r="H2395" s="2" t="str">
        <f>IFERROR(__xludf.DUMMYFUNCTION("IF('From Order'!$A2395=COLUMNS($A2395:H2414), LEFT(INDEX(FILTER(H$1:H2394, H$1:H2394&lt;&gt;""""),COUNTA(FILTER(H$1:H2394, H$1:H2394&lt;&gt;""""))), LEN(INDEX(FILTER(H$1:H2394, H$1:H2394&lt;&gt;""""),COUNTA(FILTER(H$1:H2394, H$1:H2394&lt;&gt;""""))))-1), IF('To Order'!$A2395=COL"&amp;"UMNS($A2395:H2414), H2394&amp;RIGHT(INDIRECT(ADDRESS(ROW(H2395)-1, 'From Order'!$A2395)), 1), H2394))"),"")</f>
        <v/>
      </c>
      <c r="I2395" s="2" t="str">
        <f>IFERROR(__xludf.DUMMYFUNCTION("IF('From Order'!$A2395=COLUMNS($A2395:I2414), LEFT(INDEX(FILTER(I$1:I2394, I$1:I2394&lt;&gt;""""),COUNTA(FILTER(I$1:I2394, I$1:I2394&lt;&gt;""""))), LEN(INDEX(FILTER(I$1:I2394, I$1:I2394&lt;&gt;""""),COUNTA(FILTER(I$1:I2394, I$1:I2394&lt;&gt;""""))))-1), IF('To Order'!$A2395=COL"&amp;"UMNS($A2395:I2414), I2394&amp;RIGHT(INDIRECT(ADDRESS(ROW(I2395)-1, 'From Order'!$A2395)), 1), I2394))"),"DDDV")</f>
        <v>DDDV</v>
      </c>
    </row>
    <row r="2396">
      <c r="A2396" s="2" t="str">
        <f>IFERROR(__xludf.DUMMYFUNCTION("IF('From Order'!$A2396=COLUMNS($A2396:A2415), LEFT(INDEX(FILTER(A$1:A2395, A$1:A2395&lt;&gt;""""),COUNTA(FILTER(A$1:A2395, A$1:A2395&lt;&gt;""""))), LEN(INDEX(FILTER(A$1:A2395, A$1:A2395&lt;&gt;""""),COUNTA(FILTER(A$1:A2395, A$1:A2395&lt;&gt;""""))))-1), IF('To Order'!$A2396=COL"&amp;"UMNS($A2396:A2415), A2395&amp;RIGHT(INDIRECT(ADDRESS(ROW(A2396)-1, 'From Order'!$A2396)), 1), A2395))"),"DRSZHTWLLFBDCCVQRSPMGTTMDZ")</f>
        <v>DRSZHTWLLFBDCCVQRSPMGTTMDZ</v>
      </c>
      <c r="B2396" s="2" t="str">
        <f>IFERROR(__xludf.DUMMYFUNCTION("IF('From Order'!$A2396=COLUMNS($A2396:B2415), LEFT(INDEX(FILTER(B$1:B2395, B$1:B2395&lt;&gt;""""),COUNTA(FILTER(B$1:B2395, B$1:B2395&lt;&gt;""""))), LEN(INDEX(FILTER(B$1:B2395, B$1:B2395&lt;&gt;""""),COUNTA(FILTER(B$1:B2395, B$1:B2395&lt;&gt;""""))))-1), IF('To Order'!$A2396=COL"&amp;"UMNS($A2396:B2415), B2395&amp;RIGHT(INDIRECT(ADDRESS(ROW(B2396)-1, 'From Order'!$A2396)), 1), B2395))"),"")</f>
        <v/>
      </c>
      <c r="C2396" s="2" t="str">
        <f>IFERROR(__xludf.DUMMYFUNCTION("IF('From Order'!$A2396=COLUMNS($A2396:C2415), LEFT(INDEX(FILTER(C$1:C2395, C$1:C2395&lt;&gt;""""),COUNTA(FILTER(C$1:C2395, C$1:C2395&lt;&gt;""""))), LEN(INDEX(FILTER(C$1:C2395, C$1:C2395&lt;&gt;""""),COUNTA(FILTER(C$1:C2395, C$1:C2395&lt;&gt;""""))))-1), IF('To Order'!$A2396=COL"&amp;"UMNS($A2396:C2415), C2395&amp;RIGHT(INDIRECT(ADDRESS(ROW(C2396)-1, 'From Order'!$A2396)), 1), C2395))"),"VBJ")</f>
        <v>VBJ</v>
      </c>
      <c r="D2396" s="2" t="str">
        <f>IFERROR(__xludf.DUMMYFUNCTION("IF('From Order'!$A2396=COLUMNS($A2396:D2415), LEFT(INDEX(FILTER(D$1:D2395, D$1:D2395&lt;&gt;""""),COUNTA(FILTER(D$1:D2395, D$1:D2395&lt;&gt;""""))), LEN(INDEX(FILTER(D$1:D2395, D$1:D2395&lt;&gt;""""),COUNTA(FILTER(D$1:D2395, D$1:D2395&lt;&gt;""""))))-1), IF('To Order'!$A2396=COL"&amp;"UMNS($A2396:D2415), D2395&amp;RIGHT(INDIRECT(ADDRESS(ROW(D2396)-1, 'From Order'!$A2396)), 1), D2395))"),"")</f>
        <v/>
      </c>
      <c r="E2396" s="2" t="str">
        <f>IFERROR(__xludf.DUMMYFUNCTION("IF('From Order'!$A2396=COLUMNS($A2396:E2415), LEFT(INDEX(FILTER(E$1:E2395, E$1:E2395&lt;&gt;""""),COUNTA(FILTER(E$1:E2395, E$1:E2395&lt;&gt;""""))), LEN(INDEX(FILTER(E$1:E2395, E$1:E2395&lt;&gt;""""),COUNTA(FILTER(E$1:E2395, E$1:E2395&lt;&gt;""""))))-1), IF('To Order'!$A2396=COL"&amp;"UMNS($A2396:E2415), E2395&amp;RIGHT(INDIRECT(ADDRESS(ROW(E2396)-1, 'From Order'!$A2396)), 1), E2395))"),"BRPHZMTSSPLRRJTTCJF")</f>
        <v>BRPHZMTSSPLRRJTTCJF</v>
      </c>
      <c r="F2396" s="2" t="str">
        <f>IFERROR(__xludf.DUMMYFUNCTION("IF('From Order'!$A2396=COLUMNS($A2396:F2415), LEFT(INDEX(FILTER(F$1:F2395, F$1:F2395&lt;&gt;""""),COUNTA(FILTER(F$1:F2395, F$1:F2395&lt;&gt;""""))), LEN(INDEX(FILTER(F$1:F2395, F$1:F2395&lt;&gt;""""),COUNTA(FILTER(F$1:F2395, F$1:F2395&lt;&gt;""""))))-1), IF('To Order'!$A2396=COL"&amp;"UMNS($A2396:F2415), F2395&amp;RIGHT(INDIRECT(ADDRESS(ROW(F2396)-1, 'From Order'!$A2396)), 1), F2395))"),"")</f>
        <v/>
      </c>
      <c r="G2396" s="2" t="str">
        <f>IFERROR(__xludf.DUMMYFUNCTION("IF('From Order'!$A2396=COLUMNS($A2396:G2415), LEFT(INDEX(FILTER(G$1:G2395, G$1:G2395&lt;&gt;""""),COUNTA(FILTER(G$1:G2395, G$1:G2395&lt;&gt;""""))), LEN(INDEX(FILTER(G$1:G2395, G$1:G2395&lt;&gt;""""),COUNTA(FILTER(G$1:G2395, G$1:G2395&lt;&gt;""""))))-1), IF('To Order'!$A2396=COL"&amp;"UMNS($A2396:G2415), G2395&amp;RIGHT(INDIRECT(ADDRESS(ROW(G2396)-1, 'From Order'!$A2396)), 1), G2395))"),"BWGQV")</f>
        <v>BWGQV</v>
      </c>
      <c r="H2396" s="2" t="str">
        <f>IFERROR(__xludf.DUMMYFUNCTION("IF('From Order'!$A2396=COLUMNS($A2396:H2415), LEFT(INDEX(FILTER(H$1:H2395, H$1:H2395&lt;&gt;""""),COUNTA(FILTER(H$1:H2395, H$1:H2395&lt;&gt;""""))), LEN(INDEX(FILTER(H$1:H2395, H$1:H2395&lt;&gt;""""),COUNTA(FILTER(H$1:H2395, H$1:H2395&lt;&gt;""""))))-1), IF('To Order'!$A2396=COL"&amp;"UMNS($A2396:H2415), H2395&amp;RIGHT(INDIRECT(ADDRESS(ROW(H2396)-1, 'From Order'!$A2396)), 1), H2395))"),"")</f>
        <v/>
      </c>
      <c r="I2396" s="2" t="str">
        <f>IFERROR(__xludf.DUMMYFUNCTION("IF('From Order'!$A2396=COLUMNS($A2396:I2415), LEFT(INDEX(FILTER(I$1:I2395, I$1:I2395&lt;&gt;""""),COUNTA(FILTER(I$1:I2395, I$1:I2395&lt;&gt;""""))), LEN(INDEX(FILTER(I$1:I2395, I$1:I2395&lt;&gt;""""),COUNTA(FILTER(I$1:I2395, I$1:I2395&lt;&gt;""""))))-1), IF('To Order'!$A2396=COL"&amp;"UMNS($A2396:I2415), I2395&amp;RIGHT(INDIRECT(ADDRESS(ROW(I2396)-1, 'From Order'!$A2396)), 1), I2395))"),"DDD")</f>
        <v>DDD</v>
      </c>
    </row>
    <row r="2397">
      <c r="A2397" s="2" t="str">
        <f>IFERROR(__xludf.DUMMYFUNCTION("IF('From Order'!$A2397=COLUMNS($A2397:A2416), LEFT(INDEX(FILTER(A$1:A2396, A$1:A2396&lt;&gt;""""),COUNTA(FILTER(A$1:A2396, A$1:A2396&lt;&gt;""""))), LEN(INDEX(FILTER(A$1:A2396, A$1:A2396&lt;&gt;""""),COUNTA(FILTER(A$1:A2396, A$1:A2396&lt;&gt;""""))))-1), IF('To Order'!$A2397=COL"&amp;"UMNS($A2397:A2416), A2396&amp;RIGHT(INDIRECT(ADDRESS(ROW(A2397)-1, 'From Order'!$A2397)), 1), A2396))"),"DRSZHTWLLFBDCCVQRSPMGTTMDZ")</f>
        <v>DRSZHTWLLFBDCCVQRSPMGTTMDZ</v>
      </c>
      <c r="B2397" s="2" t="str">
        <f>IFERROR(__xludf.DUMMYFUNCTION("IF('From Order'!$A2397=COLUMNS($A2397:B2416), LEFT(INDEX(FILTER(B$1:B2396, B$1:B2396&lt;&gt;""""),COUNTA(FILTER(B$1:B2396, B$1:B2396&lt;&gt;""""))), LEN(INDEX(FILTER(B$1:B2396, B$1:B2396&lt;&gt;""""),COUNTA(FILTER(B$1:B2396, B$1:B2396&lt;&gt;""""))))-1), IF('To Order'!$A2397=COL"&amp;"UMNS($A2397:B2416), B2396&amp;RIGHT(INDIRECT(ADDRESS(ROW(B2397)-1, 'From Order'!$A2397)), 1), B2396))"),"")</f>
        <v/>
      </c>
      <c r="C2397" s="2" t="str">
        <f>IFERROR(__xludf.DUMMYFUNCTION("IF('From Order'!$A2397=COLUMNS($A2397:C2416), LEFT(INDEX(FILTER(C$1:C2396, C$1:C2396&lt;&gt;""""),COUNTA(FILTER(C$1:C2396, C$1:C2396&lt;&gt;""""))), LEN(INDEX(FILTER(C$1:C2396, C$1:C2396&lt;&gt;""""),COUNTA(FILTER(C$1:C2396, C$1:C2396&lt;&gt;""""))))-1), IF('To Order'!$A2397=COL"&amp;"UMNS($A2397:C2416), C2396&amp;RIGHT(INDIRECT(ADDRESS(ROW(C2397)-1, 'From Order'!$A2397)), 1), C2396))"),"VBJ")</f>
        <v>VBJ</v>
      </c>
      <c r="D2397" s="2" t="str">
        <f>IFERROR(__xludf.DUMMYFUNCTION("IF('From Order'!$A2397=COLUMNS($A2397:D2416), LEFT(INDEX(FILTER(D$1:D2396, D$1:D2396&lt;&gt;""""),COUNTA(FILTER(D$1:D2396, D$1:D2396&lt;&gt;""""))), LEN(INDEX(FILTER(D$1:D2396, D$1:D2396&lt;&gt;""""),COUNTA(FILTER(D$1:D2396, D$1:D2396&lt;&gt;""""))))-1), IF('To Order'!$A2397=COL"&amp;"UMNS($A2397:D2416), D2396&amp;RIGHT(INDIRECT(ADDRESS(ROW(D2397)-1, 'From Order'!$A2397)), 1), D2396))"),"")</f>
        <v/>
      </c>
      <c r="E2397" s="2" t="str">
        <f>IFERROR(__xludf.DUMMYFUNCTION("IF('From Order'!$A2397=COLUMNS($A2397:E2416), LEFT(INDEX(FILTER(E$1:E2396, E$1:E2396&lt;&gt;""""),COUNTA(FILTER(E$1:E2396, E$1:E2396&lt;&gt;""""))), LEN(INDEX(FILTER(E$1:E2396, E$1:E2396&lt;&gt;""""),COUNTA(FILTER(E$1:E2396, E$1:E2396&lt;&gt;""""))))-1), IF('To Order'!$A2397=COL"&amp;"UMNS($A2397:E2416), E2396&amp;RIGHT(INDIRECT(ADDRESS(ROW(E2397)-1, 'From Order'!$A2397)), 1), E2396))"),"BRPHZMTSSPLRRJTTCJF")</f>
        <v>BRPHZMTSSPLRRJTTCJF</v>
      </c>
      <c r="F2397" s="2" t="str">
        <f>IFERROR(__xludf.DUMMYFUNCTION("IF('From Order'!$A2397=COLUMNS($A2397:F2416), LEFT(INDEX(FILTER(F$1:F2396, F$1:F2396&lt;&gt;""""),COUNTA(FILTER(F$1:F2396, F$1:F2396&lt;&gt;""""))), LEN(INDEX(FILTER(F$1:F2396, F$1:F2396&lt;&gt;""""),COUNTA(FILTER(F$1:F2396, F$1:F2396&lt;&gt;""""))))-1), IF('To Order'!$A2397=COL"&amp;"UMNS($A2397:F2416), F2396&amp;RIGHT(INDIRECT(ADDRESS(ROW(F2397)-1, 'From Order'!$A2397)), 1), F2396))"),"")</f>
        <v/>
      </c>
      <c r="G2397" s="2" t="str">
        <f>IFERROR(__xludf.DUMMYFUNCTION("IF('From Order'!$A2397=COLUMNS($A2397:G2416), LEFT(INDEX(FILTER(G$1:G2396, G$1:G2396&lt;&gt;""""),COUNTA(FILTER(G$1:G2396, G$1:G2396&lt;&gt;""""))), LEN(INDEX(FILTER(G$1:G2396, G$1:G2396&lt;&gt;""""),COUNTA(FILTER(G$1:G2396, G$1:G2396&lt;&gt;""""))))-1), IF('To Order'!$A2397=COL"&amp;"UMNS($A2397:G2416), G2396&amp;RIGHT(INDIRECT(ADDRESS(ROW(G2397)-1, 'From Order'!$A2397)), 1), G2396))"),"BWGQVD")</f>
        <v>BWGQVD</v>
      </c>
      <c r="H2397" s="2" t="str">
        <f>IFERROR(__xludf.DUMMYFUNCTION("IF('From Order'!$A2397=COLUMNS($A2397:H2416), LEFT(INDEX(FILTER(H$1:H2396, H$1:H2396&lt;&gt;""""),COUNTA(FILTER(H$1:H2396, H$1:H2396&lt;&gt;""""))), LEN(INDEX(FILTER(H$1:H2396, H$1:H2396&lt;&gt;""""),COUNTA(FILTER(H$1:H2396, H$1:H2396&lt;&gt;""""))))-1), IF('To Order'!$A2397=COL"&amp;"UMNS($A2397:H2416), H2396&amp;RIGHT(INDIRECT(ADDRESS(ROW(H2397)-1, 'From Order'!$A2397)), 1), H2396))"),"")</f>
        <v/>
      </c>
      <c r="I2397" s="2" t="str">
        <f>IFERROR(__xludf.DUMMYFUNCTION("IF('From Order'!$A2397=COLUMNS($A2397:I2416), LEFT(INDEX(FILTER(I$1:I2396, I$1:I2396&lt;&gt;""""),COUNTA(FILTER(I$1:I2396, I$1:I2396&lt;&gt;""""))), LEN(INDEX(FILTER(I$1:I2396, I$1:I2396&lt;&gt;""""),COUNTA(FILTER(I$1:I2396, I$1:I2396&lt;&gt;""""))))-1), IF('To Order'!$A2397=COL"&amp;"UMNS($A2397:I2416), I2396&amp;RIGHT(INDIRECT(ADDRESS(ROW(I2397)-1, 'From Order'!$A2397)), 1), I2396))"),"DD")</f>
        <v>DD</v>
      </c>
    </row>
    <row r="2398">
      <c r="A2398" s="2" t="str">
        <f>IFERROR(__xludf.DUMMYFUNCTION("IF('From Order'!$A2398=COLUMNS($A2398:A2417), LEFT(INDEX(FILTER(A$1:A2397, A$1:A2397&lt;&gt;""""),COUNTA(FILTER(A$1:A2397, A$1:A2397&lt;&gt;""""))), LEN(INDEX(FILTER(A$1:A2397, A$1:A2397&lt;&gt;""""),COUNTA(FILTER(A$1:A2397, A$1:A2397&lt;&gt;""""))))-1), IF('To Order'!$A2398=COL"&amp;"UMNS($A2398:A2417), A2397&amp;RIGHT(INDIRECT(ADDRESS(ROW(A2398)-1, 'From Order'!$A2398)), 1), A2397))"),"DRSZHTWLLFBDCCVQRSPMGTTMDZ")</f>
        <v>DRSZHTWLLFBDCCVQRSPMGTTMDZ</v>
      </c>
      <c r="B2398" s="2" t="str">
        <f>IFERROR(__xludf.DUMMYFUNCTION("IF('From Order'!$A2398=COLUMNS($A2398:B2417), LEFT(INDEX(FILTER(B$1:B2397, B$1:B2397&lt;&gt;""""),COUNTA(FILTER(B$1:B2397, B$1:B2397&lt;&gt;""""))), LEN(INDEX(FILTER(B$1:B2397, B$1:B2397&lt;&gt;""""),COUNTA(FILTER(B$1:B2397, B$1:B2397&lt;&gt;""""))))-1), IF('To Order'!$A2398=COL"&amp;"UMNS($A2398:B2417), B2397&amp;RIGHT(INDIRECT(ADDRESS(ROW(B2398)-1, 'From Order'!$A2398)), 1), B2397))"),"")</f>
        <v/>
      </c>
      <c r="C2398" s="2" t="str">
        <f>IFERROR(__xludf.DUMMYFUNCTION("IF('From Order'!$A2398=COLUMNS($A2398:C2417), LEFT(INDEX(FILTER(C$1:C2397, C$1:C2397&lt;&gt;""""),COUNTA(FILTER(C$1:C2397, C$1:C2397&lt;&gt;""""))), LEN(INDEX(FILTER(C$1:C2397, C$1:C2397&lt;&gt;""""),COUNTA(FILTER(C$1:C2397, C$1:C2397&lt;&gt;""""))))-1), IF('To Order'!$A2398=COL"&amp;"UMNS($A2398:C2417), C2397&amp;RIGHT(INDIRECT(ADDRESS(ROW(C2398)-1, 'From Order'!$A2398)), 1), C2397))"),"VBJ")</f>
        <v>VBJ</v>
      </c>
      <c r="D2398" s="2" t="str">
        <f>IFERROR(__xludf.DUMMYFUNCTION("IF('From Order'!$A2398=COLUMNS($A2398:D2417), LEFT(INDEX(FILTER(D$1:D2397, D$1:D2397&lt;&gt;""""),COUNTA(FILTER(D$1:D2397, D$1:D2397&lt;&gt;""""))), LEN(INDEX(FILTER(D$1:D2397, D$1:D2397&lt;&gt;""""),COUNTA(FILTER(D$1:D2397, D$1:D2397&lt;&gt;""""))))-1), IF('To Order'!$A2398=COL"&amp;"UMNS($A2398:D2417), D2397&amp;RIGHT(INDIRECT(ADDRESS(ROW(D2398)-1, 'From Order'!$A2398)), 1), D2397))"),"")</f>
        <v/>
      </c>
      <c r="E2398" s="2" t="str">
        <f>IFERROR(__xludf.DUMMYFUNCTION("IF('From Order'!$A2398=COLUMNS($A2398:E2417), LEFT(INDEX(FILTER(E$1:E2397, E$1:E2397&lt;&gt;""""),COUNTA(FILTER(E$1:E2397, E$1:E2397&lt;&gt;""""))), LEN(INDEX(FILTER(E$1:E2397, E$1:E2397&lt;&gt;""""),COUNTA(FILTER(E$1:E2397, E$1:E2397&lt;&gt;""""))))-1), IF('To Order'!$A2398=COL"&amp;"UMNS($A2398:E2417), E2397&amp;RIGHT(INDIRECT(ADDRESS(ROW(E2398)-1, 'From Order'!$A2398)), 1), E2397))"),"BRPHZMTSSPLRRJTTCJF")</f>
        <v>BRPHZMTSSPLRRJTTCJF</v>
      </c>
      <c r="F2398" s="2" t="str">
        <f>IFERROR(__xludf.DUMMYFUNCTION("IF('From Order'!$A2398=COLUMNS($A2398:F2417), LEFT(INDEX(FILTER(F$1:F2397, F$1:F2397&lt;&gt;""""),COUNTA(FILTER(F$1:F2397, F$1:F2397&lt;&gt;""""))), LEN(INDEX(FILTER(F$1:F2397, F$1:F2397&lt;&gt;""""),COUNTA(FILTER(F$1:F2397, F$1:F2397&lt;&gt;""""))))-1), IF('To Order'!$A2398=COL"&amp;"UMNS($A2398:F2417), F2397&amp;RIGHT(INDIRECT(ADDRESS(ROW(F2398)-1, 'From Order'!$A2398)), 1), F2397))"),"")</f>
        <v/>
      </c>
      <c r="G2398" s="2" t="str">
        <f>IFERROR(__xludf.DUMMYFUNCTION("IF('From Order'!$A2398=COLUMNS($A2398:G2417), LEFT(INDEX(FILTER(G$1:G2397, G$1:G2397&lt;&gt;""""),COUNTA(FILTER(G$1:G2397, G$1:G2397&lt;&gt;""""))), LEN(INDEX(FILTER(G$1:G2397, G$1:G2397&lt;&gt;""""),COUNTA(FILTER(G$1:G2397, G$1:G2397&lt;&gt;""""))))-1), IF('To Order'!$A2398=COL"&amp;"UMNS($A2398:G2417), G2397&amp;RIGHT(INDIRECT(ADDRESS(ROW(G2398)-1, 'From Order'!$A2398)), 1), G2397))"),"BWGQVDD")</f>
        <v>BWGQVDD</v>
      </c>
      <c r="H2398" s="2" t="str">
        <f>IFERROR(__xludf.DUMMYFUNCTION("IF('From Order'!$A2398=COLUMNS($A2398:H2417), LEFT(INDEX(FILTER(H$1:H2397, H$1:H2397&lt;&gt;""""),COUNTA(FILTER(H$1:H2397, H$1:H2397&lt;&gt;""""))), LEN(INDEX(FILTER(H$1:H2397, H$1:H2397&lt;&gt;""""),COUNTA(FILTER(H$1:H2397, H$1:H2397&lt;&gt;""""))))-1), IF('To Order'!$A2398=COL"&amp;"UMNS($A2398:H2417), H2397&amp;RIGHT(INDIRECT(ADDRESS(ROW(H2398)-1, 'From Order'!$A2398)), 1), H2397))"),"")</f>
        <v/>
      </c>
      <c r="I2398" s="2" t="str">
        <f>IFERROR(__xludf.DUMMYFUNCTION("IF('From Order'!$A2398=COLUMNS($A2398:I2417), LEFT(INDEX(FILTER(I$1:I2397, I$1:I2397&lt;&gt;""""),COUNTA(FILTER(I$1:I2397, I$1:I2397&lt;&gt;""""))), LEN(INDEX(FILTER(I$1:I2397, I$1:I2397&lt;&gt;""""),COUNTA(FILTER(I$1:I2397, I$1:I2397&lt;&gt;""""))))-1), IF('To Order'!$A2398=COL"&amp;"UMNS($A2398:I2417), I2397&amp;RIGHT(INDIRECT(ADDRESS(ROW(I2398)-1, 'From Order'!$A2398)), 1), I2397))"),"D")</f>
        <v>D</v>
      </c>
    </row>
    <row r="2399">
      <c r="A2399" s="2" t="str">
        <f>IFERROR(__xludf.DUMMYFUNCTION("IF('From Order'!$A2399=COLUMNS($A2399:A2418), LEFT(INDEX(FILTER(A$1:A2398, A$1:A2398&lt;&gt;""""),COUNTA(FILTER(A$1:A2398, A$1:A2398&lt;&gt;""""))), LEN(INDEX(FILTER(A$1:A2398, A$1:A2398&lt;&gt;""""),COUNTA(FILTER(A$1:A2398, A$1:A2398&lt;&gt;""""))))-1), IF('To Order'!$A2399=COL"&amp;"UMNS($A2399:A2418), A2398&amp;RIGHT(INDIRECT(ADDRESS(ROW(A2399)-1, 'From Order'!$A2399)), 1), A2398))"),"DRSZHTWLLFBDCCVQRSPMGTTMDZF")</f>
        <v>DRSZHTWLLFBDCCVQRSPMGTTMDZF</v>
      </c>
      <c r="B2399" s="2" t="str">
        <f>IFERROR(__xludf.DUMMYFUNCTION("IF('From Order'!$A2399=COLUMNS($A2399:B2418), LEFT(INDEX(FILTER(B$1:B2398, B$1:B2398&lt;&gt;""""),COUNTA(FILTER(B$1:B2398, B$1:B2398&lt;&gt;""""))), LEN(INDEX(FILTER(B$1:B2398, B$1:B2398&lt;&gt;""""),COUNTA(FILTER(B$1:B2398, B$1:B2398&lt;&gt;""""))))-1), IF('To Order'!$A2399=COL"&amp;"UMNS($A2399:B2418), B2398&amp;RIGHT(INDIRECT(ADDRESS(ROW(B2399)-1, 'From Order'!$A2399)), 1), B2398))"),"")</f>
        <v/>
      </c>
      <c r="C2399" s="2" t="str">
        <f>IFERROR(__xludf.DUMMYFUNCTION("IF('From Order'!$A2399=COLUMNS($A2399:C2418), LEFT(INDEX(FILTER(C$1:C2398, C$1:C2398&lt;&gt;""""),COUNTA(FILTER(C$1:C2398, C$1:C2398&lt;&gt;""""))), LEN(INDEX(FILTER(C$1:C2398, C$1:C2398&lt;&gt;""""),COUNTA(FILTER(C$1:C2398, C$1:C2398&lt;&gt;""""))))-1), IF('To Order'!$A2399=COL"&amp;"UMNS($A2399:C2418), C2398&amp;RIGHT(INDIRECT(ADDRESS(ROW(C2399)-1, 'From Order'!$A2399)), 1), C2398))"),"VBJ")</f>
        <v>VBJ</v>
      </c>
      <c r="D2399" s="2" t="str">
        <f>IFERROR(__xludf.DUMMYFUNCTION("IF('From Order'!$A2399=COLUMNS($A2399:D2418), LEFT(INDEX(FILTER(D$1:D2398, D$1:D2398&lt;&gt;""""),COUNTA(FILTER(D$1:D2398, D$1:D2398&lt;&gt;""""))), LEN(INDEX(FILTER(D$1:D2398, D$1:D2398&lt;&gt;""""),COUNTA(FILTER(D$1:D2398, D$1:D2398&lt;&gt;""""))))-1), IF('To Order'!$A2399=COL"&amp;"UMNS($A2399:D2418), D2398&amp;RIGHT(INDIRECT(ADDRESS(ROW(D2399)-1, 'From Order'!$A2399)), 1), D2398))"),"")</f>
        <v/>
      </c>
      <c r="E2399" s="2" t="str">
        <f>IFERROR(__xludf.DUMMYFUNCTION("IF('From Order'!$A2399=COLUMNS($A2399:E2418), LEFT(INDEX(FILTER(E$1:E2398, E$1:E2398&lt;&gt;""""),COUNTA(FILTER(E$1:E2398, E$1:E2398&lt;&gt;""""))), LEN(INDEX(FILTER(E$1:E2398, E$1:E2398&lt;&gt;""""),COUNTA(FILTER(E$1:E2398, E$1:E2398&lt;&gt;""""))))-1), IF('To Order'!$A2399=COL"&amp;"UMNS($A2399:E2418), E2398&amp;RIGHT(INDIRECT(ADDRESS(ROW(E2399)-1, 'From Order'!$A2399)), 1), E2398))"),"BRPHZMTSSPLRRJTTCJ")</f>
        <v>BRPHZMTSSPLRRJTTCJ</v>
      </c>
      <c r="F2399" s="2" t="str">
        <f>IFERROR(__xludf.DUMMYFUNCTION("IF('From Order'!$A2399=COLUMNS($A2399:F2418), LEFT(INDEX(FILTER(F$1:F2398, F$1:F2398&lt;&gt;""""),COUNTA(FILTER(F$1:F2398, F$1:F2398&lt;&gt;""""))), LEN(INDEX(FILTER(F$1:F2398, F$1:F2398&lt;&gt;""""),COUNTA(FILTER(F$1:F2398, F$1:F2398&lt;&gt;""""))))-1), IF('To Order'!$A2399=COL"&amp;"UMNS($A2399:F2418), F2398&amp;RIGHT(INDIRECT(ADDRESS(ROW(F2399)-1, 'From Order'!$A2399)), 1), F2398))"),"")</f>
        <v/>
      </c>
      <c r="G2399" s="2" t="str">
        <f>IFERROR(__xludf.DUMMYFUNCTION("IF('From Order'!$A2399=COLUMNS($A2399:G2418), LEFT(INDEX(FILTER(G$1:G2398, G$1:G2398&lt;&gt;""""),COUNTA(FILTER(G$1:G2398, G$1:G2398&lt;&gt;""""))), LEN(INDEX(FILTER(G$1:G2398, G$1:G2398&lt;&gt;""""),COUNTA(FILTER(G$1:G2398, G$1:G2398&lt;&gt;""""))))-1), IF('To Order'!$A2399=COL"&amp;"UMNS($A2399:G2418), G2398&amp;RIGHT(INDIRECT(ADDRESS(ROW(G2399)-1, 'From Order'!$A2399)), 1), G2398))"),"BWGQVDD")</f>
        <v>BWGQVDD</v>
      </c>
      <c r="H2399" s="2" t="str">
        <f>IFERROR(__xludf.DUMMYFUNCTION("IF('From Order'!$A2399=COLUMNS($A2399:H2418), LEFT(INDEX(FILTER(H$1:H2398, H$1:H2398&lt;&gt;""""),COUNTA(FILTER(H$1:H2398, H$1:H2398&lt;&gt;""""))), LEN(INDEX(FILTER(H$1:H2398, H$1:H2398&lt;&gt;""""),COUNTA(FILTER(H$1:H2398, H$1:H2398&lt;&gt;""""))))-1), IF('To Order'!$A2399=COL"&amp;"UMNS($A2399:H2418), H2398&amp;RIGHT(INDIRECT(ADDRESS(ROW(H2399)-1, 'From Order'!$A2399)), 1), H2398))"),"")</f>
        <v/>
      </c>
      <c r="I2399" s="2" t="str">
        <f>IFERROR(__xludf.DUMMYFUNCTION("IF('From Order'!$A2399=COLUMNS($A2399:I2418), LEFT(INDEX(FILTER(I$1:I2398, I$1:I2398&lt;&gt;""""),COUNTA(FILTER(I$1:I2398, I$1:I2398&lt;&gt;""""))), LEN(INDEX(FILTER(I$1:I2398, I$1:I2398&lt;&gt;""""),COUNTA(FILTER(I$1:I2398, I$1:I2398&lt;&gt;""""))))-1), IF('To Order'!$A2399=COL"&amp;"UMNS($A2399:I2418), I2398&amp;RIGHT(INDIRECT(ADDRESS(ROW(I2399)-1, 'From Order'!$A2399)), 1), I2398))"),"D")</f>
        <v>D</v>
      </c>
    </row>
    <row r="2400">
      <c r="A2400" s="2" t="str">
        <f>IFERROR(__xludf.DUMMYFUNCTION("IF('From Order'!$A2400=COLUMNS($A2400:A2419), LEFT(INDEX(FILTER(A$1:A2399, A$1:A2399&lt;&gt;""""),COUNTA(FILTER(A$1:A2399, A$1:A2399&lt;&gt;""""))), LEN(INDEX(FILTER(A$1:A2399, A$1:A2399&lt;&gt;""""),COUNTA(FILTER(A$1:A2399, A$1:A2399&lt;&gt;""""))))-1), IF('To Order'!$A2400=COL"&amp;"UMNS($A2400:A2419), A2399&amp;RIGHT(INDIRECT(ADDRESS(ROW(A2400)-1, 'From Order'!$A2400)), 1), A2399))"),"DRSZHTWLLFBDCCVQRSPMGTTMDZFJ")</f>
        <v>DRSZHTWLLFBDCCVQRSPMGTTMDZFJ</v>
      </c>
      <c r="B2400" s="2" t="str">
        <f>IFERROR(__xludf.DUMMYFUNCTION("IF('From Order'!$A2400=COLUMNS($A2400:B2419), LEFT(INDEX(FILTER(B$1:B2399, B$1:B2399&lt;&gt;""""),COUNTA(FILTER(B$1:B2399, B$1:B2399&lt;&gt;""""))), LEN(INDEX(FILTER(B$1:B2399, B$1:B2399&lt;&gt;""""),COUNTA(FILTER(B$1:B2399, B$1:B2399&lt;&gt;""""))))-1), IF('To Order'!$A2400=COL"&amp;"UMNS($A2400:B2419), B2399&amp;RIGHT(INDIRECT(ADDRESS(ROW(B2400)-1, 'From Order'!$A2400)), 1), B2399))"),"")</f>
        <v/>
      </c>
      <c r="C2400" s="2" t="str">
        <f>IFERROR(__xludf.DUMMYFUNCTION("IF('From Order'!$A2400=COLUMNS($A2400:C2419), LEFT(INDEX(FILTER(C$1:C2399, C$1:C2399&lt;&gt;""""),COUNTA(FILTER(C$1:C2399, C$1:C2399&lt;&gt;""""))), LEN(INDEX(FILTER(C$1:C2399, C$1:C2399&lt;&gt;""""),COUNTA(FILTER(C$1:C2399, C$1:C2399&lt;&gt;""""))))-1), IF('To Order'!$A2400=COL"&amp;"UMNS($A2400:C2419), C2399&amp;RIGHT(INDIRECT(ADDRESS(ROW(C2400)-1, 'From Order'!$A2400)), 1), C2399))"),"VBJ")</f>
        <v>VBJ</v>
      </c>
      <c r="D2400" s="2" t="str">
        <f>IFERROR(__xludf.DUMMYFUNCTION("IF('From Order'!$A2400=COLUMNS($A2400:D2419), LEFT(INDEX(FILTER(D$1:D2399, D$1:D2399&lt;&gt;""""),COUNTA(FILTER(D$1:D2399, D$1:D2399&lt;&gt;""""))), LEN(INDEX(FILTER(D$1:D2399, D$1:D2399&lt;&gt;""""),COUNTA(FILTER(D$1:D2399, D$1:D2399&lt;&gt;""""))))-1), IF('To Order'!$A2400=COL"&amp;"UMNS($A2400:D2419), D2399&amp;RIGHT(INDIRECT(ADDRESS(ROW(D2400)-1, 'From Order'!$A2400)), 1), D2399))"),"")</f>
        <v/>
      </c>
      <c r="E2400" s="2" t="str">
        <f>IFERROR(__xludf.DUMMYFUNCTION("IF('From Order'!$A2400=COLUMNS($A2400:E2419), LEFT(INDEX(FILTER(E$1:E2399, E$1:E2399&lt;&gt;""""),COUNTA(FILTER(E$1:E2399, E$1:E2399&lt;&gt;""""))), LEN(INDEX(FILTER(E$1:E2399, E$1:E2399&lt;&gt;""""),COUNTA(FILTER(E$1:E2399, E$1:E2399&lt;&gt;""""))))-1), IF('To Order'!$A2400=COL"&amp;"UMNS($A2400:E2419), E2399&amp;RIGHT(INDIRECT(ADDRESS(ROW(E2400)-1, 'From Order'!$A2400)), 1), E2399))"),"BRPHZMTSSPLRRJTTC")</f>
        <v>BRPHZMTSSPLRRJTTC</v>
      </c>
      <c r="F2400" s="2" t="str">
        <f>IFERROR(__xludf.DUMMYFUNCTION("IF('From Order'!$A2400=COLUMNS($A2400:F2419), LEFT(INDEX(FILTER(F$1:F2399, F$1:F2399&lt;&gt;""""),COUNTA(FILTER(F$1:F2399, F$1:F2399&lt;&gt;""""))), LEN(INDEX(FILTER(F$1:F2399, F$1:F2399&lt;&gt;""""),COUNTA(FILTER(F$1:F2399, F$1:F2399&lt;&gt;""""))))-1), IF('To Order'!$A2400=COL"&amp;"UMNS($A2400:F2419), F2399&amp;RIGHT(INDIRECT(ADDRESS(ROW(F2400)-1, 'From Order'!$A2400)), 1), F2399))"),"")</f>
        <v/>
      </c>
      <c r="G2400" s="2" t="str">
        <f>IFERROR(__xludf.DUMMYFUNCTION("IF('From Order'!$A2400=COLUMNS($A2400:G2419), LEFT(INDEX(FILTER(G$1:G2399, G$1:G2399&lt;&gt;""""),COUNTA(FILTER(G$1:G2399, G$1:G2399&lt;&gt;""""))), LEN(INDEX(FILTER(G$1:G2399, G$1:G2399&lt;&gt;""""),COUNTA(FILTER(G$1:G2399, G$1:G2399&lt;&gt;""""))))-1), IF('To Order'!$A2400=COL"&amp;"UMNS($A2400:G2419), G2399&amp;RIGHT(INDIRECT(ADDRESS(ROW(G2400)-1, 'From Order'!$A2400)), 1), G2399))"),"BWGQVDD")</f>
        <v>BWGQVDD</v>
      </c>
      <c r="H2400" s="2" t="str">
        <f>IFERROR(__xludf.DUMMYFUNCTION("IF('From Order'!$A2400=COLUMNS($A2400:H2419), LEFT(INDEX(FILTER(H$1:H2399, H$1:H2399&lt;&gt;""""),COUNTA(FILTER(H$1:H2399, H$1:H2399&lt;&gt;""""))), LEN(INDEX(FILTER(H$1:H2399, H$1:H2399&lt;&gt;""""),COUNTA(FILTER(H$1:H2399, H$1:H2399&lt;&gt;""""))))-1), IF('To Order'!$A2400=COL"&amp;"UMNS($A2400:H2419), H2399&amp;RIGHT(INDIRECT(ADDRESS(ROW(H2400)-1, 'From Order'!$A2400)), 1), H2399))"),"")</f>
        <v/>
      </c>
      <c r="I2400" s="2" t="str">
        <f>IFERROR(__xludf.DUMMYFUNCTION("IF('From Order'!$A2400=COLUMNS($A2400:I2419), LEFT(INDEX(FILTER(I$1:I2399, I$1:I2399&lt;&gt;""""),COUNTA(FILTER(I$1:I2399, I$1:I2399&lt;&gt;""""))), LEN(INDEX(FILTER(I$1:I2399, I$1:I2399&lt;&gt;""""),COUNTA(FILTER(I$1:I2399, I$1:I2399&lt;&gt;""""))))-1), IF('To Order'!$A2400=COL"&amp;"UMNS($A2400:I2419), I2399&amp;RIGHT(INDIRECT(ADDRESS(ROW(I2400)-1, 'From Order'!$A2400)), 1), I2399))"),"D")</f>
        <v>D</v>
      </c>
    </row>
    <row r="2401">
      <c r="A2401" s="2" t="str">
        <f>IFERROR(__xludf.DUMMYFUNCTION("IF('From Order'!$A2401=COLUMNS($A2401:A2420), LEFT(INDEX(FILTER(A$1:A2400, A$1:A2400&lt;&gt;""""),COUNTA(FILTER(A$1:A2400, A$1:A2400&lt;&gt;""""))), LEN(INDEX(FILTER(A$1:A2400, A$1:A2400&lt;&gt;""""),COUNTA(FILTER(A$1:A2400, A$1:A2400&lt;&gt;""""))))-1), IF('To Order'!$A2401=COL"&amp;"UMNS($A2401:A2420), A2400&amp;RIGHT(INDIRECT(ADDRESS(ROW(A2401)-1, 'From Order'!$A2401)), 1), A2400))"),"DRSZHTWLLFBDCCVQRSPMGTTMDZFJC")</f>
        <v>DRSZHTWLLFBDCCVQRSPMGTTMDZFJC</v>
      </c>
      <c r="B2401" s="2" t="str">
        <f>IFERROR(__xludf.DUMMYFUNCTION("IF('From Order'!$A2401=COLUMNS($A2401:B2420), LEFT(INDEX(FILTER(B$1:B2400, B$1:B2400&lt;&gt;""""),COUNTA(FILTER(B$1:B2400, B$1:B2400&lt;&gt;""""))), LEN(INDEX(FILTER(B$1:B2400, B$1:B2400&lt;&gt;""""),COUNTA(FILTER(B$1:B2400, B$1:B2400&lt;&gt;""""))))-1), IF('To Order'!$A2401=COL"&amp;"UMNS($A2401:B2420), B2400&amp;RIGHT(INDIRECT(ADDRESS(ROW(B2401)-1, 'From Order'!$A2401)), 1), B2400))"),"")</f>
        <v/>
      </c>
      <c r="C2401" s="2" t="str">
        <f>IFERROR(__xludf.DUMMYFUNCTION("IF('From Order'!$A2401=COLUMNS($A2401:C2420), LEFT(INDEX(FILTER(C$1:C2400, C$1:C2400&lt;&gt;""""),COUNTA(FILTER(C$1:C2400, C$1:C2400&lt;&gt;""""))), LEN(INDEX(FILTER(C$1:C2400, C$1:C2400&lt;&gt;""""),COUNTA(FILTER(C$1:C2400, C$1:C2400&lt;&gt;""""))))-1), IF('To Order'!$A2401=COL"&amp;"UMNS($A2401:C2420), C2400&amp;RIGHT(INDIRECT(ADDRESS(ROW(C2401)-1, 'From Order'!$A2401)), 1), C2400))"),"VBJ")</f>
        <v>VBJ</v>
      </c>
      <c r="D2401" s="2" t="str">
        <f>IFERROR(__xludf.DUMMYFUNCTION("IF('From Order'!$A2401=COLUMNS($A2401:D2420), LEFT(INDEX(FILTER(D$1:D2400, D$1:D2400&lt;&gt;""""),COUNTA(FILTER(D$1:D2400, D$1:D2400&lt;&gt;""""))), LEN(INDEX(FILTER(D$1:D2400, D$1:D2400&lt;&gt;""""),COUNTA(FILTER(D$1:D2400, D$1:D2400&lt;&gt;""""))))-1), IF('To Order'!$A2401=COL"&amp;"UMNS($A2401:D2420), D2400&amp;RIGHT(INDIRECT(ADDRESS(ROW(D2401)-1, 'From Order'!$A2401)), 1), D2400))"),"")</f>
        <v/>
      </c>
      <c r="E2401" s="2" t="str">
        <f>IFERROR(__xludf.DUMMYFUNCTION("IF('From Order'!$A2401=COLUMNS($A2401:E2420), LEFT(INDEX(FILTER(E$1:E2400, E$1:E2400&lt;&gt;""""),COUNTA(FILTER(E$1:E2400, E$1:E2400&lt;&gt;""""))), LEN(INDEX(FILTER(E$1:E2400, E$1:E2400&lt;&gt;""""),COUNTA(FILTER(E$1:E2400, E$1:E2400&lt;&gt;""""))))-1), IF('To Order'!$A2401=COL"&amp;"UMNS($A2401:E2420), E2400&amp;RIGHT(INDIRECT(ADDRESS(ROW(E2401)-1, 'From Order'!$A2401)), 1), E2400))"),"BRPHZMTSSPLRRJTT")</f>
        <v>BRPHZMTSSPLRRJTT</v>
      </c>
      <c r="F2401" s="2" t="str">
        <f>IFERROR(__xludf.DUMMYFUNCTION("IF('From Order'!$A2401=COLUMNS($A2401:F2420), LEFT(INDEX(FILTER(F$1:F2400, F$1:F2400&lt;&gt;""""),COUNTA(FILTER(F$1:F2400, F$1:F2400&lt;&gt;""""))), LEN(INDEX(FILTER(F$1:F2400, F$1:F2400&lt;&gt;""""),COUNTA(FILTER(F$1:F2400, F$1:F2400&lt;&gt;""""))))-1), IF('To Order'!$A2401=COL"&amp;"UMNS($A2401:F2420), F2400&amp;RIGHT(INDIRECT(ADDRESS(ROW(F2401)-1, 'From Order'!$A2401)), 1), F2400))"),"")</f>
        <v/>
      </c>
      <c r="G2401" s="2" t="str">
        <f>IFERROR(__xludf.DUMMYFUNCTION("IF('From Order'!$A2401=COLUMNS($A2401:G2420), LEFT(INDEX(FILTER(G$1:G2400, G$1:G2400&lt;&gt;""""),COUNTA(FILTER(G$1:G2400, G$1:G2400&lt;&gt;""""))), LEN(INDEX(FILTER(G$1:G2400, G$1:G2400&lt;&gt;""""),COUNTA(FILTER(G$1:G2400, G$1:G2400&lt;&gt;""""))))-1), IF('To Order'!$A2401=COL"&amp;"UMNS($A2401:G2420), G2400&amp;RIGHT(INDIRECT(ADDRESS(ROW(G2401)-1, 'From Order'!$A2401)), 1), G2400))"),"BWGQVDD")</f>
        <v>BWGQVDD</v>
      </c>
      <c r="H2401" s="2" t="str">
        <f>IFERROR(__xludf.DUMMYFUNCTION("IF('From Order'!$A2401=COLUMNS($A2401:H2420), LEFT(INDEX(FILTER(H$1:H2400, H$1:H2400&lt;&gt;""""),COUNTA(FILTER(H$1:H2400, H$1:H2400&lt;&gt;""""))), LEN(INDEX(FILTER(H$1:H2400, H$1:H2400&lt;&gt;""""),COUNTA(FILTER(H$1:H2400, H$1:H2400&lt;&gt;""""))))-1), IF('To Order'!$A2401=COL"&amp;"UMNS($A2401:H2420), H2400&amp;RIGHT(INDIRECT(ADDRESS(ROW(H2401)-1, 'From Order'!$A2401)), 1), H2400))"),"")</f>
        <v/>
      </c>
      <c r="I2401" s="2" t="str">
        <f>IFERROR(__xludf.DUMMYFUNCTION("IF('From Order'!$A2401=COLUMNS($A2401:I2420), LEFT(INDEX(FILTER(I$1:I2400, I$1:I2400&lt;&gt;""""),COUNTA(FILTER(I$1:I2400, I$1:I2400&lt;&gt;""""))), LEN(INDEX(FILTER(I$1:I2400, I$1:I2400&lt;&gt;""""),COUNTA(FILTER(I$1:I2400, I$1:I2400&lt;&gt;""""))))-1), IF('To Order'!$A2401=COL"&amp;"UMNS($A2401:I2420), I2400&amp;RIGHT(INDIRECT(ADDRESS(ROW(I2401)-1, 'From Order'!$A2401)), 1), I2400))"),"D")</f>
        <v>D</v>
      </c>
    </row>
    <row r="2402">
      <c r="A2402" s="2" t="str">
        <f>IFERROR(__xludf.DUMMYFUNCTION("IF('From Order'!$A2402=COLUMNS($A2402:A2421), LEFT(INDEX(FILTER(A$1:A2401, A$1:A2401&lt;&gt;""""),COUNTA(FILTER(A$1:A2401, A$1:A2401&lt;&gt;""""))), LEN(INDEX(FILTER(A$1:A2401, A$1:A2401&lt;&gt;""""),COUNTA(FILTER(A$1:A2401, A$1:A2401&lt;&gt;""""))))-1), IF('To Order'!$A2402=COL"&amp;"UMNS($A2402:A2421), A2401&amp;RIGHT(INDIRECT(ADDRESS(ROW(A2402)-1, 'From Order'!$A2402)), 1), A2401))"),"DRSZHTWLLFBDCCVQRSPMGTTMDZFJCT")</f>
        <v>DRSZHTWLLFBDCCVQRSPMGTTMDZFJCT</v>
      </c>
      <c r="B2402" s="2" t="str">
        <f>IFERROR(__xludf.DUMMYFUNCTION("IF('From Order'!$A2402=COLUMNS($A2402:B2421), LEFT(INDEX(FILTER(B$1:B2401, B$1:B2401&lt;&gt;""""),COUNTA(FILTER(B$1:B2401, B$1:B2401&lt;&gt;""""))), LEN(INDEX(FILTER(B$1:B2401, B$1:B2401&lt;&gt;""""),COUNTA(FILTER(B$1:B2401, B$1:B2401&lt;&gt;""""))))-1), IF('To Order'!$A2402=COL"&amp;"UMNS($A2402:B2421), B2401&amp;RIGHT(INDIRECT(ADDRESS(ROW(B2402)-1, 'From Order'!$A2402)), 1), B2401))"),"")</f>
        <v/>
      </c>
      <c r="C2402" s="2" t="str">
        <f>IFERROR(__xludf.DUMMYFUNCTION("IF('From Order'!$A2402=COLUMNS($A2402:C2421), LEFT(INDEX(FILTER(C$1:C2401, C$1:C2401&lt;&gt;""""),COUNTA(FILTER(C$1:C2401, C$1:C2401&lt;&gt;""""))), LEN(INDEX(FILTER(C$1:C2401, C$1:C2401&lt;&gt;""""),COUNTA(FILTER(C$1:C2401, C$1:C2401&lt;&gt;""""))))-1), IF('To Order'!$A2402=COL"&amp;"UMNS($A2402:C2421), C2401&amp;RIGHT(INDIRECT(ADDRESS(ROW(C2402)-1, 'From Order'!$A2402)), 1), C2401))"),"VBJ")</f>
        <v>VBJ</v>
      </c>
      <c r="D2402" s="2" t="str">
        <f>IFERROR(__xludf.DUMMYFUNCTION("IF('From Order'!$A2402=COLUMNS($A2402:D2421), LEFT(INDEX(FILTER(D$1:D2401, D$1:D2401&lt;&gt;""""),COUNTA(FILTER(D$1:D2401, D$1:D2401&lt;&gt;""""))), LEN(INDEX(FILTER(D$1:D2401, D$1:D2401&lt;&gt;""""),COUNTA(FILTER(D$1:D2401, D$1:D2401&lt;&gt;""""))))-1), IF('To Order'!$A2402=COL"&amp;"UMNS($A2402:D2421), D2401&amp;RIGHT(INDIRECT(ADDRESS(ROW(D2402)-1, 'From Order'!$A2402)), 1), D2401))"),"")</f>
        <v/>
      </c>
      <c r="E2402" s="2" t="str">
        <f>IFERROR(__xludf.DUMMYFUNCTION("IF('From Order'!$A2402=COLUMNS($A2402:E2421), LEFT(INDEX(FILTER(E$1:E2401, E$1:E2401&lt;&gt;""""),COUNTA(FILTER(E$1:E2401, E$1:E2401&lt;&gt;""""))), LEN(INDEX(FILTER(E$1:E2401, E$1:E2401&lt;&gt;""""),COUNTA(FILTER(E$1:E2401, E$1:E2401&lt;&gt;""""))))-1), IF('To Order'!$A2402=COL"&amp;"UMNS($A2402:E2421), E2401&amp;RIGHT(INDIRECT(ADDRESS(ROW(E2402)-1, 'From Order'!$A2402)), 1), E2401))"),"BRPHZMTSSPLRRJT")</f>
        <v>BRPHZMTSSPLRRJT</v>
      </c>
      <c r="F2402" s="2" t="str">
        <f>IFERROR(__xludf.DUMMYFUNCTION("IF('From Order'!$A2402=COLUMNS($A2402:F2421), LEFT(INDEX(FILTER(F$1:F2401, F$1:F2401&lt;&gt;""""),COUNTA(FILTER(F$1:F2401, F$1:F2401&lt;&gt;""""))), LEN(INDEX(FILTER(F$1:F2401, F$1:F2401&lt;&gt;""""),COUNTA(FILTER(F$1:F2401, F$1:F2401&lt;&gt;""""))))-1), IF('To Order'!$A2402=COL"&amp;"UMNS($A2402:F2421), F2401&amp;RIGHT(INDIRECT(ADDRESS(ROW(F2402)-1, 'From Order'!$A2402)), 1), F2401))"),"")</f>
        <v/>
      </c>
      <c r="G2402" s="2" t="str">
        <f>IFERROR(__xludf.DUMMYFUNCTION("IF('From Order'!$A2402=COLUMNS($A2402:G2421), LEFT(INDEX(FILTER(G$1:G2401, G$1:G2401&lt;&gt;""""),COUNTA(FILTER(G$1:G2401, G$1:G2401&lt;&gt;""""))), LEN(INDEX(FILTER(G$1:G2401, G$1:G2401&lt;&gt;""""),COUNTA(FILTER(G$1:G2401, G$1:G2401&lt;&gt;""""))))-1), IF('To Order'!$A2402=COL"&amp;"UMNS($A2402:G2421), G2401&amp;RIGHT(INDIRECT(ADDRESS(ROW(G2402)-1, 'From Order'!$A2402)), 1), G2401))"),"BWGQVDD")</f>
        <v>BWGQVDD</v>
      </c>
      <c r="H2402" s="2" t="str">
        <f>IFERROR(__xludf.DUMMYFUNCTION("IF('From Order'!$A2402=COLUMNS($A2402:H2421), LEFT(INDEX(FILTER(H$1:H2401, H$1:H2401&lt;&gt;""""),COUNTA(FILTER(H$1:H2401, H$1:H2401&lt;&gt;""""))), LEN(INDEX(FILTER(H$1:H2401, H$1:H2401&lt;&gt;""""),COUNTA(FILTER(H$1:H2401, H$1:H2401&lt;&gt;""""))))-1), IF('To Order'!$A2402=COL"&amp;"UMNS($A2402:H2421), H2401&amp;RIGHT(INDIRECT(ADDRESS(ROW(H2402)-1, 'From Order'!$A2402)), 1), H2401))"),"")</f>
        <v/>
      </c>
      <c r="I2402" s="2" t="str">
        <f>IFERROR(__xludf.DUMMYFUNCTION("IF('From Order'!$A2402=COLUMNS($A2402:I2421), LEFT(INDEX(FILTER(I$1:I2401, I$1:I2401&lt;&gt;""""),COUNTA(FILTER(I$1:I2401, I$1:I2401&lt;&gt;""""))), LEN(INDEX(FILTER(I$1:I2401, I$1:I2401&lt;&gt;""""),COUNTA(FILTER(I$1:I2401, I$1:I2401&lt;&gt;""""))))-1), IF('To Order'!$A2402=COL"&amp;"UMNS($A2402:I2421), I2401&amp;RIGHT(INDIRECT(ADDRESS(ROW(I2402)-1, 'From Order'!$A2402)), 1), I2401))"),"D")</f>
        <v>D</v>
      </c>
    </row>
    <row r="2403">
      <c r="A2403" s="2" t="str">
        <f>IFERROR(__xludf.DUMMYFUNCTION("IF('From Order'!$A2403=COLUMNS($A2403:A2422), LEFT(INDEX(FILTER(A$1:A2402, A$1:A2402&lt;&gt;""""),COUNTA(FILTER(A$1:A2402, A$1:A2402&lt;&gt;""""))), LEN(INDEX(FILTER(A$1:A2402, A$1:A2402&lt;&gt;""""),COUNTA(FILTER(A$1:A2402, A$1:A2402&lt;&gt;""""))))-1), IF('To Order'!$A2403=COL"&amp;"UMNS($A2403:A2422), A2402&amp;RIGHT(INDIRECT(ADDRESS(ROW(A2403)-1, 'From Order'!$A2403)), 1), A2402))"),"DRSZHTWLLFBDCCVQRSPMGTTMDZFJCTT")</f>
        <v>DRSZHTWLLFBDCCVQRSPMGTTMDZFJCTT</v>
      </c>
      <c r="B2403" s="2" t="str">
        <f>IFERROR(__xludf.DUMMYFUNCTION("IF('From Order'!$A2403=COLUMNS($A2403:B2422), LEFT(INDEX(FILTER(B$1:B2402, B$1:B2402&lt;&gt;""""),COUNTA(FILTER(B$1:B2402, B$1:B2402&lt;&gt;""""))), LEN(INDEX(FILTER(B$1:B2402, B$1:B2402&lt;&gt;""""),COUNTA(FILTER(B$1:B2402, B$1:B2402&lt;&gt;""""))))-1), IF('To Order'!$A2403=COL"&amp;"UMNS($A2403:B2422), B2402&amp;RIGHT(INDIRECT(ADDRESS(ROW(B2403)-1, 'From Order'!$A2403)), 1), B2402))"),"")</f>
        <v/>
      </c>
      <c r="C2403" s="2" t="str">
        <f>IFERROR(__xludf.DUMMYFUNCTION("IF('From Order'!$A2403=COLUMNS($A2403:C2422), LEFT(INDEX(FILTER(C$1:C2402, C$1:C2402&lt;&gt;""""),COUNTA(FILTER(C$1:C2402, C$1:C2402&lt;&gt;""""))), LEN(INDEX(FILTER(C$1:C2402, C$1:C2402&lt;&gt;""""),COUNTA(FILTER(C$1:C2402, C$1:C2402&lt;&gt;""""))))-1), IF('To Order'!$A2403=COL"&amp;"UMNS($A2403:C2422), C2402&amp;RIGHT(INDIRECT(ADDRESS(ROW(C2403)-1, 'From Order'!$A2403)), 1), C2402))"),"VBJ")</f>
        <v>VBJ</v>
      </c>
      <c r="D2403" s="2" t="str">
        <f>IFERROR(__xludf.DUMMYFUNCTION("IF('From Order'!$A2403=COLUMNS($A2403:D2422), LEFT(INDEX(FILTER(D$1:D2402, D$1:D2402&lt;&gt;""""),COUNTA(FILTER(D$1:D2402, D$1:D2402&lt;&gt;""""))), LEN(INDEX(FILTER(D$1:D2402, D$1:D2402&lt;&gt;""""),COUNTA(FILTER(D$1:D2402, D$1:D2402&lt;&gt;""""))))-1), IF('To Order'!$A2403=COL"&amp;"UMNS($A2403:D2422), D2402&amp;RIGHT(INDIRECT(ADDRESS(ROW(D2403)-1, 'From Order'!$A2403)), 1), D2402))"),"")</f>
        <v/>
      </c>
      <c r="E2403" s="2" t="str">
        <f>IFERROR(__xludf.DUMMYFUNCTION("IF('From Order'!$A2403=COLUMNS($A2403:E2422), LEFT(INDEX(FILTER(E$1:E2402, E$1:E2402&lt;&gt;""""),COUNTA(FILTER(E$1:E2402, E$1:E2402&lt;&gt;""""))), LEN(INDEX(FILTER(E$1:E2402, E$1:E2402&lt;&gt;""""),COUNTA(FILTER(E$1:E2402, E$1:E2402&lt;&gt;""""))))-1), IF('To Order'!$A2403=COL"&amp;"UMNS($A2403:E2422), E2402&amp;RIGHT(INDIRECT(ADDRESS(ROW(E2403)-1, 'From Order'!$A2403)), 1), E2402))"),"BRPHZMTSSPLRRJ")</f>
        <v>BRPHZMTSSPLRRJ</v>
      </c>
      <c r="F2403" s="2" t="str">
        <f>IFERROR(__xludf.DUMMYFUNCTION("IF('From Order'!$A2403=COLUMNS($A2403:F2422), LEFT(INDEX(FILTER(F$1:F2402, F$1:F2402&lt;&gt;""""),COUNTA(FILTER(F$1:F2402, F$1:F2402&lt;&gt;""""))), LEN(INDEX(FILTER(F$1:F2402, F$1:F2402&lt;&gt;""""),COUNTA(FILTER(F$1:F2402, F$1:F2402&lt;&gt;""""))))-1), IF('To Order'!$A2403=COL"&amp;"UMNS($A2403:F2422), F2402&amp;RIGHT(INDIRECT(ADDRESS(ROW(F2403)-1, 'From Order'!$A2403)), 1), F2402))"),"")</f>
        <v/>
      </c>
      <c r="G2403" s="2" t="str">
        <f>IFERROR(__xludf.DUMMYFUNCTION("IF('From Order'!$A2403=COLUMNS($A2403:G2422), LEFT(INDEX(FILTER(G$1:G2402, G$1:G2402&lt;&gt;""""),COUNTA(FILTER(G$1:G2402, G$1:G2402&lt;&gt;""""))), LEN(INDEX(FILTER(G$1:G2402, G$1:G2402&lt;&gt;""""),COUNTA(FILTER(G$1:G2402, G$1:G2402&lt;&gt;""""))))-1), IF('To Order'!$A2403=COL"&amp;"UMNS($A2403:G2422), G2402&amp;RIGHT(INDIRECT(ADDRESS(ROW(G2403)-1, 'From Order'!$A2403)), 1), G2402))"),"BWGQVDD")</f>
        <v>BWGQVDD</v>
      </c>
      <c r="H2403" s="2" t="str">
        <f>IFERROR(__xludf.DUMMYFUNCTION("IF('From Order'!$A2403=COLUMNS($A2403:H2422), LEFT(INDEX(FILTER(H$1:H2402, H$1:H2402&lt;&gt;""""),COUNTA(FILTER(H$1:H2402, H$1:H2402&lt;&gt;""""))), LEN(INDEX(FILTER(H$1:H2402, H$1:H2402&lt;&gt;""""),COUNTA(FILTER(H$1:H2402, H$1:H2402&lt;&gt;""""))))-1), IF('To Order'!$A2403=COL"&amp;"UMNS($A2403:H2422), H2402&amp;RIGHT(INDIRECT(ADDRESS(ROW(H2403)-1, 'From Order'!$A2403)), 1), H2402))"),"")</f>
        <v/>
      </c>
      <c r="I2403" s="2" t="str">
        <f>IFERROR(__xludf.DUMMYFUNCTION("IF('From Order'!$A2403=COLUMNS($A2403:I2422), LEFT(INDEX(FILTER(I$1:I2402, I$1:I2402&lt;&gt;""""),COUNTA(FILTER(I$1:I2402, I$1:I2402&lt;&gt;""""))), LEN(INDEX(FILTER(I$1:I2402, I$1:I2402&lt;&gt;""""),COUNTA(FILTER(I$1:I2402, I$1:I2402&lt;&gt;""""))))-1), IF('To Order'!$A2403=COL"&amp;"UMNS($A2403:I2422), I2402&amp;RIGHT(INDIRECT(ADDRESS(ROW(I2403)-1, 'From Order'!$A2403)), 1), I2402))"),"D")</f>
        <v>D</v>
      </c>
    </row>
    <row r="2404">
      <c r="A2404" s="2" t="str">
        <f>IFERROR(__xludf.DUMMYFUNCTION("IF('From Order'!$A2404=COLUMNS($A2404:A2423), LEFT(INDEX(FILTER(A$1:A2403, A$1:A2403&lt;&gt;""""),COUNTA(FILTER(A$1:A2403, A$1:A2403&lt;&gt;""""))), LEN(INDEX(FILTER(A$1:A2403, A$1:A2403&lt;&gt;""""),COUNTA(FILTER(A$1:A2403, A$1:A2403&lt;&gt;""""))))-1), IF('To Order'!$A2404=COL"&amp;"UMNS($A2404:A2423), A2403&amp;RIGHT(INDIRECT(ADDRESS(ROW(A2404)-1, 'From Order'!$A2404)), 1), A2403))"),"DRSZHTWLLFBDCCVQRSPMGTTMDZFJCTTJ")</f>
        <v>DRSZHTWLLFBDCCVQRSPMGTTMDZFJCTTJ</v>
      </c>
      <c r="B2404" s="2" t="str">
        <f>IFERROR(__xludf.DUMMYFUNCTION("IF('From Order'!$A2404=COLUMNS($A2404:B2423), LEFT(INDEX(FILTER(B$1:B2403, B$1:B2403&lt;&gt;""""),COUNTA(FILTER(B$1:B2403, B$1:B2403&lt;&gt;""""))), LEN(INDEX(FILTER(B$1:B2403, B$1:B2403&lt;&gt;""""),COUNTA(FILTER(B$1:B2403, B$1:B2403&lt;&gt;""""))))-1), IF('To Order'!$A2404=COL"&amp;"UMNS($A2404:B2423), B2403&amp;RIGHT(INDIRECT(ADDRESS(ROW(B2404)-1, 'From Order'!$A2404)), 1), B2403))"),"")</f>
        <v/>
      </c>
      <c r="C2404" s="2" t="str">
        <f>IFERROR(__xludf.DUMMYFUNCTION("IF('From Order'!$A2404=COLUMNS($A2404:C2423), LEFT(INDEX(FILTER(C$1:C2403, C$1:C2403&lt;&gt;""""),COUNTA(FILTER(C$1:C2403, C$1:C2403&lt;&gt;""""))), LEN(INDEX(FILTER(C$1:C2403, C$1:C2403&lt;&gt;""""),COUNTA(FILTER(C$1:C2403, C$1:C2403&lt;&gt;""""))))-1), IF('To Order'!$A2404=COL"&amp;"UMNS($A2404:C2423), C2403&amp;RIGHT(INDIRECT(ADDRESS(ROW(C2404)-1, 'From Order'!$A2404)), 1), C2403))"),"VBJ")</f>
        <v>VBJ</v>
      </c>
      <c r="D2404" s="2" t="str">
        <f>IFERROR(__xludf.DUMMYFUNCTION("IF('From Order'!$A2404=COLUMNS($A2404:D2423), LEFT(INDEX(FILTER(D$1:D2403, D$1:D2403&lt;&gt;""""),COUNTA(FILTER(D$1:D2403, D$1:D2403&lt;&gt;""""))), LEN(INDEX(FILTER(D$1:D2403, D$1:D2403&lt;&gt;""""),COUNTA(FILTER(D$1:D2403, D$1:D2403&lt;&gt;""""))))-1), IF('To Order'!$A2404=COL"&amp;"UMNS($A2404:D2423), D2403&amp;RIGHT(INDIRECT(ADDRESS(ROW(D2404)-1, 'From Order'!$A2404)), 1), D2403))"),"")</f>
        <v/>
      </c>
      <c r="E2404" s="2" t="str">
        <f>IFERROR(__xludf.DUMMYFUNCTION("IF('From Order'!$A2404=COLUMNS($A2404:E2423), LEFT(INDEX(FILTER(E$1:E2403, E$1:E2403&lt;&gt;""""),COUNTA(FILTER(E$1:E2403, E$1:E2403&lt;&gt;""""))), LEN(INDEX(FILTER(E$1:E2403, E$1:E2403&lt;&gt;""""),COUNTA(FILTER(E$1:E2403, E$1:E2403&lt;&gt;""""))))-1), IF('To Order'!$A2404=COL"&amp;"UMNS($A2404:E2423), E2403&amp;RIGHT(INDIRECT(ADDRESS(ROW(E2404)-1, 'From Order'!$A2404)), 1), E2403))"),"BRPHZMTSSPLRR")</f>
        <v>BRPHZMTSSPLRR</v>
      </c>
      <c r="F2404" s="2" t="str">
        <f>IFERROR(__xludf.DUMMYFUNCTION("IF('From Order'!$A2404=COLUMNS($A2404:F2423), LEFT(INDEX(FILTER(F$1:F2403, F$1:F2403&lt;&gt;""""),COUNTA(FILTER(F$1:F2403, F$1:F2403&lt;&gt;""""))), LEN(INDEX(FILTER(F$1:F2403, F$1:F2403&lt;&gt;""""),COUNTA(FILTER(F$1:F2403, F$1:F2403&lt;&gt;""""))))-1), IF('To Order'!$A2404=COL"&amp;"UMNS($A2404:F2423), F2403&amp;RIGHT(INDIRECT(ADDRESS(ROW(F2404)-1, 'From Order'!$A2404)), 1), F2403))"),"")</f>
        <v/>
      </c>
      <c r="G2404" s="2" t="str">
        <f>IFERROR(__xludf.DUMMYFUNCTION("IF('From Order'!$A2404=COLUMNS($A2404:G2423), LEFT(INDEX(FILTER(G$1:G2403, G$1:G2403&lt;&gt;""""),COUNTA(FILTER(G$1:G2403, G$1:G2403&lt;&gt;""""))), LEN(INDEX(FILTER(G$1:G2403, G$1:G2403&lt;&gt;""""),COUNTA(FILTER(G$1:G2403, G$1:G2403&lt;&gt;""""))))-1), IF('To Order'!$A2404=COL"&amp;"UMNS($A2404:G2423), G2403&amp;RIGHT(INDIRECT(ADDRESS(ROW(G2404)-1, 'From Order'!$A2404)), 1), G2403))"),"BWGQVDD")</f>
        <v>BWGQVDD</v>
      </c>
      <c r="H2404" s="2" t="str">
        <f>IFERROR(__xludf.DUMMYFUNCTION("IF('From Order'!$A2404=COLUMNS($A2404:H2423), LEFT(INDEX(FILTER(H$1:H2403, H$1:H2403&lt;&gt;""""),COUNTA(FILTER(H$1:H2403, H$1:H2403&lt;&gt;""""))), LEN(INDEX(FILTER(H$1:H2403, H$1:H2403&lt;&gt;""""),COUNTA(FILTER(H$1:H2403, H$1:H2403&lt;&gt;""""))))-1), IF('To Order'!$A2404=COL"&amp;"UMNS($A2404:H2423), H2403&amp;RIGHT(INDIRECT(ADDRESS(ROW(H2404)-1, 'From Order'!$A2404)), 1), H2403))"),"")</f>
        <v/>
      </c>
      <c r="I2404" s="2" t="str">
        <f>IFERROR(__xludf.DUMMYFUNCTION("IF('From Order'!$A2404=COLUMNS($A2404:I2423), LEFT(INDEX(FILTER(I$1:I2403, I$1:I2403&lt;&gt;""""),COUNTA(FILTER(I$1:I2403, I$1:I2403&lt;&gt;""""))), LEN(INDEX(FILTER(I$1:I2403, I$1:I2403&lt;&gt;""""),COUNTA(FILTER(I$1:I2403, I$1:I2403&lt;&gt;""""))))-1), IF('To Order'!$A2404=COL"&amp;"UMNS($A2404:I2423), I2403&amp;RIGHT(INDIRECT(ADDRESS(ROW(I2404)-1, 'From Order'!$A2404)), 1), I2403))"),"D")</f>
        <v>D</v>
      </c>
    </row>
    <row r="2405">
      <c r="A2405" s="2" t="str">
        <f>IFERROR(__xludf.DUMMYFUNCTION("IF('From Order'!$A2405=COLUMNS($A2405:A2424), LEFT(INDEX(FILTER(A$1:A2404, A$1:A2404&lt;&gt;""""),COUNTA(FILTER(A$1:A2404, A$1:A2404&lt;&gt;""""))), LEN(INDEX(FILTER(A$1:A2404, A$1:A2404&lt;&gt;""""),COUNTA(FILTER(A$1:A2404, A$1:A2404&lt;&gt;""""))))-1), IF('To Order'!$A2405=COL"&amp;"UMNS($A2405:A2424), A2404&amp;RIGHT(INDIRECT(ADDRESS(ROW(A2405)-1, 'From Order'!$A2405)), 1), A2404))"),"DRSZHTWLLFBDCCVQRSPMGTTMDZFJCTTJR")</f>
        <v>DRSZHTWLLFBDCCVQRSPMGTTMDZFJCTTJR</v>
      </c>
      <c r="B2405" s="2" t="str">
        <f>IFERROR(__xludf.DUMMYFUNCTION("IF('From Order'!$A2405=COLUMNS($A2405:B2424), LEFT(INDEX(FILTER(B$1:B2404, B$1:B2404&lt;&gt;""""),COUNTA(FILTER(B$1:B2404, B$1:B2404&lt;&gt;""""))), LEN(INDEX(FILTER(B$1:B2404, B$1:B2404&lt;&gt;""""),COUNTA(FILTER(B$1:B2404, B$1:B2404&lt;&gt;""""))))-1), IF('To Order'!$A2405=COL"&amp;"UMNS($A2405:B2424), B2404&amp;RIGHT(INDIRECT(ADDRESS(ROW(B2405)-1, 'From Order'!$A2405)), 1), B2404))"),"")</f>
        <v/>
      </c>
      <c r="C2405" s="2" t="str">
        <f>IFERROR(__xludf.DUMMYFUNCTION("IF('From Order'!$A2405=COLUMNS($A2405:C2424), LEFT(INDEX(FILTER(C$1:C2404, C$1:C2404&lt;&gt;""""),COUNTA(FILTER(C$1:C2404, C$1:C2404&lt;&gt;""""))), LEN(INDEX(FILTER(C$1:C2404, C$1:C2404&lt;&gt;""""),COUNTA(FILTER(C$1:C2404, C$1:C2404&lt;&gt;""""))))-1), IF('To Order'!$A2405=COL"&amp;"UMNS($A2405:C2424), C2404&amp;RIGHT(INDIRECT(ADDRESS(ROW(C2405)-1, 'From Order'!$A2405)), 1), C2404))"),"VBJ")</f>
        <v>VBJ</v>
      </c>
      <c r="D2405" s="2" t="str">
        <f>IFERROR(__xludf.DUMMYFUNCTION("IF('From Order'!$A2405=COLUMNS($A2405:D2424), LEFT(INDEX(FILTER(D$1:D2404, D$1:D2404&lt;&gt;""""),COUNTA(FILTER(D$1:D2404, D$1:D2404&lt;&gt;""""))), LEN(INDEX(FILTER(D$1:D2404, D$1:D2404&lt;&gt;""""),COUNTA(FILTER(D$1:D2404, D$1:D2404&lt;&gt;""""))))-1), IF('To Order'!$A2405=COL"&amp;"UMNS($A2405:D2424), D2404&amp;RIGHT(INDIRECT(ADDRESS(ROW(D2405)-1, 'From Order'!$A2405)), 1), D2404))"),"")</f>
        <v/>
      </c>
      <c r="E2405" s="2" t="str">
        <f>IFERROR(__xludf.DUMMYFUNCTION("IF('From Order'!$A2405=COLUMNS($A2405:E2424), LEFT(INDEX(FILTER(E$1:E2404, E$1:E2404&lt;&gt;""""),COUNTA(FILTER(E$1:E2404, E$1:E2404&lt;&gt;""""))), LEN(INDEX(FILTER(E$1:E2404, E$1:E2404&lt;&gt;""""),COUNTA(FILTER(E$1:E2404, E$1:E2404&lt;&gt;""""))))-1), IF('To Order'!$A2405=COL"&amp;"UMNS($A2405:E2424), E2404&amp;RIGHT(INDIRECT(ADDRESS(ROW(E2405)-1, 'From Order'!$A2405)), 1), E2404))"),"BRPHZMTSSPLR")</f>
        <v>BRPHZMTSSPLR</v>
      </c>
      <c r="F2405" s="2" t="str">
        <f>IFERROR(__xludf.DUMMYFUNCTION("IF('From Order'!$A2405=COLUMNS($A2405:F2424), LEFT(INDEX(FILTER(F$1:F2404, F$1:F2404&lt;&gt;""""),COUNTA(FILTER(F$1:F2404, F$1:F2404&lt;&gt;""""))), LEN(INDEX(FILTER(F$1:F2404, F$1:F2404&lt;&gt;""""),COUNTA(FILTER(F$1:F2404, F$1:F2404&lt;&gt;""""))))-1), IF('To Order'!$A2405=COL"&amp;"UMNS($A2405:F2424), F2404&amp;RIGHT(INDIRECT(ADDRESS(ROW(F2405)-1, 'From Order'!$A2405)), 1), F2404))"),"")</f>
        <v/>
      </c>
      <c r="G2405" s="2" t="str">
        <f>IFERROR(__xludf.DUMMYFUNCTION("IF('From Order'!$A2405=COLUMNS($A2405:G2424), LEFT(INDEX(FILTER(G$1:G2404, G$1:G2404&lt;&gt;""""),COUNTA(FILTER(G$1:G2404, G$1:G2404&lt;&gt;""""))), LEN(INDEX(FILTER(G$1:G2404, G$1:G2404&lt;&gt;""""),COUNTA(FILTER(G$1:G2404, G$1:G2404&lt;&gt;""""))))-1), IF('To Order'!$A2405=COL"&amp;"UMNS($A2405:G2424), G2404&amp;RIGHT(INDIRECT(ADDRESS(ROW(G2405)-1, 'From Order'!$A2405)), 1), G2404))"),"BWGQVDD")</f>
        <v>BWGQVDD</v>
      </c>
      <c r="H2405" s="2" t="str">
        <f>IFERROR(__xludf.DUMMYFUNCTION("IF('From Order'!$A2405=COLUMNS($A2405:H2424), LEFT(INDEX(FILTER(H$1:H2404, H$1:H2404&lt;&gt;""""),COUNTA(FILTER(H$1:H2404, H$1:H2404&lt;&gt;""""))), LEN(INDEX(FILTER(H$1:H2404, H$1:H2404&lt;&gt;""""),COUNTA(FILTER(H$1:H2404, H$1:H2404&lt;&gt;""""))))-1), IF('To Order'!$A2405=COL"&amp;"UMNS($A2405:H2424), H2404&amp;RIGHT(INDIRECT(ADDRESS(ROW(H2405)-1, 'From Order'!$A2405)), 1), H2404))"),"")</f>
        <v/>
      </c>
      <c r="I2405" s="2" t="str">
        <f>IFERROR(__xludf.DUMMYFUNCTION("IF('From Order'!$A2405=COLUMNS($A2405:I2424), LEFT(INDEX(FILTER(I$1:I2404, I$1:I2404&lt;&gt;""""),COUNTA(FILTER(I$1:I2404, I$1:I2404&lt;&gt;""""))), LEN(INDEX(FILTER(I$1:I2404, I$1:I2404&lt;&gt;""""),COUNTA(FILTER(I$1:I2404, I$1:I2404&lt;&gt;""""))))-1), IF('To Order'!$A2405=COL"&amp;"UMNS($A2405:I2424), I2404&amp;RIGHT(INDIRECT(ADDRESS(ROW(I2405)-1, 'From Order'!$A2405)), 1), I2404))"),"D")</f>
        <v>D</v>
      </c>
    </row>
    <row r="2406">
      <c r="A2406" s="2" t="str">
        <f>IFERROR(__xludf.DUMMYFUNCTION("IF('From Order'!$A2406=COLUMNS($A2406:A2425), LEFT(INDEX(FILTER(A$1:A2405, A$1:A2405&lt;&gt;""""),COUNTA(FILTER(A$1:A2405, A$1:A2405&lt;&gt;""""))), LEN(INDEX(FILTER(A$1:A2405, A$1:A2405&lt;&gt;""""),COUNTA(FILTER(A$1:A2405, A$1:A2405&lt;&gt;""""))))-1), IF('To Order'!$A2406=COL"&amp;"UMNS($A2406:A2425), A2405&amp;RIGHT(INDIRECT(ADDRESS(ROW(A2406)-1, 'From Order'!$A2406)), 1), A2405))"),"DRSZHTWLLFBDCCVQRSPMGTTMDZFJCTTJRR")</f>
        <v>DRSZHTWLLFBDCCVQRSPMGTTMDZFJCTTJRR</v>
      </c>
      <c r="B2406" s="2" t="str">
        <f>IFERROR(__xludf.DUMMYFUNCTION("IF('From Order'!$A2406=COLUMNS($A2406:B2425), LEFT(INDEX(FILTER(B$1:B2405, B$1:B2405&lt;&gt;""""),COUNTA(FILTER(B$1:B2405, B$1:B2405&lt;&gt;""""))), LEN(INDEX(FILTER(B$1:B2405, B$1:B2405&lt;&gt;""""),COUNTA(FILTER(B$1:B2405, B$1:B2405&lt;&gt;""""))))-1), IF('To Order'!$A2406=COL"&amp;"UMNS($A2406:B2425), B2405&amp;RIGHT(INDIRECT(ADDRESS(ROW(B2406)-1, 'From Order'!$A2406)), 1), B2405))"),"")</f>
        <v/>
      </c>
      <c r="C2406" s="2" t="str">
        <f>IFERROR(__xludf.DUMMYFUNCTION("IF('From Order'!$A2406=COLUMNS($A2406:C2425), LEFT(INDEX(FILTER(C$1:C2405, C$1:C2405&lt;&gt;""""),COUNTA(FILTER(C$1:C2405, C$1:C2405&lt;&gt;""""))), LEN(INDEX(FILTER(C$1:C2405, C$1:C2405&lt;&gt;""""),COUNTA(FILTER(C$1:C2405, C$1:C2405&lt;&gt;""""))))-1), IF('To Order'!$A2406=COL"&amp;"UMNS($A2406:C2425), C2405&amp;RIGHT(INDIRECT(ADDRESS(ROW(C2406)-1, 'From Order'!$A2406)), 1), C2405))"),"VBJ")</f>
        <v>VBJ</v>
      </c>
      <c r="D2406" s="2" t="str">
        <f>IFERROR(__xludf.DUMMYFUNCTION("IF('From Order'!$A2406=COLUMNS($A2406:D2425), LEFT(INDEX(FILTER(D$1:D2405, D$1:D2405&lt;&gt;""""),COUNTA(FILTER(D$1:D2405, D$1:D2405&lt;&gt;""""))), LEN(INDEX(FILTER(D$1:D2405, D$1:D2405&lt;&gt;""""),COUNTA(FILTER(D$1:D2405, D$1:D2405&lt;&gt;""""))))-1), IF('To Order'!$A2406=COL"&amp;"UMNS($A2406:D2425), D2405&amp;RIGHT(INDIRECT(ADDRESS(ROW(D2406)-1, 'From Order'!$A2406)), 1), D2405))"),"")</f>
        <v/>
      </c>
      <c r="E2406" s="2" t="str">
        <f>IFERROR(__xludf.DUMMYFUNCTION("IF('From Order'!$A2406=COLUMNS($A2406:E2425), LEFT(INDEX(FILTER(E$1:E2405, E$1:E2405&lt;&gt;""""),COUNTA(FILTER(E$1:E2405, E$1:E2405&lt;&gt;""""))), LEN(INDEX(FILTER(E$1:E2405, E$1:E2405&lt;&gt;""""),COUNTA(FILTER(E$1:E2405, E$1:E2405&lt;&gt;""""))))-1), IF('To Order'!$A2406=COL"&amp;"UMNS($A2406:E2425), E2405&amp;RIGHT(INDIRECT(ADDRESS(ROW(E2406)-1, 'From Order'!$A2406)), 1), E2405))"),"BRPHZMTSSPL")</f>
        <v>BRPHZMTSSPL</v>
      </c>
      <c r="F2406" s="2" t="str">
        <f>IFERROR(__xludf.DUMMYFUNCTION("IF('From Order'!$A2406=COLUMNS($A2406:F2425), LEFT(INDEX(FILTER(F$1:F2405, F$1:F2405&lt;&gt;""""),COUNTA(FILTER(F$1:F2405, F$1:F2405&lt;&gt;""""))), LEN(INDEX(FILTER(F$1:F2405, F$1:F2405&lt;&gt;""""),COUNTA(FILTER(F$1:F2405, F$1:F2405&lt;&gt;""""))))-1), IF('To Order'!$A2406=COL"&amp;"UMNS($A2406:F2425), F2405&amp;RIGHT(INDIRECT(ADDRESS(ROW(F2406)-1, 'From Order'!$A2406)), 1), F2405))"),"")</f>
        <v/>
      </c>
      <c r="G2406" s="2" t="str">
        <f>IFERROR(__xludf.DUMMYFUNCTION("IF('From Order'!$A2406=COLUMNS($A2406:G2425), LEFT(INDEX(FILTER(G$1:G2405, G$1:G2405&lt;&gt;""""),COUNTA(FILTER(G$1:G2405, G$1:G2405&lt;&gt;""""))), LEN(INDEX(FILTER(G$1:G2405, G$1:G2405&lt;&gt;""""),COUNTA(FILTER(G$1:G2405, G$1:G2405&lt;&gt;""""))))-1), IF('To Order'!$A2406=COL"&amp;"UMNS($A2406:G2425), G2405&amp;RIGHT(INDIRECT(ADDRESS(ROW(G2406)-1, 'From Order'!$A2406)), 1), G2405))"),"BWGQVDD")</f>
        <v>BWGQVDD</v>
      </c>
      <c r="H2406" s="2" t="str">
        <f>IFERROR(__xludf.DUMMYFUNCTION("IF('From Order'!$A2406=COLUMNS($A2406:H2425), LEFT(INDEX(FILTER(H$1:H2405, H$1:H2405&lt;&gt;""""),COUNTA(FILTER(H$1:H2405, H$1:H2405&lt;&gt;""""))), LEN(INDEX(FILTER(H$1:H2405, H$1:H2405&lt;&gt;""""),COUNTA(FILTER(H$1:H2405, H$1:H2405&lt;&gt;""""))))-1), IF('To Order'!$A2406=COL"&amp;"UMNS($A2406:H2425), H2405&amp;RIGHT(INDIRECT(ADDRESS(ROW(H2406)-1, 'From Order'!$A2406)), 1), H2405))"),"")</f>
        <v/>
      </c>
      <c r="I2406" s="2" t="str">
        <f>IFERROR(__xludf.DUMMYFUNCTION("IF('From Order'!$A2406=COLUMNS($A2406:I2425), LEFT(INDEX(FILTER(I$1:I2405, I$1:I2405&lt;&gt;""""),COUNTA(FILTER(I$1:I2405, I$1:I2405&lt;&gt;""""))), LEN(INDEX(FILTER(I$1:I2405, I$1:I2405&lt;&gt;""""),COUNTA(FILTER(I$1:I2405, I$1:I2405&lt;&gt;""""))))-1), IF('To Order'!$A2406=COL"&amp;"UMNS($A2406:I2425), I2405&amp;RIGHT(INDIRECT(ADDRESS(ROW(I2406)-1, 'From Order'!$A2406)), 1), I2405))"),"D")</f>
        <v>D</v>
      </c>
    </row>
    <row r="2407">
      <c r="A2407" s="2" t="str">
        <f>IFERROR(__xludf.DUMMYFUNCTION("IF('From Order'!$A2407=COLUMNS($A2407:A2426), LEFT(INDEX(FILTER(A$1:A2406, A$1:A2406&lt;&gt;""""),COUNTA(FILTER(A$1:A2406, A$1:A2406&lt;&gt;""""))), LEN(INDEX(FILTER(A$1:A2406, A$1:A2406&lt;&gt;""""),COUNTA(FILTER(A$1:A2406, A$1:A2406&lt;&gt;""""))))-1), IF('To Order'!$A2407=COL"&amp;"UMNS($A2407:A2426), A2406&amp;RIGHT(INDIRECT(ADDRESS(ROW(A2407)-1, 'From Order'!$A2407)), 1), A2406))"),"DRSZHTWLLFBDCCVQRSPMGTTMDZFJCTTJRRL")</f>
        <v>DRSZHTWLLFBDCCVQRSPMGTTMDZFJCTTJRRL</v>
      </c>
      <c r="B2407" s="2" t="str">
        <f>IFERROR(__xludf.DUMMYFUNCTION("IF('From Order'!$A2407=COLUMNS($A2407:B2426), LEFT(INDEX(FILTER(B$1:B2406, B$1:B2406&lt;&gt;""""),COUNTA(FILTER(B$1:B2406, B$1:B2406&lt;&gt;""""))), LEN(INDEX(FILTER(B$1:B2406, B$1:B2406&lt;&gt;""""),COUNTA(FILTER(B$1:B2406, B$1:B2406&lt;&gt;""""))))-1), IF('To Order'!$A2407=COL"&amp;"UMNS($A2407:B2426), B2406&amp;RIGHT(INDIRECT(ADDRESS(ROW(B2407)-1, 'From Order'!$A2407)), 1), B2406))"),"")</f>
        <v/>
      </c>
      <c r="C2407" s="2" t="str">
        <f>IFERROR(__xludf.DUMMYFUNCTION("IF('From Order'!$A2407=COLUMNS($A2407:C2426), LEFT(INDEX(FILTER(C$1:C2406, C$1:C2406&lt;&gt;""""),COUNTA(FILTER(C$1:C2406, C$1:C2406&lt;&gt;""""))), LEN(INDEX(FILTER(C$1:C2406, C$1:C2406&lt;&gt;""""),COUNTA(FILTER(C$1:C2406, C$1:C2406&lt;&gt;""""))))-1), IF('To Order'!$A2407=COL"&amp;"UMNS($A2407:C2426), C2406&amp;RIGHT(INDIRECT(ADDRESS(ROW(C2407)-1, 'From Order'!$A2407)), 1), C2406))"),"VBJ")</f>
        <v>VBJ</v>
      </c>
      <c r="D2407" s="2" t="str">
        <f>IFERROR(__xludf.DUMMYFUNCTION("IF('From Order'!$A2407=COLUMNS($A2407:D2426), LEFT(INDEX(FILTER(D$1:D2406, D$1:D2406&lt;&gt;""""),COUNTA(FILTER(D$1:D2406, D$1:D2406&lt;&gt;""""))), LEN(INDEX(FILTER(D$1:D2406, D$1:D2406&lt;&gt;""""),COUNTA(FILTER(D$1:D2406, D$1:D2406&lt;&gt;""""))))-1), IF('To Order'!$A2407=COL"&amp;"UMNS($A2407:D2426), D2406&amp;RIGHT(INDIRECT(ADDRESS(ROW(D2407)-1, 'From Order'!$A2407)), 1), D2406))"),"")</f>
        <v/>
      </c>
      <c r="E2407" s="2" t="str">
        <f>IFERROR(__xludf.DUMMYFUNCTION("IF('From Order'!$A2407=COLUMNS($A2407:E2426), LEFT(INDEX(FILTER(E$1:E2406, E$1:E2406&lt;&gt;""""),COUNTA(FILTER(E$1:E2406, E$1:E2406&lt;&gt;""""))), LEN(INDEX(FILTER(E$1:E2406, E$1:E2406&lt;&gt;""""),COUNTA(FILTER(E$1:E2406, E$1:E2406&lt;&gt;""""))))-1), IF('To Order'!$A2407=COL"&amp;"UMNS($A2407:E2426), E2406&amp;RIGHT(INDIRECT(ADDRESS(ROW(E2407)-1, 'From Order'!$A2407)), 1), E2406))"),"BRPHZMTSSP")</f>
        <v>BRPHZMTSSP</v>
      </c>
      <c r="F2407" s="2" t="str">
        <f>IFERROR(__xludf.DUMMYFUNCTION("IF('From Order'!$A2407=COLUMNS($A2407:F2426), LEFT(INDEX(FILTER(F$1:F2406, F$1:F2406&lt;&gt;""""),COUNTA(FILTER(F$1:F2406, F$1:F2406&lt;&gt;""""))), LEN(INDEX(FILTER(F$1:F2406, F$1:F2406&lt;&gt;""""),COUNTA(FILTER(F$1:F2406, F$1:F2406&lt;&gt;""""))))-1), IF('To Order'!$A2407=COL"&amp;"UMNS($A2407:F2426), F2406&amp;RIGHT(INDIRECT(ADDRESS(ROW(F2407)-1, 'From Order'!$A2407)), 1), F2406))"),"")</f>
        <v/>
      </c>
      <c r="G2407" s="2" t="str">
        <f>IFERROR(__xludf.DUMMYFUNCTION("IF('From Order'!$A2407=COLUMNS($A2407:G2426), LEFT(INDEX(FILTER(G$1:G2406, G$1:G2406&lt;&gt;""""),COUNTA(FILTER(G$1:G2406, G$1:G2406&lt;&gt;""""))), LEN(INDEX(FILTER(G$1:G2406, G$1:G2406&lt;&gt;""""),COUNTA(FILTER(G$1:G2406, G$1:G2406&lt;&gt;""""))))-1), IF('To Order'!$A2407=COL"&amp;"UMNS($A2407:G2426), G2406&amp;RIGHT(INDIRECT(ADDRESS(ROW(G2407)-1, 'From Order'!$A2407)), 1), G2406))"),"BWGQVDD")</f>
        <v>BWGQVDD</v>
      </c>
      <c r="H2407" s="2" t="str">
        <f>IFERROR(__xludf.DUMMYFUNCTION("IF('From Order'!$A2407=COLUMNS($A2407:H2426), LEFT(INDEX(FILTER(H$1:H2406, H$1:H2406&lt;&gt;""""),COUNTA(FILTER(H$1:H2406, H$1:H2406&lt;&gt;""""))), LEN(INDEX(FILTER(H$1:H2406, H$1:H2406&lt;&gt;""""),COUNTA(FILTER(H$1:H2406, H$1:H2406&lt;&gt;""""))))-1), IF('To Order'!$A2407=COL"&amp;"UMNS($A2407:H2426), H2406&amp;RIGHT(INDIRECT(ADDRESS(ROW(H2407)-1, 'From Order'!$A2407)), 1), H2406))"),"")</f>
        <v/>
      </c>
      <c r="I2407" s="2" t="str">
        <f>IFERROR(__xludf.DUMMYFUNCTION("IF('From Order'!$A2407=COLUMNS($A2407:I2426), LEFT(INDEX(FILTER(I$1:I2406, I$1:I2406&lt;&gt;""""),COUNTA(FILTER(I$1:I2406, I$1:I2406&lt;&gt;""""))), LEN(INDEX(FILTER(I$1:I2406, I$1:I2406&lt;&gt;""""),COUNTA(FILTER(I$1:I2406, I$1:I2406&lt;&gt;""""))))-1), IF('To Order'!$A2407=COL"&amp;"UMNS($A2407:I2426), I2406&amp;RIGHT(INDIRECT(ADDRESS(ROW(I2407)-1, 'From Order'!$A2407)), 1), I2406))"),"D")</f>
        <v>D</v>
      </c>
    </row>
    <row r="2408">
      <c r="A2408" s="2" t="str">
        <f>IFERROR(__xludf.DUMMYFUNCTION("IF('From Order'!$A2408=COLUMNS($A2408:A2427), LEFT(INDEX(FILTER(A$1:A2407, A$1:A2407&lt;&gt;""""),COUNTA(FILTER(A$1:A2407, A$1:A2407&lt;&gt;""""))), LEN(INDEX(FILTER(A$1:A2407, A$1:A2407&lt;&gt;""""),COUNTA(FILTER(A$1:A2407, A$1:A2407&lt;&gt;""""))))-1), IF('To Order'!$A2408=COL"&amp;"UMNS($A2408:A2427), A2407&amp;RIGHT(INDIRECT(ADDRESS(ROW(A2408)-1, 'From Order'!$A2408)), 1), A2407))"),"DRSZHTWLLFBDCCVQRSPMGTTMDZFJCTTJRRLP")</f>
        <v>DRSZHTWLLFBDCCVQRSPMGTTMDZFJCTTJRRLP</v>
      </c>
      <c r="B2408" s="2" t="str">
        <f>IFERROR(__xludf.DUMMYFUNCTION("IF('From Order'!$A2408=COLUMNS($A2408:B2427), LEFT(INDEX(FILTER(B$1:B2407, B$1:B2407&lt;&gt;""""),COUNTA(FILTER(B$1:B2407, B$1:B2407&lt;&gt;""""))), LEN(INDEX(FILTER(B$1:B2407, B$1:B2407&lt;&gt;""""),COUNTA(FILTER(B$1:B2407, B$1:B2407&lt;&gt;""""))))-1), IF('To Order'!$A2408=COL"&amp;"UMNS($A2408:B2427), B2407&amp;RIGHT(INDIRECT(ADDRESS(ROW(B2408)-1, 'From Order'!$A2408)), 1), B2407))"),"")</f>
        <v/>
      </c>
      <c r="C2408" s="2" t="str">
        <f>IFERROR(__xludf.DUMMYFUNCTION("IF('From Order'!$A2408=COLUMNS($A2408:C2427), LEFT(INDEX(FILTER(C$1:C2407, C$1:C2407&lt;&gt;""""),COUNTA(FILTER(C$1:C2407, C$1:C2407&lt;&gt;""""))), LEN(INDEX(FILTER(C$1:C2407, C$1:C2407&lt;&gt;""""),COUNTA(FILTER(C$1:C2407, C$1:C2407&lt;&gt;""""))))-1), IF('To Order'!$A2408=COL"&amp;"UMNS($A2408:C2427), C2407&amp;RIGHT(INDIRECT(ADDRESS(ROW(C2408)-1, 'From Order'!$A2408)), 1), C2407))"),"VBJ")</f>
        <v>VBJ</v>
      </c>
      <c r="D2408" s="2" t="str">
        <f>IFERROR(__xludf.DUMMYFUNCTION("IF('From Order'!$A2408=COLUMNS($A2408:D2427), LEFT(INDEX(FILTER(D$1:D2407, D$1:D2407&lt;&gt;""""),COUNTA(FILTER(D$1:D2407, D$1:D2407&lt;&gt;""""))), LEN(INDEX(FILTER(D$1:D2407, D$1:D2407&lt;&gt;""""),COUNTA(FILTER(D$1:D2407, D$1:D2407&lt;&gt;""""))))-1), IF('To Order'!$A2408=COL"&amp;"UMNS($A2408:D2427), D2407&amp;RIGHT(INDIRECT(ADDRESS(ROW(D2408)-1, 'From Order'!$A2408)), 1), D2407))"),"")</f>
        <v/>
      </c>
      <c r="E2408" s="2" t="str">
        <f>IFERROR(__xludf.DUMMYFUNCTION("IF('From Order'!$A2408=COLUMNS($A2408:E2427), LEFT(INDEX(FILTER(E$1:E2407, E$1:E2407&lt;&gt;""""),COUNTA(FILTER(E$1:E2407, E$1:E2407&lt;&gt;""""))), LEN(INDEX(FILTER(E$1:E2407, E$1:E2407&lt;&gt;""""),COUNTA(FILTER(E$1:E2407, E$1:E2407&lt;&gt;""""))))-1), IF('To Order'!$A2408=COL"&amp;"UMNS($A2408:E2427), E2407&amp;RIGHT(INDIRECT(ADDRESS(ROW(E2408)-1, 'From Order'!$A2408)), 1), E2407))"),"BRPHZMTSS")</f>
        <v>BRPHZMTSS</v>
      </c>
      <c r="F2408" s="2" t="str">
        <f>IFERROR(__xludf.DUMMYFUNCTION("IF('From Order'!$A2408=COLUMNS($A2408:F2427), LEFT(INDEX(FILTER(F$1:F2407, F$1:F2407&lt;&gt;""""),COUNTA(FILTER(F$1:F2407, F$1:F2407&lt;&gt;""""))), LEN(INDEX(FILTER(F$1:F2407, F$1:F2407&lt;&gt;""""),COUNTA(FILTER(F$1:F2407, F$1:F2407&lt;&gt;""""))))-1), IF('To Order'!$A2408=COL"&amp;"UMNS($A2408:F2427), F2407&amp;RIGHT(INDIRECT(ADDRESS(ROW(F2408)-1, 'From Order'!$A2408)), 1), F2407))"),"")</f>
        <v/>
      </c>
      <c r="G2408" s="2" t="str">
        <f>IFERROR(__xludf.DUMMYFUNCTION("IF('From Order'!$A2408=COLUMNS($A2408:G2427), LEFT(INDEX(FILTER(G$1:G2407, G$1:G2407&lt;&gt;""""),COUNTA(FILTER(G$1:G2407, G$1:G2407&lt;&gt;""""))), LEN(INDEX(FILTER(G$1:G2407, G$1:G2407&lt;&gt;""""),COUNTA(FILTER(G$1:G2407, G$1:G2407&lt;&gt;""""))))-1), IF('To Order'!$A2408=COL"&amp;"UMNS($A2408:G2427), G2407&amp;RIGHT(INDIRECT(ADDRESS(ROW(G2408)-1, 'From Order'!$A2408)), 1), G2407))"),"BWGQVDD")</f>
        <v>BWGQVDD</v>
      </c>
      <c r="H2408" s="2" t="str">
        <f>IFERROR(__xludf.DUMMYFUNCTION("IF('From Order'!$A2408=COLUMNS($A2408:H2427), LEFT(INDEX(FILTER(H$1:H2407, H$1:H2407&lt;&gt;""""),COUNTA(FILTER(H$1:H2407, H$1:H2407&lt;&gt;""""))), LEN(INDEX(FILTER(H$1:H2407, H$1:H2407&lt;&gt;""""),COUNTA(FILTER(H$1:H2407, H$1:H2407&lt;&gt;""""))))-1), IF('To Order'!$A2408=COL"&amp;"UMNS($A2408:H2427), H2407&amp;RIGHT(INDIRECT(ADDRESS(ROW(H2408)-1, 'From Order'!$A2408)), 1), H2407))"),"")</f>
        <v/>
      </c>
      <c r="I2408" s="2" t="str">
        <f>IFERROR(__xludf.DUMMYFUNCTION("IF('From Order'!$A2408=COLUMNS($A2408:I2427), LEFT(INDEX(FILTER(I$1:I2407, I$1:I2407&lt;&gt;""""),COUNTA(FILTER(I$1:I2407, I$1:I2407&lt;&gt;""""))), LEN(INDEX(FILTER(I$1:I2407, I$1:I2407&lt;&gt;""""),COUNTA(FILTER(I$1:I2407, I$1:I2407&lt;&gt;""""))))-1), IF('To Order'!$A2408=COL"&amp;"UMNS($A2408:I2427), I2407&amp;RIGHT(INDIRECT(ADDRESS(ROW(I2408)-1, 'From Order'!$A2408)), 1), I2407))"),"D")</f>
        <v>D</v>
      </c>
    </row>
    <row r="2409">
      <c r="A2409" s="2" t="str">
        <f>IFERROR(__xludf.DUMMYFUNCTION("IF('From Order'!$A2409=COLUMNS($A2409:A2428), LEFT(INDEX(FILTER(A$1:A2408, A$1:A2408&lt;&gt;""""),COUNTA(FILTER(A$1:A2408, A$1:A2408&lt;&gt;""""))), LEN(INDEX(FILTER(A$1:A2408, A$1:A2408&lt;&gt;""""),COUNTA(FILTER(A$1:A2408, A$1:A2408&lt;&gt;""""))))-1), IF('To Order'!$A2409=COL"&amp;"UMNS($A2409:A2428), A2408&amp;RIGHT(INDIRECT(ADDRESS(ROW(A2409)-1, 'From Order'!$A2409)), 1), A2408))"),"DRSZHTWLLFBDCCVQRSPMGTTMDZFJCTTJRRLPS")</f>
        <v>DRSZHTWLLFBDCCVQRSPMGTTMDZFJCTTJRRLPS</v>
      </c>
      <c r="B2409" s="2" t="str">
        <f>IFERROR(__xludf.DUMMYFUNCTION("IF('From Order'!$A2409=COLUMNS($A2409:B2428), LEFT(INDEX(FILTER(B$1:B2408, B$1:B2408&lt;&gt;""""),COUNTA(FILTER(B$1:B2408, B$1:B2408&lt;&gt;""""))), LEN(INDEX(FILTER(B$1:B2408, B$1:B2408&lt;&gt;""""),COUNTA(FILTER(B$1:B2408, B$1:B2408&lt;&gt;""""))))-1), IF('To Order'!$A2409=COL"&amp;"UMNS($A2409:B2428), B2408&amp;RIGHT(INDIRECT(ADDRESS(ROW(B2409)-1, 'From Order'!$A2409)), 1), B2408))"),"")</f>
        <v/>
      </c>
      <c r="C2409" s="2" t="str">
        <f>IFERROR(__xludf.DUMMYFUNCTION("IF('From Order'!$A2409=COLUMNS($A2409:C2428), LEFT(INDEX(FILTER(C$1:C2408, C$1:C2408&lt;&gt;""""),COUNTA(FILTER(C$1:C2408, C$1:C2408&lt;&gt;""""))), LEN(INDEX(FILTER(C$1:C2408, C$1:C2408&lt;&gt;""""),COUNTA(FILTER(C$1:C2408, C$1:C2408&lt;&gt;""""))))-1), IF('To Order'!$A2409=COL"&amp;"UMNS($A2409:C2428), C2408&amp;RIGHT(INDIRECT(ADDRESS(ROW(C2409)-1, 'From Order'!$A2409)), 1), C2408))"),"VBJ")</f>
        <v>VBJ</v>
      </c>
      <c r="D2409" s="2" t="str">
        <f>IFERROR(__xludf.DUMMYFUNCTION("IF('From Order'!$A2409=COLUMNS($A2409:D2428), LEFT(INDEX(FILTER(D$1:D2408, D$1:D2408&lt;&gt;""""),COUNTA(FILTER(D$1:D2408, D$1:D2408&lt;&gt;""""))), LEN(INDEX(FILTER(D$1:D2408, D$1:D2408&lt;&gt;""""),COUNTA(FILTER(D$1:D2408, D$1:D2408&lt;&gt;""""))))-1), IF('To Order'!$A2409=COL"&amp;"UMNS($A2409:D2428), D2408&amp;RIGHT(INDIRECT(ADDRESS(ROW(D2409)-1, 'From Order'!$A2409)), 1), D2408))"),"")</f>
        <v/>
      </c>
      <c r="E2409" s="2" t="str">
        <f>IFERROR(__xludf.DUMMYFUNCTION("IF('From Order'!$A2409=COLUMNS($A2409:E2428), LEFT(INDEX(FILTER(E$1:E2408, E$1:E2408&lt;&gt;""""),COUNTA(FILTER(E$1:E2408, E$1:E2408&lt;&gt;""""))), LEN(INDEX(FILTER(E$1:E2408, E$1:E2408&lt;&gt;""""),COUNTA(FILTER(E$1:E2408, E$1:E2408&lt;&gt;""""))))-1), IF('To Order'!$A2409=COL"&amp;"UMNS($A2409:E2428), E2408&amp;RIGHT(INDIRECT(ADDRESS(ROW(E2409)-1, 'From Order'!$A2409)), 1), E2408))"),"BRPHZMTS")</f>
        <v>BRPHZMTS</v>
      </c>
      <c r="F2409" s="2" t="str">
        <f>IFERROR(__xludf.DUMMYFUNCTION("IF('From Order'!$A2409=COLUMNS($A2409:F2428), LEFT(INDEX(FILTER(F$1:F2408, F$1:F2408&lt;&gt;""""),COUNTA(FILTER(F$1:F2408, F$1:F2408&lt;&gt;""""))), LEN(INDEX(FILTER(F$1:F2408, F$1:F2408&lt;&gt;""""),COUNTA(FILTER(F$1:F2408, F$1:F2408&lt;&gt;""""))))-1), IF('To Order'!$A2409=COL"&amp;"UMNS($A2409:F2428), F2408&amp;RIGHT(INDIRECT(ADDRESS(ROW(F2409)-1, 'From Order'!$A2409)), 1), F2408))"),"")</f>
        <v/>
      </c>
      <c r="G2409" s="2" t="str">
        <f>IFERROR(__xludf.DUMMYFUNCTION("IF('From Order'!$A2409=COLUMNS($A2409:G2428), LEFT(INDEX(FILTER(G$1:G2408, G$1:G2408&lt;&gt;""""),COUNTA(FILTER(G$1:G2408, G$1:G2408&lt;&gt;""""))), LEN(INDEX(FILTER(G$1:G2408, G$1:G2408&lt;&gt;""""),COUNTA(FILTER(G$1:G2408, G$1:G2408&lt;&gt;""""))))-1), IF('To Order'!$A2409=COL"&amp;"UMNS($A2409:G2428), G2408&amp;RIGHT(INDIRECT(ADDRESS(ROW(G2409)-1, 'From Order'!$A2409)), 1), G2408))"),"BWGQVDD")</f>
        <v>BWGQVDD</v>
      </c>
      <c r="H2409" s="2" t="str">
        <f>IFERROR(__xludf.DUMMYFUNCTION("IF('From Order'!$A2409=COLUMNS($A2409:H2428), LEFT(INDEX(FILTER(H$1:H2408, H$1:H2408&lt;&gt;""""),COUNTA(FILTER(H$1:H2408, H$1:H2408&lt;&gt;""""))), LEN(INDEX(FILTER(H$1:H2408, H$1:H2408&lt;&gt;""""),COUNTA(FILTER(H$1:H2408, H$1:H2408&lt;&gt;""""))))-1), IF('To Order'!$A2409=COL"&amp;"UMNS($A2409:H2428), H2408&amp;RIGHT(INDIRECT(ADDRESS(ROW(H2409)-1, 'From Order'!$A2409)), 1), H2408))"),"")</f>
        <v/>
      </c>
      <c r="I2409" s="2" t="str">
        <f>IFERROR(__xludf.DUMMYFUNCTION("IF('From Order'!$A2409=COLUMNS($A2409:I2428), LEFT(INDEX(FILTER(I$1:I2408, I$1:I2408&lt;&gt;""""),COUNTA(FILTER(I$1:I2408, I$1:I2408&lt;&gt;""""))), LEN(INDEX(FILTER(I$1:I2408, I$1:I2408&lt;&gt;""""),COUNTA(FILTER(I$1:I2408, I$1:I2408&lt;&gt;""""))))-1), IF('To Order'!$A2409=COL"&amp;"UMNS($A2409:I2428), I2408&amp;RIGHT(INDIRECT(ADDRESS(ROW(I2409)-1, 'From Order'!$A2409)), 1), I2408))"),"D")</f>
        <v>D</v>
      </c>
    </row>
    <row r="2410">
      <c r="A2410" s="2" t="str">
        <f>IFERROR(__xludf.DUMMYFUNCTION("IF('From Order'!$A2410=COLUMNS($A2410:A2429), LEFT(INDEX(FILTER(A$1:A2409, A$1:A2409&lt;&gt;""""),COUNTA(FILTER(A$1:A2409, A$1:A2409&lt;&gt;""""))), LEN(INDEX(FILTER(A$1:A2409, A$1:A2409&lt;&gt;""""),COUNTA(FILTER(A$1:A2409, A$1:A2409&lt;&gt;""""))))-1), IF('To Order'!$A2410=COL"&amp;"UMNS($A2410:A2429), A2409&amp;RIGHT(INDIRECT(ADDRESS(ROW(A2410)-1, 'From Order'!$A2410)), 1), A2409))"),"DRSZHTWLLFBDCCVQRSPMGTTMDZFJCTTJRRLPSS")</f>
        <v>DRSZHTWLLFBDCCVQRSPMGTTMDZFJCTTJRRLPSS</v>
      </c>
      <c r="B2410" s="2" t="str">
        <f>IFERROR(__xludf.DUMMYFUNCTION("IF('From Order'!$A2410=COLUMNS($A2410:B2429), LEFT(INDEX(FILTER(B$1:B2409, B$1:B2409&lt;&gt;""""),COUNTA(FILTER(B$1:B2409, B$1:B2409&lt;&gt;""""))), LEN(INDEX(FILTER(B$1:B2409, B$1:B2409&lt;&gt;""""),COUNTA(FILTER(B$1:B2409, B$1:B2409&lt;&gt;""""))))-1), IF('To Order'!$A2410=COL"&amp;"UMNS($A2410:B2429), B2409&amp;RIGHT(INDIRECT(ADDRESS(ROW(B2410)-1, 'From Order'!$A2410)), 1), B2409))"),"")</f>
        <v/>
      </c>
      <c r="C2410" s="2" t="str">
        <f>IFERROR(__xludf.DUMMYFUNCTION("IF('From Order'!$A2410=COLUMNS($A2410:C2429), LEFT(INDEX(FILTER(C$1:C2409, C$1:C2409&lt;&gt;""""),COUNTA(FILTER(C$1:C2409, C$1:C2409&lt;&gt;""""))), LEN(INDEX(FILTER(C$1:C2409, C$1:C2409&lt;&gt;""""),COUNTA(FILTER(C$1:C2409, C$1:C2409&lt;&gt;""""))))-1), IF('To Order'!$A2410=COL"&amp;"UMNS($A2410:C2429), C2409&amp;RIGHT(INDIRECT(ADDRESS(ROW(C2410)-1, 'From Order'!$A2410)), 1), C2409))"),"VBJ")</f>
        <v>VBJ</v>
      </c>
      <c r="D2410" s="2" t="str">
        <f>IFERROR(__xludf.DUMMYFUNCTION("IF('From Order'!$A2410=COLUMNS($A2410:D2429), LEFT(INDEX(FILTER(D$1:D2409, D$1:D2409&lt;&gt;""""),COUNTA(FILTER(D$1:D2409, D$1:D2409&lt;&gt;""""))), LEN(INDEX(FILTER(D$1:D2409, D$1:D2409&lt;&gt;""""),COUNTA(FILTER(D$1:D2409, D$1:D2409&lt;&gt;""""))))-1), IF('To Order'!$A2410=COL"&amp;"UMNS($A2410:D2429), D2409&amp;RIGHT(INDIRECT(ADDRESS(ROW(D2410)-1, 'From Order'!$A2410)), 1), D2409))"),"")</f>
        <v/>
      </c>
      <c r="E2410" s="2" t="str">
        <f>IFERROR(__xludf.DUMMYFUNCTION("IF('From Order'!$A2410=COLUMNS($A2410:E2429), LEFT(INDEX(FILTER(E$1:E2409, E$1:E2409&lt;&gt;""""),COUNTA(FILTER(E$1:E2409, E$1:E2409&lt;&gt;""""))), LEN(INDEX(FILTER(E$1:E2409, E$1:E2409&lt;&gt;""""),COUNTA(FILTER(E$1:E2409, E$1:E2409&lt;&gt;""""))))-1), IF('To Order'!$A2410=COL"&amp;"UMNS($A2410:E2429), E2409&amp;RIGHT(INDIRECT(ADDRESS(ROW(E2410)-1, 'From Order'!$A2410)), 1), E2409))"),"BRPHZMT")</f>
        <v>BRPHZMT</v>
      </c>
      <c r="F2410" s="2" t="str">
        <f>IFERROR(__xludf.DUMMYFUNCTION("IF('From Order'!$A2410=COLUMNS($A2410:F2429), LEFT(INDEX(FILTER(F$1:F2409, F$1:F2409&lt;&gt;""""),COUNTA(FILTER(F$1:F2409, F$1:F2409&lt;&gt;""""))), LEN(INDEX(FILTER(F$1:F2409, F$1:F2409&lt;&gt;""""),COUNTA(FILTER(F$1:F2409, F$1:F2409&lt;&gt;""""))))-1), IF('To Order'!$A2410=COL"&amp;"UMNS($A2410:F2429), F2409&amp;RIGHT(INDIRECT(ADDRESS(ROW(F2410)-1, 'From Order'!$A2410)), 1), F2409))"),"")</f>
        <v/>
      </c>
      <c r="G2410" s="2" t="str">
        <f>IFERROR(__xludf.DUMMYFUNCTION("IF('From Order'!$A2410=COLUMNS($A2410:G2429), LEFT(INDEX(FILTER(G$1:G2409, G$1:G2409&lt;&gt;""""),COUNTA(FILTER(G$1:G2409, G$1:G2409&lt;&gt;""""))), LEN(INDEX(FILTER(G$1:G2409, G$1:G2409&lt;&gt;""""),COUNTA(FILTER(G$1:G2409, G$1:G2409&lt;&gt;""""))))-1), IF('To Order'!$A2410=COL"&amp;"UMNS($A2410:G2429), G2409&amp;RIGHT(INDIRECT(ADDRESS(ROW(G2410)-1, 'From Order'!$A2410)), 1), G2409))"),"BWGQVDD")</f>
        <v>BWGQVDD</v>
      </c>
      <c r="H2410" s="2" t="str">
        <f>IFERROR(__xludf.DUMMYFUNCTION("IF('From Order'!$A2410=COLUMNS($A2410:H2429), LEFT(INDEX(FILTER(H$1:H2409, H$1:H2409&lt;&gt;""""),COUNTA(FILTER(H$1:H2409, H$1:H2409&lt;&gt;""""))), LEN(INDEX(FILTER(H$1:H2409, H$1:H2409&lt;&gt;""""),COUNTA(FILTER(H$1:H2409, H$1:H2409&lt;&gt;""""))))-1), IF('To Order'!$A2410=COL"&amp;"UMNS($A2410:H2429), H2409&amp;RIGHT(INDIRECT(ADDRESS(ROW(H2410)-1, 'From Order'!$A2410)), 1), H2409))"),"")</f>
        <v/>
      </c>
      <c r="I2410" s="2" t="str">
        <f>IFERROR(__xludf.DUMMYFUNCTION("IF('From Order'!$A2410=COLUMNS($A2410:I2429), LEFT(INDEX(FILTER(I$1:I2409, I$1:I2409&lt;&gt;""""),COUNTA(FILTER(I$1:I2409, I$1:I2409&lt;&gt;""""))), LEN(INDEX(FILTER(I$1:I2409, I$1:I2409&lt;&gt;""""),COUNTA(FILTER(I$1:I2409, I$1:I2409&lt;&gt;""""))))-1), IF('To Order'!$A2410=COL"&amp;"UMNS($A2410:I2429), I2409&amp;RIGHT(INDIRECT(ADDRESS(ROW(I2410)-1, 'From Order'!$A2410)), 1), I2409))"),"D")</f>
        <v>D</v>
      </c>
    </row>
    <row r="2411">
      <c r="A2411" s="2" t="str">
        <f>IFERROR(__xludf.DUMMYFUNCTION("IF('From Order'!$A2411=COLUMNS($A2411:A2430), LEFT(INDEX(FILTER(A$1:A2410, A$1:A2410&lt;&gt;""""),COUNTA(FILTER(A$1:A2410, A$1:A2410&lt;&gt;""""))), LEN(INDEX(FILTER(A$1:A2410, A$1:A2410&lt;&gt;""""),COUNTA(FILTER(A$1:A2410, A$1:A2410&lt;&gt;""""))))-1), IF('To Order'!$A2411=COL"&amp;"UMNS($A2411:A2430), A2410&amp;RIGHT(INDIRECT(ADDRESS(ROW(A2411)-1, 'From Order'!$A2411)), 1), A2410))"),"DRSZHTWLLFBDCCVQRSPMGTTMDZFJCTTJRRLPSS")</f>
        <v>DRSZHTWLLFBDCCVQRSPMGTTMDZFJCTTJRRLPSS</v>
      </c>
      <c r="B2411" s="2" t="str">
        <f>IFERROR(__xludf.DUMMYFUNCTION("IF('From Order'!$A2411=COLUMNS($A2411:B2430), LEFT(INDEX(FILTER(B$1:B2410, B$1:B2410&lt;&gt;""""),COUNTA(FILTER(B$1:B2410, B$1:B2410&lt;&gt;""""))), LEN(INDEX(FILTER(B$1:B2410, B$1:B2410&lt;&gt;""""),COUNTA(FILTER(B$1:B2410, B$1:B2410&lt;&gt;""""))))-1), IF('To Order'!$A2411=COL"&amp;"UMNS($A2411:B2430), B2410&amp;RIGHT(INDIRECT(ADDRESS(ROW(B2411)-1, 'From Order'!$A2411)), 1), B2410))"),"")</f>
        <v/>
      </c>
      <c r="C2411" s="2" t="str">
        <f>IFERROR(__xludf.DUMMYFUNCTION("IF('From Order'!$A2411=COLUMNS($A2411:C2430), LEFT(INDEX(FILTER(C$1:C2410, C$1:C2410&lt;&gt;""""),COUNTA(FILTER(C$1:C2410, C$1:C2410&lt;&gt;""""))), LEN(INDEX(FILTER(C$1:C2410, C$1:C2410&lt;&gt;""""),COUNTA(FILTER(C$1:C2410, C$1:C2410&lt;&gt;""""))))-1), IF('To Order'!$A2411=COL"&amp;"UMNS($A2411:C2430), C2410&amp;RIGHT(INDIRECT(ADDRESS(ROW(C2411)-1, 'From Order'!$A2411)), 1), C2410))"),"VBJD")</f>
        <v>VBJD</v>
      </c>
      <c r="D2411" s="2" t="str">
        <f>IFERROR(__xludf.DUMMYFUNCTION("IF('From Order'!$A2411=COLUMNS($A2411:D2430), LEFT(INDEX(FILTER(D$1:D2410, D$1:D2410&lt;&gt;""""),COUNTA(FILTER(D$1:D2410, D$1:D2410&lt;&gt;""""))), LEN(INDEX(FILTER(D$1:D2410, D$1:D2410&lt;&gt;""""),COUNTA(FILTER(D$1:D2410, D$1:D2410&lt;&gt;""""))))-1), IF('To Order'!$A2411=COL"&amp;"UMNS($A2411:D2430), D2410&amp;RIGHT(INDIRECT(ADDRESS(ROW(D2411)-1, 'From Order'!$A2411)), 1), D2410))"),"")</f>
        <v/>
      </c>
      <c r="E2411" s="2" t="str">
        <f>IFERROR(__xludf.DUMMYFUNCTION("IF('From Order'!$A2411=COLUMNS($A2411:E2430), LEFT(INDEX(FILTER(E$1:E2410, E$1:E2410&lt;&gt;""""),COUNTA(FILTER(E$1:E2410, E$1:E2410&lt;&gt;""""))), LEN(INDEX(FILTER(E$1:E2410, E$1:E2410&lt;&gt;""""),COUNTA(FILTER(E$1:E2410, E$1:E2410&lt;&gt;""""))))-1), IF('To Order'!$A2411=COL"&amp;"UMNS($A2411:E2430), E2410&amp;RIGHT(INDIRECT(ADDRESS(ROW(E2411)-1, 'From Order'!$A2411)), 1), E2410))"),"BRPHZMT")</f>
        <v>BRPHZMT</v>
      </c>
      <c r="F2411" s="2" t="str">
        <f>IFERROR(__xludf.DUMMYFUNCTION("IF('From Order'!$A2411=COLUMNS($A2411:F2430), LEFT(INDEX(FILTER(F$1:F2410, F$1:F2410&lt;&gt;""""),COUNTA(FILTER(F$1:F2410, F$1:F2410&lt;&gt;""""))), LEN(INDEX(FILTER(F$1:F2410, F$1:F2410&lt;&gt;""""),COUNTA(FILTER(F$1:F2410, F$1:F2410&lt;&gt;""""))))-1), IF('To Order'!$A2411=COL"&amp;"UMNS($A2411:F2430), F2410&amp;RIGHT(INDIRECT(ADDRESS(ROW(F2411)-1, 'From Order'!$A2411)), 1), F2410))"),"")</f>
        <v/>
      </c>
      <c r="G2411" s="2" t="str">
        <f>IFERROR(__xludf.DUMMYFUNCTION("IF('From Order'!$A2411=COLUMNS($A2411:G2430), LEFT(INDEX(FILTER(G$1:G2410, G$1:G2410&lt;&gt;""""),COUNTA(FILTER(G$1:G2410, G$1:G2410&lt;&gt;""""))), LEN(INDEX(FILTER(G$1:G2410, G$1:G2410&lt;&gt;""""),COUNTA(FILTER(G$1:G2410, G$1:G2410&lt;&gt;""""))))-1), IF('To Order'!$A2411=COL"&amp;"UMNS($A2411:G2430), G2410&amp;RIGHT(INDIRECT(ADDRESS(ROW(G2411)-1, 'From Order'!$A2411)), 1), G2410))"),"BWGQVD")</f>
        <v>BWGQVD</v>
      </c>
      <c r="H2411" s="2" t="str">
        <f>IFERROR(__xludf.DUMMYFUNCTION("IF('From Order'!$A2411=COLUMNS($A2411:H2430), LEFT(INDEX(FILTER(H$1:H2410, H$1:H2410&lt;&gt;""""),COUNTA(FILTER(H$1:H2410, H$1:H2410&lt;&gt;""""))), LEN(INDEX(FILTER(H$1:H2410, H$1:H2410&lt;&gt;""""),COUNTA(FILTER(H$1:H2410, H$1:H2410&lt;&gt;""""))))-1), IF('To Order'!$A2411=COL"&amp;"UMNS($A2411:H2430), H2410&amp;RIGHT(INDIRECT(ADDRESS(ROW(H2411)-1, 'From Order'!$A2411)), 1), H2410))"),"")</f>
        <v/>
      </c>
      <c r="I2411" s="2" t="str">
        <f>IFERROR(__xludf.DUMMYFUNCTION("IF('From Order'!$A2411=COLUMNS($A2411:I2430), LEFT(INDEX(FILTER(I$1:I2410, I$1:I2410&lt;&gt;""""),COUNTA(FILTER(I$1:I2410, I$1:I2410&lt;&gt;""""))), LEN(INDEX(FILTER(I$1:I2410, I$1:I2410&lt;&gt;""""),COUNTA(FILTER(I$1:I2410, I$1:I2410&lt;&gt;""""))))-1), IF('To Order'!$A2411=COL"&amp;"UMNS($A2411:I2430), I2410&amp;RIGHT(INDIRECT(ADDRESS(ROW(I2411)-1, 'From Order'!$A2411)), 1), I2410))"),"D")</f>
        <v>D</v>
      </c>
    </row>
    <row r="2412">
      <c r="A2412" s="2" t="str">
        <f>IFERROR(__xludf.DUMMYFUNCTION("IF('From Order'!$A2412=COLUMNS($A2412:A2431), LEFT(INDEX(FILTER(A$1:A2411, A$1:A2411&lt;&gt;""""),COUNTA(FILTER(A$1:A2411, A$1:A2411&lt;&gt;""""))), LEN(INDEX(FILTER(A$1:A2411, A$1:A2411&lt;&gt;""""),COUNTA(FILTER(A$1:A2411, A$1:A2411&lt;&gt;""""))))-1), IF('To Order'!$A2412=COL"&amp;"UMNS($A2412:A2431), A2411&amp;RIGHT(INDIRECT(ADDRESS(ROW(A2412)-1, 'From Order'!$A2412)), 1), A2411))"),"DRSZHTWLLFBDCCVQRSPMGTTMDZFJCTTJRRLPSS")</f>
        <v>DRSZHTWLLFBDCCVQRSPMGTTMDZFJCTTJRRLPSS</v>
      </c>
      <c r="B2412" s="2" t="str">
        <f>IFERROR(__xludf.DUMMYFUNCTION("IF('From Order'!$A2412=COLUMNS($A2412:B2431), LEFT(INDEX(FILTER(B$1:B2411, B$1:B2411&lt;&gt;""""),COUNTA(FILTER(B$1:B2411, B$1:B2411&lt;&gt;""""))), LEN(INDEX(FILTER(B$1:B2411, B$1:B2411&lt;&gt;""""),COUNTA(FILTER(B$1:B2411, B$1:B2411&lt;&gt;""""))))-1), IF('To Order'!$A2412=COL"&amp;"UMNS($A2412:B2431), B2411&amp;RIGHT(INDIRECT(ADDRESS(ROW(B2412)-1, 'From Order'!$A2412)), 1), B2411))"),"")</f>
        <v/>
      </c>
      <c r="C2412" s="2" t="str">
        <f>IFERROR(__xludf.DUMMYFUNCTION("IF('From Order'!$A2412=COLUMNS($A2412:C2431), LEFT(INDEX(FILTER(C$1:C2411, C$1:C2411&lt;&gt;""""),COUNTA(FILTER(C$1:C2411, C$1:C2411&lt;&gt;""""))), LEN(INDEX(FILTER(C$1:C2411, C$1:C2411&lt;&gt;""""),COUNTA(FILTER(C$1:C2411, C$1:C2411&lt;&gt;""""))))-1), IF('To Order'!$A2412=COL"&amp;"UMNS($A2412:C2431), C2411&amp;RIGHT(INDIRECT(ADDRESS(ROW(C2412)-1, 'From Order'!$A2412)), 1), C2411))"),"VBJDD")</f>
        <v>VBJDD</v>
      </c>
      <c r="D2412" s="2" t="str">
        <f>IFERROR(__xludf.DUMMYFUNCTION("IF('From Order'!$A2412=COLUMNS($A2412:D2431), LEFT(INDEX(FILTER(D$1:D2411, D$1:D2411&lt;&gt;""""),COUNTA(FILTER(D$1:D2411, D$1:D2411&lt;&gt;""""))), LEN(INDEX(FILTER(D$1:D2411, D$1:D2411&lt;&gt;""""),COUNTA(FILTER(D$1:D2411, D$1:D2411&lt;&gt;""""))))-1), IF('To Order'!$A2412=COL"&amp;"UMNS($A2412:D2431), D2411&amp;RIGHT(INDIRECT(ADDRESS(ROW(D2412)-1, 'From Order'!$A2412)), 1), D2411))"),"")</f>
        <v/>
      </c>
      <c r="E2412" s="2" t="str">
        <f>IFERROR(__xludf.DUMMYFUNCTION("IF('From Order'!$A2412=COLUMNS($A2412:E2431), LEFT(INDEX(FILTER(E$1:E2411, E$1:E2411&lt;&gt;""""),COUNTA(FILTER(E$1:E2411, E$1:E2411&lt;&gt;""""))), LEN(INDEX(FILTER(E$1:E2411, E$1:E2411&lt;&gt;""""),COUNTA(FILTER(E$1:E2411, E$1:E2411&lt;&gt;""""))))-1), IF('To Order'!$A2412=COL"&amp;"UMNS($A2412:E2431), E2411&amp;RIGHT(INDIRECT(ADDRESS(ROW(E2412)-1, 'From Order'!$A2412)), 1), E2411))"),"BRPHZMT")</f>
        <v>BRPHZMT</v>
      </c>
      <c r="F2412" s="2" t="str">
        <f>IFERROR(__xludf.DUMMYFUNCTION("IF('From Order'!$A2412=COLUMNS($A2412:F2431), LEFT(INDEX(FILTER(F$1:F2411, F$1:F2411&lt;&gt;""""),COUNTA(FILTER(F$1:F2411, F$1:F2411&lt;&gt;""""))), LEN(INDEX(FILTER(F$1:F2411, F$1:F2411&lt;&gt;""""),COUNTA(FILTER(F$1:F2411, F$1:F2411&lt;&gt;""""))))-1), IF('To Order'!$A2412=COL"&amp;"UMNS($A2412:F2431), F2411&amp;RIGHT(INDIRECT(ADDRESS(ROW(F2412)-1, 'From Order'!$A2412)), 1), F2411))"),"")</f>
        <v/>
      </c>
      <c r="G2412" s="2" t="str">
        <f>IFERROR(__xludf.DUMMYFUNCTION("IF('From Order'!$A2412=COLUMNS($A2412:G2431), LEFT(INDEX(FILTER(G$1:G2411, G$1:G2411&lt;&gt;""""),COUNTA(FILTER(G$1:G2411, G$1:G2411&lt;&gt;""""))), LEN(INDEX(FILTER(G$1:G2411, G$1:G2411&lt;&gt;""""),COUNTA(FILTER(G$1:G2411, G$1:G2411&lt;&gt;""""))))-1), IF('To Order'!$A2412=COL"&amp;"UMNS($A2412:G2431), G2411&amp;RIGHT(INDIRECT(ADDRESS(ROW(G2412)-1, 'From Order'!$A2412)), 1), G2411))"),"BWGQV")</f>
        <v>BWGQV</v>
      </c>
      <c r="H2412" s="2" t="str">
        <f>IFERROR(__xludf.DUMMYFUNCTION("IF('From Order'!$A2412=COLUMNS($A2412:H2431), LEFT(INDEX(FILTER(H$1:H2411, H$1:H2411&lt;&gt;""""),COUNTA(FILTER(H$1:H2411, H$1:H2411&lt;&gt;""""))), LEN(INDEX(FILTER(H$1:H2411, H$1:H2411&lt;&gt;""""),COUNTA(FILTER(H$1:H2411, H$1:H2411&lt;&gt;""""))))-1), IF('To Order'!$A2412=COL"&amp;"UMNS($A2412:H2431), H2411&amp;RIGHT(INDIRECT(ADDRESS(ROW(H2412)-1, 'From Order'!$A2412)), 1), H2411))"),"")</f>
        <v/>
      </c>
      <c r="I2412" s="2" t="str">
        <f>IFERROR(__xludf.DUMMYFUNCTION("IF('From Order'!$A2412=COLUMNS($A2412:I2431), LEFT(INDEX(FILTER(I$1:I2411, I$1:I2411&lt;&gt;""""),COUNTA(FILTER(I$1:I2411, I$1:I2411&lt;&gt;""""))), LEN(INDEX(FILTER(I$1:I2411, I$1:I2411&lt;&gt;""""),COUNTA(FILTER(I$1:I2411, I$1:I2411&lt;&gt;""""))))-1), IF('To Order'!$A2412=COL"&amp;"UMNS($A2412:I2431), I2411&amp;RIGHT(INDIRECT(ADDRESS(ROW(I2412)-1, 'From Order'!$A2412)), 1), I2411))"),"D")</f>
        <v>D</v>
      </c>
    </row>
    <row r="2413">
      <c r="A2413" s="2" t="str">
        <f>IFERROR(__xludf.DUMMYFUNCTION("IF('From Order'!$A2413=COLUMNS($A2413:A2432), LEFT(INDEX(FILTER(A$1:A2412, A$1:A2412&lt;&gt;""""),COUNTA(FILTER(A$1:A2412, A$1:A2412&lt;&gt;""""))), LEN(INDEX(FILTER(A$1:A2412, A$1:A2412&lt;&gt;""""),COUNTA(FILTER(A$1:A2412, A$1:A2412&lt;&gt;""""))))-1), IF('To Order'!$A2413=COL"&amp;"UMNS($A2413:A2432), A2412&amp;RIGHT(INDIRECT(ADDRESS(ROW(A2413)-1, 'From Order'!$A2413)), 1), A2412))"),"DRSZHTWLLFBDCCVQRSPMGTTMDZFJCTTJRRLPSS")</f>
        <v>DRSZHTWLLFBDCCVQRSPMGTTMDZFJCTTJRRLPSS</v>
      </c>
      <c r="B2413" s="2" t="str">
        <f>IFERROR(__xludf.DUMMYFUNCTION("IF('From Order'!$A2413=COLUMNS($A2413:B2432), LEFT(INDEX(FILTER(B$1:B2412, B$1:B2412&lt;&gt;""""),COUNTA(FILTER(B$1:B2412, B$1:B2412&lt;&gt;""""))), LEN(INDEX(FILTER(B$1:B2412, B$1:B2412&lt;&gt;""""),COUNTA(FILTER(B$1:B2412, B$1:B2412&lt;&gt;""""))))-1), IF('To Order'!$A2413=COL"&amp;"UMNS($A2413:B2432), B2412&amp;RIGHT(INDIRECT(ADDRESS(ROW(B2413)-1, 'From Order'!$A2413)), 1), B2412))"),"")</f>
        <v/>
      </c>
      <c r="C2413" s="2" t="str">
        <f>IFERROR(__xludf.DUMMYFUNCTION("IF('From Order'!$A2413=COLUMNS($A2413:C2432), LEFT(INDEX(FILTER(C$1:C2412, C$1:C2412&lt;&gt;""""),COUNTA(FILTER(C$1:C2412, C$1:C2412&lt;&gt;""""))), LEN(INDEX(FILTER(C$1:C2412, C$1:C2412&lt;&gt;""""),COUNTA(FILTER(C$1:C2412, C$1:C2412&lt;&gt;""""))))-1), IF('To Order'!$A2413=COL"&amp;"UMNS($A2413:C2432), C2412&amp;RIGHT(INDIRECT(ADDRESS(ROW(C2413)-1, 'From Order'!$A2413)), 1), C2412))"),"VBJDDV")</f>
        <v>VBJDDV</v>
      </c>
      <c r="D2413" s="2" t="str">
        <f>IFERROR(__xludf.DUMMYFUNCTION("IF('From Order'!$A2413=COLUMNS($A2413:D2432), LEFT(INDEX(FILTER(D$1:D2412, D$1:D2412&lt;&gt;""""),COUNTA(FILTER(D$1:D2412, D$1:D2412&lt;&gt;""""))), LEN(INDEX(FILTER(D$1:D2412, D$1:D2412&lt;&gt;""""),COUNTA(FILTER(D$1:D2412, D$1:D2412&lt;&gt;""""))))-1), IF('To Order'!$A2413=COL"&amp;"UMNS($A2413:D2432), D2412&amp;RIGHT(INDIRECT(ADDRESS(ROW(D2413)-1, 'From Order'!$A2413)), 1), D2412))"),"")</f>
        <v/>
      </c>
      <c r="E2413" s="2" t="str">
        <f>IFERROR(__xludf.DUMMYFUNCTION("IF('From Order'!$A2413=COLUMNS($A2413:E2432), LEFT(INDEX(FILTER(E$1:E2412, E$1:E2412&lt;&gt;""""),COUNTA(FILTER(E$1:E2412, E$1:E2412&lt;&gt;""""))), LEN(INDEX(FILTER(E$1:E2412, E$1:E2412&lt;&gt;""""),COUNTA(FILTER(E$1:E2412, E$1:E2412&lt;&gt;""""))))-1), IF('To Order'!$A2413=COL"&amp;"UMNS($A2413:E2432), E2412&amp;RIGHT(INDIRECT(ADDRESS(ROW(E2413)-1, 'From Order'!$A2413)), 1), E2412))"),"BRPHZMT")</f>
        <v>BRPHZMT</v>
      </c>
      <c r="F2413" s="2" t="str">
        <f>IFERROR(__xludf.DUMMYFUNCTION("IF('From Order'!$A2413=COLUMNS($A2413:F2432), LEFT(INDEX(FILTER(F$1:F2412, F$1:F2412&lt;&gt;""""),COUNTA(FILTER(F$1:F2412, F$1:F2412&lt;&gt;""""))), LEN(INDEX(FILTER(F$1:F2412, F$1:F2412&lt;&gt;""""),COUNTA(FILTER(F$1:F2412, F$1:F2412&lt;&gt;""""))))-1), IF('To Order'!$A2413=COL"&amp;"UMNS($A2413:F2432), F2412&amp;RIGHT(INDIRECT(ADDRESS(ROW(F2413)-1, 'From Order'!$A2413)), 1), F2412))"),"")</f>
        <v/>
      </c>
      <c r="G2413" s="2" t="str">
        <f>IFERROR(__xludf.DUMMYFUNCTION("IF('From Order'!$A2413=COLUMNS($A2413:G2432), LEFT(INDEX(FILTER(G$1:G2412, G$1:G2412&lt;&gt;""""),COUNTA(FILTER(G$1:G2412, G$1:G2412&lt;&gt;""""))), LEN(INDEX(FILTER(G$1:G2412, G$1:G2412&lt;&gt;""""),COUNTA(FILTER(G$1:G2412, G$1:G2412&lt;&gt;""""))))-1), IF('To Order'!$A2413=COL"&amp;"UMNS($A2413:G2432), G2412&amp;RIGHT(INDIRECT(ADDRESS(ROW(G2413)-1, 'From Order'!$A2413)), 1), G2412))"),"BWGQ")</f>
        <v>BWGQ</v>
      </c>
      <c r="H2413" s="2" t="str">
        <f>IFERROR(__xludf.DUMMYFUNCTION("IF('From Order'!$A2413=COLUMNS($A2413:H2432), LEFT(INDEX(FILTER(H$1:H2412, H$1:H2412&lt;&gt;""""),COUNTA(FILTER(H$1:H2412, H$1:H2412&lt;&gt;""""))), LEN(INDEX(FILTER(H$1:H2412, H$1:H2412&lt;&gt;""""),COUNTA(FILTER(H$1:H2412, H$1:H2412&lt;&gt;""""))))-1), IF('To Order'!$A2413=COL"&amp;"UMNS($A2413:H2432), H2412&amp;RIGHT(INDIRECT(ADDRESS(ROW(H2413)-1, 'From Order'!$A2413)), 1), H2412))"),"")</f>
        <v/>
      </c>
      <c r="I2413" s="2" t="str">
        <f>IFERROR(__xludf.DUMMYFUNCTION("IF('From Order'!$A2413=COLUMNS($A2413:I2432), LEFT(INDEX(FILTER(I$1:I2412, I$1:I2412&lt;&gt;""""),COUNTA(FILTER(I$1:I2412, I$1:I2412&lt;&gt;""""))), LEN(INDEX(FILTER(I$1:I2412, I$1:I2412&lt;&gt;""""),COUNTA(FILTER(I$1:I2412, I$1:I2412&lt;&gt;""""))))-1), IF('To Order'!$A2413=COL"&amp;"UMNS($A2413:I2432), I2412&amp;RIGHT(INDIRECT(ADDRESS(ROW(I2413)-1, 'From Order'!$A2413)), 1), I2412))"),"D")</f>
        <v>D</v>
      </c>
    </row>
    <row r="2414">
      <c r="A2414" s="2" t="str">
        <f>IFERROR(__xludf.DUMMYFUNCTION("IF('From Order'!$A2414=COLUMNS($A2414:A2433), LEFT(INDEX(FILTER(A$1:A2413, A$1:A2413&lt;&gt;""""),COUNTA(FILTER(A$1:A2413, A$1:A2413&lt;&gt;""""))), LEN(INDEX(FILTER(A$1:A2413, A$1:A2413&lt;&gt;""""),COUNTA(FILTER(A$1:A2413, A$1:A2413&lt;&gt;""""))))-1), IF('To Order'!$A2414=COL"&amp;"UMNS($A2414:A2433), A2413&amp;RIGHT(INDIRECT(ADDRESS(ROW(A2414)-1, 'From Order'!$A2414)), 1), A2413))"),"DRSZHTWLLFBDCCVQRSPMGTTMDZFJCTTJRRLPSS")</f>
        <v>DRSZHTWLLFBDCCVQRSPMGTTMDZFJCTTJRRLPSS</v>
      </c>
      <c r="B2414" s="2" t="str">
        <f>IFERROR(__xludf.DUMMYFUNCTION("IF('From Order'!$A2414=COLUMNS($A2414:B2433), LEFT(INDEX(FILTER(B$1:B2413, B$1:B2413&lt;&gt;""""),COUNTA(FILTER(B$1:B2413, B$1:B2413&lt;&gt;""""))), LEN(INDEX(FILTER(B$1:B2413, B$1:B2413&lt;&gt;""""),COUNTA(FILTER(B$1:B2413, B$1:B2413&lt;&gt;""""))))-1), IF('To Order'!$A2414=COL"&amp;"UMNS($A2414:B2433), B2413&amp;RIGHT(INDIRECT(ADDRESS(ROW(B2414)-1, 'From Order'!$A2414)), 1), B2413))"),"Q")</f>
        <v>Q</v>
      </c>
      <c r="C2414" s="2" t="str">
        <f>IFERROR(__xludf.DUMMYFUNCTION("IF('From Order'!$A2414=COLUMNS($A2414:C2433), LEFT(INDEX(FILTER(C$1:C2413, C$1:C2413&lt;&gt;""""),COUNTA(FILTER(C$1:C2413, C$1:C2413&lt;&gt;""""))), LEN(INDEX(FILTER(C$1:C2413, C$1:C2413&lt;&gt;""""),COUNTA(FILTER(C$1:C2413, C$1:C2413&lt;&gt;""""))))-1), IF('To Order'!$A2414=COL"&amp;"UMNS($A2414:C2433), C2413&amp;RIGHT(INDIRECT(ADDRESS(ROW(C2414)-1, 'From Order'!$A2414)), 1), C2413))"),"VBJDDV")</f>
        <v>VBJDDV</v>
      </c>
      <c r="D2414" s="2" t="str">
        <f>IFERROR(__xludf.DUMMYFUNCTION("IF('From Order'!$A2414=COLUMNS($A2414:D2433), LEFT(INDEX(FILTER(D$1:D2413, D$1:D2413&lt;&gt;""""),COUNTA(FILTER(D$1:D2413, D$1:D2413&lt;&gt;""""))), LEN(INDEX(FILTER(D$1:D2413, D$1:D2413&lt;&gt;""""),COUNTA(FILTER(D$1:D2413, D$1:D2413&lt;&gt;""""))))-1), IF('To Order'!$A2414=COL"&amp;"UMNS($A2414:D2433), D2413&amp;RIGHT(INDIRECT(ADDRESS(ROW(D2414)-1, 'From Order'!$A2414)), 1), D2413))"),"")</f>
        <v/>
      </c>
      <c r="E2414" s="2" t="str">
        <f>IFERROR(__xludf.DUMMYFUNCTION("IF('From Order'!$A2414=COLUMNS($A2414:E2433), LEFT(INDEX(FILTER(E$1:E2413, E$1:E2413&lt;&gt;""""),COUNTA(FILTER(E$1:E2413, E$1:E2413&lt;&gt;""""))), LEN(INDEX(FILTER(E$1:E2413, E$1:E2413&lt;&gt;""""),COUNTA(FILTER(E$1:E2413, E$1:E2413&lt;&gt;""""))))-1), IF('To Order'!$A2414=COL"&amp;"UMNS($A2414:E2433), E2413&amp;RIGHT(INDIRECT(ADDRESS(ROW(E2414)-1, 'From Order'!$A2414)), 1), E2413))"),"BRPHZMT")</f>
        <v>BRPHZMT</v>
      </c>
      <c r="F2414" s="2" t="str">
        <f>IFERROR(__xludf.DUMMYFUNCTION("IF('From Order'!$A2414=COLUMNS($A2414:F2433), LEFT(INDEX(FILTER(F$1:F2413, F$1:F2413&lt;&gt;""""),COUNTA(FILTER(F$1:F2413, F$1:F2413&lt;&gt;""""))), LEN(INDEX(FILTER(F$1:F2413, F$1:F2413&lt;&gt;""""),COUNTA(FILTER(F$1:F2413, F$1:F2413&lt;&gt;""""))))-1), IF('To Order'!$A2414=COL"&amp;"UMNS($A2414:F2433), F2413&amp;RIGHT(INDIRECT(ADDRESS(ROW(F2414)-1, 'From Order'!$A2414)), 1), F2413))"),"")</f>
        <v/>
      </c>
      <c r="G2414" s="2" t="str">
        <f>IFERROR(__xludf.DUMMYFUNCTION("IF('From Order'!$A2414=COLUMNS($A2414:G2433), LEFT(INDEX(FILTER(G$1:G2413, G$1:G2413&lt;&gt;""""),COUNTA(FILTER(G$1:G2413, G$1:G2413&lt;&gt;""""))), LEN(INDEX(FILTER(G$1:G2413, G$1:G2413&lt;&gt;""""),COUNTA(FILTER(G$1:G2413, G$1:G2413&lt;&gt;""""))))-1), IF('To Order'!$A2414=COL"&amp;"UMNS($A2414:G2433), G2413&amp;RIGHT(INDIRECT(ADDRESS(ROW(G2414)-1, 'From Order'!$A2414)), 1), G2413))"),"BWG")</f>
        <v>BWG</v>
      </c>
      <c r="H2414" s="2" t="str">
        <f>IFERROR(__xludf.DUMMYFUNCTION("IF('From Order'!$A2414=COLUMNS($A2414:H2433), LEFT(INDEX(FILTER(H$1:H2413, H$1:H2413&lt;&gt;""""),COUNTA(FILTER(H$1:H2413, H$1:H2413&lt;&gt;""""))), LEN(INDEX(FILTER(H$1:H2413, H$1:H2413&lt;&gt;""""),COUNTA(FILTER(H$1:H2413, H$1:H2413&lt;&gt;""""))))-1), IF('To Order'!$A2414=COL"&amp;"UMNS($A2414:H2433), H2413&amp;RIGHT(INDIRECT(ADDRESS(ROW(H2414)-1, 'From Order'!$A2414)), 1), H2413))"),"")</f>
        <v/>
      </c>
      <c r="I2414" s="2" t="str">
        <f>IFERROR(__xludf.DUMMYFUNCTION("IF('From Order'!$A2414=COLUMNS($A2414:I2433), LEFT(INDEX(FILTER(I$1:I2413, I$1:I2413&lt;&gt;""""),COUNTA(FILTER(I$1:I2413, I$1:I2413&lt;&gt;""""))), LEN(INDEX(FILTER(I$1:I2413, I$1:I2413&lt;&gt;""""),COUNTA(FILTER(I$1:I2413, I$1:I2413&lt;&gt;""""))))-1), IF('To Order'!$A2414=COL"&amp;"UMNS($A2414:I2433), I2413&amp;RIGHT(INDIRECT(ADDRESS(ROW(I2414)-1, 'From Order'!$A2414)), 1), I2413))"),"D")</f>
        <v>D</v>
      </c>
    </row>
    <row r="2415">
      <c r="A2415" s="2" t="str">
        <f>IFERROR(__xludf.DUMMYFUNCTION("IF('From Order'!$A2415=COLUMNS($A2415:A2434), LEFT(INDEX(FILTER(A$1:A2414, A$1:A2414&lt;&gt;""""),COUNTA(FILTER(A$1:A2414, A$1:A2414&lt;&gt;""""))), LEN(INDEX(FILTER(A$1:A2414, A$1:A2414&lt;&gt;""""),COUNTA(FILTER(A$1:A2414, A$1:A2414&lt;&gt;""""))))-1), IF('To Order'!$A2415=COL"&amp;"UMNS($A2415:A2434), A2414&amp;RIGHT(INDIRECT(ADDRESS(ROW(A2415)-1, 'From Order'!$A2415)), 1), A2414))"),"DRSZHTWLLFBDCCVQRSPMGTTMDZFJCTTJRRLPSS")</f>
        <v>DRSZHTWLLFBDCCVQRSPMGTTMDZFJCTTJRRLPSS</v>
      </c>
      <c r="B2415" s="2" t="str">
        <f>IFERROR(__xludf.DUMMYFUNCTION("IF('From Order'!$A2415=COLUMNS($A2415:B2434), LEFT(INDEX(FILTER(B$1:B2414, B$1:B2414&lt;&gt;""""),COUNTA(FILTER(B$1:B2414, B$1:B2414&lt;&gt;""""))), LEN(INDEX(FILTER(B$1:B2414, B$1:B2414&lt;&gt;""""),COUNTA(FILTER(B$1:B2414, B$1:B2414&lt;&gt;""""))))-1), IF('To Order'!$A2415=COL"&amp;"UMNS($A2415:B2434), B2414&amp;RIGHT(INDIRECT(ADDRESS(ROW(B2415)-1, 'From Order'!$A2415)), 1), B2414))"),"QG")</f>
        <v>QG</v>
      </c>
      <c r="C2415" s="2" t="str">
        <f>IFERROR(__xludf.DUMMYFUNCTION("IF('From Order'!$A2415=COLUMNS($A2415:C2434), LEFT(INDEX(FILTER(C$1:C2414, C$1:C2414&lt;&gt;""""),COUNTA(FILTER(C$1:C2414, C$1:C2414&lt;&gt;""""))), LEN(INDEX(FILTER(C$1:C2414, C$1:C2414&lt;&gt;""""),COUNTA(FILTER(C$1:C2414, C$1:C2414&lt;&gt;""""))))-1), IF('To Order'!$A2415=COL"&amp;"UMNS($A2415:C2434), C2414&amp;RIGHT(INDIRECT(ADDRESS(ROW(C2415)-1, 'From Order'!$A2415)), 1), C2414))"),"VBJDDV")</f>
        <v>VBJDDV</v>
      </c>
      <c r="D2415" s="2" t="str">
        <f>IFERROR(__xludf.DUMMYFUNCTION("IF('From Order'!$A2415=COLUMNS($A2415:D2434), LEFT(INDEX(FILTER(D$1:D2414, D$1:D2414&lt;&gt;""""),COUNTA(FILTER(D$1:D2414, D$1:D2414&lt;&gt;""""))), LEN(INDEX(FILTER(D$1:D2414, D$1:D2414&lt;&gt;""""),COUNTA(FILTER(D$1:D2414, D$1:D2414&lt;&gt;""""))))-1), IF('To Order'!$A2415=COL"&amp;"UMNS($A2415:D2434), D2414&amp;RIGHT(INDIRECT(ADDRESS(ROW(D2415)-1, 'From Order'!$A2415)), 1), D2414))"),"")</f>
        <v/>
      </c>
      <c r="E2415" s="2" t="str">
        <f>IFERROR(__xludf.DUMMYFUNCTION("IF('From Order'!$A2415=COLUMNS($A2415:E2434), LEFT(INDEX(FILTER(E$1:E2414, E$1:E2414&lt;&gt;""""),COUNTA(FILTER(E$1:E2414, E$1:E2414&lt;&gt;""""))), LEN(INDEX(FILTER(E$1:E2414, E$1:E2414&lt;&gt;""""),COUNTA(FILTER(E$1:E2414, E$1:E2414&lt;&gt;""""))))-1), IF('To Order'!$A2415=COL"&amp;"UMNS($A2415:E2434), E2414&amp;RIGHT(INDIRECT(ADDRESS(ROW(E2415)-1, 'From Order'!$A2415)), 1), E2414))"),"BRPHZMT")</f>
        <v>BRPHZMT</v>
      </c>
      <c r="F2415" s="2" t="str">
        <f>IFERROR(__xludf.DUMMYFUNCTION("IF('From Order'!$A2415=COLUMNS($A2415:F2434), LEFT(INDEX(FILTER(F$1:F2414, F$1:F2414&lt;&gt;""""),COUNTA(FILTER(F$1:F2414, F$1:F2414&lt;&gt;""""))), LEN(INDEX(FILTER(F$1:F2414, F$1:F2414&lt;&gt;""""),COUNTA(FILTER(F$1:F2414, F$1:F2414&lt;&gt;""""))))-1), IF('To Order'!$A2415=COL"&amp;"UMNS($A2415:F2434), F2414&amp;RIGHT(INDIRECT(ADDRESS(ROW(F2415)-1, 'From Order'!$A2415)), 1), F2414))"),"")</f>
        <v/>
      </c>
      <c r="G2415" s="2" t="str">
        <f>IFERROR(__xludf.DUMMYFUNCTION("IF('From Order'!$A2415=COLUMNS($A2415:G2434), LEFT(INDEX(FILTER(G$1:G2414, G$1:G2414&lt;&gt;""""),COUNTA(FILTER(G$1:G2414, G$1:G2414&lt;&gt;""""))), LEN(INDEX(FILTER(G$1:G2414, G$1:G2414&lt;&gt;""""),COUNTA(FILTER(G$1:G2414, G$1:G2414&lt;&gt;""""))))-1), IF('To Order'!$A2415=COL"&amp;"UMNS($A2415:G2434), G2414&amp;RIGHT(INDIRECT(ADDRESS(ROW(G2415)-1, 'From Order'!$A2415)), 1), G2414))"),"BW")</f>
        <v>BW</v>
      </c>
      <c r="H2415" s="2" t="str">
        <f>IFERROR(__xludf.DUMMYFUNCTION("IF('From Order'!$A2415=COLUMNS($A2415:H2434), LEFT(INDEX(FILTER(H$1:H2414, H$1:H2414&lt;&gt;""""),COUNTA(FILTER(H$1:H2414, H$1:H2414&lt;&gt;""""))), LEN(INDEX(FILTER(H$1:H2414, H$1:H2414&lt;&gt;""""),COUNTA(FILTER(H$1:H2414, H$1:H2414&lt;&gt;""""))))-1), IF('To Order'!$A2415=COL"&amp;"UMNS($A2415:H2434), H2414&amp;RIGHT(INDIRECT(ADDRESS(ROW(H2415)-1, 'From Order'!$A2415)), 1), H2414))"),"")</f>
        <v/>
      </c>
      <c r="I2415" s="2" t="str">
        <f>IFERROR(__xludf.DUMMYFUNCTION("IF('From Order'!$A2415=COLUMNS($A2415:I2434), LEFT(INDEX(FILTER(I$1:I2414, I$1:I2414&lt;&gt;""""),COUNTA(FILTER(I$1:I2414, I$1:I2414&lt;&gt;""""))), LEN(INDEX(FILTER(I$1:I2414, I$1:I2414&lt;&gt;""""),COUNTA(FILTER(I$1:I2414, I$1:I2414&lt;&gt;""""))))-1), IF('To Order'!$A2415=COL"&amp;"UMNS($A2415:I2434), I2414&amp;RIGHT(INDIRECT(ADDRESS(ROW(I2415)-1, 'From Order'!$A2415)), 1), I2414))"),"D")</f>
        <v>D</v>
      </c>
    </row>
    <row r="2416">
      <c r="A2416" s="2" t="str">
        <f>IFERROR(__xludf.DUMMYFUNCTION("IF('From Order'!$A2416=COLUMNS($A2416:A2435), LEFT(INDEX(FILTER(A$1:A2415, A$1:A2415&lt;&gt;""""),COUNTA(FILTER(A$1:A2415, A$1:A2415&lt;&gt;""""))), LEN(INDEX(FILTER(A$1:A2415, A$1:A2415&lt;&gt;""""),COUNTA(FILTER(A$1:A2415, A$1:A2415&lt;&gt;""""))))-1), IF('To Order'!$A2416=COL"&amp;"UMNS($A2416:A2435), A2415&amp;RIGHT(INDIRECT(ADDRESS(ROW(A2416)-1, 'From Order'!$A2416)), 1), A2415))"),"DRSZHTWLLFBDCCVQRSPMGTTMDZFJCTTJRRLPSS")</f>
        <v>DRSZHTWLLFBDCCVQRSPMGTTMDZFJCTTJRRLPSS</v>
      </c>
      <c r="B2416" s="2" t="str">
        <f>IFERROR(__xludf.DUMMYFUNCTION("IF('From Order'!$A2416=COLUMNS($A2416:B2435), LEFT(INDEX(FILTER(B$1:B2415, B$1:B2415&lt;&gt;""""),COUNTA(FILTER(B$1:B2415, B$1:B2415&lt;&gt;""""))), LEN(INDEX(FILTER(B$1:B2415, B$1:B2415&lt;&gt;""""),COUNTA(FILTER(B$1:B2415, B$1:B2415&lt;&gt;""""))))-1), IF('To Order'!$A2416=COL"&amp;"UMNS($A2416:B2435), B2415&amp;RIGHT(INDIRECT(ADDRESS(ROW(B2416)-1, 'From Order'!$A2416)), 1), B2415))"),"QGW")</f>
        <v>QGW</v>
      </c>
      <c r="C2416" s="2" t="str">
        <f>IFERROR(__xludf.DUMMYFUNCTION("IF('From Order'!$A2416=COLUMNS($A2416:C2435), LEFT(INDEX(FILTER(C$1:C2415, C$1:C2415&lt;&gt;""""),COUNTA(FILTER(C$1:C2415, C$1:C2415&lt;&gt;""""))), LEN(INDEX(FILTER(C$1:C2415, C$1:C2415&lt;&gt;""""),COUNTA(FILTER(C$1:C2415, C$1:C2415&lt;&gt;""""))))-1), IF('To Order'!$A2416=COL"&amp;"UMNS($A2416:C2435), C2415&amp;RIGHT(INDIRECT(ADDRESS(ROW(C2416)-1, 'From Order'!$A2416)), 1), C2415))"),"VBJDDV")</f>
        <v>VBJDDV</v>
      </c>
      <c r="D2416" s="2" t="str">
        <f>IFERROR(__xludf.DUMMYFUNCTION("IF('From Order'!$A2416=COLUMNS($A2416:D2435), LEFT(INDEX(FILTER(D$1:D2415, D$1:D2415&lt;&gt;""""),COUNTA(FILTER(D$1:D2415, D$1:D2415&lt;&gt;""""))), LEN(INDEX(FILTER(D$1:D2415, D$1:D2415&lt;&gt;""""),COUNTA(FILTER(D$1:D2415, D$1:D2415&lt;&gt;""""))))-1), IF('To Order'!$A2416=COL"&amp;"UMNS($A2416:D2435), D2415&amp;RIGHT(INDIRECT(ADDRESS(ROW(D2416)-1, 'From Order'!$A2416)), 1), D2415))"),"")</f>
        <v/>
      </c>
      <c r="E2416" s="2" t="str">
        <f>IFERROR(__xludf.DUMMYFUNCTION("IF('From Order'!$A2416=COLUMNS($A2416:E2435), LEFT(INDEX(FILTER(E$1:E2415, E$1:E2415&lt;&gt;""""),COUNTA(FILTER(E$1:E2415, E$1:E2415&lt;&gt;""""))), LEN(INDEX(FILTER(E$1:E2415, E$1:E2415&lt;&gt;""""),COUNTA(FILTER(E$1:E2415, E$1:E2415&lt;&gt;""""))))-1), IF('To Order'!$A2416=COL"&amp;"UMNS($A2416:E2435), E2415&amp;RIGHT(INDIRECT(ADDRESS(ROW(E2416)-1, 'From Order'!$A2416)), 1), E2415))"),"BRPHZMT")</f>
        <v>BRPHZMT</v>
      </c>
      <c r="F2416" s="2" t="str">
        <f>IFERROR(__xludf.DUMMYFUNCTION("IF('From Order'!$A2416=COLUMNS($A2416:F2435), LEFT(INDEX(FILTER(F$1:F2415, F$1:F2415&lt;&gt;""""),COUNTA(FILTER(F$1:F2415, F$1:F2415&lt;&gt;""""))), LEN(INDEX(FILTER(F$1:F2415, F$1:F2415&lt;&gt;""""),COUNTA(FILTER(F$1:F2415, F$1:F2415&lt;&gt;""""))))-1), IF('To Order'!$A2416=COL"&amp;"UMNS($A2416:F2435), F2415&amp;RIGHT(INDIRECT(ADDRESS(ROW(F2416)-1, 'From Order'!$A2416)), 1), F2415))"),"")</f>
        <v/>
      </c>
      <c r="G2416" s="2" t="str">
        <f>IFERROR(__xludf.DUMMYFUNCTION("IF('From Order'!$A2416=COLUMNS($A2416:G2435), LEFT(INDEX(FILTER(G$1:G2415, G$1:G2415&lt;&gt;""""),COUNTA(FILTER(G$1:G2415, G$1:G2415&lt;&gt;""""))), LEN(INDEX(FILTER(G$1:G2415, G$1:G2415&lt;&gt;""""),COUNTA(FILTER(G$1:G2415, G$1:G2415&lt;&gt;""""))))-1), IF('To Order'!$A2416=COL"&amp;"UMNS($A2416:G2435), G2415&amp;RIGHT(INDIRECT(ADDRESS(ROW(G2416)-1, 'From Order'!$A2416)), 1), G2415))"),"B")</f>
        <v>B</v>
      </c>
      <c r="H2416" s="2" t="str">
        <f>IFERROR(__xludf.DUMMYFUNCTION("IF('From Order'!$A2416=COLUMNS($A2416:H2435), LEFT(INDEX(FILTER(H$1:H2415, H$1:H2415&lt;&gt;""""),COUNTA(FILTER(H$1:H2415, H$1:H2415&lt;&gt;""""))), LEN(INDEX(FILTER(H$1:H2415, H$1:H2415&lt;&gt;""""),COUNTA(FILTER(H$1:H2415, H$1:H2415&lt;&gt;""""))))-1), IF('To Order'!$A2416=COL"&amp;"UMNS($A2416:H2435), H2415&amp;RIGHT(INDIRECT(ADDRESS(ROW(H2416)-1, 'From Order'!$A2416)), 1), H2415))"),"")</f>
        <v/>
      </c>
      <c r="I2416" s="2" t="str">
        <f>IFERROR(__xludf.DUMMYFUNCTION("IF('From Order'!$A2416=COLUMNS($A2416:I2435), LEFT(INDEX(FILTER(I$1:I2415, I$1:I2415&lt;&gt;""""),COUNTA(FILTER(I$1:I2415, I$1:I2415&lt;&gt;""""))), LEN(INDEX(FILTER(I$1:I2415, I$1:I2415&lt;&gt;""""),COUNTA(FILTER(I$1:I2415, I$1:I2415&lt;&gt;""""))))-1), IF('To Order'!$A2416=COL"&amp;"UMNS($A2416:I2435), I2415&amp;RIGHT(INDIRECT(ADDRESS(ROW(I2416)-1, 'From Order'!$A2416)), 1), I2415))"),"D")</f>
        <v>D</v>
      </c>
    </row>
    <row r="2417">
      <c r="A2417" s="2" t="str">
        <f>IFERROR(__xludf.DUMMYFUNCTION("IF('From Order'!$A2417=COLUMNS($A2417:A2436), LEFT(INDEX(FILTER(A$1:A2416, A$1:A2416&lt;&gt;""""),COUNTA(FILTER(A$1:A2416, A$1:A2416&lt;&gt;""""))), LEN(INDEX(FILTER(A$1:A2416, A$1:A2416&lt;&gt;""""),COUNTA(FILTER(A$1:A2416, A$1:A2416&lt;&gt;""""))))-1), IF('To Order'!$A2417=COL"&amp;"UMNS($A2417:A2436), A2416&amp;RIGHT(INDIRECT(ADDRESS(ROW(A2417)-1, 'From Order'!$A2417)), 1), A2416))"),"DRSZHTWLLFBDCCVQRSPMGTTMDZFJCTTJRRLPSS")</f>
        <v>DRSZHTWLLFBDCCVQRSPMGTTMDZFJCTTJRRLPSS</v>
      </c>
      <c r="B2417" s="2" t="str">
        <f>IFERROR(__xludf.DUMMYFUNCTION("IF('From Order'!$A2417=COLUMNS($A2417:B2436), LEFT(INDEX(FILTER(B$1:B2416, B$1:B2416&lt;&gt;""""),COUNTA(FILTER(B$1:B2416, B$1:B2416&lt;&gt;""""))), LEN(INDEX(FILTER(B$1:B2416, B$1:B2416&lt;&gt;""""),COUNTA(FILTER(B$1:B2416, B$1:B2416&lt;&gt;""""))))-1), IF('To Order'!$A2417=COL"&amp;"UMNS($A2417:B2436), B2416&amp;RIGHT(INDIRECT(ADDRESS(ROW(B2417)-1, 'From Order'!$A2417)), 1), B2416))"),"QGWB")</f>
        <v>QGWB</v>
      </c>
      <c r="C2417" s="2" t="str">
        <f>IFERROR(__xludf.DUMMYFUNCTION("IF('From Order'!$A2417=COLUMNS($A2417:C2436), LEFT(INDEX(FILTER(C$1:C2416, C$1:C2416&lt;&gt;""""),COUNTA(FILTER(C$1:C2416, C$1:C2416&lt;&gt;""""))), LEN(INDEX(FILTER(C$1:C2416, C$1:C2416&lt;&gt;""""),COUNTA(FILTER(C$1:C2416, C$1:C2416&lt;&gt;""""))))-1), IF('To Order'!$A2417=COL"&amp;"UMNS($A2417:C2436), C2416&amp;RIGHT(INDIRECT(ADDRESS(ROW(C2417)-1, 'From Order'!$A2417)), 1), C2416))"),"VBJDDV")</f>
        <v>VBJDDV</v>
      </c>
      <c r="D2417" s="2" t="str">
        <f>IFERROR(__xludf.DUMMYFUNCTION("IF('From Order'!$A2417=COLUMNS($A2417:D2436), LEFT(INDEX(FILTER(D$1:D2416, D$1:D2416&lt;&gt;""""),COUNTA(FILTER(D$1:D2416, D$1:D2416&lt;&gt;""""))), LEN(INDEX(FILTER(D$1:D2416, D$1:D2416&lt;&gt;""""),COUNTA(FILTER(D$1:D2416, D$1:D2416&lt;&gt;""""))))-1), IF('To Order'!$A2417=COL"&amp;"UMNS($A2417:D2436), D2416&amp;RIGHT(INDIRECT(ADDRESS(ROW(D2417)-1, 'From Order'!$A2417)), 1), D2416))"),"")</f>
        <v/>
      </c>
      <c r="E2417" s="2" t="str">
        <f>IFERROR(__xludf.DUMMYFUNCTION("IF('From Order'!$A2417=COLUMNS($A2417:E2436), LEFT(INDEX(FILTER(E$1:E2416, E$1:E2416&lt;&gt;""""),COUNTA(FILTER(E$1:E2416, E$1:E2416&lt;&gt;""""))), LEN(INDEX(FILTER(E$1:E2416, E$1:E2416&lt;&gt;""""),COUNTA(FILTER(E$1:E2416, E$1:E2416&lt;&gt;""""))))-1), IF('To Order'!$A2417=COL"&amp;"UMNS($A2417:E2436), E2416&amp;RIGHT(INDIRECT(ADDRESS(ROW(E2417)-1, 'From Order'!$A2417)), 1), E2416))"),"BRPHZMT")</f>
        <v>BRPHZMT</v>
      </c>
      <c r="F2417" s="2" t="str">
        <f>IFERROR(__xludf.DUMMYFUNCTION("IF('From Order'!$A2417=COLUMNS($A2417:F2436), LEFT(INDEX(FILTER(F$1:F2416, F$1:F2416&lt;&gt;""""),COUNTA(FILTER(F$1:F2416, F$1:F2416&lt;&gt;""""))), LEN(INDEX(FILTER(F$1:F2416, F$1:F2416&lt;&gt;""""),COUNTA(FILTER(F$1:F2416, F$1:F2416&lt;&gt;""""))))-1), IF('To Order'!$A2417=COL"&amp;"UMNS($A2417:F2436), F2416&amp;RIGHT(INDIRECT(ADDRESS(ROW(F2417)-1, 'From Order'!$A2417)), 1), F2416))"),"")</f>
        <v/>
      </c>
      <c r="G2417" s="2" t="str">
        <f>IFERROR(__xludf.DUMMYFUNCTION("IF('From Order'!$A2417=COLUMNS($A2417:G2436), LEFT(INDEX(FILTER(G$1:G2416, G$1:G2416&lt;&gt;""""),COUNTA(FILTER(G$1:G2416, G$1:G2416&lt;&gt;""""))), LEN(INDEX(FILTER(G$1:G2416, G$1:G2416&lt;&gt;""""),COUNTA(FILTER(G$1:G2416, G$1:G2416&lt;&gt;""""))))-1), IF('To Order'!$A2417=COL"&amp;"UMNS($A2417:G2436), G2416&amp;RIGHT(INDIRECT(ADDRESS(ROW(G2417)-1, 'From Order'!$A2417)), 1), G2416))"),"")</f>
        <v/>
      </c>
      <c r="H2417" s="2" t="str">
        <f>IFERROR(__xludf.DUMMYFUNCTION("IF('From Order'!$A2417=COLUMNS($A2417:H2436), LEFT(INDEX(FILTER(H$1:H2416, H$1:H2416&lt;&gt;""""),COUNTA(FILTER(H$1:H2416, H$1:H2416&lt;&gt;""""))), LEN(INDEX(FILTER(H$1:H2416, H$1:H2416&lt;&gt;""""),COUNTA(FILTER(H$1:H2416, H$1:H2416&lt;&gt;""""))))-1), IF('To Order'!$A2417=COL"&amp;"UMNS($A2417:H2436), H2416&amp;RIGHT(INDIRECT(ADDRESS(ROW(H2417)-1, 'From Order'!$A2417)), 1), H2416))"),"")</f>
        <v/>
      </c>
      <c r="I2417" s="2" t="str">
        <f>IFERROR(__xludf.DUMMYFUNCTION("IF('From Order'!$A2417=COLUMNS($A2417:I2436), LEFT(INDEX(FILTER(I$1:I2416, I$1:I2416&lt;&gt;""""),COUNTA(FILTER(I$1:I2416, I$1:I2416&lt;&gt;""""))), LEN(INDEX(FILTER(I$1:I2416, I$1:I2416&lt;&gt;""""),COUNTA(FILTER(I$1:I2416, I$1:I2416&lt;&gt;""""))))-1), IF('To Order'!$A2417=COL"&amp;"UMNS($A2417:I2436), I2416&amp;RIGHT(INDIRECT(ADDRESS(ROW(I2417)-1, 'From Order'!$A2417)), 1), I2416))"),"D")</f>
        <v>D</v>
      </c>
    </row>
    <row r="2418">
      <c r="A2418" s="2" t="str">
        <f>IFERROR(__xludf.DUMMYFUNCTION("IF('From Order'!$A2418=COLUMNS($A2418:A2437), LEFT(INDEX(FILTER(A$1:A2417, A$1:A2417&lt;&gt;""""),COUNTA(FILTER(A$1:A2417, A$1:A2417&lt;&gt;""""))), LEN(INDEX(FILTER(A$1:A2417, A$1:A2417&lt;&gt;""""),COUNTA(FILTER(A$1:A2417, A$1:A2417&lt;&gt;""""))))-1), IF('To Order'!$A2418=COL"&amp;"UMNS($A2418:A2437), A2417&amp;RIGHT(INDIRECT(ADDRESS(ROW(A2418)-1, 'From Order'!$A2418)), 1), A2417))"),"DRSZHTWLLFBDCCVQRSPMGTTMDZFJCTTJRRLPSS")</f>
        <v>DRSZHTWLLFBDCCVQRSPMGTTMDZFJCTTJRRLPSS</v>
      </c>
      <c r="B2418" s="2" t="str">
        <f>IFERROR(__xludf.DUMMYFUNCTION("IF('From Order'!$A2418=COLUMNS($A2418:B2437), LEFT(INDEX(FILTER(B$1:B2417, B$1:B2417&lt;&gt;""""),COUNTA(FILTER(B$1:B2417, B$1:B2417&lt;&gt;""""))), LEN(INDEX(FILTER(B$1:B2417, B$1:B2417&lt;&gt;""""),COUNTA(FILTER(B$1:B2417, B$1:B2417&lt;&gt;""""))))-1), IF('To Order'!$A2418=COL"&amp;"UMNS($A2418:B2437), B2417&amp;RIGHT(INDIRECT(ADDRESS(ROW(B2418)-1, 'From Order'!$A2418)), 1), B2417))"),"QGWB")</f>
        <v>QGWB</v>
      </c>
      <c r="C2418" s="2" t="str">
        <f>IFERROR(__xludf.DUMMYFUNCTION("IF('From Order'!$A2418=COLUMNS($A2418:C2437), LEFT(INDEX(FILTER(C$1:C2417, C$1:C2417&lt;&gt;""""),COUNTA(FILTER(C$1:C2417, C$1:C2417&lt;&gt;""""))), LEN(INDEX(FILTER(C$1:C2417, C$1:C2417&lt;&gt;""""),COUNTA(FILTER(C$1:C2417, C$1:C2417&lt;&gt;""""))))-1), IF('To Order'!$A2418=COL"&amp;"UMNS($A2418:C2437), C2417&amp;RIGHT(INDIRECT(ADDRESS(ROW(C2418)-1, 'From Order'!$A2418)), 1), C2417))"),"VBJDDVD")</f>
        <v>VBJDDVD</v>
      </c>
      <c r="D2418" s="2" t="str">
        <f>IFERROR(__xludf.DUMMYFUNCTION("IF('From Order'!$A2418=COLUMNS($A2418:D2437), LEFT(INDEX(FILTER(D$1:D2417, D$1:D2417&lt;&gt;""""),COUNTA(FILTER(D$1:D2417, D$1:D2417&lt;&gt;""""))), LEN(INDEX(FILTER(D$1:D2417, D$1:D2417&lt;&gt;""""),COUNTA(FILTER(D$1:D2417, D$1:D2417&lt;&gt;""""))))-1), IF('To Order'!$A2418=COL"&amp;"UMNS($A2418:D2437), D2417&amp;RIGHT(INDIRECT(ADDRESS(ROW(D2418)-1, 'From Order'!$A2418)), 1), D2417))"),"")</f>
        <v/>
      </c>
      <c r="E2418" s="2" t="str">
        <f>IFERROR(__xludf.DUMMYFUNCTION("IF('From Order'!$A2418=COLUMNS($A2418:E2437), LEFT(INDEX(FILTER(E$1:E2417, E$1:E2417&lt;&gt;""""),COUNTA(FILTER(E$1:E2417, E$1:E2417&lt;&gt;""""))), LEN(INDEX(FILTER(E$1:E2417, E$1:E2417&lt;&gt;""""),COUNTA(FILTER(E$1:E2417, E$1:E2417&lt;&gt;""""))))-1), IF('To Order'!$A2418=COL"&amp;"UMNS($A2418:E2437), E2417&amp;RIGHT(INDIRECT(ADDRESS(ROW(E2418)-1, 'From Order'!$A2418)), 1), E2417))"),"BRPHZMT")</f>
        <v>BRPHZMT</v>
      </c>
      <c r="F2418" s="2" t="str">
        <f>IFERROR(__xludf.DUMMYFUNCTION("IF('From Order'!$A2418=COLUMNS($A2418:F2437), LEFT(INDEX(FILTER(F$1:F2417, F$1:F2417&lt;&gt;""""),COUNTA(FILTER(F$1:F2417, F$1:F2417&lt;&gt;""""))), LEN(INDEX(FILTER(F$1:F2417, F$1:F2417&lt;&gt;""""),COUNTA(FILTER(F$1:F2417, F$1:F2417&lt;&gt;""""))))-1), IF('To Order'!$A2418=COL"&amp;"UMNS($A2418:F2437), F2417&amp;RIGHT(INDIRECT(ADDRESS(ROW(F2418)-1, 'From Order'!$A2418)), 1), F2417))"),"")</f>
        <v/>
      </c>
      <c r="G2418" s="2" t="str">
        <f>IFERROR(__xludf.DUMMYFUNCTION("IF('From Order'!$A2418=COLUMNS($A2418:G2437), LEFT(INDEX(FILTER(G$1:G2417, G$1:G2417&lt;&gt;""""),COUNTA(FILTER(G$1:G2417, G$1:G2417&lt;&gt;""""))), LEN(INDEX(FILTER(G$1:G2417, G$1:G2417&lt;&gt;""""),COUNTA(FILTER(G$1:G2417, G$1:G2417&lt;&gt;""""))))-1), IF('To Order'!$A2418=COL"&amp;"UMNS($A2418:G2437), G2417&amp;RIGHT(INDIRECT(ADDRESS(ROW(G2418)-1, 'From Order'!$A2418)), 1), G2417))"),"")</f>
        <v/>
      </c>
      <c r="H2418" s="2" t="str">
        <f>IFERROR(__xludf.DUMMYFUNCTION("IF('From Order'!$A2418=COLUMNS($A2418:H2437), LEFT(INDEX(FILTER(H$1:H2417, H$1:H2417&lt;&gt;""""),COUNTA(FILTER(H$1:H2417, H$1:H2417&lt;&gt;""""))), LEN(INDEX(FILTER(H$1:H2417, H$1:H2417&lt;&gt;""""),COUNTA(FILTER(H$1:H2417, H$1:H2417&lt;&gt;""""))))-1), IF('To Order'!$A2418=COL"&amp;"UMNS($A2418:H2437), H2417&amp;RIGHT(INDIRECT(ADDRESS(ROW(H2418)-1, 'From Order'!$A2418)), 1), H2417))"),"")</f>
        <v/>
      </c>
      <c r="I2418" s="2" t="str">
        <f>IFERROR(__xludf.DUMMYFUNCTION("IF('From Order'!$A2418=COLUMNS($A2418:I2437), LEFT(INDEX(FILTER(I$1:I2417, I$1:I2417&lt;&gt;""""),COUNTA(FILTER(I$1:I2417, I$1:I2417&lt;&gt;""""))), LEN(INDEX(FILTER(I$1:I2417, I$1:I2417&lt;&gt;""""),COUNTA(FILTER(I$1:I2417, I$1:I2417&lt;&gt;""""))))-1), IF('To Order'!$A2418=COL"&amp;"UMNS($A2418:I2437), I2417&amp;RIGHT(INDIRECT(ADDRESS(ROW(I2418)-1, 'From Order'!$A2418)), 1), I2417))"),"")</f>
        <v/>
      </c>
    </row>
    <row r="2419">
      <c r="A2419" s="2" t="str">
        <f>IFERROR(__xludf.DUMMYFUNCTION("IF('From Order'!$A2419=COLUMNS($A2419:A2438), LEFT(INDEX(FILTER(A$1:A2418, A$1:A2418&lt;&gt;""""),COUNTA(FILTER(A$1:A2418, A$1:A2418&lt;&gt;""""))), LEN(INDEX(FILTER(A$1:A2418, A$1:A2418&lt;&gt;""""),COUNTA(FILTER(A$1:A2418, A$1:A2418&lt;&gt;""""))))-1), IF('To Order'!$A2419=COL"&amp;"UMNS($A2419:A2438), A2418&amp;RIGHT(INDIRECT(ADDRESS(ROW(A2419)-1, 'From Order'!$A2419)), 1), A2418))"),"DRSZHTWLLFBDCCVQRSPMGTTMDZFJCTTJRRLPS")</f>
        <v>DRSZHTWLLFBDCCVQRSPMGTTMDZFJCTTJRRLPS</v>
      </c>
      <c r="B2419" s="2" t="str">
        <f>IFERROR(__xludf.DUMMYFUNCTION("IF('From Order'!$A2419=COLUMNS($A2419:B2438), LEFT(INDEX(FILTER(B$1:B2418, B$1:B2418&lt;&gt;""""),COUNTA(FILTER(B$1:B2418, B$1:B2418&lt;&gt;""""))), LEN(INDEX(FILTER(B$1:B2418, B$1:B2418&lt;&gt;""""),COUNTA(FILTER(B$1:B2418, B$1:B2418&lt;&gt;""""))))-1), IF('To Order'!$A2419=COL"&amp;"UMNS($A2419:B2438), B2418&amp;RIGHT(INDIRECT(ADDRESS(ROW(B2419)-1, 'From Order'!$A2419)), 1), B2418))"),"QGWBS")</f>
        <v>QGWBS</v>
      </c>
      <c r="C2419" s="2" t="str">
        <f>IFERROR(__xludf.DUMMYFUNCTION("IF('From Order'!$A2419=COLUMNS($A2419:C2438), LEFT(INDEX(FILTER(C$1:C2418, C$1:C2418&lt;&gt;""""),COUNTA(FILTER(C$1:C2418, C$1:C2418&lt;&gt;""""))), LEN(INDEX(FILTER(C$1:C2418, C$1:C2418&lt;&gt;""""),COUNTA(FILTER(C$1:C2418, C$1:C2418&lt;&gt;""""))))-1), IF('To Order'!$A2419=COL"&amp;"UMNS($A2419:C2438), C2418&amp;RIGHT(INDIRECT(ADDRESS(ROW(C2419)-1, 'From Order'!$A2419)), 1), C2418))"),"VBJDDVD")</f>
        <v>VBJDDVD</v>
      </c>
      <c r="D2419" s="2" t="str">
        <f>IFERROR(__xludf.DUMMYFUNCTION("IF('From Order'!$A2419=COLUMNS($A2419:D2438), LEFT(INDEX(FILTER(D$1:D2418, D$1:D2418&lt;&gt;""""),COUNTA(FILTER(D$1:D2418, D$1:D2418&lt;&gt;""""))), LEN(INDEX(FILTER(D$1:D2418, D$1:D2418&lt;&gt;""""),COUNTA(FILTER(D$1:D2418, D$1:D2418&lt;&gt;""""))))-1), IF('To Order'!$A2419=COL"&amp;"UMNS($A2419:D2438), D2418&amp;RIGHT(INDIRECT(ADDRESS(ROW(D2419)-1, 'From Order'!$A2419)), 1), D2418))"),"")</f>
        <v/>
      </c>
      <c r="E2419" s="2" t="str">
        <f>IFERROR(__xludf.DUMMYFUNCTION("IF('From Order'!$A2419=COLUMNS($A2419:E2438), LEFT(INDEX(FILTER(E$1:E2418, E$1:E2418&lt;&gt;""""),COUNTA(FILTER(E$1:E2418, E$1:E2418&lt;&gt;""""))), LEN(INDEX(FILTER(E$1:E2418, E$1:E2418&lt;&gt;""""),COUNTA(FILTER(E$1:E2418, E$1:E2418&lt;&gt;""""))))-1), IF('To Order'!$A2419=COL"&amp;"UMNS($A2419:E2438), E2418&amp;RIGHT(INDIRECT(ADDRESS(ROW(E2419)-1, 'From Order'!$A2419)), 1), E2418))"),"BRPHZMT")</f>
        <v>BRPHZMT</v>
      </c>
      <c r="F2419" s="2" t="str">
        <f>IFERROR(__xludf.DUMMYFUNCTION("IF('From Order'!$A2419=COLUMNS($A2419:F2438), LEFT(INDEX(FILTER(F$1:F2418, F$1:F2418&lt;&gt;""""),COUNTA(FILTER(F$1:F2418, F$1:F2418&lt;&gt;""""))), LEN(INDEX(FILTER(F$1:F2418, F$1:F2418&lt;&gt;""""),COUNTA(FILTER(F$1:F2418, F$1:F2418&lt;&gt;""""))))-1), IF('To Order'!$A2419=COL"&amp;"UMNS($A2419:F2438), F2418&amp;RIGHT(INDIRECT(ADDRESS(ROW(F2419)-1, 'From Order'!$A2419)), 1), F2418))"),"")</f>
        <v/>
      </c>
      <c r="G2419" s="2" t="str">
        <f>IFERROR(__xludf.DUMMYFUNCTION("IF('From Order'!$A2419=COLUMNS($A2419:G2438), LEFT(INDEX(FILTER(G$1:G2418, G$1:G2418&lt;&gt;""""),COUNTA(FILTER(G$1:G2418, G$1:G2418&lt;&gt;""""))), LEN(INDEX(FILTER(G$1:G2418, G$1:G2418&lt;&gt;""""),COUNTA(FILTER(G$1:G2418, G$1:G2418&lt;&gt;""""))))-1), IF('To Order'!$A2419=COL"&amp;"UMNS($A2419:G2438), G2418&amp;RIGHT(INDIRECT(ADDRESS(ROW(G2419)-1, 'From Order'!$A2419)), 1), G2418))"),"")</f>
        <v/>
      </c>
      <c r="H2419" s="2" t="str">
        <f>IFERROR(__xludf.DUMMYFUNCTION("IF('From Order'!$A2419=COLUMNS($A2419:H2438), LEFT(INDEX(FILTER(H$1:H2418, H$1:H2418&lt;&gt;""""),COUNTA(FILTER(H$1:H2418, H$1:H2418&lt;&gt;""""))), LEN(INDEX(FILTER(H$1:H2418, H$1:H2418&lt;&gt;""""),COUNTA(FILTER(H$1:H2418, H$1:H2418&lt;&gt;""""))))-1), IF('To Order'!$A2419=COL"&amp;"UMNS($A2419:H2438), H2418&amp;RIGHT(INDIRECT(ADDRESS(ROW(H2419)-1, 'From Order'!$A2419)), 1), H2418))"),"")</f>
        <v/>
      </c>
      <c r="I2419" s="2" t="str">
        <f>IFERROR(__xludf.DUMMYFUNCTION("IF('From Order'!$A2419=COLUMNS($A2419:I2438), LEFT(INDEX(FILTER(I$1:I2418, I$1:I2418&lt;&gt;""""),COUNTA(FILTER(I$1:I2418, I$1:I2418&lt;&gt;""""))), LEN(INDEX(FILTER(I$1:I2418, I$1:I2418&lt;&gt;""""),COUNTA(FILTER(I$1:I2418, I$1:I2418&lt;&gt;""""))))-1), IF('To Order'!$A2419=COL"&amp;"UMNS($A2419:I2438), I2418&amp;RIGHT(INDIRECT(ADDRESS(ROW(I2419)-1, 'From Order'!$A2419)), 1), I2418))"),"")</f>
        <v/>
      </c>
    </row>
    <row r="2420">
      <c r="A2420" s="2" t="str">
        <f>IFERROR(__xludf.DUMMYFUNCTION("IF('From Order'!$A2420=COLUMNS($A2420:A2439), LEFT(INDEX(FILTER(A$1:A2419, A$1:A2419&lt;&gt;""""),COUNTA(FILTER(A$1:A2419, A$1:A2419&lt;&gt;""""))), LEN(INDEX(FILTER(A$1:A2419, A$1:A2419&lt;&gt;""""),COUNTA(FILTER(A$1:A2419, A$1:A2419&lt;&gt;""""))))-1), IF('To Order'!$A2420=COL"&amp;"UMNS($A2420:A2439), A2419&amp;RIGHT(INDIRECT(ADDRESS(ROW(A2420)-1, 'From Order'!$A2420)), 1), A2419))"),"DRSZHTWLLFBDCCVQRSPMGTTMDZFJCTTJRRLP")</f>
        <v>DRSZHTWLLFBDCCVQRSPMGTTMDZFJCTTJRRLP</v>
      </c>
      <c r="B2420" s="2" t="str">
        <f>IFERROR(__xludf.DUMMYFUNCTION("IF('From Order'!$A2420=COLUMNS($A2420:B2439), LEFT(INDEX(FILTER(B$1:B2419, B$1:B2419&lt;&gt;""""),COUNTA(FILTER(B$1:B2419, B$1:B2419&lt;&gt;""""))), LEN(INDEX(FILTER(B$1:B2419, B$1:B2419&lt;&gt;""""),COUNTA(FILTER(B$1:B2419, B$1:B2419&lt;&gt;""""))))-1), IF('To Order'!$A2420=COL"&amp;"UMNS($A2420:B2439), B2419&amp;RIGHT(INDIRECT(ADDRESS(ROW(B2420)-1, 'From Order'!$A2420)), 1), B2419))"),"QGWBSS")</f>
        <v>QGWBSS</v>
      </c>
      <c r="C2420" s="2" t="str">
        <f>IFERROR(__xludf.DUMMYFUNCTION("IF('From Order'!$A2420=COLUMNS($A2420:C2439), LEFT(INDEX(FILTER(C$1:C2419, C$1:C2419&lt;&gt;""""),COUNTA(FILTER(C$1:C2419, C$1:C2419&lt;&gt;""""))), LEN(INDEX(FILTER(C$1:C2419, C$1:C2419&lt;&gt;""""),COUNTA(FILTER(C$1:C2419, C$1:C2419&lt;&gt;""""))))-1), IF('To Order'!$A2420=COL"&amp;"UMNS($A2420:C2439), C2419&amp;RIGHT(INDIRECT(ADDRESS(ROW(C2420)-1, 'From Order'!$A2420)), 1), C2419))"),"VBJDDVD")</f>
        <v>VBJDDVD</v>
      </c>
      <c r="D2420" s="2" t="str">
        <f>IFERROR(__xludf.DUMMYFUNCTION("IF('From Order'!$A2420=COLUMNS($A2420:D2439), LEFT(INDEX(FILTER(D$1:D2419, D$1:D2419&lt;&gt;""""),COUNTA(FILTER(D$1:D2419, D$1:D2419&lt;&gt;""""))), LEN(INDEX(FILTER(D$1:D2419, D$1:D2419&lt;&gt;""""),COUNTA(FILTER(D$1:D2419, D$1:D2419&lt;&gt;""""))))-1), IF('To Order'!$A2420=COL"&amp;"UMNS($A2420:D2439), D2419&amp;RIGHT(INDIRECT(ADDRESS(ROW(D2420)-1, 'From Order'!$A2420)), 1), D2419))"),"")</f>
        <v/>
      </c>
      <c r="E2420" s="2" t="str">
        <f>IFERROR(__xludf.DUMMYFUNCTION("IF('From Order'!$A2420=COLUMNS($A2420:E2439), LEFT(INDEX(FILTER(E$1:E2419, E$1:E2419&lt;&gt;""""),COUNTA(FILTER(E$1:E2419, E$1:E2419&lt;&gt;""""))), LEN(INDEX(FILTER(E$1:E2419, E$1:E2419&lt;&gt;""""),COUNTA(FILTER(E$1:E2419, E$1:E2419&lt;&gt;""""))))-1), IF('To Order'!$A2420=COL"&amp;"UMNS($A2420:E2439), E2419&amp;RIGHT(INDIRECT(ADDRESS(ROW(E2420)-1, 'From Order'!$A2420)), 1), E2419))"),"BRPHZMT")</f>
        <v>BRPHZMT</v>
      </c>
      <c r="F2420" s="2" t="str">
        <f>IFERROR(__xludf.DUMMYFUNCTION("IF('From Order'!$A2420=COLUMNS($A2420:F2439), LEFT(INDEX(FILTER(F$1:F2419, F$1:F2419&lt;&gt;""""),COUNTA(FILTER(F$1:F2419, F$1:F2419&lt;&gt;""""))), LEN(INDEX(FILTER(F$1:F2419, F$1:F2419&lt;&gt;""""),COUNTA(FILTER(F$1:F2419, F$1:F2419&lt;&gt;""""))))-1), IF('To Order'!$A2420=COL"&amp;"UMNS($A2420:F2439), F2419&amp;RIGHT(INDIRECT(ADDRESS(ROW(F2420)-1, 'From Order'!$A2420)), 1), F2419))"),"")</f>
        <v/>
      </c>
      <c r="G2420" s="2" t="str">
        <f>IFERROR(__xludf.DUMMYFUNCTION("IF('From Order'!$A2420=COLUMNS($A2420:G2439), LEFT(INDEX(FILTER(G$1:G2419, G$1:G2419&lt;&gt;""""),COUNTA(FILTER(G$1:G2419, G$1:G2419&lt;&gt;""""))), LEN(INDEX(FILTER(G$1:G2419, G$1:G2419&lt;&gt;""""),COUNTA(FILTER(G$1:G2419, G$1:G2419&lt;&gt;""""))))-1), IF('To Order'!$A2420=COL"&amp;"UMNS($A2420:G2439), G2419&amp;RIGHT(INDIRECT(ADDRESS(ROW(G2420)-1, 'From Order'!$A2420)), 1), G2419))"),"")</f>
        <v/>
      </c>
      <c r="H2420" s="2" t="str">
        <f>IFERROR(__xludf.DUMMYFUNCTION("IF('From Order'!$A2420=COLUMNS($A2420:H2439), LEFT(INDEX(FILTER(H$1:H2419, H$1:H2419&lt;&gt;""""),COUNTA(FILTER(H$1:H2419, H$1:H2419&lt;&gt;""""))), LEN(INDEX(FILTER(H$1:H2419, H$1:H2419&lt;&gt;""""),COUNTA(FILTER(H$1:H2419, H$1:H2419&lt;&gt;""""))))-1), IF('To Order'!$A2420=COL"&amp;"UMNS($A2420:H2439), H2419&amp;RIGHT(INDIRECT(ADDRESS(ROW(H2420)-1, 'From Order'!$A2420)), 1), H2419))"),"")</f>
        <v/>
      </c>
      <c r="I2420" s="2" t="str">
        <f>IFERROR(__xludf.DUMMYFUNCTION("IF('From Order'!$A2420=COLUMNS($A2420:I2439), LEFT(INDEX(FILTER(I$1:I2419, I$1:I2419&lt;&gt;""""),COUNTA(FILTER(I$1:I2419, I$1:I2419&lt;&gt;""""))), LEN(INDEX(FILTER(I$1:I2419, I$1:I2419&lt;&gt;""""),COUNTA(FILTER(I$1:I2419, I$1:I2419&lt;&gt;""""))))-1), IF('To Order'!$A2420=COL"&amp;"UMNS($A2420:I2439), I2419&amp;RIGHT(INDIRECT(ADDRESS(ROW(I2420)-1, 'From Order'!$A2420)), 1), I2419))"),"")</f>
        <v/>
      </c>
    </row>
    <row r="2421">
      <c r="A2421" s="2" t="str">
        <f>IFERROR(__xludf.DUMMYFUNCTION("IF('From Order'!$A2421=COLUMNS($A2421:A2440), LEFT(INDEX(FILTER(A$1:A2420, A$1:A2420&lt;&gt;""""),COUNTA(FILTER(A$1:A2420, A$1:A2420&lt;&gt;""""))), LEN(INDEX(FILTER(A$1:A2420, A$1:A2420&lt;&gt;""""),COUNTA(FILTER(A$1:A2420, A$1:A2420&lt;&gt;""""))))-1), IF('To Order'!$A2421=COL"&amp;"UMNS($A2421:A2440), A2420&amp;RIGHT(INDIRECT(ADDRESS(ROW(A2421)-1, 'From Order'!$A2421)), 1), A2420))"),"DRSZHTWLLFBDCCVQRSPMGTTMDZFJCTTJRRL")</f>
        <v>DRSZHTWLLFBDCCVQRSPMGTTMDZFJCTTJRRL</v>
      </c>
      <c r="B2421" s="2" t="str">
        <f>IFERROR(__xludf.DUMMYFUNCTION("IF('From Order'!$A2421=COLUMNS($A2421:B2440), LEFT(INDEX(FILTER(B$1:B2420, B$1:B2420&lt;&gt;""""),COUNTA(FILTER(B$1:B2420, B$1:B2420&lt;&gt;""""))), LEN(INDEX(FILTER(B$1:B2420, B$1:B2420&lt;&gt;""""),COUNTA(FILTER(B$1:B2420, B$1:B2420&lt;&gt;""""))))-1), IF('To Order'!$A2421=COL"&amp;"UMNS($A2421:B2440), B2420&amp;RIGHT(INDIRECT(ADDRESS(ROW(B2421)-1, 'From Order'!$A2421)), 1), B2420))"),"QGWBSSP")</f>
        <v>QGWBSSP</v>
      </c>
      <c r="C2421" s="2" t="str">
        <f>IFERROR(__xludf.DUMMYFUNCTION("IF('From Order'!$A2421=COLUMNS($A2421:C2440), LEFT(INDEX(FILTER(C$1:C2420, C$1:C2420&lt;&gt;""""),COUNTA(FILTER(C$1:C2420, C$1:C2420&lt;&gt;""""))), LEN(INDEX(FILTER(C$1:C2420, C$1:C2420&lt;&gt;""""),COUNTA(FILTER(C$1:C2420, C$1:C2420&lt;&gt;""""))))-1), IF('To Order'!$A2421=COL"&amp;"UMNS($A2421:C2440), C2420&amp;RIGHT(INDIRECT(ADDRESS(ROW(C2421)-1, 'From Order'!$A2421)), 1), C2420))"),"VBJDDVD")</f>
        <v>VBJDDVD</v>
      </c>
      <c r="D2421" s="2" t="str">
        <f>IFERROR(__xludf.DUMMYFUNCTION("IF('From Order'!$A2421=COLUMNS($A2421:D2440), LEFT(INDEX(FILTER(D$1:D2420, D$1:D2420&lt;&gt;""""),COUNTA(FILTER(D$1:D2420, D$1:D2420&lt;&gt;""""))), LEN(INDEX(FILTER(D$1:D2420, D$1:D2420&lt;&gt;""""),COUNTA(FILTER(D$1:D2420, D$1:D2420&lt;&gt;""""))))-1), IF('To Order'!$A2421=COL"&amp;"UMNS($A2421:D2440), D2420&amp;RIGHT(INDIRECT(ADDRESS(ROW(D2421)-1, 'From Order'!$A2421)), 1), D2420))"),"")</f>
        <v/>
      </c>
      <c r="E2421" s="2" t="str">
        <f>IFERROR(__xludf.DUMMYFUNCTION("IF('From Order'!$A2421=COLUMNS($A2421:E2440), LEFT(INDEX(FILTER(E$1:E2420, E$1:E2420&lt;&gt;""""),COUNTA(FILTER(E$1:E2420, E$1:E2420&lt;&gt;""""))), LEN(INDEX(FILTER(E$1:E2420, E$1:E2420&lt;&gt;""""),COUNTA(FILTER(E$1:E2420, E$1:E2420&lt;&gt;""""))))-1), IF('To Order'!$A2421=COL"&amp;"UMNS($A2421:E2440), E2420&amp;RIGHT(INDIRECT(ADDRESS(ROW(E2421)-1, 'From Order'!$A2421)), 1), E2420))"),"BRPHZMT")</f>
        <v>BRPHZMT</v>
      </c>
      <c r="F2421" s="2" t="str">
        <f>IFERROR(__xludf.DUMMYFUNCTION("IF('From Order'!$A2421=COLUMNS($A2421:F2440), LEFT(INDEX(FILTER(F$1:F2420, F$1:F2420&lt;&gt;""""),COUNTA(FILTER(F$1:F2420, F$1:F2420&lt;&gt;""""))), LEN(INDEX(FILTER(F$1:F2420, F$1:F2420&lt;&gt;""""),COUNTA(FILTER(F$1:F2420, F$1:F2420&lt;&gt;""""))))-1), IF('To Order'!$A2421=COL"&amp;"UMNS($A2421:F2440), F2420&amp;RIGHT(INDIRECT(ADDRESS(ROW(F2421)-1, 'From Order'!$A2421)), 1), F2420))"),"")</f>
        <v/>
      </c>
      <c r="G2421" s="2" t="str">
        <f>IFERROR(__xludf.DUMMYFUNCTION("IF('From Order'!$A2421=COLUMNS($A2421:G2440), LEFT(INDEX(FILTER(G$1:G2420, G$1:G2420&lt;&gt;""""),COUNTA(FILTER(G$1:G2420, G$1:G2420&lt;&gt;""""))), LEN(INDEX(FILTER(G$1:G2420, G$1:G2420&lt;&gt;""""),COUNTA(FILTER(G$1:G2420, G$1:G2420&lt;&gt;""""))))-1), IF('To Order'!$A2421=COL"&amp;"UMNS($A2421:G2440), G2420&amp;RIGHT(INDIRECT(ADDRESS(ROW(G2421)-1, 'From Order'!$A2421)), 1), G2420))"),"")</f>
        <v/>
      </c>
      <c r="H2421" s="2" t="str">
        <f>IFERROR(__xludf.DUMMYFUNCTION("IF('From Order'!$A2421=COLUMNS($A2421:H2440), LEFT(INDEX(FILTER(H$1:H2420, H$1:H2420&lt;&gt;""""),COUNTA(FILTER(H$1:H2420, H$1:H2420&lt;&gt;""""))), LEN(INDEX(FILTER(H$1:H2420, H$1:H2420&lt;&gt;""""),COUNTA(FILTER(H$1:H2420, H$1:H2420&lt;&gt;""""))))-1), IF('To Order'!$A2421=COL"&amp;"UMNS($A2421:H2440), H2420&amp;RIGHT(INDIRECT(ADDRESS(ROW(H2421)-1, 'From Order'!$A2421)), 1), H2420))"),"")</f>
        <v/>
      </c>
      <c r="I2421" s="2" t="str">
        <f>IFERROR(__xludf.DUMMYFUNCTION("IF('From Order'!$A2421=COLUMNS($A2421:I2440), LEFT(INDEX(FILTER(I$1:I2420, I$1:I2420&lt;&gt;""""),COUNTA(FILTER(I$1:I2420, I$1:I2420&lt;&gt;""""))), LEN(INDEX(FILTER(I$1:I2420, I$1:I2420&lt;&gt;""""),COUNTA(FILTER(I$1:I2420, I$1:I2420&lt;&gt;""""))))-1), IF('To Order'!$A2421=COL"&amp;"UMNS($A2421:I2440), I2420&amp;RIGHT(INDIRECT(ADDRESS(ROW(I2421)-1, 'From Order'!$A2421)), 1), I2420))"),"")</f>
        <v/>
      </c>
    </row>
    <row r="2422">
      <c r="A2422" s="2" t="str">
        <f>IFERROR(__xludf.DUMMYFUNCTION("IF('From Order'!$A2422=COLUMNS($A2422:A2441), LEFT(INDEX(FILTER(A$1:A2421, A$1:A2421&lt;&gt;""""),COUNTA(FILTER(A$1:A2421, A$1:A2421&lt;&gt;""""))), LEN(INDEX(FILTER(A$1:A2421, A$1:A2421&lt;&gt;""""),COUNTA(FILTER(A$1:A2421, A$1:A2421&lt;&gt;""""))))-1), IF('To Order'!$A2422=COL"&amp;"UMNS($A2422:A2441), A2421&amp;RIGHT(INDIRECT(ADDRESS(ROW(A2422)-1, 'From Order'!$A2422)), 1), A2421))"),"DRSZHTWLLFBDCCVQRSPMGTTMDZFJCTTJRR")</f>
        <v>DRSZHTWLLFBDCCVQRSPMGTTMDZFJCTTJRR</v>
      </c>
      <c r="B2422" s="2" t="str">
        <f>IFERROR(__xludf.DUMMYFUNCTION("IF('From Order'!$A2422=COLUMNS($A2422:B2441), LEFT(INDEX(FILTER(B$1:B2421, B$1:B2421&lt;&gt;""""),COUNTA(FILTER(B$1:B2421, B$1:B2421&lt;&gt;""""))), LEN(INDEX(FILTER(B$1:B2421, B$1:B2421&lt;&gt;""""),COUNTA(FILTER(B$1:B2421, B$1:B2421&lt;&gt;""""))))-1), IF('To Order'!$A2422=COL"&amp;"UMNS($A2422:B2441), B2421&amp;RIGHT(INDIRECT(ADDRESS(ROW(B2422)-1, 'From Order'!$A2422)), 1), B2421))"),"QGWBSSPL")</f>
        <v>QGWBSSPL</v>
      </c>
      <c r="C2422" s="2" t="str">
        <f>IFERROR(__xludf.DUMMYFUNCTION("IF('From Order'!$A2422=COLUMNS($A2422:C2441), LEFT(INDEX(FILTER(C$1:C2421, C$1:C2421&lt;&gt;""""),COUNTA(FILTER(C$1:C2421, C$1:C2421&lt;&gt;""""))), LEN(INDEX(FILTER(C$1:C2421, C$1:C2421&lt;&gt;""""),COUNTA(FILTER(C$1:C2421, C$1:C2421&lt;&gt;""""))))-1), IF('To Order'!$A2422=COL"&amp;"UMNS($A2422:C2441), C2421&amp;RIGHT(INDIRECT(ADDRESS(ROW(C2422)-1, 'From Order'!$A2422)), 1), C2421))"),"VBJDDVD")</f>
        <v>VBJDDVD</v>
      </c>
      <c r="D2422" s="2" t="str">
        <f>IFERROR(__xludf.DUMMYFUNCTION("IF('From Order'!$A2422=COLUMNS($A2422:D2441), LEFT(INDEX(FILTER(D$1:D2421, D$1:D2421&lt;&gt;""""),COUNTA(FILTER(D$1:D2421, D$1:D2421&lt;&gt;""""))), LEN(INDEX(FILTER(D$1:D2421, D$1:D2421&lt;&gt;""""),COUNTA(FILTER(D$1:D2421, D$1:D2421&lt;&gt;""""))))-1), IF('To Order'!$A2422=COL"&amp;"UMNS($A2422:D2441), D2421&amp;RIGHT(INDIRECT(ADDRESS(ROW(D2422)-1, 'From Order'!$A2422)), 1), D2421))"),"")</f>
        <v/>
      </c>
      <c r="E2422" s="2" t="str">
        <f>IFERROR(__xludf.DUMMYFUNCTION("IF('From Order'!$A2422=COLUMNS($A2422:E2441), LEFT(INDEX(FILTER(E$1:E2421, E$1:E2421&lt;&gt;""""),COUNTA(FILTER(E$1:E2421, E$1:E2421&lt;&gt;""""))), LEN(INDEX(FILTER(E$1:E2421, E$1:E2421&lt;&gt;""""),COUNTA(FILTER(E$1:E2421, E$1:E2421&lt;&gt;""""))))-1), IF('To Order'!$A2422=COL"&amp;"UMNS($A2422:E2441), E2421&amp;RIGHT(INDIRECT(ADDRESS(ROW(E2422)-1, 'From Order'!$A2422)), 1), E2421))"),"BRPHZMT")</f>
        <v>BRPHZMT</v>
      </c>
      <c r="F2422" s="2" t="str">
        <f>IFERROR(__xludf.DUMMYFUNCTION("IF('From Order'!$A2422=COLUMNS($A2422:F2441), LEFT(INDEX(FILTER(F$1:F2421, F$1:F2421&lt;&gt;""""),COUNTA(FILTER(F$1:F2421, F$1:F2421&lt;&gt;""""))), LEN(INDEX(FILTER(F$1:F2421, F$1:F2421&lt;&gt;""""),COUNTA(FILTER(F$1:F2421, F$1:F2421&lt;&gt;""""))))-1), IF('To Order'!$A2422=COL"&amp;"UMNS($A2422:F2441), F2421&amp;RIGHT(INDIRECT(ADDRESS(ROW(F2422)-1, 'From Order'!$A2422)), 1), F2421))"),"")</f>
        <v/>
      </c>
      <c r="G2422" s="2" t="str">
        <f>IFERROR(__xludf.DUMMYFUNCTION("IF('From Order'!$A2422=COLUMNS($A2422:G2441), LEFT(INDEX(FILTER(G$1:G2421, G$1:G2421&lt;&gt;""""),COUNTA(FILTER(G$1:G2421, G$1:G2421&lt;&gt;""""))), LEN(INDEX(FILTER(G$1:G2421, G$1:G2421&lt;&gt;""""),COUNTA(FILTER(G$1:G2421, G$1:G2421&lt;&gt;""""))))-1), IF('To Order'!$A2422=COL"&amp;"UMNS($A2422:G2441), G2421&amp;RIGHT(INDIRECT(ADDRESS(ROW(G2422)-1, 'From Order'!$A2422)), 1), G2421))"),"")</f>
        <v/>
      </c>
      <c r="H2422" s="2" t="str">
        <f>IFERROR(__xludf.DUMMYFUNCTION("IF('From Order'!$A2422=COLUMNS($A2422:H2441), LEFT(INDEX(FILTER(H$1:H2421, H$1:H2421&lt;&gt;""""),COUNTA(FILTER(H$1:H2421, H$1:H2421&lt;&gt;""""))), LEN(INDEX(FILTER(H$1:H2421, H$1:H2421&lt;&gt;""""),COUNTA(FILTER(H$1:H2421, H$1:H2421&lt;&gt;""""))))-1), IF('To Order'!$A2422=COL"&amp;"UMNS($A2422:H2441), H2421&amp;RIGHT(INDIRECT(ADDRESS(ROW(H2422)-1, 'From Order'!$A2422)), 1), H2421))"),"")</f>
        <v/>
      </c>
      <c r="I2422" s="2" t="str">
        <f>IFERROR(__xludf.DUMMYFUNCTION("IF('From Order'!$A2422=COLUMNS($A2422:I2441), LEFT(INDEX(FILTER(I$1:I2421, I$1:I2421&lt;&gt;""""),COUNTA(FILTER(I$1:I2421, I$1:I2421&lt;&gt;""""))), LEN(INDEX(FILTER(I$1:I2421, I$1:I2421&lt;&gt;""""),COUNTA(FILTER(I$1:I2421, I$1:I2421&lt;&gt;""""))))-1), IF('To Order'!$A2422=COL"&amp;"UMNS($A2422:I2441), I2421&amp;RIGHT(INDIRECT(ADDRESS(ROW(I2422)-1, 'From Order'!$A2422)), 1), I2421))"),"")</f>
        <v/>
      </c>
    </row>
    <row r="2423">
      <c r="A2423" s="2" t="str">
        <f>IFERROR(__xludf.DUMMYFUNCTION("IF('From Order'!$A2423=COLUMNS($A2423:A2442), LEFT(INDEX(FILTER(A$1:A2422, A$1:A2422&lt;&gt;""""),COUNTA(FILTER(A$1:A2422, A$1:A2422&lt;&gt;""""))), LEN(INDEX(FILTER(A$1:A2422, A$1:A2422&lt;&gt;""""),COUNTA(FILTER(A$1:A2422, A$1:A2422&lt;&gt;""""))))-1), IF('To Order'!$A2423=COL"&amp;"UMNS($A2423:A2442), A2422&amp;RIGHT(INDIRECT(ADDRESS(ROW(A2423)-1, 'From Order'!$A2423)), 1), A2422))"),"DRSZHTWLLFBDCCVQRSPMGTTMDZFJCTTJR")</f>
        <v>DRSZHTWLLFBDCCVQRSPMGTTMDZFJCTTJR</v>
      </c>
      <c r="B2423" s="2" t="str">
        <f>IFERROR(__xludf.DUMMYFUNCTION("IF('From Order'!$A2423=COLUMNS($A2423:B2442), LEFT(INDEX(FILTER(B$1:B2422, B$1:B2422&lt;&gt;""""),COUNTA(FILTER(B$1:B2422, B$1:B2422&lt;&gt;""""))), LEN(INDEX(FILTER(B$1:B2422, B$1:B2422&lt;&gt;""""),COUNTA(FILTER(B$1:B2422, B$1:B2422&lt;&gt;""""))))-1), IF('To Order'!$A2423=COL"&amp;"UMNS($A2423:B2442), B2422&amp;RIGHT(INDIRECT(ADDRESS(ROW(B2423)-1, 'From Order'!$A2423)), 1), B2422))"),"QGWBSSPLR")</f>
        <v>QGWBSSPLR</v>
      </c>
      <c r="C2423" s="2" t="str">
        <f>IFERROR(__xludf.DUMMYFUNCTION("IF('From Order'!$A2423=COLUMNS($A2423:C2442), LEFT(INDEX(FILTER(C$1:C2422, C$1:C2422&lt;&gt;""""),COUNTA(FILTER(C$1:C2422, C$1:C2422&lt;&gt;""""))), LEN(INDEX(FILTER(C$1:C2422, C$1:C2422&lt;&gt;""""),COUNTA(FILTER(C$1:C2422, C$1:C2422&lt;&gt;""""))))-1), IF('To Order'!$A2423=COL"&amp;"UMNS($A2423:C2442), C2422&amp;RIGHT(INDIRECT(ADDRESS(ROW(C2423)-1, 'From Order'!$A2423)), 1), C2422))"),"VBJDDVD")</f>
        <v>VBJDDVD</v>
      </c>
      <c r="D2423" s="2" t="str">
        <f>IFERROR(__xludf.DUMMYFUNCTION("IF('From Order'!$A2423=COLUMNS($A2423:D2442), LEFT(INDEX(FILTER(D$1:D2422, D$1:D2422&lt;&gt;""""),COUNTA(FILTER(D$1:D2422, D$1:D2422&lt;&gt;""""))), LEN(INDEX(FILTER(D$1:D2422, D$1:D2422&lt;&gt;""""),COUNTA(FILTER(D$1:D2422, D$1:D2422&lt;&gt;""""))))-1), IF('To Order'!$A2423=COL"&amp;"UMNS($A2423:D2442), D2422&amp;RIGHT(INDIRECT(ADDRESS(ROW(D2423)-1, 'From Order'!$A2423)), 1), D2422))"),"")</f>
        <v/>
      </c>
      <c r="E2423" s="2" t="str">
        <f>IFERROR(__xludf.DUMMYFUNCTION("IF('From Order'!$A2423=COLUMNS($A2423:E2442), LEFT(INDEX(FILTER(E$1:E2422, E$1:E2422&lt;&gt;""""),COUNTA(FILTER(E$1:E2422, E$1:E2422&lt;&gt;""""))), LEN(INDEX(FILTER(E$1:E2422, E$1:E2422&lt;&gt;""""),COUNTA(FILTER(E$1:E2422, E$1:E2422&lt;&gt;""""))))-1), IF('To Order'!$A2423=COL"&amp;"UMNS($A2423:E2442), E2422&amp;RIGHT(INDIRECT(ADDRESS(ROW(E2423)-1, 'From Order'!$A2423)), 1), E2422))"),"BRPHZMT")</f>
        <v>BRPHZMT</v>
      </c>
      <c r="F2423" s="2" t="str">
        <f>IFERROR(__xludf.DUMMYFUNCTION("IF('From Order'!$A2423=COLUMNS($A2423:F2442), LEFT(INDEX(FILTER(F$1:F2422, F$1:F2422&lt;&gt;""""),COUNTA(FILTER(F$1:F2422, F$1:F2422&lt;&gt;""""))), LEN(INDEX(FILTER(F$1:F2422, F$1:F2422&lt;&gt;""""),COUNTA(FILTER(F$1:F2422, F$1:F2422&lt;&gt;""""))))-1), IF('To Order'!$A2423=COL"&amp;"UMNS($A2423:F2442), F2422&amp;RIGHT(INDIRECT(ADDRESS(ROW(F2423)-1, 'From Order'!$A2423)), 1), F2422))"),"")</f>
        <v/>
      </c>
      <c r="G2423" s="2" t="str">
        <f>IFERROR(__xludf.DUMMYFUNCTION("IF('From Order'!$A2423=COLUMNS($A2423:G2442), LEFT(INDEX(FILTER(G$1:G2422, G$1:G2422&lt;&gt;""""),COUNTA(FILTER(G$1:G2422, G$1:G2422&lt;&gt;""""))), LEN(INDEX(FILTER(G$1:G2422, G$1:G2422&lt;&gt;""""),COUNTA(FILTER(G$1:G2422, G$1:G2422&lt;&gt;""""))))-1), IF('To Order'!$A2423=COL"&amp;"UMNS($A2423:G2442), G2422&amp;RIGHT(INDIRECT(ADDRESS(ROW(G2423)-1, 'From Order'!$A2423)), 1), G2422))"),"")</f>
        <v/>
      </c>
      <c r="H2423" s="2" t="str">
        <f>IFERROR(__xludf.DUMMYFUNCTION("IF('From Order'!$A2423=COLUMNS($A2423:H2442), LEFT(INDEX(FILTER(H$1:H2422, H$1:H2422&lt;&gt;""""),COUNTA(FILTER(H$1:H2422, H$1:H2422&lt;&gt;""""))), LEN(INDEX(FILTER(H$1:H2422, H$1:H2422&lt;&gt;""""),COUNTA(FILTER(H$1:H2422, H$1:H2422&lt;&gt;""""))))-1), IF('To Order'!$A2423=COL"&amp;"UMNS($A2423:H2442), H2422&amp;RIGHT(INDIRECT(ADDRESS(ROW(H2423)-1, 'From Order'!$A2423)), 1), H2422))"),"")</f>
        <v/>
      </c>
      <c r="I2423" s="2" t="str">
        <f>IFERROR(__xludf.DUMMYFUNCTION("IF('From Order'!$A2423=COLUMNS($A2423:I2442), LEFT(INDEX(FILTER(I$1:I2422, I$1:I2422&lt;&gt;""""),COUNTA(FILTER(I$1:I2422, I$1:I2422&lt;&gt;""""))), LEN(INDEX(FILTER(I$1:I2422, I$1:I2422&lt;&gt;""""),COUNTA(FILTER(I$1:I2422, I$1:I2422&lt;&gt;""""))))-1), IF('To Order'!$A2423=COL"&amp;"UMNS($A2423:I2442), I2422&amp;RIGHT(INDIRECT(ADDRESS(ROW(I2423)-1, 'From Order'!$A2423)), 1), I2422))"),"")</f>
        <v/>
      </c>
    </row>
    <row r="2424">
      <c r="A2424" s="2" t="str">
        <f>IFERROR(__xludf.DUMMYFUNCTION("IF('From Order'!$A2424=COLUMNS($A2424:A2443), LEFT(INDEX(FILTER(A$1:A2423, A$1:A2423&lt;&gt;""""),COUNTA(FILTER(A$1:A2423, A$1:A2423&lt;&gt;""""))), LEN(INDEX(FILTER(A$1:A2423, A$1:A2423&lt;&gt;""""),COUNTA(FILTER(A$1:A2423, A$1:A2423&lt;&gt;""""))))-1), IF('To Order'!$A2424=COL"&amp;"UMNS($A2424:A2443), A2423&amp;RIGHT(INDIRECT(ADDRESS(ROW(A2424)-1, 'From Order'!$A2424)), 1), A2423))"),"DRSZHTWLLFBDCCVQRSPMGTTMDZFJCTTJ")</f>
        <v>DRSZHTWLLFBDCCVQRSPMGTTMDZFJCTTJ</v>
      </c>
      <c r="B2424" s="2" t="str">
        <f>IFERROR(__xludf.DUMMYFUNCTION("IF('From Order'!$A2424=COLUMNS($A2424:B2443), LEFT(INDEX(FILTER(B$1:B2423, B$1:B2423&lt;&gt;""""),COUNTA(FILTER(B$1:B2423, B$1:B2423&lt;&gt;""""))), LEN(INDEX(FILTER(B$1:B2423, B$1:B2423&lt;&gt;""""),COUNTA(FILTER(B$1:B2423, B$1:B2423&lt;&gt;""""))))-1), IF('To Order'!$A2424=COL"&amp;"UMNS($A2424:B2443), B2423&amp;RIGHT(INDIRECT(ADDRESS(ROW(B2424)-1, 'From Order'!$A2424)), 1), B2423))"),"QGWBSSPLRR")</f>
        <v>QGWBSSPLRR</v>
      </c>
      <c r="C2424" s="2" t="str">
        <f>IFERROR(__xludf.DUMMYFUNCTION("IF('From Order'!$A2424=COLUMNS($A2424:C2443), LEFT(INDEX(FILTER(C$1:C2423, C$1:C2423&lt;&gt;""""),COUNTA(FILTER(C$1:C2423, C$1:C2423&lt;&gt;""""))), LEN(INDEX(FILTER(C$1:C2423, C$1:C2423&lt;&gt;""""),COUNTA(FILTER(C$1:C2423, C$1:C2423&lt;&gt;""""))))-1), IF('To Order'!$A2424=COL"&amp;"UMNS($A2424:C2443), C2423&amp;RIGHT(INDIRECT(ADDRESS(ROW(C2424)-1, 'From Order'!$A2424)), 1), C2423))"),"VBJDDVD")</f>
        <v>VBJDDVD</v>
      </c>
      <c r="D2424" s="2" t="str">
        <f>IFERROR(__xludf.DUMMYFUNCTION("IF('From Order'!$A2424=COLUMNS($A2424:D2443), LEFT(INDEX(FILTER(D$1:D2423, D$1:D2423&lt;&gt;""""),COUNTA(FILTER(D$1:D2423, D$1:D2423&lt;&gt;""""))), LEN(INDEX(FILTER(D$1:D2423, D$1:D2423&lt;&gt;""""),COUNTA(FILTER(D$1:D2423, D$1:D2423&lt;&gt;""""))))-1), IF('To Order'!$A2424=COL"&amp;"UMNS($A2424:D2443), D2423&amp;RIGHT(INDIRECT(ADDRESS(ROW(D2424)-1, 'From Order'!$A2424)), 1), D2423))"),"")</f>
        <v/>
      </c>
      <c r="E2424" s="2" t="str">
        <f>IFERROR(__xludf.DUMMYFUNCTION("IF('From Order'!$A2424=COLUMNS($A2424:E2443), LEFT(INDEX(FILTER(E$1:E2423, E$1:E2423&lt;&gt;""""),COUNTA(FILTER(E$1:E2423, E$1:E2423&lt;&gt;""""))), LEN(INDEX(FILTER(E$1:E2423, E$1:E2423&lt;&gt;""""),COUNTA(FILTER(E$1:E2423, E$1:E2423&lt;&gt;""""))))-1), IF('To Order'!$A2424=COL"&amp;"UMNS($A2424:E2443), E2423&amp;RIGHT(INDIRECT(ADDRESS(ROW(E2424)-1, 'From Order'!$A2424)), 1), E2423))"),"BRPHZMT")</f>
        <v>BRPHZMT</v>
      </c>
      <c r="F2424" s="2" t="str">
        <f>IFERROR(__xludf.DUMMYFUNCTION("IF('From Order'!$A2424=COLUMNS($A2424:F2443), LEFT(INDEX(FILTER(F$1:F2423, F$1:F2423&lt;&gt;""""),COUNTA(FILTER(F$1:F2423, F$1:F2423&lt;&gt;""""))), LEN(INDEX(FILTER(F$1:F2423, F$1:F2423&lt;&gt;""""),COUNTA(FILTER(F$1:F2423, F$1:F2423&lt;&gt;""""))))-1), IF('To Order'!$A2424=COL"&amp;"UMNS($A2424:F2443), F2423&amp;RIGHT(INDIRECT(ADDRESS(ROW(F2424)-1, 'From Order'!$A2424)), 1), F2423))"),"")</f>
        <v/>
      </c>
      <c r="G2424" s="2" t="str">
        <f>IFERROR(__xludf.DUMMYFUNCTION("IF('From Order'!$A2424=COLUMNS($A2424:G2443), LEFT(INDEX(FILTER(G$1:G2423, G$1:G2423&lt;&gt;""""),COUNTA(FILTER(G$1:G2423, G$1:G2423&lt;&gt;""""))), LEN(INDEX(FILTER(G$1:G2423, G$1:G2423&lt;&gt;""""),COUNTA(FILTER(G$1:G2423, G$1:G2423&lt;&gt;""""))))-1), IF('To Order'!$A2424=COL"&amp;"UMNS($A2424:G2443), G2423&amp;RIGHT(INDIRECT(ADDRESS(ROW(G2424)-1, 'From Order'!$A2424)), 1), G2423))"),"")</f>
        <v/>
      </c>
      <c r="H2424" s="2" t="str">
        <f>IFERROR(__xludf.DUMMYFUNCTION("IF('From Order'!$A2424=COLUMNS($A2424:H2443), LEFT(INDEX(FILTER(H$1:H2423, H$1:H2423&lt;&gt;""""),COUNTA(FILTER(H$1:H2423, H$1:H2423&lt;&gt;""""))), LEN(INDEX(FILTER(H$1:H2423, H$1:H2423&lt;&gt;""""),COUNTA(FILTER(H$1:H2423, H$1:H2423&lt;&gt;""""))))-1), IF('To Order'!$A2424=COL"&amp;"UMNS($A2424:H2443), H2423&amp;RIGHT(INDIRECT(ADDRESS(ROW(H2424)-1, 'From Order'!$A2424)), 1), H2423))"),"")</f>
        <v/>
      </c>
      <c r="I2424" s="2" t="str">
        <f>IFERROR(__xludf.DUMMYFUNCTION("IF('From Order'!$A2424=COLUMNS($A2424:I2443), LEFT(INDEX(FILTER(I$1:I2423, I$1:I2423&lt;&gt;""""),COUNTA(FILTER(I$1:I2423, I$1:I2423&lt;&gt;""""))), LEN(INDEX(FILTER(I$1:I2423, I$1:I2423&lt;&gt;""""),COUNTA(FILTER(I$1:I2423, I$1:I2423&lt;&gt;""""))))-1), IF('To Order'!$A2424=COL"&amp;"UMNS($A2424:I2443), I2423&amp;RIGHT(INDIRECT(ADDRESS(ROW(I2424)-1, 'From Order'!$A2424)), 1), I2423))"),"")</f>
        <v/>
      </c>
    </row>
    <row r="2425">
      <c r="A2425" s="2" t="str">
        <f>IFERROR(__xludf.DUMMYFUNCTION("IF('From Order'!$A2425=COLUMNS($A2425:A2444), LEFT(INDEX(FILTER(A$1:A2424, A$1:A2424&lt;&gt;""""),COUNTA(FILTER(A$1:A2424, A$1:A2424&lt;&gt;""""))), LEN(INDEX(FILTER(A$1:A2424, A$1:A2424&lt;&gt;""""),COUNTA(FILTER(A$1:A2424, A$1:A2424&lt;&gt;""""))))-1), IF('To Order'!$A2425=COL"&amp;"UMNS($A2425:A2444), A2424&amp;RIGHT(INDIRECT(ADDRESS(ROW(A2425)-1, 'From Order'!$A2425)), 1), A2424))"),"DRSZHTWLLFBDCCVQRSPMGTTMDZFJCTT")</f>
        <v>DRSZHTWLLFBDCCVQRSPMGTTMDZFJCTT</v>
      </c>
      <c r="B2425" s="2" t="str">
        <f>IFERROR(__xludf.DUMMYFUNCTION("IF('From Order'!$A2425=COLUMNS($A2425:B2444), LEFT(INDEX(FILTER(B$1:B2424, B$1:B2424&lt;&gt;""""),COUNTA(FILTER(B$1:B2424, B$1:B2424&lt;&gt;""""))), LEN(INDEX(FILTER(B$1:B2424, B$1:B2424&lt;&gt;""""),COUNTA(FILTER(B$1:B2424, B$1:B2424&lt;&gt;""""))))-1), IF('To Order'!$A2425=COL"&amp;"UMNS($A2425:B2444), B2424&amp;RIGHT(INDIRECT(ADDRESS(ROW(B2425)-1, 'From Order'!$A2425)), 1), B2424))"),"QGWBSSPLRRJ")</f>
        <v>QGWBSSPLRRJ</v>
      </c>
      <c r="C2425" s="2" t="str">
        <f>IFERROR(__xludf.DUMMYFUNCTION("IF('From Order'!$A2425=COLUMNS($A2425:C2444), LEFT(INDEX(FILTER(C$1:C2424, C$1:C2424&lt;&gt;""""),COUNTA(FILTER(C$1:C2424, C$1:C2424&lt;&gt;""""))), LEN(INDEX(FILTER(C$1:C2424, C$1:C2424&lt;&gt;""""),COUNTA(FILTER(C$1:C2424, C$1:C2424&lt;&gt;""""))))-1), IF('To Order'!$A2425=COL"&amp;"UMNS($A2425:C2444), C2424&amp;RIGHT(INDIRECT(ADDRESS(ROW(C2425)-1, 'From Order'!$A2425)), 1), C2424))"),"VBJDDVD")</f>
        <v>VBJDDVD</v>
      </c>
      <c r="D2425" s="2" t="str">
        <f>IFERROR(__xludf.DUMMYFUNCTION("IF('From Order'!$A2425=COLUMNS($A2425:D2444), LEFT(INDEX(FILTER(D$1:D2424, D$1:D2424&lt;&gt;""""),COUNTA(FILTER(D$1:D2424, D$1:D2424&lt;&gt;""""))), LEN(INDEX(FILTER(D$1:D2424, D$1:D2424&lt;&gt;""""),COUNTA(FILTER(D$1:D2424, D$1:D2424&lt;&gt;""""))))-1), IF('To Order'!$A2425=COL"&amp;"UMNS($A2425:D2444), D2424&amp;RIGHT(INDIRECT(ADDRESS(ROW(D2425)-1, 'From Order'!$A2425)), 1), D2424))"),"")</f>
        <v/>
      </c>
      <c r="E2425" s="2" t="str">
        <f>IFERROR(__xludf.DUMMYFUNCTION("IF('From Order'!$A2425=COLUMNS($A2425:E2444), LEFT(INDEX(FILTER(E$1:E2424, E$1:E2424&lt;&gt;""""),COUNTA(FILTER(E$1:E2424, E$1:E2424&lt;&gt;""""))), LEN(INDEX(FILTER(E$1:E2424, E$1:E2424&lt;&gt;""""),COUNTA(FILTER(E$1:E2424, E$1:E2424&lt;&gt;""""))))-1), IF('To Order'!$A2425=COL"&amp;"UMNS($A2425:E2444), E2424&amp;RIGHT(INDIRECT(ADDRESS(ROW(E2425)-1, 'From Order'!$A2425)), 1), E2424))"),"BRPHZMT")</f>
        <v>BRPHZMT</v>
      </c>
      <c r="F2425" s="2" t="str">
        <f>IFERROR(__xludf.DUMMYFUNCTION("IF('From Order'!$A2425=COLUMNS($A2425:F2444), LEFT(INDEX(FILTER(F$1:F2424, F$1:F2424&lt;&gt;""""),COUNTA(FILTER(F$1:F2424, F$1:F2424&lt;&gt;""""))), LEN(INDEX(FILTER(F$1:F2424, F$1:F2424&lt;&gt;""""),COUNTA(FILTER(F$1:F2424, F$1:F2424&lt;&gt;""""))))-1), IF('To Order'!$A2425=COL"&amp;"UMNS($A2425:F2444), F2424&amp;RIGHT(INDIRECT(ADDRESS(ROW(F2425)-1, 'From Order'!$A2425)), 1), F2424))"),"")</f>
        <v/>
      </c>
      <c r="G2425" s="2" t="str">
        <f>IFERROR(__xludf.DUMMYFUNCTION("IF('From Order'!$A2425=COLUMNS($A2425:G2444), LEFT(INDEX(FILTER(G$1:G2424, G$1:G2424&lt;&gt;""""),COUNTA(FILTER(G$1:G2424, G$1:G2424&lt;&gt;""""))), LEN(INDEX(FILTER(G$1:G2424, G$1:G2424&lt;&gt;""""),COUNTA(FILTER(G$1:G2424, G$1:G2424&lt;&gt;""""))))-1), IF('To Order'!$A2425=COL"&amp;"UMNS($A2425:G2444), G2424&amp;RIGHT(INDIRECT(ADDRESS(ROW(G2425)-1, 'From Order'!$A2425)), 1), G2424))"),"")</f>
        <v/>
      </c>
      <c r="H2425" s="2" t="str">
        <f>IFERROR(__xludf.DUMMYFUNCTION("IF('From Order'!$A2425=COLUMNS($A2425:H2444), LEFT(INDEX(FILTER(H$1:H2424, H$1:H2424&lt;&gt;""""),COUNTA(FILTER(H$1:H2424, H$1:H2424&lt;&gt;""""))), LEN(INDEX(FILTER(H$1:H2424, H$1:H2424&lt;&gt;""""),COUNTA(FILTER(H$1:H2424, H$1:H2424&lt;&gt;""""))))-1), IF('To Order'!$A2425=COL"&amp;"UMNS($A2425:H2444), H2424&amp;RIGHT(INDIRECT(ADDRESS(ROW(H2425)-1, 'From Order'!$A2425)), 1), H2424))"),"")</f>
        <v/>
      </c>
      <c r="I2425" s="2" t="str">
        <f>IFERROR(__xludf.DUMMYFUNCTION("IF('From Order'!$A2425=COLUMNS($A2425:I2444), LEFT(INDEX(FILTER(I$1:I2424, I$1:I2424&lt;&gt;""""),COUNTA(FILTER(I$1:I2424, I$1:I2424&lt;&gt;""""))), LEN(INDEX(FILTER(I$1:I2424, I$1:I2424&lt;&gt;""""),COUNTA(FILTER(I$1:I2424, I$1:I2424&lt;&gt;""""))))-1), IF('To Order'!$A2425=COL"&amp;"UMNS($A2425:I2444), I2424&amp;RIGHT(INDIRECT(ADDRESS(ROW(I2425)-1, 'From Order'!$A2425)), 1), I2424))"),"")</f>
        <v/>
      </c>
    </row>
    <row r="2426">
      <c r="A2426" s="2" t="str">
        <f>IFERROR(__xludf.DUMMYFUNCTION("IF('From Order'!$A2426=COLUMNS($A2426:A2445), LEFT(INDEX(FILTER(A$1:A2425, A$1:A2425&lt;&gt;""""),COUNTA(FILTER(A$1:A2425, A$1:A2425&lt;&gt;""""))), LEN(INDEX(FILTER(A$1:A2425, A$1:A2425&lt;&gt;""""),COUNTA(FILTER(A$1:A2425, A$1:A2425&lt;&gt;""""))))-1), IF('To Order'!$A2426=COL"&amp;"UMNS($A2426:A2445), A2425&amp;RIGHT(INDIRECT(ADDRESS(ROW(A2426)-1, 'From Order'!$A2426)), 1), A2425))"),"DRSZHTWLLFBDCCVQRSPMGTTMDZFJCT")</f>
        <v>DRSZHTWLLFBDCCVQRSPMGTTMDZFJCT</v>
      </c>
      <c r="B2426" s="2" t="str">
        <f>IFERROR(__xludf.DUMMYFUNCTION("IF('From Order'!$A2426=COLUMNS($A2426:B2445), LEFT(INDEX(FILTER(B$1:B2425, B$1:B2425&lt;&gt;""""),COUNTA(FILTER(B$1:B2425, B$1:B2425&lt;&gt;""""))), LEN(INDEX(FILTER(B$1:B2425, B$1:B2425&lt;&gt;""""),COUNTA(FILTER(B$1:B2425, B$1:B2425&lt;&gt;""""))))-1), IF('To Order'!$A2426=COL"&amp;"UMNS($A2426:B2445), B2425&amp;RIGHT(INDIRECT(ADDRESS(ROW(B2426)-1, 'From Order'!$A2426)), 1), B2425))"),"QGWBSSPLRRJT")</f>
        <v>QGWBSSPLRRJT</v>
      </c>
      <c r="C2426" s="2" t="str">
        <f>IFERROR(__xludf.DUMMYFUNCTION("IF('From Order'!$A2426=COLUMNS($A2426:C2445), LEFT(INDEX(FILTER(C$1:C2425, C$1:C2425&lt;&gt;""""),COUNTA(FILTER(C$1:C2425, C$1:C2425&lt;&gt;""""))), LEN(INDEX(FILTER(C$1:C2425, C$1:C2425&lt;&gt;""""),COUNTA(FILTER(C$1:C2425, C$1:C2425&lt;&gt;""""))))-1), IF('To Order'!$A2426=COL"&amp;"UMNS($A2426:C2445), C2425&amp;RIGHT(INDIRECT(ADDRESS(ROW(C2426)-1, 'From Order'!$A2426)), 1), C2425))"),"VBJDDVD")</f>
        <v>VBJDDVD</v>
      </c>
      <c r="D2426" s="2" t="str">
        <f>IFERROR(__xludf.DUMMYFUNCTION("IF('From Order'!$A2426=COLUMNS($A2426:D2445), LEFT(INDEX(FILTER(D$1:D2425, D$1:D2425&lt;&gt;""""),COUNTA(FILTER(D$1:D2425, D$1:D2425&lt;&gt;""""))), LEN(INDEX(FILTER(D$1:D2425, D$1:D2425&lt;&gt;""""),COUNTA(FILTER(D$1:D2425, D$1:D2425&lt;&gt;""""))))-1), IF('To Order'!$A2426=COL"&amp;"UMNS($A2426:D2445), D2425&amp;RIGHT(INDIRECT(ADDRESS(ROW(D2426)-1, 'From Order'!$A2426)), 1), D2425))"),"")</f>
        <v/>
      </c>
      <c r="E2426" s="2" t="str">
        <f>IFERROR(__xludf.DUMMYFUNCTION("IF('From Order'!$A2426=COLUMNS($A2426:E2445), LEFT(INDEX(FILTER(E$1:E2425, E$1:E2425&lt;&gt;""""),COUNTA(FILTER(E$1:E2425, E$1:E2425&lt;&gt;""""))), LEN(INDEX(FILTER(E$1:E2425, E$1:E2425&lt;&gt;""""),COUNTA(FILTER(E$1:E2425, E$1:E2425&lt;&gt;""""))))-1), IF('To Order'!$A2426=COL"&amp;"UMNS($A2426:E2445), E2425&amp;RIGHT(INDIRECT(ADDRESS(ROW(E2426)-1, 'From Order'!$A2426)), 1), E2425))"),"BRPHZMT")</f>
        <v>BRPHZMT</v>
      </c>
      <c r="F2426" s="2" t="str">
        <f>IFERROR(__xludf.DUMMYFUNCTION("IF('From Order'!$A2426=COLUMNS($A2426:F2445), LEFT(INDEX(FILTER(F$1:F2425, F$1:F2425&lt;&gt;""""),COUNTA(FILTER(F$1:F2425, F$1:F2425&lt;&gt;""""))), LEN(INDEX(FILTER(F$1:F2425, F$1:F2425&lt;&gt;""""),COUNTA(FILTER(F$1:F2425, F$1:F2425&lt;&gt;""""))))-1), IF('To Order'!$A2426=COL"&amp;"UMNS($A2426:F2445), F2425&amp;RIGHT(INDIRECT(ADDRESS(ROW(F2426)-1, 'From Order'!$A2426)), 1), F2425))"),"")</f>
        <v/>
      </c>
      <c r="G2426" s="2" t="str">
        <f>IFERROR(__xludf.DUMMYFUNCTION("IF('From Order'!$A2426=COLUMNS($A2426:G2445), LEFT(INDEX(FILTER(G$1:G2425, G$1:G2425&lt;&gt;""""),COUNTA(FILTER(G$1:G2425, G$1:G2425&lt;&gt;""""))), LEN(INDEX(FILTER(G$1:G2425, G$1:G2425&lt;&gt;""""),COUNTA(FILTER(G$1:G2425, G$1:G2425&lt;&gt;""""))))-1), IF('To Order'!$A2426=COL"&amp;"UMNS($A2426:G2445), G2425&amp;RIGHT(INDIRECT(ADDRESS(ROW(G2426)-1, 'From Order'!$A2426)), 1), G2425))"),"")</f>
        <v/>
      </c>
      <c r="H2426" s="2" t="str">
        <f>IFERROR(__xludf.DUMMYFUNCTION("IF('From Order'!$A2426=COLUMNS($A2426:H2445), LEFT(INDEX(FILTER(H$1:H2425, H$1:H2425&lt;&gt;""""),COUNTA(FILTER(H$1:H2425, H$1:H2425&lt;&gt;""""))), LEN(INDEX(FILTER(H$1:H2425, H$1:H2425&lt;&gt;""""),COUNTA(FILTER(H$1:H2425, H$1:H2425&lt;&gt;""""))))-1), IF('To Order'!$A2426=COL"&amp;"UMNS($A2426:H2445), H2425&amp;RIGHT(INDIRECT(ADDRESS(ROW(H2426)-1, 'From Order'!$A2426)), 1), H2425))"),"")</f>
        <v/>
      </c>
      <c r="I2426" s="2" t="str">
        <f>IFERROR(__xludf.DUMMYFUNCTION("IF('From Order'!$A2426=COLUMNS($A2426:I2445), LEFT(INDEX(FILTER(I$1:I2425, I$1:I2425&lt;&gt;""""),COUNTA(FILTER(I$1:I2425, I$1:I2425&lt;&gt;""""))), LEN(INDEX(FILTER(I$1:I2425, I$1:I2425&lt;&gt;""""),COUNTA(FILTER(I$1:I2425, I$1:I2425&lt;&gt;""""))))-1), IF('To Order'!$A2426=COL"&amp;"UMNS($A2426:I2445), I2425&amp;RIGHT(INDIRECT(ADDRESS(ROW(I2426)-1, 'From Order'!$A2426)), 1), I2425))"),"")</f>
        <v/>
      </c>
    </row>
    <row r="2427">
      <c r="A2427" s="2" t="str">
        <f>IFERROR(__xludf.DUMMYFUNCTION("IF('From Order'!$A2427=COLUMNS($A2427:A2446), LEFT(INDEX(FILTER(A$1:A2426, A$1:A2426&lt;&gt;""""),COUNTA(FILTER(A$1:A2426, A$1:A2426&lt;&gt;""""))), LEN(INDEX(FILTER(A$1:A2426, A$1:A2426&lt;&gt;""""),COUNTA(FILTER(A$1:A2426, A$1:A2426&lt;&gt;""""))))-1), IF('To Order'!$A2427=COL"&amp;"UMNS($A2427:A2446), A2426&amp;RIGHT(INDIRECT(ADDRESS(ROW(A2427)-1, 'From Order'!$A2427)), 1), A2426))"),"DRSZHTWLLFBDCCVQRSPMGTTMDZFJC")</f>
        <v>DRSZHTWLLFBDCCVQRSPMGTTMDZFJC</v>
      </c>
      <c r="B2427" s="2" t="str">
        <f>IFERROR(__xludf.DUMMYFUNCTION("IF('From Order'!$A2427=COLUMNS($A2427:B2446), LEFT(INDEX(FILTER(B$1:B2426, B$1:B2426&lt;&gt;""""),COUNTA(FILTER(B$1:B2426, B$1:B2426&lt;&gt;""""))), LEN(INDEX(FILTER(B$1:B2426, B$1:B2426&lt;&gt;""""),COUNTA(FILTER(B$1:B2426, B$1:B2426&lt;&gt;""""))))-1), IF('To Order'!$A2427=COL"&amp;"UMNS($A2427:B2446), B2426&amp;RIGHT(INDIRECT(ADDRESS(ROW(B2427)-1, 'From Order'!$A2427)), 1), B2426))"),"QGWBSSPLRRJTT")</f>
        <v>QGWBSSPLRRJTT</v>
      </c>
      <c r="C2427" s="2" t="str">
        <f>IFERROR(__xludf.DUMMYFUNCTION("IF('From Order'!$A2427=COLUMNS($A2427:C2446), LEFT(INDEX(FILTER(C$1:C2426, C$1:C2426&lt;&gt;""""),COUNTA(FILTER(C$1:C2426, C$1:C2426&lt;&gt;""""))), LEN(INDEX(FILTER(C$1:C2426, C$1:C2426&lt;&gt;""""),COUNTA(FILTER(C$1:C2426, C$1:C2426&lt;&gt;""""))))-1), IF('To Order'!$A2427=COL"&amp;"UMNS($A2427:C2446), C2426&amp;RIGHT(INDIRECT(ADDRESS(ROW(C2427)-1, 'From Order'!$A2427)), 1), C2426))"),"VBJDDVD")</f>
        <v>VBJDDVD</v>
      </c>
      <c r="D2427" s="2" t="str">
        <f>IFERROR(__xludf.DUMMYFUNCTION("IF('From Order'!$A2427=COLUMNS($A2427:D2446), LEFT(INDEX(FILTER(D$1:D2426, D$1:D2426&lt;&gt;""""),COUNTA(FILTER(D$1:D2426, D$1:D2426&lt;&gt;""""))), LEN(INDEX(FILTER(D$1:D2426, D$1:D2426&lt;&gt;""""),COUNTA(FILTER(D$1:D2426, D$1:D2426&lt;&gt;""""))))-1), IF('To Order'!$A2427=COL"&amp;"UMNS($A2427:D2446), D2426&amp;RIGHT(INDIRECT(ADDRESS(ROW(D2427)-1, 'From Order'!$A2427)), 1), D2426))"),"")</f>
        <v/>
      </c>
      <c r="E2427" s="2" t="str">
        <f>IFERROR(__xludf.DUMMYFUNCTION("IF('From Order'!$A2427=COLUMNS($A2427:E2446), LEFT(INDEX(FILTER(E$1:E2426, E$1:E2426&lt;&gt;""""),COUNTA(FILTER(E$1:E2426, E$1:E2426&lt;&gt;""""))), LEN(INDEX(FILTER(E$1:E2426, E$1:E2426&lt;&gt;""""),COUNTA(FILTER(E$1:E2426, E$1:E2426&lt;&gt;""""))))-1), IF('To Order'!$A2427=COL"&amp;"UMNS($A2427:E2446), E2426&amp;RIGHT(INDIRECT(ADDRESS(ROW(E2427)-1, 'From Order'!$A2427)), 1), E2426))"),"BRPHZMT")</f>
        <v>BRPHZMT</v>
      </c>
      <c r="F2427" s="2" t="str">
        <f>IFERROR(__xludf.DUMMYFUNCTION("IF('From Order'!$A2427=COLUMNS($A2427:F2446), LEFT(INDEX(FILTER(F$1:F2426, F$1:F2426&lt;&gt;""""),COUNTA(FILTER(F$1:F2426, F$1:F2426&lt;&gt;""""))), LEN(INDEX(FILTER(F$1:F2426, F$1:F2426&lt;&gt;""""),COUNTA(FILTER(F$1:F2426, F$1:F2426&lt;&gt;""""))))-1), IF('To Order'!$A2427=COL"&amp;"UMNS($A2427:F2446), F2426&amp;RIGHT(INDIRECT(ADDRESS(ROW(F2427)-1, 'From Order'!$A2427)), 1), F2426))"),"")</f>
        <v/>
      </c>
      <c r="G2427" s="2" t="str">
        <f>IFERROR(__xludf.DUMMYFUNCTION("IF('From Order'!$A2427=COLUMNS($A2427:G2446), LEFT(INDEX(FILTER(G$1:G2426, G$1:G2426&lt;&gt;""""),COUNTA(FILTER(G$1:G2426, G$1:G2426&lt;&gt;""""))), LEN(INDEX(FILTER(G$1:G2426, G$1:G2426&lt;&gt;""""),COUNTA(FILTER(G$1:G2426, G$1:G2426&lt;&gt;""""))))-1), IF('To Order'!$A2427=COL"&amp;"UMNS($A2427:G2446), G2426&amp;RIGHT(INDIRECT(ADDRESS(ROW(G2427)-1, 'From Order'!$A2427)), 1), G2426))"),"")</f>
        <v/>
      </c>
      <c r="H2427" s="2" t="str">
        <f>IFERROR(__xludf.DUMMYFUNCTION("IF('From Order'!$A2427=COLUMNS($A2427:H2446), LEFT(INDEX(FILTER(H$1:H2426, H$1:H2426&lt;&gt;""""),COUNTA(FILTER(H$1:H2426, H$1:H2426&lt;&gt;""""))), LEN(INDEX(FILTER(H$1:H2426, H$1:H2426&lt;&gt;""""),COUNTA(FILTER(H$1:H2426, H$1:H2426&lt;&gt;""""))))-1), IF('To Order'!$A2427=COL"&amp;"UMNS($A2427:H2446), H2426&amp;RIGHT(INDIRECT(ADDRESS(ROW(H2427)-1, 'From Order'!$A2427)), 1), H2426))"),"")</f>
        <v/>
      </c>
      <c r="I2427" s="2" t="str">
        <f>IFERROR(__xludf.DUMMYFUNCTION("IF('From Order'!$A2427=COLUMNS($A2427:I2446), LEFT(INDEX(FILTER(I$1:I2426, I$1:I2426&lt;&gt;""""),COUNTA(FILTER(I$1:I2426, I$1:I2426&lt;&gt;""""))), LEN(INDEX(FILTER(I$1:I2426, I$1:I2426&lt;&gt;""""),COUNTA(FILTER(I$1:I2426, I$1:I2426&lt;&gt;""""))))-1), IF('To Order'!$A2427=COL"&amp;"UMNS($A2427:I2446), I2426&amp;RIGHT(INDIRECT(ADDRESS(ROW(I2427)-1, 'From Order'!$A2427)), 1), I2426))"),"")</f>
        <v/>
      </c>
    </row>
    <row r="2428">
      <c r="A2428" s="2" t="str">
        <f>IFERROR(__xludf.DUMMYFUNCTION("IF('From Order'!$A2428=COLUMNS($A2428:A2447), LEFT(INDEX(FILTER(A$1:A2427, A$1:A2427&lt;&gt;""""),COUNTA(FILTER(A$1:A2427, A$1:A2427&lt;&gt;""""))), LEN(INDEX(FILTER(A$1:A2427, A$1:A2427&lt;&gt;""""),COUNTA(FILTER(A$1:A2427, A$1:A2427&lt;&gt;""""))))-1), IF('To Order'!$A2428=COL"&amp;"UMNS($A2428:A2447), A2427&amp;RIGHT(INDIRECT(ADDRESS(ROW(A2428)-1, 'From Order'!$A2428)), 1), A2427))"),"DRSZHTWLLFBDCCVQRSPMGTTMDZFJ")</f>
        <v>DRSZHTWLLFBDCCVQRSPMGTTMDZFJ</v>
      </c>
      <c r="B2428" s="2" t="str">
        <f>IFERROR(__xludf.DUMMYFUNCTION("IF('From Order'!$A2428=COLUMNS($A2428:B2447), LEFT(INDEX(FILTER(B$1:B2427, B$1:B2427&lt;&gt;""""),COUNTA(FILTER(B$1:B2427, B$1:B2427&lt;&gt;""""))), LEN(INDEX(FILTER(B$1:B2427, B$1:B2427&lt;&gt;""""),COUNTA(FILTER(B$1:B2427, B$1:B2427&lt;&gt;""""))))-1), IF('To Order'!$A2428=COL"&amp;"UMNS($A2428:B2447), B2427&amp;RIGHT(INDIRECT(ADDRESS(ROW(B2428)-1, 'From Order'!$A2428)), 1), B2427))"),"QGWBSSPLRRJTTC")</f>
        <v>QGWBSSPLRRJTTC</v>
      </c>
      <c r="C2428" s="2" t="str">
        <f>IFERROR(__xludf.DUMMYFUNCTION("IF('From Order'!$A2428=COLUMNS($A2428:C2447), LEFT(INDEX(FILTER(C$1:C2427, C$1:C2427&lt;&gt;""""),COUNTA(FILTER(C$1:C2427, C$1:C2427&lt;&gt;""""))), LEN(INDEX(FILTER(C$1:C2427, C$1:C2427&lt;&gt;""""),COUNTA(FILTER(C$1:C2427, C$1:C2427&lt;&gt;""""))))-1), IF('To Order'!$A2428=COL"&amp;"UMNS($A2428:C2447), C2427&amp;RIGHT(INDIRECT(ADDRESS(ROW(C2428)-1, 'From Order'!$A2428)), 1), C2427))"),"VBJDDVD")</f>
        <v>VBJDDVD</v>
      </c>
      <c r="D2428" s="2" t="str">
        <f>IFERROR(__xludf.DUMMYFUNCTION("IF('From Order'!$A2428=COLUMNS($A2428:D2447), LEFT(INDEX(FILTER(D$1:D2427, D$1:D2427&lt;&gt;""""),COUNTA(FILTER(D$1:D2427, D$1:D2427&lt;&gt;""""))), LEN(INDEX(FILTER(D$1:D2427, D$1:D2427&lt;&gt;""""),COUNTA(FILTER(D$1:D2427, D$1:D2427&lt;&gt;""""))))-1), IF('To Order'!$A2428=COL"&amp;"UMNS($A2428:D2447), D2427&amp;RIGHT(INDIRECT(ADDRESS(ROW(D2428)-1, 'From Order'!$A2428)), 1), D2427))"),"")</f>
        <v/>
      </c>
      <c r="E2428" s="2" t="str">
        <f>IFERROR(__xludf.DUMMYFUNCTION("IF('From Order'!$A2428=COLUMNS($A2428:E2447), LEFT(INDEX(FILTER(E$1:E2427, E$1:E2427&lt;&gt;""""),COUNTA(FILTER(E$1:E2427, E$1:E2427&lt;&gt;""""))), LEN(INDEX(FILTER(E$1:E2427, E$1:E2427&lt;&gt;""""),COUNTA(FILTER(E$1:E2427, E$1:E2427&lt;&gt;""""))))-1), IF('To Order'!$A2428=COL"&amp;"UMNS($A2428:E2447), E2427&amp;RIGHT(INDIRECT(ADDRESS(ROW(E2428)-1, 'From Order'!$A2428)), 1), E2427))"),"BRPHZMT")</f>
        <v>BRPHZMT</v>
      </c>
      <c r="F2428" s="2" t="str">
        <f>IFERROR(__xludf.DUMMYFUNCTION("IF('From Order'!$A2428=COLUMNS($A2428:F2447), LEFT(INDEX(FILTER(F$1:F2427, F$1:F2427&lt;&gt;""""),COUNTA(FILTER(F$1:F2427, F$1:F2427&lt;&gt;""""))), LEN(INDEX(FILTER(F$1:F2427, F$1:F2427&lt;&gt;""""),COUNTA(FILTER(F$1:F2427, F$1:F2427&lt;&gt;""""))))-1), IF('To Order'!$A2428=COL"&amp;"UMNS($A2428:F2447), F2427&amp;RIGHT(INDIRECT(ADDRESS(ROW(F2428)-1, 'From Order'!$A2428)), 1), F2427))"),"")</f>
        <v/>
      </c>
      <c r="G2428" s="2" t="str">
        <f>IFERROR(__xludf.DUMMYFUNCTION("IF('From Order'!$A2428=COLUMNS($A2428:G2447), LEFT(INDEX(FILTER(G$1:G2427, G$1:G2427&lt;&gt;""""),COUNTA(FILTER(G$1:G2427, G$1:G2427&lt;&gt;""""))), LEN(INDEX(FILTER(G$1:G2427, G$1:G2427&lt;&gt;""""),COUNTA(FILTER(G$1:G2427, G$1:G2427&lt;&gt;""""))))-1), IF('To Order'!$A2428=COL"&amp;"UMNS($A2428:G2447), G2427&amp;RIGHT(INDIRECT(ADDRESS(ROW(G2428)-1, 'From Order'!$A2428)), 1), G2427))"),"")</f>
        <v/>
      </c>
      <c r="H2428" s="2" t="str">
        <f>IFERROR(__xludf.DUMMYFUNCTION("IF('From Order'!$A2428=COLUMNS($A2428:H2447), LEFT(INDEX(FILTER(H$1:H2427, H$1:H2427&lt;&gt;""""),COUNTA(FILTER(H$1:H2427, H$1:H2427&lt;&gt;""""))), LEN(INDEX(FILTER(H$1:H2427, H$1:H2427&lt;&gt;""""),COUNTA(FILTER(H$1:H2427, H$1:H2427&lt;&gt;""""))))-1), IF('To Order'!$A2428=COL"&amp;"UMNS($A2428:H2447), H2427&amp;RIGHT(INDIRECT(ADDRESS(ROW(H2428)-1, 'From Order'!$A2428)), 1), H2427))"),"")</f>
        <v/>
      </c>
      <c r="I2428" s="2" t="str">
        <f>IFERROR(__xludf.DUMMYFUNCTION("IF('From Order'!$A2428=COLUMNS($A2428:I2447), LEFT(INDEX(FILTER(I$1:I2427, I$1:I2427&lt;&gt;""""),COUNTA(FILTER(I$1:I2427, I$1:I2427&lt;&gt;""""))), LEN(INDEX(FILTER(I$1:I2427, I$1:I2427&lt;&gt;""""),COUNTA(FILTER(I$1:I2427, I$1:I2427&lt;&gt;""""))))-1), IF('To Order'!$A2428=COL"&amp;"UMNS($A2428:I2447), I2427&amp;RIGHT(INDIRECT(ADDRESS(ROW(I2428)-1, 'From Order'!$A2428)), 1), I2427))"),"")</f>
        <v/>
      </c>
    </row>
    <row r="2429">
      <c r="A2429" s="2" t="str">
        <f>IFERROR(__xludf.DUMMYFUNCTION("IF('From Order'!$A2429=COLUMNS($A2429:A2448), LEFT(INDEX(FILTER(A$1:A2428, A$1:A2428&lt;&gt;""""),COUNTA(FILTER(A$1:A2428, A$1:A2428&lt;&gt;""""))), LEN(INDEX(FILTER(A$1:A2428, A$1:A2428&lt;&gt;""""),COUNTA(FILTER(A$1:A2428, A$1:A2428&lt;&gt;""""))))-1), IF('To Order'!$A2429=COL"&amp;"UMNS($A2429:A2448), A2428&amp;RIGHT(INDIRECT(ADDRESS(ROW(A2429)-1, 'From Order'!$A2429)), 1), A2428))"),"DRSZHTWLLFBDCCVQRSPMGTTMDZF")</f>
        <v>DRSZHTWLLFBDCCVQRSPMGTTMDZF</v>
      </c>
      <c r="B2429" s="2" t="str">
        <f>IFERROR(__xludf.DUMMYFUNCTION("IF('From Order'!$A2429=COLUMNS($A2429:B2448), LEFT(INDEX(FILTER(B$1:B2428, B$1:B2428&lt;&gt;""""),COUNTA(FILTER(B$1:B2428, B$1:B2428&lt;&gt;""""))), LEN(INDEX(FILTER(B$1:B2428, B$1:B2428&lt;&gt;""""),COUNTA(FILTER(B$1:B2428, B$1:B2428&lt;&gt;""""))))-1), IF('To Order'!$A2429=COL"&amp;"UMNS($A2429:B2448), B2428&amp;RIGHT(INDIRECT(ADDRESS(ROW(B2429)-1, 'From Order'!$A2429)), 1), B2428))"),"QGWBSSPLRRJTTCJ")</f>
        <v>QGWBSSPLRRJTTCJ</v>
      </c>
      <c r="C2429" s="2" t="str">
        <f>IFERROR(__xludf.DUMMYFUNCTION("IF('From Order'!$A2429=COLUMNS($A2429:C2448), LEFT(INDEX(FILTER(C$1:C2428, C$1:C2428&lt;&gt;""""),COUNTA(FILTER(C$1:C2428, C$1:C2428&lt;&gt;""""))), LEN(INDEX(FILTER(C$1:C2428, C$1:C2428&lt;&gt;""""),COUNTA(FILTER(C$1:C2428, C$1:C2428&lt;&gt;""""))))-1), IF('To Order'!$A2429=COL"&amp;"UMNS($A2429:C2448), C2428&amp;RIGHT(INDIRECT(ADDRESS(ROW(C2429)-1, 'From Order'!$A2429)), 1), C2428))"),"VBJDDVD")</f>
        <v>VBJDDVD</v>
      </c>
      <c r="D2429" s="2" t="str">
        <f>IFERROR(__xludf.DUMMYFUNCTION("IF('From Order'!$A2429=COLUMNS($A2429:D2448), LEFT(INDEX(FILTER(D$1:D2428, D$1:D2428&lt;&gt;""""),COUNTA(FILTER(D$1:D2428, D$1:D2428&lt;&gt;""""))), LEN(INDEX(FILTER(D$1:D2428, D$1:D2428&lt;&gt;""""),COUNTA(FILTER(D$1:D2428, D$1:D2428&lt;&gt;""""))))-1), IF('To Order'!$A2429=COL"&amp;"UMNS($A2429:D2448), D2428&amp;RIGHT(INDIRECT(ADDRESS(ROW(D2429)-1, 'From Order'!$A2429)), 1), D2428))"),"")</f>
        <v/>
      </c>
      <c r="E2429" s="2" t="str">
        <f>IFERROR(__xludf.DUMMYFUNCTION("IF('From Order'!$A2429=COLUMNS($A2429:E2448), LEFT(INDEX(FILTER(E$1:E2428, E$1:E2428&lt;&gt;""""),COUNTA(FILTER(E$1:E2428, E$1:E2428&lt;&gt;""""))), LEN(INDEX(FILTER(E$1:E2428, E$1:E2428&lt;&gt;""""),COUNTA(FILTER(E$1:E2428, E$1:E2428&lt;&gt;""""))))-1), IF('To Order'!$A2429=COL"&amp;"UMNS($A2429:E2448), E2428&amp;RIGHT(INDIRECT(ADDRESS(ROW(E2429)-1, 'From Order'!$A2429)), 1), E2428))"),"BRPHZMT")</f>
        <v>BRPHZMT</v>
      </c>
      <c r="F2429" s="2" t="str">
        <f>IFERROR(__xludf.DUMMYFUNCTION("IF('From Order'!$A2429=COLUMNS($A2429:F2448), LEFT(INDEX(FILTER(F$1:F2428, F$1:F2428&lt;&gt;""""),COUNTA(FILTER(F$1:F2428, F$1:F2428&lt;&gt;""""))), LEN(INDEX(FILTER(F$1:F2428, F$1:F2428&lt;&gt;""""),COUNTA(FILTER(F$1:F2428, F$1:F2428&lt;&gt;""""))))-1), IF('To Order'!$A2429=COL"&amp;"UMNS($A2429:F2448), F2428&amp;RIGHT(INDIRECT(ADDRESS(ROW(F2429)-1, 'From Order'!$A2429)), 1), F2428))"),"")</f>
        <v/>
      </c>
      <c r="G2429" s="2" t="str">
        <f>IFERROR(__xludf.DUMMYFUNCTION("IF('From Order'!$A2429=COLUMNS($A2429:G2448), LEFT(INDEX(FILTER(G$1:G2428, G$1:G2428&lt;&gt;""""),COUNTA(FILTER(G$1:G2428, G$1:G2428&lt;&gt;""""))), LEN(INDEX(FILTER(G$1:G2428, G$1:G2428&lt;&gt;""""),COUNTA(FILTER(G$1:G2428, G$1:G2428&lt;&gt;""""))))-1), IF('To Order'!$A2429=COL"&amp;"UMNS($A2429:G2448), G2428&amp;RIGHT(INDIRECT(ADDRESS(ROW(G2429)-1, 'From Order'!$A2429)), 1), G2428))"),"")</f>
        <v/>
      </c>
      <c r="H2429" s="2" t="str">
        <f>IFERROR(__xludf.DUMMYFUNCTION("IF('From Order'!$A2429=COLUMNS($A2429:H2448), LEFT(INDEX(FILTER(H$1:H2428, H$1:H2428&lt;&gt;""""),COUNTA(FILTER(H$1:H2428, H$1:H2428&lt;&gt;""""))), LEN(INDEX(FILTER(H$1:H2428, H$1:H2428&lt;&gt;""""),COUNTA(FILTER(H$1:H2428, H$1:H2428&lt;&gt;""""))))-1), IF('To Order'!$A2429=COL"&amp;"UMNS($A2429:H2448), H2428&amp;RIGHT(INDIRECT(ADDRESS(ROW(H2429)-1, 'From Order'!$A2429)), 1), H2428))"),"")</f>
        <v/>
      </c>
      <c r="I2429" s="2" t="str">
        <f>IFERROR(__xludf.DUMMYFUNCTION("IF('From Order'!$A2429=COLUMNS($A2429:I2448), LEFT(INDEX(FILTER(I$1:I2428, I$1:I2428&lt;&gt;""""),COUNTA(FILTER(I$1:I2428, I$1:I2428&lt;&gt;""""))), LEN(INDEX(FILTER(I$1:I2428, I$1:I2428&lt;&gt;""""),COUNTA(FILTER(I$1:I2428, I$1:I2428&lt;&gt;""""))))-1), IF('To Order'!$A2429=COL"&amp;"UMNS($A2429:I2448), I2428&amp;RIGHT(INDIRECT(ADDRESS(ROW(I2429)-1, 'From Order'!$A2429)), 1), I2428))"),"")</f>
        <v/>
      </c>
    </row>
    <row r="2430">
      <c r="A2430" s="2" t="str">
        <f>IFERROR(__xludf.DUMMYFUNCTION("IF('From Order'!$A2430=COLUMNS($A2430:A2449), LEFT(INDEX(FILTER(A$1:A2429, A$1:A2429&lt;&gt;""""),COUNTA(FILTER(A$1:A2429, A$1:A2429&lt;&gt;""""))), LEN(INDEX(FILTER(A$1:A2429, A$1:A2429&lt;&gt;""""),COUNTA(FILTER(A$1:A2429, A$1:A2429&lt;&gt;""""))))-1), IF('To Order'!$A2430=COL"&amp;"UMNS($A2430:A2449), A2429&amp;RIGHT(INDIRECT(ADDRESS(ROW(A2430)-1, 'From Order'!$A2430)), 1), A2429))"),"DRSZHTWLLFBDCCVQRSPMGTTMDZ")</f>
        <v>DRSZHTWLLFBDCCVQRSPMGTTMDZ</v>
      </c>
      <c r="B2430" s="2" t="str">
        <f>IFERROR(__xludf.DUMMYFUNCTION("IF('From Order'!$A2430=COLUMNS($A2430:B2449), LEFT(INDEX(FILTER(B$1:B2429, B$1:B2429&lt;&gt;""""),COUNTA(FILTER(B$1:B2429, B$1:B2429&lt;&gt;""""))), LEN(INDEX(FILTER(B$1:B2429, B$1:B2429&lt;&gt;""""),COUNTA(FILTER(B$1:B2429, B$1:B2429&lt;&gt;""""))))-1), IF('To Order'!$A2430=COL"&amp;"UMNS($A2430:B2449), B2429&amp;RIGHT(INDIRECT(ADDRESS(ROW(B2430)-1, 'From Order'!$A2430)), 1), B2429))"),"QGWBSSPLRRJTTCJF")</f>
        <v>QGWBSSPLRRJTTCJF</v>
      </c>
      <c r="C2430" s="2" t="str">
        <f>IFERROR(__xludf.DUMMYFUNCTION("IF('From Order'!$A2430=COLUMNS($A2430:C2449), LEFT(INDEX(FILTER(C$1:C2429, C$1:C2429&lt;&gt;""""),COUNTA(FILTER(C$1:C2429, C$1:C2429&lt;&gt;""""))), LEN(INDEX(FILTER(C$1:C2429, C$1:C2429&lt;&gt;""""),COUNTA(FILTER(C$1:C2429, C$1:C2429&lt;&gt;""""))))-1), IF('To Order'!$A2430=COL"&amp;"UMNS($A2430:C2449), C2429&amp;RIGHT(INDIRECT(ADDRESS(ROW(C2430)-1, 'From Order'!$A2430)), 1), C2429))"),"VBJDDVD")</f>
        <v>VBJDDVD</v>
      </c>
      <c r="D2430" s="2" t="str">
        <f>IFERROR(__xludf.DUMMYFUNCTION("IF('From Order'!$A2430=COLUMNS($A2430:D2449), LEFT(INDEX(FILTER(D$1:D2429, D$1:D2429&lt;&gt;""""),COUNTA(FILTER(D$1:D2429, D$1:D2429&lt;&gt;""""))), LEN(INDEX(FILTER(D$1:D2429, D$1:D2429&lt;&gt;""""),COUNTA(FILTER(D$1:D2429, D$1:D2429&lt;&gt;""""))))-1), IF('To Order'!$A2430=COL"&amp;"UMNS($A2430:D2449), D2429&amp;RIGHT(INDIRECT(ADDRESS(ROW(D2430)-1, 'From Order'!$A2430)), 1), D2429))"),"")</f>
        <v/>
      </c>
      <c r="E2430" s="2" t="str">
        <f>IFERROR(__xludf.DUMMYFUNCTION("IF('From Order'!$A2430=COLUMNS($A2430:E2449), LEFT(INDEX(FILTER(E$1:E2429, E$1:E2429&lt;&gt;""""),COUNTA(FILTER(E$1:E2429, E$1:E2429&lt;&gt;""""))), LEN(INDEX(FILTER(E$1:E2429, E$1:E2429&lt;&gt;""""),COUNTA(FILTER(E$1:E2429, E$1:E2429&lt;&gt;""""))))-1), IF('To Order'!$A2430=COL"&amp;"UMNS($A2430:E2449), E2429&amp;RIGHT(INDIRECT(ADDRESS(ROW(E2430)-1, 'From Order'!$A2430)), 1), E2429))"),"BRPHZMT")</f>
        <v>BRPHZMT</v>
      </c>
      <c r="F2430" s="2" t="str">
        <f>IFERROR(__xludf.DUMMYFUNCTION("IF('From Order'!$A2430=COLUMNS($A2430:F2449), LEFT(INDEX(FILTER(F$1:F2429, F$1:F2429&lt;&gt;""""),COUNTA(FILTER(F$1:F2429, F$1:F2429&lt;&gt;""""))), LEN(INDEX(FILTER(F$1:F2429, F$1:F2429&lt;&gt;""""),COUNTA(FILTER(F$1:F2429, F$1:F2429&lt;&gt;""""))))-1), IF('To Order'!$A2430=COL"&amp;"UMNS($A2430:F2449), F2429&amp;RIGHT(INDIRECT(ADDRESS(ROW(F2430)-1, 'From Order'!$A2430)), 1), F2429))"),"")</f>
        <v/>
      </c>
      <c r="G2430" s="2" t="str">
        <f>IFERROR(__xludf.DUMMYFUNCTION("IF('From Order'!$A2430=COLUMNS($A2430:G2449), LEFT(INDEX(FILTER(G$1:G2429, G$1:G2429&lt;&gt;""""),COUNTA(FILTER(G$1:G2429, G$1:G2429&lt;&gt;""""))), LEN(INDEX(FILTER(G$1:G2429, G$1:G2429&lt;&gt;""""),COUNTA(FILTER(G$1:G2429, G$1:G2429&lt;&gt;""""))))-1), IF('To Order'!$A2430=COL"&amp;"UMNS($A2430:G2449), G2429&amp;RIGHT(INDIRECT(ADDRESS(ROW(G2430)-1, 'From Order'!$A2430)), 1), G2429))"),"")</f>
        <v/>
      </c>
      <c r="H2430" s="2" t="str">
        <f>IFERROR(__xludf.DUMMYFUNCTION("IF('From Order'!$A2430=COLUMNS($A2430:H2449), LEFT(INDEX(FILTER(H$1:H2429, H$1:H2429&lt;&gt;""""),COUNTA(FILTER(H$1:H2429, H$1:H2429&lt;&gt;""""))), LEN(INDEX(FILTER(H$1:H2429, H$1:H2429&lt;&gt;""""),COUNTA(FILTER(H$1:H2429, H$1:H2429&lt;&gt;""""))))-1), IF('To Order'!$A2430=COL"&amp;"UMNS($A2430:H2449), H2429&amp;RIGHT(INDIRECT(ADDRESS(ROW(H2430)-1, 'From Order'!$A2430)), 1), H2429))"),"")</f>
        <v/>
      </c>
      <c r="I2430" s="2" t="str">
        <f>IFERROR(__xludf.DUMMYFUNCTION("IF('From Order'!$A2430=COLUMNS($A2430:I2449), LEFT(INDEX(FILTER(I$1:I2429, I$1:I2429&lt;&gt;""""),COUNTA(FILTER(I$1:I2429, I$1:I2429&lt;&gt;""""))), LEN(INDEX(FILTER(I$1:I2429, I$1:I2429&lt;&gt;""""),COUNTA(FILTER(I$1:I2429, I$1:I2429&lt;&gt;""""))))-1), IF('To Order'!$A2430=COL"&amp;"UMNS($A2430:I2449), I2429&amp;RIGHT(INDIRECT(ADDRESS(ROW(I2430)-1, 'From Order'!$A2430)), 1), I2429))"),"")</f>
        <v/>
      </c>
    </row>
    <row r="2431">
      <c r="A2431" s="2" t="str">
        <f>IFERROR(__xludf.DUMMYFUNCTION("IF('From Order'!$A2431=COLUMNS($A2431:A2450), LEFT(INDEX(FILTER(A$1:A2430, A$1:A2430&lt;&gt;""""),COUNTA(FILTER(A$1:A2430, A$1:A2430&lt;&gt;""""))), LEN(INDEX(FILTER(A$1:A2430, A$1:A2430&lt;&gt;""""),COUNTA(FILTER(A$1:A2430, A$1:A2430&lt;&gt;""""))))-1), IF('To Order'!$A2431=COL"&amp;"UMNS($A2431:A2450), A2430&amp;RIGHT(INDIRECT(ADDRESS(ROW(A2431)-1, 'From Order'!$A2431)), 1), A2430))"),"DRSZHTWLLFBDCCVQRSPMGTTMD")</f>
        <v>DRSZHTWLLFBDCCVQRSPMGTTMD</v>
      </c>
      <c r="B2431" s="2" t="str">
        <f>IFERROR(__xludf.DUMMYFUNCTION("IF('From Order'!$A2431=COLUMNS($A2431:B2450), LEFT(INDEX(FILTER(B$1:B2430, B$1:B2430&lt;&gt;""""),COUNTA(FILTER(B$1:B2430, B$1:B2430&lt;&gt;""""))), LEN(INDEX(FILTER(B$1:B2430, B$1:B2430&lt;&gt;""""),COUNTA(FILTER(B$1:B2430, B$1:B2430&lt;&gt;""""))))-1), IF('To Order'!$A2431=COL"&amp;"UMNS($A2431:B2450), B2430&amp;RIGHT(INDIRECT(ADDRESS(ROW(B2431)-1, 'From Order'!$A2431)), 1), B2430))"),"QGWBSSPLRRJTTCJFZ")</f>
        <v>QGWBSSPLRRJTTCJFZ</v>
      </c>
      <c r="C2431" s="2" t="str">
        <f>IFERROR(__xludf.DUMMYFUNCTION("IF('From Order'!$A2431=COLUMNS($A2431:C2450), LEFT(INDEX(FILTER(C$1:C2430, C$1:C2430&lt;&gt;""""),COUNTA(FILTER(C$1:C2430, C$1:C2430&lt;&gt;""""))), LEN(INDEX(FILTER(C$1:C2430, C$1:C2430&lt;&gt;""""),COUNTA(FILTER(C$1:C2430, C$1:C2430&lt;&gt;""""))))-1), IF('To Order'!$A2431=COL"&amp;"UMNS($A2431:C2450), C2430&amp;RIGHT(INDIRECT(ADDRESS(ROW(C2431)-1, 'From Order'!$A2431)), 1), C2430))"),"VBJDDVD")</f>
        <v>VBJDDVD</v>
      </c>
      <c r="D2431" s="2" t="str">
        <f>IFERROR(__xludf.DUMMYFUNCTION("IF('From Order'!$A2431=COLUMNS($A2431:D2450), LEFT(INDEX(FILTER(D$1:D2430, D$1:D2430&lt;&gt;""""),COUNTA(FILTER(D$1:D2430, D$1:D2430&lt;&gt;""""))), LEN(INDEX(FILTER(D$1:D2430, D$1:D2430&lt;&gt;""""),COUNTA(FILTER(D$1:D2430, D$1:D2430&lt;&gt;""""))))-1), IF('To Order'!$A2431=COL"&amp;"UMNS($A2431:D2450), D2430&amp;RIGHT(INDIRECT(ADDRESS(ROW(D2431)-1, 'From Order'!$A2431)), 1), D2430))"),"")</f>
        <v/>
      </c>
      <c r="E2431" s="2" t="str">
        <f>IFERROR(__xludf.DUMMYFUNCTION("IF('From Order'!$A2431=COLUMNS($A2431:E2450), LEFT(INDEX(FILTER(E$1:E2430, E$1:E2430&lt;&gt;""""),COUNTA(FILTER(E$1:E2430, E$1:E2430&lt;&gt;""""))), LEN(INDEX(FILTER(E$1:E2430, E$1:E2430&lt;&gt;""""),COUNTA(FILTER(E$1:E2430, E$1:E2430&lt;&gt;""""))))-1), IF('To Order'!$A2431=COL"&amp;"UMNS($A2431:E2450), E2430&amp;RIGHT(INDIRECT(ADDRESS(ROW(E2431)-1, 'From Order'!$A2431)), 1), E2430))"),"BRPHZMT")</f>
        <v>BRPHZMT</v>
      </c>
      <c r="F2431" s="2" t="str">
        <f>IFERROR(__xludf.DUMMYFUNCTION("IF('From Order'!$A2431=COLUMNS($A2431:F2450), LEFT(INDEX(FILTER(F$1:F2430, F$1:F2430&lt;&gt;""""),COUNTA(FILTER(F$1:F2430, F$1:F2430&lt;&gt;""""))), LEN(INDEX(FILTER(F$1:F2430, F$1:F2430&lt;&gt;""""),COUNTA(FILTER(F$1:F2430, F$1:F2430&lt;&gt;""""))))-1), IF('To Order'!$A2431=COL"&amp;"UMNS($A2431:F2450), F2430&amp;RIGHT(INDIRECT(ADDRESS(ROW(F2431)-1, 'From Order'!$A2431)), 1), F2430))"),"")</f>
        <v/>
      </c>
      <c r="G2431" s="2" t="str">
        <f>IFERROR(__xludf.DUMMYFUNCTION("IF('From Order'!$A2431=COLUMNS($A2431:G2450), LEFT(INDEX(FILTER(G$1:G2430, G$1:G2430&lt;&gt;""""),COUNTA(FILTER(G$1:G2430, G$1:G2430&lt;&gt;""""))), LEN(INDEX(FILTER(G$1:G2430, G$1:G2430&lt;&gt;""""),COUNTA(FILTER(G$1:G2430, G$1:G2430&lt;&gt;""""))))-1), IF('To Order'!$A2431=COL"&amp;"UMNS($A2431:G2450), G2430&amp;RIGHT(INDIRECT(ADDRESS(ROW(G2431)-1, 'From Order'!$A2431)), 1), G2430))"),"")</f>
        <v/>
      </c>
      <c r="H2431" s="2" t="str">
        <f>IFERROR(__xludf.DUMMYFUNCTION("IF('From Order'!$A2431=COLUMNS($A2431:H2450), LEFT(INDEX(FILTER(H$1:H2430, H$1:H2430&lt;&gt;""""),COUNTA(FILTER(H$1:H2430, H$1:H2430&lt;&gt;""""))), LEN(INDEX(FILTER(H$1:H2430, H$1:H2430&lt;&gt;""""),COUNTA(FILTER(H$1:H2430, H$1:H2430&lt;&gt;""""))))-1), IF('To Order'!$A2431=COL"&amp;"UMNS($A2431:H2450), H2430&amp;RIGHT(INDIRECT(ADDRESS(ROW(H2431)-1, 'From Order'!$A2431)), 1), H2430))"),"")</f>
        <v/>
      </c>
      <c r="I2431" s="2" t="str">
        <f>IFERROR(__xludf.DUMMYFUNCTION("IF('From Order'!$A2431=COLUMNS($A2431:I2450), LEFT(INDEX(FILTER(I$1:I2430, I$1:I2430&lt;&gt;""""),COUNTA(FILTER(I$1:I2430, I$1:I2430&lt;&gt;""""))), LEN(INDEX(FILTER(I$1:I2430, I$1:I2430&lt;&gt;""""),COUNTA(FILTER(I$1:I2430, I$1:I2430&lt;&gt;""""))))-1), IF('To Order'!$A2431=COL"&amp;"UMNS($A2431:I2450), I2430&amp;RIGHT(INDIRECT(ADDRESS(ROW(I2431)-1, 'From Order'!$A2431)), 1), I2430))"),"")</f>
        <v/>
      </c>
    </row>
    <row r="2432">
      <c r="A2432" s="2" t="str">
        <f>IFERROR(__xludf.DUMMYFUNCTION("IF('From Order'!$A2432=COLUMNS($A2432:A2451), LEFT(INDEX(FILTER(A$1:A2431, A$1:A2431&lt;&gt;""""),COUNTA(FILTER(A$1:A2431, A$1:A2431&lt;&gt;""""))), LEN(INDEX(FILTER(A$1:A2431, A$1:A2431&lt;&gt;""""),COUNTA(FILTER(A$1:A2431, A$1:A2431&lt;&gt;""""))))-1), IF('To Order'!$A2432=COL"&amp;"UMNS($A2432:A2451), A2431&amp;RIGHT(INDIRECT(ADDRESS(ROW(A2432)-1, 'From Order'!$A2432)), 1), A2431))"),"DRSZHTWLLFBDCCVQRSPMGTTM")</f>
        <v>DRSZHTWLLFBDCCVQRSPMGTTM</v>
      </c>
      <c r="B2432" s="2" t="str">
        <f>IFERROR(__xludf.DUMMYFUNCTION("IF('From Order'!$A2432=COLUMNS($A2432:B2451), LEFT(INDEX(FILTER(B$1:B2431, B$1:B2431&lt;&gt;""""),COUNTA(FILTER(B$1:B2431, B$1:B2431&lt;&gt;""""))), LEN(INDEX(FILTER(B$1:B2431, B$1:B2431&lt;&gt;""""),COUNTA(FILTER(B$1:B2431, B$1:B2431&lt;&gt;""""))))-1), IF('To Order'!$A2432=COL"&amp;"UMNS($A2432:B2451), B2431&amp;RIGHT(INDIRECT(ADDRESS(ROW(B2432)-1, 'From Order'!$A2432)), 1), B2431))"),"QGWBSSPLRRJTTCJFZD")</f>
        <v>QGWBSSPLRRJTTCJFZD</v>
      </c>
      <c r="C2432" s="2" t="str">
        <f>IFERROR(__xludf.DUMMYFUNCTION("IF('From Order'!$A2432=COLUMNS($A2432:C2451), LEFT(INDEX(FILTER(C$1:C2431, C$1:C2431&lt;&gt;""""),COUNTA(FILTER(C$1:C2431, C$1:C2431&lt;&gt;""""))), LEN(INDEX(FILTER(C$1:C2431, C$1:C2431&lt;&gt;""""),COUNTA(FILTER(C$1:C2431, C$1:C2431&lt;&gt;""""))))-1), IF('To Order'!$A2432=COL"&amp;"UMNS($A2432:C2451), C2431&amp;RIGHT(INDIRECT(ADDRESS(ROW(C2432)-1, 'From Order'!$A2432)), 1), C2431))"),"VBJDDVD")</f>
        <v>VBJDDVD</v>
      </c>
      <c r="D2432" s="2" t="str">
        <f>IFERROR(__xludf.DUMMYFUNCTION("IF('From Order'!$A2432=COLUMNS($A2432:D2451), LEFT(INDEX(FILTER(D$1:D2431, D$1:D2431&lt;&gt;""""),COUNTA(FILTER(D$1:D2431, D$1:D2431&lt;&gt;""""))), LEN(INDEX(FILTER(D$1:D2431, D$1:D2431&lt;&gt;""""),COUNTA(FILTER(D$1:D2431, D$1:D2431&lt;&gt;""""))))-1), IF('To Order'!$A2432=COL"&amp;"UMNS($A2432:D2451), D2431&amp;RIGHT(INDIRECT(ADDRESS(ROW(D2432)-1, 'From Order'!$A2432)), 1), D2431))"),"")</f>
        <v/>
      </c>
      <c r="E2432" s="2" t="str">
        <f>IFERROR(__xludf.DUMMYFUNCTION("IF('From Order'!$A2432=COLUMNS($A2432:E2451), LEFT(INDEX(FILTER(E$1:E2431, E$1:E2431&lt;&gt;""""),COUNTA(FILTER(E$1:E2431, E$1:E2431&lt;&gt;""""))), LEN(INDEX(FILTER(E$1:E2431, E$1:E2431&lt;&gt;""""),COUNTA(FILTER(E$1:E2431, E$1:E2431&lt;&gt;""""))))-1), IF('To Order'!$A2432=COL"&amp;"UMNS($A2432:E2451), E2431&amp;RIGHT(INDIRECT(ADDRESS(ROW(E2432)-1, 'From Order'!$A2432)), 1), E2431))"),"BRPHZMT")</f>
        <v>BRPHZMT</v>
      </c>
      <c r="F2432" s="2" t="str">
        <f>IFERROR(__xludf.DUMMYFUNCTION("IF('From Order'!$A2432=COLUMNS($A2432:F2451), LEFT(INDEX(FILTER(F$1:F2431, F$1:F2431&lt;&gt;""""),COUNTA(FILTER(F$1:F2431, F$1:F2431&lt;&gt;""""))), LEN(INDEX(FILTER(F$1:F2431, F$1:F2431&lt;&gt;""""),COUNTA(FILTER(F$1:F2431, F$1:F2431&lt;&gt;""""))))-1), IF('To Order'!$A2432=COL"&amp;"UMNS($A2432:F2451), F2431&amp;RIGHT(INDIRECT(ADDRESS(ROW(F2432)-1, 'From Order'!$A2432)), 1), F2431))"),"")</f>
        <v/>
      </c>
      <c r="G2432" s="2" t="str">
        <f>IFERROR(__xludf.DUMMYFUNCTION("IF('From Order'!$A2432=COLUMNS($A2432:G2451), LEFT(INDEX(FILTER(G$1:G2431, G$1:G2431&lt;&gt;""""),COUNTA(FILTER(G$1:G2431, G$1:G2431&lt;&gt;""""))), LEN(INDEX(FILTER(G$1:G2431, G$1:G2431&lt;&gt;""""),COUNTA(FILTER(G$1:G2431, G$1:G2431&lt;&gt;""""))))-1), IF('To Order'!$A2432=COL"&amp;"UMNS($A2432:G2451), G2431&amp;RIGHT(INDIRECT(ADDRESS(ROW(G2432)-1, 'From Order'!$A2432)), 1), G2431))"),"")</f>
        <v/>
      </c>
      <c r="H2432" s="2" t="str">
        <f>IFERROR(__xludf.DUMMYFUNCTION("IF('From Order'!$A2432=COLUMNS($A2432:H2451), LEFT(INDEX(FILTER(H$1:H2431, H$1:H2431&lt;&gt;""""),COUNTA(FILTER(H$1:H2431, H$1:H2431&lt;&gt;""""))), LEN(INDEX(FILTER(H$1:H2431, H$1:H2431&lt;&gt;""""),COUNTA(FILTER(H$1:H2431, H$1:H2431&lt;&gt;""""))))-1), IF('To Order'!$A2432=COL"&amp;"UMNS($A2432:H2451), H2431&amp;RIGHT(INDIRECT(ADDRESS(ROW(H2432)-1, 'From Order'!$A2432)), 1), H2431))"),"")</f>
        <v/>
      </c>
      <c r="I2432" s="2" t="str">
        <f>IFERROR(__xludf.DUMMYFUNCTION("IF('From Order'!$A2432=COLUMNS($A2432:I2451), LEFT(INDEX(FILTER(I$1:I2431, I$1:I2431&lt;&gt;""""),COUNTA(FILTER(I$1:I2431, I$1:I2431&lt;&gt;""""))), LEN(INDEX(FILTER(I$1:I2431, I$1:I2431&lt;&gt;""""),COUNTA(FILTER(I$1:I2431, I$1:I2431&lt;&gt;""""))))-1), IF('To Order'!$A2432=COL"&amp;"UMNS($A2432:I2451), I2431&amp;RIGHT(INDIRECT(ADDRESS(ROW(I2432)-1, 'From Order'!$A2432)), 1), I2431))"),"")</f>
        <v/>
      </c>
    </row>
    <row r="2433">
      <c r="A2433" s="2" t="str">
        <f>IFERROR(__xludf.DUMMYFUNCTION("IF('From Order'!$A2433=COLUMNS($A2433:A2452), LEFT(INDEX(FILTER(A$1:A2432, A$1:A2432&lt;&gt;""""),COUNTA(FILTER(A$1:A2432, A$1:A2432&lt;&gt;""""))), LEN(INDEX(FILTER(A$1:A2432, A$1:A2432&lt;&gt;""""),COUNTA(FILTER(A$1:A2432, A$1:A2432&lt;&gt;""""))))-1), IF('To Order'!$A2433=COL"&amp;"UMNS($A2433:A2452), A2432&amp;RIGHT(INDIRECT(ADDRESS(ROW(A2433)-1, 'From Order'!$A2433)), 1), A2432))"),"DRSZHTWLLFBDCCVQRSPMGTT")</f>
        <v>DRSZHTWLLFBDCCVQRSPMGTT</v>
      </c>
      <c r="B2433" s="2" t="str">
        <f>IFERROR(__xludf.DUMMYFUNCTION("IF('From Order'!$A2433=COLUMNS($A2433:B2452), LEFT(INDEX(FILTER(B$1:B2432, B$1:B2432&lt;&gt;""""),COUNTA(FILTER(B$1:B2432, B$1:B2432&lt;&gt;""""))), LEN(INDEX(FILTER(B$1:B2432, B$1:B2432&lt;&gt;""""),COUNTA(FILTER(B$1:B2432, B$1:B2432&lt;&gt;""""))))-1), IF('To Order'!$A2433=COL"&amp;"UMNS($A2433:B2452), B2432&amp;RIGHT(INDIRECT(ADDRESS(ROW(B2433)-1, 'From Order'!$A2433)), 1), B2432))"),"QGWBSSPLRRJTTCJFZDM")</f>
        <v>QGWBSSPLRRJTTCJFZDM</v>
      </c>
      <c r="C2433" s="2" t="str">
        <f>IFERROR(__xludf.DUMMYFUNCTION("IF('From Order'!$A2433=COLUMNS($A2433:C2452), LEFT(INDEX(FILTER(C$1:C2432, C$1:C2432&lt;&gt;""""),COUNTA(FILTER(C$1:C2432, C$1:C2432&lt;&gt;""""))), LEN(INDEX(FILTER(C$1:C2432, C$1:C2432&lt;&gt;""""),COUNTA(FILTER(C$1:C2432, C$1:C2432&lt;&gt;""""))))-1), IF('To Order'!$A2433=COL"&amp;"UMNS($A2433:C2452), C2432&amp;RIGHT(INDIRECT(ADDRESS(ROW(C2433)-1, 'From Order'!$A2433)), 1), C2432))"),"VBJDDVD")</f>
        <v>VBJDDVD</v>
      </c>
      <c r="D2433" s="2" t="str">
        <f>IFERROR(__xludf.DUMMYFUNCTION("IF('From Order'!$A2433=COLUMNS($A2433:D2452), LEFT(INDEX(FILTER(D$1:D2432, D$1:D2432&lt;&gt;""""),COUNTA(FILTER(D$1:D2432, D$1:D2432&lt;&gt;""""))), LEN(INDEX(FILTER(D$1:D2432, D$1:D2432&lt;&gt;""""),COUNTA(FILTER(D$1:D2432, D$1:D2432&lt;&gt;""""))))-1), IF('To Order'!$A2433=COL"&amp;"UMNS($A2433:D2452), D2432&amp;RIGHT(INDIRECT(ADDRESS(ROW(D2433)-1, 'From Order'!$A2433)), 1), D2432))"),"")</f>
        <v/>
      </c>
      <c r="E2433" s="2" t="str">
        <f>IFERROR(__xludf.DUMMYFUNCTION("IF('From Order'!$A2433=COLUMNS($A2433:E2452), LEFT(INDEX(FILTER(E$1:E2432, E$1:E2432&lt;&gt;""""),COUNTA(FILTER(E$1:E2432, E$1:E2432&lt;&gt;""""))), LEN(INDEX(FILTER(E$1:E2432, E$1:E2432&lt;&gt;""""),COUNTA(FILTER(E$1:E2432, E$1:E2432&lt;&gt;""""))))-1), IF('To Order'!$A2433=COL"&amp;"UMNS($A2433:E2452), E2432&amp;RIGHT(INDIRECT(ADDRESS(ROW(E2433)-1, 'From Order'!$A2433)), 1), E2432))"),"BRPHZMT")</f>
        <v>BRPHZMT</v>
      </c>
      <c r="F2433" s="2" t="str">
        <f>IFERROR(__xludf.DUMMYFUNCTION("IF('From Order'!$A2433=COLUMNS($A2433:F2452), LEFT(INDEX(FILTER(F$1:F2432, F$1:F2432&lt;&gt;""""),COUNTA(FILTER(F$1:F2432, F$1:F2432&lt;&gt;""""))), LEN(INDEX(FILTER(F$1:F2432, F$1:F2432&lt;&gt;""""),COUNTA(FILTER(F$1:F2432, F$1:F2432&lt;&gt;""""))))-1), IF('To Order'!$A2433=COL"&amp;"UMNS($A2433:F2452), F2432&amp;RIGHT(INDIRECT(ADDRESS(ROW(F2433)-1, 'From Order'!$A2433)), 1), F2432))"),"")</f>
        <v/>
      </c>
      <c r="G2433" s="2" t="str">
        <f>IFERROR(__xludf.DUMMYFUNCTION("IF('From Order'!$A2433=COLUMNS($A2433:G2452), LEFT(INDEX(FILTER(G$1:G2432, G$1:G2432&lt;&gt;""""),COUNTA(FILTER(G$1:G2432, G$1:G2432&lt;&gt;""""))), LEN(INDEX(FILTER(G$1:G2432, G$1:G2432&lt;&gt;""""),COUNTA(FILTER(G$1:G2432, G$1:G2432&lt;&gt;""""))))-1), IF('To Order'!$A2433=COL"&amp;"UMNS($A2433:G2452), G2432&amp;RIGHT(INDIRECT(ADDRESS(ROW(G2433)-1, 'From Order'!$A2433)), 1), G2432))"),"")</f>
        <v/>
      </c>
      <c r="H2433" s="2" t="str">
        <f>IFERROR(__xludf.DUMMYFUNCTION("IF('From Order'!$A2433=COLUMNS($A2433:H2452), LEFT(INDEX(FILTER(H$1:H2432, H$1:H2432&lt;&gt;""""),COUNTA(FILTER(H$1:H2432, H$1:H2432&lt;&gt;""""))), LEN(INDEX(FILTER(H$1:H2432, H$1:H2432&lt;&gt;""""),COUNTA(FILTER(H$1:H2432, H$1:H2432&lt;&gt;""""))))-1), IF('To Order'!$A2433=COL"&amp;"UMNS($A2433:H2452), H2432&amp;RIGHT(INDIRECT(ADDRESS(ROW(H2433)-1, 'From Order'!$A2433)), 1), H2432))"),"")</f>
        <v/>
      </c>
      <c r="I2433" s="2" t="str">
        <f>IFERROR(__xludf.DUMMYFUNCTION("IF('From Order'!$A2433=COLUMNS($A2433:I2452), LEFT(INDEX(FILTER(I$1:I2432, I$1:I2432&lt;&gt;""""),COUNTA(FILTER(I$1:I2432, I$1:I2432&lt;&gt;""""))), LEN(INDEX(FILTER(I$1:I2432, I$1:I2432&lt;&gt;""""),COUNTA(FILTER(I$1:I2432, I$1:I2432&lt;&gt;""""))))-1), IF('To Order'!$A2433=COL"&amp;"UMNS($A2433:I2452), I2432&amp;RIGHT(INDIRECT(ADDRESS(ROW(I2433)-1, 'From Order'!$A2433)), 1), I2432))"),"")</f>
        <v/>
      </c>
    </row>
    <row r="2434">
      <c r="A2434" s="2" t="str">
        <f>IFERROR(__xludf.DUMMYFUNCTION("IF('From Order'!$A2434=COLUMNS($A2434:A2453), LEFT(INDEX(FILTER(A$1:A2433, A$1:A2433&lt;&gt;""""),COUNTA(FILTER(A$1:A2433, A$1:A2433&lt;&gt;""""))), LEN(INDEX(FILTER(A$1:A2433, A$1:A2433&lt;&gt;""""),COUNTA(FILTER(A$1:A2433, A$1:A2433&lt;&gt;""""))))-1), IF('To Order'!$A2434=COL"&amp;"UMNS($A2434:A2453), A2433&amp;RIGHT(INDIRECT(ADDRESS(ROW(A2434)-1, 'From Order'!$A2434)), 1), A2433))"),"DRSZHTWLLFBDCCVQRSPMGT")</f>
        <v>DRSZHTWLLFBDCCVQRSPMGT</v>
      </c>
      <c r="B2434" s="2" t="str">
        <f>IFERROR(__xludf.DUMMYFUNCTION("IF('From Order'!$A2434=COLUMNS($A2434:B2453), LEFT(INDEX(FILTER(B$1:B2433, B$1:B2433&lt;&gt;""""),COUNTA(FILTER(B$1:B2433, B$1:B2433&lt;&gt;""""))), LEN(INDEX(FILTER(B$1:B2433, B$1:B2433&lt;&gt;""""),COUNTA(FILTER(B$1:B2433, B$1:B2433&lt;&gt;""""))))-1), IF('To Order'!$A2434=COL"&amp;"UMNS($A2434:B2453), B2433&amp;RIGHT(INDIRECT(ADDRESS(ROW(B2434)-1, 'From Order'!$A2434)), 1), B2433))"),"QGWBSSPLRRJTTCJFZDMT")</f>
        <v>QGWBSSPLRRJTTCJFZDMT</v>
      </c>
      <c r="C2434" s="2" t="str">
        <f>IFERROR(__xludf.DUMMYFUNCTION("IF('From Order'!$A2434=COLUMNS($A2434:C2453), LEFT(INDEX(FILTER(C$1:C2433, C$1:C2433&lt;&gt;""""),COUNTA(FILTER(C$1:C2433, C$1:C2433&lt;&gt;""""))), LEN(INDEX(FILTER(C$1:C2433, C$1:C2433&lt;&gt;""""),COUNTA(FILTER(C$1:C2433, C$1:C2433&lt;&gt;""""))))-1), IF('To Order'!$A2434=COL"&amp;"UMNS($A2434:C2453), C2433&amp;RIGHT(INDIRECT(ADDRESS(ROW(C2434)-1, 'From Order'!$A2434)), 1), C2433))"),"VBJDDVD")</f>
        <v>VBJDDVD</v>
      </c>
      <c r="D2434" s="2" t="str">
        <f>IFERROR(__xludf.DUMMYFUNCTION("IF('From Order'!$A2434=COLUMNS($A2434:D2453), LEFT(INDEX(FILTER(D$1:D2433, D$1:D2433&lt;&gt;""""),COUNTA(FILTER(D$1:D2433, D$1:D2433&lt;&gt;""""))), LEN(INDEX(FILTER(D$1:D2433, D$1:D2433&lt;&gt;""""),COUNTA(FILTER(D$1:D2433, D$1:D2433&lt;&gt;""""))))-1), IF('To Order'!$A2434=COL"&amp;"UMNS($A2434:D2453), D2433&amp;RIGHT(INDIRECT(ADDRESS(ROW(D2434)-1, 'From Order'!$A2434)), 1), D2433))"),"")</f>
        <v/>
      </c>
      <c r="E2434" s="2" t="str">
        <f>IFERROR(__xludf.DUMMYFUNCTION("IF('From Order'!$A2434=COLUMNS($A2434:E2453), LEFT(INDEX(FILTER(E$1:E2433, E$1:E2433&lt;&gt;""""),COUNTA(FILTER(E$1:E2433, E$1:E2433&lt;&gt;""""))), LEN(INDEX(FILTER(E$1:E2433, E$1:E2433&lt;&gt;""""),COUNTA(FILTER(E$1:E2433, E$1:E2433&lt;&gt;""""))))-1), IF('To Order'!$A2434=COL"&amp;"UMNS($A2434:E2453), E2433&amp;RIGHT(INDIRECT(ADDRESS(ROW(E2434)-1, 'From Order'!$A2434)), 1), E2433))"),"BRPHZMT")</f>
        <v>BRPHZMT</v>
      </c>
      <c r="F2434" s="2" t="str">
        <f>IFERROR(__xludf.DUMMYFUNCTION("IF('From Order'!$A2434=COLUMNS($A2434:F2453), LEFT(INDEX(FILTER(F$1:F2433, F$1:F2433&lt;&gt;""""),COUNTA(FILTER(F$1:F2433, F$1:F2433&lt;&gt;""""))), LEN(INDEX(FILTER(F$1:F2433, F$1:F2433&lt;&gt;""""),COUNTA(FILTER(F$1:F2433, F$1:F2433&lt;&gt;""""))))-1), IF('To Order'!$A2434=COL"&amp;"UMNS($A2434:F2453), F2433&amp;RIGHT(INDIRECT(ADDRESS(ROW(F2434)-1, 'From Order'!$A2434)), 1), F2433))"),"")</f>
        <v/>
      </c>
      <c r="G2434" s="2" t="str">
        <f>IFERROR(__xludf.DUMMYFUNCTION("IF('From Order'!$A2434=COLUMNS($A2434:G2453), LEFT(INDEX(FILTER(G$1:G2433, G$1:G2433&lt;&gt;""""),COUNTA(FILTER(G$1:G2433, G$1:G2433&lt;&gt;""""))), LEN(INDEX(FILTER(G$1:G2433, G$1:G2433&lt;&gt;""""),COUNTA(FILTER(G$1:G2433, G$1:G2433&lt;&gt;""""))))-1), IF('To Order'!$A2434=COL"&amp;"UMNS($A2434:G2453), G2433&amp;RIGHT(INDIRECT(ADDRESS(ROW(G2434)-1, 'From Order'!$A2434)), 1), G2433))"),"")</f>
        <v/>
      </c>
      <c r="H2434" s="2" t="str">
        <f>IFERROR(__xludf.DUMMYFUNCTION("IF('From Order'!$A2434=COLUMNS($A2434:H2453), LEFT(INDEX(FILTER(H$1:H2433, H$1:H2433&lt;&gt;""""),COUNTA(FILTER(H$1:H2433, H$1:H2433&lt;&gt;""""))), LEN(INDEX(FILTER(H$1:H2433, H$1:H2433&lt;&gt;""""),COUNTA(FILTER(H$1:H2433, H$1:H2433&lt;&gt;""""))))-1), IF('To Order'!$A2434=COL"&amp;"UMNS($A2434:H2453), H2433&amp;RIGHT(INDIRECT(ADDRESS(ROW(H2434)-1, 'From Order'!$A2434)), 1), H2433))"),"")</f>
        <v/>
      </c>
      <c r="I2434" s="2" t="str">
        <f>IFERROR(__xludf.DUMMYFUNCTION("IF('From Order'!$A2434=COLUMNS($A2434:I2453), LEFT(INDEX(FILTER(I$1:I2433, I$1:I2433&lt;&gt;""""),COUNTA(FILTER(I$1:I2433, I$1:I2433&lt;&gt;""""))), LEN(INDEX(FILTER(I$1:I2433, I$1:I2433&lt;&gt;""""),COUNTA(FILTER(I$1:I2433, I$1:I2433&lt;&gt;""""))))-1), IF('To Order'!$A2434=COL"&amp;"UMNS($A2434:I2453), I2433&amp;RIGHT(INDIRECT(ADDRESS(ROW(I2434)-1, 'From Order'!$A2434)), 1), I2433))"),"")</f>
        <v/>
      </c>
    </row>
    <row r="2435">
      <c r="A2435" s="2" t="str">
        <f>IFERROR(__xludf.DUMMYFUNCTION("IF('From Order'!$A2435=COLUMNS($A2435:A2454), LEFT(INDEX(FILTER(A$1:A2434, A$1:A2434&lt;&gt;""""),COUNTA(FILTER(A$1:A2434, A$1:A2434&lt;&gt;""""))), LEN(INDEX(FILTER(A$1:A2434, A$1:A2434&lt;&gt;""""),COUNTA(FILTER(A$1:A2434, A$1:A2434&lt;&gt;""""))))-1), IF('To Order'!$A2435=COL"&amp;"UMNS($A2435:A2454), A2434&amp;RIGHT(INDIRECT(ADDRESS(ROW(A2435)-1, 'From Order'!$A2435)), 1), A2434))"),"DRSZHTWLLFBDCCVQRSPMG")</f>
        <v>DRSZHTWLLFBDCCVQRSPMG</v>
      </c>
      <c r="B2435" s="2" t="str">
        <f>IFERROR(__xludf.DUMMYFUNCTION("IF('From Order'!$A2435=COLUMNS($A2435:B2454), LEFT(INDEX(FILTER(B$1:B2434, B$1:B2434&lt;&gt;""""),COUNTA(FILTER(B$1:B2434, B$1:B2434&lt;&gt;""""))), LEN(INDEX(FILTER(B$1:B2434, B$1:B2434&lt;&gt;""""),COUNTA(FILTER(B$1:B2434, B$1:B2434&lt;&gt;""""))))-1), IF('To Order'!$A2435=COL"&amp;"UMNS($A2435:B2454), B2434&amp;RIGHT(INDIRECT(ADDRESS(ROW(B2435)-1, 'From Order'!$A2435)), 1), B2434))"),"QGWBSSPLRRJTTCJFZDMTT")</f>
        <v>QGWBSSPLRRJTTCJFZDMTT</v>
      </c>
      <c r="C2435" s="2" t="str">
        <f>IFERROR(__xludf.DUMMYFUNCTION("IF('From Order'!$A2435=COLUMNS($A2435:C2454), LEFT(INDEX(FILTER(C$1:C2434, C$1:C2434&lt;&gt;""""),COUNTA(FILTER(C$1:C2434, C$1:C2434&lt;&gt;""""))), LEN(INDEX(FILTER(C$1:C2434, C$1:C2434&lt;&gt;""""),COUNTA(FILTER(C$1:C2434, C$1:C2434&lt;&gt;""""))))-1), IF('To Order'!$A2435=COL"&amp;"UMNS($A2435:C2454), C2434&amp;RIGHT(INDIRECT(ADDRESS(ROW(C2435)-1, 'From Order'!$A2435)), 1), C2434))"),"VBJDDVD")</f>
        <v>VBJDDVD</v>
      </c>
      <c r="D2435" s="2" t="str">
        <f>IFERROR(__xludf.DUMMYFUNCTION("IF('From Order'!$A2435=COLUMNS($A2435:D2454), LEFT(INDEX(FILTER(D$1:D2434, D$1:D2434&lt;&gt;""""),COUNTA(FILTER(D$1:D2434, D$1:D2434&lt;&gt;""""))), LEN(INDEX(FILTER(D$1:D2434, D$1:D2434&lt;&gt;""""),COUNTA(FILTER(D$1:D2434, D$1:D2434&lt;&gt;""""))))-1), IF('To Order'!$A2435=COL"&amp;"UMNS($A2435:D2454), D2434&amp;RIGHT(INDIRECT(ADDRESS(ROW(D2435)-1, 'From Order'!$A2435)), 1), D2434))"),"")</f>
        <v/>
      </c>
      <c r="E2435" s="2" t="str">
        <f>IFERROR(__xludf.DUMMYFUNCTION("IF('From Order'!$A2435=COLUMNS($A2435:E2454), LEFT(INDEX(FILTER(E$1:E2434, E$1:E2434&lt;&gt;""""),COUNTA(FILTER(E$1:E2434, E$1:E2434&lt;&gt;""""))), LEN(INDEX(FILTER(E$1:E2434, E$1:E2434&lt;&gt;""""),COUNTA(FILTER(E$1:E2434, E$1:E2434&lt;&gt;""""))))-1), IF('To Order'!$A2435=COL"&amp;"UMNS($A2435:E2454), E2434&amp;RIGHT(INDIRECT(ADDRESS(ROW(E2435)-1, 'From Order'!$A2435)), 1), E2434))"),"BRPHZMT")</f>
        <v>BRPHZMT</v>
      </c>
      <c r="F2435" s="2" t="str">
        <f>IFERROR(__xludf.DUMMYFUNCTION("IF('From Order'!$A2435=COLUMNS($A2435:F2454), LEFT(INDEX(FILTER(F$1:F2434, F$1:F2434&lt;&gt;""""),COUNTA(FILTER(F$1:F2434, F$1:F2434&lt;&gt;""""))), LEN(INDEX(FILTER(F$1:F2434, F$1:F2434&lt;&gt;""""),COUNTA(FILTER(F$1:F2434, F$1:F2434&lt;&gt;""""))))-1), IF('To Order'!$A2435=COL"&amp;"UMNS($A2435:F2454), F2434&amp;RIGHT(INDIRECT(ADDRESS(ROW(F2435)-1, 'From Order'!$A2435)), 1), F2434))"),"")</f>
        <v/>
      </c>
      <c r="G2435" s="2" t="str">
        <f>IFERROR(__xludf.DUMMYFUNCTION("IF('From Order'!$A2435=COLUMNS($A2435:G2454), LEFT(INDEX(FILTER(G$1:G2434, G$1:G2434&lt;&gt;""""),COUNTA(FILTER(G$1:G2434, G$1:G2434&lt;&gt;""""))), LEN(INDEX(FILTER(G$1:G2434, G$1:G2434&lt;&gt;""""),COUNTA(FILTER(G$1:G2434, G$1:G2434&lt;&gt;""""))))-1), IF('To Order'!$A2435=COL"&amp;"UMNS($A2435:G2454), G2434&amp;RIGHT(INDIRECT(ADDRESS(ROW(G2435)-1, 'From Order'!$A2435)), 1), G2434))"),"")</f>
        <v/>
      </c>
      <c r="H2435" s="2" t="str">
        <f>IFERROR(__xludf.DUMMYFUNCTION("IF('From Order'!$A2435=COLUMNS($A2435:H2454), LEFT(INDEX(FILTER(H$1:H2434, H$1:H2434&lt;&gt;""""),COUNTA(FILTER(H$1:H2434, H$1:H2434&lt;&gt;""""))), LEN(INDEX(FILTER(H$1:H2434, H$1:H2434&lt;&gt;""""),COUNTA(FILTER(H$1:H2434, H$1:H2434&lt;&gt;""""))))-1), IF('To Order'!$A2435=COL"&amp;"UMNS($A2435:H2454), H2434&amp;RIGHT(INDIRECT(ADDRESS(ROW(H2435)-1, 'From Order'!$A2435)), 1), H2434))"),"")</f>
        <v/>
      </c>
      <c r="I2435" s="2" t="str">
        <f>IFERROR(__xludf.DUMMYFUNCTION("IF('From Order'!$A2435=COLUMNS($A2435:I2454), LEFT(INDEX(FILTER(I$1:I2434, I$1:I2434&lt;&gt;""""),COUNTA(FILTER(I$1:I2434, I$1:I2434&lt;&gt;""""))), LEN(INDEX(FILTER(I$1:I2434, I$1:I2434&lt;&gt;""""),COUNTA(FILTER(I$1:I2434, I$1:I2434&lt;&gt;""""))))-1), IF('To Order'!$A2435=COL"&amp;"UMNS($A2435:I2454), I2434&amp;RIGHT(INDIRECT(ADDRESS(ROW(I2435)-1, 'From Order'!$A2435)), 1), I2434))"),"")</f>
        <v/>
      </c>
    </row>
    <row r="2436">
      <c r="A2436" s="2" t="str">
        <f>IFERROR(__xludf.DUMMYFUNCTION("IF('From Order'!$A2436=COLUMNS($A2436:A2455), LEFT(INDEX(FILTER(A$1:A2435, A$1:A2435&lt;&gt;""""),COUNTA(FILTER(A$1:A2435, A$1:A2435&lt;&gt;""""))), LEN(INDEX(FILTER(A$1:A2435, A$1:A2435&lt;&gt;""""),COUNTA(FILTER(A$1:A2435, A$1:A2435&lt;&gt;""""))))-1), IF('To Order'!$A2436=COL"&amp;"UMNS($A2436:A2455), A2435&amp;RIGHT(INDIRECT(ADDRESS(ROW(A2436)-1, 'From Order'!$A2436)), 1), A2435))"),"DRSZHTWLLFBDCCVQRSPM")</f>
        <v>DRSZHTWLLFBDCCVQRSPM</v>
      </c>
      <c r="B2436" s="2" t="str">
        <f>IFERROR(__xludf.DUMMYFUNCTION("IF('From Order'!$A2436=COLUMNS($A2436:B2455), LEFT(INDEX(FILTER(B$1:B2435, B$1:B2435&lt;&gt;""""),COUNTA(FILTER(B$1:B2435, B$1:B2435&lt;&gt;""""))), LEN(INDEX(FILTER(B$1:B2435, B$1:B2435&lt;&gt;""""),COUNTA(FILTER(B$1:B2435, B$1:B2435&lt;&gt;""""))))-1), IF('To Order'!$A2436=COL"&amp;"UMNS($A2436:B2455), B2435&amp;RIGHT(INDIRECT(ADDRESS(ROW(B2436)-1, 'From Order'!$A2436)), 1), B2435))"),"QGWBSSPLRRJTTCJFZDMTTG")</f>
        <v>QGWBSSPLRRJTTCJFZDMTTG</v>
      </c>
      <c r="C2436" s="2" t="str">
        <f>IFERROR(__xludf.DUMMYFUNCTION("IF('From Order'!$A2436=COLUMNS($A2436:C2455), LEFT(INDEX(FILTER(C$1:C2435, C$1:C2435&lt;&gt;""""),COUNTA(FILTER(C$1:C2435, C$1:C2435&lt;&gt;""""))), LEN(INDEX(FILTER(C$1:C2435, C$1:C2435&lt;&gt;""""),COUNTA(FILTER(C$1:C2435, C$1:C2435&lt;&gt;""""))))-1), IF('To Order'!$A2436=COL"&amp;"UMNS($A2436:C2455), C2435&amp;RIGHT(INDIRECT(ADDRESS(ROW(C2436)-1, 'From Order'!$A2436)), 1), C2435))"),"VBJDDVD")</f>
        <v>VBJDDVD</v>
      </c>
      <c r="D2436" s="2" t="str">
        <f>IFERROR(__xludf.DUMMYFUNCTION("IF('From Order'!$A2436=COLUMNS($A2436:D2455), LEFT(INDEX(FILTER(D$1:D2435, D$1:D2435&lt;&gt;""""),COUNTA(FILTER(D$1:D2435, D$1:D2435&lt;&gt;""""))), LEN(INDEX(FILTER(D$1:D2435, D$1:D2435&lt;&gt;""""),COUNTA(FILTER(D$1:D2435, D$1:D2435&lt;&gt;""""))))-1), IF('To Order'!$A2436=COL"&amp;"UMNS($A2436:D2455), D2435&amp;RIGHT(INDIRECT(ADDRESS(ROW(D2436)-1, 'From Order'!$A2436)), 1), D2435))"),"")</f>
        <v/>
      </c>
      <c r="E2436" s="2" t="str">
        <f>IFERROR(__xludf.DUMMYFUNCTION("IF('From Order'!$A2436=COLUMNS($A2436:E2455), LEFT(INDEX(FILTER(E$1:E2435, E$1:E2435&lt;&gt;""""),COUNTA(FILTER(E$1:E2435, E$1:E2435&lt;&gt;""""))), LEN(INDEX(FILTER(E$1:E2435, E$1:E2435&lt;&gt;""""),COUNTA(FILTER(E$1:E2435, E$1:E2435&lt;&gt;""""))))-1), IF('To Order'!$A2436=COL"&amp;"UMNS($A2436:E2455), E2435&amp;RIGHT(INDIRECT(ADDRESS(ROW(E2436)-1, 'From Order'!$A2436)), 1), E2435))"),"BRPHZMT")</f>
        <v>BRPHZMT</v>
      </c>
      <c r="F2436" s="2" t="str">
        <f>IFERROR(__xludf.DUMMYFUNCTION("IF('From Order'!$A2436=COLUMNS($A2436:F2455), LEFT(INDEX(FILTER(F$1:F2435, F$1:F2435&lt;&gt;""""),COUNTA(FILTER(F$1:F2435, F$1:F2435&lt;&gt;""""))), LEN(INDEX(FILTER(F$1:F2435, F$1:F2435&lt;&gt;""""),COUNTA(FILTER(F$1:F2435, F$1:F2435&lt;&gt;""""))))-1), IF('To Order'!$A2436=COL"&amp;"UMNS($A2436:F2455), F2435&amp;RIGHT(INDIRECT(ADDRESS(ROW(F2436)-1, 'From Order'!$A2436)), 1), F2435))"),"")</f>
        <v/>
      </c>
      <c r="G2436" s="2" t="str">
        <f>IFERROR(__xludf.DUMMYFUNCTION("IF('From Order'!$A2436=COLUMNS($A2436:G2455), LEFT(INDEX(FILTER(G$1:G2435, G$1:G2435&lt;&gt;""""),COUNTA(FILTER(G$1:G2435, G$1:G2435&lt;&gt;""""))), LEN(INDEX(FILTER(G$1:G2435, G$1:G2435&lt;&gt;""""),COUNTA(FILTER(G$1:G2435, G$1:G2435&lt;&gt;""""))))-1), IF('To Order'!$A2436=COL"&amp;"UMNS($A2436:G2455), G2435&amp;RIGHT(INDIRECT(ADDRESS(ROW(G2436)-1, 'From Order'!$A2436)), 1), G2435))"),"")</f>
        <v/>
      </c>
      <c r="H2436" s="2" t="str">
        <f>IFERROR(__xludf.DUMMYFUNCTION("IF('From Order'!$A2436=COLUMNS($A2436:H2455), LEFT(INDEX(FILTER(H$1:H2435, H$1:H2435&lt;&gt;""""),COUNTA(FILTER(H$1:H2435, H$1:H2435&lt;&gt;""""))), LEN(INDEX(FILTER(H$1:H2435, H$1:H2435&lt;&gt;""""),COUNTA(FILTER(H$1:H2435, H$1:H2435&lt;&gt;""""))))-1), IF('To Order'!$A2436=COL"&amp;"UMNS($A2436:H2455), H2435&amp;RIGHT(INDIRECT(ADDRESS(ROW(H2436)-1, 'From Order'!$A2436)), 1), H2435))"),"")</f>
        <v/>
      </c>
      <c r="I2436" s="2" t="str">
        <f>IFERROR(__xludf.DUMMYFUNCTION("IF('From Order'!$A2436=COLUMNS($A2436:I2455), LEFT(INDEX(FILTER(I$1:I2435, I$1:I2435&lt;&gt;""""),COUNTA(FILTER(I$1:I2435, I$1:I2435&lt;&gt;""""))), LEN(INDEX(FILTER(I$1:I2435, I$1:I2435&lt;&gt;""""),COUNTA(FILTER(I$1:I2435, I$1:I2435&lt;&gt;""""))))-1), IF('To Order'!$A2436=COL"&amp;"UMNS($A2436:I2455), I2435&amp;RIGHT(INDIRECT(ADDRESS(ROW(I2436)-1, 'From Order'!$A2436)), 1), I2435))"),"")</f>
        <v/>
      </c>
    </row>
    <row r="2437">
      <c r="A2437" s="2" t="str">
        <f>IFERROR(__xludf.DUMMYFUNCTION("IF('From Order'!$A2437=COLUMNS($A2437:A2456), LEFT(INDEX(FILTER(A$1:A2436, A$1:A2436&lt;&gt;""""),COUNTA(FILTER(A$1:A2436, A$1:A2436&lt;&gt;""""))), LEN(INDEX(FILTER(A$1:A2436, A$1:A2436&lt;&gt;""""),COUNTA(FILTER(A$1:A2436, A$1:A2436&lt;&gt;""""))))-1), IF('To Order'!$A2437=COL"&amp;"UMNS($A2437:A2456), A2436&amp;RIGHT(INDIRECT(ADDRESS(ROW(A2437)-1, 'From Order'!$A2437)), 1), A2436))"),"DRSZHTWLLFBDCCVQRSP")</f>
        <v>DRSZHTWLLFBDCCVQRSP</v>
      </c>
      <c r="B2437" s="2" t="str">
        <f>IFERROR(__xludf.DUMMYFUNCTION("IF('From Order'!$A2437=COLUMNS($A2437:B2456), LEFT(INDEX(FILTER(B$1:B2436, B$1:B2436&lt;&gt;""""),COUNTA(FILTER(B$1:B2436, B$1:B2436&lt;&gt;""""))), LEN(INDEX(FILTER(B$1:B2436, B$1:B2436&lt;&gt;""""),COUNTA(FILTER(B$1:B2436, B$1:B2436&lt;&gt;""""))))-1), IF('To Order'!$A2437=COL"&amp;"UMNS($A2437:B2456), B2436&amp;RIGHT(INDIRECT(ADDRESS(ROW(B2437)-1, 'From Order'!$A2437)), 1), B2436))"),"QGWBSSPLRRJTTCJFZDMTTGM")</f>
        <v>QGWBSSPLRRJTTCJFZDMTTGM</v>
      </c>
      <c r="C2437" s="2" t="str">
        <f>IFERROR(__xludf.DUMMYFUNCTION("IF('From Order'!$A2437=COLUMNS($A2437:C2456), LEFT(INDEX(FILTER(C$1:C2436, C$1:C2436&lt;&gt;""""),COUNTA(FILTER(C$1:C2436, C$1:C2436&lt;&gt;""""))), LEN(INDEX(FILTER(C$1:C2436, C$1:C2436&lt;&gt;""""),COUNTA(FILTER(C$1:C2436, C$1:C2436&lt;&gt;""""))))-1), IF('To Order'!$A2437=COL"&amp;"UMNS($A2437:C2456), C2436&amp;RIGHT(INDIRECT(ADDRESS(ROW(C2437)-1, 'From Order'!$A2437)), 1), C2436))"),"VBJDDVD")</f>
        <v>VBJDDVD</v>
      </c>
      <c r="D2437" s="2" t="str">
        <f>IFERROR(__xludf.DUMMYFUNCTION("IF('From Order'!$A2437=COLUMNS($A2437:D2456), LEFT(INDEX(FILTER(D$1:D2436, D$1:D2436&lt;&gt;""""),COUNTA(FILTER(D$1:D2436, D$1:D2436&lt;&gt;""""))), LEN(INDEX(FILTER(D$1:D2436, D$1:D2436&lt;&gt;""""),COUNTA(FILTER(D$1:D2436, D$1:D2436&lt;&gt;""""))))-1), IF('To Order'!$A2437=COL"&amp;"UMNS($A2437:D2456), D2436&amp;RIGHT(INDIRECT(ADDRESS(ROW(D2437)-1, 'From Order'!$A2437)), 1), D2436))"),"")</f>
        <v/>
      </c>
      <c r="E2437" s="2" t="str">
        <f>IFERROR(__xludf.DUMMYFUNCTION("IF('From Order'!$A2437=COLUMNS($A2437:E2456), LEFT(INDEX(FILTER(E$1:E2436, E$1:E2436&lt;&gt;""""),COUNTA(FILTER(E$1:E2436, E$1:E2436&lt;&gt;""""))), LEN(INDEX(FILTER(E$1:E2436, E$1:E2436&lt;&gt;""""),COUNTA(FILTER(E$1:E2436, E$1:E2436&lt;&gt;""""))))-1), IF('To Order'!$A2437=COL"&amp;"UMNS($A2437:E2456), E2436&amp;RIGHT(INDIRECT(ADDRESS(ROW(E2437)-1, 'From Order'!$A2437)), 1), E2436))"),"BRPHZMT")</f>
        <v>BRPHZMT</v>
      </c>
      <c r="F2437" s="2" t="str">
        <f>IFERROR(__xludf.DUMMYFUNCTION("IF('From Order'!$A2437=COLUMNS($A2437:F2456), LEFT(INDEX(FILTER(F$1:F2436, F$1:F2436&lt;&gt;""""),COUNTA(FILTER(F$1:F2436, F$1:F2436&lt;&gt;""""))), LEN(INDEX(FILTER(F$1:F2436, F$1:F2436&lt;&gt;""""),COUNTA(FILTER(F$1:F2436, F$1:F2436&lt;&gt;""""))))-1), IF('To Order'!$A2437=COL"&amp;"UMNS($A2437:F2456), F2436&amp;RIGHT(INDIRECT(ADDRESS(ROW(F2437)-1, 'From Order'!$A2437)), 1), F2436))"),"")</f>
        <v/>
      </c>
      <c r="G2437" s="2" t="str">
        <f>IFERROR(__xludf.DUMMYFUNCTION("IF('From Order'!$A2437=COLUMNS($A2437:G2456), LEFT(INDEX(FILTER(G$1:G2436, G$1:G2436&lt;&gt;""""),COUNTA(FILTER(G$1:G2436, G$1:G2436&lt;&gt;""""))), LEN(INDEX(FILTER(G$1:G2436, G$1:G2436&lt;&gt;""""),COUNTA(FILTER(G$1:G2436, G$1:G2436&lt;&gt;""""))))-1), IF('To Order'!$A2437=COL"&amp;"UMNS($A2437:G2456), G2436&amp;RIGHT(INDIRECT(ADDRESS(ROW(G2437)-1, 'From Order'!$A2437)), 1), G2436))"),"")</f>
        <v/>
      </c>
      <c r="H2437" s="2" t="str">
        <f>IFERROR(__xludf.DUMMYFUNCTION("IF('From Order'!$A2437=COLUMNS($A2437:H2456), LEFT(INDEX(FILTER(H$1:H2436, H$1:H2436&lt;&gt;""""),COUNTA(FILTER(H$1:H2436, H$1:H2436&lt;&gt;""""))), LEN(INDEX(FILTER(H$1:H2436, H$1:H2436&lt;&gt;""""),COUNTA(FILTER(H$1:H2436, H$1:H2436&lt;&gt;""""))))-1), IF('To Order'!$A2437=COL"&amp;"UMNS($A2437:H2456), H2436&amp;RIGHT(INDIRECT(ADDRESS(ROW(H2437)-1, 'From Order'!$A2437)), 1), H2436))"),"")</f>
        <v/>
      </c>
      <c r="I2437" s="2" t="str">
        <f>IFERROR(__xludf.DUMMYFUNCTION("IF('From Order'!$A2437=COLUMNS($A2437:I2456), LEFT(INDEX(FILTER(I$1:I2436, I$1:I2436&lt;&gt;""""),COUNTA(FILTER(I$1:I2436, I$1:I2436&lt;&gt;""""))), LEN(INDEX(FILTER(I$1:I2436, I$1:I2436&lt;&gt;""""),COUNTA(FILTER(I$1:I2436, I$1:I2436&lt;&gt;""""))))-1), IF('To Order'!$A2437=COL"&amp;"UMNS($A2437:I2456), I2436&amp;RIGHT(INDIRECT(ADDRESS(ROW(I2437)-1, 'From Order'!$A2437)), 1), I2436))"),"")</f>
        <v/>
      </c>
    </row>
    <row r="2438">
      <c r="A2438" s="2" t="str">
        <f>IFERROR(__xludf.DUMMYFUNCTION("IF('From Order'!$A2438=COLUMNS($A2438:A2457), LEFT(INDEX(FILTER(A$1:A2437, A$1:A2437&lt;&gt;""""),COUNTA(FILTER(A$1:A2437, A$1:A2437&lt;&gt;""""))), LEN(INDEX(FILTER(A$1:A2437, A$1:A2437&lt;&gt;""""),COUNTA(FILTER(A$1:A2437, A$1:A2437&lt;&gt;""""))))-1), IF('To Order'!$A2438=COL"&amp;"UMNS($A2438:A2457), A2437&amp;RIGHT(INDIRECT(ADDRESS(ROW(A2438)-1, 'From Order'!$A2438)), 1), A2437))"),"DRSZHTWLLFBDCCVQRS")</f>
        <v>DRSZHTWLLFBDCCVQRS</v>
      </c>
      <c r="B2438" s="2" t="str">
        <f>IFERROR(__xludf.DUMMYFUNCTION("IF('From Order'!$A2438=COLUMNS($A2438:B2457), LEFT(INDEX(FILTER(B$1:B2437, B$1:B2437&lt;&gt;""""),COUNTA(FILTER(B$1:B2437, B$1:B2437&lt;&gt;""""))), LEN(INDEX(FILTER(B$1:B2437, B$1:B2437&lt;&gt;""""),COUNTA(FILTER(B$1:B2437, B$1:B2437&lt;&gt;""""))))-1), IF('To Order'!$A2438=COL"&amp;"UMNS($A2438:B2457), B2437&amp;RIGHT(INDIRECT(ADDRESS(ROW(B2438)-1, 'From Order'!$A2438)), 1), B2437))"),"QGWBSSPLRRJTTCJFZDMTTGMP")</f>
        <v>QGWBSSPLRRJTTCJFZDMTTGMP</v>
      </c>
      <c r="C2438" s="2" t="str">
        <f>IFERROR(__xludf.DUMMYFUNCTION("IF('From Order'!$A2438=COLUMNS($A2438:C2457), LEFT(INDEX(FILTER(C$1:C2437, C$1:C2437&lt;&gt;""""),COUNTA(FILTER(C$1:C2437, C$1:C2437&lt;&gt;""""))), LEN(INDEX(FILTER(C$1:C2437, C$1:C2437&lt;&gt;""""),COUNTA(FILTER(C$1:C2437, C$1:C2437&lt;&gt;""""))))-1), IF('To Order'!$A2438=COL"&amp;"UMNS($A2438:C2457), C2437&amp;RIGHT(INDIRECT(ADDRESS(ROW(C2438)-1, 'From Order'!$A2438)), 1), C2437))"),"VBJDDVD")</f>
        <v>VBJDDVD</v>
      </c>
      <c r="D2438" s="2" t="str">
        <f>IFERROR(__xludf.DUMMYFUNCTION("IF('From Order'!$A2438=COLUMNS($A2438:D2457), LEFT(INDEX(FILTER(D$1:D2437, D$1:D2437&lt;&gt;""""),COUNTA(FILTER(D$1:D2437, D$1:D2437&lt;&gt;""""))), LEN(INDEX(FILTER(D$1:D2437, D$1:D2437&lt;&gt;""""),COUNTA(FILTER(D$1:D2437, D$1:D2437&lt;&gt;""""))))-1), IF('To Order'!$A2438=COL"&amp;"UMNS($A2438:D2457), D2437&amp;RIGHT(INDIRECT(ADDRESS(ROW(D2438)-1, 'From Order'!$A2438)), 1), D2437))"),"")</f>
        <v/>
      </c>
      <c r="E2438" s="2" t="str">
        <f>IFERROR(__xludf.DUMMYFUNCTION("IF('From Order'!$A2438=COLUMNS($A2438:E2457), LEFT(INDEX(FILTER(E$1:E2437, E$1:E2437&lt;&gt;""""),COUNTA(FILTER(E$1:E2437, E$1:E2437&lt;&gt;""""))), LEN(INDEX(FILTER(E$1:E2437, E$1:E2437&lt;&gt;""""),COUNTA(FILTER(E$1:E2437, E$1:E2437&lt;&gt;""""))))-1), IF('To Order'!$A2438=COL"&amp;"UMNS($A2438:E2457), E2437&amp;RIGHT(INDIRECT(ADDRESS(ROW(E2438)-1, 'From Order'!$A2438)), 1), E2437))"),"BRPHZMT")</f>
        <v>BRPHZMT</v>
      </c>
      <c r="F2438" s="2" t="str">
        <f>IFERROR(__xludf.DUMMYFUNCTION("IF('From Order'!$A2438=COLUMNS($A2438:F2457), LEFT(INDEX(FILTER(F$1:F2437, F$1:F2437&lt;&gt;""""),COUNTA(FILTER(F$1:F2437, F$1:F2437&lt;&gt;""""))), LEN(INDEX(FILTER(F$1:F2437, F$1:F2437&lt;&gt;""""),COUNTA(FILTER(F$1:F2437, F$1:F2437&lt;&gt;""""))))-1), IF('To Order'!$A2438=COL"&amp;"UMNS($A2438:F2457), F2437&amp;RIGHT(INDIRECT(ADDRESS(ROW(F2438)-1, 'From Order'!$A2438)), 1), F2437))"),"")</f>
        <v/>
      </c>
      <c r="G2438" s="2" t="str">
        <f>IFERROR(__xludf.DUMMYFUNCTION("IF('From Order'!$A2438=COLUMNS($A2438:G2457), LEFT(INDEX(FILTER(G$1:G2437, G$1:G2437&lt;&gt;""""),COUNTA(FILTER(G$1:G2437, G$1:G2437&lt;&gt;""""))), LEN(INDEX(FILTER(G$1:G2437, G$1:G2437&lt;&gt;""""),COUNTA(FILTER(G$1:G2437, G$1:G2437&lt;&gt;""""))))-1), IF('To Order'!$A2438=COL"&amp;"UMNS($A2438:G2457), G2437&amp;RIGHT(INDIRECT(ADDRESS(ROW(G2438)-1, 'From Order'!$A2438)), 1), G2437))"),"")</f>
        <v/>
      </c>
      <c r="H2438" s="2" t="str">
        <f>IFERROR(__xludf.DUMMYFUNCTION("IF('From Order'!$A2438=COLUMNS($A2438:H2457), LEFT(INDEX(FILTER(H$1:H2437, H$1:H2437&lt;&gt;""""),COUNTA(FILTER(H$1:H2437, H$1:H2437&lt;&gt;""""))), LEN(INDEX(FILTER(H$1:H2437, H$1:H2437&lt;&gt;""""),COUNTA(FILTER(H$1:H2437, H$1:H2437&lt;&gt;""""))))-1), IF('To Order'!$A2438=COL"&amp;"UMNS($A2438:H2457), H2437&amp;RIGHT(INDIRECT(ADDRESS(ROW(H2438)-1, 'From Order'!$A2438)), 1), H2437))"),"")</f>
        <v/>
      </c>
      <c r="I2438" s="2" t="str">
        <f>IFERROR(__xludf.DUMMYFUNCTION("IF('From Order'!$A2438=COLUMNS($A2438:I2457), LEFT(INDEX(FILTER(I$1:I2437, I$1:I2437&lt;&gt;""""),COUNTA(FILTER(I$1:I2437, I$1:I2437&lt;&gt;""""))), LEN(INDEX(FILTER(I$1:I2437, I$1:I2437&lt;&gt;""""),COUNTA(FILTER(I$1:I2437, I$1:I2437&lt;&gt;""""))))-1), IF('To Order'!$A2438=COL"&amp;"UMNS($A2438:I2457), I2437&amp;RIGHT(INDIRECT(ADDRESS(ROW(I2438)-1, 'From Order'!$A2438)), 1), I2437))"),"")</f>
        <v/>
      </c>
    </row>
    <row r="2439">
      <c r="A2439" s="2" t="str">
        <f>IFERROR(__xludf.DUMMYFUNCTION("IF('From Order'!$A2439=COLUMNS($A2439:A2458), LEFT(INDEX(FILTER(A$1:A2438, A$1:A2438&lt;&gt;""""),COUNTA(FILTER(A$1:A2438, A$1:A2438&lt;&gt;""""))), LEN(INDEX(FILTER(A$1:A2438, A$1:A2438&lt;&gt;""""),COUNTA(FILTER(A$1:A2438, A$1:A2438&lt;&gt;""""))))-1), IF('To Order'!$A2439=COL"&amp;"UMNS($A2439:A2458), A2438&amp;RIGHT(INDIRECT(ADDRESS(ROW(A2439)-1, 'From Order'!$A2439)), 1), A2438))"),"DRSZHTWLLFBDCCVQR")</f>
        <v>DRSZHTWLLFBDCCVQR</v>
      </c>
      <c r="B2439" s="2" t="str">
        <f>IFERROR(__xludf.DUMMYFUNCTION("IF('From Order'!$A2439=COLUMNS($A2439:B2458), LEFT(INDEX(FILTER(B$1:B2438, B$1:B2438&lt;&gt;""""),COUNTA(FILTER(B$1:B2438, B$1:B2438&lt;&gt;""""))), LEN(INDEX(FILTER(B$1:B2438, B$1:B2438&lt;&gt;""""),COUNTA(FILTER(B$1:B2438, B$1:B2438&lt;&gt;""""))))-1), IF('To Order'!$A2439=COL"&amp;"UMNS($A2439:B2458), B2438&amp;RIGHT(INDIRECT(ADDRESS(ROW(B2439)-1, 'From Order'!$A2439)), 1), B2438))"),"QGWBSSPLRRJTTCJFZDMTTGMPS")</f>
        <v>QGWBSSPLRRJTTCJFZDMTTGMPS</v>
      </c>
      <c r="C2439" s="2" t="str">
        <f>IFERROR(__xludf.DUMMYFUNCTION("IF('From Order'!$A2439=COLUMNS($A2439:C2458), LEFT(INDEX(FILTER(C$1:C2438, C$1:C2438&lt;&gt;""""),COUNTA(FILTER(C$1:C2438, C$1:C2438&lt;&gt;""""))), LEN(INDEX(FILTER(C$1:C2438, C$1:C2438&lt;&gt;""""),COUNTA(FILTER(C$1:C2438, C$1:C2438&lt;&gt;""""))))-1), IF('To Order'!$A2439=COL"&amp;"UMNS($A2439:C2458), C2438&amp;RIGHT(INDIRECT(ADDRESS(ROW(C2439)-1, 'From Order'!$A2439)), 1), C2438))"),"VBJDDVD")</f>
        <v>VBJDDVD</v>
      </c>
      <c r="D2439" s="2" t="str">
        <f>IFERROR(__xludf.DUMMYFUNCTION("IF('From Order'!$A2439=COLUMNS($A2439:D2458), LEFT(INDEX(FILTER(D$1:D2438, D$1:D2438&lt;&gt;""""),COUNTA(FILTER(D$1:D2438, D$1:D2438&lt;&gt;""""))), LEN(INDEX(FILTER(D$1:D2438, D$1:D2438&lt;&gt;""""),COUNTA(FILTER(D$1:D2438, D$1:D2438&lt;&gt;""""))))-1), IF('To Order'!$A2439=COL"&amp;"UMNS($A2439:D2458), D2438&amp;RIGHT(INDIRECT(ADDRESS(ROW(D2439)-1, 'From Order'!$A2439)), 1), D2438))"),"")</f>
        <v/>
      </c>
      <c r="E2439" s="2" t="str">
        <f>IFERROR(__xludf.DUMMYFUNCTION("IF('From Order'!$A2439=COLUMNS($A2439:E2458), LEFT(INDEX(FILTER(E$1:E2438, E$1:E2438&lt;&gt;""""),COUNTA(FILTER(E$1:E2438, E$1:E2438&lt;&gt;""""))), LEN(INDEX(FILTER(E$1:E2438, E$1:E2438&lt;&gt;""""),COUNTA(FILTER(E$1:E2438, E$1:E2438&lt;&gt;""""))))-1), IF('To Order'!$A2439=COL"&amp;"UMNS($A2439:E2458), E2438&amp;RIGHT(INDIRECT(ADDRESS(ROW(E2439)-1, 'From Order'!$A2439)), 1), E2438))"),"BRPHZMT")</f>
        <v>BRPHZMT</v>
      </c>
      <c r="F2439" s="2" t="str">
        <f>IFERROR(__xludf.DUMMYFUNCTION("IF('From Order'!$A2439=COLUMNS($A2439:F2458), LEFT(INDEX(FILTER(F$1:F2438, F$1:F2438&lt;&gt;""""),COUNTA(FILTER(F$1:F2438, F$1:F2438&lt;&gt;""""))), LEN(INDEX(FILTER(F$1:F2438, F$1:F2438&lt;&gt;""""),COUNTA(FILTER(F$1:F2438, F$1:F2438&lt;&gt;""""))))-1), IF('To Order'!$A2439=COL"&amp;"UMNS($A2439:F2458), F2438&amp;RIGHT(INDIRECT(ADDRESS(ROW(F2439)-1, 'From Order'!$A2439)), 1), F2438))"),"")</f>
        <v/>
      </c>
      <c r="G2439" s="2" t="str">
        <f>IFERROR(__xludf.DUMMYFUNCTION("IF('From Order'!$A2439=COLUMNS($A2439:G2458), LEFT(INDEX(FILTER(G$1:G2438, G$1:G2438&lt;&gt;""""),COUNTA(FILTER(G$1:G2438, G$1:G2438&lt;&gt;""""))), LEN(INDEX(FILTER(G$1:G2438, G$1:G2438&lt;&gt;""""),COUNTA(FILTER(G$1:G2438, G$1:G2438&lt;&gt;""""))))-1), IF('To Order'!$A2439=COL"&amp;"UMNS($A2439:G2458), G2438&amp;RIGHT(INDIRECT(ADDRESS(ROW(G2439)-1, 'From Order'!$A2439)), 1), G2438))"),"")</f>
        <v/>
      </c>
      <c r="H2439" s="2" t="str">
        <f>IFERROR(__xludf.DUMMYFUNCTION("IF('From Order'!$A2439=COLUMNS($A2439:H2458), LEFT(INDEX(FILTER(H$1:H2438, H$1:H2438&lt;&gt;""""),COUNTA(FILTER(H$1:H2438, H$1:H2438&lt;&gt;""""))), LEN(INDEX(FILTER(H$1:H2438, H$1:H2438&lt;&gt;""""),COUNTA(FILTER(H$1:H2438, H$1:H2438&lt;&gt;""""))))-1), IF('To Order'!$A2439=COL"&amp;"UMNS($A2439:H2458), H2438&amp;RIGHT(INDIRECT(ADDRESS(ROW(H2439)-1, 'From Order'!$A2439)), 1), H2438))"),"")</f>
        <v/>
      </c>
      <c r="I2439" s="2" t="str">
        <f>IFERROR(__xludf.DUMMYFUNCTION("IF('From Order'!$A2439=COLUMNS($A2439:I2458), LEFT(INDEX(FILTER(I$1:I2438, I$1:I2438&lt;&gt;""""),COUNTA(FILTER(I$1:I2438, I$1:I2438&lt;&gt;""""))), LEN(INDEX(FILTER(I$1:I2438, I$1:I2438&lt;&gt;""""),COUNTA(FILTER(I$1:I2438, I$1:I2438&lt;&gt;""""))))-1), IF('To Order'!$A2439=COL"&amp;"UMNS($A2439:I2458), I2438&amp;RIGHT(INDIRECT(ADDRESS(ROW(I2439)-1, 'From Order'!$A2439)), 1), I2438))"),"")</f>
        <v/>
      </c>
    </row>
    <row r="2440">
      <c r="A2440" s="2" t="str">
        <f>IFERROR(__xludf.DUMMYFUNCTION("IF('From Order'!$A2440=COLUMNS($A2440:A2459), LEFT(INDEX(FILTER(A$1:A2439, A$1:A2439&lt;&gt;""""),COUNTA(FILTER(A$1:A2439, A$1:A2439&lt;&gt;""""))), LEN(INDEX(FILTER(A$1:A2439, A$1:A2439&lt;&gt;""""),COUNTA(FILTER(A$1:A2439, A$1:A2439&lt;&gt;""""))))-1), IF('To Order'!$A2440=COL"&amp;"UMNS($A2440:A2459), A2439&amp;RIGHT(INDIRECT(ADDRESS(ROW(A2440)-1, 'From Order'!$A2440)), 1), A2439))"),"DRSZHTWLLFBDCCVQ")</f>
        <v>DRSZHTWLLFBDCCVQ</v>
      </c>
      <c r="B2440" s="2" t="str">
        <f>IFERROR(__xludf.DUMMYFUNCTION("IF('From Order'!$A2440=COLUMNS($A2440:B2459), LEFT(INDEX(FILTER(B$1:B2439, B$1:B2439&lt;&gt;""""),COUNTA(FILTER(B$1:B2439, B$1:B2439&lt;&gt;""""))), LEN(INDEX(FILTER(B$1:B2439, B$1:B2439&lt;&gt;""""),COUNTA(FILTER(B$1:B2439, B$1:B2439&lt;&gt;""""))))-1), IF('To Order'!$A2440=COL"&amp;"UMNS($A2440:B2459), B2439&amp;RIGHT(INDIRECT(ADDRESS(ROW(B2440)-1, 'From Order'!$A2440)), 1), B2439))"),"QGWBSSPLRRJTTCJFZDMTTGMPSR")</f>
        <v>QGWBSSPLRRJTTCJFZDMTTGMPSR</v>
      </c>
      <c r="C2440" s="2" t="str">
        <f>IFERROR(__xludf.DUMMYFUNCTION("IF('From Order'!$A2440=COLUMNS($A2440:C2459), LEFT(INDEX(FILTER(C$1:C2439, C$1:C2439&lt;&gt;""""),COUNTA(FILTER(C$1:C2439, C$1:C2439&lt;&gt;""""))), LEN(INDEX(FILTER(C$1:C2439, C$1:C2439&lt;&gt;""""),COUNTA(FILTER(C$1:C2439, C$1:C2439&lt;&gt;""""))))-1), IF('To Order'!$A2440=COL"&amp;"UMNS($A2440:C2459), C2439&amp;RIGHT(INDIRECT(ADDRESS(ROW(C2440)-1, 'From Order'!$A2440)), 1), C2439))"),"VBJDDVD")</f>
        <v>VBJDDVD</v>
      </c>
      <c r="D2440" s="2" t="str">
        <f>IFERROR(__xludf.DUMMYFUNCTION("IF('From Order'!$A2440=COLUMNS($A2440:D2459), LEFT(INDEX(FILTER(D$1:D2439, D$1:D2439&lt;&gt;""""),COUNTA(FILTER(D$1:D2439, D$1:D2439&lt;&gt;""""))), LEN(INDEX(FILTER(D$1:D2439, D$1:D2439&lt;&gt;""""),COUNTA(FILTER(D$1:D2439, D$1:D2439&lt;&gt;""""))))-1), IF('To Order'!$A2440=COL"&amp;"UMNS($A2440:D2459), D2439&amp;RIGHT(INDIRECT(ADDRESS(ROW(D2440)-1, 'From Order'!$A2440)), 1), D2439))"),"")</f>
        <v/>
      </c>
      <c r="E2440" s="2" t="str">
        <f>IFERROR(__xludf.DUMMYFUNCTION("IF('From Order'!$A2440=COLUMNS($A2440:E2459), LEFT(INDEX(FILTER(E$1:E2439, E$1:E2439&lt;&gt;""""),COUNTA(FILTER(E$1:E2439, E$1:E2439&lt;&gt;""""))), LEN(INDEX(FILTER(E$1:E2439, E$1:E2439&lt;&gt;""""),COUNTA(FILTER(E$1:E2439, E$1:E2439&lt;&gt;""""))))-1), IF('To Order'!$A2440=COL"&amp;"UMNS($A2440:E2459), E2439&amp;RIGHT(INDIRECT(ADDRESS(ROW(E2440)-1, 'From Order'!$A2440)), 1), E2439))"),"BRPHZMT")</f>
        <v>BRPHZMT</v>
      </c>
      <c r="F2440" s="2" t="str">
        <f>IFERROR(__xludf.DUMMYFUNCTION("IF('From Order'!$A2440=COLUMNS($A2440:F2459), LEFT(INDEX(FILTER(F$1:F2439, F$1:F2439&lt;&gt;""""),COUNTA(FILTER(F$1:F2439, F$1:F2439&lt;&gt;""""))), LEN(INDEX(FILTER(F$1:F2439, F$1:F2439&lt;&gt;""""),COUNTA(FILTER(F$1:F2439, F$1:F2439&lt;&gt;""""))))-1), IF('To Order'!$A2440=COL"&amp;"UMNS($A2440:F2459), F2439&amp;RIGHT(INDIRECT(ADDRESS(ROW(F2440)-1, 'From Order'!$A2440)), 1), F2439))"),"")</f>
        <v/>
      </c>
      <c r="G2440" s="2" t="str">
        <f>IFERROR(__xludf.DUMMYFUNCTION("IF('From Order'!$A2440=COLUMNS($A2440:G2459), LEFT(INDEX(FILTER(G$1:G2439, G$1:G2439&lt;&gt;""""),COUNTA(FILTER(G$1:G2439, G$1:G2439&lt;&gt;""""))), LEN(INDEX(FILTER(G$1:G2439, G$1:G2439&lt;&gt;""""),COUNTA(FILTER(G$1:G2439, G$1:G2439&lt;&gt;""""))))-1), IF('To Order'!$A2440=COL"&amp;"UMNS($A2440:G2459), G2439&amp;RIGHT(INDIRECT(ADDRESS(ROW(G2440)-1, 'From Order'!$A2440)), 1), G2439))"),"")</f>
        <v/>
      </c>
      <c r="H2440" s="2" t="str">
        <f>IFERROR(__xludf.DUMMYFUNCTION("IF('From Order'!$A2440=COLUMNS($A2440:H2459), LEFT(INDEX(FILTER(H$1:H2439, H$1:H2439&lt;&gt;""""),COUNTA(FILTER(H$1:H2439, H$1:H2439&lt;&gt;""""))), LEN(INDEX(FILTER(H$1:H2439, H$1:H2439&lt;&gt;""""),COUNTA(FILTER(H$1:H2439, H$1:H2439&lt;&gt;""""))))-1), IF('To Order'!$A2440=COL"&amp;"UMNS($A2440:H2459), H2439&amp;RIGHT(INDIRECT(ADDRESS(ROW(H2440)-1, 'From Order'!$A2440)), 1), H2439))"),"")</f>
        <v/>
      </c>
      <c r="I2440" s="2" t="str">
        <f>IFERROR(__xludf.DUMMYFUNCTION("IF('From Order'!$A2440=COLUMNS($A2440:I2459), LEFT(INDEX(FILTER(I$1:I2439, I$1:I2439&lt;&gt;""""),COUNTA(FILTER(I$1:I2439, I$1:I2439&lt;&gt;""""))), LEN(INDEX(FILTER(I$1:I2439, I$1:I2439&lt;&gt;""""),COUNTA(FILTER(I$1:I2439, I$1:I2439&lt;&gt;""""))))-1), IF('To Order'!$A2440=COL"&amp;"UMNS($A2440:I2459), I2439&amp;RIGHT(INDIRECT(ADDRESS(ROW(I2440)-1, 'From Order'!$A2440)), 1), I2439))"),"")</f>
        <v/>
      </c>
    </row>
    <row r="2441">
      <c r="A2441" s="2" t="str">
        <f>IFERROR(__xludf.DUMMYFUNCTION("IF('From Order'!$A2441=COLUMNS($A2441:A2460), LEFT(INDEX(FILTER(A$1:A2440, A$1:A2440&lt;&gt;""""),COUNTA(FILTER(A$1:A2440, A$1:A2440&lt;&gt;""""))), LEN(INDEX(FILTER(A$1:A2440, A$1:A2440&lt;&gt;""""),COUNTA(FILTER(A$1:A2440, A$1:A2440&lt;&gt;""""))))-1), IF('To Order'!$A2441=COL"&amp;"UMNS($A2441:A2460), A2440&amp;RIGHT(INDIRECT(ADDRESS(ROW(A2441)-1, 'From Order'!$A2441)), 1), A2440))"),"DRSZHTWLLFBDCCVQ")</f>
        <v>DRSZHTWLLFBDCCVQ</v>
      </c>
      <c r="B2441" s="2" t="str">
        <f>IFERROR(__xludf.DUMMYFUNCTION("IF('From Order'!$A2441=COLUMNS($A2441:B2460), LEFT(INDEX(FILTER(B$1:B2440, B$1:B2440&lt;&gt;""""),COUNTA(FILTER(B$1:B2440, B$1:B2440&lt;&gt;""""))), LEN(INDEX(FILTER(B$1:B2440, B$1:B2440&lt;&gt;""""),COUNTA(FILTER(B$1:B2440, B$1:B2440&lt;&gt;""""))))-1), IF('To Order'!$A2441=COL"&amp;"UMNS($A2441:B2460), B2440&amp;RIGHT(INDIRECT(ADDRESS(ROW(B2441)-1, 'From Order'!$A2441)), 1), B2440))"),"QGWBSSPLRRJTTCJFZDMTTGMPS")</f>
        <v>QGWBSSPLRRJTTCJFZDMTTGMPS</v>
      </c>
      <c r="C2441" s="2" t="str">
        <f>IFERROR(__xludf.DUMMYFUNCTION("IF('From Order'!$A2441=COLUMNS($A2441:C2460), LEFT(INDEX(FILTER(C$1:C2440, C$1:C2440&lt;&gt;""""),COUNTA(FILTER(C$1:C2440, C$1:C2440&lt;&gt;""""))), LEN(INDEX(FILTER(C$1:C2440, C$1:C2440&lt;&gt;""""),COUNTA(FILTER(C$1:C2440, C$1:C2440&lt;&gt;""""))))-1), IF('To Order'!$A2441=COL"&amp;"UMNS($A2441:C2460), C2440&amp;RIGHT(INDIRECT(ADDRESS(ROW(C2441)-1, 'From Order'!$A2441)), 1), C2440))"),"VBJDDVD")</f>
        <v>VBJDDVD</v>
      </c>
      <c r="D2441" s="2" t="str">
        <f>IFERROR(__xludf.DUMMYFUNCTION("IF('From Order'!$A2441=COLUMNS($A2441:D2460), LEFT(INDEX(FILTER(D$1:D2440, D$1:D2440&lt;&gt;""""),COUNTA(FILTER(D$1:D2440, D$1:D2440&lt;&gt;""""))), LEN(INDEX(FILTER(D$1:D2440, D$1:D2440&lt;&gt;""""),COUNTA(FILTER(D$1:D2440, D$1:D2440&lt;&gt;""""))))-1), IF('To Order'!$A2441=COL"&amp;"UMNS($A2441:D2460), D2440&amp;RIGHT(INDIRECT(ADDRESS(ROW(D2441)-1, 'From Order'!$A2441)), 1), D2440))"),"")</f>
        <v/>
      </c>
      <c r="E2441" s="2" t="str">
        <f>IFERROR(__xludf.DUMMYFUNCTION("IF('From Order'!$A2441=COLUMNS($A2441:E2460), LEFT(INDEX(FILTER(E$1:E2440, E$1:E2440&lt;&gt;""""),COUNTA(FILTER(E$1:E2440, E$1:E2440&lt;&gt;""""))), LEN(INDEX(FILTER(E$1:E2440, E$1:E2440&lt;&gt;""""),COUNTA(FILTER(E$1:E2440, E$1:E2440&lt;&gt;""""))))-1), IF('To Order'!$A2441=COL"&amp;"UMNS($A2441:E2460), E2440&amp;RIGHT(INDIRECT(ADDRESS(ROW(E2441)-1, 'From Order'!$A2441)), 1), E2440))"),"BRPHZMT")</f>
        <v>BRPHZMT</v>
      </c>
      <c r="F2441" s="2" t="str">
        <f>IFERROR(__xludf.DUMMYFUNCTION("IF('From Order'!$A2441=COLUMNS($A2441:F2460), LEFT(INDEX(FILTER(F$1:F2440, F$1:F2440&lt;&gt;""""),COUNTA(FILTER(F$1:F2440, F$1:F2440&lt;&gt;""""))), LEN(INDEX(FILTER(F$1:F2440, F$1:F2440&lt;&gt;""""),COUNTA(FILTER(F$1:F2440, F$1:F2440&lt;&gt;""""))))-1), IF('To Order'!$A2441=COL"&amp;"UMNS($A2441:F2460), F2440&amp;RIGHT(INDIRECT(ADDRESS(ROW(F2441)-1, 'From Order'!$A2441)), 1), F2440))"),"R")</f>
        <v>R</v>
      </c>
      <c r="G2441" s="2" t="str">
        <f>IFERROR(__xludf.DUMMYFUNCTION("IF('From Order'!$A2441=COLUMNS($A2441:G2460), LEFT(INDEX(FILTER(G$1:G2440, G$1:G2440&lt;&gt;""""),COUNTA(FILTER(G$1:G2440, G$1:G2440&lt;&gt;""""))), LEN(INDEX(FILTER(G$1:G2440, G$1:G2440&lt;&gt;""""),COUNTA(FILTER(G$1:G2440, G$1:G2440&lt;&gt;""""))))-1), IF('To Order'!$A2441=COL"&amp;"UMNS($A2441:G2460), G2440&amp;RIGHT(INDIRECT(ADDRESS(ROW(G2441)-1, 'From Order'!$A2441)), 1), G2440))"),"")</f>
        <v/>
      </c>
      <c r="H2441" s="2" t="str">
        <f>IFERROR(__xludf.DUMMYFUNCTION("IF('From Order'!$A2441=COLUMNS($A2441:H2460), LEFT(INDEX(FILTER(H$1:H2440, H$1:H2440&lt;&gt;""""),COUNTA(FILTER(H$1:H2440, H$1:H2440&lt;&gt;""""))), LEN(INDEX(FILTER(H$1:H2440, H$1:H2440&lt;&gt;""""),COUNTA(FILTER(H$1:H2440, H$1:H2440&lt;&gt;""""))))-1), IF('To Order'!$A2441=COL"&amp;"UMNS($A2441:H2460), H2440&amp;RIGHT(INDIRECT(ADDRESS(ROW(H2441)-1, 'From Order'!$A2441)), 1), H2440))"),"")</f>
        <v/>
      </c>
      <c r="I2441" s="2" t="str">
        <f>IFERROR(__xludf.DUMMYFUNCTION("IF('From Order'!$A2441=COLUMNS($A2441:I2460), LEFT(INDEX(FILTER(I$1:I2440, I$1:I2440&lt;&gt;""""),COUNTA(FILTER(I$1:I2440, I$1:I2440&lt;&gt;""""))), LEN(INDEX(FILTER(I$1:I2440, I$1:I2440&lt;&gt;""""),COUNTA(FILTER(I$1:I2440, I$1:I2440&lt;&gt;""""))))-1), IF('To Order'!$A2441=COL"&amp;"UMNS($A2441:I2460), I2440&amp;RIGHT(INDIRECT(ADDRESS(ROW(I2441)-1, 'From Order'!$A2441)), 1), I2440))"),"")</f>
        <v/>
      </c>
    </row>
    <row r="2442">
      <c r="A2442" s="2" t="str">
        <f>IFERROR(__xludf.DUMMYFUNCTION("IF('From Order'!$A2442=COLUMNS($A2442:A2461), LEFT(INDEX(FILTER(A$1:A2441, A$1:A2441&lt;&gt;""""),COUNTA(FILTER(A$1:A2441, A$1:A2441&lt;&gt;""""))), LEN(INDEX(FILTER(A$1:A2441, A$1:A2441&lt;&gt;""""),COUNTA(FILTER(A$1:A2441, A$1:A2441&lt;&gt;""""))))-1), IF('To Order'!$A2442=COL"&amp;"UMNS($A2442:A2461), A2441&amp;RIGHT(INDIRECT(ADDRESS(ROW(A2442)-1, 'From Order'!$A2442)), 1), A2441))"),"DRSZHTWLLFBDCCVQ")</f>
        <v>DRSZHTWLLFBDCCVQ</v>
      </c>
      <c r="B2442" s="2" t="str">
        <f>IFERROR(__xludf.DUMMYFUNCTION("IF('From Order'!$A2442=COLUMNS($A2442:B2461), LEFT(INDEX(FILTER(B$1:B2441, B$1:B2441&lt;&gt;""""),COUNTA(FILTER(B$1:B2441, B$1:B2441&lt;&gt;""""))), LEN(INDEX(FILTER(B$1:B2441, B$1:B2441&lt;&gt;""""),COUNTA(FILTER(B$1:B2441, B$1:B2441&lt;&gt;""""))))-1), IF('To Order'!$A2442=COL"&amp;"UMNS($A2442:B2461), B2441&amp;RIGHT(INDIRECT(ADDRESS(ROW(B2442)-1, 'From Order'!$A2442)), 1), B2441))"),"QGWBSSPLRRJTTCJFZDMTTGMP")</f>
        <v>QGWBSSPLRRJTTCJFZDMTTGMP</v>
      </c>
      <c r="C2442" s="2" t="str">
        <f>IFERROR(__xludf.DUMMYFUNCTION("IF('From Order'!$A2442=COLUMNS($A2442:C2461), LEFT(INDEX(FILTER(C$1:C2441, C$1:C2441&lt;&gt;""""),COUNTA(FILTER(C$1:C2441, C$1:C2441&lt;&gt;""""))), LEN(INDEX(FILTER(C$1:C2441, C$1:C2441&lt;&gt;""""),COUNTA(FILTER(C$1:C2441, C$1:C2441&lt;&gt;""""))))-1), IF('To Order'!$A2442=COL"&amp;"UMNS($A2442:C2461), C2441&amp;RIGHT(INDIRECT(ADDRESS(ROW(C2442)-1, 'From Order'!$A2442)), 1), C2441))"),"VBJDDVD")</f>
        <v>VBJDDVD</v>
      </c>
      <c r="D2442" s="2" t="str">
        <f>IFERROR(__xludf.DUMMYFUNCTION("IF('From Order'!$A2442=COLUMNS($A2442:D2461), LEFT(INDEX(FILTER(D$1:D2441, D$1:D2441&lt;&gt;""""),COUNTA(FILTER(D$1:D2441, D$1:D2441&lt;&gt;""""))), LEN(INDEX(FILTER(D$1:D2441, D$1:D2441&lt;&gt;""""),COUNTA(FILTER(D$1:D2441, D$1:D2441&lt;&gt;""""))))-1), IF('To Order'!$A2442=COL"&amp;"UMNS($A2442:D2461), D2441&amp;RIGHT(INDIRECT(ADDRESS(ROW(D2442)-1, 'From Order'!$A2442)), 1), D2441))"),"")</f>
        <v/>
      </c>
      <c r="E2442" s="2" t="str">
        <f>IFERROR(__xludf.DUMMYFUNCTION("IF('From Order'!$A2442=COLUMNS($A2442:E2461), LEFT(INDEX(FILTER(E$1:E2441, E$1:E2441&lt;&gt;""""),COUNTA(FILTER(E$1:E2441, E$1:E2441&lt;&gt;""""))), LEN(INDEX(FILTER(E$1:E2441, E$1:E2441&lt;&gt;""""),COUNTA(FILTER(E$1:E2441, E$1:E2441&lt;&gt;""""))))-1), IF('To Order'!$A2442=COL"&amp;"UMNS($A2442:E2461), E2441&amp;RIGHT(INDIRECT(ADDRESS(ROW(E2442)-1, 'From Order'!$A2442)), 1), E2441))"),"BRPHZMT")</f>
        <v>BRPHZMT</v>
      </c>
      <c r="F2442" s="2" t="str">
        <f>IFERROR(__xludf.DUMMYFUNCTION("IF('From Order'!$A2442=COLUMNS($A2442:F2461), LEFT(INDEX(FILTER(F$1:F2441, F$1:F2441&lt;&gt;""""),COUNTA(FILTER(F$1:F2441, F$1:F2441&lt;&gt;""""))), LEN(INDEX(FILTER(F$1:F2441, F$1:F2441&lt;&gt;""""),COUNTA(FILTER(F$1:F2441, F$1:F2441&lt;&gt;""""))))-1), IF('To Order'!$A2442=COL"&amp;"UMNS($A2442:F2461), F2441&amp;RIGHT(INDIRECT(ADDRESS(ROW(F2442)-1, 'From Order'!$A2442)), 1), F2441))"),"RS")</f>
        <v>RS</v>
      </c>
      <c r="G2442" s="2" t="str">
        <f>IFERROR(__xludf.DUMMYFUNCTION("IF('From Order'!$A2442=COLUMNS($A2442:G2461), LEFT(INDEX(FILTER(G$1:G2441, G$1:G2441&lt;&gt;""""),COUNTA(FILTER(G$1:G2441, G$1:G2441&lt;&gt;""""))), LEN(INDEX(FILTER(G$1:G2441, G$1:G2441&lt;&gt;""""),COUNTA(FILTER(G$1:G2441, G$1:G2441&lt;&gt;""""))))-1), IF('To Order'!$A2442=COL"&amp;"UMNS($A2442:G2461), G2441&amp;RIGHT(INDIRECT(ADDRESS(ROW(G2442)-1, 'From Order'!$A2442)), 1), G2441))"),"")</f>
        <v/>
      </c>
      <c r="H2442" s="2" t="str">
        <f>IFERROR(__xludf.DUMMYFUNCTION("IF('From Order'!$A2442=COLUMNS($A2442:H2461), LEFT(INDEX(FILTER(H$1:H2441, H$1:H2441&lt;&gt;""""),COUNTA(FILTER(H$1:H2441, H$1:H2441&lt;&gt;""""))), LEN(INDEX(FILTER(H$1:H2441, H$1:H2441&lt;&gt;""""),COUNTA(FILTER(H$1:H2441, H$1:H2441&lt;&gt;""""))))-1), IF('To Order'!$A2442=COL"&amp;"UMNS($A2442:H2461), H2441&amp;RIGHT(INDIRECT(ADDRESS(ROW(H2442)-1, 'From Order'!$A2442)), 1), H2441))"),"")</f>
        <v/>
      </c>
      <c r="I2442" s="2" t="str">
        <f>IFERROR(__xludf.DUMMYFUNCTION("IF('From Order'!$A2442=COLUMNS($A2442:I2461), LEFT(INDEX(FILTER(I$1:I2441, I$1:I2441&lt;&gt;""""),COUNTA(FILTER(I$1:I2441, I$1:I2441&lt;&gt;""""))), LEN(INDEX(FILTER(I$1:I2441, I$1:I2441&lt;&gt;""""),COUNTA(FILTER(I$1:I2441, I$1:I2441&lt;&gt;""""))))-1), IF('To Order'!$A2442=COL"&amp;"UMNS($A2442:I2461), I2441&amp;RIGHT(INDIRECT(ADDRESS(ROW(I2442)-1, 'From Order'!$A2442)), 1), I2441))"),"")</f>
        <v/>
      </c>
    </row>
    <row r="2443">
      <c r="A2443" s="2" t="str">
        <f>IFERROR(__xludf.DUMMYFUNCTION("IF('From Order'!$A2443=COLUMNS($A2443:A2462), LEFT(INDEX(FILTER(A$1:A2442, A$1:A2442&lt;&gt;""""),COUNTA(FILTER(A$1:A2442, A$1:A2442&lt;&gt;""""))), LEN(INDEX(FILTER(A$1:A2442, A$1:A2442&lt;&gt;""""),COUNTA(FILTER(A$1:A2442, A$1:A2442&lt;&gt;""""))))-1), IF('To Order'!$A2443=COL"&amp;"UMNS($A2443:A2462), A2442&amp;RIGHT(INDIRECT(ADDRESS(ROW(A2443)-1, 'From Order'!$A2443)), 1), A2442))"),"DRSZHTWLLFBDCCVQ")</f>
        <v>DRSZHTWLLFBDCCVQ</v>
      </c>
      <c r="B2443" s="2" t="str">
        <f>IFERROR(__xludf.DUMMYFUNCTION("IF('From Order'!$A2443=COLUMNS($A2443:B2462), LEFT(INDEX(FILTER(B$1:B2442, B$1:B2442&lt;&gt;""""),COUNTA(FILTER(B$1:B2442, B$1:B2442&lt;&gt;""""))), LEN(INDEX(FILTER(B$1:B2442, B$1:B2442&lt;&gt;""""),COUNTA(FILTER(B$1:B2442, B$1:B2442&lt;&gt;""""))))-1), IF('To Order'!$A2443=COL"&amp;"UMNS($A2443:B2462), B2442&amp;RIGHT(INDIRECT(ADDRESS(ROW(B2443)-1, 'From Order'!$A2443)), 1), B2442))"),"QGWBSSPLRRJTTCJFZDMTTGM")</f>
        <v>QGWBSSPLRRJTTCJFZDMTTGM</v>
      </c>
      <c r="C2443" s="2" t="str">
        <f>IFERROR(__xludf.DUMMYFUNCTION("IF('From Order'!$A2443=COLUMNS($A2443:C2462), LEFT(INDEX(FILTER(C$1:C2442, C$1:C2442&lt;&gt;""""),COUNTA(FILTER(C$1:C2442, C$1:C2442&lt;&gt;""""))), LEN(INDEX(FILTER(C$1:C2442, C$1:C2442&lt;&gt;""""),COUNTA(FILTER(C$1:C2442, C$1:C2442&lt;&gt;""""))))-1), IF('To Order'!$A2443=COL"&amp;"UMNS($A2443:C2462), C2442&amp;RIGHT(INDIRECT(ADDRESS(ROW(C2443)-1, 'From Order'!$A2443)), 1), C2442))"),"VBJDDVD")</f>
        <v>VBJDDVD</v>
      </c>
      <c r="D2443" s="2" t="str">
        <f>IFERROR(__xludf.DUMMYFUNCTION("IF('From Order'!$A2443=COLUMNS($A2443:D2462), LEFT(INDEX(FILTER(D$1:D2442, D$1:D2442&lt;&gt;""""),COUNTA(FILTER(D$1:D2442, D$1:D2442&lt;&gt;""""))), LEN(INDEX(FILTER(D$1:D2442, D$1:D2442&lt;&gt;""""),COUNTA(FILTER(D$1:D2442, D$1:D2442&lt;&gt;""""))))-1), IF('To Order'!$A2443=COL"&amp;"UMNS($A2443:D2462), D2442&amp;RIGHT(INDIRECT(ADDRESS(ROW(D2443)-1, 'From Order'!$A2443)), 1), D2442))"),"")</f>
        <v/>
      </c>
      <c r="E2443" s="2" t="str">
        <f>IFERROR(__xludf.DUMMYFUNCTION("IF('From Order'!$A2443=COLUMNS($A2443:E2462), LEFT(INDEX(FILTER(E$1:E2442, E$1:E2442&lt;&gt;""""),COUNTA(FILTER(E$1:E2442, E$1:E2442&lt;&gt;""""))), LEN(INDEX(FILTER(E$1:E2442, E$1:E2442&lt;&gt;""""),COUNTA(FILTER(E$1:E2442, E$1:E2442&lt;&gt;""""))))-1), IF('To Order'!$A2443=COL"&amp;"UMNS($A2443:E2462), E2442&amp;RIGHT(INDIRECT(ADDRESS(ROW(E2443)-1, 'From Order'!$A2443)), 1), E2442))"),"BRPHZMT")</f>
        <v>BRPHZMT</v>
      </c>
      <c r="F2443" s="2" t="str">
        <f>IFERROR(__xludf.DUMMYFUNCTION("IF('From Order'!$A2443=COLUMNS($A2443:F2462), LEFT(INDEX(FILTER(F$1:F2442, F$1:F2442&lt;&gt;""""),COUNTA(FILTER(F$1:F2442, F$1:F2442&lt;&gt;""""))), LEN(INDEX(FILTER(F$1:F2442, F$1:F2442&lt;&gt;""""),COUNTA(FILTER(F$1:F2442, F$1:F2442&lt;&gt;""""))))-1), IF('To Order'!$A2443=COL"&amp;"UMNS($A2443:F2462), F2442&amp;RIGHT(INDIRECT(ADDRESS(ROW(F2443)-1, 'From Order'!$A2443)), 1), F2442))"),"RSP")</f>
        <v>RSP</v>
      </c>
      <c r="G2443" s="2" t="str">
        <f>IFERROR(__xludf.DUMMYFUNCTION("IF('From Order'!$A2443=COLUMNS($A2443:G2462), LEFT(INDEX(FILTER(G$1:G2442, G$1:G2442&lt;&gt;""""),COUNTA(FILTER(G$1:G2442, G$1:G2442&lt;&gt;""""))), LEN(INDEX(FILTER(G$1:G2442, G$1:G2442&lt;&gt;""""),COUNTA(FILTER(G$1:G2442, G$1:G2442&lt;&gt;""""))))-1), IF('To Order'!$A2443=COL"&amp;"UMNS($A2443:G2462), G2442&amp;RIGHT(INDIRECT(ADDRESS(ROW(G2443)-1, 'From Order'!$A2443)), 1), G2442))"),"")</f>
        <v/>
      </c>
      <c r="H2443" s="2" t="str">
        <f>IFERROR(__xludf.DUMMYFUNCTION("IF('From Order'!$A2443=COLUMNS($A2443:H2462), LEFT(INDEX(FILTER(H$1:H2442, H$1:H2442&lt;&gt;""""),COUNTA(FILTER(H$1:H2442, H$1:H2442&lt;&gt;""""))), LEN(INDEX(FILTER(H$1:H2442, H$1:H2442&lt;&gt;""""),COUNTA(FILTER(H$1:H2442, H$1:H2442&lt;&gt;""""))))-1), IF('To Order'!$A2443=COL"&amp;"UMNS($A2443:H2462), H2442&amp;RIGHT(INDIRECT(ADDRESS(ROW(H2443)-1, 'From Order'!$A2443)), 1), H2442))"),"")</f>
        <v/>
      </c>
      <c r="I2443" s="2" t="str">
        <f>IFERROR(__xludf.DUMMYFUNCTION("IF('From Order'!$A2443=COLUMNS($A2443:I2462), LEFT(INDEX(FILTER(I$1:I2442, I$1:I2442&lt;&gt;""""),COUNTA(FILTER(I$1:I2442, I$1:I2442&lt;&gt;""""))), LEN(INDEX(FILTER(I$1:I2442, I$1:I2442&lt;&gt;""""),COUNTA(FILTER(I$1:I2442, I$1:I2442&lt;&gt;""""))))-1), IF('To Order'!$A2443=COL"&amp;"UMNS($A2443:I2462), I2442&amp;RIGHT(INDIRECT(ADDRESS(ROW(I2443)-1, 'From Order'!$A2443)), 1), I2442))"),"")</f>
        <v/>
      </c>
    </row>
    <row r="2444">
      <c r="A2444" s="2" t="str">
        <f>IFERROR(__xludf.DUMMYFUNCTION("IF('From Order'!$A2444=COLUMNS($A2444:A2463), LEFT(INDEX(FILTER(A$1:A2443, A$1:A2443&lt;&gt;""""),COUNTA(FILTER(A$1:A2443, A$1:A2443&lt;&gt;""""))), LEN(INDEX(FILTER(A$1:A2443, A$1:A2443&lt;&gt;""""),COUNTA(FILTER(A$1:A2443, A$1:A2443&lt;&gt;""""))))-1), IF('To Order'!$A2444=COL"&amp;"UMNS($A2444:A2463), A2443&amp;RIGHT(INDIRECT(ADDRESS(ROW(A2444)-1, 'From Order'!$A2444)), 1), A2443))"),"DRSZHTWLLFBDCCVQ")</f>
        <v>DRSZHTWLLFBDCCVQ</v>
      </c>
      <c r="B2444" s="2" t="str">
        <f>IFERROR(__xludf.DUMMYFUNCTION("IF('From Order'!$A2444=COLUMNS($A2444:B2463), LEFT(INDEX(FILTER(B$1:B2443, B$1:B2443&lt;&gt;""""),COUNTA(FILTER(B$1:B2443, B$1:B2443&lt;&gt;""""))), LEN(INDEX(FILTER(B$1:B2443, B$1:B2443&lt;&gt;""""),COUNTA(FILTER(B$1:B2443, B$1:B2443&lt;&gt;""""))))-1), IF('To Order'!$A2444=COL"&amp;"UMNS($A2444:B2463), B2443&amp;RIGHT(INDIRECT(ADDRESS(ROW(B2444)-1, 'From Order'!$A2444)), 1), B2443))"),"QGWBSSPLRRJTTCJFZDMTTG")</f>
        <v>QGWBSSPLRRJTTCJFZDMTTG</v>
      </c>
      <c r="C2444" s="2" t="str">
        <f>IFERROR(__xludf.DUMMYFUNCTION("IF('From Order'!$A2444=COLUMNS($A2444:C2463), LEFT(INDEX(FILTER(C$1:C2443, C$1:C2443&lt;&gt;""""),COUNTA(FILTER(C$1:C2443, C$1:C2443&lt;&gt;""""))), LEN(INDEX(FILTER(C$1:C2443, C$1:C2443&lt;&gt;""""),COUNTA(FILTER(C$1:C2443, C$1:C2443&lt;&gt;""""))))-1), IF('To Order'!$A2444=COL"&amp;"UMNS($A2444:C2463), C2443&amp;RIGHT(INDIRECT(ADDRESS(ROW(C2444)-1, 'From Order'!$A2444)), 1), C2443))"),"VBJDDVD")</f>
        <v>VBJDDVD</v>
      </c>
      <c r="D2444" s="2" t="str">
        <f>IFERROR(__xludf.DUMMYFUNCTION("IF('From Order'!$A2444=COLUMNS($A2444:D2463), LEFT(INDEX(FILTER(D$1:D2443, D$1:D2443&lt;&gt;""""),COUNTA(FILTER(D$1:D2443, D$1:D2443&lt;&gt;""""))), LEN(INDEX(FILTER(D$1:D2443, D$1:D2443&lt;&gt;""""),COUNTA(FILTER(D$1:D2443, D$1:D2443&lt;&gt;""""))))-1), IF('To Order'!$A2444=COL"&amp;"UMNS($A2444:D2463), D2443&amp;RIGHT(INDIRECT(ADDRESS(ROW(D2444)-1, 'From Order'!$A2444)), 1), D2443))"),"")</f>
        <v/>
      </c>
      <c r="E2444" s="2" t="str">
        <f>IFERROR(__xludf.DUMMYFUNCTION("IF('From Order'!$A2444=COLUMNS($A2444:E2463), LEFT(INDEX(FILTER(E$1:E2443, E$1:E2443&lt;&gt;""""),COUNTA(FILTER(E$1:E2443, E$1:E2443&lt;&gt;""""))), LEN(INDEX(FILTER(E$1:E2443, E$1:E2443&lt;&gt;""""),COUNTA(FILTER(E$1:E2443, E$1:E2443&lt;&gt;""""))))-1), IF('To Order'!$A2444=COL"&amp;"UMNS($A2444:E2463), E2443&amp;RIGHT(INDIRECT(ADDRESS(ROW(E2444)-1, 'From Order'!$A2444)), 1), E2443))"),"BRPHZMT")</f>
        <v>BRPHZMT</v>
      </c>
      <c r="F2444" s="2" t="str">
        <f>IFERROR(__xludf.DUMMYFUNCTION("IF('From Order'!$A2444=COLUMNS($A2444:F2463), LEFT(INDEX(FILTER(F$1:F2443, F$1:F2443&lt;&gt;""""),COUNTA(FILTER(F$1:F2443, F$1:F2443&lt;&gt;""""))), LEN(INDEX(FILTER(F$1:F2443, F$1:F2443&lt;&gt;""""),COUNTA(FILTER(F$1:F2443, F$1:F2443&lt;&gt;""""))))-1), IF('To Order'!$A2444=COL"&amp;"UMNS($A2444:F2463), F2443&amp;RIGHT(INDIRECT(ADDRESS(ROW(F2444)-1, 'From Order'!$A2444)), 1), F2443))"),"RSPM")</f>
        <v>RSPM</v>
      </c>
      <c r="G2444" s="2" t="str">
        <f>IFERROR(__xludf.DUMMYFUNCTION("IF('From Order'!$A2444=COLUMNS($A2444:G2463), LEFT(INDEX(FILTER(G$1:G2443, G$1:G2443&lt;&gt;""""),COUNTA(FILTER(G$1:G2443, G$1:G2443&lt;&gt;""""))), LEN(INDEX(FILTER(G$1:G2443, G$1:G2443&lt;&gt;""""),COUNTA(FILTER(G$1:G2443, G$1:G2443&lt;&gt;""""))))-1), IF('To Order'!$A2444=COL"&amp;"UMNS($A2444:G2463), G2443&amp;RIGHT(INDIRECT(ADDRESS(ROW(G2444)-1, 'From Order'!$A2444)), 1), G2443))"),"")</f>
        <v/>
      </c>
      <c r="H2444" s="2" t="str">
        <f>IFERROR(__xludf.DUMMYFUNCTION("IF('From Order'!$A2444=COLUMNS($A2444:H2463), LEFT(INDEX(FILTER(H$1:H2443, H$1:H2443&lt;&gt;""""),COUNTA(FILTER(H$1:H2443, H$1:H2443&lt;&gt;""""))), LEN(INDEX(FILTER(H$1:H2443, H$1:H2443&lt;&gt;""""),COUNTA(FILTER(H$1:H2443, H$1:H2443&lt;&gt;""""))))-1), IF('To Order'!$A2444=COL"&amp;"UMNS($A2444:H2463), H2443&amp;RIGHT(INDIRECT(ADDRESS(ROW(H2444)-1, 'From Order'!$A2444)), 1), H2443))"),"")</f>
        <v/>
      </c>
      <c r="I2444" s="2" t="str">
        <f>IFERROR(__xludf.DUMMYFUNCTION("IF('From Order'!$A2444=COLUMNS($A2444:I2463), LEFT(INDEX(FILTER(I$1:I2443, I$1:I2443&lt;&gt;""""),COUNTA(FILTER(I$1:I2443, I$1:I2443&lt;&gt;""""))), LEN(INDEX(FILTER(I$1:I2443, I$1:I2443&lt;&gt;""""),COUNTA(FILTER(I$1:I2443, I$1:I2443&lt;&gt;""""))))-1), IF('To Order'!$A2444=COL"&amp;"UMNS($A2444:I2463), I2443&amp;RIGHT(INDIRECT(ADDRESS(ROW(I2444)-1, 'From Order'!$A2444)), 1), I2443))"),"")</f>
        <v/>
      </c>
    </row>
    <row r="2445">
      <c r="A2445" s="2" t="str">
        <f>IFERROR(__xludf.DUMMYFUNCTION("IF('From Order'!$A2445=COLUMNS($A2445:A2464), LEFT(INDEX(FILTER(A$1:A2444, A$1:A2444&lt;&gt;""""),COUNTA(FILTER(A$1:A2444, A$1:A2444&lt;&gt;""""))), LEN(INDEX(FILTER(A$1:A2444, A$1:A2444&lt;&gt;""""),COUNTA(FILTER(A$1:A2444, A$1:A2444&lt;&gt;""""))))-1), IF('To Order'!$A2445=COL"&amp;"UMNS($A2445:A2464), A2444&amp;RIGHT(INDIRECT(ADDRESS(ROW(A2445)-1, 'From Order'!$A2445)), 1), A2444))"),"DRSZHTWLLFBDCCVQ")</f>
        <v>DRSZHTWLLFBDCCVQ</v>
      </c>
      <c r="B2445" s="2" t="str">
        <f>IFERROR(__xludf.DUMMYFUNCTION("IF('From Order'!$A2445=COLUMNS($A2445:B2464), LEFT(INDEX(FILTER(B$1:B2444, B$1:B2444&lt;&gt;""""),COUNTA(FILTER(B$1:B2444, B$1:B2444&lt;&gt;""""))), LEN(INDEX(FILTER(B$1:B2444, B$1:B2444&lt;&gt;""""),COUNTA(FILTER(B$1:B2444, B$1:B2444&lt;&gt;""""))))-1), IF('To Order'!$A2445=COL"&amp;"UMNS($A2445:B2464), B2444&amp;RIGHT(INDIRECT(ADDRESS(ROW(B2445)-1, 'From Order'!$A2445)), 1), B2444))"),"QGWBSSPLRRJTTCJFZDMTT")</f>
        <v>QGWBSSPLRRJTTCJFZDMTT</v>
      </c>
      <c r="C2445" s="2" t="str">
        <f>IFERROR(__xludf.DUMMYFUNCTION("IF('From Order'!$A2445=COLUMNS($A2445:C2464), LEFT(INDEX(FILTER(C$1:C2444, C$1:C2444&lt;&gt;""""),COUNTA(FILTER(C$1:C2444, C$1:C2444&lt;&gt;""""))), LEN(INDEX(FILTER(C$1:C2444, C$1:C2444&lt;&gt;""""),COUNTA(FILTER(C$1:C2444, C$1:C2444&lt;&gt;""""))))-1), IF('To Order'!$A2445=COL"&amp;"UMNS($A2445:C2464), C2444&amp;RIGHT(INDIRECT(ADDRESS(ROW(C2445)-1, 'From Order'!$A2445)), 1), C2444))"),"VBJDDVD")</f>
        <v>VBJDDVD</v>
      </c>
      <c r="D2445" s="2" t="str">
        <f>IFERROR(__xludf.DUMMYFUNCTION("IF('From Order'!$A2445=COLUMNS($A2445:D2464), LEFT(INDEX(FILTER(D$1:D2444, D$1:D2444&lt;&gt;""""),COUNTA(FILTER(D$1:D2444, D$1:D2444&lt;&gt;""""))), LEN(INDEX(FILTER(D$1:D2444, D$1:D2444&lt;&gt;""""),COUNTA(FILTER(D$1:D2444, D$1:D2444&lt;&gt;""""))))-1), IF('To Order'!$A2445=COL"&amp;"UMNS($A2445:D2464), D2444&amp;RIGHT(INDIRECT(ADDRESS(ROW(D2445)-1, 'From Order'!$A2445)), 1), D2444))"),"")</f>
        <v/>
      </c>
      <c r="E2445" s="2" t="str">
        <f>IFERROR(__xludf.DUMMYFUNCTION("IF('From Order'!$A2445=COLUMNS($A2445:E2464), LEFT(INDEX(FILTER(E$1:E2444, E$1:E2444&lt;&gt;""""),COUNTA(FILTER(E$1:E2444, E$1:E2444&lt;&gt;""""))), LEN(INDEX(FILTER(E$1:E2444, E$1:E2444&lt;&gt;""""),COUNTA(FILTER(E$1:E2444, E$1:E2444&lt;&gt;""""))))-1), IF('To Order'!$A2445=COL"&amp;"UMNS($A2445:E2464), E2444&amp;RIGHT(INDIRECT(ADDRESS(ROW(E2445)-1, 'From Order'!$A2445)), 1), E2444))"),"BRPHZMT")</f>
        <v>BRPHZMT</v>
      </c>
      <c r="F2445" s="2" t="str">
        <f>IFERROR(__xludf.DUMMYFUNCTION("IF('From Order'!$A2445=COLUMNS($A2445:F2464), LEFT(INDEX(FILTER(F$1:F2444, F$1:F2444&lt;&gt;""""),COUNTA(FILTER(F$1:F2444, F$1:F2444&lt;&gt;""""))), LEN(INDEX(FILTER(F$1:F2444, F$1:F2444&lt;&gt;""""),COUNTA(FILTER(F$1:F2444, F$1:F2444&lt;&gt;""""))))-1), IF('To Order'!$A2445=COL"&amp;"UMNS($A2445:F2464), F2444&amp;RIGHT(INDIRECT(ADDRESS(ROW(F2445)-1, 'From Order'!$A2445)), 1), F2444))"),"RSPMG")</f>
        <v>RSPMG</v>
      </c>
      <c r="G2445" s="2" t="str">
        <f>IFERROR(__xludf.DUMMYFUNCTION("IF('From Order'!$A2445=COLUMNS($A2445:G2464), LEFT(INDEX(FILTER(G$1:G2444, G$1:G2444&lt;&gt;""""),COUNTA(FILTER(G$1:G2444, G$1:G2444&lt;&gt;""""))), LEN(INDEX(FILTER(G$1:G2444, G$1:G2444&lt;&gt;""""),COUNTA(FILTER(G$1:G2444, G$1:G2444&lt;&gt;""""))))-1), IF('To Order'!$A2445=COL"&amp;"UMNS($A2445:G2464), G2444&amp;RIGHT(INDIRECT(ADDRESS(ROW(G2445)-1, 'From Order'!$A2445)), 1), G2444))"),"")</f>
        <v/>
      </c>
      <c r="H2445" s="2" t="str">
        <f>IFERROR(__xludf.DUMMYFUNCTION("IF('From Order'!$A2445=COLUMNS($A2445:H2464), LEFT(INDEX(FILTER(H$1:H2444, H$1:H2444&lt;&gt;""""),COUNTA(FILTER(H$1:H2444, H$1:H2444&lt;&gt;""""))), LEN(INDEX(FILTER(H$1:H2444, H$1:H2444&lt;&gt;""""),COUNTA(FILTER(H$1:H2444, H$1:H2444&lt;&gt;""""))))-1), IF('To Order'!$A2445=COL"&amp;"UMNS($A2445:H2464), H2444&amp;RIGHT(INDIRECT(ADDRESS(ROW(H2445)-1, 'From Order'!$A2445)), 1), H2444))"),"")</f>
        <v/>
      </c>
      <c r="I2445" s="2" t="str">
        <f>IFERROR(__xludf.DUMMYFUNCTION("IF('From Order'!$A2445=COLUMNS($A2445:I2464), LEFT(INDEX(FILTER(I$1:I2444, I$1:I2444&lt;&gt;""""),COUNTA(FILTER(I$1:I2444, I$1:I2444&lt;&gt;""""))), LEN(INDEX(FILTER(I$1:I2444, I$1:I2444&lt;&gt;""""),COUNTA(FILTER(I$1:I2444, I$1:I2444&lt;&gt;""""))))-1), IF('To Order'!$A2445=COL"&amp;"UMNS($A2445:I2464), I2444&amp;RIGHT(INDIRECT(ADDRESS(ROW(I2445)-1, 'From Order'!$A2445)), 1), I2444))"),"")</f>
        <v/>
      </c>
    </row>
    <row r="2446">
      <c r="A2446" s="2" t="str">
        <f>IFERROR(__xludf.DUMMYFUNCTION("IF('From Order'!$A2446=COLUMNS($A2446:A2465), LEFT(INDEX(FILTER(A$1:A2445, A$1:A2445&lt;&gt;""""),COUNTA(FILTER(A$1:A2445, A$1:A2445&lt;&gt;""""))), LEN(INDEX(FILTER(A$1:A2445, A$1:A2445&lt;&gt;""""),COUNTA(FILTER(A$1:A2445, A$1:A2445&lt;&gt;""""))))-1), IF('To Order'!$A2446=COL"&amp;"UMNS($A2446:A2465), A2445&amp;RIGHT(INDIRECT(ADDRESS(ROW(A2446)-1, 'From Order'!$A2446)), 1), A2445))"),"DRSZHTWLLFBDCCVQ")</f>
        <v>DRSZHTWLLFBDCCVQ</v>
      </c>
      <c r="B2446" s="2" t="str">
        <f>IFERROR(__xludf.DUMMYFUNCTION("IF('From Order'!$A2446=COLUMNS($A2446:B2465), LEFT(INDEX(FILTER(B$1:B2445, B$1:B2445&lt;&gt;""""),COUNTA(FILTER(B$1:B2445, B$1:B2445&lt;&gt;""""))), LEN(INDEX(FILTER(B$1:B2445, B$1:B2445&lt;&gt;""""),COUNTA(FILTER(B$1:B2445, B$1:B2445&lt;&gt;""""))))-1), IF('To Order'!$A2446=COL"&amp;"UMNS($A2446:B2465), B2445&amp;RIGHT(INDIRECT(ADDRESS(ROW(B2446)-1, 'From Order'!$A2446)), 1), B2445))"),"QGWBSSPLRRJTTCJFZDMT")</f>
        <v>QGWBSSPLRRJTTCJFZDMT</v>
      </c>
      <c r="C2446" s="2" t="str">
        <f>IFERROR(__xludf.DUMMYFUNCTION("IF('From Order'!$A2446=COLUMNS($A2446:C2465), LEFT(INDEX(FILTER(C$1:C2445, C$1:C2445&lt;&gt;""""),COUNTA(FILTER(C$1:C2445, C$1:C2445&lt;&gt;""""))), LEN(INDEX(FILTER(C$1:C2445, C$1:C2445&lt;&gt;""""),COUNTA(FILTER(C$1:C2445, C$1:C2445&lt;&gt;""""))))-1), IF('To Order'!$A2446=COL"&amp;"UMNS($A2446:C2465), C2445&amp;RIGHT(INDIRECT(ADDRESS(ROW(C2446)-1, 'From Order'!$A2446)), 1), C2445))"),"VBJDDVD")</f>
        <v>VBJDDVD</v>
      </c>
      <c r="D2446" s="2" t="str">
        <f>IFERROR(__xludf.DUMMYFUNCTION("IF('From Order'!$A2446=COLUMNS($A2446:D2465), LEFT(INDEX(FILTER(D$1:D2445, D$1:D2445&lt;&gt;""""),COUNTA(FILTER(D$1:D2445, D$1:D2445&lt;&gt;""""))), LEN(INDEX(FILTER(D$1:D2445, D$1:D2445&lt;&gt;""""),COUNTA(FILTER(D$1:D2445, D$1:D2445&lt;&gt;""""))))-1), IF('To Order'!$A2446=COL"&amp;"UMNS($A2446:D2465), D2445&amp;RIGHT(INDIRECT(ADDRESS(ROW(D2446)-1, 'From Order'!$A2446)), 1), D2445))"),"")</f>
        <v/>
      </c>
      <c r="E2446" s="2" t="str">
        <f>IFERROR(__xludf.DUMMYFUNCTION("IF('From Order'!$A2446=COLUMNS($A2446:E2465), LEFT(INDEX(FILTER(E$1:E2445, E$1:E2445&lt;&gt;""""),COUNTA(FILTER(E$1:E2445, E$1:E2445&lt;&gt;""""))), LEN(INDEX(FILTER(E$1:E2445, E$1:E2445&lt;&gt;""""),COUNTA(FILTER(E$1:E2445, E$1:E2445&lt;&gt;""""))))-1), IF('To Order'!$A2446=COL"&amp;"UMNS($A2446:E2465), E2445&amp;RIGHT(INDIRECT(ADDRESS(ROW(E2446)-1, 'From Order'!$A2446)), 1), E2445))"),"BRPHZMT")</f>
        <v>BRPHZMT</v>
      </c>
      <c r="F2446" s="2" t="str">
        <f>IFERROR(__xludf.DUMMYFUNCTION("IF('From Order'!$A2446=COLUMNS($A2446:F2465), LEFT(INDEX(FILTER(F$1:F2445, F$1:F2445&lt;&gt;""""),COUNTA(FILTER(F$1:F2445, F$1:F2445&lt;&gt;""""))), LEN(INDEX(FILTER(F$1:F2445, F$1:F2445&lt;&gt;""""),COUNTA(FILTER(F$1:F2445, F$1:F2445&lt;&gt;""""))))-1), IF('To Order'!$A2446=COL"&amp;"UMNS($A2446:F2465), F2445&amp;RIGHT(INDIRECT(ADDRESS(ROW(F2446)-1, 'From Order'!$A2446)), 1), F2445))"),"RSPMGT")</f>
        <v>RSPMGT</v>
      </c>
      <c r="G2446" s="2" t="str">
        <f>IFERROR(__xludf.DUMMYFUNCTION("IF('From Order'!$A2446=COLUMNS($A2446:G2465), LEFT(INDEX(FILTER(G$1:G2445, G$1:G2445&lt;&gt;""""),COUNTA(FILTER(G$1:G2445, G$1:G2445&lt;&gt;""""))), LEN(INDEX(FILTER(G$1:G2445, G$1:G2445&lt;&gt;""""),COUNTA(FILTER(G$1:G2445, G$1:G2445&lt;&gt;""""))))-1), IF('To Order'!$A2446=COL"&amp;"UMNS($A2446:G2465), G2445&amp;RIGHT(INDIRECT(ADDRESS(ROW(G2446)-1, 'From Order'!$A2446)), 1), G2445))"),"")</f>
        <v/>
      </c>
      <c r="H2446" s="2" t="str">
        <f>IFERROR(__xludf.DUMMYFUNCTION("IF('From Order'!$A2446=COLUMNS($A2446:H2465), LEFT(INDEX(FILTER(H$1:H2445, H$1:H2445&lt;&gt;""""),COUNTA(FILTER(H$1:H2445, H$1:H2445&lt;&gt;""""))), LEN(INDEX(FILTER(H$1:H2445, H$1:H2445&lt;&gt;""""),COUNTA(FILTER(H$1:H2445, H$1:H2445&lt;&gt;""""))))-1), IF('To Order'!$A2446=COL"&amp;"UMNS($A2446:H2465), H2445&amp;RIGHT(INDIRECT(ADDRESS(ROW(H2446)-1, 'From Order'!$A2446)), 1), H2445))"),"")</f>
        <v/>
      </c>
      <c r="I2446" s="2" t="str">
        <f>IFERROR(__xludf.DUMMYFUNCTION("IF('From Order'!$A2446=COLUMNS($A2446:I2465), LEFT(INDEX(FILTER(I$1:I2445, I$1:I2445&lt;&gt;""""),COUNTA(FILTER(I$1:I2445, I$1:I2445&lt;&gt;""""))), LEN(INDEX(FILTER(I$1:I2445, I$1:I2445&lt;&gt;""""),COUNTA(FILTER(I$1:I2445, I$1:I2445&lt;&gt;""""))))-1), IF('To Order'!$A2446=COL"&amp;"UMNS($A2446:I2465), I2445&amp;RIGHT(INDIRECT(ADDRESS(ROW(I2446)-1, 'From Order'!$A2446)), 1), I2445))"),"")</f>
        <v/>
      </c>
    </row>
    <row r="2447">
      <c r="A2447" s="2" t="str">
        <f>IFERROR(__xludf.DUMMYFUNCTION("IF('From Order'!$A2447=COLUMNS($A2447:A2466), LEFT(INDEX(FILTER(A$1:A2446, A$1:A2446&lt;&gt;""""),COUNTA(FILTER(A$1:A2446, A$1:A2446&lt;&gt;""""))), LEN(INDEX(FILTER(A$1:A2446, A$1:A2446&lt;&gt;""""),COUNTA(FILTER(A$1:A2446, A$1:A2446&lt;&gt;""""))))-1), IF('To Order'!$A2447=COL"&amp;"UMNS($A2447:A2466), A2446&amp;RIGHT(INDIRECT(ADDRESS(ROW(A2447)-1, 'From Order'!$A2447)), 1), A2446))"),"DRSZHTWLLFBDCCVQ")</f>
        <v>DRSZHTWLLFBDCCVQ</v>
      </c>
      <c r="B2447" s="2" t="str">
        <f>IFERROR(__xludf.DUMMYFUNCTION("IF('From Order'!$A2447=COLUMNS($A2447:B2466), LEFT(INDEX(FILTER(B$1:B2446, B$1:B2446&lt;&gt;""""),COUNTA(FILTER(B$1:B2446, B$1:B2446&lt;&gt;""""))), LEN(INDEX(FILTER(B$1:B2446, B$1:B2446&lt;&gt;""""),COUNTA(FILTER(B$1:B2446, B$1:B2446&lt;&gt;""""))))-1), IF('To Order'!$A2447=COL"&amp;"UMNS($A2447:B2466), B2446&amp;RIGHT(INDIRECT(ADDRESS(ROW(B2447)-1, 'From Order'!$A2447)), 1), B2446))"),"QGWBSSPLRRJTTCJFZDM")</f>
        <v>QGWBSSPLRRJTTCJFZDM</v>
      </c>
      <c r="C2447" s="2" t="str">
        <f>IFERROR(__xludf.DUMMYFUNCTION("IF('From Order'!$A2447=COLUMNS($A2447:C2466), LEFT(INDEX(FILTER(C$1:C2446, C$1:C2446&lt;&gt;""""),COUNTA(FILTER(C$1:C2446, C$1:C2446&lt;&gt;""""))), LEN(INDEX(FILTER(C$1:C2446, C$1:C2446&lt;&gt;""""),COUNTA(FILTER(C$1:C2446, C$1:C2446&lt;&gt;""""))))-1), IF('To Order'!$A2447=COL"&amp;"UMNS($A2447:C2466), C2446&amp;RIGHT(INDIRECT(ADDRESS(ROW(C2447)-1, 'From Order'!$A2447)), 1), C2446))"),"VBJDDVD")</f>
        <v>VBJDDVD</v>
      </c>
      <c r="D2447" s="2" t="str">
        <f>IFERROR(__xludf.DUMMYFUNCTION("IF('From Order'!$A2447=COLUMNS($A2447:D2466), LEFT(INDEX(FILTER(D$1:D2446, D$1:D2446&lt;&gt;""""),COUNTA(FILTER(D$1:D2446, D$1:D2446&lt;&gt;""""))), LEN(INDEX(FILTER(D$1:D2446, D$1:D2446&lt;&gt;""""),COUNTA(FILTER(D$1:D2446, D$1:D2446&lt;&gt;""""))))-1), IF('To Order'!$A2447=COL"&amp;"UMNS($A2447:D2466), D2446&amp;RIGHT(INDIRECT(ADDRESS(ROW(D2447)-1, 'From Order'!$A2447)), 1), D2446))"),"")</f>
        <v/>
      </c>
      <c r="E2447" s="2" t="str">
        <f>IFERROR(__xludf.DUMMYFUNCTION("IF('From Order'!$A2447=COLUMNS($A2447:E2466), LEFT(INDEX(FILTER(E$1:E2446, E$1:E2446&lt;&gt;""""),COUNTA(FILTER(E$1:E2446, E$1:E2446&lt;&gt;""""))), LEN(INDEX(FILTER(E$1:E2446, E$1:E2446&lt;&gt;""""),COUNTA(FILTER(E$1:E2446, E$1:E2446&lt;&gt;""""))))-1), IF('To Order'!$A2447=COL"&amp;"UMNS($A2447:E2466), E2446&amp;RIGHT(INDIRECT(ADDRESS(ROW(E2447)-1, 'From Order'!$A2447)), 1), E2446))"),"BRPHZMT")</f>
        <v>BRPHZMT</v>
      </c>
      <c r="F2447" s="2" t="str">
        <f>IFERROR(__xludf.DUMMYFUNCTION("IF('From Order'!$A2447=COLUMNS($A2447:F2466), LEFT(INDEX(FILTER(F$1:F2446, F$1:F2446&lt;&gt;""""),COUNTA(FILTER(F$1:F2446, F$1:F2446&lt;&gt;""""))), LEN(INDEX(FILTER(F$1:F2446, F$1:F2446&lt;&gt;""""),COUNTA(FILTER(F$1:F2446, F$1:F2446&lt;&gt;""""))))-1), IF('To Order'!$A2447=COL"&amp;"UMNS($A2447:F2466), F2446&amp;RIGHT(INDIRECT(ADDRESS(ROW(F2447)-1, 'From Order'!$A2447)), 1), F2446))"),"RSPMGTT")</f>
        <v>RSPMGTT</v>
      </c>
      <c r="G2447" s="2" t="str">
        <f>IFERROR(__xludf.DUMMYFUNCTION("IF('From Order'!$A2447=COLUMNS($A2447:G2466), LEFT(INDEX(FILTER(G$1:G2446, G$1:G2446&lt;&gt;""""),COUNTA(FILTER(G$1:G2446, G$1:G2446&lt;&gt;""""))), LEN(INDEX(FILTER(G$1:G2446, G$1:G2446&lt;&gt;""""),COUNTA(FILTER(G$1:G2446, G$1:G2446&lt;&gt;""""))))-1), IF('To Order'!$A2447=COL"&amp;"UMNS($A2447:G2466), G2446&amp;RIGHT(INDIRECT(ADDRESS(ROW(G2447)-1, 'From Order'!$A2447)), 1), G2446))"),"")</f>
        <v/>
      </c>
      <c r="H2447" s="2" t="str">
        <f>IFERROR(__xludf.DUMMYFUNCTION("IF('From Order'!$A2447=COLUMNS($A2447:H2466), LEFT(INDEX(FILTER(H$1:H2446, H$1:H2446&lt;&gt;""""),COUNTA(FILTER(H$1:H2446, H$1:H2446&lt;&gt;""""))), LEN(INDEX(FILTER(H$1:H2446, H$1:H2446&lt;&gt;""""),COUNTA(FILTER(H$1:H2446, H$1:H2446&lt;&gt;""""))))-1), IF('To Order'!$A2447=COL"&amp;"UMNS($A2447:H2466), H2446&amp;RIGHT(INDIRECT(ADDRESS(ROW(H2447)-1, 'From Order'!$A2447)), 1), H2446))"),"")</f>
        <v/>
      </c>
      <c r="I2447" s="2" t="str">
        <f>IFERROR(__xludf.DUMMYFUNCTION("IF('From Order'!$A2447=COLUMNS($A2447:I2466), LEFT(INDEX(FILTER(I$1:I2446, I$1:I2446&lt;&gt;""""),COUNTA(FILTER(I$1:I2446, I$1:I2446&lt;&gt;""""))), LEN(INDEX(FILTER(I$1:I2446, I$1:I2446&lt;&gt;""""),COUNTA(FILTER(I$1:I2446, I$1:I2446&lt;&gt;""""))))-1), IF('To Order'!$A2447=COL"&amp;"UMNS($A2447:I2466), I2446&amp;RIGHT(INDIRECT(ADDRESS(ROW(I2447)-1, 'From Order'!$A2447)), 1), I2446))"),"")</f>
        <v/>
      </c>
    </row>
    <row r="2448">
      <c r="A2448" s="2" t="str">
        <f>IFERROR(__xludf.DUMMYFUNCTION("IF('From Order'!$A2448=COLUMNS($A2448:A2467), LEFT(INDEX(FILTER(A$1:A2447, A$1:A2447&lt;&gt;""""),COUNTA(FILTER(A$1:A2447, A$1:A2447&lt;&gt;""""))), LEN(INDEX(FILTER(A$1:A2447, A$1:A2447&lt;&gt;""""),COUNTA(FILTER(A$1:A2447, A$1:A2447&lt;&gt;""""))))-1), IF('To Order'!$A2448=COL"&amp;"UMNS($A2448:A2467), A2447&amp;RIGHT(INDIRECT(ADDRESS(ROW(A2448)-1, 'From Order'!$A2448)), 1), A2447))"),"DRSZHTWLLFBDCCVQ")</f>
        <v>DRSZHTWLLFBDCCVQ</v>
      </c>
      <c r="B2448" s="2" t="str">
        <f>IFERROR(__xludf.DUMMYFUNCTION("IF('From Order'!$A2448=COLUMNS($A2448:B2467), LEFT(INDEX(FILTER(B$1:B2447, B$1:B2447&lt;&gt;""""),COUNTA(FILTER(B$1:B2447, B$1:B2447&lt;&gt;""""))), LEN(INDEX(FILTER(B$1:B2447, B$1:B2447&lt;&gt;""""),COUNTA(FILTER(B$1:B2447, B$1:B2447&lt;&gt;""""))))-1), IF('To Order'!$A2448=COL"&amp;"UMNS($A2448:B2467), B2447&amp;RIGHT(INDIRECT(ADDRESS(ROW(B2448)-1, 'From Order'!$A2448)), 1), B2447))"),"QGWBSSPLRRJTTCJFZD")</f>
        <v>QGWBSSPLRRJTTCJFZD</v>
      </c>
      <c r="C2448" s="2" t="str">
        <f>IFERROR(__xludf.DUMMYFUNCTION("IF('From Order'!$A2448=COLUMNS($A2448:C2467), LEFT(INDEX(FILTER(C$1:C2447, C$1:C2447&lt;&gt;""""),COUNTA(FILTER(C$1:C2447, C$1:C2447&lt;&gt;""""))), LEN(INDEX(FILTER(C$1:C2447, C$1:C2447&lt;&gt;""""),COUNTA(FILTER(C$1:C2447, C$1:C2447&lt;&gt;""""))))-1), IF('To Order'!$A2448=COL"&amp;"UMNS($A2448:C2467), C2447&amp;RIGHT(INDIRECT(ADDRESS(ROW(C2448)-1, 'From Order'!$A2448)), 1), C2447))"),"VBJDDVD")</f>
        <v>VBJDDVD</v>
      </c>
      <c r="D2448" s="2" t="str">
        <f>IFERROR(__xludf.DUMMYFUNCTION("IF('From Order'!$A2448=COLUMNS($A2448:D2467), LEFT(INDEX(FILTER(D$1:D2447, D$1:D2447&lt;&gt;""""),COUNTA(FILTER(D$1:D2447, D$1:D2447&lt;&gt;""""))), LEN(INDEX(FILTER(D$1:D2447, D$1:D2447&lt;&gt;""""),COUNTA(FILTER(D$1:D2447, D$1:D2447&lt;&gt;""""))))-1), IF('To Order'!$A2448=COL"&amp;"UMNS($A2448:D2467), D2447&amp;RIGHT(INDIRECT(ADDRESS(ROW(D2448)-1, 'From Order'!$A2448)), 1), D2447))"),"")</f>
        <v/>
      </c>
      <c r="E2448" s="2" t="str">
        <f>IFERROR(__xludf.DUMMYFUNCTION("IF('From Order'!$A2448=COLUMNS($A2448:E2467), LEFT(INDEX(FILTER(E$1:E2447, E$1:E2447&lt;&gt;""""),COUNTA(FILTER(E$1:E2447, E$1:E2447&lt;&gt;""""))), LEN(INDEX(FILTER(E$1:E2447, E$1:E2447&lt;&gt;""""),COUNTA(FILTER(E$1:E2447, E$1:E2447&lt;&gt;""""))))-1), IF('To Order'!$A2448=COL"&amp;"UMNS($A2448:E2467), E2447&amp;RIGHT(INDIRECT(ADDRESS(ROW(E2448)-1, 'From Order'!$A2448)), 1), E2447))"),"BRPHZMT")</f>
        <v>BRPHZMT</v>
      </c>
      <c r="F2448" s="2" t="str">
        <f>IFERROR(__xludf.DUMMYFUNCTION("IF('From Order'!$A2448=COLUMNS($A2448:F2467), LEFT(INDEX(FILTER(F$1:F2447, F$1:F2447&lt;&gt;""""),COUNTA(FILTER(F$1:F2447, F$1:F2447&lt;&gt;""""))), LEN(INDEX(FILTER(F$1:F2447, F$1:F2447&lt;&gt;""""),COUNTA(FILTER(F$1:F2447, F$1:F2447&lt;&gt;""""))))-1), IF('To Order'!$A2448=COL"&amp;"UMNS($A2448:F2467), F2447&amp;RIGHT(INDIRECT(ADDRESS(ROW(F2448)-1, 'From Order'!$A2448)), 1), F2447))"),"RSPMGTTM")</f>
        <v>RSPMGTTM</v>
      </c>
      <c r="G2448" s="2" t="str">
        <f>IFERROR(__xludf.DUMMYFUNCTION("IF('From Order'!$A2448=COLUMNS($A2448:G2467), LEFT(INDEX(FILTER(G$1:G2447, G$1:G2447&lt;&gt;""""),COUNTA(FILTER(G$1:G2447, G$1:G2447&lt;&gt;""""))), LEN(INDEX(FILTER(G$1:G2447, G$1:G2447&lt;&gt;""""),COUNTA(FILTER(G$1:G2447, G$1:G2447&lt;&gt;""""))))-1), IF('To Order'!$A2448=COL"&amp;"UMNS($A2448:G2467), G2447&amp;RIGHT(INDIRECT(ADDRESS(ROW(G2448)-1, 'From Order'!$A2448)), 1), G2447))"),"")</f>
        <v/>
      </c>
      <c r="H2448" s="2" t="str">
        <f>IFERROR(__xludf.DUMMYFUNCTION("IF('From Order'!$A2448=COLUMNS($A2448:H2467), LEFT(INDEX(FILTER(H$1:H2447, H$1:H2447&lt;&gt;""""),COUNTA(FILTER(H$1:H2447, H$1:H2447&lt;&gt;""""))), LEN(INDEX(FILTER(H$1:H2447, H$1:H2447&lt;&gt;""""),COUNTA(FILTER(H$1:H2447, H$1:H2447&lt;&gt;""""))))-1), IF('To Order'!$A2448=COL"&amp;"UMNS($A2448:H2467), H2447&amp;RIGHT(INDIRECT(ADDRESS(ROW(H2448)-1, 'From Order'!$A2448)), 1), H2447))"),"")</f>
        <v/>
      </c>
      <c r="I2448" s="2" t="str">
        <f>IFERROR(__xludf.DUMMYFUNCTION("IF('From Order'!$A2448=COLUMNS($A2448:I2467), LEFT(INDEX(FILTER(I$1:I2447, I$1:I2447&lt;&gt;""""),COUNTA(FILTER(I$1:I2447, I$1:I2447&lt;&gt;""""))), LEN(INDEX(FILTER(I$1:I2447, I$1:I2447&lt;&gt;""""),COUNTA(FILTER(I$1:I2447, I$1:I2447&lt;&gt;""""))))-1), IF('To Order'!$A2448=COL"&amp;"UMNS($A2448:I2467), I2447&amp;RIGHT(INDIRECT(ADDRESS(ROW(I2448)-1, 'From Order'!$A2448)), 1), I2447))"),"")</f>
        <v/>
      </c>
    </row>
    <row r="2449">
      <c r="A2449" s="2" t="str">
        <f>IFERROR(__xludf.DUMMYFUNCTION("IF('From Order'!$A2449=COLUMNS($A2449:A2468), LEFT(INDEX(FILTER(A$1:A2448, A$1:A2448&lt;&gt;""""),COUNTA(FILTER(A$1:A2448, A$1:A2448&lt;&gt;""""))), LEN(INDEX(FILTER(A$1:A2448, A$1:A2448&lt;&gt;""""),COUNTA(FILTER(A$1:A2448, A$1:A2448&lt;&gt;""""))))-1), IF('To Order'!$A2449=COL"&amp;"UMNS($A2449:A2468), A2448&amp;RIGHT(INDIRECT(ADDRESS(ROW(A2449)-1, 'From Order'!$A2449)), 1), A2448))"),"DRSZHTWLLFBDCCVQ")</f>
        <v>DRSZHTWLLFBDCCVQ</v>
      </c>
      <c r="B2449" s="2" t="str">
        <f>IFERROR(__xludf.DUMMYFUNCTION("IF('From Order'!$A2449=COLUMNS($A2449:B2468), LEFT(INDEX(FILTER(B$1:B2448, B$1:B2448&lt;&gt;""""),COUNTA(FILTER(B$1:B2448, B$1:B2448&lt;&gt;""""))), LEN(INDEX(FILTER(B$1:B2448, B$1:B2448&lt;&gt;""""),COUNTA(FILTER(B$1:B2448, B$1:B2448&lt;&gt;""""))))-1), IF('To Order'!$A2449=COL"&amp;"UMNS($A2449:B2468), B2448&amp;RIGHT(INDIRECT(ADDRESS(ROW(B2449)-1, 'From Order'!$A2449)), 1), B2448))"),"QGWBSSPLRRJTTCJFZ")</f>
        <v>QGWBSSPLRRJTTCJFZ</v>
      </c>
      <c r="C2449" s="2" t="str">
        <f>IFERROR(__xludf.DUMMYFUNCTION("IF('From Order'!$A2449=COLUMNS($A2449:C2468), LEFT(INDEX(FILTER(C$1:C2448, C$1:C2448&lt;&gt;""""),COUNTA(FILTER(C$1:C2448, C$1:C2448&lt;&gt;""""))), LEN(INDEX(FILTER(C$1:C2448, C$1:C2448&lt;&gt;""""),COUNTA(FILTER(C$1:C2448, C$1:C2448&lt;&gt;""""))))-1), IF('To Order'!$A2449=COL"&amp;"UMNS($A2449:C2468), C2448&amp;RIGHT(INDIRECT(ADDRESS(ROW(C2449)-1, 'From Order'!$A2449)), 1), C2448))"),"VBJDDVD")</f>
        <v>VBJDDVD</v>
      </c>
      <c r="D2449" s="2" t="str">
        <f>IFERROR(__xludf.DUMMYFUNCTION("IF('From Order'!$A2449=COLUMNS($A2449:D2468), LEFT(INDEX(FILTER(D$1:D2448, D$1:D2448&lt;&gt;""""),COUNTA(FILTER(D$1:D2448, D$1:D2448&lt;&gt;""""))), LEN(INDEX(FILTER(D$1:D2448, D$1:D2448&lt;&gt;""""),COUNTA(FILTER(D$1:D2448, D$1:D2448&lt;&gt;""""))))-1), IF('To Order'!$A2449=COL"&amp;"UMNS($A2449:D2468), D2448&amp;RIGHT(INDIRECT(ADDRESS(ROW(D2449)-1, 'From Order'!$A2449)), 1), D2448))"),"")</f>
        <v/>
      </c>
      <c r="E2449" s="2" t="str">
        <f>IFERROR(__xludf.DUMMYFUNCTION("IF('From Order'!$A2449=COLUMNS($A2449:E2468), LEFT(INDEX(FILTER(E$1:E2448, E$1:E2448&lt;&gt;""""),COUNTA(FILTER(E$1:E2448, E$1:E2448&lt;&gt;""""))), LEN(INDEX(FILTER(E$1:E2448, E$1:E2448&lt;&gt;""""),COUNTA(FILTER(E$1:E2448, E$1:E2448&lt;&gt;""""))))-1), IF('To Order'!$A2449=COL"&amp;"UMNS($A2449:E2468), E2448&amp;RIGHT(INDIRECT(ADDRESS(ROW(E2449)-1, 'From Order'!$A2449)), 1), E2448))"),"BRPHZMT")</f>
        <v>BRPHZMT</v>
      </c>
      <c r="F2449" s="2" t="str">
        <f>IFERROR(__xludf.DUMMYFUNCTION("IF('From Order'!$A2449=COLUMNS($A2449:F2468), LEFT(INDEX(FILTER(F$1:F2448, F$1:F2448&lt;&gt;""""),COUNTA(FILTER(F$1:F2448, F$1:F2448&lt;&gt;""""))), LEN(INDEX(FILTER(F$1:F2448, F$1:F2448&lt;&gt;""""),COUNTA(FILTER(F$1:F2448, F$1:F2448&lt;&gt;""""))))-1), IF('To Order'!$A2449=COL"&amp;"UMNS($A2449:F2468), F2448&amp;RIGHT(INDIRECT(ADDRESS(ROW(F2449)-1, 'From Order'!$A2449)), 1), F2448))"),"RSPMGTTMD")</f>
        <v>RSPMGTTMD</v>
      </c>
      <c r="G2449" s="2" t="str">
        <f>IFERROR(__xludf.DUMMYFUNCTION("IF('From Order'!$A2449=COLUMNS($A2449:G2468), LEFT(INDEX(FILTER(G$1:G2448, G$1:G2448&lt;&gt;""""),COUNTA(FILTER(G$1:G2448, G$1:G2448&lt;&gt;""""))), LEN(INDEX(FILTER(G$1:G2448, G$1:G2448&lt;&gt;""""),COUNTA(FILTER(G$1:G2448, G$1:G2448&lt;&gt;""""))))-1), IF('To Order'!$A2449=COL"&amp;"UMNS($A2449:G2468), G2448&amp;RIGHT(INDIRECT(ADDRESS(ROW(G2449)-1, 'From Order'!$A2449)), 1), G2448))"),"")</f>
        <v/>
      </c>
      <c r="H2449" s="2" t="str">
        <f>IFERROR(__xludf.DUMMYFUNCTION("IF('From Order'!$A2449=COLUMNS($A2449:H2468), LEFT(INDEX(FILTER(H$1:H2448, H$1:H2448&lt;&gt;""""),COUNTA(FILTER(H$1:H2448, H$1:H2448&lt;&gt;""""))), LEN(INDEX(FILTER(H$1:H2448, H$1:H2448&lt;&gt;""""),COUNTA(FILTER(H$1:H2448, H$1:H2448&lt;&gt;""""))))-1), IF('To Order'!$A2449=COL"&amp;"UMNS($A2449:H2468), H2448&amp;RIGHT(INDIRECT(ADDRESS(ROW(H2449)-1, 'From Order'!$A2449)), 1), H2448))"),"")</f>
        <v/>
      </c>
      <c r="I2449" s="2" t="str">
        <f>IFERROR(__xludf.DUMMYFUNCTION("IF('From Order'!$A2449=COLUMNS($A2449:I2468), LEFT(INDEX(FILTER(I$1:I2448, I$1:I2448&lt;&gt;""""),COUNTA(FILTER(I$1:I2448, I$1:I2448&lt;&gt;""""))), LEN(INDEX(FILTER(I$1:I2448, I$1:I2448&lt;&gt;""""),COUNTA(FILTER(I$1:I2448, I$1:I2448&lt;&gt;""""))))-1), IF('To Order'!$A2449=COL"&amp;"UMNS($A2449:I2468), I2448&amp;RIGHT(INDIRECT(ADDRESS(ROW(I2449)-1, 'From Order'!$A2449)), 1), I2448))"),"")</f>
        <v/>
      </c>
    </row>
    <row r="2450">
      <c r="A2450" s="2" t="str">
        <f>IFERROR(__xludf.DUMMYFUNCTION("IF('From Order'!$A2450=COLUMNS($A2450:A2469), LEFT(INDEX(FILTER(A$1:A2449, A$1:A2449&lt;&gt;""""),COUNTA(FILTER(A$1:A2449, A$1:A2449&lt;&gt;""""))), LEN(INDEX(FILTER(A$1:A2449, A$1:A2449&lt;&gt;""""),COUNTA(FILTER(A$1:A2449, A$1:A2449&lt;&gt;""""))))-1), IF('To Order'!$A2450=COL"&amp;"UMNS($A2450:A2469), A2449&amp;RIGHT(INDIRECT(ADDRESS(ROW(A2450)-1, 'From Order'!$A2450)), 1), A2449))"),"DRSZHTWLLFBDCCVQ")</f>
        <v>DRSZHTWLLFBDCCVQ</v>
      </c>
      <c r="B2450" s="2" t="str">
        <f>IFERROR(__xludf.DUMMYFUNCTION("IF('From Order'!$A2450=COLUMNS($A2450:B2469), LEFT(INDEX(FILTER(B$1:B2449, B$1:B2449&lt;&gt;""""),COUNTA(FILTER(B$1:B2449, B$1:B2449&lt;&gt;""""))), LEN(INDEX(FILTER(B$1:B2449, B$1:B2449&lt;&gt;""""),COUNTA(FILTER(B$1:B2449, B$1:B2449&lt;&gt;""""))))-1), IF('To Order'!$A2450=COL"&amp;"UMNS($A2450:B2469), B2449&amp;RIGHT(INDIRECT(ADDRESS(ROW(B2450)-1, 'From Order'!$A2450)), 1), B2449))"),"QGWBSSPLRRJTTCJF")</f>
        <v>QGWBSSPLRRJTTCJF</v>
      </c>
      <c r="C2450" s="2" t="str">
        <f>IFERROR(__xludf.DUMMYFUNCTION("IF('From Order'!$A2450=COLUMNS($A2450:C2469), LEFT(INDEX(FILTER(C$1:C2449, C$1:C2449&lt;&gt;""""),COUNTA(FILTER(C$1:C2449, C$1:C2449&lt;&gt;""""))), LEN(INDEX(FILTER(C$1:C2449, C$1:C2449&lt;&gt;""""),COUNTA(FILTER(C$1:C2449, C$1:C2449&lt;&gt;""""))))-1), IF('To Order'!$A2450=COL"&amp;"UMNS($A2450:C2469), C2449&amp;RIGHT(INDIRECT(ADDRESS(ROW(C2450)-1, 'From Order'!$A2450)), 1), C2449))"),"VBJDDVD")</f>
        <v>VBJDDVD</v>
      </c>
      <c r="D2450" s="2" t="str">
        <f>IFERROR(__xludf.DUMMYFUNCTION("IF('From Order'!$A2450=COLUMNS($A2450:D2469), LEFT(INDEX(FILTER(D$1:D2449, D$1:D2449&lt;&gt;""""),COUNTA(FILTER(D$1:D2449, D$1:D2449&lt;&gt;""""))), LEN(INDEX(FILTER(D$1:D2449, D$1:D2449&lt;&gt;""""),COUNTA(FILTER(D$1:D2449, D$1:D2449&lt;&gt;""""))))-1), IF('To Order'!$A2450=COL"&amp;"UMNS($A2450:D2469), D2449&amp;RIGHT(INDIRECT(ADDRESS(ROW(D2450)-1, 'From Order'!$A2450)), 1), D2449))"),"")</f>
        <v/>
      </c>
      <c r="E2450" s="2" t="str">
        <f>IFERROR(__xludf.DUMMYFUNCTION("IF('From Order'!$A2450=COLUMNS($A2450:E2469), LEFT(INDEX(FILTER(E$1:E2449, E$1:E2449&lt;&gt;""""),COUNTA(FILTER(E$1:E2449, E$1:E2449&lt;&gt;""""))), LEN(INDEX(FILTER(E$1:E2449, E$1:E2449&lt;&gt;""""),COUNTA(FILTER(E$1:E2449, E$1:E2449&lt;&gt;""""))))-1), IF('To Order'!$A2450=COL"&amp;"UMNS($A2450:E2469), E2449&amp;RIGHT(INDIRECT(ADDRESS(ROW(E2450)-1, 'From Order'!$A2450)), 1), E2449))"),"BRPHZMT")</f>
        <v>BRPHZMT</v>
      </c>
      <c r="F2450" s="2" t="str">
        <f>IFERROR(__xludf.DUMMYFUNCTION("IF('From Order'!$A2450=COLUMNS($A2450:F2469), LEFT(INDEX(FILTER(F$1:F2449, F$1:F2449&lt;&gt;""""),COUNTA(FILTER(F$1:F2449, F$1:F2449&lt;&gt;""""))), LEN(INDEX(FILTER(F$1:F2449, F$1:F2449&lt;&gt;""""),COUNTA(FILTER(F$1:F2449, F$1:F2449&lt;&gt;""""))))-1), IF('To Order'!$A2450=COL"&amp;"UMNS($A2450:F2469), F2449&amp;RIGHT(INDIRECT(ADDRESS(ROW(F2450)-1, 'From Order'!$A2450)), 1), F2449))"),"RSPMGTTMDZ")</f>
        <v>RSPMGTTMDZ</v>
      </c>
      <c r="G2450" s="2" t="str">
        <f>IFERROR(__xludf.DUMMYFUNCTION("IF('From Order'!$A2450=COLUMNS($A2450:G2469), LEFT(INDEX(FILTER(G$1:G2449, G$1:G2449&lt;&gt;""""),COUNTA(FILTER(G$1:G2449, G$1:G2449&lt;&gt;""""))), LEN(INDEX(FILTER(G$1:G2449, G$1:G2449&lt;&gt;""""),COUNTA(FILTER(G$1:G2449, G$1:G2449&lt;&gt;""""))))-1), IF('To Order'!$A2450=COL"&amp;"UMNS($A2450:G2469), G2449&amp;RIGHT(INDIRECT(ADDRESS(ROW(G2450)-1, 'From Order'!$A2450)), 1), G2449))"),"")</f>
        <v/>
      </c>
      <c r="H2450" s="2" t="str">
        <f>IFERROR(__xludf.DUMMYFUNCTION("IF('From Order'!$A2450=COLUMNS($A2450:H2469), LEFT(INDEX(FILTER(H$1:H2449, H$1:H2449&lt;&gt;""""),COUNTA(FILTER(H$1:H2449, H$1:H2449&lt;&gt;""""))), LEN(INDEX(FILTER(H$1:H2449, H$1:H2449&lt;&gt;""""),COUNTA(FILTER(H$1:H2449, H$1:H2449&lt;&gt;""""))))-1), IF('To Order'!$A2450=COL"&amp;"UMNS($A2450:H2469), H2449&amp;RIGHT(INDIRECT(ADDRESS(ROW(H2450)-1, 'From Order'!$A2450)), 1), H2449))"),"")</f>
        <v/>
      </c>
      <c r="I2450" s="2" t="str">
        <f>IFERROR(__xludf.DUMMYFUNCTION("IF('From Order'!$A2450=COLUMNS($A2450:I2469), LEFT(INDEX(FILTER(I$1:I2449, I$1:I2449&lt;&gt;""""),COUNTA(FILTER(I$1:I2449, I$1:I2449&lt;&gt;""""))), LEN(INDEX(FILTER(I$1:I2449, I$1:I2449&lt;&gt;""""),COUNTA(FILTER(I$1:I2449, I$1:I2449&lt;&gt;""""))))-1), IF('To Order'!$A2450=COL"&amp;"UMNS($A2450:I2469), I2449&amp;RIGHT(INDIRECT(ADDRESS(ROW(I2450)-1, 'From Order'!$A2450)), 1), I2449))"),"")</f>
        <v/>
      </c>
    </row>
    <row r="2451">
      <c r="A2451" s="2" t="str">
        <f>IFERROR(__xludf.DUMMYFUNCTION("IF('From Order'!$A2451=COLUMNS($A2451:A2470), LEFT(INDEX(FILTER(A$1:A2450, A$1:A2450&lt;&gt;""""),COUNTA(FILTER(A$1:A2450, A$1:A2450&lt;&gt;""""))), LEN(INDEX(FILTER(A$1:A2450, A$1:A2450&lt;&gt;""""),COUNTA(FILTER(A$1:A2450, A$1:A2450&lt;&gt;""""))))-1), IF('To Order'!$A2451=COL"&amp;"UMNS($A2451:A2470), A2450&amp;RIGHT(INDIRECT(ADDRESS(ROW(A2451)-1, 'From Order'!$A2451)), 1), A2450))"),"DRSZHTWLLFBDCCVQ")</f>
        <v>DRSZHTWLLFBDCCVQ</v>
      </c>
      <c r="B2451" s="2" t="str">
        <f>IFERROR(__xludf.DUMMYFUNCTION("IF('From Order'!$A2451=COLUMNS($A2451:B2470), LEFT(INDEX(FILTER(B$1:B2450, B$1:B2450&lt;&gt;""""),COUNTA(FILTER(B$1:B2450, B$1:B2450&lt;&gt;""""))), LEN(INDEX(FILTER(B$1:B2450, B$1:B2450&lt;&gt;""""),COUNTA(FILTER(B$1:B2450, B$1:B2450&lt;&gt;""""))))-1), IF('To Order'!$A2451=COL"&amp;"UMNS($A2451:B2470), B2450&amp;RIGHT(INDIRECT(ADDRESS(ROW(B2451)-1, 'From Order'!$A2451)), 1), B2450))"),"QGWBSSPLRRJTTCJ")</f>
        <v>QGWBSSPLRRJTTCJ</v>
      </c>
      <c r="C2451" s="2" t="str">
        <f>IFERROR(__xludf.DUMMYFUNCTION("IF('From Order'!$A2451=COLUMNS($A2451:C2470), LEFT(INDEX(FILTER(C$1:C2450, C$1:C2450&lt;&gt;""""),COUNTA(FILTER(C$1:C2450, C$1:C2450&lt;&gt;""""))), LEN(INDEX(FILTER(C$1:C2450, C$1:C2450&lt;&gt;""""),COUNTA(FILTER(C$1:C2450, C$1:C2450&lt;&gt;""""))))-1), IF('To Order'!$A2451=COL"&amp;"UMNS($A2451:C2470), C2450&amp;RIGHT(INDIRECT(ADDRESS(ROW(C2451)-1, 'From Order'!$A2451)), 1), C2450))"),"VBJDDVD")</f>
        <v>VBJDDVD</v>
      </c>
      <c r="D2451" s="2" t="str">
        <f>IFERROR(__xludf.DUMMYFUNCTION("IF('From Order'!$A2451=COLUMNS($A2451:D2470), LEFT(INDEX(FILTER(D$1:D2450, D$1:D2450&lt;&gt;""""),COUNTA(FILTER(D$1:D2450, D$1:D2450&lt;&gt;""""))), LEN(INDEX(FILTER(D$1:D2450, D$1:D2450&lt;&gt;""""),COUNTA(FILTER(D$1:D2450, D$1:D2450&lt;&gt;""""))))-1), IF('To Order'!$A2451=COL"&amp;"UMNS($A2451:D2470), D2450&amp;RIGHT(INDIRECT(ADDRESS(ROW(D2451)-1, 'From Order'!$A2451)), 1), D2450))"),"")</f>
        <v/>
      </c>
      <c r="E2451" s="2" t="str">
        <f>IFERROR(__xludf.DUMMYFUNCTION("IF('From Order'!$A2451=COLUMNS($A2451:E2470), LEFT(INDEX(FILTER(E$1:E2450, E$1:E2450&lt;&gt;""""),COUNTA(FILTER(E$1:E2450, E$1:E2450&lt;&gt;""""))), LEN(INDEX(FILTER(E$1:E2450, E$1:E2450&lt;&gt;""""),COUNTA(FILTER(E$1:E2450, E$1:E2450&lt;&gt;""""))))-1), IF('To Order'!$A2451=COL"&amp;"UMNS($A2451:E2470), E2450&amp;RIGHT(INDIRECT(ADDRESS(ROW(E2451)-1, 'From Order'!$A2451)), 1), E2450))"),"BRPHZMT")</f>
        <v>BRPHZMT</v>
      </c>
      <c r="F2451" s="2" t="str">
        <f>IFERROR(__xludf.DUMMYFUNCTION("IF('From Order'!$A2451=COLUMNS($A2451:F2470), LEFT(INDEX(FILTER(F$1:F2450, F$1:F2450&lt;&gt;""""),COUNTA(FILTER(F$1:F2450, F$1:F2450&lt;&gt;""""))), LEN(INDEX(FILTER(F$1:F2450, F$1:F2450&lt;&gt;""""),COUNTA(FILTER(F$1:F2450, F$1:F2450&lt;&gt;""""))))-1), IF('To Order'!$A2451=COL"&amp;"UMNS($A2451:F2470), F2450&amp;RIGHT(INDIRECT(ADDRESS(ROW(F2451)-1, 'From Order'!$A2451)), 1), F2450))"),"RSPMGTTMDZF")</f>
        <v>RSPMGTTMDZF</v>
      </c>
      <c r="G2451" s="2" t="str">
        <f>IFERROR(__xludf.DUMMYFUNCTION("IF('From Order'!$A2451=COLUMNS($A2451:G2470), LEFT(INDEX(FILTER(G$1:G2450, G$1:G2450&lt;&gt;""""),COUNTA(FILTER(G$1:G2450, G$1:G2450&lt;&gt;""""))), LEN(INDEX(FILTER(G$1:G2450, G$1:G2450&lt;&gt;""""),COUNTA(FILTER(G$1:G2450, G$1:G2450&lt;&gt;""""))))-1), IF('To Order'!$A2451=COL"&amp;"UMNS($A2451:G2470), G2450&amp;RIGHT(INDIRECT(ADDRESS(ROW(G2451)-1, 'From Order'!$A2451)), 1), G2450))"),"")</f>
        <v/>
      </c>
      <c r="H2451" s="2" t="str">
        <f>IFERROR(__xludf.DUMMYFUNCTION("IF('From Order'!$A2451=COLUMNS($A2451:H2470), LEFT(INDEX(FILTER(H$1:H2450, H$1:H2450&lt;&gt;""""),COUNTA(FILTER(H$1:H2450, H$1:H2450&lt;&gt;""""))), LEN(INDEX(FILTER(H$1:H2450, H$1:H2450&lt;&gt;""""),COUNTA(FILTER(H$1:H2450, H$1:H2450&lt;&gt;""""))))-1), IF('To Order'!$A2451=COL"&amp;"UMNS($A2451:H2470), H2450&amp;RIGHT(INDIRECT(ADDRESS(ROW(H2451)-1, 'From Order'!$A2451)), 1), H2450))"),"")</f>
        <v/>
      </c>
      <c r="I2451" s="2" t="str">
        <f>IFERROR(__xludf.DUMMYFUNCTION("IF('From Order'!$A2451=COLUMNS($A2451:I2470), LEFT(INDEX(FILTER(I$1:I2450, I$1:I2450&lt;&gt;""""),COUNTA(FILTER(I$1:I2450, I$1:I2450&lt;&gt;""""))), LEN(INDEX(FILTER(I$1:I2450, I$1:I2450&lt;&gt;""""),COUNTA(FILTER(I$1:I2450, I$1:I2450&lt;&gt;""""))))-1), IF('To Order'!$A2451=COL"&amp;"UMNS($A2451:I2470), I2450&amp;RIGHT(INDIRECT(ADDRESS(ROW(I2451)-1, 'From Order'!$A2451)), 1), I2450))"),"")</f>
        <v/>
      </c>
    </row>
    <row r="2452">
      <c r="A2452" s="2" t="str">
        <f>IFERROR(__xludf.DUMMYFUNCTION("IF('From Order'!$A2452=COLUMNS($A2452:A2471), LEFT(INDEX(FILTER(A$1:A2451, A$1:A2451&lt;&gt;""""),COUNTA(FILTER(A$1:A2451, A$1:A2451&lt;&gt;""""))), LEN(INDEX(FILTER(A$1:A2451, A$1:A2451&lt;&gt;""""),COUNTA(FILTER(A$1:A2451, A$1:A2451&lt;&gt;""""))))-1), IF('To Order'!$A2452=COL"&amp;"UMNS($A2452:A2471), A2451&amp;RIGHT(INDIRECT(ADDRESS(ROW(A2452)-1, 'From Order'!$A2452)), 1), A2451))"),"DRSZHTWLLFBDCCVQ")</f>
        <v>DRSZHTWLLFBDCCVQ</v>
      </c>
      <c r="B2452" s="2" t="str">
        <f>IFERROR(__xludf.DUMMYFUNCTION("IF('From Order'!$A2452=COLUMNS($A2452:B2471), LEFT(INDEX(FILTER(B$1:B2451, B$1:B2451&lt;&gt;""""),COUNTA(FILTER(B$1:B2451, B$1:B2451&lt;&gt;""""))), LEN(INDEX(FILTER(B$1:B2451, B$1:B2451&lt;&gt;""""),COUNTA(FILTER(B$1:B2451, B$1:B2451&lt;&gt;""""))))-1), IF('To Order'!$A2452=COL"&amp;"UMNS($A2452:B2471), B2451&amp;RIGHT(INDIRECT(ADDRESS(ROW(B2452)-1, 'From Order'!$A2452)), 1), B2451))"),"QGWBSSPLRRJTTC")</f>
        <v>QGWBSSPLRRJTTC</v>
      </c>
      <c r="C2452" s="2" t="str">
        <f>IFERROR(__xludf.DUMMYFUNCTION("IF('From Order'!$A2452=COLUMNS($A2452:C2471), LEFT(INDEX(FILTER(C$1:C2451, C$1:C2451&lt;&gt;""""),COUNTA(FILTER(C$1:C2451, C$1:C2451&lt;&gt;""""))), LEN(INDEX(FILTER(C$1:C2451, C$1:C2451&lt;&gt;""""),COUNTA(FILTER(C$1:C2451, C$1:C2451&lt;&gt;""""))))-1), IF('To Order'!$A2452=COL"&amp;"UMNS($A2452:C2471), C2451&amp;RIGHT(INDIRECT(ADDRESS(ROW(C2452)-1, 'From Order'!$A2452)), 1), C2451))"),"VBJDDVD")</f>
        <v>VBJDDVD</v>
      </c>
      <c r="D2452" s="2" t="str">
        <f>IFERROR(__xludf.DUMMYFUNCTION("IF('From Order'!$A2452=COLUMNS($A2452:D2471), LEFT(INDEX(FILTER(D$1:D2451, D$1:D2451&lt;&gt;""""),COUNTA(FILTER(D$1:D2451, D$1:D2451&lt;&gt;""""))), LEN(INDEX(FILTER(D$1:D2451, D$1:D2451&lt;&gt;""""),COUNTA(FILTER(D$1:D2451, D$1:D2451&lt;&gt;""""))))-1), IF('To Order'!$A2452=COL"&amp;"UMNS($A2452:D2471), D2451&amp;RIGHT(INDIRECT(ADDRESS(ROW(D2452)-1, 'From Order'!$A2452)), 1), D2451))"),"")</f>
        <v/>
      </c>
      <c r="E2452" s="2" t="str">
        <f>IFERROR(__xludf.DUMMYFUNCTION("IF('From Order'!$A2452=COLUMNS($A2452:E2471), LEFT(INDEX(FILTER(E$1:E2451, E$1:E2451&lt;&gt;""""),COUNTA(FILTER(E$1:E2451, E$1:E2451&lt;&gt;""""))), LEN(INDEX(FILTER(E$1:E2451, E$1:E2451&lt;&gt;""""),COUNTA(FILTER(E$1:E2451, E$1:E2451&lt;&gt;""""))))-1), IF('To Order'!$A2452=COL"&amp;"UMNS($A2452:E2471), E2451&amp;RIGHT(INDIRECT(ADDRESS(ROW(E2452)-1, 'From Order'!$A2452)), 1), E2451))"),"BRPHZMT")</f>
        <v>BRPHZMT</v>
      </c>
      <c r="F2452" s="2" t="str">
        <f>IFERROR(__xludf.DUMMYFUNCTION("IF('From Order'!$A2452=COLUMNS($A2452:F2471), LEFT(INDEX(FILTER(F$1:F2451, F$1:F2451&lt;&gt;""""),COUNTA(FILTER(F$1:F2451, F$1:F2451&lt;&gt;""""))), LEN(INDEX(FILTER(F$1:F2451, F$1:F2451&lt;&gt;""""),COUNTA(FILTER(F$1:F2451, F$1:F2451&lt;&gt;""""))))-1), IF('To Order'!$A2452=COL"&amp;"UMNS($A2452:F2471), F2451&amp;RIGHT(INDIRECT(ADDRESS(ROW(F2452)-1, 'From Order'!$A2452)), 1), F2451))"),"RSPMGTTMDZFJ")</f>
        <v>RSPMGTTMDZFJ</v>
      </c>
      <c r="G2452" s="2" t="str">
        <f>IFERROR(__xludf.DUMMYFUNCTION("IF('From Order'!$A2452=COLUMNS($A2452:G2471), LEFT(INDEX(FILTER(G$1:G2451, G$1:G2451&lt;&gt;""""),COUNTA(FILTER(G$1:G2451, G$1:G2451&lt;&gt;""""))), LEN(INDEX(FILTER(G$1:G2451, G$1:G2451&lt;&gt;""""),COUNTA(FILTER(G$1:G2451, G$1:G2451&lt;&gt;""""))))-1), IF('To Order'!$A2452=COL"&amp;"UMNS($A2452:G2471), G2451&amp;RIGHT(INDIRECT(ADDRESS(ROW(G2452)-1, 'From Order'!$A2452)), 1), G2451))"),"")</f>
        <v/>
      </c>
      <c r="H2452" s="2" t="str">
        <f>IFERROR(__xludf.DUMMYFUNCTION("IF('From Order'!$A2452=COLUMNS($A2452:H2471), LEFT(INDEX(FILTER(H$1:H2451, H$1:H2451&lt;&gt;""""),COUNTA(FILTER(H$1:H2451, H$1:H2451&lt;&gt;""""))), LEN(INDEX(FILTER(H$1:H2451, H$1:H2451&lt;&gt;""""),COUNTA(FILTER(H$1:H2451, H$1:H2451&lt;&gt;""""))))-1), IF('To Order'!$A2452=COL"&amp;"UMNS($A2452:H2471), H2451&amp;RIGHT(INDIRECT(ADDRESS(ROW(H2452)-1, 'From Order'!$A2452)), 1), H2451))"),"")</f>
        <v/>
      </c>
      <c r="I2452" s="2" t="str">
        <f>IFERROR(__xludf.DUMMYFUNCTION("IF('From Order'!$A2452=COLUMNS($A2452:I2471), LEFT(INDEX(FILTER(I$1:I2451, I$1:I2451&lt;&gt;""""),COUNTA(FILTER(I$1:I2451, I$1:I2451&lt;&gt;""""))), LEN(INDEX(FILTER(I$1:I2451, I$1:I2451&lt;&gt;""""),COUNTA(FILTER(I$1:I2451, I$1:I2451&lt;&gt;""""))))-1), IF('To Order'!$A2452=COL"&amp;"UMNS($A2452:I2471), I2451&amp;RIGHT(INDIRECT(ADDRESS(ROW(I2452)-1, 'From Order'!$A2452)), 1), I2451))"),"")</f>
        <v/>
      </c>
    </row>
    <row r="2453">
      <c r="A2453" s="2" t="str">
        <f>IFERROR(__xludf.DUMMYFUNCTION("IF('From Order'!$A2453=COLUMNS($A2453:A2472), LEFT(INDEX(FILTER(A$1:A2452, A$1:A2452&lt;&gt;""""),COUNTA(FILTER(A$1:A2452, A$1:A2452&lt;&gt;""""))), LEN(INDEX(FILTER(A$1:A2452, A$1:A2452&lt;&gt;""""),COUNTA(FILTER(A$1:A2452, A$1:A2452&lt;&gt;""""))))-1), IF('To Order'!$A2453=COL"&amp;"UMNS($A2453:A2472), A2452&amp;RIGHT(INDIRECT(ADDRESS(ROW(A2453)-1, 'From Order'!$A2453)), 1), A2452))"),"DRSZHTWLLFBDCCVQ")</f>
        <v>DRSZHTWLLFBDCCVQ</v>
      </c>
      <c r="B2453" s="2" t="str">
        <f>IFERROR(__xludf.DUMMYFUNCTION("IF('From Order'!$A2453=COLUMNS($A2453:B2472), LEFT(INDEX(FILTER(B$1:B2452, B$1:B2452&lt;&gt;""""),COUNTA(FILTER(B$1:B2452, B$1:B2452&lt;&gt;""""))), LEN(INDEX(FILTER(B$1:B2452, B$1:B2452&lt;&gt;""""),COUNTA(FILTER(B$1:B2452, B$1:B2452&lt;&gt;""""))))-1), IF('To Order'!$A2453=COL"&amp;"UMNS($A2453:B2472), B2452&amp;RIGHT(INDIRECT(ADDRESS(ROW(B2453)-1, 'From Order'!$A2453)), 1), B2452))"),"QGWBSSPLRRJTT")</f>
        <v>QGWBSSPLRRJTT</v>
      </c>
      <c r="C2453" s="2" t="str">
        <f>IFERROR(__xludf.DUMMYFUNCTION("IF('From Order'!$A2453=COLUMNS($A2453:C2472), LEFT(INDEX(FILTER(C$1:C2452, C$1:C2452&lt;&gt;""""),COUNTA(FILTER(C$1:C2452, C$1:C2452&lt;&gt;""""))), LEN(INDEX(FILTER(C$1:C2452, C$1:C2452&lt;&gt;""""),COUNTA(FILTER(C$1:C2452, C$1:C2452&lt;&gt;""""))))-1), IF('To Order'!$A2453=COL"&amp;"UMNS($A2453:C2472), C2452&amp;RIGHT(INDIRECT(ADDRESS(ROW(C2453)-1, 'From Order'!$A2453)), 1), C2452))"),"VBJDDVD")</f>
        <v>VBJDDVD</v>
      </c>
      <c r="D2453" s="2" t="str">
        <f>IFERROR(__xludf.DUMMYFUNCTION("IF('From Order'!$A2453=COLUMNS($A2453:D2472), LEFT(INDEX(FILTER(D$1:D2452, D$1:D2452&lt;&gt;""""),COUNTA(FILTER(D$1:D2452, D$1:D2452&lt;&gt;""""))), LEN(INDEX(FILTER(D$1:D2452, D$1:D2452&lt;&gt;""""),COUNTA(FILTER(D$1:D2452, D$1:D2452&lt;&gt;""""))))-1), IF('To Order'!$A2453=COL"&amp;"UMNS($A2453:D2472), D2452&amp;RIGHT(INDIRECT(ADDRESS(ROW(D2453)-1, 'From Order'!$A2453)), 1), D2452))"),"")</f>
        <v/>
      </c>
      <c r="E2453" s="2" t="str">
        <f>IFERROR(__xludf.DUMMYFUNCTION("IF('From Order'!$A2453=COLUMNS($A2453:E2472), LEFT(INDEX(FILTER(E$1:E2452, E$1:E2452&lt;&gt;""""),COUNTA(FILTER(E$1:E2452, E$1:E2452&lt;&gt;""""))), LEN(INDEX(FILTER(E$1:E2452, E$1:E2452&lt;&gt;""""),COUNTA(FILTER(E$1:E2452, E$1:E2452&lt;&gt;""""))))-1), IF('To Order'!$A2453=COL"&amp;"UMNS($A2453:E2472), E2452&amp;RIGHT(INDIRECT(ADDRESS(ROW(E2453)-1, 'From Order'!$A2453)), 1), E2452))"),"BRPHZMT")</f>
        <v>BRPHZMT</v>
      </c>
      <c r="F2453" s="2" t="str">
        <f>IFERROR(__xludf.DUMMYFUNCTION("IF('From Order'!$A2453=COLUMNS($A2453:F2472), LEFT(INDEX(FILTER(F$1:F2452, F$1:F2452&lt;&gt;""""),COUNTA(FILTER(F$1:F2452, F$1:F2452&lt;&gt;""""))), LEN(INDEX(FILTER(F$1:F2452, F$1:F2452&lt;&gt;""""),COUNTA(FILTER(F$1:F2452, F$1:F2452&lt;&gt;""""))))-1), IF('To Order'!$A2453=COL"&amp;"UMNS($A2453:F2472), F2452&amp;RIGHT(INDIRECT(ADDRESS(ROW(F2453)-1, 'From Order'!$A2453)), 1), F2452))"),"RSPMGTTMDZFJC")</f>
        <v>RSPMGTTMDZFJC</v>
      </c>
      <c r="G2453" s="2" t="str">
        <f>IFERROR(__xludf.DUMMYFUNCTION("IF('From Order'!$A2453=COLUMNS($A2453:G2472), LEFT(INDEX(FILTER(G$1:G2452, G$1:G2452&lt;&gt;""""),COUNTA(FILTER(G$1:G2452, G$1:G2452&lt;&gt;""""))), LEN(INDEX(FILTER(G$1:G2452, G$1:G2452&lt;&gt;""""),COUNTA(FILTER(G$1:G2452, G$1:G2452&lt;&gt;""""))))-1), IF('To Order'!$A2453=COL"&amp;"UMNS($A2453:G2472), G2452&amp;RIGHT(INDIRECT(ADDRESS(ROW(G2453)-1, 'From Order'!$A2453)), 1), G2452))"),"")</f>
        <v/>
      </c>
      <c r="H2453" s="2" t="str">
        <f>IFERROR(__xludf.DUMMYFUNCTION("IF('From Order'!$A2453=COLUMNS($A2453:H2472), LEFT(INDEX(FILTER(H$1:H2452, H$1:H2452&lt;&gt;""""),COUNTA(FILTER(H$1:H2452, H$1:H2452&lt;&gt;""""))), LEN(INDEX(FILTER(H$1:H2452, H$1:H2452&lt;&gt;""""),COUNTA(FILTER(H$1:H2452, H$1:H2452&lt;&gt;""""))))-1), IF('To Order'!$A2453=COL"&amp;"UMNS($A2453:H2472), H2452&amp;RIGHT(INDIRECT(ADDRESS(ROW(H2453)-1, 'From Order'!$A2453)), 1), H2452))"),"")</f>
        <v/>
      </c>
      <c r="I2453" s="2" t="str">
        <f>IFERROR(__xludf.DUMMYFUNCTION("IF('From Order'!$A2453=COLUMNS($A2453:I2472), LEFT(INDEX(FILTER(I$1:I2452, I$1:I2452&lt;&gt;""""),COUNTA(FILTER(I$1:I2452, I$1:I2452&lt;&gt;""""))), LEN(INDEX(FILTER(I$1:I2452, I$1:I2452&lt;&gt;""""),COUNTA(FILTER(I$1:I2452, I$1:I2452&lt;&gt;""""))))-1), IF('To Order'!$A2453=COL"&amp;"UMNS($A2453:I2472), I2452&amp;RIGHT(INDIRECT(ADDRESS(ROW(I2453)-1, 'From Order'!$A2453)), 1), I2452))"),"")</f>
        <v/>
      </c>
    </row>
    <row r="2454">
      <c r="A2454" s="2" t="str">
        <f>IFERROR(__xludf.DUMMYFUNCTION("IF('From Order'!$A2454=COLUMNS($A2454:A2473), LEFT(INDEX(FILTER(A$1:A2453, A$1:A2453&lt;&gt;""""),COUNTA(FILTER(A$1:A2453, A$1:A2453&lt;&gt;""""))), LEN(INDEX(FILTER(A$1:A2453, A$1:A2453&lt;&gt;""""),COUNTA(FILTER(A$1:A2453, A$1:A2453&lt;&gt;""""))))-1), IF('To Order'!$A2454=COL"&amp;"UMNS($A2454:A2473), A2453&amp;RIGHT(INDIRECT(ADDRESS(ROW(A2454)-1, 'From Order'!$A2454)), 1), A2453))"),"DRSZHTWLLFBDCCVQ")</f>
        <v>DRSZHTWLLFBDCCVQ</v>
      </c>
      <c r="B2454" s="2" t="str">
        <f>IFERROR(__xludf.DUMMYFUNCTION("IF('From Order'!$A2454=COLUMNS($A2454:B2473), LEFT(INDEX(FILTER(B$1:B2453, B$1:B2453&lt;&gt;""""),COUNTA(FILTER(B$1:B2453, B$1:B2453&lt;&gt;""""))), LEN(INDEX(FILTER(B$1:B2453, B$1:B2453&lt;&gt;""""),COUNTA(FILTER(B$1:B2453, B$1:B2453&lt;&gt;""""))))-1), IF('To Order'!$A2454=COL"&amp;"UMNS($A2454:B2473), B2453&amp;RIGHT(INDIRECT(ADDRESS(ROW(B2454)-1, 'From Order'!$A2454)), 1), B2453))"),"QGWBSSPLRRJT")</f>
        <v>QGWBSSPLRRJT</v>
      </c>
      <c r="C2454" s="2" t="str">
        <f>IFERROR(__xludf.DUMMYFUNCTION("IF('From Order'!$A2454=COLUMNS($A2454:C2473), LEFT(INDEX(FILTER(C$1:C2453, C$1:C2453&lt;&gt;""""),COUNTA(FILTER(C$1:C2453, C$1:C2453&lt;&gt;""""))), LEN(INDEX(FILTER(C$1:C2453, C$1:C2453&lt;&gt;""""),COUNTA(FILTER(C$1:C2453, C$1:C2453&lt;&gt;""""))))-1), IF('To Order'!$A2454=COL"&amp;"UMNS($A2454:C2473), C2453&amp;RIGHT(INDIRECT(ADDRESS(ROW(C2454)-1, 'From Order'!$A2454)), 1), C2453))"),"VBJDDVD")</f>
        <v>VBJDDVD</v>
      </c>
      <c r="D2454" s="2" t="str">
        <f>IFERROR(__xludf.DUMMYFUNCTION("IF('From Order'!$A2454=COLUMNS($A2454:D2473), LEFT(INDEX(FILTER(D$1:D2453, D$1:D2453&lt;&gt;""""),COUNTA(FILTER(D$1:D2453, D$1:D2453&lt;&gt;""""))), LEN(INDEX(FILTER(D$1:D2453, D$1:D2453&lt;&gt;""""),COUNTA(FILTER(D$1:D2453, D$1:D2453&lt;&gt;""""))))-1), IF('To Order'!$A2454=COL"&amp;"UMNS($A2454:D2473), D2453&amp;RIGHT(INDIRECT(ADDRESS(ROW(D2454)-1, 'From Order'!$A2454)), 1), D2453))"),"")</f>
        <v/>
      </c>
      <c r="E2454" s="2" t="str">
        <f>IFERROR(__xludf.DUMMYFUNCTION("IF('From Order'!$A2454=COLUMNS($A2454:E2473), LEFT(INDEX(FILTER(E$1:E2453, E$1:E2453&lt;&gt;""""),COUNTA(FILTER(E$1:E2453, E$1:E2453&lt;&gt;""""))), LEN(INDEX(FILTER(E$1:E2453, E$1:E2453&lt;&gt;""""),COUNTA(FILTER(E$1:E2453, E$1:E2453&lt;&gt;""""))))-1), IF('To Order'!$A2454=COL"&amp;"UMNS($A2454:E2473), E2453&amp;RIGHT(INDIRECT(ADDRESS(ROW(E2454)-1, 'From Order'!$A2454)), 1), E2453))"),"BRPHZMT")</f>
        <v>BRPHZMT</v>
      </c>
      <c r="F2454" s="2" t="str">
        <f>IFERROR(__xludf.DUMMYFUNCTION("IF('From Order'!$A2454=COLUMNS($A2454:F2473), LEFT(INDEX(FILTER(F$1:F2453, F$1:F2453&lt;&gt;""""),COUNTA(FILTER(F$1:F2453, F$1:F2453&lt;&gt;""""))), LEN(INDEX(FILTER(F$1:F2453, F$1:F2453&lt;&gt;""""),COUNTA(FILTER(F$1:F2453, F$1:F2453&lt;&gt;""""))))-1), IF('To Order'!$A2454=COL"&amp;"UMNS($A2454:F2473), F2453&amp;RIGHT(INDIRECT(ADDRESS(ROW(F2454)-1, 'From Order'!$A2454)), 1), F2453))"),"RSPMGTTMDZFJCT")</f>
        <v>RSPMGTTMDZFJCT</v>
      </c>
      <c r="G2454" s="2" t="str">
        <f>IFERROR(__xludf.DUMMYFUNCTION("IF('From Order'!$A2454=COLUMNS($A2454:G2473), LEFT(INDEX(FILTER(G$1:G2453, G$1:G2453&lt;&gt;""""),COUNTA(FILTER(G$1:G2453, G$1:G2453&lt;&gt;""""))), LEN(INDEX(FILTER(G$1:G2453, G$1:G2453&lt;&gt;""""),COUNTA(FILTER(G$1:G2453, G$1:G2453&lt;&gt;""""))))-1), IF('To Order'!$A2454=COL"&amp;"UMNS($A2454:G2473), G2453&amp;RIGHT(INDIRECT(ADDRESS(ROW(G2454)-1, 'From Order'!$A2454)), 1), G2453))"),"")</f>
        <v/>
      </c>
      <c r="H2454" s="2" t="str">
        <f>IFERROR(__xludf.DUMMYFUNCTION("IF('From Order'!$A2454=COLUMNS($A2454:H2473), LEFT(INDEX(FILTER(H$1:H2453, H$1:H2453&lt;&gt;""""),COUNTA(FILTER(H$1:H2453, H$1:H2453&lt;&gt;""""))), LEN(INDEX(FILTER(H$1:H2453, H$1:H2453&lt;&gt;""""),COUNTA(FILTER(H$1:H2453, H$1:H2453&lt;&gt;""""))))-1), IF('To Order'!$A2454=COL"&amp;"UMNS($A2454:H2473), H2453&amp;RIGHT(INDIRECT(ADDRESS(ROW(H2454)-1, 'From Order'!$A2454)), 1), H2453))"),"")</f>
        <v/>
      </c>
      <c r="I2454" s="2" t="str">
        <f>IFERROR(__xludf.DUMMYFUNCTION("IF('From Order'!$A2454=COLUMNS($A2454:I2473), LEFT(INDEX(FILTER(I$1:I2453, I$1:I2453&lt;&gt;""""),COUNTA(FILTER(I$1:I2453, I$1:I2453&lt;&gt;""""))), LEN(INDEX(FILTER(I$1:I2453, I$1:I2453&lt;&gt;""""),COUNTA(FILTER(I$1:I2453, I$1:I2453&lt;&gt;""""))))-1), IF('To Order'!$A2454=COL"&amp;"UMNS($A2454:I2473), I2453&amp;RIGHT(INDIRECT(ADDRESS(ROW(I2454)-1, 'From Order'!$A2454)), 1), I2453))"),"")</f>
        <v/>
      </c>
    </row>
    <row r="2455">
      <c r="A2455" s="2" t="str">
        <f>IFERROR(__xludf.DUMMYFUNCTION("IF('From Order'!$A2455=COLUMNS($A2455:A2474), LEFT(INDEX(FILTER(A$1:A2454, A$1:A2454&lt;&gt;""""),COUNTA(FILTER(A$1:A2454, A$1:A2454&lt;&gt;""""))), LEN(INDEX(FILTER(A$1:A2454, A$1:A2454&lt;&gt;""""),COUNTA(FILTER(A$1:A2454, A$1:A2454&lt;&gt;""""))))-1), IF('To Order'!$A2455=COL"&amp;"UMNS($A2455:A2474), A2454&amp;RIGHT(INDIRECT(ADDRESS(ROW(A2455)-1, 'From Order'!$A2455)), 1), A2454))"),"DRSZHTWLLFBDCCVQ")</f>
        <v>DRSZHTWLLFBDCCVQ</v>
      </c>
      <c r="B2455" s="2" t="str">
        <f>IFERROR(__xludf.DUMMYFUNCTION("IF('From Order'!$A2455=COLUMNS($A2455:B2474), LEFT(INDEX(FILTER(B$1:B2454, B$1:B2454&lt;&gt;""""),COUNTA(FILTER(B$1:B2454, B$1:B2454&lt;&gt;""""))), LEN(INDEX(FILTER(B$1:B2454, B$1:B2454&lt;&gt;""""),COUNTA(FILTER(B$1:B2454, B$1:B2454&lt;&gt;""""))))-1), IF('To Order'!$A2455=COL"&amp;"UMNS($A2455:B2474), B2454&amp;RIGHT(INDIRECT(ADDRESS(ROW(B2455)-1, 'From Order'!$A2455)), 1), B2454))"),"QGWBSSPLRRJ")</f>
        <v>QGWBSSPLRRJ</v>
      </c>
      <c r="C2455" s="2" t="str">
        <f>IFERROR(__xludf.DUMMYFUNCTION("IF('From Order'!$A2455=COLUMNS($A2455:C2474), LEFT(INDEX(FILTER(C$1:C2454, C$1:C2454&lt;&gt;""""),COUNTA(FILTER(C$1:C2454, C$1:C2454&lt;&gt;""""))), LEN(INDEX(FILTER(C$1:C2454, C$1:C2454&lt;&gt;""""),COUNTA(FILTER(C$1:C2454, C$1:C2454&lt;&gt;""""))))-1), IF('To Order'!$A2455=COL"&amp;"UMNS($A2455:C2474), C2454&amp;RIGHT(INDIRECT(ADDRESS(ROW(C2455)-1, 'From Order'!$A2455)), 1), C2454))"),"VBJDDVD")</f>
        <v>VBJDDVD</v>
      </c>
      <c r="D2455" s="2" t="str">
        <f>IFERROR(__xludf.DUMMYFUNCTION("IF('From Order'!$A2455=COLUMNS($A2455:D2474), LEFT(INDEX(FILTER(D$1:D2454, D$1:D2454&lt;&gt;""""),COUNTA(FILTER(D$1:D2454, D$1:D2454&lt;&gt;""""))), LEN(INDEX(FILTER(D$1:D2454, D$1:D2454&lt;&gt;""""),COUNTA(FILTER(D$1:D2454, D$1:D2454&lt;&gt;""""))))-1), IF('To Order'!$A2455=COL"&amp;"UMNS($A2455:D2474), D2454&amp;RIGHT(INDIRECT(ADDRESS(ROW(D2455)-1, 'From Order'!$A2455)), 1), D2454))"),"")</f>
        <v/>
      </c>
      <c r="E2455" s="2" t="str">
        <f>IFERROR(__xludf.DUMMYFUNCTION("IF('From Order'!$A2455=COLUMNS($A2455:E2474), LEFT(INDEX(FILTER(E$1:E2454, E$1:E2454&lt;&gt;""""),COUNTA(FILTER(E$1:E2454, E$1:E2454&lt;&gt;""""))), LEN(INDEX(FILTER(E$1:E2454, E$1:E2454&lt;&gt;""""),COUNTA(FILTER(E$1:E2454, E$1:E2454&lt;&gt;""""))))-1), IF('To Order'!$A2455=COL"&amp;"UMNS($A2455:E2474), E2454&amp;RIGHT(INDIRECT(ADDRESS(ROW(E2455)-1, 'From Order'!$A2455)), 1), E2454))"),"BRPHZMT")</f>
        <v>BRPHZMT</v>
      </c>
      <c r="F2455" s="2" t="str">
        <f>IFERROR(__xludf.DUMMYFUNCTION("IF('From Order'!$A2455=COLUMNS($A2455:F2474), LEFT(INDEX(FILTER(F$1:F2454, F$1:F2454&lt;&gt;""""),COUNTA(FILTER(F$1:F2454, F$1:F2454&lt;&gt;""""))), LEN(INDEX(FILTER(F$1:F2454, F$1:F2454&lt;&gt;""""),COUNTA(FILTER(F$1:F2454, F$1:F2454&lt;&gt;""""))))-1), IF('To Order'!$A2455=COL"&amp;"UMNS($A2455:F2474), F2454&amp;RIGHT(INDIRECT(ADDRESS(ROW(F2455)-1, 'From Order'!$A2455)), 1), F2454))"),"RSPMGTTMDZFJCTT")</f>
        <v>RSPMGTTMDZFJCTT</v>
      </c>
      <c r="G2455" s="2" t="str">
        <f>IFERROR(__xludf.DUMMYFUNCTION("IF('From Order'!$A2455=COLUMNS($A2455:G2474), LEFT(INDEX(FILTER(G$1:G2454, G$1:G2454&lt;&gt;""""),COUNTA(FILTER(G$1:G2454, G$1:G2454&lt;&gt;""""))), LEN(INDEX(FILTER(G$1:G2454, G$1:G2454&lt;&gt;""""),COUNTA(FILTER(G$1:G2454, G$1:G2454&lt;&gt;""""))))-1), IF('To Order'!$A2455=COL"&amp;"UMNS($A2455:G2474), G2454&amp;RIGHT(INDIRECT(ADDRESS(ROW(G2455)-1, 'From Order'!$A2455)), 1), G2454))"),"")</f>
        <v/>
      </c>
      <c r="H2455" s="2" t="str">
        <f>IFERROR(__xludf.DUMMYFUNCTION("IF('From Order'!$A2455=COLUMNS($A2455:H2474), LEFT(INDEX(FILTER(H$1:H2454, H$1:H2454&lt;&gt;""""),COUNTA(FILTER(H$1:H2454, H$1:H2454&lt;&gt;""""))), LEN(INDEX(FILTER(H$1:H2454, H$1:H2454&lt;&gt;""""),COUNTA(FILTER(H$1:H2454, H$1:H2454&lt;&gt;""""))))-1), IF('To Order'!$A2455=COL"&amp;"UMNS($A2455:H2474), H2454&amp;RIGHT(INDIRECT(ADDRESS(ROW(H2455)-1, 'From Order'!$A2455)), 1), H2454))"),"")</f>
        <v/>
      </c>
      <c r="I2455" s="2" t="str">
        <f>IFERROR(__xludf.DUMMYFUNCTION("IF('From Order'!$A2455=COLUMNS($A2455:I2474), LEFT(INDEX(FILTER(I$1:I2454, I$1:I2454&lt;&gt;""""),COUNTA(FILTER(I$1:I2454, I$1:I2454&lt;&gt;""""))), LEN(INDEX(FILTER(I$1:I2454, I$1:I2454&lt;&gt;""""),COUNTA(FILTER(I$1:I2454, I$1:I2454&lt;&gt;""""))))-1), IF('To Order'!$A2455=COL"&amp;"UMNS($A2455:I2474), I2454&amp;RIGHT(INDIRECT(ADDRESS(ROW(I2455)-1, 'From Order'!$A2455)), 1), I2454))"),"")</f>
        <v/>
      </c>
    </row>
    <row r="2456">
      <c r="A2456" s="2" t="str">
        <f>IFERROR(__xludf.DUMMYFUNCTION("IF('From Order'!$A2456=COLUMNS($A2456:A2475), LEFT(INDEX(FILTER(A$1:A2455, A$1:A2455&lt;&gt;""""),COUNTA(FILTER(A$1:A2455, A$1:A2455&lt;&gt;""""))), LEN(INDEX(FILTER(A$1:A2455, A$1:A2455&lt;&gt;""""),COUNTA(FILTER(A$1:A2455, A$1:A2455&lt;&gt;""""))))-1), IF('To Order'!$A2456=COL"&amp;"UMNS($A2456:A2475), A2455&amp;RIGHT(INDIRECT(ADDRESS(ROW(A2456)-1, 'From Order'!$A2456)), 1), A2455))"),"DRSZHTWLLFBDCCVQ")</f>
        <v>DRSZHTWLLFBDCCVQ</v>
      </c>
      <c r="B2456" s="2" t="str">
        <f>IFERROR(__xludf.DUMMYFUNCTION("IF('From Order'!$A2456=COLUMNS($A2456:B2475), LEFT(INDEX(FILTER(B$1:B2455, B$1:B2455&lt;&gt;""""),COUNTA(FILTER(B$1:B2455, B$1:B2455&lt;&gt;""""))), LEN(INDEX(FILTER(B$1:B2455, B$1:B2455&lt;&gt;""""),COUNTA(FILTER(B$1:B2455, B$1:B2455&lt;&gt;""""))))-1), IF('To Order'!$A2456=COL"&amp;"UMNS($A2456:B2475), B2455&amp;RIGHT(INDIRECT(ADDRESS(ROW(B2456)-1, 'From Order'!$A2456)), 1), B2455))"),"QGWBSSPLRR")</f>
        <v>QGWBSSPLRR</v>
      </c>
      <c r="C2456" s="2" t="str">
        <f>IFERROR(__xludf.DUMMYFUNCTION("IF('From Order'!$A2456=COLUMNS($A2456:C2475), LEFT(INDEX(FILTER(C$1:C2455, C$1:C2455&lt;&gt;""""),COUNTA(FILTER(C$1:C2455, C$1:C2455&lt;&gt;""""))), LEN(INDEX(FILTER(C$1:C2455, C$1:C2455&lt;&gt;""""),COUNTA(FILTER(C$1:C2455, C$1:C2455&lt;&gt;""""))))-1), IF('To Order'!$A2456=COL"&amp;"UMNS($A2456:C2475), C2455&amp;RIGHT(INDIRECT(ADDRESS(ROW(C2456)-1, 'From Order'!$A2456)), 1), C2455))"),"VBJDDVD")</f>
        <v>VBJDDVD</v>
      </c>
      <c r="D2456" s="2" t="str">
        <f>IFERROR(__xludf.DUMMYFUNCTION("IF('From Order'!$A2456=COLUMNS($A2456:D2475), LEFT(INDEX(FILTER(D$1:D2455, D$1:D2455&lt;&gt;""""),COUNTA(FILTER(D$1:D2455, D$1:D2455&lt;&gt;""""))), LEN(INDEX(FILTER(D$1:D2455, D$1:D2455&lt;&gt;""""),COUNTA(FILTER(D$1:D2455, D$1:D2455&lt;&gt;""""))))-1), IF('To Order'!$A2456=COL"&amp;"UMNS($A2456:D2475), D2455&amp;RIGHT(INDIRECT(ADDRESS(ROW(D2456)-1, 'From Order'!$A2456)), 1), D2455))"),"")</f>
        <v/>
      </c>
      <c r="E2456" s="2" t="str">
        <f>IFERROR(__xludf.DUMMYFUNCTION("IF('From Order'!$A2456=COLUMNS($A2456:E2475), LEFT(INDEX(FILTER(E$1:E2455, E$1:E2455&lt;&gt;""""),COUNTA(FILTER(E$1:E2455, E$1:E2455&lt;&gt;""""))), LEN(INDEX(FILTER(E$1:E2455, E$1:E2455&lt;&gt;""""),COUNTA(FILTER(E$1:E2455, E$1:E2455&lt;&gt;""""))))-1), IF('To Order'!$A2456=COL"&amp;"UMNS($A2456:E2475), E2455&amp;RIGHT(INDIRECT(ADDRESS(ROW(E2456)-1, 'From Order'!$A2456)), 1), E2455))"),"BRPHZMT")</f>
        <v>BRPHZMT</v>
      </c>
      <c r="F2456" s="2" t="str">
        <f>IFERROR(__xludf.DUMMYFUNCTION("IF('From Order'!$A2456=COLUMNS($A2456:F2475), LEFT(INDEX(FILTER(F$1:F2455, F$1:F2455&lt;&gt;""""),COUNTA(FILTER(F$1:F2455, F$1:F2455&lt;&gt;""""))), LEN(INDEX(FILTER(F$1:F2455, F$1:F2455&lt;&gt;""""),COUNTA(FILTER(F$1:F2455, F$1:F2455&lt;&gt;""""))))-1), IF('To Order'!$A2456=COL"&amp;"UMNS($A2456:F2475), F2455&amp;RIGHT(INDIRECT(ADDRESS(ROW(F2456)-1, 'From Order'!$A2456)), 1), F2455))"),"RSPMGTTMDZFJCTTJ")</f>
        <v>RSPMGTTMDZFJCTTJ</v>
      </c>
      <c r="G2456" s="2" t="str">
        <f>IFERROR(__xludf.DUMMYFUNCTION("IF('From Order'!$A2456=COLUMNS($A2456:G2475), LEFT(INDEX(FILTER(G$1:G2455, G$1:G2455&lt;&gt;""""),COUNTA(FILTER(G$1:G2455, G$1:G2455&lt;&gt;""""))), LEN(INDEX(FILTER(G$1:G2455, G$1:G2455&lt;&gt;""""),COUNTA(FILTER(G$1:G2455, G$1:G2455&lt;&gt;""""))))-1), IF('To Order'!$A2456=COL"&amp;"UMNS($A2456:G2475), G2455&amp;RIGHT(INDIRECT(ADDRESS(ROW(G2456)-1, 'From Order'!$A2456)), 1), G2455))"),"")</f>
        <v/>
      </c>
      <c r="H2456" s="2" t="str">
        <f>IFERROR(__xludf.DUMMYFUNCTION("IF('From Order'!$A2456=COLUMNS($A2456:H2475), LEFT(INDEX(FILTER(H$1:H2455, H$1:H2455&lt;&gt;""""),COUNTA(FILTER(H$1:H2455, H$1:H2455&lt;&gt;""""))), LEN(INDEX(FILTER(H$1:H2455, H$1:H2455&lt;&gt;""""),COUNTA(FILTER(H$1:H2455, H$1:H2455&lt;&gt;""""))))-1), IF('To Order'!$A2456=COL"&amp;"UMNS($A2456:H2475), H2455&amp;RIGHT(INDIRECT(ADDRESS(ROW(H2456)-1, 'From Order'!$A2456)), 1), H2455))"),"")</f>
        <v/>
      </c>
      <c r="I2456" s="2" t="str">
        <f>IFERROR(__xludf.DUMMYFUNCTION("IF('From Order'!$A2456=COLUMNS($A2456:I2475), LEFT(INDEX(FILTER(I$1:I2455, I$1:I2455&lt;&gt;""""),COUNTA(FILTER(I$1:I2455, I$1:I2455&lt;&gt;""""))), LEN(INDEX(FILTER(I$1:I2455, I$1:I2455&lt;&gt;""""),COUNTA(FILTER(I$1:I2455, I$1:I2455&lt;&gt;""""))))-1), IF('To Order'!$A2456=COL"&amp;"UMNS($A2456:I2475), I2455&amp;RIGHT(INDIRECT(ADDRESS(ROW(I2456)-1, 'From Order'!$A2456)), 1), I2455))"),"")</f>
        <v/>
      </c>
    </row>
    <row r="2457">
      <c r="A2457" s="2" t="str">
        <f>IFERROR(__xludf.DUMMYFUNCTION("IF('From Order'!$A2457=COLUMNS($A2457:A2476), LEFT(INDEX(FILTER(A$1:A2456, A$1:A2456&lt;&gt;""""),COUNTA(FILTER(A$1:A2456, A$1:A2456&lt;&gt;""""))), LEN(INDEX(FILTER(A$1:A2456, A$1:A2456&lt;&gt;""""),COUNTA(FILTER(A$1:A2456, A$1:A2456&lt;&gt;""""))))-1), IF('To Order'!$A2457=COL"&amp;"UMNS($A2457:A2476), A2456&amp;RIGHT(INDIRECT(ADDRESS(ROW(A2457)-1, 'From Order'!$A2457)), 1), A2456))"),"DRSZHTWLLFBDCCVQ")</f>
        <v>DRSZHTWLLFBDCCVQ</v>
      </c>
      <c r="B2457" s="2" t="str">
        <f>IFERROR(__xludf.DUMMYFUNCTION("IF('From Order'!$A2457=COLUMNS($A2457:B2476), LEFT(INDEX(FILTER(B$1:B2456, B$1:B2456&lt;&gt;""""),COUNTA(FILTER(B$1:B2456, B$1:B2456&lt;&gt;""""))), LEN(INDEX(FILTER(B$1:B2456, B$1:B2456&lt;&gt;""""),COUNTA(FILTER(B$1:B2456, B$1:B2456&lt;&gt;""""))))-1), IF('To Order'!$A2457=COL"&amp;"UMNS($A2457:B2476), B2456&amp;RIGHT(INDIRECT(ADDRESS(ROW(B2457)-1, 'From Order'!$A2457)), 1), B2456))"),"QGWBSSPLR")</f>
        <v>QGWBSSPLR</v>
      </c>
      <c r="C2457" s="2" t="str">
        <f>IFERROR(__xludf.DUMMYFUNCTION("IF('From Order'!$A2457=COLUMNS($A2457:C2476), LEFT(INDEX(FILTER(C$1:C2456, C$1:C2456&lt;&gt;""""),COUNTA(FILTER(C$1:C2456, C$1:C2456&lt;&gt;""""))), LEN(INDEX(FILTER(C$1:C2456, C$1:C2456&lt;&gt;""""),COUNTA(FILTER(C$1:C2456, C$1:C2456&lt;&gt;""""))))-1), IF('To Order'!$A2457=COL"&amp;"UMNS($A2457:C2476), C2456&amp;RIGHT(INDIRECT(ADDRESS(ROW(C2457)-1, 'From Order'!$A2457)), 1), C2456))"),"VBJDDVD")</f>
        <v>VBJDDVD</v>
      </c>
      <c r="D2457" s="2" t="str">
        <f>IFERROR(__xludf.DUMMYFUNCTION("IF('From Order'!$A2457=COLUMNS($A2457:D2476), LEFT(INDEX(FILTER(D$1:D2456, D$1:D2456&lt;&gt;""""),COUNTA(FILTER(D$1:D2456, D$1:D2456&lt;&gt;""""))), LEN(INDEX(FILTER(D$1:D2456, D$1:D2456&lt;&gt;""""),COUNTA(FILTER(D$1:D2456, D$1:D2456&lt;&gt;""""))))-1), IF('To Order'!$A2457=COL"&amp;"UMNS($A2457:D2476), D2456&amp;RIGHT(INDIRECT(ADDRESS(ROW(D2457)-1, 'From Order'!$A2457)), 1), D2456))"),"")</f>
        <v/>
      </c>
      <c r="E2457" s="2" t="str">
        <f>IFERROR(__xludf.DUMMYFUNCTION("IF('From Order'!$A2457=COLUMNS($A2457:E2476), LEFT(INDEX(FILTER(E$1:E2456, E$1:E2456&lt;&gt;""""),COUNTA(FILTER(E$1:E2456, E$1:E2456&lt;&gt;""""))), LEN(INDEX(FILTER(E$1:E2456, E$1:E2456&lt;&gt;""""),COUNTA(FILTER(E$1:E2456, E$1:E2456&lt;&gt;""""))))-1), IF('To Order'!$A2457=COL"&amp;"UMNS($A2457:E2476), E2456&amp;RIGHT(INDIRECT(ADDRESS(ROW(E2457)-1, 'From Order'!$A2457)), 1), E2456))"),"BRPHZMT")</f>
        <v>BRPHZMT</v>
      </c>
      <c r="F2457" s="2" t="str">
        <f>IFERROR(__xludf.DUMMYFUNCTION("IF('From Order'!$A2457=COLUMNS($A2457:F2476), LEFT(INDEX(FILTER(F$1:F2456, F$1:F2456&lt;&gt;""""),COUNTA(FILTER(F$1:F2456, F$1:F2456&lt;&gt;""""))), LEN(INDEX(FILTER(F$1:F2456, F$1:F2456&lt;&gt;""""),COUNTA(FILTER(F$1:F2456, F$1:F2456&lt;&gt;""""))))-1), IF('To Order'!$A2457=COL"&amp;"UMNS($A2457:F2476), F2456&amp;RIGHT(INDIRECT(ADDRESS(ROW(F2457)-1, 'From Order'!$A2457)), 1), F2456))"),"RSPMGTTMDZFJCTTJR")</f>
        <v>RSPMGTTMDZFJCTTJR</v>
      </c>
      <c r="G2457" s="2" t="str">
        <f>IFERROR(__xludf.DUMMYFUNCTION("IF('From Order'!$A2457=COLUMNS($A2457:G2476), LEFT(INDEX(FILTER(G$1:G2456, G$1:G2456&lt;&gt;""""),COUNTA(FILTER(G$1:G2456, G$1:G2456&lt;&gt;""""))), LEN(INDEX(FILTER(G$1:G2456, G$1:G2456&lt;&gt;""""),COUNTA(FILTER(G$1:G2456, G$1:G2456&lt;&gt;""""))))-1), IF('To Order'!$A2457=COL"&amp;"UMNS($A2457:G2476), G2456&amp;RIGHT(INDIRECT(ADDRESS(ROW(G2457)-1, 'From Order'!$A2457)), 1), G2456))"),"")</f>
        <v/>
      </c>
      <c r="H2457" s="2" t="str">
        <f>IFERROR(__xludf.DUMMYFUNCTION("IF('From Order'!$A2457=COLUMNS($A2457:H2476), LEFT(INDEX(FILTER(H$1:H2456, H$1:H2456&lt;&gt;""""),COUNTA(FILTER(H$1:H2456, H$1:H2456&lt;&gt;""""))), LEN(INDEX(FILTER(H$1:H2456, H$1:H2456&lt;&gt;""""),COUNTA(FILTER(H$1:H2456, H$1:H2456&lt;&gt;""""))))-1), IF('To Order'!$A2457=COL"&amp;"UMNS($A2457:H2476), H2456&amp;RIGHT(INDIRECT(ADDRESS(ROW(H2457)-1, 'From Order'!$A2457)), 1), H2456))"),"")</f>
        <v/>
      </c>
      <c r="I2457" s="2" t="str">
        <f>IFERROR(__xludf.DUMMYFUNCTION("IF('From Order'!$A2457=COLUMNS($A2457:I2476), LEFT(INDEX(FILTER(I$1:I2456, I$1:I2456&lt;&gt;""""),COUNTA(FILTER(I$1:I2456, I$1:I2456&lt;&gt;""""))), LEN(INDEX(FILTER(I$1:I2456, I$1:I2456&lt;&gt;""""),COUNTA(FILTER(I$1:I2456, I$1:I2456&lt;&gt;""""))))-1), IF('To Order'!$A2457=COL"&amp;"UMNS($A2457:I2476), I2456&amp;RIGHT(INDIRECT(ADDRESS(ROW(I2457)-1, 'From Order'!$A2457)), 1), I2456))"),"")</f>
        <v/>
      </c>
    </row>
    <row r="2458">
      <c r="A2458" s="2" t="str">
        <f>IFERROR(__xludf.DUMMYFUNCTION("IF('From Order'!$A2458=COLUMNS($A2458:A2477), LEFT(INDEX(FILTER(A$1:A2457, A$1:A2457&lt;&gt;""""),COUNTA(FILTER(A$1:A2457, A$1:A2457&lt;&gt;""""))), LEN(INDEX(FILTER(A$1:A2457, A$1:A2457&lt;&gt;""""),COUNTA(FILTER(A$1:A2457, A$1:A2457&lt;&gt;""""))))-1), IF('To Order'!$A2458=COL"&amp;"UMNS($A2458:A2477), A2457&amp;RIGHT(INDIRECT(ADDRESS(ROW(A2458)-1, 'From Order'!$A2458)), 1), A2457))"),"DRSZHTWLLFBDCCVQ")</f>
        <v>DRSZHTWLLFBDCCVQ</v>
      </c>
      <c r="B2458" s="2" t="str">
        <f>IFERROR(__xludf.DUMMYFUNCTION("IF('From Order'!$A2458=COLUMNS($A2458:B2477), LEFT(INDEX(FILTER(B$1:B2457, B$1:B2457&lt;&gt;""""),COUNTA(FILTER(B$1:B2457, B$1:B2457&lt;&gt;""""))), LEN(INDEX(FILTER(B$1:B2457, B$1:B2457&lt;&gt;""""),COUNTA(FILTER(B$1:B2457, B$1:B2457&lt;&gt;""""))))-1), IF('To Order'!$A2458=COL"&amp;"UMNS($A2458:B2477), B2457&amp;RIGHT(INDIRECT(ADDRESS(ROW(B2458)-1, 'From Order'!$A2458)), 1), B2457))"),"QGWBSSPL")</f>
        <v>QGWBSSPL</v>
      </c>
      <c r="C2458" s="2" t="str">
        <f>IFERROR(__xludf.DUMMYFUNCTION("IF('From Order'!$A2458=COLUMNS($A2458:C2477), LEFT(INDEX(FILTER(C$1:C2457, C$1:C2457&lt;&gt;""""),COUNTA(FILTER(C$1:C2457, C$1:C2457&lt;&gt;""""))), LEN(INDEX(FILTER(C$1:C2457, C$1:C2457&lt;&gt;""""),COUNTA(FILTER(C$1:C2457, C$1:C2457&lt;&gt;""""))))-1), IF('To Order'!$A2458=COL"&amp;"UMNS($A2458:C2477), C2457&amp;RIGHT(INDIRECT(ADDRESS(ROW(C2458)-1, 'From Order'!$A2458)), 1), C2457))"),"VBJDDVD")</f>
        <v>VBJDDVD</v>
      </c>
      <c r="D2458" s="2" t="str">
        <f>IFERROR(__xludf.DUMMYFUNCTION("IF('From Order'!$A2458=COLUMNS($A2458:D2477), LEFT(INDEX(FILTER(D$1:D2457, D$1:D2457&lt;&gt;""""),COUNTA(FILTER(D$1:D2457, D$1:D2457&lt;&gt;""""))), LEN(INDEX(FILTER(D$1:D2457, D$1:D2457&lt;&gt;""""),COUNTA(FILTER(D$1:D2457, D$1:D2457&lt;&gt;""""))))-1), IF('To Order'!$A2458=COL"&amp;"UMNS($A2458:D2477), D2457&amp;RIGHT(INDIRECT(ADDRESS(ROW(D2458)-1, 'From Order'!$A2458)), 1), D2457))"),"")</f>
        <v/>
      </c>
      <c r="E2458" s="2" t="str">
        <f>IFERROR(__xludf.DUMMYFUNCTION("IF('From Order'!$A2458=COLUMNS($A2458:E2477), LEFT(INDEX(FILTER(E$1:E2457, E$1:E2457&lt;&gt;""""),COUNTA(FILTER(E$1:E2457, E$1:E2457&lt;&gt;""""))), LEN(INDEX(FILTER(E$1:E2457, E$1:E2457&lt;&gt;""""),COUNTA(FILTER(E$1:E2457, E$1:E2457&lt;&gt;""""))))-1), IF('To Order'!$A2458=COL"&amp;"UMNS($A2458:E2477), E2457&amp;RIGHT(INDIRECT(ADDRESS(ROW(E2458)-1, 'From Order'!$A2458)), 1), E2457))"),"BRPHZMT")</f>
        <v>BRPHZMT</v>
      </c>
      <c r="F2458" s="2" t="str">
        <f>IFERROR(__xludf.DUMMYFUNCTION("IF('From Order'!$A2458=COLUMNS($A2458:F2477), LEFT(INDEX(FILTER(F$1:F2457, F$1:F2457&lt;&gt;""""),COUNTA(FILTER(F$1:F2457, F$1:F2457&lt;&gt;""""))), LEN(INDEX(FILTER(F$1:F2457, F$1:F2457&lt;&gt;""""),COUNTA(FILTER(F$1:F2457, F$1:F2457&lt;&gt;""""))))-1), IF('To Order'!$A2458=COL"&amp;"UMNS($A2458:F2477), F2457&amp;RIGHT(INDIRECT(ADDRESS(ROW(F2458)-1, 'From Order'!$A2458)), 1), F2457))"),"RSPMGTTMDZFJCTTJRR")</f>
        <v>RSPMGTTMDZFJCTTJRR</v>
      </c>
      <c r="G2458" s="2" t="str">
        <f>IFERROR(__xludf.DUMMYFUNCTION("IF('From Order'!$A2458=COLUMNS($A2458:G2477), LEFT(INDEX(FILTER(G$1:G2457, G$1:G2457&lt;&gt;""""),COUNTA(FILTER(G$1:G2457, G$1:G2457&lt;&gt;""""))), LEN(INDEX(FILTER(G$1:G2457, G$1:G2457&lt;&gt;""""),COUNTA(FILTER(G$1:G2457, G$1:G2457&lt;&gt;""""))))-1), IF('To Order'!$A2458=COL"&amp;"UMNS($A2458:G2477), G2457&amp;RIGHT(INDIRECT(ADDRESS(ROW(G2458)-1, 'From Order'!$A2458)), 1), G2457))"),"")</f>
        <v/>
      </c>
      <c r="H2458" s="2" t="str">
        <f>IFERROR(__xludf.DUMMYFUNCTION("IF('From Order'!$A2458=COLUMNS($A2458:H2477), LEFT(INDEX(FILTER(H$1:H2457, H$1:H2457&lt;&gt;""""),COUNTA(FILTER(H$1:H2457, H$1:H2457&lt;&gt;""""))), LEN(INDEX(FILTER(H$1:H2457, H$1:H2457&lt;&gt;""""),COUNTA(FILTER(H$1:H2457, H$1:H2457&lt;&gt;""""))))-1), IF('To Order'!$A2458=COL"&amp;"UMNS($A2458:H2477), H2457&amp;RIGHT(INDIRECT(ADDRESS(ROW(H2458)-1, 'From Order'!$A2458)), 1), H2457))"),"")</f>
        <v/>
      </c>
      <c r="I2458" s="2" t="str">
        <f>IFERROR(__xludf.DUMMYFUNCTION("IF('From Order'!$A2458=COLUMNS($A2458:I2477), LEFT(INDEX(FILTER(I$1:I2457, I$1:I2457&lt;&gt;""""),COUNTA(FILTER(I$1:I2457, I$1:I2457&lt;&gt;""""))), LEN(INDEX(FILTER(I$1:I2457, I$1:I2457&lt;&gt;""""),COUNTA(FILTER(I$1:I2457, I$1:I2457&lt;&gt;""""))))-1), IF('To Order'!$A2458=COL"&amp;"UMNS($A2458:I2477), I2457&amp;RIGHT(INDIRECT(ADDRESS(ROW(I2458)-1, 'From Order'!$A2458)), 1), I2457))"),"")</f>
        <v/>
      </c>
    </row>
    <row r="2459">
      <c r="A2459" s="2" t="str">
        <f>IFERROR(__xludf.DUMMYFUNCTION("IF('From Order'!$A2459=COLUMNS($A2459:A2478), LEFT(INDEX(FILTER(A$1:A2458, A$1:A2458&lt;&gt;""""),COUNTA(FILTER(A$1:A2458, A$1:A2458&lt;&gt;""""))), LEN(INDEX(FILTER(A$1:A2458, A$1:A2458&lt;&gt;""""),COUNTA(FILTER(A$1:A2458, A$1:A2458&lt;&gt;""""))))-1), IF('To Order'!$A2459=COL"&amp;"UMNS($A2459:A2478), A2458&amp;RIGHT(INDIRECT(ADDRESS(ROW(A2459)-1, 'From Order'!$A2459)), 1), A2458))"),"DRSZHTWLLFBDCCVQ")</f>
        <v>DRSZHTWLLFBDCCVQ</v>
      </c>
      <c r="B2459" s="2" t="str">
        <f>IFERROR(__xludf.DUMMYFUNCTION("IF('From Order'!$A2459=COLUMNS($A2459:B2478), LEFT(INDEX(FILTER(B$1:B2458, B$1:B2458&lt;&gt;""""),COUNTA(FILTER(B$1:B2458, B$1:B2458&lt;&gt;""""))), LEN(INDEX(FILTER(B$1:B2458, B$1:B2458&lt;&gt;""""),COUNTA(FILTER(B$1:B2458, B$1:B2458&lt;&gt;""""))))-1), IF('To Order'!$A2459=COL"&amp;"UMNS($A2459:B2478), B2458&amp;RIGHT(INDIRECT(ADDRESS(ROW(B2459)-1, 'From Order'!$A2459)), 1), B2458))"),"QGWBSSP")</f>
        <v>QGWBSSP</v>
      </c>
      <c r="C2459" s="2" t="str">
        <f>IFERROR(__xludf.DUMMYFUNCTION("IF('From Order'!$A2459=COLUMNS($A2459:C2478), LEFT(INDEX(FILTER(C$1:C2458, C$1:C2458&lt;&gt;""""),COUNTA(FILTER(C$1:C2458, C$1:C2458&lt;&gt;""""))), LEN(INDEX(FILTER(C$1:C2458, C$1:C2458&lt;&gt;""""),COUNTA(FILTER(C$1:C2458, C$1:C2458&lt;&gt;""""))))-1), IF('To Order'!$A2459=COL"&amp;"UMNS($A2459:C2478), C2458&amp;RIGHT(INDIRECT(ADDRESS(ROW(C2459)-1, 'From Order'!$A2459)), 1), C2458))"),"VBJDDVD")</f>
        <v>VBJDDVD</v>
      </c>
      <c r="D2459" s="2" t="str">
        <f>IFERROR(__xludf.DUMMYFUNCTION("IF('From Order'!$A2459=COLUMNS($A2459:D2478), LEFT(INDEX(FILTER(D$1:D2458, D$1:D2458&lt;&gt;""""),COUNTA(FILTER(D$1:D2458, D$1:D2458&lt;&gt;""""))), LEN(INDEX(FILTER(D$1:D2458, D$1:D2458&lt;&gt;""""),COUNTA(FILTER(D$1:D2458, D$1:D2458&lt;&gt;""""))))-1), IF('To Order'!$A2459=COL"&amp;"UMNS($A2459:D2478), D2458&amp;RIGHT(INDIRECT(ADDRESS(ROW(D2459)-1, 'From Order'!$A2459)), 1), D2458))"),"")</f>
        <v/>
      </c>
      <c r="E2459" s="2" t="str">
        <f>IFERROR(__xludf.DUMMYFUNCTION("IF('From Order'!$A2459=COLUMNS($A2459:E2478), LEFT(INDEX(FILTER(E$1:E2458, E$1:E2458&lt;&gt;""""),COUNTA(FILTER(E$1:E2458, E$1:E2458&lt;&gt;""""))), LEN(INDEX(FILTER(E$1:E2458, E$1:E2458&lt;&gt;""""),COUNTA(FILTER(E$1:E2458, E$1:E2458&lt;&gt;""""))))-1), IF('To Order'!$A2459=COL"&amp;"UMNS($A2459:E2478), E2458&amp;RIGHT(INDIRECT(ADDRESS(ROW(E2459)-1, 'From Order'!$A2459)), 1), E2458))"),"BRPHZMT")</f>
        <v>BRPHZMT</v>
      </c>
      <c r="F2459" s="2" t="str">
        <f>IFERROR(__xludf.DUMMYFUNCTION("IF('From Order'!$A2459=COLUMNS($A2459:F2478), LEFT(INDEX(FILTER(F$1:F2458, F$1:F2458&lt;&gt;""""),COUNTA(FILTER(F$1:F2458, F$1:F2458&lt;&gt;""""))), LEN(INDEX(FILTER(F$1:F2458, F$1:F2458&lt;&gt;""""),COUNTA(FILTER(F$1:F2458, F$1:F2458&lt;&gt;""""))))-1), IF('To Order'!$A2459=COL"&amp;"UMNS($A2459:F2478), F2458&amp;RIGHT(INDIRECT(ADDRESS(ROW(F2459)-1, 'From Order'!$A2459)), 1), F2458))"),"RSPMGTTMDZFJCTTJRRL")</f>
        <v>RSPMGTTMDZFJCTTJRRL</v>
      </c>
      <c r="G2459" s="2" t="str">
        <f>IFERROR(__xludf.DUMMYFUNCTION("IF('From Order'!$A2459=COLUMNS($A2459:G2478), LEFT(INDEX(FILTER(G$1:G2458, G$1:G2458&lt;&gt;""""),COUNTA(FILTER(G$1:G2458, G$1:G2458&lt;&gt;""""))), LEN(INDEX(FILTER(G$1:G2458, G$1:G2458&lt;&gt;""""),COUNTA(FILTER(G$1:G2458, G$1:G2458&lt;&gt;""""))))-1), IF('To Order'!$A2459=COL"&amp;"UMNS($A2459:G2478), G2458&amp;RIGHT(INDIRECT(ADDRESS(ROW(G2459)-1, 'From Order'!$A2459)), 1), G2458))"),"")</f>
        <v/>
      </c>
      <c r="H2459" s="2" t="str">
        <f>IFERROR(__xludf.DUMMYFUNCTION("IF('From Order'!$A2459=COLUMNS($A2459:H2478), LEFT(INDEX(FILTER(H$1:H2458, H$1:H2458&lt;&gt;""""),COUNTA(FILTER(H$1:H2458, H$1:H2458&lt;&gt;""""))), LEN(INDEX(FILTER(H$1:H2458, H$1:H2458&lt;&gt;""""),COUNTA(FILTER(H$1:H2458, H$1:H2458&lt;&gt;""""))))-1), IF('To Order'!$A2459=COL"&amp;"UMNS($A2459:H2478), H2458&amp;RIGHT(INDIRECT(ADDRESS(ROW(H2459)-1, 'From Order'!$A2459)), 1), H2458))"),"")</f>
        <v/>
      </c>
      <c r="I2459" s="2" t="str">
        <f>IFERROR(__xludf.DUMMYFUNCTION("IF('From Order'!$A2459=COLUMNS($A2459:I2478), LEFT(INDEX(FILTER(I$1:I2458, I$1:I2458&lt;&gt;""""),COUNTA(FILTER(I$1:I2458, I$1:I2458&lt;&gt;""""))), LEN(INDEX(FILTER(I$1:I2458, I$1:I2458&lt;&gt;""""),COUNTA(FILTER(I$1:I2458, I$1:I2458&lt;&gt;""""))))-1), IF('To Order'!$A2459=COL"&amp;"UMNS($A2459:I2478), I2458&amp;RIGHT(INDIRECT(ADDRESS(ROW(I2459)-1, 'From Order'!$A2459)), 1), I2458))"),"")</f>
        <v/>
      </c>
    </row>
    <row r="2460">
      <c r="A2460" s="2" t="str">
        <f>IFERROR(__xludf.DUMMYFUNCTION("IF('From Order'!$A2460=COLUMNS($A2460:A2479), LEFT(INDEX(FILTER(A$1:A2459, A$1:A2459&lt;&gt;""""),COUNTA(FILTER(A$1:A2459, A$1:A2459&lt;&gt;""""))), LEN(INDEX(FILTER(A$1:A2459, A$1:A2459&lt;&gt;""""),COUNTA(FILTER(A$1:A2459, A$1:A2459&lt;&gt;""""))))-1), IF('To Order'!$A2460=COL"&amp;"UMNS($A2460:A2479), A2459&amp;RIGHT(INDIRECT(ADDRESS(ROW(A2460)-1, 'From Order'!$A2460)), 1), A2459))"),"DRSZHTWLLFBDCCVQ")</f>
        <v>DRSZHTWLLFBDCCVQ</v>
      </c>
      <c r="B2460" s="2" t="str">
        <f>IFERROR(__xludf.DUMMYFUNCTION("IF('From Order'!$A2460=COLUMNS($A2460:B2479), LEFT(INDEX(FILTER(B$1:B2459, B$1:B2459&lt;&gt;""""),COUNTA(FILTER(B$1:B2459, B$1:B2459&lt;&gt;""""))), LEN(INDEX(FILTER(B$1:B2459, B$1:B2459&lt;&gt;""""),COUNTA(FILTER(B$1:B2459, B$1:B2459&lt;&gt;""""))))-1), IF('To Order'!$A2460=COL"&amp;"UMNS($A2460:B2479), B2459&amp;RIGHT(INDIRECT(ADDRESS(ROW(B2460)-1, 'From Order'!$A2460)), 1), B2459))"),"QGWBSS")</f>
        <v>QGWBSS</v>
      </c>
      <c r="C2460" s="2" t="str">
        <f>IFERROR(__xludf.DUMMYFUNCTION("IF('From Order'!$A2460=COLUMNS($A2460:C2479), LEFT(INDEX(FILTER(C$1:C2459, C$1:C2459&lt;&gt;""""),COUNTA(FILTER(C$1:C2459, C$1:C2459&lt;&gt;""""))), LEN(INDEX(FILTER(C$1:C2459, C$1:C2459&lt;&gt;""""),COUNTA(FILTER(C$1:C2459, C$1:C2459&lt;&gt;""""))))-1), IF('To Order'!$A2460=COL"&amp;"UMNS($A2460:C2479), C2459&amp;RIGHT(INDIRECT(ADDRESS(ROW(C2460)-1, 'From Order'!$A2460)), 1), C2459))"),"VBJDDVD")</f>
        <v>VBJDDVD</v>
      </c>
      <c r="D2460" s="2" t="str">
        <f>IFERROR(__xludf.DUMMYFUNCTION("IF('From Order'!$A2460=COLUMNS($A2460:D2479), LEFT(INDEX(FILTER(D$1:D2459, D$1:D2459&lt;&gt;""""),COUNTA(FILTER(D$1:D2459, D$1:D2459&lt;&gt;""""))), LEN(INDEX(FILTER(D$1:D2459, D$1:D2459&lt;&gt;""""),COUNTA(FILTER(D$1:D2459, D$1:D2459&lt;&gt;""""))))-1), IF('To Order'!$A2460=COL"&amp;"UMNS($A2460:D2479), D2459&amp;RIGHT(INDIRECT(ADDRESS(ROW(D2460)-1, 'From Order'!$A2460)), 1), D2459))"),"")</f>
        <v/>
      </c>
      <c r="E2460" s="2" t="str">
        <f>IFERROR(__xludf.DUMMYFUNCTION("IF('From Order'!$A2460=COLUMNS($A2460:E2479), LEFT(INDEX(FILTER(E$1:E2459, E$1:E2459&lt;&gt;""""),COUNTA(FILTER(E$1:E2459, E$1:E2459&lt;&gt;""""))), LEN(INDEX(FILTER(E$1:E2459, E$1:E2459&lt;&gt;""""),COUNTA(FILTER(E$1:E2459, E$1:E2459&lt;&gt;""""))))-1), IF('To Order'!$A2460=COL"&amp;"UMNS($A2460:E2479), E2459&amp;RIGHT(INDIRECT(ADDRESS(ROW(E2460)-1, 'From Order'!$A2460)), 1), E2459))"),"BRPHZMT")</f>
        <v>BRPHZMT</v>
      </c>
      <c r="F2460" s="2" t="str">
        <f>IFERROR(__xludf.DUMMYFUNCTION("IF('From Order'!$A2460=COLUMNS($A2460:F2479), LEFT(INDEX(FILTER(F$1:F2459, F$1:F2459&lt;&gt;""""),COUNTA(FILTER(F$1:F2459, F$1:F2459&lt;&gt;""""))), LEN(INDEX(FILTER(F$1:F2459, F$1:F2459&lt;&gt;""""),COUNTA(FILTER(F$1:F2459, F$1:F2459&lt;&gt;""""))))-1), IF('To Order'!$A2460=COL"&amp;"UMNS($A2460:F2479), F2459&amp;RIGHT(INDIRECT(ADDRESS(ROW(F2460)-1, 'From Order'!$A2460)), 1), F2459))"),"RSPMGTTMDZFJCTTJRRLP")</f>
        <v>RSPMGTTMDZFJCTTJRRLP</v>
      </c>
      <c r="G2460" s="2" t="str">
        <f>IFERROR(__xludf.DUMMYFUNCTION("IF('From Order'!$A2460=COLUMNS($A2460:G2479), LEFT(INDEX(FILTER(G$1:G2459, G$1:G2459&lt;&gt;""""),COUNTA(FILTER(G$1:G2459, G$1:G2459&lt;&gt;""""))), LEN(INDEX(FILTER(G$1:G2459, G$1:G2459&lt;&gt;""""),COUNTA(FILTER(G$1:G2459, G$1:G2459&lt;&gt;""""))))-1), IF('To Order'!$A2460=COL"&amp;"UMNS($A2460:G2479), G2459&amp;RIGHT(INDIRECT(ADDRESS(ROW(G2460)-1, 'From Order'!$A2460)), 1), G2459))"),"")</f>
        <v/>
      </c>
      <c r="H2460" s="2" t="str">
        <f>IFERROR(__xludf.DUMMYFUNCTION("IF('From Order'!$A2460=COLUMNS($A2460:H2479), LEFT(INDEX(FILTER(H$1:H2459, H$1:H2459&lt;&gt;""""),COUNTA(FILTER(H$1:H2459, H$1:H2459&lt;&gt;""""))), LEN(INDEX(FILTER(H$1:H2459, H$1:H2459&lt;&gt;""""),COUNTA(FILTER(H$1:H2459, H$1:H2459&lt;&gt;""""))))-1), IF('To Order'!$A2460=COL"&amp;"UMNS($A2460:H2479), H2459&amp;RIGHT(INDIRECT(ADDRESS(ROW(H2460)-1, 'From Order'!$A2460)), 1), H2459))"),"")</f>
        <v/>
      </c>
      <c r="I2460" s="2" t="str">
        <f>IFERROR(__xludf.DUMMYFUNCTION("IF('From Order'!$A2460=COLUMNS($A2460:I2479), LEFT(INDEX(FILTER(I$1:I2459, I$1:I2459&lt;&gt;""""),COUNTA(FILTER(I$1:I2459, I$1:I2459&lt;&gt;""""))), LEN(INDEX(FILTER(I$1:I2459, I$1:I2459&lt;&gt;""""),COUNTA(FILTER(I$1:I2459, I$1:I2459&lt;&gt;""""))))-1), IF('To Order'!$A2460=COL"&amp;"UMNS($A2460:I2479), I2459&amp;RIGHT(INDIRECT(ADDRESS(ROW(I2460)-1, 'From Order'!$A2460)), 1), I2459))"),"")</f>
        <v/>
      </c>
    </row>
    <row r="2461">
      <c r="A2461" s="2" t="str">
        <f>IFERROR(__xludf.DUMMYFUNCTION("IF('From Order'!$A2461=COLUMNS($A2461:A2480), LEFT(INDEX(FILTER(A$1:A2460, A$1:A2460&lt;&gt;""""),COUNTA(FILTER(A$1:A2460, A$1:A2460&lt;&gt;""""))), LEN(INDEX(FILTER(A$1:A2460, A$1:A2460&lt;&gt;""""),COUNTA(FILTER(A$1:A2460, A$1:A2460&lt;&gt;""""))))-1), IF('To Order'!$A2461=COL"&amp;"UMNS($A2461:A2480), A2460&amp;RIGHT(INDIRECT(ADDRESS(ROW(A2461)-1, 'From Order'!$A2461)), 1), A2460))"),"DRSZHTWLLFBDCCVQ")</f>
        <v>DRSZHTWLLFBDCCVQ</v>
      </c>
      <c r="B2461" s="2" t="str">
        <f>IFERROR(__xludf.DUMMYFUNCTION("IF('From Order'!$A2461=COLUMNS($A2461:B2480), LEFT(INDEX(FILTER(B$1:B2460, B$1:B2460&lt;&gt;""""),COUNTA(FILTER(B$1:B2460, B$1:B2460&lt;&gt;""""))), LEN(INDEX(FILTER(B$1:B2460, B$1:B2460&lt;&gt;""""),COUNTA(FILTER(B$1:B2460, B$1:B2460&lt;&gt;""""))))-1), IF('To Order'!$A2461=COL"&amp;"UMNS($A2461:B2480), B2460&amp;RIGHT(INDIRECT(ADDRESS(ROW(B2461)-1, 'From Order'!$A2461)), 1), B2460))"),"QGWBS")</f>
        <v>QGWBS</v>
      </c>
      <c r="C2461" s="2" t="str">
        <f>IFERROR(__xludf.DUMMYFUNCTION("IF('From Order'!$A2461=COLUMNS($A2461:C2480), LEFT(INDEX(FILTER(C$1:C2460, C$1:C2460&lt;&gt;""""),COUNTA(FILTER(C$1:C2460, C$1:C2460&lt;&gt;""""))), LEN(INDEX(FILTER(C$1:C2460, C$1:C2460&lt;&gt;""""),COUNTA(FILTER(C$1:C2460, C$1:C2460&lt;&gt;""""))))-1), IF('To Order'!$A2461=COL"&amp;"UMNS($A2461:C2480), C2460&amp;RIGHT(INDIRECT(ADDRESS(ROW(C2461)-1, 'From Order'!$A2461)), 1), C2460))"),"VBJDDVD")</f>
        <v>VBJDDVD</v>
      </c>
      <c r="D2461" s="2" t="str">
        <f>IFERROR(__xludf.DUMMYFUNCTION("IF('From Order'!$A2461=COLUMNS($A2461:D2480), LEFT(INDEX(FILTER(D$1:D2460, D$1:D2460&lt;&gt;""""),COUNTA(FILTER(D$1:D2460, D$1:D2460&lt;&gt;""""))), LEN(INDEX(FILTER(D$1:D2460, D$1:D2460&lt;&gt;""""),COUNTA(FILTER(D$1:D2460, D$1:D2460&lt;&gt;""""))))-1), IF('To Order'!$A2461=COL"&amp;"UMNS($A2461:D2480), D2460&amp;RIGHT(INDIRECT(ADDRESS(ROW(D2461)-1, 'From Order'!$A2461)), 1), D2460))"),"")</f>
        <v/>
      </c>
      <c r="E2461" s="2" t="str">
        <f>IFERROR(__xludf.DUMMYFUNCTION("IF('From Order'!$A2461=COLUMNS($A2461:E2480), LEFT(INDEX(FILTER(E$1:E2460, E$1:E2460&lt;&gt;""""),COUNTA(FILTER(E$1:E2460, E$1:E2460&lt;&gt;""""))), LEN(INDEX(FILTER(E$1:E2460, E$1:E2460&lt;&gt;""""),COUNTA(FILTER(E$1:E2460, E$1:E2460&lt;&gt;""""))))-1), IF('To Order'!$A2461=COL"&amp;"UMNS($A2461:E2480), E2460&amp;RIGHT(INDIRECT(ADDRESS(ROW(E2461)-1, 'From Order'!$A2461)), 1), E2460))"),"BRPHZMT")</f>
        <v>BRPHZMT</v>
      </c>
      <c r="F2461" s="2" t="str">
        <f>IFERROR(__xludf.DUMMYFUNCTION("IF('From Order'!$A2461=COLUMNS($A2461:F2480), LEFT(INDEX(FILTER(F$1:F2460, F$1:F2460&lt;&gt;""""),COUNTA(FILTER(F$1:F2460, F$1:F2460&lt;&gt;""""))), LEN(INDEX(FILTER(F$1:F2460, F$1:F2460&lt;&gt;""""),COUNTA(FILTER(F$1:F2460, F$1:F2460&lt;&gt;""""))))-1), IF('To Order'!$A2461=COL"&amp;"UMNS($A2461:F2480), F2460&amp;RIGHT(INDIRECT(ADDRESS(ROW(F2461)-1, 'From Order'!$A2461)), 1), F2460))"),"RSPMGTTMDZFJCTTJRRLPS")</f>
        <v>RSPMGTTMDZFJCTTJRRLPS</v>
      </c>
      <c r="G2461" s="2" t="str">
        <f>IFERROR(__xludf.DUMMYFUNCTION("IF('From Order'!$A2461=COLUMNS($A2461:G2480), LEFT(INDEX(FILTER(G$1:G2460, G$1:G2460&lt;&gt;""""),COUNTA(FILTER(G$1:G2460, G$1:G2460&lt;&gt;""""))), LEN(INDEX(FILTER(G$1:G2460, G$1:G2460&lt;&gt;""""),COUNTA(FILTER(G$1:G2460, G$1:G2460&lt;&gt;""""))))-1), IF('To Order'!$A2461=COL"&amp;"UMNS($A2461:G2480), G2460&amp;RIGHT(INDIRECT(ADDRESS(ROW(G2461)-1, 'From Order'!$A2461)), 1), G2460))"),"")</f>
        <v/>
      </c>
      <c r="H2461" s="2" t="str">
        <f>IFERROR(__xludf.DUMMYFUNCTION("IF('From Order'!$A2461=COLUMNS($A2461:H2480), LEFT(INDEX(FILTER(H$1:H2460, H$1:H2460&lt;&gt;""""),COUNTA(FILTER(H$1:H2460, H$1:H2460&lt;&gt;""""))), LEN(INDEX(FILTER(H$1:H2460, H$1:H2460&lt;&gt;""""),COUNTA(FILTER(H$1:H2460, H$1:H2460&lt;&gt;""""))))-1), IF('To Order'!$A2461=COL"&amp;"UMNS($A2461:H2480), H2460&amp;RIGHT(INDIRECT(ADDRESS(ROW(H2461)-1, 'From Order'!$A2461)), 1), H2460))"),"")</f>
        <v/>
      </c>
      <c r="I2461" s="2" t="str">
        <f>IFERROR(__xludf.DUMMYFUNCTION("IF('From Order'!$A2461=COLUMNS($A2461:I2480), LEFT(INDEX(FILTER(I$1:I2460, I$1:I2460&lt;&gt;""""),COUNTA(FILTER(I$1:I2460, I$1:I2460&lt;&gt;""""))), LEN(INDEX(FILTER(I$1:I2460, I$1:I2460&lt;&gt;""""),COUNTA(FILTER(I$1:I2460, I$1:I2460&lt;&gt;""""))))-1), IF('To Order'!$A2461=COL"&amp;"UMNS($A2461:I2480), I2460&amp;RIGHT(INDIRECT(ADDRESS(ROW(I2461)-1, 'From Order'!$A2461)), 1), I2460))"),"")</f>
        <v/>
      </c>
    </row>
    <row r="2462">
      <c r="A2462" s="2" t="str">
        <f>IFERROR(__xludf.DUMMYFUNCTION("IF('From Order'!$A2462=COLUMNS($A2462:A2481), LEFT(INDEX(FILTER(A$1:A2461, A$1:A2461&lt;&gt;""""),COUNTA(FILTER(A$1:A2461, A$1:A2461&lt;&gt;""""))), LEN(INDEX(FILTER(A$1:A2461, A$1:A2461&lt;&gt;""""),COUNTA(FILTER(A$1:A2461, A$1:A2461&lt;&gt;""""))))-1), IF('To Order'!$A2462=COL"&amp;"UMNS($A2462:A2481), A2461&amp;RIGHT(INDIRECT(ADDRESS(ROW(A2462)-1, 'From Order'!$A2462)), 1), A2461))"),"DRSZHTWLLFBDCCV")</f>
        <v>DRSZHTWLLFBDCCV</v>
      </c>
      <c r="B2462" s="2" t="str">
        <f>IFERROR(__xludf.DUMMYFUNCTION("IF('From Order'!$A2462=COLUMNS($A2462:B2481), LEFT(INDEX(FILTER(B$1:B2461, B$1:B2461&lt;&gt;""""),COUNTA(FILTER(B$1:B2461, B$1:B2461&lt;&gt;""""))), LEN(INDEX(FILTER(B$1:B2461, B$1:B2461&lt;&gt;""""),COUNTA(FILTER(B$1:B2461, B$1:B2461&lt;&gt;""""))))-1), IF('To Order'!$A2462=COL"&amp;"UMNS($A2462:B2481), B2461&amp;RIGHT(INDIRECT(ADDRESS(ROW(B2462)-1, 'From Order'!$A2462)), 1), B2461))"),"QGWBS")</f>
        <v>QGWBS</v>
      </c>
      <c r="C2462" s="2" t="str">
        <f>IFERROR(__xludf.DUMMYFUNCTION("IF('From Order'!$A2462=COLUMNS($A2462:C2481), LEFT(INDEX(FILTER(C$1:C2461, C$1:C2461&lt;&gt;""""),COUNTA(FILTER(C$1:C2461, C$1:C2461&lt;&gt;""""))), LEN(INDEX(FILTER(C$1:C2461, C$1:C2461&lt;&gt;""""),COUNTA(FILTER(C$1:C2461, C$1:C2461&lt;&gt;""""))))-1), IF('To Order'!$A2462=COL"&amp;"UMNS($A2462:C2481), C2461&amp;RIGHT(INDIRECT(ADDRESS(ROW(C2462)-1, 'From Order'!$A2462)), 1), C2461))"),"VBJDDVD")</f>
        <v>VBJDDVD</v>
      </c>
      <c r="D2462" s="2" t="str">
        <f>IFERROR(__xludf.DUMMYFUNCTION("IF('From Order'!$A2462=COLUMNS($A2462:D2481), LEFT(INDEX(FILTER(D$1:D2461, D$1:D2461&lt;&gt;""""),COUNTA(FILTER(D$1:D2461, D$1:D2461&lt;&gt;""""))), LEN(INDEX(FILTER(D$1:D2461, D$1:D2461&lt;&gt;""""),COUNTA(FILTER(D$1:D2461, D$1:D2461&lt;&gt;""""))))-1), IF('To Order'!$A2462=COL"&amp;"UMNS($A2462:D2481), D2461&amp;RIGHT(INDIRECT(ADDRESS(ROW(D2462)-1, 'From Order'!$A2462)), 1), D2461))"),"")</f>
        <v/>
      </c>
      <c r="E2462" s="2" t="str">
        <f>IFERROR(__xludf.DUMMYFUNCTION("IF('From Order'!$A2462=COLUMNS($A2462:E2481), LEFT(INDEX(FILTER(E$1:E2461, E$1:E2461&lt;&gt;""""),COUNTA(FILTER(E$1:E2461, E$1:E2461&lt;&gt;""""))), LEN(INDEX(FILTER(E$1:E2461, E$1:E2461&lt;&gt;""""),COUNTA(FILTER(E$1:E2461, E$1:E2461&lt;&gt;""""))))-1), IF('To Order'!$A2462=COL"&amp;"UMNS($A2462:E2481), E2461&amp;RIGHT(INDIRECT(ADDRESS(ROW(E2462)-1, 'From Order'!$A2462)), 1), E2461))"),"BRPHZMT")</f>
        <v>BRPHZMT</v>
      </c>
      <c r="F2462" s="2" t="str">
        <f>IFERROR(__xludf.DUMMYFUNCTION("IF('From Order'!$A2462=COLUMNS($A2462:F2481), LEFT(INDEX(FILTER(F$1:F2461, F$1:F2461&lt;&gt;""""),COUNTA(FILTER(F$1:F2461, F$1:F2461&lt;&gt;""""))), LEN(INDEX(FILTER(F$1:F2461, F$1:F2461&lt;&gt;""""),COUNTA(FILTER(F$1:F2461, F$1:F2461&lt;&gt;""""))))-1), IF('To Order'!$A2462=COL"&amp;"UMNS($A2462:F2481), F2461&amp;RIGHT(INDIRECT(ADDRESS(ROW(F2462)-1, 'From Order'!$A2462)), 1), F2461))"),"RSPMGTTMDZFJCTTJRRLPS")</f>
        <v>RSPMGTTMDZFJCTTJRRLPS</v>
      </c>
      <c r="G2462" s="2" t="str">
        <f>IFERROR(__xludf.DUMMYFUNCTION("IF('From Order'!$A2462=COLUMNS($A2462:G2481), LEFT(INDEX(FILTER(G$1:G2461, G$1:G2461&lt;&gt;""""),COUNTA(FILTER(G$1:G2461, G$1:G2461&lt;&gt;""""))), LEN(INDEX(FILTER(G$1:G2461, G$1:G2461&lt;&gt;""""),COUNTA(FILTER(G$1:G2461, G$1:G2461&lt;&gt;""""))))-1), IF('To Order'!$A2462=COL"&amp;"UMNS($A2462:G2481), G2461&amp;RIGHT(INDIRECT(ADDRESS(ROW(G2462)-1, 'From Order'!$A2462)), 1), G2461))"),"")</f>
        <v/>
      </c>
      <c r="H2462" s="2" t="str">
        <f>IFERROR(__xludf.DUMMYFUNCTION("IF('From Order'!$A2462=COLUMNS($A2462:H2481), LEFT(INDEX(FILTER(H$1:H2461, H$1:H2461&lt;&gt;""""),COUNTA(FILTER(H$1:H2461, H$1:H2461&lt;&gt;""""))), LEN(INDEX(FILTER(H$1:H2461, H$1:H2461&lt;&gt;""""),COUNTA(FILTER(H$1:H2461, H$1:H2461&lt;&gt;""""))))-1), IF('To Order'!$A2462=COL"&amp;"UMNS($A2462:H2481), H2461&amp;RIGHT(INDIRECT(ADDRESS(ROW(H2462)-1, 'From Order'!$A2462)), 1), H2461))"),"")</f>
        <v/>
      </c>
      <c r="I2462" s="2" t="str">
        <f>IFERROR(__xludf.DUMMYFUNCTION("IF('From Order'!$A2462=COLUMNS($A2462:I2481), LEFT(INDEX(FILTER(I$1:I2461, I$1:I2461&lt;&gt;""""),COUNTA(FILTER(I$1:I2461, I$1:I2461&lt;&gt;""""))), LEN(INDEX(FILTER(I$1:I2461, I$1:I2461&lt;&gt;""""),COUNTA(FILTER(I$1:I2461, I$1:I2461&lt;&gt;""""))))-1), IF('To Order'!$A2462=COL"&amp;"UMNS($A2462:I2481), I2461&amp;RIGHT(INDIRECT(ADDRESS(ROW(I2462)-1, 'From Order'!$A2462)), 1), I2461))"),"Q")</f>
        <v>Q</v>
      </c>
    </row>
    <row r="2463">
      <c r="A2463" s="2" t="str">
        <f>IFERROR(__xludf.DUMMYFUNCTION("IF('From Order'!$A2463=COLUMNS($A2463:A2482), LEFT(INDEX(FILTER(A$1:A2462, A$1:A2462&lt;&gt;""""),COUNTA(FILTER(A$1:A2462, A$1:A2462&lt;&gt;""""))), LEN(INDEX(FILTER(A$1:A2462, A$1:A2462&lt;&gt;""""),COUNTA(FILTER(A$1:A2462, A$1:A2462&lt;&gt;""""))))-1), IF('To Order'!$A2463=COL"&amp;"UMNS($A2463:A2482), A2462&amp;RIGHT(INDIRECT(ADDRESS(ROW(A2463)-1, 'From Order'!$A2463)), 1), A2462))"),"DRSZHTWLLFBDCC")</f>
        <v>DRSZHTWLLFBDCC</v>
      </c>
      <c r="B2463" s="2" t="str">
        <f>IFERROR(__xludf.DUMMYFUNCTION("IF('From Order'!$A2463=COLUMNS($A2463:B2482), LEFT(INDEX(FILTER(B$1:B2462, B$1:B2462&lt;&gt;""""),COUNTA(FILTER(B$1:B2462, B$1:B2462&lt;&gt;""""))), LEN(INDEX(FILTER(B$1:B2462, B$1:B2462&lt;&gt;""""),COUNTA(FILTER(B$1:B2462, B$1:B2462&lt;&gt;""""))))-1), IF('To Order'!$A2463=COL"&amp;"UMNS($A2463:B2482), B2462&amp;RIGHT(INDIRECT(ADDRESS(ROW(B2463)-1, 'From Order'!$A2463)), 1), B2462))"),"QGWBS")</f>
        <v>QGWBS</v>
      </c>
      <c r="C2463" s="2" t="str">
        <f>IFERROR(__xludf.DUMMYFUNCTION("IF('From Order'!$A2463=COLUMNS($A2463:C2482), LEFT(INDEX(FILTER(C$1:C2462, C$1:C2462&lt;&gt;""""),COUNTA(FILTER(C$1:C2462, C$1:C2462&lt;&gt;""""))), LEN(INDEX(FILTER(C$1:C2462, C$1:C2462&lt;&gt;""""),COUNTA(FILTER(C$1:C2462, C$1:C2462&lt;&gt;""""))))-1), IF('To Order'!$A2463=COL"&amp;"UMNS($A2463:C2482), C2462&amp;RIGHT(INDIRECT(ADDRESS(ROW(C2463)-1, 'From Order'!$A2463)), 1), C2462))"),"VBJDDVD")</f>
        <v>VBJDDVD</v>
      </c>
      <c r="D2463" s="2" t="str">
        <f>IFERROR(__xludf.DUMMYFUNCTION("IF('From Order'!$A2463=COLUMNS($A2463:D2482), LEFT(INDEX(FILTER(D$1:D2462, D$1:D2462&lt;&gt;""""),COUNTA(FILTER(D$1:D2462, D$1:D2462&lt;&gt;""""))), LEN(INDEX(FILTER(D$1:D2462, D$1:D2462&lt;&gt;""""),COUNTA(FILTER(D$1:D2462, D$1:D2462&lt;&gt;""""))))-1), IF('To Order'!$A2463=COL"&amp;"UMNS($A2463:D2482), D2462&amp;RIGHT(INDIRECT(ADDRESS(ROW(D2463)-1, 'From Order'!$A2463)), 1), D2462))"),"")</f>
        <v/>
      </c>
      <c r="E2463" s="2" t="str">
        <f>IFERROR(__xludf.DUMMYFUNCTION("IF('From Order'!$A2463=COLUMNS($A2463:E2482), LEFT(INDEX(FILTER(E$1:E2462, E$1:E2462&lt;&gt;""""),COUNTA(FILTER(E$1:E2462, E$1:E2462&lt;&gt;""""))), LEN(INDEX(FILTER(E$1:E2462, E$1:E2462&lt;&gt;""""),COUNTA(FILTER(E$1:E2462, E$1:E2462&lt;&gt;""""))))-1), IF('To Order'!$A2463=COL"&amp;"UMNS($A2463:E2482), E2462&amp;RIGHT(INDIRECT(ADDRESS(ROW(E2463)-1, 'From Order'!$A2463)), 1), E2462))"),"BRPHZMT")</f>
        <v>BRPHZMT</v>
      </c>
      <c r="F2463" s="2" t="str">
        <f>IFERROR(__xludf.DUMMYFUNCTION("IF('From Order'!$A2463=COLUMNS($A2463:F2482), LEFT(INDEX(FILTER(F$1:F2462, F$1:F2462&lt;&gt;""""),COUNTA(FILTER(F$1:F2462, F$1:F2462&lt;&gt;""""))), LEN(INDEX(FILTER(F$1:F2462, F$1:F2462&lt;&gt;""""),COUNTA(FILTER(F$1:F2462, F$1:F2462&lt;&gt;""""))))-1), IF('To Order'!$A2463=COL"&amp;"UMNS($A2463:F2482), F2462&amp;RIGHT(INDIRECT(ADDRESS(ROW(F2463)-1, 'From Order'!$A2463)), 1), F2462))"),"RSPMGTTMDZFJCTTJRRLPS")</f>
        <v>RSPMGTTMDZFJCTTJRRLPS</v>
      </c>
      <c r="G2463" s="2" t="str">
        <f>IFERROR(__xludf.DUMMYFUNCTION("IF('From Order'!$A2463=COLUMNS($A2463:G2482), LEFT(INDEX(FILTER(G$1:G2462, G$1:G2462&lt;&gt;""""),COUNTA(FILTER(G$1:G2462, G$1:G2462&lt;&gt;""""))), LEN(INDEX(FILTER(G$1:G2462, G$1:G2462&lt;&gt;""""),COUNTA(FILTER(G$1:G2462, G$1:G2462&lt;&gt;""""))))-1), IF('To Order'!$A2463=COL"&amp;"UMNS($A2463:G2482), G2462&amp;RIGHT(INDIRECT(ADDRESS(ROW(G2463)-1, 'From Order'!$A2463)), 1), G2462))"),"")</f>
        <v/>
      </c>
      <c r="H2463" s="2" t="str">
        <f>IFERROR(__xludf.DUMMYFUNCTION("IF('From Order'!$A2463=COLUMNS($A2463:H2482), LEFT(INDEX(FILTER(H$1:H2462, H$1:H2462&lt;&gt;""""),COUNTA(FILTER(H$1:H2462, H$1:H2462&lt;&gt;""""))), LEN(INDEX(FILTER(H$1:H2462, H$1:H2462&lt;&gt;""""),COUNTA(FILTER(H$1:H2462, H$1:H2462&lt;&gt;""""))))-1), IF('To Order'!$A2463=COL"&amp;"UMNS($A2463:H2482), H2462&amp;RIGHT(INDIRECT(ADDRESS(ROW(H2463)-1, 'From Order'!$A2463)), 1), H2462))"),"")</f>
        <v/>
      </c>
      <c r="I2463" s="2" t="str">
        <f>IFERROR(__xludf.DUMMYFUNCTION("IF('From Order'!$A2463=COLUMNS($A2463:I2482), LEFT(INDEX(FILTER(I$1:I2462, I$1:I2462&lt;&gt;""""),COUNTA(FILTER(I$1:I2462, I$1:I2462&lt;&gt;""""))), LEN(INDEX(FILTER(I$1:I2462, I$1:I2462&lt;&gt;""""),COUNTA(FILTER(I$1:I2462, I$1:I2462&lt;&gt;""""))))-1), IF('To Order'!$A2463=COL"&amp;"UMNS($A2463:I2482), I2462&amp;RIGHT(INDIRECT(ADDRESS(ROW(I2463)-1, 'From Order'!$A2463)), 1), I2462))"),"QV")</f>
        <v>QV</v>
      </c>
    </row>
    <row r="2464">
      <c r="A2464" s="2" t="str">
        <f>IFERROR(__xludf.DUMMYFUNCTION("IF('From Order'!$A2464=COLUMNS($A2464:A2483), LEFT(INDEX(FILTER(A$1:A2463, A$1:A2463&lt;&gt;""""),COUNTA(FILTER(A$1:A2463, A$1:A2463&lt;&gt;""""))), LEN(INDEX(FILTER(A$1:A2463, A$1:A2463&lt;&gt;""""),COUNTA(FILTER(A$1:A2463, A$1:A2463&lt;&gt;""""))))-1), IF('To Order'!$A2464=COL"&amp;"UMNS($A2464:A2483), A2463&amp;RIGHT(INDIRECT(ADDRESS(ROW(A2464)-1, 'From Order'!$A2464)), 1), A2463))"),"DRSZHTWLLFBDC")</f>
        <v>DRSZHTWLLFBDC</v>
      </c>
      <c r="B2464" s="2" t="str">
        <f>IFERROR(__xludf.DUMMYFUNCTION("IF('From Order'!$A2464=COLUMNS($A2464:B2483), LEFT(INDEX(FILTER(B$1:B2463, B$1:B2463&lt;&gt;""""),COUNTA(FILTER(B$1:B2463, B$1:B2463&lt;&gt;""""))), LEN(INDEX(FILTER(B$1:B2463, B$1:B2463&lt;&gt;""""),COUNTA(FILTER(B$1:B2463, B$1:B2463&lt;&gt;""""))))-1), IF('To Order'!$A2464=COL"&amp;"UMNS($A2464:B2483), B2463&amp;RIGHT(INDIRECT(ADDRESS(ROW(B2464)-1, 'From Order'!$A2464)), 1), B2463))"),"QGWBS")</f>
        <v>QGWBS</v>
      </c>
      <c r="C2464" s="2" t="str">
        <f>IFERROR(__xludf.DUMMYFUNCTION("IF('From Order'!$A2464=COLUMNS($A2464:C2483), LEFT(INDEX(FILTER(C$1:C2463, C$1:C2463&lt;&gt;""""),COUNTA(FILTER(C$1:C2463, C$1:C2463&lt;&gt;""""))), LEN(INDEX(FILTER(C$1:C2463, C$1:C2463&lt;&gt;""""),COUNTA(FILTER(C$1:C2463, C$1:C2463&lt;&gt;""""))))-1), IF('To Order'!$A2464=COL"&amp;"UMNS($A2464:C2483), C2463&amp;RIGHT(INDIRECT(ADDRESS(ROW(C2464)-1, 'From Order'!$A2464)), 1), C2463))"),"VBJDDVD")</f>
        <v>VBJDDVD</v>
      </c>
      <c r="D2464" s="2" t="str">
        <f>IFERROR(__xludf.DUMMYFUNCTION("IF('From Order'!$A2464=COLUMNS($A2464:D2483), LEFT(INDEX(FILTER(D$1:D2463, D$1:D2463&lt;&gt;""""),COUNTA(FILTER(D$1:D2463, D$1:D2463&lt;&gt;""""))), LEN(INDEX(FILTER(D$1:D2463, D$1:D2463&lt;&gt;""""),COUNTA(FILTER(D$1:D2463, D$1:D2463&lt;&gt;""""))))-1), IF('To Order'!$A2464=COL"&amp;"UMNS($A2464:D2483), D2463&amp;RIGHT(INDIRECT(ADDRESS(ROW(D2464)-1, 'From Order'!$A2464)), 1), D2463))"),"")</f>
        <v/>
      </c>
      <c r="E2464" s="2" t="str">
        <f>IFERROR(__xludf.DUMMYFUNCTION("IF('From Order'!$A2464=COLUMNS($A2464:E2483), LEFT(INDEX(FILTER(E$1:E2463, E$1:E2463&lt;&gt;""""),COUNTA(FILTER(E$1:E2463, E$1:E2463&lt;&gt;""""))), LEN(INDEX(FILTER(E$1:E2463, E$1:E2463&lt;&gt;""""),COUNTA(FILTER(E$1:E2463, E$1:E2463&lt;&gt;""""))))-1), IF('To Order'!$A2464=COL"&amp;"UMNS($A2464:E2483), E2463&amp;RIGHT(INDIRECT(ADDRESS(ROW(E2464)-1, 'From Order'!$A2464)), 1), E2463))"),"BRPHZMT")</f>
        <v>BRPHZMT</v>
      </c>
      <c r="F2464" s="2" t="str">
        <f>IFERROR(__xludf.DUMMYFUNCTION("IF('From Order'!$A2464=COLUMNS($A2464:F2483), LEFT(INDEX(FILTER(F$1:F2463, F$1:F2463&lt;&gt;""""),COUNTA(FILTER(F$1:F2463, F$1:F2463&lt;&gt;""""))), LEN(INDEX(FILTER(F$1:F2463, F$1:F2463&lt;&gt;""""),COUNTA(FILTER(F$1:F2463, F$1:F2463&lt;&gt;""""))))-1), IF('To Order'!$A2464=COL"&amp;"UMNS($A2464:F2483), F2463&amp;RIGHT(INDIRECT(ADDRESS(ROW(F2464)-1, 'From Order'!$A2464)), 1), F2463))"),"RSPMGTTMDZFJCTTJRRLPS")</f>
        <v>RSPMGTTMDZFJCTTJRRLPS</v>
      </c>
      <c r="G2464" s="2" t="str">
        <f>IFERROR(__xludf.DUMMYFUNCTION("IF('From Order'!$A2464=COLUMNS($A2464:G2483), LEFT(INDEX(FILTER(G$1:G2463, G$1:G2463&lt;&gt;""""),COUNTA(FILTER(G$1:G2463, G$1:G2463&lt;&gt;""""))), LEN(INDEX(FILTER(G$1:G2463, G$1:G2463&lt;&gt;""""),COUNTA(FILTER(G$1:G2463, G$1:G2463&lt;&gt;""""))))-1), IF('To Order'!$A2464=COL"&amp;"UMNS($A2464:G2483), G2463&amp;RIGHT(INDIRECT(ADDRESS(ROW(G2464)-1, 'From Order'!$A2464)), 1), G2463))"),"")</f>
        <v/>
      </c>
      <c r="H2464" s="2" t="str">
        <f>IFERROR(__xludf.DUMMYFUNCTION("IF('From Order'!$A2464=COLUMNS($A2464:H2483), LEFT(INDEX(FILTER(H$1:H2463, H$1:H2463&lt;&gt;""""),COUNTA(FILTER(H$1:H2463, H$1:H2463&lt;&gt;""""))), LEN(INDEX(FILTER(H$1:H2463, H$1:H2463&lt;&gt;""""),COUNTA(FILTER(H$1:H2463, H$1:H2463&lt;&gt;""""))))-1), IF('To Order'!$A2464=COL"&amp;"UMNS($A2464:H2483), H2463&amp;RIGHT(INDIRECT(ADDRESS(ROW(H2464)-1, 'From Order'!$A2464)), 1), H2463))"),"")</f>
        <v/>
      </c>
      <c r="I2464" s="2" t="str">
        <f>IFERROR(__xludf.DUMMYFUNCTION("IF('From Order'!$A2464=COLUMNS($A2464:I2483), LEFT(INDEX(FILTER(I$1:I2463, I$1:I2463&lt;&gt;""""),COUNTA(FILTER(I$1:I2463, I$1:I2463&lt;&gt;""""))), LEN(INDEX(FILTER(I$1:I2463, I$1:I2463&lt;&gt;""""),COUNTA(FILTER(I$1:I2463, I$1:I2463&lt;&gt;""""))))-1), IF('To Order'!$A2464=COL"&amp;"UMNS($A2464:I2483), I2463&amp;RIGHT(INDIRECT(ADDRESS(ROW(I2464)-1, 'From Order'!$A2464)), 1), I2463))"),"QVC")</f>
        <v>QVC</v>
      </c>
    </row>
    <row r="2465">
      <c r="A2465" s="2" t="str">
        <f>IFERROR(__xludf.DUMMYFUNCTION("IF('From Order'!$A2465=COLUMNS($A2465:A2484), LEFT(INDEX(FILTER(A$1:A2464, A$1:A2464&lt;&gt;""""),COUNTA(FILTER(A$1:A2464, A$1:A2464&lt;&gt;""""))), LEN(INDEX(FILTER(A$1:A2464, A$1:A2464&lt;&gt;""""),COUNTA(FILTER(A$1:A2464, A$1:A2464&lt;&gt;""""))))-1), IF('To Order'!$A2465=COL"&amp;"UMNS($A2465:A2484), A2464&amp;RIGHT(INDIRECT(ADDRESS(ROW(A2465)-1, 'From Order'!$A2465)), 1), A2464))"),"DRSZHTWLLFBDC")</f>
        <v>DRSZHTWLLFBDC</v>
      </c>
      <c r="B2465" s="2" t="str">
        <f>IFERROR(__xludf.DUMMYFUNCTION("IF('From Order'!$A2465=COLUMNS($A2465:B2484), LEFT(INDEX(FILTER(B$1:B2464, B$1:B2464&lt;&gt;""""),COUNTA(FILTER(B$1:B2464, B$1:B2464&lt;&gt;""""))), LEN(INDEX(FILTER(B$1:B2464, B$1:B2464&lt;&gt;""""),COUNTA(FILTER(B$1:B2464, B$1:B2464&lt;&gt;""""))))-1), IF('To Order'!$A2465=COL"&amp;"UMNS($A2465:B2484), B2464&amp;RIGHT(INDIRECT(ADDRESS(ROW(B2465)-1, 'From Order'!$A2465)), 1), B2464))"),"QGWBS")</f>
        <v>QGWBS</v>
      </c>
      <c r="C2465" s="2" t="str">
        <f>IFERROR(__xludf.DUMMYFUNCTION("IF('From Order'!$A2465=COLUMNS($A2465:C2484), LEFT(INDEX(FILTER(C$1:C2464, C$1:C2464&lt;&gt;""""),COUNTA(FILTER(C$1:C2464, C$1:C2464&lt;&gt;""""))), LEN(INDEX(FILTER(C$1:C2464, C$1:C2464&lt;&gt;""""),COUNTA(FILTER(C$1:C2464, C$1:C2464&lt;&gt;""""))))-1), IF('To Order'!$A2465=COL"&amp;"UMNS($A2465:C2484), C2464&amp;RIGHT(INDIRECT(ADDRESS(ROW(C2465)-1, 'From Order'!$A2465)), 1), C2464))"),"VBJDDV")</f>
        <v>VBJDDV</v>
      </c>
      <c r="D2465" s="2" t="str">
        <f>IFERROR(__xludf.DUMMYFUNCTION("IF('From Order'!$A2465=COLUMNS($A2465:D2484), LEFT(INDEX(FILTER(D$1:D2464, D$1:D2464&lt;&gt;""""),COUNTA(FILTER(D$1:D2464, D$1:D2464&lt;&gt;""""))), LEN(INDEX(FILTER(D$1:D2464, D$1:D2464&lt;&gt;""""),COUNTA(FILTER(D$1:D2464, D$1:D2464&lt;&gt;""""))))-1), IF('To Order'!$A2465=COL"&amp;"UMNS($A2465:D2484), D2464&amp;RIGHT(INDIRECT(ADDRESS(ROW(D2465)-1, 'From Order'!$A2465)), 1), D2464))"),"")</f>
        <v/>
      </c>
      <c r="E2465" s="2" t="str">
        <f>IFERROR(__xludf.DUMMYFUNCTION("IF('From Order'!$A2465=COLUMNS($A2465:E2484), LEFT(INDEX(FILTER(E$1:E2464, E$1:E2464&lt;&gt;""""),COUNTA(FILTER(E$1:E2464, E$1:E2464&lt;&gt;""""))), LEN(INDEX(FILTER(E$1:E2464, E$1:E2464&lt;&gt;""""),COUNTA(FILTER(E$1:E2464, E$1:E2464&lt;&gt;""""))))-1), IF('To Order'!$A2465=COL"&amp;"UMNS($A2465:E2484), E2464&amp;RIGHT(INDIRECT(ADDRESS(ROW(E2465)-1, 'From Order'!$A2465)), 1), E2464))"),"BRPHZMT")</f>
        <v>BRPHZMT</v>
      </c>
      <c r="F2465" s="2" t="str">
        <f>IFERROR(__xludf.DUMMYFUNCTION("IF('From Order'!$A2465=COLUMNS($A2465:F2484), LEFT(INDEX(FILTER(F$1:F2464, F$1:F2464&lt;&gt;""""),COUNTA(FILTER(F$1:F2464, F$1:F2464&lt;&gt;""""))), LEN(INDEX(FILTER(F$1:F2464, F$1:F2464&lt;&gt;""""),COUNTA(FILTER(F$1:F2464, F$1:F2464&lt;&gt;""""))))-1), IF('To Order'!$A2465=COL"&amp;"UMNS($A2465:F2484), F2464&amp;RIGHT(INDIRECT(ADDRESS(ROW(F2465)-1, 'From Order'!$A2465)), 1), F2464))"),"RSPMGTTMDZFJCTTJRRLPS")</f>
        <v>RSPMGTTMDZFJCTTJRRLPS</v>
      </c>
      <c r="G2465" s="2" t="str">
        <f>IFERROR(__xludf.DUMMYFUNCTION("IF('From Order'!$A2465=COLUMNS($A2465:G2484), LEFT(INDEX(FILTER(G$1:G2464, G$1:G2464&lt;&gt;""""),COUNTA(FILTER(G$1:G2464, G$1:G2464&lt;&gt;""""))), LEN(INDEX(FILTER(G$1:G2464, G$1:G2464&lt;&gt;""""),COUNTA(FILTER(G$1:G2464, G$1:G2464&lt;&gt;""""))))-1), IF('To Order'!$A2465=COL"&amp;"UMNS($A2465:G2484), G2464&amp;RIGHT(INDIRECT(ADDRESS(ROW(G2465)-1, 'From Order'!$A2465)), 1), G2464))"),"D")</f>
        <v>D</v>
      </c>
      <c r="H2465" s="2" t="str">
        <f>IFERROR(__xludf.DUMMYFUNCTION("IF('From Order'!$A2465=COLUMNS($A2465:H2484), LEFT(INDEX(FILTER(H$1:H2464, H$1:H2464&lt;&gt;""""),COUNTA(FILTER(H$1:H2464, H$1:H2464&lt;&gt;""""))), LEN(INDEX(FILTER(H$1:H2464, H$1:H2464&lt;&gt;""""),COUNTA(FILTER(H$1:H2464, H$1:H2464&lt;&gt;""""))))-1), IF('To Order'!$A2465=COL"&amp;"UMNS($A2465:H2484), H2464&amp;RIGHT(INDIRECT(ADDRESS(ROW(H2465)-1, 'From Order'!$A2465)), 1), H2464))"),"")</f>
        <v/>
      </c>
      <c r="I2465" s="2" t="str">
        <f>IFERROR(__xludf.DUMMYFUNCTION("IF('From Order'!$A2465=COLUMNS($A2465:I2484), LEFT(INDEX(FILTER(I$1:I2464, I$1:I2464&lt;&gt;""""),COUNTA(FILTER(I$1:I2464, I$1:I2464&lt;&gt;""""))), LEN(INDEX(FILTER(I$1:I2464, I$1:I2464&lt;&gt;""""),COUNTA(FILTER(I$1:I2464, I$1:I2464&lt;&gt;""""))))-1), IF('To Order'!$A2465=COL"&amp;"UMNS($A2465:I2484), I2464&amp;RIGHT(INDIRECT(ADDRESS(ROW(I2465)-1, 'From Order'!$A2465)), 1), I2464))"),"QVC")</f>
        <v>QVC</v>
      </c>
    </row>
    <row r="2466">
      <c r="A2466" s="2" t="str">
        <f>IFERROR(__xludf.DUMMYFUNCTION("IF('From Order'!$A2466=COLUMNS($A2466:A2485), LEFT(INDEX(FILTER(A$1:A2465, A$1:A2465&lt;&gt;""""),COUNTA(FILTER(A$1:A2465, A$1:A2465&lt;&gt;""""))), LEN(INDEX(FILTER(A$1:A2465, A$1:A2465&lt;&gt;""""),COUNTA(FILTER(A$1:A2465, A$1:A2465&lt;&gt;""""))))-1), IF('To Order'!$A2466=COL"&amp;"UMNS($A2466:A2485), A2465&amp;RIGHT(INDIRECT(ADDRESS(ROW(A2466)-1, 'From Order'!$A2466)), 1), A2465))"),"DRSZHTWLLFBDC")</f>
        <v>DRSZHTWLLFBDC</v>
      </c>
      <c r="B2466" s="2" t="str">
        <f>IFERROR(__xludf.DUMMYFUNCTION("IF('From Order'!$A2466=COLUMNS($A2466:B2485), LEFT(INDEX(FILTER(B$1:B2465, B$1:B2465&lt;&gt;""""),COUNTA(FILTER(B$1:B2465, B$1:B2465&lt;&gt;""""))), LEN(INDEX(FILTER(B$1:B2465, B$1:B2465&lt;&gt;""""),COUNTA(FILTER(B$1:B2465, B$1:B2465&lt;&gt;""""))))-1), IF('To Order'!$A2466=COL"&amp;"UMNS($A2466:B2485), B2465&amp;RIGHT(INDIRECT(ADDRESS(ROW(B2466)-1, 'From Order'!$A2466)), 1), B2465))"),"QGWBS")</f>
        <v>QGWBS</v>
      </c>
      <c r="C2466" s="2" t="str">
        <f>IFERROR(__xludf.DUMMYFUNCTION("IF('From Order'!$A2466=COLUMNS($A2466:C2485), LEFT(INDEX(FILTER(C$1:C2465, C$1:C2465&lt;&gt;""""),COUNTA(FILTER(C$1:C2465, C$1:C2465&lt;&gt;""""))), LEN(INDEX(FILTER(C$1:C2465, C$1:C2465&lt;&gt;""""),COUNTA(FILTER(C$1:C2465, C$1:C2465&lt;&gt;""""))))-1), IF('To Order'!$A2466=COL"&amp;"UMNS($A2466:C2485), C2465&amp;RIGHT(INDIRECT(ADDRESS(ROW(C2466)-1, 'From Order'!$A2466)), 1), C2465))"),"VBJDDVD")</f>
        <v>VBJDDVD</v>
      </c>
      <c r="D2466" s="2" t="str">
        <f>IFERROR(__xludf.DUMMYFUNCTION("IF('From Order'!$A2466=COLUMNS($A2466:D2485), LEFT(INDEX(FILTER(D$1:D2465, D$1:D2465&lt;&gt;""""),COUNTA(FILTER(D$1:D2465, D$1:D2465&lt;&gt;""""))), LEN(INDEX(FILTER(D$1:D2465, D$1:D2465&lt;&gt;""""),COUNTA(FILTER(D$1:D2465, D$1:D2465&lt;&gt;""""))))-1), IF('To Order'!$A2466=COL"&amp;"UMNS($A2466:D2485), D2465&amp;RIGHT(INDIRECT(ADDRESS(ROW(D2466)-1, 'From Order'!$A2466)), 1), D2465))"),"")</f>
        <v/>
      </c>
      <c r="E2466" s="2" t="str">
        <f>IFERROR(__xludf.DUMMYFUNCTION("IF('From Order'!$A2466=COLUMNS($A2466:E2485), LEFT(INDEX(FILTER(E$1:E2465, E$1:E2465&lt;&gt;""""),COUNTA(FILTER(E$1:E2465, E$1:E2465&lt;&gt;""""))), LEN(INDEX(FILTER(E$1:E2465, E$1:E2465&lt;&gt;""""),COUNTA(FILTER(E$1:E2465, E$1:E2465&lt;&gt;""""))))-1), IF('To Order'!$A2466=COL"&amp;"UMNS($A2466:E2485), E2465&amp;RIGHT(INDIRECT(ADDRESS(ROW(E2466)-1, 'From Order'!$A2466)), 1), E2465))"),"BRPHZMT")</f>
        <v>BRPHZMT</v>
      </c>
      <c r="F2466" s="2" t="str">
        <f>IFERROR(__xludf.DUMMYFUNCTION("IF('From Order'!$A2466=COLUMNS($A2466:F2485), LEFT(INDEX(FILTER(F$1:F2465, F$1:F2465&lt;&gt;""""),COUNTA(FILTER(F$1:F2465, F$1:F2465&lt;&gt;""""))), LEN(INDEX(FILTER(F$1:F2465, F$1:F2465&lt;&gt;""""),COUNTA(FILTER(F$1:F2465, F$1:F2465&lt;&gt;""""))))-1), IF('To Order'!$A2466=COL"&amp;"UMNS($A2466:F2485), F2465&amp;RIGHT(INDIRECT(ADDRESS(ROW(F2466)-1, 'From Order'!$A2466)), 1), F2465))"),"RSPMGTTMDZFJCTTJRRLPS")</f>
        <v>RSPMGTTMDZFJCTTJRRLPS</v>
      </c>
      <c r="G2466" s="2" t="str">
        <f>IFERROR(__xludf.DUMMYFUNCTION("IF('From Order'!$A2466=COLUMNS($A2466:G2485), LEFT(INDEX(FILTER(G$1:G2465, G$1:G2465&lt;&gt;""""),COUNTA(FILTER(G$1:G2465, G$1:G2465&lt;&gt;""""))), LEN(INDEX(FILTER(G$1:G2465, G$1:G2465&lt;&gt;""""),COUNTA(FILTER(G$1:G2465, G$1:G2465&lt;&gt;""""))))-1), IF('To Order'!$A2466=COL"&amp;"UMNS($A2466:G2485), G2465&amp;RIGHT(INDIRECT(ADDRESS(ROW(G2466)-1, 'From Order'!$A2466)), 1), G2465))"),"")</f>
        <v/>
      </c>
      <c r="H2466" s="2" t="str">
        <f>IFERROR(__xludf.DUMMYFUNCTION("IF('From Order'!$A2466=COLUMNS($A2466:H2485), LEFT(INDEX(FILTER(H$1:H2465, H$1:H2465&lt;&gt;""""),COUNTA(FILTER(H$1:H2465, H$1:H2465&lt;&gt;""""))), LEN(INDEX(FILTER(H$1:H2465, H$1:H2465&lt;&gt;""""),COUNTA(FILTER(H$1:H2465, H$1:H2465&lt;&gt;""""))))-1), IF('To Order'!$A2466=COL"&amp;"UMNS($A2466:H2485), H2465&amp;RIGHT(INDIRECT(ADDRESS(ROW(H2466)-1, 'From Order'!$A2466)), 1), H2465))"),"")</f>
        <v/>
      </c>
      <c r="I2466" s="2" t="str">
        <f>IFERROR(__xludf.DUMMYFUNCTION("IF('From Order'!$A2466=COLUMNS($A2466:I2485), LEFT(INDEX(FILTER(I$1:I2465, I$1:I2465&lt;&gt;""""),COUNTA(FILTER(I$1:I2465, I$1:I2465&lt;&gt;""""))), LEN(INDEX(FILTER(I$1:I2465, I$1:I2465&lt;&gt;""""),COUNTA(FILTER(I$1:I2465, I$1:I2465&lt;&gt;""""))))-1), IF('To Order'!$A2466=COL"&amp;"UMNS($A2466:I2485), I2465&amp;RIGHT(INDIRECT(ADDRESS(ROW(I2466)-1, 'From Order'!$A2466)), 1), I2465))"),"QVC")</f>
        <v>QVC</v>
      </c>
    </row>
    <row r="2467">
      <c r="A2467" s="2" t="str">
        <f>IFERROR(__xludf.DUMMYFUNCTION("IF('From Order'!$A2467=COLUMNS($A2467:A2486), LEFT(INDEX(FILTER(A$1:A2466, A$1:A2466&lt;&gt;""""),COUNTA(FILTER(A$1:A2466, A$1:A2466&lt;&gt;""""))), LEN(INDEX(FILTER(A$1:A2466, A$1:A2466&lt;&gt;""""),COUNTA(FILTER(A$1:A2466, A$1:A2466&lt;&gt;""""))))-1), IF('To Order'!$A2467=COL"&amp;"UMNS($A2467:A2486), A2466&amp;RIGHT(INDIRECT(ADDRESS(ROW(A2467)-1, 'From Order'!$A2467)), 1), A2466))"),"DRSZHTWLLFBDC")</f>
        <v>DRSZHTWLLFBDC</v>
      </c>
      <c r="B2467" s="2" t="str">
        <f>IFERROR(__xludf.DUMMYFUNCTION("IF('From Order'!$A2467=COLUMNS($A2467:B2486), LEFT(INDEX(FILTER(B$1:B2466, B$1:B2466&lt;&gt;""""),COUNTA(FILTER(B$1:B2466, B$1:B2466&lt;&gt;""""))), LEN(INDEX(FILTER(B$1:B2466, B$1:B2466&lt;&gt;""""),COUNTA(FILTER(B$1:B2466, B$1:B2466&lt;&gt;""""))))-1), IF('To Order'!$A2467=COL"&amp;"UMNS($A2467:B2486), B2466&amp;RIGHT(INDIRECT(ADDRESS(ROW(B2467)-1, 'From Order'!$A2467)), 1), B2466))"),"QGWBSD")</f>
        <v>QGWBSD</v>
      </c>
      <c r="C2467" s="2" t="str">
        <f>IFERROR(__xludf.DUMMYFUNCTION("IF('From Order'!$A2467=COLUMNS($A2467:C2486), LEFT(INDEX(FILTER(C$1:C2466, C$1:C2466&lt;&gt;""""),COUNTA(FILTER(C$1:C2466, C$1:C2466&lt;&gt;""""))), LEN(INDEX(FILTER(C$1:C2466, C$1:C2466&lt;&gt;""""),COUNTA(FILTER(C$1:C2466, C$1:C2466&lt;&gt;""""))))-1), IF('To Order'!$A2467=COL"&amp;"UMNS($A2467:C2486), C2466&amp;RIGHT(INDIRECT(ADDRESS(ROW(C2467)-1, 'From Order'!$A2467)), 1), C2466))"),"VBJDDV")</f>
        <v>VBJDDV</v>
      </c>
      <c r="D2467" s="2" t="str">
        <f>IFERROR(__xludf.DUMMYFUNCTION("IF('From Order'!$A2467=COLUMNS($A2467:D2486), LEFT(INDEX(FILTER(D$1:D2466, D$1:D2466&lt;&gt;""""),COUNTA(FILTER(D$1:D2466, D$1:D2466&lt;&gt;""""))), LEN(INDEX(FILTER(D$1:D2466, D$1:D2466&lt;&gt;""""),COUNTA(FILTER(D$1:D2466, D$1:D2466&lt;&gt;""""))))-1), IF('To Order'!$A2467=COL"&amp;"UMNS($A2467:D2486), D2466&amp;RIGHT(INDIRECT(ADDRESS(ROW(D2467)-1, 'From Order'!$A2467)), 1), D2466))"),"")</f>
        <v/>
      </c>
      <c r="E2467" s="2" t="str">
        <f>IFERROR(__xludf.DUMMYFUNCTION("IF('From Order'!$A2467=COLUMNS($A2467:E2486), LEFT(INDEX(FILTER(E$1:E2466, E$1:E2466&lt;&gt;""""),COUNTA(FILTER(E$1:E2466, E$1:E2466&lt;&gt;""""))), LEN(INDEX(FILTER(E$1:E2466, E$1:E2466&lt;&gt;""""),COUNTA(FILTER(E$1:E2466, E$1:E2466&lt;&gt;""""))))-1), IF('To Order'!$A2467=COL"&amp;"UMNS($A2467:E2486), E2466&amp;RIGHT(INDIRECT(ADDRESS(ROW(E2467)-1, 'From Order'!$A2467)), 1), E2466))"),"BRPHZMT")</f>
        <v>BRPHZMT</v>
      </c>
      <c r="F2467" s="2" t="str">
        <f>IFERROR(__xludf.DUMMYFUNCTION("IF('From Order'!$A2467=COLUMNS($A2467:F2486), LEFT(INDEX(FILTER(F$1:F2466, F$1:F2466&lt;&gt;""""),COUNTA(FILTER(F$1:F2466, F$1:F2466&lt;&gt;""""))), LEN(INDEX(FILTER(F$1:F2466, F$1:F2466&lt;&gt;""""),COUNTA(FILTER(F$1:F2466, F$1:F2466&lt;&gt;""""))))-1), IF('To Order'!$A2467=COL"&amp;"UMNS($A2467:F2486), F2466&amp;RIGHT(INDIRECT(ADDRESS(ROW(F2467)-1, 'From Order'!$A2467)), 1), F2466))"),"RSPMGTTMDZFJCTTJRRLPS")</f>
        <v>RSPMGTTMDZFJCTTJRRLPS</v>
      </c>
      <c r="G2467" s="2" t="str">
        <f>IFERROR(__xludf.DUMMYFUNCTION("IF('From Order'!$A2467=COLUMNS($A2467:G2486), LEFT(INDEX(FILTER(G$1:G2466, G$1:G2466&lt;&gt;""""),COUNTA(FILTER(G$1:G2466, G$1:G2466&lt;&gt;""""))), LEN(INDEX(FILTER(G$1:G2466, G$1:G2466&lt;&gt;""""),COUNTA(FILTER(G$1:G2466, G$1:G2466&lt;&gt;""""))))-1), IF('To Order'!$A2467=COL"&amp;"UMNS($A2467:G2486), G2466&amp;RIGHT(INDIRECT(ADDRESS(ROW(G2467)-1, 'From Order'!$A2467)), 1), G2466))"),"")</f>
        <v/>
      </c>
      <c r="H2467" s="2" t="str">
        <f>IFERROR(__xludf.DUMMYFUNCTION("IF('From Order'!$A2467=COLUMNS($A2467:H2486), LEFT(INDEX(FILTER(H$1:H2466, H$1:H2466&lt;&gt;""""),COUNTA(FILTER(H$1:H2466, H$1:H2466&lt;&gt;""""))), LEN(INDEX(FILTER(H$1:H2466, H$1:H2466&lt;&gt;""""),COUNTA(FILTER(H$1:H2466, H$1:H2466&lt;&gt;""""))))-1), IF('To Order'!$A2467=COL"&amp;"UMNS($A2467:H2486), H2466&amp;RIGHT(INDIRECT(ADDRESS(ROW(H2467)-1, 'From Order'!$A2467)), 1), H2466))"),"")</f>
        <v/>
      </c>
      <c r="I2467" s="2" t="str">
        <f>IFERROR(__xludf.DUMMYFUNCTION("IF('From Order'!$A2467=COLUMNS($A2467:I2486), LEFT(INDEX(FILTER(I$1:I2466, I$1:I2466&lt;&gt;""""),COUNTA(FILTER(I$1:I2466, I$1:I2466&lt;&gt;""""))), LEN(INDEX(FILTER(I$1:I2466, I$1:I2466&lt;&gt;""""),COUNTA(FILTER(I$1:I2466, I$1:I2466&lt;&gt;""""))))-1), IF('To Order'!$A2467=COL"&amp;"UMNS($A2467:I2486), I2466&amp;RIGHT(INDIRECT(ADDRESS(ROW(I2467)-1, 'From Order'!$A2467)), 1), I2466))"),"QVC")</f>
        <v>QVC</v>
      </c>
    </row>
    <row r="2468">
      <c r="A2468" s="2" t="str">
        <f>IFERROR(__xludf.DUMMYFUNCTION("IF('From Order'!$A2468=COLUMNS($A2468:A2487), LEFT(INDEX(FILTER(A$1:A2467, A$1:A2467&lt;&gt;""""),COUNTA(FILTER(A$1:A2467, A$1:A2467&lt;&gt;""""))), LEN(INDEX(FILTER(A$1:A2467, A$1:A2467&lt;&gt;""""),COUNTA(FILTER(A$1:A2467, A$1:A2467&lt;&gt;""""))))-1), IF('To Order'!$A2468=COL"&amp;"UMNS($A2468:A2487), A2467&amp;RIGHT(INDIRECT(ADDRESS(ROW(A2468)-1, 'From Order'!$A2468)), 1), A2467))"),"DRSZHTWLLFBD")</f>
        <v>DRSZHTWLLFBD</v>
      </c>
      <c r="B2468" s="2" t="str">
        <f>IFERROR(__xludf.DUMMYFUNCTION("IF('From Order'!$A2468=COLUMNS($A2468:B2487), LEFT(INDEX(FILTER(B$1:B2467, B$1:B2467&lt;&gt;""""),COUNTA(FILTER(B$1:B2467, B$1:B2467&lt;&gt;""""))), LEN(INDEX(FILTER(B$1:B2467, B$1:B2467&lt;&gt;""""),COUNTA(FILTER(B$1:B2467, B$1:B2467&lt;&gt;""""))))-1), IF('To Order'!$A2468=COL"&amp;"UMNS($A2468:B2487), B2467&amp;RIGHT(INDIRECT(ADDRESS(ROW(B2468)-1, 'From Order'!$A2468)), 1), B2467))"),"QGWBSD")</f>
        <v>QGWBSD</v>
      </c>
      <c r="C2468" s="2" t="str">
        <f>IFERROR(__xludf.DUMMYFUNCTION("IF('From Order'!$A2468=COLUMNS($A2468:C2487), LEFT(INDEX(FILTER(C$1:C2467, C$1:C2467&lt;&gt;""""),COUNTA(FILTER(C$1:C2467, C$1:C2467&lt;&gt;""""))), LEN(INDEX(FILTER(C$1:C2467, C$1:C2467&lt;&gt;""""),COUNTA(FILTER(C$1:C2467, C$1:C2467&lt;&gt;""""))))-1), IF('To Order'!$A2468=COL"&amp;"UMNS($A2468:C2487), C2467&amp;RIGHT(INDIRECT(ADDRESS(ROW(C2468)-1, 'From Order'!$A2468)), 1), C2467))"),"VBJDDV")</f>
        <v>VBJDDV</v>
      </c>
      <c r="D2468" s="2" t="str">
        <f>IFERROR(__xludf.DUMMYFUNCTION("IF('From Order'!$A2468=COLUMNS($A2468:D2487), LEFT(INDEX(FILTER(D$1:D2467, D$1:D2467&lt;&gt;""""),COUNTA(FILTER(D$1:D2467, D$1:D2467&lt;&gt;""""))), LEN(INDEX(FILTER(D$1:D2467, D$1:D2467&lt;&gt;""""),COUNTA(FILTER(D$1:D2467, D$1:D2467&lt;&gt;""""))))-1), IF('To Order'!$A2468=COL"&amp;"UMNS($A2468:D2487), D2467&amp;RIGHT(INDIRECT(ADDRESS(ROW(D2468)-1, 'From Order'!$A2468)), 1), D2467))"),"C")</f>
        <v>C</v>
      </c>
      <c r="E2468" s="2" t="str">
        <f>IFERROR(__xludf.DUMMYFUNCTION("IF('From Order'!$A2468=COLUMNS($A2468:E2487), LEFT(INDEX(FILTER(E$1:E2467, E$1:E2467&lt;&gt;""""),COUNTA(FILTER(E$1:E2467, E$1:E2467&lt;&gt;""""))), LEN(INDEX(FILTER(E$1:E2467, E$1:E2467&lt;&gt;""""),COUNTA(FILTER(E$1:E2467, E$1:E2467&lt;&gt;""""))))-1), IF('To Order'!$A2468=COL"&amp;"UMNS($A2468:E2487), E2467&amp;RIGHT(INDIRECT(ADDRESS(ROW(E2468)-1, 'From Order'!$A2468)), 1), E2467))"),"BRPHZMT")</f>
        <v>BRPHZMT</v>
      </c>
      <c r="F2468" s="2" t="str">
        <f>IFERROR(__xludf.DUMMYFUNCTION("IF('From Order'!$A2468=COLUMNS($A2468:F2487), LEFT(INDEX(FILTER(F$1:F2467, F$1:F2467&lt;&gt;""""),COUNTA(FILTER(F$1:F2467, F$1:F2467&lt;&gt;""""))), LEN(INDEX(FILTER(F$1:F2467, F$1:F2467&lt;&gt;""""),COUNTA(FILTER(F$1:F2467, F$1:F2467&lt;&gt;""""))))-1), IF('To Order'!$A2468=COL"&amp;"UMNS($A2468:F2487), F2467&amp;RIGHT(INDIRECT(ADDRESS(ROW(F2468)-1, 'From Order'!$A2468)), 1), F2467))"),"RSPMGTTMDZFJCTTJRRLPS")</f>
        <v>RSPMGTTMDZFJCTTJRRLPS</v>
      </c>
      <c r="G2468" s="2" t="str">
        <f>IFERROR(__xludf.DUMMYFUNCTION("IF('From Order'!$A2468=COLUMNS($A2468:G2487), LEFT(INDEX(FILTER(G$1:G2467, G$1:G2467&lt;&gt;""""),COUNTA(FILTER(G$1:G2467, G$1:G2467&lt;&gt;""""))), LEN(INDEX(FILTER(G$1:G2467, G$1:G2467&lt;&gt;""""),COUNTA(FILTER(G$1:G2467, G$1:G2467&lt;&gt;""""))))-1), IF('To Order'!$A2468=COL"&amp;"UMNS($A2468:G2487), G2467&amp;RIGHT(INDIRECT(ADDRESS(ROW(G2468)-1, 'From Order'!$A2468)), 1), G2467))"),"")</f>
        <v/>
      </c>
      <c r="H2468" s="2" t="str">
        <f>IFERROR(__xludf.DUMMYFUNCTION("IF('From Order'!$A2468=COLUMNS($A2468:H2487), LEFT(INDEX(FILTER(H$1:H2467, H$1:H2467&lt;&gt;""""),COUNTA(FILTER(H$1:H2467, H$1:H2467&lt;&gt;""""))), LEN(INDEX(FILTER(H$1:H2467, H$1:H2467&lt;&gt;""""),COUNTA(FILTER(H$1:H2467, H$1:H2467&lt;&gt;""""))))-1), IF('To Order'!$A2468=COL"&amp;"UMNS($A2468:H2487), H2467&amp;RIGHT(INDIRECT(ADDRESS(ROW(H2468)-1, 'From Order'!$A2468)), 1), H2467))"),"")</f>
        <v/>
      </c>
      <c r="I2468" s="2" t="str">
        <f>IFERROR(__xludf.DUMMYFUNCTION("IF('From Order'!$A2468=COLUMNS($A2468:I2487), LEFT(INDEX(FILTER(I$1:I2467, I$1:I2467&lt;&gt;""""),COUNTA(FILTER(I$1:I2467, I$1:I2467&lt;&gt;""""))), LEN(INDEX(FILTER(I$1:I2467, I$1:I2467&lt;&gt;""""),COUNTA(FILTER(I$1:I2467, I$1:I2467&lt;&gt;""""))))-1), IF('To Order'!$A2468=COL"&amp;"UMNS($A2468:I2487), I2467&amp;RIGHT(INDIRECT(ADDRESS(ROW(I2468)-1, 'From Order'!$A2468)), 1), I2467))"),"QVC")</f>
        <v>QVC</v>
      </c>
    </row>
    <row r="2469">
      <c r="A2469" s="2" t="str">
        <f>IFERROR(__xludf.DUMMYFUNCTION("IF('From Order'!$A2469=COLUMNS($A2469:A2488), LEFT(INDEX(FILTER(A$1:A2468, A$1:A2468&lt;&gt;""""),COUNTA(FILTER(A$1:A2468, A$1:A2468&lt;&gt;""""))), LEN(INDEX(FILTER(A$1:A2468, A$1:A2468&lt;&gt;""""),COUNTA(FILTER(A$1:A2468, A$1:A2468&lt;&gt;""""))))-1), IF('To Order'!$A2469=COL"&amp;"UMNS($A2469:A2488), A2468&amp;RIGHT(INDIRECT(ADDRESS(ROW(A2469)-1, 'From Order'!$A2469)), 1), A2468))"),"DRSZHTWLLFB")</f>
        <v>DRSZHTWLLFB</v>
      </c>
      <c r="B2469" s="2" t="str">
        <f>IFERROR(__xludf.DUMMYFUNCTION("IF('From Order'!$A2469=COLUMNS($A2469:B2488), LEFT(INDEX(FILTER(B$1:B2468, B$1:B2468&lt;&gt;""""),COUNTA(FILTER(B$1:B2468, B$1:B2468&lt;&gt;""""))), LEN(INDEX(FILTER(B$1:B2468, B$1:B2468&lt;&gt;""""),COUNTA(FILTER(B$1:B2468, B$1:B2468&lt;&gt;""""))))-1), IF('To Order'!$A2469=COL"&amp;"UMNS($A2469:B2488), B2468&amp;RIGHT(INDIRECT(ADDRESS(ROW(B2469)-1, 'From Order'!$A2469)), 1), B2468))"),"QGWBSD")</f>
        <v>QGWBSD</v>
      </c>
      <c r="C2469" s="2" t="str">
        <f>IFERROR(__xludf.DUMMYFUNCTION("IF('From Order'!$A2469=COLUMNS($A2469:C2488), LEFT(INDEX(FILTER(C$1:C2468, C$1:C2468&lt;&gt;""""),COUNTA(FILTER(C$1:C2468, C$1:C2468&lt;&gt;""""))), LEN(INDEX(FILTER(C$1:C2468, C$1:C2468&lt;&gt;""""),COUNTA(FILTER(C$1:C2468, C$1:C2468&lt;&gt;""""))))-1), IF('To Order'!$A2469=COL"&amp;"UMNS($A2469:C2488), C2468&amp;RIGHT(INDIRECT(ADDRESS(ROW(C2469)-1, 'From Order'!$A2469)), 1), C2468))"),"VBJDDV")</f>
        <v>VBJDDV</v>
      </c>
      <c r="D2469" s="2" t="str">
        <f>IFERROR(__xludf.DUMMYFUNCTION("IF('From Order'!$A2469=COLUMNS($A2469:D2488), LEFT(INDEX(FILTER(D$1:D2468, D$1:D2468&lt;&gt;""""),COUNTA(FILTER(D$1:D2468, D$1:D2468&lt;&gt;""""))), LEN(INDEX(FILTER(D$1:D2468, D$1:D2468&lt;&gt;""""),COUNTA(FILTER(D$1:D2468, D$1:D2468&lt;&gt;""""))))-1), IF('To Order'!$A2469=COL"&amp;"UMNS($A2469:D2488), D2468&amp;RIGHT(INDIRECT(ADDRESS(ROW(D2469)-1, 'From Order'!$A2469)), 1), D2468))"),"CD")</f>
        <v>CD</v>
      </c>
      <c r="E2469" s="2" t="str">
        <f>IFERROR(__xludf.DUMMYFUNCTION("IF('From Order'!$A2469=COLUMNS($A2469:E2488), LEFT(INDEX(FILTER(E$1:E2468, E$1:E2468&lt;&gt;""""),COUNTA(FILTER(E$1:E2468, E$1:E2468&lt;&gt;""""))), LEN(INDEX(FILTER(E$1:E2468, E$1:E2468&lt;&gt;""""),COUNTA(FILTER(E$1:E2468, E$1:E2468&lt;&gt;""""))))-1), IF('To Order'!$A2469=COL"&amp;"UMNS($A2469:E2488), E2468&amp;RIGHT(INDIRECT(ADDRESS(ROW(E2469)-1, 'From Order'!$A2469)), 1), E2468))"),"BRPHZMT")</f>
        <v>BRPHZMT</v>
      </c>
      <c r="F2469" s="2" t="str">
        <f>IFERROR(__xludf.DUMMYFUNCTION("IF('From Order'!$A2469=COLUMNS($A2469:F2488), LEFT(INDEX(FILTER(F$1:F2468, F$1:F2468&lt;&gt;""""),COUNTA(FILTER(F$1:F2468, F$1:F2468&lt;&gt;""""))), LEN(INDEX(FILTER(F$1:F2468, F$1:F2468&lt;&gt;""""),COUNTA(FILTER(F$1:F2468, F$1:F2468&lt;&gt;""""))))-1), IF('To Order'!$A2469=COL"&amp;"UMNS($A2469:F2488), F2468&amp;RIGHT(INDIRECT(ADDRESS(ROW(F2469)-1, 'From Order'!$A2469)), 1), F2468))"),"RSPMGTTMDZFJCTTJRRLPS")</f>
        <v>RSPMGTTMDZFJCTTJRRLPS</v>
      </c>
      <c r="G2469" s="2" t="str">
        <f>IFERROR(__xludf.DUMMYFUNCTION("IF('From Order'!$A2469=COLUMNS($A2469:G2488), LEFT(INDEX(FILTER(G$1:G2468, G$1:G2468&lt;&gt;""""),COUNTA(FILTER(G$1:G2468, G$1:G2468&lt;&gt;""""))), LEN(INDEX(FILTER(G$1:G2468, G$1:G2468&lt;&gt;""""),COUNTA(FILTER(G$1:G2468, G$1:G2468&lt;&gt;""""))))-1), IF('To Order'!$A2469=COL"&amp;"UMNS($A2469:G2488), G2468&amp;RIGHT(INDIRECT(ADDRESS(ROW(G2469)-1, 'From Order'!$A2469)), 1), G2468))"),"")</f>
        <v/>
      </c>
      <c r="H2469" s="2" t="str">
        <f>IFERROR(__xludf.DUMMYFUNCTION("IF('From Order'!$A2469=COLUMNS($A2469:H2488), LEFT(INDEX(FILTER(H$1:H2468, H$1:H2468&lt;&gt;""""),COUNTA(FILTER(H$1:H2468, H$1:H2468&lt;&gt;""""))), LEN(INDEX(FILTER(H$1:H2468, H$1:H2468&lt;&gt;""""),COUNTA(FILTER(H$1:H2468, H$1:H2468&lt;&gt;""""))))-1), IF('To Order'!$A2469=COL"&amp;"UMNS($A2469:H2488), H2468&amp;RIGHT(INDIRECT(ADDRESS(ROW(H2469)-1, 'From Order'!$A2469)), 1), H2468))"),"")</f>
        <v/>
      </c>
      <c r="I2469" s="2" t="str">
        <f>IFERROR(__xludf.DUMMYFUNCTION("IF('From Order'!$A2469=COLUMNS($A2469:I2488), LEFT(INDEX(FILTER(I$1:I2468, I$1:I2468&lt;&gt;""""),COUNTA(FILTER(I$1:I2468, I$1:I2468&lt;&gt;""""))), LEN(INDEX(FILTER(I$1:I2468, I$1:I2468&lt;&gt;""""),COUNTA(FILTER(I$1:I2468, I$1:I2468&lt;&gt;""""))))-1), IF('To Order'!$A2469=COL"&amp;"UMNS($A2469:I2488), I2468&amp;RIGHT(INDIRECT(ADDRESS(ROW(I2469)-1, 'From Order'!$A2469)), 1), I2468))"),"QVC")</f>
        <v>QVC</v>
      </c>
    </row>
    <row r="2470">
      <c r="A2470" s="2" t="str">
        <f>IFERROR(__xludf.DUMMYFUNCTION("IF('From Order'!$A2470=COLUMNS($A2470:A2489), LEFT(INDEX(FILTER(A$1:A2469, A$1:A2469&lt;&gt;""""),COUNTA(FILTER(A$1:A2469, A$1:A2469&lt;&gt;""""))), LEN(INDEX(FILTER(A$1:A2469, A$1:A2469&lt;&gt;""""),COUNTA(FILTER(A$1:A2469, A$1:A2469&lt;&gt;""""))))-1), IF('To Order'!$A2470=COL"&amp;"UMNS($A2470:A2489), A2469&amp;RIGHT(INDIRECT(ADDRESS(ROW(A2470)-1, 'From Order'!$A2470)), 1), A2469))"),"DRSZHTWLLF")</f>
        <v>DRSZHTWLLF</v>
      </c>
      <c r="B2470" s="2" t="str">
        <f>IFERROR(__xludf.DUMMYFUNCTION("IF('From Order'!$A2470=COLUMNS($A2470:B2489), LEFT(INDEX(FILTER(B$1:B2469, B$1:B2469&lt;&gt;""""),COUNTA(FILTER(B$1:B2469, B$1:B2469&lt;&gt;""""))), LEN(INDEX(FILTER(B$1:B2469, B$1:B2469&lt;&gt;""""),COUNTA(FILTER(B$1:B2469, B$1:B2469&lt;&gt;""""))))-1), IF('To Order'!$A2470=COL"&amp;"UMNS($A2470:B2489), B2469&amp;RIGHT(INDIRECT(ADDRESS(ROW(B2470)-1, 'From Order'!$A2470)), 1), B2469))"),"QGWBSD")</f>
        <v>QGWBSD</v>
      </c>
      <c r="C2470" s="2" t="str">
        <f>IFERROR(__xludf.DUMMYFUNCTION("IF('From Order'!$A2470=COLUMNS($A2470:C2489), LEFT(INDEX(FILTER(C$1:C2469, C$1:C2469&lt;&gt;""""),COUNTA(FILTER(C$1:C2469, C$1:C2469&lt;&gt;""""))), LEN(INDEX(FILTER(C$1:C2469, C$1:C2469&lt;&gt;""""),COUNTA(FILTER(C$1:C2469, C$1:C2469&lt;&gt;""""))))-1), IF('To Order'!$A2470=COL"&amp;"UMNS($A2470:C2489), C2469&amp;RIGHT(INDIRECT(ADDRESS(ROW(C2470)-1, 'From Order'!$A2470)), 1), C2469))"),"VBJDDV")</f>
        <v>VBJDDV</v>
      </c>
      <c r="D2470" s="2" t="str">
        <f>IFERROR(__xludf.DUMMYFUNCTION("IF('From Order'!$A2470=COLUMNS($A2470:D2489), LEFT(INDEX(FILTER(D$1:D2469, D$1:D2469&lt;&gt;""""),COUNTA(FILTER(D$1:D2469, D$1:D2469&lt;&gt;""""))), LEN(INDEX(FILTER(D$1:D2469, D$1:D2469&lt;&gt;""""),COUNTA(FILTER(D$1:D2469, D$1:D2469&lt;&gt;""""))))-1), IF('To Order'!$A2470=COL"&amp;"UMNS($A2470:D2489), D2469&amp;RIGHT(INDIRECT(ADDRESS(ROW(D2470)-1, 'From Order'!$A2470)), 1), D2469))"),"CDB")</f>
        <v>CDB</v>
      </c>
      <c r="E2470" s="2" t="str">
        <f>IFERROR(__xludf.DUMMYFUNCTION("IF('From Order'!$A2470=COLUMNS($A2470:E2489), LEFT(INDEX(FILTER(E$1:E2469, E$1:E2469&lt;&gt;""""),COUNTA(FILTER(E$1:E2469, E$1:E2469&lt;&gt;""""))), LEN(INDEX(FILTER(E$1:E2469, E$1:E2469&lt;&gt;""""),COUNTA(FILTER(E$1:E2469, E$1:E2469&lt;&gt;""""))))-1), IF('To Order'!$A2470=COL"&amp;"UMNS($A2470:E2489), E2469&amp;RIGHT(INDIRECT(ADDRESS(ROW(E2470)-1, 'From Order'!$A2470)), 1), E2469))"),"BRPHZMT")</f>
        <v>BRPHZMT</v>
      </c>
      <c r="F2470" s="2" t="str">
        <f>IFERROR(__xludf.DUMMYFUNCTION("IF('From Order'!$A2470=COLUMNS($A2470:F2489), LEFT(INDEX(FILTER(F$1:F2469, F$1:F2469&lt;&gt;""""),COUNTA(FILTER(F$1:F2469, F$1:F2469&lt;&gt;""""))), LEN(INDEX(FILTER(F$1:F2469, F$1:F2469&lt;&gt;""""),COUNTA(FILTER(F$1:F2469, F$1:F2469&lt;&gt;""""))))-1), IF('To Order'!$A2470=COL"&amp;"UMNS($A2470:F2489), F2469&amp;RIGHT(INDIRECT(ADDRESS(ROW(F2470)-1, 'From Order'!$A2470)), 1), F2469))"),"RSPMGTTMDZFJCTTJRRLPS")</f>
        <v>RSPMGTTMDZFJCTTJRRLPS</v>
      </c>
      <c r="G2470" s="2" t="str">
        <f>IFERROR(__xludf.DUMMYFUNCTION("IF('From Order'!$A2470=COLUMNS($A2470:G2489), LEFT(INDEX(FILTER(G$1:G2469, G$1:G2469&lt;&gt;""""),COUNTA(FILTER(G$1:G2469, G$1:G2469&lt;&gt;""""))), LEN(INDEX(FILTER(G$1:G2469, G$1:G2469&lt;&gt;""""),COUNTA(FILTER(G$1:G2469, G$1:G2469&lt;&gt;""""))))-1), IF('To Order'!$A2470=COL"&amp;"UMNS($A2470:G2489), G2469&amp;RIGHT(INDIRECT(ADDRESS(ROW(G2470)-1, 'From Order'!$A2470)), 1), G2469))"),"")</f>
        <v/>
      </c>
      <c r="H2470" s="2" t="str">
        <f>IFERROR(__xludf.DUMMYFUNCTION("IF('From Order'!$A2470=COLUMNS($A2470:H2489), LEFT(INDEX(FILTER(H$1:H2469, H$1:H2469&lt;&gt;""""),COUNTA(FILTER(H$1:H2469, H$1:H2469&lt;&gt;""""))), LEN(INDEX(FILTER(H$1:H2469, H$1:H2469&lt;&gt;""""),COUNTA(FILTER(H$1:H2469, H$1:H2469&lt;&gt;""""))))-1), IF('To Order'!$A2470=COL"&amp;"UMNS($A2470:H2489), H2469&amp;RIGHT(INDIRECT(ADDRESS(ROW(H2470)-1, 'From Order'!$A2470)), 1), H2469))"),"")</f>
        <v/>
      </c>
      <c r="I2470" s="2" t="str">
        <f>IFERROR(__xludf.DUMMYFUNCTION("IF('From Order'!$A2470=COLUMNS($A2470:I2489), LEFT(INDEX(FILTER(I$1:I2469, I$1:I2469&lt;&gt;""""),COUNTA(FILTER(I$1:I2469, I$1:I2469&lt;&gt;""""))), LEN(INDEX(FILTER(I$1:I2469, I$1:I2469&lt;&gt;""""),COUNTA(FILTER(I$1:I2469, I$1:I2469&lt;&gt;""""))))-1), IF('To Order'!$A2470=COL"&amp;"UMNS($A2470:I2489), I2469&amp;RIGHT(INDIRECT(ADDRESS(ROW(I2470)-1, 'From Order'!$A2470)), 1), I2469))"),"QVC")</f>
        <v>QVC</v>
      </c>
    </row>
    <row r="2471">
      <c r="A2471" s="2" t="str">
        <f>IFERROR(__xludf.DUMMYFUNCTION("IF('From Order'!$A2471=COLUMNS($A2471:A2490), LEFT(INDEX(FILTER(A$1:A2470, A$1:A2470&lt;&gt;""""),COUNTA(FILTER(A$1:A2470, A$1:A2470&lt;&gt;""""))), LEN(INDEX(FILTER(A$1:A2470, A$1:A2470&lt;&gt;""""),COUNTA(FILTER(A$1:A2470, A$1:A2470&lt;&gt;""""))))-1), IF('To Order'!$A2471=COL"&amp;"UMNS($A2471:A2490), A2470&amp;RIGHT(INDIRECT(ADDRESS(ROW(A2471)-1, 'From Order'!$A2471)), 1), A2470))"),"DRSZHTWLL")</f>
        <v>DRSZHTWLL</v>
      </c>
      <c r="B2471" s="2" t="str">
        <f>IFERROR(__xludf.DUMMYFUNCTION("IF('From Order'!$A2471=COLUMNS($A2471:B2490), LEFT(INDEX(FILTER(B$1:B2470, B$1:B2470&lt;&gt;""""),COUNTA(FILTER(B$1:B2470, B$1:B2470&lt;&gt;""""))), LEN(INDEX(FILTER(B$1:B2470, B$1:B2470&lt;&gt;""""),COUNTA(FILTER(B$1:B2470, B$1:B2470&lt;&gt;""""))))-1), IF('To Order'!$A2471=COL"&amp;"UMNS($A2471:B2490), B2470&amp;RIGHT(INDIRECT(ADDRESS(ROW(B2471)-1, 'From Order'!$A2471)), 1), B2470))"),"QGWBSD")</f>
        <v>QGWBSD</v>
      </c>
      <c r="C2471" s="2" t="str">
        <f>IFERROR(__xludf.DUMMYFUNCTION("IF('From Order'!$A2471=COLUMNS($A2471:C2490), LEFT(INDEX(FILTER(C$1:C2470, C$1:C2470&lt;&gt;""""),COUNTA(FILTER(C$1:C2470, C$1:C2470&lt;&gt;""""))), LEN(INDEX(FILTER(C$1:C2470, C$1:C2470&lt;&gt;""""),COUNTA(FILTER(C$1:C2470, C$1:C2470&lt;&gt;""""))))-1), IF('To Order'!$A2471=COL"&amp;"UMNS($A2471:C2490), C2470&amp;RIGHT(INDIRECT(ADDRESS(ROW(C2471)-1, 'From Order'!$A2471)), 1), C2470))"),"VBJDDV")</f>
        <v>VBJDDV</v>
      </c>
      <c r="D2471" s="2" t="str">
        <f>IFERROR(__xludf.DUMMYFUNCTION("IF('From Order'!$A2471=COLUMNS($A2471:D2490), LEFT(INDEX(FILTER(D$1:D2470, D$1:D2470&lt;&gt;""""),COUNTA(FILTER(D$1:D2470, D$1:D2470&lt;&gt;""""))), LEN(INDEX(FILTER(D$1:D2470, D$1:D2470&lt;&gt;""""),COUNTA(FILTER(D$1:D2470, D$1:D2470&lt;&gt;""""))))-1), IF('To Order'!$A2471=COL"&amp;"UMNS($A2471:D2490), D2470&amp;RIGHT(INDIRECT(ADDRESS(ROW(D2471)-1, 'From Order'!$A2471)), 1), D2470))"),"CDBF")</f>
        <v>CDBF</v>
      </c>
      <c r="E2471" s="2" t="str">
        <f>IFERROR(__xludf.DUMMYFUNCTION("IF('From Order'!$A2471=COLUMNS($A2471:E2490), LEFT(INDEX(FILTER(E$1:E2470, E$1:E2470&lt;&gt;""""),COUNTA(FILTER(E$1:E2470, E$1:E2470&lt;&gt;""""))), LEN(INDEX(FILTER(E$1:E2470, E$1:E2470&lt;&gt;""""),COUNTA(FILTER(E$1:E2470, E$1:E2470&lt;&gt;""""))))-1), IF('To Order'!$A2471=COL"&amp;"UMNS($A2471:E2490), E2470&amp;RIGHT(INDIRECT(ADDRESS(ROW(E2471)-1, 'From Order'!$A2471)), 1), E2470))"),"BRPHZMT")</f>
        <v>BRPHZMT</v>
      </c>
      <c r="F2471" s="2" t="str">
        <f>IFERROR(__xludf.DUMMYFUNCTION("IF('From Order'!$A2471=COLUMNS($A2471:F2490), LEFT(INDEX(FILTER(F$1:F2470, F$1:F2470&lt;&gt;""""),COUNTA(FILTER(F$1:F2470, F$1:F2470&lt;&gt;""""))), LEN(INDEX(FILTER(F$1:F2470, F$1:F2470&lt;&gt;""""),COUNTA(FILTER(F$1:F2470, F$1:F2470&lt;&gt;""""))))-1), IF('To Order'!$A2471=COL"&amp;"UMNS($A2471:F2490), F2470&amp;RIGHT(INDIRECT(ADDRESS(ROW(F2471)-1, 'From Order'!$A2471)), 1), F2470))"),"RSPMGTTMDZFJCTTJRRLPS")</f>
        <v>RSPMGTTMDZFJCTTJRRLPS</v>
      </c>
      <c r="G2471" s="2" t="str">
        <f>IFERROR(__xludf.DUMMYFUNCTION("IF('From Order'!$A2471=COLUMNS($A2471:G2490), LEFT(INDEX(FILTER(G$1:G2470, G$1:G2470&lt;&gt;""""),COUNTA(FILTER(G$1:G2470, G$1:G2470&lt;&gt;""""))), LEN(INDEX(FILTER(G$1:G2470, G$1:G2470&lt;&gt;""""),COUNTA(FILTER(G$1:G2470, G$1:G2470&lt;&gt;""""))))-1), IF('To Order'!$A2471=COL"&amp;"UMNS($A2471:G2490), G2470&amp;RIGHT(INDIRECT(ADDRESS(ROW(G2471)-1, 'From Order'!$A2471)), 1), G2470))"),"")</f>
        <v/>
      </c>
      <c r="H2471" s="2" t="str">
        <f>IFERROR(__xludf.DUMMYFUNCTION("IF('From Order'!$A2471=COLUMNS($A2471:H2490), LEFT(INDEX(FILTER(H$1:H2470, H$1:H2470&lt;&gt;""""),COUNTA(FILTER(H$1:H2470, H$1:H2470&lt;&gt;""""))), LEN(INDEX(FILTER(H$1:H2470, H$1:H2470&lt;&gt;""""),COUNTA(FILTER(H$1:H2470, H$1:H2470&lt;&gt;""""))))-1), IF('To Order'!$A2471=COL"&amp;"UMNS($A2471:H2490), H2470&amp;RIGHT(INDIRECT(ADDRESS(ROW(H2471)-1, 'From Order'!$A2471)), 1), H2470))"),"")</f>
        <v/>
      </c>
      <c r="I2471" s="2" t="str">
        <f>IFERROR(__xludf.DUMMYFUNCTION("IF('From Order'!$A2471=COLUMNS($A2471:I2490), LEFT(INDEX(FILTER(I$1:I2470, I$1:I2470&lt;&gt;""""),COUNTA(FILTER(I$1:I2470, I$1:I2470&lt;&gt;""""))), LEN(INDEX(FILTER(I$1:I2470, I$1:I2470&lt;&gt;""""),COUNTA(FILTER(I$1:I2470, I$1:I2470&lt;&gt;""""))))-1), IF('To Order'!$A2471=COL"&amp;"UMNS($A2471:I2490), I2470&amp;RIGHT(INDIRECT(ADDRESS(ROW(I2471)-1, 'From Order'!$A2471)), 1), I2470))"),"QVC")</f>
        <v>QVC</v>
      </c>
    </row>
    <row r="2472">
      <c r="A2472" s="2" t="str">
        <f>IFERROR(__xludf.DUMMYFUNCTION("IF('From Order'!$A2472=COLUMNS($A2472:A2491), LEFT(INDEX(FILTER(A$1:A2471, A$1:A2471&lt;&gt;""""),COUNTA(FILTER(A$1:A2471, A$1:A2471&lt;&gt;""""))), LEN(INDEX(FILTER(A$1:A2471, A$1:A2471&lt;&gt;""""),COUNTA(FILTER(A$1:A2471, A$1:A2471&lt;&gt;""""))))-1), IF('To Order'!$A2472=COL"&amp;"UMNS($A2472:A2491), A2471&amp;RIGHT(INDIRECT(ADDRESS(ROW(A2472)-1, 'From Order'!$A2472)), 1), A2471))"),"DRSZHTWL")</f>
        <v>DRSZHTWL</v>
      </c>
      <c r="B2472" s="2" t="str">
        <f>IFERROR(__xludf.DUMMYFUNCTION("IF('From Order'!$A2472=COLUMNS($A2472:B2491), LEFT(INDEX(FILTER(B$1:B2471, B$1:B2471&lt;&gt;""""),COUNTA(FILTER(B$1:B2471, B$1:B2471&lt;&gt;""""))), LEN(INDEX(FILTER(B$1:B2471, B$1:B2471&lt;&gt;""""),COUNTA(FILTER(B$1:B2471, B$1:B2471&lt;&gt;""""))))-1), IF('To Order'!$A2472=COL"&amp;"UMNS($A2472:B2491), B2471&amp;RIGHT(INDIRECT(ADDRESS(ROW(B2472)-1, 'From Order'!$A2472)), 1), B2471))"),"QGWBSD")</f>
        <v>QGWBSD</v>
      </c>
      <c r="C2472" s="2" t="str">
        <f>IFERROR(__xludf.DUMMYFUNCTION("IF('From Order'!$A2472=COLUMNS($A2472:C2491), LEFT(INDEX(FILTER(C$1:C2471, C$1:C2471&lt;&gt;""""),COUNTA(FILTER(C$1:C2471, C$1:C2471&lt;&gt;""""))), LEN(INDEX(FILTER(C$1:C2471, C$1:C2471&lt;&gt;""""),COUNTA(FILTER(C$1:C2471, C$1:C2471&lt;&gt;""""))))-1), IF('To Order'!$A2472=COL"&amp;"UMNS($A2472:C2491), C2471&amp;RIGHT(INDIRECT(ADDRESS(ROW(C2472)-1, 'From Order'!$A2472)), 1), C2471))"),"VBJDDV")</f>
        <v>VBJDDV</v>
      </c>
      <c r="D2472" s="2" t="str">
        <f>IFERROR(__xludf.DUMMYFUNCTION("IF('From Order'!$A2472=COLUMNS($A2472:D2491), LEFT(INDEX(FILTER(D$1:D2471, D$1:D2471&lt;&gt;""""),COUNTA(FILTER(D$1:D2471, D$1:D2471&lt;&gt;""""))), LEN(INDEX(FILTER(D$1:D2471, D$1:D2471&lt;&gt;""""),COUNTA(FILTER(D$1:D2471, D$1:D2471&lt;&gt;""""))))-1), IF('To Order'!$A2472=COL"&amp;"UMNS($A2472:D2491), D2471&amp;RIGHT(INDIRECT(ADDRESS(ROW(D2472)-1, 'From Order'!$A2472)), 1), D2471))"),"CDBFL")</f>
        <v>CDBFL</v>
      </c>
      <c r="E2472" s="2" t="str">
        <f>IFERROR(__xludf.DUMMYFUNCTION("IF('From Order'!$A2472=COLUMNS($A2472:E2491), LEFT(INDEX(FILTER(E$1:E2471, E$1:E2471&lt;&gt;""""),COUNTA(FILTER(E$1:E2471, E$1:E2471&lt;&gt;""""))), LEN(INDEX(FILTER(E$1:E2471, E$1:E2471&lt;&gt;""""),COUNTA(FILTER(E$1:E2471, E$1:E2471&lt;&gt;""""))))-1), IF('To Order'!$A2472=COL"&amp;"UMNS($A2472:E2491), E2471&amp;RIGHT(INDIRECT(ADDRESS(ROW(E2472)-1, 'From Order'!$A2472)), 1), E2471))"),"BRPHZMT")</f>
        <v>BRPHZMT</v>
      </c>
      <c r="F2472" s="2" t="str">
        <f>IFERROR(__xludf.DUMMYFUNCTION("IF('From Order'!$A2472=COLUMNS($A2472:F2491), LEFT(INDEX(FILTER(F$1:F2471, F$1:F2471&lt;&gt;""""),COUNTA(FILTER(F$1:F2471, F$1:F2471&lt;&gt;""""))), LEN(INDEX(FILTER(F$1:F2471, F$1:F2471&lt;&gt;""""),COUNTA(FILTER(F$1:F2471, F$1:F2471&lt;&gt;""""))))-1), IF('To Order'!$A2472=COL"&amp;"UMNS($A2472:F2491), F2471&amp;RIGHT(INDIRECT(ADDRESS(ROW(F2472)-1, 'From Order'!$A2472)), 1), F2471))"),"RSPMGTTMDZFJCTTJRRLPS")</f>
        <v>RSPMGTTMDZFJCTTJRRLPS</v>
      </c>
      <c r="G2472" s="2" t="str">
        <f>IFERROR(__xludf.DUMMYFUNCTION("IF('From Order'!$A2472=COLUMNS($A2472:G2491), LEFT(INDEX(FILTER(G$1:G2471, G$1:G2471&lt;&gt;""""),COUNTA(FILTER(G$1:G2471, G$1:G2471&lt;&gt;""""))), LEN(INDEX(FILTER(G$1:G2471, G$1:G2471&lt;&gt;""""),COUNTA(FILTER(G$1:G2471, G$1:G2471&lt;&gt;""""))))-1), IF('To Order'!$A2472=COL"&amp;"UMNS($A2472:G2491), G2471&amp;RIGHT(INDIRECT(ADDRESS(ROW(G2472)-1, 'From Order'!$A2472)), 1), G2471))"),"")</f>
        <v/>
      </c>
      <c r="H2472" s="2" t="str">
        <f>IFERROR(__xludf.DUMMYFUNCTION("IF('From Order'!$A2472=COLUMNS($A2472:H2491), LEFT(INDEX(FILTER(H$1:H2471, H$1:H2471&lt;&gt;""""),COUNTA(FILTER(H$1:H2471, H$1:H2471&lt;&gt;""""))), LEN(INDEX(FILTER(H$1:H2471, H$1:H2471&lt;&gt;""""),COUNTA(FILTER(H$1:H2471, H$1:H2471&lt;&gt;""""))))-1), IF('To Order'!$A2472=COL"&amp;"UMNS($A2472:H2491), H2471&amp;RIGHT(INDIRECT(ADDRESS(ROW(H2472)-1, 'From Order'!$A2472)), 1), H2471))"),"")</f>
        <v/>
      </c>
      <c r="I2472" s="2" t="str">
        <f>IFERROR(__xludf.DUMMYFUNCTION("IF('From Order'!$A2472=COLUMNS($A2472:I2491), LEFT(INDEX(FILTER(I$1:I2471, I$1:I2471&lt;&gt;""""),COUNTA(FILTER(I$1:I2471, I$1:I2471&lt;&gt;""""))), LEN(INDEX(FILTER(I$1:I2471, I$1:I2471&lt;&gt;""""),COUNTA(FILTER(I$1:I2471, I$1:I2471&lt;&gt;""""))))-1), IF('To Order'!$A2472=COL"&amp;"UMNS($A2472:I2491), I2471&amp;RIGHT(INDIRECT(ADDRESS(ROW(I2472)-1, 'From Order'!$A2472)), 1), I2471))"),"QVC")</f>
        <v>QVC</v>
      </c>
    </row>
    <row r="2473">
      <c r="A2473" s="2" t="str">
        <f>IFERROR(__xludf.DUMMYFUNCTION("IF('From Order'!$A2473=COLUMNS($A2473:A2492), LEFT(INDEX(FILTER(A$1:A2472, A$1:A2472&lt;&gt;""""),COUNTA(FILTER(A$1:A2472, A$1:A2472&lt;&gt;""""))), LEN(INDEX(FILTER(A$1:A2472, A$1:A2472&lt;&gt;""""),COUNTA(FILTER(A$1:A2472, A$1:A2472&lt;&gt;""""))))-1), IF('To Order'!$A2473=COL"&amp;"UMNS($A2473:A2492), A2472&amp;RIGHT(INDIRECT(ADDRESS(ROW(A2473)-1, 'From Order'!$A2473)), 1), A2472))"),"DRSZHTW")</f>
        <v>DRSZHTW</v>
      </c>
      <c r="B2473" s="2" t="str">
        <f>IFERROR(__xludf.DUMMYFUNCTION("IF('From Order'!$A2473=COLUMNS($A2473:B2492), LEFT(INDEX(FILTER(B$1:B2472, B$1:B2472&lt;&gt;""""),COUNTA(FILTER(B$1:B2472, B$1:B2472&lt;&gt;""""))), LEN(INDEX(FILTER(B$1:B2472, B$1:B2472&lt;&gt;""""),COUNTA(FILTER(B$1:B2472, B$1:B2472&lt;&gt;""""))))-1), IF('To Order'!$A2473=COL"&amp;"UMNS($A2473:B2492), B2472&amp;RIGHT(INDIRECT(ADDRESS(ROW(B2473)-1, 'From Order'!$A2473)), 1), B2472))"),"QGWBSD")</f>
        <v>QGWBSD</v>
      </c>
      <c r="C2473" s="2" t="str">
        <f>IFERROR(__xludf.DUMMYFUNCTION("IF('From Order'!$A2473=COLUMNS($A2473:C2492), LEFT(INDEX(FILTER(C$1:C2472, C$1:C2472&lt;&gt;""""),COUNTA(FILTER(C$1:C2472, C$1:C2472&lt;&gt;""""))), LEN(INDEX(FILTER(C$1:C2472, C$1:C2472&lt;&gt;""""),COUNTA(FILTER(C$1:C2472, C$1:C2472&lt;&gt;""""))))-1), IF('To Order'!$A2473=COL"&amp;"UMNS($A2473:C2492), C2472&amp;RIGHT(INDIRECT(ADDRESS(ROW(C2473)-1, 'From Order'!$A2473)), 1), C2472))"),"VBJDDV")</f>
        <v>VBJDDV</v>
      </c>
      <c r="D2473" s="2" t="str">
        <f>IFERROR(__xludf.DUMMYFUNCTION("IF('From Order'!$A2473=COLUMNS($A2473:D2492), LEFT(INDEX(FILTER(D$1:D2472, D$1:D2472&lt;&gt;""""),COUNTA(FILTER(D$1:D2472, D$1:D2472&lt;&gt;""""))), LEN(INDEX(FILTER(D$1:D2472, D$1:D2472&lt;&gt;""""),COUNTA(FILTER(D$1:D2472, D$1:D2472&lt;&gt;""""))))-1), IF('To Order'!$A2473=COL"&amp;"UMNS($A2473:D2492), D2472&amp;RIGHT(INDIRECT(ADDRESS(ROW(D2473)-1, 'From Order'!$A2473)), 1), D2472))"),"CDBFLL")</f>
        <v>CDBFLL</v>
      </c>
      <c r="E2473" s="2" t="str">
        <f>IFERROR(__xludf.DUMMYFUNCTION("IF('From Order'!$A2473=COLUMNS($A2473:E2492), LEFT(INDEX(FILTER(E$1:E2472, E$1:E2472&lt;&gt;""""),COUNTA(FILTER(E$1:E2472, E$1:E2472&lt;&gt;""""))), LEN(INDEX(FILTER(E$1:E2472, E$1:E2472&lt;&gt;""""),COUNTA(FILTER(E$1:E2472, E$1:E2472&lt;&gt;""""))))-1), IF('To Order'!$A2473=COL"&amp;"UMNS($A2473:E2492), E2472&amp;RIGHT(INDIRECT(ADDRESS(ROW(E2473)-1, 'From Order'!$A2473)), 1), E2472))"),"BRPHZMT")</f>
        <v>BRPHZMT</v>
      </c>
      <c r="F2473" s="2" t="str">
        <f>IFERROR(__xludf.DUMMYFUNCTION("IF('From Order'!$A2473=COLUMNS($A2473:F2492), LEFT(INDEX(FILTER(F$1:F2472, F$1:F2472&lt;&gt;""""),COUNTA(FILTER(F$1:F2472, F$1:F2472&lt;&gt;""""))), LEN(INDEX(FILTER(F$1:F2472, F$1:F2472&lt;&gt;""""),COUNTA(FILTER(F$1:F2472, F$1:F2472&lt;&gt;""""))))-1), IF('To Order'!$A2473=COL"&amp;"UMNS($A2473:F2492), F2472&amp;RIGHT(INDIRECT(ADDRESS(ROW(F2473)-1, 'From Order'!$A2473)), 1), F2472))"),"RSPMGTTMDZFJCTTJRRLPS")</f>
        <v>RSPMGTTMDZFJCTTJRRLPS</v>
      </c>
      <c r="G2473" s="2" t="str">
        <f>IFERROR(__xludf.DUMMYFUNCTION("IF('From Order'!$A2473=COLUMNS($A2473:G2492), LEFT(INDEX(FILTER(G$1:G2472, G$1:G2472&lt;&gt;""""),COUNTA(FILTER(G$1:G2472, G$1:G2472&lt;&gt;""""))), LEN(INDEX(FILTER(G$1:G2472, G$1:G2472&lt;&gt;""""),COUNTA(FILTER(G$1:G2472, G$1:G2472&lt;&gt;""""))))-1), IF('To Order'!$A2473=COL"&amp;"UMNS($A2473:G2492), G2472&amp;RIGHT(INDIRECT(ADDRESS(ROW(G2473)-1, 'From Order'!$A2473)), 1), G2472))"),"")</f>
        <v/>
      </c>
      <c r="H2473" s="2" t="str">
        <f>IFERROR(__xludf.DUMMYFUNCTION("IF('From Order'!$A2473=COLUMNS($A2473:H2492), LEFT(INDEX(FILTER(H$1:H2472, H$1:H2472&lt;&gt;""""),COUNTA(FILTER(H$1:H2472, H$1:H2472&lt;&gt;""""))), LEN(INDEX(FILTER(H$1:H2472, H$1:H2472&lt;&gt;""""),COUNTA(FILTER(H$1:H2472, H$1:H2472&lt;&gt;""""))))-1), IF('To Order'!$A2473=COL"&amp;"UMNS($A2473:H2492), H2472&amp;RIGHT(INDIRECT(ADDRESS(ROW(H2473)-1, 'From Order'!$A2473)), 1), H2472))"),"")</f>
        <v/>
      </c>
      <c r="I2473" s="2" t="str">
        <f>IFERROR(__xludf.DUMMYFUNCTION("IF('From Order'!$A2473=COLUMNS($A2473:I2492), LEFT(INDEX(FILTER(I$1:I2472, I$1:I2472&lt;&gt;""""),COUNTA(FILTER(I$1:I2472, I$1:I2472&lt;&gt;""""))), LEN(INDEX(FILTER(I$1:I2472, I$1:I2472&lt;&gt;""""),COUNTA(FILTER(I$1:I2472, I$1:I2472&lt;&gt;""""))))-1), IF('To Order'!$A2473=COL"&amp;"UMNS($A2473:I2492), I2472&amp;RIGHT(INDIRECT(ADDRESS(ROW(I2473)-1, 'From Order'!$A2473)), 1), I2472))"),"QVC")</f>
        <v>QVC</v>
      </c>
    </row>
    <row r="2474">
      <c r="A2474" s="2" t="str">
        <f>IFERROR(__xludf.DUMMYFUNCTION("IF('From Order'!$A2474=COLUMNS($A2474:A2493), LEFT(INDEX(FILTER(A$1:A2473, A$1:A2473&lt;&gt;""""),COUNTA(FILTER(A$1:A2473, A$1:A2473&lt;&gt;""""))), LEN(INDEX(FILTER(A$1:A2473, A$1:A2473&lt;&gt;""""),COUNTA(FILTER(A$1:A2473, A$1:A2473&lt;&gt;""""))))-1), IF('To Order'!$A2474=COL"&amp;"UMNS($A2474:A2493), A2473&amp;RIGHT(INDIRECT(ADDRESS(ROW(A2474)-1, 'From Order'!$A2474)), 1), A2473))"),"DRSZHT")</f>
        <v>DRSZHT</v>
      </c>
      <c r="B2474" s="2" t="str">
        <f>IFERROR(__xludf.DUMMYFUNCTION("IF('From Order'!$A2474=COLUMNS($A2474:B2493), LEFT(INDEX(FILTER(B$1:B2473, B$1:B2473&lt;&gt;""""),COUNTA(FILTER(B$1:B2473, B$1:B2473&lt;&gt;""""))), LEN(INDEX(FILTER(B$1:B2473, B$1:B2473&lt;&gt;""""),COUNTA(FILTER(B$1:B2473, B$1:B2473&lt;&gt;""""))))-1), IF('To Order'!$A2474=COL"&amp;"UMNS($A2474:B2493), B2473&amp;RIGHT(INDIRECT(ADDRESS(ROW(B2474)-1, 'From Order'!$A2474)), 1), B2473))"),"QGWBSD")</f>
        <v>QGWBSD</v>
      </c>
      <c r="C2474" s="2" t="str">
        <f>IFERROR(__xludf.DUMMYFUNCTION("IF('From Order'!$A2474=COLUMNS($A2474:C2493), LEFT(INDEX(FILTER(C$1:C2473, C$1:C2473&lt;&gt;""""),COUNTA(FILTER(C$1:C2473, C$1:C2473&lt;&gt;""""))), LEN(INDEX(FILTER(C$1:C2473, C$1:C2473&lt;&gt;""""),COUNTA(FILTER(C$1:C2473, C$1:C2473&lt;&gt;""""))))-1), IF('To Order'!$A2474=COL"&amp;"UMNS($A2474:C2493), C2473&amp;RIGHT(INDIRECT(ADDRESS(ROW(C2474)-1, 'From Order'!$A2474)), 1), C2473))"),"VBJDDV")</f>
        <v>VBJDDV</v>
      </c>
      <c r="D2474" s="2" t="str">
        <f>IFERROR(__xludf.DUMMYFUNCTION("IF('From Order'!$A2474=COLUMNS($A2474:D2493), LEFT(INDEX(FILTER(D$1:D2473, D$1:D2473&lt;&gt;""""),COUNTA(FILTER(D$1:D2473, D$1:D2473&lt;&gt;""""))), LEN(INDEX(FILTER(D$1:D2473, D$1:D2473&lt;&gt;""""),COUNTA(FILTER(D$1:D2473, D$1:D2473&lt;&gt;""""))))-1), IF('To Order'!$A2474=COL"&amp;"UMNS($A2474:D2493), D2473&amp;RIGHT(INDIRECT(ADDRESS(ROW(D2474)-1, 'From Order'!$A2474)), 1), D2473))"),"CDBFLLW")</f>
        <v>CDBFLLW</v>
      </c>
      <c r="E2474" s="2" t="str">
        <f>IFERROR(__xludf.DUMMYFUNCTION("IF('From Order'!$A2474=COLUMNS($A2474:E2493), LEFT(INDEX(FILTER(E$1:E2473, E$1:E2473&lt;&gt;""""),COUNTA(FILTER(E$1:E2473, E$1:E2473&lt;&gt;""""))), LEN(INDEX(FILTER(E$1:E2473, E$1:E2473&lt;&gt;""""),COUNTA(FILTER(E$1:E2473, E$1:E2473&lt;&gt;""""))))-1), IF('To Order'!$A2474=COL"&amp;"UMNS($A2474:E2493), E2473&amp;RIGHT(INDIRECT(ADDRESS(ROW(E2474)-1, 'From Order'!$A2474)), 1), E2473))"),"BRPHZMT")</f>
        <v>BRPHZMT</v>
      </c>
      <c r="F2474" s="2" t="str">
        <f>IFERROR(__xludf.DUMMYFUNCTION("IF('From Order'!$A2474=COLUMNS($A2474:F2493), LEFT(INDEX(FILTER(F$1:F2473, F$1:F2473&lt;&gt;""""),COUNTA(FILTER(F$1:F2473, F$1:F2473&lt;&gt;""""))), LEN(INDEX(FILTER(F$1:F2473, F$1:F2473&lt;&gt;""""),COUNTA(FILTER(F$1:F2473, F$1:F2473&lt;&gt;""""))))-1), IF('To Order'!$A2474=COL"&amp;"UMNS($A2474:F2493), F2473&amp;RIGHT(INDIRECT(ADDRESS(ROW(F2474)-1, 'From Order'!$A2474)), 1), F2473))"),"RSPMGTTMDZFJCTTJRRLPS")</f>
        <v>RSPMGTTMDZFJCTTJRRLPS</v>
      </c>
      <c r="G2474" s="2" t="str">
        <f>IFERROR(__xludf.DUMMYFUNCTION("IF('From Order'!$A2474=COLUMNS($A2474:G2493), LEFT(INDEX(FILTER(G$1:G2473, G$1:G2473&lt;&gt;""""),COUNTA(FILTER(G$1:G2473, G$1:G2473&lt;&gt;""""))), LEN(INDEX(FILTER(G$1:G2473, G$1:G2473&lt;&gt;""""),COUNTA(FILTER(G$1:G2473, G$1:G2473&lt;&gt;""""))))-1), IF('To Order'!$A2474=COL"&amp;"UMNS($A2474:G2493), G2473&amp;RIGHT(INDIRECT(ADDRESS(ROW(G2474)-1, 'From Order'!$A2474)), 1), G2473))"),"")</f>
        <v/>
      </c>
      <c r="H2474" s="2" t="str">
        <f>IFERROR(__xludf.DUMMYFUNCTION("IF('From Order'!$A2474=COLUMNS($A2474:H2493), LEFT(INDEX(FILTER(H$1:H2473, H$1:H2473&lt;&gt;""""),COUNTA(FILTER(H$1:H2473, H$1:H2473&lt;&gt;""""))), LEN(INDEX(FILTER(H$1:H2473, H$1:H2473&lt;&gt;""""),COUNTA(FILTER(H$1:H2473, H$1:H2473&lt;&gt;""""))))-1), IF('To Order'!$A2474=COL"&amp;"UMNS($A2474:H2493), H2473&amp;RIGHT(INDIRECT(ADDRESS(ROW(H2474)-1, 'From Order'!$A2474)), 1), H2473))"),"")</f>
        <v/>
      </c>
      <c r="I2474" s="2" t="str">
        <f>IFERROR(__xludf.DUMMYFUNCTION("IF('From Order'!$A2474=COLUMNS($A2474:I2493), LEFT(INDEX(FILTER(I$1:I2473, I$1:I2473&lt;&gt;""""),COUNTA(FILTER(I$1:I2473, I$1:I2473&lt;&gt;""""))), LEN(INDEX(FILTER(I$1:I2473, I$1:I2473&lt;&gt;""""),COUNTA(FILTER(I$1:I2473, I$1:I2473&lt;&gt;""""))))-1), IF('To Order'!$A2474=COL"&amp;"UMNS($A2474:I2493), I2473&amp;RIGHT(INDIRECT(ADDRESS(ROW(I2474)-1, 'From Order'!$A2474)), 1), I2473))"),"QVC")</f>
        <v>QVC</v>
      </c>
    </row>
    <row r="2475">
      <c r="A2475" s="2" t="str">
        <f>IFERROR(__xludf.DUMMYFUNCTION("IF('From Order'!$A2475=COLUMNS($A2475:A2494), LEFT(INDEX(FILTER(A$1:A2474, A$1:A2474&lt;&gt;""""),COUNTA(FILTER(A$1:A2474, A$1:A2474&lt;&gt;""""))), LEN(INDEX(FILTER(A$1:A2474, A$1:A2474&lt;&gt;""""),COUNTA(FILTER(A$1:A2474, A$1:A2474&lt;&gt;""""))))-1), IF('To Order'!$A2475=COL"&amp;"UMNS($A2475:A2494), A2474&amp;RIGHT(INDIRECT(ADDRESS(ROW(A2475)-1, 'From Order'!$A2475)), 1), A2474))"),"DRSZH")</f>
        <v>DRSZH</v>
      </c>
      <c r="B2475" s="2" t="str">
        <f>IFERROR(__xludf.DUMMYFUNCTION("IF('From Order'!$A2475=COLUMNS($A2475:B2494), LEFT(INDEX(FILTER(B$1:B2474, B$1:B2474&lt;&gt;""""),COUNTA(FILTER(B$1:B2474, B$1:B2474&lt;&gt;""""))), LEN(INDEX(FILTER(B$1:B2474, B$1:B2474&lt;&gt;""""),COUNTA(FILTER(B$1:B2474, B$1:B2474&lt;&gt;""""))))-1), IF('To Order'!$A2475=COL"&amp;"UMNS($A2475:B2494), B2474&amp;RIGHT(INDIRECT(ADDRESS(ROW(B2475)-1, 'From Order'!$A2475)), 1), B2474))"),"QGWBSD")</f>
        <v>QGWBSD</v>
      </c>
      <c r="C2475" s="2" t="str">
        <f>IFERROR(__xludf.DUMMYFUNCTION("IF('From Order'!$A2475=COLUMNS($A2475:C2494), LEFT(INDEX(FILTER(C$1:C2474, C$1:C2474&lt;&gt;""""),COUNTA(FILTER(C$1:C2474, C$1:C2474&lt;&gt;""""))), LEN(INDEX(FILTER(C$1:C2474, C$1:C2474&lt;&gt;""""),COUNTA(FILTER(C$1:C2474, C$1:C2474&lt;&gt;""""))))-1), IF('To Order'!$A2475=COL"&amp;"UMNS($A2475:C2494), C2474&amp;RIGHT(INDIRECT(ADDRESS(ROW(C2475)-1, 'From Order'!$A2475)), 1), C2474))"),"VBJDDV")</f>
        <v>VBJDDV</v>
      </c>
      <c r="D2475" s="2" t="str">
        <f>IFERROR(__xludf.DUMMYFUNCTION("IF('From Order'!$A2475=COLUMNS($A2475:D2494), LEFT(INDEX(FILTER(D$1:D2474, D$1:D2474&lt;&gt;""""),COUNTA(FILTER(D$1:D2474, D$1:D2474&lt;&gt;""""))), LEN(INDEX(FILTER(D$1:D2474, D$1:D2474&lt;&gt;""""),COUNTA(FILTER(D$1:D2474, D$1:D2474&lt;&gt;""""))))-1), IF('To Order'!$A2475=COL"&amp;"UMNS($A2475:D2494), D2474&amp;RIGHT(INDIRECT(ADDRESS(ROW(D2475)-1, 'From Order'!$A2475)), 1), D2474))"),"CDBFLLWT")</f>
        <v>CDBFLLWT</v>
      </c>
      <c r="E2475" s="2" t="str">
        <f>IFERROR(__xludf.DUMMYFUNCTION("IF('From Order'!$A2475=COLUMNS($A2475:E2494), LEFT(INDEX(FILTER(E$1:E2474, E$1:E2474&lt;&gt;""""),COUNTA(FILTER(E$1:E2474, E$1:E2474&lt;&gt;""""))), LEN(INDEX(FILTER(E$1:E2474, E$1:E2474&lt;&gt;""""),COUNTA(FILTER(E$1:E2474, E$1:E2474&lt;&gt;""""))))-1), IF('To Order'!$A2475=COL"&amp;"UMNS($A2475:E2494), E2474&amp;RIGHT(INDIRECT(ADDRESS(ROW(E2475)-1, 'From Order'!$A2475)), 1), E2474))"),"BRPHZMT")</f>
        <v>BRPHZMT</v>
      </c>
      <c r="F2475" s="2" t="str">
        <f>IFERROR(__xludf.DUMMYFUNCTION("IF('From Order'!$A2475=COLUMNS($A2475:F2494), LEFT(INDEX(FILTER(F$1:F2474, F$1:F2474&lt;&gt;""""),COUNTA(FILTER(F$1:F2474, F$1:F2474&lt;&gt;""""))), LEN(INDEX(FILTER(F$1:F2474, F$1:F2474&lt;&gt;""""),COUNTA(FILTER(F$1:F2474, F$1:F2474&lt;&gt;""""))))-1), IF('To Order'!$A2475=COL"&amp;"UMNS($A2475:F2494), F2474&amp;RIGHT(INDIRECT(ADDRESS(ROW(F2475)-1, 'From Order'!$A2475)), 1), F2474))"),"RSPMGTTMDZFJCTTJRRLPS")</f>
        <v>RSPMGTTMDZFJCTTJRRLPS</v>
      </c>
      <c r="G2475" s="2" t="str">
        <f>IFERROR(__xludf.DUMMYFUNCTION("IF('From Order'!$A2475=COLUMNS($A2475:G2494), LEFT(INDEX(FILTER(G$1:G2474, G$1:G2474&lt;&gt;""""),COUNTA(FILTER(G$1:G2474, G$1:G2474&lt;&gt;""""))), LEN(INDEX(FILTER(G$1:G2474, G$1:G2474&lt;&gt;""""),COUNTA(FILTER(G$1:G2474, G$1:G2474&lt;&gt;""""))))-1), IF('To Order'!$A2475=COL"&amp;"UMNS($A2475:G2494), G2474&amp;RIGHT(INDIRECT(ADDRESS(ROW(G2475)-1, 'From Order'!$A2475)), 1), G2474))"),"")</f>
        <v/>
      </c>
      <c r="H2475" s="2" t="str">
        <f>IFERROR(__xludf.DUMMYFUNCTION("IF('From Order'!$A2475=COLUMNS($A2475:H2494), LEFT(INDEX(FILTER(H$1:H2474, H$1:H2474&lt;&gt;""""),COUNTA(FILTER(H$1:H2474, H$1:H2474&lt;&gt;""""))), LEN(INDEX(FILTER(H$1:H2474, H$1:H2474&lt;&gt;""""),COUNTA(FILTER(H$1:H2474, H$1:H2474&lt;&gt;""""))))-1), IF('To Order'!$A2475=COL"&amp;"UMNS($A2475:H2494), H2474&amp;RIGHT(INDIRECT(ADDRESS(ROW(H2475)-1, 'From Order'!$A2475)), 1), H2474))"),"")</f>
        <v/>
      </c>
      <c r="I2475" s="2" t="str">
        <f>IFERROR(__xludf.DUMMYFUNCTION("IF('From Order'!$A2475=COLUMNS($A2475:I2494), LEFT(INDEX(FILTER(I$1:I2474, I$1:I2474&lt;&gt;""""),COUNTA(FILTER(I$1:I2474, I$1:I2474&lt;&gt;""""))), LEN(INDEX(FILTER(I$1:I2474, I$1:I2474&lt;&gt;""""),COUNTA(FILTER(I$1:I2474, I$1:I2474&lt;&gt;""""))))-1), IF('To Order'!$A2475=COL"&amp;"UMNS($A2475:I2494), I2474&amp;RIGHT(INDIRECT(ADDRESS(ROW(I2475)-1, 'From Order'!$A2475)), 1), I2474))"),"QVC")</f>
        <v>QVC</v>
      </c>
    </row>
    <row r="2476">
      <c r="A2476" s="2" t="str">
        <f>IFERROR(__xludf.DUMMYFUNCTION("IF('From Order'!$A2476=COLUMNS($A2476:A2495), LEFT(INDEX(FILTER(A$1:A2475, A$1:A2475&lt;&gt;""""),COUNTA(FILTER(A$1:A2475, A$1:A2475&lt;&gt;""""))), LEN(INDEX(FILTER(A$1:A2475, A$1:A2475&lt;&gt;""""),COUNTA(FILTER(A$1:A2475, A$1:A2475&lt;&gt;""""))))-1), IF('To Order'!$A2476=COL"&amp;"UMNS($A2476:A2495), A2475&amp;RIGHT(INDIRECT(ADDRESS(ROW(A2476)-1, 'From Order'!$A2476)), 1), A2475))"),"DRSZH")</f>
        <v>DRSZH</v>
      </c>
      <c r="B2476" s="2" t="str">
        <f>IFERROR(__xludf.DUMMYFUNCTION("IF('From Order'!$A2476=COLUMNS($A2476:B2495), LEFT(INDEX(FILTER(B$1:B2475, B$1:B2475&lt;&gt;""""),COUNTA(FILTER(B$1:B2475, B$1:B2475&lt;&gt;""""))), LEN(INDEX(FILTER(B$1:B2475, B$1:B2475&lt;&gt;""""),COUNTA(FILTER(B$1:B2475, B$1:B2475&lt;&gt;""""))))-1), IF('To Order'!$A2476=COL"&amp;"UMNS($A2476:B2495), B2475&amp;RIGHT(INDIRECT(ADDRESS(ROW(B2476)-1, 'From Order'!$A2476)), 1), B2475))"),"QGWBSDC")</f>
        <v>QGWBSDC</v>
      </c>
      <c r="C2476" s="2" t="str">
        <f>IFERROR(__xludf.DUMMYFUNCTION("IF('From Order'!$A2476=COLUMNS($A2476:C2495), LEFT(INDEX(FILTER(C$1:C2475, C$1:C2475&lt;&gt;""""),COUNTA(FILTER(C$1:C2475, C$1:C2475&lt;&gt;""""))), LEN(INDEX(FILTER(C$1:C2475, C$1:C2475&lt;&gt;""""),COUNTA(FILTER(C$1:C2475, C$1:C2475&lt;&gt;""""))))-1), IF('To Order'!$A2476=COL"&amp;"UMNS($A2476:C2495), C2475&amp;RIGHT(INDIRECT(ADDRESS(ROW(C2476)-1, 'From Order'!$A2476)), 1), C2475))"),"VBJDDV")</f>
        <v>VBJDDV</v>
      </c>
      <c r="D2476" s="2" t="str">
        <f>IFERROR(__xludf.DUMMYFUNCTION("IF('From Order'!$A2476=COLUMNS($A2476:D2495), LEFT(INDEX(FILTER(D$1:D2475, D$1:D2475&lt;&gt;""""),COUNTA(FILTER(D$1:D2475, D$1:D2475&lt;&gt;""""))), LEN(INDEX(FILTER(D$1:D2475, D$1:D2475&lt;&gt;""""),COUNTA(FILTER(D$1:D2475, D$1:D2475&lt;&gt;""""))))-1), IF('To Order'!$A2476=COL"&amp;"UMNS($A2476:D2495), D2475&amp;RIGHT(INDIRECT(ADDRESS(ROW(D2476)-1, 'From Order'!$A2476)), 1), D2475))"),"CDBFLLWT")</f>
        <v>CDBFLLWT</v>
      </c>
      <c r="E2476" s="2" t="str">
        <f>IFERROR(__xludf.DUMMYFUNCTION("IF('From Order'!$A2476=COLUMNS($A2476:E2495), LEFT(INDEX(FILTER(E$1:E2475, E$1:E2475&lt;&gt;""""),COUNTA(FILTER(E$1:E2475, E$1:E2475&lt;&gt;""""))), LEN(INDEX(FILTER(E$1:E2475, E$1:E2475&lt;&gt;""""),COUNTA(FILTER(E$1:E2475, E$1:E2475&lt;&gt;""""))))-1), IF('To Order'!$A2476=COL"&amp;"UMNS($A2476:E2495), E2475&amp;RIGHT(INDIRECT(ADDRESS(ROW(E2476)-1, 'From Order'!$A2476)), 1), E2475))"),"BRPHZMT")</f>
        <v>BRPHZMT</v>
      </c>
      <c r="F2476" s="2" t="str">
        <f>IFERROR(__xludf.DUMMYFUNCTION("IF('From Order'!$A2476=COLUMNS($A2476:F2495), LEFT(INDEX(FILTER(F$1:F2475, F$1:F2475&lt;&gt;""""),COUNTA(FILTER(F$1:F2475, F$1:F2475&lt;&gt;""""))), LEN(INDEX(FILTER(F$1:F2475, F$1:F2475&lt;&gt;""""),COUNTA(FILTER(F$1:F2475, F$1:F2475&lt;&gt;""""))))-1), IF('To Order'!$A2476=COL"&amp;"UMNS($A2476:F2495), F2475&amp;RIGHT(INDIRECT(ADDRESS(ROW(F2476)-1, 'From Order'!$A2476)), 1), F2475))"),"RSPMGTTMDZFJCTTJRRLPS")</f>
        <v>RSPMGTTMDZFJCTTJRRLPS</v>
      </c>
      <c r="G2476" s="2" t="str">
        <f>IFERROR(__xludf.DUMMYFUNCTION("IF('From Order'!$A2476=COLUMNS($A2476:G2495), LEFT(INDEX(FILTER(G$1:G2475, G$1:G2475&lt;&gt;""""),COUNTA(FILTER(G$1:G2475, G$1:G2475&lt;&gt;""""))), LEN(INDEX(FILTER(G$1:G2475, G$1:G2475&lt;&gt;""""),COUNTA(FILTER(G$1:G2475, G$1:G2475&lt;&gt;""""))))-1), IF('To Order'!$A2476=COL"&amp;"UMNS($A2476:G2495), G2475&amp;RIGHT(INDIRECT(ADDRESS(ROW(G2476)-1, 'From Order'!$A2476)), 1), G2475))"),"")</f>
        <v/>
      </c>
      <c r="H2476" s="2" t="str">
        <f>IFERROR(__xludf.DUMMYFUNCTION("IF('From Order'!$A2476=COLUMNS($A2476:H2495), LEFT(INDEX(FILTER(H$1:H2475, H$1:H2475&lt;&gt;""""),COUNTA(FILTER(H$1:H2475, H$1:H2475&lt;&gt;""""))), LEN(INDEX(FILTER(H$1:H2475, H$1:H2475&lt;&gt;""""),COUNTA(FILTER(H$1:H2475, H$1:H2475&lt;&gt;""""))))-1), IF('To Order'!$A2476=COL"&amp;"UMNS($A2476:H2495), H2475&amp;RIGHT(INDIRECT(ADDRESS(ROW(H2476)-1, 'From Order'!$A2476)), 1), H2475))"),"")</f>
        <v/>
      </c>
      <c r="I2476" s="2" t="str">
        <f>IFERROR(__xludf.DUMMYFUNCTION("IF('From Order'!$A2476=COLUMNS($A2476:I2495), LEFT(INDEX(FILTER(I$1:I2475, I$1:I2475&lt;&gt;""""),COUNTA(FILTER(I$1:I2475, I$1:I2475&lt;&gt;""""))), LEN(INDEX(FILTER(I$1:I2475, I$1:I2475&lt;&gt;""""),COUNTA(FILTER(I$1:I2475, I$1:I2475&lt;&gt;""""))))-1), IF('To Order'!$A2476=COL"&amp;"UMNS($A2476:I2495), I2475&amp;RIGHT(INDIRECT(ADDRESS(ROW(I2476)-1, 'From Order'!$A2476)), 1), I2475))"),"QV")</f>
        <v>QV</v>
      </c>
    </row>
    <row r="2477">
      <c r="A2477" s="2" t="str">
        <f>IFERROR(__xludf.DUMMYFUNCTION("IF('From Order'!$A2477=COLUMNS($A2477:A2496), LEFT(INDEX(FILTER(A$1:A2476, A$1:A2476&lt;&gt;""""),COUNTA(FILTER(A$1:A2476, A$1:A2476&lt;&gt;""""))), LEN(INDEX(FILTER(A$1:A2476, A$1:A2476&lt;&gt;""""),COUNTA(FILTER(A$1:A2476, A$1:A2476&lt;&gt;""""))))-1), IF('To Order'!$A2477=COL"&amp;"UMNS($A2477:A2496), A2476&amp;RIGHT(INDIRECT(ADDRESS(ROW(A2477)-1, 'From Order'!$A2477)), 1), A2476))"),"DRSZH")</f>
        <v>DRSZH</v>
      </c>
      <c r="B2477" s="2" t="str">
        <f>IFERROR(__xludf.DUMMYFUNCTION("IF('From Order'!$A2477=COLUMNS($A2477:B2496), LEFT(INDEX(FILTER(B$1:B2476, B$1:B2476&lt;&gt;""""),COUNTA(FILTER(B$1:B2476, B$1:B2476&lt;&gt;""""))), LEN(INDEX(FILTER(B$1:B2476, B$1:B2476&lt;&gt;""""),COUNTA(FILTER(B$1:B2476, B$1:B2476&lt;&gt;""""))))-1), IF('To Order'!$A2477=COL"&amp;"UMNS($A2477:B2496), B2476&amp;RIGHT(INDIRECT(ADDRESS(ROW(B2477)-1, 'From Order'!$A2477)), 1), B2476))"),"QGWBSDC")</f>
        <v>QGWBSDC</v>
      </c>
      <c r="C2477" s="2" t="str">
        <f>IFERROR(__xludf.DUMMYFUNCTION("IF('From Order'!$A2477=COLUMNS($A2477:C2496), LEFT(INDEX(FILTER(C$1:C2476, C$1:C2476&lt;&gt;""""),COUNTA(FILTER(C$1:C2476, C$1:C2476&lt;&gt;""""))), LEN(INDEX(FILTER(C$1:C2476, C$1:C2476&lt;&gt;""""),COUNTA(FILTER(C$1:C2476, C$1:C2476&lt;&gt;""""))))-1), IF('To Order'!$A2477=COL"&amp;"UMNS($A2477:C2496), C2476&amp;RIGHT(INDIRECT(ADDRESS(ROW(C2477)-1, 'From Order'!$A2477)), 1), C2476))"),"VBJDDV")</f>
        <v>VBJDDV</v>
      </c>
      <c r="D2477" s="2" t="str">
        <f>IFERROR(__xludf.DUMMYFUNCTION("IF('From Order'!$A2477=COLUMNS($A2477:D2496), LEFT(INDEX(FILTER(D$1:D2476, D$1:D2476&lt;&gt;""""),COUNTA(FILTER(D$1:D2476, D$1:D2476&lt;&gt;""""))), LEN(INDEX(FILTER(D$1:D2476, D$1:D2476&lt;&gt;""""),COUNTA(FILTER(D$1:D2476, D$1:D2476&lt;&gt;""""))))-1), IF('To Order'!$A2477=COL"&amp;"UMNS($A2477:D2496), D2476&amp;RIGHT(INDIRECT(ADDRESS(ROW(D2477)-1, 'From Order'!$A2477)), 1), D2476))"),"CDBFLLW")</f>
        <v>CDBFLLW</v>
      </c>
      <c r="E2477" s="2" t="str">
        <f>IFERROR(__xludf.DUMMYFUNCTION("IF('From Order'!$A2477=COLUMNS($A2477:E2496), LEFT(INDEX(FILTER(E$1:E2476, E$1:E2476&lt;&gt;""""),COUNTA(FILTER(E$1:E2476, E$1:E2476&lt;&gt;""""))), LEN(INDEX(FILTER(E$1:E2476, E$1:E2476&lt;&gt;""""),COUNTA(FILTER(E$1:E2476, E$1:E2476&lt;&gt;""""))))-1), IF('To Order'!$A2477=COL"&amp;"UMNS($A2477:E2496), E2476&amp;RIGHT(INDIRECT(ADDRESS(ROW(E2477)-1, 'From Order'!$A2477)), 1), E2476))"),"BRPHZMT")</f>
        <v>BRPHZMT</v>
      </c>
      <c r="F2477" s="2" t="str">
        <f>IFERROR(__xludf.DUMMYFUNCTION("IF('From Order'!$A2477=COLUMNS($A2477:F2496), LEFT(INDEX(FILTER(F$1:F2476, F$1:F2476&lt;&gt;""""),COUNTA(FILTER(F$1:F2476, F$1:F2476&lt;&gt;""""))), LEN(INDEX(FILTER(F$1:F2476, F$1:F2476&lt;&gt;""""),COUNTA(FILTER(F$1:F2476, F$1:F2476&lt;&gt;""""))))-1), IF('To Order'!$A2477=COL"&amp;"UMNS($A2477:F2496), F2476&amp;RIGHT(INDIRECT(ADDRESS(ROW(F2477)-1, 'From Order'!$A2477)), 1), F2476))"),"RSPMGTTMDZFJCTTJRRLPS")</f>
        <v>RSPMGTTMDZFJCTTJRRLPS</v>
      </c>
      <c r="G2477" s="2" t="str">
        <f>IFERROR(__xludf.DUMMYFUNCTION("IF('From Order'!$A2477=COLUMNS($A2477:G2496), LEFT(INDEX(FILTER(G$1:G2476, G$1:G2476&lt;&gt;""""),COUNTA(FILTER(G$1:G2476, G$1:G2476&lt;&gt;""""))), LEN(INDEX(FILTER(G$1:G2476, G$1:G2476&lt;&gt;""""),COUNTA(FILTER(G$1:G2476, G$1:G2476&lt;&gt;""""))))-1), IF('To Order'!$A2477=COL"&amp;"UMNS($A2477:G2496), G2476&amp;RIGHT(INDIRECT(ADDRESS(ROW(G2477)-1, 'From Order'!$A2477)), 1), G2476))"),"")</f>
        <v/>
      </c>
      <c r="H2477" s="2" t="str">
        <f>IFERROR(__xludf.DUMMYFUNCTION("IF('From Order'!$A2477=COLUMNS($A2477:H2496), LEFT(INDEX(FILTER(H$1:H2476, H$1:H2476&lt;&gt;""""),COUNTA(FILTER(H$1:H2476, H$1:H2476&lt;&gt;""""))), LEN(INDEX(FILTER(H$1:H2476, H$1:H2476&lt;&gt;""""),COUNTA(FILTER(H$1:H2476, H$1:H2476&lt;&gt;""""))))-1), IF('To Order'!$A2477=COL"&amp;"UMNS($A2477:H2496), H2476&amp;RIGHT(INDIRECT(ADDRESS(ROW(H2477)-1, 'From Order'!$A2477)), 1), H2476))"),"T")</f>
        <v>T</v>
      </c>
      <c r="I2477" s="2" t="str">
        <f>IFERROR(__xludf.DUMMYFUNCTION("IF('From Order'!$A2477=COLUMNS($A2477:I2496), LEFT(INDEX(FILTER(I$1:I2476, I$1:I2476&lt;&gt;""""),COUNTA(FILTER(I$1:I2476, I$1:I2476&lt;&gt;""""))), LEN(INDEX(FILTER(I$1:I2476, I$1:I2476&lt;&gt;""""),COUNTA(FILTER(I$1:I2476, I$1:I2476&lt;&gt;""""))))-1), IF('To Order'!$A2477=COL"&amp;"UMNS($A2477:I2496), I2476&amp;RIGHT(INDIRECT(ADDRESS(ROW(I2477)-1, 'From Order'!$A2477)), 1), I2476))"),"QV")</f>
        <v>QV</v>
      </c>
    </row>
    <row r="2478">
      <c r="A2478" s="2" t="str">
        <f>IFERROR(__xludf.DUMMYFUNCTION("IF('From Order'!$A2478=COLUMNS($A2478:A2497), LEFT(INDEX(FILTER(A$1:A2477, A$1:A2477&lt;&gt;""""),COUNTA(FILTER(A$1:A2477, A$1:A2477&lt;&gt;""""))), LEN(INDEX(FILTER(A$1:A2477, A$1:A2477&lt;&gt;""""),COUNTA(FILTER(A$1:A2477, A$1:A2477&lt;&gt;""""))))-1), IF('To Order'!$A2478=COL"&amp;"UMNS($A2478:A2497), A2477&amp;RIGHT(INDIRECT(ADDRESS(ROW(A2478)-1, 'From Order'!$A2478)), 1), A2477))"),"DRSZH")</f>
        <v>DRSZH</v>
      </c>
      <c r="B2478" s="2" t="str">
        <f>IFERROR(__xludf.DUMMYFUNCTION("IF('From Order'!$A2478=COLUMNS($A2478:B2497), LEFT(INDEX(FILTER(B$1:B2477, B$1:B2477&lt;&gt;""""),COUNTA(FILTER(B$1:B2477, B$1:B2477&lt;&gt;""""))), LEN(INDEX(FILTER(B$1:B2477, B$1:B2477&lt;&gt;""""),COUNTA(FILTER(B$1:B2477, B$1:B2477&lt;&gt;""""))))-1), IF('To Order'!$A2478=COL"&amp;"UMNS($A2478:B2497), B2477&amp;RIGHT(INDIRECT(ADDRESS(ROW(B2478)-1, 'From Order'!$A2478)), 1), B2477))"),"QGWBSDC")</f>
        <v>QGWBSDC</v>
      </c>
      <c r="C2478" s="2" t="str">
        <f>IFERROR(__xludf.DUMMYFUNCTION("IF('From Order'!$A2478=COLUMNS($A2478:C2497), LEFT(INDEX(FILTER(C$1:C2477, C$1:C2477&lt;&gt;""""),COUNTA(FILTER(C$1:C2477, C$1:C2477&lt;&gt;""""))), LEN(INDEX(FILTER(C$1:C2477, C$1:C2477&lt;&gt;""""),COUNTA(FILTER(C$1:C2477, C$1:C2477&lt;&gt;""""))))-1), IF('To Order'!$A2478=COL"&amp;"UMNS($A2478:C2497), C2477&amp;RIGHT(INDIRECT(ADDRESS(ROW(C2478)-1, 'From Order'!$A2478)), 1), C2477))"),"VBJDDV")</f>
        <v>VBJDDV</v>
      </c>
      <c r="D2478" s="2" t="str">
        <f>IFERROR(__xludf.DUMMYFUNCTION("IF('From Order'!$A2478=COLUMNS($A2478:D2497), LEFT(INDEX(FILTER(D$1:D2477, D$1:D2477&lt;&gt;""""),COUNTA(FILTER(D$1:D2477, D$1:D2477&lt;&gt;""""))), LEN(INDEX(FILTER(D$1:D2477, D$1:D2477&lt;&gt;""""),COUNTA(FILTER(D$1:D2477, D$1:D2477&lt;&gt;""""))))-1), IF('To Order'!$A2478=COL"&amp;"UMNS($A2478:D2497), D2477&amp;RIGHT(INDIRECT(ADDRESS(ROW(D2478)-1, 'From Order'!$A2478)), 1), D2477))"),"CDBFLL")</f>
        <v>CDBFLL</v>
      </c>
      <c r="E2478" s="2" t="str">
        <f>IFERROR(__xludf.DUMMYFUNCTION("IF('From Order'!$A2478=COLUMNS($A2478:E2497), LEFT(INDEX(FILTER(E$1:E2477, E$1:E2477&lt;&gt;""""),COUNTA(FILTER(E$1:E2477, E$1:E2477&lt;&gt;""""))), LEN(INDEX(FILTER(E$1:E2477, E$1:E2477&lt;&gt;""""),COUNTA(FILTER(E$1:E2477, E$1:E2477&lt;&gt;""""))))-1), IF('To Order'!$A2478=COL"&amp;"UMNS($A2478:E2497), E2477&amp;RIGHT(INDIRECT(ADDRESS(ROW(E2478)-1, 'From Order'!$A2478)), 1), E2477))"),"BRPHZMT")</f>
        <v>BRPHZMT</v>
      </c>
      <c r="F2478" s="2" t="str">
        <f>IFERROR(__xludf.DUMMYFUNCTION("IF('From Order'!$A2478=COLUMNS($A2478:F2497), LEFT(INDEX(FILTER(F$1:F2477, F$1:F2477&lt;&gt;""""),COUNTA(FILTER(F$1:F2477, F$1:F2477&lt;&gt;""""))), LEN(INDEX(FILTER(F$1:F2477, F$1:F2477&lt;&gt;""""),COUNTA(FILTER(F$1:F2477, F$1:F2477&lt;&gt;""""))))-1), IF('To Order'!$A2478=COL"&amp;"UMNS($A2478:F2497), F2477&amp;RIGHT(INDIRECT(ADDRESS(ROW(F2478)-1, 'From Order'!$A2478)), 1), F2477))"),"RSPMGTTMDZFJCTTJRRLPS")</f>
        <v>RSPMGTTMDZFJCTTJRRLPS</v>
      </c>
      <c r="G2478" s="2" t="str">
        <f>IFERROR(__xludf.DUMMYFUNCTION("IF('From Order'!$A2478=COLUMNS($A2478:G2497), LEFT(INDEX(FILTER(G$1:G2477, G$1:G2477&lt;&gt;""""),COUNTA(FILTER(G$1:G2477, G$1:G2477&lt;&gt;""""))), LEN(INDEX(FILTER(G$1:G2477, G$1:G2477&lt;&gt;""""),COUNTA(FILTER(G$1:G2477, G$1:G2477&lt;&gt;""""))))-1), IF('To Order'!$A2478=COL"&amp;"UMNS($A2478:G2497), G2477&amp;RIGHT(INDIRECT(ADDRESS(ROW(G2478)-1, 'From Order'!$A2478)), 1), G2477))"),"")</f>
        <v/>
      </c>
      <c r="H2478" s="2" t="str">
        <f>IFERROR(__xludf.DUMMYFUNCTION("IF('From Order'!$A2478=COLUMNS($A2478:H2497), LEFT(INDEX(FILTER(H$1:H2477, H$1:H2477&lt;&gt;""""),COUNTA(FILTER(H$1:H2477, H$1:H2477&lt;&gt;""""))), LEN(INDEX(FILTER(H$1:H2477, H$1:H2477&lt;&gt;""""),COUNTA(FILTER(H$1:H2477, H$1:H2477&lt;&gt;""""))))-1), IF('To Order'!$A2478=COL"&amp;"UMNS($A2478:H2497), H2477&amp;RIGHT(INDIRECT(ADDRESS(ROW(H2478)-1, 'From Order'!$A2478)), 1), H2477))"),"TW")</f>
        <v>TW</v>
      </c>
      <c r="I2478" s="2" t="str">
        <f>IFERROR(__xludf.DUMMYFUNCTION("IF('From Order'!$A2478=COLUMNS($A2478:I2497), LEFT(INDEX(FILTER(I$1:I2477, I$1:I2477&lt;&gt;""""),COUNTA(FILTER(I$1:I2477, I$1:I2477&lt;&gt;""""))), LEN(INDEX(FILTER(I$1:I2477, I$1:I2477&lt;&gt;""""),COUNTA(FILTER(I$1:I2477, I$1:I2477&lt;&gt;""""))))-1), IF('To Order'!$A2478=COL"&amp;"UMNS($A2478:I2497), I2477&amp;RIGHT(INDIRECT(ADDRESS(ROW(I2478)-1, 'From Order'!$A2478)), 1), I2477))"),"QV")</f>
        <v>QV</v>
      </c>
    </row>
    <row r="2479">
      <c r="A2479" s="2" t="str">
        <f>IFERROR(__xludf.DUMMYFUNCTION("IF('From Order'!$A2479=COLUMNS($A2479:A2498), LEFT(INDEX(FILTER(A$1:A2478, A$1:A2478&lt;&gt;""""),COUNTA(FILTER(A$1:A2478, A$1:A2478&lt;&gt;""""))), LEN(INDEX(FILTER(A$1:A2478, A$1:A2478&lt;&gt;""""),COUNTA(FILTER(A$1:A2478, A$1:A2478&lt;&gt;""""))))-1), IF('To Order'!$A2479=COL"&amp;"UMNS($A2479:A2498), A2478&amp;RIGHT(INDIRECT(ADDRESS(ROW(A2479)-1, 'From Order'!$A2479)), 1), A2478))"),"DRSZH")</f>
        <v>DRSZH</v>
      </c>
      <c r="B2479" s="2" t="str">
        <f>IFERROR(__xludf.DUMMYFUNCTION("IF('From Order'!$A2479=COLUMNS($A2479:B2498), LEFT(INDEX(FILTER(B$1:B2478, B$1:B2478&lt;&gt;""""),COUNTA(FILTER(B$1:B2478, B$1:B2478&lt;&gt;""""))), LEN(INDEX(FILTER(B$1:B2478, B$1:B2478&lt;&gt;""""),COUNTA(FILTER(B$1:B2478, B$1:B2478&lt;&gt;""""))))-1), IF('To Order'!$A2479=COL"&amp;"UMNS($A2479:B2498), B2478&amp;RIGHT(INDIRECT(ADDRESS(ROW(B2479)-1, 'From Order'!$A2479)), 1), B2478))"),"QGWBSDC")</f>
        <v>QGWBSDC</v>
      </c>
      <c r="C2479" s="2" t="str">
        <f>IFERROR(__xludf.DUMMYFUNCTION("IF('From Order'!$A2479=COLUMNS($A2479:C2498), LEFT(INDEX(FILTER(C$1:C2478, C$1:C2478&lt;&gt;""""),COUNTA(FILTER(C$1:C2478, C$1:C2478&lt;&gt;""""))), LEN(INDEX(FILTER(C$1:C2478, C$1:C2478&lt;&gt;""""),COUNTA(FILTER(C$1:C2478, C$1:C2478&lt;&gt;""""))))-1), IF('To Order'!$A2479=COL"&amp;"UMNS($A2479:C2498), C2478&amp;RIGHT(INDIRECT(ADDRESS(ROW(C2479)-1, 'From Order'!$A2479)), 1), C2478))"),"VBJDDV")</f>
        <v>VBJDDV</v>
      </c>
      <c r="D2479" s="2" t="str">
        <f>IFERROR(__xludf.DUMMYFUNCTION("IF('From Order'!$A2479=COLUMNS($A2479:D2498), LEFT(INDEX(FILTER(D$1:D2478, D$1:D2478&lt;&gt;""""),COUNTA(FILTER(D$1:D2478, D$1:D2478&lt;&gt;""""))), LEN(INDEX(FILTER(D$1:D2478, D$1:D2478&lt;&gt;""""),COUNTA(FILTER(D$1:D2478, D$1:D2478&lt;&gt;""""))))-1), IF('To Order'!$A2479=COL"&amp;"UMNS($A2479:D2498), D2478&amp;RIGHT(INDIRECT(ADDRESS(ROW(D2479)-1, 'From Order'!$A2479)), 1), D2478))"),"CDBFL")</f>
        <v>CDBFL</v>
      </c>
      <c r="E2479" s="2" t="str">
        <f>IFERROR(__xludf.DUMMYFUNCTION("IF('From Order'!$A2479=COLUMNS($A2479:E2498), LEFT(INDEX(FILTER(E$1:E2478, E$1:E2478&lt;&gt;""""),COUNTA(FILTER(E$1:E2478, E$1:E2478&lt;&gt;""""))), LEN(INDEX(FILTER(E$1:E2478, E$1:E2478&lt;&gt;""""),COUNTA(FILTER(E$1:E2478, E$1:E2478&lt;&gt;""""))))-1), IF('To Order'!$A2479=COL"&amp;"UMNS($A2479:E2498), E2478&amp;RIGHT(INDIRECT(ADDRESS(ROW(E2479)-1, 'From Order'!$A2479)), 1), E2478))"),"BRPHZMT")</f>
        <v>BRPHZMT</v>
      </c>
      <c r="F2479" s="2" t="str">
        <f>IFERROR(__xludf.DUMMYFUNCTION("IF('From Order'!$A2479=COLUMNS($A2479:F2498), LEFT(INDEX(FILTER(F$1:F2478, F$1:F2478&lt;&gt;""""),COUNTA(FILTER(F$1:F2478, F$1:F2478&lt;&gt;""""))), LEN(INDEX(FILTER(F$1:F2478, F$1:F2478&lt;&gt;""""),COUNTA(FILTER(F$1:F2478, F$1:F2478&lt;&gt;""""))))-1), IF('To Order'!$A2479=COL"&amp;"UMNS($A2479:F2498), F2478&amp;RIGHT(INDIRECT(ADDRESS(ROW(F2479)-1, 'From Order'!$A2479)), 1), F2478))"),"RSPMGTTMDZFJCTTJRRLPS")</f>
        <v>RSPMGTTMDZFJCTTJRRLPS</v>
      </c>
      <c r="G2479" s="2" t="str">
        <f>IFERROR(__xludf.DUMMYFUNCTION("IF('From Order'!$A2479=COLUMNS($A2479:G2498), LEFT(INDEX(FILTER(G$1:G2478, G$1:G2478&lt;&gt;""""),COUNTA(FILTER(G$1:G2478, G$1:G2478&lt;&gt;""""))), LEN(INDEX(FILTER(G$1:G2478, G$1:G2478&lt;&gt;""""),COUNTA(FILTER(G$1:G2478, G$1:G2478&lt;&gt;""""))))-1), IF('To Order'!$A2479=COL"&amp;"UMNS($A2479:G2498), G2478&amp;RIGHT(INDIRECT(ADDRESS(ROW(G2479)-1, 'From Order'!$A2479)), 1), G2478))"),"")</f>
        <v/>
      </c>
      <c r="H2479" s="2" t="str">
        <f>IFERROR(__xludf.DUMMYFUNCTION("IF('From Order'!$A2479=COLUMNS($A2479:H2498), LEFT(INDEX(FILTER(H$1:H2478, H$1:H2478&lt;&gt;""""),COUNTA(FILTER(H$1:H2478, H$1:H2478&lt;&gt;""""))), LEN(INDEX(FILTER(H$1:H2478, H$1:H2478&lt;&gt;""""),COUNTA(FILTER(H$1:H2478, H$1:H2478&lt;&gt;""""))))-1), IF('To Order'!$A2479=COL"&amp;"UMNS($A2479:H2498), H2478&amp;RIGHT(INDIRECT(ADDRESS(ROW(H2479)-1, 'From Order'!$A2479)), 1), H2478))"),"TWL")</f>
        <v>TWL</v>
      </c>
      <c r="I2479" s="2" t="str">
        <f>IFERROR(__xludf.DUMMYFUNCTION("IF('From Order'!$A2479=COLUMNS($A2479:I2498), LEFT(INDEX(FILTER(I$1:I2478, I$1:I2478&lt;&gt;""""),COUNTA(FILTER(I$1:I2478, I$1:I2478&lt;&gt;""""))), LEN(INDEX(FILTER(I$1:I2478, I$1:I2478&lt;&gt;""""),COUNTA(FILTER(I$1:I2478, I$1:I2478&lt;&gt;""""))))-1), IF('To Order'!$A2479=COL"&amp;"UMNS($A2479:I2498), I2478&amp;RIGHT(INDIRECT(ADDRESS(ROW(I2479)-1, 'From Order'!$A2479)), 1), I2478))"),"QV")</f>
        <v>QV</v>
      </c>
    </row>
    <row r="2480">
      <c r="A2480" s="2" t="str">
        <f>IFERROR(__xludf.DUMMYFUNCTION("IF('From Order'!$A2480=COLUMNS($A2480:A2499), LEFT(INDEX(FILTER(A$1:A2479, A$1:A2479&lt;&gt;""""),COUNTA(FILTER(A$1:A2479, A$1:A2479&lt;&gt;""""))), LEN(INDEX(FILTER(A$1:A2479, A$1:A2479&lt;&gt;""""),COUNTA(FILTER(A$1:A2479, A$1:A2479&lt;&gt;""""))))-1), IF('To Order'!$A2480=COL"&amp;"UMNS($A2480:A2499), A2479&amp;RIGHT(INDIRECT(ADDRESS(ROW(A2480)-1, 'From Order'!$A2480)), 1), A2479))"),"DRSZH")</f>
        <v>DRSZH</v>
      </c>
      <c r="B2480" s="2" t="str">
        <f>IFERROR(__xludf.DUMMYFUNCTION("IF('From Order'!$A2480=COLUMNS($A2480:B2499), LEFT(INDEX(FILTER(B$1:B2479, B$1:B2479&lt;&gt;""""),COUNTA(FILTER(B$1:B2479, B$1:B2479&lt;&gt;""""))), LEN(INDEX(FILTER(B$1:B2479, B$1:B2479&lt;&gt;""""),COUNTA(FILTER(B$1:B2479, B$1:B2479&lt;&gt;""""))))-1), IF('To Order'!$A2480=COL"&amp;"UMNS($A2480:B2499), B2479&amp;RIGHT(INDIRECT(ADDRESS(ROW(B2480)-1, 'From Order'!$A2480)), 1), B2479))"),"QGWBSDC")</f>
        <v>QGWBSDC</v>
      </c>
      <c r="C2480" s="2" t="str">
        <f>IFERROR(__xludf.DUMMYFUNCTION("IF('From Order'!$A2480=COLUMNS($A2480:C2499), LEFT(INDEX(FILTER(C$1:C2479, C$1:C2479&lt;&gt;""""),COUNTA(FILTER(C$1:C2479, C$1:C2479&lt;&gt;""""))), LEN(INDEX(FILTER(C$1:C2479, C$1:C2479&lt;&gt;""""),COUNTA(FILTER(C$1:C2479, C$1:C2479&lt;&gt;""""))))-1), IF('To Order'!$A2480=COL"&amp;"UMNS($A2480:C2499), C2479&amp;RIGHT(INDIRECT(ADDRESS(ROW(C2480)-1, 'From Order'!$A2480)), 1), C2479))"),"VBJDDV")</f>
        <v>VBJDDV</v>
      </c>
      <c r="D2480" s="2" t="str">
        <f>IFERROR(__xludf.DUMMYFUNCTION("IF('From Order'!$A2480=COLUMNS($A2480:D2499), LEFT(INDEX(FILTER(D$1:D2479, D$1:D2479&lt;&gt;""""),COUNTA(FILTER(D$1:D2479, D$1:D2479&lt;&gt;""""))), LEN(INDEX(FILTER(D$1:D2479, D$1:D2479&lt;&gt;""""),COUNTA(FILTER(D$1:D2479, D$1:D2479&lt;&gt;""""))))-1), IF('To Order'!$A2480=COL"&amp;"UMNS($A2480:D2499), D2479&amp;RIGHT(INDIRECT(ADDRESS(ROW(D2480)-1, 'From Order'!$A2480)), 1), D2479))"),"CDBF")</f>
        <v>CDBF</v>
      </c>
      <c r="E2480" s="2" t="str">
        <f>IFERROR(__xludf.DUMMYFUNCTION("IF('From Order'!$A2480=COLUMNS($A2480:E2499), LEFT(INDEX(FILTER(E$1:E2479, E$1:E2479&lt;&gt;""""),COUNTA(FILTER(E$1:E2479, E$1:E2479&lt;&gt;""""))), LEN(INDEX(FILTER(E$1:E2479, E$1:E2479&lt;&gt;""""),COUNTA(FILTER(E$1:E2479, E$1:E2479&lt;&gt;""""))))-1), IF('To Order'!$A2480=COL"&amp;"UMNS($A2480:E2499), E2479&amp;RIGHT(INDIRECT(ADDRESS(ROW(E2480)-1, 'From Order'!$A2480)), 1), E2479))"),"BRPHZMT")</f>
        <v>BRPHZMT</v>
      </c>
      <c r="F2480" s="2" t="str">
        <f>IFERROR(__xludf.DUMMYFUNCTION("IF('From Order'!$A2480=COLUMNS($A2480:F2499), LEFT(INDEX(FILTER(F$1:F2479, F$1:F2479&lt;&gt;""""),COUNTA(FILTER(F$1:F2479, F$1:F2479&lt;&gt;""""))), LEN(INDEX(FILTER(F$1:F2479, F$1:F2479&lt;&gt;""""),COUNTA(FILTER(F$1:F2479, F$1:F2479&lt;&gt;""""))))-1), IF('To Order'!$A2480=COL"&amp;"UMNS($A2480:F2499), F2479&amp;RIGHT(INDIRECT(ADDRESS(ROW(F2480)-1, 'From Order'!$A2480)), 1), F2479))"),"RSPMGTTMDZFJCTTJRRLPS")</f>
        <v>RSPMGTTMDZFJCTTJRRLPS</v>
      </c>
      <c r="G2480" s="2" t="str">
        <f>IFERROR(__xludf.DUMMYFUNCTION("IF('From Order'!$A2480=COLUMNS($A2480:G2499), LEFT(INDEX(FILTER(G$1:G2479, G$1:G2479&lt;&gt;""""),COUNTA(FILTER(G$1:G2479, G$1:G2479&lt;&gt;""""))), LEN(INDEX(FILTER(G$1:G2479, G$1:G2479&lt;&gt;""""),COUNTA(FILTER(G$1:G2479, G$1:G2479&lt;&gt;""""))))-1), IF('To Order'!$A2480=COL"&amp;"UMNS($A2480:G2499), G2479&amp;RIGHT(INDIRECT(ADDRESS(ROW(G2480)-1, 'From Order'!$A2480)), 1), G2479))"),"")</f>
        <v/>
      </c>
      <c r="H2480" s="2" t="str">
        <f>IFERROR(__xludf.DUMMYFUNCTION("IF('From Order'!$A2480=COLUMNS($A2480:H2499), LEFT(INDEX(FILTER(H$1:H2479, H$1:H2479&lt;&gt;""""),COUNTA(FILTER(H$1:H2479, H$1:H2479&lt;&gt;""""))), LEN(INDEX(FILTER(H$1:H2479, H$1:H2479&lt;&gt;""""),COUNTA(FILTER(H$1:H2479, H$1:H2479&lt;&gt;""""))))-1), IF('To Order'!$A2480=COL"&amp;"UMNS($A2480:H2499), H2479&amp;RIGHT(INDIRECT(ADDRESS(ROW(H2480)-1, 'From Order'!$A2480)), 1), H2479))"),"TWLL")</f>
        <v>TWLL</v>
      </c>
      <c r="I2480" s="2" t="str">
        <f>IFERROR(__xludf.DUMMYFUNCTION("IF('From Order'!$A2480=COLUMNS($A2480:I2499), LEFT(INDEX(FILTER(I$1:I2479, I$1:I2479&lt;&gt;""""),COUNTA(FILTER(I$1:I2479, I$1:I2479&lt;&gt;""""))), LEN(INDEX(FILTER(I$1:I2479, I$1:I2479&lt;&gt;""""),COUNTA(FILTER(I$1:I2479, I$1:I2479&lt;&gt;""""))))-1), IF('To Order'!$A2480=COL"&amp;"UMNS($A2480:I2499), I2479&amp;RIGHT(INDIRECT(ADDRESS(ROW(I2480)-1, 'From Order'!$A2480)), 1), I2479))"),"QV")</f>
        <v>QV</v>
      </c>
    </row>
    <row r="2481">
      <c r="A2481" s="2" t="str">
        <f>IFERROR(__xludf.DUMMYFUNCTION("IF('From Order'!$A2481=COLUMNS($A2481:A2500), LEFT(INDEX(FILTER(A$1:A2480, A$1:A2480&lt;&gt;""""),COUNTA(FILTER(A$1:A2480, A$1:A2480&lt;&gt;""""))), LEN(INDEX(FILTER(A$1:A2480, A$1:A2480&lt;&gt;""""),COUNTA(FILTER(A$1:A2480, A$1:A2480&lt;&gt;""""))))-1), IF('To Order'!$A2481=COL"&amp;"UMNS($A2481:A2500), A2480&amp;RIGHT(INDIRECT(ADDRESS(ROW(A2481)-1, 'From Order'!$A2481)), 1), A2480))"),"DRSZH")</f>
        <v>DRSZH</v>
      </c>
      <c r="B2481" s="2" t="str">
        <f>IFERROR(__xludf.DUMMYFUNCTION("IF('From Order'!$A2481=COLUMNS($A2481:B2500), LEFT(INDEX(FILTER(B$1:B2480, B$1:B2480&lt;&gt;""""),COUNTA(FILTER(B$1:B2480, B$1:B2480&lt;&gt;""""))), LEN(INDEX(FILTER(B$1:B2480, B$1:B2480&lt;&gt;""""),COUNTA(FILTER(B$1:B2480, B$1:B2480&lt;&gt;""""))))-1), IF('To Order'!$A2481=COL"&amp;"UMNS($A2481:B2500), B2480&amp;RIGHT(INDIRECT(ADDRESS(ROW(B2481)-1, 'From Order'!$A2481)), 1), B2480))"),"QGWBSDC")</f>
        <v>QGWBSDC</v>
      </c>
      <c r="C2481" s="2" t="str">
        <f>IFERROR(__xludf.DUMMYFUNCTION("IF('From Order'!$A2481=COLUMNS($A2481:C2500), LEFT(INDEX(FILTER(C$1:C2480, C$1:C2480&lt;&gt;""""),COUNTA(FILTER(C$1:C2480, C$1:C2480&lt;&gt;""""))), LEN(INDEX(FILTER(C$1:C2480, C$1:C2480&lt;&gt;""""),COUNTA(FILTER(C$1:C2480, C$1:C2480&lt;&gt;""""))))-1), IF('To Order'!$A2481=COL"&amp;"UMNS($A2481:C2500), C2480&amp;RIGHT(INDIRECT(ADDRESS(ROW(C2481)-1, 'From Order'!$A2481)), 1), C2480))"),"VBJDDV")</f>
        <v>VBJDDV</v>
      </c>
      <c r="D2481" s="2" t="str">
        <f>IFERROR(__xludf.DUMMYFUNCTION("IF('From Order'!$A2481=COLUMNS($A2481:D2500), LEFT(INDEX(FILTER(D$1:D2480, D$1:D2480&lt;&gt;""""),COUNTA(FILTER(D$1:D2480, D$1:D2480&lt;&gt;""""))), LEN(INDEX(FILTER(D$1:D2480, D$1:D2480&lt;&gt;""""),COUNTA(FILTER(D$1:D2480, D$1:D2480&lt;&gt;""""))))-1), IF('To Order'!$A2481=COL"&amp;"UMNS($A2481:D2500), D2480&amp;RIGHT(INDIRECT(ADDRESS(ROW(D2481)-1, 'From Order'!$A2481)), 1), D2480))"),"CDB")</f>
        <v>CDB</v>
      </c>
      <c r="E2481" s="2" t="str">
        <f>IFERROR(__xludf.DUMMYFUNCTION("IF('From Order'!$A2481=COLUMNS($A2481:E2500), LEFT(INDEX(FILTER(E$1:E2480, E$1:E2480&lt;&gt;""""),COUNTA(FILTER(E$1:E2480, E$1:E2480&lt;&gt;""""))), LEN(INDEX(FILTER(E$1:E2480, E$1:E2480&lt;&gt;""""),COUNTA(FILTER(E$1:E2480, E$1:E2480&lt;&gt;""""))))-1), IF('To Order'!$A2481=COL"&amp;"UMNS($A2481:E2500), E2480&amp;RIGHT(INDIRECT(ADDRESS(ROW(E2481)-1, 'From Order'!$A2481)), 1), E2480))"),"BRPHZMT")</f>
        <v>BRPHZMT</v>
      </c>
      <c r="F2481" s="2" t="str">
        <f>IFERROR(__xludf.DUMMYFUNCTION("IF('From Order'!$A2481=COLUMNS($A2481:F2500), LEFT(INDEX(FILTER(F$1:F2480, F$1:F2480&lt;&gt;""""),COUNTA(FILTER(F$1:F2480, F$1:F2480&lt;&gt;""""))), LEN(INDEX(FILTER(F$1:F2480, F$1:F2480&lt;&gt;""""),COUNTA(FILTER(F$1:F2480, F$1:F2480&lt;&gt;""""))))-1), IF('To Order'!$A2481=COL"&amp;"UMNS($A2481:F2500), F2480&amp;RIGHT(INDIRECT(ADDRESS(ROW(F2481)-1, 'From Order'!$A2481)), 1), F2480))"),"RSPMGTTMDZFJCTTJRRLPS")</f>
        <v>RSPMGTTMDZFJCTTJRRLPS</v>
      </c>
      <c r="G2481" s="2" t="str">
        <f>IFERROR(__xludf.DUMMYFUNCTION("IF('From Order'!$A2481=COLUMNS($A2481:G2500), LEFT(INDEX(FILTER(G$1:G2480, G$1:G2480&lt;&gt;""""),COUNTA(FILTER(G$1:G2480, G$1:G2480&lt;&gt;""""))), LEN(INDEX(FILTER(G$1:G2480, G$1:G2480&lt;&gt;""""),COUNTA(FILTER(G$1:G2480, G$1:G2480&lt;&gt;""""))))-1), IF('To Order'!$A2481=COL"&amp;"UMNS($A2481:G2500), G2480&amp;RIGHT(INDIRECT(ADDRESS(ROW(G2481)-1, 'From Order'!$A2481)), 1), G2480))"),"")</f>
        <v/>
      </c>
      <c r="H2481" s="2" t="str">
        <f>IFERROR(__xludf.DUMMYFUNCTION("IF('From Order'!$A2481=COLUMNS($A2481:H2500), LEFT(INDEX(FILTER(H$1:H2480, H$1:H2480&lt;&gt;""""),COUNTA(FILTER(H$1:H2480, H$1:H2480&lt;&gt;""""))), LEN(INDEX(FILTER(H$1:H2480, H$1:H2480&lt;&gt;""""),COUNTA(FILTER(H$1:H2480, H$1:H2480&lt;&gt;""""))))-1), IF('To Order'!$A2481=COL"&amp;"UMNS($A2481:H2500), H2480&amp;RIGHT(INDIRECT(ADDRESS(ROW(H2481)-1, 'From Order'!$A2481)), 1), H2480))"),"TWLLF")</f>
        <v>TWLLF</v>
      </c>
      <c r="I2481" s="2" t="str">
        <f>IFERROR(__xludf.DUMMYFUNCTION("IF('From Order'!$A2481=COLUMNS($A2481:I2500), LEFT(INDEX(FILTER(I$1:I2480, I$1:I2480&lt;&gt;""""),COUNTA(FILTER(I$1:I2480, I$1:I2480&lt;&gt;""""))), LEN(INDEX(FILTER(I$1:I2480, I$1:I2480&lt;&gt;""""),COUNTA(FILTER(I$1:I2480, I$1:I2480&lt;&gt;""""))))-1), IF('To Order'!$A2481=COL"&amp;"UMNS($A2481:I2500), I2480&amp;RIGHT(INDIRECT(ADDRESS(ROW(I2481)-1, 'From Order'!$A2481)), 1), I2480))"),"QV")</f>
        <v>QV</v>
      </c>
    </row>
    <row r="2482">
      <c r="A2482" s="2" t="str">
        <f>IFERROR(__xludf.DUMMYFUNCTION("IF('From Order'!$A2482=COLUMNS($A2482:A2501), LEFT(INDEX(FILTER(A$1:A2481, A$1:A2481&lt;&gt;""""),COUNTA(FILTER(A$1:A2481, A$1:A2481&lt;&gt;""""))), LEN(INDEX(FILTER(A$1:A2481, A$1:A2481&lt;&gt;""""),COUNTA(FILTER(A$1:A2481, A$1:A2481&lt;&gt;""""))))-1), IF('To Order'!$A2482=COL"&amp;"UMNS($A2482:A2501), A2481&amp;RIGHT(INDIRECT(ADDRESS(ROW(A2482)-1, 'From Order'!$A2482)), 1), A2481))"),"DRSZH")</f>
        <v>DRSZH</v>
      </c>
      <c r="B2482" s="2" t="str">
        <f>IFERROR(__xludf.DUMMYFUNCTION("IF('From Order'!$A2482=COLUMNS($A2482:B2501), LEFT(INDEX(FILTER(B$1:B2481, B$1:B2481&lt;&gt;""""),COUNTA(FILTER(B$1:B2481, B$1:B2481&lt;&gt;""""))), LEN(INDEX(FILTER(B$1:B2481, B$1:B2481&lt;&gt;""""),COUNTA(FILTER(B$1:B2481, B$1:B2481&lt;&gt;""""))))-1), IF('To Order'!$A2482=COL"&amp;"UMNS($A2482:B2501), B2481&amp;RIGHT(INDIRECT(ADDRESS(ROW(B2482)-1, 'From Order'!$A2482)), 1), B2481))"),"QGWBSDC")</f>
        <v>QGWBSDC</v>
      </c>
      <c r="C2482" s="2" t="str">
        <f>IFERROR(__xludf.DUMMYFUNCTION("IF('From Order'!$A2482=COLUMNS($A2482:C2501), LEFT(INDEX(FILTER(C$1:C2481, C$1:C2481&lt;&gt;""""),COUNTA(FILTER(C$1:C2481, C$1:C2481&lt;&gt;""""))), LEN(INDEX(FILTER(C$1:C2481, C$1:C2481&lt;&gt;""""),COUNTA(FILTER(C$1:C2481, C$1:C2481&lt;&gt;""""))))-1), IF('To Order'!$A2482=COL"&amp;"UMNS($A2482:C2501), C2481&amp;RIGHT(INDIRECT(ADDRESS(ROW(C2482)-1, 'From Order'!$A2482)), 1), C2481))"),"VBJDDV")</f>
        <v>VBJDDV</v>
      </c>
      <c r="D2482" s="2" t="str">
        <f>IFERROR(__xludf.DUMMYFUNCTION("IF('From Order'!$A2482=COLUMNS($A2482:D2501), LEFT(INDEX(FILTER(D$1:D2481, D$1:D2481&lt;&gt;""""),COUNTA(FILTER(D$1:D2481, D$1:D2481&lt;&gt;""""))), LEN(INDEX(FILTER(D$1:D2481, D$1:D2481&lt;&gt;""""),COUNTA(FILTER(D$1:D2481, D$1:D2481&lt;&gt;""""))))-1), IF('To Order'!$A2482=COL"&amp;"UMNS($A2482:D2501), D2481&amp;RIGHT(INDIRECT(ADDRESS(ROW(D2482)-1, 'From Order'!$A2482)), 1), D2481))"),"CD")</f>
        <v>CD</v>
      </c>
      <c r="E2482" s="2" t="str">
        <f>IFERROR(__xludf.DUMMYFUNCTION("IF('From Order'!$A2482=COLUMNS($A2482:E2501), LEFT(INDEX(FILTER(E$1:E2481, E$1:E2481&lt;&gt;""""),COUNTA(FILTER(E$1:E2481, E$1:E2481&lt;&gt;""""))), LEN(INDEX(FILTER(E$1:E2481, E$1:E2481&lt;&gt;""""),COUNTA(FILTER(E$1:E2481, E$1:E2481&lt;&gt;""""))))-1), IF('To Order'!$A2482=COL"&amp;"UMNS($A2482:E2501), E2481&amp;RIGHT(INDIRECT(ADDRESS(ROW(E2482)-1, 'From Order'!$A2482)), 1), E2481))"),"BRPHZMT")</f>
        <v>BRPHZMT</v>
      </c>
      <c r="F2482" s="2" t="str">
        <f>IFERROR(__xludf.DUMMYFUNCTION("IF('From Order'!$A2482=COLUMNS($A2482:F2501), LEFT(INDEX(FILTER(F$1:F2481, F$1:F2481&lt;&gt;""""),COUNTA(FILTER(F$1:F2481, F$1:F2481&lt;&gt;""""))), LEN(INDEX(FILTER(F$1:F2481, F$1:F2481&lt;&gt;""""),COUNTA(FILTER(F$1:F2481, F$1:F2481&lt;&gt;""""))))-1), IF('To Order'!$A2482=COL"&amp;"UMNS($A2482:F2501), F2481&amp;RIGHT(INDIRECT(ADDRESS(ROW(F2482)-1, 'From Order'!$A2482)), 1), F2481))"),"RSPMGTTMDZFJCTTJRRLPS")</f>
        <v>RSPMGTTMDZFJCTTJRRLPS</v>
      </c>
      <c r="G2482" s="2" t="str">
        <f>IFERROR(__xludf.DUMMYFUNCTION("IF('From Order'!$A2482=COLUMNS($A2482:G2501), LEFT(INDEX(FILTER(G$1:G2481, G$1:G2481&lt;&gt;""""),COUNTA(FILTER(G$1:G2481, G$1:G2481&lt;&gt;""""))), LEN(INDEX(FILTER(G$1:G2481, G$1:G2481&lt;&gt;""""),COUNTA(FILTER(G$1:G2481, G$1:G2481&lt;&gt;""""))))-1), IF('To Order'!$A2482=COL"&amp;"UMNS($A2482:G2501), G2481&amp;RIGHT(INDIRECT(ADDRESS(ROW(G2482)-1, 'From Order'!$A2482)), 1), G2481))"),"")</f>
        <v/>
      </c>
      <c r="H2482" s="2" t="str">
        <f>IFERROR(__xludf.DUMMYFUNCTION("IF('From Order'!$A2482=COLUMNS($A2482:H2501), LEFT(INDEX(FILTER(H$1:H2481, H$1:H2481&lt;&gt;""""),COUNTA(FILTER(H$1:H2481, H$1:H2481&lt;&gt;""""))), LEN(INDEX(FILTER(H$1:H2481, H$1:H2481&lt;&gt;""""),COUNTA(FILTER(H$1:H2481, H$1:H2481&lt;&gt;""""))))-1), IF('To Order'!$A2482=COL"&amp;"UMNS($A2482:H2501), H2481&amp;RIGHT(INDIRECT(ADDRESS(ROW(H2482)-1, 'From Order'!$A2482)), 1), H2481))"),"TWLLFB")</f>
        <v>TWLLFB</v>
      </c>
      <c r="I2482" s="2" t="str">
        <f>IFERROR(__xludf.DUMMYFUNCTION("IF('From Order'!$A2482=COLUMNS($A2482:I2501), LEFT(INDEX(FILTER(I$1:I2481, I$1:I2481&lt;&gt;""""),COUNTA(FILTER(I$1:I2481, I$1:I2481&lt;&gt;""""))), LEN(INDEX(FILTER(I$1:I2481, I$1:I2481&lt;&gt;""""),COUNTA(FILTER(I$1:I2481, I$1:I2481&lt;&gt;""""))))-1), IF('To Order'!$A2482=COL"&amp;"UMNS($A2482:I2501), I2481&amp;RIGHT(INDIRECT(ADDRESS(ROW(I2482)-1, 'From Order'!$A2482)), 1), I2481))"),"QV")</f>
        <v>QV</v>
      </c>
    </row>
    <row r="2483">
      <c r="A2483" s="2" t="str">
        <f>IFERROR(__xludf.DUMMYFUNCTION("IF('From Order'!$A2483=COLUMNS($A2483:A2502), LEFT(INDEX(FILTER(A$1:A2482, A$1:A2482&lt;&gt;""""),COUNTA(FILTER(A$1:A2482, A$1:A2482&lt;&gt;""""))), LEN(INDEX(FILTER(A$1:A2482, A$1:A2482&lt;&gt;""""),COUNTA(FILTER(A$1:A2482, A$1:A2482&lt;&gt;""""))))-1), IF('To Order'!$A2483=COL"&amp;"UMNS($A2483:A2502), A2482&amp;RIGHT(INDIRECT(ADDRESS(ROW(A2483)-1, 'From Order'!$A2483)), 1), A2482))"),"DRSZH")</f>
        <v>DRSZH</v>
      </c>
      <c r="B2483" s="2" t="str">
        <f>IFERROR(__xludf.DUMMYFUNCTION("IF('From Order'!$A2483=COLUMNS($A2483:B2502), LEFT(INDEX(FILTER(B$1:B2482, B$1:B2482&lt;&gt;""""),COUNTA(FILTER(B$1:B2482, B$1:B2482&lt;&gt;""""))), LEN(INDEX(FILTER(B$1:B2482, B$1:B2482&lt;&gt;""""),COUNTA(FILTER(B$1:B2482, B$1:B2482&lt;&gt;""""))))-1), IF('To Order'!$A2483=COL"&amp;"UMNS($A2483:B2502), B2482&amp;RIGHT(INDIRECT(ADDRESS(ROW(B2483)-1, 'From Order'!$A2483)), 1), B2482))"),"QGWBSDC")</f>
        <v>QGWBSDC</v>
      </c>
      <c r="C2483" s="2" t="str">
        <f>IFERROR(__xludf.DUMMYFUNCTION("IF('From Order'!$A2483=COLUMNS($A2483:C2502), LEFT(INDEX(FILTER(C$1:C2482, C$1:C2482&lt;&gt;""""),COUNTA(FILTER(C$1:C2482, C$1:C2482&lt;&gt;""""))), LEN(INDEX(FILTER(C$1:C2482, C$1:C2482&lt;&gt;""""),COUNTA(FILTER(C$1:C2482, C$1:C2482&lt;&gt;""""))))-1), IF('To Order'!$A2483=COL"&amp;"UMNS($A2483:C2502), C2482&amp;RIGHT(INDIRECT(ADDRESS(ROW(C2483)-1, 'From Order'!$A2483)), 1), C2482))"),"VBJDDV")</f>
        <v>VBJDDV</v>
      </c>
      <c r="D2483" s="2" t="str">
        <f>IFERROR(__xludf.DUMMYFUNCTION("IF('From Order'!$A2483=COLUMNS($A2483:D2502), LEFT(INDEX(FILTER(D$1:D2482, D$1:D2482&lt;&gt;""""),COUNTA(FILTER(D$1:D2482, D$1:D2482&lt;&gt;""""))), LEN(INDEX(FILTER(D$1:D2482, D$1:D2482&lt;&gt;""""),COUNTA(FILTER(D$1:D2482, D$1:D2482&lt;&gt;""""))))-1), IF('To Order'!$A2483=COL"&amp;"UMNS($A2483:D2502), D2482&amp;RIGHT(INDIRECT(ADDRESS(ROW(D2483)-1, 'From Order'!$A2483)), 1), D2482))"),"C")</f>
        <v>C</v>
      </c>
      <c r="E2483" s="2" t="str">
        <f>IFERROR(__xludf.DUMMYFUNCTION("IF('From Order'!$A2483=COLUMNS($A2483:E2502), LEFT(INDEX(FILTER(E$1:E2482, E$1:E2482&lt;&gt;""""),COUNTA(FILTER(E$1:E2482, E$1:E2482&lt;&gt;""""))), LEN(INDEX(FILTER(E$1:E2482, E$1:E2482&lt;&gt;""""),COUNTA(FILTER(E$1:E2482, E$1:E2482&lt;&gt;""""))))-1), IF('To Order'!$A2483=COL"&amp;"UMNS($A2483:E2502), E2482&amp;RIGHT(INDIRECT(ADDRESS(ROW(E2483)-1, 'From Order'!$A2483)), 1), E2482))"),"BRPHZMT")</f>
        <v>BRPHZMT</v>
      </c>
      <c r="F2483" s="2" t="str">
        <f>IFERROR(__xludf.DUMMYFUNCTION("IF('From Order'!$A2483=COLUMNS($A2483:F2502), LEFT(INDEX(FILTER(F$1:F2482, F$1:F2482&lt;&gt;""""),COUNTA(FILTER(F$1:F2482, F$1:F2482&lt;&gt;""""))), LEN(INDEX(FILTER(F$1:F2482, F$1:F2482&lt;&gt;""""),COUNTA(FILTER(F$1:F2482, F$1:F2482&lt;&gt;""""))))-1), IF('To Order'!$A2483=COL"&amp;"UMNS($A2483:F2502), F2482&amp;RIGHT(INDIRECT(ADDRESS(ROW(F2483)-1, 'From Order'!$A2483)), 1), F2482))"),"RSPMGTTMDZFJCTTJRRLPS")</f>
        <v>RSPMGTTMDZFJCTTJRRLPS</v>
      </c>
      <c r="G2483" s="2" t="str">
        <f>IFERROR(__xludf.DUMMYFUNCTION("IF('From Order'!$A2483=COLUMNS($A2483:G2502), LEFT(INDEX(FILTER(G$1:G2482, G$1:G2482&lt;&gt;""""),COUNTA(FILTER(G$1:G2482, G$1:G2482&lt;&gt;""""))), LEN(INDEX(FILTER(G$1:G2482, G$1:G2482&lt;&gt;""""),COUNTA(FILTER(G$1:G2482, G$1:G2482&lt;&gt;""""))))-1), IF('To Order'!$A2483=COL"&amp;"UMNS($A2483:G2502), G2482&amp;RIGHT(INDIRECT(ADDRESS(ROW(G2483)-1, 'From Order'!$A2483)), 1), G2482))"),"")</f>
        <v/>
      </c>
      <c r="H2483" s="2" t="str">
        <f>IFERROR(__xludf.DUMMYFUNCTION("IF('From Order'!$A2483=COLUMNS($A2483:H2502), LEFT(INDEX(FILTER(H$1:H2482, H$1:H2482&lt;&gt;""""),COUNTA(FILTER(H$1:H2482, H$1:H2482&lt;&gt;""""))), LEN(INDEX(FILTER(H$1:H2482, H$1:H2482&lt;&gt;""""),COUNTA(FILTER(H$1:H2482, H$1:H2482&lt;&gt;""""))))-1), IF('To Order'!$A2483=COL"&amp;"UMNS($A2483:H2502), H2482&amp;RIGHT(INDIRECT(ADDRESS(ROW(H2483)-1, 'From Order'!$A2483)), 1), H2482))"),"TWLLFBD")</f>
        <v>TWLLFBD</v>
      </c>
      <c r="I2483" s="2" t="str">
        <f>IFERROR(__xludf.DUMMYFUNCTION("IF('From Order'!$A2483=COLUMNS($A2483:I2502), LEFT(INDEX(FILTER(I$1:I2482, I$1:I2482&lt;&gt;""""),COUNTA(FILTER(I$1:I2482, I$1:I2482&lt;&gt;""""))), LEN(INDEX(FILTER(I$1:I2482, I$1:I2482&lt;&gt;""""),COUNTA(FILTER(I$1:I2482, I$1:I2482&lt;&gt;""""))))-1), IF('To Order'!$A2483=COL"&amp;"UMNS($A2483:I2502), I2482&amp;RIGHT(INDIRECT(ADDRESS(ROW(I2483)-1, 'From Order'!$A2483)), 1), I2482))"),"QV")</f>
        <v>QV</v>
      </c>
    </row>
    <row r="2484">
      <c r="A2484" s="2" t="str">
        <f>IFERROR(__xludf.DUMMYFUNCTION("IF('From Order'!$A2484=COLUMNS($A2484:A2503), LEFT(INDEX(FILTER(A$1:A2483, A$1:A2483&lt;&gt;""""),COUNTA(FILTER(A$1:A2483, A$1:A2483&lt;&gt;""""))), LEN(INDEX(FILTER(A$1:A2483, A$1:A2483&lt;&gt;""""),COUNTA(FILTER(A$1:A2483, A$1:A2483&lt;&gt;""""))))-1), IF('To Order'!$A2484=COL"&amp;"UMNS($A2484:A2503), A2483&amp;RIGHT(INDIRECT(ADDRESS(ROW(A2484)-1, 'From Order'!$A2484)), 1), A2483))"),"DRSZH")</f>
        <v>DRSZH</v>
      </c>
      <c r="B2484" s="2" t="str">
        <f>IFERROR(__xludf.DUMMYFUNCTION("IF('From Order'!$A2484=COLUMNS($A2484:B2503), LEFT(INDEX(FILTER(B$1:B2483, B$1:B2483&lt;&gt;""""),COUNTA(FILTER(B$1:B2483, B$1:B2483&lt;&gt;""""))), LEN(INDEX(FILTER(B$1:B2483, B$1:B2483&lt;&gt;""""),COUNTA(FILTER(B$1:B2483, B$1:B2483&lt;&gt;""""))))-1), IF('To Order'!$A2484=COL"&amp;"UMNS($A2484:B2503), B2483&amp;RIGHT(INDIRECT(ADDRESS(ROW(B2484)-1, 'From Order'!$A2484)), 1), B2483))"),"QGWBSDC")</f>
        <v>QGWBSDC</v>
      </c>
      <c r="C2484" s="2" t="str">
        <f>IFERROR(__xludf.DUMMYFUNCTION("IF('From Order'!$A2484=COLUMNS($A2484:C2503), LEFT(INDEX(FILTER(C$1:C2483, C$1:C2483&lt;&gt;""""),COUNTA(FILTER(C$1:C2483, C$1:C2483&lt;&gt;""""))), LEN(INDEX(FILTER(C$1:C2483, C$1:C2483&lt;&gt;""""),COUNTA(FILTER(C$1:C2483, C$1:C2483&lt;&gt;""""))))-1), IF('To Order'!$A2484=COL"&amp;"UMNS($A2484:C2503), C2483&amp;RIGHT(INDIRECT(ADDRESS(ROW(C2484)-1, 'From Order'!$A2484)), 1), C2483))"),"VBJDD")</f>
        <v>VBJDD</v>
      </c>
      <c r="D2484" s="2" t="str">
        <f>IFERROR(__xludf.DUMMYFUNCTION("IF('From Order'!$A2484=COLUMNS($A2484:D2503), LEFT(INDEX(FILTER(D$1:D2483, D$1:D2483&lt;&gt;""""),COUNTA(FILTER(D$1:D2483, D$1:D2483&lt;&gt;""""))), LEN(INDEX(FILTER(D$1:D2483, D$1:D2483&lt;&gt;""""),COUNTA(FILTER(D$1:D2483, D$1:D2483&lt;&gt;""""))))-1), IF('To Order'!$A2484=COL"&amp;"UMNS($A2484:D2503), D2483&amp;RIGHT(INDIRECT(ADDRESS(ROW(D2484)-1, 'From Order'!$A2484)), 1), D2483))"),"C")</f>
        <v>C</v>
      </c>
      <c r="E2484" s="2" t="str">
        <f>IFERROR(__xludf.DUMMYFUNCTION("IF('From Order'!$A2484=COLUMNS($A2484:E2503), LEFT(INDEX(FILTER(E$1:E2483, E$1:E2483&lt;&gt;""""),COUNTA(FILTER(E$1:E2483, E$1:E2483&lt;&gt;""""))), LEN(INDEX(FILTER(E$1:E2483, E$1:E2483&lt;&gt;""""),COUNTA(FILTER(E$1:E2483, E$1:E2483&lt;&gt;""""))))-1), IF('To Order'!$A2484=COL"&amp;"UMNS($A2484:E2503), E2483&amp;RIGHT(INDIRECT(ADDRESS(ROW(E2484)-1, 'From Order'!$A2484)), 1), E2483))"),"BRPHZMT")</f>
        <v>BRPHZMT</v>
      </c>
      <c r="F2484" s="2" t="str">
        <f>IFERROR(__xludf.DUMMYFUNCTION("IF('From Order'!$A2484=COLUMNS($A2484:F2503), LEFT(INDEX(FILTER(F$1:F2483, F$1:F2483&lt;&gt;""""),COUNTA(FILTER(F$1:F2483, F$1:F2483&lt;&gt;""""))), LEN(INDEX(FILTER(F$1:F2483, F$1:F2483&lt;&gt;""""),COUNTA(FILTER(F$1:F2483, F$1:F2483&lt;&gt;""""))))-1), IF('To Order'!$A2484=COL"&amp;"UMNS($A2484:F2503), F2483&amp;RIGHT(INDIRECT(ADDRESS(ROW(F2484)-1, 'From Order'!$A2484)), 1), F2483))"),"RSPMGTTMDZFJCTTJRRLPS")</f>
        <v>RSPMGTTMDZFJCTTJRRLPS</v>
      </c>
      <c r="G2484" s="2" t="str">
        <f>IFERROR(__xludf.DUMMYFUNCTION("IF('From Order'!$A2484=COLUMNS($A2484:G2503), LEFT(INDEX(FILTER(G$1:G2483, G$1:G2483&lt;&gt;""""),COUNTA(FILTER(G$1:G2483, G$1:G2483&lt;&gt;""""))), LEN(INDEX(FILTER(G$1:G2483, G$1:G2483&lt;&gt;""""),COUNTA(FILTER(G$1:G2483, G$1:G2483&lt;&gt;""""))))-1), IF('To Order'!$A2484=COL"&amp;"UMNS($A2484:G2503), G2483&amp;RIGHT(INDIRECT(ADDRESS(ROW(G2484)-1, 'From Order'!$A2484)), 1), G2483))"),"")</f>
        <v/>
      </c>
      <c r="H2484" s="2" t="str">
        <f>IFERROR(__xludf.DUMMYFUNCTION("IF('From Order'!$A2484=COLUMNS($A2484:H2503), LEFT(INDEX(FILTER(H$1:H2483, H$1:H2483&lt;&gt;""""),COUNTA(FILTER(H$1:H2483, H$1:H2483&lt;&gt;""""))), LEN(INDEX(FILTER(H$1:H2483, H$1:H2483&lt;&gt;""""),COUNTA(FILTER(H$1:H2483, H$1:H2483&lt;&gt;""""))))-1), IF('To Order'!$A2484=COL"&amp;"UMNS($A2484:H2503), H2483&amp;RIGHT(INDIRECT(ADDRESS(ROW(H2484)-1, 'From Order'!$A2484)), 1), H2483))"),"TWLLFBD")</f>
        <v>TWLLFBD</v>
      </c>
      <c r="I2484" s="2" t="str">
        <f>IFERROR(__xludf.DUMMYFUNCTION("IF('From Order'!$A2484=COLUMNS($A2484:I2503), LEFT(INDEX(FILTER(I$1:I2483, I$1:I2483&lt;&gt;""""),COUNTA(FILTER(I$1:I2483, I$1:I2483&lt;&gt;""""))), LEN(INDEX(FILTER(I$1:I2483, I$1:I2483&lt;&gt;""""),COUNTA(FILTER(I$1:I2483, I$1:I2483&lt;&gt;""""))))-1), IF('To Order'!$A2484=COL"&amp;"UMNS($A2484:I2503), I2483&amp;RIGHT(INDIRECT(ADDRESS(ROW(I2484)-1, 'From Order'!$A2484)), 1), I2483))"),"QVV")</f>
        <v>QVV</v>
      </c>
    </row>
    <row r="2485">
      <c r="A2485" s="2" t="str">
        <f>IFERROR(__xludf.DUMMYFUNCTION("IF('From Order'!$A2485=COLUMNS($A2485:A2504), LEFT(INDEX(FILTER(A$1:A2484, A$1:A2484&lt;&gt;""""),COUNTA(FILTER(A$1:A2484, A$1:A2484&lt;&gt;""""))), LEN(INDEX(FILTER(A$1:A2484, A$1:A2484&lt;&gt;""""),COUNTA(FILTER(A$1:A2484, A$1:A2484&lt;&gt;""""))))-1), IF('To Order'!$A2485=COL"&amp;"UMNS($A2485:A2504), A2484&amp;RIGHT(INDIRECT(ADDRESS(ROW(A2485)-1, 'From Order'!$A2485)), 1), A2484))"),"DRSZH")</f>
        <v>DRSZH</v>
      </c>
      <c r="B2485" s="2" t="str">
        <f>IFERROR(__xludf.DUMMYFUNCTION("IF('From Order'!$A2485=COLUMNS($A2485:B2504), LEFT(INDEX(FILTER(B$1:B2484, B$1:B2484&lt;&gt;""""),COUNTA(FILTER(B$1:B2484, B$1:B2484&lt;&gt;""""))), LEN(INDEX(FILTER(B$1:B2484, B$1:B2484&lt;&gt;""""),COUNTA(FILTER(B$1:B2484, B$1:B2484&lt;&gt;""""))))-1), IF('To Order'!$A2485=COL"&amp;"UMNS($A2485:B2504), B2484&amp;RIGHT(INDIRECT(ADDRESS(ROW(B2485)-1, 'From Order'!$A2485)), 1), B2484))"),"QGWBSDC")</f>
        <v>QGWBSDC</v>
      </c>
      <c r="C2485" s="2" t="str">
        <f>IFERROR(__xludf.DUMMYFUNCTION("IF('From Order'!$A2485=COLUMNS($A2485:C2504), LEFT(INDEX(FILTER(C$1:C2484, C$1:C2484&lt;&gt;""""),COUNTA(FILTER(C$1:C2484, C$1:C2484&lt;&gt;""""))), LEN(INDEX(FILTER(C$1:C2484, C$1:C2484&lt;&gt;""""),COUNTA(FILTER(C$1:C2484, C$1:C2484&lt;&gt;""""))))-1), IF('To Order'!$A2485=COL"&amp;"UMNS($A2485:C2504), C2484&amp;RIGHT(INDIRECT(ADDRESS(ROW(C2485)-1, 'From Order'!$A2485)), 1), C2484))"),"VBJD")</f>
        <v>VBJD</v>
      </c>
      <c r="D2485" s="2" t="str">
        <f>IFERROR(__xludf.DUMMYFUNCTION("IF('From Order'!$A2485=COLUMNS($A2485:D2504), LEFT(INDEX(FILTER(D$1:D2484, D$1:D2484&lt;&gt;""""),COUNTA(FILTER(D$1:D2484, D$1:D2484&lt;&gt;""""))), LEN(INDEX(FILTER(D$1:D2484, D$1:D2484&lt;&gt;""""),COUNTA(FILTER(D$1:D2484, D$1:D2484&lt;&gt;""""))))-1), IF('To Order'!$A2485=COL"&amp;"UMNS($A2485:D2504), D2484&amp;RIGHT(INDIRECT(ADDRESS(ROW(D2485)-1, 'From Order'!$A2485)), 1), D2484))"),"C")</f>
        <v>C</v>
      </c>
      <c r="E2485" s="2" t="str">
        <f>IFERROR(__xludf.DUMMYFUNCTION("IF('From Order'!$A2485=COLUMNS($A2485:E2504), LEFT(INDEX(FILTER(E$1:E2484, E$1:E2484&lt;&gt;""""),COUNTA(FILTER(E$1:E2484, E$1:E2484&lt;&gt;""""))), LEN(INDEX(FILTER(E$1:E2484, E$1:E2484&lt;&gt;""""),COUNTA(FILTER(E$1:E2484, E$1:E2484&lt;&gt;""""))))-1), IF('To Order'!$A2485=COL"&amp;"UMNS($A2485:E2504), E2484&amp;RIGHT(INDIRECT(ADDRESS(ROW(E2485)-1, 'From Order'!$A2485)), 1), E2484))"),"BRPHZMT")</f>
        <v>BRPHZMT</v>
      </c>
      <c r="F2485" s="2" t="str">
        <f>IFERROR(__xludf.DUMMYFUNCTION("IF('From Order'!$A2485=COLUMNS($A2485:F2504), LEFT(INDEX(FILTER(F$1:F2484, F$1:F2484&lt;&gt;""""),COUNTA(FILTER(F$1:F2484, F$1:F2484&lt;&gt;""""))), LEN(INDEX(FILTER(F$1:F2484, F$1:F2484&lt;&gt;""""),COUNTA(FILTER(F$1:F2484, F$1:F2484&lt;&gt;""""))))-1), IF('To Order'!$A2485=COL"&amp;"UMNS($A2485:F2504), F2484&amp;RIGHT(INDIRECT(ADDRESS(ROW(F2485)-1, 'From Order'!$A2485)), 1), F2484))"),"RSPMGTTMDZFJCTTJRRLPS")</f>
        <v>RSPMGTTMDZFJCTTJRRLPS</v>
      </c>
      <c r="G2485" s="2" t="str">
        <f>IFERROR(__xludf.DUMMYFUNCTION("IF('From Order'!$A2485=COLUMNS($A2485:G2504), LEFT(INDEX(FILTER(G$1:G2484, G$1:G2484&lt;&gt;""""),COUNTA(FILTER(G$1:G2484, G$1:G2484&lt;&gt;""""))), LEN(INDEX(FILTER(G$1:G2484, G$1:G2484&lt;&gt;""""),COUNTA(FILTER(G$1:G2484, G$1:G2484&lt;&gt;""""))))-1), IF('To Order'!$A2485=COL"&amp;"UMNS($A2485:G2504), G2484&amp;RIGHT(INDIRECT(ADDRESS(ROW(G2485)-1, 'From Order'!$A2485)), 1), G2484))"),"")</f>
        <v/>
      </c>
      <c r="H2485" s="2" t="str">
        <f>IFERROR(__xludf.DUMMYFUNCTION("IF('From Order'!$A2485=COLUMNS($A2485:H2504), LEFT(INDEX(FILTER(H$1:H2484, H$1:H2484&lt;&gt;""""),COUNTA(FILTER(H$1:H2484, H$1:H2484&lt;&gt;""""))), LEN(INDEX(FILTER(H$1:H2484, H$1:H2484&lt;&gt;""""),COUNTA(FILTER(H$1:H2484, H$1:H2484&lt;&gt;""""))))-1), IF('To Order'!$A2485=COL"&amp;"UMNS($A2485:H2504), H2484&amp;RIGHT(INDIRECT(ADDRESS(ROW(H2485)-1, 'From Order'!$A2485)), 1), H2484))"),"TWLLFBD")</f>
        <v>TWLLFBD</v>
      </c>
      <c r="I2485" s="2" t="str">
        <f>IFERROR(__xludf.DUMMYFUNCTION("IF('From Order'!$A2485=COLUMNS($A2485:I2504), LEFT(INDEX(FILTER(I$1:I2484, I$1:I2484&lt;&gt;""""),COUNTA(FILTER(I$1:I2484, I$1:I2484&lt;&gt;""""))), LEN(INDEX(FILTER(I$1:I2484, I$1:I2484&lt;&gt;""""),COUNTA(FILTER(I$1:I2484, I$1:I2484&lt;&gt;""""))))-1), IF('To Order'!$A2485=COL"&amp;"UMNS($A2485:I2504), I2484&amp;RIGHT(INDIRECT(ADDRESS(ROW(I2485)-1, 'From Order'!$A2485)), 1), I2484))"),"QVVD")</f>
        <v>QVVD</v>
      </c>
    </row>
    <row r="2486">
      <c r="A2486" s="2" t="str">
        <f>IFERROR(__xludf.DUMMYFUNCTION("IF('From Order'!$A2486=COLUMNS($A2486:A2505), LEFT(INDEX(FILTER(A$1:A2485, A$1:A2485&lt;&gt;""""),COUNTA(FILTER(A$1:A2485, A$1:A2485&lt;&gt;""""))), LEN(INDEX(FILTER(A$1:A2485, A$1:A2485&lt;&gt;""""),COUNTA(FILTER(A$1:A2485, A$1:A2485&lt;&gt;""""))))-1), IF('To Order'!$A2486=COL"&amp;"UMNS($A2486:A2505), A2485&amp;RIGHT(INDIRECT(ADDRESS(ROW(A2486)-1, 'From Order'!$A2486)), 1), A2485))"),"DRSZH")</f>
        <v>DRSZH</v>
      </c>
      <c r="B2486" s="2" t="str">
        <f>IFERROR(__xludf.DUMMYFUNCTION("IF('From Order'!$A2486=COLUMNS($A2486:B2505), LEFT(INDEX(FILTER(B$1:B2485, B$1:B2485&lt;&gt;""""),COUNTA(FILTER(B$1:B2485, B$1:B2485&lt;&gt;""""))), LEN(INDEX(FILTER(B$1:B2485, B$1:B2485&lt;&gt;""""),COUNTA(FILTER(B$1:B2485, B$1:B2485&lt;&gt;""""))))-1), IF('To Order'!$A2486=COL"&amp;"UMNS($A2486:B2505), B2485&amp;RIGHT(INDIRECT(ADDRESS(ROW(B2486)-1, 'From Order'!$A2486)), 1), B2485))"),"QGWBSDC")</f>
        <v>QGWBSDC</v>
      </c>
      <c r="C2486" s="2" t="str">
        <f>IFERROR(__xludf.DUMMYFUNCTION("IF('From Order'!$A2486=COLUMNS($A2486:C2505), LEFT(INDEX(FILTER(C$1:C2485, C$1:C2485&lt;&gt;""""),COUNTA(FILTER(C$1:C2485, C$1:C2485&lt;&gt;""""))), LEN(INDEX(FILTER(C$1:C2485, C$1:C2485&lt;&gt;""""),COUNTA(FILTER(C$1:C2485, C$1:C2485&lt;&gt;""""))))-1), IF('To Order'!$A2486=COL"&amp;"UMNS($A2486:C2505), C2485&amp;RIGHT(INDIRECT(ADDRESS(ROW(C2486)-1, 'From Order'!$A2486)), 1), C2485))"),"VBJ")</f>
        <v>VBJ</v>
      </c>
      <c r="D2486" s="2" t="str">
        <f>IFERROR(__xludf.DUMMYFUNCTION("IF('From Order'!$A2486=COLUMNS($A2486:D2505), LEFT(INDEX(FILTER(D$1:D2485, D$1:D2485&lt;&gt;""""),COUNTA(FILTER(D$1:D2485, D$1:D2485&lt;&gt;""""))), LEN(INDEX(FILTER(D$1:D2485, D$1:D2485&lt;&gt;""""),COUNTA(FILTER(D$1:D2485, D$1:D2485&lt;&gt;""""))))-1), IF('To Order'!$A2486=COL"&amp;"UMNS($A2486:D2505), D2485&amp;RIGHT(INDIRECT(ADDRESS(ROW(D2486)-1, 'From Order'!$A2486)), 1), D2485))"),"C")</f>
        <v>C</v>
      </c>
      <c r="E2486" s="2" t="str">
        <f>IFERROR(__xludf.DUMMYFUNCTION("IF('From Order'!$A2486=COLUMNS($A2486:E2505), LEFT(INDEX(FILTER(E$1:E2485, E$1:E2485&lt;&gt;""""),COUNTA(FILTER(E$1:E2485, E$1:E2485&lt;&gt;""""))), LEN(INDEX(FILTER(E$1:E2485, E$1:E2485&lt;&gt;""""),COUNTA(FILTER(E$1:E2485, E$1:E2485&lt;&gt;""""))))-1), IF('To Order'!$A2486=COL"&amp;"UMNS($A2486:E2505), E2485&amp;RIGHT(INDIRECT(ADDRESS(ROW(E2486)-1, 'From Order'!$A2486)), 1), E2485))"),"BRPHZMT")</f>
        <v>BRPHZMT</v>
      </c>
      <c r="F2486" s="2" t="str">
        <f>IFERROR(__xludf.DUMMYFUNCTION("IF('From Order'!$A2486=COLUMNS($A2486:F2505), LEFT(INDEX(FILTER(F$1:F2485, F$1:F2485&lt;&gt;""""),COUNTA(FILTER(F$1:F2485, F$1:F2485&lt;&gt;""""))), LEN(INDEX(FILTER(F$1:F2485, F$1:F2485&lt;&gt;""""),COUNTA(FILTER(F$1:F2485, F$1:F2485&lt;&gt;""""))))-1), IF('To Order'!$A2486=COL"&amp;"UMNS($A2486:F2505), F2485&amp;RIGHT(INDIRECT(ADDRESS(ROW(F2486)-1, 'From Order'!$A2486)), 1), F2485))"),"RSPMGTTMDZFJCTTJRRLPS")</f>
        <v>RSPMGTTMDZFJCTTJRRLPS</v>
      </c>
      <c r="G2486" s="2" t="str">
        <f>IFERROR(__xludf.DUMMYFUNCTION("IF('From Order'!$A2486=COLUMNS($A2486:G2505), LEFT(INDEX(FILTER(G$1:G2485, G$1:G2485&lt;&gt;""""),COUNTA(FILTER(G$1:G2485, G$1:G2485&lt;&gt;""""))), LEN(INDEX(FILTER(G$1:G2485, G$1:G2485&lt;&gt;""""),COUNTA(FILTER(G$1:G2485, G$1:G2485&lt;&gt;""""))))-1), IF('To Order'!$A2486=COL"&amp;"UMNS($A2486:G2505), G2485&amp;RIGHT(INDIRECT(ADDRESS(ROW(G2486)-1, 'From Order'!$A2486)), 1), G2485))"),"")</f>
        <v/>
      </c>
      <c r="H2486" s="2" t="str">
        <f>IFERROR(__xludf.DUMMYFUNCTION("IF('From Order'!$A2486=COLUMNS($A2486:H2505), LEFT(INDEX(FILTER(H$1:H2485, H$1:H2485&lt;&gt;""""),COUNTA(FILTER(H$1:H2485, H$1:H2485&lt;&gt;""""))), LEN(INDEX(FILTER(H$1:H2485, H$1:H2485&lt;&gt;""""),COUNTA(FILTER(H$1:H2485, H$1:H2485&lt;&gt;""""))))-1), IF('To Order'!$A2486=COL"&amp;"UMNS($A2486:H2505), H2485&amp;RIGHT(INDIRECT(ADDRESS(ROW(H2486)-1, 'From Order'!$A2486)), 1), H2485))"),"TWLLFBD")</f>
        <v>TWLLFBD</v>
      </c>
      <c r="I2486" s="2" t="str">
        <f>IFERROR(__xludf.DUMMYFUNCTION("IF('From Order'!$A2486=COLUMNS($A2486:I2505), LEFT(INDEX(FILTER(I$1:I2485, I$1:I2485&lt;&gt;""""),COUNTA(FILTER(I$1:I2485, I$1:I2485&lt;&gt;""""))), LEN(INDEX(FILTER(I$1:I2485, I$1:I2485&lt;&gt;""""),COUNTA(FILTER(I$1:I2485, I$1:I2485&lt;&gt;""""))))-1), IF('To Order'!$A2486=COL"&amp;"UMNS($A2486:I2505), I2485&amp;RIGHT(INDIRECT(ADDRESS(ROW(I2486)-1, 'From Order'!$A2486)), 1), I2485))"),"QVVDD")</f>
        <v>QVVDD</v>
      </c>
    </row>
    <row r="2487">
      <c r="A2487" s="2" t="str">
        <f>IFERROR(__xludf.DUMMYFUNCTION("IF('From Order'!$A2487=COLUMNS($A2487:A2506), LEFT(INDEX(FILTER(A$1:A2486, A$1:A2486&lt;&gt;""""),COUNTA(FILTER(A$1:A2486, A$1:A2486&lt;&gt;""""))), LEN(INDEX(FILTER(A$1:A2486, A$1:A2486&lt;&gt;""""),COUNTA(FILTER(A$1:A2486, A$1:A2486&lt;&gt;""""))))-1), IF('To Order'!$A2487=COL"&amp;"UMNS($A2487:A2506), A2486&amp;RIGHT(INDIRECT(ADDRESS(ROW(A2487)-1, 'From Order'!$A2487)), 1), A2486))"),"DRSZH")</f>
        <v>DRSZH</v>
      </c>
      <c r="B2487" s="2" t="str">
        <f>IFERROR(__xludf.DUMMYFUNCTION("IF('From Order'!$A2487=COLUMNS($A2487:B2506), LEFT(INDEX(FILTER(B$1:B2486, B$1:B2486&lt;&gt;""""),COUNTA(FILTER(B$1:B2486, B$1:B2486&lt;&gt;""""))), LEN(INDEX(FILTER(B$1:B2486, B$1:B2486&lt;&gt;""""),COUNTA(FILTER(B$1:B2486, B$1:B2486&lt;&gt;""""))))-1), IF('To Order'!$A2487=COL"&amp;"UMNS($A2487:B2506), B2486&amp;RIGHT(INDIRECT(ADDRESS(ROW(B2487)-1, 'From Order'!$A2487)), 1), B2486))"),"QGWBSDC")</f>
        <v>QGWBSDC</v>
      </c>
      <c r="C2487" s="2" t="str">
        <f>IFERROR(__xludf.DUMMYFUNCTION("IF('From Order'!$A2487=COLUMNS($A2487:C2506), LEFT(INDEX(FILTER(C$1:C2486, C$1:C2486&lt;&gt;""""),COUNTA(FILTER(C$1:C2486, C$1:C2486&lt;&gt;""""))), LEN(INDEX(FILTER(C$1:C2486, C$1:C2486&lt;&gt;""""),COUNTA(FILTER(C$1:C2486, C$1:C2486&lt;&gt;""""))))-1), IF('To Order'!$A2487=COL"&amp;"UMNS($A2487:C2506), C2486&amp;RIGHT(INDIRECT(ADDRESS(ROW(C2487)-1, 'From Order'!$A2487)), 1), C2486))"),"VB")</f>
        <v>VB</v>
      </c>
      <c r="D2487" s="2" t="str">
        <f>IFERROR(__xludf.DUMMYFUNCTION("IF('From Order'!$A2487=COLUMNS($A2487:D2506), LEFT(INDEX(FILTER(D$1:D2486, D$1:D2486&lt;&gt;""""),COUNTA(FILTER(D$1:D2486, D$1:D2486&lt;&gt;""""))), LEN(INDEX(FILTER(D$1:D2486, D$1:D2486&lt;&gt;""""),COUNTA(FILTER(D$1:D2486, D$1:D2486&lt;&gt;""""))))-1), IF('To Order'!$A2487=COL"&amp;"UMNS($A2487:D2506), D2486&amp;RIGHT(INDIRECT(ADDRESS(ROW(D2487)-1, 'From Order'!$A2487)), 1), D2486))"),"C")</f>
        <v>C</v>
      </c>
      <c r="E2487" s="2" t="str">
        <f>IFERROR(__xludf.DUMMYFUNCTION("IF('From Order'!$A2487=COLUMNS($A2487:E2506), LEFT(INDEX(FILTER(E$1:E2486, E$1:E2486&lt;&gt;""""),COUNTA(FILTER(E$1:E2486, E$1:E2486&lt;&gt;""""))), LEN(INDEX(FILTER(E$1:E2486, E$1:E2486&lt;&gt;""""),COUNTA(FILTER(E$1:E2486, E$1:E2486&lt;&gt;""""))))-1), IF('To Order'!$A2487=COL"&amp;"UMNS($A2487:E2506), E2486&amp;RIGHT(INDIRECT(ADDRESS(ROW(E2487)-1, 'From Order'!$A2487)), 1), E2486))"),"BRPHZMTJ")</f>
        <v>BRPHZMTJ</v>
      </c>
      <c r="F2487" s="2" t="str">
        <f>IFERROR(__xludf.DUMMYFUNCTION("IF('From Order'!$A2487=COLUMNS($A2487:F2506), LEFT(INDEX(FILTER(F$1:F2486, F$1:F2486&lt;&gt;""""),COUNTA(FILTER(F$1:F2486, F$1:F2486&lt;&gt;""""))), LEN(INDEX(FILTER(F$1:F2486, F$1:F2486&lt;&gt;""""),COUNTA(FILTER(F$1:F2486, F$1:F2486&lt;&gt;""""))))-1), IF('To Order'!$A2487=COL"&amp;"UMNS($A2487:F2506), F2486&amp;RIGHT(INDIRECT(ADDRESS(ROW(F2487)-1, 'From Order'!$A2487)), 1), F2486))"),"RSPMGTTMDZFJCTTJRRLPS")</f>
        <v>RSPMGTTMDZFJCTTJRRLPS</v>
      </c>
      <c r="G2487" s="2" t="str">
        <f>IFERROR(__xludf.DUMMYFUNCTION("IF('From Order'!$A2487=COLUMNS($A2487:G2506), LEFT(INDEX(FILTER(G$1:G2486, G$1:G2486&lt;&gt;""""),COUNTA(FILTER(G$1:G2486, G$1:G2486&lt;&gt;""""))), LEN(INDEX(FILTER(G$1:G2486, G$1:G2486&lt;&gt;""""),COUNTA(FILTER(G$1:G2486, G$1:G2486&lt;&gt;""""))))-1), IF('To Order'!$A2487=COL"&amp;"UMNS($A2487:G2506), G2486&amp;RIGHT(INDIRECT(ADDRESS(ROW(G2487)-1, 'From Order'!$A2487)), 1), G2486))"),"")</f>
        <v/>
      </c>
      <c r="H2487" s="2" t="str">
        <f>IFERROR(__xludf.DUMMYFUNCTION("IF('From Order'!$A2487=COLUMNS($A2487:H2506), LEFT(INDEX(FILTER(H$1:H2486, H$1:H2486&lt;&gt;""""),COUNTA(FILTER(H$1:H2486, H$1:H2486&lt;&gt;""""))), LEN(INDEX(FILTER(H$1:H2486, H$1:H2486&lt;&gt;""""),COUNTA(FILTER(H$1:H2486, H$1:H2486&lt;&gt;""""))))-1), IF('To Order'!$A2487=COL"&amp;"UMNS($A2487:H2506), H2486&amp;RIGHT(INDIRECT(ADDRESS(ROW(H2487)-1, 'From Order'!$A2487)), 1), H2486))"),"TWLLFBD")</f>
        <v>TWLLFBD</v>
      </c>
      <c r="I2487" s="2" t="str">
        <f>IFERROR(__xludf.DUMMYFUNCTION("IF('From Order'!$A2487=COLUMNS($A2487:I2506), LEFT(INDEX(FILTER(I$1:I2486, I$1:I2486&lt;&gt;""""),COUNTA(FILTER(I$1:I2486, I$1:I2486&lt;&gt;""""))), LEN(INDEX(FILTER(I$1:I2486, I$1:I2486&lt;&gt;""""),COUNTA(FILTER(I$1:I2486, I$1:I2486&lt;&gt;""""))))-1), IF('To Order'!$A2487=COL"&amp;"UMNS($A2487:I2506), I2486&amp;RIGHT(INDIRECT(ADDRESS(ROW(I2487)-1, 'From Order'!$A2487)), 1), I2486))"),"QVVDD")</f>
        <v>QVVDD</v>
      </c>
    </row>
    <row r="2488">
      <c r="A2488" s="2" t="str">
        <f>IFERROR(__xludf.DUMMYFUNCTION("IF('From Order'!$A2488=COLUMNS($A2488:A2507), LEFT(INDEX(FILTER(A$1:A2487, A$1:A2487&lt;&gt;""""),COUNTA(FILTER(A$1:A2487, A$1:A2487&lt;&gt;""""))), LEN(INDEX(FILTER(A$1:A2487, A$1:A2487&lt;&gt;""""),COUNTA(FILTER(A$1:A2487, A$1:A2487&lt;&gt;""""))))-1), IF('To Order'!$A2488=COL"&amp;"UMNS($A2488:A2507), A2487&amp;RIGHT(INDIRECT(ADDRESS(ROW(A2488)-1, 'From Order'!$A2488)), 1), A2487))"),"DRSZH")</f>
        <v>DRSZH</v>
      </c>
      <c r="B2488" s="2" t="str">
        <f>IFERROR(__xludf.DUMMYFUNCTION("IF('From Order'!$A2488=COLUMNS($A2488:B2507), LEFT(INDEX(FILTER(B$1:B2487, B$1:B2487&lt;&gt;""""),COUNTA(FILTER(B$1:B2487, B$1:B2487&lt;&gt;""""))), LEN(INDEX(FILTER(B$1:B2487, B$1:B2487&lt;&gt;""""),COUNTA(FILTER(B$1:B2487, B$1:B2487&lt;&gt;""""))))-1), IF('To Order'!$A2488=COL"&amp;"UMNS($A2488:B2507), B2487&amp;RIGHT(INDIRECT(ADDRESS(ROW(B2488)-1, 'From Order'!$A2488)), 1), B2487))"),"QGWBSDC")</f>
        <v>QGWBSDC</v>
      </c>
      <c r="C2488" s="2" t="str">
        <f>IFERROR(__xludf.DUMMYFUNCTION("IF('From Order'!$A2488=COLUMNS($A2488:C2507), LEFT(INDEX(FILTER(C$1:C2487, C$1:C2487&lt;&gt;""""),COUNTA(FILTER(C$1:C2487, C$1:C2487&lt;&gt;""""))), LEN(INDEX(FILTER(C$1:C2487, C$1:C2487&lt;&gt;""""),COUNTA(FILTER(C$1:C2487, C$1:C2487&lt;&gt;""""))))-1), IF('To Order'!$A2488=COL"&amp;"UMNS($A2488:C2507), C2487&amp;RIGHT(INDIRECT(ADDRESS(ROW(C2488)-1, 'From Order'!$A2488)), 1), C2487))"),"V")</f>
        <v>V</v>
      </c>
      <c r="D2488" s="2" t="str">
        <f>IFERROR(__xludf.DUMMYFUNCTION("IF('From Order'!$A2488=COLUMNS($A2488:D2507), LEFT(INDEX(FILTER(D$1:D2487, D$1:D2487&lt;&gt;""""),COUNTA(FILTER(D$1:D2487, D$1:D2487&lt;&gt;""""))), LEN(INDEX(FILTER(D$1:D2487, D$1:D2487&lt;&gt;""""),COUNTA(FILTER(D$1:D2487, D$1:D2487&lt;&gt;""""))))-1), IF('To Order'!$A2488=COL"&amp;"UMNS($A2488:D2507), D2487&amp;RIGHT(INDIRECT(ADDRESS(ROW(D2488)-1, 'From Order'!$A2488)), 1), D2487))"),"C")</f>
        <v>C</v>
      </c>
      <c r="E2488" s="2" t="str">
        <f>IFERROR(__xludf.DUMMYFUNCTION("IF('From Order'!$A2488=COLUMNS($A2488:E2507), LEFT(INDEX(FILTER(E$1:E2487, E$1:E2487&lt;&gt;""""),COUNTA(FILTER(E$1:E2487, E$1:E2487&lt;&gt;""""))), LEN(INDEX(FILTER(E$1:E2487, E$1:E2487&lt;&gt;""""),COUNTA(FILTER(E$1:E2487, E$1:E2487&lt;&gt;""""))))-1), IF('To Order'!$A2488=COL"&amp;"UMNS($A2488:E2507), E2487&amp;RIGHT(INDIRECT(ADDRESS(ROW(E2488)-1, 'From Order'!$A2488)), 1), E2487))"),"BRPHZMTJB")</f>
        <v>BRPHZMTJB</v>
      </c>
      <c r="F2488" s="2" t="str">
        <f>IFERROR(__xludf.DUMMYFUNCTION("IF('From Order'!$A2488=COLUMNS($A2488:F2507), LEFT(INDEX(FILTER(F$1:F2487, F$1:F2487&lt;&gt;""""),COUNTA(FILTER(F$1:F2487, F$1:F2487&lt;&gt;""""))), LEN(INDEX(FILTER(F$1:F2487, F$1:F2487&lt;&gt;""""),COUNTA(FILTER(F$1:F2487, F$1:F2487&lt;&gt;""""))))-1), IF('To Order'!$A2488=COL"&amp;"UMNS($A2488:F2507), F2487&amp;RIGHT(INDIRECT(ADDRESS(ROW(F2488)-1, 'From Order'!$A2488)), 1), F2487))"),"RSPMGTTMDZFJCTTJRRLPS")</f>
        <v>RSPMGTTMDZFJCTTJRRLPS</v>
      </c>
      <c r="G2488" s="2" t="str">
        <f>IFERROR(__xludf.DUMMYFUNCTION("IF('From Order'!$A2488=COLUMNS($A2488:G2507), LEFT(INDEX(FILTER(G$1:G2487, G$1:G2487&lt;&gt;""""),COUNTA(FILTER(G$1:G2487, G$1:G2487&lt;&gt;""""))), LEN(INDEX(FILTER(G$1:G2487, G$1:G2487&lt;&gt;""""),COUNTA(FILTER(G$1:G2487, G$1:G2487&lt;&gt;""""))))-1), IF('To Order'!$A2488=COL"&amp;"UMNS($A2488:G2507), G2487&amp;RIGHT(INDIRECT(ADDRESS(ROW(G2488)-1, 'From Order'!$A2488)), 1), G2487))"),"")</f>
        <v/>
      </c>
      <c r="H2488" s="2" t="str">
        <f>IFERROR(__xludf.DUMMYFUNCTION("IF('From Order'!$A2488=COLUMNS($A2488:H2507), LEFT(INDEX(FILTER(H$1:H2487, H$1:H2487&lt;&gt;""""),COUNTA(FILTER(H$1:H2487, H$1:H2487&lt;&gt;""""))), LEN(INDEX(FILTER(H$1:H2487, H$1:H2487&lt;&gt;""""),COUNTA(FILTER(H$1:H2487, H$1:H2487&lt;&gt;""""))))-1), IF('To Order'!$A2488=COL"&amp;"UMNS($A2488:H2507), H2487&amp;RIGHT(INDIRECT(ADDRESS(ROW(H2488)-1, 'From Order'!$A2488)), 1), H2487))"),"TWLLFBD")</f>
        <v>TWLLFBD</v>
      </c>
      <c r="I2488" s="2" t="str">
        <f>IFERROR(__xludf.DUMMYFUNCTION("IF('From Order'!$A2488=COLUMNS($A2488:I2507), LEFT(INDEX(FILTER(I$1:I2487, I$1:I2487&lt;&gt;""""),COUNTA(FILTER(I$1:I2487, I$1:I2487&lt;&gt;""""))), LEN(INDEX(FILTER(I$1:I2487, I$1:I2487&lt;&gt;""""),COUNTA(FILTER(I$1:I2487, I$1:I2487&lt;&gt;""""))))-1), IF('To Order'!$A2488=COL"&amp;"UMNS($A2488:I2507), I2487&amp;RIGHT(INDIRECT(ADDRESS(ROW(I2488)-1, 'From Order'!$A2488)), 1), I2487))"),"QVVDD")</f>
        <v>QVVDD</v>
      </c>
    </row>
    <row r="2489">
      <c r="A2489" s="2" t="str">
        <f>IFERROR(__xludf.DUMMYFUNCTION("IF('From Order'!$A2489=COLUMNS($A2489:A2508), LEFT(INDEX(FILTER(A$1:A2488, A$1:A2488&lt;&gt;""""),COUNTA(FILTER(A$1:A2488, A$1:A2488&lt;&gt;""""))), LEN(INDEX(FILTER(A$1:A2488, A$1:A2488&lt;&gt;""""),COUNTA(FILTER(A$1:A2488, A$1:A2488&lt;&gt;""""))))-1), IF('To Order'!$A2489=COL"&amp;"UMNS($A2489:A2508), A2488&amp;RIGHT(INDIRECT(ADDRESS(ROW(A2489)-1, 'From Order'!$A2489)), 1), A2488))"),"DRSZH")</f>
        <v>DRSZH</v>
      </c>
      <c r="B2489" s="2" t="str">
        <f>IFERROR(__xludf.DUMMYFUNCTION("IF('From Order'!$A2489=COLUMNS($A2489:B2508), LEFT(INDEX(FILTER(B$1:B2488, B$1:B2488&lt;&gt;""""),COUNTA(FILTER(B$1:B2488, B$1:B2488&lt;&gt;""""))), LEN(INDEX(FILTER(B$1:B2488, B$1:B2488&lt;&gt;""""),COUNTA(FILTER(B$1:B2488, B$1:B2488&lt;&gt;""""))))-1), IF('To Order'!$A2489=COL"&amp;"UMNS($A2489:B2508), B2488&amp;RIGHT(INDIRECT(ADDRESS(ROW(B2489)-1, 'From Order'!$A2489)), 1), B2488))"),"QGWBSDC")</f>
        <v>QGWBSDC</v>
      </c>
      <c r="C2489" s="2" t="str">
        <f>IFERROR(__xludf.DUMMYFUNCTION("IF('From Order'!$A2489=COLUMNS($A2489:C2508), LEFT(INDEX(FILTER(C$1:C2488, C$1:C2488&lt;&gt;""""),COUNTA(FILTER(C$1:C2488, C$1:C2488&lt;&gt;""""))), LEN(INDEX(FILTER(C$1:C2488, C$1:C2488&lt;&gt;""""),COUNTA(FILTER(C$1:C2488, C$1:C2488&lt;&gt;""""))))-1), IF('To Order'!$A2489=COL"&amp;"UMNS($A2489:C2508), C2488&amp;RIGHT(INDIRECT(ADDRESS(ROW(C2489)-1, 'From Order'!$A2489)), 1), C2488))"),"")</f>
        <v/>
      </c>
      <c r="D2489" s="2" t="str">
        <f>IFERROR(__xludf.DUMMYFUNCTION("IF('From Order'!$A2489=COLUMNS($A2489:D2508), LEFT(INDEX(FILTER(D$1:D2488, D$1:D2488&lt;&gt;""""),COUNTA(FILTER(D$1:D2488, D$1:D2488&lt;&gt;""""))), LEN(INDEX(FILTER(D$1:D2488, D$1:D2488&lt;&gt;""""),COUNTA(FILTER(D$1:D2488, D$1:D2488&lt;&gt;""""))))-1), IF('To Order'!$A2489=COL"&amp;"UMNS($A2489:D2508), D2488&amp;RIGHT(INDIRECT(ADDRESS(ROW(D2489)-1, 'From Order'!$A2489)), 1), D2488))"),"C")</f>
        <v>C</v>
      </c>
      <c r="E2489" s="2" t="str">
        <f>IFERROR(__xludf.DUMMYFUNCTION("IF('From Order'!$A2489=COLUMNS($A2489:E2508), LEFT(INDEX(FILTER(E$1:E2488, E$1:E2488&lt;&gt;""""),COUNTA(FILTER(E$1:E2488, E$1:E2488&lt;&gt;""""))), LEN(INDEX(FILTER(E$1:E2488, E$1:E2488&lt;&gt;""""),COUNTA(FILTER(E$1:E2488, E$1:E2488&lt;&gt;""""))))-1), IF('To Order'!$A2489=COL"&amp;"UMNS($A2489:E2508), E2488&amp;RIGHT(INDIRECT(ADDRESS(ROW(E2489)-1, 'From Order'!$A2489)), 1), E2488))"),"BRPHZMTJBV")</f>
        <v>BRPHZMTJBV</v>
      </c>
      <c r="F2489" s="2" t="str">
        <f>IFERROR(__xludf.DUMMYFUNCTION("IF('From Order'!$A2489=COLUMNS($A2489:F2508), LEFT(INDEX(FILTER(F$1:F2488, F$1:F2488&lt;&gt;""""),COUNTA(FILTER(F$1:F2488, F$1:F2488&lt;&gt;""""))), LEN(INDEX(FILTER(F$1:F2488, F$1:F2488&lt;&gt;""""),COUNTA(FILTER(F$1:F2488, F$1:F2488&lt;&gt;""""))))-1), IF('To Order'!$A2489=COL"&amp;"UMNS($A2489:F2508), F2488&amp;RIGHT(INDIRECT(ADDRESS(ROW(F2489)-1, 'From Order'!$A2489)), 1), F2488))"),"RSPMGTTMDZFJCTTJRRLPS")</f>
        <v>RSPMGTTMDZFJCTTJRRLPS</v>
      </c>
      <c r="G2489" s="2" t="str">
        <f>IFERROR(__xludf.DUMMYFUNCTION("IF('From Order'!$A2489=COLUMNS($A2489:G2508), LEFT(INDEX(FILTER(G$1:G2488, G$1:G2488&lt;&gt;""""),COUNTA(FILTER(G$1:G2488, G$1:G2488&lt;&gt;""""))), LEN(INDEX(FILTER(G$1:G2488, G$1:G2488&lt;&gt;""""),COUNTA(FILTER(G$1:G2488, G$1:G2488&lt;&gt;""""))))-1), IF('To Order'!$A2489=COL"&amp;"UMNS($A2489:G2508), G2488&amp;RIGHT(INDIRECT(ADDRESS(ROW(G2489)-1, 'From Order'!$A2489)), 1), G2488))"),"")</f>
        <v/>
      </c>
      <c r="H2489" s="2" t="str">
        <f>IFERROR(__xludf.DUMMYFUNCTION("IF('From Order'!$A2489=COLUMNS($A2489:H2508), LEFT(INDEX(FILTER(H$1:H2488, H$1:H2488&lt;&gt;""""),COUNTA(FILTER(H$1:H2488, H$1:H2488&lt;&gt;""""))), LEN(INDEX(FILTER(H$1:H2488, H$1:H2488&lt;&gt;""""),COUNTA(FILTER(H$1:H2488, H$1:H2488&lt;&gt;""""))))-1), IF('To Order'!$A2489=COL"&amp;"UMNS($A2489:H2508), H2488&amp;RIGHT(INDIRECT(ADDRESS(ROW(H2489)-1, 'From Order'!$A2489)), 1), H2488))"),"TWLLFBD")</f>
        <v>TWLLFBD</v>
      </c>
      <c r="I2489" s="2" t="str">
        <f>IFERROR(__xludf.DUMMYFUNCTION("IF('From Order'!$A2489=COLUMNS($A2489:I2508), LEFT(INDEX(FILTER(I$1:I2488, I$1:I2488&lt;&gt;""""),COUNTA(FILTER(I$1:I2488, I$1:I2488&lt;&gt;""""))), LEN(INDEX(FILTER(I$1:I2488, I$1:I2488&lt;&gt;""""),COUNTA(FILTER(I$1:I2488, I$1:I2488&lt;&gt;""""))))-1), IF('To Order'!$A2489=COL"&amp;"UMNS($A2489:I2508), I2488&amp;RIGHT(INDIRECT(ADDRESS(ROW(I2489)-1, 'From Order'!$A2489)), 1), I2488))"),"QVVDD")</f>
        <v>QVVDD</v>
      </c>
    </row>
    <row r="2490">
      <c r="A2490" s="2" t="str">
        <f>IFERROR(__xludf.DUMMYFUNCTION("IF('From Order'!$A2490=COLUMNS($A2490:A2509), LEFT(INDEX(FILTER(A$1:A2489, A$1:A2489&lt;&gt;""""),COUNTA(FILTER(A$1:A2489, A$1:A2489&lt;&gt;""""))), LEN(INDEX(FILTER(A$1:A2489, A$1:A2489&lt;&gt;""""),COUNTA(FILTER(A$1:A2489, A$1:A2489&lt;&gt;""""))))-1), IF('To Order'!$A2490=COL"&amp;"UMNS($A2490:A2509), A2489&amp;RIGHT(INDIRECT(ADDRESS(ROW(A2490)-1, 'From Order'!$A2490)), 1), A2489))"),"DRSZH")</f>
        <v>DRSZH</v>
      </c>
      <c r="B2490" s="2" t="str">
        <f>IFERROR(__xludf.DUMMYFUNCTION("IF('From Order'!$A2490=COLUMNS($A2490:B2509), LEFT(INDEX(FILTER(B$1:B2489, B$1:B2489&lt;&gt;""""),COUNTA(FILTER(B$1:B2489, B$1:B2489&lt;&gt;""""))), LEN(INDEX(FILTER(B$1:B2489, B$1:B2489&lt;&gt;""""),COUNTA(FILTER(B$1:B2489, B$1:B2489&lt;&gt;""""))))-1), IF('To Order'!$A2490=COL"&amp;"UMNS($A2490:B2509), B2489&amp;RIGHT(INDIRECT(ADDRESS(ROW(B2490)-1, 'From Order'!$A2490)), 1), B2489))"),"QGWBSD")</f>
        <v>QGWBSD</v>
      </c>
      <c r="C2490" s="2" t="str">
        <f>IFERROR(__xludf.DUMMYFUNCTION("IF('From Order'!$A2490=COLUMNS($A2490:C2509), LEFT(INDEX(FILTER(C$1:C2489, C$1:C2489&lt;&gt;""""),COUNTA(FILTER(C$1:C2489, C$1:C2489&lt;&gt;""""))), LEN(INDEX(FILTER(C$1:C2489, C$1:C2489&lt;&gt;""""),COUNTA(FILTER(C$1:C2489, C$1:C2489&lt;&gt;""""))))-1), IF('To Order'!$A2490=COL"&amp;"UMNS($A2490:C2509), C2489&amp;RIGHT(INDIRECT(ADDRESS(ROW(C2490)-1, 'From Order'!$A2490)), 1), C2489))"),"C")</f>
        <v>C</v>
      </c>
      <c r="D2490" s="2" t="str">
        <f>IFERROR(__xludf.DUMMYFUNCTION("IF('From Order'!$A2490=COLUMNS($A2490:D2509), LEFT(INDEX(FILTER(D$1:D2489, D$1:D2489&lt;&gt;""""),COUNTA(FILTER(D$1:D2489, D$1:D2489&lt;&gt;""""))), LEN(INDEX(FILTER(D$1:D2489, D$1:D2489&lt;&gt;""""),COUNTA(FILTER(D$1:D2489, D$1:D2489&lt;&gt;""""))))-1), IF('To Order'!$A2490=COL"&amp;"UMNS($A2490:D2509), D2489&amp;RIGHT(INDIRECT(ADDRESS(ROW(D2490)-1, 'From Order'!$A2490)), 1), D2489))"),"C")</f>
        <v>C</v>
      </c>
      <c r="E2490" s="2" t="str">
        <f>IFERROR(__xludf.DUMMYFUNCTION("IF('From Order'!$A2490=COLUMNS($A2490:E2509), LEFT(INDEX(FILTER(E$1:E2489, E$1:E2489&lt;&gt;""""),COUNTA(FILTER(E$1:E2489, E$1:E2489&lt;&gt;""""))), LEN(INDEX(FILTER(E$1:E2489, E$1:E2489&lt;&gt;""""),COUNTA(FILTER(E$1:E2489, E$1:E2489&lt;&gt;""""))))-1), IF('To Order'!$A2490=COL"&amp;"UMNS($A2490:E2509), E2489&amp;RIGHT(INDIRECT(ADDRESS(ROW(E2490)-1, 'From Order'!$A2490)), 1), E2489))"),"BRPHZMTJBV")</f>
        <v>BRPHZMTJBV</v>
      </c>
      <c r="F2490" s="2" t="str">
        <f>IFERROR(__xludf.DUMMYFUNCTION("IF('From Order'!$A2490=COLUMNS($A2490:F2509), LEFT(INDEX(FILTER(F$1:F2489, F$1:F2489&lt;&gt;""""),COUNTA(FILTER(F$1:F2489, F$1:F2489&lt;&gt;""""))), LEN(INDEX(FILTER(F$1:F2489, F$1:F2489&lt;&gt;""""),COUNTA(FILTER(F$1:F2489, F$1:F2489&lt;&gt;""""))))-1), IF('To Order'!$A2490=COL"&amp;"UMNS($A2490:F2509), F2489&amp;RIGHT(INDIRECT(ADDRESS(ROW(F2490)-1, 'From Order'!$A2490)), 1), F2489))"),"RSPMGTTMDZFJCTTJRRLPS")</f>
        <v>RSPMGTTMDZFJCTTJRRLPS</v>
      </c>
      <c r="G2490" s="2" t="str">
        <f>IFERROR(__xludf.DUMMYFUNCTION("IF('From Order'!$A2490=COLUMNS($A2490:G2509), LEFT(INDEX(FILTER(G$1:G2489, G$1:G2489&lt;&gt;""""),COUNTA(FILTER(G$1:G2489, G$1:G2489&lt;&gt;""""))), LEN(INDEX(FILTER(G$1:G2489, G$1:G2489&lt;&gt;""""),COUNTA(FILTER(G$1:G2489, G$1:G2489&lt;&gt;""""))))-1), IF('To Order'!$A2490=COL"&amp;"UMNS($A2490:G2509), G2489&amp;RIGHT(INDIRECT(ADDRESS(ROW(G2490)-1, 'From Order'!$A2490)), 1), G2489))"),"")</f>
        <v/>
      </c>
      <c r="H2490" s="2" t="str">
        <f>IFERROR(__xludf.DUMMYFUNCTION("IF('From Order'!$A2490=COLUMNS($A2490:H2509), LEFT(INDEX(FILTER(H$1:H2489, H$1:H2489&lt;&gt;""""),COUNTA(FILTER(H$1:H2489, H$1:H2489&lt;&gt;""""))), LEN(INDEX(FILTER(H$1:H2489, H$1:H2489&lt;&gt;""""),COUNTA(FILTER(H$1:H2489, H$1:H2489&lt;&gt;""""))))-1), IF('To Order'!$A2490=COL"&amp;"UMNS($A2490:H2509), H2489&amp;RIGHT(INDIRECT(ADDRESS(ROW(H2490)-1, 'From Order'!$A2490)), 1), H2489))"),"TWLLFBD")</f>
        <v>TWLLFBD</v>
      </c>
      <c r="I2490" s="2" t="str">
        <f>IFERROR(__xludf.DUMMYFUNCTION("IF('From Order'!$A2490=COLUMNS($A2490:I2509), LEFT(INDEX(FILTER(I$1:I2489, I$1:I2489&lt;&gt;""""),COUNTA(FILTER(I$1:I2489, I$1:I2489&lt;&gt;""""))), LEN(INDEX(FILTER(I$1:I2489, I$1:I2489&lt;&gt;""""),COUNTA(FILTER(I$1:I2489, I$1:I2489&lt;&gt;""""))))-1), IF('To Order'!$A2490=COL"&amp;"UMNS($A2490:I2509), I2489&amp;RIGHT(INDIRECT(ADDRESS(ROW(I2490)-1, 'From Order'!$A2490)), 1), I2489))"),"QVVDD")</f>
        <v>QVVDD</v>
      </c>
    </row>
    <row r="2491">
      <c r="A2491" s="2" t="str">
        <f>IFERROR(__xludf.DUMMYFUNCTION("IF('From Order'!$A2491=COLUMNS($A2491:A2510), LEFT(INDEX(FILTER(A$1:A2490, A$1:A2490&lt;&gt;""""),COUNTA(FILTER(A$1:A2490, A$1:A2490&lt;&gt;""""))), LEN(INDEX(FILTER(A$1:A2490, A$1:A2490&lt;&gt;""""),COUNTA(FILTER(A$1:A2490, A$1:A2490&lt;&gt;""""))))-1), IF('To Order'!$A2491=COL"&amp;"UMNS($A2491:A2510), A2490&amp;RIGHT(INDIRECT(ADDRESS(ROW(A2491)-1, 'From Order'!$A2491)), 1), A2490))"),"DRSZH")</f>
        <v>DRSZH</v>
      </c>
      <c r="B2491" s="2" t="str">
        <f>IFERROR(__xludf.DUMMYFUNCTION("IF('From Order'!$A2491=COLUMNS($A2491:B2510), LEFT(INDEX(FILTER(B$1:B2490, B$1:B2490&lt;&gt;""""),COUNTA(FILTER(B$1:B2490, B$1:B2490&lt;&gt;""""))), LEN(INDEX(FILTER(B$1:B2490, B$1:B2490&lt;&gt;""""),COUNTA(FILTER(B$1:B2490, B$1:B2490&lt;&gt;""""))))-1), IF('To Order'!$A2491=COL"&amp;"UMNS($A2491:B2510), B2490&amp;RIGHT(INDIRECT(ADDRESS(ROW(B2491)-1, 'From Order'!$A2491)), 1), B2490))"),"QGWBS")</f>
        <v>QGWBS</v>
      </c>
      <c r="C2491" s="2" t="str">
        <f>IFERROR(__xludf.DUMMYFUNCTION("IF('From Order'!$A2491=COLUMNS($A2491:C2510), LEFT(INDEX(FILTER(C$1:C2490, C$1:C2490&lt;&gt;""""),COUNTA(FILTER(C$1:C2490, C$1:C2490&lt;&gt;""""))), LEN(INDEX(FILTER(C$1:C2490, C$1:C2490&lt;&gt;""""),COUNTA(FILTER(C$1:C2490, C$1:C2490&lt;&gt;""""))))-1), IF('To Order'!$A2491=COL"&amp;"UMNS($A2491:C2510), C2490&amp;RIGHT(INDIRECT(ADDRESS(ROW(C2491)-1, 'From Order'!$A2491)), 1), C2490))"),"CD")</f>
        <v>CD</v>
      </c>
      <c r="D2491" s="2" t="str">
        <f>IFERROR(__xludf.DUMMYFUNCTION("IF('From Order'!$A2491=COLUMNS($A2491:D2510), LEFT(INDEX(FILTER(D$1:D2490, D$1:D2490&lt;&gt;""""),COUNTA(FILTER(D$1:D2490, D$1:D2490&lt;&gt;""""))), LEN(INDEX(FILTER(D$1:D2490, D$1:D2490&lt;&gt;""""),COUNTA(FILTER(D$1:D2490, D$1:D2490&lt;&gt;""""))))-1), IF('To Order'!$A2491=COL"&amp;"UMNS($A2491:D2510), D2490&amp;RIGHT(INDIRECT(ADDRESS(ROW(D2491)-1, 'From Order'!$A2491)), 1), D2490))"),"C")</f>
        <v>C</v>
      </c>
      <c r="E2491" s="2" t="str">
        <f>IFERROR(__xludf.DUMMYFUNCTION("IF('From Order'!$A2491=COLUMNS($A2491:E2510), LEFT(INDEX(FILTER(E$1:E2490, E$1:E2490&lt;&gt;""""),COUNTA(FILTER(E$1:E2490, E$1:E2490&lt;&gt;""""))), LEN(INDEX(FILTER(E$1:E2490, E$1:E2490&lt;&gt;""""),COUNTA(FILTER(E$1:E2490, E$1:E2490&lt;&gt;""""))))-1), IF('To Order'!$A2491=COL"&amp;"UMNS($A2491:E2510), E2490&amp;RIGHT(INDIRECT(ADDRESS(ROW(E2491)-1, 'From Order'!$A2491)), 1), E2490))"),"BRPHZMTJBV")</f>
        <v>BRPHZMTJBV</v>
      </c>
      <c r="F2491" s="2" t="str">
        <f>IFERROR(__xludf.DUMMYFUNCTION("IF('From Order'!$A2491=COLUMNS($A2491:F2510), LEFT(INDEX(FILTER(F$1:F2490, F$1:F2490&lt;&gt;""""),COUNTA(FILTER(F$1:F2490, F$1:F2490&lt;&gt;""""))), LEN(INDEX(FILTER(F$1:F2490, F$1:F2490&lt;&gt;""""),COUNTA(FILTER(F$1:F2490, F$1:F2490&lt;&gt;""""))))-1), IF('To Order'!$A2491=COL"&amp;"UMNS($A2491:F2510), F2490&amp;RIGHT(INDIRECT(ADDRESS(ROW(F2491)-1, 'From Order'!$A2491)), 1), F2490))"),"RSPMGTTMDZFJCTTJRRLPS")</f>
        <v>RSPMGTTMDZFJCTTJRRLPS</v>
      </c>
      <c r="G2491" s="2" t="str">
        <f>IFERROR(__xludf.DUMMYFUNCTION("IF('From Order'!$A2491=COLUMNS($A2491:G2510), LEFT(INDEX(FILTER(G$1:G2490, G$1:G2490&lt;&gt;""""),COUNTA(FILTER(G$1:G2490, G$1:G2490&lt;&gt;""""))), LEN(INDEX(FILTER(G$1:G2490, G$1:G2490&lt;&gt;""""),COUNTA(FILTER(G$1:G2490, G$1:G2490&lt;&gt;""""))))-1), IF('To Order'!$A2491=COL"&amp;"UMNS($A2491:G2510), G2490&amp;RIGHT(INDIRECT(ADDRESS(ROW(G2491)-1, 'From Order'!$A2491)), 1), G2490))"),"")</f>
        <v/>
      </c>
      <c r="H2491" s="2" t="str">
        <f>IFERROR(__xludf.DUMMYFUNCTION("IF('From Order'!$A2491=COLUMNS($A2491:H2510), LEFT(INDEX(FILTER(H$1:H2490, H$1:H2490&lt;&gt;""""),COUNTA(FILTER(H$1:H2490, H$1:H2490&lt;&gt;""""))), LEN(INDEX(FILTER(H$1:H2490, H$1:H2490&lt;&gt;""""),COUNTA(FILTER(H$1:H2490, H$1:H2490&lt;&gt;""""))))-1), IF('To Order'!$A2491=COL"&amp;"UMNS($A2491:H2510), H2490&amp;RIGHT(INDIRECT(ADDRESS(ROW(H2491)-1, 'From Order'!$A2491)), 1), H2490))"),"TWLLFBD")</f>
        <v>TWLLFBD</v>
      </c>
      <c r="I2491" s="2" t="str">
        <f>IFERROR(__xludf.DUMMYFUNCTION("IF('From Order'!$A2491=COLUMNS($A2491:I2510), LEFT(INDEX(FILTER(I$1:I2490, I$1:I2490&lt;&gt;""""),COUNTA(FILTER(I$1:I2490, I$1:I2490&lt;&gt;""""))), LEN(INDEX(FILTER(I$1:I2490, I$1:I2490&lt;&gt;""""),COUNTA(FILTER(I$1:I2490, I$1:I2490&lt;&gt;""""))))-1), IF('To Order'!$A2491=COL"&amp;"UMNS($A2491:I2510), I2490&amp;RIGHT(INDIRECT(ADDRESS(ROW(I2491)-1, 'From Order'!$A2491)), 1), I2490))"),"QVVDD")</f>
        <v>QVVDD</v>
      </c>
    </row>
    <row r="2492">
      <c r="A2492" s="2" t="str">
        <f>IFERROR(__xludf.DUMMYFUNCTION("IF('From Order'!$A2492=COLUMNS($A2492:A2511), LEFT(INDEX(FILTER(A$1:A2491, A$1:A2491&lt;&gt;""""),COUNTA(FILTER(A$1:A2491, A$1:A2491&lt;&gt;""""))), LEN(INDEX(FILTER(A$1:A2491, A$1:A2491&lt;&gt;""""),COUNTA(FILTER(A$1:A2491, A$1:A2491&lt;&gt;""""))))-1), IF('To Order'!$A2492=COL"&amp;"UMNS($A2492:A2511), A2491&amp;RIGHT(INDIRECT(ADDRESS(ROW(A2492)-1, 'From Order'!$A2492)), 1), A2491))"),"DRSZH")</f>
        <v>DRSZH</v>
      </c>
      <c r="B2492" s="2" t="str">
        <f>IFERROR(__xludf.DUMMYFUNCTION("IF('From Order'!$A2492=COLUMNS($A2492:B2511), LEFT(INDEX(FILTER(B$1:B2491, B$1:B2491&lt;&gt;""""),COUNTA(FILTER(B$1:B2491, B$1:B2491&lt;&gt;""""))), LEN(INDEX(FILTER(B$1:B2491, B$1:B2491&lt;&gt;""""),COUNTA(FILTER(B$1:B2491, B$1:B2491&lt;&gt;""""))))-1), IF('To Order'!$A2492=COL"&amp;"UMNS($A2492:B2511), B2491&amp;RIGHT(INDIRECT(ADDRESS(ROW(B2492)-1, 'From Order'!$A2492)), 1), B2491))"),"QGWB")</f>
        <v>QGWB</v>
      </c>
      <c r="C2492" s="2" t="str">
        <f>IFERROR(__xludf.DUMMYFUNCTION("IF('From Order'!$A2492=COLUMNS($A2492:C2511), LEFT(INDEX(FILTER(C$1:C2491, C$1:C2491&lt;&gt;""""),COUNTA(FILTER(C$1:C2491, C$1:C2491&lt;&gt;""""))), LEN(INDEX(FILTER(C$1:C2491, C$1:C2491&lt;&gt;""""),COUNTA(FILTER(C$1:C2491, C$1:C2491&lt;&gt;""""))))-1), IF('To Order'!$A2492=COL"&amp;"UMNS($A2492:C2511), C2491&amp;RIGHT(INDIRECT(ADDRESS(ROW(C2492)-1, 'From Order'!$A2492)), 1), C2491))"),"CDS")</f>
        <v>CDS</v>
      </c>
      <c r="D2492" s="2" t="str">
        <f>IFERROR(__xludf.DUMMYFUNCTION("IF('From Order'!$A2492=COLUMNS($A2492:D2511), LEFT(INDEX(FILTER(D$1:D2491, D$1:D2491&lt;&gt;""""),COUNTA(FILTER(D$1:D2491, D$1:D2491&lt;&gt;""""))), LEN(INDEX(FILTER(D$1:D2491, D$1:D2491&lt;&gt;""""),COUNTA(FILTER(D$1:D2491, D$1:D2491&lt;&gt;""""))))-1), IF('To Order'!$A2492=COL"&amp;"UMNS($A2492:D2511), D2491&amp;RIGHT(INDIRECT(ADDRESS(ROW(D2492)-1, 'From Order'!$A2492)), 1), D2491))"),"C")</f>
        <v>C</v>
      </c>
      <c r="E2492" s="2" t="str">
        <f>IFERROR(__xludf.DUMMYFUNCTION("IF('From Order'!$A2492=COLUMNS($A2492:E2511), LEFT(INDEX(FILTER(E$1:E2491, E$1:E2491&lt;&gt;""""),COUNTA(FILTER(E$1:E2491, E$1:E2491&lt;&gt;""""))), LEN(INDEX(FILTER(E$1:E2491, E$1:E2491&lt;&gt;""""),COUNTA(FILTER(E$1:E2491, E$1:E2491&lt;&gt;""""))))-1), IF('To Order'!$A2492=COL"&amp;"UMNS($A2492:E2511), E2491&amp;RIGHT(INDIRECT(ADDRESS(ROW(E2492)-1, 'From Order'!$A2492)), 1), E2491))"),"BRPHZMTJBV")</f>
        <v>BRPHZMTJBV</v>
      </c>
      <c r="F2492" s="2" t="str">
        <f>IFERROR(__xludf.DUMMYFUNCTION("IF('From Order'!$A2492=COLUMNS($A2492:F2511), LEFT(INDEX(FILTER(F$1:F2491, F$1:F2491&lt;&gt;""""),COUNTA(FILTER(F$1:F2491, F$1:F2491&lt;&gt;""""))), LEN(INDEX(FILTER(F$1:F2491, F$1:F2491&lt;&gt;""""),COUNTA(FILTER(F$1:F2491, F$1:F2491&lt;&gt;""""))))-1), IF('To Order'!$A2492=COL"&amp;"UMNS($A2492:F2511), F2491&amp;RIGHT(INDIRECT(ADDRESS(ROW(F2492)-1, 'From Order'!$A2492)), 1), F2491))"),"RSPMGTTMDZFJCTTJRRLPS")</f>
        <v>RSPMGTTMDZFJCTTJRRLPS</v>
      </c>
      <c r="G2492" s="2" t="str">
        <f>IFERROR(__xludf.DUMMYFUNCTION("IF('From Order'!$A2492=COLUMNS($A2492:G2511), LEFT(INDEX(FILTER(G$1:G2491, G$1:G2491&lt;&gt;""""),COUNTA(FILTER(G$1:G2491, G$1:G2491&lt;&gt;""""))), LEN(INDEX(FILTER(G$1:G2491, G$1:G2491&lt;&gt;""""),COUNTA(FILTER(G$1:G2491, G$1:G2491&lt;&gt;""""))))-1), IF('To Order'!$A2492=COL"&amp;"UMNS($A2492:G2511), G2491&amp;RIGHT(INDIRECT(ADDRESS(ROW(G2492)-1, 'From Order'!$A2492)), 1), G2491))"),"")</f>
        <v/>
      </c>
      <c r="H2492" s="2" t="str">
        <f>IFERROR(__xludf.DUMMYFUNCTION("IF('From Order'!$A2492=COLUMNS($A2492:H2511), LEFT(INDEX(FILTER(H$1:H2491, H$1:H2491&lt;&gt;""""),COUNTA(FILTER(H$1:H2491, H$1:H2491&lt;&gt;""""))), LEN(INDEX(FILTER(H$1:H2491, H$1:H2491&lt;&gt;""""),COUNTA(FILTER(H$1:H2491, H$1:H2491&lt;&gt;""""))))-1), IF('To Order'!$A2492=COL"&amp;"UMNS($A2492:H2511), H2491&amp;RIGHT(INDIRECT(ADDRESS(ROW(H2492)-1, 'From Order'!$A2492)), 1), H2491))"),"TWLLFBD")</f>
        <v>TWLLFBD</v>
      </c>
      <c r="I2492" s="2" t="str">
        <f>IFERROR(__xludf.DUMMYFUNCTION("IF('From Order'!$A2492=COLUMNS($A2492:I2511), LEFT(INDEX(FILTER(I$1:I2491, I$1:I2491&lt;&gt;""""),COUNTA(FILTER(I$1:I2491, I$1:I2491&lt;&gt;""""))), LEN(INDEX(FILTER(I$1:I2491, I$1:I2491&lt;&gt;""""),COUNTA(FILTER(I$1:I2491, I$1:I2491&lt;&gt;""""))))-1), IF('To Order'!$A2492=COL"&amp;"UMNS($A2492:I2511), I2491&amp;RIGHT(INDIRECT(ADDRESS(ROW(I2492)-1, 'From Order'!$A2492)), 1), I2491))"),"QVVDD")</f>
        <v>QVVDD</v>
      </c>
    </row>
    <row r="2493">
      <c r="A2493" s="2" t="str">
        <f>IFERROR(__xludf.DUMMYFUNCTION("IF('From Order'!$A2493=COLUMNS($A2493:A2512), LEFT(INDEX(FILTER(A$1:A2492, A$1:A2492&lt;&gt;""""),COUNTA(FILTER(A$1:A2492, A$1:A2492&lt;&gt;""""))), LEN(INDEX(FILTER(A$1:A2492, A$1:A2492&lt;&gt;""""),COUNTA(FILTER(A$1:A2492, A$1:A2492&lt;&gt;""""))))-1), IF('To Order'!$A2493=COL"&amp;"UMNS($A2493:A2512), A2492&amp;RIGHT(INDIRECT(ADDRESS(ROW(A2493)-1, 'From Order'!$A2493)), 1), A2492))"),"DRSZH")</f>
        <v>DRSZH</v>
      </c>
      <c r="B2493" s="2" t="str">
        <f>IFERROR(__xludf.DUMMYFUNCTION("IF('From Order'!$A2493=COLUMNS($A2493:B2512), LEFT(INDEX(FILTER(B$1:B2492, B$1:B2492&lt;&gt;""""),COUNTA(FILTER(B$1:B2492, B$1:B2492&lt;&gt;""""))), LEN(INDEX(FILTER(B$1:B2492, B$1:B2492&lt;&gt;""""),COUNTA(FILTER(B$1:B2492, B$1:B2492&lt;&gt;""""))))-1), IF('To Order'!$A2493=COL"&amp;"UMNS($A2493:B2512), B2492&amp;RIGHT(INDIRECT(ADDRESS(ROW(B2493)-1, 'From Order'!$A2493)), 1), B2492))"),"QGW")</f>
        <v>QGW</v>
      </c>
      <c r="C2493" s="2" t="str">
        <f>IFERROR(__xludf.DUMMYFUNCTION("IF('From Order'!$A2493=COLUMNS($A2493:C2512), LEFT(INDEX(FILTER(C$1:C2492, C$1:C2492&lt;&gt;""""),COUNTA(FILTER(C$1:C2492, C$1:C2492&lt;&gt;""""))), LEN(INDEX(FILTER(C$1:C2492, C$1:C2492&lt;&gt;""""),COUNTA(FILTER(C$1:C2492, C$1:C2492&lt;&gt;""""))))-1), IF('To Order'!$A2493=COL"&amp;"UMNS($A2493:C2512), C2492&amp;RIGHT(INDIRECT(ADDRESS(ROW(C2493)-1, 'From Order'!$A2493)), 1), C2492))"),"CDSB")</f>
        <v>CDSB</v>
      </c>
      <c r="D2493" s="2" t="str">
        <f>IFERROR(__xludf.DUMMYFUNCTION("IF('From Order'!$A2493=COLUMNS($A2493:D2512), LEFT(INDEX(FILTER(D$1:D2492, D$1:D2492&lt;&gt;""""),COUNTA(FILTER(D$1:D2492, D$1:D2492&lt;&gt;""""))), LEN(INDEX(FILTER(D$1:D2492, D$1:D2492&lt;&gt;""""),COUNTA(FILTER(D$1:D2492, D$1:D2492&lt;&gt;""""))))-1), IF('To Order'!$A2493=COL"&amp;"UMNS($A2493:D2512), D2492&amp;RIGHT(INDIRECT(ADDRESS(ROW(D2493)-1, 'From Order'!$A2493)), 1), D2492))"),"C")</f>
        <v>C</v>
      </c>
      <c r="E2493" s="2" t="str">
        <f>IFERROR(__xludf.DUMMYFUNCTION("IF('From Order'!$A2493=COLUMNS($A2493:E2512), LEFT(INDEX(FILTER(E$1:E2492, E$1:E2492&lt;&gt;""""),COUNTA(FILTER(E$1:E2492, E$1:E2492&lt;&gt;""""))), LEN(INDEX(FILTER(E$1:E2492, E$1:E2492&lt;&gt;""""),COUNTA(FILTER(E$1:E2492, E$1:E2492&lt;&gt;""""))))-1), IF('To Order'!$A2493=COL"&amp;"UMNS($A2493:E2512), E2492&amp;RIGHT(INDIRECT(ADDRESS(ROW(E2493)-1, 'From Order'!$A2493)), 1), E2492))"),"BRPHZMTJBV")</f>
        <v>BRPHZMTJBV</v>
      </c>
      <c r="F2493" s="2" t="str">
        <f>IFERROR(__xludf.DUMMYFUNCTION("IF('From Order'!$A2493=COLUMNS($A2493:F2512), LEFT(INDEX(FILTER(F$1:F2492, F$1:F2492&lt;&gt;""""),COUNTA(FILTER(F$1:F2492, F$1:F2492&lt;&gt;""""))), LEN(INDEX(FILTER(F$1:F2492, F$1:F2492&lt;&gt;""""),COUNTA(FILTER(F$1:F2492, F$1:F2492&lt;&gt;""""))))-1), IF('To Order'!$A2493=COL"&amp;"UMNS($A2493:F2512), F2492&amp;RIGHT(INDIRECT(ADDRESS(ROW(F2493)-1, 'From Order'!$A2493)), 1), F2492))"),"RSPMGTTMDZFJCTTJRRLPS")</f>
        <v>RSPMGTTMDZFJCTTJRRLPS</v>
      </c>
      <c r="G2493" s="2" t="str">
        <f>IFERROR(__xludf.DUMMYFUNCTION("IF('From Order'!$A2493=COLUMNS($A2493:G2512), LEFT(INDEX(FILTER(G$1:G2492, G$1:G2492&lt;&gt;""""),COUNTA(FILTER(G$1:G2492, G$1:G2492&lt;&gt;""""))), LEN(INDEX(FILTER(G$1:G2492, G$1:G2492&lt;&gt;""""),COUNTA(FILTER(G$1:G2492, G$1:G2492&lt;&gt;""""))))-1), IF('To Order'!$A2493=COL"&amp;"UMNS($A2493:G2512), G2492&amp;RIGHT(INDIRECT(ADDRESS(ROW(G2493)-1, 'From Order'!$A2493)), 1), G2492))"),"")</f>
        <v/>
      </c>
      <c r="H2493" s="2" t="str">
        <f>IFERROR(__xludf.DUMMYFUNCTION("IF('From Order'!$A2493=COLUMNS($A2493:H2512), LEFT(INDEX(FILTER(H$1:H2492, H$1:H2492&lt;&gt;""""),COUNTA(FILTER(H$1:H2492, H$1:H2492&lt;&gt;""""))), LEN(INDEX(FILTER(H$1:H2492, H$1:H2492&lt;&gt;""""),COUNTA(FILTER(H$1:H2492, H$1:H2492&lt;&gt;""""))))-1), IF('To Order'!$A2493=COL"&amp;"UMNS($A2493:H2512), H2492&amp;RIGHT(INDIRECT(ADDRESS(ROW(H2493)-1, 'From Order'!$A2493)), 1), H2492))"),"TWLLFBD")</f>
        <v>TWLLFBD</v>
      </c>
      <c r="I2493" s="2" t="str">
        <f>IFERROR(__xludf.DUMMYFUNCTION("IF('From Order'!$A2493=COLUMNS($A2493:I2512), LEFT(INDEX(FILTER(I$1:I2492, I$1:I2492&lt;&gt;""""),COUNTA(FILTER(I$1:I2492, I$1:I2492&lt;&gt;""""))), LEN(INDEX(FILTER(I$1:I2492, I$1:I2492&lt;&gt;""""),COUNTA(FILTER(I$1:I2492, I$1:I2492&lt;&gt;""""))))-1), IF('To Order'!$A2493=COL"&amp;"UMNS($A2493:I2512), I2492&amp;RIGHT(INDIRECT(ADDRESS(ROW(I2493)-1, 'From Order'!$A2493)), 1), I2492))"),"QVVDD")</f>
        <v>QVVDD</v>
      </c>
    </row>
    <row r="2494">
      <c r="A2494" s="2" t="str">
        <f>IFERROR(__xludf.DUMMYFUNCTION("IF('From Order'!$A2494=COLUMNS($A2494:A2513), LEFT(INDEX(FILTER(A$1:A2493, A$1:A2493&lt;&gt;""""),COUNTA(FILTER(A$1:A2493, A$1:A2493&lt;&gt;""""))), LEN(INDEX(FILTER(A$1:A2493, A$1:A2493&lt;&gt;""""),COUNTA(FILTER(A$1:A2493, A$1:A2493&lt;&gt;""""))))-1), IF('To Order'!$A2494=COL"&amp;"UMNS($A2494:A2513), A2493&amp;RIGHT(INDIRECT(ADDRESS(ROW(A2494)-1, 'From Order'!$A2494)), 1), A2493))"),"DRSZ")</f>
        <v>DRSZ</v>
      </c>
      <c r="B2494" s="2" t="str">
        <f>IFERROR(__xludf.DUMMYFUNCTION("IF('From Order'!$A2494=COLUMNS($A2494:B2513), LEFT(INDEX(FILTER(B$1:B2493, B$1:B2493&lt;&gt;""""),COUNTA(FILTER(B$1:B2493, B$1:B2493&lt;&gt;""""))), LEN(INDEX(FILTER(B$1:B2493, B$1:B2493&lt;&gt;""""),COUNTA(FILTER(B$1:B2493, B$1:B2493&lt;&gt;""""))))-1), IF('To Order'!$A2494=COL"&amp;"UMNS($A2494:B2513), B2493&amp;RIGHT(INDIRECT(ADDRESS(ROW(B2494)-1, 'From Order'!$A2494)), 1), B2493))"),"QGW")</f>
        <v>QGW</v>
      </c>
      <c r="C2494" s="2" t="str">
        <f>IFERROR(__xludf.DUMMYFUNCTION("IF('From Order'!$A2494=COLUMNS($A2494:C2513), LEFT(INDEX(FILTER(C$1:C2493, C$1:C2493&lt;&gt;""""),COUNTA(FILTER(C$1:C2493, C$1:C2493&lt;&gt;""""))), LEN(INDEX(FILTER(C$1:C2493, C$1:C2493&lt;&gt;""""),COUNTA(FILTER(C$1:C2493, C$1:C2493&lt;&gt;""""))))-1), IF('To Order'!$A2494=COL"&amp;"UMNS($A2494:C2513), C2493&amp;RIGHT(INDIRECT(ADDRESS(ROW(C2494)-1, 'From Order'!$A2494)), 1), C2493))"),"CDSBH")</f>
        <v>CDSBH</v>
      </c>
      <c r="D2494" s="2" t="str">
        <f>IFERROR(__xludf.DUMMYFUNCTION("IF('From Order'!$A2494=COLUMNS($A2494:D2513), LEFT(INDEX(FILTER(D$1:D2493, D$1:D2493&lt;&gt;""""),COUNTA(FILTER(D$1:D2493, D$1:D2493&lt;&gt;""""))), LEN(INDEX(FILTER(D$1:D2493, D$1:D2493&lt;&gt;""""),COUNTA(FILTER(D$1:D2493, D$1:D2493&lt;&gt;""""))))-1), IF('To Order'!$A2494=COL"&amp;"UMNS($A2494:D2513), D2493&amp;RIGHT(INDIRECT(ADDRESS(ROW(D2494)-1, 'From Order'!$A2494)), 1), D2493))"),"C")</f>
        <v>C</v>
      </c>
      <c r="E2494" s="2" t="str">
        <f>IFERROR(__xludf.DUMMYFUNCTION("IF('From Order'!$A2494=COLUMNS($A2494:E2513), LEFT(INDEX(FILTER(E$1:E2493, E$1:E2493&lt;&gt;""""),COUNTA(FILTER(E$1:E2493, E$1:E2493&lt;&gt;""""))), LEN(INDEX(FILTER(E$1:E2493, E$1:E2493&lt;&gt;""""),COUNTA(FILTER(E$1:E2493, E$1:E2493&lt;&gt;""""))))-1), IF('To Order'!$A2494=COL"&amp;"UMNS($A2494:E2513), E2493&amp;RIGHT(INDIRECT(ADDRESS(ROW(E2494)-1, 'From Order'!$A2494)), 1), E2493))"),"BRPHZMTJBV")</f>
        <v>BRPHZMTJBV</v>
      </c>
      <c r="F2494" s="2" t="str">
        <f>IFERROR(__xludf.DUMMYFUNCTION("IF('From Order'!$A2494=COLUMNS($A2494:F2513), LEFT(INDEX(FILTER(F$1:F2493, F$1:F2493&lt;&gt;""""),COUNTA(FILTER(F$1:F2493, F$1:F2493&lt;&gt;""""))), LEN(INDEX(FILTER(F$1:F2493, F$1:F2493&lt;&gt;""""),COUNTA(FILTER(F$1:F2493, F$1:F2493&lt;&gt;""""))))-1), IF('To Order'!$A2494=COL"&amp;"UMNS($A2494:F2513), F2493&amp;RIGHT(INDIRECT(ADDRESS(ROW(F2494)-1, 'From Order'!$A2494)), 1), F2493))"),"RSPMGTTMDZFJCTTJRRLPS")</f>
        <v>RSPMGTTMDZFJCTTJRRLPS</v>
      </c>
      <c r="G2494" s="2" t="str">
        <f>IFERROR(__xludf.DUMMYFUNCTION("IF('From Order'!$A2494=COLUMNS($A2494:G2513), LEFT(INDEX(FILTER(G$1:G2493, G$1:G2493&lt;&gt;""""),COUNTA(FILTER(G$1:G2493, G$1:G2493&lt;&gt;""""))), LEN(INDEX(FILTER(G$1:G2493, G$1:G2493&lt;&gt;""""),COUNTA(FILTER(G$1:G2493, G$1:G2493&lt;&gt;""""))))-1), IF('To Order'!$A2494=COL"&amp;"UMNS($A2494:G2513), G2493&amp;RIGHT(INDIRECT(ADDRESS(ROW(G2494)-1, 'From Order'!$A2494)), 1), G2493))"),"")</f>
        <v/>
      </c>
      <c r="H2494" s="2" t="str">
        <f>IFERROR(__xludf.DUMMYFUNCTION("IF('From Order'!$A2494=COLUMNS($A2494:H2513), LEFT(INDEX(FILTER(H$1:H2493, H$1:H2493&lt;&gt;""""),COUNTA(FILTER(H$1:H2493, H$1:H2493&lt;&gt;""""))), LEN(INDEX(FILTER(H$1:H2493, H$1:H2493&lt;&gt;""""),COUNTA(FILTER(H$1:H2493, H$1:H2493&lt;&gt;""""))))-1), IF('To Order'!$A2494=COL"&amp;"UMNS($A2494:H2513), H2493&amp;RIGHT(INDIRECT(ADDRESS(ROW(H2494)-1, 'From Order'!$A2494)), 1), H2493))"),"TWLLFBD")</f>
        <v>TWLLFBD</v>
      </c>
      <c r="I2494" s="2" t="str">
        <f>IFERROR(__xludf.DUMMYFUNCTION("IF('From Order'!$A2494=COLUMNS($A2494:I2513), LEFT(INDEX(FILTER(I$1:I2493, I$1:I2493&lt;&gt;""""),COUNTA(FILTER(I$1:I2493, I$1:I2493&lt;&gt;""""))), LEN(INDEX(FILTER(I$1:I2493, I$1:I2493&lt;&gt;""""),COUNTA(FILTER(I$1:I2493, I$1:I2493&lt;&gt;""""))))-1), IF('To Order'!$A2494=COL"&amp;"UMNS($A2494:I2513), I2493&amp;RIGHT(INDIRECT(ADDRESS(ROW(I2494)-1, 'From Order'!$A2494)), 1), I2493))"),"QVVDD")</f>
        <v>QVVDD</v>
      </c>
    </row>
    <row r="2495">
      <c r="A2495" s="2" t="str">
        <f>IFERROR(__xludf.DUMMYFUNCTION("IF('From Order'!$A2495=COLUMNS($A2495:A2514), LEFT(INDEX(FILTER(A$1:A2494, A$1:A2494&lt;&gt;""""),COUNTA(FILTER(A$1:A2494, A$1:A2494&lt;&gt;""""))), LEN(INDEX(FILTER(A$1:A2494, A$1:A2494&lt;&gt;""""),COUNTA(FILTER(A$1:A2494, A$1:A2494&lt;&gt;""""))))-1), IF('To Order'!$A2495=COL"&amp;"UMNS($A2495:A2514), A2494&amp;RIGHT(INDIRECT(ADDRESS(ROW(A2495)-1, 'From Order'!$A2495)), 1), A2494))"),"DRSZ")</f>
        <v>DRSZ</v>
      </c>
      <c r="B2495" s="2" t="str">
        <f>IFERROR(__xludf.DUMMYFUNCTION("IF('From Order'!$A2495=COLUMNS($A2495:B2514), LEFT(INDEX(FILTER(B$1:B2494, B$1:B2494&lt;&gt;""""),COUNTA(FILTER(B$1:B2494, B$1:B2494&lt;&gt;""""))), LEN(INDEX(FILTER(B$1:B2494, B$1:B2494&lt;&gt;""""),COUNTA(FILTER(B$1:B2494, B$1:B2494&lt;&gt;""""))))-1), IF('To Order'!$A2495=COL"&amp;"UMNS($A2495:B2514), B2494&amp;RIGHT(INDIRECT(ADDRESS(ROW(B2495)-1, 'From Order'!$A2495)), 1), B2494))"),"QGW")</f>
        <v>QGW</v>
      </c>
      <c r="C2495" s="2" t="str">
        <f>IFERROR(__xludf.DUMMYFUNCTION("IF('From Order'!$A2495=COLUMNS($A2495:C2514), LEFT(INDEX(FILTER(C$1:C2494, C$1:C2494&lt;&gt;""""),COUNTA(FILTER(C$1:C2494, C$1:C2494&lt;&gt;""""))), LEN(INDEX(FILTER(C$1:C2494, C$1:C2494&lt;&gt;""""),COUNTA(FILTER(C$1:C2494, C$1:C2494&lt;&gt;""""))))-1), IF('To Order'!$A2495=COL"&amp;"UMNS($A2495:C2514), C2494&amp;RIGHT(INDIRECT(ADDRESS(ROW(C2495)-1, 'From Order'!$A2495)), 1), C2494))"),"CDSBH")</f>
        <v>CDSBH</v>
      </c>
      <c r="D2495" s="2" t="str">
        <f>IFERROR(__xludf.DUMMYFUNCTION("IF('From Order'!$A2495=COLUMNS($A2495:D2514), LEFT(INDEX(FILTER(D$1:D2494, D$1:D2494&lt;&gt;""""),COUNTA(FILTER(D$1:D2494, D$1:D2494&lt;&gt;""""))), LEN(INDEX(FILTER(D$1:D2494, D$1:D2494&lt;&gt;""""),COUNTA(FILTER(D$1:D2494, D$1:D2494&lt;&gt;""""))))-1), IF('To Order'!$A2495=COL"&amp;"UMNS($A2495:D2514), D2494&amp;RIGHT(INDIRECT(ADDRESS(ROW(D2495)-1, 'From Order'!$A2495)), 1), D2494))"),"C")</f>
        <v>C</v>
      </c>
      <c r="E2495" s="2" t="str">
        <f>IFERROR(__xludf.DUMMYFUNCTION("IF('From Order'!$A2495=COLUMNS($A2495:E2514), LEFT(INDEX(FILTER(E$1:E2494, E$1:E2494&lt;&gt;""""),COUNTA(FILTER(E$1:E2494, E$1:E2494&lt;&gt;""""))), LEN(INDEX(FILTER(E$1:E2494, E$1:E2494&lt;&gt;""""),COUNTA(FILTER(E$1:E2494, E$1:E2494&lt;&gt;""""))))-1), IF('To Order'!$A2495=COL"&amp;"UMNS($A2495:E2514), E2494&amp;RIGHT(INDIRECT(ADDRESS(ROW(E2495)-1, 'From Order'!$A2495)), 1), E2494))"),"BRPHZMTJBVD")</f>
        <v>BRPHZMTJBVD</v>
      </c>
      <c r="F2495" s="2" t="str">
        <f>IFERROR(__xludf.DUMMYFUNCTION("IF('From Order'!$A2495=COLUMNS($A2495:F2514), LEFT(INDEX(FILTER(F$1:F2494, F$1:F2494&lt;&gt;""""),COUNTA(FILTER(F$1:F2494, F$1:F2494&lt;&gt;""""))), LEN(INDEX(FILTER(F$1:F2494, F$1:F2494&lt;&gt;""""),COUNTA(FILTER(F$1:F2494, F$1:F2494&lt;&gt;""""))))-1), IF('To Order'!$A2495=COL"&amp;"UMNS($A2495:F2514), F2494&amp;RIGHT(INDIRECT(ADDRESS(ROW(F2495)-1, 'From Order'!$A2495)), 1), F2494))"),"RSPMGTTMDZFJCTTJRRLPS")</f>
        <v>RSPMGTTMDZFJCTTJRRLPS</v>
      </c>
      <c r="G2495" s="2" t="str">
        <f>IFERROR(__xludf.DUMMYFUNCTION("IF('From Order'!$A2495=COLUMNS($A2495:G2514), LEFT(INDEX(FILTER(G$1:G2494, G$1:G2494&lt;&gt;""""),COUNTA(FILTER(G$1:G2494, G$1:G2494&lt;&gt;""""))), LEN(INDEX(FILTER(G$1:G2494, G$1:G2494&lt;&gt;""""),COUNTA(FILTER(G$1:G2494, G$1:G2494&lt;&gt;""""))))-1), IF('To Order'!$A2495=COL"&amp;"UMNS($A2495:G2514), G2494&amp;RIGHT(INDIRECT(ADDRESS(ROW(G2495)-1, 'From Order'!$A2495)), 1), G2494))"),"")</f>
        <v/>
      </c>
      <c r="H2495" s="2" t="str">
        <f>IFERROR(__xludf.DUMMYFUNCTION("IF('From Order'!$A2495=COLUMNS($A2495:H2514), LEFT(INDEX(FILTER(H$1:H2494, H$1:H2494&lt;&gt;""""),COUNTA(FILTER(H$1:H2494, H$1:H2494&lt;&gt;""""))), LEN(INDEX(FILTER(H$1:H2494, H$1:H2494&lt;&gt;""""),COUNTA(FILTER(H$1:H2494, H$1:H2494&lt;&gt;""""))))-1), IF('To Order'!$A2495=COL"&amp;"UMNS($A2495:H2514), H2494&amp;RIGHT(INDIRECT(ADDRESS(ROW(H2495)-1, 'From Order'!$A2495)), 1), H2494))"),"TWLLFB")</f>
        <v>TWLLFB</v>
      </c>
      <c r="I2495" s="2" t="str">
        <f>IFERROR(__xludf.DUMMYFUNCTION("IF('From Order'!$A2495=COLUMNS($A2495:I2514), LEFT(INDEX(FILTER(I$1:I2494, I$1:I2494&lt;&gt;""""),COUNTA(FILTER(I$1:I2494, I$1:I2494&lt;&gt;""""))), LEN(INDEX(FILTER(I$1:I2494, I$1:I2494&lt;&gt;""""),COUNTA(FILTER(I$1:I2494, I$1:I2494&lt;&gt;""""))))-1), IF('To Order'!$A2495=COL"&amp;"UMNS($A2495:I2514), I2494&amp;RIGHT(INDIRECT(ADDRESS(ROW(I2495)-1, 'From Order'!$A2495)), 1), I2494))"),"QVVDD")</f>
        <v>QVVDD</v>
      </c>
    </row>
    <row r="2496">
      <c r="A2496" s="2" t="str">
        <f>IFERROR(__xludf.DUMMYFUNCTION("IF('From Order'!$A2496=COLUMNS($A2496:A2515), LEFT(INDEX(FILTER(A$1:A2495, A$1:A2495&lt;&gt;""""),COUNTA(FILTER(A$1:A2495, A$1:A2495&lt;&gt;""""))), LEN(INDEX(FILTER(A$1:A2495, A$1:A2495&lt;&gt;""""),COUNTA(FILTER(A$1:A2495, A$1:A2495&lt;&gt;""""))))-1), IF('To Order'!$A2496=COL"&amp;"UMNS($A2496:A2515), A2495&amp;RIGHT(INDIRECT(ADDRESS(ROW(A2496)-1, 'From Order'!$A2496)), 1), A2495))"),"DRSZ")</f>
        <v>DRSZ</v>
      </c>
      <c r="B2496" s="2" t="str">
        <f>IFERROR(__xludf.DUMMYFUNCTION("IF('From Order'!$A2496=COLUMNS($A2496:B2515), LEFT(INDEX(FILTER(B$1:B2495, B$1:B2495&lt;&gt;""""),COUNTA(FILTER(B$1:B2495, B$1:B2495&lt;&gt;""""))), LEN(INDEX(FILTER(B$1:B2495, B$1:B2495&lt;&gt;""""),COUNTA(FILTER(B$1:B2495, B$1:B2495&lt;&gt;""""))))-1), IF('To Order'!$A2496=COL"&amp;"UMNS($A2496:B2515), B2495&amp;RIGHT(INDIRECT(ADDRESS(ROW(B2496)-1, 'From Order'!$A2496)), 1), B2495))"),"QGW")</f>
        <v>QGW</v>
      </c>
      <c r="C2496" s="2" t="str">
        <f>IFERROR(__xludf.DUMMYFUNCTION("IF('From Order'!$A2496=COLUMNS($A2496:C2515), LEFT(INDEX(FILTER(C$1:C2495, C$1:C2495&lt;&gt;""""),COUNTA(FILTER(C$1:C2495, C$1:C2495&lt;&gt;""""))), LEN(INDEX(FILTER(C$1:C2495, C$1:C2495&lt;&gt;""""),COUNTA(FILTER(C$1:C2495, C$1:C2495&lt;&gt;""""))))-1), IF('To Order'!$A2496=COL"&amp;"UMNS($A2496:C2515), C2495&amp;RIGHT(INDIRECT(ADDRESS(ROW(C2496)-1, 'From Order'!$A2496)), 1), C2495))"),"CDSBH")</f>
        <v>CDSBH</v>
      </c>
      <c r="D2496" s="2" t="str">
        <f>IFERROR(__xludf.DUMMYFUNCTION("IF('From Order'!$A2496=COLUMNS($A2496:D2515), LEFT(INDEX(FILTER(D$1:D2495, D$1:D2495&lt;&gt;""""),COUNTA(FILTER(D$1:D2495, D$1:D2495&lt;&gt;""""))), LEN(INDEX(FILTER(D$1:D2495, D$1:D2495&lt;&gt;""""),COUNTA(FILTER(D$1:D2495, D$1:D2495&lt;&gt;""""))))-1), IF('To Order'!$A2496=COL"&amp;"UMNS($A2496:D2515), D2495&amp;RIGHT(INDIRECT(ADDRESS(ROW(D2496)-1, 'From Order'!$A2496)), 1), D2495))"),"C")</f>
        <v>C</v>
      </c>
      <c r="E2496" s="2" t="str">
        <f>IFERROR(__xludf.DUMMYFUNCTION("IF('From Order'!$A2496=COLUMNS($A2496:E2515), LEFT(INDEX(FILTER(E$1:E2495, E$1:E2495&lt;&gt;""""),COUNTA(FILTER(E$1:E2495, E$1:E2495&lt;&gt;""""))), LEN(INDEX(FILTER(E$1:E2495, E$1:E2495&lt;&gt;""""),COUNTA(FILTER(E$1:E2495, E$1:E2495&lt;&gt;""""))))-1), IF('To Order'!$A2496=COL"&amp;"UMNS($A2496:E2515), E2495&amp;RIGHT(INDIRECT(ADDRESS(ROW(E2496)-1, 'From Order'!$A2496)), 1), E2495))"),"BRPHZMTJBVDB")</f>
        <v>BRPHZMTJBVDB</v>
      </c>
      <c r="F2496" s="2" t="str">
        <f>IFERROR(__xludf.DUMMYFUNCTION("IF('From Order'!$A2496=COLUMNS($A2496:F2515), LEFT(INDEX(FILTER(F$1:F2495, F$1:F2495&lt;&gt;""""),COUNTA(FILTER(F$1:F2495, F$1:F2495&lt;&gt;""""))), LEN(INDEX(FILTER(F$1:F2495, F$1:F2495&lt;&gt;""""),COUNTA(FILTER(F$1:F2495, F$1:F2495&lt;&gt;""""))))-1), IF('To Order'!$A2496=COL"&amp;"UMNS($A2496:F2515), F2495&amp;RIGHT(INDIRECT(ADDRESS(ROW(F2496)-1, 'From Order'!$A2496)), 1), F2495))"),"RSPMGTTMDZFJCTTJRRLPS")</f>
        <v>RSPMGTTMDZFJCTTJRRLPS</v>
      </c>
      <c r="G2496" s="2" t="str">
        <f>IFERROR(__xludf.DUMMYFUNCTION("IF('From Order'!$A2496=COLUMNS($A2496:G2515), LEFT(INDEX(FILTER(G$1:G2495, G$1:G2495&lt;&gt;""""),COUNTA(FILTER(G$1:G2495, G$1:G2495&lt;&gt;""""))), LEN(INDEX(FILTER(G$1:G2495, G$1:G2495&lt;&gt;""""),COUNTA(FILTER(G$1:G2495, G$1:G2495&lt;&gt;""""))))-1), IF('To Order'!$A2496=COL"&amp;"UMNS($A2496:G2515), G2495&amp;RIGHT(INDIRECT(ADDRESS(ROW(G2496)-1, 'From Order'!$A2496)), 1), G2495))"),"")</f>
        <v/>
      </c>
      <c r="H2496" s="2" t="str">
        <f>IFERROR(__xludf.DUMMYFUNCTION("IF('From Order'!$A2496=COLUMNS($A2496:H2515), LEFT(INDEX(FILTER(H$1:H2495, H$1:H2495&lt;&gt;""""),COUNTA(FILTER(H$1:H2495, H$1:H2495&lt;&gt;""""))), LEN(INDEX(FILTER(H$1:H2495, H$1:H2495&lt;&gt;""""),COUNTA(FILTER(H$1:H2495, H$1:H2495&lt;&gt;""""))))-1), IF('To Order'!$A2496=COL"&amp;"UMNS($A2496:H2515), H2495&amp;RIGHT(INDIRECT(ADDRESS(ROW(H2496)-1, 'From Order'!$A2496)), 1), H2495))"),"TWLLF")</f>
        <v>TWLLF</v>
      </c>
      <c r="I2496" s="2" t="str">
        <f>IFERROR(__xludf.DUMMYFUNCTION("IF('From Order'!$A2496=COLUMNS($A2496:I2515), LEFT(INDEX(FILTER(I$1:I2495, I$1:I2495&lt;&gt;""""),COUNTA(FILTER(I$1:I2495, I$1:I2495&lt;&gt;""""))), LEN(INDEX(FILTER(I$1:I2495, I$1:I2495&lt;&gt;""""),COUNTA(FILTER(I$1:I2495, I$1:I2495&lt;&gt;""""))))-1), IF('To Order'!$A2496=COL"&amp;"UMNS($A2496:I2515), I2495&amp;RIGHT(INDIRECT(ADDRESS(ROW(I2496)-1, 'From Order'!$A2496)), 1), I2495))"),"QVVDD")</f>
        <v>QVVDD</v>
      </c>
    </row>
    <row r="2497">
      <c r="A2497" s="2" t="str">
        <f>IFERROR(__xludf.DUMMYFUNCTION("IF('From Order'!$A2497=COLUMNS($A2497:A2516), LEFT(INDEX(FILTER(A$1:A2496, A$1:A2496&lt;&gt;""""),COUNTA(FILTER(A$1:A2496, A$1:A2496&lt;&gt;""""))), LEN(INDEX(FILTER(A$1:A2496, A$1:A2496&lt;&gt;""""),COUNTA(FILTER(A$1:A2496, A$1:A2496&lt;&gt;""""))))-1), IF('To Order'!$A2497=COL"&amp;"UMNS($A2497:A2516), A2496&amp;RIGHT(INDIRECT(ADDRESS(ROW(A2497)-1, 'From Order'!$A2497)), 1), A2496))"),"DRSZ")</f>
        <v>DRSZ</v>
      </c>
      <c r="B2497" s="2" t="str">
        <f>IFERROR(__xludf.DUMMYFUNCTION("IF('From Order'!$A2497=COLUMNS($A2497:B2516), LEFT(INDEX(FILTER(B$1:B2496, B$1:B2496&lt;&gt;""""),COUNTA(FILTER(B$1:B2496, B$1:B2496&lt;&gt;""""))), LEN(INDEX(FILTER(B$1:B2496, B$1:B2496&lt;&gt;""""),COUNTA(FILTER(B$1:B2496, B$1:B2496&lt;&gt;""""))))-1), IF('To Order'!$A2497=COL"&amp;"UMNS($A2497:B2516), B2496&amp;RIGHT(INDIRECT(ADDRESS(ROW(B2497)-1, 'From Order'!$A2497)), 1), B2496))"),"QGW")</f>
        <v>QGW</v>
      </c>
      <c r="C2497" s="2" t="str">
        <f>IFERROR(__xludf.DUMMYFUNCTION("IF('From Order'!$A2497=COLUMNS($A2497:C2516), LEFT(INDEX(FILTER(C$1:C2496, C$1:C2496&lt;&gt;""""),COUNTA(FILTER(C$1:C2496, C$1:C2496&lt;&gt;""""))), LEN(INDEX(FILTER(C$1:C2496, C$1:C2496&lt;&gt;""""),COUNTA(FILTER(C$1:C2496, C$1:C2496&lt;&gt;""""))))-1), IF('To Order'!$A2497=COL"&amp;"UMNS($A2497:C2516), C2496&amp;RIGHT(INDIRECT(ADDRESS(ROW(C2497)-1, 'From Order'!$A2497)), 1), C2496))"),"CDSBH")</f>
        <v>CDSBH</v>
      </c>
      <c r="D2497" s="2" t="str">
        <f>IFERROR(__xludf.DUMMYFUNCTION("IF('From Order'!$A2497=COLUMNS($A2497:D2516), LEFT(INDEX(FILTER(D$1:D2496, D$1:D2496&lt;&gt;""""),COUNTA(FILTER(D$1:D2496, D$1:D2496&lt;&gt;""""))), LEN(INDEX(FILTER(D$1:D2496, D$1:D2496&lt;&gt;""""),COUNTA(FILTER(D$1:D2496, D$1:D2496&lt;&gt;""""))))-1), IF('To Order'!$A2497=COL"&amp;"UMNS($A2497:D2516), D2496&amp;RIGHT(INDIRECT(ADDRESS(ROW(D2497)-1, 'From Order'!$A2497)), 1), D2496))"),"C")</f>
        <v>C</v>
      </c>
      <c r="E2497" s="2" t="str">
        <f>IFERROR(__xludf.DUMMYFUNCTION("IF('From Order'!$A2497=COLUMNS($A2497:E2516), LEFT(INDEX(FILTER(E$1:E2496, E$1:E2496&lt;&gt;""""),COUNTA(FILTER(E$1:E2496, E$1:E2496&lt;&gt;""""))), LEN(INDEX(FILTER(E$1:E2496, E$1:E2496&lt;&gt;""""),COUNTA(FILTER(E$1:E2496, E$1:E2496&lt;&gt;""""))))-1), IF('To Order'!$A2497=COL"&amp;"UMNS($A2497:E2516), E2496&amp;RIGHT(INDIRECT(ADDRESS(ROW(E2497)-1, 'From Order'!$A2497)), 1), E2496))"),"BRPHZMTJBVDBF")</f>
        <v>BRPHZMTJBVDBF</v>
      </c>
      <c r="F2497" s="2" t="str">
        <f>IFERROR(__xludf.DUMMYFUNCTION("IF('From Order'!$A2497=COLUMNS($A2497:F2516), LEFT(INDEX(FILTER(F$1:F2496, F$1:F2496&lt;&gt;""""),COUNTA(FILTER(F$1:F2496, F$1:F2496&lt;&gt;""""))), LEN(INDEX(FILTER(F$1:F2496, F$1:F2496&lt;&gt;""""),COUNTA(FILTER(F$1:F2496, F$1:F2496&lt;&gt;""""))))-1), IF('To Order'!$A2497=COL"&amp;"UMNS($A2497:F2516), F2496&amp;RIGHT(INDIRECT(ADDRESS(ROW(F2497)-1, 'From Order'!$A2497)), 1), F2496))"),"RSPMGTTMDZFJCTTJRRLPS")</f>
        <v>RSPMGTTMDZFJCTTJRRLPS</v>
      </c>
      <c r="G2497" s="2" t="str">
        <f>IFERROR(__xludf.DUMMYFUNCTION("IF('From Order'!$A2497=COLUMNS($A2497:G2516), LEFT(INDEX(FILTER(G$1:G2496, G$1:G2496&lt;&gt;""""),COUNTA(FILTER(G$1:G2496, G$1:G2496&lt;&gt;""""))), LEN(INDEX(FILTER(G$1:G2496, G$1:G2496&lt;&gt;""""),COUNTA(FILTER(G$1:G2496, G$1:G2496&lt;&gt;""""))))-1), IF('To Order'!$A2497=COL"&amp;"UMNS($A2497:G2516), G2496&amp;RIGHT(INDIRECT(ADDRESS(ROW(G2497)-1, 'From Order'!$A2497)), 1), G2496))"),"")</f>
        <v/>
      </c>
      <c r="H2497" s="2" t="str">
        <f>IFERROR(__xludf.DUMMYFUNCTION("IF('From Order'!$A2497=COLUMNS($A2497:H2516), LEFT(INDEX(FILTER(H$1:H2496, H$1:H2496&lt;&gt;""""),COUNTA(FILTER(H$1:H2496, H$1:H2496&lt;&gt;""""))), LEN(INDEX(FILTER(H$1:H2496, H$1:H2496&lt;&gt;""""),COUNTA(FILTER(H$1:H2496, H$1:H2496&lt;&gt;""""))))-1), IF('To Order'!$A2497=COL"&amp;"UMNS($A2497:H2516), H2496&amp;RIGHT(INDIRECT(ADDRESS(ROW(H2497)-1, 'From Order'!$A2497)), 1), H2496))"),"TWLL")</f>
        <v>TWLL</v>
      </c>
      <c r="I2497" s="2" t="str">
        <f>IFERROR(__xludf.DUMMYFUNCTION("IF('From Order'!$A2497=COLUMNS($A2497:I2516), LEFT(INDEX(FILTER(I$1:I2496, I$1:I2496&lt;&gt;""""),COUNTA(FILTER(I$1:I2496, I$1:I2496&lt;&gt;""""))), LEN(INDEX(FILTER(I$1:I2496, I$1:I2496&lt;&gt;""""),COUNTA(FILTER(I$1:I2496, I$1:I2496&lt;&gt;""""))))-1), IF('To Order'!$A2497=COL"&amp;"UMNS($A2497:I2516), I2496&amp;RIGHT(INDIRECT(ADDRESS(ROW(I2497)-1, 'From Order'!$A2497)), 1), I2496))"),"QVVDD")</f>
        <v>QVVDD</v>
      </c>
    </row>
    <row r="2498">
      <c r="A2498" s="2" t="str">
        <f>IFERROR(__xludf.DUMMYFUNCTION("IF('From Order'!$A2498=COLUMNS($A2498:A2517), LEFT(INDEX(FILTER(A$1:A2497, A$1:A2497&lt;&gt;""""),COUNTA(FILTER(A$1:A2497, A$1:A2497&lt;&gt;""""))), LEN(INDEX(FILTER(A$1:A2497, A$1:A2497&lt;&gt;""""),COUNTA(FILTER(A$1:A2497, A$1:A2497&lt;&gt;""""))))-1), IF('To Order'!$A2498=COL"&amp;"UMNS($A2498:A2517), A2497&amp;RIGHT(INDIRECT(ADDRESS(ROW(A2498)-1, 'From Order'!$A2498)), 1), A2497))"),"DRSZ")</f>
        <v>DRSZ</v>
      </c>
      <c r="B2498" s="2" t="str">
        <f>IFERROR(__xludf.DUMMYFUNCTION("IF('From Order'!$A2498=COLUMNS($A2498:B2517), LEFT(INDEX(FILTER(B$1:B2497, B$1:B2497&lt;&gt;""""),COUNTA(FILTER(B$1:B2497, B$1:B2497&lt;&gt;""""))), LEN(INDEX(FILTER(B$1:B2497, B$1:B2497&lt;&gt;""""),COUNTA(FILTER(B$1:B2497, B$1:B2497&lt;&gt;""""))))-1), IF('To Order'!$A2498=COL"&amp;"UMNS($A2498:B2517), B2497&amp;RIGHT(INDIRECT(ADDRESS(ROW(B2498)-1, 'From Order'!$A2498)), 1), B2497))"),"QGW")</f>
        <v>QGW</v>
      </c>
      <c r="C2498" s="2" t="str">
        <f>IFERROR(__xludf.DUMMYFUNCTION("IF('From Order'!$A2498=COLUMNS($A2498:C2517), LEFT(INDEX(FILTER(C$1:C2497, C$1:C2497&lt;&gt;""""),COUNTA(FILTER(C$1:C2497, C$1:C2497&lt;&gt;""""))), LEN(INDEX(FILTER(C$1:C2497, C$1:C2497&lt;&gt;""""),COUNTA(FILTER(C$1:C2497, C$1:C2497&lt;&gt;""""))))-1), IF('To Order'!$A2498=COL"&amp;"UMNS($A2498:C2517), C2497&amp;RIGHT(INDIRECT(ADDRESS(ROW(C2498)-1, 'From Order'!$A2498)), 1), C2497))"),"CDSBH")</f>
        <v>CDSBH</v>
      </c>
      <c r="D2498" s="2" t="str">
        <f>IFERROR(__xludf.DUMMYFUNCTION("IF('From Order'!$A2498=COLUMNS($A2498:D2517), LEFT(INDEX(FILTER(D$1:D2497, D$1:D2497&lt;&gt;""""),COUNTA(FILTER(D$1:D2497, D$1:D2497&lt;&gt;""""))), LEN(INDEX(FILTER(D$1:D2497, D$1:D2497&lt;&gt;""""),COUNTA(FILTER(D$1:D2497, D$1:D2497&lt;&gt;""""))))-1), IF('To Order'!$A2498=COL"&amp;"UMNS($A2498:D2517), D2497&amp;RIGHT(INDIRECT(ADDRESS(ROW(D2498)-1, 'From Order'!$A2498)), 1), D2497))"),"C")</f>
        <v>C</v>
      </c>
      <c r="E2498" s="2" t="str">
        <f>IFERROR(__xludf.DUMMYFUNCTION("IF('From Order'!$A2498=COLUMNS($A2498:E2517), LEFT(INDEX(FILTER(E$1:E2497, E$1:E2497&lt;&gt;""""),COUNTA(FILTER(E$1:E2497, E$1:E2497&lt;&gt;""""))), LEN(INDEX(FILTER(E$1:E2497, E$1:E2497&lt;&gt;""""),COUNTA(FILTER(E$1:E2497, E$1:E2497&lt;&gt;""""))))-1), IF('To Order'!$A2498=COL"&amp;"UMNS($A2498:E2517), E2497&amp;RIGHT(INDIRECT(ADDRESS(ROW(E2498)-1, 'From Order'!$A2498)), 1), E2497))"),"BRPHZMTJBVDBFL")</f>
        <v>BRPHZMTJBVDBFL</v>
      </c>
      <c r="F2498" s="2" t="str">
        <f>IFERROR(__xludf.DUMMYFUNCTION("IF('From Order'!$A2498=COLUMNS($A2498:F2517), LEFT(INDEX(FILTER(F$1:F2497, F$1:F2497&lt;&gt;""""),COUNTA(FILTER(F$1:F2497, F$1:F2497&lt;&gt;""""))), LEN(INDEX(FILTER(F$1:F2497, F$1:F2497&lt;&gt;""""),COUNTA(FILTER(F$1:F2497, F$1:F2497&lt;&gt;""""))))-1), IF('To Order'!$A2498=COL"&amp;"UMNS($A2498:F2517), F2497&amp;RIGHT(INDIRECT(ADDRESS(ROW(F2498)-1, 'From Order'!$A2498)), 1), F2497))"),"RSPMGTTMDZFJCTTJRRLPS")</f>
        <v>RSPMGTTMDZFJCTTJRRLPS</v>
      </c>
      <c r="G2498" s="2" t="str">
        <f>IFERROR(__xludf.DUMMYFUNCTION("IF('From Order'!$A2498=COLUMNS($A2498:G2517), LEFT(INDEX(FILTER(G$1:G2497, G$1:G2497&lt;&gt;""""),COUNTA(FILTER(G$1:G2497, G$1:G2497&lt;&gt;""""))), LEN(INDEX(FILTER(G$1:G2497, G$1:G2497&lt;&gt;""""),COUNTA(FILTER(G$1:G2497, G$1:G2497&lt;&gt;""""))))-1), IF('To Order'!$A2498=COL"&amp;"UMNS($A2498:G2517), G2497&amp;RIGHT(INDIRECT(ADDRESS(ROW(G2498)-1, 'From Order'!$A2498)), 1), G2497))"),"")</f>
        <v/>
      </c>
      <c r="H2498" s="2" t="str">
        <f>IFERROR(__xludf.DUMMYFUNCTION("IF('From Order'!$A2498=COLUMNS($A2498:H2517), LEFT(INDEX(FILTER(H$1:H2497, H$1:H2497&lt;&gt;""""),COUNTA(FILTER(H$1:H2497, H$1:H2497&lt;&gt;""""))), LEN(INDEX(FILTER(H$1:H2497, H$1:H2497&lt;&gt;""""),COUNTA(FILTER(H$1:H2497, H$1:H2497&lt;&gt;""""))))-1), IF('To Order'!$A2498=COL"&amp;"UMNS($A2498:H2517), H2497&amp;RIGHT(INDIRECT(ADDRESS(ROW(H2498)-1, 'From Order'!$A2498)), 1), H2497))"),"TWL")</f>
        <v>TWL</v>
      </c>
      <c r="I2498" s="2" t="str">
        <f>IFERROR(__xludf.DUMMYFUNCTION("IF('From Order'!$A2498=COLUMNS($A2498:I2517), LEFT(INDEX(FILTER(I$1:I2497, I$1:I2497&lt;&gt;""""),COUNTA(FILTER(I$1:I2497, I$1:I2497&lt;&gt;""""))), LEN(INDEX(FILTER(I$1:I2497, I$1:I2497&lt;&gt;""""),COUNTA(FILTER(I$1:I2497, I$1:I2497&lt;&gt;""""))))-1), IF('To Order'!$A2498=COL"&amp;"UMNS($A2498:I2517), I2497&amp;RIGHT(INDIRECT(ADDRESS(ROW(I2498)-1, 'From Order'!$A2498)), 1), I2497))"),"QVVDD")</f>
        <v>QVVDD</v>
      </c>
    </row>
    <row r="2499">
      <c r="A2499" s="2" t="str">
        <f>IFERROR(__xludf.DUMMYFUNCTION("IF('From Order'!$A2499=COLUMNS($A2499:A2518), LEFT(INDEX(FILTER(A$1:A2498, A$1:A2498&lt;&gt;""""),COUNTA(FILTER(A$1:A2498, A$1:A2498&lt;&gt;""""))), LEN(INDEX(FILTER(A$1:A2498, A$1:A2498&lt;&gt;""""),COUNTA(FILTER(A$1:A2498, A$1:A2498&lt;&gt;""""))))-1), IF('To Order'!$A2499=COL"&amp;"UMNS($A2499:A2518), A2498&amp;RIGHT(INDIRECT(ADDRESS(ROW(A2499)-1, 'From Order'!$A2499)), 1), A2498))"),"DRSZ")</f>
        <v>DRSZ</v>
      </c>
      <c r="B2499" s="2" t="str">
        <f>IFERROR(__xludf.DUMMYFUNCTION("IF('From Order'!$A2499=COLUMNS($A2499:B2518), LEFT(INDEX(FILTER(B$1:B2498, B$1:B2498&lt;&gt;""""),COUNTA(FILTER(B$1:B2498, B$1:B2498&lt;&gt;""""))), LEN(INDEX(FILTER(B$1:B2498, B$1:B2498&lt;&gt;""""),COUNTA(FILTER(B$1:B2498, B$1:B2498&lt;&gt;""""))))-1), IF('To Order'!$A2499=COL"&amp;"UMNS($A2499:B2518), B2498&amp;RIGHT(INDIRECT(ADDRESS(ROW(B2499)-1, 'From Order'!$A2499)), 1), B2498))"),"QGW")</f>
        <v>QGW</v>
      </c>
      <c r="C2499" s="2" t="str">
        <f>IFERROR(__xludf.DUMMYFUNCTION("IF('From Order'!$A2499=COLUMNS($A2499:C2518), LEFT(INDEX(FILTER(C$1:C2498, C$1:C2498&lt;&gt;""""),COUNTA(FILTER(C$1:C2498, C$1:C2498&lt;&gt;""""))), LEN(INDEX(FILTER(C$1:C2498, C$1:C2498&lt;&gt;""""),COUNTA(FILTER(C$1:C2498, C$1:C2498&lt;&gt;""""))))-1), IF('To Order'!$A2499=COL"&amp;"UMNS($A2499:C2518), C2498&amp;RIGHT(INDIRECT(ADDRESS(ROW(C2499)-1, 'From Order'!$A2499)), 1), C2498))"),"CDSBHL")</f>
        <v>CDSBHL</v>
      </c>
      <c r="D2499" s="2" t="str">
        <f>IFERROR(__xludf.DUMMYFUNCTION("IF('From Order'!$A2499=COLUMNS($A2499:D2518), LEFT(INDEX(FILTER(D$1:D2498, D$1:D2498&lt;&gt;""""),COUNTA(FILTER(D$1:D2498, D$1:D2498&lt;&gt;""""))), LEN(INDEX(FILTER(D$1:D2498, D$1:D2498&lt;&gt;""""),COUNTA(FILTER(D$1:D2498, D$1:D2498&lt;&gt;""""))))-1), IF('To Order'!$A2499=COL"&amp;"UMNS($A2499:D2518), D2498&amp;RIGHT(INDIRECT(ADDRESS(ROW(D2499)-1, 'From Order'!$A2499)), 1), D2498))"),"C")</f>
        <v>C</v>
      </c>
      <c r="E2499" s="2" t="str">
        <f>IFERROR(__xludf.DUMMYFUNCTION("IF('From Order'!$A2499=COLUMNS($A2499:E2518), LEFT(INDEX(FILTER(E$1:E2498, E$1:E2498&lt;&gt;""""),COUNTA(FILTER(E$1:E2498, E$1:E2498&lt;&gt;""""))), LEN(INDEX(FILTER(E$1:E2498, E$1:E2498&lt;&gt;""""),COUNTA(FILTER(E$1:E2498, E$1:E2498&lt;&gt;""""))))-1), IF('To Order'!$A2499=COL"&amp;"UMNS($A2499:E2518), E2498&amp;RIGHT(INDIRECT(ADDRESS(ROW(E2499)-1, 'From Order'!$A2499)), 1), E2498))"),"BRPHZMTJBVDBFL")</f>
        <v>BRPHZMTJBVDBFL</v>
      </c>
      <c r="F2499" s="2" t="str">
        <f>IFERROR(__xludf.DUMMYFUNCTION("IF('From Order'!$A2499=COLUMNS($A2499:F2518), LEFT(INDEX(FILTER(F$1:F2498, F$1:F2498&lt;&gt;""""),COUNTA(FILTER(F$1:F2498, F$1:F2498&lt;&gt;""""))), LEN(INDEX(FILTER(F$1:F2498, F$1:F2498&lt;&gt;""""),COUNTA(FILTER(F$1:F2498, F$1:F2498&lt;&gt;""""))))-1), IF('To Order'!$A2499=COL"&amp;"UMNS($A2499:F2518), F2498&amp;RIGHT(INDIRECT(ADDRESS(ROW(F2499)-1, 'From Order'!$A2499)), 1), F2498))"),"RSPMGTTMDZFJCTTJRRLPS")</f>
        <v>RSPMGTTMDZFJCTTJRRLPS</v>
      </c>
      <c r="G2499" s="2" t="str">
        <f>IFERROR(__xludf.DUMMYFUNCTION("IF('From Order'!$A2499=COLUMNS($A2499:G2518), LEFT(INDEX(FILTER(G$1:G2498, G$1:G2498&lt;&gt;""""),COUNTA(FILTER(G$1:G2498, G$1:G2498&lt;&gt;""""))), LEN(INDEX(FILTER(G$1:G2498, G$1:G2498&lt;&gt;""""),COUNTA(FILTER(G$1:G2498, G$1:G2498&lt;&gt;""""))))-1), IF('To Order'!$A2499=COL"&amp;"UMNS($A2499:G2518), G2498&amp;RIGHT(INDIRECT(ADDRESS(ROW(G2499)-1, 'From Order'!$A2499)), 1), G2498))"),"")</f>
        <v/>
      </c>
      <c r="H2499" s="2" t="str">
        <f>IFERROR(__xludf.DUMMYFUNCTION("IF('From Order'!$A2499=COLUMNS($A2499:H2518), LEFT(INDEX(FILTER(H$1:H2498, H$1:H2498&lt;&gt;""""),COUNTA(FILTER(H$1:H2498, H$1:H2498&lt;&gt;""""))), LEN(INDEX(FILTER(H$1:H2498, H$1:H2498&lt;&gt;""""),COUNTA(FILTER(H$1:H2498, H$1:H2498&lt;&gt;""""))))-1), IF('To Order'!$A2499=COL"&amp;"UMNS($A2499:H2518), H2498&amp;RIGHT(INDIRECT(ADDRESS(ROW(H2499)-1, 'From Order'!$A2499)), 1), H2498))"),"TW")</f>
        <v>TW</v>
      </c>
      <c r="I2499" s="2" t="str">
        <f>IFERROR(__xludf.DUMMYFUNCTION("IF('From Order'!$A2499=COLUMNS($A2499:I2518), LEFT(INDEX(FILTER(I$1:I2498, I$1:I2498&lt;&gt;""""),COUNTA(FILTER(I$1:I2498, I$1:I2498&lt;&gt;""""))), LEN(INDEX(FILTER(I$1:I2498, I$1:I2498&lt;&gt;""""),COUNTA(FILTER(I$1:I2498, I$1:I2498&lt;&gt;""""))))-1), IF('To Order'!$A2499=COL"&amp;"UMNS($A2499:I2518), I2498&amp;RIGHT(INDIRECT(ADDRESS(ROW(I2499)-1, 'From Order'!$A2499)), 1), I2498))"),"QVVDD")</f>
        <v>QVVDD</v>
      </c>
    </row>
    <row r="2500">
      <c r="A2500" s="2" t="str">
        <f>IFERROR(__xludf.DUMMYFUNCTION("IF('From Order'!$A2500=COLUMNS($A2500:A2519), LEFT(INDEX(FILTER(A$1:A2499, A$1:A2499&lt;&gt;""""),COUNTA(FILTER(A$1:A2499, A$1:A2499&lt;&gt;""""))), LEN(INDEX(FILTER(A$1:A2499, A$1:A2499&lt;&gt;""""),COUNTA(FILTER(A$1:A2499, A$1:A2499&lt;&gt;""""))))-1), IF('To Order'!$A2500=COL"&amp;"UMNS($A2500:A2519), A2499&amp;RIGHT(INDIRECT(ADDRESS(ROW(A2500)-1, 'From Order'!$A2500)), 1), A2499))"),"DRSZ")</f>
        <v>DRSZ</v>
      </c>
      <c r="B2500" s="2" t="str">
        <f>IFERROR(__xludf.DUMMYFUNCTION("IF('From Order'!$A2500=COLUMNS($A2500:B2519), LEFT(INDEX(FILTER(B$1:B2499, B$1:B2499&lt;&gt;""""),COUNTA(FILTER(B$1:B2499, B$1:B2499&lt;&gt;""""))), LEN(INDEX(FILTER(B$1:B2499, B$1:B2499&lt;&gt;""""),COUNTA(FILTER(B$1:B2499, B$1:B2499&lt;&gt;""""))))-1), IF('To Order'!$A2500=COL"&amp;"UMNS($A2500:B2519), B2499&amp;RIGHT(INDIRECT(ADDRESS(ROW(B2500)-1, 'From Order'!$A2500)), 1), B2499))"),"QGW")</f>
        <v>QGW</v>
      </c>
      <c r="C2500" s="2" t="str">
        <f>IFERROR(__xludf.DUMMYFUNCTION("IF('From Order'!$A2500=COLUMNS($A2500:C2519), LEFT(INDEX(FILTER(C$1:C2499, C$1:C2499&lt;&gt;""""),COUNTA(FILTER(C$1:C2499, C$1:C2499&lt;&gt;""""))), LEN(INDEX(FILTER(C$1:C2499, C$1:C2499&lt;&gt;""""),COUNTA(FILTER(C$1:C2499, C$1:C2499&lt;&gt;""""))))-1), IF('To Order'!$A2500=COL"&amp;"UMNS($A2500:C2519), C2499&amp;RIGHT(INDIRECT(ADDRESS(ROW(C2500)-1, 'From Order'!$A2500)), 1), C2499))"),"CDSBHLW")</f>
        <v>CDSBHLW</v>
      </c>
      <c r="D2500" s="2" t="str">
        <f>IFERROR(__xludf.DUMMYFUNCTION("IF('From Order'!$A2500=COLUMNS($A2500:D2519), LEFT(INDEX(FILTER(D$1:D2499, D$1:D2499&lt;&gt;""""),COUNTA(FILTER(D$1:D2499, D$1:D2499&lt;&gt;""""))), LEN(INDEX(FILTER(D$1:D2499, D$1:D2499&lt;&gt;""""),COUNTA(FILTER(D$1:D2499, D$1:D2499&lt;&gt;""""))))-1), IF('To Order'!$A2500=COL"&amp;"UMNS($A2500:D2519), D2499&amp;RIGHT(INDIRECT(ADDRESS(ROW(D2500)-1, 'From Order'!$A2500)), 1), D2499))"),"C")</f>
        <v>C</v>
      </c>
      <c r="E2500" s="2" t="str">
        <f>IFERROR(__xludf.DUMMYFUNCTION("IF('From Order'!$A2500=COLUMNS($A2500:E2519), LEFT(INDEX(FILTER(E$1:E2499, E$1:E2499&lt;&gt;""""),COUNTA(FILTER(E$1:E2499, E$1:E2499&lt;&gt;""""))), LEN(INDEX(FILTER(E$1:E2499, E$1:E2499&lt;&gt;""""),COUNTA(FILTER(E$1:E2499, E$1:E2499&lt;&gt;""""))))-1), IF('To Order'!$A2500=COL"&amp;"UMNS($A2500:E2519), E2499&amp;RIGHT(INDIRECT(ADDRESS(ROW(E2500)-1, 'From Order'!$A2500)), 1), E2499))"),"BRPHZMTJBVDBFL")</f>
        <v>BRPHZMTJBVDBFL</v>
      </c>
      <c r="F2500" s="2" t="str">
        <f>IFERROR(__xludf.DUMMYFUNCTION("IF('From Order'!$A2500=COLUMNS($A2500:F2519), LEFT(INDEX(FILTER(F$1:F2499, F$1:F2499&lt;&gt;""""),COUNTA(FILTER(F$1:F2499, F$1:F2499&lt;&gt;""""))), LEN(INDEX(FILTER(F$1:F2499, F$1:F2499&lt;&gt;""""),COUNTA(FILTER(F$1:F2499, F$1:F2499&lt;&gt;""""))))-1), IF('To Order'!$A2500=COL"&amp;"UMNS($A2500:F2519), F2499&amp;RIGHT(INDIRECT(ADDRESS(ROW(F2500)-1, 'From Order'!$A2500)), 1), F2499))"),"RSPMGTTMDZFJCTTJRRLPS")</f>
        <v>RSPMGTTMDZFJCTTJRRLPS</v>
      </c>
      <c r="G2500" s="2" t="str">
        <f>IFERROR(__xludf.DUMMYFUNCTION("IF('From Order'!$A2500=COLUMNS($A2500:G2519), LEFT(INDEX(FILTER(G$1:G2499, G$1:G2499&lt;&gt;""""),COUNTA(FILTER(G$1:G2499, G$1:G2499&lt;&gt;""""))), LEN(INDEX(FILTER(G$1:G2499, G$1:G2499&lt;&gt;""""),COUNTA(FILTER(G$1:G2499, G$1:G2499&lt;&gt;""""))))-1), IF('To Order'!$A2500=COL"&amp;"UMNS($A2500:G2519), G2499&amp;RIGHT(INDIRECT(ADDRESS(ROW(G2500)-1, 'From Order'!$A2500)), 1), G2499))"),"")</f>
        <v/>
      </c>
      <c r="H2500" s="2" t="str">
        <f>IFERROR(__xludf.DUMMYFUNCTION("IF('From Order'!$A2500=COLUMNS($A2500:H2519), LEFT(INDEX(FILTER(H$1:H2499, H$1:H2499&lt;&gt;""""),COUNTA(FILTER(H$1:H2499, H$1:H2499&lt;&gt;""""))), LEN(INDEX(FILTER(H$1:H2499, H$1:H2499&lt;&gt;""""),COUNTA(FILTER(H$1:H2499, H$1:H2499&lt;&gt;""""))))-1), IF('To Order'!$A2500=COL"&amp;"UMNS($A2500:H2519), H2499&amp;RIGHT(INDIRECT(ADDRESS(ROW(H2500)-1, 'From Order'!$A2500)), 1), H2499))"),"T")</f>
        <v>T</v>
      </c>
      <c r="I2500" s="2" t="str">
        <f>IFERROR(__xludf.DUMMYFUNCTION("IF('From Order'!$A2500=COLUMNS($A2500:I2519), LEFT(INDEX(FILTER(I$1:I2499, I$1:I2499&lt;&gt;""""),COUNTA(FILTER(I$1:I2499, I$1:I2499&lt;&gt;""""))), LEN(INDEX(FILTER(I$1:I2499, I$1:I2499&lt;&gt;""""),COUNTA(FILTER(I$1:I2499, I$1:I2499&lt;&gt;""""))))-1), IF('To Order'!$A2500=COL"&amp;"UMNS($A2500:I2519), I2499&amp;RIGHT(INDIRECT(ADDRESS(ROW(I2500)-1, 'From Order'!$A2500)), 1), I2499))"),"QVVDD")</f>
        <v>QVVDD</v>
      </c>
    </row>
    <row r="2501">
      <c r="A2501" s="2" t="str">
        <f>IFERROR(__xludf.DUMMYFUNCTION("IF('From Order'!$A2501=COLUMNS($A2501:A2520), LEFT(INDEX(FILTER(A$1:A2500, A$1:A2500&lt;&gt;""""),COUNTA(FILTER(A$1:A2500, A$1:A2500&lt;&gt;""""))), LEN(INDEX(FILTER(A$1:A2500, A$1:A2500&lt;&gt;""""),COUNTA(FILTER(A$1:A2500, A$1:A2500&lt;&gt;""""))))-1), IF('To Order'!$A2501=COL"&amp;"UMNS($A2501:A2520), A2500&amp;RIGHT(INDIRECT(ADDRESS(ROW(A2501)-1, 'From Order'!$A2501)), 1), A2500))"),"DRSZ")</f>
        <v>DRSZ</v>
      </c>
      <c r="B2501" s="2" t="str">
        <f>IFERROR(__xludf.DUMMYFUNCTION("IF('From Order'!$A2501=COLUMNS($A2501:B2520), LEFT(INDEX(FILTER(B$1:B2500, B$1:B2500&lt;&gt;""""),COUNTA(FILTER(B$1:B2500, B$1:B2500&lt;&gt;""""))), LEN(INDEX(FILTER(B$1:B2500, B$1:B2500&lt;&gt;""""),COUNTA(FILTER(B$1:B2500, B$1:B2500&lt;&gt;""""))))-1), IF('To Order'!$A2501=COL"&amp;"UMNS($A2501:B2520), B2500&amp;RIGHT(INDIRECT(ADDRESS(ROW(B2501)-1, 'From Order'!$A2501)), 1), B2500))"),"QGWW")</f>
        <v>QGWW</v>
      </c>
      <c r="C2501" s="2" t="str">
        <f>IFERROR(__xludf.DUMMYFUNCTION("IF('From Order'!$A2501=COLUMNS($A2501:C2520), LEFT(INDEX(FILTER(C$1:C2500, C$1:C2500&lt;&gt;""""),COUNTA(FILTER(C$1:C2500, C$1:C2500&lt;&gt;""""))), LEN(INDEX(FILTER(C$1:C2500, C$1:C2500&lt;&gt;""""),COUNTA(FILTER(C$1:C2500, C$1:C2500&lt;&gt;""""))))-1), IF('To Order'!$A2501=COL"&amp;"UMNS($A2501:C2520), C2500&amp;RIGHT(INDIRECT(ADDRESS(ROW(C2501)-1, 'From Order'!$A2501)), 1), C2500))"),"CDSBHL")</f>
        <v>CDSBHL</v>
      </c>
      <c r="D2501" s="2" t="str">
        <f>IFERROR(__xludf.DUMMYFUNCTION("IF('From Order'!$A2501=COLUMNS($A2501:D2520), LEFT(INDEX(FILTER(D$1:D2500, D$1:D2500&lt;&gt;""""),COUNTA(FILTER(D$1:D2500, D$1:D2500&lt;&gt;""""))), LEN(INDEX(FILTER(D$1:D2500, D$1:D2500&lt;&gt;""""),COUNTA(FILTER(D$1:D2500, D$1:D2500&lt;&gt;""""))))-1), IF('To Order'!$A2501=COL"&amp;"UMNS($A2501:D2520), D2500&amp;RIGHT(INDIRECT(ADDRESS(ROW(D2501)-1, 'From Order'!$A2501)), 1), D2500))"),"C")</f>
        <v>C</v>
      </c>
      <c r="E2501" s="2" t="str">
        <f>IFERROR(__xludf.DUMMYFUNCTION("IF('From Order'!$A2501=COLUMNS($A2501:E2520), LEFT(INDEX(FILTER(E$1:E2500, E$1:E2500&lt;&gt;""""),COUNTA(FILTER(E$1:E2500, E$1:E2500&lt;&gt;""""))), LEN(INDEX(FILTER(E$1:E2500, E$1:E2500&lt;&gt;""""),COUNTA(FILTER(E$1:E2500, E$1:E2500&lt;&gt;""""))))-1), IF('To Order'!$A2501=COL"&amp;"UMNS($A2501:E2520), E2500&amp;RIGHT(INDIRECT(ADDRESS(ROW(E2501)-1, 'From Order'!$A2501)), 1), E2500))"),"BRPHZMTJBVDBFL")</f>
        <v>BRPHZMTJBVDBFL</v>
      </c>
      <c r="F2501" s="2" t="str">
        <f>IFERROR(__xludf.DUMMYFUNCTION("IF('From Order'!$A2501=COLUMNS($A2501:F2520), LEFT(INDEX(FILTER(F$1:F2500, F$1:F2500&lt;&gt;""""),COUNTA(FILTER(F$1:F2500, F$1:F2500&lt;&gt;""""))), LEN(INDEX(FILTER(F$1:F2500, F$1:F2500&lt;&gt;""""),COUNTA(FILTER(F$1:F2500, F$1:F2500&lt;&gt;""""))))-1), IF('To Order'!$A2501=COL"&amp;"UMNS($A2501:F2520), F2500&amp;RIGHT(INDIRECT(ADDRESS(ROW(F2501)-1, 'From Order'!$A2501)), 1), F2500))"),"RSPMGTTMDZFJCTTJRRLPS")</f>
        <v>RSPMGTTMDZFJCTTJRRLPS</v>
      </c>
      <c r="G2501" s="2" t="str">
        <f>IFERROR(__xludf.DUMMYFUNCTION("IF('From Order'!$A2501=COLUMNS($A2501:G2520), LEFT(INDEX(FILTER(G$1:G2500, G$1:G2500&lt;&gt;""""),COUNTA(FILTER(G$1:G2500, G$1:G2500&lt;&gt;""""))), LEN(INDEX(FILTER(G$1:G2500, G$1:G2500&lt;&gt;""""),COUNTA(FILTER(G$1:G2500, G$1:G2500&lt;&gt;""""))))-1), IF('To Order'!$A2501=COL"&amp;"UMNS($A2501:G2520), G2500&amp;RIGHT(INDIRECT(ADDRESS(ROW(G2501)-1, 'From Order'!$A2501)), 1), G2500))"),"")</f>
        <v/>
      </c>
      <c r="H2501" s="2" t="str">
        <f>IFERROR(__xludf.DUMMYFUNCTION("IF('From Order'!$A2501=COLUMNS($A2501:H2520), LEFT(INDEX(FILTER(H$1:H2500, H$1:H2500&lt;&gt;""""),COUNTA(FILTER(H$1:H2500, H$1:H2500&lt;&gt;""""))), LEN(INDEX(FILTER(H$1:H2500, H$1:H2500&lt;&gt;""""),COUNTA(FILTER(H$1:H2500, H$1:H2500&lt;&gt;""""))))-1), IF('To Order'!$A2501=COL"&amp;"UMNS($A2501:H2520), H2500&amp;RIGHT(INDIRECT(ADDRESS(ROW(H2501)-1, 'From Order'!$A2501)), 1), H2500))"),"T")</f>
        <v>T</v>
      </c>
      <c r="I2501" s="2" t="str">
        <f>IFERROR(__xludf.DUMMYFUNCTION("IF('From Order'!$A2501=COLUMNS($A2501:I2520), LEFT(INDEX(FILTER(I$1:I2500, I$1:I2500&lt;&gt;""""),COUNTA(FILTER(I$1:I2500, I$1:I2500&lt;&gt;""""))), LEN(INDEX(FILTER(I$1:I2500, I$1:I2500&lt;&gt;""""),COUNTA(FILTER(I$1:I2500, I$1:I2500&lt;&gt;""""))))-1), IF('To Order'!$A2501=COL"&amp;"UMNS($A2501:I2520), I2500&amp;RIGHT(INDIRECT(ADDRESS(ROW(I2501)-1, 'From Order'!$A2501)), 1), I2500))"),"QVVDD")</f>
        <v>QVVDD</v>
      </c>
    </row>
    <row r="2502">
      <c r="A2502" s="2" t="str">
        <f>IFERROR(__xludf.DUMMYFUNCTION("IF('From Order'!$A2502=COLUMNS($A2502:A2521), LEFT(INDEX(FILTER(A$1:A2501, A$1:A2501&lt;&gt;""""),COUNTA(FILTER(A$1:A2501, A$1:A2501&lt;&gt;""""))), LEN(INDEX(FILTER(A$1:A2501, A$1:A2501&lt;&gt;""""),COUNTA(FILTER(A$1:A2501, A$1:A2501&lt;&gt;""""))))-1), IF('To Order'!$A2502=COL"&amp;"UMNS($A2502:A2521), A2501&amp;RIGHT(INDIRECT(ADDRESS(ROW(A2502)-1, 'From Order'!$A2502)), 1), A2501))"),"DRSZ")</f>
        <v>DRSZ</v>
      </c>
      <c r="B2502" s="2" t="str">
        <f>IFERROR(__xludf.DUMMYFUNCTION("IF('From Order'!$A2502=COLUMNS($A2502:B2521), LEFT(INDEX(FILTER(B$1:B2501, B$1:B2501&lt;&gt;""""),COUNTA(FILTER(B$1:B2501, B$1:B2501&lt;&gt;""""))), LEN(INDEX(FILTER(B$1:B2501, B$1:B2501&lt;&gt;""""),COUNTA(FILTER(B$1:B2501, B$1:B2501&lt;&gt;""""))))-1), IF('To Order'!$A2502=COL"&amp;"UMNS($A2502:B2521), B2501&amp;RIGHT(INDIRECT(ADDRESS(ROW(B2502)-1, 'From Order'!$A2502)), 1), B2501))"),"QGWWL")</f>
        <v>QGWWL</v>
      </c>
      <c r="C2502" s="2" t="str">
        <f>IFERROR(__xludf.DUMMYFUNCTION("IF('From Order'!$A2502=COLUMNS($A2502:C2521), LEFT(INDEX(FILTER(C$1:C2501, C$1:C2501&lt;&gt;""""),COUNTA(FILTER(C$1:C2501, C$1:C2501&lt;&gt;""""))), LEN(INDEX(FILTER(C$1:C2501, C$1:C2501&lt;&gt;""""),COUNTA(FILTER(C$1:C2501, C$1:C2501&lt;&gt;""""))))-1), IF('To Order'!$A2502=COL"&amp;"UMNS($A2502:C2521), C2501&amp;RIGHT(INDIRECT(ADDRESS(ROW(C2502)-1, 'From Order'!$A2502)), 1), C2501))"),"CDSBH")</f>
        <v>CDSBH</v>
      </c>
      <c r="D2502" s="2" t="str">
        <f>IFERROR(__xludf.DUMMYFUNCTION("IF('From Order'!$A2502=COLUMNS($A2502:D2521), LEFT(INDEX(FILTER(D$1:D2501, D$1:D2501&lt;&gt;""""),COUNTA(FILTER(D$1:D2501, D$1:D2501&lt;&gt;""""))), LEN(INDEX(FILTER(D$1:D2501, D$1:D2501&lt;&gt;""""),COUNTA(FILTER(D$1:D2501, D$1:D2501&lt;&gt;""""))))-1), IF('To Order'!$A2502=COL"&amp;"UMNS($A2502:D2521), D2501&amp;RIGHT(INDIRECT(ADDRESS(ROW(D2502)-1, 'From Order'!$A2502)), 1), D2501))"),"C")</f>
        <v>C</v>
      </c>
      <c r="E2502" s="2" t="str">
        <f>IFERROR(__xludf.DUMMYFUNCTION("IF('From Order'!$A2502=COLUMNS($A2502:E2521), LEFT(INDEX(FILTER(E$1:E2501, E$1:E2501&lt;&gt;""""),COUNTA(FILTER(E$1:E2501, E$1:E2501&lt;&gt;""""))), LEN(INDEX(FILTER(E$1:E2501, E$1:E2501&lt;&gt;""""),COUNTA(FILTER(E$1:E2501, E$1:E2501&lt;&gt;""""))))-1), IF('To Order'!$A2502=COL"&amp;"UMNS($A2502:E2521), E2501&amp;RIGHT(INDIRECT(ADDRESS(ROW(E2502)-1, 'From Order'!$A2502)), 1), E2501))"),"BRPHZMTJBVDBFL")</f>
        <v>BRPHZMTJBVDBFL</v>
      </c>
      <c r="F2502" s="2" t="str">
        <f>IFERROR(__xludf.DUMMYFUNCTION("IF('From Order'!$A2502=COLUMNS($A2502:F2521), LEFT(INDEX(FILTER(F$1:F2501, F$1:F2501&lt;&gt;""""),COUNTA(FILTER(F$1:F2501, F$1:F2501&lt;&gt;""""))), LEN(INDEX(FILTER(F$1:F2501, F$1:F2501&lt;&gt;""""),COUNTA(FILTER(F$1:F2501, F$1:F2501&lt;&gt;""""))))-1), IF('To Order'!$A2502=COL"&amp;"UMNS($A2502:F2521), F2501&amp;RIGHT(INDIRECT(ADDRESS(ROW(F2502)-1, 'From Order'!$A2502)), 1), F2501))"),"RSPMGTTMDZFJCTTJRRLPS")</f>
        <v>RSPMGTTMDZFJCTTJRRLPS</v>
      </c>
      <c r="G2502" s="2" t="str">
        <f>IFERROR(__xludf.DUMMYFUNCTION("IF('From Order'!$A2502=COLUMNS($A2502:G2521), LEFT(INDEX(FILTER(G$1:G2501, G$1:G2501&lt;&gt;""""),COUNTA(FILTER(G$1:G2501, G$1:G2501&lt;&gt;""""))), LEN(INDEX(FILTER(G$1:G2501, G$1:G2501&lt;&gt;""""),COUNTA(FILTER(G$1:G2501, G$1:G2501&lt;&gt;""""))))-1), IF('To Order'!$A2502=COL"&amp;"UMNS($A2502:G2521), G2501&amp;RIGHT(INDIRECT(ADDRESS(ROW(G2502)-1, 'From Order'!$A2502)), 1), G2501))"),"")</f>
        <v/>
      </c>
      <c r="H2502" s="2" t="str">
        <f>IFERROR(__xludf.DUMMYFUNCTION("IF('From Order'!$A2502=COLUMNS($A2502:H2521), LEFT(INDEX(FILTER(H$1:H2501, H$1:H2501&lt;&gt;""""),COUNTA(FILTER(H$1:H2501, H$1:H2501&lt;&gt;""""))), LEN(INDEX(FILTER(H$1:H2501, H$1:H2501&lt;&gt;""""),COUNTA(FILTER(H$1:H2501, H$1:H2501&lt;&gt;""""))))-1), IF('To Order'!$A2502=COL"&amp;"UMNS($A2502:H2521), H2501&amp;RIGHT(INDIRECT(ADDRESS(ROW(H2502)-1, 'From Order'!$A2502)), 1), H2501))"),"T")</f>
        <v>T</v>
      </c>
      <c r="I2502" s="2" t="str">
        <f>IFERROR(__xludf.DUMMYFUNCTION("IF('From Order'!$A2502=COLUMNS($A2502:I2521), LEFT(INDEX(FILTER(I$1:I2501, I$1:I2501&lt;&gt;""""),COUNTA(FILTER(I$1:I2501, I$1:I2501&lt;&gt;""""))), LEN(INDEX(FILTER(I$1:I2501, I$1:I2501&lt;&gt;""""),COUNTA(FILTER(I$1:I2501, I$1:I2501&lt;&gt;""""))))-1), IF('To Order'!$A2502=COL"&amp;"UMNS($A2502:I2521), I2501&amp;RIGHT(INDIRECT(ADDRESS(ROW(I2502)-1, 'From Order'!$A2502)), 1), I2501))"),"QVVDD")</f>
        <v>QVVDD</v>
      </c>
    </row>
    <row r="2503">
      <c r="A2503" s="2" t="str">
        <f>IFERROR(__xludf.DUMMYFUNCTION("IF('From Order'!$A2503=COLUMNS($A2503:A2522), LEFT(INDEX(FILTER(A$1:A2502, A$1:A2502&lt;&gt;""""),COUNTA(FILTER(A$1:A2502, A$1:A2502&lt;&gt;""""))), LEN(INDEX(FILTER(A$1:A2502, A$1:A2502&lt;&gt;""""),COUNTA(FILTER(A$1:A2502, A$1:A2502&lt;&gt;""""))))-1), IF('To Order'!$A2503=COL"&amp;"UMNS($A2503:A2522), A2502&amp;RIGHT(INDIRECT(ADDRESS(ROW(A2503)-1, 'From Order'!$A2503)), 1), A2502))"),"DRSZ")</f>
        <v>DRSZ</v>
      </c>
      <c r="B2503" s="2" t="str">
        <f>IFERROR(__xludf.DUMMYFUNCTION("IF('From Order'!$A2503=COLUMNS($A2503:B2522), LEFT(INDEX(FILTER(B$1:B2502, B$1:B2502&lt;&gt;""""),COUNTA(FILTER(B$1:B2502, B$1:B2502&lt;&gt;""""))), LEN(INDEX(FILTER(B$1:B2502, B$1:B2502&lt;&gt;""""),COUNTA(FILTER(B$1:B2502, B$1:B2502&lt;&gt;""""))))-1), IF('To Order'!$A2503=COL"&amp;"UMNS($A2503:B2522), B2502&amp;RIGHT(INDIRECT(ADDRESS(ROW(B2503)-1, 'From Order'!$A2503)), 1), B2502))"),"QGWWLH")</f>
        <v>QGWWLH</v>
      </c>
      <c r="C2503" s="2" t="str">
        <f>IFERROR(__xludf.DUMMYFUNCTION("IF('From Order'!$A2503=COLUMNS($A2503:C2522), LEFT(INDEX(FILTER(C$1:C2502, C$1:C2502&lt;&gt;""""),COUNTA(FILTER(C$1:C2502, C$1:C2502&lt;&gt;""""))), LEN(INDEX(FILTER(C$1:C2502, C$1:C2502&lt;&gt;""""),COUNTA(FILTER(C$1:C2502, C$1:C2502&lt;&gt;""""))))-1), IF('To Order'!$A2503=COL"&amp;"UMNS($A2503:C2522), C2502&amp;RIGHT(INDIRECT(ADDRESS(ROW(C2503)-1, 'From Order'!$A2503)), 1), C2502))"),"CDSB")</f>
        <v>CDSB</v>
      </c>
      <c r="D2503" s="2" t="str">
        <f>IFERROR(__xludf.DUMMYFUNCTION("IF('From Order'!$A2503=COLUMNS($A2503:D2522), LEFT(INDEX(FILTER(D$1:D2502, D$1:D2502&lt;&gt;""""),COUNTA(FILTER(D$1:D2502, D$1:D2502&lt;&gt;""""))), LEN(INDEX(FILTER(D$1:D2502, D$1:D2502&lt;&gt;""""),COUNTA(FILTER(D$1:D2502, D$1:D2502&lt;&gt;""""))))-1), IF('To Order'!$A2503=COL"&amp;"UMNS($A2503:D2522), D2502&amp;RIGHT(INDIRECT(ADDRESS(ROW(D2503)-1, 'From Order'!$A2503)), 1), D2502))"),"C")</f>
        <v>C</v>
      </c>
      <c r="E2503" s="2" t="str">
        <f>IFERROR(__xludf.DUMMYFUNCTION("IF('From Order'!$A2503=COLUMNS($A2503:E2522), LEFT(INDEX(FILTER(E$1:E2502, E$1:E2502&lt;&gt;""""),COUNTA(FILTER(E$1:E2502, E$1:E2502&lt;&gt;""""))), LEN(INDEX(FILTER(E$1:E2502, E$1:E2502&lt;&gt;""""),COUNTA(FILTER(E$1:E2502, E$1:E2502&lt;&gt;""""))))-1), IF('To Order'!$A2503=COL"&amp;"UMNS($A2503:E2522), E2502&amp;RIGHT(INDIRECT(ADDRESS(ROW(E2503)-1, 'From Order'!$A2503)), 1), E2502))"),"BRPHZMTJBVDBFL")</f>
        <v>BRPHZMTJBVDBFL</v>
      </c>
      <c r="F2503" s="2" t="str">
        <f>IFERROR(__xludf.DUMMYFUNCTION("IF('From Order'!$A2503=COLUMNS($A2503:F2522), LEFT(INDEX(FILTER(F$1:F2502, F$1:F2502&lt;&gt;""""),COUNTA(FILTER(F$1:F2502, F$1:F2502&lt;&gt;""""))), LEN(INDEX(FILTER(F$1:F2502, F$1:F2502&lt;&gt;""""),COUNTA(FILTER(F$1:F2502, F$1:F2502&lt;&gt;""""))))-1), IF('To Order'!$A2503=COL"&amp;"UMNS($A2503:F2522), F2502&amp;RIGHT(INDIRECT(ADDRESS(ROW(F2503)-1, 'From Order'!$A2503)), 1), F2502))"),"RSPMGTTMDZFJCTTJRRLPS")</f>
        <v>RSPMGTTMDZFJCTTJRRLPS</v>
      </c>
      <c r="G2503" s="2" t="str">
        <f>IFERROR(__xludf.DUMMYFUNCTION("IF('From Order'!$A2503=COLUMNS($A2503:G2522), LEFT(INDEX(FILTER(G$1:G2502, G$1:G2502&lt;&gt;""""),COUNTA(FILTER(G$1:G2502, G$1:G2502&lt;&gt;""""))), LEN(INDEX(FILTER(G$1:G2502, G$1:G2502&lt;&gt;""""),COUNTA(FILTER(G$1:G2502, G$1:G2502&lt;&gt;""""))))-1), IF('To Order'!$A2503=COL"&amp;"UMNS($A2503:G2522), G2502&amp;RIGHT(INDIRECT(ADDRESS(ROW(G2503)-1, 'From Order'!$A2503)), 1), G2502))"),"")</f>
        <v/>
      </c>
      <c r="H2503" s="2" t="str">
        <f>IFERROR(__xludf.DUMMYFUNCTION("IF('From Order'!$A2503=COLUMNS($A2503:H2522), LEFT(INDEX(FILTER(H$1:H2502, H$1:H2502&lt;&gt;""""),COUNTA(FILTER(H$1:H2502, H$1:H2502&lt;&gt;""""))), LEN(INDEX(FILTER(H$1:H2502, H$1:H2502&lt;&gt;""""),COUNTA(FILTER(H$1:H2502, H$1:H2502&lt;&gt;""""))))-1), IF('To Order'!$A2503=COL"&amp;"UMNS($A2503:H2522), H2502&amp;RIGHT(INDIRECT(ADDRESS(ROW(H2503)-1, 'From Order'!$A2503)), 1), H2502))"),"T")</f>
        <v>T</v>
      </c>
      <c r="I2503" s="2" t="str">
        <f>IFERROR(__xludf.DUMMYFUNCTION("IF('From Order'!$A2503=COLUMNS($A2503:I2522), LEFT(INDEX(FILTER(I$1:I2502, I$1:I2502&lt;&gt;""""),COUNTA(FILTER(I$1:I2502, I$1:I2502&lt;&gt;""""))), LEN(INDEX(FILTER(I$1:I2502, I$1:I2502&lt;&gt;""""),COUNTA(FILTER(I$1:I2502, I$1:I2502&lt;&gt;""""))))-1), IF('To Order'!$A2503=COL"&amp;"UMNS($A2503:I2522), I2502&amp;RIGHT(INDIRECT(ADDRESS(ROW(I2503)-1, 'From Order'!$A2503)), 1), I2502))"),"QVVDD")</f>
        <v>QVVDD</v>
      </c>
    </row>
    <row r="2504">
      <c r="A2504" s="2" t="str">
        <f>IFERROR(__xludf.DUMMYFUNCTION("IF('From Order'!$A2504=COLUMNS($A2504:A2523), LEFT(INDEX(FILTER(A$1:A2503, A$1:A2503&lt;&gt;""""),COUNTA(FILTER(A$1:A2503, A$1:A2503&lt;&gt;""""))), LEN(INDEX(FILTER(A$1:A2503, A$1:A2503&lt;&gt;""""),COUNTA(FILTER(A$1:A2503, A$1:A2503&lt;&gt;""""))))-1), IF('To Order'!$A2504=COL"&amp;"UMNS($A2504:A2523), A2503&amp;RIGHT(INDIRECT(ADDRESS(ROW(A2504)-1, 'From Order'!$A2504)), 1), A2503))"),"DRSZ")</f>
        <v>DRSZ</v>
      </c>
      <c r="B2504" s="2" t="str">
        <f>IFERROR(__xludf.DUMMYFUNCTION("IF('From Order'!$A2504=COLUMNS($A2504:B2523), LEFT(INDEX(FILTER(B$1:B2503, B$1:B2503&lt;&gt;""""),COUNTA(FILTER(B$1:B2503, B$1:B2503&lt;&gt;""""))), LEN(INDEX(FILTER(B$1:B2503, B$1:B2503&lt;&gt;""""),COUNTA(FILTER(B$1:B2503, B$1:B2503&lt;&gt;""""))))-1), IF('To Order'!$A2504=COL"&amp;"UMNS($A2504:B2523), B2503&amp;RIGHT(INDIRECT(ADDRESS(ROW(B2504)-1, 'From Order'!$A2504)), 1), B2503))"),"QGWWLHB")</f>
        <v>QGWWLHB</v>
      </c>
      <c r="C2504" s="2" t="str">
        <f>IFERROR(__xludf.DUMMYFUNCTION("IF('From Order'!$A2504=COLUMNS($A2504:C2523), LEFT(INDEX(FILTER(C$1:C2503, C$1:C2503&lt;&gt;""""),COUNTA(FILTER(C$1:C2503, C$1:C2503&lt;&gt;""""))), LEN(INDEX(FILTER(C$1:C2503, C$1:C2503&lt;&gt;""""),COUNTA(FILTER(C$1:C2503, C$1:C2503&lt;&gt;""""))))-1), IF('To Order'!$A2504=COL"&amp;"UMNS($A2504:C2523), C2503&amp;RIGHT(INDIRECT(ADDRESS(ROW(C2504)-1, 'From Order'!$A2504)), 1), C2503))"),"CDS")</f>
        <v>CDS</v>
      </c>
      <c r="D2504" s="2" t="str">
        <f>IFERROR(__xludf.DUMMYFUNCTION("IF('From Order'!$A2504=COLUMNS($A2504:D2523), LEFT(INDEX(FILTER(D$1:D2503, D$1:D2503&lt;&gt;""""),COUNTA(FILTER(D$1:D2503, D$1:D2503&lt;&gt;""""))), LEN(INDEX(FILTER(D$1:D2503, D$1:D2503&lt;&gt;""""),COUNTA(FILTER(D$1:D2503, D$1:D2503&lt;&gt;""""))))-1), IF('To Order'!$A2504=COL"&amp;"UMNS($A2504:D2523), D2503&amp;RIGHT(INDIRECT(ADDRESS(ROW(D2504)-1, 'From Order'!$A2504)), 1), D2503))"),"C")</f>
        <v>C</v>
      </c>
      <c r="E2504" s="2" t="str">
        <f>IFERROR(__xludf.DUMMYFUNCTION("IF('From Order'!$A2504=COLUMNS($A2504:E2523), LEFT(INDEX(FILTER(E$1:E2503, E$1:E2503&lt;&gt;""""),COUNTA(FILTER(E$1:E2503, E$1:E2503&lt;&gt;""""))), LEN(INDEX(FILTER(E$1:E2503, E$1:E2503&lt;&gt;""""),COUNTA(FILTER(E$1:E2503, E$1:E2503&lt;&gt;""""))))-1), IF('To Order'!$A2504=COL"&amp;"UMNS($A2504:E2523), E2503&amp;RIGHT(INDIRECT(ADDRESS(ROW(E2504)-1, 'From Order'!$A2504)), 1), E2503))"),"BRPHZMTJBVDBFL")</f>
        <v>BRPHZMTJBVDBFL</v>
      </c>
      <c r="F2504" s="2" t="str">
        <f>IFERROR(__xludf.DUMMYFUNCTION("IF('From Order'!$A2504=COLUMNS($A2504:F2523), LEFT(INDEX(FILTER(F$1:F2503, F$1:F2503&lt;&gt;""""),COUNTA(FILTER(F$1:F2503, F$1:F2503&lt;&gt;""""))), LEN(INDEX(FILTER(F$1:F2503, F$1:F2503&lt;&gt;""""),COUNTA(FILTER(F$1:F2503, F$1:F2503&lt;&gt;""""))))-1), IF('To Order'!$A2504=COL"&amp;"UMNS($A2504:F2523), F2503&amp;RIGHT(INDIRECT(ADDRESS(ROW(F2504)-1, 'From Order'!$A2504)), 1), F2503))"),"RSPMGTTMDZFJCTTJRRLPS")</f>
        <v>RSPMGTTMDZFJCTTJRRLPS</v>
      </c>
      <c r="G2504" s="2" t="str">
        <f>IFERROR(__xludf.DUMMYFUNCTION("IF('From Order'!$A2504=COLUMNS($A2504:G2523), LEFT(INDEX(FILTER(G$1:G2503, G$1:G2503&lt;&gt;""""),COUNTA(FILTER(G$1:G2503, G$1:G2503&lt;&gt;""""))), LEN(INDEX(FILTER(G$1:G2503, G$1:G2503&lt;&gt;""""),COUNTA(FILTER(G$1:G2503, G$1:G2503&lt;&gt;""""))))-1), IF('To Order'!$A2504=COL"&amp;"UMNS($A2504:G2523), G2503&amp;RIGHT(INDIRECT(ADDRESS(ROW(G2504)-1, 'From Order'!$A2504)), 1), G2503))"),"")</f>
        <v/>
      </c>
      <c r="H2504" s="2" t="str">
        <f>IFERROR(__xludf.DUMMYFUNCTION("IF('From Order'!$A2504=COLUMNS($A2504:H2523), LEFT(INDEX(FILTER(H$1:H2503, H$1:H2503&lt;&gt;""""),COUNTA(FILTER(H$1:H2503, H$1:H2503&lt;&gt;""""))), LEN(INDEX(FILTER(H$1:H2503, H$1:H2503&lt;&gt;""""),COUNTA(FILTER(H$1:H2503, H$1:H2503&lt;&gt;""""))))-1), IF('To Order'!$A2504=COL"&amp;"UMNS($A2504:H2523), H2503&amp;RIGHT(INDIRECT(ADDRESS(ROW(H2504)-1, 'From Order'!$A2504)), 1), H2503))"),"T")</f>
        <v>T</v>
      </c>
      <c r="I2504" s="2" t="str">
        <f>IFERROR(__xludf.DUMMYFUNCTION("IF('From Order'!$A2504=COLUMNS($A2504:I2523), LEFT(INDEX(FILTER(I$1:I2503, I$1:I2503&lt;&gt;""""),COUNTA(FILTER(I$1:I2503, I$1:I2503&lt;&gt;""""))), LEN(INDEX(FILTER(I$1:I2503, I$1:I2503&lt;&gt;""""),COUNTA(FILTER(I$1:I2503, I$1:I2503&lt;&gt;""""))))-1), IF('To Order'!$A2504=COL"&amp;"UMNS($A2504:I2523), I2503&amp;RIGHT(INDIRECT(ADDRESS(ROW(I2504)-1, 'From Order'!$A2504)), 1), I2503))"),"QVVDD")</f>
        <v>QVVDD</v>
      </c>
    </row>
    <row r="2505">
      <c r="A2505" s="2" t="str">
        <f>IFERROR(__xludf.DUMMYFUNCTION("IF('From Order'!$A2505=COLUMNS($A2505:A2524), LEFT(INDEX(FILTER(A$1:A2504, A$1:A2504&lt;&gt;""""),COUNTA(FILTER(A$1:A2504, A$1:A2504&lt;&gt;""""))), LEN(INDEX(FILTER(A$1:A2504, A$1:A2504&lt;&gt;""""),COUNTA(FILTER(A$1:A2504, A$1:A2504&lt;&gt;""""))))-1), IF('To Order'!$A2505=COL"&amp;"UMNS($A2505:A2524), A2504&amp;RIGHT(INDIRECT(ADDRESS(ROW(A2505)-1, 'From Order'!$A2505)), 1), A2504))"),"DRSZ")</f>
        <v>DRSZ</v>
      </c>
      <c r="B2505" s="2" t="str">
        <f>IFERROR(__xludf.DUMMYFUNCTION("IF('From Order'!$A2505=COLUMNS($A2505:B2524), LEFT(INDEX(FILTER(B$1:B2504, B$1:B2504&lt;&gt;""""),COUNTA(FILTER(B$1:B2504, B$1:B2504&lt;&gt;""""))), LEN(INDEX(FILTER(B$1:B2504, B$1:B2504&lt;&gt;""""),COUNTA(FILTER(B$1:B2504, B$1:B2504&lt;&gt;""""))))-1), IF('To Order'!$A2505=COL"&amp;"UMNS($A2505:B2524), B2504&amp;RIGHT(INDIRECT(ADDRESS(ROW(B2505)-1, 'From Order'!$A2505)), 1), B2504))"),"QGWWLHBS")</f>
        <v>QGWWLHBS</v>
      </c>
      <c r="C2505" s="2" t="str">
        <f>IFERROR(__xludf.DUMMYFUNCTION("IF('From Order'!$A2505=COLUMNS($A2505:C2524), LEFT(INDEX(FILTER(C$1:C2504, C$1:C2504&lt;&gt;""""),COUNTA(FILTER(C$1:C2504, C$1:C2504&lt;&gt;""""))), LEN(INDEX(FILTER(C$1:C2504, C$1:C2504&lt;&gt;""""),COUNTA(FILTER(C$1:C2504, C$1:C2504&lt;&gt;""""))))-1), IF('To Order'!$A2505=COL"&amp;"UMNS($A2505:C2524), C2504&amp;RIGHT(INDIRECT(ADDRESS(ROW(C2505)-1, 'From Order'!$A2505)), 1), C2504))"),"CD")</f>
        <v>CD</v>
      </c>
      <c r="D2505" s="2" t="str">
        <f>IFERROR(__xludf.DUMMYFUNCTION("IF('From Order'!$A2505=COLUMNS($A2505:D2524), LEFT(INDEX(FILTER(D$1:D2504, D$1:D2504&lt;&gt;""""),COUNTA(FILTER(D$1:D2504, D$1:D2504&lt;&gt;""""))), LEN(INDEX(FILTER(D$1:D2504, D$1:D2504&lt;&gt;""""),COUNTA(FILTER(D$1:D2504, D$1:D2504&lt;&gt;""""))))-1), IF('To Order'!$A2505=COL"&amp;"UMNS($A2505:D2524), D2504&amp;RIGHT(INDIRECT(ADDRESS(ROW(D2505)-1, 'From Order'!$A2505)), 1), D2504))"),"C")</f>
        <v>C</v>
      </c>
      <c r="E2505" s="2" t="str">
        <f>IFERROR(__xludf.DUMMYFUNCTION("IF('From Order'!$A2505=COLUMNS($A2505:E2524), LEFT(INDEX(FILTER(E$1:E2504, E$1:E2504&lt;&gt;""""),COUNTA(FILTER(E$1:E2504, E$1:E2504&lt;&gt;""""))), LEN(INDEX(FILTER(E$1:E2504, E$1:E2504&lt;&gt;""""),COUNTA(FILTER(E$1:E2504, E$1:E2504&lt;&gt;""""))))-1), IF('To Order'!$A2505=COL"&amp;"UMNS($A2505:E2524), E2504&amp;RIGHT(INDIRECT(ADDRESS(ROW(E2505)-1, 'From Order'!$A2505)), 1), E2504))"),"BRPHZMTJBVDBFL")</f>
        <v>BRPHZMTJBVDBFL</v>
      </c>
      <c r="F2505" s="2" t="str">
        <f>IFERROR(__xludf.DUMMYFUNCTION("IF('From Order'!$A2505=COLUMNS($A2505:F2524), LEFT(INDEX(FILTER(F$1:F2504, F$1:F2504&lt;&gt;""""),COUNTA(FILTER(F$1:F2504, F$1:F2504&lt;&gt;""""))), LEN(INDEX(FILTER(F$1:F2504, F$1:F2504&lt;&gt;""""),COUNTA(FILTER(F$1:F2504, F$1:F2504&lt;&gt;""""))))-1), IF('To Order'!$A2505=COL"&amp;"UMNS($A2505:F2524), F2504&amp;RIGHT(INDIRECT(ADDRESS(ROW(F2505)-1, 'From Order'!$A2505)), 1), F2504))"),"RSPMGTTMDZFJCTTJRRLPS")</f>
        <v>RSPMGTTMDZFJCTTJRRLPS</v>
      </c>
      <c r="G2505" s="2" t="str">
        <f>IFERROR(__xludf.DUMMYFUNCTION("IF('From Order'!$A2505=COLUMNS($A2505:G2524), LEFT(INDEX(FILTER(G$1:G2504, G$1:G2504&lt;&gt;""""),COUNTA(FILTER(G$1:G2504, G$1:G2504&lt;&gt;""""))), LEN(INDEX(FILTER(G$1:G2504, G$1:G2504&lt;&gt;""""),COUNTA(FILTER(G$1:G2504, G$1:G2504&lt;&gt;""""))))-1), IF('To Order'!$A2505=COL"&amp;"UMNS($A2505:G2524), G2504&amp;RIGHT(INDIRECT(ADDRESS(ROW(G2505)-1, 'From Order'!$A2505)), 1), G2504))"),"")</f>
        <v/>
      </c>
      <c r="H2505" s="2" t="str">
        <f>IFERROR(__xludf.DUMMYFUNCTION("IF('From Order'!$A2505=COLUMNS($A2505:H2524), LEFT(INDEX(FILTER(H$1:H2504, H$1:H2504&lt;&gt;""""),COUNTA(FILTER(H$1:H2504, H$1:H2504&lt;&gt;""""))), LEN(INDEX(FILTER(H$1:H2504, H$1:H2504&lt;&gt;""""),COUNTA(FILTER(H$1:H2504, H$1:H2504&lt;&gt;""""))))-1), IF('To Order'!$A2505=COL"&amp;"UMNS($A2505:H2524), H2504&amp;RIGHT(INDIRECT(ADDRESS(ROW(H2505)-1, 'From Order'!$A2505)), 1), H2504))"),"T")</f>
        <v>T</v>
      </c>
      <c r="I2505" s="2" t="str">
        <f>IFERROR(__xludf.DUMMYFUNCTION("IF('From Order'!$A2505=COLUMNS($A2505:I2524), LEFT(INDEX(FILTER(I$1:I2504, I$1:I2504&lt;&gt;""""),COUNTA(FILTER(I$1:I2504, I$1:I2504&lt;&gt;""""))), LEN(INDEX(FILTER(I$1:I2504, I$1:I2504&lt;&gt;""""),COUNTA(FILTER(I$1:I2504, I$1:I2504&lt;&gt;""""))))-1), IF('To Order'!$A2505=COL"&amp;"UMNS($A2505:I2524), I2504&amp;RIGHT(INDIRECT(ADDRESS(ROW(I2505)-1, 'From Order'!$A2505)), 1), I2504))"),"QVVDD")</f>
        <v>QVVDD</v>
      </c>
    </row>
    <row r="2506">
      <c r="A2506" s="2" t="str">
        <f>IFERROR(__xludf.DUMMYFUNCTION("IF('From Order'!$A2506=COLUMNS($A2506:A2525), LEFT(INDEX(FILTER(A$1:A2505, A$1:A2505&lt;&gt;""""),COUNTA(FILTER(A$1:A2505, A$1:A2505&lt;&gt;""""))), LEN(INDEX(FILTER(A$1:A2505, A$1:A2505&lt;&gt;""""),COUNTA(FILTER(A$1:A2505, A$1:A2505&lt;&gt;""""))))-1), IF('To Order'!$A2506=COL"&amp;"UMNS($A2506:A2525), A2505&amp;RIGHT(INDIRECT(ADDRESS(ROW(A2506)-1, 'From Order'!$A2506)), 1), A2505))"),"DRSZ")</f>
        <v>DRSZ</v>
      </c>
      <c r="B2506" s="2" t="str">
        <f>IFERROR(__xludf.DUMMYFUNCTION("IF('From Order'!$A2506=COLUMNS($A2506:B2525), LEFT(INDEX(FILTER(B$1:B2505, B$1:B2505&lt;&gt;""""),COUNTA(FILTER(B$1:B2505, B$1:B2505&lt;&gt;""""))), LEN(INDEX(FILTER(B$1:B2505, B$1:B2505&lt;&gt;""""),COUNTA(FILTER(B$1:B2505, B$1:B2505&lt;&gt;""""))))-1), IF('To Order'!$A2506=COL"&amp;"UMNS($A2506:B2525), B2505&amp;RIGHT(INDIRECT(ADDRESS(ROW(B2506)-1, 'From Order'!$A2506)), 1), B2505))"),"QGWWLHBS")</f>
        <v>QGWWLHBS</v>
      </c>
      <c r="C2506" s="2" t="str">
        <f>IFERROR(__xludf.DUMMYFUNCTION("IF('From Order'!$A2506=COLUMNS($A2506:C2525), LEFT(INDEX(FILTER(C$1:C2505, C$1:C2505&lt;&gt;""""),COUNTA(FILTER(C$1:C2505, C$1:C2505&lt;&gt;""""))), LEN(INDEX(FILTER(C$1:C2505, C$1:C2505&lt;&gt;""""),COUNTA(FILTER(C$1:C2505, C$1:C2505&lt;&gt;""""))))-1), IF('To Order'!$A2506=COL"&amp;"UMNS($A2506:C2525), C2505&amp;RIGHT(INDIRECT(ADDRESS(ROW(C2506)-1, 'From Order'!$A2506)), 1), C2505))"),"CDL")</f>
        <v>CDL</v>
      </c>
      <c r="D2506" s="2" t="str">
        <f>IFERROR(__xludf.DUMMYFUNCTION("IF('From Order'!$A2506=COLUMNS($A2506:D2525), LEFT(INDEX(FILTER(D$1:D2505, D$1:D2505&lt;&gt;""""),COUNTA(FILTER(D$1:D2505, D$1:D2505&lt;&gt;""""))), LEN(INDEX(FILTER(D$1:D2505, D$1:D2505&lt;&gt;""""),COUNTA(FILTER(D$1:D2505, D$1:D2505&lt;&gt;""""))))-1), IF('To Order'!$A2506=COL"&amp;"UMNS($A2506:D2525), D2505&amp;RIGHT(INDIRECT(ADDRESS(ROW(D2506)-1, 'From Order'!$A2506)), 1), D2505))"),"C")</f>
        <v>C</v>
      </c>
      <c r="E2506" s="2" t="str">
        <f>IFERROR(__xludf.DUMMYFUNCTION("IF('From Order'!$A2506=COLUMNS($A2506:E2525), LEFT(INDEX(FILTER(E$1:E2505, E$1:E2505&lt;&gt;""""),COUNTA(FILTER(E$1:E2505, E$1:E2505&lt;&gt;""""))), LEN(INDEX(FILTER(E$1:E2505, E$1:E2505&lt;&gt;""""),COUNTA(FILTER(E$1:E2505, E$1:E2505&lt;&gt;""""))))-1), IF('To Order'!$A2506=COL"&amp;"UMNS($A2506:E2525), E2505&amp;RIGHT(INDIRECT(ADDRESS(ROW(E2506)-1, 'From Order'!$A2506)), 1), E2505))"),"BRPHZMTJBVDBF")</f>
        <v>BRPHZMTJBVDBF</v>
      </c>
      <c r="F2506" s="2" t="str">
        <f>IFERROR(__xludf.DUMMYFUNCTION("IF('From Order'!$A2506=COLUMNS($A2506:F2525), LEFT(INDEX(FILTER(F$1:F2505, F$1:F2505&lt;&gt;""""),COUNTA(FILTER(F$1:F2505, F$1:F2505&lt;&gt;""""))), LEN(INDEX(FILTER(F$1:F2505, F$1:F2505&lt;&gt;""""),COUNTA(FILTER(F$1:F2505, F$1:F2505&lt;&gt;""""))))-1), IF('To Order'!$A2506=COL"&amp;"UMNS($A2506:F2525), F2505&amp;RIGHT(INDIRECT(ADDRESS(ROW(F2506)-1, 'From Order'!$A2506)), 1), F2505))"),"RSPMGTTMDZFJCTTJRRLPS")</f>
        <v>RSPMGTTMDZFJCTTJRRLPS</v>
      </c>
      <c r="G2506" s="2" t="str">
        <f>IFERROR(__xludf.DUMMYFUNCTION("IF('From Order'!$A2506=COLUMNS($A2506:G2525), LEFT(INDEX(FILTER(G$1:G2505, G$1:G2505&lt;&gt;""""),COUNTA(FILTER(G$1:G2505, G$1:G2505&lt;&gt;""""))), LEN(INDEX(FILTER(G$1:G2505, G$1:G2505&lt;&gt;""""),COUNTA(FILTER(G$1:G2505, G$1:G2505&lt;&gt;""""))))-1), IF('To Order'!$A2506=COL"&amp;"UMNS($A2506:G2525), G2505&amp;RIGHT(INDIRECT(ADDRESS(ROW(G2506)-1, 'From Order'!$A2506)), 1), G2505))"),"")</f>
        <v/>
      </c>
      <c r="H2506" s="2" t="str">
        <f>IFERROR(__xludf.DUMMYFUNCTION("IF('From Order'!$A2506=COLUMNS($A2506:H2525), LEFT(INDEX(FILTER(H$1:H2505, H$1:H2505&lt;&gt;""""),COUNTA(FILTER(H$1:H2505, H$1:H2505&lt;&gt;""""))), LEN(INDEX(FILTER(H$1:H2505, H$1:H2505&lt;&gt;""""),COUNTA(FILTER(H$1:H2505, H$1:H2505&lt;&gt;""""))))-1), IF('To Order'!$A2506=COL"&amp;"UMNS($A2506:H2525), H2505&amp;RIGHT(INDIRECT(ADDRESS(ROW(H2506)-1, 'From Order'!$A2506)), 1), H2505))"),"T")</f>
        <v>T</v>
      </c>
      <c r="I2506" s="2" t="str">
        <f>IFERROR(__xludf.DUMMYFUNCTION("IF('From Order'!$A2506=COLUMNS($A2506:I2525), LEFT(INDEX(FILTER(I$1:I2505, I$1:I2505&lt;&gt;""""),COUNTA(FILTER(I$1:I2505, I$1:I2505&lt;&gt;""""))), LEN(INDEX(FILTER(I$1:I2505, I$1:I2505&lt;&gt;""""),COUNTA(FILTER(I$1:I2505, I$1:I2505&lt;&gt;""""))))-1), IF('To Order'!$A2506=COL"&amp;"UMNS($A2506:I2525), I2505&amp;RIGHT(INDIRECT(ADDRESS(ROW(I2506)-1, 'From Order'!$A2506)), 1), I2505))"),"QVVDD")</f>
        <v>QVVDD</v>
      </c>
    </row>
    <row r="2507">
      <c r="A2507" s="2" t="str">
        <f>IFERROR(__xludf.DUMMYFUNCTION("IF('From Order'!$A2507=COLUMNS($A2507:A2526), LEFT(INDEX(FILTER(A$1:A2506, A$1:A2506&lt;&gt;""""),COUNTA(FILTER(A$1:A2506, A$1:A2506&lt;&gt;""""))), LEN(INDEX(FILTER(A$1:A2506, A$1:A2506&lt;&gt;""""),COUNTA(FILTER(A$1:A2506, A$1:A2506&lt;&gt;""""))))-1), IF('To Order'!$A2507=COL"&amp;"UMNS($A2507:A2526), A2506&amp;RIGHT(INDIRECT(ADDRESS(ROW(A2507)-1, 'From Order'!$A2507)), 1), A2506))"),"DRSZ")</f>
        <v>DRSZ</v>
      </c>
      <c r="B2507" s="2" t="str">
        <f>IFERROR(__xludf.DUMMYFUNCTION("IF('From Order'!$A2507=COLUMNS($A2507:B2526), LEFT(INDEX(FILTER(B$1:B2506, B$1:B2506&lt;&gt;""""),COUNTA(FILTER(B$1:B2506, B$1:B2506&lt;&gt;""""))), LEN(INDEX(FILTER(B$1:B2506, B$1:B2506&lt;&gt;""""),COUNTA(FILTER(B$1:B2506, B$1:B2506&lt;&gt;""""))))-1), IF('To Order'!$A2507=COL"&amp;"UMNS($A2507:B2526), B2506&amp;RIGHT(INDIRECT(ADDRESS(ROW(B2507)-1, 'From Order'!$A2507)), 1), B2506))"),"QGWWLHBS")</f>
        <v>QGWWLHBS</v>
      </c>
      <c r="C2507" s="2" t="str">
        <f>IFERROR(__xludf.DUMMYFUNCTION("IF('From Order'!$A2507=COLUMNS($A2507:C2526), LEFT(INDEX(FILTER(C$1:C2506, C$1:C2506&lt;&gt;""""),COUNTA(FILTER(C$1:C2506, C$1:C2506&lt;&gt;""""))), LEN(INDEX(FILTER(C$1:C2506, C$1:C2506&lt;&gt;""""),COUNTA(FILTER(C$1:C2506, C$1:C2506&lt;&gt;""""))))-1), IF('To Order'!$A2507=COL"&amp;"UMNS($A2507:C2526), C2506&amp;RIGHT(INDIRECT(ADDRESS(ROW(C2507)-1, 'From Order'!$A2507)), 1), C2506))"),"CDLF")</f>
        <v>CDLF</v>
      </c>
      <c r="D2507" s="2" t="str">
        <f>IFERROR(__xludf.DUMMYFUNCTION("IF('From Order'!$A2507=COLUMNS($A2507:D2526), LEFT(INDEX(FILTER(D$1:D2506, D$1:D2506&lt;&gt;""""),COUNTA(FILTER(D$1:D2506, D$1:D2506&lt;&gt;""""))), LEN(INDEX(FILTER(D$1:D2506, D$1:D2506&lt;&gt;""""),COUNTA(FILTER(D$1:D2506, D$1:D2506&lt;&gt;""""))))-1), IF('To Order'!$A2507=COL"&amp;"UMNS($A2507:D2526), D2506&amp;RIGHT(INDIRECT(ADDRESS(ROW(D2507)-1, 'From Order'!$A2507)), 1), D2506))"),"C")</f>
        <v>C</v>
      </c>
      <c r="E2507" s="2" t="str">
        <f>IFERROR(__xludf.DUMMYFUNCTION("IF('From Order'!$A2507=COLUMNS($A2507:E2526), LEFT(INDEX(FILTER(E$1:E2506, E$1:E2506&lt;&gt;""""),COUNTA(FILTER(E$1:E2506, E$1:E2506&lt;&gt;""""))), LEN(INDEX(FILTER(E$1:E2506, E$1:E2506&lt;&gt;""""),COUNTA(FILTER(E$1:E2506, E$1:E2506&lt;&gt;""""))))-1), IF('To Order'!$A2507=COL"&amp;"UMNS($A2507:E2526), E2506&amp;RIGHT(INDIRECT(ADDRESS(ROW(E2507)-1, 'From Order'!$A2507)), 1), E2506))"),"BRPHZMTJBVDB")</f>
        <v>BRPHZMTJBVDB</v>
      </c>
      <c r="F2507" s="2" t="str">
        <f>IFERROR(__xludf.DUMMYFUNCTION("IF('From Order'!$A2507=COLUMNS($A2507:F2526), LEFT(INDEX(FILTER(F$1:F2506, F$1:F2506&lt;&gt;""""),COUNTA(FILTER(F$1:F2506, F$1:F2506&lt;&gt;""""))), LEN(INDEX(FILTER(F$1:F2506, F$1:F2506&lt;&gt;""""),COUNTA(FILTER(F$1:F2506, F$1:F2506&lt;&gt;""""))))-1), IF('To Order'!$A2507=COL"&amp;"UMNS($A2507:F2526), F2506&amp;RIGHT(INDIRECT(ADDRESS(ROW(F2507)-1, 'From Order'!$A2507)), 1), F2506))"),"RSPMGTTMDZFJCTTJRRLPS")</f>
        <v>RSPMGTTMDZFJCTTJRRLPS</v>
      </c>
      <c r="G2507" s="2" t="str">
        <f>IFERROR(__xludf.DUMMYFUNCTION("IF('From Order'!$A2507=COLUMNS($A2507:G2526), LEFT(INDEX(FILTER(G$1:G2506, G$1:G2506&lt;&gt;""""),COUNTA(FILTER(G$1:G2506, G$1:G2506&lt;&gt;""""))), LEN(INDEX(FILTER(G$1:G2506, G$1:G2506&lt;&gt;""""),COUNTA(FILTER(G$1:G2506, G$1:G2506&lt;&gt;""""))))-1), IF('To Order'!$A2507=COL"&amp;"UMNS($A2507:G2526), G2506&amp;RIGHT(INDIRECT(ADDRESS(ROW(G2507)-1, 'From Order'!$A2507)), 1), G2506))"),"")</f>
        <v/>
      </c>
      <c r="H2507" s="2" t="str">
        <f>IFERROR(__xludf.DUMMYFUNCTION("IF('From Order'!$A2507=COLUMNS($A2507:H2526), LEFT(INDEX(FILTER(H$1:H2506, H$1:H2506&lt;&gt;""""),COUNTA(FILTER(H$1:H2506, H$1:H2506&lt;&gt;""""))), LEN(INDEX(FILTER(H$1:H2506, H$1:H2506&lt;&gt;""""),COUNTA(FILTER(H$1:H2506, H$1:H2506&lt;&gt;""""))))-1), IF('To Order'!$A2507=COL"&amp;"UMNS($A2507:H2526), H2506&amp;RIGHT(INDIRECT(ADDRESS(ROW(H2507)-1, 'From Order'!$A2507)), 1), H2506))"),"T")</f>
        <v>T</v>
      </c>
      <c r="I2507" s="2" t="str">
        <f>IFERROR(__xludf.DUMMYFUNCTION("IF('From Order'!$A2507=COLUMNS($A2507:I2526), LEFT(INDEX(FILTER(I$1:I2506, I$1:I2506&lt;&gt;""""),COUNTA(FILTER(I$1:I2506, I$1:I2506&lt;&gt;""""))), LEN(INDEX(FILTER(I$1:I2506, I$1:I2506&lt;&gt;""""),COUNTA(FILTER(I$1:I2506, I$1:I2506&lt;&gt;""""))))-1), IF('To Order'!$A2507=COL"&amp;"UMNS($A2507:I2526), I2506&amp;RIGHT(INDIRECT(ADDRESS(ROW(I2507)-1, 'From Order'!$A2507)), 1), I2506))"),"QVVDD")</f>
        <v>QVVDD</v>
      </c>
    </row>
    <row r="2508">
      <c r="A2508" s="2" t="str">
        <f>IFERROR(__xludf.DUMMYFUNCTION("IF('From Order'!$A2508=COLUMNS($A2508:A2527), LEFT(INDEX(FILTER(A$1:A2507, A$1:A2507&lt;&gt;""""),COUNTA(FILTER(A$1:A2507, A$1:A2507&lt;&gt;""""))), LEN(INDEX(FILTER(A$1:A2507, A$1:A2507&lt;&gt;""""),COUNTA(FILTER(A$1:A2507, A$1:A2507&lt;&gt;""""))))-1), IF('To Order'!$A2508=COL"&amp;"UMNS($A2508:A2527), A2507&amp;RIGHT(INDIRECT(ADDRESS(ROW(A2508)-1, 'From Order'!$A2508)), 1), A2507))"),"DRSZ")</f>
        <v>DRSZ</v>
      </c>
      <c r="B2508" s="2" t="str">
        <f>IFERROR(__xludf.DUMMYFUNCTION("IF('From Order'!$A2508=COLUMNS($A2508:B2527), LEFT(INDEX(FILTER(B$1:B2507, B$1:B2507&lt;&gt;""""),COUNTA(FILTER(B$1:B2507, B$1:B2507&lt;&gt;""""))), LEN(INDEX(FILTER(B$1:B2507, B$1:B2507&lt;&gt;""""),COUNTA(FILTER(B$1:B2507, B$1:B2507&lt;&gt;""""))))-1), IF('To Order'!$A2508=COL"&amp;"UMNS($A2508:B2527), B2507&amp;RIGHT(INDIRECT(ADDRESS(ROW(B2508)-1, 'From Order'!$A2508)), 1), B2507))"),"QGWWLHBS")</f>
        <v>QGWWLHBS</v>
      </c>
      <c r="C2508" s="2" t="str">
        <f>IFERROR(__xludf.DUMMYFUNCTION("IF('From Order'!$A2508=COLUMNS($A2508:C2527), LEFT(INDEX(FILTER(C$1:C2507, C$1:C2507&lt;&gt;""""),COUNTA(FILTER(C$1:C2507, C$1:C2507&lt;&gt;""""))), LEN(INDEX(FILTER(C$1:C2507, C$1:C2507&lt;&gt;""""),COUNTA(FILTER(C$1:C2507, C$1:C2507&lt;&gt;""""))))-1), IF('To Order'!$A2508=COL"&amp;"UMNS($A2508:C2527), C2507&amp;RIGHT(INDIRECT(ADDRESS(ROW(C2508)-1, 'From Order'!$A2508)), 1), C2507))"),"CDLFB")</f>
        <v>CDLFB</v>
      </c>
      <c r="D2508" s="2" t="str">
        <f>IFERROR(__xludf.DUMMYFUNCTION("IF('From Order'!$A2508=COLUMNS($A2508:D2527), LEFT(INDEX(FILTER(D$1:D2507, D$1:D2507&lt;&gt;""""),COUNTA(FILTER(D$1:D2507, D$1:D2507&lt;&gt;""""))), LEN(INDEX(FILTER(D$1:D2507, D$1:D2507&lt;&gt;""""),COUNTA(FILTER(D$1:D2507, D$1:D2507&lt;&gt;""""))))-1), IF('To Order'!$A2508=COL"&amp;"UMNS($A2508:D2527), D2507&amp;RIGHT(INDIRECT(ADDRESS(ROW(D2508)-1, 'From Order'!$A2508)), 1), D2507))"),"C")</f>
        <v>C</v>
      </c>
      <c r="E2508" s="2" t="str">
        <f>IFERROR(__xludf.DUMMYFUNCTION("IF('From Order'!$A2508=COLUMNS($A2508:E2527), LEFT(INDEX(FILTER(E$1:E2507, E$1:E2507&lt;&gt;""""),COUNTA(FILTER(E$1:E2507, E$1:E2507&lt;&gt;""""))), LEN(INDEX(FILTER(E$1:E2507, E$1:E2507&lt;&gt;""""),COUNTA(FILTER(E$1:E2507, E$1:E2507&lt;&gt;""""))))-1), IF('To Order'!$A2508=COL"&amp;"UMNS($A2508:E2527), E2507&amp;RIGHT(INDIRECT(ADDRESS(ROW(E2508)-1, 'From Order'!$A2508)), 1), E2507))"),"BRPHZMTJBVD")</f>
        <v>BRPHZMTJBVD</v>
      </c>
      <c r="F2508" s="2" t="str">
        <f>IFERROR(__xludf.DUMMYFUNCTION("IF('From Order'!$A2508=COLUMNS($A2508:F2527), LEFT(INDEX(FILTER(F$1:F2507, F$1:F2507&lt;&gt;""""),COUNTA(FILTER(F$1:F2507, F$1:F2507&lt;&gt;""""))), LEN(INDEX(FILTER(F$1:F2507, F$1:F2507&lt;&gt;""""),COUNTA(FILTER(F$1:F2507, F$1:F2507&lt;&gt;""""))))-1), IF('To Order'!$A2508=COL"&amp;"UMNS($A2508:F2527), F2507&amp;RIGHT(INDIRECT(ADDRESS(ROW(F2508)-1, 'From Order'!$A2508)), 1), F2507))"),"RSPMGTTMDZFJCTTJRRLPS")</f>
        <v>RSPMGTTMDZFJCTTJRRLPS</v>
      </c>
      <c r="G2508" s="2" t="str">
        <f>IFERROR(__xludf.DUMMYFUNCTION("IF('From Order'!$A2508=COLUMNS($A2508:G2527), LEFT(INDEX(FILTER(G$1:G2507, G$1:G2507&lt;&gt;""""),COUNTA(FILTER(G$1:G2507, G$1:G2507&lt;&gt;""""))), LEN(INDEX(FILTER(G$1:G2507, G$1:G2507&lt;&gt;""""),COUNTA(FILTER(G$1:G2507, G$1:G2507&lt;&gt;""""))))-1), IF('To Order'!$A2508=COL"&amp;"UMNS($A2508:G2527), G2507&amp;RIGHT(INDIRECT(ADDRESS(ROW(G2508)-1, 'From Order'!$A2508)), 1), G2507))"),"")</f>
        <v/>
      </c>
      <c r="H2508" s="2" t="str">
        <f>IFERROR(__xludf.DUMMYFUNCTION("IF('From Order'!$A2508=COLUMNS($A2508:H2527), LEFT(INDEX(FILTER(H$1:H2507, H$1:H2507&lt;&gt;""""),COUNTA(FILTER(H$1:H2507, H$1:H2507&lt;&gt;""""))), LEN(INDEX(FILTER(H$1:H2507, H$1:H2507&lt;&gt;""""),COUNTA(FILTER(H$1:H2507, H$1:H2507&lt;&gt;""""))))-1), IF('To Order'!$A2508=COL"&amp;"UMNS($A2508:H2527), H2507&amp;RIGHT(INDIRECT(ADDRESS(ROW(H2508)-1, 'From Order'!$A2508)), 1), H2507))"),"T")</f>
        <v>T</v>
      </c>
      <c r="I2508" s="2" t="str">
        <f>IFERROR(__xludf.DUMMYFUNCTION("IF('From Order'!$A2508=COLUMNS($A2508:I2527), LEFT(INDEX(FILTER(I$1:I2507, I$1:I2507&lt;&gt;""""),COUNTA(FILTER(I$1:I2507, I$1:I2507&lt;&gt;""""))), LEN(INDEX(FILTER(I$1:I2507, I$1:I2507&lt;&gt;""""),COUNTA(FILTER(I$1:I2507, I$1:I2507&lt;&gt;""""))))-1), IF('To Order'!$A2508=COL"&amp;"UMNS($A2508:I2527), I2507&amp;RIGHT(INDIRECT(ADDRESS(ROW(I2508)-1, 'From Order'!$A2508)), 1), I2507))"),"QVVDD")</f>
        <v>QVVDD</v>
      </c>
    </row>
    <row r="2509">
      <c r="A2509" s="2" t="str">
        <f>IFERROR(__xludf.DUMMYFUNCTION("IF('From Order'!$A2509=COLUMNS($A2509:A2528), LEFT(INDEX(FILTER(A$1:A2508, A$1:A2508&lt;&gt;""""),COUNTA(FILTER(A$1:A2508, A$1:A2508&lt;&gt;""""))), LEN(INDEX(FILTER(A$1:A2508, A$1:A2508&lt;&gt;""""),COUNTA(FILTER(A$1:A2508, A$1:A2508&lt;&gt;""""))))-1), IF('To Order'!$A2509=COL"&amp;"UMNS($A2509:A2528), A2508&amp;RIGHT(INDIRECT(ADDRESS(ROW(A2509)-1, 'From Order'!$A2509)), 1), A2508))"),"DRSZ")</f>
        <v>DRSZ</v>
      </c>
      <c r="B2509" s="2" t="str">
        <f>IFERROR(__xludf.DUMMYFUNCTION("IF('From Order'!$A2509=COLUMNS($A2509:B2528), LEFT(INDEX(FILTER(B$1:B2508, B$1:B2508&lt;&gt;""""),COUNTA(FILTER(B$1:B2508, B$1:B2508&lt;&gt;""""))), LEN(INDEX(FILTER(B$1:B2508, B$1:B2508&lt;&gt;""""),COUNTA(FILTER(B$1:B2508, B$1:B2508&lt;&gt;""""))))-1), IF('To Order'!$A2509=COL"&amp;"UMNS($A2509:B2528), B2508&amp;RIGHT(INDIRECT(ADDRESS(ROW(B2509)-1, 'From Order'!$A2509)), 1), B2508))"),"QGWWLHBS")</f>
        <v>QGWWLHBS</v>
      </c>
      <c r="C2509" s="2" t="str">
        <f>IFERROR(__xludf.DUMMYFUNCTION("IF('From Order'!$A2509=COLUMNS($A2509:C2528), LEFT(INDEX(FILTER(C$1:C2508, C$1:C2508&lt;&gt;""""),COUNTA(FILTER(C$1:C2508, C$1:C2508&lt;&gt;""""))), LEN(INDEX(FILTER(C$1:C2508, C$1:C2508&lt;&gt;""""),COUNTA(FILTER(C$1:C2508, C$1:C2508&lt;&gt;""""))))-1), IF('To Order'!$A2509=COL"&amp;"UMNS($A2509:C2528), C2508&amp;RIGHT(INDIRECT(ADDRESS(ROW(C2509)-1, 'From Order'!$A2509)), 1), C2508))"),"CDLFBD")</f>
        <v>CDLFBD</v>
      </c>
      <c r="D2509" s="2" t="str">
        <f>IFERROR(__xludf.DUMMYFUNCTION("IF('From Order'!$A2509=COLUMNS($A2509:D2528), LEFT(INDEX(FILTER(D$1:D2508, D$1:D2508&lt;&gt;""""),COUNTA(FILTER(D$1:D2508, D$1:D2508&lt;&gt;""""))), LEN(INDEX(FILTER(D$1:D2508, D$1:D2508&lt;&gt;""""),COUNTA(FILTER(D$1:D2508, D$1:D2508&lt;&gt;""""))))-1), IF('To Order'!$A2509=COL"&amp;"UMNS($A2509:D2528), D2508&amp;RIGHT(INDIRECT(ADDRESS(ROW(D2509)-1, 'From Order'!$A2509)), 1), D2508))"),"C")</f>
        <v>C</v>
      </c>
      <c r="E2509" s="2" t="str">
        <f>IFERROR(__xludf.DUMMYFUNCTION("IF('From Order'!$A2509=COLUMNS($A2509:E2528), LEFT(INDEX(FILTER(E$1:E2508, E$1:E2508&lt;&gt;""""),COUNTA(FILTER(E$1:E2508, E$1:E2508&lt;&gt;""""))), LEN(INDEX(FILTER(E$1:E2508, E$1:E2508&lt;&gt;""""),COUNTA(FILTER(E$1:E2508, E$1:E2508&lt;&gt;""""))))-1), IF('To Order'!$A2509=COL"&amp;"UMNS($A2509:E2528), E2508&amp;RIGHT(INDIRECT(ADDRESS(ROW(E2509)-1, 'From Order'!$A2509)), 1), E2508))"),"BRPHZMTJBV")</f>
        <v>BRPHZMTJBV</v>
      </c>
      <c r="F2509" s="2" t="str">
        <f>IFERROR(__xludf.DUMMYFUNCTION("IF('From Order'!$A2509=COLUMNS($A2509:F2528), LEFT(INDEX(FILTER(F$1:F2508, F$1:F2508&lt;&gt;""""),COUNTA(FILTER(F$1:F2508, F$1:F2508&lt;&gt;""""))), LEN(INDEX(FILTER(F$1:F2508, F$1:F2508&lt;&gt;""""),COUNTA(FILTER(F$1:F2508, F$1:F2508&lt;&gt;""""))))-1), IF('To Order'!$A2509=COL"&amp;"UMNS($A2509:F2528), F2508&amp;RIGHT(INDIRECT(ADDRESS(ROW(F2509)-1, 'From Order'!$A2509)), 1), F2508))"),"RSPMGTTMDZFJCTTJRRLPS")</f>
        <v>RSPMGTTMDZFJCTTJRRLPS</v>
      </c>
      <c r="G2509" s="2" t="str">
        <f>IFERROR(__xludf.DUMMYFUNCTION("IF('From Order'!$A2509=COLUMNS($A2509:G2528), LEFT(INDEX(FILTER(G$1:G2508, G$1:G2508&lt;&gt;""""),COUNTA(FILTER(G$1:G2508, G$1:G2508&lt;&gt;""""))), LEN(INDEX(FILTER(G$1:G2508, G$1:G2508&lt;&gt;""""),COUNTA(FILTER(G$1:G2508, G$1:G2508&lt;&gt;""""))))-1), IF('To Order'!$A2509=COL"&amp;"UMNS($A2509:G2528), G2508&amp;RIGHT(INDIRECT(ADDRESS(ROW(G2509)-1, 'From Order'!$A2509)), 1), G2508))"),"")</f>
        <v/>
      </c>
      <c r="H2509" s="2" t="str">
        <f>IFERROR(__xludf.DUMMYFUNCTION("IF('From Order'!$A2509=COLUMNS($A2509:H2528), LEFT(INDEX(FILTER(H$1:H2508, H$1:H2508&lt;&gt;""""),COUNTA(FILTER(H$1:H2508, H$1:H2508&lt;&gt;""""))), LEN(INDEX(FILTER(H$1:H2508, H$1:H2508&lt;&gt;""""),COUNTA(FILTER(H$1:H2508, H$1:H2508&lt;&gt;""""))))-1), IF('To Order'!$A2509=COL"&amp;"UMNS($A2509:H2528), H2508&amp;RIGHT(INDIRECT(ADDRESS(ROW(H2509)-1, 'From Order'!$A2509)), 1), H2508))"),"T")</f>
        <v>T</v>
      </c>
      <c r="I2509" s="2" t="str">
        <f>IFERROR(__xludf.DUMMYFUNCTION("IF('From Order'!$A2509=COLUMNS($A2509:I2528), LEFT(INDEX(FILTER(I$1:I2508, I$1:I2508&lt;&gt;""""),COUNTA(FILTER(I$1:I2508, I$1:I2508&lt;&gt;""""))), LEN(INDEX(FILTER(I$1:I2508, I$1:I2508&lt;&gt;""""),COUNTA(FILTER(I$1:I2508, I$1:I2508&lt;&gt;""""))))-1), IF('To Order'!$A2509=COL"&amp;"UMNS($A2509:I2528), I2508&amp;RIGHT(INDIRECT(ADDRESS(ROW(I2509)-1, 'From Order'!$A2509)), 1), I2508))"),"QVVDD")</f>
        <v>QVVDD</v>
      </c>
    </row>
    <row r="2510">
      <c r="A2510" s="2" t="str">
        <f>IFERROR(__xludf.DUMMYFUNCTION("IF('From Order'!$A2510=COLUMNS($A2510:A2529), LEFT(INDEX(FILTER(A$1:A2509, A$1:A2509&lt;&gt;""""),COUNTA(FILTER(A$1:A2509, A$1:A2509&lt;&gt;""""))), LEN(INDEX(FILTER(A$1:A2509, A$1:A2509&lt;&gt;""""),COUNTA(FILTER(A$1:A2509, A$1:A2509&lt;&gt;""""))))-1), IF('To Order'!$A2510=COL"&amp;"UMNS($A2510:A2529), A2509&amp;RIGHT(INDIRECT(ADDRESS(ROW(A2510)-1, 'From Order'!$A2510)), 1), A2509))"),"DRSZ")</f>
        <v>DRSZ</v>
      </c>
      <c r="B2510" s="2" t="str">
        <f>IFERROR(__xludf.DUMMYFUNCTION("IF('From Order'!$A2510=COLUMNS($A2510:B2529), LEFT(INDEX(FILTER(B$1:B2509, B$1:B2509&lt;&gt;""""),COUNTA(FILTER(B$1:B2509, B$1:B2509&lt;&gt;""""))), LEN(INDEX(FILTER(B$1:B2509, B$1:B2509&lt;&gt;""""),COUNTA(FILTER(B$1:B2509, B$1:B2509&lt;&gt;""""))))-1), IF('To Order'!$A2510=COL"&amp;"UMNS($A2510:B2529), B2509&amp;RIGHT(INDIRECT(ADDRESS(ROW(B2510)-1, 'From Order'!$A2510)), 1), B2509))"),"QGWWLHBS")</f>
        <v>QGWWLHBS</v>
      </c>
      <c r="C2510" s="2" t="str">
        <f>IFERROR(__xludf.DUMMYFUNCTION("IF('From Order'!$A2510=COLUMNS($A2510:C2529), LEFT(INDEX(FILTER(C$1:C2509, C$1:C2509&lt;&gt;""""),COUNTA(FILTER(C$1:C2509, C$1:C2509&lt;&gt;""""))), LEN(INDEX(FILTER(C$1:C2509, C$1:C2509&lt;&gt;""""),COUNTA(FILTER(C$1:C2509, C$1:C2509&lt;&gt;""""))))-1), IF('To Order'!$A2510=COL"&amp;"UMNS($A2510:C2529), C2509&amp;RIGHT(INDIRECT(ADDRESS(ROW(C2510)-1, 'From Order'!$A2510)), 1), C2509))"),"CDLFBDV")</f>
        <v>CDLFBDV</v>
      </c>
      <c r="D2510" s="2" t="str">
        <f>IFERROR(__xludf.DUMMYFUNCTION("IF('From Order'!$A2510=COLUMNS($A2510:D2529), LEFT(INDEX(FILTER(D$1:D2509, D$1:D2509&lt;&gt;""""),COUNTA(FILTER(D$1:D2509, D$1:D2509&lt;&gt;""""))), LEN(INDEX(FILTER(D$1:D2509, D$1:D2509&lt;&gt;""""),COUNTA(FILTER(D$1:D2509, D$1:D2509&lt;&gt;""""))))-1), IF('To Order'!$A2510=COL"&amp;"UMNS($A2510:D2529), D2509&amp;RIGHT(INDIRECT(ADDRESS(ROW(D2510)-1, 'From Order'!$A2510)), 1), D2509))"),"C")</f>
        <v>C</v>
      </c>
      <c r="E2510" s="2" t="str">
        <f>IFERROR(__xludf.DUMMYFUNCTION("IF('From Order'!$A2510=COLUMNS($A2510:E2529), LEFT(INDEX(FILTER(E$1:E2509, E$1:E2509&lt;&gt;""""),COUNTA(FILTER(E$1:E2509, E$1:E2509&lt;&gt;""""))), LEN(INDEX(FILTER(E$1:E2509, E$1:E2509&lt;&gt;""""),COUNTA(FILTER(E$1:E2509, E$1:E2509&lt;&gt;""""))))-1), IF('To Order'!$A2510=COL"&amp;"UMNS($A2510:E2529), E2509&amp;RIGHT(INDIRECT(ADDRESS(ROW(E2510)-1, 'From Order'!$A2510)), 1), E2509))"),"BRPHZMTJB")</f>
        <v>BRPHZMTJB</v>
      </c>
      <c r="F2510" s="2" t="str">
        <f>IFERROR(__xludf.DUMMYFUNCTION("IF('From Order'!$A2510=COLUMNS($A2510:F2529), LEFT(INDEX(FILTER(F$1:F2509, F$1:F2509&lt;&gt;""""),COUNTA(FILTER(F$1:F2509, F$1:F2509&lt;&gt;""""))), LEN(INDEX(FILTER(F$1:F2509, F$1:F2509&lt;&gt;""""),COUNTA(FILTER(F$1:F2509, F$1:F2509&lt;&gt;""""))))-1), IF('To Order'!$A2510=COL"&amp;"UMNS($A2510:F2529), F2509&amp;RIGHT(INDIRECT(ADDRESS(ROW(F2510)-1, 'From Order'!$A2510)), 1), F2509))"),"RSPMGTTMDZFJCTTJRRLPS")</f>
        <v>RSPMGTTMDZFJCTTJRRLPS</v>
      </c>
      <c r="G2510" s="2" t="str">
        <f>IFERROR(__xludf.DUMMYFUNCTION("IF('From Order'!$A2510=COLUMNS($A2510:G2529), LEFT(INDEX(FILTER(G$1:G2509, G$1:G2509&lt;&gt;""""),COUNTA(FILTER(G$1:G2509, G$1:G2509&lt;&gt;""""))), LEN(INDEX(FILTER(G$1:G2509, G$1:G2509&lt;&gt;""""),COUNTA(FILTER(G$1:G2509, G$1:G2509&lt;&gt;""""))))-1), IF('To Order'!$A2510=COL"&amp;"UMNS($A2510:G2529), G2509&amp;RIGHT(INDIRECT(ADDRESS(ROW(G2510)-1, 'From Order'!$A2510)), 1), G2509))"),"")</f>
        <v/>
      </c>
      <c r="H2510" s="2" t="str">
        <f>IFERROR(__xludf.DUMMYFUNCTION("IF('From Order'!$A2510=COLUMNS($A2510:H2529), LEFT(INDEX(FILTER(H$1:H2509, H$1:H2509&lt;&gt;""""),COUNTA(FILTER(H$1:H2509, H$1:H2509&lt;&gt;""""))), LEN(INDEX(FILTER(H$1:H2509, H$1:H2509&lt;&gt;""""),COUNTA(FILTER(H$1:H2509, H$1:H2509&lt;&gt;""""))))-1), IF('To Order'!$A2510=COL"&amp;"UMNS($A2510:H2529), H2509&amp;RIGHT(INDIRECT(ADDRESS(ROW(H2510)-1, 'From Order'!$A2510)), 1), H2509))"),"T")</f>
        <v>T</v>
      </c>
      <c r="I2510" s="2" t="str">
        <f>IFERROR(__xludf.DUMMYFUNCTION("IF('From Order'!$A2510=COLUMNS($A2510:I2529), LEFT(INDEX(FILTER(I$1:I2509, I$1:I2509&lt;&gt;""""),COUNTA(FILTER(I$1:I2509, I$1:I2509&lt;&gt;""""))), LEN(INDEX(FILTER(I$1:I2509, I$1:I2509&lt;&gt;""""),COUNTA(FILTER(I$1:I2509, I$1:I2509&lt;&gt;""""))))-1), IF('To Order'!$A2510=COL"&amp;"UMNS($A2510:I2529), I2509&amp;RIGHT(INDIRECT(ADDRESS(ROW(I2510)-1, 'From Order'!$A2510)), 1), I2509))"),"QVVDD")</f>
        <v>QVVDD</v>
      </c>
    </row>
    <row r="2511">
      <c r="A2511" s="2" t="str">
        <f>IFERROR(__xludf.DUMMYFUNCTION("IF('From Order'!$A2511=COLUMNS($A2511:A2530), LEFT(INDEX(FILTER(A$1:A2510, A$1:A2510&lt;&gt;""""),COUNTA(FILTER(A$1:A2510, A$1:A2510&lt;&gt;""""))), LEN(INDEX(FILTER(A$1:A2510, A$1:A2510&lt;&gt;""""),COUNTA(FILTER(A$1:A2510, A$1:A2510&lt;&gt;""""))))-1), IF('To Order'!$A2511=COL"&amp;"UMNS($A2511:A2530), A2510&amp;RIGHT(INDIRECT(ADDRESS(ROW(A2511)-1, 'From Order'!$A2511)), 1), A2510))"),"DRSZ")</f>
        <v>DRSZ</v>
      </c>
      <c r="B2511" s="2" t="str">
        <f>IFERROR(__xludf.DUMMYFUNCTION("IF('From Order'!$A2511=COLUMNS($A2511:B2530), LEFT(INDEX(FILTER(B$1:B2510, B$1:B2510&lt;&gt;""""),COUNTA(FILTER(B$1:B2510, B$1:B2510&lt;&gt;""""))), LEN(INDEX(FILTER(B$1:B2510, B$1:B2510&lt;&gt;""""),COUNTA(FILTER(B$1:B2510, B$1:B2510&lt;&gt;""""))))-1), IF('To Order'!$A2511=COL"&amp;"UMNS($A2511:B2530), B2510&amp;RIGHT(INDIRECT(ADDRESS(ROW(B2511)-1, 'From Order'!$A2511)), 1), B2510))"),"QGWWLHBS")</f>
        <v>QGWWLHBS</v>
      </c>
      <c r="C2511" s="2" t="str">
        <f>IFERROR(__xludf.DUMMYFUNCTION("IF('From Order'!$A2511=COLUMNS($A2511:C2530), LEFT(INDEX(FILTER(C$1:C2510, C$1:C2510&lt;&gt;""""),COUNTA(FILTER(C$1:C2510, C$1:C2510&lt;&gt;""""))), LEN(INDEX(FILTER(C$1:C2510, C$1:C2510&lt;&gt;""""),COUNTA(FILTER(C$1:C2510, C$1:C2510&lt;&gt;""""))))-1), IF('To Order'!$A2511=COL"&amp;"UMNS($A2511:C2530), C2510&amp;RIGHT(INDIRECT(ADDRESS(ROW(C2511)-1, 'From Order'!$A2511)), 1), C2510))"),"CDLFBDVB")</f>
        <v>CDLFBDVB</v>
      </c>
      <c r="D2511" s="2" t="str">
        <f>IFERROR(__xludf.DUMMYFUNCTION("IF('From Order'!$A2511=COLUMNS($A2511:D2530), LEFT(INDEX(FILTER(D$1:D2510, D$1:D2510&lt;&gt;""""),COUNTA(FILTER(D$1:D2510, D$1:D2510&lt;&gt;""""))), LEN(INDEX(FILTER(D$1:D2510, D$1:D2510&lt;&gt;""""),COUNTA(FILTER(D$1:D2510, D$1:D2510&lt;&gt;""""))))-1), IF('To Order'!$A2511=COL"&amp;"UMNS($A2511:D2530), D2510&amp;RIGHT(INDIRECT(ADDRESS(ROW(D2511)-1, 'From Order'!$A2511)), 1), D2510))"),"C")</f>
        <v>C</v>
      </c>
      <c r="E2511" s="2" t="str">
        <f>IFERROR(__xludf.DUMMYFUNCTION("IF('From Order'!$A2511=COLUMNS($A2511:E2530), LEFT(INDEX(FILTER(E$1:E2510, E$1:E2510&lt;&gt;""""),COUNTA(FILTER(E$1:E2510, E$1:E2510&lt;&gt;""""))), LEN(INDEX(FILTER(E$1:E2510, E$1:E2510&lt;&gt;""""),COUNTA(FILTER(E$1:E2510, E$1:E2510&lt;&gt;""""))))-1), IF('To Order'!$A2511=COL"&amp;"UMNS($A2511:E2530), E2510&amp;RIGHT(INDIRECT(ADDRESS(ROW(E2511)-1, 'From Order'!$A2511)), 1), E2510))"),"BRPHZMTJ")</f>
        <v>BRPHZMTJ</v>
      </c>
      <c r="F2511" s="2" t="str">
        <f>IFERROR(__xludf.DUMMYFUNCTION("IF('From Order'!$A2511=COLUMNS($A2511:F2530), LEFT(INDEX(FILTER(F$1:F2510, F$1:F2510&lt;&gt;""""),COUNTA(FILTER(F$1:F2510, F$1:F2510&lt;&gt;""""))), LEN(INDEX(FILTER(F$1:F2510, F$1:F2510&lt;&gt;""""),COUNTA(FILTER(F$1:F2510, F$1:F2510&lt;&gt;""""))))-1), IF('To Order'!$A2511=COL"&amp;"UMNS($A2511:F2530), F2510&amp;RIGHT(INDIRECT(ADDRESS(ROW(F2511)-1, 'From Order'!$A2511)), 1), F2510))"),"RSPMGTTMDZFJCTTJRRLPS")</f>
        <v>RSPMGTTMDZFJCTTJRRLPS</v>
      </c>
      <c r="G2511" s="2" t="str">
        <f>IFERROR(__xludf.DUMMYFUNCTION("IF('From Order'!$A2511=COLUMNS($A2511:G2530), LEFT(INDEX(FILTER(G$1:G2510, G$1:G2510&lt;&gt;""""),COUNTA(FILTER(G$1:G2510, G$1:G2510&lt;&gt;""""))), LEN(INDEX(FILTER(G$1:G2510, G$1:G2510&lt;&gt;""""),COUNTA(FILTER(G$1:G2510, G$1:G2510&lt;&gt;""""))))-1), IF('To Order'!$A2511=COL"&amp;"UMNS($A2511:G2530), G2510&amp;RIGHT(INDIRECT(ADDRESS(ROW(G2511)-1, 'From Order'!$A2511)), 1), G2510))"),"")</f>
        <v/>
      </c>
      <c r="H2511" s="2" t="str">
        <f>IFERROR(__xludf.DUMMYFUNCTION("IF('From Order'!$A2511=COLUMNS($A2511:H2530), LEFT(INDEX(FILTER(H$1:H2510, H$1:H2510&lt;&gt;""""),COUNTA(FILTER(H$1:H2510, H$1:H2510&lt;&gt;""""))), LEN(INDEX(FILTER(H$1:H2510, H$1:H2510&lt;&gt;""""),COUNTA(FILTER(H$1:H2510, H$1:H2510&lt;&gt;""""))))-1), IF('To Order'!$A2511=COL"&amp;"UMNS($A2511:H2530), H2510&amp;RIGHT(INDIRECT(ADDRESS(ROW(H2511)-1, 'From Order'!$A2511)), 1), H2510))"),"T")</f>
        <v>T</v>
      </c>
      <c r="I2511" s="2" t="str">
        <f>IFERROR(__xludf.DUMMYFUNCTION("IF('From Order'!$A2511=COLUMNS($A2511:I2530), LEFT(INDEX(FILTER(I$1:I2510, I$1:I2510&lt;&gt;""""),COUNTA(FILTER(I$1:I2510, I$1:I2510&lt;&gt;""""))), LEN(INDEX(FILTER(I$1:I2510, I$1:I2510&lt;&gt;""""),COUNTA(FILTER(I$1:I2510, I$1:I2510&lt;&gt;""""))))-1), IF('To Order'!$A2511=COL"&amp;"UMNS($A2511:I2530), I2510&amp;RIGHT(INDIRECT(ADDRESS(ROW(I2511)-1, 'From Order'!$A2511)), 1), I2510))"),"QVVDD")</f>
        <v>QVVDD</v>
      </c>
    </row>
    <row r="2512">
      <c r="A2512" s="2" t="str">
        <f>IFERROR(__xludf.DUMMYFUNCTION("IF('From Order'!$A2512=COLUMNS($A2512:A2531), LEFT(INDEX(FILTER(A$1:A2511, A$1:A2511&lt;&gt;""""),COUNTA(FILTER(A$1:A2511, A$1:A2511&lt;&gt;""""))), LEN(INDEX(FILTER(A$1:A2511, A$1:A2511&lt;&gt;""""),COUNTA(FILTER(A$1:A2511, A$1:A2511&lt;&gt;""""))))-1), IF('To Order'!$A2512=COL"&amp;"UMNS($A2512:A2531), A2511&amp;RIGHT(INDIRECT(ADDRESS(ROW(A2512)-1, 'From Order'!$A2512)), 1), A2511))"),"DRSZ")</f>
        <v>DRSZ</v>
      </c>
      <c r="B2512" s="2" t="str">
        <f>IFERROR(__xludf.DUMMYFUNCTION("IF('From Order'!$A2512=COLUMNS($A2512:B2531), LEFT(INDEX(FILTER(B$1:B2511, B$1:B2511&lt;&gt;""""),COUNTA(FILTER(B$1:B2511, B$1:B2511&lt;&gt;""""))), LEN(INDEX(FILTER(B$1:B2511, B$1:B2511&lt;&gt;""""),COUNTA(FILTER(B$1:B2511, B$1:B2511&lt;&gt;""""))))-1), IF('To Order'!$A2512=COL"&amp;"UMNS($A2512:B2531), B2511&amp;RIGHT(INDIRECT(ADDRESS(ROW(B2512)-1, 'From Order'!$A2512)), 1), B2511))"),"QGWWLHBS")</f>
        <v>QGWWLHBS</v>
      </c>
      <c r="C2512" s="2" t="str">
        <f>IFERROR(__xludf.DUMMYFUNCTION("IF('From Order'!$A2512=COLUMNS($A2512:C2531), LEFT(INDEX(FILTER(C$1:C2511, C$1:C2511&lt;&gt;""""),COUNTA(FILTER(C$1:C2511, C$1:C2511&lt;&gt;""""))), LEN(INDEX(FILTER(C$1:C2511, C$1:C2511&lt;&gt;""""),COUNTA(FILTER(C$1:C2511, C$1:C2511&lt;&gt;""""))))-1), IF('To Order'!$A2512=COL"&amp;"UMNS($A2512:C2531), C2511&amp;RIGHT(INDIRECT(ADDRESS(ROW(C2512)-1, 'From Order'!$A2512)), 1), C2511))"),"CDLFBDVB")</f>
        <v>CDLFBDVB</v>
      </c>
      <c r="D2512" s="2" t="str">
        <f>IFERROR(__xludf.DUMMYFUNCTION("IF('From Order'!$A2512=COLUMNS($A2512:D2531), LEFT(INDEX(FILTER(D$1:D2511, D$1:D2511&lt;&gt;""""),COUNTA(FILTER(D$1:D2511, D$1:D2511&lt;&gt;""""))), LEN(INDEX(FILTER(D$1:D2511, D$1:D2511&lt;&gt;""""),COUNTA(FILTER(D$1:D2511, D$1:D2511&lt;&gt;""""))))-1), IF('To Order'!$A2512=COL"&amp;"UMNS($A2512:D2531), D2511&amp;RIGHT(INDIRECT(ADDRESS(ROW(D2512)-1, 'From Order'!$A2512)), 1), D2511))"),"C")</f>
        <v>C</v>
      </c>
      <c r="E2512" s="2" t="str">
        <f>IFERROR(__xludf.DUMMYFUNCTION("IF('From Order'!$A2512=COLUMNS($A2512:E2531), LEFT(INDEX(FILTER(E$1:E2511, E$1:E2511&lt;&gt;""""),COUNTA(FILTER(E$1:E2511, E$1:E2511&lt;&gt;""""))), LEN(INDEX(FILTER(E$1:E2511, E$1:E2511&lt;&gt;""""),COUNTA(FILTER(E$1:E2511, E$1:E2511&lt;&gt;""""))))-1), IF('To Order'!$A2512=COL"&amp;"UMNS($A2512:E2531), E2511&amp;RIGHT(INDIRECT(ADDRESS(ROW(E2512)-1, 'From Order'!$A2512)), 1), E2511))"),"BRPHZMT")</f>
        <v>BRPHZMT</v>
      </c>
      <c r="F2512" s="2" t="str">
        <f>IFERROR(__xludf.DUMMYFUNCTION("IF('From Order'!$A2512=COLUMNS($A2512:F2531), LEFT(INDEX(FILTER(F$1:F2511, F$1:F2511&lt;&gt;""""),COUNTA(FILTER(F$1:F2511, F$1:F2511&lt;&gt;""""))), LEN(INDEX(FILTER(F$1:F2511, F$1:F2511&lt;&gt;""""),COUNTA(FILTER(F$1:F2511, F$1:F2511&lt;&gt;""""))))-1), IF('To Order'!$A2512=COL"&amp;"UMNS($A2512:F2531), F2511&amp;RIGHT(INDIRECT(ADDRESS(ROW(F2512)-1, 'From Order'!$A2512)), 1), F2511))"),"RSPMGTTMDZFJCTTJRRLPS")</f>
        <v>RSPMGTTMDZFJCTTJRRLPS</v>
      </c>
      <c r="G2512" s="2" t="str">
        <f>IFERROR(__xludf.DUMMYFUNCTION("IF('From Order'!$A2512=COLUMNS($A2512:G2531), LEFT(INDEX(FILTER(G$1:G2511, G$1:G2511&lt;&gt;""""),COUNTA(FILTER(G$1:G2511, G$1:G2511&lt;&gt;""""))), LEN(INDEX(FILTER(G$1:G2511, G$1:G2511&lt;&gt;""""),COUNTA(FILTER(G$1:G2511, G$1:G2511&lt;&gt;""""))))-1), IF('To Order'!$A2512=COL"&amp;"UMNS($A2512:G2531), G2511&amp;RIGHT(INDIRECT(ADDRESS(ROW(G2512)-1, 'From Order'!$A2512)), 1), G2511))"),"")</f>
        <v/>
      </c>
      <c r="H2512" s="2" t="str">
        <f>IFERROR(__xludf.DUMMYFUNCTION("IF('From Order'!$A2512=COLUMNS($A2512:H2531), LEFT(INDEX(FILTER(H$1:H2511, H$1:H2511&lt;&gt;""""),COUNTA(FILTER(H$1:H2511, H$1:H2511&lt;&gt;""""))), LEN(INDEX(FILTER(H$1:H2511, H$1:H2511&lt;&gt;""""),COUNTA(FILTER(H$1:H2511, H$1:H2511&lt;&gt;""""))))-1), IF('To Order'!$A2512=COL"&amp;"UMNS($A2512:H2531), H2511&amp;RIGHT(INDIRECT(ADDRESS(ROW(H2512)-1, 'From Order'!$A2512)), 1), H2511))"),"TJ")</f>
        <v>TJ</v>
      </c>
      <c r="I2512" s="2" t="str">
        <f>IFERROR(__xludf.DUMMYFUNCTION("IF('From Order'!$A2512=COLUMNS($A2512:I2531), LEFT(INDEX(FILTER(I$1:I2511, I$1:I2511&lt;&gt;""""),COUNTA(FILTER(I$1:I2511, I$1:I2511&lt;&gt;""""))), LEN(INDEX(FILTER(I$1:I2511, I$1:I2511&lt;&gt;""""),COUNTA(FILTER(I$1:I2511, I$1:I2511&lt;&gt;""""))))-1), IF('To Order'!$A2512=COL"&amp;"UMNS($A2512:I2531), I2511&amp;RIGHT(INDIRECT(ADDRESS(ROW(I2512)-1, 'From Order'!$A2512)), 1), I2511))"),"QVVDD")</f>
        <v>QVVDD</v>
      </c>
    </row>
    <row r="2513">
      <c r="A2513" s="2" t="str">
        <f>IFERROR(__xludf.DUMMYFUNCTION("IF('From Order'!$A2513=COLUMNS($A2513:A2532), LEFT(INDEX(FILTER(A$1:A2512, A$1:A2512&lt;&gt;""""),COUNTA(FILTER(A$1:A2512, A$1:A2512&lt;&gt;""""))), LEN(INDEX(FILTER(A$1:A2512, A$1:A2512&lt;&gt;""""),COUNTA(FILTER(A$1:A2512, A$1:A2512&lt;&gt;""""))))-1), IF('To Order'!$A2513=COL"&amp;"UMNS($A2513:A2532), A2512&amp;RIGHT(INDIRECT(ADDRESS(ROW(A2513)-1, 'From Order'!$A2513)), 1), A2512))"),"DRSZ")</f>
        <v>DRSZ</v>
      </c>
      <c r="B2513" s="2" t="str">
        <f>IFERROR(__xludf.DUMMYFUNCTION("IF('From Order'!$A2513=COLUMNS($A2513:B2532), LEFT(INDEX(FILTER(B$1:B2512, B$1:B2512&lt;&gt;""""),COUNTA(FILTER(B$1:B2512, B$1:B2512&lt;&gt;""""))), LEN(INDEX(FILTER(B$1:B2512, B$1:B2512&lt;&gt;""""),COUNTA(FILTER(B$1:B2512, B$1:B2512&lt;&gt;""""))))-1), IF('To Order'!$A2513=COL"&amp;"UMNS($A2513:B2532), B2512&amp;RIGHT(INDIRECT(ADDRESS(ROW(B2513)-1, 'From Order'!$A2513)), 1), B2512))"),"QGWWLHBS")</f>
        <v>QGWWLHBS</v>
      </c>
      <c r="C2513" s="2" t="str">
        <f>IFERROR(__xludf.DUMMYFUNCTION("IF('From Order'!$A2513=COLUMNS($A2513:C2532), LEFT(INDEX(FILTER(C$1:C2512, C$1:C2512&lt;&gt;""""),COUNTA(FILTER(C$1:C2512, C$1:C2512&lt;&gt;""""))), LEN(INDEX(FILTER(C$1:C2512, C$1:C2512&lt;&gt;""""),COUNTA(FILTER(C$1:C2512, C$1:C2512&lt;&gt;""""))))-1), IF('To Order'!$A2513=COL"&amp;"UMNS($A2513:C2532), C2512&amp;RIGHT(INDIRECT(ADDRESS(ROW(C2513)-1, 'From Order'!$A2513)), 1), C2512))"),"CDLFBDVB")</f>
        <v>CDLFBDVB</v>
      </c>
      <c r="D2513" s="2" t="str">
        <f>IFERROR(__xludf.DUMMYFUNCTION("IF('From Order'!$A2513=COLUMNS($A2513:D2532), LEFT(INDEX(FILTER(D$1:D2512, D$1:D2512&lt;&gt;""""),COUNTA(FILTER(D$1:D2512, D$1:D2512&lt;&gt;""""))), LEN(INDEX(FILTER(D$1:D2512, D$1:D2512&lt;&gt;""""),COUNTA(FILTER(D$1:D2512, D$1:D2512&lt;&gt;""""))))-1), IF('To Order'!$A2513=COL"&amp;"UMNS($A2513:D2532), D2512&amp;RIGHT(INDIRECT(ADDRESS(ROW(D2513)-1, 'From Order'!$A2513)), 1), D2512))"),"C")</f>
        <v>C</v>
      </c>
      <c r="E2513" s="2" t="str">
        <f>IFERROR(__xludf.DUMMYFUNCTION("IF('From Order'!$A2513=COLUMNS($A2513:E2532), LEFT(INDEX(FILTER(E$1:E2512, E$1:E2512&lt;&gt;""""),COUNTA(FILTER(E$1:E2512, E$1:E2512&lt;&gt;""""))), LEN(INDEX(FILTER(E$1:E2512, E$1:E2512&lt;&gt;""""),COUNTA(FILTER(E$1:E2512, E$1:E2512&lt;&gt;""""))))-1), IF('To Order'!$A2513=COL"&amp;"UMNS($A2513:E2532), E2512&amp;RIGHT(INDIRECT(ADDRESS(ROW(E2513)-1, 'From Order'!$A2513)), 1), E2512))"),"BRPHZM")</f>
        <v>BRPHZM</v>
      </c>
      <c r="F2513" s="2" t="str">
        <f>IFERROR(__xludf.DUMMYFUNCTION("IF('From Order'!$A2513=COLUMNS($A2513:F2532), LEFT(INDEX(FILTER(F$1:F2512, F$1:F2512&lt;&gt;""""),COUNTA(FILTER(F$1:F2512, F$1:F2512&lt;&gt;""""))), LEN(INDEX(FILTER(F$1:F2512, F$1:F2512&lt;&gt;""""),COUNTA(FILTER(F$1:F2512, F$1:F2512&lt;&gt;""""))))-1), IF('To Order'!$A2513=COL"&amp;"UMNS($A2513:F2532), F2512&amp;RIGHT(INDIRECT(ADDRESS(ROW(F2513)-1, 'From Order'!$A2513)), 1), F2512))"),"RSPMGTTMDZFJCTTJRRLPS")</f>
        <v>RSPMGTTMDZFJCTTJRRLPS</v>
      </c>
      <c r="G2513" s="2" t="str">
        <f>IFERROR(__xludf.DUMMYFUNCTION("IF('From Order'!$A2513=COLUMNS($A2513:G2532), LEFT(INDEX(FILTER(G$1:G2512, G$1:G2512&lt;&gt;""""),COUNTA(FILTER(G$1:G2512, G$1:G2512&lt;&gt;""""))), LEN(INDEX(FILTER(G$1:G2512, G$1:G2512&lt;&gt;""""),COUNTA(FILTER(G$1:G2512, G$1:G2512&lt;&gt;""""))))-1), IF('To Order'!$A2513=COL"&amp;"UMNS($A2513:G2532), G2512&amp;RIGHT(INDIRECT(ADDRESS(ROW(G2513)-1, 'From Order'!$A2513)), 1), G2512))"),"")</f>
        <v/>
      </c>
      <c r="H2513" s="2" t="str">
        <f>IFERROR(__xludf.DUMMYFUNCTION("IF('From Order'!$A2513=COLUMNS($A2513:H2532), LEFT(INDEX(FILTER(H$1:H2512, H$1:H2512&lt;&gt;""""),COUNTA(FILTER(H$1:H2512, H$1:H2512&lt;&gt;""""))), LEN(INDEX(FILTER(H$1:H2512, H$1:H2512&lt;&gt;""""),COUNTA(FILTER(H$1:H2512, H$1:H2512&lt;&gt;""""))))-1), IF('To Order'!$A2513=COL"&amp;"UMNS($A2513:H2532), H2512&amp;RIGHT(INDIRECT(ADDRESS(ROW(H2513)-1, 'From Order'!$A2513)), 1), H2512))"),"TJT")</f>
        <v>TJT</v>
      </c>
      <c r="I2513" s="2" t="str">
        <f>IFERROR(__xludf.DUMMYFUNCTION("IF('From Order'!$A2513=COLUMNS($A2513:I2532), LEFT(INDEX(FILTER(I$1:I2512, I$1:I2512&lt;&gt;""""),COUNTA(FILTER(I$1:I2512, I$1:I2512&lt;&gt;""""))), LEN(INDEX(FILTER(I$1:I2512, I$1:I2512&lt;&gt;""""),COUNTA(FILTER(I$1:I2512, I$1:I2512&lt;&gt;""""))))-1), IF('To Order'!$A2513=COL"&amp;"UMNS($A2513:I2532), I2512&amp;RIGHT(INDIRECT(ADDRESS(ROW(I2513)-1, 'From Order'!$A2513)), 1), I2512))"),"QVVDD")</f>
        <v>QVVDD</v>
      </c>
    </row>
    <row r="2514">
      <c r="A2514" s="2" t="str">
        <f>IFERROR(__xludf.DUMMYFUNCTION("IF('From Order'!$A2514=COLUMNS($A2514:A2533), LEFT(INDEX(FILTER(A$1:A2513, A$1:A2513&lt;&gt;""""),COUNTA(FILTER(A$1:A2513, A$1:A2513&lt;&gt;""""))), LEN(INDEX(FILTER(A$1:A2513, A$1:A2513&lt;&gt;""""),COUNTA(FILTER(A$1:A2513, A$1:A2513&lt;&gt;""""))))-1), IF('To Order'!$A2514=COL"&amp;"UMNS($A2514:A2533), A2513&amp;RIGHT(INDIRECT(ADDRESS(ROW(A2514)-1, 'From Order'!$A2514)), 1), A2513))"),"DRS")</f>
        <v>DRS</v>
      </c>
      <c r="B2514" s="2" t="str">
        <f>IFERROR(__xludf.DUMMYFUNCTION("IF('From Order'!$A2514=COLUMNS($A2514:B2533), LEFT(INDEX(FILTER(B$1:B2513, B$1:B2513&lt;&gt;""""),COUNTA(FILTER(B$1:B2513, B$1:B2513&lt;&gt;""""))), LEN(INDEX(FILTER(B$1:B2513, B$1:B2513&lt;&gt;""""),COUNTA(FILTER(B$1:B2513, B$1:B2513&lt;&gt;""""))))-1), IF('To Order'!$A2514=COL"&amp;"UMNS($A2514:B2533), B2513&amp;RIGHT(INDIRECT(ADDRESS(ROW(B2514)-1, 'From Order'!$A2514)), 1), B2513))"),"QGWWLHBS")</f>
        <v>QGWWLHBS</v>
      </c>
      <c r="C2514" s="2" t="str">
        <f>IFERROR(__xludf.DUMMYFUNCTION("IF('From Order'!$A2514=COLUMNS($A2514:C2533), LEFT(INDEX(FILTER(C$1:C2513, C$1:C2513&lt;&gt;""""),COUNTA(FILTER(C$1:C2513, C$1:C2513&lt;&gt;""""))), LEN(INDEX(FILTER(C$1:C2513, C$1:C2513&lt;&gt;""""),COUNTA(FILTER(C$1:C2513, C$1:C2513&lt;&gt;""""))))-1), IF('To Order'!$A2514=COL"&amp;"UMNS($A2514:C2533), C2513&amp;RIGHT(INDIRECT(ADDRESS(ROW(C2514)-1, 'From Order'!$A2514)), 1), C2513))"),"CDLFBDVB")</f>
        <v>CDLFBDVB</v>
      </c>
      <c r="D2514" s="2" t="str">
        <f>IFERROR(__xludf.DUMMYFUNCTION("IF('From Order'!$A2514=COLUMNS($A2514:D2533), LEFT(INDEX(FILTER(D$1:D2513, D$1:D2513&lt;&gt;""""),COUNTA(FILTER(D$1:D2513, D$1:D2513&lt;&gt;""""))), LEN(INDEX(FILTER(D$1:D2513, D$1:D2513&lt;&gt;""""),COUNTA(FILTER(D$1:D2513, D$1:D2513&lt;&gt;""""))))-1), IF('To Order'!$A2514=COL"&amp;"UMNS($A2514:D2533), D2513&amp;RIGHT(INDIRECT(ADDRESS(ROW(D2514)-1, 'From Order'!$A2514)), 1), D2513))"),"C")</f>
        <v>C</v>
      </c>
      <c r="E2514" s="2" t="str">
        <f>IFERROR(__xludf.DUMMYFUNCTION("IF('From Order'!$A2514=COLUMNS($A2514:E2533), LEFT(INDEX(FILTER(E$1:E2513, E$1:E2513&lt;&gt;""""),COUNTA(FILTER(E$1:E2513, E$1:E2513&lt;&gt;""""))), LEN(INDEX(FILTER(E$1:E2513, E$1:E2513&lt;&gt;""""),COUNTA(FILTER(E$1:E2513, E$1:E2513&lt;&gt;""""))))-1), IF('To Order'!$A2514=COL"&amp;"UMNS($A2514:E2533), E2513&amp;RIGHT(INDIRECT(ADDRESS(ROW(E2514)-1, 'From Order'!$A2514)), 1), E2513))"),"BRPHZM")</f>
        <v>BRPHZM</v>
      </c>
      <c r="F2514" s="2" t="str">
        <f>IFERROR(__xludf.DUMMYFUNCTION("IF('From Order'!$A2514=COLUMNS($A2514:F2533), LEFT(INDEX(FILTER(F$1:F2513, F$1:F2513&lt;&gt;""""),COUNTA(FILTER(F$1:F2513, F$1:F2513&lt;&gt;""""))), LEN(INDEX(FILTER(F$1:F2513, F$1:F2513&lt;&gt;""""),COUNTA(FILTER(F$1:F2513, F$1:F2513&lt;&gt;""""))))-1), IF('To Order'!$A2514=COL"&amp;"UMNS($A2514:F2533), F2513&amp;RIGHT(INDIRECT(ADDRESS(ROW(F2514)-1, 'From Order'!$A2514)), 1), F2513))"),"RSPMGTTMDZFJCTTJRRLPS")</f>
        <v>RSPMGTTMDZFJCTTJRRLPS</v>
      </c>
      <c r="G2514" s="2" t="str">
        <f>IFERROR(__xludf.DUMMYFUNCTION("IF('From Order'!$A2514=COLUMNS($A2514:G2533), LEFT(INDEX(FILTER(G$1:G2513, G$1:G2513&lt;&gt;""""),COUNTA(FILTER(G$1:G2513, G$1:G2513&lt;&gt;""""))), LEN(INDEX(FILTER(G$1:G2513, G$1:G2513&lt;&gt;""""),COUNTA(FILTER(G$1:G2513, G$1:G2513&lt;&gt;""""))))-1), IF('To Order'!$A2514=COL"&amp;"UMNS($A2514:G2533), G2513&amp;RIGHT(INDIRECT(ADDRESS(ROW(G2514)-1, 'From Order'!$A2514)), 1), G2513))"),"Z")</f>
        <v>Z</v>
      </c>
      <c r="H2514" s="2" t="str">
        <f>IFERROR(__xludf.DUMMYFUNCTION("IF('From Order'!$A2514=COLUMNS($A2514:H2533), LEFT(INDEX(FILTER(H$1:H2513, H$1:H2513&lt;&gt;""""),COUNTA(FILTER(H$1:H2513, H$1:H2513&lt;&gt;""""))), LEN(INDEX(FILTER(H$1:H2513, H$1:H2513&lt;&gt;""""),COUNTA(FILTER(H$1:H2513, H$1:H2513&lt;&gt;""""))))-1), IF('To Order'!$A2514=COL"&amp;"UMNS($A2514:H2533), H2513&amp;RIGHT(INDIRECT(ADDRESS(ROW(H2514)-1, 'From Order'!$A2514)), 1), H2513))"),"TJT")</f>
        <v>TJT</v>
      </c>
      <c r="I2514" s="2" t="str">
        <f>IFERROR(__xludf.DUMMYFUNCTION("IF('From Order'!$A2514=COLUMNS($A2514:I2533), LEFT(INDEX(FILTER(I$1:I2513, I$1:I2513&lt;&gt;""""),COUNTA(FILTER(I$1:I2513, I$1:I2513&lt;&gt;""""))), LEN(INDEX(FILTER(I$1:I2513, I$1:I2513&lt;&gt;""""),COUNTA(FILTER(I$1:I2513, I$1:I2513&lt;&gt;""""))))-1), IF('To Order'!$A2514=COL"&amp;"UMNS($A2514:I2533), I2513&amp;RIGHT(INDIRECT(ADDRESS(ROW(I2514)-1, 'From Order'!$A2514)), 1), I2513))"),"QVVDD")</f>
        <v>QVVDD</v>
      </c>
    </row>
    <row r="2515">
      <c r="A2515" s="2" t="str">
        <f>IFERROR(__xludf.DUMMYFUNCTION("IF('From Order'!$A2515=COLUMNS($A2515:A2534), LEFT(INDEX(FILTER(A$1:A2514, A$1:A2514&lt;&gt;""""),COUNTA(FILTER(A$1:A2514, A$1:A2514&lt;&gt;""""))), LEN(INDEX(FILTER(A$1:A2514, A$1:A2514&lt;&gt;""""),COUNTA(FILTER(A$1:A2514, A$1:A2514&lt;&gt;""""))))-1), IF('To Order'!$A2515=COL"&amp;"UMNS($A2515:A2534), A2514&amp;RIGHT(INDIRECT(ADDRESS(ROW(A2515)-1, 'From Order'!$A2515)), 1), A2514))"),"DR")</f>
        <v>DR</v>
      </c>
      <c r="B2515" s="2" t="str">
        <f>IFERROR(__xludf.DUMMYFUNCTION("IF('From Order'!$A2515=COLUMNS($A2515:B2534), LEFT(INDEX(FILTER(B$1:B2514, B$1:B2514&lt;&gt;""""),COUNTA(FILTER(B$1:B2514, B$1:B2514&lt;&gt;""""))), LEN(INDEX(FILTER(B$1:B2514, B$1:B2514&lt;&gt;""""),COUNTA(FILTER(B$1:B2514, B$1:B2514&lt;&gt;""""))))-1), IF('To Order'!$A2515=COL"&amp;"UMNS($A2515:B2534), B2514&amp;RIGHT(INDIRECT(ADDRESS(ROW(B2515)-1, 'From Order'!$A2515)), 1), B2514))"),"QGWWLHBS")</f>
        <v>QGWWLHBS</v>
      </c>
      <c r="C2515" s="2" t="str">
        <f>IFERROR(__xludf.DUMMYFUNCTION("IF('From Order'!$A2515=COLUMNS($A2515:C2534), LEFT(INDEX(FILTER(C$1:C2514, C$1:C2514&lt;&gt;""""),COUNTA(FILTER(C$1:C2514, C$1:C2514&lt;&gt;""""))), LEN(INDEX(FILTER(C$1:C2514, C$1:C2514&lt;&gt;""""),COUNTA(FILTER(C$1:C2514, C$1:C2514&lt;&gt;""""))))-1), IF('To Order'!$A2515=COL"&amp;"UMNS($A2515:C2534), C2514&amp;RIGHT(INDIRECT(ADDRESS(ROW(C2515)-1, 'From Order'!$A2515)), 1), C2514))"),"CDLFBDVB")</f>
        <v>CDLFBDVB</v>
      </c>
      <c r="D2515" s="2" t="str">
        <f>IFERROR(__xludf.DUMMYFUNCTION("IF('From Order'!$A2515=COLUMNS($A2515:D2534), LEFT(INDEX(FILTER(D$1:D2514, D$1:D2514&lt;&gt;""""),COUNTA(FILTER(D$1:D2514, D$1:D2514&lt;&gt;""""))), LEN(INDEX(FILTER(D$1:D2514, D$1:D2514&lt;&gt;""""),COUNTA(FILTER(D$1:D2514, D$1:D2514&lt;&gt;""""))))-1), IF('To Order'!$A2515=COL"&amp;"UMNS($A2515:D2534), D2514&amp;RIGHT(INDIRECT(ADDRESS(ROW(D2515)-1, 'From Order'!$A2515)), 1), D2514))"),"C")</f>
        <v>C</v>
      </c>
      <c r="E2515" s="2" t="str">
        <f>IFERROR(__xludf.DUMMYFUNCTION("IF('From Order'!$A2515=COLUMNS($A2515:E2534), LEFT(INDEX(FILTER(E$1:E2514, E$1:E2514&lt;&gt;""""),COUNTA(FILTER(E$1:E2514, E$1:E2514&lt;&gt;""""))), LEN(INDEX(FILTER(E$1:E2514, E$1:E2514&lt;&gt;""""),COUNTA(FILTER(E$1:E2514, E$1:E2514&lt;&gt;""""))))-1), IF('To Order'!$A2515=COL"&amp;"UMNS($A2515:E2534), E2514&amp;RIGHT(INDIRECT(ADDRESS(ROW(E2515)-1, 'From Order'!$A2515)), 1), E2514))"),"BRPHZM")</f>
        <v>BRPHZM</v>
      </c>
      <c r="F2515" s="2" t="str">
        <f>IFERROR(__xludf.DUMMYFUNCTION("IF('From Order'!$A2515=COLUMNS($A2515:F2534), LEFT(INDEX(FILTER(F$1:F2514, F$1:F2514&lt;&gt;""""),COUNTA(FILTER(F$1:F2514, F$1:F2514&lt;&gt;""""))), LEN(INDEX(FILTER(F$1:F2514, F$1:F2514&lt;&gt;""""),COUNTA(FILTER(F$1:F2514, F$1:F2514&lt;&gt;""""))))-1), IF('To Order'!$A2515=COL"&amp;"UMNS($A2515:F2534), F2514&amp;RIGHT(INDIRECT(ADDRESS(ROW(F2515)-1, 'From Order'!$A2515)), 1), F2514))"),"RSPMGTTMDZFJCTTJRRLPS")</f>
        <v>RSPMGTTMDZFJCTTJRRLPS</v>
      </c>
      <c r="G2515" s="2" t="str">
        <f>IFERROR(__xludf.DUMMYFUNCTION("IF('From Order'!$A2515=COLUMNS($A2515:G2534), LEFT(INDEX(FILTER(G$1:G2514, G$1:G2514&lt;&gt;""""),COUNTA(FILTER(G$1:G2514, G$1:G2514&lt;&gt;""""))), LEN(INDEX(FILTER(G$1:G2514, G$1:G2514&lt;&gt;""""),COUNTA(FILTER(G$1:G2514, G$1:G2514&lt;&gt;""""))))-1), IF('To Order'!$A2515=COL"&amp;"UMNS($A2515:G2534), G2514&amp;RIGHT(INDIRECT(ADDRESS(ROW(G2515)-1, 'From Order'!$A2515)), 1), G2514))"),"ZS")</f>
        <v>ZS</v>
      </c>
      <c r="H2515" s="2" t="str">
        <f>IFERROR(__xludf.DUMMYFUNCTION("IF('From Order'!$A2515=COLUMNS($A2515:H2534), LEFT(INDEX(FILTER(H$1:H2514, H$1:H2514&lt;&gt;""""),COUNTA(FILTER(H$1:H2514, H$1:H2514&lt;&gt;""""))), LEN(INDEX(FILTER(H$1:H2514, H$1:H2514&lt;&gt;""""),COUNTA(FILTER(H$1:H2514, H$1:H2514&lt;&gt;""""))))-1), IF('To Order'!$A2515=COL"&amp;"UMNS($A2515:H2534), H2514&amp;RIGHT(INDIRECT(ADDRESS(ROW(H2515)-1, 'From Order'!$A2515)), 1), H2514))"),"TJT")</f>
        <v>TJT</v>
      </c>
      <c r="I2515" s="2" t="str">
        <f>IFERROR(__xludf.DUMMYFUNCTION("IF('From Order'!$A2515=COLUMNS($A2515:I2534), LEFT(INDEX(FILTER(I$1:I2514, I$1:I2514&lt;&gt;""""),COUNTA(FILTER(I$1:I2514, I$1:I2514&lt;&gt;""""))), LEN(INDEX(FILTER(I$1:I2514, I$1:I2514&lt;&gt;""""),COUNTA(FILTER(I$1:I2514, I$1:I2514&lt;&gt;""""))))-1), IF('To Order'!$A2515=COL"&amp;"UMNS($A2515:I2534), I2514&amp;RIGHT(INDIRECT(ADDRESS(ROW(I2515)-1, 'From Order'!$A2515)), 1), I2514))"),"QVVDD")</f>
        <v>QVVDD</v>
      </c>
    </row>
    <row r="2516">
      <c r="A2516" s="2" t="str">
        <f>IFERROR(__xludf.DUMMYFUNCTION("IF('From Order'!$A2516=COLUMNS($A2516:A2535), LEFT(INDEX(FILTER(A$1:A2515, A$1:A2515&lt;&gt;""""),COUNTA(FILTER(A$1:A2515, A$1:A2515&lt;&gt;""""))), LEN(INDEX(FILTER(A$1:A2515, A$1:A2515&lt;&gt;""""),COUNTA(FILTER(A$1:A2515, A$1:A2515&lt;&gt;""""))))-1), IF('To Order'!$A2516=COL"&amp;"UMNS($A2516:A2535), A2515&amp;RIGHT(INDIRECT(ADDRESS(ROW(A2516)-1, 'From Order'!$A2516)), 1), A2515))"),"DR")</f>
        <v>DR</v>
      </c>
      <c r="B2516" s="2" t="str">
        <f>IFERROR(__xludf.DUMMYFUNCTION("IF('From Order'!$A2516=COLUMNS($A2516:B2535), LEFT(INDEX(FILTER(B$1:B2515, B$1:B2515&lt;&gt;""""),COUNTA(FILTER(B$1:B2515, B$1:B2515&lt;&gt;""""))), LEN(INDEX(FILTER(B$1:B2515, B$1:B2515&lt;&gt;""""),COUNTA(FILTER(B$1:B2515, B$1:B2515&lt;&gt;""""))))-1), IF('To Order'!$A2516=COL"&amp;"UMNS($A2516:B2535), B2515&amp;RIGHT(INDIRECT(ADDRESS(ROW(B2516)-1, 'From Order'!$A2516)), 1), B2515))"),"QGWWLHBS")</f>
        <v>QGWWLHBS</v>
      </c>
      <c r="C2516" s="2" t="str">
        <f>IFERROR(__xludf.DUMMYFUNCTION("IF('From Order'!$A2516=COLUMNS($A2516:C2535), LEFT(INDEX(FILTER(C$1:C2515, C$1:C2515&lt;&gt;""""),COUNTA(FILTER(C$1:C2515, C$1:C2515&lt;&gt;""""))), LEN(INDEX(FILTER(C$1:C2515, C$1:C2515&lt;&gt;""""),COUNTA(FILTER(C$1:C2515, C$1:C2515&lt;&gt;""""))))-1), IF('To Order'!$A2516=COL"&amp;"UMNS($A2516:C2535), C2515&amp;RIGHT(INDIRECT(ADDRESS(ROW(C2516)-1, 'From Order'!$A2516)), 1), C2515))"),"CDLFBDVB")</f>
        <v>CDLFBDVB</v>
      </c>
      <c r="D2516" s="2" t="str">
        <f>IFERROR(__xludf.DUMMYFUNCTION("IF('From Order'!$A2516=COLUMNS($A2516:D2535), LEFT(INDEX(FILTER(D$1:D2515, D$1:D2515&lt;&gt;""""),COUNTA(FILTER(D$1:D2515, D$1:D2515&lt;&gt;""""))), LEN(INDEX(FILTER(D$1:D2515, D$1:D2515&lt;&gt;""""),COUNTA(FILTER(D$1:D2515, D$1:D2515&lt;&gt;""""))))-1), IF('To Order'!$A2516=COL"&amp;"UMNS($A2516:D2535), D2515&amp;RIGHT(INDIRECT(ADDRESS(ROW(D2516)-1, 'From Order'!$A2516)), 1), D2515))"),"CS")</f>
        <v>CS</v>
      </c>
      <c r="E2516" s="2" t="str">
        <f>IFERROR(__xludf.DUMMYFUNCTION("IF('From Order'!$A2516=COLUMNS($A2516:E2535), LEFT(INDEX(FILTER(E$1:E2515, E$1:E2515&lt;&gt;""""),COUNTA(FILTER(E$1:E2515, E$1:E2515&lt;&gt;""""))), LEN(INDEX(FILTER(E$1:E2515, E$1:E2515&lt;&gt;""""),COUNTA(FILTER(E$1:E2515, E$1:E2515&lt;&gt;""""))))-1), IF('To Order'!$A2516=COL"&amp;"UMNS($A2516:E2535), E2515&amp;RIGHT(INDIRECT(ADDRESS(ROW(E2516)-1, 'From Order'!$A2516)), 1), E2515))"),"BRPHZM")</f>
        <v>BRPHZM</v>
      </c>
      <c r="F2516" s="2" t="str">
        <f>IFERROR(__xludf.DUMMYFUNCTION("IF('From Order'!$A2516=COLUMNS($A2516:F2535), LEFT(INDEX(FILTER(F$1:F2515, F$1:F2515&lt;&gt;""""),COUNTA(FILTER(F$1:F2515, F$1:F2515&lt;&gt;""""))), LEN(INDEX(FILTER(F$1:F2515, F$1:F2515&lt;&gt;""""),COUNTA(FILTER(F$1:F2515, F$1:F2515&lt;&gt;""""))))-1), IF('To Order'!$A2516=COL"&amp;"UMNS($A2516:F2535), F2515&amp;RIGHT(INDIRECT(ADDRESS(ROW(F2516)-1, 'From Order'!$A2516)), 1), F2515))"),"RSPMGTTMDZFJCTTJRRLPS")</f>
        <v>RSPMGTTMDZFJCTTJRRLPS</v>
      </c>
      <c r="G2516" s="2" t="str">
        <f>IFERROR(__xludf.DUMMYFUNCTION("IF('From Order'!$A2516=COLUMNS($A2516:G2535), LEFT(INDEX(FILTER(G$1:G2515, G$1:G2515&lt;&gt;""""),COUNTA(FILTER(G$1:G2515, G$1:G2515&lt;&gt;""""))), LEN(INDEX(FILTER(G$1:G2515, G$1:G2515&lt;&gt;""""),COUNTA(FILTER(G$1:G2515, G$1:G2515&lt;&gt;""""))))-1), IF('To Order'!$A2516=COL"&amp;"UMNS($A2516:G2535), G2515&amp;RIGHT(INDIRECT(ADDRESS(ROW(G2516)-1, 'From Order'!$A2516)), 1), G2515))"),"Z")</f>
        <v>Z</v>
      </c>
      <c r="H2516" s="2" t="str">
        <f>IFERROR(__xludf.DUMMYFUNCTION("IF('From Order'!$A2516=COLUMNS($A2516:H2535), LEFT(INDEX(FILTER(H$1:H2515, H$1:H2515&lt;&gt;""""),COUNTA(FILTER(H$1:H2515, H$1:H2515&lt;&gt;""""))), LEN(INDEX(FILTER(H$1:H2515, H$1:H2515&lt;&gt;""""),COUNTA(FILTER(H$1:H2515, H$1:H2515&lt;&gt;""""))))-1), IF('To Order'!$A2516=COL"&amp;"UMNS($A2516:H2535), H2515&amp;RIGHT(INDIRECT(ADDRESS(ROW(H2516)-1, 'From Order'!$A2516)), 1), H2515))"),"TJT")</f>
        <v>TJT</v>
      </c>
      <c r="I2516" s="2" t="str">
        <f>IFERROR(__xludf.DUMMYFUNCTION("IF('From Order'!$A2516=COLUMNS($A2516:I2535), LEFT(INDEX(FILTER(I$1:I2515, I$1:I2515&lt;&gt;""""),COUNTA(FILTER(I$1:I2515, I$1:I2515&lt;&gt;""""))), LEN(INDEX(FILTER(I$1:I2515, I$1:I2515&lt;&gt;""""),COUNTA(FILTER(I$1:I2515, I$1:I2515&lt;&gt;""""))))-1), IF('To Order'!$A2516=COL"&amp;"UMNS($A2516:I2535), I2515&amp;RIGHT(INDIRECT(ADDRESS(ROW(I2516)-1, 'From Order'!$A2516)), 1), I2515))"),"QVVDD")</f>
        <v>QVVDD</v>
      </c>
    </row>
    <row r="2517">
      <c r="A2517" s="2" t="str">
        <f>IFERROR(__xludf.DUMMYFUNCTION("IF('From Order'!$A2517=COLUMNS($A2517:A2536), LEFT(INDEX(FILTER(A$1:A2516, A$1:A2516&lt;&gt;""""),COUNTA(FILTER(A$1:A2516, A$1:A2516&lt;&gt;""""))), LEN(INDEX(FILTER(A$1:A2516, A$1:A2516&lt;&gt;""""),COUNTA(FILTER(A$1:A2516, A$1:A2516&lt;&gt;""""))))-1), IF('To Order'!$A2517=COL"&amp;"UMNS($A2517:A2536), A2516&amp;RIGHT(INDIRECT(ADDRESS(ROW(A2517)-1, 'From Order'!$A2517)), 1), A2516))"),"DR")</f>
        <v>DR</v>
      </c>
      <c r="B2517" s="2" t="str">
        <f>IFERROR(__xludf.DUMMYFUNCTION("IF('From Order'!$A2517=COLUMNS($A2517:B2536), LEFT(INDEX(FILTER(B$1:B2516, B$1:B2516&lt;&gt;""""),COUNTA(FILTER(B$1:B2516, B$1:B2516&lt;&gt;""""))), LEN(INDEX(FILTER(B$1:B2516, B$1:B2516&lt;&gt;""""),COUNTA(FILTER(B$1:B2516, B$1:B2516&lt;&gt;""""))))-1), IF('To Order'!$A2517=COL"&amp;"UMNS($A2517:B2536), B2516&amp;RIGHT(INDIRECT(ADDRESS(ROW(B2517)-1, 'From Order'!$A2517)), 1), B2516))"),"QGWWLHBS")</f>
        <v>QGWWLHBS</v>
      </c>
      <c r="C2517" s="2" t="str">
        <f>IFERROR(__xludf.DUMMYFUNCTION("IF('From Order'!$A2517=COLUMNS($A2517:C2536), LEFT(INDEX(FILTER(C$1:C2516, C$1:C2516&lt;&gt;""""),COUNTA(FILTER(C$1:C2516, C$1:C2516&lt;&gt;""""))), LEN(INDEX(FILTER(C$1:C2516, C$1:C2516&lt;&gt;""""),COUNTA(FILTER(C$1:C2516, C$1:C2516&lt;&gt;""""))))-1), IF('To Order'!$A2517=COL"&amp;"UMNS($A2517:C2536), C2516&amp;RIGHT(INDIRECT(ADDRESS(ROW(C2517)-1, 'From Order'!$A2517)), 1), C2516))"),"CDLFBDVB")</f>
        <v>CDLFBDVB</v>
      </c>
      <c r="D2517" s="2" t="str">
        <f>IFERROR(__xludf.DUMMYFUNCTION("IF('From Order'!$A2517=COLUMNS($A2517:D2536), LEFT(INDEX(FILTER(D$1:D2516, D$1:D2516&lt;&gt;""""),COUNTA(FILTER(D$1:D2516, D$1:D2516&lt;&gt;""""))), LEN(INDEX(FILTER(D$1:D2516, D$1:D2516&lt;&gt;""""),COUNTA(FILTER(D$1:D2516, D$1:D2516&lt;&gt;""""))))-1), IF('To Order'!$A2517=COL"&amp;"UMNS($A2517:D2536), D2516&amp;RIGHT(INDIRECT(ADDRESS(ROW(D2517)-1, 'From Order'!$A2517)), 1), D2516))"),"CSZ")</f>
        <v>CSZ</v>
      </c>
      <c r="E2517" s="2" t="str">
        <f>IFERROR(__xludf.DUMMYFUNCTION("IF('From Order'!$A2517=COLUMNS($A2517:E2536), LEFT(INDEX(FILTER(E$1:E2516, E$1:E2516&lt;&gt;""""),COUNTA(FILTER(E$1:E2516, E$1:E2516&lt;&gt;""""))), LEN(INDEX(FILTER(E$1:E2516, E$1:E2516&lt;&gt;""""),COUNTA(FILTER(E$1:E2516, E$1:E2516&lt;&gt;""""))))-1), IF('To Order'!$A2517=COL"&amp;"UMNS($A2517:E2536), E2516&amp;RIGHT(INDIRECT(ADDRESS(ROW(E2517)-1, 'From Order'!$A2517)), 1), E2516))"),"BRPHZM")</f>
        <v>BRPHZM</v>
      </c>
      <c r="F2517" s="2" t="str">
        <f>IFERROR(__xludf.DUMMYFUNCTION("IF('From Order'!$A2517=COLUMNS($A2517:F2536), LEFT(INDEX(FILTER(F$1:F2516, F$1:F2516&lt;&gt;""""),COUNTA(FILTER(F$1:F2516, F$1:F2516&lt;&gt;""""))), LEN(INDEX(FILTER(F$1:F2516, F$1:F2516&lt;&gt;""""),COUNTA(FILTER(F$1:F2516, F$1:F2516&lt;&gt;""""))))-1), IF('To Order'!$A2517=COL"&amp;"UMNS($A2517:F2536), F2516&amp;RIGHT(INDIRECT(ADDRESS(ROW(F2517)-1, 'From Order'!$A2517)), 1), F2516))"),"RSPMGTTMDZFJCTTJRRLPS")</f>
        <v>RSPMGTTMDZFJCTTJRRLPS</v>
      </c>
      <c r="G2517" s="2" t="str">
        <f>IFERROR(__xludf.DUMMYFUNCTION("IF('From Order'!$A2517=COLUMNS($A2517:G2536), LEFT(INDEX(FILTER(G$1:G2516, G$1:G2516&lt;&gt;""""),COUNTA(FILTER(G$1:G2516, G$1:G2516&lt;&gt;""""))), LEN(INDEX(FILTER(G$1:G2516, G$1:G2516&lt;&gt;""""),COUNTA(FILTER(G$1:G2516, G$1:G2516&lt;&gt;""""))))-1), IF('To Order'!$A2517=COL"&amp;"UMNS($A2517:G2536), G2516&amp;RIGHT(INDIRECT(ADDRESS(ROW(G2517)-1, 'From Order'!$A2517)), 1), G2516))"),"")</f>
        <v/>
      </c>
      <c r="H2517" s="2" t="str">
        <f>IFERROR(__xludf.DUMMYFUNCTION("IF('From Order'!$A2517=COLUMNS($A2517:H2536), LEFT(INDEX(FILTER(H$1:H2516, H$1:H2516&lt;&gt;""""),COUNTA(FILTER(H$1:H2516, H$1:H2516&lt;&gt;""""))), LEN(INDEX(FILTER(H$1:H2516, H$1:H2516&lt;&gt;""""),COUNTA(FILTER(H$1:H2516, H$1:H2516&lt;&gt;""""))))-1), IF('To Order'!$A2517=COL"&amp;"UMNS($A2517:H2536), H2516&amp;RIGHT(INDIRECT(ADDRESS(ROW(H2517)-1, 'From Order'!$A2517)), 1), H2516))"),"TJT")</f>
        <v>TJT</v>
      </c>
      <c r="I2517" s="2" t="str">
        <f>IFERROR(__xludf.DUMMYFUNCTION("IF('From Order'!$A2517=COLUMNS($A2517:I2536), LEFT(INDEX(FILTER(I$1:I2516, I$1:I2516&lt;&gt;""""),COUNTA(FILTER(I$1:I2516, I$1:I2516&lt;&gt;""""))), LEN(INDEX(FILTER(I$1:I2516, I$1:I2516&lt;&gt;""""),COUNTA(FILTER(I$1:I2516, I$1:I2516&lt;&gt;""""))))-1), IF('To Order'!$A2517=COL"&amp;"UMNS($A2517:I2536), I2516&amp;RIGHT(INDIRECT(ADDRESS(ROW(I2517)-1, 'From Order'!$A2517)), 1), I2516))"),"QVVDD")</f>
        <v>QVVDD</v>
      </c>
    </row>
    <row r="2518">
      <c r="A2518" s="2" t="str">
        <f>IFERROR(__xludf.DUMMYFUNCTION("IF('From Order'!$A2518=COLUMNS($A2518:A2537), LEFT(INDEX(FILTER(A$1:A2517, A$1:A2517&lt;&gt;""""),COUNTA(FILTER(A$1:A2517, A$1:A2517&lt;&gt;""""))), LEN(INDEX(FILTER(A$1:A2517, A$1:A2517&lt;&gt;""""),COUNTA(FILTER(A$1:A2517, A$1:A2517&lt;&gt;""""))))-1), IF('To Order'!$A2518=COL"&amp;"UMNS($A2518:A2537), A2517&amp;RIGHT(INDIRECT(ADDRESS(ROW(A2518)-1, 'From Order'!$A2518)), 1), A2517))"),"DR")</f>
        <v>DR</v>
      </c>
      <c r="B2518" s="2" t="str">
        <f>IFERROR(__xludf.DUMMYFUNCTION("IF('From Order'!$A2518=COLUMNS($A2518:B2537), LEFT(INDEX(FILTER(B$1:B2517, B$1:B2517&lt;&gt;""""),COUNTA(FILTER(B$1:B2517, B$1:B2517&lt;&gt;""""))), LEN(INDEX(FILTER(B$1:B2517, B$1:B2517&lt;&gt;""""),COUNTA(FILTER(B$1:B2517, B$1:B2517&lt;&gt;""""))))-1), IF('To Order'!$A2518=COL"&amp;"UMNS($A2518:B2537), B2517&amp;RIGHT(INDIRECT(ADDRESS(ROW(B2518)-1, 'From Order'!$A2518)), 1), B2517))"),"QGWWLHBS")</f>
        <v>QGWWLHBS</v>
      </c>
      <c r="C2518" s="2" t="str">
        <f>IFERROR(__xludf.DUMMYFUNCTION("IF('From Order'!$A2518=COLUMNS($A2518:C2537), LEFT(INDEX(FILTER(C$1:C2517, C$1:C2517&lt;&gt;""""),COUNTA(FILTER(C$1:C2517, C$1:C2517&lt;&gt;""""))), LEN(INDEX(FILTER(C$1:C2517, C$1:C2517&lt;&gt;""""),COUNTA(FILTER(C$1:C2517, C$1:C2517&lt;&gt;""""))))-1), IF('To Order'!$A2518=COL"&amp;"UMNS($A2518:C2537), C2517&amp;RIGHT(INDIRECT(ADDRESS(ROW(C2518)-1, 'From Order'!$A2518)), 1), C2517))"),"CDLFBDVB")</f>
        <v>CDLFBDVB</v>
      </c>
      <c r="D2518" s="2" t="str">
        <f>IFERROR(__xludf.DUMMYFUNCTION("IF('From Order'!$A2518=COLUMNS($A2518:D2537), LEFT(INDEX(FILTER(D$1:D2517, D$1:D2517&lt;&gt;""""),COUNTA(FILTER(D$1:D2517, D$1:D2517&lt;&gt;""""))), LEN(INDEX(FILTER(D$1:D2517, D$1:D2517&lt;&gt;""""),COUNTA(FILTER(D$1:D2517, D$1:D2517&lt;&gt;""""))))-1), IF('To Order'!$A2518=COL"&amp;"UMNS($A2518:D2537), D2517&amp;RIGHT(INDIRECT(ADDRESS(ROW(D2518)-1, 'From Order'!$A2518)), 1), D2517))"),"CSZ")</f>
        <v>CSZ</v>
      </c>
      <c r="E2518" s="2" t="str">
        <f>IFERROR(__xludf.DUMMYFUNCTION("IF('From Order'!$A2518=COLUMNS($A2518:E2537), LEFT(INDEX(FILTER(E$1:E2517, E$1:E2517&lt;&gt;""""),COUNTA(FILTER(E$1:E2517, E$1:E2517&lt;&gt;""""))), LEN(INDEX(FILTER(E$1:E2517, E$1:E2517&lt;&gt;""""),COUNTA(FILTER(E$1:E2517, E$1:E2517&lt;&gt;""""))))-1), IF('To Order'!$A2518=COL"&amp;"UMNS($A2518:E2537), E2517&amp;RIGHT(INDIRECT(ADDRESS(ROW(E2518)-1, 'From Order'!$A2518)), 1), E2517))"),"BRPHZM")</f>
        <v>BRPHZM</v>
      </c>
      <c r="F2518" s="2" t="str">
        <f>IFERROR(__xludf.DUMMYFUNCTION("IF('From Order'!$A2518=COLUMNS($A2518:F2537), LEFT(INDEX(FILTER(F$1:F2517, F$1:F2517&lt;&gt;""""),COUNTA(FILTER(F$1:F2517, F$1:F2517&lt;&gt;""""))), LEN(INDEX(FILTER(F$1:F2517, F$1:F2517&lt;&gt;""""),COUNTA(FILTER(F$1:F2517, F$1:F2517&lt;&gt;""""))))-1), IF('To Order'!$A2518=COL"&amp;"UMNS($A2518:F2537), F2517&amp;RIGHT(INDIRECT(ADDRESS(ROW(F2518)-1, 'From Order'!$A2518)), 1), F2517))"),"RSPMGTTMDZFJCTTJRRLP")</f>
        <v>RSPMGTTMDZFJCTTJRRLP</v>
      </c>
      <c r="G2518" s="2" t="str">
        <f>IFERROR(__xludf.DUMMYFUNCTION("IF('From Order'!$A2518=COLUMNS($A2518:G2537), LEFT(INDEX(FILTER(G$1:G2517, G$1:G2517&lt;&gt;""""),COUNTA(FILTER(G$1:G2517, G$1:G2517&lt;&gt;""""))), LEN(INDEX(FILTER(G$1:G2517, G$1:G2517&lt;&gt;""""),COUNTA(FILTER(G$1:G2517, G$1:G2517&lt;&gt;""""))))-1), IF('To Order'!$A2518=COL"&amp;"UMNS($A2518:G2537), G2517&amp;RIGHT(INDIRECT(ADDRESS(ROW(G2518)-1, 'From Order'!$A2518)), 1), G2517))"),"")</f>
        <v/>
      </c>
      <c r="H2518" s="2" t="str">
        <f>IFERROR(__xludf.DUMMYFUNCTION("IF('From Order'!$A2518=COLUMNS($A2518:H2537), LEFT(INDEX(FILTER(H$1:H2517, H$1:H2517&lt;&gt;""""),COUNTA(FILTER(H$1:H2517, H$1:H2517&lt;&gt;""""))), LEN(INDEX(FILTER(H$1:H2517, H$1:H2517&lt;&gt;""""),COUNTA(FILTER(H$1:H2517, H$1:H2517&lt;&gt;""""))))-1), IF('To Order'!$A2518=COL"&amp;"UMNS($A2518:H2537), H2517&amp;RIGHT(INDIRECT(ADDRESS(ROW(H2518)-1, 'From Order'!$A2518)), 1), H2517))"),"TJT")</f>
        <v>TJT</v>
      </c>
      <c r="I2518" s="2" t="str">
        <f>IFERROR(__xludf.DUMMYFUNCTION("IF('From Order'!$A2518=COLUMNS($A2518:I2537), LEFT(INDEX(FILTER(I$1:I2517, I$1:I2517&lt;&gt;""""),COUNTA(FILTER(I$1:I2517, I$1:I2517&lt;&gt;""""))), LEN(INDEX(FILTER(I$1:I2517, I$1:I2517&lt;&gt;""""),COUNTA(FILTER(I$1:I2517, I$1:I2517&lt;&gt;""""))))-1), IF('To Order'!$A2518=COL"&amp;"UMNS($A2518:I2537), I2517&amp;RIGHT(INDIRECT(ADDRESS(ROW(I2518)-1, 'From Order'!$A2518)), 1), I2517))"),"QVVDDS")</f>
        <v>QVVDDS</v>
      </c>
    </row>
    <row r="2519">
      <c r="A2519" s="2" t="str">
        <f>IFERROR(__xludf.DUMMYFUNCTION("IF('From Order'!$A2519=COLUMNS($A2519:A2538), LEFT(INDEX(FILTER(A$1:A2518, A$1:A2518&lt;&gt;""""),COUNTA(FILTER(A$1:A2518, A$1:A2518&lt;&gt;""""))), LEN(INDEX(FILTER(A$1:A2518, A$1:A2518&lt;&gt;""""),COUNTA(FILTER(A$1:A2518, A$1:A2518&lt;&gt;""""))))-1), IF('To Order'!$A2519=COL"&amp;"UMNS($A2519:A2538), A2518&amp;RIGHT(INDIRECT(ADDRESS(ROW(A2519)-1, 'From Order'!$A2519)), 1), A2518))"),"DR")</f>
        <v>DR</v>
      </c>
      <c r="B2519" s="2" t="str">
        <f>IFERROR(__xludf.DUMMYFUNCTION("IF('From Order'!$A2519=COLUMNS($A2519:B2538), LEFT(INDEX(FILTER(B$1:B2518, B$1:B2518&lt;&gt;""""),COUNTA(FILTER(B$1:B2518, B$1:B2518&lt;&gt;""""))), LEN(INDEX(FILTER(B$1:B2518, B$1:B2518&lt;&gt;""""),COUNTA(FILTER(B$1:B2518, B$1:B2518&lt;&gt;""""))))-1), IF('To Order'!$A2519=COL"&amp;"UMNS($A2519:B2538), B2518&amp;RIGHT(INDIRECT(ADDRESS(ROW(B2519)-1, 'From Order'!$A2519)), 1), B2518))"),"QGWWLHBS")</f>
        <v>QGWWLHBS</v>
      </c>
      <c r="C2519" s="2" t="str">
        <f>IFERROR(__xludf.DUMMYFUNCTION("IF('From Order'!$A2519=COLUMNS($A2519:C2538), LEFT(INDEX(FILTER(C$1:C2518, C$1:C2518&lt;&gt;""""),COUNTA(FILTER(C$1:C2518, C$1:C2518&lt;&gt;""""))), LEN(INDEX(FILTER(C$1:C2518, C$1:C2518&lt;&gt;""""),COUNTA(FILTER(C$1:C2518, C$1:C2518&lt;&gt;""""))))-1), IF('To Order'!$A2519=COL"&amp;"UMNS($A2519:C2538), C2518&amp;RIGHT(INDIRECT(ADDRESS(ROW(C2519)-1, 'From Order'!$A2519)), 1), C2518))"),"CDLFBDVB")</f>
        <v>CDLFBDVB</v>
      </c>
      <c r="D2519" s="2" t="str">
        <f>IFERROR(__xludf.DUMMYFUNCTION("IF('From Order'!$A2519=COLUMNS($A2519:D2538), LEFT(INDEX(FILTER(D$1:D2518, D$1:D2518&lt;&gt;""""),COUNTA(FILTER(D$1:D2518, D$1:D2518&lt;&gt;""""))), LEN(INDEX(FILTER(D$1:D2518, D$1:D2518&lt;&gt;""""),COUNTA(FILTER(D$1:D2518, D$1:D2518&lt;&gt;""""))))-1), IF('To Order'!$A2519=COL"&amp;"UMNS($A2519:D2538), D2518&amp;RIGHT(INDIRECT(ADDRESS(ROW(D2519)-1, 'From Order'!$A2519)), 1), D2518))"),"CSZ")</f>
        <v>CSZ</v>
      </c>
      <c r="E2519" s="2" t="str">
        <f>IFERROR(__xludf.DUMMYFUNCTION("IF('From Order'!$A2519=COLUMNS($A2519:E2538), LEFT(INDEX(FILTER(E$1:E2518, E$1:E2518&lt;&gt;""""),COUNTA(FILTER(E$1:E2518, E$1:E2518&lt;&gt;""""))), LEN(INDEX(FILTER(E$1:E2518, E$1:E2518&lt;&gt;""""),COUNTA(FILTER(E$1:E2518, E$1:E2518&lt;&gt;""""))))-1), IF('To Order'!$A2519=COL"&amp;"UMNS($A2519:E2538), E2518&amp;RIGHT(INDIRECT(ADDRESS(ROW(E2519)-1, 'From Order'!$A2519)), 1), E2518))"),"BRPHZM")</f>
        <v>BRPHZM</v>
      </c>
      <c r="F2519" s="2" t="str">
        <f>IFERROR(__xludf.DUMMYFUNCTION("IF('From Order'!$A2519=COLUMNS($A2519:F2538), LEFT(INDEX(FILTER(F$1:F2518, F$1:F2518&lt;&gt;""""),COUNTA(FILTER(F$1:F2518, F$1:F2518&lt;&gt;""""))), LEN(INDEX(FILTER(F$1:F2518, F$1:F2518&lt;&gt;""""),COUNTA(FILTER(F$1:F2518, F$1:F2518&lt;&gt;""""))))-1), IF('To Order'!$A2519=COL"&amp;"UMNS($A2519:F2538), F2518&amp;RIGHT(INDIRECT(ADDRESS(ROW(F2519)-1, 'From Order'!$A2519)), 1), F2518))"),"RSPMGTTMDZFJCTTJRRL")</f>
        <v>RSPMGTTMDZFJCTTJRRL</v>
      </c>
      <c r="G2519" s="2" t="str">
        <f>IFERROR(__xludf.DUMMYFUNCTION("IF('From Order'!$A2519=COLUMNS($A2519:G2538), LEFT(INDEX(FILTER(G$1:G2518, G$1:G2518&lt;&gt;""""),COUNTA(FILTER(G$1:G2518, G$1:G2518&lt;&gt;""""))), LEN(INDEX(FILTER(G$1:G2518, G$1:G2518&lt;&gt;""""),COUNTA(FILTER(G$1:G2518, G$1:G2518&lt;&gt;""""))))-1), IF('To Order'!$A2519=COL"&amp;"UMNS($A2519:G2538), G2518&amp;RIGHT(INDIRECT(ADDRESS(ROW(G2519)-1, 'From Order'!$A2519)), 1), G2518))"),"")</f>
        <v/>
      </c>
      <c r="H2519" s="2" t="str">
        <f>IFERROR(__xludf.DUMMYFUNCTION("IF('From Order'!$A2519=COLUMNS($A2519:H2538), LEFT(INDEX(FILTER(H$1:H2518, H$1:H2518&lt;&gt;""""),COUNTA(FILTER(H$1:H2518, H$1:H2518&lt;&gt;""""))), LEN(INDEX(FILTER(H$1:H2518, H$1:H2518&lt;&gt;""""),COUNTA(FILTER(H$1:H2518, H$1:H2518&lt;&gt;""""))))-1), IF('To Order'!$A2519=COL"&amp;"UMNS($A2519:H2538), H2518&amp;RIGHT(INDIRECT(ADDRESS(ROW(H2519)-1, 'From Order'!$A2519)), 1), H2518))"),"TJT")</f>
        <v>TJT</v>
      </c>
      <c r="I2519" s="2" t="str">
        <f>IFERROR(__xludf.DUMMYFUNCTION("IF('From Order'!$A2519=COLUMNS($A2519:I2538), LEFT(INDEX(FILTER(I$1:I2518, I$1:I2518&lt;&gt;""""),COUNTA(FILTER(I$1:I2518, I$1:I2518&lt;&gt;""""))), LEN(INDEX(FILTER(I$1:I2518, I$1:I2518&lt;&gt;""""),COUNTA(FILTER(I$1:I2518, I$1:I2518&lt;&gt;""""))))-1), IF('To Order'!$A2519=COL"&amp;"UMNS($A2519:I2538), I2518&amp;RIGHT(INDIRECT(ADDRESS(ROW(I2519)-1, 'From Order'!$A2519)), 1), I2518))"),"QVVDDSP")</f>
        <v>QVVDDSP</v>
      </c>
    </row>
    <row r="2520">
      <c r="A2520" s="2" t="str">
        <f>IFERROR(__xludf.DUMMYFUNCTION("IF('From Order'!$A2520=COLUMNS($A2520:A2539), LEFT(INDEX(FILTER(A$1:A2519, A$1:A2519&lt;&gt;""""),COUNTA(FILTER(A$1:A2519, A$1:A2519&lt;&gt;""""))), LEN(INDEX(FILTER(A$1:A2519, A$1:A2519&lt;&gt;""""),COUNTA(FILTER(A$1:A2519, A$1:A2519&lt;&gt;""""))))-1), IF('To Order'!$A2520=COL"&amp;"UMNS($A2520:A2539), A2519&amp;RIGHT(INDIRECT(ADDRESS(ROW(A2520)-1, 'From Order'!$A2520)), 1), A2519))"),"DR")</f>
        <v>DR</v>
      </c>
      <c r="B2520" s="2" t="str">
        <f>IFERROR(__xludf.DUMMYFUNCTION("IF('From Order'!$A2520=COLUMNS($A2520:B2539), LEFT(INDEX(FILTER(B$1:B2519, B$1:B2519&lt;&gt;""""),COUNTA(FILTER(B$1:B2519, B$1:B2519&lt;&gt;""""))), LEN(INDEX(FILTER(B$1:B2519, B$1:B2519&lt;&gt;""""),COUNTA(FILTER(B$1:B2519, B$1:B2519&lt;&gt;""""))))-1), IF('To Order'!$A2520=COL"&amp;"UMNS($A2520:B2539), B2519&amp;RIGHT(INDIRECT(ADDRESS(ROW(B2520)-1, 'From Order'!$A2520)), 1), B2519))"),"QGWWLHBS")</f>
        <v>QGWWLHBS</v>
      </c>
      <c r="C2520" s="2" t="str">
        <f>IFERROR(__xludf.DUMMYFUNCTION("IF('From Order'!$A2520=COLUMNS($A2520:C2539), LEFT(INDEX(FILTER(C$1:C2519, C$1:C2519&lt;&gt;""""),COUNTA(FILTER(C$1:C2519, C$1:C2519&lt;&gt;""""))), LEN(INDEX(FILTER(C$1:C2519, C$1:C2519&lt;&gt;""""),COUNTA(FILTER(C$1:C2519, C$1:C2519&lt;&gt;""""))))-1), IF('To Order'!$A2520=COL"&amp;"UMNS($A2520:C2539), C2519&amp;RIGHT(INDIRECT(ADDRESS(ROW(C2520)-1, 'From Order'!$A2520)), 1), C2519))"),"CDLFBDVB")</f>
        <v>CDLFBDVB</v>
      </c>
      <c r="D2520" s="2" t="str">
        <f>IFERROR(__xludf.DUMMYFUNCTION("IF('From Order'!$A2520=COLUMNS($A2520:D2539), LEFT(INDEX(FILTER(D$1:D2519, D$1:D2519&lt;&gt;""""),COUNTA(FILTER(D$1:D2519, D$1:D2519&lt;&gt;""""))), LEN(INDEX(FILTER(D$1:D2519, D$1:D2519&lt;&gt;""""),COUNTA(FILTER(D$1:D2519, D$1:D2519&lt;&gt;""""))))-1), IF('To Order'!$A2520=COL"&amp;"UMNS($A2520:D2539), D2519&amp;RIGHT(INDIRECT(ADDRESS(ROW(D2520)-1, 'From Order'!$A2520)), 1), D2519))"),"CSZ")</f>
        <v>CSZ</v>
      </c>
      <c r="E2520" s="2" t="str">
        <f>IFERROR(__xludf.DUMMYFUNCTION("IF('From Order'!$A2520=COLUMNS($A2520:E2539), LEFT(INDEX(FILTER(E$1:E2519, E$1:E2519&lt;&gt;""""),COUNTA(FILTER(E$1:E2519, E$1:E2519&lt;&gt;""""))), LEN(INDEX(FILTER(E$1:E2519, E$1:E2519&lt;&gt;""""),COUNTA(FILTER(E$1:E2519, E$1:E2519&lt;&gt;""""))))-1), IF('To Order'!$A2520=COL"&amp;"UMNS($A2520:E2539), E2519&amp;RIGHT(INDIRECT(ADDRESS(ROW(E2520)-1, 'From Order'!$A2520)), 1), E2519))"),"BRPHZM")</f>
        <v>BRPHZM</v>
      </c>
      <c r="F2520" s="2" t="str">
        <f>IFERROR(__xludf.DUMMYFUNCTION("IF('From Order'!$A2520=COLUMNS($A2520:F2539), LEFT(INDEX(FILTER(F$1:F2519, F$1:F2519&lt;&gt;""""),COUNTA(FILTER(F$1:F2519, F$1:F2519&lt;&gt;""""))), LEN(INDEX(FILTER(F$1:F2519, F$1:F2519&lt;&gt;""""),COUNTA(FILTER(F$1:F2519, F$1:F2519&lt;&gt;""""))))-1), IF('To Order'!$A2520=COL"&amp;"UMNS($A2520:F2539), F2519&amp;RIGHT(INDIRECT(ADDRESS(ROW(F2520)-1, 'From Order'!$A2520)), 1), F2519))"),"RSPMGTTMDZFJCTTJRR")</f>
        <v>RSPMGTTMDZFJCTTJRR</v>
      </c>
      <c r="G2520" s="2" t="str">
        <f>IFERROR(__xludf.DUMMYFUNCTION("IF('From Order'!$A2520=COLUMNS($A2520:G2539), LEFT(INDEX(FILTER(G$1:G2519, G$1:G2519&lt;&gt;""""),COUNTA(FILTER(G$1:G2519, G$1:G2519&lt;&gt;""""))), LEN(INDEX(FILTER(G$1:G2519, G$1:G2519&lt;&gt;""""),COUNTA(FILTER(G$1:G2519, G$1:G2519&lt;&gt;""""))))-1), IF('To Order'!$A2520=COL"&amp;"UMNS($A2520:G2539), G2519&amp;RIGHT(INDIRECT(ADDRESS(ROW(G2520)-1, 'From Order'!$A2520)), 1), G2519))"),"")</f>
        <v/>
      </c>
      <c r="H2520" s="2" t="str">
        <f>IFERROR(__xludf.DUMMYFUNCTION("IF('From Order'!$A2520=COLUMNS($A2520:H2539), LEFT(INDEX(FILTER(H$1:H2519, H$1:H2519&lt;&gt;""""),COUNTA(FILTER(H$1:H2519, H$1:H2519&lt;&gt;""""))), LEN(INDEX(FILTER(H$1:H2519, H$1:H2519&lt;&gt;""""),COUNTA(FILTER(H$1:H2519, H$1:H2519&lt;&gt;""""))))-1), IF('To Order'!$A2520=COL"&amp;"UMNS($A2520:H2539), H2519&amp;RIGHT(INDIRECT(ADDRESS(ROW(H2520)-1, 'From Order'!$A2520)), 1), H2519))"),"TJT")</f>
        <v>TJT</v>
      </c>
      <c r="I2520" s="2" t="str">
        <f>IFERROR(__xludf.DUMMYFUNCTION("IF('From Order'!$A2520=COLUMNS($A2520:I2539), LEFT(INDEX(FILTER(I$1:I2519, I$1:I2519&lt;&gt;""""),COUNTA(FILTER(I$1:I2519, I$1:I2519&lt;&gt;""""))), LEN(INDEX(FILTER(I$1:I2519, I$1:I2519&lt;&gt;""""),COUNTA(FILTER(I$1:I2519, I$1:I2519&lt;&gt;""""))))-1), IF('To Order'!$A2520=COL"&amp;"UMNS($A2520:I2539), I2519&amp;RIGHT(INDIRECT(ADDRESS(ROW(I2520)-1, 'From Order'!$A2520)), 1), I2519))"),"QVVDDSPL")</f>
        <v>QVVDDSPL</v>
      </c>
    </row>
    <row r="2521">
      <c r="A2521" s="2" t="str">
        <f>IFERROR(__xludf.DUMMYFUNCTION("IF('From Order'!$A2521=COLUMNS($A2521:A2540), LEFT(INDEX(FILTER(A$1:A2520, A$1:A2520&lt;&gt;""""),COUNTA(FILTER(A$1:A2520, A$1:A2520&lt;&gt;""""))), LEN(INDEX(FILTER(A$1:A2520, A$1:A2520&lt;&gt;""""),COUNTA(FILTER(A$1:A2520, A$1:A2520&lt;&gt;""""))))-1), IF('To Order'!$A2521=COL"&amp;"UMNS($A2521:A2540), A2520&amp;RIGHT(INDIRECT(ADDRESS(ROW(A2521)-1, 'From Order'!$A2521)), 1), A2520))"),"DR")</f>
        <v>DR</v>
      </c>
      <c r="B2521" s="2" t="str">
        <f>IFERROR(__xludf.DUMMYFUNCTION("IF('From Order'!$A2521=COLUMNS($A2521:B2540), LEFT(INDEX(FILTER(B$1:B2520, B$1:B2520&lt;&gt;""""),COUNTA(FILTER(B$1:B2520, B$1:B2520&lt;&gt;""""))), LEN(INDEX(FILTER(B$1:B2520, B$1:B2520&lt;&gt;""""),COUNTA(FILTER(B$1:B2520, B$1:B2520&lt;&gt;""""))))-1), IF('To Order'!$A2521=COL"&amp;"UMNS($A2521:B2540), B2520&amp;RIGHT(INDIRECT(ADDRESS(ROW(B2521)-1, 'From Order'!$A2521)), 1), B2520))"),"QGWWLHBS")</f>
        <v>QGWWLHBS</v>
      </c>
      <c r="C2521" s="2" t="str">
        <f>IFERROR(__xludf.DUMMYFUNCTION("IF('From Order'!$A2521=COLUMNS($A2521:C2540), LEFT(INDEX(FILTER(C$1:C2520, C$1:C2520&lt;&gt;""""),COUNTA(FILTER(C$1:C2520, C$1:C2520&lt;&gt;""""))), LEN(INDEX(FILTER(C$1:C2520, C$1:C2520&lt;&gt;""""),COUNTA(FILTER(C$1:C2520, C$1:C2520&lt;&gt;""""))))-1), IF('To Order'!$A2521=COL"&amp;"UMNS($A2521:C2540), C2520&amp;RIGHT(INDIRECT(ADDRESS(ROW(C2521)-1, 'From Order'!$A2521)), 1), C2520))"),"CDLFBDVB")</f>
        <v>CDLFBDVB</v>
      </c>
      <c r="D2521" s="2" t="str">
        <f>IFERROR(__xludf.DUMMYFUNCTION("IF('From Order'!$A2521=COLUMNS($A2521:D2540), LEFT(INDEX(FILTER(D$1:D2520, D$1:D2520&lt;&gt;""""),COUNTA(FILTER(D$1:D2520, D$1:D2520&lt;&gt;""""))), LEN(INDEX(FILTER(D$1:D2520, D$1:D2520&lt;&gt;""""),COUNTA(FILTER(D$1:D2520, D$1:D2520&lt;&gt;""""))))-1), IF('To Order'!$A2521=COL"&amp;"UMNS($A2521:D2540), D2520&amp;RIGHT(INDIRECT(ADDRESS(ROW(D2521)-1, 'From Order'!$A2521)), 1), D2520))"),"CSZ")</f>
        <v>CSZ</v>
      </c>
      <c r="E2521" s="2" t="str">
        <f>IFERROR(__xludf.DUMMYFUNCTION("IF('From Order'!$A2521=COLUMNS($A2521:E2540), LEFT(INDEX(FILTER(E$1:E2520, E$1:E2520&lt;&gt;""""),COUNTA(FILTER(E$1:E2520, E$1:E2520&lt;&gt;""""))), LEN(INDEX(FILTER(E$1:E2520, E$1:E2520&lt;&gt;""""),COUNTA(FILTER(E$1:E2520, E$1:E2520&lt;&gt;""""))))-1), IF('To Order'!$A2521=COL"&amp;"UMNS($A2521:E2540), E2520&amp;RIGHT(INDIRECT(ADDRESS(ROW(E2521)-1, 'From Order'!$A2521)), 1), E2520))"),"BRPHZM")</f>
        <v>BRPHZM</v>
      </c>
      <c r="F2521" s="2" t="str">
        <f>IFERROR(__xludf.DUMMYFUNCTION("IF('From Order'!$A2521=COLUMNS($A2521:F2540), LEFT(INDEX(FILTER(F$1:F2520, F$1:F2520&lt;&gt;""""),COUNTA(FILTER(F$1:F2520, F$1:F2520&lt;&gt;""""))), LEN(INDEX(FILTER(F$1:F2520, F$1:F2520&lt;&gt;""""),COUNTA(FILTER(F$1:F2520, F$1:F2520&lt;&gt;""""))))-1), IF('To Order'!$A2521=COL"&amp;"UMNS($A2521:F2540), F2520&amp;RIGHT(INDIRECT(ADDRESS(ROW(F2521)-1, 'From Order'!$A2521)), 1), F2520))"),"RSPMGTTMDZFJCTTJR")</f>
        <v>RSPMGTTMDZFJCTTJR</v>
      </c>
      <c r="G2521" s="2" t="str">
        <f>IFERROR(__xludf.DUMMYFUNCTION("IF('From Order'!$A2521=COLUMNS($A2521:G2540), LEFT(INDEX(FILTER(G$1:G2520, G$1:G2520&lt;&gt;""""),COUNTA(FILTER(G$1:G2520, G$1:G2520&lt;&gt;""""))), LEN(INDEX(FILTER(G$1:G2520, G$1:G2520&lt;&gt;""""),COUNTA(FILTER(G$1:G2520, G$1:G2520&lt;&gt;""""))))-1), IF('To Order'!$A2521=COL"&amp;"UMNS($A2521:G2540), G2520&amp;RIGHT(INDIRECT(ADDRESS(ROW(G2521)-1, 'From Order'!$A2521)), 1), G2520))"),"")</f>
        <v/>
      </c>
      <c r="H2521" s="2" t="str">
        <f>IFERROR(__xludf.DUMMYFUNCTION("IF('From Order'!$A2521=COLUMNS($A2521:H2540), LEFT(INDEX(FILTER(H$1:H2520, H$1:H2520&lt;&gt;""""),COUNTA(FILTER(H$1:H2520, H$1:H2520&lt;&gt;""""))), LEN(INDEX(FILTER(H$1:H2520, H$1:H2520&lt;&gt;""""),COUNTA(FILTER(H$1:H2520, H$1:H2520&lt;&gt;""""))))-1), IF('To Order'!$A2521=COL"&amp;"UMNS($A2521:H2540), H2520&amp;RIGHT(INDIRECT(ADDRESS(ROW(H2521)-1, 'From Order'!$A2521)), 1), H2520))"),"TJT")</f>
        <v>TJT</v>
      </c>
      <c r="I2521" s="2" t="str">
        <f>IFERROR(__xludf.DUMMYFUNCTION("IF('From Order'!$A2521=COLUMNS($A2521:I2540), LEFT(INDEX(FILTER(I$1:I2520, I$1:I2520&lt;&gt;""""),COUNTA(FILTER(I$1:I2520, I$1:I2520&lt;&gt;""""))), LEN(INDEX(FILTER(I$1:I2520, I$1:I2520&lt;&gt;""""),COUNTA(FILTER(I$1:I2520, I$1:I2520&lt;&gt;""""))))-1), IF('To Order'!$A2521=COL"&amp;"UMNS($A2521:I2540), I2520&amp;RIGHT(INDIRECT(ADDRESS(ROW(I2521)-1, 'From Order'!$A2521)), 1), I2520))"),"QVVDDSPLR")</f>
        <v>QVVDDSPLR</v>
      </c>
    </row>
    <row r="2522">
      <c r="A2522" s="2" t="str">
        <f>IFERROR(__xludf.DUMMYFUNCTION("IF('From Order'!$A2522=COLUMNS($A2522:A2541), LEFT(INDEX(FILTER(A$1:A2521, A$1:A2521&lt;&gt;""""),COUNTA(FILTER(A$1:A2521, A$1:A2521&lt;&gt;""""))), LEN(INDEX(FILTER(A$1:A2521, A$1:A2521&lt;&gt;""""),COUNTA(FILTER(A$1:A2521, A$1:A2521&lt;&gt;""""))))-1), IF('To Order'!$A2522=COL"&amp;"UMNS($A2522:A2541), A2521&amp;RIGHT(INDIRECT(ADDRESS(ROW(A2522)-1, 'From Order'!$A2522)), 1), A2521))"),"DR")</f>
        <v>DR</v>
      </c>
      <c r="B2522" s="2" t="str">
        <f>IFERROR(__xludf.DUMMYFUNCTION("IF('From Order'!$A2522=COLUMNS($A2522:B2541), LEFT(INDEX(FILTER(B$1:B2521, B$1:B2521&lt;&gt;""""),COUNTA(FILTER(B$1:B2521, B$1:B2521&lt;&gt;""""))), LEN(INDEX(FILTER(B$1:B2521, B$1:B2521&lt;&gt;""""),COUNTA(FILTER(B$1:B2521, B$1:B2521&lt;&gt;""""))))-1), IF('To Order'!$A2522=COL"&amp;"UMNS($A2522:B2541), B2521&amp;RIGHT(INDIRECT(ADDRESS(ROW(B2522)-1, 'From Order'!$A2522)), 1), B2521))"),"QGWWLHBS")</f>
        <v>QGWWLHBS</v>
      </c>
      <c r="C2522" s="2" t="str">
        <f>IFERROR(__xludf.DUMMYFUNCTION("IF('From Order'!$A2522=COLUMNS($A2522:C2541), LEFT(INDEX(FILTER(C$1:C2521, C$1:C2521&lt;&gt;""""),COUNTA(FILTER(C$1:C2521, C$1:C2521&lt;&gt;""""))), LEN(INDEX(FILTER(C$1:C2521, C$1:C2521&lt;&gt;""""),COUNTA(FILTER(C$1:C2521, C$1:C2521&lt;&gt;""""))))-1), IF('To Order'!$A2522=COL"&amp;"UMNS($A2522:C2541), C2521&amp;RIGHT(INDIRECT(ADDRESS(ROW(C2522)-1, 'From Order'!$A2522)), 1), C2521))"),"CDLFBDVB")</f>
        <v>CDLFBDVB</v>
      </c>
      <c r="D2522" s="2" t="str">
        <f>IFERROR(__xludf.DUMMYFUNCTION("IF('From Order'!$A2522=COLUMNS($A2522:D2541), LEFT(INDEX(FILTER(D$1:D2521, D$1:D2521&lt;&gt;""""),COUNTA(FILTER(D$1:D2521, D$1:D2521&lt;&gt;""""))), LEN(INDEX(FILTER(D$1:D2521, D$1:D2521&lt;&gt;""""),COUNTA(FILTER(D$1:D2521, D$1:D2521&lt;&gt;""""))))-1), IF('To Order'!$A2522=COL"&amp;"UMNS($A2522:D2541), D2521&amp;RIGHT(INDIRECT(ADDRESS(ROW(D2522)-1, 'From Order'!$A2522)), 1), D2521))"),"CSZ")</f>
        <v>CSZ</v>
      </c>
      <c r="E2522" s="2" t="str">
        <f>IFERROR(__xludf.DUMMYFUNCTION("IF('From Order'!$A2522=COLUMNS($A2522:E2541), LEFT(INDEX(FILTER(E$1:E2521, E$1:E2521&lt;&gt;""""),COUNTA(FILTER(E$1:E2521, E$1:E2521&lt;&gt;""""))), LEN(INDEX(FILTER(E$1:E2521, E$1:E2521&lt;&gt;""""),COUNTA(FILTER(E$1:E2521, E$1:E2521&lt;&gt;""""))))-1), IF('To Order'!$A2522=COL"&amp;"UMNS($A2522:E2541), E2521&amp;RIGHT(INDIRECT(ADDRESS(ROW(E2522)-1, 'From Order'!$A2522)), 1), E2521))"),"BRPHZM")</f>
        <v>BRPHZM</v>
      </c>
      <c r="F2522" s="2" t="str">
        <f>IFERROR(__xludf.DUMMYFUNCTION("IF('From Order'!$A2522=COLUMNS($A2522:F2541), LEFT(INDEX(FILTER(F$1:F2521, F$1:F2521&lt;&gt;""""),COUNTA(FILTER(F$1:F2521, F$1:F2521&lt;&gt;""""))), LEN(INDEX(FILTER(F$1:F2521, F$1:F2521&lt;&gt;""""),COUNTA(FILTER(F$1:F2521, F$1:F2521&lt;&gt;""""))))-1), IF('To Order'!$A2522=COL"&amp;"UMNS($A2522:F2541), F2521&amp;RIGHT(INDIRECT(ADDRESS(ROW(F2522)-1, 'From Order'!$A2522)), 1), F2521))"),"RSPMGTTMDZFJCTTJ")</f>
        <v>RSPMGTTMDZFJCTTJ</v>
      </c>
      <c r="G2522" s="2" t="str">
        <f>IFERROR(__xludf.DUMMYFUNCTION("IF('From Order'!$A2522=COLUMNS($A2522:G2541), LEFT(INDEX(FILTER(G$1:G2521, G$1:G2521&lt;&gt;""""),COUNTA(FILTER(G$1:G2521, G$1:G2521&lt;&gt;""""))), LEN(INDEX(FILTER(G$1:G2521, G$1:G2521&lt;&gt;""""),COUNTA(FILTER(G$1:G2521, G$1:G2521&lt;&gt;""""))))-1), IF('To Order'!$A2522=COL"&amp;"UMNS($A2522:G2541), G2521&amp;RIGHT(INDIRECT(ADDRESS(ROW(G2522)-1, 'From Order'!$A2522)), 1), G2521))"),"")</f>
        <v/>
      </c>
      <c r="H2522" s="2" t="str">
        <f>IFERROR(__xludf.DUMMYFUNCTION("IF('From Order'!$A2522=COLUMNS($A2522:H2541), LEFT(INDEX(FILTER(H$1:H2521, H$1:H2521&lt;&gt;""""),COUNTA(FILTER(H$1:H2521, H$1:H2521&lt;&gt;""""))), LEN(INDEX(FILTER(H$1:H2521, H$1:H2521&lt;&gt;""""),COUNTA(FILTER(H$1:H2521, H$1:H2521&lt;&gt;""""))))-1), IF('To Order'!$A2522=COL"&amp;"UMNS($A2522:H2541), H2521&amp;RIGHT(INDIRECT(ADDRESS(ROW(H2522)-1, 'From Order'!$A2522)), 1), H2521))"),"TJT")</f>
        <v>TJT</v>
      </c>
      <c r="I2522" s="2" t="str">
        <f>IFERROR(__xludf.DUMMYFUNCTION("IF('From Order'!$A2522=COLUMNS($A2522:I2541), LEFT(INDEX(FILTER(I$1:I2521, I$1:I2521&lt;&gt;""""),COUNTA(FILTER(I$1:I2521, I$1:I2521&lt;&gt;""""))), LEN(INDEX(FILTER(I$1:I2521, I$1:I2521&lt;&gt;""""),COUNTA(FILTER(I$1:I2521, I$1:I2521&lt;&gt;""""))))-1), IF('To Order'!$A2522=COL"&amp;"UMNS($A2522:I2541), I2521&amp;RIGHT(INDIRECT(ADDRESS(ROW(I2522)-1, 'From Order'!$A2522)), 1), I2521))"),"QVVDDSPLRR")</f>
        <v>QVVDDSPLRR</v>
      </c>
    </row>
    <row r="2523">
      <c r="A2523" s="2" t="str">
        <f>IFERROR(__xludf.DUMMYFUNCTION("IF('From Order'!$A2523=COLUMNS($A2523:A2542), LEFT(INDEX(FILTER(A$1:A2522, A$1:A2522&lt;&gt;""""),COUNTA(FILTER(A$1:A2522, A$1:A2522&lt;&gt;""""))), LEN(INDEX(FILTER(A$1:A2522, A$1:A2522&lt;&gt;""""),COUNTA(FILTER(A$1:A2522, A$1:A2522&lt;&gt;""""))))-1), IF('To Order'!$A2523=COL"&amp;"UMNS($A2523:A2542), A2522&amp;RIGHT(INDIRECT(ADDRESS(ROW(A2523)-1, 'From Order'!$A2523)), 1), A2522))"),"DR")</f>
        <v>DR</v>
      </c>
      <c r="B2523" s="2" t="str">
        <f>IFERROR(__xludf.DUMMYFUNCTION("IF('From Order'!$A2523=COLUMNS($A2523:B2542), LEFT(INDEX(FILTER(B$1:B2522, B$1:B2522&lt;&gt;""""),COUNTA(FILTER(B$1:B2522, B$1:B2522&lt;&gt;""""))), LEN(INDEX(FILTER(B$1:B2522, B$1:B2522&lt;&gt;""""),COUNTA(FILTER(B$1:B2522, B$1:B2522&lt;&gt;""""))))-1), IF('To Order'!$A2523=COL"&amp;"UMNS($A2523:B2542), B2522&amp;RIGHT(INDIRECT(ADDRESS(ROW(B2523)-1, 'From Order'!$A2523)), 1), B2522))"),"QGWWLHBS")</f>
        <v>QGWWLHBS</v>
      </c>
      <c r="C2523" s="2" t="str">
        <f>IFERROR(__xludf.DUMMYFUNCTION("IF('From Order'!$A2523=COLUMNS($A2523:C2542), LEFT(INDEX(FILTER(C$1:C2522, C$1:C2522&lt;&gt;""""),COUNTA(FILTER(C$1:C2522, C$1:C2522&lt;&gt;""""))), LEN(INDEX(FILTER(C$1:C2522, C$1:C2522&lt;&gt;""""),COUNTA(FILTER(C$1:C2522, C$1:C2522&lt;&gt;""""))))-1), IF('To Order'!$A2523=COL"&amp;"UMNS($A2523:C2542), C2522&amp;RIGHT(INDIRECT(ADDRESS(ROW(C2523)-1, 'From Order'!$A2523)), 1), C2522))"),"CDLFBDVB")</f>
        <v>CDLFBDVB</v>
      </c>
      <c r="D2523" s="2" t="str">
        <f>IFERROR(__xludf.DUMMYFUNCTION("IF('From Order'!$A2523=COLUMNS($A2523:D2542), LEFT(INDEX(FILTER(D$1:D2522, D$1:D2522&lt;&gt;""""),COUNTA(FILTER(D$1:D2522, D$1:D2522&lt;&gt;""""))), LEN(INDEX(FILTER(D$1:D2522, D$1:D2522&lt;&gt;""""),COUNTA(FILTER(D$1:D2522, D$1:D2522&lt;&gt;""""))))-1), IF('To Order'!$A2523=COL"&amp;"UMNS($A2523:D2542), D2522&amp;RIGHT(INDIRECT(ADDRESS(ROW(D2523)-1, 'From Order'!$A2523)), 1), D2522))"),"CSZ")</f>
        <v>CSZ</v>
      </c>
      <c r="E2523" s="2" t="str">
        <f>IFERROR(__xludf.DUMMYFUNCTION("IF('From Order'!$A2523=COLUMNS($A2523:E2542), LEFT(INDEX(FILTER(E$1:E2522, E$1:E2522&lt;&gt;""""),COUNTA(FILTER(E$1:E2522, E$1:E2522&lt;&gt;""""))), LEN(INDEX(FILTER(E$1:E2522, E$1:E2522&lt;&gt;""""),COUNTA(FILTER(E$1:E2522, E$1:E2522&lt;&gt;""""))))-1), IF('To Order'!$A2523=COL"&amp;"UMNS($A2523:E2542), E2522&amp;RIGHT(INDIRECT(ADDRESS(ROW(E2523)-1, 'From Order'!$A2523)), 1), E2522))"),"BRPHZM")</f>
        <v>BRPHZM</v>
      </c>
      <c r="F2523" s="2" t="str">
        <f>IFERROR(__xludf.DUMMYFUNCTION("IF('From Order'!$A2523=COLUMNS($A2523:F2542), LEFT(INDEX(FILTER(F$1:F2522, F$1:F2522&lt;&gt;""""),COUNTA(FILTER(F$1:F2522, F$1:F2522&lt;&gt;""""))), LEN(INDEX(FILTER(F$1:F2522, F$1:F2522&lt;&gt;""""),COUNTA(FILTER(F$1:F2522, F$1:F2522&lt;&gt;""""))))-1), IF('To Order'!$A2523=COL"&amp;"UMNS($A2523:F2542), F2522&amp;RIGHT(INDIRECT(ADDRESS(ROW(F2523)-1, 'From Order'!$A2523)), 1), F2522))"),"RSPMGTTMDZFJCTT")</f>
        <v>RSPMGTTMDZFJCTT</v>
      </c>
      <c r="G2523" s="2" t="str">
        <f>IFERROR(__xludf.DUMMYFUNCTION("IF('From Order'!$A2523=COLUMNS($A2523:G2542), LEFT(INDEX(FILTER(G$1:G2522, G$1:G2522&lt;&gt;""""),COUNTA(FILTER(G$1:G2522, G$1:G2522&lt;&gt;""""))), LEN(INDEX(FILTER(G$1:G2522, G$1:G2522&lt;&gt;""""),COUNTA(FILTER(G$1:G2522, G$1:G2522&lt;&gt;""""))))-1), IF('To Order'!$A2523=COL"&amp;"UMNS($A2523:G2542), G2522&amp;RIGHT(INDIRECT(ADDRESS(ROW(G2523)-1, 'From Order'!$A2523)), 1), G2522))"),"")</f>
        <v/>
      </c>
      <c r="H2523" s="2" t="str">
        <f>IFERROR(__xludf.DUMMYFUNCTION("IF('From Order'!$A2523=COLUMNS($A2523:H2542), LEFT(INDEX(FILTER(H$1:H2522, H$1:H2522&lt;&gt;""""),COUNTA(FILTER(H$1:H2522, H$1:H2522&lt;&gt;""""))), LEN(INDEX(FILTER(H$1:H2522, H$1:H2522&lt;&gt;""""),COUNTA(FILTER(H$1:H2522, H$1:H2522&lt;&gt;""""))))-1), IF('To Order'!$A2523=COL"&amp;"UMNS($A2523:H2542), H2522&amp;RIGHT(INDIRECT(ADDRESS(ROW(H2523)-1, 'From Order'!$A2523)), 1), H2522))"),"TJT")</f>
        <v>TJT</v>
      </c>
      <c r="I2523" s="2" t="str">
        <f>IFERROR(__xludf.DUMMYFUNCTION("IF('From Order'!$A2523=COLUMNS($A2523:I2542), LEFT(INDEX(FILTER(I$1:I2522, I$1:I2522&lt;&gt;""""),COUNTA(FILTER(I$1:I2522, I$1:I2522&lt;&gt;""""))), LEN(INDEX(FILTER(I$1:I2522, I$1:I2522&lt;&gt;""""),COUNTA(FILTER(I$1:I2522, I$1:I2522&lt;&gt;""""))))-1), IF('To Order'!$A2523=COL"&amp;"UMNS($A2523:I2542), I2522&amp;RIGHT(INDIRECT(ADDRESS(ROW(I2523)-1, 'From Order'!$A2523)), 1), I2522))"),"QVVDDSPLRRJ")</f>
        <v>QVVDDSPLRRJ</v>
      </c>
    </row>
    <row r="2524">
      <c r="A2524" s="2" t="str">
        <f>IFERROR(__xludf.DUMMYFUNCTION("IF('From Order'!$A2524=COLUMNS($A2524:A2543), LEFT(INDEX(FILTER(A$1:A2523, A$1:A2523&lt;&gt;""""),COUNTA(FILTER(A$1:A2523, A$1:A2523&lt;&gt;""""))), LEN(INDEX(FILTER(A$1:A2523, A$1:A2523&lt;&gt;""""),COUNTA(FILTER(A$1:A2523, A$1:A2523&lt;&gt;""""))))-1), IF('To Order'!$A2524=COL"&amp;"UMNS($A2524:A2543), A2523&amp;RIGHT(INDIRECT(ADDRESS(ROW(A2524)-1, 'From Order'!$A2524)), 1), A2523))"),"DR")</f>
        <v>DR</v>
      </c>
      <c r="B2524" s="2" t="str">
        <f>IFERROR(__xludf.DUMMYFUNCTION("IF('From Order'!$A2524=COLUMNS($A2524:B2543), LEFT(INDEX(FILTER(B$1:B2523, B$1:B2523&lt;&gt;""""),COUNTA(FILTER(B$1:B2523, B$1:B2523&lt;&gt;""""))), LEN(INDEX(FILTER(B$1:B2523, B$1:B2523&lt;&gt;""""),COUNTA(FILTER(B$1:B2523, B$1:B2523&lt;&gt;""""))))-1), IF('To Order'!$A2524=COL"&amp;"UMNS($A2524:B2543), B2523&amp;RIGHT(INDIRECT(ADDRESS(ROW(B2524)-1, 'From Order'!$A2524)), 1), B2523))"),"QGWWLHBS")</f>
        <v>QGWWLHBS</v>
      </c>
      <c r="C2524" s="2" t="str">
        <f>IFERROR(__xludf.DUMMYFUNCTION("IF('From Order'!$A2524=COLUMNS($A2524:C2543), LEFT(INDEX(FILTER(C$1:C2523, C$1:C2523&lt;&gt;""""),COUNTA(FILTER(C$1:C2523, C$1:C2523&lt;&gt;""""))), LEN(INDEX(FILTER(C$1:C2523, C$1:C2523&lt;&gt;""""),COUNTA(FILTER(C$1:C2523, C$1:C2523&lt;&gt;""""))))-1), IF('To Order'!$A2524=COL"&amp;"UMNS($A2524:C2543), C2523&amp;RIGHT(INDIRECT(ADDRESS(ROW(C2524)-1, 'From Order'!$A2524)), 1), C2523))"),"CDLFBDVB")</f>
        <v>CDLFBDVB</v>
      </c>
      <c r="D2524" s="2" t="str">
        <f>IFERROR(__xludf.DUMMYFUNCTION("IF('From Order'!$A2524=COLUMNS($A2524:D2543), LEFT(INDEX(FILTER(D$1:D2523, D$1:D2523&lt;&gt;""""),COUNTA(FILTER(D$1:D2523, D$1:D2523&lt;&gt;""""))), LEN(INDEX(FILTER(D$1:D2523, D$1:D2523&lt;&gt;""""),COUNTA(FILTER(D$1:D2523, D$1:D2523&lt;&gt;""""))))-1), IF('To Order'!$A2524=COL"&amp;"UMNS($A2524:D2543), D2523&amp;RIGHT(INDIRECT(ADDRESS(ROW(D2524)-1, 'From Order'!$A2524)), 1), D2523))"),"CSZ")</f>
        <v>CSZ</v>
      </c>
      <c r="E2524" s="2" t="str">
        <f>IFERROR(__xludf.DUMMYFUNCTION("IF('From Order'!$A2524=COLUMNS($A2524:E2543), LEFT(INDEX(FILTER(E$1:E2523, E$1:E2523&lt;&gt;""""),COUNTA(FILTER(E$1:E2523, E$1:E2523&lt;&gt;""""))), LEN(INDEX(FILTER(E$1:E2523, E$1:E2523&lt;&gt;""""),COUNTA(FILTER(E$1:E2523, E$1:E2523&lt;&gt;""""))))-1), IF('To Order'!$A2524=COL"&amp;"UMNS($A2524:E2543), E2523&amp;RIGHT(INDIRECT(ADDRESS(ROW(E2524)-1, 'From Order'!$A2524)), 1), E2523))"),"BRPHZM")</f>
        <v>BRPHZM</v>
      </c>
      <c r="F2524" s="2" t="str">
        <f>IFERROR(__xludf.DUMMYFUNCTION("IF('From Order'!$A2524=COLUMNS($A2524:F2543), LEFT(INDEX(FILTER(F$1:F2523, F$1:F2523&lt;&gt;""""),COUNTA(FILTER(F$1:F2523, F$1:F2523&lt;&gt;""""))), LEN(INDEX(FILTER(F$1:F2523, F$1:F2523&lt;&gt;""""),COUNTA(FILTER(F$1:F2523, F$1:F2523&lt;&gt;""""))))-1), IF('To Order'!$A2524=COL"&amp;"UMNS($A2524:F2543), F2523&amp;RIGHT(INDIRECT(ADDRESS(ROW(F2524)-1, 'From Order'!$A2524)), 1), F2523))"),"RSPMGTTMDZFJCT")</f>
        <v>RSPMGTTMDZFJCT</v>
      </c>
      <c r="G2524" s="2" t="str">
        <f>IFERROR(__xludf.DUMMYFUNCTION("IF('From Order'!$A2524=COLUMNS($A2524:G2543), LEFT(INDEX(FILTER(G$1:G2523, G$1:G2523&lt;&gt;""""),COUNTA(FILTER(G$1:G2523, G$1:G2523&lt;&gt;""""))), LEN(INDEX(FILTER(G$1:G2523, G$1:G2523&lt;&gt;""""),COUNTA(FILTER(G$1:G2523, G$1:G2523&lt;&gt;""""))))-1), IF('To Order'!$A2524=COL"&amp;"UMNS($A2524:G2543), G2523&amp;RIGHT(INDIRECT(ADDRESS(ROW(G2524)-1, 'From Order'!$A2524)), 1), G2523))"),"")</f>
        <v/>
      </c>
      <c r="H2524" s="2" t="str">
        <f>IFERROR(__xludf.DUMMYFUNCTION("IF('From Order'!$A2524=COLUMNS($A2524:H2543), LEFT(INDEX(FILTER(H$1:H2523, H$1:H2523&lt;&gt;""""),COUNTA(FILTER(H$1:H2523, H$1:H2523&lt;&gt;""""))), LEN(INDEX(FILTER(H$1:H2523, H$1:H2523&lt;&gt;""""),COUNTA(FILTER(H$1:H2523, H$1:H2523&lt;&gt;""""))))-1), IF('To Order'!$A2524=COL"&amp;"UMNS($A2524:H2543), H2523&amp;RIGHT(INDIRECT(ADDRESS(ROW(H2524)-1, 'From Order'!$A2524)), 1), H2523))"),"TJT")</f>
        <v>TJT</v>
      </c>
      <c r="I2524" s="2" t="str">
        <f>IFERROR(__xludf.DUMMYFUNCTION("IF('From Order'!$A2524=COLUMNS($A2524:I2543), LEFT(INDEX(FILTER(I$1:I2523, I$1:I2523&lt;&gt;""""),COUNTA(FILTER(I$1:I2523, I$1:I2523&lt;&gt;""""))), LEN(INDEX(FILTER(I$1:I2523, I$1:I2523&lt;&gt;""""),COUNTA(FILTER(I$1:I2523, I$1:I2523&lt;&gt;""""))))-1), IF('To Order'!$A2524=COL"&amp;"UMNS($A2524:I2543), I2523&amp;RIGHT(INDIRECT(ADDRESS(ROW(I2524)-1, 'From Order'!$A2524)), 1), I2523))"),"QVVDDSPLRRJT")</f>
        <v>QVVDDSPLRRJT</v>
      </c>
    </row>
    <row r="2525">
      <c r="A2525" s="2" t="str">
        <f>IFERROR(__xludf.DUMMYFUNCTION("IF('From Order'!$A2525=COLUMNS($A2525:A2544), LEFT(INDEX(FILTER(A$1:A2524, A$1:A2524&lt;&gt;""""),COUNTA(FILTER(A$1:A2524, A$1:A2524&lt;&gt;""""))), LEN(INDEX(FILTER(A$1:A2524, A$1:A2524&lt;&gt;""""),COUNTA(FILTER(A$1:A2524, A$1:A2524&lt;&gt;""""))))-1), IF('To Order'!$A2525=COL"&amp;"UMNS($A2525:A2544), A2524&amp;RIGHT(INDIRECT(ADDRESS(ROW(A2525)-1, 'From Order'!$A2525)), 1), A2524))"),"DR")</f>
        <v>DR</v>
      </c>
      <c r="B2525" s="2" t="str">
        <f>IFERROR(__xludf.DUMMYFUNCTION("IF('From Order'!$A2525=COLUMNS($A2525:B2544), LEFT(INDEX(FILTER(B$1:B2524, B$1:B2524&lt;&gt;""""),COUNTA(FILTER(B$1:B2524, B$1:B2524&lt;&gt;""""))), LEN(INDEX(FILTER(B$1:B2524, B$1:B2524&lt;&gt;""""),COUNTA(FILTER(B$1:B2524, B$1:B2524&lt;&gt;""""))))-1), IF('To Order'!$A2525=COL"&amp;"UMNS($A2525:B2544), B2524&amp;RIGHT(INDIRECT(ADDRESS(ROW(B2525)-1, 'From Order'!$A2525)), 1), B2524))"),"QGWWLHBS")</f>
        <v>QGWWLHBS</v>
      </c>
      <c r="C2525" s="2" t="str">
        <f>IFERROR(__xludf.DUMMYFUNCTION("IF('From Order'!$A2525=COLUMNS($A2525:C2544), LEFT(INDEX(FILTER(C$1:C2524, C$1:C2524&lt;&gt;""""),COUNTA(FILTER(C$1:C2524, C$1:C2524&lt;&gt;""""))), LEN(INDEX(FILTER(C$1:C2524, C$1:C2524&lt;&gt;""""),COUNTA(FILTER(C$1:C2524, C$1:C2524&lt;&gt;""""))))-1), IF('To Order'!$A2525=COL"&amp;"UMNS($A2525:C2544), C2524&amp;RIGHT(INDIRECT(ADDRESS(ROW(C2525)-1, 'From Order'!$A2525)), 1), C2524))"),"CDLFBDVB")</f>
        <v>CDLFBDVB</v>
      </c>
      <c r="D2525" s="2" t="str">
        <f>IFERROR(__xludf.DUMMYFUNCTION("IF('From Order'!$A2525=COLUMNS($A2525:D2544), LEFT(INDEX(FILTER(D$1:D2524, D$1:D2524&lt;&gt;""""),COUNTA(FILTER(D$1:D2524, D$1:D2524&lt;&gt;""""))), LEN(INDEX(FILTER(D$1:D2524, D$1:D2524&lt;&gt;""""),COUNTA(FILTER(D$1:D2524, D$1:D2524&lt;&gt;""""))))-1), IF('To Order'!$A2525=COL"&amp;"UMNS($A2525:D2544), D2524&amp;RIGHT(INDIRECT(ADDRESS(ROW(D2525)-1, 'From Order'!$A2525)), 1), D2524))"),"CSZ")</f>
        <v>CSZ</v>
      </c>
      <c r="E2525" s="2" t="str">
        <f>IFERROR(__xludf.DUMMYFUNCTION("IF('From Order'!$A2525=COLUMNS($A2525:E2544), LEFT(INDEX(FILTER(E$1:E2524, E$1:E2524&lt;&gt;""""),COUNTA(FILTER(E$1:E2524, E$1:E2524&lt;&gt;""""))), LEN(INDEX(FILTER(E$1:E2524, E$1:E2524&lt;&gt;""""),COUNTA(FILTER(E$1:E2524, E$1:E2524&lt;&gt;""""))))-1), IF('To Order'!$A2525=COL"&amp;"UMNS($A2525:E2544), E2524&amp;RIGHT(INDIRECT(ADDRESS(ROW(E2525)-1, 'From Order'!$A2525)), 1), E2524))"),"BRPHZM")</f>
        <v>BRPHZM</v>
      </c>
      <c r="F2525" s="2" t="str">
        <f>IFERROR(__xludf.DUMMYFUNCTION("IF('From Order'!$A2525=COLUMNS($A2525:F2544), LEFT(INDEX(FILTER(F$1:F2524, F$1:F2524&lt;&gt;""""),COUNTA(FILTER(F$1:F2524, F$1:F2524&lt;&gt;""""))), LEN(INDEX(FILTER(F$1:F2524, F$1:F2524&lt;&gt;""""),COUNTA(FILTER(F$1:F2524, F$1:F2524&lt;&gt;""""))))-1), IF('To Order'!$A2525=COL"&amp;"UMNS($A2525:F2544), F2524&amp;RIGHT(INDIRECT(ADDRESS(ROW(F2525)-1, 'From Order'!$A2525)), 1), F2524))"),"RSPMGTTMDZFJC")</f>
        <v>RSPMGTTMDZFJC</v>
      </c>
      <c r="G2525" s="2" t="str">
        <f>IFERROR(__xludf.DUMMYFUNCTION("IF('From Order'!$A2525=COLUMNS($A2525:G2544), LEFT(INDEX(FILTER(G$1:G2524, G$1:G2524&lt;&gt;""""),COUNTA(FILTER(G$1:G2524, G$1:G2524&lt;&gt;""""))), LEN(INDEX(FILTER(G$1:G2524, G$1:G2524&lt;&gt;""""),COUNTA(FILTER(G$1:G2524, G$1:G2524&lt;&gt;""""))))-1), IF('To Order'!$A2525=COL"&amp;"UMNS($A2525:G2544), G2524&amp;RIGHT(INDIRECT(ADDRESS(ROW(G2525)-1, 'From Order'!$A2525)), 1), G2524))"),"")</f>
        <v/>
      </c>
      <c r="H2525" s="2" t="str">
        <f>IFERROR(__xludf.DUMMYFUNCTION("IF('From Order'!$A2525=COLUMNS($A2525:H2544), LEFT(INDEX(FILTER(H$1:H2524, H$1:H2524&lt;&gt;""""),COUNTA(FILTER(H$1:H2524, H$1:H2524&lt;&gt;""""))), LEN(INDEX(FILTER(H$1:H2524, H$1:H2524&lt;&gt;""""),COUNTA(FILTER(H$1:H2524, H$1:H2524&lt;&gt;""""))))-1), IF('To Order'!$A2525=COL"&amp;"UMNS($A2525:H2544), H2524&amp;RIGHT(INDIRECT(ADDRESS(ROW(H2525)-1, 'From Order'!$A2525)), 1), H2524))"),"TJT")</f>
        <v>TJT</v>
      </c>
      <c r="I2525" s="2" t="str">
        <f>IFERROR(__xludf.DUMMYFUNCTION("IF('From Order'!$A2525=COLUMNS($A2525:I2544), LEFT(INDEX(FILTER(I$1:I2524, I$1:I2524&lt;&gt;""""),COUNTA(FILTER(I$1:I2524, I$1:I2524&lt;&gt;""""))), LEN(INDEX(FILTER(I$1:I2524, I$1:I2524&lt;&gt;""""),COUNTA(FILTER(I$1:I2524, I$1:I2524&lt;&gt;""""))))-1), IF('To Order'!$A2525=COL"&amp;"UMNS($A2525:I2544), I2524&amp;RIGHT(INDIRECT(ADDRESS(ROW(I2525)-1, 'From Order'!$A2525)), 1), I2524))"),"QVVDDSPLRRJTT")</f>
        <v>QVVDDSPLRRJTT</v>
      </c>
    </row>
    <row r="2526">
      <c r="A2526" s="2" t="str">
        <f>IFERROR(__xludf.DUMMYFUNCTION("IF('From Order'!$A2526=COLUMNS($A2526:A2545), LEFT(INDEX(FILTER(A$1:A2525, A$1:A2525&lt;&gt;""""),COUNTA(FILTER(A$1:A2525, A$1:A2525&lt;&gt;""""))), LEN(INDEX(FILTER(A$1:A2525, A$1:A2525&lt;&gt;""""),COUNTA(FILTER(A$1:A2525, A$1:A2525&lt;&gt;""""))))-1), IF('To Order'!$A2526=COL"&amp;"UMNS($A2526:A2545), A2525&amp;RIGHT(INDIRECT(ADDRESS(ROW(A2526)-1, 'From Order'!$A2526)), 1), A2525))"),"DR")</f>
        <v>DR</v>
      </c>
      <c r="B2526" s="2" t="str">
        <f>IFERROR(__xludf.DUMMYFUNCTION("IF('From Order'!$A2526=COLUMNS($A2526:B2545), LEFT(INDEX(FILTER(B$1:B2525, B$1:B2525&lt;&gt;""""),COUNTA(FILTER(B$1:B2525, B$1:B2525&lt;&gt;""""))), LEN(INDEX(FILTER(B$1:B2525, B$1:B2525&lt;&gt;""""),COUNTA(FILTER(B$1:B2525, B$1:B2525&lt;&gt;""""))))-1), IF('To Order'!$A2526=COL"&amp;"UMNS($A2526:B2545), B2525&amp;RIGHT(INDIRECT(ADDRESS(ROW(B2526)-1, 'From Order'!$A2526)), 1), B2525))"),"QGWWLHBS")</f>
        <v>QGWWLHBS</v>
      </c>
      <c r="C2526" s="2" t="str">
        <f>IFERROR(__xludf.DUMMYFUNCTION("IF('From Order'!$A2526=COLUMNS($A2526:C2545), LEFT(INDEX(FILTER(C$1:C2525, C$1:C2525&lt;&gt;""""),COUNTA(FILTER(C$1:C2525, C$1:C2525&lt;&gt;""""))), LEN(INDEX(FILTER(C$1:C2525, C$1:C2525&lt;&gt;""""),COUNTA(FILTER(C$1:C2525, C$1:C2525&lt;&gt;""""))))-1), IF('To Order'!$A2526=COL"&amp;"UMNS($A2526:C2545), C2525&amp;RIGHT(INDIRECT(ADDRESS(ROW(C2526)-1, 'From Order'!$A2526)), 1), C2525))"),"CDLFBDVB")</f>
        <v>CDLFBDVB</v>
      </c>
      <c r="D2526" s="2" t="str">
        <f>IFERROR(__xludf.DUMMYFUNCTION("IF('From Order'!$A2526=COLUMNS($A2526:D2545), LEFT(INDEX(FILTER(D$1:D2525, D$1:D2525&lt;&gt;""""),COUNTA(FILTER(D$1:D2525, D$1:D2525&lt;&gt;""""))), LEN(INDEX(FILTER(D$1:D2525, D$1:D2525&lt;&gt;""""),COUNTA(FILTER(D$1:D2525, D$1:D2525&lt;&gt;""""))))-1), IF('To Order'!$A2526=COL"&amp;"UMNS($A2526:D2545), D2525&amp;RIGHT(INDIRECT(ADDRESS(ROW(D2526)-1, 'From Order'!$A2526)), 1), D2525))"),"CSZ")</f>
        <v>CSZ</v>
      </c>
      <c r="E2526" s="2" t="str">
        <f>IFERROR(__xludf.DUMMYFUNCTION("IF('From Order'!$A2526=COLUMNS($A2526:E2545), LEFT(INDEX(FILTER(E$1:E2525, E$1:E2525&lt;&gt;""""),COUNTA(FILTER(E$1:E2525, E$1:E2525&lt;&gt;""""))), LEN(INDEX(FILTER(E$1:E2525, E$1:E2525&lt;&gt;""""),COUNTA(FILTER(E$1:E2525, E$1:E2525&lt;&gt;""""))))-1), IF('To Order'!$A2526=COL"&amp;"UMNS($A2526:E2545), E2525&amp;RIGHT(INDIRECT(ADDRESS(ROW(E2526)-1, 'From Order'!$A2526)), 1), E2525))"),"BRPHZM")</f>
        <v>BRPHZM</v>
      </c>
      <c r="F2526" s="2" t="str">
        <f>IFERROR(__xludf.DUMMYFUNCTION("IF('From Order'!$A2526=COLUMNS($A2526:F2545), LEFT(INDEX(FILTER(F$1:F2525, F$1:F2525&lt;&gt;""""),COUNTA(FILTER(F$1:F2525, F$1:F2525&lt;&gt;""""))), LEN(INDEX(FILTER(F$1:F2525, F$1:F2525&lt;&gt;""""),COUNTA(FILTER(F$1:F2525, F$1:F2525&lt;&gt;""""))))-1), IF('To Order'!$A2526=COL"&amp;"UMNS($A2526:F2545), F2525&amp;RIGHT(INDIRECT(ADDRESS(ROW(F2526)-1, 'From Order'!$A2526)), 1), F2525))"),"RSPMGTTMDZFJ")</f>
        <v>RSPMGTTMDZFJ</v>
      </c>
      <c r="G2526" s="2" t="str">
        <f>IFERROR(__xludf.DUMMYFUNCTION("IF('From Order'!$A2526=COLUMNS($A2526:G2545), LEFT(INDEX(FILTER(G$1:G2525, G$1:G2525&lt;&gt;""""),COUNTA(FILTER(G$1:G2525, G$1:G2525&lt;&gt;""""))), LEN(INDEX(FILTER(G$1:G2525, G$1:G2525&lt;&gt;""""),COUNTA(FILTER(G$1:G2525, G$1:G2525&lt;&gt;""""))))-1), IF('To Order'!$A2526=COL"&amp;"UMNS($A2526:G2545), G2525&amp;RIGHT(INDIRECT(ADDRESS(ROW(G2526)-1, 'From Order'!$A2526)), 1), G2525))"),"")</f>
        <v/>
      </c>
      <c r="H2526" s="2" t="str">
        <f>IFERROR(__xludf.DUMMYFUNCTION("IF('From Order'!$A2526=COLUMNS($A2526:H2545), LEFT(INDEX(FILTER(H$1:H2525, H$1:H2525&lt;&gt;""""),COUNTA(FILTER(H$1:H2525, H$1:H2525&lt;&gt;""""))), LEN(INDEX(FILTER(H$1:H2525, H$1:H2525&lt;&gt;""""),COUNTA(FILTER(H$1:H2525, H$1:H2525&lt;&gt;""""))))-1), IF('To Order'!$A2526=COL"&amp;"UMNS($A2526:H2545), H2525&amp;RIGHT(INDIRECT(ADDRESS(ROW(H2526)-1, 'From Order'!$A2526)), 1), H2525))"),"TJT")</f>
        <v>TJT</v>
      </c>
      <c r="I2526" s="2" t="str">
        <f>IFERROR(__xludf.DUMMYFUNCTION("IF('From Order'!$A2526=COLUMNS($A2526:I2545), LEFT(INDEX(FILTER(I$1:I2525, I$1:I2525&lt;&gt;""""),COUNTA(FILTER(I$1:I2525, I$1:I2525&lt;&gt;""""))), LEN(INDEX(FILTER(I$1:I2525, I$1:I2525&lt;&gt;""""),COUNTA(FILTER(I$1:I2525, I$1:I2525&lt;&gt;""""))))-1), IF('To Order'!$A2526=COL"&amp;"UMNS($A2526:I2545), I2525&amp;RIGHT(INDIRECT(ADDRESS(ROW(I2526)-1, 'From Order'!$A2526)), 1), I2525))"),"QVVDDSPLRRJTTC")</f>
        <v>QVVDDSPLRRJTTC</v>
      </c>
    </row>
    <row r="2527">
      <c r="A2527" s="2" t="str">
        <f>IFERROR(__xludf.DUMMYFUNCTION("IF('From Order'!$A2527=COLUMNS($A2527:A2546), LEFT(INDEX(FILTER(A$1:A2526, A$1:A2526&lt;&gt;""""),COUNTA(FILTER(A$1:A2526, A$1:A2526&lt;&gt;""""))), LEN(INDEX(FILTER(A$1:A2526, A$1:A2526&lt;&gt;""""),COUNTA(FILTER(A$1:A2526, A$1:A2526&lt;&gt;""""))))-1), IF('To Order'!$A2527=COL"&amp;"UMNS($A2527:A2546), A2526&amp;RIGHT(INDIRECT(ADDRESS(ROW(A2527)-1, 'From Order'!$A2527)), 1), A2526))"),"DR")</f>
        <v>DR</v>
      </c>
      <c r="B2527" s="2" t="str">
        <f>IFERROR(__xludf.DUMMYFUNCTION("IF('From Order'!$A2527=COLUMNS($A2527:B2546), LEFT(INDEX(FILTER(B$1:B2526, B$1:B2526&lt;&gt;""""),COUNTA(FILTER(B$1:B2526, B$1:B2526&lt;&gt;""""))), LEN(INDEX(FILTER(B$1:B2526, B$1:B2526&lt;&gt;""""),COUNTA(FILTER(B$1:B2526, B$1:B2526&lt;&gt;""""))))-1), IF('To Order'!$A2527=COL"&amp;"UMNS($A2527:B2546), B2526&amp;RIGHT(INDIRECT(ADDRESS(ROW(B2527)-1, 'From Order'!$A2527)), 1), B2526))"),"QGWWLHBS")</f>
        <v>QGWWLHBS</v>
      </c>
      <c r="C2527" s="2" t="str">
        <f>IFERROR(__xludf.DUMMYFUNCTION("IF('From Order'!$A2527=COLUMNS($A2527:C2546), LEFT(INDEX(FILTER(C$1:C2526, C$1:C2526&lt;&gt;""""),COUNTA(FILTER(C$1:C2526, C$1:C2526&lt;&gt;""""))), LEN(INDEX(FILTER(C$1:C2526, C$1:C2526&lt;&gt;""""),COUNTA(FILTER(C$1:C2526, C$1:C2526&lt;&gt;""""))))-1), IF('To Order'!$A2527=COL"&amp;"UMNS($A2527:C2546), C2526&amp;RIGHT(INDIRECT(ADDRESS(ROW(C2527)-1, 'From Order'!$A2527)), 1), C2526))"),"CDLFBDVB")</f>
        <v>CDLFBDVB</v>
      </c>
      <c r="D2527" s="2" t="str">
        <f>IFERROR(__xludf.DUMMYFUNCTION("IF('From Order'!$A2527=COLUMNS($A2527:D2546), LEFT(INDEX(FILTER(D$1:D2526, D$1:D2526&lt;&gt;""""),COUNTA(FILTER(D$1:D2526, D$1:D2526&lt;&gt;""""))), LEN(INDEX(FILTER(D$1:D2526, D$1:D2526&lt;&gt;""""),COUNTA(FILTER(D$1:D2526, D$1:D2526&lt;&gt;""""))))-1), IF('To Order'!$A2527=COL"&amp;"UMNS($A2527:D2546), D2526&amp;RIGHT(INDIRECT(ADDRESS(ROW(D2527)-1, 'From Order'!$A2527)), 1), D2526))"),"CSZ")</f>
        <v>CSZ</v>
      </c>
      <c r="E2527" s="2" t="str">
        <f>IFERROR(__xludf.DUMMYFUNCTION("IF('From Order'!$A2527=COLUMNS($A2527:E2546), LEFT(INDEX(FILTER(E$1:E2526, E$1:E2526&lt;&gt;""""),COUNTA(FILTER(E$1:E2526, E$1:E2526&lt;&gt;""""))), LEN(INDEX(FILTER(E$1:E2526, E$1:E2526&lt;&gt;""""),COUNTA(FILTER(E$1:E2526, E$1:E2526&lt;&gt;""""))))-1), IF('To Order'!$A2527=COL"&amp;"UMNS($A2527:E2546), E2526&amp;RIGHT(INDIRECT(ADDRESS(ROW(E2527)-1, 'From Order'!$A2527)), 1), E2526))"),"BRPHZM")</f>
        <v>BRPHZM</v>
      </c>
      <c r="F2527" s="2" t="str">
        <f>IFERROR(__xludf.DUMMYFUNCTION("IF('From Order'!$A2527=COLUMNS($A2527:F2546), LEFT(INDEX(FILTER(F$1:F2526, F$1:F2526&lt;&gt;""""),COUNTA(FILTER(F$1:F2526, F$1:F2526&lt;&gt;""""))), LEN(INDEX(FILTER(F$1:F2526, F$1:F2526&lt;&gt;""""),COUNTA(FILTER(F$1:F2526, F$1:F2526&lt;&gt;""""))))-1), IF('To Order'!$A2527=COL"&amp;"UMNS($A2527:F2546), F2526&amp;RIGHT(INDIRECT(ADDRESS(ROW(F2527)-1, 'From Order'!$A2527)), 1), F2526))"),"RSPMGTTMDZF")</f>
        <v>RSPMGTTMDZF</v>
      </c>
      <c r="G2527" s="2" t="str">
        <f>IFERROR(__xludf.DUMMYFUNCTION("IF('From Order'!$A2527=COLUMNS($A2527:G2546), LEFT(INDEX(FILTER(G$1:G2526, G$1:G2526&lt;&gt;""""),COUNTA(FILTER(G$1:G2526, G$1:G2526&lt;&gt;""""))), LEN(INDEX(FILTER(G$1:G2526, G$1:G2526&lt;&gt;""""),COUNTA(FILTER(G$1:G2526, G$1:G2526&lt;&gt;""""))))-1), IF('To Order'!$A2527=COL"&amp;"UMNS($A2527:G2546), G2526&amp;RIGHT(INDIRECT(ADDRESS(ROW(G2527)-1, 'From Order'!$A2527)), 1), G2526))"),"")</f>
        <v/>
      </c>
      <c r="H2527" s="2" t="str">
        <f>IFERROR(__xludf.DUMMYFUNCTION("IF('From Order'!$A2527=COLUMNS($A2527:H2546), LEFT(INDEX(FILTER(H$1:H2526, H$1:H2526&lt;&gt;""""),COUNTA(FILTER(H$1:H2526, H$1:H2526&lt;&gt;""""))), LEN(INDEX(FILTER(H$1:H2526, H$1:H2526&lt;&gt;""""),COUNTA(FILTER(H$1:H2526, H$1:H2526&lt;&gt;""""))))-1), IF('To Order'!$A2527=COL"&amp;"UMNS($A2527:H2546), H2526&amp;RIGHT(INDIRECT(ADDRESS(ROW(H2527)-1, 'From Order'!$A2527)), 1), H2526))"),"TJT")</f>
        <v>TJT</v>
      </c>
      <c r="I2527" s="2" t="str">
        <f>IFERROR(__xludf.DUMMYFUNCTION("IF('From Order'!$A2527=COLUMNS($A2527:I2546), LEFT(INDEX(FILTER(I$1:I2526, I$1:I2526&lt;&gt;""""),COUNTA(FILTER(I$1:I2526, I$1:I2526&lt;&gt;""""))), LEN(INDEX(FILTER(I$1:I2526, I$1:I2526&lt;&gt;""""),COUNTA(FILTER(I$1:I2526, I$1:I2526&lt;&gt;""""))))-1), IF('To Order'!$A2527=COL"&amp;"UMNS($A2527:I2546), I2526&amp;RIGHT(INDIRECT(ADDRESS(ROW(I2527)-1, 'From Order'!$A2527)), 1), I2526))"),"QVVDDSPLRRJTTCJ")</f>
        <v>QVVDDSPLRRJTTCJ</v>
      </c>
    </row>
    <row r="2528">
      <c r="A2528" s="2" t="str">
        <f>IFERROR(__xludf.DUMMYFUNCTION("IF('From Order'!$A2528=COLUMNS($A2528:A2547), LEFT(INDEX(FILTER(A$1:A2527, A$1:A2527&lt;&gt;""""),COUNTA(FILTER(A$1:A2527, A$1:A2527&lt;&gt;""""))), LEN(INDEX(FILTER(A$1:A2527, A$1:A2527&lt;&gt;""""),COUNTA(FILTER(A$1:A2527, A$1:A2527&lt;&gt;""""))))-1), IF('To Order'!$A2528=COL"&amp;"UMNS($A2528:A2547), A2527&amp;RIGHT(INDIRECT(ADDRESS(ROW(A2528)-1, 'From Order'!$A2528)), 1), A2527))"),"DR")</f>
        <v>DR</v>
      </c>
      <c r="B2528" s="2" t="str">
        <f>IFERROR(__xludf.DUMMYFUNCTION("IF('From Order'!$A2528=COLUMNS($A2528:B2547), LEFT(INDEX(FILTER(B$1:B2527, B$1:B2527&lt;&gt;""""),COUNTA(FILTER(B$1:B2527, B$1:B2527&lt;&gt;""""))), LEN(INDEX(FILTER(B$1:B2527, B$1:B2527&lt;&gt;""""),COUNTA(FILTER(B$1:B2527, B$1:B2527&lt;&gt;""""))))-1), IF('To Order'!$A2528=COL"&amp;"UMNS($A2528:B2547), B2527&amp;RIGHT(INDIRECT(ADDRESS(ROW(B2528)-1, 'From Order'!$A2528)), 1), B2527))"),"QGWWLHBS")</f>
        <v>QGWWLHBS</v>
      </c>
      <c r="C2528" s="2" t="str">
        <f>IFERROR(__xludf.DUMMYFUNCTION("IF('From Order'!$A2528=COLUMNS($A2528:C2547), LEFT(INDEX(FILTER(C$1:C2527, C$1:C2527&lt;&gt;""""),COUNTA(FILTER(C$1:C2527, C$1:C2527&lt;&gt;""""))), LEN(INDEX(FILTER(C$1:C2527, C$1:C2527&lt;&gt;""""),COUNTA(FILTER(C$1:C2527, C$1:C2527&lt;&gt;""""))))-1), IF('To Order'!$A2528=COL"&amp;"UMNS($A2528:C2547), C2527&amp;RIGHT(INDIRECT(ADDRESS(ROW(C2528)-1, 'From Order'!$A2528)), 1), C2527))"),"CDLFBDVB")</f>
        <v>CDLFBDVB</v>
      </c>
      <c r="D2528" s="2" t="str">
        <f>IFERROR(__xludf.DUMMYFUNCTION("IF('From Order'!$A2528=COLUMNS($A2528:D2547), LEFT(INDEX(FILTER(D$1:D2527, D$1:D2527&lt;&gt;""""),COUNTA(FILTER(D$1:D2527, D$1:D2527&lt;&gt;""""))), LEN(INDEX(FILTER(D$1:D2527, D$1:D2527&lt;&gt;""""),COUNTA(FILTER(D$1:D2527, D$1:D2527&lt;&gt;""""))))-1), IF('To Order'!$A2528=COL"&amp;"UMNS($A2528:D2547), D2527&amp;RIGHT(INDIRECT(ADDRESS(ROW(D2528)-1, 'From Order'!$A2528)), 1), D2527))"),"CSZ")</f>
        <v>CSZ</v>
      </c>
      <c r="E2528" s="2" t="str">
        <f>IFERROR(__xludf.DUMMYFUNCTION("IF('From Order'!$A2528=COLUMNS($A2528:E2547), LEFT(INDEX(FILTER(E$1:E2527, E$1:E2527&lt;&gt;""""),COUNTA(FILTER(E$1:E2527, E$1:E2527&lt;&gt;""""))), LEN(INDEX(FILTER(E$1:E2527, E$1:E2527&lt;&gt;""""),COUNTA(FILTER(E$1:E2527, E$1:E2527&lt;&gt;""""))))-1), IF('To Order'!$A2528=COL"&amp;"UMNS($A2528:E2547), E2527&amp;RIGHT(INDIRECT(ADDRESS(ROW(E2528)-1, 'From Order'!$A2528)), 1), E2527))"),"BRPHZM")</f>
        <v>BRPHZM</v>
      </c>
      <c r="F2528" s="2" t="str">
        <f>IFERROR(__xludf.DUMMYFUNCTION("IF('From Order'!$A2528=COLUMNS($A2528:F2547), LEFT(INDEX(FILTER(F$1:F2527, F$1:F2527&lt;&gt;""""),COUNTA(FILTER(F$1:F2527, F$1:F2527&lt;&gt;""""))), LEN(INDEX(FILTER(F$1:F2527, F$1:F2527&lt;&gt;""""),COUNTA(FILTER(F$1:F2527, F$1:F2527&lt;&gt;""""))))-1), IF('To Order'!$A2528=COL"&amp;"UMNS($A2528:F2547), F2527&amp;RIGHT(INDIRECT(ADDRESS(ROW(F2528)-1, 'From Order'!$A2528)), 1), F2527))"),"RSPMGTTMDZ")</f>
        <v>RSPMGTTMDZ</v>
      </c>
      <c r="G2528" s="2" t="str">
        <f>IFERROR(__xludf.DUMMYFUNCTION("IF('From Order'!$A2528=COLUMNS($A2528:G2547), LEFT(INDEX(FILTER(G$1:G2527, G$1:G2527&lt;&gt;""""),COUNTA(FILTER(G$1:G2527, G$1:G2527&lt;&gt;""""))), LEN(INDEX(FILTER(G$1:G2527, G$1:G2527&lt;&gt;""""),COUNTA(FILTER(G$1:G2527, G$1:G2527&lt;&gt;""""))))-1), IF('To Order'!$A2528=COL"&amp;"UMNS($A2528:G2547), G2527&amp;RIGHT(INDIRECT(ADDRESS(ROW(G2528)-1, 'From Order'!$A2528)), 1), G2527))"),"")</f>
        <v/>
      </c>
      <c r="H2528" s="2" t="str">
        <f>IFERROR(__xludf.DUMMYFUNCTION("IF('From Order'!$A2528=COLUMNS($A2528:H2547), LEFT(INDEX(FILTER(H$1:H2527, H$1:H2527&lt;&gt;""""),COUNTA(FILTER(H$1:H2527, H$1:H2527&lt;&gt;""""))), LEN(INDEX(FILTER(H$1:H2527, H$1:H2527&lt;&gt;""""),COUNTA(FILTER(H$1:H2527, H$1:H2527&lt;&gt;""""))))-1), IF('To Order'!$A2528=COL"&amp;"UMNS($A2528:H2547), H2527&amp;RIGHT(INDIRECT(ADDRESS(ROW(H2528)-1, 'From Order'!$A2528)), 1), H2527))"),"TJT")</f>
        <v>TJT</v>
      </c>
      <c r="I2528" s="2" t="str">
        <f>IFERROR(__xludf.DUMMYFUNCTION("IF('From Order'!$A2528=COLUMNS($A2528:I2547), LEFT(INDEX(FILTER(I$1:I2527, I$1:I2527&lt;&gt;""""),COUNTA(FILTER(I$1:I2527, I$1:I2527&lt;&gt;""""))), LEN(INDEX(FILTER(I$1:I2527, I$1:I2527&lt;&gt;""""),COUNTA(FILTER(I$1:I2527, I$1:I2527&lt;&gt;""""))))-1), IF('To Order'!$A2528=COL"&amp;"UMNS($A2528:I2547), I2527&amp;RIGHT(INDIRECT(ADDRESS(ROW(I2528)-1, 'From Order'!$A2528)), 1), I2527))"),"QVVDDSPLRRJTTCJF")</f>
        <v>QVVDDSPLRRJTTCJF</v>
      </c>
    </row>
    <row r="2529">
      <c r="A2529" s="2" t="str">
        <f>IFERROR(__xludf.DUMMYFUNCTION("IF('From Order'!$A2529=COLUMNS($A2529:A2548), LEFT(INDEX(FILTER(A$1:A2528, A$1:A2528&lt;&gt;""""),COUNTA(FILTER(A$1:A2528, A$1:A2528&lt;&gt;""""))), LEN(INDEX(FILTER(A$1:A2528, A$1:A2528&lt;&gt;""""),COUNTA(FILTER(A$1:A2528, A$1:A2528&lt;&gt;""""))))-1), IF('To Order'!$A2529=COL"&amp;"UMNS($A2529:A2548), A2528&amp;RIGHT(INDIRECT(ADDRESS(ROW(A2529)-1, 'From Order'!$A2529)), 1), A2528))"),"DR")</f>
        <v>DR</v>
      </c>
      <c r="B2529" s="2" t="str">
        <f>IFERROR(__xludf.DUMMYFUNCTION("IF('From Order'!$A2529=COLUMNS($A2529:B2548), LEFT(INDEX(FILTER(B$1:B2528, B$1:B2528&lt;&gt;""""),COUNTA(FILTER(B$1:B2528, B$1:B2528&lt;&gt;""""))), LEN(INDEX(FILTER(B$1:B2528, B$1:B2528&lt;&gt;""""),COUNTA(FILTER(B$1:B2528, B$1:B2528&lt;&gt;""""))))-1), IF('To Order'!$A2529=COL"&amp;"UMNS($A2529:B2548), B2528&amp;RIGHT(INDIRECT(ADDRESS(ROW(B2529)-1, 'From Order'!$A2529)), 1), B2528))"),"QGWWLHBS")</f>
        <v>QGWWLHBS</v>
      </c>
      <c r="C2529" s="2" t="str">
        <f>IFERROR(__xludf.DUMMYFUNCTION("IF('From Order'!$A2529=COLUMNS($A2529:C2548), LEFT(INDEX(FILTER(C$1:C2528, C$1:C2528&lt;&gt;""""),COUNTA(FILTER(C$1:C2528, C$1:C2528&lt;&gt;""""))), LEN(INDEX(FILTER(C$1:C2528, C$1:C2528&lt;&gt;""""),COUNTA(FILTER(C$1:C2528, C$1:C2528&lt;&gt;""""))))-1), IF('To Order'!$A2529=COL"&amp;"UMNS($A2529:C2548), C2528&amp;RIGHT(INDIRECT(ADDRESS(ROW(C2529)-1, 'From Order'!$A2529)), 1), C2528))"),"CDLFBDVB")</f>
        <v>CDLFBDVB</v>
      </c>
      <c r="D2529" s="2" t="str">
        <f>IFERROR(__xludf.DUMMYFUNCTION("IF('From Order'!$A2529=COLUMNS($A2529:D2548), LEFT(INDEX(FILTER(D$1:D2528, D$1:D2528&lt;&gt;""""),COUNTA(FILTER(D$1:D2528, D$1:D2528&lt;&gt;""""))), LEN(INDEX(FILTER(D$1:D2528, D$1:D2528&lt;&gt;""""),COUNTA(FILTER(D$1:D2528, D$1:D2528&lt;&gt;""""))))-1), IF('To Order'!$A2529=COL"&amp;"UMNS($A2529:D2548), D2528&amp;RIGHT(INDIRECT(ADDRESS(ROW(D2529)-1, 'From Order'!$A2529)), 1), D2528))"),"CSZ")</f>
        <v>CSZ</v>
      </c>
      <c r="E2529" s="2" t="str">
        <f>IFERROR(__xludf.DUMMYFUNCTION("IF('From Order'!$A2529=COLUMNS($A2529:E2548), LEFT(INDEX(FILTER(E$1:E2528, E$1:E2528&lt;&gt;""""),COUNTA(FILTER(E$1:E2528, E$1:E2528&lt;&gt;""""))), LEN(INDEX(FILTER(E$1:E2528, E$1:E2528&lt;&gt;""""),COUNTA(FILTER(E$1:E2528, E$1:E2528&lt;&gt;""""))))-1), IF('To Order'!$A2529=COL"&amp;"UMNS($A2529:E2548), E2528&amp;RIGHT(INDIRECT(ADDRESS(ROW(E2529)-1, 'From Order'!$A2529)), 1), E2528))"),"BRPHZM")</f>
        <v>BRPHZM</v>
      </c>
      <c r="F2529" s="2" t="str">
        <f>IFERROR(__xludf.DUMMYFUNCTION("IF('From Order'!$A2529=COLUMNS($A2529:F2548), LEFT(INDEX(FILTER(F$1:F2528, F$1:F2528&lt;&gt;""""),COUNTA(FILTER(F$1:F2528, F$1:F2528&lt;&gt;""""))), LEN(INDEX(FILTER(F$1:F2528, F$1:F2528&lt;&gt;""""),COUNTA(FILTER(F$1:F2528, F$1:F2528&lt;&gt;""""))))-1), IF('To Order'!$A2529=COL"&amp;"UMNS($A2529:F2548), F2528&amp;RIGHT(INDIRECT(ADDRESS(ROW(F2529)-1, 'From Order'!$A2529)), 1), F2528))"),"RSPMGTTMD")</f>
        <v>RSPMGTTMD</v>
      </c>
      <c r="G2529" s="2" t="str">
        <f>IFERROR(__xludf.DUMMYFUNCTION("IF('From Order'!$A2529=COLUMNS($A2529:G2548), LEFT(INDEX(FILTER(G$1:G2528, G$1:G2528&lt;&gt;""""),COUNTA(FILTER(G$1:G2528, G$1:G2528&lt;&gt;""""))), LEN(INDEX(FILTER(G$1:G2528, G$1:G2528&lt;&gt;""""),COUNTA(FILTER(G$1:G2528, G$1:G2528&lt;&gt;""""))))-1), IF('To Order'!$A2529=COL"&amp;"UMNS($A2529:G2548), G2528&amp;RIGHT(INDIRECT(ADDRESS(ROW(G2529)-1, 'From Order'!$A2529)), 1), G2528))"),"")</f>
        <v/>
      </c>
      <c r="H2529" s="2" t="str">
        <f>IFERROR(__xludf.DUMMYFUNCTION("IF('From Order'!$A2529=COLUMNS($A2529:H2548), LEFT(INDEX(FILTER(H$1:H2528, H$1:H2528&lt;&gt;""""),COUNTA(FILTER(H$1:H2528, H$1:H2528&lt;&gt;""""))), LEN(INDEX(FILTER(H$1:H2528, H$1:H2528&lt;&gt;""""),COUNTA(FILTER(H$1:H2528, H$1:H2528&lt;&gt;""""))))-1), IF('To Order'!$A2529=COL"&amp;"UMNS($A2529:H2548), H2528&amp;RIGHT(INDIRECT(ADDRESS(ROW(H2529)-1, 'From Order'!$A2529)), 1), H2528))"),"TJT")</f>
        <v>TJT</v>
      </c>
      <c r="I2529" s="2" t="str">
        <f>IFERROR(__xludf.DUMMYFUNCTION("IF('From Order'!$A2529=COLUMNS($A2529:I2548), LEFT(INDEX(FILTER(I$1:I2528, I$1:I2528&lt;&gt;""""),COUNTA(FILTER(I$1:I2528, I$1:I2528&lt;&gt;""""))), LEN(INDEX(FILTER(I$1:I2528, I$1:I2528&lt;&gt;""""),COUNTA(FILTER(I$1:I2528, I$1:I2528&lt;&gt;""""))))-1), IF('To Order'!$A2529=COL"&amp;"UMNS($A2529:I2548), I2528&amp;RIGHT(INDIRECT(ADDRESS(ROW(I2529)-1, 'From Order'!$A2529)), 1), I2528))"),"QVVDDSPLRRJTTCJFZ")</f>
        <v>QVVDDSPLRRJTTCJFZ</v>
      </c>
    </row>
    <row r="2530">
      <c r="A2530" s="2" t="str">
        <f>IFERROR(__xludf.DUMMYFUNCTION("IF('From Order'!$A2530=COLUMNS($A2530:A2549), LEFT(INDEX(FILTER(A$1:A2529, A$1:A2529&lt;&gt;""""),COUNTA(FILTER(A$1:A2529, A$1:A2529&lt;&gt;""""))), LEN(INDEX(FILTER(A$1:A2529, A$1:A2529&lt;&gt;""""),COUNTA(FILTER(A$1:A2529, A$1:A2529&lt;&gt;""""))))-1), IF('To Order'!$A2530=COL"&amp;"UMNS($A2530:A2549), A2529&amp;RIGHT(INDIRECT(ADDRESS(ROW(A2530)-1, 'From Order'!$A2530)), 1), A2529))"),"DR")</f>
        <v>DR</v>
      </c>
      <c r="B2530" s="2" t="str">
        <f>IFERROR(__xludf.DUMMYFUNCTION("IF('From Order'!$A2530=COLUMNS($A2530:B2549), LEFT(INDEX(FILTER(B$1:B2529, B$1:B2529&lt;&gt;""""),COUNTA(FILTER(B$1:B2529, B$1:B2529&lt;&gt;""""))), LEN(INDEX(FILTER(B$1:B2529, B$1:B2529&lt;&gt;""""),COUNTA(FILTER(B$1:B2529, B$1:B2529&lt;&gt;""""))))-1), IF('To Order'!$A2530=COL"&amp;"UMNS($A2530:B2549), B2529&amp;RIGHT(INDIRECT(ADDRESS(ROW(B2530)-1, 'From Order'!$A2530)), 1), B2529))"),"QGWWLHBS")</f>
        <v>QGWWLHBS</v>
      </c>
      <c r="C2530" s="2" t="str">
        <f>IFERROR(__xludf.DUMMYFUNCTION("IF('From Order'!$A2530=COLUMNS($A2530:C2549), LEFT(INDEX(FILTER(C$1:C2529, C$1:C2529&lt;&gt;""""),COUNTA(FILTER(C$1:C2529, C$1:C2529&lt;&gt;""""))), LEN(INDEX(FILTER(C$1:C2529, C$1:C2529&lt;&gt;""""),COUNTA(FILTER(C$1:C2529, C$1:C2529&lt;&gt;""""))))-1), IF('To Order'!$A2530=COL"&amp;"UMNS($A2530:C2549), C2529&amp;RIGHT(INDIRECT(ADDRESS(ROW(C2530)-1, 'From Order'!$A2530)), 1), C2529))"),"CDLFBDVB")</f>
        <v>CDLFBDVB</v>
      </c>
      <c r="D2530" s="2" t="str">
        <f>IFERROR(__xludf.DUMMYFUNCTION("IF('From Order'!$A2530=COLUMNS($A2530:D2549), LEFT(INDEX(FILTER(D$1:D2529, D$1:D2529&lt;&gt;""""),COUNTA(FILTER(D$1:D2529, D$1:D2529&lt;&gt;""""))), LEN(INDEX(FILTER(D$1:D2529, D$1:D2529&lt;&gt;""""),COUNTA(FILTER(D$1:D2529, D$1:D2529&lt;&gt;""""))))-1), IF('To Order'!$A2530=COL"&amp;"UMNS($A2530:D2549), D2529&amp;RIGHT(INDIRECT(ADDRESS(ROW(D2530)-1, 'From Order'!$A2530)), 1), D2529))"),"CSZ")</f>
        <v>CSZ</v>
      </c>
      <c r="E2530" s="2" t="str">
        <f>IFERROR(__xludf.DUMMYFUNCTION("IF('From Order'!$A2530=COLUMNS($A2530:E2549), LEFT(INDEX(FILTER(E$1:E2529, E$1:E2529&lt;&gt;""""),COUNTA(FILTER(E$1:E2529, E$1:E2529&lt;&gt;""""))), LEN(INDEX(FILTER(E$1:E2529, E$1:E2529&lt;&gt;""""),COUNTA(FILTER(E$1:E2529, E$1:E2529&lt;&gt;""""))))-1), IF('To Order'!$A2530=COL"&amp;"UMNS($A2530:E2549), E2529&amp;RIGHT(INDIRECT(ADDRESS(ROW(E2530)-1, 'From Order'!$A2530)), 1), E2529))"),"BRPHZM")</f>
        <v>BRPHZM</v>
      </c>
      <c r="F2530" s="2" t="str">
        <f>IFERROR(__xludf.DUMMYFUNCTION("IF('From Order'!$A2530=COLUMNS($A2530:F2549), LEFT(INDEX(FILTER(F$1:F2529, F$1:F2529&lt;&gt;""""),COUNTA(FILTER(F$1:F2529, F$1:F2529&lt;&gt;""""))), LEN(INDEX(FILTER(F$1:F2529, F$1:F2529&lt;&gt;""""),COUNTA(FILTER(F$1:F2529, F$1:F2529&lt;&gt;""""))))-1), IF('To Order'!$A2530=COL"&amp;"UMNS($A2530:F2549), F2529&amp;RIGHT(INDIRECT(ADDRESS(ROW(F2530)-1, 'From Order'!$A2530)), 1), F2529))"),"RSPMGTTM")</f>
        <v>RSPMGTTM</v>
      </c>
      <c r="G2530" s="2" t="str">
        <f>IFERROR(__xludf.DUMMYFUNCTION("IF('From Order'!$A2530=COLUMNS($A2530:G2549), LEFT(INDEX(FILTER(G$1:G2529, G$1:G2529&lt;&gt;""""),COUNTA(FILTER(G$1:G2529, G$1:G2529&lt;&gt;""""))), LEN(INDEX(FILTER(G$1:G2529, G$1:G2529&lt;&gt;""""),COUNTA(FILTER(G$1:G2529, G$1:G2529&lt;&gt;""""))))-1), IF('To Order'!$A2530=COL"&amp;"UMNS($A2530:G2549), G2529&amp;RIGHT(INDIRECT(ADDRESS(ROW(G2530)-1, 'From Order'!$A2530)), 1), G2529))"),"")</f>
        <v/>
      </c>
      <c r="H2530" s="2" t="str">
        <f>IFERROR(__xludf.DUMMYFUNCTION("IF('From Order'!$A2530=COLUMNS($A2530:H2549), LEFT(INDEX(FILTER(H$1:H2529, H$1:H2529&lt;&gt;""""),COUNTA(FILTER(H$1:H2529, H$1:H2529&lt;&gt;""""))), LEN(INDEX(FILTER(H$1:H2529, H$1:H2529&lt;&gt;""""),COUNTA(FILTER(H$1:H2529, H$1:H2529&lt;&gt;""""))))-1), IF('To Order'!$A2530=COL"&amp;"UMNS($A2530:H2549), H2529&amp;RIGHT(INDIRECT(ADDRESS(ROW(H2530)-1, 'From Order'!$A2530)), 1), H2529))"),"TJT")</f>
        <v>TJT</v>
      </c>
      <c r="I2530" s="2" t="str">
        <f>IFERROR(__xludf.DUMMYFUNCTION("IF('From Order'!$A2530=COLUMNS($A2530:I2549), LEFT(INDEX(FILTER(I$1:I2529, I$1:I2529&lt;&gt;""""),COUNTA(FILTER(I$1:I2529, I$1:I2529&lt;&gt;""""))), LEN(INDEX(FILTER(I$1:I2529, I$1:I2529&lt;&gt;""""),COUNTA(FILTER(I$1:I2529, I$1:I2529&lt;&gt;""""))))-1), IF('To Order'!$A2530=COL"&amp;"UMNS($A2530:I2549), I2529&amp;RIGHT(INDIRECT(ADDRESS(ROW(I2530)-1, 'From Order'!$A2530)), 1), I2529))"),"QVVDDSPLRRJTTCJFZD")</f>
        <v>QVVDDSPLRRJTTCJFZD</v>
      </c>
    </row>
    <row r="2531">
      <c r="A2531" s="2" t="str">
        <f>IFERROR(__xludf.DUMMYFUNCTION("IF('From Order'!$A2531=COLUMNS($A2531:A2550), LEFT(INDEX(FILTER(A$1:A2530, A$1:A2530&lt;&gt;""""),COUNTA(FILTER(A$1:A2530, A$1:A2530&lt;&gt;""""))), LEN(INDEX(FILTER(A$1:A2530, A$1:A2530&lt;&gt;""""),COUNTA(FILTER(A$1:A2530, A$1:A2530&lt;&gt;""""))))-1), IF('To Order'!$A2531=COL"&amp;"UMNS($A2531:A2550), A2530&amp;RIGHT(INDIRECT(ADDRESS(ROW(A2531)-1, 'From Order'!$A2531)), 1), A2530))"),"DR")</f>
        <v>DR</v>
      </c>
      <c r="B2531" s="2" t="str">
        <f>IFERROR(__xludf.DUMMYFUNCTION("IF('From Order'!$A2531=COLUMNS($A2531:B2550), LEFT(INDEX(FILTER(B$1:B2530, B$1:B2530&lt;&gt;""""),COUNTA(FILTER(B$1:B2530, B$1:B2530&lt;&gt;""""))), LEN(INDEX(FILTER(B$1:B2530, B$1:B2530&lt;&gt;""""),COUNTA(FILTER(B$1:B2530, B$1:B2530&lt;&gt;""""))))-1), IF('To Order'!$A2531=COL"&amp;"UMNS($A2531:B2550), B2530&amp;RIGHT(INDIRECT(ADDRESS(ROW(B2531)-1, 'From Order'!$A2531)), 1), B2530))"),"QGWWLHBS")</f>
        <v>QGWWLHBS</v>
      </c>
      <c r="C2531" s="2" t="str">
        <f>IFERROR(__xludf.DUMMYFUNCTION("IF('From Order'!$A2531=COLUMNS($A2531:C2550), LEFT(INDEX(FILTER(C$1:C2530, C$1:C2530&lt;&gt;""""),COUNTA(FILTER(C$1:C2530, C$1:C2530&lt;&gt;""""))), LEN(INDEX(FILTER(C$1:C2530, C$1:C2530&lt;&gt;""""),COUNTA(FILTER(C$1:C2530, C$1:C2530&lt;&gt;""""))))-1), IF('To Order'!$A2531=COL"&amp;"UMNS($A2531:C2550), C2530&amp;RIGHT(INDIRECT(ADDRESS(ROW(C2531)-1, 'From Order'!$A2531)), 1), C2530))"),"CDLFBDVB")</f>
        <v>CDLFBDVB</v>
      </c>
      <c r="D2531" s="2" t="str">
        <f>IFERROR(__xludf.DUMMYFUNCTION("IF('From Order'!$A2531=COLUMNS($A2531:D2550), LEFT(INDEX(FILTER(D$1:D2530, D$1:D2530&lt;&gt;""""),COUNTA(FILTER(D$1:D2530, D$1:D2530&lt;&gt;""""))), LEN(INDEX(FILTER(D$1:D2530, D$1:D2530&lt;&gt;""""),COUNTA(FILTER(D$1:D2530, D$1:D2530&lt;&gt;""""))))-1), IF('To Order'!$A2531=COL"&amp;"UMNS($A2531:D2550), D2530&amp;RIGHT(INDIRECT(ADDRESS(ROW(D2531)-1, 'From Order'!$A2531)), 1), D2530))"),"CSZ")</f>
        <v>CSZ</v>
      </c>
      <c r="E2531" s="2" t="str">
        <f>IFERROR(__xludf.DUMMYFUNCTION("IF('From Order'!$A2531=COLUMNS($A2531:E2550), LEFT(INDEX(FILTER(E$1:E2530, E$1:E2530&lt;&gt;""""),COUNTA(FILTER(E$1:E2530, E$1:E2530&lt;&gt;""""))), LEN(INDEX(FILTER(E$1:E2530, E$1:E2530&lt;&gt;""""),COUNTA(FILTER(E$1:E2530, E$1:E2530&lt;&gt;""""))))-1), IF('To Order'!$A2531=COL"&amp;"UMNS($A2531:E2550), E2530&amp;RIGHT(INDIRECT(ADDRESS(ROW(E2531)-1, 'From Order'!$A2531)), 1), E2530))"),"BRPHZM")</f>
        <v>BRPHZM</v>
      </c>
      <c r="F2531" s="2" t="str">
        <f>IFERROR(__xludf.DUMMYFUNCTION("IF('From Order'!$A2531=COLUMNS($A2531:F2550), LEFT(INDEX(FILTER(F$1:F2530, F$1:F2530&lt;&gt;""""),COUNTA(FILTER(F$1:F2530, F$1:F2530&lt;&gt;""""))), LEN(INDEX(FILTER(F$1:F2530, F$1:F2530&lt;&gt;""""),COUNTA(FILTER(F$1:F2530, F$1:F2530&lt;&gt;""""))))-1), IF('To Order'!$A2531=COL"&amp;"UMNS($A2531:F2550), F2530&amp;RIGHT(INDIRECT(ADDRESS(ROW(F2531)-1, 'From Order'!$A2531)), 1), F2530))"),"RSPMGTT")</f>
        <v>RSPMGTT</v>
      </c>
      <c r="G2531" s="2" t="str">
        <f>IFERROR(__xludf.DUMMYFUNCTION("IF('From Order'!$A2531=COLUMNS($A2531:G2550), LEFT(INDEX(FILTER(G$1:G2530, G$1:G2530&lt;&gt;""""),COUNTA(FILTER(G$1:G2530, G$1:G2530&lt;&gt;""""))), LEN(INDEX(FILTER(G$1:G2530, G$1:G2530&lt;&gt;""""),COUNTA(FILTER(G$1:G2530, G$1:G2530&lt;&gt;""""))))-1), IF('To Order'!$A2531=COL"&amp;"UMNS($A2531:G2550), G2530&amp;RIGHT(INDIRECT(ADDRESS(ROW(G2531)-1, 'From Order'!$A2531)), 1), G2530))"),"")</f>
        <v/>
      </c>
      <c r="H2531" s="2" t="str">
        <f>IFERROR(__xludf.DUMMYFUNCTION("IF('From Order'!$A2531=COLUMNS($A2531:H2550), LEFT(INDEX(FILTER(H$1:H2530, H$1:H2530&lt;&gt;""""),COUNTA(FILTER(H$1:H2530, H$1:H2530&lt;&gt;""""))), LEN(INDEX(FILTER(H$1:H2530, H$1:H2530&lt;&gt;""""),COUNTA(FILTER(H$1:H2530, H$1:H2530&lt;&gt;""""))))-1), IF('To Order'!$A2531=COL"&amp;"UMNS($A2531:H2550), H2530&amp;RIGHT(INDIRECT(ADDRESS(ROW(H2531)-1, 'From Order'!$A2531)), 1), H2530))"),"TJT")</f>
        <v>TJT</v>
      </c>
      <c r="I2531" s="2" t="str">
        <f>IFERROR(__xludf.DUMMYFUNCTION("IF('From Order'!$A2531=COLUMNS($A2531:I2550), LEFT(INDEX(FILTER(I$1:I2530, I$1:I2530&lt;&gt;""""),COUNTA(FILTER(I$1:I2530, I$1:I2530&lt;&gt;""""))), LEN(INDEX(FILTER(I$1:I2530, I$1:I2530&lt;&gt;""""),COUNTA(FILTER(I$1:I2530, I$1:I2530&lt;&gt;""""))))-1), IF('To Order'!$A2531=COL"&amp;"UMNS($A2531:I2550), I2530&amp;RIGHT(INDIRECT(ADDRESS(ROW(I2531)-1, 'From Order'!$A2531)), 1), I2530))"),"QVVDDSPLRRJTTCJFZDM")</f>
        <v>QVVDDSPLRRJTTCJFZDM</v>
      </c>
    </row>
    <row r="2532">
      <c r="A2532" s="2" t="str">
        <f>IFERROR(__xludf.DUMMYFUNCTION("IF('From Order'!$A2532=COLUMNS($A2532:A2551), LEFT(INDEX(FILTER(A$1:A2531, A$1:A2531&lt;&gt;""""),COUNTA(FILTER(A$1:A2531, A$1:A2531&lt;&gt;""""))), LEN(INDEX(FILTER(A$1:A2531, A$1:A2531&lt;&gt;""""),COUNTA(FILTER(A$1:A2531, A$1:A2531&lt;&gt;""""))))-1), IF('To Order'!$A2532=COL"&amp;"UMNS($A2532:A2551), A2531&amp;RIGHT(INDIRECT(ADDRESS(ROW(A2532)-1, 'From Order'!$A2532)), 1), A2531))"),"DR")</f>
        <v>DR</v>
      </c>
      <c r="B2532" s="2" t="str">
        <f>IFERROR(__xludf.DUMMYFUNCTION("IF('From Order'!$A2532=COLUMNS($A2532:B2551), LEFT(INDEX(FILTER(B$1:B2531, B$1:B2531&lt;&gt;""""),COUNTA(FILTER(B$1:B2531, B$1:B2531&lt;&gt;""""))), LEN(INDEX(FILTER(B$1:B2531, B$1:B2531&lt;&gt;""""),COUNTA(FILTER(B$1:B2531, B$1:B2531&lt;&gt;""""))))-1), IF('To Order'!$A2532=COL"&amp;"UMNS($A2532:B2551), B2531&amp;RIGHT(INDIRECT(ADDRESS(ROW(B2532)-1, 'From Order'!$A2532)), 1), B2531))"),"QGWWLHBS")</f>
        <v>QGWWLHBS</v>
      </c>
      <c r="C2532" s="2" t="str">
        <f>IFERROR(__xludf.DUMMYFUNCTION("IF('From Order'!$A2532=COLUMNS($A2532:C2551), LEFT(INDEX(FILTER(C$1:C2531, C$1:C2531&lt;&gt;""""),COUNTA(FILTER(C$1:C2531, C$1:C2531&lt;&gt;""""))), LEN(INDEX(FILTER(C$1:C2531, C$1:C2531&lt;&gt;""""),COUNTA(FILTER(C$1:C2531, C$1:C2531&lt;&gt;""""))))-1), IF('To Order'!$A2532=COL"&amp;"UMNS($A2532:C2551), C2531&amp;RIGHT(INDIRECT(ADDRESS(ROW(C2532)-1, 'From Order'!$A2532)), 1), C2531))"),"CDLFBDVB")</f>
        <v>CDLFBDVB</v>
      </c>
      <c r="D2532" s="2" t="str">
        <f>IFERROR(__xludf.DUMMYFUNCTION("IF('From Order'!$A2532=COLUMNS($A2532:D2551), LEFT(INDEX(FILTER(D$1:D2531, D$1:D2531&lt;&gt;""""),COUNTA(FILTER(D$1:D2531, D$1:D2531&lt;&gt;""""))), LEN(INDEX(FILTER(D$1:D2531, D$1:D2531&lt;&gt;""""),COUNTA(FILTER(D$1:D2531, D$1:D2531&lt;&gt;""""))))-1), IF('To Order'!$A2532=COL"&amp;"UMNS($A2532:D2551), D2531&amp;RIGHT(INDIRECT(ADDRESS(ROW(D2532)-1, 'From Order'!$A2532)), 1), D2531))"),"CSZ")</f>
        <v>CSZ</v>
      </c>
      <c r="E2532" s="2" t="str">
        <f>IFERROR(__xludf.DUMMYFUNCTION("IF('From Order'!$A2532=COLUMNS($A2532:E2551), LEFT(INDEX(FILTER(E$1:E2531, E$1:E2531&lt;&gt;""""),COUNTA(FILTER(E$1:E2531, E$1:E2531&lt;&gt;""""))), LEN(INDEX(FILTER(E$1:E2531, E$1:E2531&lt;&gt;""""),COUNTA(FILTER(E$1:E2531, E$1:E2531&lt;&gt;""""))))-1), IF('To Order'!$A2532=COL"&amp;"UMNS($A2532:E2551), E2531&amp;RIGHT(INDIRECT(ADDRESS(ROW(E2532)-1, 'From Order'!$A2532)), 1), E2531))"),"BRPHZM")</f>
        <v>BRPHZM</v>
      </c>
      <c r="F2532" s="2" t="str">
        <f>IFERROR(__xludf.DUMMYFUNCTION("IF('From Order'!$A2532=COLUMNS($A2532:F2551), LEFT(INDEX(FILTER(F$1:F2531, F$1:F2531&lt;&gt;""""),COUNTA(FILTER(F$1:F2531, F$1:F2531&lt;&gt;""""))), LEN(INDEX(FILTER(F$1:F2531, F$1:F2531&lt;&gt;""""),COUNTA(FILTER(F$1:F2531, F$1:F2531&lt;&gt;""""))))-1), IF('To Order'!$A2532=COL"&amp;"UMNS($A2532:F2551), F2531&amp;RIGHT(INDIRECT(ADDRESS(ROW(F2532)-1, 'From Order'!$A2532)), 1), F2531))"),"RSPMGT")</f>
        <v>RSPMGT</v>
      </c>
      <c r="G2532" s="2" t="str">
        <f>IFERROR(__xludf.DUMMYFUNCTION("IF('From Order'!$A2532=COLUMNS($A2532:G2551), LEFT(INDEX(FILTER(G$1:G2531, G$1:G2531&lt;&gt;""""),COUNTA(FILTER(G$1:G2531, G$1:G2531&lt;&gt;""""))), LEN(INDEX(FILTER(G$1:G2531, G$1:G2531&lt;&gt;""""),COUNTA(FILTER(G$1:G2531, G$1:G2531&lt;&gt;""""))))-1), IF('To Order'!$A2532=COL"&amp;"UMNS($A2532:G2551), G2531&amp;RIGHT(INDIRECT(ADDRESS(ROW(G2532)-1, 'From Order'!$A2532)), 1), G2531))"),"")</f>
        <v/>
      </c>
      <c r="H2532" s="2" t="str">
        <f>IFERROR(__xludf.DUMMYFUNCTION("IF('From Order'!$A2532=COLUMNS($A2532:H2551), LEFT(INDEX(FILTER(H$1:H2531, H$1:H2531&lt;&gt;""""),COUNTA(FILTER(H$1:H2531, H$1:H2531&lt;&gt;""""))), LEN(INDEX(FILTER(H$1:H2531, H$1:H2531&lt;&gt;""""),COUNTA(FILTER(H$1:H2531, H$1:H2531&lt;&gt;""""))))-1), IF('To Order'!$A2532=COL"&amp;"UMNS($A2532:H2551), H2531&amp;RIGHT(INDIRECT(ADDRESS(ROW(H2532)-1, 'From Order'!$A2532)), 1), H2531))"),"TJT")</f>
        <v>TJT</v>
      </c>
      <c r="I2532" s="2" t="str">
        <f>IFERROR(__xludf.DUMMYFUNCTION("IF('From Order'!$A2532=COLUMNS($A2532:I2551), LEFT(INDEX(FILTER(I$1:I2531, I$1:I2531&lt;&gt;""""),COUNTA(FILTER(I$1:I2531, I$1:I2531&lt;&gt;""""))), LEN(INDEX(FILTER(I$1:I2531, I$1:I2531&lt;&gt;""""),COUNTA(FILTER(I$1:I2531, I$1:I2531&lt;&gt;""""))))-1), IF('To Order'!$A2532=COL"&amp;"UMNS($A2532:I2551), I2531&amp;RIGHT(INDIRECT(ADDRESS(ROW(I2532)-1, 'From Order'!$A2532)), 1), I2531))"),"QVVDDSPLRRJTTCJFZDMT")</f>
        <v>QVVDDSPLRRJTTCJFZDMT</v>
      </c>
    </row>
    <row r="2533">
      <c r="A2533" s="2" t="str">
        <f>IFERROR(__xludf.DUMMYFUNCTION("IF('From Order'!$A2533=COLUMNS($A2533:A2552), LEFT(INDEX(FILTER(A$1:A2532, A$1:A2532&lt;&gt;""""),COUNTA(FILTER(A$1:A2532, A$1:A2532&lt;&gt;""""))), LEN(INDEX(FILTER(A$1:A2532, A$1:A2532&lt;&gt;""""),COUNTA(FILTER(A$1:A2532, A$1:A2532&lt;&gt;""""))))-1), IF('To Order'!$A2533=COL"&amp;"UMNS($A2533:A2552), A2532&amp;RIGHT(INDIRECT(ADDRESS(ROW(A2533)-1, 'From Order'!$A2533)), 1), A2532))"),"DRB")</f>
        <v>DRB</v>
      </c>
      <c r="B2533" s="2" t="str">
        <f>IFERROR(__xludf.DUMMYFUNCTION("IF('From Order'!$A2533=COLUMNS($A2533:B2552), LEFT(INDEX(FILTER(B$1:B2532, B$1:B2532&lt;&gt;""""),COUNTA(FILTER(B$1:B2532, B$1:B2532&lt;&gt;""""))), LEN(INDEX(FILTER(B$1:B2532, B$1:B2532&lt;&gt;""""),COUNTA(FILTER(B$1:B2532, B$1:B2532&lt;&gt;""""))))-1), IF('To Order'!$A2533=COL"&amp;"UMNS($A2533:B2552), B2532&amp;RIGHT(INDIRECT(ADDRESS(ROW(B2533)-1, 'From Order'!$A2533)), 1), B2532))"),"QGWWLHBS")</f>
        <v>QGWWLHBS</v>
      </c>
      <c r="C2533" s="2" t="str">
        <f>IFERROR(__xludf.DUMMYFUNCTION("IF('From Order'!$A2533=COLUMNS($A2533:C2552), LEFT(INDEX(FILTER(C$1:C2532, C$1:C2532&lt;&gt;""""),COUNTA(FILTER(C$1:C2532, C$1:C2532&lt;&gt;""""))), LEN(INDEX(FILTER(C$1:C2532, C$1:C2532&lt;&gt;""""),COUNTA(FILTER(C$1:C2532, C$1:C2532&lt;&gt;""""))))-1), IF('To Order'!$A2533=COL"&amp;"UMNS($A2533:C2552), C2532&amp;RIGHT(INDIRECT(ADDRESS(ROW(C2533)-1, 'From Order'!$A2533)), 1), C2532))"),"CDLFBDV")</f>
        <v>CDLFBDV</v>
      </c>
      <c r="D2533" s="2" t="str">
        <f>IFERROR(__xludf.DUMMYFUNCTION("IF('From Order'!$A2533=COLUMNS($A2533:D2552), LEFT(INDEX(FILTER(D$1:D2532, D$1:D2532&lt;&gt;""""),COUNTA(FILTER(D$1:D2532, D$1:D2532&lt;&gt;""""))), LEN(INDEX(FILTER(D$1:D2532, D$1:D2532&lt;&gt;""""),COUNTA(FILTER(D$1:D2532, D$1:D2532&lt;&gt;""""))))-1), IF('To Order'!$A2533=COL"&amp;"UMNS($A2533:D2552), D2532&amp;RIGHT(INDIRECT(ADDRESS(ROW(D2533)-1, 'From Order'!$A2533)), 1), D2532))"),"CSZ")</f>
        <v>CSZ</v>
      </c>
      <c r="E2533" s="2" t="str">
        <f>IFERROR(__xludf.DUMMYFUNCTION("IF('From Order'!$A2533=COLUMNS($A2533:E2552), LEFT(INDEX(FILTER(E$1:E2532, E$1:E2532&lt;&gt;""""),COUNTA(FILTER(E$1:E2532, E$1:E2532&lt;&gt;""""))), LEN(INDEX(FILTER(E$1:E2532, E$1:E2532&lt;&gt;""""),COUNTA(FILTER(E$1:E2532, E$1:E2532&lt;&gt;""""))))-1), IF('To Order'!$A2533=COL"&amp;"UMNS($A2533:E2552), E2532&amp;RIGHT(INDIRECT(ADDRESS(ROW(E2533)-1, 'From Order'!$A2533)), 1), E2532))"),"BRPHZM")</f>
        <v>BRPHZM</v>
      </c>
      <c r="F2533" s="2" t="str">
        <f>IFERROR(__xludf.DUMMYFUNCTION("IF('From Order'!$A2533=COLUMNS($A2533:F2552), LEFT(INDEX(FILTER(F$1:F2532, F$1:F2532&lt;&gt;""""),COUNTA(FILTER(F$1:F2532, F$1:F2532&lt;&gt;""""))), LEN(INDEX(FILTER(F$1:F2532, F$1:F2532&lt;&gt;""""),COUNTA(FILTER(F$1:F2532, F$1:F2532&lt;&gt;""""))))-1), IF('To Order'!$A2533=COL"&amp;"UMNS($A2533:F2552), F2532&amp;RIGHT(INDIRECT(ADDRESS(ROW(F2533)-1, 'From Order'!$A2533)), 1), F2532))"),"RSPMGT")</f>
        <v>RSPMGT</v>
      </c>
      <c r="G2533" s="2" t="str">
        <f>IFERROR(__xludf.DUMMYFUNCTION("IF('From Order'!$A2533=COLUMNS($A2533:G2552), LEFT(INDEX(FILTER(G$1:G2532, G$1:G2532&lt;&gt;""""),COUNTA(FILTER(G$1:G2532, G$1:G2532&lt;&gt;""""))), LEN(INDEX(FILTER(G$1:G2532, G$1:G2532&lt;&gt;""""),COUNTA(FILTER(G$1:G2532, G$1:G2532&lt;&gt;""""))))-1), IF('To Order'!$A2533=COL"&amp;"UMNS($A2533:G2552), G2532&amp;RIGHT(INDIRECT(ADDRESS(ROW(G2533)-1, 'From Order'!$A2533)), 1), G2532))"),"")</f>
        <v/>
      </c>
      <c r="H2533" s="2" t="str">
        <f>IFERROR(__xludf.DUMMYFUNCTION("IF('From Order'!$A2533=COLUMNS($A2533:H2552), LEFT(INDEX(FILTER(H$1:H2532, H$1:H2532&lt;&gt;""""),COUNTA(FILTER(H$1:H2532, H$1:H2532&lt;&gt;""""))), LEN(INDEX(FILTER(H$1:H2532, H$1:H2532&lt;&gt;""""),COUNTA(FILTER(H$1:H2532, H$1:H2532&lt;&gt;""""))))-1), IF('To Order'!$A2533=COL"&amp;"UMNS($A2533:H2552), H2532&amp;RIGHT(INDIRECT(ADDRESS(ROW(H2533)-1, 'From Order'!$A2533)), 1), H2532))"),"TJT")</f>
        <v>TJT</v>
      </c>
      <c r="I2533" s="2" t="str">
        <f>IFERROR(__xludf.DUMMYFUNCTION("IF('From Order'!$A2533=COLUMNS($A2533:I2552), LEFT(INDEX(FILTER(I$1:I2532, I$1:I2532&lt;&gt;""""),COUNTA(FILTER(I$1:I2532, I$1:I2532&lt;&gt;""""))), LEN(INDEX(FILTER(I$1:I2532, I$1:I2532&lt;&gt;""""),COUNTA(FILTER(I$1:I2532, I$1:I2532&lt;&gt;""""))))-1), IF('To Order'!$A2533=COL"&amp;"UMNS($A2533:I2552), I2532&amp;RIGHT(INDIRECT(ADDRESS(ROW(I2533)-1, 'From Order'!$A2533)), 1), I2532))"),"QVVDDSPLRRJTTCJFZDMT")</f>
        <v>QVVDDSPLRRJTTCJFZDMT</v>
      </c>
    </row>
    <row r="2534">
      <c r="A2534" s="2" t="str">
        <f>IFERROR(__xludf.DUMMYFUNCTION("IF('From Order'!$A2534=COLUMNS($A2534:A2553), LEFT(INDEX(FILTER(A$1:A2533, A$1:A2533&lt;&gt;""""),COUNTA(FILTER(A$1:A2533, A$1:A2533&lt;&gt;""""))), LEN(INDEX(FILTER(A$1:A2533, A$1:A2533&lt;&gt;""""),COUNTA(FILTER(A$1:A2533, A$1:A2533&lt;&gt;""""))))-1), IF('To Order'!$A2534=COL"&amp;"UMNS($A2534:A2553), A2533&amp;RIGHT(INDIRECT(ADDRESS(ROW(A2534)-1, 'From Order'!$A2534)), 1), A2533))"),"DRBV")</f>
        <v>DRBV</v>
      </c>
      <c r="B2534" s="2" t="str">
        <f>IFERROR(__xludf.DUMMYFUNCTION("IF('From Order'!$A2534=COLUMNS($A2534:B2553), LEFT(INDEX(FILTER(B$1:B2533, B$1:B2533&lt;&gt;""""),COUNTA(FILTER(B$1:B2533, B$1:B2533&lt;&gt;""""))), LEN(INDEX(FILTER(B$1:B2533, B$1:B2533&lt;&gt;""""),COUNTA(FILTER(B$1:B2533, B$1:B2533&lt;&gt;""""))))-1), IF('To Order'!$A2534=COL"&amp;"UMNS($A2534:B2553), B2533&amp;RIGHT(INDIRECT(ADDRESS(ROW(B2534)-1, 'From Order'!$A2534)), 1), B2533))"),"QGWWLHBS")</f>
        <v>QGWWLHBS</v>
      </c>
      <c r="C2534" s="2" t="str">
        <f>IFERROR(__xludf.DUMMYFUNCTION("IF('From Order'!$A2534=COLUMNS($A2534:C2553), LEFT(INDEX(FILTER(C$1:C2533, C$1:C2533&lt;&gt;""""),COUNTA(FILTER(C$1:C2533, C$1:C2533&lt;&gt;""""))), LEN(INDEX(FILTER(C$1:C2533, C$1:C2533&lt;&gt;""""),COUNTA(FILTER(C$1:C2533, C$1:C2533&lt;&gt;""""))))-1), IF('To Order'!$A2534=COL"&amp;"UMNS($A2534:C2553), C2533&amp;RIGHT(INDIRECT(ADDRESS(ROW(C2534)-1, 'From Order'!$A2534)), 1), C2533))"),"CDLFBD")</f>
        <v>CDLFBD</v>
      </c>
      <c r="D2534" s="2" t="str">
        <f>IFERROR(__xludf.DUMMYFUNCTION("IF('From Order'!$A2534=COLUMNS($A2534:D2553), LEFT(INDEX(FILTER(D$1:D2533, D$1:D2533&lt;&gt;""""),COUNTA(FILTER(D$1:D2533, D$1:D2533&lt;&gt;""""))), LEN(INDEX(FILTER(D$1:D2533, D$1:D2533&lt;&gt;""""),COUNTA(FILTER(D$1:D2533, D$1:D2533&lt;&gt;""""))))-1), IF('To Order'!$A2534=COL"&amp;"UMNS($A2534:D2553), D2533&amp;RIGHT(INDIRECT(ADDRESS(ROW(D2534)-1, 'From Order'!$A2534)), 1), D2533))"),"CSZ")</f>
        <v>CSZ</v>
      </c>
      <c r="E2534" s="2" t="str">
        <f>IFERROR(__xludf.DUMMYFUNCTION("IF('From Order'!$A2534=COLUMNS($A2534:E2553), LEFT(INDEX(FILTER(E$1:E2533, E$1:E2533&lt;&gt;""""),COUNTA(FILTER(E$1:E2533, E$1:E2533&lt;&gt;""""))), LEN(INDEX(FILTER(E$1:E2533, E$1:E2533&lt;&gt;""""),COUNTA(FILTER(E$1:E2533, E$1:E2533&lt;&gt;""""))))-1), IF('To Order'!$A2534=COL"&amp;"UMNS($A2534:E2553), E2533&amp;RIGHT(INDIRECT(ADDRESS(ROW(E2534)-1, 'From Order'!$A2534)), 1), E2533))"),"BRPHZM")</f>
        <v>BRPHZM</v>
      </c>
      <c r="F2534" s="2" t="str">
        <f>IFERROR(__xludf.DUMMYFUNCTION("IF('From Order'!$A2534=COLUMNS($A2534:F2553), LEFT(INDEX(FILTER(F$1:F2533, F$1:F2533&lt;&gt;""""),COUNTA(FILTER(F$1:F2533, F$1:F2533&lt;&gt;""""))), LEN(INDEX(FILTER(F$1:F2533, F$1:F2533&lt;&gt;""""),COUNTA(FILTER(F$1:F2533, F$1:F2533&lt;&gt;""""))))-1), IF('To Order'!$A2534=COL"&amp;"UMNS($A2534:F2553), F2533&amp;RIGHT(INDIRECT(ADDRESS(ROW(F2534)-1, 'From Order'!$A2534)), 1), F2533))"),"RSPMGT")</f>
        <v>RSPMGT</v>
      </c>
      <c r="G2534" s="2" t="str">
        <f>IFERROR(__xludf.DUMMYFUNCTION("IF('From Order'!$A2534=COLUMNS($A2534:G2553), LEFT(INDEX(FILTER(G$1:G2533, G$1:G2533&lt;&gt;""""),COUNTA(FILTER(G$1:G2533, G$1:G2533&lt;&gt;""""))), LEN(INDEX(FILTER(G$1:G2533, G$1:G2533&lt;&gt;""""),COUNTA(FILTER(G$1:G2533, G$1:G2533&lt;&gt;""""))))-1), IF('To Order'!$A2534=COL"&amp;"UMNS($A2534:G2553), G2533&amp;RIGHT(INDIRECT(ADDRESS(ROW(G2534)-1, 'From Order'!$A2534)), 1), G2533))"),"")</f>
        <v/>
      </c>
      <c r="H2534" s="2" t="str">
        <f>IFERROR(__xludf.DUMMYFUNCTION("IF('From Order'!$A2534=COLUMNS($A2534:H2553), LEFT(INDEX(FILTER(H$1:H2533, H$1:H2533&lt;&gt;""""),COUNTA(FILTER(H$1:H2533, H$1:H2533&lt;&gt;""""))), LEN(INDEX(FILTER(H$1:H2533, H$1:H2533&lt;&gt;""""),COUNTA(FILTER(H$1:H2533, H$1:H2533&lt;&gt;""""))))-1), IF('To Order'!$A2534=COL"&amp;"UMNS($A2534:H2553), H2533&amp;RIGHT(INDIRECT(ADDRESS(ROW(H2534)-1, 'From Order'!$A2534)), 1), H2533))"),"TJT")</f>
        <v>TJT</v>
      </c>
      <c r="I2534" s="2" t="str">
        <f>IFERROR(__xludf.DUMMYFUNCTION("IF('From Order'!$A2534=COLUMNS($A2534:I2553), LEFT(INDEX(FILTER(I$1:I2533, I$1:I2533&lt;&gt;""""),COUNTA(FILTER(I$1:I2533, I$1:I2533&lt;&gt;""""))), LEN(INDEX(FILTER(I$1:I2533, I$1:I2533&lt;&gt;""""),COUNTA(FILTER(I$1:I2533, I$1:I2533&lt;&gt;""""))))-1), IF('To Order'!$A2534=COL"&amp;"UMNS($A2534:I2553), I2533&amp;RIGHT(INDIRECT(ADDRESS(ROW(I2534)-1, 'From Order'!$A2534)), 1), I2533))"),"QVVDDSPLRRJTTCJFZDMT")</f>
        <v>QVVDDSPLRRJTTCJFZDMT</v>
      </c>
    </row>
    <row r="2535">
      <c r="A2535" s="2" t="str">
        <f>IFERROR(__xludf.DUMMYFUNCTION("IF('From Order'!$A2535=COLUMNS($A2535:A2554), LEFT(INDEX(FILTER(A$1:A2534, A$1:A2534&lt;&gt;""""),COUNTA(FILTER(A$1:A2534, A$1:A2534&lt;&gt;""""))), LEN(INDEX(FILTER(A$1:A2534, A$1:A2534&lt;&gt;""""),COUNTA(FILTER(A$1:A2534, A$1:A2534&lt;&gt;""""))))-1), IF('To Order'!$A2535=COL"&amp;"UMNS($A2535:A2554), A2534&amp;RIGHT(INDIRECT(ADDRESS(ROW(A2535)-1, 'From Order'!$A2535)), 1), A2534))"),"DRBVD")</f>
        <v>DRBVD</v>
      </c>
      <c r="B2535" s="2" t="str">
        <f>IFERROR(__xludf.DUMMYFUNCTION("IF('From Order'!$A2535=COLUMNS($A2535:B2554), LEFT(INDEX(FILTER(B$1:B2534, B$1:B2534&lt;&gt;""""),COUNTA(FILTER(B$1:B2534, B$1:B2534&lt;&gt;""""))), LEN(INDEX(FILTER(B$1:B2534, B$1:B2534&lt;&gt;""""),COUNTA(FILTER(B$1:B2534, B$1:B2534&lt;&gt;""""))))-1), IF('To Order'!$A2535=COL"&amp;"UMNS($A2535:B2554), B2534&amp;RIGHT(INDIRECT(ADDRESS(ROW(B2535)-1, 'From Order'!$A2535)), 1), B2534))"),"QGWWLHBS")</f>
        <v>QGWWLHBS</v>
      </c>
      <c r="C2535" s="2" t="str">
        <f>IFERROR(__xludf.DUMMYFUNCTION("IF('From Order'!$A2535=COLUMNS($A2535:C2554), LEFT(INDEX(FILTER(C$1:C2534, C$1:C2534&lt;&gt;""""),COUNTA(FILTER(C$1:C2534, C$1:C2534&lt;&gt;""""))), LEN(INDEX(FILTER(C$1:C2534, C$1:C2534&lt;&gt;""""),COUNTA(FILTER(C$1:C2534, C$1:C2534&lt;&gt;""""))))-1), IF('To Order'!$A2535=COL"&amp;"UMNS($A2535:C2554), C2534&amp;RIGHT(INDIRECT(ADDRESS(ROW(C2535)-1, 'From Order'!$A2535)), 1), C2534))"),"CDLFB")</f>
        <v>CDLFB</v>
      </c>
      <c r="D2535" s="2" t="str">
        <f>IFERROR(__xludf.DUMMYFUNCTION("IF('From Order'!$A2535=COLUMNS($A2535:D2554), LEFT(INDEX(FILTER(D$1:D2534, D$1:D2534&lt;&gt;""""),COUNTA(FILTER(D$1:D2534, D$1:D2534&lt;&gt;""""))), LEN(INDEX(FILTER(D$1:D2534, D$1:D2534&lt;&gt;""""),COUNTA(FILTER(D$1:D2534, D$1:D2534&lt;&gt;""""))))-1), IF('To Order'!$A2535=COL"&amp;"UMNS($A2535:D2554), D2534&amp;RIGHT(INDIRECT(ADDRESS(ROW(D2535)-1, 'From Order'!$A2535)), 1), D2534))"),"CSZ")</f>
        <v>CSZ</v>
      </c>
      <c r="E2535" s="2" t="str">
        <f>IFERROR(__xludf.DUMMYFUNCTION("IF('From Order'!$A2535=COLUMNS($A2535:E2554), LEFT(INDEX(FILTER(E$1:E2534, E$1:E2534&lt;&gt;""""),COUNTA(FILTER(E$1:E2534, E$1:E2534&lt;&gt;""""))), LEN(INDEX(FILTER(E$1:E2534, E$1:E2534&lt;&gt;""""),COUNTA(FILTER(E$1:E2534, E$1:E2534&lt;&gt;""""))))-1), IF('To Order'!$A2535=COL"&amp;"UMNS($A2535:E2554), E2534&amp;RIGHT(INDIRECT(ADDRESS(ROW(E2535)-1, 'From Order'!$A2535)), 1), E2534))"),"BRPHZM")</f>
        <v>BRPHZM</v>
      </c>
      <c r="F2535" s="2" t="str">
        <f>IFERROR(__xludf.DUMMYFUNCTION("IF('From Order'!$A2535=COLUMNS($A2535:F2554), LEFT(INDEX(FILTER(F$1:F2534, F$1:F2534&lt;&gt;""""),COUNTA(FILTER(F$1:F2534, F$1:F2534&lt;&gt;""""))), LEN(INDEX(FILTER(F$1:F2534, F$1:F2534&lt;&gt;""""),COUNTA(FILTER(F$1:F2534, F$1:F2534&lt;&gt;""""))))-1), IF('To Order'!$A2535=COL"&amp;"UMNS($A2535:F2554), F2534&amp;RIGHT(INDIRECT(ADDRESS(ROW(F2535)-1, 'From Order'!$A2535)), 1), F2534))"),"RSPMGT")</f>
        <v>RSPMGT</v>
      </c>
      <c r="G2535" s="2" t="str">
        <f>IFERROR(__xludf.DUMMYFUNCTION("IF('From Order'!$A2535=COLUMNS($A2535:G2554), LEFT(INDEX(FILTER(G$1:G2534, G$1:G2534&lt;&gt;""""),COUNTA(FILTER(G$1:G2534, G$1:G2534&lt;&gt;""""))), LEN(INDEX(FILTER(G$1:G2534, G$1:G2534&lt;&gt;""""),COUNTA(FILTER(G$1:G2534, G$1:G2534&lt;&gt;""""))))-1), IF('To Order'!$A2535=COL"&amp;"UMNS($A2535:G2554), G2534&amp;RIGHT(INDIRECT(ADDRESS(ROW(G2535)-1, 'From Order'!$A2535)), 1), G2534))"),"")</f>
        <v/>
      </c>
      <c r="H2535" s="2" t="str">
        <f>IFERROR(__xludf.DUMMYFUNCTION("IF('From Order'!$A2535=COLUMNS($A2535:H2554), LEFT(INDEX(FILTER(H$1:H2534, H$1:H2534&lt;&gt;""""),COUNTA(FILTER(H$1:H2534, H$1:H2534&lt;&gt;""""))), LEN(INDEX(FILTER(H$1:H2534, H$1:H2534&lt;&gt;""""),COUNTA(FILTER(H$1:H2534, H$1:H2534&lt;&gt;""""))))-1), IF('To Order'!$A2535=COL"&amp;"UMNS($A2535:H2554), H2534&amp;RIGHT(INDIRECT(ADDRESS(ROW(H2535)-1, 'From Order'!$A2535)), 1), H2534))"),"TJT")</f>
        <v>TJT</v>
      </c>
      <c r="I2535" s="2" t="str">
        <f>IFERROR(__xludf.DUMMYFUNCTION("IF('From Order'!$A2535=COLUMNS($A2535:I2554), LEFT(INDEX(FILTER(I$1:I2534, I$1:I2534&lt;&gt;""""),COUNTA(FILTER(I$1:I2534, I$1:I2534&lt;&gt;""""))), LEN(INDEX(FILTER(I$1:I2534, I$1:I2534&lt;&gt;""""),COUNTA(FILTER(I$1:I2534, I$1:I2534&lt;&gt;""""))))-1), IF('To Order'!$A2535=COL"&amp;"UMNS($A2535:I2554), I2534&amp;RIGHT(INDIRECT(ADDRESS(ROW(I2535)-1, 'From Order'!$A2535)), 1), I2534))"),"QVVDDSPLRRJTTCJFZDMT")</f>
        <v>QVVDDSPLRRJTTCJFZDMT</v>
      </c>
    </row>
    <row r="2536">
      <c r="A2536" s="2" t="str">
        <f>IFERROR(__xludf.DUMMYFUNCTION("IF('From Order'!$A2536=COLUMNS($A2536:A2555), LEFT(INDEX(FILTER(A$1:A2535, A$1:A2535&lt;&gt;""""),COUNTA(FILTER(A$1:A2535, A$1:A2535&lt;&gt;""""))), LEN(INDEX(FILTER(A$1:A2535, A$1:A2535&lt;&gt;""""),COUNTA(FILTER(A$1:A2535, A$1:A2535&lt;&gt;""""))))-1), IF('To Order'!$A2536=COL"&amp;"UMNS($A2536:A2555), A2535&amp;RIGHT(INDIRECT(ADDRESS(ROW(A2536)-1, 'From Order'!$A2536)), 1), A2535))"),"DRBVDB")</f>
        <v>DRBVDB</v>
      </c>
      <c r="B2536" s="2" t="str">
        <f>IFERROR(__xludf.DUMMYFUNCTION("IF('From Order'!$A2536=COLUMNS($A2536:B2555), LEFT(INDEX(FILTER(B$1:B2535, B$1:B2535&lt;&gt;""""),COUNTA(FILTER(B$1:B2535, B$1:B2535&lt;&gt;""""))), LEN(INDEX(FILTER(B$1:B2535, B$1:B2535&lt;&gt;""""),COUNTA(FILTER(B$1:B2535, B$1:B2535&lt;&gt;""""))))-1), IF('To Order'!$A2536=COL"&amp;"UMNS($A2536:B2555), B2535&amp;RIGHT(INDIRECT(ADDRESS(ROW(B2536)-1, 'From Order'!$A2536)), 1), B2535))"),"QGWWLHBS")</f>
        <v>QGWWLHBS</v>
      </c>
      <c r="C2536" s="2" t="str">
        <f>IFERROR(__xludf.DUMMYFUNCTION("IF('From Order'!$A2536=COLUMNS($A2536:C2555), LEFT(INDEX(FILTER(C$1:C2535, C$1:C2535&lt;&gt;""""),COUNTA(FILTER(C$1:C2535, C$1:C2535&lt;&gt;""""))), LEN(INDEX(FILTER(C$1:C2535, C$1:C2535&lt;&gt;""""),COUNTA(FILTER(C$1:C2535, C$1:C2535&lt;&gt;""""))))-1), IF('To Order'!$A2536=COL"&amp;"UMNS($A2536:C2555), C2535&amp;RIGHT(INDIRECT(ADDRESS(ROW(C2536)-1, 'From Order'!$A2536)), 1), C2535))"),"CDLF")</f>
        <v>CDLF</v>
      </c>
      <c r="D2536" s="2" t="str">
        <f>IFERROR(__xludf.DUMMYFUNCTION("IF('From Order'!$A2536=COLUMNS($A2536:D2555), LEFT(INDEX(FILTER(D$1:D2535, D$1:D2535&lt;&gt;""""),COUNTA(FILTER(D$1:D2535, D$1:D2535&lt;&gt;""""))), LEN(INDEX(FILTER(D$1:D2535, D$1:D2535&lt;&gt;""""),COUNTA(FILTER(D$1:D2535, D$1:D2535&lt;&gt;""""))))-1), IF('To Order'!$A2536=COL"&amp;"UMNS($A2536:D2555), D2535&amp;RIGHT(INDIRECT(ADDRESS(ROW(D2536)-1, 'From Order'!$A2536)), 1), D2535))"),"CSZ")</f>
        <v>CSZ</v>
      </c>
      <c r="E2536" s="2" t="str">
        <f>IFERROR(__xludf.DUMMYFUNCTION("IF('From Order'!$A2536=COLUMNS($A2536:E2555), LEFT(INDEX(FILTER(E$1:E2535, E$1:E2535&lt;&gt;""""),COUNTA(FILTER(E$1:E2535, E$1:E2535&lt;&gt;""""))), LEN(INDEX(FILTER(E$1:E2535, E$1:E2535&lt;&gt;""""),COUNTA(FILTER(E$1:E2535, E$1:E2535&lt;&gt;""""))))-1), IF('To Order'!$A2536=COL"&amp;"UMNS($A2536:E2555), E2535&amp;RIGHT(INDIRECT(ADDRESS(ROW(E2536)-1, 'From Order'!$A2536)), 1), E2535))"),"BRPHZM")</f>
        <v>BRPHZM</v>
      </c>
      <c r="F2536" s="2" t="str">
        <f>IFERROR(__xludf.DUMMYFUNCTION("IF('From Order'!$A2536=COLUMNS($A2536:F2555), LEFT(INDEX(FILTER(F$1:F2535, F$1:F2535&lt;&gt;""""),COUNTA(FILTER(F$1:F2535, F$1:F2535&lt;&gt;""""))), LEN(INDEX(FILTER(F$1:F2535, F$1:F2535&lt;&gt;""""),COUNTA(FILTER(F$1:F2535, F$1:F2535&lt;&gt;""""))))-1), IF('To Order'!$A2536=COL"&amp;"UMNS($A2536:F2555), F2535&amp;RIGHT(INDIRECT(ADDRESS(ROW(F2536)-1, 'From Order'!$A2536)), 1), F2535))"),"RSPMGT")</f>
        <v>RSPMGT</v>
      </c>
      <c r="G2536" s="2" t="str">
        <f>IFERROR(__xludf.DUMMYFUNCTION("IF('From Order'!$A2536=COLUMNS($A2536:G2555), LEFT(INDEX(FILTER(G$1:G2535, G$1:G2535&lt;&gt;""""),COUNTA(FILTER(G$1:G2535, G$1:G2535&lt;&gt;""""))), LEN(INDEX(FILTER(G$1:G2535, G$1:G2535&lt;&gt;""""),COUNTA(FILTER(G$1:G2535, G$1:G2535&lt;&gt;""""))))-1), IF('To Order'!$A2536=COL"&amp;"UMNS($A2536:G2555), G2535&amp;RIGHT(INDIRECT(ADDRESS(ROW(G2536)-1, 'From Order'!$A2536)), 1), G2535))"),"")</f>
        <v/>
      </c>
      <c r="H2536" s="2" t="str">
        <f>IFERROR(__xludf.DUMMYFUNCTION("IF('From Order'!$A2536=COLUMNS($A2536:H2555), LEFT(INDEX(FILTER(H$1:H2535, H$1:H2535&lt;&gt;""""),COUNTA(FILTER(H$1:H2535, H$1:H2535&lt;&gt;""""))), LEN(INDEX(FILTER(H$1:H2535, H$1:H2535&lt;&gt;""""),COUNTA(FILTER(H$1:H2535, H$1:H2535&lt;&gt;""""))))-1), IF('To Order'!$A2536=COL"&amp;"UMNS($A2536:H2555), H2535&amp;RIGHT(INDIRECT(ADDRESS(ROW(H2536)-1, 'From Order'!$A2536)), 1), H2535))"),"TJT")</f>
        <v>TJT</v>
      </c>
      <c r="I2536" s="2" t="str">
        <f>IFERROR(__xludf.DUMMYFUNCTION("IF('From Order'!$A2536=COLUMNS($A2536:I2555), LEFT(INDEX(FILTER(I$1:I2535, I$1:I2535&lt;&gt;""""),COUNTA(FILTER(I$1:I2535, I$1:I2535&lt;&gt;""""))), LEN(INDEX(FILTER(I$1:I2535, I$1:I2535&lt;&gt;""""),COUNTA(FILTER(I$1:I2535, I$1:I2535&lt;&gt;""""))))-1), IF('To Order'!$A2536=COL"&amp;"UMNS($A2536:I2555), I2535&amp;RIGHT(INDIRECT(ADDRESS(ROW(I2536)-1, 'From Order'!$A2536)), 1), I2535))"),"QVVDDSPLRRJTTCJFZDMT")</f>
        <v>QVVDDSPLRRJTTCJFZDMT</v>
      </c>
    </row>
    <row r="2537">
      <c r="A2537" s="2" t="str">
        <f>IFERROR(__xludf.DUMMYFUNCTION("IF('From Order'!$A2537=COLUMNS($A2537:A2556), LEFT(INDEX(FILTER(A$1:A2536, A$1:A2536&lt;&gt;""""),COUNTA(FILTER(A$1:A2536, A$1:A2536&lt;&gt;""""))), LEN(INDEX(FILTER(A$1:A2536, A$1:A2536&lt;&gt;""""),COUNTA(FILTER(A$1:A2536, A$1:A2536&lt;&gt;""""))))-1), IF('To Order'!$A2537=COL"&amp;"UMNS($A2537:A2556), A2536&amp;RIGHT(INDIRECT(ADDRESS(ROW(A2537)-1, 'From Order'!$A2537)), 1), A2536))"),"DRBVDBF")</f>
        <v>DRBVDBF</v>
      </c>
      <c r="B2537" s="2" t="str">
        <f>IFERROR(__xludf.DUMMYFUNCTION("IF('From Order'!$A2537=COLUMNS($A2537:B2556), LEFT(INDEX(FILTER(B$1:B2536, B$1:B2536&lt;&gt;""""),COUNTA(FILTER(B$1:B2536, B$1:B2536&lt;&gt;""""))), LEN(INDEX(FILTER(B$1:B2536, B$1:B2536&lt;&gt;""""),COUNTA(FILTER(B$1:B2536, B$1:B2536&lt;&gt;""""))))-1), IF('To Order'!$A2537=COL"&amp;"UMNS($A2537:B2556), B2536&amp;RIGHT(INDIRECT(ADDRESS(ROW(B2537)-1, 'From Order'!$A2537)), 1), B2536))"),"QGWWLHBS")</f>
        <v>QGWWLHBS</v>
      </c>
      <c r="C2537" s="2" t="str">
        <f>IFERROR(__xludf.DUMMYFUNCTION("IF('From Order'!$A2537=COLUMNS($A2537:C2556), LEFT(INDEX(FILTER(C$1:C2536, C$1:C2536&lt;&gt;""""),COUNTA(FILTER(C$1:C2536, C$1:C2536&lt;&gt;""""))), LEN(INDEX(FILTER(C$1:C2536, C$1:C2536&lt;&gt;""""),COUNTA(FILTER(C$1:C2536, C$1:C2536&lt;&gt;""""))))-1), IF('To Order'!$A2537=COL"&amp;"UMNS($A2537:C2556), C2536&amp;RIGHT(INDIRECT(ADDRESS(ROW(C2537)-1, 'From Order'!$A2537)), 1), C2536))"),"CDL")</f>
        <v>CDL</v>
      </c>
      <c r="D2537" s="2" t="str">
        <f>IFERROR(__xludf.DUMMYFUNCTION("IF('From Order'!$A2537=COLUMNS($A2537:D2556), LEFT(INDEX(FILTER(D$1:D2536, D$1:D2536&lt;&gt;""""),COUNTA(FILTER(D$1:D2536, D$1:D2536&lt;&gt;""""))), LEN(INDEX(FILTER(D$1:D2536, D$1:D2536&lt;&gt;""""),COUNTA(FILTER(D$1:D2536, D$1:D2536&lt;&gt;""""))))-1), IF('To Order'!$A2537=COL"&amp;"UMNS($A2537:D2556), D2536&amp;RIGHT(INDIRECT(ADDRESS(ROW(D2537)-1, 'From Order'!$A2537)), 1), D2536))"),"CSZ")</f>
        <v>CSZ</v>
      </c>
      <c r="E2537" s="2" t="str">
        <f>IFERROR(__xludf.DUMMYFUNCTION("IF('From Order'!$A2537=COLUMNS($A2537:E2556), LEFT(INDEX(FILTER(E$1:E2536, E$1:E2536&lt;&gt;""""),COUNTA(FILTER(E$1:E2536, E$1:E2536&lt;&gt;""""))), LEN(INDEX(FILTER(E$1:E2536, E$1:E2536&lt;&gt;""""),COUNTA(FILTER(E$1:E2536, E$1:E2536&lt;&gt;""""))))-1), IF('To Order'!$A2537=COL"&amp;"UMNS($A2537:E2556), E2536&amp;RIGHT(INDIRECT(ADDRESS(ROW(E2537)-1, 'From Order'!$A2537)), 1), E2536))"),"BRPHZM")</f>
        <v>BRPHZM</v>
      </c>
      <c r="F2537" s="2" t="str">
        <f>IFERROR(__xludf.DUMMYFUNCTION("IF('From Order'!$A2537=COLUMNS($A2537:F2556), LEFT(INDEX(FILTER(F$1:F2536, F$1:F2536&lt;&gt;""""),COUNTA(FILTER(F$1:F2536, F$1:F2536&lt;&gt;""""))), LEN(INDEX(FILTER(F$1:F2536, F$1:F2536&lt;&gt;""""),COUNTA(FILTER(F$1:F2536, F$1:F2536&lt;&gt;""""))))-1), IF('To Order'!$A2537=COL"&amp;"UMNS($A2537:F2556), F2536&amp;RIGHT(INDIRECT(ADDRESS(ROW(F2537)-1, 'From Order'!$A2537)), 1), F2536))"),"RSPMGT")</f>
        <v>RSPMGT</v>
      </c>
      <c r="G2537" s="2" t="str">
        <f>IFERROR(__xludf.DUMMYFUNCTION("IF('From Order'!$A2537=COLUMNS($A2537:G2556), LEFT(INDEX(FILTER(G$1:G2536, G$1:G2536&lt;&gt;""""),COUNTA(FILTER(G$1:G2536, G$1:G2536&lt;&gt;""""))), LEN(INDEX(FILTER(G$1:G2536, G$1:G2536&lt;&gt;""""),COUNTA(FILTER(G$1:G2536, G$1:G2536&lt;&gt;""""))))-1), IF('To Order'!$A2537=COL"&amp;"UMNS($A2537:G2556), G2536&amp;RIGHT(INDIRECT(ADDRESS(ROW(G2537)-1, 'From Order'!$A2537)), 1), G2536))"),"")</f>
        <v/>
      </c>
      <c r="H2537" s="2" t="str">
        <f>IFERROR(__xludf.DUMMYFUNCTION("IF('From Order'!$A2537=COLUMNS($A2537:H2556), LEFT(INDEX(FILTER(H$1:H2536, H$1:H2536&lt;&gt;""""),COUNTA(FILTER(H$1:H2536, H$1:H2536&lt;&gt;""""))), LEN(INDEX(FILTER(H$1:H2536, H$1:H2536&lt;&gt;""""),COUNTA(FILTER(H$1:H2536, H$1:H2536&lt;&gt;""""))))-1), IF('To Order'!$A2537=COL"&amp;"UMNS($A2537:H2556), H2536&amp;RIGHT(INDIRECT(ADDRESS(ROW(H2537)-1, 'From Order'!$A2537)), 1), H2536))"),"TJT")</f>
        <v>TJT</v>
      </c>
      <c r="I2537" s="2" t="str">
        <f>IFERROR(__xludf.DUMMYFUNCTION("IF('From Order'!$A2537=COLUMNS($A2537:I2556), LEFT(INDEX(FILTER(I$1:I2536, I$1:I2536&lt;&gt;""""),COUNTA(FILTER(I$1:I2536, I$1:I2536&lt;&gt;""""))), LEN(INDEX(FILTER(I$1:I2536, I$1:I2536&lt;&gt;""""),COUNTA(FILTER(I$1:I2536, I$1:I2536&lt;&gt;""""))))-1), IF('To Order'!$A2537=COL"&amp;"UMNS($A2537:I2556), I2536&amp;RIGHT(INDIRECT(ADDRESS(ROW(I2537)-1, 'From Order'!$A2537)), 1), I2536))"),"QVVDDSPLRRJTTCJFZDMT")</f>
        <v>QVVDDSPLRRJTTCJFZDMT</v>
      </c>
    </row>
    <row r="2538">
      <c r="A2538" s="2" t="str">
        <f>IFERROR(__xludf.DUMMYFUNCTION("IF('From Order'!$A2538=COLUMNS($A2538:A2557), LEFT(INDEX(FILTER(A$1:A2537, A$1:A2537&lt;&gt;""""),COUNTA(FILTER(A$1:A2537, A$1:A2537&lt;&gt;""""))), LEN(INDEX(FILTER(A$1:A2537, A$1:A2537&lt;&gt;""""),COUNTA(FILTER(A$1:A2537, A$1:A2537&lt;&gt;""""))))-1), IF('To Order'!$A2538=COL"&amp;"UMNS($A2538:A2557), A2537&amp;RIGHT(INDIRECT(ADDRESS(ROW(A2538)-1, 'From Order'!$A2538)), 1), A2537))"),"DRBVDBFL")</f>
        <v>DRBVDBFL</v>
      </c>
      <c r="B2538" s="2" t="str">
        <f>IFERROR(__xludf.DUMMYFUNCTION("IF('From Order'!$A2538=COLUMNS($A2538:B2557), LEFT(INDEX(FILTER(B$1:B2537, B$1:B2537&lt;&gt;""""),COUNTA(FILTER(B$1:B2537, B$1:B2537&lt;&gt;""""))), LEN(INDEX(FILTER(B$1:B2537, B$1:B2537&lt;&gt;""""),COUNTA(FILTER(B$1:B2537, B$1:B2537&lt;&gt;""""))))-1), IF('To Order'!$A2538=COL"&amp;"UMNS($A2538:B2557), B2537&amp;RIGHT(INDIRECT(ADDRESS(ROW(B2538)-1, 'From Order'!$A2538)), 1), B2537))"),"QGWWLHBS")</f>
        <v>QGWWLHBS</v>
      </c>
      <c r="C2538" s="2" t="str">
        <f>IFERROR(__xludf.DUMMYFUNCTION("IF('From Order'!$A2538=COLUMNS($A2538:C2557), LEFT(INDEX(FILTER(C$1:C2537, C$1:C2537&lt;&gt;""""),COUNTA(FILTER(C$1:C2537, C$1:C2537&lt;&gt;""""))), LEN(INDEX(FILTER(C$1:C2537, C$1:C2537&lt;&gt;""""),COUNTA(FILTER(C$1:C2537, C$1:C2537&lt;&gt;""""))))-1), IF('To Order'!$A2538=COL"&amp;"UMNS($A2538:C2557), C2537&amp;RIGHT(INDIRECT(ADDRESS(ROW(C2538)-1, 'From Order'!$A2538)), 1), C2537))"),"CD")</f>
        <v>CD</v>
      </c>
      <c r="D2538" s="2" t="str">
        <f>IFERROR(__xludf.DUMMYFUNCTION("IF('From Order'!$A2538=COLUMNS($A2538:D2557), LEFT(INDEX(FILTER(D$1:D2537, D$1:D2537&lt;&gt;""""),COUNTA(FILTER(D$1:D2537, D$1:D2537&lt;&gt;""""))), LEN(INDEX(FILTER(D$1:D2537, D$1:D2537&lt;&gt;""""),COUNTA(FILTER(D$1:D2537, D$1:D2537&lt;&gt;""""))))-1), IF('To Order'!$A2538=COL"&amp;"UMNS($A2538:D2557), D2537&amp;RIGHT(INDIRECT(ADDRESS(ROW(D2538)-1, 'From Order'!$A2538)), 1), D2537))"),"CSZ")</f>
        <v>CSZ</v>
      </c>
      <c r="E2538" s="2" t="str">
        <f>IFERROR(__xludf.DUMMYFUNCTION("IF('From Order'!$A2538=COLUMNS($A2538:E2557), LEFT(INDEX(FILTER(E$1:E2537, E$1:E2537&lt;&gt;""""),COUNTA(FILTER(E$1:E2537, E$1:E2537&lt;&gt;""""))), LEN(INDEX(FILTER(E$1:E2537, E$1:E2537&lt;&gt;""""),COUNTA(FILTER(E$1:E2537, E$1:E2537&lt;&gt;""""))))-1), IF('To Order'!$A2538=COL"&amp;"UMNS($A2538:E2557), E2537&amp;RIGHT(INDIRECT(ADDRESS(ROW(E2538)-1, 'From Order'!$A2538)), 1), E2537))"),"BRPHZM")</f>
        <v>BRPHZM</v>
      </c>
      <c r="F2538" s="2" t="str">
        <f>IFERROR(__xludf.DUMMYFUNCTION("IF('From Order'!$A2538=COLUMNS($A2538:F2557), LEFT(INDEX(FILTER(F$1:F2537, F$1:F2537&lt;&gt;""""),COUNTA(FILTER(F$1:F2537, F$1:F2537&lt;&gt;""""))), LEN(INDEX(FILTER(F$1:F2537, F$1:F2537&lt;&gt;""""),COUNTA(FILTER(F$1:F2537, F$1:F2537&lt;&gt;""""))))-1), IF('To Order'!$A2538=COL"&amp;"UMNS($A2538:F2557), F2537&amp;RIGHT(INDIRECT(ADDRESS(ROW(F2538)-1, 'From Order'!$A2538)), 1), F2537))"),"RSPMGT")</f>
        <v>RSPMGT</v>
      </c>
      <c r="G2538" s="2" t="str">
        <f>IFERROR(__xludf.DUMMYFUNCTION("IF('From Order'!$A2538=COLUMNS($A2538:G2557), LEFT(INDEX(FILTER(G$1:G2537, G$1:G2537&lt;&gt;""""),COUNTA(FILTER(G$1:G2537, G$1:G2537&lt;&gt;""""))), LEN(INDEX(FILTER(G$1:G2537, G$1:G2537&lt;&gt;""""),COUNTA(FILTER(G$1:G2537, G$1:G2537&lt;&gt;""""))))-1), IF('To Order'!$A2538=COL"&amp;"UMNS($A2538:G2557), G2537&amp;RIGHT(INDIRECT(ADDRESS(ROW(G2538)-1, 'From Order'!$A2538)), 1), G2537))"),"")</f>
        <v/>
      </c>
      <c r="H2538" s="2" t="str">
        <f>IFERROR(__xludf.DUMMYFUNCTION("IF('From Order'!$A2538=COLUMNS($A2538:H2557), LEFT(INDEX(FILTER(H$1:H2537, H$1:H2537&lt;&gt;""""),COUNTA(FILTER(H$1:H2537, H$1:H2537&lt;&gt;""""))), LEN(INDEX(FILTER(H$1:H2537, H$1:H2537&lt;&gt;""""),COUNTA(FILTER(H$1:H2537, H$1:H2537&lt;&gt;""""))))-1), IF('To Order'!$A2538=COL"&amp;"UMNS($A2538:H2557), H2537&amp;RIGHT(INDIRECT(ADDRESS(ROW(H2538)-1, 'From Order'!$A2538)), 1), H2537))"),"TJT")</f>
        <v>TJT</v>
      </c>
      <c r="I2538" s="2" t="str">
        <f>IFERROR(__xludf.DUMMYFUNCTION("IF('From Order'!$A2538=COLUMNS($A2538:I2557), LEFT(INDEX(FILTER(I$1:I2537, I$1:I2537&lt;&gt;""""),COUNTA(FILTER(I$1:I2537, I$1:I2537&lt;&gt;""""))), LEN(INDEX(FILTER(I$1:I2537, I$1:I2537&lt;&gt;""""),COUNTA(FILTER(I$1:I2537, I$1:I2537&lt;&gt;""""))))-1), IF('To Order'!$A2538=COL"&amp;"UMNS($A2538:I2557), I2537&amp;RIGHT(INDIRECT(ADDRESS(ROW(I2538)-1, 'From Order'!$A2538)), 1), I2537))"),"QVVDDSPLRRJTTCJFZDMT")</f>
        <v>QVVDDSPLRRJTTCJFZDMT</v>
      </c>
    </row>
    <row r="2539">
      <c r="A2539" s="2" t="str">
        <f>IFERROR(__xludf.DUMMYFUNCTION("IF('From Order'!$A2539=COLUMNS($A2539:A2558), LEFT(INDEX(FILTER(A$1:A2538, A$1:A2538&lt;&gt;""""),COUNTA(FILTER(A$1:A2538, A$1:A2538&lt;&gt;""""))), LEN(INDEX(FILTER(A$1:A2538, A$1:A2538&lt;&gt;""""),COUNTA(FILTER(A$1:A2538, A$1:A2538&lt;&gt;""""))))-1), IF('To Order'!$A2539=COL"&amp;"UMNS($A2539:A2558), A2538&amp;RIGHT(INDIRECT(ADDRESS(ROW(A2539)-1, 'From Order'!$A2539)), 1), A2538))"),"DRBVDBFLD")</f>
        <v>DRBVDBFLD</v>
      </c>
      <c r="B2539" s="2" t="str">
        <f>IFERROR(__xludf.DUMMYFUNCTION("IF('From Order'!$A2539=COLUMNS($A2539:B2558), LEFT(INDEX(FILTER(B$1:B2538, B$1:B2538&lt;&gt;""""),COUNTA(FILTER(B$1:B2538, B$1:B2538&lt;&gt;""""))), LEN(INDEX(FILTER(B$1:B2538, B$1:B2538&lt;&gt;""""),COUNTA(FILTER(B$1:B2538, B$1:B2538&lt;&gt;""""))))-1), IF('To Order'!$A2539=COL"&amp;"UMNS($A2539:B2558), B2538&amp;RIGHT(INDIRECT(ADDRESS(ROW(B2539)-1, 'From Order'!$A2539)), 1), B2538))"),"QGWWLHBS")</f>
        <v>QGWWLHBS</v>
      </c>
      <c r="C2539" s="2" t="str">
        <f>IFERROR(__xludf.DUMMYFUNCTION("IF('From Order'!$A2539=COLUMNS($A2539:C2558), LEFT(INDEX(FILTER(C$1:C2538, C$1:C2538&lt;&gt;""""),COUNTA(FILTER(C$1:C2538, C$1:C2538&lt;&gt;""""))), LEN(INDEX(FILTER(C$1:C2538, C$1:C2538&lt;&gt;""""),COUNTA(FILTER(C$1:C2538, C$1:C2538&lt;&gt;""""))))-1), IF('To Order'!$A2539=COL"&amp;"UMNS($A2539:C2558), C2538&amp;RIGHT(INDIRECT(ADDRESS(ROW(C2539)-1, 'From Order'!$A2539)), 1), C2538))"),"C")</f>
        <v>C</v>
      </c>
      <c r="D2539" s="2" t="str">
        <f>IFERROR(__xludf.DUMMYFUNCTION("IF('From Order'!$A2539=COLUMNS($A2539:D2558), LEFT(INDEX(FILTER(D$1:D2538, D$1:D2538&lt;&gt;""""),COUNTA(FILTER(D$1:D2538, D$1:D2538&lt;&gt;""""))), LEN(INDEX(FILTER(D$1:D2538, D$1:D2538&lt;&gt;""""),COUNTA(FILTER(D$1:D2538, D$1:D2538&lt;&gt;""""))))-1), IF('To Order'!$A2539=COL"&amp;"UMNS($A2539:D2558), D2538&amp;RIGHT(INDIRECT(ADDRESS(ROW(D2539)-1, 'From Order'!$A2539)), 1), D2538))"),"CSZ")</f>
        <v>CSZ</v>
      </c>
      <c r="E2539" s="2" t="str">
        <f>IFERROR(__xludf.DUMMYFUNCTION("IF('From Order'!$A2539=COLUMNS($A2539:E2558), LEFT(INDEX(FILTER(E$1:E2538, E$1:E2538&lt;&gt;""""),COUNTA(FILTER(E$1:E2538, E$1:E2538&lt;&gt;""""))), LEN(INDEX(FILTER(E$1:E2538, E$1:E2538&lt;&gt;""""),COUNTA(FILTER(E$1:E2538, E$1:E2538&lt;&gt;""""))))-1), IF('To Order'!$A2539=COL"&amp;"UMNS($A2539:E2558), E2538&amp;RIGHT(INDIRECT(ADDRESS(ROW(E2539)-1, 'From Order'!$A2539)), 1), E2538))"),"BRPHZM")</f>
        <v>BRPHZM</v>
      </c>
      <c r="F2539" s="2" t="str">
        <f>IFERROR(__xludf.DUMMYFUNCTION("IF('From Order'!$A2539=COLUMNS($A2539:F2558), LEFT(INDEX(FILTER(F$1:F2538, F$1:F2538&lt;&gt;""""),COUNTA(FILTER(F$1:F2538, F$1:F2538&lt;&gt;""""))), LEN(INDEX(FILTER(F$1:F2538, F$1:F2538&lt;&gt;""""),COUNTA(FILTER(F$1:F2538, F$1:F2538&lt;&gt;""""))))-1), IF('To Order'!$A2539=COL"&amp;"UMNS($A2539:F2558), F2538&amp;RIGHT(INDIRECT(ADDRESS(ROW(F2539)-1, 'From Order'!$A2539)), 1), F2538))"),"RSPMGT")</f>
        <v>RSPMGT</v>
      </c>
      <c r="G2539" s="2" t="str">
        <f>IFERROR(__xludf.DUMMYFUNCTION("IF('From Order'!$A2539=COLUMNS($A2539:G2558), LEFT(INDEX(FILTER(G$1:G2538, G$1:G2538&lt;&gt;""""),COUNTA(FILTER(G$1:G2538, G$1:G2538&lt;&gt;""""))), LEN(INDEX(FILTER(G$1:G2538, G$1:G2538&lt;&gt;""""),COUNTA(FILTER(G$1:G2538, G$1:G2538&lt;&gt;""""))))-1), IF('To Order'!$A2539=COL"&amp;"UMNS($A2539:G2558), G2538&amp;RIGHT(INDIRECT(ADDRESS(ROW(G2539)-1, 'From Order'!$A2539)), 1), G2538))"),"")</f>
        <v/>
      </c>
      <c r="H2539" s="2" t="str">
        <f>IFERROR(__xludf.DUMMYFUNCTION("IF('From Order'!$A2539=COLUMNS($A2539:H2558), LEFT(INDEX(FILTER(H$1:H2538, H$1:H2538&lt;&gt;""""),COUNTA(FILTER(H$1:H2538, H$1:H2538&lt;&gt;""""))), LEN(INDEX(FILTER(H$1:H2538, H$1:H2538&lt;&gt;""""),COUNTA(FILTER(H$1:H2538, H$1:H2538&lt;&gt;""""))))-1), IF('To Order'!$A2539=COL"&amp;"UMNS($A2539:H2558), H2538&amp;RIGHT(INDIRECT(ADDRESS(ROW(H2539)-1, 'From Order'!$A2539)), 1), H2538))"),"TJT")</f>
        <v>TJT</v>
      </c>
      <c r="I2539" s="2" t="str">
        <f>IFERROR(__xludf.DUMMYFUNCTION("IF('From Order'!$A2539=COLUMNS($A2539:I2558), LEFT(INDEX(FILTER(I$1:I2538, I$1:I2538&lt;&gt;""""),COUNTA(FILTER(I$1:I2538, I$1:I2538&lt;&gt;""""))), LEN(INDEX(FILTER(I$1:I2538, I$1:I2538&lt;&gt;""""),COUNTA(FILTER(I$1:I2538, I$1:I2538&lt;&gt;""""))))-1), IF('To Order'!$A2539=COL"&amp;"UMNS($A2539:I2558), I2538&amp;RIGHT(INDIRECT(ADDRESS(ROW(I2539)-1, 'From Order'!$A2539)), 1), I2538))"),"QVVDDSPLRRJTTCJFZDMT")</f>
        <v>QVVDDSPLRRJTTCJFZDMT</v>
      </c>
    </row>
    <row r="2540">
      <c r="A2540" s="2" t="str">
        <f>IFERROR(__xludf.DUMMYFUNCTION("IF('From Order'!$A2540=COLUMNS($A2540:A2559), LEFT(INDEX(FILTER(A$1:A2539, A$1:A2539&lt;&gt;""""),COUNTA(FILTER(A$1:A2539, A$1:A2539&lt;&gt;""""))), LEN(INDEX(FILTER(A$1:A2539, A$1:A2539&lt;&gt;""""),COUNTA(FILTER(A$1:A2539, A$1:A2539&lt;&gt;""""))))-1), IF('To Order'!$A2540=COL"&amp;"UMNS($A2540:A2559), A2539&amp;RIGHT(INDIRECT(ADDRESS(ROW(A2540)-1, 'From Order'!$A2540)), 1), A2539))"),"DRBVDBFLDC")</f>
        <v>DRBVDBFLDC</v>
      </c>
      <c r="B2540" s="2" t="str">
        <f>IFERROR(__xludf.DUMMYFUNCTION("IF('From Order'!$A2540=COLUMNS($A2540:B2559), LEFT(INDEX(FILTER(B$1:B2539, B$1:B2539&lt;&gt;""""),COUNTA(FILTER(B$1:B2539, B$1:B2539&lt;&gt;""""))), LEN(INDEX(FILTER(B$1:B2539, B$1:B2539&lt;&gt;""""),COUNTA(FILTER(B$1:B2539, B$1:B2539&lt;&gt;""""))))-1), IF('To Order'!$A2540=COL"&amp;"UMNS($A2540:B2559), B2539&amp;RIGHT(INDIRECT(ADDRESS(ROW(B2540)-1, 'From Order'!$A2540)), 1), B2539))"),"QGWWLHBS")</f>
        <v>QGWWLHBS</v>
      </c>
      <c r="C2540" s="2" t="str">
        <f>IFERROR(__xludf.DUMMYFUNCTION("IF('From Order'!$A2540=COLUMNS($A2540:C2559), LEFT(INDEX(FILTER(C$1:C2539, C$1:C2539&lt;&gt;""""),COUNTA(FILTER(C$1:C2539, C$1:C2539&lt;&gt;""""))), LEN(INDEX(FILTER(C$1:C2539, C$1:C2539&lt;&gt;""""),COUNTA(FILTER(C$1:C2539, C$1:C2539&lt;&gt;""""))))-1), IF('To Order'!$A2540=COL"&amp;"UMNS($A2540:C2559), C2539&amp;RIGHT(INDIRECT(ADDRESS(ROW(C2540)-1, 'From Order'!$A2540)), 1), C2539))"),"")</f>
        <v/>
      </c>
      <c r="D2540" s="2" t="str">
        <f>IFERROR(__xludf.DUMMYFUNCTION("IF('From Order'!$A2540=COLUMNS($A2540:D2559), LEFT(INDEX(FILTER(D$1:D2539, D$1:D2539&lt;&gt;""""),COUNTA(FILTER(D$1:D2539, D$1:D2539&lt;&gt;""""))), LEN(INDEX(FILTER(D$1:D2539, D$1:D2539&lt;&gt;""""),COUNTA(FILTER(D$1:D2539, D$1:D2539&lt;&gt;""""))))-1), IF('To Order'!$A2540=COL"&amp;"UMNS($A2540:D2559), D2539&amp;RIGHT(INDIRECT(ADDRESS(ROW(D2540)-1, 'From Order'!$A2540)), 1), D2539))"),"CSZ")</f>
        <v>CSZ</v>
      </c>
      <c r="E2540" s="2" t="str">
        <f>IFERROR(__xludf.DUMMYFUNCTION("IF('From Order'!$A2540=COLUMNS($A2540:E2559), LEFT(INDEX(FILTER(E$1:E2539, E$1:E2539&lt;&gt;""""),COUNTA(FILTER(E$1:E2539, E$1:E2539&lt;&gt;""""))), LEN(INDEX(FILTER(E$1:E2539, E$1:E2539&lt;&gt;""""),COUNTA(FILTER(E$1:E2539, E$1:E2539&lt;&gt;""""))))-1), IF('To Order'!$A2540=COL"&amp;"UMNS($A2540:E2559), E2539&amp;RIGHT(INDIRECT(ADDRESS(ROW(E2540)-1, 'From Order'!$A2540)), 1), E2539))"),"BRPHZM")</f>
        <v>BRPHZM</v>
      </c>
      <c r="F2540" s="2" t="str">
        <f>IFERROR(__xludf.DUMMYFUNCTION("IF('From Order'!$A2540=COLUMNS($A2540:F2559), LEFT(INDEX(FILTER(F$1:F2539, F$1:F2539&lt;&gt;""""),COUNTA(FILTER(F$1:F2539, F$1:F2539&lt;&gt;""""))), LEN(INDEX(FILTER(F$1:F2539, F$1:F2539&lt;&gt;""""),COUNTA(FILTER(F$1:F2539, F$1:F2539&lt;&gt;""""))))-1), IF('To Order'!$A2540=COL"&amp;"UMNS($A2540:F2559), F2539&amp;RIGHT(INDIRECT(ADDRESS(ROW(F2540)-1, 'From Order'!$A2540)), 1), F2539))"),"RSPMGT")</f>
        <v>RSPMGT</v>
      </c>
      <c r="G2540" s="2" t="str">
        <f>IFERROR(__xludf.DUMMYFUNCTION("IF('From Order'!$A2540=COLUMNS($A2540:G2559), LEFT(INDEX(FILTER(G$1:G2539, G$1:G2539&lt;&gt;""""),COUNTA(FILTER(G$1:G2539, G$1:G2539&lt;&gt;""""))), LEN(INDEX(FILTER(G$1:G2539, G$1:G2539&lt;&gt;""""),COUNTA(FILTER(G$1:G2539, G$1:G2539&lt;&gt;""""))))-1), IF('To Order'!$A2540=COL"&amp;"UMNS($A2540:G2559), G2539&amp;RIGHT(INDIRECT(ADDRESS(ROW(G2540)-1, 'From Order'!$A2540)), 1), G2539))"),"")</f>
        <v/>
      </c>
      <c r="H2540" s="2" t="str">
        <f>IFERROR(__xludf.DUMMYFUNCTION("IF('From Order'!$A2540=COLUMNS($A2540:H2559), LEFT(INDEX(FILTER(H$1:H2539, H$1:H2539&lt;&gt;""""),COUNTA(FILTER(H$1:H2539, H$1:H2539&lt;&gt;""""))), LEN(INDEX(FILTER(H$1:H2539, H$1:H2539&lt;&gt;""""),COUNTA(FILTER(H$1:H2539, H$1:H2539&lt;&gt;""""))))-1), IF('To Order'!$A2540=COL"&amp;"UMNS($A2540:H2559), H2539&amp;RIGHT(INDIRECT(ADDRESS(ROW(H2540)-1, 'From Order'!$A2540)), 1), H2539))"),"TJT")</f>
        <v>TJT</v>
      </c>
      <c r="I2540" s="2" t="str">
        <f>IFERROR(__xludf.DUMMYFUNCTION("IF('From Order'!$A2540=COLUMNS($A2540:I2559), LEFT(INDEX(FILTER(I$1:I2539, I$1:I2539&lt;&gt;""""),COUNTA(FILTER(I$1:I2539, I$1:I2539&lt;&gt;""""))), LEN(INDEX(FILTER(I$1:I2539, I$1:I2539&lt;&gt;""""),COUNTA(FILTER(I$1:I2539, I$1:I2539&lt;&gt;""""))))-1), IF('To Order'!$A2540=COL"&amp;"UMNS($A2540:I2559), I2539&amp;RIGHT(INDIRECT(ADDRESS(ROW(I2540)-1, 'From Order'!$A2540)), 1), I2539))"),"QVVDDSPLRRJTTCJFZDMT")</f>
        <v>QVVDDSPLRRJTTCJFZDMT</v>
      </c>
    </row>
    <row r="2541">
      <c r="A2541" s="2" t="str">
        <f>IFERROR(__xludf.DUMMYFUNCTION("IF('From Order'!$A2541=COLUMNS($A2541:A2560), LEFT(INDEX(FILTER(A$1:A2540, A$1:A2540&lt;&gt;""""),COUNTA(FILTER(A$1:A2540, A$1:A2540&lt;&gt;""""))), LEN(INDEX(FILTER(A$1:A2540, A$1:A2540&lt;&gt;""""),COUNTA(FILTER(A$1:A2540, A$1:A2540&lt;&gt;""""))))-1), IF('To Order'!$A2541=COL"&amp;"UMNS($A2541:A2560), A2540&amp;RIGHT(INDIRECT(ADDRESS(ROW(A2541)-1, 'From Order'!$A2541)), 1), A2540))"),"DRBVDBFLDC")</f>
        <v>DRBVDBFLDC</v>
      </c>
      <c r="B2541" s="2" t="str">
        <f>IFERROR(__xludf.DUMMYFUNCTION("IF('From Order'!$A2541=COLUMNS($A2541:B2560), LEFT(INDEX(FILTER(B$1:B2540, B$1:B2540&lt;&gt;""""),COUNTA(FILTER(B$1:B2540, B$1:B2540&lt;&gt;""""))), LEN(INDEX(FILTER(B$1:B2540, B$1:B2540&lt;&gt;""""),COUNTA(FILTER(B$1:B2540, B$1:B2540&lt;&gt;""""))))-1), IF('To Order'!$A2541=COL"&amp;"UMNS($A2541:B2560), B2540&amp;RIGHT(INDIRECT(ADDRESS(ROW(B2541)-1, 'From Order'!$A2541)), 1), B2540))"),"QGWWLHBS")</f>
        <v>QGWWLHBS</v>
      </c>
      <c r="C2541" s="2" t="str">
        <f>IFERROR(__xludf.DUMMYFUNCTION("IF('From Order'!$A2541=COLUMNS($A2541:C2560), LEFT(INDEX(FILTER(C$1:C2540, C$1:C2540&lt;&gt;""""),COUNTA(FILTER(C$1:C2540, C$1:C2540&lt;&gt;""""))), LEN(INDEX(FILTER(C$1:C2540, C$1:C2540&lt;&gt;""""),COUNTA(FILTER(C$1:C2540, C$1:C2540&lt;&gt;""""))))-1), IF('To Order'!$A2541=COL"&amp;"UMNS($A2541:C2560), C2540&amp;RIGHT(INDIRECT(ADDRESS(ROW(C2541)-1, 'From Order'!$A2541)), 1), C2540))"),"")</f>
        <v/>
      </c>
      <c r="D2541" s="2" t="str">
        <f>IFERROR(__xludf.DUMMYFUNCTION("IF('From Order'!$A2541=COLUMNS($A2541:D2560), LEFT(INDEX(FILTER(D$1:D2540, D$1:D2540&lt;&gt;""""),COUNTA(FILTER(D$1:D2540, D$1:D2540&lt;&gt;""""))), LEN(INDEX(FILTER(D$1:D2540, D$1:D2540&lt;&gt;""""),COUNTA(FILTER(D$1:D2540, D$1:D2540&lt;&gt;""""))))-1), IF('To Order'!$A2541=COL"&amp;"UMNS($A2541:D2560), D2540&amp;RIGHT(INDIRECT(ADDRESS(ROW(D2541)-1, 'From Order'!$A2541)), 1), D2540))"),"CSZ")</f>
        <v>CSZ</v>
      </c>
      <c r="E2541" s="2" t="str">
        <f>IFERROR(__xludf.DUMMYFUNCTION("IF('From Order'!$A2541=COLUMNS($A2541:E2560), LEFT(INDEX(FILTER(E$1:E2540, E$1:E2540&lt;&gt;""""),COUNTA(FILTER(E$1:E2540, E$1:E2540&lt;&gt;""""))), LEN(INDEX(FILTER(E$1:E2540, E$1:E2540&lt;&gt;""""),COUNTA(FILTER(E$1:E2540, E$1:E2540&lt;&gt;""""))))-1), IF('To Order'!$A2541=COL"&amp;"UMNS($A2541:E2560), E2540&amp;RIGHT(INDIRECT(ADDRESS(ROW(E2541)-1, 'From Order'!$A2541)), 1), E2540))"),"BRPHZ")</f>
        <v>BRPHZ</v>
      </c>
      <c r="F2541" s="2" t="str">
        <f>IFERROR(__xludf.DUMMYFUNCTION("IF('From Order'!$A2541=COLUMNS($A2541:F2560), LEFT(INDEX(FILTER(F$1:F2540, F$1:F2540&lt;&gt;""""),COUNTA(FILTER(F$1:F2540, F$1:F2540&lt;&gt;""""))), LEN(INDEX(FILTER(F$1:F2540, F$1:F2540&lt;&gt;""""),COUNTA(FILTER(F$1:F2540, F$1:F2540&lt;&gt;""""))))-1), IF('To Order'!$A2541=COL"&amp;"UMNS($A2541:F2560), F2540&amp;RIGHT(INDIRECT(ADDRESS(ROW(F2541)-1, 'From Order'!$A2541)), 1), F2540))"),"RSPMGT")</f>
        <v>RSPMGT</v>
      </c>
      <c r="G2541" s="2" t="str">
        <f>IFERROR(__xludf.DUMMYFUNCTION("IF('From Order'!$A2541=COLUMNS($A2541:G2560), LEFT(INDEX(FILTER(G$1:G2540, G$1:G2540&lt;&gt;""""),COUNTA(FILTER(G$1:G2540, G$1:G2540&lt;&gt;""""))), LEN(INDEX(FILTER(G$1:G2540, G$1:G2540&lt;&gt;""""),COUNTA(FILTER(G$1:G2540, G$1:G2540&lt;&gt;""""))))-1), IF('To Order'!$A2541=COL"&amp;"UMNS($A2541:G2560), G2540&amp;RIGHT(INDIRECT(ADDRESS(ROW(G2541)-1, 'From Order'!$A2541)), 1), G2540))"),"")</f>
        <v/>
      </c>
      <c r="H2541" s="2" t="str">
        <f>IFERROR(__xludf.DUMMYFUNCTION("IF('From Order'!$A2541=COLUMNS($A2541:H2560), LEFT(INDEX(FILTER(H$1:H2540, H$1:H2540&lt;&gt;""""),COUNTA(FILTER(H$1:H2540, H$1:H2540&lt;&gt;""""))), LEN(INDEX(FILTER(H$1:H2540, H$1:H2540&lt;&gt;""""),COUNTA(FILTER(H$1:H2540, H$1:H2540&lt;&gt;""""))))-1), IF('To Order'!$A2541=COL"&amp;"UMNS($A2541:H2560), H2540&amp;RIGHT(INDIRECT(ADDRESS(ROW(H2541)-1, 'From Order'!$A2541)), 1), H2540))"),"TJT")</f>
        <v>TJT</v>
      </c>
      <c r="I2541" s="2" t="str">
        <f>IFERROR(__xludf.DUMMYFUNCTION("IF('From Order'!$A2541=COLUMNS($A2541:I2560), LEFT(INDEX(FILTER(I$1:I2540, I$1:I2540&lt;&gt;""""),COUNTA(FILTER(I$1:I2540, I$1:I2540&lt;&gt;""""))), LEN(INDEX(FILTER(I$1:I2540, I$1:I2540&lt;&gt;""""),COUNTA(FILTER(I$1:I2540, I$1:I2540&lt;&gt;""""))))-1), IF('To Order'!$A2541=COL"&amp;"UMNS($A2541:I2560), I2540&amp;RIGHT(INDIRECT(ADDRESS(ROW(I2541)-1, 'From Order'!$A2541)), 1), I2540))"),"QVVDDSPLRRJTTCJFZDMTM")</f>
        <v>QVVDDSPLRRJTTCJFZDMTM</v>
      </c>
    </row>
    <row r="2542">
      <c r="A2542" s="2" t="str">
        <f>IFERROR(__xludf.DUMMYFUNCTION("IF('From Order'!$A2542=COLUMNS($A2542:A2561), LEFT(INDEX(FILTER(A$1:A2541, A$1:A2541&lt;&gt;""""),COUNTA(FILTER(A$1:A2541, A$1:A2541&lt;&gt;""""))), LEN(INDEX(FILTER(A$1:A2541, A$1:A2541&lt;&gt;""""),COUNTA(FILTER(A$1:A2541, A$1:A2541&lt;&gt;""""))))-1), IF('To Order'!$A2542=COL"&amp;"UMNS($A2542:A2561), A2541&amp;RIGHT(INDIRECT(ADDRESS(ROW(A2542)-1, 'From Order'!$A2542)), 1), A2541))"),"DRBVDBFLDC")</f>
        <v>DRBVDBFLDC</v>
      </c>
      <c r="B2542" s="2" t="str">
        <f>IFERROR(__xludf.DUMMYFUNCTION("IF('From Order'!$A2542=COLUMNS($A2542:B2561), LEFT(INDEX(FILTER(B$1:B2541, B$1:B2541&lt;&gt;""""),COUNTA(FILTER(B$1:B2541, B$1:B2541&lt;&gt;""""))), LEN(INDEX(FILTER(B$1:B2541, B$1:B2541&lt;&gt;""""),COUNTA(FILTER(B$1:B2541, B$1:B2541&lt;&gt;""""))))-1), IF('To Order'!$A2542=COL"&amp;"UMNS($A2542:B2561), B2541&amp;RIGHT(INDIRECT(ADDRESS(ROW(B2542)-1, 'From Order'!$A2542)), 1), B2541))"),"QGWWLHBS")</f>
        <v>QGWWLHBS</v>
      </c>
      <c r="C2542" s="2" t="str">
        <f>IFERROR(__xludf.DUMMYFUNCTION("IF('From Order'!$A2542=COLUMNS($A2542:C2561), LEFT(INDEX(FILTER(C$1:C2541, C$1:C2541&lt;&gt;""""),COUNTA(FILTER(C$1:C2541, C$1:C2541&lt;&gt;""""))), LEN(INDEX(FILTER(C$1:C2541, C$1:C2541&lt;&gt;""""),COUNTA(FILTER(C$1:C2541, C$1:C2541&lt;&gt;""""))))-1), IF('To Order'!$A2542=COL"&amp;"UMNS($A2542:C2561), C2541&amp;RIGHT(INDIRECT(ADDRESS(ROW(C2542)-1, 'From Order'!$A2542)), 1), C2541))"),"")</f>
        <v/>
      </c>
      <c r="D2542" s="2" t="str">
        <f>IFERROR(__xludf.DUMMYFUNCTION("IF('From Order'!$A2542=COLUMNS($A2542:D2561), LEFT(INDEX(FILTER(D$1:D2541, D$1:D2541&lt;&gt;""""),COUNTA(FILTER(D$1:D2541, D$1:D2541&lt;&gt;""""))), LEN(INDEX(FILTER(D$1:D2541, D$1:D2541&lt;&gt;""""),COUNTA(FILTER(D$1:D2541, D$1:D2541&lt;&gt;""""))))-1), IF('To Order'!$A2542=COL"&amp;"UMNS($A2542:D2561), D2541&amp;RIGHT(INDIRECT(ADDRESS(ROW(D2542)-1, 'From Order'!$A2542)), 1), D2541))"),"CSZ")</f>
        <v>CSZ</v>
      </c>
      <c r="E2542" s="2" t="str">
        <f>IFERROR(__xludf.DUMMYFUNCTION("IF('From Order'!$A2542=COLUMNS($A2542:E2561), LEFT(INDEX(FILTER(E$1:E2541, E$1:E2541&lt;&gt;""""),COUNTA(FILTER(E$1:E2541, E$1:E2541&lt;&gt;""""))), LEN(INDEX(FILTER(E$1:E2541, E$1:E2541&lt;&gt;""""),COUNTA(FILTER(E$1:E2541, E$1:E2541&lt;&gt;""""))))-1), IF('To Order'!$A2542=COL"&amp;"UMNS($A2542:E2561), E2541&amp;RIGHT(INDIRECT(ADDRESS(ROW(E2542)-1, 'From Order'!$A2542)), 1), E2541))"),"BRPH")</f>
        <v>BRPH</v>
      </c>
      <c r="F2542" s="2" t="str">
        <f>IFERROR(__xludf.DUMMYFUNCTION("IF('From Order'!$A2542=COLUMNS($A2542:F2561), LEFT(INDEX(FILTER(F$1:F2541, F$1:F2541&lt;&gt;""""),COUNTA(FILTER(F$1:F2541, F$1:F2541&lt;&gt;""""))), LEN(INDEX(FILTER(F$1:F2541, F$1:F2541&lt;&gt;""""),COUNTA(FILTER(F$1:F2541, F$1:F2541&lt;&gt;""""))))-1), IF('To Order'!$A2542=COL"&amp;"UMNS($A2542:F2561), F2541&amp;RIGHT(INDIRECT(ADDRESS(ROW(F2542)-1, 'From Order'!$A2542)), 1), F2541))"),"RSPMGT")</f>
        <v>RSPMGT</v>
      </c>
      <c r="G2542" s="2" t="str">
        <f>IFERROR(__xludf.DUMMYFUNCTION("IF('From Order'!$A2542=COLUMNS($A2542:G2561), LEFT(INDEX(FILTER(G$1:G2541, G$1:G2541&lt;&gt;""""),COUNTA(FILTER(G$1:G2541, G$1:G2541&lt;&gt;""""))), LEN(INDEX(FILTER(G$1:G2541, G$1:G2541&lt;&gt;""""),COUNTA(FILTER(G$1:G2541, G$1:G2541&lt;&gt;""""))))-1), IF('To Order'!$A2542=COL"&amp;"UMNS($A2542:G2561), G2541&amp;RIGHT(INDIRECT(ADDRESS(ROW(G2542)-1, 'From Order'!$A2542)), 1), G2541))"),"")</f>
        <v/>
      </c>
      <c r="H2542" s="2" t="str">
        <f>IFERROR(__xludf.DUMMYFUNCTION("IF('From Order'!$A2542=COLUMNS($A2542:H2561), LEFT(INDEX(FILTER(H$1:H2541, H$1:H2541&lt;&gt;""""),COUNTA(FILTER(H$1:H2541, H$1:H2541&lt;&gt;""""))), LEN(INDEX(FILTER(H$1:H2541, H$1:H2541&lt;&gt;""""),COUNTA(FILTER(H$1:H2541, H$1:H2541&lt;&gt;""""))))-1), IF('To Order'!$A2542=COL"&amp;"UMNS($A2542:H2561), H2541&amp;RIGHT(INDIRECT(ADDRESS(ROW(H2542)-1, 'From Order'!$A2542)), 1), H2541))"),"TJT")</f>
        <v>TJT</v>
      </c>
      <c r="I2542" s="2" t="str">
        <f>IFERROR(__xludf.DUMMYFUNCTION("IF('From Order'!$A2542=COLUMNS($A2542:I2561), LEFT(INDEX(FILTER(I$1:I2541, I$1:I2541&lt;&gt;""""),COUNTA(FILTER(I$1:I2541, I$1:I2541&lt;&gt;""""))), LEN(INDEX(FILTER(I$1:I2541, I$1:I2541&lt;&gt;""""),COUNTA(FILTER(I$1:I2541, I$1:I2541&lt;&gt;""""))))-1), IF('To Order'!$A2542=COL"&amp;"UMNS($A2542:I2561), I2541&amp;RIGHT(INDIRECT(ADDRESS(ROW(I2542)-1, 'From Order'!$A2542)), 1), I2541))"),"QVVDDSPLRRJTTCJFZDMTMZ")</f>
        <v>QVVDDSPLRRJTTCJFZDMTMZ</v>
      </c>
    </row>
    <row r="2543">
      <c r="A2543" s="2" t="str">
        <f>IFERROR(__xludf.DUMMYFUNCTION("IF('From Order'!$A2543=COLUMNS($A2543:A2562), LEFT(INDEX(FILTER(A$1:A2542, A$1:A2542&lt;&gt;""""),COUNTA(FILTER(A$1:A2542, A$1:A2542&lt;&gt;""""))), LEN(INDEX(FILTER(A$1:A2542, A$1:A2542&lt;&gt;""""),COUNTA(FILTER(A$1:A2542, A$1:A2542&lt;&gt;""""))))-1), IF('To Order'!$A2543=COL"&amp;"UMNS($A2543:A2562), A2542&amp;RIGHT(INDIRECT(ADDRESS(ROW(A2543)-1, 'From Order'!$A2543)), 1), A2542))"),"DRBVDBFLDC")</f>
        <v>DRBVDBFLDC</v>
      </c>
      <c r="B2543" s="2" t="str">
        <f>IFERROR(__xludf.DUMMYFUNCTION("IF('From Order'!$A2543=COLUMNS($A2543:B2562), LEFT(INDEX(FILTER(B$1:B2542, B$1:B2542&lt;&gt;""""),COUNTA(FILTER(B$1:B2542, B$1:B2542&lt;&gt;""""))), LEN(INDEX(FILTER(B$1:B2542, B$1:B2542&lt;&gt;""""),COUNTA(FILTER(B$1:B2542, B$1:B2542&lt;&gt;""""))))-1), IF('To Order'!$A2543=COL"&amp;"UMNS($A2543:B2562), B2542&amp;RIGHT(INDIRECT(ADDRESS(ROW(B2543)-1, 'From Order'!$A2543)), 1), B2542))"),"QGWWLHBS")</f>
        <v>QGWWLHBS</v>
      </c>
      <c r="C2543" s="2" t="str">
        <f>IFERROR(__xludf.DUMMYFUNCTION("IF('From Order'!$A2543=COLUMNS($A2543:C2562), LEFT(INDEX(FILTER(C$1:C2542, C$1:C2542&lt;&gt;""""),COUNTA(FILTER(C$1:C2542, C$1:C2542&lt;&gt;""""))), LEN(INDEX(FILTER(C$1:C2542, C$1:C2542&lt;&gt;""""),COUNTA(FILTER(C$1:C2542, C$1:C2542&lt;&gt;""""))))-1), IF('To Order'!$A2543=COL"&amp;"UMNS($A2543:C2562), C2542&amp;RIGHT(INDIRECT(ADDRESS(ROW(C2543)-1, 'From Order'!$A2543)), 1), C2542))"),"")</f>
        <v/>
      </c>
      <c r="D2543" s="2" t="str">
        <f>IFERROR(__xludf.DUMMYFUNCTION("IF('From Order'!$A2543=COLUMNS($A2543:D2562), LEFT(INDEX(FILTER(D$1:D2542, D$1:D2542&lt;&gt;""""),COUNTA(FILTER(D$1:D2542, D$1:D2542&lt;&gt;""""))), LEN(INDEX(FILTER(D$1:D2542, D$1:D2542&lt;&gt;""""),COUNTA(FILTER(D$1:D2542, D$1:D2542&lt;&gt;""""))))-1), IF('To Order'!$A2543=COL"&amp;"UMNS($A2543:D2562), D2542&amp;RIGHT(INDIRECT(ADDRESS(ROW(D2543)-1, 'From Order'!$A2543)), 1), D2542))"),"CSZ")</f>
        <v>CSZ</v>
      </c>
      <c r="E2543" s="2" t="str">
        <f>IFERROR(__xludf.DUMMYFUNCTION("IF('From Order'!$A2543=COLUMNS($A2543:E2562), LEFT(INDEX(FILTER(E$1:E2542, E$1:E2542&lt;&gt;""""),COUNTA(FILTER(E$1:E2542, E$1:E2542&lt;&gt;""""))), LEN(INDEX(FILTER(E$1:E2542, E$1:E2542&lt;&gt;""""),COUNTA(FILTER(E$1:E2542, E$1:E2542&lt;&gt;""""))))-1), IF('To Order'!$A2543=COL"&amp;"UMNS($A2543:E2562), E2542&amp;RIGHT(INDIRECT(ADDRESS(ROW(E2543)-1, 'From Order'!$A2543)), 1), E2542))"),"BRP")</f>
        <v>BRP</v>
      </c>
      <c r="F2543" s="2" t="str">
        <f>IFERROR(__xludf.DUMMYFUNCTION("IF('From Order'!$A2543=COLUMNS($A2543:F2562), LEFT(INDEX(FILTER(F$1:F2542, F$1:F2542&lt;&gt;""""),COUNTA(FILTER(F$1:F2542, F$1:F2542&lt;&gt;""""))), LEN(INDEX(FILTER(F$1:F2542, F$1:F2542&lt;&gt;""""),COUNTA(FILTER(F$1:F2542, F$1:F2542&lt;&gt;""""))))-1), IF('To Order'!$A2543=COL"&amp;"UMNS($A2543:F2562), F2542&amp;RIGHT(INDIRECT(ADDRESS(ROW(F2543)-1, 'From Order'!$A2543)), 1), F2542))"),"RSPMGT")</f>
        <v>RSPMGT</v>
      </c>
      <c r="G2543" s="2" t="str">
        <f>IFERROR(__xludf.DUMMYFUNCTION("IF('From Order'!$A2543=COLUMNS($A2543:G2562), LEFT(INDEX(FILTER(G$1:G2542, G$1:G2542&lt;&gt;""""),COUNTA(FILTER(G$1:G2542, G$1:G2542&lt;&gt;""""))), LEN(INDEX(FILTER(G$1:G2542, G$1:G2542&lt;&gt;""""),COUNTA(FILTER(G$1:G2542, G$1:G2542&lt;&gt;""""))))-1), IF('To Order'!$A2543=COL"&amp;"UMNS($A2543:G2562), G2542&amp;RIGHT(INDIRECT(ADDRESS(ROW(G2543)-1, 'From Order'!$A2543)), 1), G2542))"),"")</f>
        <v/>
      </c>
      <c r="H2543" s="2" t="str">
        <f>IFERROR(__xludf.DUMMYFUNCTION("IF('From Order'!$A2543=COLUMNS($A2543:H2562), LEFT(INDEX(FILTER(H$1:H2542, H$1:H2542&lt;&gt;""""),COUNTA(FILTER(H$1:H2542, H$1:H2542&lt;&gt;""""))), LEN(INDEX(FILTER(H$1:H2542, H$1:H2542&lt;&gt;""""),COUNTA(FILTER(H$1:H2542, H$1:H2542&lt;&gt;""""))))-1), IF('To Order'!$A2543=COL"&amp;"UMNS($A2543:H2562), H2542&amp;RIGHT(INDIRECT(ADDRESS(ROW(H2543)-1, 'From Order'!$A2543)), 1), H2542))"),"TJT")</f>
        <v>TJT</v>
      </c>
      <c r="I2543" s="2" t="str">
        <f>IFERROR(__xludf.DUMMYFUNCTION("IF('From Order'!$A2543=COLUMNS($A2543:I2562), LEFT(INDEX(FILTER(I$1:I2542, I$1:I2542&lt;&gt;""""),COUNTA(FILTER(I$1:I2542, I$1:I2542&lt;&gt;""""))), LEN(INDEX(FILTER(I$1:I2542, I$1:I2542&lt;&gt;""""),COUNTA(FILTER(I$1:I2542, I$1:I2542&lt;&gt;""""))))-1), IF('To Order'!$A2543=COL"&amp;"UMNS($A2543:I2562), I2542&amp;RIGHT(INDIRECT(ADDRESS(ROW(I2543)-1, 'From Order'!$A2543)), 1), I2542))"),"QVVDDSPLRRJTTCJFZDMTMZH")</f>
        <v>QVVDDSPLRRJTTCJFZDMTMZH</v>
      </c>
    </row>
    <row r="2544">
      <c r="A2544" s="2" t="str">
        <f>IFERROR(__xludf.DUMMYFUNCTION("IF('From Order'!$A2544=COLUMNS($A2544:A2563), LEFT(INDEX(FILTER(A$1:A2543, A$1:A2543&lt;&gt;""""),COUNTA(FILTER(A$1:A2543, A$1:A2543&lt;&gt;""""))), LEN(INDEX(FILTER(A$1:A2543, A$1:A2543&lt;&gt;""""),COUNTA(FILTER(A$1:A2543, A$1:A2543&lt;&gt;""""))))-1), IF('To Order'!$A2544=COL"&amp;"UMNS($A2544:A2563), A2543&amp;RIGHT(INDIRECT(ADDRESS(ROW(A2544)-1, 'From Order'!$A2544)), 1), A2543))"),"DRBVDBFLDC")</f>
        <v>DRBVDBFLDC</v>
      </c>
      <c r="B2544" s="2" t="str">
        <f>IFERROR(__xludf.DUMMYFUNCTION("IF('From Order'!$A2544=COLUMNS($A2544:B2563), LEFT(INDEX(FILTER(B$1:B2543, B$1:B2543&lt;&gt;""""),COUNTA(FILTER(B$1:B2543, B$1:B2543&lt;&gt;""""))), LEN(INDEX(FILTER(B$1:B2543, B$1:B2543&lt;&gt;""""),COUNTA(FILTER(B$1:B2543, B$1:B2543&lt;&gt;""""))))-1), IF('To Order'!$A2544=COL"&amp;"UMNS($A2544:B2563), B2543&amp;RIGHT(INDIRECT(ADDRESS(ROW(B2544)-1, 'From Order'!$A2544)), 1), B2543))"),"QGWWLHBS")</f>
        <v>QGWWLHBS</v>
      </c>
      <c r="C2544" s="2" t="str">
        <f>IFERROR(__xludf.DUMMYFUNCTION("IF('From Order'!$A2544=COLUMNS($A2544:C2563), LEFT(INDEX(FILTER(C$1:C2543, C$1:C2543&lt;&gt;""""),COUNTA(FILTER(C$1:C2543, C$1:C2543&lt;&gt;""""))), LEN(INDEX(FILTER(C$1:C2543, C$1:C2543&lt;&gt;""""),COUNTA(FILTER(C$1:C2543, C$1:C2543&lt;&gt;""""))))-1), IF('To Order'!$A2544=COL"&amp;"UMNS($A2544:C2563), C2543&amp;RIGHT(INDIRECT(ADDRESS(ROW(C2544)-1, 'From Order'!$A2544)), 1), C2543))"),"")</f>
        <v/>
      </c>
      <c r="D2544" s="2" t="str">
        <f>IFERROR(__xludf.DUMMYFUNCTION("IF('From Order'!$A2544=COLUMNS($A2544:D2563), LEFT(INDEX(FILTER(D$1:D2543, D$1:D2543&lt;&gt;""""),COUNTA(FILTER(D$1:D2543, D$1:D2543&lt;&gt;""""))), LEN(INDEX(FILTER(D$1:D2543, D$1:D2543&lt;&gt;""""),COUNTA(FILTER(D$1:D2543, D$1:D2543&lt;&gt;""""))))-1), IF('To Order'!$A2544=COL"&amp;"UMNS($A2544:D2563), D2543&amp;RIGHT(INDIRECT(ADDRESS(ROW(D2544)-1, 'From Order'!$A2544)), 1), D2543))"),"CS")</f>
        <v>CS</v>
      </c>
      <c r="E2544" s="2" t="str">
        <f>IFERROR(__xludf.DUMMYFUNCTION("IF('From Order'!$A2544=COLUMNS($A2544:E2563), LEFT(INDEX(FILTER(E$1:E2543, E$1:E2543&lt;&gt;""""),COUNTA(FILTER(E$1:E2543, E$1:E2543&lt;&gt;""""))), LEN(INDEX(FILTER(E$1:E2543, E$1:E2543&lt;&gt;""""),COUNTA(FILTER(E$1:E2543, E$1:E2543&lt;&gt;""""))))-1), IF('To Order'!$A2544=COL"&amp;"UMNS($A2544:E2563), E2543&amp;RIGHT(INDIRECT(ADDRESS(ROW(E2544)-1, 'From Order'!$A2544)), 1), E2543))"),"BRP")</f>
        <v>BRP</v>
      </c>
      <c r="F2544" s="2" t="str">
        <f>IFERROR(__xludf.DUMMYFUNCTION("IF('From Order'!$A2544=COLUMNS($A2544:F2563), LEFT(INDEX(FILTER(F$1:F2543, F$1:F2543&lt;&gt;""""),COUNTA(FILTER(F$1:F2543, F$1:F2543&lt;&gt;""""))), LEN(INDEX(FILTER(F$1:F2543, F$1:F2543&lt;&gt;""""),COUNTA(FILTER(F$1:F2543, F$1:F2543&lt;&gt;""""))))-1), IF('To Order'!$A2544=COL"&amp;"UMNS($A2544:F2563), F2543&amp;RIGHT(INDIRECT(ADDRESS(ROW(F2544)-1, 'From Order'!$A2544)), 1), F2543))"),"RSPMGT")</f>
        <v>RSPMGT</v>
      </c>
      <c r="G2544" s="2" t="str">
        <f>IFERROR(__xludf.DUMMYFUNCTION("IF('From Order'!$A2544=COLUMNS($A2544:G2563), LEFT(INDEX(FILTER(G$1:G2543, G$1:G2543&lt;&gt;""""),COUNTA(FILTER(G$1:G2543, G$1:G2543&lt;&gt;""""))), LEN(INDEX(FILTER(G$1:G2543, G$1:G2543&lt;&gt;""""),COUNTA(FILTER(G$1:G2543, G$1:G2543&lt;&gt;""""))))-1), IF('To Order'!$A2544=COL"&amp;"UMNS($A2544:G2563), G2543&amp;RIGHT(INDIRECT(ADDRESS(ROW(G2544)-1, 'From Order'!$A2544)), 1), G2543))"),"")</f>
        <v/>
      </c>
      <c r="H2544" s="2" t="str">
        <f>IFERROR(__xludf.DUMMYFUNCTION("IF('From Order'!$A2544=COLUMNS($A2544:H2563), LEFT(INDEX(FILTER(H$1:H2543, H$1:H2543&lt;&gt;""""),COUNTA(FILTER(H$1:H2543, H$1:H2543&lt;&gt;""""))), LEN(INDEX(FILTER(H$1:H2543, H$1:H2543&lt;&gt;""""),COUNTA(FILTER(H$1:H2543, H$1:H2543&lt;&gt;""""))))-1), IF('To Order'!$A2544=COL"&amp;"UMNS($A2544:H2563), H2543&amp;RIGHT(INDIRECT(ADDRESS(ROW(H2544)-1, 'From Order'!$A2544)), 1), H2543))"),"TJT")</f>
        <v>TJT</v>
      </c>
      <c r="I2544" s="2" t="str">
        <f>IFERROR(__xludf.DUMMYFUNCTION("IF('From Order'!$A2544=COLUMNS($A2544:I2563), LEFT(INDEX(FILTER(I$1:I2543, I$1:I2543&lt;&gt;""""),COUNTA(FILTER(I$1:I2543, I$1:I2543&lt;&gt;""""))), LEN(INDEX(FILTER(I$1:I2543, I$1:I2543&lt;&gt;""""),COUNTA(FILTER(I$1:I2543, I$1:I2543&lt;&gt;""""))))-1), IF('To Order'!$A2544=COL"&amp;"UMNS($A2544:I2563), I2543&amp;RIGHT(INDIRECT(ADDRESS(ROW(I2544)-1, 'From Order'!$A2544)), 1), I2543))"),"QVVDDSPLRRJTTCJFZDMTMZHZ")</f>
        <v>QVVDDSPLRRJTTCJFZDMTMZHZ</v>
      </c>
    </row>
    <row r="2545">
      <c r="A2545" s="2" t="str">
        <f>IFERROR(__xludf.DUMMYFUNCTION("IF('From Order'!$A2545=COLUMNS($A2545:A2564), LEFT(INDEX(FILTER(A$1:A2544, A$1:A2544&lt;&gt;""""),COUNTA(FILTER(A$1:A2544, A$1:A2544&lt;&gt;""""))), LEN(INDEX(FILTER(A$1:A2544, A$1:A2544&lt;&gt;""""),COUNTA(FILTER(A$1:A2544, A$1:A2544&lt;&gt;""""))))-1), IF('To Order'!$A2545=COL"&amp;"UMNS($A2545:A2564), A2544&amp;RIGHT(INDIRECT(ADDRESS(ROW(A2545)-1, 'From Order'!$A2545)), 1), A2544))"),"DRBVDBFLDC")</f>
        <v>DRBVDBFLDC</v>
      </c>
      <c r="B2545" s="2" t="str">
        <f>IFERROR(__xludf.DUMMYFUNCTION("IF('From Order'!$A2545=COLUMNS($A2545:B2564), LEFT(INDEX(FILTER(B$1:B2544, B$1:B2544&lt;&gt;""""),COUNTA(FILTER(B$1:B2544, B$1:B2544&lt;&gt;""""))), LEN(INDEX(FILTER(B$1:B2544, B$1:B2544&lt;&gt;""""),COUNTA(FILTER(B$1:B2544, B$1:B2544&lt;&gt;""""))))-1), IF('To Order'!$A2545=COL"&amp;"UMNS($A2545:B2564), B2544&amp;RIGHT(INDIRECT(ADDRESS(ROW(B2545)-1, 'From Order'!$A2545)), 1), B2544))"),"QGWWLHBS")</f>
        <v>QGWWLHBS</v>
      </c>
      <c r="C2545" s="2" t="str">
        <f>IFERROR(__xludf.DUMMYFUNCTION("IF('From Order'!$A2545=COLUMNS($A2545:C2564), LEFT(INDEX(FILTER(C$1:C2544, C$1:C2544&lt;&gt;""""),COUNTA(FILTER(C$1:C2544, C$1:C2544&lt;&gt;""""))), LEN(INDEX(FILTER(C$1:C2544, C$1:C2544&lt;&gt;""""),COUNTA(FILTER(C$1:C2544, C$1:C2544&lt;&gt;""""))))-1), IF('To Order'!$A2545=COL"&amp;"UMNS($A2545:C2564), C2544&amp;RIGHT(INDIRECT(ADDRESS(ROW(C2545)-1, 'From Order'!$A2545)), 1), C2544))"),"")</f>
        <v/>
      </c>
      <c r="D2545" s="2" t="str">
        <f>IFERROR(__xludf.DUMMYFUNCTION("IF('From Order'!$A2545=COLUMNS($A2545:D2564), LEFT(INDEX(FILTER(D$1:D2544, D$1:D2544&lt;&gt;""""),COUNTA(FILTER(D$1:D2544, D$1:D2544&lt;&gt;""""))), LEN(INDEX(FILTER(D$1:D2544, D$1:D2544&lt;&gt;""""),COUNTA(FILTER(D$1:D2544, D$1:D2544&lt;&gt;""""))))-1), IF('To Order'!$A2545=COL"&amp;"UMNS($A2545:D2564), D2544&amp;RIGHT(INDIRECT(ADDRESS(ROW(D2545)-1, 'From Order'!$A2545)), 1), D2544))"),"C")</f>
        <v>C</v>
      </c>
      <c r="E2545" s="2" t="str">
        <f>IFERROR(__xludf.DUMMYFUNCTION("IF('From Order'!$A2545=COLUMNS($A2545:E2564), LEFT(INDEX(FILTER(E$1:E2544, E$1:E2544&lt;&gt;""""),COUNTA(FILTER(E$1:E2544, E$1:E2544&lt;&gt;""""))), LEN(INDEX(FILTER(E$1:E2544, E$1:E2544&lt;&gt;""""),COUNTA(FILTER(E$1:E2544, E$1:E2544&lt;&gt;""""))))-1), IF('To Order'!$A2545=COL"&amp;"UMNS($A2545:E2564), E2544&amp;RIGHT(INDIRECT(ADDRESS(ROW(E2545)-1, 'From Order'!$A2545)), 1), E2544))"),"BRP")</f>
        <v>BRP</v>
      </c>
      <c r="F2545" s="2" t="str">
        <f>IFERROR(__xludf.DUMMYFUNCTION("IF('From Order'!$A2545=COLUMNS($A2545:F2564), LEFT(INDEX(FILTER(F$1:F2544, F$1:F2544&lt;&gt;""""),COUNTA(FILTER(F$1:F2544, F$1:F2544&lt;&gt;""""))), LEN(INDEX(FILTER(F$1:F2544, F$1:F2544&lt;&gt;""""),COUNTA(FILTER(F$1:F2544, F$1:F2544&lt;&gt;""""))))-1), IF('To Order'!$A2545=COL"&amp;"UMNS($A2545:F2564), F2544&amp;RIGHT(INDIRECT(ADDRESS(ROW(F2545)-1, 'From Order'!$A2545)), 1), F2544))"),"RSPMGT")</f>
        <v>RSPMGT</v>
      </c>
      <c r="G2545" s="2" t="str">
        <f>IFERROR(__xludf.DUMMYFUNCTION("IF('From Order'!$A2545=COLUMNS($A2545:G2564), LEFT(INDEX(FILTER(G$1:G2544, G$1:G2544&lt;&gt;""""),COUNTA(FILTER(G$1:G2544, G$1:G2544&lt;&gt;""""))), LEN(INDEX(FILTER(G$1:G2544, G$1:G2544&lt;&gt;""""),COUNTA(FILTER(G$1:G2544, G$1:G2544&lt;&gt;""""))))-1), IF('To Order'!$A2545=COL"&amp;"UMNS($A2545:G2564), G2544&amp;RIGHT(INDIRECT(ADDRESS(ROW(G2545)-1, 'From Order'!$A2545)), 1), G2544))"),"")</f>
        <v/>
      </c>
      <c r="H2545" s="2" t="str">
        <f>IFERROR(__xludf.DUMMYFUNCTION("IF('From Order'!$A2545=COLUMNS($A2545:H2564), LEFT(INDEX(FILTER(H$1:H2544, H$1:H2544&lt;&gt;""""),COUNTA(FILTER(H$1:H2544, H$1:H2544&lt;&gt;""""))), LEN(INDEX(FILTER(H$1:H2544, H$1:H2544&lt;&gt;""""),COUNTA(FILTER(H$1:H2544, H$1:H2544&lt;&gt;""""))))-1), IF('To Order'!$A2545=COL"&amp;"UMNS($A2545:H2564), H2544&amp;RIGHT(INDIRECT(ADDRESS(ROW(H2545)-1, 'From Order'!$A2545)), 1), H2544))"),"TJT")</f>
        <v>TJT</v>
      </c>
      <c r="I2545" s="2" t="str">
        <f>IFERROR(__xludf.DUMMYFUNCTION("IF('From Order'!$A2545=COLUMNS($A2545:I2564), LEFT(INDEX(FILTER(I$1:I2544, I$1:I2544&lt;&gt;""""),COUNTA(FILTER(I$1:I2544, I$1:I2544&lt;&gt;""""))), LEN(INDEX(FILTER(I$1:I2544, I$1:I2544&lt;&gt;""""),COUNTA(FILTER(I$1:I2544, I$1:I2544&lt;&gt;""""))))-1), IF('To Order'!$A2545=COL"&amp;"UMNS($A2545:I2564), I2544&amp;RIGHT(INDIRECT(ADDRESS(ROW(I2545)-1, 'From Order'!$A2545)), 1), I2544))"),"QVVDDSPLRRJTTCJFZDMTMZHZS")</f>
        <v>QVVDDSPLRRJTTCJFZDMTMZHZS</v>
      </c>
    </row>
    <row r="2546">
      <c r="A2546" s="2" t="str">
        <f>IFERROR(__xludf.DUMMYFUNCTION("IF('From Order'!$A2546=COLUMNS($A2546:A2565), LEFT(INDEX(FILTER(A$1:A2545, A$1:A2545&lt;&gt;""""),COUNTA(FILTER(A$1:A2545, A$1:A2545&lt;&gt;""""))), LEN(INDEX(FILTER(A$1:A2545, A$1:A2545&lt;&gt;""""),COUNTA(FILTER(A$1:A2545, A$1:A2545&lt;&gt;""""))))-1), IF('To Order'!$A2546=COL"&amp;"UMNS($A2546:A2565), A2545&amp;RIGHT(INDIRECT(ADDRESS(ROW(A2546)-1, 'From Order'!$A2546)), 1), A2545))"),"DRBVDBFLD")</f>
        <v>DRBVDBFLD</v>
      </c>
      <c r="B2546" s="2" t="str">
        <f>IFERROR(__xludf.DUMMYFUNCTION("IF('From Order'!$A2546=COLUMNS($A2546:B2565), LEFT(INDEX(FILTER(B$1:B2545, B$1:B2545&lt;&gt;""""),COUNTA(FILTER(B$1:B2545, B$1:B2545&lt;&gt;""""))), LEN(INDEX(FILTER(B$1:B2545, B$1:B2545&lt;&gt;""""),COUNTA(FILTER(B$1:B2545, B$1:B2545&lt;&gt;""""))))-1), IF('To Order'!$A2546=COL"&amp;"UMNS($A2546:B2565), B2545&amp;RIGHT(INDIRECT(ADDRESS(ROW(B2546)-1, 'From Order'!$A2546)), 1), B2545))"),"QGWWLHBS")</f>
        <v>QGWWLHBS</v>
      </c>
      <c r="C2546" s="2" t="str">
        <f>IFERROR(__xludf.DUMMYFUNCTION("IF('From Order'!$A2546=COLUMNS($A2546:C2565), LEFT(INDEX(FILTER(C$1:C2545, C$1:C2545&lt;&gt;""""),COUNTA(FILTER(C$1:C2545, C$1:C2545&lt;&gt;""""))), LEN(INDEX(FILTER(C$1:C2545, C$1:C2545&lt;&gt;""""),COUNTA(FILTER(C$1:C2545, C$1:C2545&lt;&gt;""""))))-1), IF('To Order'!$A2546=COL"&amp;"UMNS($A2546:C2565), C2545&amp;RIGHT(INDIRECT(ADDRESS(ROW(C2546)-1, 'From Order'!$A2546)), 1), C2545))"),"C")</f>
        <v>C</v>
      </c>
      <c r="D2546" s="2" t="str">
        <f>IFERROR(__xludf.DUMMYFUNCTION("IF('From Order'!$A2546=COLUMNS($A2546:D2565), LEFT(INDEX(FILTER(D$1:D2545, D$1:D2545&lt;&gt;""""),COUNTA(FILTER(D$1:D2545, D$1:D2545&lt;&gt;""""))), LEN(INDEX(FILTER(D$1:D2545, D$1:D2545&lt;&gt;""""),COUNTA(FILTER(D$1:D2545, D$1:D2545&lt;&gt;""""))))-1), IF('To Order'!$A2546=COL"&amp;"UMNS($A2546:D2565), D2545&amp;RIGHT(INDIRECT(ADDRESS(ROW(D2546)-1, 'From Order'!$A2546)), 1), D2545))"),"C")</f>
        <v>C</v>
      </c>
      <c r="E2546" s="2" t="str">
        <f>IFERROR(__xludf.DUMMYFUNCTION("IF('From Order'!$A2546=COLUMNS($A2546:E2565), LEFT(INDEX(FILTER(E$1:E2545, E$1:E2545&lt;&gt;""""),COUNTA(FILTER(E$1:E2545, E$1:E2545&lt;&gt;""""))), LEN(INDEX(FILTER(E$1:E2545, E$1:E2545&lt;&gt;""""),COUNTA(FILTER(E$1:E2545, E$1:E2545&lt;&gt;""""))))-1), IF('To Order'!$A2546=COL"&amp;"UMNS($A2546:E2565), E2545&amp;RIGHT(INDIRECT(ADDRESS(ROW(E2546)-1, 'From Order'!$A2546)), 1), E2545))"),"BRP")</f>
        <v>BRP</v>
      </c>
      <c r="F2546" s="2" t="str">
        <f>IFERROR(__xludf.DUMMYFUNCTION("IF('From Order'!$A2546=COLUMNS($A2546:F2565), LEFT(INDEX(FILTER(F$1:F2545, F$1:F2545&lt;&gt;""""),COUNTA(FILTER(F$1:F2545, F$1:F2545&lt;&gt;""""))), LEN(INDEX(FILTER(F$1:F2545, F$1:F2545&lt;&gt;""""),COUNTA(FILTER(F$1:F2545, F$1:F2545&lt;&gt;""""))))-1), IF('To Order'!$A2546=COL"&amp;"UMNS($A2546:F2565), F2545&amp;RIGHT(INDIRECT(ADDRESS(ROW(F2546)-1, 'From Order'!$A2546)), 1), F2545))"),"RSPMGT")</f>
        <v>RSPMGT</v>
      </c>
      <c r="G2546" s="2" t="str">
        <f>IFERROR(__xludf.DUMMYFUNCTION("IF('From Order'!$A2546=COLUMNS($A2546:G2565), LEFT(INDEX(FILTER(G$1:G2545, G$1:G2545&lt;&gt;""""),COUNTA(FILTER(G$1:G2545, G$1:G2545&lt;&gt;""""))), LEN(INDEX(FILTER(G$1:G2545, G$1:G2545&lt;&gt;""""),COUNTA(FILTER(G$1:G2545, G$1:G2545&lt;&gt;""""))))-1), IF('To Order'!$A2546=COL"&amp;"UMNS($A2546:G2565), G2545&amp;RIGHT(INDIRECT(ADDRESS(ROW(G2546)-1, 'From Order'!$A2546)), 1), G2545))"),"")</f>
        <v/>
      </c>
      <c r="H2546" s="2" t="str">
        <f>IFERROR(__xludf.DUMMYFUNCTION("IF('From Order'!$A2546=COLUMNS($A2546:H2565), LEFT(INDEX(FILTER(H$1:H2545, H$1:H2545&lt;&gt;""""),COUNTA(FILTER(H$1:H2545, H$1:H2545&lt;&gt;""""))), LEN(INDEX(FILTER(H$1:H2545, H$1:H2545&lt;&gt;""""),COUNTA(FILTER(H$1:H2545, H$1:H2545&lt;&gt;""""))))-1), IF('To Order'!$A2546=COL"&amp;"UMNS($A2546:H2565), H2545&amp;RIGHT(INDIRECT(ADDRESS(ROW(H2546)-1, 'From Order'!$A2546)), 1), H2545))"),"TJT")</f>
        <v>TJT</v>
      </c>
      <c r="I2546" s="2" t="str">
        <f>IFERROR(__xludf.DUMMYFUNCTION("IF('From Order'!$A2546=COLUMNS($A2546:I2565), LEFT(INDEX(FILTER(I$1:I2545, I$1:I2545&lt;&gt;""""),COUNTA(FILTER(I$1:I2545, I$1:I2545&lt;&gt;""""))), LEN(INDEX(FILTER(I$1:I2545, I$1:I2545&lt;&gt;""""),COUNTA(FILTER(I$1:I2545, I$1:I2545&lt;&gt;""""))))-1), IF('To Order'!$A2546=COL"&amp;"UMNS($A2546:I2565), I2545&amp;RIGHT(INDIRECT(ADDRESS(ROW(I2546)-1, 'From Order'!$A2546)), 1), I2545))"),"QVVDDSPLRRJTTCJFZDMTMZHZS")</f>
        <v>QVVDDSPLRRJTTCJFZDMTMZHZS</v>
      </c>
    </row>
    <row r="2547">
      <c r="A2547" s="2" t="str">
        <f>IFERROR(__xludf.DUMMYFUNCTION("IF('From Order'!$A2547=COLUMNS($A2547:A2566), LEFT(INDEX(FILTER(A$1:A2546, A$1:A2546&lt;&gt;""""),COUNTA(FILTER(A$1:A2546, A$1:A2546&lt;&gt;""""))), LEN(INDEX(FILTER(A$1:A2546, A$1:A2546&lt;&gt;""""),COUNTA(FILTER(A$1:A2546, A$1:A2546&lt;&gt;""""))))-1), IF('To Order'!$A2547=COL"&amp;"UMNS($A2547:A2566), A2546&amp;RIGHT(INDIRECT(ADDRESS(ROW(A2547)-1, 'From Order'!$A2547)), 1), A2546))"),"DRBVDBFL")</f>
        <v>DRBVDBFL</v>
      </c>
      <c r="B2547" s="2" t="str">
        <f>IFERROR(__xludf.DUMMYFUNCTION("IF('From Order'!$A2547=COLUMNS($A2547:B2566), LEFT(INDEX(FILTER(B$1:B2546, B$1:B2546&lt;&gt;""""),COUNTA(FILTER(B$1:B2546, B$1:B2546&lt;&gt;""""))), LEN(INDEX(FILTER(B$1:B2546, B$1:B2546&lt;&gt;""""),COUNTA(FILTER(B$1:B2546, B$1:B2546&lt;&gt;""""))))-1), IF('To Order'!$A2547=COL"&amp;"UMNS($A2547:B2566), B2546&amp;RIGHT(INDIRECT(ADDRESS(ROW(B2547)-1, 'From Order'!$A2547)), 1), B2546))"),"QGWWLHBS")</f>
        <v>QGWWLHBS</v>
      </c>
      <c r="C2547" s="2" t="str">
        <f>IFERROR(__xludf.DUMMYFUNCTION("IF('From Order'!$A2547=COLUMNS($A2547:C2566), LEFT(INDEX(FILTER(C$1:C2546, C$1:C2546&lt;&gt;""""),COUNTA(FILTER(C$1:C2546, C$1:C2546&lt;&gt;""""))), LEN(INDEX(FILTER(C$1:C2546, C$1:C2546&lt;&gt;""""),COUNTA(FILTER(C$1:C2546, C$1:C2546&lt;&gt;""""))))-1), IF('To Order'!$A2547=COL"&amp;"UMNS($A2547:C2566), C2546&amp;RIGHT(INDIRECT(ADDRESS(ROW(C2547)-1, 'From Order'!$A2547)), 1), C2546))"),"CD")</f>
        <v>CD</v>
      </c>
      <c r="D2547" s="2" t="str">
        <f>IFERROR(__xludf.DUMMYFUNCTION("IF('From Order'!$A2547=COLUMNS($A2547:D2566), LEFT(INDEX(FILTER(D$1:D2546, D$1:D2546&lt;&gt;""""),COUNTA(FILTER(D$1:D2546, D$1:D2546&lt;&gt;""""))), LEN(INDEX(FILTER(D$1:D2546, D$1:D2546&lt;&gt;""""),COUNTA(FILTER(D$1:D2546, D$1:D2546&lt;&gt;""""))))-1), IF('To Order'!$A2547=COL"&amp;"UMNS($A2547:D2566), D2546&amp;RIGHT(INDIRECT(ADDRESS(ROW(D2547)-1, 'From Order'!$A2547)), 1), D2546))"),"C")</f>
        <v>C</v>
      </c>
      <c r="E2547" s="2" t="str">
        <f>IFERROR(__xludf.DUMMYFUNCTION("IF('From Order'!$A2547=COLUMNS($A2547:E2566), LEFT(INDEX(FILTER(E$1:E2546, E$1:E2546&lt;&gt;""""),COUNTA(FILTER(E$1:E2546, E$1:E2546&lt;&gt;""""))), LEN(INDEX(FILTER(E$1:E2546, E$1:E2546&lt;&gt;""""),COUNTA(FILTER(E$1:E2546, E$1:E2546&lt;&gt;""""))))-1), IF('To Order'!$A2547=COL"&amp;"UMNS($A2547:E2566), E2546&amp;RIGHT(INDIRECT(ADDRESS(ROW(E2547)-1, 'From Order'!$A2547)), 1), E2546))"),"BRP")</f>
        <v>BRP</v>
      </c>
      <c r="F2547" s="2" t="str">
        <f>IFERROR(__xludf.DUMMYFUNCTION("IF('From Order'!$A2547=COLUMNS($A2547:F2566), LEFT(INDEX(FILTER(F$1:F2546, F$1:F2546&lt;&gt;""""),COUNTA(FILTER(F$1:F2546, F$1:F2546&lt;&gt;""""))), LEN(INDEX(FILTER(F$1:F2546, F$1:F2546&lt;&gt;""""),COUNTA(FILTER(F$1:F2546, F$1:F2546&lt;&gt;""""))))-1), IF('To Order'!$A2547=COL"&amp;"UMNS($A2547:F2566), F2546&amp;RIGHT(INDIRECT(ADDRESS(ROW(F2547)-1, 'From Order'!$A2547)), 1), F2546))"),"RSPMGT")</f>
        <v>RSPMGT</v>
      </c>
      <c r="G2547" s="2" t="str">
        <f>IFERROR(__xludf.DUMMYFUNCTION("IF('From Order'!$A2547=COLUMNS($A2547:G2566), LEFT(INDEX(FILTER(G$1:G2546, G$1:G2546&lt;&gt;""""),COUNTA(FILTER(G$1:G2546, G$1:G2546&lt;&gt;""""))), LEN(INDEX(FILTER(G$1:G2546, G$1:G2546&lt;&gt;""""),COUNTA(FILTER(G$1:G2546, G$1:G2546&lt;&gt;""""))))-1), IF('To Order'!$A2547=COL"&amp;"UMNS($A2547:G2566), G2546&amp;RIGHT(INDIRECT(ADDRESS(ROW(G2547)-1, 'From Order'!$A2547)), 1), G2546))"),"")</f>
        <v/>
      </c>
      <c r="H2547" s="2" t="str">
        <f>IFERROR(__xludf.DUMMYFUNCTION("IF('From Order'!$A2547=COLUMNS($A2547:H2566), LEFT(INDEX(FILTER(H$1:H2546, H$1:H2546&lt;&gt;""""),COUNTA(FILTER(H$1:H2546, H$1:H2546&lt;&gt;""""))), LEN(INDEX(FILTER(H$1:H2546, H$1:H2546&lt;&gt;""""),COUNTA(FILTER(H$1:H2546, H$1:H2546&lt;&gt;""""))))-1), IF('To Order'!$A2547=COL"&amp;"UMNS($A2547:H2566), H2546&amp;RIGHT(INDIRECT(ADDRESS(ROW(H2547)-1, 'From Order'!$A2547)), 1), H2546))"),"TJT")</f>
        <v>TJT</v>
      </c>
      <c r="I2547" s="2" t="str">
        <f>IFERROR(__xludf.DUMMYFUNCTION("IF('From Order'!$A2547=COLUMNS($A2547:I2566), LEFT(INDEX(FILTER(I$1:I2546, I$1:I2546&lt;&gt;""""),COUNTA(FILTER(I$1:I2546, I$1:I2546&lt;&gt;""""))), LEN(INDEX(FILTER(I$1:I2546, I$1:I2546&lt;&gt;""""),COUNTA(FILTER(I$1:I2546, I$1:I2546&lt;&gt;""""))))-1), IF('To Order'!$A2547=COL"&amp;"UMNS($A2547:I2566), I2546&amp;RIGHT(INDIRECT(ADDRESS(ROW(I2547)-1, 'From Order'!$A2547)), 1), I2546))"),"QVVDDSPLRRJTTCJFZDMTMZHZS")</f>
        <v>QVVDDSPLRRJTTCJFZDMTMZHZS</v>
      </c>
    </row>
    <row r="2548">
      <c r="A2548" s="2" t="str">
        <f>IFERROR(__xludf.DUMMYFUNCTION("IF('From Order'!$A2548=COLUMNS($A2548:A2567), LEFT(INDEX(FILTER(A$1:A2547, A$1:A2547&lt;&gt;""""),COUNTA(FILTER(A$1:A2547, A$1:A2547&lt;&gt;""""))), LEN(INDEX(FILTER(A$1:A2547, A$1:A2547&lt;&gt;""""),COUNTA(FILTER(A$1:A2547, A$1:A2547&lt;&gt;""""))))-1), IF('To Order'!$A2548=COL"&amp;"UMNS($A2548:A2567), A2547&amp;RIGHT(INDIRECT(ADDRESS(ROW(A2548)-1, 'From Order'!$A2548)), 1), A2547))"),"DRBVDBF")</f>
        <v>DRBVDBF</v>
      </c>
      <c r="B2548" s="2" t="str">
        <f>IFERROR(__xludf.DUMMYFUNCTION("IF('From Order'!$A2548=COLUMNS($A2548:B2567), LEFT(INDEX(FILTER(B$1:B2547, B$1:B2547&lt;&gt;""""),COUNTA(FILTER(B$1:B2547, B$1:B2547&lt;&gt;""""))), LEN(INDEX(FILTER(B$1:B2547, B$1:B2547&lt;&gt;""""),COUNTA(FILTER(B$1:B2547, B$1:B2547&lt;&gt;""""))))-1), IF('To Order'!$A2548=COL"&amp;"UMNS($A2548:B2567), B2547&amp;RIGHT(INDIRECT(ADDRESS(ROW(B2548)-1, 'From Order'!$A2548)), 1), B2547))"),"QGWWLHBS")</f>
        <v>QGWWLHBS</v>
      </c>
      <c r="C2548" s="2" t="str">
        <f>IFERROR(__xludf.DUMMYFUNCTION("IF('From Order'!$A2548=COLUMNS($A2548:C2567), LEFT(INDEX(FILTER(C$1:C2547, C$1:C2547&lt;&gt;""""),COUNTA(FILTER(C$1:C2547, C$1:C2547&lt;&gt;""""))), LEN(INDEX(FILTER(C$1:C2547, C$1:C2547&lt;&gt;""""),COUNTA(FILTER(C$1:C2547, C$1:C2547&lt;&gt;""""))))-1), IF('To Order'!$A2548=COL"&amp;"UMNS($A2548:C2567), C2547&amp;RIGHT(INDIRECT(ADDRESS(ROW(C2548)-1, 'From Order'!$A2548)), 1), C2547))"),"CDL")</f>
        <v>CDL</v>
      </c>
      <c r="D2548" s="2" t="str">
        <f>IFERROR(__xludf.DUMMYFUNCTION("IF('From Order'!$A2548=COLUMNS($A2548:D2567), LEFT(INDEX(FILTER(D$1:D2547, D$1:D2547&lt;&gt;""""),COUNTA(FILTER(D$1:D2547, D$1:D2547&lt;&gt;""""))), LEN(INDEX(FILTER(D$1:D2547, D$1:D2547&lt;&gt;""""),COUNTA(FILTER(D$1:D2547, D$1:D2547&lt;&gt;""""))))-1), IF('To Order'!$A2548=COL"&amp;"UMNS($A2548:D2567), D2547&amp;RIGHT(INDIRECT(ADDRESS(ROW(D2548)-1, 'From Order'!$A2548)), 1), D2547))"),"C")</f>
        <v>C</v>
      </c>
      <c r="E2548" s="2" t="str">
        <f>IFERROR(__xludf.DUMMYFUNCTION("IF('From Order'!$A2548=COLUMNS($A2548:E2567), LEFT(INDEX(FILTER(E$1:E2547, E$1:E2547&lt;&gt;""""),COUNTA(FILTER(E$1:E2547, E$1:E2547&lt;&gt;""""))), LEN(INDEX(FILTER(E$1:E2547, E$1:E2547&lt;&gt;""""),COUNTA(FILTER(E$1:E2547, E$1:E2547&lt;&gt;""""))))-1), IF('To Order'!$A2548=COL"&amp;"UMNS($A2548:E2567), E2547&amp;RIGHT(INDIRECT(ADDRESS(ROW(E2548)-1, 'From Order'!$A2548)), 1), E2547))"),"BRP")</f>
        <v>BRP</v>
      </c>
      <c r="F2548" s="2" t="str">
        <f>IFERROR(__xludf.DUMMYFUNCTION("IF('From Order'!$A2548=COLUMNS($A2548:F2567), LEFT(INDEX(FILTER(F$1:F2547, F$1:F2547&lt;&gt;""""),COUNTA(FILTER(F$1:F2547, F$1:F2547&lt;&gt;""""))), LEN(INDEX(FILTER(F$1:F2547, F$1:F2547&lt;&gt;""""),COUNTA(FILTER(F$1:F2547, F$1:F2547&lt;&gt;""""))))-1), IF('To Order'!$A2548=COL"&amp;"UMNS($A2548:F2567), F2547&amp;RIGHT(INDIRECT(ADDRESS(ROW(F2548)-1, 'From Order'!$A2548)), 1), F2547))"),"RSPMGT")</f>
        <v>RSPMGT</v>
      </c>
      <c r="G2548" s="2" t="str">
        <f>IFERROR(__xludf.DUMMYFUNCTION("IF('From Order'!$A2548=COLUMNS($A2548:G2567), LEFT(INDEX(FILTER(G$1:G2547, G$1:G2547&lt;&gt;""""),COUNTA(FILTER(G$1:G2547, G$1:G2547&lt;&gt;""""))), LEN(INDEX(FILTER(G$1:G2547, G$1:G2547&lt;&gt;""""),COUNTA(FILTER(G$1:G2547, G$1:G2547&lt;&gt;""""))))-1), IF('To Order'!$A2548=COL"&amp;"UMNS($A2548:G2567), G2547&amp;RIGHT(INDIRECT(ADDRESS(ROW(G2548)-1, 'From Order'!$A2548)), 1), G2547))"),"")</f>
        <v/>
      </c>
      <c r="H2548" s="2" t="str">
        <f>IFERROR(__xludf.DUMMYFUNCTION("IF('From Order'!$A2548=COLUMNS($A2548:H2567), LEFT(INDEX(FILTER(H$1:H2547, H$1:H2547&lt;&gt;""""),COUNTA(FILTER(H$1:H2547, H$1:H2547&lt;&gt;""""))), LEN(INDEX(FILTER(H$1:H2547, H$1:H2547&lt;&gt;""""),COUNTA(FILTER(H$1:H2547, H$1:H2547&lt;&gt;""""))))-1), IF('To Order'!$A2548=COL"&amp;"UMNS($A2548:H2567), H2547&amp;RIGHT(INDIRECT(ADDRESS(ROW(H2548)-1, 'From Order'!$A2548)), 1), H2547))"),"TJT")</f>
        <v>TJT</v>
      </c>
      <c r="I2548" s="2" t="str">
        <f>IFERROR(__xludf.DUMMYFUNCTION("IF('From Order'!$A2548=COLUMNS($A2548:I2567), LEFT(INDEX(FILTER(I$1:I2547, I$1:I2547&lt;&gt;""""),COUNTA(FILTER(I$1:I2547, I$1:I2547&lt;&gt;""""))), LEN(INDEX(FILTER(I$1:I2547, I$1:I2547&lt;&gt;""""),COUNTA(FILTER(I$1:I2547, I$1:I2547&lt;&gt;""""))))-1), IF('To Order'!$A2548=COL"&amp;"UMNS($A2548:I2567), I2547&amp;RIGHT(INDIRECT(ADDRESS(ROW(I2548)-1, 'From Order'!$A2548)), 1), I2547))"),"QVVDDSPLRRJTTCJFZDMTMZHZS")</f>
        <v>QVVDDSPLRRJTTCJFZDMTMZHZS</v>
      </c>
    </row>
    <row r="2549">
      <c r="A2549" s="2" t="str">
        <f>IFERROR(__xludf.DUMMYFUNCTION("IF('From Order'!$A2549=COLUMNS($A2549:A2568), LEFT(INDEX(FILTER(A$1:A2548, A$1:A2548&lt;&gt;""""),COUNTA(FILTER(A$1:A2548, A$1:A2548&lt;&gt;""""))), LEN(INDEX(FILTER(A$1:A2548, A$1:A2548&lt;&gt;""""),COUNTA(FILTER(A$1:A2548, A$1:A2548&lt;&gt;""""))))-1), IF('To Order'!$A2549=COL"&amp;"UMNS($A2549:A2568), A2548&amp;RIGHT(INDIRECT(ADDRESS(ROW(A2549)-1, 'From Order'!$A2549)), 1), A2548))"),"DRBVDB")</f>
        <v>DRBVDB</v>
      </c>
      <c r="B2549" s="2" t="str">
        <f>IFERROR(__xludf.DUMMYFUNCTION("IF('From Order'!$A2549=COLUMNS($A2549:B2568), LEFT(INDEX(FILTER(B$1:B2548, B$1:B2548&lt;&gt;""""),COUNTA(FILTER(B$1:B2548, B$1:B2548&lt;&gt;""""))), LEN(INDEX(FILTER(B$1:B2548, B$1:B2548&lt;&gt;""""),COUNTA(FILTER(B$1:B2548, B$1:B2548&lt;&gt;""""))))-1), IF('To Order'!$A2549=COL"&amp;"UMNS($A2549:B2568), B2548&amp;RIGHT(INDIRECT(ADDRESS(ROW(B2549)-1, 'From Order'!$A2549)), 1), B2548))"),"QGWWLHBS")</f>
        <v>QGWWLHBS</v>
      </c>
      <c r="C2549" s="2" t="str">
        <f>IFERROR(__xludf.DUMMYFUNCTION("IF('From Order'!$A2549=COLUMNS($A2549:C2568), LEFT(INDEX(FILTER(C$1:C2548, C$1:C2548&lt;&gt;""""),COUNTA(FILTER(C$1:C2548, C$1:C2548&lt;&gt;""""))), LEN(INDEX(FILTER(C$1:C2548, C$1:C2548&lt;&gt;""""),COUNTA(FILTER(C$1:C2548, C$1:C2548&lt;&gt;""""))))-1), IF('To Order'!$A2549=COL"&amp;"UMNS($A2549:C2568), C2548&amp;RIGHT(INDIRECT(ADDRESS(ROW(C2549)-1, 'From Order'!$A2549)), 1), C2548))"),"CDLF")</f>
        <v>CDLF</v>
      </c>
      <c r="D2549" s="2" t="str">
        <f>IFERROR(__xludf.DUMMYFUNCTION("IF('From Order'!$A2549=COLUMNS($A2549:D2568), LEFT(INDEX(FILTER(D$1:D2548, D$1:D2548&lt;&gt;""""),COUNTA(FILTER(D$1:D2548, D$1:D2548&lt;&gt;""""))), LEN(INDEX(FILTER(D$1:D2548, D$1:D2548&lt;&gt;""""),COUNTA(FILTER(D$1:D2548, D$1:D2548&lt;&gt;""""))))-1), IF('To Order'!$A2549=COL"&amp;"UMNS($A2549:D2568), D2548&amp;RIGHT(INDIRECT(ADDRESS(ROW(D2549)-1, 'From Order'!$A2549)), 1), D2548))"),"C")</f>
        <v>C</v>
      </c>
      <c r="E2549" s="2" t="str">
        <f>IFERROR(__xludf.DUMMYFUNCTION("IF('From Order'!$A2549=COLUMNS($A2549:E2568), LEFT(INDEX(FILTER(E$1:E2548, E$1:E2548&lt;&gt;""""),COUNTA(FILTER(E$1:E2548, E$1:E2548&lt;&gt;""""))), LEN(INDEX(FILTER(E$1:E2548, E$1:E2548&lt;&gt;""""),COUNTA(FILTER(E$1:E2548, E$1:E2548&lt;&gt;""""))))-1), IF('To Order'!$A2549=COL"&amp;"UMNS($A2549:E2568), E2548&amp;RIGHT(INDIRECT(ADDRESS(ROW(E2549)-1, 'From Order'!$A2549)), 1), E2548))"),"BRP")</f>
        <v>BRP</v>
      </c>
      <c r="F2549" s="2" t="str">
        <f>IFERROR(__xludf.DUMMYFUNCTION("IF('From Order'!$A2549=COLUMNS($A2549:F2568), LEFT(INDEX(FILTER(F$1:F2548, F$1:F2548&lt;&gt;""""),COUNTA(FILTER(F$1:F2548, F$1:F2548&lt;&gt;""""))), LEN(INDEX(FILTER(F$1:F2548, F$1:F2548&lt;&gt;""""),COUNTA(FILTER(F$1:F2548, F$1:F2548&lt;&gt;""""))))-1), IF('To Order'!$A2549=COL"&amp;"UMNS($A2549:F2568), F2548&amp;RIGHT(INDIRECT(ADDRESS(ROW(F2549)-1, 'From Order'!$A2549)), 1), F2548))"),"RSPMGT")</f>
        <v>RSPMGT</v>
      </c>
      <c r="G2549" s="2" t="str">
        <f>IFERROR(__xludf.DUMMYFUNCTION("IF('From Order'!$A2549=COLUMNS($A2549:G2568), LEFT(INDEX(FILTER(G$1:G2548, G$1:G2548&lt;&gt;""""),COUNTA(FILTER(G$1:G2548, G$1:G2548&lt;&gt;""""))), LEN(INDEX(FILTER(G$1:G2548, G$1:G2548&lt;&gt;""""),COUNTA(FILTER(G$1:G2548, G$1:G2548&lt;&gt;""""))))-1), IF('To Order'!$A2549=COL"&amp;"UMNS($A2549:G2568), G2548&amp;RIGHT(INDIRECT(ADDRESS(ROW(G2549)-1, 'From Order'!$A2549)), 1), G2548))"),"")</f>
        <v/>
      </c>
      <c r="H2549" s="2" t="str">
        <f>IFERROR(__xludf.DUMMYFUNCTION("IF('From Order'!$A2549=COLUMNS($A2549:H2568), LEFT(INDEX(FILTER(H$1:H2548, H$1:H2548&lt;&gt;""""),COUNTA(FILTER(H$1:H2548, H$1:H2548&lt;&gt;""""))), LEN(INDEX(FILTER(H$1:H2548, H$1:H2548&lt;&gt;""""),COUNTA(FILTER(H$1:H2548, H$1:H2548&lt;&gt;""""))))-1), IF('To Order'!$A2549=COL"&amp;"UMNS($A2549:H2568), H2548&amp;RIGHT(INDIRECT(ADDRESS(ROW(H2549)-1, 'From Order'!$A2549)), 1), H2548))"),"TJT")</f>
        <v>TJT</v>
      </c>
      <c r="I2549" s="2" t="str">
        <f>IFERROR(__xludf.DUMMYFUNCTION("IF('From Order'!$A2549=COLUMNS($A2549:I2568), LEFT(INDEX(FILTER(I$1:I2548, I$1:I2548&lt;&gt;""""),COUNTA(FILTER(I$1:I2548, I$1:I2548&lt;&gt;""""))), LEN(INDEX(FILTER(I$1:I2548, I$1:I2548&lt;&gt;""""),COUNTA(FILTER(I$1:I2548, I$1:I2548&lt;&gt;""""))))-1), IF('To Order'!$A2549=COL"&amp;"UMNS($A2549:I2568), I2548&amp;RIGHT(INDIRECT(ADDRESS(ROW(I2549)-1, 'From Order'!$A2549)), 1), I2548))"),"QVVDDSPLRRJTTCJFZDMTMZHZS")</f>
        <v>QVVDDSPLRRJTTCJFZDMTMZHZS</v>
      </c>
    </row>
    <row r="2550">
      <c r="A2550" s="2" t="str">
        <f>IFERROR(__xludf.DUMMYFUNCTION("IF('From Order'!$A2550=COLUMNS($A2550:A2569), LEFT(INDEX(FILTER(A$1:A2549, A$1:A2549&lt;&gt;""""),COUNTA(FILTER(A$1:A2549, A$1:A2549&lt;&gt;""""))), LEN(INDEX(FILTER(A$1:A2549, A$1:A2549&lt;&gt;""""),COUNTA(FILTER(A$1:A2549, A$1:A2549&lt;&gt;""""))))-1), IF('To Order'!$A2550=COL"&amp;"UMNS($A2550:A2569), A2549&amp;RIGHT(INDIRECT(ADDRESS(ROW(A2550)-1, 'From Order'!$A2550)), 1), A2549))"),"DRBVD")</f>
        <v>DRBVD</v>
      </c>
      <c r="B2550" s="2" t="str">
        <f>IFERROR(__xludf.DUMMYFUNCTION("IF('From Order'!$A2550=COLUMNS($A2550:B2569), LEFT(INDEX(FILTER(B$1:B2549, B$1:B2549&lt;&gt;""""),COUNTA(FILTER(B$1:B2549, B$1:B2549&lt;&gt;""""))), LEN(INDEX(FILTER(B$1:B2549, B$1:B2549&lt;&gt;""""),COUNTA(FILTER(B$1:B2549, B$1:B2549&lt;&gt;""""))))-1), IF('To Order'!$A2550=COL"&amp;"UMNS($A2550:B2569), B2549&amp;RIGHT(INDIRECT(ADDRESS(ROW(B2550)-1, 'From Order'!$A2550)), 1), B2549))"),"QGWWLHBS")</f>
        <v>QGWWLHBS</v>
      </c>
      <c r="C2550" s="2" t="str">
        <f>IFERROR(__xludf.DUMMYFUNCTION("IF('From Order'!$A2550=COLUMNS($A2550:C2569), LEFT(INDEX(FILTER(C$1:C2549, C$1:C2549&lt;&gt;""""),COUNTA(FILTER(C$1:C2549, C$1:C2549&lt;&gt;""""))), LEN(INDEX(FILTER(C$1:C2549, C$1:C2549&lt;&gt;""""),COUNTA(FILTER(C$1:C2549, C$1:C2549&lt;&gt;""""))))-1), IF('To Order'!$A2550=COL"&amp;"UMNS($A2550:C2569), C2549&amp;RIGHT(INDIRECT(ADDRESS(ROW(C2550)-1, 'From Order'!$A2550)), 1), C2549))"),"CDLFB")</f>
        <v>CDLFB</v>
      </c>
      <c r="D2550" s="2" t="str">
        <f>IFERROR(__xludf.DUMMYFUNCTION("IF('From Order'!$A2550=COLUMNS($A2550:D2569), LEFT(INDEX(FILTER(D$1:D2549, D$1:D2549&lt;&gt;""""),COUNTA(FILTER(D$1:D2549, D$1:D2549&lt;&gt;""""))), LEN(INDEX(FILTER(D$1:D2549, D$1:D2549&lt;&gt;""""),COUNTA(FILTER(D$1:D2549, D$1:D2549&lt;&gt;""""))))-1), IF('To Order'!$A2550=COL"&amp;"UMNS($A2550:D2569), D2549&amp;RIGHT(INDIRECT(ADDRESS(ROW(D2550)-1, 'From Order'!$A2550)), 1), D2549))"),"C")</f>
        <v>C</v>
      </c>
      <c r="E2550" s="2" t="str">
        <f>IFERROR(__xludf.DUMMYFUNCTION("IF('From Order'!$A2550=COLUMNS($A2550:E2569), LEFT(INDEX(FILTER(E$1:E2549, E$1:E2549&lt;&gt;""""),COUNTA(FILTER(E$1:E2549, E$1:E2549&lt;&gt;""""))), LEN(INDEX(FILTER(E$1:E2549, E$1:E2549&lt;&gt;""""),COUNTA(FILTER(E$1:E2549, E$1:E2549&lt;&gt;""""))))-1), IF('To Order'!$A2550=COL"&amp;"UMNS($A2550:E2569), E2549&amp;RIGHT(INDIRECT(ADDRESS(ROW(E2550)-1, 'From Order'!$A2550)), 1), E2549))"),"BRP")</f>
        <v>BRP</v>
      </c>
      <c r="F2550" s="2" t="str">
        <f>IFERROR(__xludf.DUMMYFUNCTION("IF('From Order'!$A2550=COLUMNS($A2550:F2569), LEFT(INDEX(FILTER(F$1:F2549, F$1:F2549&lt;&gt;""""),COUNTA(FILTER(F$1:F2549, F$1:F2549&lt;&gt;""""))), LEN(INDEX(FILTER(F$1:F2549, F$1:F2549&lt;&gt;""""),COUNTA(FILTER(F$1:F2549, F$1:F2549&lt;&gt;""""))))-1), IF('To Order'!$A2550=COL"&amp;"UMNS($A2550:F2569), F2549&amp;RIGHT(INDIRECT(ADDRESS(ROW(F2550)-1, 'From Order'!$A2550)), 1), F2549))"),"RSPMGT")</f>
        <v>RSPMGT</v>
      </c>
      <c r="G2550" s="2" t="str">
        <f>IFERROR(__xludf.DUMMYFUNCTION("IF('From Order'!$A2550=COLUMNS($A2550:G2569), LEFT(INDEX(FILTER(G$1:G2549, G$1:G2549&lt;&gt;""""),COUNTA(FILTER(G$1:G2549, G$1:G2549&lt;&gt;""""))), LEN(INDEX(FILTER(G$1:G2549, G$1:G2549&lt;&gt;""""),COUNTA(FILTER(G$1:G2549, G$1:G2549&lt;&gt;""""))))-1), IF('To Order'!$A2550=COL"&amp;"UMNS($A2550:G2569), G2549&amp;RIGHT(INDIRECT(ADDRESS(ROW(G2550)-1, 'From Order'!$A2550)), 1), G2549))"),"")</f>
        <v/>
      </c>
      <c r="H2550" s="2" t="str">
        <f>IFERROR(__xludf.DUMMYFUNCTION("IF('From Order'!$A2550=COLUMNS($A2550:H2569), LEFT(INDEX(FILTER(H$1:H2549, H$1:H2549&lt;&gt;""""),COUNTA(FILTER(H$1:H2549, H$1:H2549&lt;&gt;""""))), LEN(INDEX(FILTER(H$1:H2549, H$1:H2549&lt;&gt;""""),COUNTA(FILTER(H$1:H2549, H$1:H2549&lt;&gt;""""))))-1), IF('To Order'!$A2550=COL"&amp;"UMNS($A2550:H2569), H2549&amp;RIGHT(INDIRECT(ADDRESS(ROW(H2550)-1, 'From Order'!$A2550)), 1), H2549))"),"TJT")</f>
        <v>TJT</v>
      </c>
      <c r="I2550" s="2" t="str">
        <f>IFERROR(__xludf.DUMMYFUNCTION("IF('From Order'!$A2550=COLUMNS($A2550:I2569), LEFT(INDEX(FILTER(I$1:I2549, I$1:I2549&lt;&gt;""""),COUNTA(FILTER(I$1:I2549, I$1:I2549&lt;&gt;""""))), LEN(INDEX(FILTER(I$1:I2549, I$1:I2549&lt;&gt;""""),COUNTA(FILTER(I$1:I2549, I$1:I2549&lt;&gt;""""))))-1), IF('To Order'!$A2550=COL"&amp;"UMNS($A2550:I2569), I2549&amp;RIGHT(INDIRECT(ADDRESS(ROW(I2550)-1, 'From Order'!$A2550)), 1), I2549))"),"QVVDDSPLRRJTTCJFZDMTMZHZS")</f>
        <v>QVVDDSPLRRJTTCJFZDMTMZHZS</v>
      </c>
    </row>
    <row r="2551">
      <c r="A2551" s="2" t="str">
        <f>IFERROR(__xludf.DUMMYFUNCTION("IF('From Order'!$A2551=COLUMNS($A2551:A2570), LEFT(INDEX(FILTER(A$1:A2550, A$1:A2550&lt;&gt;""""),COUNTA(FILTER(A$1:A2550, A$1:A2550&lt;&gt;""""))), LEN(INDEX(FILTER(A$1:A2550, A$1:A2550&lt;&gt;""""),COUNTA(FILTER(A$1:A2550, A$1:A2550&lt;&gt;""""))))-1), IF('To Order'!$A2551=COL"&amp;"UMNS($A2551:A2570), A2550&amp;RIGHT(INDIRECT(ADDRESS(ROW(A2551)-1, 'From Order'!$A2551)), 1), A2550))"),"DRBV")</f>
        <v>DRBV</v>
      </c>
      <c r="B2551" s="2" t="str">
        <f>IFERROR(__xludf.DUMMYFUNCTION("IF('From Order'!$A2551=COLUMNS($A2551:B2570), LEFT(INDEX(FILTER(B$1:B2550, B$1:B2550&lt;&gt;""""),COUNTA(FILTER(B$1:B2550, B$1:B2550&lt;&gt;""""))), LEN(INDEX(FILTER(B$1:B2550, B$1:B2550&lt;&gt;""""),COUNTA(FILTER(B$1:B2550, B$1:B2550&lt;&gt;""""))))-1), IF('To Order'!$A2551=COL"&amp;"UMNS($A2551:B2570), B2550&amp;RIGHT(INDIRECT(ADDRESS(ROW(B2551)-1, 'From Order'!$A2551)), 1), B2550))"),"QGWWLHBS")</f>
        <v>QGWWLHBS</v>
      </c>
      <c r="C2551" s="2" t="str">
        <f>IFERROR(__xludf.DUMMYFUNCTION("IF('From Order'!$A2551=COLUMNS($A2551:C2570), LEFT(INDEX(FILTER(C$1:C2550, C$1:C2550&lt;&gt;""""),COUNTA(FILTER(C$1:C2550, C$1:C2550&lt;&gt;""""))), LEN(INDEX(FILTER(C$1:C2550, C$1:C2550&lt;&gt;""""),COUNTA(FILTER(C$1:C2550, C$1:C2550&lt;&gt;""""))))-1), IF('To Order'!$A2551=COL"&amp;"UMNS($A2551:C2570), C2550&amp;RIGHT(INDIRECT(ADDRESS(ROW(C2551)-1, 'From Order'!$A2551)), 1), C2550))"),"CDLFBD")</f>
        <v>CDLFBD</v>
      </c>
      <c r="D2551" s="2" t="str">
        <f>IFERROR(__xludf.DUMMYFUNCTION("IF('From Order'!$A2551=COLUMNS($A2551:D2570), LEFT(INDEX(FILTER(D$1:D2550, D$1:D2550&lt;&gt;""""),COUNTA(FILTER(D$1:D2550, D$1:D2550&lt;&gt;""""))), LEN(INDEX(FILTER(D$1:D2550, D$1:D2550&lt;&gt;""""),COUNTA(FILTER(D$1:D2550, D$1:D2550&lt;&gt;""""))))-1), IF('To Order'!$A2551=COL"&amp;"UMNS($A2551:D2570), D2550&amp;RIGHT(INDIRECT(ADDRESS(ROW(D2551)-1, 'From Order'!$A2551)), 1), D2550))"),"C")</f>
        <v>C</v>
      </c>
      <c r="E2551" s="2" t="str">
        <f>IFERROR(__xludf.DUMMYFUNCTION("IF('From Order'!$A2551=COLUMNS($A2551:E2570), LEFT(INDEX(FILTER(E$1:E2550, E$1:E2550&lt;&gt;""""),COUNTA(FILTER(E$1:E2550, E$1:E2550&lt;&gt;""""))), LEN(INDEX(FILTER(E$1:E2550, E$1:E2550&lt;&gt;""""),COUNTA(FILTER(E$1:E2550, E$1:E2550&lt;&gt;""""))))-1), IF('To Order'!$A2551=COL"&amp;"UMNS($A2551:E2570), E2550&amp;RIGHT(INDIRECT(ADDRESS(ROW(E2551)-1, 'From Order'!$A2551)), 1), E2550))"),"BRP")</f>
        <v>BRP</v>
      </c>
      <c r="F2551" s="2" t="str">
        <f>IFERROR(__xludf.DUMMYFUNCTION("IF('From Order'!$A2551=COLUMNS($A2551:F2570), LEFT(INDEX(FILTER(F$1:F2550, F$1:F2550&lt;&gt;""""),COUNTA(FILTER(F$1:F2550, F$1:F2550&lt;&gt;""""))), LEN(INDEX(FILTER(F$1:F2550, F$1:F2550&lt;&gt;""""),COUNTA(FILTER(F$1:F2550, F$1:F2550&lt;&gt;""""))))-1), IF('To Order'!$A2551=COL"&amp;"UMNS($A2551:F2570), F2550&amp;RIGHT(INDIRECT(ADDRESS(ROW(F2551)-1, 'From Order'!$A2551)), 1), F2550))"),"RSPMGT")</f>
        <v>RSPMGT</v>
      </c>
      <c r="G2551" s="2" t="str">
        <f>IFERROR(__xludf.DUMMYFUNCTION("IF('From Order'!$A2551=COLUMNS($A2551:G2570), LEFT(INDEX(FILTER(G$1:G2550, G$1:G2550&lt;&gt;""""),COUNTA(FILTER(G$1:G2550, G$1:G2550&lt;&gt;""""))), LEN(INDEX(FILTER(G$1:G2550, G$1:G2550&lt;&gt;""""),COUNTA(FILTER(G$1:G2550, G$1:G2550&lt;&gt;""""))))-1), IF('To Order'!$A2551=COL"&amp;"UMNS($A2551:G2570), G2550&amp;RIGHT(INDIRECT(ADDRESS(ROW(G2551)-1, 'From Order'!$A2551)), 1), G2550))"),"")</f>
        <v/>
      </c>
      <c r="H2551" s="2" t="str">
        <f>IFERROR(__xludf.DUMMYFUNCTION("IF('From Order'!$A2551=COLUMNS($A2551:H2570), LEFT(INDEX(FILTER(H$1:H2550, H$1:H2550&lt;&gt;""""),COUNTA(FILTER(H$1:H2550, H$1:H2550&lt;&gt;""""))), LEN(INDEX(FILTER(H$1:H2550, H$1:H2550&lt;&gt;""""),COUNTA(FILTER(H$1:H2550, H$1:H2550&lt;&gt;""""))))-1), IF('To Order'!$A2551=COL"&amp;"UMNS($A2551:H2570), H2550&amp;RIGHT(INDIRECT(ADDRESS(ROW(H2551)-1, 'From Order'!$A2551)), 1), H2550))"),"TJT")</f>
        <v>TJT</v>
      </c>
      <c r="I2551" s="2" t="str">
        <f>IFERROR(__xludf.DUMMYFUNCTION("IF('From Order'!$A2551=COLUMNS($A2551:I2570), LEFT(INDEX(FILTER(I$1:I2550, I$1:I2550&lt;&gt;""""),COUNTA(FILTER(I$1:I2550, I$1:I2550&lt;&gt;""""))), LEN(INDEX(FILTER(I$1:I2550, I$1:I2550&lt;&gt;""""),COUNTA(FILTER(I$1:I2550, I$1:I2550&lt;&gt;""""))))-1), IF('To Order'!$A2551=COL"&amp;"UMNS($A2551:I2570), I2550&amp;RIGHT(INDIRECT(ADDRESS(ROW(I2551)-1, 'From Order'!$A2551)), 1), I2550))"),"QVVDDSPLRRJTTCJFZDMTMZHZS")</f>
        <v>QVVDDSPLRRJTTCJFZDMTMZHZS</v>
      </c>
    </row>
    <row r="2552">
      <c r="A2552" s="2" t="str">
        <f>IFERROR(__xludf.DUMMYFUNCTION("IF('From Order'!$A2552=COLUMNS($A2552:A2571), LEFT(INDEX(FILTER(A$1:A2551, A$1:A2551&lt;&gt;""""),COUNTA(FILTER(A$1:A2551, A$1:A2551&lt;&gt;""""))), LEN(INDEX(FILTER(A$1:A2551, A$1:A2551&lt;&gt;""""),COUNTA(FILTER(A$1:A2551, A$1:A2551&lt;&gt;""""))))-1), IF('To Order'!$A2552=COL"&amp;"UMNS($A2552:A2571), A2551&amp;RIGHT(INDIRECT(ADDRESS(ROW(A2552)-1, 'From Order'!$A2552)), 1), A2551))"),"DRB")</f>
        <v>DRB</v>
      </c>
      <c r="B2552" s="2" t="str">
        <f>IFERROR(__xludf.DUMMYFUNCTION("IF('From Order'!$A2552=COLUMNS($A2552:B2571), LEFT(INDEX(FILTER(B$1:B2551, B$1:B2551&lt;&gt;""""),COUNTA(FILTER(B$1:B2551, B$1:B2551&lt;&gt;""""))), LEN(INDEX(FILTER(B$1:B2551, B$1:B2551&lt;&gt;""""),COUNTA(FILTER(B$1:B2551, B$1:B2551&lt;&gt;""""))))-1), IF('To Order'!$A2552=COL"&amp;"UMNS($A2552:B2571), B2551&amp;RIGHT(INDIRECT(ADDRESS(ROW(B2552)-1, 'From Order'!$A2552)), 1), B2551))"),"QGWWLHBS")</f>
        <v>QGWWLHBS</v>
      </c>
      <c r="C2552" s="2" t="str">
        <f>IFERROR(__xludf.DUMMYFUNCTION("IF('From Order'!$A2552=COLUMNS($A2552:C2571), LEFT(INDEX(FILTER(C$1:C2551, C$1:C2551&lt;&gt;""""),COUNTA(FILTER(C$1:C2551, C$1:C2551&lt;&gt;""""))), LEN(INDEX(FILTER(C$1:C2551, C$1:C2551&lt;&gt;""""),COUNTA(FILTER(C$1:C2551, C$1:C2551&lt;&gt;""""))))-1), IF('To Order'!$A2552=COL"&amp;"UMNS($A2552:C2571), C2551&amp;RIGHT(INDIRECT(ADDRESS(ROW(C2552)-1, 'From Order'!$A2552)), 1), C2551))"),"CDLFBDV")</f>
        <v>CDLFBDV</v>
      </c>
      <c r="D2552" s="2" t="str">
        <f>IFERROR(__xludf.DUMMYFUNCTION("IF('From Order'!$A2552=COLUMNS($A2552:D2571), LEFT(INDEX(FILTER(D$1:D2551, D$1:D2551&lt;&gt;""""),COUNTA(FILTER(D$1:D2551, D$1:D2551&lt;&gt;""""))), LEN(INDEX(FILTER(D$1:D2551, D$1:D2551&lt;&gt;""""),COUNTA(FILTER(D$1:D2551, D$1:D2551&lt;&gt;""""))))-1), IF('To Order'!$A2552=COL"&amp;"UMNS($A2552:D2571), D2551&amp;RIGHT(INDIRECT(ADDRESS(ROW(D2552)-1, 'From Order'!$A2552)), 1), D2551))"),"C")</f>
        <v>C</v>
      </c>
      <c r="E2552" s="2" t="str">
        <f>IFERROR(__xludf.DUMMYFUNCTION("IF('From Order'!$A2552=COLUMNS($A2552:E2571), LEFT(INDEX(FILTER(E$1:E2551, E$1:E2551&lt;&gt;""""),COUNTA(FILTER(E$1:E2551, E$1:E2551&lt;&gt;""""))), LEN(INDEX(FILTER(E$1:E2551, E$1:E2551&lt;&gt;""""),COUNTA(FILTER(E$1:E2551, E$1:E2551&lt;&gt;""""))))-1), IF('To Order'!$A2552=COL"&amp;"UMNS($A2552:E2571), E2551&amp;RIGHT(INDIRECT(ADDRESS(ROW(E2552)-1, 'From Order'!$A2552)), 1), E2551))"),"BRP")</f>
        <v>BRP</v>
      </c>
      <c r="F2552" s="2" t="str">
        <f>IFERROR(__xludf.DUMMYFUNCTION("IF('From Order'!$A2552=COLUMNS($A2552:F2571), LEFT(INDEX(FILTER(F$1:F2551, F$1:F2551&lt;&gt;""""),COUNTA(FILTER(F$1:F2551, F$1:F2551&lt;&gt;""""))), LEN(INDEX(FILTER(F$1:F2551, F$1:F2551&lt;&gt;""""),COUNTA(FILTER(F$1:F2551, F$1:F2551&lt;&gt;""""))))-1), IF('To Order'!$A2552=COL"&amp;"UMNS($A2552:F2571), F2551&amp;RIGHT(INDIRECT(ADDRESS(ROW(F2552)-1, 'From Order'!$A2552)), 1), F2551))"),"RSPMGT")</f>
        <v>RSPMGT</v>
      </c>
      <c r="G2552" s="2" t="str">
        <f>IFERROR(__xludf.DUMMYFUNCTION("IF('From Order'!$A2552=COLUMNS($A2552:G2571), LEFT(INDEX(FILTER(G$1:G2551, G$1:G2551&lt;&gt;""""),COUNTA(FILTER(G$1:G2551, G$1:G2551&lt;&gt;""""))), LEN(INDEX(FILTER(G$1:G2551, G$1:G2551&lt;&gt;""""),COUNTA(FILTER(G$1:G2551, G$1:G2551&lt;&gt;""""))))-1), IF('To Order'!$A2552=COL"&amp;"UMNS($A2552:G2571), G2551&amp;RIGHT(INDIRECT(ADDRESS(ROW(G2552)-1, 'From Order'!$A2552)), 1), G2551))"),"")</f>
        <v/>
      </c>
      <c r="H2552" s="2" t="str">
        <f>IFERROR(__xludf.DUMMYFUNCTION("IF('From Order'!$A2552=COLUMNS($A2552:H2571), LEFT(INDEX(FILTER(H$1:H2551, H$1:H2551&lt;&gt;""""),COUNTA(FILTER(H$1:H2551, H$1:H2551&lt;&gt;""""))), LEN(INDEX(FILTER(H$1:H2551, H$1:H2551&lt;&gt;""""),COUNTA(FILTER(H$1:H2551, H$1:H2551&lt;&gt;""""))))-1), IF('To Order'!$A2552=COL"&amp;"UMNS($A2552:H2571), H2551&amp;RIGHT(INDIRECT(ADDRESS(ROW(H2552)-1, 'From Order'!$A2552)), 1), H2551))"),"TJT")</f>
        <v>TJT</v>
      </c>
      <c r="I2552" s="2" t="str">
        <f>IFERROR(__xludf.DUMMYFUNCTION("IF('From Order'!$A2552=COLUMNS($A2552:I2571), LEFT(INDEX(FILTER(I$1:I2551, I$1:I2551&lt;&gt;""""),COUNTA(FILTER(I$1:I2551, I$1:I2551&lt;&gt;""""))), LEN(INDEX(FILTER(I$1:I2551, I$1:I2551&lt;&gt;""""),COUNTA(FILTER(I$1:I2551, I$1:I2551&lt;&gt;""""))))-1), IF('To Order'!$A2552=COL"&amp;"UMNS($A2552:I2571), I2551&amp;RIGHT(INDIRECT(ADDRESS(ROW(I2552)-1, 'From Order'!$A2552)), 1), I2551))"),"QVVDDSPLRRJTTCJFZDMTMZHZS")</f>
        <v>QVVDDSPLRRJTTCJFZDMTMZHZS</v>
      </c>
    </row>
    <row r="2553">
      <c r="A2553" s="2" t="str">
        <f>IFERROR(__xludf.DUMMYFUNCTION("IF('From Order'!$A2553=COLUMNS($A2553:A2572), LEFT(INDEX(FILTER(A$1:A2552, A$1:A2552&lt;&gt;""""),COUNTA(FILTER(A$1:A2552, A$1:A2552&lt;&gt;""""))), LEN(INDEX(FILTER(A$1:A2552, A$1:A2552&lt;&gt;""""),COUNTA(FILTER(A$1:A2552, A$1:A2552&lt;&gt;""""))))-1), IF('To Order'!$A2553=COL"&amp;"UMNS($A2553:A2572), A2552&amp;RIGHT(INDIRECT(ADDRESS(ROW(A2553)-1, 'From Order'!$A2553)), 1), A2552))"),"DR")</f>
        <v>DR</v>
      </c>
      <c r="B2553" s="2" t="str">
        <f>IFERROR(__xludf.DUMMYFUNCTION("IF('From Order'!$A2553=COLUMNS($A2553:B2572), LEFT(INDEX(FILTER(B$1:B2552, B$1:B2552&lt;&gt;""""),COUNTA(FILTER(B$1:B2552, B$1:B2552&lt;&gt;""""))), LEN(INDEX(FILTER(B$1:B2552, B$1:B2552&lt;&gt;""""),COUNTA(FILTER(B$1:B2552, B$1:B2552&lt;&gt;""""))))-1), IF('To Order'!$A2553=COL"&amp;"UMNS($A2553:B2572), B2552&amp;RIGHT(INDIRECT(ADDRESS(ROW(B2553)-1, 'From Order'!$A2553)), 1), B2552))"),"QGWWLHBS")</f>
        <v>QGWWLHBS</v>
      </c>
      <c r="C2553" s="2" t="str">
        <f>IFERROR(__xludf.DUMMYFUNCTION("IF('From Order'!$A2553=COLUMNS($A2553:C2572), LEFT(INDEX(FILTER(C$1:C2552, C$1:C2552&lt;&gt;""""),COUNTA(FILTER(C$1:C2552, C$1:C2552&lt;&gt;""""))), LEN(INDEX(FILTER(C$1:C2552, C$1:C2552&lt;&gt;""""),COUNTA(FILTER(C$1:C2552, C$1:C2552&lt;&gt;""""))))-1), IF('To Order'!$A2553=COL"&amp;"UMNS($A2553:C2572), C2552&amp;RIGHT(INDIRECT(ADDRESS(ROW(C2553)-1, 'From Order'!$A2553)), 1), C2552))"),"CDLFBDVB")</f>
        <v>CDLFBDVB</v>
      </c>
      <c r="D2553" s="2" t="str">
        <f>IFERROR(__xludf.DUMMYFUNCTION("IF('From Order'!$A2553=COLUMNS($A2553:D2572), LEFT(INDEX(FILTER(D$1:D2552, D$1:D2552&lt;&gt;""""),COUNTA(FILTER(D$1:D2552, D$1:D2552&lt;&gt;""""))), LEN(INDEX(FILTER(D$1:D2552, D$1:D2552&lt;&gt;""""),COUNTA(FILTER(D$1:D2552, D$1:D2552&lt;&gt;""""))))-1), IF('To Order'!$A2553=COL"&amp;"UMNS($A2553:D2572), D2552&amp;RIGHT(INDIRECT(ADDRESS(ROW(D2553)-1, 'From Order'!$A2553)), 1), D2552))"),"C")</f>
        <v>C</v>
      </c>
      <c r="E2553" s="2" t="str">
        <f>IFERROR(__xludf.DUMMYFUNCTION("IF('From Order'!$A2553=COLUMNS($A2553:E2572), LEFT(INDEX(FILTER(E$1:E2552, E$1:E2552&lt;&gt;""""),COUNTA(FILTER(E$1:E2552, E$1:E2552&lt;&gt;""""))), LEN(INDEX(FILTER(E$1:E2552, E$1:E2552&lt;&gt;""""),COUNTA(FILTER(E$1:E2552, E$1:E2552&lt;&gt;""""))))-1), IF('To Order'!$A2553=COL"&amp;"UMNS($A2553:E2572), E2552&amp;RIGHT(INDIRECT(ADDRESS(ROW(E2553)-1, 'From Order'!$A2553)), 1), E2552))"),"BRP")</f>
        <v>BRP</v>
      </c>
      <c r="F2553" s="2" t="str">
        <f>IFERROR(__xludf.DUMMYFUNCTION("IF('From Order'!$A2553=COLUMNS($A2553:F2572), LEFT(INDEX(FILTER(F$1:F2552, F$1:F2552&lt;&gt;""""),COUNTA(FILTER(F$1:F2552, F$1:F2552&lt;&gt;""""))), LEN(INDEX(FILTER(F$1:F2552, F$1:F2552&lt;&gt;""""),COUNTA(FILTER(F$1:F2552, F$1:F2552&lt;&gt;""""))))-1), IF('To Order'!$A2553=COL"&amp;"UMNS($A2553:F2572), F2552&amp;RIGHT(INDIRECT(ADDRESS(ROW(F2553)-1, 'From Order'!$A2553)), 1), F2552))"),"RSPMGT")</f>
        <v>RSPMGT</v>
      </c>
      <c r="G2553" s="2" t="str">
        <f>IFERROR(__xludf.DUMMYFUNCTION("IF('From Order'!$A2553=COLUMNS($A2553:G2572), LEFT(INDEX(FILTER(G$1:G2552, G$1:G2552&lt;&gt;""""),COUNTA(FILTER(G$1:G2552, G$1:G2552&lt;&gt;""""))), LEN(INDEX(FILTER(G$1:G2552, G$1:G2552&lt;&gt;""""),COUNTA(FILTER(G$1:G2552, G$1:G2552&lt;&gt;""""))))-1), IF('To Order'!$A2553=COL"&amp;"UMNS($A2553:G2572), G2552&amp;RIGHT(INDIRECT(ADDRESS(ROW(G2553)-1, 'From Order'!$A2553)), 1), G2552))"),"")</f>
        <v/>
      </c>
      <c r="H2553" s="2" t="str">
        <f>IFERROR(__xludf.DUMMYFUNCTION("IF('From Order'!$A2553=COLUMNS($A2553:H2572), LEFT(INDEX(FILTER(H$1:H2552, H$1:H2552&lt;&gt;""""),COUNTA(FILTER(H$1:H2552, H$1:H2552&lt;&gt;""""))), LEN(INDEX(FILTER(H$1:H2552, H$1:H2552&lt;&gt;""""),COUNTA(FILTER(H$1:H2552, H$1:H2552&lt;&gt;""""))))-1), IF('To Order'!$A2553=COL"&amp;"UMNS($A2553:H2572), H2552&amp;RIGHT(INDIRECT(ADDRESS(ROW(H2553)-1, 'From Order'!$A2553)), 1), H2552))"),"TJT")</f>
        <v>TJT</v>
      </c>
      <c r="I2553" s="2" t="str">
        <f>IFERROR(__xludf.DUMMYFUNCTION("IF('From Order'!$A2553=COLUMNS($A2553:I2572), LEFT(INDEX(FILTER(I$1:I2552, I$1:I2552&lt;&gt;""""),COUNTA(FILTER(I$1:I2552, I$1:I2552&lt;&gt;""""))), LEN(INDEX(FILTER(I$1:I2552, I$1:I2552&lt;&gt;""""),COUNTA(FILTER(I$1:I2552, I$1:I2552&lt;&gt;""""))))-1), IF('To Order'!$A2553=COL"&amp;"UMNS($A2553:I2572), I2552&amp;RIGHT(INDIRECT(ADDRESS(ROW(I2553)-1, 'From Order'!$A2553)), 1), I2552))"),"QVVDDSPLRRJTTCJFZDMTMZHZS")</f>
        <v>QVVDDSPLRRJTTCJFZDMTMZHZS</v>
      </c>
    </row>
    <row r="2554">
      <c r="A2554" s="2" t="str">
        <f>IFERROR(__xludf.DUMMYFUNCTION("IF('From Order'!$A2554=COLUMNS($A2554:A2573), LEFT(INDEX(FILTER(A$1:A2553, A$1:A2553&lt;&gt;""""),COUNTA(FILTER(A$1:A2553, A$1:A2553&lt;&gt;""""))), LEN(INDEX(FILTER(A$1:A2553, A$1:A2553&lt;&gt;""""),COUNTA(FILTER(A$1:A2553, A$1:A2553&lt;&gt;""""))))-1), IF('To Order'!$A2554=COL"&amp;"UMNS($A2554:A2573), A2553&amp;RIGHT(INDIRECT(ADDRESS(ROW(A2554)-1, 'From Order'!$A2554)), 1), A2553))"),"DR")</f>
        <v>DR</v>
      </c>
      <c r="B2554" s="2" t="str">
        <f>IFERROR(__xludf.DUMMYFUNCTION("IF('From Order'!$A2554=COLUMNS($A2554:B2573), LEFT(INDEX(FILTER(B$1:B2553, B$1:B2553&lt;&gt;""""),COUNTA(FILTER(B$1:B2553, B$1:B2553&lt;&gt;""""))), LEN(INDEX(FILTER(B$1:B2553, B$1:B2553&lt;&gt;""""),COUNTA(FILTER(B$1:B2553, B$1:B2553&lt;&gt;""""))))-1), IF('To Order'!$A2554=COL"&amp;"UMNS($A2554:B2573), B2553&amp;RIGHT(INDIRECT(ADDRESS(ROW(B2554)-1, 'From Order'!$A2554)), 1), B2553))"),"QGWWLHBS")</f>
        <v>QGWWLHBS</v>
      </c>
      <c r="C2554" s="2" t="str">
        <f>IFERROR(__xludf.DUMMYFUNCTION("IF('From Order'!$A2554=COLUMNS($A2554:C2573), LEFT(INDEX(FILTER(C$1:C2553, C$1:C2553&lt;&gt;""""),COUNTA(FILTER(C$1:C2553, C$1:C2553&lt;&gt;""""))), LEN(INDEX(FILTER(C$1:C2553, C$1:C2553&lt;&gt;""""),COUNTA(FILTER(C$1:C2553, C$1:C2553&lt;&gt;""""))))-1), IF('To Order'!$A2554=COL"&amp;"UMNS($A2554:C2573), C2553&amp;RIGHT(INDIRECT(ADDRESS(ROW(C2554)-1, 'From Order'!$A2554)), 1), C2553))"),"CDLFBDVB")</f>
        <v>CDLFBDVB</v>
      </c>
      <c r="D2554" s="2" t="str">
        <f>IFERROR(__xludf.DUMMYFUNCTION("IF('From Order'!$A2554=COLUMNS($A2554:D2573), LEFT(INDEX(FILTER(D$1:D2553, D$1:D2553&lt;&gt;""""),COUNTA(FILTER(D$1:D2553, D$1:D2553&lt;&gt;""""))), LEN(INDEX(FILTER(D$1:D2553, D$1:D2553&lt;&gt;""""),COUNTA(FILTER(D$1:D2553, D$1:D2553&lt;&gt;""""))))-1), IF('To Order'!$A2554=COL"&amp;"UMNS($A2554:D2573), D2553&amp;RIGHT(INDIRECT(ADDRESS(ROW(D2554)-1, 'From Order'!$A2554)), 1), D2553))"),"C")</f>
        <v>C</v>
      </c>
      <c r="E2554" s="2" t="str">
        <f>IFERROR(__xludf.DUMMYFUNCTION("IF('From Order'!$A2554=COLUMNS($A2554:E2573), LEFT(INDEX(FILTER(E$1:E2553, E$1:E2553&lt;&gt;""""),COUNTA(FILTER(E$1:E2553, E$1:E2553&lt;&gt;""""))), LEN(INDEX(FILTER(E$1:E2553, E$1:E2553&lt;&gt;""""),COUNTA(FILTER(E$1:E2553, E$1:E2553&lt;&gt;""""))))-1), IF('To Order'!$A2554=COL"&amp;"UMNS($A2554:E2573), E2553&amp;RIGHT(INDIRECT(ADDRESS(ROW(E2554)-1, 'From Order'!$A2554)), 1), E2553))"),"BRP")</f>
        <v>BRP</v>
      </c>
      <c r="F2554" s="2" t="str">
        <f>IFERROR(__xludf.DUMMYFUNCTION("IF('From Order'!$A2554=COLUMNS($A2554:F2573), LEFT(INDEX(FILTER(F$1:F2553, F$1:F2553&lt;&gt;""""),COUNTA(FILTER(F$1:F2553, F$1:F2553&lt;&gt;""""))), LEN(INDEX(FILTER(F$1:F2553, F$1:F2553&lt;&gt;""""),COUNTA(FILTER(F$1:F2553, F$1:F2553&lt;&gt;""""))))-1), IF('To Order'!$A2554=COL"&amp;"UMNS($A2554:F2573), F2553&amp;RIGHT(INDIRECT(ADDRESS(ROW(F2554)-1, 'From Order'!$A2554)), 1), F2553))"),"RSPMGT")</f>
        <v>RSPMGT</v>
      </c>
      <c r="G2554" s="2" t="str">
        <f>IFERROR(__xludf.DUMMYFUNCTION("IF('From Order'!$A2554=COLUMNS($A2554:G2573), LEFT(INDEX(FILTER(G$1:G2553, G$1:G2553&lt;&gt;""""),COUNTA(FILTER(G$1:G2553, G$1:G2553&lt;&gt;""""))), LEN(INDEX(FILTER(G$1:G2553, G$1:G2553&lt;&gt;""""),COUNTA(FILTER(G$1:G2553, G$1:G2553&lt;&gt;""""))))-1), IF('To Order'!$A2554=COL"&amp;"UMNS($A2554:G2573), G2553&amp;RIGHT(INDIRECT(ADDRESS(ROW(G2554)-1, 'From Order'!$A2554)), 1), G2553))"),"")</f>
        <v/>
      </c>
      <c r="H2554" s="2" t="str">
        <f>IFERROR(__xludf.DUMMYFUNCTION("IF('From Order'!$A2554=COLUMNS($A2554:H2573), LEFT(INDEX(FILTER(H$1:H2553, H$1:H2553&lt;&gt;""""),COUNTA(FILTER(H$1:H2553, H$1:H2553&lt;&gt;""""))), LEN(INDEX(FILTER(H$1:H2553, H$1:H2553&lt;&gt;""""),COUNTA(FILTER(H$1:H2553, H$1:H2553&lt;&gt;""""))))-1), IF('To Order'!$A2554=COL"&amp;"UMNS($A2554:H2573), H2553&amp;RIGHT(INDIRECT(ADDRESS(ROW(H2554)-1, 'From Order'!$A2554)), 1), H2553))"),"TJTS")</f>
        <v>TJTS</v>
      </c>
      <c r="I2554" s="2" t="str">
        <f>IFERROR(__xludf.DUMMYFUNCTION("IF('From Order'!$A2554=COLUMNS($A2554:I2573), LEFT(INDEX(FILTER(I$1:I2553, I$1:I2553&lt;&gt;""""),COUNTA(FILTER(I$1:I2553, I$1:I2553&lt;&gt;""""))), LEN(INDEX(FILTER(I$1:I2553, I$1:I2553&lt;&gt;""""),COUNTA(FILTER(I$1:I2553, I$1:I2553&lt;&gt;""""))))-1), IF('To Order'!$A2554=COL"&amp;"UMNS($A2554:I2573), I2553&amp;RIGHT(INDIRECT(ADDRESS(ROW(I2554)-1, 'From Order'!$A2554)), 1), I2553))"),"QVVDDSPLRRJTTCJFZDMTMZHZ")</f>
        <v>QVVDDSPLRRJTTCJFZDMTMZHZ</v>
      </c>
    </row>
    <row r="2555">
      <c r="A2555" s="2" t="str">
        <f>IFERROR(__xludf.DUMMYFUNCTION("IF('From Order'!$A2555=COLUMNS($A2555:A2574), LEFT(INDEX(FILTER(A$1:A2554, A$1:A2554&lt;&gt;""""),COUNTA(FILTER(A$1:A2554, A$1:A2554&lt;&gt;""""))), LEN(INDEX(FILTER(A$1:A2554, A$1:A2554&lt;&gt;""""),COUNTA(FILTER(A$1:A2554, A$1:A2554&lt;&gt;""""))))-1), IF('To Order'!$A2555=COL"&amp;"UMNS($A2555:A2574), A2554&amp;RIGHT(INDIRECT(ADDRESS(ROW(A2555)-1, 'From Order'!$A2555)), 1), A2554))"),"DR")</f>
        <v>DR</v>
      </c>
      <c r="B2555" s="2" t="str">
        <f>IFERROR(__xludf.DUMMYFUNCTION("IF('From Order'!$A2555=COLUMNS($A2555:B2574), LEFT(INDEX(FILTER(B$1:B2554, B$1:B2554&lt;&gt;""""),COUNTA(FILTER(B$1:B2554, B$1:B2554&lt;&gt;""""))), LEN(INDEX(FILTER(B$1:B2554, B$1:B2554&lt;&gt;""""),COUNTA(FILTER(B$1:B2554, B$1:B2554&lt;&gt;""""))))-1), IF('To Order'!$A2555=COL"&amp;"UMNS($A2555:B2574), B2554&amp;RIGHT(INDIRECT(ADDRESS(ROW(B2555)-1, 'From Order'!$A2555)), 1), B2554))"),"QGWWLHBS")</f>
        <v>QGWWLHBS</v>
      </c>
      <c r="C2555" s="2" t="str">
        <f>IFERROR(__xludf.DUMMYFUNCTION("IF('From Order'!$A2555=COLUMNS($A2555:C2574), LEFT(INDEX(FILTER(C$1:C2554, C$1:C2554&lt;&gt;""""),COUNTA(FILTER(C$1:C2554, C$1:C2554&lt;&gt;""""))), LEN(INDEX(FILTER(C$1:C2554, C$1:C2554&lt;&gt;""""),COUNTA(FILTER(C$1:C2554, C$1:C2554&lt;&gt;""""))))-1), IF('To Order'!$A2555=COL"&amp;"UMNS($A2555:C2574), C2554&amp;RIGHT(INDIRECT(ADDRESS(ROW(C2555)-1, 'From Order'!$A2555)), 1), C2554))"),"CDLFBDVB")</f>
        <v>CDLFBDVB</v>
      </c>
      <c r="D2555" s="2" t="str">
        <f>IFERROR(__xludf.DUMMYFUNCTION("IF('From Order'!$A2555=COLUMNS($A2555:D2574), LEFT(INDEX(FILTER(D$1:D2554, D$1:D2554&lt;&gt;""""),COUNTA(FILTER(D$1:D2554, D$1:D2554&lt;&gt;""""))), LEN(INDEX(FILTER(D$1:D2554, D$1:D2554&lt;&gt;""""),COUNTA(FILTER(D$1:D2554, D$1:D2554&lt;&gt;""""))))-1), IF('To Order'!$A2555=COL"&amp;"UMNS($A2555:D2574), D2554&amp;RIGHT(INDIRECT(ADDRESS(ROW(D2555)-1, 'From Order'!$A2555)), 1), D2554))"),"C")</f>
        <v>C</v>
      </c>
      <c r="E2555" s="2" t="str">
        <f>IFERROR(__xludf.DUMMYFUNCTION("IF('From Order'!$A2555=COLUMNS($A2555:E2574), LEFT(INDEX(FILTER(E$1:E2554, E$1:E2554&lt;&gt;""""),COUNTA(FILTER(E$1:E2554, E$1:E2554&lt;&gt;""""))), LEN(INDEX(FILTER(E$1:E2554, E$1:E2554&lt;&gt;""""),COUNTA(FILTER(E$1:E2554, E$1:E2554&lt;&gt;""""))))-1), IF('To Order'!$A2555=COL"&amp;"UMNS($A2555:E2574), E2554&amp;RIGHT(INDIRECT(ADDRESS(ROW(E2555)-1, 'From Order'!$A2555)), 1), E2554))"),"BRP")</f>
        <v>BRP</v>
      </c>
      <c r="F2555" s="2" t="str">
        <f>IFERROR(__xludf.DUMMYFUNCTION("IF('From Order'!$A2555=COLUMNS($A2555:F2574), LEFT(INDEX(FILTER(F$1:F2554, F$1:F2554&lt;&gt;""""),COUNTA(FILTER(F$1:F2554, F$1:F2554&lt;&gt;""""))), LEN(INDEX(FILTER(F$1:F2554, F$1:F2554&lt;&gt;""""),COUNTA(FILTER(F$1:F2554, F$1:F2554&lt;&gt;""""))))-1), IF('To Order'!$A2555=COL"&amp;"UMNS($A2555:F2574), F2554&amp;RIGHT(INDIRECT(ADDRESS(ROW(F2555)-1, 'From Order'!$A2555)), 1), F2554))"),"RSPMGT")</f>
        <v>RSPMGT</v>
      </c>
      <c r="G2555" s="2" t="str">
        <f>IFERROR(__xludf.DUMMYFUNCTION("IF('From Order'!$A2555=COLUMNS($A2555:G2574), LEFT(INDEX(FILTER(G$1:G2554, G$1:G2554&lt;&gt;""""),COUNTA(FILTER(G$1:G2554, G$1:G2554&lt;&gt;""""))), LEN(INDEX(FILTER(G$1:G2554, G$1:G2554&lt;&gt;""""),COUNTA(FILTER(G$1:G2554, G$1:G2554&lt;&gt;""""))))-1), IF('To Order'!$A2555=COL"&amp;"UMNS($A2555:G2574), G2554&amp;RIGHT(INDIRECT(ADDRESS(ROW(G2555)-1, 'From Order'!$A2555)), 1), G2554))"),"")</f>
        <v/>
      </c>
      <c r="H2555" s="2" t="str">
        <f>IFERROR(__xludf.DUMMYFUNCTION("IF('From Order'!$A2555=COLUMNS($A2555:H2574), LEFT(INDEX(FILTER(H$1:H2554, H$1:H2554&lt;&gt;""""),COUNTA(FILTER(H$1:H2554, H$1:H2554&lt;&gt;""""))), LEN(INDEX(FILTER(H$1:H2554, H$1:H2554&lt;&gt;""""),COUNTA(FILTER(H$1:H2554, H$1:H2554&lt;&gt;""""))))-1), IF('To Order'!$A2555=COL"&amp;"UMNS($A2555:H2574), H2554&amp;RIGHT(INDIRECT(ADDRESS(ROW(H2555)-1, 'From Order'!$A2555)), 1), H2554))"),"TJTSZ")</f>
        <v>TJTSZ</v>
      </c>
      <c r="I2555" s="2" t="str">
        <f>IFERROR(__xludf.DUMMYFUNCTION("IF('From Order'!$A2555=COLUMNS($A2555:I2574), LEFT(INDEX(FILTER(I$1:I2554, I$1:I2554&lt;&gt;""""),COUNTA(FILTER(I$1:I2554, I$1:I2554&lt;&gt;""""))), LEN(INDEX(FILTER(I$1:I2554, I$1:I2554&lt;&gt;""""),COUNTA(FILTER(I$1:I2554, I$1:I2554&lt;&gt;""""))))-1), IF('To Order'!$A2555=COL"&amp;"UMNS($A2555:I2574), I2554&amp;RIGHT(INDIRECT(ADDRESS(ROW(I2555)-1, 'From Order'!$A2555)), 1), I2554))"),"QVVDDSPLRRJTTCJFZDMTMZH")</f>
        <v>QVVDDSPLRRJTTCJFZDMTMZH</v>
      </c>
    </row>
    <row r="2556">
      <c r="A2556" s="2" t="str">
        <f>IFERROR(__xludf.DUMMYFUNCTION("IF('From Order'!$A2556=COLUMNS($A2556:A2575), LEFT(INDEX(FILTER(A$1:A2555, A$1:A2555&lt;&gt;""""),COUNTA(FILTER(A$1:A2555, A$1:A2555&lt;&gt;""""))), LEN(INDEX(FILTER(A$1:A2555, A$1:A2555&lt;&gt;""""),COUNTA(FILTER(A$1:A2555, A$1:A2555&lt;&gt;""""))))-1), IF('To Order'!$A2556=COL"&amp;"UMNS($A2556:A2575), A2555&amp;RIGHT(INDIRECT(ADDRESS(ROW(A2556)-1, 'From Order'!$A2556)), 1), A2555))"),"DR")</f>
        <v>DR</v>
      </c>
      <c r="B2556" s="2" t="str">
        <f>IFERROR(__xludf.DUMMYFUNCTION("IF('From Order'!$A2556=COLUMNS($A2556:B2575), LEFT(INDEX(FILTER(B$1:B2555, B$1:B2555&lt;&gt;""""),COUNTA(FILTER(B$1:B2555, B$1:B2555&lt;&gt;""""))), LEN(INDEX(FILTER(B$1:B2555, B$1:B2555&lt;&gt;""""),COUNTA(FILTER(B$1:B2555, B$1:B2555&lt;&gt;""""))))-1), IF('To Order'!$A2556=COL"&amp;"UMNS($A2556:B2575), B2555&amp;RIGHT(INDIRECT(ADDRESS(ROW(B2556)-1, 'From Order'!$A2556)), 1), B2555))"),"QGWWLHBS")</f>
        <v>QGWWLHBS</v>
      </c>
      <c r="C2556" s="2" t="str">
        <f>IFERROR(__xludf.DUMMYFUNCTION("IF('From Order'!$A2556=COLUMNS($A2556:C2575), LEFT(INDEX(FILTER(C$1:C2555, C$1:C2555&lt;&gt;""""),COUNTA(FILTER(C$1:C2555, C$1:C2555&lt;&gt;""""))), LEN(INDEX(FILTER(C$1:C2555, C$1:C2555&lt;&gt;""""),COUNTA(FILTER(C$1:C2555, C$1:C2555&lt;&gt;""""))))-1), IF('To Order'!$A2556=COL"&amp;"UMNS($A2556:C2575), C2555&amp;RIGHT(INDIRECT(ADDRESS(ROW(C2556)-1, 'From Order'!$A2556)), 1), C2555))"),"CDLFBDVB")</f>
        <v>CDLFBDVB</v>
      </c>
      <c r="D2556" s="2" t="str">
        <f>IFERROR(__xludf.DUMMYFUNCTION("IF('From Order'!$A2556=COLUMNS($A2556:D2575), LEFT(INDEX(FILTER(D$1:D2555, D$1:D2555&lt;&gt;""""),COUNTA(FILTER(D$1:D2555, D$1:D2555&lt;&gt;""""))), LEN(INDEX(FILTER(D$1:D2555, D$1:D2555&lt;&gt;""""),COUNTA(FILTER(D$1:D2555, D$1:D2555&lt;&gt;""""))))-1), IF('To Order'!$A2556=COL"&amp;"UMNS($A2556:D2575), D2555&amp;RIGHT(INDIRECT(ADDRESS(ROW(D2556)-1, 'From Order'!$A2556)), 1), D2555))"),"C")</f>
        <v>C</v>
      </c>
      <c r="E2556" s="2" t="str">
        <f>IFERROR(__xludf.DUMMYFUNCTION("IF('From Order'!$A2556=COLUMNS($A2556:E2575), LEFT(INDEX(FILTER(E$1:E2555, E$1:E2555&lt;&gt;""""),COUNTA(FILTER(E$1:E2555, E$1:E2555&lt;&gt;""""))), LEN(INDEX(FILTER(E$1:E2555, E$1:E2555&lt;&gt;""""),COUNTA(FILTER(E$1:E2555, E$1:E2555&lt;&gt;""""))))-1), IF('To Order'!$A2556=COL"&amp;"UMNS($A2556:E2575), E2555&amp;RIGHT(INDIRECT(ADDRESS(ROW(E2556)-1, 'From Order'!$A2556)), 1), E2555))"),"BRP")</f>
        <v>BRP</v>
      </c>
      <c r="F2556" s="2" t="str">
        <f>IFERROR(__xludf.DUMMYFUNCTION("IF('From Order'!$A2556=COLUMNS($A2556:F2575), LEFT(INDEX(FILTER(F$1:F2555, F$1:F2555&lt;&gt;""""),COUNTA(FILTER(F$1:F2555, F$1:F2555&lt;&gt;""""))), LEN(INDEX(FILTER(F$1:F2555, F$1:F2555&lt;&gt;""""),COUNTA(FILTER(F$1:F2555, F$1:F2555&lt;&gt;""""))))-1), IF('To Order'!$A2556=COL"&amp;"UMNS($A2556:F2575), F2555&amp;RIGHT(INDIRECT(ADDRESS(ROW(F2556)-1, 'From Order'!$A2556)), 1), F2555))"),"RSPMGT")</f>
        <v>RSPMGT</v>
      </c>
      <c r="G2556" s="2" t="str">
        <f>IFERROR(__xludf.DUMMYFUNCTION("IF('From Order'!$A2556=COLUMNS($A2556:G2575), LEFT(INDEX(FILTER(G$1:G2555, G$1:G2555&lt;&gt;""""),COUNTA(FILTER(G$1:G2555, G$1:G2555&lt;&gt;""""))), LEN(INDEX(FILTER(G$1:G2555, G$1:G2555&lt;&gt;""""),COUNTA(FILTER(G$1:G2555, G$1:G2555&lt;&gt;""""))))-1), IF('To Order'!$A2556=COL"&amp;"UMNS($A2556:G2575), G2555&amp;RIGHT(INDIRECT(ADDRESS(ROW(G2556)-1, 'From Order'!$A2556)), 1), G2555))"),"")</f>
        <v/>
      </c>
      <c r="H2556" s="2" t="str">
        <f>IFERROR(__xludf.DUMMYFUNCTION("IF('From Order'!$A2556=COLUMNS($A2556:H2575), LEFT(INDEX(FILTER(H$1:H2555, H$1:H2555&lt;&gt;""""),COUNTA(FILTER(H$1:H2555, H$1:H2555&lt;&gt;""""))), LEN(INDEX(FILTER(H$1:H2555, H$1:H2555&lt;&gt;""""),COUNTA(FILTER(H$1:H2555, H$1:H2555&lt;&gt;""""))))-1), IF('To Order'!$A2556=COL"&amp;"UMNS($A2556:H2575), H2555&amp;RIGHT(INDIRECT(ADDRESS(ROW(H2556)-1, 'From Order'!$A2556)), 1), H2555))"),"TJTSZH")</f>
        <v>TJTSZH</v>
      </c>
      <c r="I2556" s="2" t="str">
        <f>IFERROR(__xludf.DUMMYFUNCTION("IF('From Order'!$A2556=COLUMNS($A2556:I2575), LEFT(INDEX(FILTER(I$1:I2555, I$1:I2555&lt;&gt;""""),COUNTA(FILTER(I$1:I2555, I$1:I2555&lt;&gt;""""))), LEN(INDEX(FILTER(I$1:I2555, I$1:I2555&lt;&gt;""""),COUNTA(FILTER(I$1:I2555, I$1:I2555&lt;&gt;""""))))-1), IF('To Order'!$A2556=COL"&amp;"UMNS($A2556:I2575), I2555&amp;RIGHT(INDIRECT(ADDRESS(ROW(I2556)-1, 'From Order'!$A2556)), 1), I2555))"),"QVVDDSPLRRJTTCJFZDMTMZ")</f>
        <v>QVVDDSPLRRJTTCJFZDMTMZ</v>
      </c>
    </row>
    <row r="2557">
      <c r="A2557" s="2" t="str">
        <f>IFERROR(__xludf.DUMMYFUNCTION("IF('From Order'!$A2557=COLUMNS($A2557:A2576), LEFT(INDEX(FILTER(A$1:A2556, A$1:A2556&lt;&gt;""""),COUNTA(FILTER(A$1:A2556, A$1:A2556&lt;&gt;""""))), LEN(INDEX(FILTER(A$1:A2556, A$1:A2556&lt;&gt;""""),COUNTA(FILTER(A$1:A2556, A$1:A2556&lt;&gt;""""))))-1), IF('To Order'!$A2557=COL"&amp;"UMNS($A2557:A2576), A2556&amp;RIGHT(INDIRECT(ADDRESS(ROW(A2557)-1, 'From Order'!$A2557)), 1), A2556))"),"DR")</f>
        <v>DR</v>
      </c>
      <c r="B2557" s="2" t="str">
        <f>IFERROR(__xludf.DUMMYFUNCTION("IF('From Order'!$A2557=COLUMNS($A2557:B2576), LEFT(INDEX(FILTER(B$1:B2556, B$1:B2556&lt;&gt;""""),COUNTA(FILTER(B$1:B2556, B$1:B2556&lt;&gt;""""))), LEN(INDEX(FILTER(B$1:B2556, B$1:B2556&lt;&gt;""""),COUNTA(FILTER(B$1:B2556, B$1:B2556&lt;&gt;""""))))-1), IF('To Order'!$A2557=COL"&amp;"UMNS($A2557:B2576), B2556&amp;RIGHT(INDIRECT(ADDRESS(ROW(B2557)-1, 'From Order'!$A2557)), 1), B2556))"),"QGWWLHBS")</f>
        <v>QGWWLHBS</v>
      </c>
      <c r="C2557" s="2" t="str">
        <f>IFERROR(__xludf.DUMMYFUNCTION("IF('From Order'!$A2557=COLUMNS($A2557:C2576), LEFT(INDEX(FILTER(C$1:C2556, C$1:C2556&lt;&gt;""""),COUNTA(FILTER(C$1:C2556, C$1:C2556&lt;&gt;""""))), LEN(INDEX(FILTER(C$1:C2556, C$1:C2556&lt;&gt;""""),COUNTA(FILTER(C$1:C2556, C$1:C2556&lt;&gt;""""))))-1), IF('To Order'!$A2557=COL"&amp;"UMNS($A2557:C2576), C2556&amp;RIGHT(INDIRECT(ADDRESS(ROW(C2557)-1, 'From Order'!$A2557)), 1), C2556))"),"CDLFBDVB")</f>
        <v>CDLFBDVB</v>
      </c>
      <c r="D2557" s="2" t="str">
        <f>IFERROR(__xludf.DUMMYFUNCTION("IF('From Order'!$A2557=COLUMNS($A2557:D2576), LEFT(INDEX(FILTER(D$1:D2556, D$1:D2556&lt;&gt;""""),COUNTA(FILTER(D$1:D2556, D$1:D2556&lt;&gt;""""))), LEN(INDEX(FILTER(D$1:D2556, D$1:D2556&lt;&gt;""""),COUNTA(FILTER(D$1:D2556, D$1:D2556&lt;&gt;""""))))-1), IF('To Order'!$A2557=COL"&amp;"UMNS($A2557:D2576), D2556&amp;RIGHT(INDIRECT(ADDRESS(ROW(D2557)-1, 'From Order'!$A2557)), 1), D2556))"),"C")</f>
        <v>C</v>
      </c>
      <c r="E2557" s="2" t="str">
        <f>IFERROR(__xludf.DUMMYFUNCTION("IF('From Order'!$A2557=COLUMNS($A2557:E2576), LEFT(INDEX(FILTER(E$1:E2556, E$1:E2556&lt;&gt;""""),COUNTA(FILTER(E$1:E2556, E$1:E2556&lt;&gt;""""))), LEN(INDEX(FILTER(E$1:E2556, E$1:E2556&lt;&gt;""""),COUNTA(FILTER(E$1:E2556, E$1:E2556&lt;&gt;""""))))-1), IF('To Order'!$A2557=COL"&amp;"UMNS($A2557:E2576), E2556&amp;RIGHT(INDIRECT(ADDRESS(ROW(E2557)-1, 'From Order'!$A2557)), 1), E2556))"),"BRP")</f>
        <v>BRP</v>
      </c>
      <c r="F2557" s="2" t="str">
        <f>IFERROR(__xludf.DUMMYFUNCTION("IF('From Order'!$A2557=COLUMNS($A2557:F2576), LEFT(INDEX(FILTER(F$1:F2556, F$1:F2556&lt;&gt;""""),COUNTA(FILTER(F$1:F2556, F$1:F2556&lt;&gt;""""))), LEN(INDEX(FILTER(F$1:F2556, F$1:F2556&lt;&gt;""""),COUNTA(FILTER(F$1:F2556, F$1:F2556&lt;&gt;""""))))-1), IF('To Order'!$A2557=COL"&amp;"UMNS($A2557:F2576), F2556&amp;RIGHT(INDIRECT(ADDRESS(ROW(F2557)-1, 'From Order'!$A2557)), 1), F2556))"),"RSPMGT")</f>
        <v>RSPMGT</v>
      </c>
      <c r="G2557" s="2" t="str">
        <f>IFERROR(__xludf.DUMMYFUNCTION("IF('From Order'!$A2557=COLUMNS($A2557:G2576), LEFT(INDEX(FILTER(G$1:G2556, G$1:G2556&lt;&gt;""""),COUNTA(FILTER(G$1:G2556, G$1:G2556&lt;&gt;""""))), LEN(INDEX(FILTER(G$1:G2556, G$1:G2556&lt;&gt;""""),COUNTA(FILTER(G$1:G2556, G$1:G2556&lt;&gt;""""))))-1), IF('To Order'!$A2557=COL"&amp;"UMNS($A2557:G2576), G2556&amp;RIGHT(INDIRECT(ADDRESS(ROW(G2557)-1, 'From Order'!$A2557)), 1), G2556))"),"")</f>
        <v/>
      </c>
      <c r="H2557" s="2" t="str">
        <f>IFERROR(__xludf.DUMMYFUNCTION("IF('From Order'!$A2557=COLUMNS($A2557:H2576), LEFT(INDEX(FILTER(H$1:H2556, H$1:H2556&lt;&gt;""""),COUNTA(FILTER(H$1:H2556, H$1:H2556&lt;&gt;""""))), LEN(INDEX(FILTER(H$1:H2556, H$1:H2556&lt;&gt;""""),COUNTA(FILTER(H$1:H2556, H$1:H2556&lt;&gt;""""))))-1), IF('To Order'!$A2557=COL"&amp;"UMNS($A2557:H2576), H2556&amp;RIGHT(INDIRECT(ADDRESS(ROW(H2557)-1, 'From Order'!$A2557)), 1), H2556))"),"TJTSZHZ")</f>
        <v>TJTSZHZ</v>
      </c>
      <c r="I2557" s="2" t="str">
        <f>IFERROR(__xludf.DUMMYFUNCTION("IF('From Order'!$A2557=COLUMNS($A2557:I2576), LEFT(INDEX(FILTER(I$1:I2556, I$1:I2556&lt;&gt;""""),COUNTA(FILTER(I$1:I2556, I$1:I2556&lt;&gt;""""))), LEN(INDEX(FILTER(I$1:I2556, I$1:I2556&lt;&gt;""""),COUNTA(FILTER(I$1:I2556, I$1:I2556&lt;&gt;""""))))-1), IF('To Order'!$A2557=COL"&amp;"UMNS($A2557:I2576), I2556&amp;RIGHT(INDIRECT(ADDRESS(ROW(I2557)-1, 'From Order'!$A2557)), 1), I2556))"),"QVVDDSPLRRJTTCJFZDMTM")</f>
        <v>QVVDDSPLRRJTTCJFZDMTM</v>
      </c>
    </row>
    <row r="2558">
      <c r="A2558" s="2" t="str">
        <f>IFERROR(__xludf.DUMMYFUNCTION("IF('From Order'!$A2558=COLUMNS($A2558:A2577), LEFT(INDEX(FILTER(A$1:A2557, A$1:A2557&lt;&gt;""""),COUNTA(FILTER(A$1:A2557, A$1:A2557&lt;&gt;""""))), LEN(INDEX(FILTER(A$1:A2557, A$1:A2557&lt;&gt;""""),COUNTA(FILTER(A$1:A2557, A$1:A2557&lt;&gt;""""))))-1), IF('To Order'!$A2558=COL"&amp;"UMNS($A2558:A2577), A2557&amp;RIGHT(INDIRECT(ADDRESS(ROW(A2558)-1, 'From Order'!$A2558)), 1), A2557))"),"DR")</f>
        <v>DR</v>
      </c>
      <c r="B2558" s="2" t="str">
        <f>IFERROR(__xludf.DUMMYFUNCTION("IF('From Order'!$A2558=COLUMNS($A2558:B2577), LEFT(INDEX(FILTER(B$1:B2557, B$1:B2557&lt;&gt;""""),COUNTA(FILTER(B$1:B2557, B$1:B2557&lt;&gt;""""))), LEN(INDEX(FILTER(B$1:B2557, B$1:B2557&lt;&gt;""""),COUNTA(FILTER(B$1:B2557, B$1:B2557&lt;&gt;""""))))-1), IF('To Order'!$A2558=COL"&amp;"UMNS($A2558:B2577), B2557&amp;RIGHT(INDIRECT(ADDRESS(ROW(B2558)-1, 'From Order'!$A2558)), 1), B2557))"),"QGWWLHBS")</f>
        <v>QGWWLHBS</v>
      </c>
      <c r="C2558" s="2" t="str">
        <f>IFERROR(__xludf.DUMMYFUNCTION("IF('From Order'!$A2558=COLUMNS($A2558:C2577), LEFT(INDEX(FILTER(C$1:C2557, C$1:C2557&lt;&gt;""""),COUNTA(FILTER(C$1:C2557, C$1:C2557&lt;&gt;""""))), LEN(INDEX(FILTER(C$1:C2557, C$1:C2557&lt;&gt;""""),COUNTA(FILTER(C$1:C2557, C$1:C2557&lt;&gt;""""))))-1), IF('To Order'!$A2558=COL"&amp;"UMNS($A2558:C2577), C2557&amp;RIGHT(INDIRECT(ADDRESS(ROW(C2558)-1, 'From Order'!$A2558)), 1), C2557))"),"CDLFBDVB")</f>
        <v>CDLFBDVB</v>
      </c>
      <c r="D2558" s="2" t="str">
        <f>IFERROR(__xludf.DUMMYFUNCTION("IF('From Order'!$A2558=COLUMNS($A2558:D2577), LEFT(INDEX(FILTER(D$1:D2557, D$1:D2557&lt;&gt;""""),COUNTA(FILTER(D$1:D2557, D$1:D2557&lt;&gt;""""))), LEN(INDEX(FILTER(D$1:D2557, D$1:D2557&lt;&gt;""""),COUNTA(FILTER(D$1:D2557, D$1:D2557&lt;&gt;""""))))-1), IF('To Order'!$A2558=COL"&amp;"UMNS($A2558:D2577), D2557&amp;RIGHT(INDIRECT(ADDRESS(ROW(D2558)-1, 'From Order'!$A2558)), 1), D2557))"),"C")</f>
        <v>C</v>
      </c>
      <c r="E2558" s="2" t="str">
        <f>IFERROR(__xludf.DUMMYFUNCTION("IF('From Order'!$A2558=COLUMNS($A2558:E2577), LEFT(INDEX(FILTER(E$1:E2557, E$1:E2557&lt;&gt;""""),COUNTA(FILTER(E$1:E2557, E$1:E2557&lt;&gt;""""))), LEN(INDEX(FILTER(E$1:E2557, E$1:E2557&lt;&gt;""""),COUNTA(FILTER(E$1:E2557, E$1:E2557&lt;&gt;""""))))-1), IF('To Order'!$A2558=COL"&amp;"UMNS($A2558:E2577), E2557&amp;RIGHT(INDIRECT(ADDRESS(ROW(E2558)-1, 'From Order'!$A2558)), 1), E2557))"),"BRP")</f>
        <v>BRP</v>
      </c>
      <c r="F2558" s="2" t="str">
        <f>IFERROR(__xludf.DUMMYFUNCTION("IF('From Order'!$A2558=COLUMNS($A2558:F2577), LEFT(INDEX(FILTER(F$1:F2557, F$1:F2557&lt;&gt;""""),COUNTA(FILTER(F$1:F2557, F$1:F2557&lt;&gt;""""))), LEN(INDEX(FILTER(F$1:F2557, F$1:F2557&lt;&gt;""""),COUNTA(FILTER(F$1:F2557, F$1:F2557&lt;&gt;""""))))-1), IF('To Order'!$A2558=COL"&amp;"UMNS($A2558:F2577), F2557&amp;RIGHT(INDIRECT(ADDRESS(ROW(F2558)-1, 'From Order'!$A2558)), 1), F2557))"),"RSPMGT")</f>
        <v>RSPMGT</v>
      </c>
      <c r="G2558" s="2" t="str">
        <f>IFERROR(__xludf.DUMMYFUNCTION("IF('From Order'!$A2558=COLUMNS($A2558:G2577), LEFT(INDEX(FILTER(G$1:G2557, G$1:G2557&lt;&gt;""""),COUNTA(FILTER(G$1:G2557, G$1:G2557&lt;&gt;""""))), LEN(INDEX(FILTER(G$1:G2557, G$1:G2557&lt;&gt;""""),COUNTA(FILTER(G$1:G2557, G$1:G2557&lt;&gt;""""))))-1), IF('To Order'!$A2558=COL"&amp;"UMNS($A2558:G2577), G2557&amp;RIGHT(INDIRECT(ADDRESS(ROW(G2558)-1, 'From Order'!$A2558)), 1), G2557))"),"")</f>
        <v/>
      </c>
      <c r="H2558" s="2" t="str">
        <f>IFERROR(__xludf.DUMMYFUNCTION("IF('From Order'!$A2558=COLUMNS($A2558:H2577), LEFT(INDEX(FILTER(H$1:H2557, H$1:H2557&lt;&gt;""""),COUNTA(FILTER(H$1:H2557, H$1:H2557&lt;&gt;""""))), LEN(INDEX(FILTER(H$1:H2557, H$1:H2557&lt;&gt;""""),COUNTA(FILTER(H$1:H2557, H$1:H2557&lt;&gt;""""))))-1), IF('To Order'!$A2558=COL"&amp;"UMNS($A2558:H2577), H2557&amp;RIGHT(INDIRECT(ADDRESS(ROW(H2558)-1, 'From Order'!$A2558)), 1), H2557))"),"TJTSZHZM")</f>
        <v>TJTSZHZM</v>
      </c>
      <c r="I2558" s="2" t="str">
        <f>IFERROR(__xludf.DUMMYFUNCTION("IF('From Order'!$A2558=COLUMNS($A2558:I2577), LEFT(INDEX(FILTER(I$1:I2557, I$1:I2557&lt;&gt;""""),COUNTA(FILTER(I$1:I2557, I$1:I2557&lt;&gt;""""))), LEN(INDEX(FILTER(I$1:I2557, I$1:I2557&lt;&gt;""""),COUNTA(FILTER(I$1:I2557, I$1:I2557&lt;&gt;""""))))-1), IF('To Order'!$A2558=COL"&amp;"UMNS($A2558:I2577), I2557&amp;RIGHT(INDIRECT(ADDRESS(ROW(I2558)-1, 'From Order'!$A2558)), 1), I2557))"),"QVVDDSPLRRJTTCJFZDMT")</f>
        <v>QVVDDSPLRRJTTCJFZDMT</v>
      </c>
    </row>
    <row r="2559">
      <c r="A2559" s="2" t="str">
        <f>IFERROR(__xludf.DUMMYFUNCTION("IF('From Order'!$A2559=COLUMNS($A2559:A2578), LEFT(INDEX(FILTER(A$1:A2558, A$1:A2558&lt;&gt;""""),COUNTA(FILTER(A$1:A2558, A$1:A2558&lt;&gt;""""))), LEN(INDEX(FILTER(A$1:A2558, A$1:A2558&lt;&gt;""""),COUNTA(FILTER(A$1:A2558, A$1:A2558&lt;&gt;""""))))-1), IF('To Order'!$A2559=COL"&amp;"UMNS($A2559:A2578), A2558&amp;RIGHT(INDIRECT(ADDRESS(ROW(A2559)-1, 'From Order'!$A2559)), 1), A2558))"),"DR")</f>
        <v>DR</v>
      </c>
      <c r="B2559" s="2" t="str">
        <f>IFERROR(__xludf.DUMMYFUNCTION("IF('From Order'!$A2559=COLUMNS($A2559:B2578), LEFT(INDEX(FILTER(B$1:B2558, B$1:B2558&lt;&gt;""""),COUNTA(FILTER(B$1:B2558, B$1:B2558&lt;&gt;""""))), LEN(INDEX(FILTER(B$1:B2558, B$1:B2558&lt;&gt;""""),COUNTA(FILTER(B$1:B2558, B$1:B2558&lt;&gt;""""))))-1), IF('To Order'!$A2559=COL"&amp;"UMNS($A2559:B2578), B2558&amp;RIGHT(INDIRECT(ADDRESS(ROW(B2559)-1, 'From Order'!$A2559)), 1), B2558))"),"QGWWLHBS")</f>
        <v>QGWWLHBS</v>
      </c>
      <c r="C2559" s="2" t="str">
        <f>IFERROR(__xludf.DUMMYFUNCTION("IF('From Order'!$A2559=COLUMNS($A2559:C2578), LEFT(INDEX(FILTER(C$1:C2558, C$1:C2558&lt;&gt;""""),COUNTA(FILTER(C$1:C2558, C$1:C2558&lt;&gt;""""))), LEN(INDEX(FILTER(C$1:C2558, C$1:C2558&lt;&gt;""""),COUNTA(FILTER(C$1:C2558, C$1:C2558&lt;&gt;""""))))-1), IF('To Order'!$A2559=COL"&amp;"UMNS($A2559:C2578), C2558&amp;RIGHT(INDIRECT(ADDRESS(ROW(C2559)-1, 'From Order'!$A2559)), 1), C2558))"),"CDLFBDVB")</f>
        <v>CDLFBDVB</v>
      </c>
      <c r="D2559" s="2" t="str">
        <f>IFERROR(__xludf.DUMMYFUNCTION("IF('From Order'!$A2559=COLUMNS($A2559:D2578), LEFT(INDEX(FILTER(D$1:D2558, D$1:D2558&lt;&gt;""""),COUNTA(FILTER(D$1:D2558, D$1:D2558&lt;&gt;""""))), LEN(INDEX(FILTER(D$1:D2558, D$1:D2558&lt;&gt;""""),COUNTA(FILTER(D$1:D2558, D$1:D2558&lt;&gt;""""))))-1), IF('To Order'!$A2559=COL"&amp;"UMNS($A2559:D2578), D2558&amp;RIGHT(INDIRECT(ADDRESS(ROW(D2559)-1, 'From Order'!$A2559)), 1), D2558))"),"C")</f>
        <v>C</v>
      </c>
      <c r="E2559" s="2" t="str">
        <f>IFERROR(__xludf.DUMMYFUNCTION("IF('From Order'!$A2559=COLUMNS($A2559:E2578), LEFT(INDEX(FILTER(E$1:E2558, E$1:E2558&lt;&gt;""""),COUNTA(FILTER(E$1:E2558, E$1:E2558&lt;&gt;""""))), LEN(INDEX(FILTER(E$1:E2558, E$1:E2558&lt;&gt;""""),COUNTA(FILTER(E$1:E2558, E$1:E2558&lt;&gt;""""))))-1), IF('To Order'!$A2559=COL"&amp;"UMNS($A2559:E2578), E2558&amp;RIGHT(INDIRECT(ADDRESS(ROW(E2559)-1, 'From Order'!$A2559)), 1), E2558))"),"BRP")</f>
        <v>BRP</v>
      </c>
      <c r="F2559" s="2" t="str">
        <f>IFERROR(__xludf.DUMMYFUNCTION("IF('From Order'!$A2559=COLUMNS($A2559:F2578), LEFT(INDEX(FILTER(F$1:F2558, F$1:F2558&lt;&gt;""""),COUNTA(FILTER(F$1:F2558, F$1:F2558&lt;&gt;""""))), LEN(INDEX(FILTER(F$1:F2558, F$1:F2558&lt;&gt;""""),COUNTA(FILTER(F$1:F2558, F$1:F2558&lt;&gt;""""))))-1), IF('To Order'!$A2559=COL"&amp;"UMNS($A2559:F2578), F2558&amp;RIGHT(INDIRECT(ADDRESS(ROW(F2559)-1, 'From Order'!$A2559)), 1), F2558))"),"RSPMGT")</f>
        <v>RSPMGT</v>
      </c>
      <c r="G2559" s="2" t="str">
        <f>IFERROR(__xludf.DUMMYFUNCTION("IF('From Order'!$A2559=COLUMNS($A2559:G2578), LEFT(INDEX(FILTER(G$1:G2558, G$1:G2558&lt;&gt;""""),COUNTA(FILTER(G$1:G2558, G$1:G2558&lt;&gt;""""))), LEN(INDEX(FILTER(G$1:G2558, G$1:G2558&lt;&gt;""""),COUNTA(FILTER(G$1:G2558, G$1:G2558&lt;&gt;""""))))-1), IF('To Order'!$A2559=COL"&amp;"UMNS($A2559:G2578), G2558&amp;RIGHT(INDIRECT(ADDRESS(ROW(G2559)-1, 'From Order'!$A2559)), 1), G2558))"),"")</f>
        <v/>
      </c>
      <c r="H2559" s="2" t="str">
        <f>IFERROR(__xludf.DUMMYFUNCTION("IF('From Order'!$A2559=COLUMNS($A2559:H2578), LEFT(INDEX(FILTER(H$1:H2558, H$1:H2558&lt;&gt;""""),COUNTA(FILTER(H$1:H2558, H$1:H2558&lt;&gt;""""))), LEN(INDEX(FILTER(H$1:H2558, H$1:H2558&lt;&gt;""""),COUNTA(FILTER(H$1:H2558, H$1:H2558&lt;&gt;""""))))-1), IF('To Order'!$A2559=COL"&amp;"UMNS($A2559:H2578), H2558&amp;RIGHT(INDIRECT(ADDRESS(ROW(H2559)-1, 'From Order'!$A2559)), 1), H2558))"),"TJTSZHZMT")</f>
        <v>TJTSZHZMT</v>
      </c>
      <c r="I2559" s="2" t="str">
        <f>IFERROR(__xludf.DUMMYFUNCTION("IF('From Order'!$A2559=COLUMNS($A2559:I2578), LEFT(INDEX(FILTER(I$1:I2558, I$1:I2558&lt;&gt;""""),COUNTA(FILTER(I$1:I2558, I$1:I2558&lt;&gt;""""))), LEN(INDEX(FILTER(I$1:I2558, I$1:I2558&lt;&gt;""""),COUNTA(FILTER(I$1:I2558, I$1:I2558&lt;&gt;""""))))-1), IF('To Order'!$A2559=COL"&amp;"UMNS($A2559:I2578), I2558&amp;RIGHT(INDIRECT(ADDRESS(ROW(I2559)-1, 'From Order'!$A2559)), 1), I2558))"),"QVVDDSPLRRJTTCJFZDM")</f>
        <v>QVVDDSPLRRJTTCJFZDM</v>
      </c>
    </row>
    <row r="2560">
      <c r="A2560" s="2" t="str">
        <f>IFERROR(__xludf.DUMMYFUNCTION("IF('From Order'!$A2560=COLUMNS($A2560:A2579), LEFT(INDEX(FILTER(A$1:A2559, A$1:A2559&lt;&gt;""""),COUNTA(FILTER(A$1:A2559, A$1:A2559&lt;&gt;""""))), LEN(INDEX(FILTER(A$1:A2559, A$1:A2559&lt;&gt;""""),COUNTA(FILTER(A$1:A2559, A$1:A2559&lt;&gt;""""))))-1), IF('To Order'!$A2560=COL"&amp;"UMNS($A2560:A2579), A2559&amp;RIGHT(INDIRECT(ADDRESS(ROW(A2560)-1, 'From Order'!$A2560)), 1), A2559))"),"DR")</f>
        <v>DR</v>
      </c>
      <c r="B2560" s="2" t="str">
        <f>IFERROR(__xludf.DUMMYFUNCTION("IF('From Order'!$A2560=COLUMNS($A2560:B2579), LEFT(INDEX(FILTER(B$1:B2559, B$1:B2559&lt;&gt;""""),COUNTA(FILTER(B$1:B2559, B$1:B2559&lt;&gt;""""))), LEN(INDEX(FILTER(B$1:B2559, B$1:B2559&lt;&gt;""""),COUNTA(FILTER(B$1:B2559, B$1:B2559&lt;&gt;""""))))-1), IF('To Order'!$A2560=COL"&amp;"UMNS($A2560:B2579), B2559&amp;RIGHT(INDIRECT(ADDRESS(ROW(B2560)-1, 'From Order'!$A2560)), 1), B2559))"),"QGWWLHBS")</f>
        <v>QGWWLHBS</v>
      </c>
      <c r="C2560" s="2" t="str">
        <f>IFERROR(__xludf.DUMMYFUNCTION("IF('From Order'!$A2560=COLUMNS($A2560:C2579), LEFT(INDEX(FILTER(C$1:C2559, C$1:C2559&lt;&gt;""""),COUNTA(FILTER(C$1:C2559, C$1:C2559&lt;&gt;""""))), LEN(INDEX(FILTER(C$1:C2559, C$1:C2559&lt;&gt;""""),COUNTA(FILTER(C$1:C2559, C$1:C2559&lt;&gt;""""))))-1), IF('To Order'!$A2560=COL"&amp;"UMNS($A2560:C2579), C2559&amp;RIGHT(INDIRECT(ADDRESS(ROW(C2560)-1, 'From Order'!$A2560)), 1), C2559))"),"CDLFBDVB")</f>
        <v>CDLFBDVB</v>
      </c>
      <c r="D2560" s="2" t="str">
        <f>IFERROR(__xludf.DUMMYFUNCTION("IF('From Order'!$A2560=COLUMNS($A2560:D2579), LEFT(INDEX(FILTER(D$1:D2559, D$1:D2559&lt;&gt;""""),COUNTA(FILTER(D$1:D2559, D$1:D2559&lt;&gt;""""))), LEN(INDEX(FILTER(D$1:D2559, D$1:D2559&lt;&gt;""""),COUNTA(FILTER(D$1:D2559, D$1:D2559&lt;&gt;""""))))-1), IF('To Order'!$A2560=COL"&amp;"UMNS($A2560:D2579), D2559&amp;RIGHT(INDIRECT(ADDRESS(ROW(D2560)-1, 'From Order'!$A2560)), 1), D2559))"),"C")</f>
        <v>C</v>
      </c>
      <c r="E2560" s="2" t="str">
        <f>IFERROR(__xludf.DUMMYFUNCTION("IF('From Order'!$A2560=COLUMNS($A2560:E2579), LEFT(INDEX(FILTER(E$1:E2559, E$1:E2559&lt;&gt;""""),COUNTA(FILTER(E$1:E2559, E$1:E2559&lt;&gt;""""))), LEN(INDEX(FILTER(E$1:E2559, E$1:E2559&lt;&gt;""""),COUNTA(FILTER(E$1:E2559, E$1:E2559&lt;&gt;""""))))-1), IF('To Order'!$A2560=COL"&amp;"UMNS($A2560:E2579), E2559&amp;RIGHT(INDIRECT(ADDRESS(ROW(E2560)-1, 'From Order'!$A2560)), 1), E2559))"),"BRP")</f>
        <v>BRP</v>
      </c>
      <c r="F2560" s="2" t="str">
        <f>IFERROR(__xludf.DUMMYFUNCTION("IF('From Order'!$A2560=COLUMNS($A2560:F2579), LEFT(INDEX(FILTER(F$1:F2559, F$1:F2559&lt;&gt;""""),COUNTA(FILTER(F$1:F2559, F$1:F2559&lt;&gt;""""))), LEN(INDEX(FILTER(F$1:F2559, F$1:F2559&lt;&gt;""""),COUNTA(FILTER(F$1:F2559, F$1:F2559&lt;&gt;""""))))-1), IF('To Order'!$A2560=COL"&amp;"UMNS($A2560:F2579), F2559&amp;RIGHT(INDIRECT(ADDRESS(ROW(F2560)-1, 'From Order'!$A2560)), 1), F2559))"),"RSPMGT")</f>
        <v>RSPMGT</v>
      </c>
      <c r="G2560" s="2" t="str">
        <f>IFERROR(__xludf.DUMMYFUNCTION("IF('From Order'!$A2560=COLUMNS($A2560:G2579), LEFT(INDEX(FILTER(G$1:G2559, G$1:G2559&lt;&gt;""""),COUNTA(FILTER(G$1:G2559, G$1:G2559&lt;&gt;""""))), LEN(INDEX(FILTER(G$1:G2559, G$1:G2559&lt;&gt;""""),COUNTA(FILTER(G$1:G2559, G$1:G2559&lt;&gt;""""))))-1), IF('To Order'!$A2560=COL"&amp;"UMNS($A2560:G2579), G2559&amp;RIGHT(INDIRECT(ADDRESS(ROW(G2560)-1, 'From Order'!$A2560)), 1), G2559))"),"")</f>
        <v/>
      </c>
      <c r="H2560" s="2" t="str">
        <f>IFERROR(__xludf.DUMMYFUNCTION("IF('From Order'!$A2560=COLUMNS($A2560:H2579), LEFT(INDEX(FILTER(H$1:H2559, H$1:H2559&lt;&gt;""""),COUNTA(FILTER(H$1:H2559, H$1:H2559&lt;&gt;""""))), LEN(INDEX(FILTER(H$1:H2559, H$1:H2559&lt;&gt;""""),COUNTA(FILTER(H$1:H2559, H$1:H2559&lt;&gt;""""))))-1), IF('To Order'!$A2560=COL"&amp;"UMNS($A2560:H2579), H2559&amp;RIGHT(INDIRECT(ADDRESS(ROW(H2560)-1, 'From Order'!$A2560)), 1), H2559))"),"TJTSZHZMTM")</f>
        <v>TJTSZHZMTM</v>
      </c>
      <c r="I2560" s="2" t="str">
        <f>IFERROR(__xludf.DUMMYFUNCTION("IF('From Order'!$A2560=COLUMNS($A2560:I2579), LEFT(INDEX(FILTER(I$1:I2559, I$1:I2559&lt;&gt;""""),COUNTA(FILTER(I$1:I2559, I$1:I2559&lt;&gt;""""))), LEN(INDEX(FILTER(I$1:I2559, I$1:I2559&lt;&gt;""""),COUNTA(FILTER(I$1:I2559, I$1:I2559&lt;&gt;""""))))-1), IF('To Order'!$A2560=COL"&amp;"UMNS($A2560:I2579), I2559&amp;RIGHT(INDIRECT(ADDRESS(ROW(I2560)-1, 'From Order'!$A2560)), 1), I2559))"),"QVVDDSPLRRJTTCJFZD")</f>
        <v>QVVDDSPLRRJTTCJFZD</v>
      </c>
    </row>
    <row r="2561">
      <c r="A2561" s="2" t="str">
        <f>IFERROR(__xludf.DUMMYFUNCTION("IF('From Order'!$A2561=COLUMNS($A2561:A2580), LEFT(INDEX(FILTER(A$1:A2560, A$1:A2560&lt;&gt;""""),COUNTA(FILTER(A$1:A2560, A$1:A2560&lt;&gt;""""))), LEN(INDEX(FILTER(A$1:A2560, A$1:A2560&lt;&gt;""""),COUNTA(FILTER(A$1:A2560, A$1:A2560&lt;&gt;""""))))-1), IF('To Order'!$A2561=COL"&amp;"UMNS($A2561:A2580), A2560&amp;RIGHT(INDIRECT(ADDRESS(ROW(A2561)-1, 'From Order'!$A2561)), 1), A2560))"),"DR")</f>
        <v>DR</v>
      </c>
      <c r="B2561" s="2" t="str">
        <f>IFERROR(__xludf.DUMMYFUNCTION("IF('From Order'!$A2561=COLUMNS($A2561:B2580), LEFT(INDEX(FILTER(B$1:B2560, B$1:B2560&lt;&gt;""""),COUNTA(FILTER(B$1:B2560, B$1:B2560&lt;&gt;""""))), LEN(INDEX(FILTER(B$1:B2560, B$1:B2560&lt;&gt;""""),COUNTA(FILTER(B$1:B2560, B$1:B2560&lt;&gt;""""))))-1), IF('To Order'!$A2561=COL"&amp;"UMNS($A2561:B2580), B2560&amp;RIGHT(INDIRECT(ADDRESS(ROW(B2561)-1, 'From Order'!$A2561)), 1), B2560))"),"QGWWLHBS")</f>
        <v>QGWWLHBS</v>
      </c>
      <c r="C2561" s="2" t="str">
        <f>IFERROR(__xludf.DUMMYFUNCTION("IF('From Order'!$A2561=COLUMNS($A2561:C2580), LEFT(INDEX(FILTER(C$1:C2560, C$1:C2560&lt;&gt;""""),COUNTA(FILTER(C$1:C2560, C$1:C2560&lt;&gt;""""))), LEN(INDEX(FILTER(C$1:C2560, C$1:C2560&lt;&gt;""""),COUNTA(FILTER(C$1:C2560, C$1:C2560&lt;&gt;""""))))-1), IF('To Order'!$A2561=COL"&amp;"UMNS($A2561:C2580), C2560&amp;RIGHT(INDIRECT(ADDRESS(ROW(C2561)-1, 'From Order'!$A2561)), 1), C2560))"),"CDLFBDVB")</f>
        <v>CDLFBDVB</v>
      </c>
      <c r="D2561" s="2" t="str">
        <f>IFERROR(__xludf.DUMMYFUNCTION("IF('From Order'!$A2561=COLUMNS($A2561:D2580), LEFT(INDEX(FILTER(D$1:D2560, D$1:D2560&lt;&gt;""""),COUNTA(FILTER(D$1:D2560, D$1:D2560&lt;&gt;""""))), LEN(INDEX(FILTER(D$1:D2560, D$1:D2560&lt;&gt;""""),COUNTA(FILTER(D$1:D2560, D$1:D2560&lt;&gt;""""))))-1), IF('To Order'!$A2561=COL"&amp;"UMNS($A2561:D2580), D2560&amp;RIGHT(INDIRECT(ADDRESS(ROW(D2561)-1, 'From Order'!$A2561)), 1), D2560))"),"C")</f>
        <v>C</v>
      </c>
      <c r="E2561" s="2" t="str">
        <f>IFERROR(__xludf.DUMMYFUNCTION("IF('From Order'!$A2561=COLUMNS($A2561:E2580), LEFT(INDEX(FILTER(E$1:E2560, E$1:E2560&lt;&gt;""""),COUNTA(FILTER(E$1:E2560, E$1:E2560&lt;&gt;""""))), LEN(INDEX(FILTER(E$1:E2560, E$1:E2560&lt;&gt;""""),COUNTA(FILTER(E$1:E2560, E$1:E2560&lt;&gt;""""))))-1), IF('To Order'!$A2561=COL"&amp;"UMNS($A2561:E2580), E2560&amp;RIGHT(INDIRECT(ADDRESS(ROW(E2561)-1, 'From Order'!$A2561)), 1), E2560))"),"BRP")</f>
        <v>BRP</v>
      </c>
      <c r="F2561" s="2" t="str">
        <f>IFERROR(__xludf.DUMMYFUNCTION("IF('From Order'!$A2561=COLUMNS($A2561:F2580), LEFT(INDEX(FILTER(F$1:F2560, F$1:F2560&lt;&gt;""""),COUNTA(FILTER(F$1:F2560, F$1:F2560&lt;&gt;""""))), LEN(INDEX(FILTER(F$1:F2560, F$1:F2560&lt;&gt;""""),COUNTA(FILTER(F$1:F2560, F$1:F2560&lt;&gt;""""))))-1), IF('To Order'!$A2561=COL"&amp;"UMNS($A2561:F2580), F2560&amp;RIGHT(INDIRECT(ADDRESS(ROW(F2561)-1, 'From Order'!$A2561)), 1), F2560))"),"RSPMGT")</f>
        <v>RSPMGT</v>
      </c>
      <c r="G2561" s="2" t="str">
        <f>IFERROR(__xludf.DUMMYFUNCTION("IF('From Order'!$A2561=COLUMNS($A2561:G2580), LEFT(INDEX(FILTER(G$1:G2560, G$1:G2560&lt;&gt;""""),COUNTA(FILTER(G$1:G2560, G$1:G2560&lt;&gt;""""))), LEN(INDEX(FILTER(G$1:G2560, G$1:G2560&lt;&gt;""""),COUNTA(FILTER(G$1:G2560, G$1:G2560&lt;&gt;""""))))-1), IF('To Order'!$A2561=COL"&amp;"UMNS($A2561:G2580), G2560&amp;RIGHT(INDIRECT(ADDRESS(ROW(G2561)-1, 'From Order'!$A2561)), 1), G2560))"),"")</f>
        <v/>
      </c>
      <c r="H2561" s="2" t="str">
        <f>IFERROR(__xludf.DUMMYFUNCTION("IF('From Order'!$A2561=COLUMNS($A2561:H2580), LEFT(INDEX(FILTER(H$1:H2560, H$1:H2560&lt;&gt;""""),COUNTA(FILTER(H$1:H2560, H$1:H2560&lt;&gt;""""))), LEN(INDEX(FILTER(H$1:H2560, H$1:H2560&lt;&gt;""""),COUNTA(FILTER(H$1:H2560, H$1:H2560&lt;&gt;""""))))-1), IF('To Order'!$A2561=COL"&amp;"UMNS($A2561:H2580), H2560&amp;RIGHT(INDIRECT(ADDRESS(ROW(H2561)-1, 'From Order'!$A2561)), 1), H2560))"),"TJTSZHZMTMD")</f>
        <v>TJTSZHZMTMD</v>
      </c>
      <c r="I2561" s="2" t="str">
        <f>IFERROR(__xludf.DUMMYFUNCTION("IF('From Order'!$A2561=COLUMNS($A2561:I2580), LEFT(INDEX(FILTER(I$1:I2560, I$1:I2560&lt;&gt;""""),COUNTA(FILTER(I$1:I2560, I$1:I2560&lt;&gt;""""))), LEN(INDEX(FILTER(I$1:I2560, I$1:I2560&lt;&gt;""""),COUNTA(FILTER(I$1:I2560, I$1:I2560&lt;&gt;""""))))-1), IF('To Order'!$A2561=COL"&amp;"UMNS($A2561:I2580), I2560&amp;RIGHT(INDIRECT(ADDRESS(ROW(I2561)-1, 'From Order'!$A2561)), 1), I2560))"),"QVVDDSPLRRJTTCJFZ")</f>
        <v>QVVDDSPLRRJTTCJFZ</v>
      </c>
    </row>
    <row r="2562">
      <c r="A2562" s="2" t="str">
        <f>IFERROR(__xludf.DUMMYFUNCTION("IF('From Order'!$A2562=COLUMNS($A2562:A2581), LEFT(INDEX(FILTER(A$1:A2561, A$1:A2561&lt;&gt;""""),COUNTA(FILTER(A$1:A2561, A$1:A2561&lt;&gt;""""))), LEN(INDEX(FILTER(A$1:A2561, A$1:A2561&lt;&gt;""""),COUNTA(FILTER(A$1:A2561, A$1:A2561&lt;&gt;""""))))-1), IF('To Order'!$A2562=COL"&amp;"UMNS($A2562:A2581), A2561&amp;RIGHT(INDIRECT(ADDRESS(ROW(A2562)-1, 'From Order'!$A2562)), 1), A2561))"),"D")</f>
        <v>D</v>
      </c>
      <c r="B2562" s="2" t="str">
        <f>IFERROR(__xludf.DUMMYFUNCTION("IF('From Order'!$A2562=COLUMNS($A2562:B2581), LEFT(INDEX(FILTER(B$1:B2561, B$1:B2561&lt;&gt;""""),COUNTA(FILTER(B$1:B2561, B$1:B2561&lt;&gt;""""))), LEN(INDEX(FILTER(B$1:B2561, B$1:B2561&lt;&gt;""""),COUNTA(FILTER(B$1:B2561, B$1:B2561&lt;&gt;""""))))-1), IF('To Order'!$A2562=COL"&amp;"UMNS($A2562:B2581), B2561&amp;RIGHT(INDIRECT(ADDRESS(ROW(B2562)-1, 'From Order'!$A2562)), 1), B2561))"),"QGWWLHBS")</f>
        <v>QGWWLHBS</v>
      </c>
      <c r="C2562" s="2" t="str">
        <f>IFERROR(__xludf.DUMMYFUNCTION("IF('From Order'!$A2562=COLUMNS($A2562:C2581), LEFT(INDEX(FILTER(C$1:C2561, C$1:C2561&lt;&gt;""""),COUNTA(FILTER(C$1:C2561, C$1:C2561&lt;&gt;""""))), LEN(INDEX(FILTER(C$1:C2561, C$1:C2561&lt;&gt;""""),COUNTA(FILTER(C$1:C2561, C$1:C2561&lt;&gt;""""))))-1), IF('To Order'!$A2562=COL"&amp;"UMNS($A2562:C2581), C2561&amp;RIGHT(INDIRECT(ADDRESS(ROW(C2562)-1, 'From Order'!$A2562)), 1), C2561))"),"CDLFBDVB")</f>
        <v>CDLFBDVB</v>
      </c>
      <c r="D2562" s="2" t="str">
        <f>IFERROR(__xludf.DUMMYFUNCTION("IF('From Order'!$A2562=COLUMNS($A2562:D2581), LEFT(INDEX(FILTER(D$1:D2561, D$1:D2561&lt;&gt;""""),COUNTA(FILTER(D$1:D2561, D$1:D2561&lt;&gt;""""))), LEN(INDEX(FILTER(D$1:D2561, D$1:D2561&lt;&gt;""""),COUNTA(FILTER(D$1:D2561, D$1:D2561&lt;&gt;""""))))-1), IF('To Order'!$A2562=COL"&amp;"UMNS($A2562:D2581), D2561&amp;RIGHT(INDIRECT(ADDRESS(ROW(D2562)-1, 'From Order'!$A2562)), 1), D2561))"),"CR")</f>
        <v>CR</v>
      </c>
      <c r="E2562" s="2" t="str">
        <f>IFERROR(__xludf.DUMMYFUNCTION("IF('From Order'!$A2562=COLUMNS($A2562:E2581), LEFT(INDEX(FILTER(E$1:E2561, E$1:E2561&lt;&gt;""""),COUNTA(FILTER(E$1:E2561, E$1:E2561&lt;&gt;""""))), LEN(INDEX(FILTER(E$1:E2561, E$1:E2561&lt;&gt;""""),COUNTA(FILTER(E$1:E2561, E$1:E2561&lt;&gt;""""))))-1), IF('To Order'!$A2562=COL"&amp;"UMNS($A2562:E2581), E2561&amp;RIGHT(INDIRECT(ADDRESS(ROW(E2562)-1, 'From Order'!$A2562)), 1), E2561))"),"BRP")</f>
        <v>BRP</v>
      </c>
      <c r="F2562" s="2" t="str">
        <f>IFERROR(__xludf.DUMMYFUNCTION("IF('From Order'!$A2562=COLUMNS($A2562:F2581), LEFT(INDEX(FILTER(F$1:F2561, F$1:F2561&lt;&gt;""""),COUNTA(FILTER(F$1:F2561, F$1:F2561&lt;&gt;""""))), LEN(INDEX(FILTER(F$1:F2561, F$1:F2561&lt;&gt;""""),COUNTA(FILTER(F$1:F2561, F$1:F2561&lt;&gt;""""))))-1), IF('To Order'!$A2562=COL"&amp;"UMNS($A2562:F2581), F2561&amp;RIGHT(INDIRECT(ADDRESS(ROW(F2562)-1, 'From Order'!$A2562)), 1), F2561))"),"RSPMGT")</f>
        <v>RSPMGT</v>
      </c>
      <c r="G2562" s="2" t="str">
        <f>IFERROR(__xludf.DUMMYFUNCTION("IF('From Order'!$A2562=COLUMNS($A2562:G2581), LEFT(INDEX(FILTER(G$1:G2561, G$1:G2561&lt;&gt;""""),COUNTA(FILTER(G$1:G2561, G$1:G2561&lt;&gt;""""))), LEN(INDEX(FILTER(G$1:G2561, G$1:G2561&lt;&gt;""""),COUNTA(FILTER(G$1:G2561, G$1:G2561&lt;&gt;""""))))-1), IF('To Order'!$A2562=COL"&amp;"UMNS($A2562:G2581), G2561&amp;RIGHT(INDIRECT(ADDRESS(ROW(G2562)-1, 'From Order'!$A2562)), 1), G2561))"),"")</f>
        <v/>
      </c>
      <c r="H2562" s="2" t="str">
        <f>IFERROR(__xludf.DUMMYFUNCTION("IF('From Order'!$A2562=COLUMNS($A2562:H2581), LEFT(INDEX(FILTER(H$1:H2561, H$1:H2561&lt;&gt;""""),COUNTA(FILTER(H$1:H2561, H$1:H2561&lt;&gt;""""))), LEN(INDEX(FILTER(H$1:H2561, H$1:H2561&lt;&gt;""""),COUNTA(FILTER(H$1:H2561, H$1:H2561&lt;&gt;""""))))-1), IF('To Order'!$A2562=COL"&amp;"UMNS($A2562:H2581), H2561&amp;RIGHT(INDIRECT(ADDRESS(ROW(H2562)-1, 'From Order'!$A2562)), 1), H2561))"),"TJTSZHZMTMD")</f>
        <v>TJTSZHZMTMD</v>
      </c>
      <c r="I2562" s="2" t="str">
        <f>IFERROR(__xludf.DUMMYFUNCTION("IF('From Order'!$A2562=COLUMNS($A2562:I2581), LEFT(INDEX(FILTER(I$1:I2561, I$1:I2561&lt;&gt;""""),COUNTA(FILTER(I$1:I2561, I$1:I2561&lt;&gt;""""))), LEN(INDEX(FILTER(I$1:I2561, I$1:I2561&lt;&gt;""""),COUNTA(FILTER(I$1:I2561, I$1:I2561&lt;&gt;""""))))-1), IF('To Order'!$A2562=COL"&amp;"UMNS($A2562:I2581), I2561&amp;RIGHT(INDIRECT(ADDRESS(ROW(I2562)-1, 'From Order'!$A2562)), 1), I2561))"),"QVVDDSPLRRJTTCJFZ")</f>
        <v>QVVDDSPLRRJTTCJFZ</v>
      </c>
    </row>
    <row r="2563">
      <c r="A2563" s="2" t="str">
        <f>IFERROR(__xludf.DUMMYFUNCTION("IF('From Order'!$A2563=COLUMNS($A2563:A2582), LEFT(INDEX(FILTER(A$1:A2562, A$1:A2562&lt;&gt;""""),COUNTA(FILTER(A$1:A2562, A$1:A2562&lt;&gt;""""))), LEN(INDEX(FILTER(A$1:A2562, A$1:A2562&lt;&gt;""""),COUNTA(FILTER(A$1:A2562, A$1:A2562&lt;&gt;""""))))-1), IF('To Order'!$A2563=COL"&amp;"UMNS($A2563:A2582), A2562&amp;RIGHT(INDIRECT(ADDRESS(ROW(A2563)-1, 'From Order'!$A2563)), 1), A2562))"),"D")</f>
        <v>D</v>
      </c>
      <c r="B2563" s="2" t="str">
        <f>IFERROR(__xludf.DUMMYFUNCTION("IF('From Order'!$A2563=COLUMNS($A2563:B2582), LEFT(INDEX(FILTER(B$1:B2562, B$1:B2562&lt;&gt;""""),COUNTA(FILTER(B$1:B2562, B$1:B2562&lt;&gt;""""))), LEN(INDEX(FILTER(B$1:B2562, B$1:B2562&lt;&gt;""""),COUNTA(FILTER(B$1:B2562, B$1:B2562&lt;&gt;""""))))-1), IF('To Order'!$A2563=COL"&amp;"UMNS($A2563:B2582), B2562&amp;RIGHT(INDIRECT(ADDRESS(ROW(B2563)-1, 'From Order'!$A2563)), 1), B2562))"),"QGWWLHBS")</f>
        <v>QGWWLHBS</v>
      </c>
      <c r="C2563" s="2" t="str">
        <f>IFERROR(__xludf.DUMMYFUNCTION("IF('From Order'!$A2563=COLUMNS($A2563:C2582), LEFT(INDEX(FILTER(C$1:C2562, C$1:C2562&lt;&gt;""""),COUNTA(FILTER(C$1:C2562, C$1:C2562&lt;&gt;""""))), LEN(INDEX(FILTER(C$1:C2562, C$1:C2562&lt;&gt;""""),COUNTA(FILTER(C$1:C2562, C$1:C2562&lt;&gt;""""))))-1), IF('To Order'!$A2563=COL"&amp;"UMNS($A2563:C2582), C2562&amp;RIGHT(INDIRECT(ADDRESS(ROW(C2563)-1, 'From Order'!$A2563)), 1), C2562))"),"CDLFBDVB")</f>
        <v>CDLFBDVB</v>
      </c>
      <c r="D2563" s="2" t="str">
        <f>IFERROR(__xludf.DUMMYFUNCTION("IF('From Order'!$A2563=COLUMNS($A2563:D2582), LEFT(INDEX(FILTER(D$1:D2562, D$1:D2562&lt;&gt;""""),COUNTA(FILTER(D$1:D2562, D$1:D2562&lt;&gt;""""))), LEN(INDEX(FILTER(D$1:D2562, D$1:D2562&lt;&gt;""""),COUNTA(FILTER(D$1:D2562, D$1:D2562&lt;&gt;""""))))-1), IF('To Order'!$A2563=COL"&amp;"UMNS($A2563:D2582), D2562&amp;RIGHT(INDIRECT(ADDRESS(ROW(D2563)-1, 'From Order'!$A2563)), 1), D2562))"),"CR")</f>
        <v>CR</v>
      </c>
      <c r="E2563" s="2" t="str">
        <f>IFERROR(__xludf.DUMMYFUNCTION("IF('From Order'!$A2563=COLUMNS($A2563:E2582), LEFT(INDEX(FILTER(E$1:E2562, E$1:E2562&lt;&gt;""""),COUNTA(FILTER(E$1:E2562, E$1:E2562&lt;&gt;""""))), LEN(INDEX(FILTER(E$1:E2562, E$1:E2562&lt;&gt;""""),COUNTA(FILTER(E$1:E2562, E$1:E2562&lt;&gt;""""))))-1), IF('To Order'!$A2563=COL"&amp;"UMNS($A2563:E2582), E2562&amp;RIGHT(INDIRECT(ADDRESS(ROW(E2563)-1, 'From Order'!$A2563)), 1), E2562))"),"BR")</f>
        <v>BR</v>
      </c>
      <c r="F2563" s="2" t="str">
        <f>IFERROR(__xludf.DUMMYFUNCTION("IF('From Order'!$A2563=COLUMNS($A2563:F2582), LEFT(INDEX(FILTER(F$1:F2562, F$1:F2562&lt;&gt;""""),COUNTA(FILTER(F$1:F2562, F$1:F2562&lt;&gt;""""))), LEN(INDEX(FILTER(F$1:F2562, F$1:F2562&lt;&gt;""""),COUNTA(FILTER(F$1:F2562, F$1:F2562&lt;&gt;""""))))-1), IF('To Order'!$A2563=COL"&amp;"UMNS($A2563:F2582), F2562&amp;RIGHT(INDIRECT(ADDRESS(ROW(F2563)-1, 'From Order'!$A2563)), 1), F2562))"),"RSPMGT")</f>
        <v>RSPMGT</v>
      </c>
      <c r="G2563" s="2" t="str">
        <f>IFERROR(__xludf.DUMMYFUNCTION("IF('From Order'!$A2563=COLUMNS($A2563:G2582), LEFT(INDEX(FILTER(G$1:G2562, G$1:G2562&lt;&gt;""""),COUNTA(FILTER(G$1:G2562, G$1:G2562&lt;&gt;""""))), LEN(INDEX(FILTER(G$1:G2562, G$1:G2562&lt;&gt;""""),COUNTA(FILTER(G$1:G2562, G$1:G2562&lt;&gt;""""))))-1), IF('To Order'!$A2563=COL"&amp;"UMNS($A2563:G2582), G2562&amp;RIGHT(INDIRECT(ADDRESS(ROW(G2563)-1, 'From Order'!$A2563)), 1), G2562))"),"")</f>
        <v/>
      </c>
      <c r="H2563" s="2" t="str">
        <f>IFERROR(__xludf.DUMMYFUNCTION("IF('From Order'!$A2563=COLUMNS($A2563:H2582), LEFT(INDEX(FILTER(H$1:H2562, H$1:H2562&lt;&gt;""""),COUNTA(FILTER(H$1:H2562, H$1:H2562&lt;&gt;""""))), LEN(INDEX(FILTER(H$1:H2562, H$1:H2562&lt;&gt;""""),COUNTA(FILTER(H$1:H2562, H$1:H2562&lt;&gt;""""))))-1), IF('To Order'!$A2563=COL"&amp;"UMNS($A2563:H2582), H2562&amp;RIGHT(INDIRECT(ADDRESS(ROW(H2563)-1, 'From Order'!$A2563)), 1), H2562))"),"TJTSZHZMTMD")</f>
        <v>TJTSZHZMTMD</v>
      </c>
      <c r="I2563" s="2" t="str">
        <f>IFERROR(__xludf.DUMMYFUNCTION("IF('From Order'!$A2563=COLUMNS($A2563:I2582), LEFT(INDEX(FILTER(I$1:I2562, I$1:I2562&lt;&gt;""""),COUNTA(FILTER(I$1:I2562, I$1:I2562&lt;&gt;""""))), LEN(INDEX(FILTER(I$1:I2562, I$1:I2562&lt;&gt;""""),COUNTA(FILTER(I$1:I2562, I$1:I2562&lt;&gt;""""))))-1), IF('To Order'!$A2563=COL"&amp;"UMNS($A2563:I2582), I2562&amp;RIGHT(INDIRECT(ADDRESS(ROW(I2563)-1, 'From Order'!$A2563)), 1), I2562))"),"QVVDDSPLRRJTTCJFZP")</f>
        <v>QVVDDSPLRRJTTCJFZP</v>
      </c>
    </row>
    <row r="2564">
      <c r="A2564" s="2" t="str">
        <f>IFERROR(__xludf.DUMMYFUNCTION("IF('From Order'!$A2564=COLUMNS($A2564:A2583), LEFT(INDEX(FILTER(A$1:A2563, A$1:A2563&lt;&gt;""""),COUNTA(FILTER(A$1:A2563, A$1:A2563&lt;&gt;""""))), LEN(INDEX(FILTER(A$1:A2563, A$1:A2563&lt;&gt;""""),COUNTA(FILTER(A$1:A2563, A$1:A2563&lt;&gt;""""))))-1), IF('To Order'!$A2564=COL"&amp;"UMNS($A2564:A2583), A2563&amp;RIGHT(INDIRECT(ADDRESS(ROW(A2564)-1, 'From Order'!$A2564)), 1), A2563))"),"D")</f>
        <v>D</v>
      </c>
      <c r="B2564" s="2" t="str">
        <f>IFERROR(__xludf.DUMMYFUNCTION("IF('From Order'!$A2564=COLUMNS($A2564:B2583), LEFT(INDEX(FILTER(B$1:B2563, B$1:B2563&lt;&gt;""""),COUNTA(FILTER(B$1:B2563, B$1:B2563&lt;&gt;""""))), LEN(INDEX(FILTER(B$1:B2563, B$1:B2563&lt;&gt;""""),COUNTA(FILTER(B$1:B2563, B$1:B2563&lt;&gt;""""))))-1), IF('To Order'!$A2564=COL"&amp;"UMNS($A2564:B2583), B2563&amp;RIGHT(INDIRECT(ADDRESS(ROW(B2564)-1, 'From Order'!$A2564)), 1), B2563))"),"QGWWLHBS")</f>
        <v>QGWWLHBS</v>
      </c>
      <c r="C2564" s="2" t="str">
        <f>IFERROR(__xludf.DUMMYFUNCTION("IF('From Order'!$A2564=COLUMNS($A2564:C2583), LEFT(INDEX(FILTER(C$1:C2563, C$1:C2563&lt;&gt;""""),COUNTA(FILTER(C$1:C2563, C$1:C2563&lt;&gt;""""))), LEN(INDEX(FILTER(C$1:C2563, C$1:C2563&lt;&gt;""""),COUNTA(FILTER(C$1:C2563, C$1:C2563&lt;&gt;""""))))-1), IF('To Order'!$A2564=COL"&amp;"UMNS($A2564:C2583), C2563&amp;RIGHT(INDIRECT(ADDRESS(ROW(C2564)-1, 'From Order'!$A2564)), 1), C2563))"),"CDLFBDVB")</f>
        <v>CDLFBDVB</v>
      </c>
      <c r="D2564" s="2" t="str">
        <f>IFERROR(__xludf.DUMMYFUNCTION("IF('From Order'!$A2564=COLUMNS($A2564:D2583), LEFT(INDEX(FILTER(D$1:D2563, D$1:D2563&lt;&gt;""""),COUNTA(FILTER(D$1:D2563, D$1:D2563&lt;&gt;""""))), LEN(INDEX(FILTER(D$1:D2563, D$1:D2563&lt;&gt;""""),COUNTA(FILTER(D$1:D2563, D$1:D2563&lt;&gt;""""))))-1), IF('To Order'!$A2564=COL"&amp;"UMNS($A2564:D2583), D2563&amp;RIGHT(INDIRECT(ADDRESS(ROW(D2564)-1, 'From Order'!$A2564)), 1), D2563))"),"CR")</f>
        <v>CR</v>
      </c>
      <c r="E2564" s="2" t="str">
        <f>IFERROR(__xludf.DUMMYFUNCTION("IF('From Order'!$A2564=COLUMNS($A2564:E2583), LEFT(INDEX(FILTER(E$1:E2563, E$1:E2563&lt;&gt;""""),COUNTA(FILTER(E$1:E2563, E$1:E2563&lt;&gt;""""))), LEN(INDEX(FILTER(E$1:E2563, E$1:E2563&lt;&gt;""""),COUNTA(FILTER(E$1:E2563, E$1:E2563&lt;&gt;""""))))-1), IF('To Order'!$A2564=COL"&amp;"UMNS($A2564:E2583), E2563&amp;RIGHT(INDIRECT(ADDRESS(ROW(E2564)-1, 'From Order'!$A2564)), 1), E2563))"),"B")</f>
        <v>B</v>
      </c>
      <c r="F2564" s="2" t="str">
        <f>IFERROR(__xludf.DUMMYFUNCTION("IF('From Order'!$A2564=COLUMNS($A2564:F2583), LEFT(INDEX(FILTER(F$1:F2563, F$1:F2563&lt;&gt;""""),COUNTA(FILTER(F$1:F2563, F$1:F2563&lt;&gt;""""))), LEN(INDEX(FILTER(F$1:F2563, F$1:F2563&lt;&gt;""""),COUNTA(FILTER(F$1:F2563, F$1:F2563&lt;&gt;""""))))-1), IF('To Order'!$A2564=COL"&amp;"UMNS($A2564:F2583), F2563&amp;RIGHT(INDIRECT(ADDRESS(ROW(F2564)-1, 'From Order'!$A2564)), 1), F2563))"),"RSPMGT")</f>
        <v>RSPMGT</v>
      </c>
      <c r="G2564" s="2" t="str">
        <f>IFERROR(__xludf.DUMMYFUNCTION("IF('From Order'!$A2564=COLUMNS($A2564:G2583), LEFT(INDEX(FILTER(G$1:G2563, G$1:G2563&lt;&gt;""""),COUNTA(FILTER(G$1:G2563, G$1:G2563&lt;&gt;""""))), LEN(INDEX(FILTER(G$1:G2563, G$1:G2563&lt;&gt;""""),COUNTA(FILTER(G$1:G2563, G$1:G2563&lt;&gt;""""))))-1), IF('To Order'!$A2564=COL"&amp;"UMNS($A2564:G2583), G2563&amp;RIGHT(INDIRECT(ADDRESS(ROW(G2564)-1, 'From Order'!$A2564)), 1), G2563))"),"")</f>
        <v/>
      </c>
      <c r="H2564" s="2" t="str">
        <f>IFERROR(__xludf.DUMMYFUNCTION("IF('From Order'!$A2564=COLUMNS($A2564:H2583), LEFT(INDEX(FILTER(H$1:H2563, H$1:H2563&lt;&gt;""""),COUNTA(FILTER(H$1:H2563, H$1:H2563&lt;&gt;""""))), LEN(INDEX(FILTER(H$1:H2563, H$1:H2563&lt;&gt;""""),COUNTA(FILTER(H$1:H2563, H$1:H2563&lt;&gt;""""))))-1), IF('To Order'!$A2564=COL"&amp;"UMNS($A2564:H2583), H2563&amp;RIGHT(INDIRECT(ADDRESS(ROW(H2564)-1, 'From Order'!$A2564)), 1), H2563))"),"TJTSZHZMTMD")</f>
        <v>TJTSZHZMTMD</v>
      </c>
      <c r="I2564" s="2" t="str">
        <f>IFERROR(__xludf.DUMMYFUNCTION("IF('From Order'!$A2564=COLUMNS($A2564:I2583), LEFT(INDEX(FILTER(I$1:I2563, I$1:I2563&lt;&gt;""""),COUNTA(FILTER(I$1:I2563, I$1:I2563&lt;&gt;""""))), LEN(INDEX(FILTER(I$1:I2563, I$1:I2563&lt;&gt;""""),COUNTA(FILTER(I$1:I2563, I$1:I2563&lt;&gt;""""))))-1), IF('To Order'!$A2564=COL"&amp;"UMNS($A2564:I2583), I2563&amp;RIGHT(INDIRECT(ADDRESS(ROW(I2564)-1, 'From Order'!$A2564)), 1), I2563))"),"QVVDDSPLRRJTTCJFZPR")</f>
        <v>QVVDDSPLRRJTTCJFZPR</v>
      </c>
    </row>
    <row r="2565">
      <c r="A2565" s="2" t="str">
        <f>IFERROR(__xludf.DUMMYFUNCTION("IF('From Order'!$A2565=COLUMNS($A2565:A2584), LEFT(INDEX(FILTER(A$1:A2564, A$1:A2564&lt;&gt;""""),COUNTA(FILTER(A$1:A2564, A$1:A2564&lt;&gt;""""))), LEN(INDEX(FILTER(A$1:A2564, A$1:A2564&lt;&gt;""""),COUNTA(FILTER(A$1:A2564, A$1:A2564&lt;&gt;""""))))-1), IF('To Order'!$A2565=COL"&amp;"UMNS($A2565:A2584), A2564&amp;RIGHT(INDIRECT(ADDRESS(ROW(A2565)-1, 'From Order'!$A2565)), 1), A2564))"),"D")</f>
        <v>D</v>
      </c>
      <c r="B2565" s="2" t="str">
        <f>IFERROR(__xludf.DUMMYFUNCTION("IF('From Order'!$A2565=COLUMNS($A2565:B2584), LEFT(INDEX(FILTER(B$1:B2564, B$1:B2564&lt;&gt;""""),COUNTA(FILTER(B$1:B2564, B$1:B2564&lt;&gt;""""))), LEN(INDEX(FILTER(B$1:B2564, B$1:B2564&lt;&gt;""""),COUNTA(FILTER(B$1:B2564, B$1:B2564&lt;&gt;""""))))-1), IF('To Order'!$A2565=COL"&amp;"UMNS($A2565:B2584), B2564&amp;RIGHT(INDIRECT(ADDRESS(ROW(B2565)-1, 'From Order'!$A2565)), 1), B2564))"),"QGWWLHBS")</f>
        <v>QGWWLHBS</v>
      </c>
      <c r="C2565" s="2" t="str">
        <f>IFERROR(__xludf.DUMMYFUNCTION("IF('From Order'!$A2565=COLUMNS($A2565:C2584), LEFT(INDEX(FILTER(C$1:C2564, C$1:C2564&lt;&gt;""""),COUNTA(FILTER(C$1:C2564, C$1:C2564&lt;&gt;""""))), LEN(INDEX(FILTER(C$1:C2564, C$1:C2564&lt;&gt;""""),COUNTA(FILTER(C$1:C2564, C$1:C2564&lt;&gt;""""))))-1), IF('To Order'!$A2565=COL"&amp;"UMNS($A2565:C2584), C2564&amp;RIGHT(INDIRECT(ADDRESS(ROW(C2565)-1, 'From Order'!$A2565)), 1), C2564))"),"CDLFBDVB")</f>
        <v>CDLFBDVB</v>
      </c>
      <c r="D2565" s="2" t="str">
        <f>IFERROR(__xludf.DUMMYFUNCTION("IF('From Order'!$A2565=COLUMNS($A2565:D2584), LEFT(INDEX(FILTER(D$1:D2564, D$1:D2564&lt;&gt;""""),COUNTA(FILTER(D$1:D2564, D$1:D2564&lt;&gt;""""))), LEN(INDEX(FILTER(D$1:D2564, D$1:D2564&lt;&gt;""""),COUNTA(FILTER(D$1:D2564, D$1:D2564&lt;&gt;""""))))-1), IF('To Order'!$A2565=COL"&amp;"UMNS($A2565:D2584), D2564&amp;RIGHT(INDIRECT(ADDRESS(ROW(D2565)-1, 'From Order'!$A2565)), 1), D2564))"),"CR")</f>
        <v>CR</v>
      </c>
      <c r="E2565" s="2" t="str">
        <f>IFERROR(__xludf.DUMMYFUNCTION("IF('From Order'!$A2565=COLUMNS($A2565:E2584), LEFT(INDEX(FILTER(E$1:E2564, E$1:E2564&lt;&gt;""""),COUNTA(FILTER(E$1:E2564, E$1:E2564&lt;&gt;""""))), LEN(INDEX(FILTER(E$1:E2564, E$1:E2564&lt;&gt;""""),COUNTA(FILTER(E$1:E2564, E$1:E2564&lt;&gt;""""))))-1), IF('To Order'!$A2565=COL"&amp;"UMNS($A2565:E2584), E2564&amp;RIGHT(INDIRECT(ADDRESS(ROW(E2565)-1, 'From Order'!$A2565)), 1), E2564))"),"")</f>
        <v/>
      </c>
      <c r="F2565" s="2" t="str">
        <f>IFERROR(__xludf.DUMMYFUNCTION("IF('From Order'!$A2565=COLUMNS($A2565:F2584), LEFT(INDEX(FILTER(F$1:F2564, F$1:F2564&lt;&gt;""""),COUNTA(FILTER(F$1:F2564, F$1:F2564&lt;&gt;""""))), LEN(INDEX(FILTER(F$1:F2564, F$1:F2564&lt;&gt;""""),COUNTA(FILTER(F$1:F2564, F$1:F2564&lt;&gt;""""))))-1), IF('To Order'!$A2565=COL"&amp;"UMNS($A2565:F2584), F2564&amp;RIGHT(INDIRECT(ADDRESS(ROW(F2565)-1, 'From Order'!$A2565)), 1), F2564))"),"RSPMGT")</f>
        <v>RSPMGT</v>
      </c>
      <c r="G2565" s="2" t="str">
        <f>IFERROR(__xludf.DUMMYFUNCTION("IF('From Order'!$A2565=COLUMNS($A2565:G2584), LEFT(INDEX(FILTER(G$1:G2564, G$1:G2564&lt;&gt;""""),COUNTA(FILTER(G$1:G2564, G$1:G2564&lt;&gt;""""))), LEN(INDEX(FILTER(G$1:G2564, G$1:G2564&lt;&gt;""""),COUNTA(FILTER(G$1:G2564, G$1:G2564&lt;&gt;""""))))-1), IF('To Order'!$A2565=COL"&amp;"UMNS($A2565:G2584), G2564&amp;RIGHT(INDIRECT(ADDRESS(ROW(G2565)-1, 'From Order'!$A2565)), 1), G2564))"),"")</f>
        <v/>
      </c>
      <c r="H2565" s="2" t="str">
        <f>IFERROR(__xludf.DUMMYFUNCTION("IF('From Order'!$A2565=COLUMNS($A2565:H2584), LEFT(INDEX(FILTER(H$1:H2564, H$1:H2564&lt;&gt;""""),COUNTA(FILTER(H$1:H2564, H$1:H2564&lt;&gt;""""))), LEN(INDEX(FILTER(H$1:H2564, H$1:H2564&lt;&gt;""""),COUNTA(FILTER(H$1:H2564, H$1:H2564&lt;&gt;""""))))-1), IF('To Order'!$A2565=COL"&amp;"UMNS($A2565:H2584), H2564&amp;RIGHT(INDIRECT(ADDRESS(ROW(H2565)-1, 'From Order'!$A2565)), 1), H2564))"),"TJTSZHZMTMD")</f>
        <v>TJTSZHZMTMD</v>
      </c>
      <c r="I2565" s="2" t="str">
        <f>IFERROR(__xludf.DUMMYFUNCTION("IF('From Order'!$A2565=COLUMNS($A2565:I2584), LEFT(INDEX(FILTER(I$1:I2564, I$1:I2564&lt;&gt;""""),COUNTA(FILTER(I$1:I2564, I$1:I2564&lt;&gt;""""))), LEN(INDEX(FILTER(I$1:I2564, I$1:I2564&lt;&gt;""""),COUNTA(FILTER(I$1:I2564, I$1:I2564&lt;&gt;""""))))-1), IF('To Order'!$A2565=COL"&amp;"UMNS($A2565:I2584), I2564&amp;RIGHT(INDIRECT(ADDRESS(ROW(I2565)-1, 'From Order'!$A2565)), 1), I2564))"),"QVVDDSPLRRJTTCJFZPRB")</f>
        <v>QVVDDSPLRRJTTCJFZPRB</v>
      </c>
    </row>
    <row r="2566">
      <c r="A2566" s="2" t="str">
        <f>IFERROR(__xludf.DUMMYFUNCTION("IF('From Order'!$A2566=COLUMNS($A2566:A2585), LEFT(INDEX(FILTER(A$1:A2565, A$1:A2565&lt;&gt;""""),COUNTA(FILTER(A$1:A2565, A$1:A2565&lt;&gt;""""))), LEN(INDEX(FILTER(A$1:A2565, A$1:A2565&lt;&gt;""""),COUNTA(FILTER(A$1:A2565, A$1:A2565&lt;&gt;""""))))-1), IF('To Order'!$A2566=COL"&amp;"UMNS($A2566:A2585), A2565&amp;RIGHT(INDIRECT(ADDRESS(ROW(A2566)-1, 'From Order'!$A2566)), 1), A2565))"),"DD")</f>
        <v>DD</v>
      </c>
      <c r="B2566" s="2" t="str">
        <f>IFERROR(__xludf.DUMMYFUNCTION("IF('From Order'!$A2566=COLUMNS($A2566:B2585), LEFT(INDEX(FILTER(B$1:B2565, B$1:B2565&lt;&gt;""""),COUNTA(FILTER(B$1:B2565, B$1:B2565&lt;&gt;""""))), LEN(INDEX(FILTER(B$1:B2565, B$1:B2565&lt;&gt;""""),COUNTA(FILTER(B$1:B2565, B$1:B2565&lt;&gt;""""))))-1), IF('To Order'!$A2566=COL"&amp;"UMNS($A2566:B2585), B2565&amp;RIGHT(INDIRECT(ADDRESS(ROW(B2566)-1, 'From Order'!$A2566)), 1), B2565))"),"QGWWLHBS")</f>
        <v>QGWWLHBS</v>
      </c>
      <c r="C2566" s="2" t="str">
        <f>IFERROR(__xludf.DUMMYFUNCTION("IF('From Order'!$A2566=COLUMNS($A2566:C2585), LEFT(INDEX(FILTER(C$1:C2565, C$1:C2565&lt;&gt;""""),COUNTA(FILTER(C$1:C2565, C$1:C2565&lt;&gt;""""))), LEN(INDEX(FILTER(C$1:C2565, C$1:C2565&lt;&gt;""""),COUNTA(FILTER(C$1:C2565, C$1:C2565&lt;&gt;""""))))-1), IF('To Order'!$A2566=COL"&amp;"UMNS($A2566:C2585), C2565&amp;RIGHT(INDIRECT(ADDRESS(ROW(C2566)-1, 'From Order'!$A2566)), 1), C2565))"),"CDLFBDVB")</f>
        <v>CDLFBDVB</v>
      </c>
      <c r="D2566" s="2" t="str">
        <f>IFERROR(__xludf.DUMMYFUNCTION("IF('From Order'!$A2566=COLUMNS($A2566:D2585), LEFT(INDEX(FILTER(D$1:D2565, D$1:D2565&lt;&gt;""""),COUNTA(FILTER(D$1:D2565, D$1:D2565&lt;&gt;""""))), LEN(INDEX(FILTER(D$1:D2565, D$1:D2565&lt;&gt;""""),COUNTA(FILTER(D$1:D2565, D$1:D2565&lt;&gt;""""))))-1), IF('To Order'!$A2566=COL"&amp;"UMNS($A2566:D2585), D2565&amp;RIGHT(INDIRECT(ADDRESS(ROW(D2566)-1, 'From Order'!$A2566)), 1), D2565))"),"CR")</f>
        <v>CR</v>
      </c>
      <c r="E2566" s="2" t="str">
        <f>IFERROR(__xludf.DUMMYFUNCTION("IF('From Order'!$A2566=COLUMNS($A2566:E2585), LEFT(INDEX(FILTER(E$1:E2565, E$1:E2565&lt;&gt;""""),COUNTA(FILTER(E$1:E2565, E$1:E2565&lt;&gt;""""))), LEN(INDEX(FILTER(E$1:E2565, E$1:E2565&lt;&gt;""""),COUNTA(FILTER(E$1:E2565, E$1:E2565&lt;&gt;""""))))-1), IF('To Order'!$A2566=COL"&amp;"UMNS($A2566:E2585), E2565&amp;RIGHT(INDIRECT(ADDRESS(ROW(E2566)-1, 'From Order'!$A2566)), 1), E2565))"),"")</f>
        <v/>
      </c>
      <c r="F2566" s="2" t="str">
        <f>IFERROR(__xludf.DUMMYFUNCTION("IF('From Order'!$A2566=COLUMNS($A2566:F2585), LEFT(INDEX(FILTER(F$1:F2565, F$1:F2565&lt;&gt;""""),COUNTA(FILTER(F$1:F2565, F$1:F2565&lt;&gt;""""))), LEN(INDEX(FILTER(F$1:F2565, F$1:F2565&lt;&gt;""""),COUNTA(FILTER(F$1:F2565, F$1:F2565&lt;&gt;""""))))-1), IF('To Order'!$A2566=COL"&amp;"UMNS($A2566:F2585), F2565&amp;RIGHT(INDIRECT(ADDRESS(ROW(F2566)-1, 'From Order'!$A2566)), 1), F2565))"),"RSPMGT")</f>
        <v>RSPMGT</v>
      </c>
      <c r="G2566" s="2" t="str">
        <f>IFERROR(__xludf.DUMMYFUNCTION("IF('From Order'!$A2566=COLUMNS($A2566:G2585), LEFT(INDEX(FILTER(G$1:G2565, G$1:G2565&lt;&gt;""""),COUNTA(FILTER(G$1:G2565, G$1:G2565&lt;&gt;""""))), LEN(INDEX(FILTER(G$1:G2565, G$1:G2565&lt;&gt;""""),COUNTA(FILTER(G$1:G2565, G$1:G2565&lt;&gt;""""))))-1), IF('To Order'!$A2566=COL"&amp;"UMNS($A2566:G2585), G2565&amp;RIGHT(INDIRECT(ADDRESS(ROW(G2566)-1, 'From Order'!$A2566)), 1), G2565))"),"")</f>
        <v/>
      </c>
      <c r="H2566" s="2" t="str">
        <f>IFERROR(__xludf.DUMMYFUNCTION("IF('From Order'!$A2566=COLUMNS($A2566:H2585), LEFT(INDEX(FILTER(H$1:H2565, H$1:H2565&lt;&gt;""""),COUNTA(FILTER(H$1:H2565, H$1:H2565&lt;&gt;""""))), LEN(INDEX(FILTER(H$1:H2565, H$1:H2565&lt;&gt;""""),COUNTA(FILTER(H$1:H2565, H$1:H2565&lt;&gt;""""))))-1), IF('To Order'!$A2566=COL"&amp;"UMNS($A2566:H2585), H2565&amp;RIGHT(INDIRECT(ADDRESS(ROW(H2566)-1, 'From Order'!$A2566)), 1), H2565))"),"TJTSZHZMTM")</f>
        <v>TJTSZHZMTM</v>
      </c>
      <c r="I2566" s="2" t="str">
        <f>IFERROR(__xludf.DUMMYFUNCTION("IF('From Order'!$A2566=COLUMNS($A2566:I2585), LEFT(INDEX(FILTER(I$1:I2565, I$1:I2565&lt;&gt;""""),COUNTA(FILTER(I$1:I2565, I$1:I2565&lt;&gt;""""))), LEN(INDEX(FILTER(I$1:I2565, I$1:I2565&lt;&gt;""""),COUNTA(FILTER(I$1:I2565, I$1:I2565&lt;&gt;""""))))-1), IF('To Order'!$A2566=COL"&amp;"UMNS($A2566:I2585), I2565&amp;RIGHT(INDIRECT(ADDRESS(ROW(I2566)-1, 'From Order'!$A2566)), 1), I2565))"),"QVVDDSPLRRJTTCJFZPRB")</f>
        <v>QVVDDSPLRRJTTCJFZPRB</v>
      </c>
    </row>
    <row r="2567">
      <c r="A2567" s="2" t="str">
        <f>IFERROR(__xludf.DUMMYFUNCTION("IF('From Order'!$A2567=COLUMNS($A2567:A2586), LEFT(INDEX(FILTER(A$1:A2566, A$1:A2566&lt;&gt;""""),COUNTA(FILTER(A$1:A2566, A$1:A2566&lt;&gt;""""))), LEN(INDEX(FILTER(A$1:A2566, A$1:A2566&lt;&gt;""""),COUNTA(FILTER(A$1:A2566, A$1:A2566&lt;&gt;""""))))-1), IF('To Order'!$A2567=COL"&amp;"UMNS($A2567:A2586), A2566&amp;RIGHT(INDIRECT(ADDRESS(ROW(A2567)-1, 'From Order'!$A2567)), 1), A2566))"),"DDM")</f>
        <v>DDM</v>
      </c>
      <c r="B2567" s="2" t="str">
        <f>IFERROR(__xludf.DUMMYFUNCTION("IF('From Order'!$A2567=COLUMNS($A2567:B2586), LEFT(INDEX(FILTER(B$1:B2566, B$1:B2566&lt;&gt;""""),COUNTA(FILTER(B$1:B2566, B$1:B2566&lt;&gt;""""))), LEN(INDEX(FILTER(B$1:B2566, B$1:B2566&lt;&gt;""""),COUNTA(FILTER(B$1:B2566, B$1:B2566&lt;&gt;""""))))-1), IF('To Order'!$A2567=COL"&amp;"UMNS($A2567:B2586), B2566&amp;RIGHT(INDIRECT(ADDRESS(ROW(B2567)-1, 'From Order'!$A2567)), 1), B2566))"),"QGWWLHBS")</f>
        <v>QGWWLHBS</v>
      </c>
      <c r="C2567" s="2" t="str">
        <f>IFERROR(__xludf.DUMMYFUNCTION("IF('From Order'!$A2567=COLUMNS($A2567:C2586), LEFT(INDEX(FILTER(C$1:C2566, C$1:C2566&lt;&gt;""""),COUNTA(FILTER(C$1:C2566, C$1:C2566&lt;&gt;""""))), LEN(INDEX(FILTER(C$1:C2566, C$1:C2566&lt;&gt;""""),COUNTA(FILTER(C$1:C2566, C$1:C2566&lt;&gt;""""))))-1), IF('To Order'!$A2567=COL"&amp;"UMNS($A2567:C2586), C2566&amp;RIGHT(INDIRECT(ADDRESS(ROW(C2567)-1, 'From Order'!$A2567)), 1), C2566))"),"CDLFBDVB")</f>
        <v>CDLFBDVB</v>
      </c>
      <c r="D2567" s="2" t="str">
        <f>IFERROR(__xludf.DUMMYFUNCTION("IF('From Order'!$A2567=COLUMNS($A2567:D2586), LEFT(INDEX(FILTER(D$1:D2566, D$1:D2566&lt;&gt;""""),COUNTA(FILTER(D$1:D2566, D$1:D2566&lt;&gt;""""))), LEN(INDEX(FILTER(D$1:D2566, D$1:D2566&lt;&gt;""""),COUNTA(FILTER(D$1:D2566, D$1:D2566&lt;&gt;""""))))-1), IF('To Order'!$A2567=COL"&amp;"UMNS($A2567:D2586), D2566&amp;RIGHT(INDIRECT(ADDRESS(ROW(D2567)-1, 'From Order'!$A2567)), 1), D2566))"),"CR")</f>
        <v>CR</v>
      </c>
      <c r="E2567" s="2" t="str">
        <f>IFERROR(__xludf.DUMMYFUNCTION("IF('From Order'!$A2567=COLUMNS($A2567:E2586), LEFT(INDEX(FILTER(E$1:E2566, E$1:E2566&lt;&gt;""""),COUNTA(FILTER(E$1:E2566, E$1:E2566&lt;&gt;""""))), LEN(INDEX(FILTER(E$1:E2566, E$1:E2566&lt;&gt;""""),COUNTA(FILTER(E$1:E2566, E$1:E2566&lt;&gt;""""))))-1), IF('To Order'!$A2567=COL"&amp;"UMNS($A2567:E2586), E2566&amp;RIGHT(INDIRECT(ADDRESS(ROW(E2567)-1, 'From Order'!$A2567)), 1), E2566))"),"")</f>
        <v/>
      </c>
      <c r="F2567" s="2" t="str">
        <f>IFERROR(__xludf.DUMMYFUNCTION("IF('From Order'!$A2567=COLUMNS($A2567:F2586), LEFT(INDEX(FILTER(F$1:F2566, F$1:F2566&lt;&gt;""""),COUNTA(FILTER(F$1:F2566, F$1:F2566&lt;&gt;""""))), LEN(INDEX(FILTER(F$1:F2566, F$1:F2566&lt;&gt;""""),COUNTA(FILTER(F$1:F2566, F$1:F2566&lt;&gt;""""))))-1), IF('To Order'!$A2567=COL"&amp;"UMNS($A2567:F2586), F2566&amp;RIGHT(INDIRECT(ADDRESS(ROW(F2567)-1, 'From Order'!$A2567)), 1), F2566))"),"RSPMGT")</f>
        <v>RSPMGT</v>
      </c>
      <c r="G2567" s="2" t="str">
        <f>IFERROR(__xludf.DUMMYFUNCTION("IF('From Order'!$A2567=COLUMNS($A2567:G2586), LEFT(INDEX(FILTER(G$1:G2566, G$1:G2566&lt;&gt;""""),COUNTA(FILTER(G$1:G2566, G$1:G2566&lt;&gt;""""))), LEN(INDEX(FILTER(G$1:G2566, G$1:G2566&lt;&gt;""""),COUNTA(FILTER(G$1:G2566, G$1:G2566&lt;&gt;""""))))-1), IF('To Order'!$A2567=COL"&amp;"UMNS($A2567:G2586), G2566&amp;RIGHT(INDIRECT(ADDRESS(ROW(G2567)-1, 'From Order'!$A2567)), 1), G2566))"),"")</f>
        <v/>
      </c>
      <c r="H2567" s="2" t="str">
        <f>IFERROR(__xludf.DUMMYFUNCTION("IF('From Order'!$A2567=COLUMNS($A2567:H2586), LEFT(INDEX(FILTER(H$1:H2566, H$1:H2566&lt;&gt;""""),COUNTA(FILTER(H$1:H2566, H$1:H2566&lt;&gt;""""))), LEN(INDEX(FILTER(H$1:H2566, H$1:H2566&lt;&gt;""""),COUNTA(FILTER(H$1:H2566, H$1:H2566&lt;&gt;""""))))-1), IF('To Order'!$A2567=COL"&amp;"UMNS($A2567:H2586), H2566&amp;RIGHT(INDIRECT(ADDRESS(ROW(H2567)-1, 'From Order'!$A2567)), 1), H2566))"),"TJTSZHZMT")</f>
        <v>TJTSZHZMT</v>
      </c>
      <c r="I2567" s="2" t="str">
        <f>IFERROR(__xludf.DUMMYFUNCTION("IF('From Order'!$A2567=COLUMNS($A2567:I2586), LEFT(INDEX(FILTER(I$1:I2566, I$1:I2566&lt;&gt;""""),COUNTA(FILTER(I$1:I2566, I$1:I2566&lt;&gt;""""))), LEN(INDEX(FILTER(I$1:I2566, I$1:I2566&lt;&gt;""""),COUNTA(FILTER(I$1:I2566, I$1:I2566&lt;&gt;""""))))-1), IF('To Order'!$A2567=COL"&amp;"UMNS($A2567:I2586), I2566&amp;RIGHT(INDIRECT(ADDRESS(ROW(I2567)-1, 'From Order'!$A2567)), 1), I2566))"),"QVVDDSPLRRJTTCJFZPRB")</f>
        <v>QVVDDSPLRRJTTCJFZPRB</v>
      </c>
    </row>
    <row r="2568">
      <c r="A2568" s="2" t="str">
        <f>IFERROR(__xludf.DUMMYFUNCTION("IF('From Order'!$A2568=COLUMNS($A2568:A2587), LEFT(INDEX(FILTER(A$1:A2567, A$1:A2567&lt;&gt;""""),COUNTA(FILTER(A$1:A2567, A$1:A2567&lt;&gt;""""))), LEN(INDEX(FILTER(A$1:A2567, A$1:A2567&lt;&gt;""""),COUNTA(FILTER(A$1:A2567, A$1:A2567&lt;&gt;""""))))-1), IF('To Order'!$A2568=COL"&amp;"UMNS($A2568:A2587), A2567&amp;RIGHT(INDIRECT(ADDRESS(ROW(A2568)-1, 'From Order'!$A2568)), 1), A2567))"),"DDMT")</f>
        <v>DDMT</v>
      </c>
      <c r="B2568" s="2" t="str">
        <f>IFERROR(__xludf.DUMMYFUNCTION("IF('From Order'!$A2568=COLUMNS($A2568:B2587), LEFT(INDEX(FILTER(B$1:B2567, B$1:B2567&lt;&gt;""""),COUNTA(FILTER(B$1:B2567, B$1:B2567&lt;&gt;""""))), LEN(INDEX(FILTER(B$1:B2567, B$1:B2567&lt;&gt;""""),COUNTA(FILTER(B$1:B2567, B$1:B2567&lt;&gt;""""))))-1), IF('To Order'!$A2568=COL"&amp;"UMNS($A2568:B2587), B2567&amp;RIGHT(INDIRECT(ADDRESS(ROW(B2568)-1, 'From Order'!$A2568)), 1), B2567))"),"QGWWLHBS")</f>
        <v>QGWWLHBS</v>
      </c>
      <c r="C2568" s="2" t="str">
        <f>IFERROR(__xludf.DUMMYFUNCTION("IF('From Order'!$A2568=COLUMNS($A2568:C2587), LEFT(INDEX(FILTER(C$1:C2567, C$1:C2567&lt;&gt;""""),COUNTA(FILTER(C$1:C2567, C$1:C2567&lt;&gt;""""))), LEN(INDEX(FILTER(C$1:C2567, C$1:C2567&lt;&gt;""""),COUNTA(FILTER(C$1:C2567, C$1:C2567&lt;&gt;""""))))-1), IF('To Order'!$A2568=COL"&amp;"UMNS($A2568:C2587), C2567&amp;RIGHT(INDIRECT(ADDRESS(ROW(C2568)-1, 'From Order'!$A2568)), 1), C2567))"),"CDLFBDVB")</f>
        <v>CDLFBDVB</v>
      </c>
      <c r="D2568" s="2" t="str">
        <f>IFERROR(__xludf.DUMMYFUNCTION("IF('From Order'!$A2568=COLUMNS($A2568:D2587), LEFT(INDEX(FILTER(D$1:D2567, D$1:D2567&lt;&gt;""""),COUNTA(FILTER(D$1:D2567, D$1:D2567&lt;&gt;""""))), LEN(INDEX(FILTER(D$1:D2567, D$1:D2567&lt;&gt;""""),COUNTA(FILTER(D$1:D2567, D$1:D2567&lt;&gt;""""))))-1), IF('To Order'!$A2568=COL"&amp;"UMNS($A2568:D2587), D2567&amp;RIGHT(INDIRECT(ADDRESS(ROW(D2568)-1, 'From Order'!$A2568)), 1), D2567))"),"CR")</f>
        <v>CR</v>
      </c>
      <c r="E2568" s="2" t="str">
        <f>IFERROR(__xludf.DUMMYFUNCTION("IF('From Order'!$A2568=COLUMNS($A2568:E2587), LEFT(INDEX(FILTER(E$1:E2567, E$1:E2567&lt;&gt;""""),COUNTA(FILTER(E$1:E2567, E$1:E2567&lt;&gt;""""))), LEN(INDEX(FILTER(E$1:E2567, E$1:E2567&lt;&gt;""""),COUNTA(FILTER(E$1:E2567, E$1:E2567&lt;&gt;""""))))-1), IF('To Order'!$A2568=COL"&amp;"UMNS($A2568:E2587), E2567&amp;RIGHT(INDIRECT(ADDRESS(ROW(E2568)-1, 'From Order'!$A2568)), 1), E2567))"),"")</f>
        <v/>
      </c>
      <c r="F2568" s="2" t="str">
        <f>IFERROR(__xludf.DUMMYFUNCTION("IF('From Order'!$A2568=COLUMNS($A2568:F2587), LEFT(INDEX(FILTER(F$1:F2567, F$1:F2567&lt;&gt;""""),COUNTA(FILTER(F$1:F2567, F$1:F2567&lt;&gt;""""))), LEN(INDEX(FILTER(F$1:F2567, F$1:F2567&lt;&gt;""""),COUNTA(FILTER(F$1:F2567, F$1:F2567&lt;&gt;""""))))-1), IF('To Order'!$A2568=COL"&amp;"UMNS($A2568:F2587), F2567&amp;RIGHT(INDIRECT(ADDRESS(ROW(F2568)-1, 'From Order'!$A2568)), 1), F2567))"),"RSPMGT")</f>
        <v>RSPMGT</v>
      </c>
      <c r="G2568" s="2" t="str">
        <f>IFERROR(__xludf.DUMMYFUNCTION("IF('From Order'!$A2568=COLUMNS($A2568:G2587), LEFT(INDEX(FILTER(G$1:G2567, G$1:G2567&lt;&gt;""""),COUNTA(FILTER(G$1:G2567, G$1:G2567&lt;&gt;""""))), LEN(INDEX(FILTER(G$1:G2567, G$1:G2567&lt;&gt;""""),COUNTA(FILTER(G$1:G2567, G$1:G2567&lt;&gt;""""))))-1), IF('To Order'!$A2568=COL"&amp;"UMNS($A2568:G2587), G2567&amp;RIGHT(INDIRECT(ADDRESS(ROW(G2568)-1, 'From Order'!$A2568)), 1), G2567))"),"")</f>
        <v/>
      </c>
      <c r="H2568" s="2" t="str">
        <f>IFERROR(__xludf.DUMMYFUNCTION("IF('From Order'!$A2568=COLUMNS($A2568:H2587), LEFT(INDEX(FILTER(H$1:H2567, H$1:H2567&lt;&gt;""""),COUNTA(FILTER(H$1:H2567, H$1:H2567&lt;&gt;""""))), LEN(INDEX(FILTER(H$1:H2567, H$1:H2567&lt;&gt;""""),COUNTA(FILTER(H$1:H2567, H$1:H2567&lt;&gt;""""))))-1), IF('To Order'!$A2568=COL"&amp;"UMNS($A2568:H2587), H2567&amp;RIGHT(INDIRECT(ADDRESS(ROW(H2568)-1, 'From Order'!$A2568)), 1), H2567))"),"TJTSZHZM")</f>
        <v>TJTSZHZM</v>
      </c>
      <c r="I2568" s="2" t="str">
        <f>IFERROR(__xludf.DUMMYFUNCTION("IF('From Order'!$A2568=COLUMNS($A2568:I2587), LEFT(INDEX(FILTER(I$1:I2567, I$1:I2567&lt;&gt;""""),COUNTA(FILTER(I$1:I2567, I$1:I2567&lt;&gt;""""))), LEN(INDEX(FILTER(I$1:I2567, I$1:I2567&lt;&gt;""""),COUNTA(FILTER(I$1:I2567, I$1:I2567&lt;&gt;""""))))-1), IF('To Order'!$A2568=COL"&amp;"UMNS($A2568:I2587), I2567&amp;RIGHT(INDIRECT(ADDRESS(ROW(I2568)-1, 'From Order'!$A2568)), 1), I2567))"),"QVVDDSPLRRJTTCJFZPRB")</f>
        <v>QVVDDSPLRRJTTCJFZPRB</v>
      </c>
    </row>
    <row r="2569">
      <c r="A2569" s="2" t="str">
        <f>IFERROR(__xludf.DUMMYFUNCTION("IF('From Order'!$A2569=COLUMNS($A2569:A2588), LEFT(INDEX(FILTER(A$1:A2568, A$1:A2568&lt;&gt;""""),COUNTA(FILTER(A$1:A2568, A$1:A2568&lt;&gt;""""))), LEN(INDEX(FILTER(A$1:A2568, A$1:A2568&lt;&gt;""""),COUNTA(FILTER(A$1:A2568, A$1:A2568&lt;&gt;""""))))-1), IF('To Order'!$A2569=COL"&amp;"UMNS($A2569:A2588), A2568&amp;RIGHT(INDIRECT(ADDRESS(ROW(A2569)-1, 'From Order'!$A2569)), 1), A2568))"),"DDMTM")</f>
        <v>DDMTM</v>
      </c>
      <c r="B2569" s="2" t="str">
        <f>IFERROR(__xludf.DUMMYFUNCTION("IF('From Order'!$A2569=COLUMNS($A2569:B2588), LEFT(INDEX(FILTER(B$1:B2568, B$1:B2568&lt;&gt;""""),COUNTA(FILTER(B$1:B2568, B$1:B2568&lt;&gt;""""))), LEN(INDEX(FILTER(B$1:B2568, B$1:B2568&lt;&gt;""""),COUNTA(FILTER(B$1:B2568, B$1:B2568&lt;&gt;""""))))-1), IF('To Order'!$A2569=COL"&amp;"UMNS($A2569:B2588), B2568&amp;RIGHT(INDIRECT(ADDRESS(ROW(B2569)-1, 'From Order'!$A2569)), 1), B2568))"),"QGWWLHBS")</f>
        <v>QGWWLHBS</v>
      </c>
      <c r="C2569" s="2" t="str">
        <f>IFERROR(__xludf.DUMMYFUNCTION("IF('From Order'!$A2569=COLUMNS($A2569:C2588), LEFT(INDEX(FILTER(C$1:C2568, C$1:C2568&lt;&gt;""""),COUNTA(FILTER(C$1:C2568, C$1:C2568&lt;&gt;""""))), LEN(INDEX(FILTER(C$1:C2568, C$1:C2568&lt;&gt;""""),COUNTA(FILTER(C$1:C2568, C$1:C2568&lt;&gt;""""))))-1), IF('To Order'!$A2569=COL"&amp;"UMNS($A2569:C2588), C2568&amp;RIGHT(INDIRECT(ADDRESS(ROW(C2569)-1, 'From Order'!$A2569)), 1), C2568))"),"CDLFBDVB")</f>
        <v>CDLFBDVB</v>
      </c>
      <c r="D2569" s="2" t="str">
        <f>IFERROR(__xludf.DUMMYFUNCTION("IF('From Order'!$A2569=COLUMNS($A2569:D2588), LEFT(INDEX(FILTER(D$1:D2568, D$1:D2568&lt;&gt;""""),COUNTA(FILTER(D$1:D2568, D$1:D2568&lt;&gt;""""))), LEN(INDEX(FILTER(D$1:D2568, D$1:D2568&lt;&gt;""""),COUNTA(FILTER(D$1:D2568, D$1:D2568&lt;&gt;""""))))-1), IF('To Order'!$A2569=COL"&amp;"UMNS($A2569:D2588), D2568&amp;RIGHT(INDIRECT(ADDRESS(ROW(D2569)-1, 'From Order'!$A2569)), 1), D2568))"),"CR")</f>
        <v>CR</v>
      </c>
      <c r="E2569" s="2" t="str">
        <f>IFERROR(__xludf.DUMMYFUNCTION("IF('From Order'!$A2569=COLUMNS($A2569:E2588), LEFT(INDEX(FILTER(E$1:E2568, E$1:E2568&lt;&gt;""""),COUNTA(FILTER(E$1:E2568, E$1:E2568&lt;&gt;""""))), LEN(INDEX(FILTER(E$1:E2568, E$1:E2568&lt;&gt;""""),COUNTA(FILTER(E$1:E2568, E$1:E2568&lt;&gt;""""))))-1), IF('To Order'!$A2569=COL"&amp;"UMNS($A2569:E2588), E2568&amp;RIGHT(INDIRECT(ADDRESS(ROW(E2569)-1, 'From Order'!$A2569)), 1), E2568))"),"")</f>
        <v/>
      </c>
      <c r="F2569" s="2" t="str">
        <f>IFERROR(__xludf.DUMMYFUNCTION("IF('From Order'!$A2569=COLUMNS($A2569:F2588), LEFT(INDEX(FILTER(F$1:F2568, F$1:F2568&lt;&gt;""""),COUNTA(FILTER(F$1:F2568, F$1:F2568&lt;&gt;""""))), LEN(INDEX(FILTER(F$1:F2568, F$1:F2568&lt;&gt;""""),COUNTA(FILTER(F$1:F2568, F$1:F2568&lt;&gt;""""))))-1), IF('To Order'!$A2569=COL"&amp;"UMNS($A2569:F2588), F2568&amp;RIGHT(INDIRECT(ADDRESS(ROW(F2569)-1, 'From Order'!$A2569)), 1), F2568))"),"RSPMGT")</f>
        <v>RSPMGT</v>
      </c>
      <c r="G2569" s="2" t="str">
        <f>IFERROR(__xludf.DUMMYFUNCTION("IF('From Order'!$A2569=COLUMNS($A2569:G2588), LEFT(INDEX(FILTER(G$1:G2568, G$1:G2568&lt;&gt;""""),COUNTA(FILTER(G$1:G2568, G$1:G2568&lt;&gt;""""))), LEN(INDEX(FILTER(G$1:G2568, G$1:G2568&lt;&gt;""""),COUNTA(FILTER(G$1:G2568, G$1:G2568&lt;&gt;""""))))-1), IF('To Order'!$A2569=COL"&amp;"UMNS($A2569:G2588), G2568&amp;RIGHT(INDIRECT(ADDRESS(ROW(G2569)-1, 'From Order'!$A2569)), 1), G2568))"),"")</f>
        <v/>
      </c>
      <c r="H2569" s="2" t="str">
        <f>IFERROR(__xludf.DUMMYFUNCTION("IF('From Order'!$A2569=COLUMNS($A2569:H2588), LEFT(INDEX(FILTER(H$1:H2568, H$1:H2568&lt;&gt;""""),COUNTA(FILTER(H$1:H2568, H$1:H2568&lt;&gt;""""))), LEN(INDEX(FILTER(H$1:H2568, H$1:H2568&lt;&gt;""""),COUNTA(FILTER(H$1:H2568, H$1:H2568&lt;&gt;""""))))-1), IF('To Order'!$A2569=COL"&amp;"UMNS($A2569:H2588), H2568&amp;RIGHT(INDIRECT(ADDRESS(ROW(H2569)-1, 'From Order'!$A2569)), 1), H2568))"),"TJTSZHZ")</f>
        <v>TJTSZHZ</v>
      </c>
      <c r="I2569" s="2" t="str">
        <f>IFERROR(__xludf.DUMMYFUNCTION("IF('From Order'!$A2569=COLUMNS($A2569:I2588), LEFT(INDEX(FILTER(I$1:I2568, I$1:I2568&lt;&gt;""""),COUNTA(FILTER(I$1:I2568, I$1:I2568&lt;&gt;""""))), LEN(INDEX(FILTER(I$1:I2568, I$1:I2568&lt;&gt;""""),COUNTA(FILTER(I$1:I2568, I$1:I2568&lt;&gt;""""))))-1), IF('To Order'!$A2569=COL"&amp;"UMNS($A2569:I2588), I2568&amp;RIGHT(INDIRECT(ADDRESS(ROW(I2569)-1, 'From Order'!$A2569)), 1), I2568))"),"QVVDDSPLRRJTTCJFZPRB")</f>
        <v>QVVDDSPLRRJTTCJFZPRB</v>
      </c>
    </row>
    <row r="2570">
      <c r="A2570" s="2" t="str">
        <f>IFERROR(__xludf.DUMMYFUNCTION("IF('From Order'!$A2570=COLUMNS($A2570:A2589), LEFT(INDEX(FILTER(A$1:A2569, A$1:A2569&lt;&gt;""""),COUNTA(FILTER(A$1:A2569, A$1:A2569&lt;&gt;""""))), LEN(INDEX(FILTER(A$1:A2569, A$1:A2569&lt;&gt;""""),COUNTA(FILTER(A$1:A2569, A$1:A2569&lt;&gt;""""))))-1), IF('To Order'!$A2570=COL"&amp;"UMNS($A2570:A2589), A2569&amp;RIGHT(INDIRECT(ADDRESS(ROW(A2570)-1, 'From Order'!$A2570)), 1), A2569))"),"DDMTM")</f>
        <v>DDMTM</v>
      </c>
      <c r="B2570" s="2" t="str">
        <f>IFERROR(__xludf.DUMMYFUNCTION("IF('From Order'!$A2570=COLUMNS($A2570:B2589), LEFT(INDEX(FILTER(B$1:B2569, B$1:B2569&lt;&gt;""""),COUNTA(FILTER(B$1:B2569, B$1:B2569&lt;&gt;""""))), LEN(INDEX(FILTER(B$1:B2569, B$1:B2569&lt;&gt;""""),COUNTA(FILTER(B$1:B2569, B$1:B2569&lt;&gt;""""))))-1), IF('To Order'!$A2570=COL"&amp;"UMNS($A2570:B2589), B2569&amp;RIGHT(INDIRECT(ADDRESS(ROW(B2570)-1, 'From Order'!$A2570)), 1), B2569))"),"QGWWLHBS")</f>
        <v>QGWWLHBS</v>
      </c>
      <c r="C2570" s="2" t="str">
        <f>IFERROR(__xludf.DUMMYFUNCTION("IF('From Order'!$A2570=COLUMNS($A2570:C2589), LEFT(INDEX(FILTER(C$1:C2569, C$1:C2569&lt;&gt;""""),COUNTA(FILTER(C$1:C2569, C$1:C2569&lt;&gt;""""))), LEN(INDEX(FILTER(C$1:C2569, C$1:C2569&lt;&gt;""""),COUNTA(FILTER(C$1:C2569, C$1:C2569&lt;&gt;""""))))-1), IF('To Order'!$A2570=COL"&amp;"UMNS($A2570:C2589), C2569&amp;RIGHT(INDIRECT(ADDRESS(ROW(C2570)-1, 'From Order'!$A2570)), 1), C2569))"),"CDLFBDV")</f>
        <v>CDLFBDV</v>
      </c>
      <c r="D2570" s="2" t="str">
        <f>IFERROR(__xludf.DUMMYFUNCTION("IF('From Order'!$A2570=COLUMNS($A2570:D2589), LEFT(INDEX(FILTER(D$1:D2569, D$1:D2569&lt;&gt;""""),COUNTA(FILTER(D$1:D2569, D$1:D2569&lt;&gt;""""))), LEN(INDEX(FILTER(D$1:D2569, D$1:D2569&lt;&gt;""""),COUNTA(FILTER(D$1:D2569, D$1:D2569&lt;&gt;""""))))-1), IF('To Order'!$A2570=COL"&amp;"UMNS($A2570:D2589), D2569&amp;RIGHT(INDIRECT(ADDRESS(ROW(D2570)-1, 'From Order'!$A2570)), 1), D2569))"),"CR")</f>
        <v>CR</v>
      </c>
      <c r="E2570" s="2" t="str">
        <f>IFERROR(__xludf.DUMMYFUNCTION("IF('From Order'!$A2570=COLUMNS($A2570:E2589), LEFT(INDEX(FILTER(E$1:E2569, E$1:E2569&lt;&gt;""""),COUNTA(FILTER(E$1:E2569, E$1:E2569&lt;&gt;""""))), LEN(INDEX(FILTER(E$1:E2569, E$1:E2569&lt;&gt;""""),COUNTA(FILTER(E$1:E2569, E$1:E2569&lt;&gt;""""))))-1), IF('To Order'!$A2570=COL"&amp;"UMNS($A2570:E2589), E2569&amp;RIGHT(INDIRECT(ADDRESS(ROW(E2570)-1, 'From Order'!$A2570)), 1), E2569))"),"")</f>
        <v/>
      </c>
      <c r="F2570" s="2" t="str">
        <f>IFERROR(__xludf.DUMMYFUNCTION("IF('From Order'!$A2570=COLUMNS($A2570:F2589), LEFT(INDEX(FILTER(F$1:F2569, F$1:F2569&lt;&gt;""""),COUNTA(FILTER(F$1:F2569, F$1:F2569&lt;&gt;""""))), LEN(INDEX(FILTER(F$1:F2569, F$1:F2569&lt;&gt;""""),COUNTA(FILTER(F$1:F2569, F$1:F2569&lt;&gt;""""))))-1), IF('To Order'!$A2570=COL"&amp;"UMNS($A2570:F2589), F2569&amp;RIGHT(INDIRECT(ADDRESS(ROW(F2570)-1, 'From Order'!$A2570)), 1), F2569))"),"RSPMGT")</f>
        <v>RSPMGT</v>
      </c>
      <c r="G2570" s="2" t="str">
        <f>IFERROR(__xludf.DUMMYFUNCTION("IF('From Order'!$A2570=COLUMNS($A2570:G2589), LEFT(INDEX(FILTER(G$1:G2569, G$1:G2569&lt;&gt;""""),COUNTA(FILTER(G$1:G2569, G$1:G2569&lt;&gt;""""))), LEN(INDEX(FILTER(G$1:G2569, G$1:G2569&lt;&gt;""""),COUNTA(FILTER(G$1:G2569, G$1:G2569&lt;&gt;""""))))-1), IF('To Order'!$A2570=COL"&amp;"UMNS($A2570:G2589), G2569&amp;RIGHT(INDIRECT(ADDRESS(ROW(G2570)-1, 'From Order'!$A2570)), 1), G2569))"),"")</f>
        <v/>
      </c>
      <c r="H2570" s="2" t="str">
        <f>IFERROR(__xludf.DUMMYFUNCTION("IF('From Order'!$A2570=COLUMNS($A2570:H2589), LEFT(INDEX(FILTER(H$1:H2569, H$1:H2569&lt;&gt;""""),COUNTA(FILTER(H$1:H2569, H$1:H2569&lt;&gt;""""))), LEN(INDEX(FILTER(H$1:H2569, H$1:H2569&lt;&gt;""""),COUNTA(FILTER(H$1:H2569, H$1:H2569&lt;&gt;""""))))-1), IF('To Order'!$A2570=COL"&amp;"UMNS($A2570:H2589), H2569&amp;RIGHT(INDIRECT(ADDRESS(ROW(H2570)-1, 'From Order'!$A2570)), 1), H2569))"),"TJTSZHZ")</f>
        <v>TJTSZHZ</v>
      </c>
      <c r="I2570" s="2" t="str">
        <f>IFERROR(__xludf.DUMMYFUNCTION("IF('From Order'!$A2570=COLUMNS($A2570:I2589), LEFT(INDEX(FILTER(I$1:I2569, I$1:I2569&lt;&gt;""""),COUNTA(FILTER(I$1:I2569, I$1:I2569&lt;&gt;""""))), LEN(INDEX(FILTER(I$1:I2569, I$1:I2569&lt;&gt;""""),COUNTA(FILTER(I$1:I2569, I$1:I2569&lt;&gt;""""))))-1), IF('To Order'!$A2570=COL"&amp;"UMNS($A2570:I2589), I2569&amp;RIGHT(INDIRECT(ADDRESS(ROW(I2570)-1, 'From Order'!$A2570)), 1), I2569))"),"QVVDDSPLRRJTTCJFZPRBB")</f>
        <v>QVVDDSPLRRJTTCJFZPRBB</v>
      </c>
    </row>
    <row r="2571">
      <c r="A2571" s="2" t="str">
        <f>IFERROR(__xludf.DUMMYFUNCTION("IF('From Order'!$A2571=COLUMNS($A2571:A2590), LEFT(INDEX(FILTER(A$1:A2570, A$1:A2570&lt;&gt;""""),COUNTA(FILTER(A$1:A2570, A$1:A2570&lt;&gt;""""))), LEN(INDEX(FILTER(A$1:A2570, A$1:A2570&lt;&gt;""""),COUNTA(FILTER(A$1:A2570, A$1:A2570&lt;&gt;""""))))-1), IF('To Order'!$A2571=COL"&amp;"UMNS($A2571:A2590), A2570&amp;RIGHT(INDIRECT(ADDRESS(ROW(A2571)-1, 'From Order'!$A2571)), 1), A2570))"),"DDMTM")</f>
        <v>DDMTM</v>
      </c>
      <c r="B2571" s="2" t="str">
        <f>IFERROR(__xludf.DUMMYFUNCTION("IF('From Order'!$A2571=COLUMNS($A2571:B2590), LEFT(INDEX(FILTER(B$1:B2570, B$1:B2570&lt;&gt;""""),COUNTA(FILTER(B$1:B2570, B$1:B2570&lt;&gt;""""))), LEN(INDEX(FILTER(B$1:B2570, B$1:B2570&lt;&gt;""""),COUNTA(FILTER(B$1:B2570, B$1:B2570&lt;&gt;""""))))-1), IF('To Order'!$A2571=COL"&amp;"UMNS($A2571:B2590), B2570&amp;RIGHT(INDIRECT(ADDRESS(ROW(B2571)-1, 'From Order'!$A2571)), 1), B2570))"),"QGWWLHBS")</f>
        <v>QGWWLHBS</v>
      </c>
      <c r="C2571" s="2" t="str">
        <f>IFERROR(__xludf.DUMMYFUNCTION("IF('From Order'!$A2571=COLUMNS($A2571:C2590), LEFT(INDEX(FILTER(C$1:C2570, C$1:C2570&lt;&gt;""""),COUNTA(FILTER(C$1:C2570, C$1:C2570&lt;&gt;""""))), LEN(INDEX(FILTER(C$1:C2570, C$1:C2570&lt;&gt;""""),COUNTA(FILTER(C$1:C2570, C$1:C2570&lt;&gt;""""))))-1), IF('To Order'!$A2571=COL"&amp;"UMNS($A2571:C2590), C2570&amp;RIGHT(INDIRECT(ADDRESS(ROW(C2571)-1, 'From Order'!$A2571)), 1), C2570))"),"CDLFBDVR")</f>
        <v>CDLFBDVR</v>
      </c>
      <c r="D2571" s="2" t="str">
        <f>IFERROR(__xludf.DUMMYFUNCTION("IF('From Order'!$A2571=COLUMNS($A2571:D2590), LEFT(INDEX(FILTER(D$1:D2570, D$1:D2570&lt;&gt;""""),COUNTA(FILTER(D$1:D2570, D$1:D2570&lt;&gt;""""))), LEN(INDEX(FILTER(D$1:D2570, D$1:D2570&lt;&gt;""""),COUNTA(FILTER(D$1:D2570, D$1:D2570&lt;&gt;""""))))-1), IF('To Order'!$A2571=COL"&amp;"UMNS($A2571:D2590), D2570&amp;RIGHT(INDIRECT(ADDRESS(ROW(D2571)-1, 'From Order'!$A2571)), 1), D2570))"),"C")</f>
        <v>C</v>
      </c>
      <c r="E2571" s="2" t="str">
        <f>IFERROR(__xludf.DUMMYFUNCTION("IF('From Order'!$A2571=COLUMNS($A2571:E2590), LEFT(INDEX(FILTER(E$1:E2570, E$1:E2570&lt;&gt;""""),COUNTA(FILTER(E$1:E2570, E$1:E2570&lt;&gt;""""))), LEN(INDEX(FILTER(E$1:E2570, E$1:E2570&lt;&gt;""""),COUNTA(FILTER(E$1:E2570, E$1:E2570&lt;&gt;""""))))-1), IF('To Order'!$A2571=COL"&amp;"UMNS($A2571:E2590), E2570&amp;RIGHT(INDIRECT(ADDRESS(ROW(E2571)-1, 'From Order'!$A2571)), 1), E2570))"),"")</f>
        <v/>
      </c>
      <c r="F2571" s="2" t="str">
        <f>IFERROR(__xludf.DUMMYFUNCTION("IF('From Order'!$A2571=COLUMNS($A2571:F2590), LEFT(INDEX(FILTER(F$1:F2570, F$1:F2570&lt;&gt;""""),COUNTA(FILTER(F$1:F2570, F$1:F2570&lt;&gt;""""))), LEN(INDEX(FILTER(F$1:F2570, F$1:F2570&lt;&gt;""""),COUNTA(FILTER(F$1:F2570, F$1:F2570&lt;&gt;""""))))-1), IF('To Order'!$A2571=COL"&amp;"UMNS($A2571:F2590), F2570&amp;RIGHT(INDIRECT(ADDRESS(ROW(F2571)-1, 'From Order'!$A2571)), 1), F2570))"),"RSPMGT")</f>
        <v>RSPMGT</v>
      </c>
      <c r="G2571" s="2" t="str">
        <f>IFERROR(__xludf.DUMMYFUNCTION("IF('From Order'!$A2571=COLUMNS($A2571:G2590), LEFT(INDEX(FILTER(G$1:G2570, G$1:G2570&lt;&gt;""""),COUNTA(FILTER(G$1:G2570, G$1:G2570&lt;&gt;""""))), LEN(INDEX(FILTER(G$1:G2570, G$1:G2570&lt;&gt;""""),COUNTA(FILTER(G$1:G2570, G$1:G2570&lt;&gt;""""))))-1), IF('To Order'!$A2571=COL"&amp;"UMNS($A2571:G2590), G2570&amp;RIGHT(INDIRECT(ADDRESS(ROW(G2571)-1, 'From Order'!$A2571)), 1), G2570))"),"")</f>
        <v/>
      </c>
      <c r="H2571" s="2" t="str">
        <f>IFERROR(__xludf.DUMMYFUNCTION("IF('From Order'!$A2571=COLUMNS($A2571:H2590), LEFT(INDEX(FILTER(H$1:H2570, H$1:H2570&lt;&gt;""""),COUNTA(FILTER(H$1:H2570, H$1:H2570&lt;&gt;""""))), LEN(INDEX(FILTER(H$1:H2570, H$1:H2570&lt;&gt;""""),COUNTA(FILTER(H$1:H2570, H$1:H2570&lt;&gt;""""))))-1), IF('To Order'!$A2571=COL"&amp;"UMNS($A2571:H2590), H2570&amp;RIGHT(INDIRECT(ADDRESS(ROW(H2571)-1, 'From Order'!$A2571)), 1), H2570))"),"TJTSZHZ")</f>
        <v>TJTSZHZ</v>
      </c>
      <c r="I2571" s="2" t="str">
        <f>IFERROR(__xludf.DUMMYFUNCTION("IF('From Order'!$A2571=COLUMNS($A2571:I2590), LEFT(INDEX(FILTER(I$1:I2570, I$1:I2570&lt;&gt;""""),COUNTA(FILTER(I$1:I2570, I$1:I2570&lt;&gt;""""))), LEN(INDEX(FILTER(I$1:I2570, I$1:I2570&lt;&gt;""""),COUNTA(FILTER(I$1:I2570, I$1:I2570&lt;&gt;""""))))-1), IF('To Order'!$A2571=COL"&amp;"UMNS($A2571:I2590), I2570&amp;RIGHT(INDIRECT(ADDRESS(ROW(I2571)-1, 'From Order'!$A2571)), 1), I2570))"),"QVVDDSPLRRJTTCJFZPRBB")</f>
        <v>QVVDDSPLRRJTTCJFZPRBB</v>
      </c>
    </row>
    <row r="2572">
      <c r="A2572" s="2" t="str">
        <f>IFERROR(__xludf.DUMMYFUNCTION("IF('From Order'!$A2572=COLUMNS($A2572:A2591), LEFT(INDEX(FILTER(A$1:A2571, A$1:A2571&lt;&gt;""""),COUNTA(FILTER(A$1:A2571, A$1:A2571&lt;&gt;""""))), LEN(INDEX(FILTER(A$1:A2571, A$1:A2571&lt;&gt;""""),COUNTA(FILTER(A$1:A2571, A$1:A2571&lt;&gt;""""))))-1), IF('To Order'!$A2572=COL"&amp;"UMNS($A2572:A2591), A2571&amp;RIGHT(INDIRECT(ADDRESS(ROW(A2572)-1, 'From Order'!$A2572)), 1), A2571))"),"DDMTM")</f>
        <v>DDMTM</v>
      </c>
      <c r="B2572" s="2" t="str">
        <f>IFERROR(__xludf.DUMMYFUNCTION("IF('From Order'!$A2572=COLUMNS($A2572:B2591), LEFT(INDEX(FILTER(B$1:B2571, B$1:B2571&lt;&gt;""""),COUNTA(FILTER(B$1:B2571, B$1:B2571&lt;&gt;""""))), LEN(INDEX(FILTER(B$1:B2571, B$1:B2571&lt;&gt;""""),COUNTA(FILTER(B$1:B2571, B$1:B2571&lt;&gt;""""))))-1), IF('To Order'!$A2572=COL"&amp;"UMNS($A2572:B2591), B2571&amp;RIGHT(INDIRECT(ADDRESS(ROW(B2572)-1, 'From Order'!$A2572)), 1), B2571))"),"QGWWLHBS")</f>
        <v>QGWWLHBS</v>
      </c>
      <c r="C2572" s="2" t="str">
        <f>IFERROR(__xludf.DUMMYFUNCTION("IF('From Order'!$A2572=COLUMNS($A2572:C2591), LEFT(INDEX(FILTER(C$1:C2571, C$1:C2571&lt;&gt;""""),COUNTA(FILTER(C$1:C2571, C$1:C2571&lt;&gt;""""))), LEN(INDEX(FILTER(C$1:C2571, C$1:C2571&lt;&gt;""""),COUNTA(FILTER(C$1:C2571, C$1:C2571&lt;&gt;""""))))-1), IF('To Order'!$A2572=COL"&amp;"UMNS($A2572:C2591), C2571&amp;RIGHT(INDIRECT(ADDRESS(ROW(C2572)-1, 'From Order'!$A2572)), 1), C2571))"),"CDLFBDVRC")</f>
        <v>CDLFBDVRC</v>
      </c>
      <c r="D2572" s="2" t="str">
        <f>IFERROR(__xludf.DUMMYFUNCTION("IF('From Order'!$A2572=COLUMNS($A2572:D2591), LEFT(INDEX(FILTER(D$1:D2571, D$1:D2571&lt;&gt;""""),COUNTA(FILTER(D$1:D2571, D$1:D2571&lt;&gt;""""))), LEN(INDEX(FILTER(D$1:D2571, D$1:D2571&lt;&gt;""""),COUNTA(FILTER(D$1:D2571, D$1:D2571&lt;&gt;""""))))-1), IF('To Order'!$A2572=COL"&amp;"UMNS($A2572:D2591), D2571&amp;RIGHT(INDIRECT(ADDRESS(ROW(D2572)-1, 'From Order'!$A2572)), 1), D2571))"),"")</f>
        <v/>
      </c>
      <c r="E2572" s="2" t="str">
        <f>IFERROR(__xludf.DUMMYFUNCTION("IF('From Order'!$A2572=COLUMNS($A2572:E2591), LEFT(INDEX(FILTER(E$1:E2571, E$1:E2571&lt;&gt;""""),COUNTA(FILTER(E$1:E2571, E$1:E2571&lt;&gt;""""))), LEN(INDEX(FILTER(E$1:E2571, E$1:E2571&lt;&gt;""""),COUNTA(FILTER(E$1:E2571, E$1:E2571&lt;&gt;""""))))-1), IF('To Order'!$A2572=COL"&amp;"UMNS($A2572:E2591), E2571&amp;RIGHT(INDIRECT(ADDRESS(ROW(E2572)-1, 'From Order'!$A2572)), 1), E2571))"),"")</f>
        <v/>
      </c>
      <c r="F2572" s="2" t="str">
        <f>IFERROR(__xludf.DUMMYFUNCTION("IF('From Order'!$A2572=COLUMNS($A2572:F2591), LEFT(INDEX(FILTER(F$1:F2571, F$1:F2571&lt;&gt;""""),COUNTA(FILTER(F$1:F2571, F$1:F2571&lt;&gt;""""))), LEN(INDEX(FILTER(F$1:F2571, F$1:F2571&lt;&gt;""""),COUNTA(FILTER(F$1:F2571, F$1:F2571&lt;&gt;""""))))-1), IF('To Order'!$A2572=COL"&amp;"UMNS($A2572:F2591), F2571&amp;RIGHT(INDIRECT(ADDRESS(ROW(F2572)-1, 'From Order'!$A2572)), 1), F2571))"),"RSPMGT")</f>
        <v>RSPMGT</v>
      </c>
      <c r="G2572" s="2" t="str">
        <f>IFERROR(__xludf.DUMMYFUNCTION("IF('From Order'!$A2572=COLUMNS($A2572:G2591), LEFT(INDEX(FILTER(G$1:G2571, G$1:G2571&lt;&gt;""""),COUNTA(FILTER(G$1:G2571, G$1:G2571&lt;&gt;""""))), LEN(INDEX(FILTER(G$1:G2571, G$1:G2571&lt;&gt;""""),COUNTA(FILTER(G$1:G2571, G$1:G2571&lt;&gt;""""))))-1), IF('To Order'!$A2572=COL"&amp;"UMNS($A2572:G2591), G2571&amp;RIGHT(INDIRECT(ADDRESS(ROW(G2572)-1, 'From Order'!$A2572)), 1), G2571))"),"")</f>
        <v/>
      </c>
      <c r="H2572" s="2" t="str">
        <f>IFERROR(__xludf.DUMMYFUNCTION("IF('From Order'!$A2572=COLUMNS($A2572:H2591), LEFT(INDEX(FILTER(H$1:H2571, H$1:H2571&lt;&gt;""""),COUNTA(FILTER(H$1:H2571, H$1:H2571&lt;&gt;""""))), LEN(INDEX(FILTER(H$1:H2571, H$1:H2571&lt;&gt;""""),COUNTA(FILTER(H$1:H2571, H$1:H2571&lt;&gt;""""))))-1), IF('To Order'!$A2572=COL"&amp;"UMNS($A2572:H2591), H2571&amp;RIGHT(INDIRECT(ADDRESS(ROW(H2572)-1, 'From Order'!$A2572)), 1), H2571))"),"TJTSZHZ")</f>
        <v>TJTSZHZ</v>
      </c>
      <c r="I2572" s="2" t="str">
        <f>IFERROR(__xludf.DUMMYFUNCTION("IF('From Order'!$A2572=COLUMNS($A2572:I2591), LEFT(INDEX(FILTER(I$1:I2571, I$1:I2571&lt;&gt;""""),COUNTA(FILTER(I$1:I2571, I$1:I2571&lt;&gt;""""))), LEN(INDEX(FILTER(I$1:I2571, I$1:I2571&lt;&gt;""""),COUNTA(FILTER(I$1:I2571, I$1:I2571&lt;&gt;""""))))-1), IF('To Order'!$A2572=COL"&amp;"UMNS($A2572:I2591), I2571&amp;RIGHT(INDIRECT(ADDRESS(ROW(I2572)-1, 'From Order'!$A2572)), 1), I2571))"),"QVVDDSPLRRJTTCJFZPRBB")</f>
        <v>QVVDDSPLRRJTTCJFZPRBB</v>
      </c>
    </row>
    <row r="2573">
      <c r="A2573" s="2" t="str">
        <f>IFERROR(__xludf.DUMMYFUNCTION("IF('From Order'!$A2573=COLUMNS($A2573:A2592), LEFT(INDEX(FILTER(A$1:A2572, A$1:A2572&lt;&gt;""""),COUNTA(FILTER(A$1:A2572, A$1:A2572&lt;&gt;""""))), LEN(INDEX(FILTER(A$1:A2572, A$1:A2572&lt;&gt;""""),COUNTA(FILTER(A$1:A2572, A$1:A2572&lt;&gt;""""))))-1), IF('To Order'!$A2573=COL"&amp;"UMNS($A2573:A2592), A2572&amp;RIGHT(INDIRECT(ADDRESS(ROW(A2573)-1, 'From Order'!$A2573)), 1), A2572))"),"DDMTM")</f>
        <v>DDMTM</v>
      </c>
      <c r="B2573" s="2" t="str">
        <f>IFERROR(__xludf.DUMMYFUNCTION("IF('From Order'!$A2573=COLUMNS($A2573:B2592), LEFT(INDEX(FILTER(B$1:B2572, B$1:B2572&lt;&gt;""""),COUNTA(FILTER(B$1:B2572, B$1:B2572&lt;&gt;""""))), LEN(INDEX(FILTER(B$1:B2572, B$1:B2572&lt;&gt;""""),COUNTA(FILTER(B$1:B2572, B$1:B2572&lt;&gt;""""))))-1), IF('To Order'!$A2573=COL"&amp;"UMNS($A2573:B2592), B2572&amp;RIGHT(INDIRECT(ADDRESS(ROW(B2573)-1, 'From Order'!$A2573)), 1), B2572))"),"QGWWLHBS")</f>
        <v>QGWWLHBS</v>
      </c>
      <c r="C2573" s="2" t="str">
        <f>IFERROR(__xludf.DUMMYFUNCTION("IF('From Order'!$A2573=COLUMNS($A2573:C2592), LEFT(INDEX(FILTER(C$1:C2572, C$1:C2572&lt;&gt;""""),COUNTA(FILTER(C$1:C2572, C$1:C2572&lt;&gt;""""))), LEN(INDEX(FILTER(C$1:C2572, C$1:C2572&lt;&gt;""""),COUNTA(FILTER(C$1:C2572, C$1:C2572&lt;&gt;""""))))-1), IF('To Order'!$A2573=COL"&amp;"UMNS($A2573:C2592), C2572&amp;RIGHT(INDIRECT(ADDRESS(ROW(C2573)-1, 'From Order'!$A2573)), 1), C2572))"),"CDLFBDVRC")</f>
        <v>CDLFBDVRC</v>
      </c>
      <c r="D2573" s="2" t="str">
        <f>IFERROR(__xludf.DUMMYFUNCTION("IF('From Order'!$A2573=COLUMNS($A2573:D2592), LEFT(INDEX(FILTER(D$1:D2572, D$1:D2572&lt;&gt;""""),COUNTA(FILTER(D$1:D2572, D$1:D2572&lt;&gt;""""))), LEN(INDEX(FILTER(D$1:D2572, D$1:D2572&lt;&gt;""""),COUNTA(FILTER(D$1:D2572, D$1:D2572&lt;&gt;""""))))-1), IF('To Order'!$A2573=COL"&amp;"UMNS($A2573:D2592), D2572&amp;RIGHT(INDIRECT(ADDRESS(ROW(D2573)-1, 'From Order'!$A2573)), 1), D2572))"),"")</f>
        <v/>
      </c>
      <c r="E2573" s="2" t="str">
        <f>IFERROR(__xludf.DUMMYFUNCTION("IF('From Order'!$A2573=COLUMNS($A2573:E2592), LEFT(INDEX(FILTER(E$1:E2572, E$1:E2572&lt;&gt;""""),COUNTA(FILTER(E$1:E2572, E$1:E2572&lt;&gt;""""))), LEN(INDEX(FILTER(E$1:E2572, E$1:E2572&lt;&gt;""""),COUNTA(FILTER(E$1:E2572, E$1:E2572&lt;&gt;""""))))-1), IF('To Order'!$A2573=COL"&amp;"UMNS($A2573:E2592), E2572&amp;RIGHT(INDIRECT(ADDRESS(ROW(E2573)-1, 'From Order'!$A2573)), 1), E2572))"),"")</f>
        <v/>
      </c>
      <c r="F2573" s="2" t="str">
        <f>IFERROR(__xludf.DUMMYFUNCTION("IF('From Order'!$A2573=COLUMNS($A2573:F2592), LEFT(INDEX(FILTER(F$1:F2572, F$1:F2572&lt;&gt;""""),COUNTA(FILTER(F$1:F2572, F$1:F2572&lt;&gt;""""))), LEN(INDEX(FILTER(F$1:F2572, F$1:F2572&lt;&gt;""""),COUNTA(FILTER(F$1:F2572, F$1:F2572&lt;&gt;""""))))-1), IF('To Order'!$A2573=COL"&amp;"UMNS($A2573:F2592), F2572&amp;RIGHT(INDIRECT(ADDRESS(ROW(F2573)-1, 'From Order'!$A2573)), 1), F2572))"),"RSPMGTZ")</f>
        <v>RSPMGTZ</v>
      </c>
      <c r="G2573" s="2" t="str">
        <f>IFERROR(__xludf.DUMMYFUNCTION("IF('From Order'!$A2573=COLUMNS($A2573:G2592), LEFT(INDEX(FILTER(G$1:G2572, G$1:G2572&lt;&gt;""""),COUNTA(FILTER(G$1:G2572, G$1:G2572&lt;&gt;""""))), LEN(INDEX(FILTER(G$1:G2572, G$1:G2572&lt;&gt;""""),COUNTA(FILTER(G$1:G2572, G$1:G2572&lt;&gt;""""))))-1), IF('To Order'!$A2573=COL"&amp;"UMNS($A2573:G2592), G2572&amp;RIGHT(INDIRECT(ADDRESS(ROW(G2573)-1, 'From Order'!$A2573)), 1), G2572))"),"")</f>
        <v/>
      </c>
      <c r="H2573" s="2" t="str">
        <f>IFERROR(__xludf.DUMMYFUNCTION("IF('From Order'!$A2573=COLUMNS($A2573:H2592), LEFT(INDEX(FILTER(H$1:H2572, H$1:H2572&lt;&gt;""""),COUNTA(FILTER(H$1:H2572, H$1:H2572&lt;&gt;""""))), LEN(INDEX(FILTER(H$1:H2572, H$1:H2572&lt;&gt;""""),COUNTA(FILTER(H$1:H2572, H$1:H2572&lt;&gt;""""))))-1), IF('To Order'!$A2573=COL"&amp;"UMNS($A2573:H2592), H2572&amp;RIGHT(INDIRECT(ADDRESS(ROW(H2573)-1, 'From Order'!$A2573)), 1), H2572))"),"TJTSZH")</f>
        <v>TJTSZH</v>
      </c>
      <c r="I2573" s="2" t="str">
        <f>IFERROR(__xludf.DUMMYFUNCTION("IF('From Order'!$A2573=COLUMNS($A2573:I2592), LEFT(INDEX(FILTER(I$1:I2572, I$1:I2572&lt;&gt;""""),COUNTA(FILTER(I$1:I2572, I$1:I2572&lt;&gt;""""))), LEN(INDEX(FILTER(I$1:I2572, I$1:I2572&lt;&gt;""""),COUNTA(FILTER(I$1:I2572, I$1:I2572&lt;&gt;""""))))-1), IF('To Order'!$A2573=COL"&amp;"UMNS($A2573:I2592), I2572&amp;RIGHT(INDIRECT(ADDRESS(ROW(I2573)-1, 'From Order'!$A2573)), 1), I2572))"),"QVVDDSPLRRJTTCJFZPRBB")</f>
        <v>QVVDDSPLRRJTTCJFZPRBB</v>
      </c>
    </row>
    <row r="2574">
      <c r="A2574" s="2" t="str">
        <f>IFERROR(__xludf.DUMMYFUNCTION("IF('From Order'!$A2574=COLUMNS($A2574:A2593), LEFT(INDEX(FILTER(A$1:A2573, A$1:A2573&lt;&gt;""""),COUNTA(FILTER(A$1:A2573, A$1:A2573&lt;&gt;""""))), LEN(INDEX(FILTER(A$1:A2573, A$1:A2573&lt;&gt;""""),COUNTA(FILTER(A$1:A2573, A$1:A2573&lt;&gt;""""))))-1), IF('To Order'!$A2574=COL"&amp;"UMNS($A2574:A2593), A2573&amp;RIGHT(INDIRECT(ADDRESS(ROW(A2574)-1, 'From Order'!$A2574)), 1), A2573))"),"DDMTM")</f>
        <v>DDMTM</v>
      </c>
      <c r="B2574" s="2" t="str">
        <f>IFERROR(__xludf.DUMMYFUNCTION("IF('From Order'!$A2574=COLUMNS($A2574:B2593), LEFT(INDEX(FILTER(B$1:B2573, B$1:B2573&lt;&gt;""""),COUNTA(FILTER(B$1:B2573, B$1:B2573&lt;&gt;""""))), LEN(INDEX(FILTER(B$1:B2573, B$1:B2573&lt;&gt;""""),COUNTA(FILTER(B$1:B2573, B$1:B2573&lt;&gt;""""))))-1), IF('To Order'!$A2574=COL"&amp;"UMNS($A2574:B2593), B2573&amp;RIGHT(INDIRECT(ADDRESS(ROW(B2574)-1, 'From Order'!$A2574)), 1), B2573))"),"QGWWLHBS")</f>
        <v>QGWWLHBS</v>
      </c>
      <c r="C2574" s="2" t="str">
        <f>IFERROR(__xludf.DUMMYFUNCTION("IF('From Order'!$A2574=COLUMNS($A2574:C2593), LEFT(INDEX(FILTER(C$1:C2573, C$1:C2573&lt;&gt;""""),COUNTA(FILTER(C$1:C2573, C$1:C2573&lt;&gt;""""))), LEN(INDEX(FILTER(C$1:C2573, C$1:C2573&lt;&gt;""""),COUNTA(FILTER(C$1:C2573, C$1:C2573&lt;&gt;""""))))-1), IF('To Order'!$A2574=COL"&amp;"UMNS($A2574:C2593), C2573&amp;RIGHT(INDIRECT(ADDRESS(ROW(C2574)-1, 'From Order'!$A2574)), 1), C2573))"),"CDLFBDVRC")</f>
        <v>CDLFBDVRC</v>
      </c>
      <c r="D2574" s="2" t="str">
        <f>IFERROR(__xludf.DUMMYFUNCTION("IF('From Order'!$A2574=COLUMNS($A2574:D2593), LEFT(INDEX(FILTER(D$1:D2573, D$1:D2573&lt;&gt;""""),COUNTA(FILTER(D$1:D2573, D$1:D2573&lt;&gt;""""))), LEN(INDEX(FILTER(D$1:D2573, D$1:D2573&lt;&gt;""""),COUNTA(FILTER(D$1:D2573, D$1:D2573&lt;&gt;""""))))-1), IF('To Order'!$A2574=COL"&amp;"UMNS($A2574:D2593), D2573&amp;RIGHT(INDIRECT(ADDRESS(ROW(D2574)-1, 'From Order'!$A2574)), 1), D2573))"),"")</f>
        <v/>
      </c>
      <c r="E2574" s="2" t="str">
        <f>IFERROR(__xludf.DUMMYFUNCTION("IF('From Order'!$A2574=COLUMNS($A2574:E2593), LEFT(INDEX(FILTER(E$1:E2573, E$1:E2573&lt;&gt;""""),COUNTA(FILTER(E$1:E2573, E$1:E2573&lt;&gt;""""))), LEN(INDEX(FILTER(E$1:E2573, E$1:E2573&lt;&gt;""""),COUNTA(FILTER(E$1:E2573, E$1:E2573&lt;&gt;""""))))-1), IF('To Order'!$A2574=COL"&amp;"UMNS($A2574:E2593), E2573&amp;RIGHT(INDIRECT(ADDRESS(ROW(E2574)-1, 'From Order'!$A2574)), 1), E2573))"),"")</f>
        <v/>
      </c>
      <c r="F2574" s="2" t="str">
        <f>IFERROR(__xludf.DUMMYFUNCTION("IF('From Order'!$A2574=COLUMNS($A2574:F2593), LEFT(INDEX(FILTER(F$1:F2573, F$1:F2573&lt;&gt;""""),COUNTA(FILTER(F$1:F2573, F$1:F2573&lt;&gt;""""))), LEN(INDEX(FILTER(F$1:F2573, F$1:F2573&lt;&gt;""""),COUNTA(FILTER(F$1:F2573, F$1:F2573&lt;&gt;""""))))-1), IF('To Order'!$A2574=COL"&amp;"UMNS($A2574:F2593), F2573&amp;RIGHT(INDIRECT(ADDRESS(ROW(F2574)-1, 'From Order'!$A2574)), 1), F2573))"),"RSPMGTZH")</f>
        <v>RSPMGTZH</v>
      </c>
      <c r="G2574" s="2" t="str">
        <f>IFERROR(__xludf.DUMMYFUNCTION("IF('From Order'!$A2574=COLUMNS($A2574:G2593), LEFT(INDEX(FILTER(G$1:G2573, G$1:G2573&lt;&gt;""""),COUNTA(FILTER(G$1:G2573, G$1:G2573&lt;&gt;""""))), LEN(INDEX(FILTER(G$1:G2573, G$1:G2573&lt;&gt;""""),COUNTA(FILTER(G$1:G2573, G$1:G2573&lt;&gt;""""))))-1), IF('To Order'!$A2574=COL"&amp;"UMNS($A2574:G2593), G2573&amp;RIGHT(INDIRECT(ADDRESS(ROW(G2574)-1, 'From Order'!$A2574)), 1), G2573))"),"")</f>
        <v/>
      </c>
      <c r="H2574" s="2" t="str">
        <f>IFERROR(__xludf.DUMMYFUNCTION("IF('From Order'!$A2574=COLUMNS($A2574:H2593), LEFT(INDEX(FILTER(H$1:H2573, H$1:H2573&lt;&gt;""""),COUNTA(FILTER(H$1:H2573, H$1:H2573&lt;&gt;""""))), LEN(INDEX(FILTER(H$1:H2573, H$1:H2573&lt;&gt;""""),COUNTA(FILTER(H$1:H2573, H$1:H2573&lt;&gt;""""))))-1), IF('To Order'!$A2574=COL"&amp;"UMNS($A2574:H2593), H2573&amp;RIGHT(INDIRECT(ADDRESS(ROW(H2574)-1, 'From Order'!$A2574)), 1), H2573))"),"TJTSZ")</f>
        <v>TJTSZ</v>
      </c>
      <c r="I2574" s="2" t="str">
        <f>IFERROR(__xludf.DUMMYFUNCTION("IF('From Order'!$A2574=COLUMNS($A2574:I2593), LEFT(INDEX(FILTER(I$1:I2573, I$1:I2573&lt;&gt;""""),COUNTA(FILTER(I$1:I2573, I$1:I2573&lt;&gt;""""))), LEN(INDEX(FILTER(I$1:I2573, I$1:I2573&lt;&gt;""""),COUNTA(FILTER(I$1:I2573, I$1:I2573&lt;&gt;""""))))-1), IF('To Order'!$A2574=COL"&amp;"UMNS($A2574:I2593), I2573&amp;RIGHT(INDIRECT(ADDRESS(ROW(I2574)-1, 'From Order'!$A2574)), 1), I2573))"),"QVVDDSPLRRJTTCJFZPRBB")</f>
        <v>QVVDDSPLRRJTTCJFZPRBB</v>
      </c>
    </row>
    <row r="2575">
      <c r="A2575" s="2" t="str">
        <f>IFERROR(__xludf.DUMMYFUNCTION("IF('From Order'!$A2575=COLUMNS($A2575:A2594), LEFT(INDEX(FILTER(A$1:A2574, A$1:A2574&lt;&gt;""""),COUNTA(FILTER(A$1:A2574, A$1:A2574&lt;&gt;""""))), LEN(INDEX(FILTER(A$1:A2574, A$1:A2574&lt;&gt;""""),COUNTA(FILTER(A$1:A2574, A$1:A2574&lt;&gt;""""))))-1), IF('To Order'!$A2575=COL"&amp;"UMNS($A2575:A2594), A2574&amp;RIGHT(INDIRECT(ADDRESS(ROW(A2575)-1, 'From Order'!$A2575)), 1), A2574))"),"DDMTM")</f>
        <v>DDMTM</v>
      </c>
      <c r="B2575" s="2" t="str">
        <f>IFERROR(__xludf.DUMMYFUNCTION("IF('From Order'!$A2575=COLUMNS($A2575:B2594), LEFT(INDEX(FILTER(B$1:B2574, B$1:B2574&lt;&gt;""""),COUNTA(FILTER(B$1:B2574, B$1:B2574&lt;&gt;""""))), LEN(INDEX(FILTER(B$1:B2574, B$1:B2574&lt;&gt;""""),COUNTA(FILTER(B$1:B2574, B$1:B2574&lt;&gt;""""))))-1), IF('To Order'!$A2575=COL"&amp;"UMNS($A2575:B2594), B2574&amp;RIGHT(INDIRECT(ADDRESS(ROW(B2575)-1, 'From Order'!$A2575)), 1), B2574))"),"QGWWLHBS")</f>
        <v>QGWWLHBS</v>
      </c>
      <c r="C2575" s="2" t="str">
        <f>IFERROR(__xludf.DUMMYFUNCTION("IF('From Order'!$A2575=COLUMNS($A2575:C2594), LEFT(INDEX(FILTER(C$1:C2574, C$1:C2574&lt;&gt;""""),COUNTA(FILTER(C$1:C2574, C$1:C2574&lt;&gt;""""))), LEN(INDEX(FILTER(C$1:C2574, C$1:C2574&lt;&gt;""""),COUNTA(FILTER(C$1:C2574, C$1:C2574&lt;&gt;""""))))-1), IF('To Order'!$A2575=COL"&amp;"UMNS($A2575:C2594), C2574&amp;RIGHT(INDIRECT(ADDRESS(ROW(C2575)-1, 'From Order'!$A2575)), 1), C2574))"),"CDLFBDVRC")</f>
        <v>CDLFBDVRC</v>
      </c>
      <c r="D2575" s="2" t="str">
        <f>IFERROR(__xludf.DUMMYFUNCTION("IF('From Order'!$A2575=COLUMNS($A2575:D2594), LEFT(INDEX(FILTER(D$1:D2574, D$1:D2574&lt;&gt;""""),COUNTA(FILTER(D$1:D2574, D$1:D2574&lt;&gt;""""))), LEN(INDEX(FILTER(D$1:D2574, D$1:D2574&lt;&gt;""""),COUNTA(FILTER(D$1:D2574, D$1:D2574&lt;&gt;""""))))-1), IF('To Order'!$A2575=COL"&amp;"UMNS($A2575:D2594), D2574&amp;RIGHT(INDIRECT(ADDRESS(ROW(D2575)-1, 'From Order'!$A2575)), 1), D2574))"),"")</f>
        <v/>
      </c>
      <c r="E2575" s="2" t="str">
        <f>IFERROR(__xludf.DUMMYFUNCTION("IF('From Order'!$A2575=COLUMNS($A2575:E2594), LEFT(INDEX(FILTER(E$1:E2574, E$1:E2574&lt;&gt;""""),COUNTA(FILTER(E$1:E2574, E$1:E2574&lt;&gt;""""))), LEN(INDEX(FILTER(E$1:E2574, E$1:E2574&lt;&gt;""""),COUNTA(FILTER(E$1:E2574, E$1:E2574&lt;&gt;""""))))-1), IF('To Order'!$A2575=COL"&amp;"UMNS($A2575:E2594), E2574&amp;RIGHT(INDIRECT(ADDRESS(ROW(E2575)-1, 'From Order'!$A2575)), 1), E2574))"),"")</f>
        <v/>
      </c>
      <c r="F2575" s="2" t="str">
        <f>IFERROR(__xludf.DUMMYFUNCTION("IF('From Order'!$A2575=COLUMNS($A2575:F2594), LEFT(INDEX(FILTER(F$1:F2574, F$1:F2574&lt;&gt;""""),COUNTA(FILTER(F$1:F2574, F$1:F2574&lt;&gt;""""))), LEN(INDEX(FILTER(F$1:F2574, F$1:F2574&lt;&gt;""""),COUNTA(FILTER(F$1:F2574, F$1:F2574&lt;&gt;""""))))-1), IF('To Order'!$A2575=COL"&amp;"UMNS($A2575:F2594), F2574&amp;RIGHT(INDIRECT(ADDRESS(ROW(F2575)-1, 'From Order'!$A2575)), 1), F2574))"),"RSPMGTZH")</f>
        <v>RSPMGTZH</v>
      </c>
      <c r="G2575" s="2" t="str">
        <f>IFERROR(__xludf.DUMMYFUNCTION("IF('From Order'!$A2575=COLUMNS($A2575:G2594), LEFT(INDEX(FILTER(G$1:G2574, G$1:G2574&lt;&gt;""""),COUNTA(FILTER(G$1:G2574, G$1:G2574&lt;&gt;""""))), LEN(INDEX(FILTER(G$1:G2574, G$1:G2574&lt;&gt;""""),COUNTA(FILTER(G$1:G2574, G$1:G2574&lt;&gt;""""))))-1), IF('To Order'!$A2575=COL"&amp;"UMNS($A2575:G2594), G2574&amp;RIGHT(INDIRECT(ADDRESS(ROW(G2575)-1, 'From Order'!$A2575)), 1), G2574))"),"Z")</f>
        <v>Z</v>
      </c>
      <c r="H2575" s="2" t="str">
        <f>IFERROR(__xludf.DUMMYFUNCTION("IF('From Order'!$A2575=COLUMNS($A2575:H2594), LEFT(INDEX(FILTER(H$1:H2574, H$1:H2574&lt;&gt;""""),COUNTA(FILTER(H$1:H2574, H$1:H2574&lt;&gt;""""))), LEN(INDEX(FILTER(H$1:H2574, H$1:H2574&lt;&gt;""""),COUNTA(FILTER(H$1:H2574, H$1:H2574&lt;&gt;""""))))-1), IF('To Order'!$A2575=COL"&amp;"UMNS($A2575:H2594), H2574&amp;RIGHT(INDIRECT(ADDRESS(ROW(H2575)-1, 'From Order'!$A2575)), 1), H2574))"),"TJTS")</f>
        <v>TJTS</v>
      </c>
      <c r="I2575" s="2" t="str">
        <f>IFERROR(__xludf.DUMMYFUNCTION("IF('From Order'!$A2575=COLUMNS($A2575:I2594), LEFT(INDEX(FILTER(I$1:I2574, I$1:I2574&lt;&gt;""""),COUNTA(FILTER(I$1:I2574, I$1:I2574&lt;&gt;""""))), LEN(INDEX(FILTER(I$1:I2574, I$1:I2574&lt;&gt;""""),COUNTA(FILTER(I$1:I2574, I$1:I2574&lt;&gt;""""))))-1), IF('To Order'!$A2575=COL"&amp;"UMNS($A2575:I2594), I2574&amp;RIGHT(INDIRECT(ADDRESS(ROW(I2575)-1, 'From Order'!$A2575)), 1), I2574))"),"QVVDDSPLRRJTTCJFZPRBB")</f>
        <v>QVVDDSPLRRJTTCJFZPRBB</v>
      </c>
    </row>
    <row r="2576">
      <c r="A2576" s="2" t="str">
        <f>IFERROR(__xludf.DUMMYFUNCTION("IF('From Order'!$A2576=COLUMNS($A2576:A2595), LEFT(INDEX(FILTER(A$1:A2575, A$1:A2575&lt;&gt;""""),COUNTA(FILTER(A$1:A2575, A$1:A2575&lt;&gt;""""))), LEN(INDEX(FILTER(A$1:A2575, A$1:A2575&lt;&gt;""""),COUNTA(FILTER(A$1:A2575, A$1:A2575&lt;&gt;""""))))-1), IF('To Order'!$A2576=COL"&amp;"UMNS($A2576:A2595), A2575&amp;RIGHT(INDIRECT(ADDRESS(ROW(A2576)-1, 'From Order'!$A2576)), 1), A2575))"),"DDMTM")</f>
        <v>DDMTM</v>
      </c>
      <c r="B2576" s="2" t="str">
        <f>IFERROR(__xludf.DUMMYFUNCTION("IF('From Order'!$A2576=COLUMNS($A2576:B2595), LEFT(INDEX(FILTER(B$1:B2575, B$1:B2575&lt;&gt;""""),COUNTA(FILTER(B$1:B2575, B$1:B2575&lt;&gt;""""))), LEN(INDEX(FILTER(B$1:B2575, B$1:B2575&lt;&gt;""""),COUNTA(FILTER(B$1:B2575, B$1:B2575&lt;&gt;""""))))-1), IF('To Order'!$A2576=COL"&amp;"UMNS($A2576:B2595), B2575&amp;RIGHT(INDIRECT(ADDRESS(ROW(B2576)-1, 'From Order'!$A2576)), 1), B2575))"),"QGWWLHBS")</f>
        <v>QGWWLHBS</v>
      </c>
      <c r="C2576" s="2" t="str">
        <f>IFERROR(__xludf.DUMMYFUNCTION("IF('From Order'!$A2576=COLUMNS($A2576:C2595), LEFT(INDEX(FILTER(C$1:C2575, C$1:C2575&lt;&gt;""""),COUNTA(FILTER(C$1:C2575, C$1:C2575&lt;&gt;""""))), LEN(INDEX(FILTER(C$1:C2575, C$1:C2575&lt;&gt;""""),COUNTA(FILTER(C$1:C2575, C$1:C2575&lt;&gt;""""))))-1), IF('To Order'!$A2576=COL"&amp;"UMNS($A2576:C2595), C2575&amp;RIGHT(INDIRECT(ADDRESS(ROW(C2576)-1, 'From Order'!$A2576)), 1), C2575))"),"CDLFBDVRC")</f>
        <v>CDLFBDVRC</v>
      </c>
      <c r="D2576" s="2" t="str">
        <f>IFERROR(__xludf.DUMMYFUNCTION("IF('From Order'!$A2576=COLUMNS($A2576:D2595), LEFT(INDEX(FILTER(D$1:D2575, D$1:D2575&lt;&gt;""""),COUNTA(FILTER(D$1:D2575, D$1:D2575&lt;&gt;""""))), LEN(INDEX(FILTER(D$1:D2575, D$1:D2575&lt;&gt;""""),COUNTA(FILTER(D$1:D2575, D$1:D2575&lt;&gt;""""))))-1), IF('To Order'!$A2576=COL"&amp;"UMNS($A2576:D2595), D2575&amp;RIGHT(INDIRECT(ADDRESS(ROW(D2576)-1, 'From Order'!$A2576)), 1), D2575))"),"")</f>
        <v/>
      </c>
      <c r="E2576" s="2" t="str">
        <f>IFERROR(__xludf.DUMMYFUNCTION("IF('From Order'!$A2576=COLUMNS($A2576:E2595), LEFT(INDEX(FILTER(E$1:E2575, E$1:E2575&lt;&gt;""""),COUNTA(FILTER(E$1:E2575, E$1:E2575&lt;&gt;""""))), LEN(INDEX(FILTER(E$1:E2575, E$1:E2575&lt;&gt;""""),COUNTA(FILTER(E$1:E2575, E$1:E2575&lt;&gt;""""))))-1), IF('To Order'!$A2576=COL"&amp;"UMNS($A2576:E2595), E2575&amp;RIGHT(INDIRECT(ADDRESS(ROW(E2576)-1, 'From Order'!$A2576)), 1), E2575))"),"")</f>
        <v/>
      </c>
      <c r="F2576" s="2" t="str">
        <f>IFERROR(__xludf.DUMMYFUNCTION("IF('From Order'!$A2576=COLUMNS($A2576:F2595), LEFT(INDEX(FILTER(F$1:F2575, F$1:F2575&lt;&gt;""""),COUNTA(FILTER(F$1:F2575, F$1:F2575&lt;&gt;""""))), LEN(INDEX(FILTER(F$1:F2575, F$1:F2575&lt;&gt;""""),COUNTA(FILTER(F$1:F2575, F$1:F2575&lt;&gt;""""))))-1), IF('To Order'!$A2576=COL"&amp;"UMNS($A2576:F2595), F2575&amp;RIGHT(INDIRECT(ADDRESS(ROW(F2576)-1, 'From Order'!$A2576)), 1), F2575))"),"RSPMGTZH")</f>
        <v>RSPMGTZH</v>
      </c>
      <c r="G2576" s="2" t="str">
        <f>IFERROR(__xludf.DUMMYFUNCTION("IF('From Order'!$A2576=COLUMNS($A2576:G2595), LEFT(INDEX(FILTER(G$1:G2575, G$1:G2575&lt;&gt;""""),COUNTA(FILTER(G$1:G2575, G$1:G2575&lt;&gt;""""))), LEN(INDEX(FILTER(G$1:G2575, G$1:G2575&lt;&gt;""""),COUNTA(FILTER(G$1:G2575, G$1:G2575&lt;&gt;""""))))-1), IF('To Order'!$A2576=COL"&amp;"UMNS($A2576:G2595), G2575&amp;RIGHT(INDIRECT(ADDRESS(ROW(G2576)-1, 'From Order'!$A2576)), 1), G2575))"),"ZS")</f>
        <v>ZS</v>
      </c>
      <c r="H2576" s="2" t="str">
        <f>IFERROR(__xludf.DUMMYFUNCTION("IF('From Order'!$A2576=COLUMNS($A2576:H2595), LEFT(INDEX(FILTER(H$1:H2575, H$1:H2575&lt;&gt;""""),COUNTA(FILTER(H$1:H2575, H$1:H2575&lt;&gt;""""))), LEN(INDEX(FILTER(H$1:H2575, H$1:H2575&lt;&gt;""""),COUNTA(FILTER(H$1:H2575, H$1:H2575&lt;&gt;""""))))-1), IF('To Order'!$A2576=COL"&amp;"UMNS($A2576:H2595), H2575&amp;RIGHT(INDIRECT(ADDRESS(ROW(H2576)-1, 'From Order'!$A2576)), 1), H2575))"),"TJT")</f>
        <v>TJT</v>
      </c>
      <c r="I2576" s="2" t="str">
        <f>IFERROR(__xludf.DUMMYFUNCTION("IF('From Order'!$A2576=COLUMNS($A2576:I2595), LEFT(INDEX(FILTER(I$1:I2575, I$1:I2575&lt;&gt;""""),COUNTA(FILTER(I$1:I2575, I$1:I2575&lt;&gt;""""))), LEN(INDEX(FILTER(I$1:I2575, I$1:I2575&lt;&gt;""""),COUNTA(FILTER(I$1:I2575, I$1:I2575&lt;&gt;""""))))-1), IF('To Order'!$A2576=COL"&amp;"UMNS($A2576:I2595), I2575&amp;RIGHT(INDIRECT(ADDRESS(ROW(I2576)-1, 'From Order'!$A2576)), 1), I2575))"),"QVVDDSPLRRJTTCJFZPRBB")</f>
        <v>QVVDDSPLRRJTTCJFZPRBB</v>
      </c>
    </row>
    <row r="2577">
      <c r="A2577" s="2" t="str">
        <f>IFERROR(__xludf.DUMMYFUNCTION("IF('From Order'!$A2577=COLUMNS($A2577:A2596), LEFT(INDEX(FILTER(A$1:A2576, A$1:A2576&lt;&gt;""""),COUNTA(FILTER(A$1:A2576, A$1:A2576&lt;&gt;""""))), LEN(INDEX(FILTER(A$1:A2576, A$1:A2576&lt;&gt;""""),COUNTA(FILTER(A$1:A2576, A$1:A2576&lt;&gt;""""))))-1), IF('To Order'!$A2577=COL"&amp;"UMNS($A2577:A2596), A2576&amp;RIGHT(INDIRECT(ADDRESS(ROW(A2577)-1, 'From Order'!$A2577)), 1), A2576))"),"DDMTM")</f>
        <v>DDMTM</v>
      </c>
      <c r="B2577" s="2" t="str">
        <f>IFERROR(__xludf.DUMMYFUNCTION("IF('From Order'!$A2577=COLUMNS($A2577:B2596), LEFT(INDEX(FILTER(B$1:B2576, B$1:B2576&lt;&gt;""""),COUNTA(FILTER(B$1:B2576, B$1:B2576&lt;&gt;""""))), LEN(INDEX(FILTER(B$1:B2576, B$1:B2576&lt;&gt;""""),COUNTA(FILTER(B$1:B2576, B$1:B2576&lt;&gt;""""))))-1), IF('To Order'!$A2577=COL"&amp;"UMNS($A2577:B2596), B2576&amp;RIGHT(INDIRECT(ADDRESS(ROW(B2577)-1, 'From Order'!$A2577)), 1), B2576))"),"QGWWLHBS")</f>
        <v>QGWWLHBS</v>
      </c>
      <c r="C2577" s="2" t="str">
        <f>IFERROR(__xludf.DUMMYFUNCTION("IF('From Order'!$A2577=COLUMNS($A2577:C2596), LEFT(INDEX(FILTER(C$1:C2576, C$1:C2576&lt;&gt;""""),COUNTA(FILTER(C$1:C2576, C$1:C2576&lt;&gt;""""))), LEN(INDEX(FILTER(C$1:C2576, C$1:C2576&lt;&gt;""""),COUNTA(FILTER(C$1:C2576, C$1:C2576&lt;&gt;""""))))-1), IF('To Order'!$A2577=COL"&amp;"UMNS($A2577:C2596), C2576&amp;RIGHT(INDIRECT(ADDRESS(ROW(C2577)-1, 'From Order'!$A2577)), 1), C2576))"),"CDLFBDVRC")</f>
        <v>CDLFBDVRC</v>
      </c>
      <c r="D2577" s="2" t="str">
        <f>IFERROR(__xludf.DUMMYFUNCTION("IF('From Order'!$A2577=COLUMNS($A2577:D2596), LEFT(INDEX(FILTER(D$1:D2576, D$1:D2576&lt;&gt;""""),COUNTA(FILTER(D$1:D2576, D$1:D2576&lt;&gt;""""))), LEN(INDEX(FILTER(D$1:D2576, D$1:D2576&lt;&gt;""""),COUNTA(FILTER(D$1:D2576, D$1:D2576&lt;&gt;""""))))-1), IF('To Order'!$A2577=COL"&amp;"UMNS($A2577:D2596), D2576&amp;RIGHT(INDIRECT(ADDRESS(ROW(D2577)-1, 'From Order'!$A2577)), 1), D2576))"),"")</f>
        <v/>
      </c>
      <c r="E2577" s="2" t="str">
        <f>IFERROR(__xludf.DUMMYFUNCTION("IF('From Order'!$A2577=COLUMNS($A2577:E2596), LEFT(INDEX(FILTER(E$1:E2576, E$1:E2576&lt;&gt;""""),COUNTA(FILTER(E$1:E2576, E$1:E2576&lt;&gt;""""))), LEN(INDEX(FILTER(E$1:E2576, E$1:E2576&lt;&gt;""""),COUNTA(FILTER(E$1:E2576, E$1:E2576&lt;&gt;""""))))-1), IF('To Order'!$A2577=COL"&amp;"UMNS($A2577:E2596), E2576&amp;RIGHT(INDIRECT(ADDRESS(ROW(E2577)-1, 'From Order'!$A2577)), 1), E2576))"),"")</f>
        <v/>
      </c>
      <c r="F2577" s="2" t="str">
        <f>IFERROR(__xludf.DUMMYFUNCTION("IF('From Order'!$A2577=COLUMNS($A2577:F2596), LEFT(INDEX(FILTER(F$1:F2576, F$1:F2576&lt;&gt;""""),COUNTA(FILTER(F$1:F2576, F$1:F2576&lt;&gt;""""))), LEN(INDEX(FILTER(F$1:F2576, F$1:F2576&lt;&gt;""""),COUNTA(FILTER(F$1:F2576, F$1:F2576&lt;&gt;""""))))-1), IF('To Order'!$A2577=COL"&amp;"UMNS($A2577:F2596), F2576&amp;RIGHT(INDIRECT(ADDRESS(ROW(F2577)-1, 'From Order'!$A2577)), 1), F2576))"),"RSPMGTZH")</f>
        <v>RSPMGTZH</v>
      </c>
      <c r="G2577" s="2" t="str">
        <f>IFERROR(__xludf.DUMMYFUNCTION("IF('From Order'!$A2577=COLUMNS($A2577:G2596), LEFT(INDEX(FILTER(G$1:G2576, G$1:G2576&lt;&gt;""""),COUNTA(FILTER(G$1:G2576, G$1:G2576&lt;&gt;""""))), LEN(INDEX(FILTER(G$1:G2576, G$1:G2576&lt;&gt;""""),COUNTA(FILTER(G$1:G2576, G$1:G2576&lt;&gt;""""))))-1), IF('To Order'!$A2577=COL"&amp;"UMNS($A2577:G2596), G2576&amp;RIGHT(INDIRECT(ADDRESS(ROW(G2577)-1, 'From Order'!$A2577)), 1), G2576))"),"ZST")</f>
        <v>ZST</v>
      </c>
      <c r="H2577" s="2" t="str">
        <f>IFERROR(__xludf.DUMMYFUNCTION("IF('From Order'!$A2577=COLUMNS($A2577:H2596), LEFT(INDEX(FILTER(H$1:H2576, H$1:H2576&lt;&gt;""""),COUNTA(FILTER(H$1:H2576, H$1:H2576&lt;&gt;""""))), LEN(INDEX(FILTER(H$1:H2576, H$1:H2576&lt;&gt;""""),COUNTA(FILTER(H$1:H2576, H$1:H2576&lt;&gt;""""))))-1), IF('To Order'!$A2577=COL"&amp;"UMNS($A2577:H2596), H2576&amp;RIGHT(INDIRECT(ADDRESS(ROW(H2577)-1, 'From Order'!$A2577)), 1), H2576))"),"TJ")</f>
        <v>TJ</v>
      </c>
      <c r="I2577" s="2" t="str">
        <f>IFERROR(__xludf.DUMMYFUNCTION("IF('From Order'!$A2577=COLUMNS($A2577:I2596), LEFT(INDEX(FILTER(I$1:I2576, I$1:I2576&lt;&gt;""""),COUNTA(FILTER(I$1:I2576, I$1:I2576&lt;&gt;""""))), LEN(INDEX(FILTER(I$1:I2576, I$1:I2576&lt;&gt;""""),COUNTA(FILTER(I$1:I2576, I$1:I2576&lt;&gt;""""))))-1), IF('To Order'!$A2577=COL"&amp;"UMNS($A2577:I2596), I2576&amp;RIGHT(INDIRECT(ADDRESS(ROW(I2577)-1, 'From Order'!$A2577)), 1), I2576))"),"QVVDDSPLRRJTTCJFZPRBB")</f>
        <v>QVVDDSPLRRJTTCJFZPRBB</v>
      </c>
    </row>
    <row r="2578">
      <c r="A2578" s="2" t="str">
        <f>IFERROR(__xludf.DUMMYFUNCTION("IF('From Order'!$A2578=COLUMNS($A2578:A2597), LEFT(INDEX(FILTER(A$1:A2577, A$1:A2577&lt;&gt;""""),COUNTA(FILTER(A$1:A2577, A$1:A2577&lt;&gt;""""))), LEN(INDEX(FILTER(A$1:A2577, A$1:A2577&lt;&gt;""""),COUNTA(FILTER(A$1:A2577, A$1:A2577&lt;&gt;""""))))-1), IF('To Order'!$A2578=COL"&amp;"UMNS($A2578:A2597), A2577&amp;RIGHT(INDIRECT(ADDRESS(ROW(A2578)-1, 'From Order'!$A2578)), 1), A2577))"),"DDMTM")</f>
        <v>DDMTM</v>
      </c>
      <c r="B2578" s="2" t="str">
        <f>IFERROR(__xludf.DUMMYFUNCTION("IF('From Order'!$A2578=COLUMNS($A2578:B2597), LEFT(INDEX(FILTER(B$1:B2577, B$1:B2577&lt;&gt;""""),COUNTA(FILTER(B$1:B2577, B$1:B2577&lt;&gt;""""))), LEN(INDEX(FILTER(B$1:B2577, B$1:B2577&lt;&gt;""""),COUNTA(FILTER(B$1:B2577, B$1:B2577&lt;&gt;""""))))-1), IF('To Order'!$A2578=COL"&amp;"UMNS($A2578:B2597), B2577&amp;RIGHT(INDIRECT(ADDRESS(ROW(B2578)-1, 'From Order'!$A2578)), 1), B2577))"),"QGWWLHB")</f>
        <v>QGWWLHB</v>
      </c>
      <c r="C2578" s="2" t="str">
        <f>IFERROR(__xludf.DUMMYFUNCTION("IF('From Order'!$A2578=COLUMNS($A2578:C2597), LEFT(INDEX(FILTER(C$1:C2577, C$1:C2577&lt;&gt;""""),COUNTA(FILTER(C$1:C2577, C$1:C2577&lt;&gt;""""))), LEN(INDEX(FILTER(C$1:C2577, C$1:C2577&lt;&gt;""""),COUNTA(FILTER(C$1:C2577, C$1:C2577&lt;&gt;""""))))-1), IF('To Order'!$A2578=COL"&amp;"UMNS($A2578:C2597), C2577&amp;RIGHT(INDIRECT(ADDRESS(ROW(C2578)-1, 'From Order'!$A2578)), 1), C2577))"),"CDLFBDVRC")</f>
        <v>CDLFBDVRC</v>
      </c>
      <c r="D2578" s="2" t="str">
        <f>IFERROR(__xludf.DUMMYFUNCTION("IF('From Order'!$A2578=COLUMNS($A2578:D2597), LEFT(INDEX(FILTER(D$1:D2577, D$1:D2577&lt;&gt;""""),COUNTA(FILTER(D$1:D2577, D$1:D2577&lt;&gt;""""))), LEN(INDEX(FILTER(D$1:D2577, D$1:D2577&lt;&gt;""""),COUNTA(FILTER(D$1:D2577, D$1:D2577&lt;&gt;""""))))-1), IF('To Order'!$A2578=COL"&amp;"UMNS($A2578:D2597), D2577&amp;RIGHT(INDIRECT(ADDRESS(ROW(D2578)-1, 'From Order'!$A2578)), 1), D2577))"),"")</f>
        <v/>
      </c>
      <c r="E2578" s="2" t="str">
        <f>IFERROR(__xludf.DUMMYFUNCTION("IF('From Order'!$A2578=COLUMNS($A2578:E2597), LEFT(INDEX(FILTER(E$1:E2577, E$1:E2577&lt;&gt;""""),COUNTA(FILTER(E$1:E2577, E$1:E2577&lt;&gt;""""))), LEN(INDEX(FILTER(E$1:E2577, E$1:E2577&lt;&gt;""""),COUNTA(FILTER(E$1:E2577, E$1:E2577&lt;&gt;""""))))-1), IF('To Order'!$A2578=COL"&amp;"UMNS($A2578:E2597), E2577&amp;RIGHT(INDIRECT(ADDRESS(ROW(E2578)-1, 'From Order'!$A2578)), 1), E2577))"),"S")</f>
        <v>S</v>
      </c>
      <c r="F2578" s="2" t="str">
        <f>IFERROR(__xludf.DUMMYFUNCTION("IF('From Order'!$A2578=COLUMNS($A2578:F2597), LEFT(INDEX(FILTER(F$1:F2577, F$1:F2577&lt;&gt;""""),COUNTA(FILTER(F$1:F2577, F$1:F2577&lt;&gt;""""))), LEN(INDEX(FILTER(F$1:F2577, F$1:F2577&lt;&gt;""""),COUNTA(FILTER(F$1:F2577, F$1:F2577&lt;&gt;""""))))-1), IF('To Order'!$A2578=COL"&amp;"UMNS($A2578:F2597), F2577&amp;RIGHT(INDIRECT(ADDRESS(ROW(F2578)-1, 'From Order'!$A2578)), 1), F2577))"),"RSPMGTZH")</f>
        <v>RSPMGTZH</v>
      </c>
      <c r="G2578" s="2" t="str">
        <f>IFERROR(__xludf.DUMMYFUNCTION("IF('From Order'!$A2578=COLUMNS($A2578:G2597), LEFT(INDEX(FILTER(G$1:G2577, G$1:G2577&lt;&gt;""""),COUNTA(FILTER(G$1:G2577, G$1:G2577&lt;&gt;""""))), LEN(INDEX(FILTER(G$1:G2577, G$1:G2577&lt;&gt;""""),COUNTA(FILTER(G$1:G2577, G$1:G2577&lt;&gt;""""))))-1), IF('To Order'!$A2578=COL"&amp;"UMNS($A2578:G2597), G2577&amp;RIGHT(INDIRECT(ADDRESS(ROW(G2578)-1, 'From Order'!$A2578)), 1), G2577))"),"ZST")</f>
        <v>ZST</v>
      </c>
      <c r="H2578" s="2" t="str">
        <f>IFERROR(__xludf.DUMMYFUNCTION("IF('From Order'!$A2578=COLUMNS($A2578:H2597), LEFT(INDEX(FILTER(H$1:H2577, H$1:H2577&lt;&gt;""""),COUNTA(FILTER(H$1:H2577, H$1:H2577&lt;&gt;""""))), LEN(INDEX(FILTER(H$1:H2577, H$1:H2577&lt;&gt;""""),COUNTA(FILTER(H$1:H2577, H$1:H2577&lt;&gt;""""))))-1), IF('To Order'!$A2578=COL"&amp;"UMNS($A2578:H2597), H2577&amp;RIGHT(INDIRECT(ADDRESS(ROW(H2578)-1, 'From Order'!$A2578)), 1), H2577))"),"TJ")</f>
        <v>TJ</v>
      </c>
      <c r="I2578" s="2" t="str">
        <f>IFERROR(__xludf.DUMMYFUNCTION("IF('From Order'!$A2578=COLUMNS($A2578:I2597), LEFT(INDEX(FILTER(I$1:I2577, I$1:I2577&lt;&gt;""""),COUNTA(FILTER(I$1:I2577, I$1:I2577&lt;&gt;""""))), LEN(INDEX(FILTER(I$1:I2577, I$1:I2577&lt;&gt;""""),COUNTA(FILTER(I$1:I2577, I$1:I2577&lt;&gt;""""))))-1), IF('To Order'!$A2578=COL"&amp;"UMNS($A2578:I2597), I2577&amp;RIGHT(INDIRECT(ADDRESS(ROW(I2578)-1, 'From Order'!$A2578)), 1), I2577))"),"QVVDDSPLRRJTTCJFZPRBB")</f>
        <v>QVVDDSPLRRJTTCJFZPRBB</v>
      </c>
    </row>
    <row r="2579">
      <c r="A2579" s="2" t="str">
        <f>IFERROR(__xludf.DUMMYFUNCTION("IF('From Order'!$A2579=COLUMNS($A2579:A2598), LEFT(INDEX(FILTER(A$1:A2578, A$1:A2578&lt;&gt;""""),COUNTA(FILTER(A$1:A2578, A$1:A2578&lt;&gt;""""))), LEN(INDEX(FILTER(A$1:A2578, A$1:A2578&lt;&gt;""""),COUNTA(FILTER(A$1:A2578, A$1:A2578&lt;&gt;""""))))-1), IF('To Order'!$A2579=COL"&amp;"UMNS($A2579:A2598), A2578&amp;RIGHT(INDIRECT(ADDRESS(ROW(A2579)-1, 'From Order'!$A2579)), 1), A2578))"),"DDMTM")</f>
        <v>DDMTM</v>
      </c>
      <c r="B2579" s="2" t="str">
        <f>IFERROR(__xludf.DUMMYFUNCTION("IF('From Order'!$A2579=COLUMNS($A2579:B2598), LEFT(INDEX(FILTER(B$1:B2578, B$1:B2578&lt;&gt;""""),COUNTA(FILTER(B$1:B2578, B$1:B2578&lt;&gt;""""))), LEN(INDEX(FILTER(B$1:B2578, B$1:B2578&lt;&gt;""""),COUNTA(FILTER(B$1:B2578, B$1:B2578&lt;&gt;""""))))-1), IF('To Order'!$A2579=COL"&amp;"UMNS($A2579:B2598), B2578&amp;RIGHT(INDIRECT(ADDRESS(ROW(B2579)-1, 'From Order'!$A2579)), 1), B2578))"),"QGWWLH")</f>
        <v>QGWWLH</v>
      </c>
      <c r="C2579" s="2" t="str">
        <f>IFERROR(__xludf.DUMMYFUNCTION("IF('From Order'!$A2579=COLUMNS($A2579:C2598), LEFT(INDEX(FILTER(C$1:C2578, C$1:C2578&lt;&gt;""""),COUNTA(FILTER(C$1:C2578, C$1:C2578&lt;&gt;""""))), LEN(INDEX(FILTER(C$1:C2578, C$1:C2578&lt;&gt;""""),COUNTA(FILTER(C$1:C2578, C$1:C2578&lt;&gt;""""))))-1), IF('To Order'!$A2579=COL"&amp;"UMNS($A2579:C2598), C2578&amp;RIGHT(INDIRECT(ADDRESS(ROW(C2579)-1, 'From Order'!$A2579)), 1), C2578))"),"CDLFBDVRC")</f>
        <v>CDLFBDVRC</v>
      </c>
      <c r="D2579" s="2" t="str">
        <f>IFERROR(__xludf.DUMMYFUNCTION("IF('From Order'!$A2579=COLUMNS($A2579:D2598), LEFT(INDEX(FILTER(D$1:D2578, D$1:D2578&lt;&gt;""""),COUNTA(FILTER(D$1:D2578, D$1:D2578&lt;&gt;""""))), LEN(INDEX(FILTER(D$1:D2578, D$1:D2578&lt;&gt;""""),COUNTA(FILTER(D$1:D2578, D$1:D2578&lt;&gt;""""))))-1), IF('To Order'!$A2579=COL"&amp;"UMNS($A2579:D2598), D2578&amp;RIGHT(INDIRECT(ADDRESS(ROW(D2579)-1, 'From Order'!$A2579)), 1), D2578))"),"")</f>
        <v/>
      </c>
      <c r="E2579" s="2" t="str">
        <f>IFERROR(__xludf.DUMMYFUNCTION("IF('From Order'!$A2579=COLUMNS($A2579:E2598), LEFT(INDEX(FILTER(E$1:E2578, E$1:E2578&lt;&gt;""""),COUNTA(FILTER(E$1:E2578, E$1:E2578&lt;&gt;""""))), LEN(INDEX(FILTER(E$1:E2578, E$1:E2578&lt;&gt;""""),COUNTA(FILTER(E$1:E2578, E$1:E2578&lt;&gt;""""))))-1), IF('To Order'!$A2579=COL"&amp;"UMNS($A2579:E2598), E2578&amp;RIGHT(INDIRECT(ADDRESS(ROW(E2579)-1, 'From Order'!$A2579)), 1), E2578))"),"SB")</f>
        <v>SB</v>
      </c>
      <c r="F2579" s="2" t="str">
        <f>IFERROR(__xludf.DUMMYFUNCTION("IF('From Order'!$A2579=COLUMNS($A2579:F2598), LEFT(INDEX(FILTER(F$1:F2578, F$1:F2578&lt;&gt;""""),COUNTA(FILTER(F$1:F2578, F$1:F2578&lt;&gt;""""))), LEN(INDEX(FILTER(F$1:F2578, F$1:F2578&lt;&gt;""""),COUNTA(FILTER(F$1:F2578, F$1:F2578&lt;&gt;""""))))-1), IF('To Order'!$A2579=COL"&amp;"UMNS($A2579:F2598), F2578&amp;RIGHT(INDIRECT(ADDRESS(ROW(F2579)-1, 'From Order'!$A2579)), 1), F2578))"),"RSPMGTZH")</f>
        <v>RSPMGTZH</v>
      </c>
      <c r="G2579" s="2" t="str">
        <f>IFERROR(__xludf.DUMMYFUNCTION("IF('From Order'!$A2579=COLUMNS($A2579:G2598), LEFT(INDEX(FILTER(G$1:G2578, G$1:G2578&lt;&gt;""""),COUNTA(FILTER(G$1:G2578, G$1:G2578&lt;&gt;""""))), LEN(INDEX(FILTER(G$1:G2578, G$1:G2578&lt;&gt;""""),COUNTA(FILTER(G$1:G2578, G$1:G2578&lt;&gt;""""))))-1), IF('To Order'!$A2579=COL"&amp;"UMNS($A2579:G2598), G2578&amp;RIGHT(INDIRECT(ADDRESS(ROW(G2579)-1, 'From Order'!$A2579)), 1), G2578))"),"ZST")</f>
        <v>ZST</v>
      </c>
      <c r="H2579" s="2" t="str">
        <f>IFERROR(__xludf.DUMMYFUNCTION("IF('From Order'!$A2579=COLUMNS($A2579:H2598), LEFT(INDEX(FILTER(H$1:H2578, H$1:H2578&lt;&gt;""""),COUNTA(FILTER(H$1:H2578, H$1:H2578&lt;&gt;""""))), LEN(INDEX(FILTER(H$1:H2578, H$1:H2578&lt;&gt;""""),COUNTA(FILTER(H$1:H2578, H$1:H2578&lt;&gt;""""))))-1), IF('To Order'!$A2579=COL"&amp;"UMNS($A2579:H2598), H2578&amp;RIGHT(INDIRECT(ADDRESS(ROW(H2579)-1, 'From Order'!$A2579)), 1), H2578))"),"TJ")</f>
        <v>TJ</v>
      </c>
      <c r="I2579" s="2" t="str">
        <f>IFERROR(__xludf.DUMMYFUNCTION("IF('From Order'!$A2579=COLUMNS($A2579:I2598), LEFT(INDEX(FILTER(I$1:I2578, I$1:I2578&lt;&gt;""""),COUNTA(FILTER(I$1:I2578, I$1:I2578&lt;&gt;""""))), LEN(INDEX(FILTER(I$1:I2578, I$1:I2578&lt;&gt;""""),COUNTA(FILTER(I$1:I2578, I$1:I2578&lt;&gt;""""))))-1), IF('To Order'!$A2579=COL"&amp;"UMNS($A2579:I2598), I2578&amp;RIGHT(INDIRECT(ADDRESS(ROW(I2579)-1, 'From Order'!$A2579)), 1), I2578))"),"QVVDDSPLRRJTTCJFZPRBB")</f>
        <v>QVVDDSPLRRJTTCJFZPRBB</v>
      </c>
    </row>
    <row r="2580">
      <c r="A2580" s="2" t="str">
        <f>IFERROR(__xludf.DUMMYFUNCTION("IF('From Order'!$A2580=COLUMNS($A2580:A2599), LEFT(INDEX(FILTER(A$1:A2579, A$1:A2579&lt;&gt;""""),COUNTA(FILTER(A$1:A2579, A$1:A2579&lt;&gt;""""))), LEN(INDEX(FILTER(A$1:A2579, A$1:A2579&lt;&gt;""""),COUNTA(FILTER(A$1:A2579, A$1:A2579&lt;&gt;""""))))-1), IF('To Order'!$A2580=COL"&amp;"UMNS($A2580:A2599), A2579&amp;RIGHT(INDIRECT(ADDRESS(ROW(A2580)-1, 'From Order'!$A2580)), 1), A2579))"),"DDMTM")</f>
        <v>DDMTM</v>
      </c>
      <c r="B2580" s="2" t="str">
        <f>IFERROR(__xludf.DUMMYFUNCTION("IF('From Order'!$A2580=COLUMNS($A2580:B2599), LEFT(INDEX(FILTER(B$1:B2579, B$1:B2579&lt;&gt;""""),COUNTA(FILTER(B$1:B2579, B$1:B2579&lt;&gt;""""))), LEN(INDEX(FILTER(B$1:B2579, B$1:B2579&lt;&gt;""""),COUNTA(FILTER(B$1:B2579, B$1:B2579&lt;&gt;""""))))-1), IF('To Order'!$A2580=COL"&amp;"UMNS($A2580:B2599), B2579&amp;RIGHT(INDIRECT(ADDRESS(ROW(B2580)-1, 'From Order'!$A2580)), 1), B2579))"),"QGWWL")</f>
        <v>QGWWL</v>
      </c>
      <c r="C2580" s="2" t="str">
        <f>IFERROR(__xludf.DUMMYFUNCTION("IF('From Order'!$A2580=COLUMNS($A2580:C2599), LEFT(INDEX(FILTER(C$1:C2579, C$1:C2579&lt;&gt;""""),COUNTA(FILTER(C$1:C2579, C$1:C2579&lt;&gt;""""))), LEN(INDEX(FILTER(C$1:C2579, C$1:C2579&lt;&gt;""""),COUNTA(FILTER(C$1:C2579, C$1:C2579&lt;&gt;""""))))-1), IF('To Order'!$A2580=COL"&amp;"UMNS($A2580:C2599), C2579&amp;RIGHT(INDIRECT(ADDRESS(ROW(C2580)-1, 'From Order'!$A2580)), 1), C2579))"),"CDLFBDVRC")</f>
        <v>CDLFBDVRC</v>
      </c>
      <c r="D2580" s="2" t="str">
        <f>IFERROR(__xludf.DUMMYFUNCTION("IF('From Order'!$A2580=COLUMNS($A2580:D2599), LEFT(INDEX(FILTER(D$1:D2579, D$1:D2579&lt;&gt;""""),COUNTA(FILTER(D$1:D2579, D$1:D2579&lt;&gt;""""))), LEN(INDEX(FILTER(D$1:D2579, D$1:D2579&lt;&gt;""""),COUNTA(FILTER(D$1:D2579, D$1:D2579&lt;&gt;""""))))-1), IF('To Order'!$A2580=COL"&amp;"UMNS($A2580:D2599), D2579&amp;RIGHT(INDIRECT(ADDRESS(ROW(D2580)-1, 'From Order'!$A2580)), 1), D2579))"),"")</f>
        <v/>
      </c>
      <c r="E2580" s="2" t="str">
        <f>IFERROR(__xludf.DUMMYFUNCTION("IF('From Order'!$A2580=COLUMNS($A2580:E2599), LEFT(INDEX(FILTER(E$1:E2579, E$1:E2579&lt;&gt;""""),COUNTA(FILTER(E$1:E2579, E$1:E2579&lt;&gt;""""))), LEN(INDEX(FILTER(E$1:E2579, E$1:E2579&lt;&gt;""""),COUNTA(FILTER(E$1:E2579, E$1:E2579&lt;&gt;""""))))-1), IF('To Order'!$A2580=COL"&amp;"UMNS($A2580:E2599), E2579&amp;RIGHT(INDIRECT(ADDRESS(ROW(E2580)-1, 'From Order'!$A2580)), 1), E2579))"),"SBH")</f>
        <v>SBH</v>
      </c>
      <c r="F2580" s="2" t="str">
        <f>IFERROR(__xludf.DUMMYFUNCTION("IF('From Order'!$A2580=COLUMNS($A2580:F2599), LEFT(INDEX(FILTER(F$1:F2579, F$1:F2579&lt;&gt;""""),COUNTA(FILTER(F$1:F2579, F$1:F2579&lt;&gt;""""))), LEN(INDEX(FILTER(F$1:F2579, F$1:F2579&lt;&gt;""""),COUNTA(FILTER(F$1:F2579, F$1:F2579&lt;&gt;""""))))-1), IF('To Order'!$A2580=COL"&amp;"UMNS($A2580:F2599), F2579&amp;RIGHT(INDIRECT(ADDRESS(ROW(F2580)-1, 'From Order'!$A2580)), 1), F2579))"),"RSPMGTZH")</f>
        <v>RSPMGTZH</v>
      </c>
      <c r="G2580" s="2" t="str">
        <f>IFERROR(__xludf.DUMMYFUNCTION("IF('From Order'!$A2580=COLUMNS($A2580:G2599), LEFT(INDEX(FILTER(G$1:G2579, G$1:G2579&lt;&gt;""""),COUNTA(FILTER(G$1:G2579, G$1:G2579&lt;&gt;""""))), LEN(INDEX(FILTER(G$1:G2579, G$1:G2579&lt;&gt;""""),COUNTA(FILTER(G$1:G2579, G$1:G2579&lt;&gt;""""))))-1), IF('To Order'!$A2580=COL"&amp;"UMNS($A2580:G2599), G2579&amp;RIGHT(INDIRECT(ADDRESS(ROW(G2580)-1, 'From Order'!$A2580)), 1), G2579))"),"ZST")</f>
        <v>ZST</v>
      </c>
      <c r="H2580" s="2" t="str">
        <f>IFERROR(__xludf.DUMMYFUNCTION("IF('From Order'!$A2580=COLUMNS($A2580:H2599), LEFT(INDEX(FILTER(H$1:H2579, H$1:H2579&lt;&gt;""""),COUNTA(FILTER(H$1:H2579, H$1:H2579&lt;&gt;""""))), LEN(INDEX(FILTER(H$1:H2579, H$1:H2579&lt;&gt;""""),COUNTA(FILTER(H$1:H2579, H$1:H2579&lt;&gt;""""))))-1), IF('To Order'!$A2580=COL"&amp;"UMNS($A2580:H2599), H2579&amp;RIGHT(INDIRECT(ADDRESS(ROW(H2580)-1, 'From Order'!$A2580)), 1), H2579))"),"TJ")</f>
        <v>TJ</v>
      </c>
      <c r="I2580" s="2" t="str">
        <f>IFERROR(__xludf.DUMMYFUNCTION("IF('From Order'!$A2580=COLUMNS($A2580:I2599), LEFT(INDEX(FILTER(I$1:I2579, I$1:I2579&lt;&gt;""""),COUNTA(FILTER(I$1:I2579, I$1:I2579&lt;&gt;""""))), LEN(INDEX(FILTER(I$1:I2579, I$1:I2579&lt;&gt;""""),COUNTA(FILTER(I$1:I2579, I$1:I2579&lt;&gt;""""))))-1), IF('To Order'!$A2580=COL"&amp;"UMNS($A2580:I2599), I2579&amp;RIGHT(INDIRECT(ADDRESS(ROW(I2580)-1, 'From Order'!$A2580)), 1), I2579))"),"QVVDDSPLRRJTTCJFZPRBB")</f>
        <v>QVVDDSPLRRJTTCJFZPRBB</v>
      </c>
    </row>
    <row r="2581">
      <c r="A2581" s="2" t="str">
        <f>IFERROR(__xludf.DUMMYFUNCTION("IF('From Order'!$A2581=COLUMNS($A2581:A2600), LEFT(INDEX(FILTER(A$1:A2580, A$1:A2580&lt;&gt;""""),COUNTA(FILTER(A$1:A2580, A$1:A2580&lt;&gt;""""))), LEN(INDEX(FILTER(A$1:A2580, A$1:A2580&lt;&gt;""""),COUNTA(FILTER(A$1:A2580, A$1:A2580&lt;&gt;""""))))-1), IF('To Order'!$A2581=COL"&amp;"UMNS($A2581:A2600), A2580&amp;RIGHT(INDIRECT(ADDRESS(ROW(A2581)-1, 'From Order'!$A2581)), 1), A2580))"),"DDMTM")</f>
        <v>DDMTM</v>
      </c>
      <c r="B2581" s="2" t="str">
        <f>IFERROR(__xludf.DUMMYFUNCTION("IF('From Order'!$A2581=COLUMNS($A2581:B2600), LEFT(INDEX(FILTER(B$1:B2580, B$1:B2580&lt;&gt;""""),COUNTA(FILTER(B$1:B2580, B$1:B2580&lt;&gt;""""))), LEN(INDEX(FILTER(B$1:B2580, B$1:B2580&lt;&gt;""""),COUNTA(FILTER(B$1:B2580, B$1:B2580&lt;&gt;""""))))-1), IF('To Order'!$A2581=COL"&amp;"UMNS($A2581:B2600), B2580&amp;RIGHT(INDIRECT(ADDRESS(ROW(B2581)-1, 'From Order'!$A2581)), 1), B2580))"),"QGWW")</f>
        <v>QGWW</v>
      </c>
      <c r="C2581" s="2" t="str">
        <f>IFERROR(__xludf.DUMMYFUNCTION("IF('From Order'!$A2581=COLUMNS($A2581:C2600), LEFT(INDEX(FILTER(C$1:C2580, C$1:C2580&lt;&gt;""""),COUNTA(FILTER(C$1:C2580, C$1:C2580&lt;&gt;""""))), LEN(INDEX(FILTER(C$1:C2580, C$1:C2580&lt;&gt;""""),COUNTA(FILTER(C$1:C2580, C$1:C2580&lt;&gt;""""))))-1), IF('To Order'!$A2581=COL"&amp;"UMNS($A2581:C2600), C2580&amp;RIGHT(INDIRECT(ADDRESS(ROW(C2581)-1, 'From Order'!$A2581)), 1), C2580))"),"CDLFBDVRC")</f>
        <v>CDLFBDVRC</v>
      </c>
      <c r="D2581" s="2" t="str">
        <f>IFERROR(__xludf.DUMMYFUNCTION("IF('From Order'!$A2581=COLUMNS($A2581:D2600), LEFT(INDEX(FILTER(D$1:D2580, D$1:D2580&lt;&gt;""""),COUNTA(FILTER(D$1:D2580, D$1:D2580&lt;&gt;""""))), LEN(INDEX(FILTER(D$1:D2580, D$1:D2580&lt;&gt;""""),COUNTA(FILTER(D$1:D2580, D$1:D2580&lt;&gt;""""))))-1), IF('To Order'!$A2581=COL"&amp;"UMNS($A2581:D2600), D2580&amp;RIGHT(INDIRECT(ADDRESS(ROW(D2581)-1, 'From Order'!$A2581)), 1), D2580))"),"")</f>
        <v/>
      </c>
      <c r="E2581" s="2" t="str">
        <f>IFERROR(__xludf.DUMMYFUNCTION("IF('From Order'!$A2581=COLUMNS($A2581:E2600), LEFT(INDEX(FILTER(E$1:E2580, E$1:E2580&lt;&gt;""""),COUNTA(FILTER(E$1:E2580, E$1:E2580&lt;&gt;""""))), LEN(INDEX(FILTER(E$1:E2580, E$1:E2580&lt;&gt;""""),COUNTA(FILTER(E$1:E2580, E$1:E2580&lt;&gt;""""))))-1), IF('To Order'!$A2581=COL"&amp;"UMNS($A2581:E2600), E2580&amp;RIGHT(INDIRECT(ADDRESS(ROW(E2581)-1, 'From Order'!$A2581)), 1), E2580))"),"SBHL")</f>
        <v>SBHL</v>
      </c>
      <c r="F2581" s="2" t="str">
        <f>IFERROR(__xludf.DUMMYFUNCTION("IF('From Order'!$A2581=COLUMNS($A2581:F2600), LEFT(INDEX(FILTER(F$1:F2580, F$1:F2580&lt;&gt;""""),COUNTA(FILTER(F$1:F2580, F$1:F2580&lt;&gt;""""))), LEN(INDEX(FILTER(F$1:F2580, F$1:F2580&lt;&gt;""""),COUNTA(FILTER(F$1:F2580, F$1:F2580&lt;&gt;""""))))-1), IF('To Order'!$A2581=COL"&amp;"UMNS($A2581:F2600), F2580&amp;RIGHT(INDIRECT(ADDRESS(ROW(F2581)-1, 'From Order'!$A2581)), 1), F2580))"),"RSPMGTZH")</f>
        <v>RSPMGTZH</v>
      </c>
      <c r="G2581" s="2" t="str">
        <f>IFERROR(__xludf.DUMMYFUNCTION("IF('From Order'!$A2581=COLUMNS($A2581:G2600), LEFT(INDEX(FILTER(G$1:G2580, G$1:G2580&lt;&gt;""""),COUNTA(FILTER(G$1:G2580, G$1:G2580&lt;&gt;""""))), LEN(INDEX(FILTER(G$1:G2580, G$1:G2580&lt;&gt;""""),COUNTA(FILTER(G$1:G2580, G$1:G2580&lt;&gt;""""))))-1), IF('To Order'!$A2581=COL"&amp;"UMNS($A2581:G2600), G2580&amp;RIGHT(INDIRECT(ADDRESS(ROW(G2581)-1, 'From Order'!$A2581)), 1), G2580))"),"ZST")</f>
        <v>ZST</v>
      </c>
      <c r="H2581" s="2" t="str">
        <f>IFERROR(__xludf.DUMMYFUNCTION("IF('From Order'!$A2581=COLUMNS($A2581:H2600), LEFT(INDEX(FILTER(H$1:H2580, H$1:H2580&lt;&gt;""""),COUNTA(FILTER(H$1:H2580, H$1:H2580&lt;&gt;""""))), LEN(INDEX(FILTER(H$1:H2580, H$1:H2580&lt;&gt;""""),COUNTA(FILTER(H$1:H2580, H$1:H2580&lt;&gt;""""))))-1), IF('To Order'!$A2581=COL"&amp;"UMNS($A2581:H2600), H2580&amp;RIGHT(INDIRECT(ADDRESS(ROW(H2581)-1, 'From Order'!$A2581)), 1), H2580))"),"TJ")</f>
        <v>TJ</v>
      </c>
      <c r="I2581" s="2" t="str">
        <f>IFERROR(__xludf.DUMMYFUNCTION("IF('From Order'!$A2581=COLUMNS($A2581:I2600), LEFT(INDEX(FILTER(I$1:I2580, I$1:I2580&lt;&gt;""""),COUNTA(FILTER(I$1:I2580, I$1:I2580&lt;&gt;""""))), LEN(INDEX(FILTER(I$1:I2580, I$1:I2580&lt;&gt;""""),COUNTA(FILTER(I$1:I2580, I$1:I2580&lt;&gt;""""))))-1), IF('To Order'!$A2581=COL"&amp;"UMNS($A2581:I2600), I2580&amp;RIGHT(INDIRECT(ADDRESS(ROW(I2581)-1, 'From Order'!$A2581)), 1), I2580))"),"QVVDDSPLRRJTTCJFZPRBB")</f>
        <v>QVVDDSPLRRJTTCJFZPRBB</v>
      </c>
    </row>
    <row r="2582">
      <c r="A2582" s="2" t="str">
        <f>IFERROR(__xludf.DUMMYFUNCTION("IF('From Order'!$A2582=COLUMNS($A2582:A2601), LEFT(INDEX(FILTER(A$1:A2581, A$1:A2581&lt;&gt;""""),COUNTA(FILTER(A$1:A2581, A$1:A2581&lt;&gt;""""))), LEN(INDEX(FILTER(A$1:A2581, A$1:A2581&lt;&gt;""""),COUNTA(FILTER(A$1:A2581, A$1:A2581&lt;&gt;""""))))-1), IF('To Order'!$A2582=COL"&amp;"UMNS($A2582:A2601), A2581&amp;RIGHT(INDIRECT(ADDRESS(ROW(A2582)-1, 'From Order'!$A2582)), 1), A2581))"),"DDMTM")</f>
        <v>DDMTM</v>
      </c>
      <c r="B2582" s="2" t="str">
        <f>IFERROR(__xludf.DUMMYFUNCTION("IF('From Order'!$A2582=COLUMNS($A2582:B2601), LEFT(INDEX(FILTER(B$1:B2581, B$1:B2581&lt;&gt;""""),COUNTA(FILTER(B$1:B2581, B$1:B2581&lt;&gt;""""))), LEN(INDEX(FILTER(B$1:B2581, B$1:B2581&lt;&gt;""""),COUNTA(FILTER(B$1:B2581, B$1:B2581&lt;&gt;""""))))-1), IF('To Order'!$A2582=COL"&amp;"UMNS($A2582:B2601), B2581&amp;RIGHT(INDIRECT(ADDRESS(ROW(B2582)-1, 'From Order'!$A2582)), 1), B2581))"),"QGW")</f>
        <v>QGW</v>
      </c>
      <c r="C2582" s="2" t="str">
        <f>IFERROR(__xludf.DUMMYFUNCTION("IF('From Order'!$A2582=COLUMNS($A2582:C2601), LEFT(INDEX(FILTER(C$1:C2581, C$1:C2581&lt;&gt;""""),COUNTA(FILTER(C$1:C2581, C$1:C2581&lt;&gt;""""))), LEN(INDEX(FILTER(C$1:C2581, C$1:C2581&lt;&gt;""""),COUNTA(FILTER(C$1:C2581, C$1:C2581&lt;&gt;""""))))-1), IF('To Order'!$A2582=COL"&amp;"UMNS($A2582:C2601), C2581&amp;RIGHT(INDIRECT(ADDRESS(ROW(C2582)-1, 'From Order'!$A2582)), 1), C2581))"),"CDLFBDVRC")</f>
        <v>CDLFBDVRC</v>
      </c>
      <c r="D2582" s="2" t="str">
        <f>IFERROR(__xludf.DUMMYFUNCTION("IF('From Order'!$A2582=COLUMNS($A2582:D2601), LEFT(INDEX(FILTER(D$1:D2581, D$1:D2581&lt;&gt;""""),COUNTA(FILTER(D$1:D2581, D$1:D2581&lt;&gt;""""))), LEN(INDEX(FILTER(D$1:D2581, D$1:D2581&lt;&gt;""""),COUNTA(FILTER(D$1:D2581, D$1:D2581&lt;&gt;""""))))-1), IF('To Order'!$A2582=COL"&amp;"UMNS($A2582:D2601), D2581&amp;RIGHT(INDIRECT(ADDRESS(ROW(D2582)-1, 'From Order'!$A2582)), 1), D2581))"),"")</f>
        <v/>
      </c>
      <c r="E2582" s="2" t="str">
        <f>IFERROR(__xludf.DUMMYFUNCTION("IF('From Order'!$A2582=COLUMNS($A2582:E2601), LEFT(INDEX(FILTER(E$1:E2581, E$1:E2581&lt;&gt;""""),COUNTA(FILTER(E$1:E2581, E$1:E2581&lt;&gt;""""))), LEN(INDEX(FILTER(E$1:E2581, E$1:E2581&lt;&gt;""""),COUNTA(FILTER(E$1:E2581, E$1:E2581&lt;&gt;""""))))-1), IF('To Order'!$A2582=COL"&amp;"UMNS($A2582:E2601), E2581&amp;RIGHT(INDIRECT(ADDRESS(ROW(E2582)-1, 'From Order'!$A2582)), 1), E2581))"),"SBHLW")</f>
        <v>SBHLW</v>
      </c>
      <c r="F2582" s="2" t="str">
        <f>IFERROR(__xludf.DUMMYFUNCTION("IF('From Order'!$A2582=COLUMNS($A2582:F2601), LEFT(INDEX(FILTER(F$1:F2581, F$1:F2581&lt;&gt;""""),COUNTA(FILTER(F$1:F2581, F$1:F2581&lt;&gt;""""))), LEN(INDEX(FILTER(F$1:F2581, F$1:F2581&lt;&gt;""""),COUNTA(FILTER(F$1:F2581, F$1:F2581&lt;&gt;""""))))-1), IF('To Order'!$A2582=COL"&amp;"UMNS($A2582:F2601), F2581&amp;RIGHT(INDIRECT(ADDRESS(ROW(F2582)-1, 'From Order'!$A2582)), 1), F2581))"),"RSPMGTZH")</f>
        <v>RSPMGTZH</v>
      </c>
      <c r="G2582" s="2" t="str">
        <f>IFERROR(__xludf.DUMMYFUNCTION("IF('From Order'!$A2582=COLUMNS($A2582:G2601), LEFT(INDEX(FILTER(G$1:G2581, G$1:G2581&lt;&gt;""""),COUNTA(FILTER(G$1:G2581, G$1:G2581&lt;&gt;""""))), LEN(INDEX(FILTER(G$1:G2581, G$1:G2581&lt;&gt;""""),COUNTA(FILTER(G$1:G2581, G$1:G2581&lt;&gt;""""))))-1), IF('To Order'!$A2582=COL"&amp;"UMNS($A2582:G2601), G2581&amp;RIGHT(INDIRECT(ADDRESS(ROW(G2582)-1, 'From Order'!$A2582)), 1), G2581))"),"ZST")</f>
        <v>ZST</v>
      </c>
      <c r="H2582" s="2" t="str">
        <f>IFERROR(__xludf.DUMMYFUNCTION("IF('From Order'!$A2582=COLUMNS($A2582:H2601), LEFT(INDEX(FILTER(H$1:H2581, H$1:H2581&lt;&gt;""""),COUNTA(FILTER(H$1:H2581, H$1:H2581&lt;&gt;""""))), LEN(INDEX(FILTER(H$1:H2581, H$1:H2581&lt;&gt;""""),COUNTA(FILTER(H$1:H2581, H$1:H2581&lt;&gt;""""))))-1), IF('To Order'!$A2582=COL"&amp;"UMNS($A2582:H2601), H2581&amp;RIGHT(INDIRECT(ADDRESS(ROW(H2582)-1, 'From Order'!$A2582)), 1), H2581))"),"TJ")</f>
        <v>TJ</v>
      </c>
      <c r="I2582" s="2" t="str">
        <f>IFERROR(__xludf.DUMMYFUNCTION("IF('From Order'!$A2582=COLUMNS($A2582:I2601), LEFT(INDEX(FILTER(I$1:I2581, I$1:I2581&lt;&gt;""""),COUNTA(FILTER(I$1:I2581, I$1:I2581&lt;&gt;""""))), LEN(INDEX(FILTER(I$1:I2581, I$1:I2581&lt;&gt;""""),COUNTA(FILTER(I$1:I2581, I$1:I2581&lt;&gt;""""))))-1), IF('To Order'!$A2582=COL"&amp;"UMNS($A2582:I2601), I2581&amp;RIGHT(INDIRECT(ADDRESS(ROW(I2582)-1, 'From Order'!$A2582)), 1), I2581))"),"QVVDDSPLRRJTTCJFZPRBB")</f>
        <v>QVVDDSPLRRJTTCJFZPRBB</v>
      </c>
    </row>
    <row r="2583">
      <c r="A2583" s="2" t="str">
        <f>IFERROR(__xludf.DUMMYFUNCTION("IF('From Order'!$A2583=COLUMNS($A2583:A2602), LEFT(INDEX(FILTER(A$1:A2582, A$1:A2582&lt;&gt;""""),COUNTA(FILTER(A$1:A2582, A$1:A2582&lt;&gt;""""))), LEN(INDEX(FILTER(A$1:A2582, A$1:A2582&lt;&gt;""""),COUNTA(FILTER(A$1:A2582, A$1:A2582&lt;&gt;""""))))-1), IF('To Order'!$A2583=COL"&amp;"UMNS($A2583:A2602), A2582&amp;RIGHT(INDIRECT(ADDRESS(ROW(A2583)-1, 'From Order'!$A2583)), 1), A2582))"),"DDMTM")</f>
        <v>DDMTM</v>
      </c>
      <c r="B2583" s="2" t="str">
        <f>IFERROR(__xludf.DUMMYFUNCTION("IF('From Order'!$A2583=COLUMNS($A2583:B2602), LEFT(INDEX(FILTER(B$1:B2582, B$1:B2582&lt;&gt;""""),COUNTA(FILTER(B$1:B2582, B$1:B2582&lt;&gt;""""))), LEN(INDEX(FILTER(B$1:B2582, B$1:B2582&lt;&gt;""""),COUNTA(FILTER(B$1:B2582, B$1:B2582&lt;&gt;""""))))-1), IF('To Order'!$A2583=COL"&amp;"UMNS($A2583:B2602), B2582&amp;RIGHT(INDIRECT(ADDRESS(ROW(B2583)-1, 'From Order'!$A2583)), 1), B2582))"),"QG")</f>
        <v>QG</v>
      </c>
      <c r="C2583" s="2" t="str">
        <f>IFERROR(__xludf.DUMMYFUNCTION("IF('From Order'!$A2583=COLUMNS($A2583:C2602), LEFT(INDEX(FILTER(C$1:C2582, C$1:C2582&lt;&gt;""""),COUNTA(FILTER(C$1:C2582, C$1:C2582&lt;&gt;""""))), LEN(INDEX(FILTER(C$1:C2582, C$1:C2582&lt;&gt;""""),COUNTA(FILTER(C$1:C2582, C$1:C2582&lt;&gt;""""))))-1), IF('To Order'!$A2583=COL"&amp;"UMNS($A2583:C2602), C2582&amp;RIGHT(INDIRECT(ADDRESS(ROW(C2583)-1, 'From Order'!$A2583)), 1), C2582))"),"CDLFBDVRC")</f>
        <v>CDLFBDVRC</v>
      </c>
      <c r="D2583" s="2" t="str">
        <f>IFERROR(__xludf.DUMMYFUNCTION("IF('From Order'!$A2583=COLUMNS($A2583:D2602), LEFT(INDEX(FILTER(D$1:D2582, D$1:D2582&lt;&gt;""""),COUNTA(FILTER(D$1:D2582, D$1:D2582&lt;&gt;""""))), LEN(INDEX(FILTER(D$1:D2582, D$1:D2582&lt;&gt;""""),COUNTA(FILTER(D$1:D2582, D$1:D2582&lt;&gt;""""))))-1), IF('To Order'!$A2583=COL"&amp;"UMNS($A2583:D2602), D2582&amp;RIGHT(INDIRECT(ADDRESS(ROW(D2583)-1, 'From Order'!$A2583)), 1), D2582))"),"")</f>
        <v/>
      </c>
      <c r="E2583" s="2" t="str">
        <f>IFERROR(__xludf.DUMMYFUNCTION("IF('From Order'!$A2583=COLUMNS($A2583:E2602), LEFT(INDEX(FILTER(E$1:E2582, E$1:E2582&lt;&gt;""""),COUNTA(FILTER(E$1:E2582, E$1:E2582&lt;&gt;""""))), LEN(INDEX(FILTER(E$1:E2582, E$1:E2582&lt;&gt;""""),COUNTA(FILTER(E$1:E2582, E$1:E2582&lt;&gt;""""))))-1), IF('To Order'!$A2583=COL"&amp;"UMNS($A2583:E2602), E2582&amp;RIGHT(INDIRECT(ADDRESS(ROW(E2583)-1, 'From Order'!$A2583)), 1), E2582))"),"SBHLWW")</f>
        <v>SBHLWW</v>
      </c>
      <c r="F2583" s="2" t="str">
        <f>IFERROR(__xludf.DUMMYFUNCTION("IF('From Order'!$A2583=COLUMNS($A2583:F2602), LEFT(INDEX(FILTER(F$1:F2582, F$1:F2582&lt;&gt;""""),COUNTA(FILTER(F$1:F2582, F$1:F2582&lt;&gt;""""))), LEN(INDEX(FILTER(F$1:F2582, F$1:F2582&lt;&gt;""""),COUNTA(FILTER(F$1:F2582, F$1:F2582&lt;&gt;""""))))-1), IF('To Order'!$A2583=COL"&amp;"UMNS($A2583:F2602), F2582&amp;RIGHT(INDIRECT(ADDRESS(ROW(F2583)-1, 'From Order'!$A2583)), 1), F2582))"),"RSPMGTZH")</f>
        <v>RSPMGTZH</v>
      </c>
      <c r="G2583" s="2" t="str">
        <f>IFERROR(__xludf.DUMMYFUNCTION("IF('From Order'!$A2583=COLUMNS($A2583:G2602), LEFT(INDEX(FILTER(G$1:G2582, G$1:G2582&lt;&gt;""""),COUNTA(FILTER(G$1:G2582, G$1:G2582&lt;&gt;""""))), LEN(INDEX(FILTER(G$1:G2582, G$1:G2582&lt;&gt;""""),COUNTA(FILTER(G$1:G2582, G$1:G2582&lt;&gt;""""))))-1), IF('To Order'!$A2583=COL"&amp;"UMNS($A2583:G2602), G2582&amp;RIGHT(INDIRECT(ADDRESS(ROW(G2583)-1, 'From Order'!$A2583)), 1), G2582))"),"ZST")</f>
        <v>ZST</v>
      </c>
      <c r="H2583" s="2" t="str">
        <f>IFERROR(__xludf.DUMMYFUNCTION("IF('From Order'!$A2583=COLUMNS($A2583:H2602), LEFT(INDEX(FILTER(H$1:H2582, H$1:H2582&lt;&gt;""""),COUNTA(FILTER(H$1:H2582, H$1:H2582&lt;&gt;""""))), LEN(INDEX(FILTER(H$1:H2582, H$1:H2582&lt;&gt;""""),COUNTA(FILTER(H$1:H2582, H$1:H2582&lt;&gt;""""))))-1), IF('To Order'!$A2583=COL"&amp;"UMNS($A2583:H2602), H2582&amp;RIGHT(INDIRECT(ADDRESS(ROW(H2583)-1, 'From Order'!$A2583)), 1), H2582))"),"TJ")</f>
        <v>TJ</v>
      </c>
      <c r="I2583" s="2" t="str">
        <f>IFERROR(__xludf.DUMMYFUNCTION("IF('From Order'!$A2583=COLUMNS($A2583:I2602), LEFT(INDEX(FILTER(I$1:I2582, I$1:I2582&lt;&gt;""""),COUNTA(FILTER(I$1:I2582, I$1:I2582&lt;&gt;""""))), LEN(INDEX(FILTER(I$1:I2582, I$1:I2582&lt;&gt;""""),COUNTA(FILTER(I$1:I2582, I$1:I2582&lt;&gt;""""))))-1), IF('To Order'!$A2583=COL"&amp;"UMNS($A2583:I2602), I2582&amp;RIGHT(INDIRECT(ADDRESS(ROW(I2583)-1, 'From Order'!$A2583)), 1), I2582))"),"QVVDDSPLRRJTTCJFZPRBB")</f>
        <v>QVVDDSPLRRJTTCJFZPRBB</v>
      </c>
    </row>
    <row r="2584">
      <c r="A2584" s="2" t="str">
        <f>IFERROR(__xludf.DUMMYFUNCTION("IF('From Order'!$A2584=COLUMNS($A2584:A2603), LEFT(INDEX(FILTER(A$1:A2583, A$1:A2583&lt;&gt;""""),COUNTA(FILTER(A$1:A2583, A$1:A2583&lt;&gt;""""))), LEN(INDEX(FILTER(A$1:A2583, A$1:A2583&lt;&gt;""""),COUNTA(FILTER(A$1:A2583, A$1:A2583&lt;&gt;""""))))-1), IF('To Order'!$A2584=COL"&amp;"UMNS($A2584:A2603), A2583&amp;RIGHT(INDIRECT(ADDRESS(ROW(A2584)-1, 'From Order'!$A2584)), 1), A2583))"),"DDMTM")</f>
        <v>DDMTM</v>
      </c>
      <c r="B2584" s="2" t="str">
        <f>IFERROR(__xludf.DUMMYFUNCTION("IF('From Order'!$A2584=COLUMNS($A2584:B2603), LEFT(INDEX(FILTER(B$1:B2583, B$1:B2583&lt;&gt;""""),COUNTA(FILTER(B$1:B2583, B$1:B2583&lt;&gt;""""))), LEN(INDEX(FILTER(B$1:B2583, B$1:B2583&lt;&gt;""""),COUNTA(FILTER(B$1:B2583, B$1:B2583&lt;&gt;""""))))-1), IF('To Order'!$A2584=COL"&amp;"UMNS($A2584:B2603), B2583&amp;RIGHT(INDIRECT(ADDRESS(ROW(B2584)-1, 'From Order'!$A2584)), 1), B2583))"),"Q")</f>
        <v>Q</v>
      </c>
      <c r="C2584" s="2" t="str">
        <f>IFERROR(__xludf.DUMMYFUNCTION("IF('From Order'!$A2584=COLUMNS($A2584:C2603), LEFT(INDEX(FILTER(C$1:C2583, C$1:C2583&lt;&gt;""""),COUNTA(FILTER(C$1:C2583, C$1:C2583&lt;&gt;""""))), LEN(INDEX(FILTER(C$1:C2583, C$1:C2583&lt;&gt;""""),COUNTA(FILTER(C$1:C2583, C$1:C2583&lt;&gt;""""))))-1), IF('To Order'!$A2584=COL"&amp;"UMNS($A2584:C2603), C2583&amp;RIGHT(INDIRECT(ADDRESS(ROW(C2584)-1, 'From Order'!$A2584)), 1), C2583))"),"CDLFBDVRC")</f>
        <v>CDLFBDVRC</v>
      </c>
      <c r="D2584" s="2" t="str">
        <f>IFERROR(__xludf.DUMMYFUNCTION("IF('From Order'!$A2584=COLUMNS($A2584:D2603), LEFT(INDEX(FILTER(D$1:D2583, D$1:D2583&lt;&gt;""""),COUNTA(FILTER(D$1:D2583, D$1:D2583&lt;&gt;""""))), LEN(INDEX(FILTER(D$1:D2583, D$1:D2583&lt;&gt;""""),COUNTA(FILTER(D$1:D2583, D$1:D2583&lt;&gt;""""))))-1), IF('To Order'!$A2584=COL"&amp;"UMNS($A2584:D2603), D2583&amp;RIGHT(INDIRECT(ADDRESS(ROW(D2584)-1, 'From Order'!$A2584)), 1), D2583))"),"")</f>
        <v/>
      </c>
      <c r="E2584" s="2" t="str">
        <f>IFERROR(__xludf.DUMMYFUNCTION("IF('From Order'!$A2584=COLUMNS($A2584:E2603), LEFT(INDEX(FILTER(E$1:E2583, E$1:E2583&lt;&gt;""""),COUNTA(FILTER(E$1:E2583, E$1:E2583&lt;&gt;""""))), LEN(INDEX(FILTER(E$1:E2583, E$1:E2583&lt;&gt;""""),COUNTA(FILTER(E$1:E2583, E$1:E2583&lt;&gt;""""))))-1), IF('To Order'!$A2584=COL"&amp;"UMNS($A2584:E2603), E2583&amp;RIGHT(INDIRECT(ADDRESS(ROW(E2584)-1, 'From Order'!$A2584)), 1), E2583))"),"SBHLWWG")</f>
        <v>SBHLWWG</v>
      </c>
      <c r="F2584" s="2" t="str">
        <f>IFERROR(__xludf.DUMMYFUNCTION("IF('From Order'!$A2584=COLUMNS($A2584:F2603), LEFT(INDEX(FILTER(F$1:F2583, F$1:F2583&lt;&gt;""""),COUNTA(FILTER(F$1:F2583, F$1:F2583&lt;&gt;""""))), LEN(INDEX(FILTER(F$1:F2583, F$1:F2583&lt;&gt;""""),COUNTA(FILTER(F$1:F2583, F$1:F2583&lt;&gt;""""))))-1), IF('To Order'!$A2584=COL"&amp;"UMNS($A2584:F2603), F2583&amp;RIGHT(INDIRECT(ADDRESS(ROW(F2584)-1, 'From Order'!$A2584)), 1), F2583))"),"RSPMGTZH")</f>
        <v>RSPMGTZH</v>
      </c>
      <c r="G2584" s="2" t="str">
        <f>IFERROR(__xludf.DUMMYFUNCTION("IF('From Order'!$A2584=COLUMNS($A2584:G2603), LEFT(INDEX(FILTER(G$1:G2583, G$1:G2583&lt;&gt;""""),COUNTA(FILTER(G$1:G2583, G$1:G2583&lt;&gt;""""))), LEN(INDEX(FILTER(G$1:G2583, G$1:G2583&lt;&gt;""""),COUNTA(FILTER(G$1:G2583, G$1:G2583&lt;&gt;""""))))-1), IF('To Order'!$A2584=COL"&amp;"UMNS($A2584:G2603), G2583&amp;RIGHT(INDIRECT(ADDRESS(ROW(G2584)-1, 'From Order'!$A2584)), 1), G2583))"),"ZST")</f>
        <v>ZST</v>
      </c>
      <c r="H2584" s="2" t="str">
        <f>IFERROR(__xludf.DUMMYFUNCTION("IF('From Order'!$A2584=COLUMNS($A2584:H2603), LEFT(INDEX(FILTER(H$1:H2583, H$1:H2583&lt;&gt;""""),COUNTA(FILTER(H$1:H2583, H$1:H2583&lt;&gt;""""))), LEN(INDEX(FILTER(H$1:H2583, H$1:H2583&lt;&gt;""""),COUNTA(FILTER(H$1:H2583, H$1:H2583&lt;&gt;""""))))-1), IF('To Order'!$A2584=COL"&amp;"UMNS($A2584:H2603), H2583&amp;RIGHT(INDIRECT(ADDRESS(ROW(H2584)-1, 'From Order'!$A2584)), 1), H2583))"),"TJ")</f>
        <v>TJ</v>
      </c>
      <c r="I2584" s="2" t="str">
        <f>IFERROR(__xludf.DUMMYFUNCTION("IF('From Order'!$A2584=COLUMNS($A2584:I2603), LEFT(INDEX(FILTER(I$1:I2583, I$1:I2583&lt;&gt;""""),COUNTA(FILTER(I$1:I2583, I$1:I2583&lt;&gt;""""))), LEN(INDEX(FILTER(I$1:I2583, I$1:I2583&lt;&gt;""""),COUNTA(FILTER(I$1:I2583, I$1:I2583&lt;&gt;""""))))-1), IF('To Order'!$A2584=COL"&amp;"UMNS($A2584:I2603), I2583&amp;RIGHT(INDIRECT(ADDRESS(ROW(I2584)-1, 'From Order'!$A2584)), 1), I2583))"),"QVVDDSPLRRJTTCJFZPRBB")</f>
        <v>QVVDDSPLRRJTTCJFZPRBB</v>
      </c>
    </row>
    <row r="2585">
      <c r="A2585" s="2" t="str">
        <f>IFERROR(__xludf.DUMMYFUNCTION("IF('From Order'!$A2585=COLUMNS($A2585:A2604), LEFT(INDEX(FILTER(A$1:A2584, A$1:A2584&lt;&gt;""""),COUNTA(FILTER(A$1:A2584, A$1:A2584&lt;&gt;""""))), LEN(INDEX(FILTER(A$1:A2584, A$1:A2584&lt;&gt;""""),COUNTA(FILTER(A$1:A2584, A$1:A2584&lt;&gt;""""))))-1), IF('To Order'!$A2585=COL"&amp;"UMNS($A2585:A2604), A2584&amp;RIGHT(INDIRECT(ADDRESS(ROW(A2585)-1, 'From Order'!$A2585)), 1), A2584))"),"DDMTM")</f>
        <v>DDMTM</v>
      </c>
      <c r="B2585" s="2" t="str">
        <f>IFERROR(__xludf.DUMMYFUNCTION("IF('From Order'!$A2585=COLUMNS($A2585:B2604), LEFT(INDEX(FILTER(B$1:B2584, B$1:B2584&lt;&gt;""""),COUNTA(FILTER(B$1:B2584, B$1:B2584&lt;&gt;""""))), LEN(INDEX(FILTER(B$1:B2584, B$1:B2584&lt;&gt;""""),COUNTA(FILTER(B$1:B2584, B$1:B2584&lt;&gt;""""))))-1), IF('To Order'!$A2585=COL"&amp;"UMNS($A2585:B2604), B2584&amp;RIGHT(INDIRECT(ADDRESS(ROW(B2585)-1, 'From Order'!$A2585)), 1), B2584))"),"")</f>
        <v/>
      </c>
      <c r="C2585" s="2" t="str">
        <f>IFERROR(__xludf.DUMMYFUNCTION("IF('From Order'!$A2585=COLUMNS($A2585:C2604), LEFT(INDEX(FILTER(C$1:C2584, C$1:C2584&lt;&gt;""""),COUNTA(FILTER(C$1:C2584, C$1:C2584&lt;&gt;""""))), LEN(INDEX(FILTER(C$1:C2584, C$1:C2584&lt;&gt;""""),COUNTA(FILTER(C$1:C2584, C$1:C2584&lt;&gt;""""))))-1), IF('To Order'!$A2585=COL"&amp;"UMNS($A2585:C2604), C2584&amp;RIGHT(INDIRECT(ADDRESS(ROW(C2585)-1, 'From Order'!$A2585)), 1), C2584))"),"CDLFBDVRC")</f>
        <v>CDLFBDVRC</v>
      </c>
      <c r="D2585" s="2" t="str">
        <f>IFERROR(__xludf.DUMMYFUNCTION("IF('From Order'!$A2585=COLUMNS($A2585:D2604), LEFT(INDEX(FILTER(D$1:D2584, D$1:D2584&lt;&gt;""""),COUNTA(FILTER(D$1:D2584, D$1:D2584&lt;&gt;""""))), LEN(INDEX(FILTER(D$1:D2584, D$1:D2584&lt;&gt;""""),COUNTA(FILTER(D$1:D2584, D$1:D2584&lt;&gt;""""))))-1), IF('To Order'!$A2585=COL"&amp;"UMNS($A2585:D2604), D2584&amp;RIGHT(INDIRECT(ADDRESS(ROW(D2585)-1, 'From Order'!$A2585)), 1), D2584))"),"")</f>
        <v/>
      </c>
      <c r="E2585" s="2" t="str">
        <f>IFERROR(__xludf.DUMMYFUNCTION("IF('From Order'!$A2585=COLUMNS($A2585:E2604), LEFT(INDEX(FILTER(E$1:E2584, E$1:E2584&lt;&gt;""""),COUNTA(FILTER(E$1:E2584, E$1:E2584&lt;&gt;""""))), LEN(INDEX(FILTER(E$1:E2584, E$1:E2584&lt;&gt;""""),COUNTA(FILTER(E$1:E2584, E$1:E2584&lt;&gt;""""))))-1), IF('To Order'!$A2585=COL"&amp;"UMNS($A2585:E2604), E2584&amp;RIGHT(INDIRECT(ADDRESS(ROW(E2585)-1, 'From Order'!$A2585)), 1), E2584))"),"SBHLWWGQ")</f>
        <v>SBHLWWGQ</v>
      </c>
      <c r="F2585" s="2" t="str">
        <f>IFERROR(__xludf.DUMMYFUNCTION("IF('From Order'!$A2585=COLUMNS($A2585:F2604), LEFT(INDEX(FILTER(F$1:F2584, F$1:F2584&lt;&gt;""""),COUNTA(FILTER(F$1:F2584, F$1:F2584&lt;&gt;""""))), LEN(INDEX(FILTER(F$1:F2584, F$1:F2584&lt;&gt;""""),COUNTA(FILTER(F$1:F2584, F$1:F2584&lt;&gt;""""))))-1), IF('To Order'!$A2585=COL"&amp;"UMNS($A2585:F2604), F2584&amp;RIGHT(INDIRECT(ADDRESS(ROW(F2585)-1, 'From Order'!$A2585)), 1), F2584))"),"RSPMGTZH")</f>
        <v>RSPMGTZH</v>
      </c>
      <c r="G2585" s="2" t="str">
        <f>IFERROR(__xludf.DUMMYFUNCTION("IF('From Order'!$A2585=COLUMNS($A2585:G2604), LEFT(INDEX(FILTER(G$1:G2584, G$1:G2584&lt;&gt;""""),COUNTA(FILTER(G$1:G2584, G$1:G2584&lt;&gt;""""))), LEN(INDEX(FILTER(G$1:G2584, G$1:G2584&lt;&gt;""""),COUNTA(FILTER(G$1:G2584, G$1:G2584&lt;&gt;""""))))-1), IF('To Order'!$A2585=COL"&amp;"UMNS($A2585:G2604), G2584&amp;RIGHT(INDIRECT(ADDRESS(ROW(G2585)-1, 'From Order'!$A2585)), 1), G2584))"),"ZST")</f>
        <v>ZST</v>
      </c>
      <c r="H2585" s="2" t="str">
        <f>IFERROR(__xludf.DUMMYFUNCTION("IF('From Order'!$A2585=COLUMNS($A2585:H2604), LEFT(INDEX(FILTER(H$1:H2584, H$1:H2584&lt;&gt;""""),COUNTA(FILTER(H$1:H2584, H$1:H2584&lt;&gt;""""))), LEN(INDEX(FILTER(H$1:H2584, H$1:H2584&lt;&gt;""""),COUNTA(FILTER(H$1:H2584, H$1:H2584&lt;&gt;""""))))-1), IF('To Order'!$A2585=COL"&amp;"UMNS($A2585:H2604), H2584&amp;RIGHT(INDIRECT(ADDRESS(ROW(H2585)-1, 'From Order'!$A2585)), 1), H2584))"),"TJ")</f>
        <v>TJ</v>
      </c>
      <c r="I2585" s="2" t="str">
        <f>IFERROR(__xludf.DUMMYFUNCTION("IF('From Order'!$A2585=COLUMNS($A2585:I2604), LEFT(INDEX(FILTER(I$1:I2584, I$1:I2584&lt;&gt;""""),COUNTA(FILTER(I$1:I2584, I$1:I2584&lt;&gt;""""))), LEN(INDEX(FILTER(I$1:I2584, I$1:I2584&lt;&gt;""""),COUNTA(FILTER(I$1:I2584, I$1:I2584&lt;&gt;""""))))-1), IF('To Order'!$A2585=COL"&amp;"UMNS($A2585:I2604), I2584&amp;RIGHT(INDIRECT(ADDRESS(ROW(I2585)-1, 'From Order'!$A2585)), 1), I2584))"),"QVVDDSPLRRJTTCJFZPRBB")</f>
        <v>QVVDDSPLRRJTTCJFZPRBB</v>
      </c>
    </row>
    <row r="2586">
      <c r="A2586" s="2" t="str">
        <f>IFERROR(__xludf.DUMMYFUNCTION("IF('From Order'!$A2586=COLUMNS($A2586:A2605), LEFT(INDEX(FILTER(A$1:A2585, A$1:A2585&lt;&gt;""""),COUNTA(FILTER(A$1:A2585, A$1:A2585&lt;&gt;""""))), LEN(INDEX(FILTER(A$1:A2585, A$1:A2585&lt;&gt;""""),COUNTA(FILTER(A$1:A2585, A$1:A2585&lt;&gt;""""))))-1), IF('To Order'!$A2586=COL"&amp;"UMNS($A2586:A2605), A2585&amp;RIGHT(INDIRECT(ADDRESS(ROW(A2586)-1, 'From Order'!$A2586)), 1), A2585))"),"DDMTM")</f>
        <v>DDMTM</v>
      </c>
      <c r="B2586" s="2" t="str">
        <f>IFERROR(__xludf.DUMMYFUNCTION("IF('From Order'!$A2586=COLUMNS($A2586:B2605), LEFT(INDEX(FILTER(B$1:B2585, B$1:B2585&lt;&gt;""""),COUNTA(FILTER(B$1:B2585, B$1:B2585&lt;&gt;""""))), LEN(INDEX(FILTER(B$1:B2585, B$1:B2585&lt;&gt;""""),COUNTA(FILTER(B$1:B2585, B$1:B2585&lt;&gt;""""))))-1), IF('To Order'!$A2586=COL"&amp;"UMNS($A2586:B2605), B2585&amp;RIGHT(INDIRECT(ADDRESS(ROW(B2586)-1, 'From Order'!$A2586)), 1), B2585))"),"Q")</f>
        <v>Q</v>
      </c>
      <c r="C2586" s="2" t="str">
        <f>IFERROR(__xludf.DUMMYFUNCTION("IF('From Order'!$A2586=COLUMNS($A2586:C2605), LEFT(INDEX(FILTER(C$1:C2585, C$1:C2585&lt;&gt;""""),COUNTA(FILTER(C$1:C2585, C$1:C2585&lt;&gt;""""))), LEN(INDEX(FILTER(C$1:C2585, C$1:C2585&lt;&gt;""""),COUNTA(FILTER(C$1:C2585, C$1:C2585&lt;&gt;""""))))-1), IF('To Order'!$A2586=COL"&amp;"UMNS($A2586:C2605), C2585&amp;RIGHT(INDIRECT(ADDRESS(ROW(C2586)-1, 'From Order'!$A2586)), 1), C2585))"),"CDLFBDVRC")</f>
        <v>CDLFBDVRC</v>
      </c>
      <c r="D2586" s="2" t="str">
        <f>IFERROR(__xludf.DUMMYFUNCTION("IF('From Order'!$A2586=COLUMNS($A2586:D2605), LEFT(INDEX(FILTER(D$1:D2585, D$1:D2585&lt;&gt;""""),COUNTA(FILTER(D$1:D2585, D$1:D2585&lt;&gt;""""))), LEN(INDEX(FILTER(D$1:D2585, D$1:D2585&lt;&gt;""""),COUNTA(FILTER(D$1:D2585, D$1:D2585&lt;&gt;""""))))-1), IF('To Order'!$A2586=COL"&amp;"UMNS($A2586:D2605), D2585&amp;RIGHT(INDIRECT(ADDRESS(ROW(D2586)-1, 'From Order'!$A2586)), 1), D2585))"),"")</f>
        <v/>
      </c>
      <c r="E2586" s="2" t="str">
        <f>IFERROR(__xludf.DUMMYFUNCTION("IF('From Order'!$A2586=COLUMNS($A2586:E2605), LEFT(INDEX(FILTER(E$1:E2585, E$1:E2585&lt;&gt;""""),COUNTA(FILTER(E$1:E2585, E$1:E2585&lt;&gt;""""))), LEN(INDEX(FILTER(E$1:E2585, E$1:E2585&lt;&gt;""""),COUNTA(FILTER(E$1:E2585, E$1:E2585&lt;&gt;""""))))-1), IF('To Order'!$A2586=COL"&amp;"UMNS($A2586:E2605), E2585&amp;RIGHT(INDIRECT(ADDRESS(ROW(E2586)-1, 'From Order'!$A2586)), 1), E2585))"),"SBHLWWG")</f>
        <v>SBHLWWG</v>
      </c>
      <c r="F2586" s="2" t="str">
        <f>IFERROR(__xludf.DUMMYFUNCTION("IF('From Order'!$A2586=COLUMNS($A2586:F2605), LEFT(INDEX(FILTER(F$1:F2585, F$1:F2585&lt;&gt;""""),COUNTA(FILTER(F$1:F2585, F$1:F2585&lt;&gt;""""))), LEN(INDEX(FILTER(F$1:F2585, F$1:F2585&lt;&gt;""""),COUNTA(FILTER(F$1:F2585, F$1:F2585&lt;&gt;""""))))-1), IF('To Order'!$A2586=COL"&amp;"UMNS($A2586:F2605), F2585&amp;RIGHT(INDIRECT(ADDRESS(ROW(F2586)-1, 'From Order'!$A2586)), 1), F2585))"),"RSPMGTZH")</f>
        <v>RSPMGTZH</v>
      </c>
      <c r="G2586" s="2" t="str">
        <f>IFERROR(__xludf.DUMMYFUNCTION("IF('From Order'!$A2586=COLUMNS($A2586:G2605), LEFT(INDEX(FILTER(G$1:G2585, G$1:G2585&lt;&gt;""""),COUNTA(FILTER(G$1:G2585, G$1:G2585&lt;&gt;""""))), LEN(INDEX(FILTER(G$1:G2585, G$1:G2585&lt;&gt;""""),COUNTA(FILTER(G$1:G2585, G$1:G2585&lt;&gt;""""))))-1), IF('To Order'!$A2586=COL"&amp;"UMNS($A2586:G2605), G2585&amp;RIGHT(INDIRECT(ADDRESS(ROW(G2586)-1, 'From Order'!$A2586)), 1), G2585))"),"ZST")</f>
        <v>ZST</v>
      </c>
      <c r="H2586" s="2" t="str">
        <f>IFERROR(__xludf.DUMMYFUNCTION("IF('From Order'!$A2586=COLUMNS($A2586:H2605), LEFT(INDEX(FILTER(H$1:H2585, H$1:H2585&lt;&gt;""""),COUNTA(FILTER(H$1:H2585, H$1:H2585&lt;&gt;""""))), LEN(INDEX(FILTER(H$1:H2585, H$1:H2585&lt;&gt;""""),COUNTA(FILTER(H$1:H2585, H$1:H2585&lt;&gt;""""))))-1), IF('To Order'!$A2586=COL"&amp;"UMNS($A2586:H2605), H2585&amp;RIGHT(INDIRECT(ADDRESS(ROW(H2586)-1, 'From Order'!$A2586)), 1), H2585))"),"TJ")</f>
        <v>TJ</v>
      </c>
      <c r="I2586" s="2" t="str">
        <f>IFERROR(__xludf.DUMMYFUNCTION("IF('From Order'!$A2586=COLUMNS($A2586:I2605), LEFT(INDEX(FILTER(I$1:I2585, I$1:I2585&lt;&gt;""""),COUNTA(FILTER(I$1:I2585, I$1:I2585&lt;&gt;""""))), LEN(INDEX(FILTER(I$1:I2585, I$1:I2585&lt;&gt;""""),COUNTA(FILTER(I$1:I2585, I$1:I2585&lt;&gt;""""))))-1), IF('To Order'!$A2586=COL"&amp;"UMNS($A2586:I2605), I2585&amp;RIGHT(INDIRECT(ADDRESS(ROW(I2586)-1, 'From Order'!$A2586)), 1), I2585))"),"QVVDDSPLRRJTTCJFZPRBB")</f>
        <v>QVVDDSPLRRJTTCJFZPRBB</v>
      </c>
    </row>
    <row r="2587">
      <c r="A2587" s="2" t="str">
        <f>IFERROR(__xludf.DUMMYFUNCTION("IF('From Order'!$A2587=COLUMNS($A2587:A2606), LEFT(INDEX(FILTER(A$1:A2586, A$1:A2586&lt;&gt;""""),COUNTA(FILTER(A$1:A2586, A$1:A2586&lt;&gt;""""))), LEN(INDEX(FILTER(A$1:A2586, A$1:A2586&lt;&gt;""""),COUNTA(FILTER(A$1:A2586, A$1:A2586&lt;&gt;""""))))-1), IF('To Order'!$A2587=COL"&amp;"UMNS($A2587:A2606), A2586&amp;RIGHT(INDIRECT(ADDRESS(ROW(A2587)-1, 'From Order'!$A2587)), 1), A2586))"),"DDMTM")</f>
        <v>DDMTM</v>
      </c>
      <c r="B2587" s="2" t="str">
        <f>IFERROR(__xludf.DUMMYFUNCTION("IF('From Order'!$A2587=COLUMNS($A2587:B2606), LEFT(INDEX(FILTER(B$1:B2586, B$1:B2586&lt;&gt;""""),COUNTA(FILTER(B$1:B2586, B$1:B2586&lt;&gt;""""))), LEN(INDEX(FILTER(B$1:B2586, B$1:B2586&lt;&gt;""""),COUNTA(FILTER(B$1:B2586, B$1:B2586&lt;&gt;""""))))-1), IF('To Order'!$A2587=COL"&amp;"UMNS($A2587:B2606), B2586&amp;RIGHT(INDIRECT(ADDRESS(ROW(B2587)-1, 'From Order'!$A2587)), 1), B2586))"),"QG")</f>
        <v>QG</v>
      </c>
      <c r="C2587" s="2" t="str">
        <f>IFERROR(__xludf.DUMMYFUNCTION("IF('From Order'!$A2587=COLUMNS($A2587:C2606), LEFT(INDEX(FILTER(C$1:C2586, C$1:C2586&lt;&gt;""""),COUNTA(FILTER(C$1:C2586, C$1:C2586&lt;&gt;""""))), LEN(INDEX(FILTER(C$1:C2586, C$1:C2586&lt;&gt;""""),COUNTA(FILTER(C$1:C2586, C$1:C2586&lt;&gt;""""))))-1), IF('To Order'!$A2587=COL"&amp;"UMNS($A2587:C2606), C2586&amp;RIGHT(INDIRECT(ADDRESS(ROW(C2587)-1, 'From Order'!$A2587)), 1), C2586))"),"CDLFBDVRC")</f>
        <v>CDLFBDVRC</v>
      </c>
      <c r="D2587" s="2" t="str">
        <f>IFERROR(__xludf.DUMMYFUNCTION("IF('From Order'!$A2587=COLUMNS($A2587:D2606), LEFT(INDEX(FILTER(D$1:D2586, D$1:D2586&lt;&gt;""""),COUNTA(FILTER(D$1:D2586, D$1:D2586&lt;&gt;""""))), LEN(INDEX(FILTER(D$1:D2586, D$1:D2586&lt;&gt;""""),COUNTA(FILTER(D$1:D2586, D$1:D2586&lt;&gt;""""))))-1), IF('To Order'!$A2587=COL"&amp;"UMNS($A2587:D2606), D2586&amp;RIGHT(INDIRECT(ADDRESS(ROW(D2587)-1, 'From Order'!$A2587)), 1), D2586))"),"")</f>
        <v/>
      </c>
      <c r="E2587" s="2" t="str">
        <f>IFERROR(__xludf.DUMMYFUNCTION("IF('From Order'!$A2587=COLUMNS($A2587:E2606), LEFT(INDEX(FILTER(E$1:E2586, E$1:E2586&lt;&gt;""""),COUNTA(FILTER(E$1:E2586, E$1:E2586&lt;&gt;""""))), LEN(INDEX(FILTER(E$1:E2586, E$1:E2586&lt;&gt;""""),COUNTA(FILTER(E$1:E2586, E$1:E2586&lt;&gt;""""))))-1), IF('To Order'!$A2587=COL"&amp;"UMNS($A2587:E2606), E2586&amp;RIGHT(INDIRECT(ADDRESS(ROW(E2587)-1, 'From Order'!$A2587)), 1), E2586))"),"SBHLWW")</f>
        <v>SBHLWW</v>
      </c>
      <c r="F2587" s="2" t="str">
        <f>IFERROR(__xludf.DUMMYFUNCTION("IF('From Order'!$A2587=COLUMNS($A2587:F2606), LEFT(INDEX(FILTER(F$1:F2586, F$1:F2586&lt;&gt;""""),COUNTA(FILTER(F$1:F2586, F$1:F2586&lt;&gt;""""))), LEN(INDEX(FILTER(F$1:F2586, F$1:F2586&lt;&gt;""""),COUNTA(FILTER(F$1:F2586, F$1:F2586&lt;&gt;""""))))-1), IF('To Order'!$A2587=COL"&amp;"UMNS($A2587:F2606), F2586&amp;RIGHT(INDIRECT(ADDRESS(ROW(F2587)-1, 'From Order'!$A2587)), 1), F2586))"),"RSPMGTZH")</f>
        <v>RSPMGTZH</v>
      </c>
      <c r="G2587" s="2" t="str">
        <f>IFERROR(__xludf.DUMMYFUNCTION("IF('From Order'!$A2587=COLUMNS($A2587:G2606), LEFT(INDEX(FILTER(G$1:G2586, G$1:G2586&lt;&gt;""""),COUNTA(FILTER(G$1:G2586, G$1:G2586&lt;&gt;""""))), LEN(INDEX(FILTER(G$1:G2586, G$1:G2586&lt;&gt;""""),COUNTA(FILTER(G$1:G2586, G$1:G2586&lt;&gt;""""))))-1), IF('To Order'!$A2587=COL"&amp;"UMNS($A2587:G2606), G2586&amp;RIGHT(INDIRECT(ADDRESS(ROW(G2587)-1, 'From Order'!$A2587)), 1), G2586))"),"ZST")</f>
        <v>ZST</v>
      </c>
      <c r="H2587" s="2" t="str">
        <f>IFERROR(__xludf.DUMMYFUNCTION("IF('From Order'!$A2587=COLUMNS($A2587:H2606), LEFT(INDEX(FILTER(H$1:H2586, H$1:H2586&lt;&gt;""""),COUNTA(FILTER(H$1:H2586, H$1:H2586&lt;&gt;""""))), LEN(INDEX(FILTER(H$1:H2586, H$1:H2586&lt;&gt;""""),COUNTA(FILTER(H$1:H2586, H$1:H2586&lt;&gt;""""))))-1), IF('To Order'!$A2587=COL"&amp;"UMNS($A2587:H2606), H2586&amp;RIGHT(INDIRECT(ADDRESS(ROW(H2587)-1, 'From Order'!$A2587)), 1), H2586))"),"TJ")</f>
        <v>TJ</v>
      </c>
      <c r="I2587" s="2" t="str">
        <f>IFERROR(__xludf.DUMMYFUNCTION("IF('From Order'!$A2587=COLUMNS($A2587:I2606), LEFT(INDEX(FILTER(I$1:I2586, I$1:I2586&lt;&gt;""""),COUNTA(FILTER(I$1:I2586, I$1:I2586&lt;&gt;""""))), LEN(INDEX(FILTER(I$1:I2586, I$1:I2586&lt;&gt;""""),COUNTA(FILTER(I$1:I2586, I$1:I2586&lt;&gt;""""))))-1), IF('To Order'!$A2587=COL"&amp;"UMNS($A2587:I2606), I2586&amp;RIGHT(INDIRECT(ADDRESS(ROW(I2587)-1, 'From Order'!$A2587)), 1), I2586))"),"QVVDDSPLRRJTTCJFZPRBB")</f>
        <v>QVVDDSPLRRJTTCJFZPRBB</v>
      </c>
    </row>
    <row r="2588">
      <c r="A2588" s="2" t="str">
        <f>IFERROR(__xludf.DUMMYFUNCTION("IF('From Order'!$A2588=COLUMNS($A2588:A2607), LEFT(INDEX(FILTER(A$1:A2587, A$1:A2587&lt;&gt;""""),COUNTA(FILTER(A$1:A2587, A$1:A2587&lt;&gt;""""))), LEN(INDEX(FILTER(A$1:A2587, A$1:A2587&lt;&gt;""""),COUNTA(FILTER(A$1:A2587, A$1:A2587&lt;&gt;""""))))-1), IF('To Order'!$A2588=COL"&amp;"UMNS($A2588:A2607), A2587&amp;RIGHT(INDIRECT(ADDRESS(ROW(A2588)-1, 'From Order'!$A2588)), 1), A2587))"),"DDMTM")</f>
        <v>DDMTM</v>
      </c>
      <c r="B2588" s="2" t="str">
        <f>IFERROR(__xludf.DUMMYFUNCTION("IF('From Order'!$A2588=COLUMNS($A2588:B2607), LEFT(INDEX(FILTER(B$1:B2587, B$1:B2587&lt;&gt;""""),COUNTA(FILTER(B$1:B2587, B$1:B2587&lt;&gt;""""))), LEN(INDEX(FILTER(B$1:B2587, B$1:B2587&lt;&gt;""""),COUNTA(FILTER(B$1:B2587, B$1:B2587&lt;&gt;""""))))-1), IF('To Order'!$A2588=COL"&amp;"UMNS($A2588:B2607), B2587&amp;RIGHT(INDIRECT(ADDRESS(ROW(B2588)-1, 'From Order'!$A2588)), 1), B2587))"),"QGW")</f>
        <v>QGW</v>
      </c>
      <c r="C2588" s="2" t="str">
        <f>IFERROR(__xludf.DUMMYFUNCTION("IF('From Order'!$A2588=COLUMNS($A2588:C2607), LEFT(INDEX(FILTER(C$1:C2587, C$1:C2587&lt;&gt;""""),COUNTA(FILTER(C$1:C2587, C$1:C2587&lt;&gt;""""))), LEN(INDEX(FILTER(C$1:C2587, C$1:C2587&lt;&gt;""""),COUNTA(FILTER(C$1:C2587, C$1:C2587&lt;&gt;""""))))-1), IF('To Order'!$A2588=COL"&amp;"UMNS($A2588:C2607), C2587&amp;RIGHT(INDIRECT(ADDRESS(ROW(C2588)-1, 'From Order'!$A2588)), 1), C2587))"),"CDLFBDVRC")</f>
        <v>CDLFBDVRC</v>
      </c>
      <c r="D2588" s="2" t="str">
        <f>IFERROR(__xludf.DUMMYFUNCTION("IF('From Order'!$A2588=COLUMNS($A2588:D2607), LEFT(INDEX(FILTER(D$1:D2587, D$1:D2587&lt;&gt;""""),COUNTA(FILTER(D$1:D2587, D$1:D2587&lt;&gt;""""))), LEN(INDEX(FILTER(D$1:D2587, D$1:D2587&lt;&gt;""""),COUNTA(FILTER(D$1:D2587, D$1:D2587&lt;&gt;""""))))-1), IF('To Order'!$A2588=COL"&amp;"UMNS($A2588:D2607), D2587&amp;RIGHT(INDIRECT(ADDRESS(ROW(D2588)-1, 'From Order'!$A2588)), 1), D2587))"),"")</f>
        <v/>
      </c>
      <c r="E2588" s="2" t="str">
        <f>IFERROR(__xludf.DUMMYFUNCTION("IF('From Order'!$A2588=COLUMNS($A2588:E2607), LEFT(INDEX(FILTER(E$1:E2587, E$1:E2587&lt;&gt;""""),COUNTA(FILTER(E$1:E2587, E$1:E2587&lt;&gt;""""))), LEN(INDEX(FILTER(E$1:E2587, E$1:E2587&lt;&gt;""""),COUNTA(FILTER(E$1:E2587, E$1:E2587&lt;&gt;""""))))-1), IF('To Order'!$A2588=COL"&amp;"UMNS($A2588:E2607), E2587&amp;RIGHT(INDIRECT(ADDRESS(ROW(E2588)-1, 'From Order'!$A2588)), 1), E2587))"),"SBHLW")</f>
        <v>SBHLW</v>
      </c>
      <c r="F2588" s="2" t="str">
        <f>IFERROR(__xludf.DUMMYFUNCTION("IF('From Order'!$A2588=COLUMNS($A2588:F2607), LEFT(INDEX(FILTER(F$1:F2587, F$1:F2587&lt;&gt;""""),COUNTA(FILTER(F$1:F2587, F$1:F2587&lt;&gt;""""))), LEN(INDEX(FILTER(F$1:F2587, F$1:F2587&lt;&gt;""""),COUNTA(FILTER(F$1:F2587, F$1:F2587&lt;&gt;""""))))-1), IF('To Order'!$A2588=COL"&amp;"UMNS($A2588:F2607), F2587&amp;RIGHT(INDIRECT(ADDRESS(ROW(F2588)-1, 'From Order'!$A2588)), 1), F2587))"),"RSPMGTZH")</f>
        <v>RSPMGTZH</v>
      </c>
      <c r="G2588" s="2" t="str">
        <f>IFERROR(__xludf.DUMMYFUNCTION("IF('From Order'!$A2588=COLUMNS($A2588:G2607), LEFT(INDEX(FILTER(G$1:G2587, G$1:G2587&lt;&gt;""""),COUNTA(FILTER(G$1:G2587, G$1:G2587&lt;&gt;""""))), LEN(INDEX(FILTER(G$1:G2587, G$1:G2587&lt;&gt;""""),COUNTA(FILTER(G$1:G2587, G$1:G2587&lt;&gt;""""))))-1), IF('To Order'!$A2588=COL"&amp;"UMNS($A2588:G2607), G2587&amp;RIGHT(INDIRECT(ADDRESS(ROW(G2588)-1, 'From Order'!$A2588)), 1), G2587))"),"ZST")</f>
        <v>ZST</v>
      </c>
      <c r="H2588" s="2" t="str">
        <f>IFERROR(__xludf.DUMMYFUNCTION("IF('From Order'!$A2588=COLUMNS($A2588:H2607), LEFT(INDEX(FILTER(H$1:H2587, H$1:H2587&lt;&gt;""""),COUNTA(FILTER(H$1:H2587, H$1:H2587&lt;&gt;""""))), LEN(INDEX(FILTER(H$1:H2587, H$1:H2587&lt;&gt;""""),COUNTA(FILTER(H$1:H2587, H$1:H2587&lt;&gt;""""))))-1), IF('To Order'!$A2588=COL"&amp;"UMNS($A2588:H2607), H2587&amp;RIGHT(INDIRECT(ADDRESS(ROW(H2588)-1, 'From Order'!$A2588)), 1), H2587))"),"TJ")</f>
        <v>TJ</v>
      </c>
      <c r="I2588" s="2" t="str">
        <f>IFERROR(__xludf.DUMMYFUNCTION("IF('From Order'!$A2588=COLUMNS($A2588:I2607), LEFT(INDEX(FILTER(I$1:I2587, I$1:I2587&lt;&gt;""""),COUNTA(FILTER(I$1:I2587, I$1:I2587&lt;&gt;""""))), LEN(INDEX(FILTER(I$1:I2587, I$1:I2587&lt;&gt;""""),COUNTA(FILTER(I$1:I2587, I$1:I2587&lt;&gt;""""))))-1), IF('To Order'!$A2588=COL"&amp;"UMNS($A2588:I2607), I2587&amp;RIGHT(INDIRECT(ADDRESS(ROW(I2588)-1, 'From Order'!$A2588)), 1), I2587))"),"QVVDDSPLRRJTTCJFZPRBB")</f>
        <v>QVVDDSPLRRJTTCJFZPRBB</v>
      </c>
    </row>
    <row r="2589">
      <c r="A2589" s="2" t="str">
        <f>IFERROR(__xludf.DUMMYFUNCTION("IF('From Order'!$A2589=COLUMNS($A2589:A2608), LEFT(INDEX(FILTER(A$1:A2588, A$1:A2588&lt;&gt;""""),COUNTA(FILTER(A$1:A2588, A$1:A2588&lt;&gt;""""))), LEN(INDEX(FILTER(A$1:A2588, A$1:A2588&lt;&gt;""""),COUNTA(FILTER(A$1:A2588, A$1:A2588&lt;&gt;""""))))-1), IF('To Order'!$A2589=COL"&amp;"UMNS($A2589:A2608), A2588&amp;RIGHT(INDIRECT(ADDRESS(ROW(A2589)-1, 'From Order'!$A2589)), 1), A2588))"),"DDMTM")</f>
        <v>DDMTM</v>
      </c>
      <c r="B2589" s="2" t="str">
        <f>IFERROR(__xludf.DUMMYFUNCTION("IF('From Order'!$A2589=COLUMNS($A2589:B2608), LEFT(INDEX(FILTER(B$1:B2588, B$1:B2588&lt;&gt;""""),COUNTA(FILTER(B$1:B2588, B$1:B2588&lt;&gt;""""))), LEN(INDEX(FILTER(B$1:B2588, B$1:B2588&lt;&gt;""""),COUNTA(FILTER(B$1:B2588, B$1:B2588&lt;&gt;""""))))-1), IF('To Order'!$A2589=COL"&amp;"UMNS($A2589:B2608), B2588&amp;RIGHT(INDIRECT(ADDRESS(ROW(B2589)-1, 'From Order'!$A2589)), 1), B2588))"),"QGW")</f>
        <v>QGW</v>
      </c>
      <c r="C2589" s="2" t="str">
        <f>IFERROR(__xludf.DUMMYFUNCTION("IF('From Order'!$A2589=COLUMNS($A2589:C2608), LEFT(INDEX(FILTER(C$1:C2588, C$1:C2588&lt;&gt;""""),COUNTA(FILTER(C$1:C2588, C$1:C2588&lt;&gt;""""))), LEN(INDEX(FILTER(C$1:C2588, C$1:C2588&lt;&gt;""""),COUNTA(FILTER(C$1:C2588, C$1:C2588&lt;&gt;""""))))-1), IF('To Order'!$A2589=COL"&amp;"UMNS($A2589:C2608), C2588&amp;RIGHT(INDIRECT(ADDRESS(ROW(C2589)-1, 'From Order'!$A2589)), 1), C2588))"),"CDLFBDVR")</f>
        <v>CDLFBDVR</v>
      </c>
      <c r="D2589" s="2" t="str">
        <f>IFERROR(__xludf.DUMMYFUNCTION("IF('From Order'!$A2589=COLUMNS($A2589:D2608), LEFT(INDEX(FILTER(D$1:D2588, D$1:D2588&lt;&gt;""""),COUNTA(FILTER(D$1:D2588, D$1:D2588&lt;&gt;""""))), LEN(INDEX(FILTER(D$1:D2588, D$1:D2588&lt;&gt;""""),COUNTA(FILTER(D$1:D2588, D$1:D2588&lt;&gt;""""))))-1), IF('To Order'!$A2589=COL"&amp;"UMNS($A2589:D2608), D2588&amp;RIGHT(INDIRECT(ADDRESS(ROW(D2589)-1, 'From Order'!$A2589)), 1), D2588))"),"C")</f>
        <v>C</v>
      </c>
      <c r="E2589" s="2" t="str">
        <f>IFERROR(__xludf.DUMMYFUNCTION("IF('From Order'!$A2589=COLUMNS($A2589:E2608), LEFT(INDEX(FILTER(E$1:E2588, E$1:E2588&lt;&gt;""""),COUNTA(FILTER(E$1:E2588, E$1:E2588&lt;&gt;""""))), LEN(INDEX(FILTER(E$1:E2588, E$1:E2588&lt;&gt;""""),COUNTA(FILTER(E$1:E2588, E$1:E2588&lt;&gt;""""))))-1), IF('To Order'!$A2589=COL"&amp;"UMNS($A2589:E2608), E2588&amp;RIGHT(INDIRECT(ADDRESS(ROW(E2589)-1, 'From Order'!$A2589)), 1), E2588))"),"SBHLW")</f>
        <v>SBHLW</v>
      </c>
      <c r="F2589" s="2" t="str">
        <f>IFERROR(__xludf.DUMMYFUNCTION("IF('From Order'!$A2589=COLUMNS($A2589:F2608), LEFT(INDEX(FILTER(F$1:F2588, F$1:F2588&lt;&gt;""""),COUNTA(FILTER(F$1:F2588, F$1:F2588&lt;&gt;""""))), LEN(INDEX(FILTER(F$1:F2588, F$1:F2588&lt;&gt;""""),COUNTA(FILTER(F$1:F2588, F$1:F2588&lt;&gt;""""))))-1), IF('To Order'!$A2589=COL"&amp;"UMNS($A2589:F2608), F2588&amp;RIGHT(INDIRECT(ADDRESS(ROW(F2589)-1, 'From Order'!$A2589)), 1), F2588))"),"RSPMGTZH")</f>
        <v>RSPMGTZH</v>
      </c>
      <c r="G2589" s="2" t="str">
        <f>IFERROR(__xludf.DUMMYFUNCTION("IF('From Order'!$A2589=COLUMNS($A2589:G2608), LEFT(INDEX(FILTER(G$1:G2588, G$1:G2588&lt;&gt;""""),COUNTA(FILTER(G$1:G2588, G$1:G2588&lt;&gt;""""))), LEN(INDEX(FILTER(G$1:G2588, G$1:G2588&lt;&gt;""""),COUNTA(FILTER(G$1:G2588, G$1:G2588&lt;&gt;""""))))-1), IF('To Order'!$A2589=COL"&amp;"UMNS($A2589:G2608), G2588&amp;RIGHT(INDIRECT(ADDRESS(ROW(G2589)-1, 'From Order'!$A2589)), 1), G2588))"),"ZST")</f>
        <v>ZST</v>
      </c>
      <c r="H2589" s="2" t="str">
        <f>IFERROR(__xludf.DUMMYFUNCTION("IF('From Order'!$A2589=COLUMNS($A2589:H2608), LEFT(INDEX(FILTER(H$1:H2588, H$1:H2588&lt;&gt;""""),COUNTA(FILTER(H$1:H2588, H$1:H2588&lt;&gt;""""))), LEN(INDEX(FILTER(H$1:H2588, H$1:H2588&lt;&gt;""""),COUNTA(FILTER(H$1:H2588, H$1:H2588&lt;&gt;""""))))-1), IF('To Order'!$A2589=COL"&amp;"UMNS($A2589:H2608), H2588&amp;RIGHT(INDIRECT(ADDRESS(ROW(H2589)-1, 'From Order'!$A2589)), 1), H2588))"),"TJ")</f>
        <v>TJ</v>
      </c>
      <c r="I2589" s="2" t="str">
        <f>IFERROR(__xludf.DUMMYFUNCTION("IF('From Order'!$A2589=COLUMNS($A2589:I2608), LEFT(INDEX(FILTER(I$1:I2588, I$1:I2588&lt;&gt;""""),COUNTA(FILTER(I$1:I2588, I$1:I2588&lt;&gt;""""))), LEN(INDEX(FILTER(I$1:I2588, I$1:I2588&lt;&gt;""""),COUNTA(FILTER(I$1:I2588, I$1:I2588&lt;&gt;""""))))-1), IF('To Order'!$A2589=COL"&amp;"UMNS($A2589:I2608), I2588&amp;RIGHT(INDIRECT(ADDRESS(ROW(I2589)-1, 'From Order'!$A2589)), 1), I2588))"),"QVVDDSPLRRJTTCJFZPRBB")</f>
        <v>QVVDDSPLRRJTTCJFZPRBB</v>
      </c>
    </row>
    <row r="2590">
      <c r="A2590" s="2" t="str">
        <f>IFERROR(__xludf.DUMMYFUNCTION("IF('From Order'!$A2590=COLUMNS($A2590:A2609), LEFT(INDEX(FILTER(A$1:A2589, A$1:A2589&lt;&gt;""""),COUNTA(FILTER(A$1:A2589, A$1:A2589&lt;&gt;""""))), LEN(INDEX(FILTER(A$1:A2589, A$1:A2589&lt;&gt;""""),COUNTA(FILTER(A$1:A2589, A$1:A2589&lt;&gt;""""))))-1), IF('To Order'!$A2590=COL"&amp;"UMNS($A2590:A2609), A2589&amp;RIGHT(INDIRECT(ADDRESS(ROW(A2590)-1, 'From Order'!$A2590)), 1), A2589))"),"DDMTM")</f>
        <v>DDMTM</v>
      </c>
      <c r="B2590" s="2" t="str">
        <f>IFERROR(__xludf.DUMMYFUNCTION("IF('From Order'!$A2590=COLUMNS($A2590:B2609), LEFT(INDEX(FILTER(B$1:B2589, B$1:B2589&lt;&gt;""""),COUNTA(FILTER(B$1:B2589, B$1:B2589&lt;&gt;""""))), LEN(INDEX(FILTER(B$1:B2589, B$1:B2589&lt;&gt;""""),COUNTA(FILTER(B$1:B2589, B$1:B2589&lt;&gt;""""))))-1), IF('To Order'!$A2590=COL"&amp;"UMNS($A2590:B2609), B2589&amp;RIGHT(INDIRECT(ADDRESS(ROW(B2590)-1, 'From Order'!$A2590)), 1), B2589))"),"QGW")</f>
        <v>QGW</v>
      </c>
      <c r="C2590" s="2" t="str">
        <f>IFERROR(__xludf.DUMMYFUNCTION("IF('From Order'!$A2590=COLUMNS($A2590:C2609), LEFT(INDEX(FILTER(C$1:C2589, C$1:C2589&lt;&gt;""""),COUNTA(FILTER(C$1:C2589, C$1:C2589&lt;&gt;""""))), LEN(INDEX(FILTER(C$1:C2589, C$1:C2589&lt;&gt;""""),COUNTA(FILTER(C$1:C2589, C$1:C2589&lt;&gt;""""))))-1), IF('To Order'!$A2590=COL"&amp;"UMNS($A2590:C2609), C2589&amp;RIGHT(INDIRECT(ADDRESS(ROW(C2590)-1, 'From Order'!$A2590)), 1), C2589))"),"CDLFBDV")</f>
        <v>CDLFBDV</v>
      </c>
      <c r="D2590" s="2" t="str">
        <f>IFERROR(__xludf.DUMMYFUNCTION("IF('From Order'!$A2590=COLUMNS($A2590:D2609), LEFT(INDEX(FILTER(D$1:D2589, D$1:D2589&lt;&gt;""""),COUNTA(FILTER(D$1:D2589, D$1:D2589&lt;&gt;""""))), LEN(INDEX(FILTER(D$1:D2589, D$1:D2589&lt;&gt;""""),COUNTA(FILTER(D$1:D2589, D$1:D2589&lt;&gt;""""))))-1), IF('To Order'!$A2590=COL"&amp;"UMNS($A2590:D2609), D2589&amp;RIGHT(INDIRECT(ADDRESS(ROW(D2590)-1, 'From Order'!$A2590)), 1), D2589))"),"CR")</f>
        <v>CR</v>
      </c>
      <c r="E2590" s="2" t="str">
        <f>IFERROR(__xludf.DUMMYFUNCTION("IF('From Order'!$A2590=COLUMNS($A2590:E2609), LEFT(INDEX(FILTER(E$1:E2589, E$1:E2589&lt;&gt;""""),COUNTA(FILTER(E$1:E2589, E$1:E2589&lt;&gt;""""))), LEN(INDEX(FILTER(E$1:E2589, E$1:E2589&lt;&gt;""""),COUNTA(FILTER(E$1:E2589, E$1:E2589&lt;&gt;""""))))-1), IF('To Order'!$A2590=COL"&amp;"UMNS($A2590:E2609), E2589&amp;RIGHT(INDIRECT(ADDRESS(ROW(E2590)-1, 'From Order'!$A2590)), 1), E2589))"),"SBHLW")</f>
        <v>SBHLW</v>
      </c>
      <c r="F2590" s="2" t="str">
        <f>IFERROR(__xludf.DUMMYFUNCTION("IF('From Order'!$A2590=COLUMNS($A2590:F2609), LEFT(INDEX(FILTER(F$1:F2589, F$1:F2589&lt;&gt;""""),COUNTA(FILTER(F$1:F2589, F$1:F2589&lt;&gt;""""))), LEN(INDEX(FILTER(F$1:F2589, F$1:F2589&lt;&gt;""""),COUNTA(FILTER(F$1:F2589, F$1:F2589&lt;&gt;""""))))-1), IF('To Order'!$A2590=COL"&amp;"UMNS($A2590:F2609), F2589&amp;RIGHT(INDIRECT(ADDRESS(ROW(F2590)-1, 'From Order'!$A2590)), 1), F2589))"),"RSPMGTZH")</f>
        <v>RSPMGTZH</v>
      </c>
      <c r="G2590" s="2" t="str">
        <f>IFERROR(__xludf.DUMMYFUNCTION("IF('From Order'!$A2590=COLUMNS($A2590:G2609), LEFT(INDEX(FILTER(G$1:G2589, G$1:G2589&lt;&gt;""""),COUNTA(FILTER(G$1:G2589, G$1:G2589&lt;&gt;""""))), LEN(INDEX(FILTER(G$1:G2589, G$1:G2589&lt;&gt;""""),COUNTA(FILTER(G$1:G2589, G$1:G2589&lt;&gt;""""))))-1), IF('To Order'!$A2590=COL"&amp;"UMNS($A2590:G2609), G2589&amp;RIGHT(INDIRECT(ADDRESS(ROW(G2590)-1, 'From Order'!$A2590)), 1), G2589))"),"ZST")</f>
        <v>ZST</v>
      </c>
      <c r="H2590" s="2" t="str">
        <f>IFERROR(__xludf.DUMMYFUNCTION("IF('From Order'!$A2590=COLUMNS($A2590:H2609), LEFT(INDEX(FILTER(H$1:H2589, H$1:H2589&lt;&gt;""""),COUNTA(FILTER(H$1:H2589, H$1:H2589&lt;&gt;""""))), LEN(INDEX(FILTER(H$1:H2589, H$1:H2589&lt;&gt;""""),COUNTA(FILTER(H$1:H2589, H$1:H2589&lt;&gt;""""))))-1), IF('To Order'!$A2590=COL"&amp;"UMNS($A2590:H2609), H2589&amp;RIGHT(INDIRECT(ADDRESS(ROW(H2590)-1, 'From Order'!$A2590)), 1), H2589))"),"TJ")</f>
        <v>TJ</v>
      </c>
      <c r="I2590" s="2" t="str">
        <f>IFERROR(__xludf.DUMMYFUNCTION("IF('From Order'!$A2590=COLUMNS($A2590:I2609), LEFT(INDEX(FILTER(I$1:I2589, I$1:I2589&lt;&gt;""""),COUNTA(FILTER(I$1:I2589, I$1:I2589&lt;&gt;""""))), LEN(INDEX(FILTER(I$1:I2589, I$1:I2589&lt;&gt;""""),COUNTA(FILTER(I$1:I2589, I$1:I2589&lt;&gt;""""))))-1), IF('To Order'!$A2590=COL"&amp;"UMNS($A2590:I2609), I2589&amp;RIGHT(INDIRECT(ADDRESS(ROW(I2590)-1, 'From Order'!$A2590)), 1), I2589))"),"QVVDDSPLRRJTTCJFZPRBB")</f>
        <v>QVVDDSPLRRJTTCJFZPRBB</v>
      </c>
    </row>
    <row r="2591">
      <c r="A2591" s="2" t="str">
        <f>IFERROR(__xludf.DUMMYFUNCTION("IF('From Order'!$A2591=COLUMNS($A2591:A2610), LEFT(INDEX(FILTER(A$1:A2590, A$1:A2590&lt;&gt;""""),COUNTA(FILTER(A$1:A2590, A$1:A2590&lt;&gt;""""))), LEN(INDEX(FILTER(A$1:A2590, A$1:A2590&lt;&gt;""""),COUNTA(FILTER(A$1:A2590, A$1:A2590&lt;&gt;""""))))-1), IF('To Order'!$A2591=COL"&amp;"UMNS($A2591:A2610), A2590&amp;RIGHT(INDIRECT(ADDRESS(ROW(A2591)-1, 'From Order'!$A2591)), 1), A2590))"),"DDMTM")</f>
        <v>DDMTM</v>
      </c>
      <c r="B2591" s="2" t="str">
        <f>IFERROR(__xludf.DUMMYFUNCTION("IF('From Order'!$A2591=COLUMNS($A2591:B2610), LEFT(INDEX(FILTER(B$1:B2590, B$1:B2590&lt;&gt;""""),COUNTA(FILTER(B$1:B2590, B$1:B2590&lt;&gt;""""))), LEN(INDEX(FILTER(B$1:B2590, B$1:B2590&lt;&gt;""""),COUNTA(FILTER(B$1:B2590, B$1:B2590&lt;&gt;""""))))-1), IF('To Order'!$A2591=COL"&amp;"UMNS($A2591:B2610), B2590&amp;RIGHT(INDIRECT(ADDRESS(ROW(B2591)-1, 'From Order'!$A2591)), 1), B2590))"),"QGW")</f>
        <v>QGW</v>
      </c>
      <c r="C2591" s="2" t="str">
        <f>IFERROR(__xludf.DUMMYFUNCTION("IF('From Order'!$A2591=COLUMNS($A2591:C2610), LEFT(INDEX(FILTER(C$1:C2590, C$1:C2590&lt;&gt;""""),COUNTA(FILTER(C$1:C2590, C$1:C2590&lt;&gt;""""))), LEN(INDEX(FILTER(C$1:C2590, C$1:C2590&lt;&gt;""""),COUNTA(FILTER(C$1:C2590, C$1:C2590&lt;&gt;""""))))-1), IF('To Order'!$A2591=COL"&amp;"UMNS($A2591:C2610), C2590&amp;RIGHT(INDIRECT(ADDRESS(ROW(C2591)-1, 'From Order'!$A2591)), 1), C2590))"),"CDLFBD")</f>
        <v>CDLFBD</v>
      </c>
      <c r="D2591" s="2" t="str">
        <f>IFERROR(__xludf.DUMMYFUNCTION("IF('From Order'!$A2591=COLUMNS($A2591:D2610), LEFT(INDEX(FILTER(D$1:D2590, D$1:D2590&lt;&gt;""""),COUNTA(FILTER(D$1:D2590, D$1:D2590&lt;&gt;""""))), LEN(INDEX(FILTER(D$1:D2590, D$1:D2590&lt;&gt;""""),COUNTA(FILTER(D$1:D2590, D$1:D2590&lt;&gt;""""))))-1), IF('To Order'!$A2591=COL"&amp;"UMNS($A2591:D2610), D2590&amp;RIGHT(INDIRECT(ADDRESS(ROW(D2591)-1, 'From Order'!$A2591)), 1), D2590))"),"CRV")</f>
        <v>CRV</v>
      </c>
      <c r="E2591" s="2" t="str">
        <f>IFERROR(__xludf.DUMMYFUNCTION("IF('From Order'!$A2591=COLUMNS($A2591:E2610), LEFT(INDEX(FILTER(E$1:E2590, E$1:E2590&lt;&gt;""""),COUNTA(FILTER(E$1:E2590, E$1:E2590&lt;&gt;""""))), LEN(INDEX(FILTER(E$1:E2590, E$1:E2590&lt;&gt;""""),COUNTA(FILTER(E$1:E2590, E$1:E2590&lt;&gt;""""))))-1), IF('To Order'!$A2591=COL"&amp;"UMNS($A2591:E2610), E2590&amp;RIGHT(INDIRECT(ADDRESS(ROW(E2591)-1, 'From Order'!$A2591)), 1), E2590))"),"SBHLW")</f>
        <v>SBHLW</v>
      </c>
      <c r="F2591" s="2" t="str">
        <f>IFERROR(__xludf.DUMMYFUNCTION("IF('From Order'!$A2591=COLUMNS($A2591:F2610), LEFT(INDEX(FILTER(F$1:F2590, F$1:F2590&lt;&gt;""""),COUNTA(FILTER(F$1:F2590, F$1:F2590&lt;&gt;""""))), LEN(INDEX(FILTER(F$1:F2590, F$1:F2590&lt;&gt;""""),COUNTA(FILTER(F$1:F2590, F$1:F2590&lt;&gt;""""))))-1), IF('To Order'!$A2591=COL"&amp;"UMNS($A2591:F2610), F2590&amp;RIGHT(INDIRECT(ADDRESS(ROW(F2591)-1, 'From Order'!$A2591)), 1), F2590))"),"RSPMGTZH")</f>
        <v>RSPMGTZH</v>
      </c>
      <c r="G2591" s="2" t="str">
        <f>IFERROR(__xludf.DUMMYFUNCTION("IF('From Order'!$A2591=COLUMNS($A2591:G2610), LEFT(INDEX(FILTER(G$1:G2590, G$1:G2590&lt;&gt;""""),COUNTA(FILTER(G$1:G2590, G$1:G2590&lt;&gt;""""))), LEN(INDEX(FILTER(G$1:G2590, G$1:G2590&lt;&gt;""""),COUNTA(FILTER(G$1:G2590, G$1:G2590&lt;&gt;""""))))-1), IF('To Order'!$A2591=COL"&amp;"UMNS($A2591:G2610), G2590&amp;RIGHT(INDIRECT(ADDRESS(ROW(G2591)-1, 'From Order'!$A2591)), 1), G2590))"),"ZST")</f>
        <v>ZST</v>
      </c>
      <c r="H2591" s="2" t="str">
        <f>IFERROR(__xludf.DUMMYFUNCTION("IF('From Order'!$A2591=COLUMNS($A2591:H2610), LEFT(INDEX(FILTER(H$1:H2590, H$1:H2590&lt;&gt;""""),COUNTA(FILTER(H$1:H2590, H$1:H2590&lt;&gt;""""))), LEN(INDEX(FILTER(H$1:H2590, H$1:H2590&lt;&gt;""""),COUNTA(FILTER(H$1:H2590, H$1:H2590&lt;&gt;""""))))-1), IF('To Order'!$A2591=COL"&amp;"UMNS($A2591:H2610), H2590&amp;RIGHT(INDIRECT(ADDRESS(ROW(H2591)-1, 'From Order'!$A2591)), 1), H2590))"),"TJ")</f>
        <v>TJ</v>
      </c>
      <c r="I2591" s="2" t="str">
        <f>IFERROR(__xludf.DUMMYFUNCTION("IF('From Order'!$A2591=COLUMNS($A2591:I2610), LEFT(INDEX(FILTER(I$1:I2590, I$1:I2590&lt;&gt;""""),COUNTA(FILTER(I$1:I2590, I$1:I2590&lt;&gt;""""))), LEN(INDEX(FILTER(I$1:I2590, I$1:I2590&lt;&gt;""""),COUNTA(FILTER(I$1:I2590, I$1:I2590&lt;&gt;""""))))-1), IF('To Order'!$A2591=COL"&amp;"UMNS($A2591:I2610), I2590&amp;RIGHT(INDIRECT(ADDRESS(ROW(I2591)-1, 'From Order'!$A2591)), 1), I2590))"),"QVVDDSPLRRJTTCJFZPRBB")</f>
        <v>QVVDDSPLRRJTTCJFZPRBB</v>
      </c>
    </row>
    <row r="2592">
      <c r="A2592" s="2" t="str">
        <f>IFERROR(__xludf.DUMMYFUNCTION("IF('From Order'!$A2592=COLUMNS($A2592:A2611), LEFT(INDEX(FILTER(A$1:A2591, A$1:A2591&lt;&gt;""""),COUNTA(FILTER(A$1:A2591, A$1:A2591&lt;&gt;""""))), LEN(INDEX(FILTER(A$1:A2591, A$1:A2591&lt;&gt;""""),COUNTA(FILTER(A$1:A2591, A$1:A2591&lt;&gt;""""))))-1), IF('To Order'!$A2592=COL"&amp;"UMNS($A2592:A2611), A2591&amp;RIGHT(INDIRECT(ADDRESS(ROW(A2592)-1, 'From Order'!$A2592)), 1), A2591))"),"DDMTM")</f>
        <v>DDMTM</v>
      </c>
      <c r="B2592" s="2" t="str">
        <f>IFERROR(__xludf.DUMMYFUNCTION("IF('From Order'!$A2592=COLUMNS($A2592:B2611), LEFT(INDEX(FILTER(B$1:B2591, B$1:B2591&lt;&gt;""""),COUNTA(FILTER(B$1:B2591, B$1:B2591&lt;&gt;""""))), LEN(INDEX(FILTER(B$1:B2591, B$1:B2591&lt;&gt;""""),COUNTA(FILTER(B$1:B2591, B$1:B2591&lt;&gt;""""))))-1), IF('To Order'!$A2592=COL"&amp;"UMNS($A2592:B2611), B2591&amp;RIGHT(INDIRECT(ADDRESS(ROW(B2592)-1, 'From Order'!$A2592)), 1), B2591))"),"QGW")</f>
        <v>QGW</v>
      </c>
      <c r="C2592" s="2" t="str">
        <f>IFERROR(__xludf.DUMMYFUNCTION("IF('From Order'!$A2592=COLUMNS($A2592:C2611), LEFT(INDEX(FILTER(C$1:C2591, C$1:C2591&lt;&gt;""""),COUNTA(FILTER(C$1:C2591, C$1:C2591&lt;&gt;""""))), LEN(INDEX(FILTER(C$1:C2591, C$1:C2591&lt;&gt;""""),COUNTA(FILTER(C$1:C2591, C$1:C2591&lt;&gt;""""))))-1), IF('To Order'!$A2592=COL"&amp;"UMNS($A2592:C2611), C2591&amp;RIGHT(INDIRECT(ADDRESS(ROW(C2592)-1, 'From Order'!$A2592)), 1), C2591))"),"CDLFB")</f>
        <v>CDLFB</v>
      </c>
      <c r="D2592" s="2" t="str">
        <f>IFERROR(__xludf.DUMMYFUNCTION("IF('From Order'!$A2592=COLUMNS($A2592:D2611), LEFT(INDEX(FILTER(D$1:D2591, D$1:D2591&lt;&gt;""""),COUNTA(FILTER(D$1:D2591, D$1:D2591&lt;&gt;""""))), LEN(INDEX(FILTER(D$1:D2591, D$1:D2591&lt;&gt;""""),COUNTA(FILTER(D$1:D2591, D$1:D2591&lt;&gt;""""))))-1), IF('To Order'!$A2592=COL"&amp;"UMNS($A2592:D2611), D2591&amp;RIGHT(INDIRECT(ADDRESS(ROW(D2592)-1, 'From Order'!$A2592)), 1), D2591))"),"CRVD")</f>
        <v>CRVD</v>
      </c>
      <c r="E2592" s="2" t="str">
        <f>IFERROR(__xludf.DUMMYFUNCTION("IF('From Order'!$A2592=COLUMNS($A2592:E2611), LEFT(INDEX(FILTER(E$1:E2591, E$1:E2591&lt;&gt;""""),COUNTA(FILTER(E$1:E2591, E$1:E2591&lt;&gt;""""))), LEN(INDEX(FILTER(E$1:E2591, E$1:E2591&lt;&gt;""""),COUNTA(FILTER(E$1:E2591, E$1:E2591&lt;&gt;""""))))-1), IF('To Order'!$A2592=COL"&amp;"UMNS($A2592:E2611), E2591&amp;RIGHT(INDIRECT(ADDRESS(ROW(E2592)-1, 'From Order'!$A2592)), 1), E2591))"),"SBHLW")</f>
        <v>SBHLW</v>
      </c>
      <c r="F2592" s="2" t="str">
        <f>IFERROR(__xludf.DUMMYFUNCTION("IF('From Order'!$A2592=COLUMNS($A2592:F2611), LEFT(INDEX(FILTER(F$1:F2591, F$1:F2591&lt;&gt;""""),COUNTA(FILTER(F$1:F2591, F$1:F2591&lt;&gt;""""))), LEN(INDEX(FILTER(F$1:F2591, F$1:F2591&lt;&gt;""""),COUNTA(FILTER(F$1:F2591, F$1:F2591&lt;&gt;""""))))-1), IF('To Order'!$A2592=COL"&amp;"UMNS($A2592:F2611), F2591&amp;RIGHT(INDIRECT(ADDRESS(ROW(F2592)-1, 'From Order'!$A2592)), 1), F2591))"),"RSPMGTZH")</f>
        <v>RSPMGTZH</v>
      </c>
      <c r="G2592" s="2" t="str">
        <f>IFERROR(__xludf.DUMMYFUNCTION("IF('From Order'!$A2592=COLUMNS($A2592:G2611), LEFT(INDEX(FILTER(G$1:G2591, G$1:G2591&lt;&gt;""""),COUNTA(FILTER(G$1:G2591, G$1:G2591&lt;&gt;""""))), LEN(INDEX(FILTER(G$1:G2591, G$1:G2591&lt;&gt;""""),COUNTA(FILTER(G$1:G2591, G$1:G2591&lt;&gt;""""))))-1), IF('To Order'!$A2592=COL"&amp;"UMNS($A2592:G2611), G2591&amp;RIGHT(INDIRECT(ADDRESS(ROW(G2592)-1, 'From Order'!$A2592)), 1), G2591))"),"ZST")</f>
        <v>ZST</v>
      </c>
      <c r="H2592" s="2" t="str">
        <f>IFERROR(__xludf.DUMMYFUNCTION("IF('From Order'!$A2592=COLUMNS($A2592:H2611), LEFT(INDEX(FILTER(H$1:H2591, H$1:H2591&lt;&gt;""""),COUNTA(FILTER(H$1:H2591, H$1:H2591&lt;&gt;""""))), LEN(INDEX(FILTER(H$1:H2591, H$1:H2591&lt;&gt;""""),COUNTA(FILTER(H$1:H2591, H$1:H2591&lt;&gt;""""))))-1), IF('To Order'!$A2592=COL"&amp;"UMNS($A2592:H2611), H2591&amp;RIGHT(INDIRECT(ADDRESS(ROW(H2592)-1, 'From Order'!$A2592)), 1), H2591))"),"TJ")</f>
        <v>TJ</v>
      </c>
      <c r="I2592" s="2" t="str">
        <f>IFERROR(__xludf.DUMMYFUNCTION("IF('From Order'!$A2592=COLUMNS($A2592:I2611), LEFT(INDEX(FILTER(I$1:I2591, I$1:I2591&lt;&gt;""""),COUNTA(FILTER(I$1:I2591, I$1:I2591&lt;&gt;""""))), LEN(INDEX(FILTER(I$1:I2591, I$1:I2591&lt;&gt;""""),COUNTA(FILTER(I$1:I2591, I$1:I2591&lt;&gt;""""))))-1), IF('To Order'!$A2592=COL"&amp;"UMNS($A2592:I2611), I2591&amp;RIGHT(INDIRECT(ADDRESS(ROW(I2592)-1, 'From Order'!$A2592)), 1), I2591))"),"QVVDDSPLRRJTTCJFZPRBB")</f>
        <v>QVVDDSPLRRJTTCJFZPRBB</v>
      </c>
    </row>
    <row r="2593">
      <c r="A2593" s="2" t="str">
        <f>IFERROR(__xludf.DUMMYFUNCTION("IF('From Order'!$A2593=COLUMNS($A2593:A2612), LEFT(INDEX(FILTER(A$1:A2592, A$1:A2592&lt;&gt;""""),COUNTA(FILTER(A$1:A2592, A$1:A2592&lt;&gt;""""))), LEN(INDEX(FILTER(A$1:A2592, A$1:A2592&lt;&gt;""""),COUNTA(FILTER(A$1:A2592, A$1:A2592&lt;&gt;""""))))-1), IF('To Order'!$A2593=COL"&amp;"UMNS($A2593:A2612), A2592&amp;RIGHT(INDIRECT(ADDRESS(ROW(A2593)-1, 'From Order'!$A2593)), 1), A2592))"),"DDMTMH")</f>
        <v>DDMTMH</v>
      </c>
      <c r="B2593" s="2" t="str">
        <f>IFERROR(__xludf.DUMMYFUNCTION("IF('From Order'!$A2593=COLUMNS($A2593:B2612), LEFT(INDEX(FILTER(B$1:B2592, B$1:B2592&lt;&gt;""""),COUNTA(FILTER(B$1:B2592, B$1:B2592&lt;&gt;""""))), LEN(INDEX(FILTER(B$1:B2592, B$1:B2592&lt;&gt;""""),COUNTA(FILTER(B$1:B2592, B$1:B2592&lt;&gt;""""))))-1), IF('To Order'!$A2593=COL"&amp;"UMNS($A2593:B2612), B2592&amp;RIGHT(INDIRECT(ADDRESS(ROW(B2593)-1, 'From Order'!$A2593)), 1), B2592))"),"QGW")</f>
        <v>QGW</v>
      </c>
      <c r="C2593" s="2" t="str">
        <f>IFERROR(__xludf.DUMMYFUNCTION("IF('From Order'!$A2593=COLUMNS($A2593:C2612), LEFT(INDEX(FILTER(C$1:C2592, C$1:C2592&lt;&gt;""""),COUNTA(FILTER(C$1:C2592, C$1:C2592&lt;&gt;""""))), LEN(INDEX(FILTER(C$1:C2592, C$1:C2592&lt;&gt;""""),COUNTA(FILTER(C$1:C2592, C$1:C2592&lt;&gt;""""))))-1), IF('To Order'!$A2593=COL"&amp;"UMNS($A2593:C2612), C2592&amp;RIGHT(INDIRECT(ADDRESS(ROW(C2593)-1, 'From Order'!$A2593)), 1), C2592))"),"CDLFB")</f>
        <v>CDLFB</v>
      </c>
      <c r="D2593" s="2" t="str">
        <f>IFERROR(__xludf.DUMMYFUNCTION("IF('From Order'!$A2593=COLUMNS($A2593:D2612), LEFT(INDEX(FILTER(D$1:D2592, D$1:D2592&lt;&gt;""""),COUNTA(FILTER(D$1:D2592, D$1:D2592&lt;&gt;""""))), LEN(INDEX(FILTER(D$1:D2592, D$1:D2592&lt;&gt;""""),COUNTA(FILTER(D$1:D2592, D$1:D2592&lt;&gt;""""))))-1), IF('To Order'!$A2593=COL"&amp;"UMNS($A2593:D2612), D2592&amp;RIGHT(INDIRECT(ADDRESS(ROW(D2593)-1, 'From Order'!$A2593)), 1), D2592))"),"CRVD")</f>
        <v>CRVD</v>
      </c>
      <c r="E2593" s="2" t="str">
        <f>IFERROR(__xludf.DUMMYFUNCTION("IF('From Order'!$A2593=COLUMNS($A2593:E2612), LEFT(INDEX(FILTER(E$1:E2592, E$1:E2592&lt;&gt;""""),COUNTA(FILTER(E$1:E2592, E$1:E2592&lt;&gt;""""))), LEN(INDEX(FILTER(E$1:E2592, E$1:E2592&lt;&gt;""""),COUNTA(FILTER(E$1:E2592, E$1:E2592&lt;&gt;""""))))-1), IF('To Order'!$A2593=COL"&amp;"UMNS($A2593:E2612), E2592&amp;RIGHT(INDIRECT(ADDRESS(ROW(E2593)-1, 'From Order'!$A2593)), 1), E2592))"),"SBHLW")</f>
        <v>SBHLW</v>
      </c>
      <c r="F2593" s="2" t="str">
        <f>IFERROR(__xludf.DUMMYFUNCTION("IF('From Order'!$A2593=COLUMNS($A2593:F2612), LEFT(INDEX(FILTER(F$1:F2592, F$1:F2592&lt;&gt;""""),COUNTA(FILTER(F$1:F2592, F$1:F2592&lt;&gt;""""))), LEN(INDEX(FILTER(F$1:F2592, F$1:F2592&lt;&gt;""""),COUNTA(FILTER(F$1:F2592, F$1:F2592&lt;&gt;""""))))-1), IF('To Order'!$A2593=COL"&amp;"UMNS($A2593:F2612), F2592&amp;RIGHT(INDIRECT(ADDRESS(ROW(F2593)-1, 'From Order'!$A2593)), 1), F2592))"),"RSPMGTZ")</f>
        <v>RSPMGTZ</v>
      </c>
      <c r="G2593" s="2" t="str">
        <f>IFERROR(__xludf.DUMMYFUNCTION("IF('From Order'!$A2593=COLUMNS($A2593:G2612), LEFT(INDEX(FILTER(G$1:G2592, G$1:G2592&lt;&gt;""""),COUNTA(FILTER(G$1:G2592, G$1:G2592&lt;&gt;""""))), LEN(INDEX(FILTER(G$1:G2592, G$1:G2592&lt;&gt;""""),COUNTA(FILTER(G$1:G2592, G$1:G2592&lt;&gt;""""))))-1), IF('To Order'!$A2593=COL"&amp;"UMNS($A2593:G2612), G2592&amp;RIGHT(INDIRECT(ADDRESS(ROW(G2593)-1, 'From Order'!$A2593)), 1), G2592))"),"ZST")</f>
        <v>ZST</v>
      </c>
      <c r="H2593" s="2" t="str">
        <f>IFERROR(__xludf.DUMMYFUNCTION("IF('From Order'!$A2593=COLUMNS($A2593:H2612), LEFT(INDEX(FILTER(H$1:H2592, H$1:H2592&lt;&gt;""""),COUNTA(FILTER(H$1:H2592, H$1:H2592&lt;&gt;""""))), LEN(INDEX(FILTER(H$1:H2592, H$1:H2592&lt;&gt;""""),COUNTA(FILTER(H$1:H2592, H$1:H2592&lt;&gt;""""))))-1), IF('To Order'!$A2593=COL"&amp;"UMNS($A2593:H2612), H2592&amp;RIGHT(INDIRECT(ADDRESS(ROW(H2593)-1, 'From Order'!$A2593)), 1), H2592))"),"TJ")</f>
        <v>TJ</v>
      </c>
      <c r="I2593" s="2" t="str">
        <f>IFERROR(__xludf.DUMMYFUNCTION("IF('From Order'!$A2593=COLUMNS($A2593:I2612), LEFT(INDEX(FILTER(I$1:I2592, I$1:I2592&lt;&gt;""""),COUNTA(FILTER(I$1:I2592, I$1:I2592&lt;&gt;""""))), LEN(INDEX(FILTER(I$1:I2592, I$1:I2592&lt;&gt;""""),COUNTA(FILTER(I$1:I2592, I$1:I2592&lt;&gt;""""))))-1), IF('To Order'!$A2593=COL"&amp;"UMNS($A2593:I2612), I2592&amp;RIGHT(INDIRECT(ADDRESS(ROW(I2593)-1, 'From Order'!$A2593)), 1), I2592))"),"QVVDDSPLRRJTTCJFZPRBB")</f>
        <v>QVVDDSPLRRJTTCJFZPRBB</v>
      </c>
    </row>
    <row r="2594">
      <c r="A2594" s="2" t="str">
        <f>IFERROR(__xludf.DUMMYFUNCTION("IF('From Order'!$A2594=COLUMNS($A2594:A2613), LEFT(INDEX(FILTER(A$1:A2593, A$1:A2593&lt;&gt;""""),COUNTA(FILTER(A$1:A2593, A$1:A2593&lt;&gt;""""))), LEN(INDEX(FILTER(A$1:A2593, A$1:A2593&lt;&gt;""""),COUNTA(FILTER(A$1:A2593, A$1:A2593&lt;&gt;""""))))-1), IF('To Order'!$A2594=COL"&amp;"UMNS($A2594:A2613), A2593&amp;RIGHT(INDIRECT(ADDRESS(ROW(A2594)-1, 'From Order'!$A2594)), 1), A2593))"),"DDMTMHZ")</f>
        <v>DDMTMHZ</v>
      </c>
      <c r="B2594" s="2" t="str">
        <f>IFERROR(__xludf.DUMMYFUNCTION("IF('From Order'!$A2594=COLUMNS($A2594:B2613), LEFT(INDEX(FILTER(B$1:B2593, B$1:B2593&lt;&gt;""""),COUNTA(FILTER(B$1:B2593, B$1:B2593&lt;&gt;""""))), LEN(INDEX(FILTER(B$1:B2593, B$1:B2593&lt;&gt;""""),COUNTA(FILTER(B$1:B2593, B$1:B2593&lt;&gt;""""))))-1), IF('To Order'!$A2594=COL"&amp;"UMNS($A2594:B2613), B2593&amp;RIGHT(INDIRECT(ADDRESS(ROW(B2594)-1, 'From Order'!$A2594)), 1), B2593))"),"QGW")</f>
        <v>QGW</v>
      </c>
      <c r="C2594" s="2" t="str">
        <f>IFERROR(__xludf.DUMMYFUNCTION("IF('From Order'!$A2594=COLUMNS($A2594:C2613), LEFT(INDEX(FILTER(C$1:C2593, C$1:C2593&lt;&gt;""""),COUNTA(FILTER(C$1:C2593, C$1:C2593&lt;&gt;""""))), LEN(INDEX(FILTER(C$1:C2593, C$1:C2593&lt;&gt;""""),COUNTA(FILTER(C$1:C2593, C$1:C2593&lt;&gt;""""))))-1), IF('To Order'!$A2594=COL"&amp;"UMNS($A2594:C2613), C2593&amp;RIGHT(INDIRECT(ADDRESS(ROW(C2594)-1, 'From Order'!$A2594)), 1), C2593))"),"CDLFB")</f>
        <v>CDLFB</v>
      </c>
      <c r="D2594" s="2" t="str">
        <f>IFERROR(__xludf.DUMMYFUNCTION("IF('From Order'!$A2594=COLUMNS($A2594:D2613), LEFT(INDEX(FILTER(D$1:D2593, D$1:D2593&lt;&gt;""""),COUNTA(FILTER(D$1:D2593, D$1:D2593&lt;&gt;""""))), LEN(INDEX(FILTER(D$1:D2593, D$1:D2593&lt;&gt;""""),COUNTA(FILTER(D$1:D2593, D$1:D2593&lt;&gt;""""))))-1), IF('To Order'!$A2594=COL"&amp;"UMNS($A2594:D2613), D2593&amp;RIGHT(INDIRECT(ADDRESS(ROW(D2594)-1, 'From Order'!$A2594)), 1), D2593))"),"CRVD")</f>
        <v>CRVD</v>
      </c>
      <c r="E2594" s="2" t="str">
        <f>IFERROR(__xludf.DUMMYFUNCTION("IF('From Order'!$A2594=COLUMNS($A2594:E2613), LEFT(INDEX(FILTER(E$1:E2593, E$1:E2593&lt;&gt;""""),COUNTA(FILTER(E$1:E2593, E$1:E2593&lt;&gt;""""))), LEN(INDEX(FILTER(E$1:E2593, E$1:E2593&lt;&gt;""""),COUNTA(FILTER(E$1:E2593, E$1:E2593&lt;&gt;""""))))-1), IF('To Order'!$A2594=COL"&amp;"UMNS($A2594:E2613), E2593&amp;RIGHT(INDIRECT(ADDRESS(ROW(E2594)-1, 'From Order'!$A2594)), 1), E2593))"),"SBHLW")</f>
        <v>SBHLW</v>
      </c>
      <c r="F2594" s="2" t="str">
        <f>IFERROR(__xludf.DUMMYFUNCTION("IF('From Order'!$A2594=COLUMNS($A2594:F2613), LEFT(INDEX(FILTER(F$1:F2593, F$1:F2593&lt;&gt;""""),COUNTA(FILTER(F$1:F2593, F$1:F2593&lt;&gt;""""))), LEN(INDEX(FILTER(F$1:F2593, F$1:F2593&lt;&gt;""""),COUNTA(FILTER(F$1:F2593, F$1:F2593&lt;&gt;""""))))-1), IF('To Order'!$A2594=COL"&amp;"UMNS($A2594:F2613), F2593&amp;RIGHT(INDIRECT(ADDRESS(ROW(F2594)-1, 'From Order'!$A2594)), 1), F2593))"),"RSPMGT")</f>
        <v>RSPMGT</v>
      </c>
      <c r="G2594" s="2" t="str">
        <f>IFERROR(__xludf.DUMMYFUNCTION("IF('From Order'!$A2594=COLUMNS($A2594:G2613), LEFT(INDEX(FILTER(G$1:G2593, G$1:G2593&lt;&gt;""""),COUNTA(FILTER(G$1:G2593, G$1:G2593&lt;&gt;""""))), LEN(INDEX(FILTER(G$1:G2593, G$1:G2593&lt;&gt;""""),COUNTA(FILTER(G$1:G2593, G$1:G2593&lt;&gt;""""))))-1), IF('To Order'!$A2594=COL"&amp;"UMNS($A2594:G2613), G2593&amp;RIGHT(INDIRECT(ADDRESS(ROW(G2594)-1, 'From Order'!$A2594)), 1), G2593))"),"ZST")</f>
        <v>ZST</v>
      </c>
      <c r="H2594" s="2" t="str">
        <f>IFERROR(__xludf.DUMMYFUNCTION("IF('From Order'!$A2594=COLUMNS($A2594:H2613), LEFT(INDEX(FILTER(H$1:H2593, H$1:H2593&lt;&gt;""""),COUNTA(FILTER(H$1:H2593, H$1:H2593&lt;&gt;""""))), LEN(INDEX(FILTER(H$1:H2593, H$1:H2593&lt;&gt;""""),COUNTA(FILTER(H$1:H2593, H$1:H2593&lt;&gt;""""))))-1), IF('To Order'!$A2594=COL"&amp;"UMNS($A2594:H2613), H2593&amp;RIGHT(INDIRECT(ADDRESS(ROW(H2594)-1, 'From Order'!$A2594)), 1), H2593))"),"TJ")</f>
        <v>TJ</v>
      </c>
      <c r="I2594" s="2" t="str">
        <f>IFERROR(__xludf.DUMMYFUNCTION("IF('From Order'!$A2594=COLUMNS($A2594:I2613), LEFT(INDEX(FILTER(I$1:I2593, I$1:I2593&lt;&gt;""""),COUNTA(FILTER(I$1:I2593, I$1:I2593&lt;&gt;""""))), LEN(INDEX(FILTER(I$1:I2593, I$1:I2593&lt;&gt;""""),COUNTA(FILTER(I$1:I2593, I$1:I2593&lt;&gt;""""))))-1), IF('To Order'!$A2594=COL"&amp;"UMNS($A2594:I2613), I2593&amp;RIGHT(INDIRECT(ADDRESS(ROW(I2594)-1, 'From Order'!$A2594)), 1), I2593))"),"QVVDDSPLRRJTTCJFZPRBB")</f>
        <v>QVVDDSPLRRJTTCJFZPRBB</v>
      </c>
    </row>
    <row r="2595">
      <c r="A2595" s="2" t="str">
        <f>IFERROR(__xludf.DUMMYFUNCTION("IF('From Order'!$A2595=COLUMNS($A2595:A2614), LEFT(INDEX(FILTER(A$1:A2594, A$1:A2594&lt;&gt;""""),COUNTA(FILTER(A$1:A2594, A$1:A2594&lt;&gt;""""))), LEN(INDEX(FILTER(A$1:A2594, A$1:A2594&lt;&gt;""""),COUNTA(FILTER(A$1:A2594, A$1:A2594&lt;&gt;""""))))-1), IF('To Order'!$A2595=COL"&amp;"UMNS($A2595:A2614), A2594&amp;RIGHT(INDIRECT(ADDRESS(ROW(A2595)-1, 'From Order'!$A2595)), 1), A2594))"),"DDMTMHZT")</f>
        <v>DDMTMHZT</v>
      </c>
      <c r="B2595" s="2" t="str">
        <f>IFERROR(__xludf.DUMMYFUNCTION("IF('From Order'!$A2595=COLUMNS($A2595:B2614), LEFT(INDEX(FILTER(B$1:B2594, B$1:B2594&lt;&gt;""""),COUNTA(FILTER(B$1:B2594, B$1:B2594&lt;&gt;""""))), LEN(INDEX(FILTER(B$1:B2594, B$1:B2594&lt;&gt;""""),COUNTA(FILTER(B$1:B2594, B$1:B2594&lt;&gt;""""))))-1), IF('To Order'!$A2595=COL"&amp;"UMNS($A2595:B2614), B2594&amp;RIGHT(INDIRECT(ADDRESS(ROW(B2595)-1, 'From Order'!$A2595)), 1), B2594))"),"QGW")</f>
        <v>QGW</v>
      </c>
      <c r="C2595" s="2" t="str">
        <f>IFERROR(__xludf.DUMMYFUNCTION("IF('From Order'!$A2595=COLUMNS($A2595:C2614), LEFT(INDEX(FILTER(C$1:C2594, C$1:C2594&lt;&gt;""""),COUNTA(FILTER(C$1:C2594, C$1:C2594&lt;&gt;""""))), LEN(INDEX(FILTER(C$1:C2594, C$1:C2594&lt;&gt;""""),COUNTA(FILTER(C$1:C2594, C$1:C2594&lt;&gt;""""))))-1), IF('To Order'!$A2595=COL"&amp;"UMNS($A2595:C2614), C2594&amp;RIGHT(INDIRECT(ADDRESS(ROW(C2595)-1, 'From Order'!$A2595)), 1), C2594))"),"CDLFB")</f>
        <v>CDLFB</v>
      </c>
      <c r="D2595" s="2" t="str">
        <f>IFERROR(__xludf.DUMMYFUNCTION("IF('From Order'!$A2595=COLUMNS($A2595:D2614), LEFT(INDEX(FILTER(D$1:D2594, D$1:D2594&lt;&gt;""""),COUNTA(FILTER(D$1:D2594, D$1:D2594&lt;&gt;""""))), LEN(INDEX(FILTER(D$1:D2594, D$1:D2594&lt;&gt;""""),COUNTA(FILTER(D$1:D2594, D$1:D2594&lt;&gt;""""))))-1), IF('To Order'!$A2595=COL"&amp;"UMNS($A2595:D2614), D2594&amp;RIGHT(INDIRECT(ADDRESS(ROW(D2595)-1, 'From Order'!$A2595)), 1), D2594))"),"CRVD")</f>
        <v>CRVD</v>
      </c>
      <c r="E2595" s="2" t="str">
        <f>IFERROR(__xludf.DUMMYFUNCTION("IF('From Order'!$A2595=COLUMNS($A2595:E2614), LEFT(INDEX(FILTER(E$1:E2594, E$1:E2594&lt;&gt;""""),COUNTA(FILTER(E$1:E2594, E$1:E2594&lt;&gt;""""))), LEN(INDEX(FILTER(E$1:E2594, E$1:E2594&lt;&gt;""""),COUNTA(FILTER(E$1:E2594, E$1:E2594&lt;&gt;""""))))-1), IF('To Order'!$A2595=COL"&amp;"UMNS($A2595:E2614), E2594&amp;RIGHT(INDIRECT(ADDRESS(ROW(E2595)-1, 'From Order'!$A2595)), 1), E2594))"),"SBHLW")</f>
        <v>SBHLW</v>
      </c>
      <c r="F2595" s="2" t="str">
        <f>IFERROR(__xludf.DUMMYFUNCTION("IF('From Order'!$A2595=COLUMNS($A2595:F2614), LEFT(INDEX(FILTER(F$1:F2594, F$1:F2594&lt;&gt;""""),COUNTA(FILTER(F$1:F2594, F$1:F2594&lt;&gt;""""))), LEN(INDEX(FILTER(F$1:F2594, F$1:F2594&lt;&gt;""""),COUNTA(FILTER(F$1:F2594, F$1:F2594&lt;&gt;""""))))-1), IF('To Order'!$A2595=COL"&amp;"UMNS($A2595:F2614), F2594&amp;RIGHT(INDIRECT(ADDRESS(ROW(F2595)-1, 'From Order'!$A2595)), 1), F2594))"),"RSPMG")</f>
        <v>RSPMG</v>
      </c>
      <c r="G2595" s="2" t="str">
        <f>IFERROR(__xludf.DUMMYFUNCTION("IF('From Order'!$A2595=COLUMNS($A2595:G2614), LEFT(INDEX(FILTER(G$1:G2594, G$1:G2594&lt;&gt;""""),COUNTA(FILTER(G$1:G2594, G$1:G2594&lt;&gt;""""))), LEN(INDEX(FILTER(G$1:G2594, G$1:G2594&lt;&gt;""""),COUNTA(FILTER(G$1:G2594, G$1:G2594&lt;&gt;""""))))-1), IF('To Order'!$A2595=COL"&amp;"UMNS($A2595:G2614), G2594&amp;RIGHT(INDIRECT(ADDRESS(ROW(G2595)-1, 'From Order'!$A2595)), 1), G2594))"),"ZST")</f>
        <v>ZST</v>
      </c>
      <c r="H2595" s="2" t="str">
        <f>IFERROR(__xludf.DUMMYFUNCTION("IF('From Order'!$A2595=COLUMNS($A2595:H2614), LEFT(INDEX(FILTER(H$1:H2594, H$1:H2594&lt;&gt;""""),COUNTA(FILTER(H$1:H2594, H$1:H2594&lt;&gt;""""))), LEN(INDEX(FILTER(H$1:H2594, H$1:H2594&lt;&gt;""""),COUNTA(FILTER(H$1:H2594, H$1:H2594&lt;&gt;""""))))-1), IF('To Order'!$A2595=COL"&amp;"UMNS($A2595:H2614), H2594&amp;RIGHT(INDIRECT(ADDRESS(ROW(H2595)-1, 'From Order'!$A2595)), 1), H2594))"),"TJ")</f>
        <v>TJ</v>
      </c>
      <c r="I2595" s="2" t="str">
        <f>IFERROR(__xludf.DUMMYFUNCTION("IF('From Order'!$A2595=COLUMNS($A2595:I2614), LEFT(INDEX(FILTER(I$1:I2594, I$1:I2594&lt;&gt;""""),COUNTA(FILTER(I$1:I2594, I$1:I2594&lt;&gt;""""))), LEN(INDEX(FILTER(I$1:I2594, I$1:I2594&lt;&gt;""""),COUNTA(FILTER(I$1:I2594, I$1:I2594&lt;&gt;""""))))-1), IF('To Order'!$A2595=COL"&amp;"UMNS($A2595:I2614), I2594&amp;RIGHT(INDIRECT(ADDRESS(ROW(I2595)-1, 'From Order'!$A2595)), 1), I2594))"),"QVVDDSPLRRJTTCJFZPRBB")</f>
        <v>QVVDDSPLRRJTTCJFZPRBB</v>
      </c>
    </row>
    <row r="2596">
      <c r="A2596" s="2" t="str">
        <f>IFERROR(__xludf.DUMMYFUNCTION("IF('From Order'!$A2596=COLUMNS($A2596:A2615), LEFT(INDEX(FILTER(A$1:A2595, A$1:A2595&lt;&gt;""""),COUNTA(FILTER(A$1:A2595, A$1:A2595&lt;&gt;""""))), LEN(INDEX(FILTER(A$1:A2595, A$1:A2595&lt;&gt;""""),COUNTA(FILTER(A$1:A2595, A$1:A2595&lt;&gt;""""))))-1), IF('To Order'!$A2596=COL"&amp;"UMNS($A2596:A2615), A2595&amp;RIGHT(INDIRECT(ADDRESS(ROW(A2596)-1, 'From Order'!$A2596)), 1), A2595))"),"DDMTMHZT")</f>
        <v>DDMTMHZT</v>
      </c>
      <c r="B2596" s="2" t="str">
        <f>IFERROR(__xludf.DUMMYFUNCTION("IF('From Order'!$A2596=COLUMNS($A2596:B2615), LEFT(INDEX(FILTER(B$1:B2595, B$1:B2595&lt;&gt;""""),COUNTA(FILTER(B$1:B2595, B$1:B2595&lt;&gt;""""))), LEN(INDEX(FILTER(B$1:B2595, B$1:B2595&lt;&gt;""""),COUNTA(FILTER(B$1:B2595, B$1:B2595&lt;&gt;""""))))-1), IF('To Order'!$A2596=COL"&amp;"UMNS($A2596:B2615), B2595&amp;RIGHT(INDIRECT(ADDRESS(ROW(B2596)-1, 'From Order'!$A2596)), 1), B2595))"),"QGW")</f>
        <v>QGW</v>
      </c>
      <c r="C2596" s="2" t="str">
        <f>IFERROR(__xludf.DUMMYFUNCTION("IF('From Order'!$A2596=COLUMNS($A2596:C2615), LEFT(INDEX(FILTER(C$1:C2595, C$1:C2595&lt;&gt;""""),COUNTA(FILTER(C$1:C2595, C$1:C2595&lt;&gt;""""))), LEN(INDEX(FILTER(C$1:C2595, C$1:C2595&lt;&gt;""""),COUNTA(FILTER(C$1:C2595, C$1:C2595&lt;&gt;""""))))-1), IF('To Order'!$A2596=COL"&amp;"UMNS($A2596:C2615), C2595&amp;RIGHT(INDIRECT(ADDRESS(ROW(C2596)-1, 'From Order'!$A2596)), 1), C2595))"),"CDLFB")</f>
        <v>CDLFB</v>
      </c>
      <c r="D2596" s="2" t="str">
        <f>IFERROR(__xludf.DUMMYFUNCTION("IF('From Order'!$A2596=COLUMNS($A2596:D2615), LEFT(INDEX(FILTER(D$1:D2595, D$1:D2595&lt;&gt;""""),COUNTA(FILTER(D$1:D2595, D$1:D2595&lt;&gt;""""))), LEN(INDEX(FILTER(D$1:D2595, D$1:D2595&lt;&gt;""""),COUNTA(FILTER(D$1:D2595, D$1:D2595&lt;&gt;""""))))-1), IF('To Order'!$A2596=COL"&amp;"UMNS($A2596:D2615), D2595&amp;RIGHT(INDIRECT(ADDRESS(ROW(D2596)-1, 'From Order'!$A2596)), 1), D2595))"),"CRVD")</f>
        <v>CRVD</v>
      </c>
      <c r="E2596" s="2" t="str">
        <f>IFERROR(__xludf.DUMMYFUNCTION("IF('From Order'!$A2596=COLUMNS($A2596:E2615), LEFT(INDEX(FILTER(E$1:E2595, E$1:E2595&lt;&gt;""""),COUNTA(FILTER(E$1:E2595, E$1:E2595&lt;&gt;""""))), LEN(INDEX(FILTER(E$1:E2595, E$1:E2595&lt;&gt;""""),COUNTA(FILTER(E$1:E2595, E$1:E2595&lt;&gt;""""))))-1), IF('To Order'!$A2596=COL"&amp;"UMNS($A2596:E2615), E2595&amp;RIGHT(INDIRECT(ADDRESS(ROW(E2596)-1, 'From Order'!$A2596)), 1), E2595))"),"SBHL")</f>
        <v>SBHL</v>
      </c>
      <c r="F2596" s="2" t="str">
        <f>IFERROR(__xludf.DUMMYFUNCTION("IF('From Order'!$A2596=COLUMNS($A2596:F2615), LEFT(INDEX(FILTER(F$1:F2595, F$1:F2595&lt;&gt;""""),COUNTA(FILTER(F$1:F2595, F$1:F2595&lt;&gt;""""))), LEN(INDEX(FILTER(F$1:F2595, F$1:F2595&lt;&gt;""""),COUNTA(FILTER(F$1:F2595, F$1:F2595&lt;&gt;""""))))-1), IF('To Order'!$A2596=COL"&amp;"UMNS($A2596:F2615), F2595&amp;RIGHT(INDIRECT(ADDRESS(ROW(F2596)-1, 'From Order'!$A2596)), 1), F2595))"),"RSPMG")</f>
        <v>RSPMG</v>
      </c>
      <c r="G2596" s="2" t="str">
        <f>IFERROR(__xludf.DUMMYFUNCTION("IF('From Order'!$A2596=COLUMNS($A2596:G2615), LEFT(INDEX(FILTER(G$1:G2595, G$1:G2595&lt;&gt;""""),COUNTA(FILTER(G$1:G2595, G$1:G2595&lt;&gt;""""))), LEN(INDEX(FILTER(G$1:G2595, G$1:G2595&lt;&gt;""""),COUNTA(FILTER(G$1:G2595, G$1:G2595&lt;&gt;""""))))-1), IF('To Order'!$A2596=COL"&amp;"UMNS($A2596:G2615), G2595&amp;RIGHT(INDIRECT(ADDRESS(ROW(G2596)-1, 'From Order'!$A2596)), 1), G2595))"),"ZST")</f>
        <v>ZST</v>
      </c>
      <c r="H2596" s="2" t="str">
        <f>IFERROR(__xludf.DUMMYFUNCTION("IF('From Order'!$A2596=COLUMNS($A2596:H2615), LEFT(INDEX(FILTER(H$1:H2595, H$1:H2595&lt;&gt;""""),COUNTA(FILTER(H$1:H2595, H$1:H2595&lt;&gt;""""))), LEN(INDEX(FILTER(H$1:H2595, H$1:H2595&lt;&gt;""""),COUNTA(FILTER(H$1:H2595, H$1:H2595&lt;&gt;""""))))-1), IF('To Order'!$A2596=COL"&amp;"UMNS($A2596:H2615), H2595&amp;RIGHT(INDIRECT(ADDRESS(ROW(H2596)-1, 'From Order'!$A2596)), 1), H2595))"),"TJ")</f>
        <v>TJ</v>
      </c>
      <c r="I2596" s="2" t="str">
        <f>IFERROR(__xludf.DUMMYFUNCTION("IF('From Order'!$A2596=COLUMNS($A2596:I2615), LEFT(INDEX(FILTER(I$1:I2595, I$1:I2595&lt;&gt;""""),COUNTA(FILTER(I$1:I2595, I$1:I2595&lt;&gt;""""))), LEN(INDEX(FILTER(I$1:I2595, I$1:I2595&lt;&gt;""""),COUNTA(FILTER(I$1:I2595, I$1:I2595&lt;&gt;""""))))-1), IF('To Order'!$A2596=COL"&amp;"UMNS($A2596:I2615), I2595&amp;RIGHT(INDIRECT(ADDRESS(ROW(I2596)-1, 'From Order'!$A2596)), 1), I2595))"),"QVVDDSPLRRJTTCJFZPRBBW")</f>
        <v>QVVDDSPLRRJTTCJFZPRBBW</v>
      </c>
    </row>
    <row r="2597">
      <c r="A2597" s="2" t="str">
        <f>IFERROR(__xludf.DUMMYFUNCTION("IF('From Order'!$A2597=COLUMNS($A2597:A2616), LEFT(INDEX(FILTER(A$1:A2596, A$1:A2596&lt;&gt;""""),COUNTA(FILTER(A$1:A2596, A$1:A2596&lt;&gt;""""))), LEN(INDEX(FILTER(A$1:A2596, A$1:A2596&lt;&gt;""""),COUNTA(FILTER(A$1:A2596, A$1:A2596&lt;&gt;""""))))-1), IF('To Order'!$A2597=COL"&amp;"UMNS($A2597:A2616), A2596&amp;RIGHT(INDIRECT(ADDRESS(ROW(A2597)-1, 'From Order'!$A2597)), 1), A2596))"),"DDMTMHZT")</f>
        <v>DDMTMHZT</v>
      </c>
      <c r="B2597" s="2" t="str">
        <f>IFERROR(__xludf.DUMMYFUNCTION("IF('From Order'!$A2597=COLUMNS($A2597:B2616), LEFT(INDEX(FILTER(B$1:B2596, B$1:B2596&lt;&gt;""""),COUNTA(FILTER(B$1:B2596, B$1:B2596&lt;&gt;""""))), LEN(INDEX(FILTER(B$1:B2596, B$1:B2596&lt;&gt;""""),COUNTA(FILTER(B$1:B2596, B$1:B2596&lt;&gt;""""))))-1), IF('To Order'!$A2597=COL"&amp;"UMNS($A2597:B2616), B2596&amp;RIGHT(INDIRECT(ADDRESS(ROW(B2597)-1, 'From Order'!$A2597)), 1), B2596))"),"QGW")</f>
        <v>QGW</v>
      </c>
      <c r="C2597" s="2" t="str">
        <f>IFERROR(__xludf.DUMMYFUNCTION("IF('From Order'!$A2597=COLUMNS($A2597:C2616), LEFT(INDEX(FILTER(C$1:C2596, C$1:C2596&lt;&gt;""""),COUNTA(FILTER(C$1:C2596, C$1:C2596&lt;&gt;""""))), LEN(INDEX(FILTER(C$1:C2596, C$1:C2596&lt;&gt;""""),COUNTA(FILTER(C$1:C2596, C$1:C2596&lt;&gt;""""))))-1), IF('To Order'!$A2597=COL"&amp;"UMNS($A2597:C2616), C2596&amp;RIGHT(INDIRECT(ADDRESS(ROW(C2597)-1, 'From Order'!$A2597)), 1), C2596))"),"CDLFB")</f>
        <v>CDLFB</v>
      </c>
      <c r="D2597" s="2" t="str">
        <f>IFERROR(__xludf.DUMMYFUNCTION("IF('From Order'!$A2597=COLUMNS($A2597:D2616), LEFT(INDEX(FILTER(D$1:D2596, D$1:D2596&lt;&gt;""""),COUNTA(FILTER(D$1:D2596, D$1:D2596&lt;&gt;""""))), LEN(INDEX(FILTER(D$1:D2596, D$1:D2596&lt;&gt;""""),COUNTA(FILTER(D$1:D2596, D$1:D2596&lt;&gt;""""))))-1), IF('To Order'!$A2597=COL"&amp;"UMNS($A2597:D2616), D2596&amp;RIGHT(INDIRECT(ADDRESS(ROW(D2597)-1, 'From Order'!$A2597)), 1), D2596))"),"CRVD")</f>
        <v>CRVD</v>
      </c>
      <c r="E2597" s="2" t="str">
        <f>IFERROR(__xludf.DUMMYFUNCTION("IF('From Order'!$A2597=COLUMNS($A2597:E2616), LEFT(INDEX(FILTER(E$1:E2596, E$1:E2596&lt;&gt;""""),COUNTA(FILTER(E$1:E2596, E$1:E2596&lt;&gt;""""))), LEN(INDEX(FILTER(E$1:E2596, E$1:E2596&lt;&gt;""""),COUNTA(FILTER(E$1:E2596, E$1:E2596&lt;&gt;""""))))-1), IF('To Order'!$A2597=COL"&amp;"UMNS($A2597:E2616), E2596&amp;RIGHT(INDIRECT(ADDRESS(ROW(E2597)-1, 'From Order'!$A2597)), 1), E2596))"),"SBH")</f>
        <v>SBH</v>
      </c>
      <c r="F2597" s="2" t="str">
        <f>IFERROR(__xludf.DUMMYFUNCTION("IF('From Order'!$A2597=COLUMNS($A2597:F2616), LEFT(INDEX(FILTER(F$1:F2596, F$1:F2596&lt;&gt;""""),COUNTA(FILTER(F$1:F2596, F$1:F2596&lt;&gt;""""))), LEN(INDEX(FILTER(F$1:F2596, F$1:F2596&lt;&gt;""""),COUNTA(FILTER(F$1:F2596, F$1:F2596&lt;&gt;""""))))-1), IF('To Order'!$A2597=COL"&amp;"UMNS($A2597:F2616), F2596&amp;RIGHT(INDIRECT(ADDRESS(ROW(F2597)-1, 'From Order'!$A2597)), 1), F2596))"),"RSPMG")</f>
        <v>RSPMG</v>
      </c>
      <c r="G2597" s="2" t="str">
        <f>IFERROR(__xludf.DUMMYFUNCTION("IF('From Order'!$A2597=COLUMNS($A2597:G2616), LEFT(INDEX(FILTER(G$1:G2596, G$1:G2596&lt;&gt;""""),COUNTA(FILTER(G$1:G2596, G$1:G2596&lt;&gt;""""))), LEN(INDEX(FILTER(G$1:G2596, G$1:G2596&lt;&gt;""""),COUNTA(FILTER(G$1:G2596, G$1:G2596&lt;&gt;""""))))-1), IF('To Order'!$A2597=COL"&amp;"UMNS($A2597:G2616), G2596&amp;RIGHT(INDIRECT(ADDRESS(ROW(G2597)-1, 'From Order'!$A2597)), 1), G2596))"),"ZST")</f>
        <v>ZST</v>
      </c>
      <c r="H2597" s="2" t="str">
        <f>IFERROR(__xludf.DUMMYFUNCTION("IF('From Order'!$A2597=COLUMNS($A2597:H2616), LEFT(INDEX(FILTER(H$1:H2596, H$1:H2596&lt;&gt;""""),COUNTA(FILTER(H$1:H2596, H$1:H2596&lt;&gt;""""))), LEN(INDEX(FILTER(H$1:H2596, H$1:H2596&lt;&gt;""""),COUNTA(FILTER(H$1:H2596, H$1:H2596&lt;&gt;""""))))-1), IF('To Order'!$A2597=COL"&amp;"UMNS($A2597:H2616), H2596&amp;RIGHT(INDIRECT(ADDRESS(ROW(H2597)-1, 'From Order'!$A2597)), 1), H2596))"),"TJ")</f>
        <v>TJ</v>
      </c>
      <c r="I2597" s="2" t="str">
        <f>IFERROR(__xludf.DUMMYFUNCTION("IF('From Order'!$A2597=COLUMNS($A2597:I2616), LEFT(INDEX(FILTER(I$1:I2596, I$1:I2596&lt;&gt;""""),COUNTA(FILTER(I$1:I2596, I$1:I2596&lt;&gt;""""))), LEN(INDEX(FILTER(I$1:I2596, I$1:I2596&lt;&gt;""""),COUNTA(FILTER(I$1:I2596, I$1:I2596&lt;&gt;""""))))-1), IF('To Order'!$A2597=COL"&amp;"UMNS($A2597:I2616), I2596&amp;RIGHT(INDIRECT(ADDRESS(ROW(I2597)-1, 'From Order'!$A2597)), 1), I2596))"),"QVVDDSPLRRJTTCJFZPRBBWL")</f>
        <v>QVVDDSPLRRJTTCJFZPRBBWL</v>
      </c>
    </row>
    <row r="2598">
      <c r="A2598" s="2" t="str">
        <f>IFERROR(__xludf.DUMMYFUNCTION("IF('From Order'!$A2598=COLUMNS($A2598:A2617), LEFT(INDEX(FILTER(A$1:A2597, A$1:A2597&lt;&gt;""""),COUNTA(FILTER(A$1:A2597, A$1:A2597&lt;&gt;""""))), LEN(INDEX(FILTER(A$1:A2597, A$1:A2597&lt;&gt;""""),COUNTA(FILTER(A$1:A2597, A$1:A2597&lt;&gt;""""))))-1), IF('To Order'!$A2598=COL"&amp;"UMNS($A2598:A2617), A2597&amp;RIGHT(INDIRECT(ADDRESS(ROW(A2598)-1, 'From Order'!$A2598)), 1), A2597))"),"DDMTMHZTD")</f>
        <v>DDMTMHZTD</v>
      </c>
      <c r="B2598" s="2" t="str">
        <f>IFERROR(__xludf.DUMMYFUNCTION("IF('From Order'!$A2598=COLUMNS($A2598:B2617), LEFT(INDEX(FILTER(B$1:B2597, B$1:B2597&lt;&gt;""""),COUNTA(FILTER(B$1:B2597, B$1:B2597&lt;&gt;""""))), LEN(INDEX(FILTER(B$1:B2597, B$1:B2597&lt;&gt;""""),COUNTA(FILTER(B$1:B2597, B$1:B2597&lt;&gt;""""))))-1), IF('To Order'!$A2598=COL"&amp;"UMNS($A2598:B2617), B2597&amp;RIGHT(INDIRECT(ADDRESS(ROW(B2598)-1, 'From Order'!$A2598)), 1), B2597))"),"QGW")</f>
        <v>QGW</v>
      </c>
      <c r="C2598" s="2" t="str">
        <f>IFERROR(__xludf.DUMMYFUNCTION("IF('From Order'!$A2598=COLUMNS($A2598:C2617), LEFT(INDEX(FILTER(C$1:C2597, C$1:C2597&lt;&gt;""""),COUNTA(FILTER(C$1:C2597, C$1:C2597&lt;&gt;""""))), LEN(INDEX(FILTER(C$1:C2597, C$1:C2597&lt;&gt;""""),COUNTA(FILTER(C$1:C2597, C$1:C2597&lt;&gt;""""))))-1), IF('To Order'!$A2598=COL"&amp;"UMNS($A2598:C2617), C2597&amp;RIGHT(INDIRECT(ADDRESS(ROW(C2598)-1, 'From Order'!$A2598)), 1), C2597))"),"CDLFB")</f>
        <v>CDLFB</v>
      </c>
      <c r="D2598" s="2" t="str">
        <f>IFERROR(__xludf.DUMMYFUNCTION("IF('From Order'!$A2598=COLUMNS($A2598:D2617), LEFT(INDEX(FILTER(D$1:D2597, D$1:D2597&lt;&gt;""""),COUNTA(FILTER(D$1:D2597, D$1:D2597&lt;&gt;""""))), LEN(INDEX(FILTER(D$1:D2597, D$1:D2597&lt;&gt;""""),COUNTA(FILTER(D$1:D2597, D$1:D2597&lt;&gt;""""))))-1), IF('To Order'!$A2598=COL"&amp;"UMNS($A2598:D2617), D2597&amp;RIGHT(INDIRECT(ADDRESS(ROW(D2598)-1, 'From Order'!$A2598)), 1), D2597))"),"CRV")</f>
        <v>CRV</v>
      </c>
      <c r="E2598" s="2" t="str">
        <f>IFERROR(__xludf.DUMMYFUNCTION("IF('From Order'!$A2598=COLUMNS($A2598:E2617), LEFT(INDEX(FILTER(E$1:E2597, E$1:E2597&lt;&gt;""""),COUNTA(FILTER(E$1:E2597, E$1:E2597&lt;&gt;""""))), LEN(INDEX(FILTER(E$1:E2597, E$1:E2597&lt;&gt;""""),COUNTA(FILTER(E$1:E2597, E$1:E2597&lt;&gt;""""))))-1), IF('To Order'!$A2598=COL"&amp;"UMNS($A2598:E2617), E2597&amp;RIGHT(INDIRECT(ADDRESS(ROW(E2598)-1, 'From Order'!$A2598)), 1), E2597))"),"SBH")</f>
        <v>SBH</v>
      </c>
      <c r="F2598" s="2" t="str">
        <f>IFERROR(__xludf.DUMMYFUNCTION("IF('From Order'!$A2598=COLUMNS($A2598:F2617), LEFT(INDEX(FILTER(F$1:F2597, F$1:F2597&lt;&gt;""""),COUNTA(FILTER(F$1:F2597, F$1:F2597&lt;&gt;""""))), LEN(INDEX(FILTER(F$1:F2597, F$1:F2597&lt;&gt;""""),COUNTA(FILTER(F$1:F2597, F$1:F2597&lt;&gt;""""))))-1), IF('To Order'!$A2598=COL"&amp;"UMNS($A2598:F2617), F2597&amp;RIGHT(INDIRECT(ADDRESS(ROW(F2598)-1, 'From Order'!$A2598)), 1), F2597))"),"RSPMG")</f>
        <v>RSPMG</v>
      </c>
      <c r="G2598" s="2" t="str">
        <f>IFERROR(__xludf.DUMMYFUNCTION("IF('From Order'!$A2598=COLUMNS($A2598:G2617), LEFT(INDEX(FILTER(G$1:G2597, G$1:G2597&lt;&gt;""""),COUNTA(FILTER(G$1:G2597, G$1:G2597&lt;&gt;""""))), LEN(INDEX(FILTER(G$1:G2597, G$1:G2597&lt;&gt;""""),COUNTA(FILTER(G$1:G2597, G$1:G2597&lt;&gt;""""))))-1), IF('To Order'!$A2598=COL"&amp;"UMNS($A2598:G2617), G2597&amp;RIGHT(INDIRECT(ADDRESS(ROW(G2598)-1, 'From Order'!$A2598)), 1), G2597))"),"ZST")</f>
        <v>ZST</v>
      </c>
      <c r="H2598" s="2" t="str">
        <f>IFERROR(__xludf.DUMMYFUNCTION("IF('From Order'!$A2598=COLUMNS($A2598:H2617), LEFT(INDEX(FILTER(H$1:H2597, H$1:H2597&lt;&gt;""""),COUNTA(FILTER(H$1:H2597, H$1:H2597&lt;&gt;""""))), LEN(INDEX(FILTER(H$1:H2597, H$1:H2597&lt;&gt;""""),COUNTA(FILTER(H$1:H2597, H$1:H2597&lt;&gt;""""))))-1), IF('To Order'!$A2598=COL"&amp;"UMNS($A2598:H2617), H2597&amp;RIGHT(INDIRECT(ADDRESS(ROW(H2598)-1, 'From Order'!$A2598)), 1), H2597))"),"TJ")</f>
        <v>TJ</v>
      </c>
      <c r="I2598" s="2" t="str">
        <f>IFERROR(__xludf.DUMMYFUNCTION("IF('From Order'!$A2598=COLUMNS($A2598:I2617), LEFT(INDEX(FILTER(I$1:I2597, I$1:I2597&lt;&gt;""""),COUNTA(FILTER(I$1:I2597, I$1:I2597&lt;&gt;""""))), LEN(INDEX(FILTER(I$1:I2597, I$1:I2597&lt;&gt;""""),COUNTA(FILTER(I$1:I2597, I$1:I2597&lt;&gt;""""))))-1), IF('To Order'!$A2598=COL"&amp;"UMNS($A2598:I2617), I2597&amp;RIGHT(INDIRECT(ADDRESS(ROW(I2598)-1, 'From Order'!$A2598)), 1), I2597))"),"QVVDDSPLRRJTTCJFZPRBBWL")</f>
        <v>QVVDDSPLRRJTTCJFZPRBBWL</v>
      </c>
    </row>
    <row r="2599">
      <c r="A2599" s="2" t="str">
        <f>IFERROR(__xludf.DUMMYFUNCTION("IF('From Order'!$A2599=COLUMNS($A2599:A2618), LEFT(INDEX(FILTER(A$1:A2598, A$1:A2598&lt;&gt;""""),COUNTA(FILTER(A$1:A2598, A$1:A2598&lt;&gt;""""))), LEN(INDEX(FILTER(A$1:A2598, A$1:A2598&lt;&gt;""""),COUNTA(FILTER(A$1:A2598, A$1:A2598&lt;&gt;""""))))-1), IF('To Order'!$A2599=COL"&amp;"UMNS($A2599:A2618), A2598&amp;RIGHT(INDIRECT(ADDRESS(ROW(A2599)-1, 'From Order'!$A2599)), 1), A2598))"),"DDMTMHZTDV")</f>
        <v>DDMTMHZTDV</v>
      </c>
      <c r="B2599" s="2" t="str">
        <f>IFERROR(__xludf.DUMMYFUNCTION("IF('From Order'!$A2599=COLUMNS($A2599:B2618), LEFT(INDEX(FILTER(B$1:B2598, B$1:B2598&lt;&gt;""""),COUNTA(FILTER(B$1:B2598, B$1:B2598&lt;&gt;""""))), LEN(INDEX(FILTER(B$1:B2598, B$1:B2598&lt;&gt;""""),COUNTA(FILTER(B$1:B2598, B$1:B2598&lt;&gt;""""))))-1), IF('To Order'!$A2599=COL"&amp;"UMNS($A2599:B2618), B2598&amp;RIGHT(INDIRECT(ADDRESS(ROW(B2599)-1, 'From Order'!$A2599)), 1), B2598))"),"QGW")</f>
        <v>QGW</v>
      </c>
      <c r="C2599" s="2" t="str">
        <f>IFERROR(__xludf.DUMMYFUNCTION("IF('From Order'!$A2599=COLUMNS($A2599:C2618), LEFT(INDEX(FILTER(C$1:C2598, C$1:C2598&lt;&gt;""""),COUNTA(FILTER(C$1:C2598, C$1:C2598&lt;&gt;""""))), LEN(INDEX(FILTER(C$1:C2598, C$1:C2598&lt;&gt;""""),COUNTA(FILTER(C$1:C2598, C$1:C2598&lt;&gt;""""))))-1), IF('To Order'!$A2599=COL"&amp;"UMNS($A2599:C2618), C2598&amp;RIGHT(INDIRECT(ADDRESS(ROW(C2599)-1, 'From Order'!$A2599)), 1), C2598))"),"CDLFB")</f>
        <v>CDLFB</v>
      </c>
      <c r="D2599" s="2" t="str">
        <f>IFERROR(__xludf.DUMMYFUNCTION("IF('From Order'!$A2599=COLUMNS($A2599:D2618), LEFT(INDEX(FILTER(D$1:D2598, D$1:D2598&lt;&gt;""""),COUNTA(FILTER(D$1:D2598, D$1:D2598&lt;&gt;""""))), LEN(INDEX(FILTER(D$1:D2598, D$1:D2598&lt;&gt;""""),COUNTA(FILTER(D$1:D2598, D$1:D2598&lt;&gt;""""))))-1), IF('To Order'!$A2599=COL"&amp;"UMNS($A2599:D2618), D2598&amp;RIGHT(INDIRECT(ADDRESS(ROW(D2599)-1, 'From Order'!$A2599)), 1), D2598))"),"CR")</f>
        <v>CR</v>
      </c>
      <c r="E2599" s="2" t="str">
        <f>IFERROR(__xludf.DUMMYFUNCTION("IF('From Order'!$A2599=COLUMNS($A2599:E2618), LEFT(INDEX(FILTER(E$1:E2598, E$1:E2598&lt;&gt;""""),COUNTA(FILTER(E$1:E2598, E$1:E2598&lt;&gt;""""))), LEN(INDEX(FILTER(E$1:E2598, E$1:E2598&lt;&gt;""""),COUNTA(FILTER(E$1:E2598, E$1:E2598&lt;&gt;""""))))-1), IF('To Order'!$A2599=COL"&amp;"UMNS($A2599:E2618), E2598&amp;RIGHT(INDIRECT(ADDRESS(ROW(E2599)-1, 'From Order'!$A2599)), 1), E2598))"),"SBH")</f>
        <v>SBH</v>
      </c>
      <c r="F2599" s="2" t="str">
        <f>IFERROR(__xludf.DUMMYFUNCTION("IF('From Order'!$A2599=COLUMNS($A2599:F2618), LEFT(INDEX(FILTER(F$1:F2598, F$1:F2598&lt;&gt;""""),COUNTA(FILTER(F$1:F2598, F$1:F2598&lt;&gt;""""))), LEN(INDEX(FILTER(F$1:F2598, F$1:F2598&lt;&gt;""""),COUNTA(FILTER(F$1:F2598, F$1:F2598&lt;&gt;""""))))-1), IF('To Order'!$A2599=COL"&amp;"UMNS($A2599:F2618), F2598&amp;RIGHT(INDIRECT(ADDRESS(ROW(F2599)-1, 'From Order'!$A2599)), 1), F2598))"),"RSPMG")</f>
        <v>RSPMG</v>
      </c>
      <c r="G2599" s="2" t="str">
        <f>IFERROR(__xludf.DUMMYFUNCTION("IF('From Order'!$A2599=COLUMNS($A2599:G2618), LEFT(INDEX(FILTER(G$1:G2598, G$1:G2598&lt;&gt;""""),COUNTA(FILTER(G$1:G2598, G$1:G2598&lt;&gt;""""))), LEN(INDEX(FILTER(G$1:G2598, G$1:G2598&lt;&gt;""""),COUNTA(FILTER(G$1:G2598, G$1:G2598&lt;&gt;""""))))-1), IF('To Order'!$A2599=COL"&amp;"UMNS($A2599:G2618), G2598&amp;RIGHT(INDIRECT(ADDRESS(ROW(G2599)-1, 'From Order'!$A2599)), 1), G2598))"),"ZST")</f>
        <v>ZST</v>
      </c>
      <c r="H2599" s="2" t="str">
        <f>IFERROR(__xludf.DUMMYFUNCTION("IF('From Order'!$A2599=COLUMNS($A2599:H2618), LEFT(INDEX(FILTER(H$1:H2598, H$1:H2598&lt;&gt;""""),COUNTA(FILTER(H$1:H2598, H$1:H2598&lt;&gt;""""))), LEN(INDEX(FILTER(H$1:H2598, H$1:H2598&lt;&gt;""""),COUNTA(FILTER(H$1:H2598, H$1:H2598&lt;&gt;""""))))-1), IF('To Order'!$A2599=COL"&amp;"UMNS($A2599:H2618), H2598&amp;RIGHT(INDIRECT(ADDRESS(ROW(H2599)-1, 'From Order'!$A2599)), 1), H2598))"),"TJ")</f>
        <v>TJ</v>
      </c>
      <c r="I2599" s="2" t="str">
        <f>IFERROR(__xludf.DUMMYFUNCTION("IF('From Order'!$A2599=COLUMNS($A2599:I2618), LEFT(INDEX(FILTER(I$1:I2598, I$1:I2598&lt;&gt;""""),COUNTA(FILTER(I$1:I2598, I$1:I2598&lt;&gt;""""))), LEN(INDEX(FILTER(I$1:I2598, I$1:I2598&lt;&gt;""""),COUNTA(FILTER(I$1:I2598, I$1:I2598&lt;&gt;""""))))-1), IF('To Order'!$A2599=COL"&amp;"UMNS($A2599:I2618), I2598&amp;RIGHT(INDIRECT(ADDRESS(ROW(I2599)-1, 'From Order'!$A2599)), 1), I2598))"),"QVVDDSPLRRJTTCJFZPRBBWL")</f>
        <v>QVVDDSPLRRJTTCJFZPRBBWL</v>
      </c>
    </row>
    <row r="2600">
      <c r="A2600" s="2" t="str">
        <f>IFERROR(__xludf.DUMMYFUNCTION("IF('From Order'!$A2600=COLUMNS($A2600:A2619), LEFT(INDEX(FILTER(A$1:A2599, A$1:A2599&lt;&gt;""""),COUNTA(FILTER(A$1:A2599, A$1:A2599&lt;&gt;""""))), LEN(INDEX(FILTER(A$1:A2599, A$1:A2599&lt;&gt;""""),COUNTA(FILTER(A$1:A2599, A$1:A2599&lt;&gt;""""))))-1), IF('To Order'!$A2600=COL"&amp;"UMNS($A2600:A2619), A2599&amp;RIGHT(INDIRECT(ADDRESS(ROW(A2600)-1, 'From Order'!$A2600)), 1), A2599))"),"DDMTMHZTDVR")</f>
        <v>DDMTMHZTDVR</v>
      </c>
      <c r="B2600" s="2" t="str">
        <f>IFERROR(__xludf.DUMMYFUNCTION("IF('From Order'!$A2600=COLUMNS($A2600:B2619), LEFT(INDEX(FILTER(B$1:B2599, B$1:B2599&lt;&gt;""""),COUNTA(FILTER(B$1:B2599, B$1:B2599&lt;&gt;""""))), LEN(INDEX(FILTER(B$1:B2599, B$1:B2599&lt;&gt;""""),COUNTA(FILTER(B$1:B2599, B$1:B2599&lt;&gt;""""))))-1), IF('To Order'!$A2600=COL"&amp;"UMNS($A2600:B2619), B2599&amp;RIGHT(INDIRECT(ADDRESS(ROW(B2600)-1, 'From Order'!$A2600)), 1), B2599))"),"QGW")</f>
        <v>QGW</v>
      </c>
      <c r="C2600" s="2" t="str">
        <f>IFERROR(__xludf.DUMMYFUNCTION("IF('From Order'!$A2600=COLUMNS($A2600:C2619), LEFT(INDEX(FILTER(C$1:C2599, C$1:C2599&lt;&gt;""""),COUNTA(FILTER(C$1:C2599, C$1:C2599&lt;&gt;""""))), LEN(INDEX(FILTER(C$1:C2599, C$1:C2599&lt;&gt;""""),COUNTA(FILTER(C$1:C2599, C$1:C2599&lt;&gt;""""))))-1), IF('To Order'!$A2600=COL"&amp;"UMNS($A2600:C2619), C2599&amp;RIGHT(INDIRECT(ADDRESS(ROW(C2600)-1, 'From Order'!$A2600)), 1), C2599))"),"CDLFB")</f>
        <v>CDLFB</v>
      </c>
      <c r="D2600" s="2" t="str">
        <f>IFERROR(__xludf.DUMMYFUNCTION("IF('From Order'!$A2600=COLUMNS($A2600:D2619), LEFT(INDEX(FILTER(D$1:D2599, D$1:D2599&lt;&gt;""""),COUNTA(FILTER(D$1:D2599, D$1:D2599&lt;&gt;""""))), LEN(INDEX(FILTER(D$1:D2599, D$1:D2599&lt;&gt;""""),COUNTA(FILTER(D$1:D2599, D$1:D2599&lt;&gt;""""))))-1), IF('To Order'!$A2600=COL"&amp;"UMNS($A2600:D2619), D2599&amp;RIGHT(INDIRECT(ADDRESS(ROW(D2600)-1, 'From Order'!$A2600)), 1), D2599))"),"C")</f>
        <v>C</v>
      </c>
      <c r="E2600" s="2" t="str">
        <f>IFERROR(__xludf.DUMMYFUNCTION("IF('From Order'!$A2600=COLUMNS($A2600:E2619), LEFT(INDEX(FILTER(E$1:E2599, E$1:E2599&lt;&gt;""""),COUNTA(FILTER(E$1:E2599, E$1:E2599&lt;&gt;""""))), LEN(INDEX(FILTER(E$1:E2599, E$1:E2599&lt;&gt;""""),COUNTA(FILTER(E$1:E2599, E$1:E2599&lt;&gt;""""))))-1), IF('To Order'!$A2600=COL"&amp;"UMNS($A2600:E2619), E2599&amp;RIGHT(INDIRECT(ADDRESS(ROW(E2600)-1, 'From Order'!$A2600)), 1), E2599))"),"SBH")</f>
        <v>SBH</v>
      </c>
      <c r="F2600" s="2" t="str">
        <f>IFERROR(__xludf.DUMMYFUNCTION("IF('From Order'!$A2600=COLUMNS($A2600:F2619), LEFT(INDEX(FILTER(F$1:F2599, F$1:F2599&lt;&gt;""""),COUNTA(FILTER(F$1:F2599, F$1:F2599&lt;&gt;""""))), LEN(INDEX(FILTER(F$1:F2599, F$1:F2599&lt;&gt;""""),COUNTA(FILTER(F$1:F2599, F$1:F2599&lt;&gt;""""))))-1), IF('To Order'!$A2600=COL"&amp;"UMNS($A2600:F2619), F2599&amp;RIGHT(INDIRECT(ADDRESS(ROW(F2600)-1, 'From Order'!$A2600)), 1), F2599))"),"RSPMG")</f>
        <v>RSPMG</v>
      </c>
      <c r="G2600" s="2" t="str">
        <f>IFERROR(__xludf.DUMMYFUNCTION("IF('From Order'!$A2600=COLUMNS($A2600:G2619), LEFT(INDEX(FILTER(G$1:G2599, G$1:G2599&lt;&gt;""""),COUNTA(FILTER(G$1:G2599, G$1:G2599&lt;&gt;""""))), LEN(INDEX(FILTER(G$1:G2599, G$1:G2599&lt;&gt;""""),COUNTA(FILTER(G$1:G2599, G$1:G2599&lt;&gt;""""))))-1), IF('To Order'!$A2600=COL"&amp;"UMNS($A2600:G2619), G2599&amp;RIGHT(INDIRECT(ADDRESS(ROW(G2600)-1, 'From Order'!$A2600)), 1), G2599))"),"ZST")</f>
        <v>ZST</v>
      </c>
      <c r="H2600" s="2" t="str">
        <f>IFERROR(__xludf.DUMMYFUNCTION("IF('From Order'!$A2600=COLUMNS($A2600:H2619), LEFT(INDEX(FILTER(H$1:H2599, H$1:H2599&lt;&gt;""""),COUNTA(FILTER(H$1:H2599, H$1:H2599&lt;&gt;""""))), LEN(INDEX(FILTER(H$1:H2599, H$1:H2599&lt;&gt;""""),COUNTA(FILTER(H$1:H2599, H$1:H2599&lt;&gt;""""))))-1), IF('To Order'!$A2600=COL"&amp;"UMNS($A2600:H2619), H2599&amp;RIGHT(INDIRECT(ADDRESS(ROW(H2600)-1, 'From Order'!$A2600)), 1), H2599))"),"TJ")</f>
        <v>TJ</v>
      </c>
      <c r="I2600" s="2" t="str">
        <f>IFERROR(__xludf.DUMMYFUNCTION("IF('From Order'!$A2600=COLUMNS($A2600:I2619), LEFT(INDEX(FILTER(I$1:I2599, I$1:I2599&lt;&gt;""""),COUNTA(FILTER(I$1:I2599, I$1:I2599&lt;&gt;""""))), LEN(INDEX(FILTER(I$1:I2599, I$1:I2599&lt;&gt;""""),COUNTA(FILTER(I$1:I2599, I$1:I2599&lt;&gt;""""))))-1), IF('To Order'!$A2600=COL"&amp;"UMNS($A2600:I2619), I2599&amp;RIGHT(INDIRECT(ADDRESS(ROW(I2600)-1, 'From Order'!$A2600)), 1), I2599))"),"QVVDDSPLRRJTTCJFZPRBBWL")</f>
        <v>QVVDDSPLRRJTTCJFZPRBBWL</v>
      </c>
    </row>
    <row r="2601">
      <c r="A2601" s="2" t="str">
        <f>IFERROR(__xludf.DUMMYFUNCTION("IF('From Order'!$A2601=COLUMNS($A2601:A2620), LEFT(INDEX(FILTER(A$1:A2600, A$1:A2600&lt;&gt;""""),COUNTA(FILTER(A$1:A2600, A$1:A2600&lt;&gt;""""))), LEN(INDEX(FILTER(A$1:A2600, A$1:A2600&lt;&gt;""""),COUNTA(FILTER(A$1:A2600, A$1:A2600&lt;&gt;""""))))-1), IF('To Order'!$A2601=COL"&amp;"UMNS($A2601:A2620), A2600&amp;RIGHT(INDIRECT(ADDRESS(ROW(A2601)-1, 'From Order'!$A2601)), 1), A2600))"),"DDMTMHZTDVRC")</f>
        <v>DDMTMHZTDVRC</v>
      </c>
      <c r="B2601" s="2" t="str">
        <f>IFERROR(__xludf.DUMMYFUNCTION("IF('From Order'!$A2601=COLUMNS($A2601:B2620), LEFT(INDEX(FILTER(B$1:B2600, B$1:B2600&lt;&gt;""""),COUNTA(FILTER(B$1:B2600, B$1:B2600&lt;&gt;""""))), LEN(INDEX(FILTER(B$1:B2600, B$1:B2600&lt;&gt;""""),COUNTA(FILTER(B$1:B2600, B$1:B2600&lt;&gt;""""))))-1), IF('To Order'!$A2601=COL"&amp;"UMNS($A2601:B2620), B2600&amp;RIGHT(INDIRECT(ADDRESS(ROW(B2601)-1, 'From Order'!$A2601)), 1), B2600))"),"QGW")</f>
        <v>QGW</v>
      </c>
      <c r="C2601" s="2" t="str">
        <f>IFERROR(__xludf.DUMMYFUNCTION("IF('From Order'!$A2601=COLUMNS($A2601:C2620), LEFT(INDEX(FILTER(C$1:C2600, C$1:C2600&lt;&gt;""""),COUNTA(FILTER(C$1:C2600, C$1:C2600&lt;&gt;""""))), LEN(INDEX(FILTER(C$1:C2600, C$1:C2600&lt;&gt;""""),COUNTA(FILTER(C$1:C2600, C$1:C2600&lt;&gt;""""))))-1), IF('To Order'!$A2601=COL"&amp;"UMNS($A2601:C2620), C2600&amp;RIGHT(INDIRECT(ADDRESS(ROW(C2601)-1, 'From Order'!$A2601)), 1), C2600))"),"CDLFB")</f>
        <v>CDLFB</v>
      </c>
      <c r="D2601" s="2" t="str">
        <f>IFERROR(__xludf.DUMMYFUNCTION("IF('From Order'!$A2601=COLUMNS($A2601:D2620), LEFT(INDEX(FILTER(D$1:D2600, D$1:D2600&lt;&gt;""""),COUNTA(FILTER(D$1:D2600, D$1:D2600&lt;&gt;""""))), LEN(INDEX(FILTER(D$1:D2600, D$1:D2600&lt;&gt;""""),COUNTA(FILTER(D$1:D2600, D$1:D2600&lt;&gt;""""))))-1), IF('To Order'!$A2601=COL"&amp;"UMNS($A2601:D2620), D2600&amp;RIGHT(INDIRECT(ADDRESS(ROW(D2601)-1, 'From Order'!$A2601)), 1), D2600))"),"")</f>
        <v/>
      </c>
      <c r="E2601" s="2" t="str">
        <f>IFERROR(__xludf.DUMMYFUNCTION("IF('From Order'!$A2601=COLUMNS($A2601:E2620), LEFT(INDEX(FILTER(E$1:E2600, E$1:E2600&lt;&gt;""""),COUNTA(FILTER(E$1:E2600, E$1:E2600&lt;&gt;""""))), LEN(INDEX(FILTER(E$1:E2600, E$1:E2600&lt;&gt;""""),COUNTA(FILTER(E$1:E2600, E$1:E2600&lt;&gt;""""))))-1), IF('To Order'!$A2601=COL"&amp;"UMNS($A2601:E2620), E2600&amp;RIGHT(INDIRECT(ADDRESS(ROW(E2601)-1, 'From Order'!$A2601)), 1), E2600))"),"SBH")</f>
        <v>SBH</v>
      </c>
      <c r="F2601" s="2" t="str">
        <f>IFERROR(__xludf.DUMMYFUNCTION("IF('From Order'!$A2601=COLUMNS($A2601:F2620), LEFT(INDEX(FILTER(F$1:F2600, F$1:F2600&lt;&gt;""""),COUNTA(FILTER(F$1:F2600, F$1:F2600&lt;&gt;""""))), LEN(INDEX(FILTER(F$1:F2600, F$1:F2600&lt;&gt;""""),COUNTA(FILTER(F$1:F2600, F$1:F2600&lt;&gt;""""))))-1), IF('To Order'!$A2601=COL"&amp;"UMNS($A2601:F2620), F2600&amp;RIGHT(INDIRECT(ADDRESS(ROW(F2601)-1, 'From Order'!$A2601)), 1), F2600))"),"RSPMG")</f>
        <v>RSPMG</v>
      </c>
      <c r="G2601" s="2" t="str">
        <f>IFERROR(__xludf.DUMMYFUNCTION("IF('From Order'!$A2601=COLUMNS($A2601:G2620), LEFT(INDEX(FILTER(G$1:G2600, G$1:G2600&lt;&gt;""""),COUNTA(FILTER(G$1:G2600, G$1:G2600&lt;&gt;""""))), LEN(INDEX(FILTER(G$1:G2600, G$1:G2600&lt;&gt;""""),COUNTA(FILTER(G$1:G2600, G$1:G2600&lt;&gt;""""))))-1), IF('To Order'!$A2601=COL"&amp;"UMNS($A2601:G2620), G2600&amp;RIGHT(INDIRECT(ADDRESS(ROW(G2601)-1, 'From Order'!$A2601)), 1), G2600))"),"ZST")</f>
        <v>ZST</v>
      </c>
      <c r="H2601" s="2" t="str">
        <f>IFERROR(__xludf.DUMMYFUNCTION("IF('From Order'!$A2601=COLUMNS($A2601:H2620), LEFT(INDEX(FILTER(H$1:H2600, H$1:H2600&lt;&gt;""""),COUNTA(FILTER(H$1:H2600, H$1:H2600&lt;&gt;""""))), LEN(INDEX(FILTER(H$1:H2600, H$1:H2600&lt;&gt;""""),COUNTA(FILTER(H$1:H2600, H$1:H2600&lt;&gt;""""))))-1), IF('To Order'!$A2601=COL"&amp;"UMNS($A2601:H2620), H2600&amp;RIGHT(INDIRECT(ADDRESS(ROW(H2601)-1, 'From Order'!$A2601)), 1), H2600))"),"TJ")</f>
        <v>TJ</v>
      </c>
      <c r="I2601" s="2" t="str">
        <f>IFERROR(__xludf.DUMMYFUNCTION("IF('From Order'!$A2601=COLUMNS($A2601:I2620), LEFT(INDEX(FILTER(I$1:I2600, I$1:I2600&lt;&gt;""""),COUNTA(FILTER(I$1:I2600, I$1:I2600&lt;&gt;""""))), LEN(INDEX(FILTER(I$1:I2600, I$1:I2600&lt;&gt;""""),COUNTA(FILTER(I$1:I2600, I$1:I2600&lt;&gt;""""))))-1), IF('To Order'!$A2601=COL"&amp;"UMNS($A2601:I2620), I2600&amp;RIGHT(INDIRECT(ADDRESS(ROW(I2601)-1, 'From Order'!$A2601)), 1), I2600))"),"QVVDDSPLRRJTTCJFZPRBBWL")</f>
        <v>QVVDDSPLRRJTTCJFZPRBBWL</v>
      </c>
    </row>
    <row r="2602">
      <c r="A2602" s="2" t="str">
        <f>IFERROR(__xludf.DUMMYFUNCTION("IF('From Order'!$A2602=COLUMNS($A2602:A2621), LEFT(INDEX(FILTER(A$1:A2601, A$1:A2601&lt;&gt;""""),COUNTA(FILTER(A$1:A2601, A$1:A2601&lt;&gt;""""))), LEN(INDEX(FILTER(A$1:A2601, A$1:A2601&lt;&gt;""""),COUNTA(FILTER(A$1:A2601, A$1:A2601&lt;&gt;""""))))-1), IF('To Order'!$A2602=COL"&amp;"UMNS($A2602:A2621), A2601&amp;RIGHT(INDIRECT(ADDRESS(ROW(A2602)-1, 'From Order'!$A2602)), 1), A2601))"),"DDMTMHZTDVRC")</f>
        <v>DDMTMHZTDVRC</v>
      </c>
      <c r="B2602" s="2" t="str">
        <f>IFERROR(__xludf.DUMMYFUNCTION("IF('From Order'!$A2602=COLUMNS($A2602:B2621), LEFT(INDEX(FILTER(B$1:B2601, B$1:B2601&lt;&gt;""""),COUNTA(FILTER(B$1:B2601, B$1:B2601&lt;&gt;""""))), LEN(INDEX(FILTER(B$1:B2601, B$1:B2601&lt;&gt;""""),COUNTA(FILTER(B$1:B2601, B$1:B2601&lt;&gt;""""))))-1), IF('To Order'!$A2602=COL"&amp;"UMNS($A2602:B2621), B2601&amp;RIGHT(INDIRECT(ADDRESS(ROW(B2602)-1, 'From Order'!$A2602)), 1), B2601))"),"QGW")</f>
        <v>QGW</v>
      </c>
      <c r="C2602" s="2" t="str">
        <f>IFERROR(__xludf.DUMMYFUNCTION("IF('From Order'!$A2602=COLUMNS($A2602:C2621), LEFT(INDEX(FILTER(C$1:C2601, C$1:C2601&lt;&gt;""""),COUNTA(FILTER(C$1:C2601, C$1:C2601&lt;&gt;""""))), LEN(INDEX(FILTER(C$1:C2601, C$1:C2601&lt;&gt;""""),COUNTA(FILTER(C$1:C2601, C$1:C2601&lt;&gt;""""))))-1), IF('To Order'!$A2602=COL"&amp;"UMNS($A2602:C2621), C2601&amp;RIGHT(INDIRECT(ADDRESS(ROW(C2602)-1, 'From Order'!$A2602)), 1), C2601))"),"CDLFB")</f>
        <v>CDLFB</v>
      </c>
      <c r="D2602" s="2" t="str">
        <f>IFERROR(__xludf.DUMMYFUNCTION("IF('From Order'!$A2602=COLUMNS($A2602:D2621), LEFT(INDEX(FILTER(D$1:D2601, D$1:D2601&lt;&gt;""""),COUNTA(FILTER(D$1:D2601, D$1:D2601&lt;&gt;""""))), LEN(INDEX(FILTER(D$1:D2601, D$1:D2601&lt;&gt;""""),COUNTA(FILTER(D$1:D2601, D$1:D2601&lt;&gt;""""))))-1), IF('To Order'!$A2602=COL"&amp;"UMNS($A2602:D2621), D2601&amp;RIGHT(INDIRECT(ADDRESS(ROW(D2602)-1, 'From Order'!$A2602)), 1), D2601))"),"")</f>
        <v/>
      </c>
      <c r="E2602" s="2" t="str">
        <f>IFERROR(__xludf.DUMMYFUNCTION("IF('From Order'!$A2602=COLUMNS($A2602:E2621), LEFT(INDEX(FILTER(E$1:E2601, E$1:E2601&lt;&gt;""""),COUNTA(FILTER(E$1:E2601, E$1:E2601&lt;&gt;""""))), LEN(INDEX(FILTER(E$1:E2601, E$1:E2601&lt;&gt;""""),COUNTA(FILTER(E$1:E2601, E$1:E2601&lt;&gt;""""))))-1), IF('To Order'!$A2602=COL"&amp;"UMNS($A2602:E2621), E2601&amp;RIGHT(INDIRECT(ADDRESS(ROW(E2602)-1, 'From Order'!$A2602)), 1), E2601))"),"SB")</f>
        <v>SB</v>
      </c>
      <c r="F2602" s="2" t="str">
        <f>IFERROR(__xludf.DUMMYFUNCTION("IF('From Order'!$A2602=COLUMNS($A2602:F2621), LEFT(INDEX(FILTER(F$1:F2601, F$1:F2601&lt;&gt;""""),COUNTA(FILTER(F$1:F2601, F$1:F2601&lt;&gt;""""))), LEN(INDEX(FILTER(F$1:F2601, F$1:F2601&lt;&gt;""""),COUNTA(FILTER(F$1:F2601, F$1:F2601&lt;&gt;""""))))-1), IF('To Order'!$A2602=COL"&amp;"UMNS($A2602:F2621), F2601&amp;RIGHT(INDIRECT(ADDRESS(ROW(F2602)-1, 'From Order'!$A2602)), 1), F2601))"),"RSPMGH")</f>
        <v>RSPMGH</v>
      </c>
      <c r="G2602" s="2" t="str">
        <f>IFERROR(__xludf.DUMMYFUNCTION("IF('From Order'!$A2602=COLUMNS($A2602:G2621), LEFT(INDEX(FILTER(G$1:G2601, G$1:G2601&lt;&gt;""""),COUNTA(FILTER(G$1:G2601, G$1:G2601&lt;&gt;""""))), LEN(INDEX(FILTER(G$1:G2601, G$1:G2601&lt;&gt;""""),COUNTA(FILTER(G$1:G2601, G$1:G2601&lt;&gt;""""))))-1), IF('To Order'!$A2602=COL"&amp;"UMNS($A2602:G2621), G2601&amp;RIGHT(INDIRECT(ADDRESS(ROW(G2602)-1, 'From Order'!$A2602)), 1), G2601))"),"ZST")</f>
        <v>ZST</v>
      </c>
      <c r="H2602" s="2" t="str">
        <f>IFERROR(__xludf.DUMMYFUNCTION("IF('From Order'!$A2602=COLUMNS($A2602:H2621), LEFT(INDEX(FILTER(H$1:H2601, H$1:H2601&lt;&gt;""""),COUNTA(FILTER(H$1:H2601, H$1:H2601&lt;&gt;""""))), LEN(INDEX(FILTER(H$1:H2601, H$1:H2601&lt;&gt;""""),COUNTA(FILTER(H$1:H2601, H$1:H2601&lt;&gt;""""))))-1), IF('To Order'!$A2602=COL"&amp;"UMNS($A2602:H2621), H2601&amp;RIGHT(INDIRECT(ADDRESS(ROW(H2602)-1, 'From Order'!$A2602)), 1), H2601))"),"TJ")</f>
        <v>TJ</v>
      </c>
      <c r="I2602" s="2" t="str">
        <f>IFERROR(__xludf.DUMMYFUNCTION("IF('From Order'!$A2602=COLUMNS($A2602:I2621), LEFT(INDEX(FILTER(I$1:I2601, I$1:I2601&lt;&gt;""""),COUNTA(FILTER(I$1:I2601, I$1:I2601&lt;&gt;""""))), LEN(INDEX(FILTER(I$1:I2601, I$1:I2601&lt;&gt;""""),COUNTA(FILTER(I$1:I2601, I$1:I2601&lt;&gt;""""))))-1), IF('To Order'!$A2602=COL"&amp;"UMNS($A2602:I2621), I2601&amp;RIGHT(INDIRECT(ADDRESS(ROW(I2602)-1, 'From Order'!$A2602)), 1), I2601))"),"QVVDDSPLRRJTTCJFZPRBBWL")</f>
        <v>QVVDDSPLRRJTTCJFZPRBBWL</v>
      </c>
    </row>
    <row r="2603">
      <c r="A2603" s="2" t="str">
        <f>IFERROR(__xludf.DUMMYFUNCTION("IF('From Order'!$A2603=COLUMNS($A2603:A2622), LEFT(INDEX(FILTER(A$1:A2602, A$1:A2602&lt;&gt;""""),COUNTA(FILTER(A$1:A2602, A$1:A2602&lt;&gt;""""))), LEN(INDEX(FILTER(A$1:A2602, A$1:A2602&lt;&gt;""""),COUNTA(FILTER(A$1:A2602, A$1:A2602&lt;&gt;""""))))-1), IF('To Order'!$A2603=COL"&amp;"UMNS($A2603:A2622), A2602&amp;RIGHT(INDIRECT(ADDRESS(ROW(A2603)-1, 'From Order'!$A2603)), 1), A2602))"),"DDMTMHZTDVRC")</f>
        <v>DDMTMHZTDVRC</v>
      </c>
      <c r="B2603" s="2" t="str">
        <f>IFERROR(__xludf.DUMMYFUNCTION("IF('From Order'!$A2603=COLUMNS($A2603:B2622), LEFT(INDEX(FILTER(B$1:B2602, B$1:B2602&lt;&gt;""""),COUNTA(FILTER(B$1:B2602, B$1:B2602&lt;&gt;""""))), LEN(INDEX(FILTER(B$1:B2602, B$1:B2602&lt;&gt;""""),COUNTA(FILTER(B$1:B2602, B$1:B2602&lt;&gt;""""))))-1), IF('To Order'!$A2603=COL"&amp;"UMNS($A2603:B2622), B2602&amp;RIGHT(INDIRECT(ADDRESS(ROW(B2603)-1, 'From Order'!$A2603)), 1), B2602))"),"QGW")</f>
        <v>QGW</v>
      </c>
      <c r="C2603" s="2" t="str">
        <f>IFERROR(__xludf.DUMMYFUNCTION("IF('From Order'!$A2603=COLUMNS($A2603:C2622), LEFT(INDEX(FILTER(C$1:C2602, C$1:C2602&lt;&gt;""""),COUNTA(FILTER(C$1:C2602, C$1:C2602&lt;&gt;""""))), LEN(INDEX(FILTER(C$1:C2602, C$1:C2602&lt;&gt;""""),COUNTA(FILTER(C$1:C2602, C$1:C2602&lt;&gt;""""))))-1), IF('To Order'!$A2603=COL"&amp;"UMNS($A2603:C2622), C2602&amp;RIGHT(INDIRECT(ADDRESS(ROW(C2603)-1, 'From Order'!$A2603)), 1), C2602))"),"CDLFB")</f>
        <v>CDLFB</v>
      </c>
      <c r="D2603" s="2" t="str">
        <f>IFERROR(__xludf.DUMMYFUNCTION("IF('From Order'!$A2603=COLUMNS($A2603:D2622), LEFT(INDEX(FILTER(D$1:D2602, D$1:D2602&lt;&gt;""""),COUNTA(FILTER(D$1:D2602, D$1:D2602&lt;&gt;""""))), LEN(INDEX(FILTER(D$1:D2602, D$1:D2602&lt;&gt;""""),COUNTA(FILTER(D$1:D2602, D$1:D2602&lt;&gt;""""))))-1), IF('To Order'!$A2603=COL"&amp;"UMNS($A2603:D2622), D2602&amp;RIGHT(INDIRECT(ADDRESS(ROW(D2603)-1, 'From Order'!$A2603)), 1), D2602))"),"")</f>
        <v/>
      </c>
      <c r="E2603" s="2" t="str">
        <f>IFERROR(__xludf.DUMMYFUNCTION("IF('From Order'!$A2603=COLUMNS($A2603:E2622), LEFT(INDEX(FILTER(E$1:E2602, E$1:E2602&lt;&gt;""""),COUNTA(FILTER(E$1:E2602, E$1:E2602&lt;&gt;""""))), LEN(INDEX(FILTER(E$1:E2602, E$1:E2602&lt;&gt;""""),COUNTA(FILTER(E$1:E2602, E$1:E2602&lt;&gt;""""))))-1), IF('To Order'!$A2603=COL"&amp;"UMNS($A2603:E2622), E2602&amp;RIGHT(INDIRECT(ADDRESS(ROW(E2603)-1, 'From Order'!$A2603)), 1), E2602))"),"S")</f>
        <v>S</v>
      </c>
      <c r="F2603" s="2" t="str">
        <f>IFERROR(__xludf.DUMMYFUNCTION("IF('From Order'!$A2603=COLUMNS($A2603:F2622), LEFT(INDEX(FILTER(F$1:F2602, F$1:F2602&lt;&gt;""""),COUNTA(FILTER(F$1:F2602, F$1:F2602&lt;&gt;""""))), LEN(INDEX(FILTER(F$1:F2602, F$1:F2602&lt;&gt;""""),COUNTA(FILTER(F$1:F2602, F$1:F2602&lt;&gt;""""))))-1), IF('To Order'!$A2603=COL"&amp;"UMNS($A2603:F2622), F2602&amp;RIGHT(INDIRECT(ADDRESS(ROW(F2603)-1, 'From Order'!$A2603)), 1), F2602))"),"RSPMGHB")</f>
        <v>RSPMGHB</v>
      </c>
      <c r="G2603" s="2" t="str">
        <f>IFERROR(__xludf.DUMMYFUNCTION("IF('From Order'!$A2603=COLUMNS($A2603:G2622), LEFT(INDEX(FILTER(G$1:G2602, G$1:G2602&lt;&gt;""""),COUNTA(FILTER(G$1:G2602, G$1:G2602&lt;&gt;""""))), LEN(INDEX(FILTER(G$1:G2602, G$1:G2602&lt;&gt;""""),COUNTA(FILTER(G$1:G2602, G$1:G2602&lt;&gt;""""))))-1), IF('To Order'!$A2603=COL"&amp;"UMNS($A2603:G2622), G2602&amp;RIGHT(INDIRECT(ADDRESS(ROW(G2603)-1, 'From Order'!$A2603)), 1), G2602))"),"ZST")</f>
        <v>ZST</v>
      </c>
      <c r="H2603" s="2" t="str">
        <f>IFERROR(__xludf.DUMMYFUNCTION("IF('From Order'!$A2603=COLUMNS($A2603:H2622), LEFT(INDEX(FILTER(H$1:H2602, H$1:H2602&lt;&gt;""""),COUNTA(FILTER(H$1:H2602, H$1:H2602&lt;&gt;""""))), LEN(INDEX(FILTER(H$1:H2602, H$1:H2602&lt;&gt;""""),COUNTA(FILTER(H$1:H2602, H$1:H2602&lt;&gt;""""))))-1), IF('To Order'!$A2603=COL"&amp;"UMNS($A2603:H2622), H2602&amp;RIGHT(INDIRECT(ADDRESS(ROW(H2603)-1, 'From Order'!$A2603)), 1), H2602))"),"TJ")</f>
        <v>TJ</v>
      </c>
      <c r="I2603" s="2" t="str">
        <f>IFERROR(__xludf.DUMMYFUNCTION("IF('From Order'!$A2603=COLUMNS($A2603:I2622), LEFT(INDEX(FILTER(I$1:I2602, I$1:I2602&lt;&gt;""""),COUNTA(FILTER(I$1:I2602, I$1:I2602&lt;&gt;""""))), LEN(INDEX(FILTER(I$1:I2602, I$1:I2602&lt;&gt;""""),COUNTA(FILTER(I$1:I2602, I$1:I2602&lt;&gt;""""))))-1), IF('To Order'!$A2603=COL"&amp;"UMNS($A2603:I2622), I2602&amp;RIGHT(INDIRECT(ADDRESS(ROW(I2603)-1, 'From Order'!$A2603)), 1), I2602))"),"QVVDDSPLRRJTTCJFZPRBBWL")</f>
        <v>QVVDDSPLRRJTTCJFZPRBBWL</v>
      </c>
    </row>
    <row r="2604">
      <c r="A2604" s="2" t="str">
        <f>IFERROR(__xludf.DUMMYFUNCTION("IF('From Order'!$A2604=COLUMNS($A2604:A2623), LEFT(INDEX(FILTER(A$1:A2603, A$1:A2603&lt;&gt;""""),COUNTA(FILTER(A$1:A2603, A$1:A2603&lt;&gt;""""))), LEN(INDEX(FILTER(A$1:A2603, A$1:A2603&lt;&gt;""""),COUNTA(FILTER(A$1:A2603, A$1:A2603&lt;&gt;""""))))-1), IF('To Order'!$A2604=COL"&amp;"UMNS($A2604:A2623), A2603&amp;RIGHT(INDIRECT(ADDRESS(ROW(A2604)-1, 'From Order'!$A2604)), 1), A2603))"),"DDMTMHZTDVRC")</f>
        <v>DDMTMHZTDVRC</v>
      </c>
      <c r="B2604" s="2" t="str">
        <f>IFERROR(__xludf.DUMMYFUNCTION("IF('From Order'!$A2604=COLUMNS($A2604:B2623), LEFT(INDEX(FILTER(B$1:B2603, B$1:B2603&lt;&gt;""""),COUNTA(FILTER(B$1:B2603, B$1:B2603&lt;&gt;""""))), LEN(INDEX(FILTER(B$1:B2603, B$1:B2603&lt;&gt;""""),COUNTA(FILTER(B$1:B2603, B$1:B2603&lt;&gt;""""))))-1), IF('To Order'!$A2604=COL"&amp;"UMNS($A2604:B2623), B2603&amp;RIGHT(INDIRECT(ADDRESS(ROW(B2604)-1, 'From Order'!$A2604)), 1), B2603))"),"QGW")</f>
        <v>QGW</v>
      </c>
      <c r="C2604" s="2" t="str">
        <f>IFERROR(__xludf.DUMMYFUNCTION("IF('From Order'!$A2604=COLUMNS($A2604:C2623), LEFT(INDEX(FILTER(C$1:C2603, C$1:C2603&lt;&gt;""""),COUNTA(FILTER(C$1:C2603, C$1:C2603&lt;&gt;""""))), LEN(INDEX(FILTER(C$1:C2603, C$1:C2603&lt;&gt;""""),COUNTA(FILTER(C$1:C2603, C$1:C2603&lt;&gt;""""))))-1), IF('To Order'!$A2604=COL"&amp;"UMNS($A2604:C2623), C2603&amp;RIGHT(INDIRECT(ADDRESS(ROW(C2604)-1, 'From Order'!$A2604)), 1), C2603))"),"CDLFB")</f>
        <v>CDLFB</v>
      </c>
      <c r="D2604" s="2" t="str">
        <f>IFERROR(__xludf.DUMMYFUNCTION("IF('From Order'!$A2604=COLUMNS($A2604:D2623), LEFT(INDEX(FILTER(D$1:D2603, D$1:D2603&lt;&gt;""""),COUNTA(FILTER(D$1:D2603, D$1:D2603&lt;&gt;""""))), LEN(INDEX(FILTER(D$1:D2603, D$1:D2603&lt;&gt;""""),COUNTA(FILTER(D$1:D2603, D$1:D2603&lt;&gt;""""))))-1), IF('To Order'!$A2604=COL"&amp;"UMNS($A2604:D2623), D2603&amp;RIGHT(INDIRECT(ADDRESS(ROW(D2604)-1, 'From Order'!$A2604)), 1), D2603))"),"S")</f>
        <v>S</v>
      </c>
      <c r="E2604" s="2" t="str">
        <f>IFERROR(__xludf.DUMMYFUNCTION("IF('From Order'!$A2604=COLUMNS($A2604:E2623), LEFT(INDEX(FILTER(E$1:E2603, E$1:E2603&lt;&gt;""""),COUNTA(FILTER(E$1:E2603, E$1:E2603&lt;&gt;""""))), LEN(INDEX(FILTER(E$1:E2603, E$1:E2603&lt;&gt;""""),COUNTA(FILTER(E$1:E2603, E$1:E2603&lt;&gt;""""))))-1), IF('To Order'!$A2604=COL"&amp;"UMNS($A2604:E2623), E2603&amp;RIGHT(INDIRECT(ADDRESS(ROW(E2604)-1, 'From Order'!$A2604)), 1), E2603))"),"")</f>
        <v/>
      </c>
      <c r="F2604" s="2" t="str">
        <f>IFERROR(__xludf.DUMMYFUNCTION("IF('From Order'!$A2604=COLUMNS($A2604:F2623), LEFT(INDEX(FILTER(F$1:F2603, F$1:F2603&lt;&gt;""""),COUNTA(FILTER(F$1:F2603, F$1:F2603&lt;&gt;""""))), LEN(INDEX(FILTER(F$1:F2603, F$1:F2603&lt;&gt;""""),COUNTA(FILTER(F$1:F2603, F$1:F2603&lt;&gt;""""))))-1), IF('To Order'!$A2604=COL"&amp;"UMNS($A2604:F2623), F2603&amp;RIGHT(INDIRECT(ADDRESS(ROW(F2604)-1, 'From Order'!$A2604)), 1), F2603))"),"RSPMGHB")</f>
        <v>RSPMGHB</v>
      </c>
      <c r="G2604" s="2" t="str">
        <f>IFERROR(__xludf.DUMMYFUNCTION("IF('From Order'!$A2604=COLUMNS($A2604:G2623), LEFT(INDEX(FILTER(G$1:G2603, G$1:G2603&lt;&gt;""""),COUNTA(FILTER(G$1:G2603, G$1:G2603&lt;&gt;""""))), LEN(INDEX(FILTER(G$1:G2603, G$1:G2603&lt;&gt;""""),COUNTA(FILTER(G$1:G2603, G$1:G2603&lt;&gt;""""))))-1), IF('To Order'!$A2604=COL"&amp;"UMNS($A2604:G2623), G2603&amp;RIGHT(INDIRECT(ADDRESS(ROW(G2604)-1, 'From Order'!$A2604)), 1), G2603))"),"ZST")</f>
        <v>ZST</v>
      </c>
      <c r="H2604" s="2" t="str">
        <f>IFERROR(__xludf.DUMMYFUNCTION("IF('From Order'!$A2604=COLUMNS($A2604:H2623), LEFT(INDEX(FILTER(H$1:H2603, H$1:H2603&lt;&gt;""""),COUNTA(FILTER(H$1:H2603, H$1:H2603&lt;&gt;""""))), LEN(INDEX(FILTER(H$1:H2603, H$1:H2603&lt;&gt;""""),COUNTA(FILTER(H$1:H2603, H$1:H2603&lt;&gt;""""))))-1), IF('To Order'!$A2604=COL"&amp;"UMNS($A2604:H2623), H2603&amp;RIGHT(INDIRECT(ADDRESS(ROW(H2604)-1, 'From Order'!$A2604)), 1), H2603))"),"TJ")</f>
        <v>TJ</v>
      </c>
      <c r="I2604" s="2" t="str">
        <f>IFERROR(__xludf.DUMMYFUNCTION("IF('From Order'!$A2604=COLUMNS($A2604:I2623), LEFT(INDEX(FILTER(I$1:I2603, I$1:I2603&lt;&gt;""""),COUNTA(FILTER(I$1:I2603, I$1:I2603&lt;&gt;""""))), LEN(INDEX(FILTER(I$1:I2603, I$1:I2603&lt;&gt;""""),COUNTA(FILTER(I$1:I2603, I$1:I2603&lt;&gt;""""))))-1), IF('To Order'!$A2604=COL"&amp;"UMNS($A2604:I2623), I2603&amp;RIGHT(INDIRECT(ADDRESS(ROW(I2604)-1, 'From Order'!$A2604)), 1), I2603))"),"QVVDDSPLRRJTTCJFZPRBBWL")</f>
        <v>QVVDDSPLRRJTTCJFZPRBBWL</v>
      </c>
    </row>
    <row r="2605">
      <c r="A2605" s="2" t="str">
        <f>IFERROR(__xludf.DUMMYFUNCTION("IF('From Order'!$A2605=COLUMNS($A2605:A2624), LEFT(INDEX(FILTER(A$1:A2604, A$1:A2604&lt;&gt;""""),COUNTA(FILTER(A$1:A2604, A$1:A2604&lt;&gt;""""))), LEN(INDEX(FILTER(A$1:A2604, A$1:A2604&lt;&gt;""""),COUNTA(FILTER(A$1:A2604, A$1:A2604&lt;&gt;""""))))-1), IF('To Order'!$A2605=COL"&amp;"UMNS($A2605:A2624), A2604&amp;RIGHT(INDIRECT(ADDRESS(ROW(A2605)-1, 'From Order'!$A2605)), 1), A2604))"),"DDMTMHZTDVRCW")</f>
        <v>DDMTMHZTDVRCW</v>
      </c>
      <c r="B2605" s="2" t="str">
        <f>IFERROR(__xludf.DUMMYFUNCTION("IF('From Order'!$A2605=COLUMNS($A2605:B2624), LEFT(INDEX(FILTER(B$1:B2604, B$1:B2604&lt;&gt;""""),COUNTA(FILTER(B$1:B2604, B$1:B2604&lt;&gt;""""))), LEN(INDEX(FILTER(B$1:B2604, B$1:B2604&lt;&gt;""""),COUNTA(FILTER(B$1:B2604, B$1:B2604&lt;&gt;""""))))-1), IF('To Order'!$A2605=COL"&amp;"UMNS($A2605:B2624), B2604&amp;RIGHT(INDIRECT(ADDRESS(ROW(B2605)-1, 'From Order'!$A2605)), 1), B2604))"),"QG")</f>
        <v>QG</v>
      </c>
      <c r="C2605" s="2" t="str">
        <f>IFERROR(__xludf.DUMMYFUNCTION("IF('From Order'!$A2605=COLUMNS($A2605:C2624), LEFT(INDEX(FILTER(C$1:C2604, C$1:C2604&lt;&gt;""""),COUNTA(FILTER(C$1:C2604, C$1:C2604&lt;&gt;""""))), LEN(INDEX(FILTER(C$1:C2604, C$1:C2604&lt;&gt;""""),COUNTA(FILTER(C$1:C2604, C$1:C2604&lt;&gt;""""))))-1), IF('To Order'!$A2605=COL"&amp;"UMNS($A2605:C2624), C2604&amp;RIGHT(INDIRECT(ADDRESS(ROW(C2605)-1, 'From Order'!$A2605)), 1), C2604))"),"CDLFB")</f>
        <v>CDLFB</v>
      </c>
      <c r="D2605" s="2" t="str">
        <f>IFERROR(__xludf.DUMMYFUNCTION("IF('From Order'!$A2605=COLUMNS($A2605:D2624), LEFT(INDEX(FILTER(D$1:D2604, D$1:D2604&lt;&gt;""""),COUNTA(FILTER(D$1:D2604, D$1:D2604&lt;&gt;""""))), LEN(INDEX(FILTER(D$1:D2604, D$1:D2604&lt;&gt;""""),COUNTA(FILTER(D$1:D2604, D$1:D2604&lt;&gt;""""))))-1), IF('To Order'!$A2605=COL"&amp;"UMNS($A2605:D2624), D2604&amp;RIGHT(INDIRECT(ADDRESS(ROW(D2605)-1, 'From Order'!$A2605)), 1), D2604))"),"S")</f>
        <v>S</v>
      </c>
      <c r="E2605" s="2" t="str">
        <f>IFERROR(__xludf.DUMMYFUNCTION("IF('From Order'!$A2605=COLUMNS($A2605:E2624), LEFT(INDEX(FILTER(E$1:E2604, E$1:E2604&lt;&gt;""""),COUNTA(FILTER(E$1:E2604, E$1:E2604&lt;&gt;""""))), LEN(INDEX(FILTER(E$1:E2604, E$1:E2604&lt;&gt;""""),COUNTA(FILTER(E$1:E2604, E$1:E2604&lt;&gt;""""))))-1), IF('To Order'!$A2605=COL"&amp;"UMNS($A2605:E2624), E2604&amp;RIGHT(INDIRECT(ADDRESS(ROW(E2605)-1, 'From Order'!$A2605)), 1), E2604))"),"")</f>
        <v/>
      </c>
      <c r="F2605" s="2" t="str">
        <f>IFERROR(__xludf.DUMMYFUNCTION("IF('From Order'!$A2605=COLUMNS($A2605:F2624), LEFT(INDEX(FILTER(F$1:F2604, F$1:F2604&lt;&gt;""""),COUNTA(FILTER(F$1:F2604, F$1:F2604&lt;&gt;""""))), LEN(INDEX(FILTER(F$1:F2604, F$1:F2604&lt;&gt;""""),COUNTA(FILTER(F$1:F2604, F$1:F2604&lt;&gt;""""))))-1), IF('To Order'!$A2605=COL"&amp;"UMNS($A2605:F2624), F2604&amp;RIGHT(INDIRECT(ADDRESS(ROW(F2605)-1, 'From Order'!$A2605)), 1), F2604))"),"RSPMGHB")</f>
        <v>RSPMGHB</v>
      </c>
      <c r="G2605" s="2" t="str">
        <f>IFERROR(__xludf.DUMMYFUNCTION("IF('From Order'!$A2605=COLUMNS($A2605:G2624), LEFT(INDEX(FILTER(G$1:G2604, G$1:G2604&lt;&gt;""""),COUNTA(FILTER(G$1:G2604, G$1:G2604&lt;&gt;""""))), LEN(INDEX(FILTER(G$1:G2604, G$1:G2604&lt;&gt;""""),COUNTA(FILTER(G$1:G2604, G$1:G2604&lt;&gt;""""))))-1), IF('To Order'!$A2605=COL"&amp;"UMNS($A2605:G2624), G2604&amp;RIGHT(INDIRECT(ADDRESS(ROW(G2605)-1, 'From Order'!$A2605)), 1), G2604))"),"ZST")</f>
        <v>ZST</v>
      </c>
      <c r="H2605" s="2" t="str">
        <f>IFERROR(__xludf.DUMMYFUNCTION("IF('From Order'!$A2605=COLUMNS($A2605:H2624), LEFT(INDEX(FILTER(H$1:H2604, H$1:H2604&lt;&gt;""""),COUNTA(FILTER(H$1:H2604, H$1:H2604&lt;&gt;""""))), LEN(INDEX(FILTER(H$1:H2604, H$1:H2604&lt;&gt;""""),COUNTA(FILTER(H$1:H2604, H$1:H2604&lt;&gt;""""))))-1), IF('To Order'!$A2605=COL"&amp;"UMNS($A2605:H2624), H2604&amp;RIGHT(INDIRECT(ADDRESS(ROW(H2605)-1, 'From Order'!$A2605)), 1), H2604))"),"TJ")</f>
        <v>TJ</v>
      </c>
      <c r="I2605" s="2" t="str">
        <f>IFERROR(__xludf.DUMMYFUNCTION("IF('From Order'!$A2605=COLUMNS($A2605:I2624), LEFT(INDEX(FILTER(I$1:I2604, I$1:I2604&lt;&gt;""""),COUNTA(FILTER(I$1:I2604, I$1:I2604&lt;&gt;""""))), LEN(INDEX(FILTER(I$1:I2604, I$1:I2604&lt;&gt;""""),COUNTA(FILTER(I$1:I2604, I$1:I2604&lt;&gt;""""))))-1), IF('To Order'!$A2605=COL"&amp;"UMNS($A2605:I2624), I2604&amp;RIGHT(INDIRECT(ADDRESS(ROW(I2605)-1, 'From Order'!$A2605)), 1), I2604))"),"QVVDDSPLRRJTTCJFZPRBBWL")</f>
        <v>QVVDDSPLRRJTTCJFZPRBBWL</v>
      </c>
    </row>
    <row r="2606">
      <c r="A2606" s="2" t="str">
        <f>IFERROR(__xludf.DUMMYFUNCTION("IF('From Order'!$A2606=COLUMNS($A2606:A2625), LEFT(INDEX(FILTER(A$1:A2605, A$1:A2605&lt;&gt;""""),COUNTA(FILTER(A$1:A2605, A$1:A2605&lt;&gt;""""))), LEN(INDEX(FILTER(A$1:A2605, A$1:A2605&lt;&gt;""""),COUNTA(FILTER(A$1:A2605, A$1:A2605&lt;&gt;""""))))-1), IF('To Order'!$A2606=COL"&amp;"UMNS($A2606:A2625), A2605&amp;RIGHT(INDIRECT(ADDRESS(ROW(A2606)-1, 'From Order'!$A2606)), 1), A2605))"),"DDMTMHZTDVRCWG")</f>
        <v>DDMTMHZTDVRCWG</v>
      </c>
      <c r="B2606" s="2" t="str">
        <f>IFERROR(__xludf.DUMMYFUNCTION("IF('From Order'!$A2606=COLUMNS($A2606:B2625), LEFT(INDEX(FILTER(B$1:B2605, B$1:B2605&lt;&gt;""""),COUNTA(FILTER(B$1:B2605, B$1:B2605&lt;&gt;""""))), LEN(INDEX(FILTER(B$1:B2605, B$1:B2605&lt;&gt;""""),COUNTA(FILTER(B$1:B2605, B$1:B2605&lt;&gt;""""))))-1), IF('To Order'!$A2606=COL"&amp;"UMNS($A2606:B2625), B2605&amp;RIGHT(INDIRECT(ADDRESS(ROW(B2606)-1, 'From Order'!$A2606)), 1), B2605))"),"Q")</f>
        <v>Q</v>
      </c>
      <c r="C2606" s="2" t="str">
        <f>IFERROR(__xludf.DUMMYFUNCTION("IF('From Order'!$A2606=COLUMNS($A2606:C2625), LEFT(INDEX(FILTER(C$1:C2605, C$1:C2605&lt;&gt;""""),COUNTA(FILTER(C$1:C2605, C$1:C2605&lt;&gt;""""))), LEN(INDEX(FILTER(C$1:C2605, C$1:C2605&lt;&gt;""""),COUNTA(FILTER(C$1:C2605, C$1:C2605&lt;&gt;""""))))-1), IF('To Order'!$A2606=COL"&amp;"UMNS($A2606:C2625), C2605&amp;RIGHT(INDIRECT(ADDRESS(ROW(C2606)-1, 'From Order'!$A2606)), 1), C2605))"),"CDLFB")</f>
        <v>CDLFB</v>
      </c>
      <c r="D2606" s="2" t="str">
        <f>IFERROR(__xludf.DUMMYFUNCTION("IF('From Order'!$A2606=COLUMNS($A2606:D2625), LEFT(INDEX(FILTER(D$1:D2605, D$1:D2605&lt;&gt;""""),COUNTA(FILTER(D$1:D2605, D$1:D2605&lt;&gt;""""))), LEN(INDEX(FILTER(D$1:D2605, D$1:D2605&lt;&gt;""""),COUNTA(FILTER(D$1:D2605, D$1:D2605&lt;&gt;""""))))-1), IF('To Order'!$A2606=COL"&amp;"UMNS($A2606:D2625), D2605&amp;RIGHT(INDIRECT(ADDRESS(ROW(D2606)-1, 'From Order'!$A2606)), 1), D2605))"),"S")</f>
        <v>S</v>
      </c>
      <c r="E2606" s="2" t="str">
        <f>IFERROR(__xludf.DUMMYFUNCTION("IF('From Order'!$A2606=COLUMNS($A2606:E2625), LEFT(INDEX(FILTER(E$1:E2605, E$1:E2605&lt;&gt;""""),COUNTA(FILTER(E$1:E2605, E$1:E2605&lt;&gt;""""))), LEN(INDEX(FILTER(E$1:E2605, E$1:E2605&lt;&gt;""""),COUNTA(FILTER(E$1:E2605, E$1:E2605&lt;&gt;""""))))-1), IF('To Order'!$A2606=COL"&amp;"UMNS($A2606:E2625), E2605&amp;RIGHT(INDIRECT(ADDRESS(ROW(E2606)-1, 'From Order'!$A2606)), 1), E2605))"),"")</f>
        <v/>
      </c>
      <c r="F2606" s="2" t="str">
        <f>IFERROR(__xludf.DUMMYFUNCTION("IF('From Order'!$A2606=COLUMNS($A2606:F2625), LEFT(INDEX(FILTER(F$1:F2605, F$1:F2605&lt;&gt;""""),COUNTA(FILTER(F$1:F2605, F$1:F2605&lt;&gt;""""))), LEN(INDEX(FILTER(F$1:F2605, F$1:F2605&lt;&gt;""""),COUNTA(FILTER(F$1:F2605, F$1:F2605&lt;&gt;""""))))-1), IF('To Order'!$A2606=COL"&amp;"UMNS($A2606:F2625), F2605&amp;RIGHT(INDIRECT(ADDRESS(ROW(F2606)-1, 'From Order'!$A2606)), 1), F2605))"),"RSPMGHB")</f>
        <v>RSPMGHB</v>
      </c>
      <c r="G2606" s="2" t="str">
        <f>IFERROR(__xludf.DUMMYFUNCTION("IF('From Order'!$A2606=COLUMNS($A2606:G2625), LEFT(INDEX(FILTER(G$1:G2605, G$1:G2605&lt;&gt;""""),COUNTA(FILTER(G$1:G2605, G$1:G2605&lt;&gt;""""))), LEN(INDEX(FILTER(G$1:G2605, G$1:G2605&lt;&gt;""""),COUNTA(FILTER(G$1:G2605, G$1:G2605&lt;&gt;""""))))-1), IF('To Order'!$A2606=COL"&amp;"UMNS($A2606:G2625), G2605&amp;RIGHT(INDIRECT(ADDRESS(ROW(G2606)-1, 'From Order'!$A2606)), 1), G2605))"),"ZST")</f>
        <v>ZST</v>
      </c>
      <c r="H2606" s="2" t="str">
        <f>IFERROR(__xludf.DUMMYFUNCTION("IF('From Order'!$A2606=COLUMNS($A2606:H2625), LEFT(INDEX(FILTER(H$1:H2605, H$1:H2605&lt;&gt;""""),COUNTA(FILTER(H$1:H2605, H$1:H2605&lt;&gt;""""))), LEN(INDEX(FILTER(H$1:H2605, H$1:H2605&lt;&gt;""""),COUNTA(FILTER(H$1:H2605, H$1:H2605&lt;&gt;""""))))-1), IF('To Order'!$A2606=COL"&amp;"UMNS($A2606:H2625), H2605&amp;RIGHT(INDIRECT(ADDRESS(ROW(H2606)-1, 'From Order'!$A2606)), 1), H2605))"),"TJ")</f>
        <v>TJ</v>
      </c>
      <c r="I2606" s="2" t="str">
        <f>IFERROR(__xludf.DUMMYFUNCTION("IF('From Order'!$A2606=COLUMNS($A2606:I2625), LEFT(INDEX(FILTER(I$1:I2605, I$1:I2605&lt;&gt;""""),COUNTA(FILTER(I$1:I2605, I$1:I2605&lt;&gt;""""))), LEN(INDEX(FILTER(I$1:I2605, I$1:I2605&lt;&gt;""""),COUNTA(FILTER(I$1:I2605, I$1:I2605&lt;&gt;""""))))-1), IF('To Order'!$A2606=COL"&amp;"UMNS($A2606:I2625), I2605&amp;RIGHT(INDIRECT(ADDRESS(ROW(I2606)-1, 'From Order'!$A2606)), 1), I2605))"),"QVVDDSPLRRJTTCJFZPRBBWL")</f>
        <v>QVVDDSPLRRJTTCJFZPRBBWL</v>
      </c>
    </row>
    <row r="2607">
      <c r="A2607" s="2" t="str">
        <f>IFERROR(__xludf.DUMMYFUNCTION("IF('From Order'!$A2607=COLUMNS($A2607:A2626), LEFT(INDEX(FILTER(A$1:A2606, A$1:A2606&lt;&gt;""""),COUNTA(FILTER(A$1:A2606, A$1:A2606&lt;&gt;""""))), LEN(INDEX(FILTER(A$1:A2606, A$1:A2606&lt;&gt;""""),COUNTA(FILTER(A$1:A2606, A$1:A2606&lt;&gt;""""))))-1), IF('To Order'!$A2607=COL"&amp;"UMNS($A2607:A2626), A2606&amp;RIGHT(INDIRECT(ADDRESS(ROW(A2607)-1, 'From Order'!$A2607)), 1), A2606))"),"DDMTMHZTDVRCWG")</f>
        <v>DDMTMHZTDVRCWG</v>
      </c>
      <c r="B2607" s="2" t="str">
        <f>IFERROR(__xludf.DUMMYFUNCTION("IF('From Order'!$A2607=COLUMNS($A2607:B2626), LEFT(INDEX(FILTER(B$1:B2606, B$1:B2606&lt;&gt;""""),COUNTA(FILTER(B$1:B2606, B$1:B2606&lt;&gt;""""))), LEN(INDEX(FILTER(B$1:B2606, B$1:B2606&lt;&gt;""""),COUNTA(FILTER(B$1:B2606, B$1:B2606&lt;&gt;""""))))-1), IF('To Order'!$A2607=COL"&amp;"UMNS($A2607:B2626), B2606&amp;RIGHT(INDIRECT(ADDRESS(ROW(B2607)-1, 'From Order'!$A2607)), 1), B2606))"),"Q")</f>
        <v>Q</v>
      </c>
      <c r="C2607" s="2" t="str">
        <f>IFERROR(__xludf.DUMMYFUNCTION("IF('From Order'!$A2607=COLUMNS($A2607:C2626), LEFT(INDEX(FILTER(C$1:C2606, C$1:C2606&lt;&gt;""""),COUNTA(FILTER(C$1:C2606, C$1:C2606&lt;&gt;""""))), LEN(INDEX(FILTER(C$1:C2606, C$1:C2606&lt;&gt;""""),COUNTA(FILTER(C$1:C2606, C$1:C2606&lt;&gt;""""))))-1), IF('To Order'!$A2607=COL"&amp;"UMNS($A2607:C2626), C2606&amp;RIGHT(INDIRECT(ADDRESS(ROW(C2607)-1, 'From Order'!$A2607)), 1), C2606))"),"CDLF")</f>
        <v>CDLF</v>
      </c>
      <c r="D2607" s="2" t="str">
        <f>IFERROR(__xludf.DUMMYFUNCTION("IF('From Order'!$A2607=COLUMNS($A2607:D2626), LEFT(INDEX(FILTER(D$1:D2606, D$1:D2606&lt;&gt;""""),COUNTA(FILTER(D$1:D2606, D$1:D2606&lt;&gt;""""))), LEN(INDEX(FILTER(D$1:D2606, D$1:D2606&lt;&gt;""""),COUNTA(FILTER(D$1:D2606, D$1:D2606&lt;&gt;""""))))-1), IF('To Order'!$A2607=COL"&amp;"UMNS($A2607:D2626), D2606&amp;RIGHT(INDIRECT(ADDRESS(ROW(D2607)-1, 'From Order'!$A2607)), 1), D2606))"),"S")</f>
        <v>S</v>
      </c>
      <c r="E2607" s="2" t="str">
        <f>IFERROR(__xludf.DUMMYFUNCTION("IF('From Order'!$A2607=COLUMNS($A2607:E2626), LEFT(INDEX(FILTER(E$1:E2606, E$1:E2606&lt;&gt;""""),COUNTA(FILTER(E$1:E2606, E$1:E2606&lt;&gt;""""))), LEN(INDEX(FILTER(E$1:E2606, E$1:E2606&lt;&gt;""""),COUNTA(FILTER(E$1:E2606, E$1:E2606&lt;&gt;""""))))-1), IF('To Order'!$A2607=COL"&amp;"UMNS($A2607:E2626), E2606&amp;RIGHT(INDIRECT(ADDRESS(ROW(E2607)-1, 'From Order'!$A2607)), 1), E2606))"),"")</f>
        <v/>
      </c>
      <c r="F2607" s="2" t="str">
        <f>IFERROR(__xludf.DUMMYFUNCTION("IF('From Order'!$A2607=COLUMNS($A2607:F2626), LEFT(INDEX(FILTER(F$1:F2606, F$1:F2606&lt;&gt;""""),COUNTA(FILTER(F$1:F2606, F$1:F2606&lt;&gt;""""))), LEN(INDEX(FILTER(F$1:F2606, F$1:F2606&lt;&gt;""""),COUNTA(FILTER(F$1:F2606, F$1:F2606&lt;&gt;""""))))-1), IF('To Order'!$A2607=COL"&amp;"UMNS($A2607:F2626), F2606&amp;RIGHT(INDIRECT(ADDRESS(ROW(F2607)-1, 'From Order'!$A2607)), 1), F2606))"),"RSPMGHB")</f>
        <v>RSPMGHB</v>
      </c>
      <c r="G2607" s="2" t="str">
        <f>IFERROR(__xludf.DUMMYFUNCTION("IF('From Order'!$A2607=COLUMNS($A2607:G2626), LEFT(INDEX(FILTER(G$1:G2606, G$1:G2606&lt;&gt;""""),COUNTA(FILTER(G$1:G2606, G$1:G2606&lt;&gt;""""))), LEN(INDEX(FILTER(G$1:G2606, G$1:G2606&lt;&gt;""""),COUNTA(FILTER(G$1:G2606, G$1:G2606&lt;&gt;""""))))-1), IF('To Order'!$A2607=COL"&amp;"UMNS($A2607:G2626), G2606&amp;RIGHT(INDIRECT(ADDRESS(ROW(G2607)-1, 'From Order'!$A2607)), 1), G2606))"),"ZST")</f>
        <v>ZST</v>
      </c>
      <c r="H2607" s="2" t="str">
        <f>IFERROR(__xludf.DUMMYFUNCTION("IF('From Order'!$A2607=COLUMNS($A2607:H2626), LEFT(INDEX(FILTER(H$1:H2606, H$1:H2606&lt;&gt;""""),COUNTA(FILTER(H$1:H2606, H$1:H2606&lt;&gt;""""))), LEN(INDEX(FILTER(H$1:H2606, H$1:H2606&lt;&gt;""""),COUNTA(FILTER(H$1:H2606, H$1:H2606&lt;&gt;""""))))-1), IF('To Order'!$A2607=COL"&amp;"UMNS($A2607:H2626), H2606&amp;RIGHT(INDIRECT(ADDRESS(ROW(H2607)-1, 'From Order'!$A2607)), 1), H2606))"),"TJ")</f>
        <v>TJ</v>
      </c>
      <c r="I2607" s="2" t="str">
        <f>IFERROR(__xludf.DUMMYFUNCTION("IF('From Order'!$A2607=COLUMNS($A2607:I2626), LEFT(INDEX(FILTER(I$1:I2606, I$1:I2606&lt;&gt;""""),COUNTA(FILTER(I$1:I2606, I$1:I2606&lt;&gt;""""))), LEN(INDEX(FILTER(I$1:I2606, I$1:I2606&lt;&gt;""""),COUNTA(FILTER(I$1:I2606, I$1:I2606&lt;&gt;""""))))-1), IF('To Order'!$A2607=COL"&amp;"UMNS($A2607:I2626), I2606&amp;RIGHT(INDIRECT(ADDRESS(ROW(I2607)-1, 'From Order'!$A2607)), 1), I2606))"),"QVVDDSPLRRJTTCJFZPRBBWLB")</f>
        <v>QVVDDSPLRRJTTCJFZPRBBWLB</v>
      </c>
    </row>
    <row r="2608">
      <c r="A2608" s="2" t="str">
        <f>IFERROR(__xludf.DUMMYFUNCTION("IF('From Order'!$A2608=COLUMNS($A2608:A2627), LEFT(INDEX(FILTER(A$1:A2607, A$1:A2607&lt;&gt;""""),COUNTA(FILTER(A$1:A2607, A$1:A2607&lt;&gt;""""))), LEN(INDEX(FILTER(A$1:A2607, A$1:A2607&lt;&gt;""""),COUNTA(FILTER(A$1:A2607, A$1:A2607&lt;&gt;""""))))-1), IF('To Order'!$A2608=COL"&amp;"UMNS($A2608:A2627), A2607&amp;RIGHT(INDIRECT(ADDRESS(ROW(A2608)-1, 'From Order'!$A2608)), 1), A2607))"),"DDMTMHZTDVRCWG")</f>
        <v>DDMTMHZTDVRCWG</v>
      </c>
      <c r="B2608" s="2" t="str">
        <f>IFERROR(__xludf.DUMMYFUNCTION("IF('From Order'!$A2608=COLUMNS($A2608:B2627), LEFT(INDEX(FILTER(B$1:B2607, B$1:B2607&lt;&gt;""""),COUNTA(FILTER(B$1:B2607, B$1:B2607&lt;&gt;""""))), LEN(INDEX(FILTER(B$1:B2607, B$1:B2607&lt;&gt;""""),COUNTA(FILTER(B$1:B2607, B$1:B2607&lt;&gt;""""))))-1), IF('To Order'!$A2608=COL"&amp;"UMNS($A2608:B2627), B2607&amp;RIGHT(INDIRECT(ADDRESS(ROW(B2608)-1, 'From Order'!$A2608)), 1), B2607))"),"Q")</f>
        <v>Q</v>
      </c>
      <c r="C2608" s="2" t="str">
        <f>IFERROR(__xludf.DUMMYFUNCTION("IF('From Order'!$A2608=COLUMNS($A2608:C2627), LEFT(INDEX(FILTER(C$1:C2607, C$1:C2607&lt;&gt;""""),COUNTA(FILTER(C$1:C2607, C$1:C2607&lt;&gt;""""))), LEN(INDEX(FILTER(C$1:C2607, C$1:C2607&lt;&gt;""""),COUNTA(FILTER(C$1:C2607, C$1:C2607&lt;&gt;""""))))-1), IF('To Order'!$A2608=COL"&amp;"UMNS($A2608:C2627), C2607&amp;RIGHT(INDIRECT(ADDRESS(ROW(C2608)-1, 'From Order'!$A2608)), 1), C2607))"),"CDL")</f>
        <v>CDL</v>
      </c>
      <c r="D2608" s="2" t="str">
        <f>IFERROR(__xludf.DUMMYFUNCTION("IF('From Order'!$A2608=COLUMNS($A2608:D2627), LEFT(INDEX(FILTER(D$1:D2607, D$1:D2607&lt;&gt;""""),COUNTA(FILTER(D$1:D2607, D$1:D2607&lt;&gt;""""))), LEN(INDEX(FILTER(D$1:D2607, D$1:D2607&lt;&gt;""""),COUNTA(FILTER(D$1:D2607, D$1:D2607&lt;&gt;""""))))-1), IF('To Order'!$A2608=COL"&amp;"UMNS($A2608:D2627), D2607&amp;RIGHT(INDIRECT(ADDRESS(ROW(D2608)-1, 'From Order'!$A2608)), 1), D2607))"),"S")</f>
        <v>S</v>
      </c>
      <c r="E2608" s="2" t="str">
        <f>IFERROR(__xludf.DUMMYFUNCTION("IF('From Order'!$A2608=COLUMNS($A2608:E2627), LEFT(INDEX(FILTER(E$1:E2607, E$1:E2607&lt;&gt;""""),COUNTA(FILTER(E$1:E2607, E$1:E2607&lt;&gt;""""))), LEN(INDEX(FILTER(E$1:E2607, E$1:E2607&lt;&gt;""""),COUNTA(FILTER(E$1:E2607, E$1:E2607&lt;&gt;""""))))-1), IF('To Order'!$A2608=COL"&amp;"UMNS($A2608:E2627), E2607&amp;RIGHT(INDIRECT(ADDRESS(ROW(E2608)-1, 'From Order'!$A2608)), 1), E2607))"),"")</f>
        <v/>
      </c>
      <c r="F2608" s="2" t="str">
        <f>IFERROR(__xludf.DUMMYFUNCTION("IF('From Order'!$A2608=COLUMNS($A2608:F2627), LEFT(INDEX(FILTER(F$1:F2607, F$1:F2607&lt;&gt;""""),COUNTA(FILTER(F$1:F2607, F$1:F2607&lt;&gt;""""))), LEN(INDEX(FILTER(F$1:F2607, F$1:F2607&lt;&gt;""""),COUNTA(FILTER(F$1:F2607, F$1:F2607&lt;&gt;""""))))-1), IF('To Order'!$A2608=COL"&amp;"UMNS($A2608:F2627), F2607&amp;RIGHT(INDIRECT(ADDRESS(ROW(F2608)-1, 'From Order'!$A2608)), 1), F2607))"),"RSPMGHB")</f>
        <v>RSPMGHB</v>
      </c>
      <c r="G2608" s="2" t="str">
        <f>IFERROR(__xludf.DUMMYFUNCTION("IF('From Order'!$A2608=COLUMNS($A2608:G2627), LEFT(INDEX(FILTER(G$1:G2607, G$1:G2607&lt;&gt;""""),COUNTA(FILTER(G$1:G2607, G$1:G2607&lt;&gt;""""))), LEN(INDEX(FILTER(G$1:G2607, G$1:G2607&lt;&gt;""""),COUNTA(FILTER(G$1:G2607, G$1:G2607&lt;&gt;""""))))-1), IF('To Order'!$A2608=COL"&amp;"UMNS($A2608:G2627), G2607&amp;RIGHT(INDIRECT(ADDRESS(ROW(G2608)-1, 'From Order'!$A2608)), 1), G2607))"),"ZST")</f>
        <v>ZST</v>
      </c>
      <c r="H2608" s="2" t="str">
        <f>IFERROR(__xludf.DUMMYFUNCTION("IF('From Order'!$A2608=COLUMNS($A2608:H2627), LEFT(INDEX(FILTER(H$1:H2607, H$1:H2607&lt;&gt;""""),COUNTA(FILTER(H$1:H2607, H$1:H2607&lt;&gt;""""))), LEN(INDEX(FILTER(H$1:H2607, H$1:H2607&lt;&gt;""""),COUNTA(FILTER(H$1:H2607, H$1:H2607&lt;&gt;""""))))-1), IF('To Order'!$A2608=COL"&amp;"UMNS($A2608:H2627), H2607&amp;RIGHT(INDIRECT(ADDRESS(ROW(H2608)-1, 'From Order'!$A2608)), 1), H2607))"),"TJ")</f>
        <v>TJ</v>
      </c>
      <c r="I2608" s="2" t="str">
        <f>IFERROR(__xludf.DUMMYFUNCTION("IF('From Order'!$A2608=COLUMNS($A2608:I2627), LEFT(INDEX(FILTER(I$1:I2607, I$1:I2607&lt;&gt;""""),COUNTA(FILTER(I$1:I2607, I$1:I2607&lt;&gt;""""))), LEN(INDEX(FILTER(I$1:I2607, I$1:I2607&lt;&gt;""""),COUNTA(FILTER(I$1:I2607, I$1:I2607&lt;&gt;""""))))-1), IF('To Order'!$A2608=COL"&amp;"UMNS($A2608:I2627), I2607&amp;RIGHT(INDIRECT(ADDRESS(ROW(I2608)-1, 'From Order'!$A2608)), 1), I2607))"),"QVVDDSPLRRJTTCJFZPRBBWLBF")</f>
        <v>QVVDDSPLRRJTTCJFZPRBBWLBF</v>
      </c>
    </row>
    <row r="2609">
      <c r="A2609" s="2" t="str">
        <f>IFERROR(__xludf.DUMMYFUNCTION("IF('From Order'!$A2609=COLUMNS($A2609:A2628), LEFT(INDEX(FILTER(A$1:A2608, A$1:A2608&lt;&gt;""""),COUNTA(FILTER(A$1:A2608, A$1:A2608&lt;&gt;""""))), LEN(INDEX(FILTER(A$1:A2608, A$1:A2608&lt;&gt;""""),COUNTA(FILTER(A$1:A2608, A$1:A2608&lt;&gt;""""))))-1), IF('To Order'!$A2609=COL"&amp;"UMNS($A2609:A2628), A2608&amp;RIGHT(INDIRECT(ADDRESS(ROW(A2609)-1, 'From Order'!$A2609)), 1), A2608))"),"DDMTMHZTDVRCWG")</f>
        <v>DDMTMHZTDVRCWG</v>
      </c>
      <c r="B2609" s="2" t="str">
        <f>IFERROR(__xludf.DUMMYFUNCTION("IF('From Order'!$A2609=COLUMNS($A2609:B2628), LEFT(INDEX(FILTER(B$1:B2608, B$1:B2608&lt;&gt;""""),COUNTA(FILTER(B$1:B2608, B$1:B2608&lt;&gt;""""))), LEN(INDEX(FILTER(B$1:B2608, B$1:B2608&lt;&gt;""""),COUNTA(FILTER(B$1:B2608, B$1:B2608&lt;&gt;""""))))-1), IF('To Order'!$A2609=COL"&amp;"UMNS($A2609:B2628), B2608&amp;RIGHT(INDIRECT(ADDRESS(ROW(B2609)-1, 'From Order'!$A2609)), 1), B2608))"),"Q")</f>
        <v>Q</v>
      </c>
      <c r="C2609" s="2" t="str">
        <f>IFERROR(__xludf.DUMMYFUNCTION("IF('From Order'!$A2609=COLUMNS($A2609:C2628), LEFT(INDEX(FILTER(C$1:C2608, C$1:C2608&lt;&gt;""""),COUNTA(FILTER(C$1:C2608, C$1:C2608&lt;&gt;""""))), LEN(INDEX(FILTER(C$1:C2608, C$1:C2608&lt;&gt;""""),COUNTA(FILTER(C$1:C2608, C$1:C2608&lt;&gt;""""))))-1), IF('To Order'!$A2609=COL"&amp;"UMNS($A2609:C2628), C2608&amp;RIGHT(INDIRECT(ADDRESS(ROW(C2609)-1, 'From Order'!$A2609)), 1), C2608))"),"CD")</f>
        <v>CD</v>
      </c>
      <c r="D2609" s="2" t="str">
        <f>IFERROR(__xludf.DUMMYFUNCTION("IF('From Order'!$A2609=COLUMNS($A2609:D2628), LEFT(INDEX(FILTER(D$1:D2608, D$1:D2608&lt;&gt;""""),COUNTA(FILTER(D$1:D2608, D$1:D2608&lt;&gt;""""))), LEN(INDEX(FILTER(D$1:D2608, D$1:D2608&lt;&gt;""""),COUNTA(FILTER(D$1:D2608, D$1:D2608&lt;&gt;""""))))-1), IF('To Order'!$A2609=COL"&amp;"UMNS($A2609:D2628), D2608&amp;RIGHT(INDIRECT(ADDRESS(ROW(D2609)-1, 'From Order'!$A2609)), 1), D2608))"),"S")</f>
        <v>S</v>
      </c>
      <c r="E2609" s="2" t="str">
        <f>IFERROR(__xludf.DUMMYFUNCTION("IF('From Order'!$A2609=COLUMNS($A2609:E2628), LEFT(INDEX(FILTER(E$1:E2608, E$1:E2608&lt;&gt;""""),COUNTA(FILTER(E$1:E2608, E$1:E2608&lt;&gt;""""))), LEN(INDEX(FILTER(E$1:E2608, E$1:E2608&lt;&gt;""""),COUNTA(FILTER(E$1:E2608, E$1:E2608&lt;&gt;""""))))-1), IF('To Order'!$A2609=COL"&amp;"UMNS($A2609:E2628), E2608&amp;RIGHT(INDIRECT(ADDRESS(ROW(E2609)-1, 'From Order'!$A2609)), 1), E2608))"),"")</f>
        <v/>
      </c>
      <c r="F2609" s="2" t="str">
        <f>IFERROR(__xludf.DUMMYFUNCTION("IF('From Order'!$A2609=COLUMNS($A2609:F2628), LEFT(INDEX(FILTER(F$1:F2608, F$1:F2608&lt;&gt;""""),COUNTA(FILTER(F$1:F2608, F$1:F2608&lt;&gt;""""))), LEN(INDEX(FILTER(F$1:F2608, F$1:F2608&lt;&gt;""""),COUNTA(FILTER(F$1:F2608, F$1:F2608&lt;&gt;""""))))-1), IF('To Order'!$A2609=COL"&amp;"UMNS($A2609:F2628), F2608&amp;RIGHT(INDIRECT(ADDRESS(ROW(F2609)-1, 'From Order'!$A2609)), 1), F2608))"),"RSPMGHB")</f>
        <v>RSPMGHB</v>
      </c>
      <c r="G2609" s="2" t="str">
        <f>IFERROR(__xludf.DUMMYFUNCTION("IF('From Order'!$A2609=COLUMNS($A2609:G2628), LEFT(INDEX(FILTER(G$1:G2608, G$1:G2608&lt;&gt;""""),COUNTA(FILTER(G$1:G2608, G$1:G2608&lt;&gt;""""))), LEN(INDEX(FILTER(G$1:G2608, G$1:G2608&lt;&gt;""""),COUNTA(FILTER(G$1:G2608, G$1:G2608&lt;&gt;""""))))-1), IF('To Order'!$A2609=COL"&amp;"UMNS($A2609:G2628), G2608&amp;RIGHT(INDIRECT(ADDRESS(ROW(G2609)-1, 'From Order'!$A2609)), 1), G2608))"),"ZST")</f>
        <v>ZST</v>
      </c>
      <c r="H2609" s="2" t="str">
        <f>IFERROR(__xludf.DUMMYFUNCTION("IF('From Order'!$A2609=COLUMNS($A2609:H2628), LEFT(INDEX(FILTER(H$1:H2608, H$1:H2608&lt;&gt;""""),COUNTA(FILTER(H$1:H2608, H$1:H2608&lt;&gt;""""))), LEN(INDEX(FILTER(H$1:H2608, H$1:H2608&lt;&gt;""""),COUNTA(FILTER(H$1:H2608, H$1:H2608&lt;&gt;""""))))-1), IF('To Order'!$A2609=COL"&amp;"UMNS($A2609:H2628), H2608&amp;RIGHT(INDIRECT(ADDRESS(ROW(H2609)-1, 'From Order'!$A2609)), 1), H2608))"),"TJ")</f>
        <v>TJ</v>
      </c>
      <c r="I2609" s="2" t="str">
        <f>IFERROR(__xludf.DUMMYFUNCTION("IF('From Order'!$A2609=COLUMNS($A2609:I2628), LEFT(INDEX(FILTER(I$1:I2608, I$1:I2608&lt;&gt;""""),COUNTA(FILTER(I$1:I2608, I$1:I2608&lt;&gt;""""))), LEN(INDEX(FILTER(I$1:I2608, I$1:I2608&lt;&gt;""""),COUNTA(FILTER(I$1:I2608, I$1:I2608&lt;&gt;""""))))-1), IF('To Order'!$A2609=COL"&amp;"UMNS($A2609:I2628), I2608&amp;RIGHT(INDIRECT(ADDRESS(ROW(I2609)-1, 'From Order'!$A2609)), 1), I2608))"),"QVVDDSPLRRJTTCJFZPRBBWLBFL")</f>
        <v>QVVDDSPLRRJTTCJFZPRBBWLBFL</v>
      </c>
    </row>
    <row r="2610">
      <c r="A2610" s="2" t="str">
        <f>IFERROR(__xludf.DUMMYFUNCTION("IF('From Order'!$A2610=COLUMNS($A2610:A2629), LEFT(INDEX(FILTER(A$1:A2609, A$1:A2609&lt;&gt;""""),COUNTA(FILTER(A$1:A2609, A$1:A2609&lt;&gt;""""))), LEN(INDEX(FILTER(A$1:A2609, A$1:A2609&lt;&gt;""""),COUNTA(FILTER(A$1:A2609, A$1:A2609&lt;&gt;""""))))-1), IF('To Order'!$A2610=COL"&amp;"UMNS($A2610:A2629), A2609&amp;RIGHT(INDIRECT(ADDRESS(ROW(A2610)-1, 'From Order'!$A2610)), 1), A2609))"),"DDMTMHZTDVRCWG")</f>
        <v>DDMTMHZTDVRCWG</v>
      </c>
      <c r="B2610" s="2" t="str">
        <f>IFERROR(__xludf.DUMMYFUNCTION("IF('From Order'!$A2610=COLUMNS($A2610:B2629), LEFT(INDEX(FILTER(B$1:B2609, B$1:B2609&lt;&gt;""""),COUNTA(FILTER(B$1:B2609, B$1:B2609&lt;&gt;""""))), LEN(INDEX(FILTER(B$1:B2609, B$1:B2609&lt;&gt;""""),COUNTA(FILTER(B$1:B2609, B$1:B2609&lt;&gt;""""))))-1), IF('To Order'!$A2610=COL"&amp;"UMNS($A2610:B2629), B2609&amp;RIGHT(INDIRECT(ADDRESS(ROW(B2610)-1, 'From Order'!$A2610)), 1), B2609))"),"Q")</f>
        <v>Q</v>
      </c>
      <c r="C2610" s="2" t="str">
        <f>IFERROR(__xludf.DUMMYFUNCTION("IF('From Order'!$A2610=COLUMNS($A2610:C2629), LEFT(INDEX(FILTER(C$1:C2609, C$1:C2609&lt;&gt;""""),COUNTA(FILTER(C$1:C2609, C$1:C2609&lt;&gt;""""))), LEN(INDEX(FILTER(C$1:C2609, C$1:C2609&lt;&gt;""""),COUNTA(FILTER(C$1:C2609, C$1:C2609&lt;&gt;""""))))-1), IF('To Order'!$A2610=COL"&amp;"UMNS($A2610:C2629), C2609&amp;RIGHT(INDIRECT(ADDRESS(ROW(C2610)-1, 'From Order'!$A2610)), 1), C2609))"),"C")</f>
        <v>C</v>
      </c>
      <c r="D2610" s="2" t="str">
        <f>IFERROR(__xludf.DUMMYFUNCTION("IF('From Order'!$A2610=COLUMNS($A2610:D2629), LEFT(INDEX(FILTER(D$1:D2609, D$1:D2609&lt;&gt;""""),COUNTA(FILTER(D$1:D2609, D$1:D2609&lt;&gt;""""))), LEN(INDEX(FILTER(D$1:D2609, D$1:D2609&lt;&gt;""""),COUNTA(FILTER(D$1:D2609, D$1:D2609&lt;&gt;""""))))-1), IF('To Order'!$A2610=COL"&amp;"UMNS($A2610:D2629), D2609&amp;RIGHT(INDIRECT(ADDRESS(ROW(D2610)-1, 'From Order'!$A2610)), 1), D2609))"),"S")</f>
        <v>S</v>
      </c>
      <c r="E2610" s="2" t="str">
        <f>IFERROR(__xludf.DUMMYFUNCTION("IF('From Order'!$A2610=COLUMNS($A2610:E2629), LEFT(INDEX(FILTER(E$1:E2609, E$1:E2609&lt;&gt;""""),COUNTA(FILTER(E$1:E2609, E$1:E2609&lt;&gt;""""))), LEN(INDEX(FILTER(E$1:E2609, E$1:E2609&lt;&gt;""""),COUNTA(FILTER(E$1:E2609, E$1:E2609&lt;&gt;""""))))-1), IF('To Order'!$A2610=COL"&amp;"UMNS($A2610:E2629), E2609&amp;RIGHT(INDIRECT(ADDRESS(ROW(E2610)-1, 'From Order'!$A2610)), 1), E2609))"),"")</f>
        <v/>
      </c>
      <c r="F2610" s="2" t="str">
        <f>IFERROR(__xludf.DUMMYFUNCTION("IF('From Order'!$A2610=COLUMNS($A2610:F2629), LEFT(INDEX(FILTER(F$1:F2609, F$1:F2609&lt;&gt;""""),COUNTA(FILTER(F$1:F2609, F$1:F2609&lt;&gt;""""))), LEN(INDEX(FILTER(F$1:F2609, F$1:F2609&lt;&gt;""""),COUNTA(FILTER(F$1:F2609, F$1:F2609&lt;&gt;""""))))-1), IF('To Order'!$A2610=COL"&amp;"UMNS($A2610:F2629), F2609&amp;RIGHT(INDIRECT(ADDRESS(ROW(F2610)-1, 'From Order'!$A2610)), 1), F2609))"),"RSPMGHB")</f>
        <v>RSPMGHB</v>
      </c>
      <c r="G2610" s="2" t="str">
        <f>IFERROR(__xludf.DUMMYFUNCTION("IF('From Order'!$A2610=COLUMNS($A2610:G2629), LEFT(INDEX(FILTER(G$1:G2609, G$1:G2609&lt;&gt;""""),COUNTA(FILTER(G$1:G2609, G$1:G2609&lt;&gt;""""))), LEN(INDEX(FILTER(G$1:G2609, G$1:G2609&lt;&gt;""""),COUNTA(FILTER(G$1:G2609, G$1:G2609&lt;&gt;""""))))-1), IF('To Order'!$A2610=COL"&amp;"UMNS($A2610:G2629), G2609&amp;RIGHT(INDIRECT(ADDRESS(ROW(G2610)-1, 'From Order'!$A2610)), 1), G2609))"),"ZST")</f>
        <v>ZST</v>
      </c>
      <c r="H2610" s="2" t="str">
        <f>IFERROR(__xludf.DUMMYFUNCTION("IF('From Order'!$A2610=COLUMNS($A2610:H2629), LEFT(INDEX(FILTER(H$1:H2609, H$1:H2609&lt;&gt;""""),COUNTA(FILTER(H$1:H2609, H$1:H2609&lt;&gt;""""))), LEN(INDEX(FILTER(H$1:H2609, H$1:H2609&lt;&gt;""""),COUNTA(FILTER(H$1:H2609, H$1:H2609&lt;&gt;""""))))-1), IF('To Order'!$A2610=COL"&amp;"UMNS($A2610:H2629), H2609&amp;RIGHT(INDIRECT(ADDRESS(ROW(H2610)-1, 'From Order'!$A2610)), 1), H2609))"),"TJ")</f>
        <v>TJ</v>
      </c>
      <c r="I2610" s="2" t="str">
        <f>IFERROR(__xludf.DUMMYFUNCTION("IF('From Order'!$A2610=COLUMNS($A2610:I2629), LEFT(INDEX(FILTER(I$1:I2609, I$1:I2609&lt;&gt;""""),COUNTA(FILTER(I$1:I2609, I$1:I2609&lt;&gt;""""))), LEN(INDEX(FILTER(I$1:I2609, I$1:I2609&lt;&gt;""""),COUNTA(FILTER(I$1:I2609, I$1:I2609&lt;&gt;""""))))-1), IF('To Order'!$A2610=COL"&amp;"UMNS($A2610:I2629), I2609&amp;RIGHT(INDIRECT(ADDRESS(ROW(I2610)-1, 'From Order'!$A2610)), 1), I2609))"),"QVVDDSPLRRJTTCJFZPRBBWLBFLD")</f>
        <v>QVVDDSPLRRJTTCJFZPRBBWLBFLD</v>
      </c>
    </row>
    <row r="2611">
      <c r="A2611" s="2" t="str">
        <f>IFERROR(__xludf.DUMMYFUNCTION("IF('From Order'!$A2611=COLUMNS($A2611:A2630), LEFT(INDEX(FILTER(A$1:A2610, A$1:A2610&lt;&gt;""""),COUNTA(FILTER(A$1:A2610, A$1:A2610&lt;&gt;""""))), LEN(INDEX(FILTER(A$1:A2610, A$1:A2610&lt;&gt;""""),COUNTA(FILTER(A$1:A2610, A$1:A2610&lt;&gt;""""))))-1), IF('To Order'!$A2611=COL"&amp;"UMNS($A2611:A2630), A2610&amp;RIGHT(INDIRECT(ADDRESS(ROW(A2611)-1, 'From Order'!$A2611)), 1), A2610))"),"DDMTMHZTDVRCWG")</f>
        <v>DDMTMHZTDVRCWG</v>
      </c>
      <c r="B2611" s="2" t="str">
        <f>IFERROR(__xludf.DUMMYFUNCTION("IF('From Order'!$A2611=COLUMNS($A2611:B2630), LEFT(INDEX(FILTER(B$1:B2610, B$1:B2610&lt;&gt;""""),COUNTA(FILTER(B$1:B2610, B$1:B2610&lt;&gt;""""))), LEN(INDEX(FILTER(B$1:B2610, B$1:B2610&lt;&gt;""""),COUNTA(FILTER(B$1:B2610, B$1:B2610&lt;&gt;""""))))-1), IF('To Order'!$A2611=COL"&amp;"UMNS($A2611:B2630), B2610&amp;RIGHT(INDIRECT(ADDRESS(ROW(B2611)-1, 'From Order'!$A2611)), 1), B2610))"),"Q")</f>
        <v>Q</v>
      </c>
      <c r="C2611" s="2" t="str">
        <f>IFERROR(__xludf.DUMMYFUNCTION("IF('From Order'!$A2611=COLUMNS($A2611:C2630), LEFT(INDEX(FILTER(C$1:C2610, C$1:C2610&lt;&gt;""""),COUNTA(FILTER(C$1:C2610, C$1:C2610&lt;&gt;""""))), LEN(INDEX(FILTER(C$1:C2610, C$1:C2610&lt;&gt;""""),COUNTA(FILTER(C$1:C2610, C$1:C2610&lt;&gt;""""))))-1), IF('To Order'!$A2611=COL"&amp;"UMNS($A2611:C2630), C2610&amp;RIGHT(INDIRECT(ADDRESS(ROW(C2611)-1, 'From Order'!$A2611)), 1), C2610))"),"CT")</f>
        <v>CT</v>
      </c>
      <c r="D2611" s="2" t="str">
        <f>IFERROR(__xludf.DUMMYFUNCTION("IF('From Order'!$A2611=COLUMNS($A2611:D2630), LEFT(INDEX(FILTER(D$1:D2610, D$1:D2610&lt;&gt;""""),COUNTA(FILTER(D$1:D2610, D$1:D2610&lt;&gt;""""))), LEN(INDEX(FILTER(D$1:D2610, D$1:D2610&lt;&gt;""""),COUNTA(FILTER(D$1:D2610, D$1:D2610&lt;&gt;""""))))-1), IF('To Order'!$A2611=COL"&amp;"UMNS($A2611:D2630), D2610&amp;RIGHT(INDIRECT(ADDRESS(ROW(D2611)-1, 'From Order'!$A2611)), 1), D2610))"),"S")</f>
        <v>S</v>
      </c>
      <c r="E2611" s="2" t="str">
        <f>IFERROR(__xludf.DUMMYFUNCTION("IF('From Order'!$A2611=COLUMNS($A2611:E2630), LEFT(INDEX(FILTER(E$1:E2610, E$1:E2610&lt;&gt;""""),COUNTA(FILTER(E$1:E2610, E$1:E2610&lt;&gt;""""))), LEN(INDEX(FILTER(E$1:E2610, E$1:E2610&lt;&gt;""""),COUNTA(FILTER(E$1:E2610, E$1:E2610&lt;&gt;""""))))-1), IF('To Order'!$A2611=COL"&amp;"UMNS($A2611:E2630), E2610&amp;RIGHT(INDIRECT(ADDRESS(ROW(E2611)-1, 'From Order'!$A2611)), 1), E2610))"),"")</f>
        <v/>
      </c>
      <c r="F2611" s="2" t="str">
        <f>IFERROR(__xludf.DUMMYFUNCTION("IF('From Order'!$A2611=COLUMNS($A2611:F2630), LEFT(INDEX(FILTER(F$1:F2610, F$1:F2610&lt;&gt;""""),COUNTA(FILTER(F$1:F2610, F$1:F2610&lt;&gt;""""))), LEN(INDEX(FILTER(F$1:F2610, F$1:F2610&lt;&gt;""""),COUNTA(FILTER(F$1:F2610, F$1:F2610&lt;&gt;""""))))-1), IF('To Order'!$A2611=COL"&amp;"UMNS($A2611:F2630), F2610&amp;RIGHT(INDIRECT(ADDRESS(ROW(F2611)-1, 'From Order'!$A2611)), 1), F2610))"),"RSPMGHB")</f>
        <v>RSPMGHB</v>
      </c>
      <c r="G2611" s="2" t="str">
        <f>IFERROR(__xludf.DUMMYFUNCTION("IF('From Order'!$A2611=COLUMNS($A2611:G2630), LEFT(INDEX(FILTER(G$1:G2610, G$1:G2610&lt;&gt;""""),COUNTA(FILTER(G$1:G2610, G$1:G2610&lt;&gt;""""))), LEN(INDEX(FILTER(G$1:G2610, G$1:G2610&lt;&gt;""""),COUNTA(FILTER(G$1:G2610, G$1:G2610&lt;&gt;""""))))-1), IF('To Order'!$A2611=COL"&amp;"UMNS($A2611:G2630), G2610&amp;RIGHT(INDIRECT(ADDRESS(ROW(G2611)-1, 'From Order'!$A2611)), 1), G2610))"),"ZS")</f>
        <v>ZS</v>
      </c>
      <c r="H2611" s="2" t="str">
        <f>IFERROR(__xludf.DUMMYFUNCTION("IF('From Order'!$A2611=COLUMNS($A2611:H2630), LEFT(INDEX(FILTER(H$1:H2610, H$1:H2610&lt;&gt;""""),COUNTA(FILTER(H$1:H2610, H$1:H2610&lt;&gt;""""))), LEN(INDEX(FILTER(H$1:H2610, H$1:H2610&lt;&gt;""""),COUNTA(FILTER(H$1:H2610, H$1:H2610&lt;&gt;""""))))-1), IF('To Order'!$A2611=COL"&amp;"UMNS($A2611:H2630), H2610&amp;RIGHT(INDIRECT(ADDRESS(ROW(H2611)-1, 'From Order'!$A2611)), 1), H2610))"),"TJ")</f>
        <v>TJ</v>
      </c>
      <c r="I2611" s="2" t="str">
        <f>IFERROR(__xludf.DUMMYFUNCTION("IF('From Order'!$A2611=COLUMNS($A2611:I2630), LEFT(INDEX(FILTER(I$1:I2610, I$1:I2610&lt;&gt;""""),COUNTA(FILTER(I$1:I2610, I$1:I2610&lt;&gt;""""))), LEN(INDEX(FILTER(I$1:I2610, I$1:I2610&lt;&gt;""""),COUNTA(FILTER(I$1:I2610, I$1:I2610&lt;&gt;""""))))-1), IF('To Order'!$A2611=COL"&amp;"UMNS($A2611:I2630), I2610&amp;RIGHT(INDIRECT(ADDRESS(ROW(I2611)-1, 'From Order'!$A2611)), 1), I2610))"),"QVVDDSPLRRJTTCJFZPRBBWLBFLD")</f>
        <v>QVVDDSPLRRJTTCJFZPRBBWLBFLD</v>
      </c>
    </row>
    <row r="2612">
      <c r="A2612" s="2" t="str">
        <f>IFERROR(__xludf.DUMMYFUNCTION("IF('From Order'!$A2612=COLUMNS($A2612:A2631), LEFT(INDEX(FILTER(A$1:A2611, A$1:A2611&lt;&gt;""""),COUNTA(FILTER(A$1:A2611, A$1:A2611&lt;&gt;""""))), LEN(INDEX(FILTER(A$1:A2611, A$1:A2611&lt;&gt;""""),COUNTA(FILTER(A$1:A2611, A$1:A2611&lt;&gt;""""))))-1), IF('To Order'!$A2612=COL"&amp;"UMNS($A2612:A2631), A2611&amp;RIGHT(INDIRECT(ADDRESS(ROW(A2612)-1, 'From Order'!$A2612)), 1), A2611))"),"DDMTMHZTDVRCWG")</f>
        <v>DDMTMHZTDVRCWG</v>
      </c>
      <c r="B2612" s="2" t="str">
        <f>IFERROR(__xludf.DUMMYFUNCTION("IF('From Order'!$A2612=COLUMNS($A2612:B2631), LEFT(INDEX(FILTER(B$1:B2611, B$1:B2611&lt;&gt;""""),COUNTA(FILTER(B$1:B2611, B$1:B2611&lt;&gt;""""))), LEN(INDEX(FILTER(B$1:B2611, B$1:B2611&lt;&gt;""""),COUNTA(FILTER(B$1:B2611, B$1:B2611&lt;&gt;""""))))-1), IF('To Order'!$A2612=COL"&amp;"UMNS($A2612:B2631), B2611&amp;RIGHT(INDIRECT(ADDRESS(ROW(B2612)-1, 'From Order'!$A2612)), 1), B2611))"),"Q")</f>
        <v>Q</v>
      </c>
      <c r="C2612" s="2" t="str">
        <f>IFERROR(__xludf.DUMMYFUNCTION("IF('From Order'!$A2612=COLUMNS($A2612:C2631), LEFT(INDEX(FILTER(C$1:C2611, C$1:C2611&lt;&gt;""""),COUNTA(FILTER(C$1:C2611, C$1:C2611&lt;&gt;""""))), LEN(INDEX(FILTER(C$1:C2611, C$1:C2611&lt;&gt;""""),COUNTA(FILTER(C$1:C2611, C$1:C2611&lt;&gt;""""))))-1), IF('To Order'!$A2612=COL"&amp;"UMNS($A2612:C2631), C2611&amp;RIGHT(INDIRECT(ADDRESS(ROW(C2612)-1, 'From Order'!$A2612)), 1), C2611))"),"CT")</f>
        <v>CT</v>
      </c>
      <c r="D2612" s="2" t="str">
        <f>IFERROR(__xludf.DUMMYFUNCTION("IF('From Order'!$A2612=COLUMNS($A2612:D2631), LEFT(INDEX(FILTER(D$1:D2611, D$1:D2611&lt;&gt;""""),COUNTA(FILTER(D$1:D2611, D$1:D2611&lt;&gt;""""))), LEN(INDEX(FILTER(D$1:D2611, D$1:D2611&lt;&gt;""""),COUNTA(FILTER(D$1:D2611, D$1:D2611&lt;&gt;""""))))-1), IF('To Order'!$A2612=COL"&amp;"UMNS($A2612:D2631), D2611&amp;RIGHT(INDIRECT(ADDRESS(ROW(D2612)-1, 'From Order'!$A2612)), 1), D2611))"),"SS")</f>
        <v>SS</v>
      </c>
      <c r="E2612" s="2" t="str">
        <f>IFERROR(__xludf.DUMMYFUNCTION("IF('From Order'!$A2612=COLUMNS($A2612:E2631), LEFT(INDEX(FILTER(E$1:E2611, E$1:E2611&lt;&gt;""""),COUNTA(FILTER(E$1:E2611, E$1:E2611&lt;&gt;""""))), LEN(INDEX(FILTER(E$1:E2611, E$1:E2611&lt;&gt;""""),COUNTA(FILTER(E$1:E2611, E$1:E2611&lt;&gt;""""))))-1), IF('To Order'!$A2612=COL"&amp;"UMNS($A2612:E2631), E2611&amp;RIGHT(INDIRECT(ADDRESS(ROW(E2612)-1, 'From Order'!$A2612)), 1), E2611))"),"")</f>
        <v/>
      </c>
      <c r="F2612" s="2" t="str">
        <f>IFERROR(__xludf.DUMMYFUNCTION("IF('From Order'!$A2612=COLUMNS($A2612:F2631), LEFT(INDEX(FILTER(F$1:F2611, F$1:F2611&lt;&gt;""""),COUNTA(FILTER(F$1:F2611, F$1:F2611&lt;&gt;""""))), LEN(INDEX(FILTER(F$1:F2611, F$1:F2611&lt;&gt;""""),COUNTA(FILTER(F$1:F2611, F$1:F2611&lt;&gt;""""))))-1), IF('To Order'!$A2612=COL"&amp;"UMNS($A2612:F2631), F2611&amp;RIGHT(INDIRECT(ADDRESS(ROW(F2612)-1, 'From Order'!$A2612)), 1), F2611))"),"RSPMGHB")</f>
        <v>RSPMGHB</v>
      </c>
      <c r="G2612" s="2" t="str">
        <f>IFERROR(__xludf.DUMMYFUNCTION("IF('From Order'!$A2612=COLUMNS($A2612:G2631), LEFT(INDEX(FILTER(G$1:G2611, G$1:G2611&lt;&gt;""""),COUNTA(FILTER(G$1:G2611, G$1:G2611&lt;&gt;""""))), LEN(INDEX(FILTER(G$1:G2611, G$1:G2611&lt;&gt;""""),COUNTA(FILTER(G$1:G2611, G$1:G2611&lt;&gt;""""))))-1), IF('To Order'!$A2612=COL"&amp;"UMNS($A2612:G2631), G2611&amp;RIGHT(INDIRECT(ADDRESS(ROW(G2612)-1, 'From Order'!$A2612)), 1), G2611))"),"Z")</f>
        <v>Z</v>
      </c>
      <c r="H2612" s="2" t="str">
        <f>IFERROR(__xludf.DUMMYFUNCTION("IF('From Order'!$A2612=COLUMNS($A2612:H2631), LEFT(INDEX(FILTER(H$1:H2611, H$1:H2611&lt;&gt;""""),COUNTA(FILTER(H$1:H2611, H$1:H2611&lt;&gt;""""))), LEN(INDEX(FILTER(H$1:H2611, H$1:H2611&lt;&gt;""""),COUNTA(FILTER(H$1:H2611, H$1:H2611&lt;&gt;""""))))-1), IF('To Order'!$A2612=COL"&amp;"UMNS($A2612:H2631), H2611&amp;RIGHT(INDIRECT(ADDRESS(ROW(H2612)-1, 'From Order'!$A2612)), 1), H2611))"),"TJ")</f>
        <v>TJ</v>
      </c>
      <c r="I2612" s="2" t="str">
        <f>IFERROR(__xludf.DUMMYFUNCTION("IF('From Order'!$A2612=COLUMNS($A2612:I2631), LEFT(INDEX(FILTER(I$1:I2611, I$1:I2611&lt;&gt;""""),COUNTA(FILTER(I$1:I2611, I$1:I2611&lt;&gt;""""))), LEN(INDEX(FILTER(I$1:I2611, I$1:I2611&lt;&gt;""""),COUNTA(FILTER(I$1:I2611, I$1:I2611&lt;&gt;""""))))-1), IF('To Order'!$A2612=COL"&amp;"UMNS($A2612:I2631), I2611&amp;RIGHT(INDIRECT(ADDRESS(ROW(I2612)-1, 'From Order'!$A2612)), 1), I2611))"),"QVVDDSPLRRJTTCJFZPRBBWLBFLD")</f>
        <v>QVVDDSPLRRJTTCJFZPRBBWLBFLD</v>
      </c>
    </row>
    <row r="2613">
      <c r="A2613" s="2" t="str">
        <f>IFERROR(__xludf.DUMMYFUNCTION("IF('From Order'!$A2613=COLUMNS($A2613:A2632), LEFT(INDEX(FILTER(A$1:A2612, A$1:A2612&lt;&gt;""""),COUNTA(FILTER(A$1:A2612, A$1:A2612&lt;&gt;""""))), LEN(INDEX(FILTER(A$1:A2612, A$1:A2612&lt;&gt;""""),COUNTA(FILTER(A$1:A2612, A$1:A2612&lt;&gt;""""))))-1), IF('To Order'!$A2613=COL"&amp;"UMNS($A2613:A2632), A2612&amp;RIGHT(INDIRECT(ADDRESS(ROW(A2613)-1, 'From Order'!$A2613)), 1), A2612))"),"DDMTMHZTDVRCWG")</f>
        <v>DDMTMHZTDVRCWG</v>
      </c>
      <c r="B2613" s="2" t="str">
        <f>IFERROR(__xludf.DUMMYFUNCTION("IF('From Order'!$A2613=COLUMNS($A2613:B2632), LEFT(INDEX(FILTER(B$1:B2612, B$1:B2612&lt;&gt;""""),COUNTA(FILTER(B$1:B2612, B$1:B2612&lt;&gt;""""))), LEN(INDEX(FILTER(B$1:B2612, B$1:B2612&lt;&gt;""""),COUNTA(FILTER(B$1:B2612, B$1:B2612&lt;&gt;""""))))-1), IF('To Order'!$A2613=COL"&amp;"UMNS($A2613:B2632), B2612&amp;RIGHT(INDIRECT(ADDRESS(ROW(B2613)-1, 'From Order'!$A2613)), 1), B2612))"),"Q")</f>
        <v>Q</v>
      </c>
      <c r="C2613" s="2" t="str">
        <f>IFERROR(__xludf.DUMMYFUNCTION("IF('From Order'!$A2613=COLUMNS($A2613:C2632), LEFT(INDEX(FILTER(C$1:C2612, C$1:C2612&lt;&gt;""""),COUNTA(FILTER(C$1:C2612, C$1:C2612&lt;&gt;""""))), LEN(INDEX(FILTER(C$1:C2612, C$1:C2612&lt;&gt;""""),COUNTA(FILTER(C$1:C2612, C$1:C2612&lt;&gt;""""))))-1), IF('To Order'!$A2613=COL"&amp;"UMNS($A2613:C2632), C2612&amp;RIGHT(INDIRECT(ADDRESS(ROW(C2613)-1, 'From Order'!$A2613)), 1), C2612))"),"CT")</f>
        <v>CT</v>
      </c>
      <c r="D2613" s="2" t="str">
        <f>IFERROR(__xludf.DUMMYFUNCTION("IF('From Order'!$A2613=COLUMNS($A2613:D2632), LEFT(INDEX(FILTER(D$1:D2612, D$1:D2612&lt;&gt;""""),COUNTA(FILTER(D$1:D2612, D$1:D2612&lt;&gt;""""))), LEN(INDEX(FILTER(D$1:D2612, D$1:D2612&lt;&gt;""""),COUNTA(FILTER(D$1:D2612, D$1:D2612&lt;&gt;""""))))-1), IF('To Order'!$A2613=COL"&amp;"UMNS($A2613:D2632), D2612&amp;RIGHT(INDIRECT(ADDRESS(ROW(D2613)-1, 'From Order'!$A2613)), 1), D2612))"),"SSZ")</f>
        <v>SSZ</v>
      </c>
      <c r="E2613" s="2" t="str">
        <f>IFERROR(__xludf.DUMMYFUNCTION("IF('From Order'!$A2613=COLUMNS($A2613:E2632), LEFT(INDEX(FILTER(E$1:E2612, E$1:E2612&lt;&gt;""""),COUNTA(FILTER(E$1:E2612, E$1:E2612&lt;&gt;""""))), LEN(INDEX(FILTER(E$1:E2612, E$1:E2612&lt;&gt;""""),COUNTA(FILTER(E$1:E2612, E$1:E2612&lt;&gt;""""))))-1), IF('To Order'!$A2613=COL"&amp;"UMNS($A2613:E2632), E2612&amp;RIGHT(INDIRECT(ADDRESS(ROW(E2613)-1, 'From Order'!$A2613)), 1), E2612))"),"")</f>
        <v/>
      </c>
      <c r="F2613" s="2" t="str">
        <f>IFERROR(__xludf.DUMMYFUNCTION("IF('From Order'!$A2613=COLUMNS($A2613:F2632), LEFT(INDEX(FILTER(F$1:F2612, F$1:F2612&lt;&gt;""""),COUNTA(FILTER(F$1:F2612, F$1:F2612&lt;&gt;""""))), LEN(INDEX(FILTER(F$1:F2612, F$1:F2612&lt;&gt;""""),COUNTA(FILTER(F$1:F2612, F$1:F2612&lt;&gt;""""))))-1), IF('To Order'!$A2613=COL"&amp;"UMNS($A2613:F2632), F2612&amp;RIGHT(INDIRECT(ADDRESS(ROW(F2613)-1, 'From Order'!$A2613)), 1), F2612))"),"RSPMGHB")</f>
        <v>RSPMGHB</v>
      </c>
      <c r="G2613" s="2" t="str">
        <f>IFERROR(__xludf.DUMMYFUNCTION("IF('From Order'!$A2613=COLUMNS($A2613:G2632), LEFT(INDEX(FILTER(G$1:G2612, G$1:G2612&lt;&gt;""""),COUNTA(FILTER(G$1:G2612, G$1:G2612&lt;&gt;""""))), LEN(INDEX(FILTER(G$1:G2612, G$1:G2612&lt;&gt;""""),COUNTA(FILTER(G$1:G2612, G$1:G2612&lt;&gt;""""))))-1), IF('To Order'!$A2613=COL"&amp;"UMNS($A2613:G2632), G2612&amp;RIGHT(INDIRECT(ADDRESS(ROW(G2613)-1, 'From Order'!$A2613)), 1), G2612))"),"")</f>
        <v/>
      </c>
      <c r="H2613" s="2" t="str">
        <f>IFERROR(__xludf.DUMMYFUNCTION("IF('From Order'!$A2613=COLUMNS($A2613:H2632), LEFT(INDEX(FILTER(H$1:H2612, H$1:H2612&lt;&gt;""""),COUNTA(FILTER(H$1:H2612, H$1:H2612&lt;&gt;""""))), LEN(INDEX(FILTER(H$1:H2612, H$1:H2612&lt;&gt;""""),COUNTA(FILTER(H$1:H2612, H$1:H2612&lt;&gt;""""))))-1), IF('To Order'!$A2613=COL"&amp;"UMNS($A2613:H2632), H2612&amp;RIGHT(INDIRECT(ADDRESS(ROW(H2613)-1, 'From Order'!$A2613)), 1), H2612))"),"TJ")</f>
        <v>TJ</v>
      </c>
      <c r="I2613" s="2" t="str">
        <f>IFERROR(__xludf.DUMMYFUNCTION("IF('From Order'!$A2613=COLUMNS($A2613:I2632), LEFT(INDEX(FILTER(I$1:I2612, I$1:I2612&lt;&gt;""""),COUNTA(FILTER(I$1:I2612, I$1:I2612&lt;&gt;""""))), LEN(INDEX(FILTER(I$1:I2612, I$1:I2612&lt;&gt;""""),COUNTA(FILTER(I$1:I2612, I$1:I2612&lt;&gt;""""))))-1), IF('To Order'!$A2613=COL"&amp;"UMNS($A2613:I2632), I2612&amp;RIGHT(INDIRECT(ADDRESS(ROW(I2613)-1, 'From Order'!$A2613)), 1), I2612))"),"QVVDDSPLRRJTTCJFZPRBBWLBFLD")</f>
        <v>QVVDDSPLRRJTTCJFZPRBBWLBFLD</v>
      </c>
    </row>
    <row r="2614">
      <c r="A2614" s="2" t="str">
        <f>IFERROR(__xludf.DUMMYFUNCTION("IF('From Order'!$A2614=COLUMNS($A2614:A2633), LEFT(INDEX(FILTER(A$1:A2613, A$1:A2613&lt;&gt;""""),COUNTA(FILTER(A$1:A2613, A$1:A2613&lt;&gt;""""))), LEN(INDEX(FILTER(A$1:A2613, A$1:A2613&lt;&gt;""""),COUNTA(FILTER(A$1:A2613, A$1:A2613&lt;&gt;""""))))-1), IF('To Order'!$A2614=COL"&amp;"UMNS($A2614:A2633), A2613&amp;RIGHT(INDIRECT(ADDRESS(ROW(A2614)-1, 'From Order'!$A2614)), 1), A2613))"),"DDMTMHZTDVRCWG")</f>
        <v>DDMTMHZTDVRCWG</v>
      </c>
      <c r="B2614" s="2" t="str">
        <f>IFERROR(__xludf.DUMMYFUNCTION("IF('From Order'!$A2614=COLUMNS($A2614:B2633), LEFT(INDEX(FILTER(B$1:B2613, B$1:B2613&lt;&gt;""""),COUNTA(FILTER(B$1:B2613, B$1:B2613&lt;&gt;""""))), LEN(INDEX(FILTER(B$1:B2613, B$1:B2613&lt;&gt;""""),COUNTA(FILTER(B$1:B2613, B$1:B2613&lt;&gt;""""))))-1), IF('To Order'!$A2614=COL"&amp;"UMNS($A2614:B2633), B2613&amp;RIGHT(INDIRECT(ADDRESS(ROW(B2614)-1, 'From Order'!$A2614)), 1), B2613))"),"Q")</f>
        <v>Q</v>
      </c>
      <c r="C2614" s="2" t="str">
        <f>IFERROR(__xludf.DUMMYFUNCTION("IF('From Order'!$A2614=COLUMNS($A2614:C2633), LEFT(INDEX(FILTER(C$1:C2613, C$1:C2613&lt;&gt;""""),COUNTA(FILTER(C$1:C2613, C$1:C2613&lt;&gt;""""))), LEN(INDEX(FILTER(C$1:C2613, C$1:C2613&lt;&gt;""""),COUNTA(FILTER(C$1:C2613, C$1:C2613&lt;&gt;""""))))-1), IF('To Order'!$A2614=COL"&amp;"UMNS($A2614:C2633), C2613&amp;RIGHT(INDIRECT(ADDRESS(ROW(C2614)-1, 'From Order'!$A2614)), 1), C2613))"),"CT")</f>
        <v>CT</v>
      </c>
      <c r="D2614" s="2" t="str">
        <f>IFERROR(__xludf.DUMMYFUNCTION("IF('From Order'!$A2614=COLUMNS($A2614:D2633), LEFT(INDEX(FILTER(D$1:D2613, D$1:D2613&lt;&gt;""""),COUNTA(FILTER(D$1:D2613, D$1:D2613&lt;&gt;""""))), LEN(INDEX(FILTER(D$1:D2613, D$1:D2613&lt;&gt;""""),COUNTA(FILTER(D$1:D2613, D$1:D2613&lt;&gt;""""))))-1), IF('To Order'!$A2614=COL"&amp;"UMNS($A2614:D2633), D2613&amp;RIGHT(INDIRECT(ADDRESS(ROW(D2614)-1, 'From Order'!$A2614)), 1), D2613))"),"SS")</f>
        <v>SS</v>
      </c>
      <c r="E2614" s="2" t="str">
        <f>IFERROR(__xludf.DUMMYFUNCTION("IF('From Order'!$A2614=COLUMNS($A2614:E2633), LEFT(INDEX(FILTER(E$1:E2613, E$1:E2613&lt;&gt;""""),COUNTA(FILTER(E$1:E2613, E$1:E2613&lt;&gt;""""))), LEN(INDEX(FILTER(E$1:E2613, E$1:E2613&lt;&gt;""""),COUNTA(FILTER(E$1:E2613, E$1:E2613&lt;&gt;""""))))-1), IF('To Order'!$A2614=COL"&amp;"UMNS($A2614:E2633), E2613&amp;RIGHT(INDIRECT(ADDRESS(ROW(E2614)-1, 'From Order'!$A2614)), 1), E2613))"),"")</f>
        <v/>
      </c>
      <c r="F2614" s="2" t="str">
        <f>IFERROR(__xludf.DUMMYFUNCTION("IF('From Order'!$A2614=COLUMNS($A2614:F2633), LEFT(INDEX(FILTER(F$1:F2613, F$1:F2613&lt;&gt;""""),COUNTA(FILTER(F$1:F2613, F$1:F2613&lt;&gt;""""))), LEN(INDEX(FILTER(F$1:F2613, F$1:F2613&lt;&gt;""""),COUNTA(FILTER(F$1:F2613, F$1:F2613&lt;&gt;""""))))-1), IF('To Order'!$A2614=COL"&amp;"UMNS($A2614:F2633), F2613&amp;RIGHT(INDIRECT(ADDRESS(ROW(F2614)-1, 'From Order'!$A2614)), 1), F2613))"),"RSPMGHB")</f>
        <v>RSPMGHB</v>
      </c>
      <c r="G2614" s="2" t="str">
        <f>IFERROR(__xludf.DUMMYFUNCTION("IF('From Order'!$A2614=COLUMNS($A2614:G2633), LEFT(INDEX(FILTER(G$1:G2613, G$1:G2613&lt;&gt;""""),COUNTA(FILTER(G$1:G2613, G$1:G2613&lt;&gt;""""))), LEN(INDEX(FILTER(G$1:G2613, G$1:G2613&lt;&gt;""""),COUNTA(FILTER(G$1:G2613, G$1:G2613&lt;&gt;""""))))-1), IF('To Order'!$A2614=COL"&amp;"UMNS($A2614:G2633), G2613&amp;RIGHT(INDIRECT(ADDRESS(ROW(G2614)-1, 'From Order'!$A2614)), 1), G2613))"),"Z")</f>
        <v>Z</v>
      </c>
      <c r="H2614" s="2" t="str">
        <f>IFERROR(__xludf.DUMMYFUNCTION("IF('From Order'!$A2614=COLUMNS($A2614:H2633), LEFT(INDEX(FILTER(H$1:H2613, H$1:H2613&lt;&gt;""""),COUNTA(FILTER(H$1:H2613, H$1:H2613&lt;&gt;""""))), LEN(INDEX(FILTER(H$1:H2613, H$1:H2613&lt;&gt;""""),COUNTA(FILTER(H$1:H2613, H$1:H2613&lt;&gt;""""))))-1), IF('To Order'!$A2614=COL"&amp;"UMNS($A2614:H2633), H2613&amp;RIGHT(INDIRECT(ADDRESS(ROW(H2614)-1, 'From Order'!$A2614)), 1), H2613))"),"TJ")</f>
        <v>TJ</v>
      </c>
      <c r="I2614" s="2" t="str">
        <f>IFERROR(__xludf.DUMMYFUNCTION("IF('From Order'!$A2614=COLUMNS($A2614:I2633), LEFT(INDEX(FILTER(I$1:I2613, I$1:I2613&lt;&gt;""""),COUNTA(FILTER(I$1:I2613, I$1:I2613&lt;&gt;""""))), LEN(INDEX(FILTER(I$1:I2613, I$1:I2613&lt;&gt;""""),COUNTA(FILTER(I$1:I2613, I$1:I2613&lt;&gt;""""))))-1), IF('To Order'!$A2614=COL"&amp;"UMNS($A2614:I2633), I2613&amp;RIGHT(INDIRECT(ADDRESS(ROW(I2614)-1, 'From Order'!$A2614)), 1), I2613))"),"QVVDDSPLRRJTTCJFZPRBBWLBFLD")</f>
        <v>QVVDDSPLRRJTTCJFZPRBBWLBFLD</v>
      </c>
    </row>
    <row r="2615">
      <c r="A2615" s="2" t="str">
        <f>IFERROR(__xludf.DUMMYFUNCTION("IF('From Order'!$A2615=COLUMNS($A2615:A2634), LEFT(INDEX(FILTER(A$1:A2614, A$1:A2614&lt;&gt;""""),COUNTA(FILTER(A$1:A2614, A$1:A2614&lt;&gt;""""))), LEN(INDEX(FILTER(A$1:A2614, A$1:A2614&lt;&gt;""""),COUNTA(FILTER(A$1:A2614, A$1:A2614&lt;&gt;""""))))-1), IF('To Order'!$A2615=COL"&amp;"UMNS($A2615:A2634), A2614&amp;RIGHT(INDIRECT(ADDRESS(ROW(A2615)-1, 'From Order'!$A2615)), 1), A2614))"),"DDMTMHZTDVRCWG")</f>
        <v>DDMTMHZTDVRCWG</v>
      </c>
      <c r="B2615" s="2" t="str">
        <f>IFERROR(__xludf.DUMMYFUNCTION("IF('From Order'!$A2615=COLUMNS($A2615:B2634), LEFT(INDEX(FILTER(B$1:B2614, B$1:B2614&lt;&gt;""""),COUNTA(FILTER(B$1:B2614, B$1:B2614&lt;&gt;""""))), LEN(INDEX(FILTER(B$1:B2614, B$1:B2614&lt;&gt;""""),COUNTA(FILTER(B$1:B2614, B$1:B2614&lt;&gt;""""))))-1), IF('To Order'!$A2615=COL"&amp;"UMNS($A2615:B2634), B2614&amp;RIGHT(INDIRECT(ADDRESS(ROW(B2615)-1, 'From Order'!$A2615)), 1), B2614))"),"Q")</f>
        <v>Q</v>
      </c>
      <c r="C2615" s="2" t="str">
        <f>IFERROR(__xludf.DUMMYFUNCTION("IF('From Order'!$A2615=COLUMNS($A2615:C2634), LEFT(INDEX(FILTER(C$1:C2614, C$1:C2614&lt;&gt;""""),COUNTA(FILTER(C$1:C2614, C$1:C2614&lt;&gt;""""))), LEN(INDEX(FILTER(C$1:C2614, C$1:C2614&lt;&gt;""""),COUNTA(FILTER(C$1:C2614, C$1:C2614&lt;&gt;""""))))-1), IF('To Order'!$A2615=COL"&amp;"UMNS($A2615:C2634), C2614&amp;RIGHT(INDIRECT(ADDRESS(ROW(C2615)-1, 'From Order'!$A2615)), 1), C2614))"),"CT")</f>
        <v>CT</v>
      </c>
      <c r="D2615" s="2" t="str">
        <f>IFERROR(__xludf.DUMMYFUNCTION("IF('From Order'!$A2615=COLUMNS($A2615:D2634), LEFT(INDEX(FILTER(D$1:D2614, D$1:D2614&lt;&gt;""""),COUNTA(FILTER(D$1:D2614, D$1:D2614&lt;&gt;""""))), LEN(INDEX(FILTER(D$1:D2614, D$1:D2614&lt;&gt;""""),COUNTA(FILTER(D$1:D2614, D$1:D2614&lt;&gt;""""))))-1), IF('To Order'!$A2615=COL"&amp;"UMNS($A2615:D2634), D2614&amp;RIGHT(INDIRECT(ADDRESS(ROW(D2615)-1, 'From Order'!$A2615)), 1), D2614))"),"S")</f>
        <v>S</v>
      </c>
      <c r="E2615" s="2" t="str">
        <f>IFERROR(__xludf.DUMMYFUNCTION("IF('From Order'!$A2615=COLUMNS($A2615:E2634), LEFT(INDEX(FILTER(E$1:E2614, E$1:E2614&lt;&gt;""""),COUNTA(FILTER(E$1:E2614, E$1:E2614&lt;&gt;""""))), LEN(INDEX(FILTER(E$1:E2614, E$1:E2614&lt;&gt;""""),COUNTA(FILTER(E$1:E2614, E$1:E2614&lt;&gt;""""))))-1), IF('To Order'!$A2615=COL"&amp;"UMNS($A2615:E2634), E2614&amp;RIGHT(INDIRECT(ADDRESS(ROW(E2615)-1, 'From Order'!$A2615)), 1), E2614))"),"")</f>
        <v/>
      </c>
      <c r="F2615" s="2" t="str">
        <f>IFERROR(__xludf.DUMMYFUNCTION("IF('From Order'!$A2615=COLUMNS($A2615:F2634), LEFT(INDEX(FILTER(F$1:F2614, F$1:F2614&lt;&gt;""""),COUNTA(FILTER(F$1:F2614, F$1:F2614&lt;&gt;""""))), LEN(INDEX(FILTER(F$1:F2614, F$1:F2614&lt;&gt;""""),COUNTA(FILTER(F$1:F2614, F$1:F2614&lt;&gt;""""))))-1), IF('To Order'!$A2615=COL"&amp;"UMNS($A2615:F2634), F2614&amp;RIGHT(INDIRECT(ADDRESS(ROW(F2615)-1, 'From Order'!$A2615)), 1), F2614))"),"RSPMGHB")</f>
        <v>RSPMGHB</v>
      </c>
      <c r="G2615" s="2" t="str">
        <f>IFERROR(__xludf.DUMMYFUNCTION("IF('From Order'!$A2615=COLUMNS($A2615:G2634), LEFT(INDEX(FILTER(G$1:G2614, G$1:G2614&lt;&gt;""""),COUNTA(FILTER(G$1:G2614, G$1:G2614&lt;&gt;""""))), LEN(INDEX(FILTER(G$1:G2614, G$1:G2614&lt;&gt;""""),COUNTA(FILTER(G$1:G2614, G$1:G2614&lt;&gt;""""))))-1), IF('To Order'!$A2615=COL"&amp;"UMNS($A2615:G2634), G2614&amp;RIGHT(INDIRECT(ADDRESS(ROW(G2615)-1, 'From Order'!$A2615)), 1), G2614))"),"ZS")</f>
        <v>ZS</v>
      </c>
      <c r="H2615" s="2" t="str">
        <f>IFERROR(__xludf.DUMMYFUNCTION("IF('From Order'!$A2615=COLUMNS($A2615:H2634), LEFT(INDEX(FILTER(H$1:H2614, H$1:H2614&lt;&gt;""""),COUNTA(FILTER(H$1:H2614, H$1:H2614&lt;&gt;""""))), LEN(INDEX(FILTER(H$1:H2614, H$1:H2614&lt;&gt;""""),COUNTA(FILTER(H$1:H2614, H$1:H2614&lt;&gt;""""))))-1), IF('To Order'!$A2615=COL"&amp;"UMNS($A2615:H2634), H2614&amp;RIGHT(INDIRECT(ADDRESS(ROW(H2615)-1, 'From Order'!$A2615)), 1), H2614))"),"TJ")</f>
        <v>TJ</v>
      </c>
      <c r="I2615" s="2" t="str">
        <f>IFERROR(__xludf.DUMMYFUNCTION("IF('From Order'!$A2615=COLUMNS($A2615:I2634), LEFT(INDEX(FILTER(I$1:I2614, I$1:I2614&lt;&gt;""""),COUNTA(FILTER(I$1:I2614, I$1:I2614&lt;&gt;""""))), LEN(INDEX(FILTER(I$1:I2614, I$1:I2614&lt;&gt;""""),COUNTA(FILTER(I$1:I2614, I$1:I2614&lt;&gt;""""))))-1), IF('To Order'!$A2615=COL"&amp;"UMNS($A2615:I2634), I2614&amp;RIGHT(INDIRECT(ADDRESS(ROW(I2615)-1, 'From Order'!$A2615)), 1), I2614))"),"QVVDDSPLRRJTTCJFZPRBBWLBFLD")</f>
        <v>QVVDDSPLRRJTTCJFZPRBBWLBFLD</v>
      </c>
    </row>
    <row r="2616">
      <c r="A2616" s="2" t="str">
        <f>IFERROR(__xludf.DUMMYFUNCTION("IF('From Order'!$A2616=COLUMNS($A2616:A2635), LEFT(INDEX(FILTER(A$1:A2615, A$1:A2615&lt;&gt;""""),COUNTA(FILTER(A$1:A2615, A$1:A2615&lt;&gt;""""))), LEN(INDEX(FILTER(A$1:A2615, A$1:A2615&lt;&gt;""""),COUNTA(FILTER(A$1:A2615, A$1:A2615&lt;&gt;""""))))-1), IF('To Order'!$A2616=COL"&amp;"UMNS($A2616:A2635), A2615&amp;RIGHT(INDIRECT(ADDRESS(ROW(A2616)-1, 'From Order'!$A2616)), 1), A2615))"),"DDMTMHZTDVRCWG")</f>
        <v>DDMTMHZTDVRCWG</v>
      </c>
      <c r="B2616" s="2" t="str">
        <f>IFERROR(__xludf.DUMMYFUNCTION("IF('From Order'!$A2616=COLUMNS($A2616:B2635), LEFT(INDEX(FILTER(B$1:B2615, B$1:B2615&lt;&gt;""""),COUNTA(FILTER(B$1:B2615, B$1:B2615&lt;&gt;""""))), LEN(INDEX(FILTER(B$1:B2615, B$1:B2615&lt;&gt;""""),COUNTA(FILTER(B$1:B2615, B$1:B2615&lt;&gt;""""))))-1), IF('To Order'!$A2616=COL"&amp;"UMNS($A2616:B2635), B2615&amp;RIGHT(INDIRECT(ADDRESS(ROW(B2616)-1, 'From Order'!$A2616)), 1), B2615))"),"Q")</f>
        <v>Q</v>
      </c>
      <c r="C2616" s="2" t="str">
        <f>IFERROR(__xludf.DUMMYFUNCTION("IF('From Order'!$A2616=COLUMNS($A2616:C2635), LEFT(INDEX(FILTER(C$1:C2615, C$1:C2615&lt;&gt;""""),COUNTA(FILTER(C$1:C2615, C$1:C2615&lt;&gt;""""))), LEN(INDEX(FILTER(C$1:C2615, C$1:C2615&lt;&gt;""""),COUNTA(FILTER(C$1:C2615, C$1:C2615&lt;&gt;""""))))-1), IF('To Order'!$A2616=COL"&amp;"UMNS($A2616:C2635), C2615&amp;RIGHT(INDIRECT(ADDRESS(ROW(C2616)-1, 'From Order'!$A2616)), 1), C2615))"),"CT")</f>
        <v>CT</v>
      </c>
      <c r="D2616" s="2" t="str">
        <f>IFERROR(__xludf.DUMMYFUNCTION("IF('From Order'!$A2616=COLUMNS($A2616:D2635), LEFT(INDEX(FILTER(D$1:D2615, D$1:D2615&lt;&gt;""""),COUNTA(FILTER(D$1:D2615, D$1:D2615&lt;&gt;""""))), LEN(INDEX(FILTER(D$1:D2615, D$1:D2615&lt;&gt;""""),COUNTA(FILTER(D$1:D2615, D$1:D2615&lt;&gt;""""))))-1), IF('To Order'!$A2616=COL"&amp;"UMNS($A2616:D2635), D2615&amp;RIGHT(INDIRECT(ADDRESS(ROW(D2616)-1, 'From Order'!$A2616)), 1), D2615))"),"S")</f>
        <v>S</v>
      </c>
      <c r="E2616" s="2" t="str">
        <f>IFERROR(__xludf.DUMMYFUNCTION("IF('From Order'!$A2616=COLUMNS($A2616:E2635), LEFT(INDEX(FILTER(E$1:E2615, E$1:E2615&lt;&gt;""""),COUNTA(FILTER(E$1:E2615, E$1:E2615&lt;&gt;""""))), LEN(INDEX(FILTER(E$1:E2615, E$1:E2615&lt;&gt;""""),COUNTA(FILTER(E$1:E2615, E$1:E2615&lt;&gt;""""))))-1), IF('To Order'!$A2616=COL"&amp;"UMNS($A2616:E2635), E2615&amp;RIGHT(INDIRECT(ADDRESS(ROW(E2616)-1, 'From Order'!$A2616)), 1), E2615))"),"")</f>
        <v/>
      </c>
      <c r="F2616" s="2" t="str">
        <f>IFERROR(__xludf.DUMMYFUNCTION("IF('From Order'!$A2616=COLUMNS($A2616:F2635), LEFT(INDEX(FILTER(F$1:F2615, F$1:F2615&lt;&gt;""""),COUNTA(FILTER(F$1:F2615, F$1:F2615&lt;&gt;""""))), LEN(INDEX(FILTER(F$1:F2615, F$1:F2615&lt;&gt;""""),COUNTA(FILTER(F$1:F2615, F$1:F2615&lt;&gt;""""))))-1), IF('To Order'!$A2616=COL"&amp;"UMNS($A2616:F2635), F2615&amp;RIGHT(INDIRECT(ADDRESS(ROW(F2616)-1, 'From Order'!$A2616)), 1), F2615))"),"RSPMGH")</f>
        <v>RSPMGH</v>
      </c>
      <c r="G2616" s="2" t="str">
        <f>IFERROR(__xludf.DUMMYFUNCTION("IF('From Order'!$A2616=COLUMNS($A2616:G2635), LEFT(INDEX(FILTER(G$1:G2615, G$1:G2615&lt;&gt;""""),COUNTA(FILTER(G$1:G2615, G$1:G2615&lt;&gt;""""))), LEN(INDEX(FILTER(G$1:G2615, G$1:G2615&lt;&gt;""""),COUNTA(FILTER(G$1:G2615, G$1:G2615&lt;&gt;""""))))-1), IF('To Order'!$A2616=COL"&amp;"UMNS($A2616:G2635), G2615&amp;RIGHT(INDIRECT(ADDRESS(ROW(G2616)-1, 'From Order'!$A2616)), 1), G2615))"),"ZSB")</f>
        <v>ZSB</v>
      </c>
      <c r="H2616" s="2" t="str">
        <f>IFERROR(__xludf.DUMMYFUNCTION("IF('From Order'!$A2616=COLUMNS($A2616:H2635), LEFT(INDEX(FILTER(H$1:H2615, H$1:H2615&lt;&gt;""""),COUNTA(FILTER(H$1:H2615, H$1:H2615&lt;&gt;""""))), LEN(INDEX(FILTER(H$1:H2615, H$1:H2615&lt;&gt;""""),COUNTA(FILTER(H$1:H2615, H$1:H2615&lt;&gt;""""))))-1), IF('To Order'!$A2616=COL"&amp;"UMNS($A2616:H2635), H2615&amp;RIGHT(INDIRECT(ADDRESS(ROW(H2616)-1, 'From Order'!$A2616)), 1), H2615))"),"TJ")</f>
        <v>TJ</v>
      </c>
      <c r="I2616" s="2" t="str">
        <f>IFERROR(__xludf.DUMMYFUNCTION("IF('From Order'!$A2616=COLUMNS($A2616:I2635), LEFT(INDEX(FILTER(I$1:I2615, I$1:I2615&lt;&gt;""""),COUNTA(FILTER(I$1:I2615, I$1:I2615&lt;&gt;""""))), LEN(INDEX(FILTER(I$1:I2615, I$1:I2615&lt;&gt;""""),COUNTA(FILTER(I$1:I2615, I$1:I2615&lt;&gt;""""))))-1), IF('To Order'!$A2616=COL"&amp;"UMNS($A2616:I2635), I2615&amp;RIGHT(INDIRECT(ADDRESS(ROW(I2616)-1, 'From Order'!$A2616)), 1), I2615))"),"QVVDDSPLRRJTTCJFZPRBBWLBFLD")</f>
        <v>QVVDDSPLRRJTTCJFZPRBBWLBFLD</v>
      </c>
    </row>
    <row r="2617">
      <c r="A2617" s="2" t="str">
        <f>IFERROR(__xludf.DUMMYFUNCTION("IF('From Order'!$A2617=COLUMNS($A2617:A2636), LEFT(INDEX(FILTER(A$1:A2616, A$1:A2616&lt;&gt;""""),COUNTA(FILTER(A$1:A2616, A$1:A2616&lt;&gt;""""))), LEN(INDEX(FILTER(A$1:A2616, A$1:A2616&lt;&gt;""""),COUNTA(FILTER(A$1:A2616, A$1:A2616&lt;&gt;""""))))-1), IF('To Order'!$A2617=COL"&amp;"UMNS($A2617:A2636), A2616&amp;RIGHT(INDIRECT(ADDRESS(ROW(A2617)-1, 'From Order'!$A2617)), 1), A2616))"),"DDMTMHZTDVRCWG")</f>
        <v>DDMTMHZTDVRCWG</v>
      </c>
      <c r="B2617" s="2" t="str">
        <f>IFERROR(__xludf.DUMMYFUNCTION("IF('From Order'!$A2617=COLUMNS($A2617:B2636), LEFT(INDEX(FILTER(B$1:B2616, B$1:B2616&lt;&gt;""""),COUNTA(FILTER(B$1:B2616, B$1:B2616&lt;&gt;""""))), LEN(INDEX(FILTER(B$1:B2616, B$1:B2616&lt;&gt;""""),COUNTA(FILTER(B$1:B2616, B$1:B2616&lt;&gt;""""))))-1), IF('To Order'!$A2617=COL"&amp;"UMNS($A2617:B2636), B2616&amp;RIGHT(INDIRECT(ADDRESS(ROW(B2617)-1, 'From Order'!$A2617)), 1), B2616))"),"")</f>
        <v/>
      </c>
      <c r="C2617" s="2" t="str">
        <f>IFERROR(__xludf.DUMMYFUNCTION("IF('From Order'!$A2617=COLUMNS($A2617:C2636), LEFT(INDEX(FILTER(C$1:C2616, C$1:C2616&lt;&gt;""""),COUNTA(FILTER(C$1:C2616, C$1:C2616&lt;&gt;""""))), LEN(INDEX(FILTER(C$1:C2616, C$1:C2616&lt;&gt;""""),COUNTA(FILTER(C$1:C2616, C$1:C2616&lt;&gt;""""))))-1), IF('To Order'!$A2617=COL"&amp;"UMNS($A2617:C2636), C2616&amp;RIGHT(INDIRECT(ADDRESS(ROW(C2617)-1, 'From Order'!$A2617)), 1), C2616))"),"CT")</f>
        <v>CT</v>
      </c>
      <c r="D2617" s="2" t="str">
        <f>IFERROR(__xludf.DUMMYFUNCTION("IF('From Order'!$A2617=COLUMNS($A2617:D2636), LEFT(INDEX(FILTER(D$1:D2616, D$1:D2616&lt;&gt;""""),COUNTA(FILTER(D$1:D2616, D$1:D2616&lt;&gt;""""))), LEN(INDEX(FILTER(D$1:D2616, D$1:D2616&lt;&gt;""""),COUNTA(FILTER(D$1:D2616, D$1:D2616&lt;&gt;""""))))-1), IF('To Order'!$A2617=COL"&amp;"UMNS($A2617:D2636), D2616&amp;RIGHT(INDIRECT(ADDRESS(ROW(D2617)-1, 'From Order'!$A2617)), 1), D2616))"),"S")</f>
        <v>S</v>
      </c>
      <c r="E2617" s="2" t="str">
        <f>IFERROR(__xludf.DUMMYFUNCTION("IF('From Order'!$A2617=COLUMNS($A2617:E2636), LEFT(INDEX(FILTER(E$1:E2616, E$1:E2616&lt;&gt;""""),COUNTA(FILTER(E$1:E2616, E$1:E2616&lt;&gt;""""))), LEN(INDEX(FILTER(E$1:E2616, E$1:E2616&lt;&gt;""""),COUNTA(FILTER(E$1:E2616, E$1:E2616&lt;&gt;""""))))-1), IF('To Order'!$A2617=COL"&amp;"UMNS($A2617:E2636), E2616&amp;RIGHT(INDIRECT(ADDRESS(ROW(E2617)-1, 'From Order'!$A2617)), 1), E2616))"),"")</f>
        <v/>
      </c>
      <c r="F2617" s="2" t="str">
        <f>IFERROR(__xludf.DUMMYFUNCTION("IF('From Order'!$A2617=COLUMNS($A2617:F2636), LEFT(INDEX(FILTER(F$1:F2616, F$1:F2616&lt;&gt;""""),COUNTA(FILTER(F$1:F2616, F$1:F2616&lt;&gt;""""))), LEN(INDEX(FILTER(F$1:F2616, F$1:F2616&lt;&gt;""""),COUNTA(FILTER(F$1:F2616, F$1:F2616&lt;&gt;""""))))-1), IF('To Order'!$A2617=COL"&amp;"UMNS($A2617:F2636), F2616&amp;RIGHT(INDIRECT(ADDRESS(ROW(F2617)-1, 'From Order'!$A2617)), 1), F2616))"),"RSPMGH")</f>
        <v>RSPMGH</v>
      </c>
      <c r="G2617" s="2" t="str">
        <f>IFERROR(__xludf.DUMMYFUNCTION("IF('From Order'!$A2617=COLUMNS($A2617:G2636), LEFT(INDEX(FILTER(G$1:G2616, G$1:G2616&lt;&gt;""""),COUNTA(FILTER(G$1:G2616, G$1:G2616&lt;&gt;""""))), LEN(INDEX(FILTER(G$1:G2616, G$1:G2616&lt;&gt;""""),COUNTA(FILTER(G$1:G2616, G$1:G2616&lt;&gt;""""))))-1), IF('To Order'!$A2617=COL"&amp;"UMNS($A2617:G2636), G2616&amp;RIGHT(INDIRECT(ADDRESS(ROW(G2617)-1, 'From Order'!$A2617)), 1), G2616))"),"ZSB")</f>
        <v>ZSB</v>
      </c>
      <c r="H2617" s="2" t="str">
        <f>IFERROR(__xludf.DUMMYFUNCTION("IF('From Order'!$A2617=COLUMNS($A2617:H2636), LEFT(INDEX(FILTER(H$1:H2616, H$1:H2616&lt;&gt;""""),COUNTA(FILTER(H$1:H2616, H$1:H2616&lt;&gt;""""))), LEN(INDEX(FILTER(H$1:H2616, H$1:H2616&lt;&gt;""""),COUNTA(FILTER(H$1:H2616, H$1:H2616&lt;&gt;""""))))-1), IF('To Order'!$A2617=COL"&amp;"UMNS($A2617:H2636), H2616&amp;RIGHT(INDIRECT(ADDRESS(ROW(H2617)-1, 'From Order'!$A2617)), 1), H2616))"),"TJQ")</f>
        <v>TJQ</v>
      </c>
      <c r="I2617" s="2" t="str">
        <f>IFERROR(__xludf.DUMMYFUNCTION("IF('From Order'!$A2617=COLUMNS($A2617:I2636), LEFT(INDEX(FILTER(I$1:I2616, I$1:I2616&lt;&gt;""""),COUNTA(FILTER(I$1:I2616, I$1:I2616&lt;&gt;""""))), LEN(INDEX(FILTER(I$1:I2616, I$1:I2616&lt;&gt;""""),COUNTA(FILTER(I$1:I2616, I$1:I2616&lt;&gt;""""))))-1), IF('To Order'!$A2617=COL"&amp;"UMNS($A2617:I2636), I2616&amp;RIGHT(INDIRECT(ADDRESS(ROW(I2617)-1, 'From Order'!$A2617)), 1), I2616))"),"QVVDDSPLRRJTTCJFZPRBBWLBFLD")</f>
        <v>QVVDDSPLRRJTTCJFZPRBBWLBFLD</v>
      </c>
    </row>
    <row r="2618">
      <c r="A2618" s="2" t="str">
        <f>IFERROR(__xludf.DUMMYFUNCTION("IF('From Order'!$A2618=COLUMNS($A2618:A2637), LEFT(INDEX(FILTER(A$1:A2617, A$1:A2617&lt;&gt;""""),COUNTA(FILTER(A$1:A2617, A$1:A2617&lt;&gt;""""))), LEN(INDEX(FILTER(A$1:A2617, A$1:A2617&lt;&gt;""""),COUNTA(FILTER(A$1:A2617, A$1:A2617&lt;&gt;""""))))-1), IF('To Order'!$A2618=COL"&amp;"UMNS($A2618:A2637), A2617&amp;RIGHT(INDIRECT(ADDRESS(ROW(A2618)-1, 'From Order'!$A2618)), 1), A2617))"),"DDMTMHZTDVRCWG")</f>
        <v>DDMTMHZTDVRCWG</v>
      </c>
      <c r="B2618" s="2" t="str">
        <f>IFERROR(__xludf.DUMMYFUNCTION("IF('From Order'!$A2618=COLUMNS($A2618:B2637), LEFT(INDEX(FILTER(B$1:B2617, B$1:B2617&lt;&gt;""""),COUNTA(FILTER(B$1:B2617, B$1:B2617&lt;&gt;""""))), LEN(INDEX(FILTER(B$1:B2617, B$1:B2617&lt;&gt;""""),COUNTA(FILTER(B$1:B2617, B$1:B2617&lt;&gt;""""))))-1), IF('To Order'!$A2618=COL"&amp;"UMNS($A2618:B2637), B2617&amp;RIGHT(INDIRECT(ADDRESS(ROW(B2618)-1, 'From Order'!$A2618)), 1), B2617))"),"")</f>
        <v/>
      </c>
      <c r="C2618" s="2" t="str">
        <f>IFERROR(__xludf.DUMMYFUNCTION("IF('From Order'!$A2618=COLUMNS($A2618:C2637), LEFT(INDEX(FILTER(C$1:C2617, C$1:C2617&lt;&gt;""""),COUNTA(FILTER(C$1:C2617, C$1:C2617&lt;&gt;""""))), LEN(INDEX(FILTER(C$1:C2617, C$1:C2617&lt;&gt;""""),COUNTA(FILTER(C$1:C2617, C$1:C2617&lt;&gt;""""))))-1), IF('To Order'!$A2618=COL"&amp;"UMNS($A2618:C2637), C2617&amp;RIGHT(INDIRECT(ADDRESS(ROW(C2618)-1, 'From Order'!$A2618)), 1), C2617))"),"C")</f>
        <v>C</v>
      </c>
      <c r="D2618" s="2" t="str">
        <f>IFERROR(__xludf.DUMMYFUNCTION("IF('From Order'!$A2618=COLUMNS($A2618:D2637), LEFT(INDEX(FILTER(D$1:D2617, D$1:D2617&lt;&gt;""""),COUNTA(FILTER(D$1:D2617, D$1:D2617&lt;&gt;""""))), LEN(INDEX(FILTER(D$1:D2617, D$1:D2617&lt;&gt;""""),COUNTA(FILTER(D$1:D2617, D$1:D2617&lt;&gt;""""))))-1), IF('To Order'!$A2618=COL"&amp;"UMNS($A2618:D2637), D2617&amp;RIGHT(INDIRECT(ADDRESS(ROW(D2618)-1, 'From Order'!$A2618)), 1), D2617))"),"S")</f>
        <v>S</v>
      </c>
      <c r="E2618" s="2" t="str">
        <f>IFERROR(__xludf.DUMMYFUNCTION("IF('From Order'!$A2618=COLUMNS($A2618:E2637), LEFT(INDEX(FILTER(E$1:E2617, E$1:E2617&lt;&gt;""""),COUNTA(FILTER(E$1:E2617, E$1:E2617&lt;&gt;""""))), LEN(INDEX(FILTER(E$1:E2617, E$1:E2617&lt;&gt;""""),COUNTA(FILTER(E$1:E2617, E$1:E2617&lt;&gt;""""))))-1), IF('To Order'!$A2618=COL"&amp;"UMNS($A2618:E2637), E2617&amp;RIGHT(INDIRECT(ADDRESS(ROW(E2618)-1, 'From Order'!$A2618)), 1), E2617))"),"")</f>
        <v/>
      </c>
      <c r="F2618" s="2" t="str">
        <f>IFERROR(__xludf.DUMMYFUNCTION("IF('From Order'!$A2618=COLUMNS($A2618:F2637), LEFT(INDEX(FILTER(F$1:F2617, F$1:F2617&lt;&gt;""""),COUNTA(FILTER(F$1:F2617, F$1:F2617&lt;&gt;""""))), LEN(INDEX(FILTER(F$1:F2617, F$1:F2617&lt;&gt;""""),COUNTA(FILTER(F$1:F2617, F$1:F2617&lt;&gt;""""))))-1), IF('To Order'!$A2618=COL"&amp;"UMNS($A2618:F2637), F2617&amp;RIGHT(INDIRECT(ADDRESS(ROW(F2618)-1, 'From Order'!$A2618)), 1), F2617))"),"RSPMGH")</f>
        <v>RSPMGH</v>
      </c>
      <c r="G2618" s="2" t="str">
        <f>IFERROR(__xludf.DUMMYFUNCTION("IF('From Order'!$A2618=COLUMNS($A2618:G2637), LEFT(INDEX(FILTER(G$1:G2617, G$1:G2617&lt;&gt;""""),COUNTA(FILTER(G$1:G2617, G$1:G2617&lt;&gt;""""))), LEN(INDEX(FILTER(G$1:G2617, G$1:G2617&lt;&gt;""""),COUNTA(FILTER(G$1:G2617, G$1:G2617&lt;&gt;""""))))-1), IF('To Order'!$A2618=COL"&amp;"UMNS($A2618:G2637), G2617&amp;RIGHT(INDIRECT(ADDRESS(ROW(G2618)-1, 'From Order'!$A2618)), 1), G2617))"),"ZSB")</f>
        <v>ZSB</v>
      </c>
      <c r="H2618" s="2" t="str">
        <f>IFERROR(__xludf.DUMMYFUNCTION("IF('From Order'!$A2618=COLUMNS($A2618:H2637), LEFT(INDEX(FILTER(H$1:H2617, H$1:H2617&lt;&gt;""""),COUNTA(FILTER(H$1:H2617, H$1:H2617&lt;&gt;""""))), LEN(INDEX(FILTER(H$1:H2617, H$1:H2617&lt;&gt;""""),COUNTA(FILTER(H$1:H2617, H$1:H2617&lt;&gt;""""))))-1), IF('To Order'!$A2618=COL"&amp;"UMNS($A2618:H2637), H2617&amp;RIGHT(INDIRECT(ADDRESS(ROW(H2618)-1, 'From Order'!$A2618)), 1), H2617))"),"TJQ")</f>
        <v>TJQ</v>
      </c>
      <c r="I2618" s="2" t="str">
        <f>IFERROR(__xludf.DUMMYFUNCTION("IF('From Order'!$A2618=COLUMNS($A2618:I2637), LEFT(INDEX(FILTER(I$1:I2617, I$1:I2617&lt;&gt;""""),COUNTA(FILTER(I$1:I2617, I$1:I2617&lt;&gt;""""))), LEN(INDEX(FILTER(I$1:I2617, I$1:I2617&lt;&gt;""""),COUNTA(FILTER(I$1:I2617, I$1:I2617&lt;&gt;""""))))-1), IF('To Order'!$A2618=COL"&amp;"UMNS($A2618:I2637), I2617&amp;RIGHT(INDIRECT(ADDRESS(ROW(I2618)-1, 'From Order'!$A2618)), 1), I2617))"),"QVVDDSPLRRJTTCJFZPRBBWLBFLDT")</f>
        <v>QVVDDSPLRRJTTCJFZPRBBWLBFLDT</v>
      </c>
    </row>
    <row r="2619">
      <c r="A2619" s="2" t="str">
        <f>IFERROR(__xludf.DUMMYFUNCTION("IF('From Order'!$A2619=COLUMNS($A2619:A2638), LEFT(INDEX(FILTER(A$1:A2618, A$1:A2618&lt;&gt;""""),COUNTA(FILTER(A$1:A2618, A$1:A2618&lt;&gt;""""))), LEN(INDEX(FILTER(A$1:A2618, A$1:A2618&lt;&gt;""""),COUNTA(FILTER(A$1:A2618, A$1:A2618&lt;&gt;""""))))-1), IF('To Order'!$A2619=COL"&amp;"UMNS($A2619:A2638), A2618&amp;RIGHT(INDIRECT(ADDRESS(ROW(A2619)-1, 'From Order'!$A2619)), 1), A2618))"),"DDMTMHZTDVRCWG")</f>
        <v>DDMTMHZTDVRCWG</v>
      </c>
      <c r="B2619" s="2" t="str">
        <f>IFERROR(__xludf.DUMMYFUNCTION("IF('From Order'!$A2619=COLUMNS($A2619:B2638), LEFT(INDEX(FILTER(B$1:B2618, B$1:B2618&lt;&gt;""""),COUNTA(FILTER(B$1:B2618, B$1:B2618&lt;&gt;""""))), LEN(INDEX(FILTER(B$1:B2618, B$1:B2618&lt;&gt;""""),COUNTA(FILTER(B$1:B2618, B$1:B2618&lt;&gt;""""))))-1), IF('To Order'!$A2619=COL"&amp;"UMNS($A2619:B2638), B2618&amp;RIGHT(INDIRECT(ADDRESS(ROW(B2619)-1, 'From Order'!$A2619)), 1), B2618))"),"")</f>
        <v/>
      </c>
      <c r="C2619" s="2" t="str">
        <f>IFERROR(__xludf.DUMMYFUNCTION("IF('From Order'!$A2619=COLUMNS($A2619:C2638), LEFT(INDEX(FILTER(C$1:C2618, C$1:C2618&lt;&gt;""""),COUNTA(FILTER(C$1:C2618, C$1:C2618&lt;&gt;""""))), LEN(INDEX(FILTER(C$1:C2618, C$1:C2618&lt;&gt;""""),COUNTA(FILTER(C$1:C2618, C$1:C2618&lt;&gt;""""))))-1), IF('To Order'!$A2619=COL"&amp;"UMNS($A2619:C2638), C2618&amp;RIGHT(INDIRECT(ADDRESS(ROW(C2619)-1, 'From Order'!$A2619)), 1), C2618))"),"")</f>
        <v/>
      </c>
      <c r="D2619" s="2" t="str">
        <f>IFERROR(__xludf.DUMMYFUNCTION("IF('From Order'!$A2619=COLUMNS($A2619:D2638), LEFT(INDEX(FILTER(D$1:D2618, D$1:D2618&lt;&gt;""""),COUNTA(FILTER(D$1:D2618, D$1:D2618&lt;&gt;""""))), LEN(INDEX(FILTER(D$1:D2618, D$1:D2618&lt;&gt;""""),COUNTA(FILTER(D$1:D2618, D$1:D2618&lt;&gt;""""))))-1), IF('To Order'!$A2619=COL"&amp;"UMNS($A2619:D2638), D2618&amp;RIGHT(INDIRECT(ADDRESS(ROW(D2619)-1, 'From Order'!$A2619)), 1), D2618))"),"S")</f>
        <v>S</v>
      </c>
      <c r="E2619" s="2" t="str">
        <f>IFERROR(__xludf.DUMMYFUNCTION("IF('From Order'!$A2619=COLUMNS($A2619:E2638), LEFT(INDEX(FILTER(E$1:E2618, E$1:E2618&lt;&gt;""""),COUNTA(FILTER(E$1:E2618, E$1:E2618&lt;&gt;""""))), LEN(INDEX(FILTER(E$1:E2618, E$1:E2618&lt;&gt;""""),COUNTA(FILTER(E$1:E2618, E$1:E2618&lt;&gt;""""))))-1), IF('To Order'!$A2619=COL"&amp;"UMNS($A2619:E2638), E2618&amp;RIGHT(INDIRECT(ADDRESS(ROW(E2619)-1, 'From Order'!$A2619)), 1), E2618))"),"")</f>
        <v/>
      </c>
      <c r="F2619" s="2" t="str">
        <f>IFERROR(__xludf.DUMMYFUNCTION("IF('From Order'!$A2619=COLUMNS($A2619:F2638), LEFT(INDEX(FILTER(F$1:F2618, F$1:F2618&lt;&gt;""""),COUNTA(FILTER(F$1:F2618, F$1:F2618&lt;&gt;""""))), LEN(INDEX(FILTER(F$1:F2618, F$1:F2618&lt;&gt;""""),COUNTA(FILTER(F$1:F2618, F$1:F2618&lt;&gt;""""))))-1), IF('To Order'!$A2619=COL"&amp;"UMNS($A2619:F2638), F2618&amp;RIGHT(INDIRECT(ADDRESS(ROW(F2619)-1, 'From Order'!$A2619)), 1), F2618))"),"RSPMGH")</f>
        <v>RSPMGH</v>
      </c>
      <c r="G2619" s="2" t="str">
        <f>IFERROR(__xludf.DUMMYFUNCTION("IF('From Order'!$A2619=COLUMNS($A2619:G2638), LEFT(INDEX(FILTER(G$1:G2618, G$1:G2618&lt;&gt;""""),COUNTA(FILTER(G$1:G2618, G$1:G2618&lt;&gt;""""))), LEN(INDEX(FILTER(G$1:G2618, G$1:G2618&lt;&gt;""""),COUNTA(FILTER(G$1:G2618, G$1:G2618&lt;&gt;""""))))-1), IF('To Order'!$A2619=COL"&amp;"UMNS($A2619:G2638), G2618&amp;RIGHT(INDIRECT(ADDRESS(ROW(G2619)-1, 'From Order'!$A2619)), 1), G2618))"),"ZSB")</f>
        <v>ZSB</v>
      </c>
      <c r="H2619" s="2" t="str">
        <f>IFERROR(__xludf.DUMMYFUNCTION("IF('From Order'!$A2619=COLUMNS($A2619:H2638), LEFT(INDEX(FILTER(H$1:H2618, H$1:H2618&lt;&gt;""""),COUNTA(FILTER(H$1:H2618, H$1:H2618&lt;&gt;""""))), LEN(INDEX(FILTER(H$1:H2618, H$1:H2618&lt;&gt;""""),COUNTA(FILTER(H$1:H2618, H$1:H2618&lt;&gt;""""))))-1), IF('To Order'!$A2619=COL"&amp;"UMNS($A2619:H2638), H2618&amp;RIGHT(INDIRECT(ADDRESS(ROW(H2619)-1, 'From Order'!$A2619)), 1), H2618))"),"TJQ")</f>
        <v>TJQ</v>
      </c>
      <c r="I2619" s="2" t="str">
        <f>IFERROR(__xludf.DUMMYFUNCTION("IF('From Order'!$A2619=COLUMNS($A2619:I2638), LEFT(INDEX(FILTER(I$1:I2618, I$1:I2618&lt;&gt;""""),COUNTA(FILTER(I$1:I2618, I$1:I2618&lt;&gt;""""))), LEN(INDEX(FILTER(I$1:I2618, I$1:I2618&lt;&gt;""""),COUNTA(FILTER(I$1:I2618, I$1:I2618&lt;&gt;""""))))-1), IF('To Order'!$A2619=COL"&amp;"UMNS($A2619:I2638), I2618&amp;RIGHT(INDIRECT(ADDRESS(ROW(I2619)-1, 'From Order'!$A2619)), 1), I2618))"),"QVVDDSPLRRJTTCJFZPRBBWLBFLDTC")</f>
        <v>QVVDDSPLRRJTTCJFZPRBBWLBFLDTC</v>
      </c>
    </row>
    <row r="2620">
      <c r="A2620" s="2" t="str">
        <f>IFERROR(__xludf.DUMMYFUNCTION("IF('From Order'!$A2620=COLUMNS($A2620:A2639), LEFT(INDEX(FILTER(A$1:A2619, A$1:A2619&lt;&gt;""""),COUNTA(FILTER(A$1:A2619, A$1:A2619&lt;&gt;""""))), LEN(INDEX(FILTER(A$1:A2619, A$1:A2619&lt;&gt;""""),COUNTA(FILTER(A$1:A2619, A$1:A2619&lt;&gt;""""))))-1), IF('To Order'!$A2620=COL"&amp;"UMNS($A2620:A2639), A2619&amp;RIGHT(INDIRECT(ADDRESS(ROW(A2620)-1, 'From Order'!$A2620)), 1), A2619))"),"DDMTMHZTDVRCW")</f>
        <v>DDMTMHZTDVRCW</v>
      </c>
      <c r="B2620" s="2" t="str">
        <f>IFERROR(__xludf.DUMMYFUNCTION("IF('From Order'!$A2620=COLUMNS($A2620:B2639), LEFT(INDEX(FILTER(B$1:B2619, B$1:B2619&lt;&gt;""""),COUNTA(FILTER(B$1:B2619, B$1:B2619&lt;&gt;""""))), LEN(INDEX(FILTER(B$1:B2619, B$1:B2619&lt;&gt;""""),COUNTA(FILTER(B$1:B2619, B$1:B2619&lt;&gt;""""))))-1), IF('To Order'!$A2620=COL"&amp;"UMNS($A2620:B2639), B2619&amp;RIGHT(INDIRECT(ADDRESS(ROW(B2620)-1, 'From Order'!$A2620)), 1), B2619))"),"")</f>
        <v/>
      </c>
      <c r="C2620" s="2" t="str">
        <f>IFERROR(__xludf.DUMMYFUNCTION("IF('From Order'!$A2620=COLUMNS($A2620:C2639), LEFT(INDEX(FILTER(C$1:C2619, C$1:C2619&lt;&gt;""""),COUNTA(FILTER(C$1:C2619, C$1:C2619&lt;&gt;""""))), LEN(INDEX(FILTER(C$1:C2619, C$1:C2619&lt;&gt;""""),COUNTA(FILTER(C$1:C2619, C$1:C2619&lt;&gt;""""))))-1), IF('To Order'!$A2620=COL"&amp;"UMNS($A2620:C2639), C2619&amp;RIGHT(INDIRECT(ADDRESS(ROW(C2620)-1, 'From Order'!$A2620)), 1), C2619))"),"")</f>
        <v/>
      </c>
      <c r="D2620" s="2" t="str">
        <f>IFERROR(__xludf.DUMMYFUNCTION("IF('From Order'!$A2620=COLUMNS($A2620:D2639), LEFT(INDEX(FILTER(D$1:D2619, D$1:D2619&lt;&gt;""""),COUNTA(FILTER(D$1:D2619, D$1:D2619&lt;&gt;""""))), LEN(INDEX(FILTER(D$1:D2619, D$1:D2619&lt;&gt;""""),COUNTA(FILTER(D$1:D2619, D$1:D2619&lt;&gt;""""))))-1), IF('To Order'!$A2620=COL"&amp;"UMNS($A2620:D2639), D2619&amp;RIGHT(INDIRECT(ADDRESS(ROW(D2620)-1, 'From Order'!$A2620)), 1), D2619))"),"S")</f>
        <v>S</v>
      </c>
      <c r="E2620" s="2" t="str">
        <f>IFERROR(__xludf.DUMMYFUNCTION("IF('From Order'!$A2620=COLUMNS($A2620:E2639), LEFT(INDEX(FILTER(E$1:E2619, E$1:E2619&lt;&gt;""""),COUNTA(FILTER(E$1:E2619, E$1:E2619&lt;&gt;""""))), LEN(INDEX(FILTER(E$1:E2619, E$1:E2619&lt;&gt;""""),COUNTA(FILTER(E$1:E2619, E$1:E2619&lt;&gt;""""))))-1), IF('To Order'!$A2620=COL"&amp;"UMNS($A2620:E2639), E2619&amp;RIGHT(INDIRECT(ADDRESS(ROW(E2620)-1, 'From Order'!$A2620)), 1), E2619))"),"")</f>
        <v/>
      </c>
      <c r="F2620" s="2" t="str">
        <f>IFERROR(__xludf.DUMMYFUNCTION("IF('From Order'!$A2620=COLUMNS($A2620:F2639), LEFT(INDEX(FILTER(F$1:F2619, F$1:F2619&lt;&gt;""""),COUNTA(FILTER(F$1:F2619, F$1:F2619&lt;&gt;""""))), LEN(INDEX(FILTER(F$1:F2619, F$1:F2619&lt;&gt;""""),COUNTA(FILTER(F$1:F2619, F$1:F2619&lt;&gt;""""))))-1), IF('To Order'!$A2620=COL"&amp;"UMNS($A2620:F2639), F2619&amp;RIGHT(INDIRECT(ADDRESS(ROW(F2620)-1, 'From Order'!$A2620)), 1), F2619))"),"RSPMGH")</f>
        <v>RSPMGH</v>
      </c>
      <c r="G2620" s="2" t="str">
        <f>IFERROR(__xludf.DUMMYFUNCTION("IF('From Order'!$A2620=COLUMNS($A2620:G2639), LEFT(INDEX(FILTER(G$1:G2619, G$1:G2619&lt;&gt;""""),COUNTA(FILTER(G$1:G2619, G$1:G2619&lt;&gt;""""))), LEN(INDEX(FILTER(G$1:G2619, G$1:G2619&lt;&gt;""""),COUNTA(FILTER(G$1:G2619, G$1:G2619&lt;&gt;""""))))-1), IF('To Order'!$A2620=COL"&amp;"UMNS($A2620:G2639), G2619&amp;RIGHT(INDIRECT(ADDRESS(ROW(G2620)-1, 'From Order'!$A2620)), 1), G2619))"),"ZSB")</f>
        <v>ZSB</v>
      </c>
      <c r="H2620" s="2" t="str">
        <f>IFERROR(__xludf.DUMMYFUNCTION("IF('From Order'!$A2620=COLUMNS($A2620:H2639), LEFT(INDEX(FILTER(H$1:H2619, H$1:H2619&lt;&gt;""""),COUNTA(FILTER(H$1:H2619, H$1:H2619&lt;&gt;""""))), LEN(INDEX(FILTER(H$1:H2619, H$1:H2619&lt;&gt;""""),COUNTA(FILTER(H$1:H2619, H$1:H2619&lt;&gt;""""))))-1), IF('To Order'!$A2620=COL"&amp;"UMNS($A2620:H2639), H2619&amp;RIGHT(INDIRECT(ADDRESS(ROW(H2620)-1, 'From Order'!$A2620)), 1), H2619))"),"TJQG")</f>
        <v>TJQG</v>
      </c>
      <c r="I2620" s="2" t="str">
        <f>IFERROR(__xludf.DUMMYFUNCTION("IF('From Order'!$A2620=COLUMNS($A2620:I2639), LEFT(INDEX(FILTER(I$1:I2619, I$1:I2619&lt;&gt;""""),COUNTA(FILTER(I$1:I2619, I$1:I2619&lt;&gt;""""))), LEN(INDEX(FILTER(I$1:I2619, I$1:I2619&lt;&gt;""""),COUNTA(FILTER(I$1:I2619, I$1:I2619&lt;&gt;""""))))-1), IF('To Order'!$A2620=COL"&amp;"UMNS($A2620:I2639), I2619&amp;RIGHT(INDIRECT(ADDRESS(ROW(I2620)-1, 'From Order'!$A2620)), 1), I2619))"),"QVVDDSPLRRJTTCJFZPRBBWLBFLDTC")</f>
        <v>QVVDDSPLRRJTTCJFZPRBBWLBFLDTC</v>
      </c>
    </row>
    <row r="2621">
      <c r="A2621" s="2" t="str">
        <f>IFERROR(__xludf.DUMMYFUNCTION("IF('From Order'!$A2621=COLUMNS($A2621:A2640), LEFT(INDEX(FILTER(A$1:A2620, A$1:A2620&lt;&gt;""""),COUNTA(FILTER(A$1:A2620, A$1:A2620&lt;&gt;""""))), LEN(INDEX(FILTER(A$1:A2620, A$1:A2620&lt;&gt;""""),COUNTA(FILTER(A$1:A2620, A$1:A2620&lt;&gt;""""))))-1), IF('To Order'!$A2621=COL"&amp;"UMNS($A2621:A2640), A2620&amp;RIGHT(INDIRECT(ADDRESS(ROW(A2621)-1, 'From Order'!$A2621)), 1), A2620))"),"DDMTMHZTDVRC")</f>
        <v>DDMTMHZTDVRC</v>
      </c>
      <c r="B2621" s="2" t="str">
        <f>IFERROR(__xludf.DUMMYFUNCTION("IF('From Order'!$A2621=COLUMNS($A2621:B2640), LEFT(INDEX(FILTER(B$1:B2620, B$1:B2620&lt;&gt;""""),COUNTA(FILTER(B$1:B2620, B$1:B2620&lt;&gt;""""))), LEN(INDEX(FILTER(B$1:B2620, B$1:B2620&lt;&gt;""""),COUNTA(FILTER(B$1:B2620, B$1:B2620&lt;&gt;""""))))-1), IF('To Order'!$A2621=COL"&amp;"UMNS($A2621:B2640), B2620&amp;RIGHT(INDIRECT(ADDRESS(ROW(B2621)-1, 'From Order'!$A2621)), 1), B2620))"),"")</f>
        <v/>
      </c>
      <c r="C2621" s="2" t="str">
        <f>IFERROR(__xludf.DUMMYFUNCTION("IF('From Order'!$A2621=COLUMNS($A2621:C2640), LEFT(INDEX(FILTER(C$1:C2620, C$1:C2620&lt;&gt;""""),COUNTA(FILTER(C$1:C2620, C$1:C2620&lt;&gt;""""))), LEN(INDEX(FILTER(C$1:C2620, C$1:C2620&lt;&gt;""""),COUNTA(FILTER(C$1:C2620, C$1:C2620&lt;&gt;""""))))-1), IF('To Order'!$A2621=COL"&amp;"UMNS($A2621:C2640), C2620&amp;RIGHT(INDIRECT(ADDRESS(ROW(C2621)-1, 'From Order'!$A2621)), 1), C2620))"),"")</f>
        <v/>
      </c>
      <c r="D2621" s="2" t="str">
        <f>IFERROR(__xludf.DUMMYFUNCTION("IF('From Order'!$A2621=COLUMNS($A2621:D2640), LEFT(INDEX(FILTER(D$1:D2620, D$1:D2620&lt;&gt;""""),COUNTA(FILTER(D$1:D2620, D$1:D2620&lt;&gt;""""))), LEN(INDEX(FILTER(D$1:D2620, D$1:D2620&lt;&gt;""""),COUNTA(FILTER(D$1:D2620, D$1:D2620&lt;&gt;""""))))-1), IF('To Order'!$A2621=COL"&amp;"UMNS($A2621:D2640), D2620&amp;RIGHT(INDIRECT(ADDRESS(ROW(D2621)-1, 'From Order'!$A2621)), 1), D2620))"),"S")</f>
        <v>S</v>
      </c>
      <c r="E2621" s="2" t="str">
        <f>IFERROR(__xludf.DUMMYFUNCTION("IF('From Order'!$A2621=COLUMNS($A2621:E2640), LEFT(INDEX(FILTER(E$1:E2620, E$1:E2620&lt;&gt;""""),COUNTA(FILTER(E$1:E2620, E$1:E2620&lt;&gt;""""))), LEN(INDEX(FILTER(E$1:E2620, E$1:E2620&lt;&gt;""""),COUNTA(FILTER(E$1:E2620, E$1:E2620&lt;&gt;""""))))-1), IF('To Order'!$A2621=COL"&amp;"UMNS($A2621:E2640), E2620&amp;RIGHT(INDIRECT(ADDRESS(ROW(E2621)-1, 'From Order'!$A2621)), 1), E2620))"),"")</f>
        <v/>
      </c>
      <c r="F2621" s="2" t="str">
        <f>IFERROR(__xludf.DUMMYFUNCTION("IF('From Order'!$A2621=COLUMNS($A2621:F2640), LEFT(INDEX(FILTER(F$1:F2620, F$1:F2620&lt;&gt;""""),COUNTA(FILTER(F$1:F2620, F$1:F2620&lt;&gt;""""))), LEN(INDEX(FILTER(F$1:F2620, F$1:F2620&lt;&gt;""""),COUNTA(FILTER(F$1:F2620, F$1:F2620&lt;&gt;""""))))-1), IF('To Order'!$A2621=COL"&amp;"UMNS($A2621:F2640), F2620&amp;RIGHT(INDIRECT(ADDRESS(ROW(F2621)-1, 'From Order'!$A2621)), 1), F2620))"),"RSPMGH")</f>
        <v>RSPMGH</v>
      </c>
      <c r="G2621" s="2" t="str">
        <f>IFERROR(__xludf.DUMMYFUNCTION("IF('From Order'!$A2621=COLUMNS($A2621:G2640), LEFT(INDEX(FILTER(G$1:G2620, G$1:G2620&lt;&gt;""""),COUNTA(FILTER(G$1:G2620, G$1:G2620&lt;&gt;""""))), LEN(INDEX(FILTER(G$1:G2620, G$1:G2620&lt;&gt;""""),COUNTA(FILTER(G$1:G2620, G$1:G2620&lt;&gt;""""))))-1), IF('To Order'!$A2621=COL"&amp;"UMNS($A2621:G2640), G2620&amp;RIGHT(INDIRECT(ADDRESS(ROW(G2621)-1, 'From Order'!$A2621)), 1), G2620))"),"ZSB")</f>
        <v>ZSB</v>
      </c>
      <c r="H2621" s="2" t="str">
        <f>IFERROR(__xludf.DUMMYFUNCTION("IF('From Order'!$A2621=COLUMNS($A2621:H2640), LEFT(INDEX(FILTER(H$1:H2620, H$1:H2620&lt;&gt;""""),COUNTA(FILTER(H$1:H2620, H$1:H2620&lt;&gt;""""))), LEN(INDEX(FILTER(H$1:H2620, H$1:H2620&lt;&gt;""""),COUNTA(FILTER(H$1:H2620, H$1:H2620&lt;&gt;""""))))-1), IF('To Order'!$A2621=COL"&amp;"UMNS($A2621:H2640), H2620&amp;RIGHT(INDIRECT(ADDRESS(ROW(H2621)-1, 'From Order'!$A2621)), 1), H2620))"),"TJQGW")</f>
        <v>TJQGW</v>
      </c>
      <c r="I2621" s="2" t="str">
        <f>IFERROR(__xludf.DUMMYFUNCTION("IF('From Order'!$A2621=COLUMNS($A2621:I2640), LEFT(INDEX(FILTER(I$1:I2620, I$1:I2620&lt;&gt;""""),COUNTA(FILTER(I$1:I2620, I$1:I2620&lt;&gt;""""))), LEN(INDEX(FILTER(I$1:I2620, I$1:I2620&lt;&gt;""""),COUNTA(FILTER(I$1:I2620, I$1:I2620&lt;&gt;""""))))-1), IF('To Order'!$A2621=COL"&amp;"UMNS($A2621:I2640), I2620&amp;RIGHT(INDIRECT(ADDRESS(ROW(I2621)-1, 'From Order'!$A2621)), 1), I2620))"),"QVVDDSPLRRJTTCJFZPRBBWLBFLDTC")</f>
        <v>QVVDDSPLRRJTTCJFZPRBBWLBFLDTC</v>
      </c>
    </row>
    <row r="2622">
      <c r="A2622" s="2" t="str">
        <f>IFERROR(__xludf.DUMMYFUNCTION("IF('From Order'!$A2622=COLUMNS($A2622:A2641), LEFT(INDEX(FILTER(A$1:A2621, A$1:A2621&lt;&gt;""""),COUNTA(FILTER(A$1:A2621, A$1:A2621&lt;&gt;""""))), LEN(INDEX(FILTER(A$1:A2621, A$1:A2621&lt;&gt;""""),COUNTA(FILTER(A$1:A2621, A$1:A2621&lt;&gt;""""))))-1), IF('To Order'!$A2622=COL"&amp;"UMNS($A2622:A2641), A2621&amp;RIGHT(INDIRECT(ADDRESS(ROW(A2622)-1, 'From Order'!$A2622)), 1), A2621))"),"DDMTMHZTDVR")</f>
        <v>DDMTMHZTDVR</v>
      </c>
      <c r="B2622" s="2" t="str">
        <f>IFERROR(__xludf.DUMMYFUNCTION("IF('From Order'!$A2622=COLUMNS($A2622:B2641), LEFT(INDEX(FILTER(B$1:B2621, B$1:B2621&lt;&gt;""""),COUNTA(FILTER(B$1:B2621, B$1:B2621&lt;&gt;""""))), LEN(INDEX(FILTER(B$1:B2621, B$1:B2621&lt;&gt;""""),COUNTA(FILTER(B$1:B2621, B$1:B2621&lt;&gt;""""))))-1), IF('To Order'!$A2622=COL"&amp;"UMNS($A2622:B2641), B2621&amp;RIGHT(INDIRECT(ADDRESS(ROW(B2622)-1, 'From Order'!$A2622)), 1), B2621))"),"")</f>
        <v/>
      </c>
      <c r="C2622" s="2" t="str">
        <f>IFERROR(__xludf.DUMMYFUNCTION("IF('From Order'!$A2622=COLUMNS($A2622:C2641), LEFT(INDEX(FILTER(C$1:C2621, C$1:C2621&lt;&gt;""""),COUNTA(FILTER(C$1:C2621, C$1:C2621&lt;&gt;""""))), LEN(INDEX(FILTER(C$1:C2621, C$1:C2621&lt;&gt;""""),COUNTA(FILTER(C$1:C2621, C$1:C2621&lt;&gt;""""))))-1), IF('To Order'!$A2622=COL"&amp;"UMNS($A2622:C2641), C2621&amp;RIGHT(INDIRECT(ADDRESS(ROW(C2622)-1, 'From Order'!$A2622)), 1), C2621))"),"")</f>
        <v/>
      </c>
      <c r="D2622" s="2" t="str">
        <f>IFERROR(__xludf.DUMMYFUNCTION("IF('From Order'!$A2622=COLUMNS($A2622:D2641), LEFT(INDEX(FILTER(D$1:D2621, D$1:D2621&lt;&gt;""""),COUNTA(FILTER(D$1:D2621, D$1:D2621&lt;&gt;""""))), LEN(INDEX(FILTER(D$1:D2621, D$1:D2621&lt;&gt;""""),COUNTA(FILTER(D$1:D2621, D$1:D2621&lt;&gt;""""))))-1), IF('To Order'!$A2622=COL"&amp;"UMNS($A2622:D2641), D2621&amp;RIGHT(INDIRECT(ADDRESS(ROW(D2622)-1, 'From Order'!$A2622)), 1), D2621))"),"S")</f>
        <v>S</v>
      </c>
      <c r="E2622" s="2" t="str">
        <f>IFERROR(__xludf.DUMMYFUNCTION("IF('From Order'!$A2622=COLUMNS($A2622:E2641), LEFT(INDEX(FILTER(E$1:E2621, E$1:E2621&lt;&gt;""""),COUNTA(FILTER(E$1:E2621, E$1:E2621&lt;&gt;""""))), LEN(INDEX(FILTER(E$1:E2621, E$1:E2621&lt;&gt;""""),COUNTA(FILTER(E$1:E2621, E$1:E2621&lt;&gt;""""))))-1), IF('To Order'!$A2622=COL"&amp;"UMNS($A2622:E2641), E2621&amp;RIGHT(INDIRECT(ADDRESS(ROW(E2622)-1, 'From Order'!$A2622)), 1), E2621))"),"")</f>
        <v/>
      </c>
      <c r="F2622" s="2" t="str">
        <f>IFERROR(__xludf.DUMMYFUNCTION("IF('From Order'!$A2622=COLUMNS($A2622:F2641), LEFT(INDEX(FILTER(F$1:F2621, F$1:F2621&lt;&gt;""""),COUNTA(FILTER(F$1:F2621, F$1:F2621&lt;&gt;""""))), LEN(INDEX(FILTER(F$1:F2621, F$1:F2621&lt;&gt;""""),COUNTA(FILTER(F$1:F2621, F$1:F2621&lt;&gt;""""))))-1), IF('To Order'!$A2622=COL"&amp;"UMNS($A2622:F2641), F2621&amp;RIGHT(INDIRECT(ADDRESS(ROW(F2622)-1, 'From Order'!$A2622)), 1), F2621))"),"RSPMGH")</f>
        <v>RSPMGH</v>
      </c>
      <c r="G2622" s="2" t="str">
        <f>IFERROR(__xludf.DUMMYFUNCTION("IF('From Order'!$A2622=COLUMNS($A2622:G2641), LEFT(INDEX(FILTER(G$1:G2621, G$1:G2621&lt;&gt;""""),COUNTA(FILTER(G$1:G2621, G$1:G2621&lt;&gt;""""))), LEN(INDEX(FILTER(G$1:G2621, G$1:G2621&lt;&gt;""""),COUNTA(FILTER(G$1:G2621, G$1:G2621&lt;&gt;""""))))-1), IF('To Order'!$A2622=COL"&amp;"UMNS($A2622:G2641), G2621&amp;RIGHT(INDIRECT(ADDRESS(ROW(G2622)-1, 'From Order'!$A2622)), 1), G2621))"),"ZSB")</f>
        <v>ZSB</v>
      </c>
      <c r="H2622" s="2" t="str">
        <f>IFERROR(__xludf.DUMMYFUNCTION("IF('From Order'!$A2622=COLUMNS($A2622:H2641), LEFT(INDEX(FILTER(H$1:H2621, H$1:H2621&lt;&gt;""""),COUNTA(FILTER(H$1:H2621, H$1:H2621&lt;&gt;""""))), LEN(INDEX(FILTER(H$1:H2621, H$1:H2621&lt;&gt;""""),COUNTA(FILTER(H$1:H2621, H$1:H2621&lt;&gt;""""))))-1), IF('To Order'!$A2622=COL"&amp;"UMNS($A2622:H2641), H2621&amp;RIGHT(INDIRECT(ADDRESS(ROW(H2622)-1, 'From Order'!$A2622)), 1), H2621))"),"TJQGWC")</f>
        <v>TJQGWC</v>
      </c>
      <c r="I2622" s="2" t="str">
        <f>IFERROR(__xludf.DUMMYFUNCTION("IF('From Order'!$A2622=COLUMNS($A2622:I2641), LEFT(INDEX(FILTER(I$1:I2621, I$1:I2621&lt;&gt;""""),COUNTA(FILTER(I$1:I2621, I$1:I2621&lt;&gt;""""))), LEN(INDEX(FILTER(I$1:I2621, I$1:I2621&lt;&gt;""""),COUNTA(FILTER(I$1:I2621, I$1:I2621&lt;&gt;""""))))-1), IF('To Order'!$A2622=COL"&amp;"UMNS($A2622:I2641), I2621&amp;RIGHT(INDIRECT(ADDRESS(ROW(I2622)-1, 'From Order'!$A2622)), 1), I2621))"),"QVVDDSPLRRJTTCJFZPRBBWLBFLDTC")</f>
        <v>QVVDDSPLRRJTTCJFZPRBBWLBFLDTC</v>
      </c>
    </row>
    <row r="2623">
      <c r="A2623" s="2" t="str">
        <f>IFERROR(__xludf.DUMMYFUNCTION("IF('From Order'!$A2623=COLUMNS($A2623:A2642), LEFT(INDEX(FILTER(A$1:A2622, A$1:A2622&lt;&gt;""""),COUNTA(FILTER(A$1:A2622, A$1:A2622&lt;&gt;""""))), LEN(INDEX(FILTER(A$1:A2622, A$1:A2622&lt;&gt;""""),COUNTA(FILTER(A$1:A2622, A$1:A2622&lt;&gt;""""))))-1), IF('To Order'!$A2623=COL"&amp;"UMNS($A2623:A2642), A2622&amp;RIGHT(INDIRECT(ADDRESS(ROW(A2623)-1, 'From Order'!$A2623)), 1), A2622))"),"DDMTMHZTDV")</f>
        <v>DDMTMHZTDV</v>
      </c>
      <c r="B2623" s="2" t="str">
        <f>IFERROR(__xludf.DUMMYFUNCTION("IF('From Order'!$A2623=COLUMNS($A2623:B2642), LEFT(INDEX(FILTER(B$1:B2622, B$1:B2622&lt;&gt;""""),COUNTA(FILTER(B$1:B2622, B$1:B2622&lt;&gt;""""))), LEN(INDEX(FILTER(B$1:B2622, B$1:B2622&lt;&gt;""""),COUNTA(FILTER(B$1:B2622, B$1:B2622&lt;&gt;""""))))-1), IF('To Order'!$A2623=COL"&amp;"UMNS($A2623:B2642), B2622&amp;RIGHT(INDIRECT(ADDRESS(ROW(B2623)-1, 'From Order'!$A2623)), 1), B2622))"),"")</f>
        <v/>
      </c>
      <c r="C2623" s="2" t="str">
        <f>IFERROR(__xludf.DUMMYFUNCTION("IF('From Order'!$A2623=COLUMNS($A2623:C2642), LEFT(INDEX(FILTER(C$1:C2622, C$1:C2622&lt;&gt;""""),COUNTA(FILTER(C$1:C2622, C$1:C2622&lt;&gt;""""))), LEN(INDEX(FILTER(C$1:C2622, C$1:C2622&lt;&gt;""""),COUNTA(FILTER(C$1:C2622, C$1:C2622&lt;&gt;""""))))-1), IF('To Order'!$A2623=COL"&amp;"UMNS($A2623:C2642), C2622&amp;RIGHT(INDIRECT(ADDRESS(ROW(C2623)-1, 'From Order'!$A2623)), 1), C2622))"),"")</f>
        <v/>
      </c>
      <c r="D2623" s="2" t="str">
        <f>IFERROR(__xludf.DUMMYFUNCTION("IF('From Order'!$A2623=COLUMNS($A2623:D2642), LEFT(INDEX(FILTER(D$1:D2622, D$1:D2622&lt;&gt;""""),COUNTA(FILTER(D$1:D2622, D$1:D2622&lt;&gt;""""))), LEN(INDEX(FILTER(D$1:D2622, D$1:D2622&lt;&gt;""""),COUNTA(FILTER(D$1:D2622, D$1:D2622&lt;&gt;""""))))-1), IF('To Order'!$A2623=COL"&amp;"UMNS($A2623:D2642), D2622&amp;RIGHT(INDIRECT(ADDRESS(ROW(D2623)-1, 'From Order'!$A2623)), 1), D2622))"),"S")</f>
        <v>S</v>
      </c>
      <c r="E2623" s="2" t="str">
        <f>IFERROR(__xludf.DUMMYFUNCTION("IF('From Order'!$A2623=COLUMNS($A2623:E2642), LEFT(INDEX(FILTER(E$1:E2622, E$1:E2622&lt;&gt;""""),COUNTA(FILTER(E$1:E2622, E$1:E2622&lt;&gt;""""))), LEN(INDEX(FILTER(E$1:E2622, E$1:E2622&lt;&gt;""""),COUNTA(FILTER(E$1:E2622, E$1:E2622&lt;&gt;""""))))-1), IF('To Order'!$A2623=COL"&amp;"UMNS($A2623:E2642), E2622&amp;RIGHT(INDIRECT(ADDRESS(ROW(E2623)-1, 'From Order'!$A2623)), 1), E2622))"),"")</f>
        <v/>
      </c>
      <c r="F2623" s="2" t="str">
        <f>IFERROR(__xludf.DUMMYFUNCTION("IF('From Order'!$A2623=COLUMNS($A2623:F2642), LEFT(INDEX(FILTER(F$1:F2622, F$1:F2622&lt;&gt;""""),COUNTA(FILTER(F$1:F2622, F$1:F2622&lt;&gt;""""))), LEN(INDEX(FILTER(F$1:F2622, F$1:F2622&lt;&gt;""""),COUNTA(FILTER(F$1:F2622, F$1:F2622&lt;&gt;""""))))-1), IF('To Order'!$A2623=COL"&amp;"UMNS($A2623:F2642), F2622&amp;RIGHT(INDIRECT(ADDRESS(ROW(F2623)-1, 'From Order'!$A2623)), 1), F2622))"),"RSPMGH")</f>
        <v>RSPMGH</v>
      </c>
      <c r="G2623" s="2" t="str">
        <f>IFERROR(__xludf.DUMMYFUNCTION("IF('From Order'!$A2623=COLUMNS($A2623:G2642), LEFT(INDEX(FILTER(G$1:G2622, G$1:G2622&lt;&gt;""""),COUNTA(FILTER(G$1:G2622, G$1:G2622&lt;&gt;""""))), LEN(INDEX(FILTER(G$1:G2622, G$1:G2622&lt;&gt;""""),COUNTA(FILTER(G$1:G2622, G$1:G2622&lt;&gt;""""))))-1), IF('To Order'!$A2623=COL"&amp;"UMNS($A2623:G2642), G2622&amp;RIGHT(INDIRECT(ADDRESS(ROW(G2623)-1, 'From Order'!$A2623)), 1), G2622))"),"ZSB")</f>
        <v>ZSB</v>
      </c>
      <c r="H2623" s="2" t="str">
        <f>IFERROR(__xludf.DUMMYFUNCTION("IF('From Order'!$A2623=COLUMNS($A2623:H2642), LEFT(INDEX(FILTER(H$1:H2622, H$1:H2622&lt;&gt;""""),COUNTA(FILTER(H$1:H2622, H$1:H2622&lt;&gt;""""))), LEN(INDEX(FILTER(H$1:H2622, H$1:H2622&lt;&gt;""""),COUNTA(FILTER(H$1:H2622, H$1:H2622&lt;&gt;""""))))-1), IF('To Order'!$A2623=COL"&amp;"UMNS($A2623:H2642), H2622&amp;RIGHT(INDIRECT(ADDRESS(ROW(H2623)-1, 'From Order'!$A2623)), 1), H2622))"),"TJQGWCR")</f>
        <v>TJQGWCR</v>
      </c>
      <c r="I2623" s="2" t="str">
        <f>IFERROR(__xludf.DUMMYFUNCTION("IF('From Order'!$A2623=COLUMNS($A2623:I2642), LEFT(INDEX(FILTER(I$1:I2622, I$1:I2622&lt;&gt;""""),COUNTA(FILTER(I$1:I2622, I$1:I2622&lt;&gt;""""))), LEN(INDEX(FILTER(I$1:I2622, I$1:I2622&lt;&gt;""""),COUNTA(FILTER(I$1:I2622, I$1:I2622&lt;&gt;""""))))-1), IF('To Order'!$A2623=COL"&amp;"UMNS($A2623:I2642), I2622&amp;RIGHT(INDIRECT(ADDRESS(ROW(I2623)-1, 'From Order'!$A2623)), 1), I2622))"),"QVVDDSPLRRJTTCJFZPRBBWLBFLDTC")</f>
        <v>QVVDDSPLRRJTTCJFZPRBBWLBFLDTC</v>
      </c>
    </row>
    <row r="2624">
      <c r="A2624" s="2" t="str">
        <f>IFERROR(__xludf.DUMMYFUNCTION("IF('From Order'!$A2624=COLUMNS($A2624:A2643), LEFT(INDEX(FILTER(A$1:A2623, A$1:A2623&lt;&gt;""""),COUNTA(FILTER(A$1:A2623, A$1:A2623&lt;&gt;""""))), LEN(INDEX(FILTER(A$1:A2623, A$1:A2623&lt;&gt;""""),COUNTA(FILTER(A$1:A2623, A$1:A2623&lt;&gt;""""))))-1), IF('To Order'!$A2624=COL"&amp;"UMNS($A2624:A2643), A2623&amp;RIGHT(INDIRECT(ADDRESS(ROW(A2624)-1, 'From Order'!$A2624)), 1), A2623))"),"DDMTMHZTD")</f>
        <v>DDMTMHZTD</v>
      </c>
      <c r="B2624" s="2" t="str">
        <f>IFERROR(__xludf.DUMMYFUNCTION("IF('From Order'!$A2624=COLUMNS($A2624:B2643), LEFT(INDEX(FILTER(B$1:B2623, B$1:B2623&lt;&gt;""""),COUNTA(FILTER(B$1:B2623, B$1:B2623&lt;&gt;""""))), LEN(INDEX(FILTER(B$1:B2623, B$1:B2623&lt;&gt;""""),COUNTA(FILTER(B$1:B2623, B$1:B2623&lt;&gt;""""))))-1), IF('To Order'!$A2624=COL"&amp;"UMNS($A2624:B2643), B2623&amp;RIGHT(INDIRECT(ADDRESS(ROW(B2624)-1, 'From Order'!$A2624)), 1), B2623))"),"")</f>
        <v/>
      </c>
      <c r="C2624" s="2" t="str">
        <f>IFERROR(__xludf.DUMMYFUNCTION("IF('From Order'!$A2624=COLUMNS($A2624:C2643), LEFT(INDEX(FILTER(C$1:C2623, C$1:C2623&lt;&gt;""""),COUNTA(FILTER(C$1:C2623, C$1:C2623&lt;&gt;""""))), LEN(INDEX(FILTER(C$1:C2623, C$1:C2623&lt;&gt;""""),COUNTA(FILTER(C$1:C2623, C$1:C2623&lt;&gt;""""))))-1), IF('To Order'!$A2624=COL"&amp;"UMNS($A2624:C2643), C2623&amp;RIGHT(INDIRECT(ADDRESS(ROW(C2624)-1, 'From Order'!$A2624)), 1), C2623))"),"")</f>
        <v/>
      </c>
      <c r="D2624" s="2" t="str">
        <f>IFERROR(__xludf.DUMMYFUNCTION("IF('From Order'!$A2624=COLUMNS($A2624:D2643), LEFT(INDEX(FILTER(D$1:D2623, D$1:D2623&lt;&gt;""""),COUNTA(FILTER(D$1:D2623, D$1:D2623&lt;&gt;""""))), LEN(INDEX(FILTER(D$1:D2623, D$1:D2623&lt;&gt;""""),COUNTA(FILTER(D$1:D2623, D$1:D2623&lt;&gt;""""))))-1), IF('To Order'!$A2624=COL"&amp;"UMNS($A2624:D2643), D2623&amp;RIGHT(INDIRECT(ADDRESS(ROW(D2624)-1, 'From Order'!$A2624)), 1), D2623))"),"S")</f>
        <v>S</v>
      </c>
      <c r="E2624" s="2" t="str">
        <f>IFERROR(__xludf.DUMMYFUNCTION("IF('From Order'!$A2624=COLUMNS($A2624:E2643), LEFT(INDEX(FILTER(E$1:E2623, E$1:E2623&lt;&gt;""""),COUNTA(FILTER(E$1:E2623, E$1:E2623&lt;&gt;""""))), LEN(INDEX(FILTER(E$1:E2623, E$1:E2623&lt;&gt;""""),COUNTA(FILTER(E$1:E2623, E$1:E2623&lt;&gt;""""))))-1), IF('To Order'!$A2624=COL"&amp;"UMNS($A2624:E2643), E2623&amp;RIGHT(INDIRECT(ADDRESS(ROW(E2624)-1, 'From Order'!$A2624)), 1), E2623))"),"")</f>
        <v/>
      </c>
      <c r="F2624" s="2" t="str">
        <f>IFERROR(__xludf.DUMMYFUNCTION("IF('From Order'!$A2624=COLUMNS($A2624:F2643), LEFT(INDEX(FILTER(F$1:F2623, F$1:F2623&lt;&gt;""""),COUNTA(FILTER(F$1:F2623, F$1:F2623&lt;&gt;""""))), LEN(INDEX(FILTER(F$1:F2623, F$1:F2623&lt;&gt;""""),COUNTA(FILTER(F$1:F2623, F$1:F2623&lt;&gt;""""))))-1), IF('To Order'!$A2624=COL"&amp;"UMNS($A2624:F2643), F2623&amp;RIGHT(INDIRECT(ADDRESS(ROW(F2624)-1, 'From Order'!$A2624)), 1), F2623))"),"RSPMGH")</f>
        <v>RSPMGH</v>
      </c>
      <c r="G2624" s="2" t="str">
        <f>IFERROR(__xludf.DUMMYFUNCTION("IF('From Order'!$A2624=COLUMNS($A2624:G2643), LEFT(INDEX(FILTER(G$1:G2623, G$1:G2623&lt;&gt;""""),COUNTA(FILTER(G$1:G2623, G$1:G2623&lt;&gt;""""))), LEN(INDEX(FILTER(G$1:G2623, G$1:G2623&lt;&gt;""""),COUNTA(FILTER(G$1:G2623, G$1:G2623&lt;&gt;""""))))-1), IF('To Order'!$A2624=COL"&amp;"UMNS($A2624:G2643), G2623&amp;RIGHT(INDIRECT(ADDRESS(ROW(G2624)-1, 'From Order'!$A2624)), 1), G2623))"),"ZSB")</f>
        <v>ZSB</v>
      </c>
      <c r="H2624" s="2" t="str">
        <f>IFERROR(__xludf.DUMMYFUNCTION("IF('From Order'!$A2624=COLUMNS($A2624:H2643), LEFT(INDEX(FILTER(H$1:H2623, H$1:H2623&lt;&gt;""""),COUNTA(FILTER(H$1:H2623, H$1:H2623&lt;&gt;""""))), LEN(INDEX(FILTER(H$1:H2623, H$1:H2623&lt;&gt;""""),COUNTA(FILTER(H$1:H2623, H$1:H2623&lt;&gt;""""))))-1), IF('To Order'!$A2624=COL"&amp;"UMNS($A2624:H2643), H2623&amp;RIGHT(INDIRECT(ADDRESS(ROW(H2624)-1, 'From Order'!$A2624)), 1), H2623))"),"TJQGWCRV")</f>
        <v>TJQGWCRV</v>
      </c>
      <c r="I2624" s="2" t="str">
        <f>IFERROR(__xludf.DUMMYFUNCTION("IF('From Order'!$A2624=COLUMNS($A2624:I2643), LEFT(INDEX(FILTER(I$1:I2623, I$1:I2623&lt;&gt;""""),COUNTA(FILTER(I$1:I2623, I$1:I2623&lt;&gt;""""))), LEN(INDEX(FILTER(I$1:I2623, I$1:I2623&lt;&gt;""""),COUNTA(FILTER(I$1:I2623, I$1:I2623&lt;&gt;""""))))-1), IF('To Order'!$A2624=COL"&amp;"UMNS($A2624:I2643), I2623&amp;RIGHT(INDIRECT(ADDRESS(ROW(I2624)-1, 'From Order'!$A2624)), 1), I2623))"),"QVVDDSPLRRJTTCJFZPRBBWLBFLDTC")</f>
        <v>QVVDDSPLRRJTTCJFZPRBBWLBFLDTC</v>
      </c>
    </row>
    <row r="2625">
      <c r="A2625" s="2" t="str">
        <f>IFERROR(__xludf.DUMMYFUNCTION("IF('From Order'!$A2625=COLUMNS($A2625:A2644), LEFT(INDEX(FILTER(A$1:A2624, A$1:A2624&lt;&gt;""""),COUNTA(FILTER(A$1:A2624, A$1:A2624&lt;&gt;""""))), LEN(INDEX(FILTER(A$1:A2624, A$1:A2624&lt;&gt;""""),COUNTA(FILTER(A$1:A2624, A$1:A2624&lt;&gt;""""))))-1), IF('To Order'!$A2625=COL"&amp;"UMNS($A2625:A2644), A2624&amp;RIGHT(INDIRECT(ADDRESS(ROW(A2625)-1, 'From Order'!$A2625)), 1), A2624))"),"DDMTMHZT")</f>
        <v>DDMTMHZT</v>
      </c>
      <c r="B2625" s="2" t="str">
        <f>IFERROR(__xludf.DUMMYFUNCTION("IF('From Order'!$A2625=COLUMNS($A2625:B2644), LEFT(INDEX(FILTER(B$1:B2624, B$1:B2624&lt;&gt;""""),COUNTA(FILTER(B$1:B2624, B$1:B2624&lt;&gt;""""))), LEN(INDEX(FILTER(B$1:B2624, B$1:B2624&lt;&gt;""""),COUNTA(FILTER(B$1:B2624, B$1:B2624&lt;&gt;""""))))-1), IF('To Order'!$A2625=COL"&amp;"UMNS($A2625:B2644), B2624&amp;RIGHT(INDIRECT(ADDRESS(ROW(B2625)-1, 'From Order'!$A2625)), 1), B2624))"),"")</f>
        <v/>
      </c>
      <c r="C2625" s="2" t="str">
        <f>IFERROR(__xludf.DUMMYFUNCTION("IF('From Order'!$A2625=COLUMNS($A2625:C2644), LEFT(INDEX(FILTER(C$1:C2624, C$1:C2624&lt;&gt;""""),COUNTA(FILTER(C$1:C2624, C$1:C2624&lt;&gt;""""))), LEN(INDEX(FILTER(C$1:C2624, C$1:C2624&lt;&gt;""""),COUNTA(FILTER(C$1:C2624, C$1:C2624&lt;&gt;""""))))-1), IF('To Order'!$A2625=COL"&amp;"UMNS($A2625:C2644), C2624&amp;RIGHT(INDIRECT(ADDRESS(ROW(C2625)-1, 'From Order'!$A2625)), 1), C2624))"),"")</f>
        <v/>
      </c>
      <c r="D2625" s="2" t="str">
        <f>IFERROR(__xludf.DUMMYFUNCTION("IF('From Order'!$A2625=COLUMNS($A2625:D2644), LEFT(INDEX(FILTER(D$1:D2624, D$1:D2624&lt;&gt;""""),COUNTA(FILTER(D$1:D2624, D$1:D2624&lt;&gt;""""))), LEN(INDEX(FILTER(D$1:D2624, D$1:D2624&lt;&gt;""""),COUNTA(FILTER(D$1:D2624, D$1:D2624&lt;&gt;""""))))-1), IF('To Order'!$A2625=COL"&amp;"UMNS($A2625:D2644), D2624&amp;RIGHT(INDIRECT(ADDRESS(ROW(D2625)-1, 'From Order'!$A2625)), 1), D2624))"),"S")</f>
        <v>S</v>
      </c>
      <c r="E2625" s="2" t="str">
        <f>IFERROR(__xludf.DUMMYFUNCTION("IF('From Order'!$A2625=COLUMNS($A2625:E2644), LEFT(INDEX(FILTER(E$1:E2624, E$1:E2624&lt;&gt;""""),COUNTA(FILTER(E$1:E2624, E$1:E2624&lt;&gt;""""))), LEN(INDEX(FILTER(E$1:E2624, E$1:E2624&lt;&gt;""""),COUNTA(FILTER(E$1:E2624, E$1:E2624&lt;&gt;""""))))-1), IF('To Order'!$A2625=COL"&amp;"UMNS($A2625:E2644), E2624&amp;RIGHT(INDIRECT(ADDRESS(ROW(E2625)-1, 'From Order'!$A2625)), 1), E2624))"),"")</f>
        <v/>
      </c>
      <c r="F2625" s="2" t="str">
        <f>IFERROR(__xludf.DUMMYFUNCTION("IF('From Order'!$A2625=COLUMNS($A2625:F2644), LEFT(INDEX(FILTER(F$1:F2624, F$1:F2624&lt;&gt;""""),COUNTA(FILTER(F$1:F2624, F$1:F2624&lt;&gt;""""))), LEN(INDEX(FILTER(F$1:F2624, F$1:F2624&lt;&gt;""""),COUNTA(FILTER(F$1:F2624, F$1:F2624&lt;&gt;""""))))-1), IF('To Order'!$A2625=COL"&amp;"UMNS($A2625:F2644), F2624&amp;RIGHT(INDIRECT(ADDRESS(ROW(F2625)-1, 'From Order'!$A2625)), 1), F2624))"),"RSPMGH")</f>
        <v>RSPMGH</v>
      </c>
      <c r="G2625" s="2" t="str">
        <f>IFERROR(__xludf.DUMMYFUNCTION("IF('From Order'!$A2625=COLUMNS($A2625:G2644), LEFT(INDEX(FILTER(G$1:G2624, G$1:G2624&lt;&gt;""""),COUNTA(FILTER(G$1:G2624, G$1:G2624&lt;&gt;""""))), LEN(INDEX(FILTER(G$1:G2624, G$1:G2624&lt;&gt;""""),COUNTA(FILTER(G$1:G2624, G$1:G2624&lt;&gt;""""))))-1), IF('To Order'!$A2625=COL"&amp;"UMNS($A2625:G2644), G2624&amp;RIGHT(INDIRECT(ADDRESS(ROW(G2625)-1, 'From Order'!$A2625)), 1), G2624))"),"ZSB")</f>
        <v>ZSB</v>
      </c>
      <c r="H2625" s="2" t="str">
        <f>IFERROR(__xludf.DUMMYFUNCTION("IF('From Order'!$A2625=COLUMNS($A2625:H2644), LEFT(INDEX(FILTER(H$1:H2624, H$1:H2624&lt;&gt;""""),COUNTA(FILTER(H$1:H2624, H$1:H2624&lt;&gt;""""))), LEN(INDEX(FILTER(H$1:H2624, H$1:H2624&lt;&gt;""""),COUNTA(FILTER(H$1:H2624, H$1:H2624&lt;&gt;""""))))-1), IF('To Order'!$A2625=COL"&amp;"UMNS($A2625:H2644), H2624&amp;RIGHT(INDIRECT(ADDRESS(ROW(H2625)-1, 'From Order'!$A2625)), 1), H2624))"),"TJQGWCRVD")</f>
        <v>TJQGWCRVD</v>
      </c>
      <c r="I2625" s="2" t="str">
        <f>IFERROR(__xludf.DUMMYFUNCTION("IF('From Order'!$A2625=COLUMNS($A2625:I2644), LEFT(INDEX(FILTER(I$1:I2624, I$1:I2624&lt;&gt;""""),COUNTA(FILTER(I$1:I2624, I$1:I2624&lt;&gt;""""))), LEN(INDEX(FILTER(I$1:I2624, I$1:I2624&lt;&gt;""""),COUNTA(FILTER(I$1:I2624, I$1:I2624&lt;&gt;""""))))-1), IF('To Order'!$A2625=COL"&amp;"UMNS($A2625:I2644), I2624&amp;RIGHT(INDIRECT(ADDRESS(ROW(I2625)-1, 'From Order'!$A2625)), 1), I2624))"),"QVVDDSPLRRJTTCJFZPRBBWLBFLDTC")</f>
        <v>QVVDDSPLRRJTTCJFZPRBBWLBFLDTC</v>
      </c>
    </row>
    <row r="2626">
      <c r="A2626" s="2" t="str">
        <f>IFERROR(__xludf.DUMMYFUNCTION("IF('From Order'!$A2626=COLUMNS($A2626:A2645), LEFT(INDEX(FILTER(A$1:A2625, A$1:A2625&lt;&gt;""""),COUNTA(FILTER(A$1:A2625, A$1:A2625&lt;&gt;""""))), LEN(INDEX(FILTER(A$1:A2625, A$1:A2625&lt;&gt;""""),COUNTA(FILTER(A$1:A2625, A$1:A2625&lt;&gt;""""))))-1), IF('To Order'!$A2626=COL"&amp;"UMNS($A2626:A2645), A2625&amp;RIGHT(INDIRECT(ADDRESS(ROW(A2626)-1, 'From Order'!$A2626)), 1), A2625))"),"DDMTMHZ")</f>
        <v>DDMTMHZ</v>
      </c>
      <c r="B2626" s="2" t="str">
        <f>IFERROR(__xludf.DUMMYFUNCTION("IF('From Order'!$A2626=COLUMNS($A2626:B2645), LEFT(INDEX(FILTER(B$1:B2625, B$1:B2625&lt;&gt;""""),COUNTA(FILTER(B$1:B2625, B$1:B2625&lt;&gt;""""))), LEN(INDEX(FILTER(B$1:B2625, B$1:B2625&lt;&gt;""""),COUNTA(FILTER(B$1:B2625, B$1:B2625&lt;&gt;""""))))-1), IF('To Order'!$A2626=COL"&amp;"UMNS($A2626:B2645), B2625&amp;RIGHT(INDIRECT(ADDRESS(ROW(B2626)-1, 'From Order'!$A2626)), 1), B2625))"),"")</f>
        <v/>
      </c>
      <c r="C2626" s="2" t="str">
        <f>IFERROR(__xludf.DUMMYFUNCTION("IF('From Order'!$A2626=COLUMNS($A2626:C2645), LEFT(INDEX(FILTER(C$1:C2625, C$1:C2625&lt;&gt;""""),COUNTA(FILTER(C$1:C2625, C$1:C2625&lt;&gt;""""))), LEN(INDEX(FILTER(C$1:C2625, C$1:C2625&lt;&gt;""""),COUNTA(FILTER(C$1:C2625, C$1:C2625&lt;&gt;""""))))-1), IF('To Order'!$A2626=COL"&amp;"UMNS($A2626:C2645), C2625&amp;RIGHT(INDIRECT(ADDRESS(ROW(C2626)-1, 'From Order'!$A2626)), 1), C2625))"),"")</f>
        <v/>
      </c>
      <c r="D2626" s="2" t="str">
        <f>IFERROR(__xludf.DUMMYFUNCTION("IF('From Order'!$A2626=COLUMNS($A2626:D2645), LEFT(INDEX(FILTER(D$1:D2625, D$1:D2625&lt;&gt;""""),COUNTA(FILTER(D$1:D2625, D$1:D2625&lt;&gt;""""))), LEN(INDEX(FILTER(D$1:D2625, D$1:D2625&lt;&gt;""""),COUNTA(FILTER(D$1:D2625, D$1:D2625&lt;&gt;""""))))-1), IF('To Order'!$A2626=COL"&amp;"UMNS($A2626:D2645), D2625&amp;RIGHT(INDIRECT(ADDRESS(ROW(D2626)-1, 'From Order'!$A2626)), 1), D2625))"),"S")</f>
        <v>S</v>
      </c>
      <c r="E2626" s="2" t="str">
        <f>IFERROR(__xludf.DUMMYFUNCTION("IF('From Order'!$A2626=COLUMNS($A2626:E2645), LEFT(INDEX(FILTER(E$1:E2625, E$1:E2625&lt;&gt;""""),COUNTA(FILTER(E$1:E2625, E$1:E2625&lt;&gt;""""))), LEN(INDEX(FILTER(E$1:E2625, E$1:E2625&lt;&gt;""""),COUNTA(FILTER(E$1:E2625, E$1:E2625&lt;&gt;""""))))-1), IF('To Order'!$A2626=COL"&amp;"UMNS($A2626:E2645), E2625&amp;RIGHT(INDIRECT(ADDRESS(ROW(E2626)-1, 'From Order'!$A2626)), 1), E2625))"),"")</f>
        <v/>
      </c>
      <c r="F2626" s="2" t="str">
        <f>IFERROR(__xludf.DUMMYFUNCTION("IF('From Order'!$A2626=COLUMNS($A2626:F2645), LEFT(INDEX(FILTER(F$1:F2625, F$1:F2625&lt;&gt;""""),COUNTA(FILTER(F$1:F2625, F$1:F2625&lt;&gt;""""))), LEN(INDEX(FILTER(F$1:F2625, F$1:F2625&lt;&gt;""""),COUNTA(FILTER(F$1:F2625, F$1:F2625&lt;&gt;""""))))-1), IF('To Order'!$A2626=COL"&amp;"UMNS($A2626:F2645), F2625&amp;RIGHT(INDIRECT(ADDRESS(ROW(F2626)-1, 'From Order'!$A2626)), 1), F2625))"),"RSPMGH")</f>
        <v>RSPMGH</v>
      </c>
      <c r="G2626" s="2" t="str">
        <f>IFERROR(__xludf.DUMMYFUNCTION("IF('From Order'!$A2626=COLUMNS($A2626:G2645), LEFT(INDEX(FILTER(G$1:G2625, G$1:G2625&lt;&gt;""""),COUNTA(FILTER(G$1:G2625, G$1:G2625&lt;&gt;""""))), LEN(INDEX(FILTER(G$1:G2625, G$1:G2625&lt;&gt;""""),COUNTA(FILTER(G$1:G2625, G$1:G2625&lt;&gt;""""))))-1), IF('To Order'!$A2626=COL"&amp;"UMNS($A2626:G2645), G2625&amp;RIGHT(INDIRECT(ADDRESS(ROW(G2626)-1, 'From Order'!$A2626)), 1), G2625))"),"ZSB")</f>
        <v>ZSB</v>
      </c>
      <c r="H2626" s="2" t="str">
        <f>IFERROR(__xludf.DUMMYFUNCTION("IF('From Order'!$A2626=COLUMNS($A2626:H2645), LEFT(INDEX(FILTER(H$1:H2625, H$1:H2625&lt;&gt;""""),COUNTA(FILTER(H$1:H2625, H$1:H2625&lt;&gt;""""))), LEN(INDEX(FILTER(H$1:H2625, H$1:H2625&lt;&gt;""""),COUNTA(FILTER(H$1:H2625, H$1:H2625&lt;&gt;""""))))-1), IF('To Order'!$A2626=COL"&amp;"UMNS($A2626:H2645), H2625&amp;RIGHT(INDIRECT(ADDRESS(ROW(H2626)-1, 'From Order'!$A2626)), 1), H2625))"),"TJQGWCRVDT")</f>
        <v>TJQGWCRVDT</v>
      </c>
      <c r="I2626" s="2" t="str">
        <f>IFERROR(__xludf.DUMMYFUNCTION("IF('From Order'!$A2626=COLUMNS($A2626:I2645), LEFT(INDEX(FILTER(I$1:I2625, I$1:I2625&lt;&gt;""""),COUNTA(FILTER(I$1:I2625, I$1:I2625&lt;&gt;""""))), LEN(INDEX(FILTER(I$1:I2625, I$1:I2625&lt;&gt;""""),COUNTA(FILTER(I$1:I2625, I$1:I2625&lt;&gt;""""))))-1), IF('To Order'!$A2626=COL"&amp;"UMNS($A2626:I2645), I2625&amp;RIGHT(INDIRECT(ADDRESS(ROW(I2626)-1, 'From Order'!$A2626)), 1), I2625))"),"QVVDDSPLRRJTTCJFZPRBBWLBFLDTC")</f>
        <v>QVVDDSPLRRJTTCJFZPRBBWLBFLDTC</v>
      </c>
    </row>
    <row r="2627">
      <c r="A2627" s="2" t="str">
        <f>IFERROR(__xludf.DUMMYFUNCTION("IF('From Order'!$A2627=COLUMNS($A2627:A2646), LEFT(INDEX(FILTER(A$1:A2626, A$1:A2626&lt;&gt;""""),COUNTA(FILTER(A$1:A2626, A$1:A2626&lt;&gt;""""))), LEN(INDEX(FILTER(A$1:A2626, A$1:A2626&lt;&gt;""""),COUNTA(FILTER(A$1:A2626, A$1:A2626&lt;&gt;""""))))-1), IF('To Order'!$A2627=COL"&amp;"UMNS($A2627:A2646), A2626&amp;RIGHT(INDIRECT(ADDRESS(ROW(A2627)-1, 'From Order'!$A2627)), 1), A2626))"),"DDMTMH")</f>
        <v>DDMTMH</v>
      </c>
      <c r="B2627" s="2" t="str">
        <f>IFERROR(__xludf.DUMMYFUNCTION("IF('From Order'!$A2627=COLUMNS($A2627:B2646), LEFT(INDEX(FILTER(B$1:B2626, B$1:B2626&lt;&gt;""""),COUNTA(FILTER(B$1:B2626, B$1:B2626&lt;&gt;""""))), LEN(INDEX(FILTER(B$1:B2626, B$1:B2626&lt;&gt;""""),COUNTA(FILTER(B$1:B2626, B$1:B2626&lt;&gt;""""))))-1), IF('To Order'!$A2627=COL"&amp;"UMNS($A2627:B2646), B2626&amp;RIGHT(INDIRECT(ADDRESS(ROW(B2627)-1, 'From Order'!$A2627)), 1), B2626))"),"")</f>
        <v/>
      </c>
      <c r="C2627" s="2" t="str">
        <f>IFERROR(__xludf.DUMMYFUNCTION("IF('From Order'!$A2627=COLUMNS($A2627:C2646), LEFT(INDEX(FILTER(C$1:C2626, C$1:C2626&lt;&gt;""""),COUNTA(FILTER(C$1:C2626, C$1:C2626&lt;&gt;""""))), LEN(INDEX(FILTER(C$1:C2626, C$1:C2626&lt;&gt;""""),COUNTA(FILTER(C$1:C2626, C$1:C2626&lt;&gt;""""))))-1), IF('To Order'!$A2627=COL"&amp;"UMNS($A2627:C2646), C2626&amp;RIGHT(INDIRECT(ADDRESS(ROW(C2627)-1, 'From Order'!$A2627)), 1), C2626))"),"")</f>
        <v/>
      </c>
      <c r="D2627" s="2" t="str">
        <f>IFERROR(__xludf.DUMMYFUNCTION("IF('From Order'!$A2627=COLUMNS($A2627:D2646), LEFT(INDEX(FILTER(D$1:D2626, D$1:D2626&lt;&gt;""""),COUNTA(FILTER(D$1:D2626, D$1:D2626&lt;&gt;""""))), LEN(INDEX(FILTER(D$1:D2626, D$1:D2626&lt;&gt;""""),COUNTA(FILTER(D$1:D2626, D$1:D2626&lt;&gt;""""))))-1), IF('To Order'!$A2627=COL"&amp;"UMNS($A2627:D2646), D2626&amp;RIGHT(INDIRECT(ADDRESS(ROW(D2627)-1, 'From Order'!$A2627)), 1), D2626))"),"S")</f>
        <v>S</v>
      </c>
      <c r="E2627" s="2" t="str">
        <f>IFERROR(__xludf.DUMMYFUNCTION("IF('From Order'!$A2627=COLUMNS($A2627:E2646), LEFT(INDEX(FILTER(E$1:E2626, E$1:E2626&lt;&gt;""""),COUNTA(FILTER(E$1:E2626, E$1:E2626&lt;&gt;""""))), LEN(INDEX(FILTER(E$1:E2626, E$1:E2626&lt;&gt;""""),COUNTA(FILTER(E$1:E2626, E$1:E2626&lt;&gt;""""))))-1), IF('To Order'!$A2627=COL"&amp;"UMNS($A2627:E2646), E2626&amp;RIGHT(INDIRECT(ADDRESS(ROW(E2627)-1, 'From Order'!$A2627)), 1), E2626))"),"")</f>
        <v/>
      </c>
      <c r="F2627" s="2" t="str">
        <f>IFERROR(__xludf.DUMMYFUNCTION("IF('From Order'!$A2627=COLUMNS($A2627:F2646), LEFT(INDEX(FILTER(F$1:F2626, F$1:F2626&lt;&gt;""""),COUNTA(FILTER(F$1:F2626, F$1:F2626&lt;&gt;""""))), LEN(INDEX(FILTER(F$1:F2626, F$1:F2626&lt;&gt;""""),COUNTA(FILTER(F$1:F2626, F$1:F2626&lt;&gt;""""))))-1), IF('To Order'!$A2627=COL"&amp;"UMNS($A2627:F2646), F2626&amp;RIGHT(INDIRECT(ADDRESS(ROW(F2627)-1, 'From Order'!$A2627)), 1), F2626))"),"RSPMGH")</f>
        <v>RSPMGH</v>
      </c>
      <c r="G2627" s="2" t="str">
        <f>IFERROR(__xludf.DUMMYFUNCTION("IF('From Order'!$A2627=COLUMNS($A2627:G2646), LEFT(INDEX(FILTER(G$1:G2626, G$1:G2626&lt;&gt;""""),COUNTA(FILTER(G$1:G2626, G$1:G2626&lt;&gt;""""))), LEN(INDEX(FILTER(G$1:G2626, G$1:G2626&lt;&gt;""""),COUNTA(FILTER(G$1:G2626, G$1:G2626&lt;&gt;""""))))-1), IF('To Order'!$A2627=COL"&amp;"UMNS($A2627:G2646), G2626&amp;RIGHT(INDIRECT(ADDRESS(ROW(G2627)-1, 'From Order'!$A2627)), 1), G2626))"),"ZSB")</f>
        <v>ZSB</v>
      </c>
      <c r="H2627" s="2" t="str">
        <f>IFERROR(__xludf.DUMMYFUNCTION("IF('From Order'!$A2627=COLUMNS($A2627:H2646), LEFT(INDEX(FILTER(H$1:H2626, H$1:H2626&lt;&gt;""""),COUNTA(FILTER(H$1:H2626, H$1:H2626&lt;&gt;""""))), LEN(INDEX(FILTER(H$1:H2626, H$1:H2626&lt;&gt;""""),COUNTA(FILTER(H$1:H2626, H$1:H2626&lt;&gt;""""))))-1), IF('To Order'!$A2627=COL"&amp;"UMNS($A2627:H2646), H2626&amp;RIGHT(INDIRECT(ADDRESS(ROW(H2627)-1, 'From Order'!$A2627)), 1), H2626))"),"TJQGWCRVDTZ")</f>
        <v>TJQGWCRVDTZ</v>
      </c>
      <c r="I2627" s="2" t="str">
        <f>IFERROR(__xludf.DUMMYFUNCTION("IF('From Order'!$A2627=COLUMNS($A2627:I2646), LEFT(INDEX(FILTER(I$1:I2626, I$1:I2626&lt;&gt;""""),COUNTA(FILTER(I$1:I2626, I$1:I2626&lt;&gt;""""))), LEN(INDEX(FILTER(I$1:I2626, I$1:I2626&lt;&gt;""""),COUNTA(FILTER(I$1:I2626, I$1:I2626&lt;&gt;""""))))-1), IF('To Order'!$A2627=COL"&amp;"UMNS($A2627:I2646), I2626&amp;RIGHT(INDIRECT(ADDRESS(ROW(I2627)-1, 'From Order'!$A2627)), 1), I2626))"),"QVVDDSPLRRJTTCJFZPRBBWLBFLDTC")</f>
        <v>QVVDDSPLRRJTTCJFZPRBBWLBFLDTC</v>
      </c>
    </row>
    <row r="2628">
      <c r="A2628" s="2" t="str">
        <f>IFERROR(__xludf.DUMMYFUNCTION("IF('From Order'!$A2628=COLUMNS($A2628:A2647), LEFT(INDEX(FILTER(A$1:A2627, A$1:A2627&lt;&gt;""""),COUNTA(FILTER(A$1:A2627, A$1:A2627&lt;&gt;""""))), LEN(INDEX(FILTER(A$1:A2627, A$1:A2627&lt;&gt;""""),COUNTA(FILTER(A$1:A2627, A$1:A2627&lt;&gt;""""))))-1), IF('To Order'!$A2628=COL"&amp;"UMNS($A2628:A2647), A2627&amp;RIGHT(INDIRECT(ADDRESS(ROW(A2628)-1, 'From Order'!$A2628)), 1), A2627))"),"DDMTM")</f>
        <v>DDMTM</v>
      </c>
      <c r="B2628" s="2" t="str">
        <f>IFERROR(__xludf.DUMMYFUNCTION("IF('From Order'!$A2628=COLUMNS($A2628:B2647), LEFT(INDEX(FILTER(B$1:B2627, B$1:B2627&lt;&gt;""""),COUNTA(FILTER(B$1:B2627, B$1:B2627&lt;&gt;""""))), LEN(INDEX(FILTER(B$1:B2627, B$1:B2627&lt;&gt;""""),COUNTA(FILTER(B$1:B2627, B$1:B2627&lt;&gt;""""))))-1), IF('To Order'!$A2628=COL"&amp;"UMNS($A2628:B2647), B2627&amp;RIGHT(INDIRECT(ADDRESS(ROW(B2628)-1, 'From Order'!$A2628)), 1), B2627))"),"")</f>
        <v/>
      </c>
      <c r="C2628" s="2" t="str">
        <f>IFERROR(__xludf.DUMMYFUNCTION("IF('From Order'!$A2628=COLUMNS($A2628:C2647), LEFT(INDEX(FILTER(C$1:C2627, C$1:C2627&lt;&gt;""""),COUNTA(FILTER(C$1:C2627, C$1:C2627&lt;&gt;""""))), LEN(INDEX(FILTER(C$1:C2627, C$1:C2627&lt;&gt;""""),COUNTA(FILTER(C$1:C2627, C$1:C2627&lt;&gt;""""))))-1), IF('To Order'!$A2628=COL"&amp;"UMNS($A2628:C2647), C2627&amp;RIGHT(INDIRECT(ADDRESS(ROW(C2628)-1, 'From Order'!$A2628)), 1), C2627))"),"")</f>
        <v/>
      </c>
      <c r="D2628" s="2" t="str">
        <f>IFERROR(__xludf.DUMMYFUNCTION("IF('From Order'!$A2628=COLUMNS($A2628:D2647), LEFT(INDEX(FILTER(D$1:D2627, D$1:D2627&lt;&gt;""""),COUNTA(FILTER(D$1:D2627, D$1:D2627&lt;&gt;""""))), LEN(INDEX(FILTER(D$1:D2627, D$1:D2627&lt;&gt;""""),COUNTA(FILTER(D$1:D2627, D$1:D2627&lt;&gt;""""))))-1), IF('To Order'!$A2628=COL"&amp;"UMNS($A2628:D2647), D2627&amp;RIGHT(INDIRECT(ADDRESS(ROW(D2628)-1, 'From Order'!$A2628)), 1), D2627))"),"S")</f>
        <v>S</v>
      </c>
      <c r="E2628" s="2" t="str">
        <f>IFERROR(__xludf.DUMMYFUNCTION("IF('From Order'!$A2628=COLUMNS($A2628:E2647), LEFT(INDEX(FILTER(E$1:E2627, E$1:E2627&lt;&gt;""""),COUNTA(FILTER(E$1:E2627, E$1:E2627&lt;&gt;""""))), LEN(INDEX(FILTER(E$1:E2627, E$1:E2627&lt;&gt;""""),COUNTA(FILTER(E$1:E2627, E$1:E2627&lt;&gt;""""))))-1), IF('To Order'!$A2628=COL"&amp;"UMNS($A2628:E2647), E2627&amp;RIGHT(INDIRECT(ADDRESS(ROW(E2628)-1, 'From Order'!$A2628)), 1), E2627))"),"")</f>
        <v/>
      </c>
      <c r="F2628" s="2" t="str">
        <f>IFERROR(__xludf.DUMMYFUNCTION("IF('From Order'!$A2628=COLUMNS($A2628:F2647), LEFT(INDEX(FILTER(F$1:F2627, F$1:F2627&lt;&gt;""""),COUNTA(FILTER(F$1:F2627, F$1:F2627&lt;&gt;""""))), LEN(INDEX(FILTER(F$1:F2627, F$1:F2627&lt;&gt;""""),COUNTA(FILTER(F$1:F2627, F$1:F2627&lt;&gt;""""))))-1), IF('To Order'!$A2628=COL"&amp;"UMNS($A2628:F2647), F2627&amp;RIGHT(INDIRECT(ADDRESS(ROW(F2628)-1, 'From Order'!$A2628)), 1), F2627))"),"RSPMGH")</f>
        <v>RSPMGH</v>
      </c>
      <c r="G2628" s="2" t="str">
        <f>IFERROR(__xludf.DUMMYFUNCTION("IF('From Order'!$A2628=COLUMNS($A2628:G2647), LEFT(INDEX(FILTER(G$1:G2627, G$1:G2627&lt;&gt;""""),COUNTA(FILTER(G$1:G2627, G$1:G2627&lt;&gt;""""))), LEN(INDEX(FILTER(G$1:G2627, G$1:G2627&lt;&gt;""""),COUNTA(FILTER(G$1:G2627, G$1:G2627&lt;&gt;""""))))-1), IF('To Order'!$A2628=COL"&amp;"UMNS($A2628:G2647), G2627&amp;RIGHT(INDIRECT(ADDRESS(ROW(G2628)-1, 'From Order'!$A2628)), 1), G2627))"),"ZSB")</f>
        <v>ZSB</v>
      </c>
      <c r="H2628" s="2" t="str">
        <f>IFERROR(__xludf.DUMMYFUNCTION("IF('From Order'!$A2628=COLUMNS($A2628:H2647), LEFT(INDEX(FILTER(H$1:H2627, H$1:H2627&lt;&gt;""""),COUNTA(FILTER(H$1:H2627, H$1:H2627&lt;&gt;""""))), LEN(INDEX(FILTER(H$1:H2627, H$1:H2627&lt;&gt;""""),COUNTA(FILTER(H$1:H2627, H$1:H2627&lt;&gt;""""))))-1), IF('To Order'!$A2628=COL"&amp;"UMNS($A2628:H2647), H2627&amp;RIGHT(INDIRECT(ADDRESS(ROW(H2628)-1, 'From Order'!$A2628)), 1), H2627))"),"TJQGWCRVDTZH")</f>
        <v>TJQGWCRVDTZH</v>
      </c>
      <c r="I2628" s="2" t="str">
        <f>IFERROR(__xludf.DUMMYFUNCTION("IF('From Order'!$A2628=COLUMNS($A2628:I2647), LEFT(INDEX(FILTER(I$1:I2627, I$1:I2627&lt;&gt;""""),COUNTA(FILTER(I$1:I2627, I$1:I2627&lt;&gt;""""))), LEN(INDEX(FILTER(I$1:I2627, I$1:I2627&lt;&gt;""""),COUNTA(FILTER(I$1:I2627, I$1:I2627&lt;&gt;""""))))-1), IF('To Order'!$A2628=COL"&amp;"UMNS($A2628:I2647), I2627&amp;RIGHT(INDIRECT(ADDRESS(ROW(I2628)-1, 'From Order'!$A2628)), 1), I2627))"),"QVVDDSPLRRJTTCJFZPRBBWLBFLDTC")</f>
        <v>QVVDDSPLRRJTTCJFZPRBBWLBFLDTC</v>
      </c>
    </row>
    <row r="2629">
      <c r="A2629" s="2" t="str">
        <f>IFERROR(__xludf.DUMMYFUNCTION("IF('From Order'!$A2629=COLUMNS($A2629:A2648), LEFT(INDEX(FILTER(A$1:A2628, A$1:A2628&lt;&gt;""""),COUNTA(FILTER(A$1:A2628, A$1:A2628&lt;&gt;""""))), LEN(INDEX(FILTER(A$1:A2628, A$1:A2628&lt;&gt;""""),COUNTA(FILTER(A$1:A2628, A$1:A2628&lt;&gt;""""))))-1), IF('To Order'!$A2629=COL"&amp;"UMNS($A2629:A2648), A2628&amp;RIGHT(INDIRECT(ADDRESS(ROW(A2629)-1, 'From Order'!$A2629)), 1), A2628))"),"DDMT")</f>
        <v>DDMT</v>
      </c>
      <c r="B2629" s="2" t="str">
        <f>IFERROR(__xludf.DUMMYFUNCTION("IF('From Order'!$A2629=COLUMNS($A2629:B2648), LEFT(INDEX(FILTER(B$1:B2628, B$1:B2628&lt;&gt;""""),COUNTA(FILTER(B$1:B2628, B$1:B2628&lt;&gt;""""))), LEN(INDEX(FILTER(B$1:B2628, B$1:B2628&lt;&gt;""""),COUNTA(FILTER(B$1:B2628, B$1:B2628&lt;&gt;""""))))-1), IF('To Order'!$A2629=COL"&amp;"UMNS($A2629:B2648), B2628&amp;RIGHT(INDIRECT(ADDRESS(ROW(B2629)-1, 'From Order'!$A2629)), 1), B2628))"),"")</f>
        <v/>
      </c>
      <c r="C2629" s="2" t="str">
        <f>IFERROR(__xludf.DUMMYFUNCTION("IF('From Order'!$A2629=COLUMNS($A2629:C2648), LEFT(INDEX(FILTER(C$1:C2628, C$1:C2628&lt;&gt;""""),COUNTA(FILTER(C$1:C2628, C$1:C2628&lt;&gt;""""))), LEN(INDEX(FILTER(C$1:C2628, C$1:C2628&lt;&gt;""""),COUNTA(FILTER(C$1:C2628, C$1:C2628&lt;&gt;""""))))-1), IF('To Order'!$A2629=COL"&amp;"UMNS($A2629:C2648), C2628&amp;RIGHT(INDIRECT(ADDRESS(ROW(C2629)-1, 'From Order'!$A2629)), 1), C2628))"),"")</f>
        <v/>
      </c>
      <c r="D2629" s="2" t="str">
        <f>IFERROR(__xludf.DUMMYFUNCTION("IF('From Order'!$A2629=COLUMNS($A2629:D2648), LEFT(INDEX(FILTER(D$1:D2628, D$1:D2628&lt;&gt;""""),COUNTA(FILTER(D$1:D2628, D$1:D2628&lt;&gt;""""))), LEN(INDEX(FILTER(D$1:D2628, D$1:D2628&lt;&gt;""""),COUNTA(FILTER(D$1:D2628, D$1:D2628&lt;&gt;""""))))-1), IF('To Order'!$A2629=COL"&amp;"UMNS($A2629:D2648), D2628&amp;RIGHT(INDIRECT(ADDRESS(ROW(D2629)-1, 'From Order'!$A2629)), 1), D2628))"),"S")</f>
        <v>S</v>
      </c>
      <c r="E2629" s="2" t="str">
        <f>IFERROR(__xludf.DUMMYFUNCTION("IF('From Order'!$A2629=COLUMNS($A2629:E2648), LEFT(INDEX(FILTER(E$1:E2628, E$1:E2628&lt;&gt;""""),COUNTA(FILTER(E$1:E2628, E$1:E2628&lt;&gt;""""))), LEN(INDEX(FILTER(E$1:E2628, E$1:E2628&lt;&gt;""""),COUNTA(FILTER(E$1:E2628, E$1:E2628&lt;&gt;""""))))-1), IF('To Order'!$A2629=COL"&amp;"UMNS($A2629:E2648), E2628&amp;RIGHT(INDIRECT(ADDRESS(ROW(E2629)-1, 'From Order'!$A2629)), 1), E2628))"),"")</f>
        <v/>
      </c>
      <c r="F2629" s="2" t="str">
        <f>IFERROR(__xludf.DUMMYFUNCTION("IF('From Order'!$A2629=COLUMNS($A2629:F2648), LEFT(INDEX(FILTER(F$1:F2628, F$1:F2628&lt;&gt;""""),COUNTA(FILTER(F$1:F2628, F$1:F2628&lt;&gt;""""))), LEN(INDEX(FILTER(F$1:F2628, F$1:F2628&lt;&gt;""""),COUNTA(FILTER(F$1:F2628, F$1:F2628&lt;&gt;""""))))-1), IF('To Order'!$A2629=COL"&amp;"UMNS($A2629:F2648), F2628&amp;RIGHT(INDIRECT(ADDRESS(ROW(F2629)-1, 'From Order'!$A2629)), 1), F2628))"),"RSPMGH")</f>
        <v>RSPMGH</v>
      </c>
      <c r="G2629" s="2" t="str">
        <f>IFERROR(__xludf.DUMMYFUNCTION("IF('From Order'!$A2629=COLUMNS($A2629:G2648), LEFT(INDEX(FILTER(G$1:G2628, G$1:G2628&lt;&gt;""""),COUNTA(FILTER(G$1:G2628, G$1:G2628&lt;&gt;""""))), LEN(INDEX(FILTER(G$1:G2628, G$1:G2628&lt;&gt;""""),COUNTA(FILTER(G$1:G2628, G$1:G2628&lt;&gt;""""))))-1), IF('To Order'!$A2629=COL"&amp;"UMNS($A2629:G2648), G2628&amp;RIGHT(INDIRECT(ADDRESS(ROW(G2629)-1, 'From Order'!$A2629)), 1), G2628))"),"ZSB")</f>
        <v>ZSB</v>
      </c>
      <c r="H2629" s="2" t="str">
        <f>IFERROR(__xludf.DUMMYFUNCTION("IF('From Order'!$A2629=COLUMNS($A2629:H2648), LEFT(INDEX(FILTER(H$1:H2628, H$1:H2628&lt;&gt;""""),COUNTA(FILTER(H$1:H2628, H$1:H2628&lt;&gt;""""))), LEN(INDEX(FILTER(H$1:H2628, H$1:H2628&lt;&gt;""""),COUNTA(FILTER(H$1:H2628, H$1:H2628&lt;&gt;""""))))-1), IF('To Order'!$A2629=COL"&amp;"UMNS($A2629:H2648), H2628&amp;RIGHT(INDIRECT(ADDRESS(ROW(H2629)-1, 'From Order'!$A2629)), 1), H2628))"),"TJQGWCRVDTZHM")</f>
        <v>TJQGWCRVDTZHM</v>
      </c>
      <c r="I2629" s="2" t="str">
        <f>IFERROR(__xludf.DUMMYFUNCTION("IF('From Order'!$A2629=COLUMNS($A2629:I2648), LEFT(INDEX(FILTER(I$1:I2628, I$1:I2628&lt;&gt;""""),COUNTA(FILTER(I$1:I2628, I$1:I2628&lt;&gt;""""))), LEN(INDEX(FILTER(I$1:I2628, I$1:I2628&lt;&gt;""""),COUNTA(FILTER(I$1:I2628, I$1:I2628&lt;&gt;""""))))-1), IF('To Order'!$A2629=COL"&amp;"UMNS($A2629:I2648), I2628&amp;RIGHT(INDIRECT(ADDRESS(ROW(I2629)-1, 'From Order'!$A2629)), 1), I2628))"),"QVVDDSPLRRJTTCJFZPRBBWLBFLDTC")</f>
        <v>QVVDDSPLRRJTTCJFZPRBBWLBFLDTC</v>
      </c>
    </row>
    <row r="2630">
      <c r="A2630" s="2" t="str">
        <f>IFERROR(__xludf.DUMMYFUNCTION("IF('From Order'!$A2630=COLUMNS($A2630:A2649), LEFT(INDEX(FILTER(A$1:A2629, A$1:A2629&lt;&gt;""""),COUNTA(FILTER(A$1:A2629, A$1:A2629&lt;&gt;""""))), LEN(INDEX(FILTER(A$1:A2629, A$1:A2629&lt;&gt;""""),COUNTA(FILTER(A$1:A2629, A$1:A2629&lt;&gt;""""))))-1), IF('To Order'!$A2630=COL"&amp;"UMNS($A2630:A2649), A2629&amp;RIGHT(INDIRECT(ADDRESS(ROW(A2630)-1, 'From Order'!$A2630)), 1), A2629))"),"DDM")</f>
        <v>DDM</v>
      </c>
      <c r="B2630" s="2" t="str">
        <f>IFERROR(__xludf.DUMMYFUNCTION("IF('From Order'!$A2630=COLUMNS($A2630:B2649), LEFT(INDEX(FILTER(B$1:B2629, B$1:B2629&lt;&gt;""""),COUNTA(FILTER(B$1:B2629, B$1:B2629&lt;&gt;""""))), LEN(INDEX(FILTER(B$1:B2629, B$1:B2629&lt;&gt;""""),COUNTA(FILTER(B$1:B2629, B$1:B2629&lt;&gt;""""))))-1), IF('To Order'!$A2630=COL"&amp;"UMNS($A2630:B2649), B2629&amp;RIGHT(INDIRECT(ADDRESS(ROW(B2630)-1, 'From Order'!$A2630)), 1), B2629))"),"")</f>
        <v/>
      </c>
      <c r="C2630" s="2" t="str">
        <f>IFERROR(__xludf.DUMMYFUNCTION("IF('From Order'!$A2630=COLUMNS($A2630:C2649), LEFT(INDEX(FILTER(C$1:C2629, C$1:C2629&lt;&gt;""""),COUNTA(FILTER(C$1:C2629, C$1:C2629&lt;&gt;""""))), LEN(INDEX(FILTER(C$1:C2629, C$1:C2629&lt;&gt;""""),COUNTA(FILTER(C$1:C2629, C$1:C2629&lt;&gt;""""))))-1), IF('To Order'!$A2630=COL"&amp;"UMNS($A2630:C2649), C2629&amp;RIGHT(INDIRECT(ADDRESS(ROW(C2630)-1, 'From Order'!$A2630)), 1), C2629))"),"")</f>
        <v/>
      </c>
      <c r="D2630" s="2" t="str">
        <f>IFERROR(__xludf.DUMMYFUNCTION("IF('From Order'!$A2630=COLUMNS($A2630:D2649), LEFT(INDEX(FILTER(D$1:D2629, D$1:D2629&lt;&gt;""""),COUNTA(FILTER(D$1:D2629, D$1:D2629&lt;&gt;""""))), LEN(INDEX(FILTER(D$1:D2629, D$1:D2629&lt;&gt;""""),COUNTA(FILTER(D$1:D2629, D$1:D2629&lt;&gt;""""))))-1), IF('To Order'!$A2630=COL"&amp;"UMNS($A2630:D2649), D2629&amp;RIGHT(INDIRECT(ADDRESS(ROW(D2630)-1, 'From Order'!$A2630)), 1), D2629))"),"S")</f>
        <v>S</v>
      </c>
      <c r="E2630" s="2" t="str">
        <f>IFERROR(__xludf.DUMMYFUNCTION("IF('From Order'!$A2630=COLUMNS($A2630:E2649), LEFT(INDEX(FILTER(E$1:E2629, E$1:E2629&lt;&gt;""""),COUNTA(FILTER(E$1:E2629, E$1:E2629&lt;&gt;""""))), LEN(INDEX(FILTER(E$1:E2629, E$1:E2629&lt;&gt;""""),COUNTA(FILTER(E$1:E2629, E$1:E2629&lt;&gt;""""))))-1), IF('To Order'!$A2630=COL"&amp;"UMNS($A2630:E2649), E2629&amp;RIGHT(INDIRECT(ADDRESS(ROW(E2630)-1, 'From Order'!$A2630)), 1), E2629))"),"")</f>
        <v/>
      </c>
      <c r="F2630" s="2" t="str">
        <f>IFERROR(__xludf.DUMMYFUNCTION("IF('From Order'!$A2630=COLUMNS($A2630:F2649), LEFT(INDEX(FILTER(F$1:F2629, F$1:F2629&lt;&gt;""""),COUNTA(FILTER(F$1:F2629, F$1:F2629&lt;&gt;""""))), LEN(INDEX(FILTER(F$1:F2629, F$1:F2629&lt;&gt;""""),COUNTA(FILTER(F$1:F2629, F$1:F2629&lt;&gt;""""))))-1), IF('To Order'!$A2630=COL"&amp;"UMNS($A2630:F2649), F2629&amp;RIGHT(INDIRECT(ADDRESS(ROW(F2630)-1, 'From Order'!$A2630)), 1), F2629))"),"RSPMGH")</f>
        <v>RSPMGH</v>
      </c>
      <c r="G2630" s="2" t="str">
        <f>IFERROR(__xludf.DUMMYFUNCTION("IF('From Order'!$A2630=COLUMNS($A2630:G2649), LEFT(INDEX(FILTER(G$1:G2629, G$1:G2629&lt;&gt;""""),COUNTA(FILTER(G$1:G2629, G$1:G2629&lt;&gt;""""))), LEN(INDEX(FILTER(G$1:G2629, G$1:G2629&lt;&gt;""""),COUNTA(FILTER(G$1:G2629, G$1:G2629&lt;&gt;""""))))-1), IF('To Order'!$A2630=COL"&amp;"UMNS($A2630:G2649), G2629&amp;RIGHT(INDIRECT(ADDRESS(ROW(G2630)-1, 'From Order'!$A2630)), 1), G2629))"),"ZSB")</f>
        <v>ZSB</v>
      </c>
      <c r="H2630" s="2" t="str">
        <f>IFERROR(__xludf.DUMMYFUNCTION("IF('From Order'!$A2630=COLUMNS($A2630:H2649), LEFT(INDEX(FILTER(H$1:H2629, H$1:H2629&lt;&gt;""""),COUNTA(FILTER(H$1:H2629, H$1:H2629&lt;&gt;""""))), LEN(INDEX(FILTER(H$1:H2629, H$1:H2629&lt;&gt;""""),COUNTA(FILTER(H$1:H2629, H$1:H2629&lt;&gt;""""))))-1), IF('To Order'!$A2630=COL"&amp;"UMNS($A2630:H2649), H2629&amp;RIGHT(INDIRECT(ADDRESS(ROW(H2630)-1, 'From Order'!$A2630)), 1), H2629))"),"TJQGWCRVDTZHMT")</f>
        <v>TJQGWCRVDTZHMT</v>
      </c>
      <c r="I2630" s="2" t="str">
        <f>IFERROR(__xludf.DUMMYFUNCTION("IF('From Order'!$A2630=COLUMNS($A2630:I2649), LEFT(INDEX(FILTER(I$1:I2629, I$1:I2629&lt;&gt;""""),COUNTA(FILTER(I$1:I2629, I$1:I2629&lt;&gt;""""))), LEN(INDEX(FILTER(I$1:I2629, I$1:I2629&lt;&gt;""""),COUNTA(FILTER(I$1:I2629, I$1:I2629&lt;&gt;""""))))-1), IF('To Order'!$A2630=COL"&amp;"UMNS($A2630:I2649), I2629&amp;RIGHT(INDIRECT(ADDRESS(ROW(I2630)-1, 'From Order'!$A2630)), 1), I2629))"),"QVVDDSPLRRJTTCJFZPRBBWLBFLDTC")</f>
        <v>QVVDDSPLRRJTTCJFZPRBBWLBFLDTC</v>
      </c>
    </row>
    <row r="2631">
      <c r="A2631" s="2" t="str">
        <f>IFERROR(__xludf.DUMMYFUNCTION("IF('From Order'!$A2631=COLUMNS($A2631:A2650), LEFT(INDEX(FILTER(A$1:A2630, A$1:A2630&lt;&gt;""""),COUNTA(FILTER(A$1:A2630, A$1:A2630&lt;&gt;""""))), LEN(INDEX(FILTER(A$1:A2630, A$1:A2630&lt;&gt;""""),COUNTA(FILTER(A$1:A2630, A$1:A2630&lt;&gt;""""))))-1), IF('To Order'!$A2631=COL"&amp;"UMNS($A2631:A2650), A2630&amp;RIGHT(INDIRECT(ADDRESS(ROW(A2631)-1, 'From Order'!$A2631)), 1), A2630))"),"DD")</f>
        <v>DD</v>
      </c>
      <c r="B2631" s="2" t="str">
        <f>IFERROR(__xludf.DUMMYFUNCTION("IF('From Order'!$A2631=COLUMNS($A2631:B2650), LEFT(INDEX(FILTER(B$1:B2630, B$1:B2630&lt;&gt;""""),COUNTA(FILTER(B$1:B2630, B$1:B2630&lt;&gt;""""))), LEN(INDEX(FILTER(B$1:B2630, B$1:B2630&lt;&gt;""""),COUNTA(FILTER(B$1:B2630, B$1:B2630&lt;&gt;""""))))-1), IF('To Order'!$A2631=COL"&amp;"UMNS($A2631:B2650), B2630&amp;RIGHT(INDIRECT(ADDRESS(ROW(B2631)-1, 'From Order'!$A2631)), 1), B2630))"),"")</f>
        <v/>
      </c>
      <c r="C2631" s="2" t="str">
        <f>IFERROR(__xludf.DUMMYFUNCTION("IF('From Order'!$A2631=COLUMNS($A2631:C2650), LEFT(INDEX(FILTER(C$1:C2630, C$1:C2630&lt;&gt;""""),COUNTA(FILTER(C$1:C2630, C$1:C2630&lt;&gt;""""))), LEN(INDEX(FILTER(C$1:C2630, C$1:C2630&lt;&gt;""""),COUNTA(FILTER(C$1:C2630, C$1:C2630&lt;&gt;""""))))-1), IF('To Order'!$A2631=COL"&amp;"UMNS($A2631:C2650), C2630&amp;RIGHT(INDIRECT(ADDRESS(ROW(C2631)-1, 'From Order'!$A2631)), 1), C2630))"),"")</f>
        <v/>
      </c>
      <c r="D2631" s="2" t="str">
        <f>IFERROR(__xludf.DUMMYFUNCTION("IF('From Order'!$A2631=COLUMNS($A2631:D2650), LEFT(INDEX(FILTER(D$1:D2630, D$1:D2630&lt;&gt;""""),COUNTA(FILTER(D$1:D2630, D$1:D2630&lt;&gt;""""))), LEN(INDEX(FILTER(D$1:D2630, D$1:D2630&lt;&gt;""""),COUNTA(FILTER(D$1:D2630, D$1:D2630&lt;&gt;""""))))-1), IF('To Order'!$A2631=COL"&amp;"UMNS($A2631:D2650), D2630&amp;RIGHT(INDIRECT(ADDRESS(ROW(D2631)-1, 'From Order'!$A2631)), 1), D2630))"),"S")</f>
        <v>S</v>
      </c>
      <c r="E2631" s="2" t="str">
        <f>IFERROR(__xludf.DUMMYFUNCTION("IF('From Order'!$A2631=COLUMNS($A2631:E2650), LEFT(INDEX(FILTER(E$1:E2630, E$1:E2630&lt;&gt;""""),COUNTA(FILTER(E$1:E2630, E$1:E2630&lt;&gt;""""))), LEN(INDEX(FILTER(E$1:E2630, E$1:E2630&lt;&gt;""""),COUNTA(FILTER(E$1:E2630, E$1:E2630&lt;&gt;""""))))-1), IF('To Order'!$A2631=COL"&amp;"UMNS($A2631:E2650), E2630&amp;RIGHT(INDIRECT(ADDRESS(ROW(E2631)-1, 'From Order'!$A2631)), 1), E2630))"),"")</f>
        <v/>
      </c>
      <c r="F2631" s="2" t="str">
        <f>IFERROR(__xludf.DUMMYFUNCTION("IF('From Order'!$A2631=COLUMNS($A2631:F2650), LEFT(INDEX(FILTER(F$1:F2630, F$1:F2630&lt;&gt;""""),COUNTA(FILTER(F$1:F2630, F$1:F2630&lt;&gt;""""))), LEN(INDEX(FILTER(F$1:F2630, F$1:F2630&lt;&gt;""""),COUNTA(FILTER(F$1:F2630, F$1:F2630&lt;&gt;""""))))-1), IF('To Order'!$A2631=COL"&amp;"UMNS($A2631:F2650), F2630&amp;RIGHT(INDIRECT(ADDRESS(ROW(F2631)-1, 'From Order'!$A2631)), 1), F2630))"),"RSPMGH")</f>
        <v>RSPMGH</v>
      </c>
      <c r="G2631" s="2" t="str">
        <f>IFERROR(__xludf.DUMMYFUNCTION("IF('From Order'!$A2631=COLUMNS($A2631:G2650), LEFT(INDEX(FILTER(G$1:G2630, G$1:G2630&lt;&gt;""""),COUNTA(FILTER(G$1:G2630, G$1:G2630&lt;&gt;""""))), LEN(INDEX(FILTER(G$1:G2630, G$1:G2630&lt;&gt;""""),COUNTA(FILTER(G$1:G2630, G$1:G2630&lt;&gt;""""))))-1), IF('To Order'!$A2631=COL"&amp;"UMNS($A2631:G2650), G2630&amp;RIGHT(INDIRECT(ADDRESS(ROW(G2631)-1, 'From Order'!$A2631)), 1), G2630))"),"ZSB")</f>
        <v>ZSB</v>
      </c>
      <c r="H2631" s="2" t="str">
        <f>IFERROR(__xludf.DUMMYFUNCTION("IF('From Order'!$A2631=COLUMNS($A2631:H2650), LEFT(INDEX(FILTER(H$1:H2630, H$1:H2630&lt;&gt;""""),COUNTA(FILTER(H$1:H2630, H$1:H2630&lt;&gt;""""))), LEN(INDEX(FILTER(H$1:H2630, H$1:H2630&lt;&gt;""""),COUNTA(FILTER(H$1:H2630, H$1:H2630&lt;&gt;""""))))-1), IF('To Order'!$A2631=COL"&amp;"UMNS($A2631:H2650), H2630&amp;RIGHT(INDIRECT(ADDRESS(ROW(H2631)-1, 'From Order'!$A2631)), 1), H2630))"),"TJQGWCRVDTZHMTM")</f>
        <v>TJQGWCRVDTZHMTM</v>
      </c>
      <c r="I2631" s="2" t="str">
        <f>IFERROR(__xludf.DUMMYFUNCTION("IF('From Order'!$A2631=COLUMNS($A2631:I2650), LEFT(INDEX(FILTER(I$1:I2630, I$1:I2630&lt;&gt;""""),COUNTA(FILTER(I$1:I2630, I$1:I2630&lt;&gt;""""))), LEN(INDEX(FILTER(I$1:I2630, I$1:I2630&lt;&gt;""""),COUNTA(FILTER(I$1:I2630, I$1:I2630&lt;&gt;""""))))-1), IF('To Order'!$A2631=COL"&amp;"UMNS($A2631:I2650), I2630&amp;RIGHT(INDIRECT(ADDRESS(ROW(I2631)-1, 'From Order'!$A2631)), 1), I2630))"),"QVVDDSPLRRJTTCJFZPRBBWLBFLDTC")</f>
        <v>QVVDDSPLRRJTTCJFZPRBBWLBFLDTC</v>
      </c>
    </row>
    <row r="2632">
      <c r="A2632" s="2" t="str">
        <f>IFERROR(__xludf.DUMMYFUNCTION("IF('From Order'!$A2632=COLUMNS($A2632:A2651), LEFT(INDEX(FILTER(A$1:A2631, A$1:A2631&lt;&gt;""""),COUNTA(FILTER(A$1:A2631, A$1:A2631&lt;&gt;""""))), LEN(INDEX(FILTER(A$1:A2631, A$1:A2631&lt;&gt;""""),COUNTA(FILTER(A$1:A2631, A$1:A2631&lt;&gt;""""))))-1), IF('To Order'!$A2632=COL"&amp;"UMNS($A2632:A2651), A2631&amp;RIGHT(INDIRECT(ADDRESS(ROW(A2632)-1, 'From Order'!$A2632)), 1), A2631))"),"D")</f>
        <v>D</v>
      </c>
      <c r="B2632" s="2" t="str">
        <f>IFERROR(__xludf.DUMMYFUNCTION("IF('From Order'!$A2632=COLUMNS($A2632:B2651), LEFT(INDEX(FILTER(B$1:B2631, B$1:B2631&lt;&gt;""""),COUNTA(FILTER(B$1:B2631, B$1:B2631&lt;&gt;""""))), LEN(INDEX(FILTER(B$1:B2631, B$1:B2631&lt;&gt;""""),COUNTA(FILTER(B$1:B2631, B$1:B2631&lt;&gt;""""))))-1), IF('To Order'!$A2632=COL"&amp;"UMNS($A2632:B2651), B2631&amp;RIGHT(INDIRECT(ADDRESS(ROW(B2632)-1, 'From Order'!$A2632)), 1), B2631))"),"")</f>
        <v/>
      </c>
      <c r="C2632" s="2" t="str">
        <f>IFERROR(__xludf.DUMMYFUNCTION("IF('From Order'!$A2632=COLUMNS($A2632:C2651), LEFT(INDEX(FILTER(C$1:C2631, C$1:C2631&lt;&gt;""""),COUNTA(FILTER(C$1:C2631, C$1:C2631&lt;&gt;""""))), LEN(INDEX(FILTER(C$1:C2631, C$1:C2631&lt;&gt;""""),COUNTA(FILTER(C$1:C2631, C$1:C2631&lt;&gt;""""))))-1), IF('To Order'!$A2632=COL"&amp;"UMNS($A2632:C2651), C2631&amp;RIGHT(INDIRECT(ADDRESS(ROW(C2632)-1, 'From Order'!$A2632)), 1), C2631))"),"")</f>
        <v/>
      </c>
      <c r="D2632" s="2" t="str">
        <f>IFERROR(__xludf.DUMMYFUNCTION("IF('From Order'!$A2632=COLUMNS($A2632:D2651), LEFT(INDEX(FILTER(D$1:D2631, D$1:D2631&lt;&gt;""""),COUNTA(FILTER(D$1:D2631, D$1:D2631&lt;&gt;""""))), LEN(INDEX(FILTER(D$1:D2631, D$1:D2631&lt;&gt;""""),COUNTA(FILTER(D$1:D2631, D$1:D2631&lt;&gt;""""))))-1), IF('To Order'!$A2632=COL"&amp;"UMNS($A2632:D2651), D2631&amp;RIGHT(INDIRECT(ADDRESS(ROW(D2632)-1, 'From Order'!$A2632)), 1), D2631))"),"S")</f>
        <v>S</v>
      </c>
      <c r="E2632" s="2" t="str">
        <f>IFERROR(__xludf.DUMMYFUNCTION("IF('From Order'!$A2632=COLUMNS($A2632:E2651), LEFT(INDEX(FILTER(E$1:E2631, E$1:E2631&lt;&gt;""""),COUNTA(FILTER(E$1:E2631, E$1:E2631&lt;&gt;""""))), LEN(INDEX(FILTER(E$1:E2631, E$1:E2631&lt;&gt;""""),COUNTA(FILTER(E$1:E2631, E$1:E2631&lt;&gt;""""))))-1), IF('To Order'!$A2632=COL"&amp;"UMNS($A2632:E2651), E2631&amp;RIGHT(INDIRECT(ADDRESS(ROW(E2632)-1, 'From Order'!$A2632)), 1), E2631))"),"")</f>
        <v/>
      </c>
      <c r="F2632" s="2" t="str">
        <f>IFERROR(__xludf.DUMMYFUNCTION("IF('From Order'!$A2632=COLUMNS($A2632:F2651), LEFT(INDEX(FILTER(F$1:F2631, F$1:F2631&lt;&gt;""""),COUNTA(FILTER(F$1:F2631, F$1:F2631&lt;&gt;""""))), LEN(INDEX(FILTER(F$1:F2631, F$1:F2631&lt;&gt;""""),COUNTA(FILTER(F$1:F2631, F$1:F2631&lt;&gt;""""))))-1), IF('To Order'!$A2632=COL"&amp;"UMNS($A2632:F2651), F2631&amp;RIGHT(INDIRECT(ADDRESS(ROW(F2632)-1, 'From Order'!$A2632)), 1), F2631))"),"RSPMGH")</f>
        <v>RSPMGH</v>
      </c>
      <c r="G2632" s="2" t="str">
        <f>IFERROR(__xludf.DUMMYFUNCTION("IF('From Order'!$A2632=COLUMNS($A2632:G2651), LEFT(INDEX(FILTER(G$1:G2631, G$1:G2631&lt;&gt;""""),COUNTA(FILTER(G$1:G2631, G$1:G2631&lt;&gt;""""))), LEN(INDEX(FILTER(G$1:G2631, G$1:G2631&lt;&gt;""""),COUNTA(FILTER(G$1:G2631, G$1:G2631&lt;&gt;""""))))-1), IF('To Order'!$A2632=COL"&amp;"UMNS($A2632:G2651), G2631&amp;RIGHT(INDIRECT(ADDRESS(ROW(G2632)-1, 'From Order'!$A2632)), 1), G2631))"),"ZSB")</f>
        <v>ZSB</v>
      </c>
      <c r="H2632" s="2" t="str">
        <f>IFERROR(__xludf.DUMMYFUNCTION("IF('From Order'!$A2632=COLUMNS($A2632:H2651), LEFT(INDEX(FILTER(H$1:H2631, H$1:H2631&lt;&gt;""""),COUNTA(FILTER(H$1:H2631, H$1:H2631&lt;&gt;""""))), LEN(INDEX(FILTER(H$1:H2631, H$1:H2631&lt;&gt;""""),COUNTA(FILTER(H$1:H2631, H$1:H2631&lt;&gt;""""))))-1), IF('To Order'!$A2632=COL"&amp;"UMNS($A2632:H2651), H2631&amp;RIGHT(INDIRECT(ADDRESS(ROW(H2632)-1, 'From Order'!$A2632)), 1), H2631))"),"TJQGWCRVDTZHMTMD")</f>
        <v>TJQGWCRVDTZHMTMD</v>
      </c>
      <c r="I2632" s="2" t="str">
        <f>IFERROR(__xludf.DUMMYFUNCTION("IF('From Order'!$A2632=COLUMNS($A2632:I2651), LEFT(INDEX(FILTER(I$1:I2631, I$1:I2631&lt;&gt;""""),COUNTA(FILTER(I$1:I2631, I$1:I2631&lt;&gt;""""))), LEN(INDEX(FILTER(I$1:I2631, I$1:I2631&lt;&gt;""""),COUNTA(FILTER(I$1:I2631, I$1:I2631&lt;&gt;""""))))-1), IF('To Order'!$A2632=COL"&amp;"UMNS($A2632:I2651), I2631&amp;RIGHT(INDIRECT(ADDRESS(ROW(I2632)-1, 'From Order'!$A2632)), 1), I2631))"),"QVVDDSPLRRJTTCJFZPRBBWLBFLDTC")</f>
        <v>QVVDDSPLRRJTTCJFZPRBBWLBFLDTC</v>
      </c>
    </row>
    <row r="2633">
      <c r="A2633" s="2" t="str">
        <f>IFERROR(__xludf.DUMMYFUNCTION("IF('From Order'!$A2633=COLUMNS($A2633:A2652), LEFT(INDEX(FILTER(A$1:A2632, A$1:A2632&lt;&gt;""""),COUNTA(FILTER(A$1:A2632, A$1:A2632&lt;&gt;""""))), LEN(INDEX(FILTER(A$1:A2632, A$1:A2632&lt;&gt;""""),COUNTA(FILTER(A$1:A2632, A$1:A2632&lt;&gt;""""))))-1), IF('To Order'!$A2633=COL"&amp;"UMNS($A2633:A2652), A2632&amp;RIGHT(INDIRECT(ADDRESS(ROW(A2633)-1, 'From Order'!$A2633)), 1), A2632))"),"")</f>
        <v/>
      </c>
      <c r="B2633" s="2" t="str">
        <f>IFERROR(__xludf.DUMMYFUNCTION("IF('From Order'!$A2633=COLUMNS($A2633:B2652), LEFT(INDEX(FILTER(B$1:B2632, B$1:B2632&lt;&gt;""""),COUNTA(FILTER(B$1:B2632, B$1:B2632&lt;&gt;""""))), LEN(INDEX(FILTER(B$1:B2632, B$1:B2632&lt;&gt;""""),COUNTA(FILTER(B$1:B2632, B$1:B2632&lt;&gt;""""))))-1), IF('To Order'!$A2633=COL"&amp;"UMNS($A2633:B2652), B2632&amp;RIGHT(INDIRECT(ADDRESS(ROW(B2633)-1, 'From Order'!$A2633)), 1), B2632))"),"")</f>
        <v/>
      </c>
      <c r="C2633" s="2" t="str">
        <f>IFERROR(__xludf.DUMMYFUNCTION("IF('From Order'!$A2633=COLUMNS($A2633:C2652), LEFT(INDEX(FILTER(C$1:C2632, C$1:C2632&lt;&gt;""""),COUNTA(FILTER(C$1:C2632, C$1:C2632&lt;&gt;""""))), LEN(INDEX(FILTER(C$1:C2632, C$1:C2632&lt;&gt;""""),COUNTA(FILTER(C$1:C2632, C$1:C2632&lt;&gt;""""))))-1), IF('To Order'!$A2633=COL"&amp;"UMNS($A2633:C2652), C2632&amp;RIGHT(INDIRECT(ADDRESS(ROW(C2633)-1, 'From Order'!$A2633)), 1), C2632))"),"")</f>
        <v/>
      </c>
      <c r="D2633" s="2" t="str">
        <f>IFERROR(__xludf.DUMMYFUNCTION("IF('From Order'!$A2633=COLUMNS($A2633:D2652), LEFT(INDEX(FILTER(D$1:D2632, D$1:D2632&lt;&gt;""""),COUNTA(FILTER(D$1:D2632, D$1:D2632&lt;&gt;""""))), LEN(INDEX(FILTER(D$1:D2632, D$1:D2632&lt;&gt;""""),COUNTA(FILTER(D$1:D2632, D$1:D2632&lt;&gt;""""))))-1), IF('To Order'!$A2633=COL"&amp;"UMNS($A2633:D2652), D2632&amp;RIGHT(INDIRECT(ADDRESS(ROW(D2633)-1, 'From Order'!$A2633)), 1), D2632))"),"S")</f>
        <v>S</v>
      </c>
      <c r="E2633" s="2" t="str">
        <f>IFERROR(__xludf.DUMMYFUNCTION("IF('From Order'!$A2633=COLUMNS($A2633:E2652), LEFT(INDEX(FILTER(E$1:E2632, E$1:E2632&lt;&gt;""""),COUNTA(FILTER(E$1:E2632, E$1:E2632&lt;&gt;""""))), LEN(INDEX(FILTER(E$1:E2632, E$1:E2632&lt;&gt;""""),COUNTA(FILTER(E$1:E2632, E$1:E2632&lt;&gt;""""))))-1), IF('To Order'!$A2633=COL"&amp;"UMNS($A2633:E2652), E2632&amp;RIGHT(INDIRECT(ADDRESS(ROW(E2633)-1, 'From Order'!$A2633)), 1), E2632))"),"")</f>
        <v/>
      </c>
      <c r="F2633" s="2" t="str">
        <f>IFERROR(__xludf.DUMMYFUNCTION("IF('From Order'!$A2633=COLUMNS($A2633:F2652), LEFT(INDEX(FILTER(F$1:F2632, F$1:F2632&lt;&gt;""""),COUNTA(FILTER(F$1:F2632, F$1:F2632&lt;&gt;""""))), LEN(INDEX(FILTER(F$1:F2632, F$1:F2632&lt;&gt;""""),COUNTA(FILTER(F$1:F2632, F$1:F2632&lt;&gt;""""))))-1), IF('To Order'!$A2633=COL"&amp;"UMNS($A2633:F2652), F2632&amp;RIGHT(INDIRECT(ADDRESS(ROW(F2633)-1, 'From Order'!$A2633)), 1), F2632))"),"RSPMGH")</f>
        <v>RSPMGH</v>
      </c>
      <c r="G2633" s="2" t="str">
        <f>IFERROR(__xludf.DUMMYFUNCTION("IF('From Order'!$A2633=COLUMNS($A2633:G2652), LEFT(INDEX(FILTER(G$1:G2632, G$1:G2632&lt;&gt;""""),COUNTA(FILTER(G$1:G2632, G$1:G2632&lt;&gt;""""))), LEN(INDEX(FILTER(G$1:G2632, G$1:G2632&lt;&gt;""""),COUNTA(FILTER(G$1:G2632, G$1:G2632&lt;&gt;""""))))-1), IF('To Order'!$A2633=COL"&amp;"UMNS($A2633:G2652), G2632&amp;RIGHT(INDIRECT(ADDRESS(ROW(G2633)-1, 'From Order'!$A2633)), 1), G2632))"),"ZSB")</f>
        <v>ZSB</v>
      </c>
      <c r="H2633" s="2" t="str">
        <f>IFERROR(__xludf.DUMMYFUNCTION("IF('From Order'!$A2633=COLUMNS($A2633:H2652), LEFT(INDEX(FILTER(H$1:H2632, H$1:H2632&lt;&gt;""""),COUNTA(FILTER(H$1:H2632, H$1:H2632&lt;&gt;""""))), LEN(INDEX(FILTER(H$1:H2632, H$1:H2632&lt;&gt;""""),COUNTA(FILTER(H$1:H2632, H$1:H2632&lt;&gt;""""))))-1), IF('To Order'!$A2633=COL"&amp;"UMNS($A2633:H2652), H2632&amp;RIGHT(INDIRECT(ADDRESS(ROW(H2633)-1, 'From Order'!$A2633)), 1), H2632))"),"TJQGWCRVDTZHMTMDD")</f>
        <v>TJQGWCRVDTZHMTMDD</v>
      </c>
      <c r="I2633" s="2" t="str">
        <f>IFERROR(__xludf.DUMMYFUNCTION("IF('From Order'!$A2633=COLUMNS($A2633:I2652), LEFT(INDEX(FILTER(I$1:I2632, I$1:I2632&lt;&gt;""""),COUNTA(FILTER(I$1:I2632, I$1:I2632&lt;&gt;""""))), LEN(INDEX(FILTER(I$1:I2632, I$1:I2632&lt;&gt;""""),COUNTA(FILTER(I$1:I2632, I$1:I2632&lt;&gt;""""))))-1), IF('To Order'!$A2633=COL"&amp;"UMNS($A2633:I2652), I2632&amp;RIGHT(INDIRECT(ADDRESS(ROW(I2633)-1, 'From Order'!$A2633)), 1), I2632))"),"QVVDDSPLRRJTTCJFZPRBBWLBFLDTC")</f>
        <v>QVVDDSPLRRJTTCJFZPRBBWLBFLDTC</v>
      </c>
    </row>
    <row r="2634">
      <c r="A2634" s="2" t="str">
        <f>IFERROR(__xludf.DUMMYFUNCTION("IF('From Order'!$A2634=COLUMNS($A2634:A2653), LEFT(INDEX(FILTER(A$1:A2633, A$1:A2633&lt;&gt;""""),COUNTA(FILTER(A$1:A2633, A$1:A2633&lt;&gt;""""))), LEN(INDEX(FILTER(A$1:A2633, A$1:A2633&lt;&gt;""""),COUNTA(FILTER(A$1:A2633, A$1:A2633&lt;&gt;""""))))-1), IF('To Order'!$A2634=COL"&amp;"UMNS($A2634:A2653), A2633&amp;RIGHT(INDIRECT(ADDRESS(ROW(A2634)-1, 'From Order'!$A2634)), 1), A2633))"),"")</f>
        <v/>
      </c>
      <c r="B2634" s="2" t="str">
        <f>IFERROR(__xludf.DUMMYFUNCTION("IF('From Order'!$A2634=COLUMNS($A2634:B2653), LEFT(INDEX(FILTER(B$1:B2633, B$1:B2633&lt;&gt;""""),COUNTA(FILTER(B$1:B2633, B$1:B2633&lt;&gt;""""))), LEN(INDEX(FILTER(B$1:B2633, B$1:B2633&lt;&gt;""""),COUNTA(FILTER(B$1:B2633, B$1:B2633&lt;&gt;""""))))-1), IF('To Order'!$A2634=COL"&amp;"UMNS($A2634:B2653), B2633&amp;RIGHT(INDIRECT(ADDRESS(ROW(B2634)-1, 'From Order'!$A2634)), 1), B2633))"),"H")</f>
        <v>H</v>
      </c>
      <c r="C2634" s="2" t="str">
        <f>IFERROR(__xludf.DUMMYFUNCTION("IF('From Order'!$A2634=COLUMNS($A2634:C2653), LEFT(INDEX(FILTER(C$1:C2633, C$1:C2633&lt;&gt;""""),COUNTA(FILTER(C$1:C2633, C$1:C2633&lt;&gt;""""))), LEN(INDEX(FILTER(C$1:C2633, C$1:C2633&lt;&gt;""""),COUNTA(FILTER(C$1:C2633, C$1:C2633&lt;&gt;""""))))-1), IF('To Order'!$A2634=COL"&amp;"UMNS($A2634:C2653), C2633&amp;RIGHT(INDIRECT(ADDRESS(ROW(C2634)-1, 'From Order'!$A2634)), 1), C2633))"),"")</f>
        <v/>
      </c>
      <c r="D2634" s="2" t="str">
        <f>IFERROR(__xludf.DUMMYFUNCTION("IF('From Order'!$A2634=COLUMNS($A2634:D2653), LEFT(INDEX(FILTER(D$1:D2633, D$1:D2633&lt;&gt;""""),COUNTA(FILTER(D$1:D2633, D$1:D2633&lt;&gt;""""))), LEN(INDEX(FILTER(D$1:D2633, D$1:D2633&lt;&gt;""""),COUNTA(FILTER(D$1:D2633, D$1:D2633&lt;&gt;""""))))-1), IF('To Order'!$A2634=COL"&amp;"UMNS($A2634:D2653), D2633&amp;RIGHT(INDIRECT(ADDRESS(ROW(D2634)-1, 'From Order'!$A2634)), 1), D2633))"),"S")</f>
        <v>S</v>
      </c>
      <c r="E2634" s="2" t="str">
        <f>IFERROR(__xludf.DUMMYFUNCTION("IF('From Order'!$A2634=COLUMNS($A2634:E2653), LEFT(INDEX(FILTER(E$1:E2633, E$1:E2633&lt;&gt;""""),COUNTA(FILTER(E$1:E2633, E$1:E2633&lt;&gt;""""))), LEN(INDEX(FILTER(E$1:E2633, E$1:E2633&lt;&gt;""""),COUNTA(FILTER(E$1:E2633, E$1:E2633&lt;&gt;""""))))-1), IF('To Order'!$A2634=COL"&amp;"UMNS($A2634:E2653), E2633&amp;RIGHT(INDIRECT(ADDRESS(ROW(E2634)-1, 'From Order'!$A2634)), 1), E2633))"),"")</f>
        <v/>
      </c>
      <c r="F2634" s="2" t="str">
        <f>IFERROR(__xludf.DUMMYFUNCTION("IF('From Order'!$A2634=COLUMNS($A2634:F2653), LEFT(INDEX(FILTER(F$1:F2633, F$1:F2633&lt;&gt;""""),COUNTA(FILTER(F$1:F2633, F$1:F2633&lt;&gt;""""))), LEN(INDEX(FILTER(F$1:F2633, F$1:F2633&lt;&gt;""""),COUNTA(FILTER(F$1:F2633, F$1:F2633&lt;&gt;""""))))-1), IF('To Order'!$A2634=COL"&amp;"UMNS($A2634:F2653), F2633&amp;RIGHT(INDIRECT(ADDRESS(ROW(F2634)-1, 'From Order'!$A2634)), 1), F2633))"),"RSPMG")</f>
        <v>RSPMG</v>
      </c>
      <c r="G2634" s="2" t="str">
        <f>IFERROR(__xludf.DUMMYFUNCTION("IF('From Order'!$A2634=COLUMNS($A2634:G2653), LEFT(INDEX(FILTER(G$1:G2633, G$1:G2633&lt;&gt;""""),COUNTA(FILTER(G$1:G2633, G$1:G2633&lt;&gt;""""))), LEN(INDEX(FILTER(G$1:G2633, G$1:G2633&lt;&gt;""""),COUNTA(FILTER(G$1:G2633, G$1:G2633&lt;&gt;""""))))-1), IF('To Order'!$A2634=COL"&amp;"UMNS($A2634:G2653), G2633&amp;RIGHT(INDIRECT(ADDRESS(ROW(G2634)-1, 'From Order'!$A2634)), 1), G2633))"),"ZSB")</f>
        <v>ZSB</v>
      </c>
      <c r="H2634" s="2" t="str">
        <f>IFERROR(__xludf.DUMMYFUNCTION("IF('From Order'!$A2634=COLUMNS($A2634:H2653), LEFT(INDEX(FILTER(H$1:H2633, H$1:H2633&lt;&gt;""""),COUNTA(FILTER(H$1:H2633, H$1:H2633&lt;&gt;""""))), LEN(INDEX(FILTER(H$1:H2633, H$1:H2633&lt;&gt;""""),COUNTA(FILTER(H$1:H2633, H$1:H2633&lt;&gt;""""))))-1), IF('To Order'!$A2634=COL"&amp;"UMNS($A2634:H2653), H2633&amp;RIGHT(INDIRECT(ADDRESS(ROW(H2634)-1, 'From Order'!$A2634)), 1), H2633))"),"TJQGWCRVDTZHMTMDD")</f>
        <v>TJQGWCRVDTZHMTMDD</v>
      </c>
      <c r="I2634" s="2" t="str">
        <f>IFERROR(__xludf.DUMMYFUNCTION("IF('From Order'!$A2634=COLUMNS($A2634:I2653), LEFT(INDEX(FILTER(I$1:I2633, I$1:I2633&lt;&gt;""""),COUNTA(FILTER(I$1:I2633, I$1:I2633&lt;&gt;""""))), LEN(INDEX(FILTER(I$1:I2633, I$1:I2633&lt;&gt;""""),COUNTA(FILTER(I$1:I2633, I$1:I2633&lt;&gt;""""))))-1), IF('To Order'!$A2634=COL"&amp;"UMNS($A2634:I2653), I2633&amp;RIGHT(INDIRECT(ADDRESS(ROW(I2634)-1, 'From Order'!$A2634)), 1), I2633))"),"QVVDDSPLRRJTTCJFZPRBBWLBFLDTC")</f>
        <v>QVVDDSPLRRJTTCJFZPRBBWLBFLDTC</v>
      </c>
    </row>
    <row r="2635">
      <c r="A2635" s="2" t="str">
        <f>IFERROR(__xludf.DUMMYFUNCTION("IF('From Order'!$A2635=COLUMNS($A2635:A2654), LEFT(INDEX(FILTER(A$1:A2634, A$1:A2634&lt;&gt;""""),COUNTA(FILTER(A$1:A2634, A$1:A2634&lt;&gt;""""))), LEN(INDEX(FILTER(A$1:A2634, A$1:A2634&lt;&gt;""""),COUNTA(FILTER(A$1:A2634, A$1:A2634&lt;&gt;""""))))-1), IF('To Order'!$A2635=COL"&amp;"UMNS($A2635:A2654), A2634&amp;RIGHT(INDIRECT(ADDRESS(ROW(A2635)-1, 'From Order'!$A2635)), 1), A2634))"),"B")</f>
        <v>B</v>
      </c>
      <c r="B2635" s="2" t="str">
        <f>IFERROR(__xludf.DUMMYFUNCTION("IF('From Order'!$A2635=COLUMNS($A2635:B2654), LEFT(INDEX(FILTER(B$1:B2634, B$1:B2634&lt;&gt;""""),COUNTA(FILTER(B$1:B2634, B$1:B2634&lt;&gt;""""))), LEN(INDEX(FILTER(B$1:B2634, B$1:B2634&lt;&gt;""""),COUNTA(FILTER(B$1:B2634, B$1:B2634&lt;&gt;""""))))-1), IF('To Order'!$A2635=COL"&amp;"UMNS($A2635:B2654), B2634&amp;RIGHT(INDIRECT(ADDRESS(ROW(B2635)-1, 'From Order'!$A2635)), 1), B2634))"),"H")</f>
        <v>H</v>
      </c>
      <c r="C2635" s="2" t="str">
        <f>IFERROR(__xludf.DUMMYFUNCTION("IF('From Order'!$A2635=COLUMNS($A2635:C2654), LEFT(INDEX(FILTER(C$1:C2634, C$1:C2634&lt;&gt;""""),COUNTA(FILTER(C$1:C2634, C$1:C2634&lt;&gt;""""))), LEN(INDEX(FILTER(C$1:C2634, C$1:C2634&lt;&gt;""""),COUNTA(FILTER(C$1:C2634, C$1:C2634&lt;&gt;""""))))-1), IF('To Order'!$A2635=COL"&amp;"UMNS($A2635:C2654), C2634&amp;RIGHT(INDIRECT(ADDRESS(ROW(C2635)-1, 'From Order'!$A2635)), 1), C2634))"),"")</f>
        <v/>
      </c>
      <c r="D2635" s="2" t="str">
        <f>IFERROR(__xludf.DUMMYFUNCTION("IF('From Order'!$A2635=COLUMNS($A2635:D2654), LEFT(INDEX(FILTER(D$1:D2634, D$1:D2634&lt;&gt;""""),COUNTA(FILTER(D$1:D2634, D$1:D2634&lt;&gt;""""))), LEN(INDEX(FILTER(D$1:D2634, D$1:D2634&lt;&gt;""""),COUNTA(FILTER(D$1:D2634, D$1:D2634&lt;&gt;""""))))-1), IF('To Order'!$A2635=COL"&amp;"UMNS($A2635:D2654), D2634&amp;RIGHT(INDIRECT(ADDRESS(ROW(D2635)-1, 'From Order'!$A2635)), 1), D2634))"),"S")</f>
        <v>S</v>
      </c>
      <c r="E2635" s="2" t="str">
        <f>IFERROR(__xludf.DUMMYFUNCTION("IF('From Order'!$A2635=COLUMNS($A2635:E2654), LEFT(INDEX(FILTER(E$1:E2634, E$1:E2634&lt;&gt;""""),COUNTA(FILTER(E$1:E2634, E$1:E2634&lt;&gt;""""))), LEN(INDEX(FILTER(E$1:E2634, E$1:E2634&lt;&gt;""""),COUNTA(FILTER(E$1:E2634, E$1:E2634&lt;&gt;""""))))-1), IF('To Order'!$A2635=COL"&amp;"UMNS($A2635:E2654), E2634&amp;RIGHT(INDIRECT(ADDRESS(ROW(E2635)-1, 'From Order'!$A2635)), 1), E2634))"),"")</f>
        <v/>
      </c>
      <c r="F2635" s="2" t="str">
        <f>IFERROR(__xludf.DUMMYFUNCTION("IF('From Order'!$A2635=COLUMNS($A2635:F2654), LEFT(INDEX(FILTER(F$1:F2634, F$1:F2634&lt;&gt;""""),COUNTA(FILTER(F$1:F2634, F$1:F2634&lt;&gt;""""))), LEN(INDEX(FILTER(F$1:F2634, F$1:F2634&lt;&gt;""""),COUNTA(FILTER(F$1:F2634, F$1:F2634&lt;&gt;""""))))-1), IF('To Order'!$A2635=COL"&amp;"UMNS($A2635:F2654), F2634&amp;RIGHT(INDIRECT(ADDRESS(ROW(F2635)-1, 'From Order'!$A2635)), 1), F2634))"),"RSPMG")</f>
        <v>RSPMG</v>
      </c>
      <c r="G2635" s="2" t="str">
        <f>IFERROR(__xludf.DUMMYFUNCTION("IF('From Order'!$A2635=COLUMNS($A2635:G2654), LEFT(INDEX(FILTER(G$1:G2634, G$1:G2634&lt;&gt;""""),COUNTA(FILTER(G$1:G2634, G$1:G2634&lt;&gt;""""))), LEN(INDEX(FILTER(G$1:G2634, G$1:G2634&lt;&gt;""""),COUNTA(FILTER(G$1:G2634, G$1:G2634&lt;&gt;""""))))-1), IF('To Order'!$A2635=COL"&amp;"UMNS($A2635:G2654), G2634&amp;RIGHT(INDIRECT(ADDRESS(ROW(G2635)-1, 'From Order'!$A2635)), 1), G2634))"),"ZS")</f>
        <v>ZS</v>
      </c>
      <c r="H2635" s="2" t="str">
        <f>IFERROR(__xludf.DUMMYFUNCTION("IF('From Order'!$A2635=COLUMNS($A2635:H2654), LEFT(INDEX(FILTER(H$1:H2634, H$1:H2634&lt;&gt;""""),COUNTA(FILTER(H$1:H2634, H$1:H2634&lt;&gt;""""))), LEN(INDEX(FILTER(H$1:H2634, H$1:H2634&lt;&gt;""""),COUNTA(FILTER(H$1:H2634, H$1:H2634&lt;&gt;""""))))-1), IF('To Order'!$A2635=COL"&amp;"UMNS($A2635:H2654), H2634&amp;RIGHT(INDIRECT(ADDRESS(ROW(H2635)-1, 'From Order'!$A2635)), 1), H2634))"),"TJQGWCRVDTZHMTMDD")</f>
        <v>TJQGWCRVDTZHMTMDD</v>
      </c>
      <c r="I2635" s="2" t="str">
        <f>IFERROR(__xludf.DUMMYFUNCTION("IF('From Order'!$A2635=COLUMNS($A2635:I2654), LEFT(INDEX(FILTER(I$1:I2634, I$1:I2634&lt;&gt;""""),COUNTA(FILTER(I$1:I2634, I$1:I2634&lt;&gt;""""))), LEN(INDEX(FILTER(I$1:I2634, I$1:I2634&lt;&gt;""""),COUNTA(FILTER(I$1:I2634, I$1:I2634&lt;&gt;""""))))-1), IF('To Order'!$A2635=COL"&amp;"UMNS($A2635:I2654), I2634&amp;RIGHT(INDIRECT(ADDRESS(ROW(I2635)-1, 'From Order'!$A2635)), 1), I2634))"),"QVVDDSPLRRJTTCJFZPRBBWLBFLDTC")</f>
        <v>QVVDDSPLRRJTTCJFZPRBBWLBFLDTC</v>
      </c>
    </row>
    <row r="2636">
      <c r="A2636" s="2" t="str">
        <f>IFERROR(__xludf.DUMMYFUNCTION("IF('From Order'!$A2636=COLUMNS($A2636:A2655), LEFT(INDEX(FILTER(A$1:A2635, A$1:A2635&lt;&gt;""""),COUNTA(FILTER(A$1:A2635, A$1:A2635&lt;&gt;""""))), LEN(INDEX(FILTER(A$1:A2635, A$1:A2635&lt;&gt;""""),COUNTA(FILTER(A$1:A2635, A$1:A2635&lt;&gt;""""))))-1), IF('To Order'!$A2636=COL"&amp;"UMNS($A2636:A2655), A2635&amp;RIGHT(INDIRECT(ADDRESS(ROW(A2636)-1, 'From Order'!$A2636)), 1), A2635))"),"BS")</f>
        <v>BS</v>
      </c>
      <c r="B2636" s="2" t="str">
        <f>IFERROR(__xludf.DUMMYFUNCTION("IF('From Order'!$A2636=COLUMNS($A2636:B2655), LEFT(INDEX(FILTER(B$1:B2635, B$1:B2635&lt;&gt;""""),COUNTA(FILTER(B$1:B2635, B$1:B2635&lt;&gt;""""))), LEN(INDEX(FILTER(B$1:B2635, B$1:B2635&lt;&gt;""""),COUNTA(FILTER(B$1:B2635, B$1:B2635&lt;&gt;""""))))-1), IF('To Order'!$A2636=COL"&amp;"UMNS($A2636:B2655), B2635&amp;RIGHT(INDIRECT(ADDRESS(ROW(B2636)-1, 'From Order'!$A2636)), 1), B2635))"),"H")</f>
        <v>H</v>
      </c>
      <c r="C2636" s="2" t="str">
        <f>IFERROR(__xludf.DUMMYFUNCTION("IF('From Order'!$A2636=COLUMNS($A2636:C2655), LEFT(INDEX(FILTER(C$1:C2635, C$1:C2635&lt;&gt;""""),COUNTA(FILTER(C$1:C2635, C$1:C2635&lt;&gt;""""))), LEN(INDEX(FILTER(C$1:C2635, C$1:C2635&lt;&gt;""""),COUNTA(FILTER(C$1:C2635, C$1:C2635&lt;&gt;""""))))-1), IF('To Order'!$A2636=COL"&amp;"UMNS($A2636:C2655), C2635&amp;RIGHT(INDIRECT(ADDRESS(ROW(C2636)-1, 'From Order'!$A2636)), 1), C2635))"),"")</f>
        <v/>
      </c>
      <c r="D2636" s="2" t="str">
        <f>IFERROR(__xludf.DUMMYFUNCTION("IF('From Order'!$A2636=COLUMNS($A2636:D2655), LEFT(INDEX(FILTER(D$1:D2635, D$1:D2635&lt;&gt;""""),COUNTA(FILTER(D$1:D2635, D$1:D2635&lt;&gt;""""))), LEN(INDEX(FILTER(D$1:D2635, D$1:D2635&lt;&gt;""""),COUNTA(FILTER(D$1:D2635, D$1:D2635&lt;&gt;""""))))-1), IF('To Order'!$A2636=COL"&amp;"UMNS($A2636:D2655), D2635&amp;RIGHT(INDIRECT(ADDRESS(ROW(D2636)-1, 'From Order'!$A2636)), 1), D2635))"),"S")</f>
        <v>S</v>
      </c>
      <c r="E2636" s="2" t="str">
        <f>IFERROR(__xludf.DUMMYFUNCTION("IF('From Order'!$A2636=COLUMNS($A2636:E2655), LEFT(INDEX(FILTER(E$1:E2635, E$1:E2635&lt;&gt;""""),COUNTA(FILTER(E$1:E2635, E$1:E2635&lt;&gt;""""))), LEN(INDEX(FILTER(E$1:E2635, E$1:E2635&lt;&gt;""""),COUNTA(FILTER(E$1:E2635, E$1:E2635&lt;&gt;""""))))-1), IF('To Order'!$A2636=COL"&amp;"UMNS($A2636:E2655), E2635&amp;RIGHT(INDIRECT(ADDRESS(ROW(E2636)-1, 'From Order'!$A2636)), 1), E2635))"),"")</f>
        <v/>
      </c>
      <c r="F2636" s="2" t="str">
        <f>IFERROR(__xludf.DUMMYFUNCTION("IF('From Order'!$A2636=COLUMNS($A2636:F2655), LEFT(INDEX(FILTER(F$1:F2635, F$1:F2635&lt;&gt;""""),COUNTA(FILTER(F$1:F2635, F$1:F2635&lt;&gt;""""))), LEN(INDEX(FILTER(F$1:F2635, F$1:F2635&lt;&gt;""""),COUNTA(FILTER(F$1:F2635, F$1:F2635&lt;&gt;""""))))-1), IF('To Order'!$A2636=COL"&amp;"UMNS($A2636:F2655), F2635&amp;RIGHT(INDIRECT(ADDRESS(ROW(F2636)-1, 'From Order'!$A2636)), 1), F2635))"),"RSPMG")</f>
        <v>RSPMG</v>
      </c>
      <c r="G2636" s="2" t="str">
        <f>IFERROR(__xludf.DUMMYFUNCTION("IF('From Order'!$A2636=COLUMNS($A2636:G2655), LEFT(INDEX(FILTER(G$1:G2635, G$1:G2635&lt;&gt;""""),COUNTA(FILTER(G$1:G2635, G$1:G2635&lt;&gt;""""))), LEN(INDEX(FILTER(G$1:G2635, G$1:G2635&lt;&gt;""""),COUNTA(FILTER(G$1:G2635, G$1:G2635&lt;&gt;""""))))-1), IF('To Order'!$A2636=COL"&amp;"UMNS($A2636:G2655), G2635&amp;RIGHT(INDIRECT(ADDRESS(ROW(G2636)-1, 'From Order'!$A2636)), 1), G2635))"),"Z")</f>
        <v>Z</v>
      </c>
      <c r="H2636" s="2" t="str">
        <f>IFERROR(__xludf.DUMMYFUNCTION("IF('From Order'!$A2636=COLUMNS($A2636:H2655), LEFT(INDEX(FILTER(H$1:H2635, H$1:H2635&lt;&gt;""""),COUNTA(FILTER(H$1:H2635, H$1:H2635&lt;&gt;""""))), LEN(INDEX(FILTER(H$1:H2635, H$1:H2635&lt;&gt;""""),COUNTA(FILTER(H$1:H2635, H$1:H2635&lt;&gt;""""))))-1), IF('To Order'!$A2636=COL"&amp;"UMNS($A2636:H2655), H2635&amp;RIGHT(INDIRECT(ADDRESS(ROW(H2636)-1, 'From Order'!$A2636)), 1), H2635))"),"TJQGWCRVDTZHMTMDD")</f>
        <v>TJQGWCRVDTZHMTMDD</v>
      </c>
      <c r="I2636" s="2" t="str">
        <f>IFERROR(__xludf.DUMMYFUNCTION("IF('From Order'!$A2636=COLUMNS($A2636:I2655), LEFT(INDEX(FILTER(I$1:I2635, I$1:I2635&lt;&gt;""""),COUNTA(FILTER(I$1:I2635, I$1:I2635&lt;&gt;""""))), LEN(INDEX(FILTER(I$1:I2635, I$1:I2635&lt;&gt;""""),COUNTA(FILTER(I$1:I2635, I$1:I2635&lt;&gt;""""))))-1), IF('To Order'!$A2636=COL"&amp;"UMNS($A2636:I2655), I2635&amp;RIGHT(INDIRECT(ADDRESS(ROW(I2636)-1, 'From Order'!$A2636)), 1), I2635))"),"QVVDDSPLRRJTTCJFZPRBBWLBFLDTC")</f>
        <v>QVVDDSPLRRJTTCJFZPRBBWLBFLDTC</v>
      </c>
    </row>
    <row r="2637">
      <c r="A2637" s="2" t="str">
        <f>IFERROR(__xludf.DUMMYFUNCTION("IF('From Order'!$A2637=COLUMNS($A2637:A2656), LEFT(INDEX(FILTER(A$1:A2636, A$1:A2636&lt;&gt;""""),COUNTA(FILTER(A$1:A2636, A$1:A2636&lt;&gt;""""))), LEN(INDEX(FILTER(A$1:A2636, A$1:A2636&lt;&gt;""""),COUNTA(FILTER(A$1:A2636, A$1:A2636&lt;&gt;""""))))-1), IF('To Order'!$A2637=COL"&amp;"UMNS($A2637:A2656), A2636&amp;RIGHT(INDIRECT(ADDRESS(ROW(A2637)-1, 'From Order'!$A2637)), 1), A2636))"),"BS")</f>
        <v>BS</v>
      </c>
      <c r="B2637" s="2" t="str">
        <f>IFERROR(__xludf.DUMMYFUNCTION("IF('From Order'!$A2637=COLUMNS($A2637:B2656), LEFT(INDEX(FILTER(B$1:B2636, B$1:B2636&lt;&gt;""""),COUNTA(FILTER(B$1:B2636, B$1:B2636&lt;&gt;""""))), LEN(INDEX(FILTER(B$1:B2636, B$1:B2636&lt;&gt;""""),COUNTA(FILTER(B$1:B2636, B$1:B2636&lt;&gt;""""))))-1), IF('To Order'!$A2637=COL"&amp;"UMNS($A2637:B2656), B2636&amp;RIGHT(INDIRECT(ADDRESS(ROW(B2637)-1, 'From Order'!$A2637)), 1), B2636))"),"H")</f>
        <v>H</v>
      </c>
      <c r="C2637" s="2" t="str">
        <f>IFERROR(__xludf.DUMMYFUNCTION("IF('From Order'!$A2637=COLUMNS($A2637:C2656), LEFT(INDEX(FILTER(C$1:C2636, C$1:C2636&lt;&gt;""""),COUNTA(FILTER(C$1:C2636, C$1:C2636&lt;&gt;""""))), LEN(INDEX(FILTER(C$1:C2636, C$1:C2636&lt;&gt;""""),COUNTA(FILTER(C$1:C2636, C$1:C2636&lt;&gt;""""))))-1), IF('To Order'!$A2637=COL"&amp;"UMNS($A2637:C2656), C2636&amp;RIGHT(INDIRECT(ADDRESS(ROW(C2637)-1, 'From Order'!$A2637)), 1), C2636))"),"D")</f>
        <v>D</v>
      </c>
      <c r="D2637" s="2" t="str">
        <f>IFERROR(__xludf.DUMMYFUNCTION("IF('From Order'!$A2637=COLUMNS($A2637:D2656), LEFT(INDEX(FILTER(D$1:D2636, D$1:D2636&lt;&gt;""""),COUNTA(FILTER(D$1:D2636, D$1:D2636&lt;&gt;""""))), LEN(INDEX(FILTER(D$1:D2636, D$1:D2636&lt;&gt;""""),COUNTA(FILTER(D$1:D2636, D$1:D2636&lt;&gt;""""))))-1), IF('To Order'!$A2637=COL"&amp;"UMNS($A2637:D2656), D2636&amp;RIGHT(INDIRECT(ADDRESS(ROW(D2637)-1, 'From Order'!$A2637)), 1), D2636))"),"S")</f>
        <v>S</v>
      </c>
      <c r="E2637" s="2" t="str">
        <f>IFERROR(__xludf.DUMMYFUNCTION("IF('From Order'!$A2637=COLUMNS($A2637:E2656), LEFT(INDEX(FILTER(E$1:E2636, E$1:E2636&lt;&gt;""""),COUNTA(FILTER(E$1:E2636, E$1:E2636&lt;&gt;""""))), LEN(INDEX(FILTER(E$1:E2636, E$1:E2636&lt;&gt;""""),COUNTA(FILTER(E$1:E2636, E$1:E2636&lt;&gt;""""))))-1), IF('To Order'!$A2637=COL"&amp;"UMNS($A2637:E2656), E2636&amp;RIGHT(INDIRECT(ADDRESS(ROW(E2637)-1, 'From Order'!$A2637)), 1), E2636))"),"")</f>
        <v/>
      </c>
      <c r="F2637" s="2" t="str">
        <f>IFERROR(__xludf.DUMMYFUNCTION("IF('From Order'!$A2637=COLUMNS($A2637:F2656), LEFT(INDEX(FILTER(F$1:F2636, F$1:F2636&lt;&gt;""""),COUNTA(FILTER(F$1:F2636, F$1:F2636&lt;&gt;""""))), LEN(INDEX(FILTER(F$1:F2636, F$1:F2636&lt;&gt;""""),COUNTA(FILTER(F$1:F2636, F$1:F2636&lt;&gt;""""))))-1), IF('To Order'!$A2637=COL"&amp;"UMNS($A2637:F2656), F2636&amp;RIGHT(INDIRECT(ADDRESS(ROW(F2637)-1, 'From Order'!$A2637)), 1), F2636))"),"RSPMG")</f>
        <v>RSPMG</v>
      </c>
      <c r="G2637" s="2" t="str">
        <f>IFERROR(__xludf.DUMMYFUNCTION("IF('From Order'!$A2637=COLUMNS($A2637:G2656), LEFT(INDEX(FILTER(G$1:G2636, G$1:G2636&lt;&gt;""""),COUNTA(FILTER(G$1:G2636, G$1:G2636&lt;&gt;""""))), LEN(INDEX(FILTER(G$1:G2636, G$1:G2636&lt;&gt;""""),COUNTA(FILTER(G$1:G2636, G$1:G2636&lt;&gt;""""))))-1), IF('To Order'!$A2637=COL"&amp;"UMNS($A2637:G2656), G2636&amp;RIGHT(INDIRECT(ADDRESS(ROW(G2637)-1, 'From Order'!$A2637)), 1), G2636))"),"Z")</f>
        <v>Z</v>
      </c>
      <c r="H2637" s="2" t="str">
        <f>IFERROR(__xludf.DUMMYFUNCTION("IF('From Order'!$A2637=COLUMNS($A2637:H2656), LEFT(INDEX(FILTER(H$1:H2636, H$1:H2636&lt;&gt;""""),COUNTA(FILTER(H$1:H2636, H$1:H2636&lt;&gt;""""))), LEN(INDEX(FILTER(H$1:H2636, H$1:H2636&lt;&gt;""""),COUNTA(FILTER(H$1:H2636, H$1:H2636&lt;&gt;""""))))-1), IF('To Order'!$A2637=COL"&amp;"UMNS($A2637:H2656), H2636&amp;RIGHT(INDIRECT(ADDRESS(ROW(H2637)-1, 'From Order'!$A2637)), 1), H2636))"),"TJQGWCRVDTZHMTMD")</f>
        <v>TJQGWCRVDTZHMTMD</v>
      </c>
      <c r="I2637" s="2" t="str">
        <f>IFERROR(__xludf.DUMMYFUNCTION("IF('From Order'!$A2637=COLUMNS($A2637:I2656), LEFT(INDEX(FILTER(I$1:I2636, I$1:I2636&lt;&gt;""""),COUNTA(FILTER(I$1:I2636, I$1:I2636&lt;&gt;""""))), LEN(INDEX(FILTER(I$1:I2636, I$1:I2636&lt;&gt;""""),COUNTA(FILTER(I$1:I2636, I$1:I2636&lt;&gt;""""))))-1), IF('To Order'!$A2637=COL"&amp;"UMNS($A2637:I2656), I2636&amp;RIGHT(INDIRECT(ADDRESS(ROW(I2637)-1, 'From Order'!$A2637)), 1), I2636))"),"QVVDDSPLRRJTTCJFZPRBBWLBFLDTC")</f>
        <v>QVVDDSPLRRJTTCJFZPRBBWLBFLDTC</v>
      </c>
    </row>
    <row r="2638">
      <c r="A2638" s="2" t="str">
        <f>IFERROR(__xludf.DUMMYFUNCTION("IF('From Order'!$A2638=COLUMNS($A2638:A2657), LEFT(INDEX(FILTER(A$1:A2637, A$1:A2637&lt;&gt;""""),COUNTA(FILTER(A$1:A2637, A$1:A2637&lt;&gt;""""))), LEN(INDEX(FILTER(A$1:A2637, A$1:A2637&lt;&gt;""""),COUNTA(FILTER(A$1:A2637, A$1:A2637&lt;&gt;""""))))-1), IF('To Order'!$A2638=COL"&amp;"UMNS($A2638:A2657), A2637&amp;RIGHT(INDIRECT(ADDRESS(ROW(A2638)-1, 'From Order'!$A2638)), 1), A2637))"),"BS")</f>
        <v>BS</v>
      </c>
      <c r="B2638" s="2" t="str">
        <f>IFERROR(__xludf.DUMMYFUNCTION("IF('From Order'!$A2638=COLUMNS($A2638:B2657), LEFT(INDEX(FILTER(B$1:B2637, B$1:B2637&lt;&gt;""""),COUNTA(FILTER(B$1:B2637, B$1:B2637&lt;&gt;""""))), LEN(INDEX(FILTER(B$1:B2637, B$1:B2637&lt;&gt;""""),COUNTA(FILTER(B$1:B2637, B$1:B2637&lt;&gt;""""))))-1), IF('To Order'!$A2638=COL"&amp;"UMNS($A2638:B2657), B2637&amp;RIGHT(INDIRECT(ADDRESS(ROW(B2638)-1, 'From Order'!$A2638)), 1), B2637))"),"H")</f>
        <v>H</v>
      </c>
      <c r="C2638" s="2" t="str">
        <f>IFERROR(__xludf.DUMMYFUNCTION("IF('From Order'!$A2638=COLUMNS($A2638:C2657), LEFT(INDEX(FILTER(C$1:C2637, C$1:C2637&lt;&gt;""""),COUNTA(FILTER(C$1:C2637, C$1:C2637&lt;&gt;""""))), LEN(INDEX(FILTER(C$1:C2637, C$1:C2637&lt;&gt;""""),COUNTA(FILTER(C$1:C2637, C$1:C2637&lt;&gt;""""))))-1), IF('To Order'!$A2638=COL"&amp;"UMNS($A2638:C2657), C2637&amp;RIGHT(INDIRECT(ADDRESS(ROW(C2638)-1, 'From Order'!$A2638)), 1), C2637))"),"DD")</f>
        <v>DD</v>
      </c>
      <c r="D2638" s="2" t="str">
        <f>IFERROR(__xludf.DUMMYFUNCTION("IF('From Order'!$A2638=COLUMNS($A2638:D2657), LEFT(INDEX(FILTER(D$1:D2637, D$1:D2637&lt;&gt;""""),COUNTA(FILTER(D$1:D2637, D$1:D2637&lt;&gt;""""))), LEN(INDEX(FILTER(D$1:D2637, D$1:D2637&lt;&gt;""""),COUNTA(FILTER(D$1:D2637, D$1:D2637&lt;&gt;""""))))-1), IF('To Order'!$A2638=COL"&amp;"UMNS($A2638:D2657), D2637&amp;RIGHT(INDIRECT(ADDRESS(ROW(D2638)-1, 'From Order'!$A2638)), 1), D2637))"),"S")</f>
        <v>S</v>
      </c>
      <c r="E2638" s="2" t="str">
        <f>IFERROR(__xludf.DUMMYFUNCTION("IF('From Order'!$A2638=COLUMNS($A2638:E2657), LEFT(INDEX(FILTER(E$1:E2637, E$1:E2637&lt;&gt;""""),COUNTA(FILTER(E$1:E2637, E$1:E2637&lt;&gt;""""))), LEN(INDEX(FILTER(E$1:E2637, E$1:E2637&lt;&gt;""""),COUNTA(FILTER(E$1:E2637, E$1:E2637&lt;&gt;""""))))-1), IF('To Order'!$A2638=COL"&amp;"UMNS($A2638:E2657), E2637&amp;RIGHT(INDIRECT(ADDRESS(ROW(E2638)-1, 'From Order'!$A2638)), 1), E2637))"),"")</f>
        <v/>
      </c>
      <c r="F2638" s="2" t="str">
        <f>IFERROR(__xludf.DUMMYFUNCTION("IF('From Order'!$A2638=COLUMNS($A2638:F2657), LEFT(INDEX(FILTER(F$1:F2637, F$1:F2637&lt;&gt;""""),COUNTA(FILTER(F$1:F2637, F$1:F2637&lt;&gt;""""))), LEN(INDEX(FILTER(F$1:F2637, F$1:F2637&lt;&gt;""""),COUNTA(FILTER(F$1:F2637, F$1:F2637&lt;&gt;""""))))-1), IF('To Order'!$A2638=COL"&amp;"UMNS($A2638:F2657), F2637&amp;RIGHT(INDIRECT(ADDRESS(ROW(F2638)-1, 'From Order'!$A2638)), 1), F2637))"),"RSPMG")</f>
        <v>RSPMG</v>
      </c>
      <c r="G2638" s="2" t="str">
        <f>IFERROR(__xludf.DUMMYFUNCTION("IF('From Order'!$A2638=COLUMNS($A2638:G2657), LEFT(INDEX(FILTER(G$1:G2637, G$1:G2637&lt;&gt;""""),COUNTA(FILTER(G$1:G2637, G$1:G2637&lt;&gt;""""))), LEN(INDEX(FILTER(G$1:G2637, G$1:G2637&lt;&gt;""""),COUNTA(FILTER(G$1:G2637, G$1:G2637&lt;&gt;""""))))-1), IF('To Order'!$A2638=COL"&amp;"UMNS($A2638:G2657), G2637&amp;RIGHT(INDIRECT(ADDRESS(ROW(G2638)-1, 'From Order'!$A2638)), 1), G2637))"),"Z")</f>
        <v>Z</v>
      </c>
      <c r="H2638" s="2" t="str">
        <f>IFERROR(__xludf.DUMMYFUNCTION("IF('From Order'!$A2638=COLUMNS($A2638:H2657), LEFT(INDEX(FILTER(H$1:H2637, H$1:H2637&lt;&gt;""""),COUNTA(FILTER(H$1:H2637, H$1:H2637&lt;&gt;""""))), LEN(INDEX(FILTER(H$1:H2637, H$1:H2637&lt;&gt;""""),COUNTA(FILTER(H$1:H2637, H$1:H2637&lt;&gt;""""))))-1), IF('To Order'!$A2638=COL"&amp;"UMNS($A2638:H2657), H2637&amp;RIGHT(INDIRECT(ADDRESS(ROW(H2638)-1, 'From Order'!$A2638)), 1), H2637))"),"TJQGWCRVDTZHMTM")</f>
        <v>TJQGWCRVDTZHMTM</v>
      </c>
      <c r="I2638" s="2" t="str">
        <f>IFERROR(__xludf.DUMMYFUNCTION("IF('From Order'!$A2638=COLUMNS($A2638:I2657), LEFT(INDEX(FILTER(I$1:I2637, I$1:I2637&lt;&gt;""""),COUNTA(FILTER(I$1:I2637, I$1:I2637&lt;&gt;""""))), LEN(INDEX(FILTER(I$1:I2637, I$1:I2637&lt;&gt;""""),COUNTA(FILTER(I$1:I2637, I$1:I2637&lt;&gt;""""))))-1), IF('To Order'!$A2638=COL"&amp;"UMNS($A2638:I2657), I2637&amp;RIGHT(INDIRECT(ADDRESS(ROW(I2638)-1, 'From Order'!$A2638)), 1), I2637))"),"QVVDDSPLRRJTTCJFZPRBBWLBFLDTC")</f>
        <v>QVVDDSPLRRJTTCJFZPRBBWLBFLDTC</v>
      </c>
    </row>
    <row r="2639">
      <c r="A2639" s="2" t="str">
        <f>IFERROR(__xludf.DUMMYFUNCTION("IF('From Order'!$A2639=COLUMNS($A2639:A2658), LEFT(INDEX(FILTER(A$1:A2638, A$1:A2638&lt;&gt;""""),COUNTA(FILTER(A$1:A2638, A$1:A2638&lt;&gt;""""))), LEN(INDEX(FILTER(A$1:A2638, A$1:A2638&lt;&gt;""""),COUNTA(FILTER(A$1:A2638, A$1:A2638&lt;&gt;""""))))-1), IF('To Order'!$A2639=COL"&amp;"UMNS($A2639:A2658), A2638&amp;RIGHT(INDIRECT(ADDRESS(ROW(A2639)-1, 'From Order'!$A2639)), 1), A2638))"),"BS")</f>
        <v>BS</v>
      </c>
      <c r="B2639" s="2" t="str">
        <f>IFERROR(__xludf.DUMMYFUNCTION("IF('From Order'!$A2639=COLUMNS($A2639:B2658), LEFT(INDEX(FILTER(B$1:B2638, B$1:B2638&lt;&gt;""""),COUNTA(FILTER(B$1:B2638, B$1:B2638&lt;&gt;""""))), LEN(INDEX(FILTER(B$1:B2638, B$1:B2638&lt;&gt;""""),COUNTA(FILTER(B$1:B2638, B$1:B2638&lt;&gt;""""))))-1), IF('To Order'!$A2639=COL"&amp;"UMNS($A2639:B2658), B2638&amp;RIGHT(INDIRECT(ADDRESS(ROW(B2639)-1, 'From Order'!$A2639)), 1), B2638))"),"H")</f>
        <v>H</v>
      </c>
      <c r="C2639" s="2" t="str">
        <f>IFERROR(__xludf.DUMMYFUNCTION("IF('From Order'!$A2639=COLUMNS($A2639:C2658), LEFT(INDEX(FILTER(C$1:C2638, C$1:C2638&lt;&gt;""""),COUNTA(FILTER(C$1:C2638, C$1:C2638&lt;&gt;""""))), LEN(INDEX(FILTER(C$1:C2638, C$1:C2638&lt;&gt;""""),COUNTA(FILTER(C$1:C2638, C$1:C2638&lt;&gt;""""))))-1), IF('To Order'!$A2639=COL"&amp;"UMNS($A2639:C2658), C2638&amp;RIGHT(INDIRECT(ADDRESS(ROW(C2639)-1, 'From Order'!$A2639)), 1), C2638))"),"DDM")</f>
        <v>DDM</v>
      </c>
      <c r="D2639" s="2" t="str">
        <f>IFERROR(__xludf.DUMMYFUNCTION("IF('From Order'!$A2639=COLUMNS($A2639:D2658), LEFT(INDEX(FILTER(D$1:D2638, D$1:D2638&lt;&gt;""""),COUNTA(FILTER(D$1:D2638, D$1:D2638&lt;&gt;""""))), LEN(INDEX(FILTER(D$1:D2638, D$1:D2638&lt;&gt;""""),COUNTA(FILTER(D$1:D2638, D$1:D2638&lt;&gt;""""))))-1), IF('To Order'!$A2639=COL"&amp;"UMNS($A2639:D2658), D2638&amp;RIGHT(INDIRECT(ADDRESS(ROW(D2639)-1, 'From Order'!$A2639)), 1), D2638))"),"S")</f>
        <v>S</v>
      </c>
      <c r="E2639" s="2" t="str">
        <f>IFERROR(__xludf.DUMMYFUNCTION("IF('From Order'!$A2639=COLUMNS($A2639:E2658), LEFT(INDEX(FILTER(E$1:E2638, E$1:E2638&lt;&gt;""""),COUNTA(FILTER(E$1:E2638, E$1:E2638&lt;&gt;""""))), LEN(INDEX(FILTER(E$1:E2638, E$1:E2638&lt;&gt;""""),COUNTA(FILTER(E$1:E2638, E$1:E2638&lt;&gt;""""))))-1), IF('To Order'!$A2639=COL"&amp;"UMNS($A2639:E2658), E2638&amp;RIGHT(INDIRECT(ADDRESS(ROW(E2639)-1, 'From Order'!$A2639)), 1), E2638))"),"")</f>
        <v/>
      </c>
      <c r="F2639" s="2" t="str">
        <f>IFERROR(__xludf.DUMMYFUNCTION("IF('From Order'!$A2639=COLUMNS($A2639:F2658), LEFT(INDEX(FILTER(F$1:F2638, F$1:F2638&lt;&gt;""""),COUNTA(FILTER(F$1:F2638, F$1:F2638&lt;&gt;""""))), LEN(INDEX(FILTER(F$1:F2638, F$1:F2638&lt;&gt;""""),COUNTA(FILTER(F$1:F2638, F$1:F2638&lt;&gt;""""))))-1), IF('To Order'!$A2639=COL"&amp;"UMNS($A2639:F2658), F2638&amp;RIGHT(INDIRECT(ADDRESS(ROW(F2639)-1, 'From Order'!$A2639)), 1), F2638))"),"RSPMG")</f>
        <v>RSPMG</v>
      </c>
      <c r="G2639" s="2" t="str">
        <f>IFERROR(__xludf.DUMMYFUNCTION("IF('From Order'!$A2639=COLUMNS($A2639:G2658), LEFT(INDEX(FILTER(G$1:G2638, G$1:G2638&lt;&gt;""""),COUNTA(FILTER(G$1:G2638, G$1:G2638&lt;&gt;""""))), LEN(INDEX(FILTER(G$1:G2638, G$1:G2638&lt;&gt;""""),COUNTA(FILTER(G$1:G2638, G$1:G2638&lt;&gt;""""))))-1), IF('To Order'!$A2639=COL"&amp;"UMNS($A2639:G2658), G2638&amp;RIGHT(INDIRECT(ADDRESS(ROW(G2639)-1, 'From Order'!$A2639)), 1), G2638))"),"Z")</f>
        <v>Z</v>
      </c>
      <c r="H2639" s="2" t="str">
        <f>IFERROR(__xludf.DUMMYFUNCTION("IF('From Order'!$A2639=COLUMNS($A2639:H2658), LEFT(INDEX(FILTER(H$1:H2638, H$1:H2638&lt;&gt;""""),COUNTA(FILTER(H$1:H2638, H$1:H2638&lt;&gt;""""))), LEN(INDEX(FILTER(H$1:H2638, H$1:H2638&lt;&gt;""""),COUNTA(FILTER(H$1:H2638, H$1:H2638&lt;&gt;""""))))-1), IF('To Order'!$A2639=COL"&amp;"UMNS($A2639:H2658), H2638&amp;RIGHT(INDIRECT(ADDRESS(ROW(H2639)-1, 'From Order'!$A2639)), 1), H2638))"),"TJQGWCRVDTZHMT")</f>
        <v>TJQGWCRVDTZHMT</v>
      </c>
      <c r="I2639" s="2" t="str">
        <f>IFERROR(__xludf.DUMMYFUNCTION("IF('From Order'!$A2639=COLUMNS($A2639:I2658), LEFT(INDEX(FILTER(I$1:I2638, I$1:I2638&lt;&gt;""""),COUNTA(FILTER(I$1:I2638, I$1:I2638&lt;&gt;""""))), LEN(INDEX(FILTER(I$1:I2638, I$1:I2638&lt;&gt;""""),COUNTA(FILTER(I$1:I2638, I$1:I2638&lt;&gt;""""))))-1), IF('To Order'!$A2639=COL"&amp;"UMNS($A2639:I2658), I2638&amp;RIGHT(INDIRECT(ADDRESS(ROW(I2639)-1, 'From Order'!$A2639)), 1), I2638))"),"QVVDDSPLRRJTTCJFZPRBBWLBFLDTC")</f>
        <v>QVVDDSPLRRJTTCJFZPRBBWLBFLDTC</v>
      </c>
    </row>
    <row r="2640">
      <c r="A2640" s="2" t="str">
        <f>IFERROR(__xludf.DUMMYFUNCTION("IF('From Order'!$A2640=COLUMNS($A2640:A2659), LEFT(INDEX(FILTER(A$1:A2639, A$1:A2639&lt;&gt;""""),COUNTA(FILTER(A$1:A2639, A$1:A2639&lt;&gt;""""))), LEN(INDEX(FILTER(A$1:A2639, A$1:A2639&lt;&gt;""""),COUNTA(FILTER(A$1:A2639, A$1:A2639&lt;&gt;""""))))-1), IF('To Order'!$A2640=COL"&amp;"UMNS($A2640:A2659), A2639&amp;RIGHT(INDIRECT(ADDRESS(ROW(A2640)-1, 'From Order'!$A2640)), 1), A2639))"),"BS")</f>
        <v>BS</v>
      </c>
      <c r="B2640" s="2" t="str">
        <f>IFERROR(__xludf.DUMMYFUNCTION("IF('From Order'!$A2640=COLUMNS($A2640:B2659), LEFT(INDEX(FILTER(B$1:B2639, B$1:B2639&lt;&gt;""""),COUNTA(FILTER(B$1:B2639, B$1:B2639&lt;&gt;""""))), LEN(INDEX(FILTER(B$1:B2639, B$1:B2639&lt;&gt;""""),COUNTA(FILTER(B$1:B2639, B$1:B2639&lt;&gt;""""))))-1), IF('To Order'!$A2640=COL"&amp;"UMNS($A2640:B2659), B2639&amp;RIGHT(INDIRECT(ADDRESS(ROW(B2640)-1, 'From Order'!$A2640)), 1), B2639))"),"H")</f>
        <v>H</v>
      </c>
      <c r="C2640" s="2" t="str">
        <f>IFERROR(__xludf.DUMMYFUNCTION("IF('From Order'!$A2640=COLUMNS($A2640:C2659), LEFT(INDEX(FILTER(C$1:C2639, C$1:C2639&lt;&gt;""""),COUNTA(FILTER(C$1:C2639, C$1:C2639&lt;&gt;""""))), LEN(INDEX(FILTER(C$1:C2639, C$1:C2639&lt;&gt;""""),COUNTA(FILTER(C$1:C2639, C$1:C2639&lt;&gt;""""))))-1), IF('To Order'!$A2640=COL"&amp;"UMNS($A2640:C2659), C2639&amp;RIGHT(INDIRECT(ADDRESS(ROW(C2640)-1, 'From Order'!$A2640)), 1), C2639))"),"DDM")</f>
        <v>DDM</v>
      </c>
      <c r="D2640" s="2" t="str">
        <f>IFERROR(__xludf.DUMMYFUNCTION("IF('From Order'!$A2640=COLUMNS($A2640:D2659), LEFT(INDEX(FILTER(D$1:D2639, D$1:D2639&lt;&gt;""""),COUNTA(FILTER(D$1:D2639, D$1:D2639&lt;&gt;""""))), LEN(INDEX(FILTER(D$1:D2639, D$1:D2639&lt;&gt;""""),COUNTA(FILTER(D$1:D2639, D$1:D2639&lt;&gt;""""))))-1), IF('To Order'!$A2640=COL"&amp;"UMNS($A2640:D2659), D2639&amp;RIGHT(INDIRECT(ADDRESS(ROW(D2640)-1, 'From Order'!$A2640)), 1), D2639))"),"S")</f>
        <v>S</v>
      </c>
      <c r="E2640" s="2" t="str">
        <f>IFERROR(__xludf.DUMMYFUNCTION("IF('From Order'!$A2640=COLUMNS($A2640:E2659), LEFT(INDEX(FILTER(E$1:E2639, E$1:E2639&lt;&gt;""""),COUNTA(FILTER(E$1:E2639, E$1:E2639&lt;&gt;""""))), LEN(INDEX(FILTER(E$1:E2639, E$1:E2639&lt;&gt;""""),COUNTA(FILTER(E$1:E2639, E$1:E2639&lt;&gt;""""))))-1), IF('To Order'!$A2640=COL"&amp;"UMNS($A2640:E2659), E2639&amp;RIGHT(INDIRECT(ADDRESS(ROW(E2640)-1, 'From Order'!$A2640)), 1), E2639))"),"T")</f>
        <v>T</v>
      </c>
      <c r="F2640" s="2" t="str">
        <f>IFERROR(__xludf.DUMMYFUNCTION("IF('From Order'!$A2640=COLUMNS($A2640:F2659), LEFT(INDEX(FILTER(F$1:F2639, F$1:F2639&lt;&gt;""""),COUNTA(FILTER(F$1:F2639, F$1:F2639&lt;&gt;""""))), LEN(INDEX(FILTER(F$1:F2639, F$1:F2639&lt;&gt;""""),COUNTA(FILTER(F$1:F2639, F$1:F2639&lt;&gt;""""))))-1), IF('To Order'!$A2640=COL"&amp;"UMNS($A2640:F2659), F2639&amp;RIGHT(INDIRECT(ADDRESS(ROW(F2640)-1, 'From Order'!$A2640)), 1), F2639))"),"RSPMG")</f>
        <v>RSPMG</v>
      </c>
      <c r="G2640" s="2" t="str">
        <f>IFERROR(__xludf.DUMMYFUNCTION("IF('From Order'!$A2640=COLUMNS($A2640:G2659), LEFT(INDEX(FILTER(G$1:G2639, G$1:G2639&lt;&gt;""""),COUNTA(FILTER(G$1:G2639, G$1:G2639&lt;&gt;""""))), LEN(INDEX(FILTER(G$1:G2639, G$1:G2639&lt;&gt;""""),COUNTA(FILTER(G$1:G2639, G$1:G2639&lt;&gt;""""))))-1), IF('To Order'!$A2640=COL"&amp;"UMNS($A2640:G2659), G2639&amp;RIGHT(INDIRECT(ADDRESS(ROW(G2640)-1, 'From Order'!$A2640)), 1), G2639))"),"Z")</f>
        <v>Z</v>
      </c>
      <c r="H2640" s="2" t="str">
        <f>IFERROR(__xludf.DUMMYFUNCTION("IF('From Order'!$A2640=COLUMNS($A2640:H2659), LEFT(INDEX(FILTER(H$1:H2639, H$1:H2639&lt;&gt;""""),COUNTA(FILTER(H$1:H2639, H$1:H2639&lt;&gt;""""))), LEN(INDEX(FILTER(H$1:H2639, H$1:H2639&lt;&gt;""""),COUNTA(FILTER(H$1:H2639, H$1:H2639&lt;&gt;""""))))-1), IF('To Order'!$A2640=COL"&amp;"UMNS($A2640:H2659), H2639&amp;RIGHT(INDIRECT(ADDRESS(ROW(H2640)-1, 'From Order'!$A2640)), 1), H2639))"),"TJQGWCRVDTZHM")</f>
        <v>TJQGWCRVDTZHM</v>
      </c>
      <c r="I2640" s="2" t="str">
        <f>IFERROR(__xludf.DUMMYFUNCTION("IF('From Order'!$A2640=COLUMNS($A2640:I2659), LEFT(INDEX(FILTER(I$1:I2639, I$1:I2639&lt;&gt;""""),COUNTA(FILTER(I$1:I2639, I$1:I2639&lt;&gt;""""))), LEN(INDEX(FILTER(I$1:I2639, I$1:I2639&lt;&gt;""""),COUNTA(FILTER(I$1:I2639, I$1:I2639&lt;&gt;""""))))-1), IF('To Order'!$A2640=COL"&amp;"UMNS($A2640:I2659), I2639&amp;RIGHT(INDIRECT(ADDRESS(ROW(I2640)-1, 'From Order'!$A2640)), 1), I2639))"),"QVVDDSPLRRJTTCJFZPRBBWLBFLDTC")</f>
        <v>QVVDDSPLRRJTTCJFZPRBBWLBFLDTC</v>
      </c>
    </row>
    <row r="2641">
      <c r="A2641" s="2" t="str">
        <f>IFERROR(__xludf.DUMMYFUNCTION("IF('From Order'!$A2641=COLUMNS($A2641:A2660), LEFT(INDEX(FILTER(A$1:A2640, A$1:A2640&lt;&gt;""""),COUNTA(FILTER(A$1:A2640, A$1:A2640&lt;&gt;""""))), LEN(INDEX(FILTER(A$1:A2640, A$1:A2640&lt;&gt;""""),COUNTA(FILTER(A$1:A2640, A$1:A2640&lt;&gt;""""))))-1), IF('To Order'!$A2641=COL"&amp;"UMNS($A2641:A2660), A2640&amp;RIGHT(INDIRECT(ADDRESS(ROW(A2641)-1, 'From Order'!$A2641)), 1), A2640))"),"BS")</f>
        <v>BS</v>
      </c>
      <c r="B2641" s="2" t="str">
        <f>IFERROR(__xludf.DUMMYFUNCTION("IF('From Order'!$A2641=COLUMNS($A2641:B2660), LEFT(INDEX(FILTER(B$1:B2640, B$1:B2640&lt;&gt;""""),COUNTA(FILTER(B$1:B2640, B$1:B2640&lt;&gt;""""))), LEN(INDEX(FILTER(B$1:B2640, B$1:B2640&lt;&gt;""""),COUNTA(FILTER(B$1:B2640, B$1:B2640&lt;&gt;""""))))-1), IF('To Order'!$A2641=COL"&amp;"UMNS($A2641:B2660), B2640&amp;RIGHT(INDIRECT(ADDRESS(ROW(B2641)-1, 'From Order'!$A2641)), 1), B2640))"),"H")</f>
        <v>H</v>
      </c>
      <c r="C2641" s="2" t="str">
        <f>IFERROR(__xludf.DUMMYFUNCTION("IF('From Order'!$A2641=COLUMNS($A2641:C2660), LEFT(INDEX(FILTER(C$1:C2640, C$1:C2640&lt;&gt;""""),COUNTA(FILTER(C$1:C2640, C$1:C2640&lt;&gt;""""))), LEN(INDEX(FILTER(C$1:C2640, C$1:C2640&lt;&gt;""""),COUNTA(FILTER(C$1:C2640, C$1:C2640&lt;&gt;""""))))-1), IF('To Order'!$A2641=COL"&amp;"UMNS($A2641:C2660), C2640&amp;RIGHT(INDIRECT(ADDRESS(ROW(C2641)-1, 'From Order'!$A2641)), 1), C2640))"),"DDM")</f>
        <v>DDM</v>
      </c>
      <c r="D2641" s="2" t="str">
        <f>IFERROR(__xludf.DUMMYFUNCTION("IF('From Order'!$A2641=COLUMNS($A2641:D2660), LEFT(INDEX(FILTER(D$1:D2640, D$1:D2640&lt;&gt;""""),COUNTA(FILTER(D$1:D2640, D$1:D2640&lt;&gt;""""))), LEN(INDEX(FILTER(D$1:D2640, D$1:D2640&lt;&gt;""""),COUNTA(FILTER(D$1:D2640, D$1:D2640&lt;&gt;""""))))-1), IF('To Order'!$A2641=COL"&amp;"UMNS($A2641:D2660), D2640&amp;RIGHT(INDIRECT(ADDRESS(ROW(D2641)-1, 'From Order'!$A2641)), 1), D2640))"),"S")</f>
        <v>S</v>
      </c>
      <c r="E2641" s="2" t="str">
        <f>IFERROR(__xludf.DUMMYFUNCTION("IF('From Order'!$A2641=COLUMNS($A2641:E2660), LEFT(INDEX(FILTER(E$1:E2640, E$1:E2640&lt;&gt;""""),COUNTA(FILTER(E$1:E2640, E$1:E2640&lt;&gt;""""))), LEN(INDEX(FILTER(E$1:E2640, E$1:E2640&lt;&gt;""""),COUNTA(FILTER(E$1:E2640, E$1:E2640&lt;&gt;""""))))-1), IF('To Order'!$A2641=COL"&amp;"UMNS($A2641:E2660), E2640&amp;RIGHT(INDIRECT(ADDRESS(ROW(E2641)-1, 'From Order'!$A2641)), 1), E2640))"),"TM")</f>
        <v>TM</v>
      </c>
      <c r="F2641" s="2" t="str">
        <f>IFERROR(__xludf.DUMMYFUNCTION("IF('From Order'!$A2641=COLUMNS($A2641:F2660), LEFT(INDEX(FILTER(F$1:F2640, F$1:F2640&lt;&gt;""""),COUNTA(FILTER(F$1:F2640, F$1:F2640&lt;&gt;""""))), LEN(INDEX(FILTER(F$1:F2640, F$1:F2640&lt;&gt;""""),COUNTA(FILTER(F$1:F2640, F$1:F2640&lt;&gt;""""))))-1), IF('To Order'!$A2641=COL"&amp;"UMNS($A2641:F2660), F2640&amp;RIGHT(INDIRECT(ADDRESS(ROW(F2641)-1, 'From Order'!$A2641)), 1), F2640))"),"RSPMG")</f>
        <v>RSPMG</v>
      </c>
      <c r="G2641" s="2" t="str">
        <f>IFERROR(__xludf.DUMMYFUNCTION("IF('From Order'!$A2641=COLUMNS($A2641:G2660), LEFT(INDEX(FILTER(G$1:G2640, G$1:G2640&lt;&gt;""""),COUNTA(FILTER(G$1:G2640, G$1:G2640&lt;&gt;""""))), LEN(INDEX(FILTER(G$1:G2640, G$1:G2640&lt;&gt;""""),COUNTA(FILTER(G$1:G2640, G$1:G2640&lt;&gt;""""))))-1), IF('To Order'!$A2641=COL"&amp;"UMNS($A2641:G2660), G2640&amp;RIGHT(INDIRECT(ADDRESS(ROW(G2641)-1, 'From Order'!$A2641)), 1), G2640))"),"Z")</f>
        <v>Z</v>
      </c>
      <c r="H2641" s="2" t="str">
        <f>IFERROR(__xludf.DUMMYFUNCTION("IF('From Order'!$A2641=COLUMNS($A2641:H2660), LEFT(INDEX(FILTER(H$1:H2640, H$1:H2640&lt;&gt;""""),COUNTA(FILTER(H$1:H2640, H$1:H2640&lt;&gt;""""))), LEN(INDEX(FILTER(H$1:H2640, H$1:H2640&lt;&gt;""""),COUNTA(FILTER(H$1:H2640, H$1:H2640&lt;&gt;""""))))-1), IF('To Order'!$A2641=COL"&amp;"UMNS($A2641:H2660), H2640&amp;RIGHT(INDIRECT(ADDRESS(ROW(H2641)-1, 'From Order'!$A2641)), 1), H2640))"),"TJQGWCRVDTZH")</f>
        <v>TJQGWCRVDTZH</v>
      </c>
      <c r="I2641" s="2" t="str">
        <f>IFERROR(__xludf.DUMMYFUNCTION("IF('From Order'!$A2641=COLUMNS($A2641:I2660), LEFT(INDEX(FILTER(I$1:I2640, I$1:I2640&lt;&gt;""""),COUNTA(FILTER(I$1:I2640, I$1:I2640&lt;&gt;""""))), LEN(INDEX(FILTER(I$1:I2640, I$1:I2640&lt;&gt;""""),COUNTA(FILTER(I$1:I2640, I$1:I2640&lt;&gt;""""))))-1), IF('To Order'!$A2641=COL"&amp;"UMNS($A2641:I2660), I2640&amp;RIGHT(INDIRECT(ADDRESS(ROW(I2641)-1, 'From Order'!$A2641)), 1), I2640))"),"QVVDDSPLRRJTTCJFZPRBBWLBFLDTC")</f>
        <v>QVVDDSPLRRJTTCJFZPRBBWLBFLDTC</v>
      </c>
    </row>
    <row r="2642">
      <c r="A2642" s="2" t="str">
        <f>IFERROR(__xludf.DUMMYFUNCTION("IF('From Order'!$A2642=COLUMNS($A2642:A2661), LEFT(INDEX(FILTER(A$1:A2641, A$1:A2641&lt;&gt;""""),COUNTA(FILTER(A$1:A2641, A$1:A2641&lt;&gt;""""))), LEN(INDEX(FILTER(A$1:A2641, A$1:A2641&lt;&gt;""""),COUNTA(FILTER(A$1:A2641, A$1:A2641&lt;&gt;""""))))-1), IF('To Order'!$A2642=COL"&amp;"UMNS($A2642:A2661), A2641&amp;RIGHT(INDIRECT(ADDRESS(ROW(A2642)-1, 'From Order'!$A2642)), 1), A2641))"),"BS")</f>
        <v>BS</v>
      </c>
      <c r="B2642" s="2" t="str">
        <f>IFERROR(__xludf.DUMMYFUNCTION("IF('From Order'!$A2642=COLUMNS($A2642:B2661), LEFT(INDEX(FILTER(B$1:B2641, B$1:B2641&lt;&gt;""""),COUNTA(FILTER(B$1:B2641, B$1:B2641&lt;&gt;""""))), LEN(INDEX(FILTER(B$1:B2641, B$1:B2641&lt;&gt;""""),COUNTA(FILTER(B$1:B2641, B$1:B2641&lt;&gt;""""))))-1), IF('To Order'!$A2642=COL"&amp;"UMNS($A2642:B2661), B2641&amp;RIGHT(INDIRECT(ADDRESS(ROW(B2642)-1, 'From Order'!$A2642)), 1), B2641))"),"H")</f>
        <v>H</v>
      </c>
      <c r="C2642" s="2" t="str">
        <f>IFERROR(__xludf.DUMMYFUNCTION("IF('From Order'!$A2642=COLUMNS($A2642:C2661), LEFT(INDEX(FILTER(C$1:C2641, C$1:C2641&lt;&gt;""""),COUNTA(FILTER(C$1:C2641, C$1:C2641&lt;&gt;""""))), LEN(INDEX(FILTER(C$1:C2641, C$1:C2641&lt;&gt;""""),COUNTA(FILTER(C$1:C2641, C$1:C2641&lt;&gt;""""))))-1), IF('To Order'!$A2642=COL"&amp;"UMNS($A2642:C2661), C2641&amp;RIGHT(INDIRECT(ADDRESS(ROW(C2642)-1, 'From Order'!$A2642)), 1), C2641))"),"DDM")</f>
        <v>DDM</v>
      </c>
      <c r="D2642" s="2" t="str">
        <f>IFERROR(__xludf.DUMMYFUNCTION("IF('From Order'!$A2642=COLUMNS($A2642:D2661), LEFT(INDEX(FILTER(D$1:D2641, D$1:D2641&lt;&gt;""""),COUNTA(FILTER(D$1:D2641, D$1:D2641&lt;&gt;""""))), LEN(INDEX(FILTER(D$1:D2641, D$1:D2641&lt;&gt;""""),COUNTA(FILTER(D$1:D2641, D$1:D2641&lt;&gt;""""))))-1), IF('To Order'!$A2642=COL"&amp;"UMNS($A2642:D2661), D2641&amp;RIGHT(INDIRECT(ADDRESS(ROW(D2642)-1, 'From Order'!$A2642)), 1), D2641))"),"S")</f>
        <v>S</v>
      </c>
      <c r="E2642" s="2" t="str">
        <f>IFERROR(__xludf.DUMMYFUNCTION("IF('From Order'!$A2642=COLUMNS($A2642:E2661), LEFT(INDEX(FILTER(E$1:E2641, E$1:E2641&lt;&gt;""""),COUNTA(FILTER(E$1:E2641, E$1:E2641&lt;&gt;""""))), LEN(INDEX(FILTER(E$1:E2641, E$1:E2641&lt;&gt;""""),COUNTA(FILTER(E$1:E2641, E$1:E2641&lt;&gt;""""))))-1), IF('To Order'!$A2642=COL"&amp;"UMNS($A2642:E2661), E2641&amp;RIGHT(INDIRECT(ADDRESS(ROW(E2642)-1, 'From Order'!$A2642)), 1), E2641))"),"TMH")</f>
        <v>TMH</v>
      </c>
      <c r="F2642" s="2" t="str">
        <f>IFERROR(__xludf.DUMMYFUNCTION("IF('From Order'!$A2642=COLUMNS($A2642:F2661), LEFT(INDEX(FILTER(F$1:F2641, F$1:F2641&lt;&gt;""""),COUNTA(FILTER(F$1:F2641, F$1:F2641&lt;&gt;""""))), LEN(INDEX(FILTER(F$1:F2641, F$1:F2641&lt;&gt;""""),COUNTA(FILTER(F$1:F2641, F$1:F2641&lt;&gt;""""))))-1), IF('To Order'!$A2642=COL"&amp;"UMNS($A2642:F2661), F2641&amp;RIGHT(INDIRECT(ADDRESS(ROW(F2642)-1, 'From Order'!$A2642)), 1), F2641))"),"RSPMG")</f>
        <v>RSPMG</v>
      </c>
      <c r="G2642" s="2" t="str">
        <f>IFERROR(__xludf.DUMMYFUNCTION("IF('From Order'!$A2642=COLUMNS($A2642:G2661), LEFT(INDEX(FILTER(G$1:G2641, G$1:G2641&lt;&gt;""""),COUNTA(FILTER(G$1:G2641, G$1:G2641&lt;&gt;""""))), LEN(INDEX(FILTER(G$1:G2641, G$1:G2641&lt;&gt;""""),COUNTA(FILTER(G$1:G2641, G$1:G2641&lt;&gt;""""))))-1), IF('To Order'!$A2642=COL"&amp;"UMNS($A2642:G2661), G2641&amp;RIGHT(INDIRECT(ADDRESS(ROW(G2642)-1, 'From Order'!$A2642)), 1), G2641))"),"Z")</f>
        <v>Z</v>
      </c>
      <c r="H2642" s="2" t="str">
        <f>IFERROR(__xludf.DUMMYFUNCTION("IF('From Order'!$A2642=COLUMNS($A2642:H2661), LEFT(INDEX(FILTER(H$1:H2641, H$1:H2641&lt;&gt;""""),COUNTA(FILTER(H$1:H2641, H$1:H2641&lt;&gt;""""))), LEN(INDEX(FILTER(H$1:H2641, H$1:H2641&lt;&gt;""""),COUNTA(FILTER(H$1:H2641, H$1:H2641&lt;&gt;""""))))-1), IF('To Order'!$A2642=COL"&amp;"UMNS($A2642:H2661), H2641&amp;RIGHT(INDIRECT(ADDRESS(ROW(H2642)-1, 'From Order'!$A2642)), 1), H2641))"),"TJQGWCRVDTZ")</f>
        <v>TJQGWCRVDTZ</v>
      </c>
      <c r="I2642" s="2" t="str">
        <f>IFERROR(__xludf.DUMMYFUNCTION("IF('From Order'!$A2642=COLUMNS($A2642:I2661), LEFT(INDEX(FILTER(I$1:I2641, I$1:I2641&lt;&gt;""""),COUNTA(FILTER(I$1:I2641, I$1:I2641&lt;&gt;""""))), LEN(INDEX(FILTER(I$1:I2641, I$1:I2641&lt;&gt;""""),COUNTA(FILTER(I$1:I2641, I$1:I2641&lt;&gt;""""))))-1), IF('To Order'!$A2642=COL"&amp;"UMNS($A2642:I2661), I2641&amp;RIGHT(INDIRECT(ADDRESS(ROW(I2642)-1, 'From Order'!$A2642)), 1), I2641))"),"QVVDDSPLRRJTTCJFZPRBBWLBFLDTC")</f>
        <v>QVVDDSPLRRJTTCJFZPRBBWLBFLDTC</v>
      </c>
    </row>
    <row r="2643">
      <c r="A2643" s="2" t="str">
        <f>IFERROR(__xludf.DUMMYFUNCTION("IF('From Order'!$A2643=COLUMNS($A2643:A2662), LEFT(INDEX(FILTER(A$1:A2642, A$1:A2642&lt;&gt;""""),COUNTA(FILTER(A$1:A2642, A$1:A2642&lt;&gt;""""))), LEN(INDEX(FILTER(A$1:A2642, A$1:A2642&lt;&gt;""""),COUNTA(FILTER(A$1:A2642, A$1:A2642&lt;&gt;""""))))-1), IF('To Order'!$A2643=COL"&amp;"UMNS($A2643:A2662), A2642&amp;RIGHT(INDIRECT(ADDRESS(ROW(A2643)-1, 'From Order'!$A2643)), 1), A2642))"),"BS")</f>
        <v>BS</v>
      </c>
      <c r="B2643" s="2" t="str">
        <f>IFERROR(__xludf.DUMMYFUNCTION("IF('From Order'!$A2643=COLUMNS($A2643:B2662), LEFT(INDEX(FILTER(B$1:B2642, B$1:B2642&lt;&gt;""""),COUNTA(FILTER(B$1:B2642, B$1:B2642&lt;&gt;""""))), LEN(INDEX(FILTER(B$1:B2642, B$1:B2642&lt;&gt;""""),COUNTA(FILTER(B$1:B2642, B$1:B2642&lt;&gt;""""))))-1), IF('To Order'!$A2643=COL"&amp;"UMNS($A2643:B2662), B2642&amp;RIGHT(INDIRECT(ADDRESS(ROW(B2643)-1, 'From Order'!$A2643)), 1), B2642))"),"H")</f>
        <v>H</v>
      </c>
      <c r="C2643" s="2" t="str">
        <f>IFERROR(__xludf.DUMMYFUNCTION("IF('From Order'!$A2643=COLUMNS($A2643:C2662), LEFT(INDEX(FILTER(C$1:C2642, C$1:C2642&lt;&gt;""""),COUNTA(FILTER(C$1:C2642, C$1:C2642&lt;&gt;""""))), LEN(INDEX(FILTER(C$1:C2642, C$1:C2642&lt;&gt;""""),COUNTA(FILTER(C$1:C2642, C$1:C2642&lt;&gt;""""))))-1), IF('To Order'!$A2643=COL"&amp;"UMNS($A2643:C2662), C2642&amp;RIGHT(INDIRECT(ADDRESS(ROW(C2643)-1, 'From Order'!$A2643)), 1), C2642))"),"DDM")</f>
        <v>DDM</v>
      </c>
      <c r="D2643" s="2" t="str">
        <f>IFERROR(__xludf.DUMMYFUNCTION("IF('From Order'!$A2643=COLUMNS($A2643:D2662), LEFT(INDEX(FILTER(D$1:D2642, D$1:D2642&lt;&gt;""""),COUNTA(FILTER(D$1:D2642, D$1:D2642&lt;&gt;""""))), LEN(INDEX(FILTER(D$1:D2642, D$1:D2642&lt;&gt;""""),COUNTA(FILTER(D$1:D2642, D$1:D2642&lt;&gt;""""))))-1), IF('To Order'!$A2643=COL"&amp;"UMNS($A2643:D2662), D2642&amp;RIGHT(INDIRECT(ADDRESS(ROW(D2643)-1, 'From Order'!$A2643)), 1), D2642))"),"S")</f>
        <v>S</v>
      </c>
      <c r="E2643" s="2" t="str">
        <f>IFERROR(__xludf.DUMMYFUNCTION("IF('From Order'!$A2643=COLUMNS($A2643:E2662), LEFT(INDEX(FILTER(E$1:E2642, E$1:E2642&lt;&gt;""""),COUNTA(FILTER(E$1:E2642, E$1:E2642&lt;&gt;""""))), LEN(INDEX(FILTER(E$1:E2642, E$1:E2642&lt;&gt;""""),COUNTA(FILTER(E$1:E2642, E$1:E2642&lt;&gt;""""))))-1), IF('To Order'!$A2643=COL"&amp;"UMNS($A2643:E2662), E2642&amp;RIGHT(INDIRECT(ADDRESS(ROW(E2643)-1, 'From Order'!$A2643)), 1), E2642))"),"TMHZ")</f>
        <v>TMHZ</v>
      </c>
      <c r="F2643" s="2" t="str">
        <f>IFERROR(__xludf.DUMMYFUNCTION("IF('From Order'!$A2643=COLUMNS($A2643:F2662), LEFT(INDEX(FILTER(F$1:F2642, F$1:F2642&lt;&gt;""""),COUNTA(FILTER(F$1:F2642, F$1:F2642&lt;&gt;""""))), LEN(INDEX(FILTER(F$1:F2642, F$1:F2642&lt;&gt;""""),COUNTA(FILTER(F$1:F2642, F$1:F2642&lt;&gt;""""))))-1), IF('To Order'!$A2643=COL"&amp;"UMNS($A2643:F2662), F2642&amp;RIGHT(INDIRECT(ADDRESS(ROW(F2643)-1, 'From Order'!$A2643)), 1), F2642))"),"RSPMG")</f>
        <v>RSPMG</v>
      </c>
      <c r="G2643" s="2" t="str">
        <f>IFERROR(__xludf.DUMMYFUNCTION("IF('From Order'!$A2643=COLUMNS($A2643:G2662), LEFT(INDEX(FILTER(G$1:G2642, G$1:G2642&lt;&gt;""""),COUNTA(FILTER(G$1:G2642, G$1:G2642&lt;&gt;""""))), LEN(INDEX(FILTER(G$1:G2642, G$1:G2642&lt;&gt;""""),COUNTA(FILTER(G$1:G2642, G$1:G2642&lt;&gt;""""))))-1), IF('To Order'!$A2643=COL"&amp;"UMNS($A2643:G2662), G2642&amp;RIGHT(INDIRECT(ADDRESS(ROW(G2643)-1, 'From Order'!$A2643)), 1), G2642))"),"Z")</f>
        <v>Z</v>
      </c>
      <c r="H2643" s="2" t="str">
        <f>IFERROR(__xludf.DUMMYFUNCTION("IF('From Order'!$A2643=COLUMNS($A2643:H2662), LEFT(INDEX(FILTER(H$1:H2642, H$1:H2642&lt;&gt;""""),COUNTA(FILTER(H$1:H2642, H$1:H2642&lt;&gt;""""))), LEN(INDEX(FILTER(H$1:H2642, H$1:H2642&lt;&gt;""""),COUNTA(FILTER(H$1:H2642, H$1:H2642&lt;&gt;""""))))-1), IF('To Order'!$A2643=COL"&amp;"UMNS($A2643:H2662), H2642&amp;RIGHT(INDIRECT(ADDRESS(ROW(H2643)-1, 'From Order'!$A2643)), 1), H2642))"),"TJQGWCRVDT")</f>
        <v>TJQGWCRVDT</v>
      </c>
      <c r="I2643" s="2" t="str">
        <f>IFERROR(__xludf.DUMMYFUNCTION("IF('From Order'!$A2643=COLUMNS($A2643:I2662), LEFT(INDEX(FILTER(I$1:I2642, I$1:I2642&lt;&gt;""""),COUNTA(FILTER(I$1:I2642, I$1:I2642&lt;&gt;""""))), LEN(INDEX(FILTER(I$1:I2642, I$1:I2642&lt;&gt;""""),COUNTA(FILTER(I$1:I2642, I$1:I2642&lt;&gt;""""))))-1), IF('To Order'!$A2643=COL"&amp;"UMNS($A2643:I2662), I2642&amp;RIGHT(INDIRECT(ADDRESS(ROW(I2643)-1, 'From Order'!$A2643)), 1), I2642))"),"QVVDDSPLRRJTTCJFZPRBBWLBFLDTC")</f>
        <v>QVVDDSPLRRJTTCJFZPRBBWLBFLDTC</v>
      </c>
    </row>
    <row r="2644">
      <c r="A2644" s="2" t="str">
        <f>IFERROR(__xludf.DUMMYFUNCTION("IF('From Order'!$A2644=COLUMNS($A2644:A2663), LEFT(INDEX(FILTER(A$1:A2643, A$1:A2643&lt;&gt;""""),COUNTA(FILTER(A$1:A2643, A$1:A2643&lt;&gt;""""))), LEN(INDEX(FILTER(A$1:A2643, A$1:A2643&lt;&gt;""""),COUNTA(FILTER(A$1:A2643, A$1:A2643&lt;&gt;""""))))-1), IF('To Order'!$A2644=COL"&amp;"UMNS($A2644:A2663), A2643&amp;RIGHT(INDIRECT(ADDRESS(ROW(A2644)-1, 'From Order'!$A2644)), 1), A2643))"),"BS")</f>
        <v>BS</v>
      </c>
      <c r="B2644" s="2" t="str">
        <f>IFERROR(__xludf.DUMMYFUNCTION("IF('From Order'!$A2644=COLUMNS($A2644:B2663), LEFT(INDEX(FILTER(B$1:B2643, B$1:B2643&lt;&gt;""""),COUNTA(FILTER(B$1:B2643, B$1:B2643&lt;&gt;""""))), LEN(INDEX(FILTER(B$1:B2643, B$1:B2643&lt;&gt;""""),COUNTA(FILTER(B$1:B2643, B$1:B2643&lt;&gt;""""))))-1), IF('To Order'!$A2644=COL"&amp;"UMNS($A2644:B2663), B2643&amp;RIGHT(INDIRECT(ADDRESS(ROW(B2644)-1, 'From Order'!$A2644)), 1), B2643))"),"H")</f>
        <v>H</v>
      </c>
      <c r="C2644" s="2" t="str">
        <f>IFERROR(__xludf.DUMMYFUNCTION("IF('From Order'!$A2644=COLUMNS($A2644:C2663), LEFT(INDEX(FILTER(C$1:C2643, C$1:C2643&lt;&gt;""""),COUNTA(FILTER(C$1:C2643, C$1:C2643&lt;&gt;""""))), LEN(INDEX(FILTER(C$1:C2643, C$1:C2643&lt;&gt;""""),COUNTA(FILTER(C$1:C2643, C$1:C2643&lt;&gt;""""))))-1), IF('To Order'!$A2644=COL"&amp;"UMNS($A2644:C2663), C2643&amp;RIGHT(INDIRECT(ADDRESS(ROW(C2644)-1, 'From Order'!$A2644)), 1), C2643))"),"DDM")</f>
        <v>DDM</v>
      </c>
      <c r="D2644" s="2" t="str">
        <f>IFERROR(__xludf.DUMMYFUNCTION("IF('From Order'!$A2644=COLUMNS($A2644:D2663), LEFT(INDEX(FILTER(D$1:D2643, D$1:D2643&lt;&gt;""""),COUNTA(FILTER(D$1:D2643, D$1:D2643&lt;&gt;""""))), LEN(INDEX(FILTER(D$1:D2643, D$1:D2643&lt;&gt;""""),COUNTA(FILTER(D$1:D2643, D$1:D2643&lt;&gt;""""))))-1), IF('To Order'!$A2644=COL"&amp;"UMNS($A2644:D2663), D2643&amp;RIGHT(INDIRECT(ADDRESS(ROW(D2644)-1, 'From Order'!$A2644)), 1), D2643))"),"S")</f>
        <v>S</v>
      </c>
      <c r="E2644" s="2" t="str">
        <f>IFERROR(__xludf.DUMMYFUNCTION("IF('From Order'!$A2644=COLUMNS($A2644:E2663), LEFT(INDEX(FILTER(E$1:E2643, E$1:E2643&lt;&gt;""""),COUNTA(FILTER(E$1:E2643, E$1:E2643&lt;&gt;""""))), LEN(INDEX(FILTER(E$1:E2643, E$1:E2643&lt;&gt;""""),COUNTA(FILTER(E$1:E2643, E$1:E2643&lt;&gt;""""))))-1), IF('To Order'!$A2644=COL"&amp;"UMNS($A2644:E2663), E2643&amp;RIGHT(INDIRECT(ADDRESS(ROW(E2644)-1, 'From Order'!$A2644)), 1), E2643))"),"TMHZT")</f>
        <v>TMHZT</v>
      </c>
      <c r="F2644" s="2" t="str">
        <f>IFERROR(__xludf.DUMMYFUNCTION("IF('From Order'!$A2644=COLUMNS($A2644:F2663), LEFT(INDEX(FILTER(F$1:F2643, F$1:F2643&lt;&gt;""""),COUNTA(FILTER(F$1:F2643, F$1:F2643&lt;&gt;""""))), LEN(INDEX(FILTER(F$1:F2643, F$1:F2643&lt;&gt;""""),COUNTA(FILTER(F$1:F2643, F$1:F2643&lt;&gt;""""))))-1), IF('To Order'!$A2644=COL"&amp;"UMNS($A2644:F2663), F2643&amp;RIGHT(INDIRECT(ADDRESS(ROW(F2644)-1, 'From Order'!$A2644)), 1), F2643))"),"RSPMG")</f>
        <v>RSPMG</v>
      </c>
      <c r="G2644" s="2" t="str">
        <f>IFERROR(__xludf.DUMMYFUNCTION("IF('From Order'!$A2644=COLUMNS($A2644:G2663), LEFT(INDEX(FILTER(G$1:G2643, G$1:G2643&lt;&gt;""""),COUNTA(FILTER(G$1:G2643, G$1:G2643&lt;&gt;""""))), LEN(INDEX(FILTER(G$1:G2643, G$1:G2643&lt;&gt;""""),COUNTA(FILTER(G$1:G2643, G$1:G2643&lt;&gt;""""))))-1), IF('To Order'!$A2644=COL"&amp;"UMNS($A2644:G2663), G2643&amp;RIGHT(INDIRECT(ADDRESS(ROW(G2644)-1, 'From Order'!$A2644)), 1), G2643))"),"Z")</f>
        <v>Z</v>
      </c>
      <c r="H2644" s="2" t="str">
        <f>IFERROR(__xludf.DUMMYFUNCTION("IF('From Order'!$A2644=COLUMNS($A2644:H2663), LEFT(INDEX(FILTER(H$1:H2643, H$1:H2643&lt;&gt;""""),COUNTA(FILTER(H$1:H2643, H$1:H2643&lt;&gt;""""))), LEN(INDEX(FILTER(H$1:H2643, H$1:H2643&lt;&gt;""""),COUNTA(FILTER(H$1:H2643, H$1:H2643&lt;&gt;""""))))-1), IF('To Order'!$A2644=COL"&amp;"UMNS($A2644:H2663), H2643&amp;RIGHT(INDIRECT(ADDRESS(ROW(H2644)-1, 'From Order'!$A2644)), 1), H2643))"),"TJQGWCRVD")</f>
        <v>TJQGWCRVD</v>
      </c>
      <c r="I2644" s="2" t="str">
        <f>IFERROR(__xludf.DUMMYFUNCTION("IF('From Order'!$A2644=COLUMNS($A2644:I2663), LEFT(INDEX(FILTER(I$1:I2643, I$1:I2643&lt;&gt;""""),COUNTA(FILTER(I$1:I2643, I$1:I2643&lt;&gt;""""))), LEN(INDEX(FILTER(I$1:I2643, I$1:I2643&lt;&gt;""""),COUNTA(FILTER(I$1:I2643, I$1:I2643&lt;&gt;""""))))-1), IF('To Order'!$A2644=COL"&amp;"UMNS($A2644:I2663), I2643&amp;RIGHT(INDIRECT(ADDRESS(ROW(I2644)-1, 'From Order'!$A2644)), 1), I2643))"),"QVVDDSPLRRJTTCJFZPRBBWLBFLDTC")</f>
        <v>QVVDDSPLRRJTTCJFZPRBBWLBFLDTC</v>
      </c>
    </row>
    <row r="2645">
      <c r="A2645" s="2" t="str">
        <f>IFERROR(__xludf.DUMMYFUNCTION("IF('From Order'!$A2645=COLUMNS($A2645:A2664), LEFT(INDEX(FILTER(A$1:A2644, A$1:A2644&lt;&gt;""""),COUNTA(FILTER(A$1:A2644, A$1:A2644&lt;&gt;""""))), LEN(INDEX(FILTER(A$1:A2644, A$1:A2644&lt;&gt;""""),COUNTA(FILTER(A$1:A2644, A$1:A2644&lt;&gt;""""))))-1), IF('To Order'!$A2645=COL"&amp;"UMNS($A2645:A2664), A2644&amp;RIGHT(INDIRECT(ADDRESS(ROW(A2645)-1, 'From Order'!$A2645)), 1), A2644))"),"BS")</f>
        <v>BS</v>
      </c>
      <c r="B2645" s="2" t="str">
        <f>IFERROR(__xludf.DUMMYFUNCTION("IF('From Order'!$A2645=COLUMNS($A2645:B2664), LEFT(INDEX(FILTER(B$1:B2644, B$1:B2644&lt;&gt;""""),COUNTA(FILTER(B$1:B2644, B$1:B2644&lt;&gt;""""))), LEN(INDEX(FILTER(B$1:B2644, B$1:B2644&lt;&gt;""""),COUNTA(FILTER(B$1:B2644, B$1:B2644&lt;&gt;""""))))-1), IF('To Order'!$A2645=COL"&amp;"UMNS($A2645:B2664), B2644&amp;RIGHT(INDIRECT(ADDRESS(ROW(B2645)-1, 'From Order'!$A2645)), 1), B2644))"),"H")</f>
        <v>H</v>
      </c>
      <c r="C2645" s="2" t="str">
        <f>IFERROR(__xludf.DUMMYFUNCTION("IF('From Order'!$A2645=COLUMNS($A2645:C2664), LEFT(INDEX(FILTER(C$1:C2644, C$1:C2644&lt;&gt;""""),COUNTA(FILTER(C$1:C2644, C$1:C2644&lt;&gt;""""))), LEN(INDEX(FILTER(C$1:C2644, C$1:C2644&lt;&gt;""""),COUNTA(FILTER(C$1:C2644, C$1:C2644&lt;&gt;""""))))-1), IF('To Order'!$A2645=COL"&amp;"UMNS($A2645:C2664), C2644&amp;RIGHT(INDIRECT(ADDRESS(ROW(C2645)-1, 'From Order'!$A2645)), 1), C2644))"),"DDM")</f>
        <v>DDM</v>
      </c>
      <c r="D2645" s="2" t="str">
        <f>IFERROR(__xludf.DUMMYFUNCTION("IF('From Order'!$A2645=COLUMNS($A2645:D2664), LEFT(INDEX(FILTER(D$1:D2644, D$1:D2644&lt;&gt;""""),COUNTA(FILTER(D$1:D2644, D$1:D2644&lt;&gt;""""))), LEN(INDEX(FILTER(D$1:D2644, D$1:D2644&lt;&gt;""""),COUNTA(FILTER(D$1:D2644, D$1:D2644&lt;&gt;""""))))-1), IF('To Order'!$A2645=COL"&amp;"UMNS($A2645:D2664), D2644&amp;RIGHT(INDIRECT(ADDRESS(ROW(D2645)-1, 'From Order'!$A2645)), 1), D2644))"),"S")</f>
        <v>S</v>
      </c>
      <c r="E2645" s="2" t="str">
        <f>IFERROR(__xludf.DUMMYFUNCTION("IF('From Order'!$A2645=COLUMNS($A2645:E2664), LEFT(INDEX(FILTER(E$1:E2644, E$1:E2644&lt;&gt;""""),COUNTA(FILTER(E$1:E2644, E$1:E2644&lt;&gt;""""))), LEN(INDEX(FILTER(E$1:E2644, E$1:E2644&lt;&gt;""""),COUNTA(FILTER(E$1:E2644, E$1:E2644&lt;&gt;""""))))-1), IF('To Order'!$A2645=COL"&amp;"UMNS($A2645:E2664), E2644&amp;RIGHT(INDIRECT(ADDRESS(ROW(E2645)-1, 'From Order'!$A2645)), 1), E2644))"),"TMHZTD")</f>
        <v>TMHZTD</v>
      </c>
      <c r="F2645" s="2" t="str">
        <f>IFERROR(__xludf.DUMMYFUNCTION("IF('From Order'!$A2645=COLUMNS($A2645:F2664), LEFT(INDEX(FILTER(F$1:F2644, F$1:F2644&lt;&gt;""""),COUNTA(FILTER(F$1:F2644, F$1:F2644&lt;&gt;""""))), LEN(INDEX(FILTER(F$1:F2644, F$1:F2644&lt;&gt;""""),COUNTA(FILTER(F$1:F2644, F$1:F2644&lt;&gt;""""))))-1), IF('To Order'!$A2645=COL"&amp;"UMNS($A2645:F2664), F2644&amp;RIGHT(INDIRECT(ADDRESS(ROW(F2645)-1, 'From Order'!$A2645)), 1), F2644))"),"RSPMG")</f>
        <v>RSPMG</v>
      </c>
      <c r="G2645" s="2" t="str">
        <f>IFERROR(__xludf.DUMMYFUNCTION("IF('From Order'!$A2645=COLUMNS($A2645:G2664), LEFT(INDEX(FILTER(G$1:G2644, G$1:G2644&lt;&gt;""""),COUNTA(FILTER(G$1:G2644, G$1:G2644&lt;&gt;""""))), LEN(INDEX(FILTER(G$1:G2644, G$1:G2644&lt;&gt;""""),COUNTA(FILTER(G$1:G2644, G$1:G2644&lt;&gt;""""))))-1), IF('To Order'!$A2645=COL"&amp;"UMNS($A2645:G2664), G2644&amp;RIGHT(INDIRECT(ADDRESS(ROW(G2645)-1, 'From Order'!$A2645)), 1), G2644))"),"Z")</f>
        <v>Z</v>
      </c>
      <c r="H2645" s="2" t="str">
        <f>IFERROR(__xludf.DUMMYFUNCTION("IF('From Order'!$A2645=COLUMNS($A2645:H2664), LEFT(INDEX(FILTER(H$1:H2644, H$1:H2644&lt;&gt;""""),COUNTA(FILTER(H$1:H2644, H$1:H2644&lt;&gt;""""))), LEN(INDEX(FILTER(H$1:H2644, H$1:H2644&lt;&gt;""""),COUNTA(FILTER(H$1:H2644, H$1:H2644&lt;&gt;""""))))-1), IF('To Order'!$A2645=COL"&amp;"UMNS($A2645:H2664), H2644&amp;RIGHT(INDIRECT(ADDRESS(ROW(H2645)-1, 'From Order'!$A2645)), 1), H2644))"),"TJQGWCRV")</f>
        <v>TJQGWCRV</v>
      </c>
      <c r="I2645" s="2" t="str">
        <f>IFERROR(__xludf.DUMMYFUNCTION("IF('From Order'!$A2645=COLUMNS($A2645:I2664), LEFT(INDEX(FILTER(I$1:I2644, I$1:I2644&lt;&gt;""""),COUNTA(FILTER(I$1:I2644, I$1:I2644&lt;&gt;""""))), LEN(INDEX(FILTER(I$1:I2644, I$1:I2644&lt;&gt;""""),COUNTA(FILTER(I$1:I2644, I$1:I2644&lt;&gt;""""))))-1), IF('To Order'!$A2645=COL"&amp;"UMNS($A2645:I2664), I2644&amp;RIGHT(INDIRECT(ADDRESS(ROW(I2645)-1, 'From Order'!$A2645)), 1), I2644))"),"QVVDDSPLRRJTTCJFZPRBBWLBFLDTC")</f>
        <v>QVVDDSPLRRJTTCJFZPRBBWLBFLDTC</v>
      </c>
    </row>
    <row r="2648">
      <c r="A2648" s="2" t="str">
        <f t="shared" ref="A2648:I2648" si="1">RIGHT(A2645, 1)</f>
        <v>S</v>
      </c>
      <c r="B2648" s="2" t="str">
        <f t="shared" si="1"/>
        <v>H</v>
      </c>
      <c r="C2648" s="2" t="str">
        <f t="shared" si="1"/>
        <v>M</v>
      </c>
      <c r="D2648" s="2" t="str">
        <f t="shared" si="1"/>
        <v>S</v>
      </c>
      <c r="E2648" s="2" t="str">
        <f t="shared" si="1"/>
        <v>D</v>
      </c>
      <c r="F2648" s="2" t="str">
        <f t="shared" si="1"/>
        <v>G</v>
      </c>
      <c r="G2648" s="2" t="str">
        <f t="shared" si="1"/>
        <v>Z</v>
      </c>
      <c r="H2648" s="2" t="str">
        <f t="shared" si="1"/>
        <v>V</v>
      </c>
      <c r="I2648" s="2" t="str">
        <f t="shared" si="1"/>
        <v>C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>
        <f>IFERROR(__xludf.DUMMYFUNCTION("ARRAYFORMULA(TRANSPOSE(SPLIT(CONCATENATE('Times From'!A2:AR3145 &amp;""🐥""),""🐥"")))"),3.0)</f>
        <v>3</v>
      </c>
    </row>
    <row r="3">
      <c r="A3" s="2">
        <f>IFERROR(__xludf.DUMMYFUNCTION("""COMPUTED_VALUE"""),5.0)</f>
        <v>5</v>
      </c>
    </row>
    <row r="4">
      <c r="A4" s="2">
        <f>IFERROR(__xludf.DUMMYFUNCTION("""COMPUTED_VALUE"""),5.0)</f>
        <v>5</v>
      </c>
    </row>
    <row r="5">
      <c r="A5" s="2">
        <f>IFERROR(__xludf.DUMMYFUNCTION("""COMPUTED_VALUE"""),5.0)</f>
        <v>5</v>
      </c>
    </row>
    <row r="6">
      <c r="A6" s="2">
        <f>IFERROR(__xludf.DUMMYFUNCTION("""COMPUTED_VALUE"""),5.0)</f>
        <v>5</v>
      </c>
    </row>
    <row r="7">
      <c r="A7" s="2">
        <f>IFERROR(__xludf.DUMMYFUNCTION("""COMPUTED_VALUE"""),5.0)</f>
        <v>5</v>
      </c>
    </row>
    <row r="8">
      <c r="A8" s="2">
        <f>IFERROR(__xludf.DUMMYFUNCTION("""COMPUTED_VALUE"""),7.0)</f>
        <v>7</v>
      </c>
    </row>
    <row r="9">
      <c r="A9" s="2">
        <f>IFERROR(__xludf.DUMMYFUNCTION("""COMPUTED_VALUE"""),7.0)</f>
        <v>7</v>
      </c>
    </row>
    <row r="10">
      <c r="A10" s="2">
        <f>IFERROR(__xludf.DUMMYFUNCTION("""COMPUTED_VALUE"""),7.0)</f>
        <v>7</v>
      </c>
    </row>
    <row r="11">
      <c r="A11" s="2">
        <f>IFERROR(__xludf.DUMMYFUNCTION("""COMPUTED_VALUE"""),7.0)</f>
        <v>7</v>
      </c>
    </row>
    <row r="12">
      <c r="A12" s="2">
        <f>IFERROR(__xludf.DUMMYFUNCTION("""COMPUTED_VALUE"""),7.0)</f>
        <v>7</v>
      </c>
    </row>
    <row r="13">
      <c r="A13" s="2">
        <f>IFERROR(__xludf.DUMMYFUNCTION("""COMPUTED_VALUE"""),7.0)</f>
        <v>7</v>
      </c>
    </row>
    <row r="14">
      <c r="A14" s="2">
        <f>IFERROR(__xludf.DUMMYFUNCTION("""COMPUTED_VALUE"""),1.0)</f>
        <v>1</v>
      </c>
    </row>
    <row r="15">
      <c r="A15" s="2">
        <f>IFERROR(__xludf.DUMMYFUNCTION("""COMPUTED_VALUE"""),1.0)</f>
        <v>1</v>
      </c>
    </row>
    <row r="16">
      <c r="A16" s="2">
        <f>IFERROR(__xludf.DUMMYFUNCTION("""COMPUTED_VALUE"""),1.0)</f>
        <v>1</v>
      </c>
    </row>
    <row r="17">
      <c r="A17" s="2">
        <f>IFERROR(__xludf.DUMMYFUNCTION("""COMPUTED_VALUE"""),1.0)</f>
        <v>1</v>
      </c>
    </row>
    <row r="18">
      <c r="A18" s="2">
        <f>IFERROR(__xludf.DUMMYFUNCTION("""COMPUTED_VALUE"""),1.0)</f>
        <v>1</v>
      </c>
    </row>
    <row r="19">
      <c r="A19" s="2">
        <f>IFERROR(__xludf.DUMMYFUNCTION("""COMPUTED_VALUE"""),1.0)</f>
        <v>1</v>
      </c>
    </row>
    <row r="20">
      <c r="A20" s="2">
        <f>IFERROR(__xludf.DUMMYFUNCTION("""COMPUTED_VALUE"""),1.0)</f>
        <v>1</v>
      </c>
    </row>
    <row r="21">
      <c r="A21" s="2">
        <f>IFERROR(__xludf.DUMMYFUNCTION("""COMPUTED_VALUE"""),1.0)</f>
        <v>1</v>
      </c>
    </row>
    <row r="22">
      <c r="A22" s="2">
        <f>IFERROR(__xludf.DUMMYFUNCTION("""COMPUTED_VALUE"""),6.0)</f>
        <v>6</v>
      </c>
    </row>
    <row r="23">
      <c r="A23" s="2">
        <f>IFERROR(__xludf.DUMMYFUNCTION("""COMPUTED_VALUE"""),6.0)</f>
        <v>6</v>
      </c>
    </row>
    <row r="24">
      <c r="A24" s="2">
        <f>IFERROR(__xludf.DUMMYFUNCTION("""COMPUTED_VALUE"""),6.0)</f>
        <v>6</v>
      </c>
    </row>
    <row r="25">
      <c r="A25" s="2">
        <f>IFERROR(__xludf.DUMMYFUNCTION("""COMPUTED_VALUE"""),7.0)</f>
        <v>7</v>
      </c>
    </row>
    <row r="26">
      <c r="A26" s="2">
        <f>IFERROR(__xludf.DUMMYFUNCTION("""COMPUTED_VALUE"""),7.0)</f>
        <v>7</v>
      </c>
    </row>
    <row r="27">
      <c r="A27" s="2">
        <f>IFERROR(__xludf.DUMMYFUNCTION("""COMPUTED_VALUE"""),5.0)</f>
        <v>5</v>
      </c>
    </row>
    <row r="28">
      <c r="A28" s="2">
        <f>IFERROR(__xludf.DUMMYFUNCTION("""COMPUTED_VALUE"""),7.0)</f>
        <v>7</v>
      </c>
    </row>
    <row r="29">
      <c r="A29" s="2">
        <f>IFERROR(__xludf.DUMMYFUNCTION("""COMPUTED_VALUE"""),2.0)</f>
        <v>2</v>
      </c>
    </row>
    <row r="30">
      <c r="A30" s="2">
        <f>IFERROR(__xludf.DUMMYFUNCTION("""COMPUTED_VALUE"""),2.0)</f>
        <v>2</v>
      </c>
    </row>
    <row r="31">
      <c r="A31" s="2">
        <f>IFERROR(__xludf.DUMMYFUNCTION("""COMPUTED_VALUE"""),6.0)</f>
        <v>6</v>
      </c>
    </row>
    <row r="32">
      <c r="A32" s="2">
        <f>IFERROR(__xludf.DUMMYFUNCTION("""COMPUTED_VALUE"""),6.0)</f>
        <v>6</v>
      </c>
    </row>
    <row r="33">
      <c r="A33" s="2">
        <f>IFERROR(__xludf.DUMMYFUNCTION("""COMPUTED_VALUE"""),8.0)</f>
        <v>8</v>
      </c>
    </row>
    <row r="34">
      <c r="A34" s="2">
        <f>IFERROR(__xludf.DUMMYFUNCTION("""COMPUTED_VALUE"""),8.0)</f>
        <v>8</v>
      </c>
    </row>
    <row r="35">
      <c r="A35" s="2">
        <f>IFERROR(__xludf.DUMMYFUNCTION("""COMPUTED_VALUE"""),8.0)</f>
        <v>8</v>
      </c>
    </row>
    <row r="36">
      <c r="A36" s="2">
        <f>IFERROR(__xludf.DUMMYFUNCTION("""COMPUTED_VALUE"""),8.0)</f>
        <v>8</v>
      </c>
    </row>
    <row r="37">
      <c r="A37" s="2">
        <f>IFERROR(__xludf.DUMMYFUNCTION("""COMPUTED_VALUE"""),8.0)</f>
        <v>8</v>
      </c>
    </row>
    <row r="38">
      <c r="A38" s="2">
        <f>IFERROR(__xludf.DUMMYFUNCTION("""COMPUTED_VALUE"""),8.0)</f>
        <v>8</v>
      </c>
    </row>
    <row r="39">
      <c r="A39" s="2">
        <f>IFERROR(__xludf.DUMMYFUNCTION("""COMPUTED_VALUE"""),3.0)</f>
        <v>3</v>
      </c>
    </row>
    <row r="40">
      <c r="A40" s="2">
        <f>IFERROR(__xludf.DUMMYFUNCTION("""COMPUTED_VALUE"""),3.0)</f>
        <v>3</v>
      </c>
    </row>
    <row r="41">
      <c r="A41" s="2">
        <f>IFERROR(__xludf.DUMMYFUNCTION("""COMPUTED_VALUE"""),3.0)</f>
        <v>3</v>
      </c>
    </row>
    <row r="42">
      <c r="A42" s="2">
        <f>IFERROR(__xludf.DUMMYFUNCTION("""COMPUTED_VALUE"""),3.0)</f>
        <v>3</v>
      </c>
    </row>
    <row r="43">
      <c r="A43" s="2">
        <f>IFERROR(__xludf.DUMMYFUNCTION("""COMPUTED_VALUE"""),3.0)</f>
        <v>3</v>
      </c>
    </row>
    <row r="44">
      <c r="A44" s="2">
        <f>IFERROR(__xludf.DUMMYFUNCTION("""COMPUTED_VALUE"""),3.0)</f>
        <v>3</v>
      </c>
    </row>
    <row r="45">
      <c r="A45" s="2">
        <f>IFERROR(__xludf.DUMMYFUNCTION("""COMPUTED_VALUE"""),3.0)</f>
        <v>3</v>
      </c>
    </row>
    <row r="46">
      <c r="A46" s="2">
        <f>IFERROR(__xludf.DUMMYFUNCTION("""COMPUTED_VALUE"""),8.0)</f>
        <v>8</v>
      </c>
    </row>
    <row r="47">
      <c r="A47" s="2">
        <f>IFERROR(__xludf.DUMMYFUNCTION("""COMPUTED_VALUE"""),9.0)</f>
        <v>9</v>
      </c>
    </row>
    <row r="48">
      <c r="A48" s="2">
        <f>IFERROR(__xludf.DUMMYFUNCTION("""COMPUTED_VALUE"""),9.0)</f>
        <v>9</v>
      </c>
    </row>
    <row r="49">
      <c r="A49" s="2">
        <f>IFERROR(__xludf.DUMMYFUNCTION("""COMPUTED_VALUE"""),9.0)</f>
        <v>9</v>
      </c>
    </row>
    <row r="50">
      <c r="A50" s="2">
        <f>IFERROR(__xludf.DUMMYFUNCTION("""COMPUTED_VALUE"""),9.0)</f>
        <v>9</v>
      </c>
    </row>
    <row r="51">
      <c r="A51" s="2">
        <f>IFERROR(__xludf.DUMMYFUNCTION("""COMPUTED_VALUE"""),9.0)</f>
        <v>9</v>
      </c>
    </row>
    <row r="52">
      <c r="A52" s="2">
        <f>IFERROR(__xludf.DUMMYFUNCTION("""COMPUTED_VALUE"""),9.0)</f>
        <v>9</v>
      </c>
    </row>
    <row r="53">
      <c r="A53" s="2">
        <f>IFERROR(__xludf.DUMMYFUNCTION("""COMPUTED_VALUE"""),9.0)</f>
        <v>9</v>
      </c>
    </row>
    <row r="54">
      <c r="A54" s="2">
        <f>IFERROR(__xludf.DUMMYFUNCTION("""COMPUTED_VALUE"""),9.0)</f>
        <v>9</v>
      </c>
    </row>
    <row r="55">
      <c r="A55" s="2">
        <f>IFERROR(__xludf.DUMMYFUNCTION("""COMPUTED_VALUE"""),4.0)</f>
        <v>4</v>
      </c>
    </row>
    <row r="56">
      <c r="A56" s="2">
        <f>IFERROR(__xludf.DUMMYFUNCTION("""COMPUTED_VALUE"""),4.0)</f>
        <v>4</v>
      </c>
    </row>
    <row r="57">
      <c r="A57" s="2">
        <f>IFERROR(__xludf.DUMMYFUNCTION("""COMPUTED_VALUE"""),4.0)</f>
        <v>4</v>
      </c>
    </row>
    <row r="58">
      <c r="A58" s="2">
        <f>IFERROR(__xludf.DUMMYFUNCTION("""COMPUTED_VALUE"""),4.0)</f>
        <v>4</v>
      </c>
    </row>
    <row r="59">
      <c r="A59" s="2">
        <f>IFERROR(__xludf.DUMMYFUNCTION("""COMPUTED_VALUE"""),4.0)</f>
        <v>4</v>
      </c>
    </row>
    <row r="60">
      <c r="A60" s="2">
        <f>IFERROR(__xludf.DUMMYFUNCTION("""COMPUTED_VALUE"""),6.0)</f>
        <v>6</v>
      </c>
    </row>
    <row r="61">
      <c r="A61" s="2">
        <f>IFERROR(__xludf.DUMMYFUNCTION("""COMPUTED_VALUE"""),8.0)</f>
        <v>8</v>
      </c>
    </row>
    <row r="62">
      <c r="A62" s="2">
        <f>IFERROR(__xludf.DUMMYFUNCTION("""COMPUTED_VALUE"""),8.0)</f>
        <v>8</v>
      </c>
    </row>
    <row r="63">
      <c r="A63" s="2">
        <f>IFERROR(__xludf.DUMMYFUNCTION("""COMPUTED_VALUE"""),9.0)</f>
        <v>9</v>
      </c>
    </row>
    <row r="64">
      <c r="A64" s="2">
        <f>IFERROR(__xludf.DUMMYFUNCTION("""COMPUTED_VALUE"""),9.0)</f>
        <v>9</v>
      </c>
    </row>
    <row r="65">
      <c r="A65" s="2">
        <f>IFERROR(__xludf.DUMMYFUNCTION("""COMPUTED_VALUE"""),9.0)</f>
        <v>9</v>
      </c>
    </row>
    <row r="66">
      <c r="A66" s="2">
        <f>IFERROR(__xludf.DUMMYFUNCTION("""COMPUTED_VALUE"""),9.0)</f>
        <v>9</v>
      </c>
    </row>
    <row r="67">
      <c r="A67" s="2">
        <f>IFERROR(__xludf.DUMMYFUNCTION("""COMPUTED_VALUE"""),9.0)</f>
        <v>9</v>
      </c>
    </row>
    <row r="68">
      <c r="A68" s="2">
        <f>IFERROR(__xludf.DUMMYFUNCTION("""COMPUTED_VALUE"""),9.0)</f>
        <v>9</v>
      </c>
    </row>
    <row r="69">
      <c r="A69" s="2">
        <f>IFERROR(__xludf.DUMMYFUNCTION("""COMPUTED_VALUE"""),9.0)</f>
        <v>9</v>
      </c>
    </row>
    <row r="70">
      <c r="A70" s="2">
        <f>IFERROR(__xludf.DUMMYFUNCTION("""COMPUTED_VALUE"""),9.0)</f>
        <v>9</v>
      </c>
    </row>
    <row r="71">
      <c r="A71" s="2">
        <f>IFERROR(__xludf.DUMMYFUNCTION("""COMPUTED_VALUE"""),9.0)</f>
        <v>9</v>
      </c>
    </row>
    <row r="72">
      <c r="A72" s="2">
        <f>IFERROR(__xludf.DUMMYFUNCTION("""COMPUTED_VALUE"""),8.0)</f>
        <v>8</v>
      </c>
    </row>
    <row r="73">
      <c r="A73" s="2">
        <f>IFERROR(__xludf.DUMMYFUNCTION("""COMPUTED_VALUE"""),8.0)</f>
        <v>8</v>
      </c>
    </row>
    <row r="74">
      <c r="A74" s="2">
        <f>IFERROR(__xludf.DUMMYFUNCTION("""COMPUTED_VALUE"""),8.0)</f>
        <v>8</v>
      </c>
    </row>
    <row r="75">
      <c r="A75" s="2">
        <f>IFERROR(__xludf.DUMMYFUNCTION("""COMPUTED_VALUE"""),9.0)</f>
        <v>9</v>
      </c>
    </row>
    <row r="76">
      <c r="A76" s="2">
        <f>IFERROR(__xludf.DUMMYFUNCTION("""COMPUTED_VALUE"""),9.0)</f>
        <v>9</v>
      </c>
    </row>
    <row r="77">
      <c r="A77" s="2">
        <f>IFERROR(__xludf.DUMMYFUNCTION("""COMPUTED_VALUE"""),9.0)</f>
        <v>9</v>
      </c>
    </row>
    <row r="78">
      <c r="A78" s="2">
        <f>IFERROR(__xludf.DUMMYFUNCTION("""COMPUTED_VALUE"""),9.0)</f>
        <v>9</v>
      </c>
    </row>
    <row r="79">
      <c r="A79" s="2">
        <f>IFERROR(__xludf.DUMMYFUNCTION("""COMPUTED_VALUE"""),9.0)</f>
        <v>9</v>
      </c>
    </row>
    <row r="80">
      <c r="A80" s="2">
        <f>IFERROR(__xludf.DUMMYFUNCTION("""COMPUTED_VALUE"""),6.0)</f>
        <v>6</v>
      </c>
    </row>
    <row r="81">
      <c r="A81" s="2">
        <f>IFERROR(__xludf.DUMMYFUNCTION("""COMPUTED_VALUE"""),1.0)</f>
        <v>1</v>
      </c>
    </row>
    <row r="82">
      <c r="A82" s="2">
        <f>IFERROR(__xludf.DUMMYFUNCTION("""COMPUTED_VALUE"""),1.0)</f>
        <v>1</v>
      </c>
    </row>
    <row r="83">
      <c r="A83" s="2">
        <f>IFERROR(__xludf.DUMMYFUNCTION("""COMPUTED_VALUE"""),1.0)</f>
        <v>1</v>
      </c>
    </row>
    <row r="84">
      <c r="A84" s="2">
        <f>IFERROR(__xludf.DUMMYFUNCTION("""COMPUTED_VALUE"""),1.0)</f>
        <v>1</v>
      </c>
    </row>
    <row r="85">
      <c r="A85" s="2">
        <f>IFERROR(__xludf.DUMMYFUNCTION("""COMPUTED_VALUE"""),1.0)</f>
        <v>1</v>
      </c>
    </row>
    <row r="86">
      <c r="A86" s="2">
        <f>IFERROR(__xludf.DUMMYFUNCTION("""COMPUTED_VALUE"""),8.0)</f>
        <v>8</v>
      </c>
    </row>
    <row r="87">
      <c r="A87" s="2">
        <f>IFERROR(__xludf.DUMMYFUNCTION("""COMPUTED_VALUE"""),1.0)</f>
        <v>1</v>
      </c>
    </row>
    <row r="88">
      <c r="A88" s="2">
        <f>IFERROR(__xludf.DUMMYFUNCTION("""COMPUTED_VALUE"""),1.0)</f>
        <v>1</v>
      </c>
    </row>
    <row r="89">
      <c r="A89" s="2">
        <f>IFERROR(__xludf.DUMMYFUNCTION("""COMPUTED_VALUE"""),2.0)</f>
        <v>2</v>
      </c>
    </row>
    <row r="90">
      <c r="A90" s="2">
        <f>IFERROR(__xludf.DUMMYFUNCTION("""COMPUTED_VALUE"""),5.0)</f>
        <v>5</v>
      </c>
    </row>
    <row r="91">
      <c r="A91" s="2">
        <f>IFERROR(__xludf.DUMMYFUNCTION("""COMPUTED_VALUE"""),5.0)</f>
        <v>5</v>
      </c>
    </row>
    <row r="92">
      <c r="A92" s="2">
        <f>IFERROR(__xludf.DUMMYFUNCTION("""COMPUTED_VALUE"""),5.0)</f>
        <v>5</v>
      </c>
    </row>
    <row r="93">
      <c r="A93" s="2">
        <f>IFERROR(__xludf.DUMMYFUNCTION("""COMPUTED_VALUE"""),5.0)</f>
        <v>5</v>
      </c>
    </row>
    <row r="94">
      <c r="A94" s="2">
        <f>IFERROR(__xludf.DUMMYFUNCTION("""COMPUTED_VALUE"""),1.0)</f>
        <v>1</v>
      </c>
    </row>
    <row r="95">
      <c r="A95" s="2">
        <f>IFERROR(__xludf.DUMMYFUNCTION("""COMPUTED_VALUE"""),1.0)</f>
        <v>1</v>
      </c>
    </row>
    <row r="96">
      <c r="A96" s="2">
        <f>IFERROR(__xludf.DUMMYFUNCTION("""COMPUTED_VALUE"""),7.0)</f>
        <v>7</v>
      </c>
    </row>
    <row r="97">
      <c r="A97" s="2">
        <f>IFERROR(__xludf.DUMMYFUNCTION("""COMPUTED_VALUE"""),7.0)</f>
        <v>7</v>
      </c>
    </row>
    <row r="98">
      <c r="A98" s="2">
        <f>IFERROR(__xludf.DUMMYFUNCTION("""COMPUTED_VALUE"""),7.0)</f>
        <v>7</v>
      </c>
    </row>
    <row r="99">
      <c r="A99" s="2">
        <f>IFERROR(__xludf.DUMMYFUNCTION("""COMPUTED_VALUE"""),7.0)</f>
        <v>7</v>
      </c>
    </row>
    <row r="100">
      <c r="A100" s="2">
        <f>IFERROR(__xludf.DUMMYFUNCTION("""COMPUTED_VALUE"""),7.0)</f>
        <v>7</v>
      </c>
    </row>
    <row r="101">
      <c r="A101" s="2">
        <f>IFERROR(__xludf.DUMMYFUNCTION("""COMPUTED_VALUE"""),7.0)</f>
        <v>7</v>
      </c>
    </row>
    <row r="102">
      <c r="A102" s="2">
        <f>IFERROR(__xludf.DUMMYFUNCTION("""COMPUTED_VALUE"""),7.0)</f>
        <v>7</v>
      </c>
    </row>
    <row r="103">
      <c r="A103" s="2">
        <f>IFERROR(__xludf.DUMMYFUNCTION("""COMPUTED_VALUE"""),7.0)</f>
        <v>7</v>
      </c>
    </row>
    <row r="104">
      <c r="A104" s="2">
        <f>IFERROR(__xludf.DUMMYFUNCTION("""COMPUTED_VALUE"""),7.0)</f>
        <v>7</v>
      </c>
    </row>
    <row r="105">
      <c r="A105" s="2">
        <f>IFERROR(__xludf.DUMMYFUNCTION("""COMPUTED_VALUE"""),7.0)</f>
        <v>7</v>
      </c>
    </row>
    <row r="106">
      <c r="A106" s="2">
        <f>IFERROR(__xludf.DUMMYFUNCTION("""COMPUTED_VALUE"""),7.0)</f>
        <v>7</v>
      </c>
    </row>
    <row r="107">
      <c r="A107" s="2">
        <f>IFERROR(__xludf.DUMMYFUNCTION("""COMPUTED_VALUE"""),7.0)</f>
        <v>7</v>
      </c>
    </row>
    <row r="108">
      <c r="A108" s="2">
        <f>IFERROR(__xludf.DUMMYFUNCTION("""COMPUTED_VALUE"""),7.0)</f>
        <v>7</v>
      </c>
    </row>
    <row r="109">
      <c r="A109" s="2">
        <f>IFERROR(__xludf.DUMMYFUNCTION("""COMPUTED_VALUE"""),8.0)</f>
        <v>8</v>
      </c>
    </row>
    <row r="110">
      <c r="A110" s="2">
        <f>IFERROR(__xludf.DUMMYFUNCTION("""COMPUTED_VALUE"""),8.0)</f>
        <v>8</v>
      </c>
    </row>
    <row r="111">
      <c r="A111" s="2">
        <f>IFERROR(__xludf.DUMMYFUNCTION("""COMPUTED_VALUE"""),8.0)</f>
        <v>8</v>
      </c>
    </row>
    <row r="112">
      <c r="A112" s="2">
        <f>IFERROR(__xludf.DUMMYFUNCTION("""COMPUTED_VALUE"""),6.0)</f>
        <v>6</v>
      </c>
    </row>
    <row r="113">
      <c r="A113" s="2">
        <f>IFERROR(__xludf.DUMMYFUNCTION("""COMPUTED_VALUE"""),6.0)</f>
        <v>6</v>
      </c>
    </row>
    <row r="114">
      <c r="A114" s="2">
        <f>IFERROR(__xludf.DUMMYFUNCTION("""COMPUTED_VALUE"""),3.0)</f>
        <v>3</v>
      </c>
    </row>
    <row r="115">
      <c r="A115" s="2">
        <f>IFERROR(__xludf.DUMMYFUNCTION("""COMPUTED_VALUE"""),3.0)</f>
        <v>3</v>
      </c>
    </row>
    <row r="116">
      <c r="A116" s="2">
        <f>IFERROR(__xludf.DUMMYFUNCTION("""COMPUTED_VALUE"""),3.0)</f>
        <v>3</v>
      </c>
    </row>
    <row r="117">
      <c r="A117" s="2">
        <f>IFERROR(__xludf.DUMMYFUNCTION("""COMPUTED_VALUE"""),3.0)</f>
        <v>3</v>
      </c>
    </row>
    <row r="118">
      <c r="A118" s="2">
        <f>IFERROR(__xludf.DUMMYFUNCTION("""COMPUTED_VALUE"""),3.0)</f>
        <v>3</v>
      </c>
    </row>
    <row r="119">
      <c r="A119" s="2">
        <f>IFERROR(__xludf.DUMMYFUNCTION("""COMPUTED_VALUE"""),3.0)</f>
        <v>3</v>
      </c>
    </row>
    <row r="120">
      <c r="A120" s="2">
        <f>IFERROR(__xludf.DUMMYFUNCTION("""COMPUTED_VALUE"""),3.0)</f>
        <v>3</v>
      </c>
    </row>
    <row r="121">
      <c r="A121" s="2">
        <f>IFERROR(__xludf.DUMMYFUNCTION("""COMPUTED_VALUE"""),3.0)</f>
        <v>3</v>
      </c>
    </row>
    <row r="122">
      <c r="A122" s="2">
        <f>IFERROR(__xludf.DUMMYFUNCTION("""COMPUTED_VALUE"""),3.0)</f>
        <v>3</v>
      </c>
    </row>
    <row r="123">
      <c r="A123" s="2">
        <f>IFERROR(__xludf.DUMMYFUNCTION("""COMPUTED_VALUE"""),3.0)</f>
        <v>3</v>
      </c>
    </row>
    <row r="124">
      <c r="A124" s="2">
        <f>IFERROR(__xludf.DUMMYFUNCTION("""COMPUTED_VALUE"""),7.0)</f>
        <v>7</v>
      </c>
    </row>
    <row r="125">
      <c r="A125" s="2">
        <f>IFERROR(__xludf.DUMMYFUNCTION("""COMPUTED_VALUE"""),7.0)</f>
        <v>7</v>
      </c>
    </row>
    <row r="126">
      <c r="A126" s="2">
        <f>IFERROR(__xludf.DUMMYFUNCTION("""COMPUTED_VALUE"""),5.0)</f>
        <v>5</v>
      </c>
    </row>
    <row r="127">
      <c r="A127" s="2">
        <f>IFERROR(__xludf.DUMMYFUNCTION("""COMPUTED_VALUE"""),5.0)</f>
        <v>5</v>
      </c>
    </row>
    <row r="128">
      <c r="A128" s="2">
        <f>IFERROR(__xludf.DUMMYFUNCTION("""COMPUTED_VALUE"""),5.0)</f>
        <v>5</v>
      </c>
    </row>
    <row r="129">
      <c r="A129" s="2">
        <f>IFERROR(__xludf.DUMMYFUNCTION("""COMPUTED_VALUE"""),8.0)</f>
        <v>8</v>
      </c>
    </row>
    <row r="130">
      <c r="A130" s="2">
        <f>IFERROR(__xludf.DUMMYFUNCTION("""COMPUTED_VALUE"""),8.0)</f>
        <v>8</v>
      </c>
    </row>
    <row r="131">
      <c r="A131" s="2">
        <f>IFERROR(__xludf.DUMMYFUNCTION("""COMPUTED_VALUE"""),8.0)</f>
        <v>8</v>
      </c>
    </row>
    <row r="132">
      <c r="A132" s="2">
        <f>IFERROR(__xludf.DUMMYFUNCTION("""COMPUTED_VALUE"""),8.0)</f>
        <v>8</v>
      </c>
    </row>
    <row r="133">
      <c r="A133" s="2">
        <f>IFERROR(__xludf.DUMMYFUNCTION("""COMPUTED_VALUE"""),8.0)</f>
        <v>8</v>
      </c>
    </row>
    <row r="134">
      <c r="A134" s="2">
        <f>IFERROR(__xludf.DUMMYFUNCTION("""COMPUTED_VALUE"""),8.0)</f>
        <v>8</v>
      </c>
    </row>
    <row r="135">
      <c r="A135" s="2">
        <f>IFERROR(__xludf.DUMMYFUNCTION("""COMPUTED_VALUE"""),8.0)</f>
        <v>8</v>
      </c>
    </row>
    <row r="136">
      <c r="A136" s="2">
        <f>IFERROR(__xludf.DUMMYFUNCTION("""COMPUTED_VALUE"""),8.0)</f>
        <v>8</v>
      </c>
    </row>
    <row r="137">
      <c r="A137" s="2">
        <f>IFERROR(__xludf.DUMMYFUNCTION("""COMPUTED_VALUE"""),8.0)</f>
        <v>8</v>
      </c>
    </row>
    <row r="138">
      <c r="A138" s="2">
        <f>IFERROR(__xludf.DUMMYFUNCTION("""COMPUTED_VALUE"""),8.0)</f>
        <v>8</v>
      </c>
    </row>
    <row r="139">
      <c r="A139" s="2">
        <f>IFERROR(__xludf.DUMMYFUNCTION("""COMPUTED_VALUE"""),8.0)</f>
        <v>8</v>
      </c>
    </row>
    <row r="140">
      <c r="A140" s="2">
        <f>IFERROR(__xludf.DUMMYFUNCTION("""COMPUTED_VALUE"""),2.0)</f>
        <v>2</v>
      </c>
    </row>
    <row r="141">
      <c r="A141" s="2">
        <f>IFERROR(__xludf.DUMMYFUNCTION("""COMPUTED_VALUE"""),2.0)</f>
        <v>2</v>
      </c>
    </row>
    <row r="142">
      <c r="A142" s="2">
        <f>IFERROR(__xludf.DUMMYFUNCTION("""COMPUTED_VALUE"""),2.0)</f>
        <v>2</v>
      </c>
    </row>
    <row r="143">
      <c r="A143" s="2">
        <f>IFERROR(__xludf.DUMMYFUNCTION("""COMPUTED_VALUE"""),2.0)</f>
        <v>2</v>
      </c>
    </row>
    <row r="144">
      <c r="A144" s="2">
        <f>IFERROR(__xludf.DUMMYFUNCTION("""COMPUTED_VALUE"""),2.0)</f>
        <v>2</v>
      </c>
    </row>
    <row r="145">
      <c r="A145" s="2">
        <f>IFERROR(__xludf.DUMMYFUNCTION("""COMPUTED_VALUE"""),2.0)</f>
        <v>2</v>
      </c>
    </row>
    <row r="146">
      <c r="A146" s="2">
        <f>IFERROR(__xludf.DUMMYFUNCTION("""COMPUTED_VALUE"""),5.0)</f>
        <v>5</v>
      </c>
    </row>
    <row r="147">
      <c r="A147" s="2">
        <f>IFERROR(__xludf.DUMMYFUNCTION("""COMPUTED_VALUE"""),6.0)</f>
        <v>6</v>
      </c>
    </row>
    <row r="148">
      <c r="A148" s="2">
        <f>IFERROR(__xludf.DUMMYFUNCTION("""COMPUTED_VALUE"""),6.0)</f>
        <v>6</v>
      </c>
    </row>
    <row r="149">
      <c r="A149" s="2">
        <f>IFERROR(__xludf.DUMMYFUNCTION("""COMPUTED_VALUE"""),6.0)</f>
        <v>6</v>
      </c>
    </row>
    <row r="150">
      <c r="A150" s="2">
        <f>IFERROR(__xludf.DUMMYFUNCTION("""COMPUTED_VALUE"""),6.0)</f>
        <v>6</v>
      </c>
    </row>
    <row r="151">
      <c r="A151" s="2">
        <f>IFERROR(__xludf.DUMMYFUNCTION("""COMPUTED_VALUE"""),6.0)</f>
        <v>6</v>
      </c>
    </row>
    <row r="152">
      <c r="A152" s="2">
        <f>IFERROR(__xludf.DUMMYFUNCTION("""COMPUTED_VALUE"""),8.0)</f>
        <v>8</v>
      </c>
    </row>
    <row r="153">
      <c r="A153" s="2">
        <f>IFERROR(__xludf.DUMMYFUNCTION("""COMPUTED_VALUE"""),8.0)</f>
        <v>8</v>
      </c>
    </row>
    <row r="154">
      <c r="A154" s="2">
        <f>IFERROR(__xludf.DUMMYFUNCTION("""COMPUTED_VALUE"""),7.0)</f>
        <v>7</v>
      </c>
    </row>
    <row r="155">
      <c r="A155" s="2">
        <f>IFERROR(__xludf.DUMMYFUNCTION("""COMPUTED_VALUE"""),2.0)</f>
        <v>2</v>
      </c>
    </row>
    <row r="156">
      <c r="A156" s="2">
        <f>IFERROR(__xludf.DUMMYFUNCTION("""COMPUTED_VALUE"""),2.0)</f>
        <v>2</v>
      </c>
    </row>
    <row r="157">
      <c r="A157" s="2">
        <f>IFERROR(__xludf.DUMMYFUNCTION("""COMPUTED_VALUE"""),5.0)</f>
        <v>5</v>
      </c>
    </row>
    <row r="158">
      <c r="A158" s="2">
        <f>IFERROR(__xludf.DUMMYFUNCTION("""COMPUTED_VALUE"""),5.0)</f>
        <v>5</v>
      </c>
    </row>
    <row r="159">
      <c r="A159" s="2">
        <f>IFERROR(__xludf.DUMMYFUNCTION("""COMPUTED_VALUE"""),5.0)</f>
        <v>5</v>
      </c>
    </row>
    <row r="160">
      <c r="A160" s="2">
        <f>IFERROR(__xludf.DUMMYFUNCTION("""COMPUTED_VALUE"""),7.0)</f>
        <v>7</v>
      </c>
    </row>
    <row r="161">
      <c r="A161" s="2">
        <f>IFERROR(__xludf.DUMMYFUNCTION("""COMPUTED_VALUE"""),7.0)</f>
        <v>7</v>
      </c>
    </row>
    <row r="162">
      <c r="A162" s="2">
        <f>IFERROR(__xludf.DUMMYFUNCTION("""COMPUTED_VALUE"""),6.0)</f>
        <v>6</v>
      </c>
    </row>
    <row r="163">
      <c r="A163" s="2">
        <f>IFERROR(__xludf.DUMMYFUNCTION("""COMPUTED_VALUE"""),6.0)</f>
        <v>6</v>
      </c>
    </row>
    <row r="164">
      <c r="A164" s="2">
        <f>IFERROR(__xludf.DUMMYFUNCTION("""COMPUTED_VALUE"""),6.0)</f>
        <v>6</v>
      </c>
    </row>
    <row r="165">
      <c r="A165" s="2">
        <f>IFERROR(__xludf.DUMMYFUNCTION("""COMPUTED_VALUE"""),6.0)</f>
        <v>6</v>
      </c>
    </row>
    <row r="166">
      <c r="A166" s="2">
        <f>IFERROR(__xludf.DUMMYFUNCTION("""COMPUTED_VALUE"""),6.0)</f>
        <v>6</v>
      </c>
    </row>
    <row r="167">
      <c r="A167" s="2">
        <f>IFERROR(__xludf.DUMMYFUNCTION("""COMPUTED_VALUE"""),6.0)</f>
        <v>6</v>
      </c>
    </row>
    <row r="168">
      <c r="A168" s="2">
        <f>IFERROR(__xludf.DUMMYFUNCTION("""COMPUTED_VALUE"""),5.0)</f>
        <v>5</v>
      </c>
    </row>
    <row r="169">
      <c r="A169" s="2">
        <f>IFERROR(__xludf.DUMMYFUNCTION("""COMPUTED_VALUE"""),5.0)</f>
        <v>5</v>
      </c>
    </row>
    <row r="170">
      <c r="A170" s="2">
        <f>IFERROR(__xludf.DUMMYFUNCTION("""COMPUTED_VALUE"""),5.0)</f>
        <v>5</v>
      </c>
    </row>
    <row r="171">
      <c r="A171" s="2">
        <f>IFERROR(__xludf.DUMMYFUNCTION("""COMPUTED_VALUE"""),5.0)</f>
        <v>5</v>
      </c>
    </row>
    <row r="172">
      <c r="A172" s="2">
        <f>IFERROR(__xludf.DUMMYFUNCTION("""COMPUTED_VALUE"""),5.0)</f>
        <v>5</v>
      </c>
    </row>
    <row r="173">
      <c r="A173" s="2">
        <f>IFERROR(__xludf.DUMMYFUNCTION("""COMPUTED_VALUE"""),5.0)</f>
        <v>5</v>
      </c>
    </row>
    <row r="174">
      <c r="A174" s="2">
        <f>IFERROR(__xludf.DUMMYFUNCTION("""COMPUTED_VALUE"""),5.0)</f>
        <v>5</v>
      </c>
    </row>
    <row r="175">
      <c r="A175" s="2">
        <f>IFERROR(__xludf.DUMMYFUNCTION("""COMPUTED_VALUE"""),3.0)</f>
        <v>3</v>
      </c>
    </row>
    <row r="176">
      <c r="A176" s="2">
        <f>IFERROR(__xludf.DUMMYFUNCTION("""COMPUTED_VALUE"""),3.0)</f>
        <v>3</v>
      </c>
    </row>
    <row r="177">
      <c r="A177" s="2">
        <f>IFERROR(__xludf.DUMMYFUNCTION("""COMPUTED_VALUE"""),3.0)</f>
        <v>3</v>
      </c>
    </row>
    <row r="178">
      <c r="A178" s="2">
        <f>IFERROR(__xludf.DUMMYFUNCTION("""COMPUTED_VALUE"""),3.0)</f>
        <v>3</v>
      </c>
    </row>
    <row r="179">
      <c r="A179" s="2">
        <f>IFERROR(__xludf.DUMMYFUNCTION("""COMPUTED_VALUE"""),3.0)</f>
        <v>3</v>
      </c>
    </row>
    <row r="180">
      <c r="A180" s="2">
        <f>IFERROR(__xludf.DUMMYFUNCTION("""COMPUTED_VALUE"""),1.0)</f>
        <v>1</v>
      </c>
    </row>
    <row r="181">
      <c r="A181" s="2">
        <f>IFERROR(__xludf.DUMMYFUNCTION("""COMPUTED_VALUE"""),1.0)</f>
        <v>1</v>
      </c>
    </row>
    <row r="182">
      <c r="A182" s="2">
        <f>IFERROR(__xludf.DUMMYFUNCTION("""COMPUTED_VALUE"""),1.0)</f>
        <v>1</v>
      </c>
    </row>
    <row r="183">
      <c r="A183" s="2">
        <f>IFERROR(__xludf.DUMMYFUNCTION("""COMPUTED_VALUE"""),1.0)</f>
        <v>1</v>
      </c>
    </row>
    <row r="184">
      <c r="A184" s="2">
        <f>IFERROR(__xludf.DUMMYFUNCTION("""COMPUTED_VALUE"""),1.0)</f>
        <v>1</v>
      </c>
    </row>
    <row r="185">
      <c r="A185" s="2">
        <f>IFERROR(__xludf.DUMMYFUNCTION("""COMPUTED_VALUE"""),1.0)</f>
        <v>1</v>
      </c>
    </row>
    <row r="186">
      <c r="A186" s="2">
        <f>IFERROR(__xludf.DUMMYFUNCTION("""COMPUTED_VALUE"""),1.0)</f>
        <v>1</v>
      </c>
    </row>
    <row r="187">
      <c r="A187" s="2">
        <f>IFERROR(__xludf.DUMMYFUNCTION("""COMPUTED_VALUE"""),1.0)</f>
        <v>1</v>
      </c>
    </row>
    <row r="188">
      <c r="A188" s="2">
        <f>IFERROR(__xludf.DUMMYFUNCTION("""COMPUTED_VALUE"""),1.0)</f>
        <v>1</v>
      </c>
    </row>
    <row r="189">
      <c r="A189" s="2">
        <f>IFERROR(__xludf.DUMMYFUNCTION("""COMPUTED_VALUE"""),1.0)</f>
        <v>1</v>
      </c>
    </row>
    <row r="190">
      <c r="A190" s="2">
        <f>IFERROR(__xludf.DUMMYFUNCTION("""COMPUTED_VALUE"""),1.0)</f>
        <v>1</v>
      </c>
    </row>
    <row r="191">
      <c r="A191" s="2">
        <f>IFERROR(__xludf.DUMMYFUNCTION("""COMPUTED_VALUE"""),1.0)</f>
        <v>1</v>
      </c>
    </row>
    <row r="192">
      <c r="A192" s="2">
        <f>IFERROR(__xludf.DUMMYFUNCTION("""COMPUTED_VALUE"""),3.0)</f>
        <v>3</v>
      </c>
    </row>
    <row r="193">
      <c r="A193" s="2">
        <f>IFERROR(__xludf.DUMMYFUNCTION("""COMPUTED_VALUE"""),3.0)</f>
        <v>3</v>
      </c>
    </row>
    <row r="194">
      <c r="A194" s="2">
        <f>IFERROR(__xludf.DUMMYFUNCTION("""COMPUTED_VALUE"""),3.0)</f>
        <v>3</v>
      </c>
    </row>
    <row r="195">
      <c r="A195" s="2">
        <f>IFERROR(__xludf.DUMMYFUNCTION("""COMPUTED_VALUE"""),3.0)</f>
        <v>3</v>
      </c>
    </row>
    <row r="196">
      <c r="A196" s="2">
        <f>IFERROR(__xludf.DUMMYFUNCTION("""COMPUTED_VALUE"""),3.0)</f>
        <v>3</v>
      </c>
    </row>
    <row r="197">
      <c r="A197" s="2">
        <f>IFERROR(__xludf.DUMMYFUNCTION("""COMPUTED_VALUE"""),3.0)</f>
        <v>3</v>
      </c>
    </row>
    <row r="198">
      <c r="A198" s="2">
        <f>IFERROR(__xludf.DUMMYFUNCTION("""COMPUTED_VALUE"""),3.0)</f>
        <v>3</v>
      </c>
    </row>
    <row r="199">
      <c r="A199" s="2">
        <f>IFERROR(__xludf.DUMMYFUNCTION("""COMPUTED_VALUE"""),3.0)</f>
        <v>3</v>
      </c>
    </row>
    <row r="200">
      <c r="A200" s="2">
        <f>IFERROR(__xludf.DUMMYFUNCTION("""COMPUTED_VALUE"""),4.0)</f>
        <v>4</v>
      </c>
    </row>
    <row r="201">
      <c r="A201" s="2">
        <f>IFERROR(__xludf.DUMMYFUNCTION("""COMPUTED_VALUE"""),4.0)</f>
        <v>4</v>
      </c>
    </row>
    <row r="202">
      <c r="A202" s="2">
        <f>IFERROR(__xludf.DUMMYFUNCTION("""COMPUTED_VALUE"""),4.0)</f>
        <v>4</v>
      </c>
    </row>
    <row r="203">
      <c r="A203" s="2">
        <f>IFERROR(__xludf.DUMMYFUNCTION("""COMPUTED_VALUE"""),4.0)</f>
        <v>4</v>
      </c>
    </row>
    <row r="204">
      <c r="A204" s="2">
        <f>IFERROR(__xludf.DUMMYFUNCTION("""COMPUTED_VALUE"""),4.0)</f>
        <v>4</v>
      </c>
    </row>
    <row r="205">
      <c r="A205" s="2">
        <f>IFERROR(__xludf.DUMMYFUNCTION("""COMPUTED_VALUE"""),4.0)</f>
        <v>4</v>
      </c>
    </row>
    <row r="206">
      <c r="A206" s="2">
        <f>IFERROR(__xludf.DUMMYFUNCTION("""COMPUTED_VALUE"""),4.0)</f>
        <v>4</v>
      </c>
    </row>
    <row r="207">
      <c r="A207" s="2">
        <f>IFERROR(__xludf.DUMMYFUNCTION("""COMPUTED_VALUE"""),4.0)</f>
        <v>4</v>
      </c>
    </row>
    <row r="208">
      <c r="A208" s="2">
        <f>IFERROR(__xludf.DUMMYFUNCTION("""COMPUTED_VALUE"""),4.0)</f>
        <v>4</v>
      </c>
    </row>
    <row r="209">
      <c r="A209" s="2">
        <f>IFERROR(__xludf.DUMMYFUNCTION("""COMPUTED_VALUE"""),9.0)</f>
        <v>9</v>
      </c>
    </row>
    <row r="210">
      <c r="A210" s="2">
        <f>IFERROR(__xludf.DUMMYFUNCTION("""COMPUTED_VALUE"""),7.0)</f>
        <v>7</v>
      </c>
    </row>
    <row r="211">
      <c r="A211" s="2">
        <f>IFERROR(__xludf.DUMMYFUNCTION("""COMPUTED_VALUE"""),7.0)</f>
        <v>7</v>
      </c>
    </row>
    <row r="212">
      <c r="A212" s="2">
        <f>IFERROR(__xludf.DUMMYFUNCTION("""COMPUTED_VALUE"""),6.0)</f>
        <v>6</v>
      </c>
    </row>
    <row r="213">
      <c r="A213" s="2">
        <f>IFERROR(__xludf.DUMMYFUNCTION("""COMPUTED_VALUE"""),6.0)</f>
        <v>6</v>
      </c>
    </row>
    <row r="214">
      <c r="A214" s="2">
        <f>IFERROR(__xludf.DUMMYFUNCTION("""COMPUTED_VALUE"""),6.0)</f>
        <v>6</v>
      </c>
    </row>
    <row r="215">
      <c r="A215" s="2">
        <f>IFERROR(__xludf.DUMMYFUNCTION("""COMPUTED_VALUE"""),6.0)</f>
        <v>6</v>
      </c>
    </row>
    <row r="216">
      <c r="A216" s="2">
        <f>IFERROR(__xludf.DUMMYFUNCTION("""COMPUTED_VALUE"""),4.0)</f>
        <v>4</v>
      </c>
    </row>
    <row r="217">
      <c r="A217" s="2">
        <f>IFERROR(__xludf.DUMMYFUNCTION("""COMPUTED_VALUE"""),7.0)</f>
        <v>7</v>
      </c>
    </row>
    <row r="218">
      <c r="A218" s="2">
        <f>IFERROR(__xludf.DUMMYFUNCTION("""COMPUTED_VALUE"""),7.0)</f>
        <v>7</v>
      </c>
    </row>
    <row r="219">
      <c r="A219" s="2">
        <f>IFERROR(__xludf.DUMMYFUNCTION("""COMPUTED_VALUE"""),7.0)</f>
        <v>7</v>
      </c>
    </row>
    <row r="220">
      <c r="A220" s="2">
        <f>IFERROR(__xludf.DUMMYFUNCTION("""COMPUTED_VALUE"""),7.0)</f>
        <v>7</v>
      </c>
    </row>
    <row r="221">
      <c r="A221" s="2">
        <f>IFERROR(__xludf.DUMMYFUNCTION("""COMPUTED_VALUE"""),7.0)</f>
        <v>7</v>
      </c>
    </row>
    <row r="222">
      <c r="A222" s="2">
        <f>IFERROR(__xludf.DUMMYFUNCTION("""COMPUTED_VALUE"""),6.0)</f>
        <v>6</v>
      </c>
    </row>
    <row r="223">
      <c r="A223" s="2">
        <f>IFERROR(__xludf.DUMMYFUNCTION("""COMPUTED_VALUE"""),6.0)</f>
        <v>6</v>
      </c>
    </row>
    <row r="224">
      <c r="A224" s="2">
        <f>IFERROR(__xludf.DUMMYFUNCTION("""COMPUTED_VALUE"""),6.0)</f>
        <v>6</v>
      </c>
    </row>
    <row r="225">
      <c r="A225" s="2">
        <f>IFERROR(__xludf.DUMMYFUNCTION("""COMPUTED_VALUE"""),1.0)</f>
        <v>1</v>
      </c>
    </row>
    <row r="226">
      <c r="A226" s="2">
        <f>IFERROR(__xludf.DUMMYFUNCTION("""COMPUTED_VALUE"""),4.0)</f>
        <v>4</v>
      </c>
    </row>
    <row r="227">
      <c r="A227" s="2">
        <f>IFERROR(__xludf.DUMMYFUNCTION("""COMPUTED_VALUE"""),4.0)</f>
        <v>4</v>
      </c>
    </row>
    <row r="228">
      <c r="A228" s="2">
        <f>IFERROR(__xludf.DUMMYFUNCTION("""COMPUTED_VALUE"""),4.0)</f>
        <v>4</v>
      </c>
    </row>
    <row r="229">
      <c r="A229" s="2">
        <f>IFERROR(__xludf.DUMMYFUNCTION("""COMPUTED_VALUE"""),4.0)</f>
        <v>4</v>
      </c>
    </row>
    <row r="230">
      <c r="A230" s="2">
        <f>IFERROR(__xludf.DUMMYFUNCTION("""COMPUTED_VALUE"""),4.0)</f>
        <v>4</v>
      </c>
    </row>
    <row r="231">
      <c r="A231" s="2">
        <f>IFERROR(__xludf.DUMMYFUNCTION("""COMPUTED_VALUE"""),4.0)</f>
        <v>4</v>
      </c>
    </row>
    <row r="232">
      <c r="A232" s="2">
        <f>IFERROR(__xludf.DUMMYFUNCTION("""COMPUTED_VALUE"""),4.0)</f>
        <v>4</v>
      </c>
    </row>
    <row r="233">
      <c r="A233" s="2">
        <f>IFERROR(__xludf.DUMMYFUNCTION("""COMPUTED_VALUE"""),4.0)</f>
        <v>4</v>
      </c>
    </row>
    <row r="234">
      <c r="A234" s="2">
        <f>IFERROR(__xludf.DUMMYFUNCTION("""COMPUTED_VALUE"""),4.0)</f>
        <v>4</v>
      </c>
    </row>
    <row r="235">
      <c r="A235" s="2">
        <f>IFERROR(__xludf.DUMMYFUNCTION("""COMPUTED_VALUE"""),4.0)</f>
        <v>4</v>
      </c>
    </row>
    <row r="236">
      <c r="A236" s="2">
        <f>IFERROR(__xludf.DUMMYFUNCTION("""COMPUTED_VALUE"""),4.0)</f>
        <v>4</v>
      </c>
    </row>
    <row r="237">
      <c r="A237" s="2">
        <f>IFERROR(__xludf.DUMMYFUNCTION("""COMPUTED_VALUE"""),4.0)</f>
        <v>4</v>
      </c>
    </row>
    <row r="238">
      <c r="A238" s="2">
        <f>IFERROR(__xludf.DUMMYFUNCTION("""COMPUTED_VALUE"""),4.0)</f>
        <v>4</v>
      </c>
    </row>
    <row r="239">
      <c r="A239" s="2">
        <f>IFERROR(__xludf.DUMMYFUNCTION("""COMPUTED_VALUE"""),4.0)</f>
        <v>4</v>
      </c>
    </row>
    <row r="240">
      <c r="A240" s="2">
        <f>IFERROR(__xludf.DUMMYFUNCTION("""COMPUTED_VALUE"""),9.0)</f>
        <v>9</v>
      </c>
    </row>
    <row r="241">
      <c r="A241" s="2">
        <f>IFERROR(__xludf.DUMMYFUNCTION("""COMPUTED_VALUE"""),9.0)</f>
        <v>9</v>
      </c>
    </row>
    <row r="242">
      <c r="A242" s="2">
        <f>IFERROR(__xludf.DUMMYFUNCTION("""COMPUTED_VALUE"""),9.0)</f>
        <v>9</v>
      </c>
    </row>
    <row r="243">
      <c r="A243" s="2">
        <f>IFERROR(__xludf.DUMMYFUNCTION("""COMPUTED_VALUE"""),5.0)</f>
        <v>5</v>
      </c>
    </row>
    <row r="244">
      <c r="A244" s="2">
        <f>IFERROR(__xludf.DUMMYFUNCTION("""COMPUTED_VALUE"""),5.0)</f>
        <v>5</v>
      </c>
    </row>
    <row r="245">
      <c r="A245" s="2">
        <f>IFERROR(__xludf.DUMMYFUNCTION("""COMPUTED_VALUE"""),5.0)</f>
        <v>5</v>
      </c>
    </row>
    <row r="246">
      <c r="A246" s="2">
        <f>IFERROR(__xludf.DUMMYFUNCTION("""COMPUTED_VALUE"""),5.0)</f>
        <v>5</v>
      </c>
    </row>
    <row r="247">
      <c r="A247" s="2">
        <f>IFERROR(__xludf.DUMMYFUNCTION("""COMPUTED_VALUE"""),4.0)</f>
        <v>4</v>
      </c>
    </row>
    <row r="248">
      <c r="A248" s="2">
        <f>IFERROR(__xludf.DUMMYFUNCTION("""COMPUTED_VALUE"""),4.0)</f>
        <v>4</v>
      </c>
    </row>
    <row r="249">
      <c r="A249" s="2">
        <f>IFERROR(__xludf.DUMMYFUNCTION("""COMPUTED_VALUE"""),8.0)</f>
        <v>8</v>
      </c>
    </row>
    <row r="250">
      <c r="A250" s="2">
        <f>IFERROR(__xludf.DUMMYFUNCTION("""COMPUTED_VALUE"""),8.0)</f>
        <v>8</v>
      </c>
    </row>
    <row r="251">
      <c r="A251" s="2">
        <f>IFERROR(__xludf.DUMMYFUNCTION("""COMPUTED_VALUE"""),8.0)</f>
        <v>8</v>
      </c>
    </row>
    <row r="252">
      <c r="A252" s="2">
        <f>IFERROR(__xludf.DUMMYFUNCTION("""COMPUTED_VALUE"""),8.0)</f>
        <v>8</v>
      </c>
    </row>
    <row r="253">
      <c r="A253" s="2">
        <f>IFERROR(__xludf.DUMMYFUNCTION("""COMPUTED_VALUE"""),8.0)</f>
        <v>8</v>
      </c>
    </row>
    <row r="254">
      <c r="A254" s="2">
        <f>IFERROR(__xludf.DUMMYFUNCTION("""COMPUTED_VALUE"""),8.0)</f>
        <v>8</v>
      </c>
    </row>
    <row r="255">
      <c r="A255" s="2">
        <f>IFERROR(__xludf.DUMMYFUNCTION("""COMPUTED_VALUE"""),8.0)</f>
        <v>8</v>
      </c>
    </row>
    <row r="256">
      <c r="A256" s="2">
        <f>IFERROR(__xludf.DUMMYFUNCTION("""COMPUTED_VALUE"""),8.0)</f>
        <v>8</v>
      </c>
    </row>
    <row r="257">
      <c r="A257" s="2">
        <f>IFERROR(__xludf.DUMMYFUNCTION("""COMPUTED_VALUE"""),8.0)</f>
        <v>8</v>
      </c>
    </row>
    <row r="258">
      <c r="A258" s="2">
        <f>IFERROR(__xludf.DUMMYFUNCTION("""COMPUTED_VALUE"""),8.0)</f>
        <v>8</v>
      </c>
    </row>
    <row r="259">
      <c r="A259" s="2">
        <f>IFERROR(__xludf.DUMMYFUNCTION("""COMPUTED_VALUE"""),8.0)</f>
        <v>8</v>
      </c>
    </row>
    <row r="260">
      <c r="A260" s="2">
        <f>IFERROR(__xludf.DUMMYFUNCTION("""COMPUTED_VALUE"""),8.0)</f>
        <v>8</v>
      </c>
    </row>
    <row r="261">
      <c r="A261" s="2">
        <f>IFERROR(__xludf.DUMMYFUNCTION("""COMPUTED_VALUE"""),8.0)</f>
        <v>8</v>
      </c>
    </row>
    <row r="262">
      <c r="A262" s="2">
        <f>IFERROR(__xludf.DUMMYFUNCTION("""COMPUTED_VALUE"""),8.0)</f>
        <v>8</v>
      </c>
    </row>
    <row r="263">
      <c r="A263" s="2">
        <f>IFERROR(__xludf.DUMMYFUNCTION("""COMPUTED_VALUE"""),8.0)</f>
        <v>8</v>
      </c>
    </row>
    <row r="264">
      <c r="A264" s="2">
        <f>IFERROR(__xludf.DUMMYFUNCTION("""COMPUTED_VALUE"""),8.0)</f>
        <v>8</v>
      </c>
    </row>
    <row r="265">
      <c r="A265" s="2">
        <f>IFERROR(__xludf.DUMMYFUNCTION("""COMPUTED_VALUE"""),8.0)</f>
        <v>8</v>
      </c>
    </row>
    <row r="266">
      <c r="A266" s="2">
        <f>IFERROR(__xludf.DUMMYFUNCTION("""COMPUTED_VALUE"""),8.0)</f>
        <v>8</v>
      </c>
    </row>
    <row r="267">
      <c r="A267" s="2">
        <f>IFERROR(__xludf.DUMMYFUNCTION("""COMPUTED_VALUE"""),8.0)</f>
        <v>8</v>
      </c>
    </row>
    <row r="268">
      <c r="A268" s="2">
        <f>IFERROR(__xludf.DUMMYFUNCTION("""COMPUTED_VALUE"""),8.0)</f>
        <v>8</v>
      </c>
    </row>
    <row r="269">
      <c r="A269" s="2">
        <f>IFERROR(__xludf.DUMMYFUNCTION("""COMPUTED_VALUE"""),8.0)</f>
        <v>8</v>
      </c>
    </row>
    <row r="270">
      <c r="A270" s="2">
        <f>IFERROR(__xludf.DUMMYFUNCTION("""COMPUTED_VALUE"""),8.0)</f>
        <v>8</v>
      </c>
    </row>
    <row r="271">
      <c r="A271" s="2">
        <f>IFERROR(__xludf.DUMMYFUNCTION("""COMPUTED_VALUE"""),8.0)</f>
        <v>8</v>
      </c>
    </row>
    <row r="272">
      <c r="A272" s="2">
        <f>IFERROR(__xludf.DUMMYFUNCTION("""COMPUTED_VALUE"""),8.0)</f>
        <v>8</v>
      </c>
    </row>
    <row r="273">
      <c r="A273" s="2">
        <f>IFERROR(__xludf.DUMMYFUNCTION("""COMPUTED_VALUE"""),8.0)</f>
        <v>8</v>
      </c>
    </row>
    <row r="274">
      <c r="A274" s="2">
        <f>IFERROR(__xludf.DUMMYFUNCTION("""COMPUTED_VALUE"""),8.0)</f>
        <v>8</v>
      </c>
    </row>
    <row r="275">
      <c r="A275" s="2">
        <f>IFERROR(__xludf.DUMMYFUNCTION("""COMPUTED_VALUE"""),8.0)</f>
        <v>8</v>
      </c>
    </row>
    <row r="276">
      <c r="A276" s="2">
        <f>IFERROR(__xludf.DUMMYFUNCTION("""COMPUTED_VALUE"""),7.0)</f>
        <v>7</v>
      </c>
    </row>
    <row r="277">
      <c r="A277" s="2">
        <f>IFERROR(__xludf.DUMMYFUNCTION("""COMPUTED_VALUE"""),7.0)</f>
        <v>7</v>
      </c>
    </row>
    <row r="278">
      <c r="A278" s="2">
        <f>IFERROR(__xludf.DUMMYFUNCTION("""COMPUTED_VALUE"""),7.0)</f>
        <v>7</v>
      </c>
    </row>
    <row r="279">
      <c r="A279" s="2">
        <f>IFERROR(__xludf.DUMMYFUNCTION("""COMPUTED_VALUE"""),7.0)</f>
        <v>7</v>
      </c>
    </row>
    <row r="280">
      <c r="A280" s="2">
        <f>IFERROR(__xludf.DUMMYFUNCTION("""COMPUTED_VALUE"""),2.0)</f>
        <v>2</v>
      </c>
    </row>
    <row r="281">
      <c r="A281" s="2">
        <f>IFERROR(__xludf.DUMMYFUNCTION("""COMPUTED_VALUE"""),2.0)</f>
        <v>2</v>
      </c>
    </row>
    <row r="282">
      <c r="A282" s="2">
        <f>IFERROR(__xludf.DUMMYFUNCTION("""COMPUTED_VALUE"""),2.0)</f>
        <v>2</v>
      </c>
    </row>
    <row r="283">
      <c r="A283" s="2">
        <f>IFERROR(__xludf.DUMMYFUNCTION("""COMPUTED_VALUE"""),2.0)</f>
        <v>2</v>
      </c>
    </row>
    <row r="284">
      <c r="A284" s="2">
        <f>IFERROR(__xludf.DUMMYFUNCTION("""COMPUTED_VALUE"""),8.0)</f>
        <v>8</v>
      </c>
    </row>
    <row r="285">
      <c r="A285" s="2">
        <f>IFERROR(__xludf.DUMMYFUNCTION("""COMPUTED_VALUE"""),8.0)</f>
        <v>8</v>
      </c>
    </row>
    <row r="286">
      <c r="A286" s="2">
        <f>IFERROR(__xludf.DUMMYFUNCTION("""COMPUTED_VALUE"""),8.0)</f>
        <v>8</v>
      </c>
    </row>
    <row r="287">
      <c r="A287" s="2">
        <f>IFERROR(__xludf.DUMMYFUNCTION("""COMPUTED_VALUE"""),8.0)</f>
        <v>8</v>
      </c>
    </row>
    <row r="288">
      <c r="A288" s="2">
        <f>IFERROR(__xludf.DUMMYFUNCTION("""COMPUTED_VALUE"""),8.0)</f>
        <v>8</v>
      </c>
    </row>
    <row r="289">
      <c r="A289" s="2">
        <f>IFERROR(__xludf.DUMMYFUNCTION("""COMPUTED_VALUE"""),8.0)</f>
        <v>8</v>
      </c>
    </row>
    <row r="290">
      <c r="A290" s="2">
        <f>IFERROR(__xludf.DUMMYFUNCTION("""COMPUTED_VALUE"""),8.0)</f>
        <v>8</v>
      </c>
    </row>
    <row r="291">
      <c r="A291" s="2">
        <f>IFERROR(__xludf.DUMMYFUNCTION("""COMPUTED_VALUE"""),4.0)</f>
        <v>4</v>
      </c>
    </row>
    <row r="292">
      <c r="A292" s="2">
        <f>IFERROR(__xludf.DUMMYFUNCTION("""COMPUTED_VALUE"""),4.0)</f>
        <v>4</v>
      </c>
    </row>
    <row r="293">
      <c r="A293" s="2">
        <f>IFERROR(__xludf.DUMMYFUNCTION("""COMPUTED_VALUE"""),4.0)</f>
        <v>4</v>
      </c>
    </row>
    <row r="294">
      <c r="A294" s="2">
        <f>IFERROR(__xludf.DUMMYFUNCTION("""COMPUTED_VALUE"""),4.0)</f>
        <v>4</v>
      </c>
    </row>
    <row r="295">
      <c r="A295" s="2">
        <f>IFERROR(__xludf.DUMMYFUNCTION("""COMPUTED_VALUE"""),4.0)</f>
        <v>4</v>
      </c>
    </row>
    <row r="296">
      <c r="A296" s="2">
        <f>IFERROR(__xludf.DUMMYFUNCTION("""COMPUTED_VALUE"""),4.0)</f>
        <v>4</v>
      </c>
    </row>
    <row r="297">
      <c r="A297" s="2">
        <f>IFERROR(__xludf.DUMMYFUNCTION("""COMPUTED_VALUE"""),4.0)</f>
        <v>4</v>
      </c>
    </row>
    <row r="298">
      <c r="A298" s="2">
        <f>IFERROR(__xludf.DUMMYFUNCTION("""COMPUTED_VALUE"""),4.0)</f>
        <v>4</v>
      </c>
    </row>
    <row r="299">
      <c r="A299" s="2">
        <f>IFERROR(__xludf.DUMMYFUNCTION("""COMPUTED_VALUE"""),4.0)</f>
        <v>4</v>
      </c>
    </row>
    <row r="300">
      <c r="A300" s="2">
        <f>IFERROR(__xludf.DUMMYFUNCTION("""COMPUTED_VALUE"""),4.0)</f>
        <v>4</v>
      </c>
    </row>
    <row r="301">
      <c r="A301" s="2">
        <f>IFERROR(__xludf.DUMMYFUNCTION("""COMPUTED_VALUE"""),6.0)</f>
        <v>6</v>
      </c>
    </row>
    <row r="302">
      <c r="A302" s="2">
        <f>IFERROR(__xludf.DUMMYFUNCTION("""COMPUTED_VALUE"""),6.0)</f>
        <v>6</v>
      </c>
    </row>
    <row r="303">
      <c r="A303" s="2">
        <f>IFERROR(__xludf.DUMMYFUNCTION("""COMPUTED_VALUE"""),6.0)</f>
        <v>6</v>
      </c>
    </row>
    <row r="304">
      <c r="A304" s="2">
        <f>IFERROR(__xludf.DUMMYFUNCTION("""COMPUTED_VALUE"""),6.0)</f>
        <v>6</v>
      </c>
    </row>
    <row r="305">
      <c r="A305" s="2">
        <f>IFERROR(__xludf.DUMMYFUNCTION("""COMPUTED_VALUE"""),6.0)</f>
        <v>6</v>
      </c>
    </row>
    <row r="306">
      <c r="A306" s="2">
        <f>IFERROR(__xludf.DUMMYFUNCTION("""COMPUTED_VALUE"""),6.0)</f>
        <v>6</v>
      </c>
    </row>
    <row r="307">
      <c r="A307" s="2">
        <f>IFERROR(__xludf.DUMMYFUNCTION("""COMPUTED_VALUE"""),6.0)</f>
        <v>6</v>
      </c>
    </row>
    <row r="308">
      <c r="A308" s="2">
        <f>IFERROR(__xludf.DUMMYFUNCTION("""COMPUTED_VALUE"""),6.0)</f>
        <v>6</v>
      </c>
    </row>
    <row r="309">
      <c r="A309" s="2">
        <f>IFERROR(__xludf.DUMMYFUNCTION("""COMPUTED_VALUE"""),6.0)</f>
        <v>6</v>
      </c>
    </row>
    <row r="310">
      <c r="A310" s="2">
        <f>IFERROR(__xludf.DUMMYFUNCTION("""COMPUTED_VALUE"""),6.0)</f>
        <v>6</v>
      </c>
    </row>
    <row r="311">
      <c r="A311" s="2">
        <f>IFERROR(__xludf.DUMMYFUNCTION("""COMPUTED_VALUE"""),6.0)</f>
        <v>6</v>
      </c>
    </row>
    <row r="312">
      <c r="A312" s="2">
        <f>IFERROR(__xludf.DUMMYFUNCTION("""COMPUTED_VALUE"""),6.0)</f>
        <v>6</v>
      </c>
    </row>
    <row r="313">
      <c r="A313" s="2">
        <f>IFERROR(__xludf.DUMMYFUNCTION("""COMPUTED_VALUE"""),6.0)</f>
        <v>6</v>
      </c>
    </row>
    <row r="314">
      <c r="A314" s="2">
        <f>IFERROR(__xludf.DUMMYFUNCTION("""COMPUTED_VALUE"""),6.0)</f>
        <v>6</v>
      </c>
    </row>
    <row r="315">
      <c r="A315" s="2">
        <f>IFERROR(__xludf.DUMMYFUNCTION("""COMPUTED_VALUE"""),6.0)</f>
        <v>6</v>
      </c>
    </row>
    <row r="316">
      <c r="A316" s="2">
        <f>IFERROR(__xludf.DUMMYFUNCTION("""COMPUTED_VALUE"""),6.0)</f>
        <v>6</v>
      </c>
    </row>
    <row r="317">
      <c r="A317" s="2">
        <f>IFERROR(__xludf.DUMMYFUNCTION("""COMPUTED_VALUE"""),6.0)</f>
        <v>6</v>
      </c>
    </row>
    <row r="318">
      <c r="A318" s="2">
        <f>IFERROR(__xludf.DUMMYFUNCTION("""COMPUTED_VALUE"""),6.0)</f>
        <v>6</v>
      </c>
    </row>
    <row r="319">
      <c r="A319" s="2">
        <f>IFERROR(__xludf.DUMMYFUNCTION("""COMPUTED_VALUE"""),9.0)</f>
        <v>9</v>
      </c>
    </row>
    <row r="320">
      <c r="A320" s="2">
        <f>IFERROR(__xludf.DUMMYFUNCTION("""COMPUTED_VALUE"""),9.0)</f>
        <v>9</v>
      </c>
    </row>
    <row r="321">
      <c r="A321" s="2">
        <f>IFERROR(__xludf.DUMMYFUNCTION("""COMPUTED_VALUE"""),9.0)</f>
        <v>9</v>
      </c>
    </row>
    <row r="322">
      <c r="A322" s="2">
        <f>IFERROR(__xludf.DUMMYFUNCTION("""COMPUTED_VALUE"""),9.0)</f>
        <v>9</v>
      </c>
    </row>
    <row r="323">
      <c r="A323" s="2">
        <f>IFERROR(__xludf.DUMMYFUNCTION("""COMPUTED_VALUE"""),9.0)</f>
        <v>9</v>
      </c>
    </row>
    <row r="324">
      <c r="A324" s="2">
        <f>IFERROR(__xludf.DUMMYFUNCTION("""COMPUTED_VALUE"""),9.0)</f>
        <v>9</v>
      </c>
    </row>
    <row r="325">
      <c r="A325" s="2">
        <f>IFERROR(__xludf.DUMMYFUNCTION("""COMPUTED_VALUE"""),9.0)</f>
        <v>9</v>
      </c>
    </row>
    <row r="326">
      <c r="A326" s="2">
        <f>IFERROR(__xludf.DUMMYFUNCTION("""COMPUTED_VALUE"""),2.0)</f>
        <v>2</v>
      </c>
    </row>
    <row r="327">
      <c r="A327" s="2">
        <f>IFERROR(__xludf.DUMMYFUNCTION("""COMPUTED_VALUE"""),2.0)</f>
        <v>2</v>
      </c>
    </row>
    <row r="328">
      <c r="A328" s="2">
        <f>IFERROR(__xludf.DUMMYFUNCTION("""COMPUTED_VALUE"""),2.0)</f>
        <v>2</v>
      </c>
    </row>
    <row r="329">
      <c r="A329" s="2">
        <f>IFERROR(__xludf.DUMMYFUNCTION("""COMPUTED_VALUE"""),2.0)</f>
        <v>2</v>
      </c>
    </row>
    <row r="330">
      <c r="A330" s="2">
        <f>IFERROR(__xludf.DUMMYFUNCTION("""COMPUTED_VALUE"""),2.0)</f>
        <v>2</v>
      </c>
    </row>
    <row r="331">
      <c r="A331" s="2">
        <f>IFERROR(__xludf.DUMMYFUNCTION("""COMPUTED_VALUE"""),2.0)</f>
        <v>2</v>
      </c>
    </row>
    <row r="332">
      <c r="A332" s="2">
        <f>IFERROR(__xludf.DUMMYFUNCTION("""COMPUTED_VALUE"""),2.0)</f>
        <v>2</v>
      </c>
    </row>
    <row r="333">
      <c r="A333" s="2">
        <f>IFERROR(__xludf.DUMMYFUNCTION("""COMPUTED_VALUE"""),2.0)</f>
        <v>2</v>
      </c>
    </row>
    <row r="334">
      <c r="A334" s="2">
        <f>IFERROR(__xludf.DUMMYFUNCTION("""COMPUTED_VALUE"""),2.0)</f>
        <v>2</v>
      </c>
    </row>
    <row r="335">
      <c r="A335" s="2">
        <f>IFERROR(__xludf.DUMMYFUNCTION("""COMPUTED_VALUE"""),2.0)</f>
        <v>2</v>
      </c>
    </row>
    <row r="336">
      <c r="A336" s="2">
        <f>IFERROR(__xludf.DUMMYFUNCTION("""COMPUTED_VALUE"""),2.0)</f>
        <v>2</v>
      </c>
    </row>
    <row r="337">
      <c r="A337" s="2">
        <f>IFERROR(__xludf.DUMMYFUNCTION("""COMPUTED_VALUE"""),5.0)</f>
        <v>5</v>
      </c>
    </row>
    <row r="338">
      <c r="A338" s="2">
        <f>IFERROR(__xludf.DUMMYFUNCTION("""COMPUTED_VALUE"""),5.0)</f>
        <v>5</v>
      </c>
    </row>
    <row r="339">
      <c r="A339" s="2">
        <f>IFERROR(__xludf.DUMMYFUNCTION("""COMPUTED_VALUE"""),2.0)</f>
        <v>2</v>
      </c>
    </row>
    <row r="340">
      <c r="A340" s="2">
        <f>IFERROR(__xludf.DUMMYFUNCTION("""COMPUTED_VALUE"""),4.0)</f>
        <v>4</v>
      </c>
    </row>
    <row r="341">
      <c r="A341" s="2">
        <f>IFERROR(__xludf.DUMMYFUNCTION("""COMPUTED_VALUE"""),4.0)</f>
        <v>4</v>
      </c>
    </row>
    <row r="342">
      <c r="A342" s="2">
        <f>IFERROR(__xludf.DUMMYFUNCTION("""COMPUTED_VALUE"""),8.0)</f>
        <v>8</v>
      </c>
    </row>
    <row r="343">
      <c r="A343" s="2">
        <f>IFERROR(__xludf.DUMMYFUNCTION("""COMPUTED_VALUE"""),8.0)</f>
        <v>8</v>
      </c>
    </row>
    <row r="344">
      <c r="A344" s="2">
        <f>IFERROR(__xludf.DUMMYFUNCTION("""COMPUTED_VALUE"""),6.0)</f>
        <v>6</v>
      </c>
    </row>
    <row r="345">
      <c r="A345" s="2">
        <f>IFERROR(__xludf.DUMMYFUNCTION("""COMPUTED_VALUE"""),9.0)</f>
        <v>9</v>
      </c>
    </row>
    <row r="346">
      <c r="A346" s="2">
        <f>IFERROR(__xludf.DUMMYFUNCTION("""COMPUTED_VALUE"""),9.0)</f>
        <v>9</v>
      </c>
    </row>
    <row r="347">
      <c r="A347" s="2">
        <f>IFERROR(__xludf.DUMMYFUNCTION("""COMPUTED_VALUE"""),9.0)</f>
        <v>9</v>
      </c>
    </row>
    <row r="348">
      <c r="A348" s="2">
        <f>IFERROR(__xludf.DUMMYFUNCTION("""COMPUTED_VALUE"""),9.0)</f>
        <v>9</v>
      </c>
    </row>
    <row r="349">
      <c r="A349" s="2">
        <f>IFERROR(__xludf.DUMMYFUNCTION("""COMPUTED_VALUE"""),7.0)</f>
        <v>7</v>
      </c>
    </row>
    <row r="350">
      <c r="A350" s="2">
        <f>IFERROR(__xludf.DUMMYFUNCTION("""COMPUTED_VALUE"""),7.0)</f>
        <v>7</v>
      </c>
    </row>
    <row r="351">
      <c r="A351" s="2">
        <f>IFERROR(__xludf.DUMMYFUNCTION("""COMPUTED_VALUE"""),7.0)</f>
        <v>7</v>
      </c>
    </row>
    <row r="352">
      <c r="A352" s="2">
        <f>IFERROR(__xludf.DUMMYFUNCTION("""COMPUTED_VALUE"""),7.0)</f>
        <v>7</v>
      </c>
    </row>
    <row r="353">
      <c r="A353" s="2">
        <f>IFERROR(__xludf.DUMMYFUNCTION("""COMPUTED_VALUE"""),5.0)</f>
        <v>5</v>
      </c>
    </row>
    <row r="354">
      <c r="A354" s="2">
        <f>IFERROR(__xludf.DUMMYFUNCTION("""COMPUTED_VALUE"""),5.0)</f>
        <v>5</v>
      </c>
    </row>
    <row r="355">
      <c r="A355" s="2">
        <f>IFERROR(__xludf.DUMMYFUNCTION("""COMPUTED_VALUE"""),5.0)</f>
        <v>5</v>
      </c>
    </row>
    <row r="356">
      <c r="A356" s="2">
        <f>IFERROR(__xludf.DUMMYFUNCTION("""COMPUTED_VALUE"""),5.0)</f>
        <v>5</v>
      </c>
    </row>
    <row r="357">
      <c r="A357" s="2">
        <f>IFERROR(__xludf.DUMMYFUNCTION("""COMPUTED_VALUE"""),5.0)</f>
        <v>5</v>
      </c>
    </row>
    <row r="358">
      <c r="A358" s="2">
        <f>IFERROR(__xludf.DUMMYFUNCTION("""COMPUTED_VALUE"""),5.0)</f>
        <v>5</v>
      </c>
    </row>
    <row r="359">
      <c r="A359" s="2">
        <f>IFERROR(__xludf.DUMMYFUNCTION("""COMPUTED_VALUE"""),5.0)</f>
        <v>5</v>
      </c>
    </row>
    <row r="360">
      <c r="A360" s="2">
        <f>IFERROR(__xludf.DUMMYFUNCTION("""COMPUTED_VALUE"""),6.0)</f>
        <v>6</v>
      </c>
    </row>
    <row r="361">
      <c r="A361" s="2">
        <f>IFERROR(__xludf.DUMMYFUNCTION("""COMPUTED_VALUE"""),6.0)</f>
        <v>6</v>
      </c>
    </row>
    <row r="362">
      <c r="A362" s="2">
        <f>IFERROR(__xludf.DUMMYFUNCTION("""COMPUTED_VALUE"""),6.0)</f>
        <v>6</v>
      </c>
    </row>
    <row r="363">
      <c r="A363" s="2">
        <f>IFERROR(__xludf.DUMMYFUNCTION("""COMPUTED_VALUE"""),6.0)</f>
        <v>6</v>
      </c>
    </row>
    <row r="364">
      <c r="A364" s="2">
        <f>IFERROR(__xludf.DUMMYFUNCTION("""COMPUTED_VALUE"""),3.0)</f>
        <v>3</v>
      </c>
    </row>
    <row r="365">
      <c r="A365" s="2">
        <f>IFERROR(__xludf.DUMMYFUNCTION("""COMPUTED_VALUE"""),3.0)</f>
        <v>3</v>
      </c>
    </row>
    <row r="366">
      <c r="A366" s="2">
        <f>IFERROR(__xludf.DUMMYFUNCTION("""COMPUTED_VALUE"""),5.0)</f>
        <v>5</v>
      </c>
    </row>
    <row r="367">
      <c r="A367" s="2">
        <f>IFERROR(__xludf.DUMMYFUNCTION("""COMPUTED_VALUE"""),5.0)</f>
        <v>5</v>
      </c>
    </row>
    <row r="368">
      <c r="A368" s="2">
        <f>IFERROR(__xludf.DUMMYFUNCTION("""COMPUTED_VALUE"""),5.0)</f>
        <v>5</v>
      </c>
    </row>
    <row r="369">
      <c r="A369" s="2">
        <f>IFERROR(__xludf.DUMMYFUNCTION("""COMPUTED_VALUE"""),5.0)</f>
        <v>5</v>
      </c>
    </row>
    <row r="370">
      <c r="A370" s="2">
        <f>IFERROR(__xludf.DUMMYFUNCTION("""COMPUTED_VALUE"""),5.0)</f>
        <v>5</v>
      </c>
    </row>
    <row r="371">
      <c r="A371" s="2">
        <f>IFERROR(__xludf.DUMMYFUNCTION("""COMPUTED_VALUE"""),5.0)</f>
        <v>5</v>
      </c>
    </row>
    <row r="372">
      <c r="A372" s="2">
        <f>IFERROR(__xludf.DUMMYFUNCTION("""COMPUTED_VALUE"""),8.0)</f>
        <v>8</v>
      </c>
    </row>
    <row r="373">
      <c r="A373" s="2">
        <f>IFERROR(__xludf.DUMMYFUNCTION("""COMPUTED_VALUE"""),8.0)</f>
        <v>8</v>
      </c>
    </row>
    <row r="374">
      <c r="A374" s="2">
        <f>IFERROR(__xludf.DUMMYFUNCTION("""COMPUTED_VALUE"""),6.0)</f>
        <v>6</v>
      </c>
    </row>
    <row r="375">
      <c r="A375" s="2">
        <f>IFERROR(__xludf.DUMMYFUNCTION("""COMPUTED_VALUE"""),6.0)</f>
        <v>6</v>
      </c>
    </row>
    <row r="376">
      <c r="A376" s="2">
        <f>IFERROR(__xludf.DUMMYFUNCTION("""COMPUTED_VALUE"""),6.0)</f>
        <v>6</v>
      </c>
    </row>
    <row r="377">
      <c r="A377" s="2">
        <f>IFERROR(__xludf.DUMMYFUNCTION("""COMPUTED_VALUE"""),6.0)</f>
        <v>6</v>
      </c>
    </row>
    <row r="378">
      <c r="A378" s="2">
        <f>IFERROR(__xludf.DUMMYFUNCTION("""COMPUTED_VALUE"""),6.0)</f>
        <v>6</v>
      </c>
    </row>
    <row r="379">
      <c r="A379" s="2">
        <f>IFERROR(__xludf.DUMMYFUNCTION("""COMPUTED_VALUE"""),6.0)</f>
        <v>6</v>
      </c>
    </row>
    <row r="380">
      <c r="A380" s="2">
        <f>IFERROR(__xludf.DUMMYFUNCTION("""COMPUTED_VALUE"""),6.0)</f>
        <v>6</v>
      </c>
    </row>
    <row r="381">
      <c r="A381" s="2">
        <f>IFERROR(__xludf.DUMMYFUNCTION("""COMPUTED_VALUE"""),6.0)</f>
        <v>6</v>
      </c>
    </row>
    <row r="382">
      <c r="A382" s="2">
        <f>IFERROR(__xludf.DUMMYFUNCTION("""COMPUTED_VALUE"""),6.0)</f>
        <v>6</v>
      </c>
    </row>
    <row r="383">
      <c r="A383" s="2">
        <f>IFERROR(__xludf.DUMMYFUNCTION("""COMPUTED_VALUE"""),6.0)</f>
        <v>6</v>
      </c>
    </row>
    <row r="384">
      <c r="A384" s="2">
        <f>IFERROR(__xludf.DUMMYFUNCTION("""COMPUTED_VALUE"""),6.0)</f>
        <v>6</v>
      </c>
    </row>
    <row r="385">
      <c r="A385" s="2">
        <f>IFERROR(__xludf.DUMMYFUNCTION("""COMPUTED_VALUE"""),6.0)</f>
        <v>6</v>
      </c>
    </row>
    <row r="386">
      <c r="A386" s="2">
        <f>IFERROR(__xludf.DUMMYFUNCTION("""COMPUTED_VALUE"""),6.0)</f>
        <v>6</v>
      </c>
    </row>
    <row r="387">
      <c r="A387" s="2">
        <f>IFERROR(__xludf.DUMMYFUNCTION("""COMPUTED_VALUE"""),6.0)</f>
        <v>6</v>
      </c>
    </row>
    <row r="388">
      <c r="A388" s="2">
        <f>IFERROR(__xludf.DUMMYFUNCTION("""COMPUTED_VALUE"""),8.0)</f>
        <v>8</v>
      </c>
    </row>
    <row r="389">
      <c r="A389" s="2">
        <f>IFERROR(__xludf.DUMMYFUNCTION("""COMPUTED_VALUE"""),8.0)</f>
        <v>8</v>
      </c>
    </row>
    <row r="390">
      <c r="A390" s="2">
        <f>IFERROR(__xludf.DUMMYFUNCTION("""COMPUTED_VALUE"""),8.0)</f>
        <v>8</v>
      </c>
    </row>
    <row r="391">
      <c r="A391" s="2">
        <f>IFERROR(__xludf.DUMMYFUNCTION("""COMPUTED_VALUE"""),2.0)</f>
        <v>2</v>
      </c>
    </row>
    <row r="392">
      <c r="A392" s="2">
        <f>IFERROR(__xludf.DUMMYFUNCTION("""COMPUTED_VALUE"""),2.0)</f>
        <v>2</v>
      </c>
    </row>
    <row r="393">
      <c r="A393" s="2">
        <f>IFERROR(__xludf.DUMMYFUNCTION("""COMPUTED_VALUE"""),2.0)</f>
        <v>2</v>
      </c>
    </row>
    <row r="394">
      <c r="A394" s="2">
        <f>IFERROR(__xludf.DUMMYFUNCTION("""COMPUTED_VALUE"""),2.0)</f>
        <v>2</v>
      </c>
    </row>
    <row r="395">
      <c r="A395" s="2">
        <f>IFERROR(__xludf.DUMMYFUNCTION("""COMPUTED_VALUE"""),2.0)</f>
        <v>2</v>
      </c>
    </row>
    <row r="396">
      <c r="A396" s="2">
        <f>IFERROR(__xludf.DUMMYFUNCTION("""COMPUTED_VALUE"""),2.0)</f>
        <v>2</v>
      </c>
    </row>
    <row r="397">
      <c r="A397" s="2">
        <f>IFERROR(__xludf.DUMMYFUNCTION("""COMPUTED_VALUE"""),2.0)</f>
        <v>2</v>
      </c>
    </row>
    <row r="398">
      <c r="A398" s="2">
        <f>IFERROR(__xludf.DUMMYFUNCTION("""COMPUTED_VALUE"""),2.0)</f>
        <v>2</v>
      </c>
    </row>
    <row r="399">
      <c r="A399" s="2">
        <f>IFERROR(__xludf.DUMMYFUNCTION("""COMPUTED_VALUE"""),2.0)</f>
        <v>2</v>
      </c>
    </row>
    <row r="400">
      <c r="A400" s="2">
        <f>IFERROR(__xludf.DUMMYFUNCTION("""COMPUTED_VALUE"""),2.0)</f>
        <v>2</v>
      </c>
    </row>
    <row r="401">
      <c r="A401" s="2">
        <f>IFERROR(__xludf.DUMMYFUNCTION("""COMPUTED_VALUE"""),2.0)</f>
        <v>2</v>
      </c>
    </row>
    <row r="402">
      <c r="A402" s="2">
        <f>IFERROR(__xludf.DUMMYFUNCTION("""COMPUTED_VALUE"""),2.0)</f>
        <v>2</v>
      </c>
    </row>
    <row r="403">
      <c r="A403" s="2">
        <f>IFERROR(__xludf.DUMMYFUNCTION("""COMPUTED_VALUE"""),2.0)</f>
        <v>2</v>
      </c>
    </row>
    <row r="404">
      <c r="A404" s="2">
        <f>IFERROR(__xludf.DUMMYFUNCTION("""COMPUTED_VALUE"""),2.0)</f>
        <v>2</v>
      </c>
    </row>
    <row r="405">
      <c r="A405" s="2">
        <f>IFERROR(__xludf.DUMMYFUNCTION("""COMPUTED_VALUE"""),2.0)</f>
        <v>2</v>
      </c>
    </row>
    <row r="406">
      <c r="A406" s="2">
        <f>IFERROR(__xludf.DUMMYFUNCTION("""COMPUTED_VALUE"""),6.0)</f>
        <v>6</v>
      </c>
    </row>
    <row r="407">
      <c r="A407" s="2">
        <f>IFERROR(__xludf.DUMMYFUNCTION("""COMPUTED_VALUE"""),3.0)</f>
        <v>3</v>
      </c>
    </row>
    <row r="408">
      <c r="A408" s="2">
        <f>IFERROR(__xludf.DUMMYFUNCTION("""COMPUTED_VALUE"""),3.0)</f>
        <v>3</v>
      </c>
    </row>
    <row r="409">
      <c r="A409" s="2">
        <f>IFERROR(__xludf.DUMMYFUNCTION("""COMPUTED_VALUE"""),3.0)</f>
        <v>3</v>
      </c>
    </row>
    <row r="410">
      <c r="A410" s="2">
        <f>IFERROR(__xludf.DUMMYFUNCTION("""COMPUTED_VALUE"""),3.0)</f>
        <v>3</v>
      </c>
    </row>
    <row r="411">
      <c r="A411" s="2">
        <f>IFERROR(__xludf.DUMMYFUNCTION("""COMPUTED_VALUE"""),3.0)</f>
        <v>3</v>
      </c>
    </row>
    <row r="412">
      <c r="A412" s="2">
        <f>IFERROR(__xludf.DUMMYFUNCTION("""COMPUTED_VALUE"""),3.0)</f>
        <v>3</v>
      </c>
    </row>
    <row r="413">
      <c r="A413" s="2">
        <f>IFERROR(__xludf.DUMMYFUNCTION("""COMPUTED_VALUE"""),3.0)</f>
        <v>3</v>
      </c>
    </row>
    <row r="414">
      <c r="A414" s="2">
        <f>IFERROR(__xludf.DUMMYFUNCTION("""COMPUTED_VALUE"""),3.0)</f>
        <v>3</v>
      </c>
    </row>
    <row r="415">
      <c r="A415" s="2">
        <f>IFERROR(__xludf.DUMMYFUNCTION("""COMPUTED_VALUE"""),3.0)</f>
        <v>3</v>
      </c>
    </row>
    <row r="416">
      <c r="A416" s="2">
        <f>IFERROR(__xludf.DUMMYFUNCTION("""COMPUTED_VALUE"""),3.0)</f>
        <v>3</v>
      </c>
    </row>
    <row r="417">
      <c r="A417" s="2">
        <f>IFERROR(__xludf.DUMMYFUNCTION("""COMPUTED_VALUE"""),3.0)</f>
        <v>3</v>
      </c>
    </row>
    <row r="418">
      <c r="A418" s="2">
        <f>IFERROR(__xludf.DUMMYFUNCTION("""COMPUTED_VALUE"""),3.0)</f>
        <v>3</v>
      </c>
    </row>
    <row r="419">
      <c r="A419" s="2">
        <f>IFERROR(__xludf.DUMMYFUNCTION("""COMPUTED_VALUE"""),3.0)</f>
        <v>3</v>
      </c>
    </row>
    <row r="420">
      <c r="A420" s="2">
        <f>IFERROR(__xludf.DUMMYFUNCTION("""COMPUTED_VALUE"""),3.0)</f>
        <v>3</v>
      </c>
    </row>
    <row r="421">
      <c r="A421" s="2">
        <f>IFERROR(__xludf.DUMMYFUNCTION("""COMPUTED_VALUE"""),2.0)</f>
        <v>2</v>
      </c>
    </row>
    <row r="422">
      <c r="A422" s="2">
        <f>IFERROR(__xludf.DUMMYFUNCTION("""COMPUTED_VALUE"""),2.0)</f>
        <v>2</v>
      </c>
    </row>
    <row r="423">
      <c r="A423" s="2">
        <f>IFERROR(__xludf.DUMMYFUNCTION("""COMPUTED_VALUE"""),9.0)</f>
        <v>9</v>
      </c>
    </row>
    <row r="424">
      <c r="A424" s="2">
        <f>IFERROR(__xludf.DUMMYFUNCTION("""COMPUTED_VALUE"""),1.0)</f>
        <v>1</v>
      </c>
    </row>
    <row r="425">
      <c r="A425" s="2">
        <f>IFERROR(__xludf.DUMMYFUNCTION("""COMPUTED_VALUE"""),1.0)</f>
        <v>1</v>
      </c>
    </row>
    <row r="426">
      <c r="A426" s="2">
        <f>IFERROR(__xludf.DUMMYFUNCTION("""COMPUTED_VALUE"""),1.0)</f>
        <v>1</v>
      </c>
    </row>
    <row r="427">
      <c r="A427" s="2">
        <f>IFERROR(__xludf.DUMMYFUNCTION("""COMPUTED_VALUE"""),1.0)</f>
        <v>1</v>
      </c>
    </row>
    <row r="428">
      <c r="A428" s="2">
        <f>IFERROR(__xludf.DUMMYFUNCTION("""COMPUTED_VALUE"""),1.0)</f>
        <v>1</v>
      </c>
    </row>
    <row r="429">
      <c r="A429" s="2">
        <f>IFERROR(__xludf.DUMMYFUNCTION("""COMPUTED_VALUE"""),1.0)</f>
        <v>1</v>
      </c>
    </row>
    <row r="430">
      <c r="A430" s="2">
        <f>IFERROR(__xludf.DUMMYFUNCTION("""COMPUTED_VALUE"""),1.0)</f>
        <v>1</v>
      </c>
    </row>
    <row r="431">
      <c r="A431" s="2">
        <f>IFERROR(__xludf.DUMMYFUNCTION("""COMPUTED_VALUE"""),1.0)</f>
        <v>1</v>
      </c>
    </row>
    <row r="432">
      <c r="A432" s="2">
        <f>IFERROR(__xludf.DUMMYFUNCTION("""COMPUTED_VALUE"""),1.0)</f>
        <v>1</v>
      </c>
    </row>
    <row r="433">
      <c r="A433" s="2">
        <f>IFERROR(__xludf.DUMMYFUNCTION("""COMPUTED_VALUE"""),1.0)</f>
        <v>1</v>
      </c>
    </row>
    <row r="434">
      <c r="A434" s="2">
        <f>IFERROR(__xludf.DUMMYFUNCTION("""COMPUTED_VALUE"""),1.0)</f>
        <v>1</v>
      </c>
    </row>
    <row r="435">
      <c r="A435" s="2">
        <f>IFERROR(__xludf.DUMMYFUNCTION("""COMPUTED_VALUE"""),1.0)</f>
        <v>1</v>
      </c>
    </row>
    <row r="436">
      <c r="A436" s="2">
        <f>IFERROR(__xludf.DUMMYFUNCTION("""COMPUTED_VALUE"""),1.0)</f>
        <v>1</v>
      </c>
    </row>
    <row r="437">
      <c r="A437" s="2">
        <f>IFERROR(__xludf.DUMMYFUNCTION("""COMPUTED_VALUE"""),2.0)</f>
        <v>2</v>
      </c>
    </row>
    <row r="438">
      <c r="A438" s="2">
        <f>IFERROR(__xludf.DUMMYFUNCTION("""COMPUTED_VALUE"""),2.0)</f>
        <v>2</v>
      </c>
    </row>
    <row r="439">
      <c r="A439" s="2">
        <f>IFERROR(__xludf.DUMMYFUNCTION("""COMPUTED_VALUE"""),2.0)</f>
        <v>2</v>
      </c>
    </row>
    <row r="440">
      <c r="A440" s="2">
        <f>IFERROR(__xludf.DUMMYFUNCTION("""COMPUTED_VALUE"""),2.0)</f>
        <v>2</v>
      </c>
    </row>
    <row r="441">
      <c r="A441" s="2">
        <f>IFERROR(__xludf.DUMMYFUNCTION("""COMPUTED_VALUE"""),1.0)</f>
        <v>1</v>
      </c>
    </row>
    <row r="442">
      <c r="A442" s="2">
        <f>IFERROR(__xludf.DUMMYFUNCTION("""COMPUTED_VALUE"""),1.0)</f>
        <v>1</v>
      </c>
    </row>
    <row r="443">
      <c r="A443" s="2">
        <f>IFERROR(__xludf.DUMMYFUNCTION("""COMPUTED_VALUE"""),1.0)</f>
        <v>1</v>
      </c>
    </row>
    <row r="444">
      <c r="A444" s="2">
        <f>IFERROR(__xludf.DUMMYFUNCTION("""COMPUTED_VALUE"""),1.0)</f>
        <v>1</v>
      </c>
    </row>
    <row r="445">
      <c r="A445" s="2">
        <f>IFERROR(__xludf.DUMMYFUNCTION("""COMPUTED_VALUE"""),1.0)</f>
        <v>1</v>
      </c>
    </row>
    <row r="446">
      <c r="A446" s="2">
        <f>IFERROR(__xludf.DUMMYFUNCTION("""COMPUTED_VALUE"""),1.0)</f>
        <v>1</v>
      </c>
    </row>
    <row r="447">
      <c r="A447" s="2">
        <f>IFERROR(__xludf.DUMMYFUNCTION("""COMPUTED_VALUE"""),1.0)</f>
        <v>1</v>
      </c>
    </row>
    <row r="448">
      <c r="A448" s="2">
        <f>IFERROR(__xludf.DUMMYFUNCTION("""COMPUTED_VALUE"""),1.0)</f>
        <v>1</v>
      </c>
    </row>
    <row r="449">
      <c r="A449" s="2">
        <f>IFERROR(__xludf.DUMMYFUNCTION("""COMPUTED_VALUE"""),1.0)</f>
        <v>1</v>
      </c>
    </row>
    <row r="450">
      <c r="A450" s="2">
        <f>IFERROR(__xludf.DUMMYFUNCTION("""COMPUTED_VALUE"""),1.0)</f>
        <v>1</v>
      </c>
    </row>
    <row r="451">
      <c r="A451" s="2">
        <f>IFERROR(__xludf.DUMMYFUNCTION("""COMPUTED_VALUE"""),6.0)</f>
        <v>6</v>
      </c>
    </row>
    <row r="452">
      <c r="A452" s="2">
        <f>IFERROR(__xludf.DUMMYFUNCTION("""COMPUTED_VALUE"""),6.0)</f>
        <v>6</v>
      </c>
    </row>
    <row r="453">
      <c r="A453" s="2">
        <f>IFERROR(__xludf.DUMMYFUNCTION("""COMPUTED_VALUE"""),2.0)</f>
        <v>2</v>
      </c>
    </row>
    <row r="454">
      <c r="A454" s="2">
        <f>IFERROR(__xludf.DUMMYFUNCTION("""COMPUTED_VALUE"""),2.0)</f>
        <v>2</v>
      </c>
    </row>
    <row r="455">
      <c r="A455" s="2">
        <f>IFERROR(__xludf.DUMMYFUNCTION("""COMPUTED_VALUE"""),2.0)</f>
        <v>2</v>
      </c>
    </row>
    <row r="456">
      <c r="A456" s="2">
        <f>IFERROR(__xludf.DUMMYFUNCTION("""COMPUTED_VALUE"""),2.0)</f>
        <v>2</v>
      </c>
    </row>
    <row r="457">
      <c r="A457" s="2">
        <f>IFERROR(__xludf.DUMMYFUNCTION("""COMPUTED_VALUE"""),2.0)</f>
        <v>2</v>
      </c>
    </row>
    <row r="458">
      <c r="A458" s="2">
        <f>IFERROR(__xludf.DUMMYFUNCTION("""COMPUTED_VALUE"""),2.0)</f>
        <v>2</v>
      </c>
    </row>
    <row r="459">
      <c r="A459" s="2">
        <f>IFERROR(__xludf.DUMMYFUNCTION("""COMPUTED_VALUE"""),5.0)</f>
        <v>5</v>
      </c>
    </row>
    <row r="460">
      <c r="A460" s="2">
        <f>IFERROR(__xludf.DUMMYFUNCTION("""COMPUTED_VALUE"""),5.0)</f>
        <v>5</v>
      </c>
    </row>
    <row r="461">
      <c r="A461" s="2">
        <f>IFERROR(__xludf.DUMMYFUNCTION("""COMPUTED_VALUE"""),5.0)</f>
        <v>5</v>
      </c>
    </row>
    <row r="462">
      <c r="A462" s="2">
        <f>IFERROR(__xludf.DUMMYFUNCTION("""COMPUTED_VALUE"""),5.0)</f>
        <v>5</v>
      </c>
    </row>
    <row r="463">
      <c r="A463" s="2">
        <f>IFERROR(__xludf.DUMMYFUNCTION("""COMPUTED_VALUE"""),5.0)</f>
        <v>5</v>
      </c>
    </row>
    <row r="464">
      <c r="A464" s="2">
        <f>IFERROR(__xludf.DUMMYFUNCTION("""COMPUTED_VALUE"""),5.0)</f>
        <v>5</v>
      </c>
    </row>
    <row r="465">
      <c r="A465" s="2">
        <f>IFERROR(__xludf.DUMMYFUNCTION("""COMPUTED_VALUE"""),6.0)</f>
        <v>6</v>
      </c>
    </row>
    <row r="466">
      <c r="A466" s="2">
        <f>IFERROR(__xludf.DUMMYFUNCTION("""COMPUTED_VALUE"""),6.0)</f>
        <v>6</v>
      </c>
    </row>
    <row r="467">
      <c r="A467" s="2">
        <f>IFERROR(__xludf.DUMMYFUNCTION("""COMPUTED_VALUE"""),9.0)</f>
        <v>9</v>
      </c>
    </row>
    <row r="468">
      <c r="A468" s="2">
        <f>IFERROR(__xludf.DUMMYFUNCTION("""COMPUTED_VALUE"""),9.0)</f>
        <v>9</v>
      </c>
    </row>
    <row r="469">
      <c r="A469" s="2">
        <f>IFERROR(__xludf.DUMMYFUNCTION("""COMPUTED_VALUE"""),9.0)</f>
        <v>9</v>
      </c>
    </row>
    <row r="470">
      <c r="A470" s="2">
        <f>IFERROR(__xludf.DUMMYFUNCTION("""COMPUTED_VALUE"""),9.0)</f>
        <v>9</v>
      </c>
    </row>
    <row r="471">
      <c r="A471" s="2">
        <f>IFERROR(__xludf.DUMMYFUNCTION("""COMPUTED_VALUE"""),9.0)</f>
        <v>9</v>
      </c>
    </row>
    <row r="472">
      <c r="A472" s="2">
        <f>IFERROR(__xludf.DUMMYFUNCTION("""COMPUTED_VALUE"""),9.0)</f>
        <v>9</v>
      </c>
    </row>
    <row r="473">
      <c r="A473" s="2">
        <f>IFERROR(__xludf.DUMMYFUNCTION("""COMPUTED_VALUE"""),9.0)</f>
        <v>9</v>
      </c>
    </row>
    <row r="474">
      <c r="A474" s="2">
        <f>IFERROR(__xludf.DUMMYFUNCTION("""COMPUTED_VALUE"""),5.0)</f>
        <v>5</v>
      </c>
    </row>
    <row r="475">
      <c r="A475" s="2">
        <f>IFERROR(__xludf.DUMMYFUNCTION("""COMPUTED_VALUE"""),7.0)</f>
        <v>7</v>
      </c>
    </row>
    <row r="476">
      <c r="A476" s="2">
        <f>IFERROR(__xludf.DUMMYFUNCTION("""COMPUTED_VALUE"""),7.0)</f>
        <v>7</v>
      </c>
    </row>
    <row r="477">
      <c r="A477" s="2">
        <f>IFERROR(__xludf.DUMMYFUNCTION("""COMPUTED_VALUE"""),3.0)</f>
        <v>3</v>
      </c>
    </row>
    <row r="478">
      <c r="A478" s="2">
        <f>IFERROR(__xludf.DUMMYFUNCTION("""COMPUTED_VALUE"""),3.0)</f>
        <v>3</v>
      </c>
    </row>
    <row r="479">
      <c r="A479" s="2">
        <f>IFERROR(__xludf.DUMMYFUNCTION("""COMPUTED_VALUE"""),3.0)</f>
        <v>3</v>
      </c>
    </row>
    <row r="480">
      <c r="A480" s="2">
        <f>IFERROR(__xludf.DUMMYFUNCTION("""COMPUTED_VALUE"""),3.0)</f>
        <v>3</v>
      </c>
    </row>
    <row r="481">
      <c r="A481" s="2">
        <f>IFERROR(__xludf.DUMMYFUNCTION("""COMPUTED_VALUE"""),3.0)</f>
        <v>3</v>
      </c>
    </row>
    <row r="482">
      <c r="A482" s="2">
        <f>IFERROR(__xludf.DUMMYFUNCTION("""COMPUTED_VALUE"""),3.0)</f>
        <v>3</v>
      </c>
    </row>
    <row r="483">
      <c r="A483" s="2">
        <f>IFERROR(__xludf.DUMMYFUNCTION("""COMPUTED_VALUE"""),3.0)</f>
        <v>3</v>
      </c>
    </row>
    <row r="484">
      <c r="A484" s="2">
        <f>IFERROR(__xludf.DUMMYFUNCTION("""COMPUTED_VALUE"""),3.0)</f>
        <v>3</v>
      </c>
    </row>
    <row r="485">
      <c r="A485" s="2">
        <f>IFERROR(__xludf.DUMMYFUNCTION("""COMPUTED_VALUE"""),3.0)</f>
        <v>3</v>
      </c>
    </row>
    <row r="486">
      <c r="A486" s="2">
        <f>IFERROR(__xludf.DUMMYFUNCTION("""COMPUTED_VALUE"""),3.0)</f>
        <v>3</v>
      </c>
    </row>
    <row r="487">
      <c r="A487" s="2">
        <f>IFERROR(__xludf.DUMMYFUNCTION("""COMPUTED_VALUE"""),3.0)</f>
        <v>3</v>
      </c>
    </row>
    <row r="488">
      <c r="A488" s="2">
        <f>IFERROR(__xludf.DUMMYFUNCTION("""COMPUTED_VALUE"""),3.0)</f>
        <v>3</v>
      </c>
    </row>
    <row r="489">
      <c r="A489" s="2">
        <f>IFERROR(__xludf.DUMMYFUNCTION("""COMPUTED_VALUE"""),3.0)</f>
        <v>3</v>
      </c>
    </row>
    <row r="490">
      <c r="A490" s="2">
        <f>IFERROR(__xludf.DUMMYFUNCTION("""COMPUTED_VALUE"""),3.0)</f>
        <v>3</v>
      </c>
    </row>
    <row r="491">
      <c r="A491" s="2">
        <f>IFERROR(__xludf.DUMMYFUNCTION("""COMPUTED_VALUE"""),3.0)</f>
        <v>3</v>
      </c>
    </row>
    <row r="492">
      <c r="A492" s="2">
        <f>IFERROR(__xludf.DUMMYFUNCTION("""COMPUTED_VALUE"""),3.0)</f>
        <v>3</v>
      </c>
    </row>
    <row r="493">
      <c r="A493" s="2">
        <f>IFERROR(__xludf.DUMMYFUNCTION("""COMPUTED_VALUE"""),3.0)</f>
        <v>3</v>
      </c>
    </row>
    <row r="494">
      <c r="A494" s="2">
        <f>IFERROR(__xludf.DUMMYFUNCTION("""COMPUTED_VALUE"""),3.0)</f>
        <v>3</v>
      </c>
    </row>
    <row r="495">
      <c r="A495" s="2">
        <f>IFERROR(__xludf.DUMMYFUNCTION("""COMPUTED_VALUE"""),3.0)</f>
        <v>3</v>
      </c>
    </row>
    <row r="496">
      <c r="A496" s="2">
        <f>IFERROR(__xludf.DUMMYFUNCTION("""COMPUTED_VALUE"""),3.0)</f>
        <v>3</v>
      </c>
    </row>
    <row r="497">
      <c r="A497" s="2">
        <f>IFERROR(__xludf.DUMMYFUNCTION("""COMPUTED_VALUE"""),3.0)</f>
        <v>3</v>
      </c>
    </row>
    <row r="498">
      <c r="A498" s="2">
        <f>IFERROR(__xludf.DUMMYFUNCTION("""COMPUTED_VALUE"""),3.0)</f>
        <v>3</v>
      </c>
    </row>
    <row r="499">
      <c r="A499" s="2">
        <f>IFERROR(__xludf.DUMMYFUNCTION("""COMPUTED_VALUE"""),3.0)</f>
        <v>3</v>
      </c>
    </row>
    <row r="500">
      <c r="A500" s="2">
        <f>IFERROR(__xludf.DUMMYFUNCTION("""COMPUTED_VALUE"""),3.0)</f>
        <v>3</v>
      </c>
    </row>
    <row r="501">
      <c r="A501" s="2">
        <f>IFERROR(__xludf.DUMMYFUNCTION("""COMPUTED_VALUE"""),3.0)</f>
        <v>3</v>
      </c>
    </row>
    <row r="502">
      <c r="A502" s="2">
        <f>IFERROR(__xludf.DUMMYFUNCTION("""COMPUTED_VALUE"""),3.0)</f>
        <v>3</v>
      </c>
    </row>
    <row r="503">
      <c r="A503" s="2">
        <f>IFERROR(__xludf.DUMMYFUNCTION("""COMPUTED_VALUE"""),3.0)</f>
        <v>3</v>
      </c>
    </row>
    <row r="504">
      <c r="A504" s="2">
        <f>IFERROR(__xludf.DUMMYFUNCTION("""COMPUTED_VALUE"""),3.0)</f>
        <v>3</v>
      </c>
    </row>
    <row r="505">
      <c r="A505" s="2">
        <f>IFERROR(__xludf.DUMMYFUNCTION("""COMPUTED_VALUE"""),3.0)</f>
        <v>3</v>
      </c>
    </row>
    <row r="506">
      <c r="A506" s="2">
        <f>IFERROR(__xludf.DUMMYFUNCTION("""COMPUTED_VALUE"""),3.0)</f>
        <v>3</v>
      </c>
    </row>
    <row r="507">
      <c r="A507" s="2">
        <f>IFERROR(__xludf.DUMMYFUNCTION("""COMPUTED_VALUE"""),3.0)</f>
        <v>3</v>
      </c>
    </row>
    <row r="508">
      <c r="A508" s="2">
        <f>IFERROR(__xludf.DUMMYFUNCTION("""COMPUTED_VALUE"""),3.0)</f>
        <v>3</v>
      </c>
    </row>
    <row r="509">
      <c r="A509" s="2">
        <f>IFERROR(__xludf.DUMMYFUNCTION("""COMPUTED_VALUE"""),3.0)</f>
        <v>3</v>
      </c>
    </row>
    <row r="510">
      <c r="A510" s="2">
        <f>IFERROR(__xludf.DUMMYFUNCTION("""COMPUTED_VALUE"""),3.0)</f>
        <v>3</v>
      </c>
    </row>
    <row r="511">
      <c r="A511" s="2">
        <f>IFERROR(__xludf.DUMMYFUNCTION("""COMPUTED_VALUE"""),6.0)</f>
        <v>6</v>
      </c>
    </row>
    <row r="512">
      <c r="A512" s="2">
        <f>IFERROR(__xludf.DUMMYFUNCTION("""COMPUTED_VALUE"""),6.0)</f>
        <v>6</v>
      </c>
    </row>
    <row r="513">
      <c r="A513" s="2">
        <f>IFERROR(__xludf.DUMMYFUNCTION("""COMPUTED_VALUE"""),6.0)</f>
        <v>6</v>
      </c>
    </row>
    <row r="514">
      <c r="A514" s="2">
        <f>IFERROR(__xludf.DUMMYFUNCTION("""COMPUTED_VALUE"""),6.0)</f>
        <v>6</v>
      </c>
    </row>
    <row r="515">
      <c r="A515" s="2">
        <f>IFERROR(__xludf.DUMMYFUNCTION("""COMPUTED_VALUE"""),6.0)</f>
        <v>6</v>
      </c>
    </row>
    <row r="516">
      <c r="A516" s="2">
        <f>IFERROR(__xludf.DUMMYFUNCTION("""COMPUTED_VALUE"""),6.0)</f>
        <v>6</v>
      </c>
    </row>
    <row r="517">
      <c r="A517" s="2">
        <f>IFERROR(__xludf.DUMMYFUNCTION("""COMPUTED_VALUE"""),6.0)</f>
        <v>6</v>
      </c>
    </row>
    <row r="518">
      <c r="A518" s="2">
        <f>IFERROR(__xludf.DUMMYFUNCTION("""COMPUTED_VALUE"""),6.0)</f>
        <v>6</v>
      </c>
    </row>
    <row r="519">
      <c r="A519" s="2">
        <f>IFERROR(__xludf.DUMMYFUNCTION("""COMPUTED_VALUE"""),6.0)</f>
        <v>6</v>
      </c>
    </row>
    <row r="520">
      <c r="A520" s="2">
        <f>IFERROR(__xludf.DUMMYFUNCTION("""COMPUTED_VALUE"""),6.0)</f>
        <v>6</v>
      </c>
    </row>
    <row r="521">
      <c r="A521" s="2">
        <f>IFERROR(__xludf.DUMMYFUNCTION("""COMPUTED_VALUE"""),6.0)</f>
        <v>6</v>
      </c>
    </row>
    <row r="522">
      <c r="A522" s="2">
        <f>IFERROR(__xludf.DUMMYFUNCTION("""COMPUTED_VALUE"""),6.0)</f>
        <v>6</v>
      </c>
    </row>
    <row r="523">
      <c r="A523" s="2">
        <f>IFERROR(__xludf.DUMMYFUNCTION("""COMPUTED_VALUE"""),6.0)</f>
        <v>6</v>
      </c>
    </row>
    <row r="524">
      <c r="A524" s="2">
        <f>IFERROR(__xludf.DUMMYFUNCTION("""COMPUTED_VALUE"""),6.0)</f>
        <v>6</v>
      </c>
    </row>
    <row r="525">
      <c r="A525" s="2">
        <f>IFERROR(__xludf.DUMMYFUNCTION("""COMPUTED_VALUE"""),6.0)</f>
        <v>6</v>
      </c>
    </row>
    <row r="526">
      <c r="A526" s="2">
        <f>IFERROR(__xludf.DUMMYFUNCTION("""COMPUTED_VALUE"""),6.0)</f>
        <v>6</v>
      </c>
    </row>
    <row r="527">
      <c r="A527" s="2">
        <f>IFERROR(__xludf.DUMMYFUNCTION("""COMPUTED_VALUE"""),6.0)</f>
        <v>6</v>
      </c>
    </row>
    <row r="528">
      <c r="A528" s="2">
        <f>IFERROR(__xludf.DUMMYFUNCTION("""COMPUTED_VALUE"""),6.0)</f>
        <v>6</v>
      </c>
    </row>
    <row r="529">
      <c r="A529" s="2">
        <f>IFERROR(__xludf.DUMMYFUNCTION("""COMPUTED_VALUE"""),6.0)</f>
        <v>6</v>
      </c>
    </row>
    <row r="530">
      <c r="A530" s="2">
        <f>IFERROR(__xludf.DUMMYFUNCTION("""COMPUTED_VALUE"""),6.0)</f>
        <v>6</v>
      </c>
    </row>
    <row r="531">
      <c r="A531" s="2">
        <f>IFERROR(__xludf.DUMMYFUNCTION("""COMPUTED_VALUE"""),6.0)</f>
        <v>6</v>
      </c>
    </row>
    <row r="532">
      <c r="A532" s="2">
        <f>IFERROR(__xludf.DUMMYFUNCTION("""COMPUTED_VALUE"""),6.0)</f>
        <v>6</v>
      </c>
    </row>
    <row r="533">
      <c r="A533" s="2">
        <f>IFERROR(__xludf.DUMMYFUNCTION("""COMPUTED_VALUE"""),6.0)</f>
        <v>6</v>
      </c>
    </row>
    <row r="534">
      <c r="A534" s="2">
        <f>IFERROR(__xludf.DUMMYFUNCTION("""COMPUTED_VALUE"""),6.0)</f>
        <v>6</v>
      </c>
    </row>
    <row r="535">
      <c r="A535" s="2">
        <f>IFERROR(__xludf.DUMMYFUNCTION("""COMPUTED_VALUE"""),6.0)</f>
        <v>6</v>
      </c>
    </row>
    <row r="536">
      <c r="A536" s="2">
        <f>IFERROR(__xludf.DUMMYFUNCTION("""COMPUTED_VALUE"""),6.0)</f>
        <v>6</v>
      </c>
    </row>
    <row r="537">
      <c r="A537" s="2">
        <f>IFERROR(__xludf.DUMMYFUNCTION("""COMPUTED_VALUE"""),6.0)</f>
        <v>6</v>
      </c>
    </row>
    <row r="538">
      <c r="A538" s="2">
        <f>IFERROR(__xludf.DUMMYFUNCTION("""COMPUTED_VALUE"""),6.0)</f>
        <v>6</v>
      </c>
    </row>
    <row r="539">
      <c r="A539" s="2">
        <f>IFERROR(__xludf.DUMMYFUNCTION("""COMPUTED_VALUE"""),6.0)</f>
        <v>6</v>
      </c>
    </row>
    <row r="540">
      <c r="A540" s="2">
        <f>IFERROR(__xludf.DUMMYFUNCTION("""COMPUTED_VALUE"""),6.0)</f>
        <v>6</v>
      </c>
    </row>
    <row r="541">
      <c r="A541" s="2">
        <f>IFERROR(__xludf.DUMMYFUNCTION("""COMPUTED_VALUE"""),6.0)</f>
        <v>6</v>
      </c>
    </row>
    <row r="542">
      <c r="A542" s="2">
        <f>IFERROR(__xludf.DUMMYFUNCTION("""COMPUTED_VALUE"""),6.0)</f>
        <v>6</v>
      </c>
    </row>
    <row r="543">
      <c r="A543" s="2">
        <f>IFERROR(__xludf.DUMMYFUNCTION("""COMPUTED_VALUE"""),6.0)</f>
        <v>6</v>
      </c>
    </row>
    <row r="544">
      <c r="A544" s="2">
        <f>IFERROR(__xludf.DUMMYFUNCTION("""COMPUTED_VALUE"""),6.0)</f>
        <v>6</v>
      </c>
    </row>
    <row r="545">
      <c r="A545" s="2">
        <f>IFERROR(__xludf.DUMMYFUNCTION("""COMPUTED_VALUE"""),3.0)</f>
        <v>3</v>
      </c>
    </row>
    <row r="546">
      <c r="A546" s="2">
        <f>IFERROR(__xludf.DUMMYFUNCTION("""COMPUTED_VALUE"""),3.0)</f>
        <v>3</v>
      </c>
    </row>
    <row r="547">
      <c r="A547" s="2">
        <f>IFERROR(__xludf.DUMMYFUNCTION("""COMPUTED_VALUE"""),6.0)</f>
        <v>6</v>
      </c>
    </row>
    <row r="548">
      <c r="A548" s="2">
        <f>IFERROR(__xludf.DUMMYFUNCTION("""COMPUTED_VALUE"""),2.0)</f>
        <v>2</v>
      </c>
    </row>
    <row r="549">
      <c r="A549" s="2">
        <f>IFERROR(__xludf.DUMMYFUNCTION("""COMPUTED_VALUE"""),2.0)</f>
        <v>2</v>
      </c>
    </row>
    <row r="550">
      <c r="A550" s="2">
        <f>IFERROR(__xludf.DUMMYFUNCTION("""COMPUTED_VALUE"""),2.0)</f>
        <v>2</v>
      </c>
    </row>
    <row r="551">
      <c r="A551" s="2">
        <f>IFERROR(__xludf.DUMMYFUNCTION("""COMPUTED_VALUE"""),2.0)</f>
        <v>2</v>
      </c>
    </row>
    <row r="552">
      <c r="A552" s="2">
        <f>IFERROR(__xludf.DUMMYFUNCTION("""COMPUTED_VALUE"""),2.0)</f>
        <v>2</v>
      </c>
    </row>
    <row r="553">
      <c r="A553" s="2">
        <f>IFERROR(__xludf.DUMMYFUNCTION("""COMPUTED_VALUE"""),2.0)</f>
        <v>2</v>
      </c>
    </row>
    <row r="554">
      <c r="A554" s="2">
        <f>IFERROR(__xludf.DUMMYFUNCTION("""COMPUTED_VALUE"""),2.0)</f>
        <v>2</v>
      </c>
    </row>
    <row r="555">
      <c r="A555" s="2">
        <f>IFERROR(__xludf.DUMMYFUNCTION("""COMPUTED_VALUE"""),2.0)</f>
        <v>2</v>
      </c>
    </row>
    <row r="556">
      <c r="A556" s="2">
        <f>IFERROR(__xludf.DUMMYFUNCTION("""COMPUTED_VALUE"""),2.0)</f>
        <v>2</v>
      </c>
    </row>
    <row r="557">
      <c r="A557" s="2">
        <f>IFERROR(__xludf.DUMMYFUNCTION("""COMPUTED_VALUE"""),2.0)</f>
        <v>2</v>
      </c>
    </row>
    <row r="558">
      <c r="A558" s="2">
        <f>IFERROR(__xludf.DUMMYFUNCTION("""COMPUTED_VALUE"""),2.0)</f>
        <v>2</v>
      </c>
    </row>
    <row r="559">
      <c r="A559" s="2">
        <f>IFERROR(__xludf.DUMMYFUNCTION("""COMPUTED_VALUE"""),2.0)</f>
        <v>2</v>
      </c>
    </row>
    <row r="560">
      <c r="A560" s="2">
        <f>IFERROR(__xludf.DUMMYFUNCTION("""COMPUTED_VALUE"""),2.0)</f>
        <v>2</v>
      </c>
    </row>
    <row r="561">
      <c r="A561" s="2">
        <f>IFERROR(__xludf.DUMMYFUNCTION("""COMPUTED_VALUE"""),2.0)</f>
        <v>2</v>
      </c>
    </row>
    <row r="562">
      <c r="A562" s="2">
        <f>IFERROR(__xludf.DUMMYFUNCTION("""COMPUTED_VALUE"""),2.0)</f>
        <v>2</v>
      </c>
    </row>
    <row r="563">
      <c r="A563" s="2">
        <f>IFERROR(__xludf.DUMMYFUNCTION("""COMPUTED_VALUE"""),2.0)</f>
        <v>2</v>
      </c>
    </row>
    <row r="564">
      <c r="A564" s="2">
        <f>IFERROR(__xludf.DUMMYFUNCTION("""COMPUTED_VALUE"""),2.0)</f>
        <v>2</v>
      </c>
    </row>
    <row r="565">
      <c r="A565" s="2">
        <f>IFERROR(__xludf.DUMMYFUNCTION("""COMPUTED_VALUE"""),3.0)</f>
        <v>3</v>
      </c>
    </row>
    <row r="566">
      <c r="A566" s="2">
        <f>IFERROR(__xludf.DUMMYFUNCTION("""COMPUTED_VALUE"""),3.0)</f>
        <v>3</v>
      </c>
    </row>
    <row r="567">
      <c r="A567" s="2">
        <f>IFERROR(__xludf.DUMMYFUNCTION("""COMPUTED_VALUE"""),9.0)</f>
        <v>9</v>
      </c>
    </row>
    <row r="568">
      <c r="A568" s="2">
        <f>IFERROR(__xludf.DUMMYFUNCTION("""COMPUTED_VALUE"""),9.0)</f>
        <v>9</v>
      </c>
    </row>
    <row r="569">
      <c r="A569" s="2">
        <f>IFERROR(__xludf.DUMMYFUNCTION("""COMPUTED_VALUE"""),9.0)</f>
        <v>9</v>
      </c>
    </row>
    <row r="570">
      <c r="A570" s="2">
        <f>IFERROR(__xludf.DUMMYFUNCTION("""COMPUTED_VALUE"""),9.0)</f>
        <v>9</v>
      </c>
    </row>
    <row r="571">
      <c r="A571" s="2">
        <f>IFERROR(__xludf.DUMMYFUNCTION("""COMPUTED_VALUE"""),9.0)</f>
        <v>9</v>
      </c>
    </row>
    <row r="572">
      <c r="A572" s="2">
        <f>IFERROR(__xludf.DUMMYFUNCTION("""COMPUTED_VALUE"""),9.0)</f>
        <v>9</v>
      </c>
    </row>
    <row r="573">
      <c r="A573" s="2">
        <f>IFERROR(__xludf.DUMMYFUNCTION("""COMPUTED_VALUE"""),9.0)</f>
        <v>9</v>
      </c>
    </row>
    <row r="574">
      <c r="A574" s="2">
        <f>IFERROR(__xludf.DUMMYFUNCTION("""COMPUTED_VALUE"""),9.0)</f>
        <v>9</v>
      </c>
    </row>
    <row r="575">
      <c r="A575" s="2">
        <f>IFERROR(__xludf.DUMMYFUNCTION("""COMPUTED_VALUE"""),5.0)</f>
        <v>5</v>
      </c>
    </row>
    <row r="576">
      <c r="A576" s="2">
        <f>IFERROR(__xludf.DUMMYFUNCTION("""COMPUTED_VALUE"""),5.0)</f>
        <v>5</v>
      </c>
    </row>
    <row r="577">
      <c r="A577" s="2">
        <f>IFERROR(__xludf.DUMMYFUNCTION("""COMPUTED_VALUE"""),5.0)</f>
        <v>5</v>
      </c>
    </row>
    <row r="578">
      <c r="A578" s="2">
        <f>IFERROR(__xludf.DUMMYFUNCTION("""COMPUTED_VALUE"""),5.0)</f>
        <v>5</v>
      </c>
    </row>
    <row r="579">
      <c r="A579" s="2">
        <f>IFERROR(__xludf.DUMMYFUNCTION("""COMPUTED_VALUE"""),5.0)</f>
        <v>5</v>
      </c>
    </row>
    <row r="580">
      <c r="A580" s="2">
        <f>IFERROR(__xludf.DUMMYFUNCTION("""COMPUTED_VALUE"""),5.0)</f>
        <v>5</v>
      </c>
    </row>
    <row r="581">
      <c r="A581" s="2">
        <f>IFERROR(__xludf.DUMMYFUNCTION("""COMPUTED_VALUE"""),5.0)</f>
        <v>5</v>
      </c>
    </row>
    <row r="582">
      <c r="A582" s="2">
        <f>IFERROR(__xludf.DUMMYFUNCTION("""COMPUTED_VALUE"""),4.0)</f>
        <v>4</v>
      </c>
    </row>
    <row r="583">
      <c r="A583" s="2">
        <f>IFERROR(__xludf.DUMMYFUNCTION("""COMPUTED_VALUE"""),4.0)</f>
        <v>4</v>
      </c>
    </row>
    <row r="584">
      <c r="A584" s="2">
        <f>IFERROR(__xludf.DUMMYFUNCTION("""COMPUTED_VALUE"""),4.0)</f>
        <v>4</v>
      </c>
    </row>
    <row r="585">
      <c r="A585" s="2">
        <f>IFERROR(__xludf.DUMMYFUNCTION("""COMPUTED_VALUE"""),4.0)</f>
        <v>4</v>
      </c>
    </row>
    <row r="586">
      <c r="A586" s="2">
        <f>IFERROR(__xludf.DUMMYFUNCTION("""COMPUTED_VALUE"""),4.0)</f>
        <v>4</v>
      </c>
    </row>
    <row r="587">
      <c r="A587" s="2">
        <f>IFERROR(__xludf.DUMMYFUNCTION("""COMPUTED_VALUE"""),1.0)</f>
        <v>1</v>
      </c>
    </row>
    <row r="588">
      <c r="A588" s="2">
        <f>IFERROR(__xludf.DUMMYFUNCTION("""COMPUTED_VALUE"""),1.0)</f>
        <v>1</v>
      </c>
    </row>
    <row r="589">
      <c r="A589" s="2">
        <f>IFERROR(__xludf.DUMMYFUNCTION("""COMPUTED_VALUE"""),1.0)</f>
        <v>1</v>
      </c>
    </row>
    <row r="590">
      <c r="A590" s="2">
        <f>IFERROR(__xludf.DUMMYFUNCTION("""COMPUTED_VALUE"""),1.0)</f>
        <v>1</v>
      </c>
    </row>
    <row r="591">
      <c r="A591" s="2">
        <f>IFERROR(__xludf.DUMMYFUNCTION("""COMPUTED_VALUE"""),1.0)</f>
        <v>1</v>
      </c>
    </row>
    <row r="592">
      <c r="A592" s="2">
        <f>IFERROR(__xludf.DUMMYFUNCTION("""COMPUTED_VALUE"""),6.0)</f>
        <v>6</v>
      </c>
    </row>
    <row r="593">
      <c r="A593" s="2">
        <f>IFERROR(__xludf.DUMMYFUNCTION("""COMPUTED_VALUE"""),6.0)</f>
        <v>6</v>
      </c>
    </row>
    <row r="594">
      <c r="A594" s="2">
        <f>IFERROR(__xludf.DUMMYFUNCTION("""COMPUTED_VALUE"""),6.0)</f>
        <v>6</v>
      </c>
    </row>
    <row r="595">
      <c r="A595" s="2">
        <f>IFERROR(__xludf.DUMMYFUNCTION("""COMPUTED_VALUE"""),6.0)</f>
        <v>6</v>
      </c>
    </row>
    <row r="596">
      <c r="A596" s="2">
        <f>IFERROR(__xludf.DUMMYFUNCTION("""COMPUTED_VALUE"""),6.0)</f>
        <v>6</v>
      </c>
    </row>
    <row r="597">
      <c r="A597" s="2">
        <f>IFERROR(__xludf.DUMMYFUNCTION("""COMPUTED_VALUE"""),6.0)</f>
        <v>6</v>
      </c>
    </row>
    <row r="598">
      <c r="A598" s="2">
        <f>IFERROR(__xludf.DUMMYFUNCTION("""COMPUTED_VALUE"""),8.0)</f>
        <v>8</v>
      </c>
    </row>
    <row r="599">
      <c r="A599" s="2">
        <f>IFERROR(__xludf.DUMMYFUNCTION("""COMPUTED_VALUE"""),8.0)</f>
        <v>8</v>
      </c>
    </row>
    <row r="600">
      <c r="A600" s="2">
        <f>IFERROR(__xludf.DUMMYFUNCTION("""COMPUTED_VALUE"""),8.0)</f>
        <v>8</v>
      </c>
    </row>
    <row r="601">
      <c r="A601" s="2">
        <f>IFERROR(__xludf.DUMMYFUNCTION("""COMPUTED_VALUE"""),8.0)</f>
        <v>8</v>
      </c>
    </row>
    <row r="602">
      <c r="A602" s="2">
        <f>IFERROR(__xludf.DUMMYFUNCTION("""COMPUTED_VALUE"""),8.0)</f>
        <v>8</v>
      </c>
    </row>
    <row r="603">
      <c r="A603" s="2">
        <f>IFERROR(__xludf.DUMMYFUNCTION("""COMPUTED_VALUE"""),8.0)</f>
        <v>8</v>
      </c>
    </row>
    <row r="604">
      <c r="A604" s="2">
        <f>IFERROR(__xludf.DUMMYFUNCTION("""COMPUTED_VALUE"""),8.0)</f>
        <v>8</v>
      </c>
    </row>
    <row r="605">
      <c r="A605" s="2">
        <f>IFERROR(__xludf.DUMMYFUNCTION("""COMPUTED_VALUE"""),8.0)</f>
        <v>8</v>
      </c>
    </row>
    <row r="606">
      <c r="A606" s="2">
        <f>IFERROR(__xludf.DUMMYFUNCTION("""COMPUTED_VALUE"""),8.0)</f>
        <v>8</v>
      </c>
    </row>
    <row r="607">
      <c r="A607" s="2">
        <f>IFERROR(__xludf.DUMMYFUNCTION("""COMPUTED_VALUE"""),8.0)</f>
        <v>8</v>
      </c>
    </row>
    <row r="608">
      <c r="A608" s="2">
        <f>IFERROR(__xludf.DUMMYFUNCTION("""COMPUTED_VALUE"""),8.0)</f>
        <v>8</v>
      </c>
    </row>
    <row r="609">
      <c r="A609" s="2">
        <f>IFERROR(__xludf.DUMMYFUNCTION("""COMPUTED_VALUE"""),8.0)</f>
        <v>8</v>
      </c>
    </row>
    <row r="610">
      <c r="A610" s="2">
        <f>IFERROR(__xludf.DUMMYFUNCTION("""COMPUTED_VALUE"""),8.0)</f>
        <v>8</v>
      </c>
    </row>
    <row r="611">
      <c r="A611" s="2">
        <f>IFERROR(__xludf.DUMMYFUNCTION("""COMPUTED_VALUE"""),8.0)</f>
        <v>8</v>
      </c>
    </row>
    <row r="612">
      <c r="A612" s="2">
        <f>IFERROR(__xludf.DUMMYFUNCTION("""COMPUTED_VALUE"""),8.0)</f>
        <v>8</v>
      </c>
    </row>
    <row r="613">
      <c r="A613" s="2">
        <f>IFERROR(__xludf.DUMMYFUNCTION("""COMPUTED_VALUE"""),8.0)</f>
        <v>8</v>
      </c>
    </row>
    <row r="614">
      <c r="A614" s="2">
        <f>IFERROR(__xludf.DUMMYFUNCTION("""COMPUTED_VALUE"""),8.0)</f>
        <v>8</v>
      </c>
    </row>
    <row r="615">
      <c r="A615" s="2">
        <f>IFERROR(__xludf.DUMMYFUNCTION("""COMPUTED_VALUE"""),8.0)</f>
        <v>8</v>
      </c>
    </row>
    <row r="616">
      <c r="A616" s="2">
        <f>IFERROR(__xludf.DUMMYFUNCTION("""COMPUTED_VALUE"""),8.0)</f>
        <v>8</v>
      </c>
    </row>
    <row r="617">
      <c r="A617" s="2">
        <f>IFERROR(__xludf.DUMMYFUNCTION("""COMPUTED_VALUE"""),4.0)</f>
        <v>4</v>
      </c>
    </row>
    <row r="618">
      <c r="A618" s="2">
        <f>IFERROR(__xludf.DUMMYFUNCTION("""COMPUTED_VALUE"""),4.0)</f>
        <v>4</v>
      </c>
    </row>
    <row r="619">
      <c r="A619" s="2">
        <f>IFERROR(__xludf.DUMMYFUNCTION("""COMPUTED_VALUE"""),6.0)</f>
        <v>6</v>
      </c>
    </row>
    <row r="620">
      <c r="A620" s="2">
        <f>IFERROR(__xludf.DUMMYFUNCTION("""COMPUTED_VALUE"""),6.0)</f>
        <v>6</v>
      </c>
    </row>
    <row r="621">
      <c r="A621" s="2">
        <f>IFERROR(__xludf.DUMMYFUNCTION("""COMPUTED_VALUE"""),6.0)</f>
        <v>6</v>
      </c>
    </row>
    <row r="622">
      <c r="A622" s="2">
        <f>IFERROR(__xludf.DUMMYFUNCTION("""COMPUTED_VALUE"""),6.0)</f>
        <v>6</v>
      </c>
    </row>
    <row r="623">
      <c r="A623" s="2">
        <f>IFERROR(__xludf.DUMMYFUNCTION("""COMPUTED_VALUE"""),6.0)</f>
        <v>6</v>
      </c>
    </row>
    <row r="624">
      <c r="A624" s="2">
        <f>IFERROR(__xludf.DUMMYFUNCTION("""COMPUTED_VALUE"""),6.0)</f>
        <v>6</v>
      </c>
    </row>
    <row r="625">
      <c r="A625" s="2">
        <f>IFERROR(__xludf.DUMMYFUNCTION("""COMPUTED_VALUE"""),6.0)</f>
        <v>6</v>
      </c>
    </row>
    <row r="626">
      <c r="A626" s="2">
        <f>IFERROR(__xludf.DUMMYFUNCTION("""COMPUTED_VALUE"""),6.0)</f>
        <v>6</v>
      </c>
    </row>
    <row r="627">
      <c r="A627" s="2">
        <f>IFERROR(__xludf.DUMMYFUNCTION("""COMPUTED_VALUE"""),6.0)</f>
        <v>6</v>
      </c>
    </row>
    <row r="628">
      <c r="A628" s="2">
        <f>IFERROR(__xludf.DUMMYFUNCTION("""COMPUTED_VALUE"""),6.0)</f>
        <v>6</v>
      </c>
    </row>
    <row r="629">
      <c r="A629" s="2">
        <f>IFERROR(__xludf.DUMMYFUNCTION("""COMPUTED_VALUE"""),6.0)</f>
        <v>6</v>
      </c>
    </row>
    <row r="630">
      <c r="A630" s="2">
        <f>IFERROR(__xludf.DUMMYFUNCTION("""COMPUTED_VALUE"""),6.0)</f>
        <v>6</v>
      </c>
    </row>
    <row r="631">
      <c r="A631" s="2">
        <f>IFERROR(__xludf.DUMMYFUNCTION("""COMPUTED_VALUE"""),6.0)</f>
        <v>6</v>
      </c>
    </row>
    <row r="632">
      <c r="A632" s="2">
        <f>IFERROR(__xludf.DUMMYFUNCTION("""COMPUTED_VALUE"""),6.0)</f>
        <v>6</v>
      </c>
    </row>
    <row r="633">
      <c r="A633" s="2">
        <f>IFERROR(__xludf.DUMMYFUNCTION("""COMPUTED_VALUE"""),6.0)</f>
        <v>6</v>
      </c>
    </row>
    <row r="634">
      <c r="A634" s="2">
        <f>IFERROR(__xludf.DUMMYFUNCTION("""COMPUTED_VALUE"""),6.0)</f>
        <v>6</v>
      </c>
    </row>
    <row r="635">
      <c r="A635" s="2">
        <f>IFERROR(__xludf.DUMMYFUNCTION("""COMPUTED_VALUE"""),6.0)</f>
        <v>6</v>
      </c>
    </row>
    <row r="636">
      <c r="A636" s="2">
        <f>IFERROR(__xludf.DUMMYFUNCTION("""COMPUTED_VALUE"""),9.0)</f>
        <v>9</v>
      </c>
    </row>
    <row r="637">
      <c r="A637" s="2">
        <f>IFERROR(__xludf.DUMMYFUNCTION("""COMPUTED_VALUE"""),9.0)</f>
        <v>9</v>
      </c>
    </row>
    <row r="638">
      <c r="A638" s="2">
        <f>IFERROR(__xludf.DUMMYFUNCTION("""COMPUTED_VALUE"""),9.0)</f>
        <v>9</v>
      </c>
    </row>
    <row r="639">
      <c r="A639" s="2">
        <f>IFERROR(__xludf.DUMMYFUNCTION("""COMPUTED_VALUE"""),9.0)</f>
        <v>9</v>
      </c>
    </row>
    <row r="640">
      <c r="A640" s="2">
        <f>IFERROR(__xludf.DUMMYFUNCTION("""COMPUTED_VALUE"""),9.0)</f>
        <v>9</v>
      </c>
    </row>
    <row r="641">
      <c r="A641" s="2">
        <f>IFERROR(__xludf.DUMMYFUNCTION("""COMPUTED_VALUE"""),9.0)</f>
        <v>9</v>
      </c>
    </row>
    <row r="642">
      <c r="A642" s="2">
        <f>IFERROR(__xludf.DUMMYFUNCTION("""COMPUTED_VALUE"""),9.0)</f>
        <v>9</v>
      </c>
    </row>
    <row r="643">
      <c r="A643" s="2">
        <f>IFERROR(__xludf.DUMMYFUNCTION("""COMPUTED_VALUE"""),9.0)</f>
        <v>9</v>
      </c>
    </row>
    <row r="644">
      <c r="A644" s="2">
        <f>IFERROR(__xludf.DUMMYFUNCTION("""COMPUTED_VALUE"""),9.0)</f>
        <v>9</v>
      </c>
    </row>
    <row r="645">
      <c r="A645" s="2">
        <f>IFERROR(__xludf.DUMMYFUNCTION("""COMPUTED_VALUE"""),9.0)</f>
        <v>9</v>
      </c>
    </row>
    <row r="646">
      <c r="A646" s="2">
        <f>IFERROR(__xludf.DUMMYFUNCTION("""COMPUTED_VALUE"""),9.0)</f>
        <v>9</v>
      </c>
    </row>
    <row r="647">
      <c r="A647" s="2">
        <f>IFERROR(__xludf.DUMMYFUNCTION("""COMPUTED_VALUE"""),9.0)</f>
        <v>9</v>
      </c>
    </row>
    <row r="648">
      <c r="A648" s="2">
        <f>IFERROR(__xludf.DUMMYFUNCTION("""COMPUTED_VALUE"""),9.0)</f>
        <v>9</v>
      </c>
    </row>
    <row r="649">
      <c r="A649" s="2">
        <f>IFERROR(__xludf.DUMMYFUNCTION("""COMPUTED_VALUE"""),9.0)</f>
        <v>9</v>
      </c>
    </row>
    <row r="650">
      <c r="A650" s="2">
        <f>IFERROR(__xludf.DUMMYFUNCTION("""COMPUTED_VALUE"""),9.0)</f>
        <v>9</v>
      </c>
    </row>
    <row r="651">
      <c r="A651" s="2">
        <f>IFERROR(__xludf.DUMMYFUNCTION("""COMPUTED_VALUE"""),9.0)</f>
        <v>9</v>
      </c>
    </row>
    <row r="652">
      <c r="A652" s="2">
        <f>IFERROR(__xludf.DUMMYFUNCTION("""COMPUTED_VALUE"""),9.0)</f>
        <v>9</v>
      </c>
    </row>
    <row r="653">
      <c r="A653" s="2">
        <f>IFERROR(__xludf.DUMMYFUNCTION("""COMPUTED_VALUE"""),9.0)</f>
        <v>9</v>
      </c>
    </row>
    <row r="654">
      <c r="A654" s="2">
        <f>IFERROR(__xludf.DUMMYFUNCTION("""COMPUTED_VALUE"""),9.0)</f>
        <v>9</v>
      </c>
    </row>
    <row r="655">
      <c r="A655" s="2">
        <f>IFERROR(__xludf.DUMMYFUNCTION("""COMPUTED_VALUE"""),9.0)</f>
        <v>9</v>
      </c>
    </row>
    <row r="656">
      <c r="A656" s="2">
        <f>IFERROR(__xludf.DUMMYFUNCTION("""COMPUTED_VALUE"""),9.0)</f>
        <v>9</v>
      </c>
    </row>
    <row r="657">
      <c r="A657" s="2">
        <f>IFERROR(__xludf.DUMMYFUNCTION("""COMPUTED_VALUE"""),9.0)</f>
        <v>9</v>
      </c>
    </row>
    <row r="658">
      <c r="A658" s="2">
        <f>IFERROR(__xludf.DUMMYFUNCTION("""COMPUTED_VALUE"""),5.0)</f>
        <v>5</v>
      </c>
    </row>
    <row r="659">
      <c r="A659" s="2">
        <f>IFERROR(__xludf.DUMMYFUNCTION("""COMPUTED_VALUE"""),2.0)</f>
        <v>2</v>
      </c>
    </row>
    <row r="660">
      <c r="A660" s="2">
        <f>IFERROR(__xludf.DUMMYFUNCTION("""COMPUTED_VALUE"""),2.0)</f>
        <v>2</v>
      </c>
    </row>
    <row r="661">
      <c r="A661" s="2">
        <f>IFERROR(__xludf.DUMMYFUNCTION("""COMPUTED_VALUE"""),2.0)</f>
        <v>2</v>
      </c>
    </row>
    <row r="662">
      <c r="A662" s="2">
        <f>IFERROR(__xludf.DUMMYFUNCTION("""COMPUTED_VALUE"""),2.0)</f>
        <v>2</v>
      </c>
    </row>
    <row r="663">
      <c r="A663" s="2">
        <f>IFERROR(__xludf.DUMMYFUNCTION("""COMPUTED_VALUE"""),2.0)</f>
        <v>2</v>
      </c>
    </row>
    <row r="664">
      <c r="A664" s="2">
        <f>IFERROR(__xludf.DUMMYFUNCTION("""COMPUTED_VALUE"""),2.0)</f>
        <v>2</v>
      </c>
    </row>
    <row r="665">
      <c r="A665" s="2">
        <f>IFERROR(__xludf.DUMMYFUNCTION("""COMPUTED_VALUE"""),2.0)</f>
        <v>2</v>
      </c>
    </row>
    <row r="666">
      <c r="A666" s="2">
        <f>IFERROR(__xludf.DUMMYFUNCTION("""COMPUTED_VALUE"""),2.0)</f>
        <v>2</v>
      </c>
    </row>
    <row r="667">
      <c r="A667" s="2">
        <f>IFERROR(__xludf.DUMMYFUNCTION("""COMPUTED_VALUE"""),2.0)</f>
        <v>2</v>
      </c>
    </row>
    <row r="668">
      <c r="A668" s="2">
        <f>IFERROR(__xludf.DUMMYFUNCTION("""COMPUTED_VALUE"""),2.0)</f>
        <v>2</v>
      </c>
    </row>
    <row r="669">
      <c r="A669" s="2">
        <f>IFERROR(__xludf.DUMMYFUNCTION("""COMPUTED_VALUE"""),2.0)</f>
        <v>2</v>
      </c>
    </row>
    <row r="670">
      <c r="A670" s="2">
        <f>IFERROR(__xludf.DUMMYFUNCTION("""COMPUTED_VALUE"""),2.0)</f>
        <v>2</v>
      </c>
    </row>
    <row r="671">
      <c r="A671" s="2">
        <f>IFERROR(__xludf.DUMMYFUNCTION("""COMPUTED_VALUE"""),2.0)</f>
        <v>2</v>
      </c>
    </row>
    <row r="672">
      <c r="A672" s="2">
        <f>IFERROR(__xludf.DUMMYFUNCTION("""COMPUTED_VALUE"""),2.0)</f>
        <v>2</v>
      </c>
    </row>
    <row r="673">
      <c r="A673" s="2">
        <f>IFERROR(__xludf.DUMMYFUNCTION("""COMPUTED_VALUE"""),2.0)</f>
        <v>2</v>
      </c>
    </row>
    <row r="674">
      <c r="A674" s="2">
        <f>IFERROR(__xludf.DUMMYFUNCTION("""COMPUTED_VALUE"""),2.0)</f>
        <v>2</v>
      </c>
    </row>
    <row r="675">
      <c r="A675" s="2">
        <f>IFERROR(__xludf.DUMMYFUNCTION("""COMPUTED_VALUE"""),2.0)</f>
        <v>2</v>
      </c>
    </row>
    <row r="676">
      <c r="A676" s="2">
        <f>IFERROR(__xludf.DUMMYFUNCTION("""COMPUTED_VALUE"""),2.0)</f>
        <v>2</v>
      </c>
    </row>
    <row r="677">
      <c r="A677" s="2">
        <f>IFERROR(__xludf.DUMMYFUNCTION("""COMPUTED_VALUE"""),2.0)</f>
        <v>2</v>
      </c>
    </row>
    <row r="678">
      <c r="A678" s="2">
        <f>IFERROR(__xludf.DUMMYFUNCTION("""COMPUTED_VALUE"""),2.0)</f>
        <v>2</v>
      </c>
    </row>
    <row r="679">
      <c r="A679" s="2">
        <f>IFERROR(__xludf.DUMMYFUNCTION("""COMPUTED_VALUE"""),7.0)</f>
        <v>7</v>
      </c>
    </row>
    <row r="680">
      <c r="A680" s="2">
        <f>IFERROR(__xludf.DUMMYFUNCTION("""COMPUTED_VALUE"""),7.0)</f>
        <v>7</v>
      </c>
    </row>
    <row r="681">
      <c r="A681" s="2">
        <f>IFERROR(__xludf.DUMMYFUNCTION("""COMPUTED_VALUE"""),7.0)</f>
        <v>7</v>
      </c>
    </row>
    <row r="682">
      <c r="A682" s="2">
        <f>IFERROR(__xludf.DUMMYFUNCTION("""COMPUTED_VALUE"""),7.0)</f>
        <v>7</v>
      </c>
    </row>
    <row r="683">
      <c r="A683" s="2">
        <f>IFERROR(__xludf.DUMMYFUNCTION("""COMPUTED_VALUE"""),7.0)</f>
        <v>7</v>
      </c>
    </row>
    <row r="684">
      <c r="A684" s="2">
        <f>IFERROR(__xludf.DUMMYFUNCTION("""COMPUTED_VALUE"""),7.0)</f>
        <v>7</v>
      </c>
    </row>
    <row r="685">
      <c r="A685" s="2">
        <f>IFERROR(__xludf.DUMMYFUNCTION("""COMPUTED_VALUE"""),7.0)</f>
        <v>7</v>
      </c>
    </row>
    <row r="686">
      <c r="A686" s="2">
        <f>IFERROR(__xludf.DUMMYFUNCTION("""COMPUTED_VALUE"""),7.0)</f>
        <v>7</v>
      </c>
    </row>
    <row r="687">
      <c r="A687" s="2">
        <f>IFERROR(__xludf.DUMMYFUNCTION("""COMPUTED_VALUE"""),7.0)</f>
        <v>7</v>
      </c>
    </row>
    <row r="688">
      <c r="A688" s="2">
        <f>IFERROR(__xludf.DUMMYFUNCTION("""COMPUTED_VALUE"""),7.0)</f>
        <v>7</v>
      </c>
    </row>
    <row r="689">
      <c r="A689" s="2">
        <f>IFERROR(__xludf.DUMMYFUNCTION("""COMPUTED_VALUE"""),7.0)</f>
        <v>7</v>
      </c>
    </row>
    <row r="690">
      <c r="A690" s="2">
        <f>IFERROR(__xludf.DUMMYFUNCTION("""COMPUTED_VALUE"""),7.0)</f>
        <v>7</v>
      </c>
    </row>
    <row r="691">
      <c r="A691" s="2">
        <f>IFERROR(__xludf.DUMMYFUNCTION("""COMPUTED_VALUE"""),7.0)</f>
        <v>7</v>
      </c>
    </row>
    <row r="692">
      <c r="A692" s="2">
        <f>IFERROR(__xludf.DUMMYFUNCTION("""COMPUTED_VALUE"""),7.0)</f>
        <v>7</v>
      </c>
    </row>
    <row r="693">
      <c r="A693" s="2">
        <f>IFERROR(__xludf.DUMMYFUNCTION("""COMPUTED_VALUE"""),7.0)</f>
        <v>7</v>
      </c>
    </row>
    <row r="694">
      <c r="A694" s="2">
        <f>IFERROR(__xludf.DUMMYFUNCTION("""COMPUTED_VALUE"""),7.0)</f>
        <v>7</v>
      </c>
    </row>
    <row r="695">
      <c r="A695" s="2">
        <f>IFERROR(__xludf.DUMMYFUNCTION("""COMPUTED_VALUE"""),7.0)</f>
        <v>7</v>
      </c>
    </row>
    <row r="696">
      <c r="A696" s="2">
        <f>IFERROR(__xludf.DUMMYFUNCTION("""COMPUTED_VALUE"""),7.0)</f>
        <v>7</v>
      </c>
    </row>
    <row r="697">
      <c r="A697" s="2">
        <f>IFERROR(__xludf.DUMMYFUNCTION("""COMPUTED_VALUE"""),7.0)</f>
        <v>7</v>
      </c>
    </row>
    <row r="698">
      <c r="A698" s="2">
        <f>IFERROR(__xludf.DUMMYFUNCTION("""COMPUTED_VALUE"""),7.0)</f>
        <v>7</v>
      </c>
    </row>
    <row r="699">
      <c r="A699" s="2">
        <f>IFERROR(__xludf.DUMMYFUNCTION("""COMPUTED_VALUE"""),7.0)</f>
        <v>7</v>
      </c>
    </row>
    <row r="700">
      <c r="A700" s="2">
        <f>IFERROR(__xludf.DUMMYFUNCTION("""COMPUTED_VALUE"""),7.0)</f>
        <v>7</v>
      </c>
    </row>
    <row r="701">
      <c r="A701" s="2">
        <f>IFERROR(__xludf.DUMMYFUNCTION("""COMPUTED_VALUE"""),7.0)</f>
        <v>7</v>
      </c>
    </row>
    <row r="702">
      <c r="A702" s="2">
        <f>IFERROR(__xludf.DUMMYFUNCTION("""COMPUTED_VALUE"""),7.0)</f>
        <v>7</v>
      </c>
    </row>
    <row r="703">
      <c r="A703" s="2">
        <f>IFERROR(__xludf.DUMMYFUNCTION("""COMPUTED_VALUE"""),7.0)</f>
        <v>7</v>
      </c>
    </row>
    <row r="704">
      <c r="A704" s="2">
        <f>IFERROR(__xludf.DUMMYFUNCTION("""COMPUTED_VALUE"""),7.0)</f>
        <v>7</v>
      </c>
    </row>
    <row r="705">
      <c r="A705" s="2">
        <f>IFERROR(__xludf.DUMMYFUNCTION("""COMPUTED_VALUE"""),7.0)</f>
        <v>7</v>
      </c>
    </row>
    <row r="706">
      <c r="A706" s="2">
        <f>IFERROR(__xludf.DUMMYFUNCTION("""COMPUTED_VALUE"""),7.0)</f>
        <v>7</v>
      </c>
    </row>
    <row r="707">
      <c r="A707" s="2">
        <f>IFERROR(__xludf.DUMMYFUNCTION("""COMPUTED_VALUE"""),7.0)</f>
        <v>7</v>
      </c>
    </row>
    <row r="708">
      <c r="A708" s="2">
        <f>IFERROR(__xludf.DUMMYFUNCTION("""COMPUTED_VALUE"""),4.0)</f>
        <v>4</v>
      </c>
    </row>
    <row r="709">
      <c r="A709" s="2">
        <f>IFERROR(__xludf.DUMMYFUNCTION("""COMPUTED_VALUE"""),8.0)</f>
        <v>8</v>
      </c>
    </row>
    <row r="710">
      <c r="A710" s="2">
        <f>IFERROR(__xludf.DUMMYFUNCTION("""COMPUTED_VALUE"""),8.0)</f>
        <v>8</v>
      </c>
    </row>
    <row r="711">
      <c r="A711" s="2">
        <f>IFERROR(__xludf.DUMMYFUNCTION("""COMPUTED_VALUE"""),8.0)</f>
        <v>8</v>
      </c>
    </row>
    <row r="712">
      <c r="A712" s="2">
        <f>IFERROR(__xludf.DUMMYFUNCTION("""COMPUTED_VALUE"""),8.0)</f>
        <v>8</v>
      </c>
    </row>
    <row r="713">
      <c r="A713" s="2">
        <f>IFERROR(__xludf.DUMMYFUNCTION("""COMPUTED_VALUE"""),8.0)</f>
        <v>8</v>
      </c>
    </row>
    <row r="714">
      <c r="A714" s="2">
        <f>IFERROR(__xludf.DUMMYFUNCTION("""COMPUTED_VALUE"""),8.0)</f>
        <v>8</v>
      </c>
    </row>
    <row r="715">
      <c r="A715" s="2">
        <f>IFERROR(__xludf.DUMMYFUNCTION("""COMPUTED_VALUE"""),8.0)</f>
        <v>8</v>
      </c>
    </row>
    <row r="716">
      <c r="A716" s="2">
        <f>IFERROR(__xludf.DUMMYFUNCTION("""COMPUTED_VALUE"""),2.0)</f>
        <v>2</v>
      </c>
    </row>
    <row r="717">
      <c r="A717" s="2">
        <f>IFERROR(__xludf.DUMMYFUNCTION("""COMPUTED_VALUE"""),2.0)</f>
        <v>2</v>
      </c>
    </row>
    <row r="718">
      <c r="A718" s="2">
        <f>IFERROR(__xludf.DUMMYFUNCTION("""COMPUTED_VALUE"""),9.0)</f>
        <v>9</v>
      </c>
    </row>
    <row r="719">
      <c r="A719" s="2">
        <f>IFERROR(__xludf.DUMMYFUNCTION("""COMPUTED_VALUE"""),9.0)</f>
        <v>9</v>
      </c>
    </row>
    <row r="720">
      <c r="A720" s="2">
        <f>IFERROR(__xludf.DUMMYFUNCTION("""COMPUTED_VALUE"""),9.0)</f>
        <v>9</v>
      </c>
    </row>
    <row r="721">
      <c r="A721" s="2">
        <f>IFERROR(__xludf.DUMMYFUNCTION("""COMPUTED_VALUE"""),9.0)</f>
        <v>9</v>
      </c>
    </row>
    <row r="722">
      <c r="A722" s="2">
        <f>IFERROR(__xludf.DUMMYFUNCTION("""COMPUTED_VALUE"""),9.0)</f>
        <v>9</v>
      </c>
    </row>
    <row r="723">
      <c r="A723" s="2">
        <f>IFERROR(__xludf.DUMMYFUNCTION("""COMPUTED_VALUE"""),9.0)</f>
        <v>9</v>
      </c>
    </row>
    <row r="724">
      <c r="A724" s="2">
        <f>IFERROR(__xludf.DUMMYFUNCTION("""COMPUTED_VALUE"""),9.0)</f>
        <v>9</v>
      </c>
    </row>
    <row r="725">
      <c r="A725" s="2">
        <f>IFERROR(__xludf.DUMMYFUNCTION("""COMPUTED_VALUE"""),9.0)</f>
        <v>9</v>
      </c>
    </row>
    <row r="726">
      <c r="A726" s="2">
        <f>IFERROR(__xludf.DUMMYFUNCTION("""COMPUTED_VALUE"""),9.0)</f>
        <v>9</v>
      </c>
    </row>
    <row r="727">
      <c r="A727" s="2">
        <f>IFERROR(__xludf.DUMMYFUNCTION("""COMPUTED_VALUE"""),9.0)</f>
        <v>9</v>
      </c>
    </row>
    <row r="728">
      <c r="A728" s="2">
        <f>IFERROR(__xludf.DUMMYFUNCTION("""COMPUTED_VALUE"""),9.0)</f>
        <v>9</v>
      </c>
    </row>
    <row r="729">
      <c r="A729" s="2">
        <f>IFERROR(__xludf.DUMMYFUNCTION("""COMPUTED_VALUE"""),9.0)</f>
        <v>9</v>
      </c>
    </row>
    <row r="730">
      <c r="A730" s="2">
        <f>IFERROR(__xludf.DUMMYFUNCTION("""COMPUTED_VALUE"""),9.0)</f>
        <v>9</v>
      </c>
    </row>
    <row r="731">
      <c r="A731" s="2">
        <f>IFERROR(__xludf.DUMMYFUNCTION("""COMPUTED_VALUE"""),9.0)</f>
        <v>9</v>
      </c>
    </row>
    <row r="732">
      <c r="A732" s="2">
        <f>IFERROR(__xludf.DUMMYFUNCTION("""COMPUTED_VALUE"""),9.0)</f>
        <v>9</v>
      </c>
    </row>
    <row r="733">
      <c r="A733" s="2">
        <f>IFERROR(__xludf.DUMMYFUNCTION("""COMPUTED_VALUE"""),9.0)</f>
        <v>9</v>
      </c>
    </row>
    <row r="734">
      <c r="A734" s="2">
        <f>IFERROR(__xludf.DUMMYFUNCTION("""COMPUTED_VALUE"""),9.0)</f>
        <v>9</v>
      </c>
    </row>
    <row r="735">
      <c r="A735" s="2">
        <f>IFERROR(__xludf.DUMMYFUNCTION("""COMPUTED_VALUE"""),9.0)</f>
        <v>9</v>
      </c>
    </row>
    <row r="736">
      <c r="A736" s="2">
        <f>IFERROR(__xludf.DUMMYFUNCTION("""COMPUTED_VALUE"""),9.0)</f>
        <v>9</v>
      </c>
    </row>
    <row r="737">
      <c r="A737" s="2">
        <f>IFERROR(__xludf.DUMMYFUNCTION("""COMPUTED_VALUE"""),9.0)</f>
        <v>9</v>
      </c>
    </row>
    <row r="738">
      <c r="A738" s="2">
        <f>IFERROR(__xludf.DUMMYFUNCTION("""COMPUTED_VALUE"""),9.0)</f>
        <v>9</v>
      </c>
    </row>
    <row r="739">
      <c r="A739" s="2">
        <f>IFERROR(__xludf.DUMMYFUNCTION("""COMPUTED_VALUE"""),9.0)</f>
        <v>9</v>
      </c>
    </row>
    <row r="740">
      <c r="A740" s="2">
        <f>IFERROR(__xludf.DUMMYFUNCTION("""COMPUTED_VALUE"""),9.0)</f>
        <v>9</v>
      </c>
    </row>
    <row r="741">
      <c r="A741" s="2">
        <f>IFERROR(__xludf.DUMMYFUNCTION("""COMPUTED_VALUE"""),9.0)</f>
        <v>9</v>
      </c>
    </row>
    <row r="742">
      <c r="A742" s="2">
        <f>IFERROR(__xludf.DUMMYFUNCTION("""COMPUTED_VALUE"""),9.0)</f>
        <v>9</v>
      </c>
    </row>
    <row r="743">
      <c r="A743" s="2">
        <f>IFERROR(__xludf.DUMMYFUNCTION("""COMPUTED_VALUE"""),9.0)</f>
        <v>9</v>
      </c>
    </row>
    <row r="744">
      <c r="A744" s="2">
        <f>IFERROR(__xludf.DUMMYFUNCTION("""COMPUTED_VALUE"""),9.0)</f>
        <v>9</v>
      </c>
    </row>
    <row r="745">
      <c r="A745" s="2">
        <f>IFERROR(__xludf.DUMMYFUNCTION("""COMPUTED_VALUE"""),3.0)</f>
        <v>3</v>
      </c>
    </row>
    <row r="746">
      <c r="A746" s="2">
        <f>IFERROR(__xludf.DUMMYFUNCTION("""COMPUTED_VALUE"""),3.0)</f>
        <v>3</v>
      </c>
    </row>
    <row r="747">
      <c r="A747" s="2">
        <f>IFERROR(__xludf.DUMMYFUNCTION("""COMPUTED_VALUE"""),5.0)</f>
        <v>5</v>
      </c>
    </row>
    <row r="748">
      <c r="A748" s="2">
        <f>IFERROR(__xludf.DUMMYFUNCTION("""COMPUTED_VALUE"""),7.0)</f>
        <v>7</v>
      </c>
    </row>
    <row r="749">
      <c r="A749" s="2">
        <f>IFERROR(__xludf.DUMMYFUNCTION("""COMPUTED_VALUE"""),7.0)</f>
        <v>7</v>
      </c>
    </row>
    <row r="750">
      <c r="A750" s="2">
        <f>IFERROR(__xludf.DUMMYFUNCTION("""COMPUTED_VALUE"""),7.0)</f>
        <v>7</v>
      </c>
    </row>
    <row r="751">
      <c r="A751" s="2">
        <f>IFERROR(__xludf.DUMMYFUNCTION("""COMPUTED_VALUE"""),7.0)</f>
        <v>7</v>
      </c>
    </row>
    <row r="752">
      <c r="A752" s="2">
        <f>IFERROR(__xludf.DUMMYFUNCTION("""COMPUTED_VALUE"""),7.0)</f>
        <v>7</v>
      </c>
    </row>
    <row r="753">
      <c r="A753" s="2">
        <f>IFERROR(__xludf.DUMMYFUNCTION("""COMPUTED_VALUE"""),7.0)</f>
        <v>7</v>
      </c>
    </row>
    <row r="754">
      <c r="A754" s="2">
        <f>IFERROR(__xludf.DUMMYFUNCTION("""COMPUTED_VALUE"""),7.0)</f>
        <v>7</v>
      </c>
    </row>
    <row r="755">
      <c r="A755" s="2">
        <f>IFERROR(__xludf.DUMMYFUNCTION("""COMPUTED_VALUE"""),7.0)</f>
        <v>7</v>
      </c>
    </row>
    <row r="756">
      <c r="A756" s="2">
        <f>IFERROR(__xludf.DUMMYFUNCTION("""COMPUTED_VALUE"""),7.0)</f>
        <v>7</v>
      </c>
    </row>
    <row r="757">
      <c r="A757" s="2">
        <f>IFERROR(__xludf.DUMMYFUNCTION("""COMPUTED_VALUE"""),7.0)</f>
        <v>7</v>
      </c>
    </row>
    <row r="758">
      <c r="A758" s="2">
        <f>IFERROR(__xludf.DUMMYFUNCTION("""COMPUTED_VALUE"""),7.0)</f>
        <v>7</v>
      </c>
    </row>
    <row r="759">
      <c r="A759" s="2">
        <f>IFERROR(__xludf.DUMMYFUNCTION("""COMPUTED_VALUE"""),7.0)</f>
        <v>7</v>
      </c>
    </row>
    <row r="760">
      <c r="A760" s="2">
        <f>IFERROR(__xludf.DUMMYFUNCTION("""COMPUTED_VALUE"""),7.0)</f>
        <v>7</v>
      </c>
    </row>
    <row r="761">
      <c r="A761" s="2">
        <f>IFERROR(__xludf.DUMMYFUNCTION("""COMPUTED_VALUE"""),7.0)</f>
        <v>7</v>
      </c>
    </row>
    <row r="762">
      <c r="A762" s="2">
        <f>IFERROR(__xludf.DUMMYFUNCTION("""COMPUTED_VALUE"""),7.0)</f>
        <v>7</v>
      </c>
    </row>
    <row r="763">
      <c r="A763" s="2">
        <f>IFERROR(__xludf.DUMMYFUNCTION("""COMPUTED_VALUE"""),7.0)</f>
        <v>7</v>
      </c>
    </row>
    <row r="764">
      <c r="A764" s="2">
        <f>IFERROR(__xludf.DUMMYFUNCTION("""COMPUTED_VALUE"""),7.0)</f>
        <v>7</v>
      </c>
    </row>
    <row r="765">
      <c r="A765" s="2">
        <f>IFERROR(__xludf.DUMMYFUNCTION("""COMPUTED_VALUE"""),7.0)</f>
        <v>7</v>
      </c>
    </row>
    <row r="766">
      <c r="A766" s="2">
        <f>IFERROR(__xludf.DUMMYFUNCTION("""COMPUTED_VALUE"""),3.0)</f>
        <v>3</v>
      </c>
    </row>
    <row r="767">
      <c r="A767" s="2">
        <f>IFERROR(__xludf.DUMMYFUNCTION("""COMPUTED_VALUE"""),5.0)</f>
        <v>5</v>
      </c>
    </row>
    <row r="768">
      <c r="A768" s="2">
        <f>IFERROR(__xludf.DUMMYFUNCTION("""COMPUTED_VALUE"""),5.0)</f>
        <v>5</v>
      </c>
    </row>
    <row r="769">
      <c r="A769" s="2">
        <f>IFERROR(__xludf.DUMMYFUNCTION("""COMPUTED_VALUE"""),5.0)</f>
        <v>5</v>
      </c>
    </row>
    <row r="770">
      <c r="A770" s="2">
        <f>IFERROR(__xludf.DUMMYFUNCTION("""COMPUTED_VALUE"""),5.0)</f>
        <v>5</v>
      </c>
    </row>
    <row r="771">
      <c r="A771" s="2">
        <f>IFERROR(__xludf.DUMMYFUNCTION("""COMPUTED_VALUE"""),5.0)</f>
        <v>5</v>
      </c>
    </row>
    <row r="772">
      <c r="A772" s="2">
        <f>IFERROR(__xludf.DUMMYFUNCTION("""COMPUTED_VALUE"""),5.0)</f>
        <v>5</v>
      </c>
    </row>
    <row r="773">
      <c r="A773" s="2">
        <f>IFERROR(__xludf.DUMMYFUNCTION("""COMPUTED_VALUE"""),5.0)</f>
        <v>5</v>
      </c>
    </row>
    <row r="774">
      <c r="A774" s="2">
        <f>IFERROR(__xludf.DUMMYFUNCTION("""COMPUTED_VALUE"""),5.0)</f>
        <v>5</v>
      </c>
    </row>
    <row r="775">
      <c r="A775" s="2">
        <f>IFERROR(__xludf.DUMMYFUNCTION("""COMPUTED_VALUE"""),5.0)</f>
        <v>5</v>
      </c>
    </row>
    <row r="776">
      <c r="A776" s="2">
        <f>IFERROR(__xludf.DUMMYFUNCTION("""COMPUTED_VALUE"""),5.0)</f>
        <v>5</v>
      </c>
    </row>
    <row r="777">
      <c r="A777" s="2">
        <f>IFERROR(__xludf.DUMMYFUNCTION("""COMPUTED_VALUE"""),5.0)</f>
        <v>5</v>
      </c>
    </row>
    <row r="778">
      <c r="A778" s="2">
        <f>IFERROR(__xludf.DUMMYFUNCTION("""COMPUTED_VALUE"""),5.0)</f>
        <v>5</v>
      </c>
    </row>
    <row r="779">
      <c r="A779" s="2">
        <f>IFERROR(__xludf.DUMMYFUNCTION("""COMPUTED_VALUE"""),5.0)</f>
        <v>5</v>
      </c>
    </row>
    <row r="780">
      <c r="A780" s="2">
        <f>IFERROR(__xludf.DUMMYFUNCTION("""COMPUTED_VALUE"""),5.0)</f>
        <v>5</v>
      </c>
    </row>
    <row r="781">
      <c r="A781" s="2">
        <f>IFERROR(__xludf.DUMMYFUNCTION("""COMPUTED_VALUE"""),5.0)</f>
        <v>5</v>
      </c>
    </row>
    <row r="782">
      <c r="A782" s="2">
        <f>IFERROR(__xludf.DUMMYFUNCTION("""COMPUTED_VALUE"""),5.0)</f>
        <v>5</v>
      </c>
    </row>
    <row r="783">
      <c r="A783" s="2">
        <f>IFERROR(__xludf.DUMMYFUNCTION("""COMPUTED_VALUE"""),5.0)</f>
        <v>5</v>
      </c>
    </row>
    <row r="784">
      <c r="A784" s="2">
        <f>IFERROR(__xludf.DUMMYFUNCTION("""COMPUTED_VALUE"""),5.0)</f>
        <v>5</v>
      </c>
    </row>
    <row r="785">
      <c r="A785" s="2">
        <f>IFERROR(__xludf.DUMMYFUNCTION("""COMPUTED_VALUE"""),5.0)</f>
        <v>5</v>
      </c>
    </row>
    <row r="786">
      <c r="A786" s="2">
        <f>IFERROR(__xludf.DUMMYFUNCTION("""COMPUTED_VALUE"""),6.0)</f>
        <v>6</v>
      </c>
    </row>
    <row r="787">
      <c r="A787" s="2">
        <f>IFERROR(__xludf.DUMMYFUNCTION("""COMPUTED_VALUE"""),9.0)</f>
        <v>9</v>
      </c>
    </row>
    <row r="788">
      <c r="A788" s="2">
        <f>IFERROR(__xludf.DUMMYFUNCTION("""COMPUTED_VALUE"""),9.0)</f>
        <v>9</v>
      </c>
    </row>
    <row r="789">
      <c r="A789" s="2">
        <f>IFERROR(__xludf.DUMMYFUNCTION("""COMPUTED_VALUE"""),3.0)</f>
        <v>3</v>
      </c>
    </row>
    <row r="790">
      <c r="A790" s="2">
        <f>IFERROR(__xludf.DUMMYFUNCTION("""COMPUTED_VALUE"""),3.0)</f>
        <v>3</v>
      </c>
    </row>
    <row r="791">
      <c r="A791" s="2">
        <f>IFERROR(__xludf.DUMMYFUNCTION("""COMPUTED_VALUE"""),3.0)</f>
        <v>3</v>
      </c>
    </row>
    <row r="792">
      <c r="A792" s="2">
        <f>IFERROR(__xludf.DUMMYFUNCTION("""COMPUTED_VALUE"""),3.0)</f>
        <v>3</v>
      </c>
    </row>
    <row r="793">
      <c r="A793" s="2">
        <f>IFERROR(__xludf.DUMMYFUNCTION("""COMPUTED_VALUE"""),3.0)</f>
        <v>3</v>
      </c>
    </row>
    <row r="794">
      <c r="A794" s="2">
        <f>IFERROR(__xludf.DUMMYFUNCTION("""COMPUTED_VALUE"""),3.0)</f>
        <v>3</v>
      </c>
    </row>
    <row r="795">
      <c r="A795" s="2">
        <f>IFERROR(__xludf.DUMMYFUNCTION("""COMPUTED_VALUE"""),3.0)</f>
        <v>3</v>
      </c>
    </row>
    <row r="796">
      <c r="A796" s="2">
        <f>IFERROR(__xludf.DUMMYFUNCTION("""COMPUTED_VALUE"""),3.0)</f>
        <v>3</v>
      </c>
    </row>
    <row r="797">
      <c r="A797" s="2">
        <f>IFERROR(__xludf.DUMMYFUNCTION("""COMPUTED_VALUE"""),3.0)</f>
        <v>3</v>
      </c>
    </row>
    <row r="798">
      <c r="A798" s="2">
        <f>IFERROR(__xludf.DUMMYFUNCTION("""COMPUTED_VALUE"""),3.0)</f>
        <v>3</v>
      </c>
    </row>
    <row r="799">
      <c r="A799" s="2">
        <f>IFERROR(__xludf.DUMMYFUNCTION("""COMPUTED_VALUE"""),3.0)</f>
        <v>3</v>
      </c>
    </row>
    <row r="800">
      <c r="A800" s="2">
        <f>IFERROR(__xludf.DUMMYFUNCTION("""COMPUTED_VALUE"""),3.0)</f>
        <v>3</v>
      </c>
    </row>
    <row r="801">
      <c r="A801" s="2">
        <f>IFERROR(__xludf.DUMMYFUNCTION("""COMPUTED_VALUE"""),3.0)</f>
        <v>3</v>
      </c>
    </row>
    <row r="802">
      <c r="A802" s="2">
        <f>IFERROR(__xludf.DUMMYFUNCTION("""COMPUTED_VALUE"""),3.0)</f>
        <v>3</v>
      </c>
    </row>
    <row r="803">
      <c r="A803" s="2">
        <f>IFERROR(__xludf.DUMMYFUNCTION("""COMPUTED_VALUE"""),7.0)</f>
        <v>7</v>
      </c>
    </row>
    <row r="804">
      <c r="A804" s="2">
        <f>IFERROR(__xludf.DUMMYFUNCTION("""COMPUTED_VALUE"""),5.0)</f>
        <v>5</v>
      </c>
    </row>
    <row r="805">
      <c r="A805" s="2">
        <f>IFERROR(__xludf.DUMMYFUNCTION("""COMPUTED_VALUE"""),7.0)</f>
        <v>7</v>
      </c>
    </row>
    <row r="806">
      <c r="A806" s="2">
        <f>IFERROR(__xludf.DUMMYFUNCTION("""COMPUTED_VALUE"""),7.0)</f>
        <v>7</v>
      </c>
    </row>
    <row r="807">
      <c r="A807" s="2">
        <f>IFERROR(__xludf.DUMMYFUNCTION("""COMPUTED_VALUE"""),7.0)</f>
        <v>7</v>
      </c>
    </row>
    <row r="808">
      <c r="A808" s="2">
        <f>IFERROR(__xludf.DUMMYFUNCTION("""COMPUTED_VALUE"""),7.0)</f>
        <v>7</v>
      </c>
    </row>
    <row r="809">
      <c r="A809" s="2">
        <f>IFERROR(__xludf.DUMMYFUNCTION("""COMPUTED_VALUE"""),7.0)</f>
        <v>7</v>
      </c>
    </row>
    <row r="810">
      <c r="A810" s="2">
        <f>IFERROR(__xludf.DUMMYFUNCTION("""COMPUTED_VALUE"""),7.0)</f>
        <v>7</v>
      </c>
    </row>
    <row r="811">
      <c r="A811" s="2">
        <f>IFERROR(__xludf.DUMMYFUNCTION("""COMPUTED_VALUE"""),6.0)</f>
        <v>6</v>
      </c>
    </row>
    <row r="812">
      <c r="A812" s="2">
        <f>IFERROR(__xludf.DUMMYFUNCTION("""COMPUTED_VALUE"""),4.0)</f>
        <v>4</v>
      </c>
    </row>
    <row r="813">
      <c r="A813" s="2">
        <f>IFERROR(__xludf.DUMMYFUNCTION("""COMPUTED_VALUE"""),4.0)</f>
        <v>4</v>
      </c>
    </row>
    <row r="814">
      <c r="A814" s="2">
        <f>IFERROR(__xludf.DUMMYFUNCTION("""COMPUTED_VALUE"""),4.0)</f>
        <v>4</v>
      </c>
    </row>
    <row r="815">
      <c r="A815" s="2">
        <f>IFERROR(__xludf.DUMMYFUNCTION("""COMPUTED_VALUE"""),4.0)</f>
        <v>4</v>
      </c>
    </row>
    <row r="816">
      <c r="A816" s="2">
        <f>IFERROR(__xludf.DUMMYFUNCTION("""COMPUTED_VALUE"""),5.0)</f>
        <v>5</v>
      </c>
    </row>
    <row r="817">
      <c r="A817" s="2">
        <f>IFERROR(__xludf.DUMMYFUNCTION("""COMPUTED_VALUE"""),5.0)</f>
        <v>5</v>
      </c>
    </row>
    <row r="818">
      <c r="A818" s="2">
        <f>IFERROR(__xludf.DUMMYFUNCTION("""COMPUTED_VALUE"""),5.0)</f>
        <v>5</v>
      </c>
    </row>
    <row r="819">
      <c r="A819" s="2">
        <f>IFERROR(__xludf.DUMMYFUNCTION("""COMPUTED_VALUE"""),5.0)</f>
        <v>5</v>
      </c>
    </row>
    <row r="820">
      <c r="A820" s="2">
        <f>IFERROR(__xludf.DUMMYFUNCTION("""COMPUTED_VALUE"""),5.0)</f>
        <v>5</v>
      </c>
    </row>
    <row r="821">
      <c r="A821" s="2">
        <f>IFERROR(__xludf.DUMMYFUNCTION("""COMPUTED_VALUE"""),3.0)</f>
        <v>3</v>
      </c>
    </row>
    <row r="822">
      <c r="A822" s="2">
        <f>IFERROR(__xludf.DUMMYFUNCTION("""COMPUTED_VALUE"""),1.0)</f>
        <v>1</v>
      </c>
    </row>
    <row r="823">
      <c r="A823" s="2">
        <f>IFERROR(__xludf.DUMMYFUNCTION("""COMPUTED_VALUE"""),1.0)</f>
        <v>1</v>
      </c>
    </row>
    <row r="824">
      <c r="A824" s="2">
        <f>IFERROR(__xludf.DUMMYFUNCTION("""COMPUTED_VALUE"""),2.0)</f>
        <v>2</v>
      </c>
    </row>
    <row r="825">
      <c r="A825" s="2">
        <f>IFERROR(__xludf.DUMMYFUNCTION("""COMPUTED_VALUE"""),2.0)</f>
        <v>2</v>
      </c>
    </row>
    <row r="826">
      <c r="A826" s="2">
        <f>IFERROR(__xludf.DUMMYFUNCTION("""COMPUTED_VALUE"""),3.0)</f>
        <v>3</v>
      </c>
    </row>
    <row r="827">
      <c r="A827" s="2">
        <f>IFERROR(__xludf.DUMMYFUNCTION("""COMPUTED_VALUE"""),3.0)</f>
        <v>3</v>
      </c>
    </row>
    <row r="828">
      <c r="A828" s="2">
        <f>IFERROR(__xludf.DUMMYFUNCTION("""COMPUTED_VALUE"""),3.0)</f>
        <v>3</v>
      </c>
    </row>
    <row r="829">
      <c r="A829" s="2">
        <f>IFERROR(__xludf.DUMMYFUNCTION("""COMPUTED_VALUE"""),8.0)</f>
        <v>8</v>
      </c>
    </row>
    <row r="830">
      <c r="A830" s="2">
        <f>IFERROR(__xludf.DUMMYFUNCTION("""COMPUTED_VALUE"""),8.0)</f>
        <v>8</v>
      </c>
    </row>
    <row r="831">
      <c r="A831" s="2">
        <f>IFERROR(__xludf.DUMMYFUNCTION("""COMPUTED_VALUE"""),8.0)</f>
        <v>8</v>
      </c>
    </row>
    <row r="832">
      <c r="A832" s="2">
        <f>IFERROR(__xludf.DUMMYFUNCTION("""COMPUTED_VALUE"""),8.0)</f>
        <v>8</v>
      </c>
    </row>
    <row r="833">
      <c r="A833" s="2">
        <f>IFERROR(__xludf.DUMMYFUNCTION("""COMPUTED_VALUE"""),8.0)</f>
        <v>8</v>
      </c>
    </row>
    <row r="834">
      <c r="A834" s="2">
        <f>IFERROR(__xludf.DUMMYFUNCTION("""COMPUTED_VALUE"""),8.0)</f>
        <v>8</v>
      </c>
    </row>
    <row r="835">
      <c r="A835" s="2">
        <f>IFERROR(__xludf.DUMMYFUNCTION("""COMPUTED_VALUE"""),3.0)</f>
        <v>3</v>
      </c>
    </row>
    <row r="836">
      <c r="A836" s="2">
        <f>IFERROR(__xludf.DUMMYFUNCTION("""COMPUTED_VALUE"""),6.0)</f>
        <v>6</v>
      </c>
    </row>
    <row r="837">
      <c r="A837" s="2">
        <f>IFERROR(__xludf.DUMMYFUNCTION("""COMPUTED_VALUE"""),2.0)</f>
        <v>2</v>
      </c>
    </row>
    <row r="838">
      <c r="A838" s="2">
        <f>IFERROR(__xludf.DUMMYFUNCTION("""COMPUTED_VALUE"""),2.0)</f>
        <v>2</v>
      </c>
    </row>
    <row r="839">
      <c r="A839" s="2">
        <f>IFERROR(__xludf.DUMMYFUNCTION("""COMPUTED_VALUE"""),2.0)</f>
        <v>2</v>
      </c>
    </row>
    <row r="840">
      <c r="A840" s="2">
        <f>IFERROR(__xludf.DUMMYFUNCTION("""COMPUTED_VALUE"""),2.0)</f>
        <v>2</v>
      </c>
    </row>
    <row r="841">
      <c r="A841" s="2">
        <f>IFERROR(__xludf.DUMMYFUNCTION("""COMPUTED_VALUE"""),2.0)</f>
        <v>2</v>
      </c>
    </row>
    <row r="842">
      <c r="A842" s="2">
        <f>IFERROR(__xludf.DUMMYFUNCTION("""COMPUTED_VALUE"""),2.0)</f>
        <v>2</v>
      </c>
    </row>
    <row r="843">
      <c r="A843" s="2">
        <f>IFERROR(__xludf.DUMMYFUNCTION("""COMPUTED_VALUE"""),8.0)</f>
        <v>8</v>
      </c>
    </row>
    <row r="844">
      <c r="A844" s="2">
        <f>IFERROR(__xludf.DUMMYFUNCTION("""COMPUTED_VALUE"""),8.0)</f>
        <v>8</v>
      </c>
    </row>
    <row r="845">
      <c r="A845" s="2">
        <f>IFERROR(__xludf.DUMMYFUNCTION("""COMPUTED_VALUE"""),8.0)</f>
        <v>8</v>
      </c>
    </row>
    <row r="846">
      <c r="A846" s="2">
        <f>IFERROR(__xludf.DUMMYFUNCTION("""COMPUTED_VALUE"""),8.0)</f>
        <v>8</v>
      </c>
    </row>
    <row r="847">
      <c r="A847" s="2">
        <f>IFERROR(__xludf.DUMMYFUNCTION("""COMPUTED_VALUE"""),8.0)</f>
        <v>8</v>
      </c>
    </row>
    <row r="848">
      <c r="A848" s="2">
        <f>IFERROR(__xludf.DUMMYFUNCTION("""COMPUTED_VALUE"""),8.0)</f>
        <v>8</v>
      </c>
    </row>
    <row r="849">
      <c r="A849" s="2">
        <f>IFERROR(__xludf.DUMMYFUNCTION("""COMPUTED_VALUE"""),8.0)</f>
        <v>8</v>
      </c>
    </row>
    <row r="850">
      <c r="A850" s="2">
        <f>IFERROR(__xludf.DUMMYFUNCTION("""COMPUTED_VALUE"""),5.0)</f>
        <v>5</v>
      </c>
    </row>
    <row r="851">
      <c r="A851" s="2">
        <f>IFERROR(__xludf.DUMMYFUNCTION("""COMPUTED_VALUE"""),5.0)</f>
        <v>5</v>
      </c>
    </row>
    <row r="852">
      <c r="A852" s="2">
        <f>IFERROR(__xludf.DUMMYFUNCTION("""COMPUTED_VALUE"""),5.0)</f>
        <v>5</v>
      </c>
    </row>
    <row r="853">
      <c r="A853" s="2">
        <f>IFERROR(__xludf.DUMMYFUNCTION("""COMPUTED_VALUE"""),5.0)</f>
        <v>5</v>
      </c>
    </row>
    <row r="854">
      <c r="A854" s="2">
        <f>IFERROR(__xludf.DUMMYFUNCTION("""COMPUTED_VALUE"""),5.0)</f>
        <v>5</v>
      </c>
    </row>
    <row r="855">
      <c r="A855" s="2">
        <f>IFERROR(__xludf.DUMMYFUNCTION("""COMPUTED_VALUE"""),5.0)</f>
        <v>5</v>
      </c>
    </row>
    <row r="856">
      <c r="A856" s="2">
        <f>IFERROR(__xludf.DUMMYFUNCTION("""COMPUTED_VALUE"""),5.0)</f>
        <v>5</v>
      </c>
    </row>
    <row r="857">
      <c r="A857" s="2">
        <f>IFERROR(__xludf.DUMMYFUNCTION("""COMPUTED_VALUE"""),5.0)</f>
        <v>5</v>
      </c>
    </row>
    <row r="858">
      <c r="A858" s="2">
        <f>IFERROR(__xludf.DUMMYFUNCTION("""COMPUTED_VALUE"""),4.0)</f>
        <v>4</v>
      </c>
    </row>
    <row r="859">
      <c r="A859" s="2">
        <f>IFERROR(__xludf.DUMMYFUNCTION("""COMPUTED_VALUE"""),4.0)</f>
        <v>4</v>
      </c>
    </row>
    <row r="860">
      <c r="A860" s="2">
        <f>IFERROR(__xludf.DUMMYFUNCTION("""COMPUTED_VALUE"""),4.0)</f>
        <v>4</v>
      </c>
    </row>
    <row r="861">
      <c r="A861" s="2">
        <f>IFERROR(__xludf.DUMMYFUNCTION("""COMPUTED_VALUE"""),4.0)</f>
        <v>4</v>
      </c>
    </row>
    <row r="862">
      <c r="A862" s="2">
        <f>IFERROR(__xludf.DUMMYFUNCTION("""COMPUTED_VALUE"""),4.0)</f>
        <v>4</v>
      </c>
    </row>
    <row r="863">
      <c r="A863" s="2">
        <f>IFERROR(__xludf.DUMMYFUNCTION("""COMPUTED_VALUE"""),8.0)</f>
        <v>8</v>
      </c>
    </row>
    <row r="864">
      <c r="A864" s="2">
        <f>IFERROR(__xludf.DUMMYFUNCTION("""COMPUTED_VALUE"""),8.0)</f>
        <v>8</v>
      </c>
    </row>
    <row r="865">
      <c r="A865" s="2">
        <f>IFERROR(__xludf.DUMMYFUNCTION("""COMPUTED_VALUE"""),3.0)</f>
        <v>3</v>
      </c>
    </row>
    <row r="866">
      <c r="A866" s="2">
        <f>IFERROR(__xludf.DUMMYFUNCTION("""COMPUTED_VALUE"""),3.0)</f>
        <v>3</v>
      </c>
    </row>
    <row r="867">
      <c r="A867" s="2">
        <f>IFERROR(__xludf.DUMMYFUNCTION("""COMPUTED_VALUE"""),3.0)</f>
        <v>3</v>
      </c>
    </row>
    <row r="868">
      <c r="A868" s="2">
        <f>IFERROR(__xludf.DUMMYFUNCTION("""COMPUTED_VALUE"""),7.0)</f>
        <v>7</v>
      </c>
    </row>
    <row r="869">
      <c r="A869" s="2">
        <f>IFERROR(__xludf.DUMMYFUNCTION("""COMPUTED_VALUE"""),7.0)</f>
        <v>7</v>
      </c>
    </row>
    <row r="870">
      <c r="A870" s="2">
        <f>IFERROR(__xludf.DUMMYFUNCTION("""COMPUTED_VALUE"""),1.0)</f>
        <v>1</v>
      </c>
    </row>
    <row r="871">
      <c r="A871" s="2">
        <f>IFERROR(__xludf.DUMMYFUNCTION("""COMPUTED_VALUE"""),1.0)</f>
        <v>1</v>
      </c>
    </row>
    <row r="872">
      <c r="A872" s="2">
        <f>IFERROR(__xludf.DUMMYFUNCTION("""COMPUTED_VALUE"""),2.0)</f>
        <v>2</v>
      </c>
    </row>
    <row r="873">
      <c r="A873" s="2">
        <f>IFERROR(__xludf.DUMMYFUNCTION("""COMPUTED_VALUE"""),2.0)</f>
        <v>2</v>
      </c>
    </row>
    <row r="874">
      <c r="A874" s="2">
        <f>IFERROR(__xludf.DUMMYFUNCTION("""COMPUTED_VALUE"""),2.0)</f>
        <v>2</v>
      </c>
    </row>
    <row r="875">
      <c r="A875" s="2">
        <f>IFERROR(__xludf.DUMMYFUNCTION("""COMPUTED_VALUE"""),2.0)</f>
        <v>2</v>
      </c>
    </row>
    <row r="876">
      <c r="A876" s="2">
        <f>IFERROR(__xludf.DUMMYFUNCTION("""COMPUTED_VALUE"""),2.0)</f>
        <v>2</v>
      </c>
    </row>
    <row r="877">
      <c r="A877" s="2">
        <f>IFERROR(__xludf.DUMMYFUNCTION("""COMPUTED_VALUE"""),2.0)</f>
        <v>2</v>
      </c>
    </row>
    <row r="878">
      <c r="A878" s="2">
        <f>IFERROR(__xludf.DUMMYFUNCTION("""COMPUTED_VALUE"""),2.0)</f>
        <v>2</v>
      </c>
    </row>
    <row r="879">
      <c r="A879" s="2">
        <f>IFERROR(__xludf.DUMMYFUNCTION("""COMPUTED_VALUE"""),2.0)</f>
        <v>2</v>
      </c>
    </row>
    <row r="880">
      <c r="A880" s="2">
        <f>IFERROR(__xludf.DUMMYFUNCTION("""COMPUTED_VALUE"""),2.0)</f>
        <v>2</v>
      </c>
    </row>
    <row r="881">
      <c r="A881" s="2">
        <f>IFERROR(__xludf.DUMMYFUNCTION("""COMPUTED_VALUE"""),2.0)</f>
        <v>2</v>
      </c>
    </row>
    <row r="882">
      <c r="A882" s="2">
        <f>IFERROR(__xludf.DUMMYFUNCTION("""COMPUTED_VALUE"""),2.0)</f>
        <v>2</v>
      </c>
    </row>
    <row r="883">
      <c r="A883" s="2">
        <f>IFERROR(__xludf.DUMMYFUNCTION("""COMPUTED_VALUE"""),2.0)</f>
        <v>2</v>
      </c>
    </row>
    <row r="884">
      <c r="A884" s="2">
        <f>IFERROR(__xludf.DUMMYFUNCTION("""COMPUTED_VALUE"""),9.0)</f>
        <v>9</v>
      </c>
    </row>
    <row r="885">
      <c r="A885" s="2">
        <f>IFERROR(__xludf.DUMMYFUNCTION("""COMPUTED_VALUE"""),6.0)</f>
        <v>6</v>
      </c>
    </row>
    <row r="886">
      <c r="A886" s="2">
        <f>IFERROR(__xludf.DUMMYFUNCTION("""COMPUTED_VALUE"""),7.0)</f>
        <v>7</v>
      </c>
    </row>
    <row r="887">
      <c r="A887" s="2">
        <f>IFERROR(__xludf.DUMMYFUNCTION("""COMPUTED_VALUE"""),7.0)</f>
        <v>7</v>
      </c>
    </row>
    <row r="888">
      <c r="A888" s="2">
        <f>IFERROR(__xludf.DUMMYFUNCTION("""COMPUTED_VALUE"""),7.0)</f>
        <v>7</v>
      </c>
    </row>
    <row r="889">
      <c r="A889" s="2">
        <f>IFERROR(__xludf.DUMMYFUNCTION("""COMPUTED_VALUE"""),7.0)</f>
        <v>7</v>
      </c>
    </row>
    <row r="890">
      <c r="A890" s="2">
        <f>IFERROR(__xludf.DUMMYFUNCTION("""COMPUTED_VALUE"""),7.0)</f>
        <v>7</v>
      </c>
    </row>
    <row r="891">
      <c r="A891" s="2">
        <f>IFERROR(__xludf.DUMMYFUNCTION("""COMPUTED_VALUE"""),7.0)</f>
        <v>7</v>
      </c>
    </row>
    <row r="892">
      <c r="A892" s="2">
        <f>IFERROR(__xludf.DUMMYFUNCTION("""COMPUTED_VALUE"""),7.0)</f>
        <v>7</v>
      </c>
    </row>
    <row r="893">
      <c r="A893" s="2">
        <f>IFERROR(__xludf.DUMMYFUNCTION("""COMPUTED_VALUE"""),7.0)</f>
        <v>7</v>
      </c>
    </row>
    <row r="894">
      <c r="A894" s="2">
        <f>IFERROR(__xludf.DUMMYFUNCTION("""COMPUTED_VALUE"""),7.0)</f>
        <v>7</v>
      </c>
    </row>
    <row r="895">
      <c r="A895" s="2">
        <f>IFERROR(__xludf.DUMMYFUNCTION("""COMPUTED_VALUE"""),8.0)</f>
        <v>8</v>
      </c>
    </row>
    <row r="896">
      <c r="A896" s="2">
        <f>IFERROR(__xludf.DUMMYFUNCTION("""COMPUTED_VALUE"""),9.0)</f>
        <v>9</v>
      </c>
    </row>
    <row r="897">
      <c r="A897" s="2">
        <f>IFERROR(__xludf.DUMMYFUNCTION("""COMPUTED_VALUE"""),9.0)</f>
        <v>9</v>
      </c>
    </row>
    <row r="898">
      <c r="A898" s="2">
        <f>IFERROR(__xludf.DUMMYFUNCTION("""COMPUTED_VALUE"""),9.0)</f>
        <v>9</v>
      </c>
    </row>
    <row r="899">
      <c r="A899" s="2">
        <f>IFERROR(__xludf.DUMMYFUNCTION("""COMPUTED_VALUE"""),9.0)</f>
        <v>9</v>
      </c>
    </row>
    <row r="900">
      <c r="A900" s="2">
        <f>IFERROR(__xludf.DUMMYFUNCTION("""COMPUTED_VALUE"""),9.0)</f>
        <v>9</v>
      </c>
    </row>
    <row r="901">
      <c r="A901" s="2">
        <f>IFERROR(__xludf.DUMMYFUNCTION("""COMPUTED_VALUE"""),9.0)</f>
        <v>9</v>
      </c>
    </row>
    <row r="902">
      <c r="A902" s="2">
        <f>IFERROR(__xludf.DUMMYFUNCTION("""COMPUTED_VALUE"""),9.0)</f>
        <v>9</v>
      </c>
    </row>
    <row r="903">
      <c r="A903" s="2">
        <f>IFERROR(__xludf.DUMMYFUNCTION("""COMPUTED_VALUE"""),9.0)</f>
        <v>9</v>
      </c>
    </row>
    <row r="904">
      <c r="A904" s="2">
        <f>IFERROR(__xludf.DUMMYFUNCTION("""COMPUTED_VALUE"""),9.0)</f>
        <v>9</v>
      </c>
    </row>
    <row r="905">
      <c r="A905" s="2">
        <f>IFERROR(__xludf.DUMMYFUNCTION("""COMPUTED_VALUE"""),7.0)</f>
        <v>7</v>
      </c>
    </row>
    <row r="906">
      <c r="A906" s="2">
        <f>IFERROR(__xludf.DUMMYFUNCTION("""COMPUTED_VALUE"""),7.0)</f>
        <v>7</v>
      </c>
    </row>
    <row r="907">
      <c r="A907" s="2">
        <f>IFERROR(__xludf.DUMMYFUNCTION("""COMPUTED_VALUE"""),7.0)</f>
        <v>7</v>
      </c>
    </row>
    <row r="908">
      <c r="A908" s="2">
        <f>IFERROR(__xludf.DUMMYFUNCTION("""COMPUTED_VALUE"""),7.0)</f>
        <v>7</v>
      </c>
    </row>
    <row r="909">
      <c r="A909" s="2">
        <f>IFERROR(__xludf.DUMMYFUNCTION("""COMPUTED_VALUE"""),7.0)</f>
        <v>7</v>
      </c>
    </row>
    <row r="910">
      <c r="A910" s="2">
        <f>IFERROR(__xludf.DUMMYFUNCTION("""COMPUTED_VALUE"""),7.0)</f>
        <v>7</v>
      </c>
    </row>
    <row r="911">
      <c r="A911" s="2">
        <f>IFERROR(__xludf.DUMMYFUNCTION("""COMPUTED_VALUE"""),4.0)</f>
        <v>4</v>
      </c>
    </row>
    <row r="912">
      <c r="A912" s="2">
        <f>IFERROR(__xludf.DUMMYFUNCTION("""COMPUTED_VALUE"""),4.0)</f>
        <v>4</v>
      </c>
    </row>
    <row r="913">
      <c r="A913" s="2">
        <f>IFERROR(__xludf.DUMMYFUNCTION("""COMPUTED_VALUE"""),4.0)</f>
        <v>4</v>
      </c>
    </row>
    <row r="914">
      <c r="A914" s="2">
        <f>IFERROR(__xludf.DUMMYFUNCTION("""COMPUTED_VALUE"""),4.0)</f>
        <v>4</v>
      </c>
    </row>
    <row r="915">
      <c r="A915" s="2">
        <f>IFERROR(__xludf.DUMMYFUNCTION("""COMPUTED_VALUE"""),2.0)</f>
        <v>2</v>
      </c>
    </row>
    <row r="916">
      <c r="A916" s="2">
        <f>IFERROR(__xludf.DUMMYFUNCTION("""COMPUTED_VALUE"""),2.0)</f>
        <v>2</v>
      </c>
    </row>
    <row r="917">
      <c r="A917" s="2">
        <f>IFERROR(__xludf.DUMMYFUNCTION("""COMPUTED_VALUE"""),2.0)</f>
        <v>2</v>
      </c>
    </row>
    <row r="918">
      <c r="A918" s="2">
        <f>IFERROR(__xludf.DUMMYFUNCTION("""COMPUTED_VALUE"""),2.0)</f>
        <v>2</v>
      </c>
    </row>
    <row r="919">
      <c r="A919" s="2">
        <f>IFERROR(__xludf.DUMMYFUNCTION("""COMPUTED_VALUE"""),2.0)</f>
        <v>2</v>
      </c>
    </row>
    <row r="920">
      <c r="A920" s="2">
        <f>IFERROR(__xludf.DUMMYFUNCTION("""COMPUTED_VALUE"""),2.0)</f>
        <v>2</v>
      </c>
    </row>
    <row r="921">
      <c r="A921" s="2">
        <f>IFERROR(__xludf.DUMMYFUNCTION("""COMPUTED_VALUE"""),4.0)</f>
        <v>4</v>
      </c>
    </row>
    <row r="922">
      <c r="A922" s="2">
        <f>IFERROR(__xludf.DUMMYFUNCTION("""COMPUTED_VALUE"""),1.0)</f>
        <v>1</v>
      </c>
    </row>
    <row r="923">
      <c r="A923" s="2">
        <f>IFERROR(__xludf.DUMMYFUNCTION("""COMPUTED_VALUE"""),1.0)</f>
        <v>1</v>
      </c>
    </row>
    <row r="924">
      <c r="A924" s="2">
        <f>IFERROR(__xludf.DUMMYFUNCTION("""COMPUTED_VALUE"""),1.0)</f>
        <v>1</v>
      </c>
    </row>
    <row r="925">
      <c r="A925" s="2">
        <f>IFERROR(__xludf.DUMMYFUNCTION("""COMPUTED_VALUE"""),4.0)</f>
        <v>4</v>
      </c>
    </row>
    <row r="926">
      <c r="A926" s="2">
        <f>IFERROR(__xludf.DUMMYFUNCTION("""COMPUTED_VALUE"""),4.0)</f>
        <v>4</v>
      </c>
    </row>
    <row r="927">
      <c r="A927" s="2">
        <f>IFERROR(__xludf.DUMMYFUNCTION("""COMPUTED_VALUE"""),4.0)</f>
        <v>4</v>
      </c>
    </row>
    <row r="928">
      <c r="A928" s="2">
        <f>IFERROR(__xludf.DUMMYFUNCTION("""COMPUTED_VALUE"""),4.0)</f>
        <v>4</v>
      </c>
    </row>
    <row r="929">
      <c r="A929" s="2">
        <f>IFERROR(__xludf.DUMMYFUNCTION("""COMPUTED_VALUE"""),4.0)</f>
        <v>4</v>
      </c>
    </row>
    <row r="930">
      <c r="A930" s="2">
        <f>IFERROR(__xludf.DUMMYFUNCTION("""COMPUTED_VALUE"""),4.0)</f>
        <v>4</v>
      </c>
    </row>
    <row r="931">
      <c r="A931" s="2">
        <f>IFERROR(__xludf.DUMMYFUNCTION("""COMPUTED_VALUE"""),8.0)</f>
        <v>8</v>
      </c>
    </row>
    <row r="932">
      <c r="A932" s="2">
        <f>IFERROR(__xludf.DUMMYFUNCTION("""COMPUTED_VALUE"""),8.0)</f>
        <v>8</v>
      </c>
    </row>
    <row r="933">
      <c r="A933" s="2">
        <f>IFERROR(__xludf.DUMMYFUNCTION("""COMPUTED_VALUE"""),8.0)</f>
        <v>8</v>
      </c>
    </row>
    <row r="934">
      <c r="A934" s="2">
        <f>IFERROR(__xludf.DUMMYFUNCTION("""COMPUTED_VALUE"""),8.0)</f>
        <v>8</v>
      </c>
    </row>
    <row r="935">
      <c r="A935" s="2">
        <f>IFERROR(__xludf.DUMMYFUNCTION("""COMPUTED_VALUE"""),8.0)</f>
        <v>8</v>
      </c>
    </row>
    <row r="936">
      <c r="A936" s="2">
        <f>IFERROR(__xludf.DUMMYFUNCTION("""COMPUTED_VALUE"""),4.0)</f>
        <v>4</v>
      </c>
    </row>
    <row r="937">
      <c r="A937" s="2">
        <f>IFERROR(__xludf.DUMMYFUNCTION("""COMPUTED_VALUE"""),4.0)</f>
        <v>4</v>
      </c>
    </row>
    <row r="938">
      <c r="A938" s="2">
        <f>IFERROR(__xludf.DUMMYFUNCTION("""COMPUTED_VALUE"""),4.0)</f>
        <v>4</v>
      </c>
    </row>
    <row r="939">
      <c r="A939" s="2">
        <f>IFERROR(__xludf.DUMMYFUNCTION("""COMPUTED_VALUE"""),4.0)</f>
        <v>4</v>
      </c>
    </row>
    <row r="940">
      <c r="A940" s="2">
        <f>IFERROR(__xludf.DUMMYFUNCTION("""COMPUTED_VALUE"""),4.0)</f>
        <v>4</v>
      </c>
    </row>
    <row r="941">
      <c r="A941" s="2">
        <f>IFERROR(__xludf.DUMMYFUNCTION("""COMPUTED_VALUE"""),4.0)</f>
        <v>4</v>
      </c>
    </row>
    <row r="942">
      <c r="A942" s="2">
        <f>IFERROR(__xludf.DUMMYFUNCTION("""COMPUTED_VALUE"""),4.0)</f>
        <v>4</v>
      </c>
    </row>
    <row r="943">
      <c r="A943" s="2">
        <f>IFERROR(__xludf.DUMMYFUNCTION("""COMPUTED_VALUE"""),4.0)</f>
        <v>4</v>
      </c>
    </row>
    <row r="944">
      <c r="A944" s="2">
        <f>IFERROR(__xludf.DUMMYFUNCTION("""COMPUTED_VALUE"""),9.0)</f>
        <v>9</v>
      </c>
    </row>
    <row r="945">
      <c r="A945" s="2">
        <f>IFERROR(__xludf.DUMMYFUNCTION("""COMPUTED_VALUE"""),9.0)</f>
        <v>9</v>
      </c>
    </row>
    <row r="946">
      <c r="A946" s="2">
        <f>IFERROR(__xludf.DUMMYFUNCTION("""COMPUTED_VALUE"""),9.0)</f>
        <v>9</v>
      </c>
    </row>
    <row r="947">
      <c r="A947" s="2">
        <f>IFERROR(__xludf.DUMMYFUNCTION("""COMPUTED_VALUE"""),9.0)</f>
        <v>9</v>
      </c>
    </row>
    <row r="948">
      <c r="A948" s="2">
        <f>IFERROR(__xludf.DUMMYFUNCTION("""COMPUTED_VALUE"""),8.0)</f>
        <v>8</v>
      </c>
    </row>
    <row r="949">
      <c r="A949" s="2">
        <f>IFERROR(__xludf.DUMMYFUNCTION("""COMPUTED_VALUE"""),8.0)</f>
        <v>8</v>
      </c>
    </row>
    <row r="950">
      <c r="A950" s="2">
        <f>IFERROR(__xludf.DUMMYFUNCTION("""COMPUTED_VALUE"""),8.0)</f>
        <v>8</v>
      </c>
    </row>
    <row r="951">
      <c r="A951" s="2">
        <f>IFERROR(__xludf.DUMMYFUNCTION("""COMPUTED_VALUE"""),9.0)</f>
        <v>9</v>
      </c>
    </row>
    <row r="952">
      <c r="A952" s="2">
        <f>IFERROR(__xludf.DUMMYFUNCTION("""COMPUTED_VALUE"""),9.0)</f>
        <v>9</v>
      </c>
    </row>
    <row r="953">
      <c r="A953" s="2">
        <f>IFERROR(__xludf.DUMMYFUNCTION("""COMPUTED_VALUE"""),9.0)</f>
        <v>9</v>
      </c>
    </row>
    <row r="954">
      <c r="A954" s="2">
        <f>IFERROR(__xludf.DUMMYFUNCTION("""COMPUTED_VALUE"""),9.0)</f>
        <v>9</v>
      </c>
    </row>
    <row r="955">
      <c r="A955" s="2">
        <f>IFERROR(__xludf.DUMMYFUNCTION("""COMPUTED_VALUE"""),9.0)</f>
        <v>9</v>
      </c>
    </row>
    <row r="956">
      <c r="A956" s="2">
        <f>IFERROR(__xludf.DUMMYFUNCTION("""COMPUTED_VALUE"""),2.0)</f>
        <v>2</v>
      </c>
    </row>
    <row r="957">
      <c r="A957" s="2">
        <f>IFERROR(__xludf.DUMMYFUNCTION("""COMPUTED_VALUE"""),2.0)</f>
        <v>2</v>
      </c>
    </row>
    <row r="958">
      <c r="A958" s="2">
        <f>IFERROR(__xludf.DUMMYFUNCTION("""COMPUTED_VALUE"""),2.0)</f>
        <v>2</v>
      </c>
    </row>
    <row r="959">
      <c r="A959" s="2">
        <f>IFERROR(__xludf.DUMMYFUNCTION("""COMPUTED_VALUE"""),6.0)</f>
        <v>6</v>
      </c>
    </row>
    <row r="960">
      <c r="A960" s="2">
        <f>IFERROR(__xludf.DUMMYFUNCTION("""COMPUTED_VALUE"""),6.0)</f>
        <v>6</v>
      </c>
    </row>
    <row r="961">
      <c r="A961" s="2">
        <f>IFERROR(__xludf.DUMMYFUNCTION("""COMPUTED_VALUE"""),6.0)</f>
        <v>6</v>
      </c>
    </row>
    <row r="962">
      <c r="A962" s="2">
        <f>IFERROR(__xludf.DUMMYFUNCTION("""COMPUTED_VALUE"""),6.0)</f>
        <v>6</v>
      </c>
    </row>
    <row r="963">
      <c r="A963" s="2">
        <f>IFERROR(__xludf.DUMMYFUNCTION("""COMPUTED_VALUE"""),6.0)</f>
        <v>6</v>
      </c>
    </row>
    <row r="964">
      <c r="A964" s="2">
        <f>IFERROR(__xludf.DUMMYFUNCTION("""COMPUTED_VALUE"""),6.0)</f>
        <v>6</v>
      </c>
    </row>
    <row r="965">
      <c r="A965" s="2">
        <f>IFERROR(__xludf.DUMMYFUNCTION("""COMPUTED_VALUE"""),2.0)</f>
        <v>2</v>
      </c>
    </row>
    <row r="966">
      <c r="A966" s="2">
        <f>IFERROR(__xludf.DUMMYFUNCTION("""COMPUTED_VALUE"""),2.0)</f>
        <v>2</v>
      </c>
    </row>
    <row r="967">
      <c r="A967" s="2">
        <f>IFERROR(__xludf.DUMMYFUNCTION("""COMPUTED_VALUE"""),2.0)</f>
        <v>2</v>
      </c>
    </row>
    <row r="968">
      <c r="A968" s="2">
        <f>IFERROR(__xludf.DUMMYFUNCTION("""COMPUTED_VALUE"""),2.0)</f>
        <v>2</v>
      </c>
    </row>
    <row r="969">
      <c r="A969" s="2">
        <f>IFERROR(__xludf.DUMMYFUNCTION("""COMPUTED_VALUE"""),9.0)</f>
        <v>9</v>
      </c>
    </row>
    <row r="970">
      <c r="A970" s="2">
        <f>IFERROR(__xludf.DUMMYFUNCTION("""COMPUTED_VALUE"""),9.0)</f>
        <v>9</v>
      </c>
    </row>
    <row r="971">
      <c r="A971" s="2">
        <f>IFERROR(__xludf.DUMMYFUNCTION("""COMPUTED_VALUE"""),9.0)</f>
        <v>9</v>
      </c>
    </row>
    <row r="972">
      <c r="A972" s="2">
        <f>IFERROR(__xludf.DUMMYFUNCTION("""COMPUTED_VALUE"""),9.0)</f>
        <v>9</v>
      </c>
    </row>
    <row r="973">
      <c r="A973" s="2">
        <f>IFERROR(__xludf.DUMMYFUNCTION("""COMPUTED_VALUE"""),9.0)</f>
        <v>9</v>
      </c>
    </row>
    <row r="974">
      <c r="A974" s="2">
        <f>IFERROR(__xludf.DUMMYFUNCTION("""COMPUTED_VALUE"""),9.0)</f>
        <v>9</v>
      </c>
    </row>
    <row r="975">
      <c r="A975" s="2">
        <f>IFERROR(__xludf.DUMMYFUNCTION("""COMPUTED_VALUE"""),1.0)</f>
        <v>1</v>
      </c>
    </row>
    <row r="976">
      <c r="A976" s="2">
        <f>IFERROR(__xludf.DUMMYFUNCTION("""COMPUTED_VALUE"""),8.0)</f>
        <v>8</v>
      </c>
    </row>
    <row r="977">
      <c r="A977" s="2">
        <f>IFERROR(__xludf.DUMMYFUNCTION("""COMPUTED_VALUE"""),8.0)</f>
        <v>8</v>
      </c>
    </row>
    <row r="978">
      <c r="A978" s="2">
        <f>IFERROR(__xludf.DUMMYFUNCTION("""COMPUTED_VALUE"""),8.0)</f>
        <v>8</v>
      </c>
    </row>
    <row r="979">
      <c r="A979" s="2">
        <f>IFERROR(__xludf.DUMMYFUNCTION("""COMPUTED_VALUE"""),8.0)</f>
        <v>8</v>
      </c>
    </row>
    <row r="980">
      <c r="A980" s="2">
        <f>IFERROR(__xludf.DUMMYFUNCTION("""COMPUTED_VALUE"""),8.0)</f>
        <v>8</v>
      </c>
    </row>
    <row r="981">
      <c r="A981" s="2">
        <f>IFERROR(__xludf.DUMMYFUNCTION("""COMPUTED_VALUE"""),8.0)</f>
        <v>8</v>
      </c>
    </row>
    <row r="982">
      <c r="A982" s="2">
        <f>IFERROR(__xludf.DUMMYFUNCTION("""COMPUTED_VALUE"""),8.0)</f>
        <v>8</v>
      </c>
    </row>
    <row r="983">
      <c r="A983" s="2">
        <f>IFERROR(__xludf.DUMMYFUNCTION("""COMPUTED_VALUE"""),8.0)</f>
        <v>8</v>
      </c>
    </row>
    <row r="984">
      <c r="A984" s="2">
        <f>IFERROR(__xludf.DUMMYFUNCTION("""COMPUTED_VALUE"""),5.0)</f>
        <v>5</v>
      </c>
    </row>
    <row r="985">
      <c r="A985" s="2">
        <f>IFERROR(__xludf.DUMMYFUNCTION("""COMPUTED_VALUE"""),5.0)</f>
        <v>5</v>
      </c>
    </row>
    <row r="986">
      <c r="A986" s="2">
        <f>IFERROR(__xludf.DUMMYFUNCTION("""COMPUTED_VALUE"""),5.0)</f>
        <v>5</v>
      </c>
    </row>
    <row r="987">
      <c r="A987" s="2">
        <f>IFERROR(__xludf.DUMMYFUNCTION("""COMPUTED_VALUE"""),5.0)</f>
        <v>5</v>
      </c>
    </row>
    <row r="988">
      <c r="A988" s="2">
        <f>IFERROR(__xludf.DUMMYFUNCTION("""COMPUTED_VALUE"""),5.0)</f>
        <v>5</v>
      </c>
    </row>
    <row r="989">
      <c r="A989" s="2">
        <f>IFERROR(__xludf.DUMMYFUNCTION("""COMPUTED_VALUE"""),5.0)</f>
        <v>5</v>
      </c>
    </row>
    <row r="990">
      <c r="A990" s="2">
        <f>IFERROR(__xludf.DUMMYFUNCTION("""COMPUTED_VALUE"""),5.0)</f>
        <v>5</v>
      </c>
    </row>
    <row r="991">
      <c r="A991" s="2">
        <f>IFERROR(__xludf.DUMMYFUNCTION("""COMPUTED_VALUE"""),5.0)</f>
        <v>5</v>
      </c>
    </row>
    <row r="992">
      <c r="A992" s="2">
        <f>IFERROR(__xludf.DUMMYFUNCTION("""COMPUTED_VALUE"""),5.0)</f>
        <v>5</v>
      </c>
    </row>
    <row r="993">
      <c r="A993" s="2">
        <f>IFERROR(__xludf.DUMMYFUNCTION("""COMPUTED_VALUE"""),5.0)</f>
        <v>5</v>
      </c>
    </row>
    <row r="994">
      <c r="A994" s="2">
        <f>IFERROR(__xludf.DUMMYFUNCTION("""COMPUTED_VALUE"""),5.0)</f>
        <v>5</v>
      </c>
    </row>
    <row r="995">
      <c r="A995" s="2">
        <f>IFERROR(__xludf.DUMMYFUNCTION("""COMPUTED_VALUE"""),5.0)</f>
        <v>5</v>
      </c>
    </row>
    <row r="996">
      <c r="A996" s="2">
        <f>IFERROR(__xludf.DUMMYFUNCTION("""COMPUTED_VALUE"""),5.0)</f>
        <v>5</v>
      </c>
    </row>
    <row r="997">
      <c r="A997" s="2">
        <f>IFERROR(__xludf.DUMMYFUNCTION("""COMPUTED_VALUE"""),5.0)</f>
        <v>5</v>
      </c>
    </row>
    <row r="998">
      <c r="A998" s="2">
        <f>IFERROR(__xludf.DUMMYFUNCTION("""COMPUTED_VALUE"""),5.0)</f>
        <v>5</v>
      </c>
    </row>
    <row r="999">
      <c r="A999" s="2">
        <f>IFERROR(__xludf.DUMMYFUNCTION("""COMPUTED_VALUE"""),5.0)</f>
        <v>5</v>
      </c>
    </row>
    <row r="1000">
      <c r="A1000" s="2">
        <f>IFERROR(__xludf.DUMMYFUNCTION("""COMPUTED_VALUE"""),5.0)</f>
        <v>5</v>
      </c>
    </row>
    <row r="1001">
      <c r="A1001" s="2">
        <f>IFERROR(__xludf.DUMMYFUNCTION("""COMPUTED_VALUE"""),5.0)</f>
        <v>5</v>
      </c>
    </row>
    <row r="1002">
      <c r="A1002" s="2">
        <f>IFERROR(__xludf.DUMMYFUNCTION("""COMPUTED_VALUE"""),5.0)</f>
        <v>5</v>
      </c>
    </row>
    <row r="1003">
      <c r="A1003" s="2">
        <f>IFERROR(__xludf.DUMMYFUNCTION("""COMPUTED_VALUE"""),5.0)</f>
        <v>5</v>
      </c>
    </row>
    <row r="1004">
      <c r="A1004" s="2">
        <f>IFERROR(__xludf.DUMMYFUNCTION("""COMPUTED_VALUE"""),2.0)</f>
        <v>2</v>
      </c>
    </row>
    <row r="1005">
      <c r="A1005" s="2">
        <f>IFERROR(__xludf.DUMMYFUNCTION("""COMPUTED_VALUE"""),2.0)</f>
        <v>2</v>
      </c>
    </row>
    <row r="1006">
      <c r="A1006" s="2">
        <f>IFERROR(__xludf.DUMMYFUNCTION("""COMPUTED_VALUE"""),7.0)</f>
        <v>7</v>
      </c>
    </row>
    <row r="1007">
      <c r="A1007" s="2">
        <f>IFERROR(__xludf.DUMMYFUNCTION("""COMPUTED_VALUE"""),7.0)</f>
        <v>7</v>
      </c>
    </row>
    <row r="1008">
      <c r="A1008" s="2">
        <f>IFERROR(__xludf.DUMMYFUNCTION("""COMPUTED_VALUE"""),7.0)</f>
        <v>7</v>
      </c>
    </row>
    <row r="1009">
      <c r="A1009" s="2">
        <f>IFERROR(__xludf.DUMMYFUNCTION("""COMPUTED_VALUE"""),7.0)</f>
        <v>7</v>
      </c>
    </row>
    <row r="1010">
      <c r="A1010" s="2">
        <f>IFERROR(__xludf.DUMMYFUNCTION("""COMPUTED_VALUE"""),7.0)</f>
        <v>7</v>
      </c>
    </row>
    <row r="1011">
      <c r="A1011" s="2">
        <f>IFERROR(__xludf.DUMMYFUNCTION("""COMPUTED_VALUE"""),7.0)</f>
        <v>7</v>
      </c>
    </row>
    <row r="1012">
      <c r="A1012" s="2">
        <f>IFERROR(__xludf.DUMMYFUNCTION("""COMPUTED_VALUE"""),6.0)</f>
        <v>6</v>
      </c>
    </row>
    <row r="1013">
      <c r="A1013" s="2">
        <f>IFERROR(__xludf.DUMMYFUNCTION("""COMPUTED_VALUE"""),6.0)</f>
        <v>6</v>
      </c>
    </row>
    <row r="1014">
      <c r="A1014" s="2">
        <f>IFERROR(__xludf.DUMMYFUNCTION("""COMPUTED_VALUE"""),6.0)</f>
        <v>6</v>
      </c>
    </row>
    <row r="1015">
      <c r="A1015" s="2">
        <f>IFERROR(__xludf.DUMMYFUNCTION("""COMPUTED_VALUE"""),6.0)</f>
        <v>6</v>
      </c>
    </row>
    <row r="1016">
      <c r="A1016" s="2">
        <f>IFERROR(__xludf.DUMMYFUNCTION("""COMPUTED_VALUE"""),6.0)</f>
        <v>6</v>
      </c>
    </row>
    <row r="1017">
      <c r="A1017" s="2">
        <f>IFERROR(__xludf.DUMMYFUNCTION("""COMPUTED_VALUE"""),6.0)</f>
        <v>6</v>
      </c>
    </row>
    <row r="1018">
      <c r="A1018" s="2">
        <f>IFERROR(__xludf.DUMMYFUNCTION("""COMPUTED_VALUE"""),6.0)</f>
        <v>6</v>
      </c>
    </row>
    <row r="1019">
      <c r="A1019" s="2">
        <f>IFERROR(__xludf.DUMMYFUNCTION("""COMPUTED_VALUE"""),6.0)</f>
        <v>6</v>
      </c>
    </row>
    <row r="1020">
      <c r="A1020" s="2">
        <f>IFERROR(__xludf.DUMMYFUNCTION("""COMPUTED_VALUE"""),6.0)</f>
        <v>6</v>
      </c>
    </row>
    <row r="1021">
      <c r="A1021" s="2">
        <f>IFERROR(__xludf.DUMMYFUNCTION("""COMPUTED_VALUE"""),6.0)</f>
        <v>6</v>
      </c>
    </row>
    <row r="1022">
      <c r="A1022" s="2">
        <f>IFERROR(__xludf.DUMMYFUNCTION("""COMPUTED_VALUE"""),6.0)</f>
        <v>6</v>
      </c>
    </row>
    <row r="1023">
      <c r="A1023" s="2">
        <f>IFERROR(__xludf.DUMMYFUNCTION("""COMPUTED_VALUE"""),6.0)</f>
        <v>6</v>
      </c>
    </row>
    <row r="1024">
      <c r="A1024" s="2">
        <f>IFERROR(__xludf.DUMMYFUNCTION("""COMPUTED_VALUE"""),6.0)</f>
        <v>6</v>
      </c>
    </row>
    <row r="1025">
      <c r="A1025" s="2">
        <f>IFERROR(__xludf.DUMMYFUNCTION("""COMPUTED_VALUE"""),6.0)</f>
        <v>6</v>
      </c>
    </row>
    <row r="1026">
      <c r="A1026" s="2">
        <f>IFERROR(__xludf.DUMMYFUNCTION("""COMPUTED_VALUE"""),1.0)</f>
        <v>1</v>
      </c>
    </row>
    <row r="1027">
      <c r="A1027" s="2">
        <f>IFERROR(__xludf.DUMMYFUNCTION("""COMPUTED_VALUE"""),1.0)</f>
        <v>1</v>
      </c>
    </row>
    <row r="1028">
      <c r="A1028" s="2">
        <f>IFERROR(__xludf.DUMMYFUNCTION("""COMPUTED_VALUE"""),1.0)</f>
        <v>1</v>
      </c>
    </row>
    <row r="1029">
      <c r="A1029" s="2">
        <f>IFERROR(__xludf.DUMMYFUNCTION("""COMPUTED_VALUE"""),1.0)</f>
        <v>1</v>
      </c>
    </row>
    <row r="1030">
      <c r="A1030" s="2">
        <f>IFERROR(__xludf.DUMMYFUNCTION("""COMPUTED_VALUE"""),1.0)</f>
        <v>1</v>
      </c>
    </row>
    <row r="1031">
      <c r="A1031" s="2">
        <f>IFERROR(__xludf.DUMMYFUNCTION("""COMPUTED_VALUE"""),1.0)</f>
        <v>1</v>
      </c>
    </row>
    <row r="1032">
      <c r="A1032" s="2">
        <f>IFERROR(__xludf.DUMMYFUNCTION("""COMPUTED_VALUE"""),6.0)</f>
        <v>6</v>
      </c>
    </row>
    <row r="1033">
      <c r="A1033" s="2">
        <f>IFERROR(__xludf.DUMMYFUNCTION("""COMPUTED_VALUE"""),6.0)</f>
        <v>6</v>
      </c>
    </row>
    <row r="1034">
      <c r="A1034" s="2">
        <f>IFERROR(__xludf.DUMMYFUNCTION("""COMPUTED_VALUE"""),6.0)</f>
        <v>6</v>
      </c>
    </row>
    <row r="1035">
      <c r="A1035" s="2">
        <f>IFERROR(__xludf.DUMMYFUNCTION("""COMPUTED_VALUE"""),8.0)</f>
        <v>8</v>
      </c>
    </row>
    <row r="1036">
      <c r="A1036" s="2">
        <f>IFERROR(__xludf.DUMMYFUNCTION("""COMPUTED_VALUE"""),8.0)</f>
        <v>8</v>
      </c>
    </row>
    <row r="1037">
      <c r="A1037" s="2">
        <f>IFERROR(__xludf.DUMMYFUNCTION("""COMPUTED_VALUE"""),8.0)</f>
        <v>8</v>
      </c>
    </row>
    <row r="1038">
      <c r="A1038" s="2">
        <f>IFERROR(__xludf.DUMMYFUNCTION("""COMPUTED_VALUE"""),8.0)</f>
        <v>8</v>
      </c>
    </row>
    <row r="1039">
      <c r="A1039" s="2">
        <f>IFERROR(__xludf.DUMMYFUNCTION("""COMPUTED_VALUE"""),8.0)</f>
        <v>8</v>
      </c>
    </row>
    <row r="1040">
      <c r="A1040" s="2">
        <f>IFERROR(__xludf.DUMMYFUNCTION("""COMPUTED_VALUE"""),7.0)</f>
        <v>7</v>
      </c>
    </row>
    <row r="1041">
      <c r="A1041" s="2">
        <f>IFERROR(__xludf.DUMMYFUNCTION("""COMPUTED_VALUE"""),7.0)</f>
        <v>7</v>
      </c>
    </row>
    <row r="1042">
      <c r="A1042" s="2">
        <f>IFERROR(__xludf.DUMMYFUNCTION("""COMPUTED_VALUE"""),7.0)</f>
        <v>7</v>
      </c>
    </row>
    <row r="1043">
      <c r="A1043" s="2">
        <f>IFERROR(__xludf.DUMMYFUNCTION("""COMPUTED_VALUE"""),3.0)</f>
        <v>3</v>
      </c>
    </row>
    <row r="1044">
      <c r="A1044" s="2">
        <f>IFERROR(__xludf.DUMMYFUNCTION("""COMPUTED_VALUE"""),3.0)</f>
        <v>3</v>
      </c>
    </row>
    <row r="1045">
      <c r="A1045" s="2">
        <f>IFERROR(__xludf.DUMMYFUNCTION("""COMPUTED_VALUE"""),3.0)</f>
        <v>3</v>
      </c>
    </row>
    <row r="1046">
      <c r="A1046" s="2">
        <f>IFERROR(__xludf.DUMMYFUNCTION("""COMPUTED_VALUE"""),3.0)</f>
        <v>3</v>
      </c>
    </row>
    <row r="1047">
      <c r="A1047" s="2">
        <f>IFERROR(__xludf.DUMMYFUNCTION("""COMPUTED_VALUE"""),3.0)</f>
        <v>3</v>
      </c>
    </row>
    <row r="1048">
      <c r="A1048" s="2">
        <f>IFERROR(__xludf.DUMMYFUNCTION("""COMPUTED_VALUE"""),3.0)</f>
        <v>3</v>
      </c>
    </row>
    <row r="1049">
      <c r="A1049" s="2">
        <f>IFERROR(__xludf.DUMMYFUNCTION("""COMPUTED_VALUE"""),3.0)</f>
        <v>3</v>
      </c>
    </row>
    <row r="1050">
      <c r="A1050" s="2">
        <f>IFERROR(__xludf.DUMMYFUNCTION("""COMPUTED_VALUE"""),3.0)</f>
        <v>3</v>
      </c>
    </row>
    <row r="1051">
      <c r="A1051" s="2">
        <f>IFERROR(__xludf.DUMMYFUNCTION("""COMPUTED_VALUE"""),3.0)</f>
        <v>3</v>
      </c>
    </row>
    <row r="1052">
      <c r="A1052" s="2">
        <f>IFERROR(__xludf.DUMMYFUNCTION("""COMPUTED_VALUE"""),3.0)</f>
        <v>3</v>
      </c>
    </row>
    <row r="1053">
      <c r="A1053" s="2">
        <f>IFERROR(__xludf.DUMMYFUNCTION("""COMPUTED_VALUE"""),3.0)</f>
        <v>3</v>
      </c>
    </row>
    <row r="1054">
      <c r="A1054" s="2">
        <f>IFERROR(__xludf.DUMMYFUNCTION("""COMPUTED_VALUE"""),3.0)</f>
        <v>3</v>
      </c>
    </row>
    <row r="1055">
      <c r="A1055" s="2">
        <f>IFERROR(__xludf.DUMMYFUNCTION("""COMPUTED_VALUE"""),3.0)</f>
        <v>3</v>
      </c>
    </row>
    <row r="1056">
      <c r="A1056" s="2">
        <f>IFERROR(__xludf.DUMMYFUNCTION("""COMPUTED_VALUE"""),3.0)</f>
        <v>3</v>
      </c>
    </row>
    <row r="1057">
      <c r="A1057" s="2">
        <f>IFERROR(__xludf.DUMMYFUNCTION("""COMPUTED_VALUE"""),3.0)</f>
        <v>3</v>
      </c>
    </row>
    <row r="1058">
      <c r="A1058" s="2">
        <f>IFERROR(__xludf.DUMMYFUNCTION("""COMPUTED_VALUE"""),3.0)</f>
        <v>3</v>
      </c>
    </row>
    <row r="1059">
      <c r="A1059" s="2">
        <f>IFERROR(__xludf.DUMMYFUNCTION("""COMPUTED_VALUE"""),3.0)</f>
        <v>3</v>
      </c>
    </row>
    <row r="1060">
      <c r="A1060" s="2">
        <f>IFERROR(__xludf.DUMMYFUNCTION("""COMPUTED_VALUE"""),6.0)</f>
        <v>6</v>
      </c>
    </row>
    <row r="1061">
      <c r="A1061" s="2">
        <f>IFERROR(__xludf.DUMMYFUNCTION("""COMPUTED_VALUE"""),6.0)</f>
        <v>6</v>
      </c>
    </row>
    <row r="1062">
      <c r="A1062" s="2">
        <f>IFERROR(__xludf.DUMMYFUNCTION("""COMPUTED_VALUE"""),6.0)</f>
        <v>6</v>
      </c>
    </row>
    <row r="1063">
      <c r="A1063" s="2">
        <f>IFERROR(__xludf.DUMMYFUNCTION("""COMPUTED_VALUE"""),6.0)</f>
        <v>6</v>
      </c>
    </row>
    <row r="1064">
      <c r="A1064" s="2">
        <f>IFERROR(__xludf.DUMMYFUNCTION("""COMPUTED_VALUE"""),9.0)</f>
        <v>9</v>
      </c>
    </row>
    <row r="1065">
      <c r="A1065" s="2">
        <f>IFERROR(__xludf.DUMMYFUNCTION("""COMPUTED_VALUE"""),9.0)</f>
        <v>9</v>
      </c>
    </row>
    <row r="1066">
      <c r="A1066" s="2">
        <f>IFERROR(__xludf.DUMMYFUNCTION("""COMPUTED_VALUE"""),9.0)</f>
        <v>9</v>
      </c>
    </row>
    <row r="1067">
      <c r="A1067" s="2">
        <f>IFERROR(__xludf.DUMMYFUNCTION("""COMPUTED_VALUE"""),9.0)</f>
        <v>9</v>
      </c>
    </row>
    <row r="1068">
      <c r="A1068" s="2">
        <f>IFERROR(__xludf.DUMMYFUNCTION("""COMPUTED_VALUE"""),9.0)</f>
        <v>9</v>
      </c>
    </row>
    <row r="1069">
      <c r="A1069" s="2">
        <f>IFERROR(__xludf.DUMMYFUNCTION("""COMPUTED_VALUE"""),9.0)</f>
        <v>9</v>
      </c>
    </row>
    <row r="1070">
      <c r="A1070" s="2">
        <f>IFERROR(__xludf.DUMMYFUNCTION("""COMPUTED_VALUE"""),9.0)</f>
        <v>9</v>
      </c>
    </row>
    <row r="1071">
      <c r="A1071" s="2">
        <f>IFERROR(__xludf.DUMMYFUNCTION("""COMPUTED_VALUE"""),9.0)</f>
        <v>9</v>
      </c>
    </row>
    <row r="1072">
      <c r="A1072" s="2">
        <f>IFERROR(__xludf.DUMMYFUNCTION("""COMPUTED_VALUE"""),9.0)</f>
        <v>9</v>
      </c>
    </row>
    <row r="1073">
      <c r="A1073" s="2">
        <f>IFERROR(__xludf.DUMMYFUNCTION("""COMPUTED_VALUE"""),9.0)</f>
        <v>9</v>
      </c>
    </row>
    <row r="1074">
      <c r="A1074" s="2">
        <f>IFERROR(__xludf.DUMMYFUNCTION("""COMPUTED_VALUE"""),9.0)</f>
        <v>9</v>
      </c>
    </row>
    <row r="1075">
      <c r="A1075" s="2">
        <f>IFERROR(__xludf.DUMMYFUNCTION("""COMPUTED_VALUE"""),9.0)</f>
        <v>9</v>
      </c>
    </row>
    <row r="1076">
      <c r="A1076" s="2">
        <f>IFERROR(__xludf.DUMMYFUNCTION("""COMPUTED_VALUE"""),4.0)</f>
        <v>4</v>
      </c>
    </row>
    <row r="1077">
      <c r="A1077" s="2">
        <f>IFERROR(__xludf.DUMMYFUNCTION("""COMPUTED_VALUE"""),3.0)</f>
        <v>3</v>
      </c>
    </row>
    <row r="1078">
      <c r="A1078" s="2">
        <f>IFERROR(__xludf.DUMMYFUNCTION("""COMPUTED_VALUE"""),3.0)</f>
        <v>3</v>
      </c>
    </row>
    <row r="1079">
      <c r="A1079" s="2">
        <f>IFERROR(__xludf.DUMMYFUNCTION("""COMPUTED_VALUE"""),3.0)</f>
        <v>3</v>
      </c>
    </row>
    <row r="1080">
      <c r="A1080" s="2">
        <f>IFERROR(__xludf.DUMMYFUNCTION("""COMPUTED_VALUE"""),3.0)</f>
        <v>3</v>
      </c>
    </row>
    <row r="1081">
      <c r="A1081" s="2">
        <f>IFERROR(__xludf.DUMMYFUNCTION("""COMPUTED_VALUE"""),3.0)</f>
        <v>3</v>
      </c>
    </row>
    <row r="1082">
      <c r="A1082" s="2">
        <f>IFERROR(__xludf.DUMMYFUNCTION("""COMPUTED_VALUE"""),3.0)</f>
        <v>3</v>
      </c>
    </row>
    <row r="1083">
      <c r="A1083" s="2">
        <f>IFERROR(__xludf.DUMMYFUNCTION("""COMPUTED_VALUE"""),3.0)</f>
        <v>3</v>
      </c>
    </row>
    <row r="1084">
      <c r="A1084" s="2">
        <f>IFERROR(__xludf.DUMMYFUNCTION("""COMPUTED_VALUE"""),3.0)</f>
        <v>3</v>
      </c>
    </row>
    <row r="1085">
      <c r="A1085" s="2">
        <f>IFERROR(__xludf.DUMMYFUNCTION("""COMPUTED_VALUE"""),8.0)</f>
        <v>8</v>
      </c>
    </row>
    <row r="1086">
      <c r="A1086" s="2">
        <f>IFERROR(__xludf.DUMMYFUNCTION("""COMPUTED_VALUE"""),8.0)</f>
        <v>8</v>
      </c>
    </row>
    <row r="1087">
      <c r="A1087" s="2">
        <f>IFERROR(__xludf.DUMMYFUNCTION("""COMPUTED_VALUE"""),8.0)</f>
        <v>8</v>
      </c>
    </row>
    <row r="1088">
      <c r="A1088" s="2">
        <f>IFERROR(__xludf.DUMMYFUNCTION("""COMPUTED_VALUE"""),8.0)</f>
        <v>8</v>
      </c>
    </row>
    <row r="1089">
      <c r="A1089" s="2">
        <f>IFERROR(__xludf.DUMMYFUNCTION("""COMPUTED_VALUE"""),8.0)</f>
        <v>8</v>
      </c>
    </row>
    <row r="1090">
      <c r="A1090" s="2">
        <f>IFERROR(__xludf.DUMMYFUNCTION("""COMPUTED_VALUE"""),8.0)</f>
        <v>8</v>
      </c>
    </row>
    <row r="1091">
      <c r="A1091" s="2">
        <f>IFERROR(__xludf.DUMMYFUNCTION("""COMPUTED_VALUE"""),8.0)</f>
        <v>8</v>
      </c>
    </row>
    <row r="1092">
      <c r="A1092" s="2">
        <f>IFERROR(__xludf.DUMMYFUNCTION("""COMPUTED_VALUE"""),8.0)</f>
        <v>8</v>
      </c>
    </row>
    <row r="1093">
      <c r="A1093" s="2">
        <f>IFERROR(__xludf.DUMMYFUNCTION("""COMPUTED_VALUE"""),9.0)</f>
        <v>9</v>
      </c>
    </row>
    <row r="1094">
      <c r="A1094" s="2">
        <f>IFERROR(__xludf.DUMMYFUNCTION("""COMPUTED_VALUE"""),9.0)</f>
        <v>9</v>
      </c>
    </row>
    <row r="1095">
      <c r="A1095" s="2">
        <f>IFERROR(__xludf.DUMMYFUNCTION("""COMPUTED_VALUE"""),9.0)</f>
        <v>9</v>
      </c>
    </row>
    <row r="1096">
      <c r="A1096" s="2">
        <f>IFERROR(__xludf.DUMMYFUNCTION("""COMPUTED_VALUE"""),9.0)</f>
        <v>9</v>
      </c>
    </row>
    <row r="1097">
      <c r="A1097" s="2">
        <f>IFERROR(__xludf.DUMMYFUNCTION("""COMPUTED_VALUE"""),9.0)</f>
        <v>9</v>
      </c>
    </row>
    <row r="1098">
      <c r="A1098" s="2">
        <f>IFERROR(__xludf.DUMMYFUNCTION("""COMPUTED_VALUE"""),9.0)</f>
        <v>9</v>
      </c>
    </row>
    <row r="1099">
      <c r="A1099" s="2">
        <f>IFERROR(__xludf.DUMMYFUNCTION("""COMPUTED_VALUE"""),9.0)</f>
        <v>9</v>
      </c>
    </row>
    <row r="1100">
      <c r="A1100" s="2">
        <f>IFERROR(__xludf.DUMMYFUNCTION("""COMPUTED_VALUE"""),9.0)</f>
        <v>9</v>
      </c>
    </row>
    <row r="1101">
      <c r="A1101" s="2">
        <f>IFERROR(__xludf.DUMMYFUNCTION("""COMPUTED_VALUE"""),2.0)</f>
        <v>2</v>
      </c>
    </row>
    <row r="1102">
      <c r="A1102" s="2">
        <f>IFERROR(__xludf.DUMMYFUNCTION("""COMPUTED_VALUE"""),2.0)</f>
        <v>2</v>
      </c>
    </row>
    <row r="1103">
      <c r="A1103" s="2">
        <f>IFERROR(__xludf.DUMMYFUNCTION("""COMPUTED_VALUE"""),2.0)</f>
        <v>2</v>
      </c>
    </row>
    <row r="1104">
      <c r="A1104" s="2">
        <f>IFERROR(__xludf.DUMMYFUNCTION("""COMPUTED_VALUE"""),2.0)</f>
        <v>2</v>
      </c>
    </row>
    <row r="1105">
      <c r="A1105" s="2">
        <f>IFERROR(__xludf.DUMMYFUNCTION("""COMPUTED_VALUE"""),2.0)</f>
        <v>2</v>
      </c>
    </row>
    <row r="1106">
      <c r="A1106" s="2">
        <f>IFERROR(__xludf.DUMMYFUNCTION("""COMPUTED_VALUE"""),2.0)</f>
        <v>2</v>
      </c>
    </row>
    <row r="1107">
      <c r="A1107" s="2">
        <f>IFERROR(__xludf.DUMMYFUNCTION("""COMPUTED_VALUE"""),2.0)</f>
        <v>2</v>
      </c>
    </row>
    <row r="1108">
      <c r="A1108" s="2">
        <f>IFERROR(__xludf.DUMMYFUNCTION("""COMPUTED_VALUE"""),2.0)</f>
        <v>2</v>
      </c>
    </row>
    <row r="1109">
      <c r="A1109" s="2">
        <f>IFERROR(__xludf.DUMMYFUNCTION("""COMPUTED_VALUE"""),2.0)</f>
        <v>2</v>
      </c>
    </row>
    <row r="1110">
      <c r="A1110" s="2">
        <f>IFERROR(__xludf.DUMMYFUNCTION("""COMPUTED_VALUE"""),2.0)</f>
        <v>2</v>
      </c>
    </row>
    <row r="1111">
      <c r="A1111" s="2">
        <f>IFERROR(__xludf.DUMMYFUNCTION("""COMPUTED_VALUE"""),2.0)</f>
        <v>2</v>
      </c>
    </row>
    <row r="1112">
      <c r="A1112" s="2">
        <f>IFERROR(__xludf.DUMMYFUNCTION("""COMPUTED_VALUE"""),2.0)</f>
        <v>2</v>
      </c>
    </row>
    <row r="1113">
      <c r="A1113" s="2">
        <f>IFERROR(__xludf.DUMMYFUNCTION("""COMPUTED_VALUE"""),2.0)</f>
        <v>2</v>
      </c>
    </row>
    <row r="1114">
      <c r="A1114" s="2">
        <f>IFERROR(__xludf.DUMMYFUNCTION("""COMPUTED_VALUE"""),2.0)</f>
        <v>2</v>
      </c>
    </row>
    <row r="1115">
      <c r="A1115" s="2">
        <f>IFERROR(__xludf.DUMMYFUNCTION("""COMPUTED_VALUE"""),2.0)</f>
        <v>2</v>
      </c>
    </row>
    <row r="1116">
      <c r="A1116" s="2">
        <f>IFERROR(__xludf.DUMMYFUNCTION("""COMPUTED_VALUE"""),2.0)</f>
        <v>2</v>
      </c>
    </row>
    <row r="1117">
      <c r="A1117" s="2">
        <f>IFERROR(__xludf.DUMMYFUNCTION("""COMPUTED_VALUE"""),2.0)</f>
        <v>2</v>
      </c>
    </row>
    <row r="1118">
      <c r="A1118" s="2">
        <f>IFERROR(__xludf.DUMMYFUNCTION("""COMPUTED_VALUE"""),2.0)</f>
        <v>2</v>
      </c>
    </row>
    <row r="1119">
      <c r="A1119" s="2">
        <f>IFERROR(__xludf.DUMMYFUNCTION("""COMPUTED_VALUE"""),7.0)</f>
        <v>7</v>
      </c>
    </row>
    <row r="1120">
      <c r="A1120" s="2">
        <f>IFERROR(__xludf.DUMMYFUNCTION("""COMPUTED_VALUE"""),7.0)</f>
        <v>7</v>
      </c>
    </row>
    <row r="1121">
      <c r="A1121" s="2">
        <f>IFERROR(__xludf.DUMMYFUNCTION("""COMPUTED_VALUE"""),7.0)</f>
        <v>7</v>
      </c>
    </row>
    <row r="1122">
      <c r="A1122" s="2">
        <f>IFERROR(__xludf.DUMMYFUNCTION("""COMPUTED_VALUE"""),1.0)</f>
        <v>1</v>
      </c>
    </row>
    <row r="1123">
      <c r="A1123" s="2">
        <f>IFERROR(__xludf.DUMMYFUNCTION("""COMPUTED_VALUE"""),2.0)</f>
        <v>2</v>
      </c>
    </row>
    <row r="1124">
      <c r="A1124" s="2">
        <f>IFERROR(__xludf.DUMMYFUNCTION("""COMPUTED_VALUE"""),2.0)</f>
        <v>2</v>
      </c>
    </row>
    <row r="1125">
      <c r="A1125" s="2">
        <f>IFERROR(__xludf.DUMMYFUNCTION("""COMPUTED_VALUE"""),2.0)</f>
        <v>2</v>
      </c>
    </row>
    <row r="1126">
      <c r="A1126" s="2">
        <f>IFERROR(__xludf.DUMMYFUNCTION("""COMPUTED_VALUE"""),2.0)</f>
        <v>2</v>
      </c>
    </row>
    <row r="1127">
      <c r="A1127" s="2">
        <f>IFERROR(__xludf.DUMMYFUNCTION("""COMPUTED_VALUE"""),9.0)</f>
        <v>9</v>
      </c>
    </row>
    <row r="1128">
      <c r="A1128" s="2">
        <f>IFERROR(__xludf.DUMMYFUNCTION("""COMPUTED_VALUE"""),9.0)</f>
        <v>9</v>
      </c>
    </row>
    <row r="1129">
      <c r="A1129" s="2">
        <f>IFERROR(__xludf.DUMMYFUNCTION("""COMPUTED_VALUE"""),9.0)</f>
        <v>9</v>
      </c>
    </row>
    <row r="1130">
      <c r="A1130" s="2">
        <f>IFERROR(__xludf.DUMMYFUNCTION("""COMPUTED_VALUE"""),9.0)</f>
        <v>9</v>
      </c>
    </row>
    <row r="1131">
      <c r="A1131" s="2">
        <f>IFERROR(__xludf.DUMMYFUNCTION("""COMPUTED_VALUE"""),9.0)</f>
        <v>9</v>
      </c>
    </row>
    <row r="1132">
      <c r="A1132" s="2">
        <f>IFERROR(__xludf.DUMMYFUNCTION("""COMPUTED_VALUE"""),9.0)</f>
        <v>9</v>
      </c>
    </row>
    <row r="1133">
      <c r="A1133" s="2">
        <f>IFERROR(__xludf.DUMMYFUNCTION("""COMPUTED_VALUE"""),9.0)</f>
        <v>9</v>
      </c>
    </row>
    <row r="1134">
      <c r="A1134" s="2">
        <f>IFERROR(__xludf.DUMMYFUNCTION("""COMPUTED_VALUE"""),9.0)</f>
        <v>9</v>
      </c>
    </row>
    <row r="1135">
      <c r="A1135" s="2">
        <f>IFERROR(__xludf.DUMMYFUNCTION("""COMPUTED_VALUE"""),9.0)</f>
        <v>9</v>
      </c>
    </row>
    <row r="1136">
      <c r="A1136" s="2">
        <f>IFERROR(__xludf.DUMMYFUNCTION("""COMPUTED_VALUE"""),9.0)</f>
        <v>9</v>
      </c>
    </row>
    <row r="1137">
      <c r="A1137" s="2">
        <f>IFERROR(__xludf.DUMMYFUNCTION("""COMPUTED_VALUE"""),9.0)</f>
        <v>9</v>
      </c>
    </row>
    <row r="1138">
      <c r="A1138" s="2">
        <f>IFERROR(__xludf.DUMMYFUNCTION("""COMPUTED_VALUE"""),9.0)</f>
        <v>9</v>
      </c>
    </row>
    <row r="1139">
      <c r="A1139" s="2">
        <f>IFERROR(__xludf.DUMMYFUNCTION("""COMPUTED_VALUE"""),9.0)</f>
        <v>9</v>
      </c>
    </row>
    <row r="1140">
      <c r="A1140" s="2">
        <f>IFERROR(__xludf.DUMMYFUNCTION("""COMPUTED_VALUE"""),9.0)</f>
        <v>9</v>
      </c>
    </row>
    <row r="1141">
      <c r="A1141" s="2">
        <f>IFERROR(__xludf.DUMMYFUNCTION("""COMPUTED_VALUE"""),9.0)</f>
        <v>9</v>
      </c>
    </row>
    <row r="1142">
      <c r="A1142" s="2">
        <f>IFERROR(__xludf.DUMMYFUNCTION("""COMPUTED_VALUE"""),9.0)</f>
        <v>9</v>
      </c>
    </row>
    <row r="1143">
      <c r="A1143" s="2">
        <f>IFERROR(__xludf.DUMMYFUNCTION("""COMPUTED_VALUE"""),1.0)</f>
        <v>1</v>
      </c>
    </row>
    <row r="1144">
      <c r="A1144" s="2">
        <f>IFERROR(__xludf.DUMMYFUNCTION("""COMPUTED_VALUE"""),1.0)</f>
        <v>1</v>
      </c>
    </row>
    <row r="1145">
      <c r="A1145" s="2">
        <f>IFERROR(__xludf.DUMMYFUNCTION("""COMPUTED_VALUE"""),2.0)</f>
        <v>2</v>
      </c>
    </row>
    <row r="1146">
      <c r="A1146" s="2">
        <f>IFERROR(__xludf.DUMMYFUNCTION("""COMPUTED_VALUE"""),2.0)</f>
        <v>2</v>
      </c>
    </row>
    <row r="1147">
      <c r="A1147" s="2">
        <f>IFERROR(__xludf.DUMMYFUNCTION("""COMPUTED_VALUE"""),2.0)</f>
        <v>2</v>
      </c>
    </row>
    <row r="1148">
      <c r="A1148" s="2">
        <f>IFERROR(__xludf.DUMMYFUNCTION("""COMPUTED_VALUE"""),2.0)</f>
        <v>2</v>
      </c>
    </row>
    <row r="1149">
      <c r="A1149" s="2">
        <f>IFERROR(__xludf.DUMMYFUNCTION("""COMPUTED_VALUE"""),2.0)</f>
        <v>2</v>
      </c>
    </row>
    <row r="1150">
      <c r="A1150" s="2">
        <f>IFERROR(__xludf.DUMMYFUNCTION("""COMPUTED_VALUE"""),2.0)</f>
        <v>2</v>
      </c>
    </row>
    <row r="1151">
      <c r="A1151" s="2">
        <f>IFERROR(__xludf.DUMMYFUNCTION("""COMPUTED_VALUE"""),2.0)</f>
        <v>2</v>
      </c>
    </row>
    <row r="1152">
      <c r="A1152" s="2">
        <f>IFERROR(__xludf.DUMMYFUNCTION("""COMPUTED_VALUE"""),2.0)</f>
        <v>2</v>
      </c>
    </row>
    <row r="1153">
      <c r="A1153" s="2">
        <f>IFERROR(__xludf.DUMMYFUNCTION("""COMPUTED_VALUE"""),2.0)</f>
        <v>2</v>
      </c>
    </row>
    <row r="1154">
      <c r="A1154" s="2">
        <f>IFERROR(__xludf.DUMMYFUNCTION("""COMPUTED_VALUE"""),2.0)</f>
        <v>2</v>
      </c>
    </row>
    <row r="1155">
      <c r="A1155" s="2">
        <f>IFERROR(__xludf.DUMMYFUNCTION("""COMPUTED_VALUE"""),2.0)</f>
        <v>2</v>
      </c>
    </row>
    <row r="1156">
      <c r="A1156" s="2">
        <f>IFERROR(__xludf.DUMMYFUNCTION("""COMPUTED_VALUE"""),2.0)</f>
        <v>2</v>
      </c>
    </row>
    <row r="1157">
      <c r="A1157" s="2">
        <f>IFERROR(__xludf.DUMMYFUNCTION("""COMPUTED_VALUE"""),2.0)</f>
        <v>2</v>
      </c>
    </row>
    <row r="1158">
      <c r="A1158" s="2">
        <f>IFERROR(__xludf.DUMMYFUNCTION("""COMPUTED_VALUE"""),2.0)</f>
        <v>2</v>
      </c>
    </row>
    <row r="1159">
      <c r="A1159" s="2">
        <f>IFERROR(__xludf.DUMMYFUNCTION("""COMPUTED_VALUE"""),8.0)</f>
        <v>8</v>
      </c>
    </row>
    <row r="1160">
      <c r="A1160" s="2">
        <f>IFERROR(__xludf.DUMMYFUNCTION("""COMPUTED_VALUE"""),8.0)</f>
        <v>8</v>
      </c>
    </row>
    <row r="1161">
      <c r="A1161" s="2">
        <f>IFERROR(__xludf.DUMMYFUNCTION("""COMPUTED_VALUE"""),9.0)</f>
        <v>9</v>
      </c>
    </row>
    <row r="1162">
      <c r="A1162" s="2">
        <f>IFERROR(__xludf.DUMMYFUNCTION("""COMPUTED_VALUE"""),9.0)</f>
        <v>9</v>
      </c>
    </row>
    <row r="1163">
      <c r="A1163" s="2">
        <f>IFERROR(__xludf.DUMMYFUNCTION("""COMPUTED_VALUE"""),4.0)</f>
        <v>4</v>
      </c>
    </row>
    <row r="1164">
      <c r="A1164" s="2">
        <f>IFERROR(__xludf.DUMMYFUNCTION("""COMPUTED_VALUE"""),4.0)</f>
        <v>4</v>
      </c>
    </row>
    <row r="1165">
      <c r="A1165" s="2">
        <f>IFERROR(__xludf.DUMMYFUNCTION("""COMPUTED_VALUE"""),4.0)</f>
        <v>4</v>
      </c>
    </row>
    <row r="1166">
      <c r="A1166" s="2">
        <f>IFERROR(__xludf.DUMMYFUNCTION("""COMPUTED_VALUE"""),4.0)</f>
        <v>4</v>
      </c>
    </row>
    <row r="1167">
      <c r="A1167" s="2">
        <f>IFERROR(__xludf.DUMMYFUNCTION("""COMPUTED_VALUE"""),5.0)</f>
        <v>5</v>
      </c>
    </row>
    <row r="1168">
      <c r="A1168" s="2">
        <f>IFERROR(__xludf.DUMMYFUNCTION("""COMPUTED_VALUE"""),5.0)</f>
        <v>5</v>
      </c>
    </row>
    <row r="1169">
      <c r="A1169" s="2">
        <f>IFERROR(__xludf.DUMMYFUNCTION("""COMPUTED_VALUE"""),8.0)</f>
        <v>8</v>
      </c>
    </row>
    <row r="1170">
      <c r="A1170" s="2">
        <f>IFERROR(__xludf.DUMMYFUNCTION("""COMPUTED_VALUE"""),8.0)</f>
        <v>8</v>
      </c>
    </row>
    <row r="1171">
      <c r="A1171" s="2">
        <f>IFERROR(__xludf.DUMMYFUNCTION("""COMPUTED_VALUE"""),3.0)</f>
        <v>3</v>
      </c>
    </row>
    <row r="1172">
      <c r="A1172" s="2">
        <f>IFERROR(__xludf.DUMMYFUNCTION("""COMPUTED_VALUE"""),3.0)</f>
        <v>3</v>
      </c>
    </row>
    <row r="1173">
      <c r="A1173" s="2">
        <f>IFERROR(__xludf.DUMMYFUNCTION("""COMPUTED_VALUE"""),3.0)</f>
        <v>3</v>
      </c>
    </row>
    <row r="1174">
      <c r="A1174" s="2">
        <f>IFERROR(__xludf.DUMMYFUNCTION("""COMPUTED_VALUE"""),3.0)</f>
        <v>3</v>
      </c>
    </row>
    <row r="1175">
      <c r="A1175" s="2">
        <f>IFERROR(__xludf.DUMMYFUNCTION("""COMPUTED_VALUE"""),3.0)</f>
        <v>3</v>
      </c>
    </row>
    <row r="1176">
      <c r="A1176" s="2">
        <f>IFERROR(__xludf.DUMMYFUNCTION("""COMPUTED_VALUE"""),3.0)</f>
        <v>3</v>
      </c>
    </row>
    <row r="1177">
      <c r="A1177" s="2">
        <f>IFERROR(__xludf.DUMMYFUNCTION("""COMPUTED_VALUE"""),3.0)</f>
        <v>3</v>
      </c>
    </row>
    <row r="1178">
      <c r="A1178" s="2">
        <f>IFERROR(__xludf.DUMMYFUNCTION("""COMPUTED_VALUE"""),3.0)</f>
        <v>3</v>
      </c>
    </row>
    <row r="1179">
      <c r="A1179" s="2">
        <f>IFERROR(__xludf.DUMMYFUNCTION("""COMPUTED_VALUE"""),3.0)</f>
        <v>3</v>
      </c>
    </row>
    <row r="1180">
      <c r="A1180" s="2">
        <f>IFERROR(__xludf.DUMMYFUNCTION("""COMPUTED_VALUE"""),3.0)</f>
        <v>3</v>
      </c>
    </row>
    <row r="1181">
      <c r="A1181" s="2">
        <f>IFERROR(__xludf.DUMMYFUNCTION("""COMPUTED_VALUE"""),3.0)</f>
        <v>3</v>
      </c>
    </row>
    <row r="1182">
      <c r="A1182" s="2">
        <f>IFERROR(__xludf.DUMMYFUNCTION("""COMPUTED_VALUE"""),3.0)</f>
        <v>3</v>
      </c>
    </row>
    <row r="1183">
      <c r="A1183" s="2">
        <f>IFERROR(__xludf.DUMMYFUNCTION("""COMPUTED_VALUE"""),3.0)</f>
        <v>3</v>
      </c>
    </row>
    <row r="1184">
      <c r="A1184" s="2">
        <f>IFERROR(__xludf.DUMMYFUNCTION("""COMPUTED_VALUE"""),3.0)</f>
        <v>3</v>
      </c>
    </row>
    <row r="1185">
      <c r="A1185" s="2">
        <f>IFERROR(__xludf.DUMMYFUNCTION("""COMPUTED_VALUE"""),9.0)</f>
        <v>9</v>
      </c>
    </row>
    <row r="1186">
      <c r="A1186" s="2">
        <f>IFERROR(__xludf.DUMMYFUNCTION("""COMPUTED_VALUE"""),9.0)</f>
        <v>9</v>
      </c>
    </row>
    <row r="1187">
      <c r="A1187" s="2">
        <f>IFERROR(__xludf.DUMMYFUNCTION("""COMPUTED_VALUE"""),4.0)</f>
        <v>4</v>
      </c>
    </row>
    <row r="1188">
      <c r="A1188" s="2">
        <f>IFERROR(__xludf.DUMMYFUNCTION("""COMPUTED_VALUE"""),4.0)</f>
        <v>4</v>
      </c>
    </row>
    <row r="1189">
      <c r="A1189" s="2">
        <f>IFERROR(__xludf.DUMMYFUNCTION("""COMPUTED_VALUE"""),2.0)</f>
        <v>2</v>
      </c>
    </row>
    <row r="1190">
      <c r="A1190" s="2">
        <f>IFERROR(__xludf.DUMMYFUNCTION("""COMPUTED_VALUE"""),7.0)</f>
        <v>7</v>
      </c>
    </row>
    <row r="1191">
      <c r="A1191" s="2">
        <f>IFERROR(__xludf.DUMMYFUNCTION("""COMPUTED_VALUE"""),7.0)</f>
        <v>7</v>
      </c>
    </row>
    <row r="1192">
      <c r="A1192" s="2">
        <f>IFERROR(__xludf.DUMMYFUNCTION("""COMPUTED_VALUE"""),7.0)</f>
        <v>7</v>
      </c>
    </row>
    <row r="1193">
      <c r="A1193" s="2">
        <f>IFERROR(__xludf.DUMMYFUNCTION("""COMPUTED_VALUE"""),7.0)</f>
        <v>7</v>
      </c>
    </row>
    <row r="1194">
      <c r="A1194" s="2">
        <f>IFERROR(__xludf.DUMMYFUNCTION("""COMPUTED_VALUE"""),7.0)</f>
        <v>7</v>
      </c>
    </row>
    <row r="1195">
      <c r="A1195" s="2">
        <f>IFERROR(__xludf.DUMMYFUNCTION("""COMPUTED_VALUE"""),1.0)</f>
        <v>1</v>
      </c>
    </row>
    <row r="1196">
      <c r="A1196" s="2">
        <f>IFERROR(__xludf.DUMMYFUNCTION("""COMPUTED_VALUE"""),1.0)</f>
        <v>1</v>
      </c>
    </row>
    <row r="1197">
      <c r="A1197" s="2">
        <f>IFERROR(__xludf.DUMMYFUNCTION("""COMPUTED_VALUE"""),1.0)</f>
        <v>1</v>
      </c>
    </row>
    <row r="1198">
      <c r="A1198" s="2">
        <f>IFERROR(__xludf.DUMMYFUNCTION("""COMPUTED_VALUE"""),1.0)</f>
        <v>1</v>
      </c>
    </row>
    <row r="1199">
      <c r="A1199" s="2">
        <f>IFERROR(__xludf.DUMMYFUNCTION("""COMPUTED_VALUE"""),1.0)</f>
        <v>1</v>
      </c>
    </row>
    <row r="1200">
      <c r="A1200" s="2">
        <f>IFERROR(__xludf.DUMMYFUNCTION("""COMPUTED_VALUE"""),1.0)</f>
        <v>1</v>
      </c>
    </row>
    <row r="1201">
      <c r="A1201" s="2">
        <f>IFERROR(__xludf.DUMMYFUNCTION("""COMPUTED_VALUE"""),1.0)</f>
        <v>1</v>
      </c>
    </row>
    <row r="1202">
      <c r="A1202" s="2">
        <f>IFERROR(__xludf.DUMMYFUNCTION("""COMPUTED_VALUE"""),1.0)</f>
        <v>1</v>
      </c>
    </row>
    <row r="1203">
      <c r="A1203" s="2">
        <f>IFERROR(__xludf.DUMMYFUNCTION("""COMPUTED_VALUE"""),1.0)</f>
        <v>1</v>
      </c>
    </row>
    <row r="1204">
      <c r="A1204" s="2">
        <f>IFERROR(__xludf.DUMMYFUNCTION("""COMPUTED_VALUE"""),1.0)</f>
        <v>1</v>
      </c>
    </row>
    <row r="1205">
      <c r="A1205" s="2">
        <f>IFERROR(__xludf.DUMMYFUNCTION("""COMPUTED_VALUE"""),1.0)</f>
        <v>1</v>
      </c>
    </row>
    <row r="1206">
      <c r="A1206" s="2">
        <f>IFERROR(__xludf.DUMMYFUNCTION("""COMPUTED_VALUE"""),1.0)</f>
        <v>1</v>
      </c>
    </row>
    <row r="1207">
      <c r="A1207" s="2">
        <f>IFERROR(__xludf.DUMMYFUNCTION("""COMPUTED_VALUE"""),1.0)</f>
        <v>1</v>
      </c>
    </row>
    <row r="1208">
      <c r="A1208" s="2">
        <f>IFERROR(__xludf.DUMMYFUNCTION("""COMPUTED_VALUE"""),1.0)</f>
        <v>1</v>
      </c>
    </row>
    <row r="1209">
      <c r="A1209" s="2">
        <f>IFERROR(__xludf.DUMMYFUNCTION("""COMPUTED_VALUE"""),1.0)</f>
        <v>1</v>
      </c>
    </row>
    <row r="1210">
      <c r="A1210" s="2">
        <f>IFERROR(__xludf.DUMMYFUNCTION("""COMPUTED_VALUE"""),1.0)</f>
        <v>1</v>
      </c>
    </row>
    <row r="1211">
      <c r="A1211" s="2">
        <f>IFERROR(__xludf.DUMMYFUNCTION("""COMPUTED_VALUE"""),1.0)</f>
        <v>1</v>
      </c>
    </row>
    <row r="1212">
      <c r="A1212" s="2">
        <f>IFERROR(__xludf.DUMMYFUNCTION("""COMPUTED_VALUE"""),1.0)</f>
        <v>1</v>
      </c>
    </row>
    <row r="1213">
      <c r="A1213" s="2">
        <f>IFERROR(__xludf.DUMMYFUNCTION("""COMPUTED_VALUE"""),1.0)</f>
        <v>1</v>
      </c>
    </row>
    <row r="1214">
      <c r="A1214" s="2">
        <f>IFERROR(__xludf.DUMMYFUNCTION("""COMPUTED_VALUE"""),1.0)</f>
        <v>1</v>
      </c>
    </row>
    <row r="1215">
      <c r="A1215" s="2">
        <f>IFERROR(__xludf.DUMMYFUNCTION("""COMPUTED_VALUE"""),1.0)</f>
        <v>1</v>
      </c>
    </row>
    <row r="1216">
      <c r="A1216" s="2">
        <f>IFERROR(__xludf.DUMMYFUNCTION("""COMPUTED_VALUE"""),1.0)</f>
        <v>1</v>
      </c>
    </row>
    <row r="1217">
      <c r="A1217" s="2">
        <f>IFERROR(__xludf.DUMMYFUNCTION("""COMPUTED_VALUE"""),1.0)</f>
        <v>1</v>
      </c>
    </row>
    <row r="1218">
      <c r="A1218" s="2">
        <f>IFERROR(__xludf.DUMMYFUNCTION("""COMPUTED_VALUE"""),2.0)</f>
        <v>2</v>
      </c>
    </row>
    <row r="1219">
      <c r="A1219" s="2">
        <f>IFERROR(__xludf.DUMMYFUNCTION("""COMPUTED_VALUE"""),2.0)</f>
        <v>2</v>
      </c>
    </row>
    <row r="1220">
      <c r="A1220" s="2">
        <f>IFERROR(__xludf.DUMMYFUNCTION("""COMPUTED_VALUE"""),2.0)</f>
        <v>2</v>
      </c>
    </row>
    <row r="1221">
      <c r="A1221" s="2">
        <f>IFERROR(__xludf.DUMMYFUNCTION("""COMPUTED_VALUE"""),7.0)</f>
        <v>7</v>
      </c>
    </row>
    <row r="1222">
      <c r="A1222" s="2">
        <f>IFERROR(__xludf.DUMMYFUNCTION("""COMPUTED_VALUE"""),9.0)</f>
        <v>9</v>
      </c>
    </row>
    <row r="1223">
      <c r="A1223" s="2">
        <f>IFERROR(__xludf.DUMMYFUNCTION("""COMPUTED_VALUE"""),9.0)</f>
        <v>9</v>
      </c>
    </row>
    <row r="1224">
      <c r="A1224" s="2">
        <f>IFERROR(__xludf.DUMMYFUNCTION("""COMPUTED_VALUE"""),9.0)</f>
        <v>9</v>
      </c>
    </row>
    <row r="1225">
      <c r="A1225" s="2">
        <f>IFERROR(__xludf.DUMMYFUNCTION("""COMPUTED_VALUE"""),9.0)</f>
        <v>9</v>
      </c>
    </row>
    <row r="1226">
      <c r="A1226" s="2">
        <f>IFERROR(__xludf.DUMMYFUNCTION("""COMPUTED_VALUE"""),9.0)</f>
        <v>9</v>
      </c>
    </row>
    <row r="1227">
      <c r="A1227" s="2">
        <f>IFERROR(__xludf.DUMMYFUNCTION("""COMPUTED_VALUE"""),9.0)</f>
        <v>9</v>
      </c>
    </row>
    <row r="1228">
      <c r="A1228" s="2">
        <f>IFERROR(__xludf.DUMMYFUNCTION("""COMPUTED_VALUE"""),9.0)</f>
        <v>9</v>
      </c>
    </row>
    <row r="1229">
      <c r="A1229" s="2">
        <f>IFERROR(__xludf.DUMMYFUNCTION("""COMPUTED_VALUE"""),9.0)</f>
        <v>9</v>
      </c>
    </row>
    <row r="1230">
      <c r="A1230" s="2">
        <f>IFERROR(__xludf.DUMMYFUNCTION("""COMPUTED_VALUE"""),9.0)</f>
        <v>9</v>
      </c>
    </row>
    <row r="1231">
      <c r="A1231" s="2">
        <f>IFERROR(__xludf.DUMMYFUNCTION("""COMPUTED_VALUE"""),9.0)</f>
        <v>9</v>
      </c>
    </row>
    <row r="1232">
      <c r="A1232" s="2">
        <f>IFERROR(__xludf.DUMMYFUNCTION("""COMPUTED_VALUE"""),9.0)</f>
        <v>9</v>
      </c>
    </row>
    <row r="1233">
      <c r="A1233" s="2">
        <f>IFERROR(__xludf.DUMMYFUNCTION("""COMPUTED_VALUE"""),9.0)</f>
        <v>9</v>
      </c>
    </row>
    <row r="1234">
      <c r="A1234" s="2">
        <f>IFERROR(__xludf.DUMMYFUNCTION("""COMPUTED_VALUE"""),9.0)</f>
        <v>9</v>
      </c>
    </row>
    <row r="1235">
      <c r="A1235" s="2">
        <f>IFERROR(__xludf.DUMMYFUNCTION("""COMPUTED_VALUE"""),9.0)</f>
        <v>9</v>
      </c>
    </row>
    <row r="1236">
      <c r="A1236" s="2">
        <f>IFERROR(__xludf.DUMMYFUNCTION("""COMPUTED_VALUE"""),9.0)</f>
        <v>9</v>
      </c>
    </row>
    <row r="1237">
      <c r="A1237" s="2">
        <f>IFERROR(__xludf.DUMMYFUNCTION("""COMPUTED_VALUE"""),9.0)</f>
        <v>9</v>
      </c>
    </row>
    <row r="1238">
      <c r="A1238" s="2">
        <f>IFERROR(__xludf.DUMMYFUNCTION("""COMPUTED_VALUE"""),9.0)</f>
        <v>9</v>
      </c>
    </row>
    <row r="1239">
      <c r="A1239" s="2">
        <f>IFERROR(__xludf.DUMMYFUNCTION("""COMPUTED_VALUE"""),9.0)</f>
        <v>9</v>
      </c>
    </row>
    <row r="1240">
      <c r="A1240" s="2">
        <f>IFERROR(__xludf.DUMMYFUNCTION("""COMPUTED_VALUE"""),9.0)</f>
        <v>9</v>
      </c>
    </row>
    <row r="1241">
      <c r="A1241" s="2">
        <f>IFERROR(__xludf.DUMMYFUNCTION("""COMPUTED_VALUE"""),2.0)</f>
        <v>2</v>
      </c>
    </row>
    <row r="1242">
      <c r="A1242" s="2">
        <f>IFERROR(__xludf.DUMMYFUNCTION("""COMPUTED_VALUE"""),7.0)</f>
        <v>7</v>
      </c>
    </row>
    <row r="1243">
      <c r="A1243" s="2">
        <f>IFERROR(__xludf.DUMMYFUNCTION("""COMPUTED_VALUE"""),4.0)</f>
        <v>4</v>
      </c>
    </row>
    <row r="1244">
      <c r="A1244" s="2">
        <f>IFERROR(__xludf.DUMMYFUNCTION("""COMPUTED_VALUE"""),4.0)</f>
        <v>4</v>
      </c>
    </row>
    <row r="1245">
      <c r="A1245" s="2">
        <f>IFERROR(__xludf.DUMMYFUNCTION("""COMPUTED_VALUE"""),4.0)</f>
        <v>4</v>
      </c>
    </row>
    <row r="1246">
      <c r="A1246" s="2">
        <f>IFERROR(__xludf.DUMMYFUNCTION("""COMPUTED_VALUE"""),5.0)</f>
        <v>5</v>
      </c>
    </row>
    <row r="1247">
      <c r="A1247" s="2">
        <f>IFERROR(__xludf.DUMMYFUNCTION("""COMPUTED_VALUE"""),5.0)</f>
        <v>5</v>
      </c>
    </row>
    <row r="1248">
      <c r="A1248" s="2">
        <f>IFERROR(__xludf.DUMMYFUNCTION("""COMPUTED_VALUE"""),5.0)</f>
        <v>5</v>
      </c>
    </row>
    <row r="1249">
      <c r="A1249" s="2">
        <f>IFERROR(__xludf.DUMMYFUNCTION("""COMPUTED_VALUE"""),5.0)</f>
        <v>5</v>
      </c>
    </row>
    <row r="1250">
      <c r="A1250" s="2">
        <f>IFERROR(__xludf.DUMMYFUNCTION("""COMPUTED_VALUE"""),5.0)</f>
        <v>5</v>
      </c>
    </row>
    <row r="1251">
      <c r="A1251" s="2">
        <f>IFERROR(__xludf.DUMMYFUNCTION("""COMPUTED_VALUE"""),5.0)</f>
        <v>5</v>
      </c>
    </row>
    <row r="1252">
      <c r="A1252" s="2">
        <f>IFERROR(__xludf.DUMMYFUNCTION("""COMPUTED_VALUE"""),5.0)</f>
        <v>5</v>
      </c>
    </row>
    <row r="1253">
      <c r="A1253" s="2">
        <f>IFERROR(__xludf.DUMMYFUNCTION("""COMPUTED_VALUE"""),5.0)</f>
        <v>5</v>
      </c>
    </row>
    <row r="1254">
      <c r="A1254" s="2">
        <f>IFERROR(__xludf.DUMMYFUNCTION("""COMPUTED_VALUE"""),5.0)</f>
        <v>5</v>
      </c>
    </row>
    <row r="1255">
      <c r="A1255" s="2">
        <f>IFERROR(__xludf.DUMMYFUNCTION("""COMPUTED_VALUE"""),5.0)</f>
        <v>5</v>
      </c>
    </row>
    <row r="1256">
      <c r="A1256" s="2">
        <f>IFERROR(__xludf.DUMMYFUNCTION("""COMPUTED_VALUE"""),5.0)</f>
        <v>5</v>
      </c>
    </row>
    <row r="1257">
      <c r="A1257" s="2">
        <f>IFERROR(__xludf.DUMMYFUNCTION("""COMPUTED_VALUE"""),5.0)</f>
        <v>5</v>
      </c>
    </row>
    <row r="1258">
      <c r="A1258" s="2">
        <f>IFERROR(__xludf.DUMMYFUNCTION("""COMPUTED_VALUE"""),5.0)</f>
        <v>5</v>
      </c>
    </row>
    <row r="1259">
      <c r="A1259" s="2">
        <f>IFERROR(__xludf.DUMMYFUNCTION("""COMPUTED_VALUE"""),5.0)</f>
        <v>5</v>
      </c>
    </row>
    <row r="1260">
      <c r="A1260" s="2">
        <f>IFERROR(__xludf.DUMMYFUNCTION("""COMPUTED_VALUE"""),5.0)</f>
        <v>5</v>
      </c>
    </row>
    <row r="1261">
      <c r="A1261" s="2">
        <f>IFERROR(__xludf.DUMMYFUNCTION("""COMPUTED_VALUE"""),5.0)</f>
        <v>5</v>
      </c>
    </row>
    <row r="1262">
      <c r="A1262" s="2">
        <f>IFERROR(__xludf.DUMMYFUNCTION("""COMPUTED_VALUE"""),5.0)</f>
        <v>5</v>
      </c>
    </row>
    <row r="1263">
      <c r="A1263" s="2">
        <f>IFERROR(__xludf.DUMMYFUNCTION("""COMPUTED_VALUE"""),5.0)</f>
        <v>5</v>
      </c>
    </row>
    <row r="1264">
      <c r="A1264" s="2">
        <f>IFERROR(__xludf.DUMMYFUNCTION("""COMPUTED_VALUE"""),5.0)</f>
        <v>5</v>
      </c>
    </row>
    <row r="1265">
      <c r="A1265" s="2">
        <f>IFERROR(__xludf.DUMMYFUNCTION("""COMPUTED_VALUE"""),2.0)</f>
        <v>2</v>
      </c>
    </row>
    <row r="1266">
      <c r="A1266" s="2">
        <f>IFERROR(__xludf.DUMMYFUNCTION("""COMPUTED_VALUE"""),2.0)</f>
        <v>2</v>
      </c>
    </row>
    <row r="1267">
      <c r="A1267" s="2">
        <f>IFERROR(__xludf.DUMMYFUNCTION("""COMPUTED_VALUE"""),5.0)</f>
        <v>5</v>
      </c>
    </row>
    <row r="1268">
      <c r="A1268" s="2">
        <f>IFERROR(__xludf.DUMMYFUNCTION("""COMPUTED_VALUE"""),3.0)</f>
        <v>3</v>
      </c>
    </row>
    <row r="1269">
      <c r="A1269" s="2">
        <f>IFERROR(__xludf.DUMMYFUNCTION("""COMPUTED_VALUE"""),9.0)</f>
        <v>9</v>
      </c>
    </row>
    <row r="1270">
      <c r="A1270" s="2">
        <f>IFERROR(__xludf.DUMMYFUNCTION("""COMPUTED_VALUE"""),9.0)</f>
        <v>9</v>
      </c>
    </row>
    <row r="1271">
      <c r="A1271" s="2">
        <f>IFERROR(__xludf.DUMMYFUNCTION("""COMPUTED_VALUE"""),9.0)</f>
        <v>9</v>
      </c>
    </row>
    <row r="1272">
      <c r="A1272" s="2">
        <f>IFERROR(__xludf.DUMMYFUNCTION("""COMPUTED_VALUE"""),9.0)</f>
        <v>9</v>
      </c>
    </row>
    <row r="1273">
      <c r="A1273" s="2">
        <f>IFERROR(__xludf.DUMMYFUNCTION("""COMPUTED_VALUE"""),9.0)</f>
        <v>9</v>
      </c>
    </row>
    <row r="1274">
      <c r="A1274" s="2">
        <f>IFERROR(__xludf.DUMMYFUNCTION("""COMPUTED_VALUE"""),9.0)</f>
        <v>9</v>
      </c>
    </row>
    <row r="1275">
      <c r="A1275" s="2">
        <f>IFERROR(__xludf.DUMMYFUNCTION("""COMPUTED_VALUE"""),9.0)</f>
        <v>9</v>
      </c>
    </row>
    <row r="1276">
      <c r="A1276" s="2">
        <f>IFERROR(__xludf.DUMMYFUNCTION("""COMPUTED_VALUE"""),9.0)</f>
        <v>9</v>
      </c>
    </row>
    <row r="1277">
      <c r="A1277" s="2">
        <f>IFERROR(__xludf.DUMMYFUNCTION("""COMPUTED_VALUE"""),6.0)</f>
        <v>6</v>
      </c>
    </row>
    <row r="1278">
      <c r="A1278" s="2">
        <f>IFERROR(__xludf.DUMMYFUNCTION("""COMPUTED_VALUE"""),2.0)</f>
        <v>2</v>
      </c>
    </row>
    <row r="1279">
      <c r="A1279" s="2">
        <f>IFERROR(__xludf.DUMMYFUNCTION("""COMPUTED_VALUE"""),2.0)</f>
        <v>2</v>
      </c>
    </row>
    <row r="1280">
      <c r="A1280" s="2">
        <f>IFERROR(__xludf.DUMMYFUNCTION("""COMPUTED_VALUE"""),7.0)</f>
        <v>7</v>
      </c>
    </row>
    <row r="1281">
      <c r="A1281" s="2">
        <f>IFERROR(__xludf.DUMMYFUNCTION("""COMPUTED_VALUE"""),7.0)</f>
        <v>7</v>
      </c>
    </row>
    <row r="1282">
      <c r="A1282" s="2">
        <f>IFERROR(__xludf.DUMMYFUNCTION("""COMPUTED_VALUE"""),7.0)</f>
        <v>7</v>
      </c>
    </row>
    <row r="1283">
      <c r="A1283" s="2">
        <f>IFERROR(__xludf.DUMMYFUNCTION("""COMPUTED_VALUE"""),7.0)</f>
        <v>7</v>
      </c>
    </row>
    <row r="1284">
      <c r="A1284" s="2">
        <f>IFERROR(__xludf.DUMMYFUNCTION("""COMPUTED_VALUE"""),7.0)</f>
        <v>7</v>
      </c>
    </row>
    <row r="1285">
      <c r="A1285" s="2">
        <f>IFERROR(__xludf.DUMMYFUNCTION("""COMPUTED_VALUE"""),7.0)</f>
        <v>7</v>
      </c>
    </row>
    <row r="1286">
      <c r="A1286" s="2">
        <f>IFERROR(__xludf.DUMMYFUNCTION("""COMPUTED_VALUE"""),7.0)</f>
        <v>7</v>
      </c>
    </row>
    <row r="1287">
      <c r="A1287" s="2">
        <f>IFERROR(__xludf.DUMMYFUNCTION("""COMPUTED_VALUE"""),7.0)</f>
        <v>7</v>
      </c>
    </row>
    <row r="1288">
      <c r="A1288" s="2">
        <f>IFERROR(__xludf.DUMMYFUNCTION("""COMPUTED_VALUE"""),4.0)</f>
        <v>4</v>
      </c>
    </row>
    <row r="1289">
      <c r="A1289" s="2">
        <f>IFERROR(__xludf.DUMMYFUNCTION("""COMPUTED_VALUE"""),4.0)</f>
        <v>4</v>
      </c>
    </row>
    <row r="1290">
      <c r="A1290" s="2">
        <f>IFERROR(__xludf.DUMMYFUNCTION("""COMPUTED_VALUE"""),4.0)</f>
        <v>4</v>
      </c>
    </row>
    <row r="1291">
      <c r="A1291" s="2">
        <f>IFERROR(__xludf.DUMMYFUNCTION("""COMPUTED_VALUE"""),4.0)</f>
        <v>4</v>
      </c>
    </row>
    <row r="1292">
      <c r="A1292" s="2">
        <f>IFERROR(__xludf.DUMMYFUNCTION("""COMPUTED_VALUE"""),4.0)</f>
        <v>4</v>
      </c>
    </row>
    <row r="1293">
      <c r="A1293" s="2">
        <f>IFERROR(__xludf.DUMMYFUNCTION("""COMPUTED_VALUE"""),6.0)</f>
        <v>6</v>
      </c>
    </row>
    <row r="1294">
      <c r="A1294" s="2">
        <f>IFERROR(__xludf.DUMMYFUNCTION("""COMPUTED_VALUE"""),6.0)</f>
        <v>6</v>
      </c>
    </row>
    <row r="1295">
      <c r="A1295" s="2">
        <f>IFERROR(__xludf.DUMMYFUNCTION("""COMPUTED_VALUE"""),5.0)</f>
        <v>5</v>
      </c>
    </row>
    <row r="1296">
      <c r="A1296" s="2">
        <f>IFERROR(__xludf.DUMMYFUNCTION("""COMPUTED_VALUE"""),1.0)</f>
        <v>1</v>
      </c>
    </row>
    <row r="1297">
      <c r="A1297" s="2">
        <f>IFERROR(__xludf.DUMMYFUNCTION("""COMPUTED_VALUE"""),1.0)</f>
        <v>1</v>
      </c>
    </row>
    <row r="1298">
      <c r="A1298" s="2">
        <f>IFERROR(__xludf.DUMMYFUNCTION("""COMPUTED_VALUE"""),4.0)</f>
        <v>4</v>
      </c>
    </row>
    <row r="1299">
      <c r="A1299" s="2">
        <f>IFERROR(__xludf.DUMMYFUNCTION("""COMPUTED_VALUE"""),4.0)</f>
        <v>4</v>
      </c>
    </row>
    <row r="1300">
      <c r="A1300" s="2">
        <f>IFERROR(__xludf.DUMMYFUNCTION("""COMPUTED_VALUE"""),4.0)</f>
        <v>4</v>
      </c>
    </row>
    <row r="1301">
      <c r="A1301" s="2">
        <f>IFERROR(__xludf.DUMMYFUNCTION("""COMPUTED_VALUE"""),4.0)</f>
        <v>4</v>
      </c>
    </row>
    <row r="1302">
      <c r="A1302" s="2">
        <f>IFERROR(__xludf.DUMMYFUNCTION("""COMPUTED_VALUE"""),4.0)</f>
        <v>4</v>
      </c>
    </row>
    <row r="1303">
      <c r="A1303" s="2">
        <f>IFERROR(__xludf.DUMMYFUNCTION("""COMPUTED_VALUE"""),6.0)</f>
        <v>6</v>
      </c>
    </row>
    <row r="1304">
      <c r="A1304" s="2">
        <f>IFERROR(__xludf.DUMMYFUNCTION("""COMPUTED_VALUE"""),1.0)</f>
        <v>1</v>
      </c>
    </row>
    <row r="1305">
      <c r="A1305" s="2">
        <f>IFERROR(__xludf.DUMMYFUNCTION("""COMPUTED_VALUE"""),8.0)</f>
        <v>8</v>
      </c>
    </row>
    <row r="1306">
      <c r="A1306" s="2">
        <f>IFERROR(__xludf.DUMMYFUNCTION("""COMPUTED_VALUE"""),1.0)</f>
        <v>1</v>
      </c>
    </row>
    <row r="1307">
      <c r="A1307" s="2">
        <f>IFERROR(__xludf.DUMMYFUNCTION("""COMPUTED_VALUE"""),3.0)</f>
        <v>3</v>
      </c>
    </row>
    <row r="1308">
      <c r="A1308" s="2">
        <f>IFERROR(__xludf.DUMMYFUNCTION("""COMPUTED_VALUE"""),3.0)</f>
        <v>3</v>
      </c>
    </row>
    <row r="1309">
      <c r="A1309" s="2">
        <f>IFERROR(__xludf.DUMMYFUNCTION("""COMPUTED_VALUE"""),3.0)</f>
        <v>3</v>
      </c>
    </row>
    <row r="1310">
      <c r="A1310" s="2">
        <f>IFERROR(__xludf.DUMMYFUNCTION("""COMPUTED_VALUE"""),3.0)</f>
        <v>3</v>
      </c>
    </row>
    <row r="1311">
      <c r="A1311" s="2">
        <f>IFERROR(__xludf.DUMMYFUNCTION("""COMPUTED_VALUE"""),3.0)</f>
        <v>3</v>
      </c>
    </row>
    <row r="1312">
      <c r="A1312" s="2">
        <f>IFERROR(__xludf.DUMMYFUNCTION("""COMPUTED_VALUE"""),3.0)</f>
        <v>3</v>
      </c>
    </row>
    <row r="1313">
      <c r="A1313" s="2">
        <f>IFERROR(__xludf.DUMMYFUNCTION("""COMPUTED_VALUE"""),3.0)</f>
        <v>3</v>
      </c>
    </row>
    <row r="1314">
      <c r="A1314" s="2">
        <f>IFERROR(__xludf.DUMMYFUNCTION("""COMPUTED_VALUE"""),3.0)</f>
        <v>3</v>
      </c>
    </row>
    <row r="1315">
      <c r="A1315" s="2">
        <f>IFERROR(__xludf.DUMMYFUNCTION("""COMPUTED_VALUE"""),3.0)</f>
        <v>3</v>
      </c>
    </row>
    <row r="1316">
      <c r="A1316" s="2">
        <f>IFERROR(__xludf.DUMMYFUNCTION("""COMPUTED_VALUE"""),3.0)</f>
        <v>3</v>
      </c>
    </row>
    <row r="1317">
      <c r="A1317" s="2">
        <f>IFERROR(__xludf.DUMMYFUNCTION("""COMPUTED_VALUE"""),3.0)</f>
        <v>3</v>
      </c>
    </row>
    <row r="1318">
      <c r="A1318" s="2">
        <f>IFERROR(__xludf.DUMMYFUNCTION("""COMPUTED_VALUE"""),3.0)</f>
        <v>3</v>
      </c>
    </row>
    <row r="1319">
      <c r="A1319" s="2">
        <f>IFERROR(__xludf.DUMMYFUNCTION("""COMPUTED_VALUE"""),3.0)</f>
        <v>3</v>
      </c>
    </row>
    <row r="1320">
      <c r="A1320" s="2">
        <f>IFERROR(__xludf.DUMMYFUNCTION("""COMPUTED_VALUE"""),3.0)</f>
        <v>3</v>
      </c>
    </row>
    <row r="1321">
      <c r="A1321" s="2">
        <f>IFERROR(__xludf.DUMMYFUNCTION("""COMPUTED_VALUE"""),3.0)</f>
        <v>3</v>
      </c>
    </row>
    <row r="1322">
      <c r="A1322" s="2">
        <f>IFERROR(__xludf.DUMMYFUNCTION("""COMPUTED_VALUE"""),3.0)</f>
        <v>3</v>
      </c>
    </row>
    <row r="1323">
      <c r="A1323" s="2">
        <f>IFERROR(__xludf.DUMMYFUNCTION("""COMPUTED_VALUE"""),3.0)</f>
        <v>3</v>
      </c>
    </row>
    <row r="1324">
      <c r="A1324" s="2">
        <f>IFERROR(__xludf.DUMMYFUNCTION("""COMPUTED_VALUE"""),3.0)</f>
        <v>3</v>
      </c>
    </row>
    <row r="1325">
      <c r="A1325" s="2">
        <f>IFERROR(__xludf.DUMMYFUNCTION("""COMPUTED_VALUE"""),3.0)</f>
        <v>3</v>
      </c>
    </row>
    <row r="1326">
      <c r="A1326" s="2">
        <f>IFERROR(__xludf.DUMMYFUNCTION("""COMPUTED_VALUE"""),3.0)</f>
        <v>3</v>
      </c>
    </row>
    <row r="1327">
      <c r="A1327" s="2">
        <f>IFERROR(__xludf.DUMMYFUNCTION("""COMPUTED_VALUE"""),3.0)</f>
        <v>3</v>
      </c>
    </row>
    <row r="1328">
      <c r="A1328" s="2">
        <f>IFERROR(__xludf.DUMMYFUNCTION("""COMPUTED_VALUE"""),3.0)</f>
        <v>3</v>
      </c>
    </row>
    <row r="1329">
      <c r="A1329" s="2">
        <f>IFERROR(__xludf.DUMMYFUNCTION("""COMPUTED_VALUE"""),3.0)</f>
        <v>3</v>
      </c>
    </row>
    <row r="1330">
      <c r="A1330" s="2">
        <f>IFERROR(__xludf.DUMMYFUNCTION("""COMPUTED_VALUE"""),3.0)</f>
        <v>3</v>
      </c>
    </row>
    <row r="1331">
      <c r="A1331" s="2">
        <f>IFERROR(__xludf.DUMMYFUNCTION("""COMPUTED_VALUE"""),3.0)</f>
        <v>3</v>
      </c>
    </row>
    <row r="1332">
      <c r="A1332" s="2">
        <f>IFERROR(__xludf.DUMMYFUNCTION("""COMPUTED_VALUE"""),4.0)</f>
        <v>4</v>
      </c>
    </row>
    <row r="1333">
      <c r="A1333" s="2">
        <f>IFERROR(__xludf.DUMMYFUNCTION("""COMPUTED_VALUE"""),3.0)</f>
        <v>3</v>
      </c>
    </row>
    <row r="1334">
      <c r="A1334" s="2">
        <f>IFERROR(__xludf.DUMMYFUNCTION("""COMPUTED_VALUE"""),3.0)</f>
        <v>3</v>
      </c>
    </row>
    <row r="1335">
      <c r="A1335" s="2">
        <f>IFERROR(__xludf.DUMMYFUNCTION("""COMPUTED_VALUE"""),1.0)</f>
        <v>1</v>
      </c>
    </row>
    <row r="1336">
      <c r="A1336" s="2">
        <f>IFERROR(__xludf.DUMMYFUNCTION("""COMPUTED_VALUE"""),1.0)</f>
        <v>1</v>
      </c>
    </row>
    <row r="1337">
      <c r="A1337" s="2">
        <f>IFERROR(__xludf.DUMMYFUNCTION("""COMPUTED_VALUE"""),1.0)</f>
        <v>1</v>
      </c>
    </row>
    <row r="1338">
      <c r="A1338" s="2">
        <f>IFERROR(__xludf.DUMMYFUNCTION("""COMPUTED_VALUE"""),9.0)</f>
        <v>9</v>
      </c>
    </row>
    <row r="1339">
      <c r="A1339" s="2">
        <f>IFERROR(__xludf.DUMMYFUNCTION("""COMPUTED_VALUE"""),9.0)</f>
        <v>9</v>
      </c>
    </row>
    <row r="1340">
      <c r="A1340" s="2">
        <f>IFERROR(__xludf.DUMMYFUNCTION("""COMPUTED_VALUE"""),9.0)</f>
        <v>9</v>
      </c>
    </row>
    <row r="1341">
      <c r="A1341" s="2">
        <f>IFERROR(__xludf.DUMMYFUNCTION("""COMPUTED_VALUE"""),9.0)</f>
        <v>9</v>
      </c>
    </row>
    <row r="1342">
      <c r="A1342" s="2">
        <f>IFERROR(__xludf.DUMMYFUNCTION("""COMPUTED_VALUE"""),9.0)</f>
        <v>9</v>
      </c>
    </row>
    <row r="1343">
      <c r="A1343" s="2">
        <f>IFERROR(__xludf.DUMMYFUNCTION("""COMPUTED_VALUE"""),9.0)</f>
        <v>9</v>
      </c>
    </row>
    <row r="1344">
      <c r="A1344" s="2">
        <f>IFERROR(__xludf.DUMMYFUNCTION("""COMPUTED_VALUE"""),6.0)</f>
        <v>6</v>
      </c>
    </row>
    <row r="1345">
      <c r="A1345" s="2">
        <f>IFERROR(__xludf.DUMMYFUNCTION("""COMPUTED_VALUE"""),2.0)</f>
        <v>2</v>
      </c>
    </row>
    <row r="1346">
      <c r="A1346" s="2">
        <f>IFERROR(__xludf.DUMMYFUNCTION("""COMPUTED_VALUE"""),7.0)</f>
        <v>7</v>
      </c>
    </row>
    <row r="1347">
      <c r="A1347" s="2">
        <f>IFERROR(__xludf.DUMMYFUNCTION("""COMPUTED_VALUE"""),7.0)</f>
        <v>7</v>
      </c>
    </row>
    <row r="1348">
      <c r="A1348" s="2">
        <f>IFERROR(__xludf.DUMMYFUNCTION("""COMPUTED_VALUE"""),7.0)</f>
        <v>7</v>
      </c>
    </row>
    <row r="1349">
      <c r="A1349" s="2">
        <f>IFERROR(__xludf.DUMMYFUNCTION("""COMPUTED_VALUE"""),7.0)</f>
        <v>7</v>
      </c>
    </row>
    <row r="1350">
      <c r="A1350" s="2">
        <f>IFERROR(__xludf.DUMMYFUNCTION("""COMPUTED_VALUE"""),7.0)</f>
        <v>7</v>
      </c>
    </row>
    <row r="1351">
      <c r="A1351" s="2">
        <f>IFERROR(__xludf.DUMMYFUNCTION("""COMPUTED_VALUE"""),7.0)</f>
        <v>7</v>
      </c>
    </row>
    <row r="1352">
      <c r="A1352" s="2">
        <f>IFERROR(__xludf.DUMMYFUNCTION("""COMPUTED_VALUE"""),7.0)</f>
        <v>7</v>
      </c>
    </row>
    <row r="1353">
      <c r="A1353" s="2">
        <f>IFERROR(__xludf.DUMMYFUNCTION("""COMPUTED_VALUE"""),7.0)</f>
        <v>7</v>
      </c>
    </row>
    <row r="1354">
      <c r="A1354" s="2">
        <f>IFERROR(__xludf.DUMMYFUNCTION("""COMPUTED_VALUE"""),7.0)</f>
        <v>7</v>
      </c>
    </row>
    <row r="1355">
      <c r="A1355" s="2">
        <f>IFERROR(__xludf.DUMMYFUNCTION("""COMPUTED_VALUE"""),7.0)</f>
        <v>7</v>
      </c>
    </row>
    <row r="1356">
      <c r="A1356" s="2">
        <f>IFERROR(__xludf.DUMMYFUNCTION("""COMPUTED_VALUE"""),7.0)</f>
        <v>7</v>
      </c>
    </row>
    <row r="1357">
      <c r="A1357" s="2">
        <f>IFERROR(__xludf.DUMMYFUNCTION("""COMPUTED_VALUE"""),7.0)</f>
        <v>7</v>
      </c>
    </row>
    <row r="1358">
      <c r="A1358" s="2">
        <f>IFERROR(__xludf.DUMMYFUNCTION("""COMPUTED_VALUE"""),7.0)</f>
        <v>7</v>
      </c>
    </row>
    <row r="1359">
      <c r="A1359" s="2">
        <f>IFERROR(__xludf.DUMMYFUNCTION("""COMPUTED_VALUE"""),7.0)</f>
        <v>7</v>
      </c>
    </row>
    <row r="1360">
      <c r="A1360" s="2">
        <f>IFERROR(__xludf.DUMMYFUNCTION("""COMPUTED_VALUE"""),7.0)</f>
        <v>7</v>
      </c>
    </row>
    <row r="1361">
      <c r="A1361" s="2">
        <f>IFERROR(__xludf.DUMMYFUNCTION("""COMPUTED_VALUE"""),2.0)</f>
        <v>2</v>
      </c>
    </row>
    <row r="1362">
      <c r="A1362" s="2">
        <f>IFERROR(__xludf.DUMMYFUNCTION("""COMPUTED_VALUE"""),2.0)</f>
        <v>2</v>
      </c>
    </row>
    <row r="1363">
      <c r="A1363" s="2">
        <f>IFERROR(__xludf.DUMMYFUNCTION("""COMPUTED_VALUE"""),3.0)</f>
        <v>3</v>
      </c>
    </row>
    <row r="1364">
      <c r="A1364" s="2">
        <f>IFERROR(__xludf.DUMMYFUNCTION("""COMPUTED_VALUE"""),1.0)</f>
        <v>1</v>
      </c>
    </row>
    <row r="1365">
      <c r="A1365" s="2">
        <f>IFERROR(__xludf.DUMMYFUNCTION("""COMPUTED_VALUE"""),8.0)</f>
        <v>8</v>
      </c>
    </row>
    <row r="1366">
      <c r="A1366" s="2">
        <f>IFERROR(__xludf.DUMMYFUNCTION("""COMPUTED_VALUE"""),8.0)</f>
        <v>8</v>
      </c>
    </row>
    <row r="1367">
      <c r="A1367" s="2">
        <f>IFERROR(__xludf.DUMMYFUNCTION("""COMPUTED_VALUE"""),8.0)</f>
        <v>8</v>
      </c>
    </row>
    <row r="1368">
      <c r="A1368" s="2">
        <f>IFERROR(__xludf.DUMMYFUNCTION("""COMPUTED_VALUE"""),8.0)</f>
        <v>8</v>
      </c>
    </row>
    <row r="1369">
      <c r="A1369" s="2">
        <f>IFERROR(__xludf.DUMMYFUNCTION("""COMPUTED_VALUE"""),8.0)</f>
        <v>8</v>
      </c>
    </row>
    <row r="1370">
      <c r="A1370" s="2">
        <f>IFERROR(__xludf.DUMMYFUNCTION("""COMPUTED_VALUE"""),8.0)</f>
        <v>8</v>
      </c>
    </row>
    <row r="1371">
      <c r="A1371" s="2">
        <f>IFERROR(__xludf.DUMMYFUNCTION("""COMPUTED_VALUE"""),3.0)</f>
        <v>3</v>
      </c>
    </row>
    <row r="1372">
      <c r="A1372" s="2">
        <f>IFERROR(__xludf.DUMMYFUNCTION("""COMPUTED_VALUE"""),8.0)</f>
        <v>8</v>
      </c>
    </row>
    <row r="1373">
      <c r="A1373" s="2">
        <f>IFERROR(__xludf.DUMMYFUNCTION("""COMPUTED_VALUE"""),5.0)</f>
        <v>5</v>
      </c>
    </row>
    <row r="1374">
      <c r="A1374" s="2">
        <f>IFERROR(__xludf.DUMMYFUNCTION("""COMPUTED_VALUE"""),5.0)</f>
        <v>5</v>
      </c>
    </row>
    <row r="1375">
      <c r="A1375" s="2">
        <f>IFERROR(__xludf.DUMMYFUNCTION("""COMPUTED_VALUE"""),6.0)</f>
        <v>6</v>
      </c>
    </row>
    <row r="1376">
      <c r="A1376" s="2">
        <f>IFERROR(__xludf.DUMMYFUNCTION("""COMPUTED_VALUE"""),6.0)</f>
        <v>6</v>
      </c>
    </row>
    <row r="1377">
      <c r="A1377" s="2">
        <f>IFERROR(__xludf.DUMMYFUNCTION("""COMPUTED_VALUE"""),6.0)</f>
        <v>6</v>
      </c>
    </row>
    <row r="1378">
      <c r="A1378" s="2">
        <f>IFERROR(__xludf.DUMMYFUNCTION("""COMPUTED_VALUE"""),6.0)</f>
        <v>6</v>
      </c>
    </row>
    <row r="1379">
      <c r="A1379" s="2">
        <f>IFERROR(__xludf.DUMMYFUNCTION("""COMPUTED_VALUE"""),6.0)</f>
        <v>6</v>
      </c>
    </row>
    <row r="1380">
      <c r="A1380" s="2">
        <f>IFERROR(__xludf.DUMMYFUNCTION("""COMPUTED_VALUE"""),6.0)</f>
        <v>6</v>
      </c>
    </row>
    <row r="1381">
      <c r="A1381" s="2">
        <f>IFERROR(__xludf.DUMMYFUNCTION("""COMPUTED_VALUE"""),6.0)</f>
        <v>6</v>
      </c>
    </row>
    <row r="1382">
      <c r="A1382" s="2">
        <f>IFERROR(__xludf.DUMMYFUNCTION("""COMPUTED_VALUE"""),6.0)</f>
        <v>6</v>
      </c>
    </row>
    <row r="1383">
      <c r="A1383" s="2">
        <f>IFERROR(__xludf.DUMMYFUNCTION("""COMPUTED_VALUE"""),8.0)</f>
        <v>8</v>
      </c>
    </row>
    <row r="1384">
      <c r="A1384" s="2">
        <f>IFERROR(__xludf.DUMMYFUNCTION("""COMPUTED_VALUE"""),9.0)</f>
        <v>9</v>
      </c>
    </row>
    <row r="1385">
      <c r="A1385" s="2">
        <f>IFERROR(__xludf.DUMMYFUNCTION("""COMPUTED_VALUE"""),4.0)</f>
        <v>4</v>
      </c>
    </row>
    <row r="1386">
      <c r="A1386" s="2">
        <f>IFERROR(__xludf.DUMMYFUNCTION("""COMPUTED_VALUE"""),4.0)</f>
        <v>4</v>
      </c>
    </row>
    <row r="1387">
      <c r="A1387" s="2">
        <f>IFERROR(__xludf.DUMMYFUNCTION("""COMPUTED_VALUE"""),4.0)</f>
        <v>4</v>
      </c>
    </row>
    <row r="1388">
      <c r="A1388" s="2">
        <f>IFERROR(__xludf.DUMMYFUNCTION("""COMPUTED_VALUE"""),4.0)</f>
        <v>4</v>
      </c>
    </row>
    <row r="1389">
      <c r="A1389" s="2">
        <f>IFERROR(__xludf.DUMMYFUNCTION("""COMPUTED_VALUE"""),4.0)</f>
        <v>4</v>
      </c>
    </row>
    <row r="1390">
      <c r="A1390" s="2">
        <f>IFERROR(__xludf.DUMMYFUNCTION("""COMPUTED_VALUE"""),4.0)</f>
        <v>4</v>
      </c>
    </row>
    <row r="1391">
      <c r="A1391" s="2">
        <f>IFERROR(__xludf.DUMMYFUNCTION("""COMPUTED_VALUE"""),4.0)</f>
        <v>4</v>
      </c>
    </row>
    <row r="1392">
      <c r="A1392" s="2">
        <f>IFERROR(__xludf.DUMMYFUNCTION("""COMPUTED_VALUE"""),4.0)</f>
        <v>4</v>
      </c>
    </row>
    <row r="1393">
      <c r="A1393" s="2">
        <f>IFERROR(__xludf.DUMMYFUNCTION("""COMPUTED_VALUE"""),4.0)</f>
        <v>4</v>
      </c>
    </row>
    <row r="1394">
      <c r="A1394" s="2">
        <f>IFERROR(__xludf.DUMMYFUNCTION("""COMPUTED_VALUE"""),1.0)</f>
        <v>1</v>
      </c>
    </row>
    <row r="1395">
      <c r="A1395" s="2">
        <f>IFERROR(__xludf.DUMMYFUNCTION("""COMPUTED_VALUE"""),1.0)</f>
        <v>1</v>
      </c>
    </row>
    <row r="1396">
      <c r="A1396" s="2">
        <f>IFERROR(__xludf.DUMMYFUNCTION("""COMPUTED_VALUE"""),1.0)</f>
        <v>1</v>
      </c>
    </row>
    <row r="1397">
      <c r="A1397" s="2">
        <f>IFERROR(__xludf.DUMMYFUNCTION("""COMPUTED_VALUE"""),1.0)</f>
        <v>1</v>
      </c>
    </row>
    <row r="1398">
      <c r="A1398" s="2">
        <f>IFERROR(__xludf.DUMMYFUNCTION("""COMPUTED_VALUE"""),1.0)</f>
        <v>1</v>
      </c>
    </row>
    <row r="1399">
      <c r="A1399" s="2">
        <f>IFERROR(__xludf.DUMMYFUNCTION("""COMPUTED_VALUE"""),1.0)</f>
        <v>1</v>
      </c>
    </row>
    <row r="1400">
      <c r="A1400" s="2">
        <f>IFERROR(__xludf.DUMMYFUNCTION("""COMPUTED_VALUE"""),1.0)</f>
        <v>1</v>
      </c>
    </row>
    <row r="1401">
      <c r="A1401" s="2">
        <f>IFERROR(__xludf.DUMMYFUNCTION("""COMPUTED_VALUE"""),1.0)</f>
        <v>1</v>
      </c>
    </row>
    <row r="1402">
      <c r="A1402" s="2">
        <f>IFERROR(__xludf.DUMMYFUNCTION("""COMPUTED_VALUE"""),1.0)</f>
        <v>1</v>
      </c>
    </row>
    <row r="1403">
      <c r="A1403" s="2">
        <f>IFERROR(__xludf.DUMMYFUNCTION("""COMPUTED_VALUE"""),1.0)</f>
        <v>1</v>
      </c>
    </row>
    <row r="1404">
      <c r="A1404" s="2">
        <f>IFERROR(__xludf.DUMMYFUNCTION("""COMPUTED_VALUE"""),1.0)</f>
        <v>1</v>
      </c>
    </row>
    <row r="1405">
      <c r="A1405" s="2">
        <f>IFERROR(__xludf.DUMMYFUNCTION("""COMPUTED_VALUE"""),1.0)</f>
        <v>1</v>
      </c>
    </row>
    <row r="1406">
      <c r="A1406" s="2">
        <f>IFERROR(__xludf.DUMMYFUNCTION("""COMPUTED_VALUE"""),1.0)</f>
        <v>1</v>
      </c>
    </row>
    <row r="1407">
      <c r="A1407" s="2">
        <f>IFERROR(__xludf.DUMMYFUNCTION("""COMPUTED_VALUE"""),1.0)</f>
        <v>1</v>
      </c>
    </row>
    <row r="1408">
      <c r="A1408" s="2">
        <f>IFERROR(__xludf.DUMMYFUNCTION("""COMPUTED_VALUE"""),1.0)</f>
        <v>1</v>
      </c>
    </row>
    <row r="1409">
      <c r="A1409" s="2">
        <f>IFERROR(__xludf.DUMMYFUNCTION("""COMPUTED_VALUE"""),1.0)</f>
        <v>1</v>
      </c>
    </row>
    <row r="1410">
      <c r="A1410" s="2">
        <f>IFERROR(__xludf.DUMMYFUNCTION("""COMPUTED_VALUE"""),1.0)</f>
        <v>1</v>
      </c>
    </row>
    <row r="1411">
      <c r="A1411" s="2">
        <f>IFERROR(__xludf.DUMMYFUNCTION("""COMPUTED_VALUE"""),1.0)</f>
        <v>1</v>
      </c>
    </row>
    <row r="1412">
      <c r="A1412" s="2">
        <f>IFERROR(__xludf.DUMMYFUNCTION("""COMPUTED_VALUE"""),1.0)</f>
        <v>1</v>
      </c>
    </row>
    <row r="1413">
      <c r="A1413" s="2">
        <f>IFERROR(__xludf.DUMMYFUNCTION("""COMPUTED_VALUE"""),3.0)</f>
        <v>3</v>
      </c>
    </row>
    <row r="1414">
      <c r="A1414" s="2">
        <f>IFERROR(__xludf.DUMMYFUNCTION("""COMPUTED_VALUE"""),3.0)</f>
        <v>3</v>
      </c>
    </row>
    <row r="1415">
      <c r="A1415" s="2">
        <f>IFERROR(__xludf.DUMMYFUNCTION("""COMPUTED_VALUE"""),3.0)</f>
        <v>3</v>
      </c>
    </row>
    <row r="1416">
      <c r="A1416" s="2">
        <f>IFERROR(__xludf.DUMMYFUNCTION("""COMPUTED_VALUE"""),3.0)</f>
        <v>3</v>
      </c>
    </row>
    <row r="1417">
      <c r="A1417" s="2">
        <f>IFERROR(__xludf.DUMMYFUNCTION("""COMPUTED_VALUE"""),3.0)</f>
        <v>3</v>
      </c>
    </row>
    <row r="1418">
      <c r="A1418" s="2">
        <f>IFERROR(__xludf.DUMMYFUNCTION("""COMPUTED_VALUE"""),3.0)</f>
        <v>3</v>
      </c>
    </row>
    <row r="1419">
      <c r="A1419" s="2">
        <f>IFERROR(__xludf.DUMMYFUNCTION("""COMPUTED_VALUE"""),3.0)</f>
        <v>3</v>
      </c>
    </row>
    <row r="1420">
      <c r="A1420" s="2">
        <f>IFERROR(__xludf.DUMMYFUNCTION("""COMPUTED_VALUE"""),3.0)</f>
        <v>3</v>
      </c>
    </row>
    <row r="1421">
      <c r="A1421" s="2">
        <f>IFERROR(__xludf.DUMMYFUNCTION("""COMPUTED_VALUE"""),3.0)</f>
        <v>3</v>
      </c>
    </row>
    <row r="1422">
      <c r="A1422" s="2">
        <f>IFERROR(__xludf.DUMMYFUNCTION("""COMPUTED_VALUE"""),7.0)</f>
        <v>7</v>
      </c>
    </row>
    <row r="1423">
      <c r="A1423" s="2">
        <f>IFERROR(__xludf.DUMMYFUNCTION("""COMPUTED_VALUE"""),7.0)</f>
        <v>7</v>
      </c>
    </row>
    <row r="1424">
      <c r="A1424" s="2">
        <f>IFERROR(__xludf.DUMMYFUNCTION("""COMPUTED_VALUE"""),7.0)</f>
        <v>7</v>
      </c>
    </row>
    <row r="1425">
      <c r="A1425" s="2">
        <f>IFERROR(__xludf.DUMMYFUNCTION("""COMPUTED_VALUE"""),7.0)</f>
        <v>7</v>
      </c>
    </row>
    <row r="1426">
      <c r="A1426" s="2">
        <f>IFERROR(__xludf.DUMMYFUNCTION("""COMPUTED_VALUE"""),7.0)</f>
        <v>7</v>
      </c>
    </row>
    <row r="1427">
      <c r="A1427" s="2">
        <f>IFERROR(__xludf.DUMMYFUNCTION("""COMPUTED_VALUE"""),7.0)</f>
        <v>7</v>
      </c>
    </row>
    <row r="1428">
      <c r="A1428" s="2">
        <f>IFERROR(__xludf.DUMMYFUNCTION("""COMPUTED_VALUE"""),1.0)</f>
        <v>1</v>
      </c>
    </row>
    <row r="1429">
      <c r="A1429" s="2">
        <f>IFERROR(__xludf.DUMMYFUNCTION("""COMPUTED_VALUE"""),1.0)</f>
        <v>1</v>
      </c>
    </row>
    <row r="1430">
      <c r="A1430" s="2">
        <f>IFERROR(__xludf.DUMMYFUNCTION("""COMPUTED_VALUE"""),2.0)</f>
        <v>2</v>
      </c>
    </row>
    <row r="1431">
      <c r="A1431" s="2">
        <f>IFERROR(__xludf.DUMMYFUNCTION("""COMPUTED_VALUE"""),2.0)</f>
        <v>2</v>
      </c>
    </row>
    <row r="1432">
      <c r="A1432" s="2">
        <f>IFERROR(__xludf.DUMMYFUNCTION("""COMPUTED_VALUE"""),2.0)</f>
        <v>2</v>
      </c>
    </row>
    <row r="1433">
      <c r="A1433" s="2">
        <f>IFERROR(__xludf.DUMMYFUNCTION("""COMPUTED_VALUE"""),2.0)</f>
        <v>2</v>
      </c>
    </row>
    <row r="1434">
      <c r="A1434" s="2">
        <f>IFERROR(__xludf.DUMMYFUNCTION("""COMPUTED_VALUE"""),2.0)</f>
        <v>2</v>
      </c>
    </row>
    <row r="1435">
      <c r="A1435" s="2">
        <f>IFERROR(__xludf.DUMMYFUNCTION("""COMPUTED_VALUE"""),2.0)</f>
        <v>2</v>
      </c>
    </row>
    <row r="1436">
      <c r="A1436" s="2">
        <f>IFERROR(__xludf.DUMMYFUNCTION("""COMPUTED_VALUE"""),2.0)</f>
        <v>2</v>
      </c>
    </row>
    <row r="1437">
      <c r="A1437" s="2">
        <f>IFERROR(__xludf.DUMMYFUNCTION("""COMPUTED_VALUE"""),5.0)</f>
        <v>5</v>
      </c>
    </row>
    <row r="1438">
      <c r="A1438" s="2">
        <f>IFERROR(__xludf.DUMMYFUNCTION("""COMPUTED_VALUE"""),5.0)</f>
        <v>5</v>
      </c>
    </row>
    <row r="1439">
      <c r="A1439" s="2">
        <f>IFERROR(__xludf.DUMMYFUNCTION("""COMPUTED_VALUE"""),5.0)</f>
        <v>5</v>
      </c>
    </row>
    <row r="1440">
      <c r="A1440" s="2">
        <f>IFERROR(__xludf.DUMMYFUNCTION("""COMPUTED_VALUE"""),5.0)</f>
        <v>5</v>
      </c>
    </row>
    <row r="1441">
      <c r="A1441" s="2">
        <f>IFERROR(__xludf.DUMMYFUNCTION("""COMPUTED_VALUE"""),5.0)</f>
        <v>5</v>
      </c>
    </row>
    <row r="1442">
      <c r="A1442" s="2">
        <f>IFERROR(__xludf.DUMMYFUNCTION("""COMPUTED_VALUE"""),5.0)</f>
        <v>5</v>
      </c>
    </row>
    <row r="1443">
      <c r="A1443" s="2">
        <f>IFERROR(__xludf.DUMMYFUNCTION("""COMPUTED_VALUE"""),5.0)</f>
        <v>5</v>
      </c>
    </row>
    <row r="1444">
      <c r="A1444" s="2">
        <f>IFERROR(__xludf.DUMMYFUNCTION("""COMPUTED_VALUE"""),4.0)</f>
        <v>4</v>
      </c>
    </row>
    <row r="1445">
      <c r="A1445" s="2">
        <f>IFERROR(__xludf.DUMMYFUNCTION("""COMPUTED_VALUE"""),4.0)</f>
        <v>4</v>
      </c>
    </row>
    <row r="1446">
      <c r="A1446" s="2">
        <f>IFERROR(__xludf.DUMMYFUNCTION("""COMPUTED_VALUE"""),4.0)</f>
        <v>4</v>
      </c>
    </row>
    <row r="1447">
      <c r="A1447" s="2">
        <f>IFERROR(__xludf.DUMMYFUNCTION("""COMPUTED_VALUE"""),4.0)</f>
        <v>4</v>
      </c>
    </row>
    <row r="1448">
      <c r="A1448" s="2">
        <f>IFERROR(__xludf.DUMMYFUNCTION("""COMPUTED_VALUE"""),4.0)</f>
        <v>4</v>
      </c>
    </row>
    <row r="1449">
      <c r="A1449" s="2">
        <f>IFERROR(__xludf.DUMMYFUNCTION("""COMPUTED_VALUE"""),5.0)</f>
        <v>5</v>
      </c>
    </row>
    <row r="1450">
      <c r="A1450" s="2">
        <f>IFERROR(__xludf.DUMMYFUNCTION("""COMPUTED_VALUE"""),5.0)</f>
        <v>5</v>
      </c>
    </row>
    <row r="1451">
      <c r="A1451" s="2">
        <f>IFERROR(__xludf.DUMMYFUNCTION("""COMPUTED_VALUE"""),5.0)</f>
        <v>5</v>
      </c>
    </row>
    <row r="1452">
      <c r="A1452" s="2">
        <f>IFERROR(__xludf.DUMMYFUNCTION("""COMPUTED_VALUE"""),2.0)</f>
        <v>2</v>
      </c>
    </row>
    <row r="1453">
      <c r="A1453" s="2">
        <f>IFERROR(__xludf.DUMMYFUNCTION("""COMPUTED_VALUE"""),4.0)</f>
        <v>4</v>
      </c>
    </row>
    <row r="1454">
      <c r="A1454" s="2">
        <f>IFERROR(__xludf.DUMMYFUNCTION("""COMPUTED_VALUE"""),4.0)</f>
        <v>4</v>
      </c>
    </row>
    <row r="1455">
      <c r="A1455" s="2">
        <f>IFERROR(__xludf.DUMMYFUNCTION("""COMPUTED_VALUE"""),6.0)</f>
        <v>6</v>
      </c>
    </row>
    <row r="1456">
      <c r="A1456" s="2">
        <f>IFERROR(__xludf.DUMMYFUNCTION("""COMPUTED_VALUE"""),6.0)</f>
        <v>6</v>
      </c>
    </row>
    <row r="1457">
      <c r="A1457" s="2">
        <f>IFERROR(__xludf.DUMMYFUNCTION("""COMPUTED_VALUE"""),6.0)</f>
        <v>6</v>
      </c>
    </row>
    <row r="1458">
      <c r="A1458" s="2">
        <f>IFERROR(__xludf.DUMMYFUNCTION("""COMPUTED_VALUE"""),6.0)</f>
        <v>6</v>
      </c>
    </row>
    <row r="1459">
      <c r="A1459" s="2">
        <f>IFERROR(__xludf.DUMMYFUNCTION("""COMPUTED_VALUE"""),6.0)</f>
        <v>6</v>
      </c>
    </row>
    <row r="1460">
      <c r="A1460" s="2">
        <f>IFERROR(__xludf.DUMMYFUNCTION("""COMPUTED_VALUE"""),6.0)</f>
        <v>6</v>
      </c>
    </row>
    <row r="1461">
      <c r="A1461" s="2">
        <f>IFERROR(__xludf.DUMMYFUNCTION("""COMPUTED_VALUE"""),6.0)</f>
        <v>6</v>
      </c>
    </row>
    <row r="1462">
      <c r="A1462" s="2">
        <f>IFERROR(__xludf.DUMMYFUNCTION("""COMPUTED_VALUE"""),6.0)</f>
        <v>6</v>
      </c>
    </row>
    <row r="1463">
      <c r="A1463" s="2">
        <f>IFERROR(__xludf.DUMMYFUNCTION("""COMPUTED_VALUE"""),6.0)</f>
        <v>6</v>
      </c>
    </row>
    <row r="1464">
      <c r="A1464" s="2">
        <f>IFERROR(__xludf.DUMMYFUNCTION("""COMPUTED_VALUE"""),6.0)</f>
        <v>6</v>
      </c>
    </row>
    <row r="1465">
      <c r="A1465" s="2">
        <f>IFERROR(__xludf.DUMMYFUNCTION("""COMPUTED_VALUE"""),6.0)</f>
        <v>6</v>
      </c>
    </row>
    <row r="1466">
      <c r="A1466" s="2">
        <f>IFERROR(__xludf.DUMMYFUNCTION("""COMPUTED_VALUE"""),6.0)</f>
        <v>6</v>
      </c>
    </row>
    <row r="1467">
      <c r="A1467" s="2">
        <f>IFERROR(__xludf.DUMMYFUNCTION("""COMPUTED_VALUE"""),6.0)</f>
        <v>6</v>
      </c>
    </row>
    <row r="1468">
      <c r="A1468" s="2">
        <f>IFERROR(__xludf.DUMMYFUNCTION("""COMPUTED_VALUE"""),6.0)</f>
        <v>6</v>
      </c>
    </row>
    <row r="1469">
      <c r="A1469" s="2">
        <f>IFERROR(__xludf.DUMMYFUNCTION("""COMPUTED_VALUE"""),5.0)</f>
        <v>5</v>
      </c>
    </row>
    <row r="1470">
      <c r="A1470" s="2">
        <f>IFERROR(__xludf.DUMMYFUNCTION("""COMPUTED_VALUE"""),5.0)</f>
        <v>5</v>
      </c>
    </row>
    <row r="1471">
      <c r="A1471" s="2">
        <f>IFERROR(__xludf.DUMMYFUNCTION("""COMPUTED_VALUE"""),5.0)</f>
        <v>5</v>
      </c>
    </row>
    <row r="1472">
      <c r="A1472" s="2">
        <f>IFERROR(__xludf.DUMMYFUNCTION("""COMPUTED_VALUE"""),5.0)</f>
        <v>5</v>
      </c>
    </row>
    <row r="1473">
      <c r="A1473" s="2">
        <f>IFERROR(__xludf.DUMMYFUNCTION("""COMPUTED_VALUE"""),5.0)</f>
        <v>5</v>
      </c>
    </row>
    <row r="1474">
      <c r="A1474" s="2">
        <f>IFERROR(__xludf.DUMMYFUNCTION("""COMPUTED_VALUE"""),5.0)</f>
        <v>5</v>
      </c>
    </row>
    <row r="1475">
      <c r="A1475" s="2">
        <f>IFERROR(__xludf.DUMMYFUNCTION("""COMPUTED_VALUE"""),5.0)</f>
        <v>5</v>
      </c>
    </row>
    <row r="1476">
      <c r="A1476" s="2">
        <f>IFERROR(__xludf.DUMMYFUNCTION("""COMPUTED_VALUE"""),1.0)</f>
        <v>1</v>
      </c>
    </row>
    <row r="1477">
      <c r="A1477" s="2">
        <f>IFERROR(__xludf.DUMMYFUNCTION("""COMPUTED_VALUE"""),1.0)</f>
        <v>1</v>
      </c>
    </row>
    <row r="1478">
      <c r="A1478" s="2">
        <f>IFERROR(__xludf.DUMMYFUNCTION("""COMPUTED_VALUE"""),1.0)</f>
        <v>1</v>
      </c>
    </row>
    <row r="1479">
      <c r="A1479" s="2">
        <f>IFERROR(__xludf.DUMMYFUNCTION("""COMPUTED_VALUE"""),1.0)</f>
        <v>1</v>
      </c>
    </row>
    <row r="1480">
      <c r="A1480" s="2">
        <f>IFERROR(__xludf.DUMMYFUNCTION("""COMPUTED_VALUE"""),1.0)</f>
        <v>1</v>
      </c>
    </row>
    <row r="1481">
      <c r="A1481" s="2">
        <f>IFERROR(__xludf.DUMMYFUNCTION("""COMPUTED_VALUE"""),1.0)</f>
        <v>1</v>
      </c>
    </row>
    <row r="1482">
      <c r="A1482" s="2">
        <f>IFERROR(__xludf.DUMMYFUNCTION("""COMPUTED_VALUE"""),1.0)</f>
        <v>1</v>
      </c>
    </row>
    <row r="1483">
      <c r="A1483" s="2">
        <f>IFERROR(__xludf.DUMMYFUNCTION("""COMPUTED_VALUE"""),2.0)</f>
        <v>2</v>
      </c>
    </row>
    <row r="1484">
      <c r="A1484" s="2">
        <f>IFERROR(__xludf.DUMMYFUNCTION("""COMPUTED_VALUE"""),6.0)</f>
        <v>6</v>
      </c>
    </row>
    <row r="1485">
      <c r="A1485" s="2">
        <f>IFERROR(__xludf.DUMMYFUNCTION("""COMPUTED_VALUE"""),6.0)</f>
        <v>6</v>
      </c>
    </row>
    <row r="1486">
      <c r="A1486" s="2">
        <f>IFERROR(__xludf.DUMMYFUNCTION("""COMPUTED_VALUE"""),6.0)</f>
        <v>6</v>
      </c>
    </row>
    <row r="1487">
      <c r="A1487" s="2">
        <f>IFERROR(__xludf.DUMMYFUNCTION("""COMPUTED_VALUE"""),6.0)</f>
        <v>6</v>
      </c>
    </row>
    <row r="1488">
      <c r="A1488" s="2">
        <f>IFERROR(__xludf.DUMMYFUNCTION("""COMPUTED_VALUE"""),5.0)</f>
        <v>5</v>
      </c>
    </row>
    <row r="1489">
      <c r="A1489" s="2">
        <f>IFERROR(__xludf.DUMMYFUNCTION("""COMPUTED_VALUE"""),1.0)</f>
        <v>1</v>
      </c>
    </row>
    <row r="1490">
      <c r="A1490" s="2">
        <f>IFERROR(__xludf.DUMMYFUNCTION("""COMPUTED_VALUE"""),1.0)</f>
        <v>1</v>
      </c>
    </row>
    <row r="1491">
      <c r="A1491" s="2">
        <f>IFERROR(__xludf.DUMMYFUNCTION("""COMPUTED_VALUE"""),9.0)</f>
        <v>9</v>
      </c>
    </row>
    <row r="1492">
      <c r="A1492" s="2">
        <f>IFERROR(__xludf.DUMMYFUNCTION("""COMPUTED_VALUE"""),9.0)</f>
        <v>9</v>
      </c>
    </row>
    <row r="1493">
      <c r="A1493" s="2">
        <f>IFERROR(__xludf.DUMMYFUNCTION("""COMPUTED_VALUE"""),1.0)</f>
        <v>1</v>
      </c>
    </row>
    <row r="1494">
      <c r="A1494" s="2">
        <f>IFERROR(__xludf.DUMMYFUNCTION("""COMPUTED_VALUE"""),1.0)</f>
        <v>1</v>
      </c>
    </row>
    <row r="1495">
      <c r="A1495" s="2">
        <f>IFERROR(__xludf.DUMMYFUNCTION("""COMPUTED_VALUE"""),3.0)</f>
        <v>3</v>
      </c>
    </row>
    <row r="1496">
      <c r="A1496" s="2">
        <f>IFERROR(__xludf.DUMMYFUNCTION("""COMPUTED_VALUE"""),3.0)</f>
        <v>3</v>
      </c>
    </row>
    <row r="1497">
      <c r="A1497" s="2">
        <f>IFERROR(__xludf.DUMMYFUNCTION("""COMPUTED_VALUE"""),3.0)</f>
        <v>3</v>
      </c>
    </row>
    <row r="1498">
      <c r="A1498" s="2">
        <f>IFERROR(__xludf.DUMMYFUNCTION("""COMPUTED_VALUE"""),3.0)</f>
        <v>3</v>
      </c>
    </row>
    <row r="1499">
      <c r="A1499" s="2">
        <f>IFERROR(__xludf.DUMMYFUNCTION("""COMPUTED_VALUE"""),3.0)</f>
        <v>3</v>
      </c>
    </row>
    <row r="1500">
      <c r="A1500" s="2">
        <f>IFERROR(__xludf.DUMMYFUNCTION("""COMPUTED_VALUE"""),3.0)</f>
        <v>3</v>
      </c>
    </row>
    <row r="1501">
      <c r="A1501" s="2">
        <f>IFERROR(__xludf.DUMMYFUNCTION("""COMPUTED_VALUE"""),3.0)</f>
        <v>3</v>
      </c>
    </row>
    <row r="1502">
      <c r="A1502" s="2">
        <f>IFERROR(__xludf.DUMMYFUNCTION("""COMPUTED_VALUE"""),3.0)</f>
        <v>3</v>
      </c>
    </row>
    <row r="1503">
      <c r="A1503" s="2">
        <f>IFERROR(__xludf.DUMMYFUNCTION("""COMPUTED_VALUE"""),3.0)</f>
        <v>3</v>
      </c>
    </row>
    <row r="1504">
      <c r="A1504" s="2">
        <f>IFERROR(__xludf.DUMMYFUNCTION("""COMPUTED_VALUE"""),7.0)</f>
        <v>7</v>
      </c>
    </row>
    <row r="1505">
      <c r="A1505" s="2">
        <f>IFERROR(__xludf.DUMMYFUNCTION("""COMPUTED_VALUE"""),7.0)</f>
        <v>7</v>
      </c>
    </row>
    <row r="1506">
      <c r="A1506" s="2">
        <f>IFERROR(__xludf.DUMMYFUNCTION("""COMPUTED_VALUE"""),7.0)</f>
        <v>7</v>
      </c>
    </row>
    <row r="1507">
      <c r="A1507" s="2">
        <f>IFERROR(__xludf.DUMMYFUNCTION("""COMPUTED_VALUE"""),8.0)</f>
        <v>8</v>
      </c>
    </row>
    <row r="1508">
      <c r="A1508" s="2">
        <f>IFERROR(__xludf.DUMMYFUNCTION("""COMPUTED_VALUE"""),8.0)</f>
        <v>8</v>
      </c>
    </row>
    <row r="1509">
      <c r="A1509" s="2">
        <f>IFERROR(__xludf.DUMMYFUNCTION("""COMPUTED_VALUE"""),8.0)</f>
        <v>8</v>
      </c>
    </row>
    <row r="1510">
      <c r="A1510" s="2">
        <f>IFERROR(__xludf.DUMMYFUNCTION("""COMPUTED_VALUE"""),8.0)</f>
        <v>8</v>
      </c>
    </row>
    <row r="1511">
      <c r="A1511" s="2">
        <f>IFERROR(__xludf.DUMMYFUNCTION("""COMPUTED_VALUE"""),7.0)</f>
        <v>7</v>
      </c>
    </row>
    <row r="1512">
      <c r="A1512" s="2">
        <f>IFERROR(__xludf.DUMMYFUNCTION("""COMPUTED_VALUE"""),7.0)</f>
        <v>7</v>
      </c>
    </row>
    <row r="1513">
      <c r="A1513" s="2">
        <f>IFERROR(__xludf.DUMMYFUNCTION("""COMPUTED_VALUE"""),7.0)</f>
        <v>7</v>
      </c>
    </row>
    <row r="1514">
      <c r="A1514" s="2">
        <f>IFERROR(__xludf.DUMMYFUNCTION("""COMPUTED_VALUE"""),7.0)</f>
        <v>7</v>
      </c>
    </row>
    <row r="1515">
      <c r="A1515" s="2">
        <f>IFERROR(__xludf.DUMMYFUNCTION("""COMPUTED_VALUE"""),7.0)</f>
        <v>7</v>
      </c>
    </row>
    <row r="1516">
      <c r="A1516" s="2">
        <f>IFERROR(__xludf.DUMMYFUNCTION("""COMPUTED_VALUE"""),8.0)</f>
        <v>8</v>
      </c>
    </row>
    <row r="1517">
      <c r="A1517" s="2">
        <f>IFERROR(__xludf.DUMMYFUNCTION("""COMPUTED_VALUE"""),8.0)</f>
        <v>8</v>
      </c>
    </row>
    <row r="1518">
      <c r="A1518" s="2">
        <f>IFERROR(__xludf.DUMMYFUNCTION("""COMPUTED_VALUE"""),8.0)</f>
        <v>8</v>
      </c>
    </row>
    <row r="1519">
      <c r="A1519" s="2">
        <f>IFERROR(__xludf.DUMMYFUNCTION("""COMPUTED_VALUE"""),6.0)</f>
        <v>6</v>
      </c>
    </row>
    <row r="1520">
      <c r="A1520" s="2">
        <f>IFERROR(__xludf.DUMMYFUNCTION("""COMPUTED_VALUE"""),6.0)</f>
        <v>6</v>
      </c>
    </row>
    <row r="1521">
      <c r="A1521" s="2">
        <f>IFERROR(__xludf.DUMMYFUNCTION("""COMPUTED_VALUE"""),6.0)</f>
        <v>6</v>
      </c>
    </row>
    <row r="1522">
      <c r="A1522" s="2">
        <f>IFERROR(__xludf.DUMMYFUNCTION("""COMPUTED_VALUE"""),6.0)</f>
        <v>6</v>
      </c>
    </row>
    <row r="1523">
      <c r="A1523" s="2">
        <f>IFERROR(__xludf.DUMMYFUNCTION("""COMPUTED_VALUE"""),6.0)</f>
        <v>6</v>
      </c>
    </row>
    <row r="1524">
      <c r="A1524" s="2">
        <f>IFERROR(__xludf.DUMMYFUNCTION("""COMPUTED_VALUE"""),6.0)</f>
        <v>6</v>
      </c>
    </row>
    <row r="1525">
      <c r="A1525" s="2">
        <f>IFERROR(__xludf.DUMMYFUNCTION("""COMPUTED_VALUE"""),6.0)</f>
        <v>6</v>
      </c>
    </row>
    <row r="1526">
      <c r="A1526" s="2">
        <f>IFERROR(__xludf.DUMMYFUNCTION("""COMPUTED_VALUE"""),6.0)</f>
        <v>6</v>
      </c>
    </row>
    <row r="1527">
      <c r="A1527" s="2">
        <f>IFERROR(__xludf.DUMMYFUNCTION("""COMPUTED_VALUE"""),6.0)</f>
        <v>6</v>
      </c>
    </row>
    <row r="1528">
      <c r="A1528" s="2">
        <f>IFERROR(__xludf.DUMMYFUNCTION("""COMPUTED_VALUE"""),6.0)</f>
        <v>6</v>
      </c>
    </row>
    <row r="1529">
      <c r="A1529" s="2">
        <f>IFERROR(__xludf.DUMMYFUNCTION("""COMPUTED_VALUE"""),6.0)</f>
        <v>6</v>
      </c>
    </row>
    <row r="1530">
      <c r="A1530" s="2">
        <f>IFERROR(__xludf.DUMMYFUNCTION("""COMPUTED_VALUE"""),6.0)</f>
        <v>6</v>
      </c>
    </row>
    <row r="1531">
      <c r="A1531" s="2">
        <f>IFERROR(__xludf.DUMMYFUNCTION("""COMPUTED_VALUE"""),6.0)</f>
        <v>6</v>
      </c>
    </row>
    <row r="1532">
      <c r="A1532" s="2">
        <f>IFERROR(__xludf.DUMMYFUNCTION("""COMPUTED_VALUE"""),6.0)</f>
        <v>6</v>
      </c>
    </row>
    <row r="1533">
      <c r="A1533" s="2">
        <f>IFERROR(__xludf.DUMMYFUNCTION("""COMPUTED_VALUE"""),6.0)</f>
        <v>6</v>
      </c>
    </row>
    <row r="1534">
      <c r="A1534" s="2">
        <f>IFERROR(__xludf.DUMMYFUNCTION("""COMPUTED_VALUE"""),6.0)</f>
        <v>6</v>
      </c>
    </row>
    <row r="1535">
      <c r="A1535" s="2">
        <f>IFERROR(__xludf.DUMMYFUNCTION("""COMPUTED_VALUE"""),6.0)</f>
        <v>6</v>
      </c>
    </row>
    <row r="1536">
      <c r="A1536" s="2">
        <f>IFERROR(__xludf.DUMMYFUNCTION("""COMPUTED_VALUE"""),6.0)</f>
        <v>6</v>
      </c>
    </row>
    <row r="1537">
      <c r="A1537" s="2">
        <f>IFERROR(__xludf.DUMMYFUNCTION("""COMPUTED_VALUE"""),6.0)</f>
        <v>6</v>
      </c>
    </row>
    <row r="1538">
      <c r="A1538" s="2">
        <f>IFERROR(__xludf.DUMMYFUNCTION("""COMPUTED_VALUE"""),6.0)</f>
        <v>6</v>
      </c>
    </row>
    <row r="1539">
      <c r="A1539" s="2">
        <f>IFERROR(__xludf.DUMMYFUNCTION("""COMPUTED_VALUE"""),6.0)</f>
        <v>6</v>
      </c>
    </row>
    <row r="1540">
      <c r="A1540" s="2">
        <f>IFERROR(__xludf.DUMMYFUNCTION("""COMPUTED_VALUE"""),6.0)</f>
        <v>6</v>
      </c>
    </row>
    <row r="1541">
      <c r="A1541" s="2">
        <f>IFERROR(__xludf.DUMMYFUNCTION("""COMPUTED_VALUE"""),6.0)</f>
        <v>6</v>
      </c>
    </row>
    <row r="1542">
      <c r="A1542" s="2">
        <f>IFERROR(__xludf.DUMMYFUNCTION("""COMPUTED_VALUE"""),6.0)</f>
        <v>6</v>
      </c>
    </row>
    <row r="1543">
      <c r="A1543" s="2">
        <f>IFERROR(__xludf.DUMMYFUNCTION("""COMPUTED_VALUE"""),6.0)</f>
        <v>6</v>
      </c>
    </row>
    <row r="1544">
      <c r="A1544" s="2">
        <f>IFERROR(__xludf.DUMMYFUNCTION("""COMPUTED_VALUE"""),6.0)</f>
        <v>6</v>
      </c>
    </row>
    <row r="1545">
      <c r="A1545" s="2">
        <f>IFERROR(__xludf.DUMMYFUNCTION("""COMPUTED_VALUE"""),1.0)</f>
        <v>1</v>
      </c>
    </row>
    <row r="1546">
      <c r="A1546" s="2">
        <f>IFERROR(__xludf.DUMMYFUNCTION("""COMPUTED_VALUE"""),1.0)</f>
        <v>1</v>
      </c>
    </row>
    <row r="1547">
      <c r="A1547" s="2">
        <f>IFERROR(__xludf.DUMMYFUNCTION("""COMPUTED_VALUE"""),1.0)</f>
        <v>1</v>
      </c>
    </row>
    <row r="1548">
      <c r="A1548" s="2">
        <f>IFERROR(__xludf.DUMMYFUNCTION("""COMPUTED_VALUE"""),1.0)</f>
        <v>1</v>
      </c>
    </row>
    <row r="1549">
      <c r="A1549" s="2">
        <f>IFERROR(__xludf.DUMMYFUNCTION("""COMPUTED_VALUE"""),1.0)</f>
        <v>1</v>
      </c>
    </row>
    <row r="1550">
      <c r="A1550" s="2">
        <f>IFERROR(__xludf.DUMMYFUNCTION("""COMPUTED_VALUE"""),1.0)</f>
        <v>1</v>
      </c>
    </row>
    <row r="1551">
      <c r="A1551" s="2">
        <f>IFERROR(__xludf.DUMMYFUNCTION("""COMPUTED_VALUE"""),1.0)</f>
        <v>1</v>
      </c>
    </row>
    <row r="1552">
      <c r="A1552" s="2">
        <f>IFERROR(__xludf.DUMMYFUNCTION("""COMPUTED_VALUE"""),1.0)</f>
        <v>1</v>
      </c>
    </row>
    <row r="1553">
      <c r="A1553" s="2">
        <f>IFERROR(__xludf.DUMMYFUNCTION("""COMPUTED_VALUE"""),6.0)</f>
        <v>6</v>
      </c>
    </row>
    <row r="1554">
      <c r="A1554" s="2">
        <f>IFERROR(__xludf.DUMMYFUNCTION("""COMPUTED_VALUE"""),2.0)</f>
        <v>2</v>
      </c>
    </row>
    <row r="1555">
      <c r="A1555" s="2">
        <f>IFERROR(__xludf.DUMMYFUNCTION("""COMPUTED_VALUE"""),2.0)</f>
        <v>2</v>
      </c>
    </row>
    <row r="1556">
      <c r="A1556" s="2">
        <f>IFERROR(__xludf.DUMMYFUNCTION("""COMPUTED_VALUE"""),2.0)</f>
        <v>2</v>
      </c>
    </row>
    <row r="1557">
      <c r="A1557" s="2">
        <f>IFERROR(__xludf.DUMMYFUNCTION("""COMPUTED_VALUE"""),2.0)</f>
        <v>2</v>
      </c>
    </row>
    <row r="1558">
      <c r="A1558" s="2">
        <f>IFERROR(__xludf.DUMMYFUNCTION("""COMPUTED_VALUE"""),2.0)</f>
        <v>2</v>
      </c>
    </row>
    <row r="1559">
      <c r="A1559" s="2">
        <f>IFERROR(__xludf.DUMMYFUNCTION("""COMPUTED_VALUE"""),2.0)</f>
        <v>2</v>
      </c>
    </row>
    <row r="1560">
      <c r="A1560" s="2">
        <f>IFERROR(__xludf.DUMMYFUNCTION("""COMPUTED_VALUE"""),2.0)</f>
        <v>2</v>
      </c>
    </row>
    <row r="1561">
      <c r="A1561" s="2">
        <f>IFERROR(__xludf.DUMMYFUNCTION("""COMPUTED_VALUE"""),4.0)</f>
        <v>4</v>
      </c>
    </row>
    <row r="1562">
      <c r="A1562" s="2">
        <f>IFERROR(__xludf.DUMMYFUNCTION("""COMPUTED_VALUE"""),4.0)</f>
        <v>4</v>
      </c>
    </row>
    <row r="1563">
      <c r="A1563" s="2">
        <f>IFERROR(__xludf.DUMMYFUNCTION("""COMPUTED_VALUE"""),4.0)</f>
        <v>4</v>
      </c>
    </row>
    <row r="1564">
      <c r="A1564" s="2">
        <f>IFERROR(__xludf.DUMMYFUNCTION("""COMPUTED_VALUE"""),4.0)</f>
        <v>4</v>
      </c>
    </row>
    <row r="1565">
      <c r="A1565" s="2">
        <f>IFERROR(__xludf.DUMMYFUNCTION("""COMPUTED_VALUE"""),4.0)</f>
        <v>4</v>
      </c>
    </row>
    <row r="1566">
      <c r="A1566" s="2">
        <f>IFERROR(__xludf.DUMMYFUNCTION("""COMPUTED_VALUE"""),4.0)</f>
        <v>4</v>
      </c>
    </row>
    <row r="1567">
      <c r="A1567" s="2">
        <f>IFERROR(__xludf.DUMMYFUNCTION("""COMPUTED_VALUE"""),4.0)</f>
        <v>4</v>
      </c>
    </row>
    <row r="1568">
      <c r="A1568" s="2">
        <f>IFERROR(__xludf.DUMMYFUNCTION("""COMPUTED_VALUE"""),4.0)</f>
        <v>4</v>
      </c>
    </row>
    <row r="1569">
      <c r="A1569" s="2">
        <f>IFERROR(__xludf.DUMMYFUNCTION("""COMPUTED_VALUE"""),4.0)</f>
        <v>4</v>
      </c>
    </row>
    <row r="1570">
      <c r="A1570" s="2">
        <f>IFERROR(__xludf.DUMMYFUNCTION("""COMPUTED_VALUE"""),4.0)</f>
        <v>4</v>
      </c>
    </row>
    <row r="1571">
      <c r="A1571" s="2">
        <f>IFERROR(__xludf.DUMMYFUNCTION("""COMPUTED_VALUE"""),6.0)</f>
        <v>6</v>
      </c>
    </row>
    <row r="1572">
      <c r="A1572" s="2">
        <f>IFERROR(__xludf.DUMMYFUNCTION("""COMPUTED_VALUE"""),1.0)</f>
        <v>1</v>
      </c>
    </row>
    <row r="1573">
      <c r="A1573" s="2">
        <f>IFERROR(__xludf.DUMMYFUNCTION("""COMPUTED_VALUE"""),1.0)</f>
        <v>1</v>
      </c>
    </row>
    <row r="1574">
      <c r="A1574" s="2">
        <f>IFERROR(__xludf.DUMMYFUNCTION("""COMPUTED_VALUE"""),1.0)</f>
        <v>1</v>
      </c>
    </row>
    <row r="1575">
      <c r="A1575" s="2">
        <f>IFERROR(__xludf.DUMMYFUNCTION("""COMPUTED_VALUE"""),1.0)</f>
        <v>1</v>
      </c>
    </row>
    <row r="1576">
      <c r="A1576" s="2">
        <f>IFERROR(__xludf.DUMMYFUNCTION("""COMPUTED_VALUE"""),1.0)</f>
        <v>1</v>
      </c>
    </row>
    <row r="1577">
      <c r="A1577" s="2">
        <f>IFERROR(__xludf.DUMMYFUNCTION("""COMPUTED_VALUE"""),1.0)</f>
        <v>1</v>
      </c>
    </row>
    <row r="1578">
      <c r="A1578" s="2">
        <f>IFERROR(__xludf.DUMMYFUNCTION("""COMPUTED_VALUE"""),1.0)</f>
        <v>1</v>
      </c>
    </row>
    <row r="1579">
      <c r="A1579" s="2">
        <f>IFERROR(__xludf.DUMMYFUNCTION("""COMPUTED_VALUE"""),1.0)</f>
        <v>1</v>
      </c>
    </row>
    <row r="1580">
      <c r="A1580" s="2">
        <f>IFERROR(__xludf.DUMMYFUNCTION("""COMPUTED_VALUE"""),1.0)</f>
        <v>1</v>
      </c>
    </row>
    <row r="1581">
      <c r="A1581" s="2">
        <f>IFERROR(__xludf.DUMMYFUNCTION("""COMPUTED_VALUE"""),1.0)</f>
        <v>1</v>
      </c>
    </row>
    <row r="1582">
      <c r="A1582" s="2">
        <f>IFERROR(__xludf.DUMMYFUNCTION("""COMPUTED_VALUE"""),1.0)</f>
        <v>1</v>
      </c>
    </row>
    <row r="1583">
      <c r="A1583" s="2">
        <f>IFERROR(__xludf.DUMMYFUNCTION("""COMPUTED_VALUE"""),1.0)</f>
        <v>1</v>
      </c>
    </row>
    <row r="1584">
      <c r="A1584" s="2">
        <f>IFERROR(__xludf.DUMMYFUNCTION("""COMPUTED_VALUE"""),1.0)</f>
        <v>1</v>
      </c>
    </row>
    <row r="1585">
      <c r="A1585" s="2">
        <f>IFERROR(__xludf.DUMMYFUNCTION("""COMPUTED_VALUE"""),1.0)</f>
        <v>1</v>
      </c>
    </row>
    <row r="1586">
      <c r="A1586" s="2">
        <f>IFERROR(__xludf.DUMMYFUNCTION("""COMPUTED_VALUE"""),1.0)</f>
        <v>1</v>
      </c>
    </row>
    <row r="1587">
      <c r="A1587" s="2">
        <f>IFERROR(__xludf.DUMMYFUNCTION("""COMPUTED_VALUE"""),1.0)</f>
        <v>1</v>
      </c>
    </row>
    <row r="1588">
      <c r="A1588" s="2">
        <f>IFERROR(__xludf.DUMMYFUNCTION("""COMPUTED_VALUE"""),1.0)</f>
        <v>1</v>
      </c>
    </row>
    <row r="1589">
      <c r="A1589" s="2">
        <f>IFERROR(__xludf.DUMMYFUNCTION("""COMPUTED_VALUE"""),1.0)</f>
        <v>1</v>
      </c>
    </row>
    <row r="1590">
      <c r="A1590" s="2">
        <f>IFERROR(__xludf.DUMMYFUNCTION("""COMPUTED_VALUE"""),1.0)</f>
        <v>1</v>
      </c>
    </row>
    <row r="1591">
      <c r="A1591" s="2">
        <f>IFERROR(__xludf.DUMMYFUNCTION("""COMPUTED_VALUE"""),1.0)</f>
        <v>1</v>
      </c>
    </row>
    <row r="1592">
      <c r="A1592" s="2">
        <f>IFERROR(__xludf.DUMMYFUNCTION("""COMPUTED_VALUE"""),1.0)</f>
        <v>1</v>
      </c>
    </row>
    <row r="1593">
      <c r="A1593" s="2">
        <f>IFERROR(__xludf.DUMMYFUNCTION("""COMPUTED_VALUE"""),1.0)</f>
        <v>1</v>
      </c>
    </row>
    <row r="1594">
      <c r="A1594" s="2">
        <f>IFERROR(__xludf.DUMMYFUNCTION("""COMPUTED_VALUE"""),6.0)</f>
        <v>6</v>
      </c>
    </row>
    <row r="1595">
      <c r="A1595" s="2">
        <f>IFERROR(__xludf.DUMMYFUNCTION("""COMPUTED_VALUE"""),4.0)</f>
        <v>4</v>
      </c>
    </row>
    <row r="1596">
      <c r="A1596" s="2">
        <f>IFERROR(__xludf.DUMMYFUNCTION("""COMPUTED_VALUE"""),4.0)</f>
        <v>4</v>
      </c>
    </row>
    <row r="1597">
      <c r="A1597" s="2">
        <f>IFERROR(__xludf.DUMMYFUNCTION("""COMPUTED_VALUE"""),4.0)</f>
        <v>4</v>
      </c>
    </row>
    <row r="1598">
      <c r="A1598" s="2">
        <f>IFERROR(__xludf.DUMMYFUNCTION("""COMPUTED_VALUE"""),4.0)</f>
        <v>4</v>
      </c>
    </row>
    <row r="1599">
      <c r="A1599" s="2">
        <f>IFERROR(__xludf.DUMMYFUNCTION("""COMPUTED_VALUE"""),4.0)</f>
        <v>4</v>
      </c>
    </row>
    <row r="1600">
      <c r="A1600" s="2">
        <f>IFERROR(__xludf.DUMMYFUNCTION("""COMPUTED_VALUE"""),4.0)</f>
        <v>4</v>
      </c>
    </row>
    <row r="1601">
      <c r="A1601" s="2">
        <f>IFERROR(__xludf.DUMMYFUNCTION("""COMPUTED_VALUE"""),5.0)</f>
        <v>5</v>
      </c>
    </row>
    <row r="1602">
      <c r="A1602" s="2">
        <f>IFERROR(__xludf.DUMMYFUNCTION("""COMPUTED_VALUE"""),1.0)</f>
        <v>1</v>
      </c>
    </row>
    <row r="1603">
      <c r="A1603" s="2">
        <f>IFERROR(__xludf.DUMMYFUNCTION("""COMPUTED_VALUE"""),7.0)</f>
        <v>7</v>
      </c>
    </row>
    <row r="1604">
      <c r="A1604" s="2">
        <f>IFERROR(__xludf.DUMMYFUNCTION("""COMPUTED_VALUE"""),7.0)</f>
        <v>7</v>
      </c>
    </row>
    <row r="1605">
      <c r="A1605" s="2">
        <f>IFERROR(__xludf.DUMMYFUNCTION("""COMPUTED_VALUE"""),7.0)</f>
        <v>7</v>
      </c>
    </row>
    <row r="1606">
      <c r="A1606" s="2">
        <f>IFERROR(__xludf.DUMMYFUNCTION("""COMPUTED_VALUE"""),7.0)</f>
        <v>7</v>
      </c>
    </row>
    <row r="1607">
      <c r="A1607" s="2">
        <f>IFERROR(__xludf.DUMMYFUNCTION("""COMPUTED_VALUE"""),7.0)</f>
        <v>7</v>
      </c>
    </row>
    <row r="1608">
      <c r="A1608" s="2">
        <f>IFERROR(__xludf.DUMMYFUNCTION("""COMPUTED_VALUE"""),7.0)</f>
        <v>7</v>
      </c>
    </row>
    <row r="1609">
      <c r="A1609" s="2">
        <f>IFERROR(__xludf.DUMMYFUNCTION("""COMPUTED_VALUE"""),7.0)</f>
        <v>7</v>
      </c>
    </row>
    <row r="1610">
      <c r="A1610" s="2">
        <f>IFERROR(__xludf.DUMMYFUNCTION("""COMPUTED_VALUE"""),7.0)</f>
        <v>7</v>
      </c>
    </row>
    <row r="1611">
      <c r="A1611" s="2">
        <f>IFERROR(__xludf.DUMMYFUNCTION("""COMPUTED_VALUE"""),7.0)</f>
        <v>7</v>
      </c>
    </row>
    <row r="1612">
      <c r="A1612" s="2">
        <f>IFERROR(__xludf.DUMMYFUNCTION("""COMPUTED_VALUE"""),7.0)</f>
        <v>7</v>
      </c>
    </row>
    <row r="1613">
      <c r="A1613" s="2">
        <f>IFERROR(__xludf.DUMMYFUNCTION("""COMPUTED_VALUE"""),7.0)</f>
        <v>7</v>
      </c>
    </row>
    <row r="1614">
      <c r="A1614" s="2">
        <f>IFERROR(__xludf.DUMMYFUNCTION("""COMPUTED_VALUE"""),7.0)</f>
        <v>7</v>
      </c>
    </row>
    <row r="1615">
      <c r="A1615" s="2">
        <f>IFERROR(__xludf.DUMMYFUNCTION("""COMPUTED_VALUE"""),7.0)</f>
        <v>7</v>
      </c>
    </row>
    <row r="1616">
      <c r="A1616" s="2">
        <f>IFERROR(__xludf.DUMMYFUNCTION("""COMPUTED_VALUE"""),7.0)</f>
        <v>7</v>
      </c>
    </row>
    <row r="1617">
      <c r="A1617" s="2">
        <f>IFERROR(__xludf.DUMMYFUNCTION("""COMPUTED_VALUE"""),7.0)</f>
        <v>7</v>
      </c>
    </row>
    <row r="1618">
      <c r="A1618" s="2">
        <f>IFERROR(__xludf.DUMMYFUNCTION("""COMPUTED_VALUE"""),7.0)</f>
        <v>7</v>
      </c>
    </row>
    <row r="1619">
      <c r="A1619" s="2">
        <f>IFERROR(__xludf.DUMMYFUNCTION("""COMPUTED_VALUE"""),7.0)</f>
        <v>7</v>
      </c>
    </row>
    <row r="1620">
      <c r="A1620" s="2">
        <f>IFERROR(__xludf.DUMMYFUNCTION("""COMPUTED_VALUE"""),7.0)</f>
        <v>7</v>
      </c>
    </row>
    <row r="1621">
      <c r="A1621" s="2">
        <f>IFERROR(__xludf.DUMMYFUNCTION("""COMPUTED_VALUE"""),7.0)</f>
        <v>7</v>
      </c>
    </row>
    <row r="1622">
      <c r="A1622" s="2">
        <f>IFERROR(__xludf.DUMMYFUNCTION("""COMPUTED_VALUE"""),7.0)</f>
        <v>7</v>
      </c>
    </row>
    <row r="1623">
      <c r="A1623" s="2">
        <f>IFERROR(__xludf.DUMMYFUNCTION("""COMPUTED_VALUE"""),7.0)</f>
        <v>7</v>
      </c>
    </row>
    <row r="1624">
      <c r="A1624" s="2">
        <f>IFERROR(__xludf.DUMMYFUNCTION("""COMPUTED_VALUE"""),2.0)</f>
        <v>2</v>
      </c>
    </row>
    <row r="1625">
      <c r="A1625" s="2">
        <f>IFERROR(__xludf.DUMMYFUNCTION("""COMPUTED_VALUE"""),2.0)</f>
        <v>2</v>
      </c>
    </row>
    <row r="1626">
      <c r="A1626" s="2">
        <f>IFERROR(__xludf.DUMMYFUNCTION("""COMPUTED_VALUE"""),2.0)</f>
        <v>2</v>
      </c>
    </row>
    <row r="1627">
      <c r="A1627" s="2">
        <f>IFERROR(__xludf.DUMMYFUNCTION("""COMPUTED_VALUE"""),2.0)</f>
        <v>2</v>
      </c>
    </row>
    <row r="1628">
      <c r="A1628" s="2">
        <f>IFERROR(__xludf.DUMMYFUNCTION("""COMPUTED_VALUE"""),2.0)</f>
        <v>2</v>
      </c>
    </row>
    <row r="1629">
      <c r="A1629" s="2">
        <f>IFERROR(__xludf.DUMMYFUNCTION("""COMPUTED_VALUE"""),2.0)</f>
        <v>2</v>
      </c>
    </row>
    <row r="1630">
      <c r="A1630" s="2">
        <f>IFERROR(__xludf.DUMMYFUNCTION("""COMPUTED_VALUE"""),2.0)</f>
        <v>2</v>
      </c>
    </row>
    <row r="1631">
      <c r="A1631" s="2">
        <f>IFERROR(__xludf.DUMMYFUNCTION("""COMPUTED_VALUE"""),2.0)</f>
        <v>2</v>
      </c>
    </row>
    <row r="1632">
      <c r="A1632" s="2">
        <f>IFERROR(__xludf.DUMMYFUNCTION("""COMPUTED_VALUE"""),2.0)</f>
        <v>2</v>
      </c>
    </row>
    <row r="1633">
      <c r="A1633" s="2">
        <f>IFERROR(__xludf.DUMMYFUNCTION("""COMPUTED_VALUE"""),2.0)</f>
        <v>2</v>
      </c>
    </row>
    <row r="1634">
      <c r="A1634" s="2">
        <f>IFERROR(__xludf.DUMMYFUNCTION("""COMPUTED_VALUE"""),2.0)</f>
        <v>2</v>
      </c>
    </row>
    <row r="1635">
      <c r="A1635" s="2">
        <f>IFERROR(__xludf.DUMMYFUNCTION("""COMPUTED_VALUE"""),2.0)</f>
        <v>2</v>
      </c>
    </row>
    <row r="1636">
      <c r="A1636" s="2">
        <f>IFERROR(__xludf.DUMMYFUNCTION("""COMPUTED_VALUE"""),2.0)</f>
        <v>2</v>
      </c>
    </row>
    <row r="1637">
      <c r="A1637" s="2">
        <f>IFERROR(__xludf.DUMMYFUNCTION("""COMPUTED_VALUE"""),2.0)</f>
        <v>2</v>
      </c>
    </row>
    <row r="1638">
      <c r="A1638" s="2">
        <f>IFERROR(__xludf.DUMMYFUNCTION("""COMPUTED_VALUE"""),2.0)</f>
        <v>2</v>
      </c>
    </row>
    <row r="1639">
      <c r="A1639" s="2">
        <f>IFERROR(__xludf.DUMMYFUNCTION("""COMPUTED_VALUE"""),2.0)</f>
        <v>2</v>
      </c>
    </row>
    <row r="1640">
      <c r="A1640" s="2">
        <f>IFERROR(__xludf.DUMMYFUNCTION("""COMPUTED_VALUE"""),2.0)</f>
        <v>2</v>
      </c>
    </row>
    <row r="1641">
      <c r="A1641" s="2">
        <f>IFERROR(__xludf.DUMMYFUNCTION("""COMPUTED_VALUE"""),2.0)</f>
        <v>2</v>
      </c>
    </row>
    <row r="1642">
      <c r="A1642" s="2">
        <f>IFERROR(__xludf.DUMMYFUNCTION("""COMPUTED_VALUE"""),2.0)</f>
        <v>2</v>
      </c>
    </row>
    <row r="1643">
      <c r="A1643" s="2">
        <f>IFERROR(__xludf.DUMMYFUNCTION("""COMPUTED_VALUE"""),2.0)</f>
        <v>2</v>
      </c>
    </row>
    <row r="1644">
      <c r="A1644" s="2">
        <f>IFERROR(__xludf.DUMMYFUNCTION("""COMPUTED_VALUE"""),2.0)</f>
        <v>2</v>
      </c>
    </row>
    <row r="1645">
      <c r="A1645" s="2">
        <f>IFERROR(__xludf.DUMMYFUNCTION("""COMPUTED_VALUE"""),2.0)</f>
        <v>2</v>
      </c>
    </row>
    <row r="1646">
      <c r="A1646" s="2">
        <f>IFERROR(__xludf.DUMMYFUNCTION("""COMPUTED_VALUE"""),2.0)</f>
        <v>2</v>
      </c>
    </row>
    <row r="1647">
      <c r="A1647" s="2">
        <f>IFERROR(__xludf.DUMMYFUNCTION("""COMPUTED_VALUE"""),2.0)</f>
        <v>2</v>
      </c>
    </row>
    <row r="1648">
      <c r="A1648" s="2">
        <f>IFERROR(__xludf.DUMMYFUNCTION("""COMPUTED_VALUE"""),2.0)</f>
        <v>2</v>
      </c>
    </row>
    <row r="1649">
      <c r="A1649" s="2">
        <f>IFERROR(__xludf.DUMMYFUNCTION("""COMPUTED_VALUE"""),2.0)</f>
        <v>2</v>
      </c>
    </row>
    <row r="1650">
      <c r="A1650" s="2">
        <f>IFERROR(__xludf.DUMMYFUNCTION("""COMPUTED_VALUE"""),2.0)</f>
        <v>2</v>
      </c>
    </row>
    <row r="1651">
      <c r="A1651" s="2">
        <f>IFERROR(__xludf.DUMMYFUNCTION("""COMPUTED_VALUE"""),2.0)</f>
        <v>2</v>
      </c>
    </row>
    <row r="1652">
      <c r="A1652" s="2">
        <f>IFERROR(__xludf.DUMMYFUNCTION("""COMPUTED_VALUE"""),2.0)</f>
        <v>2</v>
      </c>
    </row>
    <row r="1653">
      <c r="A1653" s="2">
        <f>IFERROR(__xludf.DUMMYFUNCTION("""COMPUTED_VALUE"""),2.0)</f>
        <v>2</v>
      </c>
    </row>
    <row r="1654">
      <c r="A1654" s="2">
        <f>IFERROR(__xludf.DUMMYFUNCTION("""COMPUTED_VALUE"""),2.0)</f>
        <v>2</v>
      </c>
    </row>
    <row r="1655">
      <c r="A1655" s="2">
        <f>IFERROR(__xludf.DUMMYFUNCTION("""COMPUTED_VALUE"""),2.0)</f>
        <v>2</v>
      </c>
    </row>
    <row r="1656">
      <c r="A1656" s="2">
        <f>IFERROR(__xludf.DUMMYFUNCTION("""COMPUTED_VALUE"""),2.0)</f>
        <v>2</v>
      </c>
    </row>
    <row r="1657">
      <c r="A1657" s="2">
        <f>IFERROR(__xludf.DUMMYFUNCTION("""COMPUTED_VALUE"""),2.0)</f>
        <v>2</v>
      </c>
    </row>
    <row r="1658">
      <c r="A1658" s="2">
        <f>IFERROR(__xludf.DUMMYFUNCTION("""COMPUTED_VALUE"""),2.0)</f>
        <v>2</v>
      </c>
    </row>
    <row r="1659">
      <c r="A1659" s="2">
        <f>IFERROR(__xludf.DUMMYFUNCTION("""COMPUTED_VALUE"""),2.0)</f>
        <v>2</v>
      </c>
    </row>
    <row r="1660">
      <c r="A1660" s="2">
        <f>IFERROR(__xludf.DUMMYFUNCTION("""COMPUTED_VALUE"""),2.0)</f>
        <v>2</v>
      </c>
    </row>
    <row r="1661">
      <c r="A1661" s="2">
        <f>IFERROR(__xludf.DUMMYFUNCTION("""COMPUTED_VALUE"""),2.0)</f>
        <v>2</v>
      </c>
    </row>
    <row r="1662">
      <c r="A1662" s="2">
        <f>IFERROR(__xludf.DUMMYFUNCTION("""COMPUTED_VALUE"""),2.0)</f>
        <v>2</v>
      </c>
    </row>
    <row r="1663">
      <c r="A1663" s="2">
        <f>IFERROR(__xludf.DUMMYFUNCTION("""COMPUTED_VALUE"""),2.0)</f>
        <v>2</v>
      </c>
    </row>
    <row r="1664">
      <c r="A1664" s="2">
        <f>IFERROR(__xludf.DUMMYFUNCTION("""COMPUTED_VALUE"""),2.0)</f>
        <v>2</v>
      </c>
    </row>
    <row r="1665">
      <c r="A1665" s="2">
        <f>IFERROR(__xludf.DUMMYFUNCTION("""COMPUTED_VALUE"""),2.0)</f>
        <v>2</v>
      </c>
    </row>
    <row r="1666">
      <c r="A1666" s="2">
        <f>IFERROR(__xludf.DUMMYFUNCTION("""COMPUTED_VALUE"""),2.0)</f>
        <v>2</v>
      </c>
    </row>
    <row r="1667">
      <c r="A1667" s="2">
        <f>IFERROR(__xludf.DUMMYFUNCTION("""COMPUTED_VALUE"""),2.0)</f>
        <v>2</v>
      </c>
    </row>
    <row r="1668">
      <c r="A1668" s="2">
        <f>IFERROR(__xludf.DUMMYFUNCTION("""COMPUTED_VALUE"""),2.0)</f>
        <v>2</v>
      </c>
    </row>
    <row r="1669">
      <c r="A1669" s="2">
        <f>IFERROR(__xludf.DUMMYFUNCTION("""COMPUTED_VALUE"""),2.0)</f>
        <v>2</v>
      </c>
    </row>
    <row r="1670">
      <c r="A1670" s="2">
        <f>IFERROR(__xludf.DUMMYFUNCTION("""COMPUTED_VALUE"""),4.0)</f>
        <v>4</v>
      </c>
    </row>
    <row r="1671">
      <c r="A1671" s="2">
        <f>IFERROR(__xludf.DUMMYFUNCTION("""COMPUTED_VALUE"""),4.0)</f>
        <v>4</v>
      </c>
    </row>
    <row r="1672">
      <c r="A1672" s="2">
        <f>IFERROR(__xludf.DUMMYFUNCTION("""COMPUTED_VALUE"""),8.0)</f>
        <v>8</v>
      </c>
    </row>
    <row r="1673">
      <c r="A1673" s="2">
        <f>IFERROR(__xludf.DUMMYFUNCTION("""COMPUTED_VALUE"""),8.0)</f>
        <v>8</v>
      </c>
    </row>
    <row r="1674">
      <c r="A1674" s="2">
        <f>IFERROR(__xludf.DUMMYFUNCTION("""COMPUTED_VALUE"""),1.0)</f>
        <v>1</v>
      </c>
    </row>
    <row r="1675">
      <c r="A1675" s="2">
        <f>IFERROR(__xludf.DUMMYFUNCTION("""COMPUTED_VALUE"""),2.0)</f>
        <v>2</v>
      </c>
    </row>
    <row r="1676">
      <c r="A1676" s="2">
        <f>IFERROR(__xludf.DUMMYFUNCTION("""COMPUTED_VALUE"""),2.0)</f>
        <v>2</v>
      </c>
    </row>
    <row r="1677">
      <c r="A1677" s="2">
        <f>IFERROR(__xludf.DUMMYFUNCTION("""COMPUTED_VALUE"""),6.0)</f>
        <v>6</v>
      </c>
    </row>
    <row r="1678">
      <c r="A1678" s="2">
        <f>IFERROR(__xludf.DUMMYFUNCTION("""COMPUTED_VALUE"""),6.0)</f>
        <v>6</v>
      </c>
    </row>
    <row r="1679">
      <c r="A1679" s="2">
        <f>IFERROR(__xludf.DUMMYFUNCTION("""COMPUTED_VALUE"""),6.0)</f>
        <v>6</v>
      </c>
    </row>
    <row r="1680">
      <c r="A1680" s="2">
        <f>IFERROR(__xludf.DUMMYFUNCTION("""COMPUTED_VALUE"""),6.0)</f>
        <v>6</v>
      </c>
    </row>
    <row r="1681">
      <c r="A1681" s="2">
        <f>IFERROR(__xludf.DUMMYFUNCTION("""COMPUTED_VALUE"""),6.0)</f>
        <v>6</v>
      </c>
    </row>
    <row r="1682">
      <c r="A1682" s="2">
        <f>IFERROR(__xludf.DUMMYFUNCTION("""COMPUTED_VALUE"""),6.0)</f>
        <v>6</v>
      </c>
    </row>
    <row r="1683">
      <c r="A1683" s="2">
        <f>IFERROR(__xludf.DUMMYFUNCTION("""COMPUTED_VALUE"""),4.0)</f>
        <v>4</v>
      </c>
    </row>
    <row r="1684">
      <c r="A1684" s="2">
        <f>IFERROR(__xludf.DUMMYFUNCTION("""COMPUTED_VALUE"""),4.0)</f>
        <v>4</v>
      </c>
    </row>
    <row r="1685">
      <c r="A1685" s="2">
        <f>IFERROR(__xludf.DUMMYFUNCTION("""COMPUTED_VALUE"""),2.0)</f>
        <v>2</v>
      </c>
    </row>
    <row r="1686">
      <c r="A1686" s="2">
        <f>IFERROR(__xludf.DUMMYFUNCTION("""COMPUTED_VALUE"""),2.0)</f>
        <v>2</v>
      </c>
    </row>
    <row r="1687">
      <c r="A1687" s="2">
        <f>IFERROR(__xludf.DUMMYFUNCTION("""COMPUTED_VALUE"""),8.0)</f>
        <v>8</v>
      </c>
    </row>
    <row r="1688">
      <c r="A1688" s="2">
        <f>IFERROR(__xludf.DUMMYFUNCTION("""COMPUTED_VALUE"""),3.0)</f>
        <v>3</v>
      </c>
    </row>
    <row r="1689">
      <c r="A1689" s="2">
        <f>IFERROR(__xludf.DUMMYFUNCTION("""COMPUTED_VALUE"""),3.0)</f>
        <v>3</v>
      </c>
    </row>
    <row r="1690">
      <c r="A1690" s="2">
        <f>IFERROR(__xludf.DUMMYFUNCTION("""COMPUTED_VALUE"""),3.0)</f>
        <v>3</v>
      </c>
    </row>
    <row r="1691">
      <c r="A1691" s="2">
        <f>IFERROR(__xludf.DUMMYFUNCTION("""COMPUTED_VALUE"""),3.0)</f>
        <v>3</v>
      </c>
    </row>
    <row r="1692">
      <c r="A1692" s="2">
        <f>IFERROR(__xludf.DUMMYFUNCTION("""COMPUTED_VALUE"""),3.0)</f>
        <v>3</v>
      </c>
    </row>
    <row r="1693">
      <c r="A1693" s="2">
        <f>IFERROR(__xludf.DUMMYFUNCTION("""COMPUTED_VALUE"""),3.0)</f>
        <v>3</v>
      </c>
    </row>
    <row r="1694">
      <c r="A1694" s="2">
        <f>IFERROR(__xludf.DUMMYFUNCTION("""COMPUTED_VALUE"""),3.0)</f>
        <v>3</v>
      </c>
    </row>
    <row r="1695">
      <c r="A1695" s="2">
        <f>IFERROR(__xludf.DUMMYFUNCTION("""COMPUTED_VALUE"""),3.0)</f>
        <v>3</v>
      </c>
    </row>
    <row r="1696">
      <c r="A1696" s="2">
        <f>IFERROR(__xludf.DUMMYFUNCTION("""COMPUTED_VALUE"""),3.0)</f>
        <v>3</v>
      </c>
    </row>
    <row r="1697">
      <c r="A1697" s="2">
        <f>IFERROR(__xludf.DUMMYFUNCTION("""COMPUTED_VALUE"""),3.0)</f>
        <v>3</v>
      </c>
    </row>
    <row r="1698">
      <c r="A1698" s="2">
        <f>IFERROR(__xludf.DUMMYFUNCTION("""COMPUTED_VALUE"""),3.0)</f>
        <v>3</v>
      </c>
    </row>
    <row r="1699">
      <c r="A1699" s="2">
        <f>IFERROR(__xludf.DUMMYFUNCTION("""COMPUTED_VALUE"""),3.0)</f>
        <v>3</v>
      </c>
    </row>
    <row r="1700">
      <c r="A1700" s="2">
        <f>IFERROR(__xludf.DUMMYFUNCTION("""COMPUTED_VALUE"""),3.0)</f>
        <v>3</v>
      </c>
    </row>
    <row r="1701">
      <c r="A1701" s="2">
        <f>IFERROR(__xludf.DUMMYFUNCTION("""COMPUTED_VALUE"""),3.0)</f>
        <v>3</v>
      </c>
    </row>
    <row r="1702">
      <c r="A1702" s="2">
        <f>IFERROR(__xludf.DUMMYFUNCTION("""COMPUTED_VALUE"""),3.0)</f>
        <v>3</v>
      </c>
    </row>
    <row r="1703">
      <c r="A1703" s="2">
        <f>IFERROR(__xludf.DUMMYFUNCTION("""COMPUTED_VALUE"""),3.0)</f>
        <v>3</v>
      </c>
    </row>
    <row r="1704">
      <c r="A1704" s="2">
        <f>IFERROR(__xludf.DUMMYFUNCTION("""COMPUTED_VALUE"""),3.0)</f>
        <v>3</v>
      </c>
    </row>
    <row r="1705">
      <c r="A1705" s="2">
        <f>IFERROR(__xludf.DUMMYFUNCTION("""COMPUTED_VALUE"""),3.0)</f>
        <v>3</v>
      </c>
    </row>
    <row r="1706">
      <c r="A1706" s="2">
        <f>IFERROR(__xludf.DUMMYFUNCTION("""COMPUTED_VALUE"""),3.0)</f>
        <v>3</v>
      </c>
    </row>
    <row r="1707">
      <c r="A1707" s="2">
        <f>IFERROR(__xludf.DUMMYFUNCTION("""COMPUTED_VALUE"""),3.0)</f>
        <v>3</v>
      </c>
    </row>
    <row r="1708">
      <c r="A1708" s="2">
        <f>IFERROR(__xludf.DUMMYFUNCTION("""COMPUTED_VALUE"""),3.0)</f>
        <v>3</v>
      </c>
    </row>
    <row r="1709">
      <c r="A1709" s="2">
        <f>IFERROR(__xludf.DUMMYFUNCTION("""COMPUTED_VALUE"""),3.0)</f>
        <v>3</v>
      </c>
    </row>
    <row r="1710">
      <c r="A1710" s="2">
        <f>IFERROR(__xludf.DUMMYFUNCTION("""COMPUTED_VALUE"""),3.0)</f>
        <v>3</v>
      </c>
    </row>
    <row r="1711">
      <c r="A1711" s="2">
        <f>IFERROR(__xludf.DUMMYFUNCTION("""COMPUTED_VALUE"""),3.0)</f>
        <v>3</v>
      </c>
    </row>
    <row r="1712">
      <c r="A1712" s="2">
        <f>IFERROR(__xludf.DUMMYFUNCTION("""COMPUTED_VALUE"""),3.0)</f>
        <v>3</v>
      </c>
    </row>
    <row r="1713">
      <c r="A1713" s="2">
        <f>IFERROR(__xludf.DUMMYFUNCTION("""COMPUTED_VALUE"""),3.0)</f>
        <v>3</v>
      </c>
    </row>
    <row r="1714">
      <c r="A1714" s="2">
        <f>IFERROR(__xludf.DUMMYFUNCTION("""COMPUTED_VALUE"""),3.0)</f>
        <v>3</v>
      </c>
    </row>
    <row r="1715">
      <c r="A1715" s="2">
        <f>IFERROR(__xludf.DUMMYFUNCTION("""COMPUTED_VALUE"""),3.0)</f>
        <v>3</v>
      </c>
    </row>
    <row r="1716">
      <c r="A1716" s="2">
        <f>IFERROR(__xludf.DUMMYFUNCTION("""COMPUTED_VALUE"""),1.0)</f>
        <v>1</v>
      </c>
    </row>
    <row r="1717">
      <c r="A1717" s="2">
        <f>IFERROR(__xludf.DUMMYFUNCTION("""COMPUTED_VALUE"""),1.0)</f>
        <v>1</v>
      </c>
    </row>
    <row r="1718">
      <c r="A1718" s="2">
        <f>IFERROR(__xludf.DUMMYFUNCTION("""COMPUTED_VALUE"""),1.0)</f>
        <v>1</v>
      </c>
    </row>
    <row r="1719">
      <c r="A1719" s="2">
        <f>IFERROR(__xludf.DUMMYFUNCTION("""COMPUTED_VALUE"""),1.0)</f>
        <v>1</v>
      </c>
    </row>
    <row r="1720">
      <c r="A1720" s="2">
        <f>IFERROR(__xludf.DUMMYFUNCTION("""COMPUTED_VALUE"""),1.0)</f>
        <v>1</v>
      </c>
    </row>
    <row r="1721">
      <c r="A1721" s="2">
        <f>IFERROR(__xludf.DUMMYFUNCTION("""COMPUTED_VALUE"""),1.0)</f>
        <v>1</v>
      </c>
    </row>
    <row r="1722">
      <c r="A1722" s="2">
        <f>IFERROR(__xludf.DUMMYFUNCTION("""COMPUTED_VALUE"""),1.0)</f>
        <v>1</v>
      </c>
    </row>
    <row r="1723">
      <c r="A1723" s="2">
        <f>IFERROR(__xludf.DUMMYFUNCTION("""COMPUTED_VALUE"""),1.0)</f>
        <v>1</v>
      </c>
    </row>
    <row r="1724">
      <c r="A1724" s="2">
        <f>IFERROR(__xludf.DUMMYFUNCTION("""COMPUTED_VALUE"""),1.0)</f>
        <v>1</v>
      </c>
    </row>
    <row r="1725">
      <c r="A1725" s="2">
        <f>IFERROR(__xludf.DUMMYFUNCTION("""COMPUTED_VALUE"""),1.0)</f>
        <v>1</v>
      </c>
    </row>
    <row r="1726">
      <c r="A1726" s="2">
        <f>IFERROR(__xludf.DUMMYFUNCTION("""COMPUTED_VALUE"""),1.0)</f>
        <v>1</v>
      </c>
    </row>
    <row r="1727">
      <c r="A1727" s="2">
        <f>IFERROR(__xludf.DUMMYFUNCTION("""COMPUTED_VALUE"""),1.0)</f>
        <v>1</v>
      </c>
    </row>
    <row r="1728">
      <c r="A1728" s="2">
        <f>IFERROR(__xludf.DUMMYFUNCTION("""COMPUTED_VALUE"""),1.0)</f>
        <v>1</v>
      </c>
    </row>
    <row r="1729">
      <c r="A1729" s="2">
        <f>IFERROR(__xludf.DUMMYFUNCTION("""COMPUTED_VALUE"""),1.0)</f>
        <v>1</v>
      </c>
    </row>
    <row r="1730">
      <c r="A1730" s="2">
        <f>IFERROR(__xludf.DUMMYFUNCTION("""COMPUTED_VALUE"""),1.0)</f>
        <v>1</v>
      </c>
    </row>
    <row r="1731">
      <c r="A1731" s="2">
        <f>IFERROR(__xludf.DUMMYFUNCTION("""COMPUTED_VALUE"""),1.0)</f>
        <v>1</v>
      </c>
    </row>
    <row r="1732">
      <c r="A1732" s="2">
        <f>IFERROR(__xludf.DUMMYFUNCTION("""COMPUTED_VALUE"""),1.0)</f>
        <v>1</v>
      </c>
    </row>
    <row r="1733">
      <c r="A1733" s="2">
        <f>IFERROR(__xludf.DUMMYFUNCTION("""COMPUTED_VALUE"""),1.0)</f>
        <v>1</v>
      </c>
    </row>
    <row r="1734">
      <c r="A1734" s="2">
        <f>IFERROR(__xludf.DUMMYFUNCTION("""COMPUTED_VALUE"""),1.0)</f>
        <v>1</v>
      </c>
    </row>
    <row r="1735">
      <c r="A1735" s="2">
        <f>IFERROR(__xludf.DUMMYFUNCTION("""COMPUTED_VALUE"""),6.0)</f>
        <v>6</v>
      </c>
    </row>
    <row r="1736">
      <c r="A1736" s="2">
        <f>IFERROR(__xludf.DUMMYFUNCTION("""COMPUTED_VALUE"""),6.0)</f>
        <v>6</v>
      </c>
    </row>
    <row r="1737">
      <c r="A1737" s="2">
        <f>IFERROR(__xludf.DUMMYFUNCTION("""COMPUTED_VALUE"""),6.0)</f>
        <v>6</v>
      </c>
    </row>
    <row r="1738">
      <c r="A1738" s="2">
        <f>IFERROR(__xludf.DUMMYFUNCTION("""COMPUTED_VALUE"""),6.0)</f>
        <v>6</v>
      </c>
    </row>
    <row r="1739">
      <c r="A1739" s="2">
        <f>IFERROR(__xludf.DUMMYFUNCTION("""COMPUTED_VALUE"""),3.0)</f>
        <v>3</v>
      </c>
    </row>
    <row r="1740">
      <c r="A1740" s="2">
        <f>IFERROR(__xludf.DUMMYFUNCTION("""COMPUTED_VALUE"""),3.0)</f>
        <v>3</v>
      </c>
    </row>
    <row r="1741">
      <c r="A1741" s="2">
        <f>IFERROR(__xludf.DUMMYFUNCTION("""COMPUTED_VALUE"""),3.0)</f>
        <v>3</v>
      </c>
    </row>
    <row r="1742">
      <c r="A1742" s="2">
        <f>IFERROR(__xludf.DUMMYFUNCTION("""COMPUTED_VALUE"""),3.0)</f>
        <v>3</v>
      </c>
    </row>
    <row r="1743">
      <c r="A1743" s="2">
        <f>IFERROR(__xludf.DUMMYFUNCTION("""COMPUTED_VALUE"""),3.0)</f>
        <v>3</v>
      </c>
    </row>
    <row r="1744">
      <c r="A1744" s="2">
        <f>IFERROR(__xludf.DUMMYFUNCTION("""COMPUTED_VALUE"""),3.0)</f>
        <v>3</v>
      </c>
    </row>
    <row r="1745">
      <c r="A1745" s="2">
        <f>IFERROR(__xludf.DUMMYFUNCTION("""COMPUTED_VALUE"""),3.0)</f>
        <v>3</v>
      </c>
    </row>
    <row r="1746">
      <c r="A1746" s="2">
        <f>IFERROR(__xludf.DUMMYFUNCTION("""COMPUTED_VALUE"""),3.0)</f>
        <v>3</v>
      </c>
    </row>
    <row r="1747">
      <c r="A1747" s="2">
        <f>IFERROR(__xludf.DUMMYFUNCTION("""COMPUTED_VALUE"""),2.0)</f>
        <v>2</v>
      </c>
    </row>
    <row r="1748">
      <c r="A1748" s="2">
        <f>IFERROR(__xludf.DUMMYFUNCTION("""COMPUTED_VALUE"""),2.0)</f>
        <v>2</v>
      </c>
    </row>
    <row r="1749">
      <c r="A1749" s="2">
        <f>IFERROR(__xludf.DUMMYFUNCTION("""COMPUTED_VALUE"""),2.0)</f>
        <v>2</v>
      </c>
    </row>
    <row r="1750">
      <c r="A1750" s="2">
        <f>IFERROR(__xludf.DUMMYFUNCTION("""COMPUTED_VALUE"""),2.0)</f>
        <v>2</v>
      </c>
    </row>
    <row r="1751">
      <c r="A1751" s="2">
        <f>IFERROR(__xludf.DUMMYFUNCTION("""COMPUTED_VALUE"""),2.0)</f>
        <v>2</v>
      </c>
    </row>
    <row r="1752">
      <c r="A1752" s="2">
        <f>IFERROR(__xludf.DUMMYFUNCTION("""COMPUTED_VALUE"""),2.0)</f>
        <v>2</v>
      </c>
    </row>
    <row r="1753">
      <c r="A1753" s="2">
        <f>IFERROR(__xludf.DUMMYFUNCTION("""COMPUTED_VALUE"""),2.0)</f>
        <v>2</v>
      </c>
    </row>
    <row r="1754">
      <c r="A1754" s="2">
        <f>IFERROR(__xludf.DUMMYFUNCTION("""COMPUTED_VALUE"""),2.0)</f>
        <v>2</v>
      </c>
    </row>
    <row r="1755">
      <c r="A1755" s="2">
        <f>IFERROR(__xludf.DUMMYFUNCTION("""COMPUTED_VALUE"""),5.0)</f>
        <v>5</v>
      </c>
    </row>
    <row r="1756">
      <c r="A1756" s="2">
        <f>IFERROR(__xludf.DUMMYFUNCTION("""COMPUTED_VALUE"""),5.0)</f>
        <v>5</v>
      </c>
    </row>
    <row r="1757">
      <c r="A1757" s="2">
        <f>IFERROR(__xludf.DUMMYFUNCTION("""COMPUTED_VALUE"""),5.0)</f>
        <v>5</v>
      </c>
    </row>
    <row r="1758">
      <c r="A1758" s="2">
        <f>IFERROR(__xludf.DUMMYFUNCTION("""COMPUTED_VALUE"""),5.0)</f>
        <v>5</v>
      </c>
    </row>
    <row r="1759">
      <c r="A1759" s="2">
        <f>IFERROR(__xludf.DUMMYFUNCTION("""COMPUTED_VALUE"""),5.0)</f>
        <v>5</v>
      </c>
    </row>
    <row r="1760">
      <c r="A1760" s="2">
        <f>IFERROR(__xludf.DUMMYFUNCTION("""COMPUTED_VALUE"""),5.0)</f>
        <v>5</v>
      </c>
    </row>
    <row r="1761">
      <c r="A1761" s="2">
        <f>IFERROR(__xludf.DUMMYFUNCTION("""COMPUTED_VALUE"""),5.0)</f>
        <v>5</v>
      </c>
    </row>
    <row r="1762">
      <c r="A1762" s="2">
        <f>IFERROR(__xludf.DUMMYFUNCTION("""COMPUTED_VALUE"""),5.0)</f>
        <v>5</v>
      </c>
    </row>
    <row r="1763">
      <c r="A1763" s="2">
        <f>IFERROR(__xludf.DUMMYFUNCTION("""COMPUTED_VALUE"""),3.0)</f>
        <v>3</v>
      </c>
    </row>
    <row r="1764">
      <c r="A1764" s="2">
        <f>IFERROR(__xludf.DUMMYFUNCTION("""COMPUTED_VALUE"""),3.0)</f>
        <v>3</v>
      </c>
    </row>
    <row r="1765">
      <c r="A1765" s="2">
        <f>IFERROR(__xludf.DUMMYFUNCTION("""COMPUTED_VALUE"""),3.0)</f>
        <v>3</v>
      </c>
    </row>
    <row r="1766">
      <c r="A1766" s="2">
        <f>IFERROR(__xludf.DUMMYFUNCTION("""COMPUTED_VALUE"""),3.0)</f>
        <v>3</v>
      </c>
    </row>
    <row r="1767">
      <c r="A1767" s="2">
        <f>IFERROR(__xludf.DUMMYFUNCTION("""COMPUTED_VALUE"""),3.0)</f>
        <v>3</v>
      </c>
    </row>
    <row r="1768">
      <c r="A1768" s="2">
        <f>IFERROR(__xludf.DUMMYFUNCTION("""COMPUTED_VALUE"""),3.0)</f>
        <v>3</v>
      </c>
    </row>
    <row r="1769">
      <c r="A1769" s="2">
        <f>IFERROR(__xludf.DUMMYFUNCTION("""COMPUTED_VALUE"""),3.0)</f>
        <v>3</v>
      </c>
    </row>
    <row r="1770">
      <c r="A1770" s="2">
        <f>IFERROR(__xludf.DUMMYFUNCTION("""COMPUTED_VALUE"""),3.0)</f>
        <v>3</v>
      </c>
    </row>
    <row r="1771">
      <c r="A1771" s="2">
        <f>IFERROR(__xludf.DUMMYFUNCTION("""COMPUTED_VALUE"""),4.0)</f>
        <v>4</v>
      </c>
    </row>
    <row r="1772">
      <c r="A1772" s="2">
        <f>IFERROR(__xludf.DUMMYFUNCTION("""COMPUTED_VALUE"""),4.0)</f>
        <v>4</v>
      </c>
    </row>
    <row r="1773">
      <c r="A1773" s="2">
        <f>IFERROR(__xludf.DUMMYFUNCTION("""COMPUTED_VALUE"""),4.0)</f>
        <v>4</v>
      </c>
    </row>
    <row r="1774">
      <c r="A1774" s="2">
        <f>IFERROR(__xludf.DUMMYFUNCTION("""COMPUTED_VALUE"""),4.0)</f>
        <v>4</v>
      </c>
    </row>
    <row r="1775">
      <c r="A1775" s="2">
        <f>IFERROR(__xludf.DUMMYFUNCTION("""COMPUTED_VALUE"""),4.0)</f>
        <v>4</v>
      </c>
    </row>
    <row r="1776">
      <c r="A1776" s="2">
        <f>IFERROR(__xludf.DUMMYFUNCTION("""COMPUTED_VALUE"""),4.0)</f>
        <v>4</v>
      </c>
    </row>
    <row r="1777">
      <c r="A1777" s="2">
        <f>IFERROR(__xludf.DUMMYFUNCTION("""COMPUTED_VALUE"""),4.0)</f>
        <v>4</v>
      </c>
    </row>
    <row r="1778">
      <c r="A1778" s="2">
        <f>IFERROR(__xludf.DUMMYFUNCTION("""COMPUTED_VALUE"""),4.0)</f>
        <v>4</v>
      </c>
    </row>
    <row r="1779">
      <c r="A1779" s="2">
        <f>IFERROR(__xludf.DUMMYFUNCTION("""COMPUTED_VALUE"""),4.0)</f>
        <v>4</v>
      </c>
    </row>
    <row r="1780">
      <c r="A1780" s="2">
        <f>IFERROR(__xludf.DUMMYFUNCTION("""COMPUTED_VALUE"""),4.0)</f>
        <v>4</v>
      </c>
    </row>
    <row r="1781">
      <c r="A1781" s="2">
        <f>IFERROR(__xludf.DUMMYFUNCTION("""COMPUTED_VALUE"""),4.0)</f>
        <v>4</v>
      </c>
    </row>
    <row r="1782">
      <c r="A1782" s="2">
        <f>IFERROR(__xludf.DUMMYFUNCTION("""COMPUTED_VALUE"""),4.0)</f>
        <v>4</v>
      </c>
    </row>
    <row r="1783">
      <c r="A1783" s="2">
        <f>IFERROR(__xludf.DUMMYFUNCTION("""COMPUTED_VALUE"""),4.0)</f>
        <v>4</v>
      </c>
    </row>
    <row r="1784">
      <c r="A1784" s="2">
        <f>IFERROR(__xludf.DUMMYFUNCTION("""COMPUTED_VALUE"""),4.0)</f>
        <v>4</v>
      </c>
    </row>
    <row r="1785">
      <c r="A1785" s="2">
        <f>IFERROR(__xludf.DUMMYFUNCTION("""COMPUTED_VALUE"""),4.0)</f>
        <v>4</v>
      </c>
    </row>
    <row r="1786">
      <c r="A1786" s="2">
        <f>IFERROR(__xludf.DUMMYFUNCTION("""COMPUTED_VALUE"""),4.0)</f>
        <v>4</v>
      </c>
    </row>
    <row r="1787">
      <c r="A1787" s="2">
        <f>IFERROR(__xludf.DUMMYFUNCTION("""COMPUTED_VALUE"""),4.0)</f>
        <v>4</v>
      </c>
    </row>
    <row r="1788">
      <c r="A1788" s="2">
        <f>IFERROR(__xludf.DUMMYFUNCTION("""COMPUTED_VALUE"""),4.0)</f>
        <v>4</v>
      </c>
    </row>
    <row r="1789">
      <c r="A1789" s="2">
        <f>IFERROR(__xludf.DUMMYFUNCTION("""COMPUTED_VALUE"""),4.0)</f>
        <v>4</v>
      </c>
    </row>
    <row r="1790">
      <c r="A1790" s="2">
        <f>IFERROR(__xludf.DUMMYFUNCTION("""COMPUTED_VALUE"""),4.0)</f>
        <v>4</v>
      </c>
    </row>
    <row r="1791">
      <c r="A1791" s="2">
        <f>IFERROR(__xludf.DUMMYFUNCTION("""COMPUTED_VALUE"""),4.0)</f>
        <v>4</v>
      </c>
    </row>
    <row r="1792">
      <c r="A1792" s="2">
        <f>IFERROR(__xludf.DUMMYFUNCTION("""COMPUTED_VALUE"""),4.0)</f>
        <v>4</v>
      </c>
    </row>
    <row r="1793">
      <c r="A1793" s="2">
        <f>IFERROR(__xludf.DUMMYFUNCTION("""COMPUTED_VALUE"""),3.0)</f>
        <v>3</v>
      </c>
    </row>
    <row r="1794">
      <c r="A1794" s="2">
        <f>IFERROR(__xludf.DUMMYFUNCTION("""COMPUTED_VALUE"""),3.0)</f>
        <v>3</v>
      </c>
    </row>
    <row r="1795">
      <c r="A1795" s="2">
        <f>IFERROR(__xludf.DUMMYFUNCTION("""COMPUTED_VALUE"""),1.0)</f>
        <v>1</v>
      </c>
    </row>
    <row r="1796">
      <c r="A1796" s="2">
        <f>IFERROR(__xludf.DUMMYFUNCTION("""COMPUTED_VALUE"""),1.0)</f>
        <v>1</v>
      </c>
    </row>
    <row r="1797">
      <c r="A1797" s="2">
        <f>IFERROR(__xludf.DUMMYFUNCTION("""COMPUTED_VALUE"""),1.0)</f>
        <v>1</v>
      </c>
    </row>
    <row r="1798">
      <c r="A1798" s="2">
        <f>IFERROR(__xludf.DUMMYFUNCTION("""COMPUTED_VALUE"""),1.0)</f>
        <v>1</v>
      </c>
    </row>
    <row r="1799">
      <c r="A1799" s="2">
        <f>IFERROR(__xludf.DUMMYFUNCTION("""COMPUTED_VALUE"""),1.0)</f>
        <v>1</v>
      </c>
    </row>
    <row r="1800">
      <c r="A1800" s="2">
        <f>IFERROR(__xludf.DUMMYFUNCTION("""COMPUTED_VALUE"""),1.0)</f>
        <v>1</v>
      </c>
    </row>
    <row r="1801">
      <c r="A1801" s="2">
        <f>IFERROR(__xludf.DUMMYFUNCTION("""COMPUTED_VALUE"""),1.0)</f>
        <v>1</v>
      </c>
    </row>
    <row r="1802">
      <c r="A1802" s="2">
        <f>IFERROR(__xludf.DUMMYFUNCTION("""COMPUTED_VALUE"""),1.0)</f>
        <v>1</v>
      </c>
    </row>
    <row r="1803">
      <c r="A1803" s="2">
        <f>IFERROR(__xludf.DUMMYFUNCTION("""COMPUTED_VALUE"""),1.0)</f>
        <v>1</v>
      </c>
    </row>
    <row r="1804">
      <c r="A1804" s="2">
        <f>IFERROR(__xludf.DUMMYFUNCTION("""COMPUTED_VALUE"""),1.0)</f>
        <v>1</v>
      </c>
    </row>
    <row r="1805">
      <c r="A1805" s="2">
        <f>IFERROR(__xludf.DUMMYFUNCTION("""COMPUTED_VALUE"""),1.0)</f>
        <v>1</v>
      </c>
    </row>
    <row r="1806">
      <c r="A1806" s="2">
        <f>IFERROR(__xludf.DUMMYFUNCTION("""COMPUTED_VALUE"""),1.0)</f>
        <v>1</v>
      </c>
    </row>
    <row r="1807">
      <c r="A1807" s="2">
        <f>IFERROR(__xludf.DUMMYFUNCTION("""COMPUTED_VALUE"""),1.0)</f>
        <v>1</v>
      </c>
    </row>
    <row r="1808">
      <c r="A1808" s="2">
        <f>IFERROR(__xludf.DUMMYFUNCTION("""COMPUTED_VALUE"""),1.0)</f>
        <v>1</v>
      </c>
    </row>
    <row r="1809">
      <c r="A1809" s="2">
        <f>IFERROR(__xludf.DUMMYFUNCTION("""COMPUTED_VALUE"""),1.0)</f>
        <v>1</v>
      </c>
    </row>
    <row r="1810">
      <c r="A1810" s="2">
        <f>IFERROR(__xludf.DUMMYFUNCTION("""COMPUTED_VALUE"""),1.0)</f>
        <v>1</v>
      </c>
    </row>
    <row r="1811">
      <c r="A1811" s="2">
        <f>IFERROR(__xludf.DUMMYFUNCTION("""COMPUTED_VALUE"""),1.0)</f>
        <v>1</v>
      </c>
    </row>
    <row r="1812">
      <c r="A1812" s="2">
        <f>IFERROR(__xludf.DUMMYFUNCTION("""COMPUTED_VALUE"""),1.0)</f>
        <v>1</v>
      </c>
    </row>
    <row r="1813">
      <c r="A1813" s="2">
        <f>IFERROR(__xludf.DUMMYFUNCTION("""COMPUTED_VALUE"""),1.0)</f>
        <v>1</v>
      </c>
    </row>
    <row r="1814">
      <c r="A1814" s="2">
        <f>IFERROR(__xludf.DUMMYFUNCTION("""COMPUTED_VALUE"""),1.0)</f>
        <v>1</v>
      </c>
    </row>
    <row r="1815">
      <c r="A1815" s="2">
        <f>IFERROR(__xludf.DUMMYFUNCTION("""COMPUTED_VALUE"""),1.0)</f>
        <v>1</v>
      </c>
    </row>
    <row r="1816">
      <c r="A1816" s="2">
        <f>IFERROR(__xludf.DUMMYFUNCTION("""COMPUTED_VALUE"""),1.0)</f>
        <v>1</v>
      </c>
    </row>
    <row r="1817">
      <c r="A1817" s="2">
        <f>IFERROR(__xludf.DUMMYFUNCTION("""COMPUTED_VALUE"""),1.0)</f>
        <v>1</v>
      </c>
    </row>
    <row r="1818">
      <c r="A1818" s="2">
        <f>IFERROR(__xludf.DUMMYFUNCTION("""COMPUTED_VALUE"""),1.0)</f>
        <v>1</v>
      </c>
    </row>
    <row r="1819">
      <c r="A1819" s="2">
        <f>IFERROR(__xludf.DUMMYFUNCTION("""COMPUTED_VALUE"""),1.0)</f>
        <v>1</v>
      </c>
    </row>
    <row r="1820">
      <c r="A1820" s="2">
        <f>IFERROR(__xludf.DUMMYFUNCTION("""COMPUTED_VALUE"""),1.0)</f>
        <v>1</v>
      </c>
    </row>
    <row r="1821">
      <c r="A1821" s="2">
        <f>IFERROR(__xludf.DUMMYFUNCTION("""COMPUTED_VALUE"""),1.0)</f>
        <v>1</v>
      </c>
    </row>
    <row r="1822">
      <c r="A1822" s="2">
        <f>IFERROR(__xludf.DUMMYFUNCTION("""COMPUTED_VALUE"""),1.0)</f>
        <v>1</v>
      </c>
    </row>
    <row r="1823">
      <c r="A1823" s="2">
        <f>IFERROR(__xludf.DUMMYFUNCTION("""COMPUTED_VALUE"""),1.0)</f>
        <v>1</v>
      </c>
    </row>
    <row r="1824">
      <c r="A1824" s="2">
        <f>IFERROR(__xludf.DUMMYFUNCTION("""COMPUTED_VALUE"""),1.0)</f>
        <v>1</v>
      </c>
    </row>
    <row r="1825">
      <c r="A1825" s="2">
        <f>IFERROR(__xludf.DUMMYFUNCTION("""COMPUTED_VALUE"""),1.0)</f>
        <v>1</v>
      </c>
    </row>
    <row r="1826">
      <c r="A1826" s="2">
        <f>IFERROR(__xludf.DUMMYFUNCTION("""COMPUTED_VALUE"""),1.0)</f>
        <v>1</v>
      </c>
    </row>
    <row r="1827">
      <c r="A1827" s="2">
        <f>IFERROR(__xludf.DUMMYFUNCTION("""COMPUTED_VALUE"""),1.0)</f>
        <v>1</v>
      </c>
    </row>
    <row r="1828">
      <c r="A1828" s="2">
        <f>IFERROR(__xludf.DUMMYFUNCTION("""COMPUTED_VALUE"""),5.0)</f>
        <v>5</v>
      </c>
    </row>
    <row r="1829">
      <c r="A1829" s="2">
        <f>IFERROR(__xludf.DUMMYFUNCTION("""COMPUTED_VALUE"""),5.0)</f>
        <v>5</v>
      </c>
    </row>
    <row r="1830">
      <c r="A1830" s="2">
        <f>IFERROR(__xludf.DUMMYFUNCTION("""COMPUTED_VALUE"""),5.0)</f>
        <v>5</v>
      </c>
    </row>
    <row r="1831">
      <c r="A1831" s="2">
        <f>IFERROR(__xludf.DUMMYFUNCTION("""COMPUTED_VALUE"""),5.0)</f>
        <v>5</v>
      </c>
    </row>
    <row r="1832">
      <c r="A1832" s="2">
        <f>IFERROR(__xludf.DUMMYFUNCTION("""COMPUTED_VALUE"""),5.0)</f>
        <v>5</v>
      </c>
    </row>
    <row r="1833">
      <c r="A1833" s="2">
        <f>IFERROR(__xludf.DUMMYFUNCTION("""COMPUTED_VALUE"""),5.0)</f>
        <v>5</v>
      </c>
    </row>
    <row r="1834">
      <c r="A1834" s="2">
        <f>IFERROR(__xludf.DUMMYFUNCTION("""COMPUTED_VALUE"""),5.0)</f>
        <v>5</v>
      </c>
    </row>
    <row r="1835">
      <c r="A1835" s="2">
        <f>IFERROR(__xludf.DUMMYFUNCTION("""COMPUTED_VALUE"""),5.0)</f>
        <v>5</v>
      </c>
    </row>
    <row r="1836">
      <c r="A1836" s="2">
        <f>IFERROR(__xludf.DUMMYFUNCTION("""COMPUTED_VALUE"""),5.0)</f>
        <v>5</v>
      </c>
    </row>
    <row r="1837">
      <c r="A1837" s="2">
        <f>IFERROR(__xludf.DUMMYFUNCTION("""COMPUTED_VALUE"""),5.0)</f>
        <v>5</v>
      </c>
    </row>
    <row r="1838">
      <c r="A1838" s="2">
        <f>IFERROR(__xludf.DUMMYFUNCTION("""COMPUTED_VALUE"""),5.0)</f>
        <v>5</v>
      </c>
    </row>
    <row r="1839">
      <c r="A1839" s="2">
        <f>IFERROR(__xludf.DUMMYFUNCTION("""COMPUTED_VALUE"""),5.0)</f>
        <v>5</v>
      </c>
    </row>
    <row r="1840">
      <c r="A1840" s="2">
        <f>IFERROR(__xludf.DUMMYFUNCTION("""COMPUTED_VALUE"""),5.0)</f>
        <v>5</v>
      </c>
    </row>
    <row r="1841">
      <c r="A1841" s="2">
        <f>IFERROR(__xludf.DUMMYFUNCTION("""COMPUTED_VALUE"""),5.0)</f>
        <v>5</v>
      </c>
    </row>
    <row r="1842">
      <c r="A1842" s="2">
        <f>IFERROR(__xludf.DUMMYFUNCTION("""COMPUTED_VALUE"""),5.0)</f>
        <v>5</v>
      </c>
    </row>
    <row r="1843">
      <c r="A1843" s="2">
        <f>IFERROR(__xludf.DUMMYFUNCTION("""COMPUTED_VALUE"""),5.0)</f>
        <v>5</v>
      </c>
    </row>
    <row r="1844">
      <c r="A1844" s="2">
        <f>IFERROR(__xludf.DUMMYFUNCTION("""COMPUTED_VALUE"""),5.0)</f>
        <v>5</v>
      </c>
    </row>
    <row r="1845">
      <c r="A1845" s="2">
        <f>IFERROR(__xludf.DUMMYFUNCTION("""COMPUTED_VALUE"""),5.0)</f>
        <v>5</v>
      </c>
    </row>
    <row r="1846">
      <c r="A1846" s="2">
        <f>IFERROR(__xludf.DUMMYFUNCTION("""COMPUTED_VALUE"""),5.0)</f>
        <v>5</v>
      </c>
    </row>
    <row r="1847">
      <c r="A1847" s="2">
        <f>IFERROR(__xludf.DUMMYFUNCTION("""COMPUTED_VALUE"""),5.0)</f>
        <v>5</v>
      </c>
    </row>
    <row r="1848">
      <c r="A1848" s="2">
        <f>IFERROR(__xludf.DUMMYFUNCTION("""COMPUTED_VALUE"""),5.0)</f>
        <v>5</v>
      </c>
    </row>
    <row r="1849">
      <c r="A1849" s="2">
        <f>IFERROR(__xludf.DUMMYFUNCTION("""COMPUTED_VALUE"""),5.0)</f>
        <v>5</v>
      </c>
    </row>
    <row r="1850">
      <c r="A1850" s="2">
        <f>IFERROR(__xludf.DUMMYFUNCTION("""COMPUTED_VALUE"""),5.0)</f>
        <v>5</v>
      </c>
    </row>
    <row r="1851">
      <c r="A1851" s="2">
        <f>IFERROR(__xludf.DUMMYFUNCTION("""COMPUTED_VALUE"""),5.0)</f>
        <v>5</v>
      </c>
    </row>
    <row r="1852">
      <c r="A1852" s="2">
        <f>IFERROR(__xludf.DUMMYFUNCTION("""COMPUTED_VALUE"""),5.0)</f>
        <v>5</v>
      </c>
    </row>
    <row r="1853">
      <c r="A1853" s="2">
        <f>IFERROR(__xludf.DUMMYFUNCTION("""COMPUTED_VALUE"""),5.0)</f>
        <v>5</v>
      </c>
    </row>
    <row r="1854">
      <c r="A1854" s="2">
        <f>IFERROR(__xludf.DUMMYFUNCTION("""COMPUTED_VALUE"""),5.0)</f>
        <v>5</v>
      </c>
    </row>
    <row r="1855">
      <c r="A1855" s="2">
        <f>IFERROR(__xludf.DUMMYFUNCTION("""COMPUTED_VALUE"""),5.0)</f>
        <v>5</v>
      </c>
    </row>
    <row r="1856">
      <c r="A1856" s="2">
        <f>IFERROR(__xludf.DUMMYFUNCTION("""COMPUTED_VALUE"""),5.0)</f>
        <v>5</v>
      </c>
    </row>
    <row r="1857">
      <c r="A1857" s="2">
        <f>IFERROR(__xludf.DUMMYFUNCTION("""COMPUTED_VALUE"""),5.0)</f>
        <v>5</v>
      </c>
    </row>
    <row r="1858">
      <c r="A1858" s="2">
        <f>IFERROR(__xludf.DUMMYFUNCTION("""COMPUTED_VALUE"""),2.0)</f>
        <v>2</v>
      </c>
    </row>
    <row r="1859">
      <c r="A1859" s="2">
        <f>IFERROR(__xludf.DUMMYFUNCTION("""COMPUTED_VALUE"""),2.0)</f>
        <v>2</v>
      </c>
    </row>
    <row r="1860">
      <c r="A1860" s="2">
        <f>IFERROR(__xludf.DUMMYFUNCTION("""COMPUTED_VALUE"""),7.0)</f>
        <v>7</v>
      </c>
    </row>
    <row r="1861">
      <c r="A1861" s="2">
        <f>IFERROR(__xludf.DUMMYFUNCTION("""COMPUTED_VALUE"""),7.0)</f>
        <v>7</v>
      </c>
    </row>
    <row r="1862">
      <c r="A1862" s="2">
        <f>IFERROR(__xludf.DUMMYFUNCTION("""COMPUTED_VALUE"""),7.0)</f>
        <v>7</v>
      </c>
    </row>
    <row r="1863">
      <c r="A1863" s="2">
        <f>IFERROR(__xludf.DUMMYFUNCTION("""COMPUTED_VALUE"""),7.0)</f>
        <v>7</v>
      </c>
    </row>
    <row r="1864">
      <c r="A1864" s="2">
        <f>IFERROR(__xludf.DUMMYFUNCTION("""COMPUTED_VALUE"""),8.0)</f>
        <v>8</v>
      </c>
    </row>
    <row r="1865">
      <c r="A1865" s="2">
        <f>IFERROR(__xludf.DUMMYFUNCTION("""COMPUTED_VALUE"""),8.0)</f>
        <v>8</v>
      </c>
    </row>
    <row r="1866">
      <c r="A1866" s="2">
        <f>IFERROR(__xludf.DUMMYFUNCTION("""COMPUTED_VALUE"""),1.0)</f>
        <v>1</v>
      </c>
    </row>
    <row r="1867">
      <c r="A1867" s="2">
        <f>IFERROR(__xludf.DUMMYFUNCTION("""COMPUTED_VALUE"""),1.0)</f>
        <v>1</v>
      </c>
    </row>
    <row r="1868">
      <c r="A1868" s="2">
        <f>IFERROR(__xludf.DUMMYFUNCTION("""COMPUTED_VALUE"""),1.0)</f>
        <v>1</v>
      </c>
    </row>
    <row r="1869">
      <c r="A1869" s="2">
        <f>IFERROR(__xludf.DUMMYFUNCTION("""COMPUTED_VALUE"""),1.0)</f>
        <v>1</v>
      </c>
    </row>
    <row r="1870">
      <c r="A1870" s="2">
        <f>IFERROR(__xludf.DUMMYFUNCTION("""COMPUTED_VALUE"""),1.0)</f>
        <v>1</v>
      </c>
    </row>
    <row r="1871">
      <c r="A1871" s="2">
        <f>IFERROR(__xludf.DUMMYFUNCTION("""COMPUTED_VALUE"""),1.0)</f>
        <v>1</v>
      </c>
    </row>
    <row r="1872">
      <c r="A1872" s="2">
        <f>IFERROR(__xludf.DUMMYFUNCTION("""COMPUTED_VALUE"""),5.0)</f>
        <v>5</v>
      </c>
    </row>
    <row r="1873">
      <c r="A1873" s="2">
        <f>IFERROR(__xludf.DUMMYFUNCTION("""COMPUTED_VALUE"""),5.0)</f>
        <v>5</v>
      </c>
    </row>
    <row r="1874">
      <c r="A1874" s="2">
        <f>IFERROR(__xludf.DUMMYFUNCTION("""COMPUTED_VALUE"""),5.0)</f>
        <v>5</v>
      </c>
    </row>
    <row r="1875">
      <c r="A1875" s="2">
        <f>IFERROR(__xludf.DUMMYFUNCTION("""COMPUTED_VALUE"""),5.0)</f>
        <v>5</v>
      </c>
    </row>
    <row r="1876">
      <c r="A1876" s="2">
        <f>IFERROR(__xludf.DUMMYFUNCTION("""COMPUTED_VALUE"""),5.0)</f>
        <v>5</v>
      </c>
    </row>
    <row r="1877">
      <c r="A1877" s="2">
        <f>IFERROR(__xludf.DUMMYFUNCTION("""COMPUTED_VALUE"""),5.0)</f>
        <v>5</v>
      </c>
    </row>
    <row r="1878">
      <c r="A1878" s="2">
        <f>IFERROR(__xludf.DUMMYFUNCTION("""COMPUTED_VALUE"""),7.0)</f>
        <v>7</v>
      </c>
    </row>
    <row r="1879">
      <c r="A1879" s="2">
        <f>IFERROR(__xludf.DUMMYFUNCTION("""COMPUTED_VALUE"""),7.0)</f>
        <v>7</v>
      </c>
    </row>
    <row r="1880">
      <c r="A1880" s="2">
        <f>IFERROR(__xludf.DUMMYFUNCTION("""COMPUTED_VALUE"""),7.0)</f>
        <v>7</v>
      </c>
    </row>
    <row r="1881">
      <c r="A1881" s="2">
        <f>IFERROR(__xludf.DUMMYFUNCTION("""COMPUTED_VALUE"""),7.0)</f>
        <v>7</v>
      </c>
    </row>
    <row r="1882">
      <c r="A1882" s="2">
        <f>IFERROR(__xludf.DUMMYFUNCTION("""COMPUTED_VALUE"""),7.0)</f>
        <v>7</v>
      </c>
    </row>
    <row r="1883">
      <c r="A1883" s="2">
        <f>IFERROR(__xludf.DUMMYFUNCTION("""COMPUTED_VALUE"""),7.0)</f>
        <v>7</v>
      </c>
    </row>
    <row r="1884">
      <c r="A1884" s="2">
        <f>IFERROR(__xludf.DUMMYFUNCTION("""COMPUTED_VALUE"""),7.0)</f>
        <v>7</v>
      </c>
    </row>
    <row r="1885">
      <c r="A1885" s="2">
        <f>IFERROR(__xludf.DUMMYFUNCTION("""COMPUTED_VALUE"""),5.0)</f>
        <v>5</v>
      </c>
    </row>
    <row r="1886">
      <c r="A1886" s="2">
        <f>IFERROR(__xludf.DUMMYFUNCTION("""COMPUTED_VALUE"""),5.0)</f>
        <v>5</v>
      </c>
    </row>
    <row r="1887">
      <c r="A1887" s="2">
        <f>IFERROR(__xludf.DUMMYFUNCTION("""COMPUTED_VALUE"""),5.0)</f>
        <v>5</v>
      </c>
    </row>
    <row r="1888">
      <c r="A1888" s="2">
        <f>IFERROR(__xludf.DUMMYFUNCTION("""COMPUTED_VALUE"""),5.0)</f>
        <v>5</v>
      </c>
    </row>
    <row r="1889">
      <c r="A1889" s="2">
        <f>IFERROR(__xludf.DUMMYFUNCTION("""COMPUTED_VALUE"""),1.0)</f>
        <v>1</v>
      </c>
    </row>
    <row r="1890">
      <c r="A1890" s="2">
        <f>IFERROR(__xludf.DUMMYFUNCTION("""COMPUTED_VALUE"""),1.0)</f>
        <v>1</v>
      </c>
    </row>
    <row r="1891">
      <c r="A1891" s="2">
        <f>IFERROR(__xludf.DUMMYFUNCTION("""COMPUTED_VALUE"""),1.0)</f>
        <v>1</v>
      </c>
    </row>
    <row r="1892">
      <c r="A1892" s="2">
        <f>IFERROR(__xludf.DUMMYFUNCTION("""COMPUTED_VALUE"""),1.0)</f>
        <v>1</v>
      </c>
    </row>
    <row r="1893">
      <c r="A1893" s="2">
        <f>IFERROR(__xludf.DUMMYFUNCTION("""COMPUTED_VALUE"""),1.0)</f>
        <v>1</v>
      </c>
    </row>
    <row r="1894">
      <c r="A1894" s="2">
        <f>IFERROR(__xludf.DUMMYFUNCTION("""COMPUTED_VALUE"""),2.0)</f>
        <v>2</v>
      </c>
    </row>
    <row r="1895">
      <c r="A1895" s="2">
        <f>IFERROR(__xludf.DUMMYFUNCTION("""COMPUTED_VALUE"""),2.0)</f>
        <v>2</v>
      </c>
    </row>
    <row r="1896">
      <c r="A1896" s="2">
        <f>IFERROR(__xludf.DUMMYFUNCTION("""COMPUTED_VALUE"""),2.0)</f>
        <v>2</v>
      </c>
    </row>
    <row r="1897">
      <c r="A1897" s="2">
        <f>IFERROR(__xludf.DUMMYFUNCTION("""COMPUTED_VALUE"""),2.0)</f>
        <v>2</v>
      </c>
    </row>
    <row r="1898">
      <c r="A1898" s="2">
        <f>IFERROR(__xludf.DUMMYFUNCTION("""COMPUTED_VALUE"""),7.0)</f>
        <v>7</v>
      </c>
    </row>
    <row r="1899">
      <c r="A1899" s="2">
        <f>IFERROR(__xludf.DUMMYFUNCTION("""COMPUTED_VALUE"""),7.0)</f>
        <v>7</v>
      </c>
    </row>
    <row r="1900">
      <c r="A1900" s="2">
        <f>IFERROR(__xludf.DUMMYFUNCTION("""COMPUTED_VALUE"""),7.0)</f>
        <v>7</v>
      </c>
    </row>
    <row r="1901">
      <c r="A1901" s="2">
        <f>IFERROR(__xludf.DUMMYFUNCTION("""COMPUTED_VALUE"""),7.0)</f>
        <v>7</v>
      </c>
    </row>
    <row r="1902">
      <c r="A1902" s="2">
        <f>IFERROR(__xludf.DUMMYFUNCTION("""COMPUTED_VALUE"""),4.0)</f>
        <v>4</v>
      </c>
    </row>
    <row r="1903">
      <c r="A1903" s="2">
        <f>IFERROR(__xludf.DUMMYFUNCTION("""COMPUTED_VALUE"""),4.0)</f>
        <v>4</v>
      </c>
    </row>
    <row r="1904">
      <c r="A1904" s="2">
        <f>IFERROR(__xludf.DUMMYFUNCTION("""COMPUTED_VALUE"""),4.0)</f>
        <v>4</v>
      </c>
    </row>
    <row r="1905">
      <c r="A1905" s="2">
        <f>IFERROR(__xludf.DUMMYFUNCTION("""COMPUTED_VALUE"""),4.0)</f>
        <v>4</v>
      </c>
    </row>
    <row r="1906">
      <c r="A1906" s="2">
        <f>IFERROR(__xludf.DUMMYFUNCTION("""COMPUTED_VALUE"""),4.0)</f>
        <v>4</v>
      </c>
    </row>
    <row r="1907">
      <c r="A1907" s="2">
        <f>IFERROR(__xludf.DUMMYFUNCTION("""COMPUTED_VALUE"""),8.0)</f>
        <v>8</v>
      </c>
    </row>
    <row r="1908">
      <c r="A1908" s="2">
        <f>IFERROR(__xludf.DUMMYFUNCTION("""COMPUTED_VALUE"""),2.0)</f>
        <v>2</v>
      </c>
    </row>
    <row r="1909">
      <c r="A1909" s="2">
        <f>IFERROR(__xludf.DUMMYFUNCTION("""COMPUTED_VALUE"""),3.0)</f>
        <v>3</v>
      </c>
    </row>
    <row r="1910">
      <c r="A1910" s="2">
        <f>IFERROR(__xludf.DUMMYFUNCTION("""COMPUTED_VALUE"""),3.0)</f>
        <v>3</v>
      </c>
    </row>
    <row r="1911">
      <c r="A1911" s="2">
        <f>IFERROR(__xludf.DUMMYFUNCTION("""COMPUTED_VALUE"""),3.0)</f>
        <v>3</v>
      </c>
    </row>
    <row r="1912">
      <c r="A1912" s="2">
        <f>IFERROR(__xludf.DUMMYFUNCTION("""COMPUTED_VALUE"""),3.0)</f>
        <v>3</v>
      </c>
    </row>
    <row r="1913">
      <c r="A1913" s="2">
        <f>IFERROR(__xludf.DUMMYFUNCTION("""COMPUTED_VALUE"""),3.0)</f>
        <v>3</v>
      </c>
    </row>
    <row r="1914">
      <c r="A1914" s="2">
        <f>IFERROR(__xludf.DUMMYFUNCTION("""COMPUTED_VALUE"""),3.0)</f>
        <v>3</v>
      </c>
    </row>
    <row r="1915">
      <c r="A1915" s="2">
        <f>IFERROR(__xludf.DUMMYFUNCTION("""COMPUTED_VALUE"""),3.0)</f>
        <v>3</v>
      </c>
    </row>
    <row r="1916">
      <c r="A1916" s="2">
        <f>IFERROR(__xludf.DUMMYFUNCTION("""COMPUTED_VALUE"""),3.0)</f>
        <v>3</v>
      </c>
    </row>
    <row r="1917">
      <c r="A1917" s="2">
        <f>IFERROR(__xludf.DUMMYFUNCTION("""COMPUTED_VALUE"""),3.0)</f>
        <v>3</v>
      </c>
    </row>
    <row r="1918">
      <c r="A1918" s="2">
        <f>IFERROR(__xludf.DUMMYFUNCTION("""COMPUTED_VALUE"""),3.0)</f>
        <v>3</v>
      </c>
    </row>
    <row r="1919">
      <c r="A1919" s="2">
        <f>IFERROR(__xludf.DUMMYFUNCTION("""COMPUTED_VALUE"""),6.0)</f>
        <v>6</v>
      </c>
    </row>
    <row r="1920">
      <c r="A1920" s="2">
        <f>IFERROR(__xludf.DUMMYFUNCTION("""COMPUTED_VALUE"""),6.0)</f>
        <v>6</v>
      </c>
    </row>
    <row r="1921">
      <c r="A1921" s="2">
        <f>IFERROR(__xludf.DUMMYFUNCTION("""COMPUTED_VALUE"""),6.0)</f>
        <v>6</v>
      </c>
    </row>
    <row r="1922">
      <c r="A1922" s="2">
        <f>IFERROR(__xludf.DUMMYFUNCTION("""COMPUTED_VALUE"""),6.0)</f>
        <v>6</v>
      </c>
    </row>
    <row r="1923">
      <c r="A1923" s="2">
        <f>IFERROR(__xludf.DUMMYFUNCTION("""COMPUTED_VALUE"""),6.0)</f>
        <v>6</v>
      </c>
    </row>
    <row r="1924">
      <c r="A1924" s="2">
        <f>IFERROR(__xludf.DUMMYFUNCTION("""COMPUTED_VALUE"""),6.0)</f>
        <v>6</v>
      </c>
    </row>
    <row r="1925">
      <c r="A1925" s="2">
        <f>IFERROR(__xludf.DUMMYFUNCTION("""COMPUTED_VALUE"""),6.0)</f>
        <v>6</v>
      </c>
    </row>
    <row r="1926">
      <c r="A1926" s="2">
        <f>IFERROR(__xludf.DUMMYFUNCTION("""COMPUTED_VALUE"""),6.0)</f>
        <v>6</v>
      </c>
    </row>
    <row r="1927">
      <c r="A1927" s="2">
        <f>IFERROR(__xludf.DUMMYFUNCTION("""COMPUTED_VALUE"""),6.0)</f>
        <v>6</v>
      </c>
    </row>
    <row r="1928">
      <c r="A1928" s="2">
        <f>IFERROR(__xludf.DUMMYFUNCTION("""COMPUTED_VALUE"""),6.0)</f>
        <v>6</v>
      </c>
    </row>
    <row r="1929">
      <c r="A1929" s="2">
        <f>IFERROR(__xludf.DUMMYFUNCTION("""COMPUTED_VALUE"""),6.0)</f>
        <v>6</v>
      </c>
    </row>
    <row r="1930">
      <c r="A1930" s="2">
        <f>IFERROR(__xludf.DUMMYFUNCTION("""COMPUTED_VALUE"""),6.0)</f>
        <v>6</v>
      </c>
    </row>
    <row r="1931">
      <c r="A1931" s="2">
        <f>IFERROR(__xludf.DUMMYFUNCTION("""COMPUTED_VALUE"""),6.0)</f>
        <v>6</v>
      </c>
    </row>
    <row r="1932">
      <c r="A1932" s="2">
        <f>IFERROR(__xludf.DUMMYFUNCTION("""COMPUTED_VALUE"""),6.0)</f>
        <v>6</v>
      </c>
    </row>
    <row r="1933">
      <c r="A1933" s="2">
        <f>IFERROR(__xludf.DUMMYFUNCTION("""COMPUTED_VALUE"""),6.0)</f>
        <v>6</v>
      </c>
    </row>
    <row r="1934">
      <c r="A1934" s="2">
        <f>IFERROR(__xludf.DUMMYFUNCTION("""COMPUTED_VALUE"""),6.0)</f>
        <v>6</v>
      </c>
    </row>
    <row r="1935">
      <c r="A1935" s="2">
        <f>IFERROR(__xludf.DUMMYFUNCTION("""COMPUTED_VALUE"""),6.0)</f>
        <v>6</v>
      </c>
    </row>
    <row r="1936">
      <c r="A1936" s="2">
        <f>IFERROR(__xludf.DUMMYFUNCTION("""COMPUTED_VALUE"""),6.0)</f>
        <v>6</v>
      </c>
    </row>
    <row r="1937">
      <c r="A1937" s="2">
        <f>IFERROR(__xludf.DUMMYFUNCTION("""COMPUTED_VALUE"""),6.0)</f>
        <v>6</v>
      </c>
    </row>
    <row r="1938">
      <c r="A1938" s="2">
        <f>IFERROR(__xludf.DUMMYFUNCTION("""COMPUTED_VALUE"""),6.0)</f>
        <v>6</v>
      </c>
    </row>
    <row r="1939">
      <c r="A1939" s="2">
        <f>IFERROR(__xludf.DUMMYFUNCTION("""COMPUTED_VALUE"""),6.0)</f>
        <v>6</v>
      </c>
    </row>
    <row r="1940">
      <c r="A1940" s="2">
        <f>IFERROR(__xludf.DUMMYFUNCTION("""COMPUTED_VALUE"""),6.0)</f>
        <v>6</v>
      </c>
    </row>
    <row r="1941">
      <c r="A1941" s="2">
        <f>IFERROR(__xludf.DUMMYFUNCTION("""COMPUTED_VALUE"""),6.0)</f>
        <v>6</v>
      </c>
    </row>
    <row r="1942">
      <c r="A1942" s="2">
        <f>IFERROR(__xludf.DUMMYFUNCTION("""COMPUTED_VALUE"""),6.0)</f>
        <v>6</v>
      </c>
    </row>
    <row r="1943">
      <c r="A1943" s="2">
        <f>IFERROR(__xludf.DUMMYFUNCTION("""COMPUTED_VALUE"""),6.0)</f>
        <v>6</v>
      </c>
    </row>
    <row r="1944">
      <c r="A1944" s="2">
        <f>IFERROR(__xludf.DUMMYFUNCTION("""COMPUTED_VALUE"""),6.0)</f>
        <v>6</v>
      </c>
    </row>
    <row r="1945">
      <c r="A1945" s="2">
        <f>IFERROR(__xludf.DUMMYFUNCTION("""COMPUTED_VALUE"""),6.0)</f>
        <v>6</v>
      </c>
    </row>
    <row r="1946">
      <c r="A1946" s="2">
        <f>IFERROR(__xludf.DUMMYFUNCTION("""COMPUTED_VALUE"""),6.0)</f>
        <v>6</v>
      </c>
    </row>
    <row r="1947">
      <c r="A1947" s="2">
        <f>IFERROR(__xludf.DUMMYFUNCTION("""COMPUTED_VALUE"""),6.0)</f>
        <v>6</v>
      </c>
    </row>
    <row r="1948">
      <c r="A1948" s="2">
        <f>IFERROR(__xludf.DUMMYFUNCTION("""COMPUTED_VALUE"""),6.0)</f>
        <v>6</v>
      </c>
    </row>
    <row r="1949">
      <c r="A1949" s="2">
        <f>IFERROR(__xludf.DUMMYFUNCTION("""COMPUTED_VALUE"""),6.0)</f>
        <v>6</v>
      </c>
    </row>
    <row r="1950">
      <c r="A1950" s="2">
        <f>IFERROR(__xludf.DUMMYFUNCTION("""COMPUTED_VALUE"""),6.0)</f>
        <v>6</v>
      </c>
    </row>
    <row r="1951">
      <c r="A1951" s="2">
        <f>IFERROR(__xludf.DUMMYFUNCTION("""COMPUTED_VALUE"""),6.0)</f>
        <v>6</v>
      </c>
    </row>
    <row r="1952">
      <c r="A1952" s="2">
        <f>IFERROR(__xludf.DUMMYFUNCTION("""COMPUTED_VALUE"""),6.0)</f>
        <v>6</v>
      </c>
    </row>
    <row r="1953">
      <c r="A1953" s="2">
        <f>IFERROR(__xludf.DUMMYFUNCTION("""COMPUTED_VALUE"""),6.0)</f>
        <v>6</v>
      </c>
    </row>
    <row r="1954">
      <c r="A1954" s="2">
        <f>IFERROR(__xludf.DUMMYFUNCTION("""COMPUTED_VALUE"""),6.0)</f>
        <v>6</v>
      </c>
    </row>
    <row r="1955">
      <c r="A1955" s="2">
        <f>IFERROR(__xludf.DUMMYFUNCTION("""COMPUTED_VALUE"""),6.0)</f>
        <v>6</v>
      </c>
    </row>
    <row r="1956">
      <c r="A1956" s="2">
        <f>IFERROR(__xludf.DUMMYFUNCTION("""COMPUTED_VALUE"""),6.0)</f>
        <v>6</v>
      </c>
    </row>
    <row r="1957">
      <c r="A1957" s="2">
        <f>IFERROR(__xludf.DUMMYFUNCTION("""COMPUTED_VALUE"""),6.0)</f>
        <v>6</v>
      </c>
    </row>
    <row r="1958">
      <c r="A1958" s="2">
        <f>IFERROR(__xludf.DUMMYFUNCTION("""COMPUTED_VALUE"""),6.0)</f>
        <v>6</v>
      </c>
    </row>
    <row r="1959">
      <c r="A1959" s="2">
        <f>IFERROR(__xludf.DUMMYFUNCTION("""COMPUTED_VALUE"""),6.0)</f>
        <v>6</v>
      </c>
    </row>
    <row r="1960">
      <c r="A1960" s="2">
        <f>IFERROR(__xludf.DUMMYFUNCTION("""COMPUTED_VALUE"""),6.0)</f>
        <v>6</v>
      </c>
    </row>
    <row r="1961">
      <c r="A1961" s="2">
        <f>IFERROR(__xludf.DUMMYFUNCTION("""COMPUTED_VALUE"""),6.0)</f>
        <v>6</v>
      </c>
    </row>
    <row r="1962">
      <c r="A1962" s="2">
        <f>IFERROR(__xludf.DUMMYFUNCTION("""COMPUTED_VALUE"""),6.0)</f>
        <v>6</v>
      </c>
    </row>
    <row r="1963">
      <c r="A1963" s="2">
        <f>IFERROR(__xludf.DUMMYFUNCTION("""COMPUTED_VALUE"""),5.0)</f>
        <v>5</v>
      </c>
    </row>
    <row r="1964">
      <c r="A1964" s="2">
        <f>IFERROR(__xludf.DUMMYFUNCTION("""COMPUTED_VALUE"""),5.0)</f>
        <v>5</v>
      </c>
    </row>
    <row r="1965">
      <c r="A1965" s="2">
        <f>IFERROR(__xludf.DUMMYFUNCTION("""COMPUTED_VALUE"""),5.0)</f>
        <v>5</v>
      </c>
    </row>
    <row r="1966">
      <c r="A1966" s="2">
        <f>IFERROR(__xludf.DUMMYFUNCTION("""COMPUTED_VALUE"""),9.0)</f>
        <v>9</v>
      </c>
    </row>
    <row r="1967">
      <c r="A1967" s="2">
        <f>IFERROR(__xludf.DUMMYFUNCTION("""COMPUTED_VALUE"""),9.0)</f>
        <v>9</v>
      </c>
    </row>
    <row r="1968">
      <c r="A1968" s="2">
        <f>IFERROR(__xludf.DUMMYFUNCTION("""COMPUTED_VALUE"""),9.0)</f>
        <v>9</v>
      </c>
    </row>
    <row r="1969">
      <c r="A1969" s="2">
        <f>IFERROR(__xludf.DUMMYFUNCTION("""COMPUTED_VALUE"""),9.0)</f>
        <v>9</v>
      </c>
    </row>
    <row r="1970">
      <c r="A1970" s="2">
        <f>IFERROR(__xludf.DUMMYFUNCTION("""COMPUTED_VALUE"""),9.0)</f>
        <v>9</v>
      </c>
    </row>
    <row r="1971">
      <c r="A1971" s="2">
        <f>IFERROR(__xludf.DUMMYFUNCTION("""COMPUTED_VALUE"""),9.0)</f>
        <v>9</v>
      </c>
    </row>
    <row r="1972">
      <c r="A1972" s="2">
        <f>IFERROR(__xludf.DUMMYFUNCTION("""COMPUTED_VALUE"""),9.0)</f>
        <v>9</v>
      </c>
    </row>
    <row r="1973">
      <c r="A1973" s="2">
        <f>IFERROR(__xludf.DUMMYFUNCTION("""COMPUTED_VALUE"""),9.0)</f>
        <v>9</v>
      </c>
    </row>
    <row r="1974">
      <c r="A1974" s="2">
        <f>IFERROR(__xludf.DUMMYFUNCTION("""COMPUTED_VALUE"""),9.0)</f>
        <v>9</v>
      </c>
    </row>
    <row r="1975">
      <c r="A1975" s="2">
        <f>IFERROR(__xludf.DUMMYFUNCTION("""COMPUTED_VALUE"""),9.0)</f>
        <v>9</v>
      </c>
    </row>
    <row r="1976">
      <c r="A1976" s="2">
        <f>IFERROR(__xludf.DUMMYFUNCTION("""COMPUTED_VALUE"""),9.0)</f>
        <v>9</v>
      </c>
    </row>
    <row r="1977">
      <c r="A1977" s="2">
        <f>IFERROR(__xludf.DUMMYFUNCTION("""COMPUTED_VALUE"""),9.0)</f>
        <v>9</v>
      </c>
    </row>
    <row r="1978">
      <c r="A1978" s="2">
        <f>IFERROR(__xludf.DUMMYFUNCTION("""COMPUTED_VALUE"""),9.0)</f>
        <v>9</v>
      </c>
    </row>
    <row r="1979">
      <c r="A1979" s="2">
        <f>IFERROR(__xludf.DUMMYFUNCTION("""COMPUTED_VALUE"""),9.0)</f>
        <v>9</v>
      </c>
    </row>
    <row r="1980">
      <c r="A1980" s="2">
        <f>IFERROR(__xludf.DUMMYFUNCTION("""COMPUTED_VALUE"""),9.0)</f>
        <v>9</v>
      </c>
    </row>
    <row r="1981">
      <c r="A1981" s="2">
        <f>IFERROR(__xludf.DUMMYFUNCTION("""COMPUTED_VALUE"""),9.0)</f>
        <v>9</v>
      </c>
    </row>
    <row r="1982">
      <c r="A1982" s="2">
        <f>IFERROR(__xludf.DUMMYFUNCTION("""COMPUTED_VALUE"""),9.0)</f>
        <v>9</v>
      </c>
    </row>
    <row r="1983">
      <c r="A1983" s="2">
        <f>IFERROR(__xludf.DUMMYFUNCTION("""COMPUTED_VALUE"""),9.0)</f>
        <v>9</v>
      </c>
    </row>
    <row r="1984">
      <c r="A1984" s="2">
        <f>IFERROR(__xludf.DUMMYFUNCTION("""COMPUTED_VALUE"""),9.0)</f>
        <v>9</v>
      </c>
    </row>
    <row r="1985">
      <c r="A1985" s="2">
        <f>IFERROR(__xludf.DUMMYFUNCTION("""COMPUTED_VALUE"""),9.0)</f>
        <v>9</v>
      </c>
    </row>
    <row r="1986">
      <c r="A1986" s="2">
        <f>IFERROR(__xludf.DUMMYFUNCTION("""COMPUTED_VALUE"""),9.0)</f>
        <v>9</v>
      </c>
    </row>
    <row r="1987">
      <c r="A1987" s="2">
        <f>IFERROR(__xludf.DUMMYFUNCTION("""COMPUTED_VALUE"""),9.0)</f>
        <v>9</v>
      </c>
    </row>
    <row r="1988">
      <c r="A1988" s="2">
        <f>IFERROR(__xludf.DUMMYFUNCTION("""COMPUTED_VALUE"""),9.0)</f>
        <v>9</v>
      </c>
    </row>
    <row r="1989">
      <c r="A1989" s="2">
        <f>IFERROR(__xludf.DUMMYFUNCTION("""COMPUTED_VALUE"""),9.0)</f>
        <v>9</v>
      </c>
    </row>
    <row r="1990">
      <c r="A1990" s="2">
        <f>IFERROR(__xludf.DUMMYFUNCTION("""COMPUTED_VALUE"""),9.0)</f>
        <v>9</v>
      </c>
    </row>
    <row r="1991">
      <c r="A1991" s="2">
        <f>IFERROR(__xludf.DUMMYFUNCTION("""COMPUTED_VALUE"""),9.0)</f>
        <v>9</v>
      </c>
    </row>
    <row r="1992">
      <c r="A1992" s="2">
        <f>IFERROR(__xludf.DUMMYFUNCTION("""COMPUTED_VALUE"""),9.0)</f>
        <v>9</v>
      </c>
    </row>
    <row r="1993">
      <c r="A1993" s="2">
        <f>IFERROR(__xludf.DUMMYFUNCTION("""COMPUTED_VALUE"""),9.0)</f>
        <v>9</v>
      </c>
    </row>
    <row r="1994">
      <c r="A1994" s="2">
        <f>IFERROR(__xludf.DUMMYFUNCTION("""COMPUTED_VALUE"""),9.0)</f>
        <v>9</v>
      </c>
    </row>
    <row r="1995">
      <c r="A1995" s="2">
        <f>IFERROR(__xludf.DUMMYFUNCTION("""COMPUTED_VALUE"""),9.0)</f>
        <v>9</v>
      </c>
    </row>
    <row r="1996">
      <c r="A1996" s="2">
        <f>IFERROR(__xludf.DUMMYFUNCTION("""COMPUTED_VALUE"""),9.0)</f>
        <v>9</v>
      </c>
    </row>
    <row r="1997">
      <c r="A1997" s="2">
        <f>IFERROR(__xludf.DUMMYFUNCTION("""COMPUTED_VALUE"""),9.0)</f>
        <v>9</v>
      </c>
    </row>
    <row r="1998">
      <c r="A1998" s="2">
        <f>IFERROR(__xludf.DUMMYFUNCTION("""COMPUTED_VALUE"""),9.0)</f>
        <v>9</v>
      </c>
    </row>
    <row r="1999">
      <c r="A1999" s="2">
        <f>IFERROR(__xludf.DUMMYFUNCTION("""COMPUTED_VALUE"""),9.0)</f>
        <v>9</v>
      </c>
    </row>
    <row r="2000">
      <c r="A2000" s="2">
        <f>IFERROR(__xludf.DUMMYFUNCTION("""COMPUTED_VALUE"""),9.0)</f>
        <v>9</v>
      </c>
    </row>
    <row r="2001">
      <c r="A2001" s="2">
        <f>IFERROR(__xludf.DUMMYFUNCTION("""COMPUTED_VALUE"""),9.0)</f>
        <v>9</v>
      </c>
    </row>
    <row r="2002">
      <c r="A2002" s="2">
        <f>IFERROR(__xludf.DUMMYFUNCTION("""COMPUTED_VALUE"""),9.0)</f>
        <v>9</v>
      </c>
    </row>
    <row r="2003">
      <c r="A2003" s="2">
        <f>IFERROR(__xludf.DUMMYFUNCTION("""COMPUTED_VALUE"""),9.0)</f>
        <v>9</v>
      </c>
    </row>
    <row r="2004">
      <c r="A2004" s="2">
        <f>IFERROR(__xludf.DUMMYFUNCTION("""COMPUTED_VALUE"""),9.0)</f>
        <v>9</v>
      </c>
    </row>
    <row r="2005">
      <c r="A2005" s="2">
        <f>IFERROR(__xludf.DUMMYFUNCTION("""COMPUTED_VALUE"""),9.0)</f>
        <v>9</v>
      </c>
    </row>
    <row r="2006">
      <c r="A2006" s="2">
        <f>IFERROR(__xludf.DUMMYFUNCTION("""COMPUTED_VALUE"""),9.0)</f>
        <v>9</v>
      </c>
    </row>
    <row r="2007">
      <c r="A2007" s="2">
        <f>IFERROR(__xludf.DUMMYFUNCTION("""COMPUTED_VALUE"""),6.0)</f>
        <v>6</v>
      </c>
    </row>
    <row r="2008">
      <c r="A2008" s="2">
        <f>IFERROR(__xludf.DUMMYFUNCTION("""COMPUTED_VALUE"""),8.0)</f>
        <v>8</v>
      </c>
    </row>
    <row r="2009">
      <c r="A2009" s="2">
        <f>IFERROR(__xludf.DUMMYFUNCTION("""COMPUTED_VALUE"""),8.0)</f>
        <v>8</v>
      </c>
    </row>
    <row r="2010">
      <c r="A2010" s="2">
        <f>IFERROR(__xludf.DUMMYFUNCTION("""COMPUTED_VALUE"""),7.0)</f>
        <v>7</v>
      </c>
    </row>
    <row r="2011">
      <c r="A2011" s="2">
        <f>IFERROR(__xludf.DUMMYFUNCTION("""COMPUTED_VALUE"""),3.0)</f>
        <v>3</v>
      </c>
    </row>
    <row r="2012">
      <c r="A2012" s="2">
        <f>IFERROR(__xludf.DUMMYFUNCTION("""COMPUTED_VALUE"""),9.0)</f>
        <v>9</v>
      </c>
    </row>
    <row r="2013">
      <c r="A2013" s="2">
        <f>IFERROR(__xludf.DUMMYFUNCTION("""COMPUTED_VALUE"""),9.0)</f>
        <v>9</v>
      </c>
    </row>
    <row r="2014">
      <c r="A2014" s="2">
        <f>IFERROR(__xludf.DUMMYFUNCTION("""COMPUTED_VALUE"""),1.0)</f>
        <v>1</v>
      </c>
    </row>
    <row r="2015">
      <c r="A2015" s="2">
        <f>IFERROR(__xludf.DUMMYFUNCTION("""COMPUTED_VALUE"""),1.0)</f>
        <v>1</v>
      </c>
    </row>
    <row r="2016">
      <c r="A2016" s="2">
        <f>IFERROR(__xludf.DUMMYFUNCTION("""COMPUTED_VALUE"""),1.0)</f>
        <v>1</v>
      </c>
    </row>
    <row r="2017">
      <c r="A2017" s="2">
        <f>IFERROR(__xludf.DUMMYFUNCTION("""COMPUTED_VALUE"""),1.0)</f>
        <v>1</v>
      </c>
    </row>
    <row r="2018">
      <c r="A2018" s="2">
        <f>IFERROR(__xludf.DUMMYFUNCTION("""COMPUTED_VALUE"""),1.0)</f>
        <v>1</v>
      </c>
    </row>
    <row r="2019">
      <c r="A2019" s="2">
        <f>IFERROR(__xludf.DUMMYFUNCTION("""COMPUTED_VALUE"""),1.0)</f>
        <v>1</v>
      </c>
    </row>
    <row r="2020">
      <c r="A2020" s="2">
        <f>IFERROR(__xludf.DUMMYFUNCTION("""COMPUTED_VALUE"""),1.0)</f>
        <v>1</v>
      </c>
    </row>
    <row r="2021">
      <c r="A2021" s="2">
        <f>IFERROR(__xludf.DUMMYFUNCTION("""COMPUTED_VALUE"""),1.0)</f>
        <v>1</v>
      </c>
    </row>
    <row r="2022">
      <c r="A2022" s="2">
        <f>IFERROR(__xludf.DUMMYFUNCTION("""COMPUTED_VALUE"""),1.0)</f>
        <v>1</v>
      </c>
    </row>
    <row r="2023">
      <c r="A2023" s="2">
        <f>IFERROR(__xludf.DUMMYFUNCTION("""COMPUTED_VALUE"""),1.0)</f>
        <v>1</v>
      </c>
    </row>
    <row r="2024">
      <c r="A2024" s="2">
        <f>IFERROR(__xludf.DUMMYFUNCTION("""COMPUTED_VALUE"""),1.0)</f>
        <v>1</v>
      </c>
    </row>
    <row r="2025">
      <c r="A2025" s="2">
        <f>IFERROR(__xludf.DUMMYFUNCTION("""COMPUTED_VALUE"""),1.0)</f>
        <v>1</v>
      </c>
    </row>
    <row r="2026">
      <c r="A2026" s="2">
        <f>IFERROR(__xludf.DUMMYFUNCTION("""COMPUTED_VALUE"""),1.0)</f>
        <v>1</v>
      </c>
    </row>
    <row r="2027">
      <c r="A2027" s="2">
        <f>IFERROR(__xludf.DUMMYFUNCTION("""COMPUTED_VALUE"""),1.0)</f>
        <v>1</v>
      </c>
    </row>
    <row r="2028">
      <c r="A2028" s="2">
        <f>IFERROR(__xludf.DUMMYFUNCTION("""COMPUTED_VALUE"""),1.0)</f>
        <v>1</v>
      </c>
    </row>
    <row r="2029">
      <c r="A2029" s="2">
        <f>IFERROR(__xludf.DUMMYFUNCTION("""COMPUTED_VALUE"""),1.0)</f>
        <v>1</v>
      </c>
    </row>
    <row r="2030">
      <c r="A2030" s="2">
        <f>IFERROR(__xludf.DUMMYFUNCTION("""COMPUTED_VALUE"""),1.0)</f>
        <v>1</v>
      </c>
    </row>
    <row r="2031">
      <c r="A2031" s="2">
        <f>IFERROR(__xludf.DUMMYFUNCTION("""COMPUTED_VALUE"""),1.0)</f>
        <v>1</v>
      </c>
    </row>
    <row r="2032">
      <c r="A2032" s="2">
        <f>IFERROR(__xludf.DUMMYFUNCTION("""COMPUTED_VALUE"""),1.0)</f>
        <v>1</v>
      </c>
    </row>
    <row r="2033">
      <c r="A2033" s="2">
        <f>IFERROR(__xludf.DUMMYFUNCTION("""COMPUTED_VALUE"""),1.0)</f>
        <v>1</v>
      </c>
    </row>
    <row r="2034">
      <c r="A2034" s="2">
        <f>IFERROR(__xludf.DUMMYFUNCTION("""COMPUTED_VALUE"""),1.0)</f>
        <v>1</v>
      </c>
    </row>
    <row r="2035">
      <c r="A2035" s="2">
        <f>IFERROR(__xludf.DUMMYFUNCTION("""COMPUTED_VALUE"""),1.0)</f>
        <v>1</v>
      </c>
    </row>
    <row r="2036">
      <c r="A2036" s="2">
        <f>IFERROR(__xludf.DUMMYFUNCTION("""COMPUTED_VALUE"""),1.0)</f>
        <v>1</v>
      </c>
    </row>
    <row r="2037">
      <c r="A2037" s="2">
        <f>IFERROR(__xludf.DUMMYFUNCTION("""COMPUTED_VALUE"""),1.0)</f>
        <v>1</v>
      </c>
    </row>
    <row r="2038">
      <c r="A2038" s="2">
        <f>IFERROR(__xludf.DUMMYFUNCTION("""COMPUTED_VALUE"""),1.0)</f>
        <v>1</v>
      </c>
    </row>
    <row r="2039">
      <c r="A2039" s="2">
        <f>IFERROR(__xludf.DUMMYFUNCTION("""COMPUTED_VALUE"""),1.0)</f>
        <v>1</v>
      </c>
    </row>
    <row r="2040">
      <c r="A2040" s="2">
        <f>IFERROR(__xludf.DUMMYFUNCTION("""COMPUTED_VALUE"""),1.0)</f>
        <v>1</v>
      </c>
    </row>
    <row r="2041">
      <c r="A2041" s="2">
        <f>IFERROR(__xludf.DUMMYFUNCTION("""COMPUTED_VALUE"""),1.0)</f>
        <v>1</v>
      </c>
    </row>
    <row r="2042">
      <c r="A2042" s="2">
        <f>IFERROR(__xludf.DUMMYFUNCTION("""COMPUTED_VALUE"""),1.0)</f>
        <v>1</v>
      </c>
    </row>
    <row r="2043">
      <c r="A2043" s="2">
        <f>IFERROR(__xludf.DUMMYFUNCTION("""COMPUTED_VALUE"""),1.0)</f>
        <v>1</v>
      </c>
    </row>
    <row r="2044">
      <c r="A2044" s="2">
        <f>IFERROR(__xludf.DUMMYFUNCTION("""COMPUTED_VALUE"""),1.0)</f>
        <v>1</v>
      </c>
    </row>
    <row r="2045">
      <c r="A2045" s="2">
        <f>IFERROR(__xludf.DUMMYFUNCTION("""COMPUTED_VALUE"""),8.0)</f>
        <v>8</v>
      </c>
    </row>
    <row r="2046">
      <c r="A2046" s="2">
        <f>IFERROR(__xludf.DUMMYFUNCTION("""COMPUTED_VALUE"""),8.0)</f>
        <v>8</v>
      </c>
    </row>
    <row r="2047">
      <c r="A2047" s="2">
        <f>IFERROR(__xludf.DUMMYFUNCTION("""COMPUTED_VALUE"""),3.0)</f>
        <v>3</v>
      </c>
    </row>
    <row r="2048">
      <c r="A2048" s="2">
        <f>IFERROR(__xludf.DUMMYFUNCTION("""COMPUTED_VALUE"""),5.0)</f>
        <v>5</v>
      </c>
    </row>
    <row r="2049">
      <c r="A2049" s="2">
        <f>IFERROR(__xludf.DUMMYFUNCTION("""COMPUTED_VALUE"""),5.0)</f>
        <v>5</v>
      </c>
    </row>
    <row r="2050">
      <c r="A2050" s="2">
        <f>IFERROR(__xludf.DUMMYFUNCTION("""COMPUTED_VALUE"""),5.0)</f>
        <v>5</v>
      </c>
    </row>
    <row r="2051">
      <c r="A2051" s="2">
        <f>IFERROR(__xludf.DUMMYFUNCTION("""COMPUTED_VALUE"""),9.0)</f>
        <v>9</v>
      </c>
    </row>
    <row r="2052">
      <c r="A2052" s="2">
        <f>IFERROR(__xludf.DUMMYFUNCTION("""COMPUTED_VALUE"""),9.0)</f>
        <v>9</v>
      </c>
    </row>
    <row r="2053">
      <c r="A2053" s="2">
        <f>IFERROR(__xludf.DUMMYFUNCTION("""COMPUTED_VALUE"""),9.0)</f>
        <v>9</v>
      </c>
    </row>
    <row r="2054">
      <c r="A2054" s="2">
        <f>IFERROR(__xludf.DUMMYFUNCTION("""COMPUTED_VALUE"""),9.0)</f>
        <v>9</v>
      </c>
    </row>
    <row r="2055">
      <c r="A2055" s="2">
        <f>IFERROR(__xludf.DUMMYFUNCTION("""COMPUTED_VALUE"""),9.0)</f>
        <v>9</v>
      </c>
    </row>
    <row r="2056">
      <c r="A2056" s="2">
        <f>IFERROR(__xludf.DUMMYFUNCTION("""COMPUTED_VALUE"""),9.0)</f>
        <v>9</v>
      </c>
    </row>
    <row r="2057">
      <c r="A2057" s="2">
        <f>IFERROR(__xludf.DUMMYFUNCTION("""COMPUTED_VALUE"""),9.0)</f>
        <v>9</v>
      </c>
    </row>
    <row r="2058">
      <c r="A2058" s="2">
        <f>IFERROR(__xludf.DUMMYFUNCTION("""COMPUTED_VALUE"""),9.0)</f>
        <v>9</v>
      </c>
    </row>
    <row r="2059">
      <c r="A2059" s="2">
        <f>IFERROR(__xludf.DUMMYFUNCTION("""COMPUTED_VALUE"""),9.0)</f>
        <v>9</v>
      </c>
    </row>
    <row r="2060">
      <c r="A2060" s="2">
        <f>IFERROR(__xludf.DUMMYFUNCTION("""COMPUTED_VALUE"""),9.0)</f>
        <v>9</v>
      </c>
    </row>
    <row r="2061">
      <c r="A2061" s="2">
        <f>IFERROR(__xludf.DUMMYFUNCTION("""COMPUTED_VALUE"""),9.0)</f>
        <v>9</v>
      </c>
    </row>
    <row r="2062">
      <c r="A2062" s="2">
        <f>IFERROR(__xludf.DUMMYFUNCTION("""COMPUTED_VALUE"""),9.0)</f>
        <v>9</v>
      </c>
    </row>
    <row r="2063">
      <c r="A2063" s="2">
        <f>IFERROR(__xludf.DUMMYFUNCTION("""COMPUTED_VALUE"""),9.0)</f>
        <v>9</v>
      </c>
    </row>
    <row r="2064">
      <c r="A2064" s="2">
        <f>IFERROR(__xludf.DUMMYFUNCTION("""COMPUTED_VALUE"""),9.0)</f>
        <v>9</v>
      </c>
    </row>
    <row r="2065">
      <c r="A2065" s="2">
        <f>IFERROR(__xludf.DUMMYFUNCTION("""COMPUTED_VALUE"""),9.0)</f>
        <v>9</v>
      </c>
    </row>
    <row r="2066">
      <c r="A2066" s="2">
        <f>IFERROR(__xludf.DUMMYFUNCTION("""COMPUTED_VALUE"""),9.0)</f>
        <v>9</v>
      </c>
    </row>
    <row r="2067">
      <c r="A2067" s="2">
        <f>IFERROR(__xludf.DUMMYFUNCTION("""COMPUTED_VALUE"""),9.0)</f>
        <v>9</v>
      </c>
    </row>
    <row r="2068">
      <c r="A2068" s="2">
        <f>IFERROR(__xludf.DUMMYFUNCTION("""COMPUTED_VALUE"""),9.0)</f>
        <v>9</v>
      </c>
    </row>
    <row r="2069">
      <c r="A2069" s="2">
        <f>IFERROR(__xludf.DUMMYFUNCTION("""COMPUTED_VALUE"""),9.0)</f>
        <v>9</v>
      </c>
    </row>
    <row r="2070">
      <c r="A2070" s="2">
        <f>IFERROR(__xludf.DUMMYFUNCTION("""COMPUTED_VALUE"""),9.0)</f>
        <v>9</v>
      </c>
    </row>
    <row r="2071">
      <c r="A2071" s="2">
        <f>IFERROR(__xludf.DUMMYFUNCTION("""COMPUTED_VALUE"""),9.0)</f>
        <v>9</v>
      </c>
    </row>
    <row r="2072">
      <c r="A2072" s="2">
        <f>IFERROR(__xludf.DUMMYFUNCTION("""COMPUTED_VALUE"""),9.0)</f>
        <v>9</v>
      </c>
    </row>
    <row r="2073">
      <c r="A2073" s="2">
        <f>IFERROR(__xludf.DUMMYFUNCTION("""COMPUTED_VALUE"""),9.0)</f>
        <v>9</v>
      </c>
    </row>
    <row r="2074">
      <c r="A2074" s="2">
        <f>IFERROR(__xludf.DUMMYFUNCTION("""COMPUTED_VALUE"""),9.0)</f>
        <v>9</v>
      </c>
    </row>
    <row r="2075">
      <c r="A2075" s="2">
        <f>IFERROR(__xludf.DUMMYFUNCTION("""COMPUTED_VALUE"""),9.0)</f>
        <v>9</v>
      </c>
    </row>
    <row r="2076">
      <c r="A2076" s="2">
        <f>IFERROR(__xludf.DUMMYFUNCTION("""COMPUTED_VALUE"""),2.0)</f>
        <v>2</v>
      </c>
    </row>
    <row r="2077">
      <c r="A2077" s="2">
        <f>IFERROR(__xludf.DUMMYFUNCTION("""COMPUTED_VALUE"""),2.0)</f>
        <v>2</v>
      </c>
    </row>
    <row r="2078">
      <c r="A2078" s="2">
        <f>IFERROR(__xludf.DUMMYFUNCTION("""COMPUTED_VALUE"""),2.0)</f>
        <v>2</v>
      </c>
    </row>
    <row r="2079">
      <c r="A2079" s="2">
        <f>IFERROR(__xludf.DUMMYFUNCTION("""COMPUTED_VALUE"""),2.0)</f>
        <v>2</v>
      </c>
    </row>
    <row r="2080">
      <c r="A2080" s="2">
        <f>IFERROR(__xludf.DUMMYFUNCTION("""COMPUTED_VALUE"""),2.0)</f>
        <v>2</v>
      </c>
    </row>
    <row r="2081">
      <c r="A2081" s="2">
        <f>IFERROR(__xludf.DUMMYFUNCTION("""COMPUTED_VALUE"""),2.0)</f>
        <v>2</v>
      </c>
    </row>
    <row r="2082">
      <c r="A2082" s="2">
        <f>IFERROR(__xludf.DUMMYFUNCTION("""COMPUTED_VALUE"""),2.0)</f>
        <v>2</v>
      </c>
    </row>
    <row r="2083">
      <c r="A2083" s="2">
        <f>IFERROR(__xludf.DUMMYFUNCTION("""COMPUTED_VALUE"""),2.0)</f>
        <v>2</v>
      </c>
    </row>
    <row r="2084">
      <c r="A2084" s="2">
        <f>IFERROR(__xludf.DUMMYFUNCTION("""COMPUTED_VALUE"""),2.0)</f>
        <v>2</v>
      </c>
    </row>
    <row r="2085">
      <c r="A2085" s="2">
        <f>IFERROR(__xludf.DUMMYFUNCTION("""COMPUTED_VALUE"""),2.0)</f>
        <v>2</v>
      </c>
    </row>
    <row r="2086">
      <c r="A2086" s="2">
        <f>IFERROR(__xludf.DUMMYFUNCTION("""COMPUTED_VALUE"""),7.0)</f>
        <v>7</v>
      </c>
    </row>
    <row r="2087">
      <c r="A2087" s="2">
        <f>IFERROR(__xludf.DUMMYFUNCTION("""COMPUTED_VALUE"""),4.0)</f>
        <v>4</v>
      </c>
    </row>
    <row r="2088">
      <c r="A2088" s="2">
        <f>IFERROR(__xludf.DUMMYFUNCTION("""COMPUTED_VALUE"""),4.0)</f>
        <v>4</v>
      </c>
    </row>
    <row r="2089">
      <c r="A2089" s="2">
        <f>IFERROR(__xludf.DUMMYFUNCTION("""COMPUTED_VALUE"""),8.0)</f>
        <v>8</v>
      </c>
    </row>
    <row r="2090">
      <c r="A2090" s="2">
        <f>IFERROR(__xludf.DUMMYFUNCTION("""COMPUTED_VALUE"""),8.0)</f>
        <v>8</v>
      </c>
    </row>
    <row r="2091">
      <c r="A2091" s="2">
        <f>IFERROR(__xludf.DUMMYFUNCTION("""COMPUTED_VALUE"""),8.0)</f>
        <v>8</v>
      </c>
    </row>
    <row r="2092">
      <c r="A2092" s="2">
        <f>IFERROR(__xludf.DUMMYFUNCTION("""COMPUTED_VALUE"""),2.0)</f>
        <v>2</v>
      </c>
    </row>
    <row r="2093">
      <c r="A2093" s="2">
        <f>IFERROR(__xludf.DUMMYFUNCTION("""COMPUTED_VALUE"""),2.0)</f>
        <v>2</v>
      </c>
    </row>
    <row r="2094">
      <c r="A2094" s="2">
        <f>IFERROR(__xludf.DUMMYFUNCTION("""COMPUTED_VALUE"""),2.0)</f>
        <v>2</v>
      </c>
    </row>
    <row r="2095">
      <c r="A2095" s="2">
        <f>IFERROR(__xludf.DUMMYFUNCTION("""COMPUTED_VALUE"""),2.0)</f>
        <v>2</v>
      </c>
    </row>
    <row r="2096">
      <c r="A2096" s="2">
        <f>IFERROR(__xludf.DUMMYFUNCTION("""COMPUTED_VALUE"""),2.0)</f>
        <v>2</v>
      </c>
    </row>
    <row r="2097">
      <c r="A2097" s="2">
        <f>IFERROR(__xludf.DUMMYFUNCTION("""COMPUTED_VALUE"""),2.0)</f>
        <v>2</v>
      </c>
    </row>
    <row r="2098">
      <c r="A2098" s="2">
        <f>IFERROR(__xludf.DUMMYFUNCTION("""COMPUTED_VALUE"""),2.0)</f>
        <v>2</v>
      </c>
    </row>
    <row r="2099">
      <c r="A2099" s="2">
        <f>IFERROR(__xludf.DUMMYFUNCTION("""COMPUTED_VALUE"""),2.0)</f>
        <v>2</v>
      </c>
    </row>
    <row r="2100">
      <c r="A2100" s="2">
        <f>IFERROR(__xludf.DUMMYFUNCTION("""COMPUTED_VALUE"""),6.0)</f>
        <v>6</v>
      </c>
    </row>
    <row r="2101">
      <c r="A2101" s="2">
        <f>IFERROR(__xludf.DUMMYFUNCTION("""COMPUTED_VALUE"""),2.0)</f>
        <v>2</v>
      </c>
    </row>
    <row r="2102">
      <c r="A2102" s="2">
        <f>IFERROR(__xludf.DUMMYFUNCTION("""COMPUTED_VALUE"""),4.0)</f>
        <v>4</v>
      </c>
    </row>
    <row r="2103">
      <c r="A2103" s="2">
        <f>IFERROR(__xludf.DUMMYFUNCTION("""COMPUTED_VALUE"""),4.0)</f>
        <v>4</v>
      </c>
    </row>
    <row r="2104">
      <c r="A2104" s="2">
        <f>IFERROR(__xludf.DUMMYFUNCTION("""COMPUTED_VALUE"""),1.0)</f>
        <v>1</v>
      </c>
    </row>
    <row r="2105">
      <c r="A2105" s="2">
        <f>IFERROR(__xludf.DUMMYFUNCTION("""COMPUTED_VALUE"""),1.0)</f>
        <v>1</v>
      </c>
    </row>
    <row r="2106">
      <c r="A2106" s="2">
        <f>IFERROR(__xludf.DUMMYFUNCTION("""COMPUTED_VALUE"""),1.0)</f>
        <v>1</v>
      </c>
    </row>
    <row r="2107">
      <c r="A2107" s="2">
        <f>IFERROR(__xludf.DUMMYFUNCTION("""COMPUTED_VALUE"""),1.0)</f>
        <v>1</v>
      </c>
    </row>
    <row r="2108">
      <c r="A2108" s="2">
        <f>IFERROR(__xludf.DUMMYFUNCTION("""COMPUTED_VALUE"""),1.0)</f>
        <v>1</v>
      </c>
    </row>
    <row r="2109">
      <c r="A2109" s="2">
        <f>IFERROR(__xludf.DUMMYFUNCTION("""COMPUTED_VALUE"""),1.0)</f>
        <v>1</v>
      </c>
    </row>
    <row r="2110">
      <c r="A2110" s="2">
        <f>IFERROR(__xludf.DUMMYFUNCTION("""COMPUTED_VALUE"""),1.0)</f>
        <v>1</v>
      </c>
    </row>
    <row r="2111">
      <c r="A2111" s="2">
        <f>IFERROR(__xludf.DUMMYFUNCTION("""COMPUTED_VALUE"""),1.0)</f>
        <v>1</v>
      </c>
    </row>
    <row r="2112">
      <c r="A2112" s="2">
        <f>IFERROR(__xludf.DUMMYFUNCTION("""COMPUTED_VALUE"""),1.0)</f>
        <v>1</v>
      </c>
    </row>
    <row r="2113">
      <c r="A2113" s="2">
        <f>IFERROR(__xludf.DUMMYFUNCTION("""COMPUTED_VALUE"""),1.0)</f>
        <v>1</v>
      </c>
    </row>
    <row r="2114">
      <c r="A2114" s="2">
        <f>IFERROR(__xludf.DUMMYFUNCTION("""COMPUTED_VALUE"""),1.0)</f>
        <v>1</v>
      </c>
    </row>
    <row r="2115">
      <c r="A2115" s="2">
        <f>IFERROR(__xludf.DUMMYFUNCTION("""COMPUTED_VALUE"""),1.0)</f>
        <v>1</v>
      </c>
    </row>
    <row r="2116">
      <c r="A2116" s="2">
        <f>IFERROR(__xludf.DUMMYFUNCTION("""COMPUTED_VALUE"""),1.0)</f>
        <v>1</v>
      </c>
    </row>
    <row r="2117">
      <c r="A2117" s="2">
        <f>IFERROR(__xludf.DUMMYFUNCTION("""COMPUTED_VALUE"""),1.0)</f>
        <v>1</v>
      </c>
    </row>
    <row r="2118">
      <c r="A2118" s="2">
        <f>IFERROR(__xludf.DUMMYFUNCTION("""COMPUTED_VALUE"""),1.0)</f>
        <v>1</v>
      </c>
    </row>
    <row r="2119">
      <c r="A2119" s="2">
        <f>IFERROR(__xludf.DUMMYFUNCTION("""COMPUTED_VALUE"""),1.0)</f>
        <v>1</v>
      </c>
    </row>
    <row r="2120">
      <c r="A2120" s="2">
        <f>IFERROR(__xludf.DUMMYFUNCTION("""COMPUTED_VALUE"""),1.0)</f>
        <v>1</v>
      </c>
    </row>
    <row r="2121">
      <c r="A2121" s="2">
        <f>IFERROR(__xludf.DUMMYFUNCTION("""COMPUTED_VALUE"""),1.0)</f>
        <v>1</v>
      </c>
    </row>
    <row r="2122">
      <c r="A2122" s="2">
        <f>IFERROR(__xludf.DUMMYFUNCTION("""COMPUTED_VALUE"""),9.0)</f>
        <v>9</v>
      </c>
    </row>
    <row r="2123">
      <c r="A2123" s="2">
        <f>IFERROR(__xludf.DUMMYFUNCTION("""COMPUTED_VALUE"""),9.0)</f>
        <v>9</v>
      </c>
    </row>
    <row r="2124">
      <c r="A2124" s="2">
        <f>IFERROR(__xludf.DUMMYFUNCTION("""COMPUTED_VALUE"""),9.0)</f>
        <v>9</v>
      </c>
    </row>
    <row r="2125">
      <c r="A2125" s="2">
        <f>IFERROR(__xludf.DUMMYFUNCTION("""COMPUTED_VALUE"""),9.0)</f>
        <v>9</v>
      </c>
    </row>
    <row r="2126">
      <c r="A2126" s="2">
        <f>IFERROR(__xludf.DUMMYFUNCTION("""COMPUTED_VALUE"""),9.0)</f>
        <v>9</v>
      </c>
    </row>
    <row r="2127">
      <c r="A2127" s="2">
        <f>IFERROR(__xludf.DUMMYFUNCTION("""COMPUTED_VALUE"""),9.0)</f>
        <v>9</v>
      </c>
    </row>
    <row r="2128">
      <c r="A2128" s="2">
        <f>IFERROR(__xludf.DUMMYFUNCTION("""COMPUTED_VALUE"""),9.0)</f>
        <v>9</v>
      </c>
    </row>
    <row r="2129">
      <c r="A2129" s="2">
        <f>IFERROR(__xludf.DUMMYFUNCTION("""COMPUTED_VALUE"""),9.0)</f>
        <v>9</v>
      </c>
    </row>
    <row r="2130">
      <c r="A2130" s="2">
        <f>IFERROR(__xludf.DUMMYFUNCTION("""COMPUTED_VALUE"""),3.0)</f>
        <v>3</v>
      </c>
    </row>
    <row r="2131">
      <c r="A2131" s="2">
        <f>IFERROR(__xludf.DUMMYFUNCTION("""COMPUTED_VALUE"""),3.0)</f>
        <v>3</v>
      </c>
    </row>
    <row r="2132">
      <c r="A2132" s="2">
        <f>IFERROR(__xludf.DUMMYFUNCTION("""COMPUTED_VALUE"""),3.0)</f>
        <v>3</v>
      </c>
    </row>
    <row r="2133">
      <c r="A2133" s="2">
        <f>IFERROR(__xludf.DUMMYFUNCTION("""COMPUTED_VALUE"""),3.0)</f>
        <v>3</v>
      </c>
    </row>
    <row r="2134">
      <c r="A2134" s="2">
        <f>IFERROR(__xludf.DUMMYFUNCTION("""COMPUTED_VALUE"""),3.0)</f>
        <v>3</v>
      </c>
    </row>
    <row r="2135">
      <c r="A2135" s="2">
        <f>IFERROR(__xludf.DUMMYFUNCTION("""COMPUTED_VALUE"""),3.0)</f>
        <v>3</v>
      </c>
    </row>
    <row r="2136">
      <c r="A2136" s="2">
        <f>IFERROR(__xludf.DUMMYFUNCTION("""COMPUTED_VALUE"""),3.0)</f>
        <v>3</v>
      </c>
    </row>
    <row r="2137">
      <c r="A2137" s="2">
        <f>IFERROR(__xludf.DUMMYFUNCTION("""COMPUTED_VALUE"""),3.0)</f>
        <v>3</v>
      </c>
    </row>
    <row r="2138">
      <c r="A2138" s="2">
        <f>IFERROR(__xludf.DUMMYFUNCTION("""COMPUTED_VALUE"""),3.0)</f>
        <v>3</v>
      </c>
    </row>
    <row r="2139">
      <c r="A2139" s="2">
        <f>IFERROR(__xludf.DUMMYFUNCTION("""COMPUTED_VALUE"""),3.0)</f>
        <v>3</v>
      </c>
    </row>
    <row r="2140">
      <c r="A2140" s="2">
        <f>IFERROR(__xludf.DUMMYFUNCTION("""COMPUTED_VALUE"""),3.0)</f>
        <v>3</v>
      </c>
    </row>
    <row r="2141">
      <c r="A2141" s="2">
        <f>IFERROR(__xludf.DUMMYFUNCTION("""COMPUTED_VALUE"""),3.0)</f>
        <v>3</v>
      </c>
    </row>
    <row r="2142">
      <c r="A2142" s="2">
        <f>IFERROR(__xludf.DUMMYFUNCTION("""COMPUTED_VALUE"""),3.0)</f>
        <v>3</v>
      </c>
    </row>
    <row r="2143">
      <c r="A2143" s="2">
        <f>IFERROR(__xludf.DUMMYFUNCTION("""COMPUTED_VALUE"""),3.0)</f>
        <v>3</v>
      </c>
    </row>
    <row r="2144">
      <c r="A2144" s="2">
        <f>IFERROR(__xludf.DUMMYFUNCTION("""COMPUTED_VALUE"""),3.0)</f>
        <v>3</v>
      </c>
    </row>
    <row r="2145">
      <c r="A2145" s="2">
        <f>IFERROR(__xludf.DUMMYFUNCTION("""COMPUTED_VALUE"""),4.0)</f>
        <v>4</v>
      </c>
    </row>
    <row r="2146">
      <c r="A2146" s="2">
        <f>IFERROR(__xludf.DUMMYFUNCTION("""COMPUTED_VALUE"""),4.0)</f>
        <v>4</v>
      </c>
    </row>
    <row r="2147">
      <c r="A2147" s="2">
        <f>IFERROR(__xludf.DUMMYFUNCTION("""COMPUTED_VALUE"""),4.0)</f>
        <v>4</v>
      </c>
    </row>
    <row r="2148">
      <c r="A2148" s="2">
        <f>IFERROR(__xludf.DUMMYFUNCTION("""COMPUTED_VALUE"""),5.0)</f>
        <v>5</v>
      </c>
    </row>
    <row r="2149">
      <c r="A2149" s="2">
        <f>IFERROR(__xludf.DUMMYFUNCTION("""COMPUTED_VALUE"""),5.0)</f>
        <v>5</v>
      </c>
    </row>
    <row r="2150">
      <c r="A2150" s="2">
        <f>IFERROR(__xludf.DUMMYFUNCTION("""COMPUTED_VALUE"""),5.0)</f>
        <v>5</v>
      </c>
    </row>
    <row r="2151">
      <c r="A2151" s="2">
        <f>IFERROR(__xludf.DUMMYFUNCTION("""COMPUTED_VALUE"""),5.0)</f>
        <v>5</v>
      </c>
    </row>
    <row r="2152">
      <c r="A2152" s="2">
        <f>IFERROR(__xludf.DUMMYFUNCTION("""COMPUTED_VALUE"""),2.0)</f>
        <v>2</v>
      </c>
    </row>
    <row r="2153">
      <c r="A2153" s="2">
        <f>IFERROR(__xludf.DUMMYFUNCTION("""COMPUTED_VALUE"""),2.0)</f>
        <v>2</v>
      </c>
    </row>
    <row r="2154">
      <c r="A2154" s="2">
        <f>IFERROR(__xludf.DUMMYFUNCTION("""COMPUTED_VALUE"""),2.0)</f>
        <v>2</v>
      </c>
    </row>
    <row r="2155">
      <c r="A2155" s="2">
        <f>IFERROR(__xludf.DUMMYFUNCTION("""COMPUTED_VALUE"""),2.0)</f>
        <v>2</v>
      </c>
    </row>
    <row r="2156">
      <c r="A2156" s="2">
        <f>IFERROR(__xludf.DUMMYFUNCTION("""COMPUTED_VALUE"""),9.0)</f>
        <v>9</v>
      </c>
    </row>
    <row r="2157">
      <c r="A2157" s="2">
        <f>IFERROR(__xludf.DUMMYFUNCTION("""COMPUTED_VALUE"""),9.0)</f>
        <v>9</v>
      </c>
    </row>
    <row r="2158">
      <c r="A2158" s="2">
        <f>IFERROR(__xludf.DUMMYFUNCTION("""COMPUTED_VALUE"""),9.0)</f>
        <v>9</v>
      </c>
    </row>
    <row r="2159">
      <c r="A2159" s="2">
        <f>IFERROR(__xludf.DUMMYFUNCTION("""COMPUTED_VALUE"""),9.0)</f>
        <v>9</v>
      </c>
    </row>
    <row r="2160">
      <c r="A2160" s="2">
        <f>IFERROR(__xludf.DUMMYFUNCTION("""COMPUTED_VALUE"""),9.0)</f>
        <v>9</v>
      </c>
    </row>
    <row r="2161">
      <c r="A2161" s="2">
        <f>IFERROR(__xludf.DUMMYFUNCTION("""COMPUTED_VALUE"""),9.0)</f>
        <v>9</v>
      </c>
    </row>
    <row r="2162">
      <c r="A2162" s="2">
        <f>IFERROR(__xludf.DUMMYFUNCTION("""COMPUTED_VALUE"""),9.0)</f>
        <v>9</v>
      </c>
    </row>
    <row r="2163">
      <c r="A2163" s="2">
        <f>IFERROR(__xludf.DUMMYFUNCTION("""COMPUTED_VALUE"""),9.0)</f>
        <v>9</v>
      </c>
    </row>
    <row r="2164">
      <c r="A2164" s="2">
        <f>IFERROR(__xludf.DUMMYFUNCTION("""COMPUTED_VALUE"""),9.0)</f>
        <v>9</v>
      </c>
    </row>
    <row r="2165">
      <c r="A2165" s="2">
        <f>IFERROR(__xludf.DUMMYFUNCTION("""COMPUTED_VALUE"""),9.0)</f>
        <v>9</v>
      </c>
    </row>
    <row r="2166">
      <c r="A2166" s="2">
        <f>IFERROR(__xludf.DUMMYFUNCTION("""COMPUTED_VALUE"""),8.0)</f>
        <v>8</v>
      </c>
    </row>
    <row r="2167">
      <c r="A2167" s="2">
        <f>IFERROR(__xludf.DUMMYFUNCTION("""COMPUTED_VALUE"""),8.0)</f>
        <v>8</v>
      </c>
    </row>
    <row r="2168">
      <c r="A2168" s="2">
        <f>IFERROR(__xludf.DUMMYFUNCTION("""COMPUTED_VALUE"""),8.0)</f>
        <v>8</v>
      </c>
    </row>
    <row r="2169">
      <c r="A2169" s="2">
        <f>IFERROR(__xludf.DUMMYFUNCTION("""COMPUTED_VALUE"""),8.0)</f>
        <v>8</v>
      </c>
    </row>
    <row r="2170">
      <c r="A2170" s="2">
        <f>IFERROR(__xludf.DUMMYFUNCTION("""COMPUTED_VALUE"""),7.0)</f>
        <v>7</v>
      </c>
    </row>
    <row r="2171">
      <c r="A2171" s="2">
        <f>IFERROR(__xludf.DUMMYFUNCTION("""COMPUTED_VALUE"""),7.0)</f>
        <v>7</v>
      </c>
    </row>
    <row r="2172">
      <c r="A2172" s="2">
        <f>IFERROR(__xludf.DUMMYFUNCTION("""COMPUTED_VALUE"""),4.0)</f>
        <v>4</v>
      </c>
    </row>
    <row r="2173">
      <c r="A2173" s="2">
        <f>IFERROR(__xludf.DUMMYFUNCTION("""COMPUTED_VALUE"""),4.0)</f>
        <v>4</v>
      </c>
    </row>
    <row r="2174">
      <c r="A2174" s="2">
        <f>IFERROR(__xludf.DUMMYFUNCTION("""COMPUTED_VALUE"""),4.0)</f>
        <v>4</v>
      </c>
    </row>
    <row r="2175">
      <c r="A2175" s="2">
        <f>IFERROR(__xludf.DUMMYFUNCTION("""COMPUTED_VALUE"""),4.0)</f>
        <v>4</v>
      </c>
    </row>
    <row r="2176">
      <c r="A2176" s="2">
        <f>IFERROR(__xludf.DUMMYFUNCTION("""COMPUTED_VALUE"""),4.0)</f>
        <v>4</v>
      </c>
    </row>
    <row r="2177">
      <c r="A2177" s="2">
        <f>IFERROR(__xludf.DUMMYFUNCTION("""COMPUTED_VALUE"""),4.0)</f>
        <v>4</v>
      </c>
    </row>
    <row r="2178">
      <c r="A2178" s="2">
        <f>IFERROR(__xludf.DUMMYFUNCTION("""COMPUTED_VALUE"""),4.0)</f>
        <v>4</v>
      </c>
    </row>
    <row r="2179">
      <c r="A2179" s="2">
        <f>IFERROR(__xludf.DUMMYFUNCTION("""COMPUTED_VALUE"""),4.0)</f>
        <v>4</v>
      </c>
    </row>
    <row r="2180">
      <c r="A2180" s="2">
        <f>IFERROR(__xludf.DUMMYFUNCTION("""COMPUTED_VALUE"""),4.0)</f>
        <v>4</v>
      </c>
    </row>
    <row r="2181">
      <c r="A2181" s="2">
        <f>IFERROR(__xludf.DUMMYFUNCTION("""COMPUTED_VALUE"""),4.0)</f>
        <v>4</v>
      </c>
    </row>
    <row r="2182">
      <c r="A2182" s="2">
        <f>IFERROR(__xludf.DUMMYFUNCTION("""COMPUTED_VALUE"""),4.0)</f>
        <v>4</v>
      </c>
    </row>
    <row r="2183">
      <c r="A2183" s="2">
        <f>IFERROR(__xludf.DUMMYFUNCTION("""COMPUTED_VALUE"""),4.0)</f>
        <v>4</v>
      </c>
    </row>
    <row r="2184">
      <c r="A2184" s="2">
        <f>IFERROR(__xludf.DUMMYFUNCTION("""COMPUTED_VALUE"""),4.0)</f>
        <v>4</v>
      </c>
    </row>
    <row r="2185">
      <c r="A2185" s="2">
        <f>IFERROR(__xludf.DUMMYFUNCTION("""COMPUTED_VALUE"""),4.0)</f>
        <v>4</v>
      </c>
    </row>
    <row r="2186">
      <c r="A2186" s="2">
        <f>IFERROR(__xludf.DUMMYFUNCTION("""COMPUTED_VALUE"""),4.0)</f>
        <v>4</v>
      </c>
    </row>
    <row r="2187">
      <c r="A2187" s="2">
        <f>IFERROR(__xludf.DUMMYFUNCTION("""COMPUTED_VALUE"""),4.0)</f>
        <v>4</v>
      </c>
    </row>
    <row r="2188">
      <c r="A2188" s="2">
        <f>IFERROR(__xludf.DUMMYFUNCTION("""COMPUTED_VALUE"""),4.0)</f>
        <v>4</v>
      </c>
    </row>
    <row r="2189">
      <c r="A2189" s="2">
        <f>IFERROR(__xludf.DUMMYFUNCTION("""COMPUTED_VALUE"""),4.0)</f>
        <v>4</v>
      </c>
    </row>
    <row r="2190">
      <c r="A2190" s="2">
        <f>IFERROR(__xludf.DUMMYFUNCTION("""COMPUTED_VALUE"""),4.0)</f>
        <v>4</v>
      </c>
    </row>
    <row r="2191">
      <c r="A2191" s="2">
        <f>IFERROR(__xludf.DUMMYFUNCTION("""COMPUTED_VALUE"""),4.0)</f>
        <v>4</v>
      </c>
    </row>
    <row r="2192">
      <c r="A2192" s="2">
        <f>IFERROR(__xludf.DUMMYFUNCTION("""COMPUTED_VALUE"""),4.0)</f>
        <v>4</v>
      </c>
    </row>
    <row r="2193">
      <c r="A2193" s="2">
        <f>IFERROR(__xludf.DUMMYFUNCTION("""COMPUTED_VALUE"""),4.0)</f>
        <v>4</v>
      </c>
    </row>
    <row r="2194">
      <c r="A2194" s="2">
        <f>IFERROR(__xludf.DUMMYFUNCTION("""COMPUTED_VALUE"""),4.0)</f>
        <v>4</v>
      </c>
    </row>
    <row r="2195">
      <c r="A2195" s="2">
        <f>IFERROR(__xludf.DUMMYFUNCTION("""COMPUTED_VALUE"""),5.0)</f>
        <v>5</v>
      </c>
    </row>
    <row r="2196">
      <c r="A2196" s="2">
        <f>IFERROR(__xludf.DUMMYFUNCTION("""COMPUTED_VALUE"""),5.0)</f>
        <v>5</v>
      </c>
    </row>
    <row r="2197">
      <c r="A2197" s="2">
        <f>IFERROR(__xludf.DUMMYFUNCTION("""COMPUTED_VALUE"""),2.0)</f>
        <v>2</v>
      </c>
    </row>
    <row r="2198">
      <c r="A2198" s="2">
        <f>IFERROR(__xludf.DUMMYFUNCTION("""COMPUTED_VALUE"""),2.0)</f>
        <v>2</v>
      </c>
    </row>
    <row r="2199">
      <c r="A2199" s="2">
        <f>IFERROR(__xludf.DUMMYFUNCTION("""COMPUTED_VALUE"""),2.0)</f>
        <v>2</v>
      </c>
    </row>
    <row r="2200">
      <c r="A2200" s="2">
        <f>IFERROR(__xludf.DUMMYFUNCTION("""COMPUTED_VALUE"""),2.0)</f>
        <v>2</v>
      </c>
    </row>
    <row r="2201">
      <c r="A2201" s="2">
        <f>IFERROR(__xludf.DUMMYFUNCTION("""COMPUTED_VALUE"""),8.0)</f>
        <v>8</v>
      </c>
    </row>
    <row r="2202">
      <c r="A2202" s="2">
        <f>IFERROR(__xludf.DUMMYFUNCTION("""COMPUTED_VALUE"""),8.0)</f>
        <v>8</v>
      </c>
    </row>
    <row r="2203">
      <c r="A2203" s="2">
        <f>IFERROR(__xludf.DUMMYFUNCTION("""COMPUTED_VALUE"""),8.0)</f>
        <v>8</v>
      </c>
    </row>
    <row r="2204">
      <c r="A2204" s="2">
        <f>IFERROR(__xludf.DUMMYFUNCTION("""COMPUTED_VALUE"""),8.0)</f>
        <v>8</v>
      </c>
    </row>
    <row r="2205">
      <c r="A2205" s="2">
        <f>IFERROR(__xludf.DUMMYFUNCTION("""COMPUTED_VALUE"""),8.0)</f>
        <v>8</v>
      </c>
    </row>
    <row r="2206">
      <c r="A2206" s="2">
        <f>IFERROR(__xludf.DUMMYFUNCTION("""COMPUTED_VALUE"""),5.0)</f>
        <v>5</v>
      </c>
    </row>
    <row r="2207">
      <c r="A2207" s="2">
        <f>IFERROR(__xludf.DUMMYFUNCTION("""COMPUTED_VALUE"""),4.0)</f>
        <v>4</v>
      </c>
    </row>
    <row r="2208">
      <c r="A2208" s="2">
        <f>IFERROR(__xludf.DUMMYFUNCTION("""COMPUTED_VALUE"""),3.0)</f>
        <v>3</v>
      </c>
    </row>
    <row r="2209">
      <c r="A2209" s="2">
        <f>IFERROR(__xludf.DUMMYFUNCTION("""COMPUTED_VALUE"""),5.0)</f>
        <v>5</v>
      </c>
    </row>
    <row r="2210">
      <c r="A2210" s="2">
        <f>IFERROR(__xludf.DUMMYFUNCTION("""COMPUTED_VALUE"""),1.0)</f>
        <v>1</v>
      </c>
    </row>
    <row r="2211">
      <c r="A2211" s="2">
        <f>IFERROR(__xludf.DUMMYFUNCTION("""COMPUTED_VALUE"""),1.0)</f>
        <v>1</v>
      </c>
    </row>
    <row r="2212">
      <c r="A2212" s="2">
        <f>IFERROR(__xludf.DUMMYFUNCTION("""COMPUTED_VALUE"""),1.0)</f>
        <v>1</v>
      </c>
    </row>
    <row r="2213">
      <c r="A2213" s="2">
        <f>IFERROR(__xludf.DUMMYFUNCTION("""COMPUTED_VALUE"""),1.0)</f>
        <v>1</v>
      </c>
    </row>
    <row r="2214">
      <c r="A2214" s="2">
        <f>IFERROR(__xludf.DUMMYFUNCTION("""COMPUTED_VALUE"""),1.0)</f>
        <v>1</v>
      </c>
    </row>
    <row r="2215">
      <c r="A2215" s="2">
        <f>IFERROR(__xludf.DUMMYFUNCTION("""COMPUTED_VALUE"""),1.0)</f>
        <v>1</v>
      </c>
    </row>
    <row r="2216">
      <c r="A2216" s="2">
        <f>IFERROR(__xludf.DUMMYFUNCTION("""COMPUTED_VALUE"""),1.0)</f>
        <v>1</v>
      </c>
    </row>
    <row r="2217">
      <c r="A2217" s="2">
        <f>IFERROR(__xludf.DUMMYFUNCTION("""COMPUTED_VALUE"""),1.0)</f>
        <v>1</v>
      </c>
    </row>
    <row r="2218">
      <c r="A2218" s="2">
        <f>IFERROR(__xludf.DUMMYFUNCTION("""COMPUTED_VALUE"""),1.0)</f>
        <v>1</v>
      </c>
    </row>
    <row r="2219">
      <c r="A2219" s="2">
        <f>IFERROR(__xludf.DUMMYFUNCTION("""COMPUTED_VALUE"""),1.0)</f>
        <v>1</v>
      </c>
    </row>
    <row r="2220">
      <c r="A2220" s="2">
        <f>IFERROR(__xludf.DUMMYFUNCTION("""COMPUTED_VALUE"""),5.0)</f>
        <v>5</v>
      </c>
    </row>
    <row r="2221">
      <c r="A2221" s="2">
        <f>IFERROR(__xludf.DUMMYFUNCTION("""COMPUTED_VALUE"""),5.0)</f>
        <v>5</v>
      </c>
    </row>
    <row r="2222">
      <c r="A2222" s="2">
        <f>IFERROR(__xludf.DUMMYFUNCTION("""COMPUTED_VALUE"""),5.0)</f>
        <v>5</v>
      </c>
    </row>
    <row r="2223">
      <c r="A2223" s="2">
        <f>IFERROR(__xludf.DUMMYFUNCTION("""COMPUTED_VALUE"""),5.0)</f>
        <v>5</v>
      </c>
    </row>
    <row r="2224">
      <c r="A2224" s="2">
        <f>IFERROR(__xludf.DUMMYFUNCTION("""COMPUTED_VALUE"""),5.0)</f>
        <v>5</v>
      </c>
    </row>
    <row r="2225">
      <c r="A2225" s="2">
        <f>IFERROR(__xludf.DUMMYFUNCTION("""COMPUTED_VALUE"""),5.0)</f>
        <v>5</v>
      </c>
    </row>
    <row r="2226">
      <c r="A2226" s="2">
        <f>IFERROR(__xludf.DUMMYFUNCTION("""COMPUTED_VALUE"""),7.0)</f>
        <v>7</v>
      </c>
    </row>
    <row r="2227">
      <c r="A2227" s="2">
        <f>IFERROR(__xludf.DUMMYFUNCTION("""COMPUTED_VALUE"""),7.0)</f>
        <v>7</v>
      </c>
    </row>
    <row r="2228">
      <c r="A2228" s="2">
        <f>IFERROR(__xludf.DUMMYFUNCTION("""COMPUTED_VALUE"""),7.0)</f>
        <v>7</v>
      </c>
    </row>
    <row r="2229">
      <c r="A2229" s="2">
        <f>IFERROR(__xludf.DUMMYFUNCTION("""COMPUTED_VALUE"""),6.0)</f>
        <v>6</v>
      </c>
    </row>
    <row r="2230">
      <c r="A2230" s="2">
        <f>IFERROR(__xludf.DUMMYFUNCTION("""COMPUTED_VALUE"""),6.0)</f>
        <v>6</v>
      </c>
    </row>
    <row r="2231">
      <c r="A2231" s="2">
        <f>IFERROR(__xludf.DUMMYFUNCTION("""COMPUTED_VALUE"""),6.0)</f>
        <v>6</v>
      </c>
    </row>
    <row r="2232">
      <c r="A2232" s="2">
        <f>IFERROR(__xludf.DUMMYFUNCTION("""COMPUTED_VALUE"""),6.0)</f>
        <v>6</v>
      </c>
    </row>
    <row r="2233">
      <c r="A2233" s="2">
        <f>IFERROR(__xludf.DUMMYFUNCTION("""COMPUTED_VALUE"""),6.0)</f>
        <v>6</v>
      </c>
    </row>
    <row r="2234">
      <c r="A2234" s="2">
        <f>IFERROR(__xludf.DUMMYFUNCTION("""COMPUTED_VALUE"""),6.0)</f>
        <v>6</v>
      </c>
    </row>
    <row r="2235">
      <c r="A2235" s="2">
        <f>IFERROR(__xludf.DUMMYFUNCTION("""COMPUTED_VALUE"""),6.0)</f>
        <v>6</v>
      </c>
    </row>
    <row r="2236">
      <c r="A2236" s="2">
        <f>IFERROR(__xludf.DUMMYFUNCTION("""COMPUTED_VALUE"""),6.0)</f>
        <v>6</v>
      </c>
    </row>
    <row r="2237">
      <c r="A2237" s="2">
        <f>IFERROR(__xludf.DUMMYFUNCTION("""COMPUTED_VALUE"""),6.0)</f>
        <v>6</v>
      </c>
    </row>
    <row r="2238">
      <c r="A2238" s="2">
        <f>IFERROR(__xludf.DUMMYFUNCTION("""COMPUTED_VALUE"""),5.0)</f>
        <v>5</v>
      </c>
    </row>
    <row r="2239">
      <c r="A2239" s="2">
        <f>IFERROR(__xludf.DUMMYFUNCTION("""COMPUTED_VALUE"""),5.0)</f>
        <v>5</v>
      </c>
    </row>
    <row r="2240">
      <c r="A2240" s="2">
        <f>IFERROR(__xludf.DUMMYFUNCTION("""COMPUTED_VALUE"""),5.0)</f>
        <v>5</v>
      </c>
    </row>
    <row r="2241">
      <c r="A2241" s="2">
        <f>IFERROR(__xludf.DUMMYFUNCTION("""COMPUTED_VALUE"""),5.0)</f>
        <v>5</v>
      </c>
    </row>
    <row r="2242">
      <c r="A2242" s="2">
        <f>IFERROR(__xludf.DUMMYFUNCTION("""COMPUTED_VALUE"""),5.0)</f>
        <v>5</v>
      </c>
    </row>
    <row r="2243">
      <c r="A2243" s="2">
        <f>IFERROR(__xludf.DUMMYFUNCTION("""COMPUTED_VALUE"""),5.0)</f>
        <v>5</v>
      </c>
    </row>
    <row r="2244">
      <c r="A2244" s="2">
        <f>IFERROR(__xludf.DUMMYFUNCTION("""COMPUTED_VALUE"""),5.0)</f>
        <v>5</v>
      </c>
    </row>
    <row r="2245">
      <c r="A2245" s="2">
        <f>IFERROR(__xludf.DUMMYFUNCTION("""COMPUTED_VALUE"""),5.0)</f>
        <v>5</v>
      </c>
    </row>
    <row r="2246">
      <c r="A2246" s="2">
        <f>IFERROR(__xludf.DUMMYFUNCTION("""COMPUTED_VALUE"""),2.0)</f>
        <v>2</v>
      </c>
    </row>
    <row r="2247">
      <c r="A2247" s="2">
        <f>IFERROR(__xludf.DUMMYFUNCTION("""COMPUTED_VALUE"""),2.0)</f>
        <v>2</v>
      </c>
    </row>
    <row r="2248">
      <c r="A2248" s="2">
        <f>IFERROR(__xludf.DUMMYFUNCTION("""COMPUTED_VALUE"""),2.0)</f>
        <v>2</v>
      </c>
    </row>
    <row r="2249">
      <c r="A2249" s="2">
        <f>IFERROR(__xludf.DUMMYFUNCTION("""COMPUTED_VALUE"""),2.0)</f>
        <v>2</v>
      </c>
    </row>
    <row r="2250">
      <c r="A2250" s="2">
        <f>IFERROR(__xludf.DUMMYFUNCTION("""COMPUTED_VALUE"""),2.0)</f>
        <v>2</v>
      </c>
    </row>
    <row r="2251">
      <c r="A2251" s="2">
        <f>IFERROR(__xludf.DUMMYFUNCTION("""COMPUTED_VALUE"""),2.0)</f>
        <v>2</v>
      </c>
    </row>
    <row r="2252">
      <c r="A2252" s="2">
        <f>IFERROR(__xludf.DUMMYFUNCTION("""COMPUTED_VALUE"""),2.0)</f>
        <v>2</v>
      </c>
    </row>
    <row r="2253">
      <c r="A2253" s="2">
        <f>IFERROR(__xludf.DUMMYFUNCTION("""COMPUTED_VALUE"""),3.0)</f>
        <v>3</v>
      </c>
    </row>
    <row r="2254">
      <c r="A2254" s="2">
        <f>IFERROR(__xludf.DUMMYFUNCTION("""COMPUTED_VALUE"""),3.0)</f>
        <v>3</v>
      </c>
    </row>
    <row r="2255">
      <c r="A2255" s="2">
        <f>IFERROR(__xludf.DUMMYFUNCTION("""COMPUTED_VALUE"""),3.0)</f>
        <v>3</v>
      </c>
    </row>
    <row r="2256">
      <c r="A2256" s="2">
        <f>IFERROR(__xludf.DUMMYFUNCTION("""COMPUTED_VALUE"""),3.0)</f>
        <v>3</v>
      </c>
    </row>
    <row r="2257">
      <c r="A2257" s="2">
        <f>IFERROR(__xludf.DUMMYFUNCTION("""COMPUTED_VALUE"""),3.0)</f>
        <v>3</v>
      </c>
    </row>
    <row r="2258">
      <c r="A2258" s="2">
        <f>IFERROR(__xludf.DUMMYFUNCTION("""COMPUTED_VALUE"""),3.0)</f>
        <v>3</v>
      </c>
    </row>
    <row r="2259">
      <c r="A2259" s="2">
        <f>IFERROR(__xludf.DUMMYFUNCTION("""COMPUTED_VALUE"""),3.0)</f>
        <v>3</v>
      </c>
    </row>
    <row r="2260">
      <c r="A2260" s="2">
        <f>IFERROR(__xludf.DUMMYFUNCTION("""COMPUTED_VALUE"""),3.0)</f>
        <v>3</v>
      </c>
    </row>
    <row r="2261">
      <c r="A2261" s="2">
        <f>IFERROR(__xludf.DUMMYFUNCTION("""COMPUTED_VALUE"""),4.0)</f>
        <v>4</v>
      </c>
    </row>
    <row r="2262">
      <c r="A2262" s="2">
        <f>IFERROR(__xludf.DUMMYFUNCTION("""COMPUTED_VALUE"""),4.0)</f>
        <v>4</v>
      </c>
    </row>
    <row r="2263">
      <c r="A2263" s="2">
        <f>IFERROR(__xludf.DUMMYFUNCTION("""COMPUTED_VALUE"""),2.0)</f>
        <v>2</v>
      </c>
    </row>
    <row r="2264">
      <c r="A2264" s="2">
        <f>IFERROR(__xludf.DUMMYFUNCTION("""COMPUTED_VALUE"""),1.0)</f>
        <v>1</v>
      </c>
    </row>
    <row r="2265">
      <c r="A2265" s="2">
        <f>IFERROR(__xludf.DUMMYFUNCTION("""COMPUTED_VALUE"""),1.0)</f>
        <v>1</v>
      </c>
    </row>
    <row r="2266">
      <c r="A2266" s="2">
        <f>IFERROR(__xludf.DUMMYFUNCTION("""COMPUTED_VALUE"""),5.0)</f>
        <v>5</v>
      </c>
    </row>
    <row r="2267">
      <c r="A2267" s="2">
        <f>IFERROR(__xludf.DUMMYFUNCTION("""COMPUTED_VALUE"""),5.0)</f>
        <v>5</v>
      </c>
    </row>
    <row r="2268">
      <c r="A2268" s="2">
        <f>IFERROR(__xludf.DUMMYFUNCTION("""COMPUTED_VALUE"""),5.0)</f>
        <v>5</v>
      </c>
    </row>
    <row r="2269">
      <c r="A2269" s="2">
        <f>IFERROR(__xludf.DUMMYFUNCTION("""COMPUTED_VALUE"""),5.0)</f>
        <v>5</v>
      </c>
    </row>
    <row r="2270">
      <c r="A2270" s="2">
        <f>IFERROR(__xludf.DUMMYFUNCTION("""COMPUTED_VALUE"""),5.0)</f>
        <v>5</v>
      </c>
    </row>
    <row r="2271">
      <c r="A2271" s="2">
        <f>IFERROR(__xludf.DUMMYFUNCTION("""COMPUTED_VALUE"""),5.0)</f>
        <v>5</v>
      </c>
    </row>
    <row r="2272">
      <c r="A2272" s="2">
        <f>IFERROR(__xludf.DUMMYFUNCTION("""COMPUTED_VALUE"""),5.0)</f>
        <v>5</v>
      </c>
    </row>
    <row r="2273">
      <c r="A2273" s="2">
        <f>IFERROR(__xludf.DUMMYFUNCTION("""COMPUTED_VALUE"""),5.0)</f>
        <v>5</v>
      </c>
    </row>
    <row r="2274">
      <c r="A2274" s="2">
        <f>IFERROR(__xludf.DUMMYFUNCTION("""COMPUTED_VALUE"""),1.0)</f>
        <v>1</v>
      </c>
    </row>
    <row r="2275">
      <c r="A2275" s="2">
        <f>IFERROR(__xludf.DUMMYFUNCTION("""COMPUTED_VALUE"""),1.0)</f>
        <v>1</v>
      </c>
    </row>
    <row r="2276">
      <c r="A2276" s="2">
        <f>IFERROR(__xludf.DUMMYFUNCTION("""COMPUTED_VALUE"""),1.0)</f>
        <v>1</v>
      </c>
    </row>
    <row r="2277">
      <c r="A2277" s="2">
        <f>IFERROR(__xludf.DUMMYFUNCTION("""COMPUTED_VALUE"""),6.0)</f>
        <v>6</v>
      </c>
    </row>
    <row r="2278">
      <c r="A2278" s="2">
        <f>IFERROR(__xludf.DUMMYFUNCTION("""COMPUTED_VALUE"""),4.0)</f>
        <v>4</v>
      </c>
    </row>
    <row r="2279">
      <c r="A2279" s="2">
        <f>IFERROR(__xludf.DUMMYFUNCTION("""COMPUTED_VALUE"""),4.0)</f>
        <v>4</v>
      </c>
    </row>
    <row r="2280">
      <c r="A2280" s="2">
        <f>IFERROR(__xludf.DUMMYFUNCTION("""COMPUTED_VALUE"""),5.0)</f>
        <v>5</v>
      </c>
    </row>
    <row r="2281">
      <c r="A2281" s="2">
        <f>IFERROR(__xludf.DUMMYFUNCTION("""COMPUTED_VALUE"""),1.0)</f>
        <v>1</v>
      </c>
    </row>
    <row r="2282">
      <c r="A2282" s="2">
        <f>IFERROR(__xludf.DUMMYFUNCTION("""COMPUTED_VALUE"""),1.0)</f>
        <v>1</v>
      </c>
    </row>
    <row r="2283">
      <c r="A2283" s="2">
        <f>IFERROR(__xludf.DUMMYFUNCTION("""COMPUTED_VALUE"""),6.0)</f>
        <v>6</v>
      </c>
    </row>
    <row r="2284">
      <c r="A2284" s="2">
        <f>IFERROR(__xludf.DUMMYFUNCTION("""COMPUTED_VALUE"""),6.0)</f>
        <v>6</v>
      </c>
    </row>
    <row r="2285">
      <c r="A2285" s="2">
        <f>IFERROR(__xludf.DUMMYFUNCTION("""COMPUTED_VALUE"""),3.0)</f>
        <v>3</v>
      </c>
    </row>
    <row r="2286">
      <c r="A2286" s="2">
        <f>IFERROR(__xludf.DUMMYFUNCTION("""COMPUTED_VALUE"""),3.0)</f>
        <v>3</v>
      </c>
    </row>
    <row r="2287">
      <c r="A2287" s="2">
        <f>IFERROR(__xludf.DUMMYFUNCTION("""COMPUTED_VALUE"""),2.0)</f>
        <v>2</v>
      </c>
    </row>
    <row r="2288">
      <c r="A2288" s="2">
        <f>IFERROR(__xludf.DUMMYFUNCTION("""COMPUTED_VALUE"""),2.0)</f>
        <v>2</v>
      </c>
    </row>
    <row r="2289">
      <c r="A2289" s="2">
        <f>IFERROR(__xludf.DUMMYFUNCTION("""COMPUTED_VALUE"""),2.0)</f>
        <v>2</v>
      </c>
    </row>
    <row r="2290">
      <c r="A2290" s="2">
        <f>IFERROR(__xludf.DUMMYFUNCTION("""COMPUTED_VALUE"""),3.0)</f>
        <v>3</v>
      </c>
    </row>
    <row r="2291">
      <c r="A2291" s="2">
        <f>IFERROR(__xludf.DUMMYFUNCTION("""COMPUTED_VALUE"""),3.0)</f>
        <v>3</v>
      </c>
    </row>
    <row r="2292">
      <c r="A2292" s="2">
        <f>IFERROR(__xludf.DUMMYFUNCTION("""COMPUTED_VALUE"""),3.0)</f>
        <v>3</v>
      </c>
    </row>
    <row r="2293">
      <c r="A2293" s="2">
        <f>IFERROR(__xludf.DUMMYFUNCTION("""COMPUTED_VALUE"""),4.0)</f>
        <v>4</v>
      </c>
    </row>
    <row r="2294">
      <c r="A2294" s="2">
        <f>IFERROR(__xludf.DUMMYFUNCTION("""COMPUTED_VALUE"""),4.0)</f>
        <v>4</v>
      </c>
    </row>
    <row r="2295">
      <c r="A2295" s="2">
        <f>IFERROR(__xludf.DUMMYFUNCTION("""COMPUTED_VALUE"""),3.0)</f>
        <v>3</v>
      </c>
    </row>
    <row r="2296">
      <c r="A2296" s="2">
        <f>IFERROR(__xludf.DUMMYFUNCTION("""COMPUTED_VALUE"""),3.0)</f>
        <v>3</v>
      </c>
    </row>
    <row r="2297">
      <c r="A2297" s="2">
        <f>IFERROR(__xludf.DUMMYFUNCTION("""COMPUTED_VALUE"""),3.0)</f>
        <v>3</v>
      </c>
    </row>
    <row r="2298">
      <c r="A2298" s="2">
        <f>IFERROR(__xludf.DUMMYFUNCTION("""COMPUTED_VALUE"""),1.0)</f>
        <v>1</v>
      </c>
    </row>
    <row r="2299">
      <c r="A2299" s="2">
        <f>IFERROR(__xludf.DUMMYFUNCTION("""COMPUTED_VALUE"""),1.0)</f>
        <v>1</v>
      </c>
    </row>
    <row r="2300">
      <c r="A2300" s="2">
        <f>IFERROR(__xludf.DUMMYFUNCTION("""COMPUTED_VALUE"""),1.0)</f>
        <v>1</v>
      </c>
    </row>
    <row r="2301">
      <c r="A2301" s="2">
        <f>IFERROR(__xludf.DUMMYFUNCTION("""COMPUTED_VALUE"""),1.0)</f>
        <v>1</v>
      </c>
    </row>
    <row r="2302">
      <c r="A2302" s="2">
        <f>IFERROR(__xludf.DUMMYFUNCTION("""COMPUTED_VALUE"""),8.0)</f>
        <v>8</v>
      </c>
    </row>
    <row r="2303">
      <c r="A2303" s="2">
        <f>IFERROR(__xludf.DUMMYFUNCTION("""COMPUTED_VALUE"""),8.0)</f>
        <v>8</v>
      </c>
    </row>
    <row r="2304">
      <c r="A2304" s="2">
        <f>IFERROR(__xludf.DUMMYFUNCTION("""COMPUTED_VALUE"""),9.0)</f>
        <v>9</v>
      </c>
    </row>
    <row r="2305">
      <c r="A2305" s="2">
        <f>IFERROR(__xludf.DUMMYFUNCTION("""COMPUTED_VALUE"""),9.0)</f>
        <v>9</v>
      </c>
    </row>
    <row r="2306">
      <c r="A2306" s="2">
        <f>IFERROR(__xludf.DUMMYFUNCTION("""COMPUTED_VALUE"""),9.0)</f>
        <v>9</v>
      </c>
    </row>
    <row r="2307">
      <c r="A2307" s="2">
        <f>IFERROR(__xludf.DUMMYFUNCTION("""COMPUTED_VALUE"""),9.0)</f>
        <v>9</v>
      </c>
    </row>
    <row r="2308">
      <c r="A2308" s="2">
        <f>IFERROR(__xludf.DUMMYFUNCTION("""COMPUTED_VALUE"""),9.0)</f>
        <v>9</v>
      </c>
    </row>
    <row r="2309">
      <c r="A2309" s="2">
        <f>IFERROR(__xludf.DUMMYFUNCTION("""COMPUTED_VALUE"""),9.0)</f>
        <v>9</v>
      </c>
    </row>
    <row r="2310">
      <c r="A2310" s="2">
        <f>IFERROR(__xludf.DUMMYFUNCTION("""COMPUTED_VALUE"""),9.0)</f>
        <v>9</v>
      </c>
    </row>
    <row r="2311">
      <c r="A2311" s="2">
        <f>IFERROR(__xludf.DUMMYFUNCTION("""COMPUTED_VALUE"""),1.0)</f>
        <v>1</v>
      </c>
    </row>
    <row r="2312">
      <c r="A2312" s="2">
        <f>IFERROR(__xludf.DUMMYFUNCTION("""COMPUTED_VALUE"""),9.0)</f>
        <v>9</v>
      </c>
    </row>
    <row r="2313">
      <c r="A2313" s="2">
        <f>IFERROR(__xludf.DUMMYFUNCTION("""COMPUTED_VALUE"""),9.0)</f>
        <v>9</v>
      </c>
    </row>
    <row r="2314">
      <c r="A2314" s="2">
        <f>IFERROR(__xludf.DUMMYFUNCTION("""COMPUTED_VALUE"""),9.0)</f>
        <v>9</v>
      </c>
    </row>
    <row r="2315">
      <c r="A2315" s="2">
        <f>IFERROR(__xludf.DUMMYFUNCTION("""COMPUTED_VALUE"""),9.0)</f>
        <v>9</v>
      </c>
    </row>
    <row r="2316">
      <c r="A2316" s="2">
        <f>IFERROR(__xludf.DUMMYFUNCTION("""COMPUTED_VALUE"""),9.0)</f>
        <v>9</v>
      </c>
    </row>
    <row r="2317">
      <c r="A2317" s="2">
        <f>IFERROR(__xludf.DUMMYFUNCTION("""COMPUTED_VALUE"""),9.0)</f>
        <v>9</v>
      </c>
    </row>
    <row r="2318">
      <c r="A2318" s="2">
        <f>IFERROR(__xludf.DUMMYFUNCTION("""COMPUTED_VALUE"""),9.0)</f>
        <v>9</v>
      </c>
    </row>
    <row r="2319">
      <c r="A2319" s="2">
        <f>IFERROR(__xludf.DUMMYFUNCTION("""COMPUTED_VALUE"""),9.0)</f>
        <v>9</v>
      </c>
    </row>
    <row r="2320">
      <c r="A2320" s="2">
        <f>IFERROR(__xludf.DUMMYFUNCTION("""COMPUTED_VALUE"""),9.0)</f>
        <v>9</v>
      </c>
    </row>
    <row r="2321">
      <c r="A2321" s="2">
        <f>IFERROR(__xludf.DUMMYFUNCTION("""COMPUTED_VALUE"""),9.0)</f>
        <v>9</v>
      </c>
    </row>
    <row r="2322">
      <c r="A2322" s="2">
        <f>IFERROR(__xludf.DUMMYFUNCTION("""COMPUTED_VALUE"""),9.0)</f>
        <v>9</v>
      </c>
    </row>
    <row r="2323">
      <c r="A2323" s="2">
        <f>IFERROR(__xludf.DUMMYFUNCTION("""COMPUTED_VALUE"""),9.0)</f>
        <v>9</v>
      </c>
    </row>
    <row r="2324">
      <c r="A2324" s="2">
        <f>IFERROR(__xludf.DUMMYFUNCTION("""COMPUTED_VALUE"""),9.0)</f>
        <v>9</v>
      </c>
    </row>
    <row r="2325">
      <c r="A2325" s="2">
        <f>IFERROR(__xludf.DUMMYFUNCTION("""COMPUTED_VALUE"""),9.0)</f>
        <v>9</v>
      </c>
    </row>
    <row r="2326">
      <c r="A2326" s="2">
        <f>IFERROR(__xludf.DUMMYFUNCTION("""COMPUTED_VALUE"""),9.0)</f>
        <v>9</v>
      </c>
    </row>
    <row r="2327">
      <c r="A2327" s="2">
        <f>IFERROR(__xludf.DUMMYFUNCTION("""COMPUTED_VALUE"""),9.0)</f>
        <v>9</v>
      </c>
    </row>
    <row r="2328">
      <c r="A2328" s="2">
        <f>IFERROR(__xludf.DUMMYFUNCTION("""COMPUTED_VALUE"""),9.0)</f>
        <v>9</v>
      </c>
    </row>
    <row r="2329">
      <c r="A2329" s="2">
        <f>IFERROR(__xludf.DUMMYFUNCTION("""COMPUTED_VALUE"""),9.0)</f>
        <v>9</v>
      </c>
    </row>
    <row r="2330">
      <c r="A2330" s="2">
        <f>IFERROR(__xludf.DUMMYFUNCTION("""COMPUTED_VALUE"""),9.0)</f>
        <v>9</v>
      </c>
    </row>
    <row r="2331">
      <c r="A2331" s="2">
        <f>IFERROR(__xludf.DUMMYFUNCTION("""COMPUTED_VALUE"""),9.0)</f>
        <v>9</v>
      </c>
    </row>
    <row r="2332">
      <c r="A2332" s="2">
        <f>IFERROR(__xludf.DUMMYFUNCTION("""COMPUTED_VALUE"""),9.0)</f>
        <v>9</v>
      </c>
    </row>
    <row r="2333">
      <c r="A2333" s="2">
        <f>IFERROR(__xludf.DUMMYFUNCTION("""COMPUTED_VALUE"""),9.0)</f>
        <v>9</v>
      </c>
    </row>
    <row r="2334">
      <c r="A2334" s="2">
        <f>IFERROR(__xludf.DUMMYFUNCTION("""COMPUTED_VALUE"""),9.0)</f>
        <v>9</v>
      </c>
    </row>
    <row r="2335">
      <c r="A2335" s="2">
        <f>IFERROR(__xludf.DUMMYFUNCTION("""COMPUTED_VALUE"""),9.0)</f>
        <v>9</v>
      </c>
    </row>
    <row r="2336">
      <c r="A2336" s="2">
        <f>IFERROR(__xludf.DUMMYFUNCTION("""COMPUTED_VALUE"""),9.0)</f>
        <v>9</v>
      </c>
    </row>
    <row r="2337">
      <c r="A2337" s="2">
        <f>IFERROR(__xludf.DUMMYFUNCTION("""COMPUTED_VALUE"""),9.0)</f>
        <v>9</v>
      </c>
    </row>
    <row r="2338">
      <c r="A2338" s="2">
        <f>IFERROR(__xludf.DUMMYFUNCTION("""COMPUTED_VALUE"""),9.0)</f>
        <v>9</v>
      </c>
    </row>
    <row r="2339">
      <c r="A2339" s="2">
        <f>IFERROR(__xludf.DUMMYFUNCTION("""COMPUTED_VALUE"""),9.0)</f>
        <v>9</v>
      </c>
    </row>
    <row r="2340">
      <c r="A2340" s="2">
        <f>IFERROR(__xludf.DUMMYFUNCTION("""COMPUTED_VALUE"""),6.0)</f>
        <v>6</v>
      </c>
    </row>
    <row r="2341">
      <c r="A2341" s="2">
        <f>IFERROR(__xludf.DUMMYFUNCTION("""COMPUTED_VALUE"""),6.0)</f>
        <v>6</v>
      </c>
    </row>
    <row r="2342">
      <c r="A2342" s="2">
        <f>IFERROR(__xludf.DUMMYFUNCTION("""COMPUTED_VALUE"""),6.0)</f>
        <v>6</v>
      </c>
    </row>
    <row r="2343">
      <c r="A2343" s="2">
        <f>IFERROR(__xludf.DUMMYFUNCTION("""COMPUTED_VALUE"""),6.0)</f>
        <v>6</v>
      </c>
    </row>
    <row r="2344">
      <c r="A2344" s="2">
        <f>IFERROR(__xludf.DUMMYFUNCTION("""COMPUTED_VALUE"""),6.0)</f>
        <v>6</v>
      </c>
    </row>
    <row r="2345">
      <c r="A2345" s="2">
        <f>IFERROR(__xludf.DUMMYFUNCTION("""COMPUTED_VALUE"""),6.0)</f>
        <v>6</v>
      </c>
    </row>
    <row r="2346">
      <c r="A2346" s="2">
        <f>IFERROR(__xludf.DUMMYFUNCTION("""COMPUTED_VALUE"""),5.0)</f>
        <v>5</v>
      </c>
    </row>
    <row r="2347">
      <c r="A2347" s="2">
        <f>IFERROR(__xludf.DUMMYFUNCTION("""COMPUTED_VALUE"""),5.0)</f>
        <v>5</v>
      </c>
    </row>
    <row r="2348">
      <c r="A2348" s="2">
        <f>IFERROR(__xludf.DUMMYFUNCTION("""COMPUTED_VALUE"""),5.0)</f>
        <v>5</v>
      </c>
    </row>
    <row r="2349">
      <c r="A2349" s="2">
        <f>IFERROR(__xludf.DUMMYFUNCTION("""COMPUTED_VALUE"""),5.0)</f>
        <v>5</v>
      </c>
    </row>
    <row r="2350">
      <c r="A2350" s="2">
        <f>IFERROR(__xludf.DUMMYFUNCTION("""COMPUTED_VALUE"""),7.0)</f>
        <v>7</v>
      </c>
    </row>
    <row r="2351">
      <c r="A2351" s="2">
        <f>IFERROR(__xludf.DUMMYFUNCTION("""COMPUTED_VALUE"""),7.0)</f>
        <v>7</v>
      </c>
    </row>
    <row r="2352">
      <c r="A2352" s="2">
        <f>IFERROR(__xludf.DUMMYFUNCTION("""COMPUTED_VALUE"""),7.0)</f>
        <v>7</v>
      </c>
    </row>
    <row r="2353">
      <c r="A2353" s="2">
        <f>IFERROR(__xludf.DUMMYFUNCTION("""COMPUTED_VALUE"""),7.0)</f>
        <v>7</v>
      </c>
    </row>
    <row r="2354">
      <c r="A2354" s="2">
        <f>IFERROR(__xludf.DUMMYFUNCTION("""COMPUTED_VALUE"""),7.0)</f>
        <v>7</v>
      </c>
    </row>
    <row r="2355">
      <c r="A2355" s="2">
        <f>IFERROR(__xludf.DUMMYFUNCTION("""COMPUTED_VALUE"""),7.0)</f>
        <v>7</v>
      </c>
    </row>
    <row r="2356">
      <c r="A2356" s="2">
        <f>IFERROR(__xludf.DUMMYFUNCTION("""COMPUTED_VALUE"""),7.0)</f>
        <v>7</v>
      </c>
    </row>
    <row r="2357">
      <c r="A2357" s="2">
        <f>IFERROR(__xludf.DUMMYFUNCTION("""COMPUTED_VALUE"""),7.0)</f>
        <v>7</v>
      </c>
    </row>
    <row r="2358">
      <c r="A2358" s="2">
        <f>IFERROR(__xludf.DUMMYFUNCTION("""COMPUTED_VALUE"""),7.0)</f>
        <v>7</v>
      </c>
    </row>
    <row r="2359">
      <c r="A2359" s="2">
        <f>IFERROR(__xludf.DUMMYFUNCTION("""COMPUTED_VALUE"""),7.0)</f>
        <v>7</v>
      </c>
    </row>
    <row r="2360">
      <c r="A2360" s="2">
        <f>IFERROR(__xludf.DUMMYFUNCTION("""COMPUTED_VALUE"""),3.0)</f>
        <v>3</v>
      </c>
    </row>
    <row r="2361">
      <c r="A2361" s="2">
        <f>IFERROR(__xludf.DUMMYFUNCTION("""COMPUTED_VALUE"""),4.0)</f>
        <v>4</v>
      </c>
    </row>
    <row r="2362">
      <c r="A2362" s="2">
        <f>IFERROR(__xludf.DUMMYFUNCTION("""COMPUTED_VALUE"""),4.0)</f>
        <v>4</v>
      </c>
    </row>
    <row r="2363">
      <c r="A2363" s="2">
        <f>IFERROR(__xludf.DUMMYFUNCTION("""COMPUTED_VALUE"""),7.0)</f>
        <v>7</v>
      </c>
    </row>
    <row r="2364">
      <c r="A2364" s="2">
        <f>IFERROR(__xludf.DUMMYFUNCTION("""COMPUTED_VALUE"""),7.0)</f>
        <v>7</v>
      </c>
    </row>
    <row r="2365">
      <c r="A2365" s="2">
        <f>IFERROR(__xludf.DUMMYFUNCTION("""COMPUTED_VALUE"""),7.0)</f>
        <v>7</v>
      </c>
    </row>
    <row r="2366">
      <c r="A2366" s="2">
        <f>IFERROR(__xludf.DUMMYFUNCTION("""COMPUTED_VALUE"""),7.0)</f>
        <v>7</v>
      </c>
    </row>
    <row r="2367">
      <c r="A2367" s="2">
        <f>IFERROR(__xludf.DUMMYFUNCTION("""COMPUTED_VALUE"""),6.0)</f>
        <v>6</v>
      </c>
    </row>
    <row r="2368">
      <c r="A2368" s="2">
        <f>IFERROR(__xludf.DUMMYFUNCTION("""COMPUTED_VALUE"""),6.0)</f>
        <v>6</v>
      </c>
    </row>
    <row r="2369">
      <c r="A2369" s="2">
        <f>IFERROR(__xludf.DUMMYFUNCTION("""COMPUTED_VALUE"""),6.0)</f>
        <v>6</v>
      </c>
    </row>
    <row r="2370">
      <c r="A2370" s="2">
        <f>IFERROR(__xludf.DUMMYFUNCTION("""COMPUTED_VALUE"""),6.0)</f>
        <v>6</v>
      </c>
    </row>
    <row r="2371">
      <c r="A2371" s="2">
        <f>IFERROR(__xludf.DUMMYFUNCTION("""COMPUTED_VALUE"""),6.0)</f>
        <v>6</v>
      </c>
    </row>
    <row r="2372">
      <c r="A2372" s="2">
        <f>IFERROR(__xludf.DUMMYFUNCTION("""COMPUTED_VALUE"""),6.0)</f>
        <v>6</v>
      </c>
    </row>
    <row r="2373">
      <c r="A2373" s="2">
        <f>IFERROR(__xludf.DUMMYFUNCTION("""COMPUTED_VALUE"""),6.0)</f>
        <v>6</v>
      </c>
    </row>
    <row r="2374">
      <c r="A2374" s="2">
        <f>IFERROR(__xludf.DUMMYFUNCTION("""COMPUTED_VALUE"""),6.0)</f>
        <v>6</v>
      </c>
    </row>
    <row r="2375">
      <c r="A2375" s="2">
        <f>IFERROR(__xludf.DUMMYFUNCTION("""COMPUTED_VALUE"""),6.0)</f>
        <v>6</v>
      </c>
    </row>
    <row r="2376">
      <c r="A2376" s="2">
        <f>IFERROR(__xludf.DUMMYFUNCTION("""COMPUTED_VALUE"""),6.0)</f>
        <v>6</v>
      </c>
    </row>
    <row r="2377">
      <c r="A2377" s="2">
        <f>IFERROR(__xludf.DUMMYFUNCTION("""COMPUTED_VALUE"""),6.0)</f>
        <v>6</v>
      </c>
    </row>
    <row r="2378">
      <c r="A2378" s="2">
        <f>IFERROR(__xludf.DUMMYFUNCTION("""COMPUTED_VALUE"""),6.0)</f>
        <v>6</v>
      </c>
    </row>
    <row r="2379">
      <c r="A2379" s="2">
        <f>IFERROR(__xludf.DUMMYFUNCTION("""COMPUTED_VALUE"""),9.0)</f>
        <v>9</v>
      </c>
    </row>
    <row r="2380">
      <c r="A2380" s="2">
        <f>IFERROR(__xludf.DUMMYFUNCTION("""COMPUTED_VALUE"""),9.0)</f>
        <v>9</v>
      </c>
    </row>
    <row r="2381">
      <c r="A2381" s="2">
        <f>IFERROR(__xludf.DUMMYFUNCTION("""COMPUTED_VALUE"""),9.0)</f>
        <v>9</v>
      </c>
    </row>
    <row r="2382">
      <c r="A2382" s="2">
        <f>IFERROR(__xludf.DUMMYFUNCTION("""COMPUTED_VALUE"""),9.0)</f>
        <v>9</v>
      </c>
    </row>
    <row r="2383">
      <c r="A2383" s="2">
        <f>IFERROR(__xludf.DUMMYFUNCTION("""COMPUTED_VALUE"""),9.0)</f>
        <v>9</v>
      </c>
    </row>
    <row r="2384">
      <c r="A2384" s="2">
        <f>IFERROR(__xludf.DUMMYFUNCTION("""COMPUTED_VALUE"""),9.0)</f>
        <v>9</v>
      </c>
    </row>
    <row r="2385">
      <c r="A2385" s="2">
        <f>IFERROR(__xludf.DUMMYFUNCTION("""COMPUTED_VALUE"""),9.0)</f>
        <v>9</v>
      </c>
    </row>
    <row r="2386">
      <c r="A2386" s="2">
        <f>IFERROR(__xludf.DUMMYFUNCTION("""COMPUTED_VALUE"""),9.0)</f>
        <v>9</v>
      </c>
    </row>
    <row r="2387">
      <c r="A2387" s="2">
        <f>IFERROR(__xludf.DUMMYFUNCTION("""COMPUTED_VALUE"""),9.0)</f>
        <v>9</v>
      </c>
    </row>
    <row r="2388">
      <c r="A2388" s="2">
        <f>IFERROR(__xludf.DUMMYFUNCTION("""COMPUTED_VALUE"""),9.0)</f>
        <v>9</v>
      </c>
    </row>
    <row r="2389">
      <c r="A2389" s="2">
        <f>IFERROR(__xludf.DUMMYFUNCTION("""COMPUTED_VALUE"""),9.0)</f>
        <v>9</v>
      </c>
    </row>
    <row r="2390">
      <c r="A2390" s="2">
        <f>IFERROR(__xludf.DUMMYFUNCTION("""COMPUTED_VALUE"""),9.0)</f>
        <v>9</v>
      </c>
    </row>
    <row r="2391">
      <c r="A2391" s="2">
        <f>IFERROR(__xludf.DUMMYFUNCTION("""COMPUTED_VALUE"""),9.0)</f>
        <v>9</v>
      </c>
    </row>
    <row r="2392">
      <c r="A2392" s="2">
        <f>IFERROR(__xludf.DUMMYFUNCTION("""COMPUTED_VALUE"""),9.0)</f>
        <v>9</v>
      </c>
    </row>
    <row r="2393">
      <c r="A2393" s="2">
        <f>IFERROR(__xludf.DUMMYFUNCTION("""COMPUTED_VALUE"""),9.0)</f>
        <v>9</v>
      </c>
    </row>
    <row r="2394">
      <c r="A2394" s="2">
        <f>IFERROR(__xludf.DUMMYFUNCTION("""COMPUTED_VALUE"""),4.0)</f>
        <v>4</v>
      </c>
    </row>
    <row r="2395">
      <c r="A2395" s="2">
        <f>IFERROR(__xludf.DUMMYFUNCTION("""COMPUTED_VALUE"""),9.0)</f>
        <v>9</v>
      </c>
    </row>
    <row r="2396">
      <c r="A2396" s="2">
        <f>IFERROR(__xludf.DUMMYFUNCTION("""COMPUTED_VALUE"""),9.0)</f>
        <v>9</v>
      </c>
    </row>
    <row r="2397">
      <c r="A2397" s="2">
        <f>IFERROR(__xludf.DUMMYFUNCTION("""COMPUTED_VALUE"""),9.0)</f>
        <v>9</v>
      </c>
    </row>
    <row r="2398">
      <c r="A2398" s="2">
        <f>IFERROR(__xludf.DUMMYFUNCTION("""COMPUTED_VALUE"""),9.0)</f>
        <v>9</v>
      </c>
    </row>
    <row r="2399">
      <c r="A2399" s="2">
        <f>IFERROR(__xludf.DUMMYFUNCTION("""COMPUTED_VALUE"""),5.0)</f>
        <v>5</v>
      </c>
    </row>
    <row r="2400">
      <c r="A2400" s="2">
        <f>IFERROR(__xludf.DUMMYFUNCTION("""COMPUTED_VALUE"""),5.0)</f>
        <v>5</v>
      </c>
    </row>
    <row r="2401">
      <c r="A2401" s="2">
        <f>IFERROR(__xludf.DUMMYFUNCTION("""COMPUTED_VALUE"""),5.0)</f>
        <v>5</v>
      </c>
    </row>
    <row r="2402">
      <c r="A2402" s="2">
        <f>IFERROR(__xludf.DUMMYFUNCTION("""COMPUTED_VALUE"""),5.0)</f>
        <v>5</v>
      </c>
    </row>
    <row r="2403">
      <c r="A2403" s="2">
        <f>IFERROR(__xludf.DUMMYFUNCTION("""COMPUTED_VALUE"""),5.0)</f>
        <v>5</v>
      </c>
    </row>
    <row r="2404">
      <c r="A2404" s="2">
        <f>IFERROR(__xludf.DUMMYFUNCTION("""COMPUTED_VALUE"""),5.0)</f>
        <v>5</v>
      </c>
    </row>
    <row r="2405">
      <c r="A2405" s="2">
        <f>IFERROR(__xludf.DUMMYFUNCTION("""COMPUTED_VALUE"""),5.0)</f>
        <v>5</v>
      </c>
    </row>
    <row r="2406">
      <c r="A2406" s="2">
        <f>IFERROR(__xludf.DUMMYFUNCTION("""COMPUTED_VALUE"""),5.0)</f>
        <v>5</v>
      </c>
    </row>
    <row r="2407">
      <c r="A2407" s="2">
        <f>IFERROR(__xludf.DUMMYFUNCTION("""COMPUTED_VALUE"""),5.0)</f>
        <v>5</v>
      </c>
    </row>
    <row r="2408">
      <c r="A2408" s="2">
        <f>IFERROR(__xludf.DUMMYFUNCTION("""COMPUTED_VALUE"""),5.0)</f>
        <v>5</v>
      </c>
    </row>
    <row r="2409">
      <c r="A2409" s="2">
        <f>IFERROR(__xludf.DUMMYFUNCTION("""COMPUTED_VALUE"""),5.0)</f>
        <v>5</v>
      </c>
    </row>
    <row r="2410">
      <c r="A2410" s="2">
        <f>IFERROR(__xludf.DUMMYFUNCTION("""COMPUTED_VALUE"""),5.0)</f>
        <v>5</v>
      </c>
    </row>
    <row r="2411">
      <c r="A2411" s="2">
        <f>IFERROR(__xludf.DUMMYFUNCTION("""COMPUTED_VALUE"""),7.0)</f>
        <v>7</v>
      </c>
    </row>
    <row r="2412">
      <c r="A2412" s="2">
        <f>IFERROR(__xludf.DUMMYFUNCTION("""COMPUTED_VALUE"""),7.0)</f>
        <v>7</v>
      </c>
    </row>
    <row r="2413">
      <c r="A2413" s="2">
        <f>IFERROR(__xludf.DUMMYFUNCTION("""COMPUTED_VALUE"""),7.0)</f>
        <v>7</v>
      </c>
    </row>
    <row r="2414">
      <c r="A2414" s="2">
        <f>IFERROR(__xludf.DUMMYFUNCTION("""COMPUTED_VALUE"""),7.0)</f>
        <v>7</v>
      </c>
    </row>
    <row r="2415">
      <c r="A2415" s="2">
        <f>IFERROR(__xludf.DUMMYFUNCTION("""COMPUTED_VALUE"""),7.0)</f>
        <v>7</v>
      </c>
    </row>
    <row r="2416">
      <c r="A2416" s="2">
        <f>IFERROR(__xludf.DUMMYFUNCTION("""COMPUTED_VALUE"""),7.0)</f>
        <v>7</v>
      </c>
    </row>
    <row r="2417">
      <c r="A2417" s="2">
        <f>IFERROR(__xludf.DUMMYFUNCTION("""COMPUTED_VALUE"""),7.0)</f>
        <v>7</v>
      </c>
    </row>
    <row r="2418">
      <c r="A2418" s="2">
        <f>IFERROR(__xludf.DUMMYFUNCTION("""COMPUTED_VALUE"""),9.0)</f>
        <v>9</v>
      </c>
    </row>
    <row r="2419">
      <c r="A2419" s="2">
        <f>IFERROR(__xludf.DUMMYFUNCTION("""COMPUTED_VALUE"""),1.0)</f>
        <v>1</v>
      </c>
    </row>
    <row r="2420">
      <c r="A2420" s="2">
        <f>IFERROR(__xludf.DUMMYFUNCTION("""COMPUTED_VALUE"""),1.0)</f>
        <v>1</v>
      </c>
    </row>
    <row r="2421">
      <c r="A2421" s="2">
        <f>IFERROR(__xludf.DUMMYFUNCTION("""COMPUTED_VALUE"""),1.0)</f>
        <v>1</v>
      </c>
    </row>
    <row r="2422">
      <c r="A2422" s="2">
        <f>IFERROR(__xludf.DUMMYFUNCTION("""COMPUTED_VALUE"""),1.0)</f>
        <v>1</v>
      </c>
    </row>
    <row r="2423">
      <c r="A2423" s="2">
        <f>IFERROR(__xludf.DUMMYFUNCTION("""COMPUTED_VALUE"""),1.0)</f>
        <v>1</v>
      </c>
    </row>
    <row r="2424">
      <c r="A2424" s="2">
        <f>IFERROR(__xludf.DUMMYFUNCTION("""COMPUTED_VALUE"""),1.0)</f>
        <v>1</v>
      </c>
    </row>
    <row r="2425">
      <c r="A2425" s="2">
        <f>IFERROR(__xludf.DUMMYFUNCTION("""COMPUTED_VALUE"""),1.0)</f>
        <v>1</v>
      </c>
    </row>
    <row r="2426">
      <c r="A2426" s="2">
        <f>IFERROR(__xludf.DUMMYFUNCTION("""COMPUTED_VALUE"""),1.0)</f>
        <v>1</v>
      </c>
    </row>
    <row r="2427">
      <c r="A2427" s="2">
        <f>IFERROR(__xludf.DUMMYFUNCTION("""COMPUTED_VALUE"""),1.0)</f>
        <v>1</v>
      </c>
    </row>
    <row r="2428">
      <c r="A2428" s="2">
        <f>IFERROR(__xludf.DUMMYFUNCTION("""COMPUTED_VALUE"""),1.0)</f>
        <v>1</v>
      </c>
    </row>
    <row r="2429">
      <c r="A2429" s="2">
        <f>IFERROR(__xludf.DUMMYFUNCTION("""COMPUTED_VALUE"""),1.0)</f>
        <v>1</v>
      </c>
    </row>
    <row r="2430">
      <c r="A2430" s="2">
        <f>IFERROR(__xludf.DUMMYFUNCTION("""COMPUTED_VALUE"""),1.0)</f>
        <v>1</v>
      </c>
    </row>
    <row r="2431">
      <c r="A2431" s="2">
        <f>IFERROR(__xludf.DUMMYFUNCTION("""COMPUTED_VALUE"""),1.0)</f>
        <v>1</v>
      </c>
    </row>
    <row r="2432">
      <c r="A2432" s="2">
        <f>IFERROR(__xludf.DUMMYFUNCTION("""COMPUTED_VALUE"""),1.0)</f>
        <v>1</v>
      </c>
    </row>
    <row r="2433">
      <c r="A2433" s="2">
        <f>IFERROR(__xludf.DUMMYFUNCTION("""COMPUTED_VALUE"""),1.0)</f>
        <v>1</v>
      </c>
    </row>
    <row r="2434">
      <c r="A2434" s="2">
        <f>IFERROR(__xludf.DUMMYFUNCTION("""COMPUTED_VALUE"""),1.0)</f>
        <v>1</v>
      </c>
    </row>
    <row r="2435">
      <c r="A2435" s="2">
        <f>IFERROR(__xludf.DUMMYFUNCTION("""COMPUTED_VALUE"""),1.0)</f>
        <v>1</v>
      </c>
    </row>
    <row r="2436">
      <c r="A2436" s="2">
        <f>IFERROR(__xludf.DUMMYFUNCTION("""COMPUTED_VALUE"""),1.0)</f>
        <v>1</v>
      </c>
    </row>
    <row r="2437">
      <c r="A2437" s="2">
        <f>IFERROR(__xludf.DUMMYFUNCTION("""COMPUTED_VALUE"""),1.0)</f>
        <v>1</v>
      </c>
    </row>
    <row r="2438">
      <c r="A2438" s="2">
        <f>IFERROR(__xludf.DUMMYFUNCTION("""COMPUTED_VALUE"""),1.0)</f>
        <v>1</v>
      </c>
    </row>
    <row r="2439">
      <c r="A2439" s="2">
        <f>IFERROR(__xludf.DUMMYFUNCTION("""COMPUTED_VALUE"""),1.0)</f>
        <v>1</v>
      </c>
    </row>
    <row r="2440">
      <c r="A2440" s="2">
        <f>IFERROR(__xludf.DUMMYFUNCTION("""COMPUTED_VALUE"""),1.0)</f>
        <v>1</v>
      </c>
    </row>
    <row r="2441">
      <c r="A2441" s="2">
        <f>IFERROR(__xludf.DUMMYFUNCTION("""COMPUTED_VALUE"""),2.0)</f>
        <v>2</v>
      </c>
    </row>
    <row r="2442">
      <c r="A2442" s="2">
        <f>IFERROR(__xludf.DUMMYFUNCTION("""COMPUTED_VALUE"""),2.0)</f>
        <v>2</v>
      </c>
    </row>
    <row r="2443">
      <c r="A2443" s="2">
        <f>IFERROR(__xludf.DUMMYFUNCTION("""COMPUTED_VALUE"""),2.0)</f>
        <v>2</v>
      </c>
    </row>
    <row r="2444">
      <c r="A2444" s="2">
        <f>IFERROR(__xludf.DUMMYFUNCTION("""COMPUTED_VALUE"""),2.0)</f>
        <v>2</v>
      </c>
    </row>
    <row r="2445">
      <c r="A2445" s="2">
        <f>IFERROR(__xludf.DUMMYFUNCTION("""COMPUTED_VALUE"""),2.0)</f>
        <v>2</v>
      </c>
    </row>
    <row r="2446">
      <c r="A2446" s="2">
        <f>IFERROR(__xludf.DUMMYFUNCTION("""COMPUTED_VALUE"""),2.0)</f>
        <v>2</v>
      </c>
    </row>
    <row r="2447">
      <c r="A2447" s="2">
        <f>IFERROR(__xludf.DUMMYFUNCTION("""COMPUTED_VALUE"""),2.0)</f>
        <v>2</v>
      </c>
    </row>
    <row r="2448">
      <c r="A2448" s="2">
        <f>IFERROR(__xludf.DUMMYFUNCTION("""COMPUTED_VALUE"""),2.0)</f>
        <v>2</v>
      </c>
    </row>
    <row r="2449">
      <c r="A2449" s="2">
        <f>IFERROR(__xludf.DUMMYFUNCTION("""COMPUTED_VALUE"""),2.0)</f>
        <v>2</v>
      </c>
    </row>
    <row r="2450">
      <c r="A2450" s="2">
        <f>IFERROR(__xludf.DUMMYFUNCTION("""COMPUTED_VALUE"""),2.0)</f>
        <v>2</v>
      </c>
    </row>
    <row r="2451">
      <c r="A2451" s="2">
        <f>IFERROR(__xludf.DUMMYFUNCTION("""COMPUTED_VALUE"""),2.0)</f>
        <v>2</v>
      </c>
    </row>
    <row r="2452">
      <c r="A2452" s="2">
        <f>IFERROR(__xludf.DUMMYFUNCTION("""COMPUTED_VALUE"""),2.0)</f>
        <v>2</v>
      </c>
    </row>
    <row r="2453">
      <c r="A2453" s="2">
        <f>IFERROR(__xludf.DUMMYFUNCTION("""COMPUTED_VALUE"""),2.0)</f>
        <v>2</v>
      </c>
    </row>
    <row r="2454">
      <c r="A2454" s="2">
        <f>IFERROR(__xludf.DUMMYFUNCTION("""COMPUTED_VALUE"""),2.0)</f>
        <v>2</v>
      </c>
    </row>
    <row r="2455">
      <c r="A2455" s="2">
        <f>IFERROR(__xludf.DUMMYFUNCTION("""COMPUTED_VALUE"""),2.0)</f>
        <v>2</v>
      </c>
    </row>
    <row r="2456">
      <c r="A2456" s="2">
        <f>IFERROR(__xludf.DUMMYFUNCTION("""COMPUTED_VALUE"""),2.0)</f>
        <v>2</v>
      </c>
    </row>
    <row r="2457">
      <c r="A2457" s="2">
        <f>IFERROR(__xludf.DUMMYFUNCTION("""COMPUTED_VALUE"""),2.0)</f>
        <v>2</v>
      </c>
    </row>
    <row r="2458">
      <c r="A2458" s="2">
        <f>IFERROR(__xludf.DUMMYFUNCTION("""COMPUTED_VALUE"""),2.0)</f>
        <v>2</v>
      </c>
    </row>
    <row r="2459">
      <c r="A2459" s="2">
        <f>IFERROR(__xludf.DUMMYFUNCTION("""COMPUTED_VALUE"""),2.0)</f>
        <v>2</v>
      </c>
    </row>
    <row r="2460">
      <c r="A2460" s="2">
        <f>IFERROR(__xludf.DUMMYFUNCTION("""COMPUTED_VALUE"""),2.0)</f>
        <v>2</v>
      </c>
    </row>
    <row r="2461">
      <c r="A2461" s="2">
        <f>IFERROR(__xludf.DUMMYFUNCTION("""COMPUTED_VALUE"""),2.0)</f>
        <v>2</v>
      </c>
    </row>
    <row r="2462">
      <c r="A2462" s="2">
        <f>IFERROR(__xludf.DUMMYFUNCTION("""COMPUTED_VALUE"""),1.0)</f>
        <v>1</v>
      </c>
    </row>
    <row r="2463">
      <c r="A2463" s="2">
        <f>IFERROR(__xludf.DUMMYFUNCTION("""COMPUTED_VALUE"""),1.0)</f>
        <v>1</v>
      </c>
    </row>
    <row r="2464">
      <c r="A2464" s="2">
        <f>IFERROR(__xludf.DUMMYFUNCTION("""COMPUTED_VALUE"""),1.0)</f>
        <v>1</v>
      </c>
    </row>
    <row r="2465">
      <c r="A2465" s="2">
        <f>IFERROR(__xludf.DUMMYFUNCTION("""COMPUTED_VALUE"""),3.0)</f>
        <v>3</v>
      </c>
    </row>
    <row r="2466">
      <c r="A2466" s="2">
        <f>IFERROR(__xludf.DUMMYFUNCTION("""COMPUTED_VALUE"""),7.0)</f>
        <v>7</v>
      </c>
    </row>
    <row r="2467">
      <c r="A2467" s="2">
        <f>IFERROR(__xludf.DUMMYFUNCTION("""COMPUTED_VALUE"""),3.0)</f>
        <v>3</v>
      </c>
    </row>
    <row r="2468">
      <c r="A2468" s="2">
        <f>IFERROR(__xludf.DUMMYFUNCTION("""COMPUTED_VALUE"""),1.0)</f>
        <v>1</v>
      </c>
    </row>
    <row r="2469">
      <c r="A2469" s="2">
        <f>IFERROR(__xludf.DUMMYFUNCTION("""COMPUTED_VALUE"""),1.0)</f>
        <v>1</v>
      </c>
    </row>
    <row r="2470">
      <c r="A2470" s="2">
        <f>IFERROR(__xludf.DUMMYFUNCTION("""COMPUTED_VALUE"""),1.0)</f>
        <v>1</v>
      </c>
    </row>
    <row r="2471">
      <c r="A2471" s="2">
        <f>IFERROR(__xludf.DUMMYFUNCTION("""COMPUTED_VALUE"""),1.0)</f>
        <v>1</v>
      </c>
    </row>
    <row r="2472">
      <c r="A2472" s="2">
        <f>IFERROR(__xludf.DUMMYFUNCTION("""COMPUTED_VALUE"""),1.0)</f>
        <v>1</v>
      </c>
    </row>
    <row r="2473">
      <c r="A2473" s="2">
        <f>IFERROR(__xludf.DUMMYFUNCTION("""COMPUTED_VALUE"""),1.0)</f>
        <v>1</v>
      </c>
    </row>
    <row r="2474">
      <c r="A2474" s="2">
        <f>IFERROR(__xludf.DUMMYFUNCTION("""COMPUTED_VALUE"""),1.0)</f>
        <v>1</v>
      </c>
    </row>
    <row r="2475">
      <c r="A2475" s="2">
        <f>IFERROR(__xludf.DUMMYFUNCTION("""COMPUTED_VALUE"""),1.0)</f>
        <v>1</v>
      </c>
    </row>
    <row r="2476">
      <c r="A2476" s="2">
        <f>IFERROR(__xludf.DUMMYFUNCTION("""COMPUTED_VALUE"""),9.0)</f>
        <v>9</v>
      </c>
    </row>
    <row r="2477">
      <c r="A2477" s="2">
        <f>IFERROR(__xludf.DUMMYFUNCTION("""COMPUTED_VALUE"""),4.0)</f>
        <v>4</v>
      </c>
    </row>
    <row r="2478">
      <c r="A2478" s="2">
        <f>IFERROR(__xludf.DUMMYFUNCTION("""COMPUTED_VALUE"""),4.0)</f>
        <v>4</v>
      </c>
    </row>
    <row r="2479">
      <c r="A2479" s="2">
        <f>IFERROR(__xludf.DUMMYFUNCTION("""COMPUTED_VALUE"""),4.0)</f>
        <v>4</v>
      </c>
    </row>
    <row r="2480">
      <c r="A2480" s="2">
        <f>IFERROR(__xludf.DUMMYFUNCTION("""COMPUTED_VALUE"""),4.0)</f>
        <v>4</v>
      </c>
    </row>
    <row r="2481">
      <c r="A2481" s="2">
        <f>IFERROR(__xludf.DUMMYFUNCTION("""COMPUTED_VALUE"""),4.0)</f>
        <v>4</v>
      </c>
    </row>
    <row r="2482">
      <c r="A2482" s="2">
        <f>IFERROR(__xludf.DUMMYFUNCTION("""COMPUTED_VALUE"""),4.0)</f>
        <v>4</v>
      </c>
    </row>
    <row r="2483">
      <c r="A2483" s="2">
        <f>IFERROR(__xludf.DUMMYFUNCTION("""COMPUTED_VALUE"""),4.0)</f>
        <v>4</v>
      </c>
    </row>
    <row r="2484">
      <c r="A2484" s="2">
        <f>IFERROR(__xludf.DUMMYFUNCTION("""COMPUTED_VALUE"""),3.0)</f>
        <v>3</v>
      </c>
    </row>
    <row r="2485">
      <c r="A2485" s="2">
        <f>IFERROR(__xludf.DUMMYFUNCTION("""COMPUTED_VALUE"""),3.0)</f>
        <v>3</v>
      </c>
    </row>
    <row r="2486">
      <c r="A2486" s="2">
        <f>IFERROR(__xludf.DUMMYFUNCTION("""COMPUTED_VALUE"""),3.0)</f>
        <v>3</v>
      </c>
    </row>
    <row r="2487">
      <c r="A2487" s="2">
        <f>IFERROR(__xludf.DUMMYFUNCTION("""COMPUTED_VALUE"""),3.0)</f>
        <v>3</v>
      </c>
    </row>
    <row r="2488">
      <c r="A2488" s="2">
        <f>IFERROR(__xludf.DUMMYFUNCTION("""COMPUTED_VALUE"""),3.0)</f>
        <v>3</v>
      </c>
    </row>
    <row r="2489">
      <c r="A2489" s="2">
        <f>IFERROR(__xludf.DUMMYFUNCTION("""COMPUTED_VALUE"""),3.0)</f>
        <v>3</v>
      </c>
    </row>
    <row r="2490">
      <c r="A2490" s="2">
        <f>IFERROR(__xludf.DUMMYFUNCTION("""COMPUTED_VALUE"""),2.0)</f>
        <v>2</v>
      </c>
    </row>
    <row r="2491">
      <c r="A2491" s="2">
        <f>IFERROR(__xludf.DUMMYFUNCTION("""COMPUTED_VALUE"""),2.0)</f>
        <v>2</v>
      </c>
    </row>
    <row r="2492">
      <c r="A2492" s="2">
        <f>IFERROR(__xludf.DUMMYFUNCTION("""COMPUTED_VALUE"""),2.0)</f>
        <v>2</v>
      </c>
    </row>
    <row r="2493">
      <c r="A2493" s="2">
        <f>IFERROR(__xludf.DUMMYFUNCTION("""COMPUTED_VALUE"""),2.0)</f>
        <v>2</v>
      </c>
    </row>
    <row r="2494">
      <c r="A2494" s="2">
        <f>IFERROR(__xludf.DUMMYFUNCTION("""COMPUTED_VALUE"""),1.0)</f>
        <v>1</v>
      </c>
    </row>
    <row r="2495">
      <c r="A2495" s="2">
        <f>IFERROR(__xludf.DUMMYFUNCTION("""COMPUTED_VALUE"""),8.0)</f>
        <v>8</v>
      </c>
    </row>
    <row r="2496">
      <c r="A2496" s="2">
        <f>IFERROR(__xludf.DUMMYFUNCTION("""COMPUTED_VALUE"""),8.0)</f>
        <v>8</v>
      </c>
    </row>
    <row r="2497">
      <c r="A2497" s="2">
        <f>IFERROR(__xludf.DUMMYFUNCTION("""COMPUTED_VALUE"""),8.0)</f>
        <v>8</v>
      </c>
    </row>
    <row r="2498">
      <c r="A2498" s="2">
        <f>IFERROR(__xludf.DUMMYFUNCTION("""COMPUTED_VALUE"""),8.0)</f>
        <v>8</v>
      </c>
    </row>
    <row r="2499">
      <c r="A2499" s="2">
        <f>IFERROR(__xludf.DUMMYFUNCTION("""COMPUTED_VALUE"""),8.0)</f>
        <v>8</v>
      </c>
    </row>
    <row r="2500">
      <c r="A2500" s="2">
        <f>IFERROR(__xludf.DUMMYFUNCTION("""COMPUTED_VALUE"""),8.0)</f>
        <v>8</v>
      </c>
    </row>
    <row r="2501">
      <c r="A2501" s="2">
        <f>IFERROR(__xludf.DUMMYFUNCTION("""COMPUTED_VALUE"""),3.0)</f>
        <v>3</v>
      </c>
    </row>
    <row r="2502">
      <c r="A2502" s="2">
        <f>IFERROR(__xludf.DUMMYFUNCTION("""COMPUTED_VALUE"""),3.0)</f>
        <v>3</v>
      </c>
    </row>
    <row r="2503">
      <c r="A2503" s="2">
        <f>IFERROR(__xludf.DUMMYFUNCTION("""COMPUTED_VALUE"""),3.0)</f>
        <v>3</v>
      </c>
    </row>
    <row r="2504">
      <c r="A2504" s="2">
        <f>IFERROR(__xludf.DUMMYFUNCTION("""COMPUTED_VALUE"""),3.0)</f>
        <v>3</v>
      </c>
    </row>
    <row r="2505">
      <c r="A2505" s="2">
        <f>IFERROR(__xludf.DUMMYFUNCTION("""COMPUTED_VALUE"""),3.0)</f>
        <v>3</v>
      </c>
    </row>
    <row r="2506">
      <c r="A2506" s="2">
        <f>IFERROR(__xludf.DUMMYFUNCTION("""COMPUTED_VALUE"""),5.0)</f>
        <v>5</v>
      </c>
    </row>
    <row r="2507">
      <c r="A2507" s="2">
        <f>IFERROR(__xludf.DUMMYFUNCTION("""COMPUTED_VALUE"""),5.0)</f>
        <v>5</v>
      </c>
    </row>
    <row r="2508">
      <c r="A2508" s="2">
        <f>IFERROR(__xludf.DUMMYFUNCTION("""COMPUTED_VALUE"""),5.0)</f>
        <v>5</v>
      </c>
    </row>
    <row r="2509">
      <c r="A2509" s="2">
        <f>IFERROR(__xludf.DUMMYFUNCTION("""COMPUTED_VALUE"""),5.0)</f>
        <v>5</v>
      </c>
    </row>
    <row r="2510">
      <c r="A2510" s="2">
        <f>IFERROR(__xludf.DUMMYFUNCTION("""COMPUTED_VALUE"""),5.0)</f>
        <v>5</v>
      </c>
    </row>
    <row r="2511">
      <c r="A2511" s="2">
        <f>IFERROR(__xludf.DUMMYFUNCTION("""COMPUTED_VALUE"""),5.0)</f>
        <v>5</v>
      </c>
    </row>
    <row r="2512">
      <c r="A2512" s="2">
        <f>IFERROR(__xludf.DUMMYFUNCTION("""COMPUTED_VALUE"""),5.0)</f>
        <v>5</v>
      </c>
    </row>
    <row r="2513">
      <c r="A2513" s="2">
        <f>IFERROR(__xludf.DUMMYFUNCTION("""COMPUTED_VALUE"""),5.0)</f>
        <v>5</v>
      </c>
    </row>
    <row r="2514">
      <c r="A2514" s="2">
        <f>IFERROR(__xludf.DUMMYFUNCTION("""COMPUTED_VALUE"""),1.0)</f>
        <v>1</v>
      </c>
    </row>
    <row r="2515">
      <c r="A2515" s="2">
        <f>IFERROR(__xludf.DUMMYFUNCTION("""COMPUTED_VALUE"""),1.0)</f>
        <v>1</v>
      </c>
    </row>
    <row r="2516">
      <c r="A2516" s="2">
        <f>IFERROR(__xludf.DUMMYFUNCTION("""COMPUTED_VALUE"""),7.0)</f>
        <v>7</v>
      </c>
    </row>
    <row r="2517">
      <c r="A2517" s="2">
        <f>IFERROR(__xludf.DUMMYFUNCTION("""COMPUTED_VALUE"""),7.0)</f>
        <v>7</v>
      </c>
    </row>
    <row r="2518">
      <c r="A2518" s="2">
        <f>IFERROR(__xludf.DUMMYFUNCTION("""COMPUTED_VALUE"""),6.0)</f>
        <v>6</v>
      </c>
    </row>
    <row r="2519">
      <c r="A2519" s="2">
        <f>IFERROR(__xludf.DUMMYFUNCTION("""COMPUTED_VALUE"""),6.0)</f>
        <v>6</v>
      </c>
    </row>
    <row r="2520">
      <c r="A2520" s="2">
        <f>IFERROR(__xludf.DUMMYFUNCTION("""COMPUTED_VALUE"""),6.0)</f>
        <v>6</v>
      </c>
    </row>
    <row r="2521">
      <c r="A2521" s="2">
        <f>IFERROR(__xludf.DUMMYFUNCTION("""COMPUTED_VALUE"""),6.0)</f>
        <v>6</v>
      </c>
    </row>
    <row r="2522">
      <c r="A2522" s="2">
        <f>IFERROR(__xludf.DUMMYFUNCTION("""COMPUTED_VALUE"""),6.0)</f>
        <v>6</v>
      </c>
    </row>
    <row r="2523">
      <c r="A2523" s="2">
        <f>IFERROR(__xludf.DUMMYFUNCTION("""COMPUTED_VALUE"""),6.0)</f>
        <v>6</v>
      </c>
    </row>
    <row r="2524">
      <c r="A2524" s="2">
        <f>IFERROR(__xludf.DUMMYFUNCTION("""COMPUTED_VALUE"""),6.0)</f>
        <v>6</v>
      </c>
    </row>
    <row r="2525">
      <c r="A2525" s="2">
        <f>IFERROR(__xludf.DUMMYFUNCTION("""COMPUTED_VALUE"""),6.0)</f>
        <v>6</v>
      </c>
    </row>
    <row r="2526">
      <c r="A2526" s="2">
        <f>IFERROR(__xludf.DUMMYFUNCTION("""COMPUTED_VALUE"""),6.0)</f>
        <v>6</v>
      </c>
    </row>
    <row r="2527">
      <c r="A2527" s="2">
        <f>IFERROR(__xludf.DUMMYFUNCTION("""COMPUTED_VALUE"""),6.0)</f>
        <v>6</v>
      </c>
    </row>
    <row r="2528">
      <c r="A2528" s="2">
        <f>IFERROR(__xludf.DUMMYFUNCTION("""COMPUTED_VALUE"""),6.0)</f>
        <v>6</v>
      </c>
    </row>
    <row r="2529">
      <c r="A2529" s="2">
        <f>IFERROR(__xludf.DUMMYFUNCTION("""COMPUTED_VALUE"""),6.0)</f>
        <v>6</v>
      </c>
    </row>
    <row r="2530">
      <c r="A2530" s="2">
        <f>IFERROR(__xludf.DUMMYFUNCTION("""COMPUTED_VALUE"""),6.0)</f>
        <v>6</v>
      </c>
    </row>
    <row r="2531">
      <c r="A2531" s="2">
        <f>IFERROR(__xludf.DUMMYFUNCTION("""COMPUTED_VALUE"""),6.0)</f>
        <v>6</v>
      </c>
    </row>
    <row r="2532">
      <c r="A2532" s="2">
        <f>IFERROR(__xludf.DUMMYFUNCTION("""COMPUTED_VALUE"""),6.0)</f>
        <v>6</v>
      </c>
    </row>
    <row r="2533">
      <c r="A2533" s="2">
        <f>IFERROR(__xludf.DUMMYFUNCTION("""COMPUTED_VALUE"""),3.0)</f>
        <v>3</v>
      </c>
    </row>
    <row r="2534">
      <c r="A2534" s="2">
        <f>IFERROR(__xludf.DUMMYFUNCTION("""COMPUTED_VALUE"""),3.0)</f>
        <v>3</v>
      </c>
    </row>
    <row r="2535">
      <c r="A2535" s="2">
        <f>IFERROR(__xludf.DUMMYFUNCTION("""COMPUTED_VALUE"""),3.0)</f>
        <v>3</v>
      </c>
    </row>
    <row r="2536">
      <c r="A2536" s="2">
        <f>IFERROR(__xludf.DUMMYFUNCTION("""COMPUTED_VALUE"""),3.0)</f>
        <v>3</v>
      </c>
    </row>
    <row r="2537">
      <c r="A2537" s="2">
        <f>IFERROR(__xludf.DUMMYFUNCTION("""COMPUTED_VALUE"""),3.0)</f>
        <v>3</v>
      </c>
    </row>
    <row r="2538">
      <c r="A2538" s="2">
        <f>IFERROR(__xludf.DUMMYFUNCTION("""COMPUTED_VALUE"""),3.0)</f>
        <v>3</v>
      </c>
    </row>
    <row r="2539">
      <c r="A2539" s="2">
        <f>IFERROR(__xludf.DUMMYFUNCTION("""COMPUTED_VALUE"""),3.0)</f>
        <v>3</v>
      </c>
    </row>
    <row r="2540">
      <c r="A2540" s="2">
        <f>IFERROR(__xludf.DUMMYFUNCTION("""COMPUTED_VALUE"""),3.0)</f>
        <v>3</v>
      </c>
    </row>
    <row r="2541">
      <c r="A2541" s="2">
        <f>IFERROR(__xludf.DUMMYFUNCTION("""COMPUTED_VALUE"""),5.0)</f>
        <v>5</v>
      </c>
    </row>
    <row r="2542">
      <c r="A2542" s="2">
        <f>IFERROR(__xludf.DUMMYFUNCTION("""COMPUTED_VALUE"""),5.0)</f>
        <v>5</v>
      </c>
    </row>
    <row r="2543">
      <c r="A2543" s="2">
        <f>IFERROR(__xludf.DUMMYFUNCTION("""COMPUTED_VALUE"""),5.0)</f>
        <v>5</v>
      </c>
    </row>
    <row r="2544">
      <c r="A2544" s="2">
        <f>IFERROR(__xludf.DUMMYFUNCTION("""COMPUTED_VALUE"""),4.0)</f>
        <v>4</v>
      </c>
    </row>
    <row r="2545">
      <c r="A2545" s="2">
        <f>IFERROR(__xludf.DUMMYFUNCTION("""COMPUTED_VALUE"""),4.0)</f>
        <v>4</v>
      </c>
    </row>
    <row r="2546">
      <c r="A2546" s="2">
        <f>IFERROR(__xludf.DUMMYFUNCTION("""COMPUTED_VALUE"""),1.0)</f>
        <v>1</v>
      </c>
    </row>
    <row r="2547">
      <c r="A2547" s="2">
        <f>IFERROR(__xludf.DUMMYFUNCTION("""COMPUTED_VALUE"""),1.0)</f>
        <v>1</v>
      </c>
    </row>
    <row r="2548">
      <c r="A2548" s="2">
        <f>IFERROR(__xludf.DUMMYFUNCTION("""COMPUTED_VALUE"""),1.0)</f>
        <v>1</v>
      </c>
    </row>
    <row r="2549">
      <c r="A2549" s="2">
        <f>IFERROR(__xludf.DUMMYFUNCTION("""COMPUTED_VALUE"""),1.0)</f>
        <v>1</v>
      </c>
    </row>
    <row r="2550">
      <c r="A2550" s="2">
        <f>IFERROR(__xludf.DUMMYFUNCTION("""COMPUTED_VALUE"""),1.0)</f>
        <v>1</v>
      </c>
    </row>
    <row r="2551">
      <c r="A2551" s="2">
        <f>IFERROR(__xludf.DUMMYFUNCTION("""COMPUTED_VALUE"""),1.0)</f>
        <v>1</v>
      </c>
    </row>
    <row r="2552">
      <c r="A2552" s="2">
        <f>IFERROR(__xludf.DUMMYFUNCTION("""COMPUTED_VALUE"""),1.0)</f>
        <v>1</v>
      </c>
    </row>
    <row r="2553">
      <c r="A2553" s="2">
        <f>IFERROR(__xludf.DUMMYFUNCTION("""COMPUTED_VALUE"""),1.0)</f>
        <v>1</v>
      </c>
    </row>
    <row r="2554">
      <c r="A2554" s="2">
        <f>IFERROR(__xludf.DUMMYFUNCTION("""COMPUTED_VALUE"""),9.0)</f>
        <v>9</v>
      </c>
    </row>
    <row r="2555">
      <c r="A2555" s="2">
        <f>IFERROR(__xludf.DUMMYFUNCTION("""COMPUTED_VALUE"""),9.0)</f>
        <v>9</v>
      </c>
    </row>
    <row r="2556">
      <c r="A2556" s="2">
        <f>IFERROR(__xludf.DUMMYFUNCTION("""COMPUTED_VALUE"""),9.0)</f>
        <v>9</v>
      </c>
    </row>
    <row r="2557">
      <c r="A2557" s="2">
        <f>IFERROR(__xludf.DUMMYFUNCTION("""COMPUTED_VALUE"""),9.0)</f>
        <v>9</v>
      </c>
    </row>
    <row r="2558">
      <c r="A2558" s="2">
        <f>IFERROR(__xludf.DUMMYFUNCTION("""COMPUTED_VALUE"""),9.0)</f>
        <v>9</v>
      </c>
    </row>
    <row r="2559">
      <c r="A2559" s="2">
        <f>IFERROR(__xludf.DUMMYFUNCTION("""COMPUTED_VALUE"""),9.0)</f>
        <v>9</v>
      </c>
    </row>
    <row r="2560">
      <c r="A2560" s="2">
        <f>IFERROR(__xludf.DUMMYFUNCTION("""COMPUTED_VALUE"""),9.0)</f>
        <v>9</v>
      </c>
    </row>
    <row r="2561">
      <c r="A2561" s="2">
        <f>IFERROR(__xludf.DUMMYFUNCTION("""COMPUTED_VALUE"""),9.0)</f>
        <v>9</v>
      </c>
    </row>
    <row r="2562">
      <c r="A2562" s="2">
        <f>IFERROR(__xludf.DUMMYFUNCTION("""COMPUTED_VALUE"""),1.0)</f>
        <v>1</v>
      </c>
    </row>
    <row r="2563">
      <c r="A2563" s="2">
        <f>IFERROR(__xludf.DUMMYFUNCTION("""COMPUTED_VALUE"""),5.0)</f>
        <v>5</v>
      </c>
    </row>
    <row r="2564">
      <c r="A2564" s="2">
        <f>IFERROR(__xludf.DUMMYFUNCTION("""COMPUTED_VALUE"""),5.0)</f>
        <v>5</v>
      </c>
    </row>
    <row r="2565">
      <c r="A2565" s="2">
        <f>IFERROR(__xludf.DUMMYFUNCTION("""COMPUTED_VALUE"""),5.0)</f>
        <v>5</v>
      </c>
    </row>
    <row r="2566">
      <c r="A2566" s="2">
        <f>IFERROR(__xludf.DUMMYFUNCTION("""COMPUTED_VALUE"""),8.0)</f>
        <v>8</v>
      </c>
    </row>
    <row r="2567">
      <c r="A2567" s="2">
        <f>IFERROR(__xludf.DUMMYFUNCTION("""COMPUTED_VALUE"""),8.0)</f>
        <v>8</v>
      </c>
    </row>
    <row r="2568">
      <c r="A2568" s="2">
        <f>IFERROR(__xludf.DUMMYFUNCTION("""COMPUTED_VALUE"""),8.0)</f>
        <v>8</v>
      </c>
    </row>
    <row r="2569">
      <c r="A2569" s="2">
        <f>IFERROR(__xludf.DUMMYFUNCTION("""COMPUTED_VALUE"""),8.0)</f>
        <v>8</v>
      </c>
    </row>
    <row r="2570">
      <c r="A2570" s="2">
        <f>IFERROR(__xludf.DUMMYFUNCTION("""COMPUTED_VALUE"""),3.0)</f>
        <v>3</v>
      </c>
    </row>
    <row r="2571">
      <c r="A2571" s="2">
        <f>IFERROR(__xludf.DUMMYFUNCTION("""COMPUTED_VALUE"""),4.0)</f>
        <v>4</v>
      </c>
    </row>
    <row r="2572">
      <c r="A2572" s="2">
        <f>IFERROR(__xludf.DUMMYFUNCTION("""COMPUTED_VALUE"""),4.0)</f>
        <v>4</v>
      </c>
    </row>
    <row r="2573">
      <c r="A2573" s="2">
        <f>IFERROR(__xludf.DUMMYFUNCTION("""COMPUTED_VALUE"""),8.0)</f>
        <v>8</v>
      </c>
    </row>
    <row r="2574">
      <c r="A2574" s="2">
        <f>IFERROR(__xludf.DUMMYFUNCTION("""COMPUTED_VALUE"""),8.0)</f>
        <v>8</v>
      </c>
    </row>
    <row r="2575">
      <c r="A2575" s="2">
        <f>IFERROR(__xludf.DUMMYFUNCTION("""COMPUTED_VALUE"""),8.0)</f>
        <v>8</v>
      </c>
    </row>
    <row r="2576">
      <c r="A2576" s="2">
        <f>IFERROR(__xludf.DUMMYFUNCTION("""COMPUTED_VALUE"""),8.0)</f>
        <v>8</v>
      </c>
    </row>
    <row r="2577">
      <c r="A2577" s="2">
        <f>IFERROR(__xludf.DUMMYFUNCTION("""COMPUTED_VALUE"""),8.0)</f>
        <v>8</v>
      </c>
    </row>
    <row r="2578">
      <c r="A2578" s="2">
        <f>IFERROR(__xludf.DUMMYFUNCTION("""COMPUTED_VALUE"""),2.0)</f>
        <v>2</v>
      </c>
    </row>
    <row r="2579">
      <c r="A2579" s="2">
        <f>IFERROR(__xludf.DUMMYFUNCTION("""COMPUTED_VALUE"""),2.0)</f>
        <v>2</v>
      </c>
    </row>
    <row r="2580">
      <c r="A2580" s="2">
        <f>IFERROR(__xludf.DUMMYFUNCTION("""COMPUTED_VALUE"""),2.0)</f>
        <v>2</v>
      </c>
    </row>
    <row r="2581">
      <c r="A2581" s="2">
        <f>IFERROR(__xludf.DUMMYFUNCTION("""COMPUTED_VALUE"""),2.0)</f>
        <v>2</v>
      </c>
    </row>
    <row r="2582">
      <c r="A2582" s="2">
        <f>IFERROR(__xludf.DUMMYFUNCTION("""COMPUTED_VALUE"""),2.0)</f>
        <v>2</v>
      </c>
    </row>
    <row r="2583">
      <c r="A2583" s="2">
        <f>IFERROR(__xludf.DUMMYFUNCTION("""COMPUTED_VALUE"""),2.0)</f>
        <v>2</v>
      </c>
    </row>
    <row r="2584">
      <c r="A2584" s="2">
        <f>IFERROR(__xludf.DUMMYFUNCTION("""COMPUTED_VALUE"""),2.0)</f>
        <v>2</v>
      </c>
    </row>
    <row r="2585">
      <c r="A2585" s="2">
        <f>IFERROR(__xludf.DUMMYFUNCTION("""COMPUTED_VALUE"""),2.0)</f>
        <v>2</v>
      </c>
    </row>
    <row r="2586">
      <c r="A2586" s="2">
        <f>IFERROR(__xludf.DUMMYFUNCTION("""COMPUTED_VALUE"""),5.0)</f>
        <v>5</v>
      </c>
    </row>
    <row r="2587">
      <c r="A2587" s="2">
        <f>IFERROR(__xludf.DUMMYFUNCTION("""COMPUTED_VALUE"""),5.0)</f>
        <v>5</v>
      </c>
    </row>
    <row r="2588">
      <c r="A2588" s="2">
        <f>IFERROR(__xludf.DUMMYFUNCTION("""COMPUTED_VALUE"""),5.0)</f>
        <v>5</v>
      </c>
    </row>
    <row r="2589">
      <c r="A2589" s="2">
        <f>IFERROR(__xludf.DUMMYFUNCTION("""COMPUTED_VALUE"""),3.0)</f>
        <v>3</v>
      </c>
    </row>
    <row r="2590">
      <c r="A2590" s="2">
        <f>IFERROR(__xludf.DUMMYFUNCTION("""COMPUTED_VALUE"""),3.0)</f>
        <v>3</v>
      </c>
    </row>
    <row r="2591">
      <c r="A2591" s="2">
        <f>IFERROR(__xludf.DUMMYFUNCTION("""COMPUTED_VALUE"""),3.0)</f>
        <v>3</v>
      </c>
    </row>
    <row r="2592">
      <c r="A2592" s="2">
        <f>IFERROR(__xludf.DUMMYFUNCTION("""COMPUTED_VALUE"""),3.0)</f>
        <v>3</v>
      </c>
    </row>
    <row r="2593">
      <c r="A2593" s="2">
        <f>IFERROR(__xludf.DUMMYFUNCTION("""COMPUTED_VALUE"""),6.0)</f>
        <v>6</v>
      </c>
    </row>
    <row r="2594">
      <c r="A2594" s="2">
        <f>IFERROR(__xludf.DUMMYFUNCTION("""COMPUTED_VALUE"""),6.0)</f>
        <v>6</v>
      </c>
    </row>
    <row r="2595">
      <c r="A2595" s="2">
        <f>IFERROR(__xludf.DUMMYFUNCTION("""COMPUTED_VALUE"""),6.0)</f>
        <v>6</v>
      </c>
    </row>
    <row r="2596">
      <c r="A2596" s="2">
        <f>IFERROR(__xludf.DUMMYFUNCTION("""COMPUTED_VALUE"""),5.0)</f>
        <v>5</v>
      </c>
    </row>
    <row r="2597">
      <c r="A2597" s="2">
        <f>IFERROR(__xludf.DUMMYFUNCTION("""COMPUTED_VALUE"""),5.0)</f>
        <v>5</v>
      </c>
    </row>
    <row r="2598">
      <c r="A2598" s="2">
        <f>IFERROR(__xludf.DUMMYFUNCTION("""COMPUTED_VALUE"""),4.0)</f>
        <v>4</v>
      </c>
    </row>
    <row r="2599">
      <c r="A2599" s="2">
        <f>IFERROR(__xludf.DUMMYFUNCTION("""COMPUTED_VALUE"""),4.0)</f>
        <v>4</v>
      </c>
    </row>
    <row r="2600">
      <c r="A2600" s="2">
        <f>IFERROR(__xludf.DUMMYFUNCTION("""COMPUTED_VALUE"""),4.0)</f>
        <v>4</v>
      </c>
    </row>
    <row r="2601">
      <c r="A2601" s="2">
        <f>IFERROR(__xludf.DUMMYFUNCTION("""COMPUTED_VALUE"""),4.0)</f>
        <v>4</v>
      </c>
    </row>
    <row r="2602">
      <c r="A2602" s="2">
        <f>IFERROR(__xludf.DUMMYFUNCTION("""COMPUTED_VALUE"""),5.0)</f>
        <v>5</v>
      </c>
    </row>
    <row r="2603">
      <c r="A2603" s="2">
        <f>IFERROR(__xludf.DUMMYFUNCTION("""COMPUTED_VALUE"""),5.0)</f>
        <v>5</v>
      </c>
    </row>
    <row r="2604">
      <c r="A2604" s="2">
        <f>IFERROR(__xludf.DUMMYFUNCTION("""COMPUTED_VALUE"""),5.0)</f>
        <v>5</v>
      </c>
    </row>
    <row r="2605">
      <c r="A2605" s="2">
        <f>IFERROR(__xludf.DUMMYFUNCTION("""COMPUTED_VALUE"""),2.0)</f>
        <v>2</v>
      </c>
    </row>
    <row r="2606">
      <c r="A2606" s="2">
        <f>IFERROR(__xludf.DUMMYFUNCTION("""COMPUTED_VALUE"""),2.0)</f>
        <v>2</v>
      </c>
    </row>
    <row r="2607">
      <c r="A2607" s="2">
        <f>IFERROR(__xludf.DUMMYFUNCTION("""COMPUTED_VALUE"""),3.0)</f>
        <v>3</v>
      </c>
    </row>
    <row r="2608">
      <c r="A2608" s="2">
        <f>IFERROR(__xludf.DUMMYFUNCTION("""COMPUTED_VALUE"""),3.0)</f>
        <v>3</v>
      </c>
    </row>
    <row r="2609">
      <c r="A2609" s="2">
        <f>IFERROR(__xludf.DUMMYFUNCTION("""COMPUTED_VALUE"""),3.0)</f>
        <v>3</v>
      </c>
    </row>
    <row r="2610">
      <c r="A2610" s="2">
        <f>IFERROR(__xludf.DUMMYFUNCTION("""COMPUTED_VALUE"""),3.0)</f>
        <v>3</v>
      </c>
    </row>
    <row r="2611">
      <c r="A2611" s="2">
        <f>IFERROR(__xludf.DUMMYFUNCTION("""COMPUTED_VALUE"""),7.0)</f>
        <v>7</v>
      </c>
    </row>
    <row r="2612">
      <c r="A2612" s="2">
        <f>IFERROR(__xludf.DUMMYFUNCTION("""COMPUTED_VALUE"""),7.0)</f>
        <v>7</v>
      </c>
    </row>
    <row r="2613">
      <c r="A2613" s="2">
        <f>IFERROR(__xludf.DUMMYFUNCTION("""COMPUTED_VALUE"""),7.0)</f>
        <v>7</v>
      </c>
    </row>
    <row r="2614">
      <c r="A2614" s="2">
        <f>IFERROR(__xludf.DUMMYFUNCTION("""COMPUTED_VALUE"""),4.0)</f>
        <v>4</v>
      </c>
    </row>
    <row r="2615">
      <c r="A2615" s="2">
        <f>IFERROR(__xludf.DUMMYFUNCTION("""COMPUTED_VALUE"""),4.0)</f>
        <v>4</v>
      </c>
    </row>
    <row r="2616">
      <c r="A2616" s="2">
        <f>IFERROR(__xludf.DUMMYFUNCTION("""COMPUTED_VALUE"""),6.0)</f>
        <v>6</v>
      </c>
    </row>
    <row r="2617">
      <c r="A2617" s="2">
        <f>IFERROR(__xludf.DUMMYFUNCTION("""COMPUTED_VALUE"""),2.0)</f>
        <v>2</v>
      </c>
    </row>
    <row r="2618">
      <c r="A2618" s="2">
        <f>IFERROR(__xludf.DUMMYFUNCTION("""COMPUTED_VALUE"""),3.0)</f>
        <v>3</v>
      </c>
    </row>
    <row r="2619">
      <c r="A2619" s="2">
        <f>IFERROR(__xludf.DUMMYFUNCTION("""COMPUTED_VALUE"""),3.0)</f>
        <v>3</v>
      </c>
    </row>
    <row r="2620">
      <c r="A2620" s="2">
        <f>IFERROR(__xludf.DUMMYFUNCTION("""COMPUTED_VALUE"""),1.0)</f>
        <v>1</v>
      </c>
    </row>
    <row r="2621">
      <c r="A2621" s="2">
        <f>IFERROR(__xludf.DUMMYFUNCTION("""COMPUTED_VALUE"""),1.0)</f>
        <v>1</v>
      </c>
    </row>
    <row r="2622">
      <c r="A2622" s="2">
        <f>IFERROR(__xludf.DUMMYFUNCTION("""COMPUTED_VALUE"""),1.0)</f>
        <v>1</v>
      </c>
    </row>
    <row r="2623">
      <c r="A2623" s="2">
        <f>IFERROR(__xludf.DUMMYFUNCTION("""COMPUTED_VALUE"""),1.0)</f>
        <v>1</v>
      </c>
    </row>
    <row r="2624">
      <c r="A2624" s="2">
        <f>IFERROR(__xludf.DUMMYFUNCTION("""COMPUTED_VALUE"""),1.0)</f>
        <v>1</v>
      </c>
    </row>
    <row r="2625">
      <c r="A2625" s="2">
        <f>IFERROR(__xludf.DUMMYFUNCTION("""COMPUTED_VALUE"""),1.0)</f>
        <v>1</v>
      </c>
    </row>
    <row r="2626">
      <c r="A2626" s="2">
        <f>IFERROR(__xludf.DUMMYFUNCTION("""COMPUTED_VALUE"""),1.0)</f>
        <v>1</v>
      </c>
    </row>
    <row r="2627">
      <c r="A2627" s="2">
        <f>IFERROR(__xludf.DUMMYFUNCTION("""COMPUTED_VALUE"""),1.0)</f>
        <v>1</v>
      </c>
    </row>
    <row r="2628">
      <c r="A2628" s="2">
        <f>IFERROR(__xludf.DUMMYFUNCTION("""COMPUTED_VALUE"""),1.0)</f>
        <v>1</v>
      </c>
    </row>
    <row r="2629">
      <c r="A2629" s="2">
        <f>IFERROR(__xludf.DUMMYFUNCTION("""COMPUTED_VALUE"""),1.0)</f>
        <v>1</v>
      </c>
    </row>
    <row r="2630">
      <c r="A2630" s="2">
        <f>IFERROR(__xludf.DUMMYFUNCTION("""COMPUTED_VALUE"""),1.0)</f>
        <v>1</v>
      </c>
    </row>
    <row r="2631">
      <c r="A2631" s="2">
        <f>IFERROR(__xludf.DUMMYFUNCTION("""COMPUTED_VALUE"""),1.0)</f>
        <v>1</v>
      </c>
    </row>
    <row r="2632">
      <c r="A2632" s="2">
        <f>IFERROR(__xludf.DUMMYFUNCTION("""COMPUTED_VALUE"""),1.0)</f>
        <v>1</v>
      </c>
    </row>
    <row r="2633">
      <c r="A2633" s="2">
        <f>IFERROR(__xludf.DUMMYFUNCTION("""COMPUTED_VALUE"""),1.0)</f>
        <v>1</v>
      </c>
    </row>
    <row r="2634">
      <c r="A2634" s="2">
        <f>IFERROR(__xludf.DUMMYFUNCTION("""COMPUTED_VALUE"""),6.0)</f>
        <v>6</v>
      </c>
    </row>
    <row r="2635">
      <c r="A2635" s="2">
        <f>IFERROR(__xludf.DUMMYFUNCTION("""COMPUTED_VALUE"""),7.0)</f>
        <v>7</v>
      </c>
    </row>
    <row r="2636">
      <c r="A2636" s="2">
        <f>IFERROR(__xludf.DUMMYFUNCTION("""COMPUTED_VALUE"""),7.0)</f>
        <v>7</v>
      </c>
    </row>
    <row r="2637">
      <c r="A2637" s="2">
        <f>IFERROR(__xludf.DUMMYFUNCTION("""COMPUTED_VALUE"""),8.0)</f>
        <v>8</v>
      </c>
    </row>
    <row r="2638">
      <c r="A2638" s="2">
        <f>IFERROR(__xludf.DUMMYFUNCTION("""COMPUTED_VALUE"""),8.0)</f>
        <v>8</v>
      </c>
    </row>
    <row r="2639">
      <c r="A2639" s="2">
        <f>IFERROR(__xludf.DUMMYFUNCTION("""COMPUTED_VALUE"""),8.0)</f>
        <v>8</v>
      </c>
    </row>
    <row r="2640">
      <c r="A2640" s="2">
        <f>IFERROR(__xludf.DUMMYFUNCTION("""COMPUTED_VALUE"""),8.0)</f>
        <v>8</v>
      </c>
    </row>
    <row r="2641">
      <c r="A2641" s="2">
        <f>IFERROR(__xludf.DUMMYFUNCTION("""COMPUTED_VALUE"""),8.0)</f>
        <v>8</v>
      </c>
    </row>
    <row r="2642">
      <c r="A2642" s="2">
        <f>IFERROR(__xludf.DUMMYFUNCTION("""COMPUTED_VALUE"""),8.0)</f>
        <v>8</v>
      </c>
    </row>
    <row r="2643">
      <c r="A2643" s="2">
        <f>IFERROR(__xludf.DUMMYFUNCTION("""COMPUTED_VALUE"""),8.0)</f>
        <v>8</v>
      </c>
    </row>
    <row r="2644">
      <c r="A2644" s="2">
        <f>IFERROR(__xludf.DUMMYFUNCTION("""COMPUTED_VALUE"""),8.0)</f>
        <v>8</v>
      </c>
    </row>
    <row r="2645">
      <c r="A2645" s="2">
        <f>IFERROR(__xludf.DUMMYFUNCTION("""COMPUTED_VALUE"""),8.0)</f>
        <v>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>
        <f>IFERROR(__xludf.DUMMYFUNCTION("ARRAYFORMULA(TRANSPOSE(SPLIT(CONCATENATE('Times To'!A2:AR3145 &amp;""🐥""),""🐥"")))"),5.0)</f>
        <v>5</v>
      </c>
    </row>
    <row r="3">
      <c r="A3" s="2">
        <f>IFERROR(__xludf.DUMMYFUNCTION("""COMPUTED_VALUE"""),4.0)</f>
        <v>4</v>
      </c>
    </row>
    <row r="4">
      <c r="A4" s="2">
        <f>IFERROR(__xludf.DUMMYFUNCTION("""COMPUTED_VALUE"""),4.0)</f>
        <v>4</v>
      </c>
    </row>
    <row r="5">
      <c r="A5" s="2">
        <f>IFERROR(__xludf.DUMMYFUNCTION("""COMPUTED_VALUE"""),4.0)</f>
        <v>4</v>
      </c>
    </row>
    <row r="6">
      <c r="A6" s="2">
        <f>IFERROR(__xludf.DUMMYFUNCTION("""COMPUTED_VALUE"""),4.0)</f>
        <v>4</v>
      </c>
    </row>
    <row r="7">
      <c r="A7" s="2">
        <f>IFERROR(__xludf.DUMMYFUNCTION("""COMPUTED_VALUE"""),4.0)</f>
        <v>4</v>
      </c>
    </row>
    <row r="8">
      <c r="A8" s="2">
        <f>IFERROR(__xludf.DUMMYFUNCTION("""COMPUTED_VALUE"""),3.0)</f>
        <v>3</v>
      </c>
    </row>
    <row r="9">
      <c r="A9" s="2">
        <f>IFERROR(__xludf.DUMMYFUNCTION("""COMPUTED_VALUE"""),3.0)</f>
        <v>3</v>
      </c>
    </row>
    <row r="10">
      <c r="A10" s="2">
        <f>IFERROR(__xludf.DUMMYFUNCTION("""COMPUTED_VALUE"""),3.0)</f>
        <v>3</v>
      </c>
    </row>
    <row r="11">
      <c r="A11" s="2">
        <f>IFERROR(__xludf.DUMMYFUNCTION("""COMPUTED_VALUE"""),3.0)</f>
        <v>3</v>
      </c>
    </row>
    <row r="12">
      <c r="A12" s="2">
        <f>IFERROR(__xludf.DUMMYFUNCTION("""COMPUTED_VALUE"""),3.0)</f>
        <v>3</v>
      </c>
    </row>
    <row r="13">
      <c r="A13" s="2">
        <f>IFERROR(__xludf.DUMMYFUNCTION("""COMPUTED_VALUE"""),3.0)</f>
        <v>3</v>
      </c>
    </row>
    <row r="14">
      <c r="A14" s="2">
        <f>IFERROR(__xludf.DUMMYFUNCTION("""COMPUTED_VALUE"""),3.0)</f>
        <v>3</v>
      </c>
    </row>
    <row r="15">
      <c r="A15" s="2">
        <f>IFERROR(__xludf.DUMMYFUNCTION("""COMPUTED_VALUE"""),3.0)</f>
        <v>3</v>
      </c>
    </row>
    <row r="16">
      <c r="A16" s="2">
        <f>IFERROR(__xludf.DUMMYFUNCTION("""COMPUTED_VALUE"""),3.0)</f>
        <v>3</v>
      </c>
    </row>
    <row r="17">
      <c r="A17" s="2">
        <f>IFERROR(__xludf.DUMMYFUNCTION("""COMPUTED_VALUE"""),3.0)</f>
        <v>3</v>
      </c>
    </row>
    <row r="18">
      <c r="A18" s="2">
        <f>IFERROR(__xludf.DUMMYFUNCTION("""COMPUTED_VALUE"""),3.0)</f>
        <v>3</v>
      </c>
    </row>
    <row r="19">
      <c r="A19" s="2">
        <f>IFERROR(__xludf.DUMMYFUNCTION("""COMPUTED_VALUE"""),3.0)</f>
        <v>3</v>
      </c>
    </row>
    <row r="20">
      <c r="A20" s="2">
        <f>IFERROR(__xludf.DUMMYFUNCTION("""COMPUTED_VALUE"""),9.0)</f>
        <v>9</v>
      </c>
    </row>
    <row r="21">
      <c r="A21" s="2">
        <f>IFERROR(__xludf.DUMMYFUNCTION("""COMPUTED_VALUE"""),4.0)</f>
        <v>4</v>
      </c>
    </row>
    <row r="22">
      <c r="A22" s="2">
        <f>IFERROR(__xludf.DUMMYFUNCTION("""COMPUTED_VALUE"""),9.0)</f>
        <v>9</v>
      </c>
    </row>
    <row r="23">
      <c r="A23" s="2">
        <f>IFERROR(__xludf.DUMMYFUNCTION("""COMPUTED_VALUE"""),9.0)</f>
        <v>9</v>
      </c>
    </row>
    <row r="24">
      <c r="A24" s="2">
        <f>IFERROR(__xludf.DUMMYFUNCTION("""COMPUTED_VALUE"""),9.0)</f>
        <v>9</v>
      </c>
    </row>
    <row r="25">
      <c r="A25" s="2">
        <f>IFERROR(__xludf.DUMMYFUNCTION("""COMPUTED_VALUE"""),5.0)</f>
        <v>5</v>
      </c>
    </row>
    <row r="26">
      <c r="A26" s="2">
        <f>IFERROR(__xludf.DUMMYFUNCTION("""COMPUTED_VALUE"""),5.0)</f>
        <v>5</v>
      </c>
    </row>
    <row r="27">
      <c r="A27" s="2">
        <f>IFERROR(__xludf.DUMMYFUNCTION("""COMPUTED_VALUE"""),7.0)</f>
        <v>7</v>
      </c>
    </row>
    <row r="28">
      <c r="A28" s="2">
        <f>IFERROR(__xludf.DUMMYFUNCTION("""COMPUTED_VALUE"""),2.0)</f>
        <v>2</v>
      </c>
    </row>
    <row r="29">
      <c r="A29" s="2">
        <f>IFERROR(__xludf.DUMMYFUNCTION("""COMPUTED_VALUE"""),5.0)</f>
        <v>5</v>
      </c>
    </row>
    <row r="30">
      <c r="A30" s="2">
        <f>IFERROR(__xludf.DUMMYFUNCTION("""COMPUTED_VALUE"""),5.0)</f>
        <v>5</v>
      </c>
    </row>
    <row r="31">
      <c r="A31" s="2">
        <f>IFERROR(__xludf.DUMMYFUNCTION("""COMPUTED_VALUE"""),3.0)</f>
        <v>3</v>
      </c>
    </row>
    <row r="32">
      <c r="A32" s="2">
        <f>IFERROR(__xludf.DUMMYFUNCTION("""COMPUTED_VALUE"""),3.0)</f>
        <v>3</v>
      </c>
    </row>
    <row r="33">
      <c r="A33" s="2">
        <f>IFERROR(__xludf.DUMMYFUNCTION("""COMPUTED_VALUE"""),9.0)</f>
        <v>9</v>
      </c>
    </row>
    <row r="34">
      <c r="A34" s="2">
        <f>IFERROR(__xludf.DUMMYFUNCTION("""COMPUTED_VALUE"""),9.0)</f>
        <v>9</v>
      </c>
    </row>
    <row r="35">
      <c r="A35" s="2">
        <f>IFERROR(__xludf.DUMMYFUNCTION("""COMPUTED_VALUE"""),9.0)</f>
        <v>9</v>
      </c>
    </row>
    <row r="36">
      <c r="A36" s="2">
        <f>IFERROR(__xludf.DUMMYFUNCTION("""COMPUTED_VALUE"""),9.0)</f>
        <v>9</v>
      </c>
    </row>
    <row r="37">
      <c r="A37" s="2">
        <f>IFERROR(__xludf.DUMMYFUNCTION("""COMPUTED_VALUE"""),9.0)</f>
        <v>9</v>
      </c>
    </row>
    <row r="38">
      <c r="A38" s="2">
        <f>IFERROR(__xludf.DUMMYFUNCTION("""COMPUTED_VALUE"""),9.0)</f>
        <v>9</v>
      </c>
    </row>
    <row r="39">
      <c r="A39" s="2">
        <f>IFERROR(__xludf.DUMMYFUNCTION("""COMPUTED_VALUE"""),9.0)</f>
        <v>9</v>
      </c>
    </row>
    <row r="40">
      <c r="A40" s="2">
        <f>IFERROR(__xludf.DUMMYFUNCTION("""COMPUTED_VALUE"""),9.0)</f>
        <v>9</v>
      </c>
    </row>
    <row r="41">
      <c r="A41" s="2">
        <f>IFERROR(__xludf.DUMMYFUNCTION("""COMPUTED_VALUE"""),9.0)</f>
        <v>9</v>
      </c>
    </row>
    <row r="42">
      <c r="A42" s="2">
        <f>IFERROR(__xludf.DUMMYFUNCTION("""COMPUTED_VALUE"""),9.0)</f>
        <v>9</v>
      </c>
    </row>
    <row r="43">
      <c r="A43" s="2">
        <f>IFERROR(__xludf.DUMMYFUNCTION("""COMPUTED_VALUE"""),9.0)</f>
        <v>9</v>
      </c>
    </row>
    <row r="44">
      <c r="A44" s="2">
        <f>IFERROR(__xludf.DUMMYFUNCTION("""COMPUTED_VALUE"""),9.0)</f>
        <v>9</v>
      </c>
    </row>
    <row r="45">
      <c r="A45" s="2">
        <f>IFERROR(__xludf.DUMMYFUNCTION("""COMPUTED_VALUE"""),9.0)</f>
        <v>9</v>
      </c>
    </row>
    <row r="46">
      <c r="A46" s="2">
        <f>IFERROR(__xludf.DUMMYFUNCTION("""COMPUTED_VALUE"""),7.0)</f>
        <v>7</v>
      </c>
    </row>
    <row r="47">
      <c r="A47" s="2">
        <f>IFERROR(__xludf.DUMMYFUNCTION("""COMPUTED_VALUE"""),7.0)</f>
        <v>7</v>
      </c>
    </row>
    <row r="48">
      <c r="A48" s="2">
        <f>IFERROR(__xludf.DUMMYFUNCTION("""COMPUTED_VALUE"""),7.0)</f>
        <v>7</v>
      </c>
    </row>
    <row r="49">
      <c r="A49" s="2">
        <f>IFERROR(__xludf.DUMMYFUNCTION("""COMPUTED_VALUE"""),7.0)</f>
        <v>7</v>
      </c>
    </row>
    <row r="50">
      <c r="A50" s="2">
        <f>IFERROR(__xludf.DUMMYFUNCTION("""COMPUTED_VALUE"""),7.0)</f>
        <v>7</v>
      </c>
    </row>
    <row r="51">
      <c r="A51" s="2">
        <f>IFERROR(__xludf.DUMMYFUNCTION("""COMPUTED_VALUE"""),7.0)</f>
        <v>7</v>
      </c>
    </row>
    <row r="52">
      <c r="A52" s="2">
        <f>IFERROR(__xludf.DUMMYFUNCTION("""COMPUTED_VALUE"""),7.0)</f>
        <v>7</v>
      </c>
    </row>
    <row r="53">
      <c r="A53" s="2">
        <f>IFERROR(__xludf.DUMMYFUNCTION("""COMPUTED_VALUE"""),7.0)</f>
        <v>7</v>
      </c>
    </row>
    <row r="54">
      <c r="A54" s="2">
        <f>IFERROR(__xludf.DUMMYFUNCTION("""COMPUTED_VALUE"""),7.0)</f>
        <v>7</v>
      </c>
    </row>
    <row r="55">
      <c r="A55" s="2">
        <f>IFERROR(__xludf.DUMMYFUNCTION("""COMPUTED_VALUE"""),8.0)</f>
        <v>8</v>
      </c>
    </row>
    <row r="56">
      <c r="A56" s="2">
        <f>IFERROR(__xludf.DUMMYFUNCTION("""COMPUTED_VALUE"""),8.0)</f>
        <v>8</v>
      </c>
    </row>
    <row r="57">
      <c r="A57" s="2">
        <f>IFERROR(__xludf.DUMMYFUNCTION("""COMPUTED_VALUE"""),8.0)</f>
        <v>8</v>
      </c>
    </row>
    <row r="58">
      <c r="A58" s="2">
        <f>IFERROR(__xludf.DUMMYFUNCTION("""COMPUTED_VALUE"""),8.0)</f>
        <v>8</v>
      </c>
    </row>
    <row r="59">
      <c r="A59" s="2">
        <f>IFERROR(__xludf.DUMMYFUNCTION("""COMPUTED_VALUE"""),8.0)</f>
        <v>8</v>
      </c>
    </row>
    <row r="60">
      <c r="A60" s="2">
        <f>IFERROR(__xludf.DUMMYFUNCTION("""COMPUTED_VALUE"""),2.0)</f>
        <v>2</v>
      </c>
    </row>
    <row r="61">
      <c r="A61" s="2">
        <f>IFERROR(__xludf.DUMMYFUNCTION("""COMPUTED_VALUE"""),4.0)</f>
        <v>4</v>
      </c>
    </row>
    <row r="62">
      <c r="A62" s="2">
        <f>IFERROR(__xludf.DUMMYFUNCTION("""COMPUTED_VALUE"""),4.0)</f>
        <v>4</v>
      </c>
    </row>
    <row r="63">
      <c r="A63" s="2">
        <f>IFERROR(__xludf.DUMMYFUNCTION("""COMPUTED_VALUE"""),1.0)</f>
        <v>1</v>
      </c>
    </row>
    <row r="64">
      <c r="A64" s="2">
        <f>IFERROR(__xludf.DUMMYFUNCTION("""COMPUTED_VALUE"""),1.0)</f>
        <v>1</v>
      </c>
    </row>
    <row r="65">
      <c r="A65" s="2">
        <f>IFERROR(__xludf.DUMMYFUNCTION("""COMPUTED_VALUE"""),1.0)</f>
        <v>1</v>
      </c>
    </row>
    <row r="66">
      <c r="A66" s="2">
        <f>IFERROR(__xludf.DUMMYFUNCTION("""COMPUTED_VALUE"""),1.0)</f>
        <v>1</v>
      </c>
    </row>
    <row r="67">
      <c r="A67" s="2">
        <f>IFERROR(__xludf.DUMMYFUNCTION("""COMPUTED_VALUE"""),1.0)</f>
        <v>1</v>
      </c>
    </row>
    <row r="68">
      <c r="A68" s="2">
        <f>IFERROR(__xludf.DUMMYFUNCTION("""COMPUTED_VALUE"""),1.0)</f>
        <v>1</v>
      </c>
    </row>
    <row r="69">
      <c r="A69" s="2">
        <f>IFERROR(__xludf.DUMMYFUNCTION("""COMPUTED_VALUE"""),1.0)</f>
        <v>1</v>
      </c>
    </row>
    <row r="70">
      <c r="A70" s="2">
        <f>IFERROR(__xludf.DUMMYFUNCTION("""COMPUTED_VALUE"""),1.0)</f>
        <v>1</v>
      </c>
    </row>
    <row r="71">
      <c r="A71" s="2">
        <f>IFERROR(__xludf.DUMMYFUNCTION("""COMPUTED_VALUE"""),1.0)</f>
        <v>1</v>
      </c>
    </row>
    <row r="72">
      <c r="A72" s="2">
        <f>IFERROR(__xludf.DUMMYFUNCTION("""COMPUTED_VALUE"""),5.0)</f>
        <v>5</v>
      </c>
    </row>
    <row r="73">
      <c r="A73" s="2">
        <f>IFERROR(__xludf.DUMMYFUNCTION("""COMPUTED_VALUE"""),5.0)</f>
        <v>5</v>
      </c>
    </row>
    <row r="74">
      <c r="A74" s="2">
        <f>IFERROR(__xludf.DUMMYFUNCTION("""COMPUTED_VALUE"""),5.0)</f>
        <v>5</v>
      </c>
    </row>
    <row r="75">
      <c r="A75" s="2">
        <f>IFERROR(__xludf.DUMMYFUNCTION("""COMPUTED_VALUE"""),2.0)</f>
        <v>2</v>
      </c>
    </row>
    <row r="76">
      <c r="A76" s="2">
        <f>IFERROR(__xludf.DUMMYFUNCTION("""COMPUTED_VALUE"""),2.0)</f>
        <v>2</v>
      </c>
    </row>
    <row r="77">
      <c r="A77" s="2">
        <f>IFERROR(__xludf.DUMMYFUNCTION("""COMPUTED_VALUE"""),2.0)</f>
        <v>2</v>
      </c>
    </row>
    <row r="78">
      <c r="A78" s="2">
        <f>IFERROR(__xludf.DUMMYFUNCTION("""COMPUTED_VALUE"""),2.0)</f>
        <v>2</v>
      </c>
    </row>
    <row r="79">
      <c r="A79" s="2">
        <f>IFERROR(__xludf.DUMMYFUNCTION("""COMPUTED_VALUE"""),2.0)</f>
        <v>2</v>
      </c>
    </row>
    <row r="80">
      <c r="A80" s="2">
        <f>IFERROR(__xludf.DUMMYFUNCTION("""COMPUTED_VALUE"""),8.0)</f>
        <v>8</v>
      </c>
    </row>
    <row r="81">
      <c r="A81" s="2">
        <f>IFERROR(__xludf.DUMMYFUNCTION("""COMPUTED_VALUE"""),7.0)</f>
        <v>7</v>
      </c>
    </row>
    <row r="82">
      <c r="A82" s="2">
        <f>IFERROR(__xludf.DUMMYFUNCTION("""COMPUTED_VALUE"""),7.0)</f>
        <v>7</v>
      </c>
    </row>
    <row r="83">
      <c r="A83" s="2">
        <f>IFERROR(__xludf.DUMMYFUNCTION("""COMPUTED_VALUE"""),7.0)</f>
        <v>7</v>
      </c>
    </row>
    <row r="84">
      <c r="A84" s="2">
        <f>IFERROR(__xludf.DUMMYFUNCTION("""COMPUTED_VALUE"""),7.0)</f>
        <v>7</v>
      </c>
    </row>
    <row r="85">
      <c r="A85" s="2">
        <f>IFERROR(__xludf.DUMMYFUNCTION("""COMPUTED_VALUE"""),7.0)</f>
        <v>7</v>
      </c>
    </row>
    <row r="86">
      <c r="A86" s="2">
        <f>IFERROR(__xludf.DUMMYFUNCTION("""COMPUTED_VALUE"""),2.0)</f>
        <v>2</v>
      </c>
    </row>
    <row r="87">
      <c r="A87" s="2">
        <f>IFERROR(__xludf.DUMMYFUNCTION("""COMPUTED_VALUE"""),7.0)</f>
        <v>7</v>
      </c>
    </row>
    <row r="88">
      <c r="A88" s="2">
        <f>IFERROR(__xludf.DUMMYFUNCTION("""COMPUTED_VALUE"""),7.0)</f>
        <v>7</v>
      </c>
    </row>
    <row r="89">
      <c r="A89" s="2">
        <f>IFERROR(__xludf.DUMMYFUNCTION("""COMPUTED_VALUE"""),6.0)</f>
        <v>6</v>
      </c>
    </row>
    <row r="90">
      <c r="A90" s="2">
        <f>IFERROR(__xludf.DUMMYFUNCTION("""COMPUTED_VALUE"""),4.0)</f>
        <v>4</v>
      </c>
    </row>
    <row r="91">
      <c r="A91" s="2">
        <f>IFERROR(__xludf.DUMMYFUNCTION("""COMPUTED_VALUE"""),4.0)</f>
        <v>4</v>
      </c>
    </row>
    <row r="92">
      <c r="A92" s="2">
        <f>IFERROR(__xludf.DUMMYFUNCTION("""COMPUTED_VALUE"""),4.0)</f>
        <v>4</v>
      </c>
    </row>
    <row r="93">
      <c r="A93" s="2">
        <f>IFERROR(__xludf.DUMMYFUNCTION("""COMPUTED_VALUE"""),4.0)</f>
        <v>4</v>
      </c>
    </row>
    <row r="94">
      <c r="A94" s="2">
        <f>IFERROR(__xludf.DUMMYFUNCTION("""COMPUTED_VALUE"""),4.0)</f>
        <v>4</v>
      </c>
    </row>
    <row r="95">
      <c r="A95" s="2">
        <f>IFERROR(__xludf.DUMMYFUNCTION("""COMPUTED_VALUE"""),4.0)</f>
        <v>4</v>
      </c>
    </row>
    <row r="96">
      <c r="A96" s="2">
        <f>IFERROR(__xludf.DUMMYFUNCTION("""COMPUTED_VALUE"""),8.0)</f>
        <v>8</v>
      </c>
    </row>
    <row r="97">
      <c r="A97" s="2">
        <f>IFERROR(__xludf.DUMMYFUNCTION("""COMPUTED_VALUE"""),8.0)</f>
        <v>8</v>
      </c>
    </row>
    <row r="98">
      <c r="A98" s="2">
        <f>IFERROR(__xludf.DUMMYFUNCTION("""COMPUTED_VALUE"""),8.0)</f>
        <v>8</v>
      </c>
    </row>
    <row r="99">
      <c r="A99" s="2">
        <f>IFERROR(__xludf.DUMMYFUNCTION("""COMPUTED_VALUE"""),8.0)</f>
        <v>8</v>
      </c>
    </row>
    <row r="100">
      <c r="A100" s="2">
        <f>IFERROR(__xludf.DUMMYFUNCTION("""COMPUTED_VALUE"""),8.0)</f>
        <v>8</v>
      </c>
    </row>
    <row r="101">
      <c r="A101" s="2">
        <f>IFERROR(__xludf.DUMMYFUNCTION("""COMPUTED_VALUE"""),8.0)</f>
        <v>8</v>
      </c>
    </row>
    <row r="102">
      <c r="A102" s="2">
        <f>IFERROR(__xludf.DUMMYFUNCTION("""COMPUTED_VALUE"""),8.0)</f>
        <v>8</v>
      </c>
    </row>
    <row r="103">
      <c r="A103" s="2">
        <f>IFERROR(__xludf.DUMMYFUNCTION("""COMPUTED_VALUE"""),8.0)</f>
        <v>8</v>
      </c>
    </row>
    <row r="104">
      <c r="A104" s="2">
        <f>IFERROR(__xludf.DUMMYFUNCTION("""COMPUTED_VALUE"""),8.0)</f>
        <v>8</v>
      </c>
    </row>
    <row r="105">
      <c r="A105" s="2">
        <f>IFERROR(__xludf.DUMMYFUNCTION("""COMPUTED_VALUE"""),8.0)</f>
        <v>8</v>
      </c>
    </row>
    <row r="106">
      <c r="A106" s="2">
        <f>IFERROR(__xludf.DUMMYFUNCTION("""COMPUTED_VALUE"""),8.0)</f>
        <v>8</v>
      </c>
    </row>
    <row r="107">
      <c r="A107" s="2">
        <f>IFERROR(__xludf.DUMMYFUNCTION("""COMPUTED_VALUE"""),8.0)</f>
        <v>8</v>
      </c>
    </row>
    <row r="108">
      <c r="A108" s="2">
        <f>IFERROR(__xludf.DUMMYFUNCTION("""COMPUTED_VALUE"""),8.0)</f>
        <v>8</v>
      </c>
    </row>
    <row r="109">
      <c r="A109" s="2">
        <f>IFERROR(__xludf.DUMMYFUNCTION("""COMPUTED_VALUE"""),6.0)</f>
        <v>6</v>
      </c>
    </row>
    <row r="110">
      <c r="A110" s="2">
        <f>IFERROR(__xludf.DUMMYFUNCTION("""COMPUTED_VALUE"""),6.0)</f>
        <v>6</v>
      </c>
    </row>
    <row r="111">
      <c r="A111" s="2">
        <f>IFERROR(__xludf.DUMMYFUNCTION("""COMPUTED_VALUE"""),6.0)</f>
        <v>6</v>
      </c>
    </row>
    <row r="112">
      <c r="A112" s="2">
        <f>IFERROR(__xludf.DUMMYFUNCTION("""COMPUTED_VALUE"""),8.0)</f>
        <v>8</v>
      </c>
    </row>
    <row r="113">
      <c r="A113" s="2">
        <f>IFERROR(__xludf.DUMMYFUNCTION("""COMPUTED_VALUE"""),8.0)</f>
        <v>8</v>
      </c>
    </row>
    <row r="114">
      <c r="A114" s="2">
        <f>IFERROR(__xludf.DUMMYFUNCTION("""COMPUTED_VALUE"""),5.0)</f>
        <v>5</v>
      </c>
    </row>
    <row r="115">
      <c r="A115" s="2">
        <f>IFERROR(__xludf.DUMMYFUNCTION("""COMPUTED_VALUE"""),5.0)</f>
        <v>5</v>
      </c>
    </row>
    <row r="116">
      <c r="A116" s="2">
        <f>IFERROR(__xludf.DUMMYFUNCTION("""COMPUTED_VALUE"""),5.0)</f>
        <v>5</v>
      </c>
    </row>
    <row r="117">
      <c r="A117" s="2">
        <f>IFERROR(__xludf.DUMMYFUNCTION("""COMPUTED_VALUE"""),5.0)</f>
        <v>5</v>
      </c>
    </row>
    <row r="118">
      <c r="A118" s="2">
        <f>IFERROR(__xludf.DUMMYFUNCTION("""COMPUTED_VALUE"""),5.0)</f>
        <v>5</v>
      </c>
    </row>
    <row r="119">
      <c r="A119" s="2">
        <f>IFERROR(__xludf.DUMMYFUNCTION("""COMPUTED_VALUE"""),5.0)</f>
        <v>5</v>
      </c>
    </row>
    <row r="120">
      <c r="A120" s="2">
        <f>IFERROR(__xludf.DUMMYFUNCTION("""COMPUTED_VALUE"""),5.0)</f>
        <v>5</v>
      </c>
    </row>
    <row r="121">
      <c r="A121" s="2">
        <f>IFERROR(__xludf.DUMMYFUNCTION("""COMPUTED_VALUE"""),5.0)</f>
        <v>5</v>
      </c>
    </row>
    <row r="122">
      <c r="A122" s="2">
        <f>IFERROR(__xludf.DUMMYFUNCTION("""COMPUTED_VALUE"""),5.0)</f>
        <v>5</v>
      </c>
    </row>
    <row r="123">
      <c r="A123" s="2">
        <f>IFERROR(__xludf.DUMMYFUNCTION("""COMPUTED_VALUE"""),5.0)</f>
        <v>5</v>
      </c>
    </row>
    <row r="124">
      <c r="A124" s="2">
        <f>IFERROR(__xludf.DUMMYFUNCTION("""COMPUTED_VALUE"""),6.0)</f>
        <v>6</v>
      </c>
    </row>
    <row r="125">
      <c r="A125" s="2">
        <f>IFERROR(__xludf.DUMMYFUNCTION("""COMPUTED_VALUE"""),6.0)</f>
        <v>6</v>
      </c>
    </row>
    <row r="126">
      <c r="A126" s="2">
        <f>IFERROR(__xludf.DUMMYFUNCTION("""COMPUTED_VALUE"""),6.0)</f>
        <v>6</v>
      </c>
    </row>
    <row r="127">
      <c r="A127" s="2">
        <f>IFERROR(__xludf.DUMMYFUNCTION("""COMPUTED_VALUE"""),6.0)</f>
        <v>6</v>
      </c>
    </row>
    <row r="128">
      <c r="A128" s="2">
        <f>IFERROR(__xludf.DUMMYFUNCTION("""COMPUTED_VALUE"""),6.0)</f>
        <v>6</v>
      </c>
    </row>
    <row r="129">
      <c r="A129" s="2">
        <f>IFERROR(__xludf.DUMMYFUNCTION("""COMPUTED_VALUE"""),1.0)</f>
        <v>1</v>
      </c>
    </row>
    <row r="130">
      <c r="A130" s="2">
        <f>IFERROR(__xludf.DUMMYFUNCTION("""COMPUTED_VALUE"""),1.0)</f>
        <v>1</v>
      </c>
    </row>
    <row r="131">
      <c r="A131" s="2">
        <f>IFERROR(__xludf.DUMMYFUNCTION("""COMPUTED_VALUE"""),1.0)</f>
        <v>1</v>
      </c>
    </row>
    <row r="132">
      <c r="A132" s="2">
        <f>IFERROR(__xludf.DUMMYFUNCTION("""COMPUTED_VALUE"""),1.0)</f>
        <v>1</v>
      </c>
    </row>
    <row r="133">
      <c r="A133" s="2">
        <f>IFERROR(__xludf.DUMMYFUNCTION("""COMPUTED_VALUE"""),1.0)</f>
        <v>1</v>
      </c>
    </row>
    <row r="134">
      <c r="A134" s="2">
        <f>IFERROR(__xludf.DUMMYFUNCTION("""COMPUTED_VALUE"""),1.0)</f>
        <v>1</v>
      </c>
    </row>
    <row r="135">
      <c r="A135" s="2">
        <f>IFERROR(__xludf.DUMMYFUNCTION("""COMPUTED_VALUE"""),1.0)</f>
        <v>1</v>
      </c>
    </row>
    <row r="136">
      <c r="A136" s="2">
        <f>IFERROR(__xludf.DUMMYFUNCTION("""COMPUTED_VALUE"""),1.0)</f>
        <v>1</v>
      </c>
    </row>
    <row r="137">
      <c r="A137" s="2">
        <f>IFERROR(__xludf.DUMMYFUNCTION("""COMPUTED_VALUE"""),1.0)</f>
        <v>1</v>
      </c>
    </row>
    <row r="138">
      <c r="A138" s="2">
        <f>IFERROR(__xludf.DUMMYFUNCTION("""COMPUTED_VALUE"""),1.0)</f>
        <v>1</v>
      </c>
    </row>
    <row r="139">
      <c r="A139" s="2">
        <f>IFERROR(__xludf.DUMMYFUNCTION("""COMPUTED_VALUE"""),6.0)</f>
        <v>6</v>
      </c>
    </row>
    <row r="140">
      <c r="A140" s="2">
        <f>IFERROR(__xludf.DUMMYFUNCTION("""COMPUTED_VALUE"""),4.0)</f>
        <v>4</v>
      </c>
    </row>
    <row r="141">
      <c r="A141" s="2">
        <f>IFERROR(__xludf.DUMMYFUNCTION("""COMPUTED_VALUE"""),4.0)</f>
        <v>4</v>
      </c>
    </row>
    <row r="142">
      <c r="A142" s="2">
        <f>IFERROR(__xludf.DUMMYFUNCTION("""COMPUTED_VALUE"""),4.0)</f>
        <v>4</v>
      </c>
    </row>
    <row r="143">
      <c r="A143" s="2">
        <f>IFERROR(__xludf.DUMMYFUNCTION("""COMPUTED_VALUE"""),4.0)</f>
        <v>4</v>
      </c>
    </row>
    <row r="144">
      <c r="A144" s="2">
        <f>IFERROR(__xludf.DUMMYFUNCTION("""COMPUTED_VALUE"""),4.0)</f>
        <v>4</v>
      </c>
    </row>
    <row r="145">
      <c r="A145" s="2">
        <f>IFERROR(__xludf.DUMMYFUNCTION("""COMPUTED_VALUE"""),4.0)</f>
        <v>4</v>
      </c>
    </row>
    <row r="146">
      <c r="A146" s="2">
        <f>IFERROR(__xludf.DUMMYFUNCTION("""COMPUTED_VALUE"""),8.0)</f>
        <v>8</v>
      </c>
    </row>
    <row r="147">
      <c r="A147" s="2">
        <f>IFERROR(__xludf.DUMMYFUNCTION("""COMPUTED_VALUE"""),3.0)</f>
        <v>3</v>
      </c>
    </row>
    <row r="148">
      <c r="A148" s="2">
        <f>IFERROR(__xludf.DUMMYFUNCTION("""COMPUTED_VALUE"""),3.0)</f>
        <v>3</v>
      </c>
    </row>
    <row r="149">
      <c r="A149" s="2">
        <f>IFERROR(__xludf.DUMMYFUNCTION("""COMPUTED_VALUE"""),3.0)</f>
        <v>3</v>
      </c>
    </row>
    <row r="150">
      <c r="A150" s="2">
        <f>IFERROR(__xludf.DUMMYFUNCTION("""COMPUTED_VALUE"""),3.0)</f>
        <v>3</v>
      </c>
    </row>
    <row r="151">
      <c r="A151" s="2">
        <f>IFERROR(__xludf.DUMMYFUNCTION("""COMPUTED_VALUE"""),3.0)</f>
        <v>3</v>
      </c>
    </row>
    <row r="152">
      <c r="A152" s="2">
        <f>IFERROR(__xludf.DUMMYFUNCTION("""COMPUTED_VALUE"""),6.0)</f>
        <v>6</v>
      </c>
    </row>
    <row r="153">
      <c r="A153" s="2">
        <f>IFERROR(__xludf.DUMMYFUNCTION("""COMPUTED_VALUE"""),6.0)</f>
        <v>6</v>
      </c>
    </row>
    <row r="154">
      <c r="A154" s="2">
        <f>IFERROR(__xludf.DUMMYFUNCTION("""COMPUTED_VALUE"""),9.0)</f>
        <v>9</v>
      </c>
    </row>
    <row r="155">
      <c r="A155" s="2">
        <f>IFERROR(__xludf.DUMMYFUNCTION("""COMPUTED_VALUE"""),7.0)</f>
        <v>7</v>
      </c>
    </row>
    <row r="156">
      <c r="A156" s="2">
        <f>IFERROR(__xludf.DUMMYFUNCTION("""COMPUTED_VALUE"""),7.0)</f>
        <v>7</v>
      </c>
    </row>
    <row r="157">
      <c r="A157" s="2">
        <f>IFERROR(__xludf.DUMMYFUNCTION("""COMPUTED_VALUE"""),1.0)</f>
        <v>1</v>
      </c>
    </row>
    <row r="158">
      <c r="A158" s="2">
        <f>IFERROR(__xludf.DUMMYFUNCTION("""COMPUTED_VALUE"""),1.0)</f>
        <v>1</v>
      </c>
    </row>
    <row r="159">
      <c r="A159" s="2">
        <f>IFERROR(__xludf.DUMMYFUNCTION("""COMPUTED_VALUE"""),1.0)</f>
        <v>1</v>
      </c>
    </row>
    <row r="160">
      <c r="A160" s="2">
        <f>IFERROR(__xludf.DUMMYFUNCTION("""COMPUTED_VALUE"""),2.0)</f>
        <v>2</v>
      </c>
    </row>
    <row r="161">
      <c r="A161" s="2">
        <f>IFERROR(__xludf.DUMMYFUNCTION("""COMPUTED_VALUE"""),2.0)</f>
        <v>2</v>
      </c>
    </row>
    <row r="162">
      <c r="A162" s="2">
        <f>IFERROR(__xludf.DUMMYFUNCTION("""COMPUTED_VALUE"""),3.0)</f>
        <v>3</v>
      </c>
    </row>
    <row r="163">
      <c r="A163" s="2">
        <f>IFERROR(__xludf.DUMMYFUNCTION("""COMPUTED_VALUE"""),3.0)</f>
        <v>3</v>
      </c>
    </row>
    <row r="164">
      <c r="A164" s="2">
        <f>IFERROR(__xludf.DUMMYFUNCTION("""COMPUTED_VALUE"""),3.0)</f>
        <v>3</v>
      </c>
    </row>
    <row r="165">
      <c r="A165" s="2">
        <f>IFERROR(__xludf.DUMMYFUNCTION("""COMPUTED_VALUE"""),3.0)</f>
        <v>3</v>
      </c>
    </row>
    <row r="166">
      <c r="A166" s="2">
        <f>IFERROR(__xludf.DUMMYFUNCTION("""COMPUTED_VALUE"""),3.0)</f>
        <v>3</v>
      </c>
    </row>
    <row r="167">
      <c r="A167" s="2">
        <f>IFERROR(__xludf.DUMMYFUNCTION("""COMPUTED_VALUE"""),3.0)</f>
        <v>3</v>
      </c>
    </row>
    <row r="168">
      <c r="A168" s="2">
        <f>IFERROR(__xludf.DUMMYFUNCTION("""COMPUTED_VALUE"""),6.0)</f>
        <v>6</v>
      </c>
    </row>
    <row r="169">
      <c r="A169" s="2">
        <f>IFERROR(__xludf.DUMMYFUNCTION("""COMPUTED_VALUE"""),6.0)</f>
        <v>6</v>
      </c>
    </row>
    <row r="170">
      <c r="A170" s="2">
        <f>IFERROR(__xludf.DUMMYFUNCTION("""COMPUTED_VALUE"""),6.0)</f>
        <v>6</v>
      </c>
    </row>
    <row r="171">
      <c r="A171" s="2">
        <f>IFERROR(__xludf.DUMMYFUNCTION("""COMPUTED_VALUE"""),6.0)</f>
        <v>6</v>
      </c>
    </row>
    <row r="172">
      <c r="A172" s="2">
        <f>IFERROR(__xludf.DUMMYFUNCTION("""COMPUTED_VALUE"""),6.0)</f>
        <v>6</v>
      </c>
    </row>
    <row r="173">
      <c r="A173" s="2">
        <f>IFERROR(__xludf.DUMMYFUNCTION("""COMPUTED_VALUE"""),6.0)</f>
        <v>6</v>
      </c>
    </row>
    <row r="174">
      <c r="A174" s="2">
        <f>IFERROR(__xludf.DUMMYFUNCTION("""COMPUTED_VALUE"""),6.0)</f>
        <v>6</v>
      </c>
    </row>
    <row r="175">
      <c r="A175" s="2">
        <f>IFERROR(__xludf.DUMMYFUNCTION("""COMPUTED_VALUE"""),2.0)</f>
        <v>2</v>
      </c>
    </row>
    <row r="176">
      <c r="A176" s="2">
        <f>IFERROR(__xludf.DUMMYFUNCTION("""COMPUTED_VALUE"""),2.0)</f>
        <v>2</v>
      </c>
    </row>
    <row r="177">
      <c r="A177" s="2">
        <f>IFERROR(__xludf.DUMMYFUNCTION("""COMPUTED_VALUE"""),2.0)</f>
        <v>2</v>
      </c>
    </row>
    <row r="178">
      <c r="A178" s="2">
        <f>IFERROR(__xludf.DUMMYFUNCTION("""COMPUTED_VALUE"""),2.0)</f>
        <v>2</v>
      </c>
    </row>
    <row r="179">
      <c r="A179" s="2">
        <f>IFERROR(__xludf.DUMMYFUNCTION("""COMPUTED_VALUE"""),2.0)</f>
        <v>2</v>
      </c>
    </row>
    <row r="180">
      <c r="A180" s="2">
        <f>IFERROR(__xludf.DUMMYFUNCTION("""COMPUTED_VALUE"""),8.0)</f>
        <v>8</v>
      </c>
    </row>
    <row r="181">
      <c r="A181" s="2">
        <f>IFERROR(__xludf.DUMMYFUNCTION("""COMPUTED_VALUE"""),8.0)</f>
        <v>8</v>
      </c>
    </row>
    <row r="182">
      <c r="A182" s="2">
        <f>IFERROR(__xludf.DUMMYFUNCTION("""COMPUTED_VALUE"""),8.0)</f>
        <v>8</v>
      </c>
    </row>
    <row r="183">
      <c r="A183" s="2">
        <f>IFERROR(__xludf.DUMMYFUNCTION("""COMPUTED_VALUE"""),8.0)</f>
        <v>8</v>
      </c>
    </row>
    <row r="184">
      <c r="A184" s="2">
        <f>IFERROR(__xludf.DUMMYFUNCTION("""COMPUTED_VALUE"""),8.0)</f>
        <v>8</v>
      </c>
    </row>
    <row r="185">
      <c r="A185" s="2">
        <f>IFERROR(__xludf.DUMMYFUNCTION("""COMPUTED_VALUE"""),8.0)</f>
        <v>8</v>
      </c>
    </row>
    <row r="186">
      <c r="A186" s="2">
        <f>IFERROR(__xludf.DUMMYFUNCTION("""COMPUTED_VALUE"""),8.0)</f>
        <v>8</v>
      </c>
    </row>
    <row r="187">
      <c r="A187" s="2">
        <f>IFERROR(__xludf.DUMMYFUNCTION("""COMPUTED_VALUE"""),8.0)</f>
        <v>8</v>
      </c>
    </row>
    <row r="188">
      <c r="A188" s="2">
        <f>IFERROR(__xludf.DUMMYFUNCTION("""COMPUTED_VALUE"""),8.0)</f>
        <v>8</v>
      </c>
    </row>
    <row r="189">
      <c r="A189" s="2">
        <f>IFERROR(__xludf.DUMMYFUNCTION("""COMPUTED_VALUE"""),8.0)</f>
        <v>8</v>
      </c>
    </row>
    <row r="190">
      <c r="A190" s="2">
        <f>IFERROR(__xludf.DUMMYFUNCTION("""COMPUTED_VALUE"""),3.0)</f>
        <v>3</v>
      </c>
    </row>
    <row r="191">
      <c r="A191" s="2">
        <f>IFERROR(__xludf.DUMMYFUNCTION("""COMPUTED_VALUE"""),3.0)</f>
        <v>3</v>
      </c>
    </row>
    <row r="192">
      <c r="A192" s="2">
        <f>IFERROR(__xludf.DUMMYFUNCTION("""COMPUTED_VALUE"""),7.0)</f>
        <v>7</v>
      </c>
    </row>
    <row r="193">
      <c r="A193" s="2">
        <f>IFERROR(__xludf.DUMMYFUNCTION("""COMPUTED_VALUE"""),7.0)</f>
        <v>7</v>
      </c>
    </row>
    <row r="194">
      <c r="A194" s="2">
        <f>IFERROR(__xludf.DUMMYFUNCTION("""COMPUTED_VALUE"""),7.0)</f>
        <v>7</v>
      </c>
    </row>
    <row r="195">
      <c r="A195" s="2">
        <f>IFERROR(__xludf.DUMMYFUNCTION("""COMPUTED_VALUE"""),7.0)</f>
        <v>7</v>
      </c>
    </row>
    <row r="196">
      <c r="A196" s="2">
        <f>IFERROR(__xludf.DUMMYFUNCTION("""COMPUTED_VALUE"""),7.0)</f>
        <v>7</v>
      </c>
    </row>
    <row r="197">
      <c r="A197" s="2">
        <f>IFERROR(__xludf.DUMMYFUNCTION("""COMPUTED_VALUE"""),7.0)</f>
        <v>7</v>
      </c>
    </row>
    <row r="198">
      <c r="A198" s="2">
        <f>IFERROR(__xludf.DUMMYFUNCTION("""COMPUTED_VALUE"""),7.0)</f>
        <v>7</v>
      </c>
    </row>
    <row r="199">
      <c r="A199" s="2">
        <f>IFERROR(__xludf.DUMMYFUNCTION("""COMPUTED_VALUE"""),7.0)</f>
        <v>7</v>
      </c>
    </row>
    <row r="200">
      <c r="A200" s="2">
        <f>IFERROR(__xludf.DUMMYFUNCTION("""COMPUTED_VALUE"""),8.0)</f>
        <v>8</v>
      </c>
    </row>
    <row r="201">
      <c r="A201" s="2">
        <f>IFERROR(__xludf.DUMMYFUNCTION("""COMPUTED_VALUE"""),8.0)</f>
        <v>8</v>
      </c>
    </row>
    <row r="202">
      <c r="A202" s="2">
        <f>IFERROR(__xludf.DUMMYFUNCTION("""COMPUTED_VALUE"""),8.0)</f>
        <v>8</v>
      </c>
    </row>
    <row r="203">
      <c r="A203" s="2">
        <f>IFERROR(__xludf.DUMMYFUNCTION("""COMPUTED_VALUE"""),8.0)</f>
        <v>8</v>
      </c>
    </row>
    <row r="204">
      <c r="A204" s="2">
        <f>IFERROR(__xludf.DUMMYFUNCTION("""COMPUTED_VALUE"""),8.0)</f>
        <v>8</v>
      </c>
    </row>
    <row r="205">
      <c r="A205" s="2">
        <f>IFERROR(__xludf.DUMMYFUNCTION("""COMPUTED_VALUE"""),8.0)</f>
        <v>8</v>
      </c>
    </row>
    <row r="206">
      <c r="A206" s="2">
        <f>IFERROR(__xludf.DUMMYFUNCTION("""COMPUTED_VALUE"""),8.0)</f>
        <v>8</v>
      </c>
    </row>
    <row r="207">
      <c r="A207" s="2">
        <f>IFERROR(__xludf.DUMMYFUNCTION("""COMPUTED_VALUE"""),8.0)</f>
        <v>8</v>
      </c>
    </row>
    <row r="208">
      <c r="A208" s="2">
        <f>IFERROR(__xludf.DUMMYFUNCTION("""COMPUTED_VALUE"""),8.0)</f>
        <v>8</v>
      </c>
    </row>
    <row r="209">
      <c r="A209" s="2">
        <f>IFERROR(__xludf.DUMMYFUNCTION("""COMPUTED_VALUE"""),2.0)</f>
        <v>2</v>
      </c>
    </row>
    <row r="210">
      <c r="A210" s="2">
        <f>IFERROR(__xludf.DUMMYFUNCTION("""COMPUTED_VALUE"""),8.0)</f>
        <v>8</v>
      </c>
    </row>
    <row r="211">
      <c r="A211" s="2">
        <f>IFERROR(__xludf.DUMMYFUNCTION("""COMPUTED_VALUE"""),8.0)</f>
        <v>8</v>
      </c>
    </row>
    <row r="212">
      <c r="A212" s="2">
        <f>IFERROR(__xludf.DUMMYFUNCTION("""COMPUTED_VALUE"""),9.0)</f>
        <v>9</v>
      </c>
    </row>
    <row r="213">
      <c r="A213" s="2">
        <f>IFERROR(__xludf.DUMMYFUNCTION("""COMPUTED_VALUE"""),9.0)</f>
        <v>9</v>
      </c>
    </row>
    <row r="214">
      <c r="A214" s="2">
        <f>IFERROR(__xludf.DUMMYFUNCTION("""COMPUTED_VALUE"""),9.0)</f>
        <v>9</v>
      </c>
    </row>
    <row r="215">
      <c r="A215" s="2">
        <f>IFERROR(__xludf.DUMMYFUNCTION("""COMPUTED_VALUE"""),9.0)</f>
        <v>9</v>
      </c>
    </row>
    <row r="216">
      <c r="A216" s="2">
        <f>IFERROR(__xludf.DUMMYFUNCTION("""COMPUTED_VALUE"""),9.0)</f>
        <v>9</v>
      </c>
    </row>
    <row r="217">
      <c r="A217" s="2">
        <f>IFERROR(__xludf.DUMMYFUNCTION("""COMPUTED_VALUE"""),4.0)</f>
        <v>4</v>
      </c>
    </row>
    <row r="218">
      <c r="A218" s="2">
        <f>IFERROR(__xludf.DUMMYFUNCTION("""COMPUTED_VALUE"""),4.0)</f>
        <v>4</v>
      </c>
    </row>
    <row r="219">
      <c r="A219" s="2">
        <f>IFERROR(__xludf.DUMMYFUNCTION("""COMPUTED_VALUE"""),4.0)</f>
        <v>4</v>
      </c>
    </row>
    <row r="220">
      <c r="A220" s="2">
        <f>IFERROR(__xludf.DUMMYFUNCTION("""COMPUTED_VALUE"""),4.0)</f>
        <v>4</v>
      </c>
    </row>
    <row r="221">
      <c r="A221" s="2">
        <f>IFERROR(__xludf.DUMMYFUNCTION("""COMPUTED_VALUE"""),4.0)</f>
        <v>4</v>
      </c>
    </row>
    <row r="222">
      <c r="A222" s="2">
        <f>IFERROR(__xludf.DUMMYFUNCTION("""COMPUTED_VALUE"""),5.0)</f>
        <v>5</v>
      </c>
    </row>
    <row r="223">
      <c r="A223" s="2">
        <f>IFERROR(__xludf.DUMMYFUNCTION("""COMPUTED_VALUE"""),5.0)</f>
        <v>5</v>
      </c>
    </row>
    <row r="224">
      <c r="A224" s="2">
        <f>IFERROR(__xludf.DUMMYFUNCTION("""COMPUTED_VALUE"""),5.0)</f>
        <v>5</v>
      </c>
    </row>
    <row r="225">
      <c r="A225" s="2">
        <f>IFERROR(__xludf.DUMMYFUNCTION("""COMPUTED_VALUE"""),5.0)</f>
        <v>5</v>
      </c>
    </row>
    <row r="226">
      <c r="A226" s="2">
        <f>IFERROR(__xludf.DUMMYFUNCTION("""COMPUTED_VALUE"""),8.0)</f>
        <v>8</v>
      </c>
    </row>
    <row r="227">
      <c r="A227" s="2">
        <f>IFERROR(__xludf.DUMMYFUNCTION("""COMPUTED_VALUE"""),8.0)</f>
        <v>8</v>
      </c>
    </row>
    <row r="228">
      <c r="A228" s="2">
        <f>IFERROR(__xludf.DUMMYFUNCTION("""COMPUTED_VALUE"""),8.0)</f>
        <v>8</v>
      </c>
    </row>
    <row r="229">
      <c r="A229" s="2">
        <f>IFERROR(__xludf.DUMMYFUNCTION("""COMPUTED_VALUE"""),8.0)</f>
        <v>8</v>
      </c>
    </row>
    <row r="230">
      <c r="A230" s="2">
        <f>IFERROR(__xludf.DUMMYFUNCTION("""COMPUTED_VALUE"""),8.0)</f>
        <v>8</v>
      </c>
    </row>
    <row r="231">
      <c r="A231" s="2">
        <f>IFERROR(__xludf.DUMMYFUNCTION("""COMPUTED_VALUE"""),8.0)</f>
        <v>8</v>
      </c>
    </row>
    <row r="232">
      <c r="A232" s="2">
        <f>IFERROR(__xludf.DUMMYFUNCTION("""COMPUTED_VALUE"""),8.0)</f>
        <v>8</v>
      </c>
    </row>
    <row r="233">
      <c r="A233" s="2">
        <f>IFERROR(__xludf.DUMMYFUNCTION("""COMPUTED_VALUE"""),8.0)</f>
        <v>8</v>
      </c>
    </row>
    <row r="234">
      <c r="A234" s="2">
        <f>IFERROR(__xludf.DUMMYFUNCTION("""COMPUTED_VALUE"""),8.0)</f>
        <v>8</v>
      </c>
    </row>
    <row r="235">
      <c r="A235" s="2">
        <f>IFERROR(__xludf.DUMMYFUNCTION("""COMPUTED_VALUE"""),8.0)</f>
        <v>8</v>
      </c>
    </row>
    <row r="236">
      <c r="A236" s="2">
        <f>IFERROR(__xludf.DUMMYFUNCTION("""COMPUTED_VALUE"""),8.0)</f>
        <v>8</v>
      </c>
    </row>
    <row r="237">
      <c r="A237" s="2">
        <f>IFERROR(__xludf.DUMMYFUNCTION("""COMPUTED_VALUE"""),8.0)</f>
        <v>8</v>
      </c>
    </row>
    <row r="238">
      <c r="A238" s="2">
        <f>IFERROR(__xludf.DUMMYFUNCTION("""COMPUTED_VALUE"""),8.0)</f>
        <v>8</v>
      </c>
    </row>
    <row r="239">
      <c r="A239" s="2">
        <f>IFERROR(__xludf.DUMMYFUNCTION("""COMPUTED_VALUE"""),8.0)</f>
        <v>8</v>
      </c>
    </row>
    <row r="240">
      <c r="A240" s="2">
        <f>IFERROR(__xludf.DUMMYFUNCTION("""COMPUTED_VALUE"""),7.0)</f>
        <v>7</v>
      </c>
    </row>
    <row r="241">
      <c r="A241" s="2">
        <f>IFERROR(__xludf.DUMMYFUNCTION("""COMPUTED_VALUE"""),7.0)</f>
        <v>7</v>
      </c>
    </row>
    <row r="242">
      <c r="A242" s="2">
        <f>IFERROR(__xludf.DUMMYFUNCTION("""COMPUTED_VALUE"""),7.0)</f>
        <v>7</v>
      </c>
    </row>
    <row r="243">
      <c r="A243" s="2">
        <f>IFERROR(__xludf.DUMMYFUNCTION("""COMPUTED_VALUE"""),9.0)</f>
        <v>9</v>
      </c>
    </row>
    <row r="244">
      <c r="A244" s="2">
        <f>IFERROR(__xludf.DUMMYFUNCTION("""COMPUTED_VALUE"""),9.0)</f>
        <v>9</v>
      </c>
    </row>
    <row r="245">
      <c r="A245" s="2">
        <f>IFERROR(__xludf.DUMMYFUNCTION("""COMPUTED_VALUE"""),9.0)</f>
        <v>9</v>
      </c>
    </row>
    <row r="246">
      <c r="A246" s="2">
        <f>IFERROR(__xludf.DUMMYFUNCTION("""COMPUTED_VALUE"""),9.0)</f>
        <v>9</v>
      </c>
    </row>
    <row r="247">
      <c r="A247" s="2">
        <f>IFERROR(__xludf.DUMMYFUNCTION("""COMPUTED_VALUE"""),1.0)</f>
        <v>1</v>
      </c>
    </row>
    <row r="248">
      <c r="A248" s="2">
        <f>IFERROR(__xludf.DUMMYFUNCTION("""COMPUTED_VALUE"""),1.0)</f>
        <v>1</v>
      </c>
    </row>
    <row r="249">
      <c r="A249" s="2">
        <f>IFERROR(__xludf.DUMMYFUNCTION("""COMPUTED_VALUE"""),6.0)</f>
        <v>6</v>
      </c>
    </row>
    <row r="250">
      <c r="A250" s="2">
        <f>IFERROR(__xludf.DUMMYFUNCTION("""COMPUTED_VALUE"""),6.0)</f>
        <v>6</v>
      </c>
    </row>
    <row r="251">
      <c r="A251" s="2">
        <f>IFERROR(__xludf.DUMMYFUNCTION("""COMPUTED_VALUE"""),6.0)</f>
        <v>6</v>
      </c>
    </row>
    <row r="252">
      <c r="A252" s="2">
        <f>IFERROR(__xludf.DUMMYFUNCTION("""COMPUTED_VALUE"""),6.0)</f>
        <v>6</v>
      </c>
    </row>
    <row r="253">
      <c r="A253" s="2">
        <f>IFERROR(__xludf.DUMMYFUNCTION("""COMPUTED_VALUE"""),6.0)</f>
        <v>6</v>
      </c>
    </row>
    <row r="254">
      <c r="A254" s="2">
        <f>IFERROR(__xludf.DUMMYFUNCTION("""COMPUTED_VALUE"""),6.0)</f>
        <v>6</v>
      </c>
    </row>
    <row r="255">
      <c r="A255" s="2">
        <f>IFERROR(__xludf.DUMMYFUNCTION("""COMPUTED_VALUE"""),6.0)</f>
        <v>6</v>
      </c>
    </row>
    <row r="256">
      <c r="A256" s="2">
        <f>IFERROR(__xludf.DUMMYFUNCTION("""COMPUTED_VALUE"""),6.0)</f>
        <v>6</v>
      </c>
    </row>
    <row r="257">
      <c r="A257" s="2">
        <f>IFERROR(__xludf.DUMMYFUNCTION("""COMPUTED_VALUE"""),6.0)</f>
        <v>6</v>
      </c>
    </row>
    <row r="258">
      <c r="A258" s="2">
        <f>IFERROR(__xludf.DUMMYFUNCTION("""COMPUTED_VALUE"""),6.0)</f>
        <v>6</v>
      </c>
    </row>
    <row r="259">
      <c r="A259" s="2">
        <f>IFERROR(__xludf.DUMMYFUNCTION("""COMPUTED_VALUE"""),6.0)</f>
        <v>6</v>
      </c>
    </row>
    <row r="260">
      <c r="A260" s="2">
        <f>IFERROR(__xludf.DUMMYFUNCTION("""COMPUTED_VALUE"""),6.0)</f>
        <v>6</v>
      </c>
    </row>
    <row r="261">
      <c r="A261" s="2">
        <f>IFERROR(__xludf.DUMMYFUNCTION("""COMPUTED_VALUE"""),6.0)</f>
        <v>6</v>
      </c>
    </row>
    <row r="262">
      <c r="A262" s="2">
        <f>IFERROR(__xludf.DUMMYFUNCTION("""COMPUTED_VALUE"""),6.0)</f>
        <v>6</v>
      </c>
    </row>
    <row r="263">
      <c r="A263" s="2">
        <f>IFERROR(__xludf.DUMMYFUNCTION("""COMPUTED_VALUE"""),6.0)</f>
        <v>6</v>
      </c>
    </row>
    <row r="264">
      <c r="A264" s="2">
        <f>IFERROR(__xludf.DUMMYFUNCTION("""COMPUTED_VALUE"""),6.0)</f>
        <v>6</v>
      </c>
    </row>
    <row r="265">
      <c r="A265" s="2">
        <f>IFERROR(__xludf.DUMMYFUNCTION("""COMPUTED_VALUE"""),6.0)</f>
        <v>6</v>
      </c>
    </row>
    <row r="266">
      <c r="A266" s="2">
        <f>IFERROR(__xludf.DUMMYFUNCTION("""COMPUTED_VALUE"""),6.0)</f>
        <v>6</v>
      </c>
    </row>
    <row r="267">
      <c r="A267" s="2">
        <f>IFERROR(__xludf.DUMMYFUNCTION("""COMPUTED_VALUE"""),6.0)</f>
        <v>6</v>
      </c>
    </row>
    <row r="268">
      <c r="A268" s="2">
        <f>IFERROR(__xludf.DUMMYFUNCTION("""COMPUTED_VALUE"""),6.0)</f>
        <v>6</v>
      </c>
    </row>
    <row r="269">
      <c r="A269" s="2">
        <f>IFERROR(__xludf.DUMMYFUNCTION("""COMPUTED_VALUE"""),6.0)</f>
        <v>6</v>
      </c>
    </row>
    <row r="270">
      <c r="A270" s="2">
        <f>IFERROR(__xludf.DUMMYFUNCTION("""COMPUTED_VALUE"""),6.0)</f>
        <v>6</v>
      </c>
    </row>
    <row r="271">
      <c r="A271" s="2">
        <f>IFERROR(__xludf.DUMMYFUNCTION("""COMPUTED_VALUE"""),6.0)</f>
        <v>6</v>
      </c>
    </row>
    <row r="272">
      <c r="A272" s="2">
        <f>IFERROR(__xludf.DUMMYFUNCTION("""COMPUTED_VALUE"""),6.0)</f>
        <v>6</v>
      </c>
    </row>
    <row r="273">
      <c r="A273" s="2">
        <f>IFERROR(__xludf.DUMMYFUNCTION("""COMPUTED_VALUE"""),6.0)</f>
        <v>6</v>
      </c>
    </row>
    <row r="274">
      <c r="A274" s="2">
        <f>IFERROR(__xludf.DUMMYFUNCTION("""COMPUTED_VALUE"""),6.0)</f>
        <v>6</v>
      </c>
    </row>
    <row r="275">
      <c r="A275" s="2">
        <f>IFERROR(__xludf.DUMMYFUNCTION("""COMPUTED_VALUE"""),6.0)</f>
        <v>6</v>
      </c>
    </row>
    <row r="276">
      <c r="A276" s="2">
        <f>IFERROR(__xludf.DUMMYFUNCTION("""COMPUTED_VALUE"""),2.0)</f>
        <v>2</v>
      </c>
    </row>
    <row r="277">
      <c r="A277" s="2">
        <f>IFERROR(__xludf.DUMMYFUNCTION("""COMPUTED_VALUE"""),2.0)</f>
        <v>2</v>
      </c>
    </row>
    <row r="278">
      <c r="A278" s="2">
        <f>IFERROR(__xludf.DUMMYFUNCTION("""COMPUTED_VALUE"""),4.0)</f>
        <v>4</v>
      </c>
    </row>
    <row r="279">
      <c r="A279" s="2">
        <f>IFERROR(__xludf.DUMMYFUNCTION("""COMPUTED_VALUE"""),4.0)</f>
        <v>4</v>
      </c>
    </row>
    <row r="280">
      <c r="A280" s="2">
        <f>IFERROR(__xludf.DUMMYFUNCTION("""COMPUTED_VALUE"""),9.0)</f>
        <v>9</v>
      </c>
    </row>
    <row r="281">
      <c r="A281" s="2">
        <f>IFERROR(__xludf.DUMMYFUNCTION("""COMPUTED_VALUE"""),9.0)</f>
        <v>9</v>
      </c>
    </row>
    <row r="282">
      <c r="A282" s="2">
        <f>IFERROR(__xludf.DUMMYFUNCTION("""COMPUTED_VALUE"""),9.0)</f>
        <v>9</v>
      </c>
    </row>
    <row r="283">
      <c r="A283" s="2">
        <f>IFERROR(__xludf.DUMMYFUNCTION("""COMPUTED_VALUE"""),9.0)</f>
        <v>9</v>
      </c>
    </row>
    <row r="284">
      <c r="A284" s="2">
        <f>IFERROR(__xludf.DUMMYFUNCTION("""COMPUTED_VALUE"""),4.0)</f>
        <v>4</v>
      </c>
    </row>
    <row r="285">
      <c r="A285" s="2">
        <f>IFERROR(__xludf.DUMMYFUNCTION("""COMPUTED_VALUE"""),4.0)</f>
        <v>4</v>
      </c>
    </row>
    <row r="286">
      <c r="A286" s="2">
        <f>IFERROR(__xludf.DUMMYFUNCTION("""COMPUTED_VALUE"""),4.0)</f>
        <v>4</v>
      </c>
    </row>
    <row r="287">
      <c r="A287" s="2">
        <f>IFERROR(__xludf.DUMMYFUNCTION("""COMPUTED_VALUE"""),4.0)</f>
        <v>4</v>
      </c>
    </row>
    <row r="288">
      <c r="A288" s="2">
        <f>IFERROR(__xludf.DUMMYFUNCTION("""COMPUTED_VALUE"""),4.0)</f>
        <v>4</v>
      </c>
    </row>
    <row r="289">
      <c r="A289" s="2">
        <f>IFERROR(__xludf.DUMMYFUNCTION("""COMPUTED_VALUE"""),4.0)</f>
        <v>4</v>
      </c>
    </row>
    <row r="290">
      <c r="A290" s="2">
        <f>IFERROR(__xludf.DUMMYFUNCTION("""COMPUTED_VALUE"""),4.0)</f>
        <v>4</v>
      </c>
    </row>
    <row r="291">
      <c r="A291" s="2">
        <f>IFERROR(__xludf.DUMMYFUNCTION("""COMPUTED_VALUE"""),1.0)</f>
        <v>1</v>
      </c>
    </row>
    <row r="292">
      <c r="A292" s="2">
        <f>IFERROR(__xludf.DUMMYFUNCTION("""COMPUTED_VALUE"""),1.0)</f>
        <v>1</v>
      </c>
    </row>
    <row r="293">
      <c r="A293" s="2">
        <f>IFERROR(__xludf.DUMMYFUNCTION("""COMPUTED_VALUE"""),1.0)</f>
        <v>1</v>
      </c>
    </row>
    <row r="294">
      <c r="A294" s="2">
        <f>IFERROR(__xludf.DUMMYFUNCTION("""COMPUTED_VALUE"""),1.0)</f>
        <v>1</v>
      </c>
    </row>
    <row r="295">
      <c r="A295" s="2">
        <f>IFERROR(__xludf.DUMMYFUNCTION("""COMPUTED_VALUE"""),1.0)</f>
        <v>1</v>
      </c>
    </row>
    <row r="296">
      <c r="A296" s="2">
        <f>IFERROR(__xludf.DUMMYFUNCTION("""COMPUTED_VALUE"""),1.0)</f>
        <v>1</v>
      </c>
    </row>
    <row r="297">
      <c r="A297" s="2">
        <f>IFERROR(__xludf.DUMMYFUNCTION("""COMPUTED_VALUE"""),1.0)</f>
        <v>1</v>
      </c>
    </row>
    <row r="298">
      <c r="A298" s="2">
        <f>IFERROR(__xludf.DUMMYFUNCTION("""COMPUTED_VALUE"""),1.0)</f>
        <v>1</v>
      </c>
    </row>
    <row r="299">
      <c r="A299" s="2">
        <f>IFERROR(__xludf.DUMMYFUNCTION("""COMPUTED_VALUE"""),1.0)</f>
        <v>1</v>
      </c>
    </row>
    <row r="300">
      <c r="A300" s="2">
        <f>IFERROR(__xludf.DUMMYFUNCTION("""COMPUTED_VALUE"""),1.0)</f>
        <v>1</v>
      </c>
    </row>
    <row r="301">
      <c r="A301" s="2">
        <f>IFERROR(__xludf.DUMMYFUNCTION("""COMPUTED_VALUE"""),5.0)</f>
        <v>5</v>
      </c>
    </row>
    <row r="302">
      <c r="A302" s="2">
        <f>IFERROR(__xludf.DUMMYFUNCTION("""COMPUTED_VALUE"""),5.0)</f>
        <v>5</v>
      </c>
    </row>
    <row r="303">
      <c r="A303" s="2">
        <f>IFERROR(__xludf.DUMMYFUNCTION("""COMPUTED_VALUE"""),5.0)</f>
        <v>5</v>
      </c>
    </row>
    <row r="304">
      <c r="A304" s="2">
        <f>IFERROR(__xludf.DUMMYFUNCTION("""COMPUTED_VALUE"""),5.0)</f>
        <v>5</v>
      </c>
    </row>
    <row r="305">
      <c r="A305" s="2">
        <f>IFERROR(__xludf.DUMMYFUNCTION("""COMPUTED_VALUE"""),5.0)</f>
        <v>5</v>
      </c>
    </row>
    <row r="306">
      <c r="A306" s="2">
        <f>IFERROR(__xludf.DUMMYFUNCTION("""COMPUTED_VALUE"""),5.0)</f>
        <v>5</v>
      </c>
    </row>
    <row r="307">
      <c r="A307" s="2">
        <f>IFERROR(__xludf.DUMMYFUNCTION("""COMPUTED_VALUE"""),5.0)</f>
        <v>5</v>
      </c>
    </row>
    <row r="308">
      <c r="A308" s="2">
        <f>IFERROR(__xludf.DUMMYFUNCTION("""COMPUTED_VALUE"""),5.0)</f>
        <v>5</v>
      </c>
    </row>
    <row r="309">
      <c r="A309" s="2">
        <f>IFERROR(__xludf.DUMMYFUNCTION("""COMPUTED_VALUE"""),5.0)</f>
        <v>5</v>
      </c>
    </row>
    <row r="310">
      <c r="A310" s="2">
        <f>IFERROR(__xludf.DUMMYFUNCTION("""COMPUTED_VALUE"""),5.0)</f>
        <v>5</v>
      </c>
    </row>
    <row r="311">
      <c r="A311" s="2">
        <f>IFERROR(__xludf.DUMMYFUNCTION("""COMPUTED_VALUE"""),5.0)</f>
        <v>5</v>
      </c>
    </row>
    <row r="312">
      <c r="A312" s="2">
        <f>IFERROR(__xludf.DUMMYFUNCTION("""COMPUTED_VALUE"""),5.0)</f>
        <v>5</v>
      </c>
    </row>
    <row r="313">
      <c r="A313" s="2">
        <f>IFERROR(__xludf.DUMMYFUNCTION("""COMPUTED_VALUE"""),5.0)</f>
        <v>5</v>
      </c>
    </row>
    <row r="314">
      <c r="A314" s="2">
        <f>IFERROR(__xludf.DUMMYFUNCTION("""COMPUTED_VALUE"""),5.0)</f>
        <v>5</v>
      </c>
    </row>
    <row r="315">
      <c r="A315" s="2">
        <f>IFERROR(__xludf.DUMMYFUNCTION("""COMPUTED_VALUE"""),5.0)</f>
        <v>5</v>
      </c>
    </row>
    <row r="316">
      <c r="A316" s="2">
        <f>IFERROR(__xludf.DUMMYFUNCTION("""COMPUTED_VALUE"""),5.0)</f>
        <v>5</v>
      </c>
    </row>
    <row r="317">
      <c r="A317" s="2">
        <f>IFERROR(__xludf.DUMMYFUNCTION("""COMPUTED_VALUE"""),5.0)</f>
        <v>5</v>
      </c>
    </row>
    <row r="318">
      <c r="A318" s="2">
        <f>IFERROR(__xludf.DUMMYFUNCTION("""COMPUTED_VALUE"""),5.0)</f>
        <v>5</v>
      </c>
    </row>
    <row r="319">
      <c r="A319" s="2">
        <f>IFERROR(__xludf.DUMMYFUNCTION("""COMPUTED_VALUE"""),2.0)</f>
        <v>2</v>
      </c>
    </row>
    <row r="320">
      <c r="A320" s="2">
        <f>IFERROR(__xludf.DUMMYFUNCTION("""COMPUTED_VALUE"""),2.0)</f>
        <v>2</v>
      </c>
    </row>
    <row r="321">
      <c r="A321" s="2">
        <f>IFERROR(__xludf.DUMMYFUNCTION("""COMPUTED_VALUE"""),2.0)</f>
        <v>2</v>
      </c>
    </row>
    <row r="322">
      <c r="A322" s="2">
        <f>IFERROR(__xludf.DUMMYFUNCTION("""COMPUTED_VALUE"""),2.0)</f>
        <v>2</v>
      </c>
    </row>
    <row r="323">
      <c r="A323" s="2">
        <f>IFERROR(__xludf.DUMMYFUNCTION("""COMPUTED_VALUE"""),2.0)</f>
        <v>2</v>
      </c>
    </row>
    <row r="324">
      <c r="A324" s="2">
        <f>IFERROR(__xludf.DUMMYFUNCTION("""COMPUTED_VALUE"""),2.0)</f>
        <v>2</v>
      </c>
    </row>
    <row r="325">
      <c r="A325" s="2">
        <f>IFERROR(__xludf.DUMMYFUNCTION("""COMPUTED_VALUE"""),5.0)</f>
        <v>5</v>
      </c>
    </row>
    <row r="326">
      <c r="A326" s="2">
        <f>IFERROR(__xludf.DUMMYFUNCTION("""COMPUTED_VALUE"""),6.0)</f>
        <v>6</v>
      </c>
    </row>
    <row r="327">
      <c r="A327" s="2">
        <f>IFERROR(__xludf.DUMMYFUNCTION("""COMPUTED_VALUE"""),6.0)</f>
        <v>6</v>
      </c>
    </row>
    <row r="328">
      <c r="A328" s="2">
        <f>IFERROR(__xludf.DUMMYFUNCTION("""COMPUTED_VALUE"""),6.0)</f>
        <v>6</v>
      </c>
    </row>
    <row r="329">
      <c r="A329" s="2">
        <f>IFERROR(__xludf.DUMMYFUNCTION("""COMPUTED_VALUE"""),6.0)</f>
        <v>6</v>
      </c>
    </row>
    <row r="330">
      <c r="A330" s="2">
        <f>IFERROR(__xludf.DUMMYFUNCTION("""COMPUTED_VALUE"""),6.0)</f>
        <v>6</v>
      </c>
    </row>
    <row r="331">
      <c r="A331" s="2">
        <f>IFERROR(__xludf.DUMMYFUNCTION("""COMPUTED_VALUE"""),6.0)</f>
        <v>6</v>
      </c>
    </row>
    <row r="332">
      <c r="A332" s="2">
        <f>IFERROR(__xludf.DUMMYFUNCTION("""COMPUTED_VALUE"""),6.0)</f>
        <v>6</v>
      </c>
    </row>
    <row r="333">
      <c r="A333" s="2">
        <f>IFERROR(__xludf.DUMMYFUNCTION("""COMPUTED_VALUE"""),6.0)</f>
        <v>6</v>
      </c>
    </row>
    <row r="334">
      <c r="A334" s="2">
        <f>IFERROR(__xludf.DUMMYFUNCTION("""COMPUTED_VALUE"""),6.0)</f>
        <v>6</v>
      </c>
    </row>
    <row r="335">
      <c r="A335" s="2">
        <f>IFERROR(__xludf.DUMMYFUNCTION("""COMPUTED_VALUE"""),6.0)</f>
        <v>6</v>
      </c>
    </row>
    <row r="336">
      <c r="A336" s="2">
        <f>IFERROR(__xludf.DUMMYFUNCTION("""COMPUTED_VALUE"""),6.0)</f>
        <v>6</v>
      </c>
    </row>
    <row r="337">
      <c r="A337" s="2">
        <f>IFERROR(__xludf.DUMMYFUNCTION("""COMPUTED_VALUE"""),4.0)</f>
        <v>4</v>
      </c>
    </row>
    <row r="338">
      <c r="A338" s="2">
        <f>IFERROR(__xludf.DUMMYFUNCTION("""COMPUTED_VALUE"""),4.0)</f>
        <v>4</v>
      </c>
    </row>
    <row r="339">
      <c r="A339" s="2">
        <f>IFERROR(__xludf.DUMMYFUNCTION("""COMPUTED_VALUE"""),8.0)</f>
        <v>8</v>
      </c>
    </row>
    <row r="340">
      <c r="A340" s="2">
        <f>IFERROR(__xludf.DUMMYFUNCTION("""COMPUTED_VALUE"""),9.0)</f>
        <v>9</v>
      </c>
    </row>
    <row r="341">
      <c r="A341" s="2">
        <f>IFERROR(__xludf.DUMMYFUNCTION("""COMPUTED_VALUE"""),9.0)</f>
        <v>9</v>
      </c>
    </row>
    <row r="342">
      <c r="A342" s="2">
        <f>IFERROR(__xludf.DUMMYFUNCTION("""COMPUTED_VALUE"""),3.0)</f>
        <v>3</v>
      </c>
    </row>
    <row r="343">
      <c r="A343" s="2">
        <f>IFERROR(__xludf.DUMMYFUNCTION("""COMPUTED_VALUE"""),3.0)</f>
        <v>3</v>
      </c>
    </row>
    <row r="344">
      <c r="A344" s="2">
        <f>IFERROR(__xludf.DUMMYFUNCTION("""COMPUTED_VALUE"""),8.0)</f>
        <v>8</v>
      </c>
    </row>
    <row r="345">
      <c r="A345" s="2">
        <f>IFERROR(__xludf.DUMMYFUNCTION("""COMPUTED_VALUE"""),7.0)</f>
        <v>7</v>
      </c>
    </row>
    <row r="346">
      <c r="A346" s="2">
        <f>IFERROR(__xludf.DUMMYFUNCTION("""COMPUTED_VALUE"""),7.0)</f>
        <v>7</v>
      </c>
    </row>
    <row r="347">
      <c r="A347" s="2">
        <f>IFERROR(__xludf.DUMMYFUNCTION("""COMPUTED_VALUE"""),7.0)</f>
        <v>7</v>
      </c>
    </row>
    <row r="348">
      <c r="A348" s="2">
        <f>IFERROR(__xludf.DUMMYFUNCTION("""COMPUTED_VALUE"""),7.0)</f>
        <v>7</v>
      </c>
    </row>
    <row r="349">
      <c r="A349" s="2">
        <f>IFERROR(__xludf.DUMMYFUNCTION("""COMPUTED_VALUE"""),8.0)</f>
        <v>8</v>
      </c>
    </row>
    <row r="350">
      <c r="A350" s="2">
        <f>IFERROR(__xludf.DUMMYFUNCTION("""COMPUTED_VALUE"""),8.0)</f>
        <v>8</v>
      </c>
    </row>
    <row r="351">
      <c r="A351" s="2">
        <f>IFERROR(__xludf.DUMMYFUNCTION("""COMPUTED_VALUE"""),8.0)</f>
        <v>8</v>
      </c>
    </row>
    <row r="352">
      <c r="A352" s="2">
        <f>IFERROR(__xludf.DUMMYFUNCTION("""COMPUTED_VALUE"""),8.0)</f>
        <v>8</v>
      </c>
    </row>
    <row r="353">
      <c r="A353" s="2">
        <f>IFERROR(__xludf.DUMMYFUNCTION("""COMPUTED_VALUE"""),1.0)</f>
        <v>1</v>
      </c>
    </row>
    <row r="354">
      <c r="A354" s="2">
        <f>IFERROR(__xludf.DUMMYFUNCTION("""COMPUTED_VALUE"""),1.0)</f>
        <v>1</v>
      </c>
    </row>
    <row r="355">
      <c r="A355" s="2">
        <f>IFERROR(__xludf.DUMMYFUNCTION("""COMPUTED_VALUE"""),1.0)</f>
        <v>1</v>
      </c>
    </row>
    <row r="356">
      <c r="A356" s="2">
        <f>IFERROR(__xludf.DUMMYFUNCTION("""COMPUTED_VALUE"""),1.0)</f>
        <v>1</v>
      </c>
    </row>
    <row r="357">
      <c r="A357" s="2">
        <f>IFERROR(__xludf.DUMMYFUNCTION("""COMPUTED_VALUE"""),1.0)</f>
        <v>1</v>
      </c>
    </row>
    <row r="358">
      <c r="A358" s="2">
        <f>IFERROR(__xludf.DUMMYFUNCTION("""COMPUTED_VALUE"""),1.0)</f>
        <v>1</v>
      </c>
    </row>
    <row r="359">
      <c r="A359" s="2">
        <f>IFERROR(__xludf.DUMMYFUNCTION("""COMPUTED_VALUE"""),1.0)</f>
        <v>1</v>
      </c>
    </row>
    <row r="360">
      <c r="A360" s="2">
        <f>IFERROR(__xludf.DUMMYFUNCTION("""COMPUTED_VALUE"""),3.0)</f>
        <v>3</v>
      </c>
    </row>
    <row r="361">
      <c r="A361" s="2">
        <f>IFERROR(__xludf.DUMMYFUNCTION("""COMPUTED_VALUE"""),3.0)</f>
        <v>3</v>
      </c>
    </row>
    <row r="362">
      <c r="A362" s="2">
        <f>IFERROR(__xludf.DUMMYFUNCTION("""COMPUTED_VALUE"""),3.0)</f>
        <v>3</v>
      </c>
    </row>
    <row r="363">
      <c r="A363" s="2">
        <f>IFERROR(__xludf.DUMMYFUNCTION("""COMPUTED_VALUE"""),3.0)</f>
        <v>3</v>
      </c>
    </row>
    <row r="364">
      <c r="A364" s="2">
        <f>IFERROR(__xludf.DUMMYFUNCTION("""COMPUTED_VALUE"""),7.0)</f>
        <v>7</v>
      </c>
    </row>
    <row r="365">
      <c r="A365" s="2">
        <f>IFERROR(__xludf.DUMMYFUNCTION("""COMPUTED_VALUE"""),7.0)</f>
        <v>7</v>
      </c>
    </row>
    <row r="366">
      <c r="A366" s="2">
        <f>IFERROR(__xludf.DUMMYFUNCTION("""COMPUTED_VALUE"""),3.0)</f>
        <v>3</v>
      </c>
    </row>
    <row r="367">
      <c r="A367" s="2">
        <f>IFERROR(__xludf.DUMMYFUNCTION("""COMPUTED_VALUE"""),3.0)</f>
        <v>3</v>
      </c>
    </row>
    <row r="368">
      <c r="A368" s="2">
        <f>IFERROR(__xludf.DUMMYFUNCTION("""COMPUTED_VALUE"""),3.0)</f>
        <v>3</v>
      </c>
    </row>
    <row r="369">
      <c r="A369" s="2">
        <f>IFERROR(__xludf.DUMMYFUNCTION("""COMPUTED_VALUE"""),3.0)</f>
        <v>3</v>
      </c>
    </row>
    <row r="370">
      <c r="A370" s="2">
        <f>IFERROR(__xludf.DUMMYFUNCTION("""COMPUTED_VALUE"""),3.0)</f>
        <v>3</v>
      </c>
    </row>
    <row r="371">
      <c r="A371" s="2">
        <f>IFERROR(__xludf.DUMMYFUNCTION("""COMPUTED_VALUE"""),3.0)</f>
        <v>3</v>
      </c>
    </row>
    <row r="372">
      <c r="A372" s="2">
        <f>IFERROR(__xludf.DUMMYFUNCTION("""COMPUTED_VALUE"""),2.0)</f>
        <v>2</v>
      </c>
    </row>
    <row r="373">
      <c r="A373" s="2">
        <f>IFERROR(__xludf.DUMMYFUNCTION("""COMPUTED_VALUE"""),2.0)</f>
        <v>2</v>
      </c>
    </row>
    <row r="374">
      <c r="A374" s="2">
        <f>IFERROR(__xludf.DUMMYFUNCTION("""COMPUTED_VALUE"""),2.0)</f>
        <v>2</v>
      </c>
    </row>
    <row r="375">
      <c r="A375" s="2">
        <f>IFERROR(__xludf.DUMMYFUNCTION("""COMPUTED_VALUE"""),2.0)</f>
        <v>2</v>
      </c>
    </row>
    <row r="376">
      <c r="A376" s="2">
        <f>IFERROR(__xludf.DUMMYFUNCTION("""COMPUTED_VALUE"""),2.0)</f>
        <v>2</v>
      </c>
    </row>
    <row r="377">
      <c r="A377" s="2">
        <f>IFERROR(__xludf.DUMMYFUNCTION("""COMPUTED_VALUE"""),2.0)</f>
        <v>2</v>
      </c>
    </row>
    <row r="378">
      <c r="A378" s="2">
        <f>IFERROR(__xludf.DUMMYFUNCTION("""COMPUTED_VALUE"""),2.0)</f>
        <v>2</v>
      </c>
    </row>
    <row r="379">
      <c r="A379" s="2">
        <f>IFERROR(__xludf.DUMMYFUNCTION("""COMPUTED_VALUE"""),2.0)</f>
        <v>2</v>
      </c>
    </row>
    <row r="380">
      <c r="A380" s="2">
        <f>IFERROR(__xludf.DUMMYFUNCTION("""COMPUTED_VALUE"""),2.0)</f>
        <v>2</v>
      </c>
    </row>
    <row r="381">
      <c r="A381" s="2">
        <f>IFERROR(__xludf.DUMMYFUNCTION("""COMPUTED_VALUE"""),2.0)</f>
        <v>2</v>
      </c>
    </row>
    <row r="382">
      <c r="A382" s="2">
        <f>IFERROR(__xludf.DUMMYFUNCTION("""COMPUTED_VALUE"""),2.0)</f>
        <v>2</v>
      </c>
    </row>
    <row r="383">
      <c r="A383" s="2">
        <f>IFERROR(__xludf.DUMMYFUNCTION("""COMPUTED_VALUE"""),2.0)</f>
        <v>2</v>
      </c>
    </row>
    <row r="384">
      <c r="A384" s="2">
        <f>IFERROR(__xludf.DUMMYFUNCTION("""COMPUTED_VALUE"""),2.0)</f>
        <v>2</v>
      </c>
    </row>
    <row r="385">
      <c r="A385" s="2">
        <f>IFERROR(__xludf.DUMMYFUNCTION("""COMPUTED_VALUE"""),2.0)</f>
        <v>2</v>
      </c>
    </row>
    <row r="386">
      <c r="A386" s="2">
        <f>IFERROR(__xludf.DUMMYFUNCTION("""COMPUTED_VALUE"""),2.0)</f>
        <v>2</v>
      </c>
    </row>
    <row r="387">
      <c r="A387" s="2">
        <f>IFERROR(__xludf.DUMMYFUNCTION("""COMPUTED_VALUE"""),2.0)</f>
        <v>2</v>
      </c>
    </row>
    <row r="388">
      <c r="A388" s="2">
        <f>IFERROR(__xludf.DUMMYFUNCTION("""COMPUTED_VALUE"""),1.0)</f>
        <v>1</v>
      </c>
    </row>
    <row r="389">
      <c r="A389" s="2">
        <f>IFERROR(__xludf.DUMMYFUNCTION("""COMPUTED_VALUE"""),1.0)</f>
        <v>1</v>
      </c>
    </row>
    <row r="390">
      <c r="A390" s="2">
        <f>IFERROR(__xludf.DUMMYFUNCTION("""COMPUTED_VALUE"""),1.0)</f>
        <v>1</v>
      </c>
    </row>
    <row r="391">
      <c r="A391" s="2">
        <f>IFERROR(__xludf.DUMMYFUNCTION("""COMPUTED_VALUE"""),3.0)</f>
        <v>3</v>
      </c>
    </row>
    <row r="392">
      <c r="A392" s="2">
        <f>IFERROR(__xludf.DUMMYFUNCTION("""COMPUTED_VALUE"""),3.0)</f>
        <v>3</v>
      </c>
    </row>
    <row r="393">
      <c r="A393" s="2">
        <f>IFERROR(__xludf.DUMMYFUNCTION("""COMPUTED_VALUE"""),3.0)</f>
        <v>3</v>
      </c>
    </row>
    <row r="394">
      <c r="A394" s="2">
        <f>IFERROR(__xludf.DUMMYFUNCTION("""COMPUTED_VALUE"""),3.0)</f>
        <v>3</v>
      </c>
    </row>
    <row r="395">
      <c r="A395" s="2">
        <f>IFERROR(__xludf.DUMMYFUNCTION("""COMPUTED_VALUE"""),3.0)</f>
        <v>3</v>
      </c>
    </row>
    <row r="396">
      <c r="A396" s="2">
        <f>IFERROR(__xludf.DUMMYFUNCTION("""COMPUTED_VALUE"""),3.0)</f>
        <v>3</v>
      </c>
    </row>
    <row r="397">
      <c r="A397" s="2">
        <f>IFERROR(__xludf.DUMMYFUNCTION("""COMPUTED_VALUE"""),3.0)</f>
        <v>3</v>
      </c>
    </row>
    <row r="398">
      <c r="A398" s="2">
        <f>IFERROR(__xludf.DUMMYFUNCTION("""COMPUTED_VALUE"""),3.0)</f>
        <v>3</v>
      </c>
    </row>
    <row r="399">
      <c r="A399" s="2">
        <f>IFERROR(__xludf.DUMMYFUNCTION("""COMPUTED_VALUE"""),3.0)</f>
        <v>3</v>
      </c>
    </row>
    <row r="400">
      <c r="A400" s="2">
        <f>IFERROR(__xludf.DUMMYFUNCTION("""COMPUTED_VALUE"""),3.0)</f>
        <v>3</v>
      </c>
    </row>
    <row r="401">
      <c r="A401" s="2">
        <f>IFERROR(__xludf.DUMMYFUNCTION("""COMPUTED_VALUE"""),3.0)</f>
        <v>3</v>
      </c>
    </row>
    <row r="402">
      <c r="A402" s="2">
        <f>IFERROR(__xludf.DUMMYFUNCTION("""COMPUTED_VALUE"""),3.0)</f>
        <v>3</v>
      </c>
    </row>
    <row r="403">
      <c r="A403" s="2">
        <f>IFERROR(__xludf.DUMMYFUNCTION("""COMPUTED_VALUE"""),3.0)</f>
        <v>3</v>
      </c>
    </row>
    <row r="404">
      <c r="A404" s="2">
        <f>IFERROR(__xludf.DUMMYFUNCTION("""COMPUTED_VALUE"""),3.0)</f>
        <v>3</v>
      </c>
    </row>
    <row r="405">
      <c r="A405" s="2">
        <f>IFERROR(__xludf.DUMMYFUNCTION("""COMPUTED_VALUE"""),3.0)</f>
        <v>3</v>
      </c>
    </row>
    <row r="406">
      <c r="A406" s="2">
        <f>IFERROR(__xludf.DUMMYFUNCTION("""COMPUTED_VALUE"""),1.0)</f>
        <v>1</v>
      </c>
    </row>
    <row r="407">
      <c r="A407" s="2">
        <f>IFERROR(__xludf.DUMMYFUNCTION("""COMPUTED_VALUE"""),2.0)</f>
        <v>2</v>
      </c>
    </row>
    <row r="408">
      <c r="A408" s="2">
        <f>IFERROR(__xludf.DUMMYFUNCTION("""COMPUTED_VALUE"""),2.0)</f>
        <v>2</v>
      </c>
    </row>
    <row r="409">
      <c r="A409" s="2">
        <f>IFERROR(__xludf.DUMMYFUNCTION("""COMPUTED_VALUE"""),2.0)</f>
        <v>2</v>
      </c>
    </row>
    <row r="410">
      <c r="A410" s="2">
        <f>IFERROR(__xludf.DUMMYFUNCTION("""COMPUTED_VALUE"""),2.0)</f>
        <v>2</v>
      </c>
    </row>
    <row r="411">
      <c r="A411" s="2">
        <f>IFERROR(__xludf.DUMMYFUNCTION("""COMPUTED_VALUE"""),2.0)</f>
        <v>2</v>
      </c>
    </row>
    <row r="412">
      <c r="A412" s="2">
        <f>IFERROR(__xludf.DUMMYFUNCTION("""COMPUTED_VALUE"""),2.0)</f>
        <v>2</v>
      </c>
    </row>
    <row r="413">
      <c r="A413" s="2">
        <f>IFERROR(__xludf.DUMMYFUNCTION("""COMPUTED_VALUE"""),2.0)</f>
        <v>2</v>
      </c>
    </row>
    <row r="414">
      <c r="A414" s="2">
        <f>IFERROR(__xludf.DUMMYFUNCTION("""COMPUTED_VALUE"""),2.0)</f>
        <v>2</v>
      </c>
    </row>
    <row r="415">
      <c r="A415" s="2">
        <f>IFERROR(__xludf.DUMMYFUNCTION("""COMPUTED_VALUE"""),2.0)</f>
        <v>2</v>
      </c>
    </row>
    <row r="416">
      <c r="A416" s="2">
        <f>IFERROR(__xludf.DUMMYFUNCTION("""COMPUTED_VALUE"""),2.0)</f>
        <v>2</v>
      </c>
    </row>
    <row r="417">
      <c r="A417" s="2">
        <f>IFERROR(__xludf.DUMMYFUNCTION("""COMPUTED_VALUE"""),2.0)</f>
        <v>2</v>
      </c>
    </row>
    <row r="418">
      <c r="A418" s="2">
        <f>IFERROR(__xludf.DUMMYFUNCTION("""COMPUTED_VALUE"""),2.0)</f>
        <v>2</v>
      </c>
    </row>
    <row r="419">
      <c r="A419" s="2">
        <f>IFERROR(__xludf.DUMMYFUNCTION("""COMPUTED_VALUE"""),2.0)</f>
        <v>2</v>
      </c>
    </row>
    <row r="420">
      <c r="A420" s="2">
        <f>IFERROR(__xludf.DUMMYFUNCTION("""COMPUTED_VALUE"""),2.0)</f>
        <v>2</v>
      </c>
    </row>
    <row r="421">
      <c r="A421" s="2">
        <f>IFERROR(__xludf.DUMMYFUNCTION("""COMPUTED_VALUE"""),5.0)</f>
        <v>5</v>
      </c>
    </row>
    <row r="422">
      <c r="A422" s="2">
        <f>IFERROR(__xludf.DUMMYFUNCTION("""COMPUTED_VALUE"""),5.0)</f>
        <v>5</v>
      </c>
    </row>
    <row r="423">
      <c r="A423" s="2">
        <f>IFERROR(__xludf.DUMMYFUNCTION("""COMPUTED_VALUE"""),3.0)</f>
        <v>3</v>
      </c>
    </row>
    <row r="424">
      <c r="A424" s="2">
        <f>IFERROR(__xludf.DUMMYFUNCTION("""COMPUTED_VALUE"""),3.0)</f>
        <v>3</v>
      </c>
    </row>
    <row r="425">
      <c r="A425" s="2">
        <f>IFERROR(__xludf.DUMMYFUNCTION("""COMPUTED_VALUE"""),3.0)</f>
        <v>3</v>
      </c>
    </row>
    <row r="426">
      <c r="A426" s="2">
        <f>IFERROR(__xludf.DUMMYFUNCTION("""COMPUTED_VALUE"""),3.0)</f>
        <v>3</v>
      </c>
    </row>
    <row r="427">
      <c r="A427" s="2">
        <f>IFERROR(__xludf.DUMMYFUNCTION("""COMPUTED_VALUE"""),3.0)</f>
        <v>3</v>
      </c>
    </row>
    <row r="428">
      <c r="A428" s="2">
        <f>IFERROR(__xludf.DUMMYFUNCTION("""COMPUTED_VALUE"""),3.0)</f>
        <v>3</v>
      </c>
    </row>
    <row r="429">
      <c r="A429" s="2">
        <f>IFERROR(__xludf.DUMMYFUNCTION("""COMPUTED_VALUE"""),3.0)</f>
        <v>3</v>
      </c>
    </row>
    <row r="430">
      <c r="A430" s="2">
        <f>IFERROR(__xludf.DUMMYFUNCTION("""COMPUTED_VALUE"""),3.0)</f>
        <v>3</v>
      </c>
    </row>
    <row r="431">
      <c r="A431" s="2">
        <f>IFERROR(__xludf.DUMMYFUNCTION("""COMPUTED_VALUE"""),3.0)</f>
        <v>3</v>
      </c>
    </row>
    <row r="432">
      <c r="A432" s="2">
        <f>IFERROR(__xludf.DUMMYFUNCTION("""COMPUTED_VALUE"""),3.0)</f>
        <v>3</v>
      </c>
    </row>
    <row r="433">
      <c r="A433" s="2">
        <f>IFERROR(__xludf.DUMMYFUNCTION("""COMPUTED_VALUE"""),3.0)</f>
        <v>3</v>
      </c>
    </row>
    <row r="434">
      <c r="A434" s="2">
        <f>IFERROR(__xludf.DUMMYFUNCTION("""COMPUTED_VALUE"""),3.0)</f>
        <v>3</v>
      </c>
    </row>
    <row r="435">
      <c r="A435" s="2">
        <f>IFERROR(__xludf.DUMMYFUNCTION("""COMPUTED_VALUE"""),3.0)</f>
        <v>3</v>
      </c>
    </row>
    <row r="436">
      <c r="A436" s="2">
        <f>IFERROR(__xludf.DUMMYFUNCTION("""COMPUTED_VALUE"""),3.0)</f>
        <v>3</v>
      </c>
    </row>
    <row r="437">
      <c r="A437" s="2">
        <f>IFERROR(__xludf.DUMMYFUNCTION("""COMPUTED_VALUE"""),6.0)</f>
        <v>6</v>
      </c>
    </row>
    <row r="438">
      <c r="A438" s="2">
        <f>IFERROR(__xludf.DUMMYFUNCTION("""COMPUTED_VALUE"""),6.0)</f>
        <v>6</v>
      </c>
    </row>
    <row r="439">
      <c r="A439" s="2">
        <f>IFERROR(__xludf.DUMMYFUNCTION("""COMPUTED_VALUE"""),6.0)</f>
        <v>6</v>
      </c>
    </row>
    <row r="440">
      <c r="A440" s="2">
        <f>IFERROR(__xludf.DUMMYFUNCTION("""COMPUTED_VALUE"""),6.0)</f>
        <v>6</v>
      </c>
    </row>
    <row r="441">
      <c r="A441" s="2">
        <f>IFERROR(__xludf.DUMMYFUNCTION("""COMPUTED_VALUE"""),3.0)</f>
        <v>3</v>
      </c>
    </row>
    <row r="442">
      <c r="A442" s="2">
        <f>IFERROR(__xludf.DUMMYFUNCTION("""COMPUTED_VALUE"""),3.0)</f>
        <v>3</v>
      </c>
    </row>
    <row r="443">
      <c r="A443" s="2">
        <f>IFERROR(__xludf.DUMMYFUNCTION("""COMPUTED_VALUE"""),3.0)</f>
        <v>3</v>
      </c>
    </row>
    <row r="444">
      <c r="A444" s="2">
        <f>IFERROR(__xludf.DUMMYFUNCTION("""COMPUTED_VALUE"""),3.0)</f>
        <v>3</v>
      </c>
    </row>
    <row r="445">
      <c r="A445" s="2">
        <f>IFERROR(__xludf.DUMMYFUNCTION("""COMPUTED_VALUE"""),3.0)</f>
        <v>3</v>
      </c>
    </row>
    <row r="446">
      <c r="A446" s="2">
        <f>IFERROR(__xludf.DUMMYFUNCTION("""COMPUTED_VALUE"""),3.0)</f>
        <v>3</v>
      </c>
    </row>
    <row r="447">
      <c r="A447" s="2">
        <f>IFERROR(__xludf.DUMMYFUNCTION("""COMPUTED_VALUE"""),3.0)</f>
        <v>3</v>
      </c>
    </row>
    <row r="448">
      <c r="A448" s="2">
        <f>IFERROR(__xludf.DUMMYFUNCTION("""COMPUTED_VALUE"""),3.0)</f>
        <v>3</v>
      </c>
    </row>
    <row r="449">
      <c r="A449" s="2">
        <f>IFERROR(__xludf.DUMMYFUNCTION("""COMPUTED_VALUE"""),3.0)</f>
        <v>3</v>
      </c>
    </row>
    <row r="450">
      <c r="A450" s="2">
        <f>IFERROR(__xludf.DUMMYFUNCTION("""COMPUTED_VALUE"""),3.0)</f>
        <v>3</v>
      </c>
    </row>
    <row r="451">
      <c r="A451" s="2">
        <f>IFERROR(__xludf.DUMMYFUNCTION("""COMPUTED_VALUE"""),9.0)</f>
        <v>9</v>
      </c>
    </row>
    <row r="452">
      <c r="A452" s="2">
        <f>IFERROR(__xludf.DUMMYFUNCTION("""COMPUTED_VALUE"""),9.0)</f>
        <v>9</v>
      </c>
    </row>
    <row r="453">
      <c r="A453" s="2">
        <f>IFERROR(__xludf.DUMMYFUNCTION("""COMPUTED_VALUE"""),9.0)</f>
        <v>9</v>
      </c>
    </row>
    <row r="454">
      <c r="A454" s="2">
        <f>IFERROR(__xludf.DUMMYFUNCTION("""COMPUTED_VALUE"""),9.0)</f>
        <v>9</v>
      </c>
    </row>
    <row r="455">
      <c r="A455" s="2">
        <f>IFERROR(__xludf.DUMMYFUNCTION("""COMPUTED_VALUE"""),9.0)</f>
        <v>9</v>
      </c>
    </row>
    <row r="456">
      <c r="A456" s="2">
        <f>IFERROR(__xludf.DUMMYFUNCTION("""COMPUTED_VALUE"""),9.0)</f>
        <v>9</v>
      </c>
    </row>
    <row r="457">
      <c r="A457" s="2">
        <f>IFERROR(__xludf.DUMMYFUNCTION("""COMPUTED_VALUE"""),9.0)</f>
        <v>9</v>
      </c>
    </row>
    <row r="458">
      <c r="A458" s="2">
        <f>IFERROR(__xludf.DUMMYFUNCTION("""COMPUTED_VALUE"""),9.0)</f>
        <v>9</v>
      </c>
    </row>
    <row r="459">
      <c r="A459" s="2">
        <f>IFERROR(__xludf.DUMMYFUNCTION("""COMPUTED_VALUE"""),2.0)</f>
        <v>2</v>
      </c>
    </row>
    <row r="460">
      <c r="A460" s="2">
        <f>IFERROR(__xludf.DUMMYFUNCTION("""COMPUTED_VALUE"""),2.0)</f>
        <v>2</v>
      </c>
    </row>
    <row r="461">
      <c r="A461" s="2">
        <f>IFERROR(__xludf.DUMMYFUNCTION("""COMPUTED_VALUE"""),2.0)</f>
        <v>2</v>
      </c>
    </row>
    <row r="462">
      <c r="A462" s="2">
        <f>IFERROR(__xludf.DUMMYFUNCTION("""COMPUTED_VALUE"""),2.0)</f>
        <v>2</v>
      </c>
    </row>
    <row r="463">
      <c r="A463" s="2">
        <f>IFERROR(__xludf.DUMMYFUNCTION("""COMPUTED_VALUE"""),2.0)</f>
        <v>2</v>
      </c>
    </row>
    <row r="464">
      <c r="A464" s="2">
        <f>IFERROR(__xludf.DUMMYFUNCTION("""COMPUTED_VALUE"""),2.0)</f>
        <v>2</v>
      </c>
    </row>
    <row r="465">
      <c r="A465" s="2">
        <f>IFERROR(__xludf.DUMMYFUNCTION("""COMPUTED_VALUE"""),8.0)</f>
        <v>8</v>
      </c>
    </row>
    <row r="466">
      <c r="A466" s="2">
        <f>IFERROR(__xludf.DUMMYFUNCTION("""COMPUTED_VALUE"""),8.0)</f>
        <v>8</v>
      </c>
    </row>
    <row r="467">
      <c r="A467" s="2">
        <f>IFERROR(__xludf.DUMMYFUNCTION("""COMPUTED_VALUE"""),5.0)</f>
        <v>5</v>
      </c>
    </row>
    <row r="468">
      <c r="A468" s="2">
        <f>IFERROR(__xludf.DUMMYFUNCTION("""COMPUTED_VALUE"""),5.0)</f>
        <v>5</v>
      </c>
    </row>
    <row r="469">
      <c r="A469" s="2">
        <f>IFERROR(__xludf.DUMMYFUNCTION("""COMPUTED_VALUE"""),5.0)</f>
        <v>5</v>
      </c>
    </row>
    <row r="470">
      <c r="A470" s="2">
        <f>IFERROR(__xludf.DUMMYFUNCTION("""COMPUTED_VALUE"""),5.0)</f>
        <v>5</v>
      </c>
    </row>
    <row r="471">
      <c r="A471" s="2">
        <f>IFERROR(__xludf.DUMMYFUNCTION("""COMPUTED_VALUE"""),5.0)</f>
        <v>5</v>
      </c>
    </row>
    <row r="472">
      <c r="A472" s="2">
        <f>IFERROR(__xludf.DUMMYFUNCTION("""COMPUTED_VALUE"""),5.0)</f>
        <v>5</v>
      </c>
    </row>
    <row r="473">
      <c r="A473" s="2">
        <f>IFERROR(__xludf.DUMMYFUNCTION("""COMPUTED_VALUE"""),5.0)</f>
        <v>5</v>
      </c>
    </row>
    <row r="474">
      <c r="A474" s="2">
        <f>IFERROR(__xludf.DUMMYFUNCTION("""COMPUTED_VALUE"""),8.0)</f>
        <v>8</v>
      </c>
    </row>
    <row r="475">
      <c r="A475" s="2">
        <f>IFERROR(__xludf.DUMMYFUNCTION("""COMPUTED_VALUE"""),6.0)</f>
        <v>6</v>
      </c>
    </row>
    <row r="476">
      <c r="A476" s="2">
        <f>IFERROR(__xludf.DUMMYFUNCTION("""COMPUTED_VALUE"""),6.0)</f>
        <v>6</v>
      </c>
    </row>
    <row r="477">
      <c r="A477" s="2">
        <f>IFERROR(__xludf.DUMMYFUNCTION("""COMPUTED_VALUE"""),6.0)</f>
        <v>6</v>
      </c>
    </row>
    <row r="478">
      <c r="A478" s="2">
        <f>IFERROR(__xludf.DUMMYFUNCTION("""COMPUTED_VALUE"""),6.0)</f>
        <v>6</v>
      </c>
    </row>
    <row r="479">
      <c r="A479" s="2">
        <f>IFERROR(__xludf.DUMMYFUNCTION("""COMPUTED_VALUE"""),6.0)</f>
        <v>6</v>
      </c>
    </row>
    <row r="480">
      <c r="A480" s="2">
        <f>IFERROR(__xludf.DUMMYFUNCTION("""COMPUTED_VALUE"""),6.0)</f>
        <v>6</v>
      </c>
    </row>
    <row r="481">
      <c r="A481" s="2">
        <f>IFERROR(__xludf.DUMMYFUNCTION("""COMPUTED_VALUE"""),6.0)</f>
        <v>6</v>
      </c>
    </row>
    <row r="482">
      <c r="A482" s="2">
        <f>IFERROR(__xludf.DUMMYFUNCTION("""COMPUTED_VALUE"""),6.0)</f>
        <v>6</v>
      </c>
    </row>
    <row r="483">
      <c r="A483" s="2">
        <f>IFERROR(__xludf.DUMMYFUNCTION("""COMPUTED_VALUE"""),6.0)</f>
        <v>6</v>
      </c>
    </row>
    <row r="484">
      <c r="A484" s="2">
        <f>IFERROR(__xludf.DUMMYFUNCTION("""COMPUTED_VALUE"""),6.0)</f>
        <v>6</v>
      </c>
    </row>
    <row r="485">
      <c r="A485" s="2">
        <f>IFERROR(__xludf.DUMMYFUNCTION("""COMPUTED_VALUE"""),6.0)</f>
        <v>6</v>
      </c>
    </row>
    <row r="486">
      <c r="A486" s="2">
        <f>IFERROR(__xludf.DUMMYFUNCTION("""COMPUTED_VALUE"""),6.0)</f>
        <v>6</v>
      </c>
    </row>
    <row r="487">
      <c r="A487" s="2">
        <f>IFERROR(__xludf.DUMMYFUNCTION("""COMPUTED_VALUE"""),6.0)</f>
        <v>6</v>
      </c>
    </row>
    <row r="488">
      <c r="A488" s="2">
        <f>IFERROR(__xludf.DUMMYFUNCTION("""COMPUTED_VALUE"""),6.0)</f>
        <v>6</v>
      </c>
    </row>
    <row r="489">
      <c r="A489" s="2">
        <f>IFERROR(__xludf.DUMMYFUNCTION("""COMPUTED_VALUE"""),6.0)</f>
        <v>6</v>
      </c>
    </row>
    <row r="490">
      <c r="A490" s="2">
        <f>IFERROR(__xludf.DUMMYFUNCTION("""COMPUTED_VALUE"""),6.0)</f>
        <v>6</v>
      </c>
    </row>
    <row r="491">
      <c r="A491" s="2">
        <f>IFERROR(__xludf.DUMMYFUNCTION("""COMPUTED_VALUE"""),6.0)</f>
        <v>6</v>
      </c>
    </row>
    <row r="492">
      <c r="A492" s="2">
        <f>IFERROR(__xludf.DUMMYFUNCTION("""COMPUTED_VALUE"""),6.0)</f>
        <v>6</v>
      </c>
    </row>
    <row r="493">
      <c r="A493" s="2">
        <f>IFERROR(__xludf.DUMMYFUNCTION("""COMPUTED_VALUE"""),6.0)</f>
        <v>6</v>
      </c>
    </row>
    <row r="494">
      <c r="A494" s="2">
        <f>IFERROR(__xludf.DUMMYFUNCTION("""COMPUTED_VALUE"""),6.0)</f>
        <v>6</v>
      </c>
    </row>
    <row r="495">
      <c r="A495" s="2">
        <f>IFERROR(__xludf.DUMMYFUNCTION("""COMPUTED_VALUE"""),6.0)</f>
        <v>6</v>
      </c>
    </row>
    <row r="496">
      <c r="A496" s="2">
        <f>IFERROR(__xludf.DUMMYFUNCTION("""COMPUTED_VALUE"""),6.0)</f>
        <v>6</v>
      </c>
    </row>
    <row r="497">
      <c r="A497" s="2">
        <f>IFERROR(__xludf.DUMMYFUNCTION("""COMPUTED_VALUE"""),6.0)</f>
        <v>6</v>
      </c>
    </row>
    <row r="498">
      <c r="A498" s="2">
        <f>IFERROR(__xludf.DUMMYFUNCTION("""COMPUTED_VALUE"""),6.0)</f>
        <v>6</v>
      </c>
    </row>
    <row r="499">
      <c r="A499" s="2">
        <f>IFERROR(__xludf.DUMMYFUNCTION("""COMPUTED_VALUE"""),6.0)</f>
        <v>6</v>
      </c>
    </row>
    <row r="500">
      <c r="A500" s="2">
        <f>IFERROR(__xludf.DUMMYFUNCTION("""COMPUTED_VALUE"""),6.0)</f>
        <v>6</v>
      </c>
    </row>
    <row r="501">
      <c r="A501" s="2">
        <f>IFERROR(__xludf.DUMMYFUNCTION("""COMPUTED_VALUE"""),6.0)</f>
        <v>6</v>
      </c>
    </row>
    <row r="502">
      <c r="A502" s="2">
        <f>IFERROR(__xludf.DUMMYFUNCTION("""COMPUTED_VALUE"""),6.0)</f>
        <v>6</v>
      </c>
    </row>
    <row r="503">
      <c r="A503" s="2">
        <f>IFERROR(__xludf.DUMMYFUNCTION("""COMPUTED_VALUE"""),6.0)</f>
        <v>6</v>
      </c>
    </row>
    <row r="504">
      <c r="A504" s="2">
        <f>IFERROR(__xludf.DUMMYFUNCTION("""COMPUTED_VALUE"""),6.0)</f>
        <v>6</v>
      </c>
    </row>
    <row r="505">
      <c r="A505" s="2">
        <f>IFERROR(__xludf.DUMMYFUNCTION("""COMPUTED_VALUE"""),6.0)</f>
        <v>6</v>
      </c>
    </row>
    <row r="506">
      <c r="A506" s="2">
        <f>IFERROR(__xludf.DUMMYFUNCTION("""COMPUTED_VALUE"""),6.0)</f>
        <v>6</v>
      </c>
    </row>
    <row r="507">
      <c r="A507" s="2">
        <f>IFERROR(__xludf.DUMMYFUNCTION("""COMPUTED_VALUE"""),6.0)</f>
        <v>6</v>
      </c>
    </row>
    <row r="508">
      <c r="A508" s="2">
        <f>IFERROR(__xludf.DUMMYFUNCTION("""COMPUTED_VALUE"""),6.0)</f>
        <v>6</v>
      </c>
    </row>
    <row r="509">
      <c r="A509" s="2">
        <f>IFERROR(__xludf.DUMMYFUNCTION("""COMPUTED_VALUE"""),6.0)</f>
        <v>6</v>
      </c>
    </row>
    <row r="510">
      <c r="A510" s="2">
        <f>IFERROR(__xludf.DUMMYFUNCTION("""COMPUTED_VALUE"""),6.0)</f>
        <v>6</v>
      </c>
    </row>
    <row r="511">
      <c r="A511" s="2">
        <f>IFERROR(__xludf.DUMMYFUNCTION("""COMPUTED_VALUE"""),2.0)</f>
        <v>2</v>
      </c>
    </row>
    <row r="512">
      <c r="A512" s="2">
        <f>IFERROR(__xludf.DUMMYFUNCTION("""COMPUTED_VALUE"""),2.0)</f>
        <v>2</v>
      </c>
    </row>
    <row r="513">
      <c r="A513" s="2">
        <f>IFERROR(__xludf.DUMMYFUNCTION("""COMPUTED_VALUE"""),2.0)</f>
        <v>2</v>
      </c>
    </row>
    <row r="514">
      <c r="A514" s="2">
        <f>IFERROR(__xludf.DUMMYFUNCTION("""COMPUTED_VALUE"""),2.0)</f>
        <v>2</v>
      </c>
    </row>
    <row r="515">
      <c r="A515" s="2">
        <f>IFERROR(__xludf.DUMMYFUNCTION("""COMPUTED_VALUE"""),2.0)</f>
        <v>2</v>
      </c>
    </row>
    <row r="516">
      <c r="A516" s="2">
        <f>IFERROR(__xludf.DUMMYFUNCTION("""COMPUTED_VALUE"""),2.0)</f>
        <v>2</v>
      </c>
    </row>
    <row r="517">
      <c r="A517" s="2">
        <f>IFERROR(__xludf.DUMMYFUNCTION("""COMPUTED_VALUE"""),2.0)</f>
        <v>2</v>
      </c>
    </row>
    <row r="518">
      <c r="A518" s="2">
        <f>IFERROR(__xludf.DUMMYFUNCTION("""COMPUTED_VALUE"""),2.0)</f>
        <v>2</v>
      </c>
    </row>
    <row r="519">
      <c r="A519" s="2">
        <f>IFERROR(__xludf.DUMMYFUNCTION("""COMPUTED_VALUE"""),2.0)</f>
        <v>2</v>
      </c>
    </row>
    <row r="520">
      <c r="A520" s="2">
        <f>IFERROR(__xludf.DUMMYFUNCTION("""COMPUTED_VALUE"""),2.0)</f>
        <v>2</v>
      </c>
    </row>
    <row r="521">
      <c r="A521" s="2">
        <f>IFERROR(__xludf.DUMMYFUNCTION("""COMPUTED_VALUE"""),2.0)</f>
        <v>2</v>
      </c>
    </row>
    <row r="522">
      <c r="A522" s="2">
        <f>IFERROR(__xludf.DUMMYFUNCTION("""COMPUTED_VALUE"""),2.0)</f>
        <v>2</v>
      </c>
    </row>
    <row r="523">
      <c r="A523" s="2">
        <f>IFERROR(__xludf.DUMMYFUNCTION("""COMPUTED_VALUE"""),2.0)</f>
        <v>2</v>
      </c>
    </row>
    <row r="524">
      <c r="A524" s="2">
        <f>IFERROR(__xludf.DUMMYFUNCTION("""COMPUTED_VALUE"""),2.0)</f>
        <v>2</v>
      </c>
    </row>
    <row r="525">
      <c r="A525" s="2">
        <f>IFERROR(__xludf.DUMMYFUNCTION("""COMPUTED_VALUE"""),2.0)</f>
        <v>2</v>
      </c>
    </row>
    <row r="526">
      <c r="A526" s="2">
        <f>IFERROR(__xludf.DUMMYFUNCTION("""COMPUTED_VALUE"""),2.0)</f>
        <v>2</v>
      </c>
    </row>
    <row r="527">
      <c r="A527" s="2">
        <f>IFERROR(__xludf.DUMMYFUNCTION("""COMPUTED_VALUE"""),2.0)</f>
        <v>2</v>
      </c>
    </row>
    <row r="528">
      <c r="A528" s="2">
        <f>IFERROR(__xludf.DUMMYFUNCTION("""COMPUTED_VALUE"""),2.0)</f>
        <v>2</v>
      </c>
    </row>
    <row r="529">
      <c r="A529" s="2">
        <f>IFERROR(__xludf.DUMMYFUNCTION("""COMPUTED_VALUE"""),2.0)</f>
        <v>2</v>
      </c>
    </row>
    <row r="530">
      <c r="A530" s="2">
        <f>IFERROR(__xludf.DUMMYFUNCTION("""COMPUTED_VALUE"""),9.0)</f>
        <v>9</v>
      </c>
    </row>
    <row r="531">
      <c r="A531" s="2">
        <f>IFERROR(__xludf.DUMMYFUNCTION("""COMPUTED_VALUE"""),9.0)</f>
        <v>9</v>
      </c>
    </row>
    <row r="532">
      <c r="A532" s="2">
        <f>IFERROR(__xludf.DUMMYFUNCTION("""COMPUTED_VALUE"""),9.0)</f>
        <v>9</v>
      </c>
    </row>
    <row r="533">
      <c r="A533" s="2">
        <f>IFERROR(__xludf.DUMMYFUNCTION("""COMPUTED_VALUE"""),9.0)</f>
        <v>9</v>
      </c>
    </row>
    <row r="534">
      <c r="A534" s="2">
        <f>IFERROR(__xludf.DUMMYFUNCTION("""COMPUTED_VALUE"""),9.0)</f>
        <v>9</v>
      </c>
    </row>
    <row r="535">
      <c r="A535" s="2">
        <f>IFERROR(__xludf.DUMMYFUNCTION("""COMPUTED_VALUE"""),9.0)</f>
        <v>9</v>
      </c>
    </row>
    <row r="536">
      <c r="A536" s="2">
        <f>IFERROR(__xludf.DUMMYFUNCTION("""COMPUTED_VALUE"""),9.0)</f>
        <v>9</v>
      </c>
    </row>
    <row r="537">
      <c r="A537" s="2">
        <f>IFERROR(__xludf.DUMMYFUNCTION("""COMPUTED_VALUE"""),9.0)</f>
        <v>9</v>
      </c>
    </row>
    <row r="538">
      <c r="A538" s="2">
        <f>IFERROR(__xludf.DUMMYFUNCTION("""COMPUTED_VALUE"""),9.0)</f>
        <v>9</v>
      </c>
    </row>
    <row r="539">
      <c r="A539" s="2">
        <f>IFERROR(__xludf.DUMMYFUNCTION("""COMPUTED_VALUE"""),9.0)</f>
        <v>9</v>
      </c>
    </row>
    <row r="540">
      <c r="A540" s="2">
        <f>IFERROR(__xludf.DUMMYFUNCTION("""COMPUTED_VALUE"""),9.0)</f>
        <v>9</v>
      </c>
    </row>
    <row r="541">
      <c r="A541" s="2">
        <f>IFERROR(__xludf.DUMMYFUNCTION("""COMPUTED_VALUE"""),9.0)</f>
        <v>9</v>
      </c>
    </row>
    <row r="542">
      <c r="A542" s="2">
        <f>IFERROR(__xludf.DUMMYFUNCTION("""COMPUTED_VALUE"""),3.0)</f>
        <v>3</v>
      </c>
    </row>
    <row r="543">
      <c r="A543" s="2">
        <f>IFERROR(__xludf.DUMMYFUNCTION("""COMPUTED_VALUE"""),3.0)</f>
        <v>3</v>
      </c>
    </row>
    <row r="544">
      <c r="A544" s="2">
        <f>IFERROR(__xludf.DUMMYFUNCTION("""COMPUTED_VALUE"""),3.0)</f>
        <v>3</v>
      </c>
    </row>
    <row r="545">
      <c r="A545" s="2">
        <f>IFERROR(__xludf.DUMMYFUNCTION("""COMPUTED_VALUE"""),2.0)</f>
        <v>2</v>
      </c>
    </row>
    <row r="546">
      <c r="A546" s="2">
        <f>IFERROR(__xludf.DUMMYFUNCTION("""COMPUTED_VALUE"""),2.0)</f>
        <v>2</v>
      </c>
    </row>
    <row r="547">
      <c r="A547" s="2">
        <f>IFERROR(__xludf.DUMMYFUNCTION("""COMPUTED_VALUE"""),5.0)</f>
        <v>5</v>
      </c>
    </row>
    <row r="548">
      <c r="A548" s="2">
        <f>IFERROR(__xludf.DUMMYFUNCTION("""COMPUTED_VALUE"""),8.0)</f>
        <v>8</v>
      </c>
    </row>
    <row r="549">
      <c r="A549" s="2">
        <f>IFERROR(__xludf.DUMMYFUNCTION("""COMPUTED_VALUE"""),8.0)</f>
        <v>8</v>
      </c>
    </row>
    <row r="550">
      <c r="A550" s="2">
        <f>IFERROR(__xludf.DUMMYFUNCTION("""COMPUTED_VALUE"""),8.0)</f>
        <v>8</v>
      </c>
    </row>
    <row r="551">
      <c r="A551" s="2">
        <f>IFERROR(__xludf.DUMMYFUNCTION("""COMPUTED_VALUE"""),8.0)</f>
        <v>8</v>
      </c>
    </row>
    <row r="552">
      <c r="A552" s="2">
        <f>IFERROR(__xludf.DUMMYFUNCTION("""COMPUTED_VALUE"""),8.0)</f>
        <v>8</v>
      </c>
    </row>
    <row r="553">
      <c r="A553" s="2">
        <f>IFERROR(__xludf.DUMMYFUNCTION("""COMPUTED_VALUE"""),8.0)</f>
        <v>8</v>
      </c>
    </row>
    <row r="554">
      <c r="A554" s="2">
        <f>IFERROR(__xludf.DUMMYFUNCTION("""COMPUTED_VALUE"""),8.0)</f>
        <v>8</v>
      </c>
    </row>
    <row r="555">
      <c r="A555" s="2">
        <f>IFERROR(__xludf.DUMMYFUNCTION("""COMPUTED_VALUE"""),8.0)</f>
        <v>8</v>
      </c>
    </row>
    <row r="556">
      <c r="A556" s="2">
        <f>IFERROR(__xludf.DUMMYFUNCTION("""COMPUTED_VALUE"""),8.0)</f>
        <v>8</v>
      </c>
    </row>
    <row r="557">
      <c r="A557" s="2">
        <f>IFERROR(__xludf.DUMMYFUNCTION("""COMPUTED_VALUE"""),8.0)</f>
        <v>8</v>
      </c>
    </row>
    <row r="558">
      <c r="A558" s="2">
        <f>IFERROR(__xludf.DUMMYFUNCTION("""COMPUTED_VALUE"""),8.0)</f>
        <v>8</v>
      </c>
    </row>
    <row r="559">
      <c r="A559" s="2">
        <f>IFERROR(__xludf.DUMMYFUNCTION("""COMPUTED_VALUE"""),8.0)</f>
        <v>8</v>
      </c>
    </row>
    <row r="560">
      <c r="A560" s="2">
        <f>IFERROR(__xludf.DUMMYFUNCTION("""COMPUTED_VALUE"""),8.0)</f>
        <v>8</v>
      </c>
    </row>
    <row r="561">
      <c r="A561" s="2">
        <f>IFERROR(__xludf.DUMMYFUNCTION("""COMPUTED_VALUE"""),8.0)</f>
        <v>8</v>
      </c>
    </row>
    <row r="562">
      <c r="A562" s="2">
        <f>IFERROR(__xludf.DUMMYFUNCTION("""COMPUTED_VALUE"""),8.0)</f>
        <v>8</v>
      </c>
    </row>
    <row r="563">
      <c r="A563" s="2">
        <f>IFERROR(__xludf.DUMMYFUNCTION("""COMPUTED_VALUE"""),8.0)</f>
        <v>8</v>
      </c>
    </row>
    <row r="564">
      <c r="A564" s="2">
        <f>IFERROR(__xludf.DUMMYFUNCTION("""COMPUTED_VALUE"""),8.0)</f>
        <v>8</v>
      </c>
    </row>
    <row r="565">
      <c r="A565" s="2">
        <f>IFERROR(__xludf.DUMMYFUNCTION("""COMPUTED_VALUE"""),2.0)</f>
        <v>2</v>
      </c>
    </row>
    <row r="566">
      <c r="A566" s="2">
        <f>IFERROR(__xludf.DUMMYFUNCTION("""COMPUTED_VALUE"""),2.0)</f>
        <v>2</v>
      </c>
    </row>
    <row r="567">
      <c r="A567" s="2">
        <f>IFERROR(__xludf.DUMMYFUNCTION("""COMPUTED_VALUE"""),4.0)</f>
        <v>4</v>
      </c>
    </row>
    <row r="568">
      <c r="A568" s="2">
        <f>IFERROR(__xludf.DUMMYFUNCTION("""COMPUTED_VALUE"""),4.0)</f>
        <v>4</v>
      </c>
    </row>
    <row r="569">
      <c r="A569" s="2">
        <f>IFERROR(__xludf.DUMMYFUNCTION("""COMPUTED_VALUE"""),4.0)</f>
        <v>4</v>
      </c>
    </row>
    <row r="570">
      <c r="A570" s="2">
        <f>IFERROR(__xludf.DUMMYFUNCTION("""COMPUTED_VALUE"""),4.0)</f>
        <v>4</v>
      </c>
    </row>
    <row r="571">
      <c r="A571" s="2">
        <f>IFERROR(__xludf.DUMMYFUNCTION("""COMPUTED_VALUE"""),4.0)</f>
        <v>4</v>
      </c>
    </row>
    <row r="572">
      <c r="A572" s="2">
        <f>IFERROR(__xludf.DUMMYFUNCTION("""COMPUTED_VALUE"""),4.0)</f>
        <v>4</v>
      </c>
    </row>
    <row r="573">
      <c r="A573" s="2">
        <f>IFERROR(__xludf.DUMMYFUNCTION("""COMPUTED_VALUE"""),4.0)</f>
        <v>4</v>
      </c>
    </row>
    <row r="574">
      <c r="A574" s="2">
        <f>IFERROR(__xludf.DUMMYFUNCTION("""COMPUTED_VALUE"""),4.0)</f>
        <v>4</v>
      </c>
    </row>
    <row r="575">
      <c r="A575" s="2">
        <f>IFERROR(__xludf.DUMMYFUNCTION("""COMPUTED_VALUE"""),2.0)</f>
        <v>2</v>
      </c>
    </row>
    <row r="576">
      <c r="A576" s="2">
        <f>IFERROR(__xludf.DUMMYFUNCTION("""COMPUTED_VALUE"""),2.0)</f>
        <v>2</v>
      </c>
    </row>
    <row r="577">
      <c r="A577" s="2">
        <f>IFERROR(__xludf.DUMMYFUNCTION("""COMPUTED_VALUE"""),2.0)</f>
        <v>2</v>
      </c>
    </row>
    <row r="578">
      <c r="A578" s="2">
        <f>IFERROR(__xludf.DUMMYFUNCTION("""COMPUTED_VALUE"""),2.0)</f>
        <v>2</v>
      </c>
    </row>
    <row r="579">
      <c r="A579" s="2">
        <f>IFERROR(__xludf.DUMMYFUNCTION("""COMPUTED_VALUE"""),2.0)</f>
        <v>2</v>
      </c>
    </row>
    <row r="580">
      <c r="A580" s="2">
        <f>IFERROR(__xludf.DUMMYFUNCTION("""COMPUTED_VALUE"""),2.0)</f>
        <v>2</v>
      </c>
    </row>
    <row r="581">
      <c r="A581" s="2">
        <f>IFERROR(__xludf.DUMMYFUNCTION("""COMPUTED_VALUE"""),2.0)</f>
        <v>2</v>
      </c>
    </row>
    <row r="582">
      <c r="A582" s="2">
        <f>IFERROR(__xludf.DUMMYFUNCTION("""COMPUTED_VALUE"""),1.0)</f>
        <v>1</v>
      </c>
    </row>
    <row r="583">
      <c r="A583" s="2">
        <f>IFERROR(__xludf.DUMMYFUNCTION("""COMPUTED_VALUE"""),1.0)</f>
        <v>1</v>
      </c>
    </row>
    <row r="584">
      <c r="A584" s="2">
        <f>IFERROR(__xludf.DUMMYFUNCTION("""COMPUTED_VALUE"""),1.0)</f>
        <v>1</v>
      </c>
    </row>
    <row r="585">
      <c r="A585" s="2">
        <f>IFERROR(__xludf.DUMMYFUNCTION("""COMPUTED_VALUE"""),1.0)</f>
        <v>1</v>
      </c>
    </row>
    <row r="586">
      <c r="A586" s="2">
        <f>IFERROR(__xludf.DUMMYFUNCTION("""COMPUTED_VALUE"""),1.0)</f>
        <v>1</v>
      </c>
    </row>
    <row r="587">
      <c r="A587" s="2">
        <f>IFERROR(__xludf.DUMMYFUNCTION("""COMPUTED_VALUE"""),6.0)</f>
        <v>6</v>
      </c>
    </row>
    <row r="588">
      <c r="A588" s="2">
        <f>IFERROR(__xludf.DUMMYFUNCTION("""COMPUTED_VALUE"""),6.0)</f>
        <v>6</v>
      </c>
    </row>
    <row r="589">
      <c r="A589" s="2">
        <f>IFERROR(__xludf.DUMMYFUNCTION("""COMPUTED_VALUE"""),6.0)</f>
        <v>6</v>
      </c>
    </row>
    <row r="590">
      <c r="A590" s="2">
        <f>IFERROR(__xludf.DUMMYFUNCTION("""COMPUTED_VALUE"""),6.0)</f>
        <v>6</v>
      </c>
    </row>
    <row r="591">
      <c r="A591" s="2">
        <f>IFERROR(__xludf.DUMMYFUNCTION("""COMPUTED_VALUE"""),6.0)</f>
        <v>6</v>
      </c>
    </row>
    <row r="592">
      <c r="A592" s="2">
        <f>IFERROR(__xludf.DUMMYFUNCTION("""COMPUTED_VALUE"""),8.0)</f>
        <v>8</v>
      </c>
    </row>
    <row r="593">
      <c r="A593" s="2">
        <f>IFERROR(__xludf.DUMMYFUNCTION("""COMPUTED_VALUE"""),8.0)</f>
        <v>8</v>
      </c>
    </row>
    <row r="594">
      <c r="A594" s="2">
        <f>IFERROR(__xludf.DUMMYFUNCTION("""COMPUTED_VALUE"""),8.0)</f>
        <v>8</v>
      </c>
    </row>
    <row r="595">
      <c r="A595" s="2">
        <f>IFERROR(__xludf.DUMMYFUNCTION("""COMPUTED_VALUE"""),8.0)</f>
        <v>8</v>
      </c>
    </row>
    <row r="596">
      <c r="A596" s="2">
        <f>IFERROR(__xludf.DUMMYFUNCTION("""COMPUTED_VALUE"""),8.0)</f>
        <v>8</v>
      </c>
    </row>
    <row r="597">
      <c r="A597" s="2">
        <f>IFERROR(__xludf.DUMMYFUNCTION("""COMPUTED_VALUE"""),8.0)</f>
        <v>8</v>
      </c>
    </row>
    <row r="598">
      <c r="A598" s="2">
        <f>IFERROR(__xludf.DUMMYFUNCTION("""COMPUTED_VALUE"""),4.0)</f>
        <v>4</v>
      </c>
    </row>
    <row r="599">
      <c r="A599" s="2">
        <f>IFERROR(__xludf.DUMMYFUNCTION("""COMPUTED_VALUE"""),4.0)</f>
        <v>4</v>
      </c>
    </row>
    <row r="600">
      <c r="A600" s="2">
        <f>IFERROR(__xludf.DUMMYFUNCTION("""COMPUTED_VALUE"""),6.0)</f>
        <v>6</v>
      </c>
    </row>
    <row r="601">
      <c r="A601" s="2">
        <f>IFERROR(__xludf.DUMMYFUNCTION("""COMPUTED_VALUE"""),6.0)</f>
        <v>6</v>
      </c>
    </row>
    <row r="602">
      <c r="A602" s="2">
        <f>IFERROR(__xludf.DUMMYFUNCTION("""COMPUTED_VALUE"""),6.0)</f>
        <v>6</v>
      </c>
    </row>
    <row r="603">
      <c r="A603" s="2">
        <f>IFERROR(__xludf.DUMMYFUNCTION("""COMPUTED_VALUE"""),6.0)</f>
        <v>6</v>
      </c>
    </row>
    <row r="604">
      <c r="A604" s="2">
        <f>IFERROR(__xludf.DUMMYFUNCTION("""COMPUTED_VALUE"""),6.0)</f>
        <v>6</v>
      </c>
    </row>
    <row r="605">
      <c r="A605" s="2">
        <f>IFERROR(__xludf.DUMMYFUNCTION("""COMPUTED_VALUE"""),6.0)</f>
        <v>6</v>
      </c>
    </row>
    <row r="606">
      <c r="A606" s="2">
        <f>IFERROR(__xludf.DUMMYFUNCTION("""COMPUTED_VALUE"""),6.0)</f>
        <v>6</v>
      </c>
    </row>
    <row r="607">
      <c r="A607" s="2">
        <f>IFERROR(__xludf.DUMMYFUNCTION("""COMPUTED_VALUE"""),6.0)</f>
        <v>6</v>
      </c>
    </row>
    <row r="608">
      <c r="A608" s="2">
        <f>IFERROR(__xludf.DUMMYFUNCTION("""COMPUTED_VALUE"""),6.0)</f>
        <v>6</v>
      </c>
    </row>
    <row r="609">
      <c r="A609" s="2">
        <f>IFERROR(__xludf.DUMMYFUNCTION("""COMPUTED_VALUE"""),6.0)</f>
        <v>6</v>
      </c>
    </row>
    <row r="610">
      <c r="A610" s="2">
        <f>IFERROR(__xludf.DUMMYFUNCTION("""COMPUTED_VALUE"""),6.0)</f>
        <v>6</v>
      </c>
    </row>
    <row r="611">
      <c r="A611" s="2">
        <f>IFERROR(__xludf.DUMMYFUNCTION("""COMPUTED_VALUE"""),6.0)</f>
        <v>6</v>
      </c>
    </row>
    <row r="612">
      <c r="A612" s="2">
        <f>IFERROR(__xludf.DUMMYFUNCTION("""COMPUTED_VALUE"""),6.0)</f>
        <v>6</v>
      </c>
    </row>
    <row r="613">
      <c r="A613" s="2">
        <f>IFERROR(__xludf.DUMMYFUNCTION("""COMPUTED_VALUE"""),6.0)</f>
        <v>6</v>
      </c>
    </row>
    <row r="614">
      <c r="A614" s="2">
        <f>IFERROR(__xludf.DUMMYFUNCTION("""COMPUTED_VALUE"""),6.0)</f>
        <v>6</v>
      </c>
    </row>
    <row r="615">
      <c r="A615" s="2">
        <f>IFERROR(__xludf.DUMMYFUNCTION("""COMPUTED_VALUE"""),6.0)</f>
        <v>6</v>
      </c>
    </row>
    <row r="616">
      <c r="A616" s="2">
        <f>IFERROR(__xludf.DUMMYFUNCTION("""COMPUTED_VALUE"""),6.0)</f>
        <v>6</v>
      </c>
    </row>
    <row r="617">
      <c r="A617" s="2">
        <f>IFERROR(__xludf.DUMMYFUNCTION("""COMPUTED_VALUE"""),5.0)</f>
        <v>5</v>
      </c>
    </row>
    <row r="618">
      <c r="A618" s="2">
        <f>IFERROR(__xludf.DUMMYFUNCTION("""COMPUTED_VALUE"""),5.0)</f>
        <v>5</v>
      </c>
    </row>
    <row r="619">
      <c r="A619" s="2">
        <f>IFERROR(__xludf.DUMMYFUNCTION("""COMPUTED_VALUE"""),9.0)</f>
        <v>9</v>
      </c>
    </row>
    <row r="620">
      <c r="A620" s="2">
        <f>IFERROR(__xludf.DUMMYFUNCTION("""COMPUTED_VALUE"""),9.0)</f>
        <v>9</v>
      </c>
    </row>
    <row r="621">
      <c r="A621" s="2">
        <f>IFERROR(__xludf.DUMMYFUNCTION("""COMPUTED_VALUE"""),9.0)</f>
        <v>9</v>
      </c>
    </row>
    <row r="622">
      <c r="A622" s="2">
        <f>IFERROR(__xludf.DUMMYFUNCTION("""COMPUTED_VALUE"""),9.0)</f>
        <v>9</v>
      </c>
    </row>
    <row r="623">
      <c r="A623" s="2">
        <f>IFERROR(__xludf.DUMMYFUNCTION("""COMPUTED_VALUE"""),9.0)</f>
        <v>9</v>
      </c>
    </row>
    <row r="624">
      <c r="A624" s="2">
        <f>IFERROR(__xludf.DUMMYFUNCTION("""COMPUTED_VALUE"""),9.0)</f>
        <v>9</v>
      </c>
    </row>
    <row r="625">
      <c r="A625" s="2">
        <f>IFERROR(__xludf.DUMMYFUNCTION("""COMPUTED_VALUE"""),9.0)</f>
        <v>9</v>
      </c>
    </row>
    <row r="626">
      <c r="A626" s="2">
        <f>IFERROR(__xludf.DUMMYFUNCTION("""COMPUTED_VALUE"""),9.0)</f>
        <v>9</v>
      </c>
    </row>
    <row r="627">
      <c r="A627" s="2">
        <f>IFERROR(__xludf.DUMMYFUNCTION("""COMPUTED_VALUE"""),9.0)</f>
        <v>9</v>
      </c>
    </row>
    <row r="628">
      <c r="A628" s="2">
        <f>IFERROR(__xludf.DUMMYFUNCTION("""COMPUTED_VALUE"""),9.0)</f>
        <v>9</v>
      </c>
    </row>
    <row r="629">
      <c r="A629" s="2">
        <f>IFERROR(__xludf.DUMMYFUNCTION("""COMPUTED_VALUE"""),9.0)</f>
        <v>9</v>
      </c>
    </row>
    <row r="630">
      <c r="A630" s="2">
        <f>IFERROR(__xludf.DUMMYFUNCTION("""COMPUTED_VALUE"""),9.0)</f>
        <v>9</v>
      </c>
    </row>
    <row r="631">
      <c r="A631" s="2">
        <f>IFERROR(__xludf.DUMMYFUNCTION("""COMPUTED_VALUE"""),9.0)</f>
        <v>9</v>
      </c>
    </row>
    <row r="632">
      <c r="A632" s="2">
        <f>IFERROR(__xludf.DUMMYFUNCTION("""COMPUTED_VALUE"""),9.0)</f>
        <v>9</v>
      </c>
    </row>
    <row r="633">
      <c r="A633" s="2">
        <f>IFERROR(__xludf.DUMMYFUNCTION("""COMPUTED_VALUE"""),9.0)</f>
        <v>9</v>
      </c>
    </row>
    <row r="634">
      <c r="A634" s="2">
        <f>IFERROR(__xludf.DUMMYFUNCTION("""COMPUTED_VALUE"""),9.0)</f>
        <v>9</v>
      </c>
    </row>
    <row r="635">
      <c r="A635" s="2">
        <f>IFERROR(__xludf.DUMMYFUNCTION("""COMPUTED_VALUE"""),9.0)</f>
        <v>9</v>
      </c>
    </row>
    <row r="636">
      <c r="A636" s="2">
        <f>IFERROR(__xludf.DUMMYFUNCTION("""COMPUTED_VALUE"""),7.0)</f>
        <v>7</v>
      </c>
    </row>
    <row r="637">
      <c r="A637" s="2">
        <f>IFERROR(__xludf.DUMMYFUNCTION("""COMPUTED_VALUE"""),7.0)</f>
        <v>7</v>
      </c>
    </row>
    <row r="638">
      <c r="A638" s="2">
        <f>IFERROR(__xludf.DUMMYFUNCTION("""COMPUTED_VALUE"""),7.0)</f>
        <v>7</v>
      </c>
    </row>
    <row r="639">
      <c r="A639" s="2">
        <f>IFERROR(__xludf.DUMMYFUNCTION("""COMPUTED_VALUE"""),7.0)</f>
        <v>7</v>
      </c>
    </row>
    <row r="640">
      <c r="A640" s="2">
        <f>IFERROR(__xludf.DUMMYFUNCTION("""COMPUTED_VALUE"""),7.0)</f>
        <v>7</v>
      </c>
    </row>
    <row r="641">
      <c r="A641" s="2">
        <f>IFERROR(__xludf.DUMMYFUNCTION("""COMPUTED_VALUE"""),7.0)</f>
        <v>7</v>
      </c>
    </row>
    <row r="642">
      <c r="A642" s="2">
        <f>IFERROR(__xludf.DUMMYFUNCTION("""COMPUTED_VALUE"""),7.0)</f>
        <v>7</v>
      </c>
    </row>
    <row r="643">
      <c r="A643" s="2">
        <f>IFERROR(__xludf.DUMMYFUNCTION("""COMPUTED_VALUE"""),7.0)</f>
        <v>7</v>
      </c>
    </row>
    <row r="644">
      <c r="A644" s="2">
        <f>IFERROR(__xludf.DUMMYFUNCTION("""COMPUTED_VALUE"""),7.0)</f>
        <v>7</v>
      </c>
    </row>
    <row r="645">
      <c r="A645" s="2">
        <f>IFERROR(__xludf.DUMMYFUNCTION("""COMPUTED_VALUE"""),7.0)</f>
        <v>7</v>
      </c>
    </row>
    <row r="646">
      <c r="A646" s="2">
        <f>IFERROR(__xludf.DUMMYFUNCTION("""COMPUTED_VALUE"""),7.0)</f>
        <v>7</v>
      </c>
    </row>
    <row r="647">
      <c r="A647" s="2">
        <f>IFERROR(__xludf.DUMMYFUNCTION("""COMPUTED_VALUE"""),7.0)</f>
        <v>7</v>
      </c>
    </row>
    <row r="648">
      <c r="A648" s="2">
        <f>IFERROR(__xludf.DUMMYFUNCTION("""COMPUTED_VALUE"""),7.0)</f>
        <v>7</v>
      </c>
    </row>
    <row r="649">
      <c r="A649" s="2">
        <f>IFERROR(__xludf.DUMMYFUNCTION("""COMPUTED_VALUE"""),7.0)</f>
        <v>7</v>
      </c>
    </row>
    <row r="650">
      <c r="A650" s="2">
        <f>IFERROR(__xludf.DUMMYFUNCTION("""COMPUTED_VALUE"""),7.0)</f>
        <v>7</v>
      </c>
    </row>
    <row r="651">
      <c r="A651" s="2">
        <f>IFERROR(__xludf.DUMMYFUNCTION("""COMPUTED_VALUE"""),7.0)</f>
        <v>7</v>
      </c>
    </row>
    <row r="652">
      <c r="A652" s="2">
        <f>IFERROR(__xludf.DUMMYFUNCTION("""COMPUTED_VALUE"""),7.0)</f>
        <v>7</v>
      </c>
    </row>
    <row r="653">
      <c r="A653" s="2">
        <f>IFERROR(__xludf.DUMMYFUNCTION("""COMPUTED_VALUE"""),7.0)</f>
        <v>7</v>
      </c>
    </row>
    <row r="654">
      <c r="A654" s="2">
        <f>IFERROR(__xludf.DUMMYFUNCTION("""COMPUTED_VALUE"""),7.0)</f>
        <v>7</v>
      </c>
    </row>
    <row r="655">
      <c r="A655" s="2">
        <f>IFERROR(__xludf.DUMMYFUNCTION("""COMPUTED_VALUE"""),7.0)</f>
        <v>7</v>
      </c>
    </row>
    <row r="656">
      <c r="A656" s="2">
        <f>IFERROR(__xludf.DUMMYFUNCTION("""COMPUTED_VALUE"""),7.0)</f>
        <v>7</v>
      </c>
    </row>
    <row r="657">
      <c r="A657" s="2">
        <f>IFERROR(__xludf.DUMMYFUNCTION("""COMPUTED_VALUE"""),7.0)</f>
        <v>7</v>
      </c>
    </row>
    <row r="658">
      <c r="A658" s="2">
        <f>IFERROR(__xludf.DUMMYFUNCTION("""COMPUTED_VALUE"""),2.0)</f>
        <v>2</v>
      </c>
    </row>
    <row r="659">
      <c r="A659" s="2">
        <f>IFERROR(__xludf.DUMMYFUNCTION("""COMPUTED_VALUE"""),7.0)</f>
        <v>7</v>
      </c>
    </row>
    <row r="660">
      <c r="A660" s="2">
        <f>IFERROR(__xludf.DUMMYFUNCTION("""COMPUTED_VALUE"""),7.0)</f>
        <v>7</v>
      </c>
    </row>
    <row r="661">
      <c r="A661" s="2">
        <f>IFERROR(__xludf.DUMMYFUNCTION("""COMPUTED_VALUE"""),7.0)</f>
        <v>7</v>
      </c>
    </row>
    <row r="662">
      <c r="A662" s="2">
        <f>IFERROR(__xludf.DUMMYFUNCTION("""COMPUTED_VALUE"""),7.0)</f>
        <v>7</v>
      </c>
    </row>
    <row r="663">
      <c r="A663" s="2">
        <f>IFERROR(__xludf.DUMMYFUNCTION("""COMPUTED_VALUE"""),7.0)</f>
        <v>7</v>
      </c>
    </row>
    <row r="664">
      <c r="A664" s="2">
        <f>IFERROR(__xludf.DUMMYFUNCTION("""COMPUTED_VALUE"""),7.0)</f>
        <v>7</v>
      </c>
    </row>
    <row r="665">
      <c r="A665" s="2">
        <f>IFERROR(__xludf.DUMMYFUNCTION("""COMPUTED_VALUE"""),7.0)</f>
        <v>7</v>
      </c>
    </row>
    <row r="666">
      <c r="A666" s="2">
        <f>IFERROR(__xludf.DUMMYFUNCTION("""COMPUTED_VALUE"""),7.0)</f>
        <v>7</v>
      </c>
    </row>
    <row r="667">
      <c r="A667" s="2">
        <f>IFERROR(__xludf.DUMMYFUNCTION("""COMPUTED_VALUE"""),7.0)</f>
        <v>7</v>
      </c>
    </row>
    <row r="668">
      <c r="A668" s="2">
        <f>IFERROR(__xludf.DUMMYFUNCTION("""COMPUTED_VALUE"""),7.0)</f>
        <v>7</v>
      </c>
    </row>
    <row r="669">
      <c r="A669" s="2">
        <f>IFERROR(__xludf.DUMMYFUNCTION("""COMPUTED_VALUE"""),7.0)</f>
        <v>7</v>
      </c>
    </row>
    <row r="670">
      <c r="A670" s="2">
        <f>IFERROR(__xludf.DUMMYFUNCTION("""COMPUTED_VALUE"""),7.0)</f>
        <v>7</v>
      </c>
    </row>
    <row r="671">
      <c r="A671" s="2">
        <f>IFERROR(__xludf.DUMMYFUNCTION("""COMPUTED_VALUE"""),7.0)</f>
        <v>7</v>
      </c>
    </row>
    <row r="672">
      <c r="A672" s="2">
        <f>IFERROR(__xludf.DUMMYFUNCTION("""COMPUTED_VALUE"""),7.0)</f>
        <v>7</v>
      </c>
    </row>
    <row r="673">
      <c r="A673" s="2">
        <f>IFERROR(__xludf.DUMMYFUNCTION("""COMPUTED_VALUE"""),7.0)</f>
        <v>7</v>
      </c>
    </row>
    <row r="674">
      <c r="A674" s="2">
        <f>IFERROR(__xludf.DUMMYFUNCTION("""COMPUTED_VALUE"""),7.0)</f>
        <v>7</v>
      </c>
    </row>
    <row r="675">
      <c r="A675" s="2">
        <f>IFERROR(__xludf.DUMMYFUNCTION("""COMPUTED_VALUE"""),7.0)</f>
        <v>7</v>
      </c>
    </row>
    <row r="676">
      <c r="A676" s="2">
        <f>IFERROR(__xludf.DUMMYFUNCTION("""COMPUTED_VALUE"""),7.0)</f>
        <v>7</v>
      </c>
    </row>
    <row r="677">
      <c r="A677" s="2">
        <f>IFERROR(__xludf.DUMMYFUNCTION("""COMPUTED_VALUE"""),7.0)</f>
        <v>7</v>
      </c>
    </row>
    <row r="678">
      <c r="A678" s="2">
        <f>IFERROR(__xludf.DUMMYFUNCTION("""COMPUTED_VALUE"""),7.0)</f>
        <v>7</v>
      </c>
    </row>
    <row r="679">
      <c r="A679" s="2">
        <f>IFERROR(__xludf.DUMMYFUNCTION("""COMPUTED_VALUE"""),9.0)</f>
        <v>9</v>
      </c>
    </row>
    <row r="680">
      <c r="A680" s="2">
        <f>IFERROR(__xludf.DUMMYFUNCTION("""COMPUTED_VALUE"""),9.0)</f>
        <v>9</v>
      </c>
    </row>
    <row r="681">
      <c r="A681" s="2">
        <f>IFERROR(__xludf.DUMMYFUNCTION("""COMPUTED_VALUE"""),9.0)</f>
        <v>9</v>
      </c>
    </row>
    <row r="682">
      <c r="A682" s="2">
        <f>IFERROR(__xludf.DUMMYFUNCTION("""COMPUTED_VALUE"""),9.0)</f>
        <v>9</v>
      </c>
    </row>
    <row r="683">
      <c r="A683" s="2">
        <f>IFERROR(__xludf.DUMMYFUNCTION("""COMPUTED_VALUE"""),9.0)</f>
        <v>9</v>
      </c>
    </row>
    <row r="684">
      <c r="A684" s="2">
        <f>IFERROR(__xludf.DUMMYFUNCTION("""COMPUTED_VALUE"""),9.0)</f>
        <v>9</v>
      </c>
    </row>
    <row r="685">
      <c r="A685" s="2">
        <f>IFERROR(__xludf.DUMMYFUNCTION("""COMPUTED_VALUE"""),9.0)</f>
        <v>9</v>
      </c>
    </row>
    <row r="686">
      <c r="A686" s="2">
        <f>IFERROR(__xludf.DUMMYFUNCTION("""COMPUTED_VALUE"""),9.0)</f>
        <v>9</v>
      </c>
    </row>
    <row r="687">
      <c r="A687" s="2">
        <f>IFERROR(__xludf.DUMMYFUNCTION("""COMPUTED_VALUE"""),9.0)</f>
        <v>9</v>
      </c>
    </row>
    <row r="688">
      <c r="A688" s="2">
        <f>IFERROR(__xludf.DUMMYFUNCTION("""COMPUTED_VALUE"""),9.0)</f>
        <v>9</v>
      </c>
    </row>
    <row r="689">
      <c r="A689" s="2">
        <f>IFERROR(__xludf.DUMMYFUNCTION("""COMPUTED_VALUE"""),9.0)</f>
        <v>9</v>
      </c>
    </row>
    <row r="690">
      <c r="A690" s="2">
        <f>IFERROR(__xludf.DUMMYFUNCTION("""COMPUTED_VALUE"""),9.0)</f>
        <v>9</v>
      </c>
    </row>
    <row r="691">
      <c r="A691" s="2">
        <f>IFERROR(__xludf.DUMMYFUNCTION("""COMPUTED_VALUE"""),9.0)</f>
        <v>9</v>
      </c>
    </row>
    <row r="692">
      <c r="A692" s="2">
        <f>IFERROR(__xludf.DUMMYFUNCTION("""COMPUTED_VALUE"""),9.0)</f>
        <v>9</v>
      </c>
    </row>
    <row r="693">
      <c r="A693" s="2">
        <f>IFERROR(__xludf.DUMMYFUNCTION("""COMPUTED_VALUE"""),9.0)</f>
        <v>9</v>
      </c>
    </row>
    <row r="694">
      <c r="A694" s="2">
        <f>IFERROR(__xludf.DUMMYFUNCTION("""COMPUTED_VALUE"""),9.0)</f>
        <v>9</v>
      </c>
    </row>
    <row r="695">
      <c r="A695" s="2">
        <f>IFERROR(__xludf.DUMMYFUNCTION("""COMPUTED_VALUE"""),9.0)</f>
        <v>9</v>
      </c>
    </row>
    <row r="696">
      <c r="A696" s="2">
        <f>IFERROR(__xludf.DUMMYFUNCTION("""COMPUTED_VALUE"""),9.0)</f>
        <v>9</v>
      </c>
    </row>
    <row r="697">
      <c r="A697" s="2">
        <f>IFERROR(__xludf.DUMMYFUNCTION("""COMPUTED_VALUE"""),9.0)</f>
        <v>9</v>
      </c>
    </row>
    <row r="698">
      <c r="A698" s="2">
        <f>IFERROR(__xludf.DUMMYFUNCTION("""COMPUTED_VALUE"""),9.0)</f>
        <v>9</v>
      </c>
    </row>
    <row r="699">
      <c r="A699" s="2">
        <f>IFERROR(__xludf.DUMMYFUNCTION("""COMPUTED_VALUE"""),9.0)</f>
        <v>9</v>
      </c>
    </row>
    <row r="700">
      <c r="A700" s="2">
        <f>IFERROR(__xludf.DUMMYFUNCTION("""COMPUTED_VALUE"""),9.0)</f>
        <v>9</v>
      </c>
    </row>
    <row r="701">
      <c r="A701" s="2">
        <f>IFERROR(__xludf.DUMMYFUNCTION("""COMPUTED_VALUE"""),9.0)</f>
        <v>9</v>
      </c>
    </row>
    <row r="702">
      <c r="A702" s="2">
        <f>IFERROR(__xludf.DUMMYFUNCTION("""COMPUTED_VALUE"""),9.0)</f>
        <v>9</v>
      </c>
    </row>
    <row r="703">
      <c r="A703" s="2">
        <f>IFERROR(__xludf.DUMMYFUNCTION("""COMPUTED_VALUE"""),9.0)</f>
        <v>9</v>
      </c>
    </row>
    <row r="704">
      <c r="A704" s="2">
        <f>IFERROR(__xludf.DUMMYFUNCTION("""COMPUTED_VALUE"""),9.0)</f>
        <v>9</v>
      </c>
    </row>
    <row r="705">
      <c r="A705" s="2">
        <f>IFERROR(__xludf.DUMMYFUNCTION("""COMPUTED_VALUE"""),9.0)</f>
        <v>9</v>
      </c>
    </row>
    <row r="706">
      <c r="A706" s="2">
        <f>IFERROR(__xludf.DUMMYFUNCTION("""COMPUTED_VALUE"""),9.0)</f>
        <v>9</v>
      </c>
    </row>
    <row r="707">
      <c r="A707" s="2">
        <f>IFERROR(__xludf.DUMMYFUNCTION("""COMPUTED_VALUE"""),9.0)</f>
        <v>9</v>
      </c>
    </row>
    <row r="708">
      <c r="A708" s="2">
        <f>IFERROR(__xludf.DUMMYFUNCTION("""COMPUTED_VALUE"""),7.0)</f>
        <v>7</v>
      </c>
    </row>
    <row r="709">
      <c r="A709" s="2">
        <f>IFERROR(__xludf.DUMMYFUNCTION("""COMPUTED_VALUE"""),3.0)</f>
        <v>3</v>
      </c>
    </row>
    <row r="710">
      <c r="A710" s="2">
        <f>IFERROR(__xludf.DUMMYFUNCTION("""COMPUTED_VALUE"""),3.0)</f>
        <v>3</v>
      </c>
    </row>
    <row r="711">
      <c r="A711" s="2">
        <f>IFERROR(__xludf.DUMMYFUNCTION("""COMPUTED_VALUE"""),3.0)</f>
        <v>3</v>
      </c>
    </row>
    <row r="712">
      <c r="A712" s="2">
        <f>IFERROR(__xludf.DUMMYFUNCTION("""COMPUTED_VALUE"""),5.0)</f>
        <v>5</v>
      </c>
    </row>
    <row r="713">
      <c r="A713" s="2">
        <f>IFERROR(__xludf.DUMMYFUNCTION("""COMPUTED_VALUE"""),2.0)</f>
        <v>2</v>
      </c>
    </row>
    <row r="714">
      <c r="A714" s="2">
        <f>IFERROR(__xludf.DUMMYFUNCTION("""COMPUTED_VALUE"""),2.0)</f>
        <v>2</v>
      </c>
    </row>
    <row r="715">
      <c r="A715" s="2">
        <f>IFERROR(__xludf.DUMMYFUNCTION("""COMPUTED_VALUE"""),2.0)</f>
        <v>2</v>
      </c>
    </row>
    <row r="716">
      <c r="A716" s="2">
        <f>IFERROR(__xludf.DUMMYFUNCTION("""COMPUTED_VALUE"""),4.0)</f>
        <v>4</v>
      </c>
    </row>
    <row r="717">
      <c r="A717" s="2">
        <f>IFERROR(__xludf.DUMMYFUNCTION("""COMPUTED_VALUE"""),4.0)</f>
        <v>4</v>
      </c>
    </row>
    <row r="718">
      <c r="A718" s="2">
        <f>IFERROR(__xludf.DUMMYFUNCTION("""COMPUTED_VALUE"""),7.0)</f>
        <v>7</v>
      </c>
    </row>
    <row r="719">
      <c r="A719" s="2">
        <f>IFERROR(__xludf.DUMMYFUNCTION("""COMPUTED_VALUE"""),7.0)</f>
        <v>7</v>
      </c>
    </row>
    <row r="720">
      <c r="A720" s="2">
        <f>IFERROR(__xludf.DUMMYFUNCTION("""COMPUTED_VALUE"""),7.0)</f>
        <v>7</v>
      </c>
    </row>
    <row r="721">
      <c r="A721" s="2">
        <f>IFERROR(__xludf.DUMMYFUNCTION("""COMPUTED_VALUE"""),7.0)</f>
        <v>7</v>
      </c>
    </row>
    <row r="722">
      <c r="A722" s="2">
        <f>IFERROR(__xludf.DUMMYFUNCTION("""COMPUTED_VALUE"""),7.0)</f>
        <v>7</v>
      </c>
    </row>
    <row r="723">
      <c r="A723" s="2">
        <f>IFERROR(__xludf.DUMMYFUNCTION("""COMPUTED_VALUE"""),7.0)</f>
        <v>7</v>
      </c>
    </row>
    <row r="724">
      <c r="A724" s="2">
        <f>IFERROR(__xludf.DUMMYFUNCTION("""COMPUTED_VALUE"""),7.0)</f>
        <v>7</v>
      </c>
    </row>
    <row r="725">
      <c r="A725" s="2">
        <f>IFERROR(__xludf.DUMMYFUNCTION("""COMPUTED_VALUE"""),7.0)</f>
        <v>7</v>
      </c>
    </row>
    <row r="726">
      <c r="A726" s="2">
        <f>IFERROR(__xludf.DUMMYFUNCTION("""COMPUTED_VALUE"""),7.0)</f>
        <v>7</v>
      </c>
    </row>
    <row r="727">
      <c r="A727" s="2">
        <f>IFERROR(__xludf.DUMMYFUNCTION("""COMPUTED_VALUE"""),7.0)</f>
        <v>7</v>
      </c>
    </row>
    <row r="728">
      <c r="A728" s="2">
        <f>IFERROR(__xludf.DUMMYFUNCTION("""COMPUTED_VALUE"""),7.0)</f>
        <v>7</v>
      </c>
    </row>
    <row r="729">
      <c r="A729" s="2">
        <f>IFERROR(__xludf.DUMMYFUNCTION("""COMPUTED_VALUE"""),7.0)</f>
        <v>7</v>
      </c>
    </row>
    <row r="730">
      <c r="A730" s="2">
        <f>IFERROR(__xludf.DUMMYFUNCTION("""COMPUTED_VALUE"""),7.0)</f>
        <v>7</v>
      </c>
    </row>
    <row r="731">
      <c r="A731" s="2">
        <f>IFERROR(__xludf.DUMMYFUNCTION("""COMPUTED_VALUE"""),7.0)</f>
        <v>7</v>
      </c>
    </row>
    <row r="732">
      <c r="A732" s="2">
        <f>IFERROR(__xludf.DUMMYFUNCTION("""COMPUTED_VALUE"""),7.0)</f>
        <v>7</v>
      </c>
    </row>
    <row r="733">
      <c r="A733" s="2">
        <f>IFERROR(__xludf.DUMMYFUNCTION("""COMPUTED_VALUE"""),7.0)</f>
        <v>7</v>
      </c>
    </row>
    <row r="734">
      <c r="A734" s="2">
        <f>IFERROR(__xludf.DUMMYFUNCTION("""COMPUTED_VALUE"""),7.0)</f>
        <v>7</v>
      </c>
    </row>
    <row r="735">
      <c r="A735" s="2">
        <f>IFERROR(__xludf.DUMMYFUNCTION("""COMPUTED_VALUE"""),7.0)</f>
        <v>7</v>
      </c>
    </row>
    <row r="736">
      <c r="A736" s="2">
        <f>IFERROR(__xludf.DUMMYFUNCTION("""COMPUTED_VALUE"""),7.0)</f>
        <v>7</v>
      </c>
    </row>
    <row r="737">
      <c r="A737" s="2">
        <f>IFERROR(__xludf.DUMMYFUNCTION("""COMPUTED_VALUE"""),7.0)</f>
        <v>7</v>
      </c>
    </row>
    <row r="738">
      <c r="A738" s="2">
        <f>IFERROR(__xludf.DUMMYFUNCTION("""COMPUTED_VALUE"""),7.0)</f>
        <v>7</v>
      </c>
    </row>
    <row r="739">
      <c r="A739" s="2">
        <f>IFERROR(__xludf.DUMMYFUNCTION("""COMPUTED_VALUE"""),7.0)</f>
        <v>7</v>
      </c>
    </row>
    <row r="740">
      <c r="A740" s="2">
        <f>IFERROR(__xludf.DUMMYFUNCTION("""COMPUTED_VALUE"""),7.0)</f>
        <v>7</v>
      </c>
    </row>
    <row r="741">
      <c r="A741" s="2">
        <f>IFERROR(__xludf.DUMMYFUNCTION("""COMPUTED_VALUE"""),7.0)</f>
        <v>7</v>
      </c>
    </row>
    <row r="742">
      <c r="A742" s="2">
        <f>IFERROR(__xludf.DUMMYFUNCTION("""COMPUTED_VALUE"""),7.0)</f>
        <v>7</v>
      </c>
    </row>
    <row r="743">
      <c r="A743" s="2">
        <f>IFERROR(__xludf.DUMMYFUNCTION("""COMPUTED_VALUE"""),7.0)</f>
        <v>7</v>
      </c>
    </row>
    <row r="744">
      <c r="A744" s="2">
        <f>IFERROR(__xludf.DUMMYFUNCTION("""COMPUTED_VALUE"""),7.0)</f>
        <v>7</v>
      </c>
    </row>
    <row r="745">
      <c r="A745" s="2">
        <f>IFERROR(__xludf.DUMMYFUNCTION("""COMPUTED_VALUE"""),2.0)</f>
        <v>2</v>
      </c>
    </row>
    <row r="746">
      <c r="A746" s="2">
        <f>IFERROR(__xludf.DUMMYFUNCTION("""COMPUTED_VALUE"""),2.0)</f>
        <v>2</v>
      </c>
    </row>
    <row r="747">
      <c r="A747" s="2">
        <f>IFERROR(__xludf.DUMMYFUNCTION("""COMPUTED_VALUE"""),2.0)</f>
        <v>2</v>
      </c>
    </row>
    <row r="748">
      <c r="A748" s="2">
        <f>IFERROR(__xludf.DUMMYFUNCTION("""COMPUTED_VALUE"""),5.0)</f>
        <v>5</v>
      </c>
    </row>
    <row r="749">
      <c r="A749" s="2">
        <f>IFERROR(__xludf.DUMMYFUNCTION("""COMPUTED_VALUE"""),5.0)</f>
        <v>5</v>
      </c>
    </row>
    <row r="750">
      <c r="A750" s="2">
        <f>IFERROR(__xludf.DUMMYFUNCTION("""COMPUTED_VALUE"""),5.0)</f>
        <v>5</v>
      </c>
    </row>
    <row r="751">
      <c r="A751" s="2">
        <f>IFERROR(__xludf.DUMMYFUNCTION("""COMPUTED_VALUE"""),5.0)</f>
        <v>5</v>
      </c>
    </row>
    <row r="752">
      <c r="A752" s="2">
        <f>IFERROR(__xludf.DUMMYFUNCTION("""COMPUTED_VALUE"""),5.0)</f>
        <v>5</v>
      </c>
    </row>
    <row r="753">
      <c r="A753" s="2">
        <f>IFERROR(__xludf.DUMMYFUNCTION("""COMPUTED_VALUE"""),5.0)</f>
        <v>5</v>
      </c>
    </row>
    <row r="754">
      <c r="A754" s="2">
        <f>IFERROR(__xludf.DUMMYFUNCTION("""COMPUTED_VALUE"""),5.0)</f>
        <v>5</v>
      </c>
    </row>
    <row r="755">
      <c r="A755" s="2">
        <f>IFERROR(__xludf.DUMMYFUNCTION("""COMPUTED_VALUE"""),5.0)</f>
        <v>5</v>
      </c>
    </row>
    <row r="756">
      <c r="A756" s="2">
        <f>IFERROR(__xludf.DUMMYFUNCTION("""COMPUTED_VALUE"""),5.0)</f>
        <v>5</v>
      </c>
    </row>
    <row r="757">
      <c r="A757" s="2">
        <f>IFERROR(__xludf.DUMMYFUNCTION("""COMPUTED_VALUE"""),5.0)</f>
        <v>5</v>
      </c>
    </row>
    <row r="758">
      <c r="A758" s="2">
        <f>IFERROR(__xludf.DUMMYFUNCTION("""COMPUTED_VALUE"""),5.0)</f>
        <v>5</v>
      </c>
    </row>
    <row r="759">
      <c r="A759" s="2">
        <f>IFERROR(__xludf.DUMMYFUNCTION("""COMPUTED_VALUE"""),5.0)</f>
        <v>5</v>
      </c>
    </row>
    <row r="760">
      <c r="A760" s="2">
        <f>IFERROR(__xludf.DUMMYFUNCTION("""COMPUTED_VALUE"""),5.0)</f>
        <v>5</v>
      </c>
    </row>
    <row r="761">
      <c r="A761" s="2">
        <f>IFERROR(__xludf.DUMMYFUNCTION("""COMPUTED_VALUE"""),5.0)</f>
        <v>5</v>
      </c>
    </row>
    <row r="762">
      <c r="A762" s="2">
        <f>IFERROR(__xludf.DUMMYFUNCTION("""COMPUTED_VALUE"""),5.0)</f>
        <v>5</v>
      </c>
    </row>
    <row r="763">
      <c r="A763" s="2">
        <f>IFERROR(__xludf.DUMMYFUNCTION("""COMPUTED_VALUE"""),5.0)</f>
        <v>5</v>
      </c>
    </row>
    <row r="764">
      <c r="A764" s="2">
        <f>IFERROR(__xludf.DUMMYFUNCTION("""COMPUTED_VALUE"""),5.0)</f>
        <v>5</v>
      </c>
    </row>
    <row r="765">
      <c r="A765" s="2">
        <f>IFERROR(__xludf.DUMMYFUNCTION("""COMPUTED_VALUE"""),5.0)</f>
        <v>5</v>
      </c>
    </row>
    <row r="766">
      <c r="A766" s="2">
        <f>IFERROR(__xludf.DUMMYFUNCTION("""COMPUTED_VALUE"""),2.0)</f>
        <v>2</v>
      </c>
    </row>
    <row r="767">
      <c r="A767" s="2">
        <f>IFERROR(__xludf.DUMMYFUNCTION("""COMPUTED_VALUE"""),6.0)</f>
        <v>6</v>
      </c>
    </row>
    <row r="768">
      <c r="A768" s="2">
        <f>IFERROR(__xludf.DUMMYFUNCTION("""COMPUTED_VALUE"""),3.0)</f>
        <v>3</v>
      </c>
    </row>
    <row r="769">
      <c r="A769" s="2">
        <f>IFERROR(__xludf.DUMMYFUNCTION("""COMPUTED_VALUE"""),3.0)</f>
        <v>3</v>
      </c>
    </row>
    <row r="770">
      <c r="A770" s="2">
        <f>IFERROR(__xludf.DUMMYFUNCTION("""COMPUTED_VALUE"""),3.0)</f>
        <v>3</v>
      </c>
    </row>
    <row r="771">
      <c r="A771" s="2">
        <f>IFERROR(__xludf.DUMMYFUNCTION("""COMPUTED_VALUE"""),3.0)</f>
        <v>3</v>
      </c>
    </row>
    <row r="772">
      <c r="A772" s="2">
        <f>IFERROR(__xludf.DUMMYFUNCTION("""COMPUTED_VALUE"""),3.0)</f>
        <v>3</v>
      </c>
    </row>
    <row r="773">
      <c r="A773" s="2">
        <f>IFERROR(__xludf.DUMMYFUNCTION("""COMPUTED_VALUE"""),3.0)</f>
        <v>3</v>
      </c>
    </row>
    <row r="774">
      <c r="A774" s="2">
        <f>IFERROR(__xludf.DUMMYFUNCTION("""COMPUTED_VALUE"""),3.0)</f>
        <v>3</v>
      </c>
    </row>
    <row r="775">
      <c r="A775" s="2">
        <f>IFERROR(__xludf.DUMMYFUNCTION("""COMPUTED_VALUE"""),3.0)</f>
        <v>3</v>
      </c>
    </row>
    <row r="776">
      <c r="A776" s="2">
        <f>IFERROR(__xludf.DUMMYFUNCTION("""COMPUTED_VALUE"""),3.0)</f>
        <v>3</v>
      </c>
    </row>
    <row r="777">
      <c r="A777" s="2">
        <f>IFERROR(__xludf.DUMMYFUNCTION("""COMPUTED_VALUE"""),3.0)</f>
        <v>3</v>
      </c>
    </row>
    <row r="778">
      <c r="A778" s="2">
        <f>IFERROR(__xludf.DUMMYFUNCTION("""COMPUTED_VALUE"""),3.0)</f>
        <v>3</v>
      </c>
    </row>
    <row r="779">
      <c r="A779" s="2">
        <f>IFERROR(__xludf.DUMMYFUNCTION("""COMPUTED_VALUE"""),3.0)</f>
        <v>3</v>
      </c>
    </row>
    <row r="780">
      <c r="A780" s="2">
        <f>IFERROR(__xludf.DUMMYFUNCTION("""COMPUTED_VALUE"""),3.0)</f>
        <v>3</v>
      </c>
    </row>
    <row r="781">
      <c r="A781" s="2">
        <f>IFERROR(__xludf.DUMMYFUNCTION("""COMPUTED_VALUE"""),3.0)</f>
        <v>3</v>
      </c>
    </row>
    <row r="782">
      <c r="A782" s="2">
        <f>IFERROR(__xludf.DUMMYFUNCTION("""COMPUTED_VALUE"""),3.0)</f>
        <v>3</v>
      </c>
    </row>
    <row r="783">
      <c r="A783" s="2">
        <f>IFERROR(__xludf.DUMMYFUNCTION("""COMPUTED_VALUE"""),3.0)</f>
        <v>3</v>
      </c>
    </row>
    <row r="784">
      <c r="A784" s="2">
        <f>IFERROR(__xludf.DUMMYFUNCTION("""COMPUTED_VALUE"""),3.0)</f>
        <v>3</v>
      </c>
    </row>
    <row r="785">
      <c r="A785" s="2">
        <f>IFERROR(__xludf.DUMMYFUNCTION("""COMPUTED_VALUE"""),3.0)</f>
        <v>3</v>
      </c>
    </row>
    <row r="786">
      <c r="A786" s="2">
        <f>IFERROR(__xludf.DUMMYFUNCTION("""COMPUTED_VALUE"""),3.0)</f>
        <v>3</v>
      </c>
    </row>
    <row r="787">
      <c r="A787" s="2">
        <f>IFERROR(__xludf.DUMMYFUNCTION("""COMPUTED_VALUE"""),5.0)</f>
        <v>5</v>
      </c>
    </row>
    <row r="788">
      <c r="A788" s="2">
        <f>IFERROR(__xludf.DUMMYFUNCTION("""COMPUTED_VALUE"""),5.0)</f>
        <v>5</v>
      </c>
    </row>
    <row r="789">
      <c r="A789" s="2">
        <f>IFERROR(__xludf.DUMMYFUNCTION("""COMPUTED_VALUE"""),5.0)</f>
        <v>5</v>
      </c>
    </row>
    <row r="790">
      <c r="A790" s="2">
        <f>IFERROR(__xludf.DUMMYFUNCTION("""COMPUTED_VALUE"""),5.0)</f>
        <v>5</v>
      </c>
    </row>
    <row r="791">
      <c r="A791" s="2">
        <f>IFERROR(__xludf.DUMMYFUNCTION("""COMPUTED_VALUE"""),5.0)</f>
        <v>5</v>
      </c>
    </row>
    <row r="792">
      <c r="A792" s="2">
        <f>IFERROR(__xludf.DUMMYFUNCTION("""COMPUTED_VALUE"""),5.0)</f>
        <v>5</v>
      </c>
    </row>
    <row r="793">
      <c r="A793" s="2">
        <f>IFERROR(__xludf.DUMMYFUNCTION("""COMPUTED_VALUE"""),5.0)</f>
        <v>5</v>
      </c>
    </row>
    <row r="794">
      <c r="A794" s="2">
        <f>IFERROR(__xludf.DUMMYFUNCTION("""COMPUTED_VALUE"""),5.0)</f>
        <v>5</v>
      </c>
    </row>
    <row r="795">
      <c r="A795" s="2">
        <f>IFERROR(__xludf.DUMMYFUNCTION("""COMPUTED_VALUE"""),5.0)</f>
        <v>5</v>
      </c>
    </row>
    <row r="796">
      <c r="A796" s="2">
        <f>IFERROR(__xludf.DUMMYFUNCTION("""COMPUTED_VALUE"""),5.0)</f>
        <v>5</v>
      </c>
    </row>
    <row r="797">
      <c r="A797" s="2">
        <f>IFERROR(__xludf.DUMMYFUNCTION("""COMPUTED_VALUE"""),5.0)</f>
        <v>5</v>
      </c>
    </row>
    <row r="798">
      <c r="A798" s="2">
        <f>IFERROR(__xludf.DUMMYFUNCTION("""COMPUTED_VALUE"""),5.0)</f>
        <v>5</v>
      </c>
    </row>
    <row r="799">
      <c r="A799" s="2">
        <f>IFERROR(__xludf.DUMMYFUNCTION("""COMPUTED_VALUE"""),6.0)</f>
        <v>6</v>
      </c>
    </row>
    <row r="800">
      <c r="A800" s="2">
        <f>IFERROR(__xludf.DUMMYFUNCTION("""COMPUTED_VALUE"""),6.0)</f>
        <v>6</v>
      </c>
    </row>
    <row r="801">
      <c r="A801" s="2">
        <f>IFERROR(__xludf.DUMMYFUNCTION("""COMPUTED_VALUE"""),6.0)</f>
        <v>6</v>
      </c>
    </row>
    <row r="802">
      <c r="A802" s="2">
        <f>IFERROR(__xludf.DUMMYFUNCTION("""COMPUTED_VALUE"""),6.0)</f>
        <v>6</v>
      </c>
    </row>
    <row r="803">
      <c r="A803" s="2">
        <f>IFERROR(__xludf.DUMMYFUNCTION("""COMPUTED_VALUE"""),1.0)</f>
        <v>1</v>
      </c>
    </row>
    <row r="804">
      <c r="A804" s="2">
        <f>IFERROR(__xludf.DUMMYFUNCTION("""COMPUTED_VALUE"""),1.0)</f>
        <v>1</v>
      </c>
    </row>
    <row r="805">
      <c r="A805" s="2">
        <f>IFERROR(__xludf.DUMMYFUNCTION("""COMPUTED_VALUE"""),6.0)</f>
        <v>6</v>
      </c>
    </row>
    <row r="806">
      <c r="A806" s="2">
        <f>IFERROR(__xludf.DUMMYFUNCTION("""COMPUTED_VALUE"""),6.0)</f>
        <v>6</v>
      </c>
    </row>
    <row r="807">
      <c r="A807" s="2">
        <f>IFERROR(__xludf.DUMMYFUNCTION("""COMPUTED_VALUE"""),6.0)</f>
        <v>6</v>
      </c>
    </row>
    <row r="808">
      <c r="A808" s="2">
        <f>IFERROR(__xludf.DUMMYFUNCTION("""COMPUTED_VALUE"""),6.0)</f>
        <v>6</v>
      </c>
    </row>
    <row r="809">
      <c r="A809" s="2">
        <f>IFERROR(__xludf.DUMMYFUNCTION("""COMPUTED_VALUE"""),6.0)</f>
        <v>6</v>
      </c>
    </row>
    <row r="810">
      <c r="A810" s="2">
        <f>IFERROR(__xludf.DUMMYFUNCTION("""COMPUTED_VALUE"""),6.0)</f>
        <v>6</v>
      </c>
    </row>
    <row r="811">
      <c r="A811" s="2">
        <f>IFERROR(__xludf.DUMMYFUNCTION("""COMPUTED_VALUE"""),2.0)</f>
        <v>2</v>
      </c>
    </row>
    <row r="812">
      <c r="A812" s="2">
        <f>IFERROR(__xludf.DUMMYFUNCTION("""COMPUTED_VALUE"""),8.0)</f>
        <v>8</v>
      </c>
    </row>
    <row r="813">
      <c r="A813" s="2">
        <f>IFERROR(__xludf.DUMMYFUNCTION("""COMPUTED_VALUE"""),8.0)</f>
        <v>8</v>
      </c>
    </row>
    <row r="814">
      <c r="A814" s="2">
        <f>IFERROR(__xludf.DUMMYFUNCTION("""COMPUTED_VALUE"""),8.0)</f>
        <v>8</v>
      </c>
    </row>
    <row r="815">
      <c r="A815" s="2">
        <f>IFERROR(__xludf.DUMMYFUNCTION("""COMPUTED_VALUE"""),8.0)</f>
        <v>8</v>
      </c>
    </row>
    <row r="816">
      <c r="A816" s="2">
        <f>IFERROR(__xludf.DUMMYFUNCTION("""COMPUTED_VALUE"""),4.0)</f>
        <v>4</v>
      </c>
    </row>
    <row r="817">
      <c r="A817" s="2">
        <f>IFERROR(__xludf.DUMMYFUNCTION("""COMPUTED_VALUE"""),4.0)</f>
        <v>4</v>
      </c>
    </row>
    <row r="818">
      <c r="A818" s="2">
        <f>IFERROR(__xludf.DUMMYFUNCTION("""COMPUTED_VALUE"""),4.0)</f>
        <v>4</v>
      </c>
    </row>
    <row r="819">
      <c r="A819" s="2">
        <f>IFERROR(__xludf.DUMMYFUNCTION("""COMPUTED_VALUE"""),4.0)</f>
        <v>4</v>
      </c>
    </row>
    <row r="820">
      <c r="A820" s="2">
        <f>IFERROR(__xludf.DUMMYFUNCTION("""COMPUTED_VALUE"""),4.0)</f>
        <v>4</v>
      </c>
    </row>
    <row r="821">
      <c r="A821" s="2">
        <f>IFERROR(__xludf.DUMMYFUNCTION("""COMPUTED_VALUE"""),8.0)</f>
        <v>8</v>
      </c>
    </row>
    <row r="822">
      <c r="A822" s="2">
        <f>IFERROR(__xludf.DUMMYFUNCTION("""COMPUTED_VALUE"""),8.0)</f>
        <v>8</v>
      </c>
    </row>
    <row r="823">
      <c r="A823" s="2">
        <f>IFERROR(__xludf.DUMMYFUNCTION("""COMPUTED_VALUE"""),8.0)</f>
        <v>8</v>
      </c>
    </row>
    <row r="824">
      <c r="A824" s="2">
        <f>IFERROR(__xludf.DUMMYFUNCTION("""COMPUTED_VALUE"""),5.0)</f>
        <v>5</v>
      </c>
    </row>
    <row r="825">
      <c r="A825" s="2">
        <f>IFERROR(__xludf.DUMMYFUNCTION("""COMPUTED_VALUE"""),5.0)</f>
        <v>5</v>
      </c>
    </row>
    <row r="826">
      <c r="A826" s="2">
        <f>IFERROR(__xludf.DUMMYFUNCTION("""COMPUTED_VALUE"""),8.0)</f>
        <v>8</v>
      </c>
    </row>
    <row r="827">
      <c r="A827" s="2">
        <f>IFERROR(__xludf.DUMMYFUNCTION("""COMPUTED_VALUE"""),8.0)</f>
        <v>8</v>
      </c>
    </row>
    <row r="828">
      <c r="A828" s="2">
        <f>IFERROR(__xludf.DUMMYFUNCTION("""COMPUTED_VALUE"""),8.0)</f>
        <v>8</v>
      </c>
    </row>
    <row r="829">
      <c r="A829" s="2">
        <f>IFERROR(__xludf.DUMMYFUNCTION("""COMPUTED_VALUE"""),2.0)</f>
        <v>2</v>
      </c>
    </row>
    <row r="830">
      <c r="A830" s="2">
        <f>IFERROR(__xludf.DUMMYFUNCTION("""COMPUTED_VALUE"""),2.0)</f>
        <v>2</v>
      </c>
    </row>
    <row r="831">
      <c r="A831" s="2">
        <f>IFERROR(__xludf.DUMMYFUNCTION("""COMPUTED_VALUE"""),2.0)</f>
        <v>2</v>
      </c>
    </row>
    <row r="832">
      <c r="A832" s="2">
        <f>IFERROR(__xludf.DUMMYFUNCTION("""COMPUTED_VALUE"""),2.0)</f>
        <v>2</v>
      </c>
    </row>
    <row r="833">
      <c r="A833" s="2">
        <f>IFERROR(__xludf.DUMMYFUNCTION("""COMPUTED_VALUE"""),2.0)</f>
        <v>2</v>
      </c>
    </row>
    <row r="834">
      <c r="A834" s="2">
        <f>IFERROR(__xludf.DUMMYFUNCTION("""COMPUTED_VALUE"""),2.0)</f>
        <v>2</v>
      </c>
    </row>
    <row r="835">
      <c r="A835" s="2">
        <f>IFERROR(__xludf.DUMMYFUNCTION("""COMPUTED_VALUE"""),9.0)</f>
        <v>9</v>
      </c>
    </row>
    <row r="836">
      <c r="A836" s="2">
        <f>IFERROR(__xludf.DUMMYFUNCTION("""COMPUTED_VALUE"""),3.0)</f>
        <v>3</v>
      </c>
    </row>
    <row r="837">
      <c r="A837" s="2">
        <f>IFERROR(__xludf.DUMMYFUNCTION("""COMPUTED_VALUE"""),8.0)</f>
        <v>8</v>
      </c>
    </row>
    <row r="838">
      <c r="A838" s="2">
        <f>IFERROR(__xludf.DUMMYFUNCTION("""COMPUTED_VALUE"""),8.0)</f>
        <v>8</v>
      </c>
    </row>
    <row r="839">
      <c r="A839" s="2">
        <f>IFERROR(__xludf.DUMMYFUNCTION("""COMPUTED_VALUE"""),8.0)</f>
        <v>8</v>
      </c>
    </row>
    <row r="840">
      <c r="A840" s="2">
        <f>IFERROR(__xludf.DUMMYFUNCTION("""COMPUTED_VALUE"""),8.0)</f>
        <v>8</v>
      </c>
    </row>
    <row r="841">
      <c r="A841" s="2">
        <f>IFERROR(__xludf.DUMMYFUNCTION("""COMPUTED_VALUE"""),8.0)</f>
        <v>8</v>
      </c>
    </row>
    <row r="842">
      <c r="A842" s="2">
        <f>IFERROR(__xludf.DUMMYFUNCTION("""COMPUTED_VALUE"""),8.0)</f>
        <v>8</v>
      </c>
    </row>
    <row r="843">
      <c r="A843" s="2">
        <f>IFERROR(__xludf.DUMMYFUNCTION("""COMPUTED_VALUE"""),4.0)</f>
        <v>4</v>
      </c>
    </row>
    <row r="844">
      <c r="A844" s="2">
        <f>IFERROR(__xludf.DUMMYFUNCTION("""COMPUTED_VALUE"""),4.0)</f>
        <v>4</v>
      </c>
    </row>
    <row r="845">
      <c r="A845" s="2">
        <f>IFERROR(__xludf.DUMMYFUNCTION("""COMPUTED_VALUE"""),4.0)</f>
        <v>4</v>
      </c>
    </row>
    <row r="846">
      <c r="A846" s="2">
        <f>IFERROR(__xludf.DUMMYFUNCTION("""COMPUTED_VALUE"""),4.0)</f>
        <v>4</v>
      </c>
    </row>
    <row r="847">
      <c r="A847" s="2">
        <f>IFERROR(__xludf.DUMMYFUNCTION("""COMPUTED_VALUE"""),4.0)</f>
        <v>4</v>
      </c>
    </row>
    <row r="848">
      <c r="A848" s="2">
        <f>IFERROR(__xludf.DUMMYFUNCTION("""COMPUTED_VALUE"""),4.0)</f>
        <v>4</v>
      </c>
    </row>
    <row r="849">
      <c r="A849" s="2">
        <f>IFERROR(__xludf.DUMMYFUNCTION("""COMPUTED_VALUE"""),4.0)</f>
        <v>4</v>
      </c>
    </row>
    <row r="850">
      <c r="A850" s="2">
        <f>IFERROR(__xludf.DUMMYFUNCTION("""COMPUTED_VALUE"""),2.0)</f>
        <v>2</v>
      </c>
    </row>
    <row r="851">
      <c r="A851" s="2">
        <f>IFERROR(__xludf.DUMMYFUNCTION("""COMPUTED_VALUE"""),2.0)</f>
        <v>2</v>
      </c>
    </row>
    <row r="852">
      <c r="A852" s="2">
        <f>IFERROR(__xludf.DUMMYFUNCTION("""COMPUTED_VALUE"""),2.0)</f>
        <v>2</v>
      </c>
    </row>
    <row r="853">
      <c r="A853" s="2">
        <f>IFERROR(__xludf.DUMMYFUNCTION("""COMPUTED_VALUE"""),2.0)</f>
        <v>2</v>
      </c>
    </row>
    <row r="854">
      <c r="A854" s="2">
        <f>IFERROR(__xludf.DUMMYFUNCTION("""COMPUTED_VALUE"""),2.0)</f>
        <v>2</v>
      </c>
    </row>
    <row r="855">
      <c r="A855" s="2">
        <f>IFERROR(__xludf.DUMMYFUNCTION("""COMPUTED_VALUE"""),2.0)</f>
        <v>2</v>
      </c>
    </row>
    <row r="856">
      <c r="A856" s="2">
        <f>IFERROR(__xludf.DUMMYFUNCTION("""COMPUTED_VALUE"""),2.0)</f>
        <v>2</v>
      </c>
    </row>
    <row r="857">
      <c r="A857" s="2">
        <f>IFERROR(__xludf.DUMMYFUNCTION("""COMPUTED_VALUE"""),2.0)</f>
        <v>2</v>
      </c>
    </row>
    <row r="858">
      <c r="A858" s="2">
        <f>IFERROR(__xludf.DUMMYFUNCTION("""COMPUTED_VALUE"""),6.0)</f>
        <v>6</v>
      </c>
    </row>
    <row r="859">
      <c r="A859" s="2">
        <f>IFERROR(__xludf.DUMMYFUNCTION("""COMPUTED_VALUE"""),6.0)</f>
        <v>6</v>
      </c>
    </row>
    <row r="860">
      <c r="A860" s="2">
        <f>IFERROR(__xludf.DUMMYFUNCTION("""COMPUTED_VALUE"""),6.0)</f>
        <v>6</v>
      </c>
    </row>
    <row r="861">
      <c r="A861" s="2">
        <f>IFERROR(__xludf.DUMMYFUNCTION("""COMPUTED_VALUE"""),6.0)</f>
        <v>6</v>
      </c>
    </row>
    <row r="862">
      <c r="A862" s="2">
        <f>IFERROR(__xludf.DUMMYFUNCTION("""COMPUTED_VALUE"""),6.0)</f>
        <v>6</v>
      </c>
    </row>
    <row r="863">
      <c r="A863" s="2">
        <f>IFERROR(__xludf.DUMMYFUNCTION("""COMPUTED_VALUE"""),3.0)</f>
        <v>3</v>
      </c>
    </row>
    <row r="864">
      <c r="A864" s="2">
        <f>IFERROR(__xludf.DUMMYFUNCTION("""COMPUTED_VALUE"""),3.0)</f>
        <v>3</v>
      </c>
    </row>
    <row r="865">
      <c r="A865" s="2">
        <f>IFERROR(__xludf.DUMMYFUNCTION("""COMPUTED_VALUE"""),9.0)</f>
        <v>9</v>
      </c>
    </row>
    <row r="866">
      <c r="A866" s="2">
        <f>IFERROR(__xludf.DUMMYFUNCTION("""COMPUTED_VALUE"""),9.0)</f>
        <v>9</v>
      </c>
    </row>
    <row r="867">
      <c r="A867" s="2">
        <f>IFERROR(__xludf.DUMMYFUNCTION("""COMPUTED_VALUE"""),9.0)</f>
        <v>9</v>
      </c>
    </row>
    <row r="868">
      <c r="A868" s="2">
        <f>IFERROR(__xludf.DUMMYFUNCTION("""COMPUTED_VALUE"""),1.0)</f>
        <v>1</v>
      </c>
    </row>
    <row r="869">
      <c r="A869" s="2">
        <f>IFERROR(__xludf.DUMMYFUNCTION("""COMPUTED_VALUE"""),1.0)</f>
        <v>1</v>
      </c>
    </row>
    <row r="870">
      <c r="A870" s="2">
        <f>IFERROR(__xludf.DUMMYFUNCTION("""COMPUTED_VALUE"""),2.0)</f>
        <v>2</v>
      </c>
    </row>
    <row r="871">
      <c r="A871" s="2">
        <f>IFERROR(__xludf.DUMMYFUNCTION("""COMPUTED_VALUE"""),2.0)</f>
        <v>2</v>
      </c>
    </row>
    <row r="872">
      <c r="A872" s="2">
        <f>IFERROR(__xludf.DUMMYFUNCTION("""COMPUTED_VALUE"""),4.0)</f>
        <v>4</v>
      </c>
    </row>
    <row r="873">
      <c r="A873" s="2">
        <f>IFERROR(__xludf.DUMMYFUNCTION("""COMPUTED_VALUE"""),4.0)</f>
        <v>4</v>
      </c>
    </row>
    <row r="874">
      <c r="A874" s="2">
        <f>IFERROR(__xludf.DUMMYFUNCTION("""COMPUTED_VALUE"""),4.0)</f>
        <v>4</v>
      </c>
    </row>
    <row r="875">
      <c r="A875" s="2">
        <f>IFERROR(__xludf.DUMMYFUNCTION("""COMPUTED_VALUE"""),4.0)</f>
        <v>4</v>
      </c>
    </row>
    <row r="876">
      <c r="A876" s="2">
        <f>IFERROR(__xludf.DUMMYFUNCTION("""COMPUTED_VALUE"""),4.0)</f>
        <v>4</v>
      </c>
    </row>
    <row r="877">
      <c r="A877" s="2">
        <f>IFERROR(__xludf.DUMMYFUNCTION("""COMPUTED_VALUE"""),4.0)</f>
        <v>4</v>
      </c>
    </row>
    <row r="878">
      <c r="A878" s="2">
        <f>IFERROR(__xludf.DUMMYFUNCTION("""COMPUTED_VALUE"""),4.0)</f>
        <v>4</v>
      </c>
    </row>
    <row r="879">
      <c r="A879" s="2">
        <f>IFERROR(__xludf.DUMMYFUNCTION("""COMPUTED_VALUE"""),4.0)</f>
        <v>4</v>
      </c>
    </row>
    <row r="880">
      <c r="A880" s="2">
        <f>IFERROR(__xludf.DUMMYFUNCTION("""COMPUTED_VALUE"""),4.0)</f>
        <v>4</v>
      </c>
    </row>
    <row r="881">
      <c r="A881" s="2">
        <f>IFERROR(__xludf.DUMMYFUNCTION("""COMPUTED_VALUE"""),4.0)</f>
        <v>4</v>
      </c>
    </row>
    <row r="882">
      <c r="A882" s="2">
        <f>IFERROR(__xludf.DUMMYFUNCTION("""COMPUTED_VALUE"""),4.0)</f>
        <v>4</v>
      </c>
    </row>
    <row r="883">
      <c r="A883" s="2">
        <f>IFERROR(__xludf.DUMMYFUNCTION("""COMPUTED_VALUE"""),4.0)</f>
        <v>4</v>
      </c>
    </row>
    <row r="884">
      <c r="A884" s="2">
        <f>IFERROR(__xludf.DUMMYFUNCTION("""COMPUTED_VALUE"""),7.0)</f>
        <v>7</v>
      </c>
    </row>
    <row r="885">
      <c r="A885" s="2">
        <f>IFERROR(__xludf.DUMMYFUNCTION("""COMPUTED_VALUE"""),2.0)</f>
        <v>2</v>
      </c>
    </row>
    <row r="886">
      <c r="A886" s="2">
        <f>IFERROR(__xludf.DUMMYFUNCTION("""COMPUTED_VALUE"""),9.0)</f>
        <v>9</v>
      </c>
    </row>
    <row r="887">
      <c r="A887" s="2">
        <f>IFERROR(__xludf.DUMMYFUNCTION("""COMPUTED_VALUE"""),9.0)</f>
        <v>9</v>
      </c>
    </row>
    <row r="888">
      <c r="A888" s="2">
        <f>IFERROR(__xludf.DUMMYFUNCTION("""COMPUTED_VALUE"""),9.0)</f>
        <v>9</v>
      </c>
    </row>
    <row r="889">
      <c r="A889" s="2">
        <f>IFERROR(__xludf.DUMMYFUNCTION("""COMPUTED_VALUE"""),9.0)</f>
        <v>9</v>
      </c>
    </row>
    <row r="890">
      <c r="A890" s="2">
        <f>IFERROR(__xludf.DUMMYFUNCTION("""COMPUTED_VALUE"""),9.0)</f>
        <v>9</v>
      </c>
    </row>
    <row r="891">
      <c r="A891" s="2">
        <f>IFERROR(__xludf.DUMMYFUNCTION("""COMPUTED_VALUE"""),9.0)</f>
        <v>9</v>
      </c>
    </row>
    <row r="892">
      <c r="A892" s="2">
        <f>IFERROR(__xludf.DUMMYFUNCTION("""COMPUTED_VALUE"""),9.0)</f>
        <v>9</v>
      </c>
    </row>
    <row r="893">
      <c r="A893" s="2">
        <f>IFERROR(__xludf.DUMMYFUNCTION("""COMPUTED_VALUE"""),9.0)</f>
        <v>9</v>
      </c>
    </row>
    <row r="894">
      <c r="A894" s="2">
        <f>IFERROR(__xludf.DUMMYFUNCTION("""COMPUTED_VALUE"""),9.0)</f>
        <v>9</v>
      </c>
    </row>
    <row r="895">
      <c r="A895" s="2">
        <f>IFERROR(__xludf.DUMMYFUNCTION("""COMPUTED_VALUE"""),2.0)</f>
        <v>2</v>
      </c>
    </row>
    <row r="896">
      <c r="A896" s="2">
        <f>IFERROR(__xludf.DUMMYFUNCTION("""COMPUTED_VALUE"""),8.0)</f>
        <v>8</v>
      </c>
    </row>
    <row r="897">
      <c r="A897" s="2">
        <f>IFERROR(__xludf.DUMMYFUNCTION("""COMPUTED_VALUE"""),8.0)</f>
        <v>8</v>
      </c>
    </row>
    <row r="898">
      <c r="A898" s="2">
        <f>IFERROR(__xludf.DUMMYFUNCTION("""COMPUTED_VALUE"""),8.0)</f>
        <v>8</v>
      </c>
    </row>
    <row r="899">
      <c r="A899" s="2">
        <f>IFERROR(__xludf.DUMMYFUNCTION("""COMPUTED_VALUE"""),8.0)</f>
        <v>8</v>
      </c>
    </row>
    <row r="900">
      <c r="A900" s="2">
        <f>IFERROR(__xludf.DUMMYFUNCTION("""COMPUTED_VALUE"""),8.0)</f>
        <v>8</v>
      </c>
    </row>
    <row r="901">
      <c r="A901" s="2">
        <f>IFERROR(__xludf.DUMMYFUNCTION("""COMPUTED_VALUE"""),8.0)</f>
        <v>8</v>
      </c>
    </row>
    <row r="902">
      <c r="A902" s="2">
        <f>IFERROR(__xludf.DUMMYFUNCTION("""COMPUTED_VALUE"""),8.0)</f>
        <v>8</v>
      </c>
    </row>
    <row r="903">
      <c r="A903" s="2">
        <f>IFERROR(__xludf.DUMMYFUNCTION("""COMPUTED_VALUE"""),8.0)</f>
        <v>8</v>
      </c>
    </row>
    <row r="904">
      <c r="A904" s="2">
        <f>IFERROR(__xludf.DUMMYFUNCTION("""COMPUTED_VALUE"""),8.0)</f>
        <v>8</v>
      </c>
    </row>
    <row r="905">
      <c r="A905" s="2">
        <f>IFERROR(__xludf.DUMMYFUNCTION("""COMPUTED_VALUE"""),8.0)</f>
        <v>8</v>
      </c>
    </row>
    <row r="906">
      <c r="A906" s="2">
        <f>IFERROR(__xludf.DUMMYFUNCTION("""COMPUTED_VALUE"""),8.0)</f>
        <v>8</v>
      </c>
    </row>
    <row r="907">
      <c r="A907" s="2">
        <f>IFERROR(__xludf.DUMMYFUNCTION("""COMPUTED_VALUE"""),8.0)</f>
        <v>8</v>
      </c>
    </row>
    <row r="908">
      <c r="A908" s="2">
        <f>IFERROR(__xludf.DUMMYFUNCTION("""COMPUTED_VALUE"""),8.0)</f>
        <v>8</v>
      </c>
    </row>
    <row r="909">
      <c r="A909" s="2">
        <f>IFERROR(__xludf.DUMMYFUNCTION("""COMPUTED_VALUE"""),8.0)</f>
        <v>8</v>
      </c>
    </row>
    <row r="910">
      <c r="A910" s="2">
        <f>IFERROR(__xludf.DUMMYFUNCTION("""COMPUTED_VALUE"""),8.0)</f>
        <v>8</v>
      </c>
    </row>
    <row r="911">
      <c r="A911" s="2">
        <f>IFERROR(__xludf.DUMMYFUNCTION("""COMPUTED_VALUE"""),1.0)</f>
        <v>1</v>
      </c>
    </row>
    <row r="912">
      <c r="A912" s="2">
        <f>IFERROR(__xludf.DUMMYFUNCTION("""COMPUTED_VALUE"""),1.0)</f>
        <v>1</v>
      </c>
    </row>
    <row r="913">
      <c r="A913" s="2">
        <f>IFERROR(__xludf.DUMMYFUNCTION("""COMPUTED_VALUE"""),1.0)</f>
        <v>1</v>
      </c>
    </row>
    <row r="914">
      <c r="A914" s="2">
        <f>IFERROR(__xludf.DUMMYFUNCTION("""COMPUTED_VALUE"""),1.0)</f>
        <v>1</v>
      </c>
    </row>
    <row r="915">
      <c r="A915" s="2">
        <f>IFERROR(__xludf.DUMMYFUNCTION("""COMPUTED_VALUE"""),5.0)</f>
        <v>5</v>
      </c>
    </row>
    <row r="916">
      <c r="A916" s="2">
        <f>IFERROR(__xludf.DUMMYFUNCTION("""COMPUTED_VALUE"""),5.0)</f>
        <v>5</v>
      </c>
    </row>
    <row r="917">
      <c r="A917" s="2">
        <f>IFERROR(__xludf.DUMMYFUNCTION("""COMPUTED_VALUE"""),5.0)</f>
        <v>5</v>
      </c>
    </row>
    <row r="918">
      <c r="A918" s="2">
        <f>IFERROR(__xludf.DUMMYFUNCTION("""COMPUTED_VALUE"""),5.0)</f>
        <v>5</v>
      </c>
    </row>
    <row r="919">
      <c r="A919" s="2">
        <f>IFERROR(__xludf.DUMMYFUNCTION("""COMPUTED_VALUE"""),5.0)</f>
        <v>5</v>
      </c>
    </row>
    <row r="920">
      <c r="A920" s="2">
        <f>IFERROR(__xludf.DUMMYFUNCTION("""COMPUTED_VALUE"""),5.0)</f>
        <v>5</v>
      </c>
    </row>
    <row r="921">
      <c r="A921" s="2">
        <f>IFERROR(__xludf.DUMMYFUNCTION("""COMPUTED_VALUE"""),9.0)</f>
        <v>9</v>
      </c>
    </row>
    <row r="922">
      <c r="A922" s="2">
        <f>IFERROR(__xludf.DUMMYFUNCTION("""COMPUTED_VALUE"""),9.0)</f>
        <v>9</v>
      </c>
    </row>
    <row r="923">
      <c r="A923" s="2">
        <f>IFERROR(__xludf.DUMMYFUNCTION("""COMPUTED_VALUE"""),9.0)</f>
        <v>9</v>
      </c>
    </row>
    <row r="924">
      <c r="A924" s="2">
        <f>IFERROR(__xludf.DUMMYFUNCTION("""COMPUTED_VALUE"""),9.0)</f>
        <v>9</v>
      </c>
    </row>
    <row r="925">
      <c r="A925" s="2">
        <f>IFERROR(__xludf.DUMMYFUNCTION("""COMPUTED_VALUE"""),5.0)</f>
        <v>5</v>
      </c>
    </row>
    <row r="926">
      <c r="A926" s="2">
        <f>IFERROR(__xludf.DUMMYFUNCTION("""COMPUTED_VALUE"""),5.0)</f>
        <v>5</v>
      </c>
    </row>
    <row r="927">
      <c r="A927" s="2">
        <f>IFERROR(__xludf.DUMMYFUNCTION("""COMPUTED_VALUE"""),5.0)</f>
        <v>5</v>
      </c>
    </row>
    <row r="928">
      <c r="A928" s="2">
        <f>IFERROR(__xludf.DUMMYFUNCTION("""COMPUTED_VALUE"""),5.0)</f>
        <v>5</v>
      </c>
    </row>
    <row r="929">
      <c r="A929" s="2">
        <f>IFERROR(__xludf.DUMMYFUNCTION("""COMPUTED_VALUE"""),5.0)</f>
        <v>5</v>
      </c>
    </row>
    <row r="930">
      <c r="A930" s="2">
        <f>IFERROR(__xludf.DUMMYFUNCTION("""COMPUTED_VALUE"""),5.0)</f>
        <v>5</v>
      </c>
    </row>
    <row r="931">
      <c r="A931" s="2">
        <f>IFERROR(__xludf.DUMMYFUNCTION("""COMPUTED_VALUE"""),9.0)</f>
        <v>9</v>
      </c>
    </row>
    <row r="932">
      <c r="A932" s="2">
        <f>IFERROR(__xludf.DUMMYFUNCTION("""COMPUTED_VALUE"""),9.0)</f>
        <v>9</v>
      </c>
    </row>
    <row r="933">
      <c r="A933" s="2">
        <f>IFERROR(__xludf.DUMMYFUNCTION("""COMPUTED_VALUE"""),9.0)</f>
        <v>9</v>
      </c>
    </row>
    <row r="934">
      <c r="A934" s="2">
        <f>IFERROR(__xludf.DUMMYFUNCTION("""COMPUTED_VALUE"""),9.0)</f>
        <v>9</v>
      </c>
    </row>
    <row r="935">
      <c r="A935" s="2">
        <f>IFERROR(__xludf.DUMMYFUNCTION("""COMPUTED_VALUE"""),9.0)</f>
        <v>9</v>
      </c>
    </row>
    <row r="936">
      <c r="A936" s="2">
        <f>IFERROR(__xludf.DUMMYFUNCTION("""COMPUTED_VALUE"""),6.0)</f>
        <v>6</v>
      </c>
    </row>
    <row r="937">
      <c r="A937" s="2">
        <f>IFERROR(__xludf.DUMMYFUNCTION("""COMPUTED_VALUE"""),6.0)</f>
        <v>6</v>
      </c>
    </row>
    <row r="938">
      <c r="A938" s="2">
        <f>IFERROR(__xludf.DUMMYFUNCTION("""COMPUTED_VALUE"""),6.0)</f>
        <v>6</v>
      </c>
    </row>
    <row r="939">
      <c r="A939" s="2">
        <f>IFERROR(__xludf.DUMMYFUNCTION("""COMPUTED_VALUE"""),6.0)</f>
        <v>6</v>
      </c>
    </row>
    <row r="940">
      <c r="A940" s="2">
        <f>IFERROR(__xludf.DUMMYFUNCTION("""COMPUTED_VALUE"""),6.0)</f>
        <v>6</v>
      </c>
    </row>
    <row r="941">
      <c r="A941" s="2">
        <f>IFERROR(__xludf.DUMMYFUNCTION("""COMPUTED_VALUE"""),6.0)</f>
        <v>6</v>
      </c>
    </row>
    <row r="942">
      <c r="A942" s="2">
        <f>IFERROR(__xludf.DUMMYFUNCTION("""COMPUTED_VALUE"""),6.0)</f>
        <v>6</v>
      </c>
    </row>
    <row r="943">
      <c r="A943" s="2">
        <f>IFERROR(__xludf.DUMMYFUNCTION("""COMPUTED_VALUE"""),6.0)</f>
        <v>6</v>
      </c>
    </row>
    <row r="944">
      <c r="A944" s="2">
        <f>IFERROR(__xludf.DUMMYFUNCTION("""COMPUTED_VALUE"""),8.0)</f>
        <v>8</v>
      </c>
    </row>
    <row r="945">
      <c r="A945" s="2">
        <f>IFERROR(__xludf.DUMMYFUNCTION("""COMPUTED_VALUE"""),8.0)</f>
        <v>8</v>
      </c>
    </row>
    <row r="946">
      <c r="A946" s="2">
        <f>IFERROR(__xludf.DUMMYFUNCTION("""COMPUTED_VALUE"""),8.0)</f>
        <v>8</v>
      </c>
    </row>
    <row r="947">
      <c r="A947" s="2">
        <f>IFERROR(__xludf.DUMMYFUNCTION("""COMPUTED_VALUE"""),3.0)</f>
        <v>3</v>
      </c>
    </row>
    <row r="948">
      <c r="A948" s="2">
        <f>IFERROR(__xludf.DUMMYFUNCTION("""COMPUTED_VALUE"""),3.0)</f>
        <v>3</v>
      </c>
    </row>
    <row r="949">
      <c r="A949" s="2">
        <f>IFERROR(__xludf.DUMMYFUNCTION("""COMPUTED_VALUE"""),3.0)</f>
        <v>3</v>
      </c>
    </row>
    <row r="950">
      <c r="A950" s="2">
        <f>IFERROR(__xludf.DUMMYFUNCTION("""COMPUTED_VALUE"""),3.0)</f>
        <v>3</v>
      </c>
    </row>
    <row r="951">
      <c r="A951" s="2">
        <f>IFERROR(__xludf.DUMMYFUNCTION("""COMPUTED_VALUE"""),2.0)</f>
        <v>2</v>
      </c>
    </row>
    <row r="952">
      <c r="A952" s="2">
        <f>IFERROR(__xludf.DUMMYFUNCTION("""COMPUTED_VALUE"""),2.0)</f>
        <v>2</v>
      </c>
    </row>
    <row r="953">
      <c r="A953" s="2">
        <f>IFERROR(__xludf.DUMMYFUNCTION("""COMPUTED_VALUE"""),2.0)</f>
        <v>2</v>
      </c>
    </row>
    <row r="954">
      <c r="A954" s="2">
        <f>IFERROR(__xludf.DUMMYFUNCTION("""COMPUTED_VALUE"""),2.0)</f>
        <v>2</v>
      </c>
    </row>
    <row r="955">
      <c r="A955" s="2">
        <f>IFERROR(__xludf.DUMMYFUNCTION("""COMPUTED_VALUE"""),2.0)</f>
        <v>2</v>
      </c>
    </row>
    <row r="956">
      <c r="A956" s="2">
        <f>IFERROR(__xludf.DUMMYFUNCTION("""COMPUTED_VALUE"""),6.0)</f>
        <v>6</v>
      </c>
    </row>
    <row r="957">
      <c r="A957" s="2">
        <f>IFERROR(__xludf.DUMMYFUNCTION("""COMPUTED_VALUE"""),6.0)</f>
        <v>6</v>
      </c>
    </row>
    <row r="958">
      <c r="A958" s="2">
        <f>IFERROR(__xludf.DUMMYFUNCTION("""COMPUTED_VALUE"""),6.0)</f>
        <v>6</v>
      </c>
    </row>
    <row r="959">
      <c r="A959" s="2">
        <f>IFERROR(__xludf.DUMMYFUNCTION("""COMPUTED_VALUE"""),9.0)</f>
        <v>9</v>
      </c>
    </row>
    <row r="960">
      <c r="A960" s="2">
        <f>IFERROR(__xludf.DUMMYFUNCTION("""COMPUTED_VALUE"""),9.0)</f>
        <v>9</v>
      </c>
    </row>
    <row r="961">
      <c r="A961" s="2">
        <f>IFERROR(__xludf.DUMMYFUNCTION("""COMPUTED_VALUE"""),9.0)</f>
        <v>9</v>
      </c>
    </row>
    <row r="962">
      <c r="A962" s="2">
        <f>IFERROR(__xludf.DUMMYFUNCTION("""COMPUTED_VALUE"""),2.0)</f>
        <v>2</v>
      </c>
    </row>
    <row r="963">
      <c r="A963" s="2">
        <f>IFERROR(__xludf.DUMMYFUNCTION("""COMPUTED_VALUE"""),2.0)</f>
        <v>2</v>
      </c>
    </row>
    <row r="964">
      <c r="A964" s="2">
        <f>IFERROR(__xludf.DUMMYFUNCTION("""COMPUTED_VALUE"""),2.0)</f>
        <v>2</v>
      </c>
    </row>
    <row r="965">
      <c r="A965" s="2">
        <f>IFERROR(__xludf.DUMMYFUNCTION("""COMPUTED_VALUE"""),6.0)</f>
        <v>6</v>
      </c>
    </row>
    <row r="966">
      <c r="A966" s="2">
        <f>IFERROR(__xludf.DUMMYFUNCTION("""COMPUTED_VALUE"""),6.0)</f>
        <v>6</v>
      </c>
    </row>
    <row r="967">
      <c r="A967" s="2">
        <f>IFERROR(__xludf.DUMMYFUNCTION("""COMPUTED_VALUE"""),6.0)</f>
        <v>6</v>
      </c>
    </row>
    <row r="968">
      <c r="A968" s="2">
        <f>IFERROR(__xludf.DUMMYFUNCTION("""COMPUTED_VALUE"""),6.0)</f>
        <v>6</v>
      </c>
    </row>
    <row r="969">
      <c r="A969" s="2">
        <f>IFERROR(__xludf.DUMMYFUNCTION("""COMPUTED_VALUE"""),7.0)</f>
        <v>7</v>
      </c>
    </row>
    <row r="970">
      <c r="A970" s="2">
        <f>IFERROR(__xludf.DUMMYFUNCTION("""COMPUTED_VALUE"""),7.0)</f>
        <v>7</v>
      </c>
    </row>
    <row r="971">
      <c r="A971" s="2">
        <f>IFERROR(__xludf.DUMMYFUNCTION("""COMPUTED_VALUE"""),7.0)</f>
        <v>7</v>
      </c>
    </row>
    <row r="972">
      <c r="A972" s="2">
        <f>IFERROR(__xludf.DUMMYFUNCTION("""COMPUTED_VALUE"""),7.0)</f>
        <v>7</v>
      </c>
    </row>
    <row r="973">
      <c r="A973" s="2">
        <f>IFERROR(__xludf.DUMMYFUNCTION("""COMPUTED_VALUE"""),7.0)</f>
        <v>7</v>
      </c>
    </row>
    <row r="974">
      <c r="A974" s="2">
        <f>IFERROR(__xludf.DUMMYFUNCTION("""COMPUTED_VALUE"""),7.0)</f>
        <v>7</v>
      </c>
    </row>
    <row r="975">
      <c r="A975" s="2">
        <f>IFERROR(__xludf.DUMMYFUNCTION("""COMPUTED_VALUE"""),8.0)</f>
        <v>8</v>
      </c>
    </row>
    <row r="976">
      <c r="A976" s="2">
        <f>IFERROR(__xludf.DUMMYFUNCTION("""COMPUTED_VALUE"""),5.0)</f>
        <v>5</v>
      </c>
    </row>
    <row r="977">
      <c r="A977" s="2">
        <f>IFERROR(__xludf.DUMMYFUNCTION("""COMPUTED_VALUE"""),5.0)</f>
        <v>5</v>
      </c>
    </row>
    <row r="978">
      <c r="A978" s="2">
        <f>IFERROR(__xludf.DUMMYFUNCTION("""COMPUTED_VALUE"""),5.0)</f>
        <v>5</v>
      </c>
    </row>
    <row r="979">
      <c r="A979" s="2">
        <f>IFERROR(__xludf.DUMMYFUNCTION("""COMPUTED_VALUE"""),5.0)</f>
        <v>5</v>
      </c>
    </row>
    <row r="980">
      <c r="A980" s="2">
        <f>IFERROR(__xludf.DUMMYFUNCTION("""COMPUTED_VALUE"""),5.0)</f>
        <v>5</v>
      </c>
    </row>
    <row r="981">
      <c r="A981" s="2">
        <f>IFERROR(__xludf.DUMMYFUNCTION("""COMPUTED_VALUE"""),5.0)</f>
        <v>5</v>
      </c>
    </row>
    <row r="982">
      <c r="A982" s="2">
        <f>IFERROR(__xludf.DUMMYFUNCTION("""COMPUTED_VALUE"""),5.0)</f>
        <v>5</v>
      </c>
    </row>
    <row r="983">
      <c r="A983" s="2">
        <f>IFERROR(__xludf.DUMMYFUNCTION("""COMPUTED_VALUE"""),5.0)</f>
        <v>5</v>
      </c>
    </row>
    <row r="984">
      <c r="A984" s="2">
        <f>IFERROR(__xludf.DUMMYFUNCTION("""COMPUTED_VALUE"""),3.0)</f>
        <v>3</v>
      </c>
    </row>
    <row r="985">
      <c r="A985" s="2">
        <f>IFERROR(__xludf.DUMMYFUNCTION("""COMPUTED_VALUE"""),3.0)</f>
        <v>3</v>
      </c>
    </row>
    <row r="986">
      <c r="A986" s="2">
        <f>IFERROR(__xludf.DUMMYFUNCTION("""COMPUTED_VALUE"""),3.0)</f>
        <v>3</v>
      </c>
    </row>
    <row r="987">
      <c r="A987" s="2">
        <f>IFERROR(__xludf.DUMMYFUNCTION("""COMPUTED_VALUE"""),3.0)</f>
        <v>3</v>
      </c>
    </row>
    <row r="988">
      <c r="A988" s="2">
        <f>IFERROR(__xludf.DUMMYFUNCTION("""COMPUTED_VALUE"""),3.0)</f>
        <v>3</v>
      </c>
    </row>
    <row r="989">
      <c r="A989" s="2">
        <f>IFERROR(__xludf.DUMMYFUNCTION("""COMPUTED_VALUE"""),3.0)</f>
        <v>3</v>
      </c>
    </row>
    <row r="990">
      <c r="A990" s="2">
        <f>IFERROR(__xludf.DUMMYFUNCTION("""COMPUTED_VALUE"""),3.0)</f>
        <v>3</v>
      </c>
    </row>
    <row r="991">
      <c r="A991" s="2">
        <f>IFERROR(__xludf.DUMMYFUNCTION("""COMPUTED_VALUE"""),3.0)</f>
        <v>3</v>
      </c>
    </row>
    <row r="992">
      <c r="A992" s="2">
        <f>IFERROR(__xludf.DUMMYFUNCTION("""COMPUTED_VALUE"""),3.0)</f>
        <v>3</v>
      </c>
    </row>
    <row r="993">
      <c r="A993" s="2">
        <f>IFERROR(__xludf.DUMMYFUNCTION("""COMPUTED_VALUE"""),3.0)</f>
        <v>3</v>
      </c>
    </row>
    <row r="994">
      <c r="A994" s="2">
        <f>IFERROR(__xludf.DUMMYFUNCTION("""COMPUTED_VALUE"""),3.0)</f>
        <v>3</v>
      </c>
    </row>
    <row r="995">
      <c r="A995" s="2">
        <f>IFERROR(__xludf.DUMMYFUNCTION("""COMPUTED_VALUE"""),3.0)</f>
        <v>3</v>
      </c>
    </row>
    <row r="996">
      <c r="A996" s="2">
        <f>IFERROR(__xludf.DUMMYFUNCTION("""COMPUTED_VALUE"""),3.0)</f>
        <v>3</v>
      </c>
    </row>
    <row r="997">
      <c r="A997" s="2">
        <f>IFERROR(__xludf.DUMMYFUNCTION("""COMPUTED_VALUE"""),3.0)</f>
        <v>3</v>
      </c>
    </row>
    <row r="998">
      <c r="A998" s="2">
        <f>IFERROR(__xludf.DUMMYFUNCTION("""COMPUTED_VALUE"""),3.0)</f>
        <v>3</v>
      </c>
    </row>
    <row r="999">
      <c r="A999" s="2">
        <f>IFERROR(__xludf.DUMMYFUNCTION("""COMPUTED_VALUE"""),3.0)</f>
        <v>3</v>
      </c>
    </row>
    <row r="1000">
      <c r="A1000" s="2">
        <f>IFERROR(__xludf.DUMMYFUNCTION("""COMPUTED_VALUE"""),3.0)</f>
        <v>3</v>
      </c>
    </row>
    <row r="1001">
      <c r="A1001" s="2">
        <f>IFERROR(__xludf.DUMMYFUNCTION("""COMPUTED_VALUE"""),3.0)</f>
        <v>3</v>
      </c>
    </row>
    <row r="1002">
      <c r="A1002" s="2">
        <f>IFERROR(__xludf.DUMMYFUNCTION("""COMPUTED_VALUE"""),3.0)</f>
        <v>3</v>
      </c>
    </row>
    <row r="1003">
      <c r="A1003" s="2">
        <f>IFERROR(__xludf.DUMMYFUNCTION("""COMPUTED_VALUE"""),3.0)</f>
        <v>3</v>
      </c>
    </row>
    <row r="1004">
      <c r="A1004" s="2">
        <f>IFERROR(__xludf.DUMMYFUNCTION("""COMPUTED_VALUE"""),8.0)</f>
        <v>8</v>
      </c>
    </row>
    <row r="1005">
      <c r="A1005" s="2">
        <f>IFERROR(__xludf.DUMMYFUNCTION("""COMPUTED_VALUE"""),8.0)</f>
        <v>8</v>
      </c>
    </row>
    <row r="1006">
      <c r="A1006" s="2">
        <f>IFERROR(__xludf.DUMMYFUNCTION("""COMPUTED_VALUE"""),1.0)</f>
        <v>1</v>
      </c>
    </row>
    <row r="1007">
      <c r="A1007" s="2">
        <f>IFERROR(__xludf.DUMMYFUNCTION("""COMPUTED_VALUE"""),1.0)</f>
        <v>1</v>
      </c>
    </row>
    <row r="1008">
      <c r="A1008" s="2">
        <f>IFERROR(__xludf.DUMMYFUNCTION("""COMPUTED_VALUE"""),1.0)</f>
        <v>1</v>
      </c>
    </row>
    <row r="1009">
      <c r="A1009" s="2">
        <f>IFERROR(__xludf.DUMMYFUNCTION("""COMPUTED_VALUE"""),1.0)</f>
        <v>1</v>
      </c>
    </row>
    <row r="1010">
      <c r="A1010" s="2">
        <f>IFERROR(__xludf.DUMMYFUNCTION("""COMPUTED_VALUE"""),1.0)</f>
        <v>1</v>
      </c>
    </row>
    <row r="1011">
      <c r="A1011" s="2">
        <f>IFERROR(__xludf.DUMMYFUNCTION("""COMPUTED_VALUE"""),1.0)</f>
        <v>1</v>
      </c>
    </row>
    <row r="1012">
      <c r="A1012" s="2">
        <f>IFERROR(__xludf.DUMMYFUNCTION("""COMPUTED_VALUE"""),3.0)</f>
        <v>3</v>
      </c>
    </row>
    <row r="1013">
      <c r="A1013" s="2">
        <f>IFERROR(__xludf.DUMMYFUNCTION("""COMPUTED_VALUE"""),3.0)</f>
        <v>3</v>
      </c>
    </row>
    <row r="1014">
      <c r="A1014" s="2">
        <f>IFERROR(__xludf.DUMMYFUNCTION("""COMPUTED_VALUE"""),3.0)</f>
        <v>3</v>
      </c>
    </row>
    <row r="1015">
      <c r="A1015" s="2">
        <f>IFERROR(__xludf.DUMMYFUNCTION("""COMPUTED_VALUE"""),3.0)</f>
        <v>3</v>
      </c>
    </row>
    <row r="1016">
      <c r="A1016" s="2">
        <f>IFERROR(__xludf.DUMMYFUNCTION("""COMPUTED_VALUE"""),3.0)</f>
        <v>3</v>
      </c>
    </row>
    <row r="1017">
      <c r="A1017" s="2">
        <f>IFERROR(__xludf.DUMMYFUNCTION("""COMPUTED_VALUE"""),3.0)</f>
        <v>3</v>
      </c>
    </row>
    <row r="1018">
      <c r="A1018" s="2">
        <f>IFERROR(__xludf.DUMMYFUNCTION("""COMPUTED_VALUE"""),3.0)</f>
        <v>3</v>
      </c>
    </row>
    <row r="1019">
      <c r="A1019" s="2">
        <f>IFERROR(__xludf.DUMMYFUNCTION("""COMPUTED_VALUE"""),3.0)</f>
        <v>3</v>
      </c>
    </row>
    <row r="1020">
      <c r="A1020" s="2">
        <f>IFERROR(__xludf.DUMMYFUNCTION("""COMPUTED_VALUE"""),3.0)</f>
        <v>3</v>
      </c>
    </row>
    <row r="1021">
      <c r="A1021" s="2">
        <f>IFERROR(__xludf.DUMMYFUNCTION("""COMPUTED_VALUE"""),3.0)</f>
        <v>3</v>
      </c>
    </row>
    <row r="1022">
      <c r="A1022" s="2">
        <f>IFERROR(__xludf.DUMMYFUNCTION("""COMPUTED_VALUE"""),7.0)</f>
        <v>7</v>
      </c>
    </row>
    <row r="1023">
      <c r="A1023" s="2">
        <f>IFERROR(__xludf.DUMMYFUNCTION("""COMPUTED_VALUE"""),7.0)</f>
        <v>7</v>
      </c>
    </row>
    <row r="1024">
      <c r="A1024" s="2">
        <f>IFERROR(__xludf.DUMMYFUNCTION("""COMPUTED_VALUE"""),7.0)</f>
        <v>7</v>
      </c>
    </row>
    <row r="1025">
      <c r="A1025" s="2">
        <f>IFERROR(__xludf.DUMMYFUNCTION("""COMPUTED_VALUE"""),7.0)</f>
        <v>7</v>
      </c>
    </row>
    <row r="1026">
      <c r="A1026" s="2">
        <f>IFERROR(__xludf.DUMMYFUNCTION("""COMPUTED_VALUE"""),9.0)</f>
        <v>9</v>
      </c>
    </row>
    <row r="1027">
      <c r="A1027" s="2">
        <f>IFERROR(__xludf.DUMMYFUNCTION("""COMPUTED_VALUE"""),9.0)</f>
        <v>9</v>
      </c>
    </row>
    <row r="1028">
      <c r="A1028" s="2">
        <f>IFERROR(__xludf.DUMMYFUNCTION("""COMPUTED_VALUE"""),9.0)</f>
        <v>9</v>
      </c>
    </row>
    <row r="1029">
      <c r="A1029" s="2">
        <f>IFERROR(__xludf.DUMMYFUNCTION("""COMPUTED_VALUE"""),9.0)</f>
        <v>9</v>
      </c>
    </row>
    <row r="1030">
      <c r="A1030" s="2">
        <f>IFERROR(__xludf.DUMMYFUNCTION("""COMPUTED_VALUE"""),2.0)</f>
        <v>2</v>
      </c>
    </row>
    <row r="1031">
      <c r="A1031" s="2">
        <f>IFERROR(__xludf.DUMMYFUNCTION("""COMPUTED_VALUE"""),2.0)</f>
        <v>2</v>
      </c>
    </row>
    <row r="1032">
      <c r="A1032" s="2">
        <f>IFERROR(__xludf.DUMMYFUNCTION("""COMPUTED_VALUE"""),9.0)</f>
        <v>9</v>
      </c>
    </row>
    <row r="1033">
      <c r="A1033" s="2">
        <f>IFERROR(__xludf.DUMMYFUNCTION("""COMPUTED_VALUE"""),9.0)</f>
        <v>9</v>
      </c>
    </row>
    <row r="1034">
      <c r="A1034" s="2">
        <f>IFERROR(__xludf.DUMMYFUNCTION("""COMPUTED_VALUE"""),9.0)</f>
        <v>9</v>
      </c>
    </row>
    <row r="1035">
      <c r="A1035" s="2">
        <f>IFERROR(__xludf.DUMMYFUNCTION("""COMPUTED_VALUE"""),3.0)</f>
        <v>3</v>
      </c>
    </row>
    <row r="1036">
      <c r="A1036" s="2">
        <f>IFERROR(__xludf.DUMMYFUNCTION("""COMPUTED_VALUE"""),3.0)</f>
        <v>3</v>
      </c>
    </row>
    <row r="1037">
      <c r="A1037" s="2">
        <f>IFERROR(__xludf.DUMMYFUNCTION("""COMPUTED_VALUE"""),3.0)</f>
        <v>3</v>
      </c>
    </row>
    <row r="1038">
      <c r="A1038" s="2">
        <f>IFERROR(__xludf.DUMMYFUNCTION("""COMPUTED_VALUE"""),3.0)</f>
        <v>3</v>
      </c>
    </row>
    <row r="1039">
      <c r="A1039" s="2">
        <f>IFERROR(__xludf.DUMMYFUNCTION("""COMPUTED_VALUE"""),3.0)</f>
        <v>3</v>
      </c>
    </row>
    <row r="1040">
      <c r="A1040" s="2">
        <f>IFERROR(__xludf.DUMMYFUNCTION("""COMPUTED_VALUE"""),9.0)</f>
        <v>9</v>
      </c>
    </row>
    <row r="1041">
      <c r="A1041" s="2">
        <f>IFERROR(__xludf.DUMMYFUNCTION("""COMPUTED_VALUE"""),9.0)</f>
        <v>9</v>
      </c>
    </row>
    <row r="1042">
      <c r="A1042" s="2">
        <f>IFERROR(__xludf.DUMMYFUNCTION("""COMPUTED_VALUE"""),9.0)</f>
        <v>9</v>
      </c>
    </row>
    <row r="1043">
      <c r="A1043" s="2">
        <f>IFERROR(__xludf.DUMMYFUNCTION("""COMPUTED_VALUE"""),2.0)</f>
        <v>2</v>
      </c>
    </row>
    <row r="1044">
      <c r="A1044" s="2">
        <f>IFERROR(__xludf.DUMMYFUNCTION("""COMPUTED_VALUE"""),2.0)</f>
        <v>2</v>
      </c>
    </row>
    <row r="1045">
      <c r="A1045" s="2">
        <f>IFERROR(__xludf.DUMMYFUNCTION("""COMPUTED_VALUE"""),2.0)</f>
        <v>2</v>
      </c>
    </row>
    <row r="1046">
      <c r="A1046" s="2">
        <f>IFERROR(__xludf.DUMMYFUNCTION("""COMPUTED_VALUE"""),2.0)</f>
        <v>2</v>
      </c>
    </row>
    <row r="1047">
      <c r="A1047" s="2">
        <f>IFERROR(__xludf.DUMMYFUNCTION("""COMPUTED_VALUE"""),2.0)</f>
        <v>2</v>
      </c>
    </row>
    <row r="1048">
      <c r="A1048" s="2">
        <f>IFERROR(__xludf.DUMMYFUNCTION("""COMPUTED_VALUE"""),2.0)</f>
        <v>2</v>
      </c>
    </row>
    <row r="1049">
      <c r="A1049" s="2">
        <f>IFERROR(__xludf.DUMMYFUNCTION("""COMPUTED_VALUE"""),2.0)</f>
        <v>2</v>
      </c>
    </row>
    <row r="1050">
      <c r="A1050" s="2">
        <f>IFERROR(__xludf.DUMMYFUNCTION("""COMPUTED_VALUE"""),2.0)</f>
        <v>2</v>
      </c>
    </row>
    <row r="1051">
      <c r="A1051" s="2">
        <f>IFERROR(__xludf.DUMMYFUNCTION("""COMPUTED_VALUE"""),2.0)</f>
        <v>2</v>
      </c>
    </row>
    <row r="1052">
      <c r="A1052" s="2">
        <f>IFERROR(__xludf.DUMMYFUNCTION("""COMPUTED_VALUE"""),2.0)</f>
        <v>2</v>
      </c>
    </row>
    <row r="1053">
      <c r="A1053" s="2">
        <f>IFERROR(__xludf.DUMMYFUNCTION("""COMPUTED_VALUE"""),2.0)</f>
        <v>2</v>
      </c>
    </row>
    <row r="1054">
      <c r="A1054" s="2">
        <f>IFERROR(__xludf.DUMMYFUNCTION("""COMPUTED_VALUE"""),2.0)</f>
        <v>2</v>
      </c>
    </row>
    <row r="1055">
      <c r="A1055" s="2">
        <f>IFERROR(__xludf.DUMMYFUNCTION("""COMPUTED_VALUE"""),2.0)</f>
        <v>2</v>
      </c>
    </row>
    <row r="1056">
      <c r="A1056" s="2">
        <f>IFERROR(__xludf.DUMMYFUNCTION("""COMPUTED_VALUE"""),2.0)</f>
        <v>2</v>
      </c>
    </row>
    <row r="1057">
      <c r="A1057" s="2">
        <f>IFERROR(__xludf.DUMMYFUNCTION("""COMPUTED_VALUE"""),2.0)</f>
        <v>2</v>
      </c>
    </row>
    <row r="1058">
      <c r="A1058" s="2">
        <f>IFERROR(__xludf.DUMMYFUNCTION("""COMPUTED_VALUE"""),2.0)</f>
        <v>2</v>
      </c>
    </row>
    <row r="1059">
      <c r="A1059" s="2">
        <f>IFERROR(__xludf.DUMMYFUNCTION("""COMPUTED_VALUE"""),2.0)</f>
        <v>2</v>
      </c>
    </row>
    <row r="1060">
      <c r="A1060" s="2">
        <f>IFERROR(__xludf.DUMMYFUNCTION("""COMPUTED_VALUE"""),2.0)</f>
        <v>2</v>
      </c>
    </row>
    <row r="1061">
      <c r="A1061" s="2">
        <f>IFERROR(__xludf.DUMMYFUNCTION("""COMPUTED_VALUE"""),9.0)</f>
        <v>9</v>
      </c>
    </row>
    <row r="1062">
      <c r="A1062" s="2">
        <f>IFERROR(__xludf.DUMMYFUNCTION("""COMPUTED_VALUE"""),9.0)</f>
        <v>9</v>
      </c>
    </row>
    <row r="1063">
      <c r="A1063" s="2">
        <f>IFERROR(__xludf.DUMMYFUNCTION("""COMPUTED_VALUE"""),4.0)</f>
        <v>4</v>
      </c>
    </row>
    <row r="1064">
      <c r="A1064" s="2">
        <f>IFERROR(__xludf.DUMMYFUNCTION("""COMPUTED_VALUE"""),2.0)</f>
        <v>2</v>
      </c>
    </row>
    <row r="1065">
      <c r="A1065" s="2">
        <f>IFERROR(__xludf.DUMMYFUNCTION("""COMPUTED_VALUE"""),2.0)</f>
        <v>2</v>
      </c>
    </row>
    <row r="1066">
      <c r="A1066" s="2">
        <f>IFERROR(__xludf.DUMMYFUNCTION("""COMPUTED_VALUE"""),2.0)</f>
        <v>2</v>
      </c>
    </row>
    <row r="1067">
      <c r="A1067" s="2">
        <f>IFERROR(__xludf.DUMMYFUNCTION("""COMPUTED_VALUE"""),2.0)</f>
        <v>2</v>
      </c>
    </row>
    <row r="1068">
      <c r="A1068" s="2">
        <f>IFERROR(__xludf.DUMMYFUNCTION("""COMPUTED_VALUE"""),2.0)</f>
        <v>2</v>
      </c>
    </row>
    <row r="1069">
      <c r="A1069" s="2">
        <f>IFERROR(__xludf.DUMMYFUNCTION("""COMPUTED_VALUE"""),2.0)</f>
        <v>2</v>
      </c>
    </row>
    <row r="1070">
      <c r="A1070" s="2">
        <f>IFERROR(__xludf.DUMMYFUNCTION("""COMPUTED_VALUE"""),2.0)</f>
        <v>2</v>
      </c>
    </row>
    <row r="1071">
      <c r="A1071" s="2">
        <f>IFERROR(__xludf.DUMMYFUNCTION("""COMPUTED_VALUE"""),2.0)</f>
        <v>2</v>
      </c>
    </row>
    <row r="1072">
      <c r="A1072" s="2">
        <f>IFERROR(__xludf.DUMMYFUNCTION("""COMPUTED_VALUE"""),2.0)</f>
        <v>2</v>
      </c>
    </row>
    <row r="1073">
      <c r="A1073" s="2">
        <f>IFERROR(__xludf.DUMMYFUNCTION("""COMPUTED_VALUE"""),2.0)</f>
        <v>2</v>
      </c>
    </row>
    <row r="1074">
      <c r="A1074" s="2">
        <f>IFERROR(__xludf.DUMMYFUNCTION("""COMPUTED_VALUE"""),2.0)</f>
        <v>2</v>
      </c>
    </row>
    <row r="1075">
      <c r="A1075" s="2">
        <f>IFERROR(__xludf.DUMMYFUNCTION("""COMPUTED_VALUE"""),2.0)</f>
        <v>2</v>
      </c>
    </row>
    <row r="1076">
      <c r="A1076" s="2">
        <f>IFERROR(__xludf.DUMMYFUNCTION("""COMPUTED_VALUE"""),7.0)</f>
        <v>7</v>
      </c>
    </row>
    <row r="1077">
      <c r="A1077" s="2">
        <f>IFERROR(__xludf.DUMMYFUNCTION("""COMPUTED_VALUE"""),8.0)</f>
        <v>8</v>
      </c>
    </row>
    <row r="1078">
      <c r="A1078" s="2">
        <f>IFERROR(__xludf.DUMMYFUNCTION("""COMPUTED_VALUE"""),8.0)</f>
        <v>8</v>
      </c>
    </row>
    <row r="1079">
      <c r="A1079" s="2">
        <f>IFERROR(__xludf.DUMMYFUNCTION("""COMPUTED_VALUE"""),8.0)</f>
        <v>8</v>
      </c>
    </row>
    <row r="1080">
      <c r="A1080" s="2">
        <f>IFERROR(__xludf.DUMMYFUNCTION("""COMPUTED_VALUE"""),8.0)</f>
        <v>8</v>
      </c>
    </row>
    <row r="1081">
      <c r="A1081" s="2">
        <f>IFERROR(__xludf.DUMMYFUNCTION("""COMPUTED_VALUE"""),8.0)</f>
        <v>8</v>
      </c>
    </row>
    <row r="1082">
      <c r="A1082" s="2">
        <f>IFERROR(__xludf.DUMMYFUNCTION("""COMPUTED_VALUE"""),8.0)</f>
        <v>8</v>
      </c>
    </row>
    <row r="1083">
      <c r="A1083" s="2">
        <f>IFERROR(__xludf.DUMMYFUNCTION("""COMPUTED_VALUE"""),8.0)</f>
        <v>8</v>
      </c>
    </row>
    <row r="1084">
      <c r="A1084" s="2">
        <f>IFERROR(__xludf.DUMMYFUNCTION("""COMPUTED_VALUE"""),8.0)</f>
        <v>8</v>
      </c>
    </row>
    <row r="1085">
      <c r="A1085" s="2">
        <f>IFERROR(__xludf.DUMMYFUNCTION("""COMPUTED_VALUE"""),9.0)</f>
        <v>9</v>
      </c>
    </row>
    <row r="1086">
      <c r="A1086" s="2">
        <f>IFERROR(__xludf.DUMMYFUNCTION("""COMPUTED_VALUE"""),9.0)</f>
        <v>9</v>
      </c>
    </row>
    <row r="1087">
      <c r="A1087" s="2">
        <f>IFERROR(__xludf.DUMMYFUNCTION("""COMPUTED_VALUE"""),9.0)</f>
        <v>9</v>
      </c>
    </row>
    <row r="1088">
      <c r="A1088" s="2">
        <f>IFERROR(__xludf.DUMMYFUNCTION("""COMPUTED_VALUE"""),9.0)</f>
        <v>9</v>
      </c>
    </row>
    <row r="1089">
      <c r="A1089" s="2">
        <f>IFERROR(__xludf.DUMMYFUNCTION("""COMPUTED_VALUE"""),9.0)</f>
        <v>9</v>
      </c>
    </row>
    <row r="1090">
      <c r="A1090" s="2">
        <f>IFERROR(__xludf.DUMMYFUNCTION("""COMPUTED_VALUE"""),9.0)</f>
        <v>9</v>
      </c>
    </row>
    <row r="1091">
      <c r="A1091" s="2">
        <f>IFERROR(__xludf.DUMMYFUNCTION("""COMPUTED_VALUE"""),9.0)</f>
        <v>9</v>
      </c>
    </row>
    <row r="1092">
      <c r="A1092" s="2">
        <f>IFERROR(__xludf.DUMMYFUNCTION("""COMPUTED_VALUE"""),9.0)</f>
        <v>9</v>
      </c>
    </row>
    <row r="1093">
      <c r="A1093" s="2">
        <f>IFERROR(__xludf.DUMMYFUNCTION("""COMPUTED_VALUE"""),2.0)</f>
        <v>2</v>
      </c>
    </row>
    <row r="1094">
      <c r="A1094" s="2">
        <f>IFERROR(__xludf.DUMMYFUNCTION("""COMPUTED_VALUE"""),2.0)</f>
        <v>2</v>
      </c>
    </row>
    <row r="1095">
      <c r="A1095" s="2">
        <f>IFERROR(__xludf.DUMMYFUNCTION("""COMPUTED_VALUE"""),2.0)</f>
        <v>2</v>
      </c>
    </row>
    <row r="1096">
      <c r="A1096" s="2">
        <f>IFERROR(__xludf.DUMMYFUNCTION("""COMPUTED_VALUE"""),2.0)</f>
        <v>2</v>
      </c>
    </row>
    <row r="1097">
      <c r="A1097" s="2">
        <f>IFERROR(__xludf.DUMMYFUNCTION("""COMPUTED_VALUE"""),2.0)</f>
        <v>2</v>
      </c>
    </row>
    <row r="1098">
      <c r="A1098" s="2">
        <f>IFERROR(__xludf.DUMMYFUNCTION("""COMPUTED_VALUE"""),2.0)</f>
        <v>2</v>
      </c>
    </row>
    <row r="1099">
      <c r="A1099" s="2">
        <f>IFERROR(__xludf.DUMMYFUNCTION("""COMPUTED_VALUE"""),2.0)</f>
        <v>2</v>
      </c>
    </row>
    <row r="1100">
      <c r="A1100" s="2">
        <f>IFERROR(__xludf.DUMMYFUNCTION("""COMPUTED_VALUE"""),7.0)</f>
        <v>7</v>
      </c>
    </row>
    <row r="1101">
      <c r="A1101" s="2">
        <f>IFERROR(__xludf.DUMMYFUNCTION("""COMPUTED_VALUE"""),9.0)</f>
        <v>9</v>
      </c>
    </row>
    <row r="1102">
      <c r="A1102" s="2">
        <f>IFERROR(__xludf.DUMMYFUNCTION("""COMPUTED_VALUE"""),9.0)</f>
        <v>9</v>
      </c>
    </row>
    <row r="1103">
      <c r="A1103" s="2">
        <f>IFERROR(__xludf.DUMMYFUNCTION("""COMPUTED_VALUE"""),9.0)</f>
        <v>9</v>
      </c>
    </row>
    <row r="1104">
      <c r="A1104" s="2">
        <f>IFERROR(__xludf.DUMMYFUNCTION("""COMPUTED_VALUE"""),9.0)</f>
        <v>9</v>
      </c>
    </row>
    <row r="1105">
      <c r="A1105" s="2">
        <f>IFERROR(__xludf.DUMMYFUNCTION("""COMPUTED_VALUE"""),9.0)</f>
        <v>9</v>
      </c>
    </row>
    <row r="1106">
      <c r="A1106" s="2">
        <f>IFERROR(__xludf.DUMMYFUNCTION("""COMPUTED_VALUE"""),9.0)</f>
        <v>9</v>
      </c>
    </row>
    <row r="1107">
      <c r="A1107" s="2">
        <f>IFERROR(__xludf.DUMMYFUNCTION("""COMPUTED_VALUE"""),9.0)</f>
        <v>9</v>
      </c>
    </row>
    <row r="1108">
      <c r="A1108" s="2">
        <f>IFERROR(__xludf.DUMMYFUNCTION("""COMPUTED_VALUE"""),9.0)</f>
        <v>9</v>
      </c>
    </row>
    <row r="1109">
      <c r="A1109" s="2">
        <f>IFERROR(__xludf.DUMMYFUNCTION("""COMPUTED_VALUE"""),9.0)</f>
        <v>9</v>
      </c>
    </row>
    <row r="1110">
      <c r="A1110" s="2">
        <f>IFERROR(__xludf.DUMMYFUNCTION("""COMPUTED_VALUE"""),9.0)</f>
        <v>9</v>
      </c>
    </row>
    <row r="1111">
      <c r="A1111" s="2">
        <f>IFERROR(__xludf.DUMMYFUNCTION("""COMPUTED_VALUE"""),9.0)</f>
        <v>9</v>
      </c>
    </row>
    <row r="1112">
      <c r="A1112" s="2">
        <f>IFERROR(__xludf.DUMMYFUNCTION("""COMPUTED_VALUE"""),9.0)</f>
        <v>9</v>
      </c>
    </row>
    <row r="1113">
      <c r="A1113" s="2">
        <f>IFERROR(__xludf.DUMMYFUNCTION("""COMPUTED_VALUE"""),9.0)</f>
        <v>9</v>
      </c>
    </row>
    <row r="1114">
      <c r="A1114" s="2">
        <f>IFERROR(__xludf.DUMMYFUNCTION("""COMPUTED_VALUE"""),9.0)</f>
        <v>9</v>
      </c>
    </row>
    <row r="1115">
      <c r="A1115" s="2">
        <f>IFERROR(__xludf.DUMMYFUNCTION("""COMPUTED_VALUE"""),9.0)</f>
        <v>9</v>
      </c>
    </row>
    <row r="1116">
      <c r="A1116" s="2">
        <f>IFERROR(__xludf.DUMMYFUNCTION("""COMPUTED_VALUE"""),9.0)</f>
        <v>9</v>
      </c>
    </row>
    <row r="1117">
      <c r="A1117" s="2">
        <f>IFERROR(__xludf.DUMMYFUNCTION("""COMPUTED_VALUE"""),9.0)</f>
        <v>9</v>
      </c>
    </row>
    <row r="1118">
      <c r="A1118" s="2">
        <f>IFERROR(__xludf.DUMMYFUNCTION("""COMPUTED_VALUE"""),9.0)</f>
        <v>9</v>
      </c>
    </row>
    <row r="1119">
      <c r="A1119" s="2">
        <f>IFERROR(__xludf.DUMMYFUNCTION("""COMPUTED_VALUE"""),2.0)</f>
        <v>2</v>
      </c>
    </row>
    <row r="1120">
      <c r="A1120" s="2">
        <f>IFERROR(__xludf.DUMMYFUNCTION("""COMPUTED_VALUE"""),1.0)</f>
        <v>1</v>
      </c>
    </row>
    <row r="1121">
      <c r="A1121" s="2">
        <f>IFERROR(__xludf.DUMMYFUNCTION("""COMPUTED_VALUE"""),1.0)</f>
        <v>1</v>
      </c>
    </row>
    <row r="1122">
      <c r="A1122" s="2">
        <f>IFERROR(__xludf.DUMMYFUNCTION("""COMPUTED_VALUE"""),2.0)</f>
        <v>2</v>
      </c>
    </row>
    <row r="1123">
      <c r="A1123" s="2">
        <f>IFERROR(__xludf.DUMMYFUNCTION("""COMPUTED_VALUE"""),7.0)</f>
        <v>7</v>
      </c>
    </row>
    <row r="1124">
      <c r="A1124" s="2">
        <f>IFERROR(__xludf.DUMMYFUNCTION("""COMPUTED_VALUE"""),7.0)</f>
        <v>7</v>
      </c>
    </row>
    <row r="1125">
      <c r="A1125" s="2">
        <f>IFERROR(__xludf.DUMMYFUNCTION("""COMPUTED_VALUE"""),7.0)</f>
        <v>7</v>
      </c>
    </row>
    <row r="1126">
      <c r="A1126" s="2">
        <f>IFERROR(__xludf.DUMMYFUNCTION("""COMPUTED_VALUE"""),7.0)</f>
        <v>7</v>
      </c>
    </row>
    <row r="1127">
      <c r="A1127" s="2">
        <f>IFERROR(__xludf.DUMMYFUNCTION("""COMPUTED_VALUE"""),3.0)</f>
        <v>3</v>
      </c>
    </row>
    <row r="1128">
      <c r="A1128" s="2">
        <f>IFERROR(__xludf.DUMMYFUNCTION("""COMPUTED_VALUE"""),3.0)</f>
        <v>3</v>
      </c>
    </row>
    <row r="1129">
      <c r="A1129" s="2">
        <f>IFERROR(__xludf.DUMMYFUNCTION("""COMPUTED_VALUE"""),3.0)</f>
        <v>3</v>
      </c>
    </row>
    <row r="1130">
      <c r="A1130" s="2">
        <f>IFERROR(__xludf.DUMMYFUNCTION("""COMPUTED_VALUE"""),3.0)</f>
        <v>3</v>
      </c>
    </row>
    <row r="1131">
      <c r="A1131" s="2">
        <f>IFERROR(__xludf.DUMMYFUNCTION("""COMPUTED_VALUE"""),3.0)</f>
        <v>3</v>
      </c>
    </row>
    <row r="1132">
      <c r="A1132" s="2">
        <f>IFERROR(__xludf.DUMMYFUNCTION("""COMPUTED_VALUE"""),3.0)</f>
        <v>3</v>
      </c>
    </row>
    <row r="1133">
      <c r="A1133" s="2">
        <f>IFERROR(__xludf.DUMMYFUNCTION("""COMPUTED_VALUE"""),3.0)</f>
        <v>3</v>
      </c>
    </row>
    <row r="1134">
      <c r="A1134" s="2">
        <f>IFERROR(__xludf.DUMMYFUNCTION("""COMPUTED_VALUE"""),3.0)</f>
        <v>3</v>
      </c>
    </row>
    <row r="1135">
      <c r="A1135" s="2">
        <f>IFERROR(__xludf.DUMMYFUNCTION("""COMPUTED_VALUE"""),3.0)</f>
        <v>3</v>
      </c>
    </row>
    <row r="1136">
      <c r="A1136" s="2">
        <f>IFERROR(__xludf.DUMMYFUNCTION("""COMPUTED_VALUE"""),3.0)</f>
        <v>3</v>
      </c>
    </row>
    <row r="1137">
      <c r="A1137" s="2">
        <f>IFERROR(__xludf.DUMMYFUNCTION("""COMPUTED_VALUE"""),3.0)</f>
        <v>3</v>
      </c>
    </row>
    <row r="1138">
      <c r="A1138" s="2">
        <f>IFERROR(__xludf.DUMMYFUNCTION("""COMPUTED_VALUE"""),3.0)</f>
        <v>3</v>
      </c>
    </row>
    <row r="1139">
      <c r="A1139" s="2">
        <f>IFERROR(__xludf.DUMMYFUNCTION("""COMPUTED_VALUE"""),3.0)</f>
        <v>3</v>
      </c>
    </row>
    <row r="1140">
      <c r="A1140" s="2">
        <f>IFERROR(__xludf.DUMMYFUNCTION("""COMPUTED_VALUE"""),3.0)</f>
        <v>3</v>
      </c>
    </row>
    <row r="1141">
      <c r="A1141" s="2">
        <f>IFERROR(__xludf.DUMMYFUNCTION("""COMPUTED_VALUE"""),3.0)</f>
        <v>3</v>
      </c>
    </row>
    <row r="1142">
      <c r="A1142" s="2">
        <f>IFERROR(__xludf.DUMMYFUNCTION("""COMPUTED_VALUE"""),1.0)</f>
        <v>1</v>
      </c>
    </row>
    <row r="1143">
      <c r="A1143" s="2">
        <f>IFERROR(__xludf.DUMMYFUNCTION("""COMPUTED_VALUE"""),8.0)</f>
        <v>8</v>
      </c>
    </row>
    <row r="1144">
      <c r="A1144" s="2">
        <f>IFERROR(__xludf.DUMMYFUNCTION("""COMPUTED_VALUE"""),8.0)</f>
        <v>8</v>
      </c>
    </row>
    <row r="1145">
      <c r="A1145" s="2">
        <f>IFERROR(__xludf.DUMMYFUNCTION("""COMPUTED_VALUE"""),4.0)</f>
        <v>4</v>
      </c>
    </row>
    <row r="1146">
      <c r="A1146" s="2">
        <f>IFERROR(__xludf.DUMMYFUNCTION("""COMPUTED_VALUE"""),4.0)</f>
        <v>4</v>
      </c>
    </row>
    <row r="1147">
      <c r="A1147" s="2">
        <f>IFERROR(__xludf.DUMMYFUNCTION("""COMPUTED_VALUE"""),4.0)</f>
        <v>4</v>
      </c>
    </row>
    <row r="1148">
      <c r="A1148" s="2">
        <f>IFERROR(__xludf.DUMMYFUNCTION("""COMPUTED_VALUE"""),4.0)</f>
        <v>4</v>
      </c>
    </row>
    <row r="1149">
      <c r="A1149" s="2">
        <f>IFERROR(__xludf.DUMMYFUNCTION("""COMPUTED_VALUE"""),4.0)</f>
        <v>4</v>
      </c>
    </row>
    <row r="1150">
      <c r="A1150" s="2">
        <f>IFERROR(__xludf.DUMMYFUNCTION("""COMPUTED_VALUE"""),4.0)</f>
        <v>4</v>
      </c>
    </row>
    <row r="1151">
      <c r="A1151" s="2">
        <f>IFERROR(__xludf.DUMMYFUNCTION("""COMPUTED_VALUE"""),1.0)</f>
        <v>1</v>
      </c>
    </row>
    <row r="1152">
      <c r="A1152" s="2">
        <f>IFERROR(__xludf.DUMMYFUNCTION("""COMPUTED_VALUE"""),1.0)</f>
        <v>1</v>
      </c>
    </row>
    <row r="1153">
      <c r="A1153" s="2">
        <f>IFERROR(__xludf.DUMMYFUNCTION("""COMPUTED_VALUE"""),1.0)</f>
        <v>1</v>
      </c>
    </row>
    <row r="1154">
      <c r="A1154" s="2">
        <f>IFERROR(__xludf.DUMMYFUNCTION("""COMPUTED_VALUE"""),1.0)</f>
        <v>1</v>
      </c>
    </row>
    <row r="1155">
      <c r="A1155" s="2">
        <f>IFERROR(__xludf.DUMMYFUNCTION("""COMPUTED_VALUE"""),1.0)</f>
        <v>1</v>
      </c>
    </row>
    <row r="1156">
      <c r="A1156" s="2">
        <f>IFERROR(__xludf.DUMMYFUNCTION("""COMPUTED_VALUE"""),1.0)</f>
        <v>1</v>
      </c>
    </row>
    <row r="1157">
      <c r="A1157" s="2">
        <f>IFERROR(__xludf.DUMMYFUNCTION("""COMPUTED_VALUE"""),1.0)</f>
        <v>1</v>
      </c>
    </row>
    <row r="1158">
      <c r="A1158" s="2">
        <f>IFERROR(__xludf.DUMMYFUNCTION("""COMPUTED_VALUE"""),1.0)</f>
        <v>1</v>
      </c>
    </row>
    <row r="1159">
      <c r="A1159" s="2">
        <f>IFERROR(__xludf.DUMMYFUNCTION("""COMPUTED_VALUE"""),5.0)</f>
        <v>5</v>
      </c>
    </row>
    <row r="1160">
      <c r="A1160" s="2">
        <f>IFERROR(__xludf.DUMMYFUNCTION("""COMPUTED_VALUE"""),5.0)</f>
        <v>5</v>
      </c>
    </row>
    <row r="1161">
      <c r="A1161" s="2">
        <f>IFERROR(__xludf.DUMMYFUNCTION("""COMPUTED_VALUE"""),3.0)</f>
        <v>3</v>
      </c>
    </row>
    <row r="1162">
      <c r="A1162" s="2">
        <f>IFERROR(__xludf.DUMMYFUNCTION("""COMPUTED_VALUE"""),3.0)</f>
        <v>3</v>
      </c>
    </row>
    <row r="1163">
      <c r="A1163" s="2">
        <f>IFERROR(__xludf.DUMMYFUNCTION("""COMPUTED_VALUE"""),1.0)</f>
        <v>1</v>
      </c>
    </row>
    <row r="1164">
      <c r="A1164" s="2">
        <f>IFERROR(__xludf.DUMMYFUNCTION("""COMPUTED_VALUE"""),1.0)</f>
        <v>1</v>
      </c>
    </row>
    <row r="1165">
      <c r="A1165" s="2">
        <f>IFERROR(__xludf.DUMMYFUNCTION("""COMPUTED_VALUE"""),1.0)</f>
        <v>1</v>
      </c>
    </row>
    <row r="1166">
      <c r="A1166" s="2">
        <f>IFERROR(__xludf.DUMMYFUNCTION("""COMPUTED_VALUE"""),1.0)</f>
        <v>1</v>
      </c>
    </row>
    <row r="1167">
      <c r="A1167" s="2">
        <f>IFERROR(__xludf.DUMMYFUNCTION("""COMPUTED_VALUE"""),8.0)</f>
        <v>8</v>
      </c>
    </row>
    <row r="1168">
      <c r="A1168" s="2">
        <f>IFERROR(__xludf.DUMMYFUNCTION("""COMPUTED_VALUE"""),8.0)</f>
        <v>8</v>
      </c>
    </row>
    <row r="1169">
      <c r="A1169" s="2">
        <f>IFERROR(__xludf.DUMMYFUNCTION("""COMPUTED_VALUE"""),9.0)</f>
        <v>9</v>
      </c>
    </row>
    <row r="1170">
      <c r="A1170" s="2">
        <f>IFERROR(__xludf.DUMMYFUNCTION("""COMPUTED_VALUE"""),9.0)</f>
        <v>9</v>
      </c>
    </row>
    <row r="1171">
      <c r="A1171" s="2">
        <f>IFERROR(__xludf.DUMMYFUNCTION("""COMPUTED_VALUE"""),1.0)</f>
        <v>1</v>
      </c>
    </row>
    <row r="1172">
      <c r="A1172" s="2">
        <f>IFERROR(__xludf.DUMMYFUNCTION("""COMPUTED_VALUE"""),1.0)</f>
        <v>1</v>
      </c>
    </row>
    <row r="1173">
      <c r="A1173" s="2">
        <f>IFERROR(__xludf.DUMMYFUNCTION("""COMPUTED_VALUE"""),1.0)</f>
        <v>1</v>
      </c>
    </row>
    <row r="1174">
      <c r="A1174" s="2">
        <f>IFERROR(__xludf.DUMMYFUNCTION("""COMPUTED_VALUE"""),1.0)</f>
        <v>1</v>
      </c>
    </row>
    <row r="1175">
      <c r="A1175" s="2">
        <f>IFERROR(__xludf.DUMMYFUNCTION("""COMPUTED_VALUE"""),1.0)</f>
        <v>1</v>
      </c>
    </row>
    <row r="1176">
      <c r="A1176" s="2">
        <f>IFERROR(__xludf.DUMMYFUNCTION("""COMPUTED_VALUE"""),1.0)</f>
        <v>1</v>
      </c>
    </row>
    <row r="1177">
      <c r="A1177" s="2">
        <f>IFERROR(__xludf.DUMMYFUNCTION("""COMPUTED_VALUE"""),1.0)</f>
        <v>1</v>
      </c>
    </row>
    <row r="1178">
      <c r="A1178" s="2">
        <f>IFERROR(__xludf.DUMMYFUNCTION("""COMPUTED_VALUE"""),1.0)</f>
        <v>1</v>
      </c>
    </row>
    <row r="1179">
      <c r="A1179" s="2">
        <f>IFERROR(__xludf.DUMMYFUNCTION("""COMPUTED_VALUE"""),1.0)</f>
        <v>1</v>
      </c>
    </row>
    <row r="1180">
      <c r="A1180" s="2">
        <f>IFERROR(__xludf.DUMMYFUNCTION("""COMPUTED_VALUE"""),1.0)</f>
        <v>1</v>
      </c>
    </row>
    <row r="1181">
      <c r="A1181" s="2">
        <f>IFERROR(__xludf.DUMMYFUNCTION("""COMPUTED_VALUE"""),1.0)</f>
        <v>1</v>
      </c>
    </row>
    <row r="1182">
      <c r="A1182" s="2">
        <f>IFERROR(__xludf.DUMMYFUNCTION("""COMPUTED_VALUE"""),1.0)</f>
        <v>1</v>
      </c>
    </row>
    <row r="1183">
      <c r="A1183" s="2">
        <f>IFERROR(__xludf.DUMMYFUNCTION("""COMPUTED_VALUE"""),1.0)</f>
        <v>1</v>
      </c>
    </row>
    <row r="1184">
      <c r="A1184" s="2">
        <f>IFERROR(__xludf.DUMMYFUNCTION("""COMPUTED_VALUE"""),1.0)</f>
        <v>1</v>
      </c>
    </row>
    <row r="1185">
      <c r="A1185" s="2">
        <f>IFERROR(__xludf.DUMMYFUNCTION("""COMPUTED_VALUE"""),7.0)</f>
        <v>7</v>
      </c>
    </row>
    <row r="1186">
      <c r="A1186" s="2">
        <f>IFERROR(__xludf.DUMMYFUNCTION("""COMPUTED_VALUE"""),7.0)</f>
        <v>7</v>
      </c>
    </row>
    <row r="1187">
      <c r="A1187" s="2">
        <f>IFERROR(__xludf.DUMMYFUNCTION("""COMPUTED_VALUE"""),3.0)</f>
        <v>3</v>
      </c>
    </row>
    <row r="1188">
      <c r="A1188" s="2">
        <f>IFERROR(__xludf.DUMMYFUNCTION("""COMPUTED_VALUE"""),3.0)</f>
        <v>3</v>
      </c>
    </row>
    <row r="1189">
      <c r="A1189" s="2">
        <f>IFERROR(__xludf.DUMMYFUNCTION("""COMPUTED_VALUE"""),9.0)</f>
        <v>9</v>
      </c>
    </row>
    <row r="1190">
      <c r="A1190" s="2">
        <f>IFERROR(__xludf.DUMMYFUNCTION("""COMPUTED_VALUE"""),9.0)</f>
        <v>9</v>
      </c>
    </row>
    <row r="1191">
      <c r="A1191" s="2">
        <f>IFERROR(__xludf.DUMMYFUNCTION("""COMPUTED_VALUE"""),9.0)</f>
        <v>9</v>
      </c>
    </row>
    <row r="1192">
      <c r="A1192" s="2">
        <f>IFERROR(__xludf.DUMMYFUNCTION("""COMPUTED_VALUE"""),9.0)</f>
        <v>9</v>
      </c>
    </row>
    <row r="1193">
      <c r="A1193" s="2">
        <f>IFERROR(__xludf.DUMMYFUNCTION("""COMPUTED_VALUE"""),9.0)</f>
        <v>9</v>
      </c>
    </row>
    <row r="1194">
      <c r="A1194" s="2">
        <f>IFERROR(__xludf.DUMMYFUNCTION("""COMPUTED_VALUE"""),9.0)</f>
        <v>9</v>
      </c>
    </row>
    <row r="1195">
      <c r="A1195" s="2">
        <f>IFERROR(__xludf.DUMMYFUNCTION("""COMPUTED_VALUE"""),9.0)</f>
        <v>9</v>
      </c>
    </row>
    <row r="1196">
      <c r="A1196" s="2">
        <f>IFERROR(__xludf.DUMMYFUNCTION("""COMPUTED_VALUE"""),9.0)</f>
        <v>9</v>
      </c>
    </row>
    <row r="1197">
      <c r="A1197" s="2">
        <f>IFERROR(__xludf.DUMMYFUNCTION("""COMPUTED_VALUE"""),9.0)</f>
        <v>9</v>
      </c>
    </row>
    <row r="1198">
      <c r="A1198" s="2">
        <f>IFERROR(__xludf.DUMMYFUNCTION("""COMPUTED_VALUE"""),9.0)</f>
        <v>9</v>
      </c>
    </row>
    <row r="1199">
      <c r="A1199" s="2">
        <f>IFERROR(__xludf.DUMMYFUNCTION("""COMPUTED_VALUE"""),9.0)</f>
        <v>9</v>
      </c>
    </row>
    <row r="1200">
      <c r="A1200" s="2">
        <f>IFERROR(__xludf.DUMMYFUNCTION("""COMPUTED_VALUE"""),9.0)</f>
        <v>9</v>
      </c>
    </row>
    <row r="1201">
      <c r="A1201" s="2">
        <f>IFERROR(__xludf.DUMMYFUNCTION("""COMPUTED_VALUE"""),9.0)</f>
        <v>9</v>
      </c>
    </row>
    <row r="1202">
      <c r="A1202" s="2">
        <f>IFERROR(__xludf.DUMMYFUNCTION("""COMPUTED_VALUE"""),9.0)</f>
        <v>9</v>
      </c>
    </row>
    <row r="1203">
      <c r="A1203" s="2">
        <f>IFERROR(__xludf.DUMMYFUNCTION("""COMPUTED_VALUE"""),9.0)</f>
        <v>9</v>
      </c>
    </row>
    <row r="1204">
      <c r="A1204" s="2">
        <f>IFERROR(__xludf.DUMMYFUNCTION("""COMPUTED_VALUE"""),9.0)</f>
        <v>9</v>
      </c>
    </row>
    <row r="1205">
      <c r="A1205" s="2">
        <f>IFERROR(__xludf.DUMMYFUNCTION("""COMPUTED_VALUE"""),9.0)</f>
        <v>9</v>
      </c>
    </row>
    <row r="1206">
      <c r="A1206" s="2">
        <f>IFERROR(__xludf.DUMMYFUNCTION("""COMPUTED_VALUE"""),9.0)</f>
        <v>9</v>
      </c>
    </row>
    <row r="1207">
      <c r="A1207" s="2">
        <f>IFERROR(__xludf.DUMMYFUNCTION("""COMPUTED_VALUE"""),9.0)</f>
        <v>9</v>
      </c>
    </row>
    <row r="1208">
      <c r="A1208" s="2">
        <f>IFERROR(__xludf.DUMMYFUNCTION("""COMPUTED_VALUE"""),9.0)</f>
        <v>9</v>
      </c>
    </row>
    <row r="1209">
      <c r="A1209" s="2">
        <f>IFERROR(__xludf.DUMMYFUNCTION("""COMPUTED_VALUE"""),9.0)</f>
        <v>9</v>
      </c>
    </row>
    <row r="1210">
      <c r="A1210" s="2">
        <f>IFERROR(__xludf.DUMMYFUNCTION("""COMPUTED_VALUE"""),9.0)</f>
        <v>9</v>
      </c>
    </row>
    <row r="1211">
      <c r="A1211" s="2">
        <f>IFERROR(__xludf.DUMMYFUNCTION("""COMPUTED_VALUE"""),9.0)</f>
        <v>9</v>
      </c>
    </row>
    <row r="1212">
      <c r="A1212" s="2">
        <f>IFERROR(__xludf.DUMMYFUNCTION("""COMPUTED_VALUE"""),9.0)</f>
        <v>9</v>
      </c>
    </row>
    <row r="1213">
      <c r="A1213" s="2">
        <f>IFERROR(__xludf.DUMMYFUNCTION("""COMPUTED_VALUE"""),9.0)</f>
        <v>9</v>
      </c>
    </row>
    <row r="1214">
      <c r="A1214" s="2">
        <f>IFERROR(__xludf.DUMMYFUNCTION("""COMPUTED_VALUE"""),9.0)</f>
        <v>9</v>
      </c>
    </row>
    <row r="1215">
      <c r="A1215" s="2">
        <f>IFERROR(__xludf.DUMMYFUNCTION("""COMPUTED_VALUE"""),9.0)</f>
        <v>9</v>
      </c>
    </row>
    <row r="1216">
      <c r="A1216" s="2">
        <f>IFERROR(__xludf.DUMMYFUNCTION("""COMPUTED_VALUE"""),6.0)</f>
        <v>6</v>
      </c>
    </row>
    <row r="1217">
      <c r="A1217" s="2">
        <f>IFERROR(__xludf.DUMMYFUNCTION("""COMPUTED_VALUE"""),6.0)</f>
        <v>6</v>
      </c>
    </row>
    <row r="1218">
      <c r="A1218" s="2">
        <f>IFERROR(__xludf.DUMMYFUNCTION("""COMPUTED_VALUE"""),4.0)</f>
        <v>4</v>
      </c>
    </row>
    <row r="1219">
      <c r="A1219" s="2">
        <f>IFERROR(__xludf.DUMMYFUNCTION("""COMPUTED_VALUE"""),4.0)</f>
        <v>4</v>
      </c>
    </row>
    <row r="1220">
      <c r="A1220" s="2">
        <f>IFERROR(__xludf.DUMMYFUNCTION("""COMPUTED_VALUE"""),4.0)</f>
        <v>4</v>
      </c>
    </row>
    <row r="1221">
      <c r="A1221" s="2">
        <f>IFERROR(__xludf.DUMMYFUNCTION("""COMPUTED_VALUE"""),3.0)</f>
        <v>3</v>
      </c>
    </row>
    <row r="1222">
      <c r="A1222" s="2">
        <f>IFERROR(__xludf.DUMMYFUNCTION("""COMPUTED_VALUE"""),5.0)</f>
        <v>5</v>
      </c>
    </row>
    <row r="1223">
      <c r="A1223" s="2">
        <f>IFERROR(__xludf.DUMMYFUNCTION("""COMPUTED_VALUE"""),5.0)</f>
        <v>5</v>
      </c>
    </row>
    <row r="1224">
      <c r="A1224" s="2">
        <f>IFERROR(__xludf.DUMMYFUNCTION("""COMPUTED_VALUE"""),5.0)</f>
        <v>5</v>
      </c>
    </row>
    <row r="1225">
      <c r="A1225" s="2">
        <f>IFERROR(__xludf.DUMMYFUNCTION("""COMPUTED_VALUE"""),5.0)</f>
        <v>5</v>
      </c>
    </row>
    <row r="1226">
      <c r="A1226" s="2">
        <f>IFERROR(__xludf.DUMMYFUNCTION("""COMPUTED_VALUE"""),5.0)</f>
        <v>5</v>
      </c>
    </row>
    <row r="1227">
      <c r="A1227" s="2">
        <f>IFERROR(__xludf.DUMMYFUNCTION("""COMPUTED_VALUE"""),5.0)</f>
        <v>5</v>
      </c>
    </row>
    <row r="1228">
      <c r="A1228" s="2">
        <f>IFERROR(__xludf.DUMMYFUNCTION("""COMPUTED_VALUE"""),5.0)</f>
        <v>5</v>
      </c>
    </row>
    <row r="1229">
      <c r="A1229" s="2">
        <f>IFERROR(__xludf.DUMMYFUNCTION("""COMPUTED_VALUE"""),5.0)</f>
        <v>5</v>
      </c>
    </row>
    <row r="1230">
      <c r="A1230" s="2">
        <f>IFERROR(__xludf.DUMMYFUNCTION("""COMPUTED_VALUE"""),5.0)</f>
        <v>5</v>
      </c>
    </row>
    <row r="1231">
      <c r="A1231" s="2">
        <f>IFERROR(__xludf.DUMMYFUNCTION("""COMPUTED_VALUE"""),5.0)</f>
        <v>5</v>
      </c>
    </row>
    <row r="1232">
      <c r="A1232" s="2">
        <f>IFERROR(__xludf.DUMMYFUNCTION("""COMPUTED_VALUE"""),5.0)</f>
        <v>5</v>
      </c>
    </row>
    <row r="1233">
      <c r="A1233" s="2">
        <f>IFERROR(__xludf.DUMMYFUNCTION("""COMPUTED_VALUE"""),5.0)</f>
        <v>5</v>
      </c>
    </row>
    <row r="1234">
      <c r="A1234" s="2">
        <f>IFERROR(__xludf.DUMMYFUNCTION("""COMPUTED_VALUE"""),5.0)</f>
        <v>5</v>
      </c>
    </row>
    <row r="1235">
      <c r="A1235" s="2">
        <f>IFERROR(__xludf.DUMMYFUNCTION("""COMPUTED_VALUE"""),5.0)</f>
        <v>5</v>
      </c>
    </row>
    <row r="1236">
      <c r="A1236" s="2">
        <f>IFERROR(__xludf.DUMMYFUNCTION("""COMPUTED_VALUE"""),5.0)</f>
        <v>5</v>
      </c>
    </row>
    <row r="1237">
      <c r="A1237" s="2">
        <f>IFERROR(__xludf.DUMMYFUNCTION("""COMPUTED_VALUE"""),5.0)</f>
        <v>5</v>
      </c>
    </row>
    <row r="1238">
      <c r="A1238" s="2">
        <f>IFERROR(__xludf.DUMMYFUNCTION("""COMPUTED_VALUE"""),5.0)</f>
        <v>5</v>
      </c>
    </row>
    <row r="1239">
      <c r="A1239" s="2">
        <f>IFERROR(__xludf.DUMMYFUNCTION("""COMPUTED_VALUE"""),5.0)</f>
        <v>5</v>
      </c>
    </row>
    <row r="1240">
      <c r="A1240" s="2">
        <f>IFERROR(__xludf.DUMMYFUNCTION("""COMPUTED_VALUE"""),5.0)</f>
        <v>5</v>
      </c>
    </row>
    <row r="1241">
      <c r="A1241" s="2">
        <f>IFERROR(__xludf.DUMMYFUNCTION("""COMPUTED_VALUE"""),7.0)</f>
        <v>7</v>
      </c>
    </row>
    <row r="1242">
      <c r="A1242" s="2">
        <f>IFERROR(__xludf.DUMMYFUNCTION("""COMPUTED_VALUE"""),2.0)</f>
        <v>2</v>
      </c>
    </row>
    <row r="1243">
      <c r="A1243" s="2">
        <f>IFERROR(__xludf.DUMMYFUNCTION("""COMPUTED_VALUE"""),2.0)</f>
        <v>2</v>
      </c>
    </row>
    <row r="1244">
      <c r="A1244" s="2">
        <f>IFERROR(__xludf.DUMMYFUNCTION("""COMPUTED_VALUE"""),2.0)</f>
        <v>2</v>
      </c>
    </row>
    <row r="1245">
      <c r="A1245" s="2">
        <f>IFERROR(__xludf.DUMMYFUNCTION("""COMPUTED_VALUE"""),2.0)</f>
        <v>2</v>
      </c>
    </row>
    <row r="1246">
      <c r="A1246" s="2">
        <f>IFERROR(__xludf.DUMMYFUNCTION("""COMPUTED_VALUE"""),7.0)</f>
        <v>7</v>
      </c>
    </row>
    <row r="1247">
      <c r="A1247" s="2">
        <f>IFERROR(__xludf.DUMMYFUNCTION("""COMPUTED_VALUE"""),7.0)</f>
        <v>7</v>
      </c>
    </row>
    <row r="1248">
      <c r="A1248" s="2">
        <f>IFERROR(__xludf.DUMMYFUNCTION("""COMPUTED_VALUE"""),7.0)</f>
        <v>7</v>
      </c>
    </row>
    <row r="1249">
      <c r="A1249" s="2">
        <f>IFERROR(__xludf.DUMMYFUNCTION("""COMPUTED_VALUE"""),7.0)</f>
        <v>7</v>
      </c>
    </row>
    <row r="1250">
      <c r="A1250" s="2">
        <f>IFERROR(__xludf.DUMMYFUNCTION("""COMPUTED_VALUE"""),7.0)</f>
        <v>7</v>
      </c>
    </row>
    <row r="1251">
      <c r="A1251" s="2">
        <f>IFERROR(__xludf.DUMMYFUNCTION("""COMPUTED_VALUE"""),7.0)</f>
        <v>7</v>
      </c>
    </row>
    <row r="1252">
      <c r="A1252" s="2">
        <f>IFERROR(__xludf.DUMMYFUNCTION("""COMPUTED_VALUE"""),7.0)</f>
        <v>7</v>
      </c>
    </row>
    <row r="1253">
      <c r="A1253" s="2">
        <f>IFERROR(__xludf.DUMMYFUNCTION("""COMPUTED_VALUE"""),7.0)</f>
        <v>7</v>
      </c>
    </row>
    <row r="1254">
      <c r="A1254" s="2">
        <f>IFERROR(__xludf.DUMMYFUNCTION("""COMPUTED_VALUE"""),7.0)</f>
        <v>7</v>
      </c>
    </row>
    <row r="1255">
      <c r="A1255" s="2">
        <f>IFERROR(__xludf.DUMMYFUNCTION("""COMPUTED_VALUE"""),7.0)</f>
        <v>7</v>
      </c>
    </row>
    <row r="1256">
      <c r="A1256" s="2">
        <f>IFERROR(__xludf.DUMMYFUNCTION("""COMPUTED_VALUE"""),7.0)</f>
        <v>7</v>
      </c>
    </row>
    <row r="1257">
      <c r="A1257" s="2">
        <f>IFERROR(__xludf.DUMMYFUNCTION("""COMPUTED_VALUE"""),7.0)</f>
        <v>7</v>
      </c>
    </row>
    <row r="1258">
      <c r="A1258" s="2">
        <f>IFERROR(__xludf.DUMMYFUNCTION("""COMPUTED_VALUE"""),7.0)</f>
        <v>7</v>
      </c>
    </row>
    <row r="1259">
      <c r="A1259" s="2">
        <f>IFERROR(__xludf.DUMMYFUNCTION("""COMPUTED_VALUE"""),7.0)</f>
        <v>7</v>
      </c>
    </row>
    <row r="1260">
      <c r="A1260" s="2">
        <f>IFERROR(__xludf.DUMMYFUNCTION("""COMPUTED_VALUE"""),7.0)</f>
        <v>7</v>
      </c>
    </row>
    <row r="1261">
      <c r="A1261" s="2">
        <f>IFERROR(__xludf.DUMMYFUNCTION("""COMPUTED_VALUE"""),7.0)</f>
        <v>7</v>
      </c>
    </row>
    <row r="1262">
      <c r="A1262" s="2">
        <f>IFERROR(__xludf.DUMMYFUNCTION("""COMPUTED_VALUE"""),7.0)</f>
        <v>7</v>
      </c>
    </row>
    <row r="1263">
      <c r="A1263" s="2">
        <f>IFERROR(__xludf.DUMMYFUNCTION("""COMPUTED_VALUE"""),7.0)</f>
        <v>7</v>
      </c>
    </row>
    <row r="1264">
      <c r="A1264" s="2">
        <f>IFERROR(__xludf.DUMMYFUNCTION("""COMPUTED_VALUE"""),7.0)</f>
        <v>7</v>
      </c>
    </row>
    <row r="1265">
      <c r="A1265" s="2">
        <f>IFERROR(__xludf.DUMMYFUNCTION("""COMPUTED_VALUE"""),5.0)</f>
        <v>5</v>
      </c>
    </row>
    <row r="1266">
      <c r="A1266" s="2">
        <f>IFERROR(__xludf.DUMMYFUNCTION("""COMPUTED_VALUE"""),5.0)</f>
        <v>5</v>
      </c>
    </row>
    <row r="1267">
      <c r="A1267" s="2">
        <f>IFERROR(__xludf.DUMMYFUNCTION("""COMPUTED_VALUE"""),3.0)</f>
        <v>3</v>
      </c>
    </row>
    <row r="1268">
      <c r="A1268" s="2">
        <f>IFERROR(__xludf.DUMMYFUNCTION("""COMPUTED_VALUE"""),4.0)</f>
        <v>4</v>
      </c>
    </row>
    <row r="1269">
      <c r="A1269" s="2">
        <f>IFERROR(__xludf.DUMMYFUNCTION("""COMPUTED_VALUE"""),4.0)</f>
        <v>4</v>
      </c>
    </row>
    <row r="1270">
      <c r="A1270" s="2">
        <f>IFERROR(__xludf.DUMMYFUNCTION("""COMPUTED_VALUE"""),4.0)</f>
        <v>4</v>
      </c>
    </row>
    <row r="1271">
      <c r="A1271" s="2">
        <f>IFERROR(__xludf.DUMMYFUNCTION("""COMPUTED_VALUE"""),4.0)</f>
        <v>4</v>
      </c>
    </row>
    <row r="1272">
      <c r="A1272" s="2">
        <f>IFERROR(__xludf.DUMMYFUNCTION("""COMPUTED_VALUE"""),4.0)</f>
        <v>4</v>
      </c>
    </row>
    <row r="1273">
      <c r="A1273" s="2">
        <f>IFERROR(__xludf.DUMMYFUNCTION("""COMPUTED_VALUE"""),4.0)</f>
        <v>4</v>
      </c>
    </row>
    <row r="1274">
      <c r="A1274" s="2">
        <f>IFERROR(__xludf.DUMMYFUNCTION("""COMPUTED_VALUE"""),4.0)</f>
        <v>4</v>
      </c>
    </row>
    <row r="1275">
      <c r="A1275" s="2">
        <f>IFERROR(__xludf.DUMMYFUNCTION("""COMPUTED_VALUE"""),4.0)</f>
        <v>4</v>
      </c>
    </row>
    <row r="1276">
      <c r="A1276" s="2">
        <f>IFERROR(__xludf.DUMMYFUNCTION("""COMPUTED_VALUE"""),4.0)</f>
        <v>4</v>
      </c>
    </row>
    <row r="1277">
      <c r="A1277" s="2">
        <f>IFERROR(__xludf.DUMMYFUNCTION("""COMPUTED_VALUE"""),3.0)</f>
        <v>3</v>
      </c>
    </row>
    <row r="1278">
      <c r="A1278" s="2">
        <f>IFERROR(__xludf.DUMMYFUNCTION("""COMPUTED_VALUE"""),6.0)</f>
        <v>6</v>
      </c>
    </row>
    <row r="1279">
      <c r="A1279" s="2">
        <f>IFERROR(__xludf.DUMMYFUNCTION("""COMPUTED_VALUE"""),1.0)</f>
        <v>1</v>
      </c>
    </row>
    <row r="1280">
      <c r="A1280" s="2">
        <f>IFERROR(__xludf.DUMMYFUNCTION("""COMPUTED_VALUE"""),3.0)</f>
        <v>3</v>
      </c>
    </row>
    <row r="1281">
      <c r="A1281" s="2">
        <f>IFERROR(__xludf.DUMMYFUNCTION("""COMPUTED_VALUE"""),3.0)</f>
        <v>3</v>
      </c>
    </row>
    <row r="1282">
      <c r="A1282" s="2">
        <f>IFERROR(__xludf.DUMMYFUNCTION("""COMPUTED_VALUE"""),3.0)</f>
        <v>3</v>
      </c>
    </row>
    <row r="1283">
      <c r="A1283" s="2">
        <f>IFERROR(__xludf.DUMMYFUNCTION("""COMPUTED_VALUE"""),3.0)</f>
        <v>3</v>
      </c>
    </row>
    <row r="1284">
      <c r="A1284" s="2">
        <f>IFERROR(__xludf.DUMMYFUNCTION("""COMPUTED_VALUE"""),3.0)</f>
        <v>3</v>
      </c>
    </row>
    <row r="1285">
      <c r="A1285" s="2">
        <f>IFERROR(__xludf.DUMMYFUNCTION("""COMPUTED_VALUE"""),3.0)</f>
        <v>3</v>
      </c>
    </row>
    <row r="1286">
      <c r="A1286" s="2">
        <f>IFERROR(__xludf.DUMMYFUNCTION("""COMPUTED_VALUE"""),3.0)</f>
        <v>3</v>
      </c>
    </row>
    <row r="1287">
      <c r="A1287" s="2">
        <f>IFERROR(__xludf.DUMMYFUNCTION("""COMPUTED_VALUE"""),3.0)</f>
        <v>3</v>
      </c>
    </row>
    <row r="1288">
      <c r="A1288" s="2">
        <f>IFERROR(__xludf.DUMMYFUNCTION("""COMPUTED_VALUE"""),7.0)</f>
        <v>7</v>
      </c>
    </row>
    <row r="1289">
      <c r="A1289" s="2">
        <f>IFERROR(__xludf.DUMMYFUNCTION("""COMPUTED_VALUE"""),7.0)</f>
        <v>7</v>
      </c>
    </row>
    <row r="1290">
      <c r="A1290" s="2">
        <f>IFERROR(__xludf.DUMMYFUNCTION("""COMPUTED_VALUE"""),7.0)</f>
        <v>7</v>
      </c>
    </row>
    <row r="1291">
      <c r="A1291" s="2">
        <f>IFERROR(__xludf.DUMMYFUNCTION("""COMPUTED_VALUE"""),7.0)</f>
        <v>7</v>
      </c>
    </row>
    <row r="1292">
      <c r="A1292" s="2">
        <f>IFERROR(__xludf.DUMMYFUNCTION("""COMPUTED_VALUE"""),7.0)</f>
        <v>7</v>
      </c>
    </row>
    <row r="1293">
      <c r="A1293" s="2">
        <f>IFERROR(__xludf.DUMMYFUNCTION("""COMPUTED_VALUE"""),4.0)</f>
        <v>4</v>
      </c>
    </row>
    <row r="1294">
      <c r="A1294" s="2">
        <f>IFERROR(__xludf.DUMMYFUNCTION("""COMPUTED_VALUE"""),4.0)</f>
        <v>4</v>
      </c>
    </row>
    <row r="1295">
      <c r="A1295" s="2">
        <f>IFERROR(__xludf.DUMMYFUNCTION("""COMPUTED_VALUE"""),9.0)</f>
        <v>9</v>
      </c>
    </row>
    <row r="1296">
      <c r="A1296" s="2">
        <f>IFERROR(__xludf.DUMMYFUNCTION("""COMPUTED_VALUE"""),6.0)</f>
        <v>6</v>
      </c>
    </row>
    <row r="1297">
      <c r="A1297" s="2">
        <f>IFERROR(__xludf.DUMMYFUNCTION("""COMPUTED_VALUE"""),2.0)</f>
        <v>2</v>
      </c>
    </row>
    <row r="1298">
      <c r="A1298" s="2">
        <f>IFERROR(__xludf.DUMMYFUNCTION("""COMPUTED_VALUE"""),7.0)</f>
        <v>7</v>
      </c>
    </row>
    <row r="1299">
      <c r="A1299" s="2">
        <f>IFERROR(__xludf.DUMMYFUNCTION("""COMPUTED_VALUE"""),7.0)</f>
        <v>7</v>
      </c>
    </row>
    <row r="1300">
      <c r="A1300" s="2">
        <f>IFERROR(__xludf.DUMMYFUNCTION("""COMPUTED_VALUE"""),2.0)</f>
        <v>2</v>
      </c>
    </row>
    <row r="1301">
      <c r="A1301" s="2">
        <f>IFERROR(__xludf.DUMMYFUNCTION("""COMPUTED_VALUE"""),9.0)</f>
        <v>9</v>
      </c>
    </row>
    <row r="1302">
      <c r="A1302" s="2">
        <f>IFERROR(__xludf.DUMMYFUNCTION("""COMPUTED_VALUE"""),9.0)</f>
        <v>9</v>
      </c>
    </row>
    <row r="1303">
      <c r="A1303" s="2">
        <f>IFERROR(__xludf.DUMMYFUNCTION("""COMPUTED_VALUE"""),8.0)</f>
        <v>8</v>
      </c>
    </row>
    <row r="1304">
      <c r="A1304" s="2">
        <f>IFERROR(__xludf.DUMMYFUNCTION("""COMPUTED_VALUE"""),5.0)</f>
        <v>5</v>
      </c>
    </row>
    <row r="1305">
      <c r="A1305" s="2">
        <f>IFERROR(__xludf.DUMMYFUNCTION("""COMPUTED_VALUE"""),6.0)</f>
        <v>6</v>
      </c>
    </row>
    <row r="1306">
      <c r="A1306" s="2">
        <f>IFERROR(__xludf.DUMMYFUNCTION("""COMPUTED_VALUE"""),4.0)</f>
        <v>4</v>
      </c>
    </row>
    <row r="1307">
      <c r="A1307" s="2">
        <f>IFERROR(__xludf.DUMMYFUNCTION("""COMPUTED_VALUE"""),1.0)</f>
        <v>1</v>
      </c>
    </row>
    <row r="1308">
      <c r="A1308" s="2">
        <f>IFERROR(__xludf.DUMMYFUNCTION("""COMPUTED_VALUE"""),1.0)</f>
        <v>1</v>
      </c>
    </row>
    <row r="1309">
      <c r="A1309" s="2">
        <f>IFERROR(__xludf.DUMMYFUNCTION("""COMPUTED_VALUE"""),1.0)</f>
        <v>1</v>
      </c>
    </row>
    <row r="1310">
      <c r="A1310" s="2">
        <f>IFERROR(__xludf.DUMMYFUNCTION("""COMPUTED_VALUE"""),1.0)</f>
        <v>1</v>
      </c>
    </row>
    <row r="1311">
      <c r="A1311" s="2">
        <f>IFERROR(__xludf.DUMMYFUNCTION("""COMPUTED_VALUE"""),1.0)</f>
        <v>1</v>
      </c>
    </row>
    <row r="1312">
      <c r="A1312" s="2">
        <f>IFERROR(__xludf.DUMMYFUNCTION("""COMPUTED_VALUE"""),1.0)</f>
        <v>1</v>
      </c>
    </row>
    <row r="1313">
      <c r="A1313" s="2">
        <f>IFERROR(__xludf.DUMMYFUNCTION("""COMPUTED_VALUE"""),1.0)</f>
        <v>1</v>
      </c>
    </row>
    <row r="1314">
      <c r="A1314" s="2">
        <f>IFERROR(__xludf.DUMMYFUNCTION("""COMPUTED_VALUE"""),1.0)</f>
        <v>1</v>
      </c>
    </row>
    <row r="1315">
      <c r="A1315" s="2">
        <f>IFERROR(__xludf.DUMMYFUNCTION("""COMPUTED_VALUE"""),1.0)</f>
        <v>1</v>
      </c>
    </row>
    <row r="1316">
      <c r="A1316" s="2">
        <f>IFERROR(__xludf.DUMMYFUNCTION("""COMPUTED_VALUE"""),1.0)</f>
        <v>1</v>
      </c>
    </row>
    <row r="1317">
      <c r="A1317" s="2">
        <f>IFERROR(__xludf.DUMMYFUNCTION("""COMPUTED_VALUE"""),1.0)</f>
        <v>1</v>
      </c>
    </row>
    <row r="1318">
      <c r="A1318" s="2">
        <f>IFERROR(__xludf.DUMMYFUNCTION("""COMPUTED_VALUE"""),1.0)</f>
        <v>1</v>
      </c>
    </row>
    <row r="1319">
      <c r="A1319" s="2">
        <f>IFERROR(__xludf.DUMMYFUNCTION("""COMPUTED_VALUE"""),1.0)</f>
        <v>1</v>
      </c>
    </row>
    <row r="1320">
      <c r="A1320" s="2">
        <f>IFERROR(__xludf.DUMMYFUNCTION("""COMPUTED_VALUE"""),1.0)</f>
        <v>1</v>
      </c>
    </row>
    <row r="1321">
      <c r="A1321" s="2">
        <f>IFERROR(__xludf.DUMMYFUNCTION("""COMPUTED_VALUE"""),1.0)</f>
        <v>1</v>
      </c>
    </row>
    <row r="1322">
      <c r="A1322" s="2">
        <f>IFERROR(__xludf.DUMMYFUNCTION("""COMPUTED_VALUE"""),1.0)</f>
        <v>1</v>
      </c>
    </row>
    <row r="1323">
      <c r="A1323" s="2">
        <f>IFERROR(__xludf.DUMMYFUNCTION("""COMPUTED_VALUE"""),1.0)</f>
        <v>1</v>
      </c>
    </row>
    <row r="1324">
      <c r="A1324" s="2">
        <f>IFERROR(__xludf.DUMMYFUNCTION("""COMPUTED_VALUE"""),1.0)</f>
        <v>1</v>
      </c>
    </row>
    <row r="1325">
      <c r="A1325" s="2">
        <f>IFERROR(__xludf.DUMMYFUNCTION("""COMPUTED_VALUE"""),1.0)</f>
        <v>1</v>
      </c>
    </row>
    <row r="1326">
      <c r="A1326" s="2">
        <f>IFERROR(__xludf.DUMMYFUNCTION("""COMPUTED_VALUE"""),1.0)</f>
        <v>1</v>
      </c>
    </row>
    <row r="1327">
      <c r="A1327" s="2">
        <f>IFERROR(__xludf.DUMMYFUNCTION("""COMPUTED_VALUE"""),1.0)</f>
        <v>1</v>
      </c>
    </row>
    <row r="1328">
      <c r="A1328" s="2">
        <f>IFERROR(__xludf.DUMMYFUNCTION("""COMPUTED_VALUE"""),1.0)</f>
        <v>1</v>
      </c>
    </row>
    <row r="1329">
      <c r="A1329" s="2">
        <f>IFERROR(__xludf.DUMMYFUNCTION("""COMPUTED_VALUE"""),1.0)</f>
        <v>1</v>
      </c>
    </row>
    <row r="1330">
      <c r="A1330" s="2">
        <f>IFERROR(__xludf.DUMMYFUNCTION("""COMPUTED_VALUE"""),1.0)</f>
        <v>1</v>
      </c>
    </row>
    <row r="1331">
      <c r="A1331" s="2">
        <f>IFERROR(__xludf.DUMMYFUNCTION("""COMPUTED_VALUE"""),1.0)</f>
        <v>1</v>
      </c>
    </row>
    <row r="1332">
      <c r="A1332" s="2">
        <f>IFERROR(__xludf.DUMMYFUNCTION("""COMPUTED_VALUE"""),2.0)</f>
        <v>2</v>
      </c>
    </row>
    <row r="1333">
      <c r="A1333" s="2">
        <f>IFERROR(__xludf.DUMMYFUNCTION("""COMPUTED_VALUE"""),6.0)</f>
        <v>6</v>
      </c>
    </row>
    <row r="1334">
      <c r="A1334" s="2">
        <f>IFERROR(__xludf.DUMMYFUNCTION("""COMPUTED_VALUE"""),6.0)</f>
        <v>6</v>
      </c>
    </row>
    <row r="1335">
      <c r="A1335" s="2">
        <f>IFERROR(__xludf.DUMMYFUNCTION("""COMPUTED_VALUE"""),9.0)</f>
        <v>9</v>
      </c>
    </row>
    <row r="1336">
      <c r="A1336" s="2">
        <f>IFERROR(__xludf.DUMMYFUNCTION("""COMPUTED_VALUE"""),9.0)</f>
        <v>9</v>
      </c>
    </row>
    <row r="1337">
      <c r="A1337" s="2">
        <f>IFERROR(__xludf.DUMMYFUNCTION("""COMPUTED_VALUE"""),9.0)</f>
        <v>9</v>
      </c>
    </row>
    <row r="1338">
      <c r="A1338" s="2">
        <f>IFERROR(__xludf.DUMMYFUNCTION("""COMPUTED_VALUE"""),8.0)</f>
        <v>8</v>
      </c>
    </row>
    <row r="1339">
      <c r="A1339" s="2">
        <f>IFERROR(__xludf.DUMMYFUNCTION("""COMPUTED_VALUE"""),8.0)</f>
        <v>8</v>
      </c>
    </row>
    <row r="1340">
      <c r="A1340" s="2">
        <f>IFERROR(__xludf.DUMMYFUNCTION("""COMPUTED_VALUE"""),8.0)</f>
        <v>8</v>
      </c>
    </row>
    <row r="1341">
      <c r="A1341" s="2">
        <f>IFERROR(__xludf.DUMMYFUNCTION("""COMPUTED_VALUE"""),8.0)</f>
        <v>8</v>
      </c>
    </row>
    <row r="1342">
      <c r="A1342" s="2">
        <f>IFERROR(__xludf.DUMMYFUNCTION("""COMPUTED_VALUE"""),8.0)</f>
        <v>8</v>
      </c>
    </row>
    <row r="1343">
      <c r="A1343" s="2">
        <f>IFERROR(__xludf.DUMMYFUNCTION("""COMPUTED_VALUE"""),8.0)</f>
        <v>8</v>
      </c>
    </row>
    <row r="1344">
      <c r="A1344" s="2">
        <f>IFERROR(__xludf.DUMMYFUNCTION("""COMPUTED_VALUE"""),3.0)</f>
        <v>3</v>
      </c>
    </row>
    <row r="1345">
      <c r="A1345" s="2">
        <f>IFERROR(__xludf.DUMMYFUNCTION("""COMPUTED_VALUE"""),9.0)</f>
        <v>9</v>
      </c>
    </row>
    <row r="1346">
      <c r="A1346" s="2">
        <f>IFERROR(__xludf.DUMMYFUNCTION("""COMPUTED_VALUE"""),6.0)</f>
        <v>6</v>
      </c>
    </row>
    <row r="1347">
      <c r="A1347" s="2">
        <f>IFERROR(__xludf.DUMMYFUNCTION("""COMPUTED_VALUE"""),6.0)</f>
        <v>6</v>
      </c>
    </row>
    <row r="1348">
      <c r="A1348" s="2">
        <f>IFERROR(__xludf.DUMMYFUNCTION("""COMPUTED_VALUE"""),6.0)</f>
        <v>6</v>
      </c>
    </row>
    <row r="1349">
      <c r="A1349" s="2">
        <f>IFERROR(__xludf.DUMMYFUNCTION("""COMPUTED_VALUE"""),6.0)</f>
        <v>6</v>
      </c>
    </row>
    <row r="1350">
      <c r="A1350" s="2">
        <f>IFERROR(__xludf.DUMMYFUNCTION("""COMPUTED_VALUE"""),6.0)</f>
        <v>6</v>
      </c>
    </row>
    <row r="1351">
      <c r="A1351" s="2">
        <f>IFERROR(__xludf.DUMMYFUNCTION("""COMPUTED_VALUE"""),6.0)</f>
        <v>6</v>
      </c>
    </row>
    <row r="1352">
      <c r="A1352" s="2">
        <f>IFERROR(__xludf.DUMMYFUNCTION("""COMPUTED_VALUE"""),6.0)</f>
        <v>6</v>
      </c>
    </row>
    <row r="1353">
      <c r="A1353" s="2">
        <f>IFERROR(__xludf.DUMMYFUNCTION("""COMPUTED_VALUE"""),6.0)</f>
        <v>6</v>
      </c>
    </row>
    <row r="1354">
      <c r="A1354" s="2">
        <f>IFERROR(__xludf.DUMMYFUNCTION("""COMPUTED_VALUE"""),6.0)</f>
        <v>6</v>
      </c>
    </row>
    <row r="1355">
      <c r="A1355" s="2">
        <f>IFERROR(__xludf.DUMMYFUNCTION("""COMPUTED_VALUE"""),6.0)</f>
        <v>6</v>
      </c>
    </row>
    <row r="1356">
      <c r="A1356" s="2">
        <f>IFERROR(__xludf.DUMMYFUNCTION("""COMPUTED_VALUE"""),6.0)</f>
        <v>6</v>
      </c>
    </row>
    <row r="1357">
      <c r="A1357" s="2">
        <f>IFERROR(__xludf.DUMMYFUNCTION("""COMPUTED_VALUE"""),6.0)</f>
        <v>6</v>
      </c>
    </row>
    <row r="1358">
      <c r="A1358" s="2">
        <f>IFERROR(__xludf.DUMMYFUNCTION("""COMPUTED_VALUE"""),6.0)</f>
        <v>6</v>
      </c>
    </row>
    <row r="1359">
      <c r="A1359" s="2">
        <f>IFERROR(__xludf.DUMMYFUNCTION("""COMPUTED_VALUE"""),6.0)</f>
        <v>6</v>
      </c>
    </row>
    <row r="1360">
      <c r="A1360" s="2">
        <f>IFERROR(__xludf.DUMMYFUNCTION("""COMPUTED_VALUE"""),6.0)</f>
        <v>6</v>
      </c>
    </row>
    <row r="1361">
      <c r="A1361" s="2">
        <f>IFERROR(__xludf.DUMMYFUNCTION("""COMPUTED_VALUE"""),6.0)</f>
        <v>6</v>
      </c>
    </row>
    <row r="1362">
      <c r="A1362" s="2">
        <f>IFERROR(__xludf.DUMMYFUNCTION("""COMPUTED_VALUE"""),6.0)</f>
        <v>6</v>
      </c>
    </row>
    <row r="1363">
      <c r="A1363" s="2">
        <f>IFERROR(__xludf.DUMMYFUNCTION("""COMPUTED_VALUE"""),8.0)</f>
        <v>8</v>
      </c>
    </row>
    <row r="1364">
      <c r="A1364" s="2">
        <f>IFERROR(__xludf.DUMMYFUNCTION("""COMPUTED_VALUE"""),4.0)</f>
        <v>4</v>
      </c>
    </row>
    <row r="1365">
      <c r="A1365" s="2">
        <f>IFERROR(__xludf.DUMMYFUNCTION("""COMPUTED_VALUE"""),4.0)</f>
        <v>4</v>
      </c>
    </row>
    <row r="1366">
      <c r="A1366" s="2">
        <f>IFERROR(__xludf.DUMMYFUNCTION("""COMPUTED_VALUE"""),4.0)</f>
        <v>4</v>
      </c>
    </row>
    <row r="1367">
      <c r="A1367" s="2">
        <f>IFERROR(__xludf.DUMMYFUNCTION("""COMPUTED_VALUE"""),4.0)</f>
        <v>4</v>
      </c>
    </row>
    <row r="1368">
      <c r="A1368" s="2">
        <f>IFERROR(__xludf.DUMMYFUNCTION("""COMPUTED_VALUE"""),4.0)</f>
        <v>4</v>
      </c>
    </row>
    <row r="1369">
      <c r="A1369" s="2">
        <f>IFERROR(__xludf.DUMMYFUNCTION("""COMPUTED_VALUE"""),4.0)</f>
        <v>4</v>
      </c>
    </row>
    <row r="1370">
      <c r="A1370" s="2">
        <f>IFERROR(__xludf.DUMMYFUNCTION("""COMPUTED_VALUE"""),4.0)</f>
        <v>4</v>
      </c>
    </row>
    <row r="1371">
      <c r="A1371" s="2">
        <f>IFERROR(__xludf.DUMMYFUNCTION("""COMPUTED_VALUE"""),8.0)</f>
        <v>8</v>
      </c>
    </row>
    <row r="1372">
      <c r="A1372" s="2">
        <f>IFERROR(__xludf.DUMMYFUNCTION("""COMPUTED_VALUE"""),5.0)</f>
        <v>5</v>
      </c>
    </row>
    <row r="1373">
      <c r="A1373" s="2">
        <f>IFERROR(__xludf.DUMMYFUNCTION("""COMPUTED_VALUE"""),2.0)</f>
        <v>2</v>
      </c>
    </row>
    <row r="1374">
      <c r="A1374" s="2">
        <f>IFERROR(__xludf.DUMMYFUNCTION("""COMPUTED_VALUE"""),2.0)</f>
        <v>2</v>
      </c>
    </row>
    <row r="1375">
      <c r="A1375" s="2">
        <f>IFERROR(__xludf.DUMMYFUNCTION("""COMPUTED_VALUE"""),7.0)</f>
        <v>7</v>
      </c>
    </row>
    <row r="1376">
      <c r="A1376" s="2">
        <f>IFERROR(__xludf.DUMMYFUNCTION("""COMPUTED_VALUE"""),7.0)</f>
        <v>7</v>
      </c>
    </row>
    <row r="1377">
      <c r="A1377" s="2">
        <f>IFERROR(__xludf.DUMMYFUNCTION("""COMPUTED_VALUE"""),7.0)</f>
        <v>7</v>
      </c>
    </row>
    <row r="1378">
      <c r="A1378" s="2">
        <f>IFERROR(__xludf.DUMMYFUNCTION("""COMPUTED_VALUE"""),7.0)</f>
        <v>7</v>
      </c>
    </row>
    <row r="1379">
      <c r="A1379" s="2">
        <f>IFERROR(__xludf.DUMMYFUNCTION("""COMPUTED_VALUE"""),7.0)</f>
        <v>7</v>
      </c>
    </row>
    <row r="1380">
      <c r="A1380" s="2">
        <f>IFERROR(__xludf.DUMMYFUNCTION("""COMPUTED_VALUE"""),7.0)</f>
        <v>7</v>
      </c>
    </row>
    <row r="1381">
      <c r="A1381" s="2">
        <f>IFERROR(__xludf.DUMMYFUNCTION("""COMPUTED_VALUE"""),7.0)</f>
        <v>7</v>
      </c>
    </row>
    <row r="1382">
      <c r="A1382" s="2">
        <f>IFERROR(__xludf.DUMMYFUNCTION("""COMPUTED_VALUE"""),7.0)</f>
        <v>7</v>
      </c>
    </row>
    <row r="1383">
      <c r="A1383" s="2">
        <f>IFERROR(__xludf.DUMMYFUNCTION("""COMPUTED_VALUE"""),7.0)</f>
        <v>7</v>
      </c>
    </row>
    <row r="1384">
      <c r="A1384" s="2">
        <f>IFERROR(__xludf.DUMMYFUNCTION("""COMPUTED_VALUE"""),4.0)</f>
        <v>4</v>
      </c>
    </row>
    <row r="1385">
      <c r="A1385" s="2">
        <f>IFERROR(__xludf.DUMMYFUNCTION("""COMPUTED_VALUE"""),5.0)</f>
        <v>5</v>
      </c>
    </row>
    <row r="1386">
      <c r="A1386" s="2">
        <f>IFERROR(__xludf.DUMMYFUNCTION("""COMPUTED_VALUE"""),5.0)</f>
        <v>5</v>
      </c>
    </row>
    <row r="1387">
      <c r="A1387" s="2">
        <f>IFERROR(__xludf.DUMMYFUNCTION("""COMPUTED_VALUE"""),5.0)</f>
        <v>5</v>
      </c>
    </row>
    <row r="1388">
      <c r="A1388" s="2">
        <f>IFERROR(__xludf.DUMMYFUNCTION("""COMPUTED_VALUE"""),5.0)</f>
        <v>5</v>
      </c>
    </row>
    <row r="1389">
      <c r="A1389" s="2">
        <f>IFERROR(__xludf.DUMMYFUNCTION("""COMPUTED_VALUE"""),5.0)</f>
        <v>5</v>
      </c>
    </row>
    <row r="1390">
      <c r="A1390" s="2">
        <f>IFERROR(__xludf.DUMMYFUNCTION("""COMPUTED_VALUE"""),5.0)</f>
        <v>5</v>
      </c>
    </row>
    <row r="1391">
      <c r="A1391" s="2">
        <f>IFERROR(__xludf.DUMMYFUNCTION("""COMPUTED_VALUE"""),5.0)</f>
        <v>5</v>
      </c>
    </row>
    <row r="1392">
      <c r="A1392" s="2">
        <f>IFERROR(__xludf.DUMMYFUNCTION("""COMPUTED_VALUE"""),5.0)</f>
        <v>5</v>
      </c>
    </row>
    <row r="1393">
      <c r="A1393" s="2">
        <f>IFERROR(__xludf.DUMMYFUNCTION("""COMPUTED_VALUE"""),5.0)</f>
        <v>5</v>
      </c>
    </row>
    <row r="1394">
      <c r="A1394" s="2">
        <f>IFERROR(__xludf.DUMMYFUNCTION("""COMPUTED_VALUE"""),3.0)</f>
        <v>3</v>
      </c>
    </row>
    <row r="1395">
      <c r="A1395" s="2">
        <f>IFERROR(__xludf.DUMMYFUNCTION("""COMPUTED_VALUE"""),3.0)</f>
        <v>3</v>
      </c>
    </row>
    <row r="1396">
      <c r="A1396" s="2">
        <f>IFERROR(__xludf.DUMMYFUNCTION("""COMPUTED_VALUE"""),3.0)</f>
        <v>3</v>
      </c>
    </row>
    <row r="1397">
      <c r="A1397" s="2">
        <f>IFERROR(__xludf.DUMMYFUNCTION("""COMPUTED_VALUE"""),3.0)</f>
        <v>3</v>
      </c>
    </row>
    <row r="1398">
      <c r="A1398" s="2">
        <f>IFERROR(__xludf.DUMMYFUNCTION("""COMPUTED_VALUE"""),3.0)</f>
        <v>3</v>
      </c>
    </row>
    <row r="1399">
      <c r="A1399" s="2">
        <f>IFERROR(__xludf.DUMMYFUNCTION("""COMPUTED_VALUE"""),3.0)</f>
        <v>3</v>
      </c>
    </row>
    <row r="1400">
      <c r="A1400" s="2">
        <f>IFERROR(__xludf.DUMMYFUNCTION("""COMPUTED_VALUE"""),3.0)</f>
        <v>3</v>
      </c>
    </row>
    <row r="1401">
      <c r="A1401" s="2">
        <f>IFERROR(__xludf.DUMMYFUNCTION("""COMPUTED_VALUE"""),3.0)</f>
        <v>3</v>
      </c>
    </row>
    <row r="1402">
      <c r="A1402" s="2">
        <f>IFERROR(__xludf.DUMMYFUNCTION("""COMPUTED_VALUE"""),3.0)</f>
        <v>3</v>
      </c>
    </row>
    <row r="1403">
      <c r="A1403" s="2">
        <f>IFERROR(__xludf.DUMMYFUNCTION("""COMPUTED_VALUE"""),3.0)</f>
        <v>3</v>
      </c>
    </row>
    <row r="1404">
      <c r="A1404" s="2">
        <f>IFERROR(__xludf.DUMMYFUNCTION("""COMPUTED_VALUE"""),3.0)</f>
        <v>3</v>
      </c>
    </row>
    <row r="1405">
      <c r="A1405" s="2">
        <f>IFERROR(__xludf.DUMMYFUNCTION("""COMPUTED_VALUE"""),3.0)</f>
        <v>3</v>
      </c>
    </row>
    <row r="1406">
      <c r="A1406" s="2">
        <f>IFERROR(__xludf.DUMMYFUNCTION("""COMPUTED_VALUE"""),3.0)</f>
        <v>3</v>
      </c>
    </row>
    <row r="1407">
      <c r="A1407" s="2">
        <f>IFERROR(__xludf.DUMMYFUNCTION("""COMPUTED_VALUE"""),3.0)</f>
        <v>3</v>
      </c>
    </row>
    <row r="1408">
      <c r="A1408" s="2">
        <f>IFERROR(__xludf.DUMMYFUNCTION("""COMPUTED_VALUE"""),3.0)</f>
        <v>3</v>
      </c>
    </row>
    <row r="1409">
      <c r="A1409" s="2">
        <f>IFERROR(__xludf.DUMMYFUNCTION("""COMPUTED_VALUE"""),3.0)</f>
        <v>3</v>
      </c>
    </row>
    <row r="1410">
      <c r="A1410" s="2">
        <f>IFERROR(__xludf.DUMMYFUNCTION("""COMPUTED_VALUE"""),3.0)</f>
        <v>3</v>
      </c>
    </row>
    <row r="1411">
      <c r="A1411" s="2">
        <f>IFERROR(__xludf.DUMMYFUNCTION("""COMPUTED_VALUE"""),3.0)</f>
        <v>3</v>
      </c>
    </row>
    <row r="1412">
      <c r="A1412" s="2">
        <f>IFERROR(__xludf.DUMMYFUNCTION("""COMPUTED_VALUE"""),3.0)</f>
        <v>3</v>
      </c>
    </row>
    <row r="1413">
      <c r="A1413" s="2">
        <f>IFERROR(__xludf.DUMMYFUNCTION("""COMPUTED_VALUE"""),5.0)</f>
        <v>5</v>
      </c>
    </row>
    <row r="1414">
      <c r="A1414" s="2">
        <f>IFERROR(__xludf.DUMMYFUNCTION("""COMPUTED_VALUE"""),5.0)</f>
        <v>5</v>
      </c>
    </row>
    <row r="1415">
      <c r="A1415" s="2">
        <f>IFERROR(__xludf.DUMMYFUNCTION("""COMPUTED_VALUE"""),5.0)</f>
        <v>5</v>
      </c>
    </row>
    <row r="1416">
      <c r="A1416" s="2">
        <f>IFERROR(__xludf.DUMMYFUNCTION("""COMPUTED_VALUE"""),5.0)</f>
        <v>5</v>
      </c>
    </row>
    <row r="1417">
      <c r="A1417" s="2">
        <f>IFERROR(__xludf.DUMMYFUNCTION("""COMPUTED_VALUE"""),5.0)</f>
        <v>5</v>
      </c>
    </row>
    <row r="1418">
      <c r="A1418" s="2">
        <f>IFERROR(__xludf.DUMMYFUNCTION("""COMPUTED_VALUE"""),5.0)</f>
        <v>5</v>
      </c>
    </row>
    <row r="1419">
      <c r="A1419" s="2">
        <f>IFERROR(__xludf.DUMMYFUNCTION("""COMPUTED_VALUE"""),5.0)</f>
        <v>5</v>
      </c>
    </row>
    <row r="1420">
      <c r="A1420" s="2">
        <f>IFERROR(__xludf.DUMMYFUNCTION("""COMPUTED_VALUE"""),5.0)</f>
        <v>5</v>
      </c>
    </row>
    <row r="1421">
      <c r="A1421" s="2">
        <f>IFERROR(__xludf.DUMMYFUNCTION("""COMPUTED_VALUE"""),5.0)</f>
        <v>5</v>
      </c>
    </row>
    <row r="1422">
      <c r="A1422" s="2">
        <f>IFERROR(__xludf.DUMMYFUNCTION("""COMPUTED_VALUE"""),2.0)</f>
        <v>2</v>
      </c>
    </row>
    <row r="1423">
      <c r="A1423" s="2">
        <f>IFERROR(__xludf.DUMMYFUNCTION("""COMPUTED_VALUE"""),2.0)</f>
        <v>2</v>
      </c>
    </row>
    <row r="1424">
      <c r="A1424" s="2">
        <f>IFERROR(__xludf.DUMMYFUNCTION("""COMPUTED_VALUE"""),2.0)</f>
        <v>2</v>
      </c>
    </row>
    <row r="1425">
      <c r="A1425" s="2">
        <f>IFERROR(__xludf.DUMMYFUNCTION("""COMPUTED_VALUE"""),2.0)</f>
        <v>2</v>
      </c>
    </row>
    <row r="1426">
      <c r="A1426" s="2">
        <f>IFERROR(__xludf.DUMMYFUNCTION("""COMPUTED_VALUE"""),2.0)</f>
        <v>2</v>
      </c>
    </row>
    <row r="1427">
      <c r="A1427" s="2">
        <f>IFERROR(__xludf.DUMMYFUNCTION("""COMPUTED_VALUE"""),2.0)</f>
        <v>2</v>
      </c>
    </row>
    <row r="1428">
      <c r="A1428" s="2">
        <f>IFERROR(__xludf.DUMMYFUNCTION("""COMPUTED_VALUE"""),7.0)</f>
        <v>7</v>
      </c>
    </row>
    <row r="1429">
      <c r="A1429" s="2">
        <f>IFERROR(__xludf.DUMMYFUNCTION("""COMPUTED_VALUE"""),7.0)</f>
        <v>7</v>
      </c>
    </row>
    <row r="1430">
      <c r="A1430" s="2">
        <f>IFERROR(__xludf.DUMMYFUNCTION("""COMPUTED_VALUE"""),4.0)</f>
        <v>4</v>
      </c>
    </row>
    <row r="1431">
      <c r="A1431" s="2">
        <f>IFERROR(__xludf.DUMMYFUNCTION("""COMPUTED_VALUE"""),4.0)</f>
        <v>4</v>
      </c>
    </row>
    <row r="1432">
      <c r="A1432" s="2">
        <f>IFERROR(__xludf.DUMMYFUNCTION("""COMPUTED_VALUE"""),4.0)</f>
        <v>4</v>
      </c>
    </row>
    <row r="1433">
      <c r="A1433" s="2">
        <f>IFERROR(__xludf.DUMMYFUNCTION("""COMPUTED_VALUE"""),4.0)</f>
        <v>4</v>
      </c>
    </row>
    <row r="1434">
      <c r="A1434" s="2">
        <f>IFERROR(__xludf.DUMMYFUNCTION("""COMPUTED_VALUE"""),4.0)</f>
        <v>4</v>
      </c>
    </row>
    <row r="1435">
      <c r="A1435" s="2">
        <f>IFERROR(__xludf.DUMMYFUNCTION("""COMPUTED_VALUE"""),4.0)</f>
        <v>4</v>
      </c>
    </row>
    <row r="1436">
      <c r="A1436" s="2">
        <f>IFERROR(__xludf.DUMMYFUNCTION("""COMPUTED_VALUE"""),4.0)</f>
        <v>4</v>
      </c>
    </row>
    <row r="1437">
      <c r="A1437" s="2">
        <f>IFERROR(__xludf.DUMMYFUNCTION("""COMPUTED_VALUE"""),6.0)</f>
        <v>6</v>
      </c>
    </row>
    <row r="1438">
      <c r="A1438" s="2">
        <f>IFERROR(__xludf.DUMMYFUNCTION("""COMPUTED_VALUE"""),6.0)</f>
        <v>6</v>
      </c>
    </row>
    <row r="1439">
      <c r="A1439" s="2">
        <f>IFERROR(__xludf.DUMMYFUNCTION("""COMPUTED_VALUE"""),6.0)</f>
        <v>6</v>
      </c>
    </row>
    <row r="1440">
      <c r="A1440" s="2">
        <f>IFERROR(__xludf.DUMMYFUNCTION("""COMPUTED_VALUE"""),6.0)</f>
        <v>6</v>
      </c>
    </row>
    <row r="1441">
      <c r="A1441" s="2">
        <f>IFERROR(__xludf.DUMMYFUNCTION("""COMPUTED_VALUE"""),6.0)</f>
        <v>6</v>
      </c>
    </row>
    <row r="1442">
      <c r="A1442" s="2">
        <f>IFERROR(__xludf.DUMMYFUNCTION("""COMPUTED_VALUE"""),6.0)</f>
        <v>6</v>
      </c>
    </row>
    <row r="1443">
      <c r="A1443" s="2">
        <f>IFERROR(__xludf.DUMMYFUNCTION("""COMPUTED_VALUE"""),6.0)</f>
        <v>6</v>
      </c>
    </row>
    <row r="1444">
      <c r="A1444" s="2">
        <f>IFERROR(__xludf.DUMMYFUNCTION("""COMPUTED_VALUE"""),3.0)</f>
        <v>3</v>
      </c>
    </row>
    <row r="1445">
      <c r="A1445" s="2">
        <f>IFERROR(__xludf.DUMMYFUNCTION("""COMPUTED_VALUE"""),3.0)</f>
        <v>3</v>
      </c>
    </row>
    <row r="1446">
      <c r="A1446" s="2">
        <f>IFERROR(__xludf.DUMMYFUNCTION("""COMPUTED_VALUE"""),3.0)</f>
        <v>3</v>
      </c>
    </row>
    <row r="1447">
      <c r="A1447" s="2">
        <f>IFERROR(__xludf.DUMMYFUNCTION("""COMPUTED_VALUE"""),3.0)</f>
        <v>3</v>
      </c>
    </row>
    <row r="1448">
      <c r="A1448" s="2">
        <f>IFERROR(__xludf.DUMMYFUNCTION("""COMPUTED_VALUE"""),3.0)</f>
        <v>3</v>
      </c>
    </row>
    <row r="1449">
      <c r="A1449" s="2">
        <f>IFERROR(__xludf.DUMMYFUNCTION("""COMPUTED_VALUE"""),8.0)</f>
        <v>8</v>
      </c>
    </row>
    <row r="1450">
      <c r="A1450" s="2">
        <f>IFERROR(__xludf.DUMMYFUNCTION("""COMPUTED_VALUE"""),8.0)</f>
        <v>8</v>
      </c>
    </row>
    <row r="1451">
      <c r="A1451" s="2">
        <f>IFERROR(__xludf.DUMMYFUNCTION("""COMPUTED_VALUE"""),8.0)</f>
        <v>8</v>
      </c>
    </row>
    <row r="1452">
      <c r="A1452" s="2">
        <f>IFERROR(__xludf.DUMMYFUNCTION("""COMPUTED_VALUE"""),4.0)</f>
        <v>4</v>
      </c>
    </row>
    <row r="1453">
      <c r="A1453" s="2">
        <f>IFERROR(__xludf.DUMMYFUNCTION("""COMPUTED_VALUE"""),8.0)</f>
        <v>8</v>
      </c>
    </row>
    <row r="1454">
      <c r="A1454" s="2">
        <f>IFERROR(__xludf.DUMMYFUNCTION("""COMPUTED_VALUE"""),8.0)</f>
        <v>8</v>
      </c>
    </row>
    <row r="1455">
      <c r="A1455" s="2">
        <f>IFERROR(__xludf.DUMMYFUNCTION("""COMPUTED_VALUE"""),1.0)</f>
        <v>1</v>
      </c>
    </row>
    <row r="1456">
      <c r="A1456" s="2">
        <f>IFERROR(__xludf.DUMMYFUNCTION("""COMPUTED_VALUE"""),1.0)</f>
        <v>1</v>
      </c>
    </row>
    <row r="1457">
      <c r="A1457" s="2">
        <f>IFERROR(__xludf.DUMMYFUNCTION("""COMPUTED_VALUE"""),1.0)</f>
        <v>1</v>
      </c>
    </row>
    <row r="1458">
      <c r="A1458" s="2">
        <f>IFERROR(__xludf.DUMMYFUNCTION("""COMPUTED_VALUE"""),1.0)</f>
        <v>1</v>
      </c>
    </row>
    <row r="1459">
      <c r="A1459" s="2">
        <f>IFERROR(__xludf.DUMMYFUNCTION("""COMPUTED_VALUE"""),1.0)</f>
        <v>1</v>
      </c>
    </row>
    <row r="1460">
      <c r="A1460" s="2">
        <f>IFERROR(__xludf.DUMMYFUNCTION("""COMPUTED_VALUE"""),1.0)</f>
        <v>1</v>
      </c>
    </row>
    <row r="1461">
      <c r="A1461" s="2">
        <f>IFERROR(__xludf.DUMMYFUNCTION("""COMPUTED_VALUE"""),1.0)</f>
        <v>1</v>
      </c>
    </row>
    <row r="1462">
      <c r="A1462" s="2">
        <f>IFERROR(__xludf.DUMMYFUNCTION("""COMPUTED_VALUE"""),1.0)</f>
        <v>1</v>
      </c>
    </row>
    <row r="1463">
      <c r="A1463" s="2">
        <f>IFERROR(__xludf.DUMMYFUNCTION("""COMPUTED_VALUE"""),1.0)</f>
        <v>1</v>
      </c>
    </row>
    <row r="1464">
      <c r="A1464" s="2">
        <f>IFERROR(__xludf.DUMMYFUNCTION("""COMPUTED_VALUE"""),1.0)</f>
        <v>1</v>
      </c>
    </row>
    <row r="1465">
      <c r="A1465" s="2">
        <f>IFERROR(__xludf.DUMMYFUNCTION("""COMPUTED_VALUE"""),1.0)</f>
        <v>1</v>
      </c>
    </row>
    <row r="1466">
      <c r="A1466" s="2">
        <f>IFERROR(__xludf.DUMMYFUNCTION("""COMPUTED_VALUE"""),1.0)</f>
        <v>1</v>
      </c>
    </row>
    <row r="1467">
      <c r="A1467" s="2">
        <f>IFERROR(__xludf.DUMMYFUNCTION("""COMPUTED_VALUE"""),1.0)</f>
        <v>1</v>
      </c>
    </row>
    <row r="1468">
      <c r="A1468" s="2">
        <f>IFERROR(__xludf.DUMMYFUNCTION("""COMPUTED_VALUE"""),1.0)</f>
        <v>1</v>
      </c>
    </row>
    <row r="1469">
      <c r="A1469" s="2">
        <f>IFERROR(__xludf.DUMMYFUNCTION("""COMPUTED_VALUE"""),6.0)</f>
        <v>6</v>
      </c>
    </row>
    <row r="1470">
      <c r="A1470" s="2">
        <f>IFERROR(__xludf.DUMMYFUNCTION("""COMPUTED_VALUE"""),6.0)</f>
        <v>6</v>
      </c>
    </row>
    <row r="1471">
      <c r="A1471" s="2">
        <f>IFERROR(__xludf.DUMMYFUNCTION("""COMPUTED_VALUE"""),6.0)</f>
        <v>6</v>
      </c>
    </row>
    <row r="1472">
      <c r="A1472" s="2">
        <f>IFERROR(__xludf.DUMMYFUNCTION("""COMPUTED_VALUE"""),6.0)</f>
        <v>6</v>
      </c>
    </row>
    <row r="1473">
      <c r="A1473" s="2">
        <f>IFERROR(__xludf.DUMMYFUNCTION("""COMPUTED_VALUE"""),6.0)</f>
        <v>6</v>
      </c>
    </row>
    <row r="1474">
      <c r="A1474" s="2">
        <f>IFERROR(__xludf.DUMMYFUNCTION("""COMPUTED_VALUE"""),6.0)</f>
        <v>6</v>
      </c>
    </row>
    <row r="1475">
      <c r="A1475" s="2">
        <f>IFERROR(__xludf.DUMMYFUNCTION("""COMPUTED_VALUE"""),2.0)</f>
        <v>2</v>
      </c>
    </row>
    <row r="1476">
      <c r="A1476" s="2">
        <f>IFERROR(__xludf.DUMMYFUNCTION("""COMPUTED_VALUE"""),6.0)</f>
        <v>6</v>
      </c>
    </row>
    <row r="1477">
      <c r="A1477" s="2">
        <f>IFERROR(__xludf.DUMMYFUNCTION("""COMPUTED_VALUE"""),6.0)</f>
        <v>6</v>
      </c>
    </row>
    <row r="1478">
      <c r="A1478" s="2">
        <f>IFERROR(__xludf.DUMMYFUNCTION("""COMPUTED_VALUE"""),6.0)</f>
        <v>6</v>
      </c>
    </row>
    <row r="1479">
      <c r="A1479" s="2">
        <f>IFERROR(__xludf.DUMMYFUNCTION("""COMPUTED_VALUE"""),6.0)</f>
        <v>6</v>
      </c>
    </row>
    <row r="1480">
      <c r="A1480" s="2">
        <f>IFERROR(__xludf.DUMMYFUNCTION("""COMPUTED_VALUE"""),6.0)</f>
        <v>6</v>
      </c>
    </row>
    <row r="1481">
      <c r="A1481" s="2">
        <f>IFERROR(__xludf.DUMMYFUNCTION("""COMPUTED_VALUE"""),6.0)</f>
        <v>6</v>
      </c>
    </row>
    <row r="1482">
      <c r="A1482" s="2">
        <f>IFERROR(__xludf.DUMMYFUNCTION("""COMPUTED_VALUE"""),6.0)</f>
        <v>6</v>
      </c>
    </row>
    <row r="1483">
      <c r="A1483" s="2">
        <f>IFERROR(__xludf.DUMMYFUNCTION("""COMPUTED_VALUE"""),4.0)</f>
        <v>4</v>
      </c>
    </row>
    <row r="1484">
      <c r="A1484" s="2">
        <f>IFERROR(__xludf.DUMMYFUNCTION("""COMPUTED_VALUE"""),4.0)</f>
        <v>4</v>
      </c>
    </row>
    <row r="1485">
      <c r="A1485" s="2">
        <f>IFERROR(__xludf.DUMMYFUNCTION("""COMPUTED_VALUE"""),4.0)</f>
        <v>4</v>
      </c>
    </row>
    <row r="1486">
      <c r="A1486" s="2">
        <f>IFERROR(__xludf.DUMMYFUNCTION("""COMPUTED_VALUE"""),4.0)</f>
        <v>4</v>
      </c>
    </row>
    <row r="1487">
      <c r="A1487" s="2">
        <f>IFERROR(__xludf.DUMMYFUNCTION("""COMPUTED_VALUE"""),4.0)</f>
        <v>4</v>
      </c>
    </row>
    <row r="1488">
      <c r="A1488" s="2">
        <f>IFERROR(__xludf.DUMMYFUNCTION("""COMPUTED_VALUE"""),4.0)</f>
        <v>4</v>
      </c>
    </row>
    <row r="1489">
      <c r="A1489" s="2">
        <f>IFERROR(__xludf.DUMMYFUNCTION("""COMPUTED_VALUE"""),9.0)</f>
        <v>9</v>
      </c>
    </row>
    <row r="1490">
      <c r="A1490" s="2">
        <f>IFERROR(__xludf.DUMMYFUNCTION("""COMPUTED_VALUE"""),9.0)</f>
        <v>9</v>
      </c>
    </row>
    <row r="1491">
      <c r="A1491" s="2">
        <f>IFERROR(__xludf.DUMMYFUNCTION("""COMPUTED_VALUE"""),4.0)</f>
        <v>4</v>
      </c>
    </row>
    <row r="1492">
      <c r="A1492" s="2">
        <f>IFERROR(__xludf.DUMMYFUNCTION("""COMPUTED_VALUE"""),4.0)</f>
        <v>4</v>
      </c>
    </row>
    <row r="1493">
      <c r="A1493" s="2">
        <f>IFERROR(__xludf.DUMMYFUNCTION("""COMPUTED_VALUE"""),8.0)</f>
        <v>8</v>
      </c>
    </row>
    <row r="1494">
      <c r="A1494" s="2">
        <f>IFERROR(__xludf.DUMMYFUNCTION("""COMPUTED_VALUE"""),8.0)</f>
        <v>8</v>
      </c>
    </row>
    <row r="1495">
      <c r="A1495" s="2">
        <f>IFERROR(__xludf.DUMMYFUNCTION("""COMPUTED_VALUE"""),6.0)</f>
        <v>6</v>
      </c>
    </row>
    <row r="1496">
      <c r="A1496" s="2">
        <f>IFERROR(__xludf.DUMMYFUNCTION("""COMPUTED_VALUE"""),6.0)</f>
        <v>6</v>
      </c>
    </row>
    <row r="1497">
      <c r="A1497" s="2">
        <f>IFERROR(__xludf.DUMMYFUNCTION("""COMPUTED_VALUE"""),6.0)</f>
        <v>6</v>
      </c>
    </row>
    <row r="1498">
      <c r="A1498" s="2">
        <f>IFERROR(__xludf.DUMMYFUNCTION("""COMPUTED_VALUE"""),6.0)</f>
        <v>6</v>
      </c>
    </row>
    <row r="1499">
      <c r="A1499" s="2">
        <f>IFERROR(__xludf.DUMMYFUNCTION("""COMPUTED_VALUE"""),6.0)</f>
        <v>6</v>
      </c>
    </row>
    <row r="1500">
      <c r="A1500" s="2">
        <f>IFERROR(__xludf.DUMMYFUNCTION("""COMPUTED_VALUE"""),6.0)</f>
        <v>6</v>
      </c>
    </row>
    <row r="1501">
      <c r="A1501" s="2">
        <f>IFERROR(__xludf.DUMMYFUNCTION("""COMPUTED_VALUE"""),6.0)</f>
        <v>6</v>
      </c>
    </row>
    <row r="1502">
      <c r="A1502" s="2">
        <f>IFERROR(__xludf.DUMMYFUNCTION("""COMPUTED_VALUE"""),6.0)</f>
        <v>6</v>
      </c>
    </row>
    <row r="1503">
      <c r="A1503" s="2">
        <f>IFERROR(__xludf.DUMMYFUNCTION("""COMPUTED_VALUE"""),6.0)</f>
        <v>6</v>
      </c>
    </row>
    <row r="1504">
      <c r="A1504" s="2">
        <f>IFERROR(__xludf.DUMMYFUNCTION("""COMPUTED_VALUE"""),4.0)</f>
        <v>4</v>
      </c>
    </row>
    <row r="1505">
      <c r="A1505" s="2">
        <f>IFERROR(__xludf.DUMMYFUNCTION("""COMPUTED_VALUE"""),4.0)</f>
        <v>4</v>
      </c>
    </row>
    <row r="1506">
      <c r="A1506" s="2">
        <f>IFERROR(__xludf.DUMMYFUNCTION("""COMPUTED_VALUE"""),4.0)</f>
        <v>4</v>
      </c>
    </row>
    <row r="1507">
      <c r="A1507" s="2">
        <f>IFERROR(__xludf.DUMMYFUNCTION("""COMPUTED_VALUE"""),6.0)</f>
        <v>6</v>
      </c>
    </row>
    <row r="1508">
      <c r="A1508" s="2">
        <f>IFERROR(__xludf.DUMMYFUNCTION("""COMPUTED_VALUE"""),6.0)</f>
        <v>6</v>
      </c>
    </row>
    <row r="1509">
      <c r="A1509" s="2">
        <f>IFERROR(__xludf.DUMMYFUNCTION("""COMPUTED_VALUE"""),6.0)</f>
        <v>6</v>
      </c>
    </row>
    <row r="1510">
      <c r="A1510" s="2">
        <f>IFERROR(__xludf.DUMMYFUNCTION("""COMPUTED_VALUE"""),6.0)</f>
        <v>6</v>
      </c>
    </row>
    <row r="1511">
      <c r="A1511" s="2">
        <f>IFERROR(__xludf.DUMMYFUNCTION("""COMPUTED_VALUE"""),6.0)</f>
        <v>6</v>
      </c>
    </row>
    <row r="1512">
      <c r="A1512" s="2">
        <f>IFERROR(__xludf.DUMMYFUNCTION("""COMPUTED_VALUE"""),6.0)</f>
        <v>6</v>
      </c>
    </row>
    <row r="1513">
      <c r="A1513" s="2">
        <f>IFERROR(__xludf.DUMMYFUNCTION("""COMPUTED_VALUE"""),6.0)</f>
        <v>6</v>
      </c>
    </row>
    <row r="1514">
      <c r="A1514" s="2">
        <f>IFERROR(__xludf.DUMMYFUNCTION("""COMPUTED_VALUE"""),2.0)</f>
        <v>2</v>
      </c>
    </row>
    <row r="1515">
      <c r="A1515" s="2">
        <f>IFERROR(__xludf.DUMMYFUNCTION("""COMPUTED_VALUE"""),5.0)</f>
        <v>5</v>
      </c>
    </row>
    <row r="1516">
      <c r="A1516" s="2">
        <f>IFERROR(__xludf.DUMMYFUNCTION("""COMPUTED_VALUE"""),4.0)</f>
        <v>4</v>
      </c>
    </row>
    <row r="1517">
      <c r="A1517" s="2">
        <f>IFERROR(__xludf.DUMMYFUNCTION("""COMPUTED_VALUE"""),4.0)</f>
        <v>4</v>
      </c>
    </row>
    <row r="1518">
      <c r="A1518" s="2">
        <f>IFERROR(__xludf.DUMMYFUNCTION("""COMPUTED_VALUE"""),4.0)</f>
        <v>4</v>
      </c>
    </row>
    <row r="1519">
      <c r="A1519" s="2">
        <f>IFERROR(__xludf.DUMMYFUNCTION("""COMPUTED_VALUE"""),1.0)</f>
        <v>1</v>
      </c>
    </row>
    <row r="1520">
      <c r="A1520" s="2">
        <f>IFERROR(__xludf.DUMMYFUNCTION("""COMPUTED_VALUE"""),1.0)</f>
        <v>1</v>
      </c>
    </row>
    <row r="1521">
      <c r="A1521" s="2">
        <f>IFERROR(__xludf.DUMMYFUNCTION("""COMPUTED_VALUE"""),1.0)</f>
        <v>1</v>
      </c>
    </row>
    <row r="1522">
      <c r="A1522" s="2">
        <f>IFERROR(__xludf.DUMMYFUNCTION("""COMPUTED_VALUE"""),1.0)</f>
        <v>1</v>
      </c>
    </row>
    <row r="1523">
      <c r="A1523" s="2">
        <f>IFERROR(__xludf.DUMMYFUNCTION("""COMPUTED_VALUE"""),1.0)</f>
        <v>1</v>
      </c>
    </row>
    <row r="1524">
      <c r="A1524" s="2">
        <f>IFERROR(__xludf.DUMMYFUNCTION("""COMPUTED_VALUE"""),1.0)</f>
        <v>1</v>
      </c>
    </row>
    <row r="1525">
      <c r="A1525" s="2">
        <f>IFERROR(__xludf.DUMMYFUNCTION("""COMPUTED_VALUE"""),1.0)</f>
        <v>1</v>
      </c>
    </row>
    <row r="1526">
      <c r="A1526" s="2">
        <f>IFERROR(__xludf.DUMMYFUNCTION("""COMPUTED_VALUE"""),1.0)</f>
        <v>1</v>
      </c>
    </row>
    <row r="1527">
      <c r="A1527" s="2">
        <f>IFERROR(__xludf.DUMMYFUNCTION("""COMPUTED_VALUE"""),1.0)</f>
        <v>1</v>
      </c>
    </row>
    <row r="1528">
      <c r="A1528" s="2">
        <f>IFERROR(__xludf.DUMMYFUNCTION("""COMPUTED_VALUE"""),1.0)</f>
        <v>1</v>
      </c>
    </row>
    <row r="1529">
      <c r="A1529" s="2">
        <f>IFERROR(__xludf.DUMMYFUNCTION("""COMPUTED_VALUE"""),1.0)</f>
        <v>1</v>
      </c>
    </row>
    <row r="1530">
      <c r="A1530" s="2">
        <f>IFERROR(__xludf.DUMMYFUNCTION("""COMPUTED_VALUE"""),1.0)</f>
        <v>1</v>
      </c>
    </row>
    <row r="1531">
      <c r="A1531" s="2">
        <f>IFERROR(__xludf.DUMMYFUNCTION("""COMPUTED_VALUE"""),1.0)</f>
        <v>1</v>
      </c>
    </row>
    <row r="1532">
      <c r="A1532" s="2">
        <f>IFERROR(__xludf.DUMMYFUNCTION("""COMPUTED_VALUE"""),1.0)</f>
        <v>1</v>
      </c>
    </row>
    <row r="1533">
      <c r="A1533" s="2">
        <f>IFERROR(__xludf.DUMMYFUNCTION("""COMPUTED_VALUE"""),1.0)</f>
        <v>1</v>
      </c>
    </row>
    <row r="1534">
      <c r="A1534" s="2">
        <f>IFERROR(__xludf.DUMMYFUNCTION("""COMPUTED_VALUE"""),1.0)</f>
        <v>1</v>
      </c>
    </row>
    <row r="1535">
      <c r="A1535" s="2">
        <f>IFERROR(__xludf.DUMMYFUNCTION("""COMPUTED_VALUE"""),1.0)</f>
        <v>1</v>
      </c>
    </row>
    <row r="1536">
      <c r="A1536" s="2">
        <f>IFERROR(__xludf.DUMMYFUNCTION("""COMPUTED_VALUE"""),1.0)</f>
        <v>1</v>
      </c>
    </row>
    <row r="1537">
      <c r="A1537" s="2">
        <f>IFERROR(__xludf.DUMMYFUNCTION("""COMPUTED_VALUE"""),1.0)</f>
        <v>1</v>
      </c>
    </row>
    <row r="1538">
      <c r="A1538" s="2">
        <f>IFERROR(__xludf.DUMMYFUNCTION("""COMPUTED_VALUE"""),1.0)</f>
        <v>1</v>
      </c>
    </row>
    <row r="1539">
      <c r="A1539" s="2">
        <f>IFERROR(__xludf.DUMMYFUNCTION("""COMPUTED_VALUE"""),1.0)</f>
        <v>1</v>
      </c>
    </row>
    <row r="1540">
      <c r="A1540" s="2">
        <f>IFERROR(__xludf.DUMMYFUNCTION("""COMPUTED_VALUE"""),1.0)</f>
        <v>1</v>
      </c>
    </row>
    <row r="1541">
      <c r="A1541" s="2">
        <f>IFERROR(__xludf.DUMMYFUNCTION("""COMPUTED_VALUE"""),1.0)</f>
        <v>1</v>
      </c>
    </row>
    <row r="1542">
      <c r="A1542" s="2">
        <f>IFERROR(__xludf.DUMMYFUNCTION("""COMPUTED_VALUE"""),1.0)</f>
        <v>1</v>
      </c>
    </row>
    <row r="1543">
      <c r="A1543" s="2">
        <f>IFERROR(__xludf.DUMMYFUNCTION("""COMPUTED_VALUE"""),1.0)</f>
        <v>1</v>
      </c>
    </row>
    <row r="1544">
      <c r="A1544" s="2">
        <f>IFERROR(__xludf.DUMMYFUNCTION("""COMPUTED_VALUE"""),1.0)</f>
        <v>1</v>
      </c>
    </row>
    <row r="1545">
      <c r="A1545" s="2">
        <f>IFERROR(__xludf.DUMMYFUNCTION("""COMPUTED_VALUE"""),2.0)</f>
        <v>2</v>
      </c>
    </row>
    <row r="1546">
      <c r="A1546" s="2">
        <f>IFERROR(__xludf.DUMMYFUNCTION("""COMPUTED_VALUE"""),2.0)</f>
        <v>2</v>
      </c>
    </row>
    <row r="1547">
      <c r="A1547" s="2">
        <f>IFERROR(__xludf.DUMMYFUNCTION("""COMPUTED_VALUE"""),2.0)</f>
        <v>2</v>
      </c>
    </row>
    <row r="1548">
      <c r="A1548" s="2">
        <f>IFERROR(__xludf.DUMMYFUNCTION("""COMPUTED_VALUE"""),2.0)</f>
        <v>2</v>
      </c>
    </row>
    <row r="1549">
      <c r="A1549" s="2">
        <f>IFERROR(__xludf.DUMMYFUNCTION("""COMPUTED_VALUE"""),2.0)</f>
        <v>2</v>
      </c>
    </row>
    <row r="1550">
      <c r="A1550" s="2">
        <f>IFERROR(__xludf.DUMMYFUNCTION("""COMPUTED_VALUE"""),2.0)</f>
        <v>2</v>
      </c>
    </row>
    <row r="1551">
      <c r="A1551" s="2">
        <f>IFERROR(__xludf.DUMMYFUNCTION("""COMPUTED_VALUE"""),2.0)</f>
        <v>2</v>
      </c>
    </row>
    <row r="1552">
      <c r="A1552" s="2">
        <f>IFERROR(__xludf.DUMMYFUNCTION("""COMPUTED_VALUE"""),2.0)</f>
        <v>2</v>
      </c>
    </row>
    <row r="1553">
      <c r="A1553" s="2">
        <f>IFERROR(__xludf.DUMMYFUNCTION("""COMPUTED_VALUE"""),4.0)</f>
        <v>4</v>
      </c>
    </row>
    <row r="1554">
      <c r="A1554" s="2">
        <f>IFERROR(__xludf.DUMMYFUNCTION("""COMPUTED_VALUE"""),7.0)</f>
        <v>7</v>
      </c>
    </row>
    <row r="1555">
      <c r="A1555" s="2">
        <f>IFERROR(__xludf.DUMMYFUNCTION("""COMPUTED_VALUE"""),7.0)</f>
        <v>7</v>
      </c>
    </row>
    <row r="1556">
      <c r="A1556" s="2">
        <f>IFERROR(__xludf.DUMMYFUNCTION("""COMPUTED_VALUE"""),7.0)</f>
        <v>7</v>
      </c>
    </row>
    <row r="1557">
      <c r="A1557" s="2">
        <f>IFERROR(__xludf.DUMMYFUNCTION("""COMPUTED_VALUE"""),7.0)</f>
        <v>7</v>
      </c>
    </row>
    <row r="1558">
      <c r="A1558" s="2">
        <f>IFERROR(__xludf.DUMMYFUNCTION("""COMPUTED_VALUE"""),7.0)</f>
        <v>7</v>
      </c>
    </row>
    <row r="1559">
      <c r="A1559" s="2">
        <f>IFERROR(__xludf.DUMMYFUNCTION("""COMPUTED_VALUE"""),4.0)</f>
        <v>4</v>
      </c>
    </row>
    <row r="1560">
      <c r="A1560" s="2">
        <f>IFERROR(__xludf.DUMMYFUNCTION("""COMPUTED_VALUE"""),4.0)</f>
        <v>4</v>
      </c>
    </row>
    <row r="1561">
      <c r="A1561" s="2">
        <f>IFERROR(__xludf.DUMMYFUNCTION("""COMPUTED_VALUE"""),7.0)</f>
        <v>7</v>
      </c>
    </row>
    <row r="1562">
      <c r="A1562" s="2">
        <f>IFERROR(__xludf.DUMMYFUNCTION("""COMPUTED_VALUE"""),7.0)</f>
        <v>7</v>
      </c>
    </row>
    <row r="1563">
      <c r="A1563" s="2">
        <f>IFERROR(__xludf.DUMMYFUNCTION("""COMPUTED_VALUE"""),7.0)</f>
        <v>7</v>
      </c>
    </row>
    <row r="1564">
      <c r="A1564" s="2">
        <f>IFERROR(__xludf.DUMMYFUNCTION("""COMPUTED_VALUE"""),7.0)</f>
        <v>7</v>
      </c>
    </row>
    <row r="1565">
      <c r="A1565" s="2">
        <f>IFERROR(__xludf.DUMMYFUNCTION("""COMPUTED_VALUE"""),7.0)</f>
        <v>7</v>
      </c>
    </row>
    <row r="1566">
      <c r="A1566" s="2">
        <f>IFERROR(__xludf.DUMMYFUNCTION("""COMPUTED_VALUE"""),7.0)</f>
        <v>7</v>
      </c>
    </row>
    <row r="1567">
      <c r="A1567" s="2">
        <f>IFERROR(__xludf.DUMMYFUNCTION("""COMPUTED_VALUE"""),7.0)</f>
        <v>7</v>
      </c>
    </row>
    <row r="1568">
      <c r="A1568" s="2">
        <f>IFERROR(__xludf.DUMMYFUNCTION("""COMPUTED_VALUE"""),7.0)</f>
        <v>7</v>
      </c>
    </row>
    <row r="1569">
      <c r="A1569" s="2">
        <f>IFERROR(__xludf.DUMMYFUNCTION("""COMPUTED_VALUE"""),7.0)</f>
        <v>7</v>
      </c>
    </row>
    <row r="1570">
      <c r="A1570" s="2">
        <f>IFERROR(__xludf.DUMMYFUNCTION("""COMPUTED_VALUE"""),7.0)</f>
        <v>7</v>
      </c>
    </row>
    <row r="1571">
      <c r="A1571" s="2">
        <f>IFERROR(__xludf.DUMMYFUNCTION("""COMPUTED_VALUE"""),1.0)</f>
        <v>1</v>
      </c>
    </row>
    <row r="1572">
      <c r="A1572" s="2">
        <f>IFERROR(__xludf.DUMMYFUNCTION("""COMPUTED_VALUE"""),2.0)</f>
        <v>2</v>
      </c>
    </row>
    <row r="1573">
      <c r="A1573" s="2">
        <f>IFERROR(__xludf.DUMMYFUNCTION("""COMPUTED_VALUE"""),2.0)</f>
        <v>2</v>
      </c>
    </row>
    <row r="1574">
      <c r="A1574" s="2">
        <f>IFERROR(__xludf.DUMMYFUNCTION("""COMPUTED_VALUE"""),2.0)</f>
        <v>2</v>
      </c>
    </row>
    <row r="1575">
      <c r="A1575" s="2">
        <f>IFERROR(__xludf.DUMMYFUNCTION("""COMPUTED_VALUE"""),2.0)</f>
        <v>2</v>
      </c>
    </row>
    <row r="1576">
      <c r="A1576" s="2">
        <f>IFERROR(__xludf.DUMMYFUNCTION("""COMPUTED_VALUE"""),2.0)</f>
        <v>2</v>
      </c>
    </row>
    <row r="1577">
      <c r="A1577" s="2">
        <f>IFERROR(__xludf.DUMMYFUNCTION("""COMPUTED_VALUE"""),2.0)</f>
        <v>2</v>
      </c>
    </row>
    <row r="1578">
      <c r="A1578" s="2">
        <f>IFERROR(__xludf.DUMMYFUNCTION("""COMPUTED_VALUE"""),2.0)</f>
        <v>2</v>
      </c>
    </row>
    <row r="1579">
      <c r="A1579" s="2">
        <f>IFERROR(__xludf.DUMMYFUNCTION("""COMPUTED_VALUE"""),2.0)</f>
        <v>2</v>
      </c>
    </row>
    <row r="1580">
      <c r="A1580" s="2">
        <f>IFERROR(__xludf.DUMMYFUNCTION("""COMPUTED_VALUE"""),2.0)</f>
        <v>2</v>
      </c>
    </row>
    <row r="1581">
      <c r="A1581" s="2">
        <f>IFERROR(__xludf.DUMMYFUNCTION("""COMPUTED_VALUE"""),2.0)</f>
        <v>2</v>
      </c>
    </row>
    <row r="1582">
      <c r="A1582" s="2">
        <f>IFERROR(__xludf.DUMMYFUNCTION("""COMPUTED_VALUE"""),2.0)</f>
        <v>2</v>
      </c>
    </row>
    <row r="1583">
      <c r="A1583" s="2">
        <f>IFERROR(__xludf.DUMMYFUNCTION("""COMPUTED_VALUE"""),2.0)</f>
        <v>2</v>
      </c>
    </row>
    <row r="1584">
      <c r="A1584" s="2">
        <f>IFERROR(__xludf.DUMMYFUNCTION("""COMPUTED_VALUE"""),2.0)</f>
        <v>2</v>
      </c>
    </row>
    <row r="1585">
      <c r="A1585" s="2">
        <f>IFERROR(__xludf.DUMMYFUNCTION("""COMPUTED_VALUE"""),2.0)</f>
        <v>2</v>
      </c>
    </row>
    <row r="1586">
      <c r="A1586" s="2">
        <f>IFERROR(__xludf.DUMMYFUNCTION("""COMPUTED_VALUE"""),2.0)</f>
        <v>2</v>
      </c>
    </row>
    <row r="1587">
      <c r="A1587" s="2">
        <f>IFERROR(__xludf.DUMMYFUNCTION("""COMPUTED_VALUE"""),2.0)</f>
        <v>2</v>
      </c>
    </row>
    <row r="1588">
      <c r="A1588" s="2">
        <f>IFERROR(__xludf.DUMMYFUNCTION("""COMPUTED_VALUE"""),2.0)</f>
        <v>2</v>
      </c>
    </row>
    <row r="1589">
      <c r="A1589" s="2">
        <f>IFERROR(__xludf.DUMMYFUNCTION("""COMPUTED_VALUE"""),2.0)</f>
        <v>2</v>
      </c>
    </row>
    <row r="1590">
      <c r="A1590" s="2">
        <f>IFERROR(__xludf.DUMMYFUNCTION("""COMPUTED_VALUE"""),2.0)</f>
        <v>2</v>
      </c>
    </row>
    <row r="1591">
      <c r="A1591" s="2">
        <f>IFERROR(__xludf.DUMMYFUNCTION("""COMPUTED_VALUE"""),2.0)</f>
        <v>2</v>
      </c>
    </row>
    <row r="1592">
      <c r="A1592" s="2">
        <f>IFERROR(__xludf.DUMMYFUNCTION("""COMPUTED_VALUE"""),2.0)</f>
        <v>2</v>
      </c>
    </row>
    <row r="1593">
      <c r="A1593" s="2">
        <f>IFERROR(__xludf.DUMMYFUNCTION("""COMPUTED_VALUE"""),2.0)</f>
        <v>2</v>
      </c>
    </row>
    <row r="1594">
      <c r="A1594" s="2">
        <f>IFERROR(__xludf.DUMMYFUNCTION("""COMPUTED_VALUE"""),1.0)</f>
        <v>1</v>
      </c>
    </row>
    <row r="1595">
      <c r="A1595" s="2">
        <f>IFERROR(__xludf.DUMMYFUNCTION("""COMPUTED_VALUE"""),7.0)</f>
        <v>7</v>
      </c>
    </row>
    <row r="1596">
      <c r="A1596" s="2">
        <f>IFERROR(__xludf.DUMMYFUNCTION("""COMPUTED_VALUE"""),7.0)</f>
        <v>7</v>
      </c>
    </row>
    <row r="1597">
      <c r="A1597" s="2">
        <f>IFERROR(__xludf.DUMMYFUNCTION("""COMPUTED_VALUE"""),7.0)</f>
        <v>7</v>
      </c>
    </row>
    <row r="1598">
      <c r="A1598" s="2">
        <f>IFERROR(__xludf.DUMMYFUNCTION("""COMPUTED_VALUE"""),7.0)</f>
        <v>7</v>
      </c>
    </row>
    <row r="1599">
      <c r="A1599" s="2">
        <f>IFERROR(__xludf.DUMMYFUNCTION("""COMPUTED_VALUE"""),7.0)</f>
        <v>7</v>
      </c>
    </row>
    <row r="1600">
      <c r="A1600" s="2">
        <f>IFERROR(__xludf.DUMMYFUNCTION("""COMPUTED_VALUE"""),7.0)</f>
        <v>7</v>
      </c>
    </row>
    <row r="1601">
      <c r="A1601" s="2">
        <f>IFERROR(__xludf.DUMMYFUNCTION("""COMPUTED_VALUE"""),1.0)</f>
        <v>1</v>
      </c>
    </row>
    <row r="1602">
      <c r="A1602" s="2">
        <f>IFERROR(__xludf.DUMMYFUNCTION("""COMPUTED_VALUE"""),2.0)</f>
        <v>2</v>
      </c>
    </row>
    <row r="1603">
      <c r="A1603" s="2">
        <f>IFERROR(__xludf.DUMMYFUNCTION("""COMPUTED_VALUE"""),2.0)</f>
        <v>2</v>
      </c>
    </row>
    <row r="1604">
      <c r="A1604" s="2">
        <f>IFERROR(__xludf.DUMMYFUNCTION("""COMPUTED_VALUE"""),2.0)</f>
        <v>2</v>
      </c>
    </row>
    <row r="1605">
      <c r="A1605" s="2">
        <f>IFERROR(__xludf.DUMMYFUNCTION("""COMPUTED_VALUE"""),2.0)</f>
        <v>2</v>
      </c>
    </row>
    <row r="1606">
      <c r="A1606" s="2">
        <f>IFERROR(__xludf.DUMMYFUNCTION("""COMPUTED_VALUE"""),2.0)</f>
        <v>2</v>
      </c>
    </row>
    <row r="1607">
      <c r="A1607" s="2">
        <f>IFERROR(__xludf.DUMMYFUNCTION("""COMPUTED_VALUE"""),2.0)</f>
        <v>2</v>
      </c>
    </row>
    <row r="1608">
      <c r="A1608" s="2">
        <f>IFERROR(__xludf.DUMMYFUNCTION("""COMPUTED_VALUE"""),2.0)</f>
        <v>2</v>
      </c>
    </row>
    <row r="1609">
      <c r="A1609" s="2">
        <f>IFERROR(__xludf.DUMMYFUNCTION("""COMPUTED_VALUE"""),2.0)</f>
        <v>2</v>
      </c>
    </row>
    <row r="1610">
      <c r="A1610" s="2">
        <f>IFERROR(__xludf.DUMMYFUNCTION("""COMPUTED_VALUE"""),2.0)</f>
        <v>2</v>
      </c>
    </row>
    <row r="1611">
      <c r="A1611" s="2">
        <f>IFERROR(__xludf.DUMMYFUNCTION("""COMPUTED_VALUE"""),2.0)</f>
        <v>2</v>
      </c>
    </row>
    <row r="1612">
      <c r="A1612" s="2">
        <f>IFERROR(__xludf.DUMMYFUNCTION("""COMPUTED_VALUE"""),2.0)</f>
        <v>2</v>
      </c>
    </row>
    <row r="1613">
      <c r="A1613" s="2">
        <f>IFERROR(__xludf.DUMMYFUNCTION("""COMPUTED_VALUE"""),2.0)</f>
        <v>2</v>
      </c>
    </row>
    <row r="1614">
      <c r="A1614" s="2">
        <f>IFERROR(__xludf.DUMMYFUNCTION("""COMPUTED_VALUE"""),2.0)</f>
        <v>2</v>
      </c>
    </row>
    <row r="1615">
      <c r="A1615" s="2">
        <f>IFERROR(__xludf.DUMMYFUNCTION("""COMPUTED_VALUE"""),2.0)</f>
        <v>2</v>
      </c>
    </row>
    <row r="1616">
      <c r="A1616" s="2">
        <f>IFERROR(__xludf.DUMMYFUNCTION("""COMPUTED_VALUE"""),2.0)</f>
        <v>2</v>
      </c>
    </row>
    <row r="1617">
      <c r="A1617" s="2">
        <f>IFERROR(__xludf.DUMMYFUNCTION("""COMPUTED_VALUE"""),2.0)</f>
        <v>2</v>
      </c>
    </row>
    <row r="1618">
      <c r="A1618" s="2">
        <f>IFERROR(__xludf.DUMMYFUNCTION("""COMPUTED_VALUE"""),2.0)</f>
        <v>2</v>
      </c>
    </row>
    <row r="1619">
      <c r="A1619" s="2">
        <f>IFERROR(__xludf.DUMMYFUNCTION("""COMPUTED_VALUE"""),2.0)</f>
        <v>2</v>
      </c>
    </row>
    <row r="1620">
      <c r="A1620" s="2">
        <f>IFERROR(__xludf.DUMMYFUNCTION("""COMPUTED_VALUE"""),2.0)</f>
        <v>2</v>
      </c>
    </row>
    <row r="1621">
      <c r="A1621" s="2">
        <f>IFERROR(__xludf.DUMMYFUNCTION("""COMPUTED_VALUE"""),2.0)</f>
        <v>2</v>
      </c>
    </row>
    <row r="1622">
      <c r="A1622" s="2">
        <f>IFERROR(__xludf.DUMMYFUNCTION("""COMPUTED_VALUE"""),2.0)</f>
        <v>2</v>
      </c>
    </row>
    <row r="1623">
      <c r="A1623" s="2">
        <f>IFERROR(__xludf.DUMMYFUNCTION("""COMPUTED_VALUE"""),2.0)</f>
        <v>2</v>
      </c>
    </row>
    <row r="1624">
      <c r="A1624" s="2">
        <f>IFERROR(__xludf.DUMMYFUNCTION("""COMPUTED_VALUE"""),3.0)</f>
        <v>3</v>
      </c>
    </row>
    <row r="1625">
      <c r="A1625" s="2">
        <f>IFERROR(__xludf.DUMMYFUNCTION("""COMPUTED_VALUE"""),3.0)</f>
        <v>3</v>
      </c>
    </row>
    <row r="1626">
      <c r="A1626" s="2">
        <f>IFERROR(__xludf.DUMMYFUNCTION("""COMPUTED_VALUE"""),3.0)</f>
        <v>3</v>
      </c>
    </row>
    <row r="1627">
      <c r="A1627" s="2">
        <f>IFERROR(__xludf.DUMMYFUNCTION("""COMPUTED_VALUE"""),3.0)</f>
        <v>3</v>
      </c>
    </row>
    <row r="1628">
      <c r="A1628" s="2">
        <f>IFERROR(__xludf.DUMMYFUNCTION("""COMPUTED_VALUE"""),3.0)</f>
        <v>3</v>
      </c>
    </row>
    <row r="1629">
      <c r="A1629" s="2">
        <f>IFERROR(__xludf.DUMMYFUNCTION("""COMPUTED_VALUE"""),3.0)</f>
        <v>3</v>
      </c>
    </row>
    <row r="1630">
      <c r="A1630" s="2">
        <f>IFERROR(__xludf.DUMMYFUNCTION("""COMPUTED_VALUE"""),3.0)</f>
        <v>3</v>
      </c>
    </row>
    <row r="1631">
      <c r="A1631" s="2">
        <f>IFERROR(__xludf.DUMMYFUNCTION("""COMPUTED_VALUE"""),3.0)</f>
        <v>3</v>
      </c>
    </row>
    <row r="1632">
      <c r="A1632" s="2">
        <f>IFERROR(__xludf.DUMMYFUNCTION("""COMPUTED_VALUE"""),3.0)</f>
        <v>3</v>
      </c>
    </row>
    <row r="1633">
      <c r="A1633" s="2">
        <f>IFERROR(__xludf.DUMMYFUNCTION("""COMPUTED_VALUE"""),3.0)</f>
        <v>3</v>
      </c>
    </row>
    <row r="1634">
      <c r="A1634" s="2">
        <f>IFERROR(__xludf.DUMMYFUNCTION("""COMPUTED_VALUE"""),3.0)</f>
        <v>3</v>
      </c>
    </row>
    <row r="1635">
      <c r="A1635" s="2">
        <f>IFERROR(__xludf.DUMMYFUNCTION("""COMPUTED_VALUE"""),3.0)</f>
        <v>3</v>
      </c>
    </row>
    <row r="1636">
      <c r="A1636" s="2">
        <f>IFERROR(__xludf.DUMMYFUNCTION("""COMPUTED_VALUE"""),3.0)</f>
        <v>3</v>
      </c>
    </row>
    <row r="1637">
      <c r="A1637" s="2">
        <f>IFERROR(__xludf.DUMMYFUNCTION("""COMPUTED_VALUE"""),3.0)</f>
        <v>3</v>
      </c>
    </row>
    <row r="1638">
      <c r="A1638" s="2">
        <f>IFERROR(__xludf.DUMMYFUNCTION("""COMPUTED_VALUE"""),3.0)</f>
        <v>3</v>
      </c>
    </row>
    <row r="1639">
      <c r="A1639" s="2">
        <f>IFERROR(__xludf.DUMMYFUNCTION("""COMPUTED_VALUE"""),3.0)</f>
        <v>3</v>
      </c>
    </row>
    <row r="1640">
      <c r="A1640" s="2">
        <f>IFERROR(__xludf.DUMMYFUNCTION("""COMPUTED_VALUE"""),3.0)</f>
        <v>3</v>
      </c>
    </row>
    <row r="1641">
      <c r="A1641" s="2">
        <f>IFERROR(__xludf.DUMMYFUNCTION("""COMPUTED_VALUE"""),3.0)</f>
        <v>3</v>
      </c>
    </row>
    <row r="1642">
      <c r="A1642" s="2">
        <f>IFERROR(__xludf.DUMMYFUNCTION("""COMPUTED_VALUE"""),3.0)</f>
        <v>3</v>
      </c>
    </row>
    <row r="1643">
      <c r="A1643" s="2">
        <f>IFERROR(__xludf.DUMMYFUNCTION("""COMPUTED_VALUE"""),3.0)</f>
        <v>3</v>
      </c>
    </row>
    <row r="1644">
      <c r="A1644" s="2">
        <f>IFERROR(__xludf.DUMMYFUNCTION("""COMPUTED_VALUE"""),3.0)</f>
        <v>3</v>
      </c>
    </row>
    <row r="1645">
      <c r="A1645" s="2">
        <f>IFERROR(__xludf.DUMMYFUNCTION("""COMPUTED_VALUE"""),3.0)</f>
        <v>3</v>
      </c>
    </row>
    <row r="1646">
      <c r="A1646" s="2">
        <f>IFERROR(__xludf.DUMMYFUNCTION("""COMPUTED_VALUE"""),3.0)</f>
        <v>3</v>
      </c>
    </row>
    <row r="1647">
      <c r="A1647" s="2">
        <f>IFERROR(__xludf.DUMMYFUNCTION("""COMPUTED_VALUE"""),3.0)</f>
        <v>3</v>
      </c>
    </row>
    <row r="1648">
      <c r="A1648" s="2">
        <f>IFERROR(__xludf.DUMMYFUNCTION("""COMPUTED_VALUE"""),3.0)</f>
        <v>3</v>
      </c>
    </row>
    <row r="1649">
      <c r="A1649" s="2">
        <f>IFERROR(__xludf.DUMMYFUNCTION("""COMPUTED_VALUE"""),3.0)</f>
        <v>3</v>
      </c>
    </row>
    <row r="1650">
      <c r="A1650" s="2">
        <f>IFERROR(__xludf.DUMMYFUNCTION("""COMPUTED_VALUE"""),3.0)</f>
        <v>3</v>
      </c>
    </row>
    <row r="1651">
      <c r="A1651" s="2">
        <f>IFERROR(__xludf.DUMMYFUNCTION("""COMPUTED_VALUE"""),3.0)</f>
        <v>3</v>
      </c>
    </row>
    <row r="1652">
      <c r="A1652" s="2">
        <f>IFERROR(__xludf.DUMMYFUNCTION("""COMPUTED_VALUE"""),3.0)</f>
        <v>3</v>
      </c>
    </row>
    <row r="1653">
      <c r="A1653" s="2">
        <f>IFERROR(__xludf.DUMMYFUNCTION("""COMPUTED_VALUE"""),3.0)</f>
        <v>3</v>
      </c>
    </row>
    <row r="1654">
      <c r="A1654" s="2">
        <f>IFERROR(__xludf.DUMMYFUNCTION("""COMPUTED_VALUE"""),3.0)</f>
        <v>3</v>
      </c>
    </row>
    <row r="1655">
      <c r="A1655" s="2">
        <f>IFERROR(__xludf.DUMMYFUNCTION("""COMPUTED_VALUE"""),3.0)</f>
        <v>3</v>
      </c>
    </row>
    <row r="1656">
      <c r="A1656" s="2">
        <f>IFERROR(__xludf.DUMMYFUNCTION("""COMPUTED_VALUE"""),3.0)</f>
        <v>3</v>
      </c>
    </row>
    <row r="1657">
      <c r="A1657" s="2">
        <f>IFERROR(__xludf.DUMMYFUNCTION("""COMPUTED_VALUE"""),3.0)</f>
        <v>3</v>
      </c>
    </row>
    <row r="1658">
      <c r="A1658" s="2">
        <f>IFERROR(__xludf.DUMMYFUNCTION("""COMPUTED_VALUE"""),3.0)</f>
        <v>3</v>
      </c>
    </row>
    <row r="1659">
      <c r="A1659" s="2">
        <f>IFERROR(__xludf.DUMMYFUNCTION("""COMPUTED_VALUE"""),3.0)</f>
        <v>3</v>
      </c>
    </row>
    <row r="1660">
      <c r="A1660" s="2">
        <f>IFERROR(__xludf.DUMMYFUNCTION("""COMPUTED_VALUE"""),3.0)</f>
        <v>3</v>
      </c>
    </row>
    <row r="1661">
      <c r="A1661" s="2">
        <f>IFERROR(__xludf.DUMMYFUNCTION("""COMPUTED_VALUE"""),3.0)</f>
        <v>3</v>
      </c>
    </row>
    <row r="1662">
      <c r="A1662" s="2">
        <f>IFERROR(__xludf.DUMMYFUNCTION("""COMPUTED_VALUE"""),6.0)</f>
        <v>6</v>
      </c>
    </row>
    <row r="1663">
      <c r="A1663" s="2">
        <f>IFERROR(__xludf.DUMMYFUNCTION("""COMPUTED_VALUE"""),6.0)</f>
        <v>6</v>
      </c>
    </row>
    <row r="1664">
      <c r="A1664" s="2">
        <f>IFERROR(__xludf.DUMMYFUNCTION("""COMPUTED_VALUE"""),6.0)</f>
        <v>6</v>
      </c>
    </row>
    <row r="1665">
      <c r="A1665" s="2">
        <f>IFERROR(__xludf.DUMMYFUNCTION("""COMPUTED_VALUE"""),6.0)</f>
        <v>6</v>
      </c>
    </row>
    <row r="1666">
      <c r="A1666" s="2">
        <f>IFERROR(__xludf.DUMMYFUNCTION("""COMPUTED_VALUE"""),6.0)</f>
        <v>6</v>
      </c>
    </row>
    <row r="1667">
      <c r="A1667" s="2">
        <f>IFERROR(__xludf.DUMMYFUNCTION("""COMPUTED_VALUE"""),6.0)</f>
        <v>6</v>
      </c>
    </row>
    <row r="1668">
      <c r="A1668" s="2">
        <f>IFERROR(__xludf.DUMMYFUNCTION("""COMPUTED_VALUE"""),6.0)</f>
        <v>6</v>
      </c>
    </row>
    <row r="1669">
      <c r="A1669" s="2">
        <f>IFERROR(__xludf.DUMMYFUNCTION("""COMPUTED_VALUE"""),6.0)</f>
        <v>6</v>
      </c>
    </row>
    <row r="1670">
      <c r="A1670" s="2">
        <f>IFERROR(__xludf.DUMMYFUNCTION("""COMPUTED_VALUE"""),8.0)</f>
        <v>8</v>
      </c>
    </row>
    <row r="1671">
      <c r="A1671" s="2">
        <f>IFERROR(__xludf.DUMMYFUNCTION("""COMPUTED_VALUE"""),8.0)</f>
        <v>8</v>
      </c>
    </row>
    <row r="1672">
      <c r="A1672" s="2">
        <f>IFERROR(__xludf.DUMMYFUNCTION("""COMPUTED_VALUE"""),2.0)</f>
        <v>2</v>
      </c>
    </row>
    <row r="1673">
      <c r="A1673" s="2">
        <f>IFERROR(__xludf.DUMMYFUNCTION("""COMPUTED_VALUE"""),2.0)</f>
        <v>2</v>
      </c>
    </row>
    <row r="1674">
      <c r="A1674" s="2">
        <f>IFERROR(__xludf.DUMMYFUNCTION("""COMPUTED_VALUE"""),3.0)</f>
        <v>3</v>
      </c>
    </row>
    <row r="1675">
      <c r="A1675" s="2">
        <f>IFERROR(__xludf.DUMMYFUNCTION("""COMPUTED_VALUE"""),8.0)</f>
        <v>8</v>
      </c>
    </row>
    <row r="1676">
      <c r="A1676" s="2">
        <f>IFERROR(__xludf.DUMMYFUNCTION("""COMPUTED_VALUE"""),5.0)</f>
        <v>5</v>
      </c>
    </row>
    <row r="1677">
      <c r="A1677" s="2">
        <f>IFERROR(__xludf.DUMMYFUNCTION("""COMPUTED_VALUE"""),4.0)</f>
        <v>4</v>
      </c>
    </row>
    <row r="1678">
      <c r="A1678" s="2">
        <f>IFERROR(__xludf.DUMMYFUNCTION("""COMPUTED_VALUE"""),4.0)</f>
        <v>4</v>
      </c>
    </row>
    <row r="1679">
      <c r="A1679" s="2">
        <f>IFERROR(__xludf.DUMMYFUNCTION("""COMPUTED_VALUE"""),4.0)</f>
        <v>4</v>
      </c>
    </row>
    <row r="1680">
      <c r="A1680" s="2">
        <f>IFERROR(__xludf.DUMMYFUNCTION("""COMPUTED_VALUE"""),4.0)</f>
        <v>4</v>
      </c>
    </row>
    <row r="1681">
      <c r="A1681" s="2">
        <f>IFERROR(__xludf.DUMMYFUNCTION("""COMPUTED_VALUE"""),4.0)</f>
        <v>4</v>
      </c>
    </row>
    <row r="1682">
      <c r="A1682" s="2">
        <f>IFERROR(__xludf.DUMMYFUNCTION("""COMPUTED_VALUE"""),4.0)</f>
        <v>4</v>
      </c>
    </row>
    <row r="1683">
      <c r="A1683" s="2">
        <f>IFERROR(__xludf.DUMMYFUNCTION("""COMPUTED_VALUE"""),2.0)</f>
        <v>2</v>
      </c>
    </row>
    <row r="1684">
      <c r="A1684" s="2">
        <f>IFERROR(__xludf.DUMMYFUNCTION("""COMPUTED_VALUE"""),2.0)</f>
        <v>2</v>
      </c>
    </row>
    <row r="1685">
      <c r="A1685" s="2">
        <f>IFERROR(__xludf.DUMMYFUNCTION("""COMPUTED_VALUE"""),6.0)</f>
        <v>6</v>
      </c>
    </row>
    <row r="1686">
      <c r="A1686" s="2">
        <f>IFERROR(__xludf.DUMMYFUNCTION("""COMPUTED_VALUE"""),6.0)</f>
        <v>6</v>
      </c>
    </row>
    <row r="1687">
      <c r="A1687" s="2">
        <f>IFERROR(__xludf.DUMMYFUNCTION("""COMPUTED_VALUE"""),2.0)</f>
        <v>2</v>
      </c>
    </row>
    <row r="1688">
      <c r="A1688" s="2">
        <f>IFERROR(__xludf.DUMMYFUNCTION("""COMPUTED_VALUE"""),1.0)</f>
        <v>1</v>
      </c>
    </row>
    <row r="1689">
      <c r="A1689" s="2">
        <f>IFERROR(__xludf.DUMMYFUNCTION("""COMPUTED_VALUE"""),1.0)</f>
        <v>1</v>
      </c>
    </row>
    <row r="1690">
      <c r="A1690" s="2">
        <f>IFERROR(__xludf.DUMMYFUNCTION("""COMPUTED_VALUE"""),1.0)</f>
        <v>1</v>
      </c>
    </row>
    <row r="1691">
      <c r="A1691" s="2">
        <f>IFERROR(__xludf.DUMMYFUNCTION("""COMPUTED_VALUE"""),1.0)</f>
        <v>1</v>
      </c>
    </row>
    <row r="1692">
      <c r="A1692" s="2">
        <f>IFERROR(__xludf.DUMMYFUNCTION("""COMPUTED_VALUE"""),1.0)</f>
        <v>1</v>
      </c>
    </row>
    <row r="1693">
      <c r="A1693" s="2">
        <f>IFERROR(__xludf.DUMMYFUNCTION("""COMPUTED_VALUE"""),1.0)</f>
        <v>1</v>
      </c>
    </row>
    <row r="1694">
      <c r="A1694" s="2">
        <f>IFERROR(__xludf.DUMMYFUNCTION("""COMPUTED_VALUE"""),1.0)</f>
        <v>1</v>
      </c>
    </row>
    <row r="1695">
      <c r="A1695" s="2">
        <f>IFERROR(__xludf.DUMMYFUNCTION("""COMPUTED_VALUE"""),1.0)</f>
        <v>1</v>
      </c>
    </row>
    <row r="1696">
      <c r="A1696" s="2">
        <f>IFERROR(__xludf.DUMMYFUNCTION("""COMPUTED_VALUE"""),1.0)</f>
        <v>1</v>
      </c>
    </row>
    <row r="1697">
      <c r="A1697" s="2">
        <f>IFERROR(__xludf.DUMMYFUNCTION("""COMPUTED_VALUE"""),1.0)</f>
        <v>1</v>
      </c>
    </row>
    <row r="1698">
      <c r="A1698" s="2">
        <f>IFERROR(__xludf.DUMMYFUNCTION("""COMPUTED_VALUE"""),1.0)</f>
        <v>1</v>
      </c>
    </row>
    <row r="1699">
      <c r="A1699" s="2">
        <f>IFERROR(__xludf.DUMMYFUNCTION("""COMPUTED_VALUE"""),1.0)</f>
        <v>1</v>
      </c>
    </row>
    <row r="1700">
      <c r="A1700" s="2">
        <f>IFERROR(__xludf.DUMMYFUNCTION("""COMPUTED_VALUE"""),1.0)</f>
        <v>1</v>
      </c>
    </row>
    <row r="1701">
      <c r="A1701" s="2">
        <f>IFERROR(__xludf.DUMMYFUNCTION("""COMPUTED_VALUE"""),1.0)</f>
        <v>1</v>
      </c>
    </row>
    <row r="1702">
      <c r="A1702" s="2">
        <f>IFERROR(__xludf.DUMMYFUNCTION("""COMPUTED_VALUE"""),1.0)</f>
        <v>1</v>
      </c>
    </row>
    <row r="1703">
      <c r="A1703" s="2">
        <f>IFERROR(__xludf.DUMMYFUNCTION("""COMPUTED_VALUE"""),1.0)</f>
        <v>1</v>
      </c>
    </row>
    <row r="1704">
      <c r="A1704" s="2">
        <f>IFERROR(__xludf.DUMMYFUNCTION("""COMPUTED_VALUE"""),1.0)</f>
        <v>1</v>
      </c>
    </row>
    <row r="1705">
      <c r="A1705" s="2">
        <f>IFERROR(__xludf.DUMMYFUNCTION("""COMPUTED_VALUE"""),1.0)</f>
        <v>1</v>
      </c>
    </row>
    <row r="1706">
      <c r="A1706" s="2">
        <f>IFERROR(__xludf.DUMMYFUNCTION("""COMPUTED_VALUE"""),1.0)</f>
        <v>1</v>
      </c>
    </row>
    <row r="1707">
      <c r="A1707" s="2">
        <f>IFERROR(__xludf.DUMMYFUNCTION("""COMPUTED_VALUE"""),1.0)</f>
        <v>1</v>
      </c>
    </row>
    <row r="1708">
      <c r="A1708" s="2">
        <f>IFERROR(__xludf.DUMMYFUNCTION("""COMPUTED_VALUE"""),1.0)</f>
        <v>1</v>
      </c>
    </row>
    <row r="1709">
      <c r="A1709" s="2">
        <f>IFERROR(__xludf.DUMMYFUNCTION("""COMPUTED_VALUE"""),1.0)</f>
        <v>1</v>
      </c>
    </row>
    <row r="1710">
      <c r="A1710" s="2">
        <f>IFERROR(__xludf.DUMMYFUNCTION("""COMPUTED_VALUE"""),1.0)</f>
        <v>1</v>
      </c>
    </row>
    <row r="1711">
      <c r="A1711" s="2">
        <f>IFERROR(__xludf.DUMMYFUNCTION("""COMPUTED_VALUE"""),1.0)</f>
        <v>1</v>
      </c>
    </row>
    <row r="1712">
      <c r="A1712" s="2">
        <f>IFERROR(__xludf.DUMMYFUNCTION("""COMPUTED_VALUE"""),1.0)</f>
        <v>1</v>
      </c>
    </row>
    <row r="1713">
      <c r="A1713" s="2">
        <f>IFERROR(__xludf.DUMMYFUNCTION("""COMPUTED_VALUE"""),1.0)</f>
        <v>1</v>
      </c>
    </row>
    <row r="1714">
      <c r="A1714" s="2">
        <f>IFERROR(__xludf.DUMMYFUNCTION("""COMPUTED_VALUE"""),1.0)</f>
        <v>1</v>
      </c>
    </row>
    <row r="1715">
      <c r="A1715" s="2">
        <f>IFERROR(__xludf.DUMMYFUNCTION("""COMPUTED_VALUE"""),1.0)</f>
        <v>1</v>
      </c>
    </row>
    <row r="1716">
      <c r="A1716" s="2">
        <f>IFERROR(__xludf.DUMMYFUNCTION("""COMPUTED_VALUE"""),2.0)</f>
        <v>2</v>
      </c>
    </row>
    <row r="1717">
      <c r="A1717" s="2">
        <f>IFERROR(__xludf.DUMMYFUNCTION("""COMPUTED_VALUE"""),2.0)</f>
        <v>2</v>
      </c>
    </row>
    <row r="1718">
      <c r="A1718" s="2">
        <f>IFERROR(__xludf.DUMMYFUNCTION("""COMPUTED_VALUE"""),2.0)</f>
        <v>2</v>
      </c>
    </row>
    <row r="1719">
      <c r="A1719" s="2">
        <f>IFERROR(__xludf.DUMMYFUNCTION("""COMPUTED_VALUE"""),2.0)</f>
        <v>2</v>
      </c>
    </row>
    <row r="1720">
      <c r="A1720" s="2">
        <f>IFERROR(__xludf.DUMMYFUNCTION("""COMPUTED_VALUE"""),2.0)</f>
        <v>2</v>
      </c>
    </row>
    <row r="1721">
      <c r="A1721" s="2">
        <f>IFERROR(__xludf.DUMMYFUNCTION("""COMPUTED_VALUE"""),2.0)</f>
        <v>2</v>
      </c>
    </row>
    <row r="1722">
      <c r="A1722" s="2">
        <f>IFERROR(__xludf.DUMMYFUNCTION("""COMPUTED_VALUE"""),2.0)</f>
        <v>2</v>
      </c>
    </row>
    <row r="1723">
      <c r="A1723" s="2">
        <f>IFERROR(__xludf.DUMMYFUNCTION("""COMPUTED_VALUE"""),2.0)</f>
        <v>2</v>
      </c>
    </row>
    <row r="1724">
      <c r="A1724" s="2">
        <f>IFERROR(__xludf.DUMMYFUNCTION("""COMPUTED_VALUE"""),2.0)</f>
        <v>2</v>
      </c>
    </row>
    <row r="1725">
      <c r="A1725" s="2">
        <f>IFERROR(__xludf.DUMMYFUNCTION("""COMPUTED_VALUE"""),2.0)</f>
        <v>2</v>
      </c>
    </row>
    <row r="1726">
      <c r="A1726" s="2">
        <f>IFERROR(__xludf.DUMMYFUNCTION("""COMPUTED_VALUE"""),2.0)</f>
        <v>2</v>
      </c>
    </row>
    <row r="1727">
      <c r="A1727" s="2">
        <f>IFERROR(__xludf.DUMMYFUNCTION("""COMPUTED_VALUE"""),7.0)</f>
        <v>7</v>
      </c>
    </row>
    <row r="1728">
      <c r="A1728" s="2">
        <f>IFERROR(__xludf.DUMMYFUNCTION("""COMPUTED_VALUE"""),7.0)</f>
        <v>7</v>
      </c>
    </row>
    <row r="1729">
      <c r="A1729" s="2">
        <f>IFERROR(__xludf.DUMMYFUNCTION("""COMPUTED_VALUE"""),7.0)</f>
        <v>7</v>
      </c>
    </row>
    <row r="1730">
      <c r="A1730" s="2">
        <f>IFERROR(__xludf.DUMMYFUNCTION("""COMPUTED_VALUE"""),7.0)</f>
        <v>7</v>
      </c>
    </row>
    <row r="1731">
      <c r="A1731" s="2">
        <f>IFERROR(__xludf.DUMMYFUNCTION("""COMPUTED_VALUE"""),7.0)</f>
        <v>7</v>
      </c>
    </row>
    <row r="1732">
      <c r="A1732" s="2">
        <f>IFERROR(__xludf.DUMMYFUNCTION("""COMPUTED_VALUE"""),7.0)</f>
        <v>7</v>
      </c>
    </row>
    <row r="1733">
      <c r="A1733" s="2">
        <f>IFERROR(__xludf.DUMMYFUNCTION("""COMPUTED_VALUE"""),7.0)</f>
        <v>7</v>
      </c>
    </row>
    <row r="1734">
      <c r="A1734" s="2">
        <f>IFERROR(__xludf.DUMMYFUNCTION("""COMPUTED_VALUE"""),7.0)</f>
        <v>7</v>
      </c>
    </row>
    <row r="1735">
      <c r="A1735" s="2">
        <f>IFERROR(__xludf.DUMMYFUNCTION("""COMPUTED_VALUE"""),4.0)</f>
        <v>4</v>
      </c>
    </row>
    <row r="1736">
      <c r="A1736" s="2">
        <f>IFERROR(__xludf.DUMMYFUNCTION("""COMPUTED_VALUE"""),4.0)</f>
        <v>4</v>
      </c>
    </row>
    <row r="1737">
      <c r="A1737" s="2">
        <f>IFERROR(__xludf.DUMMYFUNCTION("""COMPUTED_VALUE"""),4.0)</f>
        <v>4</v>
      </c>
    </row>
    <row r="1738">
      <c r="A1738" s="2">
        <f>IFERROR(__xludf.DUMMYFUNCTION("""COMPUTED_VALUE"""),4.0)</f>
        <v>4</v>
      </c>
    </row>
    <row r="1739">
      <c r="A1739" s="2">
        <f>IFERROR(__xludf.DUMMYFUNCTION("""COMPUTED_VALUE"""),1.0)</f>
        <v>1</v>
      </c>
    </row>
    <row r="1740">
      <c r="A1740" s="2">
        <f>IFERROR(__xludf.DUMMYFUNCTION("""COMPUTED_VALUE"""),1.0)</f>
        <v>1</v>
      </c>
    </row>
    <row r="1741">
      <c r="A1741" s="2">
        <f>IFERROR(__xludf.DUMMYFUNCTION("""COMPUTED_VALUE"""),1.0)</f>
        <v>1</v>
      </c>
    </row>
    <row r="1742">
      <c r="A1742" s="2">
        <f>IFERROR(__xludf.DUMMYFUNCTION("""COMPUTED_VALUE"""),1.0)</f>
        <v>1</v>
      </c>
    </row>
    <row r="1743">
      <c r="A1743" s="2">
        <f>IFERROR(__xludf.DUMMYFUNCTION("""COMPUTED_VALUE"""),1.0)</f>
        <v>1</v>
      </c>
    </row>
    <row r="1744">
      <c r="A1744" s="2">
        <f>IFERROR(__xludf.DUMMYFUNCTION("""COMPUTED_VALUE"""),1.0)</f>
        <v>1</v>
      </c>
    </row>
    <row r="1745">
      <c r="A1745" s="2">
        <f>IFERROR(__xludf.DUMMYFUNCTION("""COMPUTED_VALUE"""),1.0)</f>
        <v>1</v>
      </c>
    </row>
    <row r="1746">
      <c r="A1746" s="2">
        <f>IFERROR(__xludf.DUMMYFUNCTION("""COMPUTED_VALUE"""),1.0)</f>
        <v>1</v>
      </c>
    </row>
    <row r="1747">
      <c r="A1747" s="2">
        <f>IFERROR(__xludf.DUMMYFUNCTION("""COMPUTED_VALUE"""),5.0)</f>
        <v>5</v>
      </c>
    </row>
    <row r="1748">
      <c r="A1748" s="2">
        <f>IFERROR(__xludf.DUMMYFUNCTION("""COMPUTED_VALUE"""),5.0)</f>
        <v>5</v>
      </c>
    </row>
    <row r="1749">
      <c r="A1749" s="2">
        <f>IFERROR(__xludf.DUMMYFUNCTION("""COMPUTED_VALUE"""),5.0)</f>
        <v>5</v>
      </c>
    </row>
    <row r="1750">
      <c r="A1750" s="2">
        <f>IFERROR(__xludf.DUMMYFUNCTION("""COMPUTED_VALUE"""),5.0)</f>
        <v>5</v>
      </c>
    </row>
    <row r="1751">
      <c r="A1751" s="2">
        <f>IFERROR(__xludf.DUMMYFUNCTION("""COMPUTED_VALUE"""),5.0)</f>
        <v>5</v>
      </c>
    </row>
    <row r="1752">
      <c r="A1752" s="2">
        <f>IFERROR(__xludf.DUMMYFUNCTION("""COMPUTED_VALUE"""),5.0)</f>
        <v>5</v>
      </c>
    </row>
    <row r="1753">
      <c r="A1753" s="2">
        <f>IFERROR(__xludf.DUMMYFUNCTION("""COMPUTED_VALUE"""),5.0)</f>
        <v>5</v>
      </c>
    </row>
    <row r="1754">
      <c r="A1754" s="2">
        <f>IFERROR(__xludf.DUMMYFUNCTION("""COMPUTED_VALUE"""),5.0)</f>
        <v>5</v>
      </c>
    </row>
    <row r="1755">
      <c r="A1755" s="2">
        <f>IFERROR(__xludf.DUMMYFUNCTION("""COMPUTED_VALUE"""),4.0)</f>
        <v>4</v>
      </c>
    </row>
    <row r="1756">
      <c r="A1756" s="2">
        <f>IFERROR(__xludf.DUMMYFUNCTION("""COMPUTED_VALUE"""),4.0)</f>
        <v>4</v>
      </c>
    </row>
    <row r="1757">
      <c r="A1757" s="2">
        <f>IFERROR(__xludf.DUMMYFUNCTION("""COMPUTED_VALUE"""),4.0)</f>
        <v>4</v>
      </c>
    </row>
    <row r="1758">
      <c r="A1758" s="2">
        <f>IFERROR(__xludf.DUMMYFUNCTION("""COMPUTED_VALUE"""),4.0)</f>
        <v>4</v>
      </c>
    </row>
    <row r="1759">
      <c r="A1759" s="2">
        <f>IFERROR(__xludf.DUMMYFUNCTION("""COMPUTED_VALUE"""),4.0)</f>
        <v>4</v>
      </c>
    </row>
    <row r="1760">
      <c r="A1760" s="2">
        <f>IFERROR(__xludf.DUMMYFUNCTION("""COMPUTED_VALUE"""),4.0)</f>
        <v>4</v>
      </c>
    </row>
    <row r="1761">
      <c r="A1761" s="2">
        <f>IFERROR(__xludf.DUMMYFUNCTION("""COMPUTED_VALUE"""),4.0)</f>
        <v>4</v>
      </c>
    </row>
    <row r="1762">
      <c r="A1762" s="2">
        <f>IFERROR(__xludf.DUMMYFUNCTION("""COMPUTED_VALUE"""),4.0)</f>
        <v>4</v>
      </c>
    </row>
    <row r="1763">
      <c r="A1763" s="2">
        <f>IFERROR(__xludf.DUMMYFUNCTION("""COMPUTED_VALUE"""),4.0)</f>
        <v>4</v>
      </c>
    </row>
    <row r="1764">
      <c r="A1764" s="2">
        <f>IFERROR(__xludf.DUMMYFUNCTION("""COMPUTED_VALUE"""),4.0)</f>
        <v>4</v>
      </c>
    </row>
    <row r="1765">
      <c r="A1765" s="2">
        <f>IFERROR(__xludf.DUMMYFUNCTION("""COMPUTED_VALUE"""),4.0)</f>
        <v>4</v>
      </c>
    </row>
    <row r="1766">
      <c r="A1766" s="2">
        <f>IFERROR(__xludf.DUMMYFUNCTION("""COMPUTED_VALUE"""),4.0)</f>
        <v>4</v>
      </c>
    </row>
    <row r="1767">
      <c r="A1767" s="2">
        <f>IFERROR(__xludf.DUMMYFUNCTION("""COMPUTED_VALUE"""),4.0)</f>
        <v>4</v>
      </c>
    </row>
    <row r="1768">
      <c r="A1768" s="2">
        <f>IFERROR(__xludf.DUMMYFUNCTION("""COMPUTED_VALUE"""),4.0)</f>
        <v>4</v>
      </c>
    </row>
    <row r="1769">
      <c r="A1769" s="2">
        <f>IFERROR(__xludf.DUMMYFUNCTION("""COMPUTED_VALUE"""),4.0)</f>
        <v>4</v>
      </c>
    </row>
    <row r="1770">
      <c r="A1770" s="2">
        <f>IFERROR(__xludf.DUMMYFUNCTION("""COMPUTED_VALUE"""),4.0)</f>
        <v>4</v>
      </c>
    </row>
    <row r="1771">
      <c r="A1771" s="2">
        <f>IFERROR(__xludf.DUMMYFUNCTION("""COMPUTED_VALUE"""),1.0)</f>
        <v>1</v>
      </c>
    </row>
    <row r="1772">
      <c r="A1772" s="2">
        <f>IFERROR(__xludf.DUMMYFUNCTION("""COMPUTED_VALUE"""),1.0)</f>
        <v>1</v>
      </c>
    </row>
    <row r="1773">
      <c r="A1773" s="2">
        <f>IFERROR(__xludf.DUMMYFUNCTION("""COMPUTED_VALUE"""),1.0)</f>
        <v>1</v>
      </c>
    </row>
    <row r="1774">
      <c r="A1774" s="2">
        <f>IFERROR(__xludf.DUMMYFUNCTION("""COMPUTED_VALUE"""),1.0)</f>
        <v>1</v>
      </c>
    </row>
    <row r="1775">
      <c r="A1775" s="2">
        <f>IFERROR(__xludf.DUMMYFUNCTION("""COMPUTED_VALUE"""),1.0)</f>
        <v>1</v>
      </c>
    </row>
    <row r="1776">
      <c r="A1776" s="2">
        <f>IFERROR(__xludf.DUMMYFUNCTION("""COMPUTED_VALUE"""),1.0)</f>
        <v>1</v>
      </c>
    </row>
    <row r="1777">
      <c r="A1777" s="2">
        <f>IFERROR(__xludf.DUMMYFUNCTION("""COMPUTED_VALUE"""),1.0)</f>
        <v>1</v>
      </c>
    </row>
    <row r="1778">
      <c r="A1778" s="2">
        <f>IFERROR(__xludf.DUMMYFUNCTION("""COMPUTED_VALUE"""),1.0)</f>
        <v>1</v>
      </c>
    </row>
    <row r="1779">
      <c r="A1779" s="2">
        <f>IFERROR(__xludf.DUMMYFUNCTION("""COMPUTED_VALUE"""),1.0)</f>
        <v>1</v>
      </c>
    </row>
    <row r="1780">
      <c r="A1780" s="2">
        <f>IFERROR(__xludf.DUMMYFUNCTION("""COMPUTED_VALUE"""),1.0)</f>
        <v>1</v>
      </c>
    </row>
    <row r="1781">
      <c r="A1781" s="2">
        <f>IFERROR(__xludf.DUMMYFUNCTION("""COMPUTED_VALUE"""),1.0)</f>
        <v>1</v>
      </c>
    </row>
    <row r="1782">
      <c r="A1782" s="2">
        <f>IFERROR(__xludf.DUMMYFUNCTION("""COMPUTED_VALUE"""),1.0)</f>
        <v>1</v>
      </c>
    </row>
    <row r="1783">
      <c r="A1783" s="2">
        <f>IFERROR(__xludf.DUMMYFUNCTION("""COMPUTED_VALUE"""),1.0)</f>
        <v>1</v>
      </c>
    </row>
    <row r="1784">
      <c r="A1784" s="2">
        <f>IFERROR(__xludf.DUMMYFUNCTION("""COMPUTED_VALUE"""),1.0)</f>
        <v>1</v>
      </c>
    </row>
    <row r="1785">
      <c r="A1785" s="2">
        <f>IFERROR(__xludf.DUMMYFUNCTION("""COMPUTED_VALUE"""),1.0)</f>
        <v>1</v>
      </c>
    </row>
    <row r="1786">
      <c r="A1786" s="2">
        <f>IFERROR(__xludf.DUMMYFUNCTION("""COMPUTED_VALUE"""),1.0)</f>
        <v>1</v>
      </c>
    </row>
    <row r="1787">
      <c r="A1787" s="2">
        <f>IFERROR(__xludf.DUMMYFUNCTION("""COMPUTED_VALUE"""),1.0)</f>
        <v>1</v>
      </c>
    </row>
    <row r="1788">
      <c r="A1788" s="2">
        <f>IFERROR(__xludf.DUMMYFUNCTION("""COMPUTED_VALUE"""),1.0)</f>
        <v>1</v>
      </c>
    </row>
    <row r="1789">
      <c r="A1789" s="2">
        <f>IFERROR(__xludf.DUMMYFUNCTION("""COMPUTED_VALUE"""),1.0)</f>
        <v>1</v>
      </c>
    </row>
    <row r="1790">
      <c r="A1790" s="2">
        <f>IFERROR(__xludf.DUMMYFUNCTION("""COMPUTED_VALUE"""),1.0)</f>
        <v>1</v>
      </c>
    </row>
    <row r="1791">
      <c r="A1791" s="2">
        <f>IFERROR(__xludf.DUMMYFUNCTION("""COMPUTED_VALUE"""),1.0)</f>
        <v>1</v>
      </c>
    </row>
    <row r="1792">
      <c r="A1792" s="2">
        <f>IFERROR(__xludf.DUMMYFUNCTION("""COMPUTED_VALUE"""),1.0)</f>
        <v>1</v>
      </c>
    </row>
    <row r="1793">
      <c r="A1793" s="2">
        <f>IFERROR(__xludf.DUMMYFUNCTION("""COMPUTED_VALUE"""),5.0)</f>
        <v>5</v>
      </c>
    </row>
    <row r="1794">
      <c r="A1794" s="2">
        <f>IFERROR(__xludf.DUMMYFUNCTION("""COMPUTED_VALUE"""),5.0)</f>
        <v>5</v>
      </c>
    </row>
    <row r="1795">
      <c r="A1795" s="2">
        <f>IFERROR(__xludf.DUMMYFUNCTION("""COMPUTED_VALUE"""),5.0)</f>
        <v>5</v>
      </c>
    </row>
    <row r="1796">
      <c r="A1796" s="2">
        <f>IFERROR(__xludf.DUMMYFUNCTION("""COMPUTED_VALUE"""),5.0)</f>
        <v>5</v>
      </c>
    </row>
    <row r="1797">
      <c r="A1797" s="2">
        <f>IFERROR(__xludf.DUMMYFUNCTION("""COMPUTED_VALUE"""),5.0)</f>
        <v>5</v>
      </c>
    </row>
    <row r="1798">
      <c r="A1798" s="2">
        <f>IFERROR(__xludf.DUMMYFUNCTION("""COMPUTED_VALUE"""),5.0)</f>
        <v>5</v>
      </c>
    </row>
    <row r="1799">
      <c r="A1799" s="2">
        <f>IFERROR(__xludf.DUMMYFUNCTION("""COMPUTED_VALUE"""),5.0)</f>
        <v>5</v>
      </c>
    </row>
    <row r="1800">
      <c r="A1800" s="2">
        <f>IFERROR(__xludf.DUMMYFUNCTION("""COMPUTED_VALUE"""),5.0)</f>
        <v>5</v>
      </c>
    </row>
    <row r="1801">
      <c r="A1801" s="2">
        <f>IFERROR(__xludf.DUMMYFUNCTION("""COMPUTED_VALUE"""),5.0)</f>
        <v>5</v>
      </c>
    </row>
    <row r="1802">
      <c r="A1802" s="2">
        <f>IFERROR(__xludf.DUMMYFUNCTION("""COMPUTED_VALUE"""),5.0)</f>
        <v>5</v>
      </c>
    </row>
    <row r="1803">
      <c r="A1803" s="2">
        <f>IFERROR(__xludf.DUMMYFUNCTION("""COMPUTED_VALUE"""),5.0)</f>
        <v>5</v>
      </c>
    </row>
    <row r="1804">
      <c r="A1804" s="2">
        <f>IFERROR(__xludf.DUMMYFUNCTION("""COMPUTED_VALUE"""),5.0)</f>
        <v>5</v>
      </c>
    </row>
    <row r="1805">
      <c r="A1805" s="2">
        <f>IFERROR(__xludf.DUMMYFUNCTION("""COMPUTED_VALUE"""),5.0)</f>
        <v>5</v>
      </c>
    </row>
    <row r="1806">
      <c r="A1806" s="2">
        <f>IFERROR(__xludf.DUMMYFUNCTION("""COMPUTED_VALUE"""),5.0)</f>
        <v>5</v>
      </c>
    </row>
    <row r="1807">
      <c r="A1807" s="2">
        <f>IFERROR(__xludf.DUMMYFUNCTION("""COMPUTED_VALUE"""),5.0)</f>
        <v>5</v>
      </c>
    </row>
    <row r="1808">
      <c r="A1808" s="2">
        <f>IFERROR(__xludf.DUMMYFUNCTION("""COMPUTED_VALUE"""),5.0)</f>
        <v>5</v>
      </c>
    </row>
    <row r="1809">
      <c r="A1809" s="2">
        <f>IFERROR(__xludf.DUMMYFUNCTION("""COMPUTED_VALUE"""),5.0)</f>
        <v>5</v>
      </c>
    </row>
    <row r="1810">
      <c r="A1810" s="2">
        <f>IFERROR(__xludf.DUMMYFUNCTION("""COMPUTED_VALUE"""),5.0)</f>
        <v>5</v>
      </c>
    </row>
    <row r="1811">
      <c r="A1811" s="2">
        <f>IFERROR(__xludf.DUMMYFUNCTION("""COMPUTED_VALUE"""),5.0)</f>
        <v>5</v>
      </c>
    </row>
    <row r="1812">
      <c r="A1812" s="2">
        <f>IFERROR(__xludf.DUMMYFUNCTION("""COMPUTED_VALUE"""),5.0)</f>
        <v>5</v>
      </c>
    </row>
    <row r="1813">
      <c r="A1813" s="2">
        <f>IFERROR(__xludf.DUMMYFUNCTION("""COMPUTED_VALUE"""),5.0)</f>
        <v>5</v>
      </c>
    </row>
    <row r="1814">
      <c r="A1814" s="2">
        <f>IFERROR(__xludf.DUMMYFUNCTION("""COMPUTED_VALUE"""),5.0)</f>
        <v>5</v>
      </c>
    </row>
    <row r="1815">
      <c r="A1815" s="2">
        <f>IFERROR(__xludf.DUMMYFUNCTION("""COMPUTED_VALUE"""),5.0)</f>
        <v>5</v>
      </c>
    </row>
    <row r="1816">
      <c r="A1816" s="2">
        <f>IFERROR(__xludf.DUMMYFUNCTION("""COMPUTED_VALUE"""),5.0)</f>
        <v>5</v>
      </c>
    </row>
    <row r="1817">
      <c r="A1817" s="2">
        <f>IFERROR(__xludf.DUMMYFUNCTION("""COMPUTED_VALUE"""),5.0)</f>
        <v>5</v>
      </c>
    </row>
    <row r="1818">
      <c r="A1818" s="2">
        <f>IFERROR(__xludf.DUMMYFUNCTION("""COMPUTED_VALUE"""),5.0)</f>
        <v>5</v>
      </c>
    </row>
    <row r="1819">
      <c r="A1819" s="2">
        <f>IFERROR(__xludf.DUMMYFUNCTION("""COMPUTED_VALUE"""),5.0)</f>
        <v>5</v>
      </c>
    </row>
    <row r="1820">
      <c r="A1820" s="2">
        <f>IFERROR(__xludf.DUMMYFUNCTION("""COMPUTED_VALUE"""),5.0)</f>
        <v>5</v>
      </c>
    </row>
    <row r="1821">
      <c r="A1821" s="2">
        <f>IFERROR(__xludf.DUMMYFUNCTION("""COMPUTED_VALUE"""),5.0)</f>
        <v>5</v>
      </c>
    </row>
    <row r="1822">
      <c r="A1822" s="2">
        <f>IFERROR(__xludf.DUMMYFUNCTION("""COMPUTED_VALUE"""),5.0)</f>
        <v>5</v>
      </c>
    </row>
    <row r="1823">
      <c r="A1823" s="2">
        <f>IFERROR(__xludf.DUMMYFUNCTION("""COMPUTED_VALUE"""),5.0)</f>
        <v>5</v>
      </c>
    </row>
    <row r="1824">
      <c r="A1824" s="2">
        <f>IFERROR(__xludf.DUMMYFUNCTION("""COMPUTED_VALUE"""),5.0)</f>
        <v>5</v>
      </c>
    </row>
    <row r="1825">
      <c r="A1825" s="2">
        <f>IFERROR(__xludf.DUMMYFUNCTION("""COMPUTED_VALUE"""),5.0)</f>
        <v>5</v>
      </c>
    </row>
    <row r="1826">
      <c r="A1826" s="2">
        <f>IFERROR(__xludf.DUMMYFUNCTION("""COMPUTED_VALUE"""),5.0)</f>
        <v>5</v>
      </c>
    </row>
    <row r="1827">
      <c r="A1827" s="2">
        <f>IFERROR(__xludf.DUMMYFUNCTION("""COMPUTED_VALUE"""),5.0)</f>
        <v>5</v>
      </c>
    </row>
    <row r="1828">
      <c r="A1828" s="2">
        <f>IFERROR(__xludf.DUMMYFUNCTION("""COMPUTED_VALUE"""),6.0)</f>
        <v>6</v>
      </c>
    </row>
    <row r="1829">
      <c r="A1829" s="2">
        <f>IFERROR(__xludf.DUMMYFUNCTION("""COMPUTED_VALUE"""),6.0)</f>
        <v>6</v>
      </c>
    </row>
    <row r="1830">
      <c r="A1830" s="2">
        <f>IFERROR(__xludf.DUMMYFUNCTION("""COMPUTED_VALUE"""),6.0)</f>
        <v>6</v>
      </c>
    </row>
    <row r="1831">
      <c r="A1831" s="2">
        <f>IFERROR(__xludf.DUMMYFUNCTION("""COMPUTED_VALUE"""),6.0)</f>
        <v>6</v>
      </c>
    </row>
    <row r="1832">
      <c r="A1832" s="2">
        <f>IFERROR(__xludf.DUMMYFUNCTION("""COMPUTED_VALUE"""),6.0)</f>
        <v>6</v>
      </c>
    </row>
    <row r="1833">
      <c r="A1833" s="2">
        <f>IFERROR(__xludf.DUMMYFUNCTION("""COMPUTED_VALUE"""),6.0)</f>
        <v>6</v>
      </c>
    </row>
    <row r="1834">
      <c r="A1834" s="2">
        <f>IFERROR(__xludf.DUMMYFUNCTION("""COMPUTED_VALUE"""),6.0)</f>
        <v>6</v>
      </c>
    </row>
    <row r="1835">
      <c r="A1835" s="2">
        <f>IFERROR(__xludf.DUMMYFUNCTION("""COMPUTED_VALUE"""),6.0)</f>
        <v>6</v>
      </c>
    </row>
    <row r="1836">
      <c r="A1836" s="2">
        <f>IFERROR(__xludf.DUMMYFUNCTION("""COMPUTED_VALUE"""),6.0)</f>
        <v>6</v>
      </c>
    </row>
    <row r="1837">
      <c r="A1837" s="2">
        <f>IFERROR(__xludf.DUMMYFUNCTION("""COMPUTED_VALUE"""),6.0)</f>
        <v>6</v>
      </c>
    </row>
    <row r="1838">
      <c r="A1838" s="2">
        <f>IFERROR(__xludf.DUMMYFUNCTION("""COMPUTED_VALUE"""),6.0)</f>
        <v>6</v>
      </c>
    </row>
    <row r="1839">
      <c r="A1839" s="2">
        <f>IFERROR(__xludf.DUMMYFUNCTION("""COMPUTED_VALUE"""),6.0)</f>
        <v>6</v>
      </c>
    </row>
    <row r="1840">
      <c r="A1840" s="2">
        <f>IFERROR(__xludf.DUMMYFUNCTION("""COMPUTED_VALUE"""),6.0)</f>
        <v>6</v>
      </c>
    </row>
    <row r="1841">
      <c r="A1841" s="2">
        <f>IFERROR(__xludf.DUMMYFUNCTION("""COMPUTED_VALUE"""),6.0)</f>
        <v>6</v>
      </c>
    </row>
    <row r="1842">
      <c r="A1842" s="2">
        <f>IFERROR(__xludf.DUMMYFUNCTION("""COMPUTED_VALUE"""),6.0)</f>
        <v>6</v>
      </c>
    </row>
    <row r="1843">
      <c r="A1843" s="2">
        <f>IFERROR(__xludf.DUMMYFUNCTION("""COMPUTED_VALUE"""),6.0)</f>
        <v>6</v>
      </c>
    </row>
    <row r="1844">
      <c r="A1844" s="2">
        <f>IFERROR(__xludf.DUMMYFUNCTION("""COMPUTED_VALUE"""),6.0)</f>
        <v>6</v>
      </c>
    </row>
    <row r="1845">
      <c r="A1845" s="2">
        <f>IFERROR(__xludf.DUMMYFUNCTION("""COMPUTED_VALUE"""),6.0)</f>
        <v>6</v>
      </c>
    </row>
    <row r="1846">
      <c r="A1846" s="2">
        <f>IFERROR(__xludf.DUMMYFUNCTION("""COMPUTED_VALUE"""),6.0)</f>
        <v>6</v>
      </c>
    </row>
    <row r="1847">
      <c r="A1847" s="2">
        <f>IFERROR(__xludf.DUMMYFUNCTION("""COMPUTED_VALUE"""),6.0)</f>
        <v>6</v>
      </c>
    </row>
    <row r="1848">
      <c r="A1848" s="2">
        <f>IFERROR(__xludf.DUMMYFUNCTION("""COMPUTED_VALUE"""),6.0)</f>
        <v>6</v>
      </c>
    </row>
    <row r="1849">
      <c r="A1849" s="2">
        <f>IFERROR(__xludf.DUMMYFUNCTION("""COMPUTED_VALUE"""),6.0)</f>
        <v>6</v>
      </c>
    </row>
    <row r="1850">
      <c r="A1850" s="2">
        <f>IFERROR(__xludf.DUMMYFUNCTION("""COMPUTED_VALUE"""),6.0)</f>
        <v>6</v>
      </c>
    </row>
    <row r="1851">
      <c r="A1851" s="2">
        <f>IFERROR(__xludf.DUMMYFUNCTION("""COMPUTED_VALUE"""),6.0)</f>
        <v>6</v>
      </c>
    </row>
    <row r="1852">
      <c r="A1852" s="2">
        <f>IFERROR(__xludf.DUMMYFUNCTION("""COMPUTED_VALUE"""),6.0)</f>
        <v>6</v>
      </c>
    </row>
    <row r="1853">
      <c r="A1853" s="2">
        <f>IFERROR(__xludf.DUMMYFUNCTION("""COMPUTED_VALUE"""),6.0)</f>
        <v>6</v>
      </c>
    </row>
    <row r="1854">
      <c r="A1854" s="2">
        <f>IFERROR(__xludf.DUMMYFUNCTION("""COMPUTED_VALUE"""),7.0)</f>
        <v>7</v>
      </c>
    </row>
    <row r="1855">
      <c r="A1855" s="2">
        <f>IFERROR(__xludf.DUMMYFUNCTION("""COMPUTED_VALUE"""),7.0)</f>
        <v>7</v>
      </c>
    </row>
    <row r="1856">
      <c r="A1856" s="2">
        <f>IFERROR(__xludf.DUMMYFUNCTION("""COMPUTED_VALUE"""),7.0)</f>
        <v>7</v>
      </c>
    </row>
    <row r="1857">
      <c r="A1857" s="2">
        <f>IFERROR(__xludf.DUMMYFUNCTION("""COMPUTED_VALUE"""),7.0)</f>
        <v>7</v>
      </c>
    </row>
    <row r="1858">
      <c r="A1858" s="2">
        <f>IFERROR(__xludf.DUMMYFUNCTION("""COMPUTED_VALUE"""),7.0)</f>
        <v>7</v>
      </c>
    </row>
    <row r="1859">
      <c r="A1859" s="2">
        <f>IFERROR(__xludf.DUMMYFUNCTION("""COMPUTED_VALUE"""),7.0)</f>
        <v>7</v>
      </c>
    </row>
    <row r="1860">
      <c r="A1860" s="2">
        <f>IFERROR(__xludf.DUMMYFUNCTION("""COMPUTED_VALUE"""),2.0)</f>
        <v>2</v>
      </c>
    </row>
    <row r="1861">
      <c r="A1861" s="2">
        <f>IFERROR(__xludf.DUMMYFUNCTION("""COMPUTED_VALUE"""),2.0)</f>
        <v>2</v>
      </c>
    </row>
    <row r="1862">
      <c r="A1862" s="2">
        <f>IFERROR(__xludf.DUMMYFUNCTION("""COMPUTED_VALUE"""),8.0)</f>
        <v>8</v>
      </c>
    </row>
    <row r="1863">
      <c r="A1863" s="2">
        <f>IFERROR(__xludf.DUMMYFUNCTION("""COMPUTED_VALUE"""),8.0)</f>
        <v>8</v>
      </c>
    </row>
    <row r="1864">
      <c r="A1864" s="2">
        <f>IFERROR(__xludf.DUMMYFUNCTION("""COMPUTED_VALUE"""),3.0)</f>
        <v>3</v>
      </c>
    </row>
    <row r="1865">
      <c r="A1865" s="2">
        <f>IFERROR(__xludf.DUMMYFUNCTION("""COMPUTED_VALUE"""),3.0)</f>
        <v>3</v>
      </c>
    </row>
    <row r="1866">
      <c r="A1866" s="2">
        <f>IFERROR(__xludf.DUMMYFUNCTION("""COMPUTED_VALUE"""),3.0)</f>
        <v>3</v>
      </c>
    </row>
    <row r="1867">
      <c r="A1867" s="2">
        <f>IFERROR(__xludf.DUMMYFUNCTION("""COMPUTED_VALUE"""),3.0)</f>
        <v>3</v>
      </c>
    </row>
    <row r="1868">
      <c r="A1868" s="2">
        <f>IFERROR(__xludf.DUMMYFUNCTION("""COMPUTED_VALUE"""),3.0)</f>
        <v>3</v>
      </c>
    </row>
    <row r="1869">
      <c r="A1869" s="2">
        <f>IFERROR(__xludf.DUMMYFUNCTION("""COMPUTED_VALUE"""),3.0)</f>
        <v>3</v>
      </c>
    </row>
    <row r="1870">
      <c r="A1870" s="2">
        <f>IFERROR(__xludf.DUMMYFUNCTION("""COMPUTED_VALUE"""),3.0)</f>
        <v>3</v>
      </c>
    </row>
    <row r="1871">
      <c r="A1871" s="2">
        <f>IFERROR(__xludf.DUMMYFUNCTION("""COMPUTED_VALUE"""),3.0)</f>
        <v>3</v>
      </c>
    </row>
    <row r="1872">
      <c r="A1872" s="2">
        <f>IFERROR(__xludf.DUMMYFUNCTION("""COMPUTED_VALUE"""),1.0)</f>
        <v>1</v>
      </c>
    </row>
    <row r="1873">
      <c r="A1873" s="2">
        <f>IFERROR(__xludf.DUMMYFUNCTION("""COMPUTED_VALUE"""),1.0)</f>
        <v>1</v>
      </c>
    </row>
    <row r="1874">
      <c r="A1874" s="2">
        <f>IFERROR(__xludf.DUMMYFUNCTION("""COMPUTED_VALUE"""),1.0)</f>
        <v>1</v>
      </c>
    </row>
    <row r="1875">
      <c r="A1875" s="2">
        <f>IFERROR(__xludf.DUMMYFUNCTION("""COMPUTED_VALUE"""),1.0)</f>
        <v>1</v>
      </c>
    </row>
    <row r="1876">
      <c r="A1876" s="2">
        <f>IFERROR(__xludf.DUMMYFUNCTION("""COMPUTED_VALUE"""),1.0)</f>
        <v>1</v>
      </c>
    </row>
    <row r="1877">
      <c r="A1877" s="2">
        <f>IFERROR(__xludf.DUMMYFUNCTION("""COMPUTED_VALUE"""),7.0)</f>
        <v>7</v>
      </c>
    </row>
    <row r="1878">
      <c r="A1878" s="2">
        <f>IFERROR(__xludf.DUMMYFUNCTION("""COMPUTED_VALUE"""),5.0)</f>
        <v>5</v>
      </c>
    </row>
    <row r="1879">
      <c r="A1879" s="2">
        <f>IFERROR(__xludf.DUMMYFUNCTION("""COMPUTED_VALUE"""),5.0)</f>
        <v>5</v>
      </c>
    </row>
    <row r="1880">
      <c r="A1880" s="2">
        <f>IFERROR(__xludf.DUMMYFUNCTION("""COMPUTED_VALUE"""),5.0)</f>
        <v>5</v>
      </c>
    </row>
    <row r="1881">
      <c r="A1881" s="2">
        <f>IFERROR(__xludf.DUMMYFUNCTION("""COMPUTED_VALUE"""),5.0)</f>
        <v>5</v>
      </c>
    </row>
    <row r="1882">
      <c r="A1882" s="2">
        <f>IFERROR(__xludf.DUMMYFUNCTION("""COMPUTED_VALUE"""),5.0)</f>
        <v>5</v>
      </c>
    </row>
    <row r="1883">
      <c r="A1883" s="2">
        <f>IFERROR(__xludf.DUMMYFUNCTION("""COMPUTED_VALUE"""),5.0)</f>
        <v>5</v>
      </c>
    </row>
    <row r="1884">
      <c r="A1884" s="2">
        <f>IFERROR(__xludf.DUMMYFUNCTION("""COMPUTED_VALUE"""),5.0)</f>
        <v>5</v>
      </c>
    </row>
    <row r="1885">
      <c r="A1885" s="2">
        <f>IFERROR(__xludf.DUMMYFUNCTION("""COMPUTED_VALUE"""),6.0)</f>
        <v>6</v>
      </c>
    </row>
    <row r="1886">
      <c r="A1886" s="2">
        <f>IFERROR(__xludf.DUMMYFUNCTION("""COMPUTED_VALUE"""),6.0)</f>
        <v>6</v>
      </c>
    </row>
    <row r="1887">
      <c r="A1887" s="2">
        <f>IFERROR(__xludf.DUMMYFUNCTION("""COMPUTED_VALUE"""),6.0)</f>
        <v>6</v>
      </c>
    </row>
    <row r="1888">
      <c r="A1888" s="2">
        <f>IFERROR(__xludf.DUMMYFUNCTION("""COMPUTED_VALUE"""),6.0)</f>
        <v>6</v>
      </c>
    </row>
    <row r="1889">
      <c r="A1889" s="2">
        <f>IFERROR(__xludf.DUMMYFUNCTION("""COMPUTED_VALUE"""),8.0)</f>
        <v>8</v>
      </c>
    </row>
    <row r="1890">
      <c r="A1890" s="2">
        <f>IFERROR(__xludf.DUMMYFUNCTION("""COMPUTED_VALUE"""),8.0)</f>
        <v>8</v>
      </c>
    </row>
    <row r="1891">
      <c r="A1891" s="2">
        <f>IFERROR(__xludf.DUMMYFUNCTION("""COMPUTED_VALUE"""),8.0)</f>
        <v>8</v>
      </c>
    </row>
    <row r="1892">
      <c r="A1892" s="2">
        <f>IFERROR(__xludf.DUMMYFUNCTION("""COMPUTED_VALUE"""),8.0)</f>
        <v>8</v>
      </c>
    </row>
    <row r="1893">
      <c r="A1893" s="2">
        <f>IFERROR(__xludf.DUMMYFUNCTION("""COMPUTED_VALUE"""),8.0)</f>
        <v>8</v>
      </c>
    </row>
    <row r="1894">
      <c r="A1894" s="2">
        <f>IFERROR(__xludf.DUMMYFUNCTION("""COMPUTED_VALUE"""),4.0)</f>
        <v>4</v>
      </c>
    </row>
    <row r="1895">
      <c r="A1895" s="2">
        <f>IFERROR(__xludf.DUMMYFUNCTION("""COMPUTED_VALUE"""),4.0)</f>
        <v>4</v>
      </c>
    </row>
    <row r="1896">
      <c r="A1896" s="2">
        <f>IFERROR(__xludf.DUMMYFUNCTION("""COMPUTED_VALUE"""),4.0)</f>
        <v>4</v>
      </c>
    </row>
    <row r="1897">
      <c r="A1897" s="2">
        <f>IFERROR(__xludf.DUMMYFUNCTION("""COMPUTED_VALUE"""),4.0)</f>
        <v>4</v>
      </c>
    </row>
    <row r="1898">
      <c r="A1898" s="2">
        <f>IFERROR(__xludf.DUMMYFUNCTION("""COMPUTED_VALUE"""),4.0)</f>
        <v>4</v>
      </c>
    </row>
    <row r="1899">
      <c r="A1899" s="2">
        <f>IFERROR(__xludf.DUMMYFUNCTION("""COMPUTED_VALUE"""),4.0)</f>
        <v>4</v>
      </c>
    </row>
    <row r="1900">
      <c r="A1900" s="2">
        <f>IFERROR(__xludf.DUMMYFUNCTION("""COMPUTED_VALUE"""),3.0)</f>
        <v>3</v>
      </c>
    </row>
    <row r="1901">
      <c r="A1901" s="2">
        <f>IFERROR(__xludf.DUMMYFUNCTION("""COMPUTED_VALUE"""),3.0)</f>
        <v>3</v>
      </c>
    </row>
    <row r="1902">
      <c r="A1902" s="2">
        <f>IFERROR(__xludf.DUMMYFUNCTION("""COMPUTED_VALUE"""),6.0)</f>
        <v>6</v>
      </c>
    </row>
    <row r="1903">
      <c r="A1903" s="2">
        <f>IFERROR(__xludf.DUMMYFUNCTION("""COMPUTED_VALUE"""),6.0)</f>
        <v>6</v>
      </c>
    </row>
    <row r="1904">
      <c r="A1904" s="2">
        <f>IFERROR(__xludf.DUMMYFUNCTION("""COMPUTED_VALUE"""),6.0)</f>
        <v>6</v>
      </c>
    </row>
    <row r="1905">
      <c r="A1905" s="2">
        <f>IFERROR(__xludf.DUMMYFUNCTION("""COMPUTED_VALUE"""),6.0)</f>
        <v>6</v>
      </c>
    </row>
    <row r="1906">
      <c r="A1906" s="2">
        <f>IFERROR(__xludf.DUMMYFUNCTION("""COMPUTED_VALUE"""),6.0)</f>
        <v>6</v>
      </c>
    </row>
    <row r="1907">
      <c r="A1907" s="2">
        <f>IFERROR(__xludf.DUMMYFUNCTION("""COMPUTED_VALUE"""),2.0)</f>
        <v>2</v>
      </c>
    </row>
    <row r="1908">
      <c r="A1908" s="2">
        <f>IFERROR(__xludf.DUMMYFUNCTION("""COMPUTED_VALUE"""),4.0)</f>
        <v>4</v>
      </c>
    </row>
    <row r="1909">
      <c r="A1909" s="2">
        <f>IFERROR(__xludf.DUMMYFUNCTION("""COMPUTED_VALUE"""),6.0)</f>
        <v>6</v>
      </c>
    </row>
    <row r="1910">
      <c r="A1910" s="2">
        <f>IFERROR(__xludf.DUMMYFUNCTION("""COMPUTED_VALUE"""),6.0)</f>
        <v>6</v>
      </c>
    </row>
    <row r="1911">
      <c r="A1911" s="2">
        <f>IFERROR(__xludf.DUMMYFUNCTION("""COMPUTED_VALUE"""),6.0)</f>
        <v>6</v>
      </c>
    </row>
    <row r="1912">
      <c r="A1912" s="2">
        <f>IFERROR(__xludf.DUMMYFUNCTION("""COMPUTED_VALUE"""),6.0)</f>
        <v>6</v>
      </c>
    </row>
    <row r="1913">
      <c r="A1913" s="2">
        <f>IFERROR(__xludf.DUMMYFUNCTION("""COMPUTED_VALUE"""),6.0)</f>
        <v>6</v>
      </c>
    </row>
    <row r="1914">
      <c r="A1914" s="2">
        <f>IFERROR(__xludf.DUMMYFUNCTION("""COMPUTED_VALUE"""),6.0)</f>
        <v>6</v>
      </c>
    </row>
    <row r="1915">
      <c r="A1915" s="2">
        <f>IFERROR(__xludf.DUMMYFUNCTION("""COMPUTED_VALUE"""),6.0)</f>
        <v>6</v>
      </c>
    </row>
    <row r="1916">
      <c r="A1916" s="2">
        <f>IFERROR(__xludf.DUMMYFUNCTION("""COMPUTED_VALUE"""),6.0)</f>
        <v>6</v>
      </c>
    </row>
    <row r="1917">
      <c r="A1917" s="2">
        <f>IFERROR(__xludf.DUMMYFUNCTION("""COMPUTED_VALUE"""),6.0)</f>
        <v>6</v>
      </c>
    </row>
    <row r="1918">
      <c r="A1918" s="2">
        <f>IFERROR(__xludf.DUMMYFUNCTION("""COMPUTED_VALUE"""),6.0)</f>
        <v>6</v>
      </c>
    </row>
    <row r="1919">
      <c r="A1919" s="2">
        <f>IFERROR(__xludf.DUMMYFUNCTION("""COMPUTED_VALUE"""),9.0)</f>
        <v>9</v>
      </c>
    </row>
    <row r="1920">
      <c r="A1920" s="2">
        <f>IFERROR(__xludf.DUMMYFUNCTION("""COMPUTED_VALUE"""),9.0)</f>
        <v>9</v>
      </c>
    </row>
    <row r="1921">
      <c r="A1921" s="2">
        <f>IFERROR(__xludf.DUMMYFUNCTION("""COMPUTED_VALUE"""),9.0)</f>
        <v>9</v>
      </c>
    </row>
    <row r="1922">
      <c r="A1922" s="2">
        <f>IFERROR(__xludf.DUMMYFUNCTION("""COMPUTED_VALUE"""),9.0)</f>
        <v>9</v>
      </c>
    </row>
    <row r="1923">
      <c r="A1923" s="2">
        <f>IFERROR(__xludf.DUMMYFUNCTION("""COMPUTED_VALUE"""),9.0)</f>
        <v>9</v>
      </c>
    </row>
    <row r="1924">
      <c r="A1924" s="2">
        <f>IFERROR(__xludf.DUMMYFUNCTION("""COMPUTED_VALUE"""),9.0)</f>
        <v>9</v>
      </c>
    </row>
    <row r="1925">
      <c r="A1925" s="2">
        <f>IFERROR(__xludf.DUMMYFUNCTION("""COMPUTED_VALUE"""),9.0)</f>
        <v>9</v>
      </c>
    </row>
    <row r="1926">
      <c r="A1926" s="2">
        <f>IFERROR(__xludf.DUMMYFUNCTION("""COMPUTED_VALUE"""),9.0)</f>
        <v>9</v>
      </c>
    </row>
    <row r="1927">
      <c r="A1927" s="2">
        <f>IFERROR(__xludf.DUMMYFUNCTION("""COMPUTED_VALUE"""),9.0)</f>
        <v>9</v>
      </c>
    </row>
    <row r="1928">
      <c r="A1928" s="2">
        <f>IFERROR(__xludf.DUMMYFUNCTION("""COMPUTED_VALUE"""),9.0)</f>
        <v>9</v>
      </c>
    </row>
    <row r="1929">
      <c r="A1929" s="2">
        <f>IFERROR(__xludf.DUMMYFUNCTION("""COMPUTED_VALUE"""),9.0)</f>
        <v>9</v>
      </c>
    </row>
    <row r="1930">
      <c r="A1930" s="2">
        <f>IFERROR(__xludf.DUMMYFUNCTION("""COMPUTED_VALUE"""),9.0)</f>
        <v>9</v>
      </c>
    </row>
    <row r="1931">
      <c r="A1931" s="2">
        <f>IFERROR(__xludf.DUMMYFUNCTION("""COMPUTED_VALUE"""),9.0)</f>
        <v>9</v>
      </c>
    </row>
    <row r="1932">
      <c r="A1932" s="2">
        <f>IFERROR(__xludf.DUMMYFUNCTION("""COMPUTED_VALUE"""),9.0)</f>
        <v>9</v>
      </c>
    </row>
    <row r="1933">
      <c r="A1933" s="2">
        <f>IFERROR(__xludf.DUMMYFUNCTION("""COMPUTED_VALUE"""),9.0)</f>
        <v>9</v>
      </c>
    </row>
    <row r="1934">
      <c r="A1934" s="2">
        <f>IFERROR(__xludf.DUMMYFUNCTION("""COMPUTED_VALUE"""),9.0)</f>
        <v>9</v>
      </c>
    </row>
    <row r="1935">
      <c r="A1935" s="2">
        <f>IFERROR(__xludf.DUMMYFUNCTION("""COMPUTED_VALUE"""),9.0)</f>
        <v>9</v>
      </c>
    </row>
    <row r="1936">
      <c r="A1936" s="2">
        <f>IFERROR(__xludf.DUMMYFUNCTION("""COMPUTED_VALUE"""),9.0)</f>
        <v>9</v>
      </c>
    </row>
    <row r="1937">
      <c r="A1937" s="2">
        <f>IFERROR(__xludf.DUMMYFUNCTION("""COMPUTED_VALUE"""),9.0)</f>
        <v>9</v>
      </c>
    </row>
    <row r="1938">
      <c r="A1938" s="2">
        <f>IFERROR(__xludf.DUMMYFUNCTION("""COMPUTED_VALUE"""),9.0)</f>
        <v>9</v>
      </c>
    </row>
    <row r="1939">
      <c r="A1939" s="2">
        <f>IFERROR(__xludf.DUMMYFUNCTION("""COMPUTED_VALUE"""),9.0)</f>
        <v>9</v>
      </c>
    </row>
    <row r="1940">
      <c r="A1940" s="2">
        <f>IFERROR(__xludf.DUMMYFUNCTION("""COMPUTED_VALUE"""),9.0)</f>
        <v>9</v>
      </c>
    </row>
    <row r="1941">
      <c r="A1941" s="2">
        <f>IFERROR(__xludf.DUMMYFUNCTION("""COMPUTED_VALUE"""),9.0)</f>
        <v>9</v>
      </c>
    </row>
    <row r="1942">
      <c r="A1942" s="2">
        <f>IFERROR(__xludf.DUMMYFUNCTION("""COMPUTED_VALUE"""),9.0)</f>
        <v>9</v>
      </c>
    </row>
    <row r="1943">
      <c r="A1943" s="2">
        <f>IFERROR(__xludf.DUMMYFUNCTION("""COMPUTED_VALUE"""),9.0)</f>
        <v>9</v>
      </c>
    </row>
    <row r="1944">
      <c r="A1944" s="2">
        <f>IFERROR(__xludf.DUMMYFUNCTION("""COMPUTED_VALUE"""),9.0)</f>
        <v>9</v>
      </c>
    </row>
    <row r="1945">
      <c r="A1945" s="2">
        <f>IFERROR(__xludf.DUMMYFUNCTION("""COMPUTED_VALUE"""),9.0)</f>
        <v>9</v>
      </c>
    </row>
    <row r="1946">
      <c r="A1946" s="2">
        <f>IFERROR(__xludf.DUMMYFUNCTION("""COMPUTED_VALUE"""),9.0)</f>
        <v>9</v>
      </c>
    </row>
    <row r="1947">
      <c r="A1947" s="2">
        <f>IFERROR(__xludf.DUMMYFUNCTION("""COMPUTED_VALUE"""),9.0)</f>
        <v>9</v>
      </c>
    </row>
    <row r="1948">
      <c r="A1948" s="2">
        <f>IFERROR(__xludf.DUMMYFUNCTION("""COMPUTED_VALUE"""),9.0)</f>
        <v>9</v>
      </c>
    </row>
    <row r="1949">
      <c r="A1949" s="2">
        <f>IFERROR(__xludf.DUMMYFUNCTION("""COMPUTED_VALUE"""),9.0)</f>
        <v>9</v>
      </c>
    </row>
    <row r="1950">
      <c r="A1950" s="2">
        <f>IFERROR(__xludf.DUMMYFUNCTION("""COMPUTED_VALUE"""),9.0)</f>
        <v>9</v>
      </c>
    </row>
    <row r="1951">
      <c r="A1951" s="2">
        <f>IFERROR(__xludf.DUMMYFUNCTION("""COMPUTED_VALUE"""),9.0)</f>
        <v>9</v>
      </c>
    </row>
    <row r="1952">
      <c r="A1952" s="2">
        <f>IFERROR(__xludf.DUMMYFUNCTION("""COMPUTED_VALUE"""),9.0)</f>
        <v>9</v>
      </c>
    </row>
    <row r="1953">
      <c r="A1953" s="2">
        <f>IFERROR(__xludf.DUMMYFUNCTION("""COMPUTED_VALUE"""),9.0)</f>
        <v>9</v>
      </c>
    </row>
    <row r="1954">
      <c r="A1954" s="2">
        <f>IFERROR(__xludf.DUMMYFUNCTION("""COMPUTED_VALUE"""),9.0)</f>
        <v>9</v>
      </c>
    </row>
    <row r="1955">
      <c r="A1955" s="2">
        <f>IFERROR(__xludf.DUMMYFUNCTION("""COMPUTED_VALUE"""),9.0)</f>
        <v>9</v>
      </c>
    </row>
    <row r="1956">
      <c r="A1956" s="2">
        <f>IFERROR(__xludf.DUMMYFUNCTION("""COMPUTED_VALUE"""),9.0)</f>
        <v>9</v>
      </c>
    </row>
    <row r="1957">
      <c r="A1957" s="2">
        <f>IFERROR(__xludf.DUMMYFUNCTION("""COMPUTED_VALUE"""),9.0)</f>
        <v>9</v>
      </c>
    </row>
    <row r="1958">
      <c r="A1958" s="2">
        <f>IFERROR(__xludf.DUMMYFUNCTION("""COMPUTED_VALUE"""),9.0)</f>
        <v>9</v>
      </c>
    </row>
    <row r="1959">
      <c r="A1959" s="2">
        <f>IFERROR(__xludf.DUMMYFUNCTION("""COMPUTED_VALUE"""),9.0)</f>
        <v>9</v>
      </c>
    </row>
    <row r="1960">
      <c r="A1960" s="2">
        <f>IFERROR(__xludf.DUMMYFUNCTION("""COMPUTED_VALUE"""),9.0)</f>
        <v>9</v>
      </c>
    </row>
    <row r="1961">
      <c r="A1961" s="2">
        <f>IFERROR(__xludf.DUMMYFUNCTION("""COMPUTED_VALUE"""),9.0)</f>
        <v>9</v>
      </c>
    </row>
    <row r="1962">
      <c r="A1962" s="2">
        <f>IFERROR(__xludf.DUMMYFUNCTION("""COMPUTED_VALUE"""),9.0)</f>
        <v>9</v>
      </c>
    </row>
    <row r="1963">
      <c r="A1963" s="2">
        <f>IFERROR(__xludf.DUMMYFUNCTION("""COMPUTED_VALUE"""),7.0)</f>
        <v>7</v>
      </c>
    </row>
    <row r="1964">
      <c r="A1964" s="2">
        <f>IFERROR(__xludf.DUMMYFUNCTION("""COMPUTED_VALUE"""),7.0)</f>
        <v>7</v>
      </c>
    </row>
    <row r="1965">
      <c r="A1965" s="2">
        <f>IFERROR(__xludf.DUMMYFUNCTION("""COMPUTED_VALUE"""),8.0)</f>
        <v>8</v>
      </c>
    </row>
    <row r="1966">
      <c r="A1966" s="2">
        <f>IFERROR(__xludf.DUMMYFUNCTION("""COMPUTED_VALUE"""),1.0)</f>
        <v>1</v>
      </c>
    </row>
    <row r="1967">
      <c r="A1967" s="2">
        <f>IFERROR(__xludf.DUMMYFUNCTION("""COMPUTED_VALUE"""),1.0)</f>
        <v>1</v>
      </c>
    </row>
    <row r="1968">
      <c r="A1968" s="2">
        <f>IFERROR(__xludf.DUMMYFUNCTION("""COMPUTED_VALUE"""),1.0)</f>
        <v>1</v>
      </c>
    </row>
    <row r="1969">
      <c r="A1969" s="2">
        <f>IFERROR(__xludf.DUMMYFUNCTION("""COMPUTED_VALUE"""),1.0)</f>
        <v>1</v>
      </c>
    </row>
    <row r="1970">
      <c r="A1970" s="2">
        <f>IFERROR(__xludf.DUMMYFUNCTION("""COMPUTED_VALUE"""),1.0)</f>
        <v>1</v>
      </c>
    </row>
    <row r="1971">
      <c r="A1971" s="2">
        <f>IFERROR(__xludf.DUMMYFUNCTION("""COMPUTED_VALUE"""),1.0)</f>
        <v>1</v>
      </c>
    </row>
    <row r="1972">
      <c r="A1972" s="2">
        <f>IFERROR(__xludf.DUMMYFUNCTION("""COMPUTED_VALUE"""),1.0)</f>
        <v>1</v>
      </c>
    </row>
    <row r="1973">
      <c r="A1973" s="2">
        <f>IFERROR(__xludf.DUMMYFUNCTION("""COMPUTED_VALUE"""),1.0)</f>
        <v>1</v>
      </c>
    </row>
    <row r="1974">
      <c r="A1974" s="2">
        <f>IFERROR(__xludf.DUMMYFUNCTION("""COMPUTED_VALUE"""),1.0)</f>
        <v>1</v>
      </c>
    </row>
    <row r="1975">
      <c r="A1975" s="2">
        <f>IFERROR(__xludf.DUMMYFUNCTION("""COMPUTED_VALUE"""),1.0)</f>
        <v>1</v>
      </c>
    </row>
    <row r="1976">
      <c r="A1976" s="2">
        <f>IFERROR(__xludf.DUMMYFUNCTION("""COMPUTED_VALUE"""),1.0)</f>
        <v>1</v>
      </c>
    </row>
    <row r="1977">
      <c r="A1977" s="2">
        <f>IFERROR(__xludf.DUMMYFUNCTION("""COMPUTED_VALUE"""),1.0)</f>
        <v>1</v>
      </c>
    </row>
    <row r="1978">
      <c r="A1978" s="2">
        <f>IFERROR(__xludf.DUMMYFUNCTION("""COMPUTED_VALUE"""),1.0)</f>
        <v>1</v>
      </c>
    </row>
    <row r="1979">
      <c r="A1979" s="2">
        <f>IFERROR(__xludf.DUMMYFUNCTION("""COMPUTED_VALUE"""),1.0)</f>
        <v>1</v>
      </c>
    </row>
    <row r="1980">
      <c r="A1980" s="2">
        <f>IFERROR(__xludf.DUMMYFUNCTION("""COMPUTED_VALUE"""),1.0)</f>
        <v>1</v>
      </c>
    </row>
    <row r="1981">
      <c r="A1981" s="2">
        <f>IFERROR(__xludf.DUMMYFUNCTION("""COMPUTED_VALUE"""),1.0)</f>
        <v>1</v>
      </c>
    </row>
    <row r="1982">
      <c r="A1982" s="2">
        <f>IFERROR(__xludf.DUMMYFUNCTION("""COMPUTED_VALUE"""),1.0)</f>
        <v>1</v>
      </c>
    </row>
    <row r="1983">
      <c r="A1983" s="2">
        <f>IFERROR(__xludf.DUMMYFUNCTION("""COMPUTED_VALUE"""),1.0)</f>
        <v>1</v>
      </c>
    </row>
    <row r="1984">
      <c r="A1984" s="2">
        <f>IFERROR(__xludf.DUMMYFUNCTION("""COMPUTED_VALUE"""),1.0)</f>
        <v>1</v>
      </c>
    </row>
    <row r="1985">
      <c r="A1985" s="2">
        <f>IFERROR(__xludf.DUMMYFUNCTION("""COMPUTED_VALUE"""),1.0)</f>
        <v>1</v>
      </c>
    </row>
    <row r="1986">
      <c r="A1986" s="2">
        <f>IFERROR(__xludf.DUMMYFUNCTION("""COMPUTED_VALUE"""),1.0)</f>
        <v>1</v>
      </c>
    </row>
    <row r="1987">
      <c r="A1987" s="2">
        <f>IFERROR(__xludf.DUMMYFUNCTION("""COMPUTED_VALUE"""),1.0)</f>
        <v>1</v>
      </c>
    </row>
    <row r="1988">
      <c r="A1988" s="2">
        <f>IFERROR(__xludf.DUMMYFUNCTION("""COMPUTED_VALUE"""),1.0)</f>
        <v>1</v>
      </c>
    </row>
    <row r="1989">
      <c r="A1989" s="2">
        <f>IFERROR(__xludf.DUMMYFUNCTION("""COMPUTED_VALUE"""),1.0)</f>
        <v>1</v>
      </c>
    </row>
    <row r="1990">
      <c r="A1990" s="2">
        <f>IFERROR(__xludf.DUMMYFUNCTION("""COMPUTED_VALUE"""),1.0)</f>
        <v>1</v>
      </c>
    </row>
    <row r="1991">
      <c r="A1991" s="2">
        <f>IFERROR(__xludf.DUMMYFUNCTION("""COMPUTED_VALUE"""),1.0)</f>
        <v>1</v>
      </c>
    </row>
    <row r="1992">
      <c r="A1992" s="2">
        <f>IFERROR(__xludf.DUMMYFUNCTION("""COMPUTED_VALUE"""),1.0)</f>
        <v>1</v>
      </c>
    </row>
    <row r="1993">
      <c r="A1993" s="2">
        <f>IFERROR(__xludf.DUMMYFUNCTION("""COMPUTED_VALUE"""),1.0)</f>
        <v>1</v>
      </c>
    </row>
    <row r="1994">
      <c r="A1994" s="2">
        <f>IFERROR(__xludf.DUMMYFUNCTION("""COMPUTED_VALUE"""),1.0)</f>
        <v>1</v>
      </c>
    </row>
    <row r="1995">
      <c r="A1995" s="2">
        <f>IFERROR(__xludf.DUMMYFUNCTION("""COMPUTED_VALUE"""),1.0)</f>
        <v>1</v>
      </c>
    </row>
    <row r="1996">
      <c r="A1996" s="2">
        <f>IFERROR(__xludf.DUMMYFUNCTION("""COMPUTED_VALUE"""),1.0)</f>
        <v>1</v>
      </c>
    </row>
    <row r="1997">
      <c r="A1997" s="2">
        <f>IFERROR(__xludf.DUMMYFUNCTION("""COMPUTED_VALUE"""),1.0)</f>
        <v>1</v>
      </c>
    </row>
    <row r="1998">
      <c r="A1998" s="2">
        <f>IFERROR(__xludf.DUMMYFUNCTION("""COMPUTED_VALUE"""),1.0)</f>
        <v>1</v>
      </c>
    </row>
    <row r="1999">
      <c r="A1999" s="2">
        <f>IFERROR(__xludf.DUMMYFUNCTION("""COMPUTED_VALUE"""),1.0)</f>
        <v>1</v>
      </c>
    </row>
    <row r="2000">
      <c r="A2000" s="2">
        <f>IFERROR(__xludf.DUMMYFUNCTION("""COMPUTED_VALUE"""),1.0)</f>
        <v>1</v>
      </c>
    </row>
    <row r="2001">
      <c r="A2001" s="2">
        <f>IFERROR(__xludf.DUMMYFUNCTION("""COMPUTED_VALUE"""),1.0)</f>
        <v>1</v>
      </c>
    </row>
    <row r="2002">
      <c r="A2002" s="2">
        <f>IFERROR(__xludf.DUMMYFUNCTION("""COMPUTED_VALUE"""),1.0)</f>
        <v>1</v>
      </c>
    </row>
    <row r="2003">
      <c r="A2003" s="2">
        <f>IFERROR(__xludf.DUMMYFUNCTION("""COMPUTED_VALUE"""),1.0)</f>
        <v>1</v>
      </c>
    </row>
    <row r="2004">
      <c r="A2004" s="2">
        <f>IFERROR(__xludf.DUMMYFUNCTION("""COMPUTED_VALUE"""),1.0)</f>
        <v>1</v>
      </c>
    </row>
    <row r="2005">
      <c r="A2005" s="2">
        <f>IFERROR(__xludf.DUMMYFUNCTION("""COMPUTED_VALUE"""),1.0)</f>
        <v>1</v>
      </c>
    </row>
    <row r="2006">
      <c r="A2006" s="2">
        <f>IFERROR(__xludf.DUMMYFUNCTION("""COMPUTED_VALUE"""),1.0)</f>
        <v>1</v>
      </c>
    </row>
    <row r="2007">
      <c r="A2007" s="2">
        <f>IFERROR(__xludf.DUMMYFUNCTION("""COMPUTED_VALUE"""),4.0)</f>
        <v>4</v>
      </c>
    </row>
    <row r="2008">
      <c r="A2008" s="2">
        <f>IFERROR(__xludf.DUMMYFUNCTION("""COMPUTED_VALUE"""),1.0)</f>
        <v>1</v>
      </c>
    </row>
    <row r="2009">
      <c r="A2009" s="2">
        <f>IFERROR(__xludf.DUMMYFUNCTION("""COMPUTED_VALUE"""),1.0)</f>
        <v>1</v>
      </c>
    </row>
    <row r="2010">
      <c r="A2010" s="2">
        <f>IFERROR(__xludf.DUMMYFUNCTION("""COMPUTED_VALUE"""),3.0)</f>
        <v>3</v>
      </c>
    </row>
    <row r="2011">
      <c r="A2011" s="2">
        <f>IFERROR(__xludf.DUMMYFUNCTION("""COMPUTED_VALUE"""),8.0)</f>
        <v>8</v>
      </c>
    </row>
    <row r="2012">
      <c r="A2012" s="2">
        <f>IFERROR(__xludf.DUMMYFUNCTION("""COMPUTED_VALUE"""),8.0)</f>
        <v>8</v>
      </c>
    </row>
    <row r="2013">
      <c r="A2013" s="2">
        <f>IFERROR(__xludf.DUMMYFUNCTION("""COMPUTED_VALUE"""),8.0)</f>
        <v>8</v>
      </c>
    </row>
    <row r="2014">
      <c r="A2014" s="2">
        <f>IFERROR(__xludf.DUMMYFUNCTION("""COMPUTED_VALUE"""),9.0)</f>
        <v>9</v>
      </c>
    </row>
    <row r="2015">
      <c r="A2015" s="2">
        <f>IFERROR(__xludf.DUMMYFUNCTION("""COMPUTED_VALUE"""),9.0)</f>
        <v>9</v>
      </c>
    </row>
    <row r="2016">
      <c r="A2016" s="2">
        <f>IFERROR(__xludf.DUMMYFUNCTION("""COMPUTED_VALUE"""),9.0)</f>
        <v>9</v>
      </c>
    </row>
    <row r="2017">
      <c r="A2017" s="2">
        <f>IFERROR(__xludf.DUMMYFUNCTION("""COMPUTED_VALUE"""),9.0)</f>
        <v>9</v>
      </c>
    </row>
    <row r="2018">
      <c r="A2018" s="2">
        <f>IFERROR(__xludf.DUMMYFUNCTION("""COMPUTED_VALUE"""),9.0)</f>
        <v>9</v>
      </c>
    </row>
    <row r="2019">
      <c r="A2019" s="2">
        <f>IFERROR(__xludf.DUMMYFUNCTION("""COMPUTED_VALUE"""),9.0)</f>
        <v>9</v>
      </c>
    </row>
    <row r="2020">
      <c r="A2020" s="2">
        <f>IFERROR(__xludf.DUMMYFUNCTION("""COMPUTED_VALUE"""),9.0)</f>
        <v>9</v>
      </c>
    </row>
    <row r="2021">
      <c r="A2021" s="2">
        <f>IFERROR(__xludf.DUMMYFUNCTION("""COMPUTED_VALUE"""),9.0)</f>
        <v>9</v>
      </c>
    </row>
    <row r="2022">
      <c r="A2022" s="2">
        <f>IFERROR(__xludf.DUMMYFUNCTION("""COMPUTED_VALUE"""),9.0)</f>
        <v>9</v>
      </c>
    </row>
    <row r="2023">
      <c r="A2023" s="2">
        <f>IFERROR(__xludf.DUMMYFUNCTION("""COMPUTED_VALUE"""),9.0)</f>
        <v>9</v>
      </c>
    </row>
    <row r="2024">
      <c r="A2024" s="2">
        <f>IFERROR(__xludf.DUMMYFUNCTION("""COMPUTED_VALUE"""),9.0)</f>
        <v>9</v>
      </c>
    </row>
    <row r="2025">
      <c r="A2025" s="2">
        <f>IFERROR(__xludf.DUMMYFUNCTION("""COMPUTED_VALUE"""),9.0)</f>
        <v>9</v>
      </c>
    </row>
    <row r="2026">
      <c r="A2026" s="2">
        <f>IFERROR(__xludf.DUMMYFUNCTION("""COMPUTED_VALUE"""),9.0)</f>
        <v>9</v>
      </c>
    </row>
    <row r="2027">
      <c r="A2027" s="2">
        <f>IFERROR(__xludf.DUMMYFUNCTION("""COMPUTED_VALUE"""),9.0)</f>
        <v>9</v>
      </c>
    </row>
    <row r="2028">
      <c r="A2028" s="2">
        <f>IFERROR(__xludf.DUMMYFUNCTION("""COMPUTED_VALUE"""),9.0)</f>
        <v>9</v>
      </c>
    </row>
    <row r="2029">
      <c r="A2029" s="2">
        <f>IFERROR(__xludf.DUMMYFUNCTION("""COMPUTED_VALUE"""),9.0)</f>
        <v>9</v>
      </c>
    </row>
    <row r="2030">
      <c r="A2030" s="2">
        <f>IFERROR(__xludf.DUMMYFUNCTION("""COMPUTED_VALUE"""),9.0)</f>
        <v>9</v>
      </c>
    </row>
    <row r="2031">
      <c r="A2031" s="2">
        <f>IFERROR(__xludf.DUMMYFUNCTION("""COMPUTED_VALUE"""),9.0)</f>
        <v>9</v>
      </c>
    </row>
    <row r="2032">
      <c r="A2032" s="2">
        <f>IFERROR(__xludf.DUMMYFUNCTION("""COMPUTED_VALUE"""),9.0)</f>
        <v>9</v>
      </c>
    </row>
    <row r="2033">
      <c r="A2033" s="2">
        <f>IFERROR(__xludf.DUMMYFUNCTION("""COMPUTED_VALUE"""),9.0)</f>
        <v>9</v>
      </c>
    </row>
    <row r="2034">
      <c r="A2034" s="2">
        <f>IFERROR(__xludf.DUMMYFUNCTION("""COMPUTED_VALUE"""),9.0)</f>
        <v>9</v>
      </c>
    </row>
    <row r="2035">
      <c r="A2035" s="2">
        <f>IFERROR(__xludf.DUMMYFUNCTION("""COMPUTED_VALUE"""),9.0)</f>
        <v>9</v>
      </c>
    </row>
    <row r="2036">
      <c r="A2036" s="2">
        <f>IFERROR(__xludf.DUMMYFUNCTION("""COMPUTED_VALUE"""),9.0)</f>
        <v>9</v>
      </c>
    </row>
    <row r="2037">
      <c r="A2037" s="2">
        <f>IFERROR(__xludf.DUMMYFUNCTION("""COMPUTED_VALUE"""),9.0)</f>
        <v>9</v>
      </c>
    </row>
    <row r="2038">
      <c r="A2038" s="2">
        <f>IFERROR(__xludf.DUMMYFUNCTION("""COMPUTED_VALUE"""),9.0)</f>
        <v>9</v>
      </c>
    </row>
    <row r="2039">
      <c r="A2039" s="2">
        <f>IFERROR(__xludf.DUMMYFUNCTION("""COMPUTED_VALUE"""),9.0)</f>
        <v>9</v>
      </c>
    </row>
    <row r="2040">
      <c r="A2040" s="2">
        <f>IFERROR(__xludf.DUMMYFUNCTION("""COMPUTED_VALUE"""),9.0)</f>
        <v>9</v>
      </c>
    </row>
    <row r="2041">
      <c r="A2041" s="2">
        <f>IFERROR(__xludf.DUMMYFUNCTION("""COMPUTED_VALUE"""),9.0)</f>
        <v>9</v>
      </c>
    </row>
    <row r="2042">
      <c r="A2042" s="2">
        <f>IFERROR(__xludf.DUMMYFUNCTION("""COMPUTED_VALUE"""),9.0)</f>
        <v>9</v>
      </c>
    </row>
    <row r="2043">
      <c r="A2043" s="2">
        <f>IFERROR(__xludf.DUMMYFUNCTION("""COMPUTED_VALUE"""),5.0)</f>
        <v>5</v>
      </c>
    </row>
    <row r="2044">
      <c r="A2044" s="2">
        <f>IFERROR(__xludf.DUMMYFUNCTION("""COMPUTED_VALUE"""),5.0)</f>
        <v>5</v>
      </c>
    </row>
    <row r="2045">
      <c r="A2045" s="2">
        <f>IFERROR(__xludf.DUMMYFUNCTION("""COMPUTED_VALUE"""),3.0)</f>
        <v>3</v>
      </c>
    </row>
    <row r="2046">
      <c r="A2046" s="2">
        <f>IFERROR(__xludf.DUMMYFUNCTION("""COMPUTED_VALUE"""),3.0)</f>
        <v>3</v>
      </c>
    </row>
    <row r="2047">
      <c r="A2047" s="2">
        <f>IFERROR(__xludf.DUMMYFUNCTION("""COMPUTED_VALUE"""),5.0)</f>
        <v>5</v>
      </c>
    </row>
    <row r="2048">
      <c r="A2048" s="2">
        <f>IFERROR(__xludf.DUMMYFUNCTION("""COMPUTED_VALUE"""),9.0)</f>
        <v>9</v>
      </c>
    </row>
    <row r="2049">
      <c r="A2049" s="2">
        <f>IFERROR(__xludf.DUMMYFUNCTION("""COMPUTED_VALUE"""),9.0)</f>
        <v>9</v>
      </c>
    </row>
    <row r="2050">
      <c r="A2050" s="2">
        <f>IFERROR(__xludf.DUMMYFUNCTION("""COMPUTED_VALUE"""),7.0)</f>
        <v>7</v>
      </c>
    </row>
    <row r="2051">
      <c r="A2051" s="2">
        <f>IFERROR(__xludf.DUMMYFUNCTION("""COMPUTED_VALUE"""),2.0)</f>
        <v>2</v>
      </c>
    </row>
    <row r="2052">
      <c r="A2052" s="2">
        <f>IFERROR(__xludf.DUMMYFUNCTION("""COMPUTED_VALUE"""),2.0)</f>
        <v>2</v>
      </c>
    </row>
    <row r="2053">
      <c r="A2053" s="2">
        <f>IFERROR(__xludf.DUMMYFUNCTION("""COMPUTED_VALUE"""),2.0)</f>
        <v>2</v>
      </c>
    </row>
    <row r="2054">
      <c r="A2054" s="2">
        <f>IFERROR(__xludf.DUMMYFUNCTION("""COMPUTED_VALUE"""),2.0)</f>
        <v>2</v>
      </c>
    </row>
    <row r="2055">
      <c r="A2055" s="2">
        <f>IFERROR(__xludf.DUMMYFUNCTION("""COMPUTED_VALUE"""),2.0)</f>
        <v>2</v>
      </c>
    </row>
    <row r="2056">
      <c r="A2056" s="2">
        <f>IFERROR(__xludf.DUMMYFUNCTION("""COMPUTED_VALUE"""),2.0)</f>
        <v>2</v>
      </c>
    </row>
    <row r="2057">
      <c r="A2057" s="2">
        <f>IFERROR(__xludf.DUMMYFUNCTION("""COMPUTED_VALUE"""),2.0)</f>
        <v>2</v>
      </c>
    </row>
    <row r="2058">
      <c r="A2058" s="2">
        <f>IFERROR(__xludf.DUMMYFUNCTION("""COMPUTED_VALUE"""),2.0)</f>
        <v>2</v>
      </c>
    </row>
    <row r="2059">
      <c r="A2059" s="2">
        <f>IFERROR(__xludf.DUMMYFUNCTION("""COMPUTED_VALUE"""),2.0)</f>
        <v>2</v>
      </c>
    </row>
    <row r="2060">
      <c r="A2060" s="2">
        <f>IFERROR(__xludf.DUMMYFUNCTION("""COMPUTED_VALUE"""),2.0)</f>
        <v>2</v>
      </c>
    </row>
    <row r="2061">
      <c r="A2061" s="2">
        <f>IFERROR(__xludf.DUMMYFUNCTION("""COMPUTED_VALUE"""),2.0)</f>
        <v>2</v>
      </c>
    </row>
    <row r="2062">
      <c r="A2062" s="2">
        <f>IFERROR(__xludf.DUMMYFUNCTION("""COMPUTED_VALUE"""),2.0)</f>
        <v>2</v>
      </c>
    </row>
    <row r="2063">
      <c r="A2063" s="2">
        <f>IFERROR(__xludf.DUMMYFUNCTION("""COMPUTED_VALUE"""),2.0)</f>
        <v>2</v>
      </c>
    </row>
    <row r="2064">
      <c r="A2064" s="2">
        <f>IFERROR(__xludf.DUMMYFUNCTION("""COMPUTED_VALUE"""),2.0)</f>
        <v>2</v>
      </c>
    </row>
    <row r="2065">
      <c r="A2065" s="2">
        <f>IFERROR(__xludf.DUMMYFUNCTION("""COMPUTED_VALUE"""),2.0)</f>
        <v>2</v>
      </c>
    </row>
    <row r="2066">
      <c r="A2066" s="2">
        <f>IFERROR(__xludf.DUMMYFUNCTION("""COMPUTED_VALUE"""),2.0)</f>
        <v>2</v>
      </c>
    </row>
    <row r="2067">
      <c r="A2067" s="2">
        <f>IFERROR(__xludf.DUMMYFUNCTION("""COMPUTED_VALUE"""),2.0)</f>
        <v>2</v>
      </c>
    </row>
    <row r="2068">
      <c r="A2068" s="2">
        <f>IFERROR(__xludf.DUMMYFUNCTION("""COMPUTED_VALUE"""),2.0)</f>
        <v>2</v>
      </c>
    </row>
    <row r="2069">
      <c r="A2069" s="2">
        <f>IFERROR(__xludf.DUMMYFUNCTION("""COMPUTED_VALUE"""),2.0)</f>
        <v>2</v>
      </c>
    </row>
    <row r="2070">
      <c r="A2070" s="2">
        <f>IFERROR(__xludf.DUMMYFUNCTION("""COMPUTED_VALUE"""),2.0)</f>
        <v>2</v>
      </c>
    </row>
    <row r="2071">
      <c r="A2071" s="2">
        <f>IFERROR(__xludf.DUMMYFUNCTION("""COMPUTED_VALUE"""),2.0)</f>
        <v>2</v>
      </c>
    </row>
    <row r="2072">
      <c r="A2072" s="2">
        <f>IFERROR(__xludf.DUMMYFUNCTION("""COMPUTED_VALUE"""),2.0)</f>
        <v>2</v>
      </c>
    </row>
    <row r="2073">
      <c r="A2073" s="2">
        <f>IFERROR(__xludf.DUMMYFUNCTION("""COMPUTED_VALUE"""),2.0)</f>
        <v>2</v>
      </c>
    </row>
    <row r="2074">
      <c r="A2074" s="2">
        <f>IFERROR(__xludf.DUMMYFUNCTION("""COMPUTED_VALUE"""),2.0)</f>
        <v>2</v>
      </c>
    </row>
    <row r="2075">
      <c r="A2075" s="2">
        <f>IFERROR(__xludf.DUMMYFUNCTION("""COMPUTED_VALUE"""),2.0)</f>
        <v>2</v>
      </c>
    </row>
    <row r="2076">
      <c r="A2076" s="2">
        <f>IFERROR(__xludf.DUMMYFUNCTION("""COMPUTED_VALUE"""),1.0)</f>
        <v>1</v>
      </c>
    </row>
    <row r="2077">
      <c r="A2077" s="2">
        <f>IFERROR(__xludf.DUMMYFUNCTION("""COMPUTED_VALUE"""),1.0)</f>
        <v>1</v>
      </c>
    </row>
    <row r="2078">
      <c r="A2078" s="2">
        <f>IFERROR(__xludf.DUMMYFUNCTION("""COMPUTED_VALUE"""),1.0)</f>
        <v>1</v>
      </c>
    </row>
    <row r="2079">
      <c r="A2079" s="2">
        <f>IFERROR(__xludf.DUMMYFUNCTION("""COMPUTED_VALUE"""),1.0)</f>
        <v>1</v>
      </c>
    </row>
    <row r="2080">
      <c r="A2080" s="2">
        <f>IFERROR(__xludf.DUMMYFUNCTION("""COMPUTED_VALUE"""),1.0)</f>
        <v>1</v>
      </c>
    </row>
    <row r="2081">
      <c r="A2081" s="2">
        <f>IFERROR(__xludf.DUMMYFUNCTION("""COMPUTED_VALUE"""),1.0)</f>
        <v>1</v>
      </c>
    </row>
    <row r="2082">
      <c r="A2082" s="2">
        <f>IFERROR(__xludf.DUMMYFUNCTION("""COMPUTED_VALUE"""),1.0)</f>
        <v>1</v>
      </c>
    </row>
    <row r="2083">
      <c r="A2083" s="2">
        <f>IFERROR(__xludf.DUMMYFUNCTION("""COMPUTED_VALUE"""),1.0)</f>
        <v>1</v>
      </c>
    </row>
    <row r="2084">
      <c r="A2084" s="2">
        <f>IFERROR(__xludf.DUMMYFUNCTION("""COMPUTED_VALUE"""),1.0)</f>
        <v>1</v>
      </c>
    </row>
    <row r="2085">
      <c r="A2085" s="2">
        <f>IFERROR(__xludf.DUMMYFUNCTION("""COMPUTED_VALUE"""),1.0)</f>
        <v>1</v>
      </c>
    </row>
    <row r="2086">
      <c r="A2086" s="2">
        <f>IFERROR(__xludf.DUMMYFUNCTION("""COMPUTED_VALUE"""),8.0)</f>
        <v>8</v>
      </c>
    </row>
    <row r="2087">
      <c r="A2087" s="2">
        <f>IFERROR(__xludf.DUMMYFUNCTION("""COMPUTED_VALUE"""),1.0)</f>
        <v>1</v>
      </c>
    </row>
    <row r="2088">
      <c r="A2088" s="2">
        <f>IFERROR(__xludf.DUMMYFUNCTION("""COMPUTED_VALUE"""),1.0)</f>
        <v>1</v>
      </c>
    </row>
    <row r="2089">
      <c r="A2089" s="2">
        <f>IFERROR(__xludf.DUMMYFUNCTION("""COMPUTED_VALUE"""),9.0)</f>
        <v>9</v>
      </c>
    </row>
    <row r="2090">
      <c r="A2090" s="2">
        <f>IFERROR(__xludf.DUMMYFUNCTION("""COMPUTED_VALUE"""),9.0)</f>
        <v>9</v>
      </c>
    </row>
    <row r="2091">
      <c r="A2091" s="2">
        <f>IFERROR(__xludf.DUMMYFUNCTION("""COMPUTED_VALUE"""),6.0)</f>
        <v>6</v>
      </c>
    </row>
    <row r="2092">
      <c r="A2092" s="2">
        <f>IFERROR(__xludf.DUMMYFUNCTION("""COMPUTED_VALUE"""),4.0)</f>
        <v>4</v>
      </c>
    </row>
    <row r="2093">
      <c r="A2093" s="2">
        <f>IFERROR(__xludf.DUMMYFUNCTION("""COMPUTED_VALUE"""),4.0)</f>
        <v>4</v>
      </c>
    </row>
    <row r="2094">
      <c r="A2094" s="2">
        <f>IFERROR(__xludf.DUMMYFUNCTION("""COMPUTED_VALUE"""),4.0)</f>
        <v>4</v>
      </c>
    </row>
    <row r="2095">
      <c r="A2095" s="2">
        <f>IFERROR(__xludf.DUMMYFUNCTION("""COMPUTED_VALUE"""),4.0)</f>
        <v>4</v>
      </c>
    </row>
    <row r="2096">
      <c r="A2096" s="2">
        <f>IFERROR(__xludf.DUMMYFUNCTION("""COMPUTED_VALUE"""),5.0)</f>
        <v>5</v>
      </c>
    </row>
    <row r="2097">
      <c r="A2097" s="2">
        <f>IFERROR(__xludf.DUMMYFUNCTION("""COMPUTED_VALUE"""),5.0)</f>
        <v>5</v>
      </c>
    </row>
    <row r="2098">
      <c r="A2098" s="2">
        <f>IFERROR(__xludf.DUMMYFUNCTION("""COMPUTED_VALUE"""),5.0)</f>
        <v>5</v>
      </c>
    </row>
    <row r="2099">
      <c r="A2099" s="2">
        <f>IFERROR(__xludf.DUMMYFUNCTION("""COMPUTED_VALUE"""),5.0)</f>
        <v>5</v>
      </c>
    </row>
    <row r="2100">
      <c r="A2100" s="2">
        <f>IFERROR(__xludf.DUMMYFUNCTION("""COMPUTED_VALUE"""),5.0)</f>
        <v>5</v>
      </c>
    </row>
    <row r="2101">
      <c r="A2101" s="2">
        <f>IFERROR(__xludf.DUMMYFUNCTION("""COMPUTED_VALUE"""),7.0)</f>
        <v>7</v>
      </c>
    </row>
    <row r="2102">
      <c r="A2102" s="2">
        <f>IFERROR(__xludf.DUMMYFUNCTION("""COMPUTED_VALUE"""),1.0)</f>
        <v>1</v>
      </c>
    </row>
    <row r="2103">
      <c r="A2103" s="2">
        <f>IFERROR(__xludf.DUMMYFUNCTION("""COMPUTED_VALUE"""),1.0)</f>
        <v>1</v>
      </c>
    </row>
    <row r="2104">
      <c r="A2104" s="2">
        <f>IFERROR(__xludf.DUMMYFUNCTION("""COMPUTED_VALUE"""),3.0)</f>
        <v>3</v>
      </c>
    </row>
    <row r="2105">
      <c r="A2105" s="2">
        <f>IFERROR(__xludf.DUMMYFUNCTION("""COMPUTED_VALUE"""),3.0)</f>
        <v>3</v>
      </c>
    </row>
    <row r="2106">
      <c r="A2106" s="2">
        <f>IFERROR(__xludf.DUMMYFUNCTION("""COMPUTED_VALUE"""),3.0)</f>
        <v>3</v>
      </c>
    </row>
    <row r="2107">
      <c r="A2107" s="2">
        <f>IFERROR(__xludf.DUMMYFUNCTION("""COMPUTED_VALUE"""),3.0)</f>
        <v>3</v>
      </c>
    </row>
    <row r="2108">
      <c r="A2108" s="2">
        <f>IFERROR(__xludf.DUMMYFUNCTION("""COMPUTED_VALUE"""),3.0)</f>
        <v>3</v>
      </c>
    </row>
    <row r="2109">
      <c r="A2109" s="2">
        <f>IFERROR(__xludf.DUMMYFUNCTION("""COMPUTED_VALUE"""),3.0)</f>
        <v>3</v>
      </c>
    </row>
    <row r="2110">
      <c r="A2110" s="2">
        <f>IFERROR(__xludf.DUMMYFUNCTION("""COMPUTED_VALUE"""),3.0)</f>
        <v>3</v>
      </c>
    </row>
    <row r="2111">
      <c r="A2111" s="2">
        <f>IFERROR(__xludf.DUMMYFUNCTION("""COMPUTED_VALUE"""),3.0)</f>
        <v>3</v>
      </c>
    </row>
    <row r="2112">
      <c r="A2112" s="2">
        <f>IFERROR(__xludf.DUMMYFUNCTION("""COMPUTED_VALUE"""),3.0)</f>
        <v>3</v>
      </c>
    </row>
    <row r="2113">
      <c r="A2113" s="2">
        <f>IFERROR(__xludf.DUMMYFUNCTION("""COMPUTED_VALUE"""),3.0)</f>
        <v>3</v>
      </c>
    </row>
    <row r="2114">
      <c r="A2114" s="2">
        <f>IFERROR(__xludf.DUMMYFUNCTION("""COMPUTED_VALUE"""),3.0)</f>
        <v>3</v>
      </c>
    </row>
    <row r="2115">
      <c r="A2115" s="2">
        <f>IFERROR(__xludf.DUMMYFUNCTION("""COMPUTED_VALUE"""),3.0)</f>
        <v>3</v>
      </c>
    </row>
    <row r="2116">
      <c r="A2116" s="2">
        <f>IFERROR(__xludf.DUMMYFUNCTION("""COMPUTED_VALUE"""),3.0)</f>
        <v>3</v>
      </c>
    </row>
    <row r="2117">
      <c r="A2117" s="2">
        <f>IFERROR(__xludf.DUMMYFUNCTION("""COMPUTED_VALUE"""),3.0)</f>
        <v>3</v>
      </c>
    </row>
    <row r="2118">
      <c r="A2118" s="2">
        <f>IFERROR(__xludf.DUMMYFUNCTION("""COMPUTED_VALUE"""),3.0)</f>
        <v>3</v>
      </c>
    </row>
    <row r="2119">
      <c r="A2119" s="2">
        <f>IFERROR(__xludf.DUMMYFUNCTION("""COMPUTED_VALUE"""),3.0)</f>
        <v>3</v>
      </c>
    </row>
    <row r="2120">
      <c r="A2120" s="2">
        <f>IFERROR(__xludf.DUMMYFUNCTION("""COMPUTED_VALUE"""),3.0)</f>
        <v>3</v>
      </c>
    </row>
    <row r="2121">
      <c r="A2121" s="2">
        <f>IFERROR(__xludf.DUMMYFUNCTION("""COMPUTED_VALUE"""),3.0)</f>
        <v>3</v>
      </c>
    </row>
    <row r="2122">
      <c r="A2122" s="2">
        <f>IFERROR(__xludf.DUMMYFUNCTION("""COMPUTED_VALUE"""),4.0)</f>
        <v>4</v>
      </c>
    </row>
    <row r="2123">
      <c r="A2123" s="2">
        <f>IFERROR(__xludf.DUMMYFUNCTION("""COMPUTED_VALUE"""),4.0)</f>
        <v>4</v>
      </c>
    </row>
    <row r="2124">
      <c r="A2124" s="2">
        <f>IFERROR(__xludf.DUMMYFUNCTION("""COMPUTED_VALUE"""),4.0)</f>
        <v>4</v>
      </c>
    </row>
    <row r="2125">
      <c r="A2125" s="2">
        <f>IFERROR(__xludf.DUMMYFUNCTION("""COMPUTED_VALUE"""),4.0)</f>
        <v>4</v>
      </c>
    </row>
    <row r="2126">
      <c r="A2126" s="2">
        <f>IFERROR(__xludf.DUMMYFUNCTION("""COMPUTED_VALUE"""),4.0)</f>
        <v>4</v>
      </c>
    </row>
    <row r="2127">
      <c r="A2127" s="2">
        <f>IFERROR(__xludf.DUMMYFUNCTION("""COMPUTED_VALUE"""),4.0)</f>
        <v>4</v>
      </c>
    </row>
    <row r="2128">
      <c r="A2128" s="2">
        <f>IFERROR(__xludf.DUMMYFUNCTION("""COMPUTED_VALUE"""),4.0)</f>
        <v>4</v>
      </c>
    </row>
    <row r="2129">
      <c r="A2129" s="2">
        <f>IFERROR(__xludf.DUMMYFUNCTION("""COMPUTED_VALUE"""),4.0)</f>
        <v>4</v>
      </c>
    </row>
    <row r="2130">
      <c r="A2130" s="2">
        <f>IFERROR(__xludf.DUMMYFUNCTION("""COMPUTED_VALUE"""),9.0)</f>
        <v>9</v>
      </c>
    </row>
    <row r="2131">
      <c r="A2131" s="2">
        <f>IFERROR(__xludf.DUMMYFUNCTION("""COMPUTED_VALUE"""),9.0)</f>
        <v>9</v>
      </c>
    </row>
    <row r="2132">
      <c r="A2132" s="2">
        <f>IFERROR(__xludf.DUMMYFUNCTION("""COMPUTED_VALUE"""),9.0)</f>
        <v>9</v>
      </c>
    </row>
    <row r="2133">
      <c r="A2133" s="2">
        <f>IFERROR(__xludf.DUMMYFUNCTION("""COMPUTED_VALUE"""),9.0)</f>
        <v>9</v>
      </c>
    </row>
    <row r="2134">
      <c r="A2134" s="2">
        <f>IFERROR(__xludf.DUMMYFUNCTION("""COMPUTED_VALUE"""),9.0)</f>
        <v>9</v>
      </c>
    </row>
    <row r="2135">
      <c r="A2135" s="2">
        <f>IFERROR(__xludf.DUMMYFUNCTION("""COMPUTED_VALUE"""),9.0)</f>
        <v>9</v>
      </c>
    </row>
    <row r="2136">
      <c r="A2136" s="2">
        <f>IFERROR(__xludf.DUMMYFUNCTION("""COMPUTED_VALUE"""),9.0)</f>
        <v>9</v>
      </c>
    </row>
    <row r="2137">
      <c r="A2137" s="2">
        <f>IFERROR(__xludf.DUMMYFUNCTION("""COMPUTED_VALUE"""),9.0)</f>
        <v>9</v>
      </c>
    </row>
    <row r="2138">
      <c r="A2138" s="2">
        <f>IFERROR(__xludf.DUMMYFUNCTION("""COMPUTED_VALUE"""),9.0)</f>
        <v>9</v>
      </c>
    </row>
    <row r="2139">
      <c r="A2139" s="2">
        <f>IFERROR(__xludf.DUMMYFUNCTION("""COMPUTED_VALUE"""),9.0)</f>
        <v>9</v>
      </c>
    </row>
    <row r="2140">
      <c r="A2140" s="2">
        <f>IFERROR(__xludf.DUMMYFUNCTION("""COMPUTED_VALUE"""),9.0)</f>
        <v>9</v>
      </c>
    </row>
    <row r="2141">
      <c r="A2141" s="2">
        <f>IFERROR(__xludf.DUMMYFUNCTION("""COMPUTED_VALUE"""),9.0)</f>
        <v>9</v>
      </c>
    </row>
    <row r="2142">
      <c r="A2142" s="2">
        <f>IFERROR(__xludf.DUMMYFUNCTION("""COMPUTED_VALUE"""),9.0)</f>
        <v>9</v>
      </c>
    </row>
    <row r="2143">
      <c r="A2143" s="2">
        <f>IFERROR(__xludf.DUMMYFUNCTION("""COMPUTED_VALUE"""),9.0)</f>
        <v>9</v>
      </c>
    </row>
    <row r="2144">
      <c r="A2144" s="2">
        <f>IFERROR(__xludf.DUMMYFUNCTION("""COMPUTED_VALUE"""),9.0)</f>
        <v>9</v>
      </c>
    </row>
    <row r="2145">
      <c r="A2145" s="2">
        <f>IFERROR(__xludf.DUMMYFUNCTION("""COMPUTED_VALUE"""),8.0)</f>
        <v>8</v>
      </c>
    </row>
    <row r="2146">
      <c r="A2146" s="2">
        <f>IFERROR(__xludf.DUMMYFUNCTION("""COMPUTED_VALUE"""),8.0)</f>
        <v>8</v>
      </c>
    </row>
    <row r="2147">
      <c r="A2147" s="2">
        <f>IFERROR(__xludf.DUMMYFUNCTION("""COMPUTED_VALUE"""),8.0)</f>
        <v>8</v>
      </c>
    </row>
    <row r="2148">
      <c r="A2148" s="2">
        <f>IFERROR(__xludf.DUMMYFUNCTION("""COMPUTED_VALUE"""),8.0)</f>
        <v>8</v>
      </c>
    </row>
    <row r="2149">
      <c r="A2149" s="2">
        <f>IFERROR(__xludf.DUMMYFUNCTION("""COMPUTED_VALUE"""),8.0)</f>
        <v>8</v>
      </c>
    </row>
    <row r="2150">
      <c r="A2150" s="2">
        <f>IFERROR(__xludf.DUMMYFUNCTION("""COMPUTED_VALUE"""),8.0)</f>
        <v>8</v>
      </c>
    </row>
    <row r="2151">
      <c r="A2151" s="2">
        <f>IFERROR(__xludf.DUMMYFUNCTION("""COMPUTED_VALUE"""),8.0)</f>
        <v>8</v>
      </c>
    </row>
    <row r="2152">
      <c r="A2152" s="2">
        <f>IFERROR(__xludf.DUMMYFUNCTION("""COMPUTED_VALUE"""),4.0)</f>
        <v>4</v>
      </c>
    </row>
    <row r="2153">
      <c r="A2153" s="2">
        <f>IFERROR(__xludf.DUMMYFUNCTION("""COMPUTED_VALUE"""),4.0)</f>
        <v>4</v>
      </c>
    </row>
    <row r="2154">
      <c r="A2154" s="2">
        <f>IFERROR(__xludf.DUMMYFUNCTION("""COMPUTED_VALUE"""),4.0)</f>
        <v>4</v>
      </c>
    </row>
    <row r="2155">
      <c r="A2155" s="2">
        <f>IFERROR(__xludf.DUMMYFUNCTION("""COMPUTED_VALUE"""),4.0)</f>
        <v>4</v>
      </c>
    </row>
    <row r="2156">
      <c r="A2156" s="2">
        <f>IFERROR(__xludf.DUMMYFUNCTION("""COMPUTED_VALUE"""),4.0)</f>
        <v>4</v>
      </c>
    </row>
    <row r="2157">
      <c r="A2157" s="2">
        <f>IFERROR(__xludf.DUMMYFUNCTION("""COMPUTED_VALUE"""),4.0)</f>
        <v>4</v>
      </c>
    </row>
    <row r="2158">
      <c r="A2158" s="2">
        <f>IFERROR(__xludf.DUMMYFUNCTION("""COMPUTED_VALUE"""),4.0)</f>
        <v>4</v>
      </c>
    </row>
    <row r="2159">
      <c r="A2159" s="2">
        <f>IFERROR(__xludf.DUMMYFUNCTION("""COMPUTED_VALUE"""),4.0)</f>
        <v>4</v>
      </c>
    </row>
    <row r="2160">
      <c r="A2160" s="2">
        <f>IFERROR(__xludf.DUMMYFUNCTION("""COMPUTED_VALUE"""),4.0)</f>
        <v>4</v>
      </c>
    </row>
    <row r="2161">
      <c r="A2161" s="2">
        <f>IFERROR(__xludf.DUMMYFUNCTION("""COMPUTED_VALUE"""),4.0)</f>
        <v>4</v>
      </c>
    </row>
    <row r="2162">
      <c r="A2162" s="2">
        <f>IFERROR(__xludf.DUMMYFUNCTION("""COMPUTED_VALUE"""),4.0)</f>
        <v>4</v>
      </c>
    </row>
    <row r="2163">
      <c r="A2163" s="2">
        <f>IFERROR(__xludf.DUMMYFUNCTION("""COMPUTED_VALUE"""),4.0)</f>
        <v>4</v>
      </c>
    </row>
    <row r="2164">
      <c r="A2164" s="2">
        <f>IFERROR(__xludf.DUMMYFUNCTION("""COMPUTED_VALUE"""),4.0)</f>
        <v>4</v>
      </c>
    </row>
    <row r="2165">
      <c r="A2165" s="2">
        <f>IFERROR(__xludf.DUMMYFUNCTION("""COMPUTED_VALUE"""),4.0)</f>
        <v>4</v>
      </c>
    </row>
    <row r="2166">
      <c r="A2166" s="2">
        <f>IFERROR(__xludf.DUMMYFUNCTION("""COMPUTED_VALUE"""),5.0)</f>
        <v>5</v>
      </c>
    </row>
    <row r="2167">
      <c r="A2167" s="2">
        <f>IFERROR(__xludf.DUMMYFUNCTION("""COMPUTED_VALUE"""),5.0)</f>
        <v>5</v>
      </c>
    </row>
    <row r="2168">
      <c r="A2168" s="2">
        <f>IFERROR(__xludf.DUMMYFUNCTION("""COMPUTED_VALUE"""),5.0)</f>
        <v>5</v>
      </c>
    </row>
    <row r="2169">
      <c r="A2169" s="2">
        <f>IFERROR(__xludf.DUMMYFUNCTION("""COMPUTED_VALUE"""),5.0)</f>
        <v>5</v>
      </c>
    </row>
    <row r="2170">
      <c r="A2170" s="2">
        <f>IFERROR(__xludf.DUMMYFUNCTION("""COMPUTED_VALUE"""),2.0)</f>
        <v>2</v>
      </c>
    </row>
    <row r="2171">
      <c r="A2171" s="2">
        <f>IFERROR(__xludf.DUMMYFUNCTION("""COMPUTED_VALUE"""),2.0)</f>
        <v>2</v>
      </c>
    </row>
    <row r="2172">
      <c r="A2172" s="2">
        <f>IFERROR(__xludf.DUMMYFUNCTION("""COMPUTED_VALUE"""),9.0)</f>
        <v>9</v>
      </c>
    </row>
    <row r="2173">
      <c r="A2173" s="2">
        <f>IFERROR(__xludf.DUMMYFUNCTION("""COMPUTED_VALUE"""),9.0)</f>
        <v>9</v>
      </c>
    </row>
    <row r="2174">
      <c r="A2174" s="2">
        <f>IFERROR(__xludf.DUMMYFUNCTION("""COMPUTED_VALUE"""),9.0)</f>
        <v>9</v>
      </c>
    </row>
    <row r="2175">
      <c r="A2175" s="2">
        <f>IFERROR(__xludf.DUMMYFUNCTION("""COMPUTED_VALUE"""),9.0)</f>
        <v>9</v>
      </c>
    </row>
    <row r="2176">
      <c r="A2176" s="2">
        <f>IFERROR(__xludf.DUMMYFUNCTION("""COMPUTED_VALUE"""),9.0)</f>
        <v>9</v>
      </c>
    </row>
    <row r="2177">
      <c r="A2177" s="2">
        <f>IFERROR(__xludf.DUMMYFUNCTION("""COMPUTED_VALUE"""),9.0)</f>
        <v>9</v>
      </c>
    </row>
    <row r="2178">
      <c r="A2178" s="2">
        <f>IFERROR(__xludf.DUMMYFUNCTION("""COMPUTED_VALUE"""),9.0)</f>
        <v>9</v>
      </c>
    </row>
    <row r="2179">
      <c r="A2179" s="2">
        <f>IFERROR(__xludf.DUMMYFUNCTION("""COMPUTED_VALUE"""),9.0)</f>
        <v>9</v>
      </c>
    </row>
    <row r="2180">
      <c r="A2180" s="2">
        <f>IFERROR(__xludf.DUMMYFUNCTION("""COMPUTED_VALUE"""),9.0)</f>
        <v>9</v>
      </c>
    </row>
    <row r="2181">
      <c r="A2181" s="2">
        <f>IFERROR(__xludf.DUMMYFUNCTION("""COMPUTED_VALUE"""),9.0)</f>
        <v>9</v>
      </c>
    </row>
    <row r="2182">
      <c r="A2182" s="2">
        <f>IFERROR(__xludf.DUMMYFUNCTION("""COMPUTED_VALUE"""),9.0)</f>
        <v>9</v>
      </c>
    </row>
    <row r="2183">
      <c r="A2183" s="2">
        <f>IFERROR(__xludf.DUMMYFUNCTION("""COMPUTED_VALUE"""),9.0)</f>
        <v>9</v>
      </c>
    </row>
    <row r="2184">
      <c r="A2184" s="2">
        <f>IFERROR(__xludf.DUMMYFUNCTION("""COMPUTED_VALUE"""),9.0)</f>
        <v>9</v>
      </c>
    </row>
    <row r="2185">
      <c r="A2185" s="2">
        <f>IFERROR(__xludf.DUMMYFUNCTION("""COMPUTED_VALUE"""),9.0)</f>
        <v>9</v>
      </c>
    </row>
    <row r="2186">
      <c r="A2186" s="2">
        <f>IFERROR(__xludf.DUMMYFUNCTION("""COMPUTED_VALUE"""),9.0)</f>
        <v>9</v>
      </c>
    </row>
    <row r="2187">
      <c r="A2187" s="2">
        <f>IFERROR(__xludf.DUMMYFUNCTION("""COMPUTED_VALUE"""),9.0)</f>
        <v>9</v>
      </c>
    </row>
    <row r="2188">
      <c r="A2188" s="2">
        <f>IFERROR(__xludf.DUMMYFUNCTION("""COMPUTED_VALUE"""),9.0)</f>
        <v>9</v>
      </c>
    </row>
    <row r="2189">
      <c r="A2189" s="2">
        <f>IFERROR(__xludf.DUMMYFUNCTION("""COMPUTED_VALUE"""),9.0)</f>
        <v>9</v>
      </c>
    </row>
    <row r="2190">
      <c r="A2190" s="2">
        <f>IFERROR(__xludf.DUMMYFUNCTION("""COMPUTED_VALUE"""),9.0)</f>
        <v>9</v>
      </c>
    </row>
    <row r="2191">
      <c r="A2191" s="2">
        <f>IFERROR(__xludf.DUMMYFUNCTION("""COMPUTED_VALUE"""),9.0)</f>
        <v>9</v>
      </c>
    </row>
    <row r="2192">
      <c r="A2192" s="2">
        <f>IFERROR(__xludf.DUMMYFUNCTION("""COMPUTED_VALUE"""),9.0)</f>
        <v>9</v>
      </c>
    </row>
    <row r="2193">
      <c r="A2193" s="2">
        <f>IFERROR(__xludf.DUMMYFUNCTION("""COMPUTED_VALUE"""),9.0)</f>
        <v>9</v>
      </c>
    </row>
    <row r="2194">
      <c r="A2194" s="2">
        <f>IFERROR(__xludf.DUMMYFUNCTION("""COMPUTED_VALUE"""),9.0)</f>
        <v>9</v>
      </c>
    </row>
    <row r="2195">
      <c r="A2195" s="2">
        <f>IFERROR(__xludf.DUMMYFUNCTION("""COMPUTED_VALUE"""),7.0)</f>
        <v>7</v>
      </c>
    </row>
    <row r="2196">
      <c r="A2196" s="2">
        <f>IFERROR(__xludf.DUMMYFUNCTION("""COMPUTED_VALUE"""),7.0)</f>
        <v>7</v>
      </c>
    </row>
    <row r="2197">
      <c r="A2197" s="2">
        <f>IFERROR(__xludf.DUMMYFUNCTION("""COMPUTED_VALUE"""),4.0)</f>
        <v>4</v>
      </c>
    </row>
    <row r="2198">
      <c r="A2198" s="2">
        <f>IFERROR(__xludf.DUMMYFUNCTION("""COMPUTED_VALUE"""),4.0)</f>
        <v>4</v>
      </c>
    </row>
    <row r="2199">
      <c r="A2199" s="2">
        <f>IFERROR(__xludf.DUMMYFUNCTION("""COMPUTED_VALUE"""),4.0)</f>
        <v>4</v>
      </c>
    </row>
    <row r="2200">
      <c r="A2200" s="2">
        <f>IFERROR(__xludf.DUMMYFUNCTION("""COMPUTED_VALUE"""),4.0)</f>
        <v>4</v>
      </c>
    </row>
    <row r="2201">
      <c r="A2201" s="2">
        <f>IFERROR(__xludf.DUMMYFUNCTION("""COMPUTED_VALUE"""),1.0)</f>
        <v>1</v>
      </c>
    </row>
    <row r="2202">
      <c r="A2202" s="2">
        <f>IFERROR(__xludf.DUMMYFUNCTION("""COMPUTED_VALUE"""),1.0)</f>
        <v>1</v>
      </c>
    </row>
    <row r="2203">
      <c r="A2203" s="2">
        <f>IFERROR(__xludf.DUMMYFUNCTION("""COMPUTED_VALUE"""),1.0)</f>
        <v>1</v>
      </c>
    </row>
    <row r="2204">
      <c r="A2204" s="2">
        <f>IFERROR(__xludf.DUMMYFUNCTION("""COMPUTED_VALUE"""),1.0)</f>
        <v>1</v>
      </c>
    </row>
    <row r="2205">
      <c r="A2205" s="2">
        <f>IFERROR(__xludf.DUMMYFUNCTION("""COMPUTED_VALUE"""),1.0)</f>
        <v>1</v>
      </c>
    </row>
    <row r="2206">
      <c r="A2206" s="2">
        <f>IFERROR(__xludf.DUMMYFUNCTION("""COMPUTED_VALUE"""),6.0)</f>
        <v>6</v>
      </c>
    </row>
    <row r="2207">
      <c r="A2207" s="2">
        <f>IFERROR(__xludf.DUMMYFUNCTION("""COMPUTED_VALUE"""),6.0)</f>
        <v>6</v>
      </c>
    </row>
    <row r="2208">
      <c r="A2208" s="2">
        <f>IFERROR(__xludf.DUMMYFUNCTION("""COMPUTED_VALUE"""),9.0)</f>
        <v>9</v>
      </c>
    </row>
    <row r="2209">
      <c r="A2209" s="2">
        <f>IFERROR(__xludf.DUMMYFUNCTION("""COMPUTED_VALUE"""),7.0)</f>
        <v>7</v>
      </c>
    </row>
    <row r="2210">
      <c r="A2210" s="2">
        <f>IFERROR(__xludf.DUMMYFUNCTION("""COMPUTED_VALUE"""),6.0)</f>
        <v>6</v>
      </c>
    </row>
    <row r="2211">
      <c r="A2211" s="2">
        <f>IFERROR(__xludf.DUMMYFUNCTION("""COMPUTED_VALUE"""),6.0)</f>
        <v>6</v>
      </c>
    </row>
    <row r="2212">
      <c r="A2212" s="2">
        <f>IFERROR(__xludf.DUMMYFUNCTION("""COMPUTED_VALUE"""),6.0)</f>
        <v>6</v>
      </c>
    </row>
    <row r="2213">
      <c r="A2213" s="2">
        <f>IFERROR(__xludf.DUMMYFUNCTION("""COMPUTED_VALUE"""),6.0)</f>
        <v>6</v>
      </c>
    </row>
    <row r="2214">
      <c r="A2214" s="2">
        <f>IFERROR(__xludf.DUMMYFUNCTION("""COMPUTED_VALUE"""),5.0)</f>
        <v>5</v>
      </c>
    </row>
    <row r="2215">
      <c r="A2215" s="2">
        <f>IFERROR(__xludf.DUMMYFUNCTION("""COMPUTED_VALUE"""),5.0)</f>
        <v>5</v>
      </c>
    </row>
    <row r="2216">
      <c r="A2216" s="2">
        <f>IFERROR(__xludf.DUMMYFUNCTION("""COMPUTED_VALUE"""),5.0)</f>
        <v>5</v>
      </c>
    </row>
    <row r="2217">
      <c r="A2217" s="2">
        <f>IFERROR(__xludf.DUMMYFUNCTION("""COMPUTED_VALUE"""),5.0)</f>
        <v>5</v>
      </c>
    </row>
    <row r="2218">
      <c r="A2218" s="2">
        <f>IFERROR(__xludf.DUMMYFUNCTION("""COMPUTED_VALUE"""),5.0)</f>
        <v>5</v>
      </c>
    </row>
    <row r="2219">
      <c r="A2219" s="2">
        <f>IFERROR(__xludf.DUMMYFUNCTION("""COMPUTED_VALUE"""),5.0)</f>
        <v>5</v>
      </c>
    </row>
    <row r="2220">
      <c r="A2220" s="2">
        <f>IFERROR(__xludf.DUMMYFUNCTION("""COMPUTED_VALUE"""),9.0)</f>
        <v>9</v>
      </c>
    </row>
    <row r="2221">
      <c r="A2221" s="2">
        <f>IFERROR(__xludf.DUMMYFUNCTION("""COMPUTED_VALUE"""),9.0)</f>
        <v>9</v>
      </c>
    </row>
    <row r="2222">
      <c r="A2222" s="2">
        <f>IFERROR(__xludf.DUMMYFUNCTION("""COMPUTED_VALUE"""),9.0)</f>
        <v>9</v>
      </c>
    </row>
    <row r="2223">
      <c r="A2223" s="2">
        <f>IFERROR(__xludf.DUMMYFUNCTION("""COMPUTED_VALUE"""),9.0)</f>
        <v>9</v>
      </c>
    </row>
    <row r="2224">
      <c r="A2224" s="2">
        <f>IFERROR(__xludf.DUMMYFUNCTION("""COMPUTED_VALUE"""),9.0)</f>
        <v>9</v>
      </c>
    </row>
    <row r="2225">
      <c r="A2225" s="2">
        <f>IFERROR(__xludf.DUMMYFUNCTION("""COMPUTED_VALUE"""),9.0)</f>
        <v>9</v>
      </c>
    </row>
    <row r="2226">
      <c r="A2226" s="2">
        <f>IFERROR(__xludf.DUMMYFUNCTION("""COMPUTED_VALUE"""),6.0)</f>
        <v>6</v>
      </c>
    </row>
    <row r="2227">
      <c r="A2227" s="2">
        <f>IFERROR(__xludf.DUMMYFUNCTION("""COMPUTED_VALUE"""),6.0)</f>
        <v>6</v>
      </c>
    </row>
    <row r="2228">
      <c r="A2228" s="2">
        <f>IFERROR(__xludf.DUMMYFUNCTION("""COMPUTED_VALUE"""),6.0)</f>
        <v>6</v>
      </c>
    </row>
    <row r="2229">
      <c r="A2229" s="2">
        <f>IFERROR(__xludf.DUMMYFUNCTION("""COMPUTED_VALUE"""),5.0)</f>
        <v>5</v>
      </c>
    </row>
    <row r="2230">
      <c r="A2230" s="2">
        <f>IFERROR(__xludf.DUMMYFUNCTION("""COMPUTED_VALUE"""),5.0)</f>
        <v>5</v>
      </c>
    </row>
    <row r="2231">
      <c r="A2231" s="2">
        <f>IFERROR(__xludf.DUMMYFUNCTION("""COMPUTED_VALUE"""),5.0)</f>
        <v>5</v>
      </c>
    </row>
    <row r="2232">
      <c r="A2232" s="2">
        <f>IFERROR(__xludf.DUMMYFUNCTION("""COMPUTED_VALUE"""),5.0)</f>
        <v>5</v>
      </c>
    </row>
    <row r="2233">
      <c r="A2233" s="2">
        <f>IFERROR(__xludf.DUMMYFUNCTION("""COMPUTED_VALUE"""),5.0)</f>
        <v>5</v>
      </c>
    </row>
    <row r="2234">
      <c r="A2234" s="2">
        <f>IFERROR(__xludf.DUMMYFUNCTION("""COMPUTED_VALUE"""),5.0)</f>
        <v>5</v>
      </c>
    </row>
    <row r="2235">
      <c r="A2235" s="2">
        <f>IFERROR(__xludf.DUMMYFUNCTION("""COMPUTED_VALUE"""),5.0)</f>
        <v>5</v>
      </c>
    </row>
    <row r="2236">
      <c r="A2236" s="2">
        <f>IFERROR(__xludf.DUMMYFUNCTION("""COMPUTED_VALUE"""),5.0)</f>
        <v>5</v>
      </c>
    </row>
    <row r="2237">
      <c r="A2237" s="2">
        <f>IFERROR(__xludf.DUMMYFUNCTION("""COMPUTED_VALUE"""),5.0)</f>
        <v>5</v>
      </c>
    </row>
    <row r="2238">
      <c r="A2238" s="2">
        <f>IFERROR(__xludf.DUMMYFUNCTION("""COMPUTED_VALUE"""),2.0)</f>
        <v>2</v>
      </c>
    </row>
    <row r="2239">
      <c r="A2239" s="2">
        <f>IFERROR(__xludf.DUMMYFUNCTION("""COMPUTED_VALUE"""),2.0)</f>
        <v>2</v>
      </c>
    </row>
    <row r="2240">
      <c r="A2240" s="2">
        <f>IFERROR(__xludf.DUMMYFUNCTION("""COMPUTED_VALUE"""),2.0)</f>
        <v>2</v>
      </c>
    </row>
    <row r="2241">
      <c r="A2241" s="2">
        <f>IFERROR(__xludf.DUMMYFUNCTION("""COMPUTED_VALUE"""),2.0)</f>
        <v>2</v>
      </c>
    </row>
    <row r="2242">
      <c r="A2242" s="2">
        <f>IFERROR(__xludf.DUMMYFUNCTION("""COMPUTED_VALUE"""),2.0)</f>
        <v>2</v>
      </c>
    </row>
    <row r="2243">
      <c r="A2243" s="2">
        <f>IFERROR(__xludf.DUMMYFUNCTION("""COMPUTED_VALUE"""),2.0)</f>
        <v>2</v>
      </c>
    </row>
    <row r="2244">
      <c r="A2244" s="2">
        <f>IFERROR(__xludf.DUMMYFUNCTION("""COMPUTED_VALUE"""),2.0)</f>
        <v>2</v>
      </c>
    </row>
    <row r="2245">
      <c r="A2245" s="2">
        <f>IFERROR(__xludf.DUMMYFUNCTION("""COMPUTED_VALUE"""),2.0)</f>
        <v>2</v>
      </c>
    </row>
    <row r="2246">
      <c r="A2246" s="2">
        <f>IFERROR(__xludf.DUMMYFUNCTION("""COMPUTED_VALUE"""),3.0)</f>
        <v>3</v>
      </c>
    </row>
    <row r="2247">
      <c r="A2247" s="2">
        <f>IFERROR(__xludf.DUMMYFUNCTION("""COMPUTED_VALUE"""),3.0)</f>
        <v>3</v>
      </c>
    </row>
    <row r="2248">
      <c r="A2248" s="2">
        <f>IFERROR(__xludf.DUMMYFUNCTION("""COMPUTED_VALUE"""),3.0)</f>
        <v>3</v>
      </c>
    </row>
    <row r="2249">
      <c r="A2249" s="2">
        <f>IFERROR(__xludf.DUMMYFUNCTION("""COMPUTED_VALUE"""),3.0)</f>
        <v>3</v>
      </c>
    </row>
    <row r="2250">
      <c r="A2250" s="2">
        <f>IFERROR(__xludf.DUMMYFUNCTION("""COMPUTED_VALUE"""),3.0)</f>
        <v>3</v>
      </c>
    </row>
    <row r="2251">
      <c r="A2251" s="2">
        <f>IFERROR(__xludf.DUMMYFUNCTION("""COMPUTED_VALUE"""),3.0)</f>
        <v>3</v>
      </c>
    </row>
    <row r="2252">
      <c r="A2252" s="2">
        <f>IFERROR(__xludf.DUMMYFUNCTION("""COMPUTED_VALUE"""),3.0)</f>
        <v>3</v>
      </c>
    </row>
    <row r="2253">
      <c r="A2253" s="2">
        <f>IFERROR(__xludf.DUMMYFUNCTION("""COMPUTED_VALUE"""),1.0)</f>
        <v>1</v>
      </c>
    </row>
    <row r="2254">
      <c r="A2254" s="2">
        <f>IFERROR(__xludf.DUMMYFUNCTION("""COMPUTED_VALUE"""),5.0)</f>
        <v>5</v>
      </c>
    </row>
    <row r="2255">
      <c r="A2255" s="2">
        <f>IFERROR(__xludf.DUMMYFUNCTION("""COMPUTED_VALUE"""),5.0)</f>
        <v>5</v>
      </c>
    </row>
    <row r="2256">
      <c r="A2256" s="2">
        <f>IFERROR(__xludf.DUMMYFUNCTION("""COMPUTED_VALUE"""),5.0)</f>
        <v>5</v>
      </c>
    </row>
    <row r="2257">
      <c r="A2257" s="2">
        <f>IFERROR(__xludf.DUMMYFUNCTION("""COMPUTED_VALUE"""),5.0)</f>
        <v>5</v>
      </c>
    </row>
    <row r="2258">
      <c r="A2258" s="2">
        <f>IFERROR(__xludf.DUMMYFUNCTION("""COMPUTED_VALUE"""),5.0)</f>
        <v>5</v>
      </c>
    </row>
    <row r="2259">
      <c r="A2259" s="2">
        <f>IFERROR(__xludf.DUMMYFUNCTION("""COMPUTED_VALUE"""),5.0)</f>
        <v>5</v>
      </c>
    </row>
    <row r="2260">
      <c r="A2260" s="2">
        <f>IFERROR(__xludf.DUMMYFUNCTION("""COMPUTED_VALUE"""),5.0)</f>
        <v>5</v>
      </c>
    </row>
    <row r="2261">
      <c r="A2261" s="2">
        <f>IFERROR(__xludf.DUMMYFUNCTION("""COMPUTED_VALUE"""),1.0)</f>
        <v>1</v>
      </c>
    </row>
    <row r="2262">
      <c r="A2262" s="2">
        <f>IFERROR(__xludf.DUMMYFUNCTION("""COMPUTED_VALUE"""),1.0)</f>
        <v>1</v>
      </c>
    </row>
    <row r="2263">
      <c r="A2263" s="2">
        <f>IFERROR(__xludf.DUMMYFUNCTION("""COMPUTED_VALUE"""),6.0)</f>
        <v>6</v>
      </c>
    </row>
    <row r="2264">
      <c r="A2264" s="2">
        <f>IFERROR(__xludf.DUMMYFUNCTION("""COMPUTED_VALUE"""),3.0)</f>
        <v>3</v>
      </c>
    </row>
    <row r="2265">
      <c r="A2265" s="2">
        <f>IFERROR(__xludf.DUMMYFUNCTION("""COMPUTED_VALUE"""),3.0)</f>
        <v>3</v>
      </c>
    </row>
    <row r="2266">
      <c r="A2266" s="2">
        <f>IFERROR(__xludf.DUMMYFUNCTION("""COMPUTED_VALUE"""),9.0)</f>
        <v>9</v>
      </c>
    </row>
    <row r="2267">
      <c r="A2267" s="2">
        <f>IFERROR(__xludf.DUMMYFUNCTION("""COMPUTED_VALUE"""),9.0)</f>
        <v>9</v>
      </c>
    </row>
    <row r="2268">
      <c r="A2268" s="2">
        <f>IFERROR(__xludf.DUMMYFUNCTION("""COMPUTED_VALUE"""),9.0)</f>
        <v>9</v>
      </c>
    </row>
    <row r="2269">
      <c r="A2269" s="2">
        <f>IFERROR(__xludf.DUMMYFUNCTION("""COMPUTED_VALUE"""),9.0)</f>
        <v>9</v>
      </c>
    </row>
    <row r="2270">
      <c r="A2270" s="2">
        <f>IFERROR(__xludf.DUMMYFUNCTION("""COMPUTED_VALUE"""),9.0)</f>
        <v>9</v>
      </c>
    </row>
    <row r="2271">
      <c r="A2271" s="2">
        <f>IFERROR(__xludf.DUMMYFUNCTION("""COMPUTED_VALUE"""),9.0)</f>
        <v>9</v>
      </c>
    </row>
    <row r="2272">
      <c r="A2272" s="2">
        <f>IFERROR(__xludf.DUMMYFUNCTION("""COMPUTED_VALUE"""),9.0)</f>
        <v>9</v>
      </c>
    </row>
    <row r="2273">
      <c r="A2273" s="2">
        <f>IFERROR(__xludf.DUMMYFUNCTION("""COMPUTED_VALUE"""),9.0)</f>
        <v>9</v>
      </c>
    </row>
    <row r="2274">
      <c r="A2274" s="2">
        <f>IFERROR(__xludf.DUMMYFUNCTION("""COMPUTED_VALUE"""),3.0)</f>
        <v>3</v>
      </c>
    </row>
    <row r="2275">
      <c r="A2275" s="2">
        <f>IFERROR(__xludf.DUMMYFUNCTION("""COMPUTED_VALUE"""),3.0)</f>
        <v>3</v>
      </c>
    </row>
    <row r="2276">
      <c r="A2276" s="2">
        <f>IFERROR(__xludf.DUMMYFUNCTION("""COMPUTED_VALUE"""),3.0)</f>
        <v>3</v>
      </c>
    </row>
    <row r="2277">
      <c r="A2277" s="2">
        <f>IFERROR(__xludf.DUMMYFUNCTION("""COMPUTED_VALUE"""),1.0)</f>
        <v>1</v>
      </c>
    </row>
    <row r="2278">
      <c r="A2278" s="2">
        <f>IFERROR(__xludf.DUMMYFUNCTION("""COMPUTED_VALUE"""),1.0)</f>
        <v>1</v>
      </c>
    </row>
    <row r="2279">
      <c r="A2279" s="2">
        <f>IFERROR(__xludf.DUMMYFUNCTION("""COMPUTED_VALUE"""),1.0)</f>
        <v>1</v>
      </c>
    </row>
    <row r="2280">
      <c r="A2280" s="2">
        <f>IFERROR(__xludf.DUMMYFUNCTION("""COMPUTED_VALUE"""),2.0)</f>
        <v>2</v>
      </c>
    </row>
    <row r="2281">
      <c r="A2281" s="2">
        <f>IFERROR(__xludf.DUMMYFUNCTION("""COMPUTED_VALUE"""),6.0)</f>
        <v>6</v>
      </c>
    </row>
    <row r="2282">
      <c r="A2282" s="2">
        <f>IFERROR(__xludf.DUMMYFUNCTION("""COMPUTED_VALUE"""),6.0)</f>
        <v>6</v>
      </c>
    </row>
    <row r="2283">
      <c r="A2283" s="2">
        <f>IFERROR(__xludf.DUMMYFUNCTION("""COMPUTED_VALUE"""),3.0)</f>
        <v>3</v>
      </c>
    </row>
    <row r="2284">
      <c r="A2284" s="2">
        <f>IFERROR(__xludf.DUMMYFUNCTION("""COMPUTED_VALUE"""),3.0)</f>
        <v>3</v>
      </c>
    </row>
    <row r="2285">
      <c r="A2285" s="2">
        <f>IFERROR(__xludf.DUMMYFUNCTION("""COMPUTED_VALUE"""),2.0)</f>
        <v>2</v>
      </c>
    </row>
    <row r="2286">
      <c r="A2286" s="2">
        <f>IFERROR(__xludf.DUMMYFUNCTION("""COMPUTED_VALUE"""),2.0)</f>
        <v>2</v>
      </c>
    </row>
    <row r="2287">
      <c r="A2287" s="2">
        <f>IFERROR(__xludf.DUMMYFUNCTION("""COMPUTED_VALUE"""),4.0)</f>
        <v>4</v>
      </c>
    </row>
    <row r="2288">
      <c r="A2288" s="2">
        <f>IFERROR(__xludf.DUMMYFUNCTION("""COMPUTED_VALUE"""),4.0)</f>
        <v>4</v>
      </c>
    </row>
    <row r="2289">
      <c r="A2289" s="2">
        <f>IFERROR(__xludf.DUMMYFUNCTION("""COMPUTED_VALUE"""),6.0)</f>
        <v>6</v>
      </c>
    </row>
    <row r="2290">
      <c r="A2290" s="2">
        <f>IFERROR(__xludf.DUMMYFUNCTION("""COMPUTED_VALUE"""),9.0)</f>
        <v>9</v>
      </c>
    </row>
    <row r="2291">
      <c r="A2291" s="2">
        <f>IFERROR(__xludf.DUMMYFUNCTION("""COMPUTED_VALUE"""),9.0)</f>
        <v>9</v>
      </c>
    </row>
    <row r="2292">
      <c r="A2292" s="2">
        <f>IFERROR(__xludf.DUMMYFUNCTION("""COMPUTED_VALUE"""),9.0)</f>
        <v>9</v>
      </c>
    </row>
    <row r="2293">
      <c r="A2293" s="2">
        <f>IFERROR(__xludf.DUMMYFUNCTION("""COMPUTED_VALUE"""),8.0)</f>
        <v>8</v>
      </c>
    </row>
    <row r="2294">
      <c r="A2294" s="2">
        <f>IFERROR(__xludf.DUMMYFUNCTION("""COMPUTED_VALUE"""),8.0)</f>
        <v>8</v>
      </c>
    </row>
    <row r="2295">
      <c r="A2295" s="2">
        <f>IFERROR(__xludf.DUMMYFUNCTION("""COMPUTED_VALUE"""),1.0)</f>
        <v>1</v>
      </c>
    </row>
    <row r="2296">
      <c r="A2296" s="2">
        <f>IFERROR(__xludf.DUMMYFUNCTION("""COMPUTED_VALUE"""),1.0)</f>
        <v>1</v>
      </c>
    </row>
    <row r="2297">
      <c r="A2297" s="2">
        <f>IFERROR(__xludf.DUMMYFUNCTION("""COMPUTED_VALUE"""),1.0)</f>
        <v>1</v>
      </c>
    </row>
    <row r="2298">
      <c r="A2298" s="2">
        <f>IFERROR(__xludf.DUMMYFUNCTION("""COMPUTED_VALUE"""),7.0)</f>
        <v>7</v>
      </c>
    </row>
    <row r="2299">
      <c r="A2299" s="2">
        <f>IFERROR(__xludf.DUMMYFUNCTION("""COMPUTED_VALUE"""),7.0)</f>
        <v>7</v>
      </c>
    </row>
    <row r="2300">
      <c r="A2300" s="2">
        <f>IFERROR(__xludf.DUMMYFUNCTION("""COMPUTED_VALUE"""),7.0)</f>
        <v>7</v>
      </c>
    </row>
    <row r="2301">
      <c r="A2301" s="2">
        <f>IFERROR(__xludf.DUMMYFUNCTION("""COMPUTED_VALUE"""),7.0)</f>
        <v>7</v>
      </c>
    </row>
    <row r="2302">
      <c r="A2302" s="2">
        <f>IFERROR(__xludf.DUMMYFUNCTION("""COMPUTED_VALUE"""),4.0)</f>
        <v>4</v>
      </c>
    </row>
    <row r="2303">
      <c r="A2303" s="2">
        <f>IFERROR(__xludf.DUMMYFUNCTION("""COMPUTED_VALUE"""),4.0)</f>
        <v>4</v>
      </c>
    </row>
    <row r="2304">
      <c r="A2304" s="2">
        <f>IFERROR(__xludf.DUMMYFUNCTION("""COMPUTED_VALUE"""),6.0)</f>
        <v>6</v>
      </c>
    </row>
    <row r="2305">
      <c r="A2305" s="2">
        <f>IFERROR(__xludf.DUMMYFUNCTION("""COMPUTED_VALUE"""),6.0)</f>
        <v>6</v>
      </c>
    </row>
    <row r="2306">
      <c r="A2306" s="2">
        <f>IFERROR(__xludf.DUMMYFUNCTION("""COMPUTED_VALUE"""),6.0)</f>
        <v>6</v>
      </c>
    </row>
    <row r="2307">
      <c r="A2307" s="2">
        <f>IFERROR(__xludf.DUMMYFUNCTION("""COMPUTED_VALUE"""),6.0)</f>
        <v>6</v>
      </c>
    </row>
    <row r="2308">
      <c r="A2308" s="2">
        <f>IFERROR(__xludf.DUMMYFUNCTION("""COMPUTED_VALUE"""),6.0)</f>
        <v>6</v>
      </c>
    </row>
    <row r="2309">
      <c r="A2309" s="2">
        <f>IFERROR(__xludf.DUMMYFUNCTION("""COMPUTED_VALUE"""),6.0)</f>
        <v>6</v>
      </c>
    </row>
    <row r="2310">
      <c r="A2310" s="2">
        <f>IFERROR(__xludf.DUMMYFUNCTION("""COMPUTED_VALUE"""),6.0)</f>
        <v>6</v>
      </c>
    </row>
    <row r="2311">
      <c r="A2311" s="2">
        <f>IFERROR(__xludf.DUMMYFUNCTION("""COMPUTED_VALUE"""),4.0)</f>
        <v>4</v>
      </c>
    </row>
    <row r="2312">
      <c r="A2312" s="2">
        <f>IFERROR(__xludf.DUMMYFUNCTION("""COMPUTED_VALUE"""),7.0)</f>
        <v>7</v>
      </c>
    </row>
    <row r="2313">
      <c r="A2313" s="2">
        <f>IFERROR(__xludf.DUMMYFUNCTION("""COMPUTED_VALUE"""),7.0)</f>
        <v>7</v>
      </c>
    </row>
    <row r="2314">
      <c r="A2314" s="2">
        <f>IFERROR(__xludf.DUMMYFUNCTION("""COMPUTED_VALUE"""),7.0)</f>
        <v>7</v>
      </c>
    </row>
    <row r="2315">
      <c r="A2315" s="2">
        <f>IFERROR(__xludf.DUMMYFUNCTION("""COMPUTED_VALUE"""),7.0)</f>
        <v>7</v>
      </c>
    </row>
    <row r="2316">
      <c r="A2316" s="2">
        <f>IFERROR(__xludf.DUMMYFUNCTION("""COMPUTED_VALUE"""),7.0)</f>
        <v>7</v>
      </c>
    </row>
    <row r="2317">
      <c r="A2317" s="2">
        <f>IFERROR(__xludf.DUMMYFUNCTION("""COMPUTED_VALUE"""),7.0)</f>
        <v>7</v>
      </c>
    </row>
    <row r="2318">
      <c r="A2318" s="2">
        <f>IFERROR(__xludf.DUMMYFUNCTION("""COMPUTED_VALUE"""),7.0)</f>
        <v>7</v>
      </c>
    </row>
    <row r="2319">
      <c r="A2319" s="2">
        <f>IFERROR(__xludf.DUMMYFUNCTION("""COMPUTED_VALUE"""),7.0)</f>
        <v>7</v>
      </c>
    </row>
    <row r="2320">
      <c r="A2320" s="2">
        <f>IFERROR(__xludf.DUMMYFUNCTION("""COMPUTED_VALUE"""),7.0)</f>
        <v>7</v>
      </c>
    </row>
    <row r="2321">
      <c r="A2321" s="2">
        <f>IFERROR(__xludf.DUMMYFUNCTION("""COMPUTED_VALUE"""),7.0)</f>
        <v>7</v>
      </c>
    </row>
    <row r="2322">
      <c r="A2322" s="2">
        <f>IFERROR(__xludf.DUMMYFUNCTION("""COMPUTED_VALUE"""),7.0)</f>
        <v>7</v>
      </c>
    </row>
    <row r="2323">
      <c r="A2323" s="2">
        <f>IFERROR(__xludf.DUMMYFUNCTION("""COMPUTED_VALUE"""),3.0)</f>
        <v>3</v>
      </c>
    </row>
    <row r="2324">
      <c r="A2324" s="2">
        <f>IFERROR(__xludf.DUMMYFUNCTION("""COMPUTED_VALUE"""),3.0)</f>
        <v>3</v>
      </c>
    </row>
    <row r="2325">
      <c r="A2325" s="2">
        <f>IFERROR(__xludf.DUMMYFUNCTION("""COMPUTED_VALUE"""),3.0)</f>
        <v>3</v>
      </c>
    </row>
    <row r="2326">
      <c r="A2326" s="2">
        <f>IFERROR(__xludf.DUMMYFUNCTION("""COMPUTED_VALUE"""),5.0)</f>
        <v>5</v>
      </c>
    </row>
    <row r="2327">
      <c r="A2327" s="2">
        <f>IFERROR(__xludf.DUMMYFUNCTION("""COMPUTED_VALUE"""),5.0)</f>
        <v>5</v>
      </c>
    </row>
    <row r="2328">
      <c r="A2328" s="2">
        <f>IFERROR(__xludf.DUMMYFUNCTION("""COMPUTED_VALUE"""),5.0)</f>
        <v>5</v>
      </c>
    </row>
    <row r="2329">
      <c r="A2329" s="2">
        <f>IFERROR(__xludf.DUMMYFUNCTION("""COMPUTED_VALUE"""),5.0)</f>
        <v>5</v>
      </c>
    </row>
    <row r="2330">
      <c r="A2330" s="2">
        <f>IFERROR(__xludf.DUMMYFUNCTION("""COMPUTED_VALUE"""),5.0)</f>
        <v>5</v>
      </c>
    </row>
    <row r="2331">
      <c r="A2331" s="2">
        <f>IFERROR(__xludf.DUMMYFUNCTION("""COMPUTED_VALUE"""),5.0)</f>
        <v>5</v>
      </c>
    </row>
    <row r="2332">
      <c r="A2332" s="2">
        <f>IFERROR(__xludf.DUMMYFUNCTION("""COMPUTED_VALUE"""),5.0)</f>
        <v>5</v>
      </c>
    </row>
    <row r="2333">
      <c r="A2333" s="2">
        <f>IFERROR(__xludf.DUMMYFUNCTION("""COMPUTED_VALUE"""),5.0)</f>
        <v>5</v>
      </c>
    </row>
    <row r="2334">
      <c r="A2334" s="2">
        <f>IFERROR(__xludf.DUMMYFUNCTION("""COMPUTED_VALUE"""),5.0)</f>
        <v>5</v>
      </c>
    </row>
    <row r="2335">
      <c r="A2335" s="2">
        <f>IFERROR(__xludf.DUMMYFUNCTION("""COMPUTED_VALUE"""),5.0)</f>
        <v>5</v>
      </c>
    </row>
    <row r="2336">
      <c r="A2336" s="2">
        <f>IFERROR(__xludf.DUMMYFUNCTION("""COMPUTED_VALUE"""),5.0)</f>
        <v>5</v>
      </c>
    </row>
    <row r="2337">
      <c r="A2337" s="2">
        <f>IFERROR(__xludf.DUMMYFUNCTION("""COMPUTED_VALUE"""),5.0)</f>
        <v>5</v>
      </c>
    </row>
    <row r="2338">
      <c r="A2338" s="2">
        <f>IFERROR(__xludf.DUMMYFUNCTION("""COMPUTED_VALUE"""),5.0)</f>
        <v>5</v>
      </c>
    </row>
    <row r="2339">
      <c r="A2339" s="2">
        <f>IFERROR(__xludf.DUMMYFUNCTION("""COMPUTED_VALUE"""),5.0)</f>
        <v>5</v>
      </c>
    </row>
    <row r="2340">
      <c r="A2340" s="2">
        <f>IFERROR(__xludf.DUMMYFUNCTION("""COMPUTED_VALUE"""),5.0)</f>
        <v>5</v>
      </c>
    </row>
    <row r="2341">
      <c r="A2341" s="2">
        <f>IFERROR(__xludf.DUMMYFUNCTION("""COMPUTED_VALUE"""),5.0)</f>
        <v>5</v>
      </c>
    </row>
    <row r="2342">
      <c r="A2342" s="2">
        <f>IFERROR(__xludf.DUMMYFUNCTION("""COMPUTED_VALUE"""),5.0)</f>
        <v>5</v>
      </c>
    </row>
    <row r="2343">
      <c r="A2343" s="2">
        <f>IFERROR(__xludf.DUMMYFUNCTION("""COMPUTED_VALUE"""),5.0)</f>
        <v>5</v>
      </c>
    </row>
    <row r="2344">
      <c r="A2344" s="2">
        <f>IFERROR(__xludf.DUMMYFUNCTION("""COMPUTED_VALUE"""),5.0)</f>
        <v>5</v>
      </c>
    </row>
    <row r="2345">
      <c r="A2345" s="2">
        <f>IFERROR(__xludf.DUMMYFUNCTION("""COMPUTED_VALUE"""),5.0)</f>
        <v>5</v>
      </c>
    </row>
    <row r="2346">
      <c r="A2346" s="2">
        <f>IFERROR(__xludf.DUMMYFUNCTION("""COMPUTED_VALUE"""),9.0)</f>
        <v>9</v>
      </c>
    </row>
    <row r="2347">
      <c r="A2347" s="2">
        <f>IFERROR(__xludf.DUMMYFUNCTION("""COMPUTED_VALUE"""),9.0)</f>
        <v>9</v>
      </c>
    </row>
    <row r="2348">
      <c r="A2348" s="2">
        <f>IFERROR(__xludf.DUMMYFUNCTION("""COMPUTED_VALUE"""),9.0)</f>
        <v>9</v>
      </c>
    </row>
    <row r="2349">
      <c r="A2349" s="2">
        <f>IFERROR(__xludf.DUMMYFUNCTION("""COMPUTED_VALUE"""),9.0)</f>
        <v>9</v>
      </c>
    </row>
    <row r="2350">
      <c r="A2350" s="2">
        <f>IFERROR(__xludf.DUMMYFUNCTION("""COMPUTED_VALUE"""),6.0)</f>
        <v>6</v>
      </c>
    </row>
    <row r="2351">
      <c r="A2351" s="2">
        <f>IFERROR(__xludf.DUMMYFUNCTION("""COMPUTED_VALUE"""),6.0)</f>
        <v>6</v>
      </c>
    </row>
    <row r="2352">
      <c r="A2352" s="2">
        <f>IFERROR(__xludf.DUMMYFUNCTION("""COMPUTED_VALUE"""),6.0)</f>
        <v>6</v>
      </c>
    </row>
    <row r="2353">
      <c r="A2353" s="2">
        <f>IFERROR(__xludf.DUMMYFUNCTION("""COMPUTED_VALUE"""),6.0)</f>
        <v>6</v>
      </c>
    </row>
    <row r="2354">
      <c r="A2354" s="2">
        <f>IFERROR(__xludf.DUMMYFUNCTION("""COMPUTED_VALUE"""),6.0)</f>
        <v>6</v>
      </c>
    </row>
    <row r="2355">
      <c r="A2355" s="2">
        <f>IFERROR(__xludf.DUMMYFUNCTION("""COMPUTED_VALUE"""),6.0)</f>
        <v>6</v>
      </c>
    </row>
    <row r="2356">
      <c r="A2356" s="2">
        <f>IFERROR(__xludf.DUMMYFUNCTION("""COMPUTED_VALUE"""),6.0)</f>
        <v>6</v>
      </c>
    </row>
    <row r="2357">
      <c r="A2357" s="2">
        <f>IFERROR(__xludf.DUMMYFUNCTION("""COMPUTED_VALUE"""),6.0)</f>
        <v>6</v>
      </c>
    </row>
    <row r="2358">
      <c r="A2358" s="2">
        <f>IFERROR(__xludf.DUMMYFUNCTION("""COMPUTED_VALUE"""),6.0)</f>
        <v>6</v>
      </c>
    </row>
    <row r="2359">
      <c r="A2359" s="2">
        <f>IFERROR(__xludf.DUMMYFUNCTION("""COMPUTED_VALUE"""),6.0)</f>
        <v>6</v>
      </c>
    </row>
    <row r="2360">
      <c r="A2360" s="2">
        <f>IFERROR(__xludf.DUMMYFUNCTION("""COMPUTED_VALUE"""),7.0)</f>
        <v>7</v>
      </c>
    </row>
    <row r="2361">
      <c r="A2361" s="2">
        <f>IFERROR(__xludf.DUMMYFUNCTION("""COMPUTED_VALUE"""),1.0)</f>
        <v>1</v>
      </c>
    </row>
    <row r="2362">
      <c r="A2362" s="2">
        <f>IFERROR(__xludf.DUMMYFUNCTION("""COMPUTED_VALUE"""),1.0)</f>
        <v>1</v>
      </c>
    </row>
    <row r="2363">
      <c r="A2363" s="2">
        <f>IFERROR(__xludf.DUMMYFUNCTION("""COMPUTED_VALUE"""),9.0)</f>
        <v>9</v>
      </c>
    </row>
    <row r="2364">
      <c r="A2364" s="2">
        <f>IFERROR(__xludf.DUMMYFUNCTION("""COMPUTED_VALUE"""),9.0)</f>
        <v>9</v>
      </c>
    </row>
    <row r="2365">
      <c r="A2365" s="2">
        <f>IFERROR(__xludf.DUMMYFUNCTION("""COMPUTED_VALUE"""),9.0)</f>
        <v>9</v>
      </c>
    </row>
    <row r="2366">
      <c r="A2366" s="2">
        <f>IFERROR(__xludf.DUMMYFUNCTION("""COMPUTED_VALUE"""),9.0)</f>
        <v>9</v>
      </c>
    </row>
    <row r="2367">
      <c r="A2367" s="2">
        <f>IFERROR(__xludf.DUMMYFUNCTION("""COMPUTED_VALUE"""),1.0)</f>
        <v>1</v>
      </c>
    </row>
    <row r="2368">
      <c r="A2368" s="2">
        <f>IFERROR(__xludf.DUMMYFUNCTION("""COMPUTED_VALUE"""),1.0)</f>
        <v>1</v>
      </c>
    </row>
    <row r="2369">
      <c r="A2369" s="2">
        <f>IFERROR(__xludf.DUMMYFUNCTION("""COMPUTED_VALUE"""),1.0)</f>
        <v>1</v>
      </c>
    </row>
    <row r="2370">
      <c r="A2370" s="2">
        <f>IFERROR(__xludf.DUMMYFUNCTION("""COMPUTED_VALUE"""),1.0)</f>
        <v>1</v>
      </c>
    </row>
    <row r="2371">
      <c r="A2371" s="2">
        <f>IFERROR(__xludf.DUMMYFUNCTION("""COMPUTED_VALUE"""),1.0)</f>
        <v>1</v>
      </c>
    </row>
    <row r="2372">
      <c r="A2372" s="2">
        <f>IFERROR(__xludf.DUMMYFUNCTION("""COMPUTED_VALUE"""),1.0)</f>
        <v>1</v>
      </c>
    </row>
    <row r="2373">
      <c r="A2373" s="2">
        <f>IFERROR(__xludf.DUMMYFUNCTION("""COMPUTED_VALUE"""),1.0)</f>
        <v>1</v>
      </c>
    </row>
    <row r="2374">
      <c r="A2374" s="2">
        <f>IFERROR(__xludf.DUMMYFUNCTION("""COMPUTED_VALUE"""),1.0)</f>
        <v>1</v>
      </c>
    </row>
    <row r="2375">
      <c r="A2375" s="2">
        <f>IFERROR(__xludf.DUMMYFUNCTION("""COMPUTED_VALUE"""),1.0)</f>
        <v>1</v>
      </c>
    </row>
    <row r="2376">
      <c r="A2376" s="2">
        <f>IFERROR(__xludf.DUMMYFUNCTION("""COMPUTED_VALUE"""),5.0)</f>
        <v>5</v>
      </c>
    </row>
    <row r="2377">
      <c r="A2377" s="2">
        <f>IFERROR(__xludf.DUMMYFUNCTION("""COMPUTED_VALUE"""),5.0)</f>
        <v>5</v>
      </c>
    </row>
    <row r="2378">
      <c r="A2378" s="2">
        <f>IFERROR(__xludf.DUMMYFUNCTION("""COMPUTED_VALUE"""),5.0)</f>
        <v>5</v>
      </c>
    </row>
    <row r="2379">
      <c r="A2379" s="2">
        <f>IFERROR(__xludf.DUMMYFUNCTION("""COMPUTED_VALUE"""),1.0)</f>
        <v>1</v>
      </c>
    </row>
    <row r="2380">
      <c r="A2380" s="2">
        <f>IFERROR(__xludf.DUMMYFUNCTION("""COMPUTED_VALUE"""),1.0)</f>
        <v>1</v>
      </c>
    </row>
    <row r="2381">
      <c r="A2381" s="2">
        <f>IFERROR(__xludf.DUMMYFUNCTION("""COMPUTED_VALUE"""),1.0)</f>
        <v>1</v>
      </c>
    </row>
    <row r="2382">
      <c r="A2382" s="2">
        <f>IFERROR(__xludf.DUMMYFUNCTION("""COMPUTED_VALUE"""),1.0)</f>
        <v>1</v>
      </c>
    </row>
    <row r="2383">
      <c r="A2383" s="2">
        <f>IFERROR(__xludf.DUMMYFUNCTION("""COMPUTED_VALUE"""),1.0)</f>
        <v>1</v>
      </c>
    </row>
    <row r="2384">
      <c r="A2384" s="2">
        <f>IFERROR(__xludf.DUMMYFUNCTION("""COMPUTED_VALUE"""),1.0)</f>
        <v>1</v>
      </c>
    </row>
    <row r="2385">
      <c r="A2385" s="2">
        <f>IFERROR(__xludf.DUMMYFUNCTION("""COMPUTED_VALUE"""),1.0)</f>
        <v>1</v>
      </c>
    </row>
    <row r="2386">
      <c r="A2386" s="2">
        <f>IFERROR(__xludf.DUMMYFUNCTION("""COMPUTED_VALUE"""),1.0)</f>
        <v>1</v>
      </c>
    </row>
    <row r="2387">
      <c r="A2387" s="2">
        <f>IFERROR(__xludf.DUMMYFUNCTION("""COMPUTED_VALUE"""),1.0)</f>
        <v>1</v>
      </c>
    </row>
    <row r="2388">
      <c r="A2388" s="2">
        <f>IFERROR(__xludf.DUMMYFUNCTION("""COMPUTED_VALUE"""),1.0)</f>
        <v>1</v>
      </c>
    </row>
    <row r="2389">
      <c r="A2389" s="2">
        <f>IFERROR(__xludf.DUMMYFUNCTION("""COMPUTED_VALUE"""),1.0)</f>
        <v>1</v>
      </c>
    </row>
    <row r="2390">
      <c r="A2390" s="2">
        <f>IFERROR(__xludf.DUMMYFUNCTION("""COMPUTED_VALUE"""),1.0)</f>
        <v>1</v>
      </c>
    </row>
    <row r="2391">
      <c r="A2391" s="2">
        <f>IFERROR(__xludf.DUMMYFUNCTION("""COMPUTED_VALUE"""),1.0)</f>
        <v>1</v>
      </c>
    </row>
    <row r="2392">
      <c r="A2392" s="2">
        <f>IFERROR(__xludf.DUMMYFUNCTION("""COMPUTED_VALUE"""),1.0)</f>
        <v>1</v>
      </c>
    </row>
    <row r="2393">
      <c r="A2393" s="2">
        <f>IFERROR(__xludf.DUMMYFUNCTION("""COMPUTED_VALUE"""),1.0)</f>
        <v>1</v>
      </c>
    </row>
    <row r="2394">
      <c r="A2394" s="2">
        <f>IFERROR(__xludf.DUMMYFUNCTION("""COMPUTED_VALUE"""),7.0)</f>
        <v>7</v>
      </c>
    </row>
    <row r="2395">
      <c r="A2395" s="2">
        <f>IFERROR(__xludf.DUMMYFUNCTION("""COMPUTED_VALUE"""),7.0)</f>
        <v>7</v>
      </c>
    </row>
    <row r="2396">
      <c r="A2396" s="2">
        <f>IFERROR(__xludf.DUMMYFUNCTION("""COMPUTED_VALUE"""),7.0)</f>
        <v>7</v>
      </c>
    </row>
    <row r="2397">
      <c r="A2397" s="2">
        <f>IFERROR(__xludf.DUMMYFUNCTION("""COMPUTED_VALUE"""),7.0)</f>
        <v>7</v>
      </c>
    </row>
    <row r="2398">
      <c r="A2398" s="2">
        <f>IFERROR(__xludf.DUMMYFUNCTION("""COMPUTED_VALUE"""),7.0)</f>
        <v>7</v>
      </c>
    </row>
    <row r="2399">
      <c r="A2399" s="2">
        <f>IFERROR(__xludf.DUMMYFUNCTION("""COMPUTED_VALUE"""),1.0)</f>
        <v>1</v>
      </c>
    </row>
    <row r="2400">
      <c r="A2400" s="2">
        <f>IFERROR(__xludf.DUMMYFUNCTION("""COMPUTED_VALUE"""),1.0)</f>
        <v>1</v>
      </c>
    </row>
    <row r="2401">
      <c r="A2401" s="2">
        <f>IFERROR(__xludf.DUMMYFUNCTION("""COMPUTED_VALUE"""),1.0)</f>
        <v>1</v>
      </c>
    </row>
    <row r="2402">
      <c r="A2402" s="2">
        <f>IFERROR(__xludf.DUMMYFUNCTION("""COMPUTED_VALUE"""),1.0)</f>
        <v>1</v>
      </c>
    </row>
    <row r="2403">
      <c r="A2403" s="2">
        <f>IFERROR(__xludf.DUMMYFUNCTION("""COMPUTED_VALUE"""),1.0)</f>
        <v>1</v>
      </c>
    </row>
    <row r="2404">
      <c r="A2404" s="2">
        <f>IFERROR(__xludf.DUMMYFUNCTION("""COMPUTED_VALUE"""),1.0)</f>
        <v>1</v>
      </c>
    </row>
    <row r="2405">
      <c r="A2405" s="2">
        <f>IFERROR(__xludf.DUMMYFUNCTION("""COMPUTED_VALUE"""),1.0)</f>
        <v>1</v>
      </c>
    </row>
    <row r="2406">
      <c r="A2406" s="2">
        <f>IFERROR(__xludf.DUMMYFUNCTION("""COMPUTED_VALUE"""),1.0)</f>
        <v>1</v>
      </c>
    </row>
    <row r="2407">
      <c r="A2407" s="2">
        <f>IFERROR(__xludf.DUMMYFUNCTION("""COMPUTED_VALUE"""),1.0)</f>
        <v>1</v>
      </c>
    </row>
    <row r="2408">
      <c r="A2408" s="2">
        <f>IFERROR(__xludf.DUMMYFUNCTION("""COMPUTED_VALUE"""),1.0)</f>
        <v>1</v>
      </c>
    </row>
    <row r="2409">
      <c r="A2409" s="2">
        <f>IFERROR(__xludf.DUMMYFUNCTION("""COMPUTED_VALUE"""),1.0)</f>
        <v>1</v>
      </c>
    </row>
    <row r="2410">
      <c r="A2410" s="2">
        <f>IFERROR(__xludf.DUMMYFUNCTION("""COMPUTED_VALUE"""),1.0)</f>
        <v>1</v>
      </c>
    </row>
    <row r="2411">
      <c r="A2411" s="2">
        <f>IFERROR(__xludf.DUMMYFUNCTION("""COMPUTED_VALUE"""),3.0)</f>
        <v>3</v>
      </c>
    </row>
    <row r="2412">
      <c r="A2412" s="2">
        <f>IFERROR(__xludf.DUMMYFUNCTION("""COMPUTED_VALUE"""),3.0)</f>
        <v>3</v>
      </c>
    </row>
    <row r="2413">
      <c r="A2413" s="2">
        <f>IFERROR(__xludf.DUMMYFUNCTION("""COMPUTED_VALUE"""),3.0)</f>
        <v>3</v>
      </c>
    </row>
    <row r="2414">
      <c r="A2414" s="2">
        <f>IFERROR(__xludf.DUMMYFUNCTION("""COMPUTED_VALUE"""),2.0)</f>
        <v>2</v>
      </c>
    </row>
    <row r="2415">
      <c r="A2415" s="2">
        <f>IFERROR(__xludf.DUMMYFUNCTION("""COMPUTED_VALUE"""),2.0)</f>
        <v>2</v>
      </c>
    </row>
    <row r="2416">
      <c r="A2416" s="2">
        <f>IFERROR(__xludf.DUMMYFUNCTION("""COMPUTED_VALUE"""),2.0)</f>
        <v>2</v>
      </c>
    </row>
    <row r="2417">
      <c r="A2417" s="2">
        <f>IFERROR(__xludf.DUMMYFUNCTION("""COMPUTED_VALUE"""),2.0)</f>
        <v>2</v>
      </c>
    </row>
    <row r="2418">
      <c r="A2418" s="2">
        <f>IFERROR(__xludf.DUMMYFUNCTION("""COMPUTED_VALUE"""),3.0)</f>
        <v>3</v>
      </c>
    </row>
    <row r="2419">
      <c r="A2419" s="2">
        <f>IFERROR(__xludf.DUMMYFUNCTION("""COMPUTED_VALUE"""),2.0)</f>
        <v>2</v>
      </c>
    </row>
    <row r="2420">
      <c r="A2420" s="2">
        <f>IFERROR(__xludf.DUMMYFUNCTION("""COMPUTED_VALUE"""),2.0)</f>
        <v>2</v>
      </c>
    </row>
    <row r="2421">
      <c r="A2421" s="2">
        <f>IFERROR(__xludf.DUMMYFUNCTION("""COMPUTED_VALUE"""),2.0)</f>
        <v>2</v>
      </c>
    </row>
    <row r="2422">
      <c r="A2422" s="2">
        <f>IFERROR(__xludf.DUMMYFUNCTION("""COMPUTED_VALUE"""),2.0)</f>
        <v>2</v>
      </c>
    </row>
    <row r="2423">
      <c r="A2423" s="2">
        <f>IFERROR(__xludf.DUMMYFUNCTION("""COMPUTED_VALUE"""),2.0)</f>
        <v>2</v>
      </c>
    </row>
    <row r="2424">
      <c r="A2424" s="2">
        <f>IFERROR(__xludf.DUMMYFUNCTION("""COMPUTED_VALUE"""),2.0)</f>
        <v>2</v>
      </c>
    </row>
    <row r="2425">
      <c r="A2425" s="2">
        <f>IFERROR(__xludf.DUMMYFUNCTION("""COMPUTED_VALUE"""),2.0)</f>
        <v>2</v>
      </c>
    </row>
    <row r="2426">
      <c r="A2426" s="2">
        <f>IFERROR(__xludf.DUMMYFUNCTION("""COMPUTED_VALUE"""),2.0)</f>
        <v>2</v>
      </c>
    </row>
    <row r="2427">
      <c r="A2427" s="2">
        <f>IFERROR(__xludf.DUMMYFUNCTION("""COMPUTED_VALUE"""),2.0)</f>
        <v>2</v>
      </c>
    </row>
    <row r="2428">
      <c r="A2428" s="2">
        <f>IFERROR(__xludf.DUMMYFUNCTION("""COMPUTED_VALUE"""),2.0)</f>
        <v>2</v>
      </c>
    </row>
    <row r="2429">
      <c r="A2429" s="2">
        <f>IFERROR(__xludf.DUMMYFUNCTION("""COMPUTED_VALUE"""),2.0)</f>
        <v>2</v>
      </c>
    </row>
    <row r="2430">
      <c r="A2430" s="2">
        <f>IFERROR(__xludf.DUMMYFUNCTION("""COMPUTED_VALUE"""),2.0)</f>
        <v>2</v>
      </c>
    </row>
    <row r="2431">
      <c r="A2431" s="2">
        <f>IFERROR(__xludf.DUMMYFUNCTION("""COMPUTED_VALUE"""),2.0)</f>
        <v>2</v>
      </c>
    </row>
    <row r="2432">
      <c r="A2432" s="2">
        <f>IFERROR(__xludf.DUMMYFUNCTION("""COMPUTED_VALUE"""),2.0)</f>
        <v>2</v>
      </c>
    </row>
    <row r="2433">
      <c r="A2433" s="2">
        <f>IFERROR(__xludf.DUMMYFUNCTION("""COMPUTED_VALUE"""),2.0)</f>
        <v>2</v>
      </c>
    </row>
    <row r="2434">
      <c r="A2434" s="2">
        <f>IFERROR(__xludf.DUMMYFUNCTION("""COMPUTED_VALUE"""),2.0)</f>
        <v>2</v>
      </c>
    </row>
    <row r="2435">
      <c r="A2435" s="2">
        <f>IFERROR(__xludf.DUMMYFUNCTION("""COMPUTED_VALUE"""),2.0)</f>
        <v>2</v>
      </c>
    </row>
    <row r="2436">
      <c r="A2436" s="2">
        <f>IFERROR(__xludf.DUMMYFUNCTION("""COMPUTED_VALUE"""),2.0)</f>
        <v>2</v>
      </c>
    </row>
    <row r="2437">
      <c r="A2437" s="2">
        <f>IFERROR(__xludf.DUMMYFUNCTION("""COMPUTED_VALUE"""),2.0)</f>
        <v>2</v>
      </c>
    </row>
    <row r="2438">
      <c r="A2438" s="2">
        <f>IFERROR(__xludf.DUMMYFUNCTION("""COMPUTED_VALUE"""),2.0)</f>
        <v>2</v>
      </c>
    </row>
    <row r="2439">
      <c r="A2439" s="2">
        <f>IFERROR(__xludf.DUMMYFUNCTION("""COMPUTED_VALUE"""),2.0)</f>
        <v>2</v>
      </c>
    </row>
    <row r="2440">
      <c r="A2440" s="2">
        <f>IFERROR(__xludf.DUMMYFUNCTION("""COMPUTED_VALUE"""),2.0)</f>
        <v>2</v>
      </c>
    </row>
    <row r="2441">
      <c r="A2441" s="2">
        <f>IFERROR(__xludf.DUMMYFUNCTION("""COMPUTED_VALUE"""),6.0)</f>
        <v>6</v>
      </c>
    </row>
    <row r="2442">
      <c r="A2442" s="2">
        <f>IFERROR(__xludf.DUMMYFUNCTION("""COMPUTED_VALUE"""),6.0)</f>
        <v>6</v>
      </c>
    </row>
    <row r="2443">
      <c r="A2443" s="2">
        <f>IFERROR(__xludf.DUMMYFUNCTION("""COMPUTED_VALUE"""),6.0)</f>
        <v>6</v>
      </c>
    </row>
    <row r="2444">
      <c r="A2444" s="2">
        <f>IFERROR(__xludf.DUMMYFUNCTION("""COMPUTED_VALUE"""),6.0)</f>
        <v>6</v>
      </c>
    </row>
    <row r="2445">
      <c r="A2445" s="2">
        <f>IFERROR(__xludf.DUMMYFUNCTION("""COMPUTED_VALUE"""),6.0)</f>
        <v>6</v>
      </c>
    </row>
    <row r="2446">
      <c r="A2446" s="2">
        <f>IFERROR(__xludf.DUMMYFUNCTION("""COMPUTED_VALUE"""),6.0)</f>
        <v>6</v>
      </c>
    </row>
    <row r="2447">
      <c r="A2447" s="2">
        <f>IFERROR(__xludf.DUMMYFUNCTION("""COMPUTED_VALUE"""),6.0)</f>
        <v>6</v>
      </c>
    </row>
    <row r="2448">
      <c r="A2448" s="2">
        <f>IFERROR(__xludf.DUMMYFUNCTION("""COMPUTED_VALUE"""),6.0)</f>
        <v>6</v>
      </c>
    </row>
    <row r="2449">
      <c r="A2449" s="2">
        <f>IFERROR(__xludf.DUMMYFUNCTION("""COMPUTED_VALUE"""),6.0)</f>
        <v>6</v>
      </c>
    </row>
    <row r="2450">
      <c r="A2450" s="2">
        <f>IFERROR(__xludf.DUMMYFUNCTION("""COMPUTED_VALUE"""),6.0)</f>
        <v>6</v>
      </c>
    </row>
    <row r="2451">
      <c r="A2451" s="2">
        <f>IFERROR(__xludf.DUMMYFUNCTION("""COMPUTED_VALUE"""),6.0)</f>
        <v>6</v>
      </c>
    </row>
    <row r="2452">
      <c r="A2452" s="2">
        <f>IFERROR(__xludf.DUMMYFUNCTION("""COMPUTED_VALUE"""),6.0)</f>
        <v>6</v>
      </c>
    </row>
    <row r="2453">
      <c r="A2453" s="2">
        <f>IFERROR(__xludf.DUMMYFUNCTION("""COMPUTED_VALUE"""),6.0)</f>
        <v>6</v>
      </c>
    </row>
    <row r="2454">
      <c r="A2454" s="2">
        <f>IFERROR(__xludf.DUMMYFUNCTION("""COMPUTED_VALUE"""),6.0)</f>
        <v>6</v>
      </c>
    </row>
    <row r="2455">
      <c r="A2455" s="2">
        <f>IFERROR(__xludf.DUMMYFUNCTION("""COMPUTED_VALUE"""),6.0)</f>
        <v>6</v>
      </c>
    </row>
    <row r="2456">
      <c r="A2456" s="2">
        <f>IFERROR(__xludf.DUMMYFUNCTION("""COMPUTED_VALUE"""),6.0)</f>
        <v>6</v>
      </c>
    </row>
    <row r="2457">
      <c r="A2457" s="2">
        <f>IFERROR(__xludf.DUMMYFUNCTION("""COMPUTED_VALUE"""),6.0)</f>
        <v>6</v>
      </c>
    </row>
    <row r="2458">
      <c r="A2458" s="2">
        <f>IFERROR(__xludf.DUMMYFUNCTION("""COMPUTED_VALUE"""),6.0)</f>
        <v>6</v>
      </c>
    </row>
    <row r="2459">
      <c r="A2459" s="2">
        <f>IFERROR(__xludf.DUMMYFUNCTION("""COMPUTED_VALUE"""),6.0)</f>
        <v>6</v>
      </c>
    </row>
    <row r="2460">
      <c r="A2460" s="2">
        <f>IFERROR(__xludf.DUMMYFUNCTION("""COMPUTED_VALUE"""),6.0)</f>
        <v>6</v>
      </c>
    </row>
    <row r="2461">
      <c r="A2461" s="2">
        <f>IFERROR(__xludf.DUMMYFUNCTION("""COMPUTED_VALUE"""),6.0)</f>
        <v>6</v>
      </c>
    </row>
    <row r="2462">
      <c r="A2462" s="2">
        <f>IFERROR(__xludf.DUMMYFUNCTION("""COMPUTED_VALUE"""),9.0)</f>
        <v>9</v>
      </c>
    </row>
    <row r="2463">
      <c r="A2463" s="2">
        <f>IFERROR(__xludf.DUMMYFUNCTION("""COMPUTED_VALUE"""),9.0)</f>
        <v>9</v>
      </c>
    </row>
    <row r="2464">
      <c r="A2464" s="2">
        <f>IFERROR(__xludf.DUMMYFUNCTION("""COMPUTED_VALUE"""),9.0)</f>
        <v>9</v>
      </c>
    </row>
    <row r="2465">
      <c r="A2465" s="2">
        <f>IFERROR(__xludf.DUMMYFUNCTION("""COMPUTED_VALUE"""),7.0)</f>
        <v>7</v>
      </c>
    </row>
    <row r="2466">
      <c r="A2466" s="2">
        <f>IFERROR(__xludf.DUMMYFUNCTION("""COMPUTED_VALUE"""),3.0)</f>
        <v>3</v>
      </c>
    </row>
    <row r="2467">
      <c r="A2467" s="2">
        <f>IFERROR(__xludf.DUMMYFUNCTION("""COMPUTED_VALUE"""),2.0)</f>
        <v>2</v>
      </c>
    </row>
    <row r="2468">
      <c r="A2468" s="2">
        <f>IFERROR(__xludf.DUMMYFUNCTION("""COMPUTED_VALUE"""),4.0)</f>
        <v>4</v>
      </c>
    </row>
    <row r="2469">
      <c r="A2469" s="2">
        <f>IFERROR(__xludf.DUMMYFUNCTION("""COMPUTED_VALUE"""),4.0)</f>
        <v>4</v>
      </c>
    </row>
    <row r="2470">
      <c r="A2470" s="2">
        <f>IFERROR(__xludf.DUMMYFUNCTION("""COMPUTED_VALUE"""),4.0)</f>
        <v>4</v>
      </c>
    </row>
    <row r="2471">
      <c r="A2471" s="2">
        <f>IFERROR(__xludf.DUMMYFUNCTION("""COMPUTED_VALUE"""),4.0)</f>
        <v>4</v>
      </c>
    </row>
    <row r="2472">
      <c r="A2472" s="2">
        <f>IFERROR(__xludf.DUMMYFUNCTION("""COMPUTED_VALUE"""),4.0)</f>
        <v>4</v>
      </c>
    </row>
    <row r="2473">
      <c r="A2473" s="2">
        <f>IFERROR(__xludf.DUMMYFUNCTION("""COMPUTED_VALUE"""),4.0)</f>
        <v>4</v>
      </c>
    </row>
    <row r="2474">
      <c r="A2474" s="2">
        <f>IFERROR(__xludf.DUMMYFUNCTION("""COMPUTED_VALUE"""),4.0)</f>
        <v>4</v>
      </c>
    </row>
    <row r="2475">
      <c r="A2475" s="2">
        <f>IFERROR(__xludf.DUMMYFUNCTION("""COMPUTED_VALUE"""),4.0)</f>
        <v>4</v>
      </c>
    </row>
    <row r="2476">
      <c r="A2476" s="2">
        <f>IFERROR(__xludf.DUMMYFUNCTION("""COMPUTED_VALUE"""),2.0)</f>
        <v>2</v>
      </c>
    </row>
    <row r="2477">
      <c r="A2477" s="2">
        <f>IFERROR(__xludf.DUMMYFUNCTION("""COMPUTED_VALUE"""),8.0)</f>
        <v>8</v>
      </c>
    </row>
    <row r="2478">
      <c r="A2478" s="2">
        <f>IFERROR(__xludf.DUMMYFUNCTION("""COMPUTED_VALUE"""),8.0)</f>
        <v>8</v>
      </c>
    </row>
    <row r="2479">
      <c r="A2479" s="2">
        <f>IFERROR(__xludf.DUMMYFUNCTION("""COMPUTED_VALUE"""),8.0)</f>
        <v>8</v>
      </c>
    </row>
    <row r="2480">
      <c r="A2480" s="2">
        <f>IFERROR(__xludf.DUMMYFUNCTION("""COMPUTED_VALUE"""),8.0)</f>
        <v>8</v>
      </c>
    </row>
    <row r="2481">
      <c r="A2481" s="2">
        <f>IFERROR(__xludf.DUMMYFUNCTION("""COMPUTED_VALUE"""),8.0)</f>
        <v>8</v>
      </c>
    </row>
    <row r="2482">
      <c r="A2482" s="2">
        <f>IFERROR(__xludf.DUMMYFUNCTION("""COMPUTED_VALUE"""),8.0)</f>
        <v>8</v>
      </c>
    </row>
    <row r="2483">
      <c r="A2483" s="2">
        <f>IFERROR(__xludf.DUMMYFUNCTION("""COMPUTED_VALUE"""),8.0)</f>
        <v>8</v>
      </c>
    </row>
    <row r="2484">
      <c r="A2484" s="2">
        <f>IFERROR(__xludf.DUMMYFUNCTION("""COMPUTED_VALUE"""),9.0)</f>
        <v>9</v>
      </c>
    </row>
    <row r="2485">
      <c r="A2485" s="2">
        <f>IFERROR(__xludf.DUMMYFUNCTION("""COMPUTED_VALUE"""),9.0)</f>
        <v>9</v>
      </c>
    </row>
    <row r="2486">
      <c r="A2486" s="2">
        <f>IFERROR(__xludf.DUMMYFUNCTION("""COMPUTED_VALUE"""),9.0)</f>
        <v>9</v>
      </c>
    </row>
    <row r="2487">
      <c r="A2487" s="2">
        <f>IFERROR(__xludf.DUMMYFUNCTION("""COMPUTED_VALUE"""),5.0)</f>
        <v>5</v>
      </c>
    </row>
    <row r="2488">
      <c r="A2488" s="2">
        <f>IFERROR(__xludf.DUMMYFUNCTION("""COMPUTED_VALUE"""),5.0)</f>
        <v>5</v>
      </c>
    </row>
    <row r="2489">
      <c r="A2489" s="2">
        <f>IFERROR(__xludf.DUMMYFUNCTION("""COMPUTED_VALUE"""),5.0)</f>
        <v>5</v>
      </c>
    </row>
    <row r="2490">
      <c r="A2490" s="2">
        <f>IFERROR(__xludf.DUMMYFUNCTION("""COMPUTED_VALUE"""),3.0)</f>
        <v>3</v>
      </c>
    </row>
    <row r="2491">
      <c r="A2491" s="2">
        <f>IFERROR(__xludf.DUMMYFUNCTION("""COMPUTED_VALUE"""),3.0)</f>
        <v>3</v>
      </c>
    </row>
    <row r="2492">
      <c r="A2492" s="2">
        <f>IFERROR(__xludf.DUMMYFUNCTION("""COMPUTED_VALUE"""),3.0)</f>
        <v>3</v>
      </c>
    </row>
    <row r="2493">
      <c r="A2493" s="2">
        <f>IFERROR(__xludf.DUMMYFUNCTION("""COMPUTED_VALUE"""),3.0)</f>
        <v>3</v>
      </c>
    </row>
    <row r="2494">
      <c r="A2494" s="2">
        <f>IFERROR(__xludf.DUMMYFUNCTION("""COMPUTED_VALUE"""),3.0)</f>
        <v>3</v>
      </c>
    </row>
    <row r="2495">
      <c r="A2495" s="2">
        <f>IFERROR(__xludf.DUMMYFUNCTION("""COMPUTED_VALUE"""),5.0)</f>
        <v>5</v>
      </c>
    </row>
    <row r="2496">
      <c r="A2496" s="2">
        <f>IFERROR(__xludf.DUMMYFUNCTION("""COMPUTED_VALUE"""),5.0)</f>
        <v>5</v>
      </c>
    </row>
    <row r="2497">
      <c r="A2497" s="2">
        <f>IFERROR(__xludf.DUMMYFUNCTION("""COMPUTED_VALUE"""),5.0)</f>
        <v>5</v>
      </c>
    </row>
    <row r="2498">
      <c r="A2498" s="2">
        <f>IFERROR(__xludf.DUMMYFUNCTION("""COMPUTED_VALUE"""),5.0)</f>
        <v>5</v>
      </c>
    </row>
    <row r="2499">
      <c r="A2499" s="2">
        <f>IFERROR(__xludf.DUMMYFUNCTION("""COMPUTED_VALUE"""),3.0)</f>
        <v>3</v>
      </c>
    </row>
    <row r="2500">
      <c r="A2500" s="2">
        <f>IFERROR(__xludf.DUMMYFUNCTION("""COMPUTED_VALUE"""),3.0)</f>
        <v>3</v>
      </c>
    </row>
    <row r="2501">
      <c r="A2501" s="2">
        <f>IFERROR(__xludf.DUMMYFUNCTION("""COMPUTED_VALUE"""),2.0)</f>
        <v>2</v>
      </c>
    </row>
    <row r="2502">
      <c r="A2502" s="2">
        <f>IFERROR(__xludf.DUMMYFUNCTION("""COMPUTED_VALUE"""),2.0)</f>
        <v>2</v>
      </c>
    </row>
    <row r="2503">
      <c r="A2503" s="2">
        <f>IFERROR(__xludf.DUMMYFUNCTION("""COMPUTED_VALUE"""),2.0)</f>
        <v>2</v>
      </c>
    </row>
    <row r="2504">
      <c r="A2504" s="2">
        <f>IFERROR(__xludf.DUMMYFUNCTION("""COMPUTED_VALUE"""),2.0)</f>
        <v>2</v>
      </c>
    </row>
    <row r="2505">
      <c r="A2505" s="2">
        <f>IFERROR(__xludf.DUMMYFUNCTION("""COMPUTED_VALUE"""),2.0)</f>
        <v>2</v>
      </c>
    </row>
    <row r="2506">
      <c r="A2506" s="2">
        <f>IFERROR(__xludf.DUMMYFUNCTION("""COMPUTED_VALUE"""),3.0)</f>
        <v>3</v>
      </c>
    </row>
    <row r="2507">
      <c r="A2507" s="2">
        <f>IFERROR(__xludf.DUMMYFUNCTION("""COMPUTED_VALUE"""),3.0)</f>
        <v>3</v>
      </c>
    </row>
    <row r="2508">
      <c r="A2508" s="2">
        <f>IFERROR(__xludf.DUMMYFUNCTION("""COMPUTED_VALUE"""),3.0)</f>
        <v>3</v>
      </c>
    </row>
    <row r="2509">
      <c r="A2509" s="2">
        <f>IFERROR(__xludf.DUMMYFUNCTION("""COMPUTED_VALUE"""),3.0)</f>
        <v>3</v>
      </c>
    </row>
    <row r="2510">
      <c r="A2510" s="2">
        <f>IFERROR(__xludf.DUMMYFUNCTION("""COMPUTED_VALUE"""),3.0)</f>
        <v>3</v>
      </c>
    </row>
    <row r="2511">
      <c r="A2511" s="2">
        <f>IFERROR(__xludf.DUMMYFUNCTION("""COMPUTED_VALUE"""),3.0)</f>
        <v>3</v>
      </c>
    </row>
    <row r="2512">
      <c r="A2512" s="2">
        <f>IFERROR(__xludf.DUMMYFUNCTION("""COMPUTED_VALUE"""),8.0)</f>
        <v>8</v>
      </c>
    </row>
    <row r="2513">
      <c r="A2513" s="2">
        <f>IFERROR(__xludf.DUMMYFUNCTION("""COMPUTED_VALUE"""),8.0)</f>
        <v>8</v>
      </c>
    </row>
    <row r="2514">
      <c r="A2514" s="2">
        <f>IFERROR(__xludf.DUMMYFUNCTION("""COMPUTED_VALUE"""),7.0)</f>
        <v>7</v>
      </c>
    </row>
    <row r="2515">
      <c r="A2515" s="2">
        <f>IFERROR(__xludf.DUMMYFUNCTION("""COMPUTED_VALUE"""),7.0)</f>
        <v>7</v>
      </c>
    </row>
    <row r="2516">
      <c r="A2516" s="2">
        <f>IFERROR(__xludf.DUMMYFUNCTION("""COMPUTED_VALUE"""),4.0)</f>
        <v>4</v>
      </c>
    </row>
    <row r="2517">
      <c r="A2517" s="2">
        <f>IFERROR(__xludf.DUMMYFUNCTION("""COMPUTED_VALUE"""),4.0)</f>
        <v>4</v>
      </c>
    </row>
    <row r="2518">
      <c r="A2518" s="2">
        <f>IFERROR(__xludf.DUMMYFUNCTION("""COMPUTED_VALUE"""),9.0)</f>
        <v>9</v>
      </c>
    </row>
    <row r="2519">
      <c r="A2519" s="2">
        <f>IFERROR(__xludf.DUMMYFUNCTION("""COMPUTED_VALUE"""),9.0)</f>
        <v>9</v>
      </c>
    </row>
    <row r="2520">
      <c r="A2520" s="2">
        <f>IFERROR(__xludf.DUMMYFUNCTION("""COMPUTED_VALUE"""),9.0)</f>
        <v>9</v>
      </c>
    </row>
    <row r="2521">
      <c r="A2521" s="2">
        <f>IFERROR(__xludf.DUMMYFUNCTION("""COMPUTED_VALUE"""),9.0)</f>
        <v>9</v>
      </c>
    </row>
    <row r="2522">
      <c r="A2522" s="2">
        <f>IFERROR(__xludf.DUMMYFUNCTION("""COMPUTED_VALUE"""),9.0)</f>
        <v>9</v>
      </c>
    </row>
    <row r="2523">
      <c r="A2523" s="2">
        <f>IFERROR(__xludf.DUMMYFUNCTION("""COMPUTED_VALUE"""),9.0)</f>
        <v>9</v>
      </c>
    </row>
    <row r="2524">
      <c r="A2524" s="2">
        <f>IFERROR(__xludf.DUMMYFUNCTION("""COMPUTED_VALUE"""),9.0)</f>
        <v>9</v>
      </c>
    </row>
    <row r="2525">
      <c r="A2525" s="2">
        <f>IFERROR(__xludf.DUMMYFUNCTION("""COMPUTED_VALUE"""),9.0)</f>
        <v>9</v>
      </c>
    </row>
    <row r="2526">
      <c r="A2526" s="2">
        <f>IFERROR(__xludf.DUMMYFUNCTION("""COMPUTED_VALUE"""),9.0)</f>
        <v>9</v>
      </c>
    </row>
    <row r="2527">
      <c r="A2527" s="2">
        <f>IFERROR(__xludf.DUMMYFUNCTION("""COMPUTED_VALUE"""),9.0)</f>
        <v>9</v>
      </c>
    </row>
    <row r="2528">
      <c r="A2528" s="2">
        <f>IFERROR(__xludf.DUMMYFUNCTION("""COMPUTED_VALUE"""),9.0)</f>
        <v>9</v>
      </c>
    </row>
    <row r="2529">
      <c r="A2529" s="2">
        <f>IFERROR(__xludf.DUMMYFUNCTION("""COMPUTED_VALUE"""),9.0)</f>
        <v>9</v>
      </c>
    </row>
    <row r="2530">
      <c r="A2530" s="2">
        <f>IFERROR(__xludf.DUMMYFUNCTION("""COMPUTED_VALUE"""),9.0)</f>
        <v>9</v>
      </c>
    </row>
    <row r="2531">
      <c r="A2531" s="2">
        <f>IFERROR(__xludf.DUMMYFUNCTION("""COMPUTED_VALUE"""),9.0)</f>
        <v>9</v>
      </c>
    </row>
    <row r="2532">
      <c r="A2532" s="2">
        <f>IFERROR(__xludf.DUMMYFUNCTION("""COMPUTED_VALUE"""),9.0)</f>
        <v>9</v>
      </c>
    </row>
    <row r="2533">
      <c r="A2533" s="2">
        <f>IFERROR(__xludf.DUMMYFUNCTION("""COMPUTED_VALUE"""),1.0)</f>
        <v>1</v>
      </c>
    </row>
    <row r="2534">
      <c r="A2534" s="2">
        <f>IFERROR(__xludf.DUMMYFUNCTION("""COMPUTED_VALUE"""),1.0)</f>
        <v>1</v>
      </c>
    </row>
    <row r="2535">
      <c r="A2535" s="2">
        <f>IFERROR(__xludf.DUMMYFUNCTION("""COMPUTED_VALUE"""),1.0)</f>
        <v>1</v>
      </c>
    </row>
    <row r="2536">
      <c r="A2536" s="2">
        <f>IFERROR(__xludf.DUMMYFUNCTION("""COMPUTED_VALUE"""),1.0)</f>
        <v>1</v>
      </c>
    </row>
    <row r="2537">
      <c r="A2537" s="2">
        <f>IFERROR(__xludf.DUMMYFUNCTION("""COMPUTED_VALUE"""),1.0)</f>
        <v>1</v>
      </c>
    </row>
    <row r="2538">
      <c r="A2538" s="2">
        <f>IFERROR(__xludf.DUMMYFUNCTION("""COMPUTED_VALUE"""),1.0)</f>
        <v>1</v>
      </c>
    </row>
    <row r="2539">
      <c r="A2539" s="2">
        <f>IFERROR(__xludf.DUMMYFUNCTION("""COMPUTED_VALUE"""),1.0)</f>
        <v>1</v>
      </c>
    </row>
    <row r="2540">
      <c r="A2540" s="2">
        <f>IFERROR(__xludf.DUMMYFUNCTION("""COMPUTED_VALUE"""),1.0)</f>
        <v>1</v>
      </c>
    </row>
    <row r="2541">
      <c r="A2541" s="2">
        <f>IFERROR(__xludf.DUMMYFUNCTION("""COMPUTED_VALUE"""),9.0)</f>
        <v>9</v>
      </c>
    </row>
    <row r="2542">
      <c r="A2542" s="2">
        <f>IFERROR(__xludf.DUMMYFUNCTION("""COMPUTED_VALUE"""),9.0)</f>
        <v>9</v>
      </c>
    </row>
    <row r="2543">
      <c r="A2543" s="2">
        <f>IFERROR(__xludf.DUMMYFUNCTION("""COMPUTED_VALUE"""),9.0)</f>
        <v>9</v>
      </c>
    </row>
    <row r="2544">
      <c r="A2544" s="2">
        <f>IFERROR(__xludf.DUMMYFUNCTION("""COMPUTED_VALUE"""),9.0)</f>
        <v>9</v>
      </c>
    </row>
    <row r="2545">
      <c r="A2545" s="2">
        <f>IFERROR(__xludf.DUMMYFUNCTION("""COMPUTED_VALUE"""),9.0)</f>
        <v>9</v>
      </c>
    </row>
    <row r="2546">
      <c r="A2546" s="2">
        <f>IFERROR(__xludf.DUMMYFUNCTION("""COMPUTED_VALUE"""),3.0)</f>
        <v>3</v>
      </c>
    </row>
    <row r="2547">
      <c r="A2547" s="2">
        <f>IFERROR(__xludf.DUMMYFUNCTION("""COMPUTED_VALUE"""),3.0)</f>
        <v>3</v>
      </c>
    </row>
    <row r="2548">
      <c r="A2548" s="2">
        <f>IFERROR(__xludf.DUMMYFUNCTION("""COMPUTED_VALUE"""),3.0)</f>
        <v>3</v>
      </c>
    </row>
    <row r="2549">
      <c r="A2549" s="2">
        <f>IFERROR(__xludf.DUMMYFUNCTION("""COMPUTED_VALUE"""),3.0)</f>
        <v>3</v>
      </c>
    </row>
    <row r="2550">
      <c r="A2550" s="2">
        <f>IFERROR(__xludf.DUMMYFUNCTION("""COMPUTED_VALUE"""),3.0)</f>
        <v>3</v>
      </c>
    </row>
    <row r="2551">
      <c r="A2551" s="2">
        <f>IFERROR(__xludf.DUMMYFUNCTION("""COMPUTED_VALUE"""),3.0)</f>
        <v>3</v>
      </c>
    </row>
    <row r="2552">
      <c r="A2552" s="2">
        <f>IFERROR(__xludf.DUMMYFUNCTION("""COMPUTED_VALUE"""),3.0)</f>
        <v>3</v>
      </c>
    </row>
    <row r="2553">
      <c r="A2553" s="2">
        <f>IFERROR(__xludf.DUMMYFUNCTION("""COMPUTED_VALUE"""),3.0)</f>
        <v>3</v>
      </c>
    </row>
    <row r="2554">
      <c r="A2554" s="2">
        <f>IFERROR(__xludf.DUMMYFUNCTION("""COMPUTED_VALUE"""),8.0)</f>
        <v>8</v>
      </c>
    </row>
    <row r="2555">
      <c r="A2555" s="2">
        <f>IFERROR(__xludf.DUMMYFUNCTION("""COMPUTED_VALUE"""),8.0)</f>
        <v>8</v>
      </c>
    </row>
    <row r="2556">
      <c r="A2556" s="2">
        <f>IFERROR(__xludf.DUMMYFUNCTION("""COMPUTED_VALUE"""),8.0)</f>
        <v>8</v>
      </c>
    </row>
    <row r="2557">
      <c r="A2557" s="2">
        <f>IFERROR(__xludf.DUMMYFUNCTION("""COMPUTED_VALUE"""),8.0)</f>
        <v>8</v>
      </c>
    </row>
    <row r="2558">
      <c r="A2558" s="2">
        <f>IFERROR(__xludf.DUMMYFUNCTION("""COMPUTED_VALUE"""),8.0)</f>
        <v>8</v>
      </c>
    </row>
    <row r="2559">
      <c r="A2559" s="2">
        <f>IFERROR(__xludf.DUMMYFUNCTION("""COMPUTED_VALUE"""),8.0)</f>
        <v>8</v>
      </c>
    </row>
    <row r="2560">
      <c r="A2560" s="2">
        <f>IFERROR(__xludf.DUMMYFUNCTION("""COMPUTED_VALUE"""),8.0)</f>
        <v>8</v>
      </c>
    </row>
    <row r="2561">
      <c r="A2561" s="2">
        <f>IFERROR(__xludf.DUMMYFUNCTION("""COMPUTED_VALUE"""),8.0)</f>
        <v>8</v>
      </c>
    </row>
    <row r="2562">
      <c r="A2562" s="2">
        <f>IFERROR(__xludf.DUMMYFUNCTION("""COMPUTED_VALUE"""),4.0)</f>
        <v>4</v>
      </c>
    </row>
    <row r="2563">
      <c r="A2563" s="2">
        <f>IFERROR(__xludf.DUMMYFUNCTION("""COMPUTED_VALUE"""),9.0)</f>
        <v>9</v>
      </c>
    </row>
    <row r="2564">
      <c r="A2564" s="2">
        <f>IFERROR(__xludf.DUMMYFUNCTION("""COMPUTED_VALUE"""),9.0)</f>
        <v>9</v>
      </c>
    </row>
    <row r="2565">
      <c r="A2565" s="2">
        <f>IFERROR(__xludf.DUMMYFUNCTION("""COMPUTED_VALUE"""),9.0)</f>
        <v>9</v>
      </c>
    </row>
    <row r="2566">
      <c r="A2566" s="2">
        <f>IFERROR(__xludf.DUMMYFUNCTION("""COMPUTED_VALUE"""),1.0)</f>
        <v>1</v>
      </c>
    </row>
    <row r="2567">
      <c r="A2567" s="2">
        <f>IFERROR(__xludf.DUMMYFUNCTION("""COMPUTED_VALUE"""),1.0)</f>
        <v>1</v>
      </c>
    </row>
    <row r="2568">
      <c r="A2568" s="2">
        <f>IFERROR(__xludf.DUMMYFUNCTION("""COMPUTED_VALUE"""),1.0)</f>
        <v>1</v>
      </c>
    </row>
    <row r="2569">
      <c r="A2569" s="2">
        <f>IFERROR(__xludf.DUMMYFUNCTION("""COMPUTED_VALUE"""),1.0)</f>
        <v>1</v>
      </c>
    </row>
    <row r="2570">
      <c r="A2570" s="2">
        <f>IFERROR(__xludf.DUMMYFUNCTION("""COMPUTED_VALUE"""),9.0)</f>
        <v>9</v>
      </c>
    </row>
    <row r="2571">
      <c r="A2571" s="2">
        <f>IFERROR(__xludf.DUMMYFUNCTION("""COMPUTED_VALUE"""),3.0)</f>
        <v>3</v>
      </c>
    </row>
    <row r="2572">
      <c r="A2572" s="2">
        <f>IFERROR(__xludf.DUMMYFUNCTION("""COMPUTED_VALUE"""),3.0)</f>
        <v>3</v>
      </c>
    </row>
    <row r="2573">
      <c r="A2573" s="2">
        <f>IFERROR(__xludf.DUMMYFUNCTION("""COMPUTED_VALUE"""),6.0)</f>
        <v>6</v>
      </c>
    </row>
    <row r="2574">
      <c r="A2574" s="2">
        <f>IFERROR(__xludf.DUMMYFUNCTION("""COMPUTED_VALUE"""),6.0)</f>
        <v>6</v>
      </c>
    </row>
    <row r="2575">
      <c r="A2575" s="2">
        <f>IFERROR(__xludf.DUMMYFUNCTION("""COMPUTED_VALUE"""),7.0)</f>
        <v>7</v>
      </c>
    </row>
    <row r="2576">
      <c r="A2576" s="2">
        <f>IFERROR(__xludf.DUMMYFUNCTION("""COMPUTED_VALUE"""),7.0)</f>
        <v>7</v>
      </c>
    </row>
    <row r="2577">
      <c r="A2577" s="2">
        <f>IFERROR(__xludf.DUMMYFUNCTION("""COMPUTED_VALUE"""),7.0)</f>
        <v>7</v>
      </c>
    </row>
    <row r="2578">
      <c r="A2578" s="2">
        <f>IFERROR(__xludf.DUMMYFUNCTION("""COMPUTED_VALUE"""),5.0)</f>
        <v>5</v>
      </c>
    </row>
    <row r="2579">
      <c r="A2579" s="2">
        <f>IFERROR(__xludf.DUMMYFUNCTION("""COMPUTED_VALUE"""),5.0)</f>
        <v>5</v>
      </c>
    </row>
    <row r="2580">
      <c r="A2580" s="2">
        <f>IFERROR(__xludf.DUMMYFUNCTION("""COMPUTED_VALUE"""),5.0)</f>
        <v>5</v>
      </c>
    </row>
    <row r="2581">
      <c r="A2581" s="2">
        <f>IFERROR(__xludf.DUMMYFUNCTION("""COMPUTED_VALUE"""),5.0)</f>
        <v>5</v>
      </c>
    </row>
    <row r="2582">
      <c r="A2582" s="2">
        <f>IFERROR(__xludf.DUMMYFUNCTION("""COMPUTED_VALUE"""),5.0)</f>
        <v>5</v>
      </c>
    </row>
    <row r="2583">
      <c r="A2583" s="2">
        <f>IFERROR(__xludf.DUMMYFUNCTION("""COMPUTED_VALUE"""),5.0)</f>
        <v>5</v>
      </c>
    </row>
    <row r="2584">
      <c r="A2584" s="2">
        <f>IFERROR(__xludf.DUMMYFUNCTION("""COMPUTED_VALUE"""),5.0)</f>
        <v>5</v>
      </c>
    </row>
    <row r="2585">
      <c r="A2585" s="2">
        <f>IFERROR(__xludf.DUMMYFUNCTION("""COMPUTED_VALUE"""),5.0)</f>
        <v>5</v>
      </c>
    </row>
    <row r="2586">
      <c r="A2586" s="2">
        <f>IFERROR(__xludf.DUMMYFUNCTION("""COMPUTED_VALUE"""),2.0)</f>
        <v>2</v>
      </c>
    </row>
    <row r="2587">
      <c r="A2587" s="2">
        <f>IFERROR(__xludf.DUMMYFUNCTION("""COMPUTED_VALUE"""),2.0)</f>
        <v>2</v>
      </c>
    </row>
    <row r="2588">
      <c r="A2588" s="2">
        <f>IFERROR(__xludf.DUMMYFUNCTION("""COMPUTED_VALUE"""),2.0)</f>
        <v>2</v>
      </c>
    </row>
    <row r="2589">
      <c r="A2589" s="2">
        <f>IFERROR(__xludf.DUMMYFUNCTION("""COMPUTED_VALUE"""),4.0)</f>
        <v>4</v>
      </c>
    </row>
    <row r="2590">
      <c r="A2590" s="2">
        <f>IFERROR(__xludf.DUMMYFUNCTION("""COMPUTED_VALUE"""),4.0)</f>
        <v>4</v>
      </c>
    </row>
    <row r="2591">
      <c r="A2591" s="2">
        <f>IFERROR(__xludf.DUMMYFUNCTION("""COMPUTED_VALUE"""),4.0)</f>
        <v>4</v>
      </c>
    </row>
    <row r="2592">
      <c r="A2592" s="2">
        <f>IFERROR(__xludf.DUMMYFUNCTION("""COMPUTED_VALUE"""),4.0)</f>
        <v>4</v>
      </c>
    </row>
    <row r="2593">
      <c r="A2593" s="2">
        <f>IFERROR(__xludf.DUMMYFUNCTION("""COMPUTED_VALUE"""),1.0)</f>
        <v>1</v>
      </c>
    </row>
    <row r="2594">
      <c r="A2594" s="2">
        <f>IFERROR(__xludf.DUMMYFUNCTION("""COMPUTED_VALUE"""),1.0)</f>
        <v>1</v>
      </c>
    </row>
    <row r="2595">
      <c r="A2595" s="2">
        <f>IFERROR(__xludf.DUMMYFUNCTION("""COMPUTED_VALUE"""),1.0)</f>
        <v>1</v>
      </c>
    </row>
    <row r="2596">
      <c r="A2596" s="2">
        <f>IFERROR(__xludf.DUMMYFUNCTION("""COMPUTED_VALUE"""),9.0)</f>
        <v>9</v>
      </c>
    </row>
    <row r="2597">
      <c r="A2597" s="2">
        <f>IFERROR(__xludf.DUMMYFUNCTION("""COMPUTED_VALUE"""),9.0)</f>
        <v>9</v>
      </c>
    </row>
    <row r="2598">
      <c r="A2598" s="2">
        <f>IFERROR(__xludf.DUMMYFUNCTION("""COMPUTED_VALUE"""),1.0)</f>
        <v>1</v>
      </c>
    </row>
    <row r="2599">
      <c r="A2599" s="2">
        <f>IFERROR(__xludf.DUMMYFUNCTION("""COMPUTED_VALUE"""),1.0)</f>
        <v>1</v>
      </c>
    </row>
    <row r="2600">
      <c r="A2600" s="2">
        <f>IFERROR(__xludf.DUMMYFUNCTION("""COMPUTED_VALUE"""),1.0)</f>
        <v>1</v>
      </c>
    </row>
    <row r="2601">
      <c r="A2601" s="2">
        <f>IFERROR(__xludf.DUMMYFUNCTION("""COMPUTED_VALUE"""),1.0)</f>
        <v>1</v>
      </c>
    </row>
    <row r="2602">
      <c r="A2602" s="2">
        <f>IFERROR(__xludf.DUMMYFUNCTION("""COMPUTED_VALUE"""),6.0)</f>
        <v>6</v>
      </c>
    </row>
    <row r="2603">
      <c r="A2603" s="2">
        <f>IFERROR(__xludf.DUMMYFUNCTION("""COMPUTED_VALUE"""),6.0)</f>
        <v>6</v>
      </c>
    </row>
    <row r="2604">
      <c r="A2604" s="2">
        <f>IFERROR(__xludf.DUMMYFUNCTION("""COMPUTED_VALUE"""),4.0)</f>
        <v>4</v>
      </c>
    </row>
    <row r="2605">
      <c r="A2605" s="2">
        <f>IFERROR(__xludf.DUMMYFUNCTION("""COMPUTED_VALUE"""),1.0)</f>
        <v>1</v>
      </c>
    </row>
    <row r="2606">
      <c r="A2606" s="2">
        <f>IFERROR(__xludf.DUMMYFUNCTION("""COMPUTED_VALUE"""),1.0)</f>
        <v>1</v>
      </c>
    </row>
    <row r="2607">
      <c r="A2607" s="2">
        <f>IFERROR(__xludf.DUMMYFUNCTION("""COMPUTED_VALUE"""),9.0)</f>
        <v>9</v>
      </c>
    </row>
    <row r="2608">
      <c r="A2608" s="2">
        <f>IFERROR(__xludf.DUMMYFUNCTION("""COMPUTED_VALUE"""),9.0)</f>
        <v>9</v>
      </c>
    </row>
    <row r="2609">
      <c r="A2609" s="2">
        <f>IFERROR(__xludf.DUMMYFUNCTION("""COMPUTED_VALUE"""),9.0)</f>
        <v>9</v>
      </c>
    </row>
    <row r="2610">
      <c r="A2610" s="2">
        <f>IFERROR(__xludf.DUMMYFUNCTION("""COMPUTED_VALUE"""),9.0)</f>
        <v>9</v>
      </c>
    </row>
    <row r="2611">
      <c r="A2611" s="2">
        <f>IFERROR(__xludf.DUMMYFUNCTION("""COMPUTED_VALUE"""),3.0)</f>
        <v>3</v>
      </c>
    </row>
    <row r="2612">
      <c r="A2612" s="2">
        <f>IFERROR(__xludf.DUMMYFUNCTION("""COMPUTED_VALUE"""),4.0)</f>
        <v>4</v>
      </c>
    </row>
    <row r="2613">
      <c r="A2613" s="2">
        <f>IFERROR(__xludf.DUMMYFUNCTION("""COMPUTED_VALUE"""),4.0)</f>
        <v>4</v>
      </c>
    </row>
    <row r="2614">
      <c r="A2614" s="2">
        <f>IFERROR(__xludf.DUMMYFUNCTION("""COMPUTED_VALUE"""),7.0)</f>
        <v>7</v>
      </c>
    </row>
    <row r="2615">
      <c r="A2615" s="2">
        <f>IFERROR(__xludf.DUMMYFUNCTION("""COMPUTED_VALUE"""),7.0)</f>
        <v>7</v>
      </c>
    </row>
    <row r="2616">
      <c r="A2616" s="2">
        <f>IFERROR(__xludf.DUMMYFUNCTION("""COMPUTED_VALUE"""),7.0)</f>
        <v>7</v>
      </c>
    </row>
    <row r="2617">
      <c r="A2617" s="2">
        <f>IFERROR(__xludf.DUMMYFUNCTION("""COMPUTED_VALUE"""),8.0)</f>
        <v>8</v>
      </c>
    </row>
    <row r="2618">
      <c r="A2618" s="2">
        <f>IFERROR(__xludf.DUMMYFUNCTION("""COMPUTED_VALUE"""),9.0)</f>
        <v>9</v>
      </c>
    </row>
    <row r="2619">
      <c r="A2619" s="2">
        <f>IFERROR(__xludf.DUMMYFUNCTION("""COMPUTED_VALUE"""),9.0)</f>
        <v>9</v>
      </c>
    </row>
    <row r="2620">
      <c r="A2620" s="2">
        <f>IFERROR(__xludf.DUMMYFUNCTION("""COMPUTED_VALUE"""),8.0)</f>
        <v>8</v>
      </c>
    </row>
    <row r="2621">
      <c r="A2621" s="2">
        <f>IFERROR(__xludf.DUMMYFUNCTION("""COMPUTED_VALUE"""),8.0)</f>
        <v>8</v>
      </c>
    </row>
    <row r="2622">
      <c r="A2622" s="2">
        <f>IFERROR(__xludf.DUMMYFUNCTION("""COMPUTED_VALUE"""),8.0)</f>
        <v>8</v>
      </c>
    </row>
    <row r="2623">
      <c r="A2623" s="2">
        <f>IFERROR(__xludf.DUMMYFUNCTION("""COMPUTED_VALUE"""),8.0)</f>
        <v>8</v>
      </c>
    </row>
    <row r="2624">
      <c r="A2624" s="2">
        <f>IFERROR(__xludf.DUMMYFUNCTION("""COMPUTED_VALUE"""),8.0)</f>
        <v>8</v>
      </c>
    </row>
    <row r="2625">
      <c r="A2625" s="2">
        <f>IFERROR(__xludf.DUMMYFUNCTION("""COMPUTED_VALUE"""),8.0)</f>
        <v>8</v>
      </c>
    </row>
    <row r="2626">
      <c r="A2626" s="2">
        <f>IFERROR(__xludf.DUMMYFUNCTION("""COMPUTED_VALUE"""),8.0)</f>
        <v>8</v>
      </c>
    </row>
    <row r="2627">
      <c r="A2627" s="2">
        <f>IFERROR(__xludf.DUMMYFUNCTION("""COMPUTED_VALUE"""),8.0)</f>
        <v>8</v>
      </c>
    </row>
    <row r="2628">
      <c r="A2628" s="2">
        <f>IFERROR(__xludf.DUMMYFUNCTION("""COMPUTED_VALUE"""),8.0)</f>
        <v>8</v>
      </c>
    </row>
    <row r="2629">
      <c r="A2629" s="2">
        <f>IFERROR(__xludf.DUMMYFUNCTION("""COMPUTED_VALUE"""),8.0)</f>
        <v>8</v>
      </c>
    </row>
    <row r="2630">
      <c r="A2630" s="2">
        <f>IFERROR(__xludf.DUMMYFUNCTION("""COMPUTED_VALUE"""),8.0)</f>
        <v>8</v>
      </c>
    </row>
    <row r="2631">
      <c r="A2631" s="2">
        <f>IFERROR(__xludf.DUMMYFUNCTION("""COMPUTED_VALUE"""),8.0)</f>
        <v>8</v>
      </c>
    </row>
    <row r="2632">
      <c r="A2632" s="2">
        <f>IFERROR(__xludf.DUMMYFUNCTION("""COMPUTED_VALUE"""),8.0)</f>
        <v>8</v>
      </c>
    </row>
    <row r="2633">
      <c r="A2633" s="2">
        <f>IFERROR(__xludf.DUMMYFUNCTION("""COMPUTED_VALUE"""),8.0)</f>
        <v>8</v>
      </c>
    </row>
    <row r="2634">
      <c r="A2634" s="2">
        <f>IFERROR(__xludf.DUMMYFUNCTION("""COMPUTED_VALUE"""),2.0)</f>
        <v>2</v>
      </c>
    </row>
    <row r="2635">
      <c r="A2635" s="2">
        <f>IFERROR(__xludf.DUMMYFUNCTION("""COMPUTED_VALUE"""),1.0)</f>
        <v>1</v>
      </c>
    </row>
    <row r="2636">
      <c r="A2636" s="2">
        <f>IFERROR(__xludf.DUMMYFUNCTION("""COMPUTED_VALUE"""),1.0)</f>
        <v>1</v>
      </c>
    </row>
    <row r="2637">
      <c r="A2637" s="2">
        <f>IFERROR(__xludf.DUMMYFUNCTION("""COMPUTED_VALUE"""),3.0)</f>
        <v>3</v>
      </c>
    </row>
    <row r="2638">
      <c r="A2638" s="2">
        <f>IFERROR(__xludf.DUMMYFUNCTION("""COMPUTED_VALUE"""),3.0)</f>
        <v>3</v>
      </c>
    </row>
    <row r="2639">
      <c r="A2639" s="2">
        <f>IFERROR(__xludf.DUMMYFUNCTION("""COMPUTED_VALUE"""),3.0)</f>
        <v>3</v>
      </c>
    </row>
    <row r="2640">
      <c r="A2640" s="2">
        <f>IFERROR(__xludf.DUMMYFUNCTION("""COMPUTED_VALUE"""),5.0)</f>
        <v>5</v>
      </c>
    </row>
    <row r="2641">
      <c r="A2641" s="2">
        <f>IFERROR(__xludf.DUMMYFUNCTION("""COMPUTED_VALUE"""),5.0)</f>
        <v>5</v>
      </c>
    </row>
    <row r="2642">
      <c r="A2642" s="2">
        <f>IFERROR(__xludf.DUMMYFUNCTION("""COMPUTED_VALUE"""),5.0)</f>
        <v>5</v>
      </c>
    </row>
    <row r="2643">
      <c r="A2643" s="2">
        <f>IFERROR(__xludf.DUMMYFUNCTION("""COMPUTED_VALUE"""),5.0)</f>
        <v>5</v>
      </c>
    </row>
    <row r="2644">
      <c r="A2644" s="2">
        <f>IFERROR(__xludf.DUMMYFUNCTION("""COMPUTED_VALUE"""),5.0)</f>
        <v>5</v>
      </c>
    </row>
    <row r="2645">
      <c r="A2645" s="2">
        <f>IFERROR(__xludf.DUMMYFUNCTION("""COMPUTED_VALUE"""),5.0)</f>
        <v>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>
        <f>IF(Source!$C2&gt;=COLUMNS($A2:A2), Source!$E2, "")</f>
        <v>3</v>
      </c>
      <c r="B2" s="2" t="str">
        <f>IF(Source!$C2&gt;=COLUMNS($A2:B2), Source!$E2, "")</f>
        <v/>
      </c>
      <c r="C2" s="2" t="str">
        <f>IF(Source!$C2&gt;=COLUMNS($A2:C2), Source!$E2, "")</f>
        <v/>
      </c>
      <c r="D2" s="2" t="str">
        <f>IF(Source!$C2&gt;=COLUMNS($A2:D2), Source!$E2, "")</f>
        <v/>
      </c>
      <c r="E2" s="2" t="str">
        <f>IF(Source!$C2&gt;=COLUMNS($A2:E2), Source!$E2, "")</f>
        <v/>
      </c>
      <c r="F2" s="2" t="str">
        <f>IF(Source!$C2&gt;=COLUMNS($A2:F2), Source!$E2, "")</f>
        <v/>
      </c>
      <c r="G2" s="2" t="str">
        <f>IF(Source!$C2&gt;=COLUMNS($A2:G2), Source!$E2, "")</f>
        <v/>
      </c>
      <c r="H2" s="2" t="str">
        <f>IF(Source!$C2&gt;=COLUMNS($A2:H2), Source!$E2, "")</f>
        <v/>
      </c>
      <c r="I2" s="2" t="str">
        <f>IF(Source!$C2&gt;=COLUMNS($A2:I2), Source!$E2, "")</f>
        <v/>
      </c>
      <c r="J2" s="2" t="str">
        <f>IF(Source!$C2&gt;=COLUMNS($A2:J2), Source!$E2, "")</f>
        <v/>
      </c>
      <c r="K2" s="2" t="str">
        <f>IF(Source!$C2&gt;=COLUMNS($A2:K2), Source!$E2, "")</f>
        <v/>
      </c>
      <c r="L2" s="2" t="str">
        <f>IF(Source!$C2&gt;=COLUMNS($A2:L2), Source!$E2, "")</f>
        <v/>
      </c>
      <c r="M2" s="2" t="str">
        <f>IF(Source!$C2&gt;=COLUMNS($A2:M2), Source!$E2, "")</f>
        <v/>
      </c>
      <c r="N2" s="2" t="str">
        <f>IF(Source!$C2&gt;=COLUMNS($A2:N2), Source!$E2, "")</f>
        <v/>
      </c>
      <c r="O2" s="2" t="str">
        <f>IF(Source!$C2&gt;=COLUMNS($A2:O2), Source!$E2, "")</f>
        <v/>
      </c>
      <c r="P2" s="2" t="str">
        <f>IF(Source!$C2&gt;=COLUMNS($A2:P2), Source!$E2, "")</f>
        <v/>
      </c>
      <c r="Q2" s="2" t="str">
        <f>IF(Source!$C2&gt;=COLUMNS($A2:Q2), Source!$E2, "")</f>
        <v/>
      </c>
      <c r="R2" s="2" t="str">
        <f>IF(Source!$C2&gt;=COLUMNS($A2:R2), Source!$E2, "")</f>
        <v/>
      </c>
      <c r="S2" s="2" t="str">
        <f>IF(Source!$C2&gt;=COLUMNS($A2:S2), Source!$E2, "")</f>
        <v/>
      </c>
      <c r="T2" s="2" t="str">
        <f>IF(Source!$C2&gt;=COLUMNS($A2:T2), Source!$E2, "")</f>
        <v/>
      </c>
      <c r="U2" s="2" t="str">
        <f>IF(Source!$C2&gt;=COLUMNS($A2:U2), Source!$E2, "")</f>
        <v/>
      </c>
      <c r="V2" s="2" t="str">
        <f>IF(Source!$C2&gt;=COLUMNS($A2:V2), Source!$E2, "")</f>
        <v/>
      </c>
      <c r="W2" s="2" t="str">
        <f>IF(Source!$C2&gt;=COLUMNS($A2:W2), Source!$E2, "")</f>
        <v/>
      </c>
      <c r="X2" s="2" t="str">
        <f>IF(Source!$C2&gt;=COLUMNS($A2:X2), Source!$E2, "")</f>
        <v/>
      </c>
      <c r="Y2" s="2" t="str">
        <f>IF(Source!$C2&gt;=COLUMNS($A2:Y2), Source!$E2, "")</f>
        <v/>
      </c>
      <c r="Z2" s="2" t="str">
        <f>IF(Source!$C2&gt;=COLUMNS($A2:Z2), Source!$E2, "")</f>
        <v/>
      </c>
      <c r="AA2" s="2" t="str">
        <f>IF(Source!$C2&gt;=COLUMNS($A2:AA2), Source!$E2, "")</f>
        <v/>
      </c>
      <c r="AB2" s="2" t="str">
        <f>IF(Source!$C2&gt;=COLUMNS($A2:AB2), Source!$E2, "")</f>
        <v/>
      </c>
      <c r="AC2" s="2" t="str">
        <f>IF(Source!$C2&gt;=COLUMNS($A2:AC2), Source!$E2, "")</f>
        <v/>
      </c>
      <c r="AD2" s="2" t="str">
        <f>IF(Source!$C2&gt;=COLUMNS($A2:AD2), Source!$E2, "")</f>
        <v/>
      </c>
      <c r="AE2" s="2" t="str">
        <f>IF(Source!$C2&gt;=COLUMNS($A2:AE2), Source!$E2, "")</f>
        <v/>
      </c>
      <c r="AF2" s="2" t="str">
        <f>IF(Source!$C2&gt;=COLUMNS($A2:AF2), Source!$E2, "")</f>
        <v/>
      </c>
      <c r="AG2" s="2" t="str">
        <f>IF(Source!$C2&gt;=COLUMNS($A2:AG2), Source!$E2, "")</f>
        <v/>
      </c>
      <c r="AH2" s="2" t="str">
        <f>IF(Source!$C2&gt;=COLUMNS($A2:AH2), Source!$E2, "")</f>
        <v/>
      </c>
      <c r="AI2" s="2" t="str">
        <f>IF(Source!$C2&gt;=COLUMNS($A2:AI2), Source!$E2, "")</f>
        <v/>
      </c>
      <c r="AJ2" s="2" t="str">
        <f>IF(Source!$C2&gt;=COLUMNS($A2:AJ2), Source!$E2, "")</f>
        <v/>
      </c>
      <c r="AK2" s="2" t="str">
        <f>IF(Source!$C2&gt;=COLUMNS($A2:AK2), Source!$E2, "")</f>
        <v/>
      </c>
      <c r="AL2" s="2" t="str">
        <f>IF(Source!$C2&gt;=COLUMNS($A2:AL2), Source!$E2, "")</f>
        <v/>
      </c>
      <c r="AM2" s="2" t="str">
        <f>IF(Source!$C2&gt;=COLUMNS($A2:AM2), Source!$E2, "")</f>
        <v/>
      </c>
      <c r="AN2" s="2" t="str">
        <f>IF(Source!$C2&gt;=COLUMNS($A2:AN2), Source!$E2, "")</f>
        <v/>
      </c>
      <c r="AO2" s="2" t="str">
        <f>IF(Source!$C2&gt;=COLUMNS($A2:AO2), Source!$E2, "")</f>
        <v/>
      </c>
      <c r="AP2" s="2" t="str">
        <f>IF(Source!$C2&gt;=COLUMNS($A2:AP2), Source!$E2, "")</f>
        <v/>
      </c>
      <c r="AQ2" s="2" t="str">
        <f>IF(Source!$C2&gt;=COLUMNS($A2:AQ2), Source!$E2, "")</f>
        <v/>
      </c>
      <c r="AR2" s="2" t="str">
        <f>IF(Source!$C2&gt;=COLUMNS($A2:AR2), Source!$E2, "")</f>
        <v/>
      </c>
    </row>
    <row r="3">
      <c r="A3" s="2">
        <f>IF(Source!$C3&gt;=COLUMNS($A3:A3), Source!$E3, "")</f>
        <v>5</v>
      </c>
      <c r="B3" s="2">
        <f>IF(Source!$C3&gt;=COLUMNS($A3:B3), Source!$E3, "")</f>
        <v>5</v>
      </c>
      <c r="C3" s="2">
        <f>IF(Source!$C3&gt;=COLUMNS($A3:C3), Source!$E3, "")</f>
        <v>5</v>
      </c>
      <c r="D3" s="2">
        <f>IF(Source!$C3&gt;=COLUMNS($A3:D3), Source!$E3, "")</f>
        <v>5</v>
      </c>
      <c r="E3" s="2">
        <f>IF(Source!$C3&gt;=COLUMNS($A3:E3), Source!$E3, "")</f>
        <v>5</v>
      </c>
      <c r="F3" s="2" t="str">
        <f>IF(Source!$C3&gt;=COLUMNS($A3:F3), Source!$E3, "")</f>
        <v/>
      </c>
      <c r="G3" s="2" t="str">
        <f>IF(Source!$C3&gt;=COLUMNS($A3:G3), Source!$E3, "")</f>
        <v/>
      </c>
      <c r="H3" s="2" t="str">
        <f>IF(Source!$C3&gt;=COLUMNS($A3:H3), Source!$E3, "")</f>
        <v/>
      </c>
      <c r="I3" s="2" t="str">
        <f>IF(Source!$C3&gt;=COLUMNS($A3:I3), Source!$E3, "")</f>
        <v/>
      </c>
      <c r="J3" s="2" t="str">
        <f>IF(Source!$C3&gt;=COLUMNS($A3:J3), Source!$E3, "")</f>
        <v/>
      </c>
      <c r="K3" s="2" t="str">
        <f>IF(Source!$C3&gt;=COLUMNS($A3:K3), Source!$E3, "")</f>
        <v/>
      </c>
      <c r="L3" s="2" t="str">
        <f>IF(Source!$C3&gt;=COLUMNS($A3:L3), Source!$E3, "")</f>
        <v/>
      </c>
      <c r="M3" s="2" t="str">
        <f>IF(Source!$C3&gt;=COLUMNS($A3:M3), Source!$E3, "")</f>
        <v/>
      </c>
      <c r="N3" s="2" t="str">
        <f>IF(Source!$C3&gt;=COLUMNS($A3:N3), Source!$E3, "")</f>
        <v/>
      </c>
      <c r="O3" s="2" t="str">
        <f>IF(Source!$C3&gt;=COLUMNS($A3:O3), Source!$E3, "")</f>
        <v/>
      </c>
      <c r="P3" s="2" t="str">
        <f>IF(Source!$C3&gt;=COLUMNS($A3:P3), Source!$E3, "")</f>
        <v/>
      </c>
      <c r="Q3" s="2" t="str">
        <f>IF(Source!$C3&gt;=COLUMNS($A3:Q3), Source!$E3, "")</f>
        <v/>
      </c>
      <c r="R3" s="2" t="str">
        <f>IF(Source!$C3&gt;=COLUMNS($A3:R3), Source!$E3, "")</f>
        <v/>
      </c>
      <c r="S3" s="2" t="str">
        <f>IF(Source!$C3&gt;=COLUMNS($A3:S3), Source!$E3, "")</f>
        <v/>
      </c>
      <c r="T3" s="2" t="str">
        <f>IF(Source!$C3&gt;=COLUMNS($A3:T3), Source!$E3, "")</f>
        <v/>
      </c>
      <c r="U3" s="2" t="str">
        <f>IF(Source!$C3&gt;=COLUMNS($A3:U3), Source!$E3, "")</f>
        <v/>
      </c>
      <c r="V3" s="2" t="str">
        <f>IF(Source!$C3&gt;=COLUMNS($A3:V3), Source!$E3, "")</f>
        <v/>
      </c>
      <c r="W3" s="2" t="str">
        <f>IF(Source!$C3&gt;=COLUMNS($A3:W3), Source!$E3, "")</f>
        <v/>
      </c>
      <c r="X3" s="2" t="str">
        <f>IF(Source!$C3&gt;=COLUMNS($A3:X3), Source!$E3, "")</f>
        <v/>
      </c>
      <c r="Y3" s="2" t="str">
        <f>IF(Source!$C3&gt;=COLUMNS($A3:Y3), Source!$E3, "")</f>
        <v/>
      </c>
      <c r="Z3" s="2" t="str">
        <f>IF(Source!$C3&gt;=COLUMNS($A3:Z3), Source!$E3, "")</f>
        <v/>
      </c>
      <c r="AA3" s="2" t="str">
        <f>IF(Source!$C3&gt;=COLUMNS($A3:AA3), Source!$E3, "")</f>
        <v/>
      </c>
      <c r="AB3" s="2" t="str">
        <f>IF(Source!$C3&gt;=COLUMNS($A3:AB3), Source!$E3, "")</f>
        <v/>
      </c>
      <c r="AC3" s="2" t="str">
        <f>IF(Source!$C3&gt;=COLUMNS($A3:AC3), Source!$E3, "")</f>
        <v/>
      </c>
      <c r="AD3" s="2" t="str">
        <f>IF(Source!$C3&gt;=COLUMNS($A3:AD3), Source!$E3, "")</f>
        <v/>
      </c>
      <c r="AE3" s="2" t="str">
        <f>IF(Source!$C3&gt;=COLUMNS($A3:AE3), Source!$E3, "")</f>
        <v/>
      </c>
      <c r="AF3" s="2" t="str">
        <f>IF(Source!$C3&gt;=COLUMNS($A3:AF3), Source!$E3, "")</f>
        <v/>
      </c>
      <c r="AG3" s="2" t="str">
        <f>IF(Source!$C3&gt;=COLUMNS($A3:AG3), Source!$E3, "")</f>
        <v/>
      </c>
      <c r="AH3" s="2" t="str">
        <f>IF(Source!$C3&gt;=COLUMNS($A3:AH3), Source!$E3, "")</f>
        <v/>
      </c>
      <c r="AI3" s="2" t="str">
        <f>IF(Source!$C3&gt;=COLUMNS($A3:AI3), Source!$E3, "")</f>
        <v/>
      </c>
      <c r="AJ3" s="2" t="str">
        <f>IF(Source!$C3&gt;=COLUMNS($A3:AJ3), Source!$E3, "")</f>
        <v/>
      </c>
      <c r="AK3" s="2" t="str">
        <f>IF(Source!$C3&gt;=COLUMNS($A3:AK3), Source!$E3, "")</f>
        <v/>
      </c>
      <c r="AL3" s="2" t="str">
        <f>IF(Source!$C3&gt;=COLUMNS($A3:AL3), Source!$E3, "")</f>
        <v/>
      </c>
      <c r="AM3" s="2" t="str">
        <f>IF(Source!$C3&gt;=COLUMNS($A3:AM3), Source!$E3, "")</f>
        <v/>
      </c>
      <c r="AN3" s="2" t="str">
        <f>IF(Source!$C3&gt;=COLUMNS($A3:AN3), Source!$E3, "")</f>
        <v/>
      </c>
      <c r="AO3" s="2" t="str">
        <f>IF(Source!$C3&gt;=COLUMNS($A3:AO3), Source!$E3, "")</f>
        <v/>
      </c>
      <c r="AP3" s="2" t="str">
        <f>IF(Source!$C3&gt;=COLUMNS($A3:AP3), Source!$E3, "")</f>
        <v/>
      </c>
      <c r="AQ3" s="2" t="str">
        <f>IF(Source!$C3&gt;=COLUMNS($A3:AQ3), Source!$E3, "")</f>
        <v/>
      </c>
      <c r="AR3" s="2" t="str">
        <f>IF(Source!$C3&gt;=COLUMNS($A3:AR3), Source!$E3, "")</f>
        <v/>
      </c>
    </row>
    <row r="4">
      <c r="A4" s="2">
        <f>IF(Source!$C4&gt;=COLUMNS($A4:A4), Source!$E4, "")</f>
        <v>7</v>
      </c>
      <c r="B4" s="2">
        <f>IF(Source!$C4&gt;=COLUMNS($A4:B4), Source!$E4, "")</f>
        <v>7</v>
      </c>
      <c r="C4" s="2">
        <f>IF(Source!$C4&gt;=COLUMNS($A4:C4), Source!$E4, "")</f>
        <v>7</v>
      </c>
      <c r="D4" s="2">
        <f>IF(Source!$C4&gt;=COLUMNS($A4:D4), Source!$E4, "")</f>
        <v>7</v>
      </c>
      <c r="E4" s="2">
        <f>IF(Source!$C4&gt;=COLUMNS($A4:E4), Source!$E4, "")</f>
        <v>7</v>
      </c>
      <c r="F4" s="2">
        <f>IF(Source!$C4&gt;=COLUMNS($A4:F4), Source!$E4, "")</f>
        <v>7</v>
      </c>
      <c r="G4" s="2" t="str">
        <f>IF(Source!$C4&gt;=COLUMNS($A4:G4), Source!$E4, "")</f>
        <v/>
      </c>
      <c r="H4" s="2" t="str">
        <f>IF(Source!$C4&gt;=COLUMNS($A4:H4), Source!$E4, "")</f>
        <v/>
      </c>
      <c r="I4" s="2" t="str">
        <f>IF(Source!$C4&gt;=COLUMNS($A4:I4), Source!$E4, "")</f>
        <v/>
      </c>
      <c r="J4" s="2" t="str">
        <f>IF(Source!$C4&gt;=COLUMNS($A4:J4), Source!$E4, "")</f>
        <v/>
      </c>
      <c r="K4" s="2" t="str">
        <f>IF(Source!$C4&gt;=COLUMNS($A4:K4), Source!$E4, "")</f>
        <v/>
      </c>
      <c r="L4" s="2" t="str">
        <f>IF(Source!$C4&gt;=COLUMNS($A4:L4), Source!$E4, "")</f>
        <v/>
      </c>
      <c r="M4" s="2" t="str">
        <f>IF(Source!$C4&gt;=COLUMNS($A4:M4), Source!$E4, "")</f>
        <v/>
      </c>
      <c r="N4" s="2" t="str">
        <f>IF(Source!$C4&gt;=COLUMNS($A4:N4), Source!$E4, "")</f>
        <v/>
      </c>
      <c r="O4" s="2" t="str">
        <f>IF(Source!$C4&gt;=COLUMNS($A4:O4), Source!$E4, "")</f>
        <v/>
      </c>
      <c r="P4" s="2" t="str">
        <f>IF(Source!$C4&gt;=COLUMNS($A4:P4), Source!$E4, "")</f>
        <v/>
      </c>
      <c r="Q4" s="2" t="str">
        <f>IF(Source!$C4&gt;=COLUMNS($A4:Q4), Source!$E4, "")</f>
        <v/>
      </c>
      <c r="R4" s="2" t="str">
        <f>IF(Source!$C4&gt;=COLUMNS($A4:R4), Source!$E4, "")</f>
        <v/>
      </c>
      <c r="S4" s="2" t="str">
        <f>IF(Source!$C4&gt;=COLUMNS($A4:S4), Source!$E4, "")</f>
        <v/>
      </c>
      <c r="T4" s="2" t="str">
        <f>IF(Source!$C4&gt;=COLUMNS($A4:T4), Source!$E4, "")</f>
        <v/>
      </c>
      <c r="U4" s="2" t="str">
        <f>IF(Source!$C4&gt;=COLUMNS($A4:U4), Source!$E4, "")</f>
        <v/>
      </c>
      <c r="V4" s="2" t="str">
        <f>IF(Source!$C4&gt;=COLUMNS($A4:V4), Source!$E4, "")</f>
        <v/>
      </c>
      <c r="W4" s="2" t="str">
        <f>IF(Source!$C4&gt;=COLUMNS($A4:W4), Source!$E4, "")</f>
        <v/>
      </c>
      <c r="X4" s="2" t="str">
        <f>IF(Source!$C4&gt;=COLUMNS($A4:X4), Source!$E4, "")</f>
        <v/>
      </c>
      <c r="Y4" s="2" t="str">
        <f>IF(Source!$C4&gt;=COLUMNS($A4:Y4), Source!$E4, "")</f>
        <v/>
      </c>
      <c r="Z4" s="2" t="str">
        <f>IF(Source!$C4&gt;=COLUMNS($A4:Z4), Source!$E4, "")</f>
        <v/>
      </c>
      <c r="AA4" s="2" t="str">
        <f>IF(Source!$C4&gt;=COLUMNS($A4:AA4), Source!$E4, "")</f>
        <v/>
      </c>
      <c r="AB4" s="2" t="str">
        <f>IF(Source!$C4&gt;=COLUMNS($A4:AB4), Source!$E4, "")</f>
        <v/>
      </c>
      <c r="AC4" s="2" t="str">
        <f>IF(Source!$C4&gt;=COLUMNS($A4:AC4), Source!$E4, "")</f>
        <v/>
      </c>
      <c r="AD4" s="2" t="str">
        <f>IF(Source!$C4&gt;=COLUMNS($A4:AD4), Source!$E4, "")</f>
        <v/>
      </c>
      <c r="AE4" s="2" t="str">
        <f>IF(Source!$C4&gt;=COLUMNS($A4:AE4), Source!$E4, "")</f>
        <v/>
      </c>
      <c r="AF4" s="2" t="str">
        <f>IF(Source!$C4&gt;=COLUMNS($A4:AF4), Source!$E4, "")</f>
        <v/>
      </c>
      <c r="AG4" s="2" t="str">
        <f>IF(Source!$C4&gt;=COLUMNS($A4:AG4), Source!$E4, "")</f>
        <v/>
      </c>
      <c r="AH4" s="2" t="str">
        <f>IF(Source!$C4&gt;=COLUMNS($A4:AH4), Source!$E4, "")</f>
        <v/>
      </c>
      <c r="AI4" s="2" t="str">
        <f>IF(Source!$C4&gt;=COLUMNS($A4:AI4), Source!$E4, "")</f>
        <v/>
      </c>
      <c r="AJ4" s="2" t="str">
        <f>IF(Source!$C4&gt;=COLUMNS($A4:AJ4), Source!$E4, "")</f>
        <v/>
      </c>
      <c r="AK4" s="2" t="str">
        <f>IF(Source!$C4&gt;=COLUMNS($A4:AK4), Source!$E4, "")</f>
        <v/>
      </c>
      <c r="AL4" s="2" t="str">
        <f>IF(Source!$C4&gt;=COLUMNS($A4:AL4), Source!$E4, "")</f>
        <v/>
      </c>
      <c r="AM4" s="2" t="str">
        <f>IF(Source!$C4&gt;=COLUMNS($A4:AM4), Source!$E4, "")</f>
        <v/>
      </c>
      <c r="AN4" s="2" t="str">
        <f>IF(Source!$C4&gt;=COLUMNS($A4:AN4), Source!$E4, "")</f>
        <v/>
      </c>
      <c r="AO4" s="2" t="str">
        <f>IF(Source!$C4&gt;=COLUMNS($A4:AO4), Source!$E4, "")</f>
        <v/>
      </c>
      <c r="AP4" s="2" t="str">
        <f>IF(Source!$C4&gt;=COLUMNS($A4:AP4), Source!$E4, "")</f>
        <v/>
      </c>
      <c r="AQ4" s="2" t="str">
        <f>IF(Source!$C4&gt;=COLUMNS($A4:AQ4), Source!$E4, "")</f>
        <v/>
      </c>
      <c r="AR4" s="2" t="str">
        <f>IF(Source!$C4&gt;=COLUMNS($A4:AR4), Source!$E4, "")</f>
        <v/>
      </c>
    </row>
    <row r="5">
      <c r="A5" s="2">
        <f>IF(Source!$C5&gt;=COLUMNS($A5:A5), Source!$E5, "")</f>
        <v>1</v>
      </c>
      <c r="B5" s="2">
        <f>IF(Source!$C5&gt;=COLUMNS($A5:B5), Source!$E5, "")</f>
        <v>1</v>
      </c>
      <c r="C5" s="2">
        <f>IF(Source!$C5&gt;=COLUMNS($A5:C5), Source!$E5, "")</f>
        <v>1</v>
      </c>
      <c r="D5" s="2">
        <f>IF(Source!$C5&gt;=COLUMNS($A5:D5), Source!$E5, "")</f>
        <v>1</v>
      </c>
      <c r="E5" s="2">
        <f>IF(Source!$C5&gt;=COLUMNS($A5:E5), Source!$E5, "")</f>
        <v>1</v>
      </c>
      <c r="F5" s="2">
        <f>IF(Source!$C5&gt;=COLUMNS($A5:F5), Source!$E5, "")</f>
        <v>1</v>
      </c>
      <c r="G5" s="2" t="str">
        <f>IF(Source!$C5&gt;=COLUMNS($A5:G5), Source!$E5, "")</f>
        <v/>
      </c>
      <c r="H5" s="2" t="str">
        <f>IF(Source!$C5&gt;=COLUMNS($A5:H5), Source!$E5, "")</f>
        <v/>
      </c>
      <c r="I5" s="2" t="str">
        <f>IF(Source!$C5&gt;=COLUMNS($A5:I5), Source!$E5, "")</f>
        <v/>
      </c>
      <c r="J5" s="2" t="str">
        <f>IF(Source!$C5&gt;=COLUMNS($A5:J5), Source!$E5, "")</f>
        <v/>
      </c>
      <c r="K5" s="2" t="str">
        <f>IF(Source!$C5&gt;=COLUMNS($A5:K5), Source!$E5, "")</f>
        <v/>
      </c>
      <c r="L5" s="2" t="str">
        <f>IF(Source!$C5&gt;=COLUMNS($A5:L5), Source!$E5, "")</f>
        <v/>
      </c>
      <c r="M5" s="2" t="str">
        <f>IF(Source!$C5&gt;=COLUMNS($A5:M5), Source!$E5, "")</f>
        <v/>
      </c>
      <c r="N5" s="2" t="str">
        <f>IF(Source!$C5&gt;=COLUMNS($A5:N5), Source!$E5, "")</f>
        <v/>
      </c>
      <c r="O5" s="2" t="str">
        <f>IF(Source!$C5&gt;=COLUMNS($A5:O5), Source!$E5, "")</f>
        <v/>
      </c>
      <c r="P5" s="2" t="str">
        <f>IF(Source!$C5&gt;=COLUMNS($A5:P5), Source!$E5, "")</f>
        <v/>
      </c>
      <c r="Q5" s="2" t="str">
        <f>IF(Source!$C5&gt;=COLUMNS($A5:Q5), Source!$E5, "")</f>
        <v/>
      </c>
      <c r="R5" s="2" t="str">
        <f>IF(Source!$C5&gt;=COLUMNS($A5:R5), Source!$E5, "")</f>
        <v/>
      </c>
      <c r="S5" s="2" t="str">
        <f>IF(Source!$C5&gt;=COLUMNS($A5:S5), Source!$E5, "")</f>
        <v/>
      </c>
      <c r="T5" s="2" t="str">
        <f>IF(Source!$C5&gt;=COLUMNS($A5:T5), Source!$E5, "")</f>
        <v/>
      </c>
      <c r="U5" s="2" t="str">
        <f>IF(Source!$C5&gt;=COLUMNS($A5:U5), Source!$E5, "")</f>
        <v/>
      </c>
      <c r="V5" s="2" t="str">
        <f>IF(Source!$C5&gt;=COLUMNS($A5:V5), Source!$E5, "")</f>
        <v/>
      </c>
      <c r="W5" s="2" t="str">
        <f>IF(Source!$C5&gt;=COLUMNS($A5:W5), Source!$E5, "")</f>
        <v/>
      </c>
      <c r="X5" s="2" t="str">
        <f>IF(Source!$C5&gt;=COLUMNS($A5:X5), Source!$E5, "")</f>
        <v/>
      </c>
      <c r="Y5" s="2" t="str">
        <f>IF(Source!$C5&gt;=COLUMNS($A5:Y5), Source!$E5, "")</f>
        <v/>
      </c>
      <c r="Z5" s="2" t="str">
        <f>IF(Source!$C5&gt;=COLUMNS($A5:Z5), Source!$E5, "")</f>
        <v/>
      </c>
      <c r="AA5" s="2" t="str">
        <f>IF(Source!$C5&gt;=COLUMNS($A5:AA5), Source!$E5, "")</f>
        <v/>
      </c>
      <c r="AB5" s="2" t="str">
        <f>IF(Source!$C5&gt;=COLUMNS($A5:AB5), Source!$E5, "")</f>
        <v/>
      </c>
      <c r="AC5" s="2" t="str">
        <f>IF(Source!$C5&gt;=COLUMNS($A5:AC5), Source!$E5, "")</f>
        <v/>
      </c>
      <c r="AD5" s="2" t="str">
        <f>IF(Source!$C5&gt;=COLUMNS($A5:AD5), Source!$E5, "")</f>
        <v/>
      </c>
      <c r="AE5" s="2" t="str">
        <f>IF(Source!$C5&gt;=COLUMNS($A5:AE5), Source!$E5, "")</f>
        <v/>
      </c>
      <c r="AF5" s="2" t="str">
        <f>IF(Source!$C5&gt;=COLUMNS($A5:AF5), Source!$E5, "")</f>
        <v/>
      </c>
      <c r="AG5" s="2" t="str">
        <f>IF(Source!$C5&gt;=COLUMNS($A5:AG5), Source!$E5, "")</f>
        <v/>
      </c>
      <c r="AH5" s="2" t="str">
        <f>IF(Source!$C5&gt;=COLUMNS($A5:AH5), Source!$E5, "")</f>
        <v/>
      </c>
      <c r="AI5" s="2" t="str">
        <f>IF(Source!$C5&gt;=COLUMNS($A5:AI5), Source!$E5, "")</f>
        <v/>
      </c>
      <c r="AJ5" s="2" t="str">
        <f>IF(Source!$C5&gt;=COLUMNS($A5:AJ5), Source!$E5, "")</f>
        <v/>
      </c>
      <c r="AK5" s="2" t="str">
        <f>IF(Source!$C5&gt;=COLUMNS($A5:AK5), Source!$E5, "")</f>
        <v/>
      </c>
      <c r="AL5" s="2" t="str">
        <f>IF(Source!$C5&gt;=COLUMNS($A5:AL5), Source!$E5, "")</f>
        <v/>
      </c>
      <c r="AM5" s="2" t="str">
        <f>IF(Source!$C5&gt;=COLUMNS($A5:AM5), Source!$E5, "")</f>
        <v/>
      </c>
      <c r="AN5" s="2" t="str">
        <f>IF(Source!$C5&gt;=COLUMNS($A5:AN5), Source!$E5, "")</f>
        <v/>
      </c>
      <c r="AO5" s="2" t="str">
        <f>IF(Source!$C5&gt;=COLUMNS($A5:AO5), Source!$E5, "")</f>
        <v/>
      </c>
      <c r="AP5" s="2" t="str">
        <f>IF(Source!$C5&gt;=COLUMNS($A5:AP5), Source!$E5, "")</f>
        <v/>
      </c>
      <c r="AQ5" s="2" t="str">
        <f>IF(Source!$C5&gt;=COLUMNS($A5:AQ5), Source!$E5, "")</f>
        <v/>
      </c>
      <c r="AR5" s="2" t="str">
        <f>IF(Source!$C5&gt;=COLUMNS($A5:AR5), Source!$E5, "")</f>
        <v/>
      </c>
    </row>
    <row r="6">
      <c r="A6" s="2">
        <f>IF(Source!$C6&gt;=COLUMNS($A6:A6), Source!$E6, "")</f>
        <v>1</v>
      </c>
      <c r="B6" s="2" t="str">
        <f>IF(Source!$C6&gt;=COLUMNS($A6:B6), Source!$E6, "")</f>
        <v/>
      </c>
      <c r="C6" s="2" t="str">
        <f>IF(Source!$C6&gt;=COLUMNS($A6:C6), Source!$E6, "")</f>
        <v/>
      </c>
      <c r="D6" s="2" t="str">
        <f>IF(Source!$C6&gt;=COLUMNS($A6:D6), Source!$E6, "")</f>
        <v/>
      </c>
      <c r="E6" s="2" t="str">
        <f>IF(Source!$C6&gt;=COLUMNS($A6:E6), Source!$E6, "")</f>
        <v/>
      </c>
      <c r="F6" s="2" t="str">
        <f>IF(Source!$C6&gt;=COLUMNS($A6:F6), Source!$E6, "")</f>
        <v/>
      </c>
      <c r="G6" s="2" t="str">
        <f>IF(Source!$C6&gt;=COLUMNS($A6:G6), Source!$E6, "")</f>
        <v/>
      </c>
      <c r="H6" s="2" t="str">
        <f>IF(Source!$C6&gt;=COLUMNS($A6:H6), Source!$E6, "")</f>
        <v/>
      </c>
      <c r="I6" s="2" t="str">
        <f>IF(Source!$C6&gt;=COLUMNS($A6:I6), Source!$E6, "")</f>
        <v/>
      </c>
      <c r="J6" s="2" t="str">
        <f>IF(Source!$C6&gt;=COLUMNS($A6:J6), Source!$E6, "")</f>
        <v/>
      </c>
      <c r="K6" s="2" t="str">
        <f>IF(Source!$C6&gt;=COLUMNS($A6:K6), Source!$E6, "")</f>
        <v/>
      </c>
      <c r="L6" s="2" t="str">
        <f>IF(Source!$C6&gt;=COLUMNS($A6:L6), Source!$E6, "")</f>
        <v/>
      </c>
      <c r="M6" s="2" t="str">
        <f>IF(Source!$C6&gt;=COLUMNS($A6:M6), Source!$E6, "")</f>
        <v/>
      </c>
      <c r="N6" s="2" t="str">
        <f>IF(Source!$C6&gt;=COLUMNS($A6:N6), Source!$E6, "")</f>
        <v/>
      </c>
      <c r="O6" s="2" t="str">
        <f>IF(Source!$C6&gt;=COLUMNS($A6:O6), Source!$E6, "")</f>
        <v/>
      </c>
      <c r="P6" s="2" t="str">
        <f>IF(Source!$C6&gt;=COLUMNS($A6:P6), Source!$E6, "")</f>
        <v/>
      </c>
      <c r="Q6" s="2" t="str">
        <f>IF(Source!$C6&gt;=COLUMNS($A6:Q6), Source!$E6, "")</f>
        <v/>
      </c>
      <c r="R6" s="2" t="str">
        <f>IF(Source!$C6&gt;=COLUMNS($A6:R6), Source!$E6, "")</f>
        <v/>
      </c>
      <c r="S6" s="2" t="str">
        <f>IF(Source!$C6&gt;=COLUMNS($A6:S6), Source!$E6, "")</f>
        <v/>
      </c>
      <c r="T6" s="2" t="str">
        <f>IF(Source!$C6&gt;=COLUMNS($A6:T6), Source!$E6, "")</f>
        <v/>
      </c>
      <c r="U6" s="2" t="str">
        <f>IF(Source!$C6&gt;=COLUMNS($A6:U6), Source!$E6, "")</f>
        <v/>
      </c>
      <c r="V6" s="2" t="str">
        <f>IF(Source!$C6&gt;=COLUMNS($A6:V6), Source!$E6, "")</f>
        <v/>
      </c>
      <c r="W6" s="2" t="str">
        <f>IF(Source!$C6&gt;=COLUMNS($A6:W6), Source!$E6, "")</f>
        <v/>
      </c>
      <c r="X6" s="2" t="str">
        <f>IF(Source!$C6&gt;=COLUMNS($A6:X6), Source!$E6, "")</f>
        <v/>
      </c>
      <c r="Y6" s="2" t="str">
        <f>IF(Source!$C6&gt;=COLUMNS($A6:Y6), Source!$E6, "")</f>
        <v/>
      </c>
      <c r="Z6" s="2" t="str">
        <f>IF(Source!$C6&gt;=COLUMNS($A6:Z6), Source!$E6, "")</f>
        <v/>
      </c>
      <c r="AA6" s="2" t="str">
        <f>IF(Source!$C6&gt;=COLUMNS($A6:AA6), Source!$E6, "")</f>
        <v/>
      </c>
      <c r="AB6" s="2" t="str">
        <f>IF(Source!$C6&gt;=COLUMNS($A6:AB6), Source!$E6, "")</f>
        <v/>
      </c>
      <c r="AC6" s="2" t="str">
        <f>IF(Source!$C6&gt;=COLUMNS($A6:AC6), Source!$E6, "")</f>
        <v/>
      </c>
      <c r="AD6" s="2" t="str">
        <f>IF(Source!$C6&gt;=COLUMNS($A6:AD6), Source!$E6, "")</f>
        <v/>
      </c>
      <c r="AE6" s="2" t="str">
        <f>IF(Source!$C6&gt;=COLUMNS($A6:AE6), Source!$E6, "")</f>
        <v/>
      </c>
      <c r="AF6" s="2" t="str">
        <f>IF(Source!$C6&gt;=COLUMNS($A6:AF6), Source!$E6, "")</f>
        <v/>
      </c>
      <c r="AG6" s="2" t="str">
        <f>IF(Source!$C6&gt;=COLUMNS($A6:AG6), Source!$E6, "")</f>
        <v/>
      </c>
      <c r="AH6" s="2" t="str">
        <f>IF(Source!$C6&gt;=COLUMNS($A6:AH6), Source!$E6, "")</f>
        <v/>
      </c>
      <c r="AI6" s="2" t="str">
        <f>IF(Source!$C6&gt;=COLUMNS($A6:AI6), Source!$E6, "")</f>
        <v/>
      </c>
      <c r="AJ6" s="2" t="str">
        <f>IF(Source!$C6&gt;=COLUMNS($A6:AJ6), Source!$E6, "")</f>
        <v/>
      </c>
      <c r="AK6" s="2" t="str">
        <f>IF(Source!$C6&gt;=COLUMNS($A6:AK6), Source!$E6, "")</f>
        <v/>
      </c>
      <c r="AL6" s="2" t="str">
        <f>IF(Source!$C6&gt;=COLUMNS($A6:AL6), Source!$E6, "")</f>
        <v/>
      </c>
      <c r="AM6" s="2" t="str">
        <f>IF(Source!$C6&gt;=COLUMNS($A6:AM6), Source!$E6, "")</f>
        <v/>
      </c>
      <c r="AN6" s="2" t="str">
        <f>IF(Source!$C6&gt;=COLUMNS($A6:AN6), Source!$E6, "")</f>
        <v/>
      </c>
      <c r="AO6" s="2" t="str">
        <f>IF(Source!$C6&gt;=COLUMNS($A6:AO6), Source!$E6, "")</f>
        <v/>
      </c>
      <c r="AP6" s="2" t="str">
        <f>IF(Source!$C6&gt;=COLUMNS($A6:AP6), Source!$E6, "")</f>
        <v/>
      </c>
      <c r="AQ6" s="2" t="str">
        <f>IF(Source!$C6&gt;=COLUMNS($A6:AQ6), Source!$E6, "")</f>
        <v/>
      </c>
      <c r="AR6" s="2" t="str">
        <f>IF(Source!$C6&gt;=COLUMNS($A6:AR6), Source!$E6, "")</f>
        <v/>
      </c>
    </row>
    <row r="7">
      <c r="A7" s="2">
        <f>IF(Source!$C7&gt;=COLUMNS($A7:A7), Source!$E7, "")</f>
        <v>1</v>
      </c>
      <c r="B7" s="2" t="str">
        <f>IF(Source!$C7&gt;=COLUMNS($A7:B7), Source!$E7, "")</f>
        <v/>
      </c>
      <c r="C7" s="2" t="str">
        <f>IF(Source!$C7&gt;=COLUMNS($A7:C7), Source!$E7, "")</f>
        <v/>
      </c>
      <c r="D7" s="2" t="str">
        <f>IF(Source!$C7&gt;=COLUMNS($A7:D7), Source!$E7, "")</f>
        <v/>
      </c>
      <c r="E7" s="2" t="str">
        <f>IF(Source!$C7&gt;=COLUMNS($A7:E7), Source!$E7, "")</f>
        <v/>
      </c>
      <c r="F7" s="2" t="str">
        <f>IF(Source!$C7&gt;=COLUMNS($A7:F7), Source!$E7, "")</f>
        <v/>
      </c>
      <c r="G7" s="2" t="str">
        <f>IF(Source!$C7&gt;=COLUMNS($A7:G7), Source!$E7, "")</f>
        <v/>
      </c>
      <c r="H7" s="2" t="str">
        <f>IF(Source!$C7&gt;=COLUMNS($A7:H7), Source!$E7, "")</f>
        <v/>
      </c>
      <c r="I7" s="2" t="str">
        <f>IF(Source!$C7&gt;=COLUMNS($A7:I7), Source!$E7, "")</f>
        <v/>
      </c>
      <c r="J7" s="2" t="str">
        <f>IF(Source!$C7&gt;=COLUMNS($A7:J7), Source!$E7, "")</f>
        <v/>
      </c>
      <c r="K7" s="2" t="str">
        <f>IF(Source!$C7&gt;=COLUMNS($A7:K7), Source!$E7, "")</f>
        <v/>
      </c>
      <c r="L7" s="2" t="str">
        <f>IF(Source!$C7&gt;=COLUMNS($A7:L7), Source!$E7, "")</f>
        <v/>
      </c>
      <c r="M7" s="2" t="str">
        <f>IF(Source!$C7&gt;=COLUMNS($A7:M7), Source!$E7, "")</f>
        <v/>
      </c>
      <c r="N7" s="2" t="str">
        <f>IF(Source!$C7&gt;=COLUMNS($A7:N7), Source!$E7, "")</f>
        <v/>
      </c>
      <c r="O7" s="2" t="str">
        <f>IF(Source!$C7&gt;=COLUMNS($A7:O7), Source!$E7, "")</f>
        <v/>
      </c>
      <c r="P7" s="2" t="str">
        <f>IF(Source!$C7&gt;=COLUMNS($A7:P7), Source!$E7, "")</f>
        <v/>
      </c>
      <c r="Q7" s="2" t="str">
        <f>IF(Source!$C7&gt;=COLUMNS($A7:Q7), Source!$E7, "")</f>
        <v/>
      </c>
      <c r="R7" s="2" t="str">
        <f>IF(Source!$C7&gt;=COLUMNS($A7:R7), Source!$E7, "")</f>
        <v/>
      </c>
      <c r="S7" s="2" t="str">
        <f>IF(Source!$C7&gt;=COLUMNS($A7:S7), Source!$E7, "")</f>
        <v/>
      </c>
      <c r="T7" s="2" t="str">
        <f>IF(Source!$C7&gt;=COLUMNS($A7:T7), Source!$E7, "")</f>
        <v/>
      </c>
      <c r="U7" s="2" t="str">
        <f>IF(Source!$C7&gt;=COLUMNS($A7:U7), Source!$E7, "")</f>
        <v/>
      </c>
      <c r="V7" s="2" t="str">
        <f>IF(Source!$C7&gt;=COLUMNS($A7:V7), Source!$E7, "")</f>
        <v/>
      </c>
      <c r="W7" s="2" t="str">
        <f>IF(Source!$C7&gt;=COLUMNS($A7:W7), Source!$E7, "")</f>
        <v/>
      </c>
      <c r="X7" s="2" t="str">
        <f>IF(Source!$C7&gt;=COLUMNS($A7:X7), Source!$E7, "")</f>
        <v/>
      </c>
      <c r="Y7" s="2" t="str">
        <f>IF(Source!$C7&gt;=COLUMNS($A7:Y7), Source!$E7, "")</f>
        <v/>
      </c>
      <c r="Z7" s="2" t="str">
        <f>IF(Source!$C7&gt;=COLUMNS($A7:Z7), Source!$E7, "")</f>
        <v/>
      </c>
      <c r="AA7" s="2" t="str">
        <f>IF(Source!$C7&gt;=COLUMNS($A7:AA7), Source!$E7, "")</f>
        <v/>
      </c>
      <c r="AB7" s="2" t="str">
        <f>IF(Source!$C7&gt;=COLUMNS($A7:AB7), Source!$E7, "")</f>
        <v/>
      </c>
      <c r="AC7" s="2" t="str">
        <f>IF(Source!$C7&gt;=COLUMNS($A7:AC7), Source!$E7, "")</f>
        <v/>
      </c>
      <c r="AD7" s="2" t="str">
        <f>IF(Source!$C7&gt;=COLUMNS($A7:AD7), Source!$E7, "")</f>
        <v/>
      </c>
      <c r="AE7" s="2" t="str">
        <f>IF(Source!$C7&gt;=COLUMNS($A7:AE7), Source!$E7, "")</f>
        <v/>
      </c>
      <c r="AF7" s="2" t="str">
        <f>IF(Source!$C7&gt;=COLUMNS($A7:AF7), Source!$E7, "")</f>
        <v/>
      </c>
      <c r="AG7" s="2" t="str">
        <f>IF(Source!$C7&gt;=COLUMNS($A7:AG7), Source!$E7, "")</f>
        <v/>
      </c>
      <c r="AH7" s="2" t="str">
        <f>IF(Source!$C7&gt;=COLUMNS($A7:AH7), Source!$E7, "")</f>
        <v/>
      </c>
      <c r="AI7" s="2" t="str">
        <f>IF(Source!$C7&gt;=COLUMNS($A7:AI7), Source!$E7, "")</f>
        <v/>
      </c>
      <c r="AJ7" s="2" t="str">
        <f>IF(Source!$C7&gt;=COLUMNS($A7:AJ7), Source!$E7, "")</f>
        <v/>
      </c>
      <c r="AK7" s="2" t="str">
        <f>IF(Source!$C7&gt;=COLUMNS($A7:AK7), Source!$E7, "")</f>
        <v/>
      </c>
      <c r="AL7" s="2" t="str">
        <f>IF(Source!$C7&gt;=COLUMNS($A7:AL7), Source!$E7, "")</f>
        <v/>
      </c>
      <c r="AM7" s="2" t="str">
        <f>IF(Source!$C7&gt;=COLUMNS($A7:AM7), Source!$E7, "")</f>
        <v/>
      </c>
      <c r="AN7" s="2" t="str">
        <f>IF(Source!$C7&gt;=COLUMNS($A7:AN7), Source!$E7, "")</f>
        <v/>
      </c>
      <c r="AO7" s="2" t="str">
        <f>IF(Source!$C7&gt;=COLUMNS($A7:AO7), Source!$E7, "")</f>
        <v/>
      </c>
      <c r="AP7" s="2" t="str">
        <f>IF(Source!$C7&gt;=COLUMNS($A7:AP7), Source!$E7, "")</f>
        <v/>
      </c>
      <c r="AQ7" s="2" t="str">
        <f>IF(Source!$C7&gt;=COLUMNS($A7:AQ7), Source!$E7, "")</f>
        <v/>
      </c>
      <c r="AR7" s="2" t="str">
        <f>IF(Source!$C7&gt;=COLUMNS($A7:AR7), Source!$E7, "")</f>
        <v/>
      </c>
    </row>
    <row r="8">
      <c r="A8" s="2">
        <f>IF(Source!$C8&gt;=COLUMNS($A8:A8), Source!$E8, "")</f>
        <v>6</v>
      </c>
      <c r="B8" s="2">
        <f>IF(Source!$C8&gt;=COLUMNS($A8:B8), Source!$E8, "")</f>
        <v>6</v>
      </c>
      <c r="C8" s="2">
        <f>IF(Source!$C8&gt;=COLUMNS($A8:C8), Source!$E8, "")</f>
        <v>6</v>
      </c>
      <c r="D8" s="2" t="str">
        <f>IF(Source!$C8&gt;=COLUMNS($A8:D8), Source!$E8, "")</f>
        <v/>
      </c>
      <c r="E8" s="2" t="str">
        <f>IF(Source!$C8&gt;=COLUMNS($A8:E8), Source!$E8, "")</f>
        <v/>
      </c>
      <c r="F8" s="2" t="str">
        <f>IF(Source!$C8&gt;=COLUMNS($A8:F8), Source!$E8, "")</f>
        <v/>
      </c>
      <c r="G8" s="2" t="str">
        <f>IF(Source!$C8&gt;=COLUMNS($A8:G8), Source!$E8, "")</f>
        <v/>
      </c>
      <c r="H8" s="2" t="str">
        <f>IF(Source!$C8&gt;=COLUMNS($A8:H8), Source!$E8, "")</f>
        <v/>
      </c>
      <c r="I8" s="2" t="str">
        <f>IF(Source!$C8&gt;=COLUMNS($A8:I8), Source!$E8, "")</f>
        <v/>
      </c>
      <c r="J8" s="2" t="str">
        <f>IF(Source!$C8&gt;=COLUMNS($A8:J8), Source!$E8, "")</f>
        <v/>
      </c>
      <c r="K8" s="2" t="str">
        <f>IF(Source!$C8&gt;=COLUMNS($A8:K8), Source!$E8, "")</f>
        <v/>
      </c>
      <c r="L8" s="2" t="str">
        <f>IF(Source!$C8&gt;=COLUMNS($A8:L8), Source!$E8, "")</f>
        <v/>
      </c>
      <c r="M8" s="2" t="str">
        <f>IF(Source!$C8&gt;=COLUMNS($A8:M8), Source!$E8, "")</f>
        <v/>
      </c>
      <c r="N8" s="2" t="str">
        <f>IF(Source!$C8&gt;=COLUMNS($A8:N8), Source!$E8, "")</f>
        <v/>
      </c>
      <c r="O8" s="2" t="str">
        <f>IF(Source!$C8&gt;=COLUMNS($A8:O8), Source!$E8, "")</f>
        <v/>
      </c>
      <c r="P8" s="2" t="str">
        <f>IF(Source!$C8&gt;=COLUMNS($A8:P8), Source!$E8, "")</f>
        <v/>
      </c>
      <c r="Q8" s="2" t="str">
        <f>IF(Source!$C8&gt;=COLUMNS($A8:Q8), Source!$E8, "")</f>
        <v/>
      </c>
      <c r="R8" s="2" t="str">
        <f>IF(Source!$C8&gt;=COLUMNS($A8:R8), Source!$E8, "")</f>
        <v/>
      </c>
      <c r="S8" s="2" t="str">
        <f>IF(Source!$C8&gt;=COLUMNS($A8:S8), Source!$E8, "")</f>
        <v/>
      </c>
      <c r="T8" s="2" t="str">
        <f>IF(Source!$C8&gt;=COLUMNS($A8:T8), Source!$E8, "")</f>
        <v/>
      </c>
      <c r="U8" s="2" t="str">
        <f>IF(Source!$C8&gt;=COLUMNS($A8:U8), Source!$E8, "")</f>
        <v/>
      </c>
      <c r="V8" s="2" t="str">
        <f>IF(Source!$C8&gt;=COLUMNS($A8:V8), Source!$E8, "")</f>
        <v/>
      </c>
      <c r="W8" s="2" t="str">
        <f>IF(Source!$C8&gt;=COLUMNS($A8:W8), Source!$E8, "")</f>
        <v/>
      </c>
      <c r="X8" s="2" t="str">
        <f>IF(Source!$C8&gt;=COLUMNS($A8:X8), Source!$E8, "")</f>
        <v/>
      </c>
      <c r="Y8" s="2" t="str">
        <f>IF(Source!$C8&gt;=COLUMNS($A8:Y8), Source!$E8, "")</f>
        <v/>
      </c>
      <c r="Z8" s="2" t="str">
        <f>IF(Source!$C8&gt;=COLUMNS($A8:Z8), Source!$E8, "")</f>
        <v/>
      </c>
      <c r="AA8" s="2" t="str">
        <f>IF(Source!$C8&gt;=COLUMNS($A8:AA8), Source!$E8, "")</f>
        <v/>
      </c>
      <c r="AB8" s="2" t="str">
        <f>IF(Source!$C8&gt;=COLUMNS($A8:AB8), Source!$E8, "")</f>
        <v/>
      </c>
      <c r="AC8" s="2" t="str">
        <f>IF(Source!$C8&gt;=COLUMNS($A8:AC8), Source!$E8, "")</f>
        <v/>
      </c>
      <c r="AD8" s="2" t="str">
        <f>IF(Source!$C8&gt;=COLUMNS($A8:AD8), Source!$E8, "")</f>
        <v/>
      </c>
      <c r="AE8" s="2" t="str">
        <f>IF(Source!$C8&gt;=COLUMNS($A8:AE8), Source!$E8, "")</f>
        <v/>
      </c>
      <c r="AF8" s="2" t="str">
        <f>IF(Source!$C8&gt;=COLUMNS($A8:AF8), Source!$E8, "")</f>
        <v/>
      </c>
      <c r="AG8" s="2" t="str">
        <f>IF(Source!$C8&gt;=COLUMNS($A8:AG8), Source!$E8, "")</f>
        <v/>
      </c>
      <c r="AH8" s="2" t="str">
        <f>IF(Source!$C8&gt;=COLUMNS($A8:AH8), Source!$E8, "")</f>
        <v/>
      </c>
      <c r="AI8" s="2" t="str">
        <f>IF(Source!$C8&gt;=COLUMNS($A8:AI8), Source!$E8, "")</f>
        <v/>
      </c>
      <c r="AJ8" s="2" t="str">
        <f>IF(Source!$C8&gt;=COLUMNS($A8:AJ8), Source!$E8, "")</f>
        <v/>
      </c>
      <c r="AK8" s="2" t="str">
        <f>IF(Source!$C8&gt;=COLUMNS($A8:AK8), Source!$E8, "")</f>
        <v/>
      </c>
      <c r="AL8" s="2" t="str">
        <f>IF(Source!$C8&gt;=COLUMNS($A8:AL8), Source!$E8, "")</f>
        <v/>
      </c>
      <c r="AM8" s="2" t="str">
        <f>IF(Source!$C8&gt;=COLUMNS($A8:AM8), Source!$E8, "")</f>
        <v/>
      </c>
      <c r="AN8" s="2" t="str">
        <f>IF(Source!$C8&gt;=COLUMNS($A8:AN8), Source!$E8, "")</f>
        <v/>
      </c>
      <c r="AO8" s="2" t="str">
        <f>IF(Source!$C8&gt;=COLUMNS($A8:AO8), Source!$E8, "")</f>
        <v/>
      </c>
      <c r="AP8" s="2" t="str">
        <f>IF(Source!$C8&gt;=COLUMNS($A8:AP8), Source!$E8, "")</f>
        <v/>
      </c>
      <c r="AQ8" s="2" t="str">
        <f>IF(Source!$C8&gt;=COLUMNS($A8:AQ8), Source!$E8, "")</f>
        <v/>
      </c>
      <c r="AR8" s="2" t="str">
        <f>IF(Source!$C8&gt;=COLUMNS($A8:AR8), Source!$E8, "")</f>
        <v/>
      </c>
    </row>
    <row r="9">
      <c r="A9" s="2">
        <f>IF(Source!$C9&gt;=COLUMNS($A9:A9), Source!$E9, "")</f>
        <v>7</v>
      </c>
      <c r="B9" s="2">
        <f>IF(Source!$C9&gt;=COLUMNS($A9:B9), Source!$E9, "")</f>
        <v>7</v>
      </c>
      <c r="C9" s="2" t="str">
        <f>IF(Source!$C9&gt;=COLUMNS($A9:C9), Source!$E9, "")</f>
        <v/>
      </c>
      <c r="D9" s="2" t="str">
        <f>IF(Source!$C9&gt;=COLUMNS($A9:D9), Source!$E9, "")</f>
        <v/>
      </c>
      <c r="E9" s="2" t="str">
        <f>IF(Source!$C9&gt;=COLUMNS($A9:E9), Source!$E9, "")</f>
        <v/>
      </c>
      <c r="F9" s="2" t="str">
        <f>IF(Source!$C9&gt;=COLUMNS($A9:F9), Source!$E9, "")</f>
        <v/>
      </c>
      <c r="G9" s="2" t="str">
        <f>IF(Source!$C9&gt;=COLUMNS($A9:G9), Source!$E9, "")</f>
        <v/>
      </c>
      <c r="H9" s="2" t="str">
        <f>IF(Source!$C9&gt;=COLUMNS($A9:H9), Source!$E9, "")</f>
        <v/>
      </c>
      <c r="I9" s="2" t="str">
        <f>IF(Source!$C9&gt;=COLUMNS($A9:I9), Source!$E9, "")</f>
        <v/>
      </c>
      <c r="J9" s="2" t="str">
        <f>IF(Source!$C9&gt;=COLUMNS($A9:J9), Source!$E9, "")</f>
        <v/>
      </c>
      <c r="K9" s="2" t="str">
        <f>IF(Source!$C9&gt;=COLUMNS($A9:K9), Source!$E9, "")</f>
        <v/>
      </c>
      <c r="L9" s="2" t="str">
        <f>IF(Source!$C9&gt;=COLUMNS($A9:L9), Source!$E9, "")</f>
        <v/>
      </c>
      <c r="M9" s="2" t="str">
        <f>IF(Source!$C9&gt;=COLUMNS($A9:M9), Source!$E9, "")</f>
        <v/>
      </c>
      <c r="N9" s="2" t="str">
        <f>IF(Source!$C9&gt;=COLUMNS($A9:N9), Source!$E9, "")</f>
        <v/>
      </c>
      <c r="O9" s="2" t="str">
        <f>IF(Source!$C9&gt;=COLUMNS($A9:O9), Source!$E9, "")</f>
        <v/>
      </c>
      <c r="P9" s="2" t="str">
        <f>IF(Source!$C9&gt;=COLUMNS($A9:P9), Source!$E9, "")</f>
        <v/>
      </c>
      <c r="Q9" s="2" t="str">
        <f>IF(Source!$C9&gt;=COLUMNS($A9:Q9), Source!$E9, "")</f>
        <v/>
      </c>
      <c r="R9" s="2" t="str">
        <f>IF(Source!$C9&gt;=COLUMNS($A9:R9), Source!$E9, "")</f>
        <v/>
      </c>
      <c r="S9" s="2" t="str">
        <f>IF(Source!$C9&gt;=COLUMNS($A9:S9), Source!$E9, "")</f>
        <v/>
      </c>
      <c r="T9" s="2" t="str">
        <f>IF(Source!$C9&gt;=COLUMNS($A9:T9), Source!$E9, "")</f>
        <v/>
      </c>
      <c r="U9" s="2" t="str">
        <f>IF(Source!$C9&gt;=COLUMNS($A9:U9), Source!$E9, "")</f>
        <v/>
      </c>
      <c r="V9" s="2" t="str">
        <f>IF(Source!$C9&gt;=COLUMNS($A9:V9), Source!$E9, "")</f>
        <v/>
      </c>
      <c r="W9" s="2" t="str">
        <f>IF(Source!$C9&gt;=COLUMNS($A9:W9), Source!$E9, "")</f>
        <v/>
      </c>
      <c r="X9" s="2" t="str">
        <f>IF(Source!$C9&gt;=COLUMNS($A9:X9), Source!$E9, "")</f>
        <v/>
      </c>
      <c r="Y9" s="2" t="str">
        <f>IF(Source!$C9&gt;=COLUMNS($A9:Y9), Source!$E9, "")</f>
        <v/>
      </c>
      <c r="Z9" s="2" t="str">
        <f>IF(Source!$C9&gt;=COLUMNS($A9:Z9), Source!$E9, "")</f>
        <v/>
      </c>
      <c r="AA9" s="2" t="str">
        <f>IF(Source!$C9&gt;=COLUMNS($A9:AA9), Source!$E9, "")</f>
        <v/>
      </c>
      <c r="AB9" s="2" t="str">
        <f>IF(Source!$C9&gt;=COLUMNS($A9:AB9), Source!$E9, "")</f>
        <v/>
      </c>
      <c r="AC9" s="2" t="str">
        <f>IF(Source!$C9&gt;=COLUMNS($A9:AC9), Source!$E9, "")</f>
        <v/>
      </c>
      <c r="AD9" s="2" t="str">
        <f>IF(Source!$C9&gt;=COLUMNS($A9:AD9), Source!$E9, "")</f>
        <v/>
      </c>
      <c r="AE9" s="2" t="str">
        <f>IF(Source!$C9&gt;=COLUMNS($A9:AE9), Source!$E9, "")</f>
        <v/>
      </c>
      <c r="AF9" s="2" t="str">
        <f>IF(Source!$C9&gt;=COLUMNS($A9:AF9), Source!$E9, "")</f>
        <v/>
      </c>
      <c r="AG9" s="2" t="str">
        <f>IF(Source!$C9&gt;=COLUMNS($A9:AG9), Source!$E9, "")</f>
        <v/>
      </c>
      <c r="AH9" s="2" t="str">
        <f>IF(Source!$C9&gt;=COLUMNS($A9:AH9), Source!$E9, "")</f>
        <v/>
      </c>
      <c r="AI9" s="2" t="str">
        <f>IF(Source!$C9&gt;=COLUMNS($A9:AI9), Source!$E9, "")</f>
        <v/>
      </c>
      <c r="AJ9" s="2" t="str">
        <f>IF(Source!$C9&gt;=COLUMNS($A9:AJ9), Source!$E9, "")</f>
        <v/>
      </c>
      <c r="AK9" s="2" t="str">
        <f>IF(Source!$C9&gt;=COLUMNS($A9:AK9), Source!$E9, "")</f>
        <v/>
      </c>
      <c r="AL9" s="2" t="str">
        <f>IF(Source!$C9&gt;=COLUMNS($A9:AL9), Source!$E9, "")</f>
        <v/>
      </c>
      <c r="AM9" s="2" t="str">
        <f>IF(Source!$C9&gt;=COLUMNS($A9:AM9), Source!$E9, "")</f>
        <v/>
      </c>
      <c r="AN9" s="2" t="str">
        <f>IF(Source!$C9&gt;=COLUMNS($A9:AN9), Source!$E9, "")</f>
        <v/>
      </c>
      <c r="AO9" s="2" t="str">
        <f>IF(Source!$C9&gt;=COLUMNS($A9:AO9), Source!$E9, "")</f>
        <v/>
      </c>
      <c r="AP9" s="2" t="str">
        <f>IF(Source!$C9&gt;=COLUMNS($A9:AP9), Source!$E9, "")</f>
        <v/>
      </c>
      <c r="AQ9" s="2" t="str">
        <f>IF(Source!$C9&gt;=COLUMNS($A9:AQ9), Source!$E9, "")</f>
        <v/>
      </c>
      <c r="AR9" s="2" t="str">
        <f>IF(Source!$C9&gt;=COLUMNS($A9:AR9), Source!$E9, "")</f>
        <v/>
      </c>
    </row>
    <row r="10">
      <c r="A10" s="2">
        <f>IF(Source!$C10&gt;=COLUMNS($A10:A10), Source!$E10, "")</f>
        <v>5</v>
      </c>
      <c r="B10" s="2" t="str">
        <f>IF(Source!$C10&gt;=COLUMNS($A10:B10), Source!$E10, "")</f>
        <v/>
      </c>
      <c r="C10" s="2" t="str">
        <f>IF(Source!$C10&gt;=COLUMNS($A10:C10), Source!$E10, "")</f>
        <v/>
      </c>
      <c r="D10" s="2" t="str">
        <f>IF(Source!$C10&gt;=COLUMNS($A10:D10), Source!$E10, "")</f>
        <v/>
      </c>
      <c r="E10" s="2" t="str">
        <f>IF(Source!$C10&gt;=COLUMNS($A10:E10), Source!$E10, "")</f>
        <v/>
      </c>
      <c r="F10" s="2" t="str">
        <f>IF(Source!$C10&gt;=COLUMNS($A10:F10), Source!$E10, "")</f>
        <v/>
      </c>
      <c r="G10" s="2" t="str">
        <f>IF(Source!$C10&gt;=COLUMNS($A10:G10), Source!$E10, "")</f>
        <v/>
      </c>
      <c r="H10" s="2" t="str">
        <f>IF(Source!$C10&gt;=COLUMNS($A10:H10), Source!$E10, "")</f>
        <v/>
      </c>
      <c r="I10" s="2" t="str">
        <f>IF(Source!$C10&gt;=COLUMNS($A10:I10), Source!$E10, "")</f>
        <v/>
      </c>
      <c r="J10" s="2" t="str">
        <f>IF(Source!$C10&gt;=COLUMNS($A10:J10), Source!$E10, "")</f>
        <v/>
      </c>
      <c r="K10" s="2" t="str">
        <f>IF(Source!$C10&gt;=COLUMNS($A10:K10), Source!$E10, "")</f>
        <v/>
      </c>
      <c r="L10" s="2" t="str">
        <f>IF(Source!$C10&gt;=COLUMNS($A10:L10), Source!$E10, "")</f>
        <v/>
      </c>
      <c r="M10" s="2" t="str">
        <f>IF(Source!$C10&gt;=COLUMNS($A10:M10), Source!$E10, "")</f>
        <v/>
      </c>
      <c r="N10" s="2" t="str">
        <f>IF(Source!$C10&gt;=COLUMNS($A10:N10), Source!$E10, "")</f>
        <v/>
      </c>
      <c r="O10" s="2" t="str">
        <f>IF(Source!$C10&gt;=COLUMNS($A10:O10), Source!$E10, "")</f>
        <v/>
      </c>
      <c r="P10" s="2" t="str">
        <f>IF(Source!$C10&gt;=COLUMNS($A10:P10), Source!$E10, "")</f>
        <v/>
      </c>
      <c r="Q10" s="2" t="str">
        <f>IF(Source!$C10&gt;=COLUMNS($A10:Q10), Source!$E10, "")</f>
        <v/>
      </c>
      <c r="R10" s="2" t="str">
        <f>IF(Source!$C10&gt;=COLUMNS($A10:R10), Source!$E10, "")</f>
        <v/>
      </c>
      <c r="S10" s="2" t="str">
        <f>IF(Source!$C10&gt;=COLUMNS($A10:S10), Source!$E10, "")</f>
        <v/>
      </c>
      <c r="T10" s="2" t="str">
        <f>IF(Source!$C10&gt;=COLUMNS($A10:T10), Source!$E10, "")</f>
        <v/>
      </c>
      <c r="U10" s="2" t="str">
        <f>IF(Source!$C10&gt;=COLUMNS($A10:U10), Source!$E10, "")</f>
        <v/>
      </c>
      <c r="V10" s="2" t="str">
        <f>IF(Source!$C10&gt;=COLUMNS($A10:V10), Source!$E10, "")</f>
        <v/>
      </c>
      <c r="W10" s="2" t="str">
        <f>IF(Source!$C10&gt;=COLUMNS($A10:W10), Source!$E10, "")</f>
        <v/>
      </c>
      <c r="X10" s="2" t="str">
        <f>IF(Source!$C10&gt;=COLUMNS($A10:X10), Source!$E10, "")</f>
        <v/>
      </c>
      <c r="Y10" s="2" t="str">
        <f>IF(Source!$C10&gt;=COLUMNS($A10:Y10), Source!$E10, "")</f>
        <v/>
      </c>
      <c r="Z10" s="2" t="str">
        <f>IF(Source!$C10&gt;=COLUMNS($A10:Z10), Source!$E10, "")</f>
        <v/>
      </c>
      <c r="AA10" s="2" t="str">
        <f>IF(Source!$C10&gt;=COLUMNS($A10:AA10), Source!$E10, "")</f>
        <v/>
      </c>
      <c r="AB10" s="2" t="str">
        <f>IF(Source!$C10&gt;=COLUMNS($A10:AB10), Source!$E10, "")</f>
        <v/>
      </c>
      <c r="AC10" s="2" t="str">
        <f>IF(Source!$C10&gt;=COLUMNS($A10:AC10), Source!$E10, "")</f>
        <v/>
      </c>
      <c r="AD10" s="2" t="str">
        <f>IF(Source!$C10&gt;=COLUMNS($A10:AD10), Source!$E10, "")</f>
        <v/>
      </c>
      <c r="AE10" s="2" t="str">
        <f>IF(Source!$C10&gt;=COLUMNS($A10:AE10), Source!$E10, "")</f>
        <v/>
      </c>
      <c r="AF10" s="2" t="str">
        <f>IF(Source!$C10&gt;=COLUMNS($A10:AF10), Source!$E10, "")</f>
        <v/>
      </c>
      <c r="AG10" s="2" t="str">
        <f>IF(Source!$C10&gt;=COLUMNS($A10:AG10), Source!$E10, "")</f>
        <v/>
      </c>
      <c r="AH10" s="2" t="str">
        <f>IF(Source!$C10&gt;=COLUMNS($A10:AH10), Source!$E10, "")</f>
        <v/>
      </c>
      <c r="AI10" s="2" t="str">
        <f>IF(Source!$C10&gt;=COLUMNS($A10:AI10), Source!$E10, "")</f>
        <v/>
      </c>
      <c r="AJ10" s="2" t="str">
        <f>IF(Source!$C10&gt;=COLUMNS($A10:AJ10), Source!$E10, "")</f>
        <v/>
      </c>
      <c r="AK10" s="2" t="str">
        <f>IF(Source!$C10&gt;=COLUMNS($A10:AK10), Source!$E10, "")</f>
        <v/>
      </c>
      <c r="AL10" s="2" t="str">
        <f>IF(Source!$C10&gt;=COLUMNS($A10:AL10), Source!$E10, "")</f>
        <v/>
      </c>
      <c r="AM10" s="2" t="str">
        <f>IF(Source!$C10&gt;=COLUMNS($A10:AM10), Source!$E10, "")</f>
        <v/>
      </c>
      <c r="AN10" s="2" t="str">
        <f>IF(Source!$C10&gt;=COLUMNS($A10:AN10), Source!$E10, "")</f>
        <v/>
      </c>
      <c r="AO10" s="2" t="str">
        <f>IF(Source!$C10&gt;=COLUMNS($A10:AO10), Source!$E10, "")</f>
        <v/>
      </c>
      <c r="AP10" s="2" t="str">
        <f>IF(Source!$C10&gt;=COLUMNS($A10:AP10), Source!$E10, "")</f>
        <v/>
      </c>
      <c r="AQ10" s="2" t="str">
        <f>IF(Source!$C10&gt;=COLUMNS($A10:AQ10), Source!$E10, "")</f>
        <v/>
      </c>
      <c r="AR10" s="2" t="str">
        <f>IF(Source!$C10&gt;=COLUMNS($A10:AR10), Source!$E10, "")</f>
        <v/>
      </c>
    </row>
    <row r="11">
      <c r="A11" s="2">
        <f>IF(Source!$C11&gt;=COLUMNS($A11:A11), Source!$E11, "")</f>
        <v>7</v>
      </c>
      <c r="B11" s="2" t="str">
        <f>IF(Source!$C11&gt;=COLUMNS($A11:B11), Source!$E11, "")</f>
        <v/>
      </c>
      <c r="C11" s="2" t="str">
        <f>IF(Source!$C11&gt;=COLUMNS($A11:C11), Source!$E11, "")</f>
        <v/>
      </c>
      <c r="D11" s="2" t="str">
        <f>IF(Source!$C11&gt;=COLUMNS($A11:D11), Source!$E11, "")</f>
        <v/>
      </c>
      <c r="E11" s="2" t="str">
        <f>IF(Source!$C11&gt;=COLUMNS($A11:E11), Source!$E11, "")</f>
        <v/>
      </c>
      <c r="F11" s="2" t="str">
        <f>IF(Source!$C11&gt;=COLUMNS($A11:F11), Source!$E11, "")</f>
        <v/>
      </c>
      <c r="G11" s="2" t="str">
        <f>IF(Source!$C11&gt;=COLUMNS($A11:G11), Source!$E11, "")</f>
        <v/>
      </c>
      <c r="H11" s="2" t="str">
        <f>IF(Source!$C11&gt;=COLUMNS($A11:H11), Source!$E11, "")</f>
        <v/>
      </c>
      <c r="I11" s="2" t="str">
        <f>IF(Source!$C11&gt;=COLUMNS($A11:I11), Source!$E11, "")</f>
        <v/>
      </c>
      <c r="J11" s="2" t="str">
        <f>IF(Source!$C11&gt;=COLUMNS($A11:J11), Source!$E11, "")</f>
        <v/>
      </c>
      <c r="K11" s="2" t="str">
        <f>IF(Source!$C11&gt;=COLUMNS($A11:K11), Source!$E11, "")</f>
        <v/>
      </c>
      <c r="L11" s="2" t="str">
        <f>IF(Source!$C11&gt;=COLUMNS($A11:L11), Source!$E11, "")</f>
        <v/>
      </c>
      <c r="M11" s="2" t="str">
        <f>IF(Source!$C11&gt;=COLUMNS($A11:M11), Source!$E11, "")</f>
        <v/>
      </c>
      <c r="N11" s="2" t="str">
        <f>IF(Source!$C11&gt;=COLUMNS($A11:N11), Source!$E11, "")</f>
        <v/>
      </c>
      <c r="O11" s="2" t="str">
        <f>IF(Source!$C11&gt;=COLUMNS($A11:O11), Source!$E11, "")</f>
        <v/>
      </c>
      <c r="P11" s="2" t="str">
        <f>IF(Source!$C11&gt;=COLUMNS($A11:P11), Source!$E11, "")</f>
        <v/>
      </c>
      <c r="Q11" s="2" t="str">
        <f>IF(Source!$C11&gt;=COLUMNS($A11:Q11), Source!$E11, "")</f>
        <v/>
      </c>
      <c r="R11" s="2" t="str">
        <f>IF(Source!$C11&gt;=COLUMNS($A11:R11), Source!$E11, "")</f>
        <v/>
      </c>
      <c r="S11" s="2" t="str">
        <f>IF(Source!$C11&gt;=COLUMNS($A11:S11), Source!$E11, "")</f>
        <v/>
      </c>
      <c r="T11" s="2" t="str">
        <f>IF(Source!$C11&gt;=COLUMNS($A11:T11), Source!$E11, "")</f>
        <v/>
      </c>
      <c r="U11" s="2" t="str">
        <f>IF(Source!$C11&gt;=COLUMNS($A11:U11), Source!$E11, "")</f>
        <v/>
      </c>
      <c r="V11" s="2" t="str">
        <f>IF(Source!$C11&gt;=COLUMNS($A11:V11), Source!$E11, "")</f>
        <v/>
      </c>
      <c r="W11" s="2" t="str">
        <f>IF(Source!$C11&gt;=COLUMNS($A11:W11), Source!$E11, "")</f>
        <v/>
      </c>
      <c r="X11" s="2" t="str">
        <f>IF(Source!$C11&gt;=COLUMNS($A11:X11), Source!$E11, "")</f>
        <v/>
      </c>
      <c r="Y11" s="2" t="str">
        <f>IF(Source!$C11&gt;=COLUMNS($A11:Y11), Source!$E11, "")</f>
        <v/>
      </c>
      <c r="Z11" s="2" t="str">
        <f>IF(Source!$C11&gt;=COLUMNS($A11:Z11), Source!$E11, "")</f>
        <v/>
      </c>
      <c r="AA11" s="2" t="str">
        <f>IF(Source!$C11&gt;=COLUMNS($A11:AA11), Source!$E11, "")</f>
        <v/>
      </c>
      <c r="AB11" s="2" t="str">
        <f>IF(Source!$C11&gt;=COLUMNS($A11:AB11), Source!$E11, "")</f>
        <v/>
      </c>
      <c r="AC11" s="2" t="str">
        <f>IF(Source!$C11&gt;=COLUMNS($A11:AC11), Source!$E11, "")</f>
        <v/>
      </c>
      <c r="AD11" s="2" t="str">
        <f>IF(Source!$C11&gt;=COLUMNS($A11:AD11), Source!$E11, "")</f>
        <v/>
      </c>
      <c r="AE11" s="2" t="str">
        <f>IF(Source!$C11&gt;=COLUMNS($A11:AE11), Source!$E11, "")</f>
        <v/>
      </c>
      <c r="AF11" s="2" t="str">
        <f>IF(Source!$C11&gt;=COLUMNS($A11:AF11), Source!$E11, "")</f>
        <v/>
      </c>
      <c r="AG11" s="2" t="str">
        <f>IF(Source!$C11&gt;=COLUMNS($A11:AG11), Source!$E11, "")</f>
        <v/>
      </c>
      <c r="AH11" s="2" t="str">
        <f>IF(Source!$C11&gt;=COLUMNS($A11:AH11), Source!$E11, "")</f>
        <v/>
      </c>
      <c r="AI11" s="2" t="str">
        <f>IF(Source!$C11&gt;=COLUMNS($A11:AI11), Source!$E11, "")</f>
        <v/>
      </c>
      <c r="AJ11" s="2" t="str">
        <f>IF(Source!$C11&gt;=COLUMNS($A11:AJ11), Source!$E11, "")</f>
        <v/>
      </c>
      <c r="AK11" s="2" t="str">
        <f>IF(Source!$C11&gt;=COLUMNS($A11:AK11), Source!$E11, "")</f>
        <v/>
      </c>
      <c r="AL11" s="2" t="str">
        <f>IF(Source!$C11&gt;=COLUMNS($A11:AL11), Source!$E11, "")</f>
        <v/>
      </c>
      <c r="AM11" s="2" t="str">
        <f>IF(Source!$C11&gt;=COLUMNS($A11:AM11), Source!$E11, "")</f>
        <v/>
      </c>
      <c r="AN11" s="2" t="str">
        <f>IF(Source!$C11&gt;=COLUMNS($A11:AN11), Source!$E11, "")</f>
        <v/>
      </c>
      <c r="AO11" s="2" t="str">
        <f>IF(Source!$C11&gt;=COLUMNS($A11:AO11), Source!$E11, "")</f>
        <v/>
      </c>
      <c r="AP11" s="2" t="str">
        <f>IF(Source!$C11&gt;=COLUMNS($A11:AP11), Source!$E11, "")</f>
        <v/>
      </c>
      <c r="AQ11" s="2" t="str">
        <f>IF(Source!$C11&gt;=COLUMNS($A11:AQ11), Source!$E11, "")</f>
        <v/>
      </c>
      <c r="AR11" s="2" t="str">
        <f>IF(Source!$C11&gt;=COLUMNS($A11:AR11), Source!$E11, "")</f>
        <v/>
      </c>
    </row>
    <row r="12">
      <c r="A12" s="2">
        <f>IF(Source!$C12&gt;=COLUMNS($A12:A12), Source!$E12, "")</f>
        <v>2</v>
      </c>
      <c r="B12" s="2">
        <f>IF(Source!$C12&gt;=COLUMNS($A12:B12), Source!$E12, "")</f>
        <v>2</v>
      </c>
      <c r="C12" s="2" t="str">
        <f>IF(Source!$C12&gt;=COLUMNS($A12:C12), Source!$E12, "")</f>
        <v/>
      </c>
      <c r="D12" s="2" t="str">
        <f>IF(Source!$C12&gt;=COLUMNS($A12:D12), Source!$E12, "")</f>
        <v/>
      </c>
      <c r="E12" s="2" t="str">
        <f>IF(Source!$C12&gt;=COLUMNS($A12:E12), Source!$E12, "")</f>
        <v/>
      </c>
      <c r="F12" s="2" t="str">
        <f>IF(Source!$C12&gt;=COLUMNS($A12:F12), Source!$E12, "")</f>
        <v/>
      </c>
      <c r="G12" s="2" t="str">
        <f>IF(Source!$C12&gt;=COLUMNS($A12:G12), Source!$E12, "")</f>
        <v/>
      </c>
      <c r="H12" s="2" t="str">
        <f>IF(Source!$C12&gt;=COLUMNS($A12:H12), Source!$E12, "")</f>
        <v/>
      </c>
      <c r="I12" s="2" t="str">
        <f>IF(Source!$C12&gt;=COLUMNS($A12:I12), Source!$E12, "")</f>
        <v/>
      </c>
      <c r="J12" s="2" t="str">
        <f>IF(Source!$C12&gt;=COLUMNS($A12:J12), Source!$E12, "")</f>
        <v/>
      </c>
      <c r="K12" s="2" t="str">
        <f>IF(Source!$C12&gt;=COLUMNS($A12:K12), Source!$E12, "")</f>
        <v/>
      </c>
      <c r="L12" s="2" t="str">
        <f>IF(Source!$C12&gt;=COLUMNS($A12:L12), Source!$E12, "")</f>
        <v/>
      </c>
      <c r="M12" s="2" t="str">
        <f>IF(Source!$C12&gt;=COLUMNS($A12:M12), Source!$E12, "")</f>
        <v/>
      </c>
      <c r="N12" s="2" t="str">
        <f>IF(Source!$C12&gt;=COLUMNS($A12:N12), Source!$E12, "")</f>
        <v/>
      </c>
      <c r="O12" s="2" t="str">
        <f>IF(Source!$C12&gt;=COLUMNS($A12:O12), Source!$E12, "")</f>
        <v/>
      </c>
      <c r="P12" s="2" t="str">
        <f>IF(Source!$C12&gt;=COLUMNS($A12:P12), Source!$E12, "")</f>
        <v/>
      </c>
      <c r="Q12" s="2" t="str">
        <f>IF(Source!$C12&gt;=COLUMNS($A12:Q12), Source!$E12, "")</f>
        <v/>
      </c>
      <c r="R12" s="2" t="str">
        <f>IF(Source!$C12&gt;=COLUMNS($A12:R12), Source!$E12, "")</f>
        <v/>
      </c>
      <c r="S12" s="2" t="str">
        <f>IF(Source!$C12&gt;=COLUMNS($A12:S12), Source!$E12, "")</f>
        <v/>
      </c>
      <c r="T12" s="2" t="str">
        <f>IF(Source!$C12&gt;=COLUMNS($A12:T12), Source!$E12, "")</f>
        <v/>
      </c>
      <c r="U12" s="2" t="str">
        <f>IF(Source!$C12&gt;=COLUMNS($A12:U12), Source!$E12, "")</f>
        <v/>
      </c>
      <c r="V12" s="2" t="str">
        <f>IF(Source!$C12&gt;=COLUMNS($A12:V12), Source!$E12, "")</f>
        <v/>
      </c>
      <c r="W12" s="2" t="str">
        <f>IF(Source!$C12&gt;=COLUMNS($A12:W12), Source!$E12, "")</f>
        <v/>
      </c>
      <c r="X12" s="2" t="str">
        <f>IF(Source!$C12&gt;=COLUMNS($A12:X12), Source!$E12, "")</f>
        <v/>
      </c>
      <c r="Y12" s="2" t="str">
        <f>IF(Source!$C12&gt;=COLUMNS($A12:Y12), Source!$E12, "")</f>
        <v/>
      </c>
      <c r="Z12" s="2" t="str">
        <f>IF(Source!$C12&gt;=COLUMNS($A12:Z12), Source!$E12, "")</f>
        <v/>
      </c>
      <c r="AA12" s="2" t="str">
        <f>IF(Source!$C12&gt;=COLUMNS($A12:AA12), Source!$E12, "")</f>
        <v/>
      </c>
      <c r="AB12" s="2" t="str">
        <f>IF(Source!$C12&gt;=COLUMNS($A12:AB12), Source!$E12, "")</f>
        <v/>
      </c>
      <c r="AC12" s="2" t="str">
        <f>IF(Source!$C12&gt;=COLUMNS($A12:AC12), Source!$E12, "")</f>
        <v/>
      </c>
      <c r="AD12" s="2" t="str">
        <f>IF(Source!$C12&gt;=COLUMNS($A12:AD12), Source!$E12, "")</f>
        <v/>
      </c>
      <c r="AE12" s="2" t="str">
        <f>IF(Source!$C12&gt;=COLUMNS($A12:AE12), Source!$E12, "")</f>
        <v/>
      </c>
      <c r="AF12" s="2" t="str">
        <f>IF(Source!$C12&gt;=COLUMNS($A12:AF12), Source!$E12, "")</f>
        <v/>
      </c>
      <c r="AG12" s="2" t="str">
        <f>IF(Source!$C12&gt;=COLUMNS($A12:AG12), Source!$E12, "")</f>
        <v/>
      </c>
      <c r="AH12" s="2" t="str">
        <f>IF(Source!$C12&gt;=COLUMNS($A12:AH12), Source!$E12, "")</f>
        <v/>
      </c>
      <c r="AI12" s="2" t="str">
        <f>IF(Source!$C12&gt;=COLUMNS($A12:AI12), Source!$E12, "")</f>
        <v/>
      </c>
      <c r="AJ12" s="2" t="str">
        <f>IF(Source!$C12&gt;=COLUMNS($A12:AJ12), Source!$E12, "")</f>
        <v/>
      </c>
      <c r="AK12" s="2" t="str">
        <f>IF(Source!$C12&gt;=COLUMNS($A12:AK12), Source!$E12, "")</f>
        <v/>
      </c>
      <c r="AL12" s="2" t="str">
        <f>IF(Source!$C12&gt;=COLUMNS($A12:AL12), Source!$E12, "")</f>
        <v/>
      </c>
      <c r="AM12" s="2" t="str">
        <f>IF(Source!$C12&gt;=COLUMNS($A12:AM12), Source!$E12, "")</f>
        <v/>
      </c>
      <c r="AN12" s="2" t="str">
        <f>IF(Source!$C12&gt;=COLUMNS($A12:AN12), Source!$E12, "")</f>
        <v/>
      </c>
      <c r="AO12" s="2" t="str">
        <f>IF(Source!$C12&gt;=COLUMNS($A12:AO12), Source!$E12, "")</f>
        <v/>
      </c>
      <c r="AP12" s="2" t="str">
        <f>IF(Source!$C12&gt;=COLUMNS($A12:AP12), Source!$E12, "")</f>
        <v/>
      </c>
      <c r="AQ12" s="2" t="str">
        <f>IF(Source!$C12&gt;=COLUMNS($A12:AQ12), Source!$E12, "")</f>
        <v/>
      </c>
      <c r="AR12" s="2" t="str">
        <f>IF(Source!$C12&gt;=COLUMNS($A12:AR12), Source!$E12, "")</f>
        <v/>
      </c>
    </row>
    <row r="13">
      <c r="A13" s="2">
        <f>IF(Source!$C13&gt;=COLUMNS($A13:A13), Source!$E13, "")</f>
        <v>6</v>
      </c>
      <c r="B13" s="2">
        <f>IF(Source!$C13&gt;=COLUMNS($A13:B13), Source!$E13, "")</f>
        <v>6</v>
      </c>
      <c r="C13" s="2" t="str">
        <f>IF(Source!$C13&gt;=COLUMNS($A13:C13), Source!$E13, "")</f>
        <v/>
      </c>
      <c r="D13" s="2" t="str">
        <f>IF(Source!$C13&gt;=COLUMNS($A13:D13), Source!$E13, "")</f>
        <v/>
      </c>
      <c r="E13" s="2" t="str">
        <f>IF(Source!$C13&gt;=COLUMNS($A13:E13), Source!$E13, "")</f>
        <v/>
      </c>
      <c r="F13" s="2" t="str">
        <f>IF(Source!$C13&gt;=COLUMNS($A13:F13), Source!$E13, "")</f>
        <v/>
      </c>
      <c r="G13" s="2" t="str">
        <f>IF(Source!$C13&gt;=COLUMNS($A13:G13), Source!$E13, "")</f>
        <v/>
      </c>
      <c r="H13" s="2" t="str">
        <f>IF(Source!$C13&gt;=COLUMNS($A13:H13), Source!$E13, "")</f>
        <v/>
      </c>
      <c r="I13" s="2" t="str">
        <f>IF(Source!$C13&gt;=COLUMNS($A13:I13), Source!$E13, "")</f>
        <v/>
      </c>
      <c r="J13" s="2" t="str">
        <f>IF(Source!$C13&gt;=COLUMNS($A13:J13), Source!$E13, "")</f>
        <v/>
      </c>
      <c r="K13" s="2" t="str">
        <f>IF(Source!$C13&gt;=COLUMNS($A13:K13), Source!$E13, "")</f>
        <v/>
      </c>
      <c r="L13" s="2" t="str">
        <f>IF(Source!$C13&gt;=COLUMNS($A13:L13), Source!$E13, "")</f>
        <v/>
      </c>
      <c r="M13" s="2" t="str">
        <f>IF(Source!$C13&gt;=COLUMNS($A13:M13), Source!$E13, "")</f>
        <v/>
      </c>
      <c r="N13" s="2" t="str">
        <f>IF(Source!$C13&gt;=COLUMNS($A13:N13), Source!$E13, "")</f>
        <v/>
      </c>
      <c r="O13" s="2" t="str">
        <f>IF(Source!$C13&gt;=COLUMNS($A13:O13), Source!$E13, "")</f>
        <v/>
      </c>
      <c r="P13" s="2" t="str">
        <f>IF(Source!$C13&gt;=COLUMNS($A13:P13), Source!$E13, "")</f>
        <v/>
      </c>
      <c r="Q13" s="2" t="str">
        <f>IF(Source!$C13&gt;=COLUMNS($A13:Q13), Source!$E13, "")</f>
        <v/>
      </c>
      <c r="R13" s="2" t="str">
        <f>IF(Source!$C13&gt;=COLUMNS($A13:R13), Source!$E13, "")</f>
        <v/>
      </c>
      <c r="S13" s="2" t="str">
        <f>IF(Source!$C13&gt;=COLUMNS($A13:S13), Source!$E13, "")</f>
        <v/>
      </c>
      <c r="T13" s="2" t="str">
        <f>IF(Source!$C13&gt;=COLUMNS($A13:T13), Source!$E13, "")</f>
        <v/>
      </c>
      <c r="U13" s="2" t="str">
        <f>IF(Source!$C13&gt;=COLUMNS($A13:U13), Source!$E13, "")</f>
        <v/>
      </c>
      <c r="V13" s="2" t="str">
        <f>IF(Source!$C13&gt;=COLUMNS($A13:V13), Source!$E13, "")</f>
        <v/>
      </c>
      <c r="W13" s="2" t="str">
        <f>IF(Source!$C13&gt;=COLUMNS($A13:W13), Source!$E13, "")</f>
        <v/>
      </c>
      <c r="X13" s="2" t="str">
        <f>IF(Source!$C13&gt;=COLUMNS($A13:X13), Source!$E13, "")</f>
        <v/>
      </c>
      <c r="Y13" s="2" t="str">
        <f>IF(Source!$C13&gt;=COLUMNS($A13:Y13), Source!$E13, "")</f>
        <v/>
      </c>
      <c r="Z13" s="2" t="str">
        <f>IF(Source!$C13&gt;=COLUMNS($A13:Z13), Source!$E13, "")</f>
        <v/>
      </c>
      <c r="AA13" s="2" t="str">
        <f>IF(Source!$C13&gt;=COLUMNS($A13:AA13), Source!$E13, "")</f>
        <v/>
      </c>
      <c r="AB13" s="2" t="str">
        <f>IF(Source!$C13&gt;=COLUMNS($A13:AB13), Source!$E13, "")</f>
        <v/>
      </c>
      <c r="AC13" s="2" t="str">
        <f>IF(Source!$C13&gt;=COLUMNS($A13:AC13), Source!$E13, "")</f>
        <v/>
      </c>
      <c r="AD13" s="2" t="str">
        <f>IF(Source!$C13&gt;=COLUMNS($A13:AD13), Source!$E13, "")</f>
        <v/>
      </c>
      <c r="AE13" s="2" t="str">
        <f>IF(Source!$C13&gt;=COLUMNS($A13:AE13), Source!$E13, "")</f>
        <v/>
      </c>
      <c r="AF13" s="2" t="str">
        <f>IF(Source!$C13&gt;=COLUMNS($A13:AF13), Source!$E13, "")</f>
        <v/>
      </c>
      <c r="AG13" s="2" t="str">
        <f>IF(Source!$C13&gt;=COLUMNS($A13:AG13), Source!$E13, "")</f>
        <v/>
      </c>
      <c r="AH13" s="2" t="str">
        <f>IF(Source!$C13&gt;=COLUMNS($A13:AH13), Source!$E13, "")</f>
        <v/>
      </c>
      <c r="AI13" s="2" t="str">
        <f>IF(Source!$C13&gt;=COLUMNS($A13:AI13), Source!$E13, "")</f>
        <v/>
      </c>
      <c r="AJ13" s="2" t="str">
        <f>IF(Source!$C13&gt;=COLUMNS($A13:AJ13), Source!$E13, "")</f>
        <v/>
      </c>
      <c r="AK13" s="2" t="str">
        <f>IF(Source!$C13&gt;=COLUMNS($A13:AK13), Source!$E13, "")</f>
        <v/>
      </c>
      <c r="AL13" s="2" t="str">
        <f>IF(Source!$C13&gt;=COLUMNS($A13:AL13), Source!$E13, "")</f>
        <v/>
      </c>
      <c r="AM13" s="2" t="str">
        <f>IF(Source!$C13&gt;=COLUMNS($A13:AM13), Source!$E13, "")</f>
        <v/>
      </c>
      <c r="AN13" s="2" t="str">
        <f>IF(Source!$C13&gt;=COLUMNS($A13:AN13), Source!$E13, "")</f>
        <v/>
      </c>
      <c r="AO13" s="2" t="str">
        <f>IF(Source!$C13&gt;=COLUMNS($A13:AO13), Source!$E13, "")</f>
        <v/>
      </c>
      <c r="AP13" s="2" t="str">
        <f>IF(Source!$C13&gt;=COLUMNS($A13:AP13), Source!$E13, "")</f>
        <v/>
      </c>
      <c r="AQ13" s="2" t="str">
        <f>IF(Source!$C13&gt;=COLUMNS($A13:AQ13), Source!$E13, "")</f>
        <v/>
      </c>
      <c r="AR13" s="2" t="str">
        <f>IF(Source!$C13&gt;=COLUMNS($A13:AR13), Source!$E13, "")</f>
        <v/>
      </c>
    </row>
    <row r="14">
      <c r="A14" s="2">
        <f>IF(Source!$C14&gt;=COLUMNS($A14:A14), Source!$E14, "")</f>
        <v>8</v>
      </c>
      <c r="B14" s="2">
        <f>IF(Source!$C14&gt;=COLUMNS($A14:B14), Source!$E14, "")</f>
        <v>8</v>
      </c>
      <c r="C14" s="2">
        <f>IF(Source!$C14&gt;=COLUMNS($A14:C14), Source!$E14, "")</f>
        <v>8</v>
      </c>
      <c r="D14" s="2">
        <f>IF(Source!$C14&gt;=COLUMNS($A14:D14), Source!$E14, "")</f>
        <v>8</v>
      </c>
      <c r="E14" s="2">
        <f>IF(Source!$C14&gt;=COLUMNS($A14:E14), Source!$E14, "")</f>
        <v>8</v>
      </c>
      <c r="F14" s="2">
        <f>IF(Source!$C14&gt;=COLUMNS($A14:F14), Source!$E14, "")</f>
        <v>8</v>
      </c>
      <c r="G14" s="2" t="str">
        <f>IF(Source!$C14&gt;=COLUMNS($A14:G14), Source!$E14, "")</f>
        <v/>
      </c>
      <c r="H14" s="2" t="str">
        <f>IF(Source!$C14&gt;=COLUMNS($A14:H14), Source!$E14, "")</f>
        <v/>
      </c>
      <c r="I14" s="2" t="str">
        <f>IF(Source!$C14&gt;=COLUMNS($A14:I14), Source!$E14, "")</f>
        <v/>
      </c>
      <c r="J14" s="2" t="str">
        <f>IF(Source!$C14&gt;=COLUMNS($A14:J14), Source!$E14, "")</f>
        <v/>
      </c>
      <c r="K14" s="2" t="str">
        <f>IF(Source!$C14&gt;=COLUMNS($A14:K14), Source!$E14, "")</f>
        <v/>
      </c>
      <c r="L14" s="2" t="str">
        <f>IF(Source!$C14&gt;=COLUMNS($A14:L14), Source!$E14, "")</f>
        <v/>
      </c>
      <c r="M14" s="2" t="str">
        <f>IF(Source!$C14&gt;=COLUMNS($A14:M14), Source!$E14, "")</f>
        <v/>
      </c>
      <c r="N14" s="2" t="str">
        <f>IF(Source!$C14&gt;=COLUMNS($A14:N14), Source!$E14, "")</f>
        <v/>
      </c>
      <c r="O14" s="2" t="str">
        <f>IF(Source!$C14&gt;=COLUMNS($A14:O14), Source!$E14, "")</f>
        <v/>
      </c>
      <c r="P14" s="2" t="str">
        <f>IF(Source!$C14&gt;=COLUMNS($A14:P14), Source!$E14, "")</f>
        <v/>
      </c>
      <c r="Q14" s="2" t="str">
        <f>IF(Source!$C14&gt;=COLUMNS($A14:Q14), Source!$E14, "")</f>
        <v/>
      </c>
      <c r="R14" s="2" t="str">
        <f>IF(Source!$C14&gt;=COLUMNS($A14:R14), Source!$E14, "")</f>
        <v/>
      </c>
      <c r="S14" s="2" t="str">
        <f>IF(Source!$C14&gt;=COLUMNS($A14:S14), Source!$E14, "")</f>
        <v/>
      </c>
      <c r="T14" s="2" t="str">
        <f>IF(Source!$C14&gt;=COLUMNS($A14:T14), Source!$E14, "")</f>
        <v/>
      </c>
      <c r="U14" s="2" t="str">
        <f>IF(Source!$C14&gt;=COLUMNS($A14:U14), Source!$E14, "")</f>
        <v/>
      </c>
      <c r="V14" s="2" t="str">
        <f>IF(Source!$C14&gt;=COLUMNS($A14:V14), Source!$E14, "")</f>
        <v/>
      </c>
      <c r="W14" s="2" t="str">
        <f>IF(Source!$C14&gt;=COLUMNS($A14:W14), Source!$E14, "")</f>
        <v/>
      </c>
      <c r="X14" s="2" t="str">
        <f>IF(Source!$C14&gt;=COLUMNS($A14:X14), Source!$E14, "")</f>
        <v/>
      </c>
      <c r="Y14" s="2" t="str">
        <f>IF(Source!$C14&gt;=COLUMNS($A14:Y14), Source!$E14, "")</f>
        <v/>
      </c>
      <c r="Z14" s="2" t="str">
        <f>IF(Source!$C14&gt;=COLUMNS($A14:Z14), Source!$E14, "")</f>
        <v/>
      </c>
      <c r="AA14" s="2" t="str">
        <f>IF(Source!$C14&gt;=COLUMNS($A14:AA14), Source!$E14, "")</f>
        <v/>
      </c>
      <c r="AB14" s="2" t="str">
        <f>IF(Source!$C14&gt;=COLUMNS($A14:AB14), Source!$E14, "")</f>
        <v/>
      </c>
      <c r="AC14" s="2" t="str">
        <f>IF(Source!$C14&gt;=COLUMNS($A14:AC14), Source!$E14, "")</f>
        <v/>
      </c>
      <c r="AD14" s="2" t="str">
        <f>IF(Source!$C14&gt;=COLUMNS($A14:AD14), Source!$E14, "")</f>
        <v/>
      </c>
      <c r="AE14" s="2" t="str">
        <f>IF(Source!$C14&gt;=COLUMNS($A14:AE14), Source!$E14, "")</f>
        <v/>
      </c>
      <c r="AF14" s="2" t="str">
        <f>IF(Source!$C14&gt;=COLUMNS($A14:AF14), Source!$E14, "")</f>
        <v/>
      </c>
      <c r="AG14" s="2" t="str">
        <f>IF(Source!$C14&gt;=COLUMNS($A14:AG14), Source!$E14, "")</f>
        <v/>
      </c>
      <c r="AH14" s="2" t="str">
        <f>IF(Source!$C14&gt;=COLUMNS($A14:AH14), Source!$E14, "")</f>
        <v/>
      </c>
      <c r="AI14" s="2" t="str">
        <f>IF(Source!$C14&gt;=COLUMNS($A14:AI14), Source!$E14, "")</f>
        <v/>
      </c>
      <c r="AJ14" s="2" t="str">
        <f>IF(Source!$C14&gt;=COLUMNS($A14:AJ14), Source!$E14, "")</f>
        <v/>
      </c>
      <c r="AK14" s="2" t="str">
        <f>IF(Source!$C14&gt;=COLUMNS($A14:AK14), Source!$E14, "")</f>
        <v/>
      </c>
      <c r="AL14" s="2" t="str">
        <f>IF(Source!$C14&gt;=COLUMNS($A14:AL14), Source!$E14, "")</f>
        <v/>
      </c>
      <c r="AM14" s="2" t="str">
        <f>IF(Source!$C14&gt;=COLUMNS($A14:AM14), Source!$E14, "")</f>
        <v/>
      </c>
      <c r="AN14" s="2" t="str">
        <f>IF(Source!$C14&gt;=COLUMNS($A14:AN14), Source!$E14, "")</f>
        <v/>
      </c>
      <c r="AO14" s="2" t="str">
        <f>IF(Source!$C14&gt;=COLUMNS($A14:AO14), Source!$E14, "")</f>
        <v/>
      </c>
      <c r="AP14" s="2" t="str">
        <f>IF(Source!$C14&gt;=COLUMNS($A14:AP14), Source!$E14, "")</f>
        <v/>
      </c>
      <c r="AQ14" s="2" t="str">
        <f>IF(Source!$C14&gt;=COLUMNS($A14:AQ14), Source!$E14, "")</f>
        <v/>
      </c>
      <c r="AR14" s="2" t="str">
        <f>IF(Source!$C14&gt;=COLUMNS($A14:AR14), Source!$E14, "")</f>
        <v/>
      </c>
    </row>
    <row r="15">
      <c r="A15" s="2">
        <f>IF(Source!$C15&gt;=COLUMNS($A15:A15), Source!$E15, "")</f>
        <v>3</v>
      </c>
      <c r="B15" s="2">
        <f>IF(Source!$C15&gt;=COLUMNS($A15:B15), Source!$E15, "")</f>
        <v>3</v>
      </c>
      <c r="C15" s="2">
        <f>IF(Source!$C15&gt;=COLUMNS($A15:C15), Source!$E15, "")</f>
        <v>3</v>
      </c>
      <c r="D15" s="2">
        <f>IF(Source!$C15&gt;=COLUMNS($A15:D15), Source!$E15, "")</f>
        <v>3</v>
      </c>
      <c r="E15" s="2">
        <f>IF(Source!$C15&gt;=COLUMNS($A15:E15), Source!$E15, "")</f>
        <v>3</v>
      </c>
      <c r="F15" s="2">
        <f>IF(Source!$C15&gt;=COLUMNS($A15:F15), Source!$E15, "")</f>
        <v>3</v>
      </c>
      <c r="G15" s="2">
        <f>IF(Source!$C15&gt;=COLUMNS($A15:G15), Source!$E15, "")</f>
        <v>3</v>
      </c>
      <c r="H15" s="2" t="str">
        <f>IF(Source!$C15&gt;=COLUMNS($A15:H15), Source!$E15, "")</f>
        <v/>
      </c>
      <c r="I15" s="2" t="str">
        <f>IF(Source!$C15&gt;=COLUMNS($A15:I15), Source!$E15, "")</f>
        <v/>
      </c>
      <c r="J15" s="2" t="str">
        <f>IF(Source!$C15&gt;=COLUMNS($A15:J15), Source!$E15, "")</f>
        <v/>
      </c>
      <c r="K15" s="2" t="str">
        <f>IF(Source!$C15&gt;=COLUMNS($A15:K15), Source!$E15, "")</f>
        <v/>
      </c>
      <c r="L15" s="2" t="str">
        <f>IF(Source!$C15&gt;=COLUMNS($A15:L15), Source!$E15, "")</f>
        <v/>
      </c>
      <c r="M15" s="2" t="str">
        <f>IF(Source!$C15&gt;=COLUMNS($A15:M15), Source!$E15, "")</f>
        <v/>
      </c>
      <c r="N15" s="2" t="str">
        <f>IF(Source!$C15&gt;=COLUMNS($A15:N15), Source!$E15, "")</f>
        <v/>
      </c>
      <c r="O15" s="2" t="str">
        <f>IF(Source!$C15&gt;=COLUMNS($A15:O15), Source!$E15, "")</f>
        <v/>
      </c>
      <c r="P15" s="2" t="str">
        <f>IF(Source!$C15&gt;=COLUMNS($A15:P15), Source!$E15, "")</f>
        <v/>
      </c>
      <c r="Q15" s="2" t="str">
        <f>IF(Source!$C15&gt;=COLUMNS($A15:Q15), Source!$E15, "")</f>
        <v/>
      </c>
      <c r="R15" s="2" t="str">
        <f>IF(Source!$C15&gt;=COLUMNS($A15:R15), Source!$E15, "")</f>
        <v/>
      </c>
      <c r="S15" s="2" t="str">
        <f>IF(Source!$C15&gt;=COLUMNS($A15:S15), Source!$E15, "")</f>
        <v/>
      </c>
      <c r="T15" s="2" t="str">
        <f>IF(Source!$C15&gt;=COLUMNS($A15:T15), Source!$E15, "")</f>
        <v/>
      </c>
      <c r="U15" s="2" t="str">
        <f>IF(Source!$C15&gt;=COLUMNS($A15:U15), Source!$E15, "")</f>
        <v/>
      </c>
      <c r="V15" s="2" t="str">
        <f>IF(Source!$C15&gt;=COLUMNS($A15:V15), Source!$E15, "")</f>
        <v/>
      </c>
      <c r="W15" s="2" t="str">
        <f>IF(Source!$C15&gt;=COLUMNS($A15:W15), Source!$E15, "")</f>
        <v/>
      </c>
      <c r="X15" s="2" t="str">
        <f>IF(Source!$C15&gt;=COLUMNS($A15:X15), Source!$E15, "")</f>
        <v/>
      </c>
      <c r="Y15" s="2" t="str">
        <f>IF(Source!$C15&gt;=COLUMNS($A15:Y15), Source!$E15, "")</f>
        <v/>
      </c>
      <c r="Z15" s="2" t="str">
        <f>IF(Source!$C15&gt;=COLUMNS($A15:Z15), Source!$E15, "")</f>
        <v/>
      </c>
      <c r="AA15" s="2" t="str">
        <f>IF(Source!$C15&gt;=COLUMNS($A15:AA15), Source!$E15, "")</f>
        <v/>
      </c>
      <c r="AB15" s="2" t="str">
        <f>IF(Source!$C15&gt;=COLUMNS($A15:AB15), Source!$E15, "")</f>
        <v/>
      </c>
      <c r="AC15" s="2" t="str">
        <f>IF(Source!$C15&gt;=COLUMNS($A15:AC15), Source!$E15, "")</f>
        <v/>
      </c>
      <c r="AD15" s="2" t="str">
        <f>IF(Source!$C15&gt;=COLUMNS($A15:AD15), Source!$E15, "")</f>
        <v/>
      </c>
      <c r="AE15" s="2" t="str">
        <f>IF(Source!$C15&gt;=COLUMNS($A15:AE15), Source!$E15, "")</f>
        <v/>
      </c>
      <c r="AF15" s="2" t="str">
        <f>IF(Source!$C15&gt;=COLUMNS($A15:AF15), Source!$E15, "")</f>
        <v/>
      </c>
      <c r="AG15" s="2" t="str">
        <f>IF(Source!$C15&gt;=COLUMNS($A15:AG15), Source!$E15, "")</f>
        <v/>
      </c>
      <c r="AH15" s="2" t="str">
        <f>IF(Source!$C15&gt;=COLUMNS($A15:AH15), Source!$E15, "")</f>
        <v/>
      </c>
      <c r="AI15" s="2" t="str">
        <f>IF(Source!$C15&gt;=COLUMNS($A15:AI15), Source!$E15, "")</f>
        <v/>
      </c>
      <c r="AJ15" s="2" t="str">
        <f>IF(Source!$C15&gt;=COLUMNS($A15:AJ15), Source!$E15, "")</f>
        <v/>
      </c>
      <c r="AK15" s="2" t="str">
        <f>IF(Source!$C15&gt;=COLUMNS($A15:AK15), Source!$E15, "")</f>
        <v/>
      </c>
      <c r="AL15" s="2" t="str">
        <f>IF(Source!$C15&gt;=COLUMNS($A15:AL15), Source!$E15, "")</f>
        <v/>
      </c>
      <c r="AM15" s="2" t="str">
        <f>IF(Source!$C15&gt;=COLUMNS($A15:AM15), Source!$E15, "")</f>
        <v/>
      </c>
      <c r="AN15" s="2" t="str">
        <f>IF(Source!$C15&gt;=COLUMNS($A15:AN15), Source!$E15, "")</f>
        <v/>
      </c>
      <c r="AO15" s="2" t="str">
        <f>IF(Source!$C15&gt;=COLUMNS($A15:AO15), Source!$E15, "")</f>
        <v/>
      </c>
      <c r="AP15" s="2" t="str">
        <f>IF(Source!$C15&gt;=COLUMNS($A15:AP15), Source!$E15, "")</f>
        <v/>
      </c>
      <c r="AQ15" s="2" t="str">
        <f>IF(Source!$C15&gt;=COLUMNS($A15:AQ15), Source!$E15, "")</f>
        <v/>
      </c>
      <c r="AR15" s="2" t="str">
        <f>IF(Source!$C15&gt;=COLUMNS($A15:AR15), Source!$E15, "")</f>
        <v/>
      </c>
    </row>
    <row r="16">
      <c r="A16" s="2">
        <f>IF(Source!$C16&gt;=COLUMNS($A16:A16), Source!$E16, "")</f>
        <v>8</v>
      </c>
      <c r="B16" s="2" t="str">
        <f>IF(Source!$C16&gt;=COLUMNS($A16:B16), Source!$E16, "")</f>
        <v/>
      </c>
      <c r="C16" s="2" t="str">
        <f>IF(Source!$C16&gt;=COLUMNS($A16:C16), Source!$E16, "")</f>
        <v/>
      </c>
      <c r="D16" s="2" t="str">
        <f>IF(Source!$C16&gt;=COLUMNS($A16:D16), Source!$E16, "")</f>
        <v/>
      </c>
      <c r="E16" s="2" t="str">
        <f>IF(Source!$C16&gt;=COLUMNS($A16:E16), Source!$E16, "")</f>
        <v/>
      </c>
      <c r="F16" s="2" t="str">
        <f>IF(Source!$C16&gt;=COLUMNS($A16:F16), Source!$E16, "")</f>
        <v/>
      </c>
      <c r="G16" s="2" t="str">
        <f>IF(Source!$C16&gt;=COLUMNS($A16:G16), Source!$E16, "")</f>
        <v/>
      </c>
      <c r="H16" s="2" t="str">
        <f>IF(Source!$C16&gt;=COLUMNS($A16:H16), Source!$E16, "")</f>
        <v/>
      </c>
      <c r="I16" s="2" t="str">
        <f>IF(Source!$C16&gt;=COLUMNS($A16:I16), Source!$E16, "")</f>
        <v/>
      </c>
      <c r="J16" s="2" t="str">
        <f>IF(Source!$C16&gt;=COLUMNS($A16:J16), Source!$E16, "")</f>
        <v/>
      </c>
      <c r="K16" s="2" t="str">
        <f>IF(Source!$C16&gt;=COLUMNS($A16:K16), Source!$E16, "")</f>
        <v/>
      </c>
      <c r="L16" s="2" t="str">
        <f>IF(Source!$C16&gt;=COLUMNS($A16:L16), Source!$E16, "")</f>
        <v/>
      </c>
      <c r="M16" s="2" t="str">
        <f>IF(Source!$C16&gt;=COLUMNS($A16:M16), Source!$E16, "")</f>
        <v/>
      </c>
      <c r="N16" s="2" t="str">
        <f>IF(Source!$C16&gt;=COLUMNS($A16:N16), Source!$E16, "")</f>
        <v/>
      </c>
      <c r="O16" s="2" t="str">
        <f>IF(Source!$C16&gt;=COLUMNS($A16:O16), Source!$E16, "")</f>
        <v/>
      </c>
      <c r="P16" s="2" t="str">
        <f>IF(Source!$C16&gt;=COLUMNS($A16:P16), Source!$E16, "")</f>
        <v/>
      </c>
      <c r="Q16" s="2" t="str">
        <f>IF(Source!$C16&gt;=COLUMNS($A16:Q16), Source!$E16, "")</f>
        <v/>
      </c>
      <c r="R16" s="2" t="str">
        <f>IF(Source!$C16&gt;=COLUMNS($A16:R16), Source!$E16, "")</f>
        <v/>
      </c>
      <c r="S16" s="2" t="str">
        <f>IF(Source!$C16&gt;=COLUMNS($A16:S16), Source!$E16, "")</f>
        <v/>
      </c>
      <c r="T16" s="2" t="str">
        <f>IF(Source!$C16&gt;=COLUMNS($A16:T16), Source!$E16, "")</f>
        <v/>
      </c>
      <c r="U16" s="2" t="str">
        <f>IF(Source!$C16&gt;=COLUMNS($A16:U16), Source!$E16, "")</f>
        <v/>
      </c>
      <c r="V16" s="2" t="str">
        <f>IF(Source!$C16&gt;=COLUMNS($A16:V16), Source!$E16, "")</f>
        <v/>
      </c>
      <c r="W16" s="2" t="str">
        <f>IF(Source!$C16&gt;=COLUMNS($A16:W16), Source!$E16, "")</f>
        <v/>
      </c>
      <c r="X16" s="2" t="str">
        <f>IF(Source!$C16&gt;=COLUMNS($A16:X16), Source!$E16, "")</f>
        <v/>
      </c>
      <c r="Y16" s="2" t="str">
        <f>IF(Source!$C16&gt;=COLUMNS($A16:Y16), Source!$E16, "")</f>
        <v/>
      </c>
      <c r="Z16" s="2" t="str">
        <f>IF(Source!$C16&gt;=COLUMNS($A16:Z16), Source!$E16, "")</f>
        <v/>
      </c>
      <c r="AA16" s="2" t="str">
        <f>IF(Source!$C16&gt;=COLUMNS($A16:AA16), Source!$E16, "")</f>
        <v/>
      </c>
      <c r="AB16" s="2" t="str">
        <f>IF(Source!$C16&gt;=COLUMNS($A16:AB16), Source!$E16, "")</f>
        <v/>
      </c>
      <c r="AC16" s="2" t="str">
        <f>IF(Source!$C16&gt;=COLUMNS($A16:AC16), Source!$E16, "")</f>
        <v/>
      </c>
      <c r="AD16" s="2" t="str">
        <f>IF(Source!$C16&gt;=COLUMNS($A16:AD16), Source!$E16, "")</f>
        <v/>
      </c>
      <c r="AE16" s="2" t="str">
        <f>IF(Source!$C16&gt;=COLUMNS($A16:AE16), Source!$E16, "")</f>
        <v/>
      </c>
      <c r="AF16" s="2" t="str">
        <f>IF(Source!$C16&gt;=COLUMNS($A16:AF16), Source!$E16, "")</f>
        <v/>
      </c>
      <c r="AG16" s="2" t="str">
        <f>IF(Source!$C16&gt;=COLUMNS($A16:AG16), Source!$E16, "")</f>
        <v/>
      </c>
      <c r="AH16" s="2" t="str">
        <f>IF(Source!$C16&gt;=COLUMNS($A16:AH16), Source!$E16, "")</f>
        <v/>
      </c>
      <c r="AI16" s="2" t="str">
        <f>IF(Source!$C16&gt;=COLUMNS($A16:AI16), Source!$E16, "")</f>
        <v/>
      </c>
      <c r="AJ16" s="2" t="str">
        <f>IF(Source!$C16&gt;=COLUMNS($A16:AJ16), Source!$E16, "")</f>
        <v/>
      </c>
      <c r="AK16" s="2" t="str">
        <f>IF(Source!$C16&gt;=COLUMNS($A16:AK16), Source!$E16, "")</f>
        <v/>
      </c>
      <c r="AL16" s="2" t="str">
        <f>IF(Source!$C16&gt;=COLUMNS($A16:AL16), Source!$E16, "")</f>
        <v/>
      </c>
      <c r="AM16" s="2" t="str">
        <f>IF(Source!$C16&gt;=COLUMNS($A16:AM16), Source!$E16, "")</f>
        <v/>
      </c>
      <c r="AN16" s="2" t="str">
        <f>IF(Source!$C16&gt;=COLUMNS($A16:AN16), Source!$E16, "")</f>
        <v/>
      </c>
      <c r="AO16" s="2" t="str">
        <f>IF(Source!$C16&gt;=COLUMNS($A16:AO16), Source!$E16, "")</f>
        <v/>
      </c>
      <c r="AP16" s="2" t="str">
        <f>IF(Source!$C16&gt;=COLUMNS($A16:AP16), Source!$E16, "")</f>
        <v/>
      </c>
      <c r="AQ16" s="2" t="str">
        <f>IF(Source!$C16&gt;=COLUMNS($A16:AQ16), Source!$E16, "")</f>
        <v/>
      </c>
      <c r="AR16" s="2" t="str">
        <f>IF(Source!$C16&gt;=COLUMNS($A16:AR16), Source!$E16, "")</f>
        <v/>
      </c>
    </row>
    <row r="17">
      <c r="A17" s="2">
        <f>IF(Source!$C17&gt;=COLUMNS($A17:A17), Source!$E17, "")</f>
        <v>9</v>
      </c>
      <c r="B17" s="2">
        <f>IF(Source!$C17&gt;=COLUMNS($A17:B17), Source!$E17, "")</f>
        <v>9</v>
      </c>
      <c r="C17" s="2">
        <f>IF(Source!$C17&gt;=COLUMNS($A17:C17), Source!$E17, "")</f>
        <v>9</v>
      </c>
      <c r="D17" s="2">
        <f>IF(Source!$C17&gt;=COLUMNS($A17:D17), Source!$E17, "")</f>
        <v>9</v>
      </c>
      <c r="E17" s="2">
        <f>IF(Source!$C17&gt;=COLUMNS($A17:E17), Source!$E17, "")</f>
        <v>9</v>
      </c>
      <c r="F17" s="2">
        <f>IF(Source!$C17&gt;=COLUMNS($A17:F17), Source!$E17, "")</f>
        <v>9</v>
      </c>
      <c r="G17" s="2">
        <f>IF(Source!$C17&gt;=COLUMNS($A17:G17), Source!$E17, "")</f>
        <v>9</v>
      </c>
      <c r="H17" s="2">
        <f>IF(Source!$C17&gt;=COLUMNS($A17:H17), Source!$E17, "")</f>
        <v>9</v>
      </c>
      <c r="I17" s="2" t="str">
        <f>IF(Source!$C17&gt;=COLUMNS($A17:I17), Source!$E17, "")</f>
        <v/>
      </c>
      <c r="J17" s="2" t="str">
        <f>IF(Source!$C17&gt;=COLUMNS($A17:J17), Source!$E17, "")</f>
        <v/>
      </c>
      <c r="K17" s="2" t="str">
        <f>IF(Source!$C17&gt;=COLUMNS($A17:K17), Source!$E17, "")</f>
        <v/>
      </c>
      <c r="L17" s="2" t="str">
        <f>IF(Source!$C17&gt;=COLUMNS($A17:L17), Source!$E17, "")</f>
        <v/>
      </c>
      <c r="M17" s="2" t="str">
        <f>IF(Source!$C17&gt;=COLUMNS($A17:M17), Source!$E17, "")</f>
        <v/>
      </c>
      <c r="N17" s="2" t="str">
        <f>IF(Source!$C17&gt;=COLUMNS($A17:N17), Source!$E17, "")</f>
        <v/>
      </c>
      <c r="O17" s="2" t="str">
        <f>IF(Source!$C17&gt;=COLUMNS($A17:O17), Source!$E17, "")</f>
        <v/>
      </c>
      <c r="P17" s="2" t="str">
        <f>IF(Source!$C17&gt;=COLUMNS($A17:P17), Source!$E17, "")</f>
        <v/>
      </c>
      <c r="Q17" s="2" t="str">
        <f>IF(Source!$C17&gt;=COLUMNS($A17:Q17), Source!$E17, "")</f>
        <v/>
      </c>
      <c r="R17" s="2" t="str">
        <f>IF(Source!$C17&gt;=COLUMNS($A17:R17), Source!$E17, "")</f>
        <v/>
      </c>
      <c r="S17" s="2" t="str">
        <f>IF(Source!$C17&gt;=COLUMNS($A17:S17), Source!$E17, "")</f>
        <v/>
      </c>
      <c r="T17" s="2" t="str">
        <f>IF(Source!$C17&gt;=COLUMNS($A17:T17), Source!$E17, "")</f>
        <v/>
      </c>
      <c r="U17" s="2" t="str">
        <f>IF(Source!$C17&gt;=COLUMNS($A17:U17), Source!$E17, "")</f>
        <v/>
      </c>
      <c r="V17" s="2" t="str">
        <f>IF(Source!$C17&gt;=COLUMNS($A17:V17), Source!$E17, "")</f>
        <v/>
      </c>
      <c r="W17" s="2" t="str">
        <f>IF(Source!$C17&gt;=COLUMNS($A17:W17), Source!$E17, "")</f>
        <v/>
      </c>
      <c r="X17" s="2" t="str">
        <f>IF(Source!$C17&gt;=COLUMNS($A17:X17), Source!$E17, "")</f>
        <v/>
      </c>
      <c r="Y17" s="2" t="str">
        <f>IF(Source!$C17&gt;=COLUMNS($A17:Y17), Source!$E17, "")</f>
        <v/>
      </c>
      <c r="Z17" s="2" t="str">
        <f>IF(Source!$C17&gt;=COLUMNS($A17:Z17), Source!$E17, "")</f>
        <v/>
      </c>
      <c r="AA17" s="2" t="str">
        <f>IF(Source!$C17&gt;=COLUMNS($A17:AA17), Source!$E17, "")</f>
        <v/>
      </c>
      <c r="AB17" s="2" t="str">
        <f>IF(Source!$C17&gt;=COLUMNS($A17:AB17), Source!$E17, "")</f>
        <v/>
      </c>
      <c r="AC17" s="2" t="str">
        <f>IF(Source!$C17&gt;=COLUMNS($A17:AC17), Source!$E17, "")</f>
        <v/>
      </c>
      <c r="AD17" s="2" t="str">
        <f>IF(Source!$C17&gt;=COLUMNS($A17:AD17), Source!$E17, "")</f>
        <v/>
      </c>
      <c r="AE17" s="2" t="str">
        <f>IF(Source!$C17&gt;=COLUMNS($A17:AE17), Source!$E17, "")</f>
        <v/>
      </c>
      <c r="AF17" s="2" t="str">
        <f>IF(Source!$C17&gt;=COLUMNS($A17:AF17), Source!$E17, "")</f>
        <v/>
      </c>
      <c r="AG17" s="2" t="str">
        <f>IF(Source!$C17&gt;=COLUMNS($A17:AG17), Source!$E17, "")</f>
        <v/>
      </c>
      <c r="AH17" s="2" t="str">
        <f>IF(Source!$C17&gt;=COLUMNS($A17:AH17), Source!$E17, "")</f>
        <v/>
      </c>
      <c r="AI17" s="2" t="str">
        <f>IF(Source!$C17&gt;=COLUMNS($A17:AI17), Source!$E17, "")</f>
        <v/>
      </c>
      <c r="AJ17" s="2" t="str">
        <f>IF(Source!$C17&gt;=COLUMNS($A17:AJ17), Source!$E17, "")</f>
        <v/>
      </c>
      <c r="AK17" s="2" t="str">
        <f>IF(Source!$C17&gt;=COLUMNS($A17:AK17), Source!$E17, "")</f>
        <v/>
      </c>
      <c r="AL17" s="2" t="str">
        <f>IF(Source!$C17&gt;=COLUMNS($A17:AL17), Source!$E17, "")</f>
        <v/>
      </c>
      <c r="AM17" s="2" t="str">
        <f>IF(Source!$C17&gt;=COLUMNS($A17:AM17), Source!$E17, "")</f>
        <v/>
      </c>
      <c r="AN17" s="2" t="str">
        <f>IF(Source!$C17&gt;=COLUMNS($A17:AN17), Source!$E17, "")</f>
        <v/>
      </c>
      <c r="AO17" s="2" t="str">
        <f>IF(Source!$C17&gt;=COLUMNS($A17:AO17), Source!$E17, "")</f>
        <v/>
      </c>
      <c r="AP17" s="2" t="str">
        <f>IF(Source!$C17&gt;=COLUMNS($A17:AP17), Source!$E17, "")</f>
        <v/>
      </c>
      <c r="AQ17" s="2" t="str">
        <f>IF(Source!$C17&gt;=COLUMNS($A17:AQ17), Source!$E17, "")</f>
        <v/>
      </c>
      <c r="AR17" s="2" t="str">
        <f>IF(Source!$C17&gt;=COLUMNS($A17:AR17), Source!$E17, "")</f>
        <v/>
      </c>
    </row>
    <row r="18">
      <c r="A18" s="2">
        <f>IF(Source!$C18&gt;=COLUMNS($A18:A18), Source!$E18, "")</f>
        <v>4</v>
      </c>
      <c r="B18" s="2">
        <f>IF(Source!$C18&gt;=COLUMNS($A18:B18), Source!$E18, "")</f>
        <v>4</v>
      </c>
      <c r="C18" s="2">
        <f>IF(Source!$C18&gt;=COLUMNS($A18:C18), Source!$E18, "")</f>
        <v>4</v>
      </c>
      <c r="D18" s="2">
        <f>IF(Source!$C18&gt;=COLUMNS($A18:D18), Source!$E18, "")</f>
        <v>4</v>
      </c>
      <c r="E18" s="2">
        <f>IF(Source!$C18&gt;=COLUMNS($A18:E18), Source!$E18, "")</f>
        <v>4</v>
      </c>
      <c r="F18" s="2" t="str">
        <f>IF(Source!$C18&gt;=COLUMNS($A18:F18), Source!$E18, "")</f>
        <v/>
      </c>
      <c r="G18" s="2" t="str">
        <f>IF(Source!$C18&gt;=COLUMNS($A18:G18), Source!$E18, "")</f>
        <v/>
      </c>
      <c r="H18" s="2" t="str">
        <f>IF(Source!$C18&gt;=COLUMNS($A18:H18), Source!$E18, "")</f>
        <v/>
      </c>
      <c r="I18" s="2" t="str">
        <f>IF(Source!$C18&gt;=COLUMNS($A18:I18), Source!$E18, "")</f>
        <v/>
      </c>
      <c r="J18" s="2" t="str">
        <f>IF(Source!$C18&gt;=COLUMNS($A18:J18), Source!$E18, "")</f>
        <v/>
      </c>
      <c r="K18" s="2" t="str">
        <f>IF(Source!$C18&gt;=COLUMNS($A18:K18), Source!$E18, "")</f>
        <v/>
      </c>
      <c r="L18" s="2" t="str">
        <f>IF(Source!$C18&gt;=COLUMNS($A18:L18), Source!$E18, "")</f>
        <v/>
      </c>
      <c r="M18" s="2" t="str">
        <f>IF(Source!$C18&gt;=COLUMNS($A18:M18), Source!$E18, "")</f>
        <v/>
      </c>
      <c r="N18" s="2" t="str">
        <f>IF(Source!$C18&gt;=COLUMNS($A18:N18), Source!$E18, "")</f>
        <v/>
      </c>
      <c r="O18" s="2" t="str">
        <f>IF(Source!$C18&gt;=COLUMNS($A18:O18), Source!$E18, "")</f>
        <v/>
      </c>
      <c r="P18" s="2" t="str">
        <f>IF(Source!$C18&gt;=COLUMNS($A18:P18), Source!$E18, "")</f>
        <v/>
      </c>
      <c r="Q18" s="2" t="str">
        <f>IF(Source!$C18&gt;=COLUMNS($A18:Q18), Source!$E18, "")</f>
        <v/>
      </c>
      <c r="R18" s="2" t="str">
        <f>IF(Source!$C18&gt;=COLUMNS($A18:R18), Source!$E18, "")</f>
        <v/>
      </c>
      <c r="S18" s="2" t="str">
        <f>IF(Source!$C18&gt;=COLUMNS($A18:S18), Source!$E18, "")</f>
        <v/>
      </c>
      <c r="T18" s="2" t="str">
        <f>IF(Source!$C18&gt;=COLUMNS($A18:T18), Source!$E18, "")</f>
        <v/>
      </c>
      <c r="U18" s="2" t="str">
        <f>IF(Source!$C18&gt;=COLUMNS($A18:U18), Source!$E18, "")</f>
        <v/>
      </c>
      <c r="V18" s="2" t="str">
        <f>IF(Source!$C18&gt;=COLUMNS($A18:V18), Source!$E18, "")</f>
        <v/>
      </c>
      <c r="W18" s="2" t="str">
        <f>IF(Source!$C18&gt;=COLUMNS($A18:W18), Source!$E18, "")</f>
        <v/>
      </c>
      <c r="X18" s="2" t="str">
        <f>IF(Source!$C18&gt;=COLUMNS($A18:X18), Source!$E18, "")</f>
        <v/>
      </c>
      <c r="Y18" s="2" t="str">
        <f>IF(Source!$C18&gt;=COLUMNS($A18:Y18), Source!$E18, "")</f>
        <v/>
      </c>
      <c r="Z18" s="2" t="str">
        <f>IF(Source!$C18&gt;=COLUMNS($A18:Z18), Source!$E18, "")</f>
        <v/>
      </c>
      <c r="AA18" s="2" t="str">
        <f>IF(Source!$C18&gt;=COLUMNS($A18:AA18), Source!$E18, "")</f>
        <v/>
      </c>
      <c r="AB18" s="2" t="str">
        <f>IF(Source!$C18&gt;=COLUMNS($A18:AB18), Source!$E18, "")</f>
        <v/>
      </c>
      <c r="AC18" s="2" t="str">
        <f>IF(Source!$C18&gt;=COLUMNS($A18:AC18), Source!$E18, "")</f>
        <v/>
      </c>
      <c r="AD18" s="2" t="str">
        <f>IF(Source!$C18&gt;=COLUMNS($A18:AD18), Source!$E18, "")</f>
        <v/>
      </c>
      <c r="AE18" s="2" t="str">
        <f>IF(Source!$C18&gt;=COLUMNS($A18:AE18), Source!$E18, "")</f>
        <v/>
      </c>
      <c r="AF18" s="2" t="str">
        <f>IF(Source!$C18&gt;=COLUMNS($A18:AF18), Source!$E18, "")</f>
        <v/>
      </c>
      <c r="AG18" s="2" t="str">
        <f>IF(Source!$C18&gt;=COLUMNS($A18:AG18), Source!$E18, "")</f>
        <v/>
      </c>
      <c r="AH18" s="2" t="str">
        <f>IF(Source!$C18&gt;=COLUMNS($A18:AH18), Source!$E18, "")</f>
        <v/>
      </c>
      <c r="AI18" s="2" t="str">
        <f>IF(Source!$C18&gt;=COLUMNS($A18:AI18), Source!$E18, "")</f>
        <v/>
      </c>
      <c r="AJ18" s="2" t="str">
        <f>IF(Source!$C18&gt;=COLUMNS($A18:AJ18), Source!$E18, "")</f>
        <v/>
      </c>
      <c r="AK18" s="2" t="str">
        <f>IF(Source!$C18&gt;=COLUMNS($A18:AK18), Source!$E18, "")</f>
        <v/>
      </c>
      <c r="AL18" s="2" t="str">
        <f>IF(Source!$C18&gt;=COLUMNS($A18:AL18), Source!$E18, "")</f>
        <v/>
      </c>
      <c r="AM18" s="2" t="str">
        <f>IF(Source!$C18&gt;=COLUMNS($A18:AM18), Source!$E18, "")</f>
        <v/>
      </c>
      <c r="AN18" s="2" t="str">
        <f>IF(Source!$C18&gt;=COLUMNS($A18:AN18), Source!$E18, "")</f>
        <v/>
      </c>
      <c r="AO18" s="2" t="str">
        <f>IF(Source!$C18&gt;=COLUMNS($A18:AO18), Source!$E18, "")</f>
        <v/>
      </c>
      <c r="AP18" s="2" t="str">
        <f>IF(Source!$C18&gt;=COLUMNS($A18:AP18), Source!$E18, "")</f>
        <v/>
      </c>
      <c r="AQ18" s="2" t="str">
        <f>IF(Source!$C18&gt;=COLUMNS($A18:AQ18), Source!$E18, "")</f>
        <v/>
      </c>
      <c r="AR18" s="2" t="str">
        <f>IF(Source!$C18&gt;=COLUMNS($A18:AR18), Source!$E18, "")</f>
        <v/>
      </c>
    </row>
    <row r="19">
      <c r="A19" s="2">
        <f>IF(Source!$C19&gt;=COLUMNS($A19:A19), Source!$E19, "")</f>
        <v>6</v>
      </c>
      <c r="B19" s="2" t="str">
        <f>IF(Source!$C19&gt;=COLUMNS($A19:B19), Source!$E19, "")</f>
        <v/>
      </c>
      <c r="C19" s="2" t="str">
        <f>IF(Source!$C19&gt;=COLUMNS($A19:C19), Source!$E19, "")</f>
        <v/>
      </c>
      <c r="D19" s="2" t="str">
        <f>IF(Source!$C19&gt;=COLUMNS($A19:D19), Source!$E19, "")</f>
        <v/>
      </c>
      <c r="E19" s="2" t="str">
        <f>IF(Source!$C19&gt;=COLUMNS($A19:E19), Source!$E19, "")</f>
        <v/>
      </c>
      <c r="F19" s="2" t="str">
        <f>IF(Source!$C19&gt;=COLUMNS($A19:F19), Source!$E19, "")</f>
        <v/>
      </c>
      <c r="G19" s="2" t="str">
        <f>IF(Source!$C19&gt;=COLUMNS($A19:G19), Source!$E19, "")</f>
        <v/>
      </c>
      <c r="H19" s="2" t="str">
        <f>IF(Source!$C19&gt;=COLUMNS($A19:H19), Source!$E19, "")</f>
        <v/>
      </c>
      <c r="I19" s="2" t="str">
        <f>IF(Source!$C19&gt;=COLUMNS($A19:I19), Source!$E19, "")</f>
        <v/>
      </c>
      <c r="J19" s="2" t="str">
        <f>IF(Source!$C19&gt;=COLUMNS($A19:J19), Source!$E19, "")</f>
        <v/>
      </c>
      <c r="K19" s="2" t="str">
        <f>IF(Source!$C19&gt;=COLUMNS($A19:K19), Source!$E19, "")</f>
        <v/>
      </c>
      <c r="L19" s="2" t="str">
        <f>IF(Source!$C19&gt;=COLUMNS($A19:L19), Source!$E19, "")</f>
        <v/>
      </c>
      <c r="M19" s="2" t="str">
        <f>IF(Source!$C19&gt;=COLUMNS($A19:M19), Source!$E19, "")</f>
        <v/>
      </c>
      <c r="N19" s="2" t="str">
        <f>IF(Source!$C19&gt;=COLUMNS($A19:N19), Source!$E19, "")</f>
        <v/>
      </c>
      <c r="O19" s="2" t="str">
        <f>IF(Source!$C19&gt;=COLUMNS($A19:O19), Source!$E19, "")</f>
        <v/>
      </c>
      <c r="P19" s="2" t="str">
        <f>IF(Source!$C19&gt;=COLUMNS($A19:P19), Source!$E19, "")</f>
        <v/>
      </c>
      <c r="Q19" s="2" t="str">
        <f>IF(Source!$C19&gt;=COLUMNS($A19:Q19), Source!$E19, "")</f>
        <v/>
      </c>
      <c r="R19" s="2" t="str">
        <f>IF(Source!$C19&gt;=COLUMNS($A19:R19), Source!$E19, "")</f>
        <v/>
      </c>
      <c r="S19" s="2" t="str">
        <f>IF(Source!$C19&gt;=COLUMNS($A19:S19), Source!$E19, "")</f>
        <v/>
      </c>
      <c r="T19" s="2" t="str">
        <f>IF(Source!$C19&gt;=COLUMNS($A19:T19), Source!$E19, "")</f>
        <v/>
      </c>
      <c r="U19" s="2" t="str">
        <f>IF(Source!$C19&gt;=COLUMNS($A19:U19), Source!$E19, "")</f>
        <v/>
      </c>
      <c r="V19" s="2" t="str">
        <f>IF(Source!$C19&gt;=COLUMNS($A19:V19), Source!$E19, "")</f>
        <v/>
      </c>
      <c r="W19" s="2" t="str">
        <f>IF(Source!$C19&gt;=COLUMNS($A19:W19), Source!$E19, "")</f>
        <v/>
      </c>
      <c r="X19" s="2" t="str">
        <f>IF(Source!$C19&gt;=COLUMNS($A19:X19), Source!$E19, "")</f>
        <v/>
      </c>
      <c r="Y19" s="2" t="str">
        <f>IF(Source!$C19&gt;=COLUMNS($A19:Y19), Source!$E19, "")</f>
        <v/>
      </c>
      <c r="Z19" s="2" t="str">
        <f>IF(Source!$C19&gt;=COLUMNS($A19:Z19), Source!$E19, "")</f>
        <v/>
      </c>
      <c r="AA19" s="2" t="str">
        <f>IF(Source!$C19&gt;=COLUMNS($A19:AA19), Source!$E19, "")</f>
        <v/>
      </c>
      <c r="AB19" s="2" t="str">
        <f>IF(Source!$C19&gt;=COLUMNS($A19:AB19), Source!$E19, "")</f>
        <v/>
      </c>
      <c r="AC19" s="2" t="str">
        <f>IF(Source!$C19&gt;=COLUMNS($A19:AC19), Source!$E19, "")</f>
        <v/>
      </c>
      <c r="AD19" s="2" t="str">
        <f>IF(Source!$C19&gt;=COLUMNS($A19:AD19), Source!$E19, "")</f>
        <v/>
      </c>
      <c r="AE19" s="2" t="str">
        <f>IF(Source!$C19&gt;=COLUMNS($A19:AE19), Source!$E19, "")</f>
        <v/>
      </c>
      <c r="AF19" s="2" t="str">
        <f>IF(Source!$C19&gt;=COLUMNS($A19:AF19), Source!$E19, "")</f>
        <v/>
      </c>
      <c r="AG19" s="2" t="str">
        <f>IF(Source!$C19&gt;=COLUMNS($A19:AG19), Source!$E19, "")</f>
        <v/>
      </c>
      <c r="AH19" s="2" t="str">
        <f>IF(Source!$C19&gt;=COLUMNS($A19:AH19), Source!$E19, "")</f>
        <v/>
      </c>
      <c r="AI19" s="2" t="str">
        <f>IF(Source!$C19&gt;=COLUMNS($A19:AI19), Source!$E19, "")</f>
        <v/>
      </c>
      <c r="AJ19" s="2" t="str">
        <f>IF(Source!$C19&gt;=COLUMNS($A19:AJ19), Source!$E19, "")</f>
        <v/>
      </c>
      <c r="AK19" s="2" t="str">
        <f>IF(Source!$C19&gt;=COLUMNS($A19:AK19), Source!$E19, "")</f>
        <v/>
      </c>
      <c r="AL19" s="2" t="str">
        <f>IF(Source!$C19&gt;=COLUMNS($A19:AL19), Source!$E19, "")</f>
        <v/>
      </c>
      <c r="AM19" s="2" t="str">
        <f>IF(Source!$C19&gt;=COLUMNS($A19:AM19), Source!$E19, "")</f>
        <v/>
      </c>
      <c r="AN19" s="2" t="str">
        <f>IF(Source!$C19&gt;=COLUMNS($A19:AN19), Source!$E19, "")</f>
        <v/>
      </c>
      <c r="AO19" s="2" t="str">
        <f>IF(Source!$C19&gt;=COLUMNS($A19:AO19), Source!$E19, "")</f>
        <v/>
      </c>
      <c r="AP19" s="2" t="str">
        <f>IF(Source!$C19&gt;=COLUMNS($A19:AP19), Source!$E19, "")</f>
        <v/>
      </c>
      <c r="AQ19" s="2" t="str">
        <f>IF(Source!$C19&gt;=COLUMNS($A19:AQ19), Source!$E19, "")</f>
        <v/>
      </c>
      <c r="AR19" s="2" t="str">
        <f>IF(Source!$C19&gt;=COLUMNS($A19:AR19), Source!$E19, "")</f>
        <v/>
      </c>
    </row>
    <row r="20">
      <c r="A20" s="2">
        <f>IF(Source!$C20&gt;=COLUMNS($A20:A20), Source!$E20, "")</f>
        <v>8</v>
      </c>
      <c r="B20" s="2">
        <f>IF(Source!$C20&gt;=COLUMNS($A20:B20), Source!$E20, "")</f>
        <v>8</v>
      </c>
      <c r="C20" s="2" t="str">
        <f>IF(Source!$C20&gt;=COLUMNS($A20:C20), Source!$E20, "")</f>
        <v/>
      </c>
      <c r="D20" s="2" t="str">
        <f>IF(Source!$C20&gt;=COLUMNS($A20:D20), Source!$E20, "")</f>
        <v/>
      </c>
      <c r="E20" s="2" t="str">
        <f>IF(Source!$C20&gt;=COLUMNS($A20:E20), Source!$E20, "")</f>
        <v/>
      </c>
      <c r="F20" s="2" t="str">
        <f>IF(Source!$C20&gt;=COLUMNS($A20:F20), Source!$E20, "")</f>
        <v/>
      </c>
      <c r="G20" s="2" t="str">
        <f>IF(Source!$C20&gt;=COLUMNS($A20:G20), Source!$E20, "")</f>
        <v/>
      </c>
      <c r="H20" s="2" t="str">
        <f>IF(Source!$C20&gt;=COLUMNS($A20:H20), Source!$E20, "")</f>
        <v/>
      </c>
      <c r="I20" s="2" t="str">
        <f>IF(Source!$C20&gt;=COLUMNS($A20:I20), Source!$E20, "")</f>
        <v/>
      </c>
      <c r="J20" s="2" t="str">
        <f>IF(Source!$C20&gt;=COLUMNS($A20:J20), Source!$E20, "")</f>
        <v/>
      </c>
      <c r="K20" s="2" t="str">
        <f>IF(Source!$C20&gt;=COLUMNS($A20:K20), Source!$E20, "")</f>
        <v/>
      </c>
      <c r="L20" s="2" t="str">
        <f>IF(Source!$C20&gt;=COLUMNS($A20:L20), Source!$E20, "")</f>
        <v/>
      </c>
      <c r="M20" s="2" t="str">
        <f>IF(Source!$C20&gt;=COLUMNS($A20:M20), Source!$E20, "")</f>
        <v/>
      </c>
      <c r="N20" s="2" t="str">
        <f>IF(Source!$C20&gt;=COLUMNS($A20:N20), Source!$E20, "")</f>
        <v/>
      </c>
      <c r="O20" s="2" t="str">
        <f>IF(Source!$C20&gt;=COLUMNS($A20:O20), Source!$E20, "")</f>
        <v/>
      </c>
      <c r="P20" s="2" t="str">
        <f>IF(Source!$C20&gt;=COLUMNS($A20:P20), Source!$E20, "")</f>
        <v/>
      </c>
      <c r="Q20" s="2" t="str">
        <f>IF(Source!$C20&gt;=COLUMNS($A20:Q20), Source!$E20, "")</f>
        <v/>
      </c>
      <c r="R20" s="2" t="str">
        <f>IF(Source!$C20&gt;=COLUMNS($A20:R20), Source!$E20, "")</f>
        <v/>
      </c>
      <c r="S20" s="2" t="str">
        <f>IF(Source!$C20&gt;=COLUMNS($A20:S20), Source!$E20, "")</f>
        <v/>
      </c>
      <c r="T20" s="2" t="str">
        <f>IF(Source!$C20&gt;=COLUMNS($A20:T20), Source!$E20, "")</f>
        <v/>
      </c>
      <c r="U20" s="2" t="str">
        <f>IF(Source!$C20&gt;=COLUMNS($A20:U20), Source!$E20, "")</f>
        <v/>
      </c>
      <c r="V20" s="2" t="str">
        <f>IF(Source!$C20&gt;=COLUMNS($A20:V20), Source!$E20, "")</f>
        <v/>
      </c>
      <c r="W20" s="2" t="str">
        <f>IF(Source!$C20&gt;=COLUMNS($A20:W20), Source!$E20, "")</f>
        <v/>
      </c>
      <c r="X20" s="2" t="str">
        <f>IF(Source!$C20&gt;=COLUMNS($A20:X20), Source!$E20, "")</f>
        <v/>
      </c>
      <c r="Y20" s="2" t="str">
        <f>IF(Source!$C20&gt;=COLUMNS($A20:Y20), Source!$E20, "")</f>
        <v/>
      </c>
      <c r="Z20" s="2" t="str">
        <f>IF(Source!$C20&gt;=COLUMNS($A20:Z20), Source!$E20, "")</f>
        <v/>
      </c>
      <c r="AA20" s="2" t="str">
        <f>IF(Source!$C20&gt;=COLUMNS($A20:AA20), Source!$E20, "")</f>
        <v/>
      </c>
      <c r="AB20" s="2" t="str">
        <f>IF(Source!$C20&gt;=COLUMNS($A20:AB20), Source!$E20, "")</f>
        <v/>
      </c>
      <c r="AC20" s="2" t="str">
        <f>IF(Source!$C20&gt;=COLUMNS($A20:AC20), Source!$E20, "")</f>
        <v/>
      </c>
      <c r="AD20" s="2" t="str">
        <f>IF(Source!$C20&gt;=COLUMNS($A20:AD20), Source!$E20, "")</f>
        <v/>
      </c>
      <c r="AE20" s="2" t="str">
        <f>IF(Source!$C20&gt;=COLUMNS($A20:AE20), Source!$E20, "")</f>
        <v/>
      </c>
      <c r="AF20" s="2" t="str">
        <f>IF(Source!$C20&gt;=COLUMNS($A20:AF20), Source!$E20, "")</f>
        <v/>
      </c>
      <c r="AG20" s="2" t="str">
        <f>IF(Source!$C20&gt;=COLUMNS($A20:AG20), Source!$E20, "")</f>
        <v/>
      </c>
      <c r="AH20" s="2" t="str">
        <f>IF(Source!$C20&gt;=COLUMNS($A20:AH20), Source!$E20, "")</f>
        <v/>
      </c>
      <c r="AI20" s="2" t="str">
        <f>IF(Source!$C20&gt;=COLUMNS($A20:AI20), Source!$E20, "")</f>
        <v/>
      </c>
      <c r="AJ20" s="2" t="str">
        <f>IF(Source!$C20&gt;=COLUMNS($A20:AJ20), Source!$E20, "")</f>
        <v/>
      </c>
      <c r="AK20" s="2" t="str">
        <f>IF(Source!$C20&gt;=COLUMNS($A20:AK20), Source!$E20, "")</f>
        <v/>
      </c>
      <c r="AL20" s="2" t="str">
        <f>IF(Source!$C20&gt;=COLUMNS($A20:AL20), Source!$E20, "")</f>
        <v/>
      </c>
      <c r="AM20" s="2" t="str">
        <f>IF(Source!$C20&gt;=COLUMNS($A20:AM20), Source!$E20, "")</f>
        <v/>
      </c>
      <c r="AN20" s="2" t="str">
        <f>IF(Source!$C20&gt;=COLUMNS($A20:AN20), Source!$E20, "")</f>
        <v/>
      </c>
      <c r="AO20" s="2" t="str">
        <f>IF(Source!$C20&gt;=COLUMNS($A20:AO20), Source!$E20, "")</f>
        <v/>
      </c>
      <c r="AP20" s="2" t="str">
        <f>IF(Source!$C20&gt;=COLUMNS($A20:AP20), Source!$E20, "")</f>
        <v/>
      </c>
      <c r="AQ20" s="2" t="str">
        <f>IF(Source!$C20&gt;=COLUMNS($A20:AQ20), Source!$E20, "")</f>
        <v/>
      </c>
      <c r="AR20" s="2" t="str">
        <f>IF(Source!$C20&gt;=COLUMNS($A20:AR20), Source!$E20, "")</f>
        <v/>
      </c>
    </row>
    <row r="21">
      <c r="A21" s="2">
        <f>IF(Source!$C21&gt;=COLUMNS($A21:A21), Source!$E21, "")</f>
        <v>9</v>
      </c>
      <c r="B21" s="2">
        <f>IF(Source!$C21&gt;=COLUMNS($A21:B21), Source!$E21, "")</f>
        <v>9</v>
      </c>
      <c r="C21" s="2">
        <f>IF(Source!$C21&gt;=COLUMNS($A21:C21), Source!$E21, "")</f>
        <v>9</v>
      </c>
      <c r="D21" s="2">
        <f>IF(Source!$C21&gt;=COLUMNS($A21:D21), Source!$E21, "")</f>
        <v>9</v>
      </c>
      <c r="E21" s="2">
        <f>IF(Source!$C21&gt;=COLUMNS($A21:E21), Source!$E21, "")</f>
        <v>9</v>
      </c>
      <c r="F21" s="2">
        <f>IF(Source!$C21&gt;=COLUMNS($A21:F21), Source!$E21, "")</f>
        <v>9</v>
      </c>
      <c r="G21" s="2">
        <f>IF(Source!$C21&gt;=COLUMNS($A21:G21), Source!$E21, "")</f>
        <v>9</v>
      </c>
      <c r="H21" s="2">
        <f>IF(Source!$C21&gt;=COLUMNS($A21:H21), Source!$E21, "")</f>
        <v>9</v>
      </c>
      <c r="I21" s="2">
        <f>IF(Source!$C21&gt;=COLUMNS($A21:I21), Source!$E21, "")</f>
        <v>9</v>
      </c>
      <c r="J21" s="2" t="str">
        <f>IF(Source!$C21&gt;=COLUMNS($A21:J21), Source!$E21, "")</f>
        <v/>
      </c>
      <c r="K21" s="2" t="str">
        <f>IF(Source!$C21&gt;=COLUMNS($A21:K21), Source!$E21, "")</f>
        <v/>
      </c>
      <c r="L21" s="2" t="str">
        <f>IF(Source!$C21&gt;=COLUMNS($A21:L21), Source!$E21, "")</f>
        <v/>
      </c>
      <c r="M21" s="2" t="str">
        <f>IF(Source!$C21&gt;=COLUMNS($A21:M21), Source!$E21, "")</f>
        <v/>
      </c>
      <c r="N21" s="2" t="str">
        <f>IF(Source!$C21&gt;=COLUMNS($A21:N21), Source!$E21, "")</f>
        <v/>
      </c>
      <c r="O21" s="2" t="str">
        <f>IF(Source!$C21&gt;=COLUMNS($A21:O21), Source!$E21, "")</f>
        <v/>
      </c>
      <c r="P21" s="2" t="str">
        <f>IF(Source!$C21&gt;=COLUMNS($A21:P21), Source!$E21, "")</f>
        <v/>
      </c>
      <c r="Q21" s="2" t="str">
        <f>IF(Source!$C21&gt;=COLUMNS($A21:Q21), Source!$E21, "")</f>
        <v/>
      </c>
      <c r="R21" s="2" t="str">
        <f>IF(Source!$C21&gt;=COLUMNS($A21:R21), Source!$E21, "")</f>
        <v/>
      </c>
      <c r="S21" s="2" t="str">
        <f>IF(Source!$C21&gt;=COLUMNS($A21:S21), Source!$E21, "")</f>
        <v/>
      </c>
      <c r="T21" s="2" t="str">
        <f>IF(Source!$C21&gt;=COLUMNS($A21:T21), Source!$E21, "")</f>
        <v/>
      </c>
      <c r="U21" s="2" t="str">
        <f>IF(Source!$C21&gt;=COLUMNS($A21:U21), Source!$E21, "")</f>
        <v/>
      </c>
      <c r="V21" s="2" t="str">
        <f>IF(Source!$C21&gt;=COLUMNS($A21:V21), Source!$E21, "")</f>
        <v/>
      </c>
      <c r="W21" s="2" t="str">
        <f>IF(Source!$C21&gt;=COLUMNS($A21:W21), Source!$E21, "")</f>
        <v/>
      </c>
      <c r="X21" s="2" t="str">
        <f>IF(Source!$C21&gt;=COLUMNS($A21:X21), Source!$E21, "")</f>
        <v/>
      </c>
      <c r="Y21" s="2" t="str">
        <f>IF(Source!$C21&gt;=COLUMNS($A21:Y21), Source!$E21, "")</f>
        <v/>
      </c>
      <c r="Z21" s="2" t="str">
        <f>IF(Source!$C21&gt;=COLUMNS($A21:Z21), Source!$E21, "")</f>
        <v/>
      </c>
      <c r="AA21" s="2" t="str">
        <f>IF(Source!$C21&gt;=COLUMNS($A21:AA21), Source!$E21, "")</f>
        <v/>
      </c>
      <c r="AB21" s="2" t="str">
        <f>IF(Source!$C21&gt;=COLUMNS($A21:AB21), Source!$E21, "")</f>
        <v/>
      </c>
      <c r="AC21" s="2" t="str">
        <f>IF(Source!$C21&gt;=COLUMNS($A21:AC21), Source!$E21, "")</f>
        <v/>
      </c>
      <c r="AD21" s="2" t="str">
        <f>IF(Source!$C21&gt;=COLUMNS($A21:AD21), Source!$E21, "")</f>
        <v/>
      </c>
      <c r="AE21" s="2" t="str">
        <f>IF(Source!$C21&gt;=COLUMNS($A21:AE21), Source!$E21, "")</f>
        <v/>
      </c>
      <c r="AF21" s="2" t="str">
        <f>IF(Source!$C21&gt;=COLUMNS($A21:AF21), Source!$E21, "")</f>
        <v/>
      </c>
      <c r="AG21" s="2" t="str">
        <f>IF(Source!$C21&gt;=COLUMNS($A21:AG21), Source!$E21, "")</f>
        <v/>
      </c>
      <c r="AH21" s="2" t="str">
        <f>IF(Source!$C21&gt;=COLUMNS($A21:AH21), Source!$E21, "")</f>
        <v/>
      </c>
      <c r="AI21" s="2" t="str">
        <f>IF(Source!$C21&gt;=COLUMNS($A21:AI21), Source!$E21, "")</f>
        <v/>
      </c>
      <c r="AJ21" s="2" t="str">
        <f>IF(Source!$C21&gt;=COLUMNS($A21:AJ21), Source!$E21, "")</f>
        <v/>
      </c>
      <c r="AK21" s="2" t="str">
        <f>IF(Source!$C21&gt;=COLUMNS($A21:AK21), Source!$E21, "")</f>
        <v/>
      </c>
      <c r="AL21" s="2" t="str">
        <f>IF(Source!$C21&gt;=COLUMNS($A21:AL21), Source!$E21, "")</f>
        <v/>
      </c>
      <c r="AM21" s="2" t="str">
        <f>IF(Source!$C21&gt;=COLUMNS($A21:AM21), Source!$E21, "")</f>
        <v/>
      </c>
      <c r="AN21" s="2" t="str">
        <f>IF(Source!$C21&gt;=COLUMNS($A21:AN21), Source!$E21, "")</f>
        <v/>
      </c>
      <c r="AO21" s="2" t="str">
        <f>IF(Source!$C21&gt;=COLUMNS($A21:AO21), Source!$E21, "")</f>
        <v/>
      </c>
      <c r="AP21" s="2" t="str">
        <f>IF(Source!$C21&gt;=COLUMNS($A21:AP21), Source!$E21, "")</f>
        <v/>
      </c>
      <c r="AQ21" s="2" t="str">
        <f>IF(Source!$C21&gt;=COLUMNS($A21:AQ21), Source!$E21, "")</f>
        <v/>
      </c>
      <c r="AR21" s="2" t="str">
        <f>IF(Source!$C21&gt;=COLUMNS($A21:AR21), Source!$E21, "")</f>
        <v/>
      </c>
    </row>
    <row r="22">
      <c r="A22" s="2">
        <f>IF(Source!$C22&gt;=COLUMNS($A22:A22), Source!$E22, "")</f>
        <v>8</v>
      </c>
      <c r="B22" s="2">
        <f>IF(Source!$C22&gt;=COLUMNS($A22:B22), Source!$E22, "")</f>
        <v>8</v>
      </c>
      <c r="C22" s="2" t="str">
        <f>IF(Source!$C22&gt;=COLUMNS($A22:C22), Source!$E22, "")</f>
        <v/>
      </c>
      <c r="D22" s="2" t="str">
        <f>IF(Source!$C22&gt;=COLUMNS($A22:D22), Source!$E22, "")</f>
        <v/>
      </c>
      <c r="E22" s="2" t="str">
        <f>IF(Source!$C22&gt;=COLUMNS($A22:E22), Source!$E22, "")</f>
        <v/>
      </c>
      <c r="F22" s="2" t="str">
        <f>IF(Source!$C22&gt;=COLUMNS($A22:F22), Source!$E22, "")</f>
        <v/>
      </c>
      <c r="G22" s="2" t="str">
        <f>IF(Source!$C22&gt;=COLUMNS($A22:G22), Source!$E22, "")</f>
        <v/>
      </c>
      <c r="H22" s="2" t="str">
        <f>IF(Source!$C22&gt;=COLUMNS($A22:H22), Source!$E22, "")</f>
        <v/>
      </c>
      <c r="I22" s="2" t="str">
        <f>IF(Source!$C22&gt;=COLUMNS($A22:I22), Source!$E22, "")</f>
        <v/>
      </c>
      <c r="J22" s="2" t="str">
        <f>IF(Source!$C22&gt;=COLUMNS($A22:J22), Source!$E22, "")</f>
        <v/>
      </c>
      <c r="K22" s="2" t="str">
        <f>IF(Source!$C22&gt;=COLUMNS($A22:K22), Source!$E22, "")</f>
        <v/>
      </c>
      <c r="L22" s="2" t="str">
        <f>IF(Source!$C22&gt;=COLUMNS($A22:L22), Source!$E22, "")</f>
        <v/>
      </c>
      <c r="M22" s="2" t="str">
        <f>IF(Source!$C22&gt;=COLUMNS($A22:M22), Source!$E22, "")</f>
        <v/>
      </c>
      <c r="N22" s="2" t="str">
        <f>IF(Source!$C22&gt;=COLUMNS($A22:N22), Source!$E22, "")</f>
        <v/>
      </c>
      <c r="O22" s="2" t="str">
        <f>IF(Source!$C22&gt;=COLUMNS($A22:O22), Source!$E22, "")</f>
        <v/>
      </c>
      <c r="P22" s="2" t="str">
        <f>IF(Source!$C22&gt;=COLUMNS($A22:P22), Source!$E22, "")</f>
        <v/>
      </c>
      <c r="Q22" s="2" t="str">
        <f>IF(Source!$C22&gt;=COLUMNS($A22:Q22), Source!$E22, "")</f>
        <v/>
      </c>
      <c r="R22" s="2" t="str">
        <f>IF(Source!$C22&gt;=COLUMNS($A22:R22), Source!$E22, "")</f>
        <v/>
      </c>
      <c r="S22" s="2" t="str">
        <f>IF(Source!$C22&gt;=COLUMNS($A22:S22), Source!$E22, "")</f>
        <v/>
      </c>
      <c r="T22" s="2" t="str">
        <f>IF(Source!$C22&gt;=COLUMNS($A22:T22), Source!$E22, "")</f>
        <v/>
      </c>
      <c r="U22" s="2" t="str">
        <f>IF(Source!$C22&gt;=COLUMNS($A22:U22), Source!$E22, "")</f>
        <v/>
      </c>
      <c r="V22" s="2" t="str">
        <f>IF(Source!$C22&gt;=COLUMNS($A22:V22), Source!$E22, "")</f>
        <v/>
      </c>
      <c r="W22" s="2" t="str">
        <f>IF(Source!$C22&gt;=COLUMNS($A22:W22), Source!$E22, "")</f>
        <v/>
      </c>
      <c r="X22" s="2" t="str">
        <f>IF(Source!$C22&gt;=COLUMNS($A22:X22), Source!$E22, "")</f>
        <v/>
      </c>
      <c r="Y22" s="2" t="str">
        <f>IF(Source!$C22&gt;=COLUMNS($A22:Y22), Source!$E22, "")</f>
        <v/>
      </c>
      <c r="Z22" s="2" t="str">
        <f>IF(Source!$C22&gt;=COLUMNS($A22:Z22), Source!$E22, "")</f>
        <v/>
      </c>
      <c r="AA22" s="2" t="str">
        <f>IF(Source!$C22&gt;=COLUMNS($A22:AA22), Source!$E22, "")</f>
        <v/>
      </c>
      <c r="AB22" s="2" t="str">
        <f>IF(Source!$C22&gt;=COLUMNS($A22:AB22), Source!$E22, "")</f>
        <v/>
      </c>
      <c r="AC22" s="2" t="str">
        <f>IF(Source!$C22&gt;=COLUMNS($A22:AC22), Source!$E22, "")</f>
        <v/>
      </c>
      <c r="AD22" s="2" t="str">
        <f>IF(Source!$C22&gt;=COLUMNS($A22:AD22), Source!$E22, "")</f>
        <v/>
      </c>
      <c r="AE22" s="2" t="str">
        <f>IF(Source!$C22&gt;=COLUMNS($A22:AE22), Source!$E22, "")</f>
        <v/>
      </c>
      <c r="AF22" s="2" t="str">
        <f>IF(Source!$C22&gt;=COLUMNS($A22:AF22), Source!$E22, "")</f>
        <v/>
      </c>
      <c r="AG22" s="2" t="str">
        <f>IF(Source!$C22&gt;=COLUMNS($A22:AG22), Source!$E22, "")</f>
        <v/>
      </c>
      <c r="AH22" s="2" t="str">
        <f>IF(Source!$C22&gt;=COLUMNS($A22:AH22), Source!$E22, "")</f>
        <v/>
      </c>
      <c r="AI22" s="2" t="str">
        <f>IF(Source!$C22&gt;=COLUMNS($A22:AI22), Source!$E22, "")</f>
        <v/>
      </c>
      <c r="AJ22" s="2" t="str">
        <f>IF(Source!$C22&gt;=COLUMNS($A22:AJ22), Source!$E22, "")</f>
        <v/>
      </c>
      <c r="AK22" s="2" t="str">
        <f>IF(Source!$C22&gt;=COLUMNS($A22:AK22), Source!$E22, "")</f>
        <v/>
      </c>
      <c r="AL22" s="2" t="str">
        <f>IF(Source!$C22&gt;=COLUMNS($A22:AL22), Source!$E22, "")</f>
        <v/>
      </c>
      <c r="AM22" s="2" t="str">
        <f>IF(Source!$C22&gt;=COLUMNS($A22:AM22), Source!$E22, "")</f>
        <v/>
      </c>
      <c r="AN22" s="2" t="str">
        <f>IF(Source!$C22&gt;=COLUMNS($A22:AN22), Source!$E22, "")</f>
        <v/>
      </c>
      <c r="AO22" s="2" t="str">
        <f>IF(Source!$C22&gt;=COLUMNS($A22:AO22), Source!$E22, "")</f>
        <v/>
      </c>
      <c r="AP22" s="2" t="str">
        <f>IF(Source!$C22&gt;=COLUMNS($A22:AP22), Source!$E22, "")</f>
        <v/>
      </c>
      <c r="AQ22" s="2" t="str">
        <f>IF(Source!$C22&gt;=COLUMNS($A22:AQ22), Source!$E22, "")</f>
        <v/>
      </c>
      <c r="AR22" s="2" t="str">
        <f>IF(Source!$C22&gt;=COLUMNS($A22:AR22), Source!$E22, "")</f>
        <v/>
      </c>
    </row>
    <row r="23">
      <c r="A23" s="2">
        <f>IF(Source!$C23&gt;=COLUMNS($A23:A23), Source!$E23, "")</f>
        <v>8</v>
      </c>
      <c r="B23" s="2" t="str">
        <f>IF(Source!$C23&gt;=COLUMNS($A23:B23), Source!$E23, "")</f>
        <v/>
      </c>
      <c r="C23" s="2" t="str">
        <f>IF(Source!$C23&gt;=COLUMNS($A23:C23), Source!$E23, "")</f>
        <v/>
      </c>
      <c r="D23" s="2" t="str">
        <f>IF(Source!$C23&gt;=COLUMNS($A23:D23), Source!$E23, "")</f>
        <v/>
      </c>
      <c r="E23" s="2" t="str">
        <f>IF(Source!$C23&gt;=COLUMNS($A23:E23), Source!$E23, "")</f>
        <v/>
      </c>
      <c r="F23" s="2" t="str">
        <f>IF(Source!$C23&gt;=COLUMNS($A23:F23), Source!$E23, "")</f>
        <v/>
      </c>
      <c r="G23" s="2" t="str">
        <f>IF(Source!$C23&gt;=COLUMNS($A23:G23), Source!$E23, "")</f>
        <v/>
      </c>
      <c r="H23" s="2" t="str">
        <f>IF(Source!$C23&gt;=COLUMNS($A23:H23), Source!$E23, "")</f>
        <v/>
      </c>
      <c r="I23" s="2" t="str">
        <f>IF(Source!$C23&gt;=COLUMNS($A23:I23), Source!$E23, "")</f>
        <v/>
      </c>
      <c r="J23" s="2" t="str">
        <f>IF(Source!$C23&gt;=COLUMNS($A23:J23), Source!$E23, "")</f>
        <v/>
      </c>
      <c r="K23" s="2" t="str">
        <f>IF(Source!$C23&gt;=COLUMNS($A23:K23), Source!$E23, "")</f>
        <v/>
      </c>
      <c r="L23" s="2" t="str">
        <f>IF(Source!$C23&gt;=COLUMNS($A23:L23), Source!$E23, "")</f>
        <v/>
      </c>
      <c r="M23" s="2" t="str">
        <f>IF(Source!$C23&gt;=COLUMNS($A23:M23), Source!$E23, "")</f>
        <v/>
      </c>
      <c r="N23" s="2" t="str">
        <f>IF(Source!$C23&gt;=COLUMNS($A23:N23), Source!$E23, "")</f>
        <v/>
      </c>
      <c r="O23" s="2" t="str">
        <f>IF(Source!$C23&gt;=COLUMNS($A23:O23), Source!$E23, "")</f>
        <v/>
      </c>
      <c r="P23" s="2" t="str">
        <f>IF(Source!$C23&gt;=COLUMNS($A23:P23), Source!$E23, "")</f>
        <v/>
      </c>
      <c r="Q23" s="2" t="str">
        <f>IF(Source!$C23&gt;=COLUMNS($A23:Q23), Source!$E23, "")</f>
        <v/>
      </c>
      <c r="R23" s="2" t="str">
        <f>IF(Source!$C23&gt;=COLUMNS($A23:R23), Source!$E23, "")</f>
        <v/>
      </c>
      <c r="S23" s="2" t="str">
        <f>IF(Source!$C23&gt;=COLUMNS($A23:S23), Source!$E23, "")</f>
        <v/>
      </c>
      <c r="T23" s="2" t="str">
        <f>IF(Source!$C23&gt;=COLUMNS($A23:T23), Source!$E23, "")</f>
        <v/>
      </c>
      <c r="U23" s="2" t="str">
        <f>IF(Source!$C23&gt;=COLUMNS($A23:U23), Source!$E23, "")</f>
        <v/>
      </c>
      <c r="V23" s="2" t="str">
        <f>IF(Source!$C23&gt;=COLUMNS($A23:V23), Source!$E23, "")</f>
        <v/>
      </c>
      <c r="W23" s="2" t="str">
        <f>IF(Source!$C23&gt;=COLUMNS($A23:W23), Source!$E23, "")</f>
        <v/>
      </c>
      <c r="X23" s="2" t="str">
        <f>IF(Source!$C23&gt;=COLUMNS($A23:X23), Source!$E23, "")</f>
        <v/>
      </c>
      <c r="Y23" s="2" t="str">
        <f>IF(Source!$C23&gt;=COLUMNS($A23:Y23), Source!$E23, "")</f>
        <v/>
      </c>
      <c r="Z23" s="2" t="str">
        <f>IF(Source!$C23&gt;=COLUMNS($A23:Z23), Source!$E23, "")</f>
        <v/>
      </c>
      <c r="AA23" s="2" t="str">
        <f>IF(Source!$C23&gt;=COLUMNS($A23:AA23), Source!$E23, "")</f>
        <v/>
      </c>
      <c r="AB23" s="2" t="str">
        <f>IF(Source!$C23&gt;=COLUMNS($A23:AB23), Source!$E23, "")</f>
        <v/>
      </c>
      <c r="AC23" s="2" t="str">
        <f>IF(Source!$C23&gt;=COLUMNS($A23:AC23), Source!$E23, "")</f>
        <v/>
      </c>
      <c r="AD23" s="2" t="str">
        <f>IF(Source!$C23&gt;=COLUMNS($A23:AD23), Source!$E23, "")</f>
        <v/>
      </c>
      <c r="AE23" s="2" t="str">
        <f>IF(Source!$C23&gt;=COLUMNS($A23:AE23), Source!$E23, "")</f>
        <v/>
      </c>
      <c r="AF23" s="2" t="str">
        <f>IF(Source!$C23&gt;=COLUMNS($A23:AF23), Source!$E23, "")</f>
        <v/>
      </c>
      <c r="AG23" s="2" t="str">
        <f>IF(Source!$C23&gt;=COLUMNS($A23:AG23), Source!$E23, "")</f>
        <v/>
      </c>
      <c r="AH23" s="2" t="str">
        <f>IF(Source!$C23&gt;=COLUMNS($A23:AH23), Source!$E23, "")</f>
        <v/>
      </c>
      <c r="AI23" s="2" t="str">
        <f>IF(Source!$C23&gt;=COLUMNS($A23:AI23), Source!$E23, "")</f>
        <v/>
      </c>
      <c r="AJ23" s="2" t="str">
        <f>IF(Source!$C23&gt;=COLUMNS($A23:AJ23), Source!$E23, "")</f>
        <v/>
      </c>
      <c r="AK23" s="2" t="str">
        <f>IF(Source!$C23&gt;=COLUMNS($A23:AK23), Source!$E23, "")</f>
        <v/>
      </c>
      <c r="AL23" s="2" t="str">
        <f>IF(Source!$C23&gt;=COLUMNS($A23:AL23), Source!$E23, "")</f>
        <v/>
      </c>
      <c r="AM23" s="2" t="str">
        <f>IF(Source!$C23&gt;=COLUMNS($A23:AM23), Source!$E23, "")</f>
        <v/>
      </c>
      <c r="AN23" s="2" t="str">
        <f>IF(Source!$C23&gt;=COLUMNS($A23:AN23), Source!$E23, "")</f>
        <v/>
      </c>
      <c r="AO23" s="2" t="str">
        <f>IF(Source!$C23&gt;=COLUMNS($A23:AO23), Source!$E23, "")</f>
        <v/>
      </c>
      <c r="AP23" s="2" t="str">
        <f>IF(Source!$C23&gt;=COLUMNS($A23:AP23), Source!$E23, "")</f>
        <v/>
      </c>
      <c r="AQ23" s="2" t="str">
        <f>IF(Source!$C23&gt;=COLUMNS($A23:AQ23), Source!$E23, "")</f>
        <v/>
      </c>
      <c r="AR23" s="2" t="str">
        <f>IF(Source!$C23&gt;=COLUMNS($A23:AR23), Source!$E23, "")</f>
        <v/>
      </c>
    </row>
    <row r="24">
      <c r="A24" s="2">
        <f>IF(Source!$C24&gt;=COLUMNS($A24:A24), Source!$E24, "")</f>
        <v>9</v>
      </c>
      <c r="B24" s="2">
        <f>IF(Source!$C24&gt;=COLUMNS($A24:B24), Source!$E24, "")</f>
        <v>9</v>
      </c>
      <c r="C24" s="2">
        <f>IF(Source!$C24&gt;=COLUMNS($A24:C24), Source!$E24, "")</f>
        <v>9</v>
      </c>
      <c r="D24" s="2">
        <f>IF(Source!$C24&gt;=COLUMNS($A24:D24), Source!$E24, "")</f>
        <v>9</v>
      </c>
      <c r="E24" s="2">
        <f>IF(Source!$C24&gt;=COLUMNS($A24:E24), Source!$E24, "")</f>
        <v>9</v>
      </c>
      <c r="F24" s="2" t="str">
        <f>IF(Source!$C24&gt;=COLUMNS($A24:F24), Source!$E24, "")</f>
        <v/>
      </c>
      <c r="G24" s="2" t="str">
        <f>IF(Source!$C24&gt;=COLUMNS($A24:G24), Source!$E24, "")</f>
        <v/>
      </c>
      <c r="H24" s="2" t="str">
        <f>IF(Source!$C24&gt;=COLUMNS($A24:H24), Source!$E24, "")</f>
        <v/>
      </c>
      <c r="I24" s="2" t="str">
        <f>IF(Source!$C24&gt;=COLUMNS($A24:I24), Source!$E24, "")</f>
        <v/>
      </c>
      <c r="J24" s="2" t="str">
        <f>IF(Source!$C24&gt;=COLUMNS($A24:J24), Source!$E24, "")</f>
        <v/>
      </c>
      <c r="K24" s="2" t="str">
        <f>IF(Source!$C24&gt;=COLUMNS($A24:K24), Source!$E24, "")</f>
        <v/>
      </c>
      <c r="L24" s="2" t="str">
        <f>IF(Source!$C24&gt;=COLUMNS($A24:L24), Source!$E24, "")</f>
        <v/>
      </c>
      <c r="M24" s="2" t="str">
        <f>IF(Source!$C24&gt;=COLUMNS($A24:M24), Source!$E24, "")</f>
        <v/>
      </c>
      <c r="N24" s="2" t="str">
        <f>IF(Source!$C24&gt;=COLUMNS($A24:N24), Source!$E24, "")</f>
        <v/>
      </c>
      <c r="O24" s="2" t="str">
        <f>IF(Source!$C24&gt;=COLUMNS($A24:O24), Source!$E24, "")</f>
        <v/>
      </c>
      <c r="P24" s="2" t="str">
        <f>IF(Source!$C24&gt;=COLUMNS($A24:P24), Source!$E24, "")</f>
        <v/>
      </c>
      <c r="Q24" s="2" t="str">
        <f>IF(Source!$C24&gt;=COLUMNS($A24:Q24), Source!$E24, "")</f>
        <v/>
      </c>
      <c r="R24" s="2" t="str">
        <f>IF(Source!$C24&gt;=COLUMNS($A24:R24), Source!$E24, "")</f>
        <v/>
      </c>
      <c r="S24" s="2" t="str">
        <f>IF(Source!$C24&gt;=COLUMNS($A24:S24), Source!$E24, "")</f>
        <v/>
      </c>
      <c r="T24" s="2" t="str">
        <f>IF(Source!$C24&gt;=COLUMNS($A24:T24), Source!$E24, "")</f>
        <v/>
      </c>
      <c r="U24" s="2" t="str">
        <f>IF(Source!$C24&gt;=COLUMNS($A24:U24), Source!$E24, "")</f>
        <v/>
      </c>
      <c r="V24" s="2" t="str">
        <f>IF(Source!$C24&gt;=COLUMNS($A24:V24), Source!$E24, "")</f>
        <v/>
      </c>
      <c r="W24" s="2" t="str">
        <f>IF(Source!$C24&gt;=COLUMNS($A24:W24), Source!$E24, "")</f>
        <v/>
      </c>
      <c r="X24" s="2" t="str">
        <f>IF(Source!$C24&gt;=COLUMNS($A24:X24), Source!$E24, "")</f>
        <v/>
      </c>
      <c r="Y24" s="2" t="str">
        <f>IF(Source!$C24&gt;=COLUMNS($A24:Y24), Source!$E24, "")</f>
        <v/>
      </c>
      <c r="Z24" s="2" t="str">
        <f>IF(Source!$C24&gt;=COLUMNS($A24:Z24), Source!$E24, "")</f>
        <v/>
      </c>
      <c r="AA24" s="2" t="str">
        <f>IF(Source!$C24&gt;=COLUMNS($A24:AA24), Source!$E24, "")</f>
        <v/>
      </c>
      <c r="AB24" s="2" t="str">
        <f>IF(Source!$C24&gt;=COLUMNS($A24:AB24), Source!$E24, "")</f>
        <v/>
      </c>
      <c r="AC24" s="2" t="str">
        <f>IF(Source!$C24&gt;=COLUMNS($A24:AC24), Source!$E24, "")</f>
        <v/>
      </c>
      <c r="AD24" s="2" t="str">
        <f>IF(Source!$C24&gt;=COLUMNS($A24:AD24), Source!$E24, "")</f>
        <v/>
      </c>
      <c r="AE24" s="2" t="str">
        <f>IF(Source!$C24&gt;=COLUMNS($A24:AE24), Source!$E24, "")</f>
        <v/>
      </c>
      <c r="AF24" s="2" t="str">
        <f>IF(Source!$C24&gt;=COLUMNS($A24:AF24), Source!$E24, "")</f>
        <v/>
      </c>
      <c r="AG24" s="2" t="str">
        <f>IF(Source!$C24&gt;=COLUMNS($A24:AG24), Source!$E24, "")</f>
        <v/>
      </c>
      <c r="AH24" s="2" t="str">
        <f>IF(Source!$C24&gt;=COLUMNS($A24:AH24), Source!$E24, "")</f>
        <v/>
      </c>
      <c r="AI24" s="2" t="str">
        <f>IF(Source!$C24&gt;=COLUMNS($A24:AI24), Source!$E24, "")</f>
        <v/>
      </c>
      <c r="AJ24" s="2" t="str">
        <f>IF(Source!$C24&gt;=COLUMNS($A24:AJ24), Source!$E24, "")</f>
        <v/>
      </c>
      <c r="AK24" s="2" t="str">
        <f>IF(Source!$C24&gt;=COLUMNS($A24:AK24), Source!$E24, "")</f>
        <v/>
      </c>
      <c r="AL24" s="2" t="str">
        <f>IF(Source!$C24&gt;=COLUMNS($A24:AL24), Source!$E24, "")</f>
        <v/>
      </c>
      <c r="AM24" s="2" t="str">
        <f>IF(Source!$C24&gt;=COLUMNS($A24:AM24), Source!$E24, "")</f>
        <v/>
      </c>
      <c r="AN24" s="2" t="str">
        <f>IF(Source!$C24&gt;=COLUMNS($A24:AN24), Source!$E24, "")</f>
        <v/>
      </c>
      <c r="AO24" s="2" t="str">
        <f>IF(Source!$C24&gt;=COLUMNS($A24:AO24), Source!$E24, "")</f>
        <v/>
      </c>
      <c r="AP24" s="2" t="str">
        <f>IF(Source!$C24&gt;=COLUMNS($A24:AP24), Source!$E24, "")</f>
        <v/>
      </c>
      <c r="AQ24" s="2" t="str">
        <f>IF(Source!$C24&gt;=COLUMNS($A24:AQ24), Source!$E24, "")</f>
        <v/>
      </c>
      <c r="AR24" s="2" t="str">
        <f>IF(Source!$C24&gt;=COLUMNS($A24:AR24), Source!$E24, "")</f>
        <v/>
      </c>
    </row>
    <row r="25">
      <c r="A25" s="2">
        <f>IF(Source!$C25&gt;=COLUMNS($A25:A25), Source!$E25, "")</f>
        <v>6</v>
      </c>
      <c r="B25" s="2" t="str">
        <f>IF(Source!$C25&gt;=COLUMNS($A25:B25), Source!$E25, "")</f>
        <v/>
      </c>
      <c r="C25" s="2" t="str">
        <f>IF(Source!$C25&gt;=COLUMNS($A25:C25), Source!$E25, "")</f>
        <v/>
      </c>
      <c r="D25" s="2" t="str">
        <f>IF(Source!$C25&gt;=COLUMNS($A25:D25), Source!$E25, "")</f>
        <v/>
      </c>
      <c r="E25" s="2" t="str">
        <f>IF(Source!$C25&gt;=COLUMNS($A25:E25), Source!$E25, "")</f>
        <v/>
      </c>
      <c r="F25" s="2" t="str">
        <f>IF(Source!$C25&gt;=COLUMNS($A25:F25), Source!$E25, "")</f>
        <v/>
      </c>
      <c r="G25" s="2" t="str">
        <f>IF(Source!$C25&gt;=COLUMNS($A25:G25), Source!$E25, "")</f>
        <v/>
      </c>
      <c r="H25" s="2" t="str">
        <f>IF(Source!$C25&gt;=COLUMNS($A25:H25), Source!$E25, "")</f>
        <v/>
      </c>
      <c r="I25" s="2" t="str">
        <f>IF(Source!$C25&gt;=COLUMNS($A25:I25), Source!$E25, "")</f>
        <v/>
      </c>
      <c r="J25" s="2" t="str">
        <f>IF(Source!$C25&gt;=COLUMNS($A25:J25), Source!$E25, "")</f>
        <v/>
      </c>
      <c r="K25" s="2" t="str">
        <f>IF(Source!$C25&gt;=COLUMNS($A25:K25), Source!$E25, "")</f>
        <v/>
      </c>
      <c r="L25" s="2" t="str">
        <f>IF(Source!$C25&gt;=COLUMNS($A25:L25), Source!$E25, "")</f>
        <v/>
      </c>
      <c r="M25" s="2" t="str">
        <f>IF(Source!$C25&gt;=COLUMNS($A25:M25), Source!$E25, "")</f>
        <v/>
      </c>
      <c r="N25" s="2" t="str">
        <f>IF(Source!$C25&gt;=COLUMNS($A25:N25), Source!$E25, "")</f>
        <v/>
      </c>
      <c r="O25" s="2" t="str">
        <f>IF(Source!$C25&gt;=COLUMNS($A25:O25), Source!$E25, "")</f>
        <v/>
      </c>
      <c r="P25" s="2" t="str">
        <f>IF(Source!$C25&gt;=COLUMNS($A25:P25), Source!$E25, "")</f>
        <v/>
      </c>
      <c r="Q25" s="2" t="str">
        <f>IF(Source!$C25&gt;=COLUMNS($A25:Q25), Source!$E25, "")</f>
        <v/>
      </c>
      <c r="R25" s="2" t="str">
        <f>IF(Source!$C25&gt;=COLUMNS($A25:R25), Source!$E25, "")</f>
        <v/>
      </c>
      <c r="S25" s="2" t="str">
        <f>IF(Source!$C25&gt;=COLUMNS($A25:S25), Source!$E25, "")</f>
        <v/>
      </c>
      <c r="T25" s="2" t="str">
        <f>IF(Source!$C25&gt;=COLUMNS($A25:T25), Source!$E25, "")</f>
        <v/>
      </c>
      <c r="U25" s="2" t="str">
        <f>IF(Source!$C25&gt;=COLUMNS($A25:U25), Source!$E25, "")</f>
        <v/>
      </c>
      <c r="V25" s="2" t="str">
        <f>IF(Source!$C25&gt;=COLUMNS($A25:V25), Source!$E25, "")</f>
        <v/>
      </c>
      <c r="W25" s="2" t="str">
        <f>IF(Source!$C25&gt;=COLUMNS($A25:W25), Source!$E25, "")</f>
        <v/>
      </c>
      <c r="X25" s="2" t="str">
        <f>IF(Source!$C25&gt;=COLUMNS($A25:X25), Source!$E25, "")</f>
        <v/>
      </c>
      <c r="Y25" s="2" t="str">
        <f>IF(Source!$C25&gt;=COLUMNS($A25:Y25), Source!$E25, "")</f>
        <v/>
      </c>
      <c r="Z25" s="2" t="str">
        <f>IF(Source!$C25&gt;=COLUMNS($A25:Z25), Source!$E25, "")</f>
        <v/>
      </c>
      <c r="AA25" s="2" t="str">
        <f>IF(Source!$C25&gt;=COLUMNS($A25:AA25), Source!$E25, "")</f>
        <v/>
      </c>
      <c r="AB25" s="2" t="str">
        <f>IF(Source!$C25&gt;=COLUMNS($A25:AB25), Source!$E25, "")</f>
        <v/>
      </c>
      <c r="AC25" s="2" t="str">
        <f>IF(Source!$C25&gt;=COLUMNS($A25:AC25), Source!$E25, "")</f>
        <v/>
      </c>
      <c r="AD25" s="2" t="str">
        <f>IF(Source!$C25&gt;=COLUMNS($A25:AD25), Source!$E25, "")</f>
        <v/>
      </c>
      <c r="AE25" s="2" t="str">
        <f>IF(Source!$C25&gt;=COLUMNS($A25:AE25), Source!$E25, "")</f>
        <v/>
      </c>
      <c r="AF25" s="2" t="str">
        <f>IF(Source!$C25&gt;=COLUMNS($A25:AF25), Source!$E25, "")</f>
        <v/>
      </c>
      <c r="AG25" s="2" t="str">
        <f>IF(Source!$C25&gt;=COLUMNS($A25:AG25), Source!$E25, "")</f>
        <v/>
      </c>
      <c r="AH25" s="2" t="str">
        <f>IF(Source!$C25&gt;=COLUMNS($A25:AH25), Source!$E25, "")</f>
        <v/>
      </c>
      <c r="AI25" s="2" t="str">
        <f>IF(Source!$C25&gt;=COLUMNS($A25:AI25), Source!$E25, "")</f>
        <v/>
      </c>
      <c r="AJ25" s="2" t="str">
        <f>IF(Source!$C25&gt;=COLUMNS($A25:AJ25), Source!$E25, "")</f>
        <v/>
      </c>
      <c r="AK25" s="2" t="str">
        <f>IF(Source!$C25&gt;=COLUMNS($A25:AK25), Source!$E25, "")</f>
        <v/>
      </c>
      <c r="AL25" s="2" t="str">
        <f>IF(Source!$C25&gt;=COLUMNS($A25:AL25), Source!$E25, "")</f>
        <v/>
      </c>
      <c r="AM25" s="2" t="str">
        <f>IF(Source!$C25&gt;=COLUMNS($A25:AM25), Source!$E25, "")</f>
        <v/>
      </c>
      <c r="AN25" s="2" t="str">
        <f>IF(Source!$C25&gt;=COLUMNS($A25:AN25), Source!$E25, "")</f>
        <v/>
      </c>
      <c r="AO25" s="2" t="str">
        <f>IF(Source!$C25&gt;=COLUMNS($A25:AO25), Source!$E25, "")</f>
        <v/>
      </c>
      <c r="AP25" s="2" t="str">
        <f>IF(Source!$C25&gt;=COLUMNS($A25:AP25), Source!$E25, "")</f>
        <v/>
      </c>
      <c r="AQ25" s="2" t="str">
        <f>IF(Source!$C25&gt;=COLUMNS($A25:AQ25), Source!$E25, "")</f>
        <v/>
      </c>
      <c r="AR25" s="2" t="str">
        <f>IF(Source!$C25&gt;=COLUMNS($A25:AR25), Source!$E25, "")</f>
        <v/>
      </c>
    </row>
    <row r="26">
      <c r="A26" s="2">
        <f>IF(Source!$C26&gt;=COLUMNS($A26:A26), Source!$E26, "")</f>
        <v>1</v>
      </c>
      <c r="B26" s="2">
        <f>IF(Source!$C26&gt;=COLUMNS($A26:B26), Source!$E26, "")</f>
        <v>1</v>
      </c>
      <c r="C26" s="2">
        <f>IF(Source!$C26&gt;=COLUMNS($A26:C26), Source!$E26, "")</f>
        <v>1</v>
      </c>
      <c r="D26" s="2">
        <f>IF(Source!$C26&gt;=COLUMNS($A26:D26), Source!$E26, "")</f>
        <v>1</v>
      </c>
      <c r="E26" s="2">
        <f>IF(Source!$C26&gt;=COLUMNS($A26:E26), Source!$E26, "")</f>
        <v>1</v>
      </c>
      <c r="F26" s="2" t="str">
        <f>IF(Source!$C26&gt;=COLUMNS($A26:F26), Source!$E26, "")</f>
        <v/>
      </c>
      <c r="G26" s="2" t="str">
        <f>IF(Source!$C26&gt;=COLUMNS($A26:G26), Source!$E26, "")</f>
        <v/>
      </c>
      <c r="H26" s="2" t="str">
        <f>IF(Source!$C26&gt;=COLUMNS($A26:H26), Source!$E26, "")</f>
        <v/>
      </c>
      <c r="I26" s="2" t="str">
        <f>IF(Source!$C26&gt;=COLUMNS($A26:I26), Source!$E26, "")</f>
        <v/>
      </c>
      <c r="J26" s="2" t="str">
        <f>IF(Source!$C26&gt;=COLUMNS($A26:J26), Source!$E26, "")</f>
        <v/>
      </c>
      <c r="K26" s="2" t="str">
        <f>IF(Source!$C26&gt;=COLUMNS($A26:K26), Source!$E26, "")</f>
        <v/>
      </c>
      <c r="L26" s="2" t="str">
        <f>IF(Source!$C26&gt;=COLUMNS($A26:L26), Source!$E26, "")</f>
        <v/>
      </c>
      <c r="M26" s="2" t="str">
        <f>IF(Source!$C26&gt;=COLUMNS($A26:M26), Source!$E26, "")</f>
        <v/>
      </c>
      <c r="N26" s="2" t="str">
        <f>IF(Source!$C26&gt;=COLUMNS($A26:N26), Source!$E26, "")</f>
        <v/>
      </c>
      <c r="O26" s="2" t="str">
        <f>IF(Source!$C26&gt;=COLUMNS($A26:O26), Source!$E26, "")</f>
        <v/>
      </c>
      <c r="P26" s="2" t="str">
        <f>IF(Source!$C26&gt;=COLUMNS($A26:P26), Source!$E26, "")</f>
        <v/>
      </c>
      <c r="Q26" s="2" t="str">
        <f>IF(Source!$C26&gt;=COLUMNS($A26:Q26), Source!$E26, "")</f>
        <v/>
      </c>
      <c r="R26" s="2" t="str">
        <f>IF(Source!$C26&gt;=COLUMNS($A26:R26), Source!$E26, "")</f>
        <v/>
      </c>
      <c r="S26" s="2" t="str">
        <f>IF(Source!$C26&gt;=COLUMNS($A26:S26), Source!$E26, "")</f>
        <v/>
      </c>
      <c r="T26" s="2" t="str">
        <f>IF(Source!$C26&gt;=COLUMNS($A26:T26), Source!$E26, "")</f>
        <v/>
      </c>
      <c r="U26" s="2" t="str">
        <f>IF(Source!$C26&gt;=COLUMNS($A26:U26), Source!$E26, "")</f>
        <v/>
      </c>
      <c r="V26" s="2" t="str">
        <f>IF(Source!$C26&gt;=COLUMNS($A26:V26), Source!$E26, "")</f>
        <v/>
      </c>
      <c r="W26" s="2" t="str">
        <f>IF(Source!$C26&gt;=COLUMNS($A26:W26), Source!$E26, "")</f>
        <v/>
      </c>
      <c r="X26" s="2" t="str">
        <f>IF(Source!$C26&gt;=COLUMNS($A26:X26), Source!$E26, "")</f>
        <v/>
      </c>
      <c r="Y26" s="2" t="str">
        <f>IF(Source!$C26&gt;=COLUMNS($A26:Y26), Source!$E26, "")</f>
        <v/>
      </c>
      <c r="Z26" s="2" t="str">
        <f>IF(Source!$C26&gt;=COLUMNS($A26:Z26), Source!$E26, "")</f>
        <v/>
      </c>
      <c r="AA26" s="2" t="str">
        <f>IF(Source!$C26&gt;=COLUMNS($A26:AA26), Source!$E26, "")</f>
        <v/>
      </c>
      <c r="AB26" s="2" t="str">
        <f>IF(Source!$C26&gt;=COLUMNS($A26:AB26), Source!$E26, "")</f>
        <v/>
      </c>
      <c r="AC26" s="2" t="str">
        <f>IF(Source!$C26&gt;=COLUMNS($A26:AC26), Source!$E26, "")</f>
        <v/>
      </c>
      <c r="AD26" s="2" t="str">
        <f>IF(Source!$C26&gt;=COLUMNS($A26:AD26), Source!$E26, "")</f>
        <v/>
      </c>
      <c r="AE26" s="2" t="str">
        <f>IF(Source!$C26&gt;=COLUMNS($A26:AE26), Source!$E26, "")</f>
        <v/>
      </c>
      <c r="AF26" s="2" t="str">
        <f>IF(Source!$C26&gt;=COLUMNS($A26:AF26), Source!$E26, "")</f>
        <v/>
      </c>
      <c r="AG26" s="2" t="str">
        <f>IF(Source!$C26&gt;=COLUMNS($A26:AG26), Source!$E26, "")</f>
        <v/>
      </c>
      <c r="AH26" s="2" t="str">
        <f>IF(Source!$C26&gt;=COLUMNS($A26:AH26), Source!$E26, "")</f>
        <v/>
      </c>
      <c r="AI26" s="2" t="str">
        <f>IF(Source!$C26&gt;=COLUMNS($A26:AI26), Source!$E26, "")</f>
        <v/>
      </c>
      <c r="AJ26" s="2" t="str">
        <f>IF(Source!$C26&gt;=COLUMNS($A26:AJ26), Source!$E26, "")</f>
        <v/>
      </c>
      <c r="AK26" s="2" t="str">
        <f>IF(Source!$C26&gt;=COLUMNS($A26:AK26), Source!$E26, "")</f>
        <v/>
      </c>
      <c r="AL26" s="2" t="str">
        <f>IF(Source!$C26&gt;=COLUMNS($A26:AL26), Source!$E26, "")</f>
        <v/>
      </c>
      <c r="AM26" s="2" t="str">
        <f>IF(Source!$C26&gt;=COLUMNS($A26:AM26), Source!$E26, "")</f>
        <v/>
      </c>
      <c r="AN26" s="2" t="str">
        <f>IF(Source!$C26&gt;=COLUMNS($A26:AN26), Source!$E26, "")</f>
        <v/>
      </c>
      <c r="AO26" s="2" t="str">
        <f>IF(Source!$C26&gt;=COLUMNS($A26:AO26), Source!$E26, "")</f>
        <v/>
      </c>
      <c r="AP26" s="2" t="str">
        <f>IF(Source!$C26&gt;=COLUMNS($A26:AP26), Source!$E26, "")</f>
        <v/>
      </c>
      <c r="AQ26" s="2" t="str">
        <f>IF(Source!$C26&gt;=COLUMNS($A26:AQ26), Source!$E26, "")</f>
        <v/>
      </c>
      <c r="AR26" s="2" t="str">
        <f>IF(Source!$C26&gt;=COLUMNS($A26:AR26), Source!$E26, "")</f>
        <v/>
      </c>
    </row>
    <row r="27">
      <c r="A27" s="2">
        <f>IF(Source!$C27&gt;=COLUMNS($A27:A27), Source!$E27, "")</f>
        <v>8</v>
      </c>
      <c r="B27" s="2" t="str">
        <f>IF(Source!$C27&gt;=COLUMNS($A27:B27), Source!$E27, "")</f>
        <v/>
      </c>
      <c r="C27" s="2" t="str">
        <f>IF(Source!$C27&gt;=COLUMNS($A27:C27), Source!$E27, "")</f>
        <v/>
      </c>
      <c r="D27" s="2" t="str">
        <f>IF(Source!$C27&gt;=COLUMNS($A27:D27), Source!$E27, "")</f>
        <v/>
      </c>
      <c r="E27" s="2" t="str">
        <f>IF(Source!$C27&gt;=COLUMNS($A27:E27), Source!$E27, "")</f>
        <v/>
      </c>
      <c r="F27" s="2" t="str">
        <f>IF(Source!$C27&gt;=COLUMNS($A27:F27), Source!$E27, "")</f>
        <v/>
      </c>
      <c r="G27" s="2" t="str">
        <f>IF(Source!$C27&gt;=COLUMNS($A27:G27), Source!$E27, "")</f>
        <v/>
      </c>
      <c r="H27" s="2" t="str">
        <f>IF(Source!$C27&gt;=COLUMNS($A27:H27), Source!$E27, "")</f>
        <v/>
      </c>
      <c r="I27" s="2" t="str">
        <f>IF(Source!$C27&gt;=COLUMNS($A27:I27), Source!$E27, "")</f>
        <v/>
      </c>
      <c r="J27" s="2" t="str">
        <f>IF(Source!$C27&gt;=COLUMNS($A27:J27), Source!$E27, "")</f>
        <v/>
      </c>
      <c r="K27" s="2" t="str">
        <f>IF(Source!$C27&gt;=COLUMNS($A27:K27), Source!$E27, "")</f>
        <v/>
      </c>
      <c r="L27" s="2" t="str">
        <f>IF(Source!$C27&gt;=COLUMNS($A27:L27), Source!$E27, "")</f>
        <v/>
      </c>
      <c r="M27" s="2" t="str">
        <f>IF(Source!$C27&gt;=COLUMNS($A27:M27), Source!$E27, "")</f>
        <v/>
      </c>
      <c r="N27" s="2" t="str">
        <f>IF(Source!$C27&gt;=COLUMNS($A27:N27), Source!$E27, "")</f>
        <v/>
      </c>
      <c r="O27" s="2" t="str">
        <f>IF(Source!$C27&gt;=COLUMNS($A27:O27), Source!$E27, "")</f>
        <v/>
      </c>
      <c r="P27" s="2" t="str">
        <f>IF(Source!$C27&gt;=COLUMNS($A27:P27), Source!$E27, "")</f>
        <v/>
      </c>
      <c r="Q27" s="2" t="str">
        <f>IF(Source!$C27&gt;=COLUMNS($A27:Q27), Source!$E27, "")</f>
        <v/>
      </c>
      <c r="R27" s="2" t="str">
        <f>IF(Source!$C27&gt;=COLUMNS($A27:R27), Source!$E27, "")</f>
        <v/>
      </c>
      <c r="S27" s="2" t="str">
        <f>IF(Source!$C27&gt;=COLUMNS($A27:S27), Source!$E27, "")</f>
        <v/>
      </c>
      <c r="T27" s="2" t="str">
        <f>IF(Source!$C27&gt;=COLUMNS($A27:T27), Source!$E27, "")</f>
        <v/>
      </c>
      <c r="U27" s="2" t="str">
        <f>IF(Source!$C27&gt;=COLUMNS($A27:U27), Source!$E27, "")</f>
        <v/>
      </c>
      <c r="V27" s="2" t="str">
        <f>IF(Source!$C27&gt;=COLUMNS($A27:V27), Source!$E27, "")</f>
        <v/>
      </c>
      <c r="W27" s="2" t="str">
        <f>IF(Source!$C27&gt;=COLUMNS($A27:W27), Source!$E27, "")</f>
        <v/>
      </c>
      <c r="X27" s="2" t="str">
        <f>IF(Source!$C27&gt;=COLUMNS($A27:X27), Source!$E27, "")</f>
        <v/>
      </c>
      <c r="Y27" s="2" t="str">
        <f>IF(Source!$C27&gt;=COLUMNS($A27:Y27), Source!$E27, "")</f>
        <v/>
      </c>
      <c r="Z27" s="2" t="str">
        <f>IF(Source!$C27&gt;=COLUMNS($A27:Z27), Source!$E27, "")</f>
        <v/>
      </c>
      <c r="AA27" s="2" t="str">
        <f>IF(Source!$C27&gt;=COLUMNS($A27:AA27), Source!$E27, "")</f>
        <v/>
      </c>
      <c r="AB27" s="2" t="str">
        <f>IF(Source!$C27&gt;=COLUMNS($A27:AB27), Source!$E27, "")</f>
        <v/>
      </c>
      <c r="AC27" s="2" t="str">
        <f>IF(Source!$C27&gt;=COLUMNS($A27:AC27), Source!$E27, "")</f>
        <v/>
      </c>
      <c r="AD27" s="2" t="str">
        <f>IF(Source!$C27&gt;=COLUMNS($A27:AD27), Source!$E27, "")</f>
        <v/>
      </c>
      <c r="AE27" s="2" t="str">
        <f>IF(Source!$C27&gt;=COLUMNS($A27:AE27), Source!$E27, "")</f>
        <v/>
      </c>
      <c r="AF27" s="2" t="str">
        <f>IF(Source!$C27&gt;=COLUMNS($A27:AF27), Source!$E27, "")</f>
        <v/>
      </c>
      <c r="AG27" s="2" t="str">
        <f>IF(Source!$C27&gt;=COLUMNS($A27:AG27), Source!$E27, "")</f>
        <v/>
      </c>
      <c r="AH27" s="2" t="str">
        <f>IF(Source!$C27&gt;=COLUMNS($A27:AH27), Source!$E27, "")</f>
        <v/>
      </c>
      <c r="AI27" s="2" t="str">
        <f>IF(Source!$C27&gt;=COLUMNS($A27:AI27), Source!$E27, "")</f>
        <v/>
      </c>
      <c r="AJ27" s="2" t="str">
        <f>IF(Source!$C27&gt;=COLUMNS($A27:AJ27), Source!$E27, "")</f>
        <v/>
      </c>
      <c r="AK27" s="2" t="str">
        <f>IF(Source!$C27&gt;=COLUMNS($A27:AK27), Source!$E27, "")</f>
        <v/>
      </c>
      <c r="AL27" s="2" t="str">
        <f>IF(Source!$C27&gt;=COLUMNS($A27:AL27), Source!$E27, "")</f>
        <v/>
      </c>
      <c r="AM27" s="2" t="str">
        <f>IF(Source!$C27&gt;=COLUMNS($A27:AM27), Source!$E27, "")</f>
        <v/>
      </c>
      <c r="AN27" s="2" t="str">
        <f>IF(Source!$C27&gt;=COLUMNS($A27:AN27), Source!$E27, "")</f>
        <v/>
      </c>
      <c r="AO27" s="2" t="str">
        <f>IF(Source!$C27&gt;=COLUMNS($A27:AO27), Source!$E27, "")</f>
        <v/>
      </c>
      <c r="AP27" s="2" t="str">
        <f>IF(Source!$C27&gt;=COLUMNS($A27:AP27), Source!$E27, "")</f>
        <v/>
      </c>
      <c r="AQ27" s="2" t="str">
        <f>IF(Source!$C27&gt;=COLUMNS($A27:AQ27), Source!$E27, "")</f>
        <v/>
      </c>
      <c r="AR27" s="2" t="str">
        <f>IF(Source!$C27&gt;=COLUMNS($A27:AR27), Source!$E27, "")</f>
        <v/>
      </c>
    </row>
    <row r="28">
      <c r="A28" s="2">
        <f>IF(Source!$C28&gt;=COLUMNS($A28:A28), Source!$E28, "")</f>
        <v>1</v>
      </c>
      <c r="B28" s="2">
        <f>IF(Source!$C28&gt;=COLUMNS($A28:B28), Source!$E28, "")</f>
        <v>1</v>
      </c>
      <c r="C28" s="2" t="str">
        <f>IF(Source!$C28&gt;=COLUMNS($A28:C28), Source!$E28, "")</f>
        <v/>
      </c>
      <c r="D28" s="2" t="str">
        <f>IF(Source!$C28&gt;=COLUMNS($A28:D28), Source!$E28, "")</f>
        <v/>
      </c>
      <c r="E28" s="2" t="str">
        <f>IF(Source!$C28&gt;=COLUMNS($A28:E28), Source!$E28, "")</f>
        <v/>
      </c>
      <c r="F28" s="2" t="str">
        <f>IF(Source!$C28&gt;=COLUMNS($A28:F28), Source!$E28, "")</f>
        <v/>
      </c>
      <c r="G28" s="2" t="str">
        <f>IF(Source!$C28&gt;=COLUMNS($A28:G28), Source!$E28, "")</f>
        <v/>
      </c>
      <c r="H28" s="2" t="str">
        <f>IF(Source!$C28&gt;=COLUMNS($A28:H28), Source!$E28, "")</f>
        <v/>
      </c>
      <c r="I28" s="2" t="str">
        <f>IF(Source!$C28&gt;=COLUMNS($A28:I28), Source!$E28, "")</f>
        <v/>
      </c>
      <c r="J28" s="2" t="str">
        <f>IF(Source!$C28&gt;=COLUMNS($A28:J28), Source!$E28, "")</f>
        <v/>
      </c>
      <c r="K28" s="2" t="str">
        <f>IF(Source!$C28&gt;=COLUMNS($A28:K28), Source!$E28, "")</f>
        <v/>
      </c>
      <c r="L28" s="2" t="str">
        <f>IF(Source!$C28&gt;=COLUMNS($A28:L28), Source!$E28, "")</f>
        <v/>
      </c>
      <c r="M28" s="2" t="str">
        <f>IF(Source!$C28&gt;=COLUMNS($A28:M28), Source!$E28, "")</f>
        <v/>
      </c>
      <c r="N28" s="2" t="str">
        <f>IF(Source!$C28&gt;=COLUMNS($A28:N28), Source!$E28, "")</f>
        <v/>
      </c>
      <c r="O28" s="2" t="str">
        <f>IF(Source!$C28&gt;=COLUMNS($A28:O28), Source!$E28, "")</f>
        <v/>
      </c>
      <c r="P28" s="2" t="str">
        <f>IF(Source!$C28&gt;=COLUMNS($A28:P28), Source!$E28, "")</f>
        <v/>
      </c>
      <c r="Q28" s="2" t="str">
        <f>IF(Source!$C28&gt;=COLUMNS($A28:Q28), Source!$E28, "")</f>
        <v/>
      </c>
      <c r="R28" s="2" t="str">
        <f>IF(Source!$C28&gt;=COLUMNS($A28:R28), Source!$E28, "")</f>
        <v/>
      </c>
      <c r="S28" s="2" t="str">
        <f>IF(Source!$C28&gt;=COLUMNS($A28:S28), Source!$E28, "")</f>
        <v/>
      </c>
      <c r="T28" s="2" t="str">
        <f>IF(Source!$C28&gt;=COLUMNS($A28:T28), Source!$E28, "")</f>
        <v/>
      </c>
      <c r="U28" s="2" t="str">
        <f>IF(Source!$C28&gt;=COLUMNS($A28:U28), Source!$E28, "")</f>
        <v/>
      </c>
      <c r="V28" s="2" t="str">
        <f>IF(Source!$C28&gt;=COLUMNS($A28:V28), Source!$E28, "")</f>
        <v/>
      </c>
      <c r="W28" s="2" t="str">
        <f>IF(Source!$C28&gt;=COLUMNS($A28:W28), Source!$E28, "")</f>
        <v/>
      </c>
      <c r="X28" s="2" t="str">
        <f>IF(Source!$C28&gt;=COLUMNS($A28:X28), Source!$E28, "")</f>
        <v/>
      </c>
      <c r="Y28" s="2" t="str">
        <f>IF(Source!$C28&gt;=COLUMNS($A28:Y28), Source!$E28, "")</f>
        <v/>
      </c>
      <c r="Z28" s="2" t="str">
        <f>IF(Source!$C28&gt;=COLUMNS($A28:Z28), Source!$E28, "")</f>
        <v/>
      </c>
      <c r="AA28" s="2" t="str">
        <f>IF(Source!$C28&gt;=COLUMNS($A28:AA28), Source!$E28, "")</f>
        <v/>
      </c>
      <c r="AB28" s="2" t="str">
        <f>IF(Source!$C28&gt;=COLUMNS($A28:AB28), Source!$E28, "")</f>
        <v/>
      </c>
      <c r="AC28" s="2" t="str">
        <f>IF(Source!$C28&gt;=COLUMNS($A28:AC28), Source!$E28, "")</f>
        <v/>
      </c>
      <c r="AD28" s="2" t="str">
        <f>IF(Source!$C28&gt;=COLUMNS($A28:AD28), Source!$E28, "")</f>
        <v/>
      </c>
      <c r="AE28" s="2" t="str">
        <f>IF(Source!$C28&gt;=COLUMNS($A28:AE28), Source!$E28, "")</f>
        <v/>
      </c>
      <c r="AF28" s="2" t="str">
        <f>IF(Source!$C28&gt;=COLUMNS($A28:AF28), Source!$E28, "")</f>
        <v/>
      </c>
      <c r="AG28" s="2" t="str">
        <f>IF(Source!$C28&gt;=COLUMNS($A28:AG28), Source!$E28, "")</f>
        <v/>
      </c>
      <c r="AH28" s="2" t="str">
        <f>IF(Source!$C28&gt;=COLUMNS($A28:AH28), Source!$E28, "")</f>
        <v/>
      </c>
      <c r="AI28" s="2" t="str">
        <f>IF(Source!$C28&gt;=COLUMNS($A28:AI28), Source!$E28, "")</f>
        <v/>
      </c>
      <c r="AJ28" s="2" t="str">
        <f>IF(Source!$C28&gt;=COLUMNS($A28:AJ28), Source!$E28, "")</f>
        <v/>
      </c>
      <c r="AK28" s="2" t="str">
        <f>IF(Source!$C28&gt;=COLUMNS($A28:AK28), Source!$E28, "")</f>
        <v/>
      </c>
      <c r="AL28" s="2" t="str">
        <f>IF(Source!$C28&gt;=COLUMNS($A28:AL28), Source!$E28, "")</f>
        <v/>
      </c>
      <c r="AM28" s="2" t="str">
        <f>IF(Source!$C28&gt;=COLUMNS($A28:AM28), Source!$E28, "")</f>
        <v/>
      </c>
      <c r="AN28" s="2" t="str">
        <f>IF(Source!$C28&gt;=COLUMNS($A28:AN28), Source!$E28, "")</f>
        <v/>
      </c>
      <c r="AO28" s="2" t="str">
        <f>IF(Source!$C28&gt;=COLUMNS($A28:AO28), Source!$E28, "")</f>
        <v/>
      </c>
      <c r="AP28" s="2" t="str">
        <f>IF(Source!$C28&gt;=COLUMNS($A28:AP28), Source!$E28, "")</f>
        <v/>
      </c>
      <c r="AQ28" s="2" t="str">
        <f>IF(Source!$C28&gt;=COLUMNS($A28:AQ28), Source!$E28, "")</f>
        <v/>
      </c>
      <c r="AR28" s="2" t="str">
        <f>IF(Source!$C28&gt;=COLUMNS($A28:AR28), Source!$E28, "")</f>
        <v/>
      </c>
    </row>
    <row r="29">
      <c r="A29" s="2">
        <f>IF(Source!$C29&gt;=COLUMNS($A29:A29), Source!$E29, "")</f>
        <v>2</v>
      </c>
      <c r="B29" s="2" t="str">
        <f>IF(Source!$C29&gt;=COLUMNS($A29:B29), Source!$E29, "")</f>
        <v/>
      </c>
      <c r="C29" s="2" t="str">
        <f>IF(Source!$C29&gt;=COLUMNS($A29:C29), Source!$E29, "")</f>
        <v/>
      </c>
      <c r="D29" s="2" t="str">
        <f>IF(Source!$C29&gt;=COLUMNS($A29:D29), Source!$E29, "")</f>
        <v/>
      </c>
      <c r="E29" s="2" t="str">
        <f>IF(Source!$C29&gt;=COLUMNS($A29:E29), Source!$E29, "")</f>
        <v/>
      </c>
      <c r="F29" s="2" t="str">
        <f>IF(Source!$C29&gt;=COLUMNS($A29:F29), Source!$E29, "")</f>
        <v/>
      </c>
      <c r="G29" s="2" t="str">
        <f>IF(Source!$C29&gt;=COLUMNS($A29:G29), Source!$E29, "")</f>
        <v/>
      </c>
      <c r="H29" s="2" t="str">
        <f>IF(Source!$C29&gt;=COLUMNS($A29:H29), Source!$E29, "")</f>
        <v/>
      </c>
      <c r="I29" s="2" t="str">
        <f>IF(Source!$C29&gt;=COLUMNS($A29:I29), Source!$E29, "")</f>
        <v/>
      </c>
      <c r="J29" s="2" t="str">
        <f>IF(Source!$C29&gt;=COLUMNS($A29:J29), Source!$E29, "")</f>
        <v/>
      </c>
      <c r="K29" s="2" t="str">
        <f>IF(Source!$C29&gt;=COLUMNS($A29:K29), Source!$E29, "")</f>
        <v/>
      </c>
      <c r="L29" s="2" t="str">
        <f>IF(Source!$C29&gt;=COLUMNS($A29:L29), Source!$E29, "")</f>
        <v/>
      </c>
      <c r="M29" s="2" t="str">
        <f>IF(Source!$C29&gt;=COLUMNS($A29:M29), Source!$E29, "")</f>
        <v/>
      </c>
      <c r="N29" s="2" t="str">
        <f>IF(Source!$C29&gt;=COLUMNS($A29:N29), Source!$E29, "")</f>
        <v/>
      </c>
      <c r="O29" s="2" t="str">
        <f>IF(Source!$C29&gt;=COLUMNS($A29:O29), Source!$E29, "")</f>
        <v/>
      </c>
      <c r="P29" s="2" t="str">
        <f>IF(Source!$C29&gt;=COLUMNS($A29:P29), Source!$E29, "")</f>
        <v/>
      </c>
      <c r="Q29" s="2" t="str">
        <f>IF(Source!$C29&gt;=COLUMNS($A29:Q29), Source!$E29, "")</f>
        <v/>
      </c>
      <c r="R29" s="2" t="str">
        <f>IF(Source!$C29&gt;=COLUMNS($A29:R29), Source!$E29, "")</f>
        <v/>
      </c>
      <c r="S29" s="2" t="str">
        <f>IF(Source!$C29&gt;=COLUMNS($A29:S29), Source!$E29, "")</f>
        <v/>
      </c>
      <c r="T29" s="2" t="str">
        <f>IF(Source!$C29&gt;=COLUMNS($A29:T29), Source!$E29, "")</f>
        <v/>
      </c>
      <c r="U29" s="2" t="str">
        <f>IF(Source!$C29&gt;=COLUMNS($A29:U29), Source!$E29, "")</f>
        <v/>
      </c>
      <c r="V29" s="2" t="str">
        <f>IF(Source!$C29&gt;=COLUMNS($A29:V29), Source!$E29, "")</f>
        <v/>
      </c>
      <c r="W29" s="2" t="str">
        <f>IF(Source!$C29&gt;=COLUMNS($A29:W29), Source!$E29, "")</f>
        <v/>
      </c>
      <c r="X29" s="2" t="str">
        <f>IF(Source!$C29&gt;=COLUMNS($A29:X29), Source!$E29, "")</f>
        <v/>
      </c>
      <c r="Y29" s="2" t="str">
        <f>IF(Source!$C29&gt;=COLUMNS($A29:Y29), Source!$E29, "")</f>
        <v/>
      </c>
      <c r="Z29" s="2" t="str">
        <f>IF(Source!$C29&gt;=COLUMNS($A29:Z29), Source!$E29, "")</f>
        <v/>
      </c>
      <c r="AA29" s="2" t="str">
        <f>IF(Source!$C29&gt;=COLUMNS($A29:AA29), Source!$E29, "")</f>
        <v/>
      </c>
      <c r="AB29" s="2" t="str">
        <f>IF(Source!$C29&gt;=COLUMNS($A29:AB29), Source!$E29, "")</f>
        <v/>
      </c>
      <c r="AC29" s="2" t="str">
        <f>IF(Source!$C29&gt;=COLUMNS($A29:AC29), Source!$E29, "")</f>
        <v/>
      </c>
      <c r="AD29" s="2" t="str">
        <f>IF(Source!$C29&gt;=COLUMNS($A29:AD29), Source!$E29, "")</f>
        <v/>
      </c>
      <c r="AE29" s="2" t="str">
        <f>IF(Source!$C29&gt;=COLUMNS($A29:AE29), Source!$E29, "")</f>
        <v/>
      </c>
      <c r="AF29" s="2" t="str">
        <f>IF(Source!$C29&gt;=COLUMNS($A29:AF29), Source!$E29, "")</f>
        <v/>
      </c>
      <c r="AG29" s="2" t="str">
        <f>IF(Source!$C29&gt;=COLUMNS($A29:AG29), Source!$E29, "")</f>
        <v/>
      </c>
      <c r="AH29" s="2" t="str">
        <f>IF(Source!$C29&gt;=COLUMNS($A29:AH29), Source!$E29, "")</f>
        <v/>
      </c>
      <c r="AI29" s="2" t="str">
        <f>IF(Source!$C29&gt;=COLUMNS($A29:AI29), Source!$E29, "")</f>
        <v/>
      </c>
      <c r="AJ29" s="2" t="str">
        <f>IF(Source!$C29&gt;=COLUMNS($A29:AJ29), Source!$E29, "")</f>
        <v/>
      </c>
      <c r="AK29" s="2" t="str">
        <f>IF(Source!$C29&gt;=COLUMNS($A29:AK29), Source!$E29, "")</f>
        <v/>
      </c>
      <c r="AL29" s="2" t="str">
        <f>IF(Source!$C29&gt;=COLUMNS($A29:AL29), Source!$E29, "")</f>
        <v/>
      </c>
      <c r="AM29" s="2" t="str">
        <f>IF(Source!$C29&gt;=COLUMNS($A29:AM29), Source!$E29, "")</f>
        <v/>
      </c>
      <c r="AN29" s="2" t="str">
        <f>IF(Source!$C29&gt;=COLUMNS($A29:AN29), Source!$E29, "")</f>
        <v/>
      </c>
      <c r="AO29" s="2" t="str">
        <f>IF(Source!$C29&gt;=COLUMNS($A29:AO29), Source!$E29, "")</f>
        <v/>
      </c>
      <c r="AP29" s="2" t="str">
        <f>IF(Source!$C29&gt;=COLUMNS($A29:AP29), Source!$E29, "")</f>
        <v/>
      </c>
      <c r="AQ29" s="2" t="str">
        <f>IF(Source!$C29&gt;=COLUMNS($A29:AQ29), Source!$E29, "")</f>
        <v/>
      </c>
      <c r="AR29" s="2" t="str">
        <f>IF(Source!$C29&gt;=COLUMNS($A29:AR29), Source!$E29, "")</f>
        <v/>
      </c>
    </row>
    <row r="30">
      <c r="A30" s="2">
        <f>IF(Source!$C30&gt;=COLUMNS($A30:A30), Source!$E30, "")</f>
        <v>5</v>
      </c>
      <c r="B30" s="2">
        <f>IF(Source!$C30&gt;=COLUMNS($A30:B30), Source!$E30, "")</f>
        <v>5</v>
      </c>
      <c r="C30" s="2">
        <f>IF(Source!$C30&gt;=COLUMNS($A30:C30), Source!$E30, "")</f>
        <v>5</v>
      </c>
      <c r="D30" s="2">
        <f>IF(Source!$C30&gt;=COLUMNS($A30:D30), Source!$E30, "")</f>
        <v>5</v>
      </c>
      <c r="E30" s="2" t="str">
        <f>IF(Source!$C30&gt;=COLUMNS($A30:E30), Source!$E30, "")</f>
        <v/>
      </c>
      <c r="F30" s="2" t="str">
        <f>IF(Source!$C30&gt;=COLUMNS($A30:F30), Source!$E30, "")</f>
        <v/>
      </c>
      <c r="G30" s="2" t="str">
        <f>IF(Source!$C30&gt;=COLUMNS($A30:G30), Source!$E30, "")</f>
        <v/>
      </c>
      <c r="H30" s="2" t="str">
        <f>IF(Source!$C30&gt;=COLUMNS($A30:H30), Source!$E30, "")</f>
        <v/>
      </c>
      <c r="I30" s="2" t="str">
        <f>IF(Source!$C30&gt;=COLUMNS($A30:I30), Source!$E30, "")</f>
        <v/>
      </c>
      <c r="J30" s="2" t="str">
        <f>IF(Source!$C30&gt;=COLUMNS($A30:J30), Source!$E30, "")</f>
        <v/>
      </c>
      <c r="K30" s="2" t="str">
        <f>IF(Source!$C30&gt;=COLUMNS($A30:K30), Source!$E30, "")</f>
        <v/>
      </c>
      <c r="L30" s="2" t="str">
        <f>IF(Source!$C30&gt;=COLUMNS($A30:L30), Source!$E30, "")</f>
        <v/>
      </c>
      <c r="M30" s="2" t="str">
        <f>IF(Source!$C30&gt;=COLUMNS($A30:M30), Source!$E30, "")</f>
        <v/>
      </c>
      <c r="N30" s="2" t="str">
        <f>IF(Source!$C30&gt;=COLUMNS($A30:N30), Source!$E30, "")</f>
        <v/>
      </c>
      <c r="O30" s="2" t="str">
        <f>IF(Source!$C30&gt;=COLUMNS($A30:O30), Source!$E30, "")</f>
        <v/>
      </c>
      <c r="P30" s="2" t="str">
        <f>IF(Source!$C30&gt;=COLUMNS($A30:P30), Source!$E30, "")</f>
        <v/>
      </c>
      <c r="Q30" s="2" t="str">
        <f>IF(Source!$C30&gt;=COLUMNS($A30:Q30), Source!$E30, "")</f>
        <v/>
      </c>
      <c r="R30" s="2" t="str">
        <f>IF(Source!$C30&gt;=COLUMNS($A30:R30), Source!$E30, "")</f>
        <v/>
      </c>
      <c r="S30" s="2" t="str">
        <f>IF(Source!$C30&gt;=COLUMNS($A30:S30), Source!$E30, "")</f>
        <v/>
      </c>
      <c r="T30" s="2" t="str">
        <f>IF(Source!$C30&gt;=COLUMNS($A30:T30), Source!$E30, "")</f>
        <v/>
      </c>
      <c r="U30" s="2" t="str">
        <f>IF(Source!$C30&gt;=COLUMNS($A30:U30), Source!$E30, "")</f>
        <v/>
      </c>
      <c r="V30" s="2" t="str">
        <f>IF(Source!$C30&gt;=COLUMNS($A30:V30), Source!$E30, "")</f>
        <v/>
      </c>
      <c r="W30" s="2" t="str">
        <f>IF(Source!$C30&gt;=COLUMNS($A30:W30), Source!$E30, "")</f>
        <v/>
      </c>
      <c r="X30" s="2" t="str">
        <f>IF(Source!$C30&gt;=COLUMNS($A30:X30), Source!$E30, "")</f>
        <v/>
      </c>
      <c r="Y30" s="2" t="str">
        <f>IF(Source!$C30&gt;=COLUMNS($A30:Y30), Source!$E30, "")</f>
        <v/>
      </c>
      <c r="Z30" s="2" t="str">
        <f>IF(Source!$C30&gt;=COLUMNS($A30:Z30), Source!$E30, "")</f>
        <v/>
      </c>
      <c r="AA30" s="2" t="str">
        <f>IF(Source!$C30&gt;=COLUMNS($A30:AA30), Source!$E30, "")</f>
        <v/>
      </c>
      <c r="AB30" s="2" t="str">
        <f>IF(Source!$C30&gt;=COLUMNS($A30:AB30), Source!$E30, "")</f>
        <v/>
      </c>
      <c r="AC30" s="2" t="str">
        <f>IF(Source!$C30&gt;=COLUMNS($A30:AC30), Source!$E30, "")</f>
        <v/>
      </c>
      <c r="AD30" s="2" t="str">
        <f>IF(Source!$C30&gt;=COLUMNS($A30:AD30), Source!$E30, "")</f>
        <v/>
      </c>
      <c r="AE30" s="2" t="str">
        <f>IF(Source!$C30&gt;=COLUMNS($A30:AE30), Source!$E30, "")</f>
        <v/>
      </c>
      <c r="AF30" s="2" t="str">
        <f>IF(Source!$C30&gt;=COLUMNS($A30:AF30), Source!$E30, "")</f>
        <v/>
      </c>
      <c r="AG30" s="2" t="str">
        <f>IF(Source!$C30&gt;=COLUMNS($A30:AG30), Source!$E30, "")</f>
        <v/>
      </c>
      <c r="AH30" s="2" t="str">
        <f>IF(Source!$C30&gt;=COLUMNS($A30:AH30), Source!$E30, "")</f>
        <v/>
      </c>
      <c r="AI30" s="2" t="str">
        <f>IF(Source!$C30&gt;=COLUMNS($A30:AI30), Source!$E30, "")</f>
        <v/>
      </c>
      <c r="AJ30" s="2" t="str">
        <f>IF(Source!$C30&gt;=COLUMNS($A30:AJ30), Source!$E30, "")</f>
        <v/>
      </c>
      <c r="AK30" s="2" t="str">
        <f>IF(Source!$C30&gt;=COLUMNS($A30:AK30), Source!$E30, "")</f>
        <v/>
      </c>
      <c r="AL30" s="2" t="str">
        <f>IF(Source!$C30&gt;=COLUMNS($A30:AL30), Source!$E30, "")</f>
        <v/>
      </c>
      <c r="AM30" s="2" t="str">
        <f>IF(Source!$C30&gt;=COLUMNS($A30:AM30), Source!$E30, "")</f>
        <v/>
      </c>
      <c r="AN30" s="2" t="str">
        <f>IF(Source!$C30&gt;=COLUMNS($A30:AN30), Source!$E30, "")</f>
        <v/>
      </c>
      <c r="AO30" s="2" t="str">
        <f>IF(Source!$C30&gt;=COLUMNS($A30:AO30), Source!$E30, "")</f>
        <v/>
      </c>
      <c r="AP30" s="2" t="str">
        <f>IF(Source!$C30&gt;=COLUMNS($A30:AP30), Source!$E30, "")</f>
        <v/>
      </c>
      <c r="AQ30" s="2" t="str">
        <f>IF(Source!$C30&gt;=COLUMNS($A30:AQ30), Source!$E30, "")</f>
        <v/>
      </c>
      <c r="AR30" s="2" t="str">
        <f>IF(Source!$C30&gt;=COLUMNS($A30:AR30), Source!$E30, "")</f>
        <v/>
      </c>
    </row>
    <row r="31">
      <c r="A31" s="2">
        <f>IF(Source!$C31&gt;=COLUMNS($A31:A31), Source!$E31, "")</f>
        <v>1</v>
      </c>
      <c r="B31" s="2">
        <f>IF(Source!$C31&gt;=COLUMNS($A31:B31), Source!$E31, "")</f>
        <v>1</v>
      </c>
      <c r="C31" s="2" t="str">
        <f>IF(Source!$C31&gt;=COLUMNS($A31:C31), Source!$E31, "")</f>
        <v/>
      </c>
      <c r="D31" s="2" t="str">
        <f>IF(Source!$C31&gt;=COLUMNS($A31:D31), Source!$E31, "")</f>
        <v/>
      </c>
      <c r="E31" s="2" t="str">
        <f>IF(Source!$C31&gt;=COLUMNS($A31:E31), Source!$E31, "")</f>
        <v/>
      </c>
      <c r="F31" s="2" t="str">
        <f>IF(Source!$C31&gt;=COLUMNS($A31:F31), Source!$E31, "")</f>
        <v/>
      </c>
      <c r="G31" s="2" t="str">
        <f>IF(Source!$C31&gt;=COLUMNS($A31:G31), Source!$E31, "")</f>
        <v/>
      </c>
      <c r="H31" s="2" t="str">
        <f>IF(Source!$C31&gt;=COLUMNS($A31:H31), Source!$E31, "")</f>
        <v/>
      </c>
      <c r="I31" s="2" t="str">
        <f>IF(Source!$C31&gt;=COLUMNS($A31:I31), Source!$E31, "")</f>
        <v/>
      </c>
      <c r="J31" s="2" t="str">
        <f>IF(Source!$C31&gt;=COLUMNS($A31:J31), Source!$E31, "")</f>
        <v/>
      </c>
      <c r="K31" s="2" t="str">
        <f>IF(Source!$C31&gt;=COLUMNS($A31:K31), Source!$E31, "")</f>
        <v/>
      </c>
      <c r="L31" s="2" t="str">
        <f>IF(Source!$C31&gt;=COLUMNS($A31:L31), Source!$E31, "")</f>
        <v/>
      </c>
      <c r="M31" s="2" t="str">
        <f>IF(Source!$C31&gt;=COLUMNS($A31:M31), Source!$E31, "")</f>
        <v/>
      </c>
      <c r="N31" s="2" t="str">
        <f>IF(Source!$C31&gt;=COLUMNS($A31:N31), Source!$E31, "")</f>
        <v/>
      </c>
      <c r="O31" s="2" t="str">
        <f>IF(Source!$C31&gt;=COLUMNS($A31:O31), Source!$E31, "")</f>
        <v/>
      </c>
      <c r="P31" s="2" t="str">
        <f>IF(Source!$C31&gt;=COLUMNS($A31:P31), Source!$E31, "")</f>
        <v/>
      </c>
      <c r="Q31" s="2" t="str">
        <f>IF(Source!$C31&gt;=COLUMNS($A31:Q31), Source!$E31, "")</f>
        <v/>
      </c>
      <c r="R31" s="2" t="str">
        <f>IF(Source!$C31&gt;=COLUMNS($A31:R31), Source!$E31, "")</f>
        <v/>
      </c>
      <c r="S31" s="2" t="str">
        <f>IF(Source!$C31&gt;=COLUMNS($A31:S31), Source!$E31, "")</f>
        <v/>
      </c>
      <c r="T31" s="2" t="str">
        <f>IF(Source!$C31&gt;=COLUMNS($A31:T31), Source!$E31, "")</f>
        <v/>
      </c>
      <c r="U31" s="2" t="str">
        <f>IF(Source!$C31&gt;=COLUMNS($A31:U31), Source!$E31, "")</f>
        <v/>
      </c>
      <c r="V31" s="2" t="str">
        <f>IF(Source!$C31&gt;=COLUMNS($A31:V31), Source!$E31, "")</f>
        <v/>
      </c>
      <c r="W31" s="2" t="str">
        <f>IF(Source!$C31&gt;=COLUMNS($A31:W31), Source!$E31, "")</f>
        <v/>
      </c>
      <c r="X31" s="2" t="str">
        <f>IF(Source!$C31&gt;=COLUMNS($A31:X31), Source!$E31, "")</f>
        <v/>
      </c>
      <c r="Y31" s="2" t="str">
        <f>IF(Source!$C31&gt;=COLUMNS($A31:Y31), Source!$E31, "")</f>
        <v/>
      </c>
      <c r="Z31" s="2" t="str">
        <f>IF(Source!$C31&gt;=COLUMNS($A31:Z31), Source!$E31, "")</f>
        <v/>
      </c>
      <c r="AA31" s="2" t="str">
        <f>IF(Source!$C31&gt;=COLUMNS($A31:AA31), Source!$E31, "")</f>
        <v/>
      </c>
      <c r="AB31" s="2" t="str">
        <f>IF(Source!$C31&gt;=COLUMNS($A31:AB31), Source!$E31, "")</f>
        <v/>
      </c>
      <c r="AC31" s="2" t="str">
        <f>IF(Source!$C31&gt;=COLUMNS($A31:AC31), Source!$E31, "")</f>
        <v/>
      </c>
      <c r="AD31" s="2" t="str">
        <f>IF(Source!$C31&gt;=COLUMNS($A31:AD31), Source!$E31, "")</f>
        <v/>
      </c>
      <c r="AE31" s="2" t="str">
        <f>IF(Source!$C31&gt;=COLUMNS($A31:AE31), Source!$E31, "")</f>
        <v/>
      </c>
      <c r="AF31" s="2" t="str">
        <f>IF(Source!$C31&gt;=COLUMNS($A31:AF31), Source!$E31, "")</f>
        <v/>
      </c>
      <c r="AG31" s="2" t="str">
        <f>IF(Source!$C31&gt;=COLUMNS($A31:AG31), Source!$E31, "")</f>
        <v/>
      </c>
      <c r="AH31" s="2" t="str">
        <f>IF(Source!$C31&gt;=COLUMNS($A31:AH31), Source!$E31, "")</f>
        <v/>
      </c>
      <c r="AI31" s="2" t="str">
        <f>IF(Source!$C31&gt;=COLUMNS($A31:AI31), Source!$E31, "")</f>
        <v/>
      </c>
      <c r="AJ31" s="2" t="str">
        <f>IF(Source!$C31&gt;=COLUMNS($A31:AJ31), Source!$E31, "")</f>
        <v/>
      </c>
      <c r="AK31" s="2" t="str">
        <f>IF(Source!$C31&gt;=COLUMNS($A31:AK31), Source!$E31, "")</f>
        <v/>
      </c>
      <c r="AL31" s="2" t="str">
        <f>IF(Source!$C31&gt;=COLUMNS($A31:AL31), Source!$E31, "")</f>
        <v/>
      </c>
      <c r="AM31" s="2" t="str">
        <f>IF(Source!$C31&gt;=COLUMNS($A31:AM31), Source!$E31, "")</f>
        <v/>
      </c>
      <c r="AN31" s="2" t="str">
        <f>IF(Source!$C31&gt;=COLUMNS($A31:AN31), Source!$E31, "")</f>
        <v/>
      </c>
      <c r="AO31" s="2" t="str">
        <f>IF(Source!$C31&gt;=COLUMNS($A31:AO31), Source!$E31, "")</f>
        <v/>
      </c>
      <c r="AP31" s="2" t="str">
        <f>IF(Source!$C31&gt;=COLUMNS($A31:AP31), Source!$E31, "")</f>
        <v/>
      </c>
      <c r="AQ31" s="2" t="str">
        <f>IF(Source!$C31&gt;=COLUMNS($A31:AQ31), Source!$E31, "")</f>
        <v/>
      </c>
      <c r="AR31" s="2" t="str">
        <f>IF(Source!$C31&gt;=COLUMNS($A31:AR31), Source!$E31, "")</f>
        <v/>
      </c>
    </row>
    <row r="32">
      <c r="A32" s="2">
        <f>IF(Source!$C32&gt;=COLUMNS($A32:A32), Source!$E32, "")</f>
        <v>7</v>
      </c>
      <c r="B32" s="2">
        <f>IF(Source!$C32&gt;=COLUMNS($A32:B32), Source!$E32, "")</f>
        <v>7</v>
      </c>
      <c r="C32" s="2">
        <f>IF(Source!$C32&gt;=COLUMNS($A32:C32), Source!$E32, "")</f>
        <v>7</v>
      </c>
      <c r="D32" s="2">
        <f>IF(Source!$C32&gt;=COLUMNS($A32:D32), Source!$E32, "")</f>
        <v>7</v>
      </c>
      <c r="E32" s="2">
        <f>IF(Source!$C32&gt;=COLUMNS($A32:E32), Source!$E32, "")</f>
        <v>7</v>
      </c>
      <c r="F32" s="2">
        <f>IF(Source!$C32&gt;=COLUMNS($A32:F32), Source!$E32, "")</f>
        <v>7</v>
      </c>
      <c r="G32" s="2">
        <f>IF(Source!$C32&gt;=COLUMNS($A32:G32), Source!$E32, "")</f>
        <v>7</v>
      </c>
      <c r="H32" s="2">
        <f>IF(Source!$C32&gt;=COLUMNS($A32:H32), Source!$E32, "")</f>
        <v>7</v>
      </c>
      <c r="I32" s="2">
        <f>IF(Source!$C32&gt;=COLUMNS($A32:I32), Source!$E32, "")</f>
        <v>7</v>
      </c>
      <c r="J32" s="2">
        <f>IF(Source!$C32&gt;=COLUMNS($A32:J32), Source!$E32, "")</f>
        <v>7</v>
      </c>
      <c r="K32" s="2">
        <f>IF(Source!$C32&gt;=COLUMNS($A32:K32), Source!$E32, "")</f>
        <v>7</v>
      </c>
      <c r="L32" s="2">
        <f>IF(Source!$C32&gt;=COLUMNS($A32:L32), Source!$E32, "")</f>
        <v>7</v>
      </c>
      <c r="M32" s="2">
        <f>IF(Source!$C32&gt;=COLUMNS($A32:M32), Source!$E32, "")</f>
        <v>7</v>
      </c>
      <c r="N32" s="2" t="str">
        <f>IF(Source!$C32&gt;=COLUMNS($A32:N32), Source!$E32, "")</f>
        <v/>
      </c>
      <c r="O32" s="2" t="str">
        <f>IF(Source!$C32&gt;=COLUMNS($A32:O32), Source!$E32, "")</f>
        <v/>
      </c>
      <c r="P32" s="2" t="str">
        <f>IF(Source!$C32&gt;=COLUMNS($A32:P32), Source!$E32, "")</f>
        <v/>
      </c>
      <c r="Q32" s="2" t="str">
        <f>IF(Source!$C32&gt;=COLUMNS($A32:Q32), Source!$E32, "")</f>
        <v/>
      </c>
      <c r="R32" s="2" t="str">
        <f>IF(Source!$C32&gt;=COLUMNS($A32:R32), Source!$E32, "")</f>
        <v/>
      </c>
      <c r="S32" s="2" t="str">
        <f>IF(Source!$C32&gt;=COLUMNS($A32:S32), Source!$E32, "")</f>
        <v/>
      </c>
      <c r="T32" s="2" t="str">
        <f>IF(Source!$C32&gt;=COLUMNS($A32:T32), Source!$E32, "")</f>
        <v/>
      </c>
      <c r="U32" s="2" t="str">
        <f>IF(Source!$C32&gt;=COLUMNS($A32:U32), Source!$E32, "")</f>
        <v/>
      </c>
      <c r="V32" s="2" t="str">
        <f>IF(Source!$C32&gt;=COLUMNS($A32:V32), Source!$E32, "")</f>
        <v/>
      </c>
      <c r="W32" s="2" t="str">
        <f>IF(Source!$C32&gt;=COLUMNS($A32:W32), Source!$E32, "")</f>
        <v/>
      </c>
      <c r="X32" s="2" t="str">
        <f>IF(Source!$C32&gt;=COLUMNS($A32:X32), Source!$E32, "")</f>
        <v/>
      </c>
      <c r="Y32" s="2" t="str">
        <f>IF(Source!$C32&gt;=COLUMNS($A32:Y32), Source!$E32, "")</f>
        <v/>
      </c>
      <c r="Z32" s="2" t="str">
        <f>IF(Source!$C32&gt;=COLUMNS($A32:Z32), Source!$E32, "")</f>
        <v/>
      </c>
      <c r="AA32" s="2" t="str">
        <f>IF(Source!$C32&gt;=COLUMNS($A32:AA32), Source!$E32, "")</f>
        <v/>
      </c>
      <c r="AB32" s="2" t="str">
        <f>IF(Source!$C32&gt;=COLUMNS($A32:AB32), Source!$E32, "")</f>
        <v/>
      </c>
      <c r="AC32" s="2" t="str">
        <f>IF(Source!$C32&gt;=COLUMNS($A32:AC32), Source!$E32, "")</f>
        <v/>
      </c>
      <c r="AD32" s="2" t="str">
        <f>IF(Source!$C32&gt;=COLUMNS($A32:AD32), Source!$E32, "")</f>
        <v/>
      </c>
      <c r="AE32" s="2" t="str">
        <f>IF(Source!$C32&gt;=COLUMNS($A32:AE32), Source!$E32, "")</f>
        <v/>
      </c>
      <c r="AF32" s="2" t="str">
        <f>IF(Source!$C32&gt;=COLUMNS($A32:AF32), Source!$E32, "")</f>
        <v/>
      </c>
      <c r="AG32" s="2" t="str">
        <f>IF(Source!$C32&gt;=COLUMNS($A32:AG32), Source!$E32, "")</f>
        <v/>
      </c>
      <c r="AH32" s="2" t="str">
        <f>IF(Source!$C32&gt;=COLUMNS($A32:AH32), Source!$E32, "")</f>
        <v/>
      </c>
      <c r="AI32" s="2" t="str">
        <f>IF(Source!$C32&gt;=COLUMNS($A32:AI32), Source!$E32, "")</f>
        <v/>
      </c>
      <c r="AJ32" s="2" t="str">
        <f>IF(Source!$C32&gt;=COLUMNS($A32:AJ32), Source!$E32, "")</f>
        <v/>
      </c>
      <c r="AK32" s="2" t="str">
        <f>IF(Source!$C32&gt;=COLUMNS($A32:AK32), Source!$E32, "")</f>
        <v/>
      </c>
      <c r="AL32" s="2" t="str">
        <f>IF(Source!$C32&gt;=COLUMNS($A32:AL32), Source!$E32, "")</f>
        <v/>
      </c>
      <c r="AM32" s="2" t="str">
        <f>IF(Source!$C32&gt;=COLUMNS($A32:AM32), Source!$E32, "")</f>
        <v/>
      </c>
      <c r="AN32" s="2" t="str">
        <f>IF(Source!$C32&gt;=COLUMNS($A32:AN32), Source!$E32, "")</f>
        <v/>
      </c>
      <c r="AO32" s="2" t="str">
        <f>IF(Source!$C32&gt;=COLUMNS($A32:AO32), Source!$E32, "")</f>
        <v/>
      </c>
      <c r="AP32" s="2" t="str">
        <f>IF(Source!$C32&gt;=COLUMNS($A32:AP32), Source!$E32, "")</f>
        <v/>
      </c>
      <c r="AQ32" s="2" t="str">
        <f>IF(Source!$C32&gt;=COLUMNS($A32:AQ32), Source!$E32, "")</f>
        <v/>
      </c>
      <c r="AR32" s="2" t="str">
        <f>IF(Source!$C32&gt;=COLUMNS($A32:AR32), Source!$E32, "")</f>
        <v/>
      </c>
    </row>
    <row r="33">
      <c r="A33" s="2">
        <f>IF(Source!$C33&gt;=COLUMNS($A33:A33), Source!$E33, "")</f>
        <v>8</v>
      </c>
      <c r="B33" s="2">
        <f>IF(Source!$C33&gt;=COLUMNS($A33:B33), Source!$E33, "")</f>
        <v>8</v>
      </c>
      <c r="C33" s="2">
        <f>IF(Source!$C33&gt;=COLUMNS($A33:C33), Source!$E33, "")</f>
        <v>8</v>
      </c>
      <c r="D33" s="2" t="str">
        <f>IF(Source!$C33&gt;=COLUMNS($A33:D33), Source!$E33, "")</f>
        <v/>
      </c>
      <c r="E33" s="2" t="str">
        <f>IF(Source!$C33&gt;=COLUMNS($A33:E33), Source!$E33, "")</f>
        <v/>
      </c>
      <c r="F33" s="2" t="str">
        <f>IF(Source!$C33&gt;=COLUMNS($A33:F33), Source!$E33, "")</f>
        <v/>
      </c>
      <c r="G33" s="2" t="str">
        <f>IF(Source!$C33&gt;=COLUMNS($A33:G33), Source!$E33, "")</f>
        <v/>
      </c>
      <c r="H33" s="2" t="str">
        <f>IF(Source!$C33&gt;=COLUMNS($A33:H33), Source!$E33, "")</f>
        <v/>
      </c>
      <c r="I33" s="2" t="str">
        <f>IF(Source!$C33&gt;=COLUMNS($A33:I33), Source!$E33, "")</f>
        <v/>
      </c>
      <c r="J33" s="2" t="str">
        <f>IF(Source!$C33&gt;=COLUMNS($A33:J33), Source!$E33, "")</f>
        <v/>
      </c>
      <c r="K33" s="2" t="str">
        <f>IF(Source!$C33&gt;=COLUMNS($A33:K33), Source!$E33, "")</f>
        <v/>
      </c>
      <c r="L33" s="2" t="str">
        <f>IF(Source!$C33&gt;=COLUMNS($A33:L33), Source!$E33, "")</f>
        <v/>
      </c>
      <c r="M33" s="2" t="str">
        <f>IF(Source!$C33&gt;=COLUMNS($A33:M33), Source!$E33, "")</f>
        <v/>
      </c>
      <c r="N33" s="2" t="str">
        <f>IF(Source!$C33&gt;=COLUMNS($A33:N33), Source!$E33, "")</f>
        <v/>
      </c>
      <c r="O33" s="2" t="str">
        <f>IF(Source!$C33&gt;=COLUMNS($A33:O33), Source!$E33, "")</f>
        <v/>
      </c>
      <c r="P33" s="2" t="str">
        <f>IF(Source!$C33&gt;=COLUMNS($A33:P33), Source!$E33, "")</f>
        <v/>
      </c>
      <c r="Q33" s="2" t="str">
        <f>IF(Source!$C33&gt;=COLUMNS($A33:Q33), Source!$E33, "")</f>
        <v/>
      </c>
      <c r="R33" s="2" t="str">
        <f>IF(Source!$C33&gt;=COLUMNS($A33:R33), Source!$E33, "")</f>
        <v/>
      </c>
      <c r="S33" s="2" t="str">
        <f>IF(Source!$C33&gt;=COLUMNS($A33:S33), Source!$E33, "")</f>
        <v/>
      </c>
      <c r="T33" s="2" t="str">
        <f>IF(Source!$C33&gt;=COLUMNS($A33:T33), Source!$E33, "")</f>
        <v/>
      </c>
      <c r="U33" s="2" t="str">
        <f>IF(Source!$C33&gt;=COLUMNS($A33:U33), Source!$E33, "")</f>
        <v/>
      </c>
      <c r="V33" s="2" t="str">
        <f>IF(Source!$C33&gt;=COLUMNS($A33:V33), Source!$E33, "")</f>
        <v/>
      </c>
      <c r="W33" s="2" t="str">
        <f>IF(Source!$C33&gt;=COLUMNS($A33:W33), Source!$E33, "")</f>
        <v/>
      </c>
      <c r="X33" s="2" t="str">
        <f>IF(Source!$C33&gt;=COLUMNS($A33:X33), Source!$E33, "")</f>
        <v/>
      </c>
      <c r="Y33" s="2" t="str">
        <f>IF(Source!$C33&gt;=COLUMNS($A33:Y33), Source!$E33, "")</f>
        <v/>
      </c>
      <c r="Z33" s="2" t="str">
        <f>IF(Source!$C33&gt;=COLUMNS($A33:Z33), Source!$E33, "")</f>
        <v/>
      </c>
      <c r="AA33" s="2" t="str">
        <f>IF(Source!$C33&gt;=COLUMNS($A33:AA33), Source!$E33, "")</f>
        <v/>
      </c>
      <c r="AB33" s="2" t="str">
        <f>IF(Source!$C33&gt;=COLUMNS($A33:AB33), Source!$E33, "")</f>
        <v/>
      </c>
      <c r="AC33" s="2" t="str">
        <f>IF(Source!$C33&gt;=COLUMNS($A33:AC33), Source!$E33, "")</f>
        <v/>
      </c>
      <c r="AD33" s="2" t="str">
        <f>IF(Source!$C33&gt;=COLUMNS($A33:AD33), Source!$E33, "")</f>
        <v/>
      </c>
      <c r="AE33" s="2" t="str">
        <f>IF(Source!$C33&gt;=COLUMNS($A33:AE33), Source!$E33, "")</f>
        <v/>
      </c>
      <c r="AF33" s="2" t="str">
        <f>IF(Source!$C33&gt;=COLUMNS($A33:AF33), Source!$E33, "")</f>
        <v/>
      </c>
      <c r="AG33" s="2" t="str">
        <f>IF(Source!$C33&gt;=COLUMNS($A33:AG33), Source!$E33, "")</f>
        <v/>
      </c>
      <c r="AH33" s="2" t="str">
        <f>IF(Source!$C33&gt;=COLUMNS($A33:AH33), Source!$E33, "")</f>
        <v/>
      </c>
      <c r="AI33" s="2" t="str">
        <f>IF(Source!$C33&gt;=COLUMNS($A33:AI33), Source!$E33, "")</f>
        <v/>
      </c>
      <c r="AJ33" s="2" t="str">
        <f>IF(Source!$C33&gt;=COLUMNS($A33:AJ33), Source!$E33, "")</f>
        <v/>
      </c>
      <c r="AK33" s="2" t="str">
        <f>IF(Source!$C33&gt;=COLUMNS($A33:AK33), Source!$E33, "")</f>
        <v/>
      </c>
      <c r="AL33" s="2" t="str">
        <f>IF(Source!$C33&gt;=COLUMNS($A33:AL33), Source!$E33, "")</f>
        <v/>
      </c>
      <c r="AM33" s="2" t="str">
        <f>IF(Source!$C33&gt;=COLUMNS($A33:AM33), Source!$E33, "")</f>
        <v/>
      </c>
      <c r="AN33" s="2" t="str">
        <f>IF(Source!$C33&gt;=COLUMNS($A33:AN33), Source!$E33, "")</f>
        <v/>
      </c>
      <c r="AO33" s="2" t="str">
        <f>IF(Source!$C33&gt;=COLUMNS($A33:AO33), Source!$E33, "")</f>
        <v/>
      </c>
      <c r="AP33" s="2" t="str">
        <f>IF(Source!$C33&gt;=COLUMNS($A33:AP33), Source!$E33, "")</f>
        <v/>
      </c>
      <c r="AQ33" s="2" t="str">
        <f>IF(Source!$C33&gt;=COLUMNS($A33:AQ33), Source!$E33, "")</f>
        <v/>
      </c>
      <c r="AR33" s="2" t="str">
        <f>IF(Source!$C33&gt;=COLUMNS($A33:AR33), Source!$E33, "")</f>
        <v/>
      </c>
    </row>
    <row r="34">
      <c r="A34" s="2">
        <f>IF(Source!$C34&gt;=COLUMNS($A34:A34), Source!$E34, "")</f>
        <v>6</v>
      </c>
      <c r="B34" s="2">
        <f>IF(Source!$C34&gt;=COLUMNS($A34:B34), Source!$E34, "")</f>
        <v>6</v>
      </c>
      <c r="C34" s="2" t="str">
        <f>IF(Source!$C34&gt;=COLUMNS($A34:C34), Source!$E34, "")</f>
        <v/>
      </c>
      <c r="D34" s="2" t="str">
        <f>IF(Source!$C34&gt;=COLUMNS($A34:D34), Source!$E34, "")</f>
        <v/>
      </c>
      <c r="E34" s="2" t="str">
        <f>IF(Source!$C34&gt;=COLUMNS($A34:E34), Source!$E34, "")</f>
        <v/>
      </c>
      <c r="F34" s="2" t="str">
        <f>IF(Source!$C34&gt;=COLUMNS($A34:F34), Source!$E34, "")</f>
        <v/>
      </c>
      <c r="G34" s="2" t="str">
        <f>IF(Source!$C34&gt;=COLUMNS($A34:G34), Source!$E34, "")</f>
        <v/>
      </c>
      <c r="H34" s="2" t="str">
        <f>IF(Source!$C34&gt;=COLUMNS($A34:H34), Source!$E34, "")</f>
        <v/>
      </c>
      <c r="I34" s="2" t="str">
        <f>IF(Source!$C34&gt;=COLUMNS($A34:I34), Source!$E34, "")</f>
        <v/>
      </c>
      <c r="J34" s="2" t="str">
        <f>IF(Source!$C34&gt;=COLUMNS($A34:J34), Source!$E34, "")</f>
        <v/>
      </c>
      <c r="K34" s="2" t="str">
        <f>IF(Source!$C34&gt;=COLUMNS($A34:K34), Source!$E34, "")</f>
        <v/>
      </c>
      <c r="L34" s="2" t="str">
        <f>IF(Source!$C34&gt;=COLUMNS($A34:L34), Source!$E34, "")</f>
        <v/>
      </c>
      <c r="M34" s="2" t="str">
        <f>IF(Source!$C34&gt;=COLUMNS($A34:M34), Source!$E34, "")</f>
        <v/>
      </c>
      <c r="N34" s="2" t="str">
        <f>IF(Source!$C34&gt;=COLUMNS($A34:N34), Source!$E34, "")</f>
        <v/>
      </c>
      <c r="O34" s="2" t="str">
        <f>IF(Source!$C34&gt;=COLUMNS($A34:O34), Source!$E34, "")</f>
        <v/>
      </c>
      <c r="P34" s="2" t="str">
        <f>IF(Source!$C34&gt;=COLUMNS($A34:P34), Source!$E34, "")</f>
        <v/>
      </c>
      <c r="Q34" s="2" t="str">
        <f>IF(Source!$C34&gt;=COLUMNS($A34:Q34), Source!$E34, "")</f>
        <v/>
      </c>
      <c r="R34" s="2" t="str">
        <f>IF(Source!$C34&gt;=COLUMNS($A34:R34), Source!$E34, "")</f>
        <v/>
      </c>
      <c r="S34" s="2" t="str">
        <f>IF(Source!$C34&gt;=COLUMNS($A34:S34), Source!$E34, "")</f>
        <v/>
      </c>
      <c r="T34" s="2" t="str">
        <f>IF(Source!$C34&gt;=COLUMNS($A34:T34), Source!$E34, "")</f>
        <v/>
      </c>
      <c r="U34" s="2" t="str">
        <f>IF(Source!$C34&gt;=COLUMNS($A34:U34), Source!$E34, "")</f>
        <v/>
      </c>
      <c r="V34" s="2" t="str">
        <f>IF(Source!$C34&gt;=COLUMNS($A34:V34), Source!$E34, "")</f>
        <v/>
      </c>
      <c r="W34" s="2" t="str">
        <f>IF(Source!$C34&gt;=COLUMNS($A34:W34), Source!$E34, "")</f>
        <v/>
      </c>
      <c r="X34" s="2" t="str">
        <f>IF(Source!$C34&gt;=COLUMNS($A34:X34), Source!$E34, "")</f>
        <v/>
      </c>
      <c r="Y34" s="2" t="str">
        <f>IF(Source!$C34&gt;=COLUMNS($A34:Y34), Source!$E34, "")</f>
        <v/>
      </c>
      <c r="Z34" s="2" t="str">
        <f>IF(Source!$C34&gt;=COLUMNS($A34:Z34), Source!$E34, "")</f>
        <v/>
      </c>
      <c r="AA34" s="2" t="str">
        <f>IF(Source!$C34&gt;=COLUMNS($A34:AA34), Source!$E34, "")</f>
        <v/>
      </c>
      <c r="AB34" s="2" t="str">
        <f>IF(Source!$C34&gt;=COLUMNS($A34:AB34), Source!$E34, "")</f>
        <v/>
      </c>
      <c r="AC34" s="2" t="str">
        <f>IF(Source!$C34&gt;=COLUMNS($A34:AC34), Source!$E34, "")</f>
        <v/>
      </c>
      <c r="AD34" s="2" t="str">
        <f>IF(Source!$C34&gt;=COLUMNS($A34:AD34), Source!$E34, "")</f>
        <v/>
      </c>
      <c r="AE34" s="2" t="str">
        <f>IF(Source!$C34&gt;=COLUMNS($A34:AE34), Source!$E34, "")</f>
        <v/>
      </c>
      <c r="AF34" s="2" t="str">
        <f>IF(Source!$C34&gt;=COLUMNS($A34:AF34), Source!$E34, "")</f>
        <v/>
      </c>
      <c r="AG34" s="2" t="str">
        <f>IF(Source!$C34&gt;=COLUMNS($A34:AG34), Source!$E34, "")</f>
        <v/>
      </c>
      <c r="AH34" s="2" t="str">
        <f>IF(Source!$C34&gt;=COLUMNS($A34:AH34), Source!$E34, "")</f>
        <v/>
      </c>
      <c r="AI34" s="2" t="str">
        <f>IF(Source!$C34&gt;=COLUMNS($A34:AI34), Source!$E34, "")</f>
        <v/>
      </c>
      <c r="AJ34" s="2" t="str">
        <f>IF(Source!$C34&gt;=COLUMNS($A34:AJ34), Source!$E34, "")</f>
        <v/>
      </c>
      <c r="AK34" s="2" t="str">
        <f>IF(Source!$C34&gt;=COLUMNS($A34:AK34), Source!$E34, "")</f>
        <v/>
      </c>
      <c r="AL34" s="2" t="str">
        <f>IF(Source!$C34&gt;=COLUMNS($A34:AL34), Source!$E34, "")</f>
        <v/>
      </c>
      <c r="AM34" s="2" t="str">
        <f>IF(Source!$C34&gt;=COLUMNS($A34:AM34), Source!$E34, "")</f>
        <v/>
      </c>
      <c r="AN34" s="2" t="str">
        <f>IF(Source!$C34&gt;=COLUMNS($A34:AN34), Source!$E34, "")</f>
        <v/>
      </c>
      <c r="AO34" s="2" t="str">
        <f>IF(Source!$C34&gt;=COLUMNS($A34:AO34), Source!$E34, "")</f>
        <v/>
      </c>
      <c r="AP34" s="2" t="str">
        <f>IF(Source!$C34&gt;=COLUMNS($A34:AP34), Source!$E34, "")</f>
        <v/>
      </c>
      <c r="AQ34" s="2" t="str">
        <f>IF(Source!$C34&gt;=COLUMNS($A34:AQ34), Source!$E34, "")</f>
        <v/>
      </c>
      <c r="AR34" s="2" t="str">
        <f>IF(Source!$C34&gt;=COLUMNS($A34:AR34), Source!$E34, "")</f>
        <v/>
      </c>
    </row>
    <row r="35">
      <c r="A35" s="2">
        <f>IF(Source!$C35&gt;=COLUMNS($A35:A35), Source!$E35, "")</f>
        <v>3</v>
      </c>
      <c r="B35" s="2">
        <f>IF(Source!$C35&gt;=COLUMNS($A35:B35), Source!$E35, "")</f>
        <v>3</v>
      </c>
      <c r="C35" s="2">
        <f>IF(Source!$C35&gt;=COLUMNS($A35:C35), Source!$E35, "")</f>
        <v>3</v>
      </c>
      <c r="D35" s="2">
        <f>IF(Source!$C35&gt;=COLUMNS($A35:D35), Source!$E35, "")</f>
        <v>3</v>
      </c>
      <c r="E35" s="2">
        <f>IF(Source!$C35&gt;=COLUMNS($A35:E35), Source!$E35, "")</f>
        <v>3</v>
      </c>
      <c r="F35" s="2">
        <f>IF(Source!$C35&gt;=COLUMNS($A35:F35), Source!$E35, "")</f>
        <v>3</v>
      </c>
      <c r="G35" s="2">
        <f>IF(Source!$C35&gt;=COLUMNS($A35:G35), Source!$E35, "")</f>
        <v>3</v>
      </c>
      <c r="H35" s="2">
        <f>IF(Source!$C35&gt;=COLUMNS($A35:H35), Source!$E35, "")</f>
        <v>3</v>
      </c>
      <c r="I35" s="2">
        <f>IF(Source!$C35&gt;=COLUMNS($A35:I35), Source!$E35, "")</f>
        <v>3</v>
      </c>
      <c r="J35" s="2">
        <f>IF(Source!$C35&gt;=COLUMNS($A35:J35), Source!$E35, "")</f>
        <v>3</v>
      </c>
      <c r="K35" s="2" t="str">
        <f>IF(Source!$C35&gt;=COLUMNS($A35:K35), Source!$E35, "")</f>
        <v/>
      </c>
      <c r="L35" s="2" t="str">
        <f>IF(Source!$C35&gt;=COLUMNS($A35:L35), Source!$E35, "")</f>
        <v/>
      </c>
      <c r="M35" s="2" t="str">
        <f>IF(Source!$C35&gt;=COLUMNS($A35:M35), Source!$E35, "")</f>
        <v/>
      </c>
      <c r="N35" s="2" t="str">
        <f>IF(Source!$C35&gt;=COLUMNS($A35:N35), Source!$E35, "")</f>
        <v/>
      </c>
      <c r="O35" s="2" t="str">
        <f>IF(Source!$C35&gt;=COLUMNS($A35:O35), Source!$E35, "")</f>
        <v/>
      </c>
      <c r="P35" s="2" t="str">
        <f>IF(Source!$C35&gt;=COLUMNS($A35:P35), Source!$E35, "")</f>
        <v/>
      </c>
      <c r="Q35" s="2" t="str">
        <f>IF(Source!$C35&gt;=COLUMNS($A35:Q35), Source!$E35, "")</f>
        <v/>
      </c>
      <c r="R35" s="2" t="str">
        <f>IF(Source!$C35&gt;=COLUMNS($A35:R35), Source!$E35, "")</f>
        <v/>
      </c>
      <c r="S35" s="2" t="str">
        <f>IF(Source!$C35&gt;=COLUMNS($A35:S35), Source!$E35, "")</f>
        <v/>
      </c>
      <c r="T35" s="2" t="str">
        <f>IF(Source!$C35&gt;=COLUMNS($A35:T35), Source!$E35, "")</f>
        <v/>
      </c>
      <c r="U35" s="2" t="str">
        <f>IF(Source!$C35&gt;=COLUMNS($A35:U35), Source!$E35, "")</f>
        <v/>
      </c>
      <c r="V35" s="2" t="str">
        <f>IF(Source!$C35&gt;=COLUMNS($A35:V35), Source!$E35, "")</f>
        <v/>
      </c>
      <c r="W35" s="2" t="str">
        <f>IF(Source!$C35&gt;=COLUMNS($A35:W35), Source!$E35, "")</f>
        <v/>
      </c>
      <c r="X35" s="2" t="str">
        <f>IF(Source!$C35&gt;=COLUMNS($A35:X35), Source!$E35, "")</f>
        <v/>
      </c>
      <c r="Y35" s="2" t="str">
        <f>IF(Source!$C35&gt;=COLUMNS($A35:Y35), Source!$E35, "")</f>
        <v/>
      </c>
      <c r="Z35" s="2" t="str">
        <f>IF(Source!$C35&gt;=COLUMNS($A35:Z35), Source!$E35, "")</f>
        <v/>
      </c>
      <c r="AA35" s="2" t="str">
        <f>IF(Source!$C35&gt;=COLUMNS($A35:AA35), Source!$E35, "")</f>
        <v/>
      </c>
      <c r="AB35" s="2" t="str">
        <f>IF(Source!$C35&gt;=COLUMNS($A35:AB35), Source!$E35, "")</f>
        <v/>
      </c>
      <c r="AC35" s="2" t="str">
        <f>IF(Source!$C35&gt;=COLUMNS($A35:AC35), Source!$E35, "")</f>
        <v/>
      </c>
      <c r="AD35" s="2" t="str">
        <f>IF(Source!$C35&gt;=COLUMNS($A35:AD35), Source!$E35, "")</f>
        <v/>
      </c>
      <c r="AE35" s="2" t="str">
        <f>IF(Source!$C35&gt;=COLUMNS($A35:AE35), Source!$E35, "")</f>
        <v/>
      </c>
      <c r="AF35" s="2" t="str">
        <f>IF(Source!$C35&gt;=COLUMNS($A35:AF35), Source!$E35, "")</f>
        <v/>
      </c>
      <c r="AG35" s="2" t="str">
        <f>IF(Source!$C35&gt;=COLUMNS($A35:AG35), Source!$E35, "")</f>
        <v/>
      </c>
      <c r="AH35" s="2" t="str">
        <f>IF(Source!$C35&gt;=COLUMNS($A35:AH35), Source!$E35, "")</f>
        <v/>
      </c>
      <c r="AI35" s="2" t="str">
        <f>IF(Source!$C35&gt;=COLUMNS($A35:AI35), Source!$E35, "")</f>
        <v/>
      </c>
      <c r="AJ35" s="2" t="str">
        <f>IF(Source!$C35&gt;=COLUMNS($A35:AJ35), Source!$E35, "")</f>
        <v/>
      </c>
      <c r="AK35" s="2" t="str">
        <f>IF(Source!$C35&gt;=COLUMNS($A35:AK35), Source!$E35, "")</f>
        <v/>
      </c>
      <c r="AL35" s="2" t="str">
        <f>IF(Source!$C35&gt;=COLUMNS($A35:AL35), Source!$E35, "")</f>
        <v/>
      </c>
      <c r="AM35" s="2" t="str">
        <f>IF(Source!$C35&gt;=COLUMNS($A35:AM35), Source!$E35, "")</f>
        <v/>
      </c>
      <c r="AN35" s="2" t="str">
        <f>IF(Source!$C35&gt;=COLUMNS($A35:AN35), Source!$E35, "")</f>
        <v/>
      </c>
      <c r="AO35" s="2" t="str">
        <f>IF(Source!$C35&gt;=COLUMNS($A35:AO35), Source!$E35, "")</f>
        <v/>
      </c>
      <c r="AP35" s="2" t="str">
        <f>IF(Source!$C35&gt;=COLUMNS($A35:AP35), Source!$E35, "")</f>
        <v/>
      </c>
      <c r="AQ35" s="2" t="str">
        <f>IF(Source!$C35&gt;=COLUMNS($A35:AQ35), Source!$E35, "")</f>
        <v/>
      </c>
      <c r="AR35" s="2" t="str">
        <f>IF(Source!$C35&gt;=COLUMNS($A35:AR35), Source!$E35, "")</f>
        <v/>
      </c>
    </row>
    <row r="36">
      <c r="A36" s="2">
        <f>IF(Source!$C36&gt;=COLUMNS($A36:A36), Source!$E36, "")</f>
        <v>7</v>
      </c>
      <c r="B36" s="2">
        <f>IF(Source!$C36&gt;=COLUMNS($A36:B36), Source!$E36, "")</f>
        <v>7</v>
      </c>
      <c r="C36" s="2" t="str">
        <f>IF(Source!$C36&gt;=COLUMNS($A36:C36), Source!$E36, "")</f>
        <v/>
      </c>
      <c r="D36" s="2" t="str">
        <f>IF(Source!$C36&gt;=COLUMNS($A36:D36), Source!$E36, "")</f>
        <v/>
      </c>
      <c r="E36" s="2" t="str">
        <f>IF(Source!$C36&gt;=COLUMNS($A36:E36), Source!$E36, "")</f>
        <v/>
      </c>
      <c r="F36" s="2" t="str">
        <f>IF(Source!$C36&gt;=COLUMNS($A36:F36), Source!$E36, "")</f>
        <v/>
      </c>
      <c r="G36" s="2" t="str">
        <f>IF(Source!$C36&gt;=COLUMNS($A36:G36), Source!$E36, "")</f>
        <v/>
      </c>
      <c r="H36" s="2" t="str">
        <f>IF(Source!$C36&gt;=COLUMNS($A36:H36), Source!$E36, "")</f>
        <v/>
      </c>
      <c r="I36" s="2" t="str">
        <f>IF(Source!$C36&gt;=COLUMNS($A36:I36), Source!$E36, "")</f>
        <v/>
      </c>
      <c r="J36" s="2" t="str">
        <f>IF(Source!$C36&gt;=COLUMNS($A36:J36), Source!$E36, "")</f>
        <v/>
      </c>
      <c r="K36" s="2" t="str">
        <f>IF(Source!$C36&gt;=COLUMNS($A36:K36), Source!$E36, "")</f>
        <v/>
      </c>
      <c r="L36" s="2" t="str">
        <f>IF(Source!$C36&gt;=COLUMNS($A36:L36), Source!$E36, "")</f>
        <v/>
      </c>
      <c r="M36" s="2" t="str">
        <f>IF(Source!$C36&gt;=COLUMNS($A36:M36), Source!$E36, "")</f>
        <v/>
      </c>
      <c r="N36" s="2" t="str">
        <f>IF(Source!$C36&gt;=COLUMNS($A36:N36), Source!$E36, "")</f>
        <v/>
      </c>
      <c r="O36" s="2" t="str">
        <f>IF(Source!$C36&gt;=COLUMNS($A36:O36), Source!$E36, "")</f>
        <v/>
      </c>
      <c r="P36" s="2" t="str">
        <f>IF(Source!$C36&gt;=COLUMNS($A36:P36), Source!$E36, "")</f>
        <v/>
      </c>
      <c r="Q36" s="2" t="str">
        <f>IF(Source!$C36&gt;=COLUMNS($A36:Q36), Source!$E36, "")</f>
        <v/>
      </c>
      <c r="R36" s="2" t="str">
        <f>IF(Source!$C36&gt;=COLUMNS($A36:R36), Source!$E36, "")</f>
        <v/>
      </c>
      <c r="S36" s="2" t="str">
        <f>IF(Source!$C36&gt;=COLUMNS($A36:S36), Source!$E36, "")</f>
        <v/>
      </c>
      <c r="T36" s="2" t="str">
        <f>IF(Source!$C36&gt;=COLUMNS($A36:T36), Source!$E36, "")</f>
        <v/>
      </c>
      <c r="U36" s="2" t="str">
        <f>IF(Source!$C36&gt;=COLUMNS($A36:U36), Source!$E36, "")</f>
        <v/>
      </c>
      <c r="V36" s="2" t="str">
        <f>IF(Source!$C36&gt;=COLUMNS($A36:V36), Source!$E36, "")</f>
        <v/>
      </c>
      <c r="W36" s="2" t="str">
        <f>IF(Source!$C36&gt;=COLUMNS($A36:W36), Source!$E36, "")</f>
        <v/>
      </c>
      <c r="X36" s="2" t="str">
        <f>IF(Source!$C36&gt;=COLUMNS($A36:X36), Source!$E36, "")</f>
        <v/>
      </c>
      <c r="Y36" s="2" t="str">
        <f>IF(Source!$C36&gt;=COLUMNS($A36:Y36), Source!$E36, "")</f>
        <v/>
      </c>
      <c r="Z36" s="2" t="str">
        <f>IF(Source!$C36&gt;=COLUMNS($A36:Z36), Source!$E36, "")</f>
        <v/>
      </c>
      <c r="AA36" s="2" t="str">
        <f>IF(Source!$C36&gt;=COLUMNS($A36:AA36), Source!$E36, "")</f>
        <v/>
      </c>
      <c r="AB36" s="2" t="str">
        <f>IF(Source!$C36&gt;=COLUMNS($A36:AB36), Source!$E36, "")</f>
        <v/>
      </c>
      <c r="AC36" s="2" t="str">
        <f>IF(Source!$C36&gt;=COLUMNS($A36:AC36), Source!$E36, "")</f>
        <v/>
      </c>
      <c r="AD36" s="2" t="str">
        <f>IF(Source!$C36&gt;=COLUMNS($A36:AD36), Source!$E36, "")</f>
        <v/>
      </c>
      <c r="AE36" s="2" t="str">
        <f>IF(Source!$C36&gt;=COLUMNS($A36:AE36), Source!$E36, "")</f>
        <v/>
      </c>
      <c r="AF36" s="2" t="str">
        <f>IF(Source!$C36&gt;=COLUMNS($A36:AF36), Source!$E36, "")</f>
        <v/>
      </c>
      <c r="AG36" s="2" t="str">
        <f>IF(Source!$C36&gt;=COLUMNS($A36:AG36), Source!$E36, "")</f>
        <v/>
      </c>
      <c r="AH36" s="2" t="str">
        <f>IF(Source!$C36&gt;=COLUMNS($A36:AH36), Source!$E36, "")</f>
        <v/>
      </c>
      <c r="AI36" s="2" t="str">
        <f>IF(Source!$C36&gt;=COLUMNS($A36:AI36), Source!$E36, "")</f>
        <v/>
      </c>
      <c r="AJ36" s="2" t="str">
        <f>IF(Source!$C36&gt;=COLUMNS($A36:AJ36), Source!$E36, "")</f>
        <v/>
      </c>
      <c r="AK36" s="2" t="str">
        <f>IF(Source!$C36&gt;=COLUMNS($A36:AK36), Source!$E36, "")</f>
        <v/>
      </c>
      <c r="AL36" s="2" t="str">
        <f>IF(Source!$C36&gt;=COLUMNS($A36:AL36), Source!$E36, "")</f>
        <v/>
      </c>
      <c r="AM36" s="2" t="str">
        <f>IF(Source!$C36&gt;=COLUMNS($A36:AM36), Source!$E36, "")</f>
        <v/>
      </c>
      <c r="AN36" s="2" t="str">
        <f>IF(Source!$C36&gt;=COLUMNS($A36:AN36), Source!$E36, "")</f>
        <v/>
      </c>
      <c r="AO36" s="2" t="str">
        <f>IF(Source!$C36&gt;=COLUMNS($A36:AO36), Source!$E36, "")</f>
        <v/>
      </c>
      <c r="AP36" s="2" t="str">
        <f>IF(Source!$C36&gt;=COLUMNS($A36:AP36), Source!$E36, "")</f>
        <v/>
      </c>
      <c r="AQ36" s="2" t="str">
        <f>IF(Source!$C36&gt;=COLUMNS($A36:AQ36), Source!$E36, "")</f>
        <v/>
      </c>
      <c r="AR36" s="2" t="str">
        <f>IF(Source!$C36&gt;=COLUMNS($A36:AR36), Source!$E36, "")</f>
        <v/>
      </c>
    </row>
    <row r="37">
      <c r="A37" s="2">
        <f>IF(Source!$C37&gt;=COLUMNS($A37:A37), Source!$E37, "")</f>
        <v>5</v>
      </c>
      <c r="B37" s="2">
        <f>IF(Source!$C37&gt;=COLUMNS($A37:B37), Source!$E37, "")</f>
        <v>5</v>
      </c>
      <c r="C37" s="2">
        <f>IF(Source!$C37&gt;=COLUMNS($A37:C37), Source!$E37, "")</f>
        <v>5</v>
      </c>
      <c r="D37" s="2" t="str">
        <f>IF(Source!$C37&gt;=COLUMNS($A37:D37), Source!$E37, "")</f>
        <v/>
      </c>
      <c r="E37" s="2" t="str">
        <f>IF(Source!$C37&gt;=COLUMNS($A37:E37), Source!$E37, "")</f>
        <v/>
      </c>
      <c r="F37" s="2" t="str">
        <f>IF(Source!$C37&gt;=COLUMNS($A37:F37), Source!$E37, "")</f>
        <v/>
      </c>
      <c r="G37" s="2" t="str">
        <f>IF(Source!$C37&gt;=COLUMNS($A37:G37), Source!$E37, "")</f>
        <v/>
      </c>
      <c r="H37" s="2" t="str">
        <f>IF(Source!$C37&gt;=COLUMNS($A37:H37), Source!$E37, "")</f>
        <v/>
      </c>
      <c r="I37" s="2" t="str">
        <f>IF(Source!$C37&gt;=COLUMNS($A37:I37), Source!$E37, "")</f>
        <v/>
      </c>
      <c r="J37" s="2" t="str">
        <f>IF(Source!$C37&gt;=COLUMNS($A37:J37), Source!$E37, "")</f>
        <v/>
      </c>
      <c r="K37" s="2" t="str">
        <f>IF(Source!$C37&gt;=COLUMNS($A37:K37), Source!$E37, "")</f>
        <v/>
      </c>
      <c r="L37" s="2" t="str">
        <f>IF(Source!$C37&gt;=COLUMNS($A37:L37), Source!$E37, "")</f>
        <v/>
      </c>
      <c r="M37" s="2" t="str">
        <f>IF(Source!$C37&gt;=COLUMNS($A37:M37), Source!$E37, "")</f>
        <v/>
      </c>
      <c r="N37" s="2" t="str">
        <f>IF(Source!$C37&gt;=COLUMNS($A37:N37), Source!$E37, "")</f>
        <v/>
      </c>
      <c r="O37" s="2" t="str">
        <f>IF(Source!$C37&gt;=COLUMNS($A37:O37), Source!$E37, "")</f>
        <v/>
      </c>
      <c r="P37" s="2" t="str">
        <f>IF(Source!$C37&gt;=COLUMNS($A37:P37), Source!$E37, "")</f>
        <v/>
      </c>
      <c r="Q37" s="2" t="str">
        <f>IF(Source!$C37&gt;=COLUMNS($A37:Q37), Source!$E37, "")</f>
        <v/>
      </c>
      <c r="R37" s="2" t="str">
        <f>IF(Source!$C37&gt;=COLUMNS($A37:R37), Source!$E37, "")</f>
        <v/>
      </c>
      <c r="S37" s="2" t="str">
        <f>IF(Source!$C37&gt;=COLUMNS($A37:S37), Source!$E37, "")</f>
        <v/>
      </c>
      <c r="T37" s="2" t="str">
        <f>IF(Source!$C37&gt;=COLUMNS($A37:T37), Source!$E37, "")</f>
        <v/>
      </c>
      <c r="U37" s="2" t="str">
        <f>IF(Source!$C37&gt;=COLUMNS($A37:U37), Source!$E37, "")</f>
        <v/>
      </c>
      <c r="V37" s="2" t="str">
        <f>IF(Source!$C37&gt;=COLUMNS($A37:V37), Source!$E37, "")</f>
        <v/>
      </c>
      <c r="W37" s="2" t="str">
        <f>IF(Source!$C37&gt;=COLUMNS($A37:W37), Source!$E37, "")</f>
        <v/>
      </c>
      <c r="X37" s="2" t="str">
        <f>IF(Source!$C37&gt;=COLUMNS($A37:X37), Source!$E37, "")</f>
        <v/>
      </c>
      <c r="Y37" s="2" t="str">
        <f>IF(Source!$C37&gt;=COLUMNS($A37:Y37), Source!$E37, "")</f>
        <v/>
      </c>
      <c r="Z37" s="2" t="str">
        <f>IF(Source!$C37&gt;=COLUMNS($A37:Z37), Source!$E37, "")</f>
        <v/>
      </c>
      <c r="AA37" s="2" t="str">
        <f>IF(Source!$C37&gt;=COLUMNS($A37:AA37), Source!$E37, "")</f>
        <v/>
      </c>
      <c r="AB37" s="2" t="str">
        <f>IF(Source!$C37&gt;=COLUMNS($A37:AB37), Source!$E37, "")</f>
        <v/>
      </c>
      <c r="AC37" s="2" t="str">
        <f>IF(Source!$C37&gt;=COLUMNS($A37:AC37), Source!$E37, "")</f>
        <v/>
      </c>
      <c r="AD37" s="2" t="str">
        <f>IF(Source!$C37&gt;=COLUMNS($A37:AD37), Source!$E37, "")</f>
        <v/>
      </c>
      <c r="AE37" s="2" t="str">
        <f>IF(Source!$C37&gt;=COLUMNS($A37:AE37), Source!$E37, "")</f>
        <v/>
      </c>
      <c r="AF37" s="2" t="str">
        <f>IF(Source!$C37&gt;=COLUMNS($A37:AF37), Source!$E37, "")</f>
        <v/>
      </c>
      <c r="AG37" s="2" t="str">
        <f>IF(Source!$C37&gt;=COLUMNS($A37:AG37), Source!$E37, "")</f>
        <v/>
      </c>
      <c r="AH37" s="2" t="str">
        <f>IF(Source!$C37&gt;=COLUMNS($A37:AH37), Source!$E37, "")</f>
        <v/>
      </c>
      <c r="AI37" s="2" t="str">
        <f>IF(Source!$C37&gt;=COLUMNS($A37:AI37), Source!$E37, "")</f>
        <v/>
      </c>
      <c r="AJ37" s="2" t="str">
        <f>IF(Source!$C37&gt;=COLUMNS($A37:AJ37), Source!$E37, "")</f>
        <v/>
      </c>
      <c r="AK37" s="2" t="str">
        <f>IF(Source!$C37&gt;=COLUMNS($A37:AK37), Source!$E37, "")</f>
        <v/>
      </c>
      <c r="AL37" s="2" t="str">
        <f>IF(Source!$C37&gt;=COLUMNS($A37:AL37), Source!$E37, "")</f>
        <v/>
      </c>
      <c r="AM37" s="2" t="str">
        <f>IF(Source!$C37&gt;=COLUMNS($A37:AM37), Source!$E37, "")</f>
        <v/>
      </c>
      <c r="AN37" s="2" t="str">
        <f>IF(Source!$C37&gt;=COLUMNS($A37:AN37), Source!$E37, "")</f>
        <v/>
      </c>
      <c r="AO37" s="2" t="str">
        <f>IF(Source!$C37&gt;=COLUMNS($A37:AO37), Source!$E37, "")</f>
        <v/>
      </c>
      <c r="AP37" s="2" t="str">
        <f>IF(Source!$C37&gt;=COLUMNS($A37:AP37), Source!$E37, "")</f>
        <v/>
      </c>
      <c r="AQ37" s="2" t="str">
        <f>IF(Source!$C37&gt;=COLUMNS($A37:AQ37), Source!$E37, "")</f>
        <v/>
      </c>
      <c r="AR37" s="2" t="str">
        <f>IF(Source!$C37&gt;=COLUMNS($A37:AR37), Source!$E37, "")</f>
        <v/>
      </c>
    </row>
    <row r="38">
      <c r="A38" s="2">
        <f>IF(Source!$C38&gt;=COLUMNS($A38:A38), Source!$E38, "")</f>
        <v>8</v>
      </c>
      <c r="B38" s="2">
        <f>IF(Source!$C38&gt;=COLUMNS($A38:B38), Source!$E38, "")</f>
        <v>8</v>
      </c>
      <c r="C38" s="2">
        <f>IF(Source!$C38&gt;=COLUMNS($A38:C38), Source!$E38, "")</f>
        <v>8</v>
      </c>
      <c r="D38" s="2">
        <f>IF(Source!$C38&gt;=COLUMNS($A38:D38), Source!$E38, "")</f>
        <v>8</v>
      </c>
      <c r="E38" s="2">
        <f>IF(Source!$C38&gt;=COLUMNS($A38:E38), Source!$E38, "")</f>
        <v>8</v>
      </c>
      <c r="F38" s="2">
        <f>IF(Source!$C38&gt;=COLUMNS($A38:F38), Source!$E38, "")</f>
        <v>8</v>
      </c>
      <c r="G38" s="2">
        <f>IF(Source!$C38&gt;=COLUMNS($A38:G38), Source!$E38, "")</f>
        <v>8</v>
      </c>
      <c r="H38" s="2">
        <f>IF(Source!$C38&gt;=COLUMNS($A38:H38), Source!$E38, "")</f>
        <v>8</v>
      </c>
      <c r="I38" s="2">
        <f>IF(Source!$C38&gt;=COLUMNS($A38:I38), Source!$E38, "")</f>
        <v>8</v>
      </c>
      <c r="J38" s="2">
        <f>IF(Source!$C38&gt;=COLUMNS($A38:J38), Source!$E38, "")</f>
        <v>8</v>
      </c>
      <c r="K38" s="2" t="str">
        <f>IF(Source!$C38&gt;=COLUMNS($A38:K38), Source!$E38, "")</f>
        <v/>
      </c>
      <c r="L38" s="2" t="str">
        <f>IF(Source!$C38&gt;=COLUMNS($A38:L38), Source!$E38, "")</f>
        <v/>
      </c>
      <c r="M38" s="2" t="str">
        <f>IF(Source!$C38&gt;=COLUMNS($A38:M38), Source!$E38, "")</f>
        <v/>
      </c>
      <c r="N38" s="2" t="str">
        <f>IF(Source!$C38&gt;=COLUMNS($A38:N38), Source!$E38, "")</f>
        <v/>
      </c>
      <c r="O38" s="2" t="str">
        <f>IF(Source!$C38&gt;=COLUMNS($A38:O38), Source!$E38, "")</f>
        <v/>
      </c>
      <c r="P38" s="2" t="str">
        <f>IF(Source!$C38&gt;=COLUMNS($A38:P38), Source!$E38, "")</f>
        <v/>
      </c>
      <c r="Q38" s="2" t="str">
        <f>IF(Source!$C38&gt;=COLUMNS($A38:Q38), Source!$E38, "")</f>
        <v/>
      </c>
      <c r="R38" s="2" t="str">
        <f>IF(Source!$C38&gt;=COLUMNS($A38:R38), Source!$E38, "")</f>
        <v/>
      </c>
      <c r="S38" s="2" t="str">
        <f>IF(Source!$C38&gt;=COLUMNS($A38:S38), Source!$E38, "")</f>
        <v/>
      </c>
      <c r="T38" s="2" t="str">
        <f>IF(Source!$C38&gt;=COLUMNS($A38:T38), Source!$E38, "")</f>
        <v/>
      </c>
      <c r="U38" s="2" t="str">
        <f>IF(Source!$C38&gt;=COLUMNS($A38:U38), Source!$E38, "")</f>
        <v/>
      </c>
      <c r="V38" s="2" t="str">
        <f>IF(Source!$C38&gt;=COLUMNS($A38:V38), Source!$E38, "")</f>
        <v/>
      </c>
      <c r="W38" s="2" t="str">
        <f>IF(Source!$C38&gt;=COLUMNS($A38:W38), Source!$E38, "")</f>
        <v/>
      </c>
      <c r="X38" s="2" t="str">
        <f>IF(Source!$C38&gt;=COLUMNS($A38:X38), Source!$E38, "")</f>
        <v/>
      </c>
      <c r="Y38" s="2" t="str">
        <f>IF(Source!$C38&gt;=COLUMNS($A38:Y38), Source!$E38, "")</f>
        <v/>
      </c>
      <c r="Z38" s="2" t="str">
        <f>IF(Source!$C38&gt;=COLUMNS($A38:Z38), Source!$E38, "")</f>
        <v/>
      </c>
      <c r="AA38" s="2" t="str">
        <f>IF(Source!$C38&gt;=COLUMNS($A38:AA38), Source!$E38, "")</f>
        <v/>
      </c>
      <c r="AB38" s="2" t="str">
        <f>IF(Source!$C38&gt;=COLUMNS($A38:AB38), Source!$E38, "")</f>
        <v/>
      </c>
      <c r="AC38" s="2" t="str">
        <f>IF(Source!$C38&gt;=COLUMNS($A38:AC38), Source!$E38, "")</f>
        <v/>
      </c>
      <c r="AD38" s="2" t="str">
        <f>IF(Source!$C38&gt;=COLUMNS($A38:AD38), Source!$E38, "")</f>
        <v/>
      </c>
      <c r="AE38" s="2" t="str">
        <f>IF(Source!$C38&gt;=COLUMNS($A38:AE38), Source!$E38, "")</f>
        <v/>
      </c>
      <c r="AF38" s="2" t="str">
        <f>IF(Source!$C38&gt;=COLUMNS($A38:AF38), Source!$E38, "")</f>
        <v/>
      </c>
      <c r="AG38" s="2" t="str">
        <f>IF(Source!$C38&gt;=COLUMNS($A38:AG38), Source!$E38, "")</f>
        <v/>
      </c>
      <c r="AH38" s="2" t="str">
        <f>IF(Source!$C38&gt;=COLUMNS($A38:AH38), Source!$E38, "")</f>
        <v/>
      </c>
      <c r="AI38" s="2" t="str">
        <f>IF(Source!$C38&gt;=COLUMNS($A38:AI38), Source!$E38, "")</f>
        <v/>
      </c>
      <c r="AJ38" s="2" t="str">
        <f>IF(Source!$C38&gt;=COLUMNS($A38:AJ38), Source!$E38, "")</f>
        <v/>
      </c>
      <c r="AK38" s="2" t="str">
        <f>IF(Source!$C38&gt;=COLUMNS($A38:AK38), Source!$E38, "")</f>
        <v/>
      </c>
      <c r="AL38" s="2" t="str">
        <f>IF(Source!$C38&gt;=COLUMNS($A38:AL38), Source!$E38, "")</f>
        <v/>
      </c>
      <c r="AM38" s="2" t="str">
        <f>IF(Source!$C38&gt;=COLUMNS($A38:AM38), Source!$E38, "")</f>
        <v/>
      </c>
      <c r="AN38" s="2" t="str">
        <f>IF(Source!$C38&gt;=COLUMNS($A38:AN38), Source!$E38, "")</f>
        <v/>
      </c>
      <c r="AO38" s="2" t="str">
        <f>IF(Source!$C38&gt;=COLUMNS($A38:AO38), Source!$E38, "")</f>
        <v/>
      </c>
      <c r="AP38" s="2" t="str">
        <f>IF(Source!$C38&gt;=COLUMNS($A38:AP38), Source!$E38, "")</f>
        <v/>
      </c>
      <c r="AQ38" s="2" t="str">
        <f>IF(Source!$C38&gt;=COLUMNS($A38:AQ38), Source!$E38, "")</f>
        <v/>
      </c>
      <c r="AR38" s="2" t="str">
        <f>IF(Source!$C38&gt;=COLUMNS($A38:AR38), Source!$E38, "")</f>
        <v/>
      </c>
    </row>
    <row r="39">
      <c r="A39" s="2">
        <f>IF(Source!$C39&gt;=COLUMNS($A39:A39), Source!$E39, "")</f>
        <v>8</v>
      </c>
      <c r="B39" s="2" t="str">
        <f>IF(Source!$C39&gt;=COLUMNS($A39:B39), Source!$E39, "")</f>
        <v/>
      </c>
      <c r="C39" s="2" t="str">
        <f>IF(Source!$C39&gt;=COLUMNS($A39:C39), Source!$E39, "")</f>
        <v/>
      </c>
      <c r="D39" s="2" t="str">
        <f>IF(Source!$C39&gt;=COLUMNS($A39:D39), Source!$E39, "")</f>
        <v/>
      </c>
      <c r="E39" s="2" t="str">
        <f>IF(Source!$C39&gt;=COLUMNS($A39:E39), Source!$E39, "")</f>
        <v/>
      </c>
      <c r="F39" s="2" t="str">
        <f>IF(Source!$C39&gt;=COLUMNS($A39:F39), Source!$E39, "")</f>
        <v/>
      </c>
      <c r="G39" s="2" t="str">
        <f>IF(Source!$C39&gt;=COLUMNS($A39:G39), Source!$E39, "")</f>
        <v/>
      </c>
      <c r="H39" s="2" t="str">
        <f>IF(Source!$C39&gt;=COLUMNS($A39:H39), Source!$E39, "")</f>
        <v/>
      </c>
      <c r="I39" s="2" t="str">
        <f>IF(Source!$C39&gt;=COLUMNS($A39:I39), Source!$E39, "")</f>
        <v/>
      </c>
      <c r="J39" s="2" t="str">
        <f>IF(Source!$C39&gt;=COLUMNS($A39:J39), Source!$E39, "")</f>
        <v/>
      </c>
      <c r="K39" s="2" t="str">
        <f>IF(Source!$C39&gt;=COLUMNS($A39:K39), Source!$E39, "")</f>
        <v/>
      </c>
      <c r="L39" s="2" t="str">
        <f>IF(Source!$C39&gt;=COLUMNS($A39:L39), Source!$E39, "")</f>
        <v/>
      </c>
      <c r="M39" s="2" t="str">
        <f>IF(Source!$C39&gt;=COLUMNS($A39:M39), Source!$E39, "")</f>
        <v/>
      </c>
      <c r="N39" s="2" t="str">
        <f>IF(Source!$C39&gt;=COLUMNS($A39:N39), Source!$E39, "")</f>
        <v/>
      </c>
      <c r="O39" s="2" t="str">
        <f>IF(Source!$C39&gt;=COLUMNS($A39:O39), Source!$E39, "")</f>
        <v/>
      </c>
      <c r="P39" s="2" t="str">
        <f>IF(Source!$C39&gt;=COLUMNS($A39:P39), Source!$E39, "")</f>
        <v/>
      </c>
      <c r="Q39" s="2" t="str">
        <f>IF(Source!$C39&gt;=COLUMNS($A39:Q39), Source!$E39, "")</f>
        <v/>
      </c>
      <c r="R39" s="2" t="str">
        <f>IF(Source!$C39&gt;=COLUMNS($A39:R39), Source!$E39, "")</f>
        <v/>
      </c>
      <c r="S39" s="2" t="str">
        <f>IF(Source!$C39&gt;=COLUMNS($A39:S39), Source!$E39, "")</f>
        <v/>
      </c>
      <c r="T39" s="2" t="str">
        <f>IF(Source!$C39&gt;=COLUMNS($A39:T39), Source!$E39, "")</f>
        <v/>
      </c>
      <c r="U39" s="2" t="str">
        <f>IF(Source!$C39&gt;=COLUMNS($A39:U39), Source!$E39, "")</f>
        <v/>
      </c>
      <c r="V39" s="2" t="str">
        <f>IF(Source!$C39&gt;=COLUMNS($A39:V39), Source!$E39, "")</f>
        <v/>
      </c>
      <c r="W39" s="2" t="str">
        <f>IF(Source!$C39&gt;=COLUMNS($A39:W39), Source!$E39, "")</f>
        <v/>
      </c>
      <c r="X39" s="2" t="str">
        <f>IF(Source!$C39&gt;=COLUMNS($A39:X39), Source!$E39, "")</f>
        <v/>
      </c>
      <c r="Y39" s="2" t="str">
        <f>IF(Source!$C39&gt;=COLUMNS($A39:Y39), Source!$E39, "")</f>
        <v/>
      </c>
      <c r="Z39" s="2" t="str">
        <f>IF(Source!$C39&gt;=COLUMNS($A39:Z39), Source!$E39, "")</f>
        <v/>
      </c>
      <c r="AA39" s="2" t="str">
        <f>IF(Source!$C39&gt;=COLUMNS($A39:AA39), Source!$E39, "")</f>
        <v/>
      </c>
      <c r="AB39" s="2" t="str">
        <f>IF(Source!$C39&gt;=COLUMNS($A39:AB39), Source!$E39, "")</f>
        <v/>
      </c>
      <c r="AC39" s="2" t="str">
        <f>IF(Source!$C39&gt;=COLUMNS($A39:AC39), Source!$E39, "")</f>
        <v/>
      </c>
      <c r="AD39" s="2" t="str">
        <f>IF(Source!$C39&gt;=COLUMNS($A39:AD39), Source!$E39, "")</f>
        <v/>
      </c>
      <c r="AE39" s="2" t="str">
        <f>IF(Source!$C39&gt;=COLUMNS($A39:AE39), Source!$E39, "")</f>
        <v/>
      </c>
      <c r="AF39" s="2" t="str">
        <f>IF(Source!$C39&gt;=COLUMNS($A39:AF39), Source!$E39, "")</f>
        <v/>
      </c>
      <c r="AG39" s="2" t="str">
        <f>IF(Source!$C39&gt;=COLUMNS($A39:AG39), Source!$E39, "")</f>
        <v/>
      </c>
      <c r="AH39" s="2" t="str">
        <f>IF(Source!$C39&gt;=COLUMNS($A39:AH39), Source!$E39, "")</f>
        <v/>
      </c>
      <c r="AI39" s="2" t="str">
        <f>IF(Source!$C39&gt;=COLUMNS($A39:AI39), Source!$E39, "")</f>
        <v/>
      </c>
      <c r="AJ39" s="2" t="str">
        <f>IF(Source!$C39&gt;=COLUMNS($A39:AJ39), Source!$E39, "")</f>
        <v/>
      </c>
      <c r="AK39" s="2" t="str">
        <f>IF(Source!$C39&gt;=COLUMNS($A39:AK39), Source!$E39, "")</f>
        <v/>
      </c>
      <c r="AL39" s="2" t="str">
        <f>IF(Source!$C39&gt;=COLUMNS($A39:AL39), Source!$E39, "")</f>
        <v/>
      </c>
      <c r="AM39" s="2" t="str">
        <f>IF(Source!$C39&gt;=COLUMNS($A39:AM39), Source!$E39, "")</f>
        <v/>
      </c>
      <c r="AN39" s="2" t="str">
        <f>IF(Source!$C39&gt;=COLUMNS($A39:AN39), Source!$E39, "")</f>
        <v/>
      </c>
      <c r="AO39" s="2" t="str">
        <f>IF(Source!$C39&gt;=COLUMNS($A39:AO39), Source!$E39, "")</f>
        <v/>
      </c>
      <c r="AP39" s="2" t="str">
        <f>IF(Source!$C39&gt;=COLUMNS($A39:AP39), Source!$E39, "")</f>
        <v/>
      </c>
      <c r="AQ39" s="2" t="str">
        <f>IF(Source!$C39&gt;=COLUMNS($A39:AQ39), Source!$E39, "")</f>
        <v/>
      </c>
      <c r="AR39" s="2" t="str">
        <f>IF(Source!$C39&gt;=COLUMNS($A39:AR39), Source!$E39, "")</f>
        <v/>
      </c>
    </row>
    <row r="40">
      <c r="A40" s="2">
        <f>IF(Source!$C40&gt;=COLUMNS($A40:A40), Source!$E40, "")</f>
        <v>2</v>
      </c>
      <c r="B40" s="2">
        <f>IF(Source!$C40&gt;=COLUMNS($A40:B40), Source!$E40, "")</f>
        <v>2</v>
      </c>
      <c r="C40" s="2">
        <f>IF(Source!$C40&gt;=COLUMNS($A40:C40), Source!$E40, "")</f>
        <v>2</v>
      </c>
      <c r="D40" s="2">
        <f>IF(Source!$C40&gt;=COLUMNS($A40:D40), Source!$E40, "")</f>
        <v>2</v>
      </c>
      <c r="E40" s="2">
        <f>IF(Source!$C40&gt;=COLUMNS($A40:E40), Source!$E40, "")</f>
        <v>2</v>
      </c>
      <c r="F40" s="2">
        <f>IF(Source!$C40&gt;=COLUMNS($A40:F40), Source!$E40, "")</f>
        <v>2</v>
      </c>
      <c r="G40" s="2" t="str">
        <f>IF(Source!$C40&gt;=COLUMNS($A40:G40), Source!$E40, "")</f>
        <v/>
      </c>
      <c r="H40" s="2" t="str">
        <f>IF(Source!$C40&gt;=COLUMNS($A40:H40), Source!$E40, "")</f>
        <v/>
      </c>
      <c r="I40" s="2" t="str">
        <f>IF(Source!$C40&gt;=COLUMNS($A40:I40), Source!$E40, "")</f>
        <v/>
      </c>
      <c r="J40" s="2" t="str">
        <f>IF(Source!$C40&gt;=COLUMNS($A40:J40), Source!$E40, "")</f>
        <v/>
      </c>
      <c r="K40" s="2" t="str">
        <f>IF(Source!$C40&gt;=COLUMNS($A40:K40), Source!$E40, "")</f>
        <v/>
      </c>
      <c r="L40" s="2" t="str">
        <f>IF(Source!$C40&gt;=COLUMNS($A40:L40), Source!$E40, "")</f>
        <v/>
      </c>
      <c r="M40" s="2" t="str">
        <f>IF(Source!$C40&gt;=COLUMNS($A40:M40), Source!$E40, "")</f>
        <v/>
      </c>
      <c r="N40" s="2" t="str">
        <f>IF(Source!$C40&gt;=COLUMNS($A40:N40), Source!$E40, "")</f>
        <v/>
      </c>
      <c r="O40" s="2" t="str">
        <f>IF(Source!$C40&gt;=COLUMNS($A40:O40), Source!$E40, "")</f>
        <v/>
      </c>
      <c r="P40" s="2" t="str">
        <f>IF(Source!$C40&gt;=COLUMNS($A40:P40), Source!$E40, "")</f>
        <v/>
      </c>
      <c r="Q40" s="2" t="str">
        <f>IF(Source!$C40&gt;=COLUMNS($A40:Q40), Source!$E40, "")</f>
        <v/>
      </c>
      <c r="R40" s="2" t="str">
        <f>IF(Source!$C40&gt;=COLUMNS($A40:R40), Source!$E40, "")</f>
        <v/>
      </c>
      <c r="S40" s="2" t="str">
        <f>IF(Source!$C40&gt;=COLUMNS($A40:S40), Source!$E40, "")</f>
        <v/>
      </c>
      <c r="T40" s="2" t="str">
        <f>IF(Source!$C40&gt;=COLUMNS($A40:T40), Source!$E40, "")</f>
        <v/>
      </c>
      <c r="U40" s="2" t="str">
        <f>IF(Source!$C40&gt;=COLUMNS($A40:U40), Source!$E40, "")</f>
        <v/>
      </c>
      <c r="V40" s="2" t="str">
        <f>IF(Source!$C40&gt;=COLUMNS($A40:V40), Source!$E40, "")</f>
        <v/>
      </c>
      <c r="W40" s="2" t="str">
        <f>IF(Source!$C40&gt;=COLUMNS($A40:W40), Source!$E40, "")</f>
        <v/>
      </c>
      <c r="X40" s="2" t="str">
        <f>IF(Source!$C40&gt;=COLUMNS($A40:X40), Source!$E40, "")</f>
        <v/>
      </c>
      <c r="Y40" s="2" t="str">
        <f>IF(Source!$C40&gt;=COLUMNS($A40:Y40), Source!$E40, "")</f>
        <v/>
      </c>
      <c r="Z40" s="2" t="str">
        <f>IF(Source!$C40&gt;=COLUMNS($A40:Z40), Source!$E40, "")</f>
        <v/>
      </c>
      <c r="AA40" s="2" t="str">
        <f>IF(Source!$C40&gt;=COLUMNS($A40:AA40), Source!$E40, "")</f>
        <v/>
      </c>
      <c r="AB40" s="2" t="str">
        <f>IF(Source!$C40&gt;=COLUMNS($A40:AB40), Source!$E40, "")</f>
        <v/>
      </c>
      <c r="AC40" s="2" t="str">
        <f>IF(Source!$C40&gt;=COLUMNS($A40:AC40), Source!$E40, "")</f>
        <v/>
      </c>
      <c r="AD40" s="2" t="str">
        <f>IF(Source!$C40&gt;=COLUMNS($A40:AD40), Source!$E40, "")</f>
        <v/>
      </c>
      <c r="AE40" s="2" t="str">
        <f>IF(Source!$C40&gt;=COLUMNS($A40:AE40), Source!$E40, "")</f>
        <v/>
      </c>
      <c r="AF40" s="2" t="str">
        <f>IF(Source!$C40&gt;=COLUMNS($A40:AF40), Source!$E40, "")</f>
        <v/>
      </c>
      <c r="AG40" s="2" t="str">
        <f>IF(Source!$C40&gt;=COLUMNS($A40:AG40), Source!$E40, "")</f>
        <v/>
      </c>
      <c r="AH40" s="2" t="str">
        <f>IF(Source!$C40&gt;=COLUMNS($A40:AH40), Source!$E40, "")</f>
        <v/>
      </c>
      <c r="AI40" s="2" t="str">
        <f>IF(Source!$C40&gt;=COLUMNS($A40:AI40), Source!$E40, "")</f>
        <v/>
      </c>
      <c r="AJ40" s="2" t="str">
        <f>IF(Source!$C40&gt;=COLUMNS($A40:AJ40), Source!$E40, "")</f>
        <v/>
      </c>
      <c r="AK40" s="2" t="str">
        <f>IF(Source!$C40&gt;=COLUMNS($A40:AK40), Source!$E40, "")</f>
        <v/>
      </c>
      <c r="AL40" s="2" t="str">
        <f>IF(Source!$C40&gt;=COLUMNS($A40:AL40), Source!$E40, "")</f>
        <v/>
      </c>
      <c r="AM40" s="2" t="str">
        <f>IF(Source!$C40&gt;=COLUMNS($A40:AM40), Source!$E40, "")</f>
        <v/>
      </c>
      <c r="AN40" s="2" t="str">
        <f>IF(Source!$C40&gt;=COLUMNS($A40:AN40), Source!$E40, "")</f>
        <v/>
      </c>
      <c r="AO40" s="2" t="str">
        <f>IF(Source!$C40&gt;=COLUMNS($A40:AO40), Source!$E40, "")</f>
        <v/>
      </c>
      <c r="AP40" s="2" t="str">
        <f>IF(Source!$C40&gt;=COLUMNS($A40:AP40), Source!$E40, "")</f>
        <v/>
      </c>
      <c r="AQ40" s="2" t="str">
        <f>IF(Source!$C40&gt;=COLUMNS($A40:AQ40), Source!$E40, "")</f>
        <v/>
      </c>
      <c r="AR40" s="2" t="str">
        <f>IF(Source!$C40&gt;=COLUMNS($A40:AR40), Source!$E40, "")</f>
        <v/>
      </c>
    </row>
    <row r="41">
      <c r="A41" s="2">
        <f>IF(Source!$C41&gt;=COLUMNS($A41:A41), Source!$E41, "")</f>
        <v>5</v>
      </c>
      <c r="B41" s="2" t="str">
        <f>IF(Source!$C41&gt;=COLUMNS($A41:B41), Source!$E41, "")</f>
        <v/>
      </c>
      <c r="C41" s="2" t="str">
        <f>IF(Source!$C41&gt;=COLUMNS($A41:C41), Source!$E41, "")</f>
        <v/>
      </c>
      <c r="D41" s="2" t="str">
        <f>IF(Source!$C41&gt;=COLUMNS($A41:D41), Source!$E41, "")</f>
        <v/>
      </c>
      <c r="E41" s="2" t="str">
        <f>IF(Source!$C41&gt;=COLUMNS($A41:E41), Source!$E41, "")</f>
        <v/>
      </c>
      <c r="F41" s="2" t="str">
        <f>IF(Source!$C41&gt;=COLUMNS($A41:F41), Source!$E41, "")</f>
        <v/>
      </c>
      <c r="G41" s="2" t="str">
        <f>IF(Source!$C41&gt;=COLUMNS($A41:G41), Source!$E41, "")</f>
        <v/>
      </c>
      <c r="H41" s="2" t="str">
        <f>IF(Source!$C41&gt;=COLUMNS($A41:H41), Source!$E41, "")</f>
        <v/>
      </c>
      <c r="I41" s="2" t="str">
        <f>IF(Source!$C41&gt;=COLUMNS($A41:I41), Source!$E41, "")</f>
        <v/>
      </c>
      <c r="J41" s="2" t="str">
        <f>IF(Source!$C41&gt;=COLUMNS($A41:J41), Source!$E41, "")</f>
        <v/>
      </c>
      <c r="K41" s="2" t="str">
        <f>IF(Source!$C41&gt;=COLUMNS($A41:K41), Source!$E41, "")</f>
        <v/>
      </c>
      <c r="L41" s="2" t="str">
        <f>IF(Source!$C41&gt;=COLUMNS($A41:L41), Source!$E41, "")</f>
        <v/>
      </c>
      <c r="M41" s="2" t="str">
        <f>IF(Source!$C41&gt;=COLUMNS($A41:M41), Source!$E41, "")</f>
        <v/>
      </c>
      <c r="N41" s="2" t="str">
        <f>IF(Source!$C41&gt;=COLUMNS($A41:N41), Source!$E41, "")</f>
        <v/>
      </c>
      <c r="O41" s="2" t="str">
        <f>IF(Source!$C41&gt;=COLUMNS($A41:O41), Source!$E41, "")</f>
        <v/>
      </c>
      <c r="P41" s="2" t="str">
        <f>IF(Source!$C41&gt;=COLUMNS($A41:P41), Source!$E41, "")</f>
        <v/>
      </c>
      <c r="Q41" s="2" t="str">
        <f>IF(Source!$C41&gt;=COLUMNS($A41:Q41), Source!$E41, "")</f>
        <v/>
      </c>
      <c r="R41" s="2" t="str">
        <f>IF(Source!$C41&gt;=COLUMNS($A41:R41), Source!$E41, "")</f>
        <v/>
      </c>
      <c r="S41" s="2" t="str">
        <f>IF(Source!$C41&gt;=COLUMNS($A41:S41), Source!$E41, "")</f>
        <v/>
      </c>
      <c r="T41" s="2" t="str">
        <f>IF(Source!$C41&gt;=COLUMNS($A41:T41), Source!$E41, "")</f>
        <v/>
      </c>
      <c r="U41" s="2" t="str">
        <f>IF(Source!$C41&gt;=COLUMNS($A41:U41), Source!$E41, "")</f>
        <v/>
      </c>
      <c r="V41" s="2" t="str">
        <f>IF(Source!$C41&gt;=COLUMNS($A41:V41), Source!$E41, "")</f>
        <v/>
      </c>
      <c r="W41" s="2" t="str">
        <f>IF(Source!$C41&gt;=COLUMNS($A41:W41), Source!$E41, "")</f>
        <v/>
      </c>
      <c r="X41" s="2" t="str">
        <f>IF(Source!$C41&gt;=COLUMNS($A41:X41), Source!$E41, "")</f>
        <v/>
      </c>
      <c r="Y41" s="2" t="str">
        <f>IF(Source!$C41&gt;=COLUMNS($A41:Y41), Source!$E41, "")</f>
        <v/>
      </c>
      <c r="Z41" s="2" t="str">
        <f>IF(Source!$C41&gt;=COLUMNS($A41:Z41), Source!$E41, "")</f>
        <v/>
      </c>
      <c r="AA41" s="2" t="str">
        <f>IF(Source!$C41&gt;=COLUMNS($A41:AA41), Source!$E41, "")</f>
        <v/>
      </c>
      <c r="AB41" s="2" t="str">
        <f>IF(Source!$C41&gt;=COLUMNS($A41:AB41), Source!$E41, "")</f>
        <v/>
      </c>
      <c r="AC41" s="2" t="str">
        <f>IF(Source!$C41&gt;=COLUMNS($A41:AC41), Source!$E41, "")</f>
        <v/>
      </c>
      <c r="AD41" s="2" t="str">
        <f>IF(Source!$C41&gt;=COLUMNS($A41:AD41), Source!$E41, "")</f>
        <v/>
      </c>
      <c r="AE41" s="2" t="str">
        <f>IF(Source!$C41&gt;=COLUMNS($A41:AE41), Source!$E41, "")</f>
        <v/>
      </c>
      <c r="AF41" s="2" t="str">
        <f>IF(Source!$C41&gt;=COLUMNS($A41:AF41), Source!$E41, "")</f>
        <v/>
      </c>
      <c r="AG41" s="2" t="str">
        <f>IF(Source!$C41&gt;=COLUMNS($A41:AG41), Source!$E41, "")</f>
        <v/>
      </c>
      <c r="AH41" s="2" t="str">
        <f>IF(Source!$C41&gt;=COLUMNS($A41:AH41), Source!$E41, "")</f>
        <v/>
      </c>
      <c r="AI41" s="2" t="str">
        <f>IF(Source!$C41&gt;=COLUMNS($A41:AI41), Source!$E41, "")</f>
        <v/>
      </c>
      <c r="AJ41" s="2" t="str">
        <f>IF(Source!$C41&gt;=COLUMNS($A41:AJ41), Source!$E41, "")</f>
        <v/>
      </c>
      <c r="AK41" s="2" t="str">
        <f>IF(Source!$C41&gt;=COLUMNS($A41:AK41), Source!$E41, "")</f>
        <v/>
      </c>
      <c r="AL41" s="2" t="str">
        <f>IF(Source!$C41&gt;=COLUMNS($A41:AL41), Source!$E41, "")</f>
        <v/>
      </c>
      <c r="AM41" s="2" t="str">
        <f>IF(Source!$C41&gt;=COLUMNS($A41:AM41), Source!$E41, "")</f>
        <v/>
      </c>
      <c r="AN41" s="2" t="str">
        <f>IF(Source!$C41&gt;=COLUMNS($A41:AN41), Source!$E41, "")</f>
        <v/>
      </c>
      <c r="AO41" s="2" t="str">
        <f>IF(Source!$C41&gt;=COLUMNS($A41:AO41), Source!$E41, "")</f>
        <v/>
      </c>
      <c r="AP41" s="2" t="str">
        <f>IF(Source!$C41&gt;=COLUMNS($A41:AP41), Source!$E41, "")</f>
        <v/>
      </c>
      <c r="AQ41" s="2" t="str">
        <f>IF(Source!$C41&gt;=COLUMNS($A41:AQ41), Source!$E41, "")</f>
        <v/>
      </c>
      <c r="AR41" s="2" t="str">
        <f>IF(Source!$C41&gt;=COLUMNS($A41:AR41), Source!$E41, "")</f>
        <v/>
      </c>
    </row>
    <row r="42">
      <c r="A42" s="2">
        <f>IF(Source!$C42&gt;=COLUMNS($A42:A42), Source!$E42, "")</f>
        <v>6</v>
      </c>
      <c r="B42" s="2">
        <f>IF(Source!$C42&gt;=COLUMNS($A42:B42), Source!$E42, "")</f>
        <v>6</v>
      </c>
      <c r="C42" s="2">
        <f>IF(Source!$C42&gt;=COLUMNS($A42:C42), Source!$E42, "")</f>
        <v>6</v>
      </c>
      <c r="D42" s="2">
        <f>IF(Source!$C42&gt;=COLUMNS($A42:D42), Source!$E42, "")</f>
        <v>6</v>
      </c>
      <c r="E42" s="2">
        <f>IF(Source!$C42&gt;=COLUMNS($A42:E42), Source!$E42, "")</f>
        <v>6</v>
      </c>
      <c r="F42" s="2" t="str">
        <f>IF(Source!$C42&gt;=COLUMNS($A42:F42), Source!$E42, "")</f>
        <v/>
      </c>
      <c r="G42" s="2" t="str">
        <f>IF(Source!$C42&gt;=COLUMNS($A42:G42), Source!$E42, "")</f>
        <v/>
      </c>
      <c r="H42" s="2" t="str">
        <f>IF(Source!$C42&gt;=COLUMNS($A42:H42), Source!$E42, "")</f>
        <v/>
      </c>
      <c r="I42" s="2" t="str">
        <f>IF(Source!$C42&gt;=COLUMNS($A42:I42), Source!$E42, "")</f>
        <v/>
      </c>
      <c r="J42" s="2" t="str">
        <f>IF(Source!$C42&gt;=COLUMNS($A42:J42), Source!$E42, "")</f>
        <v/>
      </c>
      <c r="K42" s="2" t="str">
        <f>IF(Source!$C42&gt;=COLUMNS($A42:K42), Source!$E42, "")</f>
        <v/>
      </c>
      <c r="L42" s="2" t="str">
        <f>IF(Source!$C42&gt;=COLUMNS($A42:L42), Source!$E42, "")</f>
        <v/>
      </c>
      <c r="M42" s="2" t="str">
        <f>IF(Source!$C42&gt;=COLUMNS($A42:M42), Source!$E42, "")</f>
        <v/>
      </c>
      <c r="N42" s="2" t="str">
        <f>IF(Source!$C42&gt;=COLUMNS($A42:N42), Source!$E42, "")</f>
        <v/>
      </c>
      <c r="O42" s="2" t="str">
        <f>IF(Source!$C42&gt;=COLUMNS($A42:O42), Source!$E42, "")</f>
        <v/>
      </c>
      <c r="P42" s="2" t="str">
        <f>IF(Source!$C42&gt;=COLUMNS($A42:P42), Source!$E42, "")</f>
        <v/>
      </c>
      <c r="Q42" s="2" t="str">
        <f>IF(Source!$C42&gt;=COLUMNS($A42:Q42), Source!$E42, "")</f>
        <v/>
      </c>
      <c r="R42" s="2" t="str">
        <f>IF(Source!$C42&gt;=COLUMNS($A42:R42), Source!$E42, "")</f>
        <v/>
      </c>
      <c r="S42" s="2" t="str">
        <f>IF(Source!$C42&gt;=COLUMNS($A42:S42), Source!$E42, "")</f>
        <v/>
      </c>
      <c r="T42" s="2" t="str">
        <f>IF(Source!$C42&gt;=COLUMNS($A42:T42), Source!$E42, "")</f>
        <v/>
      </c>
      <c r="U42" s="2" t="str">
        <f>IF(Source!$C42&gt;=COLUMNS($A42:U42), Source!$E42, "")</f>
        <v/>
      </c>
      <c r="V42" s="2" t="str">
        <f>IF(Source!$C42&gt;=COLUMNS($A42:V42), Source!$E42, "")</f>
        <v/>
      </c>
      <c r="W42" s="2" t="str">
        <f>IF(Source!$C42&gt;=COLUMNS($A42:W42), Source!$E42, "")</f>
        <v/>
      </c>
      <c r="X42" s="2" t="str">
        <f>IF(Source!$C42&gt;=COLUMNS($A42:X42), Source!$E42, "")</f>
        <v/>
      </c>
      <c r="Y42" s="2" t="str">
        <f>IF(Source!$C42&gt;=COLUMNS($A42:Y42), Source!$E42, "")</f>
        <v/>
      </c>
      <c r="Z42" s="2" t="str">
        <f>IF(Source!$C42&gt;=COLUMNS($A42:Z42), Source!$E42, "")</f>
        <v/>
      </c>
      <c r="AA42" s="2" t="str">
        <f>IF(Source!$C42&gt;=COLUMNS($A42:AA42), Source!$E42, "")</f>
        <v/>
      </c>
      <c r="AB42" s="2" t="str">
        <f>IF(Source!$C42&gt;=COLUMNS($A42:AB42), Source!$E42, "")</f>
        <v/>
      </c>
      <c r="AC42" s="2" t="str">
        <f>IF(Source!$C42&gt;=COLUMNS($A42:AC42), Source!$E42, "")</f>
        <v/>
      </c>
      <c r="AD42" s="2" t="str">
        <f>IF(Source!$C42&gt;=COLUMNS($A42:AD42), Source!$E42, "")</f>
        <v/>
      </c>
      <c r="AE42" s="2" t="str">
        <f>IF(Source!$C42&gt;=COLUMNS($A42:AE42), Source!$E42, "")</f>
        <v/>
      </c>
      <c r="AF42" s="2" t="str">
        <f>IF(Source!$C42&gt;=COLUMNS($A42:AF42), Source!$E42, "")</f>
        <v/>
      </c>
      <c r="AG42" s="2" t="str">
        <f>IF(Source!$C42&gt;=COLUMNS($A42:AG42), Source!$E42, "")</f>
        <v/>
      </c>
      <c r="AH42" s="2" t="str">
        <f>IF(Source!$C42&gt;=COLUMNS($A42:AH42), Source!$E42, "")</f>
        <v/>
      </c>
      <c r="AI42" s="2" t="str">
        <f>IF(Source!$C42&gt;=COLUMNS($A42:AI42), Source!$E42, "")</f>
        <v/>
      </c>
      <c r="AJ42" s="2" t="str">
        <f>IF(Source!$C42&gt;=COLUMNS($A42:AJ42), Source!$E42, "")</f>
        <v/>
      </c>
      <c r="AK42" s="2" t="str">
        <f>IF(Source!$C42&gt;=COLUMNS($A42:AK42), Source!$E42, "")</f>
        <v/>
      </c>
      <c r="AL42" s="2" t="str">
        <f>IF(Source!$C42&gt;=COLUMNS($A42:AL42), Source!$E42, "")</f>
        <v/>
      </c>
      <c r="AM42" s="2" t="str">
        <f>IF(Source!$C42&gt;=COLUMNS($A42:AM42), Source!$E42, "")</f>
        <v/>
      </c>
      <c r="AN42" s="2" t="str">
        <f>IF(Source!$C42&gt;=COLUMNS($A42:AN42), Source!$E42, "")</f>
        <v/>
      </c>
      <c r="AO42" s="2" t="str">
        <f>IF(Source!$C42&gt;=COLUMNS($A42:AO42), Source!$E42, "")</f>
        <v/>
      </c>
      <c r="AP42" s="2" t="str">
        <f>IF(Source!$C42&gt;=COLUMNS($A42:AP42), Source!$E42, "")</f>
        <v/>
      </c>
      <c r="AQ42" s="2" t="str">
        <f>IF(Source!$C42&gt;=COLUMNS($A42:AQ42), Source!$E42, "")</f>
        <v/>
      </c>
      <c r="AR42" s="2" t="str">
        <f>IF(Source!$C42&gt;=COLUMNS($A42:AR42), Source!$E42, "")</f>
        <v/>
      </c>
    </row>
    <row r="43">
      <c r="A43" s="2">
        <f>IF(Source!$C43&gt;=COLUMNS($A43:A43), Source!$E43, "")</f>
        <v>8</v>
      </c>
      <c r="B43" s="2">
        <f>IF(Source!$C43&gt;=COLUMNS($A43:B43), Source!$E43, "")</f>
        <v>8</v>
      </c>
      <c r="C43" s="2" t="str">
        <f>IF(Source!$C43&gt;=COLUMNS($A43:C43), Source!$E43, "")</f>
        <v/>
      </c>
      <c r="D43" s="2" t="str">
        <f>IF(Source!$C43&gt;=COLUMNS($A43:D43), Source!$E43, "")</f>
        <v/>
      </c>
      <c r="E43" s="2" t="str">
        <f>IF(Source!$C43&gt;=COLUMNS($A43:E43), Source!$E43, "")</f>
        <v/>
      </c>
      <c r="F43" s="2" t="str">
        <f>IF(Source!$C43&gt;=COLUMNS($A43:F43), Source!$E43, "")</f>
        <v/>
      </c>
      <c r="G43" s="2" t="str">
        <f>IF(Source!$C43&gt;=COLUMNS($A43:G43), Source!$E43, "")</f>
        <v/>
      </c>
      <c r="H43" s="2" t="str">
        <f>IF(Source!$C43&gt;=COLUMNS($A43:H43), Source!$E43, "")</f>
        <v/>
      </c>
      <c r="I43" s="2" t="str">
        <f>IF(Source!$C43&gt;=COLUMNS($A43:I43), Source!$E43, "")</f>
        <v/>
      </c>
      <c r="J43" s="2" t="str">
        <f>IF(Source!$C43&gt;=COLUMNS($A43:J43), Source!$E43, "")</f>
        <v/>
      </c>
      <c r="K43" s="2" t="str">
        <f>IF(Source!$C43&gt;=COLUMNS($A43:K43), Source!$E43, "")</f>
        <v/>
      </c>
      <c r="L43" s="2" t="str">
        <f>IF(Source!$C43&gt;=COLUMNS($A43:L43), Source!$E43, "")</f>
        <v/>
      </c>
      <c r="M43" s="2" t="str">
        <f>IF(Source!$C43&gt;=COLUMNS($A43:M43), Source!$E43, "")</f>
        <v/>
      </c>
      <c r="N43" s="2" t="str">
        <f>IF(Source!$C43&gt;=COLUMNS($A43:N43), Source!$E43, "")</f>
        <v/>
      </c>
      <c r="O43" s="2" t="str">
        <f>IF(Source!$C43&gt;=COLUMNS($A43:O43), Source!$E43, "")</f>
        <v/>
      </c>
      <c r="P43" s="2" t="str">
        <f>IF(Source!$C43&gt;=COLUMNS($A43:P43), Source!$E43, "")</f>
        <v/>
      </c>
      <c r="Q43" s="2" t="str">
        <f>IF(Source!$C43&gt;=COLUMNS($A43:Q43), Source!$E43, "")</f>
        <v/>
      </c>
      <c r="R43" s="2" t="str">
        <f>IF(Source!$C43&gt;=COLUMNS($A43:R43), Source!$E43, "")</f>
        <v/>
      </c>
      <c r="S43" s="2" t="str">
        <f>IF(Source!$C43&gt;=COLUMNS($A43:S43), Source!$E43, "")</f>
        <v/>
      </c>
      <c r="T43" s="2" t="str">
        <f>IF(Source!$C43&gt;=COLUMNS($A43:T43), Source!$E43, "")</f>
        <v/>
      </c>
      <c r="U43" s="2" t="str">
        <f>IF(Source!$C43&gt;=COLUMNS($A43:U43), Source!$E43, "")</f>
        <v/>
      </c>
      <c r="V43" s="2" t="str">
        <f>IF(Source!$C43&gt;=COLUMNS($A43:V43), Source!$E43, "")</f>
        <v/>
      </c>
      <c r="W43" s="2" t="str">
        <f>IF(Source!$C43&gt;=COLUMNS($A43:W43), Source!$E43, "")</f>
        <v/>
      </c>
      <c r="X43" s="2" t="str">
        <f>IF(Source!$C43&gt;=COLUMNS($A43:X43), Source!$E43, "")</f>
        <v/>
      </c>
      <c r="Y43" s="2" t="str">
        <f>IF(Source!$C43&gt;=COLUMNS($A43:Y43), Source!$E43, "")</f>
        <v/>
      </c>
      <c r="Z43" s="2" t="str">
        <f>IF(Source!$C43&gt;=COLUMNS($A43:Z43), Source!$E43, "")</f>
        <v/>
      </c>
      <c r="AA43" s="2" t="str">
        <f>IF(Source!$C43&gt;=COLUMNS($A43:AA43), Source!$E43, "")</f>
        <v/>
      </c>
      <c r="AB43" s="2" t="str">
        <f>IF(Source!$C43&gt;=COLUMNS($A43:AB43), Source!$E43, "")</f>
        <v/>
      </c>
      <c r="AC43" s="2" t="str">
        <f>IF(Source!$C43&gt;=COLUMNS($A43:AC43), Source!$E43, "")</f>
        <v/>
      </c>
      <c r="AD43" s="2" t="str">
        <f>IF(Source!$C43&gt;=COLUMNS($A43:AD43), Source!$E43, "")</f>
        <v/>
      </c>
      <c r="AE43" s="2" t="str">
        <f>IF(Source!$C43&gt;=COLUMNS($A43:AE43), Source!$E43, "")</f>
        <v/>
      </c>
      <c r="AF43" s="2" t="str">
        <f>IF(Source!$C43&gt;=COLUMNS($A43:AF43), Source!$E43, "")</f>
        <v/>
      </c>
      <c r="AG43" s="2" t="str">
        <f>IF(Source!$C43&gt;=COLUMNS($A43:AG43), Source!$E43, "")</f>
        <v/>
      </c>
      <c r="AH43" s="2" t="str">
        <f>IF(Source!$C43&gt;=COLUMNS($A43:AH43), Source!$E43, "")</f>
        <v/>
      </c>
      <c r="AI43" s="2" t="str">
        <f>IF(Source!$C43&gt;=COLUMNS($A43:AI43), Source!$E43, "")</f>
        <v/>
      </c>
      <c r="AJ43" s="2" t="str">
        <f>IF(Source!$C43&gt;=COLUMNS($A43:AJ43), Source!$E43, "")</f>
        <v/>
      </c>
      <c r="AK43" s="2" t="str">
        <f>IF(Source!$C43&gt;=COLUMNS($A43:AK43), Source!$E43, "")</f>
        <v/>
      </c>
      <c r="AL43" s="2" t="str">
        <f>IF(Source!$C43&gt;=COLUMNS($A43:AL43), Source!$E43, "")</f>
        <v/>
      </c>
      <c r="AM43" s="2" t="str">
        <f>IF(Source!$C43&gt;=COLUMNS($A43:AM43), Source!$E43, "")</f>
        <v/>
      </c>
      <c r="AN43" s="2" t="str">
        <f>IF(Source!$C43&gt;=COLUMNS($A43:AN43), Source!$E43, "")</f>
        <v/>
      </c>
      <c r="AO43" s="2" t="str">
        <f>IF(Source!$C43&gt;=COLUMNS($A43:AO43), Source!$E43, "")</f>
        <v/>
      </c>
      <c r="AP43" s="2" t="str">
        <f>IF(Source!$C43&gt;=COLUMNS($A43:AP43), Source!$E43, "")</f>
        <v/>
      </c>
      <c r="AQ43" s="2" t="str">
        <f>IF(Source!$C43&gt;=COLUMNS($A43:AQ43), Source!$E43, "")</f>
        <v/>
      </c>
      <c r="AR43" s="2" t="str">
        <f>IF(Source!$C43&gt;=COLUMNS($A43:AR43), Source!$E43, "")</f>
        <v/>
      </c>
    </row>
    <row r="44">
      <c r="A44" s="2">
        <f>IF(Source!$C44&gt;=COLUMNS($A44:A44), Source!$E44, "")</f>
        <v>7</v>
      </c>
      <c r="B44" s="2" t="str">
        <f>IF(Source!$C44&gt;=COLUMNS($A44:B44), Source!$E44, "")</f>
        <v/>
      </c>
      <c r="C44" s="2" t="str">
        <f>IF(Source!$C44&gt;=COLUMNS($A44:C44), Source!$E44, "")</f>
        <v/>
      </c>
      <c r="D44" s="2" t="str">
        <f>IF(Source!$C44&gt;=COLUMNS($A44:D44), Source!$E44, "")</f>
        <v/>
      </c>
      <c r="E44" s="2" t="str">
        <f>IF(Source!$C44&gt;=COLUMNS($A44:E44), Source!$E44, "")</f>
        <v/>
      </c>
      <c r="F44" s="2" t="str">
        <f>IF(Source!$C44&gt;=COLUMNS($A44:F44), Source!$E44, "")</f>
        <v/>
      </c>
      <c r="G44" s="2" t="str">
        <f>IF(Source!$C44&gt;=COLUMNS($A44:G44), Source!$E44, "")</f>
        <v/>
      </c>
      <c r="H44" s="2" t="str">
        <f>IF(Source!$C44&gt;=COLUMNS($A44:H44), Source!$E44, "")</f>
        <v/>
      </c>
      <c r="I44" s="2" t="str">
        <f>IF(Source!$C44&gt;=COLUMNS($A44:I44), Source!$E44, "")</f>
        <v/>
      </c>
      <c r="J44" s="2" t="str">
        <f>IF(Source!$C44&gt;=COLUMNS($A44:J44), Source!$E44, "")</f>
        <v/>
      </c>
      <c r="K44" s="2" t="str">
        <f>IF(Source!$C44&gt;=COLUMNS($A44:K44), Source!$E44, "")</f>
        <v/>
      </c>
      <c r="L44" s="2" t="str">
        <f>IF(Source!$C44&gt;=COLUMNS($A44:L44), Source!$E44, "")</f>
        <v/>
      </c>
      <c r="M44" s="2" t="str">
        <f>IF(Source!$C44&gt;=COLUMNS($A44:M44), Source!$E44, "")</f>
        <v/>
      </c>
      <c r="N44" s="2" t="str">
        <f>IF(Source!$C44&gt;=COLUMNS($A44:N44), Source!$E44, "")</f>
        <v/>
      </c>
      <c r="O44" s="2" t="str">
        <f>IF(Source!$C44&gt;=COLUMNS($A44:O44), Source!$E44, "")</f>
        <v/>
      </c>
      <c r="P44" s="2" t="str">
        <f>IF(Source!$C44&gt;=COLUMNS($A44:P44), Source!$E44, "")</f>
        <v/>
      </c>
      <c r="Q44" s="2" t="str">
        <f>IF(Source!$C44&gt;=COLUMNS($A44:Q44), Source!$E44, "")</f>
        <v/>
      </c>
      <c r="R44" s="2" t="str">
        <f>IF(Source!$C44&gt;=COLUMNS($A44:R44), Source!$E44, "")</f>
        <v/>
      </c>
      <c r="S44" s="2" t="str">
        <f>IF(Source!$C44&gt;=COLUMNS($A44:S44), Source!$E44, "")</f>
        <v/>
      </c>
      <c r="T44" s="2" t="str">
        <f>IF(Source!$C44&gt;=COLUMNS($A44:T44), Source!$E44, "")</f>
        <v/>
      </c>
      <c r="U44" s="2" t="str">
        <f>IF(Source!$C44&gt;=COLUMNS($A44:U44), Source!$E44, "")</f>
        <v/>
      </c>
      <c r="V44" s="2" t="str">
        <f>IF(Source!$C44&gt;=COLUMNS($A44:V44), Source!$E44, "")</f>
        <v/>
      </c>
      <c r="W44" s="2" t="str">
        <f>IF(Source!$C44&gt;=COLUMNS($A44:W44), Source!$E44, "")</f>
        <v/>
      </c>
      <c r="X44" s="2" t="str">
        <f>IF(Source!$C44&gt;=COLUMNS($A44:X44), Source!$E44, "")</f>
        <v/>
      </c>
      <c r="Y44" s="2" t="str">
        <f>IF(Source!$C44&gt;=COLUMNS($A44:Y44), Source!$E44, "")</f>
        <v/>
      </c>
      <c r="Z44" s="2" t="str">
        <f>IF(Source!$C44&gt;=COLUMNS($A44:Z44), Source!$E44, "")</f>
        <v/>
      </c>
      <c r="AA44" s="2" t="str">
        <f>IF(Source!$C44&gt;=COLUMNS($A44:AA44), Source!$E44, "")</f>
        <v/>
      </c>
      <c r="AB44" s="2" t="str">
        <f>IF(Source!$C44&gt;=COLUMNS($A44:AB44), Source!$E44, "")</f>
        <v/>
      </c>
      <c r="AC44" s="2" t="str">
        <f>IF(Source!$C44&gt;=COLUMNS($A44:AC44), Source!$E44, "")</f>
        <v/>
      </c>
      <c r="AD44" s="2" t="str">
        <f>IF(Source!$C44&gt;=COLUMNS($A44:AD44), Source!$E44, "")</f>
        <v/>
      </c>
      <c r="AE44" s="2" t="str">
        <f>IF(Source!$C44&gt;=COLUMNS($A44:AE44), Source!$E44, "")</f>
        <v/>
      </c>
      <c r="AF44" s="2" t="str">
        <f>IF(Source!$C44&gt;=COLUMNS($A44:AF44), Source!$E44, "")</f>
        <v/>
      </c>
      <c r="AG44" s="2" t="str">
        <f>IF(Source!$C44&gt;=COLUMNS($A44:AG44), Source!$E44, "")</f>
        <v/>
      </c>
      <c r="AH44" s="2" t="str">
        <f>IF(Source!$C44&gt;=COLUMNS($A44:AH44), Source!$E44, "")</f>
        <v/>
      </c>
      <c r="AI44" s="2" t="str">
        <f>IF(Source!$C44&gt;=COLUMNS($A44:AI44), Source!$E44, "")</f>
        <v/>
      </c>
      <c r="AJ44" s="2" t="str">
        <f>IF(Source!$C44&gt;=COLUMNS($A44:AJ44), Source!$E44, "")</f>
        <v/>
      </c>
      <c r="AK44" s="2" t="str">
        <f>IF(Source!$C44&gt;=COLUMNS($A44:AK44), Source!$E44, "")</f>
        <v/>
      </c>
      <c r="AL44" s="2" t="str">
        <f>IF(Source!$C44&gt;=COLUMNS($A44:AL44), Source!$E44, "")</f>
        <v/>
      </c>
      <c r="AM44" s="2" t="str">
        <f>IF(Source!$C44&gt;=COLUMNS($A44:AM44), Source!$E44, "")</f>
        <v/>
      </c>
      <c r="AN44" s="2" t="str">
        <f>IF(Source!$C44&gt;=COLUMNS($A44:AN44), Source!$E44, "")</f>
        <v/>
      </c>
      <c r="AO44" s="2" t="str">
        <f>IF(Source!$C44&gt;=COLUMNS($A44:AO44), Source!$E44, "")</f>
        <v/>
      </c>
      <c r="AP44" s="2" t="str">
        <f>IF(Source!$C44&gt;=COLUMNS($A44:AP44), Source!$E44, "")</f>
        <v/>
      </c>
      <c r="AQ44" s="2" t="str">
        <f>IF(Source!$C44&gt;=COLUMNS($A44:AQ44), Source!$E44, "")</f>
        <v/>
      </c>
      <c r="AR44" s="2" t="str">
        <f>IF(Source!$C44&gt;=COLUMNS($A44:AR44), Source!$E44, "")</f>
        <v/>
      </c>
    </row>
    <row r="45">
      <c r="A45" s="2">
        <f>IF(Source!$C45&gt;=COLUMNS($A45:A45), Source!$E45, "")</f>
        <v>2</v>
      </c>
      <c r="B45" s="2">
        <f>IF(Source!$C45&gt;=COLUMNS($A45:B45), Source!$E45, "")</f>
        <v>2</v>
      </c>
      <c r="C45" s="2" t="str">
        <f>IF(Source!$C45&gt;=COLUMNS($A45:C45), Source!$E45, "")</f>
        <v/>
      </c>
      <c r="D45" s="2" t="str">
        <f>IF(Source!$C45&gt;=COLUMNS($A45:D45), Source!$E45, "")</f>
        <v/>
      </c>
      <c r="E45" s="2" t="str">
        <f>IF(Source!$C45&gt;=COLUMNS($A45:E45), Source!$E45, "")</f>
        <v/>
      </c>
      <c r="F45" s="2" t="str">
        <f>IF(Source!$C45&gt;=COLUMNS($A45:F45), Source!$E45, "")</f>
        <v/>
      </c>
      <c r="G45" s="2" t="str">
        <f>IF(Source!$C45&gt;=COLUMNS($A45:G45), Source!$E45, "")</f>
        <v/>
      </c>
      <c r="H45" s="2" t="str">
        <f>IF(Source!$C45&gt;=COLUMNS($A45:H45), Source!$E45, "")</f>
        <v/>
      </c>
      <c r="I45" s="2" t="str">
        <f>IF(Source!$C45&gt;=COLUMNS($A45:I45), Source!$E45, "")</f>
        <v/>
      </c>
      <c r="J45" s="2" t="str">
        <f>IF(Source!$C45&gt;=COLUMNS($A45:J45), Source!$E45, "")</f>
        <v/>
      </c>
      <c r="K45" s="2" t="str">
        <f>IF(Source!$C45&gt;=COLUMNS($A45:K45), Source!$E45, "")</f>
        <v/>
      </c>
      <c r="L45" s="2" t="str">
        <f>IF(Source!$C45&gt;=COLUMNS($A45:L45), Source!$E45, "")</f>
        <v/>
      </c>
      <c r="M45" s="2" t="str">
        <f>IF(Source!$C45&gt;=COLUMNS($A45:M45), Source!$E45, "")</f>
        <v/>
      </c>
      <c r="N45" s="2" t="str">
        <f>IF(Source!$C45&gt;=COLUMNS($A45:N45), Source!$E45, "")</f>
        <v/>
      </c>
      <c r="O45" s="2" t="str">
        <f>IF(Source!$C45&gt;=COLUMNS($A45:O45), Source!$E45, "")</f>
        <v/>
      </c>
      <c r="P45" s="2" t="str">
        <f>IF(Source!$C45&gt;=COLUMNS($A45:P45), Source!$E45, "")</f>
        <v/>
      </c>
      <c r="Q45" s="2" t="str">
        <f>IF(Source!$C45&gt;=COLUMNS($A45:Q45), Source!$E45, "")</f>
        <v/>
      </c>
      <c r="R45" s="2" t="str">
        <f>IF(Source!$C45&gt;=COLUMNS($A45:R45), Source!$E45, "")</f>
        <v/>
      </c>
      <c r="S45" s="2" t="str">
        <f>IF(Source!$C45&gt;=COLUMNS($A45:S45), Source!$E45, "")</f>
        <v/>
      </c>
      <c r="T45" s="2" t="str">
        <f>IF(Source!$C45&gt;=COLUMNS($A45:T45), Source!$E45, "")</f>
        <v/>
      </c>
      <c r="U45" s="2" t="str">
        <f>IF(Source!$C45&gt;=COLUMNS($A45:U45), Source!$E45, "")</f>
        <v/>
      </c>
      <c r="V45" s="2" t="str">
        <f>IF(Source!$C45&gt;=COLUMNS($A45:V45), Source!$E45, "")</f>
        <v/>
      </c>
      <c r="W45" s="2" t="str">
        <f>IF(Source!$C45&gt;=COLUMNS($A45:W45), Source!$E45, "")</f>
        <v/>
      </c>
      <c r="X45" s="2" t="str">
        <f>IF(Source!$C45&gt;=COLUMNS($A45:X45), Source!$E45, "")</f>
        <v/>
      </c>
      <c r="Y45" s="2" t="str">
        <f>IF(Source!$C45&gt;=COLUMNS($A45:Y45), Source!$E45, "")</f>
        <v/>
      </c>
      <c r="Z45" s="2" t="str">
        <f>IF(Source!$C45&gt;=COLUMNS($A45:Z45), Source!$E45, "")</f>
        <v/>
      </c>
      <c r="AA45" s="2" t="str">
        <f>IF(Source!$C45&gt;=COLUMNS($A45:AA45), Source!$E45, "")</f>
        <v/>
      </c>
      <c r="AB45" s="2" t="str">
        <f>IF(Source!$C45&gt;=COLUMNS($A45:AB45), Source!$E45, "")</f>
        <v/>
      </c>
      <c r="AC45" s="2" t="str">
        <f>IF(Source!$C45&gt;=COLUMNS($A45:AC45), Source!$E45, "")</f>
        <v/>
      </c>
      <c r="AD45" s="2" t="str">
        <f>IF(Source!$C45&gt;=COLUMNS($A45:AD45), Source!$E45, "")</f>
        <v/>
      </c>
      <c r="AE45" s="2" t="str">
        <f>IF(Source!$C45&gt;=COLUMNS($A45:AE45), Source!$E45, "")</f>
        <v/>
      </c>
      <c r="AF45" s="2" t="str">
        <f>IF(Source!$C45&gt;=COLUMNS($A45:AF45), Source!$E45, "")</f>
        <v/>
      </c>
      <c r="AG45" s="2" t="str">
        <f>IF(Source!$C45&gt;=COLUMNS($A45:AG45), Source!$E45, "")</f>
        <v/>
      </c>
      <c r="AH45" s="2" t="str">
        <f>IF(Source!$C45&gt;=COLUMNS($A45:AH45), Source!$E45, "")</f>
        <v/>
      </c>
      <c r="AI45" s="2" t="str">
        <f>IF(Source!$C45&gt;=COLUMNS($A45:AI45), Source!$E45, "")</f>
        <v/>
      </c>
      <c r="AJ45" s="2" t="str">
        <f>IF(Source!$C45&gt;=COLUMNS($A45:AJ45), Source!$E45, "")</f>
        <v/>
      </c>
      <c r="AK45" s="2" t="str">
        <f>IF(Source!$C45&gt;=COLUMNS($A45:AK45), Source!$E45, "")</f>
        <v/>
      </c>
      <c r="AL45" s="2" t="str">
        <f>IF(Source!$C45&gt;=COLUMNS($A45:AL45), Source!$E45, "")</f>
        <v/>
      </c>
      <c r="AM45" s="2" t="str">
        <f>IF(Source!$C45&gt;=COLUMNS($A45:AM45), Source!$E45, "")</f>
        <v/>
      </c>
      <c r="AN45" s="2" t="str">
        <f>IF(Source!$C45&gt;=COLUMNS($A45:AN45), Source!$E45, "")</f>
        <v/>
      </c>
      <c r="AO45" s="2" t="str">
        <f>IF(Source!$C45&gt;=COLUMNS($A45:AO45), Source!$E45, "")</f>
        <v/>
      </c>
      <c r="AP45" s="2" t="str">
        <f>IF(Source!$C45&gt;=COLUMNS($A45:AP45), Source!$E45, "")</f>
        <v/>
      </c>
      <c r="AQ45" s="2" t="str">
        <f>IF(Source!$C45&gt;=COLUMNS($A45:AQ45), Source!$E45, "")</f>
        <v/>
      </c>
      <c r="AR45" s="2" t="str">
        <f>IF(Source!$C45&gt;=COLUMNS($A45:AR45), Source!$E45, "")</f>
        <v/>
      </c>
    </row>
    <row r="46">
      <c r="A46" s="2">
        <f>IF(Source!$C46&gt;=COLUMNS($A46:A46), Source!$E46, "")</f>
        <v>5</v>
      </c>
      <c r="B46" s="2">
        <f>IF(Source!$C46&gt;=COLUMNS($A46:B46), Source!$E46, "")</f>
        <v>5</v>
      </c>
      <c r="C46" s="2">
        <f>IF(Source!$C46&gt;=COLUMNS($A46:C46), Source!$E46, "")</f>
        <v>5</v>
      </c>
      <c r="D46" s="2" t="str">
        <f>IF(Source!$C46&gt;=COLUMNS($A46:D46), Source!$E46, "")</f>
        <v/>
      </c>
      <c r="E46" s="2" t="str">
        <f>IF(Source!$C46&gt;=COLUMNS($A46:E46), Source!$E46, "")</f>
        <v/>
      </c>
      <c r="F46" s="2" t="str">
        <f>IF(Source!$C46&gt;=COLUMNS($A46:F46), Source!$E46, "")</f>
        <v/>
      </c>
      <c r="G46" s="2" t="str">
        <f>IF(Source!$C46&gt;=COLUMNS($A46:G46), Source!$E46, "")</f>
        <v/>
      </c>
      <c r="H46" s="2" t="str">
        <f>IF(Source!$C46&gt;=COLUMNS($A46:H46), Source!$E46, "")</f>
        <v/>
      </c>
      <c r="I46" s="2" t="str">
        <f>IF(Source!$C46&gt;=COLUMNS($A46:I46), Source!$E46, "")</f>
        <v/>
      </c>
      <c r="J46" s="2" t="str">
        <f>IF(Source!$C46&gt;=COLUMNS($A46:J46), Source!$E46, "")</f>
        <v/>
      </c>
      <c r="K46" s="2" t="str">
        <f>IF(Source!$C46&gt;=COLUMNS($A46:K46), Source!$E46, "")</f>
        <v/>
      </c>
      <c r="L46" s="2" t="str">
        <f>IF(Source!$C46&gt;=COLUMNS($A46:L46), Source!$E46, "")</f>
        <v/>
      </c>
      <c r="M46" s="2" t="str">
        <f>IF(Source!$C46&gt;=COLUMNS($A46:M46), Source!$E46, "")</f>
        <v/>
      </c>
      <c r="N46" s="2" t="str">
        <f>IF(Source!$C46&gt;=COLUMNS($A46:N46), Source!$E46, "")</f>
        <v/>
      </c>
      <c r="O46" s="2" t="str">
        <f>IF(Source!$C46&gt;=COLUMNS($A46:O46), Source!$E46, "")</f>
        <v/>
      </c>
      <c r="P46" s="2" t="str">
        <f>IF(Source!$C46&gt;=COLUMNS($A46:P46), Source!$E46, "")</f>
        <v/>
      </c>
      <c r="Q46" s="2" t="str">
        <f>IF(Source!$C46&gt;=COLUMNS($A46:Q46), Source!$E46, "")</f>
        <v/>
      </c>
      <c r="R46" s="2" t="str">
        <f>IF(Source!$C46&gt;=COLUMNS($A46:R46), Source!$E46, "")</f>
        <v/>
      </c>
      <c r="S46" s="2" t="str">
        <f>IF(Source!$C46&gt;=COLUMNS($A46:S46), Source!$E46, "")</f>
        <v/>
      </c>
      <c r="T46" s="2" t="str">
        <f>IF(Source!$C46&gt;=COLUMNS($A46:T46), Source!$E46, "")</f>
        <v/>
      </c>
      <c r="U46" s="2" t="str">
        <f>IF(Source!$C46&gt;=COLUMNS($A46:U46), Source!$E46, "")</f>
        <v/>
      </c>
      <c r="V46" s="2" t="str">
        <f>IF(Source!$C46&gt;=COLUMNS($A46:V46), Source!$E46, "")</f>
        <v/>
      </c>
      <c r="W46" s="2" t="str">
        <f>IF(Source!$C46&gt;=COLUMNS($A46:W46), Source!$E46, "")</f>
        <v/>
      </c>
      <c r="X46" s="2" t="str">
        <f>IF(Source!$C46&gt;=COLUMNS($A46:X46), Source!$E46, "")</f>
        <v/>
      </c>
      <c r="Y46" s="2" t="str">
        <f>IF(Source!$C46&gt;=COLUMNS($A46:Y46), Source!$E46, "")</f>
        <v/>
      </c>
      <c r="Z46" s="2" t="str">
        <f>IF(Source!$C46&gt;=COLUMNS($A46:Z46), Source!$E46, "")</f>
        <v/>
      </c>
      <c r="AA46" s="2" t="str">
        <f>IF(Source!$C46&gt;=COLUMNS($A46:AA46), Source!$E46, "")</f>
        <v/>
      </c>
      <c r="AB46" s="2" t="str">
        <f>IF(Source!$C46&gt;=COLUMNS($A46:AB46), Source!$E46, "")</f>
        <v/>
      </c>
      <c r="AC46" s="2" t="str">
        <f>IF(Source!$C46&gt;=COLUMNS($A46:AC46), Source!$E46, "")</f>
        <v/>
      </c>
      <c r="AD46" s="2" t="str">
        <f>IF(Source!$C46&gt;=COLUMNS($A46:AD46), Source!$E46, "")</f>
        <v/>
      </c>
      <c r="AE46" s="2" t="str">
        <f>IF(Source!$C46&gt;=COLUMNS($A46:AE46), Source!$E46, "")</f>
        <v/>
      </c>
      <c r="AF46" s="2" t="str">
        <f>IF(Source!$C46&gt;=COLUMNS($A46:AF46), Source!$E46, "")</f>
        <v/>
      </c>
      <c r="AG46" s="2" t="str">
        <f>IF(Source!$C46&gt;=COLUMNS($A46:AG46), Source!$E46, "")</f>
        <v/>
      </c>
      <c r="AH46" s="2" t="str">
        <f>IF(Source!$C46&gt;=COLUMNS($A46:AH46), Source!$E46, "")</f>
        <v/>
      </c>
      <c r="AI46" s="2" t="str">
        <f>IF(Source!$C46&gt;=COLUMNS($A46:AI46), Source!$E46, "")</f>
        <v/>
      </c>
      <c r="AJ46" s="2" t="str">
        <f>IF(Source!$C46&gt;=COLUMNS($A46:AJ46), Source!$E46, "")</f>
        <v/>
      </c>
      <c r="AK46" s="2" t="str">
        <f>IF(Source!$C46&gt;=COLUMNS($A46:AK46), Source!$E46, "")</f>
        <v/>
      </c>
      <c r="AL46" s="2" t="str">
        <f>IF(Source!$C46&gt;=COLUMNS($A46:AL46), Source!$E46, "")</f>
        <v/>
      </c>
      <c r="AM46" s="2" t="str">
        <f>IF(Source!$C46&gt;=COLUMNS($A46:AM46), Source!$E46, "")</f>
        <v/>
      </c>
      <c r="AN46" s="2" t="str">
        <f>IF(Source!$C46&gt;=COLUMNS($A46:AN46), Source!$E46, "")</f>
        <v/>
      </c>
      <c r="AO46" s="2" t="str">
        <f>IF(Source!$C46&gt;=COLUMNS($A46:AO46), Source!$E46, "")</f>
        <v/>
      </c>
      <c r="AP46" s="2" t="str">
        <f>IF(Source!$C46&gt;=COLUMNS($A46:AP46), Source!$E46, "")</f>
        <v/>
      </c>
      <c r="AQ46" s="2" t="str">
        <f>IF(Source!$C46&gt;=COLUMNS($A46:AQ46), Source!$E46, "")</f>
        <v/>
      </c>
      <c r="AR46" s="2" t="str">
        <f>IF(Source!$C46&gt;=COLUMNS($A46:AR46), Source!$E46, "")</f>
        <v/>
      </c>
    </row>
    <row r="47">
      <c r="A47" s="2">
        <f>IF(Source!$C47&gt;=COLUMNS($A47:A47), Source!$E47, "")</f>
        <v>7</v>
      </c>
      <c r="B47" s="2">
        <f>IF(Source!$C47&gt;=COLUMNS($A47:B47), Source!$E47, "")</f>
        <v>7</v>
      </c>
      <c r="C47" s="2" t="str">
        <f>IF(Source!$C47&gt;=COLUMNS($A47:C47), Source!$E47, "")</f>
        <v/>
      </c>
      <c r="D47" s="2" t="str">
        <f>IF(Source!$C47&gt;=COLUMNS($A47:D47), Source!$E47, "")</f>
        <v/>
      </c>
      <c r="E47" s="2" t="str">
        <f>IF(Source!$C47&gt;=COLUMNS($A47:E47), Source!$E47, "")</f>
        <v/>
      </c>
      <c r="F47" s="2" t="str">
        <f>IF(Source!$C47&gt;=COLUMNS($A47:F47), Source!$E47, "")</f>
        <v/>
      </c>
      <c r="G47" s="2" t="str">
        <f>IF(Source!$C47&gt;=COLUMNS($A47:G47), Source!$E47, "")</f>
        <v/>
      </c>
      <c r="H47" s="2" t="str">
        <f>IF(Source!$C47&gt;=COLUMNS($A47:H47), Source!$E47, "")</f>
        <v/>
      </c>
      <c r="I47" s="2" t="str">
        <f>IF(Source!$C47&gt;=COLUMNS($A47:I47), Source!$E47, "")</f>
        <v/>
      </c>
      <c r="J47" s="2" t="str">
        <f>IF(Source!$C47&gt;=COLUMNS($A47:J47), Source!$E47, "")</f>
        <v/>
      </c>
      <c r="K47" s="2" t="str">
        <f>IF(Source!$C47&gt;=COLUMNS($A47:K47), Source!$E47, "")</f>
        <v/>
      </c>
      <c r="L47" s="2" t="str">
        <f>IF(Source!$C47&gt;=COLUMNS($A47:L47), Source!$E47, "")</f>
        <v/>
      </c>
      <c r="M47" s="2" t="str">
        <f>IF(Source!$C47&gt;=COLUMNS($A47:M47), Source!$E47, "")</f>
        <v/>
      </c>
      <c r="N47" s="2" t="str">
        <f>IF(Source!$C47&gt;=COLUMNS($A47:N47), Source!$E47, "")</f>
        <v/>
      </c>
      <c r="O47" s="2" t="str">
        <f>IF(Source!$C47&gt;=COLUMNS($A47:O47), Source!$E47, "")</f>
        <v/>
      </c>
      <c r="P47" s="2" t="str">
        <f>IF(Source!$C47&gt;=COLUMNS($A47:P47), Source!$E47, "")</f>
        <v/>
      </c>
      <c r="Q47" s="2" t="str">
        <f>IF(Source!$C47&gt;=COLUMNS($A47:Q47), Source!$E47, "")</f>
        <v/>
      </c>
      <c r="R47" s="2" t="str">
        <f>IF(Source!$C47&gt;=COLUMNS($A47:R47), Source!$E47, "")</f>
        <v/>
      </c>
      <c r="S47" s="2" t="str">
        <f>IF(Source!$C47&gt;=COLUMNS($A47:S47), Source!$E47, "")</f>
        <v/>
      </c>
      <c r="T47" s="2" t="str">
        <f>IF(Source!$C47&gt;=COLUMNS($A47:T47), Source!$E47, "")</f>
        <v/>
      </c>
      <c r="U47" s="2" t="str">
        <f>IF(Source!$C47&gt;=COLUMNS($A47:U47), Source!$E47, "")</f>
        <v/>
      </c>
      <c r="V47" s="2" t="str">
        <f>IF(Source!$C47&gt;=COLUMNS($A47:V47), Source!$E47, "")</f>
        <v/>
      </c>
      <c r="W47" s="2" t="str">
        <f>IF(Source!$C47&gt;=COLUMNS($A47:W47), Source!$E47, "")</f>
        <v/>
      </c>
      <c r="X47" s="2" t="str">
        <f>IF(Source!$C47&gt;=COLUMNS($A47:X47), Source!$E47, "")</f>
        <v/>
      </c>
      <c r="Y47" s="2" t="str">
        <f>IF(Source!$C47&gt;=COLUMNS($A47:Y47), Source!$E47, "")</f>
        <v/>
      </c>
      <c r="Z47" s="2" t="str">
        <f>IF(Source!$C47&gt;=COLUMNS($A47:Z47), Source!$E47, "")</f>
        <v/>
      </c>
      <c r="AA47" s="2" t="str">
        <f>IF(Source!$C47&gt;=COLUMNS($A47:AA47), Source!$E47, "")</f>
        <v/>
      </c>
      <c r="AB47" s="2" t="str">
        <f>IF(Source!$C47&gt;=COLUMNS($A47:AB47), Source!$E47, "")</f>
        <v/>
      </c>
      <c r="AC47" s="2" t="str">
        <f>IF(Source!$C47&gt;=COLUMNS($A47:AC47), Source!$E47, "")</f>
        <v/>
      </c>
      <c r="AD47" s="2" t="str">
        <f>IF(Source!$C47&gt;=COLUMNS($A47:AD47), Source!$E47, "")</f>
        <v/>
      </c>
      <c r="AE47" s="2" t="str">
        <f>IF(Source!$C47&gt;=COLUMNS($A47:AE47), Source!$E47, "")</f>
        <v/>
      </c>
      <c r="AF47" s="2" t="str">
        <f>IF(Source!$C47&gt;=COLUMNS($A47:AF47), Source!$E47, "")</f>
        <v/>
      </c>
      <c r="AG47" s="2" t="str">
        <f>IF(Source!$C47&gt;=COLUMNS($A47:AG47), Source!$E47, "")</f>
        <v/>
      </c>
      <c r="AH47" s="2" t="str">
        <f>IF(Source!$C47&gt;=COLUMNS($A47:AH47), Source!$E47, "")</f>
        <v/>
      </c>
      <c r="AI47" s="2" t="str">
        <f>IF(Source!$C47&gt;=COLUMNS($A47:AI47), Source!$E47, "")</f>
        <v/>
      </c>
      <c r="AJ47" s="2" t="str">
        <f>IF(Source!$C47&gt;=COLUMNS($A47:AJ47), Source!$E47, "")</f>
        <v/>
      </c>
      <c r="AK47" s="2" t="str">
        <f>IF(Source!$C47&gt;=COLUMNS($A47:AK47), Source!$E47, "")</f>
        <v/>
      </c>
      <c r="AL47" s="2" t="str">
        <f>IF(Source!$C47&gt;=COLUMNS($A47:AL47), Source!$E47, "")</f>
        <v/>
      </c>
      <c r="AM47" s="2" t="str">
        <f>IF(Source!$C47&gt;=COLUMNS($A47:AM47), Source!$E47, "")</f>
        <v/>
      </c>
      <c r="AN47" s="2" t="str">
        <f>IF(Source!$C47&gt;=COLUMNS($A47:AN47), Source!$E47, "")</f>
        <v/>
      </c>
      <c r="AO47" s="2" t="str">
        <f>IF(Source!$C47&gt;=COLUMNS($A47:AO47), Source!$E47, "")</f>
        <v/>
      </c>
      <c r="AP47" s="2" t="str">
        <f>IF(Source!$C47&gt;=COLUMNS($A47:AP47), Source!$E47, "")</f>
        <v/>
      </c>
      <c r="AQ47" s="2" t="str">
        <f>IF(Source!$C47&gt;=COLUMNS($A47:AQ47), Source!$E47, "")</f>
        <v/>
      </c>
      <c r="AR47" s="2" t="str">
        <f>IF(Source!$C47&gt;=COLUMNS($A47:AR47), Source!$E47, "")</f>
        <v/>
      </c>
    </row>
    <row r="48">
      <c r="A48" s="2">
        <f>IF(Source!$C48&gt;=COLUMNS($A48:A48), Source!$E48, "")</f>
        <v>6</v>
      </c>
      <c r="B48" s="2">
        <f>IF(Source!$C48&gt;=COLUMNS($A48:B48), Source!$E48, "")</f>
        <v>6</v>
      </c>
      <c r="C48" s="2">
        <f>IF(Source!$C48&gt;=COLUMNS($A48:C48), Source!$E48, "")</f>
        <v>6</v>
      </c>
      <c r="D48" s="2">
        <f>IF(Source!$C48&gt;=COLUMNS($A48:D48), Source!$E48, "")</f>
        <v>6</v>
      </c>
      <c r="E48" s="2">
        <f>IF(Source!$C48&gt;=COLUMNS($A48:E48), Source!$E48, "")</f>
        <v>6</v>
      </c>
      <c r="F48" s="2">
        <f>IF(Source!$C48&gt;=COLUMNS($A48:F48), Source!$E48, "")</f>
        <v>6</v>
      </c>
      <c r="G48" s="2" t="str">
        <f>IF(Source!$C48&gt;=COLUMNS($A48:G48), Source!$E48, "")</f>
        <v/>
      </c>
      <c r="H48" s="2" t="str">
        <f>IF(Source!$C48&gt;=COLUMNS($A48:H48), Source!$E48, "")</f>
        <v/>
      </c>
      <c r="I48" s="2" t="str">
        <f>IF(Source!$C48&gt;=COLUMNS($A48:I48), Source!$E48, "")</f>
        <v/>
      </c>
      <c r="J48" s="2" t="str">
        <f>IF(Source!$C48&gt;=COLUMNS($A48:J48), Source!$E48, "")</f>
        <v/>
      </c>
      <c r="K48" s="2" t="str">
        <f>IF(Source!$C48&gt;=COLUMNS($A48:K48), Source!$E48, "")</f>
        <v/>
      </c>
      <c r="L48" s="2" t="str">
        <f>IF(Source!$C48&gt;=COLUMNS($A48:L48), Source!$E48, "")</f>
        <v/>
      </c>
      <c r="M48" s="2" t="str">
        <f>IF(Source!$C48&gt;=COLUMNS($A48:M48), Source!$E48, "")</f>
        <v/>
      </c>
      <c r="N48" s="2" t="str">
        <f>IF(Source!$C48&gt;=COLUMNS($A48:N48), Source!$E48, "")</f>
        <v/>
      </c>
      <c r="O48" s="2" t="str">
        <f>IF(Source!$C48&gt;=COLUMNS($A48:O48), Source!$E48, "")</f>
        <v/>
      </c>
      <c r="P48" s="2" t="str">
        <f>IF(Source!$C48&gt;=COLUMNS($A48:P48), Source!$E48, "")</f>
        <v/>
      </c>
      <c r="Q48" s="2" t="str">
        <f>IF(Source!$C48&gt;=COLUMNS($A48:Q48), Source!$E48, "")</f>
        <v/>
      </c>
      <c r="R48" s="2" t="str">
        <f>IF(Source!$C48&gt;=COLUMNS($A48:R48), Source!$E48, "")</f>
        <v/>
      </c>
      <c r="S48" s="2" t="str">
        <f>IF(Source!$C48&gt;=COLUMNS($A48:S48), Source!$E48, "")</f>
        <v/>
      </c>
      <c r="T48" s="2" t="str">
        <f>IF(Source!$C48&gt;=COLUMNS($A48:T48), Source!$E48, "")</f>
        <v/>
      </c>
      <c r="U48" s="2" t="str">
        <f>IF(Source!$C48&gt;=COLUMNS($A48:U48), Source!$E48, "")</f>
        <v/>
      </c>
      <c r="V48" s="2" t="str">
        <f>IF(Source!$C48&gt;=COLUMNS($A48:V48), Source!$E48, "")</f>
        <v/>
      </c>
      <c r="W48" s="2" t="str">
        <f>IF(Source!$C48&gt;=COLUMNS($A48:W48), Source!$E48, "")</f>
        <v/>
      </c>
      <c r="X48" s="2" t="str">
        <f>IF(Source!$C48&gt;=COLUMNS($A48:X48), Source!$E48, "")</f>
        <v/>
      </c>
      <c r="Y48" s="2" t="str">
        <f>IF(Source!$C48&gt;=COLUMNS($A48:Y48), Source!$E48, "")</f>
        <v/>
      </c>
      <c r="Z48" s="2" t="str">
        <f>IF(Source!$C48&gt;=COLUMNS($A48:Z48), Source!$E48, "")</f>
        <v/>
      </c>
      <c r="AA48" s="2" t="str">
        <f>IF(Source!$C48&gt;=COLUMNS($A48:AA48), Source!$E48, "")</f>
        <v/>
      </c>
      <c r="AB48" s="2" t="str">
        <f>IF(Source!$C48&gt;=COLUMNS($A48:AB48), Source!$E48, "")</f>
        <v/>
      </c>
      <c r="AC48" s="2" t="str">
        <f>IF(Source!$C48&gt;=COLUMNS($A48:AC48), Source!$E48, "")</f>
        <v/>
      </c>
      <c r="AD48" s="2" t="str">
        <f>IF(Source!$C48&gt;=COLUMNS($A48:AD48), Source!$E48, "")</f>
        <v/>
      </c>
      <c r="AE48" s="2" t="str">
        <f>IF(Source!$C48&gt;=COLUMNS($A48:AE48), Source!$E48, "")</f>
        <v/>
      </c>
      <c r="AF48" s="2" t="str">
        <f>IF(Source!$C48&gt;=COLUMNS($A48:AF48), Source!$E48, "")</f>
        <v/>
      </c>
      <c r="AG48" s="2" t="str">
        <f>IF(Source!$C48&gt;=COLUMNS($A48:AG48), Source!$E48, "")</f>
        <v/>
      </c>
      <c r="AH48" s="2" t="str">
        <f>IF(Source!$C48&gt;=COLUMNS($A48:AH48), Source!$E48, "")</f>
        <v/>
      </c>
      <c r="AI48" s="2" t="str">
        <f>IF(Source!$C48&gt;=COLUMNS($A48:AI48), Source!$E48, "")</f>
        <v/>
      </c>
      <c r="AJ48" s="2" t="str">
        <f>IF(Source!$C48&gt;=COLUMNS($A48:AJ48), Source!$E48, "")</f>
        <v/>
      </c>
      <c r="AK48" s="2" t="str">
        <f>IF(Source!$C48&gt;=COLUMNS($A48:AK48), Source!$E48, "")</f>
        <v/>
      </c>
      <c r="AL48" s="2" t="str">
        <f>IF(Source!$C48&gt;=COLUMNS($A48:AL48), Source!$E48, "")</f>
        <v/>
      </c>
      <c r="AM48" s="2" t="str">
        <f>IF(Source!$C48&gt;=COLUMNS($A48:AM48), Source!$E48, "")</f>
        <v/>
      </c>
      <c r="AN48" s="2" t="str">
        <f>IF(Source!$C48&gt;=COLUMNS($A48:AN48), Source!$E48, "")</f>
        <v/>
      </c>
      <c r="AO48" s="2" t="str">
        <f>IF(Source!$C48&gt;=COLUMNS($A48:AO48), Source!$E48, "")</f>
        <v/>
      </c>
      <c r="AP48" s="2" t="str">
        <f>IF(Source!$C48&gt;=COLUMNS($A48:AP48), Source!$E48, "")</f>
        <v/>
      </c>
      <c r="AQ48" s="2" t="str">
        <f>IF(Source!$C48&gt;=COLUMNS($A48:AQ48), Source!$E48, "")</f>
        <v/>
      </c>
      <c r="AR48" s="2" t="str">
        <f>IF(Source!$C48&gt;=COLUMNS($A48:AR48), Source!$E48, "")</f>
        <v/>
      </c>
    </row>
    <row r="49">
      <c r="A49" s="2">
        <f>IF(Source!$C49&gt;=COLUMNS($A49:A49), Source!$E49, "")</f>
        <v>5</v>
      </c>
      <c r="B49" s="2">
        <f>IF(Source!$C49&gt;=COLUMNS($A49:B49), Source!$E49, "")</f>
        <v>5</v>
      </c>
      <c r="C49" s="2">
        <f>IF(Source!$C49&gt;=COLUMNS($A49:C49), Source!$E49, "")</f>
        <v>5</v>
      </c>
      <c r="D49" s="2">
        <f>IF(Source!$C49&gt;=COLUMNS($A49:D49), Source!$E49, "")</f>
        <v>5</v>
      </c>
      <c r="E49" s="2">
        <f>IF(Source!$C49&gt;=COLUMNS($A49:E49), Source!$E49, "")</f>
        <v>5</v>
      </c>
      <c r="F49" s="2">
        <f>IF(Source!$C49&gt;=COLUMNS($A49:F49), Source!$E49, "")</f>
        <v>5</v>
      </c>
      <c r="G49" s="2">
        <f>IF(Source!$C49&gt;=COLUMNS($A49:G49), Source!$E49, "")</f>
        <v>5</v>
      </c>
      <c r="H49" s="2" t="str">
        <f>IF(Source!$C49&gt;=COLUMNS($A49:H49), Source!$E49, "")</f>
        <v/>
      </c>
      <c r="I49" s="2" t="str">
        <f>IF(Source!$C49&gt;=COLUMNS($A49:I49), Source!$E49, "")</f>
        <v/>
      </c>
      <c r="J49" s="2" t="str">
        <f>IF(Source!$C49&gt;=COLUMNS($A49:J49), Source!$E49, "")</f>
        <v/>
      </c>
      <c r="K49" s="2" t="str">
        <f>IF(Source!$C49&gt;=COLUMNS($A49:K49), Source!$E49, "")</f>
        <v/>
      </c>
      <c r="L49" s="2" t="str">
        <f>IF(Source!$C49&gt;=COLUMNS($A49:L49), Source!$E49, "")</f>
        <v/>
      </c>
      <c r="M49" s="2" t="str">
        <f>IF(Source!$C49&gt;=COLUMNS($A49:M49), Source!$E49, "")</f>
        <v/>
      </c>
      <c r="N49" s="2" t="str">
        <f>IF(Source!$C49&gt;=COLUMNS($A49:N49), Source!$E49, "")</f>
        <v/>
      </c>
      <c r="O49" s="2" t="str">
        <f>IF(Source!$C49&gt;=COLUMNS($A49:O49), Source!$E49, "")</f>
        <v/>
      </c>
      <c r="P49" s="2" t="str">
        <f>IF(Source!$C49&gt;=COLUMNS($A49:P49), Source!$E49, "")</f>
        <v/>
      </c>
      <c r="Q49" s="2" t="str">
        <f>IF(Source!$C49&gt;=COLUMNS($A49:Q49), Source!$E49, "")</f>
        <v/>
      </c>
      <c r="R49" s="2" t="str">
        <f>IF(Source!$C49&gt;=COLUMNS($A49:R49), Source!$E49, "")</f>
        <v/>
      </c>
      <c r="S49" s="2" t="str">
        <f>IF(Source!$C49&gt;=COLUMNS($A49:S49), Source!$E49, "")</f>
        <v/>
      </c>
      <c r="T49" s="2" t="str">
        <f>IF(Source!$C49&gt;=COLUMNS($A49:T49), Source!$E49, "")</f>
        <v/>
      </c>
      <c r="U49" s="2" t="str">
        <f>IF(Source!$C49&gt;=COLUMNS($A49:U49), Source!$E49, "")</f>
        <v/>
      </c>
      <c r="V49" s="2" t="str">
        <f>IF(Source!$C49&gt;=COLUMNS($A49:V49), Source!$E49, "")</f>
        <v/>
      </c>
      <c r="W49" s="2" t="str">
        <f>IF(Source!$C49&gt;=COLUMNS($A49:W49), Source!$E49, "")</f>
        <v/>
      </c>
      <c r="X49" s="2" t="str">
        <f>IF(Source!$C49&gt;=COLUMNS($A49:X49), Source!$E49, "")</f>
        <v/>
      </c>
      <c r="Y49" s="2" t="str">
        <f>IF(Source!$C49&gt;=COLUMNS($A49:Y49), Source!$E49, "")</f>
        <v/>
      </c>
      <c r="Z49" s="2" t="str">
        <f>IF(Source!$C49&gt;=COLUMNS($A49:Z49), Source!$E49, "")</f>
        <v/>
      </c>
      <c r="AA49" s="2" t="str">
        <f>IF(Source!$C49&gt;=COLUMNS($A49:AA49), Source!$E49, "")</f>
        <v/>
      </c>
      <c r="AB49" s="2" t="str">
        <f>IF(Source!$C49&gt;=COLUMNS($A49:AB49), Source!$E49, "")</f>
        <v/>
      </c>
      <c r="AC49" s="2" t="str">
        <f>IF(Source!$C49&gt;=COLUMNS($A49:AC49), Source!$E49, "")</f>
        <v/>
      </c>
      <c r="AD49" s="2" t="str">
        <f>IF(Source!$C49&gt;=COLUMNS($A49:AD49), Source!$E49, "")</f>
        <v/>
      </c>
      <c r="AE49" s="2" t="str">
        <f>IF(Source!$C49&gt;=COLUMNS($A49:AE49), Source!$E49, "")</f>
        <v/>
      </c>
      <c r="AF49" s="2" t="str">
        <f>IF(Source!$C49&gt;=COLUMNS($A49:AF49), Source!$E49, "")</f>
        <v/>
      </c>
      <c r="AG49" s="2" t="str">
        <f>IF(Source!$C49&gt;=COLUMNS($A49:AG49), Source!$E49, "")</f>
        <v/>
      </c>
      <c r="AH49" s="2" t="str">
        <f>IF(Source!$C49&gt;=COLUMNS($A49:AH49), Source!$E49, "")</f>
        <v/>
      </c>
      <c r="AI49" s="2" t="str">
        <f>IF(Source!$C49&gt;=COLUMNS($A49:AI49), Source!$E49, "")</f>
        <v/>
      </c>
      <c r="AJ49" s="2" t="str">
        <f>IF(Source!$C49&gt;=COLUMNS($A49:AJ49), Source!$E49, "")</f>
        <v/>
      </c>
      <c r="AK49" s="2" t="str">
        <f>IF(Source!$C49&gt;=COLUMNS($A49:AK49), Source!$E49, "")</f>
        <v/>
      </c>
      <c r="AL49" s="2" t="str">
        <f>IF(Source!$C49&gt;=COLUMNS($A49:AL49), Source!$E49, "")</f>
        <v/>
      </c>
      <c r="AM49" s="2" t="str">
        <f>IF(Source!$C49&gt;=COLUMNS($A49:AM49), Source!$E49, "")</f>
        <v/>
      </c>
      <c r="AN49" s="2" t="str">
        <f>IF(Source!$C49&gt;=COLUMNS($A49:AN49), Source!$E49, "")</f>
        <v/>
      </c>
      <c r="AO49" s="2" t="str">
        <f>IF(Source!$C49&gt;=COLUMNS($A49:AO49), Source!$E49, "")</f>
        <v/>
      </c>
      <c r="AP49" s="2" t="str">
        <f>IF(Source!$C49&gt;=COLUMNS($A49:AP49), Source!$E49, "")</f>
        <v/>
      </c>
      <c r="AQ49" s="2" t="str">
        <f>IF(Source!$C49&gt;=COLUMNS($A49:AQ49), Source!$E49, "")</f>
        <v/>
      </c>
      <c r="AR49" s="2" t="str">
        <f>IF(Source!$C49&gt;=COLUMNS($A49:AR49), Source!$E49, "")</f>
        <v/>
      </c>
    </row>
    <row r="50">
      <c r="A50" s="2">
        <f>IF(Source!$C50&gt;=COLUMNS($A50:A50), Source!$E50, "")</f>
        <v>3</v>
      </c>
      <c r="B50" s="2">
        <f>IF(Source!$C50&gt;=COLUMNS($A50:B50), Source!$E50, "")</f>
        <v>3</v>
      </c>
      <c r="C50" s="2">
        <f>IF(Source!$C50&gt;=COLUMNS($A50:C50), Source!$E50, "")</f>
        <v>3</v>
      </c>
      <c r="D50" s="2">
        <f>IF(Source!$C50&gt;=COLUMNS($A50:D50), Source!$E50, "")</f>
        <v>3</v>
      </c>
      <c r="E50" s="2">
        <f>IF(Source!$C50&gt;=COLUMNS($A50:E50), Source!$E50, "")</f>
        <v>3</v>
      </c>
      <c r="F50" s="2" t="str">
        <f>IF(Source!$C50&gt;=COLUMNS($A50:F50), Source!$E50, "")</f>
        <v/>
      </c>
      <c r="G50" s="2" t="str">
        <f>IF(Source!$C50&gt;=COLUMNS($A50:G50), Source!$E50, "")</f>
        <v/>
      </c>
      <c r="H50" s="2" t="str">
        <f>IF(Source!$C50&gt;=COLUMNS($A50:H50), Source!$E50, "")</f>
        <v/>
      </c>
      <c r="I50" s="2" t="str">
        <f>IF(Source!$C50&gt;=COLUMNS($A50:I50), Source!$E50, "")</f>
        <v/>
      </c>
      <c r="J50" s="2" t="str">
        <f>IF(Source!$C50&gt;=COLUMNS($A50:J50), Source!$E50, "")</f>
        <v/>
      </c>
      <c r="K50" s="2" t="str">
        <f>IF(Source!$C50&gt;=COLUMNS($A50:K50), Source!$E50, "")</f>
        <v/>
      </c>
      <c r="L50" s="2" t="str">
        <f>IF(Source!$C50&gt;=COLUMNS($A50:L50), Source!$E50, "")</f>
        <v/>
      </c>
      <c r="M50" s="2" t="str">
        <f>IF(Source!$C50&gt;=COLUMNS($A50:M50), Source!$E50, "")</f>
        <v/>
      </c>
      <c r="N50" s="2" t="str">
        <f>IF(Source!$C50&gt;=COLUMNS($A50:N50), Source!$E50, "")</f>
        <v/>
      </c>
      <c r="O50" s="2" t="str">
        <f>IF(Source!$C50&gt;=COLUMNS($A50:O50), Source!$E50, "")</f>
        <v/>
      </c>
      <c r="P50" s="2" t="str">
        <f>IF(Source!$C50&gt;=COLUMNS($A50:P50), Source!$E50, "")</f>
        <v/>
      </c>
      <c r="Q50" s="2" t="str">
        <f>IF(Source!$C50&gt;=COLUMNS($A50:Q50), Source!$E50, "")</f>
        <v/>
      </c>
      <c r="R50" s="2" t="str">
        <f>IF(Source!$C50&gt;=COLUMNS($A50:R50), Source!$E50, "")</f>
        <v/>
      </c>
      <c r="S50" s="2" t="str">
        <f>IF(Source!$C50&gt;=COLUMNS($A50:S50), Source!$E50, "")</f>
        <v/>
      </c>
      <c r="T50" s="2" t="str">
        <f>IF(Source!$C50&gt;=COLUMNS($A50:T50), Source!$E50, "")</f>
        <v/>
      </c>
      <c r="U50" s="2" t="str">
        <f>IF(Source!$C50&gt;=COLUMNS($A50:U50), Source!$E50, "")</f>
        <v/>
      </c>
      <c r="V50" s="2" t="str">
        <f>IF(Source!$C50&gt;=COLUMNS($A50:V50), Source!$E50, "")</f>
        <v/>
      </c>
      <c r="W50" s="2" t="str">
        <f>IF(Source!$C50&gt;=COLUMNS($A50:W50), Source!$E50, "")</f>
        <v/>
      </c>
      <c r="X50" s="2" t="str">
        <f>IF(Source!$C50&gt;=COLUMNS($A50:X50), Source!$E50, "")</f>
        <v/>
      </c>
      <c r="Y50" s="2" t="str">
        <f>IF(Source!$C50&gt;=COLUMNS($A50:Y50), Source!$E50, "")</f>
        <v/>
      </c>
      <c r="Z50" s="2" t="str">
        <f>IF(Source!$C50&gt;=COLUMNS($A50:Z50), Source!$E50, "")</f>
        <v/>
      </c>
      <c r="AA50" s="2" t="str">
        <f>IF(Source!$C50&gt;=COLUMNS($A50:AA50), Source!$E50, "")</f>
        <v/>
      </c>
      <c r="AB50" s="2" t="str">
        <f>IF(Source!$C50&gt;=COLUMNS($A50:AB50), Source!$E50, "")</f>
        <v/>
      </c>
      <c r="AC50" s="2" t="str">
        <f>IF(Source!$C50&gt;=COLUMNS($A50:AC50), Source!$E50, "")</f>
        <v/>
      </c>
      <c r="AD50" s="2" t="str">
        <f>IF(Source!$C50&gt;=COLUMNS($A50:AD50), Source!$E50, "")</f>
        <v/>
      </c>
      <c r="AE50" s="2" t="str">
        <f>IF(Source!$C50&gt;=COLUMNS($A50:AE50), Source!$E50, "")</f>
        <v/>
      </c>
      <c r="AF50" s="2" t="str">
        <f>IF(Source!$C50&gt;=COLUMNS($A50:AF50), Source!$E50, "")</f>
        <v/>
      </c>
      <c r="AG50" s="2" t="str">
        <f>IF(Source!$C50&gt;=COLUMNS($A50:AG50), Source!$E50, "")</f>
        <v/>
      </c>
      <c r="AH50" s="2" t="str">
        <f>IF(Source!$C50&gt;=COLUMNS($A50:AH50), Source!$E50, "")</f>
        <v/>
      </c>
      <c r="AI50" s="2" t="str">
        <f>IF(Source!$C50&gt;=COLUMNS($A50:AI50), Source!$E50, "")</f>
        <v/>
      </c>
      <c r="AJ50" s="2" t="str">
        <f>IF(Source!$C50&gt;=COLUMNS($A50:AJ50), Source!$E50, "")</f>
        <v/>
      </c>
      <c r="AK50" s="2" t="str">
        <f>IF(Source!$C50&gt;=COLUMNS($A50:AK50), Source!$E50, "")</f>
        <v/>
      </c>
      <c r="AL50" s="2" t="str">
        <f>IF(Source!$C50&gt;=COLUMNS($A50:AL50), Source!$E50, "")</f>
        <v/>
      </c>
      <c r="AM50" s="2" t="str">
        <f>IF(Source!$C50&gt;=COLUMNS($A50:AM50), Source!$E50, "")</f>
        <v/>
      </c>
      <c r="AN50" s="2" t="str">
        <f>IF(Source!$C50&gt;=COLUMNS($A50:AN50), Source!$E50, "")</f>
        <v/>
      </c>
      <c r="AO50" s="2" t="str">
        <f>IF(Source!$C50&gt;=COLUMNS($A50:AO50), Source!$E50, "")</f>
        <v/>
      </c>
      <c r="AP50" s="2" t="str">
        <f>IF(Source!$C50&gt;=COLUMNS($A50:AP50), Source!$E50, "")</f>
        <v/>
      </c>
      <c r="AQ50" s="2" t="str">
        <f>IF(Source!$C50&gt;=COLUMNS($A50:AQ50), Source!$E50, "")</f>
        <v/>
      </c>
      <c r="AR50" s="2" t="str">
        <f>IF(Source!$C50&gt;=COLUMNS($A50:AR50), Source!$E50, "")</f>
        <v/>
      </c>
    </row>
    <row r="51">
      <c r="A51" s="2">
        <f>IF(Source!$C51&gt;=COLUMNS($A51:A51), Source!$E51, "")</f>
        <v>1</v>
      </c>
      <c r="B51" s="2">
        <f>IF(Source!$C51&gt;=COLUMNS($A51:B51), Source!$E51, "")</f>
        <v>1</v>
      </c>
      <c r="C51" s="2">
        <f>IF(Source!$C51&gt;=COLUMNS($A51:C51), Source!$E51, "")</f>
        <v>1</v>
      </c>
      <c r="D51" s="2">
        <f>IF(Source!$C51&gt;=COLUMNS($A51:D51), Source!$E51, "")</f>
        <v>1</v>
      </c>
      <c r="E51" s="2">
        <f>IF(Source!$C51&gt;=COLUMNS($A51:E51), Source!$E51, "")</f>
        <v>1</v>
      </c>
      <c r="F51" s="2">
        <f>IF(Source!$C51&gt;=COLUMNS($A51:F51), Source!$E51, "")</f>
        <v>1</v>
      </c>
      <c r="G51" s="2">
        <f>IF(Source!$C51&gt;=COLUMNS($A51:G51), Source!$E51, "")</f>
        <v>1</v>
      </c>
      <c r="H51" s="2">
        <f>IF(Source!$C51&gt;=COLUMNS($A51:H51), Source!$E51, "")</f>
        <v>1</v>
      </c>
      <c r="I51" s="2">
        <f>IF(Source!$C51&gt;=COLUMNS($A51:I51), Source!$E51, "")</f>
        <v>1</v>
      </c>
      <c r="J51" s="2">
        <f>IF(Source!$C51&gt;=COLUMNS($A51:J51), Source!$E51, "")</f>
        <v>1</v>
      </c>
      <c r="K51" s="2" t="str">
        <f>IF(Source!$C51&gt;=COLUMNS($A51:K51), Source!$E51, "")</f>
        <v/>
      </c>
      <c r="L51" s="2" t="str">
        <f>IF(Source!$C51&gt;=COLUMNS($A51:L51), Source!$E51, "")</f>
        <v/>
      </c>
      <c r="M51" s="2" t="str">
        <f>IF(Source!$C51&gt;=COLUMNS($A51:M51), Source!$E51, "")</f>
        <v/>
      </c>
      <c r="N51" s="2" t="str">
        <f>IF(Source!$C51&gt;=COLUMNS($A51:N51), Source!$E51, "")</f>
        <v/>
      </c>
      <c r="O51" s="2" t="str">
        <f>IF(Source!$C51&gt;=COLUMNS($A51:O51), Source!$E51, "")</f>
        <v/>
      </c>
      <c r="P51" s="2" t="str">
        <f>IF(Source!$C51&gt;=COLUMNS($A51:P51), Source!$E51, "")</f>
        <v/>
      </c>
      <c r="Q51" s="2" t="str">
        <f>IF(Source!$C51&gt;=COLUMNS($A51:Q51), Source!$E51, "")</f>
        <v/>
      </c>
      <c r="R51" s="2" t="str">
        <f>IF(Source!$C51&gt;=COLUMNS($A51:R51), Source!$E51, "")</f>
        <v/>
      </c>
      <c r="S51" s="2" t="str">
        <f>IF(Source!$C51&gt;=COLUMNS($A51:S51), Source!$E51, "")</f>
        <v/>
      </c>
      <c r="T51" s="2" t="str">
        <f>IF(Source!$C51&gt;=COLUMNS($A51:T51), Source!$E51, "")</f>
        <v/>
      </c>
      <c r="U51" s="2" t="str">
        <f>IF(Source!$C51&gt;=COLUMNS($A51:U51), Source!$E51, "")</f>
        <v/>
      </c>
      <c r="V51" s="2" t="str">
        <f>IF(Source!$C51&gt;=COLUMNS($A51:V51), Source!$E51, "")</f>
        <v/>
      </c>
      <c r="W51" s="2" t="str">
        <f>IF(Source!$C51&gt;=COLUMNS($A51:W51), Source!$E51, "")</f>
        <v/>
      </c>
      <c r="X51" s="2" t="str">
        <f>IF(Source!$C51&gt;=COLUMNS($A51:X51), Source!$E51, "")</f>
        <v/>
      </c>
      <c r="Y51" s="2" t="str">
        <f>IF(Source!$C51&gt;=COLUMNS($A51:Y51), Source!$E51, "")</f>
        <v/>
      </c>
      <c r="Z51" s="2" t="str">
        <f>IF(Source!$C51&gt;=COLUMNS($A51:Z51), Source!$E51, "")</f>
        <v/>
      </c>
      <c r="AA51" s="2" t="str">
        <f>IF(Source!$C51&gt;=COLUMNS($A51:AA51), Source!$E51, "")</f>
        <v/>
      </c>
      <c r="AB51" s="2" t="str">
        <f>IF(Source!$C51&gt;=COLUMNS($A51:AB51), Source!$E51, "")</f>
        <v/>
      </c>
      <c r="AC51" s="2" t="str">
        <f>IF(Source!$C51&gt;=COLUMNS($A51:AC51), Source!$E51, "")</f>
        <v/>
      </c>
      <c r="AD51" s="2" t="str">
        <f>IF(Source!$C51&gt;=COLUMNS($A51:AD51), Source!$E51, "")</f>
        <v/>
      </c>
      <c r="AE51" s="2" t="str">
        <f>IF(Source!$C51&gt;=COLUMNS($A51:AE51), Source!$E51, "")</f>
        <v/>
      </c>
      <c r="AF51" s="2" t="str">
        <f>IF(Source!$C51&gt;=COLUMNS($A51:AF51), Source!$E51, "")</f>
        <v/>
      </c>
      <c r="AG51" s="2" t="str">
        <f>IF(Source!$C51&gt;=COLUMNS($A51:AG51), Source!$E51, "")</f>
        <v/>
      </c>
      <c r="AH51" s="2" t="str">
        <f>IF(Source!$C51&gt;=COLUMNS($A51:AH51), Source!$E51, "")</f>
        <v/>
      </c>
      <c r="AI51" s="2" t="str">
        <f>IF(Source!$C51&gt;=COLUMNS($A51:AI51), Source!$E51, "")</f>
        <v/>
      </c>
      <c r="AJ51" s="2" t="str">
        <f>IF(Source!$C51&gt;=COLUMNS($A51:AJ51), Source!$E51, "")</f>
        <v/>
      </c>
      <c r="AK51" s="2" t="str">
        <f>IF(Source!$C51&gt;=COLUMNS($A51:AK51), Source!$E51, "")</f>
        <v/>
      </c>
      <c r="AL51" s="2" t="str">
        <f>IF(Source!$C51&gt;=COLUMNS($A51:AL51), Source!$E51, "")</f>
        <v/>
      </c>
      <c r="AM51" s="2" t="str">
        <f>IF(Source!$C51&gt;=COLUMNS($A51:AM51), Source!$E51, "")</f>
        <v/>
      </c>
      <c r="AN51" s="2" t="str">
        <f>IF(Source!$C51&gt;=COLUMNS($A51:AN51), Source!$E51, "")</f>
        <v/>
      </c>
      <c r="AO51" s="2" t="str">
        <f>IF(Source!$C51&gt;=COLUMNS($A51:AO51), Source!$E51, "")</f>
        <v/>
      </c>
      <c r="AP51" s="2" t="str">
        <f>IF(Source!$C51&gt;=COLUMNS($A51:AP51), Source!$E51, "")</f>
        <v/>
      </c>
      <c r="AQ51" s="2" t="str">
        <f>IF(Source!$C51&gt;=COLUMNS($A51:AQ51), Source!$E51, "")</f>
        <v/>
      </c>
      <c r="AR51" s="2" t="str">
        <f>IF(Source!$C51&gt;=COLUMNS($A51:AR51), Source!$E51, "")</f>
        <v/>
      </c>
    </row>
    <row r="52">
      <c r="A52" s="2">
        <f>IF(Source!$C52&gt;=COLUMNS($A52:A52), Source!$E52, "")</f>
        <v>1</v>
      </c>
      <c r="B52" s="2">
        <f>IF(Source!$C52&gt;=COLUMNS($A52:B52), Source!$E52, "")</f>
        <v>1</v>
      </c>
      <c r="C52" s="2" t="str">
        <f>IF(Source!$C52&gt;=COLUMNS($A52:C52), Source!$E52, "")</f>
        <v/>
      </c>
      <c r="D52" s="2" t="str">
        <f>IF(Source!$C52&gt;=COLUMNS($A52:D52), Source!$E52, "")</f>
        <v/>
      </c>
      <c r="E52" s="2" t="str">
        <f>IF(Source!$C52&gt;=COLUMNS($A52:E52), Source!$E52, "")</f>
        <v/>
      </c>
      <c r="F52" s="2" t="str">
        <f>IF(Source!$C52&gt;=COLUMNS($A52:F52), Source!$E52, "")</f>
        <v/>
      </c>
      <c r="G52" s="2" t="str">
        <f>IF(Source!$C52&gt;=COLUMNS($A52:G52), Source!$E52, "")</f>
        <v/>
      </c>
      <c r="H52" s="2" t="str">
        <f>IF(Source!$C52&gt;=COLUMNS($A52:H52), Source!$E52, "")</f>
        <v/>
      </c>
      <c r="I52" s="2" t="str">
        <f>IF(Source!$C52&gt;=COLUMNS($A52:I52), Source!$E52, "")</f>
        <v/>
      </c>
      <c r="J52" s="2" t="str">
        <f>IF(Source!$C52&gt;=COLUMNS($A52:J52), Source!$E52, "")</f>
        <v/>
      </c>
      <c r="K52" s="2" t="str">
        <f>IF(Source!$C52&gt;=COLUMNS($A52:K52), Source!$E52, "")</f>
        <v/>
      </c>
      <c r="L52" s="2" t="str">
        <f>IF(Source!$C52&gt;=COLUMNS($A52:L52), Source!$E52, "")</f>
        <v/>
      </c>
      <c r="M52" s="2" t="str">
        <f>IF(Source!$C52&gt;=COLUMNS($A52:M52), Source!$E52, "")</f>
        <v/>
      </c>
      <c r="N52" s="2" t="str">
        <f>IF(Source!$C52&gt;=COLUMNS($A52:N52), Source!$E52, "")</f>
        <v/>
      </c>
      <c r="O52" s="2" t="str">
        <f>IF(Source!$C52&gt;=COLUMNS($A52:O52), Source!$E52, "")</f>
        <v/>
      </c>
      <c r="P52" s="2" t="str">
        <f>IF(Source!$C52&gt;=COLUMNS($A52:P52), Source!$E52, "")</f>
        <v/>
      </c>
      <c r="Q52" s="2" t="str">
        <f>IF(Source!$C52&gt;=COLUMNS($A52:Q52), Source!$E52, "")</f>
        <v/>
      </c>
      <c r="R52" s="2" t="str">
        <f>IF(Source!$C52&gt;=COLUMNS($A52:R52), Source!$E52, "")</f>
        <v/>
      </c>
      <c r="S52" s="2" t="str">
        <f>IF(Source!$C52&gt;=COLUMNS($A52:S52), Source!$E52, "")</f>
        <v/>
      </c>
      <c r="T52" s="2" t="str">
        <f>IF(Source!$C52&gt;=COLUMNS($A52:T52), Source!$E52, "")</f>
        <v/>
      </c>
      <c r="U52" s="2" t="str">
        <f>IF(Source!$C52&gt;=COLUMNS($A52:U52), Source!$E52, "")</f>
        <v/>
      </c>
      <c r="V52" s="2" t="str">
        <f>IF(Source!$C52&gt;=COLUMNS($A52:V52), Source!$E52, "")</f>
        <v/>
      </c>
      <c r="W52" s="2" t="str">
        <f>IF(Source!$C52&gt;=COLUMNS($A52:W52), Source!$E52, "")</f>
        <v/>
      </c>
      <c r="X52" s="2" t="str">
        <f>IF(Source!$C52&gt;=COLUMNS($A52:X52), Source!$E52, "")</f>
        <v/>
      </c>
      <c r="Y52" s="2" t="str">
        <f>IF(Source!$C52&gt;=COLUMNS($A52:Y52), Source!$E52, "")</f>
        <v/>
      </c>
      <c r="Z52" s="2" t="str">
        <f>IF(Source!$C52&gt;=COLUMNS($A52:Z52), Source!$E52, "")</f>
        <v/>
      </c>
      <c r="AA52" s="2" t="str">
        <f>IF(Source!$C52&gt;=COLUMNS($A52:AA52), Source!$E52, "")</f>
        <v/>
      </c>
      <c r="AB52" s="2" t="str">
        <f>IF(Source!$C52&gt;=COLUMNS($A52:AB52), Source!$E52, "")</f>
        <v/>
      </c>
      <c r="AC52" s="2" t="str">
        <f>IF(Source!$C52&gt;=COLUMNS($A52:AC52), Source!$E52, "")</f>
        <v/>
      </c>
      <c r="AD52" s="2" t="str">
        <f>IF(Source!$C52&gt;=COLUMNS($A52:AD52), Source!$E52, "")</f>
        <v/>
      </c>
      <c r="AE52" s="2" t="str">
        <f>IF(Source!$C52&gt;=COLUMNS($A52:AE52), Source!$E52, "")</f>
        <v/>
      </c>
      <c r="AF52" s="2" t="str">
        <f>IF(Source!$C52&gt;=COLUMNS($A52:AF52), Source!$E52, "")</f>
        <v/>
      </c>
      <c r="AG52" s="2" t="str">
        <f>IF(Source!$C52&gt;=COLUMNS($A52:AG52), Source!$E52, "")</f>
        <v/>
      </c>
      <c r="AH52" s="2" t="str">
        <f>IF(Source!$C52&gt;=COLUMNS($A52:AH52), Source!$E52, "")</f>
        <v/>
      </c>
      <c r="AI52" s="2" t="str">
        <f>IF(Source!$C52&gt;=COLUMNS($A52:AI52), Source!$E52, "")</f>
        <v/>
      </c>
      <c r="AJ52" s="2" t="str">
        <f>IF(Source!$C52&gt;=COLUMNS($A52:AJ52), Source!$E52, "")</f>
        <v/>
      </c>
      <c r="AK52" s="2" t="str">
        <f>IF(Source!$C52&gt;=COLUMNS($A52:AK52), Source!$E52, "")</f>
        <v/>
      </c>
      <c r="AL52" s="2" t="str">
        <f>IF(Source!$C52&gt;=COLUMNS($A52:AL52), Source!$E52, "")</f>
        <v/>
      </c>
      <c r="AM52" s="2" t="str">
        <f>IF(Source!$C52&gt;=COLUMNS($A52:AM52), Source!$E52, "")</f>
        <v/>
      </c>
      <c r="AN52" s="2" t="str">
        <f>IF(Source!$C52&gt;=COLUMNS($A52:AN52), Source!$E52, "")</f>
        <v/>
      </c>
      <c r="AO52" s="2" t="str">
        <f>IF(Source!$C52&gt;=COLUMNS($A52:AO52), Source!$E52, "")</f>
        <v/>
      </c>
      <c r="AP52" s="2" t="str">
        <f>IF(Source!$C52&gt;=COLUMNS($A52:AP52), Source!$E52, "")</f>
        <v/>
      </c>
      <c r="AQ52" s="2" t="str">
        <f>IF(Source!$C52&gt;=COLUMNS($A52:AQ52), Source!$E52, "")</f>
        <v/>
      </c>
      <c r="AR52" s="2" t="str">
        <f>IF(Source!$C52&gt;=COLUMNS($A52:AR52), Source!$E52, "")</f>
        <v/>
      </c>
    </row>
    <row r="53">
      <c r="A53" s="2">
        <f>IF(Source!$C53&gt;=COLUMNS($A53:A53), Source!$E53, "")</f>
        <v>3</v>
      </c>
      <c r="B53" s="2">
        <f>IF(Source!$C53&gt;=COLUMNS($A53:B53), Source!$E53, "")</f>
        <v>3</v>
      </c>
      <c r="C53" s="2">
        <f>IF(Source!$C53&gt;=COLUMNS($A53:C53), Source!$E53, "")</f>
        <v>3</v>
      </c>
      <c r="D53" s="2">
        <f>IF(Source!$C53&gt;=COLUMNS($A53:D53), Source!$E53, "")</f>
        <v>3</v>
      </c>
      <c r="E53" s="2">
        <f>IF(Source!$C53&gt;=COLUMNS($A53:E53), Source!$E53, "")</f>
        <v>3</v>
      </c>
      <c r="F53" s="2">
        <f>IF(Source!$C53&gt;=COLUMNS($A53:F53), Source!$E53, "")</f>
        <v>3</v>
      </c>
      <c r="G53" s="2">
        <f>IF(Source!$C53&gt;=COLUMNS($A53:G53), Source!$E53, "")</f>
        <v>3</v>
      </c>
      <c r="H53" s="2">
        <f>IF(Source!$C53&gt;=COLUMNS($A53:H53), Source!$E53, "")</f>
        <v>3</v>
      </c>
      <c r="I53" s="2" t="str">
        <f>IF(Source!$C53&gt;=COLUMNS($A53:I53), Source!$E53, "")</f>
        <v/>
      </c>
      <c r="J53" s="2" t="str">
        <f>IF(Source!$C53&gt;=COLUMNS($A53:J53), Source!$E53, "")</f>
        <v/>
      </c>
      <c r="K53" s="2" t="str">
        <f>IF(Source!$C53&gt;=COLUMNS($A53:K53), Source!$E53, "")</f>
        <v/>
      </c>
      <c r="L53" s="2" t="str">
        <f>IF(Source!$C53&gt;=COLUMNS($A53:L53), Source!$E53, "")</f>
        <v/>
      </c>
      <c r="M53" s="2" t="str">
        <f>IF(Source!$C53&gt;=COLUMNS($A53:M53), Source!$E53, "")</f>
        <v/>
      </c>
      <c r="N53" s="2" t="str">
        <f>IF(Source!$C53&gt;=COLUMNS($A53:N53), Source!$E53, "")</f>
        <v/>
      </c>
      <c r="O53" s="2" t="str">
        <f>IF(Source!$C53&gt;=COLUMNS($A53:O53), Source!$E53, "")</f>
        <v/>
      </c>
      <c r="P53" s="2" t="str">
        <f>IF(Source!$C53&gt;=COLUMNS($A53:P53), Source!$E53, "")</f>
        <v/>
      </c>
      <c r="Q53" s="2" t="str">
        <f>IF(Source!$C53&gt;=COLUMNS($A53:Q53), Source!$E53, "")</f>
        <v/>
      </c>
      <c r="R53" s="2" t="str">
        <f>IF(Source!$C53&gt;=COLUMNS($A53:R53), Source!$E53, "")</f>
        <v/>
      </c>
      <c r="S53" s="2" t="str">
        <f>IF(Source!$C53&gt;=COLUMNS($A53:S53), Source!$E53, "")</f>
        <v/>
      </c>
      <c r="T53" s="2" t="str">
        <f>IF(Source!$C53&gt;=COLUMNS($A53:T53), Source!$E53, "")</f>
        <v/>
      </c>
      <c r="U53" s="2" t="str">
        <f>IF(Source!$C53&gt;=COLUMNS($A53:U53), Source!$E53, "")</f>
        <v/>
      </c>
      <c r="V53" s="2" t="str">
        <f>IF(Source!$C53&gt;=COLUMNS($A53:V53), Source!$E53, "")</f>
        <v/>
      </c>
      <c r="W53" s="2" t="str">
        <f>IF(Source!$C53&gt;=COLUMNS($A53:W53), Source!$E53, "")</f>
        <v/>
      </c>
      <c r="X53" s="2" t="str">
        <f>IF(Source!$C53&gt;=COLUMNS($A53:X53), Source!$E53, "")</f>
        <v/>
      </c>
      <c r="Y53" s="2" t="str">
        <f>IF(Source!$C53&gt;=COLUMNS($A53:Y53), Source!$E53, "")</f>
        <v/>
      </c>
      <c r="Z53" s="2" t="str">
        <f>IF(Source!$C53&gt;=COLUMNS($A53:Z53), Source!$E53, "")</f>
        <v/>
      </c>
      <c r="AA53" s="2" t="str">
        <f>IF(Source!$C53&gt;=COLUMNS($A53:AA53), Source!$E53, "")</f>
        <v/>
      </c>
      <c r="AB53" s="2" t="str">
        <f>IF(Source!$C53&gt;=COLUMNS($A53:AB53), Source!$E53, "")</f>
        <v/>
      </c>
      <c r="AC53" s="2" t="str">
        <f>IF(Source!$C53&gt;=COLUMNS($A53:AC53), Source!$E53, "")</f>
        <v/>
      </c>
      <c r="AD53" s="2" t="str">
        <f>IF(Source!$C53&gt;=COLUMNS($A53:AD53), Source!$E53, "")</f>
        <v/>
      </c>
      <c r="AE53" s="2" t="str">
        <f>IF(Source!$C53&gt;=COLUMNS($A53:AE53), Source!$E53, "")</f>
        <v/>
      </c>
      <c r="AF53" s="2" t="str">
        <f>IF(Source!$C53&gt;=COLUMNS($A53:AF53), Source!$E53, "")</f>
        <v/>
      </c>
      <c r="AG53" s="2" t="str">
        <f>IF(Source!$C53&gt;=COLUMNS($A53:AG53), Source!$E53, "")</f>
        <v/>
      </c>
      <c r="AH53" s="2" t="str">
        <f>IF(Source!$C53&gt;=COLUMNS($A53:AH53), Source!$E53, "")</f>
        <v/>
      </c>
      <c r="AI53" s="2" t="str">
        <f>IF(Source!$C53&gt;=COLUMNS($A53:AI53), Source!$E53, "")</f>
        <v/>
      </c>
      <c r="AJ53" s="2" t="str">
        <f>IF(Source!$C53&gt;=COLUMNS($A53:AJ53), Source!$E53, "")</f>
        <v/>
      </c>
      <c r="AK53" s="2" t="str">
        <f>IF(Source!$C53&gt;=COLUMNS($A53:AK53), Source!$E53, "")</f>
        <v/>
      </c>
      <c r="AL53" s="2" t="str">
        <f>IF(Source!$C53&gt;=COLUMNS($A53:AL53), Source!$E53, "")</f>
        <v/>
      </c>
      <c r="AM53" s="2" t="str">
        <f>IF(Source!$C53&gt;=COLUMNS($A53:AM53), Source!$E53, "")</f>
        <v/>
      </c>
      <c r="AN53" s="2" t="str">
        <f>IF(Source!$C53&gt;=COLUMNS($A53:AN53), Source!$E53, "")</f>
        <v/>
      </c>
      <c r="AO53" s="2" t="str">
        <f>IF(Source!$C53&gt;=COLUMNS($A53:AO53), Source!$E53, "")</f>
        <v/>
      </c>
      <c r="AP53" s="2" t="str">
        <f>IF(Source!$C53&gt;=COLUMNS($A53:AP53), Source!$E53, "")</f>
        <v/>
      </c>
      <c r="AQ53" s="2" t="str">
        <f>IF(Source!$C53&gt;=COLUMNS($A53:AQ53), Source!$E53, "")</f>
        <v/>
      </c>
      <c r="AR53" s="2" t="str">
        <f>IF(Source!$C53&gt;=COLUMNS($A53:AR53), Source!$E53, "")</f>
        <v/>
      </c>
    </row>
    <row r="54">
      <c r="A54" s="2">
        <f>IF(Source!$C54&gt;=COLUMNS($A54:A54), Source!$E54, "")</f>
        <v>4</v>
      </c>
      <c r="B54" s="2">
        <f>IF(Source!$C54&gt;=COLUMNS($A54:B54), Source!$E54, "")</f>
        <v>4</v>
      </c>
      <c r="C54" s="2">
        <f>IF(Source!$C54&gt;=COLUMNS($A54:C54), Source!$E54, "")</f>
        <v>4</v>
      </c>
      <c r="D54" s="2">
        <f>IF(Source!$C54&gt;=COLUMNS($A54:D54), Source!$E54, "")</f>
        <v>4</v>
      </c>
      <c r="E54" s="2">
        <f>IF(Source!$C54&gt;=COLUMNS($A54:E54), Source!$E54, "")</f>
        <v>4</v>
      </c>
      <c r="F54" s="2">
        <f>IF(Source!$C54&gt;=COLUMNS($A54:F54), Source!$E54, "")</f>
        <v>4</v>
      </c>
      <c r="G54" s="2">
        <f>IF(Source!$C54&gt;=COLUMNS($A54:G54), Source!$E54, "")</f>
        <v>4</v>
      </c>
      <c r="H54" s="2">
        <f>IF(Source!$C54&gt;=COLUMNS($A54:H54), Source!$E54, "")</f>
        <v>4</v>
      </c>
      <c r="I54" s="2">
        <f>IF(Source!$C54&gt;=COLUMNS($A54:I54), Source!$E54, "")</f>
        <v>4</v>
      </c>
      <c r="J54" s="2" t="str">
        <f>IF(Source!$C54&gt;=COLUMNS($A54:J54), Source!$E54, "")</f>
        <v/>
      </c>
      <c r="K54" s="2" t="str">
        <f>IF(Source!$C54&gt;=COLUMNS($A54:K54), Source!$E54, "")</f>
        <v/>
      </c>
      <c r="L54" s="2" t="str">
        <f>IF(Source!$C54&gt;=COLUMNS($A54:L54), Source!$E54, "")</f>
        <v/>
      </c>
      <c r="M54" s="2" t="str">
        <f>IF(Source!$C54&gt;=COLUMNS($A54:M54), Source!$E54, "")</f>
        <v/>
      </c>
      <c r="N54" s="2" t="str">
        <f>IF(Source!$C54&gt;=COLUMNS($A54:N54), Source!$E54, "")</f>
        <v/>
      </c>
      <c r="O54" s="2" t="str">
        <f>IF(Source!$C54&gt;=COLUMNS($A54:O54), Source!$E54, "")</f>
        <v/>
      </c>
      <c r="P54" s="2" t="str">
        <f>IF(Source!$C54&gt;=COLUMNS($A54:P54), Source!$E54, "")</f>
        <v/>
      </c>
      <c r="Q54" s="2" t="str">
        <f>IF(Source!$C54&gt;=COLUMNS($A54:Q54), Source!$E54, "")</f>
        <v/>
      </c>
      <c r="R54" s="2" t="str">
        <f>IF(Source!$C54&gt;=COLUMNS($A54:R54), Source!$E54, "")</f>
        <v/>
      </c>
      <c r="S54" s="2" t="str">
        <f>IF(Source!$C54&gt;=COLUMNS($A54:S54), Source!$E54, "")</f>
        <v/>
      </c>
      <c r="T54" s="2" t="str">
        <f>IF(Source!$C54&gt;=COLUMNS($A54:T54), Source!$E54, "")</f>
        <v/>
      </c>
      <c r="U54" s="2" t="str">
        <f>IF(Source!$C54&gt;=COLUMNS($A54:U54), Source!$E54, "")</f>
        <v/>
      </c>
      <c r="V54" s="2" t="str">
        <f>IF(Source!$C54&gt;=COLUMNS($A54:V54), Source!$E54, "")</f>
        <v/>
      </c>
      <c r="W54" s="2" t="str">
        <f>IF(Source!$C54&gt;=COLUMNS($A54:W54), Source!$E54, "")</f>
        <v/>
      </c>
      <c r="X54" s="2" t="str">
        <f>IF(Source!$C54&gt;=COLUMNS($A54:X54), Source!$E54, "")</f>
        <v/>
      </c>
      <c r="Y54" s="2" t="str">
        <f>IF(Source!$C54&gt;=COLUMNS($A54:Y54), Source!$E54, "")</f>
        <v/>
      </c>
      <c r="Z54" s="2" t="str">
        <f>IF(Source!$C54&gt;=COLUMNS($A54:Z54), Source!$E54, "")</f>
        <v/>
      </c>
      <c r="AA54" s="2" t="str">
        <f>IF(Source!$C54&gt;=COLUMNS($A54:AA54), Source!$E54, "")</f>
        <v/>
      </c>
      <c r="AB54" s="2" t="str">
        <f>IF(Source!$C54&gt;=COLUMNS($A54:AB54), Source!$E54, "")</f>
        <v/>
      </c>
      <c r="AC54" s="2" t="str">
        <f>IF(Source!$C54&gt;=COLUMNS($A54:AC54), Source!$E54, "")</f>
        <v/>
      </c>
      <c r="AD54" s="2" t="str">
        <f>IF(Source!$C54&gt;=COLUMNS($A54:AD54), Source!$E54, "")</f>
        <v/>
      </c>
      <c r="AE54" s="2" t="str">
        <f>IF(Source!$C54&gt;=COLUMNS($A54:AE54), Source!$E54, "")</f>
        <v/>
      </c>
      <c r="AF54" s="2" t="str">
        <f>IF(Source!$C54&gt;=COLUMNS($A54:AF54), Source!$E54, "")</f>
        <v/>
      </c>
      <c r="AG54" s="2" t="str">
        <f>IF(Source!$C54&gt;=COLUMNS($A54:AG54), Source!$E54, "")</f>
        <v/>
      </c>
      <c r="AH54" s="2" t="str">
        <f>IF(Source!$C54&gt;=COLUMNS($A54:AH54), Source!$E54, "")</f>
        <v/>
      </c>
      <c r="AI54" s="2" t="str">
        <f>IF(Source!$C54&gt;=COLUMNS($A54:AI54), Source!$E54, "")</f>
        <v/>
      </c>
      <c r="AJ54" s="2" t="str">
        <f>IF(Source!$C54&gt;=COLUMNS($A54:AJ54), Source!$E54, "")</f>
        <v/>
      </c>
      <c r="AK54" s="2" t="str">
        <f>IF(Source!$C54&gt;=COLUMNS($A54:AK54), Source!$E54, "")</f>
        <v/>
      </c>
      <c r="AL54" s="2" t="str">
        <f>IF(Source!$C54&gt;=COLUMNS($A54:AL54), Source!$E54, "")</f>
        <v/>
      </c>
      <c r="AM54" s="2" t="str">
        <f>IF(Source!$C54&gt;=COLUMNS($A54:AM54), Source!$E54, "")</f>
        <v/>
      </c>
      <c r="AN54" s="2" t="str">
        <f>IF(Source!$C54&gt;=COLUMNS($A54:AN54), Source!$E54, "")</f>
        <v/>
      </c>
      <c r="AO54" s="2" t="str">
        <f>IF(Source!$C54&gt;=COLUMNS($A54:AO54), Source!$E54, "")</f>
        <v/>
      </c>
      <c r="AP54" s="2" t="str">
        <f>IF(Source!$C54&gt;=COLUMNS($A54:AP54), Source!$E54, "")</f>
        <v/>
      </c>
      <c r="AQ54" s="2" t="str">
        <f>IF(Source!$C54&gt;=COLUMNS($A54:AQ54), Source!$E54, "")</f>
        <v/>
      </c>
      <c r="AR54" s="2" t="str">
        <f>IF(Source!$C54&gt;=COLUMNS($A54:AR54), Source!$E54, "")</f>
        <v/>
      </c>
    </row>
    <row r="55">
      <c r="A55" s="2">
        <f>IF(Source!$C55&gt;=COLUMNS($A55:A55), Source!$E55, "")</f>
        <v>9</v>
      </c>
      <c r="B55" s="2" t="str">
        <f>IF(Source!$C55&gt;=COLUMNS($A55:B55), Source!$E55, "")</f>
        <v/>
      </c>
      <c r="C55" s="2" t="str">
        <f>IF(Source!$C55&gt;=COLUMNS($A55:C55), Source!$E55, "")</f>
        <v/>
      </c>
      <c r="D55" s="2" t="str">
        <f>IF(Source!$C55&gt;=COLUMNS($A55:D55), Source!$E55, "")</f>
        <v/>
      </c>
      <c r="E55" s="2" t="str">
        <f>IF(Source!$C55&gt;=COLUMNS($A55:E55), Source!$E55, "")</f>
        <v/>
      </c>
      <c r="F55" s="2" t="str">
        <f>IF(Source!$C55&gt;=COLUMNS($A55:F55), Source!$E55, "")</f>
        <v/>
      </c>
      <c r="G55" s="2" t="str">
        <f>IF(Source!$C55&gt;=COLUMNS($A55:G55), Source!$E55, "")</f>
        <v/>
      </c>
      <c r="H55" s="2" t="str">
        <f>IF(Source!$C55&gt;=COLUMNS($A55:H55), Source!$E55, "")</f>
        <v/>
      </c>
      <c r="I55" s="2" t="str">
        <f>IF(Source!$C55&gt;=COLUMNS($A55:I55), Source!$E55, "")</f>
        <v/>
      </c>
      <c r="J55" s="2" t="str">
        <f>IF(Source!$C55&gt;=COLUMNS($A55:J55), Source!$E55, "")</f>
        <v/>
      </c>
      <c r="K55" s="2" t="str">
        <f>IF(Source!$C55&gt;=COLUMNS($A55:K55), Source!$E55, "")</f>
        <v/>
      </c>
      <c r="L55" s="2" t="str">
        <f>IF(Source!$C55&gt;=COLUMNS($A55:L55), Source!$E55, "")</f>
        <v/>
      </c>
      <c r="M55" s="2" t="str">
        <f>IF(Source!$C55&gt;=COLUMNS($A55:M55), Source!$E55, "")</f>
        <v/>
      </c>
      <c r="N55" s="2" t="str">
        <f>IF(Source!$C55&gt;=COLUMNS($A55:N55), Source!$E55, "")</f>
        <v/>
      </c>
      <c r="O55" s="2" t="str">
        <f>IF(Source!$C55&gt;=COLUMNS($A55:O55), Source!$E55, "")</f>
        <v/>
      </c>
      <c r="P55" s="2" t="str">
        <f>IF(Source!$C55&gt;=COLUMNS($A55:P55), Source!$E55, "")</f>
        <v/>
      </c>
      <c r="Q55" s="2" t="str">
        <f>IF(Source!$C55&gt;=COLUMNS($A55:Q55), Source!$E55, "")</f>
        <v/>
      </c>
      <c r="R55" s="2" t="str">
        <f>IF(Source!$C55&gt;=COLUMNS($A55:R55), Source!$E55, "")</f>
        <v/>
      </c>
      <c r="S55" s="2" t="str">
        <f>IF(Source!$C55&gt;=COLUMNS($A55:S55), Source!$E55, "")</f>
        <v/>
      </c>
      <c r="T55" s="2" t="str">
        <f>IF(Source!$C55&gt;=COLUMNS($A55:T55), Source!$E55, "")</f>
        <v/>
      </c>
      <c r="U55" s="2" t="str">
        <f>IF(Source!$C55&gt;=COLUMNS($A55:U55), Source!$E55, "")</f>
        <v/>
      </c>
      <c r="V55" s="2" t="str">
        <f>IF(Source!$C55&gt;=COLUMNS($A55:V55), Source!$E55, "")</f>
        <v/>
      </c>
      <c r="W55" s="2" t="str">
        <f>IF(Source!$C55&gt;=COLUMNS($A55:W55), Source!$E55, "")</f>
        <v/>
      </c>
      <c r="X55" s="2" t="str">
        <f>IF(Source!$C55&gt;=COLUMNS($A55:X55), Source!$E55, "")</f>
        <v/>
      </c>
      <c r="Y55" s="2" t="str">
        <f>IF(Source!$C55&gt;=COLUMNS($A55:Y55), Source!$E55, "")</f>
        <v/>
      </c>
      <c r="Z55" s="2" t="str">
        <f>IF(Source!$C55&gt;=COLUMNS($A55:Z55), Source!$E55, "")</f>
        <v/>
      </c>
      <c r="AA55" s="2" t="str">
        <f>IF(Source!$C55&gt;=COLUMNS($A55:AA55), Source!$E55, "")</f>
        <v/>
      </c>
      <c r="AB55" s="2" t="str">
        <f>IF(Source!$C55&gt;=COLUMNS($A55:AB55), Source!$E55, "")</f>
        <v/>
      </c>
      <c r="AC55" s="2" t="str">
        <f>IF(Source!$C55&gt;=COLUMNS($A55:AC55), Source!$E55, "")</f>
        <v/>
      </c>
      <c r="AD55" s="2" t="str">
        <f>IF(Source!$C55&gt;=COLUMNS($A55:AD55), Source!$E55, "")</f>
        <v/>
      </c>
      <c r="AE55" s="2" t="str">
        <f>IF(Source!$C55&gt;=COLUMNS($A55:AE55), Source!$E55, "")</f>
        <v/>
      </c>
      <c r="AF55" s="2" t="str">
        <f>IF(Source!$C55&gt;=COLUMNS($A55:AF55), Source!$E55, "")</f>
        <v/>
      </c>
      <c r="AG55" s="2" t="str">
        <f>IF(Source!$C55&gt;=COLUMNS($A55:AG55), Source!$E55, "")</f>
        <v/>
      </c>
      <c r="AH55" s="2" t="str">
        <f>IF(Source!$C55&gt;=COLUMNS($A55:AH55), Source!$E55, "")</f>
        <v/>
      </c>
      <c r="AI55" s="2" t="str">
        <f>IF(Source!$C55&gt;=COLUMNS($A55:AI55), Source!$E55, "")</f>
        <v/>
      </c>
      <c r="AJ55" s="2" t="str">
        <f>IF(Source!$C55&gt;=COLUMNS($A55:AJ55), Source!$E55, "")</f>
        <v/>
      </c>
      <c r="AK55" s="2" t="str">
        <f>IF(Source!$C55&gt;=COLUMNS($A55:AK55), Source!$E55, "")</f>
        <v/>
      </c>
      <c r="AL55" s="2" t="str">
        <f>IF(Source!$C55&gt;=COLUMNS($A55:AL55), Source!$E55, "")</f>
        <v/>
      </c>
      <c r="AM55" s="2" t="str">
        <f>IF(Source!$C55&gt;=COLUMNS($A55:AM55), Source!$E55, "")</f>
        <v/>
      </c>
      <c r="AN55" s="2" t="str">
        <f>IF(Source!$C55&gt;=COLUMNS($A55:AN55), Source!$E55, "")</f>
        <v/>
      </c>
      <c r="AO55" s="2" t="str">
        <f>IF(Source!$C55&gt;=COLUMNS($A55:AO55), Source!$E55, "")</f>
        <v/>
      </c>
      <c r="AP55" s="2" t="str">
        <f>IF(Source!$C55&gt;=COLUMNS($A55:AP55), Source!$E55, "")</f>
        <v/>
      </c>
      <c r="AQ55" s="2" t="str">
        <f>IF(Source!$C55&gt;=COLUMNS($A55:AQ55), Source!$E55, "")</f>
        <v/>
      </c>
      <c r="AR55" s="2" t="str">
        <f>IF(Source!$C55&gt;=COLUMNS($A55:AR55), Source!$E55, "")</f>
        <v/>
      </c>
    </row>
    <row r="56">
      <c r="A56" s="2">
        <f>IF(Source!$C56&gt;=COLUMNS($A56:A56), Source!$E56, "")</f>
        <v>7</v>
      </c>
      <c r="B56" s="2">
        <f>IF(Source!$C56&gt;=COLUMNS($A56:B56), Source!$E56, "")</f>
        <v>7</v>
      </c>
      <c r="C56" s="2" t="str">
        <f>IF(Source!$C56&gt;=COLUMNS($A56:C56), Source!$E56, "")</f>
        <v/>
      </c>
      <c r="D56" s="2" t="str">
        <f>IF(Source!$C56&gt;=COLUMNS($A56:D56), Source!$E56, "")</f>
        <v/>
      </c>
      <c r="E56" s="2" t="str">
        <f>IF(Source!$C56&gt;=COLUMNS($A56:E56), Source!$E56, "")</f>
        <v/>
      </c>
      <c r="F56" s="2" t="str">
        <f>IF(Source!$C56&gt;=COLUMNS($A56:F56), Source!$E56, "")</f>
        <v/>
      </c>
      <c r="G56" s="2" t="str">
        <f>IF(Source!$C56&gt;=COLUMNS($A56:G56), Source!$E56, "")</f>
        <v/>
      </c>
      <c r="H56" s="2" t="str">
        <f>IF(Source!$C56&gt;=COLUMNS($A56:H56), Source!$E56, "")</f>
        <v/>
      </c>
      <c r="I56" s="2" t="str">
        <f>IF(Source!$C56&gt;=COLUMNS($A56:I56), Source!$E56, "")</f>
        <v/>
      </c>
      <c r="J56" s="2" t="str">
        <f>IF(Source!$C56&gt;=COLUMNS($A56:J56), Source!$E56, "")</f>
        <v/>
      </c>
      <c r="K56" s="2" t="str">
        <f>IF(Source!$C56&gt;=COLUMNS($A56:K56), Source!$E56, "")</f>
        <v/>
      </c>
      <c r="L56" s="2" t="str">
        <f>IF(Source!$C56&gt;=COLUMNS($A56:L56), Source!$E56, "")</f>
        <v/>
      </c>
      <c r="M56" s="2" t="str">
        <f>IF(Source!$C56&gt;=COLUMNS($A56:M56), Source!$E56, "")</f>
        <v/>
      </c>
      <c r="N56" s="2" t="str">
        <f>IF(Source!$C56&gt;=COLUMNS($A56:N56), Source!$E56, "")</f>
        <v/>
      </c>
      <c r="O56" s="2" t="str">
        <f>IF(Source!$C56&gt;=COLUMNS($A56:O56), Source!$E56, "")</f>
        <v/>
      </c>
      <c r="P56" s="2" t="str">
        <f>IF(Source!$C56&gt;=COLUMNS($A56:P56), Source!$E56, "")</f>
        <v/>
      </c>
      <c r="Q56" s="2" t="str">
        <f>IF(Source!$C56&gt;=COLUMNS($A56:Q56), Source!$E56, "")</f>
        <v/>
      </c>
      <c r="R56" s="2" t="str">
        <f>IF(Source!$C56&gt;=COLUMNS($A56:R56), Source!$E56, "")</f>
        <v/>
      </c>
      <c r="S56" s="2" t="str">
        <f>IF(Source!$C56&gt;=COLUMNS($A56:S56), Source!$E56, "")</f>
        <v/>
      </c>
      <c r="T56" s="2" t="str">
        <f>IF(Source!$C56&gt;=COLUMNS($A56:T56), Source!$E56, "")</f>
        <v/>
      </c>
      <c r="U56" s="2" t="str">
        <f>IF(Source!$C56&gt;=COLUMNS($A56:U56), Source!$E56, "")</f>
        <v/>
      </c>
      <c r="V56" s="2" t="str">
        <f>IF(Source!$C56&gt;=COLUMNS($A56:V56), Source!$E56, "")</f>
        <v/>
      </c>
      <c r="W56" s="2" t="str">
        <f>IF(Source!$C56&gt;=COLUMNS($A56:W56), Source!$E56, "")</f>
        <v/>
      </c>
      <c r="X56" s="2" t="str">
        <f>IF(Source!$C56&gt;=COLUMNS($A56:X56), Source!$E56, "")</f>
        <v/>
      </c>
      <c r="Y56" s="2" t="str">
        <f>IF(Source!$C56&gt;=COLUMNS($A56:Y56), Source!$E56, "")</f>
        <v/>
      </c>
      <c r="Z56" s="2" t="str">
        <f>IF(Source!$C56&gt;=COLUMNS($A56:Z56), Source!$E56, "")</f>
        <v/>
      </c>
      <c r="AA56" s="2" t="str">
        <f>IF(Source!$C56&gt;=COLUMNS($A56:AA56), Source!$E56, "")</f>
        <v/>
      </c>
      <c r="AB56" s="2" t="str">
        <f>IF(Source!$C56&gt;=COLUMNS($A56:AB56), Source!$E56, "")</f>
        <v/>
      </c>
      <c r="AC56" s="2" t="str">
        <f>IF(Source!$C56&gt;=COLUMNS($A56:AC56), Source!$E56, "")</f>
        <v/>
      </c>
      <c r="AD56" s="2" t="str">
        <f>IF(Source!$C56&gt;=COLUMNS($A56:AD56), Source!$E56, "")</f>
        <v/>
      </c>
      <c r="AE56" s="2" t="str">
        <f>IF(Source!$C56&gt;=COLUMNS($A56:AE56), Source!$E56, "")</f>
        <v/>
      </c>
      <c r="AF56" s="2" t="str">
        <f>IF(Source!$C56&gt;=COLUMNS($A56:AF56), Source!$E56, "")</f>
        <v/>
      </c>
      <c r="AG56" s="2" t="str">
        <f>IF(Source!$C56&gt;=COLUMNS($A56:AG56), Source!$E56, "")</f>
        <v/>
      </c>
      <c r="AH56" s="2" t="str">
        <f>IF(Source!$C56&gt;=COLUMNS($A56:AH56), Source!$E56, "")</f>
        <v/>
      </c>
      <c r="AI56" s="2" t="str">
        <f>IF(Source!$C56&gt;=COLUMNS($A56:AI56), Source!$E56, "")</f>
        <v/>
      </c>
      <c r="AJ56" s="2" t="str">
        <f>IF(Source!$C56&gt;=COLUMNS($A56:AJ56), Source!$E56, "")</f>
        <v/>
      </c>
      <c r="AK56" s="2" t="str">
        <f>IF(Source!$C56&gt;=COLUMNS($A56:AK56), Source!$E56, "")</f>
        <v/>
      </c>
      <c r="AL56" s="2" t="str">
        <f>IF(Source!$C56&gt;=COLUMNS($A56:AL56), Source!$E56, "")</f>
        <v/>
      </c>
      <c r="AM56" s="2" t="str">
        <f>IF(Source!$C56&gt;=COLUMNS($A56:AM56), Source!$E56, "")</f>
        <v/>
      </c>
      <c r="AN56" s="2" t="str">
        <f>IF(Source!$C56&gt;=COLUMNS($A56:AN56), Source!$E56, "")</f>
        <v/>
      </c>
      <c r="AO56" s="2" t="str">
        <f>IF(Source!$C56&gt;=COLUMNS($A56:AO56), Source!$E56, "")</f>
        <v/>
      </c>
      <c r="AP56" s="2" t="str">
        <f>IF(Source!$C56&gt;=COLUMNS($A56:AP56), Source!$E56, "")</f>
        <v/>
      </c>
      <c r="AQ56" s="2" t="str">
        <f>IF(Source!$C56&gt;=COLUMNS($A56:AQ56), Source!$E56, "")</f>
        <v/>
      </c>
      <c r="AR56" s="2" t="str">
        <f>IF(Source!$C56&gt;=COLUMNS($A56:AR56), Source!$E56, "")</f>
        <v/>
      </c>
    </row>
    <row r="57">
      <c r="A57" s="2">
        <f>IF(Source!$C57&gt;=COLUMNS($A57:A57), Source!$E57, "")</f>
        <v>6</v>
      </c>
      <c r="B57" s="2">
        <f>IF(Source!$C57&gt;=COLUMNS($A57:B57), Source!$E57, "")</f>
        <v>6</v>
      </c>
      <c r="C57" s="2">
        <f>IF(Source!$C57&gt;=COLUMNS($A57:C57), Source!$E57, "")</f>
        <v>6</v>
      </c>
      <c r="D57" s="2">
        <f>IF(Source!$C57&gt;=COLUMNS($A57:D57), Source!$E57, "")</f>
        <v>6</v>
      </c>
      <c r="E57" s="2" t="str">
        <f>IF(Source!$C57&gt;=COLUMNS($A57:E57), Source!$E57, "")</f>
        <v/>
      </c>
      <c r="F57" s="2" t="str">
        <f>IF(Source!$C57&gt;=COLUMNS($A57:F57), Source!$E57, "")</f>
        <v/>
      </c>
      <c r="G57" s="2" t="str">
        <f>IF(Source!$C57&gt;=COLUMNS($A57:G57), Source!$E57, "")</f>
        <v/>
      </c>
      <c r="H57" s="2" t="str">
        <f>IF(Source!$C57&gt;=COLUMNS($A57:H57), Source!$E57, "")</f>
        <v/>
      </c>
      <c r="I57" s="2" t="str">
        <f>IF(Source!$C57&gt;=COLUMNS($A57:I57), Source!$E57, "")</f>
        <v/>
      </c>
      <c r="J57" s="2" t="str">
        <f>IF(Source!$C57&gt;=COLUMNS($A57:J57), Source!$E57, "")</f>
        <v/>
      </c>
      <c r="K57" s="2" t="str">
        <f>IF(Source!$C57&gt;=COLUMNS($A57:K57), Source!$E57, "")</f>
        <v/>
      </c>
      <c r="L57" s="2" t="str">
        <f>IF(Source!$C57&gt;=COLUMNS($A57:L57), Source!$E57, "")</f>
        <v/>
      </c>
      <c r="M57" s="2" t="str">
        <f>IF(Source!$C57&gt;=COLUMNS($A57:M57), Source!$E57, "")</f>
        <v/>
      </c>
      <c r="N57" s="2" t="str">
        <f>IF(Source!$C57&gt;=COLUMNS($A57:N57), Source!$E57, "")</f>
        <v/>
      </c>
      <c r="O57" s="2" t="str">
        <f>IF(Source!$C57&gt;=COLUMNS($A57:O57), Source!$E57, "")</f>
        <v/>
      </c>
      <c r="P57" s="2" t="str">
        <f>IF(Source!$C57&gt;=COLUMNS($A57:P57), Source!$E57, "")</f>
        <v/>
      </c>
      <c r="Q57" s="2" t="str">
        <f>IF(Source!$C57&gt;=COLUMNS($A57:Q57), Source!$E57, "")</f>
        <v/>
      </c>
      <c r="R57" s="2" t="str">
        <f>IF(Source!$C57&gt;=COLUMNS($A57:R57), Source!$E57, "")</f>
        <v/>
      </c>
      <c r="S57" s="2" t="str">
        <f>IF(Source!$C57&gt;=COLUMNS($A57:S57), Source!$E57, "")</f>
        <v/>
      </c>
      <c r="T57" s="2" t="str">
        <f>IF(Source!$C57&gt;=COLUMNS($A57:T57), Source!$E57, "")</f>
        <v/>
      </c>
      <c r="U57" s="2" t="str">
        <f>IF(Source!$C57&gt;=COLUMNS($A57:U57), Source!$E57, "")</f>
        <v/>
      </c>
      <c r="V57" s="2" t="str">
        <f>IF(Source!$C57&gt;=COLUMNS($A57:V57), Source!$E57, "")</f>
        <v/>
      </c>
      <c r="W57" s="2" t="str">
        <f>IF(Source!$C57&gt;=COLUMNS($A57:W57), Source!$E57, "")</f>
        <v/>
      </c>
      <c r="X57" s="2" t="str">
        <f>IF(Source!$C57&gt;=COLUMNS($A57:X57), Source!$E57, "")</f>
        <v/>
      </c>
      <c r="Y57" s="2" t="str">
        <f>IF(Source!$C57&gt;=COLUMNS($A57:Y57), Source!$E57, "")</f>
        <v/>
      </c>
      <c r="Z57" s="2" t="str">
        <f>IF(Source!$C57&gt;=COLUMNS($A57:Z57), Source!$E57, "")</f>
        <v/>
      </c>
      <c r="AA57" s="2" t="str">
        <f>IF(Source!$C57&gt;=COLUMNS($A57:AA57), Source!$E57, "")</f>
        <v/>
      </c>
      <c r="AB57" s="2" t="str">
        <f>IF(Source!$C57&gt;=COLUMNS($A57:AB57), Source!$E57, "")</f>
        <v/>
      </c>
      <c r="AC57" s="2" t="str">
        <f>IF(Source!$C57&gt;=COLUMNS($A57:AC57), Source!$E57, "")</f>
        <v/>
      </c>
      <c r="AD57" s="2" t="str">
        <f>IF(Source!$C57&gt;=COLUMNS($A57:AD57), Source!$E57, "")</f>
        <v/>
      </c>
      <c r="AE57" s="2" t="str">
        <f>IF(Source!$C57&gt;=COLUMNS($A57:AE57), Source!$E57, "")</f>
        <v/>
      </c>
      <c r="AF57" s="2" t="str">
        <f>IF(Source!$C57&gt;=COLUMNS($A57:AF57), Source!$E57, "")</f>
        <v/>
      </c>
      <c r="AG57" s="2" t="str">
        <f>IF(Source!$C57&gt;=COLUMNS($A57:AG57), Source!$E57, "")</f>
        <v/>
      </c>
      <c r="AH57" s="2" t="str">
        <f>IF(Source!$C57&gt;=COLUMNS($A57:AH57), Source!$E57, "")</f>
        <v/>
      </c>
      <c r="AI57" s="2" t="str">
        <f>IF(Source!$C57&gt;=COLUMNS($A57:AI57), Source!$E57, "")</f>
        <v/>
      </c>
      <c r="AJ57" s="2" t="str">
        <f>IF(Source!$C57&gt;=COLUMNS($A57:AJ57), Source!$E57, "")</f>
        <v/>
      </c>
      <c r="AK57" s="2" t="str">
        <f>IF(Source!$C57&gt;=COLUMNS($A57:AK57), Source!$E57, "")</f>
        <v/>
      </c>
      <c r="AL57" s="2" t="str">
        <f>IF(Source!$C57&gt;=COLUMNS($A57:AL57), Source!$E57, "")</f>
        <v/>
      </c>
      <c r="AM57" s="2" t="str">
        <f>IF(Source!$C57&gt;=COLUMNS($A57:AM57), Source!$E57, "")</f>
        <v/>
      </c>
      <c r="AN57" s="2" t="str">
        <f>IF(Source!$C57&gt;=COLUMNS($A57:AN57), Source!$E57, "")</f>
        <v/>
      </c>
      <c r="AO57" s="2" t="str">
        <f>IF(Source!$C57&gt;=COLUMNS($A57:AO57), Source!$E57, "")</f>
        <v/>
      </c>
      <c r="AP57" s="2" t="str">
        <f>IF(Source!$C57&gt;=COLUMNS($A57:AP57), Source!$E57, "")</f>
        <v/>
      </c>
      <c r="AQ57" s="2" t="str">
        <f>IF(Source!$C57&gt;=COLUMNS($A57:AQ57), Source!$E57, "")</f>
        <v/>
      </c>
      <c r="AR57" s="2" t="str">
        <f>IF(Source!$C57&gt;=COLUMNS($A57:AR57), Source!$E57, "")</f>
        <v/>
      </c>
    </row>
    <row r="58">
      <c r="A58" s="2">
        <f>IF(Source!$C58&gt;=COLUMNS($A58:A58), Source!$E58, "")</f>
        <v>4</v>
      </c>
      <c r="B58" s="2" t="str">
        <f>IF(Source!$C58&gt;=COLUMNS($A58:B58), Source!$E58, "")</f>
        <v/>
      </c>
      <c r="C58" s="2" t="str">
        <f>IF(Source!$C58&gt;=COLUMNS($A58:C58), Source!$E58, "")</f>
        <v/>
      </c>
      <c r="D58" s="2" t="str">
        <f>IF(Source!$C58&gt;=COLUMNS($A58:D58), Source!$E58, "")</f>
        <v/>
      </c>
      <c r="E58" s="2" t="str">
        <f>IF(Source!$C58&gt;=COLUMNS($A58:E58), Source!$E58, "")</f>
        <v/>
      </c>
      <c r="F58" s="2" t="str">
        <f>IF(Source!$C58&gt;=COLUMNS($A58:F58), Source!$E58, "")</f>
        <v/>
      </c>
      <c r="G58" s="2" t="str">
        <f>IF(Source!$C58&gt;=COLUMNS($A58:G58), Source!$E58, "")</f>
        <v/>
      </c>
      <c r="H58" s="2" t="str">
        <f>IF(Source!$C58&gt;=COLUMNS($A58:H58), Source!$E58, "")</f>
        <v/>
      </c>
      <c r="I58" s="2" t="str">
        <f>IF(Source!$C58&gt;=COLUMNS($A58:I58), Source!$E58, "")</f>
        <v/>
      </c>
      <c r="J58" s="2" t="str">
        <f>IF(Source!$C58&gt;=COLUMNS($A58:J58), Source!$E58, "")</f>
        <v/>
      </c>
      <c r="K58" s="2" t="str">
        <f>IF(Source!$C58&gt;=COLUMNS($A58:K58), Source!$E58, "")</f>
        <v/>
      </c>
      <c r="L58" s="2" t="str">
        <f>IF(Source!$C58&gt;=COLUMNS($A58:L58), Source!$E58, "")</f>
        <v/>
      </c>
      <c r="M58" s="2" t="str">
        <f>IF(Source!$C58&gt;=COLUMNS($A58:M58), Source!$E58, "")</f>
        <v/>
      </c>
      <c r="N58" s="2" t="str">
        <f>IF(Source!$C58&gt;=COLUMNS($A58:N58), Source!$E58, "")</f>
        <v/>
      </c>
      <c r="O58" s="2" t="str">
        <f>IF(Source!$C58&gt;=COLUMNS($A58:O58), Source!$E58, "")</f>
        <v/>
      </c>
      <c r="P58" s="2" t="str">
        <f>IF(Source!$C58&gt;=COLUMNS($A58:P58), Source!$E58, "")</f>
        <v/>
      </c>
      <c r="Q58" s="2" t="str">
        <f>IF(Source!$C58&gt;=COLUMNS($A58:Q58), Source!$E58, "")</f>
        <v/>
      </c>
      <c r="R58" s="2" t="str">
        <f>IF(Source!$C58&gt;=COLUMNS($A58:R58), Source!$E58, "")</f>
        <v/>
      </c>
      <c r="S58" s="2" t="str">
        <f>IF(Source!$C58&gt;=COLUMNS($A58:S58), Source!$E58, "")</f>
        <v/>
      </c>
      <c r="T58" s="2" t="str">
        <f>IF(Source!$C58&gt;=COLUMNS($A58:T58), Source!$E58, "")</f>
        <v/>
      </c>
      <c r="U58" s="2" t="str">
        <f>IF(Source!$C58&gt;=COLUMNS($A58:U58), Source!$E58, "")</f>
        <v/>
      </c>
      <c r="V58" s="2" t="str">
        <f>IF(Source!$C58&gt;=COLUMNS($A58:V58), Source!$E58, "")</f>
        <v/>
      </c>
      <c r="W58" s="2" t="str">
        <f>IF(Source!$C58&gt;=COLUMNS($A58:W58), Source!$E58, "")</f>
        <v/>
      </c>
      <c r="X58" s="2" t="str">
        <f>IF(Source!$C58&gt;=COLUMNS($A58:X58), Source!$E58, "")</f>
        <v/>
      </c>
      <c r="Y58" s="2" t="str">
        <f>IF(Source!$C58&gt;=COLUMNS($A58:Y58), Source!$E58, "")</f>
        <v/>
      </c>
      <c r="Z58" s="2" t="str">
        <f>IF(Source!$C58&gt;=COLUMNS($A58:Z58), Source!$E58, "")</f>
        <v/>
      </c>
      <c r="AA58" s="2" t="str">
        <f>IF(Source!$C58&gt;=COLUMNS($A58:AA58), Source!$E58, "")</f>
        <v/>
      </c>
      <c r="AB58" s="2" t="str">
        <f>IF(Source!$C58&gt;=COLUMNS($A58:AB58), Source!$E58, "")</f>
        <v/>
      </c>
      <c r="AC58" s="2" t="str">
        <f>IF(Source!$C58&gt;=COLUMNS($A58:AC58), Source!$E58, "")</f>
        <v/>
      </c>
      <c r="AD58" s="2" t="str">
        <f>IF(Source!$C58&gt;=COLUMNS($A58:AD58), Source!$E58, "")</f>
        <v/>
      </c>
      <c r="AE58" s="2" t="str">
        <f>IF(Source!$C58&gt;=COLUMNS($A58:AE58), Source!$E58, "")</f>
        <v/>
      </c>
      <c r="AF58" s="2" t="str">
        <f>IF(Source!$C58&gt;=COLUMNS($A58:AF58), Source!$E58, "")</f>
        <v/>
      </c>
      <c r="AG58" s="2" t="str">
        <f>IF(Source!$C58&gt;=COLUMNS($A58:AG58), Source!$E58, "")</f>
        <v/>
      </c>
      <c r="AH58" s="2" t="str">
        <f>IF(Source!$C58&gt;=COLUMNS($A58:AH58), Source!$E58, "")</f>
        <v/>
      </c>
      <c r="AI58" s="2" t="str">
        <f>IF(Source!$C58&gt;=COLUMNS($A58:AI58), Source!$E58, "")</f>
        <v/>
      </c>
      <c r="AJ58" s="2" t="str">
        <f>IF(Source!$C58&gt;=COLUMNS($A58:AJ58), Source!$E58, "")</f>
        <v/>
      </c>
      <c r="AK58" s="2" t="str">
        <f>IF(Source!$C58&gt;=COLUMNS($A58:AK58), Source!$E58, "")</f>
        <v/>
      </c>
      <c r="AL58" s="2" t="str">
        <f>IF(Source!$C58&gt;=COLUMNS($A58:AL58), Source!$E58, "")</f>
        <v/>
      </c>
      <c r="AM58" s="2" t="str">
        <f>IF(Source!$C58&gt;=COLUMNS($A58:AM58), Source!$E58, "")</f>
        <v/>
      </c>
      <c r="AN58" s="2" t="str">
        <f>IF(Source!$C58&gt;=COLUMNS($A58:AN58), Source!$E58, "")</f>
        <v/>
      </c>
      <c r="AO58" s="2" t="str">
        <f>IF(Source!$C58&gt;=COLUMNS($A58:AO58), Source!$E58, "")</f>
        <v/>
      </c>
      <c r="AP58" s="2" t="str">
        <f>IF(Source!$C58&gt;=COLUMNS($A58:AP58), Source!$E58, "")</f>
        <v/>
      </c>
      <c r="AQ58" s="2" t="str">
        <f>IF(Source!$C58&gt;=COLUMNS($A58:AQ58), Source!$E58, "")</f>
        <v/>
      </c>
      <c r="AR58" s="2" t="str">
        <f>IF(Source!$C58&gt;=COLUMNS($A58:AR58), Source!$E58, "")</f>
        <v/>
      </c>
    </row>
    <row r="59">
      <c r="A59" s="2">
        <f>IF(Source!$C59&gt;=COLUMNS($A59:A59), Source!$E59, "")</f>
        <v>7</v>
      </c>
      <c r="B59" s="2">
        <f>IF(Source!$C59&gt;=COLUMNS($A59:B59), Source!$E59, "")</f>
        <v>7</v>
      </c>
      <c r="C59" s="2">
        <f>IF(Source!$C59&gt;=COLUMNS($A59:C59), Source!$E59, "")</f>
        <v>7</v>
      </c>
      <c r="D59" s="2">
        <f>IF(Source!$C59&gt;=COLUMNS($A59:D59), Source!$E59, "")</f>
        <v>7</v>
      </c>
      <c r="E59" s="2">
        <f>IF(Source!$C59&gt;=COLUMNS($A59:E59), Source!$E59, "")</f>
        <v>7</v>
      </c>
      <c r="F59" s="2" t="str">
        <f>IF(Source!$C59&gt;=COLUMNS($A59:F59), Source!$E59, "")</f>
        <v/>
      </c>
      <c r="G59" s="2" t="str">
        <f>IF(Source!$C59&gt;=COLUMNS($A59:G59), Source!$E59, "")</f>
        <v/>
      </c>
      <c r="H59" s="2" t="str">
        <f>IF(Source!$C59&gt;=COLUMNS($A59:H59), Source!$E59, "")</f>
        <v/>
      </c>
      <c r="I59" s="2" t="str">
        <f>IF(Source!$C59&gt;=COLUMNS($A59:I59), Source!$E59, "")</f>
        <v/>
      </c>
      <c r="J59" s="2" t="str">
        <f>IF(Source!$C59&gt;=COLUMNS($A59:J59), Source!$E59, "")</f>
        <v/>
      </c>
      <c r="K59" s="2" t="str">
        <f>IF(Source!$C59&gt;=COLUMNS($A59:K59), Source!$E59, "")</f>
        <v/>
      </c>
      <c r="L59" s="2" t="str">
        <f>IF(Source!$C59&gt;=COLUMNS($A59:L59), Source!$E59, "")</f>
        <v/>
      </c>
      <c r="M59" s="2" t="str">
        <f>IF(Source!$C59&gt;=COLUMNS($A59:M59), Source!$E59, "")</f>
        <v/>
      </c>
      <c r="N59" s="2" t="str">
        <f>IF(Source!$C59&gt;=COLUMNS($A59:N59), Source!$E59, "")</f>
        <v/>
      </c>
      <c r="O59" s="2" t="str">
        <f>IF(Source!$C59&gt;=COLUMNS($A59:O59), Source!$E59, "")</f>
        <v/>
      </c>
      <c r="P59" s="2" t="str">
        <f>IF(Source!$C59&gt;=COLUMNS($A59:P59), Source!$E59, "")</f>
        <v/>
      </c>
      <c r="Q59" s="2" t="str">
        <f>IF(Source!$C59&gt;=COLUMNS($A59:Q59), Source!$E59, "")</f>
        <v/>
      </c>
      <c r="R59" s="2" t="str">
        <f>IF(Source!$C59&gt;=COLUMNS($A59:R59), Source!$E59, "")</f>
        <v/>
      </c>
      <c r="S59" s="2" t="str">
        <f>IF(Source!$C59&gt;=COLUMNS($A59:S59), Source!$E59, "")</f>
        <v/>
      </c>
      <c r="T59" s="2" t="str">
        <f>IF(Source!$C59&gt;=COLUMNS($A59:T59), Source!$E59, "")</f>
        <v/>
      </c>
      <c r="U59" s="2" t="str">
        <f>IF(Source!$C59&gt;=COLUMNS($A59:U59), Source!$E59, "")</f>
        <v/>
      </c>
      <c r="V59" s="2" t="str">
        <f>IF(Source!$C59&gt;=COLUMNS($A59:V59), Source!$E59, "")</f>
        <v/>
      </c>
      <c r="W59" s="2" t="str">
        <f>IF(Source!$C59&gt;=COLUMNS($A59:W59), Source!$E59, "")</f>
        <v/>
      </c>
      <c r="X59" s="2" t="str">
        <f>IF(Source!$C59&gt;=COLUMNS($A59:X59), Source!$E59, "")</f>
        <v/>
      </c>
      <c r="Y59" s="2" t="str">
        <f>IF(Source!$C59&gt;=COLUMNS($A59:Y59), Source!$E59, "")</f>
        <v/>
      </c>
      <c r="Z59" s="2" t="str">
        <f>IF(Source!$C59&gt;=COLUMNS($A59:Z59), Source!$E59, "")</f>
        <v/>
      </c>
      <c r="AA59" s="2" t="str">
        <f>IF(Source!$C59&gt;=COLUMNS($A59:AA59), Source!$E59, "")</f>
        <v/>
      </c>
      <c r="AB59" s="2" t="str">
        <f>IF(Source!$C59&gt;=COLUMNS($A59:AB59), Source!$E59, "")</f>
        <v/>
      </c>
      <c r="AC59" s="2" t="str">
        <f>IF(Source!$C59&gt;=COLUMNS($A59:AC59), Source!$E59, "")</f>
        <v/>
      </c>
      <c r="AD59" s="2" t="str">
        <f>IF(Source!$C59&gt;=COLUMNS($A59:AD59), Source!$E59, "")</f>
        <v/>
      </c>
      <c r="AE59" s="2" t="str">
        <f>IF(Source!$C59&gt;=COLUMNS($A59:AE59), Source!$E59, "")</f>
        <v/>
      </c>
      <c r="AF59" s="2" t="str">
        <f>IF(Source!$C59&gt;=COLUMNS($A59:AF59), Source!$E59, "")</f>
        <v/>
      </c>
      <c r="AG59" s="2" t="str">
        <f>IF(Source!$C59&gt;=COLUMNS($A59:AG59), Source!$E59, "")</f>
        <v/>
      </c>
      <c r="AH59" s="2" t="str">
        <f>IF(Source!$C59&gt;=COLUMNS($A59:AH59), Source!$E59, "")</f>
        <v/>
      </c>
      <c r="AI59" s="2" t="str">
        <f>IF(Source!$C59&gt;=COLUMNS($A59:AI59), Source!$E59, "")</f>
        <v/>
      </c>
      <c r="AJ59" s="2" t="str">
        <f>IF(Source!$C59&gt;=COLUMNS($A59:AJ59), Source!$E59, "")</f>
        <v/>
      </c>
      <c r="AK59" s="2" t="str">
        <f>IF(Source!$C59&gt;=COLUMNS($A59:AK59), Source!$E59, "")</f>
        <v/>
      </c>
      <c r="AL59" s="2" t="str">
        <f>IF(Source!$C59&gt;=COLUMNS($A59:AL59), Source!$E59, "")</f>
        <v/>
      </c>
      <c r="AM59" s="2" t="str">
        <f>IF(Source!$C59&gt;=COLUMNS($A59:AM59), Source!$E59, "")</f>
        <v/>
      </c>
      <c r="AN59" s="2" t="str">
        <f>IF(Source!$C59&gt;=COLUMNS($A59:AN59), Source!$E59, "")</f>
        <v/>
      </c>
      <c r="AO59" s="2" t="str">
        <f>IF(Source!$C59&gt;=COLUMNS($A59:AO59), Source!$E59, "")</f>
        <v/>
      </c>
      <c r="AP59" s="2" t="str">
        <f>IF(Source!$C59&gt;=COLUMNS($A59:AP59), Source!$E59, "")</f>
        <v/>
      </c>
      <c r="AQ59" s="2" t="str">
        <f>IF(Source!$C59&gt;=COLUMNS($A59:AQ59), Source!$E59, "")</f>
        <v/>
      </c>
      <c r="AR59" s="2" t="str">
        <f>IF(Source!$C59&gt;=COLUMNS($A59:AR59), Source!$E59, "")</f>
        <v/>
      </c>
    </row>
    <row r="60">
      <c r="A60" s="2">
        <f>IF(Source!$C60&gt;=COLUMNS($A60:A60), Source!$E60, "")</f>
        <v>6</v>
      </c>
      <c r="B60" s="2">
        <f>IF(Source!$C60&gt;=COLUMNS($A60:B60), Source!$E60, "")</f>
        <v>6</v>
      </c>
      <c r="C60" s="2">
        <f>IF(Source!$C60&gt;=COLUMNS($A60:C60), Source!$E60, "")</f>
        <v>6</v>
      </c>
      <c r="D60" s="2" t="str">
        <f>IF(Source!$C60&gt;=COLUMNS($A60:D60), Source!$E60, "")</f>
        <v/>
      </c>
      <c r="E60" s="2" t="str">
        <f>IF(Source!$C60&gt;=COLUMNS($A60:E60), Source!$E60, "")</f>
        <v/>
      </c>
      <c r="F60" s="2" t="str">
        <f>IF(Source!$C60&gt;=COLUMNS($A60:F60), Source!$E60, "")</f>
        <v/>
      </c>
      <c r="G60" s="2" t="str">
        <f>IF(Source!$C60&gt;=COLUMNS($A60:G60), Source!$E60, "")</f>
        <v/>
      </c>
      <c r="H60" s="2" t="str">
        <f>IF(Source!$C60&gt;=COLUMNS($A60:H60), Source!$E60, "")</f>
        <v/>
      </c>
      <c r="I60" s="2" t="str">
        <f>IF(Source!$C60&gt;=COLUMNS($A60:I60), Source!$E60, "")</f>
        <v/>
      </c>
      <c r="J60" s="2" t="str">
        <f>IF(Source!$C60&gt;=COLUMNS($A60:J60), Source!$E60, "")</f>
        <v/>
      </c>
      <c r="K60" s="2" t="str">
        <f>IF(Source!$C60&gt;=COLUMNS($A60:K60), Source!$E60, "")</f>
        <v/>
      </c>
      <c r="L60" s="2" t="str">
        <f>IF(Source!$C60&gt;=COLUMNS($A60:L60), Source!$E60, "")</f>
        <v/>
      </c>
      <c r="M60" s="2" t="str">
        <f>IF(Source!$C60&gt;=COLUMNS($A60:M60), Source!$E60, "")</f>
        <v/>
      </c>
      <c r="N60" s="2" t="str">
        <f>IF(Source!$C60&gt;=COLUMNS($A60:N60), Source!$E60, "")</f>
        <v/>
      </c>
      <c r="O60" s="2" t="str">
        <f>IF(Source!$C60&gt;=COLUMNS($A60:O60), Source!$E60, "")</f>
        <v/>
      </c>
      <c r="P60" s="2" t="str">
        <f>IF(Source!$C60&gt;=COLUMNS($A60:P60), Source!$E60, "")</f>
        <v/>
      </c>
      <c r="Q60" s="2" t="str">
        <f>IF(Source!$C60&gt;=COLUMNS($A60:Q60), Source!$E60, "")</f>
        <v/>
      </c>
      <c r="R60" s="2" t="str">
        <f>IF(Source!$C60&gt;=COLUMNS($A60:R60), Source!$E60, "")</f>
        <v/>
      </c>
      <c r="S60" s="2" t="str">
        <f>IF(Source!$C60&gt;=COLUMNS($A60:S60), Source!$E60, "")</f>
        <v/>
      </c>
      <c r="T60" s="2" t="str">
        <f>IF(Source!$C60&gt;=COLUMNS($A60:T60), Source!$E60, "")</f>
        <v/>
      </c>
      <c r="U60" s="2" t="str">
        <f>IF(Source!$C60&gt;=COLUMNS($A60:U60), Source!$E60, "")</f>
        <v/>
      </c>
      <c r="V60" s="2" t="str">
        <f>IF(Source!$C60&gt;=COLUMNS($A60:V60), Source!$E60, "")</f>
        <v/>
      </c>
      <c r="W60" s="2" t="str">
        <f>IF(Source!$C60&gt;=COLUMNS($A60:W60), Source!$E60, "")</f>
        <v/>
      </c>
      <c r="X60" s="2" t="str">
        <f>IF(Source!$C60&gt;=COLUMNS($A60:X60), Source!$E60, "")</f>
        <v/>
      </c>
      <c r="Y60" s="2" t="str">
        <f>IF(Source!$C60&gt;=COLUMNS($A60:Y60), Source!$E60, "")</f>
        <v/>
      </c>
      <c r="Z60" s="2" t="str">
        <f>IF(Source!$C60&gt;=COLUMNS($A60:Z60), Source!$E60, "")</f>
        <v/>
      </c>
      <c r="AA60" s="2" t="str">
        <f>IF(Source!$C60&gt;=COLUMNS($A60:AA60), Source!$E60, "")</f>
        <v/>
      </c>
      <c r="AB60" s="2" t="str">
        <f>IF(Source!$C60&gt;=COLUMNS($A60:AB60), Source!$E60, "")</f>
        <v/>
      </c>
      <c r="AC60" s="2" t="str">
        <f>IF(Source!$C60&gt;=COLUMNS($A60:AC60), Source!$E60, "")</f>
        <v/>
      </c>
      <c r="AD60" s="2" t="str">
        <f>IF(Source!$C60&gt;=COLUMNS($A60:AD60), Source!$E60, "")</f>
        <v/>
      </c>
      <c r="AE60" s="2" t="str">
        <f>IF(Source!$C60&gt;=COLUMNS($A60:AE60), Source!$E60, "")</f>
        <v/>
      </c>
      <c r="AF60" s="2" t="str">
        <f>IF(Source!$C60&gt;=COLUMNS($A60:AF60), Source!$E60, "")</f>
        <v/>
      </c>
      <c r="AG60" s="2" t="str">
        <f>IF(Source!$C60&gt;=COLUMNS($A60:AG60), Source!$E60, "")</f>
        <v/>
      </c>
      <c r="AH60" s="2" t="str">
        <f>IF(Source!$C60&gt;=COLUMNS($A60:AH60), Source!$E60, "")</f>
        <v/>
      </c>
      <c r="AI60" s="2" t="str">
        <f>IF(Source!$C60&gt;=COLUMNS($A60:AI60), Source!$E60, "")</f>
        <v/>
      </c>
      <c r="AJ60" s="2" t="str">
        <f>IF(Source!$C60&gt;=COLUMNS($A60:AJ60), Source!$E60, "")</f>
        <v/>
      </c>
      <c r="AK60" s="2" t="str">
        <f>IF(Source!$C60&gt;=COLUMNS($A60:AK60), Source!$E60, "")</f>
        <v/>
      </c>
      <c r="AL60" s="2" t="str">
        <f>IF(Source!$C60&gt;=COLUMNS($A60:AL60), Source!$E60, "")</f>
        <v/>
      </c>
      <c r="AM60" s="2" t="str">
        <f>IF(Source!$C60&gt;=COLUMNS($A60:AM60), Source!$E60, "")</f>
        <v/>
      </c>
      <c r="AN60" s="2" t="str">
        <f>IF(Source!$C60&gt;=COLUMNS($A60:AN60), Source!$E60, "")</f>
        <v/>
      </c>
      <c r="AO60" s="2" t="str">
        <f>IF(Source!$C60&gt;=COLUMNS($A60:AO60), Source!$E60, "")</f>
        <v/>
      </c>
      <c r="AP60" s="2" t="str">
        <f>IF(Source!$C60&gt;=COLUMNS($A60:AP60), Source!$E60, "")</f>
        <v/>
      </c>
      <c r="AQ60" s="2" t="str">
        <f>IF(Source!$C60&gt;=COLUMNS($A60:AQ60), Source!$E60, "")</f>
        <v/>
      </c>
      <c r="AR60" s="2" t="str">
        <f>IF(Source!$C60&gt;=COLUMNS($A60:AR60), Source!$E60, "")</f>
        <v/>
      </c>
    </row>
    <row r="61">
      <c r="A61" s="2">
        <f>IF(Source!$C61&gt;=COLUMNS($A61:A61), Source!$E61, "")</f>
        <v>1</v>
      </c>
      <c r="B61" s="2" t="str">
        <f>IF(Source!$C61&gt;=COLUMNS($A61:B61), Source!$E61, "")</f>
        <v/>
      </c>
      <c r="C61" s="2" t="str">
        <f>IF(Source!$C61&gt;=COLUMNS($A61:C61), Source!$E61, "")</f>
        <v/>
      </c>
      <c r="D61" s="2" t="str">
        <f>IF(Source!$C61&gt;=COLUMNS($A61:D61), Source!$E61, "")</f>
        <v/>
      </c>
      <c r="E61" s="2" t="str">
        <f>IF(Source!$C61&gt;=COLUMNS($A61:E61), Source!$E61, "")</f>
        <v/>
      </c>
      <c r="F61" s="2" t="str">
        <f>IF(Source!$C61&gt;=COLUMNS($A61:F61), Source!$E61, "")</f>
        <v/>
      </c>
      <c r="G61" s="2" t="str">
        <f>IF(Source!$C61&gt;=COLUMNS($A61:G61), Source!$E61, "")</f>
        <v/>
      </c>
      <c r="H61" s="2" t="str">
        <f>IF(Source!$C61&gt;=COLUMNS($A61:H61), Source!$E61, "")</f>
        <v/>
      </c>
      <c r="I61" s="2" t="str">
        <f>IF(Source!$C61&gt;=COLUMNS($A61:I61), Source!$E61, "")</f>
        <v/>
      </c>
      <c r="J61" s="2" t="str">
        <f>IF(Source!$C61&gt;=COLUMNS($A61:J61), Source!$E61, "")</f>
        <v/>
      </c>
      <c r="K61" s="2" t="str">
        <f>IF(Source!$C61&gt;=COLUMNS($A61:K61), Source!$E61, "")</f>
        <v/>
      </c>
      <c r="L61" s="2" t="str">
        <f>IF(Source!$C61&gt;=COLUMNS($A61:L61), Source!$E61, "")</f>
        <v/>
      </c>
      <c r="M61" s="2" t="str">
        <f>IF(Source!$C61&gt;=COLUMNS($A61:M61), Source!$E61, "")</f>
        <v/>
      </c>
      <c r="N61" s="2" t="str">
        <f>IF(Source!$C61&gt;=COLUMNS($A61:N61), Source!$E61, "")</f>
        <v/>
      </c>
      <c r="O61" s="2" t="str">
        <f>IF(Source!$C61&gt;=COLUMNS($A61:O61), Source!$E61, "")</f>
        <v/>
      </c>
      <c r="P61" s="2" t="str">
        <f>IF(Source!$C61&gt;=COLUMNS($A61:P61), Source!$E61, "")</f>
        <v/>
      </c>
      <c r="Q61" s="2" t="str">
        <f>IF(Source!$C61&gt;=COLUMNS($A61:Q61), Source!$E61, "")</f>
        <v/>
      </c>
      <c r="R61" s="2" t="str">
        <f>IF(Source!$C61&gt;=COLUMNS($A61:R61), Source!$E61, "")</f>
        <v/>
      </c>
      <c r="S61" s="2" t="str">
        <f>IF(Source!$C61&gt;=COLUMNS($A61:S61), Source!$E61, "")</f>
        <v/>
      </c>
      <c r="T61" s="2" t="str">
        <f>IF(Source!$C61&gt;=COLUMNS($A61:T61), Source!$E61, "")</f>
        <v/>
      </c>
      <c r="U61" s="2" t="str">
        <f>IF(Source!$C61&gt;=COLUMNS($A61:U61), Source!$E61, "")</f>
        <v/>
      </c>
      <c r="V61" s="2" t="str">
        <f>IF(Source!$C61&gt;=COLUMNS($A61:V61), Source!$E61, "")</f>
        <v/>
      </c>
      <c r="W61" s="2" t="str">
        <f>IF(Source!$C61&gt;=COLUMNS($A61:W61), Source!$E61, "")</f>
        <v/>
      </c>
      <c r="X61" s="2" t="str">
        <f>IF(Source!$C61&gt;=COLUMNS($A61:X61), Source!$E61, "")</f>
        <v/>
      </c>
      <c r="Y61" s="2" t="str">
        <f>IF(Source!$C61&gt;=COLUMNS($A61:Y61), Source!$E61, "")</f>
        <v/>
      </c>
      <c r="Z61" s="2" t="str">
        <f>IF(Source!$C61&gt;=COLUMNS($A61:Z61), Source!$E61, "")</f>
        <v/>
      </c>
      <c r="AA61" s="2" t="str">
        <f>IF(Source!$C61&gt;=COLUMNS($A61:AA61), Source!$E61, "")</f>
        <v/>
      </c>
      <c r="AB61" s="2" t="str">
        <f>IF(Source!$C61&gt;=COLUMNS($A61:AB61), Source!$E61, "")</f>
        <v/>
      </c>
      <c r="AC61" s="2" t="str">
        <f>IF(Source!$C61&gt;=COLUMNS($A61:AC61), Source!$E61, "")</f>
        <v/>
      </c>
      <c r="AD61" s="2" t="str">
        <f>IF(Source!$C61&gt;=COLUMNS($A61:AD61), Source!$E61, "")</f>
        <v/>
      </c>
      <c r="AE61" s="2" t="str">
        <f>IF(Source!$C61&gt;=COLUMNS($A61:AE61), Source!$E61, "")</f>
        <v/>
      </c>
      <c r="AF61" s="2" t="str">
        <f>IF(Source!$C61&gt;=COLUMNS($A61:AF61), Source!$E61, "")</f>
        <v/>
      </c>
      <c r="AG61" s="2" t="str">
        <f>IF(Source!$C61&gt;=COLUMNS($A61:AG61), Source!$E61, "")</f>
        <v/>
      </c>
      <c r="AH61" s="2" t="str">
        <f>IF(Source!$C61&gt;=COLUMNS($A61:AH61), Source!$E61, "")</f>
        <v/>
      </c>
      <c r="AI61" s="2" t="str">
        <f>IF(Source!$C61&gt;=COLUMNS($A61:AI61), Source!$E61, "")</f>
        <v/>
      </c>
      <c r="AJ61" s="2" t="str">
        <f>IF(Source!$C61&gt;=COLUMNS($A61:AJ61), Source!$E61, "")</f>
        <v/>
      </c>
      <c r="AK61" s="2" t="str">
        <f>IF(Source!$C61&gt;=COLUMNS($A61:AK61), Source!$E61, "")</f>
        <v/>
      </c>
      <c r="AL61" s="2" t="str">
        <f>IF(Source!$C61&gt;=COLUMNS($A61:AL61), Source!$E61, "")</f>
        <v/>
      </c>
      <c r="AM61" s="2" t="str">
        <f>IF(Source!$C61&gt;=COLUMNS($A61:AM61), Source!$E61, "")</f>
        <v/>
      </c>
      <c r="AN61" s="2" t="str">
        <f>IF(Source!$C61&gt;=COLUMNS($A61:AN61), Source!$E61, "")</f>
        <v/>
      </c>
      <c r="AO61" s="2" t="str">
        <f>IF(Source!$C61&gt;=COLUMNS($A61:AO61), Source!$E61, "")</f>
        <v/>
      </c>
      <c r="AP61" s="2" t="str">
        <f>IF(Source!$C61&gt;=COLUMNS($A61:AP61), Source!$E61, "")</f>
        <v/>
      </c>
      <c r="AQ61" s="2" t="str">
        <f>IF(Source!$C61&gt;=COLUMNS($A61:AQ61), Source!$E61, "")</f>
        <v/>
      </c>
      <c r="AR61" s="2" t="str">
        <f>IF(Source!$C61&gt;=COLUMNS($A61:AR61), Source!$E61, "")</f>
        <v/>
      </c>
    </row>
    <row r="62">
      <c r="A62" s="2">
        <f>IF(Source!$C62&gt;=COLUMNS($A62:A62), Source!$E62, "")</f>
        <v>4</v>
      </c>
      <c r="B62" s="2">
        <f>IF(Source!$C62&gt;=COLUMNS($A62:B62), Source!$E62, "")</f>
        <v>4</v>
      </c>
      <c r="C62" s="2">
        <f>IF(Source!$C62&gt;=COLUMNS($A62:C62), Source!$E62, "")</f>
        <v>4</v>
      </c>
      <c r="D62" s="2">
        <f>IF(Source!$C62&gt;=COLUMNS($A62:D62), Source!$E62, "")</f>
        <v>4</v>
      </c>
      <c r="E62" s="2">
        <f>IF(Source!$C62&gt;=COLUMNS($A62:E62), Source!$E62, "")</f>
        <v>4</v>
      </c>
      <c r="F62" s="2">
        <f>IF(Source!$C62&gt;=COLUMNS($A62:F62), Source!$E62, "")</f>
        <v>4</v>
      </c>
      <c r="G62" s="2">
        <f>IF(Source!$C62&gt;=COLUMNS($A62:G62), Source!$E62, "")</f>
        <v>4</v>
      </c>
      <c r="H62" s="2">
        <f>IF(Source!$C62&gt;=COLUMNS($A62:H62), Source!$E62, "")</f>
        <v>4</v>
      </c>
      <c r="I62" s="2">
        <f>IF(Source!$C62&gt;=COLUMNS($A62:I62), Source!$E62, "")</f>
        <v>4</v>
      </c>
      <c r="J62" s="2">
        <f>IF(Source!$C62&gt;=COLUMNS($A62:J62), Source!$E62, "")</f>
        <v>4</v>
      </c>
      <c r="K62" s="2">
        <f>IF(Source!$C62&gt;=COLUMNS($A62:K62), Source!$E62, "")</f>
        <v>4</v>
      </c>
      <c r="L62" s="2">
        <f>IF(Source!$C62&gt;=COLUMNS($A62:L62), Source!$E62, "")</f>
        <v>4</v>
      </c>
      <c r="M62" s="2">
        <f>IF(Source!$C62&gt;=COLUMNS($A62:M62), Source!$E62, "")</f>
        <v>4</v>
      </c>
      <c r="N62" s="2">
        <f>IF(Source!$C62&gt;=COLUMNS($A62:N62), Source!$E62, "")</f>
        <v>4</v>
      </c>
      <c r="O62" s="2" t="str">
        <f>IF(Source!$C62&gt;=COLUMNS($A62:O62), Source!$E62, "")</f>
        <v/>
      </c>
      <c r="P62" s="2" t="str">
        <f>IF(Source!$C62&gt;=COLUMNS($A62:P62), Source!$E62, "")</f>
        <v/>
      </c>
      <c r="Q62" s="2" t="str">
        <f>IF(Source!$C62&gt;=COLUMNS($A62:Q62), Source!$E62, "")</f>
        <v/>
      </c>
      <c r="R62" s="2" t="str">
        <f>IF(Source!$C62&gt;=COLUMNS($A62:R62), Source!$E62, "")</f>
        <v/>
      </c>
      <c r="S62" s="2" t="str">
        <f>IF(Source!$C62&gt;=COLUMNS($A62:S62), Source!$E62, "")</f>
        <v/>
      </c>
      <c r="T62" s="2" t="str">
        <f>IF(Source!$C62&gt;=COLUMNS($A62:T62), Source!$E62, "")</f>
        <v/>
      </c>
      <c r="U62" s="2" t="str">
        <f>IF(Source!$C62&gt;=COLUMNS($A62:U62), Source!$E62, "")</f>
        <v/>
      </c>
      <c r="V62" s="2" t="str">
        <f>IF(Source!$C62&gt;=COLUMNS($A62:V62), Source!$E62, "")</f>
        <v/>
      </c>
      <c r="W62" s="2" t="str">
        <f>IF(Source!$C62&gt;=COLUMNS($A62:W62), Source!$E62, "")</f>
        <v/>
      </c>
      <c r="X62" s="2" t="str">
        <f>IF(Source!$C62&gt;=COLUMNS($A62:X62), Source!$E62, "")</f>
        <v/>
      </c>
      <c r="Y62" s="2" t="str">
        <f>IF(Source!$C62&gt;=COLUMNS($A62:Y62), Source!$E62, "")</f>
        <v/>
      </c>
      <c r="Z62" s="2" t="str">
        <f>IF(Source!$C62&gt;=COLUMNS($A62:Z62), Source!$E62, "")</f>
        <v/>
      </c>
      <c r="AA62" s="2" t="str">
        <f>IF(Source!$C62&gt;=COLUMNS($A62:AA62), Source!$E62, "")</f>
        <v/>
      </c>
      <c r="AB62" s="2" t="str">
        <f>IF(Source!$C62&gt;=COLUMNS($A62:AB62), Source!$E62, "")</f>
        <v/>
      </c>
      <c r="AC62" s="2" t="str">
        <f>IF(Source!$C62&gt;=COLUMNS($A62:AC62), Source!$E62, "")</f>
        <v/>
      </c>
      <c r="AD62" s="2" t="str">
        <f>IF(Source!$C62&gt;=COLUMNS($A62:AD62), Source!$E62, "")</f>
        <v/>
      </c>
      <c r="AE62" s="2" t="str">
        <f>IF(Source!$C62&gt;=COLUMNS($A62:AE62), Source!$E62, "")</f>
        <v/>
      </c>
      <c r="AF62" s="2" t="str">
        <f>IF(Source!$C62&gt;=COLUMNS($A62:AF62), Source!$E62, "")</f>
        <v/>
      </c>
      <c r="AG62" s="2" t="str">
        <f>IF(Source!$C62&gt;=COLUMNS($A62:AG62), Source!$E62, "")</f>
        <v/>
      </c>
      <c r="AH62" s="2" t="str">
        <f>IF(Source!$C62&gt;=COLUMNS($A62:AH62), Source!$E62, "")</f>
        <v/>
      </c>
      <c r="AI62" s="2" t="str">
        <f>IF(Source!$C62&gt;=COLUMNS($A62:AI62), Source!$E62, "")</f>
        <v/>
      </c>
      <c r="AJ62" s="2" t="str">
        <f>IF(Source!$C62&gt;=COLUMNS($A62:AJ62), Source!$E62, "")</f>
        <v/>
      </c>
      <c r="AK62" s="2" t="str">
        <f>IF(Source!$C62&gt;=COLUMNS($A62:AK62), Source!$E62, "")</f>
        <v/>
      </c>
      <c r="AL62" s="2" t="str">
        <f>IF(Source!$C62&gt;=COLUMNS($A62:AL62), Source!$E62, "")</f>
        <v/>
      </c>
      <c r="AM62" s="2" t="str">
        <f>IF(Source!$C62&gt;=COLUMNS($A62:AM62), Source!$E62, "")</f>
        <v/>
      </c>
      <c r="AN62" s="2" t="str">
        <f>IF(Source!$C62&gt;=COLUMNS($A62:AN62), Source!$E62, "")</f>
        <v/>
      </c>
      <c r="AO62" s="2" t="str">
        <f>IF(Source!$C62&gt;=COLUMNS($A62:AO62), Source!$E62, "")</f>
        <v/>
      </c>
      <c r="AP62" s="2" t="str">
        <f>IF(Source!$C62&gt;=COLUMNS($A62:AP62), Source!$E62, "")</f>
        <v/>
      </c>
      <c r="AQ62" s="2" t="str">
        <f>IF(Source!$C62&gt;=COLUMNS($A62:AQ62), Source!$E62, "")</f>
        <v/>
      </c>
      <c r="AR62" s="2" t="str">
        <f>IF(Source!$C62&gt;=COLUMNS($A62:AR62), Source!$E62, "")</f>
        <v/>
      </c>
    </row>
    <row r="63">
      <c r="A63" s="2">
        <f>IF(Source!$C63&gt;=COLUMNS($A63:A63), Source!$E63, "")</f>
        <v>9</v>
      </c>
      <c r="B63" s="2">
        <f>IF(Source!$C63&gt;=COLUMNS($A63:B63), Source!$E63, "")</f>
        <v>9</v>
      </c>
      <c r="C63" s="2">
        <f>IF(Source!$C63&gt;=COLUMNS($A63:C63), Source!$E63, "")</f>
        <v>9</v>
      </c>
      <c r="D63" s="2" t="str">
        <f>IF(Source!$C63&gt;=COLUMNS($A63:D63), Source!$E63, "")</f>
        <v/>
      </c>
      <c r="E63" s="2" t="str">
        <f>IF(Source!$C63&gt;=COLUMNS($A63:E63), Source!$E63, "")</f>
        <v/>
      </c>
      <c r="F63" s="2" t="str">
        <f>IF(Source!$C63&gt;=COLUMNS($A63:F63), Source!$E63, "")</f>
        <v/>
      </c>
      <c r="G63" s="2" t="str">
        <f>IF(Source!$C63&gt;=COLUMNS($A63:G63), Source!$E63, "")</f>
        <v/>
      </c>
      <c r="H63" s="2" t="str">
        <f>IF(Source!$C63&gt;=COLUMNS($A63:H63), Source!$E63, "")</f>
        <v/>
      </c>
      <c r="I63" s="2" t="str">
        <f>IF(Source!$C63&gt;=COLUMNS($A63:I63), Source!$E63, "")</f>
        <v/>
      </c>
      <c r="J63" s="2" t="str">
        <f>IF(Source!$C63&gt;=COLUMNS($A63:J63), Source!$E63, "")</f>
        <v/>
      </c>
      <c r="K63" s="2" t="str">
        <f>IF(Source!$C63&gt;=COLUMNS($A63:K63), Source!$E63, "")</f>
        <v/>
      </c>
      <c r="L63" s="2" t="str">
        <f>IF(Source!$C63&gt;=COLUMNS($A63:L63), Source!$E63, "")</f>
        <v/>
      </c>
      <c r="M63" s="2" t="str">
        <f>IF(Source!$C63&gt;=COLUMNS($A63:M63), Source!$E63, "")</f>
        <v/>
      </c>
      <c r="N63" s="2" t="str">
        <f>IF(Source!$C63&gt;=COLUMNS($A63:N63), Source!$E63, "")</f>
        <v/>
      </c>
      <c r="O63" s="2" t="str">
        <f>IF(Source!$C63&gt;=COLUMNS($A63:O63), Source!$E63, "")</f>
        <v/>
      </c>
      <c r="P63" s="2" t="str">
        <f>IF(Source!$C63&gt;=COLUMNS($A63:P63), Source!$E63, "")</f>
        <v/>
      </c>
      <c r="Q63" s="2" t="str">
        <f>IF(Source!$C63&gt;=COLUMNS($A63:Q63), Source!$E63, "")</f>
        <v/>
      </c>
      <c r="R63" s="2" t="str">
        <f>IF(Source!$C63&gt;=COLUMNS($A63:R63), Source!$E63, "")</f>
        <v/>
      </c>
      <c r="S63" s="2" t="str">
        <f>IF(Source!$C63&gt;=COLUMNS($A63:S63), Source!$E63, "")</f>
        <v/>
      </c>
      <c r="T63" s="2" t="str">
        <f>IF(Source!$C63&gt;=COLUMNS($A63:T63), Source!$E63, "")</f>
        <v/>
      </c>
      <c r="U63" s="2" t="str">
        <f>IF(Source!$C63&gt;=COLUMNS($A63:U63), Source!$E63, "")</f>
        <v/>
      </c>
      <c r="V63" s="2" t="str">
        <f>IF(Source!$C63&gt;=COLUMNS($A63:V63), Source!$E63, "")</f>
        <v/>
      </c>
      <c r="W63" s="2" t="str">
        <f>IF(Source!$C63&gt;=COLUMNS($A63:W63), Source!$E63, "")</f>
        <v/>
      </c>
      <c r="X63" s="2" t="str">
        <f>IF(Source!$C63&gt;=COLUMNS($A63:X63), Source!$E63, "")</f>
        <v/>
      </c>
      <c r="Y63" s="2" t="str">
        <f>IF(Source!$C63&gt;=COLUMNS($A63:Y63), Source!$E63, "")</f>
        <v/>
      </c>
      <c r="Z63" s="2" t="str">
        <f>IF(Source!$C63&gt;=COLUMNS($A63:Z63), Source!$E63, "")</f>
        <v/>
      </c>
      <c r="AA63" s="2" t="str">
        <f>IF(Source!$C63&gt;=COLUMNS($A63:AA63), Source!$E63, "")</f>
        <v/>
      </c>
      <c r="AB63" s="2" t="str">
        <f>IF(Source!$C63&gt;=COLUMNS($A63:AB63), Source!$E63, "")</f>
        <v/>
      </c>
      <c r="AC63" s="2" t="str">
        <f>IF(Source!$C63&gt;=COLUMNS($A63:AC63), Source!$E63, "")</f>
        <v/>
      </c>
      <c r="AD63" s="2" t="str">
        <f>IF(Source!$C63&gt;=COLUMNS($A63:AD63), Source!$E63, "")</f>
        <v/>
      </c>
      <c r="AE63" s="2" t="str">
        <f>IF(Source!$C63&gt;=COLUMNS($A63:AE63), Source!$E63, "")</f>
        <v/>
      </c>
      <c r="AF63" s="2" t="str">
        <f>IF(Source!$C63&gt;=COLUMNS($A63:AF63), Source!$E63, "")</f>
        <v/>
      </c>
      <c r="AG63" s="2" t="str">
        <f>IF(Source!$C63&gt;=COLUMNS($A63:AG63), Source!$E63, "")</f>
        <v/>
      </c>
      <c r="AH63" s="2" t="str">
        <f>IF(Source!$C63&gt;=COLUMNS($A63:AH63), Source!$E63, "")</f>
        <v/>
      </c>
      <c r="AI63" s="2" t="str">
        <f>IF(Source!$C63&gt;=COLUMNS($A63:AI63), Source!$E63, "")</f>
        <v/>
      </c>
      <c r="AJ63" s="2" t="str">
        <f>IF(Source!$C63&gt;=COLUMNS($A63:AJ63), Source!$E63, "")</f>
        <v/>
      </c>
      <c r="AK63" s="2" t="str">
        <f>IF(Source!$C63&gt;=COLUMNS($A63:AK63), Source!$E63, "")</f>
        <v/>
      </c>
      <c r="AL63" s="2" t="str">
        <f>IF(Source!$C63&gt;=COLUMNS($A63:AL63), Source!$E63, "")</f>
        <v/>
      </c>
      <c r="AM63" s="2" t="str">
        <f>IF(Source!$C63&gt;=COLUMNS($A63:AM63), Source!$E63, "")</f>
        <v/>
      </c>
      <c r="AN63" s="2" t="str">
        <f>IF(Source!$C63&gt;=COLUMNS($A63:AN63), Source!$E63, "")</f>
        <v/>
      </c>
      <c r="AO63" s="2" t="str">
        <f>IF(Source!$C63&gt;=COLUMNS($A63:AO63), Source!$E63, "")</f>
        <v/>
      </c>
      <c r="AP63" s="2" t="str">
        <f>IF(Source!$C63&gt;=COLUMNS($A63:AP63), Source!$E63, "")</f>
        <v/>
      </c>
      <c r="AQ63" s="2" t="str">
        <f>IF(Source!$C63&gt;=COLUMNS($A63:AQ63), Source!$E63, "")</f>
        <v/>
      </c>
      <c r="AR63" s="2" t="str">
        <f>IF(Source!$C63&gt;=COLUMNS($A63:AR63), Source!$E63, "")</f>
        <v/>
      </c>
    </row>
    <row r="64">
      <c r="A64" s="2">
        <f>IF(Source!$C64&gt;=COLUMNS($A64:A64), Source!$E64, "")</f>
        <v>5</v>
      </c>
      <c r="B64" s="2">
        <f>IF(Source!$C64&gt;=COLUMNS($A64:B64), Source!$E64, "")</f>
        <v>5</v>
      </c>
      <c r="C64" s="2">
        <f>IF(Source!$C64&gt;=COLUMNS($A64:C64), Source!$E64, "")</f>
        <v>5</v>
      </c>
      <c r="D64" s="2">
        <f>IF(Source!$C64&gt;=COLUMNS($A64:D64), Source!$E64, "")</f>
        <v>5</v>
      </c>
      <c r="E64" s="2" t="str">
        <f>IF(Source!$C64&gt;=COLUMNS($A64:E64), Source!$E64, "")</f>
        <v/>
      </c>
      <c r="F64" s="2" t="str">
        <f>IF(Source!$C64&gt;=COLUMNS($A64:F64), Source!$E64, "")</f>
        <v/>
      </c>
      <c r="G64" s="2" t="str">
        <f>IF(Source!$C64&gt;=COLUMNS($A64:G64), Source!$E64, "")</f>
        <v/>
      </c>
      <c r="H64" s="2" t="str">
        <f>IF(Source!$C64&gt;=COLUMNS($A64:H64), Source!$E64, "")</f>
        <v/>
      </c>
      <c r="I64" s="2" t="str">
        <f>IF(Source!$C64&gt;=COLUMNS($A64:I64), Source!$E64, "")</f>
        <v/>
      </c>
      <c r="J64" s="2" t="str">
        <f>IF(Source!$C64&gt;=COLUMNS($A64:J64), Source!$E64, "")</f>
        <v/>
      </c>
      <c r="K64" s="2" t="str">
        <f>IF(Source!$C64&gt;=COLUMNS($A64:K64), Source!$E64, "")</f>
        <v/>
      </c>
      <c r="L64" s="2" t="str">
        <f>IF(Source!$C64&gt;=COLUMNS($A64:L64), Source!$E64, "")</f>
        <v/>
      </c>
      <c r="M64" s="2" t="str">
        <f>IF(Source!$C64&gt;=COLUMNS($A64:M64), Source!$E64, "")</f>
        <v/>
      </c>
      <c r="N64" s="2" t="str">
        <f>IF(Source!$C64&gt;=COLUMNS($A64:N64), Source!$E64, "")</f>
        <v/>
      </c>
      <c r="O64" s="2" t="str">
        <f>IF(Source!$C64&gt;=COLUMNS($A64:O64), Source!$E64, "")</f>
        <v/>
      </c>
      <c r="P64" s="2" t="str">
        <f>IF(Source!$C64&gt;=COLUMNS($A64:P64), Source!$E64, "")</f>
        <v/>
      </c>
      <c r="Q64" s="2" t="str">
        <f>IF(Source!$C64&gt;=COLUMNS($A64:Q64), Source!$E64, "")</f>
        <v/>
      </c>
      <c r="R64" s="2" t="str">
        <f>IF(Source!$C64&gt;=COLUMNS($A64:R64), Source!$E64, "")</f>
        <v/>
      </c>
      <c r="S64" s="2" t="str">
        <f>IF(Source!$C64&gt;=COLUMNS($A64:S64), Source!$E64, "")</f>
        <v/>
      </c>
      <c r="T64" s="2" t="str">
        <f>IF(Source!$C64&gt;=COLUMNS($A64:T64), Source!$E64, "")</f>
        <v/>
      </c>
      <c r="U64" s="2" t="str">
        <f>IF(Source!$C64&gt;=COLUMNS($A64:U64), Source!$E64, "")</f>
        <v/>
      </c>
      <c r="V64" s="2" t="str">
        <f>IF(Source!$C64&gt;=COLUMNS($A64:V64), Source!$E64, "")</f>
        <v/>
      </c>
      <c r="W64" s="2" t="str">
        <f>IF(Source!$C64&gt;=COLUMNS($A64:W64), Source!$E64, "")</f>
        <v/>
      </c>
      <c r="X64" s="2" t="str">
        <f>IF(Source!$C64&gt;=COLUMNS($A64:X64), Source!$E64, "")</f>
        <v/>
      </c>
      <c r="Y64" s="2" t="str">
        <f>IF(Source!$C64&gt;=COLUMNS($A64:Y64), Source!$E64, "")</f>
        <v/>
      </c>
      <c r="Z64" s="2" t="str">
        <f>IF(Source!$C64&gt;=COLUMNS($A64:Z64), Source!$E64, "")</f>
        <v/>
      </c>
      <c r="AA64" s="2" t="str">
        <f>IF(Source!$C64&gt;=COLUMNS($A64:AA64), Source!$E64, "")</f>
        <v/>
      </c>
      <c r="AB64" s="2" t="str">
        <f>IF(Source!$C64&gt;=COLUMNS($A64:AB64), Source!$E64, "")</f>
        <v/>
      </c>
      <c r="AC64" s="2" t="str">
        <f>IF(Source!$C64&gt;=COLUMNS($A64:AC64), Source!$E64, "")</f>
        <v/>
      </c>
      <c r="AD64" s="2" t="str">
        <f>IF(Source!$C64&gt;=COLUMNS($A64:AD64), Source!$E64, "")</f>
        <v/>
      </c>
      <c r="AE64" s="2" t="str">
        <f>IF(Source!$C64&gt;=COLUMNS($A64:AE64), Source!$E64, "")</f>
        <v/>
      </c>
      <c r="AF64" s="2" t="str">
        <f>IF(Source!$C64&gt;=COLUMNS($A64:AF64), Source!$E64, "")</f>
        <v/>
      </c>
      <c r="AG64" s="2" t="str">
        <f>IF(Source!$C64&gt;=COLUMNS($A64:AG64), Source!$E64, "")</f>
        <v/>
      </c>
      <c r="AH64" s="2" t="str">
        <f>IF(Source!$C64&gt;=COLUMNS($A64:AH64), Source!$E64, "")</f>
        <v/>
      </c>
      <c r="AI64" s="2" t="str">
        <f>IF(Source!$C64&gt;=COLUMNS($A64:AI64), Source!$E64, "")</f>
        <v/>
      </c>
      <c r="AJ64" s="2" t="str">
        <f>IF(Source!$C64&gt;=COLUMNS($A64:AJ64), Source!$E64, "")</f>
        <v/>
      </c>
      <c r="AK64" s="2" t="str">
        <f>IF(Source!$C64&gt;=COLUMNS($A64:AK64), Source!$E64, "")</f>
        <v/>
      </c>
      <c r="AL64" s="2" t="str">
        <f>IF(Source!$C64&gt;=COLUMNS($A64:AL64), Source!$E64, "")</f>
        <v/>
      </c>
      <c r="AM64" s="2" t="str">
        <f>IF(Source!$C64&gt;=COLUMNS($A64:AM64), Source!$E64, "")</f>
        <v/>
      </c>
      <c r="AN64" s="2" t="str">
        <f>IF(Source!$C64&gt;=COLUMNS($A64:AN64), Source!$E64, "")</f>
        <v/>
      </c>
      <c r="AO64" s="2" t="str">
        <f>IF(Source!$C64&gt;=COLUMNS($A64:AO64), Source!$E64, "")</f>
        <v/>
      </c>
      <c r="AP64" s="2" t="str">
        <f>IF(Source!$C64&gt;=COLUMNS($A64:AP64), Source!$E64, "")</f>
        <v/>
      </c>
      <c r="AQ64" s="2" t="str">
        <f>IF(Source!$C64&gt;=COLUMNS($A64:AQ64), Source!$E64, "")</f>
        <v/>
      </c>
      <c r="AR64" s="2" t="str">
        <f>IF(Source!$C64&gt;=COLUMNS($A64:AR64), Source!$E64, "")</f>
        <v/>
      </c>
    </row>
    <row r="65">
      <c r="A65" s="2">
        <f>IF(Source!$C65&gt;=COLUMNS($A65:A65), Source!$E65, "")</f>
        <v>4</v>
      </c>
      <c r="B65" s="2">
        <f>IF(Source!$C65&gt;=COLUMNS($A65:B65), Source!$E65, "")</f>
        <v>4</v>
      </c>
      <c r="C65" s="2" t="str">
        <f>IF(Source!$C65&gt;=COLUMNS($A65:C65), Source!$E65, "")</f>
        <v/>
      </c>
      <c r="D65" s="2" t="str">
        <f>IF(Source!$C65&gt;=COLUMNS($A65:D65), Source!$E65, "")</f>
        <v/>
      </c>
      <c r="E65" s="2" t="str">
        <f>IF(Source!$C65&gt;=COLUMNS($A65:E65), Source!$E65, "")</f>
        <v/>
      </c>
      <c r="F65" s="2" t="str">
        <f>IF(Source!$C65&gt;=COLUMNS($A65:F65), Source!$E65, "")</f>
        <v/>
      </c>
      <c r="G65" s="2" t="str">
        <f>IF(Source!$C65&gt;=COLUMNS($A65:G65), Source!$E65, "")</f>
        <v/>
      </c>
      <c r="H65" s="2" t="str">
        <f>IF(Source!$C65&gt;=COLUMNS($A65:H65), Source!$E65, "")</f>
        <v/>
      </c>
      <c r="I65" s="2" t="str">
        <f>IF(Source!$C65&gt;=COLUMNS($A65:I65), Source!$E65, "")</f>
        <v/>
      </c>
      <c r="J65" s="2" t="str">
        <f>IF(Source!$C65&gt;=COLUMNS($A65:J65), Source!$E65, "")</f>
        <v/>
      </c>
      <c r="K65" s="2" t="str">
        <f>IF(Source!$C65&gt;=COLUMNS($A65:K65), Source!$E65, "")</f>
        <v/>
      </c>
      <c r="L65" s="2" t="str">
        <f>IF(Source!$C65&gt;=COLUMNS($A65:L65), Source!$E65, "")</f>
        <v/>
      </c>
      <c r="M65" s="2" t="str">
        <f>IF(Source!$C65&gt;=COLUMNS($A65:M65), Source!$E65, "")</f>
        <v/>
      </c>
      <c r="N65" s="2" t="str">
        <f>IF(Source!$C65&gt;=COLUMNS($A65:N65), Source!$E65, "")</f>
        <v/>
      </c>
      <c r="O65" s="2" t="str">
        <f>IF(Source!$C65&gt;=COLUMNS($A65:O65), Source!$E65, "")</f>
        <v/>
      </c>
      <c r="P65" s="2" t="str">
        <f>IF(Source!$C65&gt;=COLUMNS($A65:P65), Source!$E65, "")</f>
        <v/>
      </c>
      <c r="Q65" s="2" t="str">
        <f>IF(Source!$C65&gt;=COLUMNS($A65:Q65), Source!$E65, "")</f>
        <v/>
      </c>
      <c r="R65" s="2" t="str">
        <f>IF(Source!$C65&gt;=COLUMNS($A65:R65), Source!$E65, "")</f>
        <v/>
      </c>
      <c r="S65" s="2" t="str">
        <f>IF(Source!$C65&gt;=COLUMNS($A65:S65), Source!$E65, "")</f>
        <v/>
      </c>
      <c r="T65" s="2" t="str">
        <f>IF(Source!$C65&gt;=COLUMNS($A65:T65), Source!$E65, "")</f>
        <v/>
      </c>
      <c r="U65" s="2" t="str">
        <f>IF(Source!$C65&gt;=COLUMNS($A65:U65), Source!$E65, "")</f>
        <v/>
      </c>
      <c r="V65" s="2" t="str">
        <f>IF(Source!$C65&gt;=COLUMNS($A65:V65), Source!$E65, "")</f>
        <v/>
      </c>
      <c r="W65" s="2" t="str">
        <f>IF(Source!$C65&gt;=COLUMNS($A65:W65), Source!$E65, "")</f>
        <v/>
      </c>
      <c r="X65" s="2" t="str">
        <f>IF(Source!$C65&gt;=COLUMNS($A65:X65), Source!$E65, "")</f>
        <v/>
      </c>
      <c r="Y65" s="2" t="str">
        <f>IF(Source!$C65&gt;=COLUMNS($A65:Y65), Source!$E65, "")</f>
        <v/>
      </c>
      <c r="Z65" s="2" t="str">
        <f>IF(Source!$C65&gt;=COLUMNS($A65:Z65), Source!$E65, "")</f>
        <v/>
      </c>
      <c r="AA65" s="2" t="str">
        <f>IF(Source!$C65&gt;=COLUMNS($A65:AA65), Source!$E65, "")</f>
        <v/>
      </c>
      <c r="AB65" s="2" t="str">
        <f>IF(Source!$C65&gt;=COLUMNS($A65:AB65), Source!$E65, "")</f>
        <v/>
      </c>
      <c r="AC65" s="2" t="str">
        <f>IF(Source!$C65&gt;=COLUMNS($A65:AC65), Source!$E65, "")</f>
        <v/>
      </c>
      <c r="AD65" s="2" t="str">
        <f>IF(Source!$C65&gt;=COLUMNS($A65:AD65), Source!$E65, "")</f>
        <v/>
      </c>
      <c r="AE65" s="2" t="str">
        <f>IF(Source!$C65&gt;=COLUMNS($A65:AE65), Source!$E65, "")</f>
        <v/>
      </c>
      <c r="AF65" s="2" t="str">
        <f>IF(Source!$C65&gt;=COLUMNS($A65:AF65), Source!$E65, "")</f>
        <v/>
      </c>
      <c r="AG65" s="2" t="str">
        <f>IF(Source!$C65&gt;=COLUMNS($A65:AG65), Source!$E65, "")</f>
        <v/>
      </c>
      <c r="AH65" s="2" t="str">
        <f>IF(Source!$C65&gt;=COLUMNS($A65:AH65), Source!$E65, "")</f>
        <v/>
      </c>
      <c r="AI65" s="2" t="str">
        <f>IF(Source!$C65&gt;=COLUMNS($A65:AI65), Source!$E65, "")</f>
        <v/>
      </c>
      <c r="AJ65" s="2" t="str">
        <f>IF(Source!$C65&gt;=COLUMNS($A65:AJ65), Source!$E65, "")</f>
        <v/>
      </c>
      <c r="AK65" s="2" t="str">
        <f>IF(Source!$C65&gt;=COLUMNS($A65:AK65), Source!$E65, "")</f>
        <v/>
      </c>
      <c r="AL65" s="2" t="str">
        <f>IF(Source!$C65&gt;=COLUMNS($A65:AL65), Source!$E65, "")</f>
        <v/>
      </c>
      <c r="AM65" s="2" t="str">
        <f>IF(Source!$C65&gt;=COLUMNS($A65:AM65), Source!$E65, "")</f>
        <v/>
      </c>
      <c r="AN65" s="2" t="str">
        <f>IF(Source!$C65&gt;=COLUMNS($A65:AN65), Source!$E65, "")</f>
        <v/>
      </c>
      <c r="AO65" s="2" t="str">
        <f>IF(Source!$C65&gt;=COLUMNS($A65:AO65), Source!$E65, "")</f>
        <v/>
      </c>
      <c r="AP65" s="2" t="str">
        <f>IF(Source!$C65&gt;=COLUMNS($A65:AP65), Source!$E65, "")</f>
        <v/>
      </c>
      <c r="AQ65" s="2" t="str">
        <f>IF(Source!$C65&gt;=COLUMNS($A65:AQ65), Source!$E65, "")</f>
        <v/>
      </c>
      <c r="AR65" s="2" t="str">
        <f>IF(Source!$C65&gt;=COLUMNS($A65:AR65), Source!$E65, "")</f>
        <v/>
      </c>
    </row>
    <row r="66">
      <c r="A66" s="2">
        <f>IF(Source!$C66&gt;=COLUMNS($A66:A66), Source!$E66, "")</f>
        <v>8</v>
      </c>
      <c r="B66" s="2">
        <f>IF(Source!$C66&gt;=COLUMNS($A66:B66), Source!$E66, "")</f>
        <v>8</v>
      </c>
      <c r="C66" s="2">
        <f>IF(Source!$C66&gt;=COLUMNS($A66:C66), Source!$E66, "")</f>
        <v>8</v>
      </c>
      <c r="D66" s="2">
        <f>IF(Source!$C66&gt;=COLUMNS($A66:D66), Source!$E66, "")</f>
        <v>8</v>
      </c>
      <c r="E66" s="2">
        <f>IF(Source!$C66&gt;=COLUMNS($A66:E66), Source!$E66, "")</f>
        <v>8</v>
      </c>
      <c r="F66" s="2">
        <f>IF(Source!$C66&gt;=COLUMNS($A66:F66), Source!$E66, "")</f>
        <v>8</v>
      </c>
      <c r="G66" s="2">
        <f>IF(Source!$C66&gt;=COLUMNS($A66:G66), Source!$E66, "")</f>
        <v>8</v>
      </c>
      <c r="H66" s="2">
        <f>IF(Source!$C66&gt;=COLUMNS($A66:H66), Source!$E66, "")</f>
        <v>8</v>
      </c>
      <c r="I66" s="2">
        <f>IF(Source!$C66&gt;=COLUMNS($A66:I66), Source!$E66, "")</f>
        <v>8</v>
      </c>
      <c r="J66" s="2">
        <f>IF(Source!$C66&gt;=COLUMNS($A66:J66), Source!$E66, "")</f>
        <v>8</v>
      </c>
      <c r="K66" s="2">
        <f>IF(Source!$C66&gt;=COLUMNS($A66:K66), Source!$E66, "")</f>
        <v>8</v>
      </c>
      <c r="L66" s="2">
        <f>IF(Source!$C66&gt;=COLUMNS($A66:L66), Source!$E66, "")</f>
        <v>8</v>
      </c>
      <c r="M66" s="2">
        <f>IF(Source!$C66&gt;=COLUMNS($A66:M66), Source!$E66, "")</f>
        <v>8</v>
      </c>
      <c r="N66" s="2">
        <f>IF(Source!$C66&gt;=COLUMNS($A66:N66), Source!$E66, "")</f>
        <v>8</v>
      </c>
      <c r="O66" s="2">
        <f>IF(Source!$C66&gt;=COLUMNS($A66:O66), Source!$E66, "")</f>
        <v>8</v>
      </c>
      <c r="P66" s="2">
        <f>IF(Source!$C66&gt;=COLUMNS($A66:P66), Source!$E66, "")</f>
        <v>8</v>
      </c>
      <c r="Q66" s="2">
        <f>IF(Source!$C66&gt;=COLUMNS($A66:Q66), Source!$E66, "")</f>
        <v>8</v>
      </c>
      <c r="R66" s="2">
        <f>IF(Source!$C66&gt;=COLUMNS($A66:R66), Source!$E66, "")</f>
        <v>8</v>
      </c>
      <c r="S66" s="2">
        <f>IF(Source!$C66&gt;=COLUMNS($A66:S66), Source!$E66, "")</f>
        <v>8</v>
      </c>
      <c r="T66" s="2">
        <f>IF(Source!$C66&gt;=COLUMNS($A66:T66), Source!$E66, "")</f>
        <v>8</v>
      </c>
      <c r="U66" s="2">
        <f>IF(Source!$C66&gt;=COLUMNS($A66:U66), Source!$E66, "")</f>
        <v>8</v>
      </c>
      <c r="V66" s="2">
        <f>IF(Source!$C66&gt;=COLUMNS($A66:V66), Source!$E66, "")</f>
        <v>8</v>
      </c>
      <c r="W66" s="2">
        <f>IF(Source!$C66&gt;=COLUMNS($A66:W66), Source!$E66, "")</f>
        <v>8</v>
      </c>
      <c r="X66" s="2">
        <f>IF(Source!$C66&gt;=COLUMNS($A66:X66), Source!$E66, "")</f>
        <v>8</v>
      </c>
      <c r="Y66" s="2">
        <f>IF(Source!$C66&gt;=COLUMNS($A66:Y66), Source!$E66, "")</f>
        <v>8</v>
      </c>
      <c r="Z66" s="2">
        <f>IF(Source!$C66&gt;=COLUMNS($A66:Z66), Source!$E66, "")</f>
        <v>8</v>
      </c>
      <c r="AA66" s="2">
        <f>IF(Source!$C66&gt;=COLUMNS($A66:AA66), Source!$E66, "")</f>
        <v>8</v>
      </c>
      <c r="AB66" s="2" t="str">
        <f>IF(Source!$C66&gt;=COLUMNS($A66:AB66), Source!$E66, "")</f>
        <v/>
      </c>
      <c r="AC66" s="2" t="str">
        <f>IF(Source!$C66&gt;=COLUMNS($A66:AC66), Source!$E66, "")</f>
        <v/>
      </c>
      <c r="AD66" s="2" t="str">
        <f>IF(Source!$C66&gt;=COLUMNS($A66:AD66), Source!$E66, "")</f>
        <v/>
      </c>
      <c r="AE66" s="2" t="str">
        <f>IF(Source!$C66&gt;=COLUMNS($A66:AE66), Source!$E66, "")</f>
        <v/>
      </c>
      <c r="AF66" s="2" t="str">
        <f>IF(Source!$C66&gt;=COLUMNS($A66:AF66), Source!$E66, "")</f>
        <v/>
      </c>
      <c r="AG66" s="2" t="str">
        <f>IF(Source!$C66&gt;=COLUMNS($A66:AG66), Source!$E66, "")</f>
        <v/>
      </c>
      <c r="AH66" s="2" t="str">
        <f>IF(Source!$C66&gt;=COLUMNS($A66:AH66), Source!$E66, "")</f>
        <v/>
      </c>
      <c r="AI66" s="2" t="str">
        <f>IF(Source!$C66&gt;=COLUMNS($A66:AI66), Source!$E66, "")</f>
        <v/>
      </c>
      <c r="AJ66" s="2" t="str">
        <f>IF(Source!$C66&gt;=COLUMNS($A66:AJ66), Source!$E66, "")</f>
        <v/>
      </c>
      <c r="AK66" s="2" t="str">
        <f>IF(Source!$C66&gt;=COLUMNS($A66:AK66), Source!$E66, "")</f>
        <v/>
      </c>
      <c r="AL66" s="2" t="str">
        <f>IF(Source!$C66&gt;=COLUMNS($A66:AL66), Source!$E66, "")</f>
        <v/>
      </c>
      <c r="AM66" s="2" t="str">
        <f>IF(Source!$C66&gt;=COLUMNS($A66:AM66), Source!$E66, "")</f>
        <v/>
      </c>
      <c r="AN66" s="2" t="str">
        <f>IF(Source!$C66&gt;=COLUMNS($A66:AN66), Source!$E66, "")</f>
        <v/>
      </c>
      <c r="AO66" s="2" t="str">
        <f>IF(Source!$C66&gt;=COLUMNS($A66:AO66), Source!$E66, "")</f>
        <v/>
      </c>
      <c r="AP66" s="2" t="str">
        <f>IF(Source!$C66&gt;=COLUMNS($A66:AP66), Source!$E66, "")</f>
        <v/>
      </c>
      <c r="AQ66" s="2" t="str">
        <f>IF(Source!$C66&gt;=COLUMNS($A66:AQ66), Source!$E66, "")</f>
        <v/>
      </c>
      <c r="AR66" s="2" t="str">
        <f>IF(Source!$C66&gt;=COLUMNS($A66:AR66), Source!$E66, "")</f>
        <v/>
      </c>
    </row>
    <row r="67">
      <c r="A67" s="2">
        <f>IF(Source!$C67&gt;=COLUMNS($A67:A67), Source!$E67, "")</f>
        <v>7</v>
      </c>
      <c r="B67" s="2">
        <f>IF(Source!$C67&gt;=COLUMNS($A67:B67), Source!$E67, "")</f>
        <v>7</v>
      </c>
      <c r="C67" s="2" t="str">
        <f>IF(Source!$C67&gt;=COLUMNS($A67:C67), Source!$E67, "")</f>
        <v/>
      </c>
      <c r="D67" s="2" t="str">
        <f>IF(Source!$C67&gt;=COLUMNS($A67:D67), Source!$E67, "")</f>
        <v/>
      </c>
      <c r="E67" s="2" t="str">
        <f>IF(Source!$C67&gt;=COLUMNS($A67:E67), Source!$E67, "")</f>
        <v/>
      </c>
      <c r="F67" s="2" t="str">
        <f>IF(Source!$C67&gt;=COLUMNS($A67:F67), Source!$E67, "")</f>
        <v/>
      </c>
      <c r="G67" s="2" t="str">
        <f>IF(Source!$C67&gt;=COLUMNS($A67:G67), Source!$E67, "")</f>
        <v/>
      </c>
      <c r="H67" s="2" t="str">
        <f>IF(Source!$C67&gt;=COLUMNS($A67:H67), Source!$E67, "")</f>
        <v/>
      </c>
      <c r="I67" s="2" t="str">
        <f>IF(Source!$C67&gt;=COLUMNS($A67:I67), Source!$E67, "")</f>
        <v/>
      </c>
      <c r="J67" s="2" t="str">
        <f>IF(Source!$C67&gt;=COLUMNS($A67:J67), Source!$E67, "")</f>
        <v/>
      </c>
      <c r="K67" s="2" t="str">
        <f>IF(Source!$C67&gt;=COLUMNS($A67:K67), Source!$E67, "")</f>
        <v/>
      </c>
      <c r="L67" s="2" t="str">
        <f>IF(Source!$C67&gt;=COLUMNS($A67:L67), Source!$E67, "")</f>
        <v/>
      </c>
      <c r="M67" s="2" t="str">
        <f>IF(Source!$C67&gt;=COLUMNS($A67:M67), Source!$E67, "")</f>
        <v/>
      </c>
      <c r="N67" s="2" t="str">
        <f>IF(Source!$C67&gt;=COLUMNS($A67:N67), Source!$E67, "")</f>
        <v/>
      </c>
      <c r="O67" s="2" t="str">
        <f>IF(Source!$C67&gt;=COLUMNS($A67:O67), Source!$E67, "")</f>
        <v/>
      </c>
      <c r="P67" s="2" t="str">
        <f>IF(Source!$C67&gt;=COLUMNS($A67:P67), Source!$E67, "")</f>
        <v/>
      </c>
      <c r="Q67" s="2" t="str">
        <f>IF(Source!$C67&gt;=COLUMNS($A67:Q67), Source!$E67, "")</f>
        <v/>
      </c>
      <c r="R67" s="2" t="str">
        <f>IF(Source!$C67&gt;=COLUMNS($A67:R67), Source!$E67, "")</f>
        <v/>
      </c>
      <c r="S67" s="2" t="str">
        <f>IF(Source!$C67&gt;=COLUMNS($A67:S67), Source!$E67, "")</f>
        <v/>
      </c>
      <c r="T67" s="2" t="str">
        <f>IF(Source!$C67&gt;=COLUMNS($A67:T67), Source!$E67, "")</f>
        <v/>
      </c>
      <c r="U67" s="2" t="str">
        <f>IF(Source!$C67&gt;=COLUMNS($A67:U67), Source!$E67, "")</f>
        <v/>
      </c>
      <c r="V67" s="2" t="str">
        <f>IF(Source!$C67&gt;=COLUMNS($A67:V67), Source!$E67, "")</f>
        <v/>
      </c>
      <c r="W67" s="2" t="str">
        <f>IF(Source!$C67&gt;=COLUMNS($A67:W67), Source!$E67, "")</f>
        <v/>
      </c>
      <c r="X67" s="2" t="str">
        <f>IF(Source!$C67&gt;=COLUMNS($A67:X67), Source!$E67, "")</f>
        <v/>
      </c>
      <c r="Y67" s="2" t="str">
        <f>IF(Source!$C67&gt;=COLUMNS($A67:Y67), Source!$E67, "")</f>
        <v/>
      </c>
      <c r="Z67" s="2" t="str">
        <f>IF(Source!$C67&gt;=COLUMNS($A67:Z67), Source!$E67, "")</f>
        <v/>
      </c>
      <c r="AA67" s="2" t="str">
        <f>IF(Source!$C67&gt;=COLUMNS($A67:AA67), Source!$E67, "")</f>
        <v/>
      </c>
      <c r="AB67" s="2" t="str">
        <f>IF(Source!$C67&gt;=COLUMNS($A67:AB67), Source!$E67, "")</f>
        <v/>
      </c>
      <c r="AC67" s="2" t="str">
        <f>IF(Source!$C67&gt;=COLUMNS($A67:AC67), Source!$E67, "")</f>
        <v/>
      </c>
      <c r="AD67" s="2" t="str">
        <f>IF(Source!$C67&gt;=COLUMNS($A67:AD67), Source!$E67, "")</f>
        <v/>
      </c>
      <c r="AE67" s="2" t="str">
        <f>IF(Source!$C67&gt;=COLUMNS($A67:AE67), Source!$E67, "")</f>
        <v/>
      </c>
      <c r="AF67" s="2" t="str">
        <f>IF(Source!$C67&gt;=COLUMNS($A67:AF67), Source!$E67, "")</f>
        <v/>
      </c>
      <c r="AG67" s="2" t="str">
        <f>IF(Source!$C67&gt;=COLUMNS($A67:AG67), Source!$E67, "")</f>
        <v/>
      </c>
      <c r="AH67" s="2" t="str">
        <f>IF(Source!$C67&gt;=COLUMNS($A67:AH67), Source!$E67, "")</f>
        <v/>
      </c>
      <c r="AI67" s="2" t="str">
        <f>IF(Source!$C67&gt;=COLUMNS($A67:AI67), Source!$E67, "")</f>
        <v/>
      </c>
      <c r="AJ67" s="2" t="str">
        <f>IF(Source!$C67&gt;=COLUMNS($A67:AJ67), Source!$E67, "")</f>
        <v/>
      </c>
      <c r="AK67" s="2" t="str">
        <f>IF(Source!$C67&gt;=COLUMNS($A67:AK67), Source!$E67, "")</f>
        <v/>
      </c>
      <c r="AL67" s="2" t="str">
        <f>IF(Source!$C67&gt;=COLUMNS($A67:AL67), Source!$E67, "")</f>
        <v/>
      </c>
      <c r="AM67" s="2" t="str">
        <f>IF(Source!$C67&gt;=COLUMNS($A67:AM67), Source!$E67, "")</f>
        <v/>
      </c>
      <c r="AN67" s="2" t="str">
        <f>IF(Source!$C67&gt;=COLUMNS($A67:AN67), Source!$E67, "")</f>
        <v/>
      </c>
      <c r="AO67" s="2" t="str">
        <f>IF(Source!$C67&gt;=COLUMNS($A67:AO67), Source!$E67, "")</f>
        <v/>
      </c>
      <c r="AP67" s="2" t="str">
        <f>IF(Source!$C67&gt;=COLUMNS($A67:AP67), Source!$E67, "")</f>
        <v/>
      </c>
      <c r="AQ67" s="2" t="str">
        <f>IF(Source!$C67&gt;=COLUMNS($A67:AQ67), Source!$E67, "")</f>
        <v/>
      </c>
      <c r="AR67" s="2" t="str">
        <f>IF(Source!$C67&gt;=COLUMNS($A67:AR67), Source!$E67, "")</f>
        <v/>
      </c>
    </row>
    <row r="68">
      <c r="A68" s="2">
        <f>IF(Source!$C68&gt;=COLUMNS($A68:A68), Source!$E68, "")</f>
        <v>7</v>
      </c>
      <c r="B68" s="2">
        <f>IF(Source!$C68&gt;=COLUMNS($A68:B68), Source!$E68, "")</f>
        <v>7</v>
      </c>
      <c r="C68" s="2" t="str">
        <f>IF(Source!$C68&gt;=COLUMNS($A68:C68), Source!$E68, "")</f>
        <v/>
      </c>
      <c r="D68" s="2" t="str">
        <f>IF(Source!$C68&gt;=COLUMNS($A68:D68), Source!$E68, "")</f>
        <v/>
      </c>
      <c r="E68" s="2" t="str">
        <f>IF(Source!$C68&gt;=COLUMNS($A68:E68), Source!$E68, "")</f>
        <v/>
      </c>
      <c r="F68" s="2" t="str">
        <f>IF(Source!$C68&gt;=COLUMNS($A68:F68), Source!$E68, "")</f>
        <v/>
      </c>
      <c r="G68" s="2" t="str">
        <f>IF(Source!$C68&gt;=COLUMNS($A68:G68), Source!$E68, "")</f>
        <v/>
      </c>
      <c r="H68" s="2" t="str">
        <f>IF(Source!$C68&gt;=COLUMNS($A68:H68), Source!$E68, "")</f>
        <v/>
      </c>
      <c r="I68" s="2" t="str">
        <f>IF(Source!$C68&gt;=COLUMNS($A68:I68), Source!$E68, "")</f>
        <v/>
      </c>
      <c r="J68" s="2" t="str">
        <f>IF(Source!$C68&gt;=COLUMNS($A68:J68), Source!$E68, "")</f>
        <v/>
      </c>
      <c r="K68" s="2" t="str">
        <f>IF(Source!$C68&gt;=COLUMNS($A68:K68), Source!$E68, "")</f>
        <v/>
      </c>
      <c r="L68" s="2" t="str">
        <f>IF(Source!$C68&gt;=COLUMNS($A68:L68), Source!$E68, "")</f>
        <v/>
      </c>
      <c r="M68" s="2" t="str">
        <f>IF(Source!$C68&gt;=COLUMNS($A68:M68), Source!$E68, "")</f>
        <v/>
      </c>
      <c r="N68" s="2" t="str">
        <f>IF(Source!$C68&gt;=COLUMNS($A68:N68), Source!$E68, "")</f>
        <v/>
      </c>
      <c r="O68" s="2" t="str">
        <f>IF(Source!$C68&gt;=COLUMNS($A68:O68), Source!$E68, "")</f>
        <v/>
      </c>
      <c r="P68" s="2" t="str">
        <f>IF(Source!$C68&gt;=COLUMNS($A68:P68), Source!$E68, "")</f>
        <v/>
      </c>
      <c r="Q68" s="2" t="str">
        <f>IF(Source!$C68&gt;=COLUMNS($A68:Q68), Source!$E68, "")</f>
        <v/>
      </c>
      <c r="R68" s="2" t="str">
        <f>IF(Source!$C68&gt;=COLUMNS($A68:R68), Source!$E68, "")</f>
        <v/>
      </c>
      <c r="S68" s="2" t="str">
        <f>IF(Source!$C68&gt;=COLUMNS($A68:S68), Source!$E68, "")</f>
        <v/>
      </c>
      <c r="T68" s="2" t="str">
        <f>IF(Source!$C68&gt;=COLUMNS($A68:T68), Source!$E68, "")</f>
        <v/>
      </c>
      <c r="U68" s="2" t="str">
        <f>IF(Source!$C68&gt;=COLUMNS($A68:U68), Source!$E68, "")</f>
        <v/>
      </c>
      <c r="V68" s="2" t="str">
        <f>IF(Source!$C68&gt;=COLUMNS($A68:V68), Source!$E68, "")</f>
        <v/>
      </c>
      <c r="W68" s="2" t="str">
        <f>IF(Source!$C68&gt;=COLUMNS($A68:W68), Source!$E68, "")</f>
        <v/>
      </c>
      <c r="X68" s="2" t="str">
        <f>IF(Source!$C68&gt;=COLUMNS($A68:X68), Source!$E68, "")</f>
        <v/>
      </c>
      <c r="Y68" s="2" t="str">
        <f>IF(Source!$C68&gt;=COLUMNS($A68:Y68), Source!$E68, "")</f>
        <v/>
      </c>
      <c r="Z68" s="2" t="str">
        <f>IF(Source!$C68&gt;=COLUMNS($A68:Z68), Source!$E68, "")</f>
        <v/>
      </c>
      <c r="AA68" s="2" t="str">
        <f>IF(Source!$C68&gt;=COLUMNS($A68:AA68), Source!$E68, "")</f>
        <v/>
      </c>
      <c r="AB68" s="2" t="str">
        <f>IF(Source!$C68&gt;=COLUMNS($A68:AB68), Source!$E68, "")</f>
        <v/>
      </c>
      <c r="AC68" s="2" t="str">
        <f>IF(Source!$C68&gt;=COLUMNS($A68:AC68), Source!$E68, "")</f>
        <v/>
      </c>
      <c r="AD68" s="2" t="str">
        <f>IF(Source!$C68&gt;=COLUMNS($A68:AD68), Source!$E68, "")</f>
        <v/>
      </c>
      <c r="AE68" s="2" t="str">
        <f>IF(Source!$C68&gt;=COLUMNS($A68:AE68), Source!$E68, "")</f>
        <v/>
      </c>
      <c r="AF68" s="2" t="str">
        <f>IF(Source!$C68&gt;=COLUMNS($A68:AF68), Source!$E68, "")</f>
        <v/>
      </c>
      <c r="AG68" s="2" t="str">
        <f>IF(Source!$C68&gt;=COLUMNS($A68:AG68), Source!$E68, "")</f>
        <v/>
      </c>
      <c r="AH68" s="2" t="str">
        <f>IF(Source!$C68&gt;=COLUMNS($A68:AH68), Source!$E68, "")</f>
        <v/>
      </c>
      <c r="AI68" s="2" t="str">
        <f>IF(Source!$C68&gt;=COLUMNS($A68:AI68), Source!$E68, "")</f>
        <v/>
      </c>
      <c r="AJ68" s="2" t="str">
        <f>IF(Source!$C68&gt;=COLUMNS($A68:AJ68), Source!$E68, "")</f>
        <v/>
      </c>
      <c r="AK68" s="2" t="str">
        <f>IF(Source!$C68&gt;=COLUMNS($A68:AK68), Source!$E68, "")</f>
        <v/>
      </c>
      <c r="AL68" s="2" t="str">
        <f>IF(Source!$C68&gt;=COLUMNS($A68:AL68), Source!$E68, "")</f>
        <v/>
      </c>
      <c r="AM68" s="2" t="str">
        <f>IF(Source!$C68&gt;=COLUMNS($A68:AM68), Source!$E68, "")</f>
        <v/>
      </c>
      <c r="AN68" s="2" t="str">
        <f>IF(Source!$C68&gt;=COLUMNS($A68:AN68), Source!$E68, "")</f>
        <v/>
      </c>
      <c r="AO68" s="2" t="str">
        <f>IF(Source!$C68&gt;=COLUMNS($A68:AO68), Source!$E68, "")</f>
        <v/>
      </c>
      <c r="AP68" s="2" t="str">
        <f>IF(Source!$C68&gt;=COLUMNS($A68:AP68), Source!$E68, "")</f>
        <v/>
      </c>
      <c r="AQ68" s="2" t="str">
        <f>IF(Source!$C68&gt;=COLUMNS($A68:AQ68), Source!$E68, "")</f>
        <v/>
      </c>
      <c r="AR68" s="2" t="str">
        <f>IF(Source!$C68&gt;=COLUMNS($A68:AR68), Source!$E68, "")</f>
        <v/>
      </c>
    </row>
    <row r="69">
      <c r="A69" s="2">
        <f>IF(Source!$C69&gt;=COLUMNS($A69:A69), Source!$E69, "")</f>
        <v>2</v>
      </c>
      <c r="B69" s="2">
        <f>IF(Source!$C69&gt;=COLUMNS($A69:B69), Source!$E69, "")</f>
        <v>2</v>
      </c>
      <c r="C69" s="2">
        <f>IF(Source!$C69&gt;=COLUMNS($A69:C69), Source!$E69, "")</f>
        <v>2</v>
      </c>
      <c r="D69" s="2">
        <f>IF(Source!$C69&gt;=COLUMNS($A69:D69), Source!$E69, "")</f>
        <v>2</v>
      </c>
      <c r="E69" s="2" t="str">
        <f>IF(Source!$C69&gt;=COLUMNS($A69:E69), Source!$E69, "")</f>
        <v/>
      </c>
      <c r="F69" s="2" t="str">
        <f>IF(Source!$C69&gt;=COLUMNS($A69:F69), Source!$E69, "")</f>
        <v/>
      </c>
      <c r="G69" s="2" t="str">
        <f>IF(Source!$C69&gt;=COLUMNS($A69:G69), Source!$E69, "")</f>
        <v/>
      </c>
      <c r="H69" s="2" t="str">
        <f>IF(Source!$C69&gt;=COLUMNS($A69:H69), Source!$E69, "")</f>
        <v/>
      </c>
      <c r="I69" s="2" t="str">
        <f>IF(Source!$C69&gt;=COLUMNS($A69:I69), Source!$E69, "")</f>
        <v/>
      </c>
      <c r="J69" s="2" t="str">
        <f>IF(Source!$C69&gt;=COLUMNS($A69:J69), Source!$E69, "")</f>
        <v/>
      </c>
      <c r="K69" s="2" t="str">
        <f>IF(Source!$C69&gt;=COLUMNS($A69:K69), Source!$E69, "")</f>
        <v/>
      </c>
      <c r="L69" s="2" t="str">
        <f>IF(Source!$C69&gt;=COLUMNS($A69:L69), Source!$E69, "")</f>
        <v/>
      </c>
      <c r="M69" s="2" t="str">
        <f>IF(Source!$C69&gt;=COLUMNS($A69:M69), Source!$E69, "")</f>
        <v/>
      </c>
      <c r="N69" s="2" t="str">
        <f>IF(Source!$C69&gt;=COLUMNS($A69:N69), Source!$E69, "")</f>
        <v/>
      </c>
      <c r="O69" s="2" t="str">
        <f>IF(Source!$C69&gt;=COLUMNS($A69:O69), Source!$E69, "")</f>
        <v/>
      </c>
      <c r="P69" s="2" t="str">
        <f>IF(Source!$C69&gt;=COLUMNS($A69:P69), Source!$E69, "")</f>
        <v/>
      </c>
      <c r="Q69" s="2" t="str">
        <f>IF(Source!$C69&gt;=COLUMNS($A69:Q69), Source!$E69, "")</f>
        <v/>
      </c>
      <c r="R69" s="2" t="str">
        <f>IF(Source!$C69&gt;=COLUMNS($A69:R69), Source!$E69, "")</f>
        <v/>
      </c>
      <c r="S69" s="2" t="str">
        <f>IF(Source!$C69&gt;=COLUMNS($A69:S69), Source!$E69, "")</f>
        <v/>
      </c>
      <c r="T69" s="2" t="str">
        <f>IF(Source!$C69&gt;=COLUMNS($A69:T69), Source!$E69, "")</f>
        <v/>
      </c>
      <c r="U69" s="2" t="str">
        <f>IF(Source!$C69&gt;=COLUMNS($A69:U69), Source!$E69, "")</f>
        <v/>
      </c>
      <c r="V69" s="2" t="str">
        <f>IF(Source!$C69&gt;=COLUMNS($A69:V69), Source!$E69, "")</f>
        <v/>
      </c>
      <c r="W69" s="2" t="str">
        <f>IF(Source!$C69&gt;=COLUMNS($A69:W69), Source!$E69, "")</f>
        <v/>
      </c>
      <c r="X69" s="2" t="str">
        <f>IF(Source!$C69&gt;=COLUMNS($A69:X69), Source!$E69, "")</f>
        <v/>
      </c>
      <c r="Y69" s="2" t="str">
        <f>IF(Source!$C69&gt;=COLUMNS($A69:Y69), Source!$E69, "")</f>
        <v/>
      </c>
      <c r="Z69" s="2" t="str">
        <f>IF(Source!$C69&gt;=COLUMNS($A69:Z69), Source!$E69, "")</f>
        <v/>
      </c>
      <c r="AA69" s="2" t="str">
        <f>IF(Source!$C69&gt;=COLUMNS($A69:AA69), Source!$E69, "")</f>
        <v/>
      </c>
      <c r="AB69" s="2" t="str">
        <f>IF(Source!$C69&gt;=COLUMNS($A69:AB69), Source!$E69, "")</f>
        <v/>
      </c>
      <c r="AC69" s="2" t="str">
        <f>IF(Source!$C69&gt;=COLUMNS($A69:AC69), Source!$E69, "")</f>
        <v/>
      </c>
      <c r="AD69" s="2" t="str">
        <f>IF(Source!$C69&gt;=COLUMNS($A69:AD69), Source!$E69, "")</f>
        <v/>
      </c>
      <c r="AE69" s="2" t="str">
        <f>IF(Source!$C69&gt;=COLUMNS($A69:AE69), Source!$E69, "")</f>
        <v/>
      </c>
      <c r="AF69" s="2" t="str">
        <f>IF(Source!$C69&gt;=COLUMNS($A69:AF69), Source!$E69, "")</f>
        <v/>
      </c>
      <c r="AG69" s="2" t="str">
        <f>IF(Source!$C69&gt;=COLUMNS($A69:AG69), Source!$E69, "")</f>
        <v/>
      </c>
      <c r="AH69" s="2" t="str">
        <f>IF(Source!$C69&gt;=COLUMNS($A69:AH69), Source!$E69, "")</f>
        <v/>
      </c>
      <c r="AI69" s="2" t="str">
        <f>IF(Source!$C69&gt;=COLUMNS($A69:AI69), Source!$E69, "")</f>
        <v/>
      </c>
      <c r="AJ69" s="2" t="str">
        <f>IF(Source!$C69&gt;=COLUMNS($A69:AJ69), Source!$E69, "")</f>
        <v/>
      </c>
      <c r="AK69" s="2" t="str">
        <f>IF(Source!$C69&gt;=COLUMNS($A69:AK69), Source!$E69, "")</f>
        <v/>
      </c>
      <c r="AL69" s="2" t="str">
        <f>IF(Source!$C69&gt;=COLUMNS($A69:AL69), Source!$E69, "")</f>
        <v/>
      </c>
      <c r="AM69" s="2" t="str">
        <f>IF(Source!$C69&gt;=COLUMNS($A69:AM69), Source!$E69, "")</f>
        <v/>
      </c>
      <c r="AN69" s="2" t="str">
        <f>IF(Source!$C69&gt;=COLUMNS($A69:AN69), Source!$E69, "")</f>
        <v/>
      </c>
      <c r="AO69" s="2" t="str">
        <f>IF(Source!$C69&gt;=COLUMNS($A69:AO69), Source!$E69, "")</f>
        <v/>
      </c>
      <c r="AP69" s="2" t="str">
        <f>IF(Source!$C69&gt;=COLUMNS($A69:AP69), Source!$E69, "")</f>
        <v/>
      </c>
      <c r="AQ69" s="2" t="str">
        <f>IF(Source!$C69&gt;=COLUMNS($A69:AQ69), Source!$E69, "")</f>
        <v/>
      </c>
      <c r="AR69" s="2" t="str">
        <f>IF(Source!$C69&gt;=COLUMNS($A69:AR69), Source!$E69, "")</f>
        <v/>
      </c>
    </row>
    <row r="70">
      <c r="A70" s="2">
        <f>IF(Source!$C70&gt;=COLUMNS($A70:A70), Source!$E70, "")</f>
        <v>8</v>
      </c>
      <c r="B70" s="2">
        <f>IF(Source!$C70&gt;=COLUMNS($A70:B70), Source!$E70, "")</f>
        <v>8</v>
      </c>
      <c r="C70" s="2">
        <f>IF(Source!$C70&gt;=COLUMNS($A70:C70), Source!$E70, "")</f>
        <v>8</v>
      </c>
      <c r="D70" s="2">
        <f>IF(Source!$C70&gt;=COLUMNS($A70:D70), Source!$E70, "")</f>
        <v>8</v>
      </c>
      <c r="E70" s="2">
        <f>IF(Source!$C70&gt;=COLUMNS($A70:E70), Source!$E70, "")</f>
        <v>8</v>
      </c>
      <c r="F70" s="2">
        <f>IF(Source!$C70&gt;=COLUMNS($A70:F70), Source!$E70, "")</f>
        <v>8</v>
      </c>
      <c r="G70" s="2">
        <f>IF(Source!$C70&gt;=COLUMNS($A70:G70), Source!$E70, "")</f>
        <v>8</v>
      </c>
      <c r="H70" s="2" t="str">
        <f>IF(Source!$C70&gt;=COLUMNS($A70:H70), Source!$E70, "")</f>
        <v/>
      </c>
      <c r="I70" s="2" t="str">
        <f>IF(Source!$C70&gt;=COLUMNS($A70:I70), Source!$E70, "")</f>
        <v/>
      </c>
      <c r="J70" s="2" t="str">
        <f>IF(Source!$C70&gt;=COLUMNS($A70:J70), Source!$E70, "")</f>
        <v/>
      </c>
      <c r="K70" s="2" t="str">
        <f>IF(Source!$C70&gt;=COLUMNS($A70:K70), Source!$E70, "")</f>
        <v/>
      </c>
      <c r="L70" s="2" t="str">
        <f>IF(Source!$C70&gt;=COLUMNS($A70:L70), Source!$E70, "")</f>
        <v/>
      </c>
      <c r="M70" s="2" t="str">
        <f>IF(Source!$C70&gt;=COLUMNS($A70:M70), Source!$E70, "")</f>
        <v/>
      </c>
      <c r="N70" s="2" t="str">
        <f>IF(Source!$C70&gt;=COLUMNS($A70:N70), Source!$E70, "")</f>
        <v/>
      </c>
      <c r="O70" s="2" t="str">
        <f>IF(Source!$C70&gt;=COLUMNS($A70:O70), Source!$E70, "")</f>
        <v/>
      </c>
      <c r="P70" s="2" t="str">
        <f>IF(Source!$C70&gt;=COLUMNS($A70:P70), Source!$E70, "")</f>
        <v/>
      </c>
      <c r="Q70" s="2" t="str">
        <f>IF(Source!$C70&gt;=COLUMNS($A70:Q70), Source!$E70, "")</f>
        <v/>
      </c>
      <c r="R70" s="2" t="str">
        <f>IF(Source!$C70&gt;=COLUMNS($A70:R70), Source!$E70, "")</f>
        <v/>
      </c>
      <c r="S70" s="2" t="str">
        <f>IF(Source!$C70&gt;=COLUMNS($A70:S70), Source!$E70, "")</f>
        <v/>
      </c>
      <c r="T70" s="2" t="str">
        <f>IF(Source!$C70&gt;=COLUMNS($A70:T70), Source!$E70, "")</f>
        <v/>
      </c>
      <c r="U70" s="2" t="str">
        <f>IF(Source!$C70&gt;=COLUMNS($A70:U70), Source!$E70, "")</f>
        <v/>
      </c>
      <c r="V70" s="2" t="str">
        <f>IF(Source!$C70&gt;=COLUMNS($A70:V70), Source!$E70, "")</f>
        <v/>
      </c>
      <c r="W70" s="2" t="str">
        <f>IF(Source!$C70&gt;=COLUMNS($A70:W70), Source!$E70, "")</f>
        <v/>
      </c>
      <c r="X70" s="2" t="str">
        <f>IF(Source!$C70&gt;=COLUMNS($A70:X70), Source!$E70, "")</f>
        <v/>
      </c>
      <c r="Y70" s="2" t="str">
        <f>IF(Source!$C70&gt;=COLUMNS($A70:Y70), Source!$E70, "")</f>
        <v/>
      </c>
      <c r="Z70" s="2" t="str">
        <f>IF(Source!$C70&gt;=COLUMNS($A70:Z70), Source!$E70, "")</f>
        <v/>
      </c>
      <c r="AA70" s="2" t="str">
        <f>IF(Source!$C70&gt;=COLUMNS($A70:AA70), Source!$E70, "")</f>
        <v/>
      </c>
      <c r="AB70" s="2" t="str">
        <f>IF(Source!$C70&gt;=COLUMNS($A70:AB70), Source!$E70, "")</f>
        <v/>
      </c>
      <c r="AC70" s="2" t="str">
        <f>IF(Source!$C70&gt;=COLUMNS($A70:AC70), Source!$E70, "")</f>
        <v/>
      </c>
      <c r="AD70" s="2" t="str">
        <f>IF(Source!$C70&gt;=COLUMNS($A70:AD70), Source!$E70, "")</f>
        <v/>
      </c>
      <c r="AE70" s="2" t="str">
        <f>IF(Source!$C70&gt;=COLUMNS($A70:AE70), Source!$E70, "")</f>
        <v/>
      </c>
      <c r="AF70" s="2" t="str">
        <f>IF(Source!$C70&gt;=COLUMNS($A70:AF70), Source!$E70, "")</f>
        <v/>
      </c>
      <c r="AG70" s="2" t="str">
        <f>IF(Source!$C70&gt;=COLUMNS($A70:AG70), Source!$E70, "")</f>
        <v/>
      </c>
      <c r="AH70" s="2" t="str">
        <f>IF(Source!$C70&gt;=COLUMNS($A70:AH70), Source!$E70, "")</f>
        <v/>
      </c>
      <c r="AI70" s="2" t="str">
        <f>IF(Source!$C70&gt;=COLUMNS($A70:AI70), Source!$E70, "")</f>
        <v/>
      </c>
      <c r="AJ70" s="2" t="str">
        <f>IF(Source!$C70&gt;=COLUMNS($A70:AJ70), Source!$E70, "")</f>
        <v/>
      </c>
      <c r="AK70" s="2" t="str">
        <f>IF(Source!$C70&gt;=COLUMNS($A70:AK70), Source!$E70, "")</f>
        <v/>
      </c>
      <c r="AL70" s="2" t="str">
        <f>IF(Source!$C70&gt;=COLUMNS($A70:AL70), Source!$E70, "")</f>
        <v/>
      </c>
      <c r="AM70" s="2" t="str">
        <f>IF(Source!$C70&gt;=COLUMNS($A70:AM70), Source!$E70, "")</f>
        <v/>
      </c>
      <c r="AN70" s="2" t="str">
        <f>IF(Source!$C70&gt;=COLUMNS($A70:AN70), Source!$E70, "")</f>
        <v/>
      </c>
      <c r="AO70" s="2" t="str">
        <f>IF(Source!$C70&gt;=COLUMNS($A70:AO70), Source!$E70, "")</f>
        <v/>
      </c>
      <c r="AP70" s="2" t="str">
        <f>IF(Source!$C70&gt;=COLUMNS($A70:AP70), Source!$E70, "")</f>
        <v/>
      </c>
      <c r="AQ70" s="2" t="str">
        <f>IF(Source!$C70&gt;=COLUMNS($A70:AQ70), Source!$E70, "")</f>
        <v/>
      </c>
      <c r="AR70" s="2" t="str">
        <f>IF(Source!$C70&gt;=COLUMNS($A70:AR70), Source!$E70, "")</f>
        <v/>
      </c>
    </row>
    <row r="71">
      <c r="A71" s="2">
        <f>IF(Source!$C71&gt;=COLUMNS($A71:A71), Source!$E71, "")</f>
        <v>4</v>
      </c>
      <c r="B71" s="2">
        <f>IF(Source!$C71&gt;=COLUMNS($A71:B71), Source!$E71, "")</f>
        <v>4</v>
      </c>
      <c r="C71" s="2">
        <f>IF(Source!$C71&gt;=COLUMNS($A71:C71), Source!$E71, "")</f>
        <v>4</v>
      </c>
      <c r="D71" s="2">
        <f>IF(Source!$C71&gt;=COLUMNS($A71:D71), Source!$E71, "")</f>
        <v>4</v>
      </c>
      <c r="E71" s="2">
        <f>IF(Source!$C71&gt;=COLUMNS($A71:E71), Source!$E71, "")</f>
        <v>4</v>
      </c>
      <c r="F71" s="2">
        <f>IF(Source!$C71&gt;=COLUMNS($A71:F71), Source!$E71, "")</f>
        <v>4</v>
      </c>
      <c r="G71" s="2">
        <f>IF(Source!$C71&gt;=COLUMNS($A71:G71), Source!$E71, "")</f>
        <v>4</v>
      </c>
      <c r="H71" s="2">
        <f>IF(Source!$C71&gt;=COLUMNS($A71:H71), Source!$E71, "")</f>
        <v>4</v>
      </c>
      <c r="I71" s="2">
        <f>IF(Source!$C71&gt;=COLUMNS($A71:I71), Source!$E71, "")</f>
        <v>4</v>
      </c>
      <c r="J71" s="2">
        <f>IF(Source!$C71&gt;=COLUMNS($A71:J71), Source!$E71, "")</f>
        <v>4</v>
      </c>
      <c r="K71" s="2" t="str">
        <f>IF(Source!$C71&gt;=COLUMNS($A71:K71), Source!$E71, "")</f>
        <v/>
      </c>
      <c r="L71" s="2" t="str">
        <f>IF(Source!$C71&gt;=COLUMNS($A71:L71), Source!$E71, "")</f>
        <v/>
      </c>
      <c r="M71" s="2" t="str">
        <f>IF(Source!$C71&gt;=COLUMNS($A71:M71), Source!$E71, "")</f>
        <v/>
      </c>
      <c r="N71" s="2" t="str">
        <f>IF(Source!$C71&gt;=COLUMNS($A71:N71), Source!$E71, "")</f>
        <v/>
      </c>
      <c r="O71" s="2" t="str">
        <f>IF(Source!$C71&gt;=COLUMNS($A71:O71), Source!$E71, "")</f>
        <v/>
      </c>
      <c r="P71" s="2" t="str">
        <f>IF(Source!$C71&gt;=COLUMNS($A71:P71), Source!$E71, "")</f>
        <v/>
      </c>
      <c r="Q71" s="2" t="str">
        <f>IF(Source!$C71&gt;=COLUMNS($A71:Q71), Source!$E71, "")</f>
        <v/>
      </c>
      <c r="R71" s="2" t="str">
        <f>IF(Source!$C71&gt;=COLUMNS($A71:R71), Source!$E71, "")</f>
        <v/>
      </c>
      <c r="S71" s="2" t="str">
        <f>IF(Source!$C71&gt;=COLUMNS($A71:S71), Source!$E71, "")</f>
        <v/>
      </c>
      <c r="T71" s="2" t="str">
        <f>IF(Source!$C71&gt;=COLUMNS($A71:T71), Source!$E71, "")</f>
        <v/>
      </c>
      <c r="U71" s="2" t="str">
        <f>IF(Source!$C71&gt;=COLUMNS($A71:U71), Source!$E71, "")</f>
        <v/>
      </c>
      <c r="V71" s="2" t="str">
        <f>IF(Source!$C71&gt;=COLUMNS($A71:V71), Source!$E71, "")</f>
        <v/>
      </c>
      <c r="W71" s="2" t="str">
        <f>IF(Source!$C71&gt;=COLUMNS($A71:W71), Source!$E71, "")</f>
        <v/>
      </c>
      <c r="X71" s="2" t="str">
        <f>IF(Source!$C71&gt;=COLUMNS($A71:X71), Source!$E71, "")</f>
        <v/>
      </c>
      <c r="Y71" s="2" t="str">
        <f>IF(Source!$C71&gt;=COLUMNS($A71:Y71), Source!$E71, "")</f>
        <v/>
      </c>
      <c r="Z71" s="2" t="str">
        <f>IF(Source!$C71&gt;=COLUMNS($A71:Z71), Source!$E71, "")</f>
        <v/>
      </c>
      <c r="AA71" s="2" t="str">
        <f>IF(Source!$C71&gt;=COLUMNS($A71:AA71), Source!$E71, "")</f>
        <v/>
      </c>
      <c r="AB71" s="2" t="str">
        <f>IF(Source!$C71&gt;=COLUMNS($A71:AB71), Source!$E71, "")</f>
        <v/>
      </c>
      <c r="AC71" s="2" t="str">
        <f>IF(Source!$C71&gt;=COLUMNS($A71:AC71), Source!$E71, "")</f>
        <v/>
      </c>
      <c r="AD71" s="2" t="str">
        <f>IF(Source!$C71&gt;=COLUMNS($A71:AD71), Source!$E71, "")</f>
        <v/>
      </c>
      <c r="AE71" s="2" t="str">
        <f>IF(Source!$C71&gt;=COLUMNS($A71:AE71), Source!$E71, "")</f>
        <v/>
      </c>
      <c r="AF71" s="2" t="str">
        <f>IF(Source!$C71&gt;=COLUMNS($A71:AF71), Source!$E71, "")</f>
        <v/>
      </c>
      <c r="AG71" s="2" t="str">
        <f>IF(Source!$C71&gt;=COLUMNS($A71:AG71), Source!$E71, "")</f>
        <v/>
      </c>
      <c r="AH71" s="2" t="str">
        <f>IF(Source!$C71&gt;=COLUMNS($A71:AH71), Source!$E71, "")</f>
        <v/>
      </c>
      <c r="AI71" s="2" t="str">
        <f>IF(Source!$C71&gt;=COLUMNS($A71:AI71), Source!$E71, "")</f>
        <v/>
      </c>
      <c r="AJ71" s="2" t="str">
        <f>IF(Source!$C71&gt;=COLUMNS($A71:AJ71), Source!$E71, "")</f>
        <v/>
      </c>
      <c r="AK71" s="2" t="str">
        <f>IF(Source!$C71&gt;=COLUMNS($A71:AK71), Source!$E71, "")</f>
        <v/>
      </c>
      <c r="AL71" s="2" t="str">
        <f>IF(Source!$C71&gt;=COLUMNS($A71:AL71), Source!$E71, "")</f>
        <v/>
      </c>
      <c r="AM71" s="2" t="str">
        <f>IF(Source!$C71&gt;=COLUMNS($A71:AM71), Source!$E71, "")</f>
        <v/>
      </c>
      <c r="AN71" s="2" t="str">
        <f>IF(Source!$C71&gt;=COLUMNS($A71:AN71), Source!$E71, "")</f>
        <v/>
      </c>
      <c r="AO71" s="2" t="str">
        <f>IF(Source!$C71&gt;=COLUMNS($A71:AO71), Source!$E71, "")</f>
        <v/>
      </c>
      <c r="AP71" s="2" t="str">
        <f>IF(Source!$C71&gt;=COLUMNS($A71:AP71), Source!$E71, "")</f>
        <v/>
      </c>
      <c r="AQ71" s="2" t="str">
        <f>IF(Source!$C71&gt;=COLUMNS($A71:AQ71), Source!$E71, "")</f>
        <v/>
      </c>
      <c r="AR71" s="2" t="str">
        <f>IF(Source!$C71&gt;=COLUMNS($A71:AR71), Source!$E71, "")</f>
        <v/>
      </c>
    </row>
    <row r="72">
      <c r="A72" s="2">
        <f>IF(Source!$C72&gt;=COLUMNS($A72:A72), Source!$E72, "")</f>
        <v>6</v>
      </c>
      <c r="B72" s="2">
        <f>IF(Source!$C72&gt;=COLUMNS($A72:B72), Source!$E72, "")</f>
        <v>6</v>
      </c>
      <c r="C72" s="2">
        <f>IF(Source!$C72&gt;=COLUMNS($A72:C72), Source!$E72, "")</f>
        <v>6</v>
      </c>
      <c r="D72" s="2">
        <f>IF(Source!$C72&gt;=COLUMNS($A72:D72), Source!$E72, "")</f>
        <v>6</v>
      </c>
      <c r="E72" s="2">
        <f>IF(Source!$C72&gt;=COLUMNS($A72:E72), Source!$E72, "")</f>
        <v>6</v>
      </c>
      <c r="F72" s="2">
        <f>IF(Source!$C72&gt;=COLUMNS($A72:F72), Source!$E72, "")</f>
        <v>6</v>
      </c>
      <c r="G72" s="2">
        <f>IF(Source!$C72&gt;=COLUMNS($A72:G72), Source!$E72, "")</f>
        <v>6</v>
      </c>
      <c r="H72" s="2">
        <f>IF(Source!$C72&gt;=COLUMNS($A72:H72), Source!$E72, "")</f>
        <v>6</v>
      </c>
      <c r="I72" s="2">
        <f>IF(Source!$C72&gt;=COLUMNS($A72:I72), Source!$E72, "")</f>
        <v>6</v>
      </c>
      <c r="J72" s="2">
        <f>IF(Source!$C72&gt;=COLUMNS($A72:J72), Source!$E72, "")</f>
        <v>6</v>
      </c>
      <c r="K72" s="2">
        <f>IF(Source!$C72&gt;=COLUMNS($A72:K72), Source!$E72, "")</f>
        <v>6</v>
      </c>
      <c r="L72" s="2">
        <f>IF(Source!$C72&gt;=COLUMNS($A72:L72), Source!$E72, "")</f>
        <v>6</v>
      </c>
      <c r="M72" s="2">
        <f>IF(Source!$C72&gt;=COLUMNS($A72:M72), Source!$E72, "")</f>
        <v>6</v>
      </c>
      <c r="N72" s="2">
        <f>IF(Source!$C72&gt;=COLUMNS($A72:N72), Source!$E72, "")</f>
        <v>6</v>
      </c>
      <c r="O72" s="2">
        <f>IF(Source!$C72&gt;=COLUMNS($A72:O72), Source!$E72, "")</f>
        <v>6</v>
      </c>
      <c r="P72" s="2">
        <f>IF(Source!$C72&gt;=COLUMNS($A72:P72), Source!$E72, "")</f>
        <v>6</v>
      </c>
      <c r="Q72" s="2">
        <f>IF(Source!$C72&gt;=COLUMNS($A72:Q72), Source!$E72, "")</f>
        <v>6</v>
      </c>
      <c r="R72" s="2">
        <f>IF(Source!$C72&gt;=COLUMNS($A72:R72), Source!$E72, "")</f>
        <v>6</v>
      </c>
      <c r="S72" s="2" t="str">
        <f>IF(Source!$C72&gt;=COLUMNS($A72:S72), Source!$E72, "")</f>
        <v/>
      </c>
      <c r="T72" s="2" t="str">
        <f>IF(Source!$C72&gt;=COLUMNS($A72:T72), Source!$E72, "")</f>
        <v/>
      </c>
      <c r="U72" s="2" t="str">
        <f>IF(Source!$C72&gt;=COLUMNS($A72:U72), Source!$E72, "")</f>
        <v/>
      </c>
      <c r="V72" s="2" t="str">
        <f>IF(Source!$C72&gt;=COLUMNS($A72:V72), Source!$E72, "")</f>
        <v/>
      </c>
      <c r="W72" s="2" t="str">
        <f>IF(Source!$C72&gt;=COLUMNS($A72:W72), Source!$E72, "")</f>
        <v/>
      </c>
      <c r="X72" s="2" t="str">
        <f>IF(Source!$C72&gt;=COLUMNS($A72:X72), Source!$E72, "")</f>
        <v/>
      </c>
      <c r="Y72" s="2" t="str">
        <f>IF(Source!$C72&gt;=COLUMNS($A72:Y72), Source!$E72, "")</f>
        <v/>
      </c>
      <c r="Z72" s="2" t="str">
        <f>IF(Source!$C72&gt;=COLUMNS($A72:Z72), Source!$E72, "")</f>
        <v/>
      </c>
      <c r="AA72" s="2" t="str">
        <f>IF(Source!$C72&gt;=COLUMNS($A72:AA72), Source!$E72, "")</f>
        <v/>
      </c>
      <c r="AB72" s="2" t="str">
        <f>IF(Source!$C72&gt;=COLUMNS($A72:AB72), Source!$E72, "")</f>
        <v/>
      </c>
      <c r="AC72" s="2" t="str">
        <f>IF(Source!$C72&gt;=COLUMNS($A72:AC72), Source!$E72, "")</f>
        <v/>
      </c>
      <c r="AD72" s="2" t="str">
        <f>IF(Source!$C72&gt;=COLUMNS($A72:AD72), Source!$E72, "")</f>
        <v/>
      </c>
      <c r="AE72" s="2" t="str">
        <f>IF(Source!$C72&gt;=COLUMNS($A72:AE72), Source!$E72, "")</f>
        <v/>
      </c>
      <c r="AF72" s="2" t="str">
        <f>IF(Source!$C72&gt;=COLUMNS($A72:AF72), Source!$E72, "")</f>
        <v/>
      </c>
      <c r="AG72" s="2" t="str">
        <f>IF(Source!$C72&gt;=COLUMNS($A72:AG72), Source!$E72, "")</f>
        <v/>
      </c>
      <c r="AH72" s="2" t="str">
        <f>IF(Source!$C72&gt;=COLUMNS($A72:AH72), Source!$E72, "")</f>
        <v/>
      </c>
      <c r="AI72" s="2" t="str">
        <f>IF(Source!$C72&gt;=COLUMNS($A72:AI72), Source!$E72, "")</f>
        <v/>
      </c>
      <c r="AJ72" s="2" t="str">
        <f>IF(Source!$C72&gt;=COLUMNS($A72:AJ72), Source!$E72, "")</f>
        <v/>
      </c>
      <c r="AK72" s="2" t="str">
        <f>IF(Source!$C72&gt;=COLUMNS($A72:AK72), Source!$E72, "")</f>
        <v/>
      </c>
      <c r="AL72" s="2" t="str">
        <f>IF(Source!$C72&gt;=COLUMNS($A72:AL72), Source!$E72, "")</f>
        <v/>
      </c>
      <c r="AM72" s="2" t="str">
        <f>IF(Source!$C72&gt;=COLUMNS($A72:AM72), Source!$E72, "")</f>
        <v/>
      </c>
      <c r="AN72" s="2" t="str">
        <f>IF(Source!$C72&gt;=COLUMNS($A72:AN72), Source!$E72, "")</f>
        <v/>
      </c>
      <c r="AO72" s="2" t="str">
        <f>IF(Source!$C72&gt;=COLUMNS($A72:AO72), Source!$E72, "")</f>
        <v/>
      </c>
      <c r="AP72" s="2" t="str">
        <f>IF(Source!$C72&gt;=COLUMNS($A72:AP72), Source!$E72, "")</f>
        <v/>
      </c>
      <c r="AQ72" s="2" t="str">
        <f>IF(Source!$C72&gt;=COLUMNS($A72:AQ72), Source!$E72, "")</f>
        <v/>
      </c>
      <c r="AR72" s="2" t="str">
        <f>IF(Source!$C72&gt;=COLUMNS($A72:AR72), Source!$E72, "")</f>
        <v/>
      </c>
    </row>
    <row r="73">
      <c r="A73" s="2">
        <f>IF(Source!$C73&gt;=COLUMNS($A73:A73), Source!$E73, "")</f>
        <v>9</v>
      </c>
      <c r="B73" s="2">
        <f>IF(Source!$C73&gt;=COLUMNS($A73:B73), Source!$E73, "")</f>
        <v>9</v>
      </c>
      <c r="C73" s="2">
        <f>IF(Source!$C73&gt;=COLUMNS($A73:C73), Source!$E73, "")</f>
        <v>9</v>
      </c>
      <c r="D73" s="2">
        <f>IF(Source!$C73&gt;=COLUMNS($A73:D73), Source!$E73, "")</f>
        <v>9</v>
      </c>
      <c r="E73" s="2">
        <f>IF(Source!$C73&gt;=COLUMNS($A73:E73), Source!$E73, "")</f>
        <v>9</v>
      </c>
      <c r="F73" s="2">
        <f>IF(Source!$C73&gt;=COLUMNS($A73:F73), Source!$E73, "")</f>
        <v>9</v>
      </c>
      <c r="G73" s="2" t="str">
        <f>IF(Source!$C73&gt;=COLUMNS($A73:G73), Source!$E73, "")</f>
        <v/>
      </c>
      <c r="H73" s="2" t="str">
        <f>IF(Source!$C73&gt;=COLUMNS($A73:H73), Source!$E73, "")</f>
        <v/>
      </c>
      <c r="I73" s="2" t="str">
        <f>IF(Source!$C73&gt;=COLUMNS($A73:I73), Source!$E73, "")</f>
        <v/>
      </c>
      <c r="J73" s="2" t="str">
        <f>IF(Source!$C73&gt;=COLUMNS($A73:J73), Source!$E73, "")</f>
        <v/>
      </c>
      <c r="K73" s="2" t="str">
        <f>IF(Source!$C73&gt;=COLUMNS($A73:K73), Source!$E73, "")</f>
        <v/>
      </c>
      <c r="L73" s="2" t="str">
        <f>IF(Source!$C73&gt;=COLUMNS($A73:L73), Source!$E73, "")</f>
        <v/>
      </c>
      <c r="M73" s="2" t="str">
        <f>IF(Source!$C73&gt;=COLUMNS($A73:M73), Source!$E73, "")</f>
        <v/>
      </c>
      <c r="N73" s="2" t="str">
        <f>IF(Source!$C73&gt;=COLUMNS($A73:N73), Source!$E73, "")</f>
        <v/>
      </c>
      <c r="O73" s="2" t="str">
        <f>IF(Source!$C73&gt;=COLUMNS($A73:O73), Source!$E73, "")</f>
        <v/>
      </c>
      <c r="P73" s="2" t="str">
        <f>IF(Source!$C73&gt;=COLUMNS($A73:P73), Source!$E73, "")</f>
        <v/>
      </c>
      <c r="Q73" s="2" t="str">
        <f>IF(Source!$C73&gt;=COLUMNS($A73:Q73), Source!$E73, "")</f>
        <v/>
      </c>
      <c r="R73" s="2" t="str">
        <f>IF(Source!$C73&gt;=COLUMNS($A73:R73), Source!$E73, "")</f>
        <v/>
      </c>
      <c r="S73" s="2" t="str">
        <f>IF(Source!$C73&gt;=COLUMNS($A73:S73), Source!$E73, "")</f>
        <v/>
      </c>
      <c r="T73" s="2" t="str">
        <f>IF(Source!$C73&gt;=COLUMNS($A73:T73), Source!$E73, "")</f>
        <v/>
      </c>
      <c r="U73" s="2" t="str">
        <f>IF(Source!$C73&gt;=COLUMNS($A73:U73), Source!$E73, "")</f>
        <v/>
      </c>
      <c r="V73" s="2" t="str">
        <f>IF(Source!$C73&gt;=COLUMNS($A73:V73), Source!$E73, "")</f>
        <v/>
      </c>
      <c r="W73" s="2" t="str">
        <f>IF(Source!$C73&gt;=COLUMNS($A73:W73), Source!$E73, "")</f>
        <v/>
      </c>
      <c r="X73" s="2" t="str">
        <f>IF(Source!$C73&gt;=COLUMNS($A73:X73), Source!$E73, "")</f>
        <v/>
      </c>
      <c r="Y73" s="2" t="str">
        <f>IF(Source!$C73&gt;=COLUMNS($A73:Y73), Source!$E73, "")</f>
        <v/>
      </c>
      <c r="Z73" s="2" t="str">
        <f>IF(Source!$C73&gt;=COLUMNS($A73:Z73), Source!$E73, "")</f>
        <v/>
      </c>
      <c r="AA73" s="2" t="str">
        <f>IF(Source!$C73&gt;=COLUMNS($A73:AA73), Source!$E73, "")</f>
        <v/>
      </c>
      <c r="AB73" s="2" t="str">
        <f>IF(Source!$C73&gt;=COLUMNS($A73:AB73), Source!$E73, "")</f>
        <v/>
      </c>
      <c r="AC73" s="2" t="str">
        <f>IF(Source!$C73&gt;=COLUMNS($A73:AC73), Source!$E73, "")</f>
        <v/>
      </c>
      <c r="AD73" s="2" t="str">
        <f>IF(Source!$C73&gt;=COLUMNS($A73:AD73), Source!$E73, "")</f>
        <v/>
      </c>
      <c r="AE73" s="2" t="str">
        <f>IF(Source!$C73&gt;=COLUMNS($A73:AE73), Source!$E73, "")</f>
        <v/>
      </c>
      <c r="AF73" s="2" t="str">
        <f>IF(Source!$C73&gt;=COLUMNS($A73:AF73), Source!$E73, "")</f>
        <v/>
      </c>
      <c r="AG73" s="2" t="str">
        <f>IF(Source!$C73&gt;=COLUMNS($A73:AG73), Source!$E73, "")</f>
        <v/>
      </c>
      <c r="AH73" s="2" t="str">
        <f>IF(Source!$C73&gt;=COLUMNS($A73:AH73), Source!$E73, "")</f>
        <v/>
      </c>
      <c r="AI73" s="2" t="str">
        <f>IF(Source!$C73&gt;=COLUMNS($A73:AI73), Source!$E73, "")</f>
        <v/>
      </c>
      <c r="AJ73" s="2" t="str">
        <f>IF(Source!$C73&gt;=COLUMNS($A73:AJ73), Source!$E73, "")</f>
        <v/>
      </c>
      <c r="AK73" s="2" t="str">
        <f>IF(Source!$C73&gt;=COLUMNS($A73:AK73), Source!$E73, "")</f>
        <v/>
      </c>
      <c r="AL73" s="2" t="str">
        <f>IF(Source!$C73&gt;=COLUMNS($A73:AL73), Source!$E73, "")</f>
        <v/>
      </c>
      <c r="AM73" s="2" t="str">
        <f>IF(Source!$C73&gt;=COLUMNS($A73:AM73), Source!$E73, "")</f>
        <v/>
      </c>
      <c r="AN73" s="2" t="str">
        <f>IF(Source!$C73&gt;=COLUMNS($A73:AN73), Source!$E73, "")</f>
        <v/>
      </c>
      <c r="AO73" s="2" t="str">
        <f>IF(Source!$C73&gt;=COLUMNS($A73:AO73), Source!$E73, "")</f>
        <v/>
      </c>
      <c r="AP73" s="2" t="str">
        <f>IF(Source!$C73&gt;=COLUMNS($A73:AP73), Source!$E73, "")</f>
        <v/>
      </c>
      <c r="AQ73" s="2" t="str">
        <f>IF(Source!$C73&gt;=COLUMNS($A73:AQ73), Source!$E73, "")</f>
        <v/>
      </c>
      <c r="AR73" s="2" t="str">
        <f>IF(Source!$C73&gt;=COLUMNS($A73:AR73), Source!$E73, "")</f>
        <v/>
      </c>
    </row>
    <row r="74">
      <c r="A74" s="2">
        <f>IF(Source!$C74&gt;=COLUMNS($A74:A74), Source!$E74, "")</f>
        <v>9</v>
      </c>
      <c r="B74" s="2" t="str">
        <f>IF(Source!$C74&gt;=COLUMNS($A74:B74), Source!$E74, "")</f>
        <v/>
      </c>
      <c r="C74" s="2" t="str">
        <f>IF(Source!$C74&gt;=COLUMNS($A74:C74), Source!$E74, "")</f>
        <v/>
      </c>
      <c r="D74" s="2" t="str">
        <f>IF(Source!$C74&gt;=COLUMNS($A74:D74), Source!$E74, "")</f>
        <v/>
      </c>
      <c r="E74" s="2" t="str">
        <f>IF(Source!$C74&gt;=COLUMNS($A74:E74), Source!$E74, "")</f>
        <v/>
      </c>
      <c r="F74" s="2" t="str">
        <f>IF(Source!$C74&gt;=COLUMNS($A74:F74), Source!$E74, "")</f>
        <v/>
      </c>
      <c r="G74" s="2" t="str">
        <f>IF(Source!$C74&gt;=COLUMNS($A74:G74), Source!$E74, "")</f>
        <v/>
      </c>
      <c r="H74" s="2" t="str">
        <f>IF(Source!$C74&gt;=COLUMNS($A74:H74), Source!$E74, "")</f>
        <v/>
      </c>
      <c r="I74" s="2" t="str">
        <f>IF(Source!$C74&gt;=COLUMNS($A74:I74), Source!$E74, "")</f>
        <v/>
      </c>
      <c r="J74" s="2" t="str">
        <f>IF(Source!$C74&gt;=COLUMNS($A74:J74), Source!$E74, "")</f>
        <v/>
      </c>
      <c r="K74" s="2" t="str">
        <f>IF(Source!$C74&gt;=COLUMNS($A74:K74), Source!$E74, "")</f>
        <v/>
      </c>
      <c r="L74" s="2" t="str">
        <f>IF(Source!$C74&gt;=COLUMNS($A74:L74), Source!$E74, "")</f>
        <v/>
      </c>
      <c r="M74" s="2" t="str">
        <f>IF(Source!$C74&gt;=COLUMNS($A74:M74), Source!$E74, "")</f>
        <v/>
      </c>
      <c r="N74" s="2" t="str">
        <f>IF(Source!$C74&gt;=COLUMNS($A74:N74), Source!$E74, "")</f>
        <v/>
      </c>
      <c r="O74" s="2" t="str">
        <f>IF(Source!$C74&gt;=COLUMNS($A74:O74), Source!$E74, "")</f>
        <v/>
      </c>
      <c r="P74" s="2" t="str">
        <f>IF(Source!$C74&gt;=COLUMNS($A74:P74), Source!$E74, "")</f>
        <v/>
      </c>
      <c r="Q74" s="2" t="str">
        <f>IF(Source!$C74&gt;=COLUMNS($A74:Q74), Source!$E74, "")</f>
        <v/>
      </c>
      <c r="R74" s="2" t="str">
        <f>IF(Source!$C74&gt;=COLUMNS($A74:R74), Source!$E74, "")</f>
        <v/>
      </c>
      <c r="S74" s="2" t="str">
        <f>IF(Source!$C74&gt;=COLUMNS($A74:S74), Source!$E74, "")</f>
        <v/>
      </c>
      <c r="T74" s="2" t="str">
        <f>IF(Source!$C74&gt;=COLUMNS($A74:T74), Source!$E74, "")</f>
        <v/>
      </c>
      <c r="U74" s="2" t="str">
        <f>IF(Source!$C74&gt;=COLUMNS($A74:U74), Source!$E74, "")</f>
        <v/>
      </c>
      <c r="V74" s="2" t="str">
        <f>IF(Source!$C74&gt;=COLUMNS($A74:V74), Source!$E74, "")</f>
        <v/>
      </c>
      <c r="W74" s="2" t="str">
        <f>IF(Source!$C74&gt;=COLUMNS($A74:W74), Source!$E74, "")</f>
        <v/>
      </c>
      <c r="X74" s="2" t="str">
        <f>IF(Source!$C74&gt;=COLUMNS($A74:X74), Source!$E74, "")</f>
        <v/>
      </c>
      <c r="Y74" s="2" t="str">
        <f>IF(Source!$C74&gt;=COLUMNS($A74:Y74), Source!$E74, "")</f>
        <v/>
      </c>
      <c r="Z74" s="2" t="str">
        <f>IF(Source!$C74&gt;=COLUMNS($A74:Z74), Source!$E74, "")</f>
        <v/>
      </c>
      <c r="AA74" s="2" t="str">
        <f>IF(Source!$C74&gt;=COLUMNS($A74:AA74), Source!$E74, "")</f>
        <v/>
      </c>
      <c r="AB74" s="2" t="str">
        <f>IF(Source!$C74&gt;=COLUMNS($A74:AB74), Source!$E74, "")</f>
        <v/>
      </c>
      <c r="AC74" s="2" t="str">
        <f>IF(Source!$C74&gt;=COLUMNS($A74:AC74), Source!$E74, "")</f>
        <v/>
      </c>
      <c r="AD74" s="2" t="str">
        <f>IF(Source!$C74&gt;=COLUMNS($A74:AD74), Source!$E74, "")</f>
        <v/>
      </c>
      <c r="AE74" s="2" t="str">
        <f>IF(Source!$C74&gt;=COLUMNS($A74:AE74), Source!$E74, "")</f>
        <v/>
      </c>
      <c r="AF74" s="2" t="str">
        <f>IF(Source!$C74&gt;=COLUMNS($A74:AF74), Source!$E74, "")</f>
        <v/>
      </c>
      <c r="AG74" s="2" t="str">
        <f>IF(Source!$C74&gt;=COLUMNS($A74:AG74), Source!$E74, "")</f>
        <v/>
      </c>
      <c r="AH74" s="2" t="str">
        <f>IF(Source!$C74&gt;=COLUMNS($A74:AH74), Source!$E74, "")</f>
        <v/>
      </c>
      <c r="AI74" s="2" t="str">
        <f>IF(Source!$C74&gt;=COLUMNS($A74:AI74), Source!$E74, "")</f>
        <v/>
      </c>
      <c r="AJ74" s="2" t="str">
        <f>IF(Source!$C74&gt;=COLUMNS($A74:AJ74), Source!$E74, "")</f>
        <v/>
      </c>
      <c r="AK74" s="2" t="str">
        <f>IF(Source!$C74&gt;=COLUMNS($A74:AK74), Source!$E74, "")</f>
        <v/>
      </c>
      <c r="AL74" s="2" t="str">
        <f>IF(Source!$C74&gt;=COLUMNS($A74:AL74), Source!$E74, "")</f>
        <v/>
      </c>
      <c r="AM74" s="2" t="str">
        <f>IF(Source!$C74&gt;=COLUMNS($A74:AM74), Source!$E74, "")</f>
        <v/>
      </c>
      <c r="AN74" s="2" t="str">
        <f>IF(Source!$C74&gt;=COLUMNS($A74:AN74), Source!$E74, "")</f>
        <v/>
      </c>
      <c r="AO74" s="2" t="str">
        <f>IF(Source!$C74&gt;=COLUMNS($A74:AO74), Source!$E74, "")</f>
        <v/>
      </c>
      <c r="AP74" s="2" t="str">
        <f>IF(Source!$C74&gt;=COLUMNS($A74:AP74), Source!$E74, "")</f>
        <v/>
      </c>
      <c r="AQ74" s="2" t="str">
        <f>IF(Source!$C74&gt;=COLUMNS($A74:AQ74), Source!$E74, "")</f>
        <v/>
      </c>
      <c r="AR74" s="2" t="str">
        <f>IF(Source!$C74&gt;=COLUMNS($A74:AR74), Source!$E74, "")</f>
        <v/>
      </c>
    </row>
    <row r="75">
      <c r="A75" s="2">
        <f>IF(Source!$C75&gt;=COLUMNS($A75:A75), Source!$E75, "")</f>
        <v>2</v>
      </c>
      <c r="B75" s="2">
        <f>IF(Source!$C75&gt;=COLUMNS($A75:B75), Source!$E75, "")</f>
        <v>2</v>
      </c>
      <c r="C75" s="2">
        <f>IF(Source!$C75&gt;=COLUMNS($A75:C75), Source!$E75, "")</f>
        <v>2</v>
      </c>
      <c r="D75" s="2">
        <f>IF(Source!$C75&gt;=COLUMNS($A75:D75), Source!$E75, "")</f>
        <v>2</v>
      </c>
      <c r="E75" s="2">
        <f>IF(Source!$C75&gt;=COLUMNS($A75:E75), Source!$E75, "")</f>
        <v>2</v>
      </c>
      <c r="F75" s="2">
        <f>IF(Source!$C75&gt;=COLUMNS($A75:F75), Source!$E75, "")</f>
        <v>2</v>
      </c>
      <c r="G75" s="2">
        <f>IF(Source!$C75&gt;=COLUMNS($A75:G75), Source!$E75, "")</f>
        <v>2</v>
      </c>
      <c r="H75" s="2">
        <f>IF(Source!$C75&gt;=COLUMNS($A75:H75), Source!$E75, "")</f>
        <v>2</v>
      </c>
      <c r="I75" s="2">
        <f>IF(Source!$C75&gt;=COLUMNS($A75:I75), Source!$E75, "")</f>
        <v>2</v>
      </c>
      <c r="J75" s="2">
        <f>IF(Source!$C75&gt;=COLUMNS($A75:J75), Source!$E75, "")</f>
        <v>2</v>
      </c>
      <c r="K75" s="2">
        <f>IF(Source!$C75&gt;=COLUMNS($A75:K75), Source!$E75, "")</f>
        <v>2</v>
      </c>
      <c r="L75" s="2" t="str">
        <f>IF(Source!$C75&gt;=COLUMNS($A75:L75), Source!$E75, "")</f>
        <v/>
      </c>
      <c r="M75" s="2" t="str">
        <f>IF(Source!$C75&gt;=COLUMNS($A75:M75), Source!$E75, "")</f>
        <v/>
      </c>
      <c r="N75" s="2" t="str">
        <f>IF(Source!$C75&gt;=COLUMNS($A75:N75), Source!$E75, "")</f>
        <v/>
      </c>
      <c r="O75" s="2" t="str">
        <f>IF(Source!$C75&gt;=COLUMNS($A75:O75), Source!$E75, "")</f>
        <v/>
      </c>
      <c r="P75" s="2" t="str">
        <f>IF(Source!$C75&gt;=COLUMNS($A75:P75), Source!$E75, "")</f>
        <v/>
      </c>
      <c r="Q75" s="2" t="str">
        <f>IF(Source!$C75&gt;=COLUMNS($A75:Q75), Source!$E75, "")</f>
        <v/>
      </c>
      <c r="R75" s="2" t="str">
        <f>IF(Source!$C75&gt;=COLUMNS($A75:R75), Source!$E75, "")</f>
        <v/>
      </c>
      <c r="S75" s="2" t="str">
        <f>IF(Source!$C75&gt;=COLUMNS($A75:S75), Source!$E75, "")</f>
        <v/>
      </c>
      <c r="T75" s="2" t="str">
        <f>IF(Source!$C75&gt;=COLUMNS($A75:T75), Source!$E75, "")</f>
        <v/>
      </c>
      <c r="U75" s="2" t="str">
        <f>IF(Source!$C75&gt;=COLUMNS($A75:U75), Source!$E75, "")</f>
        <v/>
      </c>
      <c r="V75" s="2" t="str">
        <f>IF(Source!$C75&gt;=COLUMNS($A75:V75), Source!$E75, "")</f>
        <v/>
      </c>
      <c r="W75" s="2" t="str">
        <f>IF(Source!$C75&gt;=COLUMNS($A75:W75), Source!$E75, "")</f>
        <v/>
      </c>
      <c r="X75" s="2" t="str">
        <f>IF(Source!$C75&gt;=COLUMNS($A75:X75), Source!$E75, "")</f>
        <v/>
      </c>
      <c r="Y75" s="2" t="str">
        <f>IF(Source!$C75&gt;=COLUMNS($A75:Y75), Source!$E75, "")</f>
        <v/>
      </c>
      <c r="Z75" s="2" t="str">
        <f>IF(Source!$C75&gt;=COLUMNS($A75:Z75), Source!$E75, "")</f>
        <v/>
      </c>
      <c r="AA75" s="2" t="str">
        <f>IF(Source!$C75&gt;=COLUMNS($A75:AA75), Source!$E75, "")</f>
        <v/>
      </c>
      <c r="AB75" s="2" t="str">
        <f>IF(Source!$C75&gt;=COLUMNS($A75:AB75), Source!$E75, "")</f>
        <v/>
      </c>
      <c r="AC75" s="2" t="str">
        <f>IF(Source!$C75&gt;=COLUMNS($A75:AC75), Source!$E75, "")</f>
        <v/>
      </c>
      <c r="AD75" s="2" t="str">
        <f>IF(Source!$C75&gt;=COLUMNS($A75:AD75), Source!$E75, "")</f>
        <v/>
      </c>
      <c r="AE75" s="2" t="str">
        <f>IF(Source!$C75&gt;=COLUMNS($A75:AE75), Source!$E75, "")</f>
        <v/>
      </c>
      <c r="AF75" s="2" t="str">
        <f>IF(Source!$C75&gt;=COLUMNS($A75:AF75), Source!$E75, "")</f>
        <v/>
      </c>
      <c r="AG75" s="2" t="str">
        <f>IF(Source!$C75&gt;=COLUMNS($A75:AG75), Source!$E75, "")</f>
        <v/>
      </c>
      <c r="AH75" s="2" t="str">
        <f>IF(Source!$C75&gt;=COLUMNS($A75:AH75), Source!$E75, "")</f>
        <v/>
      </c>
      <c r="AI75" s="2" t="str">
        <f>IF(Source!$C75&gt;=COLUMNS($A75:AI75), Source!$E75, "")</f>
        <v/>
      </c>
      <c r="AJ75" s="2" t="str">
        <f>IF(Source!$C75&gt;=COLUMNS($A75:AJ75), Source!$E75, "")</f>
        <v/>
      </c>
      <c r="AK75" s="2" t="str">
        <f>IF(Source!$C75&gt;=COLUMNS($A75:AK75), Source!$E75, "")</f>
        <v/>
      </c>
      <c r="AL75" s="2" t="str">
        <f>IF(Source!$C75&gt;=COLUMNS($A75:AL75), Source!$E75, "")</f>
        <v/>
      </c>
      <c r="AM75" s="2" t="str">
        <f>IF(Source!$C75&gt;=COLUMNS($A75:AM75), Source!$E75, "")</f>
        <v/>
      </c>
      <c r="AN75" s="2" t="str">
        <f>IF(Source!$C75&gt;=COLUMNS($A75:AN75), Source!$E75, "")</f>
        <v/>
      </c>
      <c r="AO75" s="2" t="str">
        <f>IF(Source!$C75&gt;=COLUMNS($A75:AO75), Source!$E75, "")</f>
        <v/>
      </c>
      <c r="AP75" s="2" t="str">
        <f>IF(Source!$C75&gt;=COLUMNS($A75:AP75), Source!$E75, "")</f>
        <v/>
      </c>
      <c r="AQ75" s="2" t="str">
        <f>IF(Source!$C75&gt;=COLUMNS($A75:AQ75), Source!$E75, "")</f>
        <v/>
      </c>
      <c r="AR75" s="2" t="str">
        <f>IF(Source!$C75&gt;=COLUMNS($A75:AR75), Source!$E75, "")</f>
        <v/>
      </c>
    </row>
    <row r="76">
      <c r="A76" s="2">
        <f>IF(Source!$C76&gt;=COLUMNS($A76:A76), Source!$E76, "")</f>
        <v>5</v>
      </c>
      <c r="B76" s="2">
        <f>IF(Source!$C76&gt;=COLUMNS($A76:B76), Source!$E76, "")</f>
        <v>5</v>
      </c>
      <c r="C76" s="2" t="str">
        <f>IF(Source!$C76&gt;=COLUMNS($A76:C76), Source!$E76, "")</f>
        <v/>
      </c>
      <c r="D76" s="2" t="str">
        <f>IF(Source!$C76&gt;=COLUMNS($A76:D76), Source!$E76, "")</f>
        <v/>
      </c>
      <c r="E76" s="2" t="str">
        <f>IF(Source!$C76&gt;=COLUMNS($A76:E76), Source!$E76, "")</f>
        <v/>
      </c>
      <c r="F76" s="2" t="str">
        <f>IF(Source!$C76&gt;=COLUMNS($A76:F76), Source!$E76, "")</f>
        <v/>
      </c>
      <c r="G76" s="2" t="str">
        <f>IF(Source!$C76&gt;=COLUMNS($A76:G76), Source!$E76, "")</f>
        <v/>
      </c>
      <c r="H76" s="2" t="str">
        <f>IF(Source!$C76&gt;=COLUMNS($A76:H76), Source!$E76, "")</f>
        <v/>
      </c>
      <c r="I76" s="2" t="str">
        <f>IF(Source!$C76&gt;=COLUMNS($A76:I76), Source!$E76, "")</f>
        <v/>
      </c>
      <c r="J76" s="2" t="str">
        <f>IF(Source!$C76&gt;=COLUMNS($A76:J76), Source!$E76, "")</f>
        <v/>
      </c>
      <c r="K76" s="2" t="str">
        <f>IF(Source!$C76&gt;=COLUMNS($A76:K76), Source!$E76, "")</f>
        <v/>
      </c>
      <c r="L76" s="2" t="str">
        <f>IF(Source!$C76&gt;=COLUMNS($A76:L76), Source!$E76, "")</f>
        <v/>
      </c>
      <c r="M76" s="2" t="str">
        <f>IF(Source!$C76&gt;=COLUMNS($A76:M76), Source!$E76, "")</f>
        <v/>
      </c>
      <c r="N76" s="2" t="str">
        <f>IF(Source!$C76&gt;=COLUMNS($A76:N76), Source!$E76, "")</f>
        <v/>
      </c>
      <c r="O76" s="2" t="str">
        <f>IF(Source!$C76&gt;=COLUMNS($A76:O76), Source!$E76, "")</f>
        <v/>
      </c>
      <c r="P76" s="2" t="str">
        <f>IF(Source!$C76&gt;=COLUMNS($A76:P76), Source!$E76, "")</f>
        <v/>
      </c>
      <c r="Q76" s="2" t="str">
        <f>IF(Source!$C76&gt;=COLUMNS($A76:Q76), Source!$E76, "")</f>
        <v/>
      </c>
      <c r="R76" s="2" t="str">
        <f>IF(Source!$C76&gt;=COLUMNS($A76:R76), Source!$E76, "")</f>
        <v/>
      </c>
      <c r="S76" s="2" t="str">
        <f>IF(Source!$C76&gt;=COLUMNS($A76:S76), Source!$E76, "")</f>
        <v/>
      </c>
      <c r="T76" s="2" t="str">
        <f>IF(Source!$C76&gt;=COLUMNS($A76:T76), Source!$E76, "")</f>
        <v/>
      </c>
      <c r="U76" s="2" t="str">
        <f>IF(Source!$C76&gt;=COLUMNS($A76:U76), Source!$E76, "")</f>
        <v/>
      </c>
      <c r="V76" s="2" t="str">
        <f>IF(Source!$C76&gt;=COLUMNS($A76:V76), Source!$E76, "")</f>
        <v/>
      </c>
      <c r="W76" s="2" t="str">
        <f>IF(Source!$C76&gt;=COLUMNS($A76:W76), Source!$E76, "")</f>
        <v/>
      </c>
      <c r="X76" s="2" t="str">
        <f>IF(Source!$C76&gt;=COLUMNS($A76:X76), Source!$E76, "")</f>
        <v/>
      </c>
      <c r="Y76" s="2" t="str">
        <f>IF(Source!$C76&gt;=COLUMNS($A76:Y76), Source!$E76, "")</f>
        <v/>
      </c>
      <c r="Z76" s="2" t="str">
        <f>IF(Source!$C76&gt;=COLUMNS($A76:Z76), Source!$E76, "")</f>
        <v/>
      </c>
      <c r="AA76" s="2" t="str">
        <f>IF(Source!$C76&gt;=COLUMNS($A76:AA76), Source!$E76, "")</f>
        <v/>
      </c>
      <c r="AB76" s="2" t="str">
        <f>IF(Source!$C76&gt;=COLUMNS($A76:AB76), Source!$E76, "")</f>
        <v/>
      </c>
      <c r="AC76" s="2" t="str">
        <f>IF(Source!$C76&gt;=COLUMNS($A76:AC76), Source!$E76, "")</f>
        <v/>
      </c>
      <c r="AD76" s="2" t="str">
        <f>IF(Source!$C76&gt;=COLUMNS($A76:AD76), Source!$E76, "")</f>
        <v/>
      </c>
      <c r="AE76" s="2" t="str">
        <f>IF(Source!$C76&gt;=COLUMNS($A76:AE76), Source!$E76, "")</f>
        <v/>
      </c>
      <c r="AF76" s="2" t="str">
        <f>IF(Source!$C76&gt;=COLUMNS($A76:AF76), Source!$E76, "")</f>
        <v/>
      </c>
      <c r="AG76" s="2" t="str">
        <f>IF(Source!$C76&gt;=COLUMNS($A76:AG76), Source!$E76, "")</f>
        <v/>
      </c>
      <c r="AH76" s="2" t="str">
        <f>IF(Source!$C76&gt;=COLUMNS($A76:AH76), Source!$E76, "")</f>
        <v/>
      </c>
      <c r="AI76" s="2" t="str">
        <f>IF(Source!$C76&gt;=COLUMNS($A76:AI76), Source!$E76, "")</f>
        <v/>
      </c>
      <c r="AJ76" s="2" t="str">
        <f>IF(Source!$C76&gt;=COLUMNS($A76:AJ76), Source!$E76, "")</f>
        <v/>
      </c>
      <c r="AK76" s="2" t="str">
        <f>IF(Source!$C76&gt;=COLUMNS($A76:AK76), Source!$E76, "")</f>
        <v/>
      </c>
      <c r="AL76" s="2" t="str">
        <f>IF(Source!$C76&gt;=COLUMNS($A76:AL76), Source!$E76, "")</f>
        <v/>
      </c>
      <c r="AM76" s="2" t="str">
        <f>IF(Source!$C76&gt;=COLUMNS($A76:AM76), Source!$E76, "")</f>
        <v/>
      </c>
      <c r="AN76" s="2" t="str">
        <f>IF(Source!$C76&gt;=COLUMNS($A76:AN76), Source!$E76, "")</f>
        <v/>
      </c>
      <c r="AO76" s="2" t="str">
        <f>IF(Source!$C76&gt;=COLUMNS($A76:AO76), Source!$E76, "")</f>
        <v/>
      </c>
      <c r="AP76" s="2" t="str">
        <f>IF(Source!$C76&gt;=COLUMNS($A76:AP76), Source!$E76, "")</f>
        <v/>
      </c>
      <c r="AQ76" s="2" t="str">
        <f>IF(Source!$C76&gt;=COLUMNS($A76:AQ76), Source!$E76, "")</f>
        <v/>
      </c>
      <c r="AR76" s="2" t="str">
        <f>IF(Source!$C76&gt;=COLUMNS($A76:AR76), Source!$E76, "")</f>
        <v/>
      </c>
    </row>
    <row r="77">
      <c r="A77" s="2">
        <f>IF(Source!$C77&gt;=COLUMNS($A77:A77), Source!$E77, "")</f>
        <v>2</v>
      </c>
      <c r="B77" s="2" t="str">
        <f>IF(Source!$C77&gt;=COLUMNS($A77:B77), Source!$E77, "")</f>
        <v/>
      </c>
      <c r="C77" s="2" t="str">
        <f>IF(Source!$C77&gt;=COLUMNS($A77:C77), Source!$E77, "")</f>
        <v/>
      </c>
      <c r="D77" s="2" t="str">
        <f>IF(Source!$C77&gt;=COLUMNS($A77:D77), Source!$E77, "")</f>
        <v/>
      </c>
      <c r="E77" s="2" t="str">
        <f>IF(Source!$C77&gt;=COLUMNS($A77:E77), Source!$E77, "")</f>
        <v/>
      </c>
      <c r="F77" s="2" t="str">
        <f>IF(Source!$C77&gt;=COLUMNS($A77:F77), Source!$E77, "")</f>
        <v/>
      </c>
      <c r="G77" s="2" t="str">
        <f>IF(Source!$C77&gt;=COLUMNS($A77:G77), Source!$E77, "")</f>
        <v/>
      </c>
      <c r="H77" s="2" t="str">
        <f>IF(Source!$C77&gt;=COLUMNS($A77:H77), Source!$E77, "")</f>
        <v/>
      </c>
      <c r="I77" s="2" t="str">
        <f>IF(Source!$C77&gt;=COLUMNS($A77:I77), Source!$E77, "")</f>
        <v/>
      </c>
      <c r="J77" s="2" t="str">
        <f>IF(Source!$C77&gt;=COLUMNS($A77:J77), Source!$E77, "")</f>
        <v/>
      </c>
      <c r="K77" s="2" t="str">
        <f>IF(Source!$C77&gt;=COLUMNS($A77:K77), Source!$E77, "")</f>
        <v/>
      </c>
      <c r="L77" s="2" t="str">
        <f>IF(Source!$C77&gt;=COLUMNS($A77:L77), Source!$E77, "")</f>
        <v/>
      </c>
      <c r="M77" s="2" t="str">
        <f>IF(Source!$C77&gt;=COLUMNS($A77:M77), Source!$E77, "")</f>
        <v/>
      </c>
      <c r="N77" s="2" t="str">
        <f>IF(Source!$C77&gt;=COLUMNS($A77:N77), Source!$E77, "")</f>
        <v/>
      </c>
      <c r="O77" s="2" t="str">
        <f>IF(Source!$C77&gt;=COLUMNS($A77:O77), Source!$E77, "")</f>
        <v/>
      </c>
      <c r="P77" s="2" t="str">
        <f>IF(Source!$C77&gt;=COLUMNS($A77:P77), Source!$E77, "")</f>
        <v/>
      </c>
      <c r="Q77" s="2" t="str">
        <f>IF(Source!$C77&gt;=COLUMNS($A77:Q77), Source!$E77, "")</f>
        <v/>
      </c>
      <c r="R77" s="2" t="str">
        <f>IF(Source!$C77&gt;=COLUMNS($A77:R77), Source!$E77, "")</f>
        <v/>
      </c>
      <c r="S77" s="2" t="str">
        <f>IF(Source!$C77&gt;=COLUMNS($A77:S77), Source!$E77, "")</f>
        <v/>
      </c>
      <c r="T77" s="2" t="str">
        <f>IF(Source!$C77&gt;=COLUMNS($A77:T77), Source!$E77, "")</f>
        <v/>
      </c>
      <c r="U77" s="2" t="str">
        <f>IF(Source!$C77&gt;=COLUMNS($A77:U77), Source!$E77, "")</f>
        <v/>
      </c>
      <c r="V77" s="2" t="str">
        <f>IF(Source!$C77&gt;=COLUMNS($A77:V77), Source!$E77, "")</f>
        <v/>
      </c>
      <c r="W77" s="2" t="str">
        <f>IF(Source!$C77&gt;=COLUMNS($A77:W77), Source!$E77, "")</f>
        <v/>
      </c>
      <c r="X77" s="2" t="str">
        <f>IF(Source!$C77&gt;=COLUMNS($A77:X77), Source!$E77, "")</f>
        <v/>
      </c>
      <c r="Y77" s="2" t="str">
        <f>IF(Source!$C77&gt;=COLUMNS($A77:Y77), Source!$E77, "")</f>
        <v/>
      </c>
      <c r="Z77" s="2" t="str">
        <f>IF(Source!$C77&gt;=COLUMNS($A77:Z77), Source!$E77, "")</f>
        <v/>
      </c>
      <c r="AA77" s="2" t="str">
        <f>IF(Source!$C77&gt;=COLUMNS($A77:AA77), Source!$E77, "")</f>
        <v/>
      </c>
      <c r="AB77" s="2" t="str">
        <f>IF(Source!$C77&gt;=COLUMNS($A77:AB77), Source!$E77, "")</f>
        <v/>
      </c>
      <c r="AC77" s="2" t="str">
        <f>IF(Source!$C77&gt;=COLUMNS($A77:AC77), Source!$E77, "")</f>
        <v/>
      </c>
      <c r="AD77" s="2" t="str">
        <f>IF(Source!$C77&gt;=COLUMNS($A77:AD77), Source!$E77, "")</f>
        <v/>
      </c>
      <c r="AE77" s="2" t="str">
        <f>IF(Source!$C77&gt;=COLUMNS($A77:AE77), Source!$E77, "")</f>
        <v/>
      </c>
      <c r="AF77" s="2" t="str">
        <f>IF(Source!$C77&gt;=COLUMNS($A77:AF77), Source!$E77, "")</f>
        <v/>
      </c>
      <c r="AG77" s="2" t="str">
        <f>IF(Source!$C77&gt;=COLUMNS($A77:AG77), Source!$E77, "")</f>
        <v/>
      </c>
      <c r="AH77" s="2" t="str">
        <f>IF(Source!$C77&gt;=COLUMNS($A77:AH77), Source!$E77, "")</f>
        <v/>
      </c>
      <c r="AI77" s="2" t="str">
        <f>IF(Source!$C77&gt;=COLUMNS($A77:AI77), Source!$E77, "")</f>
        <v/>
      </c>
      <c r="AJ77" s="2" t="str">
        <f>IF(Source!$C77&gt;=COLUMNS($A77:AJ77), Source!$E77, "")</f>
        <v/>
      </c>
      <c r="AK77" s="2" t="str">
        <f>IF(Source!$C77&gt;=COLUMNS($A77:AK77), Source!$E77, "")</f>
        <v/>
      </c>
      <c r="AL77" s="2" t="str">
        <f>IF(Source!$C77&gt;=COLUMNS($A77:AL77), Source!$E77, "")</f>
        <v/>
      </c>
      <c r="AM77" s="2" t="str">
        <f>IF(Source!$C77&gt;=COLUMNS($A77:AM77), Source!$E77, "")</f>
        <v/>
      </c>
      <c r="AN77" s="2" t="str">
        <f>IF(Source!$C77&gt;=COLUMNS($A77:AN77), Source!$E77, "")</f>
        <v/>
      </c>
      <c r="AO77" s="2" t="str">
        <f>IF(Source!$C77&gt;=COLUMNS($A77:AO77), Source!$E77, "")</f>
        <v/>
      </c>
      <c r="AP77" s="2" t="str">
        <f>IF(Source!$C77&gt;=COLUMNS($A77:AP77), Source!$E77, "")</f>
        <v/>
      </c>
      <c r="AQ77" s="2" t="str">
        <f>IF(Source!$C77&gt;=COLUMNS($A77:AQ77), Source!$E77, "")</f>
        <v/>
      </c>
      <c r="AR77" s="2" t="str">
        <f>IF(Source!$C77&gt;=COLUMNS($A77:AR77), Source!$E77, "")</f>
        <v/>
      </c>
    </row>
    <row r="78">
      <c r="A78" s="2">
        <f>IF(Source!$C78&gt;=COLUMNS($A78:A78), Source!$E78, "")</f>
        <v>4</v>
      </c>
      <c r="B78" s="2">
        <f>IF(Source!$C78&gt;=COLUMNS($A78:B78), Source!$E78, "")</f>
        <v>4</v>
      </c>
      <c r="C78" s="2" t="str">
        <f>IF(Source!$C78&gt;=COLUMNS($A78:C78), Source!$E78, "")</f>
        <v/>
      </c>
      <c r="D78" s="2" t="str">
        <f>IF(Source!$C78&gt;=COLUMNS($A78:D78), Source!$E78, "")</f>
        <v/>
      </c>
      <c r="E78" s="2" t="str">
        <f>IF(Source!$C78&gt;=COLUMNS($A78:E78), Source!$E78, "")</f>
        <v/>
      </c>
      <c r="F78" s="2" t="str">
        <f>IF(Source!$C78&gt;=COLUMNS($A78:F78), Source!$E78, "")</f>
        <v/>
      </c>
      <c r="G78" s="2" t="str">
        <f>IF(Source!$C78&gt;=COLUMNS($A78:G78), Source!$E78, "")</f>
        <v/>
      </c>
      <c r="H78" s="2" t="str">
        <f>IF(Source!$C78&gt;=COLUMNS($A78:H78), Source!$E78, "")</f>
        <v/>
      </c>
      <c r="I78" s="2" t="str">
        <f>IF(Source!$C78&gt;=COLUMNS($A78:I78), Source!$E78, "")</f>
        <v/>
      </c>
      <c r="J78" s="2" t="str">
        <f>IF(Source!$C78&gt;=COLUMNS($A78:J78), Source!$E78, "")</f>
        <v/>
      </c>
      <c r="K78" s="2" t="str">
        <f>IF(Source!$C78&gt;=COLUMNS($A78:K78), Source!$E78, "")</f>
        <v/>
      </c>
      <c r="L78" s="2" t="str">
        <f>IF(Source!$C78&gt;=COLUMNS($A78:L78), Source!$E78, "")</f>
        <v/>
      </c>
      <c r="M78" s="2" t="str">
        <f>IF(Source!$C78&gt;=COLUMNS($A78:M78), Source!$E78, "")</f>
        <v/>
      </c>
      <c r="N78" s="2" t="str">
        <f>IF(Source!$C78&gt;=COLUMNS($A78:N78), Source!$E78, "")</f>
        <v/>
      </c>
      <c r="O78" s="2" t="str">
        <f>IF(Source!$C78&gt;=COLUMNS($A78:O78), Source!$E78, "")</f>
        <v/>
      </c>
      <c r="P78" s="2" t="str">
        <f>IF(Source!$C78&gt;=COLUMNS($A78:P78), Source!$E78, "")</f>
        <v/>
      </c>
      <c r="Q78" s="2" t="str">
        <f>IF(Source!$C78&gt;=COLUMNS($A78:Q78), Source!$E78, "")</f>
        <v/>
      </c>
      <c r="R78" s="2" t="str">
        <f>IF(Source!$C78&gt;=COLUMNS($A78:R78), Source!$E78, "")</f>
        <v/>
      </c>
      <c r="S78" s="2" t="str">
        <f>IF(Source!$C78&gt;=COLUMNS($A78:S78), Source!$E78, "")</f>
        <v/>
      </c>
      <c r="T78" s="2" t="str">
        <f>IF(Source!$C78&gt;=COLUMNS($A78:T78), Source!$E78, "")</f>
        <v/>
      </c>
      <c r="U78" s="2" t="str">
        <f>IF(Source!$C78&gt;=COLUMNS($A78:U78), Source!$E78, "")</f>
        <v/>
      </c>
      <c r="V78" s="2" t="str">
        <f>IF(Source!$C78&gt;=COLUMNS($A78:V78), Source!$E78, "")</f>
        <v/>
      </c>
      <c r="W78" s="2" t="str">
        <f>IF(Source!$C78&gt;=COLUMNS($A78:W78), Source!$E78, "")</f>
        <v/>
      </c>
      <c r="X78" s="2" t="str">
        <f>IF(Source!$C78&gt;=COLUMNS($A78:X78), Source!$E78, "")</f>
        <v/>
      </c>
      <c r="Y78" s="2" t="str">
        <f>IF(Source!$C78&gt;=COLUMNS($A78:Y78), Source!$E78, "")</f>
        <v/>
      </c>
      <c r="Z78" s="2" t="str">
        <f>IF(Source!$C78&gt;=COLUMNS($A78:Z78), Source!$E78, "")</f>
        <v/>
      </c>
      <c r="AA78" s="2" t="str">
        <f>IF(Source!$C78&gt;=COLUMNS($A78:AA78), Source!$E78, "")</f>
        <v/>
      </c>
      <c r="AB78" s="2" t="str">
        <f>IF(Source!$C78&gt;=COLUMNS($A78:AB78), Source!$E78, "")</f>
        <v/>
      </c>
      <c r="AC78" s="2" t="str">
        <f>IF(Source!$C78&gt;=COLUMNS($A78:AC78), Source!$E78, "")</f>
        <v/>
      </c>
      <c r="AD78" s="2" t="str">
        <f>IF(Source!$C78&gt;=COLUMNS($A78:AD78), Source!$E78, "")</f>
        <v/>
      </c>
      <c r="AE78" s="2" t="str">
        <f>IF(Source!$C78&gt;=COLUMNS($A78:AE78), Source!$E78, "")</f>
        <v/>
      </c>
      <c r="AF78" s="2" t="str">
        <f>IF(Source!$C78&gt;=COLUMNS($A78:AF78), Source!$E78, "")</f>
        <v/>
      </c>
      <c r="AG78" s="2" t="str">
        <f>IF(Source!$C78&gt;=COLUMNS($A78:AG78), Source!$E78, "")</f>
        <v/>
      </c>
      <c r="AH78" s="2" t="str">
        <f>IF(Source!$C78&gt;=COLUMNS($A78:AH78), Source!$E78, "")</f>
        <v/>
      </c>
      <c r="AI78" s="2" t="str">
        <f>IF(Source!$C78&gt;=COLUMNS($A78:AI78), Source!$E78, "")</f>
        <v/>
      </c>
      <c r="AJ78" s="2" t="str">
        <f>IF(Source!$C78&gt;=COLUMNS($A78:AJ78), Source!$E78, "")</f>
        <v/>
      </c>
      <c r="AK78" s="2" t="str">
        <f>IF(Source!$C78&gt;=COLUMNS($A78:AK78), Source!$E78, "")</f>
        <v/>
      </c>
      <c r="AL78" s="2" t="str">
        <f>IF(Source!$C78&gt;=COLUMNS($A78:AL78), Source!$E78, "")</f>
        <v/>
      </c>
      <c r="AM78" s="2" t="str">
        <f>IF(Source!$C78&gt;=COLUMNS($A78:AM78), Source!$E78, "")</f>
        <v/>
      </c>
      <c r="AN78" s="2" t="str">
        <f>IF(Source!$C78&gt;=COLUMNS($A78:AN78), Source!$E78, "")</f>
        <v/>
      </c>
      <c r="AO78" s="2" t="str">
        <f>IF(Source!$C78&gt;=COLUMNS($A78:AO78), Source!$E78, "")</f>
        <v/>
      </c>
      <c r="AP78" s="2" t="str">
        <f>IF(Source!$C78&gt;=COLUMNS($A78:AP78), Source!$E78, "")</f>
        <v/>
      </c>
      <c r="AQ78" s="2" t="str">
        <f>IF(Source!$C78&gt;=COLUMNS($A78:AQ78), Source!$E78, "")</f>
        <v/>
      </c>
      <c r="AR78" s="2" t="str">
        <f>IF(Source!$C78&gt;=COLUMNS($A78:AR78), Source!$E78, "")</f>
        <v/>
      </c>
    </row>
    <row r="79">
      <c r="A79" s="2">
        <f>IF(Source!$C79&gt;=COLUMNS($A79:A79), Source!$E79, "")</f>
        <v>8</v>
      </c>
      <c r="B79" s="2">
        <f>IF(Source!$C79&gt;=COLUMNS($A79:B79), Source!$E79, "")</f>
        <v>8</v>
      </c>
      <c r="C79" s="2" t="str">
        <f>IF(Source!$C79&gt;=COLUMNS($A79:C79), Source!$E79, "")</f>
        <v/>
      </c>
      <c r="D79" s="2" t="str">
        <f>IF(Source!$C79&gt;=COLUMNS($A79:D79), Source!$E79, "")</f>
        <v/>
      </c>
      <c r="E79" s="2" t="str">
        <f>IF(Source!$C79&gt;=COLUMNS($A79:E79), Source!$E79, "")</f>
        <v/>
      </c>
      <c r="F79" s="2" t="str">
        <f>IF(Source!$C79&gt;=COLUMNS($A79:F79), Source!$E79, "")</f>
        <v/>
      </c>
      <c r="G79" s="2" t="str">
        <f>IF(Source!$C79&gt;=COLUMNS($A79:G79), Source!$E79, "")</f>
        <v/>
      </c>
      <c r="H79" s="2" t="str">
        <f>IF(Source!$C79&gt;=COLUMNS($A79:H79), Source!$E79, "")</f>
        <v/>
      </c>
      <c r="I79" s="2" t="str">
        <f>IF(Source!$C79&gt;=COLUMNS($A79:I79), Source!$E79, "")</f>
        <v/>
      </c>
      <c r="J79" s="2" t="str">
        <f>IF(Source!$C79&gt;=COLUMNS($A79:J79), Source!$E79, "")</f>
        <v/>
      </c>
      <c r="K79" s="2" t="str">
        <f>IF(Source!$C79&gt;=COLUMNS($A79:K79), Source!$E79, "")</f>
        <v/>
      </c>
      <c r="L79" s="2" t="str">
        <f>IF(Source!$C79&gt;=COLUMNS($A79:L79), Source!$E79, "")</f>
        <v/>
      </c>
      <c r="M79" s="2" t="str">
        <f>IF(Source!$C79&gt;=COLUMNS($A79:M79), Source!$E79, "")</f>
        <v/>
      </c>
      <c r="N79" s="2" t="str">
        <f>IF(Source!$C79&gt;=COLUMNS($A79:N79), Source!$E79, "")</f>
        <v/>
      </c>
      <c r="O79" s="2" t="str">
        <f>IF(Source!$C79&gt;=COLUMNS($A79:O79), Source!$E79, "")</f>
        <v/>
      </c>
      <c r="P79" s="2" t="str">
        <f>IF(Source!$C79&gt;=COLUMNS($A79:P79), Source!$E79, "")</f>
        <v/>
      </c>
      <c r="Q79" s="2" t="str">
        <f>IF(Source!$C79&gt;=COLUMNS($A79:Q79), Source!$E79, "")</f>
        <v/>
      </c>
      <c r="R79" s="2" t="str">
        <f>IF(Source!$C79&gt;=COLUMNS($A79:R79), Source!$E79, "")</f>
        <v/>
      </c>
      <c r="S79" s="2" t="str">
        <f>IF(Source!$C79&gt;=COLUMNS($A79:S79), Source!$E79, "")</f>
        <v/>
      </c>
      <c r="T79" s="2" t="str">
        <f>IF(Source!$C79&gt;=COLUMNS($A79:T79), Source!$E79, "")</f>
        <v/>
      </c>
      <c r="U79" s="2" t="str">
        <f>IF(Source!$C79&gt;=COLUMNS($A79:U79), Source!$E79, "")</f>
        <v/>
      </c>
      <c r="V79" s="2" t="str">
        <f>IF(Source!$C79&gt;=COLUMNS($A79:V79), Source!$E79, "")</f>
        <v/>
      </c>
      <c r="W79" s="2" t="str">
        <f>IF(Source!$C79&gt;=COLUMNS($A79:W79), Source!$E79, "")</f>
        <v/>
      </c>
      <c r="X79" s="2" t="str">
        <f>IF(Source!$C79&gt;=COLUMNS($A79:X79), Source!$E79, "")</f>
        <v/>
      </c>
      <c r="Y79" s="2" t="str">
        <f>IF(Source!$C79&gt;=COLUMNS($A79:Y79), Source!$E79, "")</f>
        <v/>
      </c>
      <c r="Z79" s="2" t="str">
        <f>IF(Source!$C79&gt;=COLUMNS($A79:Z79), Source!$E79, "")</f>
        <v/>
      </c>
      <c r="AA79" s="2" t="str">
        <f>IF(Source!$C79&gt;=COLUMNS($A79:AA79), Source!$E79, "")</f>
        <v/>
      </c>
      <c r="AB79" s="2" t="str">
        <f>IF(Source!$C79&gt;=COLUMNS($A79:AB79), Source!$E79, "")</f>
        <v/>
      </c>
      <c r="AC79" s="2" t="str">
        <f>IF(Source!$C79&gt;=COLUMNS($A79:AC79), Source!$E79, "")</f>
        <v/>
      </c>
      <c r="AD79" s="2" t="str">
        <f>IF(Source!$C79&gt;=COLUMNS($A79:AD79), Source!$E79, "")</f>
        <v/>
      </c>
      <c r="AE79" s="2" t="str">
        <f>IF(Source!$C79&gt;=COLUMNS($A79:AE79), Source!$E79, "")</f>
        <v/>
      </c>
      <c r="AF79" s="2" t="str">
        <f>IF(Source!$C79&gt;=COLUMNS($A79:AF79), Source!$E79, "")</f>
        <v/>
      </c>
      <c r="AG79" s="2" t="str">
        <f>IF(Source!$C79&gt;=COLUMNS($A79:AG79), Source!$E79, "")</f>
        <v/>
      </c>
      <c r="AH79" s="2" t="str">
        <f>IF(Source!$C79&gt;=COLUMNS($A79:AH79), Source!$E79, "")</f>
        <v/>
      </c>
      <c r="AI79" s="2" t="str">
        <f>IF(Source!$C79&gt;=COLUMNS($A79:AI79), Source!$E79, "")</f>
        <v/>
      </c>
      <c r="AJ79" s="2" t="str">
        <f>IF(Source!$C79&gt;=COLUMNS($A79:AJ79), Source!$E79, "")</f>
        <v/>
      </c>
      <c r="AK79" s="2" t="str">
        <f>IF(Source!$C79&gt;=COLUMNS($A79:AK79), Source!$E79, "")</f>
        <v/>
      </c>
      <c r="AL79" s="2" t="str">
        <f>IF(Source!$C79&gt;=COLUMNS($A79:AL79), Source!$E79, "")</f>
        <v/>
      </c>
      <c r="AM79" s="2" t="str">
        <f>IF(Source!$C79&gt;=COLUMNS($A79:AM79), Source!$E79, "")</f>
        <v/>
      </c>
      <c r="AN79" s="2" t="str">
        <f>IF(Source!$C79&gt;=COLUMNS($A79:AN79), Source!$E79, "")</f>
        <v/>
      </c>
      <c r="AO79" s="2" t="str">
        <f>IF(Source!$C79&gt;=COLUMNS($A79:AO79), Source!$E79, "")</f>
        <v/>
      </c>
      <c r="AP79" s="2" t="str">
        <f>IF(Source!$C79&gt;=COLUMNS($A79:AP79), Source!$E79, "")</f>
        <v/>
      </c>
      <c r="AQ79" s="2" t="str">
        <f>IF(Source!$C79&gt;=COLUMNS($A79:AQ79), Source!$E79, "")</f>
        <v/>
      </c>
      <c r="AR79" s="2" t="str">
        <f>IF(Source!$C79&gt;=COLUMNS($A79:AR79), Source!$E79, "")</f>
        <v/>
      </c>
    </row>
    <row r="80">
      <c r="A80" s="2">
        <f>IF(Source!$C80&gt;=COLUMNS($A80:A80), Source!$E80, "")</f>
        <v>6</v>
      </c>
      <c r="B80" s="2" t="str">
        <f>IF(Source!$C80&gt;=COLUMNS($A80:B80), Source!$E80, "")</f>
        <v/>
      </c>
      <c r="C80" s="2" t="str">
        <f>IF(Source!$C80&gt;=COLUMNS($A80:C80), Source!$E80, "")</f>
        <v/>
      </c>
      <c r="D80" s="2" t="str">
        <f>IF(Source!$C80&gt;=COLUMNS($A80:D80), Source!$E80, "")</f>
        <v/>
      </c>
      <c r="E80" s="2" t="str">
        <f>IF(Source!$C80&gt;=COLUMNS($A80:E80), Source!$E80, "")</f>
        <v/>
      </c>
      <c r="F80" s="2" t="str">
        <f>IF(Source!$C80&gt;=COLUMNS($A80:F80), Source!$E80, "")</f>
        <v/>
      </c>
      <c r="G80" s="2" t="str">
        <f>IF(Source!$C80&gt;=COLUMNS($A80:G80), Source!$E80, "")</f>
        <v/>
      </c>
      <c r="H80" s="2" t="str">
        <f>IF(Source!$C80&gt;=COLUMNS($A80:H80), Source!$E80, "")</f>
        <v/>
      </c>
      <c r="I80" s="2" t="str">
        <f>IF(Source!$C80&gt;=COLUMNS($A80:I80), Source!$E80, "")</f>
        <v/>
      </c>
      <c r="J80" s="2" t="str">
        <f>IF(Source!$C80&gt;=COLUMNS($A80:J80), Source!$E80, "")</f>
        <v/>
      </c>
      <c r="K80" s="2" t="str">
        <f>IF(Source!$C80&gt;=COLUMNS($A80:K80), Source!$E80, "")</f>
        <v/>
      </c>
      <c r="L80" s="2" t="str">
        <f>IF(Source!$C80&gt;=COLUMNS($A80:L80), Source!$E80, "")</f>
        <v/>
      </c>
      <c r="M80" s="2" t="str">
        <f>IF(Source!$C80&gt;=COLUMNS($A80:M80), Source!$E80, "")</f>
        <v/>
      </c>
      <c r="N80" s="2" t="str">
        <f>IF(Source!$C80&gt;=COLUMNS($A80:N80), Source!$E80, "")</f>
        <v/>
      </c>
      <c r="O80" s="2" t="str">
        <f>IF(Source!$C80&gt;=COLUMNS($A80:O80), Source!$E80, "")</f>
        <v/>
      </c>
      <c r="P80" s="2" t="str">
        <f>IF(Source!$C80&gt;=COLUMNS($A80:P80), Source!$E80, "")</f>
        <v/>
      </c>
      <c r="Q80" s="2" t="str">
        <f>IF(Source!$C80&gt;=COLUMNS($A80:Q80), Source!$E80, "")</f>
        <v/>
      </c>
      <c r="R80" s="2" t="str">
        <f>IF(Source!$C80&gt;=COLUMNS($A80:R80), Source!$E80, "")</f>
        <v/>
      </c>
      <c r="S80" s="2" t="str">
        <f>IF(Source!$C80&gt;=COLUMNS($A80:S80), Source!$E80, "")</f>
        <v/>
      </c>
      <c r="T80" s="2" t="str">
        <f>IF(Source!$C80&gt;=COLUMNS($A80:T80), Source!$E80, "")</f>
        <v/>
      </c>
      <c r="U80" s="2" t="str">
        <f>IF(Source!$C80&gt;=COLUMNS($A80:U80), Source!$E80, "")</f>
        <v/>
      </c>
      <c r="V80" s="2" t="str">
        <f>IF(Source!$C80&gt;=COLUMNS($A80:V80), Source!$E80, "")</f>
        <v/>
      </c>
      <c r="W80" s="2" t="str">
        <f>IF(Source!$C80&gt;=COLUMNS($A80:W80), Source!$E80, "")</f>
        <v/>
      </c>
      <c r="X80" s="2" t="str">
        <f>IF(Source!$C80&gt;=COLUMNS($A80:X80), Source!$E80, "")</f>
        <v/>
      </c>
      <c r="Y80" s="2" t="str">
        <f>IF(Source!$C80&gt;=COLUMNS($A80:Y80), Source!$E80, "")</f>
        <v/>
      </c>
      <c r="Z80" s="2" t="str">
        <f>IF(Source!$C80&gt;=COLUMNS($A80:Z80), Source!$E80, "")</f>
        <v/>
      </c>
      <c r="AA80" s="2" t="str">
        <f>IF(Source!$C80&gt;=COLUMNS($A80:AA80), Source!$E80, "")</f>
        <v/>
      </c>
      <c r="AB80" s="2" t="str">
        <f>IF(Source!$C80&gt;=COLUMNS($A80:AB80), Source!$E80, "")</f>
        <v/>
      </c>
      <c r="AC80" s="2" t="str">
        <f>IF(Source!$C80&gt;=COLUMNS($A80:AC80), Source!$E80, "")</f>
        <v/>
      </c>
      <c r="AD80" s="2" t="str">
        <f>IF(Source!$C80&gt;=COLUMNS($A80:AD80), Source!$E80, "")</f>
        <v/>
      </c>
      <c r="AE80" s="2" t="str">
        <f>IF(Source!$C80&gt;=COLUMNS($A80:AE80), Source!$E80, "")</f>
        <v/>
      </c>
      <c r="AF80" s="2" t="str">
        <f>IF(Source!$C80&gt;=COLUMNS($A80:AF80), Source!$E80, "")</f>
        <v/>
      </c>
      <c r="AG80" s="2" t="str">
        <f>IF(Source!$C80&gt;=COLUMNS($A80:AG80), Source!$E80, "")</f>
        <v/>
      </c>
      <c r="AH80" s="2" t="str">
        <f>IF(Source!$C80&gt;=COLUMNS($A80:AH80), Source!$E80, "")</f>
        <v/>
      </c>
      <c r="AI80" s="2" t="str">
        <f>IF(Source!$C80&gt;=COLUMNS($A80:AI80), Source!$E80, "")</f>
        <v/>
      </c>
      <c r="AJ80" s="2" t="str">
        <f>IF(Source!$C80&gt;=COLUMNS($A80:AJ80), Source!$E80, "")</f>
        <v/>
      </c>
      <c r="AK80" s="2" t="str">
        <f>IF(Source!$C80&gt;=COLUMNS($A80:AK80), Source!$E80, "")</f>
        <v/>
      </c>
      <c r="AL80" s="2" t="str">
        <f>IF(Source!$C80&gt;=COLUMNS($A80:AL80), Source!$E80, "")</f>
        <v/>
      </c>
      <c r="AM80" s="2" t="str">
        <f>IF(Source!$C80&gt;=COLUMNS($A80:AM80), Source!$E80, "")</f>
        <v/>
      </c>
      <c r="AN80" s="2" t="str">
        <f>IF(Source!$C80&gt;=COLUMNS($A80:AN80), Source!$E80, "")</f>
        <v/>
      </c>
      <c r="AO80" s="2" t="str">
        <f>IF(Source!$C80&gt;=COLUMNS($A80:AO80), Source!$E80, "")</f>
        <v/>
      </c>
      <c r="AP80" s="2" t="str">
        <f>IF(Source!$C80&gt;=COLUMNS($A80:AP80), Source!$E80, "")</f>
        <v/>
      </c>
      <c r="AQ80" s="2" t="str">
        <f>IF(Source!$C80&gt;=COLUMNS($A80:AQ80), Source!$E80, "")</f>
        <v/>
      </c>
      <c r="AR80" s="2" t="str">
        <f>IF(Source!$C80&gt;=COLUMNS($A80:AR80), Source!$E80, "")</f>
        <v/>
      </c>
    </row>
    <row r="81">
      <c r="A81" s="2">
        <f>IF(Source!$C81&gt;=COLUMNS($A81:A81), Source!$E81, "")</f>
        <v>9</v>
      </c>
      <c r="B81" s="2">
        <f>IF(Source!$C81&gt;=COLUMNS($A81:B81), Source!$E81, "")</f>
        <v>9</v>
      </c>
      <c r="C81" s="2">
        <f>IF(Source!$C81&gt;=COLUMNS($A81:C81), Source!$E81, "")</f>
        <v>9</v>
      </c>
      <c r="D81" s="2">
        <f>IF(Source!$C81&gt;=COLUMNS($A81:D81), Source!$E81, "")</f>
        <v>9</v>
      </c>
      <c r="E81" s="2" t="str">
        <f>IF(Source!$C81&gt;=COLUMNS($A81:E81), Source!$E81, "")</f>
        <v/>
      </c>
      <c r="F81" s="2" t="str">
        <f>IF(Source!$C81&gt;=COLUMNS($A81:F81), Source!$E81, "")</f>
        <v/>
      </c>
      <c r="G81" s="2" t="str">
        <f>IF(Source!$C81&gt;=COLUMNS($A81:G81), Source!$E81, "")</f>
        <v/>
      </c>
      <c r="H81" s="2" t="str">
        <f>IF(Source!$C81&gt;=COLUMNS($A81:H81), Source!$E81, "")</f>
        <v/>
      </c>
      <c r="I81" s="2" t="str">
        <f>IF(Source!$C81&gt;=COLUMNS($A81:I81), Source!$E81, "")</f>
        <v/>
      </c>
      <c r="J81" s="2" t="str">
        <f>IF(Source!$C81&gt;=COLUMNS($A81:J81), Source!$E81, "")</f>
        <v/>
      </c>
      <c r="K81" s="2" t="str">
        <f>IF(Source!$C81&gt;=COLUMNS($A81:K81), Source!$E81, "")</f>
        <v/>
      </c>
      <c r="L81" s="2" t="str">
        <f>IF(Source!$C81&gt;=COLUMNS($A81:L81), Source!$E81, "")</f>
        <v/>
      </c>
      <c r="M81" s="2" t="str">
        <f>IF(Source!$C81&gt;=COLUMNS($A81:M81), Source!$E81, "")</f>
        <v/>
      </c>
      <c r="N81" s="2" t="str">
        <f>IF(Source!$C81&gt;=COLUMNS($A81:N81), Source!$E81, "")</f>
        <v/>
      </c>
      <c r="O81" s="2" t="str">
        <f>IF(Source!$C81&gt;=COLUMNS($A81:O81), Source!$E81, "")</f>
        <v/>
      </c>
      <c r="P81" s="2" t="str">
        <f>IF(Source!$C81&gt;=COLUMNS($A81:P81), Source!$E81, "")</f>
        <v/>
      </c>
      <c r="Q81" s="2" t="str">
        <f>IF(Source!$C81&gt;=COLUMNS($A81:Q81), Source!$E81, "")</f>
        <v/>
      </c>
      <c r="R81" s="2" t="str">
        <f>IF(Source!$C81&gt;=COLUMNS($A81:R81), Source!$E81, "")</f>
        <v/>
      </c>
      <c r="S81" s="2" t="str">
        <f>IF(Source!$C81&gt;=COLUMNS($A81:S81), Source!$E81, "")</f>
        <v/>
      </c>
      <c r="T81" s="2" t="str">
        <f>IF(Source!$C81&gt;=COLUMNS($A81:T81), Source!$E81, "")</f>
        <v/>
      </c>
      <c r="U81" s="2" t="str">
        <f>IF(Source!$C81&gt;=COLUMNS($A81:U81), Source!$E81, "")</f>
        <v/>
      </c>
      <c r="V81" s="2" t="str">
        <f>IF(Source!$C81&gt;=COLUMNS($A81:V81), Source!$E81, "")</f>
        <v/>
      </c>
      <c r="W81" s="2" t="str">
        <f>IF(Source!$C81&gt;=COLUMNS($A81:W81), Source!$E81, "")</f>
        <v/>
      </c>
      <c r="X81" s="2" t="str">
        <f>IF(Source!$C81&gt;=COLUMNS($A81:X81), Source!$E81, "")</f>
        <v/>
      </c>
      <c r="Y81" s="2" t="str">
        <f>IF(Source!$C81&gt;=COLUMNS($A81:Y81), Source!$E81, "")</f>
        <v/>
      </c>
      <c r="Z81" s="2" t="str">
        <f>IF(Source!$C81&gt;=COLUMNS($A81:Z81), Source!$E81, "")</f>
        <v/>
      </c>
      <c r="AA81" s="2" t="str">
        <f>IF(Source!$C81&gt;=COLUMNS($A81:AA81), Source!$E81, "")</f>
        <v/>
      </c>
      <c r="AB81" s="2" t="str">
        <f>IF(Source!$C81&gt;=COLUMNS($A81:AB81), Source!$E81, "")</f>
        <v/>
      </c>
      <c r="AC81" s="2" t="str">
        <f>IF(Source!$C81&gt;=COLUMNS($A81:AC81), Source!$E81, "")</f>
        <v/>
      </c>
      <c r="AD81" s="2" t="str">
        <f>IF(Source!$C81&gt;=COLUMNS($A81:AD81), Source!$E81, "")</f>
        <v/>
      </c>
      <c r="AE81" s="2" t="str">
        <f>IF(Source!$C81&gt;=COLUMNS($A81:AE81), Source!$E81, "")</f>
        <v/>
      </c>
      <c r="AF81" s="2" t="str">
        <f>IF(Source!$C81&gt;=COLUMNS($A81:AF81), Source!$E81, "")</f>
        <v/>
      </c>
      <c r="AG81" s="2" t="str">
        <f>IF(Source!$C81&gt;=COLUMNS($A81:AG81), Source!$E81, "")</f>
        <v/>
      </c>
      <c r="AH81" s="2" t="str">
        <f>IF(Source!$C81&gt;=COLUMNS($A81:AH81), Source!$E81, "")</f>
        <v/>
      </c>
      <c r="AI81" s="2" t="str">
        <f>IF(Source!$C81&gt;=COLUMNS($A81:AI81), Source!$E81, "")</f>
        <v/>
      </c>
      <c r="AJ81" s="2" t="str">
        <f>IF(Source!$C81&gt;=COLUMNS($A81:AJ81), Source!$E81, "")</f>
        <v/>
      </c>
      <c r="AK81" s="2" t="str">
        <f>IF(Source!$C81&gt;=COLUMNS($A81:AK81), Source!$E81, "")</f>
        <v/>
      </c>
      <c r="AL81" s="2" t="str">
        <f>IF(Source!$C81&gt;=COLUMNS($A81:AL81), Source!$E81, "")</f>
        <v/>
      </c>
      <c r="AM81" s="2" t="str">
        <f>IF(Source!$C81&gt;=COLUMNS($A81:AM81), Source!$E81, "")</f>
        <v/>
      </c>
      <c r="AN81" s="2" t="str">
        <f>IF(Source!$C81&gt;=COLUMNS($A81:AN81), Source!$E81, "")</f>
        <v/>
      </c>
      <c r="AO81" s="2" t="str">
        <f>IF(Source!$C81&gt;=COLUMNS($A81:AO81), Source!$E81, "")</f>
        <v/>
      </c>
      <c r="AP81" s="2" t="str">
        <f>IF(Source!$C81&gt;=COLUMNS($A81:AP81), Source!$E81, "")</f>
        <v/>
      </c>
      <c r="AQ81" s="2" t="str">
        <f>IF(Source!$C81&gt;=COLUMNS($A81:AQ81), Source!$E81, "")</f>
        <v/>
      </c>
      <c r="AR81" s="2" t="str">
        <f>IF(Source!$C81&gt;=COLUMNS($A81:AR81), Source!$E81, "")</f>
        <v/>
      </c>
    </row>
    <row r="82">
      <c r="A82" s="2">
        <f>IF(Source!$C82&gt;=COLUMNS($A82:A82), Source!$E82, "")</f>
        <v>7</v>
      </c>
      <c r="B82" s="2">
        <f>IF(Source!$C82&gt;=COLUMNS($A82:B82), Source!$E82, "")</f>
        <v>7</v>
      </c>
      <c r="C82" s="2">
        <f>IF(Source!$C82&gt;=COLUMNS($A82:C82), Source!$E82, "")</f>
        <v>7</v>
      </c>
      <c r="D82" s="2">
        <f>IF(Source!$C82&gt;=COLUMNS($A82:D82), Source!$E82, "")</f>
        <v>7</v>
      </c>
      <c r="E82" s="2" t="str">
        <f>IF(Source!$C82&gt;=COLUMNS($A82:E82), Source!$E82, "")</f>
        <v/>
      </c>
      <c r="F82" s="2" t="str">
        <f>IF(Source!$C82&gt;=COLUMNS($A82:F82), Source!$E82, "")</f>
        <v/>
      </c>
      <c r="G82" s="2" t="str">
        <f>IF(Source!$C82&gt;=COLUMNS($A82:G82), Source!$E82, "")</f>
        <v/>
      </c>
      <c r="H82" s="2" t="str">
        <f>IF(Source!$C82&gt;=COLUMNS($A82:H82), Source!$E82, "")</f>
        <v/>
      </c>
      <c r="I82" s="2" t="str">
        <f>IF(Source!$C82&gt;=COLUMNS($A82:I82), Source!$E82, "")</f>
        <v/>
      </c>
      <c r="J82" s="2" t="str">
        <f>IF(Source!$C82&gt;=COLUMNS($A82:J82), Source!$E82, "")</f>
        <v/>
      </c>
      <c r="K82" s="2" t="str">
        <f>IF(Source!$C82&gt;=COLUMNS($A82:K82), Source!$E82, "")</f>
        <v/>
      </c>
      <c r="L82" s="2" t="str">
        <f>IF(Source!$C82&gt;=COLUMNS($A82:L82), Source!$E82, "")</f>
        <v/>
      </c>
      <c r="M82" s="2" t="str">
        <f>IF(Source!$C82&gt;=COLUMNS($A82:M82), Source!$E82, "")</f>
        <v/>
      </c>
      <c r="N82" s="2" t="str">
        <f>IF(Source!$C82&gt;=COLUMNS($A82:N82), Source!$E82, "")</f>
        <v/>
      </c>
      <c r="O82" s="2" t="str">
        <f>IF(Source!$C82&gt;=COLUMNS($A82:O82), Source!$E82, "")</f>
        <v/>
      </c>
      <c r="P82" s="2" t="str">
        <f>IF(Source!$C82&gt;=COLUMNS($A82:P82), Source!$E82, "")</f>
        <v/>
      </c>
      <c r="Q82" s="2" t="str">
        <f>IF(Source!$C82&gt;=COLUMNS($A82:Q82), Source!$E82, "")</f>
        <v/>
      </c>
      <c r="R82" s="2" t="str">
        <f>IF(Source!$C82&gt;=COLUMNS($A82:R82), Source!$E82, "")</f>
        <v/>
      </c>
      <c r="S82" s="2" t="str">
        <f>IF(Source!$C82&gt;=COLUMNS($A82:S82), Source!$E82, "")</f>
        <v/>
      </c>
      <c r="T82" s="2" t="str">
        <f>IF(Source!$C82&gt;=COLUMNS($A82:T82), Source!$E82, "")</f>
        <v/>
      </c>
      <c r="U82" s="2" t="str">
        <f>IF(Source!$C82&gt;=COLUMNS($A82:U82), Source!$E82, "")</f>
        <v/>
      </c>
      <c r="V82" s="2" t="str">
        <f>IF(Source!$C82&gt;=COLUMNS($A82:V82), Source!$E82, "")</f>
        <v/>
      </c>
      <c r="W82" s="2" t="str">
        <f>IF(Source!$C82&gt;=COLUMNS($A82:W82), Source!$E82, "")</f>
        <v/>
      </c>
      <c r="X82" s="2" t="str">
        <f>IF(Source!$C82&gt;=COLUMNS($A82:X82), Source!$E82, "")</f>
        <v/>
      </c>
      <c r="Y82" s="2" t="str">
        <f>IF(Source!$C82&gt;=COLUMNS($A82:Y82), Source!$E82, "")</f>
        <v/>
      </c>
      <c r="Z82" s="2" t="str">
        <f>IF(Source!$C82&gt;=COLUMNS($A82:Z82), Source!$E82, "")</f>
        <v/>
      </c>
      <c r="AA82" s="2" t="str">
        <f>IF(Source!$C82&gt;=COLUMNS($A82:AA82), Source!$E82, "")</f>
        <v/>
      </c>
      <c r="AB82" s="2" t="str">
        <f>IF(Source!$C82&gt;=COLUMNS($A82:AB82), Source!$E82, "")</f>
        <v/>
      </c>
      <c r="AC82" s="2" t="str">
        <f>IF(Source!$C82&gt;=COLUMNS($A82:AC82), Source!$E82, "")</f>
        <v/>
      </c>
      <c r="AD82" s="2" t="str">
        <f>IF(Source!$C82&gt;=COLUMNS($A82:AD82), Source!$E82, "")</f>
        <v/>
      </c>
      <c r="AE82" s="2" t="str">
        <f>IF(Source!$C82&gt;=COLUMNS($A82:AE82), Source!$E82, "")</f>
        <v/>
      </c>
      <c r="AF82" s="2" t="str">
        <f>IF(Source!$C82&gt;=COLUMNS($A82:AF82), Source!$E82, "")</f>
        <v/>
      </c>
      <c r="AG82" s="2" t="str">
        <f>IF(Source!$C82&gt;=COLUMNS($A82:AG82), Source!$E82, "")</f>
        <v/>
      </c>
      <c r="AH82" s="2" t="str">
        <f>IF(Source!$C82&gt;=COLUMNS($A82:AH82), Source!$E82, "")</f>
        <v/>
      </c>
      <c r="AI82" s="2" t="str">
        <f>IF(Source!$C82&gt;=COLUMNS($A82:AI82), Source!$E82, "")</f>
        <v/>
      </c>
      <c r="AJ82" s="2" t="str">
        <f>IF(Source!$C82&gt;=COLUMNS($A82:AJ82), Source!$E82, "")</f>
        <v/>
      </c>
      <c r="AK82" s="2" t="str">
        <f>IF(Source!$C82&gt;=COLUMNS($A82:AK82), Source!$E82, "")</f>
        <v/>
      </c>
      <c r="AL82" s="2" t="str">
        <f>IF(Source!$C82&gt;=COLUMNS($A82:AL82), Source!$E82, "")</f>
        <v/>
      </c>
      <c r="AM82" s="2" t="str">
        <f>IF(Source!$C82&gt;=COLUMNS($A82:AM82), Source!$E82, "")</f>
        <v/>
      </c>
      <c r="AN82" s="2" t="str">
        <f>IF(Source!$C82&gt;=COLUMNS($A82:AN82), Source!$E82, "")</f>
        <v/>
      </c>
      <c r="AO82" s="2" t="str">
        <f>IF(Source!$C82&gt;=COLUMNS($A82:AO82), Source!$E82, "")</f>
        <v/>
      </c>
      <c r="AP82" s="2" t="str">
        <f>IF(Source!$C82&gt;=COLUMNS($A82:AP82), Source!$E82, "")</f>
        <v/>
      </c>
      <c r="AQ82" s="2" t="str">
        <f>IF(Source!$C82&gt;=COLUMNS($A82:AQ82), Source!$E82, "")</f>
        <v/>
      </c>
      <c r="AR82" s="2" t="str">
        <f>IF(Source!$C82&gt;=COLUMNS($A82:AR82), Source!$E82, "")</f>
        <v/>
      </c>
    </row>
    <row r="83">
      <c r="A83" s="2">
        <f>IF(Source!$C83&gt;=COLUMNS($A83:A83), Source!$E83, "")</f>
        <v>5</v>
      </c>
      <c r="B83" s="2">
        <f>IF(Source!$C83&gt;=COLUMNS($A83:B83), Source!$E83, "")</f>
        <v>5</v>
      </c>
      <c r="C83" s="2">
        <f>IF(Source!$C83&gt;=COLUMNS($A83:C83), Source!$E83, "")</f>
        <v>5</v>
      </c>
      <c r="D83" s="2">
        <f>IF(Source!$C83&gt;=COLUMNS($A83:D83), Source!$E83, "")</f>
        <v>5</v>
      </c>
      <c r="E83" s="2">
        <f>IF(Source!$C83&gt;=COLUMNS($A83:E83), Source!$E83, "")</f>
        <v>5</v>
      </c>
      <c r="F83" s="2">
        <f>IF(Source!$C83&gt;=COLUMNS($A83:F83), Source!$E83, "")</f>
        <v>5</v>
      </c>
      <c r="G83" s="2">
        <f>IF(Source!$C83&gt;=COLUMNS($A83:G83), Source!$E83, "")</f>
        <v>5</v>
      </c>
      <c r="H83" s="2" t="str">
        <f>IF(Source!$C83&gt;=COLUMNS($A83:H83), Source!$E83, "")</f>
        <v/>
      </c>
      <c r="I83" s="2" t="str">
        <f>IF(Source!$C83&gt;=COLUMNS($A83:I83), Source!$E83, "")</f>
        <v/>
      </c>
      <c r="J83" s="2" t="str">
        <f>IF(Source!$C83&gt;=COLUMNS($A83:J83), Source!$E83, "")</f>
        <v/>
      </c>
      <c r="K83" s="2" t="str">
        <f>IF(Source!$C83&gt;=COLUMNS($A83:K83), Source!$E83, "")</f>
        <v/>
      </c>
      <c r="L83" s="2" t="str">
        <f>IF(Source!$C83&gt;=COLUMNS($A83:L83), Source!$E83, "")</f>
        <v/>
      </c>
      <c r="M83" s="2" t="str">
        <f>IF(Source!$C83&gt;=COLUMNS($A83:M83), Source!$E83, "")</f>
        <v/>
      </c>
      <c r="N83" s="2" t="str">
        <f>IF(Source!$C83&gt;=COLUMNS($A83:N83), Source!$E83, "")</f>
        <v/>
      </c>
      <c r="O83" s="2" t="str">
        <f>IF(Source!$C83&gt;=COLUMNS($A83:O83), Source!$E83, "")</f>
        <v/>
      </c>
      <c r="P83" s="2" t="str">
        <f>IF(Source!$C83&gt;=COLUMNS($A83:P83), Source!$E83, "")</f>
        <v/>
      </c>
      <c r="Q83" s="2" t="str">
        <f>IF(Source!$C83&gt;=COLUMNS($A83:Q83), Source!$E83, "")</f>
        <v/>
      </c>
      <c r="R83" s="2" t="str">
        <f>IF(Source!$C83&gt;=COLUMNS($A83:R83), Source!$E83, "")</f>
        <v/>
      </c>
      <c r="S83" s="2" t="str">
        <f>IF(Source!$C83&gt;=COLUMNS($A83:S83), Source!$E83, "")</f>
        <v/>
      </c>
      <c r="T83" s="2" t="str">
        <f>IF(Source!$C83&gt;=COLUMNS($A83:T83), Source!$E83, "")</f>
        <v/>
      </c>
      <c r="U83" s="2" t="str">
        <f>IF(Source!$C83&gt;=COLUMNS($A83:U83), Source!$E83, "")</f>
        <v/>
      </c>
      <c r="V83" s="2" t="str">
        <f>IF(Source!$C83&gt;=COLUMNS($A83:V83), Source!$E83, "")</f>
        <v/>
      </c>
      <c r="W83" s="2" t="str">
        <f>IF(Source!$C83&gt;=COLUMNS($A83:W83), Source!$E83, "")</f>
        <v/>
      </c>
      <c r="X83" s="2" t="str">
        <f>IF(Source!$C83&gt;=COLUMNS($A83:X83), Source!$E83, "")</f>
        <v/>
      </c>
      <c r="Y83" s="2" t="str">
        <f>IF(Source!$C83&gt;=COLUMNS($A83:Y83), Source!$E83, "")</f>
        <v/>
      </c>
      <c r="Z83" s="2" t="str">
        <f>IF(Source!$C83&gt;=COLUMNS($A83:Z83), Source!$E83, "")</f>
        <v/>
      </c>
      <c r="AA83" s="2" t="str">
        <f>IF(Source!$C83&gt;=COLUMNS($A83:AA83), Source!$E83, "")</f>
        <v/>
      </c>
      <c r="AB83" s="2" t="str">
        <f>IF(Source!$C83&gt;=COLUMNS($A83:AB83), Source!$E83, "")</f>
        <v/>
      </c>
      <c r="AC83" s="2" t="str">
        <f>IF(Source!$C83&gt;=COLUMNS($A83:AC83), Source!$E83, "")</f>
        <v/>
      </c>
      <c r="AD83" s="2" t="str">
        <f>IF(Source!$C83&gt;=COLUMNS($A83:AD83), Source!$E83, "")</f>
        <v/>
      </c>
      <c r="AE83" s="2" t="str">
        <f>IF(Source!$C83&gt;=COLUMNS($A83:AE83), Source!$E83, "")</f>
        <v/>
      </c>
      <c r="AF83" s="2" t="str">
        <f>IF(Source!$C83&gt;=COLUMNS($A83:AF83), Source!$E83, "")</f>
        <v/>
      </c>
      <c r="AG83" s="2" t="str">
        <f>IF(Source!$C83&gt;=COLUMNS($A83:AG83), Source!$E83, "")</f>
        <v/>
      </c>
      <c r="AH83" s="2" t="str">
        <f>IF(Source!$C83&gt;=COLUMNS($A83:AH83), Source!$E83, "")</f>
        <v/>
      </c>
      <c r="AI83" s="2" t="str">
        <f>IF(Source!$C83&gt;=COLUMNS($A83:AI83), Source!$E83, "")</f>
        <v/>
      </c>
      <c r="AJ83" s="2" t="str">
        <f>IF(Source!$C83&gt;=COLUMNS($A83:AJ83), Source!$E83, "")</f>
        <v/>
      </c>
      <c r="AK83" s="2" t="str">
        <f>IF(Source!$C83&gt;=COLUMNS($A83:AK83), Source!$E83, "")</f>
        <v/>
      </c>
      <c r="AL83" s="2" t="str">
        <f>IF(Source!$C83&gt;=COLUMNS($A83:AL83), Source!$E83, "")</f>
        <v/>
      </c>
      <c r="AM83" s="2" t="str">
        <f>IF(Source!$C83&gt;=COLUMNS($A83:AM83), Source!$E83, "")</f>
        <v/>
      </c>
      <c r="AN83" s="2" t="str">
        <f>IF(Source!$C83&gt;=COLUMNS($A83:AN83), Source!$E83, "")</f>
        <v/>
      </c>
      <c r="AO83" s="2" t="str">
        <f>IF(Source!$C83&gt;=COLUMNS($A83:AO83), Source!$E83, "")</f>
        <v/>
      </c>
      <c r="AP83" s="2" t="str">
        <f>IF(Source!$C83&gt;=COLUMNS($A83:AP83), Source!$E83, "")</f>
        <v/>
      </c>
      <c r="AQ83" s="2" t="str">
        <f>IF(Source!$C83&gt;=COLUMNS($A83:AQ83), Source!$E83, "")</f>
        <v/>
      </c>
      <c r="AR83" s="2" t="str">
        <f>IF(Source!$C83&gt;=COLUMNS($A83:AR83), Source!$E83, "")</f>
        <v/>
      </c>
    </row>
    <row r="84">
      <c r="A84" s="2">
        <f>IF(Source!$C84&gt;=COLUMNS($A84:A84), Source!$E84, "")</f>
        <v>6</v>
      </c>
      <c r="B84" s="2">
        <f>IF(Source!$C84&gt;=COLUMNS($A84:B84), Source!$E84, "")</f>
        <v>6</v>
      </c>
      <c r="C84" s="2">
        <f>IF(Source!$C84&gt;=COLUMNS($A84:C84), Source!$E84, "")</f>
        <v>6</v>
      </c>
      <c r="D84" s="2">
        <f>IF(Source!$C84&gt;=COLUMNS($A84:D84), Source!$E84, "")</f>
        <v>6</v>
      </c>
      <c r="E84" s="2" t="str">
        <f>IF(Source!$C84&gt;=COLUMNS($A84:E84), Source!$E84, "")</f>
        <v/>
      </c>
      <c r="F84" s="2" t="str">
        <f>IF(Source!$C84&gt;=COLUMNS($A84:F84), Source!$E84, "")</f>
        <v/>
      </c>
      <c r="G84" s="2" t="str">
        <f>IF(Source!$C84&gt;=COLUMNS($A84:G84), Source!$E84, "")</f>
        <v/>
      </c>
      <c r="H84" s="2" t="str">
        <f>IF(Source!$C84&gt;=COLUMNS($A84:H84), Source!$E84, "")</f>
        <v/>
      </c>
      <c r="I84" s="2" t="str">
        <f>IF(Source!$C84&gt;=COLUMNS($A84:I84), Source!$E84, "")</f>
        <v/>
      </c>
      <c r="J84" s="2" t="str">
        <f>IF(Source!$C84&gt;=COLUMNS($A84:J84), Source!$E84, "")</f>
        <v/>
      </c>
      <c r="K84" s="2" t="str">
        <f>IF(Source!$C84&gt;=COLUMNS($A84:K84), Source!$E84, "")</f>
        <v/>
      </c>
      <c r="L84" s="2" t="str">
        <f>IF(Source!$C84&gt;=COLUMNS($A84:L84), Source!$E84, "")</f>
        <v/>
      </c>
      <c r="M84" s="2" t="str">
        <f>IF(Source!$C84&gt;=COLUMNS($A84:M84), Source!$E84, "")</f>
        <v/>
      </c>
      <c r="N84" s="2" t="str">
        <f>IF(Source!$C84&gt;=COLUMNS($A84:N84), Source!$E84, "")</f>
        <v/>
      </c>
      <c r="O84" s="2" t="str">
        <f>IF(Source!$C84&gt;=COLUMNS($A84:O84), Source!$E84, "")</f>
        <v/>
      </c>
      <c r="P84" s="2" t="str">
        <f>IF(Source!$C84&gt;=COLUMNS($A84:P84), Source!$E84, "")</f>
        <v/>
      </c>
      <c r="Q84" s="2" t="str">
        <f>IF(Source!$C84&gt;=COLUMNS($A84:Q84), Source!$E84, "")</f>
        <v/>
      </c>
      <c r="R84" s="2" t="str">
        <f>IF(Source!$C84&gt;=COLUMNS($A84:R84), Source!$E84, "")</f>
        <v/>
      </c>
      <c r="S84" s="2" t="str">
        <f>IF(Source!$C84&gt;=COLUMNS($A84:S84), Source!$E84, "")</f>
        <v/>
      </c>
      <c r="T84" s="2" t="str">
        <f>IF(Source!$C84&gt;=COLUMNS($A84:T84), Source!$E84, "")</f>
        <v/>
      </c>
      <c r="U84" s="2" t="str">
        <f>IF(Source!$C84&gt;=COLUMNS($A84:U84), Source!$E84, "")</f>
        <v/>
      </c>
      <c r="V84" s="2" t="str">
        <f>IF(Source!$C84&gt;=COLUMNS($A84:V84), Source!$E84, "")</f>
        <v/>
      </c>
      <c r="W84" s="2" t="str">
        <f>IF(Source!$C84&gt;=COLUMNS($A84:W84), Source!$E84, "")</f>
        <v/>
      </c>
      <c r="X84" s="2" t="str">
        <f>IF(Source!$C84&gt;=COLUMNS($A84:X84), Source!$E84, "")</f>
        <v/>
      </c>
      <c r="Y84" s="2" t="str">
        <f>IF(Source!$C84&gt;=COLUMNS($A84:Y84), Source!$E84, "")</f>
        <v/>
      </c>
      <c r="Z84" s="2" t="str">
        <f>IF(Source!$C84&gt;=COLUMNS($A84:Z84), Source!$E84, "")</f>
        <v/>
      </c>
      <c r="AA84" s="2" t="str">
        <f>IF(Source!$C84&gt;=COLUMNS($A84:AA84), Source!$E84, "")</f>
        <v/>
      </c>
      <c r="AB84" s="2" t="str">
        <f>IF(Source!$C84&gt;=COLUMNS($A84:AB84), Source!$E84, "")</f>
        <v/>
      </c>
      <c r="AC84" s="2" t="str">
        <f>IF(Source!$C84&gt;=COLUMNS($A84:AC84), Source!$E84, "")</f>
        <v/>
      </c>
      <c r="AD84" s="2" t="str">
        <f>IF(Source!$C84&gt;=COLUMNS($A84:AD84), Source!$E84, "")</f>
        <v/>
      </c>
      <c r="AE84" s="2" t="str">
        <f>IF(Source!$C84&gt;=COLUMNS($A84:AE84), Source!$E84, "")</f>
        <v/>
      </c>
      <c r="AF84" s="2" t="str">
        <f>IF(Source!$C84&gt;=COLUMNS($A84:AF84), Source!$E84, "")</f>
        <v/>
      </c>
      <c r="AG84" s="2" t="str">
        <f>IF(Source!$C84&gt;=COLUMNS($A84:AG84), Source!$E84, "")</f>
        <v/>
      </c>
      <c r="AH84" s="2" t="str">
        <f>IF(Source!$C84&gt;=COLUMNS($A84:AH84), Source!$E84, "")</f>
        <v/>
      </c>
      <c r="AI84" s="2" t="str">
        <f>IF(Source!$C84&gt;=COLUMNS($A84:AI84), Source!$E84, "")</f>
        <v/>
      </c>
      <c r="AJ84" s="2" t="str">
        <f>IF(Source!$C84&gt;=COLUMNS($A84:AJ84), Source!$E84, "")</f>
        <v/>
      </c>
      <c r="AK84" s="2" t="str">
        <f>IF(Source!$C84&gt;=COLUMNS($A84:AK84), Source!$E84, "")</f>
        <v/>
      </c>
      <c r="AL84" s="2" t="str">
        <f>IF(Source!$C84&gt;=COLUMNS($A84:AL84), Source!$E84, "")</f>
        <v/>
      </c>
      <c r="AM84" s="2" t="str">
        <f>IF(Source!$C84&gt;=COLUMNS($A84:AM84), Source!$E84, "")</f>
        <v/>
      </c>
      <c r="AN84" s="2" t="str">
        <f>IF(Source!$C84&gt;=COLUMNS($A84:AN84), Source!$E84, "")</f>
        <v/>
      </c>
      <c r="AO84" s="2" t="str">
        <f>IF(Source!$C84&gt;=COLUMNS($A84:AO84), Source!$E84, "")</f>
        <v/>
      </c>
      <c r="AP84" s="2" t="str">
        <f>IF(Source!$C84&gt;=COLUMNS($A84:AP84), Source!$E84, "")</f>
        <v/>
      </c>
      <c r="AQ84" s="2" t="str">
        <f>IF(Source!$C84&gt;=COLUMNS($A84:AQ84), Source!$E84, "")</f>
        <v/>
      </c>
      <c r="AR84" s="2" t="str">
        <f>IF(Source!$C84&gt;=COLUMNS($A84:AR84), Source!$E84, "")</f>
        <v/>
      </c>
    </row>
    <row r="85">
      <c r="A85" s="2">
        <f>IF(Source!$C85&gt;=COLUMNS($A85:A85), Source!$E85, "")</f>
        <v>3</v>
      </c>
      <c r="B85" s="2">
        <f>IF(Source!$C85&gt;=COLUMNS($A85:B85), Source!$E85, "")</f>
        <v>3</v>
      </c>
      <c r="C85" s="2" t="str">
        <f>IF(Source!$C85&gt;=COLUMNS($A85:C85), Source!$E85, "")</f>
        <v/>
      </c>
      <c r="D85" s="2" t="str">
        <f>IF(Source!$C85&gt;=COLUMNS($A85:D85), Source!$E85, "")</f>
        <v/>
      </c>
      <c r="E85" s="2" t="str">
        <f>IF(Source!$C85&gt;=COLUMNS($A85:E85), Source!$E85, "")</f>
        <v/>
      </c>
      <c r="F85" s="2" t="str">
        <f>IF(Source!$C85&gt;=COLUMNS($A85:F85), Source!$E85, "")</f>
        <v/>
      </c>
      <c r="G85" s="2" t="str">
        <f>IF(Source!$C85&gt;=COLUMNS($A85:G85), Source!$E85, "")</f>
        <v/>
      </c>
      <c r="H85" s="2" t="str">
        <f>IF(Source!$C85&gt;=COLUMNS($A85:H85), Source!$E85, "")</f>
        <v/>
      </c>
      <c r="I85" s="2" t="str">
        <f>IF(Source!$C85&gt;=COLUMNS($A85:I85), Source!$E85, "")</f>
        <v/>
      </c>
      <c r="J85" s="2" t="str">
        <f>IF(Source!$C85&gt;=COLUMNS($A85:J85), Source!$E85, "")</f>
        <v/>
      </c>
      <c r="K85" s="2" t="str">
        <f>IF(Source!$C85&gt;=COLUMNS($A85:K85), Source!$E85, "")</f>
        <v/>
      </c>
      <c r="L85" s="2" t="str">
        <f>IF(Source!$C85&gt;=COLUMNS($A85:L85), Source!$E85, "")</f>
        <v/>
      </c>
      <c r="M85" s="2" t="str">
        <f>IF(Source!$C85&gt;=COLUMNS($A85:M85), Source!$E85, "")</f>
        <v/>
      </c>
      <c r="N85" s="2" t="str">
        <f>IF(Source!$C85&gt;=COLUMNS($A85:N85), Source!$E85, "")</f>
        <v/>
      </c>
      <c r="O85" s="2" t="str">
        <f>IF(Source!$C85&gt;=COLUMNS($A85:O85), Source!$E85, "")</f>
        <v/>
      </c>
      <c r="P85" s="2" t="str">
        <f>IF(Source!$C85&gt;=COLUMNS($A85:P85), Source!$E85, "")</f>
        <v/>
      </c>
      <c r="Q85" s="2" t="str">
        <f>IF(Source!$C85&gt;=COLUMNS($A85:Q85), Source!$E85, "")</f>
        <v/>
      </c>
      <c r="R85" s="2" t="str">
        <f>IF(Source!$C85&gt;=COLUMNS($A85:R85), Source!$E85, "")</f>
        <v/>
      </c>
      <c r="S85" s="2" t="str">
        <f>IF(Source!$C85&gt;=COLUMNS($A85:S85), Source!$E85, "")</f>
        <v/>
      </c>
      <c r="T85" s="2" t="str">
        <f>IF(Source!$C85&gt;=COLUMNS($A85:T85), Source!$E85, "")</f>
        <v/>
      </c>
      <c r="U85" s="2" t="str">
        <f>IF(Source!$C85&gt;=COLUMNS($A85:U85), Source!$E85, "")</f>
        <v/>
      </c>
      <c r="V85" s="2" t="str">
        <f>IF(Source!$C85&gt;=COLUMNS($A85:V85), Source!$E85, "")</f>
        <v/>
      </c>
      <c r="W85" s="2" t="str">
        <f>IF(Source!$C85&gt;=COLUMNS($A85:W85), Source!$E85, "")</f>
        <v/>
      </c>
      <c r="X85" s="2" t="str">
        <f>IF(Source!$C85&gt;=COLUMNS($A85:X85), Source!$E85, "")</f>
        <v/>
      </c>
      <c r="Y85" s="2" t="str">
        <f>IF(Source!$C85&gt;=COLUMNS($A85:Y85), Source!$E85, "")</f>
        <v/>
      </c>
      <c r="Z85" s="2" t="str">
        <f>IF(Source!$C85&gt;=COLUMNS($A85:Z85), Source!$E85, "")</f>
        <v/>
      </c>
      <c r="AA85" s="2" t="str">
        <f>IF(Source!$C85&gt;=COLUMNS($A85:AA85), Source!$E85, "")</f>
        <v/>
      </c>
      <c r="AB85" s="2" t="str">
        <f>IF(Source!$C85&gt;=COLUMNS($A85:AB85), Source!$E85, "")</f>
        <v/>
      </c>
      <c r="AC85" s="2" t="str">
        <f>IF(Source!$C85&gt;=COLUMNS($A85:AC85), Source!$E85, "")</f>
        <v/>
      </c>
      <c r="AD85" s="2" t="str">
        <f>IF(Source!$C85&gt;=COLUMNS($A85:AD85), Source!$E85, "")</f>
        <v/>
      </c>
      <c r="AE85" s="2" t="str">
        <f>IF(Source!$C85&gt;=COLUMNS($A85:AE85), Source!$E85, "")</f>
        <v/>
      </c>
      <c r="AF85" s="2" t="str">
        <f>IF(Source!$C85&gt;=COLUMNS($A85:AF85), Source!$E85, "")</f>
        <v/>
      </c>
      <c r="AG85" s="2" t="str">
        <f>IF(Source!$C85&gt;=COLUMNS($A85:AG85), Source!$E85, "")</f>
        <v/>
      </c>
      <c r="AH85" s="2" t="str">
        <f>IF(Source!$C85&gt;=COLUMNS($A85:AH85), Source!$E85, "")</f>
        <v/>
      </c>
      <c r="AI85" s="2" t="str">
        <f>IF(Source!$C85&gt;=COLUMNS($A85:AI85), Source!$E85, "")</f>
        <v/>
      </c>
      <c r="AJ85" s="2" t="str">
        <f>IF(Source!$C85&gt;=COLUMNS($A85:AJ85), Source!$E85, "")</f>
        <v/>
      </c>
      <c r="AK85" s="2" t="str">
        <f>IF(Source!$C85&gt;=COLUMNS($A85:AK85), Source!$E85, "")</f>
        <v/>
      </c>
      <c r="AL85" s="2" t="str">
        <f>IF(Source!$C85&gt;=COLUMNS($A85:AL85), Source!$E85, "")</f>
        <v/>
      </c>
      <c r="AM85" s="2" t="str">
        <f>IF(Source!$C85&gt;=COLUMNS($A85:AM85), Source!$E85, "")</f>
        <v/>
      </c>
      <c r="AN85" s="2" t="str">
        <f>IF(Source!$C85&gt;=COLUMNS($A85:AN85), Source!$E85, "")</f>
        <v/>
      </c>
      <c r="AO85" s="2" t="str">
        <f>IF(Source!$C85&gt;=COLUMNS($A85:AO85), Source!$E85, "")</f>
        <v/>
      </c>
      <c r="AP85" s="2" t="str">
        <f>IF(Source!$C85&gt;=COLUMNS($A85:AP85), Source!$E85, "")</f>
        <v/>
      </c>
      <c r="AQ85" s="2" t="str">
        <f>IF(Source!$C85&gt;=COLUMNS($A85:AQ85), Source!$E85, "")</f>
        <v/>
      </c>
      <c r="AR85" s="2" t="str">
        <f>IF(Source!$C85&gt;=COLUMNS($A85:AR85), Source!$E85, "")</f>
        <v/>
      </c>
    </row>
    <row r="86">
      <c r="A86" s="2">
        <f>IF(Source!$C86&gt;=COLUMNS($A86:A86), Source!$E86, "")</f>
        <v>5</v>
      </c>
      <c r="B86" s="2">
        <f>IF(Source!$C86&gt;=COLUMNS($A86:B86), Source!$E86, "")</f>
        <v>5</v>
      </c>
      <c r="C86" s="2">
        <f>IF(Source!$C86&gt;=COLUMNS($A86:C86), Source!$E86, "")</f>
        <v>5</v>
      </c>
      <c r="D86" s="2">
        <f>IF(Source!$C86&gt;=COLUMNS($A86:D86), Source!$E86, "")</f>
        <v>5</v>
      </c>
      <c r="E86" s="2">
        <f>IF(Source!$C86&gt;=COLUMNS($A86:E86), Source!$E86, "")</f>
        <v>5</v>
      </c>
      <c r="F86" s="2">
        <f>IF(Source!$C86&gt;=COLUMNS($A86:F86), Source!$E86, "")</f>
        <v>5</v>
      </c>
      <c r="G86" s="2" t="str">
        <f>IF(Source!$C86&gt;=COLUMNS($A86:G86), Source!$E86, "")</f>
        <v/>
      </c>
      <c r="H86" s="2" t="str">
        <f>IF(Source!$C86&gt;=COLUMNS($A86:H86), Source!$E86, "")</f>
        <v/>
      </c>
      <c r="I86" s="2" t="str">
        <f>IF(Source!$C86&gt;=COLUMNS($A86:I86), Source!$E86, "")</f>
        <v/>
      </c>
      <c r="J86" s="2" t="str">
        <f>IF(Source!$C86&gt;=COLUMNS($A86:J86), Source!$E86, "")</f>
        <v/>
      </c>
      <c r="K86" s="2" t="str">
        <f>IF(Source!$C86&gt;=COLUMNS($A86:K86), Source!$E86, "")</f>
        <v/>
      </c>
      <c r="L86" s="2" t="str">
        <f>IF(Source!$C86&gt;=COLUMNS($A86:L86), Source!$E86, "")</f>
        <v/>
      </c>
      <c r="M86" s="2" t="str">
        <f>IF(Source!$C86&gt;=COLUMNS($A86:M86), Source!$E86, "")</f>
        <v/>
      </c>
      <c r="N86" s="2" t="str">
        <f>IF(Source!$C86&gt;=COLUMNS($A86:N86), Source!$E86, "")</f>
        <v/>
      </c>
      <c r="O86" s="2" t="str">
        <f>IF(Source!$C86&gt;=COLUMNS($A86:O86), Source!$E86, "")</f>
        <v/>
      </c>
      <c r="P86" s="2" t="str">
        <f>IF(Source!$C86&gt;=COLUMNS($A86:P86), Source!$E86, "")</f>
        <v/>
      </c>
      <c r="Q86" s="2" t="str">
        <f>IF(Source!$C86&gt;=COLUMNS($A86:Q86), Source!$E86, "")</f>
        <v/>
      </c>
      <c r="R86" s="2" t="str">
        <f>IF(Source!$C86&gt;=COLUMNS($A86:R86), Source!$E86, "")</f>
        <v/>
      </c>
      <c r="S86" s="2" t="str">
        <f>IF(Source!$C86&gt;=COLUMNS($A86:S86), Source!$E86, "")</f>
        <v/>
      </c>
      <c r="T86" s="2" t="str">
        <f>IF(Source!$C86&gt;=COLUMNS($A86:T86), Source!$E86, "")</f>
        <v/>
      </c>
      <c r="U86" s="2" t="str">
        <f>IF(Source!$C86&gt;=COLUMNS($A86:U86), Source!$E86, "")</f>
        <v/>
      </c>
      <c r="V86" s="2" t="str">
        <f>IF(Source!$C86&gt;=COLUMNS($A86:V86), Source!$E86, "")</f>
        <v/>
      </c>
      <c r="W86" s="2" t="str">
        <f>IF(Source!$C86&gt;=COLUMNS($A86:W86), Source!$E86, "")</f>
        <v/>
      </c>
      <c r="X86" s="2" t="str">
        <f>IF(Source!$C86&gt;=COLUMNS($A86:X86), Source!$E86, "")</f>
        <v/>
      </c>
      <c r="Y86" s="2" t="str">
        <f>IF(Source!$C86&gt;=COLUMNS($A86:Y86), Source!$E86, "")</f>
        <v/>
      </c>
      <c r="Z86" s="2" t="str">
        <f>IF(Source!$C86&gt;=COLUMNS($A86:Z86), Source!$E86, "")</f>
        <v/>
      </c>
      <c r="AA86" s="2" t="str">
        <f>IF(Source!$C86&gt;=COLUMNS($A86:AA86), Source!$E86, "")</f>
        <v/>
      </c>
      <c r="AB86" s="2" t="str">
        <f>IF(Source!$C86&gt;=COLUMNS($A86:AB86), Source!$E86, "")</f>
        <v/>
      </c>
      <c r="AC86" s="2" t="str">
        <f>IF(Source!$C86&gt;=COLUMNS($A86:AC86), Source!$E86, "")</f>
        <v/>
      </c>
      <c r="AD86" s="2" t="str">
        <f>IF(Source!$C86&gt;=COLUMNS($A86:AD86), Source!$E86, "")</f>
        <v/>
      </c>
      <c r="AE86" s="2" t="str">
        <f>IF(Source!$C86&gt;=COLUMNS($A86:AE86), Source!$E86, "")</f>
        <v/>
      </c>
      <c r="AF86" s="2" t="str">
        <f>IF(Source!$C86&gt;=COLUMNS($A86:AF86), Source!$E86, "")</f>
        <v/>
      </c>
      <c r="AG86" s="2" t="str">
        <f>IF(Source!$C86&gt;=COLUMNS($A86:AG86), Source!$E86, "")</f>
        <v/>
      </c>
      <c r="AH86" s="2" t="str">
        <f>IF(Source!$C86&gt;=COLUMNS($A86:AH86), Source!$E86, "")</f>
        <v/>
      </c>
      <c r="AI86" s="2" t="str">
        <f>IF(Source!$C86&gt;=COLUMNS($A86:AI86), Source!$E86, "")</f>
        <v/>
      </c>
      <c r="AJ86" s="2" t="str">
        <f>IF(Source!$C86&gt;=COLUMNS($A86:AJ86), Source!$E86, "")</f>
        <v/>
      </c>
      <c r="AK86" s="2" t="str">
        <f>IF(Source!$C86&gt;=COLUMNS($A86:AK86), Source!$E86, "")</f>
        <v/>
      </c>
      <c r="AL86" s="2" t="str">
        <f>IF(Source!$C86&gt;=COLUMNS($A86:AL86), Source!$E86, "")</f>
        <v/>
      </c>
      <c r="AM86" s="2" t="str">
        <f>IF(Source!$C86&gt;=COLUMNS($A86:AM86), Source!$E86, "")</f>
        <v/>
      </c>
      <c r="AN86" s="2" t="str">
        <f>IF(Source!$C86&gt;=COLUMNS($A86:AN86), Source!$E86, "")</f>
        <v/>
      </c>
      <c r="AO86" s="2" t="str">
        <f>IF(Source!$C86&gt;=COLUMNS($A86:AO86), Source!$E86, "")</f>
        <v/>
      </c>
      <c r="AP86" s="2" t="str">
        <f>IF(Source!$C86&gt;=COLUMNS($A86:AP86), Source!$E86, "")</f>
        <v/>
      </c>
      <c r="AQ86" s="2" t="str">
        <f>IF(Source!$C86&gt;=COLUMNS($A86:AQ86), Source!$E86, "")</f>
        <v/>
      </c>
      <c r="AR86" s="2" t="str">
        <f>IF(Source!$C86&gt;=COLUMNS($A86:AR86), Source!$E86, "")</f>
        <v/>
      </c>
    </row>
    <row r="87">
      <c r="A87" s="2">
        <f>IF(Source!$C87&gt;=COLUMNS($A87:A87), Source!$E87, "")</f>
        <v>8</v>
      </c>
      <c r="B87" s="2">
        <f>IF(Source!$C87&gt;=COLUMNS($A87:B87), Source!$E87, "")</f>
        <v>8</v>
      </c>
      <c r="C87" s="2" t="str">
        <f>IF(Source!$C87&gt;=COLUMNS($A87:C87), Source!$E87, "")</f>
        <v/>
      </c>
      <c r="D87" s="2" t="str">
        <f>IF(Source!$C87&gt;=COLUMNS($A87:D87), Source!$E87, "")</f>
        <v/>
      </c>
      <c r="E87" s="2" t="str">
        <f>IF(Source!$C87&gt;=COLUMNS($A87:E87), Source!$E87, "")</f>
        <v/>
      </c>
      <c r="F87" s="2" t="str">
        <f>IF(Source!$C87&gt;=COLUMNS($A87:F87), Source!$E87, "")</f>
        <v/>
      </c>
      <c r="G87" s="2" t="str">
        <f>IF(Source!$C87&gt;=COLUMNS($A87:G87), Source!$E87, "")</f>
        <v/>
      </c>
      <c r="H87" s="2" t="str">
        <f>IF(Source!$C87&gt;=COLUMNS($A87:H87), Source!$E87, "")</f>
        <v/>
      </c>
      <c r="I87" s="2" t="str">
        <f>IF(Source!$C87&gt;=COLUMNS($A87:I87), Source!$E87, "")</f>
        <v/>
      </c>
      <c r="J87" s="2" t="str">
        <f>IF(Source!$C87&gt;=COLUMNS($A87:J87), Source!$E87, "")</f>
        <v/>
      </c>
      <c r="K87" s="2" t="str">
        <f>IF(Source!$C87&gt;=COLUMNS($A87:K87), Source!$E87, "")</f>
        <v/>
      </c>
      <c r="L87" s="2" t="str">
        <f>IF(Source!$C87&gt;=COLUMNS($A87:L87), Source!$E87, "")</f>
        <v/>
      </c>
      <c r="M87" s="2" t="str">
        <f>IF(Source!$C87&gt;=COLUMNS($A87:M87), Source!$E87, "")</f>
        <v/>
      </c>
      <c r="N87" s="2" t="str">
        <f>IF(Source!$C87&gt;=COLUMNS($A87:N87), Source!$E87, "")</f>
        <v/>
      </c>
      <c r="O87" s="2" t="str">
        <f>IF(Source!$C87&gt;=COLUMNS($A87:O87), Source!$E87, "")</f>
        <v/>
      </c>
      <c r="P87" s="2" t="str">
        <f>IF(Source!$C87&gt;=COLUMNS($A87:P87), Source!$E87, "")</f>
        <v/>
      </c>
      <c r="Q87" s="2" t="str">
        <f>IF(Source!$C87&gt;=COLUMNS($A87:Q87), Source!$E87, "")</f>
        <v/>
      </c>
      <c r="R87" s="2" t="str">
        <f>IF(Source!$C87&gt;=COLUMNS($A87:R87), Source!$E87, "")</f>
        <v/>
      </c>
      <c r="S87" s="2" t="str">
        <f>IF(Source!$C87&gt;=COLUMNS($A87:S87), Source!$E87, "")</f>
        <v/>
      </c>
      <c r="T87" s="2" t="str">
        <f>IF(Source!$C87&gt;=COLUMNS($A87:T87), Source!$E87, "")</f>
        <v/>
      </c>
      <c r="U87" s="2" t="str">
        <f>IF(Source!$C87&gt;=COLUMNS($A87:U87), Source!$E87, "")</f>
        <v/>
      </c>
      <c r="V87" s="2" t="str">
        <f>IF(Source!$C87&gt;=COLUMNS($A87:V87), Source!$E87, "")</f>
        <v/>
      </c>
      <c r="W87" s="2" t="str">
        <f>IF(Source!$C87&gt;=COLUMNS($A87:W87), Source!$E87, "")</f>
        <v/>
      </c>
      <c r="X87" s="2" t="str">
        <f>IF(Source!$C87&gt;=COLUMNS($A87:X87), Source!$E87, "")</f>
        <v/>
      </c>
      <c r="Y87" s="2" t="str">
        <f>IF(Source!$C87&gt;=COLUMNS($A87:Y87), Source!$E87, "")</f>
        <v/>
      </c>
      <c r="Z87" s="2" t="str">
        <f>IF(Source!$C87&gt;=COLUMNS($A87:Z87), Source!$E87, "")</f>
        <v/>
      </c>
      <c r="AA87" s="2" t="str">
        <f>IF(Source!$C87&gt;=COLUMNS($A87:AA87), Source!$E87, "")</f>
        <v/>
      </c>
      <c r="AB87" s="2" t="str">
        <f>IF(Source!$C87&gt;=COLUMNS($A87:AB87), Source!$E87, "")</f>
        <v/>
      </c>
      <c r="AC87" s="2" t="str">
        <f>IF(Source!$C87&gt;=COLUMNS($A87:AC87), Source!$E87, "")</f>
        <v/>
      </c>
      <c r="AD87" s="2" t="str">
        <f>IF(Source!$C87&gt;=COLUMNS($A87:AD87), Source!$E87, "")</f>
        <v/>
      </c>
      <c r="AE87" s="2" t="str">
        <f>IF(Source!$C87&gt;=COLUMNS($A87:AE87), Source!$E87, "")</f>
        <v/>
      </c>
      <c r="AF87" s="2" t="str">
        <f>IF(Source!$C87&gt;=COLUMNS($A87:AF87), Source!$E87, "")</f>
        <v/>
      </c>
      <c r="AG87" s="2" t="str">
        <f>IF(Source!$C87&gt;=COLUMNS($A87:AG87), Source!$E87, "")</f>
        <v/>
      </c>
      <c r="AH87" s="2" t="str">
        <f>IF(Source!$C87&gt;=COLUMNS($A87:AH87), Source!$E87, "")</f>
        <v/>
      </c>
      <c r="AI87" s="2" t="str">
        <f>IF(Source!$C87&gt;=COLUMNS($A87:AI87), Source!$E87, "")</f>
        <v/>
      </c>
      <c r="AJ87" s="2" t="str">
        <f>IF(Source!$C87&gt;=COLUMNS($A87:AJ87), Source!$E87, "")</f>
        <v/>
      </c>
      <c r="AK87" s="2" t="str">
        <f>IF(Source!$C87&gt;=COLUMNS($A87:AK87), Source!$E87, "")</f>
        <v/>
      </c>
      <c r="AL87" s="2" t="str">
        <f>IF(Source!$C87&gt;=COLUMNS($A87:AL87), Source!$E87, "")</f>
        <v/>
      </c>
      <c r="AM87" s="2" t="str">
        <f>IF(Source!$C87&gt;=COLUMNS($A87:AM87), Source!$E87, "")</f>
        <v/>
      </c>
      <c r="AN87" s="2" t="str">
        <f>IF(Source!$C87&gt;=COLUMNS($A87:AN87), Source!$E87, "")</f>
        <v/>
      </c>
      <c r="AO87" s="2" t="str">
        <f>IF(Source!$C87&gt;=COLUMNS($A87:AO87), Source!$E87, "")</f>
        <v/>
      </c>
      <c r="AP87" s="2" t="str">
        <f>IF(Source!$C87&gt;=COLUMNS($A87:AP87), Source!$E87, "")</f>
        <v/>
      </c>
      <c r="AQ87" s="2" t="str">
        <f>IF(Source!$C87&gt;=COLUMNS($A87:AQ87), Source!$E87, "")</f>
        <v/>
      </c>
      <c r="AR87" s="2" t="str">
        <f>IF(Source!$C87&gt;=COLUMNS($A87:AR87), Source!$E87, "")</f>
        <v/>
      </c>
    </row>
    <row r="88">
      <c r="A88" s="2">
        <f>IF(Source!$C88&gt;=COLUMNS($A88:A88), Source!$E88, "")</f>
        <v>6</v>
      </c>
      <c r="B88" s="2">
        <f>IF(Source!$C88&gt;=COLUMNS($A88:B88), Source!$E88, "")</f>
        <v>6</v>
      </c>
      <c r="C88" s="2">
        <f>IF(Source!$C88&gt;=COLUMNS($A88:C88), Source!$E88, "")</f>
        <v>6</v>
      </c>
      <c r="D88" s="2">
        <f>IF(Source!$C88&gt;=COLUMNS($A88:D88), Source!$E88, "")</f>
        <v>6</v>
      </c>
      <c r="E88" s="2">
        <f>IF(Source!$C88&gt;=COLUMNS($A88:E88), Source!$E88, "")</f>
        <v>6</v>
      </c>
      <c r="F88" s="2">
        <f>IF(Source!$C88&gt;=COLUMNS($A88:F88), Source!$E88, "")</f>
        <v>6</v>
      </c>
      <c r="G88" s="2">
        <f>IF(Source!$C88&gt;=COLUMNS($A88:G88), Source!$E88, "")</f>
        <v>6</v>
      </c>
      <c r="H88" s="2">
        <f>IF(Source!$C88&gt;=COLUMNS($A88:H88), Source!$E88, "")</f>
        <v>6</v>
      </c>
      <c r="I88" s="2">
        <f>IF(Source!$C88&gt;=COLUMNS($A88:I88), Source!$E88, "")</f>
        <v>6</v>
      </c>
      <c r="J88" s="2">
        <f>IF(Source!$C88&gt;=COLUMNS($A88:J88), Source!$E88, "")</f>
        <v>6</v>
      </c>
      <c r="K88" s="2">
        <f>IF(Source!$C88&gt;=COLUMNS($A88:K88), Source!$E88, "")</f>
        <v>6</v>
      </c>
      <c r="L88" s="2">
        <f>IF(Source!$C88&gt;=COLUMNS($A88:L88), Source!$E88, "")</f>
        <v>6</v>
      </c>
      <c r="M88" s="2">
        <f>IF(Source!$C88&gt;=COLUMNS($A88:M88), Source!$E88, "")</f>
        <v>6</v>
      </c>
      <c r="N88" s="2">
        <f>IF(Source!$C88&gt;=COLUMNS($A88:N88), Source!$E88, "")</f>
        <v>6</v>
      </c>
      <c r="O88" s="2" t="str">
        <f>IF(Source!$C88&gt;=COLUMNS($A88:O88), Source!$E88, "")</f>
        <v/>
      </c>
      <c r="P88" s="2" t="str">
        <f>IF(Source!$C88&gt;=COLUMNS($A88:P88), Source!$E88, "")</f>
        <v/>
      </c>
      <c r="Q88" s="2" t="str">
        <f>IF(Source!$C88&gt;=COLUMNS($A88:Q88), Source!$E88, "")</f>
        <v/>
      </c>
      <c r="R88" s="2" t="str">
        <f>IF(Source!$C88&gt;=COLUMNS($A88:R88), Source!$E88, "")</f>
        <v/>
      </c>
      <c r="S88" s="2" t="str">
        <f>IF(Source!$C88&gt;=COLUMNS($A88:S88), Source!$E88, "")</f>
        <v/>
      </c>
      <c r="T88" s="2" t="str">
        <f>IF(Source!$C88&gt;=COLUMNS($A88:T88), Source!$E88, "")</f>
        <v/>
      </c>
      <c r="U88" s="2" t="str">
        <f>IF(Source!$C88&gt;=COLUMNS($A88:U88), Source!$E88, "")</f>
        <v/>
      </c>
      <c r="V88" s="2" t="str">
        <f>IF(Source!$C88&gt;=COLUMNS($A88:V88), Source!$E88, "")</f>
        <v/>
      </c>
      <c r="W88" s="2" t="str">
        <f>IF(Source!$C88&gt;=COLUMNS($A88:W88), Source!$E88, "")</f>
        <v/>
      </c>
      <c r="X88" s="2" t="str">
        <f>IF(Source!$C88&gt;=COLUMNS($A88:X88), Source!$E88, "")</f>
        <v/>
      </c>
      <c r="Y88" s="2" t="str">
        <f>IF(Source!$C88&gt;=COLUMNS($A88:Y88), Source!$E88, "")</f>
        <v/>
      </c>
      <c r="Z88" s="2" t="str">
        <f>IF(Source!$C88&gt;=COLUMNS($A88:Z88), Source!$E88, "")</f>
        <v/>
      </c>
      <c r="AA88" s="2" t="str">
        <f>IF(Source!$C88&gt;=COLUMNS($A88:AA88), Source!$E88, "")</f>
        <v/>
      </c>
      <c r="AB88" s="2" t="str">
        <f>IF(Source!$C88&gt;=COLUMNS($A88:AB88), Source!$E88, "")</f>
        <v/>
      </c>
      <c r="AC88" s="2" t="str">
        <f>IF(Source!$C88&gt;=COLUMNS($A88:AC88), Source!$E88, "")</f>
        <v/>
      </c>
      <c r="AD88" s="2" t="str">
        <f>IF(Source!$C88&gt;=COLUMNS($A88:AD88), Source!$E88, "")</f>
        <v/>
      </c>
      <c r="AE88" s="2" t="str">
        <f>IF(Source!$C88&gt;=COLUMNS($A88:AE88), Source!$E88, "")</f>
        <v/>
      </c>
      <c r="AF88" s="2" t="str">
        <f>IF(Source!$C88&gt;=COLUMNS($A88:AF88), Source!$E88, "")</f>
        <v/>
      </c>
      <c r="AG88" s="2" t="str">
        <f>IF(Source!$C88&gt;=COLUMNS($A88:AG88), Source!$E88, "")</f>
        <v/>
      </c>
      <c r="AH88" s="2" t="str">
        <f>IF(Source!$C88&gt;=COLUMNS($A88:AH88), Source!$E88, "")</f>
        <v/>
      </c>
      <c r="AI88" s="2" t="str">
        <f>IF(Source!$C88&gt;=COLUMNS($A88:AI88), Source!$E88, "")</f>
        <v/>
      </c>
      <c r="AJ88" s="2" t="str">
        <f>IF(Source!$C88&gt;=COLUMNS($A88:AJ88), Source!$E88, "")</f>
        <v/>
      </c>
      <c r="AK88" s="2" t="str">
        <f>IF(Source!$C88&gt;=COLUMNS($A88:AK88), Source!$E88, "")</f>
        <v/>
      </c>
      <c r="AL88" s="2" t="str">
        <f>IF(Source!$C88&gt;=COLUMNS($A88:AL88), Source!$E88, "")</f>
        <v/>
      </c>
      <c r="AM88" s="2" t="str">
        <f>IF(Source!$C88&gt;=COLUMNS($A88:AM88), Source!$E88, "")</f>
        <v/>
      </c>
      <c r="AN88" s="2" t="str">
        <f>IF(Source!$C88&gt;=COLUMNS($A88:AN88), Source!$E88, "")</f>
        <v/>
      </c>
      <c r="AO88" s="2" t="str">
        <f>IF(Source!$C88&gt;=COLUMNS($A88:AO88), Source!$E88, "")</f>
        <v/>
      </c>
      <c r="AP88" s="2" t="str">
        <f>IF(Source!$C88&gt;=COLUMNS($A88:AP88), Source!$E88, "")</f>
        <v/>
      </c>
      <c r="AQ88" s="2" t="str">
        <f>IF(Source!$C88&gt;=COLUMNS($A88:AQ88), Source!$E88, "")</f>
        <v/>
      </c>
      <c r="AR88" s="2" t="str">
        <f>IF(Source!$C88&gt;=COLUMNS($A88:AR88), Source!$E88, "")</f>
        <v/>
      </c>
    </row>
    <row r="89">
      <c r="A89" s="2">
        <f>IF(Source!$C89&gt;=COLUMNS($A89:A89), Source!$E89, "")</f>
        <v>8</v>
      </c>
      <c r="B89" s="2">
        <f>IF(Source!$C89&gt;=COLUMNS($A89:B89), Source!$E89, "")</f>
        <v>8</v>
      </c>
      <c r="C89" s="2">
        <f>IF(Source!$C89&gt;=COLUMNS($A89:C89), Source!$E89, "")</f>
        <v>8</v>
      </c>
      <c r="D89" s="2" t="str">
        <f>IF(Source!$C89&gt;=COLUMNS($A89:D89), Source!$E89, "")</f>
        <v/>
      </c>
      <c r="E89" s="2" t="str">
        <f>IF(Source!$C89&gt;=COLUMNS($A89:E89), Source!$E89, "")</f>
        <v/>
      </c>
      <c r="F89" s="2" t="str">
        <f>IF(Source!$C89&gt;=COLUMNS($A89:F89), Source!$E89, "")</f>
        <v/>
      </c>
      <c r="G89" s="2" t="str">
        <f>IF(Source!$C89&gt;=COLUMNS($A89:G89), Source!$E89, "")</f>
        <v/>
      </c>
      <c r="H89" s="2" t="str">
        <f>IF(Source!$C89&gt;=COLUMNS($A89:H89), Source!$E89, "")</f>
        <v/>
      </c>
      <c r="I89" s="2" t="str">
        <f>IF(Source!$C89&gt;=COLUMNS($A89:I89), Source!$E89, "")</f>
        <v/>
      </c>
      <c r="J89" s="2" t="str">
        <f>IF(Source!$C89&gt;=COLUMNS($A89:J89), Source!$E89, "")</f>
        <v/>
      </c>
      <c r="K89" s="2" t="str">
        <f>IF(Source!$C89&gt;=COLUMNS($A89:K89), Source!$E89, "")</f>
        <v/>
      </c>
      <c r="L89" s="2" t="str">
        <f>IF(Source!$C89&gt;=COLUMNS($A89:L89), Source!$E89, "")</f>
        <v/>
      </c>
      <c r="M89" s="2" t="str">
        <f>IF(Source!$C89&gt;=COLUMNS($A89:M89), Source!$E89, "")</f>
        <v/>
      </c>
      <c r="N89" s="2" t="str">
        <f>IF(Source!$C89&gt;=COLUMNS($A89:N89), Source!$E89, "")</f>
        <v/>
      </c>
      <c r="O89" s="2" t="str">
        <f>IF(Source!$C89&gt;=COLUMNS($A89:O89), Source!$E89, "")</f>
        <v/>
      </c>
      <c r="P89" s="2" t="str">
        <f>IF(Source!$C89&gt;=COLUMNS($A89:P89), Source!$E89, "")</f>
        <v/>
      </c>
      <c r="Q89" s="2" t="str">
        <f>IF(Source!$C89&gt;=COLUMNS($A89:Q89), Source!$E89, "")</f>
        <v/>
      </c>
      <c r="R89" s="2" t="str">
        <f>IF(Source!$C89&gt;=COLUMNS($A89:R89), Source!$E89, "")</f>
        <v/>
      </c>
      <c r="S89" s="2" t="str">
        <f>IF(Source!$C89&gt;=COLUMNS($A89:S89), Source!$E89, "")</f>
        <v/>
      </c>
      <c r="T89" s="2" t="str">
        <f>IF(Source!$C89&gt;=COLUMNS($A89:T89), Source!$E89, "")</f>
        <v/>
      </c>
      <c r="U89" s="2" t="str">
        <f>IF(Source!$C89&gt;=COLUMNS($A89:U89), Source!$E89, "")</f>
        <v/>
      </c>
      <c r="V89" s="2" t="str">
        <f>IF(Source!$C89&gt;=COLUMNS($A89:V89), Source!$E89, "")</f>
        <v/>
      </c>
      <c r="W89" s="2" t="str">
        <f>IF(Source!$C89&gt;=COLUMNS($A89:W89), Source!$E89, "")</f>
        <v/>
      </c>
      <c r="X89" s="2" t="str">
        <f>IF(Source!$C89&gt;=COLUMNS($A89:X89), Source!$E89, "")</f>
        <v/>
      </c>
      <c r="Y89" s="2" t="str">
        <f>IF(Source!$C89&gt;=COLUMNS($A89:Y89), Source!$E89, "")</f>
        <v/>
      </c>
      <c r="Z89" s="2" t="str">
        <f>IF(Source!$C89&gt;=COLUMNS($A89:Z89), Source!$E89, "")</f>
        <v/>
      </c>
      <c r="AA89" s="2" t="str">
        <f>IF(Source!$C89&gt;=COLUMNS($A89:AA89), Source!$E89, "")</f>
        <v/>
      </c>
      <c r="AB89" s="2" t="str">
        <f>IF(Source!$C89&gt;=COLUMNS($A89:AB89), Source!$E89, "")</f>
        <v/>
      </c>
      <c r="AC89" s="2" t="str">
        <f>IF(Source!$C89&gt;=COLUMNS($A89:AC89), Source!$E89, "")</f>
        <v/>
      </c>
      <c r="AD89" s="2" t="str">
        <f>IF(Source!$C89&gt;=COLUMNS($A89:AD89), Source!$E89, "")</f>
        <v/>
      </c>
      <c r="AE89" s="2" t="str">
        <f>IF(Source!$C89&gt;=COLUMNS($A89:AE89), Source!$E89, "")</f>
        <v/>
      </c>
      <c r="AF89" s="2" t="str">
        <f>IF(Source!$C89&gt;=COLUMNS($A89:AF89), Source!$E89, "")</f>
        <v/>
      </c>
      <c r="AG89" s="2" t="str">
        <f>IF(Source!$C89&gt;=COLUMNS($A89:AG89), Source!$E89, "")</f>
        <v/>
      </c>
      <c r="AH89" s="2" t="str">
        <f>IF(Source!$C89&gt;=COLUMNS($A89:AH89), Source!$E89, "")</f>
        <v/>
      </c>
      <c r="AI89" s="2" t="str">
        <f>IF(Source!$C89&gt;=COLUMNS($A89:AI89), Source!$E89, "")</f>
        <v/>
      </c>
      <c r="AJ89" s="2" t="str">
        <f>IF(Source!$C89&gt;=COLUMNS($A89:AJ89), Source!$E89, "")</f>
        <v/>
      </c>
      <c r="AK89" s="2" t="str">
        <f>IF(Source!$C89&gt;=COLUMNS($A89:AK89), Source!$E89, "")</f>
        <v/>
      </c>
      <c r="AL89" s="2" t="str">
        <f>IF(Source!$C89&gt;=COLUMNS($A89:AL89), Source!$E89, "")</f>
        <v/>
      </c>
      <c r="AM89" s="2" t="str">
        <f>IF(Source!$C89&gt;=COLUMNS($A89:AM89), Source!$E89, "")</f>
        <v/>
      </c>
      <c r="AN89" s="2" t="str">
        <f>IF(Source!$C89&gt;=COLUMNS($A89:AN89), Source!$E89, "")</f>
        <v/>
      </c>
      <c r="AO89" s="2" t="str">
        <f>IF(Source!$C89&gt;=COLUMNS($A89:AO89), Source!$E89, "")</f>
        <v/>
      </c>
      <c r="AP89" s="2" t="str">
        <f>IF(Source!$C89&gt;=COLUMNS($A89:AP89), Source!$E89, "")</f>
        <v/>
      </c>
      <c r="AQ89" s="2" t="str">
        <f>IF(Source!$C89&gt;=COLUMNS($A89:AQ89), Source!$E89, "")</f>
        <v/>
      </c>
      <c r="AR89" s="2" t="str">
        <f>IF(Source!$C89&gt;=COLUMNS($A89:AR89), Source!$E89, "")</f>
        <v/>
      </c>
    </row>
    <row r="90">
      <c r="A90" s="2">
        <f>IF(Source!$C90&gt;=COLUMNS($A90:A90), Source!$E90, "")</f>
        <v>2</v>
      </c>
      <c r="B90" s="2">
        <f>IF(Source!$C90&gt;=COLUMNS($A90:B90), Source!$E90, "")</f>
        <v>2</v>
      </c>
      <c r="C90" s="2">
        <f>IF(Source!$C90&gt;=COLUMNS($A90:C90), Source!$E90, "")</f>
        <v>2</v>
      </c>
      <c r="D90" s="2">
        <f>IF(Source!$C90&gt;=COLUMNS($A90:D90), Source!$E90, "")</f>
        <v>2</v>
      </c>
      <c r="E90" s="2">
        <f>IF(Source!$C90&gt;=COLUMNS($A90:E90), Source!$E90, "")</f>
        <v>2</v>
      </c>
      <c r="F90" s="2">
        <f>IF(Source!$C90&gt;=COLUMNS($A90:F90), Source!$E90, "")</f>
        <v>2</v>
      </c>
      <c r="G90" s="2">
        <f>IF(Source!$C90&gt;=COLUMNS($A90:G90), Source!$E90, "")</f>
        <v>2</v>
      </c>
      <c r="H90" s="2">
        <f>IF(Source!$C90&gt;=COLUMNS($A90:H90), Source!$E90, "")</f>
        <v>2</v>
      </c>
      <c r="I90" s="2">
        <f>IF(Source!$C90&gt;=COLUMNS($A90:I90), Source!$E90, "")</f>
        <v>2</v>
      </c>
      <c r="J90" s="2">
        <f>IF(Source!$C90&gt;=COLUMNS($A90:J90), Source!$E90, "")</f>
        <v>2</v>
      </c>
      <c r="K90" s="2">
        <f>IF(Source!$C90&gt;=COLUMNS($A90:K90), Source!$E90, "")</f>
        <v>2</v>
      </c>
      <c r="L90" s="2">
        <f>IF(Source!$C90&gt;=COLUMNS($A90:L90), Source!$E90, "")</f>
        <v>2</v>
      </c>
      <c r="M90" s="2">
        <f>IF(Source!$C90&gt;=COLUMNS($A90:M90), Source!$E90, "")</f>
        <v>2</v>
      </c>
      <c r="N90" s="2">
        <f>IF(Source!$C90&gt;=COLUMNS($A90:N90), Source!$E90, "")</f>
        <v>2</v>
      </c>
      <c r="O90" s="2">
        <f>IF(Source!$C90&gt;=COLUMNS($A90:O90), Source!$E90, "")</f>
        <v>2</v>
      </c>
      <c r="P90" s="2" t="str">
        <f>IF(Source!$C90&gt;=COLUMNS($A90:P90), Source!$E90, "")</f>
        <v/>
      </c>
      <c r="Q90" s="2" t="str">
        <f>IF(Source!$C90&gt;=COLUMNS($A90:Q90), Source!$E90, "")</f>
        <v/>
      </c>
      <c r="R90" s="2" t="str">
        <f>IF(Source!$C90&gt;=COLUMNS($A90:R90), Source!$E90, "")</f>
        <v/>
      </c>
      <c r="S90" s="2" t="str">
        <f>IF(Source!$C90&gt;=COLUMNS($A90:S90), Source!$E90, "")</f>
        <v/>
      </c>
      <c r="T90" s="2" t="str">
        <f>IF(Source!$C90&gt;=COLUMNS($A90:T90), Source!$E90, "")</f>
        <v/>
      </c>
      <c r="U90" s="2" t="str">
        <f>IF(Source!$C90&gt;=COLUMNS($A90:U90), Source!$E90, "")</f>
        <v/>
      </c>
      <c r="V90" s="2" t="str">
        <f>IF(Source!$C90&gt;=COLUMNS($A90:V90), Source!$E90, "")</f>
        <v/>
      </c>
      <c r="W90" s="2" t="str">
        <f>IF(Source!$C90&gt;=COLUMNS($A90:W90), Source!$E90, "")</f>
        <v/>
      </c>
      <c r="X90" s="2" t="str">
        <f>IF(Source!$C90&gt;=COLUMNS($A90:X90), Source!$E90, "")</f>
        <v/>
      </c>
      <c r="Y90" s="2" t="str">
        <f>IF(Source!$C90&gt;=COLUMNS($A90:Y90), Source!$E90, "")</f>
        <v/>
      </c>
      <c r="Z90" s="2" t="str">
        <f>IF(Source!$C90&gt;=COLUMNS($A90:Z90), Source!$E90, "")</f>
        <v/>
      </c>
      <c r="AA90" s="2" t="str">
        <f>IF(Source!$C90&gt;=COLUMNS($A90:AA90), Source!$E90, "")</f>
        <v/>
      </c>
      <c r="AB90" s="2" t="str">
        <f>IF(Source!$C90&gt;=COLUMNS($A90:AB90), Source!$E90, "")</f>
        <v/>
      </c>
      <c r="AC90" s="2" t="str">
        <f>IF(Source!$C90&gt;=COLUMNS($A90:AC90), Source!$E90, "")</f>
        <v/>
      </c>
      <c r="AD90" s="2" t="str">
        <f>IF(Source!$C90&gt;=COLUMNS($A90:AD90), Source!$E90, "")</f>
        <v/>
      </c>
      <c r="AE90" s="2" t="str">
        <f>IF(Source!$C90&gt;=COLUMNS($A90:AE90), Source!$E90, "")</f>
        <v/>
      </c>
      <c r="AF90" s="2" t="str">
        <f>IF(Source!$C90&gt;=COLUMNS($A90:AF90), Source!$E90, "")</f>
        <v/>
      </c>
      <c r="AG90" s="2" t="str">
        <f>IF(Source!$C90&gt;=COLUMNS($A90:AG90), Source!$E90, "")</f>
        <v/>
      </c>
      <c r="AH90" s="2" t="str">
        <f>IF(Source!$C90&gt;=COLUMNS($A90:AH90), Source!$E90, "")</f>
        <v/>
      </c>
      <c r="AI90" s="2" t="str">
        <f>IF(Source!$C90&gt;=COLUMNS($A90:AI90), Source!$E90, "")</f>
        <v/>
      </c>
      <c r="AJ90" s="2" t="str">
        <f>IF(Source!$C90&gt;=COLUMNS($A90:AJ90), Source!$E90, "")</f>
        <v/>
      </c>
      <c r="AK90" s="2" t="str">
        <f>IF(Source!$C90&gt;=COLUMNS($A90:AK90), Source!$E90, "")</f>
        <v/>
      </c>
      <c r="AL90" s="2" t="str">
        <f>IF(Source!$C90&gt;=COLUMNS($A90:AL90), Source!$E90, "")</f>
        <v/>
      </c>
      <c r="AM90" s="2" t="str">
        <f>IF(Source!$C90&gt;=COLUMNS($A90:AM90), Source!$E90, "")</f>
        <v/>
      </c>
      <c r="AN90" s="2" t="str">
        <f>IF(Source!$C90&gt;=COLUMNS($A90:AN90), Source!$E90, "")</f>
        <v/>
      </c>
      <c r="AO90" s="2" t="str">
        <f>IF(Source!$C90&gt;=COLUMNS($A90:AO90), Source!$E90, "")</f>
        <v/>
      </c>
      <c r="AP90" s="2" t="str">
        <f>IF(Source!$C90&gt;=COLUMNS($A90:AP90), Source!$E90, "")</f>
        <v/>
      </c>
      <c r="AQ90" s="2" t="str">
        <f>IF(Source!$C90&gt;=COLUMNS($A90:AQ90), Source!$E90, "")</f>
        <v/>
      </c>
      <c r="AR90" s="2" t="str">
        <f>IF(Source!$C90&gt;=COLUMNS($A90:AR90), Source!$E90, "")</f>
        <v/>
      </c>
    </row>
    <row r="91">
      <c r="A91" s="2">
        <f>IF(Source!$C91&gt;=COLUMNS($A91:A91), Source!$E91, "")</f>
        <v>6</v>
      </c>
      <c r="B91" s="2" t="str">
        <f>IF(Source!$C91&gt;=COLUMNS($A91:B91), Source!$E91, "")</f>
        <v/>
      </c>
      <c r="C91" s="2" t="str">
        <f>IF(Source!$C91&gt;=COLUMNS($A91:C91), Source!$E91, "")</f>
        <v/>
      </c>
      <c r="D91" s="2" t="str">
        <f>IF(Source!$C91&gt;=COLUMNS($A91:D91), Source!$E91, "")</f>
        <v/>
      </c>
      <c r="E91" s="2" t="str">
        <f>IF(Source!$C91&gt;=COLUMNS($A91:E91), Source!$E91, "")</f>
        <v/>
      </c>
      <c r="F91" s="2" t="str">
        <f>IF(Source!$C91&gt;=COLUMNS($A91:F91), Source!$E91, "")</f>
        <v/>
      </c>
      <c r="G91" s="2" t="str">
        <f>IF(Source!$C91&gt;=COLUMNS($A91:G91), Source!$E91, "")</f>
        <v/>
      </c>
      <c r="H91" s="2" t="str">
        <f>IF(Source!$C91&gt;=COLUMNS($A91:H91), Source!$E91, "")</f>
        <v/>
      </c>
      <c r="I91" s="2" t="str">
        <f>IF(Source!$C91&gt;=COLUMNS($A91:I91), Source!$E91, "")</f>
        <v/>
      </c>
      <c r="J91" s="2" t="str">
        <f>IF(Source!$C91&gt;=COLUMNS($A91:J91), Source!$E91, "")</f>
        <v/>
      </c>
      <c r="K91" s="2" t="str">
        <f>IF(Source!$C91&gt;=COLUMNS($A91:K91), Source!$E91, "")</f>
        <v/>
      </c>
      <c r="L91" s="2" t="str">
        <f>IF(Source!$C91&gt;=COLUMNS($A91:L91), Source!$E91, "")</f>
        <v/>
      </c>
      <c r="M91" s="2" t="str">
        <f>IF(Source!$C91&gt;=COLUMNS($A91:M91), Source!$E91, "")</f>
        <v/>
      </c>
      <c r="N91" s="2" t="str">
        <f>IF(Source!$C91&gt;=COLUMNS($A91:N91), Source!$E91, "")</f>
        <v/>
      </c>
      <c r="O91" s="2" t="str">
        <f>IF(Source!$C91&gt;=COLUMNS($A91:O91), Source!$E91, "")</f>
        <v/>
      </c>
      <c r="P91" s="2" t="str">
        <f>IF(Source!$C91&gt;=COLUMNS($A91:P91), Source!$E91, "")</f>
        <v/>
      </c>
      <c r="Q91" s="2" t="str">
        <f>IF(Source!$C91&gt;=COLUMNS($A91:Q91), Source!$E91, "")</f>
        <v/>
      </c>
      <c r="R91" s="2" t="str">
        <f>IF(Source!$C91&gt;=COLUMNS($A91:R91), Source!$E91, "")</f>
        <v/>
      </c>
      <c r="S91" s="2" t="str">
        <f>IF(Source!$C91&gt;=COLUMNS($A91:S91), Source!$E91, "")</f>
        <v/>
      </c>
      <c r="T91" s="2" t="str">
        <f>IF(Source!$C91&gt;=COLUMNS($A91:T91), Source!$E91, "")</f>
        <v/>
      </c>
      <c r="U91" s="2" t="str">
        <f>IF(Source!$C91&gt;=COLUMNS($A91:U91), Source!$E91, "")</f>
        <v/>
      </c>
      <c r="V91" s="2" t="str">
        <f>IF(Source!$C91&gt;=COLUMNS($A91:V91), Source!$E91, "")</f>
        <v/>
      </c>
      <c r="W91" s="2" t="str">
        <f>IF(Source!$C91&gt;=COLUMNS($A91:W91), Source!$E91, "")</f>
        <v/>
      </c>
      <c r="X91" s="2" t="str">
        <f>IF(Source!$C91&gt;=COLUMNS($A91:X91), Source!$E91, "")</f>
        <v/>
      </c>
      <c r="Y91" s="2" t="str">
        <f>IF(Source!$C91&gt;=COLUMNS($A91:Y91), Source!$E91, "")</f>
        <v/>
      </c>
      <c r="Z91" s="2" t="str">
        <f>IF(Source!$C91&gt;=COLUMNS($A91:Z91), Source!$E91, "")</f>
        <v/>
      </c>
      <c r="AA91" s="2" t="str">
        <f>IF(Source!$C91&gt;=COLUMNS($A91:AA91), Source!$E91, "")</f>
        <v/>
      </c>
      <c r="AB91" s="2" t="str">
        <f>IF(Source!$C91&gt;=COLUMNS($A91:AB91), Source!$E91, "")</f>
        <v/>
      </c>
      <c r="AC91" s="2" t="str">
        <f>IF(Source!$C91&gt;=COLUMNS($A91:AC91), Source!$E91, "")</f>
        <v/>
      </c>
      <c r="AD91" s="2" t="str">
        <f>IF(Source!$C91&gt;=COLUMNS($A91:AD91), Source!$E91, "")</f>
        <v/>
      </c>
      <c r="AE91" s="2" t="str">
        <f>IF(Source!$C91&gt;=COLUMNS($A91:AE91), Source!$E91, "")</f>
        <v/>
      </c>
      <c r="AF91" s="2" t="str">
        <f>IF(Source!$C91&gt;=COLUMNS($A91:AF91), Source!$E91, "")</f>
        <v/>
      </c>
      <c r="AG91" s="2" t="str">
        <f>IF(Source!$C91&gt;=COLUMNS($A91:AG91), Source!$E91, "")</f>
        <v/>
      </c>
      <c r="AH91" s="2" t="str">
        <f>IF(Source!$C91&gt;=COLUMNS($A91:AH91), Source!$E91, "")</f>
        <v/>
      </c>
      <c r="AI91" s="2" t="str">
        <f>IF(Source!$C91&gt;=COLUMNS($A91:AI91), Source!$E91, "")</f>
        <v/>
      </c>
      <c r="AJ91" s="2" t="str">
        <f>IF(Source!$C91&gt;=COLUMNS($A91:AJ91), Source!$E91, "")</f>
        <v/>
      </c>
      <c r="AK91" s="2" t="str">
        <f>IF(Source!$C91&gt;=COLUMNS($A91:AK91), Source!$E91, "")</f>
        <v/>
      </c>
      <c r="AL91" s="2" t="str">
        <f>IF(Source!$C91&gt;=COLUMNS($A91:AL91), Source!$E91, "")</f>
        <v/>
      </c>
      <c r="AM91" s="2" t="str">
        <f>IF(Source!$C91&gt;=COLUMNS($A91:AM91), Source!$E91, "")</f>
        <v/>
      </c>
      <c r="AN91" s="2" t="str">
        <f>IF(Source!$C91&gt;=COLUMNS($A91:AN91), Source!$E91, "")</f>
        <v/>
      </c>
      <c r="AO91" s="2" t="str">
        <f>IF(Source!$C91&gt;=COLUMNS($A91:AO91), Source!$E91, "")</f>
        <v/>
      </c>
      <c r="AP91" s="2" t="str">
        <f>IF(Source!$C91&gt;=COLUMNS($A91:AP91), Source!$E91, "")</f>
        <v/>
      </c>
      <c r="AQ91" s="2" t="str">
        <f>IF(Source!$C91&gt;=COLUMNS($A91:AQ91), Source!$E91, "")</f>
        <v/>
      </c>
      <c r="AR91" s="2" t="str">
        <f>IF(Source!$C91&gt;=COLUMNS($A91:AR91), Source!$E91, "")</f>
        <v/>
      </c>
    </row>
    <row r="92">
      <c r="A92" s="2">
        <f>IF(Source!$C92&gt;=COLUMNS($A92:A92), Source!$E92, "")</f>
        <v>3</v>
      </c>
      <c r="B92" s="2">
        <f>IF(Source!$C92&gt;=COLUMNS($A92:B92), Source!$E92, "")</f>
        <v>3</v>
      </c>
      <c r="C92" s="2">
        <f>IF(Source!$C92&gt;=COLUMNS($A92:C92), Source!$E92, "")</f>
        <v>3</v>
      </c>
      <c r="D92" s="2">
        <f>IF(Source!$C92&gt;=COLUMNS($A92:D92), Source!$E92, "")</f>
        <v>3</v>
      </c>
      <c r="E92" s="2">
        <f>IF(Source!$C92&gt;=COLUMNS($A92:E92), Source!$E92, "")</f>
        <v>3</v>
      </c>
      <c r="F92" s="2">
        <f>IF(Source!$C92&gt;=COLUMNS($A92:F92), Source!$E92, "")</f>
        <v>3</v>
      </c>
      <c r="G92" s="2">
        <f>IF(Source!$C92&gt;=COLUMNS($A92:G92), Source!$E92, "")</f>
        <v>3</v>
      </c>
      <c r="H92" s="2">
        <f>IF(Source!$C92&gt;=COLUMNS($A92:H92), Source!$E92, "")</f>
        <v>3</v>
      </c>
      <c r="I92" s="2">
        <f>IF(Source!$C92&gt;=COLUMNS($A92:I92), Source!$E92, "")</f>
        <v>3</v>
      </c>
      <c r="J92" s="2">
        <f>IF(Source!$C92&gt;=COLUMNS($A92:J92), Source!$E92, "")</f>
        <v>3</v>
      </c>
      <c r="K92" s="2">
        <f>IF(Source!$C92&gt;=COLUMNS($A92:K92), Source!$E92, "")</f>
        <v>3</v>
      </c>
      <c r="L92" s="2">
        <f>IF(Source!$C92&gt;=COLUMNS($A92:L92), Source!$E92, "")</f>
        <v>3</v>
      </c>
      <c r="M92" s="2">
        <f>IF(Source!$C92&gt;=COLUMNS($A92:M92), Source!$E92, "")</f>
        <v>3</v>
      </c>
      <c r="N92" s="2">
        <f>IF(Source!$C92&gt;=COLUMNS($A92:N92), Source!$E92, "")</f>
        <v>3</v>
      </c>
      <c r="O92" s="2" t="str">
        <f>IF(Source!$C92&gt;=COLUMNS($A92:O92), Source!$E92, "")</f>
        <v/>
      </c>
      <c r="P92" s="2" t="str">
        <f>IF(Source!$C92&gt;=COLUMNS($A92:P92), Source!$E92, "")</f>
        <v/>
      </c>
      <c r="Q92" s="2" t="str">
        <f>IF(Source!$C92&gt;=COLUMNS($A92:Q92), Source!$E92, "")</f>
        <v/>
      </c>
      <c r="R92" s="2" t="str">
        <f>IF(Source!$C92&gt;=COLUMNS($A92:R92), Source!$E92, "")</f>
        <v/>
      </c>
      <c r="S92" s="2" t="str">
        <f>IF(Source!$C92&gt;=COLUMNS($A92:S92), Source!$E92, "")</f>
        <v/>
      </c>
      <c r="T92" s="2" t="str">
        <f>IF(Source!$C92&gt;=COLUMNS($A92:T92), Source!$E92, "")</f>
        <v/>
      </c>
      <c r="U92" s="2" t="str">
        <f>IF(Source!$C92&gt;=COLUMNS($A92:U92), Source!$E92, "")</f>
        <v/>
      </c>
      <c r="V92" s="2" t="str">
        <f>IF(Source!$C92&gt;=COLUMNS($A92:V92), Source!$E92, "")</f>
        <v/>
      </c>
      <c r="W92" s="2" t="str">
        <f>IF(Source!$C92&gt;=COLUMNS($A92:W92), Source!$E92, "")</f>
        <v/>
      </c>
      <c r="X92" s="2" t="str">
        <f>IF(Source!$C92&gt;=COLUMNS($A92:X92), Source!$E92, "")</f>
        <v/>
      </c>
      <c r="Y92" s="2" t="str">
        <f>IF(Source!$C92&gt;=COLUMNS($A92:Y92), Source!$E92, "")</f>
        <v/>
      </c>
      <c r="Z92" s="2" t="str">
        <f>IF(Source!$C92&gt;=COLUMNS($A92:Z92), Source!$E92, "")</f>
        <v/>
      </c>
      <c r="AA92" s="2" t="str">
        <f>IF(Source!$C92&gt;=COLUMNS($A92:AA92), Source!$E92, "")</f>
        <v/>
      </c>
      <c r="AB92" s="2" t="str">
        <f>IF(Source!$C92&gt;=COLUMNS($A92:AB92), Source!$E92, "")</f>
        <v/>
      </c>
      <c r="AC92" s="2" t="str">
        <f>IF(Source!$C92&gt;=COLUMNS($A92:AC92), Source!$E92, "")</f>
        <v/>
      </c>
      <c r="AD92" s="2" t="str">
        <f>IF(Source!$C92&gt;=COLUMNS($A92:AD92), Source!$E92, "")</f>
        <v/>
      </c>
      <c r="AE92" s="2" t="str">
        <f>IF(Source!$C92&gt;=COLUMNS($A92:AE92), Source!$E92, "")</f>
        <v/>
      </c>
      <c r="AF92" s="2" t="str">
        <f>IF(Source!$C92&gt;=COLUMNS($A92:AF92), Source!$E92, "")</f>
        <v/>
      </c>
      <c r="AG92" s="2" t="str">
        <f>IF(Source!$C92&gt;=COLUMNS($A92:AG92), Source!$E92, "")</f>
        <v/>
      </c>
      <c r="AH92" s="2" t="str">
        <f>IF(Source!$C92&gt;=COLUMNS($A92:AH92), Source!$E92, "")</f>
        <v/>
      </c>
      <c r="AI92" s="2" t="str">
        <f>IF(Source!$C92&gt;=COLUMNS($A92:AI92), Source!$E92, "")</f>
        <v/>
      </c>
      <c r="AJ92" s="2" t="str">
        <f>IF(Source!$C92&gt;=COLUMNS($A92:AJ92), Source!$E92, "")</f>
        <v/>
      </c>
      <c r="AK92" s="2" t="str">
        <f>IF(Source!$C92&gt;=COLUMNS($A92:AK92), Source!$E92, "")</f>
        <v/>
      </c>
      <c r="AL92" s="2" t="str">
        <f>IF(Source!$C92&gt;=COLUMNS($A92:AL92), Source!$E92, "")</f>
        <v/>
      </c>
      <c r="AM92" s="2" t="str">
        <f>IF(Source!$C92&gt;=COLUMNS($A92:AM92), Source!$E92, "")</f>
        <v/>
      </c>
      <c r="AN92" s="2" t="str">
        <f>IF(Source!$C92&gt;=COLUMNS($A92:AN92), Source!$E92, "")</f>
        <v/>
      </c>
      <c r="AO92" s="2" t="str">
        <f>IF(Source!$C92&gt;=COLUMNS($A92:AO92), Source!$E92, "")</f>
        <v/>
      </c>
      <c r="AP92" s="2" t="str">
        <f>IF(Source!$C92&gt;=COLUMNS($A92:AP92), Source!$E92, "")</f>
        <v/>
      </c>
      <c r="AQ92" s="2" t="str">
        <f>IF(Source!$C92&gt;=COLUMNS($A92:AQ92), Source!$E92, "")</f>
        <v/>
      </c>
      <c r="AR92" s="2" t="str">
        <f>IF(Source!$C92&gt;=COLUMNS($A92:AR92), Source!$E92, "")</f>
        <v/>
      </c>
    </row>
    <row r="93">
      <c r="A93" s="2">
        <f>IF(Source!$C93&gt;=COLUMNS($A93:A93), Source!$E93, "")</f>
        <v>2</v>
      </c>
      <c r="B93" s="2">
        <f>IF(Source!$C93&gt;=COLUMNS($A93:B93), Source!$E93, "")</f>
        <v>2</v>
      </c>
      <c r="C93" s="2" t="str">
        <f>IF(Source!$C93&gt;=COLUMNS($A93:C93), Source!$E93, "")</f>
        <v/>
      </c>
      <c r="D93" s="2" t="str">
        <f>IF(Source!$C93&gt;=COLUMNS($A93:D93), Source!$E93, "")</f>
        <v/>
      </c>
      <c r="E93" s="2" t="str">
        <f>IF(Source!$C93&gt;=COLUMNS($A93:E93), Source!$E93, "")</f>
        <v/>
      </c>
      <c r="F93" s="2" t="str">
        <f>IF(Source!$C93&gt;=COLUMNS($A93:F93), Source!$E93, "")</f>
        <v/>
      </c>
      <c r="G93" s="2" t="str">
        <f>IF(Source!$C93&gt;=COLUMNS($A93:G93), Source!$E93, "")</f>
        <v/>
      </c>
      <c r="H93" s="2" t="str">
        <f>IF(Source!$C93&gt;=COLUMNS($A93:H93), Source!$E93, "")</f>
        <v/>
      </c>
      <c r="I93" s="2" t="str">
        <f>IF(Source!$C93&gt;=COLUMNS($A93:I93), Source!$E93, "")</f>
        <v/>
      </c>
      <c r="J93" s="2" t="str">
        <f>IF(Source!$C93&gt;=COLUMNS($A93:J93), Source!$E93, "")</f>
        <v/>
      </c>
      <c r="K93" s="2" t="str">
        <f>IF(Source!$C93&gt;=COLUMNS($A93:K93), Source!$E93, "")</f>
        <v/>
      </c>
      <c r="L93" s="2" t="str">
        <f>IF(Source!$C93&gt;=COLUMNS($A93:L93), Source!$E93, "")</f>
        <v/>
      </c>
      <c r="M93" s="2" t="str">
        <f>IF(Source!$C93&gt;=COLUMNS($A93:M93), Source!$E93, "")</f>
        <v/>
      </c>
      <c r="N93" s="2" t="str">
        <f>IF(Source!$C93&gt;=COLUMNS($A93:N93), Source!$E93, "")</f>
        <v/>
      </c>
      <c r="O93" s="2" t="str">
        <f>IF(Source!$C93&gt;=COLUMNS($A93:O93), Source!$E93, "")</f>
        <v/>
      </c>
      <c r="P93" s="2" t="str">
        <f>IF(Source!$C93&gt;=COLUMNS($A93:P93), Source!$E93, "")</f>
        <v/>
      </c>
      <c r="Q93" s="2" t="str">
        <f>IF(Source!$C93&gt;=COLUMNS($A93:Q93), Source!$E93, "")</f>
        <v/>
      </c>
      <c r="R93" s="2" t="str">
        <f>IF(Source!$C93&gt;=COLUMNS($A93:R93), Source!$E93, "")</f>
        <v/>
      </c>
      <c r="S93" s="2" t="str">
        <f>IF(Source!$C93&gt;=COLUMNS($A93:S93), Source!$E93, "")</f>
        <v/>
      </c>
      <c r="T93" s="2" t="str">
        <f>IF(Source!$C93&gt;=COLUMNS($A93:T93), Source!$E93, "")</f>
        <v/>
      </c>
      <c r="U93" s="2" t="str">
        <f>IF(Source!$C93&gt;=COLUMNS($A93:U93), Source!$E93, "")</f>
        <v/>
      </c>
      <c r="V93" s="2" t="str">
        <f>IF(Source!$C93&gt;=COLUMNS($A93:V93), Source!$E93, "")</f>
        <v/>
      </c>
      <c r="W93" s="2" t="str">
        <f>IF(Source!$C93&gt;=COLUMNS($A93:W93), Source!$E93, "")</f>
        <v/>
      </c>
      <c r="X93" s="2" t="str">
        <f>IF(Source!$C93&gt;=COLUMNS($A93:X93), Source!$E93, "")</f>
        <v/>
      </c>
      <c r="Y93" s="2" t="str">
        <f>IF(Source!$C93&gt;=COLUMNS($A93:Y93), Source!$E93, "")</f>
        <v/>
      </c>
      <c r="Z93" s="2" t="str">
        <f>IF(Source!$C93&gt;=COLUMNS($A93:Z93), Source!$E93, "")</f>
        <v/>
      </c>
      <c r="AA93" s="2" t="str">
        <f>IF(Source!$C93&gt;=COLUMNS($A93:AA93), Source!$E93, "")</f>
        <v/>
      </c>
      <c r="AB93" s="2" t="str">
        <f>IF(Source!$C93&gt;=COLUMNS($A93:AB93), Source!$E93, "")</f>
        <v/>
      </c>
      <c r="AC93" s="2" t="str">
        <f>IF(Source!$C93&gt;=COLUMNS($A93:AC93), Source!$E93, "")</f>
        <v/>
      </c>
      <c r="AD93" s="2" t="str">
        <f>IF(Source!$C93&gt;=COLUMNS($A93:AD93), Source!$E93, "")</f>
        <v/>
      </c>
      <c r="AE93" s="2" t="str">
        <f>IF(Source!$C93&gt;=COLUMNS($A93:AE93), Source!$E93, "")</f>
        <v/>
      </c>
      <c r="AF93" s="2" t="str">
        <f>IF(Source!$C93&gt;=COLUMNS($A93:AF93), Source!$E93, "")</f>
        <v/>
      </c>
      <c r="AG93" s="2" t="str">
        <f>IF(Source!$C93&gt;=COLUMNS($A93:AG93), Source!$E93, "")</f>
        <v/>
      </c>
      <c r="AH93" s="2" t="str">
        <f>IF(Source!$C93&gt;=COLUMNS($A93:AH93), Source!$E93, "")</f>
        <v/>
      </c>
      <c r="AI93" s="2" t="str">
        <f>IF(Source!$C93&gt;=COLUMNS($A93:AI93), Source!$E93, "")</f>
        <v/>
      </c>
      <c r="AJ93" s="2" t="str">
        <f>IF(Source!$C93&gt;=COLUMNS($A93:AJ93), Source!$E93, "")</f>
        <v/>
      </c>
      <c r="AK93" s="2" t="str">
        <f>IF(Source!$C93&gt;=COLUMNS($A93:AK93), Source!$E93, "")</f>
        <v/>
      </c>
      <c r="AL93" s="2" t="str">
        <f>IF(Source!$C93&gt;=COLUMNS($A93:AL93), Source!$E93, "")</f>
        <v/>
      </c>
      <c r="AM93" s="2" t="str">
        <f>IF(Source!$C93&gt;=COLUMNS($A93:AM93), Source!$E93, "")</f>
        <v/>
      </c>
      <c r="AN93" s="2" t="str">
        <f>IF(Source!$C93&gt;=COLUMNS($A93:AN93), Source!$E93, "")</f>
        <v/>
      </c>
      <c r="AO93" s="2" t="str">
        <f>IF(Source!$C93&gt;=COLUMNS($A93:AO93), Source!$E93, "")</f>
        <v/>
      </c>
      <c r="AP93" s="2" t="str">
        <f>IF(Source!$C93&gt;=COLUMNS($A93:AP93), Source!$E93, "")</f>
        <v/>
      </c>
      <c r="AQ93" s="2" t="str">
        <f>IF(Source!$C93&gt;=COLUMNS($A93:AQ93), Source!$E93, "")</f>
        <v/>
      </c>
      <c r="AR93" s="2" t="str">
        <f>IF(Source!$C93&gt;=COLUMNS($A93:AR93), Source!$E93, "")</f>
        <v/>
      </c>
    </row>
    <row r="94">
      <c r="A94" s="2">
        <f>IF(Source!$C94&gt;=COLUMNS($A94:A94), Source!$E94, "")</f>
        <v>9</v>
      </c>
      <c r="B94" s="2" t="str">
        <f>IF(Source!$C94&gt;=COLUMNS($A94:B94), Source!$E94, "")</f>
        <v/>
      </c>
      <c r="C94" s="2" t="str">
        <f>IF(Source!$C94&gt;=COLUMNS($A94:C94), Source!$E94, "")</f>
        <v/>
      </c>
      <c r="D94" s="2" t="str">
        <f>IF(Source!$C94&gt;=COLUMNS($A94:D94), Source!$E94, "")</f>
        <v/>
      </c>
      <c r="E94" s="2" t="str">
        <f>IF(Source!$C94&gt;=COLUMNS($A94:E94), Source!$E94, "")</f>
        <v/>
      </c>
      <c r="F94" s="2" t="str">
        <f>IF(Source!$C94&gt;=COLUMNS($A94:F94), Source!$E94, "")</f>
        <v/>
      </c>
      <c r="G94" s="2" t="str">
        <f>IF(Source!$C94&gt;=COLUMNS($A94:G94), Source!$E94, "")</f>
        <v/>
      </c>
      <c r="H94" s="2" t="str">
        <f>IF(Source!$C94&gt;=COLUMNS($A94:H94), Source!$E94, "")</f>
        <v/>
      </c>
      <c r="I94" s="2" t="str">
        <f>IF(Source!$C94&gt;=COLUMNS($A94:I94), Source!$E94, "")</f>
        <v/>
      </c>
      <c r="J94" s="2" t="str">
        <f>IF(Source!$C94&gt;=COLUMNS($A94:J94), Source!$E94, "")</f>
        <v/>
      </c>
      <c r="K94" s="2" t="str">
        <f>IF(Source!$C94&gt;=COLUMNS($A94:K94), Source!$E94, "")</f>
        <v/>
      </c>
      <c r="L94" s="2" t="str">
        <f>IF(Source!$C94&gt;=COLUMNS($A94:L94), Source!$E94, "")</f>
        <v/>
      </c>
      <c r="M94" s="2" t="str">
        <f>IF(Source!$C94&gt;=COLUMNS($A94:M94), Source!$E94, "")</f>
        <v/>
      </c>
      <c r="N94" s="2" t="str">
        <f>IF(Source!$C94&gt;=COLUMNS($A94:N94), Source!$E94, "")</f>
        <v/>
      </c>
      <c r="O94" s="2" t="str">
        <f>IF(Source!$C94&gt;=COLUMNS($A94:O94), Source!$E94, "")</f>
        <v/>
      </c>
      <c r="P94" s="2" t="str">
        <f>IF(Source!$C94&gt;=COLUMNS($A94:P94), Source!$E94, "")</f>
        <v/>
      </c>
      <c r="Q94" s="2" t="str">
        <f>IF(Source!$C94&gt;=COLUMNS($A94:Q94), Source!$E94, "")</f>
        <v/>
      </c>
      <c r="R94" s="2" t="str">
        <f>IF(Source!$C94&gt;=COLUMNS($A94:R94), Source!$E94, "")</f>
        <v/>
      </c>
      <c r="S94" s="2" t="str">
        <f>IF(Source!$C94&gt;=COLUMNS($A94:S94), Source!$E94, "")</f>
        <v/>
      </c>
      <c r="T94" s="2" t="str">
        <f>IF(Source!$C94&gt;=COLUMNS($A94:T94), Source!$E94, "")</f>
        <v/>
      </c>
      <c r="U94" s="2" t="str">
        <f>IF(Source!$C94&gt;=COLUMNS($A94:U94), Source!$E94, "")</f>
        <v/>
      </c>
      <c r="V94" s="2" t="str">
        <f>IF(Source!$C94&gt;=COLUMNS($A94:V94), Source!$E94, "")</f>
        <v/>
      </c>
      <c r="W94" s="2" t="str">
        <f>IF(Source!$C94&gt;=COLUMNS($A94:W94), Source!$E94, "")</f>
        <v/>
      </c>
      <c r="X94" s="2" t="str">
        <f>IF(Source!$C94&gt;=COLUMNS($A94:X94), Source!$E94, "")</f>
        <v/>
      </c>
      <c r="Y94" s="2" t="str">
        <f>IF(Source!$C94&gt;=COLUMNS($A94:Y94), Source!$E94, "")</f>
        <v/>
      </c>
      <c r="Z94" s="2" t="str">
        <f>IF(Source!$C94&gt;=COLUMNS($A94:Z94), Source!$E94, "")</f>
        <v/>
      </c>
      <c r="AA94" s="2" t="str">
        <f>IF(Source!$C94&gt;=COLUMNS($A94:AA94), Source!$E94, "")</f>
        <v/>
      </c>
      <c r="AB94" s="2" t="str">
        <f>IF(Source!$C94&gt;=COLUMNS($A94:AB94), Source!$E94, "")</f>
        <v/>
      </c>
      <c r="AC94" s="2" t="str">
        <f>IF(Source!$C94&gt;=COLUMNS($A94:AC94), Source!$E94, "")</f>
        <v/>
      </c>
      <c r="AD94" s="2" t="str">
        <f>IF(Source!$C94&gt;=COLUMNS($A94:AD94), Source!$E94, "")</f>
        <v/>
      </c>
      <c r="AE94" s="2" t="str">
        <f>IF(Source!$C94&gt;=COLUMNS($A94:AE94), Source!$E94, "")</f>
        <v/>
      </c>
      <c r="AF94" s="2" t="str">
        <f>IF(Source!$C94&gt;=COLUMNS($A94:AF94), Source!$E94, "")</f>
        <v/>
      </c>
      <c r="AG94" s="2" t="str">
        <f>IF(Source!$C94&gt;=COLUMNS($A94:AG94), Source!$E94, "")</f>
        <v/>
      </c>
      <c r="AH94" s="2" t="str">
        <f>IF(Source!$C94&gt;=COLUMNS($A94:AH94), Source!$E94, "")</f>
        <v/>
      </c>
      <c r="AI94" s="2" t="str">
        <f>IF(Source!$C94&gt;=COLUMNS($A94:AI94), Source!$E94, "")</f>
        <v/>
      </c>
      <c r="AJ94" s="2" t="str">
        <f>IF(Source!$C94&gt;=COLUMNS($A94:AJ94), Source!$E94, "")</f>
        <v/>
      </c>
      <c r="AK94" s="2" t="str">
        <f>IF(Source!$C94&gt;=COLUMNS($A94:AK94), Source!$E94, "")</f>
        <v/>
      </c>
      <c r="AL94" s="2" t="str">
        <f>IF(Source!$C94&gt;=COLUMNS($A94:AL94), Source!$E94, "")</f>
        <v/>
      </c>
      <c r="AM94" s="2" t="str">
        <f>IF(Source!$C94&gt;=COLUMNS($A94:AM94), Source!$E94, "")</f>
        <v/>
      </c>
      <c r="AN94" s="2" t="str">
        <f>IF(Source!$C94&gt;=COLUMNS($A94:AN94), Source!$E94, "")</f>
        <v/>
      </c>
      <c r="AO94" s="2" t="str">
        <f>IF(Source!$C94&gt;=COLUMNS($A94:AO94), Source!$E94, "")</f>
        <v/>
      </c>
      <c r="AP94" s="2" t="str">
        <f>IF(Source!$C94&gt;=COLUMNS($A94:AP94), Source!$E94, "")</f>
        <v/>
      </c>
      <c r="AQ94" s="2" t="str">
        <f>IF(Source!$C94&gt;=COLUMNS($A94:AQ94), Source!$E94, "")</f>
        <v/>
      </c>
      <c r="AR94" s="2" t="str">
        <f>IF(Source!$C94&gt;=COLUMNS($A94:AR94), Source!$E94, "")</f>
        <v/>
      </c>
    </row>
    <row r="95">
      <c r="A95" s="2">
        <f>IF(Source!$C95&gt;=COLUMNS($A95:A95), Source!$E95, "")</f>
        <v>1</v>
      </c>
      <c r="B95" s="2">
        <f>IF(Source!$C95&gt;=COLUMNS($A95:B95), Source!$E95, "")</f>
        <v>1</v>
      </c>
      <c r="C95" s="2">
        <f>IF(Source!$C95&gt;=COLUMNS($A95:C95), Source!$E95, "")</f>
        <v>1</v>
      </c>
      <c r="D95" s="2">
        <f>IF(Source!$C95&gt;=COLUMNS($A95:D95), Source!$E95, "")</f>
        <v>1</v>
      </c>
      <c r="E95" s="2">
        <f>IF(Source!$C95&gt;=COLUMNS($A95:E95), Source!$E95, "")</f>
        <v>1</v>
      </c>
      <c r="F95" s="2">
        <f>IF(Source!$C95&gt;=COLUMNS($A95:F95), Source!$E95, "")</f>
        <v>1</v>
      </c>
      <c r="G95" s="2">
        <f>IF(Source!$C95&gt;=COLUMNS($A95:G95), Source!$E95, "")</f>
        <v>1</v>
      </c>
      <c r="H95" s="2">
        <f>IF(Source!$C95&gt;=COLUMNS($A95:H95), Source!$E95, "")</f>
        <v>1</v>
      </c>
      <c r="I95" s="2">
        <f>IF(Source!$C95&gt;=COLUMNS($A95:I95), Source!$E95, "")</f>
        <v>1</v>
      </c>
      <c r="J95" s="2">
        <f>IF(Source!$C95&gt;=COLUMNS($A95:J95), Source!$E95, "")</f>
        <v>1</v>
      </c>
      <c r="K95" s="2">
        <f>IF(Source!$C95&gt;=COLUMNS($A95:K95), Source!$E95, "")</f>
        <v>1</v>
      </c>
      <c r="L95" s="2">
        <f>IF(Source!$C95&gt;=COLUMNS($A95:L95), Source!$E95, "")</f>
        <v>1</v>
      </c>
      <c r="M95" s="2">
        <f>IF(Source!$C95&gt;=COLUMNS($A95:M95), Source!$E95, "")</f>
        <v>1</v>
      </c>
      <c r="N95" s="2" t="str">
        <f>IF(Source!$C95&gt;=COLUMNS($A95:N95), Source!$E95, "")</f>
        <v/>
      </c>
      <c r="O95" s="2" t="str">
        <f>IF(Source!$C95&gt;=COLUMNS($A95:O95), Source!$E95, "")</f>
        <v/>
      </c>
      <c r="P95" s="2" t="str">
        <f>IF(Source!$C95&gt;=COLUMNS($A95:P95), Source!$E95, "")</f>
        <v/>
      </c>
      <c r="Q95" s="2" t="str">
        <f>IF(Source!$C95&gt;=COLUMNS($A95:Q95), Source!$E95, "")</f>
        <v/>
      </c>
      <c r="R95" s="2" t="str">
        <f>IF(Source!$C95&gt;=COLUMNS($A95:R95), Source!$E95, "")</f>
        <v/>
      </c>
      <c r="S95" s="2" t="str">
        <f>IF(Source!$C95&gt;=COLUMNS($A95:S95), Source!$E95, "")</f>
        <v/>
      </c>
      <c r="T95" s="2" t="str">
        <f>IF(Source!$C95&gt;=COLUMNS($A95:T95), Source!$E95, "")</f>
        <v/>
      </c>
      <c r="U95" s="2" t="str">
        <f>IF(Source!$C95&gt;=COLUMNS($A95:U95), Source!$E95, "")</f>
        <v/>
      </c>
      <c r="V95" s="2" t="str">
        <f>IF(Source!$C95&gt;=COLUMNS($A95:V95), Source!$E95, "")</f>
        <v/>
      </c>
      <c r="W95" s="2" t="str">
        <f>IF(Source!$C95&gt;=COLUMNS($A95:W95), Source!$E95, "")</f>
        <v/>
      </c>
      <c r="X95" s="2" t="str">
        <f>IF(Source!$C95&gt;=COLUMNS($A95:X95), Source!$E95, "")</f>
        <v/>
      </c>
      <c r="Y95" s="2" t="str">
        <f>IF(Source!$C95&gt;=COLUMNS($A95:Y95), Source!$E95, "")</f>
        <v/>
      </c>
      <c r="Z95" s="2" t="str">
        <f>IF(Source!$C95&gt;=COLUMNS($A95:Z95), Source!$E95, "")</f>
        <v/>
      </c>
      <c r="AA95" s="2" t="str">
        <f>IF(Source!$C95&gt;=COLUMNS($A95:AA95), Source!$E95, "")</f>
        <v/>
      </c>
      <c r="AB95" s="2" t="str">
        <f>IF(Source!$C95&gt;=COLUMNS($A95:AB95), Source!$E95, "")</f>
        <v/>
      </c>
      <c r="AC95" s="2" t="str">
        <f>IF(Source!$C95&gt;=COLUMNS($A95:AC95), Source!$E95, "")</f>
        <v/>
      </c>
      <c r="AD95" s="2" t="str">
        <f>IF(Source!$C95&gt;=COLUMNS($A95:AD95), Source!$E95, "")</f>
        <v/>
      </c>
      <c r="AE95" s="2" t="str">
        <f>IF(Source!$C95&gt;=COLUMNS($A95:AE95), Source!$E95, "")</f>
        <v/>
      </c>
      <c r="AF95" s="2" t="str">
        <f>IF(Source!$C95&gt;=COLUMNS($A95:AF95), Source!$E95, "")</f>
        <v/>
      </c>
      <c r="AG95" s="2" t="str">
        <f>IF(Source!$C95&gt;=COLUMNS($A95:AG95), Source!$E95, "")</f>
        <v/>
      </c>
      <c r="AH95" s="2" t="str">
        <f>IF(Source!$C95&gt;=COLUMNS($A95:AH95), Source!$E95, "")</f>
        <v/>
      </c>
      <c r="AI95" s="2" t="str">
        <f>IF(Source!$C95&gt;=COLUMNS($A95:AI95), Source!$E95, "")</f>
        <v/>
      </c>
      <c r="AJ95" s="2" t="str">
        <f>IF(Source!$C95&gt;=COLUMNS($A95:AJ95), Source!$E95, "")</f>
        <v/>
      </c>
      <c r="AK95" s="2" t="str">
        <f>IF(Source!$C95&gt;=COLUMNS($A95:AK95), Source!$E95, "")</f>
        <v/>
      </c>
      <c r="AL95" s="2" t="str">
        <f>IF(Source!$C95&gt;=COLUMNS($A95:AL95), Source!$E95, "")</f>
        <v/>
      </c>
      <c r="AM95" s="2" t="str">
        <f>IF(Source!$C95&gt;=COLUMNS($A95:AM95), Source!$E95, "")</f>
        <v/>
      </c>
      <c r="AN95" s="2" t="str">
        <f>IF(Source!$C95&gt;=COLUMNS($A95:AN95), Source!$E95, "")</f>
        <v/>
      </c>
      <c r="AO95" s="2" t="str">
        <f>IF(Source!$C95&gt;=COLUMNS($A95:AO95), Source!$E95, "")</f>
        <v/>
      </c>
      <c r="AP95" s="2" t="str">
        <f>IF(Source!$C95&gt;=COLUMNS($A95:AP95), Source!$E95, "")</f>
        <v/>
      </c>
      <c r="AQ95" s="2" t="str">
        <f>IF(Source!$C95&gt;=COLUMNS($A95:AQ95), Source!$E95, "")</f>
        <v/>
      </c>
      <c r="AR95" s="2" t="str">
        <f>IF(Source!$C95&gt;=COLUMNS($A95:AR95), Source!$E95, "")</f>
        <v/>
      </c>
    </row>
    <row r="96">
      <c r="A96" s="2">
        <f>IF(Source!$C96&gt;=COLUMNS($A96:A96), Source!$E96, "")</f>
        <v>2</v>
      </c>
      <c r="B96" s="2">
        <f>IF(Source!$C96&gt;=COLUMNS($A96:B96), Source!$E96, "")</f>
        <v>2</v>
      </c>
      <c r="C96" s="2">
        <f>IF(Source!$C96&gt;=COLUMNS($A96:C96), Source!$E96, "")</f>
        <v>2</v>
      </c>
      <c r="D96" s="2">
        <f>IF(Source!$C96&gt;=COLUMNS($A96:D96), Source!$E96, "")</f>
        <v>2</v>
      </c>
      <c r="E96" s="2" t="str">
        <f>IF(Source!$C96&gt;=COLUMNS($A96:E96), Source!$E96, "")</f>
        <v/>
      </c>
      <c r="F96" s="2" t="str">
        <f>IF(Source!$C96&gt;=COLUMNS($A96:F96), Source!$E96, "")</f>
        <v/>
      </c>
      <c r="G96" s="2" t="str">
        <f>IF(Source!$C96&gt;=COLUMNS($A96:G96), Source!$E96, "")</f>
        <v/>
      </c>
      <c r="H96" s="2" t="str">
        <f>IF(Source!$C96&gt;=COLUMNS($A96:H96), Source!$E96, "")</f>
        <v/>
      </c>
      <c r="I96" s="2" t="str">
        <f>IF(Source!$C96&gt;=COLUMNS($A96:I96), Source!$E96, "")</f>
        <v/>
      </c>
      <c r="J96" s="2" t="str">
        <f>IF(Source!$C96&gt;=COLUMNS($A96:J96), Source!$E96, "")</f>
        <v/>
      </c>
      <c r="K96" s="2" t="str">
        <f>IF(Source!$C96&gt;=COLUMNS($A96:K96), Source!$E96, "")</f>
        <v/>
      </c>
      <c r="L96" s="2" t="str">
        <f>IF(Source!$C96&gt;=COLUMNS($A96:L96), Source!$E96, "")</f>
        <v/>
      </c>
      <c r="M96" s="2" t="str">
        <f>IF(Source!$C96&gt;=COLUMNS($A96:M96), Source!$E96, "")</f>
        <v/>
      </c>
      <c r="N96" s="2" t="str">
        <f>IF(Source!$C96&gt;=COLUMNS($A96:N96), Source!$E96, "")</f>
        <v/>
      </c>
      <c r="O96" s="2" t="str">
        <f>IF(Source!$C96&gt;=COLUMNS($A96:O96), Source!$E96, "")</f>
        <v/>
      </c>
      <c r="P96" s="2" t="str">
        <f>IF(Source!$C96&gt;=COLUMNS($A96:P96), Source!$E96, "")</f>
        <v/>
      </c>
      <c r="Q96" s="2" t="str">
        <f>IF(Source!$C96&gt;=COLUMNS($A96:Q96), Source!$E96, "")</f>
        <v/>
      </c>
      <c r="R96" s="2" t="str">
        <f>IF(Source!$C96&gt;=COLUMNS($A96:R96), Source!$E96, "")</f>
        <v/>
      </c>
      <c r="S96" s="2" t="str">
        <f>IF(Source!$C96&gt;=COLUMNS($A96:S96), Source!$E96, "")</f>
        <v/>
      </c>
      <c r="T96" s="2" t="str">
        <f>IF(Source!$C96&gt;=COLUMNS($A96:T96), Source!$E96, "")</f>
        <v/>
      </c>
      <c r="U96" s="2" t="str">
        <f>IF(Source!$C96&gt;=COLUMNS($A96:U96), Source!$E96, "")</f>
        <v/>
      </c>
      <c r="V96" s="2" t="str">
        <f>IF(Source!$C96&gt;=COLUMNS($A96:V96), Source!$E96, "")</f>
        <v/>
      </c>
      <c r="W96" s="2" t="str">
        <f>IF(Source!$C96&gt;=COLUMNS($A96:W96), Source!$E96, "")</f>
        <v/>
      </c>
      <c r="X96" s="2" t="str">
        <f>IF(Source!$C96&gt;=COLUMNS($A96:X96), Source!$E96, "")</f>
        <v/>
      </c>
      <c r="Y96" s="2" t="str">
        <f>IF(Source!$C96&gt;=COLUMNS($A96:Y96), Source!$E96, "")</f>
        <v/>
      </c>
      <c r="Z96" s="2" t="str">
        <f>IF(Source!$C96&gt;=COLUMNS($A96:Z96), Source!$E96, "")</f>
        <v/>
      </c>
      <c r="AA96" s="2" t="str">
        <f>IF(Source!$C96&gt;=COLUMNS($A96:AA96), Source!$E96, "")</f>
        <v/>
      </c>
      <c r="AB96" s="2" t="str">
        <f>IF(Source!$C96&gt;=COLUMNS($A96:AB96), Source!$E96, "")</f>
        <v/>
      </c>
      <c r="AC96" s="2" t="str">
        <f>IF(Source!$C96&gt;=COLUMNS($A96:AC96), Source!$E96, "")</f>
        <v/>
      </c>
      <c r="AD96" s="2" t="str">
        <f>IF(Source!$C96&gt;=COLUMNS($A96:AD96), Source!$E96, "")</f>
        <v/>
      </c>
      <c r="AE96" s="2" t="str">
        <f>IF(Source!$C96&gt;=COLUMNS($A96:AE96), Source!$E96, "")</f>
        <v/>
      </c>
      <c r="AF96" s="2" t="str">
        <f>IF(Source!$C96&gt;=COLUMNS($A96:AF96), Source!$E96, "")</f>
        <v/>
      </c>
      <c r="AG96" s="2" t="str">
        <f>IF(Source!$C96&gt;=COLUMNS($A96:AG96), Source!$E96, "")</f>
        <v/>
      </c>
      <c r="AH96" s="2" t="str">
        <f>IF(Source!$C96&gt;=COLUMNS($A96:AH96), Source!$E96, "")</f>
        <v/>
      </c>
      <c r="AI96" s="2" t="str">
        <f>IF(Source!$C96&gt;=COLUMNS($A96:AI96), Source!$E96, "")</f>
        <v/>
      </c>
      <c r="AJ96" s="2" t="str">
        <f>IF(Source!$C96&gt;=COLUMNS($A96:AJ96), Source!$E96, "")</f>
        <v/>
      </c>
      <c r="AK96" s="2" t="str">
        <f>IF(Source!$C96&gt;=COLUMNS($A96:AK96), Source!$E96, "")</f>
        <v/>
      </c>
      <c r="AL96" s="2" t="str">
        <f>IF(Source!$C96&gt;=COLUMNS($A96:AL96), Source!$E96, "")</f>
        <v/>
      </c>
      <c r="AM96" s="2" t="str">
        <f>IF(Source!$C96&gt;=COLUMNS($A96:AM96), Source!$E96, "")</f>
        <v/>
      </c>
      <c r="AN96" s="2" t="str">
        <f>IF(Source!$C96&gt;=COLUMNS($A96:AN96), Source!$E96, "")</f>
        <v/>
      </c>
      <c r="AO96" s="2" t="str">
        <f>IF(Source!$C96&gt;=COLUMNS($A96:AO96), Source!$E96, "")</f>
        <v/>
      </c>
      <c r="AP96" s="2" t="str">
        <f>IF(Source!$C96&gt;=COLUMNS($A96:AP96), Source!$E96, "")</f>
        <v/>
      </c>
      <c r="AQ96" s="2" t="str">
        <f>IF(Source!$C96&gt;=COLUMNS($A96:AQ96), Source!$E96, "")</f>
        <v/>
      </c>
      <c r="AR96" s="2" t="str">
        <f>IF(Source!$C96&gt;=COLUMNS($A96:AR96), Source!$E96, "")</f>
        <v/>
      </c>
    </row>
    <row r="97">
      <c r="A97" s="2">
        <f>IF(Source!$C97&gt;=COLUMNS($A97:A97), Source!$E97, "")</f>
        <v>1</v>
      </c>
      <c r="B97" s="2">
        <f>IF(Source!$C97&gt;=COLUMNS($A97:B97), Source!$E97, "")</f>
        <v>1</v>
      </c>
      <c r="C97" s="2">
        <f>IF(Source!$C97&gt;=COLUMNS($A97:C97), Source!$E97, "")</f>
        <v>1</v>
      </c>
      <c r="D97" s="2">
        <f>IF(Source!$C97&gt;=COLUMNS($A97:D97), Source!$E97, "")</f>
        <v>1</v>
      </c>
      <c r="E97" s="2">
        <f>IF(Source!$C97&gt;=COLUMNS($A97:E97), Source!$E97, "")</f>
        <v>1</v>
      </c>
      <c r="F97" s="2">
        <f>IF(Source!$C97&gt;=COLUMNS($A97:F97), Source!$E97, "")</f>
        <v>1</v>
      </c>
      <c r="G97" s="2">
        <f>IF(Source!$C97&gt;=COLUMNS($A97:G97), Source!$E97, "")</f>
        <v>1</v>
      </c>
      <c r="H97" s="2">
        <f>IF(Source!$C97&gt;=COLUMNS($A97:H97), Source!$E97, "")</f>
        <v>1</v>
      </c>
      <c r="I97" s="2">
        <f>IF(Source!$C97&gt;=COLUMNS($A97:I97), Source!$E97, "")</f>
        <v>1</v>
      </c>
      <c r="J97" s="2">
        <f>IF(Source!$C97&gt;=COLUMNS($A97:J97), Source!$E97, "")</f>
        <v>1</v>
      </c>
      <c r="K97" s="2" t="str">
        <f>IF(Source!$C97&gt;=COLUMNS($A97:K97), Source!$E97, "")</f>
        <v/>
      </c>
      <c r="L97" s="2" t="str">
        <f>IF(Source!$C97&gt;=COLUMNS($A97:L97), Source!$E97, "")</f>
        <v/>
      </c>
      <c r="M97" s="2" t="str">
        <f>IF(Source!$C97&gt;=COLUMNS($A97:M97), Source!$E97, "")</f>
        <v/>
      </c>
      <c r="N97" s="2" t="str">
        <f>IF(Source!$C97&gt;=COLUMNS($A97:N97), Source!$E97, "")</f>
        <v/>
      </c>
      <c r="O97" s="2" t="str">
        <f>IF(Source!$C97&gt;=COLUMNS($A97:O97), Source!$E97, "")</f>
        <v/>
      </c>
      <c r="P97" s="2" t="str">
        <f>IF(Source!$C97&gt;=COLUMNS($A97:P97), Source!$E97, "")</f>
        <v/>
      </c>
      <c r="Q97" s="2" t="str">
        <f>IF(Source!$C97&gt;=COLUMNS($A97:Q97), Source!$E97, "")</f>
        <v/>
      </c>
      <c r="R97" s="2" t="str">
        <f>IF(Source!$C97&gt;=COLUMNS($A97:R97), Source!$E97, "")</f>
        <v/>
      </c>
      <c r="S97" s="2" t="str">
        <f>IF(Source!$C97&gt;=COLUMNS($A97:S97), Source!$E97, "")</f>
        <v/>
      </c>
      <c r="T97" s="2" t="str">
        <f>IF(Source!$C97&gt;=COLUMNS($A97:T97), Source!$E97, "")</f>
        <v/>
      </c>
      <c r="U97" s="2" t="str">
        <f>IF(Source!$C97&gt;=COLUMNS($A97:U97), Source!$E97, "")</f>
        <v/>
      </c>
      <c r="V97" s="2" t="str">
        <f>IF(Source!$C97&gt;=COLUMNS($A97:V97), Source!$E97, "")</f>
        <v/>
      </c>
      <c r="W97" s="2" t="str">
        <f>IF(Source!$C97&gt;=COLUMNS($A97:W97), Source!$E97, "")</f>
        <v/>
      </c>
      <c r="X97" s="2" t="str">
        <f>IF(Source!$C97&gt;=COLUMNS($A97:X97), Source!$E97, "")</f>
        <v/>
      </c>
      <c r="Y97" s="2" t="str">
        <f>IF(Source!$C97&gt;=COLUMNS($A97:Y97), Source!$E97, "")</f>
        <v/>
      </c>
      <c r="Z97" s="2" t="str">
        <f>IF(Source!$C97&gt;=COLUMNS($A97:Z97), Source!$E97, "")</f>
        <v/>
      </c>
      <c r="AA97" s="2" t="str">
        <f>IF(Source!$C97&gt;=COLUMNS($A97:AA97), Source!$E97, "")</f>
        <v/>
      </c>
      <c r="AB97" s="2" t="str">
        <f>IF(Source!$C97&gt;=COLUMNS($A97:AB97), Source!$E97, "")</f>
        <v/>
      </c>
      <c r="AC97" s="2" t="str">
        <f>IF(Source!$C97&gt;=COLUMNS($A97:AC97), Source!$E97, "")</f>
        <v/>
      </c>
      <c r="AD97" s="2" t="str">
        <f>IF(Source!$C97&gt;=COLUMNS($A97:AD97), Source!$E97, "")</f>
        <v/>
      </c>
      <c r="AE97" s="2" t="str">
        <f>IF(Source!$C97&gt;=COLUMNS($A97:AE97), Source!$E97, "")</f>
        <v/>
      </c>
      <c r="AF97" s="2" t="str">
        <f>IF(Source!$C97&gt;=COLUMNS($A97:AF97), Source!$E97, "")</f>
        <v/>
      </c>
      <c r="AG97" s="2" t="str">
        <f>IF(Source!$C97&gt;=COLUMNS($A97:AG97), Source!$E97, "")</f>
        <v/>
      </c>
      <c r="AH97" s="2" t="str">
        <f>IF(Source!$C97&gt;=COLUMNS($A97:AH97), Source!$E97, "")</f>
        <v/>
      </c>
      <c r="AI97" s="2" t="str">
        <f>IF(Source!$C97&gt;=COLUMNS($A97:AI97), Source!$E97, "")</f>
        <v/>
      </c>
      <c r="AJ97" s="2" t="str">
        <f>IF(Source!$C97&gt;=COLUMNS($A97:AJ97), Source!$E97, "")</f>
        <v/>
      </c>
      <c r="AK97" s="2" t="str">
        <f>IF(Source!$C97&gt;=COLUMNS($A97:AK97), Source!$E97, "")</f>
        <v/>
      </c>
      <c r="AL97" s="2" t="str">
        <f>IF(Source!$C97&gt;=COLUMNS($A97:AL97), Source!$E97, "")</f>
        <v/>
      </c>
      <c r="AM97" s="2" t="str">
        <f>IF(Source!$C97&gt;=COLUMNS($A97:AM97), Source!$E97, "")</f>
        <v/>
      </c>
      <c r="AN97" s="2" t="str">
        <f>IF(Source!$C97&gt;=COLUMNS($A97:AN97), Source!$E97, "")</f>
        <v/>
      </c>
      <c r="AO97" s="2" t="str">
        <f>IF(Source!$C97&gt;=COLUMNS($A97:AO97), Source!$E97, "")</f>
        <v/>
      </c>
      <c r="AP97" s="2" t="str">
        <f>IF(Source!$C97&gt;=COLUMNS($A97:AP97), Source!$E97, "")</f>
        <v/>
      </c>
      <c r="AQ97" s="2" t="str">
        <f>IF(Source!$C97&gt;=COLUMNS($A97:AQ97), Source!$E97, "")</f>
        <v/>
      </c>
      <c r="AR97" s="2" t="str">
        <f>IF(Source!$C97&gt;=COLUMNS($A97:AR97), Source!$E97, "")</f>
        <v/>
      </c>
    </row>
    <row r="98">
      <c r="A98" s="2">
        <f>IF(Source!$C98&gt;=COLUMNS($A98:A98), Source!$E98, "")</f>
        <v>6</v>
      </c>
      <c r="B98" s="2">
        <f>IF(Source!$C98&gt;=COLUMNS($A98:B98), Source!$E98, "")</f>
        <v>6</v>
      </c>
      <c r="C98" s="2" t="str">
        <f>IF(Source!$C98&gt;=COLUMNS($A98:C98), Source!$E98, "")</f>
        <v/>
      </c>
      <c r="D98" s="2" t="str">
        <f>IF(Source!$C98&gt;=COLUMNS($A98:D98), Source!$E98, "")</f>
        <v/>
      </c>
      <c r="E98" s="2" t="str">
        <f>IF(Source!$C98&gt;=COLUMNS($A98:E98), Source!$E98, "")</f>
        <v/>
      </c>
      <c r="F98" s="2" t="str">
        <f>IF(Source!$C98&gt;=COLUMNS($A98:F98), Source!$E98, "")</f>
        <v/>
      </c>
      <c r="G98" s="2" t="str">
        <f>IF(Source!$C98&gt;=COLUMNS($A98:G98), Source!$E98, "")</f>
        <v/>
      </c>
      <c r="H98" s="2" t="str">
        <f>IF(Source!$C98&gt;=COLUMNS($A98:H98), Source!$E98, "")</f>
        <v/>
      </c>
      <c r="I98" s="2" t="str">
        <f>IF(Source!$C98&gt;=COLUMNS($A98:I98), Source!$E98, "")</f>
        <v/>
      </c>
      <c r="J98" s="2" t="str">
        <f>IF(Source!$C98&gt;=COLUMNS($A98:J98), Source!$E98, "")</f>
        <v/>
      </c>
      <c r="K98" s="2" t="str">
        <f>IF(Source!$C98&gt;=COLUMNS($A98:K98), Source!$E98, "")</f>
        <v/>
      </c>
      <c r="L98" s="2" t="str">
        <f>IF(Source!$C98&gt;=COLUMNS($A98:L98), Source!$E98, "")</f>
        <v/>
      </c>
      <c r="M98" s="2" t="str">
        <f>IF(Source!$C98&gt;=COLUMNS($A98:M98), Source!$E98, "")</f>
        <v/>
      </c>
      <c r="N98" s="2" t="str">
        <f>IF(Source!$C98&gt;=COLUMNS($A98:N98), Source!$E98, "")</f>
        <v/>
      </c>
      <c r="O98" s="2" t="str">
        <f>IF(Source!$C98&gt;=COLUMNS($A98:O98), Source!$E98, "")</f>
        <v/>
      </c>
      <c r="P98" s="2" t="str">
        <f>IF(Source!$C98&gt;=COLUMNS($A98:P98), Source!$E98, "")</f>
        <v/>
      </c>
      <c r="Q98" s="2" t="str">
        <f>IF(Source!$C98&gt;=COLUMNS($A98:Q98), Source!$E98, "")</f>
        <v/>
      </c>
      <c r="R98" s="2" t="str">
        <f>IF(Source!$C98&gt;=COLUMNS($A98:R98), Source!$E98, "")</f>
        <v/>
      </c>
      <c r="S98" s="2" t="str">
        <f>IF(Source!$C98&gt;=COLUMNS($A98:S98), Source!$E98, "")</f>
        <v/>
      </c>
      <c r="T98" s="2" t="str">
        <f>IF(Source!$C98&gt;=COLUMNS($A98:T98), Source!$E98, "")</f>
        <v/>
      </c>
      <c r="U98" s="2" t="str">
        <f>IF(Source!$C98&gt;=COLUMNS($A98:U98), Source!$E98, "")</f>
        <v/>
      </c>
      <c r="V98" s="2" t="str">
        <f>IF(Source!$C98&gt;=COLUMNS($A98:V98), Source!$E98, "")</f>
        <v/>
      </c>
      <c r="W98" s="2" t="str">
        <f>IF(Source!$C98&gt;=COLUMNS($A98:W98), Source!$E98, "")</f>
        <v/>
      </c>
      <c r="X98" s="2" t="str">
        <f>IF(Source!$C98&gt;=COLUMNS($A98:X98), Source!$E98, "")</f>
        <v/>
      </c>
      <c r="Y98" s="2" t="str">
        <f>IF(Source!$C98&gt;=COLUMNS($A98:Y98), Source!$E98, "")</f>
        <v/>
      </c>
      <c r="Z98" s="2" t="str">
        <f>IF(Source!$C98&gt;=COLUMNS($A98:Z98), Source!$E98, "")</f>
        <v/>
      </c>
      <c r="AA98" s="2" t="str">
        <f>IF(Source!$C98&gt;=COLUMNS($A98:AA98), Source!$E98, "")</f>
        <v/>
      </c>
      <c r="AB98" s="2" t="str">
        <f>IF(Source!$C98&gt;=COLUMNS($A98:AB98), Source!$E98, "")</f>
        <v/>
      </c>
      <c r="AC98" s="2" t="str">
        <f>IF(Source!$C98&gt;=COLUMNS($A98:AC98), Source!$E98, "")</f>
        <v/>
      </c>
      <c r="AD98" s="2" t="str">
        <f>IF(Source!$C98&gt;=COLUMNS($A98:AD98), Source!$E98, "")</f>
        <v/>
      </c>
      <c r="AE98" s="2" t="str">
        <f>IF(Source!$C98&gt;=COLUMNS($A98:AE98), Source!$E98, "")</f>
        <v/>
      </c>
      <c r="AF98" s="2" t="str">
        <f>IF(Source!$C98&gt;=COLUMNS($A98:AF98), Source!$E98, "")</f>
        <v/>
      </c>
      <c r="AG98" s="2" t="str">
        <f>IF(Source!$C98&gt;=COLUMNS($A98:AG98), Source!$E98, "")</f>
        <v/>
      </c>
      <c r="AH98" s="2" t="str">
        <f>IF(Source!$C98&gt;=COLUMNS($A98:AH98), Source!$E98, "")</f>
        <v/>
      </c>
      <c r="AI98" s="2" t="str">
        <f>IF(Source!$C98&gt;=COLUMNS($A98:AI98), Source!$E98, "")</f>
        <v/>
      </c>
      <c r="AJ98" s="2" t="str">
        <f>IF(Source!$C98&gt;=COLUMNS($A98:AJ98), Source!$E98, "")</f>
        <v/>
      </c>
      <c r="AK98" s="2" t="str">
        <f>IF(Source!$C98&gt;=COLUMNS($A98:AK98), Source!$E98, "")</f>
        <v/>
      </c>
      <c r="AL98" s="2" t="str">
        <f>IF(Source!$C98&gt;=COLUMNS($A98:AL98), Source!$E98, "")</f>
        <v/>
      </c>
      <c r="AM98" s="2" t="str">
        <f>IF(Source!$C98&gt;=COLUMNS($A98:AM98), Source!$E98, "")</f>
        <v/>
      </c>
      <c r="AN98" s="2" t="str">
        <f>IF(Source!$C98&gt;=COLUMNS($A98:AN98), Source!$E98, "")</f>
        <v/>
      </c>
      <c r="AO98" s="2" t="str">
        <f>IF(Source!$C98&gt;=COLUMNS($A98:AO98), Source!$E98, "")</f>
        <v/>
      </c>
      <c r="AP98" s="2" t="str">
        <f>IF(Source!$C98&gt;=COLUMNS($A98:AP98), Source!$E98, "")</f>
        <v/>
      </c>
      <c r="AQ98" s="2" t="str">
        <f>IF(Source!$C98&gt;=COLUMNS($A98:AQ98), Source!$E98, "")</f>
        <v/>
      </c>
      <c r="AR98" s="2" t="str">
        <f>IF(Source!$C98&gt;=COLUMNS($A98:AR98), Source!$E98, "")</f>
        <v/>
      </c>
    </row>
    <row r="99">
      <c r="A99" s="2">
        <f>IF(Source!$C99&gt;=COLUMNS($A99:A99), Source!$E99, "")</f>
        <v>2</v>
      </c>
      <c r="B99" s="2">
        <f>IF(Source!$C99&gt;=COLUMNS($A99:B99), Source!$E99, "")</f>
        <v>2</v>
      </c>
      <c r="C99" s="2">
        <f>IF(Source!$C99&gt;=COLUMNS($A99:C99), Source!$E99, "")</f>
        <v>2</v>
      </c>
      <c r="D99" s="2">
        <f>IF(Source!$C99&gt;=COLUMNS($A99:D99), Source!$E99, "")</f>
        <v>2</v>
      </c>
      <c r="E99" s="2">
        <f>IF(Source!$C99&gt;=COLUMNS($A99:E99), Source!$E99, "")</f>
        <v>2</v>
      </c>
      <c r="F99" s="2">
        <f>IF(Source!$C99&gt;=COLUMNS($A99:F99), Source!$E99, "")</f>
        <v>2</v>
      </c>
      <c r="G99" s="2" t="str">
        <f>IF(Source!$C99&gt;=COLUMNS($A99:G99), Source!$E99, "")</f>
        <v/>
      </c>
      <c r="H99" s="2" t="str">
        <f>IF(Source!$C99&gt;=COLUMNS($A99:H99), Source!$E99, "")</f>
        <v/>
      </c>
      <c r="I99" s="2" t="str">
        <f>IF(Source!$C99&gt;=COLUMNS($A99:I99), Source!$E99, "")</f>
        <v/>
      </c>
      <c r="J99" s="2" t="str">
        <f>IF(Source!$C99&gt;=COLUMNS($A99:J99), Source!$E99, "")</f>
        <v/>
      </c>
      <c r="K99" s="2" t="str">
        <f>IF(Source!$C99&gt;=COLUMNS($A99:K99), Source!$E99, "")</f>
        <v/>
      </c>
      <c r="L99" s="2" t="str">
        <f>IF(Source!$C99&gt;=COLUMNS($A99:L99), Source!$E99, "")</f>
        <v/>
      </c>
      <c r="M99" s="2" t="str">
        <f>IF(Source!$C99&gt;=COLUMNS($A99:M99), Source!$E99, "")</f>
        <v/>
      </c>
      <c r="N99" s="2" t="str">
        <f>IF(Source!$C99&gt;=COLUMNS($A99:N99), Source!$E99, "")</f>
        <v/>
      </c>
      <c r="O99" s="2" t="str">
        <f>IF(Source!$C99&gt;=COLUMNS($A99:O99), Source!$E99, "")</f>
        <v/>
      </c>
      <c r="P99" s="2" t="str">
        <f>IF(Source!$C99&gt;=COLUMNS($A99:P99), Source!$E99, "")</f>
        <v/>
      </c>
      <c r="Q99" s="2" t="str">
        <f>IF(Source!$C99&gt;=COLUMNS($A99:Q99), Source!$E99, "")</f>
        <v/>
      </c>
      <c r="R99" s="2" t="str">
        <f>IF(Source!$C99&gt;=COLUMNS($A99:R99), Source!$E99, "")</f>
        <v/>
      </c>
      <c r="S99" s="2" t="str">
        <f>IF(Source!$C99&gt;=COLUMNS($A99:S99), Source!$E99, "")</f>
        <v/>
      </c>
      <c r="T99" s="2" t="str">
        <f>IF(Source!$C99&gt;=COLUMNS($A99:T99), Source!$E99, "")</f>
        <v/>
      </c>
      <c r="U99" s="2" t="str">
        <f>IF(Source!$C99&gt;=COLUMNS($A99:U99), Source!$E99, "")</f>
        <v/>
      </c>
      <c r="V99" s="2" t="str">
        <f>IF(Source!$C99&gt;=COLUMNS($A99:V99), Source!$E99, "")</f>
        <v/>
      </c>
      <c r="W99" s="2" t="str">
        <f>IF(Source!$C99&gt;=COLUMNS($A99:W99), Source!$E99, "")</f>
        <v/>
      </c>
      <c r="X99" s="2" t="str">
        <f>IF(Source!$C99&gt;=COLUMNS($A99:X99), Source!$E99, "")</f>
        <v/>
      </c>
      <c r="Y99" s="2" t="str">
        <f>IF(Source!$C99&gt;=COLUMNS($A99:Y99), Source!$E99, "")</f>
        <v/>
      </c>
      <c r="Z99" s="2" t="str">
        <f>IF(Source!$C99&gt;=COLUMNS($A99:Z99), Source!$E99, "")</f>
        <v/>
      </c>
      <c r="AA99" s="2" t="str">
        <f>IF(Source!$C99&gt;=COLUMNS($A99:AA99), Source!$E99, "")</f>
        <v/>
      </c>
      <c r="AB99" s="2" t="str">
        <f>IF(Source!$C99&gt;=COLUMNS($A99:AB99), Source!$E99, "")</f>
        <v/>
      </c>
      <c r="AC99" s="2" t="str">
        <f>IF(Source!$C99&gt;=COLUMNS($A99:AC99), Source!$E99, "")</f>
        <v/>
      </c>
      <c r="AD99" s="2" t="str">
        <f>IF(Source!$C99&gt;=COLUMNS($A99:AD99), Source!$E99, "")</f>
        <v/>
      </c>
      <c r="AE99" s="2" t="str">
        <f>IF(Source!$C99&gt;=COLUMNS($A99:AE99), Source!$E99, "")</f>
        <v/>
      </c>
      <c r="AF99" s="2" t="str">
        <f>IF(Source!$C99&gt;=COLUMNS($A99:AF99), Source!$E99, "")</f>
        <v/>
      </c>
      <c r="AG99" s="2" t="str">
        <f>IF(Source!$C99&gt;=COLUMNS($A99:AG99), Source!$E99, "")</f>
        <v/>
      </c>
      <c r="AH99" s="2" t="str">
        <f>IF(Source!$C99&gt;=COLUMNS($A99:AH99), Source!$E99, "")</f>
        <v/>
      </c>
      <c r="AI99" s="2" t="str">
        <f>IF(Source!$C99&gt;=COLUMNS($A99:AI99), Source!$E99, "")</f>
        <v/>
      </c>
      <c r="AJ99" s="2" t="str">
        <f>IF(Source!$C99&gt;=COLUMNS($A99:AJ99), Source!$E99, "")</f>
        <v/>
      </c>
      <c r="AK99" s="2" t="str">
        <f>IF(Source!$C99&gt;=COLUMNS($A99:AK99), Source!$E99, "")</f>
        <v/>
      </c>
      <c r="AL99" s="2" t="str">
        <f>IF(Source!$C99&gt;=COLUMNS($A99:AL99), Source!$E99, "")</f>
        <v/>
      </c>
      <c r="AM99" s="2" t="str">
        <f>IF(Source!$C99&gt;=COLUMNS($A99:AM99), Source!$E99, "")</f>
        <v/>
      </c>
      <c r="AN99" s="2" t="str">
        <f>IF(Source!$C99&gt;=COLUMNS($A99:AN99), Source!$E99, "")</f>
        <v/>
      </c>
      <c r="AO99" s="2" t="str">
        <f>IF(Source!$C99&gt;=COLUMNS($A99:AO99), Source!$E99, "")</f>
        <v/>
      </c>
      <c r="AP99" s="2" t="str">
        <f>IF(Source!$C99&gt;=COLUMNS($A99:AP99), Source!$E99, "")</f>
        <v/>
      </c>
      <c r="AQ99" s="2" t="str">
        <f>IF(Source!$C99&gt;=COLUMNS($A99:AQ99), Source!$E99, "")</f>
        <v/>
      </c>
      <c r="AR99" s="2" t="str">
        <f>IF(Source!$C99&gt;=COLUMNS($A99:AR99), Source!$E99, "")</f>
        <v/>
      </c>
    </row>
    <row r="100">
      <c r="A100" s="2">
        <f>IF(Source!$C100&gt;=COLUMNS($A100:A100), Source!$E100, "")</f>
        <v>5</v>
      </c>
      <c r="B100" s="2">
        <f>IF(Source!$C100&gt;=COLUMNS($A100:B100), Source!$E100, "")</f>
        <v>5</v>
      </c>
      <c r="C100" s="2">
        <f>IF(Source!$C100&gt;=COLUMNS($A100:C100), Source!$E100, "")</f>
        <v>5</v>
      </c>
      <c r="D100" s="2">
        <f>IF(Source!$C100&gt;=COLUMNS($A100:D100), Source!$E100, "")</f>
        <v>5</v>
      </c>
      <c r="E100" s="2">
        <f>IF(Source!$C100&gt;=COLUMNS($A100:E100), Source!$E100, "")</f>
        <v>5</v>
      </c>
      <c r="F100" s="2">
        <f>IF(Source!$C100&gt;=COLUMNS($A100:F100), Source!$E100, "")</f>
        <v>5</v>
      </c>
      <c r="G100" s="2" t="str">
        <f>IF(Source!$C100&gt;=COLUMNS($A100:G100), Source!$E100, "")</f>
        <v/>
      </c>
      <c r="H100" s="2" t="str">
        <f>IF(Source!$C100&gt;=COLUMNS($A100:H100), Source!$E100, "")</f>
        <v/>
      </c>
      <c r="I100" s="2" t="str">
        <f>IF(Source!$C100&gt;=COLUMNS($A100:I100), Source!$E100, "")</f>
        <v/>
      </c>
      <c r="J100" s="2" t="str">
        <f>IF(Source!$C100&gt;=COLUMNS($A100:J100), Source!$E100, "")</f>
        <v/>
      </c>
      <c r="K100" s="2" t="str">
        <f>IF(Source!$C100&gt;=COLUMNS($A100:K100), Source!$E100, "")</f>
        <v/>
      </c>
      <c r="L100" s="2" t="str">
        <f>IF(Source!$C100&gt;=COLUMNS($A100:L100), Source!$E100, "")</f>
        <v/>
      </c>
      <c r="M100" s="2" t="str">
        <f>IF(Source!$C100&gt;=COLUMNS($A100:M100), Source!$E100, "")</f>
        <v/>
      </c>
      <c r="N100" s="2" t="str">
        <f>IF(Source!$C100&gt;=COLUMNS($A100:N100), Source!$E100, "")</f>
        <v/>
      </c>
      <c r="O100" s="2" t="str">
        <f>IF(Source!$C100&gt;=COLUMNS($A100:O100), Source!$E100, "")</f>
        <v/>
      </c>
      <c r="P100" s="2" t="str">
        <f>IF(Source!$C100&gt;=COLUMNS($A100:P100), Source!$E100, "")</f>
        <v/>
      </c>
      <c r="Q100" s="2" t="str">
        <f>IF(Source!$C100&gt;=COLUMNS($A100:Q100), Source!$E100, "")</f>
        <v/>
      </c>
      <c r="R100" s="2" t="str">
        <f>IF(Source!$C100&gt;=COLUMNS($A100:R100), Source!$E100, "")</f>
        <v/>
      </c>
      <c r="S100" s="2" t="str">
        <f>IF(Source!$C100&gt;=COLUMNS($A100:S100), Source!$E100, "")</f>
        <v/>
      </c>
      <c r="T100" s="2" t="str">
        <f>IF(Source!$C100&gt;=COLUMNS($A100:T100), Source!$E100, "")</f>
        <v/>
      </c>
      <c r="U100" s="2" t="str">
        <f>IF(Source!$C100&gt;=COLUMNS($A100:U100), Source!$E100, "")</f>
        <v/>
      </c>
      <c r="V100" s="2" t="str">
        <f>IF(Source!$C100&gt;=COLUMNS($A100:V100), Source!$E100, "")</f>
        <v/>
      </c>
      <c r="W100" s="2" t="str">
        <f>IF(Source!$C100&gt;=COLUMNS($A100:W100), Source!$E100, "")</f>
        <v/>
      </c>
      <c r="X100" s="2" t="str">
        <f>IF(Source!$C100&gt;=COLUMNS($A100:X100), Source!$E100, "")</f>
        <v/>
      </c>
      <c r="Y100" s="2" t="str">
        <f>IF(Source!$C100&gt;=COLUMNS($A100:Y100), Source!$E100, "")</f>
        <v/>
      </c>
      <c r="Z100" s="2" t="str">
        <f>IF(Source!$C100&gt;=COLUMNS($A100:Z100), Source!$E100, "")</f>
        <v/>
      </c>
      <c r="AA100" s="2" t="str">
        <f>IF(Source!$C100&gt;=COLUMNS($A100:AA100), Source!$E100, "")</f>
        <v/>
      </c>
      <c r="AB100" s="2" t="str">
        <f>IF(Source!$C100&gt;=COLUMNS($A100:AB100), Source!$E100, "")</f>
        <v/>
      </c>
      <c r="AC100" s="2" t="str">
        <f>IF(Source!$C100&gt;=COLUMNS($A100:AC100), Source!$E100, "")</f>
        <v/>
      </c>
      <c r="AD100" s="2" t="str">
        <f>IF(Source!$C100&gt;=COLUMNS($A100:AD100), Source!$E100, "")</f>
        <v/>
      </c>
      <c r="AE100" s="2" t="str">
        <f>IF(Source!$C100&gt;=COLUMNS($A100:AE100), Source!$E100, "")</f>
        <v/>
      </c>
      <c r="AF100" s="2" t="str">
        <f>IF(Source!$C100&gt;=COLUMNS($A100:AF100), Source!$E100, "")</f>
        <v/>
      </c>
      <c r="AG100" s="2" t="str">
        <f>IF(Source!$C100&gt;=COLUMNS($A100:AG100), Source!$E100, "")</f>
        <v/>
      </c>
      <c r="AH100" s="2" t="str">
        <f>IF(Source!$C100&gt;=COLUMNS($A100:AH100), Source!$E100, "")</f>
        <v/>
      </c>
      <c r="AI100" s="2" t="str">
        <f>IF(Source!$C100&gt;=COLUMNS($A100:AI100), Source!$E100, "")</f>
        <v/>
      </c>
      <c r="AJ100" s="2" t="str">
        <f>IF(Source!$C100&gt;=COLUMNS($A100:AJ100), Source!$E100, "")</f>
        <v/>
      </c>
      <c r="AK100" s="2" t="str">
        <f>IF(Source!$C100&gt;=COLUMNS($A100:AK100), Source!$E100, "")</f>
        <v/>
      </c>
      <c r="AL100" s="2" t="str">
        <f>IF(Source!$C100&gt;=COLUMNS($A100:AL100), Source!$E100, "")</f>
        <v/>
      </c>
      <c r="AM100" s="2" t="str">
        <f>IF(Source!$C100&gt;=COLUMNS($A100:AM100), Source!$E100, "")</f>
        <v/>
      </c>
      <c r="AN100" s="2" t="str">
        <f>IF(Source!$C100&gt;=COLUMNS($A100:AN100), Source!$E100, "")</f>
        <v/>
      </c>
      <c r="AO100" s="2" t="str">
        <f>IF(Source!$C100&gt;=COLUMNS($A100:AO100), Source!$E100, "")</f>
        <v/>
      </c>
      <c r="AP100" s="2" t="str">
        <f>IF(Source!$C100&gt;=COLUMNS($A100:AP100), Source!$E100, "")</f>
        <v/>
      </c>
      <c r="AQ100" s="2" t="str">
        <f>IF(Source!$C100&gt;=COLUMNS($A100:AQ100), Source!$E100, "")</f>
        <v/>
      </c>
      <c r="AR100" s="2" t="str">
        <f>IF(Source!$C100&gt;=COLUMNS($A100:AR100), Source!$E100, "")</f>
        <v/>
      </c>
    </row>
    <row r="101">
      <c r="A101" s="2">
        <f>IF(Source!$C101&gt;=COLUMNS($A101:A101), Source!$E101, "")</f>
        <v>6</v>
      </c>
      <c r="B101" s="2">
        <f>IF(Source!$C101&gt;=COLUMNS($A101:B101), Source!$E101, "")</f>
        <v>6</v>
      </c>
      <c r="C101" s="2" t="str">
        <f>IF(Source!$C101&gt;=COLUMNS($A101:C101), Source!$E101, "")</f>
        <v/>
      </c>
      <c r="D101" s="2" t="str">
        <f>IF(Source!$C101&gt;=COLUMNS($A101:D101), Source!$E101, "")</f>
        <v/>
      </c>
      <c r="E101" s="2" t="str">
        <f>IF(Source!$C101&gt;=COLUMNS($A101:E101), Source!$E101, "")</f>
        <v/>
      </c>
      <c r="F101" s="2" t="str">
        <f>IF(Source!$C101&gt;=COLUMNS($A101:F101), Source!$E101, "")</f>
        <v/>
      </c>
      <c r="G101" s="2" t="str">
        <f>IF(Source!$C101&gt;=COLUMNS($A101:G101), Source!$E101, "")</f>
        <v/>
      </c>
      <c r="H101" s="2" t="str">
        <f>IF(Source!$C101&gt;=COLUMNS($A101:H101), Source!$E101, "")</f>
        <v/>
      </c>
      <c r="I101" s="2" t="str">
        <f>IF(Source!$C101&gt;=COLUMNS($A101:I101), Source!$E101, "")</f>
        <v/>
      </c>
      <c r="J101" s="2" t="str">
        <f>IF(Source!$C101&gt;=COLUMNS($A101:J101), Source!$E101, "")</f>
        <v/>
      </c>
      <c r="K101" s="2" t="str">
        <f>IF(Source!$C101&gt;=COLUMNS($A101:K101), Source!$E101, "")</f>
        <v/>
      </c>
      <c r="L101" s="2" t="str">
        <f>IF(Source!$C101&gt;=COLUMNS($A101:L101), Source!$E101, "")</f>
        <v/>
      </c>
      <c r="M101" s="2" t="str">
        <f>IF(Source!$C101&gt;=COLUMNS($A101:M101), Source!$E101, "")</f>
        <v/>
      </c>
      <c r="N101" s="2" t="str">
        <f>IF(Source!$C101&gt;=COLUMNS($A101:N101), Source!$E101, "")</f>
        <v/>
      </c>
      <c r="O101" s="2" t="str">
        <f>IF(Source!$C101&gt;=COLUMNS($A101:O101), Source!$E101, "")</f>
        <v/>
      </c>
      <c r="P101" s="2" t="str">
        <f>IF(Source!$C101&gt;=COLUMNS($A101:P101), Source!$E101, "")</f>
        <v/>
      </c>
      <c r="Q101" s="2" t="str">
        <f>IF(Source!$C101&gt;=COLUMNS($A101:Q101), Source!$E101, "")</f>
        <v/>
      </c>
      <c r="R101" s="2" t="str">
        <f>IF(Source!$C101&gt;=COLUMNS($A101:R101), Source!$E101, "")</f>
        <v/>
      </c>
      <c r="S101" s="2" t="str">
        <f>IF(Source!$C101&gt;=COLUMNS($A101:S101), Source!$E101, "")</f>
        <v/>
      </c>
      <c r="T101" s="2" t="str">
        <f>IF(Source!$C101&gt;=COLUMNS($A101:T101), Source!$E101, "")</f>
        <v/>
      </c>
      <c r="U101" s="2" t="str">
        <f>IF(Source!$C101&gt;=COLUMNS($A101:U101), Source!$E101, "")</f>
        <v/>
      </c>
      <c r="V101" s="2" t="str">
        <f>IF(Source!$C101&gt;=COLUMNS($A101:V101), Source!$E101, "")</f>
        <v/>
      </c>
      <c r="W101" s="2" t="str">
        <f>IF(Source!$C101&gt;=COLUMNS($A101:W101), Source!$E101, "")</f>
        <v/>
      </c>
      <c r="X101" s="2" t="str">
        <f>IF(Source!$C101&gt;=COLUMNS($A101:X101), Source!$E101, "")</f>
        <v/>
      </c>
      <c r="Y101" s="2" t="str">
        <f>IF(Source!$C101&gt;=COLUMNS($A101:Y101), Source!$E101, "")</f>
        <v/>
      </c>
      <c r="Z101" s="2" t="str">
        <f>IF(Source!$C101&gt;=COLUMNS($A101:Z101), Source!$E101, "")</f>
        <v/>
      </c>
      <c r="AA101" s="2" t="str">
        <f>IF(Source!$C101&gt;=COLUMNS($A101:AA101), Source!$E101, "")</f>
        <v/>
      </c>
      <c r="AB101" s="2" t="str">
        <f>IF(Source!$C101&gt;=COLUMNS($A101:AB101), Source!$E101, "")</f>
        <v/>
      </c>
      <c r="AC101" s="2" t="str">
        <f>IF(Source!$C101&gt;=COLUMNS($A101:AC101), Source!$E101, "")</f>
        <v/>
      </c>
      <c r="AD101" s="2" t="str">
        <f>IF(Source!$C101&gt;=COLUMNS($A101:AD101), Source!$E101, "")</f>
        <v/>
      </c>
      <c r="AE101" s="2" t="str">
        <f>IF(Source!$C101&gt;=COLUMNS($A101:AE101), Source!$E101, "")</f>
        <v/>
      </c>
      <c r="AF101" s="2" t="str">
        <f>IF(Source!$C101&gt;=COLUMNS($A101:AF101), Source!$E101, "")</f>
        <v/>
      </c>
      <c r="AG101" s="2" t="str">
        <f>IF(Source!$C101&gt;=COLUMNS($A101:AG101), Source!$E101, "")</f>
        <v/>
      </c>
      <c r="AH101" s="2" t="str">
        <f>IF(Source!$C101&gt;=COLUMNS($A101:AH101), Source!$E101, "")</f>
        <v/>
      </c>
      <c r="AI101" s="2" t="str">
        <f>IF(Source!$C101&gt;=COLUMNS($A101:AI101), Source!$E101, "")</f>
        <v/>
      </c>
      <c r="AJ101" s="2" t="str">
        <f>IF(Source!$C101&gt;=COLUMNS($A101:AJ101), Source!$E101, "")</f>
        <v/>
      </c>
      <c r="AK101" s="2" t="str">
        <f>IF(Source!$C101&gt;=COLUMNS($A101:AK101), Source!$E101, "")</f>
        <v/>
      </c>
      <c r="AL101" s="2" t="str">
        <f>IF(Source!$C101&gt;=COLUMNS($A101:AL101), Source!$E101, "")</f>
        <v/>
      </c>
      <c r="AM101" s="2" t="str">
        <f>IF(Source!$C101&gt;=COLUMNS($A101:AM101), Source!$E101, "")</f>
        <v/>
      </c>
      <c r="AN101" s="2" t="str">
        <f>IF(Source!$C101&gt;=COLUMNS($A101:AN101), Source!$E101, "")</f>
        <v/>
      </c>
      <c r="AO101" s="2" t="str">
        <f>IF(Source!$C101&gt;=COLUMNS($A101:AO101), Source!$E101, "")</f>
        <v/>
      </c>
      <c r="AP101" s="2" t="str">
        <f>IF(Source!$C101&gt;=COLUMNS($A101:AP101), Source!$E101, "")</f>
        <v/>
      </c>
      <c r="AQ101" s="2" t="str">
        <f>IF(Source!$C101&gt;=COLUMNS($A101:AQ101), Source!$E101, "")</f>
        <v/>
      </c>
      <c r="AR101" s="2" t="str">
        <f>IF(Source!$C101&gt;=COLUMNS($A101:AR101), Source!$E101, "")</f>
        <v/>
      </c>
    </row>
    <row r="102">
      <c r="A102" s="2">
        <f>IF(Source!$C102&gt;=COLUMNS($A102:A102), Source!$E102, "")</f>
        <v>9</v>
      </c>
      <c r="B102" s="2">
        <f>IF(Source!$C102&gt;=COLUMNS($A102:B102), Source!$E102, "")</f>
        <v>9</v>
      </c>
      <c r="C102" s="2">
        <f>IF(Source!$C102&gt;=COLUMNS($A102:C102), Source!$E102, "")</f>
        <v>9</v>
      </c>
      <c r="D102" s="2">
        <f>IF(Source!$C102&gt;=COLUMNS($A102:D102), Source!$E102, "")</f>
        <v>9</v>
      </c>
      <c r="E102" s="2">
        <f>IF(Source!$C102&gt;=COLUMNS($A102:E102), Source!$E102, "")</f>
        <v>9</v>
      </c>
      <c r="F102" s="2">
        <f>IF(Source!$C102&gt;=COLUMNS($A102:F102), Source!$E102, "")</f>
        <v>9</v>
      </c>
      <c r="G102" s="2">
        <f>IF(Source!$C102&gt;=COLUMNS($A102:G102), Source!$E102, "")</f>
        <v>9</v>
      </c>
      <c r="H102" s="2" t="str">
        <f>IF(Source!$C102&gt;=COLUMNS($A102:H102), Source!$E102, "")</f>
        <v/>
      </c>
      <c r="I102" s="2" t="str">
        <f>IF(Source!$C102&gt;=COLUMNS($A102:I102), Source!$E102, "")</f>
        <v/>
      </c>
      <c r="J102" s="2" t="str">
        <f>IF(Source!$C102&gt;=COLUMNS($A102:J102), Source!$E102, "")</f>
        <v/>
      </c>
      <c r="K102" s="2" t="str">
        <f>IF(Source!$C102&gt;=COLUMNS($A102:K102), Source!$E102, "")</f>
        <v/>
      </c>
      <c r="L102" s="2" t="str">
        <f>IF(Source!$C102&gt;=COLUMNS($A102:L102), Source!$E102, "")</f>
        <v/>
      </c>
      <c r="M102" s="2" t="str">
        <f>IF(Source!$C102&gt;=COLUMNS($A102:M102), Source!$E102, "")</f>
        <v/>
      </c>
      <c r="N102" s="2" t="str">
        <f>IF(Source!$C102&gt;=COLUMNS($A102:N102), Source!$E102, "")</f>
        <v/>
      </c>
      <c r="O102" s="2" t="str">
        <f>IF(Source!$C102&gt;=COLUMNS($A102:O102), Source!$E102, "")</f>
        <v/>
      </c>
      <c r="P102" s="2" t="str">
        <f>IF(Source!$C102&gt;=COLUMNS($A102:P102), Source!$E102, "")</f>
        <v/>
      </c>
      <c r="Q102" s="2" t="str">
        <f>IF(Source!$C102&gt;=COLUMNS($A102:Q102), Source!$E102, "")</f>
        <v/>
      </c>
      <c r="R102" s="2" t="str">
        <f>IF(Source!$C102&gt;=COLUMNS($A102:R102), Source!$E102, "")</f>
        <v/>
      </c>
      <c r="S102" s="2" t="str">
        <f>IF(Source!$C102&gt;=COLUMNS($A102:S102), Source!$E102, "")</f>
        <v/>
      </c>
      <c r="T102" s="2" t="str">
        <f>IF(Source!$C102&gt;=COLUMNS($A102:T102), Source!$E102, "")</f>
        <v/>
      </c>
      <c r="U102" s="2" t="str">
        <f>IF(Source!$C102&gt;=COLUMNS($A102:U102), Source!$E102, "")</f>
        <v/>
      </c>
      <c r="V102" s="2" t="str">
        <f>IF(Source!$C102&gt;=COLUMNS($A102:V102), Source!$E102, "")</f>
        <v/>
      </c>
      <c r="W102" s="2" t="str">
        <f>IF(Source!$C102&gt;=COLUMNS($A102:W102), Source!$E102, "")</f>
        <v/>
      </c>
      <c r="X102" s="2" t="str">
        <f>IF(Source!$C102&gt;=COLUMNS($A102:X102), Source!$E102, "")</f>
        <v/>
      </c>
      <c r="Y102" s="2" t="str">
        <f>IF(Source!$C102&gt;=COLUMNS($A102:Y102), Source!$E102, "")</f>
        <v/>
      </c>
      <c r="Z102" s="2" t="str">
        <f>IF(Source!$C102&gt;=COLUMNS($A102:Z102), Source!$E102, "")</f>
        <v/>
      </c>
      <c r="AA102" s="2" t="str">
        <f>IF(Source!$C102&gt;=COLUMNS($A102:AA102), Source!$E102, "")</f>
        <v/>
      </c>
      <c r="AB102" s="2" t="str">
        <f>IF(Source!$C102&gt;=COLUMNS($A102:AB102), Source!$E102, "")</f>
        <v/>
      </c>
      <c r="AC102" s="2" t="str">
        <f>IF(Source!$C102&gt;=COLUMNS($A102:AC102), Source!$E102, "")</f>
        <v/>
      </c>
      <c r="AD102" s="2" t="str">
        <f>IF(Source!$C102&gt;=COLUMNS($A102:AD102), Source!$E102, "")</f>
        <v/>
      </c>
      <c r="AE102" s="2" t="str">
        <f>IF(Source!$C102&gt;=COLUMNS($A102:AE102), Source!$E102, "")</f>
        <v/>
      </c>
      <c r="AF102" s="2" t="str">
        <f>IF(Source!$C102&gt;=COLUMNS($A102:AF102), Source!$E102, "")</f>
        <v/>
      </c>
      <c r="AG102" s="2" t="str">
        <f>IF(Source!$C102&gt;=COLUMNS($A102:AG102), Source!$E102, "")</f>
        <v/>
      </c>
      <c r="AH102" s="2" t="str">
        <f>IF(Source!$C102&gt;=COLUMNS($A102:AH102), Source!$E102, "")</f>
        <v/>
      </c>
      <c r="AI102" s="2" t="str">
        <f>IF(Source!$C102&gt;=COLUMNS($A102:AI102), Source!$E102, "")</f>
        <v/>
      </c>
      <c r="AJ102" s="2" t="str">
        <f>IF(Source!$C102&gt;=COLUMNS($A102:AJ102), Source!$E102, "")</f>
        <v/>
      </c>
      <c r="AK102" s="2" t="str">
        <f>IF(Source!$C102&gt;=COLUMNS($A102:AK102), Source!$E102, "")</f>
        <v/>
      </c>
      <c r="AL102" s="2" t="str">
        <f>IF(Source!$C102&gt;=COLUMNS($A102:AL102), Source!$E102, "")</f>
        <v/>
      </c>
      <c r="AM102" s="2" t="str">
        <f>IF(Source!$C102&gt;=COLUMNS($A102:AM102), Source!$E102, "")</f>
        <v/>
      </c>
      <c r="AN102" s="2" t="str">
        <f>IF(Source!$C102&gt;=COLUMNS($A102:AN102), Source!$E102, "")</f>
        <v/>
      </c>
      <c r="AO102" s="2" t="str">
        <f>IF(Source!$C102&gt;=COLUMNS($A102:AO102), Source!$E102, "")</f>
        <v/>
      </c>
      <c r="AP102" s="2" t="str">
        <f>IF(Source!$C102&gt;=COLUMNS($A102:AP102), Source!$E102, "")</f>
        <v/>
      </c>
      <c r="AQ102" s="2" t="str">
        <f>IF(Source!$C102&gt;=COLUMNS($A102:AQ102), Source!$E102, "")</f>
        <v/>
      </c>
      <c r="AR102" s="2" t="str">
        <f>IF(Source!$C102&gt;=COLUMNS($A102:AR102), Source!$E102, "")</f>
        <v/>
      </c>
    </row>
    <row r="103">
      <c r="A103" s="2">
        <f>IF(Source!$C103&gt;=COLUMNS($A103:A103), Source!$E103, "")</f>
        <v>5</v>
      </c>
      <c r="B103" s="2" t="str">
        <f>IF(Source!$C103&gt;=COLUMNS($A103:B103), Source!$E103, "")</f>
        <v/>
      </c>
      <c r="C103" s="2" t="str">
        <f>IF(Source!$C103&gt;=COLUMNS($A103:C103), Source!$E103, "")</f>
        <v/>
      </c>
      <c r="D103" s="2" t="str">
        <f>IF(Source!$C103&gt;=COLUMNS($A103:D103), Source!$E103, "")</f>
        <v/>
      </c>
      <c r="E103" s="2" t="str">
        <f>IF(Source!$C103&gt;=COLUMNS($A103:E103), Source!$E103, "")</f>
        <v/>
      </c>
      <c r="F103" s="2" t="str">
        <f>IF(Source!$C103&gt;=COLUMNS($A103:F103), Source!$E103, "")</f>
        <v/>
      </c>
      <c r="G103" s="2" t="str">
        <f>IF(Source!$C103&gt;=COLUMNS($A103:G103), Source!$E103, "")</f>
        <v/>
      </c>
      <c r="H103" s="2" t="str">
        <f>IF(Source!$C103&gt;=COLUMNS($A103:H103), Source!$E103, "")</f>
        <v/>
      </c>
      <c r="I103" s="2" t="str">
        <f>IF(Source!$C103&gt;=COLUMNS($A103:I103), Source!$E103, "")</f>
        <v/>
      </c>
      <c r="J103" s="2" t="str">
        <f>IF(Source!$C103&gt;=COLUMNS($A103:J103), Source!$E103, "")</f>
        <v/>
      </c>
      <c r="K103" s="2" t="str">
        <f>IF(Source!$C103&gt;=COLUMNS($A103:K103), Source!$E103, "")</f>
        <v/>
      </c>
      <c r="L103" s="2" t="str">
        <f>IF(Source!$C103&gt;=COLUMNS($A103:L103), Source!$E103, "")</f>
        <v/>
      </c>
      <c r="M103" s="2" t="str">
        <f>IF(Source!$C103&gt;=COLUMNS($A103:M103), Source!$E103, "")</f>
        <v/>
      </c>
      <c r="N103" s="2" t="str">
        <f>IF(Source!$C103&gt;=COLUMNS($A103:N103), Source!$E103, "")</f>
        <v/>
      </c>
      <c r="O103" s="2" t="str">
        <f>IF(Source!$C103&gt;=COLUMNS($A103:O103), Source!$E103, "")</f>
        <v/>
      </c>
      <c r="P103" s="2" t="str">
        <f>IF(Source!$C103&gt;=COLUMNS($A103:P103), Source!$E103, "")</f>
        <v/>
      </c>
      <c r="Q103" s="2" t="str">
        <f>IF(Source!$C103&gt;=COLUMNS($A103:Q103), Source!$E103, "")</f>
        <v/>
      </c>
      <c r="R103" s="2" t="str">
        <f>IF(Source!$C103&gt;=COLUMNS($A103:R103), Source!$E103, "")</f>
        <v/>
      </c>
      <c r="S103" s="2" t="str">
        <f>IF(Source!$C103&gt;=COLUMNS($A103:S103), Source!$E103, "")</f>
        <v/>
      </c>
      <c r="T103" s="2" t="str">
        <f>IF(Source!$C103&gt;=COLUMNS($A103:T103), Source!$E103, "")</f>
        <v/>
      </c>
      <c r="U103" s="2" t="str">
        <f>IF(Source!$C103&gt;=COLUMNS($A103:U103), Source!$E103, "")</f>
        <v/>
      </c>
      <c r="V103" s="2" t="str">
        <f>IF(Source!$C103&gt;=COLUMNS($A103:V103), Source!$E103, "")</f>
        <v/>
      </c>
      <c r="W103" s="2" t="str">
        <f>IF(Source!$C103&gt;=COLUMNS($A103:W103), Source!$E103, "")</f>
        <v/>
      </c>
      <c r="X103" s="2" t="str">
        <f>IF(Source!$C103&gt;=COLUMNS($A103:X103), Source!$E103, "")</f>
        <v/>
      </c>
      <c r="Y103" s="2" t="str">
        <f>IF(Source!$C103&gt;=COLUMNS($A103:Y103), Source!$E103, "")</f>
        <v/>
      </c>
      <c r="Z103" s="2" t="str">
        <f>IF(Source!$C103&gt;=COLUMNS($A103:Z103), Source!$E103, "")</f>
        <v/>
      </c>
      <c r="AA103" s="2" t="str">
        <f>IF(Source!$C103&gt;=COLUMNS($A103:AA103), Source!$E103, "")</f>
        <v/>
      </c>
      <c r="AB103" s="2" t="str">
        <f>IF(Source!$C103&gt;=COLUMNS($A103:AB103), Source!$E103, "")</f>
        <v/>
      </c>
      <c r="AC103" s="2" t="str">
        <f>IF(Source!$C103&gt;=COLUMNS($A103:AC103), Source!$E103, "")</f>
        <v/>
      </c>
      <c r="AD103" s="2" t="str">
        <f>IF(Source!$C103&gt;=COLUMNS($A103:AD103), Source!$E103, "")</f>
        <v/>
      </c>
      <c r="AE103" s="2" t="str">
        <f>IF(Source!$C103&gt;=COLUMNS($A103:AE103), Source!$E103, "")</f>
        <v/>
      </c>
      <c r="AF103" s="2" t="str">
        <f>IF(Source!$C103&gt;=COLUMNS($A103:AF103), Source!$E103, "")</f>
        <v/>
      </c>
      <c r="AG103" s="2" t="str">
        <f>IF(Source!$C103&gt;=COLUMNS($A103:AG103), Source!$E103, "")</f>
        <v/>
      </c>
      <c r="AH103" s="2" t="str">
        <f>IF(Source!$C103&gt;=COLUMNS($A103:AH103), Source!$E103, "")</f>
        <v/>
      </c>
      <c r="AI103" s="2" t="str">
        <f>IF(Source!$C103&gt;=COLUMNS($A103:AI103), Source!$E103, "")</f>
        <v/>
      </c>
      <c r="AJ103" s="2" t="str">
        <f>IF(Source!$C103&gt;=COLUMNS($A103:AJ103), Source!$E103, "")</f>
        <v/>
      </c>
      <c r="AK103" s="2" t="str">
        <f>IF(Source!$C103&gt;=COLUMNS($A103:AK103), Source!$E103, "")</f>
        <v/>
      </c>
      <c r="AL103" s="2" t="str">
        <f>IF(Source!$C103&gt;=COLUMNS($A103:AL103), Source!$E103, "")</f>
        <v/>
      </c>
      <c r="AM103" s="2" t="str">
        <f>IF(Source!$C103&gt;=COLUMNS($A103:AM103), Source!$E103, "")</f>
        <v/>
      </c>
      <c r="AN103" s="2" t="str">
        <f>IF(Source!$C103&gt;=COLUMNS($A103:AN103), Source!$E103, "")</f>
        <v/>
      </c>
      <c r="AO103" s="2" t="str">
        <f>IF(Source!$C103&gt;=COLUMNS($A103:AO103), Source!$E103, "")</f>
        <v/>
      </c>
      <c r="AP103" s="2" t="str">
        <f>IF(Source!$C103&gt;=COLUMNS($A103:AP103), Source!$E103, "")</f>
        <v/>
      </c>
      <c r="AQ103" s="2" t="str">
        <f>IF(Source!$C103&gt;=COLUMNS($A103:AQ103), Source!$E103, "")</f>
        <v/>
      </c>
      <c r="AR103" s="2" t="str">
        <f>IF(Source!$C103&gt;=COLUMNS($A103:AR103), Source!$E103, "")</f>
        <v/>
      </c>
    </row>
    <row r="104">
      <c r="A104" s="2">
        <f>IF(Source!$C104&gt;=COLUMNS($A104:A104), Source!$E104, "")</f>
        <v>7</v>
      </c>
      <c r="B104" s="2">
        <f>IF(Source!$C104&gt;=COLUMNS($A104:B104), Source!$E104, "")</f>
        <v>7</v>
      </c>
      <c r="C104" s="2" t="str">
        <f>IF(Source!$C104&gt;=COLUMNS($A104:C104), Source!$E104, "")</f>
        <v/>
      </c>
      <c r="D104" s="2" t="str">
        <f>IF(Source!$C104&gt;=COLUMNS($A104:D104), Source!$E104, "")</f>
        <v/>
      </c>
      <c r="E104" s="2" t="str">
        <f>IF(Source!$C104&gt;=COLUMNS($A104:E104), Source!$E104, "")</f>
        <v/>
      </c>
      <c r="F104" s="2" t="str">
        <f>IF(Source!$C104&gt;=COLUMNS($A104:F104), Source!$E104, "")</f>
        <v/>
      </c>
      <c r="G104" s="2" t="str">
        <f>IF(Source!$C104&gt;=COLUMNS($A104:G104), Source!$E104, "")</f>
        <v/>
      </c>
      <c r="H104" s="2" t="str">
        <f>IF(Source!$C104&gt;=COLUMNS($A104:H104), Source!$E104, "")</f>
        <v/>
      </c>
      <c r="I104" s="2" t="str">
        <f>IF(Source!$C104&gt;=COLUMNS($A104:I104), Source!$E104, "")</f>
        <v/>
      </c>
      <c r="J104" s="2" t="str">
        <f>IF(Source!$C104&gt;=COLUMNS($A104:J104), Source!$E104, "")</f>
        <v/>
      </c>
      <c r="K104" s="2" t="str">
        <f>IF(Source!$C104&gt;=COLUMNS($A104:K104), Source!$E104, "")</f>
        <v/>
      </c>
      <c r="L104" s="2" t="str">
        <f>IF(Source!$C104&gt;=COLUMNS($A104:L104), Source!$E104, "")</f>
        <v/>
      </c>
      <c r="M104" s="2" t="str">
        <f>IF(Source!$C104&gt;=COLUMNS($A104:M104), Source!$E104, "")</f>
        <v/>
      </c>
      <c r="N104" s="2" t="str">
        <f>IF(Source!$C104&gt;=COLUMNS($A104:N104), Source!$E104, "")</f>
        <v/>
      </c>
      <c r="O104" s="2" t="str">
        <f>IF(Source!$C104&gt;=COLUMNS($A104:O104), Source!$E104, "")</f>
        <v/>
      </c>
      <c r="P104" s="2" t="str">
        <f>IF(Source!$C104&gt;=COLUMNS($A104:P104), Source!$E104, "")</f>
        <v/>
      </c>
      <c r="Q104" s="2" t="str">
        <f>IF(Source!$C104&gt;=COLUMNS($A104:Q104), Source!$E104, "")</f>
        <v/>
      </c>
      <c r="R104" s="2" t="str">
        <f>IF(Source!$C104&gt;=COLUMNS($A104:R104), Source!$E104, "")</f>
        <v/>
      </c>
      <c r="S104" s="2" t="str">
        <f>IF(Source!$C104&gt;=COLUMNS($A104:S104), Source!$E104, "")</f>
        <v/>
      </c>
      <c r="T104" s="2" t="str">
        <f>IF(Source!$C104&gt;=COLUMNS($A104:T104), Source!$E104, "")</f>
        <v/>
      </c>
      <c r="U104" s="2" t="str">
        <f>IF(Source!$C104&gt;=COLUMNS($A104:U104), Source!$E104, "")</f>
        <v/>
      </c>
      <c r="V104" s="2" t="str">
        <f>IF(Source!$C104&gt;=COLUMNS($A104:V104), Source!$E104, "")</f>
        <v/>
      </c>
      <c r="W104" s="2" t="str">
        <f>IF(Source!$C104&gt;=COLUMNS($A104:W104), Source!$E104, "")</f>
        <v/>
      </c>
      <c r="X104" s="2" t="str">
        <f>IF(Source!$C104&gt;=COLUMNS($A104:X104), Source!$E104, "")</f>
        <v/>
      </c>
      <c r="Y104" s="2" t="str">
        <f>IF(Source!$C104&gt;=COLUMNS($A104:Y104), Source!$E104, "")</f>
        <v/>
      </c>
      <c r="Z104" s="2" t="str">
        <f>IF(Source!$C104&gt;=COLUMNS($A104:Z104), Source!$E104, "")</f>
        <v/>
      </c>
      <c r="AA104" s="2" t="str">
        <f>IF(Source!$C104&gt;=COLUMNS($A104:AA104), Source!$E104, "")</f>
        <v/>
      </c>
      <c r="AB104" s="2" t="str">
        <f>IF(Source!$C104&gt;=COLUMNS($A104:AB104), Source!$E104, "")</f>
        <v/>
      </c>
      <c r="AC104" s="2" t="str">
        <f>IF(Source!$C104&gt;=COLUMNS($A104:AC104), Source!$E104, "")</f>
        <v/>
      </c>
      <c r="AD104" s="2" t="str">
        <f>IF(Source!$C104&gt;=COLUMNS($A104:AD104), Source!$E104, "")</f>
        <v/>
      </c>
      <c r="AE104" s="2" t="str">
        <f>IF(Source!$C104&gt;=COLUMNS($A104:AE104), Source!$E104, "")</f>
        <v/>
      </c>
      <c r="AF104" s="2" t="str">
        <f>IF(Source!$C104&gt;=COLUMNS($A104:AF104), Source!$E104, "")</f>
        <v/>
      </c>
      <c r="AG104" s="2" t="str">
        <f>IF(Source!$C104&gt;=COLUMNS($A104:AG104), Source!$E104, "")</f>
        <v/>
      </c>
      <c r="AH104" s="2" t="str">
        <f>IF(Source!$C104&gt;=COLUMNS($A104:AH104), Source!$E104, "")</f>
        <v/>
      </c>
      <c r="AI104" s="2" t="str">
        <f>IF(Source!$C104&gt;=COLUMNS($A104:AI104), Source!$E104, "")</f>
        <v/>
      </c>
      <c r="AJ104" s="2" t="str">
        <f>IF(Source!$C104&gt;=COLUMNS($A104:AJ104), Source!$E104, "")</f>
        <v/>
      </c>
      <c r="AK104" s="2" t="str">
        <f>IF(Source!$C104&gt;=COLUMNS($A104:AK104), Source!$E104, "")</f>
        <v/>
      </c>
      <c r="AL104" s="2" t="str">
        <f>IF(Source!$C104&gt;=COLUMNS($A104:AL104), Source!$E104, "")</f>
        <v/>
      </c>
      <c r="AM104" s="2" t="str">
        <f>IF(Source!$C104&gt;=COLUMNS($A104:AM104), Source!$E104, "")</f>
        <v/>
      </c>
      <c r="AN104" s="2" t="str">
        <f>IF(Source!$C104&gt;=COLUMNS($A104:AN104), Source!$E104, "")</f>
        <v/>
      </c>
      <c r="AO104" s="2" t="str">
        <f>IF(Source!$C104&gt;=COLUMNS($A104:AO104), Source!$E104, "")</f>
        <v/>
      </c>
      <c r="AP104" s="2" t="str">
        <f>IF(Source!$C104&gt;=COLUMNS($A104:AP104), Source!$E104, "")</f>
        <v/>
      </c>
      <c r="AQ104" s="2" t="str">
        <f>IF(Source!$C104&gt;=COLUMNS($A104:AQ104), Source!$E104, "")</f>
        <v/>
      </c>
      <c r="AR104" s="2" t="str">
        <f>IF(Source!$C104&gt;=COLUMNS($A104:AR104), Source!$E104, "")</f>
        <v/>
      </c>
    </row>
    <row r="105">
      <c r="A105" s="2">
        <f>IF(Source!$C105&gt;=COLUMNS($A105:A105), Source!$E105, "")</f>
        <v>3</v>
      </c>
      <c r="B105" s="2">
        <f>IF(Source!$C105&gt;=COLUMNS($A105:B105), Source!$E105, "")</f>
        <v>3</v>
      </c>
      <c r="C105" s="2">
        <f>IF(Source!$C105&gt;=COLUMNS($A105:C105), Source!$E105, "")</f>
        <v>3</v>
      </c>
      <c r="D105" s="2">
        <f>IF(Source!$C105&gt;=COLUMNS($A105:D105), Source!$E105, "")</f>
        <v>3</v>
      </c>
      <c r="E105" s="2">
        <f>IF(Source!$C105&gt;=COLUMNS($A105:E105), Source!$E105, "")</f>
        <v>3</v>
      </c>
      <c r="F105" s="2">
        <f>IF(Source!$C105&gt;=COLUMNS($A105:F105), Source!$E105, "")</f>
        <v>3</v>
      </c>
      <c r="G105" s="2">
        <f>IF(Source!$C105&gt;=COLUMNS($A105:G105), Source!$E105, "")</f>
        <v>3</v>
      </c>
      <c r="H105" s="2">
        <f>IF(Source!$C105&gt;=COLUMNS($A105:H105), Source!$E105, "")</f>
        <v>3</v>
      </c>
      <c r="I105" s="2">
        <f>IF(Source!$C105&gt;=COLUMNS($A105:I105), Source!$E105, "")</f>
        <v>3</v>
      </c>
      <c r="J105" s="2">
        <f>IF(Source!$C105&gt;=COLUMNS($A105:J105), Source!$E105, "")</f>
        <v>3</v>
      </c>
      <c r="K105" s="2">
        <f>IF(Source!$C105&gt;=COLUMNS($A105:K105), Source!$E105, "")</f>
        <v>3</v>
      </c>
      <c r="L105" s="2">
        <f>IF(Source!$C105&gt;=COLUMNS($A105:L105), Source!$E105, "")</f>
        <v>3</v>
      </c>
      <c r="M105" s="2">
        <f>IF(Source!$C105&gt;=COLUMNS($A105:M105), Source!$E105, "")</f>
        <v>3</v>
      </c>
      <c r="N105" s="2">
        <f>IF(Source!$C105&gt;=COLUMNS($A105:N105), Source!$E105, "")</f>
        <v>3</v>
      </c>
      <c r="O105" s="2">
        <f>IF(Source!$C105&gt;=COLUMNS($A105:O105), Source!$E105, "")</f>
        <v>3</v>
      </c>
      <c r="P105" s="2">
        <f>IF(Source!$C105&gt;=COLUMNS($A105:P105), Source!$E105, "")</f>
        <v>3</v>
      </c>
      <c r="Q105" s="2">
        <f>IF(Source!$C105&gt;=COLUMNS($A105:Q105), Source!$E105, "")</f>
        <v>3</v>
      </c>
      <c r="R105" s="2">
        <f>IF(Source!$C105&gt;=COLUMNS($A105:R105), Source!$E105, "")</f>
        <v>3</v>
      </c>
      <c r="S105" s="2">
        <f>IF(Source!$C105&gt;=COLUMNS($A105:S105), Source!$E105, "")</f>
        <v>3</v>
      </c>
      <c r="T105" s="2">
        <f>IF(Source!$C105&gt;=COLUMNS($A105:T105), Source!$E105, "")</f>
        <v>3</v>
      </c>
      <c r="U105" s="2">
        <f>IF(Source!$C105&gt;=COLUMNS($A105:U105), Source!$E105, "")</f>
        <v>3</v>
      </c>
      <c r="V105" s="2">
        <f>IF(Source!$C105&gt;=COLUMNS($A105:V105), Source!$E105, "")</f>
        <v>3</v>
      </c>
      <c r="W105" s="2">
        <f>IF(Source!$C105&gt;=COLUMNS($A105:W105), Source!$E105, "")</f>
        <v>3</v>
      </c>
      <c r="X105" s="2">
        <f>IF(Source!$C105&gt;=COLUMNS($A105:X105), Source!$E105, "")</f>
        <v>3</v>
      </c>
      <c r="Y105" s="2">
        <f>IF(Source!$C105&gt;=COLUMNS($A105:Y105), Source!$E105, "")</f>
        <v>3</v>
      </c>
      <c r="Z105" s="2">
        <f>IF(Source!$C105&gt;=COLUMNS($A105:Z105), Source!$E105, "")</f>
        <v>3</v>
      </c>
      <c r="AA105" s="2">
        <f>IF(Source!$C105&gt;=COLUMNS($A105:AA105), Source!$E105, "")</f>
        <v>3</v>
      </c>
      <c r="AB105" s="2">
        <f>IF(Source!$C105&gt;=COLUMNS($A105:AB105), Source!$E105, "")</f>
        <v>3</v>
      </c>
      <c r="AC105" s="2">
        <f>IF(Source!$C105&gt;=COLUMNS($A105:AC105), Source!$E105, "")</f>
        <v>3</v>
      </c>
      <c r="AD105" s="2">
        <f>IF(Source!$C105&gt;=COLUMNS($A105:AD105), Source!$E105, "")</f>
        <v>3</v>
      </c>
      <c r="AE105" s="2">
        <f>IF(Source!$C105&gt;=COLUMNS($A105:AE105), Source!$E105, "")</f>
        <v>3</v>
      </c>
      <c r="AF105" s="2">
        <f>IF(Source!$C105&gt;=COLUMNS($A105:AF105), Source!$E105, "")</f>
        <v>3</v>
      </c>
      <c r="AG105" s="2">
        <f>IF(Source!$C105&gt;=COLUMNS($A105:AG105), Source!$E105, "")</f>
        <v>3</v>
      </c>
      <c r="AH105" s="2">
        <f>IF(Source!$C105&gt;=COLUMNS($A105:AH105), Source!$E105, "")</f>
        <v>3</v>
      </c>
      <c r="AI105" s="2" t="str">
        <f>IF(Source!$C105&gt;=COLUMNS($A105:AI105), Source!$E105, "")</f>
        <v/>
      </c>
      <c r="AJ105" s="2" t="str">
        <f>IF(Source!$C105&gt;=COLUMNS($A105:AJ105), Source!$E105, "")</f>
        <v/>
      </c>
      <c r="AK105" s="2" t="str">
        <f>IF(Source!$C105&gt;=COLUMNS($A105:AK105), Source!$E105, "")</f>
        <v/>
      </c>
      <c r="AL105" s="2" t="str">
        <f>IF(Source!$C105&gt;=COLUMNS($A105:AL105), Source!$E105, "")</f>
        <v/>
      </c>
      <c r="AM105" s="2" t="str">
        <f>IF(Source!$C105&gt;=COLUMNS($A105:AM105), Source!$E105, "")</f>
        <v/>
      </c>
      <c r="AN105" s="2" t="str">
        <f>IF(Source!$C105&gt;=COLUMNS($A105:AN105), Source!$E105, "")</f>
        <v/>
      </c>
      <c r="AO105" s="2" t="str">
        <f>IF(Source!$C105&gt;=COLUMNS($A105:AO105), Source!$E105, "")</f>
        <v/>
      </c>
      <c r="AP105" s="2" t="str">
        <f>IF(Source!$C105&gt;=COLUMNS($A105:AP105), Source!$E105, "")</f>
        <v/>
      </c>
      <c r="AQ105" s="2" t="str">
        <f>IF(Source!$C105&gt;=COLUMNS($A105:AQ105), Source!$E105, "")</f>
        <v/>
      </c>
      <c r="AR105" s="2" t="str">
        <f>IF(Source!$C105&gt;=COLUMNS($A105:AR105), Source!$E105, "")</f>
        <v/>
      </c>
    </row>
    <row r="106">
      <c r="A106" s="2">
        <f>IF(Source!$C106&gt;=COLUMNS($A106:A106), Source!$E106, "")</f>
        <v>6</v>
      </c>
      <c r="B106" s="2">
        <f>IF(Source!$C106&gt;=COLUMNS($A106:B106), Source!$E106, "")</f>
        <v>6</v>
      </c>
      <c r="C106" s="2">
        <f>IF(Source!$C106&gt;=COLUMNS($A106:C106), Source!$E106, "")</f>
        <v>6</v>
      </c>
      <c r="D106" s="2">
        <f>IF(Source!$C106&gt;=COLUMNS($A106:D106), Source!$E106, "")</f>
        <v>6</v>
      </c>
      <c r="E106" s="2">
        <f>IF(Source!$C106&gt;=COLUMNS($A106:E106), Source!$E106, "")</f>
        <v>6</v>
      </c>
      <c r="F106" s="2">
        <f>IF(Source!$C106&gt;=COLUMNS($A106:F106), Source!$E106, "")</f>
        <v>6</v>
      </c>
      <c r="G106" s="2">
        <f>IF(Source!$C106&gt;=COLUMNS($A106:G106), Source!$E106, "")</f>
        <v>6</v>
      </c>
      <c r="H106" s="2">
        <f>IF(Source!$C106&gt;=COLUMNS($A106:H106), Source!$E106, "")</f>
        <v>6</v>
      </c>
      <c r="I106" s="2">
        <f>IF(Source!$C106&gt;=COLUMNS($A106:I106), Source!$E106, "")</f>
        <v>6</v>
      </c>
      <c r="J106" s="2">
        <f>IF(Source!$C106&gt;=COLUMNS($A106:J106), Source!$E106, "")</f>
        <v>6</v>
      </c>
      <c r="K106" s="2">
        <f>IF(Source!$C106&gt;=COLUMNS($A106:K106), Source!$E106, "")</f>
        <v>6</v>
      </c>
      <c r="L106" s="2">
        <f>IF(Source!$C106&gt;=COLUMNS($A106:L106), Source!$E106, "")</f>
        <v>6</v>
      </c>
      <c r="M106" s="2">
        <f>IF(Source!$C106&gt;=COLUMNS($A106:M106), Source!$E106, "")</f>
        <v>6</v>
      </c>
      <c r="N106" s="2">
        <f>IF(Source!$C106&gt;=COLUMNS($A106:N106), Source!$E106, "")</f>
        <v>6</v>
      </c>
      <c r="O106" s="2">
        <f>IF(Source!$C106&gt;=COLUMNS($A106:O106), Source!$E106, "")</f>
        <v>6</v>
      </c>
      <c r="P106" s="2">
        <f>IF(Source!$C106&gt;=COLUMNS($A106:P106), Source!$E106, "")</f>
        <v>6</v>
      </c>
      <c r="Q106" s="2">
        <f>IF(Source!$C106&gt;=COLUMNS($A106:Q106), Source!$E106, "")</f>
        <v>6</v>
      </c>
      <c r="R106" s="2">
        <f>IF(Source!$C106&gt;=COLUMNS($A106:R106), Source!$E106, "")</f>
        <v>6</v>
      </c>
      <c r="S106" s="2">
        <f>IF(Source!$C106&gt;=COLUMNS($A106:S106), Source!$E106, "")</f>
        <v>6</v>
      </c>
      <c r="T106" s="2" t="str">
        <f>IF(Source!$C106&gt;=COLUMNS($A106:T106), Source!$E106, "")</f>
        <v/>
      </c>
      <c r="U106" s="2" t="str">
        <f>IF(Source!$C106&gt;=COLUMNS($A106:U106), Source!$E106, "")</f>
        <v/>
      </c>
      <c r="V106" s="2" t="str">
        <f>IF(Source!$C106&gt;=COLUMNS($A106:V106), Source!$E106, "")</f>
        <v/>
      </c>
      <c r="W106" s="2" t="str">
        <f>IF(Source!$C106&gt;=COLUMNS($A106:W106), Source!$E106, "")</f>
        <v/>
      </c>
      <c r="X106" s="2" t="str">
        <f>IF(Source!$C106&gt;=COLUMNS($A106:X106), Source!$E106, "")</f>
        <v/>
      </c>
      <c r="Y106" s="2" t="str">
        <f>IF(Source!$C106&gt;=COLUMNS($A106:Y106), Source!$E106, "")</f>
        <v/>
      </c>
      <c r="Z106" s="2" t="str">
        <f>IF(Source!$C106&gt;=COLUMNS($A106:Z106), Source!$E106, "")</f>
        <v/>
      </c>
      <c r="AA106" s="2" t="str">
        <f>IF(Source!$C106&gt;=COLUMNS($A106:AA106), Source!$E106, "")</f>
        <v/>
      </c>
      <c r="AB106" s="2" t="str">
        <f>IF(Source!$C106&gt;=COLUMNS($A106:AB106), Source!$E106, "")</f>
        <v/>
      </c>
      <c r="AC106" s="2" t="str">
        <f>IF(Source!$C106&gt;=COLUMNS($A106:AC106), Source!$E106, "")</f>
        <v/>
      </c>
      <c r="AD106" s="2" t="str">
        <f>IF(Source!$C106&gt;=COLUMNS($A106:AD106), Source!$E106, "")</f>
        <v/>
      </c>
      <c r="AE106" s="2" t="str">
        <f>IF(Source!$C106&gt;=COLUMNS($A106:AE106), Source!$E106, "")</f>
        <v/>
      </c>
      <c r="AF106" s="2" t="str">
        <f>IF(Source!$C106&gt;=COLUMNS($A106:AF106), Source!$E106, "")</f>
        <v/>
      </c>
      <c r="AG106" s="2" t="str">
        <f>IF(Source!$C106&gt;=COLUMNS($A106:AG106), Source!$E106, "")</f>
        <v/>
      </c>
      <c r="AH106" s="2" t="str">
        <f>IF(Source!$C106&gt;=COLUMNS($A106:AH106), Source!$E106, "")</f>
        <v/>
      </c>
      <c r="AI106" s="2" t="str">
        <f>IF(Source!$C106&gt;=COLUMNS($A106:AI106), Source!$E106, "")</f>
        <v/>
      </c>
      <c r="AJ106" s="2" t="str">
        <f>IF(Source!$C106&gt;=COLUMNS($A106:AJ106), Source!$E106, "")</f>
        <v/>
      </c>
      <c r="AK106" s="2" t="str">
        <f>IF(Source!$C106&gt;=COLUMNS($A106:AK106), Source!$E106, "")</f>
        <v/>
      </c>
      <c r="AL106" s="2" t="str">
        <f>IF(Source!$C106&gt;=COLUMNS($A106:AL106), Source!$E106, "")</f>
        <v/>
      </c>
      <c r="AM106" s="2" t="str">
        <f>IF(Source!$C106&gt;=COLUMNS($A106:AM106), Source!$E106, "")</f>
        <v/>
      </c>
      <c r="AN106" s="2" t="str">
        <f>IF(Source!$C106&gt;=COLUMNS($A106:AN106), Source!$E106, "")</f>
        <v/>
      </c>
      <c r="AO106" s="2" t="str">
        <f>IF(Source!$C106&gt;=COLUMNS($A106:AO106), Source!$E106, "")</f>
        <v/>
      </c>
      <c r="AP106" s="2" t="str">
        <f>IF(Source!$C106&gt;=COLUMNS($A106:AP106), Source!$E106, "")</f>
        <v/>
      </c>
      <c r="AQ106" s="2" t="str">
        <f>IF(Source!$C106&gt;=COLUMNS($A106:AQ106), Source!$E106, "")</f>
        <v/>
      </c>
      <c r="AR106" s="2" t="str">
        <f>IF(Source!$C106&gt;=COLUMNS($A106:AR106), Source!$E106, "")</f>
        <v/>
      </c>
    </row>
    <row r="107">
      <c r="A107" s="2">
        <f>IF(Source!$C107&gt;=COLUMNS($A107:A107), Source!$E107, "")</f>
        <v>6</v>
      </c>
      <c r="B107" s="2">
        <f>IF(Source!$C107&gt;=COLUMNS($A107:B107), Source!$E107, "")</f>
        <v>6</v>
      </c>
      <c r="C107" s="2">
        <f>IF(Source!$C107&gt;=COLUMNS($A107:C107), Source!$E107, "")</f>
        <v>6</v>
      </c>
      <c r="D107" s="2">
        <f>IF(Source!$C107&gt;=COLUMNS($A107:D107), Source!$E107, "")</f>
        <v>6</v>
      </c>
      <c r="E107" s="2">
        <f>IF(Source!$C107&gt;=COLUMNS($A107:E107), Source!$E107, "")</f>
        <v>6</v>
      </c>
      <c r="F107" s="2">
        <f>IF(Source!$C107&gt;=COLUMNS($A107:F107), Source!$E107, "")</f>
        <v>6</v>
      </c>
      <c r="G107" s="2">
        <f>IF(Source!$C107&gt;=COLUMNS($A107:G107), Source!$E107, "")</f>
        <v>6</v>
      </c>
      <c r="H107" s="2">
        <f>IF(Source!$C107&gt;=COLUMNS($A107:H107), Source!$E107, "")</f>
        <v>6</v>
      </c>
      <c r="I107" s="2">
        <f>IF(Source!$C107&gt;=COLUMNS($A107:I107), Source!$E107, "")</f>
        <v>6</v>
      </c>
      <c r="J107" s="2">
        <f>IF(Source!$C107&gt;=COLUMNS($A107:J107), Source!$E107, "")</f>
        <v>6</v>
      </c>
      <c r="K107" s="2">
        <f>IF(Source!$C107&gt;=COLUMNS($A107:K107), Source!$E107, "")</f>
        <v>6</v>
      </c>
      <c r="L107" s="2">
        <f>IF(Source!$C107&gt;=COLUMNS($A107:L107), Source!$E107, "")</f>
        <v>6</v>
      </c>
      <c r="M107" s="2" t="str">
        <f>IF(Source!$C107&gt;=COLUMNS($A107:M107), Source!$E107, "")</f>
        <v/>
      </c>
      <c r="N107" s="2" t="str">
        <f>IF(Source!$C107&gt;=COLUMNS($A107:N107), Source!$E107, "")</f>
        <v/>
      </c>
      <c r="O107" s="2" t="str">
        <f>IF(Source!$C107&gt;=COLUMNS($A107:O107), Source!$E107, "")</f>
        <v/>
      </c>
      <c r="P107" s="2" t="str">
        <f>IF(Source!$C107&gt;=COLUMNS($A107:P107), Source!$E107, "")</f>
        <v/>
      </c>
      <c r="Q107" s="2" t="str">
        <f>IF(Source!$C107&gt;=COLUMNS($A107:Q107), Source!$E107, "")</f>
        <v/>
      </c>
      <c r="R107" s="2" t="str">
        <f>IF(Source!$C107&gt;=COLUMNS($A107:R107), Source!$E107, "")</f>
        <v/>
      </c>
      <c r="S107" s="2" t="str">
        <f>IF(Source!$C107&gt;=COLUMNS($A107:S107), Source!$E107, "")</f>
        <v/>
      </c>
      <c r="T107" s="2" t="str">
        <f>IF(Source!$C107&gt;=COLUMNS($A107:T107), Source!$E107, "")</f>
        <v/>
      </c>
      <c r="U107" s="2" t="str">
        <f>IF(Source!$C107&gt;=COLUMNS($A107:U107), Source!$E107, "")</f>
        <v/>
      </c>
      <c r="V107" s="2" t="str">
        <f>IF(Source!$C107&gt;=COLUMNS($A107:V107), Source!$E107, "")</f>
        <v/>
      </c>
      <c r="W107" s="2" t="str">
        <f>IF(Source!$C107&gt;=COLUMNS($A107:W107), Source!$E107, "")</f>
        <v/>
      </c>
      <c r="X107" s="2" t="str">
        <f>IF(Source!$C107&gt;=COLUMNS($A107:X107), Source!$E107, "")</f>
        <v/>
      </c>
      <c r="Y107" s="2" t="str">
        <f>IF(Source!$C107&gt;=COLUMNS($A107:Y107), Source!$E107, "")</f>
        <v/>
      </c>
      <c r="Z107" s="2" t="str">
        <f>IF(Source!$C107&gt;=COLUMNS($A107:Z107), Source!$E107, "")</f>
        <v/>
      </c>
      <c r="AA107" s="2" t="str">
        <f>IF(Source!$C107&gt;=COLUMNS($A107:AA107), Source!$E107, "")</f>
        <v/>
      </c>
      <c r="AB107" s="2" t="str">
        <f>IF(Source!$C107&gt;=COLUMNS($A107:AB107), Source!$E107, "")</f>
        <v/>
      </c>
      <c r="AC107" s="2" t="str">
        <f>IF(Source!$C107&gt;=COLUMNS($A107:AC107), Source!$E107, "")</f>
        <v/>
      </c>
      <c r="AD107" s="2" t="str">
        <f>IF(Source!$C107&gt;=COLUMNS($A107:AD107), Source!$E107, "")</f>
        <v/>
      </c>
      <c r="AE107" s="2" t="str">
        <f>IF(Source!$C107&gt;=COLUMNS($A107:AE107), Source!$E107, "")</f>
        <v/>
      </c>
      <c r="AF107" s="2" t="str">
        <f>IF(Source!$C107&gt;=COLUMNS($A107:AF107), Source!$E107, "")</f>
        <v/>
      </c>
      <c r="AG107" s="2" t="str">
        <f>IF(Source!$C107&gt;=COLUMNS($A107:AG107), Source!$E107, "")</f>
        <v/>
      </c>
      <c r="AH107" s="2" t="str">
        <f>IF(Source!$C107&gt;=COLUMNS($A107:AH107), Source!$E107, "")</f>
        <v/>
      </c>
      <c r="AI107" s="2" t="str">
        <f>IF(Source!$C107&gt;=COLUMNS($A107:AI107), Source!$E107, "")</f>
        <v/>
      </c>
      <c r="AJ107" s="2" t="str">
        <f>IF(Source!$C107&gt;=COLUMNS($A107:AJ107), Source!$E107, "")</f>
        <v/>
      </c>
      <c r="AK107" s="2" t="str">
        <f>IF(Source!$C107&gt;=COLUMNS($A107:AK107), Source!$E107, "")</f>
        <v/>
      </c>
      <c r="AL107" s="2" t="str">
        <f>IF(Source!$C107&gt;=COLUMNS($A107:AL107), Source!$E107, "")</f>
        <v/>
      </c>
      <c r="AM107" s="2" t="str">
        <f>IF(Source!$C107&gt;=COLUMNS($A107:AM107), Source!$E107, "")</f>
        <v/>
      </c>
      <c r="AN107" s="2" t="str">
        <f>IF(Source!$C107&gt;=COLUMNS($A107:AN107), Source!$E107, "")</f>
        <v/>
      </c>
      <c r="AO107" s="2" t="str">
        <f>IF(Source!$C107&gt;=COLUMNS($A107:AO107), Source!$E107, "")</f>
        <v/>
      </c>
      <c r="AP107" s="2" t="str">
        <f>IF(Source!$C107&gt;=COLUMNS($A107:AP107), Source!$E107, "")</f>
        <v/>
      </c>
      <c r="AQ107" s="2" t="str">
        <f>IF(Source!$C107&gt;=COLUMNS($A107:AQ107), Source!$E107, "")</f>
        <v/>
      </c>
      <c r="AR107" s="2" t="str">
        <f>IF(Source!$C107&gt;=COLUMNS($A107:AR107), Source!$E107, "")</f>
        <v/>
      </c>
    </row>
    <row r="108">
      <c r="A108" s="2">
        <f>IF(Source!$C108&gt;=COLUMNS($A108:A108), Source!$E108, "")</f>
        <v>6</v>
      </c>
      <c r="B108" s="2">
        <f>IF(Source!$C108&gt;=COLUMNS($A108:B108), Source!$E108, "")</f>
        <v>6</v>
      </c>
      <c r="C108" s="2">
        <f>IF(Source!$C108&gt;=COLUMNS($A108:C108), Source!$E108, "")</f>
        <v>6</v>
      </c>
      <c r="D108" s="2" t="str">
        <f>IF(Source!$C108&gt;=COLUMNS($A108:D108), Source!$E108, "")</f>
        <v/>
      </c>
      <c r="E108" s="2" t="str">
        <f>IF(Source!$C108&gt;=COLUMNS($A108:E108), Source!$E108, "")</f>
        <v/>
      </c>
      <c r="F108" s="2" t="str">
        <f>IF(Source!$C108&gt;=COLUMNS($A108:F108), Source!$E108, "")</f>
        <v/>
      </c>
      <c r="G108" s="2" t="str">
        <f>IF(Source!$C108&gt;=COLUMNS($A108:G108), Source!$E108, "")</f>
        <v/>
      </c>
      <c r="H108" s="2" t="str">
        <f>IF(Source!$C108&gt;=COLUMNS($A108:H108), Source!$E108, "")</f>
        <v/>
      </c>
      <c r="I108" s="2" t="str">
        <f>IF(Source!$C108&gt;=COLUMNS($A108:I108), Source!$E108, "")</f>
        <v/>
      </c>
      <c r="J108" s="2" t="str">
        <f>IF(Source!$C108&gt;=COLUMNS($A108:J108), Source!$E108, "")</f>
        <v/>
      </c>
      <c r="K108" s="2" t="str">
        <f>IF(Source!$C108&gt;=COLUMNS($A108:K108), Source!$E108, "")</f>
        <v/>
      </c>
      <c r="L108" s="2" t="str">
        <f>IF(Source!$C108&gt;=COLUMNS($A108:L108), Source!$E108, "")</f>
        <v/>
      </c>
      <c r="M108" s="2" t="str">
        <f>IF(Source!$C108&gt;=COLUMNS($A108:M108), Source!$E108, "")</f>
        <v/>
      </c>
      <c r="N108" s="2" t="str">
        <f>IF(Source!$C108&gt;=COLUMNS($A108:N108), Source!$E108, "")</f>
        <v/>
      </c>
      <c r="O108" s="2" t="str">
        <f>IF(Source!$C108&gt;=COLUMNS($A108:O108), Source!$E108, "")</f>
        <v/>
      </c>
      <c r="P108" s="2" t="str">
        <f>IF(Source!$C108&gt;=COLUMNS($A108:P108), Source!$E108, "")</f>
        <v/>
      </c>
      <c r="Q108" s="2" t="str">
        <f>IF(Source!$C108&gt;=COLUMNS($A108:Q108), Source!$E108, "")</f>
        <v/>
      </c>
      <c r="R108" s="2" t="str">
        <f>IF(Source!$C108&gt;=COLUMNS($A108:R108), Source!$E108, "")</f>
        <v/>
      </c>
      <c r="S108" s="2" t="str">
        <f>IF(Source!$C108&gt;=COLUMNS($A108:S108), Source!$E108, "")</f>
        <v/>
      </c>
      <c r="T108" s="2" t="str">
        <f>IF(Source!$C108&gt;=COLUMNS($A108:T108), Source!$E108, "")</f>
        <v/>
      </c>
      <c r="U108" s="2" t="str">
        <f>IF(Source!$C108&gt;=COLUMNS($A108:U108), Source!$E108, "")</f>
        <v/>
      </c>
      <c r="V108" s="2" t="str">
        <f>IF(Source!$C108&gt;=COLUMNS($A108:V108), Source!$E108, "")</f>
        <v/>
      </c>
      <c r="W108" s="2" t="str">
        <f>IF(Source!$C108&gt;=COLUMNS($A108:W108), Source!$E108, "")</f>
        <v/>
      </c>
      <c r="X108" s="2" t="str">
        <f>IF(Source!$C108&gt;=COLUMNS($A108:X108), Source!$E108, "")</f>
        <v/>
      </c>
      <c r="Y108" s="2" t="str">
        <f>IF(Source!$C108&gt;=COLUMNS($A108:Y108), Source!$E108, "")</f>
        <v/>
      </c>
      <c r="Z108" s="2" t="str">
        <f>IF(Source!$C108&gt;=COLUMNS($A108:Z108), Source!$E108, "")</f>
        <v/>
      </c>
      <c r="AA108" s="2" t="str">
        <f>IF(Source!$C108&gt;=COLUMNS($A108:AA108), Source!$E108, "")</f>
        <v/>
      </c>
      <c r="AB108" s="2" t="str">
        <f>IF(Source!$C108&gt;=COLUMNS($A108:AB108), Source!$E108, "")</f>
        <v/>
      </c>
      <c r="AC108" s="2" t="str">
        <f>IF(Source!$C108&gt;=COLUMNS($A108:AC108), Source!$E108, "")</f>
        <v/>
      </c>
      <c r="AD108" s="2" t="str">
        <f>IF(Source!$C108&gt;=COLUMNS($A108:AD108), Source!$E108, "")</f>
        <v/>
      </c>
      <c r="AE108" s="2" t="str">
        <f>IF(Source!$C108&gt;=COLUMNS($A108:AE108), Source!$E108, "")</f>
        <v/>
      </c>
      <c r="AF108" s="2" t="str">
        <f>IF(Source!$C108&gt;=COLUMNS($A108:AF108), Source!$E108, "")</f>
        <v/>
      </c>
      <c r="AG108" s="2" t="str">
        <f>IF(Source!$C108&gt;=COLUMNS($A108:AG108), Source!$E108, "")</f>
        <v/>
      </c>
      <c r="AH108" s="2" t="str">
        <f>IF(Source!$C108&gt;=COLUMNS($A108:AH108), Source!$E108, "")</f>
        <v/>
      </c>
      <c r="AI108" s="2" t="str">
        <f>IF(Source!$C108&gt;=COLUMNS($A108:AI108), Source!$E108, "")</f>
        <v/>
      </c>
      <c r="AJ108" s="2" t="str">
        <f>IF(Source!$C108&gt;=COLUMNS($A108:AJ108), Source!$E108, "")</f>
        <v/>
      </c>
      <c r="AK108" s="2" t="str">
        <f>IF(Source!$C108&gt;=COLUMNS($A108:AK108), Source!$E108, "")</f>
        <v/>
      </c>
      <c r="AL108" s="2" t="str">
        <f>IF(Source!$C108&gt;=COLUMNS($A108:AL108), Source!$E108, "")</f>
        <v/>
      </c>
      <c r="AM108" s="2" t="str">
        <f>IF(Source!$C108&gt;=COLUMNS($A108:AM108), Source!$E108, "")</f>
        <v/>
      </c>
      <c r="AN108" s="2" t="str">
        <f>IF(Source!$C108&gt;=COLUMNS($A108:AN108), Source!$E108, "")</f>
        <v/>
      </c>
      <c r="AO108" s="2" t="str">
        <f>IF(Source!$C108&gt;=COLUMNS($A108:AO108), Source!$E108, "")</f>
        <v/>
      </c>
      <c r="AP108" s="2" t="str">
        <f>IF(Source!$C108&gt;=COLUMNS($A108:AP108), Source!$E108, "")</f>
        <v/>
      </c>
      <c r="AQ108" s="2" t="str">
        <f>IF(Source!$C108&gt;=COLUMNS($A108:AQ108), Source!$E108, "")</f>
        <v/>
      </c>
      <c r="AR108" s="2" t="str">
        <f>IF(Source!$C108&gt;=COLUMNS($A108:AR108), Source!$E108, "")</f>
        <v/>
      </c>
    </row>
    <row r="109">
      <c r="A109" s="2">
        <f>IF(Source!$C109&gt;=COLUMNS($A109:A109), Source!$E109, "")</f>
        <v>3</v>
      </c>
      <c r="B109" s="2">
        <f>IF(Source!$C109&gt;=COLUMNS($A109:B109), Source!$E109, "")</f>
        <v>3</v>
      </c>
      <c r="C109" s="2" t="str">
        <f>IF(Source!$C109&gt;=COLUMNS($A109:C109), Source!$E109, "")</f>
        <v/>
      </c>
      <c r="D109" s="2" t="str">
        <f>IF(Source!$C109&gt;=COLUMNS($A109:D109), Source!$E109, "")</f>
        <v/>
      </c>
      <c r="E109" s="2" t="str">
        <f>IF(Source!$C109&gt;=COLUMNS($A109:E109), Source!$E109, "")</f>
        <v/>
      </c>
      <c r="F109" s="2" t="str">
        <f>IF(Source!$C109&gt;=COLUMNS($A109:F109), Source!$E109, "")</f>
        <v/>
      </c>
      <c r="G109" s="2" t="str">
        <f>IF(Source!$C109&gt;=COLUMNS($A109:G109), Source!$E109, "")</f>
        <v/>
      </c>
      <c r="H109" s="2" t="str">
        <f>IF(Source!$C109&gt;=COLUMNS($A109:H109), Source!$E109, "")</f>
        <v/>
      </c>
      <c r="I109" s="2" t="str">
        <f>IF(Source!$C109&gt;=COLUMNS($A109:I109), Source!$E109, "")</f>
        <v/>
      </c>
      <c r="J109" s="2" t="str">
        <f>IF(Source!$C109&gt;=COLUMNS($A109:J109), Source!$E109, "")</f>
        <v/>
      </c>
      <c r="K109" s="2" t="str">
        <f>IF(Source!$C109&gt;=COLUMNS($A109:K109), Source!$E109, "")</f>
        <v/>
      </c>
      <c r="L109" s="2" t="str">
        <f>IF(Source!$C109&gt;=COLUMNS($A109:L109), Source!$E109, "")</f>
        <v/>
      </c>
      <c r="M109" s="2" t="str">
        <f>IF(Source!$C109&gt;=COLUMNS($A109:M109), Source!$E109, "")</f>
        <v/>
      </c>
      <c r="N109" s="2" t="str">
        <f>IF(Source!$C109&gt;=COLUMNS($A109:N109), Source!$E109, "")</f>
        <v/>
      </c>
      <c r="O109" s="2" t="str">
        <f>IF(Source!$C109&gt;=COLUMNS($A109:O109), Source!$E109, "")</f>
        <v/>
      </c>
      <c r="P109" s="2" t="str">
        <f>IF(Source!$C109&gt;=COLUMNS($A109:P109), Source!$E109, "")</f>
        <v/>
      </c>
      <c r="Q109" s="2" t="str">
        <f>IF(Source!$C109&gt;=COLUMNS($A109:Q109), Source!$E109, "")</f>
        <v/>
      </c>
      <c r="R109" s="2" t="str">
        <f>IF(Source!$C109&gt;=COLUMNS($A109:R109), Source!$E109, "")</f>
        <v/>
      </c>
      <c r="S109" s="2" t="str">
        <f>IF(Source!$C109&gt;=COLUMNS($A109:S109), Source!$E109, "")</f>
        <v/>
      </c>
      <c r="T109" s="2" t="str">
        <f>IF(Source!$C109&gt;=COLUMNS($A109:T109), Source!$E109, "")</f>
        <v/>
      </c>
      <c r="U109" s="2" t="str">
        <f>IF(Source!$C109&gt;=COLUMNS($A109:U109), Source!$E109, "")</f>
        <v/>
      </c>
      <c r="V109" s="2" t="str">
        <f>IF(Source!$C109&gt;=COLUMNS($A109:V109), Source!$E109, "")</f>
        <v/>
      </c>
      <c r="W109" s="2" t="str">
        <f>IF(Source!$C109&gt;=COLUMNS($A109:W109), Source!$E109, "")</f>
        <v/>
      </c>
      <c r="X109" s="2" t="str">
        <f>IF(Source!$C109&gt;=COLUMNS($A109:X109), Source!$E109, "")</f>
        <v/>
      </c>
      <c r="Y109" s="2" t="str">
        <f>IF(Source!$C109&gt;=COLUMNS($A109:Y109), Source!$E109, "")</f>
        <v/>
      </c>
      <c r="Z109" s="2" t="str">
        <f>IF(Source!$C109&gt;=COLUMNS($A109:Z109), Source!$E109, "")</f>
        <v/>
      </c>
      <c r="AA109" s="2" t="str">
        <f>IF(Source!$C109&gt;=COLUMNS($A109:AA109), Source!$E109, "")</f>
        <v/>
      </c>
      <c r="AB109" s="2" t="str">
        <f>IF(Source!$C109&gt;=COLUMNS($A109:AB109), Source!$E109, "")</f>
        <v/>
      </c>
      <c r="AC109" s="2" t="str">
        <f>IF(Source!$C109&gt;=COLUMNS($A109:AC109), Source!$E109, "")</f>
        <v/>
      </c>
      <c r="AD109" s="2" t="str">
        <f>IF(Source!$C109&gt;=COLUMNS($A109:AD109), Source!$E109, "")</f>
        <v/>
      </c>
      <c r="AE109" s="2" t="str">
        <f>IF(Source!$C109&gt;=COLUMNS($A109:AE109), Source!$E109, "")</f>
        <v/>
      </c>
      <c r="AF109" s="2" t="str">
        <f>IF(Source!$C109&gt;=COLUMNS($A109:AF109), Source!$E109, "")</f>
        <v/>
      </c>
      <c r="AG109" s="2" t="str">
        <f>IF(Source!$C109&gt;=COLUMNS($A109:AG109), Source!$E109, "")</f>
        <v/>
      </c>
      <c r="AH109" s="2" t="str">
        <f>IF(Source!$C109&gt;=COLUMNS($A109:AH109), Source!$E109, "")</f>
        <v/>
      </c>
      <c r="AI109" s="2" t="str">
        <f>IF(Source!$C109&gt;=COLUMNS($A109:AI109), Source!$E109, "")</f>
        <v/>
      </c>
      <c r="AJ109" s="2" t="str">
        <f>IF(Source!$C109&gt;=COLUMNS($A109:AJ109), Source!$E109, "")</f>
        <v/>
      </c>
      <c r="AK109" s="2" t="str">
        <f>IF(Source!$C109&gt;=COLUMNS($A109:AK109), Source!$E109, "")</f>
        <v/>
      </c>
      <c r="AL109" s="2" t="str">
        <f>IF(Source!$C109&gt;=COLUMNS($A109:AL109), Source!$E109, "")</f>
        <v/>
      </c>
      <c r="AM109" s="2" t="str">
        <f>IF(Source!$C109&gt;=COLUMNS($A109:AM109), Source!$E109, "")</f>
        <v/>
      </c>
      <c r="AN109" s="2" t="str">
        <f>IF(Source!$C109&gt;=COLUMNS($A109:AN109), Source!$E109, "")</f>
        <v/>
      </c>
      <c r="AO109" s="2" t="str">
        <f>IF(Source!$C109&gt;=COLUMNS($A109:AO109), Source!$E109, "")</f>
        <v/>
      </c>
      <c r="AP109" s="2" t="str">
        <f>IF(Source!$C109&gt;=COLUMNS($A109:AP109), Source!$E109, "")</f>
        <v/>
      </c>
      <c r="AQ109" s="2" t="str">
        <f>IF(Source!$C109&gt;=COLUMNS($A109:AQ109), Source!$E109, "")</f>
        <v/>
      </c>
      <c r="AR109" s="2" t="str">
        <f>IF(Source!$C109&gt;=COLUMNS($A109:AR109), Source!$E109, "")</f>
        <v/>
      </c>
    </row>
    <row r="110">
      <c r="A110" s="2">
        <f>IF(Source!$C110&gt;=COLUMNS($A110:A110), Source!$E110, "")</f>
        <v>6</v>
      </c>
      <c r="B110" s="2" t="str">
        <f>IF(Source!$C110&gt;=COLUMNS($A110:B110), Source!$E110, "")</f>
        <v/>
      </c>
      <c r="C110" s="2" t="str">
        <f>IF(Source!$C110&gt;=COLUMNS($A110:C110), Source!$E110, "")</f>
        <v/>
      </c>
      <c r="D110" s="2" t="str">
        <f>IF(Source!$C110&gt;=COLUMNS($A110:D110), Source!$E110, "")</f>
        <v/>
      </c>
      <c r="E110" s="2" t="str">
        <f>IF(Source!$C110&gt;=COLUMNS($A110:E110), Source!$E110, "")</f>
        <v/>
      </c>
      <c r="F110" s="2" t="str">
        <f>IF(Source!$C110&gt;=COLUMNS($A110:F110), Source!$E110, "")</f>
        <v/>
      </c>
      <c r="G110" s="2" t="str">
        <f>IF(Source!$C110&gt;=COLUMNS($A110:G110), Source!$E110, "")</f>
        <v/>
      </c>
      <c r="H110" s="2" t="str">
        <f>IF(Source!$C110&gt;=COLUMNS($A110:H110), Source!$E110, "")</f>
        <v/>
      </c>
      <c r="I110" s="2" t="str">
        <f>IF(Source!$C110&gt;=COLUMNS($A110:I110), Source!$E110, "")</f>
        <v/>
      </c>
      <c r="J110" s="2" t="str">
        <f>IF(Source!$C110&gt;=COLUMNS($A110:J110), Source!$E110, "")</f>
        <v/>
      </c>
      <c r="K110" s="2" t="str">
        <f>IF(Source!$C110&gt;=COLUMNS($A110:K110), Source!$E110, "")</f>
        <v/>
      </c>
      <c r="L110" s="2" t="str">
        <f>IF(Source!$C110&gt;=COLUMNS($A110:L110), Source!$E110, "")</f>
        <v/>
      </c>
      <c r="M110" s="2" t="str">
        <f>IF(Source!$C110&gt;=COLUMNS($A110:M110), Source!$E110, "")</f>
        <v/>
      </c>
      <c r="N110" s="2" t="str">
        <f>IF(Source!$C110&gt;=COLUMNS($A110:N110), Source!$E110, "")</f>
        <v/>
      </c>
      <c r="O110" s="2" t="str">
        <f>IF(Source!$C110&gt;=COLUMNS($A110:O110), Source!$E110, "")</f>
        <v/>
      </c>
      <c r="P110" s="2" t="str">
        <f>IF(Source!$C110&gt;=COLUMNS($A110:P110), Source!$E110, "")</f>
        <v/>
      </c>
      <c r="Q110" s="2" t="str">
        <f>IF(Source!$C110&gt;=COLUMNS($A110:Q110), Source!$E110, "")</f>
        <v/>
      </c>
      <c r="R110" s="2" t="str">
        <f>IF(Source!$C110&gt;=COLUMNS($A110:R110), Source!$E110, "")</f>
        <v/>
      </c>
      <c r="S110" s="2" t="str">
        <f>IF(Source!$C110&gt;=COLUMNS($A110:S110), Source!$E110, "")</f>
        <v/>
      </c>
      <c r="T110" s="2" t="str">
        <f>IF(Source!$C110&gt;=COLUMNS($A110:T110), Source!$E110, "")</f>
        <v/>
      </c>
      <c r="U110" s="2" t="str">
        <f>IF(Source!$C110&gt;=COLUMNS($A110:U110), Source!$E110, "")</f>
        <v/>
      </c>
      <c r="V110" s="2" t="str">
        <f>IF(Source!$C110&gt;=COLUMNS($A110:V110), Source!$E110, "")</f>
        <v/>
      </c>
      <c r="W110" s="2" t="str">
        <f>IF(Source!$C110&gt;=COLUMNS($A110:W110), Source!$E110, "")</f>
        <v/>
      </c>
      <c r="X110" s="2" t="str">
        <f>IF(Source!$C110&gt;=COLUMNS($A110:X110), Source!$E110, "")</f>
        <v/>
      </c>
      <c r="Y110" s="2" t="str">
        <f>IF(Source!$C110&gt;=COLUMNS($A110:Y110), Source!$E110, "")</f>
        <v/>
      </c>
      <c r="Z110" s="2" t="str">
        <f>IF(Source!$C110&gt;=COLUMNS($A110:Z110), Source!$E110, "")</f>
        <v/>
      </c>
      <c r="AA110" s="2" t="str">
        <f>IF(Source!$C110&gt;=COLUMNS($A110:AA110), Source!$E110, "")</f>
        <v/>
      </c>
      <c r="AB110" s="2" t="str">
        <f>IF(Source!$C110&gt;=COLUMNS($A110:AB110), Source!$E110, "")</f>
        <v/>
      </c>
      <c r="AC110" s="2" t="str">
        <f>IF(Source!$C110&gt;=COLUMNS($A110:AC110), Source!$E110, "")</f>
        <v/>
      </c>
      <c r="AD110" s="2" t="str">
        <f>IF(Source!$C110&gt;=COLUMNS($A110:AD110), Source!$E110, "")</f>
        <v/>
      </c>
      <c r="AE110" s="2" t="str">
        <f>IF(Source!$C110&gt;=COLUMNS($A110:AE110), Source!$E110, "")</f>
        <v/>
      </c>
      <c r="AF110" s="2" t="str">
        <f>IF(Source!$C110&gt;=COLUMNS($A110:AF110), Source!$E110, "")</f>
        <v/>
      </c>
      <c r="AG110" s="2" t="str">
        <f>IF(Source!$C110&gt;=COLUMNS($A110:AG110), Source!$E110, "")</f>
        <v/>
      </c>
      <c r="AH110" s="2" t="str">
        <f>IF(Source!$C110&gt;=COLUMNS($A110:AH110), Source!$E110, "")</f>
        <v/>
      </c>
      <c r="AI110" s="2" t="str">
        <f>IF(Source!$C110&gt;=COLUMNS($A110:AI110), Source!$E110, "")</f>
        <v/>
      </c>
      <c r="AJ110" s="2" t="str">
        <f>IF(Source!$C110&gt;=COLUMNS($A110:AJ110), Source!$E110, "")</f>
        <v/>
      </c>
      <c r="AK110" s="2" t="str">
        <f>IF(Source!$C110&gt;=COLUMNS($A110:AK110), Source!$E110, "")</f>
        <v/>
      </c>
      <c r="AL110" s="2" t="str">
        <f>IF(Source!$C110&gt;=COLUMNS($A110:AL110), Source!$E110, "")</f>
        <v/>
      </c>
      <c r="AM110" s="2" t="str">
        <f>IF(Source!$C110&gt;=COLUMNS($A110:AM110), Source!$E110, "")</f>
        <v/>
      </c>
      <c r="AN110" s="2" t="str">
        <f>IF(Source!$C110&gt;=COLUMNS($A110:AN110), Source!$E110, "")</f>
        <v/>
      </c>
      <c r="AO110" s="2" t="str">
        <f>IF(Source!$C110&gt;=COLUMNS($A110:AO110), Source!$E110, "")</f>
        <v/>
      </c>
      <c r="AP110" s="2" t="str">
        <f>IF(Source!$C110&gt;=COLUMNS($A110:AP110), Source!$E110, "")</f>
        <v/>
      </c>
      <c r="AQ110" s="2" t="str">
        <f>IF(Source!$C110&gt;=COLUMNS($A110:AQ110), Source!$E110, "")</f>
        <v/>
      </c>
      <c r="AR110" s="2" t="str">
        <f>IF(Source!$C110&gt;=COLUMNS($A110:AR110), Source!$E110, "")</f>
        <v/>
      </c>
    </row>
    <row r="111">
      <c r="A111" s="2">
        <f>IF(Source!$C111&gt;=COLUMNS($A111:A111), Source!$E111, "")</f>
        <v>2</v>
      </c>
      <c r="B111" s="2">
        <f>IF(Source!$C111&gt;=COLUMNS($A111:B111), Source!$E111, "")</f>
        <v>2</v>
      </c>
      <c r="C111" s="2">
        <f>IF(Source!$C111&gt;=COLUMNS($A111:C111), Source!$E111, "")</f>
        <v>2</v>
      </c>
      <c r="D111" s="2">
        <f>IF(Source!$C111&gt;=COLUMNS($A111:D111), Source!$E111, "")</f>
        <v>2</v>
      </c>
      <c r="E111" s="2">
        <f>IF(Source!$C111&gt;=COLUMNS($A111:E111), Source!$E111, "")</f>
        <v>2</v>
      </c>
      <c r="F111" s="2">
        <f>IF(Source!$C111&gt;=COLUMNS($A111:F111), Source!$E111, "")</f>
        <v>2</v>
      </c>
      <c r="G111" s="2">
        <f>IF(Source!$C111&gt;=COLUMNS($A111:G111), Source!$E111, "")</f>
        <v>2</v>
      </c>
      <c r="H111" s="2">
        <f>IF(Source!$C111&gt;=COLUMNS($A111:H111), Source!$E111, "")</f>
        <v>2</v>
      </c>
      <c r="I111" s="2">
        <f>IF(Source!$C111&gt;=COLUMNS($A111:I111), Source!$E111, "")</f>
        <v>2</v>
      </c>
      <c r="J111" s="2">
        <f>IF(Source!$C111&gt;=COLUMNS($A111:J111), Source!$E111, "")</f>
        <v>2</v>
      </c>
      <c r="K111" s="2">
        <f>IF(Source!$C111&gt;=COLUMNS($A111:K111), Source!$E111, "")</f>
        <v>2</v>
      </c>
      <c r="L111" s="2">
        <f>IF(Source!$C111&gt;=COLUMNS($A111:L111), Source!$E111, "")</f>
        <v>2</v>
      </c>
      <c r="M111" s="2">
        <f>IF(Source!$C111&gt;=COLUMNS($A111:M111), Source!$E111, "")</f>
        <v>2</v>
      </c>
      <c r="N111" s="2">
        <f>IF(Source!$C111&gt;=COLUMNS($A111:N111), Source!$E111, "")</f>
        <v>2</v>
      </c>
      <c r="O111" s="2">
        <f>IF(Source!$C111&gt;=COLUMNS($A111:O111), Source!$E111, "")</f>
        <v>2</v>
      </c>
      <c r="P111" s="2">
        <f>IF(Source!$C111&gt;=COLUMNS($A111:P111), Source!$E111, "")</f>
        <v>2</v>
      </c>
      <c r="Q111" s="2">
        <f>IF(Source!$C111&gt;=COLUMNS($A111:Q111), Source!$E111, "")</f>
        <v>2</v>
      </c>
      <c r="R111" s="2" t="str">
        <f>IF(Source!$C111&gt;=COLUMNS($A111:R111), Source!$E111, "")</f>
        <v/>
      </c>
      <c r="S111" s="2" t="str">
        <f>IF(Source!$C111&gt;=COLUMNS($A111:S111), Source!$E111, "")</f>
        <v/>
      </c>
      <c r="T111" s="2" t="str">
        <f>IF(Source!$C111&gt;=COLUMNS($A111:T111), Source!$E111, "")</f>
        <v/>
      </c>
      <c r="U111" s="2" t="str">
        <f>IF(Source!$C111&gt;=COLUMNS($A111:U111), Source!$E111, "")</f>
        <v/>
      </c>
      <c r="V111" s="2" t="str">
        <f>IF(Source!$C111&gt;=COLUMNS($A111:V111), Source!$E111, "")</f>
        <v/>
      </c>
      <c r="W111" s="2" t="str">
        <f>IF(Source!$C111&gt;=COLUMNS($A111:W111), Source!$E111, "")</f>
        <v/>
      </c>
      <c r="X111" s="2" t="str">
        <f>IF(Source!$C111&gt;=COLUMNS($A111:X111), Source!$E111, "")</f>
        <v/>
      </c>
      <c r="Y111" s="2" t="str">
        <f>IF(Source!$C111&gt;=COLUMNS($A111:Y111), Source!$E111, "")</f>
        <v/>
      </c>
      <c r="Z111" s="2" t="str">
        <f>IF(Source!$C111&gt;=COLUMNS($A111:Z111), Source!$E111, "")</f>
        <v/>
      </c>
      <c r="AA111" s="2" t="str">
        <f>IF(Source!$C111&gt;=COLUMNS($A111:AA111), Source!$E111, "")</f>
        <v/>
      </c>
      <c r="AB111" s="2" t="str">
        <f>IF(Source!$C111&gt;=COLUMNS($A111:AB111), Source!$E111, "")</f>
        <v/>
      </c>
      <c r="AC111" s="2" t="str">
        <f>IF(Source!$C111&gt;=COLUMNS($A111:AC111), Source!$E111, "")</f>
        <v/>
      </c>
      <c r="AD111" s="2" t="str">
        <f>IF(Source!$C111&gt;=COLUMNS($A111:AD111), Source!$E111, "")</f>
        <v/>
      </c>
      <c r="AE111" s="2" t="str">
        <f>IF(Source!$C111&gt;=COLUMNS($A111:AE111), Source!$E111, "")</f>
        <v/>
      </c>
      <c r="AF111" s="2" t="str">
        <f>IF(Source!$C111&gt;=COLUMNS($A111:AF111), Source!$E111, "")</f>
        <v/>
      </c>
      <c r="AG111" s="2" t="str">
        <f>IF(Source!$C111&gt;=COLUMNS($A111:AG111), Source!$E111, "")</f>
        <v/>
      </c>
      <c r="AH111" s="2" t="str">
        <f>IF(Source!$C111&gt;=COLUMNS($A111:AH111), Source!$E111, "")</f>
        <v/>
      </c>
      <c r="AI111" s="2" t="str">
        <f>IF(Source!$C111&gt;=COLUMNS($A111:AI111), Source!$E111, "")</f>
        <v/>
      </c>
      <c r="AJ111" s="2" t="str">
        <f>IF(Source!$C111&gt;=COLUMNS($A111:AJ111), Source!$E111, "")</f>
        <v/>
      </c>
      <c r="AK111" s="2" t="str">
        <f>IF(Source!$C111&gt;=COLUMNS($A111:AK111), Source!$E111, "")</f>
        <v/>
      </c>
      <c r="AL111" s="2" t="str">
        <f>IF(Source!$C111&gt;=COLUMNS($A111:AL111), Source!$E111, "")</f>
        <v/>
      </c>
      <c r="AM111" s="2" t="str">
        <f>IF(Source!$C111&gt;=COLUMNS($A111:AM111), Source!$E111, "")</f>
        <v/>
      </c>
      <c r="AN111" s="2" t="str">
        <f>IF(Source!$C111&gt;=COLUMNS($A111:AN111), Source!$E111, "")</f>
        <v/>
      </c>
      <c r="AO111" s="2" t="str">
        <f>IF(Source!$C111&gt;=COLUMNS($A111:AO111), Source!$E111, "")</f>
        <v/>
      </c>
      <c r="AP111" s="2" t="str">
        <f>IF(Source!$C111&gt;=COLUMNS($A111:AP111), Source!$E111, "")</f>
        <v/>
      </c>
      <c r="AQ111" s="2" t="str">
        <f>IF(Source!$C111&gt;=COLUMNS($A111:AQ111), Source!$E111, "")</f>
        <v/>
      </c>
      <c r="AR111" s="2" t="str">
        <f>IF(Source!$C111&gt;=COLUMNS($A111:AR111), Source!$E111, "")</f>
        <v/>
      </c>
    </row>
    <row r="112">
      <c r="A112" s="2">
        <f>IF(Source!$C112&gt;=COLUMNS($A112:A112), Source!$E112, "")</f>
        <v>3</v>
      </c>
      <c r="B112" s="2">
        <f>IF(Source!$C112&gt;=COLUMNS($A112:B112), Source!$E112, "")</f>
        <v>3</v>
      </c>
      <c r="C112" s="2" t="str">
        <f>IF(Source!$C112&gt;=COLUMNS($A112:C112), Source!$E112, "")</f>
        <v/>
      </c>
      <c r="D112" s="2" t="str">
        <f>IF(Source!$C112&gt;=COLUMNS($A112:D112), Source!$E112, "")</f>
        <v/>
      </c>
      <c r="E112" s="2" t="str">
        <f>IF(Source!$C112&gt;=COLUMNS($A112:E112), Source!$E112, "")</f>
        <v/>
      </c>
      <c r="F112" s="2" t="str">
        <f>IF(Source!$C112&gt;=COLUMNS($A112:F112), Source!$E112, "")</f>
        <v/>
      </c>
      <c r="G112" s="2" t="str">
        <f>IF(Source!$C112&gt;=COLUMNS($A112:G112), Source!$E112, "")</f>
        <v/>
      </c>
      <c r="H112" s="2" t="str">
        <f>IF(Source!$C112&gt;=COLUMNS($A112:H112), Source!$E112, "")</f>
        <v/>
      </c>
      <c r="I112" s="2" t="str">
        <f>IF(Source!$C112&gt;=COLUMNS($A112:I112), Source!$E112, "")</f>
        <v/>
      </c>
      <c r="J112" s="2" t="str">
        <f>IF(Source!$C112&gt;=COLUMNS($A112:J112), Source!$E112, "")</f>
        <v/>
      </c>
      <c r="K112" s="2" t="str">
        <f>IF(Source!$C112&gt;=COLUMNS($A112:K112), Source!$E112, "")</f>
        <v/>
      </c>
      <c r="L112" s="2" t="str">
        <f>IF(Source!$C112&gt;=COLUMNS($A112:L112), Source!$E112, "")</f>
        <v/>
      </c>
      <c r="M112" s="2" t="str">
        <f>IF(Source!$C112&gt;=COLUMNS($A112:M112), Source!$E112, "")</f>
        <v/>
      </c>
      <c r="N112" s="2" t="str">
        <f>IF(Source!$C112&gt;=COLUMNS($A112:N112), Source!$E112, "")</f>
        <v/>
      </c>
      <c r="O112" s="2" t="str">
        <f>IF(Source!$C112&gt;=COLUMNS($A112:O112), Source!$E112, "")</f>
        <v/>
      </c>
      <c r="P112" s="2" t="str">
        <f>IF(Source!$C112&gt;=COLUMNS($A112:P112), Source!$E112, "")</f>
        <v/>
      </c>
      <c r="Q112" s="2" t="str">
        <f>IF(Source!$C112&gt;=COLUMNS($A112:Q112), Source!$E112, "")</f>
        <v/>
      </c>
      <c r="R112" s="2" t="str">
        <f>IF(Source!$C112&gt;=COLUMNS($A112:R112), Source!$E112, "")</f>
        <v/>
      </c>
      <c r="S112" s="2" t="str">
        <f>IF(Source!$C112&gt;=COLUMNS($A112:S112), Source!$E112, "")</f>
        <v/>
      </c>
      <c r="T112" s="2" t="str">
        <f>IF(Source!$C112&gt;=COLUMNS($A112:T112), Source!$E112, "")</f>
        <v/>
      </c>
      <c r="U112" s="2" t="str">
        <f>IF(Source!$C112&gt;=COLUMNS($A112:U112), Source!$E112, "")</f>
        <v/>
      </c>
      <c r="V112" s="2" t="str">
        <f>IF(Source!$C112&gt;=COLUMNS($A112:V112), Source!$E112, "")</f>
        <v/>
      </c>
      <c r="W112" s="2" t="str">
        <f>IF(Source!$C112&gt;=COLUMNS($A112:W112), Source!$E112, "")</f>
        <v/>
      </c>
      <c r="X112" s="2" t="str">
        <f>IF(Source!$C112&gt;=COLUMNS($A112:X112), Source!$E112, "")</f>
        <v/>
      </c>
      <c r="Y112" s="2" t="str">
        <f>IF(Source!$C112&gt;=COLUMNS($A112:Y112), Source!$E112, "")</f>
        <v/>
      </c>
      <c r="Z112" s="2" t="str">
        <f>IF(Source!$C112&gt;=COLUMNS($A112:Z112), Source!$E112, "")</f>
        <v/>
      </c>
      <c r="AA112" s="2" t="str">
        <f>IF(Source!$C112&gt;=COLUMNS($A112:AA112), Source!$E112, "")</f>
        <v/>
      </c>
      <c r="AB112" s="2" t="str">
        <f>IF(Source!$C112&gt;=COLUMNS($A112:AB112), Source!$E112, "")</f>
        <v/>
      </c>
      <c r="AC112" s="2" t="str">
        <f>IF(Source!$C112&gt;=COLUMNS($A112:AC112), Source!$E112, "")</f>
        <v/>
      </c>
      <c r="AD112" s="2" t="str">
        <f>IF(Source!$C112&gt;=COLUMNS($A112:AD112), Source!$E112, "")</f>
        <v/>
      </c>
      <c r="AE112" s="2" t="str">
        <f>IF(Source!$C112&gt;=COLUMNS($A112:AE112), Source!$E112, "")</f>
        <v/>
      </c>
      <c r="AF112" s="2" t="str">
        <f>IF(Source!$C112&gt;=COLUMNS($A112:AF112), Source!$E112, "")</f>
        <v/>
      </c>
      <c r="AG112" s="2" t="str">
        <f>IF(Source!$C112&gt;=COLUMNS($A112:AG112), Source!$E112, "")</f>
        <v/>
      </c>
      <c r="AH112" s="2" t="str">
        <f>IF(Source!$C112&gt;=COLUMNS($A112:AH112), Source!$E112, "")</f>
        <v/>
      </c>
      <c r="AI112" s="2" t="str">
        <f>IF(Source!$C112&gt;=COLUMNS($A112:AI112), Source!$E112, "")</f>
        <v/>
      </c>
      <c r="AJ112" s="2" t="str">
        <f>IF(Source!$C112&gt;=COLUMNS($A112:AJ112), Source!$E112, "")</f>
        <v/>
      </c>
      <c r="AK112" s="2" t="str">
        <f>IF(Source!$C112&gt;=COLUMNS($A112:AK112), Source!$E112, "")</f>
        <v/>
      </c>
      <c r="AL112" s="2" t="str">
        <f>IF(Source!$C112&gt;=COLUMNS($A112:AL112), Source!$E112, "")</f>
        <v/>
      </c>
      <c r="AM112" s="2" t="str">
        <f>IF(Source!$C112&gt;=COLUMNS($A112:AM112), Source!$E112, "")</f>
        <v/>
      </c>
      <c r="AN112" s="2" t="str">
        <f>IF(Source!$C112&gt;=COLUMNS($A112:AN112), Source!$E112, "")</f>
        <v/>
      </c>
      <c r="AO112" s="2" t="str">
        <f>IF(Source!$C112&gt;=COLUMNS($A112:AO112), Source!$E112, "")</f>
        <v/>
      </c>
      <c r="AP112" s="2" t="str">
        <f>IF(Source!$C112&gt;=COLUMNS($A112:AP112), Source!$E112, "")</f>
        <v/>
      </c>
      <c r="AQ112" s="2" t="str">
        <f>IF(Source!$C112&gt;=COLUMNS($A112:AQ112), Source!$E112, "")</f>
        <v/>
      </c>
      <c r="AR112" s="2" t="str">
        <f>IF(Source!$C112&gt;=COLUMNS($A112:AR112), Source!$E112, "")</f>
        <v/>
      </c>
    </row>
    <row r="113">
      <c r="A113" s="2">
        <f>IF(Source!$C113&gt;=COLUMNS($A113:A113), Source!$E113, "")</f>
        <v>9</v>
      </c>
      <c r="B113" s="2">
        <f>IF(Source!$C113&gt;=COLUMNS($A113:B113), Source!$E113, "")</f>
        <v>9</v>
      </c>
      <c r="C113" s="2">
        <f>IF(Source!$C113&gt;=COLUMNS($A113:C113), Source!$E113, "")</f>
        <v>9</v>
      </c>
      <c r="D113" s="2">
        <f>IF(Source!$C113&gt;=COLUMNS($A113:D113), Source!$E113, "")</f>
        <v>9</v>
      </c>
      <c r="E113" s="2">
        <f>IF(Source!$C113&gt;=COLUMNS($A113:E113), Source!$E113, "")</f>
        <v>9</v>
      </c>
      <c r="F113" s="2">
        <f>IF(Source!$C113&gt;=COLUMNS($A113:F113), Source!$E113, "")</f>
        <v>9</v>
      </c>
      <c r="G113" s="2">
        <f>IF(Source!$C113&gt;=COLUMNS($A113:G113), Source!$E113, "")</f>
        <v>9</v>
      </c>
      <c r="H113" s="2">
        <f>IF(Source!$C113&gt;=COLUMNS($A113:H113), Source!$E113, "")</f>
        <v>9</v>
      </c>
      <c r="I113" s="2" t="str">
        <f>IF(Source!$C113&gt;=COLUMNS($A113:I113), Source!$E113, "")</f>
        <v/>
      </c>
      <c r="J113" s="2" t="str">
        <f>IF(Source!$C113&gt;=COLUMNS($A113:J113), Source!$E113, "")</f>
        <v/>
      </c>
      <c r="K113" s="2" t="str">
        <f>IF(Source!$C113&gt;=COLUMNS($A113:K113), Source!$E113, "")</f>
        <v/>
      </c>
      <c r="L113" s="2" t="str">
        <f>IF(Source!$C113&gt;=COLUMNS($A113:L113), Source!$E113, "")</f>
        <v/>
      </c>
      <c r="M113" s="2" t="str">
        <f>IF(Source!$C113&gt;=COLUMNS($A113:M113), Source!$E113, "")</f>
        <v/>
      </c>
      <c r="N113" s="2" t="str">
        <f>IF(Source!$C113&gt;=COLUMNS($A113:N113), Source!$E113, "")</f>
        <v/>
      </c>
      <c r="O113" s="2" t="str">
        <f>IF(Source!$C113&gt;=COLUMNS($A113:O113), Source!$E113, "")</f>
        <v/>
      </c>
      <c r="P113" s="2" t="str">
        <f>IF(Source!$C113&gt;=COLUMNS($A113:P113), Source!$E113, "")</f>
        <v/>
      </c>
      <c r="Q113" s="2" t="str">
        <f>IF(Source!$C113&gt;=COLUMNS($A113:Q113), Source!$E113, "")</f>
        <v/>
      </c>
      <c r="R113" s="2" t="str">
        <f>IF(Source!$C113&gt;=COLUMNS($A113:R113), Source!$E113, "")</f>
        <v/>
      </c>
      <c r="S113" s="2" t="str">
        <f>IF(Source!$C113&gt;=COLUMNS($A113:S113), Source!$E113, "")</f>
        <v/>
      </c>
      <c r="T113" s="2" t="str">
        <f>IF(Source!$C113&gt;=COLUMNS($A113:T113), Source!$E113, "")</f>
        <v/>
      </c>
      <c r="U113" s="2" t="str">
        <f>IF(Source!$C113&gt;=COLUMNS($A113:U113), Source!$E113, "")</f>
        <v/>
      </c>
      <c r="V113" s="2" t="str">
        <f>IF(Source!$C113&gt;=COLUMNS($A113:V113), Source!$E113, "")</f>
        <v/>
      </c>
      <c r="W113" s="2" t="str">
        <f>IF(Source!$C113&gt;=COLUMNS($A113:W113), Source!$E113, "")</f>
        <v/>
      </c>
      <c r="X113" s="2" t="str">
        <f>IF(Source!$C113&gt;=COLUMNS($A113:X113), Source!$E113, "")</f>
        <v/>
      </c>
      <c r="Y113" s="2" t="str">
        <f>IF(Source!$C113&gt;=COLUMNS($A113:Y113), Source!$E113, "")</f>
        <v/>
      </c>
      <c r="Z113" s="2" t="str">
        <f>IF(Source!$C113&gt;=COLUMNS($A113:Z113), Source!$E113, "")</f>
        <v/>
      </c>
      <c r="AA113" s="2" t="str">
        <f>IF(Source!$C113&gt;=COLUMNS($A113:AA113), Source!$E113, "")</f>
        <v/>
      </c>
      <c r="AB113" s="2" t="str">
        <f>IF(Source!$C113&gt;=COLUMNS($A113:AB113), Source!$E113, "")</f>
        <v/>
      </c>
      <c r="AC113" s="2" t="str">
        <f>IF(Source!$C113&gt;=COLUMNS($A113:AC113), Source!$E113, "")</f>
        <v/>
      </c>
      <c r="AD113" s="2" t="str">
        <f>IF(Source!$C113&gt;=COLUMNS($A113:AD113), Source!$E113, "")</f>
        <v/>
      </c>
      <c r="AE113" s="2" t="str">
        <f>IF(Source!$C113&gt;=COLUMNS($A113:AE113), Source!$E113, "")</f>
        <v/>
      </c>
      <c r="AF113" s="2" t="str">
        <f>IF(Source!$C113&gt;=COLUMNS($A113:AF113), Source!$E113, "")</f>
        <v/>
      </c>
      <c r="AG113" s="2" t="str">
        <f>IF(Source!$C113&gt;=COLUMNS($A113:AG113), Source!$E113, "")</f>
        <v/>
      </c>
      <c r="AH113" s="2" t="str">
        <f>IF(Source!$C113&gt;=COLUMNS($A113:AH113), Source!$E113, "")</f>
        <v/>
      </c>
      <c r="AI113" s="2" t="str">
        <f>IF(Source!$C113&gt;=COLUMNS($A113:AI113), Source!$E113, "")</f>
        <v/>
      </c>
      <c r="AJ113" s="2" t="str">
        <f>IF(Source!$C113&gt;=COLUMNS($A113:AJ113), Source!$E113, "")</f>
        <v/>
      </c>
      <c r="AK113" s="2" t="str">
        <f>IF(Source!$C113&gt;=COLUMNS($A113:AK113), Source!$E113, "")</f>
        <v/>
      </c>
      <c r="AL113" s="2" t="str">
        <f>IF(Source!$C113&gt;=COLUMNS($A113:AL113), Source!$E113, "")</f>
        <v/>
      </c>
      <c r="AM113" s="2" t="str">
        <f>IF(Source!$C113&gt;=COLUMNS($A113:AM113), Source!$E113, "")</f>
        <v/>
      </c>
      <c r="AN113" s="2" t="str">
        <f>IF(Source!$C113&gt;=COLUMNS($A113:AN113), Source!$E113, "")</f>
        <v/>
      </c>
      <c r="AO113" s="2" t="str">
        <f>IF(Source!$C113&gt;=COLUMNS($A113:AO113), Source!$E113, "")</f>
        <v/>
      </c>
      <c r="AP113" s="2" t="str">
        <f>IF(Source!$C113&gt;=COLUMNS($A113:AP113), Source!$E113, "")</f>
        <v/>
      </c>
      <c r="AQ113" s="2" t="str">
        <f>IF(Source!$C113&gt;=COLUMNS($A113:AQ113), Source!$E113, "")</f>
        <v/>
      </c>
      <c r="AR113" s="2" t="str">
        <f>IF(Source!$C113&gt;=COLUMNS($A113:AR113), Source!$E113, "")</f>
        <v/>
      </c>
    </row>
    <row r="114">
      <c r="A114" s="2">
        <f>IF(Source!$C114&gt;=COLUMNS($A114:A114), Source!$E114, "")</f>
        <v>5</v>
      </c>
      <c r="B114" s="2">
        <f>IF(Source!$C114&gt;=COLUMNS($A114:B114), Source!$E114, "")</f>
        <v>5</v>
      </c>
      <c r="C114" s="2">
        <f>IF(Source!$C114&gt;=COLUMNS($A114:C114), Source!$E114, "")</f>
        <v>5</v>
      </c>
      <c r="D114" s="2">
        <f>IF(Source!$C114&gt;=COLUMNS($A114:D114), Source!$E114, "")</f>
        <v>5</v>
      </c>
      <c r="E114" s="2">
        <f>IF(Source!$C114&gt;=COLUMNS($A114:E114), Source!$E114, "")</f>
        <v>5</v>
      </c>
      <c r="F114" s="2">
        <f>IF(Source!$C114&gt;=COLUMNS($A114:F114), Source!$E114, "")</f>
        <v>5</v>
      </c>
      <c r="G114" s="2">
        <f>IF(Source!$C114&gt;=COLUMNS($A114:G114), Source!$E114, "")</f>
        <v>5</v>
      </c>
      <c r="H114" s="2" t="str">
        <f>IF(Source!$C114&gt;=COLUMNS($A114:H114), Source!$E114, "")</f>
        <v/>
      </c>
      <c r="I114" s="2" t="str">
        <f>IF(Source!$C114&gt;=COLUMNS($A114:I114), Source!$E114, "")</f>
        <v/>
      </c>
      <c r="J114" s="2" t="str">
        <f>IF(Source!$C114&gt;=COLUMNS($A114:J114), Source!$E114, "")</f>
        <v/>
      </c>
      <c r="K114" s="2" t="str">
        <f>IF(Source!$C114&gt;=COLUMNS($A114:K114), Source!$E114, "")</f>
        <v/>
      </c>
      <c r="L114" s="2" t="str">
        <f>IF(Source!$C114&gt;=COLUMNS($A114:L114), Source!$E114, "")</f>
        <v/>
      </c>
      <c r="M114" s="2" t="str">
        <f>IF(Source!$C114&gt;=COLUMNS($A114:M114), Source!$E114, "")</f>
        <v/>
      </c>
      <c r="N114" s="2" t="str">
        <f>IF(Source!$C114&gt;=COLUMNS($A114:N114), Source!$E114, "")</f>
        <v/>
      </c>
      <c r="O114" s="2" t="str">
        <f>IF(Source!$C114&gt;=COLUMNS($A114:O114), Source!$E114, "")</f>
        <v/>
      </c>
      <c r="P114" s="2" t="str">
        <f>IF(Source!$C114&gt;=COLUMNS($A114:P114), Source!$E114, "")</f>
        <v/>
      </c>
      <c r="Q114" s="2" t="str">
        <f>IF(Source!$C114&gt;=COLUMNS($A114:Q114), Source!$E114, "")</f>
        <v/>
      </c>
      <c r="R114" s="2" t="str">
        <f>IF(Source!$C114&gt;=COLUMNS($A114:R114), Source!$E114, "")</f>
        <v/>
      </c>
      <c r="S114" s="2" t="str">
        <f>IF(Source!$C114&gt;=COLUMNS($A114:S114), Source!$E114, "")</f>
        <v/>
      </c>
      <c r="T114" s="2" t="str">
        <f>IF(Source!$C114&gt;=COLUMNS($A114:T114), Source!$E114, "")</f>
        <v/>
      </c>
      <c r="U114" s="2" t="str">
        <f>IF(Source!$C114&gt;=COLUMNS($A114:U114), Source!$E114, "")</f>
        <v/>
      </c>
      <c r="V114" s="2" t="str">
        <f>IF(Source!$C114&gt;=COLUMNS($A114:V114), Source!$E114, "")</f>
        <v/>
      </c>
      <c r="W114" s="2" t="str">
        <f>IF(Source!$C114&gt;=COLUMNS($A114:W114), Source!$E114, "")</f>
        <v/>
      </c>
      <c r="X114" s="2" t="str">
        <f>IF(Source!$C114&gt;=COLUMNS($A114:X114), Source!$E114, "")</f>
        <v/>
      </c>
      <c r="Y114" s="2" t="str">
        <f>IF(Source!$C114&gt;=COLUMNS($A114:Y114), Source!$E114, "")</f>
        <v/>
      </c>
      <c r="Z114" s="2" t="str">
        <f>IF(Source!$C114&gt;=COLUMNS($A114:Z114), Source!$E114, "")</f>
        <v/>
      </c>
      <c r="AA114" s="2" t="str">
        <f>IF(Source!$C114&gt;=COLUMNS($A114:AA114), Source!$E114, "")</f>
        <v/>
      </c>
      <c r="AB114" s="2" t="str">
        <f>IF(Source!$C114&gt;=COLUMNS($A114:AB114), Source!$E114, "")</f>
        <v/>
      </c>
      <c r="AC114" s="2" t="str">
        <f>IF(Source!$C114&gt;=COLUMNS($A114:AC114), Source!$E114, "")</f>
        <v/>
      </c>
      <c r="AD114" s="2" t="str">
        <f>IF(Source!$C114&gt;=COLUMNS($A114:AD114), Source!$E114, "")</f>
        <v/>
      </c>
      <c r="AE114" s="2" t="str">
        <f>IF(Source!$C114&gt;=COLUMNS($A114:AE114), Source!$E114, "")</f>
        <v/>
      </c>
      <c r="AF114" s="2" t="str">
        <f>IF(Source!$C114&gt;=COLUMNS($A114:AF114), Source!$E114, "")</f>
        <v/>
      </c>
      <c r="AG114" s="2" t="str">
        <f>IF(Source!$C114&gt;=COLUMNS($A114:AG114), Source!$E114, "")</f>
        <v/>
      </c>
      <c r="AH114" s="2" t="str">
        <f>IF(Source!$C114&gt;=COLUMNS($A114:AH114), Source!$E114, "")</f>
        <v/>
      </c>
      <c r="AI114" s="2" t="str">
        <f>IF(Source!$C114&gt;=COLUMNS($A114:AI114), Source!$E114, "")</f>
        <v/>
      </c>
      <c r="AJ114" s="2" t="str">
        <f>IF(Source!$C114&gt;=COLUMNS($A114:AJ114), Source!$E114, "")</f>
        <v/>
      </c>
      <c r="AK114" s="2" t="str">
        <f>IF(Source!$C114&gt;=COLUMNS($A114:AK114), Source!$E114, "")</f>
        <v/>
      </c>
      <c r="AL114" s="2" t="str">
        <f>IF(Source!$C114&gt;=COLUMNS($A114:AL114), Source!$E114, "")</f>
        <v/>
      </c>
      <c r="AM114" s="2" t="str">
        <f>IF(Source!$C114&gt;=COLUMNS($A114:AM114), Source!$E114, "")</f>
        <v/>
      </c>
      <c r="AN114" s="2" t="str">
        <f>IF(Source!$C114&gt;=COLUMNS($A114:AN114), Source!$E114, "")</f>
        <v/>
      </c>
      <c r="AO114" s="2" t="str">
        <f>IF(Source!$C114&gt;=COLUMNS($A114:AO114), Source!$E114, "")</f>
        <v/>
      </c>
      <c r="AP114" s="2" t="str">
        <f>IF(Source!$C114&gt;=COLUMNS($A114:AP114), Source!$E114, "")</f>
        <v/>
      </c>
      <c r="AQ114" s="2" t="str">
        <f>IF(Source!$C114&gt;=COLUMNS($A114:AQ114), Source!$E114, "")</f>
        <v/>
      </c>
      <c r="AR114" s="2" t="str">
        <f>IF(Source!$C114&gt;=COLUMNS($A114:AR114), Source!$E114, "")</f>
        <v/>
      </c>
    </row>
    <row r="115">
      <c r="A115" s="2">
        <f>IF(Source!$C115&gt;=COLUMNS($A115:A115), Source!$E115, "")</f>
        <v>4</v>
      </c>
      <c r="B115" s="2">
        <f>IF(Source!$C115&gt;=COLUMNS($A115:B115), Source!$E115, "")</f>
        <v>4</v>
      </c>
      <c r="C115" s="2">
        <f>IF(Source!$C115&gt;=COLUMNS($A115:C115), Source!$E115, "")</f>
        <v>4</v>
      </c>
      <c r="D115" s="2">
        <f>IF(Source!$C115&gt;=COLUMNS($A115:D115), Source!$E115, "")</f>
        <v>4</v>
      </c>
      <c r="E115" s="2">
        <f>IF(Source!$C115&gt;=COLUMNS($A115:E115), Source!$E115, "")</f>
        <v>4</v>
      </c>
      <c r="F115" s="2" t="str">
        <f>IF(Source!$C115&gt;=COLUMNS($A115:F115), Source!$E115, "")</f>
        <v/>
      </c>
      <c r="G115" s="2" t="str">
        <f>IF(Source!$C115&gt;=COLUMNS($A115:G115), Source!$E115, "")</f>
        <v/>
      </c>
      <c r="H115" s="2" t="str">
        <f>IF(Source!$C115&gt;=COLUMNS($A115:H115), Source!$E115, "")</f>
        <v/>
      </c>
      <c r="I115" s="2" t="str">
        <f>IF(Source!$C115&gt;=COLUMNS($A115:I115), Source!$E115, "")</f>
        <v/>
      </c>
      <c r="J115" s="2" t="str">
        <f>IF(Source!$C115&gt;=COLUMNS($A115:J115), Source!$E115, "")</f>
        <v/>
      </c>
      <c r="K115" s="2" t="str">
        <f>IF(Source!$C115&gt;=COLUMNS($A115:K115), Source!$E115, "")</f>
        <v/>
      </c>
      <c r="L115" s="2" t="str">
        <f>IF(Source!$C115&gt;=COLUMNS($A115:L115), Source!$E115, "")</f>
        <v/>
      </c>
      <c r="M115" s="2" t="str">
        <f>IF(Source!$C115&gt;=COLUMNS($A115:M115), Source!$E115, "")</f>
        <v/>
      </c>
      <c r="N115" s="2" t="str">
        <f>IF(Source!$C115&gt;=COLUMNS($A115:N115), Source!$E115, "")</f>
        <v/>
      </c>
      <c r="O115" s="2" t="str">
        <f>IF(Source!$C115&gt;=COLUMNS($A115:O115), Source!$E115, "")</f>
        <v/>
      </c>
      <c r="P115" s="2" t="str">
        <f>IF(Source!$C115&gt;=COLUMNS($A115:P115), Source!$E115, "")</f>
        <v/>
      </c>
      <c r="Q115" s="2" t="str">
        <f>IF(Source!$C115&gt;=COLUMNS($A115:Q115), Source!$E115, "")</f>
        <v/>
      </c>
      <c r="R115" s="2" t="str">
        <f>IF(Source!$C115&gt;=COLUMNS($A115:R115), Source!$E115, "")</f>
        <v/>
      </c>
      <c r="S115" s="2" t="str">
        <f>IF(Source!$C115&gt;=COLUMNS($A115:S115), Source!$E115, "")</f>
        <v/>
      </c>
      <c r="T115" s="2" t="str">
        <f>IF(Source!$C115&gt;=COLUMNS($A115:T115), Source!$E115, "")</f>
        <v/>
      </c>
      <c r="U115" s="2" t="str">
        <f>IF(Source!$C115&gt;=COLUMNS($A115:U115), Source!$E115, "")</f>
        <v/>
      </c>
      <c r="V115" s="2" t="str">
        <f>IF(Source!$C115&gt;=COLUMNS($A115:V115), Source!$E115, "")</f>
        <v/>
      </c>
      <c r="W115" s="2" t="str">
        <f>IF(Source!$C115&gt;=COLUMNS($A115:W115), Source!$E115, "")</f>
        <v/>
      </c>
      <c r="X115" s="2" t="str">
        <f>IF(Source!$C115&gt;=COLUMNS($A115:X115), Source!$E115, "")</f>
        <v/>
      </c>
      <c r="Y115" s="2" t="str">
        <f>IF(Source!$C115&gt;=COLUMNS($A115:Y115), Source!$E115, "")</f>
        <v/>
      </c>
      <c r="Z115" s="2" t="str">
        <f>IF(Source!$C115&gt;=COLUMNS($A115:Z115), Source!$E115, "")</f>
        <v/>
      </c>
      <c r="AA115" s="2" t="str">
        <f>IF(Source!$C115&gt;=COLUMNS($A115:AA115), Source!$E115, "")</f>
        <v/>
      </c>
      <c r="AB115" s="2" t="str">
        <f>IF(Source!$C115&gt;=COLUMNS($A115:AB115), Source!$E115, "")</f>
        <v/>
      </c>
      <c r="AC115" s="2" t="str">
        <f>IF(Source!$C115&gt;=COLUMNS($A115:AC115), Source!$E115, "")</f>
        <v/>
      </c>
      <c r="AD115" s="2" t="str">
        <f>IF(Source!$C115&gt;=COLUMNS($A115:AD115), Source!$E115, "")</f>
        <v/>
      </c>
      <c r="AE115" s="2" t="str">
        <f>IF(Source!$C115&gt;=COLUMNS($A115:AE115), Source!$E115, "")</f>
        <v/>
      </c>
      <c r="AF115" s="2" t="str">
        <f>IF(Source!$C115&gt;=COLUMNS($A115:AF115), Source!$E115, "")</f>
        <v/>
      </c>
      <c r="AG115" s="2" t="str">
        <f>IF(Source!$C115&gt;=COLUMNS($A115:AG115), Source!$E115, "")</f>
        <v/>
      </c>
      <c r="AH115" s="2" t="str">
        <f>IF(Source!$C115&gt;=COLUMNS($A115:AH115), Source!$E115, "")</f>
        <v/>
      </c>
      <c r="AI115" s="2" t="str">
        <f>IF(Source!$C115&gt;=COLUMNS($A115:AI115), Source!$E115, "")</f>
        <v/>
      </c>
      <c r="AJ115" s="2" t="str">
        <f>IF(Source!$C115&gt;=COLUMNS($A115:AJ115), Source!$E115, "")</f>
        <v/>
      </c>
      <c r="AK115" s="2" t="str">
        <f>IF(Source!$C115&gt;=COLUMNS($A115:AK115), Source!$E115, "")</f>
        <v/>
      </c>
      <c r="AL115" s="2" t="str">
        <f>IF(Source!$C115&gt;=COLUMNS($A115:AL115), Source!$E115, "")</f>
        <v/>
      </c>
      <c r="AM115" s="2" t="str">
        <f>IF(Source!$C115&gt;=COLUMNS($A115:AM115), Source!$E115, "")</f>
        <v/>
      </c>
      <c r="AN115" s="2" t="str">
        <f>IF(Source!$C115&gt;=COLUMNS($A115:AN115), Source!$E115, "")</f>
        <v/>
      </c>
      <c r="AO115" s="2" t="str">
        <f>IF(Source!$C115&gt;=COLUMNS($A115:AO115), Source!$E115, "")</f>
        <v/>
      </c>
      <c r="AP115" s="2" t="str">
        <f>IF(Source!$C115&gt;=COLUMNS($A115:AP115), Source!$E115, "")</f>
        <v/>
      </c>
      <c r="AQ115" s="2" t="str">
        <f>IF(Source!$C115&gt;=COLUMNS($A115:AQ115), Source!$E115, "")</f>
        <v/>
      </c>
      <c r="AR115" s="2" t="str">
        <f>IF(Source!$C115&gt;=COLUMNS($A115:AR115), Source!$E115, "")</f>
        <v/>
      </c>
    </row>
    <row r="116">
      <c r="A116" s="2">
        <f>IF(Source!$C116&gt;=COLUMNS($A116:A116), Source!$E116, "")</f>
        <v>1</v>
      </c>
      <c r="B116" s="2">
        <f>IF(Source!$C116&gt;=COLUMNS($A116:B116), Source!$E116, "")</f>
        <v>1</v>
      </c>
      <c r="C116" s="2">
        <f>IF(Source!$C116&gt;=COLUMNS($A116:C116), Source!$E116, "")</f>
        <v>1</v>
      </c>
      <c r="D116" s="2">
        <f>IF(Source!$C116&gt;=COLUMNS($A116:D116), Source!$E116, "")</f>
        <v>1</v>
      </c>
      <c r="E116" s="2" t="str">
        <f>IF(Source!$C116&gt;=COLUMNS($A116:E116), Source!$E116, "")</f>
        <v/>
      </c>
      <c r="F116" s="2" t="str">
        <f>IF(Source!$C116&gt;=COLUMNS($A116:F116), Source!$E116, "")</f>
        <v/>
      </c>
      <c r="G116" s="2" t="str">
        <f>IF(Source!$C116&gt;=COLUMNS($A116:G116), Source!$E116, "")</f>
        <v/>
      </c>
      <c r="H116" s="2" t="str">
        <f>IF(Source!$C116&gt;=COLUMNS($A116:H116), Source!$E116, "")</f>
        <v/>
      </c>
      <c r="I116" s="2" t="str">
        <f>IF(Source!$C116&gt;=COLUMNS($A116:I116), Source!$E116, "")</f>
        <v/>
      </c>
      <c r="J116" s="2" t="str">
        <f>IF(Source!$C116&gt;=COLUMNS($A116:J116), Source!$E116, "")</f>
        <v/>
      </c>
      <c r="K116" s="2" t="str">
        <f>IF(Source!$C116&gt;=COLUMNS($A116:K116), Source!$E116, "")</f>
        <v/>
      </c>
      <c r="L116" s="2" t="str">
        <f>IF(Source!$C116&gt;=COLUMNS($A116:L116), Source!$E116, "")</f>
        <v/>
      </c>
      <c r="M116" s="2" t="str">
        <f>IF(Source!$C116&gt;=COLUMNS($A116:M116), Source!$E116, "")</f>
        <v/>
      </c>
      <c r="N116" s="2" t="str">
        <f>IF(Source!$C116&gt;=COLUMNS($A116:N116), Source!$E116, "")</f>
        <v/>
      </c>
      <c r="O116" s="2" t="str">
        <f>IF(Source!$C116&gt;=COLUMNS($A116:O116), Source!$E116, "")</f>
        <v/>
      </c>
      <c r="P116" s="2" t="str">
        <f>IF(Source!$C116&gt;=COLUMNS($A116:P116), Source!$E116, "")</f>
        <v/>
      </c>
      <c r="Q116" s="2" t="str">
        <f>IF(Source!$C116&gt;=COLUMNS($A116:Q116), Source!$E116, "")</f>
        <v/>
      </c>
      <c r="R116" s="2" t="str">
        <f>IF(Source!$C116&gt;=COLUMNS($A116:R116), Source!$E116, "")</f>
        <v/>
      </c>
      <c r="S116" s="2" t="str">
        <f>IF(Source!$C116&gt;=COLUMNS($A116:S116), Source!$E116, "")</f>
        <v/>
      </c>
      <c r="T116" s="2" t="str">
        <f>IF(Source!$C116&gt;=COLUMNS($A116:T116), Source!$E116, "")</f>
        <v/>
      </c>
      <c r="U116" s="2" t="str">
        <f>IF(Source!$C116&gt;=COLUMNS($A116:U116), Source!$E116, "")</f>
        <v/>
      </c>
      <c r="V116" s="2" t="str">
        <f>IF(Source!$C116&gt;=COLUMNS($A116:V116), Source!$E116, "")</f>
        <v/>
      </c>
      <c r="W116" s="2" t="str">
        <f>IF(Source!$C116&gt;=COLUMNS($A116:W116), Source!$E116, "")</f>
        <v/>
      </c>
      <c r="X116" s="2" t="str">
        <f>IF(Source!$C116&gt;=COLUMNS($A116:X116), Source!$E116, "")</f>
        <v/>
      </c>
      <c r="Y116" s="2" t="str">
        <f>IF(Source!$C116&gt;=COLUMNS($A116:Y116), Source!$E116, "")</f>
        <v/>
      </c>
      <c r="Z116" s="2" t="str">
        <f>IF(Source!$C116&gt;=COLUMNS($A116:Z116), Source!$E116, "")</f>
        <v/>
      </c>
      <c r="AA116" s="2" t="str">
        <f>IF(Source!$C116&gt;=COLUMNS($A116:AA116), Source!$E116, "")</f>
        <v/>
      </c>
      <c r="AB116" s="2" t="str">
        <f>IF(Source!$C116&gt;=COLUMNS($A116:AB116), Source!$E116, "")</f>
        <v/>
      </c>
      <c r="AC116" s="2" t="str">
        <f>IF(Source!$C116&gt;=COLUMNS($A116:AC116), Source!$E116, "")</f>
        <v/>
      </c>
      <c r="AD116" s="2" t="str">
        <f>IF(Source!$C116&gt;=COLUMNS($A116:AD116), Source!$E116, "")</f>
        <v/>
      </c>
      <c r="AE116" s="2" t="str">
        <f>IF(Source!$C116&gt;=COLUMNS($A116:AE116), Source!$E116, "")</f>
        <v/>
      </c>
      <c r="AF116" s="2" t="str">
        <f>IF(Source!$C116&gt;=COLUMNS($A116:AF116), Source!$E116, "")</f>
        <v/>
      </c>
      <c r="AG116" s="2" t="str">
        <f>IF(Source!$C116&gt;=COLUMNS($A116:AG116), Source!$E116, "")</f>
        <v/>
      </c>
      <c r="AH116" s="2" t="str">
        <f>IF(Source!$C116&gt;=COLUMNS($A116:AH116), Source!$E116, "")</f>
        <v/>
      </c>
      <c r="AI116" s="2" t="str">
        <f>IF(Source!$C116&gt;=COLUMNS($A116:AI116), Source!$E116, "")</f>
        <v/>
      </c>
      <c r="AJ116" s="2" t="str">
        <f>IF(Source!$C116&gt;=COLUMNS($A116:AJ116), Source!$E116, "")</f>
        <v/>
      </c>
      <c r="AK116" s="2" t="str">
        <f>IF(Source!$C116&gt;=COLUMNS($A116:AK116), Source!$E116, "")</f>
        <v/>
      </c>
      <c r="AL116" s="2" t="str">
        <f>IF(Source!$C116&gt;=COLUMNS($A116:AL116), Source!$E116, "")</f>
        <v/>
      </c>
      <c r="AM116" s="2" t="str">
        <f>IF(Source!$C116&gt;=COLUMNS($A116:AM116), Source!$E116, "")</f>
        <v/>
      </c>
      <c r="AN116" s="2" t="str">
        <f>IF(Source!$C116&gt;=COLUMNS($A116:AN116), Source!$E116, "")</f>
        <v/>
      </c>
      <c r="AO116" s="2" t="str">
        <f>IF(Source!$C116&gt;=COLUMNS($A116:AO116), Source!$E116, "")</f>
        <v/>
      </c>
      <c r="AP116" s="2" t="str">
        <f>IF(Source!$C116&gt;=COLUMNS($A116:AP116), Source!$E116, "")</f>
        <v/>
      </c>
      <c r="AQ116" s="2" t="str">
        <f>IF(Source!$C116&gt;=COLUMNS($A116:AQ116), Source!$E116, "")</f>
        <v/>
      </c>
      <c r="AR116" s="2" t="str">
        <f>IF(Source!$C116&gt;=COLUMNS($A116:AR116), Source!$E116, "")</f>
        <v/>
      </c>
    </row>
    <row r="117">
      <c r="A117" s="2">
        <f>IF(Source!$C117&gt;=COLUMNS($A117:A117), Source!$E117, "")</f>
        <v>1</v>
      </c>
      <c r="B117" s="2" t="str">
        <f>IF(Source!$C117&gt;=COLUMNS($A117:B117), Source!$E117, "")</f>
        <v/>
      </c>
      <c r="C117" s="2" t="str">
        <f>IF(Source!$C117&gt;=COLUMNS($A117:C117), Source!$E117, "")</f>
        <v/>
      </c>
      <c r="D117" s="2" t="str">
        <f>IF(Source!$C117&gt;=COLUMNS($A117:D117), Source!$E117, "")</f>
        <v/>
      </c>
      <c r="E117" s="2" t="str">
        <f>IF(Source!$C117&gt;=COLUMNS($A117:E117), Source!$E117, "")</f>
        <v/>
      </c>
      <c r="F117" s="2" t="str">
        <f>IF(Source!$C117&gt;=COLUMNS($A117:F117), Source!$E117, "")</f>
        <v/>
      </c>
      <c r="G117" s="2" t="str">
        <f>IF(Source!$C117&gt;=COLUMNS($A117:G117), Source!$E117, "")</f>
        <v/>
      </c>
      <c r="H117" s="2" t="str">
        <f>IF(Source!$C117&gt;=COLUMNS($A117:H117), Source!$E117, "")</f>
        <v/>
      </c>
      <c r="I117" s="2" t="str">
        <f>IF(Source!$C117&gt;=COLUMNS($A117:I117), Source!$E117, "")</f>
        <v/>
      </c>
      <c r="J117" s="2" t="str">
        <f>IF(Source!$C117&gt;=COLUMNS($A117:J117), Source!$E117, "")</f>
        <v/>
      </c>
      <c r="K117" s="2" t="str">
        <f>IF(Source!$C117&gt;=COLUMNS($A117:K117), Source!$E117, "")</f>
        <v/>
      </c>
      <c r="L117" s="2" t="str">
        <f>IF(Source!$C117&gt;=COLUMNS($A117:L117), Source!$E117, "")</f>
        <v/>
      </c>
      <c r="M117" s="2" t="str">
        <f>IF(Source!$C117&gt;=COLUMNS($A117:M117), Source!$E117, "")</f>
        <v/>
      </c>
      <c r="N117" s="2" t="str">
        <f>IF(Source!$C117&gt;=COLUMNS($A117:N117), Source!$E117, "")</f>
        <v/>
      </c>
      <c r="O117" s="2" t="str">
        <f>IF(Source!$C117&gt;=COLUMNS($A117:O117), Source!$E117, "")</f>
        <v/>
      </c>
      <c r="P117" s="2" t="str">
        <f>IF(Source!$C117&gt;=COLUMNS($A117:P117), Source!$E117, "")</f>
        <v/>
      </c>
      <c r="Q117" s="2" t="str">
        <f>IF(Source!$C117&gt;=COLUMNS($A117:Q117), Source!$E117, "")</f>
        <v/>
      </c>
      <c r="R117" s="2" t="str">
        <f>IF(Source!$C117&gt;=COLUMNS($A117:R117), Source!$E117, "")</f>
        <v/>
      </c>
      <c r="S117" s="2" t="str">
        <f>IF(Source!$C117&gt;=COLUMNS($A117:S117), Source!$E117, "")</f>
        <v/>
      </c>
      <c r="T117" s="2" t="str">
        <f>IF(Source!$C117&gt;=COLUMNS($A117:T117), Source!$E117, "")</f>
        <v/>
      </c>
      <c r="U117" s="2" t="str">
        <f>IF(Source!$C117&gt;=COLUMNS($A117:U117), Source!$E117, "")</f>
        <v/>
      </c>
      <c r="V117" s="2" t="str">
        <f>IF(Source!$C117&gt;=COLUMNS($A117:V117), Source!$E117, "")</f>
        <v/>
      </c>
      <c r="W117" s="2" t="str">
        <f>IF(Source!$C117&gt;=COLUMNS($A117:W117), Source!$E117, "")</f>
        <v/>
      </c>
      <c r="X117" s="2" t="str">
        <f>IF(Source!$C117&gt;=COLUMNS($A117:X117), Source!$E117, "")</f>
        <v/>
      </c>
      <c r="Y117" s="2" t="str">
        <f>IF(Source!$C117&gt;=COLUMNS($A117:Y117), Source!$E117, "")</f>
        <v/>
      </c>
      <c r="Z117" s="2" t="str">
        <f>IF(Source!$C117&gt;=COLUMNS($A117:Z117), Source!$E117, "")</f>
        <v/>
      </c>
      <c r="AA117" s="2" t="str">
        <f>IF(Source!$C117&gt;=COLUMNS($A117:AA117), Source!$E117, "")</f>
        <v/>
      </c>
      <c r="AB117" s="2" t="str">
        <f>IF(Source!$C117&gt;=COLUMNS($A117:AB117), Source!$E117, "")</f>
        <v/>
      </c>
      <c r="AC117" s="2" t="str">
        <f>IF(Source!$C117&gt;=COLUMNS($A117:AC117), Source!$E117, "")</f>
        <v/>
      </c>
      <c r="AD117" s="2" t="str">
        <f>IF(Source!$C117&gt;=COLUMNS($A117:AD117), Source!$E117, "")</f>
        <v/>
      </c>
      <c r="AE117" s="2" t="str">
        <f>IF(Source!$C117&gt;=COLUMNS($A117:AE117), Source!$E117, "")</f>
        <v/>
      </c>
      <c r="AF117" s="2" t="str">
        <f>IF(Source!$C117&gt;=COLUMNS($A117:AF117), Source!$E117, "")</f>
        <v/>
      </c>
      <c r="AG117" s="2" t="str">
        <f>IF(Source!$C117&gt;=COLUMNS($A117:AG117), Source!$E117, "")</f>
        <v/>
      </c>
      <c r="AH117" s="2" t="str">
        <f>IF(Source!$C117&gt;=COLUMNS($A117:AH117), Source!$E117, "")</f>
        <v/>
      </c>
      <c r="AI117" s="2" t="str">
        <f>IF(Source!$C117&gt;=COLUMNS($A117:AI117), Source!$E117, "")</f>
        <v/>
      </c>
      <c r="AJ117" s="2" t="str">
        <f>IF(Source!$C117&gt;=COLUMNS($A117:AJ117), Source!$E117, "")</f>
        <v/>
      </c>
      <c r="AK117" s="2" t="str">
        <f>IF(Source!$C117&gt;=COLUMNS($A117:AK117), Source!$E117, "")</f>
        <v/>
      </c>
      <c r="AL117" s="2" t="str">
        <f>IF(Source!$C117&gt;=COLUMNS($A117:AL117), Source!$E117, "")</f>
        <v/>
      </c>
      <c r="AM117" s="2" t="str">
        <f>IF(Source!$C117&gt;=COLUMNS($A117:AM117), Source!$E117, "")</f>
        <v/>
      </c>
      <c r="AN117" s="2" t="str">
        <f>IF(Source!$C117&gt;=COLUMNS($A117:AN117), Source!$E117, "")</f>
        <v/>
      </c>
      <c r="AO117" s="2" t="str">
        <f>IF(Source!$C117&gt;=COLUMNS($A117:AO117), Source!$E117, "")</f>
        <v/>
      </c>
      <c r="AP117" s="2" t="str">
        <f>IF(Source!$C117&gt;=COLUMNS($A117:AP117), Source!$E117, "")</f>
        <v/>
      </c>
      <c r="AQ117" s="2" t="str">
        <f>IF(Source!$C117&gt;=COLUMNS($A117:AQ117), Source!$E117, "")</f>
        <v/>
      </c>
      <c r="AR117" s="2" t="str">
        <f>IF(Source!$C117&gt;=COLUMNS($A117:AR117), Source!$E117, "")</f>
        <v/>
      </c>
    </row>
    <row r="118">
      <c r="A118" s="2">
        <f>IF(Source!$C118&gt;=COLUMNS($A118:A118), Source!$E118, "")</f>
        <v>6</v>
      </c>
      <c r="B118" s="2">
        <f>IF(Source!$C118&gt;=COLUMNS($A118:B118), Source!$E118, "")</f>
        <v>6</v>
      </c>
      <c r="C118" s="2">
        <f>IF(Source!$C118&gt;=COLUMNS($A118:C118), Source!$E118, "")</f>
        <v>6</v>
      </c>
      <c r="D118" s="2">
        <f>IF(Source!$C118&gt;=COLUMNS($A118:D118), Source!$E118, "")</f>
        <v>6</v>
      </c>
      <c r="E118" s="2">
        <f>IF(Source!$C118&gt;=COLUMNS($A118:E118), Source!$E118, "")</f>
        <v>6</v>
      </c>
      <c r="F118" s="2">
        <f>IF(Source!$C118&gt;=COLUMNS($A118:F118), Source!$E118, "")</f>
        <v>6</v>
      </c>
      <c r="G118" s="2" t="str">
        <f>IF(Source!$C118&gt;=COLUMNS($A118:G118), Source!$E118, "")</f>
        <v/>
      </c>
      <c r="H118" s="2" t="str">
        <f>IF(Source!$C118&gt;=COLUMNS($A118:H118), Source!$E118, "")</f>
        <v/>
      </c>
      <c r="I118" s="2" t="str">
        <f>IF(Source!$C118&gt;=COLUMNS($A118:I118), Source!$E118, "")</f>
        <v/>
      </c>
      <c r="J118" s="2" t="str">
        <f>IF(Source!$C118&gt;=COLUMNS($A118:J118), Source!$E118, "")</f>
        <v/>
      </c>
      <c r="K118" s="2" t="str">
        <f>IF(Source!$C118&gt;=COLUMNS($A118:K118), Source!$E118, "")</f>
        <v/>
      </c>
      <c r="L118" s="2" t="str">
        <f>IF(Source!$C118&gt;=COLUMNS($A118:L118), Source!$E118, "")</f>
        <v/>
      </c>
      <c r="M118" s="2" t="str">
        <f>IF(Source!$C118&gt;=COLUMNS($A118:M118), Source!$E118, "")</f>
        <v/>
      </c>
      <c r="N118" s="2" t="str">
        <f>IF(Source!$C118&gt;=COLUMNS($A118:N118), Source!$E118, "")</f>
        <v/>
      </c>
      <c r="O118" s="2" t="str">
        <f>IF(Source!$C118&gt;=COLUMNS($A118:O118), Source!$E118, "")</f>
        <v/>
      </c>
      <c r="P118" s="2" t="str">
        <f>IF(Source!$C118&gt;=COLUMNS($A118:P118), Source!$E118, "")</f>
        <v/>
      </c>
      <c r="Q118" s="2" t="str">
        <f>IF(Source!$C118&gt;=COLUMNS($A118:Q118), Source!$E118, "")</f>
        <v/>
      </c>
      <c r="R118" s="2" t="str">
        <f>IF(Source!$C118&gt;=COLUMNS($A118:R118), Source!$E118, "")</f>
        <v/>
      </c>
      <c r="S118" s="2" t="str">
        <f>IF(Source!$C118&gt;=COLUMNS($A118:S118), Source!$E118, "")</f>
        <v/>
      </c>
      <c r="T118" s="2" t="str">
        <f>IF(Source!$C118&gt;=COLUMNS($A118:T118), Source!$E118, "")</f>
        <v/>
      </c>
      <c r="U118" s="2" t="str">
        <f>IF(Source!$C118&gt;=COLUMNS($A118:U118), Source!$E118, "")</f>
        <v/>
      </c>
      <c r="V118" s="2" t="str">
        <f>IF(Source!$C118&gt;=COLUMNS($A118:V118), Source!$E118, "")</f>
        <v/>
      </c>
      <c r="W118" s="2" t="str">
        <f>IF(Source!$C118&gt;=COLUMNS($A118:W118), Source!$E118, "")</f>
        <v/>
      </c>
      <c r="X118" s="2" t="str">
        <f>IF(Source!$C118&gt;=COLUMNS($A118:X118), Source!$E118, "")</f>
        <v/>
      </c>
      <c r="Y118" s="2" t="str">
        <f>IF(Source!$C118&gt;=COLUMNS($A118:Y118), Source!$E118, "")</f>
        <v/>
      </c>
      <c r="Z118" s="2" t="str">
        <f>IF(Source!$C118&gt;=COLUMNS($A118:Z118), Source!$E118, "")</f>
        <v/>
      </c>
      <c r="AA118" s="2" t="str">
        <f>IF(Source!$C118&gt;=COLUMNS($A118:AA118), Source!$E118, "")</f>
        <v/>
      </c>
      <c r="AB118" s="2" t="str">
        <f>IF(Source!$C118&gt;=COLUMNS($A118:AB118), Source!$E118, "")</f>
        <v/>
      </c>
      <c r="AC118" s="2" t="str">
        <f>IF(Source!$C118&gt;=COLUMNS($A118:AC118), Source!$E118, "")</f>
        <v/>
      </c>
      <c r="AD118" s="2" t="str">
        <f>IF(Source!$C118&gt;=COLUMNS($A118:AD118), Source!$E118, "")</f>
        <v/>
      </c>
      <c r="AE118" s="2" t="str">
        <f>IF(Source!$C118&gt;=COLUMNS($A118:AE118), Source!$E118, "")</f>
        <v/>
      </c>
      <c r="AF118" s="2" t="str">
        <f>IF(Source!$C118&gt;=COLUMNS($A118:AF118), Source!$E118, "")</f>
        <v/>
      </c>
      <c r="AG118" s="2" t="str">
        <f>IF(Source!$C118&gt;=COLUMNS($A118:AG118), Source!$E118, "")</f>
        <v/>
      </c>
      <c r="AH118" s="2" t="str">
        <f>IF(Source!$C118&gt;=COLUMNS($A118:AH118), Source!$E118, "")</f>
        <v/>
      </c>
      <c r="AI118" s="2" t="str">
        <f>IF(Source!$C118&gt;=COLUMNS($A118:AI118), Source!$E118, "")</f>
        <v/>
      </c>
      <c r="AJ118" s="2" t="str">
        <f>IF(Source!$C118&gt;=COLUMNS($A118:AJ118), Source!$E118, "")</f>
        <v/>
      </c>
      <c r="AK118" s="2" t="str">
        <f>IF(Source!$C118&gt;=COLUMNS($A118:AK118), Source!$E118, "")</f>
        <v/>
      </c>
      <c r="AL118" s="2" t="str">
        <f>IF(Source!$C118&gt;=COLUMNS($A118:AL118), Source!$E118, "")</f>
        <v/>
      </c>
      <c r="AM118" s="2" t="str">
        <f>IF(Source!$C118&gt;=COLUMNS($A118:AM118), Source!$E118, "")</f>
        <v/>
      </c>
      <c r="AN118" s="2" t="str">
        <f>IF(Source!$C118&gt;=COLUMNS($A118:AN118), Source!$E118, "")</f>
        <v/>
      </c>
      <c r="AO118" s="2" t="str">
        <f>IF(Source!$C118&gt;=COLUMNS($A118:AO118), Source!$E118, "")</f>
        <v/>
      </c>
      <c r="AP118" s="2" t="str">
        <f>IF(Source!$C118&gt;=COLUMNS($A118:AP118), Source!$E118, "")</f>
        <v/>
      </c>
      <c r="AQ118" s="2" t="str">
        <f>IF(Source!$C118&gt;=COLUMNS($A118:AQ118), Source!$E118, "")</f>
        <v/>
      </c>
      <c r="AR118" s="2" t="str">
        <f>IF(Source!$C118&gt;=COLUMNS($A118:AR118), Source!$E118, "")</f>
        <v/>
      </c>
    </row>
    <row r="119">
      <c r="A119" s="2">
        <f>IF(Source!$C119&gt;=COLUMNS($A119:A119), Source!$E119, "")</f>
        <v>8</v>
      </c>
      <c r="B119" s="2">
        <f>IF(Source!$C119&gt;=COLUMNS($A119:B119), Source!$E119, "")</f>
        <v>8</v>
      </c>
      <c r="C119" s="2" t="str">
        <f>IF(Source!$C119&gt;=COLUMNS($A119:C119), Source!$E119, "")</f>
        <v/>
      </c>
      <c r="D119" s="2" t="str">
        <f>IF(Source!$C119&gt;=COLUMNS($A119:D119), Source!$E119, "")</f>
        <v/>
      </c>
      <c r="E119" s="2" t="str">
        <f>IF(Source!$C119&gt;=COLUMNS($A119:E119), Source!$E119, "")</f>
        <v/>
      </c>
      <c r="F119" s="2" t="str">
        <f>IF(Source!$C119&gt;=COLUMNS($A119:F119), Source!$E119, "")</f>
        <v/>
      </c>
      <c r="G119" s="2" t="str">
        <f>IF(Source!$C119&gt;=COLUMNS($A119:G119), Source!$E119, "")</f>
        <v/>
      </c>
      <c r="H119" s="2" t="str">
        <f>IF(Source!$C119&gt;=COLUMNS($A119:H119), Source!$E119, "")</f>
        <v/>
      </c>
      <c r="I119" s="2" t="str">
        <f>IF(Source!$C119&gt;=COLUMNS($A119:I119), Source!$E119, "")</f>
        <v/>
      </c>
      <c r="J119" s="2" t="str">
        <f>IF(Source!$C119&gt;=COLUMNS($A119:J119), Source!$E119, "")</f>
        <v/>
      </c>
      <c r="K119" s="2" t="str">
        <f>IF(Source!$C119&gt;=COLUMNS($A119:K119), Source!$E119, "")</f>
        <v/>
      </c>
      <c r="L119" s="2" t="str">
        <f>IF(Source!$C119&gt;=COLUMNS($A119:L119), Source!$E119, "")</f>
        <v/>
      </c>
      <c r="M119" s="2" t="str">
        <f>IF(Source!$C119&gt;=COLUMNS($A119:M119), Source!$E119, "")</f>
        <v/>
      </c>
      <c r="N119" s="2" t="str">
        <f>IF(Source!$C119&gt;=COLUMNS($A119:N119), Source!$E119, "")</f>
        <v/>
      </c>
      <c r="O119" s="2" t="str">
        <f>IF(Source!$C119&gt;=COLUMNS($A119:O119), Source!$E119, "")</f>
        <v/>
      </c>
      <c r="P119" s="2" t="str">
        <f>IF(Source!$C119&gt;=COLUMNS($A119:P119), Source!$E119, "")</f>
        <v/>
      </c>
      <c r="Q119" s="2" t="str">
        <f>IF(Source!$C119&gt;=COLUMNS($A119:Q119), Source!$E119, "")</f>
        <v/>
      </c>
      <c r="R119" s="2" t="str">
        <f>IF(Source!$C119&gt;=COLUMNS($A119:R119), Source!$E119, "")</f>
        <v/>
      </c>
      <c r="S119" s="2" t="str">
        <f>IF(Source!$C119&gt;=COLUMNS($A119:S119), Source!$E119, "")</f>
        <v/>
      </c>
      <c r="T119" s="2" t="str">
        <f>IF(Source!$C119&gt;=COLUMNS($A119:T119), Source!$E119, "")</f>
        <v/>
      </c>
      <c r="U119" s="2" t="str">
        <f>IF(Source!$C119&gt;=COLUMNS($A119:U119), Source!$E119, "")</f>
        <v/>
      </c>
      <c r="V119" s="2" t="str">
        <f>IF(Source!$C119&gt;=COLUMNS($A119:V119), Source!$E119, "")</f>
        <v/>
      </c>
      <c r="W119" s="2" t="str">
        <f>IF(Source!$C119&gt;=COLUMNS($A119:W119), Source!$E119, "")</f>
        <v/>
      </c>
      <c r="X119" s="2" t="str">
        <f>IF(Source!$C119&gt;=COLUMNS($A119:X119), Source!$E119, "")</f>
        <v/>
      </c>
      <c r="Y119" s="2" t="str">
        <f>IF(Source!$C119&gt;=COLUMNS($A119:Y119), Source!$E119, "")</f>
        <v/>
      </c>
      <c r="Z119" s="2" t="str">
        <f>IF(Source!$C119&gt;=COLUMNS($A119:Z119), Source!$E119, "")</f>
        <v/>
      </c>
      <c r="AA119" s="2" t="str">
        <f>IF(Source!$C119&gt;=COLUMNS($A119:AA119), Source!$E119, "")</f>
        <v/>
      </c>
      <c r="AB119" s="2" t="str">
        <f>IF(Source!$C119&gt;=COLUMNS($A119:AB119), Source!$E119, "")</f>
        <v/>
      </c>
      <c r="AC119" s="2" t="str">
        <f>IF(Source!$C119&gt;=COLUMNS($A119:AC119), Source!$E119, "")</f>
        <v/>
      </c>
      <c r="AD119" s="2" t="str">
        <f>IF(Source!$C119&gt;=COLUMNS($A119:AD119), Source!$E119, "")</f>
        <v/>
      </c>
      <c r="AE119" s="2" t="str">
        <f>IF(Source!$C119&gt;=COLUMNS($A119:AE119), Source!$E119, "")</f>
        <v/>
      </c>
      <c r="AF119" s="2" t="str">
        <f>IF(Source!$C119&gt;=COLUMNS($A119:AF119), Source!$E119, "")</f>
        <v/>
      </c>
      <c r="AG119" s="2" t="str">
        <f>IF(Source!$C119&gt;=COLUMNS($A119:AG119), Source!$E119, "")</f>
        <v/>
      </c>
      <c r="AH119" s="2" t="str">
        <f>IF(Source!$C119&gt;=COLUMNS($A119:AH119), Source!$E119, "")</f>
        <v/>
      </c>
      <c r="AI119" s="2" t="str">
        <f>IF(Source!$C119&gt;=COLUMNS($A119:AI119), Source!$E119, "")</f>
        <v/>
      </c>
      <c r="AJ119" s="2" t="str">
        <f>IF(Source!$C119&gt;=COLUMNS($A119:AJ119), Source!$E119, "")</f>
        <v/>
      </c>
      <c r="AK119" s="2" t="str">
        <f>IF(Source!$C119&gt;=COLUMNS($A119:AK119), Source!$E119, "")</f>
        <v/>
      </c>
      <c r="AL119" s="2" t="str">
        <f>IF(Source!$C119&gt;=COLUMNS($A119:AL119), Source!$E119, "")</f>
        <v/>
      </c>
      <c r="AM119" s="2" t="str">
        <f>IF(Source!$C119&gt;=COLUMNS($A119:AM119), Source!$E119, "")</f>
        <v/>
      </c>
      <c r="AN119" s="2" t="str">
        <f>IF(Source!$C119&gt;=COLUMNS($A119:AN119), Source!$E119, "")</f>
        <v/>
      </c>
      <c r="AO119" s="2" t="str">
        <f>IF(Source!$C119&gt;=COLUMNS($A119:AO119), Source!$E119, "")</f>
        <v/>
      </c>
      <c r="AP119" s="2" t="str">
        <f>IF(Source!$C119&gt;=COLUMNS($A119:AP119), Source!$E119, "")</f>
        <v/>
      </c>
      <c r="AQ119" s="2" t="str">
        <f>IF(Source!$C119&gt;=COLUMNS($A119:AQ119), Source!$E119, "")</f>
        <v/>
      </c>
      <c r="AR119" s="2" t="str">
        <f>IF(Source!$C119&gt;=COLUMNS($A119:AR119), Source!$E119, "")</f>
        <v/>
      </c>
    </row>
    <row r="120">
      <c r="A120" s="2">
        <f>IF(Source!$C120&gt;=COLUMNS($A120:A120), Source!$E120, "")</f>
        <v>8</v>
      </c>
      <c r="B120" s="2">
        <f>IF(Source!$C120&gt;=COLUMNS($A120:B120), Source!$E120, "")</f>
        <v>8</v>
      </c>
      <c r="C120" s="2">
        <f>IF(Source!$C120&gt;=COLUMNS($A120:C120), Source!$E120, "")</f>
        <v>8</v>
      </c>
      <c r="D120" s="2">
        <f>IF(Source!$C120&gt;=COLUMNS($A120:D120), Source!$E120, "")</f>
        <v>8</v>
      </c>
      <c r="E120" s="2">
        <f>IF(Source!$C120&gt;=COLUMNS($A120:E120), Source!$E120, "")</f>
        <v>8</v>
      </c>
      <c r="F120" s="2">
        <f>IF(Source!$C120&gt;=COLUMNS($A120:F120), Source!$E120, "")</f>
        <v>8</v>
      </c>
      <c r="G120" s="2">
        <f>IF(Source!$C120&gt;=COLUMNS($A120:G120), Source!$E120, "")</f>
        <v>8</v>
      </c>
      <c r="H120" s="2">
        <f>IF(Source!$C120&gt;=COLUMNS($A120:H120), Source!$E120, "")</f>
        <v>8</v>
      </c>
      <c r="I120" s="2">
        <f>IF(Source!$C120&gt;=COLUMNS($A120:I120), Source!$E120, "")</f>
        <v>8</v>
      </c>
      <c r="J120" s="2">
        <f>IF(Source!$C120&gt;=COLUMNS($A120:J120), Source!$E120, "")</f>
        <v>8</v>
      </c>
      <c r="K120" s="2">
        <f>IF(Source!$C120&gt;=COLUMNS($A120:K120), Source!$E120, "")</f>
        <v>8</v>
      </c>
      <c r="L120" s="2">
        <f>IF(Source!$C120&gt;=COLUMNS($A120:L120), Source!$E120, "")</f>
        <v>8</v>
      </c>
      <c r="M120" s="2">
        <f>IF(Source!$C120&gt;=COLUMNS($A120:M120), Source!$E120, "")</f>
        <v>8</v>
      </c>
      <c r="N120" s="2">
        <f>IF(Source!$C120&gt;=COLUMNS($A120:N120), Source!$E120, "")</f>
        <v>8</v>
      </c>
      <c r="O120" s="2">
        <f>IF(Source!$C120&gt;=COLUMNS($A120:O120), Source!$E120, "")</f>
        <v>8</v>
      </c>
      <c r="P120" s="2">
        <f>IF(Source!$C120&gt;=COLUMNS($A120:P120), Source!$E120, "")</f>
        <v>8</v>
      </c>
      <c r="Q120" s="2">
        <f>IF(Source!$C120&gt;=COLUMNS($A120:Q120), Source!$E120, "")</f>
        <v>8</v>
      </c>
      <c r="R120" s="2" t="str">
        <f>IF(Source!$C120&gt;=COLUMNS($A120:R120), Source!$E120, "")</f>
        <v/>
      </c>
      <c r="S120" s="2" t="str">
        <f>IF(Source!$C120&gt;=COLUMNS($A120:S120), Source!$E120, "")</f>
        <v/>
      </c>
      <c r="T120" s="2" t="str">
        <f>IF(Source!$C120&gt;=COLUMNS($A120:T120), Source!$E120, "")</f>
        <v/>
      </c>
      <c r="U120" s="2" t="str">
        <f>IF(Source!$C120&gt;=COLUMNS($A120:U120), Source!$E120, "")</f>
        <v/>
      </c>
      <c r="V120" s="2" t="str">
        <f>IF(Source!$C120&gt;=COLUMNS($A120:V120), Source!$E120, "")</f>
        <v/>
      </c>
      <c r="W120" s="2" t="str">
        <f>IF(Source!$C120&gt;=COLUMNS($A120:W120), Source!$E120, "")</f>
        <v/>
      </c>
      <c r="X120" s="2" t="str">
        <f>IF(Source!$C120&gt;=COLUMNS($A120:X120), Source!$E120, "")</f>
        <v/>
      </c>
      <c r="Y120" s="2" t="str">
        <f>IF(Source!$C120&gt;=COLUMNS($A120:Y120), Source!$E120, "")</f>
        <v/>
      </c>
      <c r="Z120" s="2" t="str">
        <f>IF(Source!$C120&gt;=COLUMNS($A120:Z120), Source!$E120, "")</f>
        <v/>
      </c>
      <c r="AA120" s="2" t="str">
        <f>IF(Source!$C120&gt;=COLUMNS($A120:AA120), Source!$E120, "")</f>
        <v/>
      </c>
      <c r="AB120" s="2" t="str">
        <f>IF(Source!$C120&gt;=COLUMNS($A120:AB120), Source!$E120, "")</f>
        <v/>
      </c>
      <c r="AC120" s="2" t="str">
        <f>IF(Source!$C120&gt;=COLUMNS($A120:AC120), Source!$E120, "")</f>
        <v/>
      </c>
      <c r="AD120" s="2" t="str">
        <f>IF(Source!$C120&gt;=COLUMNS($A120:AD120), Source!$E120, "")</f>
        <v/>
      </c>
      <c r="AE120" s="2" t="str">
        <f>IF(Source!$C120&gt;=COLUMNS($A120:AE120), Source!$E120, "")</f>
        <v/>
      </c>
      <c r="AF120" s="2" t="str">
        <f>IF(Source!$C120&gt;=COLUMNS($A120:AF120), Source!$E120, "")</f>
        <v/>
      </c>
      <c r="AG120" s="2" t="str">
        <f>IF(Source!$C120&gt;=COLUMNS($A120:AG120), Source!$E120, "")</f>
        <v/>
      </c>
      <c r="AH120" s="2" t="str">
        <f>IF(Source!$C120&gt;=COLUMNS($A120:AH120), Source!$E120, "")</f>
        <v/>
      </c>
      <c r="AI120" s="2" t="str">
        <f>IF(Source!$C120&gt;=COLUMNS($A120:AI120), Source!$E120, "")</f>
        <v/>
      </c>
      <c r="AJ120" s="2" t="str">
        <f>IF(Source!$C120&gt;=COLUMNS($A120:AJ120), Source!$E120, "")</f>
        <v/>
      </c>
      <c r="AK120" s="2" t="str">
        <f>IF(Source!$C120&gt;=COLUMNS($A120:AK120), Source!$E120, "")</f>
        <v/>
      </c>
      <c r="AL120" s="2" t="str">
        <f>IF(Source!$C120&gt;=COLUMNS($A120:AL120), Source!$E120, "")</f>
        <v/>
      </c>
      <c r="AM120" s="2" t="str">
        <f>IF(Source!$C120&gt;=COLUMNS($A120:AM120), Source!$E120, "")</f>
        <v/>
      </c>
      <c r="AN120" s="2" t="str">
        <f>IF(Source!$C120&gt;=COLUMNS($A120:AN120), Source!$E120, "")</f>
        <v/>
      </c>
      <c r="AO120" s="2" t="str">
        <f>IF(Source!$C120&gt;=COLUMNS($A120:AO120), Source!$E120, "")</f>
        <v/>
      </c>
      <c r="AP120" s="2" t="str">
        <f>IF(Source!$C120&gt;=COLUMNS($A120:AP120), Source!$E120, "")</f>
        <v/>
      </c>
      <c r="AQ120" s="2" t="str">
        <f>IF(Source!$C120&gt;=COLUMNS($A120:AQ120), Source!$E120, "")</f>
        <v/>
      </c>
      <c r="AR120" s="2" t="str">
        <f>IF(Source!$C120&gt;=COLUMNS($A120:AR120), Source!$E120, "")</f>
        <v/>
      </c>
    </row>
    <row r="121">
      <c r="A121" s="2">
        <f>IF(Source!$C121&gt;=COLUMNS($A121:A121), Source!$E121, "")</f>
        <v>4</v>
      </c>
      <c r="B121" s="2">
        <f>IF(Source!$C121&gt;=COLUMNS($A121:B121), Source!$E121, "")</f>
        <v>4</v>
      </c>
      <c r="C121" s="2" t="str">
        <f>IF(Source!$C121&gt;=COLUMNS($A121:C121), Source!$E121, "")</f>
        <v/>
      </c>
      <c r="D121" s="2" t="str">
        <f>IF(Source!$C121&gt;=COLUMNS($A121:D121), Source!$E121, "")</f>
        <v/>
      </c>
      <c r="E121" s="2" t="str">
        <f>IF(Source!$C121&gt;=COLUMNS($A121:E121), Source!$E121, "")</f>
        <v/>
      </c>
      <c r="F121" s="2" t="str">
        <f>IF(Source!$C121&gt;=COLUMNS($A121:F121), Source!$E121, "")</f>
        <v/>
      </c>
      <c r="G121" s="2" t="str">
        <f>IF(Source!$C121&gt;=COLUMNS($A121:G121), Source!$E121, "")</f>
        <v/>
      </c>
      <c r="H121" s="2" t="str">
        <f>IF(Source!$C121&gt;=COLUMNS($A121:H121), Source!$E121, "")</f>
        <v/>
      </c>
      <c r="I121" s="2" t="str">
        <f>IF(Source!$C121&gt;=COLUMNS($A121:I121), Source!$E121, "")</f>
        <v/>
      </c>
      <c r="J121" s="2" t="str">
        <f>IF(Source!$C121&gt;=COLUMNS($A121:J121), Source!$E121, "")</f>
        <v/>
      </c>
      <c r="K121" s="2" t="str">
        <f>IF(Source!$C121&gt;=COLUMNS($A121:K121), Source!$E121, "")</f>
        <v/>
      </c>
      <c r="L121" s="2" t="str">
        <f>IF(Source!$C121&gt;=COLUMNS($A121:L121), Source!$E121, "")</f>
        <v/>
      </c>
      <c r="M121" s="2" t="str">
        <f>IF(Source!$C121&gt;=COLUMNS($A121:M121), Source!$E121, "")</f>
        <v/>
      </c>
      <c r="N121" s="2" t="str">
        <f>IF(Source!$C121&gt;=COLUMNS($A121:N121), Source!$E121, "")</f>
        <v/>
      </c>
      <c r="O121" s="2" t="str">
        <f>IF(Source!$C121&gt;=COLUMNS($A121:O121), Source!$E121, "")</f>
        <v/>
      </c>
      <c r="P121" s="2" t="str">
        <f>IF(Source!$C121&gt;=COLUMNS($A121:P121), Source!$E121, "")</f>
        <v/>
      </c>
      <c r="Q121" s="2" t="str">
        <f>IF(Source!$C121&gt;=COLUMNS($A121:Q121), Source!$E121, "")</f>
        <v/>
      </c>
      <c r="R121" s="2" t="str">
        <f>IF(Source!$C121&gt;=COLUMNS($A121:R121), Source!$E121, "")</f>
        <v/>
      </c>
      <c r="S121" s="2" t="str">
        <f>IF(Source!$C121&gt;=COLUMNS($A121:S121), Source!$E121, "")</f>
        <v/>
      </c>
      <c r="T121" s="2" t="str">
        <f>IF(Source!$C121&gt;=COLUMNS($A121:T121), Source!$E121, "")</f>
        <v/>
      </c>
      <c r="U121" s="2" t="str">
        <f>IF(Source!$C121&gt;=COLUMNS($A121:U121), Source!$E121, "")</f>
        <v/>
      </c>
      <c r="V121" s="2" t="str">
        <f>IF(Source!$C121&gt;=COLUMNS($A121:V121), Source!$E121, "")</f>
        <v/>
      </c>
      <c r="W121" s="2" t="str">
        <f>IF(Source!$C121&gt;=COLUMNS($A121:W121), Source!$E121, "")</f>
        <v/>
      </c>
      <c r="X121" s="2" t="str">
        <f>IF(Source!$C121&gt;=COLUMNS($A121:X121), Source!$E121, "")</f>
        <v/>
      </c>
      <c r="Y121" s="2" t="str">
        <f>IF(Source!$C121&gt;=COLUMNS($A121:Y121), Source!$E121, "")</f>
        <v/>
      </c>
      <c r="Z121" s="2" t="str">
        <f>IF(Source!$C121&gt;=COLUMNS($A121:Z121), Source!$E121, "")</f>
        <v/>
      </c>
      <c r="AA121" s="2" t="str">
        <f>IF(Source!$C121&gt;=COLUMNS($A121:AA121), Source!$E121, "")</f>
        <v/>
      </c>
      <c r="AB121" s="2" t="str">
        <f>IF(Source!$C121&gt;=COLUMNS($A121:AB121), Source!$E121, "")</f>
        <v/>
      </c>
      <c r="AC121" s="2" t="str">
        <f>IF(Source!$C121&gt;=COLUMNS($A121:AC121), Source!$E121, "")</f>
        <v/>
      </c>
      <c r="AD121" s="2" t="str">
        <f>IF(Source!$C121&gt;=COLUMNS($A121:AD121), Source!$E121, "")</f>
        <v/>
      </c>
      <c r="AE121" s="2" t="str">
        <f>IF(Source!$C121&gt;=COLUMNS($A121:AE121), Source!$E121, "")</f>
        <v/>
      </c>
      <c r="AF121" s="2" t="str">
        <f>IF(Source!$C121&gt;=COLUMNS($A121:AF121), Source!$E121, "")</f>
        <v/>
      </c>
      <c r="AG121" s="2" t="str">
        <f>IF(Source!$C121&gt;=COLUMNS($A121:AG121), Source!$E121, "")</f>
        <v/>
      </c>
      <c r="AH121" s="2" t="str">
        <f>IF(Source!$C121&gt;=COLUMNS($A121:AH121), Source!$E121, "")</f>
        <v/>
      </c>
      <c r="AI121" s="2" t="str">
        <f>IF(Source!$C121&gt;=COLUMNS($A121:AI121), Source!$E121, "")</f>
        <v/>
      </c>
      <c r="AJ121" s="2" t="str">
        <f>IF(Source!$C121&gt;=COLUMNS($A121:AJ121), Source!$E121, "")</f>
        <v/>
      </c>
      <c r="AK121" s="2" t="str">
        <f>IF(Source!$C121&gt;=COLUMNS($A121:AK121), Source!$E121, "")</f>
        <v/>
      </c>
      <c r="AL121" s="2" t="str">
        <f>IF(Source!$C121&gt;=COLUMNS($A121:AL121), Source!$E121, "")</f>
        <v/>
      </c>
      <c r="AM121" s="2" t="str">
        <f>IF(Source!$C121&gt;=COLUMNS($A121:AM121), Source!$E121, "")</f>
        <v/>
      </c>
      <c r="AN121" s="2" t="str">
        <f>IF(Source!$C121&gt;=COLUMNS($A121:AN121), Source!$E121, "")</f>
        <v/>
      </c>
      <c r="AO121" s="2" t="str">
        <f>IF(Source!$C121&gt;=COLUMNS($A121:AO121), Source!$E121, "")</f>
        <v/>
      </c>
      <c r="AP121" s="2" t="str">
        <f>IF(Source!$C121&gt;=COLUMNS($A121:AP121), Source!$E121, "")</f>
        <v/>
      </c>
      <c r="AQ121" s="2" t="str">
        <f>IF(Source!$C121&gt;=COLUMNS($A121:AQ121), Source!$E121, "")</f>
        <v/>
      </c>
      <c r="AR121" s="2" t="str">
        <f>IF(Source!$C121&gt;=COLUMNS($A121:AR121), Source!$E121, "")</f>
        <v/>
      </c>
    </row>
    <row r="122">
      <c r="A122" s="2">
        <f>IF(Source!$C122&gt;=COLUMNS($A122:A122), Source!$E122, "")</f>
        <v>6</v>
      </c>
      <c r="B122" s="2">
        <f>IF(Source!$C122&gt;=COLUMNS($A122:B122), Source!$E122, "")</f>
        <v>6</v>
      </c>
      <c r="C122" s="2">
        <f>IF(Source!$C122&gt;=COLUMNS($A122:C122), Source!$E122, "")</f>
        <v>6</v>
      </c>
      <c r="D122" s="2">
        <f>IF(Source!$C122&gt;=COLUMNS($A122:D122), Source!$E122, "")</f>
        <v>6</v>
      </c>
      <c r="E122" s="2">
        <f>IF(Source!$C122&gt;=COLUMNS($A122:E122), Source!$E122, "")</f>
        <v>6</v>
      </c>
      <c r="F122" s="2">
        <f>IF(Source!$C122&gt;=COLUMNS($A122:F122), Source!$E122, "")</f>
        <v>6</v>
      </c>
      <c r="G122" s="2">
        <f>IF(Source!$C122&gt;=COLUMNS($A122:G122), Source!$E122, "")</f>
        <v>6</v>
      </c>
      <c r="H122" s="2">
        <f>IF(Source!$C122&gt;=COLUMNS($A122:H122), Source!$E122, "")</f>
        <v>6</v>
      </c>
      <c r="I122" s="2">
        <f>IF(Source!$C122&gt;=COLUMNS($A122:I122), Source!$E122, "")</f>
        <v>6</v>
      </c>
      <c r="J122" s="2">
        <f>IF(Source!$C122&gt;=COLUMNS($A122:J122), Source!$E122, "")</f>
        <v>6</v>
      </c>
      <c r="K122" s="2">
        <f>IF(Source!$C122&gt;=COLUMNS($A122:K122), Source!$E122, "")</f>
        <v>6</v>
      </c>
      <c r="L122" s="2">
        <f>IF(Source!$C122&gt;=COLUMNS($A122:L122), Source!$E122, "")</f>
        <v>6</v>
      </c>
      <c r="M122" s="2">
        <f>IF(Source!$C122&gt;=COLUMNS($A122:M122), Source!$E122, "")</f>
        <v>6</v>
      </c>
      <c r="N122" s="2">
        <f>IF(Source!$C122&gt;=COLUMNS($A122:N122), Source!$E122, "")</f>
        <v>6</v>
      </c>
      <c r="O122" s="2">
        <f>IF(Source!$C122&gt;=COLUMNS($A122:O122), Source!$E122, "")</f>
        <v>6</v>
      </c>
      <c r="P122" s="2">
        <f>IF(Source!$C122&gt;=COLUMNS($A122:P122), Source!$E122, "")</f>
        <v>6</v>
      </c>
      <c r="Q122" s="2">
        <f>IF(Source!$C122&gt;=COLUMNS($A122:Q122), Source!$E122, "")</f>
        <v>6</v>
      </c>
      <c r="R122" s="2" t="str">
        <f>IF(Source!$C122&gt;=COLUMNS($A122:R122), Source!$E122, "")</f>
        <v/>
      </c>
      <c r="S122" s="2" t="str">
        <f>IF(Source!$C122&gt;=COLUMNS($A122:S122), Source!$E122, "")</f>
        <v/>
      </c>
      <c r="T122" s="2" t="str">
        <f>IF(Source!$C122&gt;=COLUMNS($A122:T122), Source!$E122, "")</f>
        <v/>
      </c>
      <c r="U122" s="2" t="str">
        <f>IF(Source!$C122&gt;=COLUMNS($A122:U122), Source!$E122, "")</f>
        <v/>
      </c>
      <c r="V122" s="2" t="str">
        <f>IF(Source!$C122&gt;=COLUMNS($A122:V122), Source!$E122, "")</f>
        <v/>
      </c>
      <c r="W122" s="2" t="str">
        <f>IF(Source!$C122&gt;=COLUMNS($A122:W122), Source!$E122, "")</f>
        <v/>
      </c>
      <c r="X122" s="2" t="str">
        <f>IF(Source!$C122&gt;=COLUMNS($A122:X122), Source!$E122, "")</f>
        <v/>
      </c>
      <c r="Y122" s="2" t="str">
        <f>IF(Source!$C122&gt;=COLUMNS($A122:Y122), Source!$E122, "")</f>
        <v/>
      </c>
      <c r="Z122" s="2" t="str">
        <f>IF(Source!$C122&gt;=COLUMNS($A122:Z122), Source!$E122, "")</f>
        <v/>
      </c>
      <c r="AA122" s="2" t="str">
        <f>IF(Source!$C122&gt;=COLUMNS($A122:AA122), Source!$E122, "")</f>
        <v/>
      </c>
      <c r="AB122" s="2" t="str">
        <f>IF(Source!$C122&gt;=COLUMNS($A122:AB122), Source!$E122, "")</f>
        <v/>
      </c>
      <c r="AC122" s="2" t="str">
        <f>IF(Source!$C122&gt;=COLUMNS($A122:AC122), Source!$E122, "")</f>
        <v/>
      </c>
      <c r="AD122" s="2" t="str">
        <f>IF(Source!$C122&gt;=COLUMNS($A122:AD122), Source!$E122, "")</f>
        <v/>
      </c>
      <c r="AE122" s="2" t="str">
        <f>IF(Source!$C122&gt;=COLUMNS($A122:AE122), Source!$E122, "")</f>
        <v/>
      </c>
      <c r="AF122" s="2" t="str">
        <f>IF(Source!$C122&gt;=COLUMNS($A122:AF122), Source!$E122, "")</f>
        <v/>
      </c>
      <c r="AG122" s="2" t="str">
        <f>IF(Source!$C122&gt;=COLUMNS($A122:AG122), Source!$E122, "")</f>
        <v/>
      </c>
      <c r="AH122" s="2" t="str">
        <f>IF(Source!$C122&gt;=COLUMNS($A122:AH122), Source!$E122, "")</f>
        <v/>
      </c>
      <c r="AI122" s="2" t="str">
        <f>IF(Source!$C122&gt;=COLUMNS($A122:AI122), Source!$E122, "")</f>
        <v/>
      </c>
      <c r="AJ122" s="2" t="str">
        <f>IF(Source!$C122&gt;=COLUMNS($A122:AJ122), Source!$E122, "")</f>
        <v/>
      </c>
      <c r="AK122" s="2" t="str">
        <f>IF(Source!$C122&gt;=COLUMNS($A122:AK122), Source!$E122, "")</f>
        <v/>
      </c>
      <c r="AL122" s="2" t="str">
        <f>IF(Source!$C122&gt;=COLUMNS($A122:AL122), Source!$E122, "")</f>
        <v/>
      </c>
      <c r="AM122" s="2" t="str">
        <f>IF(Source!$C122&gt;=COLUMNS($A122:AM122), Source!$E122, "")</f>
        <v/>
      </c>
      <c r="AN122" s="2" t="str">
        <f>IF(Source!$C122&gt;=COLUMNS($A122:AN122), Source!$E122, "")</f>
        <v/>
      </c>
      <c r="AO122" s="2" t="str">
        <f>IF(Source!$C122&gt;=COLUMNS($A122:AO122), Source!$E122, "")</f>
        <v/>
      </c>
      <c r="AP122" s="2" t="str">
        <f>IF(Source!$C122&gt;=COLUMNS($A122:AP122), Source!$E122, "")</f>
        <v/>
      </c>
      <c r="AQ122" s="2" t="str">
        <f>IF(Source!$C122&gt;=COLUMNS($A122:AQ122), Source!$E122, "")</f>
        <v/>
      </c>
      <c r="AR122" s="2" t="str">
        <f>IF(Source!$C122&gt;=COLUMNS($A122:AR122), Source!$E122, "")</f>
        <v/>
      </c>
    </row>
    <row r="123">
      <c r="A123" s="2">
        <f>IF(Source!$C123&gt;=COLUMNS($A123:A123), Source!$E123, "")</f>
        <v>9</v>
      </c>
      <c r="B123" s="2">
        <f>IF(Source!$C123&gt;=COLUMNS($A123:B123), Source!$E123, "")</f>
        <v>9</v>
      </c>
      <c r="C123" s="2">
        <f>IF(Source!$C123&gt;=COLUMNS($A123:C123), Source!$E123, "")</f>
        <v>9</v>
      </c>
      <c r="D123" s="2">
        <f>IF(Source!$C123&gt;=COLUMNS($A123:D123), Source!$E123, "")</f>
        <v>9</v>
      </c>
      <c r="E123" s="2">
        <f>IF(Source!$C123&gt;=COLUMNS($A123:E123), Source!$E123, "")</f>
        <v>9</v>
      </c>
      <c r="F123" s="2">
        <f>IF(Source!$C123&gt;=COLUMNS($A123:F123), Source!$E123, "")</f>
        <v>9</v>
      </c>
      <c r="G123" s="2">
        <f>IF(Source!$C123&gt;=COLUMNS($A123:G123), Source!$E123, "")</f>
        <v>9</v>
      </c>
      <c r="H123" s="2">
        <f>IF(Source!$C123&gt;=COLUMNS($A123:H123), Source!$E123, "")</f>
        <v>9</v>
      </c>
      <c r="I123" s="2">
        <f>IF(Source!$C123&gt;=COLUMNS($A123:I123), Source!$E123, "")</f>
        <v>9</v>
      </c>
      <c r="J123" s="2">
        <f>IF(Source!$C123&gt;=COLUMNS($A123:J123), Source!$E123, "")</f>
        <v>9</v>
      </c>
      <c r="K123" s="2">
        <f>IF(Source!$C123&gt;=COLUMNS($A123:K123), Source!$E123, "")</f>
        <v>9</v>
      </c>
      <c r="L123" s="2">
        <f>IF(Source!$C123&gt;=COLUMNS($A123:L123), Source!$E123, "")</f>
        <v>9</v>
      </c>
      <c r="M123" s="2">
        <f>IF(Source!$C123&gt;=COLUMNS($A123:M123), Source!$E123, "")</f>
        <v>9</v>
      </c>
      <c r="N123" s="2">
        <f>IF(Source!$C123&gt;=COLUMNS($A123:N123), Source!$E123, "")</f>
        <v>9</v>
      </c>
      <c r="O123" s="2">
        <f>IF(Source!$C123&gt;=COLUMNS($A123:O123), Source!$E123, "")</f>
        <v>9</v>
      </c>
      <c r="P123" s="2">
        <f>IF(Source!$C123&gt;=COLUMNS($A123:P123), Source!$E123, "")</f>
        <v>9</v>
      </c>
      <c r="Q123" s="2">
        <f>IF(Source!$C123&gt;=COLUMNS($A123:Q123), Source!$E123, "")</f>
        <v>9</v>
      </c>
      <c r="R123" s="2">
        <f>IF(Source!$C123&gt;=COLUMNS($A123:R123), Source!$E123, "")</f>
        <v>9</v>
      </c>
      <c r="S123" s="2">
        <f>IF(Source!$C123&gt;=COLUMNS($A123:S123), Source!$E123, "")</f>
        <v>9</v>
      </c>
      <c r="T123" s="2">
        <f>IF(Source!$C123&gt;=COLUMNS($A123:T123), Source!$E123, "")</f>
        <v>9</v>
      </c>
      <c r="U123" s="2">
        <f>IF(Source!$C123&gt;=COLUMNS($A123:U123), Source!$E123, "")</f>
        <v>9</v>
      </c>
      <c r="V123" s="2">
        <f>IF(Source!$C123&gt;=COLUMNS($A123:V123), Source!$E123, "")</f>
        <v>9</v>
      </c>
      <c r="W123" s="2" t="str">
        <f>IF(Source!$C123&gt;=COLUMNS($A123:W123), Source!$E123, "")</f>
        <v/>
      </c>
      <c r="X123" s="2" t="str">
        <f>IF(Source!$C123&gt;=COLUMNS($A123:X123), Source!$E123, "")</f>
        <v/>
      </c>
      <c r="Y123" s="2" t="str">
        <f>IF(Source!$C123&gt;=COLUMNS($A123:Y123), Source!$E123, "")</f>
        <v/>
      </c>
      <c r="Z123" s="2" t="str">
        <f>IF(Source!$C123&gt;=COLUMNS($A123:Z123), Source!$E123, "")</f>
        <v/>
      </c>
      <c r="AA123" s="2" t="str">
        <f>IF(Source!$C123&gt;=COLUMNS($A123:AA123), Source!$E123, "")</f>
        <v/>
      </c>
      <c r="AB123" s="2" t="str">
        <f>IF(Source!$C123&gt;=COLUMNS($A123:AB123), Source!$E123, "")</f>
        <v/>
      </c>
      <c r="AC123" s="2" t="str">
        <f>IF(Source!$C123&gt;=COLUMNS($A123:AC123), Source!$E123, "")</f>
        <v/>
      </c>
      <c r="AD123" s="2" t="str">
        <f>IF(Source!$C123&gt;=COLUMNS($A123:AD123), Source!$E123, "")</f>
        <v/>
      </c>
      <c r="AE123" s="2" t="str">
        <f>IF(Source!$C123&gt;=COLUMNS($A123:AE123), Source!$E123, "")</f>
        <v/>
      </c>
      <c r="AF123" s="2" t="str">
        <f>IF(Source!$C123&gt;=COLUMNS($A123:AF123), Source!$E123, "")</f>
        <v/>
      </c>
      <c r="AG123" s="2" t="str">
        <f>IF(Source!$C123&gt;=COLUMNS($A123:AG123), Source!$E123, "")</f>
        <v/>
      </c>
      <c r="AH123" s="2" t="str">
        <f>IF(Source!$C123&gt;=COLUMNS($A123:AH123), Source!$E123, "")</f>
        <v/>
      </c>
      <c r="AI123" s="2" t="str">
        <f>IF(Source!$C123&gt;=COLUMNS($A123:AI123), Source!$E123, "")</f>
        <v/>
      </c>
      <c r="AJ123" s="2" t="str">
        <f>IF(Source!$C123&gt;=COLUMNS($A123:AJ123), Source!$E123, "")</f>
        <v/>
      </c>
      <c r="AK123" s="2" t="str">
        <f>IF(Source!$C123&gt;=COLUMNS($A123:AK123), Source!$E123, "")</f>
        <v/>
      </c>
      <c r="AL123" s="2" t="str">
        <f>IF(Source!$C123&gt;=COLUMNS($A123:AL123), Source!$E123, "")</f>
        <v/>
      </c>
      <c r="AM123" s="2" t="str">
        <f>IF(Source!$C123&gt;=COLUMNS($A123:AM123), Source!$E123, "")</f>
        <v/>
      </c>
      <c r="AN123" s="2" t="str">
        <f>IF(Source!$C123&gt;=COLUMNS($A123:AN123), Source!$E123, "")</f>
        <v/>
      </c>
      <c r="AO123" s="2" t="str">
        <f>IF(Source!$C123&gt;=COLUMNS($A123:AO123), Source!$E123, "")</f>
        <v/>
      </c>
      <c r="AP123" s="2" t="str">
        <f>IF(Source!$C123&gt;=COLUMNS($A123:AP123), Source!$E123, "")</f>
        <v/>
      </c>
      <c r="AQ123" s="2" t="str">
        <f>IF(Source!$C123&gt;=COLUMNS($A123:AQ123), Source!$E123, "")</f>
        <v/>
      </c>
      <c r="AR123" s="2" t="str">
        <f>IF(Source!$C123&gt;=COLUMNS($A123:AR123), Source!$E123, "")</f>
        <v/>
      </c>
    </row>
    <row r="124">
      <c r="A124" s="2">
        <f>IF(Source!$C124&gt;=COLUMNS($A124:A124), Source!$E124, "")</f>
        <v>5</v>
      </c>
      <c r="B124" s="2" t="str">
        <f>IF(Source!$C124&gt;=COLUMNS($A124:B124), Source!$E124, "")</f>
        <v/>
      </c>
      <c r="C124" s="2" t="str">
        <f>IF(Source!$C124&gt;=COLUMNS($A124:C124), Source!$E124, "")</f>
        <v/>
      </c>
      <c r="D124" s="2" t="str">
        <f>IF(Source!$C124&gt;=COLUMNS($A124:D124), Source!$E124, "")</f>
        <v/>
      </c>
      <c r="E124" s="2" t="str">
        <f>IF(Source!$C124&gt;=COLUMNS($A124:E124), Source!$E124, "")</f>
        <v/>
      </c>
      <c r="F124" s="2" t="str">
        <f>IF(Source!$C124&gt;=COLUMNS($A124:F124), Source!$E124, "")</f>
        <v/>
      </c>
      <c r="G124" s="2" t="str">
        <f>IF(Source!$C124&gt;=COLUMNS($A124:G124), Source!$E124, "")</f>
        <v/>
      </c>
      <c r="H124" s="2" t="str">
        <f>IF(Source!$C124&gt;=COLUMNS($A124:H124), Source!$E124, "")</f>
        <v/>
      </c>
      <c r="I124" s="2" t="str">
        <f>IF(Source!$C124&gt;=COLUMNS($A124:I124), Source!$E124, "")</f>
        <v/>
      </c>
      <c r="J124" s="2" t="str">
        <f>IF(Source!$C124&gt;=COLUMNS($A124:J124), Source!$E124, "")</f>
        <v/>
      </c>
      <c r="K124" s="2" t="str">
        <f>IF(Source!$C124&gt;=COLUMNS($A124:K124), Source!$E124, "")</f>
        <v/>
      </c>
      <c r="L124" s="2" t="str">
        <f>IF(Source!$C124&gt;=COLUMNS($A124:L124), Source!$E124, "")</f>
        <v/>
      </c>
      <c r="M124" s="2" t="str">
        <f>IF(Source!$C124&gt;=COLUMNS($A124:M124), Source!$E124, "")</f>
        <v/>
      </c>
      <c r="N124" s="2" t="str">
        <f>IF(Source!$C124&gt;=COLUMNS($A124:N124), Source!$E124, "")</f>
        <v/>
      </c>
      <c r="O124" s="2" t="str">
        <f>IF(Source!$C124&gt;=COLUMNS($A124:O124), Source!$E124, "")</f>
        <v/>
      </c>
      <c r="P124" s="2" t="str">
        <f>IF(Source!$C124&gt;=COLUMNS($A124:P124), Source!$E124, "")</f>
        <v/>
      </c>
      <c r="Q124" s="2" t="str">
        <f>IF(Source!$C124&gt;=COLUMNS($A124:Q124), Source!$E124, "")</f>
        <v/>
      </c>
      <c r="R124" s="2" t="str">
        <f>IF(Source!$C124&gt;=COLUMNS($A124:R124), Source!$E124, "")</f>
        <v/>
      </c>
      <c r="S124" s="2" t="str">
        <f>IF(Source!$C124&gt;=COLUMNS($A124:S124), Source!$E124, "")</f>
        <v/>
      </c>
      <c r="T124" s="2" t="str">
        <f>IF(Source!$C124&gt;=COLUMNS($A124:T124), Source!$E124, "")</f>
        <v/>
      </c>
      <c r="U124" s="2" t="str">
        <f>IF(Source!$C124&gt;=COLUMNS($A124:U124), Source!$E124, "")</f>
        <v/>
      </c>
      <c r="V124" s="2" t="str">
        <f>IF(Source!$C124&gt;=COLUMNS($A124:V124), Source!$E124, "")</f>
        <v/>
      </c>
      <c r="W124" s="2" t="str">
        <f>IF(Source!$C124&gt;=COLUMNS($A124:W124), Source!$E124, "")</f>
        <v/>
      </c>
      <c r="X124" s="2" t="str">
        <f>IF(Source!$C124&gt;=COLUMNS($A124:X124), Source!$E124, "")</f>
        <v/>
      </c>
      <c r="Y124" s="2" t="str">
        <f>IF(Source!$C124&gt;=COLUMNS($A124:Y124), Source!$E124, "")</f>
        <v/>
      </c>
      <c r="Z124" s="2" t="str">
        <f>IF(Source!$C124&gt;=COLUMNS($A124:Z124), Source!$E124, "")</f>
        <v/>
      </c>
      <c r="AA124" s="2" t="str">
        <f>IF(Source!$C124&gt;=COLUMNS($A124:AA124), Source!$E124, "")</f>
        <v/>
      </c>
      <c r="AB124" s="2" t="str">
        <f>IF(Source!$C124&gt;=COLUMNS($A124:AB124), Source!$E124, "")</f>
        <v/>
      </c>
      <c r="AC124" s="2" t="str">
        <f>IF(Source!$C124&gt;=COLUMNS($A124:AC124), Source!$E124, "")</f>
        <v/>
      </c>
      <c r="AD124" s="2" t="str">
        <f>IF(Source!$C124&gt;=COLUMNS($A124:AD124), Source!$E124, "")</f>
        <v/>
      </c>
      <c r="AE124" s="2" t="str">
        <f>IF(Source!$C124&gt;=COLUMNS($A124:AE124), Source!$E124, "")</f>
        <v/>
      </c>
      <c r="AF124" s="2" t="str">
        <f>IF(Source!$C124&gt;=COLUMNS($A124:AF124), Source!$E124, "")</f>
        <v/>
      </c>
      <c r="AG124" s="2" t="str">
        <f>IF(Source!$C124&gt;=COLUMNS($A124:AG124), Source!$E124, "")</f>
        <v/>
      </c>
      <c r="AH124" s="2" t="str">
        <f>IF(Source!$C124&gt;=COLUMNS($A124:AH124), Source!$E124, "")</f>
        <v/>
      </c>
      <c r="AI124" s="2" t="str">
        <f>IF(Source!$C124&gt;=COLUMNS($A124:AI124), Source!$E124, "")</f>
        <v/>
      </c>
      <c r="AJ124" s="2" t="str">
        <f>IF(Source!$C124&gt;=COLUMNS($A124:AJ124), Source!$E124, "")</f>
        <v/>
      </c>
      <c r="AK124" s="2" t="str">
        <f>IF(Source!$C124&gt;=COLUMNS($A124:AK124), Source!$E124, "")</f>
        <v/>
      </c>
      <c r="AL124" s="2" t="str">
        <f>IF(Source!$C124&gt;=COLUMNS($A124:AL124), Source!$E124, "")</f>
        <v/>
      </c>
      <c r="AM124" s="2" t="str">
        <f>IF(Source!$C124&gt;=COLUMNS($A124:AM124), Source!$E124, "")</f>
        <v/>
      </c>
      <c r="AN124" s="2" t="str">
        <f>IF(Source!$C124&gt;=COLUMNS($A124:AN124), Source!$E124, "")</f>
        <v/>
      </c>
      <c r="AO124" s="2" t="str">
        <f>IF(Source!$C124&gt;=COLUMNS($A124:AO124), Source!$E124, "")</f>
        <v/>
      </c>
      <c r="AP124" s="2" t="str">
        <f>IF(Source!$C124&gt;=COLUMNS($A124:AP124), Source!$E124, "")</f>
        <v/>
      </c>
      <c r="AQ124" s="2" t="str">
        <f>IF(Source!$C124&gt;=COLUMNS($A124:AQ124), Source!$E124, "")</f>
        <v/>
      </c>
      <c r="AR124" s="2" t="str">
        <f>IF(Source!$C124&gt;=COLUMNS($A124:AR124), Source!$E124, "")</f>
        <v/>
      </c>
    </row>
    <row r="125">
      <c r="A125" s="2">
        <f>IF(Source!$C125&gt;=COLUMNS($A125:A125), Source!$E125, "")</f>
        <v>2</v>
      </c>
      <c r="B125" s="2">
        <f>IF(Source!$C125&gt;=COLUMNS($A125:B125), Source!$E125, "")</f>
        <v>2</v>
      </c>
      <c r="C125" s="2">
        <f>IF(Source!$C125&gt;=COLUMNS($A125:C125), Source!$E125, "")</f>
        <v>2</v>
      </c>
      <c r="D125" s="2">
        <f>IF(Source!$C125&gt;=COLUMNS($A125:D125), Source!$E125, "")</f>
        <v>2</v>
      </c>
      <c r="E125" s="2">
        <f>IF(Source!$C125&gt;=COLUMNS($A125:E125), Source!$E125, "")</f>
        <v>2</v>
      </c>
      <c r="F125" s="2">
        <f>IF(Source!$C125&gt;=COLUMNS($A125:F125), Source!$E125, "")</f>
        <v>2</v>
      </c>
      <c r="G125" s="2">
        <f>IF(Source!$C125&gt;=COLUMNS($A125:G125), Source!$E125, "")</f>
        <v>2</v>
      </c>
      <c r="H125" s="2">
        <f>IF(Source!$C125&gt;=COLUMNS($A125:H125), Source!$E125, "")</f>
        <v>2</v>
      </c>
      <c r="I125" s="2">
        <f>IF(Source!$C125&gt;=COLUMNS($A125:I125), Source!$E125, "")</f>
        <v>2</v>
      </c>
      <c r="J125" s="2">
        <f>IF(Source!$C125&gt;=COLUMNS($A125:J125), Source!$E125, "")</f>
        <v>2</v>
      </c>
      <c r="K125" s="2">
        <f>IF(Source!$C125&gt;=COLUMNS($A125:K125), Source!$E125, "")</f>
        <v>2</v>
      </c>
      <c r="L125" s="2">
        <f>IF(Source!$C125&gt;=COLUMNS($A125:L125), Source!$E125, "")</f>
        <v>2</v>
      </c>
      <c r="M125" s="2">
        <f>IF(Source!$C125&gt;=COLUMNS($A125:M125), Source!$E125, "")</f>
        <v>2</v>
      </c>
      <c r="N125" s="2">
        <f>IF(Source!$C125&gt;=COLUMNS($A125:N125), Source!$E125, "")</f>
        <v>2</v>
      </c>
      <c r="O125" s="2">
        <f>IF(Source!$C125&gt;=COLUMNS($A125:O125), Source!$E125, "")</f>
        <v>2</v>
      </c>
      <c r="P125" s="2">
        <f>IF(Source!$C125&gt;=COLUMNS($A125:P125), Source!$E125, "")</f>
        <v>2</v>
      </c>
      <c r="Q125" s="2">
        <f>IF(Source!$C125&gt;=COLUMNS($A125:Q125), Source!$E125, "")</f>
        <v>2</v>
      </c>
      <c r="R125" s="2">
        <f>IF(Source!$C125&gt;=COLUMNS($A125:R125), Source!$E125, "")</f>
        <v>2</v>
      </c>
      <c r="S125" s="2">
        <f>IF(Source!$C125&gt;=COLUMNS($A125:S125), Source!$E125, "")</f>
        <v>2</v>
      </c>
      <c r="T125" s="2">
        <f>IF(Source!$C125&gt;=COLUMNS($A125:T125), Source!$E125, "")</f>
        <v>2</v>
      </c>
      <c r="U125" s="2" t="str">
        <f>IF(Source!$C125&gt;=COLUMNS($A125:U125), Source!$E125, "")</f>
        <v/>
      </c>
      <c r="V125" s="2" t="str">
        <f>IF(Source!$C125&gt;=COLUMNS($A125:V125), Source!$E125, "")</f>
        <v/>
      </c>
      <c r="W125" s="2" t="str">
        <f>IF(Source!$C125&gt;=COLUMNS($A125:W125), Source!$E125, "")</f>
        <v/>
      </c>
      <c r="X125" s="2" t="str">
        <f>IF(Source!$C125&gt;=COLUMNS($A125:X125), Source!$E125, "")</f>
        <v/>
      </c>
      <c r="Y125" s="2" t="str">
        <f>IF(Source!$C125&gt;=COLUMNS($A125:Y125), Source!$E125, "")</f>
        <v/>
      </c>
      <c r="Z125" s="2" t="str">
        <f>IF(Source!$C125&gt;=COLUMNS($A125:Z125), Source!$E125, "")</f>
        <v/>
      </c>
      <c r="AA125" s="2" t="str">
        <f>IF(Source!$C125&gt;=COLUMNS($A125:AA125), Source!$E125, "")</f>
        <v/>
      </c>
      <c r="AB125" s="2" t="str">
        <f>IF(Source!$C125&gt;=COLUMNS($A125:AB125), Source!$E125, "")</f>
        <v/>
      </c>
      <c r="AC125" s="2" t="str">
        <f>IF(Source!$C125&gt;=COLUMNS($A125:AC125), Source!$E125, "")</f>
        <v/>
      </c>
      <c r="AD125" s="2" t="str">
        <f>IF(Source!$C125&gt;=COLUMNS($A125:AD125), Source!$E125, "")</f>
        <v/>
      </c>
      <c r="AE125" s="2" t="str">
        <f>IF(Source!$C125&gt;=COLUMNS($A125:AE125), Source!$E125, "")</f>
        <v/>
      </c>
      <c r="AF125" s="2" t="str">
        <f>IF(Source!$C125&gt;=COLUMNS($A125:AF125), Source!$E125, "")</f>
        <v/>
      </c>
      <c r="AG125" s="2" t="str">
        <f>IF(Source!$C125&gt;=COLUMNS($A125:AG125), Source!$E125, "")</f>
        <v/>
      </c>
      <c r="AH125" s="2" t="str">
        <f>IF(Source!$C125&gt;=COLUMNS($A125:AH125), Source!$E125, "")</f>
        <v/>
      </c>
      <c r="AI125" s="2" t="str">
        <f>IF(Source!$C125&gt;=COLUMNS($A125:AI125), Source!$E125, "")</f>
        <v/>
      </c>
      <c r="AJ125" s="2" t="str">
        <f>IF(Source!$C125&gt;=COLUMNS($A125:AJ125), Source!$E125, "")</f>
        <v/>
      </c>
      <c r="AK125" s="2" t="str">
        <f>IF(Source!$C125&gt;=COLUMNS($A125:AK125), Source!$E125, "")</f>
        <v/>
      </c>
      <c r="AL125" s="2" t="str">
        <f>IF(Source!$C125&gt;=COLUMNS($A125:AL125), Source!$E125, "")</f>
        <v/>
      </c>
      <c r="AM125" s="2" t="str">
        <f>IF(Source!$C125&gt;=COLUMNS($A125:AM125), Source!$E125, "")</f>
        <v/>
      </c>
      <c r="AN125" s="2" t="str">
        <f>IF(Source!$C125&gt;=COLUMNS($A125:AN125), Source!$E125, "")</f>
        <v/>
      </c>
      <c r="AO125" s="2" t="str">
        <f>IF(Source!$C125&gt;=COLUMNS($A125:AO125), Source!$E125, "")</f>
        <v/>
      </c>
      <c r="AP125" s="2" t="str">
        <f>IF(Source!$C125&gt;=COLUMNS($A125:AP125), Source!$E125, "")</f>
        <v/>
      </c>
      <c r="AQ125" s="2" t="str">
        <f>IF(Source!$C125&gt;=COLUMNS($A125:AQ125), Source!$E125, "")</f>
        <v/>
      </c>
      <c r="AR125" s="2" t="str">
        <f>IF(Source!$C125&gt;=COLUMNS($A125:AR125), Source!$E125, "")</f>
        <v/>
      </c>
    </row>
    <row r="126">
      <c r="A126" s="2">
        <f>IF(Source!$C126&gt;=COLUMNS($A126:A126), Source!$E126, "")</f>
        <v>7</v>
      </c>
      <c r="B126" s="2">
        <f>IF(Source!$C126&gt;=COLUMNS($A126:B126), Source!$E126, "")</f>
        <v>7</v>
      </c>
      <c r="C126" s="2">
        <f>IF(Source!$C126&gt;=COLUMNS($A126:C126), Source!$E126, "")</f>
        <v>7</v>
      </c>
      <c r="D126" s="2">
        <f>IF(Source!$C126&gt;=COLUMNS($A126:D126), Source!$E126, "")</f>
        <v>7</v>
      </c>
      <c r="E126" s="2">
        <f>IF(Source!$C126&gt;=COLUMNS($A126:E126), Source!$E126, "")</f>
        <v>7</v>
      </c>
      <c r="F126" s="2">
        <f>IF(Source!$C126&gt;=COLUMNS($A126:F126), Source!$E126, "")</f>
        <v>7</v>
      </c>
      <c r="G126" s="2">
        <f>IF(Source!$C126&gt;=COLUMNS($A126:G126), Source!$E126, "")</f>
        <v>7</v>
      </c>
      <c r="H126" s="2">
        <f>IF(Source!$C126&gt;=COLUMNS($A126:H126), Source!$E126, "")</f>
        <v>7</v>
      </c>
      <c r="I126" s="2">
        <f>IF(Source!$C126&gt;=COLUMNS($A126:I126), Source!$E126, "")</f>
        <v>7</v>
      </c>
      <c r="J126" s="2">
        <f>IF(Source!$C126&gt;=COLUMNS($A126:J126), Source!$E126, "")</f>
        <v>7</v>
      </c>
      <c r="K126" s="2">
        <f>IF(Source!$C126&gt;=COLUMNS($A126:K126), Source!$E126, "")</f>
        <v>7</v>
      </c>
      <c r="L126" s="2">
        <f>IF(Source!$C126&gt;=COLUMNS($A126:L126), Source!$E126, "")</f>
        <v>7</v>
      </c>
      <c r="M126" s="2">
        <f>IF(Source!$C126&gt;=COLUMNS($A126:M126), Source!$E126, "")</f>
        <v>7</v>
      </c>
      <c r="N126" s="2">
        <f>IF(Source!$C126&gt;=COLUMNS($A126:N126), Source!$E126, "")</f>
        <v>7</v>
      </c>
      <c r="O126" s="2">
        <f>IF(Source!$C126&gt;=COLUMNS($A126:O126), Source!$E126, "")</f>
        <v>7</v>
      </c>
      <c r="P126" s="2">
        <f>IF(Source!$C126&gt;=COLUMNS($A126:P126), Source!$E126, "")</f>
        <v>7</v>
      </c>
      <c r="Q126" s="2">
        <f>IF(Source!$C126&gt;=COLUMNS($A126:Q126), Source!$E126, "")</f>
        <v>7</v>
      </c>
      <c r="R126" s="2">
        <f>IF(Source!$C126&gt;=COLUMNS($A126:R126), Source!$E126, "")</f>
        <v>7</v>
      </c>
      <c r="S126" s="2">
        <f>IF(Source!$C126&gt;=COLUMNS($A126:S126), Source!$E126, "")</f>
        <v>7</v>
      </c>
      <c r="T126" s="2">
        <f>IF(Source!$C126&gt;=COLUMNS($A126:T126), Source!$E126, "")</f>
        <v>7</v>
      </c>
      <c r="U126" s="2">
        <f>IF(Source!$C126&gt;=COLUMNS($A126:U126), Source!$E126, "")</f>
        <v>7</v>
      </c>
      <c r="V126" s="2">
        <f>IF(Source!$C126&gt;=COLUMNS($A126:V126), Source!$E126, "")</f>
        <v>7</v>
      </c>
      <c r="W126" s="2">
        <f>IF(Source!$C126&gt;=COLUMNS($A126:W126), Source!$E126, "")</f>
        <v>7</v>
      </c>
      <c r="X126" s="2">
        <f>IF(Source!$C126&gt;=COLUMNS($A126:X126), Source!$E126, "")</f>
        <v>7</v>
      </c>
      <c r="Y126" s="2">
        <f>IF(Source!$C126&gt;=COLUMNS($A126:Y126), Source!$E126, "")</f>
        <v>7</v>
      </c>
      <c r="Z126" s="2">
        <f>IF(Source!$C126&gt;=COLUMNS($A126:Z126), Source!$E126, "")</f>
        <v>7</v>
      </c>
      <c r="AA126" s="2">
        <f>IF(Source!$C126&gt;=COLUMNS($A126:AA126), Source!$E126, "")</f>
        <v>7</v>
      </c>
      <c r="AB126" s="2">
        <f>IF(Source!$C126&gt;=COLUMNS($A126:AB126), Source!$E126, "")</f>
        <v>7</v>
      </c>
      <c r="AC126" s="2">
        <f>IF(Source!$C126&gt;=COLUMNS($A126:AC126), Source!$E126, "")</f>
        <v>7</v>
      </c>
      <c r="AD126" s="2" t="str">
        <f>IF(Source!$C126&gt;=COLUMNS($A126:AD126), Source!$E126, "")</f>
        <v/>
      </c>
      <c r="AE126" s="2" t="str">
        <f>IF(Source!$C126&gt;=COLUMNS($A126:AE126), Source!$E126, "")</f>
        <v/>
      </c>
      <c r="AF126" s="2" t="str">
        <f>IF(Source!$C126&gt;=COLUMNS($A126:AF126), Source!$E126, "")</f>
        <v/>
      </c>
      <c r="AG126" s="2" t="str">
        <f>IF(Source!$C126&gt;=COLUMNS($A126:AG126), Source!$E126, "")</f>
        <v/>
      </c>
      <c r="AH126" s="2" t="str">
        <f>IF(Source!$C126&gt;=COLUMNS($A126:AH126), Source!$E126, "")</f>
        <v/>
      </c>
      <c r="AI126" s="2" t="str">
        <f>IF(Source!$C126&gt;=COLUMNS($A126:AI126), Source!$E126, "")</f>
        <v/>
      </c>
      <c r="AJ126" s="2" t="str">
        <f>IF(Source!$C126&gt;=COLUMNS($A126:AJ126), Source!$E126, "")</f>
        <v/>
      </c>
      <c r="AK126" s="2" t="str">
        <f>IF(Source!$C126&gt;=COLUMNS($A126:AK126), Source!$E126, "")</f>
        <v/>
      </c>
      <c r="AL126" s="2" t="str">
        <f>IF(Source!$C126&gt;=COLUMNS($A126:AL126), Source!$E126, "")</f>
        <v/>
      </c>
      <c r="AM126" s="2" t="str">
        <f>IF(Source!$C126&gt;=COLUMNS($A126:AM126), Source!$E126, "")</f>
        <v/>
      </c>
      <c r="AN126" s="2" t="str">
        <f>IF(Source!$C126&gt;=COLUMNS($A126:AN126), Source!$E126, "")</f>
        <v/>
      </c>
      <c r="AO126" s="2" t="str">
        <f>IF(Source!$C126&gt;=COLUMNS($A126:AO126), Source!$E126, "")</f>
        <v/>
      </c>
      <c r="AP126" s="2" t="str">
        <f>IF(Source!$C126&gt;=COLUMNS($A126:AP126), Source!$E126, "")</f>
        <v/>
      </c>
      <c r="AQ126" s="2" t="str">
        <f>IF(Source!$C126&gt;=COLUMNS($A126:AQ126), Source!$E126, "")</f>
        <v/>
      </c>
      <c r="AR126" s="2" t="str">
        <f>IF(Source!$C126&gt;=COLUMNS($A126:AR126), Source!$E126, "")</f>
        <v/>
      </c>
    </row>
    <row r="127">
      <c r="A127" s="2">
        <f>IF(Source!$C127&gt;=COLUMNS($A127:A127), Source!$E127, "")</f>
        <v>4</v>
      </c>
      <c r="B127" s="2" t="str">
        <f>IF(Source!$C127&gt;=COLUMNS($A127:B127), Source!$E127, "")</f>
        <v/>
      </c>
      <c r="C127" s="2" t="str">
        <f>IF(Source!$C127&gt;=COLUMNS($A127:C127), Source!$E127, "")</f>
        <v/>
      </c>
      <c r="D127" s="2" t="str">
        <f>IF(Source!$C127&gt;=COLUMNS($A127:D127), Source!$E127, "")</f>
        <v/>
      </c>
      <c r="E127" s="2" t="str">
        <f>IF(Source!$C127&gt;=COLUMNS($A127:E127), Source!$E127, "")</f>
        <v/>
      </c>
      <c r="F127" s="2" t="str">
        <f>IF(Source!$C127&gt;=COLUMNS($A127:F127), Source!$E127, "")</f>
        <v/>
      </c>
      <c r="G127" s="2" t="str">
        <f>IF(Source!$C127&gt;=COLUMNS($A127:G127), Source!$E127, "")</f>
        <v/>
      </c>
      <c r="H127" s="2" t="str">
        <f>IF(Source!$C127&gt;=COLUMNS($A127:H127), Source!$E127, "")</f>
        <v/>
      </c>
      <c r="I127" s="2" t="str">
        <f>IF(Source!$C127&gt;=COLUMNS($A127:I127), Source!$E127, "")</f>
        <v/>
      </c>
      <c r="J127" s="2" t="str">
        <f>IF(Source!$C127&gt;=COLUMNS($A127:J127), Source!$E127, "")</f>
        <v/>
      </c>
      <c r="K127" s="2" t="str">
        <f>IF(Source!$C127&gt;=COLUMNS($A127:K127), Source!$E127, "")</f>
        <v/>
      </c>
      <c r="L127" s="2" t="str">
        <f>IF(Source!$C127&gt;=COLUMNS($A127:L127), Source!$E127, "")</f>
        <v/>
      </c>
      <c r="M127" s="2" t="str">
        <f>IF(Source!$C127&gt;=COLUMNS($A127:M127), Source!$E127, "")</f>
        <v/>
      </c>
      <c r="N127" s="2" t="str">
        <f>IF(Source!$C127&gt;=COLUMNS($A127:N127), Source!$E127, "")</f>
        <v/>
      </c>
      <c r="O127" s="2" t="str">
        <f>IF(Source!$C127&gt;=COLUMNS($A127:O127), Source!$E127, "")</f>
        <v/>
      </c>
      <c r="P127" s="2" t="str">
        <f>IF(Source!$C127&gt;=COLUMNS($A127:P127), Source!$E127, "")</f>
        <v/>
      </c>
      <c r="Q127" s="2" t="str">
        <f>IF(Source!$C127&gt;=COLUMNS($A127:Q127), Source!$E127, "")</f>
        <v/>
      </c>
      <c r="R127" s="2" t="str">
        <f>IF(Source!$C127&gt;=COLUMNS($A127:R127), Source!$E127, "")</f>
        <v/>
      </c>
      <c r="S127" s="2" t="str">
        <f>IF(Source!$C127&gt;=COLUMNS($A127:S127), Source!$E127, "")</f>
        <v/>
      </c>
      <c r="T127" s="2" t="str">
        <f>IF(Source!$C127&gt;=COLUMNS($A127:T127), Source!$E127, "")</f>
        <v/>
      </c>
      <c r="U127" s="2" t="str">
        <f>IF(Source!$C127&gt;=COLUMNS($A127:U127), Source!$E127, "")</f>
        <v/>
      </c>
      <c r="V127" s="2" t="str">
        <f>IF(Source!$C127&gt;=COLUMNS($A127:V127), Source!$E127, "")</f>
        <v/>
      </c>
      <c r="W127" s="2" t="str">
        <f>IF(Source!$C127&gt;=COLUMNS($A127:W127), Source!$E127, "")</f>
        <v/>
      </c>
      <c r="X127" s="2" t="str">
        <f>IF(Source!$C127&gt;=COLUMNS($A127:X127), Source!$E127, "")</f>
        <v/>
      </c>
      <c r="Y127" s="2" t="str">
        <f>IF(Source!$C127&gt;=COLUMNS($A127:Y127), Source!$E127, "")</f>
        <v/>
      </c>
      <c r="Z127" s="2" t="str">
        <f>IF(Source!$C127&gt;=COLUMNS($A127:Z127), Source!$E127, "")</f>
        <v/>
      </c>
      <c r="AA127" s="2" t="str">
        <f>IF(Source!$C127&gt;=COLUMNS($A127:AA127), Source!$E127, "")</f>
        <v/>
      </c>
      <c r="AB127" s="2" t="str">
        <f>IF(Source!$C127&gt;=COLUMNS($A127:AB127), Source!$E127, "")</f>
        <v/>
      </c>
      <c r="AC127" s="2" t="str">
        <f>IF(Source!$C127&gt;=COLUMNS($A127:AC127), Source!$E127, "")</f>
        <v/>
      </c>
      <c r="AD127" s="2" t="str">
        <f>IF(Source!$C127&gt;=COLUMNS($A127:AD127), Source!$E127, "")</f>
        <v/>
      </c>
      <c r="AE127" s="2" t="str">
        <f>IF(Source!$C127&gt;=COLUMNS($A127:AE127), Source!$E127, "")</f>
        <v/>
      </c>
      <c r="AF127" s="2" t="str">
        <f>IF(Source!$C127&gt;=COLUMNS($A127:AF127), Source!$E127, "")</f>
        <v/>
      </c>
      <c r="AG127" s="2" t="str">
        <f>IF(Source!$C127&gt;=COLUMNS($A127:AG127), Source!$E127, "")</f>
        <v/>
      </c>
      <c r="AH127" s="2" t="str">
        <f>IF(Source!$C127&gt;=COLUMNS($A127:AH127), Source!$E127, "")</f>
        <v/>
      </c>
      <c r="AI127" s="2" t="str">
        <f>IF(Source!$C127&gt;=COLUMNS($A127:AI127), Source!$E127, "")</f>
        <v/>
      </c>
      <c r="AJ127" s="2" t="str">
        <f>IF(Source!$C127&gt;=COLUMNS($A127:AJ127), Source!$E127, "")</f>
        <v/>
      </c>
      <c r="AK127" s="2" t="str">
        <f>IF(Source!$C127&gt;=COLUMNS($A127:AK127), Source!$E127, "")</f>
        <v/>
      </c>
      <c r="AL127" s="2" t="str">
        <f>IF(Source!$C127&gt;=COLUMNS($A127:AL127), Source!$E127, "")</f>
        <v/>
      </c>
      <c r="AM127" s="2" t="str">
        <f>IF(Source!$C127&gt;=COLUMNS($A127:AM127), Source!$E127, "")</f>
        <v/>
      </c>
      <c r="AN127" s="2" t="str">
        <f>IF(Source!$C127&gt;=COLUMNS($A127:AN127), Source!$E127, "")</f>
        <v/>
      </c>
      <c r="AO127" s="2" t="str">
        <f>IF(Source!$C127&gt;=COLUMNS($A127:AO127), Source!$E127, "")</f>
        <v/>
      </c>
      <c r="AP127" s="2" t="str">
        <f>IF(Source!$C127&gt;=COLUMNS($A127:AP127), Source!$E127, "")</f>
        <v/>
      </c>
      <c r="AQ127" s="2" t="str">
        <f>IF(Source!$C127&gt;=COLUMNS($A127:AQ127), Source!$E127, "")</f>
        <v/>
      </c>
      <c r="AR127" s="2" t="str">
        <f>IF(Source!$C127&gt;=COLUMNS($A127:AR127), Source!$E127, "")</f>
        <v/>
      </c>
    </row>
    <row r="128">
      <c r="A128" s="2">
        <f>IF(Source!$C128&gt;=COLUMNS($A128:A128), Source!$E128, "")</f>
        <v>8</v>
      </c>
      <c r="B128" s="2">
        <f>IF(Source!$C128&gt;=COLUMNS($A128:B128), Source!$E128, "")</f>
        <v>8</v>
      </c>
      <c r="C128" s="2">
        <f>IF(Source!$C128&gt;=COLUMNS($A128:C128), Source!$E128, "")</f>
        <v>8</v>
      </c>
      <c r="D128" s="2" t="str">
        <f>IF(Source!$C128&gt;=COLUMNS($A128:D128), Source!$E128, "")</f>
        <v/>
      </c>
      <c r="E128" s="2" t="str">
        <f>IF(Source!$C128&gt;=COLUMNS($A128:E128), Source!$E128, "")</f>
        <v/>
      </c>
      <c r="F128" s="2" t="str">
        <f>IF(Source!$C128&gt;=COLUMNS($A128:F128), Source!$E128, "")</f>
        <v/>
      </c>
      <c r="G128" s="2" t="str">
        <f>IF(Source!$C128&gt;=COLUMNS($A128:G128), Source!$E128, "")</f>
        <v/>
      </c>
      <c r="H128" s="2" t="str">
        <f>IF(Source!$C128&gt;=COLUMNS($A128:H128), Source!$E128, "")</f>
        <v/>
      </c>
      <c r="I128" s="2" t="str">
        <f>IF(Source!$C128&gt;=COLUMNS($A128:I128), Source!$E128, "")</f>
        <v/>
      </c>
      <c r="J128" s="2" t="str">
        <f>IF(Source!$C128&gt;=COLUMNS($A128:J128), Source!$E128, "")</f>
        <v/>
      </c>
      <c r="K128" s="2" t="str">
        <f>IF(Source!$C128&gt;=COLUMNS($A128:K128), Source!$E128, "")</f>
        <v/>
      </c>
      <c r="L128" s="2" t="str">
        <f>IF(Source!$C128&gt;=COLUMNS($A128:L128), Source!$E128, "")</f>
        <v/>
      </c>
      <c r="M128" s="2" t="str">
        <f>IF(Source!$C128&gt;=COLUMNS($A128:M128), Source!$E128, "")</f>
        <v/>
      </c>
      <c r="N128" s="2" t="str">
        <f>IF(Source!$C128&gt;=COLUMNS($A128:N128), Source!$E128, "")</f>
        <v/>
      </c>
      <c r="O128" s="2" t="str">
        <f>IF(Source!$C128&gt;=COLUMNS($A128:O128), Source!$E128, "")</f>
        <v/>
      </c>
      <c r="P128" s="2" t="str">
        <f>IF(Source!$C128&gt;=COLUMNS($A128:P128), Source!$E128, "")</f>
        <v/>
      </c>
      <c r="Q128" s="2" t="str">
        <f>IF(Source!$C128&gt;=COLUMNS($A128:Q128), Source!$E128, "")</f>
        <v/>
      </c>
      <c r="R128" s="2" t="str">
        <f>IF(Source!$C128&gt;=COLUMNS($A128:R128), Source!$E128, "")</f>
        <v/>
      </c>
      <c r="S128" s="2" t="str">
        <f>IF(Source!$C128&gt;=COLUMNS($A128:S128), Source!$E128, "")</f>
        <v/>
      </c>
      <c r="T128" s="2" t="str">
        <f>IF(Source!$C128&gt;=COLUMNS($A128:T128), Source!$E128, "")</f>
        <v/>
      </c>
      <c r="U128" s="2" t="str">
        <f>IF(Source!$C128&gt;=COLUMNS($A128:U128), Source!$E128, "")</f>
        <v/>
      </c>
      <c r="V128" s="2" t="str">
        <f>IF(Source!$C128&gt;=COLUMNS($A128:V128), Source!$E128, "")</f>
        <v/>
      </c>
      <c r="W128" s="2" t="str">
        <f>IF(Source!$C128&gt;=COLUMNS($A128:W128), Source!$E128, "")</f>
        <v/>
      </c>
      <c r="X128" s="2" t="str">
        <f>IF(Source!$C128&gt;=COLUMNS($A128:X128), Source!$E128, "")</f>
        <v/>
      </c>
      <c r="Y128" s="2" t="str">
        <f>IF(Source!$C128&gt;=COLUMNS($A128:Y128), Source!$E128, "")</f>
        <v/>
      </c>
      <c r="Z128" s="2" t="str">
        <f>IF(Source!$C128&gt;=COLUMNS($A128:Z128), Source!$E128, "")</f>
        <v/>
      </c>
      <c r="AA128" s="2" t="str">
        <f>IF(Source!$C128&gt;=COLUMNS($A128:AA128), Source!$E128, "")</f>
        <v/>
      </c>
      <c r="AB128" s="2" t="str">
        <f>IF(Source!$C128&gt;=COLUMNS($A128:AB128), Source!$E128, "")</f>
        <v/>
      </c>
      <c r="AC128" s="2" t="str">
        <f>IF(Source!$C128&gt;=COLUMNS($A128:AC128), Source!$E128, "")</f>
        <v/>
      </c>
      <c r="AD128" s="2" t="str">
        <f>IF(Source!$C128&gt;=COLUMNS($A128:AD128), Source!$E128, "")</f>
        <v/>
      </c>
      <c r="AE128" s="2" t="str">
        <f>IF(Source!$C128&gt;=COLUMNS($A128:AE128), Source!$E128, "")</f>
        <v/>
      </c>
      <c r="AF128" s="2" t="str">
        <f>IF(Source!$C128&gt;=COLUMNS($A128:AF128), Source!$E128, "")</f>
        <v/>
      </c>
      <c r="AG128" s="2" t="str">
        <f>IF(Source!$C128&gt;=COLUMNS($A128:AG128), Source!$E128, "")</f>
        <v/>
      </c>
      <c r="AH128" s="2" t="str">
        <f>IF(Source!$C128&gt;=COLUMNS($A128:AH128), Source!$E128, "")</f>
        <v/>
      </c>
      <c r="AI128" s="2" t="str">
        <f>IF(Source!$C128&gt;=COLUMNS($A128:AI128), Source!$E128, "")</f>
        <v/>
      </c>
      <c r="AJ128" s="2" t="str">
        <f>IF(Source!$C128&gt;=COLUMNS($A128:AJ128), Source!$E128, "")</f>
        <v/>
      </c>
      <c r="AK128" s="2" t="str">
        <f>IF(Source!$C128&gt;=COLUMNS($A128:AK128), Source!$E128, "")</f>
        <v/>
      </c>
      <c r="AL128" s="2" t="str">
        <f>IF(Source!$C128&gt;=COLUMNS($A128:AL128), Source!$E128, "")</f>
        <v/>
      </c>
      <c r="AM128" s="2" t="str">
        <f>IF(Source!$C128&gt;=COLUMNS($A128:AM128), Source!$E128, "")</f>
        <v/>
      </c>
      <c r="AN128" s="2" t="str">
        <f>IF(Source!$C128&gt;=COLUMNS($A128:AN128), Source!$E128, "")</f>
        <v/>
      </c>
      <c r="AO128" s="2" t="str">
        <f>IF(Source!$C128&gt;=COLUMNS($A128:AO128), Source!$E128, "")</f>
        <v/>
      </c>
      <c r="AP128" s="2" t="str">
        <f>IF(Source!$C128&gt;=COLUMNS($A128:AP128), Source!$E128, "")</f>
        <v/>
      </c>
      <c r="AQ128" s="2" t="str">
        <f>IF(Source!$C128&gt;=COLUMNS($A128:AQ128), Source!$E128, "")</f>
        <v/>
      </c>
      <c r="AR128" s="2" t="str">
        <f>IF(Source!$C128&gt;=COLUMNS($A128:AR128), Source!$E128, "")</f>
        <v/>
      </c>
    </row>
    <row r="129">
      <c r="A129" s="2">
        <f>IF(Source!$C129&gt;=COLUMNS($A129:A129), Source!$E129, "")</f>
        <v>8</v>
      </c>
      <c r="B129" s="2" t="str">
        <f>IF(Source!$C129&gt;=COLUMNS($A129:B129), Source!$E129, "")</f>
        <v/>
      </c>
      <c r="C129" s="2" t="str">
        <f>IF(Source!$C129&gt;=COLUMNS($A129:C129), Source!$E129, "")</f>
        <v/>
      </c>
      <c r="D129" s="2" t="str">
        <f>IF(Source!$C129&gt;=COLUMNS($A129:D129), Source!$E129, "")</f>
        <v/>
      </c>
      <c r="E129" s="2" t="str">
        <f>IF(Source!$C129&gt;=COLUMNS($A129:E129), Source!$E129, "")</f>
        <v/>
      </c>
      <c r="F129" s="2" t="str">
        <f>IF(Source!$C129&gt;=COLUMNS($A129:F129), Source!$E129, "")</f>
        <v/>
      </c>
      <c r="G129" s="2" t="str">
        <f>IF(Source!$C129&gt;=COLUMNS($A129:G129), Source!$E129, "")</f>
        <v/>
      </c>
      <c r="H129" s="2" t="str">
        <f>IF(Source!$C129&gt;=COLUMNS($A129:H129), Source!$E129, "")</f>
        <v/>
      </c>
      <c r="I129" s="2" t="str">
        <f>IF(Source!$C129&gt;=COLUMNS($A129:I129), Source!$E129, "")</f>
        <v/>
      </c>
      <c r="J129" s="2" t="str">
        <f>IF(Source!$C129&gt;=COLUMNS($A129:J129), Source!$E129, "")</f>
        <v/>
      </c>
      <c r="K129" s="2" t="str">
        <f>IF(Source!$C129&gt;=COLUMNS($A129:K129), Source!$E129, "")</f>
        <v/>
      </c>
      <c r="L129" s="2" t="str">
        <f>IF(Source!$C129&gt;=COLUMNS($A129:L129), Source!$E129, "")</f>
        <v/>
      </c>
      <c r="M129" s="2" t="str">
        <f>IF(Source!$C129&gt;=COLUMNS($A129:M129), Source!$E129, "")</f>
        <v/>
      </c>
      <c r="N129" s="2" t="str">
        <f>IF(Source!$C129&gt;=COLUMNS($A129:N129), Source!$E129, "")</f>
        <v/>
      </c>
      <c r="O129" s="2" t="str">
        <f>IF(Source!$C129&gt;=COLUMNS($A129:O129), Source!$E129, "")</f>
        <v/>
      </c>
      <c r="P129" s="2" t="str">
        <f>IF(Source!$C129&gt;=COLUMNS($A129:P129), Source!$E129, "")</f>
        <v/>
      </c>
      <c r="Q129" s="2" t="str">
        <f>IF(Source!$C129&gt;=COLUMNS($A129:Q129), Source!$E129, "")</f>
        <v/>
      </c>
      <c r="R129" s="2" t="str">
        <f>IF(Source!$C129&gt;=COLUMNS($A129:R129), Source!$E129, "")</f>
        <v/>
      </c>
      <c r="S129" s="2" t="str">
        <f>IF(Source!$C129&gt;=COLUMNS($A129:S129), Source!$E129, "")</f>
        <v/>
      </c>
      <c r="T129" s="2" t="str">
        <f>IF(Source!$C129&gt;=COLUMNS($A129:T129), Source!$E129, "")</f>
        <v/>
      </c>
      <c r="U129" s="2" t="str">
        <f>IF(Source!$C129&gt;=COLUMNS($A129:U129), Source!$E129, "")</f>
        <v/>
      </c>
      <c r="V129" s="2" t="str">
        <f>IF(Source!$C129&gt;=COLUMNS($A129:V129), Source!$E129, "")</f>
        <v/>
      </c>
      <c r="W129" s="2" t="str">
        <f>IF(Source!$C129&gt;=COLUMNS($A129:W129), Source!$E129, "")</f>
        <v/>
      </c>
      <c r="X129" s="2" t="str">
        <f>IF(Source!$C129&gt;=COLUMNS($A129:X129), Source!$E129, "")</f>
        <v/>
      </c>
      <c r="Y129" s="2" t="str">
        <f>IF(Source!$C129&gt;=COLUMNS($A129:Y129), Source!$E129, "")</f>
        <v/>
      </c>
      <c r="Z129" s="2" t="str">
        <f>IF(Source!$C129&gt;=COLUMNS($A129:Z129), Source!$E129, "")</f>
        <v/>
      </c>
      <c r="AA129" s="2" t="str">
        <f>IF(Source!$C129&gt;=COLUMNS($A129:AA129), Source!$E129, "")</f>
        <v/>
      </c>
      <c r="AB129" s="2" t="str">
        <f>IF(Source!$C129&gt;=COLUMNS($A129:AB129), Source!$E129, "")</f>
        <v/>
      </c>
      <c r="AC129" s="2" t="str">
        <f>IF(Source!$C129&gt;=COLUMNS($A129:AC129), Source!$E129, "")</f>
        <v/>
      </c>
      <c r="AD129" s="2" t="str">
        <f>IF(Source!$C129&gt;=COLUMNS($A129:AD129), Source!$E129, "")</f>
        <v/>
      </c>
      <c r="AE129" s="2" t="str">
        <f>IF(Source!$C129&gt;=COLUMNS($A129:AE129), Source!$E129, "")</f>
        <v/>
      </c>
      <c r="AF129" s="2" t="str">
        <f>IF(Source!$C129&gt;=COLUMNS($A129:AF129), Source!$E129, "")</f>
        <v/>
      </c>
      <c r="AG129" s="2" t="str">
        <f>IF(Source!$C129&gt;=COLUMNS($A129:AG129), Source!$E129, "")</f>
        <v/>
      </c>
      <c r="AH129" s="2" t="str">
        <f>IF(Source!$C129&gt;=COLUMNS($A129:AH129), Source!$E129, "")</f>
        <v/>
      </c>
      <c r="AI129" s="2" t="str">
        <f>IF(Source!$C129&gt;=COLUMNS($A129:AI129), Source!$E129, "")</f>
        <v/>
      </c>
      <c r="AJ129" s="2" t="str">
        <f>IF(Source!$C129&gt;=COLUMNS($A129:AJ129), Source!$E129, "")</f>
        <v/>
      </c>
      <c r="AK129" s="2" t="str">
        <f>IF(Source!$C129&gt;=COLUMNS($A129:AK129), Source!$E129, "")</f>
        <v/>
      </c>
      <c r="AL129" s="2" t="str">
        <f>IF(Source!$C129&gt;=COLUMNS($A129:AL129), Source!$E129, "")</f>
        <v/>
      </c>
      <c r="AM129" s="2" t="str">
        <f>IF(Source!$C129&gt;=COLUMNS($A129:AM129), Source!$E129, "")</f>
        <v/>
      </c>
      <c r="AN129" s="2" t="str">
        <f>IF(Source!$C129&gt;=COLUMNS($A129:AN129), Source!$E129, "")</f>
        <v/>
      </c>
      <c r="AO129" s="2" t="str">
        <f>IF(Source!$C129&gt;=COLUMNS($A129:AO129), Source!$E129, "")</f>
        <v/>
      </c>
      <c r="AP129" s="2" t="str">
        <f>IF(Source!$C129&gt;=COLUMNS($A129:AP129), Source!$E129, "")</f>
        <v/>
      </c>
      <c r="AQ129" s="2" t="str">
        <f>IF(Source!$C129&gt;=COLUMNS($A129:AQ129), Source!$E129, "")</f>
        <v/>
      </c>
      <c r="AR129" s="2" t="str">
        <f>IF(Source!$C129&gt;=COLUMNS($A129:AR129), Source!$E129, "")</f>
        <v/>
      </c>
    </row>
    <row r="130">
      <c r="A130" s="2">
        <f>IF(Source!$C130&gt;=COLUMNS($A130:A130), Source!$E130, "")</f>
        <v>8</v>
      </c>
      <c r="B130" s="2">
        <f>IF(Source!$C130&gt;=COLUMNS($A130:B130), Source!$E130, "")</f>
        <v>8</v>
      </c>
      <c r="C130" s="2">
        <f>IF(Source!$C130&gt;=COLUMNS($A130:C130), Source!$E130, "")</f>
        <v>8</v>
      </c>
      <c r="D130" s="2" t="str">
        <f>IF(Source!$C130&gt;=COLUMNS($A130:D130), Source!$E130, "")</f>
        <v/>
      </c>
      <c r="E130" s="2" t="str">
        <f>IF(Source!$C130&gt;=COLUMNS($A130:E130), Source!$E130, "")</f>
        <v/>
      </c>
      <c r="F130" s="2" t="str">
        <f>IF(Source!$C130&gt;=COLUMNS($A130:F130), Source!$E130, "")</f>
        <v/>
      </c>
      <c r="G130" s="2" t="str">
        <f>IF(Source!$C130&gt;=COLUMNS($A130:G130), Source!$E130, "")</f>
        <v/>
      </c>
      <c r="H130" s="2" t="str">
        <f>IF(Source!$C130&gt;=COLUMNS($A130:H130), Source!$E130, "")</f>
        <v/>
      </c>
      <c r="I130" s="2" t="str">
        <f>IF(Source!$C130&gt;=COLUMNS($A130:I130), Source!$E130, "")</f>
        <v/>
      </c>
      <c r="J130" s="2" t="str">
        <f>IF(Source!$C130&gt;=COLUMNS($A130:J130), Source!$E130, "")</f>
        <v/>
      </c>
      <c r="K130" s="2" t="str">
        <f>IF(Source!$C130&gt;=COLUMNS($A130:K130), Source!$E130, "")</f>
        <v/>
      </c>
      <c r="L130" s="2" t="str">
        <f>IF(Source!$C130&gt;=COLUMNS($A130:L130), Source!$E130, "")</f>
        <v/>
      </c>
      <c r="M130" s="2" t="str">
        <f>IF(Source!$C130&gt;=COLUMNS($A130:M130), Source!$E130, "")</f>
        <v/>
      </c>
      <c r="N130" s="2" t="str">
        <f>IF(Source!$C130&gt;=COLUMNS($A130:N130), Source!$E130, "")</f>
        <v/>
      </c>
      <c r="O130" s="2" t="str">
        <f>IF(Source!$C130&gt;=COLUMNS($A130:O130), Source!$E130, "")</f>
        <v/>
      </c>
      <c r="P130" s="2" t="str">
        <f>IF(Source!$C130&gt;=COLUMNS($A130:P130), Source!$E130, "")</f>
        <v/>
      </c>
      <c r="Q130" s="2" t="str">
        <f>IF(Source!$C130&gt;=COLUMNS($A130:Q130), Source!$E130, "")</f>
        <v/>
      </c>
      <c r="R130" s="2" t="str">
        <f>IF(Source!$C130&gt;=COLUMNS($A130:R130), Source!$E130, "")</f>
        <v/>
      </c>
      <c r="S130" s="2" t="str">
        <f>IF(Source!$C130&gt;=COLUMNS($A130:S130), Source!$E130, "")</f>
        <v/>
      </c>
      <c r="T130" s="2" t="str">
        <f>IF(Source!$C130&gt;=COLUMNS($A130:T130), Source!$E130, "")</f>
        <v/>
      </c>
      <c r="U130" s="2" t="str">
        <f>IF(Source!$C130&gt;=COLUMNS($A130:U130), Source!$E130, "")</f>
        <v/>
      </c>
      <c r="V130" s="2" t="str">
        <f>IF(Source!$C130&gt;=COLUMNS($A130:V130), Source!$E130, "")</f>
        <v/>
      </c>
      <c r="W130" s="2" t="str">
        <f>IF(Source!$C130&gt;=COLUMNS($A130:W130), Source!$E130, "")</f>
        <v/>
      </c>
      <c r="X130" s="2" t="str">
        <f>IF(Source!$C130&gt;=COLUMNS($A130:X130), Source!$E130, "")</f>
        <v/>
      </c>
      <c r="Y130" s="2" t="str">
        <f>IF(Source!$C130&gt;=COLUMNS($A130:Y130), Source!$E130, "")</f>
        <v/>
      </c>
      <c r="Z130" s="2" t="str">
        <f>IF(Source!$C130&gt;=COLUMNS($A130:Z130), Source!$E130, "")</f>
        <v/>
      </c>
      <c r="AA130" s="2" t="str">
        <f>IF(Source!$C130&gt;=COLUMNS($A130:AA130), Source!$E130, "")</f>
        <v/>
      </c>
      <c r="AB130" s="2" t="str">
        <f>IF(Source!$C130&gt;=COLUMNS($A130:AB130), Source!$E130, "")</f>
        <v/>
      </c>
      <c r="AC130" s="2" t="str">
        <f>IF(Source!$C130&gt;=COLUMNS($A130:AC130), Source!$E130, "")</f>
        <v/>
      </c>
      <c r="AD130" s="2" t="str">
        <f>IF(Source!$C130&gt;=COLUMNS($A130:AD130), Source!$E130, "")</f>
        <v/>
      </c>
      <c r="AE130" s="2" t="str">
        <f>IF(Source!$C130&gt;=COLUMNS($A130:AE130), Source!$E130, "")</f>
        <v/>
      </c>
      <c r="AF130" s="2" t="str">
        <f>IF(Source!$C130&gt;=COLUMNS($A130:AF130), Source!$E130, "")</f>
        <v/>
      </c>
      <c r="AG130" s="2" t="str">
        <f>IF(Source!$C130&gt;=COLUMNS($A130:AG130), Source!$E130, "")</f>
        <v/>
      </c>
      <c r="AH130" s="2" t="str">
        <f>IF(Source!$C130&gt;=COLUMNS($A130:AH130), Source!$E130, "")</f>
        <v/>
      </c>
      <c r="AI130" s="2" t="str">
        <f>IF(Source!$C130&gt;=COLUMNS($A130:AI130), Source!$E130, "")</f>
        <v/>
      </c>
      <c r="AJ130" s="2" t="str">
        <f>IF(Source!$C130&gt;=COLUMNS($A130:AJ130), Source!$E130, "")</f>
        <v/>
      </c>
      <c r="AK130" s="2" t="str">
        <f>IF(Source!$C130&gt;=COLUMNS($A130:AK130), Source!$E130, "")</f>
        <v/>
      </c>
      <c r="AL130" s="2" t="str">
        <f>IF(Source!$C130&gt;=COLUMNS($A130:AL130), Source!$E130, "")</f>
        <v/>
      </c>
      <c r="AM130" s="2" t="str">
        <f>IF(Source!$C130&gt;=COLUMNS($A130:AM130), Source!$E130, "")</f>
        <v/>
      </c>
      <c r="AN130" s="2" t="str">
        <f>IF(Source!$C130&gt;=COLUMNS($A130:AN130), Source!$E130, "")</f>
        <v/>
      </c>
      <c r="AO130" s="2" t="str">
        <f>IF(Source!$C130&gt;=COLUMNS($A130:AO130), Source!$E130, "")</f>
        <v/>
      </c>
      <c r="AP130" s="2" t="str">
        <f>IF(Source!$C130&gt;=COLUMNS($A130:AP130), Source!$E130, "")</f>
        <v/>
      </c>
      <c r="AQ130" s="2" t="str">
        <f>IF(Source!$C130&gt;=COLUMNS($A130:AQ130), Source!$E130, "")</f>
        <v/>
      </c>
      <c r="AR130" s="2" t="str">
        <f>IF(Source!$C130&gt;=COLUMNS($A130:AR130), Source!$E130, "")</f>
        <v/>
      </c>
    </row>
    <row r="131">
      <c r="A131" s="2">
        <f>IF(Source!$C131&gt;=COLUMNS($A131:A131), Source!$E131, "")</f>
        <v>2</v>
      </c>
      <c r="B131" s="2">
        <f>IF(Source!$C131&gt;=COLUMNS($A131:B131), Source!$E131, "")</f>
        <v>2</v>
      </c>
      <c r="C131" s="2" t="str">
        <f>IF(Source!$C131&gt;=COLUMNS($A131:C131), Source!$E131, "")</f>
        <v/>
      </c>
      <c r="D131" s="2" t="str">
        <f>IF(Source!$C131&gt;=COLUMNS($A131:D131), Source!$E131, "")</f>
        <v/>
      </c>
      <c r="E131" s="2" t="str">
        <f>IF(Source!$C131&gt;=COLUMNS($A131:E131), Source!$E131, "")</f>
        <v/>
      </c>
      <c r="F131" s="2" t="str">
        <f>IF(Source!$C131&gt;=COLUMNS($A131:F131), Source!$E131, "")</f>
        <v/>
      </c>
      <c r="G131" s="2" t="str">
        <f>IF(Source!$C131&gt;=COLUMNS($A131:G131), Source!$E131, "")</f>
        <v/>
      </c>
      <c r="H131" s="2" t="str">
        <f>IF(Source!$C131&gt;=COLUMNS($A131:H131), Source!$E131, "")</f>
        <v/>
      </c>
      <c r="I131" s="2" t="str">
        <f>IF(Source!$C131&gt;=COLUMNS($A131:I131), Source!$E131, "")</f>
        <v/>
      </c>
      <c r="J131" s="2" t="str">
        <f>IF(Source!$C131&gt;=COLUMNS($A131:J131), Source!$E131, "")</f>
        <v/>
      </c>
      <c r="K131" s="2" t="str">
        <f>IF(Source!$C131&gt;=COLUMNS($A131:K131), Source!$E131, "")</f>
        <v/>
      </c>
      <c r="L131" s="2" t="str">
        <f>IF(Source!$C131&gt;=COLUMNS($A131:L131), Source!$E131, "")</f>
        <v/>
      </c>
      <c r="M131" s="2" t="str">
        <f>IF(Source!$C131&gt;=COLUMNS($A131:M131), Source!$E131, "")</f>
        <v/>
      </c>
      <c r="N131" s="2" t="str">
        <f>IF(Source!$C131&gt;=COLUMNS($A131:N131), Source!$E131, "")</f>
        <v/>
      </c>
      <c r="O131" s="2" t="str">
        <f>IF(Source!$C131&gt;=COLUMNS($A131:O131), Source!$E131, "")</f>
        <v/>
      </c>
      <c r="P131" s="2" t="str">
        <f>IF(Source!$C131&gt;=COLUMNS($A131:P131), Source!$E131, "")</f>
        <v/>
      </c>
      <c r="Q131" s="2" t="str">
        <f>IF(Source!$C131&gt;=COLUMNS($A131:Q131), Source!$E131, "")</f>
        <v/>
      </c>
      <c r="R131" s="2" t="str">
        <f>IF(Source!$C131&gt;=COLUMNS($A131:R131), Source!$E131, "")</f>
        <v/>
      </c>
      <c r="S131" s="2" t="str">
        <f>IF(Source!$C131&gt;=COLUMNS($A131:S131), Source!$E131, "")</f>
        <v/>
      </c>
      <c r="T131" s="2" t="str">
        <f>IF(Source!$C131&gt;=COLUMNS($A131:T131), Source!$E131, "")</f>
        <v/>
      </c>
      <c r="U131" s="2" t="str">
        <f>IF(Source!$C131&gt;=COLUMNS($A131:U131), Source!$E131, "")</f>
        <v/>
      </c>
      <c r="V131" s="2" t="str">
        <f>IF(Source!$C131&gt;=COLUMNS($A131:V131), Source!$E131, "")</f>
        <v/>
      </c>
      <c r="W131" s="2" t="str">
        <f>IF(Source!$C131&gt;=COLUMNS($A131:W131), Source!$E131, "")</f>
        <v/>
      </c>
      <c r="X131" s="2" t="str">
        <f>IF(Source!$C131&gt;=COLUMNS($A131:X131), Source!$E131, "")</f>
        <v/>
      </c>
      <c r="Y131" s="2" t="str">
        <f>IF(Source!$C131&gt;=COLUMNS($A131:Y131), Source!$E131, "")</f>
        <v/>
      </c>
      <c r="Z131" s="2" t="str">
        <f>IF(Source!$C131&gt;=COLUMNS($A131:Z131), Source!$E131, "")</f>
        <v/>
      </c>
      <c r="AA131" s="2" t="str">
        <f>IF(Source!$C131&gt;=COLUMNS($A131:AA131), Source!$E131, "")</f>
        <v/>
      </c>
      <c r="AB131" s="2" t="str">
        <f>IF(Source!$C131&gt;=COLUMNS($A131:AB131), Source!$E131, "")</f>
        <v/>
      </c>
      <c r="AC131" s="2" t="str">
        <f>IF(Source!$C131&gt;=COLUMNS($A131:AC131), Source!$E131, "")</f>
        <v/>
      </c>
      <c r="AD131" s="2" t="str">
        <f>IF(Source!$C131&gt;=COLUMNS($A131:AD131), Source!$E131, "")</f>
        <v/>
      </c>
      <c r="AE131" s="2" t="str">
        <f>IF(Source!$C131&gt;=COLUMNS($A131:AE131), Source!$E131, "")</f>
        <v/>
      </c>
      <c r="AF131" s="2" t="str">
        <f>IF(Source!$C131&gt;=COLUMNS($A131:AF131), Source!$E131, "")</f>
        <v/>
      </c>
      <c r="AG131" s="2" t="str">
        <f>IF(Source!$C131&gt;=COLUMNS($A131:AG131), Source!$E131, "")</f>
        <v/>
      </c>
      <c r="AH131" s="2" t="str">
        <f>IF(Source!$C131&gt;=COLUMNS($A131:AH131), Source!$E131, "")</f>
        <v/>
      </c>
      <c r="AI131" s="2" t="str">
        <f>IF(Source!$C131&gt;=COLUMNS($A131:AI131), Source!$E131, "")</f>
        <v/>
      </c>
      <c r="AJ131" s="2" t="str">
        <f>IF(Source!$C131&gt;=COLUMNS($A131:AJ131), Source!$E131, "")</f>
        <v/>
      </c>
      <c r="AK131" s="2" t="str">
        <f>IF(Source!$C131&gt;=COLUMNS($A131:AK131), Source!$E131, "")</f>
        <v/>
      </c>
      <c r="AL131" s="2" t="str">
        <f>IF(Source!$C131&gt;=COLUMNS($A131:AL131), Source!$E131, "")</f>
        <v/>
      </c>
      <c r="AM131" s="2" t="str">
        <f>IF(Source!$C131&gt;=COLUMNS($A131:AM131), Source!$E131, "")</f>
        <v/>
      </c>
      <c r="AN131" s="2" t="str">
        <f>IF(Source!$C131&gt;=COLUMNS($A131:AN131), Source!$E131, "")</f>
        <v/>
      </c>
      <c r="AO131" s="2" t="str">
        <f>IF(Source!$C131&gt;=COLUMNS($A131:AO131), Source!$E131, "")</f>
        <v/>
      </c>
      <c r="AP131" s="2" t="str">
        <f>IF(Source!$C131&gt;=COLUMNS($A131:AP131), Source!$E131, "")</f>
        <v/>
      </c>
      <c r="AQ131" s="2" t="str">
        <f>IF(Source!$C131&gt;=COLUMNS($A131:AQ131), Source!$E131, "")</f>
        <v/>
      </c>
      <c r="AR131" s="2" t="str">
        <f>IF(Source!$C131&gt;=COLUMNS($A131:AR131), Source!$E131, "")</f>
        <v/>
      </c>
    </row>
    <row r="132">
      <c r="A132" s="2">
        <f>IF(Source!$C132&gt;=COLUMNS($A132:A132), Source!$E132, "")</f>
        <v>9</v>
      </c>
      <c r="B132" s="2">
        <f>IF(Source!$C132&gt;=COLUMNS($A132:B132), Source!$E132, "")</f>
        <v>9</v>
      </c>
      <c r="C132" s="2">
        <f>IF(Source!$C132&gt;=COLUMNS($A132:C132), Source!$E132, "")</f>
        <v>9</v>
      </c>
      <c r="D132" s="2">
        <f>IF(Source!$C132&gt;=COLUMNS($A132:D132), Source!$E132, "")</f>
        <v>9</v>
      </c>
      <c r="E132" s="2">
        <f>IF(Source!$C132&gt;=COLUMNS($A132:E132), Source!$E132, "")</f>
        <v>9</v>
      </c>
      <c r="F132" s="2">
        <f>IF(Source!$C132&gt;=COLUMNS($A132:F132), Source!$E132, "")</f>
        <v>9</v>
      </c>
      <c r="G132" s="2">
        <f>IF(Source!$C132&gt;=COLUMNS($A132:G132), Source!$E132, "")</f>
        <v>9</v>
      </c>
      <c r="H132" s="2">
        <f>IF(Source!$C132&gt;=COLUMNS($A132:H132), Source!$E132, "")</f>
        <v>9</v>
      </c>
      <c r="I132" s="2">
        <f>IF(Source!$C132&gt;=COLUMNS($A132:I132), Source!$E132, "")</f>
        <v>9</v>
      </c>
      <c r="J132" s="2">
        <f>IF(Source!$C132&gt;=COLUMNS($A132:J132), Source!$E132, "")</f>
        <v>9</v>
      </c>
      <c r="K132" s="2">
        <f>IF(Source!$C132&gt;=COLUMNS($A132:K132), Source!$E132, "")</f>
        <v>9</v>
      </c>
      <c r="L132" s="2">
        <f>IF(Source!$C132&gt;=COLUMNS($A132:L132), Source!$E132, "")</f>
        <v>9</v>
      </c>
      <c r="M132" s="2">
        <f>IF(Source!$C132&gt;=COLUMNS($A132:M132), Source!$E132, "")</f>
        <v>9</v>
      </c>
      <c r="N132" s="2">
        <f>IF(Source!$C132&gt;=COLUMNS($A132:N132), Source!$E132, "")</f>
        <v>9</v>
      </c>
      <c r="O132" s="2">
        <f>IF(Source!$C132&gt;=COLUMNS($A132:O132), Source!$E132, "")</f>
        <v>9</v>
      </c>
      <c r="P132" s="2">
        <f>IF(Source!$C132&gt;=COLUMNS($A132:P132), Source!$E132, "")</f>
        <v>9</v>
      </c>
      <c r="Q132" s="2">
        <f>IF(Source!$C132&gt;=COLUMNS($A132:Q132), Source!$E132, "")</f>
        <v>9</v>
      </c>
      <c r="R132" s="2">
        <f>IF(Source!$C132&gt;=COLUMNS($A132:R132), Source!$E132, "")</f>
        <v>9</v>
      </c>
      <c r="S132" s="2">
        <f>IF(Source!$C132&gt;=COLUMNS($A132:S132), Source!$E132, "")</f>
        <v>9</v>
      </c>
      <c r="T132" s="2">
        <f>IF(Source!$C132&gt;=COLUMNS($A132:T132), Source!$E132, "")</f>
        <v>9</v>
      </c>
      <c r="U132" s="2">
        <f>IF(Source!$C132&gt;=COLUMNS($A132:U132), Source!$E132, "")</f>
        <v>9</v>
      </c>
      <c r="V132" s="2">
        <f>IF(Source!$C132&gt;=COLUMNS($A132:V132), Source!$E132, "")</f>
        <v>9</v>
      </c>
      <c r="W132" s="2">
        <f>IF(Source!$C132&gt;=COLUMNS($A132:W132), Source!$E132, "")</f>
        <v>9</v>
      </c>
      <c r="X132" s="2">
        <f>IF(Source!$C132&gt;=COLUMNS($A132:X132), Source!$E132, "")</f>
        <v>9</v>
      </c>
      <c r="Y132" s="2">
        <f>IF(Source!$C132&gt;=COLUMNS($A132:Y132), Source!$E132, "")</f>
        <v>9</v>
      </c>
      <c r="Z132" s="2">
        <f>IF(Source!$C132&gt;=COLUMNS($A132:Z132), Source!$E132, "")</f>
        <v>9</v>
      </c>
      <c r="AA132" s="2">
        <f>IF(Source!$C132&gt;=COLUMNS($A132:AA132), Source!$E132, "")</f>
        <v>9</v>
      </c>
      <c r="AB132" s="2" t="str">
        <f>IF(Source!$C132&gt;=COLUMNS($A132:AB132), Source!$E132, "")</f>
        <v/>
      </c>
      <c r="AC132" s="2" t="str">
        <f>IF(Source!$C132&gt;=COLUMNS($A132:AC132), Source!$E132, "")</f>
        <v/>
      </c>
      <c r="AD132" s="2" t="str">
        <f>IF(Source!$C132&gt;=COLUMNS($A132:AD132), Source!$E132, "")</f>
        <v/>
      </c>
      <c r="AE132" s="2" t="str">
        <f>IF(Source!$C132&gt;=COLUMNS($A132:AE132), Source!$E132, "")</f>
        <v/>
      </c>
      <c r="AF132" s="2" t="str">
        <f>IF(Source!$C132&gt;=COLUMNS($A132:AF132), Source!$E132, "")</f>
        <v/>
      </c>
      <c r="AG132" s="2" t="str">
        <f>IF(Source!$C132&gt;=COLUMNS($A132:AG132), Source!$E132, "")</f>
        <v/>
      </c>
      <c r="AH132" s="2" t="str">
        <f>IF(Source!$C132&gt;=COLUMNS($A132:AH132), Source!$E132, "")</f>
        <v/>
      </c>
      <c r="AI132" s="2" t="str">
        <f>IF(Source!$C132&gt;=COLUMNS($A132:AI132), Source!$E132, "")</f>
        <v/>
      </c>
      <c r="AJ132" s="2" t="str">
        <f>IF(Source!$C132&gt;=COLUMNS($A132:AJ132), Source!$E132, "")</f>
        <v/>
      </c>
      <c r="AK132" s="2" t="str">
        <f>IF(Source!$C132&gt;=COLUMNS($A132:AK132), Source!$E132, "")</f>
        <v/>
      </c>
      <c r="AL132" s="2" t="str">
        <f>IF(Source!$C132&gt;=COLUMNS($A132:AL132), Source!$E132, "")</f>
        <v/>
      </c>
      <c r="AM132" s="2" t="str">
        <f>IF(Source!$C132&gt;=COLUMNS($A132:AM132), Source!$E132, "")</f>
        <v/>
      </c>
      <c r="AN132" s="2" t="str">
        <f>IF(Source!$C132&gt;=COLUMNS($A132:AN132), Source!$E132, "")</f>
        <v/>
      </c>
      <c r="AO132" s="2" t="str">
        <f>IF(Source!$C132&gt;=COLUMNS($A132:AO132), Source!$E132, "")</f>
        <v/>
      </c>
      <c r="AP132" s="2" t="str">
        <f>IF(Source!$C132&gt;=COLUMNS($A132:AP132), Source!$E132, "")</f>
        <v/>
      </c>
      <c r="AQ132" s="2" t="str">
        <f>IF(Source!$C132&gt;=COLUMNS($A132:AQ132), Source!$E132, "")</f>
        <v/>
      </c>
      <c r="AR132" s="2" t="str">
        <f>IF(Source!$C132&gt;=COLUMNS($A132:AR132), Source!$E132, "")</f>
        <v/>
      </c>
    </row>
    <row r="133">
      <c r="A133" s="2">
        <f>IF(Source!$C133&gt;=COLUMNS($A133:A133), Source!$E133, "")</f>
        <v>3</v>
      </c>
      <c r="B133" s="2">
        <f>IF(Source!$C133&gt;=COLUMNS($A133:B133), Source!$E133, "")</f>
        <v>3</v>
      </c>
      <c r="C133" s="2" t="str">
        <f>IF(Source!$C133&gt;=COLUMNS($A133:C133), Source!$E133, "")</f>
        <v/>
      </c>
      <c r="D133" s="2" t="str">
        <f>IF(Source!$C133&gt;=COLUMNS($A133:D133), Source!$E133, "")</f>
        <v/>
      </c>
      <c r="E133" s="2" t="str">
        <f>IF(Source!$C133&gt;=COLUMNS($A133:E133), Source!$E133, "")</f>
        <v/>
      </c>
      <c r="F133" s="2" t="str">
        <f>IF(Source!$C133&gt;=COLUMNS($A133:F133), Source!$E133, "")</f>
        <v/>
      </c>
      <c r="G133" s="2" t="str">
        <f>IF(Source!$C133&gt;=COLUMNS($A133:G133), Source!$E133, "")</f>
        <v/>
      </c>
      <c r="H133" s="2" t="str">
        <f>IF(Source!$C133&gt;=COLUMNS($A133:H133), Source!$E133, "")</f>
        <v/>
      </c>
      <c r="I133" s="2" t="str">
        <f>IF(Source!$C133&gt;=COLUMNS($A133:I133), Source!$E133, "")</f>
        <v/>
      </c>
      <c r="J133" s="2" t="str">
        <f>IF(Source!$C133&gt;=COLUMNS($A133:J133), Source!$E133, "")</f>
        <v/>
      </c>
      <c r="K133" s="2" t="str">
        <f>IF(Source!$C133&gt;=COLUMNS($A133:K133), Source!$E133, "")</f>
        <v/>
      </c>
      <c r="L133" s="2" t="str">
        <f>IF(Source!$C133&gt;=COLUMNS($A133:L133), Source!$E133, "")</f>
        <v/>
      </c>
      <c r="M133" s="2" t="str">
        <f>IF(Source!$C133&gt;=COLUMNS($A133:M133), Source!$E133, "")</f>
        <v/>
      </c>
      <c r="N133" s="2" t="str">
        <f>IF(Source!$C133&gt;=COLUMNS($A133:N133), Source!$E133, "")</f>
        <v/>
      </c>
      <c r="O133" s="2" t="str">
        <f>IF(Source!$C133&gt;=COLUMNS($A133:O133), Source!$E133, "")</f>
        <v/>
      </c>
      <c r="P133" s="2" t="str">
        <f>IF(Source!$C133&gt;=COLUMNS($A133:P133), Source!$E133, "")</f>
        <v/>
      </c>
      <c r="Q133" s="2" t="str">
        <f>IF(Source!$C133&gt;=COLUMNS($A133:Q133), Source!$E133, "")</f>
        <v/>
      </c>
      <c r="R133" s="2" t="str">
        <f>IF(Source!$C133&gt;=COLUMNS($A133:R133), Source!$E133, "")</f>
        <v/>
      </c>
      <c r="S133" s="2" t="str">
        <f>IF(Source!$C133&gt;=COLUMNS($A133:S133), Source!$E133, "")</f>
        <v/>
      </c>
      <c r="T133" s="2" t="str">
        <f>IF(Source!$C133&gt;=COLUMNS($A133:T133), Source!$E133, "")</f>
        <v/>
      </c>
      <c r="U133" s="2" t="str">
        <f>IF(Source!$C133&gt;=COLUMNS($A133:U133), Source!$E133, "")</f>
        <v/>
      </c>
      <c r="V133" s="2" t="str">
        <f>IF(Source!$C133&gt;=COLUMNS($A133:V133), Source!$E133, "")</f>
        <v/>
      </c>
      <c r="W133" s="2" t="str">
        <f>IF(Source!$C133&gt;=COLUMNS($A133:W133), Source!$E133, "")</f>
        <v/>
      </c>
      <c r="X133" s="2" t="str">
        <f>IF(Source!$C133&gt;=COLUMNS($A133:X133), Source!$E133, "")</f>
        <v/>
      </c>
      <c r="Y133" s="2" t="str">
        <f>IF(Source!$C133&gt;=COLUMNS($A133:Y133), Source!$E133, "")</f>
        <v/>
      </c>
      <c r="Z133" s="2" t="str">
        <f>IF(Source!$C133&gt;=COLUMNS($A133:Z133), Source!$E133, "")</f>
        <v/>
      </c>
      <c r="AA133" s="2" t="str">
        <f>IF(Source!$C133&gt;=COLUMNS($A133:AA133), Source!$E133, "")</f>
        <v/>
      </c>
      <c r="AB133" s="2" t="str">
        <f>IF(Source!$C133&gt;=COLUMNS($A133:AB133), Source!$E133, "")</f>
        <v/>
      </c>
      <c r="AC133" s="2" t="str">
        <f>IF(Source!$C133&gt;=COLUMNS($A133:AC133), Source!$E133, "")</f>
        <v/>
      </c>
      <c r="AD133" s="2" t="str">
        <f>IF(Source!$C133&gt;=COLUMNS($A133:AD133), Source!$E133, "")</f>
        <v/>
      </c>
      <c r="AE133" s="2" t="str">
        <f>IF(Source!$C133&gt;=COLUMNS($A133:AE133), Source!$E133, "")</f>
        <v/>
      </c>
      <c r="AF133" s="2" t="str">
        <f>IF(Source!$C133&gt;=COLUMNS($A133:AF133), Source!$E133, "")</f>
        <v/>
      </c>
      <c r="AG133" s="2" t="str">
        <f>IF(Source!$C133&gt;=COLUMNS($A133:AG133), Source!$E133, "")</f>
        <v/>
      </c>
      <c r="AH133" s="2" t="str">
        <f>IF(Source!$C133&gt;=COLUMNS($A133:AH133), Source!$E133, "")</f>
        <v/>
      </c>
      <c r="AI133" s="2" t="str">
        <f>IF(Source!$C133&gt;=COLUMNS($A133:AI133), Source!$E133, "")</f>
        <v/>
      </c>
      <c r="AJ133" s="2" t="str">
        <f>IF(Source!$C133&gt;=COLUMNS($A133:AJ133), Source!$E133, "")</f>
        <v/>
      </c>
      <c r="AK133" s="2" t="str">
        <f>IF(Source!$C133&gt;=COLUMNS($A133:AK133), Source!$E133, "")</f>
        <v/>
      </c>
      <c r="AL133" s="2" t="str">
        <f>IF(Source!$C133&gt;=COLUMNS($A133:AL133), Source!$E133, "")</f>
        <v/>
      </c>
      <c r="AM133" s="2" t="str">
        <f>IF(Source!$C133&gt;=COLUMNS($A133:AM133), Source!$E133, "")</f>
        <v/>
      </c>
      <c r="AN133" s="2" t="str">
        <f>IF(Source!$C133&gt;=COLUMNS($A133:AN133), Source!$E133, "")</f>
        <v/>
      </c>
      <c r="AO133" s="2" t="str">
        <f>IF(Source!$C133&gt;=COLUMNS($A133:AO133), Source!$E133, "")</f>
        <v/>
      </c>
      <c r="AP133" s="2" t="str">
        <f>IF(Source!$C133&gt;=COLUMNS($A133:AP133), Source!$E133, "")</f>
        <v/>
      </c>
      <c r="AQ133" s="2" t="str">
        <f>IF(Source!$C133&gt;=COLUMNS($A133:AQ133), Source!$E133, "")</f>
        <v/>
      </c>
      <c r="AR133" s="2" t="str">
        <f>IF(Source!$C133&gt;=COLUMNS($A133:AR133), Source!$E133, "")</f>
        <v/>
      </c>
    </row>
    <row r="134">
      <c r="A134" s="2">
        <f>IF(Source!$C134&gt;=COLUMNS($A134:A134), Source!$E134, "")</f>
        <v>5</v>
      </c>
      <c r="B134" s="2" t="str">
        <f>IF(Source!$C134&gt;=COLUMNS($A134:B134), Source!$E134, "")</f>
        <v/>
      </c>
      <c r="C134" s="2" t="str">
        <f>IF(Source!$C134&gt;=COLUMNS($A134:C134), Source!$E134, "")</f>
        <v/>
      </c>
      <c r="D134" s="2" t="str">
        <f>IF(Source!$C134&gt;=COLUMNS($A134:D134), Source!$E134, "")</f>
        <v/>
      </c>
      <c r="E134" s="2" t="str">
        <f>IF(Source!$C134&gt;=COLUMNS($A134:E134), Source!$E134, "")</f>
        <v/>
      </c>
      <c r="F134" s="2" t="str">
        <f>IF(Source!$C134&gt;=COLUMNS($A134:F134), Source!$E134, "")</f>
        <v/>
      </c>
      <c r="G134" s="2" t="str">
        <f>IF(Source!$C134&gt;=COLUMNS($A134:G134), Source!$E134, "")</f>
        <v/>
      </c>
      <c r="H134" s="2" t="str">
        <f>IF(Source!$C134&gt;=COLUMNS($A134:H134), Source!$E134, "")</f>
        <v/>
      </c>
      <c r="I134" s="2" t="str">
        <f>IF(Source!$C134&gt;=COLUMNS($A134:I134), Source!$E134, "")</f>
        <v/>
      </c>
      <c r="J134" s="2" t="str">
        <f>IF(Source!$C134&gt;=COLUMNS($A134:J134), Source!$E134, "")</f>
        <v/>
      </c>
      <c r="K134" s="2" t="str">
        <f>IF(Source!$C134&gt;=COLUMNS($A134:K134), Source!$E134, "")</f>
        <v/>
      </c>
      <c r="L134" s="2" t="str">
        <f>IF(Source!$C134&gt;=COLUMNS($A134:L134), Source!$E134, "")</f>
        <v/>
      </c>
      <c r="M134" s="2" t="str">
        <f>IF(Source!$C134&gt;=COLUMNS($A134:M134), Source!$E134, "")</f>
        <v/>
      </c>
      <c r="N134" s="2" t="str">
        <f>IF(Source!$C134&gt;=COLUMNS($A134:N134), Source!$E134, "")</f>
        <v/>
      </c>
      <c r="O134" s="2" t="str">
        <f>IF(Source!$C134&gt;=COLUMNS($A134:O134), Source!$E134, "")</f>
        <v/>
      </c>
      <c r="P134" s="2" t="str">
        <f>IF(Source!$C134&gt;=COLUMNS($A134:P134), Source!$E134, "")</f>
        <v/>
      </c>
      <c r="Q134" s="2" t="str">
        <f>IF(Source!$C134&gt;=COLUMNS($A134:Q134), Source!$E134, "")</f>
        <v/>
      </c>
      <c r="R134" s="2" t="str">
        <f>IF(Source!$C134&gt;=COLUMNS($A134:R134), Source!$E134, "")</f>
        <v/>
      </c>
      <c r="S134" s="2" t="str">
        <f>IF(Source!$C134&gt;=COLUMNS($A134:S134), Source!$E134, "")</f>
        <v/>
      </c>
      <c r="T134" s="2" t="str">
        <f>IF(Source!$C134&gt;=COLUMNS($A134:T134), Source!$E134, "")</f>
        <v/>
      </c>
      <c r="U134" s="2" t="str">
        <f>IF(Source!$C134&gt;=COLUMNS($A134:U134), Source!$E134, "")</f>
        <v/>
      </c>
      <c r="V134" s="2" t="str">
        <f>IF(Source!$C134&gt;=COLUMNS($A134:V134), Source!$E134, "")</f>
        <v/>
      </c>
      <c r="W134" s="2" t="str">
        <f>IF(Source!$C134&gt;=COLUMNS($A134:W134), Source!$E134, "")</f>
        <v/>
      </c>
      <c r="X134" s="2" t="str">
        <f>IF(Source!$C134&gt;=COLUMNS($A134:X134), Source!$E134, "")</f>
        <v/>
      </c>
      <c r="Y134" s="2" t="str">
        <f>IF(Source!$C134&gt;=COLUMNS($A134:Y134), Source!$E134, "")</f>
        <v/>
      </c>
      <c r="Z134" s="2" t="str">
        <f>IF(Source!$C134&gt;=COLUMNS($A134:Z134), Source!$E134, "")</f>
        <v/>
      </c>
      <c r="AA134" s="2" t="str">
        <f>IF(Source!$C134&gt;=COLUMNS($A134:AA134), Source!$E134, "")</f>
        <v/>
      </c>
      <c r="AB134" s="2" t="str">
        <f>IF(Source!$C134&gt;=COLUMNS($A134:AB134), Source!$E134, "")</f>
        <v/>
      </c>
      <c r="AC134" s="2" t="str">
        <f>IF(Source!$C134&gt;=COLUMNS($A134:AC134), Source!$E134, "")</f>
        <v/>
      </c>
      <c r="AD134" s="2" t="str">
        <f>IF(Source!$C134&gt;=COLUMNS($A134:AD134), Source!$E134, "")</f>
        <v/>
      </c>
      <c r="AE134" s="2" t="str">
        <f>IF(Source!$C134&gt;=COLUMNS($A134:AE134), Source!$E134, "")</f>
        <v/>
      </c>
      <c r="AF134" s="2" t="str">
        <f>IF(Source!$C134&gt;=COLUMNS($A134:AF134), Source!$E134, "")</f>
        <v/>
      </c>
      <c r="AG134" s="2" t="str">
        <f>IF(Source!$C134&gt;=COLUMNS($A134:AG134), Source!$E134, "")</f>
        <v/>
      </c>
      <c r="AH134" s="2" t="str">
        <f>IF(Source!$C134&gt;=COLUMNS($A134:AH134), Source!$E134, "")</f>
        <v/>
      </c>
      <c r="AI134" s="2" t="str">
        <f>IF(Source!$C134&gt;=COLUMNS($A134:AI134), Source!$E134, "")</f>
        <v/>
      </c>
      <c r="AJ134" s="2" t="str">
        <f>IF(Source!$C134&gt;=COLUMNS($A134:AJ134), Source!$E134, "")</f>
        <v/>
      </c>
      <c r="AK134" s="2" t="str">
        <f>IF(Source!$C134&gt;=COLUMNS($A134:AK134), Source!$E134, "")</f>
        <v/>
      </c>
      <c r="AL134" s="2" t="str">
        <f>IF(Source!$C134&gt;=COLUMNS($A134:AL134), Source!$E134, "")</f>
        <v/>
      </c>
      <c r="AM134" s="2" t="str">
        <f>IF(Source!$C134&gt;=COLUMNS($A134:AM134), Source!$E134, "")</f>
        <v/>
      </c>
      <c r="AN134" s="2" t="str">
        <f>IF(Source!$C134&gt;=COLUMNS($A134:AN134), Source!$E134, "")</f>
        <v/>
      </c>
      <c r="AO134" s="2" t="str">
        <f>IF(Source!$C134&gt;=COLUMNS($A134:AO134), Source!$E134, "")</f>
        <v/>
      </c>
      <c r="AP134" s="2" t="str">
        <f>IF(Source!$C134&gt;=COLUMNS($A134:AP134), Source!$E134, "")</f>
        <v/>
      </c>
      <c r="AQ134" s="2" t="str">
        <f>IF(Source!$C134&gt;=COLUMNS($A134:AQ134), Source!$E134, "")</f>
        <v/>
      </c>
      <c r="AR134" s="2" t="str">
        <f>IF(Source!$C134&gt;=COLUMNS($A134:AR134), Source!$E134, "")</f>
        <v/>
      </c>
    </row>
    <row r="135">
      <c r="A135" s="2">
        <f>IF(Source!$C135&gt;=COLUMNS($A135:A135), Source!$E135, "")</f>
        <v>7</v>
      </c>
      <c r="B135" s="2">
        <f>IF(Source!$C135&gt;=COLUMNS($A135:B135), Source!$E135, "")</f>
        <v>7</v>
      </c>
      <c r="C135" s="2">
        <f>IF(Source!$C135&gt;=COLUMNS($A135:C135), Source!$E135, "")</f>
        <v>7</v>
      </c>
      <c r="D135" s="2">
        <f>IF(Source!$C135&gt;=COLUMNS($A135:D135), Source!$E135, "")</f>
        <v>7</v>
      </c>
      <c r="E135" s="2">
        <f>IF(Source!$C135&gt;=COLUMNS($A135:E135), Source!$E135, "")</f>
        <v>7</v>
      </c>
      <c r="F135" s="2">
        <f>IF(Source!$C135&gt;=COLUMNS($A135:F135), Source!$E135, "")</f>
        <v>7</v>
      </c>
      <c r="G135" s="2">
        <f>IF(Source!$C135&gt;=COLUMNS($A135:G135), Source!$E135, "")</f>
        <v>7</v>
      </c>
      <c r="H135" s="2">
        <f>IF(Source!$C135&gt;=COLUMNS($A135:H135), Source!$E135, "")</f>
        <v>7</v>
      </c>
      <c r="I135" s="2">
        <f>IF(Source!$C135&gt;=COLUMNS($A135:I135), Source!$E135, "")</f>
        <v>7</v>
      </c>
      <c r="J135" s="2">
        <f>IF(Source!$C135&gt;=COLUMNS($A135:J135), Source!$E135, "")</f>
        <v>7</v>
      </c>
      <c r="K135" s="2">
        <f>IF(Source!$C135&gt;=COLUMNS($A135:K135), Source!$E135, "")</f>
        <v>7</v>
      </c>
      <c r="L135" s="2">
        <f>IF(Source!$C135&gt;=COLUMNS($A135:L135), Source!$E135, "")</f>
        <v>7</v>
      </c>
      <c r="M135" s="2">
        <f>IF(Source!$C135&gt;=COLUMNS($A135:M135), Source!$E135, "")</f>
        <v>7</v>
      </c>
      <c r="N135" s="2">
        <f>IF(Source!$C135&gt;=COLUMNS($A135:N135), Source!$E135, "")</f>
        <v>7</v>
      </c>
      <c r="O135" s="2">
        <f>IF(Source!$C135&gt;=COLUMNS($A135:O135), Source!$E135, "")</f>
        <v>7</v>
      </c>
      <c r="P135" s="2">
        <f>IF(Source!$C135&gt;=COLUMNS($A135:P135), Source!$E135, "")</f>
        <v>7</v>
      </c>
      <c r="Q135" s="2">
        <f>IF(Source!$C135&gt;=COLUMNS($A135:Q135), Source!$E135, "")</f>
        <v>7</v>
      </c>
      <c r="R135" s="2">
        <f>IF(Source!$C135&gt;=COLUMNS($A135:R135), Source!$E135, "")</f>
        <v>7</v>
      </c>
      <c r="S135" s="2" t="str">
        <f>IF(Source!$C135&gt;=COLUMNS($A135:S135), Source!$E135, "")</f>
        <v/>
      </c>
      <c r="T135" s="2" t="str">
        <f>IF(Source!$C135&gt;=COLUMNS($A135:T135), Source!$E135, "")</f>
        <v/>
      </c>
      <c r="U135" s="2" t="str">
        <f>IF(Source!$C135&gt;=COLUMNS($A135:U135), Source!$E135, "")</f>
        <v/>
      </c>
      <c r="V135" s="2" t="str">
        <f>IF(Source!$C135&gt;=COLUMNS($A135:V135), Source!$E135, "")</f>
        <v/>
      </c>
      <c r="W135" s="2" t="str">
        <f>IF(Source!$C135&gt;=COLUMNS($A135:W135), Source!$E135, "")</f>
        <v/>
      </c>
      <c r="X135" s="2" t="str">
        <f>IF(Source!$C135&gt;=COLUMNS($A135:X135), Source!$E135, "")</f>
        <v/>
      </c>
      <c r="Y135" s="2" t="str">
        <f>IF(Source!$C135&gt;=COLUMNS($A135:Y135), Source!$E135, "")</f>
        <v/>
      </c>
      <c r="Z135" s="2" t="str">
        <f>IF(Source!$C135&gt;=COLUMNS($A135:Z135), Source!$E135, "")</f>
        <v/>
      </c>
      <c r="AA135" s="2" t="str">
        <f>IF(Source!$C135&gt;=COLUMNS($A135:AA135), Source!$E135, "")</f>
        <v/>
      </c>
      <c r="AB135" s="2" t="str">
        <f>IF(Source!$C135&gt;=COLUMNS($A135:AB135), Source!$E135, "")</f>
        <v/>
      </c>
      <c r="AC135" s="2" t="str">
        <f>IF(Source!$C135&gt;=COLUMNS($A135:AC135), Source!$E135, "")</f>
        <v/>
      </c>
      <c r="AD135" s="2" t="str">
        <f>IF(Source!$C135&gt;=COLUMNS($A135:AD135), Source!$E135, "")</f>
        <v/>
      </c>
      <c r="AE135" s="2" t="str">
        <f>IF(Source!$C135&gt;=COLUMNS($A135:AE135), Source!$E135, "")</f>
        <v/>
      </c>
      <c r="AF135" s="2" t="str">
        <f>IF(Source!$C135&gt;=COLUMNS($A135:AF135), Source!$E135, "")</f>
        <v/>
      </c>
      <c r="AG135" s="2" t="str">
        <f>IF(Source!$C135&gt;=COLUMNS($A135:AG135), Source!$E135, "")</f>
        <v/>
      </c>
      <c r="AH135" s="2" t="str">
        <f>IF(Source!$C135&gt;=COLUMNS($A135:AH135), Source!$E135, "")</f>
        <v/>
      </c>
      <c r="AI135" s="2" t="str">
        <f>IF(Source!$C135&gt;=COLUMNS($A135:AI135), Source!$E135, "")</f>
        <v/>
      </c>
      <c r="AJ135" s="2" t="str">
        <f>IF(Source!$C135&gt;=COLUMNS($A135:AJ135), Source!$E135, "")</f>
        <v/>
      </c>
      <c r="AK135" s="2" t="str">
        <f>IF(Source!$C135&gt;=COLUMNS($A135:AK135), Source!$E135, "")</f>
        <v/>
      </c>
      <c r="AL135" s="2" t="str">
        <f>IF(Source!$C135&gt;=COLUMNS($A135:AL135), Source!$E135, "")</f>
        <v/>
      </c>
      <c r="AM135" s="2" t="str">
        <f>IF(Source!$C135&gt;=COLUMNS($A135:AM135), Source!$E135, "")</f>
        <v/>
      </c>
      <c r="AN135" s="2" t="str">
        <f>IF(Source!$C135&gt;=COLUMNS($A135:AN135), Source!$E135, "")</f>
        <v/>
      </c>
      <c r="AO135" s="2" t="str">
        <f>IF(Source!$C135&gt;=COLUMNS($A135:AO135), Source!$E135, "")</f>
        <v/>
      </c>
      <c r="AP135" s="2" t="str">
        <f>IF(Source!$C135&gt;=COLUMNS($A135:AP135), Source!$E135, "")</f>
        <v/>
      </c>
      <c r="AQ135" s="2" t="str">
        <f>IF(Source!$C135&gt;=COLUMNS($A135:AQ135), Source!$E135, "")</f>
        <v/>
      </c>
      <c r="AR135" s="2" t="str">
        <f>IF(Source!$C135&gt;=COLUMNS($A135:AR135), Source!$E135, "")</f>
        <v/>
      </c>
    </row>
    <row r="136">
      <c r="A136" s="2">
        <f>IF(Source!$C136&gt;=COLUMNS($A136:A136), Source!$E136, "")</f>
        <v>3</v>
      </c>
      <c r="B136" s="2" t="str">
        <f>IF(Source!$C136&gt;=COLUMNS($A136:B136), Source!$E136, "")</f>
        <v/>
      </c>
      <c r="C136" s="2" t="str">
        <f>IF(Source!$C136&gt;=COLUMNS($A136:C136), Source!$E136, "")</f>
        <v/>
      </c>
      <c r="D136" s="2" t="str">
        <f>IF(Source!$C136&gt;=COLUMNS($A136:D136), Source!$E136, "")</f>
        <v/>
      </c>
      <c r="E136" s="2" t="str">
        <f>IF(Source!$C136&gt;=COLUMNS($A136:E136), Source!$E136, "")</f>
        <v/>
      </c>
      <c r="F136" s="2" t="str">
        <f>IF(Source!$C136&gt;=COLUMNS($A136:F136), Source!$E136, "")</f>
        <v/>
      </c>
      <c r="G136" s="2" t="str">
        <f>IF(Source!$C136&gt;=COLUMNS($A136:G136), Source!$E136, "")</f>
        <v/>
      </c>
      <c r="H136" s="2" t="str">
        <f>IF(Source!$C136&gt;=COLUMNS($A136:H136), Source!$E136, "")</f>
        <v/>
      </c>
      <c r="I136" s="2" t="str">
        <f>IF(Source!$C136&gt;=COLUMNS($A136:I136), Source!$E136, "")</f>
        <v/>
      </c>
      <c r="J136" s="2" t="str">
        <f>IF(Source!$C136&gt;=COLUMNS($A136:J136), Source!$E136, "")</f>
        <v/>
      </c>
      <c r="K136" s="2" t="str">
        <f>IF(Source!$C136&gt;=COLUMNS($A136:K136), Source!$E136, "")</f>
        <v/>
      </c>
      <c r="L136" s="2" t="str">
        <f>IF(Source!$C136&gt;=COLUMNS($A136:L136), Source!$E136, "")</f>
        <v/>
      </c>
      <c r="M136" s="2" t="str">
        <f>IF(Source!$C136&gt;=COLUMNS($A136:M136), Source!$E136, "")</f>
        <v/>
      </c>
      <c r="N136" s="2" t="str">
        <f>IF(Source!$C136&gt;=COLUMNS($A136:N136), Source!$E136, "")</f>
        <v/>
      </c>
      <c r="O136" s="2" t="str">
        <f>IF(Source!$C136&gt;=COLUMNS($A136:O136), Source!$E136, "")</f>
        <v/>
      </c>
      <c r="P136" s="2" t="str">
        <f>IF(Source!$C136&gt;=COLUMNS($A136:P136), Source!$E136, "")</f>
        <v/>
      </c>
      <c r="Q136" s="2" t="str">
        <f>IF(Source!$C136&gt;=COLUMNS($A136:Q136), Source!$E136, "")</f>
        <v/>
      </c>
      <c r="R136" s="2" t="str">
        <f>IF(Source!$C136&gt;=COLUMNS($A136:R136), Source!$E136, "")</f>
        <v/>
      </c>
      <c r="S136" s="2" t="str">
        <f>IF(Source!$C136&gt;=COLUMNS($A136:S136), Source!$E136, "")</f>
        <v/>
      </c>
      <c r="T136" s="2" t="str">
        <f>IF(Source!$C136&gt;=COLUMNS($A136:T136), Source!$E136, "")</f>
        <v/>
      </c>
      <c r="U136" s="2" t="str">
        <f>IF(Source!$C136&gt;=COLUMNS($A136:U136), Source!$E136, "")</f>
        <v/>
      </c>
      <c r="V136" s="2" t="str">
        <f>IF(Source!$C136&gt;=COLUMNS($A136:V136), Source!$E136, "")</f>
        <v/>
      </c>
      <c r="W136" s="2" t="str">
        <f>IF(Source!$C136&gt;=COLUMNS($A136:W136), Source!$E136, "")</f>
        <v/>
      </c>
      <c r="X136" s="2" t="str">
        <f>IF(Source!$C136&gt;=COLUMNS($A136:X136), Source!$E136, "")</f>
        <v/>
      </c>
      <c r="Y136" s="2" t="str">
        <f>IF(Source!$C136&gt;=COLUMNS($A136:Y136), Source!$E136, "")</f>
        <v/>
      </c>
      <c r="Z136" s="2" t="str">
        <f>IF(Source!$C136&gt;=COLUMNS($A136:Z136), Source!$E136, "")</f>
        <v/>
      </c>
      <c r="AA136" s="2" t="str">
        <f>IF(Source!$C136&gt;=COLUMNS($A136:AA136), Source!$E136, "")</f>
        <v/>
      </c>
      <c r="AB136" s="2" t="str">
        <f>IF(Source!$C136&gt;=COLUMNS($A136:AB136), Source!$E136, "")</f>
        <v/>
      </c>
      <c r="AC136" s="2" t="str">
        <f>IF(Source!$C136&gt;=COLUMNS($A136:AC136), Source!$E136, "")</f>
        <v/>
      </c>
      <c r="AD136" s="2" t="str">
        <f>IF(Source!$C136&gt;=COLUMNS($A136:AD136), Source!$E136, "")</f>
        <v/>
      </c>
      <c r="AE136" s="2" t="str">
        <f>IF(Source!$C136&gt;=COLUMNS($A136:AE136), Source!$E136, "")</f>
        <v/>
      </c>
      <c r="AF136" s="2" t="str">
        <f>IF(Source!$C136&gt;=COLUMNS($A136:AF136), Source!$E136, "")</f>
        <v/>
      </c>
      <c r="AG136" s="2" t="str">
        <f>IF(Source!$C136&gt;=COLUMNS($A136:AG136), Source!$E136, "")</f>
        <v/>
      </c>
      <c r="AH136" s="2" t="str">
        <f>IF(Source!$C136&gt;=COLUMNS($A136:AH136), Source!$E136, "")</f>
        <v/>
      </c>
      <c r="AI136" s="2" t="str">
        <f>IF(Source!$C136&gt;=COLUMNS($A136:AI136), Source!$E136, "")</f>
        <v/>
      </c>
      <c r="AJ136" s="2" t="str">
        <f>IF(Source!$C136&gt;=COLUMNS($A136:AJ136), Source!$E136, "")</f>
        <v/>
      </c>
      <c r="AK136" s="2" t="str">
        <f>IF(Source!$C136&gt;=COLUMNS($A136:AK136), Source!$E136, "")</f>
        <v/>
      </c>
      <c r="AL136" s="2" t="str">
        <f>IF(Source!$C136&gt;=COLUMNS($A136:AL136), Source!$E136, "")</f>
        <v/>
      </c>
      <c r="AM136" s="2" t="str">
        <f>IF(Source!$C136&gt;=COLUMNS($A136:AM136), Source!$E136, "")</f>
        <v/>
      </c>
      <c r="AN136" s="2" t="str">
        <f>IF(Source!$C136&gt;=COLUMNS($A136:AN136), Source!$E136, "")</f>
        <v/>
      </c>
      <c r="AO136" s="2" t="str">
        <f>IF(Source!$C136&gt;=COLUMNS($A136:AO136), Source!$E136, "")</f>
        <v/>
      </c>
      <c r="AP136" s="2" t="str">
        <f>IF(Source!$C136&gt;=COLUMNS($A136:AP136), Source!$E136, "")</f>
        <v/>
      </c>
      <c r="AQ136" s="2" t="str">
        <f>IF(Source!$C136&gt;=COLUMNS($A136:AQ136), Source!$E136, "")</f>
        <v/>
      </c>
      <c r="AR136" s="2" t="str">
        <f>IF(Source!$C136&gt;=COLUMNS($A136:AR136), Source!$E136, "")</f>
        <v/>
      </c>
    </row>
    <row r="137">
      <c r="A137" s="2">
        <f>IF(Source!$C137&gt;=COLUMNS($A137:A137), Source!$E137, "")</f>
        <v>5</v>
      </c>
      <c r="B137" s="2" t="str">
        <f>IF(Source!$C137&gt;=COLUMNS($A137:B137), Source!$E137, "")</f>
        <v/>
      </c>
      <c r="C137" s="2" t="str">
        <f>IF(Source!$C137&gt;=COLUMNS($A137:C137), Source!$E137, "")</f>
        <v/>
      </c>
      <c r="D137" s="2" t="str">
        <f>IF(Source!$C137&gt;=COLUMNS($A137:D137), Source!$E137, "")</f>
        <v/>
      </c>
      <c r="E137" s="2" t="str">
        <f>IF(Source!$C137&gt;=COLUMNS($A137:E137), Source!$E137, "")</f>
        <v/>
      </c>
      <c r="F137" s="2" t="str">
        <f>IF(Source!$C137&gt;=COLUMNS($A137:F137), Source!$E137, "")</f>
        <v/>
      </c>
      <c r="G137" s="2" t="str">
        <f>IF(Source!$C137&gt;=COLUMNS($A137:G137), Source!$E137, "")</f>
        <v/>
      </c>
      <c r="H137" s="2" t="str">
        <f>IF(Source!$C137&gt;=COLUMNS($A137:H137), Source!$E137, "")</f>
        <v/>
      </c>
      <c r="I137" s="2" t="str">
        <f>IF(Source!$C137&gt;=COLUMNS($A137:I137), Source!$E137, "")</f>
        <v/>
      </c>
      <c r="J137" s="2" t="str">
        <f>IF(Source!$C137&gt;=COLUMNS($A137:J137), Source!$E137, "")</f>
        <v/>
      </c>
      <c r="K137" s="2" t="str">
        <f>IF(Source!$C137&gt;=COLUMNS($A137:K137), Source!$E137, "")</f>
        <v/>
      </c>
      <c r="L137" s="2" t="str">
        <f>IF(Source!$C137&gt;=COLUMNS($A137:L137), Source!$E137, "")</f>
        <v/>
      </c>
      <c r="M137" s="2" t="str">
        <f>IF(Source!$C137&gt;=COLUMNS($A137:M137), Source!$E137, "")</f>
        <v/>
      </c>
      <c r="N137" s="2" t="str">
        <f>IF(Source!$C137&gt;=COLUMNS($A137:N137), Source!$E137, "")</f>
        <v/>
      </c>
      <c r="O137" s="2" t="str">
        <f>IF(Source!$C137&gt;=COLUMNS($A137:O137), Source!$E137, "")</f>
        <v/>
      </c>
      <c r="P137" s="2" t="str">
        <f>IF(Source!$C137&gt;=COLUMNS($A137:P137), Source!$E137, "")</f>
        <v/>
      </c>
      <c r="Q137" s="2" t="str">
        <f>IF(Source!$C137&gt;=COLUMNS($A137:Q137), Source!$E137, "")</f>
        <v/>
      </c>
      <c r="R137" s="2" t="str">
        <f>IF(Source!$C137&gt;=COLUMNS($A137:R137), Source!$E137, "")</f>
        <v/>
      </c>
      <c r="S137" s="2" t="str">
        <f>IF(Source!$C137&gt;=COLUMNS($A137:S137), Source!$E137, "")</f>
        <v/>
      </c>
      <c r="T137" s="2" t="str">
        <f>IF(Source!$C137&gt;=COLUMNS($A137:T137), Source!$E137, "")</f>
        <v/>
      </c>
      <c r="U137" s="2" t="str">
        <f>IF(Source!$C137&gt;=COLUMNS($A137:U137), Source!$E137, "")</f>
        <v/>
      </c>
      <c r="V137" s="2" t="str">
        <f>IF(Source!$C137&gt;=COLUMNS($A137:V137), Source!$E137, "")</f>
        <v/>
      </c>
      <c r="W137" s="2" t="str">
        <f>IF(Source!$C137&gt;=COLUMNS($A137:W137), Source!$E137, "")</f>
        <v/>
      </c>
      <c r="X137" s="2" t="str">
        <f>IF(Source!$C137&gt;=COLUMNS($A137:X137), Source!$E137, "")</f>
        <v/>
      </c>
      <c r="Y137" s="2" t="str">
        <f>IF(Source!$C137&gt;=COLUMNS($A137:Y137), Source!$E137, "")</f>
        <v/>
      </c>
      <c r="Z137" s="2" t="str">
        <f>IF(Source!$C137&gt;=COLUMNS($A137:Z137), Source!$E137, "")</f>
        <v/>
      </c>
      <c r="AA137" s="2" t="str">
        <f>IF(Source!$C137&gt;=COLUMNS($A137:AA137), Source!$E137, "")</f>
        <v/>
      </c>
      <c r="AB137" s="2" t="str">
        <f>IF(Source!$C137&gt;=COLUMNS($A137:AB137), Source!$E137, "")</f>
        <v/>
      </c>
      <c r="AC137" s="2" t="str">
        <f>IF(Source!$C137&gt;=COLUMNS($A137:AC137), Source!$E137, "")</f>
        <v/>
      </c>
      <c r="AD137" s="2" t="str">
        <f>IF(Source!$C137&gt;=COLUMNS($A137:AD137), Source!$E137, "")</f>
        <v/>
      </c>
      <c r="AE137" s="2" t="str">
        <f>IF(Source!$C137&gt;=COLUMNS($A137:AE137), Source!$E137, "")</f>
        <v/>
      </c>
      <c r="AF137" s="2" t="str">
        <f>IF(Source!$C137&gt;=COLUMNS($A137:AF137), Source!$E137, "")</f>
        <v/>
      </c>
      <c r="AG137" s="2" t="str">
        <f>IF(Source!$C137&gt;=COLUMNS($A137:AG137), Source!$E137, "")</f>
        <v/>
      </c>
      <c r="AH137" s="2" t="str">
        <f>IF(Source!$C137&gt;=COLUMNS($A137:AH137), Source!$E137, "")</f>
        <v/>
      </c>
      <c r="AI137" s="2" t="str">
        <f>IF(Source!$C137&gt;=COLUMNS($A137:AI137), Source!$E137, "")</f>
        <v/>
      </c>
      <c r="AJ137" s="2" t="str">
        <f>IF(Source!$C137&gt;=COLUMNS($A137:AJ137), Source!$E137, "")</f>
        <v/>
      </c>
      <c r="AK137" s="2" t="str">
        <f>IF(Source!$C137&gt;=COLUMNS($A137:AK137), Source!$E137, "")</f>
        <v/>
      </c>
      <c r="AL137" s="2" t="str">
        <f>IF(Source!$C137&gt;=COLUMNS($A137:AL137), Source!$E137, "")</f>
        <v/>
      </c>
      <c r="AM137" s="2" t="str">
        <f>IF(Source!$C137&gt;=COLUMNS($A137:AM137), Source!$E137, "")</f>
        <v/>
      </c>
      <c r="AN137" s="2" t="str">
        <f>IF(Source!$C137&gt;=COLUMNS($A137:AN137), Source!$E137, "")</f>
        <v/>
      </c>
      <c r="AO137" s="2" t="str">
        <f>IF(Source!$C137&gt;=COLUMNS($A137:AO137), Source!$E137, "")</f>
        <v/>
      </c>
      <c r="AP137" s="2" t="str">
        <f>IF(Source!$C137&gt;=COLUMNS($A137:AP137), Source!$E137, "")</f>
        <v/>
      </c>
      <c r="AQ137" s="2" t="str">
        <f>IF(Source!$C137&gt;=COLUMNS($A137:AQ137), Source!$E137, "")</f>
        <v/>
      </c>
      <c r="AR137" s="2" t="str">
        <f>IF(Source!$C137&gt;=COLUMNS($A137:AR137), Source!$E137, "")</f>
        <v/>
      </c>
    </row>
    <row r="138">
      <c r="A138" s="2">
        <f>IF(Source!$C138&gt;=COLUMNS($A138:A138), Source!$E138, "")</f>
        <v>5</v>
      </c>
      <c r="B138" s="2">
        <f>IF(Source!$C138&gt;=COLUMNS($A138:B138), Source!$E138, "")</f>
        <v>5</v>
      </c>
      <c r="C138" s="2">
        <f>IF(Source!$C138&gt;=COLUMNS($A138:C138), Source!$E138, "")</f>
        <v>5</v>
      </c>
      <c r="D138" s="2">
        <f>IF(Source!$C138&gt;=COLUMNS($A138:D138), Source!$E138, "")</f>
        <v>5</v>
      </c>
      <c r="E138" s="2">
        <f>IF(Source!$C138&gt;=COLUMNS($A138:E138), Source!$E138, "")</f>
        <v>5</v>
      </c>
      <c r="F138" s="2">
        <f>IF(Source!$C138&gt;=COLUMNS($A138:F138), Source!$E138, "")</f>
        <v>5</v>
      </c>
      <c r="G138" s="2">
        <f>IF(Source!$C138&gt;=COLUMNS($A138:G138), Source!$E138, "")</f>
        <v>5</v>
      </c>
      <c r="H138" s="2">
        <f>IF(Source!$C138&gt;=COLUMNS($A138:H138), Source!$E138, "")</f>
        <v>5</v>
      </c>
      <c r="I138" s="2">
        <f>IF(Source!$C138&gt;=COLUMNS($A138:I138), Source!$E138, "")</f>
        <v>5</v>
      </c>
      <c r="J138" s="2">
        <f>IF(Source!$C138&gt;=COLUMNS($A138:J138), Source!$E138, "")</f>
        <v>5</v>
      </c>
      <c r="K138" s="2">
        <f>IF(Source!$C138&gt;=COLUMNS($A138:K138), Source!$E138, "")</f>
        <v>5</v>
      </c>
      <c r="L138" s="2">
        <f>IF(Source!$C138&gt;=COLUMNS($A138:L138), Source!$E138, "")</f>
        <v>5</v>
      </c>
      <c r="M138" s="2">
        <f>IF(Source!$C138&gt;=COLUMNS($A138:M138), Source!$E138, "")</f>
        <v>5</v>
      </c>
      <c r="N138" s="2">
        <f>IF(Source!$C138&gt;=COLUMNS($A138:N138), Source!$E138, "")</f>
        <v>5</v>
      </c>
      <c r="O138" s="2">
        <f>IF(Source!$C138&gt;=COLUMNS($A138:O138), Source!$E138, "")</f>
        <v>5</v>
      </c>
      <c r="P138" s="2">
        <f>IF(Source!$C138&gt;=COLUMNS($A138:P138), Source!$E138, "")</f>
        <v>5</v>
      </c>
      <c r="Q138" s="2">
        <f>IF(Source!$C138&gt;=COLUMNS($A138:Q138), Source!$E138, "")</f>
        <v>5</v>
      </c>
      <c r="R138" s="2">
        <f>IF(Source!$C138&gt;=COLUMNS($A138:R138), Source!$E138, "")</f>
        <v>5</v>
      </c>
      <c r="S138" s="2" t="str">
        <f>IF(Source!$C138&gt;=COLUMNS($A138:S138), Source!$E138, "")</f>
        <v/>
      </c>
      <c r="T138" s="2" t="str">
        <f>IF(Source!$C138&gt;=COLUMNS($A138:T138), Source!$E138, "")</f>
        <v/>
      </c>
      <c r="U138" s="2" t="str">
        <f>IF(Source!$C138&gt;=COLUMNS($A138:U138), Source!$E138, "")</f>
        <v/>
      </c>
      <c r="V138" s="2" t="str">
        <f>IF(Source!$C138&gt;=COLUMNS($A138:V138), Source!$E138, "")</f>
        <v/>
      </c>
      <c r="W138" s="2" t="str">
        <f>IF(Source!$C138&gt;=COLUMNS($A138:W138), Source!$E138, "")</f>
        <v/>
      </c>
      <c r="X138" s="2" t="str">
        <f>IF(Source!$C138&gt;=COLUMNS($A138:X138), Source!$E138, "")</f>
        <v/>
      </c>
      <c r="Y138" s="2" t="str">
        <f>IF(Source!$C138&gt;=COLUMNS($A138:Y138), Source!$E138, "")</f>
        <v/>
      </c>
      <c r="Z138" s="2" t="str">
        <f>IF(Source!$C138&gt;=COLUMNS($A138:Z138), Source!$E138, "")</f>
        <v/>
      </c>
      <c r="AA138" s="2" t="str">
        <f>IF(Source!$C138&gt;=COLUMNS($A138:AA138), Source!$E138, "")</f>
        <v/>
      </c>
      <c r="AB138" s="2" t="str">
        <f>IF(Source!$C138&gt;=COLUMNS($A138:AB138), Source!$E138, "")</f>
        <v/>
      </c>
      <c r="AC138" s="2" t="str">
        <f>IF(Source!$C138&gt;=COLUMNS($A138:AC138), Source!$E138, "")</f>
        <v/>
      </c>
      <c r="AD138" s="2" t="str">
        <f>IF(Source!$C138&gt;=COLUMNS($A138:AD138), Source!$E138, "")</f>
        <v/>
      </c>
      <c r="AE138" s="2" t="str">
        <f>IF(Source!$C138&gt;=COLUMNS($A138:AE138), Source!$E138, "")</f>
        <v/>
      </c>
      <c r="AF138" s="2" t="str">
        <f>IF(Source!$C138&gt;=COLUMNS($A138:AF138), Source!$E138, "")</f>
        <v/>
      </c>
      <c r="AG138" s="2" t="str">
        <f>IF(Source!$C138&gt;=COLUMNS($A138:AG138), Source!$E138, "")</f>
        <v/>
      </c>
      <c r="AH138" s="2" t="str">
        <f>IF(Source!$C138&gt;=COLUMNS($A138:AH138), Source!$E138, "")</f>
        <v/>
      </c>
      <c r="AI138" s="2" t="str">
        <f>IF(Source!$C138&gt;=COLUMNS($A138:AI138), Source!$E138, "")</f>
        <v/>
      </c>
      <c r="AJ138" s="2" t="str">
        <f>IF(Source!$C138&gt;=COLUMNS($A138:AJ138), Source!$E138, "")</f>
        <v/>
      </c>
      <c r="AK138" s="2" t="str">
        <f>IF(Source!$C138&gt;=COLUMNS($A138:AK138), Source!$E138, "")</f>
        <v/>
      </c>
      <c r="AL138" s="2" t="str">
        <f>IF(Source!$C138&gt;=COLUMNS($A138:AL138), Source!$E138, "")</f>
        <v/>
      </c>
      <c r="AM138" s="2" t="str">
        <f>IF(Source!$C138&gt;=COLUMNS($A138:AM138), Source!$E138, "")</f>
        <v/>
      </c>
      <c r="AN138" s="2" t="str">
        <f>IF(Source!$C138&gt;=COLUMNS($A138:AN138), Source!$E138, "")</f>
        <v/>
      </c>
      <c r="AO138" s="2" t="str">
        <f>IF(Source!$C138&gt;=COLUMNS($A138:AO138), Source!$E138, "")</f>
        <v/>
      </c>
      <c r="AP138" s="2" t="str">
        <f>IF(Source!$C138&gt;=COLUMNS($A138:AP138), Source!$E138, "")</f>
        <v/>
      </c>
      <c r="AQ138" s="2" t="str">
        <f>IF(Source!$C138&gt;=COLUMNS($A138:AQ138), Source!$E138, "")</f>
        <v/>
      </c>
      <c r="AR138" s="2" t="str">
        <f>IF(Source!$C138&gt;=COLUMNS($A138:AR138), Source!$E138, "")</f>
        <v/>
      </c>
    </row>
    <row r="139">
      <c r="A139" s="2">
        <f>IF(Source!$C139&gt;=COLUMNS($A139:A139), Source!$E139, "")</f>
        <v>6</v>
      </c>
      <c r="B139" s="2" t="str">
        <f>IF(Source!$C139&gt;=COLUMNS($A139:B139), Source!$E139, "")</f>
        <v/>
      </c>
      <c r="C139" s="2" t="str">
        <f>IF(Source!$C139&gt;=COLUMNS($A139:C139), Source!$E139, "")</f>
        <v/>
      </c>
      <c r="D139" s="2" t="str">
        <f>IF(Source!$C139&gt;=COLUMNS($A139:D139), Source!$E139, "")</f>
        <v/>
      </c>
      <c r="E139" s="2" t="str">
        <f>IF(Source!$C139&gt;=COLUMNS($A139:E139), Source!$E139, "")</f>
        <v/>
      </c>
      <c r="F139" s="2" t="str">
        <f>IF(Source!$C139&gt;=COLUMNS($A139:F139), Source!$E139, "")</f>
        <v/>
      </c>
      <c r="G139" s="2" t="str">
        <f>IF(Source!$C139&gt;=COLUMNS($A139:G139), Source!$E139, "")</f>
        <v/>
      </c>
      <c r="H139" s="2" t="str">
        <f>IF(Source!$C139&gt;=COLUMNS($A139:H139), Source!$E139, "")</f>
        <v/>
      </c>
      <c r="I139" s="2" t="str">
        <f>IF(Source!$C139&gt;=COLUMNS($A139:I139), Source!$E139, "")</f>
        <v/>
      </c>
      <c r="J139" s="2" t="str">
        <f>IF(Source!$C139&gt;=COLUMNS($A139:J139), Source!$E139, "")</f>
        <v/>
      </c>
      <c r="K139" s="2" t="str">
        <f>IF(Source!$C139&gt;=COLUMNS($A139:K139), Source!$E139, "")</f>
        <v/>
      </c>
      <c r="L139" s="2" t="str">
        <f>IF(Source!$C139&gt;=COLUMNS($A139:L139), Source!$E139, "")</f>
        <v/>
      </c>
      <c r="M139" s="2" t="str">
        <f>IF(Source!$C139&gt;=COLUMNS($A139:M139), Source!$E139, "")</f>
        <v/>
      </c>
      <c r="N139" s="2" t="str">
        <f>IF(Source!$C139&gt;=COLUMNS($A139:N139), Source!$E139, "")</f>
        <v/>
      </c>
      <c r="O139" s="2" t="str">
        <f>IF(Source!$C139&gt;=COLUMNS($A139:O139), Source!$E139, "")</f>
        <v/>
      </c>
      <c r="P139" s="2" t="str">
        <f>IF(Source!$C139&gt;=COLUMNS($A139:P139), Source!$E139, "")</f>
        <v/>
      </c>
      <c r="Q139" s="2" t="str">
        <f>IF(Source!$C139&gt;=COLUMNS($A139:Q139), Source!$E139, "")</f>
        <v/>
      </c>
      <c r="R139" s="2" t="str">
        <f>IF(Source!$C139&gt;=COLUMNS($A139:R139), Source!$E139, "")</f>
        <v/>
      </c>
      <c r="S139" s="2" t="str">
        <f>IF(Source!$C139&gt;=COLUMNS($A139:S139), Source!$E139, "")</f>
        <v/>
      </c>
      <c r="T139" s="2" t="str">
        <f>IF(Source!$C139&gt;=COLUMNS($A139:T139), Source!$E139, "")</f>
        <v/>
      </c>
      <c r="U139" s="2" t="str">
        <f>IF(Source!$C139&gt;=COLUMNS($A139:U139), Source!$E139, "")</f>
        <v/>
      </c>
      <c r="V139" s="2" t="str">
        <f>IF(Source!$C139&gt;=COLUMNS($A139:V139), Source!$E139, "")</f>
        <v/>
      </c>
      <c r="W139" s="2" t="str">
        <f>IF(Source!$C139&gt;=COLUMNS($A139:W139), Source!$E139, "")</f>
        <v/>
      </c>
      <c r="X139" s="2" t="str">
        <f>IF(Source!$C139&gt;=COLUMNS($A139:X139), Source!$E139, "")</f>
        <v/>
      </c>
      <c r="Y139" s="2" t="str">
        <f>IF(Source!$C139&gt;=COLUMNS($A139:Y139), Source!$E139, "")</f>
        <v/>
      </c>
      <c r="Z139" s="2" t="str">
        <f>IF(Source!$C139&gt;=COLUMNS($A139:Z139), Source!$E139, "")</f>
        <v/>
      </c>
      <c r="AA139" s="2" t="str">
        <f>IF(Source!$C139&gt;=COLUMNS($A139:AA139), Source!$E139, "")</f>
        <v/>
      </c>
      <c r="AB139" s="2" t="str">
        <f>IF(Source!$C139&gt;=COLUMNS($A139:AB139), Source!$E139, "")</f>
        <v/>
      </c>
      <c r="AC139" s="2" t="str">
        <f>IF(Source!$C139&gt;=COLUMNS($A139:AC139), Source!$E139, "")</f>
        <v/>
      </c>
      <c r="AD139" s="2" t="str">
        <f>IF(Source!$C139&gt;=COLUMNS($A139:AD139), Source!$E139, "")</f>
        <v/>
      </c>
      <c r="AE139" s="2" t="str">
        <f>IF(Source!$C139&gt;=COLUMNS($A139:AE139), Source!$E139, "")</f>
        <v/>
      </c>
      <c r="AF139" s="2" t="str">
        <f>IF(Source!$C139&gt;=COLUMNS($A139:AF139), Source!$E139, "")</f>
        <v/>
      </c>
      <c r="AG139" s="2" t="str">
        <f>IF(Source!$C139&gt;=COLUMNS($A139:AG139), Source!$E139, "")</f>
        <v/>
      </c>
      <c r="AH139" s="2" t="str">
        <f>IF(Source!$C139&gt;=COLUMNS($A139:AH139), Source!$E139, "")</f>
        <v/>
      </c>
      <c r="AI139" s="2" t="str">
        <f>IF(Source!$C139&gt;=COLUMNS($A139:AI139), Source!$E139, "")</f>
        <v/>
      </c>
      <c r="AJ139" s="2" t="str">
        <f>IF(Source!$C139&gt;=COLUMNS($A139:AJ139), Source!$E139, "")</f>
        <v/>
      </c>
      <c r="AK139" s="2" t="str">
        <f>IF(Source!$C139&gt;=COLUMNS($A139:AK139), Source!$E139, "")</f>
        <v/>
      </c>
      <c r="AL139" s="2" t="str">
        <f>IF(Source!$C139&gt;=COLUMNS($A139:AL139), Source!$E139, "")</f>
        <v/>
      </c>
      <c r="AM139" s="2" t="str">
        <f>IF(Source!$C139&gt;=COLUMNS($A139:AM139), Source!$E139, "")</f>
        <v/>
      </c>
      <c r="AN139" s="2" t="str">
        <f>IF(Source!$C139&gt;=COLUMNS($A139:AN139), Source!$E139, "")</f>
        <v/>
      </c>
      <c r="AO139" s="2" t="str">
        <f>IF(Source!$C139&gt;=COLUMNS($A139:AO139), Source!$E139, "")</f>
        <v/>
      </c>
      <c r="AP139" s="2" t="str">
        <f>IF(Source!$C139&gt;=COLUMNS($A139:AP139), Source!$E139, "")</f>
        <v/>
      </c>
      <c r="AQ139" s="2" t="str">
        <f>IF(Source!$C139&gt;=COLUMNS($A139:AQ139), Source!$E139, "")</f>
        <v/>
      </c>
      <c r="AR139" s="2" t="str">
        <f>IF(Source!$C139&gt;=COLUMNS($A139:AR139), Source!$E139, "")</f>
        <v/>
      </c>
    </row>
    <row r="140">
      <c r="A140" s="2">
        <f>IF(Source!$C140&gt;=COLUMNS($A140:A140), Source!$E140, "")</f>
        <v>9</v>
      </c>
      <c r="B140" s="2">
        <f>IF(Source!$C140&gt;=COLUMNS($A140:B140), Source!$E140, "")</f>
        <v>9</v>
      </c>
      <c r="C140" s="2" t="str">
        <f>IF(Source!$C140&gt;=COLUMNS($A140:C140), Source!$E140, "")</f>
        <v/>
      </c>
      <c r="D140" s="2" t="str">
        <f>IF(Source!$C140&gt;=COLUMNS($A140:D140), Source!$E140, "")</f>
        <v/>
      </c>
      <c r="E140" s="2" t="str">
        <f>IF(Source!$C140&gt;=COLUMNS($A140:E140), Source!$E140, "")</f>
        <v/>
      </c>
      <c r="F140" s="2" t="str">
        <f>IF(Source!$C140&gt;=COLUMNS($A140:F140), Source!$E140, "")</f>
        <v/>
      </c>
      <c r="G140" s="2" t="str">
        <f>IF(Source!$C140&gt;=COLUMNS($A140:G140), Source!$E140, "")</f>
        <v/>
      </c>
      <c r="H140" s="2" t="str">
        <f>IF(Source!$C140&gt;=COLUMNS($A140:H140), Source!$E140, "")</f>
        <v/>
      </c>
      <c r="I140" s="2" t="str">
        <f>IF(Source!$C140&gt;=COLUMNS($A140:I140), Source!$E140, "")</f>
        <v/>
      </c>
      <c r="J140" s="2" t="str">
        <f>IF(Source!$C140&gt;=COLUMNS($A140:J140), Source!$E140, "")</f>
        <v/>
      </c>
      <c r="K140" s="2" t="str">
        <f>IF(Source!$C140&gt;=COLUMNS($A140:K140), Source!$E140, "")</f>
        <v/>
      </c>
      <c r="L140" s="2" t="str">
        <f>IF(Source!$C140&gt;=COLUMNS($A140:L140), Source!$E140, "")</f>
        <v/>
      </c>
      <c r="M140" s="2" t="str">
        <f>IF(Source!$C140&gt;=COLUMNS($A140:M140), Source!$E140, "")</f>
        <v/>
      </c>
      <c r="N140" s="2" t="str">
        <f>IF(Source!$C140&gt;=COLUMNS($A140:N140), Source!$E140, "")</f>
        <v/>
      </c>
      <c r="O140" s="2" t="str">
        <f>IF(Source!$C140&gt;=COLUMNS($A140:O140), Source!$E140, "")</f>
        <v/>
      </c>
      <c r="P140" s="2" t="str">
        <f>IF(Source!$C140&gt;=COLUMNS($A140:P140), Source!$E140, "")</f>
        <v/>
      </c>
      <c r="Q140" s="2" t="str">
        <f>IF(Source!$C140&gt;=COLUMNS($A140:Q140), Source!$E140, "")</f>
        <v/>
      </c>
      <c r="R140" s="2" t="str">
        <f>IF(Source!$C140&gt;=COLUMNS($A140:R140), Source!$E140, "")</f>
        <v/>
      </c>
      <c r="S140" s="2" t="str">
        <f>IF(Source!$C140&gt;=COLUMNS($A140:S140), Source!$E140, "")</f>
        <v/>
      </c>
      <c r="T140" s="2" t="str">
        <f>IF(Source!$C140&gt;=COLUMNS($A140:T140), Source!$E140, "")</f>
        <v/>
      </c>
      <c r="U140" s="2" t="str">
        <f>IF(Source!$C140&gt;=COLUMNS($A140:U140), Source!$E140, "")</f>
        <v/>
      </c>
      <c r="V140" s="2" t="str">
        <f>IF(Source!$C140&gt;=COLUMNS($A140:V140), Source!$E140, "")</f>
        <v/>
      </c>
      <c r="W140" s="2" t="str">
        <f>IF(Source!$C140&gt;=COLUMNS($A140:W140), Source!$E140, "")</f>
        <v/>
      </c>
      <c r="X140" s="2" t="str">
        <f>IF(Source!$C140&gt;=COLUMNS($A140:X140), Source!$E140, "")</f>
        <v/>
      </c>
      <c r="Y140" s="2" t="str">
        <f>IF(Source!$C140&gt;=COLUMNS($A140:Y140), Source!$E140, "")</f>
        <v/>
      </c>
      <c r="Z140" s="2" t="str">
        <f>IF(Source!$C140&gt;=COLUMNS($A140:Z140), Source!$E140, "")</f>
        <v/>
      </c>
      <c r="AA140" s="2" t="str">
        <f>IF(Source!$C140&gt;=COLUMNS($A140:AA140), Source!$E140, "")</f>
        <v/>
      </c>
      <c r="AB140" s="2" t="str">
        <f>IF(Source!$C140&gt;=COLUMNS($A140:AB140), Source!$E140, "")</f>
        <v/>
      </c>
      <c r="AC140" s="2" t="str">
        <f>IF(Source!$C140&gt;=COLUMNS($A140:AC140), Source!$E140, "")</f>
        <v/>
      </c>
      <c r="AD140" s="2" t="str">
        <f>IF(Source!$C140&gt;=COLUMNS($A140:AD140), Source!$E140, "")</f>
        <v/>
      </c>
      <c r="AE140" s="2" t="str">
        <f>IF(Source!$C140&gt;=COLUMNS($A140:AE140), Source!$E140, "")</f>
        <v/>
      </c>
      <c r="AF140" s="2" t="str">
        <f>IF(Source!$C140&gt;=COLUMNS($A140:AF140), Source!$E140, "")</f>
        <v/>
      </c>
      <c r="AG140" s="2" t="str">
        <f>IF(Source!$C140&gt;=COLUMNS($A140:AG140), Source!$E140, "")</f>
        <v/>
      </c>
      <c r="AH140" s="2" t="str">
        <f>IF(Source!$C140&gt;=COLUMNS($A140:AH140), Source!$E140, "")</f>
        <v/>
      </c>
      <c r="AI140" s="2" t="str">
        <f>IF(Source!$C140&gt;=COLUMNS($A140:AI140), Source!$E140, "")</f>
        <v/>
      </c>
      <c r="AJ140" s="2" t="str">
        <f>IF(Source!$C140&gt;=COLUMNS($A140:AJ140), Source!$E140, "")</f>
        <v/>
      </c>
      <c r="AK140" s="2" t="str">
        <f>IF(Source!$C140&gt;=COLUMNS($A140:AK140), Source!$E140, "")</f>
        <v/>
      </c>
      <c r="AL140" s="2" t="str">
        <f>IF(Source!$C140&gt;=COLUMNS($A140:AL140), Source!$E140, "")</f>
        <v/>
      </c>
      <c r="AM140" s="2" t="str">
        <f>IF(Source!$C140&gt;=COLUMNS($A140:AM140), Source!$E140, "")</f>
        <v/>
      </c>
      <c r="AN140" s="2" t="str">
        <f>IF(Source!$C140&gt;=COLUMNS($A140:AN140), Source!$E140, "")</f>
        <v/>
      </c>
      <c r="AO140" s="2" t="str">
        <f>IF(Source!$C140&gt;=COLUMNS($A140:AO140), Source!$E140, "")</f>
        <v/>
      </c>
      <c r="AP140" s="2" t="str">
        <f>IF(Source!$C140&gt;=COLUMNS($A140:AP140), Source!$E140, "")</f>
        <v/>
      </c>
      <c r="AQ140" s="2" t="str">
        <f>IF(Source!$C140&gt;=COLUMNS($A140:AQ140), Source!$E140, "")</f>
        <v/>
      </c>
      <c r="AR140" s="2" t="str">
        <f>IF(Source!$C140&gt;=COLUMNS($A140:AR140), Source!$E140, "")</f>
        <v/>
      </c>
    </row>
    <row r="141">
      <c r="A141" s="2">
        <f>IF(Source!$C141&gt;=COLUMNS($A141:A141), Source!$E141, "")</f>
        <v>3</v>
      </c>
      <c r="B141" s="2">
        <f>IF(Source!$C141&gt;=COLUMNS($A141:B141), Source!$E141, "")</f>
        <v>3</v>
      </c>
      <c r="C141" s="2">
        <f>IF(Source!$C141&gt;=COLUMNS($A141:C141), Source!$E141, "")</f>
        <v>3</v>
      </c>
      <c r="D141" s="2">
        <f>IF(Source!$C141&gt;=COLUMNS($A141:D141), Source!$E141, "")</f>
        <v>3</v>
      </c>
      <c r="E141" s="2">
        <f>IF(Source!$C141&gt;=COLUMNS($A141:E141), Source!$E141, "")</f>
        <v>3</v>
      </c>
      <c r="F141" s="2">
        <f>IF(Source!$C141&gt;=COLUMNS($A141:F141), Source!$E141, "")</f>
        <v>3</v>
      </c>
      <c r="G141" s="2">
        <f>IF(Source!$C141&gt;=COLUMNS($A141:G141), Source!$E141, "")</f>
        <v>3</v>
      </c>
      <c r="H141" s="2">
        <f>IF(Source!$C141&gt;=COLUMNS($A141:H141), Source!$E141, "")</f>
        <v>3</v>
      </c>
      <c r="I141" s="2">
        <f>IF(Source!$C141&gt;=COLUMNS($A141:I141), Source!$E141, "")</f>
        <v>3</v>
      </c>
      <c r="J141" s="2">
        <f>IF(Source!$C141&gt;=COLUMNS($A141:J141), Source!$E141, "")</f>
        <v>3</v>
      </c>
      <c r="K141" s="2" t="str">
        <f>IF(Source!$C141&gt;=COLUMNS($A141:K141), Source!$E141, "")</f>
        <v/>
      </c>
      <c r="L141" s="2" t="str">
        <f>IF(Source!$C141&gt;=COLUMNS($A141:L141), Source!$E141, "")</f>
        <v/>
      </c>
      <c r="M141" s="2" t="str">
        <f>IF(Source!$C141&gt;=COLUMNS($A141:M141), Source!$E141, "")</f>
        <v/>
      </c>
      <c r="N141" s="2" t="str">
        <f>IF(Source!$C141&gt;=COLUMNS($A141:N141), Source!$E141, "")</f>
        <v/>
      </c>
      <c r="O141" s="2" t="str">
        <f>IF(Source!$C141&gt;=COLUMNS($A141:O141), Source!$E141, "")</f>
        <v/>
      </c>
      <c r="P141" s="2" t="str">
        <f>IF(Source!$C141&gt;=COLUMNS($A141:P141), Source!$E141, "")</f>
        <v/>
      </c>
      <c r="Q141" s="2" t="str">
        <f>IF(Source!$C141&gt;=COLUMNS($A141:Q141), Source!$E141, "")</f>
        <v/>
      </c>
      <c r="R141" s="2" t="str">
        <f>IF(Source!$C141&gt;=COLUMNS($A141:R141), Source!$E141, "")</f>
        <v/>
      </c>
      <c r="S141" s="2" t="str">
        <f>IF(Source!$C141&gt;=COLUMNS($A141:S141), Source!$E141, "")</f>
        <v/>
      </c>
      <c r="T141" s="2" t="str">
        <f>IF(Source!$C141&gt;=COLUMNS($A141:T141), Source!$E141, "")</f>
        <v/>
      </c>
      <c r="U141" s="2" t="str">
        <f>IF(Source!$C141&gt;=COLUMNS($A141:U141), Source!$E141, "")</f>
        <v/>
      </c>
      <c r="V141" s="2" t="str">
        <f>IF(Source!$C141&gt;=COLUMNS($A141:V141), Source!$E141, "")</f>
        <v/>
      </c>
      <c r="W141" s="2" t="str">
        <f>IF(Source!$C141&gt;=COLUMNS($A141:W141), Source!$E141, "")</f>
        <v/>
      </c>
      <c r="X141" s="2" t="str">
        <f>IF(Source!$C141&gt;=COLUMNS($A141:X141), Source!$E141, "")</f>
        <v/>
      </c>
      <c r="Y141" s="2" t="str">
        <f>IF(Source!$C141&gt;=COLUMNS($A141:Y141), Source!$E141, "")</f>
        <v/>
      </c>
      <c r="Z141" s="2" t="str">
        <f>IF(Source!$C141&gt;=COLUMNS($A141:Z141), Source!$E141, "")</f>
        <v/>
      </c>
      <c r="AA141" s="2" t="str">
        <f>IF(Source!$C141&gt;=COLUMNS($A141:AA141), Source!$E141, "")</f>
        <v/>
      </c>
      <c r="AB141" s="2" t="str">
        <f>IF(Source!$C141&gt;=COLUMNS($A141:AB141), Source!$E141, "")</f>
        <v/>
      </c>
      <c r="AC141" s="2" t="str">
        <f>IF(Source!$C141&gt;=COLUMNS($A141:AC141), Source!$E141, "")</f>
        <v/>
      </c>
      <c r="AD141" s="2" t="str">
        <f>IF(Source!$C141&gt;=COLUMNS($A141:AD141), Source!$E141, "")</f>
        <v/>
      </c>
      <c r="AE141" s="2" t="str">
        <f>IF(Source!$C141&gt;=COLUMNS($A141:AE141), Source!$E141, "")</f>
        <v/>
      </c>
      <c r="AF141" s="2" t="str">
        <f>IF(Source!$C141&gt;=COLUMNS($A141:AF141), Source!$E141, "")</f>
        <v/>
      </c>
      <c r="AG141" s="2" t="str">
        <f>IF(Source!$C141&gt;=COLUMNS($A141:AG141), Source!$E141, "")</f>
        <v/>
      </c>
      <c r="AH141" s="2" t="str">
        <f>IF(Source!$C141&gt;=COLUMNS($A141:AH141), Source!$E141, "")</f>
        <v/>
      </c>
      <c r="AI141" s="2" t="str">
        <f>IF(Source!$C141&gt;=COLUMNS($A141:AI141), Source!$E141, "")</f>
        <v/>
      </c>
      <c r="AJ141" s="2" t="str">
        <f>IF(Source!$C141&gt;=COLUMNS($A141:AJ141), Source!$E141, "")</f>
        <v/>
      </c>
      <c r="AK141" s="2" t="str">
        <f>IF(Source!$C141&gt;=COLUMNS($A141:AK141), Source!$E141, "")</f>
        <v/>
      </c>
      <c r="AL141" s="2" t="str">
        <f>IF(Source!$C141&gt;=COLUMNS($A141:AL141), Source!$E141, "")</f>
        <v/>
      </c>
      <c r="AM141" s="2" t="str">
        <f>IF(Source!$C141&gt;=COLUMNS($A141:AM141), Source!$E141, "")</f>
        <v/>
      </c>
      <c r="AN141" s="2" t="str">
        <f>IF(Source!$C141&gt;=COLUMNS($A141:AN141), Source!$E141, "")</f>
        <v/>
      </c>
      <c r="AO141" s="2" t="str">
        <f>IF(Source!$C141&gt;=COLUMNS($A141:AO141), Source!$E141, "")</f>
        <v/>
      </c>
      <c r="AP141" s="2" t="str">
        <f>IF(Source!$C141&gt;=COLUMNS($A141:AP141), Source!$E141, "")</f>
        <v/>
      </c>
      <c r="AQ141" s="2" t="str">
        <f>IF(Source!$C141&gt;=COLUMNS($A141:AQ141), Source!$E141, "")</f>
        <v/>
      </c>
      <c r="AR141" s="2" t="str">
        <f>IF(Source!$C141&gt;=COLUMNS($A141:AR141), Source!$E141, "")</f>
        <v/>
      </c>
    </row>
    <row r="142">
      <c r="A142" s="2">
        <f>IF(Source!$C142&gt;=COLUMNS($A142:A142), Source!$E142, "")</f>
        <v>3</v>
      </c>
      <c r="B142" s="2">
        <f>IF(Source!$C142&gt;=COLUMNS($A142:B142), Source!$E142, "")</f>
        <v>3</v>
      </c>
      <c r="C142" s="2">
        <f>IF(Source!$C142&gt;=COLUMNS($A142:C142), Source!$E142, "")</f>
        <v>3</v>
      </c>
      <c r="D142" s="2">
        <f>IF(Source!$C142&gt;=COLUMNS($A142:D142), Source!$E142, "")</f>
        <v>3</v>
      </c>
      <c r="E142" s="2" t="str">
        <f>IF(Source!$C142&gt;=COLUMNS($A142:E142), Source!$E142, "")</f>
        <v/>
      </c>
      <c r="F142" s="2" t="str">
        <f>IF(Source!$C142&gt;=COLUMNS($A142:F142), Source!$E142, "")</f>
        <v/>
      </c>
      <c r="G142" s="2" t="str">
        <f>IF(Source!$C142&gt;=COLUMNS($A142:G142), Source!$E142, "")</f>
        <v/>
      </c>
      <c r="H142" s="2" t="str">
        <f>IF(Source!$C142&gt;=COLUMNS($A142:H142), Source!$E142, "")</f>
        <v/>
      </c>
      <c r="I142" s="2" t="str">
        <f>IF(Source!$C142&gt;=COLUMNS($A142:I142), Source!$E142, "")</f>
        <v/>
      </c>
      <c r="J142" s="2" t="str">
        <f>IF(Source!$C142&gt;=COLUMNS($A142:J142), Source!$E142, "")</f>
        <v/>
      </c>
      <c r="K142" s="2" t="str">
        <f>IF(Source!$C142&gt;=COLUMNS($A142:K142), Source!$E142, "")</f>
        <v/>
      </c>
      <c r="L142" s="2" t="str">
        <f>IF(Source!$C142&gt;=COLUMNS($A142:L142), Source!$E142, "")</f>
        <v/>
      </c>
      <c r="M142" s="2" t="str">
        <f>IF(Source!$C142&gt;=COLUMNS($A142:M142), Source!$E142, "")</f>
        <v/>
      </c>
      <c r="N142" s="2" t="str">
        <f>IF(Source!$C142&gt;=COLUMNS($A142:N142), Source!$E142, "")</f>
        <v/>
      </c>
      <c r="O142" s="2" t="str">
        <f>IF(Source!$C142&gt;=COLUMNS($A142:O142), Source!$E142, "")</f>
        <v/>
      </c>
      <c r="P142" s="2" t="str">
        <f>IF(Source!$C142&gt;=COLUMNS($A142:P142), Source!$E142, "")</f>
        <v/>
      </c>
      <c r="Q142" s="2" t="str">
        <f>IF(Source!$C142&gt;=COLUMNS($A142:Q142), Source!$E142, "")</f>
        <v/>
      </c>
      <c r="R142" s="2" t="str">
        <f>IF(Source!$C142&gt;=COLUMNS($A142:R142), Source!$E142, "")</f>
        <v/>
      </c>
      <c r="S142" s="2" t="str">
        <f>IF(Source!$C142&gt;=COLUMNS($A142:S142), Source!$E142, "")</f>
        <v/>
      </c>
      <c r="T142" s="2" t="str">
        <f>IF(Source!$C142&gt;=COLUMNS($A142:T142), Source!$E142, "")</f>
        <v/>
      </c>
      <c r="U142" s="2" t="str">
        <f>IF(Source!$C142&gt;=COLUMNS($A142:U142), Source!$E142, "")</f>
        <v/>
      </c>
      <c r="V142" s="2" t="str">
        <f>IF(Source!$C142&gt;=COLUMNS($A142:V142), Source!$E142, "")</f>
        <v/>
      </c>
      <c r="W142" s="2" t="str">
        <f>IF(Source!$C142&gt;=COLUMNS($A142:W142), Source!$E142, "")</f>
        <v/>
      </c>
      <c r="X142" s="2" t="str">
        <f>IF(Source!$C142&gt;=COLUMNS($A142:X142), Source!$E142, "")</f>
        <v/>
      </c>
      <c r="Y142" s="2" t="str">
        <f>IF(Source!$C142&gt;=COLUMNS($A142:Y142), Source!$E142, "")</f>
        <v/>
      </c>
      <c r="Z142" s="2" t="str">
        <f>IF(Source!$C142&gt;=COLUMNS($A142:Z142), Source!$E142, "")</f>
        <v/>
      </c>
      <c r="AA142" s="2" t="str">
        <f>IF(Source!$C142&gt;=COLUMNS($A142:AA142), Source!$E142, "")</f>
        <v/>
      </c>
      <c r="AB142" s="2" t="str">
        <f>IF(Source!$C142&gt;=COLUMNS($A142:AB142), Source!$E142, "")</f>
        <v/>
      </c>
      <c r="AC142" s="2" t="str">
        <f>IF(Source!$C142&gt;=COLUMNS($A142:AC142), Source!$E142, "")</f>
        <v/>
      </c>
      <c r="AD142" s="2" t="str">
        <f>IF(Source!$C142&gt;=COLUMNS($A142:AD142), Source!$E142, "")</f>
        <v/>
      </c>
      <c r="AE142" s="2" t="str">
        <f>IF(Source!$C142&gt;=COLUMNS($A142:AE142), Source!$E142, "")</f>
        <v/>
      </c>
      <c r="AF142" s="2" t="str">
        <f>IF(Source!$C142&gt;=COLUMNS($A142:AF142), Source!$E142, "")</f>
        <v/>
      </c>
      <c r="AG142" s="2" t="str">
        <f>IF(Source!$C142&gt;=COLUMNS($A142:AG142), Source!$E142, "")</f>
        <v/>
      </c>
      <c r="AH142" s="2" t="str">
        <f>IF(Source!$C142&gt;=COLUMNS($A142:AH142), Source!$E142, "")</f>
        <v/>
      </c>
      <c r="AI142" s="2" t="str">
        <f>IF(Source!$C142&gt;=COLUMNS($A142:AI142), Source!$E142, "")</f>
        <v/>
      </c>
      <c r="AJ142" s="2" t="str">
        <f>IF(Source!$C142&gt;=COLUMNS($A142:AJ142), Source!$E142, "")</f>
        <v/>
      </c>
      <c r="AK142" s="2" t="str">
        <f>IF(Source!$C142&gt;=COLUMNS($A142:AK142), Source!$E142, "")</f>
        <v/>
      </c>
      <c r="AL142" s="2" t="str">
        <f>IF(Source!$C142&gt;=COLUMNS($A142:AL142), Source!$E142, "")</f>
        <v/>
      </c>
      <c r="AM142" s="2" t="str">
        <f>IF(Source!$C142&gt;=COLUMNS($A142:AM142), Source!$E142, "")</f>
        <v/>
      </c>
      <c r="AN142" s="2" t="str">
        <f>IF(Source!$C142&gt;=COLUMNS($A142:AN142), Source!$E142, "")</f>
        <v/>
      </c>
      <c r="AO142" s="2" t="str">
        <f>IF(Source!$C142&gt;=COLUMNS($A142:AO142), Source!$E142, "")</f>
        <v/>
      </c>
      <c r="AP142" s="2" t="str">
        <f>IF(Source!$C142&gt;=COLUMNS($A142:AP142), Source!$E142, "")</f>
        <v/>
      </c>
      <c r="AQ142" s="2" t="str">
        <f>IF(Source!$C142&gt;=COLUMNS($A142:AQ142), Source!$E142, "")</f>
        <v/>
      </c>
      <c r="AR142" s="2" t="str">
        <f>IF(Source!$C142&gt;=COLUMNS($A142:AR142), Source!$E142, "")</f>
        <v/>
      </c>
    </row>
    <row r="143">
      <c r="A143" s="2">
        <f>IF(Source!$C143&gt;=COLUMNS($A143:A143), Source!$E143, "")</f>
        <v>7</v>
      </c>
      <c r="B143" s="2" t="str">
        <f>IF(Source!$C143&gt;=COLUMNS($A143:B143), Source!$E143, "")</f>
        <v/>
      </c>
      <c r="C143" s="2" t="str">
        <f>IF(Source!$C143&gt;=COLUMNS($A143:C143), Source!$E143, "")</f>
        <v/>
      </c>
      <c r="D143" s="2" t="str">
        <f>IF(Source!$C143&gt;=COLUMNS($A143:D143), Source!$E143, "")</f>
        <v/>
      </c>
      <c r="E143" s="2" t="str">
        <f>IF(Source!$C143&gt;=COLUMNS($A143:E143), Source!$E143, "")</f>
        <v/>
      </c>
      <c r="F143" s="2" t="str">
        <f>IF(Source!$C143&gt;=COLUMNS($A143:F143), Source!$E143, "")</f>
        <v/>
      </c>
      <c r="G143" s="2" t="str">
        <f>IF(Source!$C143&gt;=COLUMNS($A143:G143), Source!$E143, "")</f>
        <v/>
      </c>
      <c r="H143" s="2" t="str">
        <f>IF(Source!$C143&gt;=COLUMNS($A143:H143), Source!$E143, "")</f>
        <v/>
      </c>
      <c r="I143" s="2" t="str">
        <f>IF(Source!$C143&gt;=COLUMNS($A143:I143), Source!$E143, "")</f>
        <v/>
      </c>
      <c r="J143" s="2" t="str">
        <f>IF(Source!$C143&gt;=COLUMNS($A143:J143), Source!$E143, "")</f>
        <v/>
      </c>
      <c r="K143" s="2" t="str">
        <f>IF(Source!$C143&gt;=COLUMNS($A143:K143), Source!$E143, "")</f>
        <v/>
      </c>
      <c r="L143" s="2" t="str">
        <f>IF(Source!$C143&gt;=COLUMNS($A143:L143), Source!$E143, "")</f>
        <v/>
      </c>
      <c r="M143" s="2" t="str">
        <f>IF(Source!$C143&gt;=COLUMNS($A143:M143), Source!$E143, "")</f>
        <v/>
      </c>
      <c r="N143" s="2" t="str">
        <f>IF(Source!$C143&gt;=COLUMNS($A143:N143), Source!$E143, "")</f>
        <v/>
      </c>
      <c r="O143" s="2" t="str">
        <f>IF(Source!$C143&gt;=COLUMNS($A143:O143), Source!$E143, "")</f>
        <v/>
      </c>
      <c r="P143" s="2" t="str">
        <f>IF(Source!$C143&gt;=COLUMNS($A143:P143), Source!$E143, "")</f>
        <v/>
      </c>
      <c r="Q143" s="2" t="str">
        <f>IF(Source!$C143&gt;=COLUMNS($A143:Q143), Source!$E143, "")</f>
        <v/>
      </c>
      <c r="R143" s="2" t="str">
        <f>IF(Source!$C143&gt;=COLUMNS($A143:R143), Source!$E143, "")</f>
        <v/>
      </c>
      <c r="S143" s="2" t="str">
        <f>IF(Source!$C143&gt;=COLUMNS($A143:S143), Source!$E143, "")</f>
        <v/>
      </c>
      <c r="T143" s="2" t="str">
        <f>IF(Source!$C143&gt;=COLUMNS($A143:T143), Source!$E143, "")</f>
        <v/>
      </c>
      <c r="U143" s="2" t="str">
        <f>IF(Source!$C143&gt;=COLUMNS($A143:U143), Source!$E143, "")</f>
        <v/>
      </c>
      <c r="V143" s="2" t="str">
        <f>IF(Source!$C143&gt;=COLUMNS($A143:V143), Source!$E143, "")</f>
        <v/>
      </c>
      <c r="W143" s="2" t="str">
        <f>IF(Source!$C143&gt;=COLUMNS($A143:W143), Source!$E143, "")</f>
        <v/>
      </c>
      <c r="X143" s="2" t="str">
        <f>IF(Source!$C143&gt;=COLUMNS($A143:X143), Source!$E143, "")</f>
        <v/>
      </c>
      <c r="Y143" s="2" t="str">
        <f>IF(Source!$C143&gt;=COLUMNS($A143:Y143), Source!$E143, "")</f>
        <v/>
      </c>
      <c r="Z143" s="2" t="str">
        <f>IF(Source!$C143&gt;=COLUMNS($A143:Z143), Source!$E143, "")</f>
        <v/>
      </c>
      <c r="AA143" s="2" t="str">
        <f>IF(Source!$C143&gt;=COLUMNS($A143:AA143), Source!$E143, "")</f>
        <v/>
      </c>
      <c r="AB143" s="2" t="str">
        <f>IF(Source!$C143&gt;=COLUMNS($A143:AB143), Source!$E143, "")</f>
        <v/>
      </c>
      <c r="AC143" s="2" t="str">
        <f>IF(Source!$C143&gt;=COLUMNS($A143:AC143), Source!$E143, "")</f>
        <v/>
      </c>
      <c r="AD143" s="2" t="str">
        <f>IF(Source!$C143&gt;=COLUMNS($A143:AD143), Source!$E143, "")</f>
        <v/>
      </c>
      <c r="AE143" s="2" t="str">
        <f>IF(Source!$C143&gt;=COLUMNS($A143:AE143), Source!$E143, "")</f>
        <v/>
      </c>
      <c r="AF143" s="2" t="str">
        <f>IF(Source!$C143&gt;=COLUMNS($A143:AF143), Source!$E143, "")</f>
        <v/>
      </c>
      <c r="AG143" s="2" t="str">
        <f>IF(Source!$C143&gt;=COLUMNS($A143:AG143), Source!$E143, "")</f>
        <v/>
      </c>
      <c r="AH143" s="2" t="str">
        <f>IF(Source!$C143&gt;=COLUMNS($A143:AH143), Source!$E143, "")</f>
        <v/>
      </c>
      <c r="AI143" s="2" t="str">
        <f>IF(Source!$C143&gt;=COLUMNS($A143:AI143), Source!$E143, "")</f>
        <v/>
      </c>
      <c r="AJ143" s="2" t="str">
        <f>IF(Source!$C143&gt;=COLUMNS($A143:AJ143), Source!$E143, "")</f>
        <v/>
      </c>
      <c r="AK143" s="2" t="str">
        <f>IF(Source!$C143&gt;=COLUMNS($A143:AK143), Source!$E143, "")</f>
        <v/>
      </c>
      <c r="AL143" s="2" t="str">
        <f>IF(Source!$C143&gt;=COLUMNS($A143:AL143), Source!$E143, "")</f>
        <v/>
      </c>
      <c r="AM143" s="2" t="str">
        <f>IF(Source!$C143&gt;=COLUMNS($A143:AM143), Source!$E143, "")</f>
        <v/>
      </c>
      <c r="AN143" s="2" t="str">
        <f>IF(Source!$C143&gt;=COLUMNS($A143:AN143), Source!$E143, "")</f>
        <v/>
      </c>
      <c r="AO143" s="2" t="str">
        <f>IF(Source!$C143&gt;=COLUMNS($A143:AO143), Source!$E143, "")</f>
        <v/>
      </c>
      <c r="AP143" s="2" t="str">
        <f>IF(Source!$C143&gt;=COLUMNS($A143:AP143), Source!$E143, "")</f>
        <v/>
      </c>
      <c r="AQ143" s="2" t="str">
        <f>IF(Source!$C143&gt;=COLUMNS($A143:AQ143), Source!$E143, "")</f>
        <v/>
      </c>
      <c r="AR143" s="2" t="str">
        <f>IF(Source!$C143&gt;=COLUMNS($A143:AR143), Source!$E143, "")</f>
        <v/>
      </c>
    </row>
    <row r="144">
      <c r="A144" s="2">
        <f>IF(Source!$C144&gt;=COLUMNS($A144:A144), Source!$E144, "")</f>
        <v>5</v>
      </c>
      <c r="B144" s="2" t="str">
        <f>IF(Source!$C144&gt;=COLUMNS($A144:B144), Source!$E144, "")</f>
        <v/>
      </c>
      <c r="C144" s="2" t="str">
        <f>IF(Source!$C144&gt;=COLUMNS($A144:C144), Source!$E144, "")</f>
        <v/>
      </c>
      <c r="D144" s="2" t="str">
        <f>IF(Source!$C144&gt;=COLUMNS($A144:D144), Source!$E144, "")</f>
        <v/>
      </c>
      <c r="E144" s="2" t="str">
        <f>IF(Source!$C144&gt;=COLUMNS($A144:E144), Source!$E144, "")</f>
        <v/>
      </c>
      <c r="F144" s="2" t="str">
        <f>IF(Source!$C144&gt;=COLUMNS($A144:F144), Source!$E144, "")</f>
        <v/>
      </c>
      <c r="G144" s="2" t="str">
        <f>IF(Source!$C144&gt;=COLUMNS($A144:G144), Source!$E144, "")</f>
        <v/>
      </c>
      <c r="H144" s="2" t="str">
        <f>IF(Source!$C144&gt;=COLUMNS($A144:H144), Source!$E144, "")</f>
        <v/>
      </c>
      <c r="I144" s="2" t="str">
        <f>IF(Source!$C144&gt;=COLUMNS($A144:I144), Source!$E144, "")</f>
        <v/>
      </c>
      <c r="J144" s="2" t="str">
        <f>IF(Source!$C144&gt;=COLUMNS($A144:J144), Source!$E144, "")</f>
        <v/>
      </c>
      <c r="K144" s="2" t="str">
        <f>IF(Source!$C144&gt;=COLUMNS($A144:K144), Source!$E144, "")</f>
        <v/>
      </c>
      <c r="L144" s="2" t="str">
        <f>IF(Source!$C144&gt;=COLUMNS($A144:L144), Source!$E144, "")</f>
        <v/>
      </c>
      <c r="M144" s="2" t="str">
        <f>IF(Source!$C144&gt;=COLUMNS($A144:M144), Source!$E144, "")</f>
        <v/>
      </c>
      <c r="N144" s="2" t="str">
        <f>IF(Source!$C144&gt;=COLUMNS($A144:N144), Source!$E144, "")</f>
        <v/>
      </c>
      <c r="O144" s="2" t="str">
        <f>IF(Source!$C144&gt;=COLUMNS($A144:O144), Source!$E144, "")</f>
        <v/>
      </c>
      <c r="P144" s="2" t="str">
        <f>IF(Source!$C144&gt;=COLUMNS($A144:P144), Source!$E144, "")</f>
        <v/>
      </c>
      <c r="Q144" s="2" t="str">
        <f>IF(Source!$C144&gt;=COLUMNS($A144:Q144), Source!$E144, "")</f>
        <v/>
      </c>
      <c r="R144" s="2" t="str">
        <f>IF(Source!$C144&gt;=COLUMNS($A144:R144), Source!$E144, "")</f>
        <v/>
      </c>
      <c r="S144" s="2" t="str">
        <f>IF(Source!$C144&gt;=COLUMNS($A144:S144), Source!$E144, "")</f>
        <v/>
      </c>
      <c r="T144" s="2" t="str">
        <f>IF(Source!$C144&gt;=COLUMNS($A144:T144), Source!$E144, "")</f>
        <v/>
      </c>
      <c r="U144" s="2" t="str">
        <f>IF(Source!$C144&gt;=COLUMNS($A144:U144), Source!$E144, "")</f>
        <v/>
      </c>
      <c r="V144" s="2" t="str">
        <f>IF(Source!$C144&gt;=COLUMNS($A144:V144), Source!$E144, "")</f>
        <v/>
      </c>
      <c r="W144" s="2" t="str">
        <f>IF(Source!$C144&gt;=COLUMNS($A144:W144), Source!$E144, "")</f>
        <v/>
      </c>
      <c r="X144" s="2" t="str">
        <f>IF(Source!$C144&gt;=COLUMNS($A144:X144), Source!$E144, "")</f>
        <v/>
      </c>
      <c r="Y144" s="2" t="str">
        <f>IF(Source!$C144&gt;=COLUMNS($A144:Y144), Source!$E144, "")</f>
        <v/>
      </c>
      <c r="Z144" s="2" t="str">
        <f>IF(Source!$C144&gt;=COLUMNS($A144:Z144), Source!$E144, "")</f>
        <v/>
      </c>
      <c r="AA144" s="2" t="str">
        <f>IF(Source!$C144&gt;=COLUMNS($A144:AA144), Source!$E144, "")</f>
        <v/>
      </c>
      <c r="AB144" s="2" t="str">
        <f>IF(Source!$C144&gt;=COLUMNS($A144:AB144), Source!$E144, "")</f>
        <v/>
      </c>
      <c r="AC144" s="2" t="str">
        <f>IF(Source!$C144&gt;=COLUMNS($A144:AC144), Source!$E144, "")</f>
        <v/>
      </c>
      <c r="AD144" s="2" t="str">
        <f>IF(Source!$C144&gt;=COLUMNS($A144:AD144), Source!$E144, "")</f>
        <v/>
      </c>
      <c r="AE144" s="2" t="str">
        <f>IF(Source!$C144&gt;=COLUMNS($A144:AE144), Source!$E144, "")</f>
        <v/>
      </c>
      <c r="AF144" s="2" t="str">
        <f>IF(Source!$C144&gt;=COLUMNS($A144:AF144), Source!$E144, "")</f>
        <v/>
      </c>
      <c r="AG144" s="2" t="str">
        <f>IF(Source!$C144&gt;=COLUMNS($A144:AG144), Source!$E144, "")</f>
        <v/>
      </c>
      <c r="AH144" s="2" t="str">
        <f>IF(Source!$C144&gt;=COLUMNS($A144:AH144), Source!$E144, "")</f>
        <v/>
      </c>
      <c r="AI144" s="2" t="str">
        <f>IF(Source!$C144&gt;=COLUMNS($A144:AI144), Source!$E144, "")</f>
        <v/>
      </c>
      <c r="AJ144" s="2" t="str">
        <f>IF(Source!$C144&gt;=COLUMNS($A144:AJ144), Source!$E144, "")</f>
        <v/>
      </c>
      <c r="AK144" s="2" t="str">
        <f>IF(Source!$C144&gt;=COLUMNS($A144:AK144), Source!$E144, "")</f>
        <v/>
      </c>
      <c r="AL144" s="2" t="str">
        <f>IF(Source!$C144&gt;=COLUMNS($A144:AL144), Source!$E144, "")</f>
        <v/>
      </c>
      <c r="AM144" s="2" t="str">
        <f>IF(Source!$C144&gt;=COLUMNS($A144:AM144), Source!$E144, "")</f>
        <v/>
      </c>
      <c r="AN144" s="2" t="str">
        <f>IF(Source!$C144&gt;=COLUMNS($A144:AN144), Source!$E144, "")</f>
        <v/>
      </c>
      <c r="AO144" s="2" t="str">
        <f>IF(Source!$C144&gt;=COLUMNS($A144:AO144), Source!$E144, "")</f>
        <v/>
      </c>
      <c r="AP144" s="2" t="str">
        <f>IF(Source!$C144&gt;=COLUMNS($A144:AP144), Source!$E144, "")</f>
        <v/>
      </c>
      <c r="AQ144" s="2" t="str">
        <f>IF(Source!$C144&gt;=COLUMNS($A144:AQ144), Source!$E144, "")</f>
        <v/>
      </c>
      <c r="AR144" s="2" t="str">
        <f>IF(Source!$C144&gt;=COLUMNS($A144:AR144), Source!$E144, "")</f>
        <v/>
      </c>
    </row>
    <row r="145">
      <c r="A145" s="2">
        <f>IF(Source!$C145&gt;=COLUMNS($A145:A145), Source!$E145, "")</f>
        <v>7</v>
      </c>
      <c r="B145" s="2">
        <f>IF(Source!$C145&gt;=COLUMNS($A145:B145), Source!$E145, "")</f>
        <v>7</v>
      </c>
      <c r="C145" s="2">
        <f>IF(Source!$C145&gt;=COLUMNS($A145:C145), Source!$E145, "")</f>
        <v>7</v>
      </c>
      <c r="D145" s="2">
        <f>IF(Source!$C145&gt;=COLUMNS($A145:D145), Source!$E145, "")</f>
        <v>7</v>
      </c>
      <c r="E145" s="2">
        <f>IF(Source!$C145&gt;=COLUMNS($A145:E145), Source!$E145, "")</f>
        <v>7</v>
      </c>
      <c r="F145" s="2">
        <f>IF(Source!$C145&gt;=COLUMNS($A145:F145), Source!$E145, "")</f>
        <v>7</v>
      </c>
      <c r="G145" s="2" t="str">
        <f>IF(Source!$C145&gt;=COLUMNS($A145:G145), Source!$E145, "")</f>
        <v/>
      </c>
      <c r="H145" s="2" t="str">
        <f>IF(Source!$C145&gt;=COLUMNS($A145:H145), Source!$E145, "")</f>
        <v/>
      </c>
      <c r="I145" s="2" t="str">
        <f>IF(Source!$C145&gt;=COLUMNS($A145:I145), Source!$E145, "")</f>
        <v/>
      </c>
      <c r="J145" s="2" t="str">
        <f>IF(Source!$C145&gt;=COLUMNS($A145:J145), Source!$E145, "")</f>
        <v/>
      </c>
      <c r="K145" s="2" t="str">
        <f>IF(Source!$C145&gt;=COLUMNS($A145:K145), Source!$E145, "")</f>
        <v/>
      </c>
      <c r="L145" s="2" t="str">
        <f>IF(Source!$C145&gt;=COLUMNS($A145:L145), Source!$E145, "")</f>
        <v/>
      </c>
      <c r="M145" s="2" t="str">
        <f>IF(Source!$C145&gt;=COLUMNS($A145:M145), Source!$E145, "")</f>
        <v/>
      </c>
      <c r="N145" s="2" t="str">
        <f>IF(Source!$C145&gt;=COLUMNS($A145:N145), Source!$E145, "")</f>
        <v/>
      </c>
      <c r="O145" s="2" t="str">
        <f>IF(Source!$C145&gt;=COLUMNS($A145:O145), Source!$E145, "")</f>
        <v/>
      </c>
      <c r="P145" s="2" t="str">
        <f>IF(Source!$C145&gt;=COLUMNS($A145:P145), Source!$E145, "")</f>
        <v/>
      </c>
      <c r="Q145" s="2" t="str">
        <f>IF(Source!$C145&gt;=COLUMNS($A145:Q145), Source!$E145, "")</f>
        <v/>
      </c>
      <c r="R145" s="2" t="str">
        <f>IF(Source!$C145&gt;=COLUMNS($A145:R145), Source!$E145, "")</f>
        <v/>
      </c>
      <c r="S145" s="2" t="str">
        <f>IF(Source!$C145&gt;=COLUMNS($A145:S145), Source!$E145, "")</f>
        <v/>
      </c>
      <c r="T145" s="2" t="str">
        <f>IF(Source!$C145&gt;=COLUMNS($A145:T145), Source!$E145, "")</f>
        <v/>
      </c>
      <c r="U145" s="2" t="str">
        <f>IF(Source!$C145&gt;=COLUMNS($A145:U145), Source!$E145, "")</f>
        <v/>
      </c>
      <c r="V145" s="2" t="str">
        <f>IF(Source!$C145&gt;=COLUMNS($A145:V145), Source!$E145, "")</f>
        <v/>
      </c>
      <c r="W145" s="2" t="str">
        <f>IF(Source!$C145&gt;=COLUMNS($A145:W145), Source!$E145, "")</f>
        <v/>
      </c>
      <c r="X145" s="2" t="str">
        <f>IF(Source!$C145&gt;=COLUMNS($A145:X145), Source!$E145, "")</f>
        <v/>
      </c>
      <c r="Y145" s="2" t="str">
        <f>IF(Source!$C145&gt;=COLUMNS($A145:Y145), Source!$E145, "")</f>
        <v/>
      </c>
      <c r="Z145" s="2" t="str">
        <f>IF(Source!$C145&gt;=COLUMNS($A145:Z145), Source!$E145, "")</f>
        <v/>
      </c>
      <c r="AA145" s="2" t="str">
        <f>IF(Source!$C145&gt;=COLUMNS($A145:AA145), Source!$E145, "")</f>
        <v/>
      </c>
      <c r="AB145" s="2" t="str">
        <f>IF(Source!$C145&gt;=COLUMNS($A145:AB145), Source!$E145, "")</f>
        <v/>
      </c>
      <c r="AC145" s="2" t="str">
        <f>IF(Source!$C145&gt;=COLUMNS($A145:AC145), Source!$E145, "")</f>
        <v/>
      </c>
      <c r="AD145" s="2" t="str">
        <f>IF(Source!$C145&gt;=COLUMNS($A145:AD145), Source!$E145, "")</f>
        <v/>
      </c>
      <c r="AE145" s="2" t="str">
        <f>IF(Source!$C145&gt;=COLUMNS($A145:AE145), Source!$E145, "")</f>
        <v/>
      </c>
      <c r="AF145" s="2" t="str">
        <f>IF(Source!$C145&gt;=COLUMNS($A145:AF145), Source!$E145, "")</f>
        <v/>
      </c>
      <c r="AG145" s="2" t="str">
        <f>IF(Source!$C145&gt;=COLUMNS($A145:AG145), Source!$E145, "")</f>
        <v/>
      </c>
      <c r="AH145" s="2" t="str">
        <f>IF(Source!$C145&gt;=COLUMNS($A145:AH145), Source!$E145, "")</f>
        <v/>
      </c>
      <c r="AI145" s="2" t="str">
        <f>IF(Source!$C145&gt;=COLUMNS($A145:AI145), Source!$E145, "")</f>
        <v/>
      </c>
      <c r="AJ145" s="2" t="str">
        <f>IF(Source!$C145&gt;=COLUMNS($A145:AJ145), Source!$E145, "")</f>
        <v/>
      </c>
      <c r="AK145" s="2" t="str">
        <f>IF(Source!$C145&gt;=COLUMNS($A145:AK145), Source!$E145, "")</f>
        <v/>
      </c>
      <c r="AL145" s="2" t="str">
        <f>IF(Source!$C145&gt;=COLUMNS($A145:AL145), Source!$E145, "")</f>
        <v/>
      </c>
      <c r="AM145" s="2" t="str">
        <f>IF(Source!$C145&gt;=COLUMNS($A145:AM145), Source!$E145, "")</f>
        <v/>
      </c>
      <c r="AN145" s="2" t="str">
        <f>IF(Source!$C145&gt;=COLUMNS($A145:AN145), Source!$E145, "")</f>
        <v/>
      </c>
      <c r="AO145" s="2" t="str">
        <f>IF(Source!$C145&gt;=COLUMNS($A145:AO145), Source!$E145, "")</f>
        <v/>
      </c>
      <c r="AP145" s="2" t="str">
        <f>IF(Source!$C145&gt;=COLUMNS($A145:AP145), Source!$E145, "")</f>
        <v/>
      </c>
      <c r="AQ145" s="2" t="str">
        <f>IF(Source!$C145&gt;=COLUMNS($A145:AQ145), Source!$E145, "")</f>
        <v/>
      </c>
      <c r="AR145" s="2" t="str">
        <f>IF(Source!$C145&gt;=COLUMNS($A145:AR145), Source!$E145, "")</f>
        <v/>
      </c>
    </row>
    <row r="146">
      <c r="A146" s="2">
        <f>IF(Source!$C146&gt;=COLUMNS($A146:A146), Source!$E146, "")</f>
        <v>6</v>
      </c>
      <c r="B146" s="2" t="str">
        <f>IF(Source!$C146&gt;=COLUMNS($A146:B146), Source!$E146, "")</f>
        <v/>
      </c>
      <c r="C146" s="2" t="str">
        <f>IF(Source!$C146&gt;=COLUMNS($A146:C146), Source!$E146, "")</f>
        <v/>
      </c>
      <c r="D146" s="2" t="str">
        <f>IF(Source!$C146&gt;=COLUMNS($A146:D146), Source!$E146, "")</f>
        <v/>
      </c>
      <c r="E146" s="2" t="str">
        <f>IF(Source!$C146&gt;=COLUMNS($A146:E146), Source!$E146, "")</f>
        <v/>
      </c>
      <c r="F146" s="2" t="str">
        <f>IF(Source!$C146&gt;=COLUMNS($A146:F146), Source!$E146, "")</f>
        <v/>
      </c>
      <c r="G146" s="2" t="str">
        <f>IF(Source!$C146&gt;=COLUMNS($A146:G146), Source!$E146, "")</f>
        <v/>
      </c>
      <c r="H146" s="2" t="str">
        <f>IF(Source!$C146&gt;=COLUMNS($A146:H146), Source!$E146, "")</f>
        <v/>
      </c>
      <c r="I146" s="2" t="str">
        <f>IF(Source!$C146&gt;=COLUMNS($A146:I146), Source!$E146, "")</f>
        <v/>
      </c>
      <c r="J146" s="2" t="str">
        <f>IF(Source!$C146&gt;=COLUMNS($A146:J146), Source!$E146, "")</f>
        <v/>
      </c>
      <c r="K146" s="2" t="str">
        <f>IF(Source!$C146&gt;=COLUMNS($A146:K146), Source!$E146, "")</f>
        <v/>
      </c>
      <c r="L146" s="2" t="str">
        <f>IF(Source!$C146&gt;=COLUMNS($A146:L146), Source!$E146, "")</f>
        <v/>
      </c>
      <c r="M146" s="2" t="str">
        <f>IF(Source!$C146&gt;=COLUMNS($A146:M146), Source!$E146, "")</f>
        <v/>
      </c>
      <c r="N146" s="2" t="str">
        <f>IF(Source!$C146&gt;=COLUMNS($A146:N146), Source!$E146, "")</f>
        <v/>
      </c>
      <c r="O146" s="2" t="str">
        <f>IF(Source!$C146&gt;=COLUMNS($A146:O146), Source!$E146, "")</f>
        <v/>
      </c>
      <c r="P146" s="2" t="str">
        <f>IF(Source!$C146&gt;=COLUMNS($A146:P146), Source!$E146, "")</f>
        <v/>
      </c>
      <c r="Q146" s="2" t="str">
        <f>IF(Source!$C146&gt;=COLUMNS($A146:Q146), Source!$E146, "")</f>
        <v/>
      </c>
      <c r="R146" s="2" t="str">
        <f>IF(Source!$C146&gt;=COLUMNS($A146:R146), Source!$E146, "")</f>
        <v/>
      </c>
      <c r="S146" s="2" t="str">
        <f>IF(Source!$C146&gt;=COLUMNS($A146:S146), Source!$E146, "")</f>
        <v/>
      </c>
      <c r="T146" s="2" t="str">
        <f>IF(Source!$C146&gt;=COLUMNS($A146:T146), Source!$E146, "")</f>
        <v/>
      </c>
      <c r="U146" s="2" t="str">
        <f>IF(Source!$C146&gt;=COLUMNS($A146:U146), Source!$E146, "")</f>
        <v/>
      </c>
      <c r="V146" s="2" t="str">
        <f>IF(Source!$C146&gt;=COLUMNS($A146:V146), Source!$E146, "")</f>
        <v/>
      </c>
      <c r="W146" s="2" t="str">
        <f>IF(Source!$C146&gt;=COLUMNS($A146:W146), Source!$E146, "")</f>
        <v/>
      </c>
      <c r="X146" s="2" t="str">
        <f>IF(Source!$C146&gt;=COLUMNS($A146:X146), Source!$E146, "")</f>
        <v/>
      </c>
      <c r="Y146" s="2" t="str">
        <f>IF(Source!$C146&gt;=COLUMNS($A146:Y146), Source!$E146, "")</f>
        <v/>
      </c>
      <c r="Z146" s="2" t="str">
        <f>IF(Source!$C146&gt;=COLUMNS($A146:Z146), Source!$E146, "")</f>
        <v/>
      </c>
      <c r="AA146" s="2" t="str">
        <f>IF(Source!$C146&gt;=COLUMNS($A146:AA146), Source!$E146, "")</f>
        <v/>
      </c>
      <c r="AB146" s="2" t="str">
        <f>IF(Source!$C146&gt;=COLUMNS($A146:AB146), Source!$E146, "")</f>
        <v/>
      </c>
      <c r="AC146" s="2" t="str">
        <f>IF(Source!$C146&gt;=COLUMNS($A146:AC146), Source!$E146, "")</f>
        <v/>
      </c>
      <c r="AD146" s="2" t="str">
        <f>IF(Source!$C146&gt;=COLUMNS($A146:AD146), Source!$E146, "")</f>
        <v/>
      </c>
      <c r="AE146" s="2" t="str">
        <f>IF(Source!$C146&gt;=COLUMNS($A146:AE146), Source!$E146, "")</f>
        <v/>
      </c>
      <c r="AF146" s="2" t="str">
        <f>IF(Source!$C146&gt;=COLUMNS($A146:AF146), Source!$E146, "")</f>
        <v/>
      </c>
      <c r="AG146" s="2" t="str">
        <f>IF(Source!$C146&gt;=COLUMNS($A146:AG146), Source!$E146, "")</f>
        <v/>
      </c>
      <c r="AH146" s="2" t="str">
        <f>IF(Source!$C146&gt;=COLUMNS($A146:AH146), Source!$E146, "")</f>
        <v/>
      </c>
      <c r="AI146" s="2" t="str">
        <f>IF(Source!$C146&gt;=COLUMNS($A146:AI146), Source!$E146, "")</f>
        <v/>
      </c>
      <c r="AJ146" s="2" t="str">
        <f>IF(Source!$C146&gt;=COLUMNS($A146:AJ146), Source!$E146, "")</f>
        <v/>
      </c>
      <c r="AK146" s="2" t="str">
        <f>IF(Source!$C146&gt;=COLUMNS($A146:AK146), Source!$E146, "")</f>
        <v/>
      </c>
      <c r="AL146" s="2" t="str">
        <f>IF(Source!$C146&gt;=COLUMNS($A146:AL146), Source!$E146, "")</f>
        <v/>
      </c>
      <c r="AM146" s="2" t="str">
        <f>IF(Source!$C146&gt;=COLUMNS($A146:AM146), Source!$E146, "")</f>
        <v/>
      </c>
      <c r="AN146" s="2" t="str">
        <f>IF(Source!$C146&gt;=COLUMNS($A146:AN146), Source!$E146, "")</f>
        <v/>
      </c>
      <c r="AO146" s="2" t="str">
        <f>IF(Source!$C146&gt;=COLUMNS($A146:AO146), Source!$E146, "")</f>
        <v/>
      </c>
      <c r="AP146" s="2" t="str">
        <f>IF(Source!$C146&gt;=COLUMNS($A146:AP146), Source!$E146, "")</f>
        <v/>
      </c>
      <c r="AQ146" s="2" t="str">
        <f>IF(Source!$C146&gt;=COLUMNS($A146:AQ146), Source!$E146, "")</f>
        <v/>
      </c>
      <c r="AR146" s="2" t="str">
        <f>IF(Source!$C146&gt;=COLUMNS($A146:AR146), Source!$E146, "")</f>
        <v/>
      </c>
    </row>
    <row r="147">
      <c r="A147" s="2">
        <f>IF(Source!$C147&gt;=COLUMNS($A147:A147), Source!$E147, "")</f>
        <v>4</v>
      </c>
      <c r="B147" s="2">
        <f>IF(Source!$C147&gt;=COLUMNS($A147:B147), Source!$E147, "")</f>
        <v>4</v>
      </c>
      <c r="C147" s="2">
        <f>IF(Source!$C147&gt;=COLUMNS($A147:C147), Source!$E147, "")</f>
        <v>4</v>
      </c>
      <c r="D147" s="2">
        <f>IF(Source!$C147&gt;=COLUMNS($A147:D147), Source!$E147, "")</f>
        <v>4</v>
      </c>
      <c r="E147" s="2" t="str">
        <f>IF(Source!$C147&gt;=COLUMNS($A147:E147), Source!$E147, "")</f>
        <v/>
      </c>
      <c r="F147" s="2" t="str">
        <f>IF(Source!$C147&gt;=COLUMNS($A147:F147), Source!$E147, "")</f>
        <v/>
      </c>
      <c r="G147" s="2" t="str">
        <f>IF(Source!$C147&gt;=COLUMNS($A147:G147), Source!$E147, "")</f>
        <v/>
      </c>
      <c r="H147" s="2" t="str">
        <f>IF(Source!$C147&gt;=COLUMNS($A147:H147), Source!$E147, "")</f>
        <v/>
      </c>
      <c r="I147" s="2" t="str">
        <f>IF(Source!$C147&gt;=COLUMNS($A147:I147), Source!$E147, "")</f>
        <v/>
      </c>
      <c r="J147" s="2" t="str">
        <f>IF(Source!$C147&gt;=COLUMNS($A147:J147), Source!$E147, "")</f>
        <v/>
      </c>
      <c r="K147" s="2" t="str">
        <f>IF(Source!$C147&gt;=COLUMNS($A147:K147), Source!$E147, "")</f>
        <v/>
      </c>
      <c r="L147" s="2" t="str">
        <f>IF(Source!$C147&gt;=COLUMNS($A147:L147), Source!$E147, "")</f>
        <v/>
      </c>
      <c r="M147" s="2" t="str">
        <f>IF(Source!$C147&gt;=COLUMNS($A147:M147), Source!$E147, "")</f>
        <v/>
      </c>
      <c r="N147" s="2" t="str">
        <f>IF(Source!$C147&gt;=COLUMNS($A147:N147), Source!$E147, "")</f>
        <v/>
      </c>
      <c r="O147" s="2" t="str">
        <f>IF(Source!$C147&gt;=COLUMNS($A147:O147), Source!$E147, "")</f>
        <v/>
      </c>
      <c r="P147" s="2" t="str">
        <f>IF(Source!$C147&gt;=COLUMNS($A147:P147), Source!$E147, "")</f>
        <v/>
      </c>
      <c r="Q147" s="2" t="str">
        <f>IF(Source!$C147&gt;=COLUMNS($A147:Q147), Source!$E147, "")</f>
        <v/>
      </c>
      <c r="R147" s="2" t="str">
        <f>IF(Source!$C147&gt;=COLUMNS($A147:R147), Source!$E147, "")</f>
        <v/>
      </c>
      <c r="S147" s="2" t="str">
        <f>IF(Source!$C147&gt;=COLUMNS($A147:S147), Source!$E147, "")</f>
        <v/>
      </c>
      <c r="T147" s="2" t="str">
        <f>IF(Source!$C147&gt;=COLUMNS($A147:T147), Source!$E147, "")</f>
        <v/>
      </c>
      <c r="U147" s="2" t="str">
        <f>IF(Source!$C147&gt;=COLUMNS($A147:U147), Source!$E147, "")</f>
        <v/>
      </c>
      <c r="V147" s="2" t="str">
        <f>IF(Source!$C147&gt;=COLUMNS($A147:V147), Source!$E147, "")</f>
        <v/>
      </c>
      <c r="W147" s="2" t="str">
        <f>IF(Source!$C147&gt;=COLUMNS($A147:W147), Source!$E147, "")</f>
        <v/>
      </c>
      <c r="X147" s="2" t="str">
        <f>IF(Source!$C147&gt;=COLUMNS($A147:X147), Source!$E147, "")</f>
        <v/>
      </c>
      <c r="Y147" s="2" t="str">
        <f>IF(Source!$C147&gt;=COLUMNS($A147:Y147), Source!$E147, "")</f>
        <v/>
      </c>
      <c r="Z147" s="2" t="str">
        <f>IF(Source!$C147&gt;=COLUMNS($A147:Z147), Source!$E147, "")</f>
        <v/>
      </c>
      <c r="AA147" s="2" t="str">
        <f>IF(Source!$C147&gt;=COLUMNS($A147:AA147), Source!$E147, "")</f>
        <v/>
      </c>
      <c r="AB147" s="2" t="str">
        <f>IF(Source!$C147&gt;=COLUMNS($A147:AB147), Source!$E147, "")</f>
        <v/>
      </c>
      <c r="AC147" s="2" t="str">
        <f>IF(Source!$C147&gt;=COLUMNS($A147:AC147), Source!$E147, "")</f>
        <v/>
      </c>
      <c r="AD147" s="2" t="str">
        <f>IF(Source!$C147&gt;=COLUMNS($A147:AD147), Source!$E147, "")</f>
        <v/>
      </c>
      <c r="AE147" s="2" t="str">
        <f>IF(Source!$C147&gt;=COLUMNS($A147:AE147), Source!$E147, "")</f>
        <v/>
      </c>
      <c r="AF147" s="2" t="str">
        <f>IF(Source!$C147&gt;=COLUMNS($A147:AF147), Source!$E147, "")</f>
        <v/>
      </c>
      <c r="AG147" s="2" t="str">
        <f>IF(Source!$C147&gt;=COLUMNS($A147:AG147), Source!$E147, "")</f>
        <v/>
      </c>
      <c r="AH147" s="2" t="str">
        <f>IF(Source!$C147&gt;=COLUMNS($A147:AH147), Source!$E147, "")</f>
        <v/>
      </c>
      <c r="AI147" s="2" t="str">
        <f>IF(Source!$C147&gt;=COLUMNS($A147:AI147), Source!$E147, "")</f>
        <v/>
      </c>
      <c r="AJ147" s="2" t="str">
        <f>IF(Source!$C147&gt;=COLUMNS($A147:AJ147), Source!$E147, "")</f>
        <v/>
      </c>
      <c r="AK147" s="2" t="str">
        <f>IF(Source!$C147&gt;=COLUMNS($A147:AK147), Source!$E147, "")</f>
        <v/>
      </c>
      <c r="AL147" s="2" t="str">
        <f>IF(Source!$C147&gt;=COLUMNS($A147:AL147), Source!$E147, "")</f>
        <v/>
      </c>
      <c r="AM147" s="2" t="str">
        <f>IF(Source!$C147&gt;=COLUMNS($A147:AM147), Source!$E147, "")</f>
        <v/>
      </c>
      <c r="AN147" s="2" t="str">
        <f>IF(Source!$C147&gt;=COLUMNS($A147:AN147), Source!$E147, "")</f>
        <v/>
      </c>
      <c r="AO147" s="2" t="str">
        <f>IF(Source!$C147&gt;=COLUMNS($A147:AO147), Source!$E147, "")</f>
        <v/>
      </c>
      <c r="AP147" s="2" t="str">
        <f>IF(Source!$C147&gt;=COLUMNS($A147:AP147), Source!$E147, "")</f>
        <v/>
      </c>
      <c r="AQ147" s="2" t="str">
        <f>IF(Source!$C147&gt;=COLUMNS($A147:AQ147), Source!$E147, "")</f>
        <v/>
      </c>
      <c r="AR147" s="2" t="str">
        <f>IF(Source!$C147&gt;=COLUMNS($A147:AR147), Source!$E147, "")</f>
        <v/>
      </c>
    </row>
    <row r="148">
      <c r="A148" s="2">
        <f>IF(Source!$C148&gt;=COLUMNS($A148:A148), Source!$E148, "")</f>
        <v>5</v>
      </c>
      <c r="B148" s="2">
        <f>IF(Source!$C148&gt;=COLUMNS($A148:B148), Source!$E148, "")</f>
        <v>5</v>
      </c>
      <c r="C148" s="2">
        <f>IF(Source!$C148&gt;=COLUMNS($A148:C148), Source!$E148, "")</f>
        <v>5</v>
      </c>
      <c r="D148" s="2">
        <f>IF(Source!$C148&gt;=COLUMNS($A148:D148), Source!$E148, "")</f>
        <v>5</v>
      </c>
      <c r="E148" s="2">
        <f>IF(Source!$C148&gt;=COLUMNS($A148:E148), Source!$E148, "")</f>
        <v>5</v>
      </c>
      <c r="F148" s="2" t="str">
        <f>IF(Source!$C148&gt;=COLUMNS($A148:F148), Source!$E148, "")</f>
        <v/>
      </c>
      <c r="G148" s="2" t="str">
        <f>IF(Source!$C148&gt;=COLUMNS($A148:G148), Source!$E148, "")</f>
        <v/>
      </c>
      <c r="H148" s="2" t="str">
        <f>IF(Source!$C148&gt;=COLUMNS($A148:H148), Source!$E148, "")</f>
        <v/>
      </c>
      <c r="I148" s="2" t="str">
        <f>IF(Source!$C148&gt;=COLUMNS($A148:I148), Source!$E148, "")</f>
        <v/>
      </c>
      <c r="J148" s="2" t="str">
        <f>IF(Source!$C148&gt;=COLUMNS($A148:J148), Source!$E148, "")</f>
        <v/>
      </c>
      <c r="K148" s="2" t="str">
        <f>IF(Source!$C148&gt;=COLUMNS($A148:K148), Source!$E148, "")</f>
        <v/>
      </c>
      <c r="L148" s="2" t="str">
        <f>IF(Source!$C148&gt;=COLUMNS($A148:L148), Source!$E148, "")</f>
        <v/>
      </c>
      <c r="M148" s="2" t="str">
        <f>IF(Source!$C148&gt;=COLUMNS($A148:M148), Source!$E148, "")</f>
        <v/>
      </c>
      <c r="N148" s="2" t="str">
        <f>IF(Source!$C148&gt;=COLUMNS($A148:N148), Source!$E148, "")</f>
        <v/>
      </c>
      <c r="O148" s="2" t="str">
        <f>IF(Source!$C148&gt;=COLUMNS($A148:O148), Source!$E148, "")</f>
        <v/>
      </c>
      <c r="P148" s="2" t="str">
        <f>IF(Source!$C148&gt;=COLUMNS($A148:P148), Source!$E148, "")</f>
        <v/>
      </c>
      <c r="Q148" s="2" t="str">
        <f>IF(Source!$C148&gt;=COLUMNS($A148:Q148), Source!$E148, "")</f>
        <v/>
      </c>
      <c r="R148" s="2" t="str">
        <f>IF(Source!$C148&gt;=COLUMNS($A148:R148), Source!$E148, "")</f>
        <v/>
      </c>
      <c r="S148" s="2" t="str">
        <f>IF(Source!$C148&gt;=COLUMNS($A148:S148), Source!$E148, "")</f>
        <v/>
      </c>
      <c r="T148" s="2" t="str">
        <f>IF(Source!$C148&gt;=COLUMNS($A148:T148), Source!$E148, "")</f>
        <v/>
      </c>
      <c r="U148" s="2" t="str">
        <f>IF(Source!$C148&gt;=COLUMNS($A148:U148), Source!$E148, "")</f>
        <v/>
      </c>
      <c r="V148" s="2" t="str">
        <f>IF(Source!$C148&gt;=COLUMNS($A148:V148), Source!$E148, "")</f>
        <v/>
      </c>
      <c r="W148" s="2" t="str">
        <f>IF(Source!$C148&gt;=COLUMNS($A148:W148), Source!$E148, "")</f>
        <v/>
      </c>
      <c r="X148" s="2" t="str">
        <f>IF(Source!$C148&gt;=COLUMNS($A148:X148), Source!$E148, "")</f>
        <v/>
      </c>
      <c r="Y148" s="2" t="str">
        <f>IF(Source!$C148&gt;=COLUMNS($A148:Y148), Source!$E148, "")</f>
        <v/>
      </c>
      <c r="Z148" s="2" t="str">
        <f>IF(Source!$C148&gt;=COLUMNS($A148:Z148), Source!$E148, "")</f>
        <v/>
      </c>
      <c r="AA148" s="2" t="str">
        <f>IF(Source!$C148&gt;=COLUMNS($A148:AA148), Source!$E148, "")</f>
        <v/>
      </c>
      <c r="AB148" s="2" t="str">
        <f>IF(Source!$C148&gt;=COLUMNS($A148:AB148), Source!$E148, "")</f>
        <v/>
      </c>
      <c r="AC148" s="2" t="str">
        <f>IF(Source!$C148&gt;=COLUMNS($A148:AC148), Source!$E148, "")</f>
        <v/>
      </c>
      <c r="AD148" s="2" t="str">
        <f>IF(Source!$C148&gt;=COLUMNS($A148:AD148), Source!$E148, "")</f>
        <v/>
      </c>
      <c r="AE148" s="2" t="str">
        <f>IF(Source!$C148&gt;=COLUMNS($A148:AE148), Source!$E148, "")</f>
        <v/>
      </c>
      <c r="AF148" s="2" t="str">
        <f>IF(Source!$C148&gt;=COLUMNS($A148:AF148), Source!$E148, "")</f>
        <v/>
      </c>
      <c r="AG148" s="2" t="str">
        <f>IF(Source!$C148&gt;=COLUMNS($A148:AG148), Source!$E148, "")</f>
        <v/>
      </c>
      <c r="AH148" s="2" t="str">
        <f>IF(Source!$C148&gt;=COLUMNS($A148:AH148), Source!$E148, "")</f>
        <v/>
      </c>
      <c r="AI148" s="2" t="str">
        <f>IF(Source!$C148&gt;=COLUMNS($A148:AI148), Source!$E148, "")</f>
        <v/>
      </c>
      <c r="AJ148" s="2" t="str">
        <f>IF(Source!$C148&gt;=COLUMNS($A148:AJ148), Source!$E148, "")</f>
        <v/>
      </c>
      <c r="AK148" s="2" t="str">
        <f>IF(Source!$C148&gt;=COLUMNS($A148:AK148), Source!$E148, "")</f>
        <v/>
      </c>
      <c r="AL148" s="2" t="str">
        <f>IF(Source!$C148&gt;=COLUMNS($A148:AL148), Source!$E148, "")</f>
        <v/>
      </c>
      <c r="AM148" s="2" t="str">
        <f>IF(Source!$C148&gt;=COLUMNS($A148:AM148), Source!$E148, "")</f>
        <v/>
      </c>
      <c r="AN148" s="2" t="str">
        <f>IF(Source!$C148&gt;=COLUMNS($A148:AN148), Source!$E148, "")</f>
        <v/>
      </c>
      <c r="AO148" s="2" t="str">
        <f>IF(Source!$C148&gt;=COLUMNS($A148:AO148), Source!$E148, "")</f>
        <v/>
      </c>
      <c r="AP148" s="2" t="str">
        <f>IF(Source!$C148&gt;=COLUMNS($A148:AP148), Source!$E148, "")</f>
        <v/>
      </c>
      <c r="AQ148" s="2" t="str">
        <f>IF(Source!$C148&gt;=COLUMNS($A148:AQ148), Source!$E148, "")</f>
        <v/>
      </c>
      <c r="AR148" s="2" t="str">
        <f>IF(Source!$C148&gt;=COLUMNS($A148:AR148), Source!$E148, "")</f>
        <v/>
      </c>
    </row>
    <row r="149">
      <c r="A149" s="2">
        <f>IF(Source!$C149&gt;=COLUMNS($A149:A149), Source!$E149, "")</f>
        <v>3</v>
      </c>
      <c r="B149" s="2" t="str">
        <f>IF(Source!$C149&gt;=COLUMNS($A149:B149), Source!$E149, "")</f>
        <v/>
      </c>
      <c r="C149" s="2" t="str">
        <f>IF(Source!$C149&gt;=COLUMNS($A149:C149), Source!$E149, "")</f>
        <v/>
      </c>
      <c r="D149" s="2" t="str">
        <f>IF(Source!$C149&gt;=COLUMNS($A149:D149), Source!$E149, "")</f>
        <v/>
      </c>
      <c r="E149" s="2" t="str">
        <f>IF(Source!$C149&gt;=COLUMNS($A149:E149), Source!$E149, "")</f>
        <v/>
      </c>
      <c r="F149" s="2" t="str">
        <f>IF(Source!$C149&gt;=COLUMNS($A149:F149), Source!$E149, "")</f>
        <v/>
      </c>
      <c r="G149" s="2" t="str">
        <f>IF(Source!$C149&gt;=COLUMNS($A149:G149), Source!$E149, "")</f>
        <v/>
      </c>
      <c r="H149" s="2" t="str">
        <f>IF(Source!$C149&gt;=COLUMNS($A149:H149), Source!$E149, "")</f>
        <v/>
      </c>
      <c r="I149" s="2" t="str">
        <f>IF(Source!$C149&gt;=COLUMNS($A149:I149), Source!$E149, "")</f>
        <v/>
      </c>
      <c r="J149" s="2" t="str">
        <f>IF(Source!$C149&gt;=COLUMNS($A149:J149), Source!$E149, "")</f>
        <v/>
      </c>
      <c r="K149" s="2" t="str">
        <f>IF(Source!$C149&gt;=COLUMNS($A149:K149), Source!$E149, "")</f>
        <v/>
      </c>
      <c r="L149" s="2" t="str">
        <f>IF(Source!$C149&gt;=COLUMNS($A149:L149), Source!$E149, "")</f>
        <v/>
      </c>
      <c r="M149" s="2" t="str">
        <f>IF(Source!$C149&gt;=COLUMNS($A149:M149), Source!$E149, "")</f>
        <v/>
      </c>
      <c r="N149" s="2" t="str">
        <f>IF(Source!$C149&gt;=COLUMNS($A149:N149), Source!$E149, "")</f>
        <v/>
      </c>
      <c r="O149" s="2" t="str">
        <f>IF(Source!$C149&gt;=COLUMNS($A149:O149), Source!$E149, "")</f>
        <v/>
      </c>
      <c r="P149" s="2" t="str">
        <f>IF(Source!$C149&gt;=COLUMNS($A149:P149), Source!$E149, "")</f>
        <v/>
      </c>
      <c r="Q149" s="2" t="str">
        <f>IF(Source!$C149&gt;=COLUMNS($A149:Q149), Source!$E149, "")</f>
        <v/>
      </c>
      <c r="R149" s="2" t="str">
        <f>IF(Source!$C149&gt;=COLUMNS($A149:R149), Source!$E149, "")</f>
        <v/>
      </c>
      <c r="S149" s="2" t="str">
        <f>IF(Source!$C149&gt;=COLUMNS($A149:S149), Source!$E149, "")</f>
        <v/>
      </c>
      <c r="T149" s="2" t="str">
        <f>IF(Source!$C149&gt;=COLUMNS($A149:T149), Source!$E149, "")</f>
        <v/>
      </c>
      <c r="U149" s="2" t="str">
        <f>IF(Source!$C149&gt;=COLUMNS($A149:U149), Source!$E149, "")</f>
        <v/>
      </c>
      <c r="V149" s="2" t="str">
        <f>IF(Source!$C149&gt;=COLUMNS($A149:V149), Source!$E149, "")</f>
        <v/>
      </c>
      <c r="W149" s="2" t="str">
        <f>IF(Source!$C149&gt;=COLUMNS($A149:W149), Source!$E149, "")</f>
        <v/>
      </c>
      <c r="X149" s="2" t="str">
        <f>IF(Source!$C149&gt;=COLUMNS($A149:X149), Source!$E149, "")</f>
        <v/>
      </c>
      <c r="Y149" s="2" t="str">
        <f>IF(Source!$C149&gt;=COLUMNS($A149:Y149), Source!$E149, "")</f>
        <v/>
      </c>
      <c r="Z149" s="2" t="str">
        <f>IF(Source!$C149&gt;=COLUMNS($A149:Z149), Source!$E149, "")</f>
        <v/>
      </c>
      <c r="AA149" s="2" t="str">
        <f>IF(Source!$C149&gt;=COLUMNS($A149:AA149), Source!$E149, "")</f>
        <v/>
      </c>
      <c r="AB149" s="2" t="str">
        <f>IF(Source!$C149&gt;=COLUMNS($A149:AB149), Source!$E149, "")</f>
        <v/>
      </c>
      <c r="AC149" s="2" t="str">
        <f>IF(Source!$C149&gt;=COLUMNS($A149:AC149), Source!$E149, "")</f>
        <v/>
      </c>
      <c r="AD149" s="2" t="str">
        <f>IF(Source!$C149&gt;=COLUMNS($A149:AD149), Source!$E149, "")</f>
        <v/>
      </c>
      <c r="AE149" s="2" t="str">
        <f>IF(Source!$C149&gt;=COLUMNS($A149:AE149), Source!$E149, "")</f>
        <v/>
      </c>
      <c r="AF149" s="2" t="str">
        <f>IF(Source!$C149&gt;=COLUMNS($A149:AF149), Source!$E149, "")</f>
        <v/>
      </c>
      <c r="AG149" s="2" t="str">
        <f>IF(Source!$C149&gt;=COLUMNS($A149:AG149), Source!$E149, "")</f>
        <v/>
      </c>
      <c r="AH149" s="2" t="str">
        <f>IF(Source!$C149&gt;=COLUMNS($A149:AH149), Source!$E149, "")</f>
        <v/>
      </c>
      <c r="AI149" s="2" t="str">
        <f>IF(Source!$C149&gt;=COLUMNS($A149:AI149), Source!$E149, "")</f>
        <v/>
      </c>
      <c r="AJ149" s="2" t="str">
        <f>IF(Source!$C149&gt;=COLUMNS($A149:AJ149), Source!$E149, "")</f>
        <v/>
      </c>
      <c r="AK149" s="2" t="str">
        <f>IF(Source!$C149&gt;=COLUMNS($A149:AK149), Source!$E149, "")</f>
        <v/>
      </c>
      <c r="AL149" s="2" t="str">
        <f>IF(Source!$C149&gt;=COLUMNS($A149:AL149), Source!$E149, "")</f>
        <v/>
      </c>
      <c r="AM149" s="2" t="str">
        <f>IF(Source!$C149&gt;=COLUMNS($A149:AM149), Source!$E149, "")</f>
        <v/>
      </c>
      <c r="AN149" s="2" t="str">
        <f>IF(Source!$C149&gt;=COLUMNS($A149:AN149), Source!$E149, "")</f>
        <v/>
      </c>
      <c r="AO149" s="2" t="str">
        <f>IF(Source!$C149&gt;=COLUMNS($A149:AO149), Source!$E149, "")</f>
        <v/>
      </c>
      <c r="AP149" s="2" t="str">
        <f>IF(Source!$C149&gt;=COLUMNS($A149:AP149), Source!$E149, "")</f>
        <v/>
      </c>
      <c r="AQ149" s="2" t="str">
        <f>IF(Source!$C149&gt;=COLUMNS($A149:AQ149), Source!$E149, "")</f>
        <v/>
      </c>
      <c r="AR149" s="2" t="str">
        <f>IF(Source!$C149&gt;=COLUMNS($A149:AR149), Source!$E149, "")</f>
        <v/>
      </c>
    </row>
    <row r="150">
      <c r="A150" s="2">
        <f>IF(Source!$C150&gt;=COLUMNS($A150:A150), Source!$E150, "")</f>
        <v>1</v>
      </c>
      <c r="B150" s="2">
        <f>IF(Source!$C150&gt;=COLUMNS($A150:B150), Source!$E150, "")</f>
        <v>1</v>
      </c>
      <c r="C150" s="2" t="str">
        <f>IF(Source!$C150&gt;=COLUMNS($A150:C150), Source!$E150, "")</f>
        <v/>
      </c>
      <c r="D150" s="2" t="str">
        <f>IF(Source!$C150&gt;=COLUMNS($A150:D150), Source!$E150, "")</f>
        <v/>
      </c>
      <c r="E150" s="2" t="str">
        <f>IF(Source!$C150&gt;=COLUMNS($A150:E150), Source!$E150, "")</f>
        <v/>
      </c>
      <c r="F150" s="2" t="str">
        <f>IF(Source!$C150&gt;=COLUMNS($A150:F150), Source!$E150, "")</f>
        <v/>
      </c>
      <c r="G150" s="2" t="str">
        <f>IF(Source!$C150&gt;=COLUMNS($A150:G150), Source!$E150, "")</f>
        <v/>
      </c>
      <c r="H150" s="2" t="str">
        <f>IF(Source!$C150&gt;=COLUMNS($A150:H150), Source!$E150, "")</f>
        <v/>
      </c>
      <c r="I150" s="2" t="str">
        <f>IF(Source!$C150&gt;=COLUMNS($A150:I150), Source!$E150, "")</f>
        <v/>
      </c>
      <c r="J150" s="2" t="str">
        <f>IF(Source!$C150&gt;=COLUMNS($A150:J150), Source!$E150, "")</f>
        <v/>
      </c>
      <c r="K150" s="2" t="str">
        <f>IF(Source!$C150&gt;=COLUMNS($A150:K150), Source!$E150, "")</f>
        <v/>
      </c>
      <c r="L150" s="2" t="str">
        <f>IF(Source!$C150&gt;=COLUMNS($A150:L150), Source!$E150, "")</f>
        <v/>
      </c>
      <c r="M150" s="2" t="str">
        <f>IF(Source!$C150&gt;=COLUMNS($A150:M150), Source!$E150, "")</f>
        <v/>
      </c>
      <c r="N150" s="2" t="str">
        <f>IF(Source!$C150&gt;=COLUMNS($A150:N150), Source!$E150, "")</f>
        <v/>
      </c>
      <c r="O150" s="2" t="str">
        <f>IF(Source!$C150&gt;=COLUMNS($A150:O150), Source!$E150, "")</f>
        <v/>
      </c>
      <c r="P150" s="2" t="str">
        <f>IF(Source!$C150&gt;=COLUMNS($A150:P150), Source!$E150, "")</f>
        <v/>
      </c>
      <c r="Q150" s="2" t="str">
        <f>IF(Source!$C150&gt;=COLUMNS($A150:Q150), Source!$E150, "")</f>
        <v/>
      </c>
      <c r="R150" s="2" t="str">
        <f>IF(Source!$C150&gt;=COLUMNS($A150:R150), Source!$E150, "")</f>
        <v/>
      </c>
      <c r="S150" s="2" t="str">
        <f>IF(Source!$C150&gt;=COLUMNS($A150:S150), Source!$E150, "")</f>
        <v/>
      </c>
      <c r="T150" s="2" t="str">
        <f>IF(Source!$C150&gt;=COLUMNS($A150:T150), Source!$E150, "")</f>
        <v/>
      </c>
      <c r="U150" s="2" t="str">
        <f>IF(Source!$C150&gt;=COLUMNS($A150:U150), Source!$E150, "")</f>
        <v/>
      </c>
      <c r="V150" s="2" t="str">
        <f>IF(Source!$C150&gt;=COLUMNS($A150:V150), Source!$E150, "")</f>
        <v/>
      </c>
      <c r="W150" s="2" t="str">
        <f>IF(Source!$C150&gt;=COLUMNS($A150:W150), Source!$E150, "")</f>
        <v/>
      </c>
      <c r="X150" s="2" t="str">
        <f>IF(Source!$C150&gt;=COLUMNS($A150:X150), Source!$E150, "")</f>
        <v/>
      </c>
      <c r="Y150" s="2" t="str">
        <f>IF(Source!$C150&gt;=COLUMNS($A150:Y150), Source!$E150, "")</f>
        <v/>
      </c>
      <c r="Z150" s="2" t="str">
        <f>IF(Source!$C150&gt;=COLUMNS($A150:Z150), Source!$E150, "")</f>
        <v/>
      </c>
      <c r="AA150" s="2" t="str">
        <f>IF(Source!$C150&gt;=COLUMNS($A150:AA150), Source!$E150, "")</f>
        <v/>
      </c>
      <c r="AB150" s="2" t="str">
        <f>IF(Source!$C150&gt;=COLUMNS($A150:AB150), Source!$E150, "")</f>
        <v/>
      </c>
      <c r="AC150" s="2" t="str">
        <f>IF(Source!$C150&gt;=COLUMNS($A150:AC150), Source!$E150, "")</f>
        <v/>
      </c>
      <c r="AD150" s="2" t="str">
        <f>IF(Source!$C150&gt;=COLUMNS($A150:AD150), Source!$E150, "")</f>
        <v/>
      </c>
      <c r="AE150" s="2" t="str">
        <f>IF(Source!$C150&gt;=COLUMNS($A150:AE150), Source!$E150, "")</f>
        <v/>
      </c>
      <c r="AF150" s="2" t="str">
        <f>IF(Source!$C150&gt;=COLUMNS($A150:AF150), Source!$E150, "")</f>
        <v/>
      </c>
      <c r="AG150" s="2" t="str">
        <f>IF(Source!$C150&gt;=COLUMNS($A150:AG150), Source!$E150, "")</f>
        <v/>
      </c>
      <c r="AH150" s="2" t="str">
        <f>IF(Source!$C150&gt;=COLUMNS($A150:AH150), Source!$E150, "")</f>
        <v/>
      </c>
      <c r="AI150" s="2" t="str">
        <f>IF(Source!$C150&gt;=COLUMNS($A150:AI150), Source!$E150, "")</f>
        <v/>
      </c>
      <c r="AJ150" s="2" t="str">
        <f>IF(Source!$C150&gt;=COLUMNS($A150:AJ150), Source!$E150, "")</f>
        <v/>
      </c>
      <c r="AK150" s="2" t="str">
        <f>IF(Source!$C150&gt;=COLUMNS($A150:AK150), Source!$E150, "")</f>
        <v/>
      </c>
      <c r="AL150" s="2" t="str">
        <f>IF(Source!$C150&gt;=COLUMNS($A150:AL150), Source!$E150, "")</f>
        <v/>
      </c>
      <c r="AM150" s="2" t="str">
        <f>IF(Source!$C150&gt;=COLUMNS($A150:AM150), Source!$E150, "")</f>
        <v/>
      </c>
      <c r="AN150" s="2" t="str">
        <f>IF(Source!$C150&gt;=COLUMNS($A150:AN150), Source!$E150, "")</f>
        <v/>
      </c>
      <c r="AO150" s="2" t="str">
        <f>IF(Source!$C150&gt;=COLUMNS($A150:AO150), Source!$E150, "")</f>
        <v/>
      </c>
      <c r="AP150" s="2" t="str">
        <f>IF(Source!$C150&gt;=COLUMNS($A150:AP150), Source!$E150, "")</f>
        <v/>
      </c>
      <c r="AQ150" s="2" t="str">
        <f>IF(Source!$C150&gt;=COLUMNS($A150:AQ150), Source!$E150, "")</f>
        <v/>
      </c>
      <c r="AR150" s="2" t="str">
        <f>IF(Source!$C150&gt;=COLUMNS($A150:AR150), Source!$E150, "")</f>
        <v/>
      </c>
    </row>
    <row r="151">
      <c r="A151" s="2">
        <f>IF(Source!$C151&gt;=COLUMNS($A151:A151), Source!$E151, "")</f>
        <v>2</v>
      </c>
      <c r="B151" s="2">
        <f>IF(Source!$C151&gt;=COLUMNS($A151:B151), Source!$E151, "")</f>
        <v>2</v>
      </c>
      <c r="C151" s="2" t="str">
        <f>IF(Source!$C151&gt;=COLUMNS($A151:C151), Source!$E151, "")</f>
        <v/>
      </c>
      <c r="D151" s="2" t="str">
        <f>IF(Source!$C151&gt;=COLUMNS($A151:D151), Source!$E151, "")</f>
        <v/>
      </c>
      <c r="E151" s="2" t="str">
        <f>IF(Source!$C151&gt;=COLUMNS($A151:E151), Source!$E151, "")</f>
        <v/>
      </c>
      <c r="F151" s="2" t="str">
        <f>IF(Source!$C151&gt;=COLUMNS($A151:F151), Source!$E151, "")</f>
        <v/>
      </c>
      <c r="G151" s="2" t="str">
        <f>IF(Source!$C151&gt;=COLUMNS($A151:G151), Source!$E151, "")</f>
        <v/>
      </c>
      <c r="H151" s="2" t="str">
        <f>IF(Source!$C151&gt;=COLUMNS($A151:H151), Source!$E151, "")</f>
        <v/>
      </c>
      <c r="I151" s="2" t="str">
        <f>IF(Source!$C151&gt;=COLUMNS($A151:I151), Source!$E151, "")</f>
        <v/>
      </c>
      <c r="J151" s="2" t="str">
        <f>IF(Source!$C151&gt;=COLUMNS($A151:J151), Source!$E151, "")</f>
        <v/>
      </c>
      <c r="K151" s="2" t="str">
        <f>IF(Source!$C151&gt;=COLUMNS($A151:K151), Source!$E151, "")</f>
        <v/>
      </c>
      <c r="L151" s="2" t="str">
        <f>IF(Source!$C151&gt;=COLUMNS($A151:L151), Source!$E151, "")</f>
        <v/>
      </c>
      <c r="M151" s="2" t="str">
        <f>IF(Source!$C151&gt;=COLUMNS($A151:M151), Source!$E151, "")</f>
        <v/>
      </c>
      <c r="N151" s="2" t="str">
        <f>IF(Source!$C151&gt;=COLUMNS($A151:N151), Source!$E151, "")</f>
        <v/>
      </c>
      <c r="O151" s="2" t="str">
        <f>IF(Source!$C151&gt;=COLUMNS($A151:O151), Source!$E151, "")</f>
        <v/>
      </c>
      <c r="P151" s="2" t="str">
        <f>IF(Source!$C151&gt;=COLUMNS($A151:P151), Source!$E151, "")</f>
        <v/>
      </c>
      <c r="Q151" s="2" t="str">
        <f>IF(Source!$C151&gt;=COLUMNS($A151:Q151), Source!$E151, "")</f>
        <v/>
      </c>
      <c r="R151" s="2" t="str">
        <f>IF(Source!$C151&gt;=COLUMNS($A151:R151), Source!$E151, "")</f>
        <v/>
      </c>
      <c r="S151" s="2" t="str">
        <f>IF(Source!$C151&gt;=COLUMNS($A151:S151), Source!$E151, "")</f>
        <v/>
      </c>
      <c r="T151" s="2" t="str">
        <f>IF(Source!$C151&gt;=COLUMNS($A151:T151), Source!$E151, "")</f>
        <v/>
      </c>
      <c r="U151" s="2" t="str">
        <f>IF(Source!$C151&gt;=COLUMNS($A151:U151), Source!$E151, "")</f>
        <v/>
      </c>
      <c r="V151" s="2" t="str">
        <f>IF(Source!$C151&gt;=COLUMNS($A151:V151), Source!$E151, "")</f>
        <v/>
      </c>
      <c r="W151" s="2" t="str">
        <f>IF(Source!$C151&gt;=COLUMNS($A151:W151), Source!$E151, "")</f>
        <v/>
      </c>
      <c r="X151" s="2" t="str">
        <f>IF(Source!$C151&gt;=COLUMNS($A151:X151), Source!$E151, "")</f>
        <v/>
      </c>
      <c r="Y151" s="2" t="str">
        <f>IF(Source!$C151&gt;=COLUMNS($A151:Y151), Source!$E151, "")</f>
        <v/>
      </c>
      <c r="Z151" s="2" t="str">
        <f>IF(Source!$C151&gt;=COLUMNS($A151:Z151), Source!$E151, "")</f>
        <v/>
      </c>
      <c r="AA151" s="2" t="str">
        <f>IF(Source!$C151&gt;=COLUMNS($A151:AA151), Source!$E151, "")</f>
        <v/>
      </c>
      <c r="AB151" s="2" t="str">
        <f>IF(Source!$C151&gt;=COLUMNS($A151:AB151), Source!$E151, "")</f>
        <v/>
      </c>
      <c r="AC151" s="2" t="str">
        <f>IF(Source!$C151&gt;=COLUMNS($A151:AC151), Source!$E151, "")</f>
        <v/>
      </c>
      <c r="AD151" s="2" t="str">
        <f>IF(Source!$C151&gt;=COLUMNS($A151:AD151), Source!$E151, "")</f>
        <v/>
      </c>
      <c r="AE151" s="2" t="str">
        <f>IF(Source!$C151&gt;=COLUMNS($A151:AE151), Source!$E151, "")</f>
        <v/>
      </c>
      <c r="AF151" s="2" t="str">
        <f>IF(Source!$C151&gt;=COLUMNS($A151:AF151), Source!$E151, "")</f>
        <v/>
      </c>
      <c r="AG151" s="2" t="str">
        <f>IF(Source!$C151&gt;=COLUMNS($A151:AG151), Source!$E151, "")</f>
        <v/>
      </c>
      <c r="AH151" s="2" t="str">
        <f>IF(Source!$C151&gt;=COLUMNS($A151:AH151), Source!$E151, "")</f>
        <v/>
      </c>
      <c r="AI151" s="2" t="str">
        <f>IF(Source!$C151&gt;=COLUMNS($A151:AI151), Source!$E151, "")</f>
        <v/>
      </c>
      <c r="AJ151" s="2" t="str">
        <f>IF(Source!$C151&gt;=COLUMNS($A151:AJ151), Source!$E151, "")</f>
        <v/>
      </c>
      <c r="AK151" s="2" t="str">
        <f>IF(Source!$C151&gt;=COLUMNS($A151:AK151), Source!$E151, "")</f>
        <v/>
      </c>
      <c r="AL151" s="2" t="str">
        <f>IF(Source!$C151&gt;=COLUMNS($A151:AL151), Source!$E151, "")</f>
        <v/>
      </c>
      <c r="AM151" s="2" t="str">
        <f>IF(Source!$C151&gt;=COLUMNS($A151:AM151), Source!$E151, "")</f>
        <v/>
      </c>
      <c r="AN151" s="2" t="str">
        <f>IF(Source!$C151&gt;=COLUMNS($A151:AN151), Source!$E151, "")</f>
        <v/>
      </c>
      <c r="AO151" s="2" t="str">
        <f>IF(Source!$C151&gt;=COLUMNS($A151:AO151), Source!$E151, "")</f>
        <v/>
      </c>
      <c r="AP151" s="2" t="str">
        <f>IF(Source!$C151&gt;=COLUMNS($A151:AP151), Source!$E151, "")</f>
        <v/>
      </c>
      <c r="AQ151" s="2" t="str">
        <f>IF(Source!$C151&gt;=COLUMNS($A151:AQ151), Source!$E151, "")</f>
        <v/>
      </c>
      <c r="AR151" s="2" t="str">
        <f>IF(Source!$C151&gt;=COLUMNS($A151:AR151), Source!$E151, "")</f>
        <v/>
      </c>
    </row>
    <row r="152">
      <c r="A152" s="2">
        <f>IF(Source!$C152&gt;=COLUMNS($A152:A152), Source!$E152, "")</f>
        <v>3</v>
      </c>
      <c r="B152" s="2">
        <f>IF(Source!$C152&gt;=COLUMNS($A152:B152), Source!$E152, "")</f>
        <v>3</v>
      </c>
      <c r="C152" s="2">
        <f>IF(Source!$C152&gt;=COLUMNS($A152:C152), Source!$E152, "")</f>
        <v>3</v>
      </c>
      <c r="D152" s="2" t="str">
        <f>IF(Source!$C152&gt;=COLUMNS($A152:D152), Source!$E152, "")</f>
        <v/>
      </c>
      <c r="E152" s="2" t="str">
        <f>IF(Source!$C152&gt;=COLUMNS($A152:E152), Source!$E152, "")</f>
        <v/>
      </c>
      <c r="F152" s="2" t="str">
        <f>IF(Source!$C152&gt;=COLUMNS($A152:F152), Source!$E152, "")</f>
        <v/>
      </c>
      <c r="G152" s="2" t="str">
        <f>IF(Source!$C152&gt;=COLUMNS($A152:G152), Source!$E152, "")</f>
        <v/>
      </c>
      <c r="H152" s="2" t="str">
        <f>IF(Source!$C152&gt;=COLUMNS($A152:H152), Source!$E152, "")</f>
        <v/>
      </c>
      <c r="I152" s="2" t="str">
        <f>IF(Source!$C152&gt;=COLUMNS($A152:I152), Source!$E152, "")</f>
        <v/>
      </c>
      <c r="J152" s="2" t="str">
        <f>IF(Source!$C152&gt;=COLUMNS($A152:J152), Source!$E152, "")</f>
        <v/>
      </c>
      <c r="K152" s="2" t="str">
        <f>IF(Source!$C152&gt;=COLUMNS($A152:K152), Source!$E152, "")</f>
        <v/>
      </c>
      <c r="L152" s="2" t="str">
        <f>IF(Source!$C152&gt;=COLUMNS($A152:L152), Source!$E152, "")</f>
        <v/>
      </c>
      <c r="M152" s="2" t="str">
        <f>IF(Source!$C152&gt;=COLUMNS($A152:M152), Source!$E152, "")</f>
        <v/>
      </c>
      <c r="N152" s="2" t="str">
        <f>IF(Source!$C152&gt;=COLUMNS($A152:N152), Source!$E152, "")</f>
        <v/>
      </c>
      <c r="O152" s="2" t="str">
        <f>IF(Source!$C152&gt;=COLUMNS($A152:O152), Source!$E152, "")</f>
        <v/>
      </c>
      <c r="P152" s="2" t="str">
        <f>IF(Source!$C152&gt;=COLUMNS($A152:P152), Source!$E152, "")</f>
        <v/>
      </c>
      <c r="Q152" s="2" t="str">
        <f>IF(Source!$C152&gt;=COLUMNS($A152:Q152), Source!$E152, "")</f>
        <v/>
      </c>
      <c r="R152" s="2" t="str">
        <f>IF(Source!$C152&gt;=COLUMNS($A152:R152), Source!$E152, "")</f>
        <v/>
      </c>
      <c r="S152" s="2" t="str">
        <f>IF(Source!$C152&gt;=COLUMNS($A152:S152), Source!$E152, "")</f>
        <v/>
      </c>
      <c r="T152" s="2" t="str">
        <f>IF(Source!$C152&gt;=COLUMNS($A152:T152), Source!$E152, "")</f>
        <v/>
      </c>
      <c r="U152" s="2" t="str">
        <f>IF(Source!$C152&gt;=COLUMNS($A152:U152), Source!$E152, "")</f>
        <v/>
      </c>
      <c r="V152" s="2" t="str">
        <f>IF(Source!$C152&gt;=COLUMNS($A152:V152), Source!$E152, "")</f>
        <v/>
      </c>
      <c r="W152" s="2" t="str">
        <f>IF(Source!$C152&gt;=COLUMNS($A152:W152), Source!$E152, "")</f>
        <v/>
      </c>
      <c r="X152" s="2" t="str">
        <f>IF(Source!$C152&gt;=COLUMNS($A152:X152), Source!$E152, "")</f>
        <v/>
      </c>
      <c r="Y152" s="2" t="str">
        <f>IF(Source!$C152&gt;=COLUMNS($A152:Y152), Source!$E152, "")</f>
        <v/>
      </c>
      <c r="Z152" s="2" t="str">
        <f>IF(Source!$C152&gt;=COLUMNS($A152:Z152), Source!$E152, "")</f>
        <v/>
      </c>
      <c r="AA152" s="2" t="str">
        <f>IF(Source!$C152&gt;=COLUMNS($A152:AA152), Source!$E152, "")</f>
        <v/>
      </c>
      <c r="AB152" s="2" t="str">
        <f>IF(Source!$C152&gt;=COLUMNS($A152:AB152), Source!$E152, "")</f>
        <v/>
      </c>
      <c r="AC152" s="2" t="str">
        <f>IF(Source!$C152&gt;=COLUMNS($A152:AC152), Source!$E152, "")</f>
        <v/>
      </c>
      <c r="AD152" s="2" t="str">
        <f>IF(Source!$C152&gt;=COLUMNS($A152:AD152), Source!$E152, "")</f>
        <v/>
      </c>
      <c r="AE152" s="2" t="str">
        <f>IF(Source!$C152&gt;=COLUMNS($A152:AE152), Source!$E152, "")</f>
        <v/>
      </c>
      <c r="AF152" s="2" t="str">
        <f>IF(Source!$C152&gt;=COLUMNS($A152:AF152), Source!$E152, "")</f>
        <v/>
      </c>
      <c r="AG152" s="2" t="str">
        <f>IF(Source!$C152&gt;=COLUMNS($A152:AG152), Source!$E152, "")</f>
        <v/>
      </c>
      <c r="AH152" s="2" t="str">
        <f>IF(Source!$C152&gt;=COLUMNS($A152:AH152), Source!$E152, "")</f>
        <v/>
      </c>
      <c r="AI152" s="2" t="str">
        <f>IF(Source!$C152&gt;=COLUMNS($A152:AI152), Source!$E152, "")</f>
        <v/>
      </c>
      <c r="AJ152" s="2" t="str">
        <f>IF(Source!$C152&gt;=COLUMNS($A152:AJ152), Source!$E152, "")</f>
        <v/>
      </c>
      <c r="AK152" s="2" t="str">
        <f>IF(Source!$C152&gt;=COLUMNS($A152:AK152), Source!$E152, "")</f>
        <v/>
      </c>
      <c r="AL152" s="2" t="str">
        <f>IF(Source!$C152&gt;=COLUMNS($A152:AL152), Source!$E152, "")</f>
        <v/>
      </c>
      <c r="AM152" s="2" t="str">
        <f>IF(Source!$C152&gt;=COLUMNS($A152:AM152), Source!$E152, "")</f>
        <v/>
      </c>
      <c r="AN152" s="2" t="str">
        <f>IF(Source!$C152&gt;=COLUMNS($A152:AN152), Source!$E152, "")</f>
        <v/>
      </c>
      <c r="AO152" s="2" t="str">
        <f>IF(Source!$C152&gt;=COLUMNS($A152:AO152), Source!$E152, "")</f>
        <v/>
      </c>
      <c r="AP152" s="2" t="str">
        <f>IF(Source!$C152&gt;=COLUMNS($A152:AP152), Source!$E152, "")</f>
        <v/>
      </c>
      <c r="AQ152" s="2" t="str">
        <f>IF(Source!$C152&gt;=COLUMNS($A152:AQ152), Source!$E152, "")</f>
        <v/>
      </c>
      <c r="AR152" s="2" t="str">
        <f>IF(Source!$C152&gt;=COLUMNS($A152:AR152), Source!$E152, "")</f>
        <v/>
      </c>
    </row>
    <row r="153">
      <c r="A153" s="2">
        <f>IF(Source!$C153&gt;=COLUMNS($A153:A153), Source!$E153, "")</f>
        <v>8</v>
      </c>
      <c r="B153" s="2">
        <f>IF(Source!$C153&gt;=COLUMNS($A153:B153), Source!$E153, "")</f>
        <v>8</v>
      </c>
      <c r="C153" s="2">
        <f>IF(Source!$C153&gt;=COLUMNS($A153:C153), Source!$E153, "")</f>
        <v>8</v>
      </c>
      <c r="D153" s="2">
        <f>IF(Source!$C153&gt;=COLUMNS($A153:D153), Source!$E153, "")</f>
        <v>8</v>
      </c>
      <c r="E153" s="2">
        <f>IF(Source!$C153&gt;=COLUMNS($A153:E153), Source!$E153, "")</f>
        <v>8</v>
      </c>
      <c r="F153" s="2">
        <f>IF(Source!$C153&gt;=COLUMNS($A153:F153), Source!$E153, "")</f>
        <v>8</v>
      </c>
      <c r="G153" s="2" t="str">
        <f>IF(Source!$C153&gt;=COLUMNS($A153:G153), Source!$E153, "")</f>
        <v/>
      </c>
      <c r="H153" s="2" t="str">
        <f>IF(Source!$C153&gt;=COLUMNS($A153:H153), Source!$E153, "")</f>
        <v/>
      </c>
      <c r="I153" s="2" t="str">
        <f>IF(Source!$C153&gt;=COLUMNS($A153:I153), Source!$E153, "")</f>
        <v/>
      </c>
      <c r="J153" s="2" t="str">
        <f>IF(Source!$C153&gt;=COLUMNS($A153:J153), Source!$E153, "")</f>
        <v/>
      </c>
      <c r="K153" s="2" t="str">
        <f>IF(Source!$C153&gt;=COLUMNS($A153:K153), Source!$E153, "")</f>
        <v/>
      </c>
      <c r="L153" s="2" t="str">
        <f>IF(Source!$C153&gt;=COLUMNS($A153:L153), Source!$E153, "")</f>
        <v/>
      </c>
      <c r="M153" s="2" t="str">
        <f>IF(Source!$C153&gt;=COLUMNS($A153:M153), Source!$E153, "")</f>
        <v/>
      </c>
      <c r="N153" s="2" t="str">
        <f>IF(Source!$C153&gt;=COLUMNS($A153:N153), Source!$E153, "")</f>
        <v/>
      </c>
      <c r="O153" s="2" t="str">
        <f>IF(Source!$C153&gt;=COLUMNS($A153:O153), Source!$E153, "")</f>
        <v/>
      </c>
      <c r="P153" s="2" t="str">
        <f>IF(Source!$C153&gt;=COLUMNS($A153:P153), Source!$E153, "")</f>
        <v/>
      </c>
      <c r="Q153" s="2" t="str">
        <f>IF(Source!$C153&gt;=COLUMNS($A153:Q153), Source!$E153, "")</f>
        <v/>
      </c>
      <c r="R153" s="2" t="str">
        <f>IF(Source!$C153&gt;=COLUMNS($A153:R153), Source!$E153, "")</f>
        <v/>
      </c>
      <c r="S153" s="2" t="str">
        <f>IF(Source!$C153&gt;=COLUMNS($A153:S153), Source!$E153, "")</f>
        <v/>
      </c>
      <c r="T153" s="2" t="str">
        <f>IF(Source!$C153&gt;=COLUMNS($A153:T153), Source!$E153, "")</f>
        <v/>
      </c>
      <c r="U153" s="2" t="str">
        <f>IF(Source!$C153&gt;=COLUMNS($A153:U153), Source!$E153, "")</f>
        <v/>
      </c>
      <c r="V153" s="2" t="str">
        <f>IF(Source!$C153&gt;=COLUMNS($A153:V153), Source!$E153, "")</f>
        <v/>
      </c>
      <c r="W153" s="2" t="str">
        <f>IF(Source!$C153&gt;=COLUMNS($A153:W153), Source!$E153, "")</f>
        <v/>
      </c>
      <c r="X153" s="2" t="str">
        <f>IF(Source!$C153&gt;=COLUMNS($A153:X153), Source!$E153, "")</f>
        <v/>
      </c>
      <c r="Y153" s="2" t="str">
        <f>IF(Source!$C153&gt;=COLUMNS($A153:Y153), Source!$E153, "")</f>
        <v/>
      </c>
      <c r="Z153" s="2" t="str">
        <f>IF(Source!$C153&gt;=COLUMNS($A153:Z153), Source!$E153, "")</f>
        <v/>
      </c>
      <c r="AA153" s="2" t="str">
        <f>IF(Source!$C153&gt;=COLUMNS($A153:AA153), Source!$E153, "")</f>
        <v/>
      </c>
      <c r="AB153" s="2" t="str">
        <f>IF(Source!$C153&gt;=COLUMNS($A153:AB153), Source!$E153, "")</f>
        <v/>
      </c>
      <c r="AC153" s="2" t="str">
        <f>IF(Source!$C153&gt;=COLUMNS($A153:AC153), Source!$E153, "")</f>
        <v/>
      </c>
      <c r="AD153" s="2" t="str">
        <f>IF(Source!$C153&gt;=COLUMNS($A153:AD153), Source!$E153, "")</f>
        <v/>
      </c>
      <c r="AE153" s="2" t="str">
        <f>IF(Source!$C153&gt;=COLUMNS($A153:AE153), Source!$E153, "")</f>
        <v/>
      </c>
      <c r="AF153" s="2" t="str">
        <f>IF(Source!$C153&gt;=COLUMNS($A153:AF153), Source!$E153, "")</f>
        <v/>
      </c>
      <c r="AG153" s="2" t="str">
        <f>IF(Source!$C153&gt;=COLUMNS($A153:AG153), Source!$E153, "")</f>
        <v/>
      </c>
      <c r="AH153" s="2" t="str">
        <f>IF(Source!$C153&gt;=COLUMNS($A153:AH153), Source!$E153, "")</f>
        <v/>
      </c>
      <c r="AI153" s="2" t="str">
        <f>IF(Source!$C153&gt;=COLUMNS($A153:AI153), Source!$E153, "")</f>
        <v/>
      </c>
      <c r="AJ153" s="2" t="str">
        <f>IF(Source!$C153&gt;=COLUMNS($A153:AJ153), Source!$E153, "")</f>
        <v/>
      </c>
      <c r="AK153" s="2" t="str">
        <f>IF(Source!$C153&gt;=COLUMNS($A153:AK153), Source!$E153, "")</f>
        <v/>
      </c>
      <c r="AL153" s="2" t="str">
        <f>IF(Source!$C153&gt;=COLUMNS($A153:AL153), Source!$E153, "")</f>
        <v/>
      </c>
      <c r="AM153" s="2" t="str">
        <f>IF(Source!$C153&gt;=COLUMNS($A153:AM153), Source!$E153, "")</f>
        <v/>
      </c>
      <c r="AN153" s="2" t="str">
        <f>IF(Source!$C153&gt;=COLUMNS($A153:AN153), Source!$E153, "")</f>
        <v/>
      </c>
      <c r="AO153" s="2" t="str">
        <f>IF(Source!$C153&gt;=COLUMNS($A153:AO153), Source!$E153, "")</f>
        <v/>
      </c>
      <c r="AP153" s="2" t="str">
        <f>IF(Source!$C153&gt;=COLUMNS($A153:AP153), Source!$E153, "")</f>
        <v/>
      </c>
      <c r="AQ153" s="2" t="str">
        <f>IF(Source!$C153&gt;=COLUMNS($A153:AQ153), Source!$E153, "")</f>
        <v/>
      </c>
      <c r="AR153" s="2" t="str">
        <f>IF(Source!$C153&gt;=COLUMNS($A153:AR153), Source!$E153, "")</f>
        <v/>
      </c>
    </row>
    <row r="154">
      <c r="A154" s="2">
        <f>IF(Source!$C154&gt;=COLUMNS($A154:A154), Source!$E154, "")</f>
        <v>3</v>
      </c>
      <c r="B154" s="2" t="str">
        <f>IF(Source!$C154&gt;=COLUMNS($A154:B154), Source!$E154, "")</f>
        <v/>
      </c>
      <c r="C154" s="2" t="str">
        <f>IF(Source!$C154&gt;=COLUMNS($A154:C154), Source!$E154, "")</f>
        <v/>
      </c>
      <c r="D154" s="2" t="str">
        <f>IF(Source!$C154&gt;=COLUMNS($A154:D154), Source!$E154, "")</f>
        <v/>
      </c>
      <c r="E154" s="2" t="str">
        <f>IF(Source!$C154&gt;=COLUMNS($A154:E154), Source!$E154, "")</f>
        <v/>
      </c>
      <c r="F154" s="2" t="str">
        <f>IF(Source!$C154&gt;=COLUMNS($A154:F154), Source!$E154, "")</f>
        <v/>
      </c>
      <c r="G154" s="2" t="str">
        <f>IF(Source!$C154&gt;=COLUMNS($A154:G154), Source!$E154, "")</f>
        <v/>
      </c>
      <c r="H154" s="2" t="str">
        <f>IF(Source!$C154&gt;=COLUMNS($A154:H154), Source!$E154, "")</f>
        <v/>
      </c>
      <c r="I154" s="2" t="str">
        <f>IF(Source!$C154&gt;=COLUMNS($A154:I154), Source!$E154, "")</f>
        <v/>
      </c>
      <c r="J154" s="2" t="str">
        <f>IF(Source!$C154&gt;=COLUMNS($A154:J154), Source!$E154, "")</f>
        <v/>
      </c>
      <c r="K154" s="2" t="str">
        <f>IF(Source!$C154&gt;=COLUMNS($A154:K154), Source!$E154, "")</f>
        <v/>
      </c>
      <c r="L154" s="2" t="str">
        <f>IF(Source!$C154&gt;=COLUMNS($A154:L154), Source!$E154, "")</f>
        <v/>
      </c>
      <c r="M154" s="2" t="str">
        <f>IF(Source!$C154&gt;=COLUMNS($A154:M154), Source!$E154, "")</f>
        <v/>
      </c>
      <c r="N154" s="2" t="str">
        <f>IF(Source!$C154&gt;=COLUMNS($A154:N154), Source!$E154, "")</f>
        <v/>
      </c>
      <c r="O154" s="2" t="str">
        <f>IF(Source!$C154&gt;=COLUMNS($A154:O154), Source!$E154, "")</f>
        <v/>
      </c>
      <c r="P154" s="2" t="str">
        <f>IF(Source!$C154&gt;=COLUMNS($A154:P154), Source!$E154, "")</f>
        <v/>
      </c>
      <c r="Q154" s="2" t="str">
        <f>IF(Source!$C154&gt;=COLUMNS($A154:Q154), Source!$E154, "")</f>
        <v/>
      </c>
      <c r="R154" s="2" t="str">
        <f>IF(Source!$C154&gt;=COLUMNS($A154:R154), Source!$E154, "")</f>
        <v/>
      </c>
      <c r="S154" s="2" t="str">
        <f>IF(Source!$C154&gt;=COLUMNS($A154:S154), Source!$E154, "")</f>
        <v/>
      </c>
      <c r="T154" s="2" t="str">
        <f>IF(Source!$C154&gt;=COLUMNS($A154:T154), Source!$E154, "")</f>
        <v/>
      </c>
      <c r="U154" s="2" t="str">
        <f>IF(Source!$C154&gt;=COLUMNS($A154:U154), Source!$E154, "")</f>
        <v/>
      </c>
      <c r="V154" s="2" t="str">
        <f>IF(Source!$C154&gt;=COLUMNS($A154:V154), Source!$E154, "")</f>
        <v/>
      </c>
      <c r="W154" s="2" t="str">
        <f>IF(Source!$C154&gt;=COLUMNS($A154:W154), Source!$E154, "")</f>
        <v/>
      </c>
      <c r="X154" s="2" t="str">
        <f>IF(Source!$C154&gt;=COLUMNS($A154:X154), Source!$E154, "")</f>
        <v/>
      </c>
      <c r="Y154" s="2" t="str">
        <f>IF(Source!$C154&gt;=COLUMNS($A154:Y154), Source!$E154, "")</f>
        <v/>
      </c>
      <c r="Z154" s="2" t="str">
        <f>IF(Source!$C154&gt;=COLUMNS($A154:Z154), Source!$E154, "")</f>
        <v/>
      </c>
      <c r="AA154" s="2" t="str">
        <f>IF(Source!$C154&gt;=COLUMNS($A154:AA154), Source!$E154, "")</f>
        <v/>
      </c>
      <c r="AB154" s="2" t="str">
        <f>IF(Source!$C154&gt;=COLUMNS($A154:AB154), Source!$E154, "")</f>
        <v/>
      </c>
      <c r="AC154" s="2" t="str">
        <f>IF(Source!$C154&gt;=COLUMNS($A154:AC154), Source!$E154, "")</f>
        <v/>
      </c>
      <c r="AD154" s="2" t="str">
        <f>IF(Source!$C154&gt;=COLUMNS($A154:AD154), Source!$E154, "")</f>
        <v/>
      </c>
      <c r="AE154" s="2" t="str">
        <f>IF(Source!$C154&gt;=COLUMNS($A154:AE154), Source!$E154, "")</f>
        <v/>
      </c>
      <c r="AF154" s="2" t="str">
        <f>IF(Source!$C154&gt;=COLUMNS($A154:AF154), Source!$E154, "")</f>
        <v/>
      </c>
      <c r="AG154" s="2" t="str">
        <f>IF(Source!$C154&gt;=COLUMNS($A154:AG154), Source!$E154, "")</f>
        <v/>
      </c>
      <c r="AH154" s="2" t="str">
        <f>IF(Source!$C154&gt;=COLUMNS($A154:AH154), Source!$E154, "")</f>
        <v/>
      </c>
      <c r="AI154" s="2" t="str">
        <f>IF(Source!$C154&gt;=COLUMNS($A154:AI154), Source!$E154, "")</f>
        <v/>
      </c>
      <c r="AJ154" s="2" t="str">
        <f>IF(Source!$C154&gt;=COLUMNS($A154:AJ154), Source!$E154, "")</f>
        <v/>
      </c>
      <c r="AK154" s="2" t="str">
        <f>IF(Source!$C154&gt;=COLUMNS($A154:AK154), Source!$E154, "")</f>
        <v/>
      </c>
      <c r="AL154" s="2" t="str">
        <f>IF(Source!$C154&gt;=COLUMNS($A154:AL154), Source!$E154, "")</f>
        <v/>
      </c>
      <c r="AM154" s="2" t="str">
        <f>IF(Source!$C154&gt;=COLUMNS($A154:AM154), Source!$E154, "")</f>
        <v/>
      </c>
      <c r="AN154" s="2" t="str">
        <f>IF(Source!$C154&gt;=COLUMNS($A154:AN154), Source!$E154, "")</f>
        <v/>
      </c>
      <c r="AO154" s="2" t="str">
        <f>IF(Source!$C154&gt;=COLUMNS($A154:AO154), Source!$E154, "")</f>
        <v/>
      </c>
      <c r="AP154" s="2" t="str">
        <f>IF(Source!$C154&gt;=COLUMNS($A154:AP154), Source!$E154, "")</f>
        <v/>
      </c>
      <c r="AQ154" s="2" t="str">
        <f>IF(Source!$C154&gt;=COLUMNS($A154:AQ154), Source!$E154, "")</f>
        <v/>
      </c>
      <c r="AR154" s="2" t="str">
        <f>IF(Source!$C154&gt;=COLUMNS($A154:AR154), Source!$E154, "")</f>
        <v/>
      </c>
    </row>
    <row r="155">
      <c r="A155" s="2">
        <f>IF(Source!$C155&gt;=COLUMNS($A155:A155), Source!$E155, "")</f>
        <v>6</v>
      </c>
      <c r="B155" s="2" t="str">
        <f>IF(Source!$C155&gt;=COLUMNS($A155:B155), Source!$E155, "")</f>
        <v/>
      </c>
      <c r="C155" s="2" t="str">
        <f>IF(Source!$C155&gt;=COLUMNS($A155:C155), Source!$E155, "")</f>
        <v/>
      </c>
      <c r="D155" s="2" t="str">
        <f>IF(Source!$C155&gt;=COLUMNS($A155:D155), Source!$E155, "")</f>
        <v/>
      </c>
      <c r="E155" s="2" t="str">
        <f>IF(Source!$C155&gt;=COLUMNS($A155:E155), Source!$E155, "")</f>
        <v/>
      </c>
      <c r="F155" s="2" t="str">
        <f>IF(Source!$C155&gt;=COLUMNS($A155:F155), Source!$E155, "")</f>
        <v/>
      </c>
      <c r="G155" s="2" t="str">
        <f>IF(Source!$C155&gt;=COLUMNS($A155:G155), Source!$E155, "")</f>
        <v/>
      </c>
      <c r="H155" s="2" t="str">
        <f>IF(Source!$C155&gt;=COLUMNS($A155:H155), Source!$E155, "")</f>
        <v/>
      </c>
      <c r="I155" s="2" t="str">
        <f>IF(Source!$C155&gt;=COLUMNS($A155:I155), Source!$E155, "")</f>
        <v/>
      </c>
      <c r="J155" s="2" t="str">
        <f>IF(Source!$C155&gt;=COLUMNS($A155:J155), Source!$E155, "")</f>
        <v/>
      </c>
      <c r="K155" s="2" t="str">
        <f>IF(Source!$C155&gt;=COLUMNS($A155:K155), Source!$E155, "")</f>
        <v/>
      </c>
      <c r="L155" s="2" t="str">
        <f>IF(Source!$C155&gt;=COLUMNS($A155:L155), Source!$E155, "")</f>
        <v/>
      </c>
      <c r="M155" s="2" t="str">
        <f>IF(Source!$C155&gt;=COLUMNS($A155:M155), Source!$E155, "")</f>
        <v/>
      </c>
      <c r="N155" s="2" t="str">
        <f>IF(Source!$C155&gt;=COLUMNS($A155:N155), Source!$E155, "")</f>
        <v/>
      </c>
      <c r="O155" s="2" t="str">
        <f>IF(Source!$C155&gt;=COLUMNS($A155:O155), Source!$E155, "")</f>
        <v/>
      </c>
      <c r="P155" s="2" t="str">
        <f>IF(Source!$C155&gt;=COLUMNS($A155:P155), Source!$E155, "")</f>
        <v/>
      </c>
      <c r="Q155" s="2" t="str">
        <f>IF(Source!$C155&gt;=COLUMNS($A155:Q155), Source!$E155, "")</f>
        <v/>
      </c>
      <c r="R155" s="2" t="str">
        <f>IF(Source!$C155&gt;=COLUMNS($A155:R155), Source!$E155, "")</f>
        <v/>
      </c>
      <c r="S155" s="2" t="str">
        <f>IF(Source!$C155&gt;=COLUMNS($A155:S155), Source!$E155, "")</f>
        <v/>
      </c>
      <c r="T155" s="2" t="str">
        <f>IF(Source!$C155&gt;=COLUMNS($A155:T155), Source!$E155, "")</f>
        <v/>
      </c>
      <c r="U155" s="2" t="str">
        <f>IF(Source!$C155&gt;=COLUMNS($A155:U155), Source!$E155, "")</f>
        <v/>
      </c>
      <c r="V155" s="2" t="str">
        <f>IF(Source!$C155&gt;=COLUMNS($A155:V155), Source!$E155, "")</f>
        <v/>
      </c>
      <c r="W155" s="2" t="str">
        <f>IF(Source!$C155&gt;=COLUMNS($A155:W155), Source!$E155, "")</f>
        <v/>
      </c>
      <c r="X155" s="2" t="str">
        <f>IF(Source!$C155&gt;=COLUMNS($A155:X155), Source!$E155, "")</f>
        <v/>
      </c>
      <c r="Y155" s="2" t="str">
        <f>IF(Source!$C155&gt;=COLUMNS($A155:Y155), Source!$E155, "")</f>
        <v/>
      </c>
      <c r="Z155" s="2" t="str">
        <f>IF(Source!$C155&gt;=COLUMNS($A155:Z155), Source!$E155, "")</f>
        <v/>
      </c>
      <c r="AA155" s="2" t="str">
        <f>IF(Source!$C155&gt;=COLUMNS($A155:AA155), Source!$E155, "")</f>
        <v/>
      </c>
      <c r="AB155" s="2" t="str">
        <f>IF(Source!$C155&gt;=COLUMNS($A155:AB155), Source!$E155, "")</f>
        <v/>
      </c>
      <c r="AC155" s="2" t="str">
        <f>IF(Source!$C155&gt;=COLUMNS($A155:AC155), Source!$E155, "")</f>
        <v/>
      </c>
      <c r="AD155" s="2" t="str">
        <f>IF(Source!$C155&gt;=COLUMNS($A155:AD155), Source!$E155, "")</f>
        <v/>
      </c>
      <c r="AE155" s="2" t="str">
        <f>IF(Source!$C155&gt;=COLUMNS($A155:AE155), Source!$E155, "")</f>
        <v/>
      </c>
      <c r="AF155" s="2" t="str">
        <f>IF(Source!$C155&gt;=COLUMNS($A155:AF155), Source!$E155, "")</f>
        <v/>
      </c>
      <c r="AG155" s="2" t="str">
        <f>IF(Source!$C155&gt;=COLUMNS($A155:AG155), Source!$E155, "")</f>
        <v/>
      </c>
      <c r="AH155" s="2" t="str">
        <f>IF(Source!$C155&gt;=COLUMNS($A155:AH155), Source!$E155, "")</f>
        <v/>
      </c>
      <c r="AI155" s="2" t="str">
        <f>IF(Source!$C155&gt;=COLUMNS($A155:AI155), Source!$E155, "")</f>
        <v/>
      </c>
      <c r="AJ155" s="2" t="str">
        <f>IF(Source!$C155&gt;=COLUMNS($A155:AJ155), Source!$E155, "")</f>
        <v/>
      </c>
      <c r="AK155" s="2" t="str">
        <f>IF(Source!$C155&gt;=COLUMNS($A155:AK155), Source!$E155, "")</f>
        <v/>
      </c>
      <c r="AL155" s="2" t="str">
        <f>IF(Source!$C155&gt;=COLUMNS($A155:AL155), Source!$E155, "")</f>
        <v/>
      </c>
      <c r="AM155" s="2" t="str">
        <f>IF(Source!$C155&gt;=COLUMNS($A155:AM155), Source!$E155, "")</f>
        <v/>
      </c>
      <c r="AN155" s="2" t="str">
        <f>IF(Source!$C155&gt;=COLUMNS($A155:AN155), Source!$E155, "")</f>
        <v/>
      </c>
      <c r="AO155" s="2" t="str">
        <f>IF(Source!$C155&gt;=COLUMNS($A155:AO155), Source!$E155, "")</f>
        <v/>
      </c>
      <c r="AP155" s="2" t="str">
        <f>IF(Source!$C155&gt;=COLUMNS($A155:AP155), Source!$E155, "")</f>
        <v/>
      </c>
      <c r="AQ155" s="2" t="str">
        <f>IF(Source!$C155&gt;=COLUMNS($A155:AQ155), Source!$E155, "")</f>
        <v/>
      </c>
      <c r="AR155" s="2" t="str">
        <f>IF(Source!$C155&gt;=COLUMNS($A155:AR155), Source!$E155, "")</f>
        <v/>
      </c>
    </row>
    <row r="156">
      <c r="A156" s="2">
        <f>IF(Source!$C156&gt;=COLUMNS($A156:A156), Source!$E156, "")</f>
        <v>2</v>
      </c>
      <c r="B156" s="2">
        <f>IF(Source!$C156&gt;=COLUMNS($A156:B156), Source!$E156, "")</f>
        <v>2</v>
      </c>
      <c r="C156" s="2">
        <f>IF(Source!$C156&gt;=COLUMNS($A156:C156), Source!$E156, "")</f>
        <v>2</v>
      </c>
      <c r="D156" s="2">
        <f>IF(Source!$C156&gt;=COLUMNS($A156:D156), Source!$E156, "")</f>
        <v>2</v>
      </c>
      <c r="E156" s="2">
        <f>IF(Source!$C156&gt;=COLUMNS($A156:E156), Source!$E156, "")</f>
        <v>2</v>
      </c>
      <c r="F156" s="2">
        <f>IF(Source!$C156&gt;=COLUMNS($A156:F156), Source!$E156, "")</f>
        <v>2</v>
      </c>
      <c r="G156" s="2" t="str">
        <f>IF(Source!$C156&gt;=COLUMNS($A156:G156), Source!$E156, "")</f>
        <v/>
      </c>
      <c r="H156" s="2" t="str">
        <f>IF(Source!$C156&gt;=COLUMNS($A156:H156), Source!$E156, "")</f>
        <v/>
      </c>
      <c r="I156" s="2" t="str">
        <f>IF(Source!$C156&gt;=COLUMNS($A156:I156), Source!$E156, "")</f>
        <v/>
      </c>
      <c r="J156" s="2" t="str">
        <f>IF(Source!$C156&gt;=COLUMNS($A156:J156), Source!$E156, "")</f>
        <v/>
      </c>
      <c r="K156" s="2" t="str">
        <f>IF(Source!$C156&gt;=COLUMNS($A156:K156), Source!$E156, "")</f>
        <v/>
      </c>
      <c r="L156" s="2" t="str">
        <f>IF(Source!$C156&gt;=COLUMNS($A156:L156), Source!$E156, "")</f>
        <v/>
      </c>
      <c r="M156" s="2" t="str">
        <f>IF(Source!$C156&gt;=COLUMNS($A156:M156), Source!$E156, "")</f>
        <v/>
      </c>
      <c r="N156" s="2" t="str">
        <f>IF(Source!$C156&gt;=COLUMNS($A156:N156), Source!$E156, "")</f>
        <v/>
      </c>
      <c r="O156" s="2" t="str">
        <f>IF(Source!$C156&gt;=COLUMNS($A156:O156), Source!$E156, "")</f>
        <v/>
      </c>
      <c r="P156" s="2" t="str">
        <f>IF(Source!$C156&gt;=COLUMNS($A156:P156), Source!$E156, "")</f>
        <v/>
      </c>
      <c r="Q156" s="2" t="str">
        <f>IF(Source!$C156&gt;=COLUMNS($A156:Q156), Source!$E156, "")</f>
        <v/>
      </c>
      <c r="R156" s="2" t="str">
        <f>IF(Source!$C156&gt;=COLUMNS($A156:R156), Source!$E156, "")</f>
        <v/>
      </c>
      <c r="S156" s="2" t="str">
        <f>IF(Source!$C156&gt;=COLUMNS($A156:S156), Source!$E156, "")</f>
        <v/>
      </c>
      <c r="T156" s="2" t="str">
        <f>IF(Source!$C156&gt;=COLUMNS($A156:T156), Source!$E156, "")</f>
        <v/>
      </c>
      <c r="U156" s="2" t="str">
        <f>IF(Source!$C156&gt;=COLUMNS($A156:U156), Source!$E156, "")</f>
        <v/>
      </c>
      <c r="V156" s="2" t="str">
        <f>IF(Source!$C156&gt;=COLUMNS($A156:V156), Source!$E156, "")</f>
        <v/>
      </c>
      <c r="W156" s="2" t="str">
        <f>IF(Source!$C156&gt;=COLUMNS($A156:W156), Source!$E156, "")</f>
        <v/>
      </c>
      <c r="X156" s="2" t="str">
        <f>IF(Source!$C156&gt;=COLUMNS($A156:X156), Source!$E156, "")</f>
        <v/>
      </c>
      <c r="Y156" s="2" t="str">
        <f>IF(Source!$C156&gt;=COLUMNS($A156:Y156), Source!$E156, "")</f>
        <v/>
      </c>
      <c r="Z156" s="2" t="str">
        <f>IF(Source!$C156&gt;=COLUMNS($A156:Z156), Source!$E156, "")</f>
        <v/>
      </c>
      <c r="AA156" s="2" t="str">
        <f>IF(Source!$C156&gt;=COLUMNS($A156:AA156), Source!$E156, "")</f>
        <v/>
      </c>
      <c r="AB156" s="2" t="str">
        <f>IF(Source!$C156&gt;=COLUMNS($A156:AB156), Source!$E156, "")</f>
        <v/>
      </c>
      <c r="AC156" s="2" t="str">
        <f>IF(Source!$C156&gt;=COLUMNS($A156:AC156), Source!$E156, "")</f>
        <v/>
      </c>
      <c r="AD156" s="2" t="str">
        <f>IF(Source!$C156&gt;=COLUMNS($A156:AD156), Source!$E156, "")</f>
        <v/>
      </c>
      <c r="AE156" s="2" t="str">
        <f>IF(Source!$C156&gt;=COLUMNS($A156:AE156), Source!$E156, "")</f>
        <v/>
      </c>
      <c r="AF156" s="2" t="str">
        <f>IF(Source!$C156&gt;=COLUMNS($A156:AF156), Source!$E156, "")</f>
        <v/>
      </c>
      <c r="AG156" s="2" t="str">
        <f>IF(Source!$C156&gt;=COLUMNS($A156:AG156), Source!$E156, "")</f>
        <v/>
      </c>
      <c r="AH156" s="2" t="str">
        <f>IF(Source!$C156&gt;=COLUMNS($A156:AH156), Source!$E156, "")</f>
        <v/>
      </c>
      <c r="AI156" s="2" t="str">
        <f>IF(Source!$C156&gt;=COLUMNS($A156:AI156), Source!$E156, "")</f>
        <v/>
      </c>
      <c r="AJ156" s="2" t="str">
        <f>IF(Source!$C156&gt;=COLUMNS($A156:AJ156), Source!$E156, "")</f>
        <v/>
      </c>
      <c r="AK156" s="2" t="str">
        <f>IF(Source!$C156&gt;=COLUMNS($A156:AK156), Source!$E156, "")</f>
        <v/>
      </c>
      <c r="AL156" s="2" t="str">
        <f>IF(Source!$C156&gt;=COLUMNS($A156:AL156), Source!$E156, "")</f>
        <v/>
      </c>
      <c r="AM156" s="2" t="str">
        <f>IF(Source!$C156&gt;=COLUMNS($A156:AM156), Source!$E156, "")</f>
        <v/>
      </c>
      <c r="AN156" s="2" t="str">
        <f>IF(Source!$C156&gt;=COLUMNS($A156:AN156), Source!$E156, "")</f>
        <v/>
      </c>
      <c r="AO156" s="2" t="str">
        <f>IF(Source!$C156&gt;=COLUMNS($A156:AO156), Source!$E156, "")</f>
        <v/>
      </c>
      <c r="AP156" s="2" t="str">
        <f>IF(Source!$C156&gt;=COLUMNS($A156:AP156), Source!$E156, "")</f>
        <v/>
      </c>
      <c r="AQ156" s="2" t="str">
        <f>IF(Source!$C156&gt;=COLUMNS($A156:AQ156), Source!$E156, "")</f>
        <v/>
      </c>
      <c r="AR156" s="2" t="str">
        <f>IF(Source!$C156&gt;=COLUMNS($A156:AR156), Source!$E156, "")</f>
        <v/>
      </c>
    </row>
    <row r="157">
      <c r="A157" s="2">
        <f>IF(Source!$C157&gt;=COLUMNS($A157:A157), Source!$E157, "")</f>
        <v>8</v>
      </c>
      <c r="B157" s="2">
        <f>IF(Source!$C157&gt;=COLUMNS($A157:B157), Source!$E157, "")</f>
        <v>8</v>
      </c>
      <c r="C157" s="2">
        <f>IF(Source!$C157&gt;=COLUMNS($A157:C157), Source!$E157, "")</f>
        <v>8</v>
      </c>
      <c r="D157" s="2">
        <f>IF(Source!$C157&gt;=COLUMNS($A157:D157), Source!$E157, "")</f>
        <v>8</v>
      </c>
      <c r="E157" s="2">
        <f>IF(Source!$C157&gt;=COLUMNS($A157:E157), Source!$E157, "")</f>
        <v>8</v>
      </c>
      <c r="F157" s="2">
        <f>IF(Source!$C157&gt;=COLUMNS($A157:F157), Source!$E157, "")</f>
        <v>8</v>
      </c>
      <c r="G157" s="2">
        <f>IF(Source!$C157&gt;=COLUMNS($A157:G157), Source!$E157, "")</f>
        <v>8</v>
      </c>
      <c r="H157" s="2" t="str">
        <f>IF(Source!$C157&gt;=COLUMNS($A157:H157), Source!$E157, "")</f>
        <v/>
      </c>
      <c r="I157" s="2" t="str">
        <f>IF(Source!$C157&gt;=COLUMNS($A157:I157), Source!$E157, "")</f>
        <v/>
      </c>
      <c r="J157" s="2" t="str">
        <f>IF(Source!$C157&gt;=COLUMNS($A157:J157), Source!$E157, "")</f>
        <v/>
      </c>
      <c r="K157" s="2" t="str">
        <f>IF(Source!$C157&gt;=COLUMNS($A157:K157), Source!$E157, "")</f>
        <v/>
      </c>
      <c r="L157" s="2" t="str">
        <f>IF(Source!$C157&gt;=COLUMNS($A157:L157), Source!$E157, "")</f>
        <v/>
      </c>
      <c r="M157" s="2" t="str">
        <f>IF(Source!$C157&gt;=COLUMNS($A157:M157), Source!$E157, "")</f>
        <v/>
      </c>
      <c r="N157" s="2" t="str">
        <f>IF(Source!$C157&gt;=COLUMNS($A157:N157), Source!$E157, "")</f>
        <v/>
      </c>
      <c r="O157" s="2" t="str">
        <f>IF(Source!$C157&gt;=COLUMNS($A157:O157), Source!$E157, "")</f>
        <v/>
      </c>
      <c r="P157" s="2" t="str">
        <f>IF(Source!$C157&gt;=COLUMNS($A157:P157), Source!$E157, "")</f>
        <v/>
      </c>
      <c r="Q157" s="2" t="str">
        <f>IF(Source!$C157&gt;=COLUMNS($A157:Q157), Source!$E157, "")</f>
        <v/>
      </c>
      <c r="R157" s="2" t="str">
        <f>IF(Source!$C157&gt;=COLUMNS($A157:R157), Source!$E157, "")</f>
        <v/>
      </c>
      <c r="S157" s="2" t="str">
        <f>IF(Source!$C157&gt;=COLUMNS($A157:S157), Source!$E157, "")</f>
        <v/>
      </c>
      <c r="T157" s="2" t="str">
        <f>IF(Source!$C157&gt;=COLUMNS($A157:T157), Source!$E157, "")</f>
        <v/>
      </c>
      <c r="U157" s="2" t="str">
        <f>IF(Source!$C157&gt;=COLUMNS($A157:U157), Source!$E157, "")</f>
        <v/>
      </c>
      <c r="V157" s="2" t="str">
        <f>IF(Source!$C157&gt;=COLUMNS($A157:V157), Source!$E157, "")</f>
        <v/>
      </c>
      <c r="W157" s="2" t="str">
        <f>IF(Source!$C157&gt;=COLUMNS($A157:W157), Source!$E157, "")</f>
        <v/>
      </c>
      <c r="X157" s="2" t="str">
        <f>IF(Source!$C157&gt;=COLUMNS($A157:X157), Source!$E157, "")</f>
        <v/>
      </c>
      <c r="Y157" s="2" t="str">
        <f>IF(Source!$C157&gt;=COLUMNS($A157:Y157), Source!$E157, "")</f>
        <v/>
      </c>
      <c r="Z157" s="2" t="str">
        <f>IF(Source!$C157&gt;=COLUMNS($A157:Z157), Source!$E157, "")</f>
        <v/>
      </c>
      <c r="AA157" s="2" t="str">
        <f>IF(Source!$C157&gt;=COLUMNS($A157:AA157), Source!$E157, "")</f>
        <v/>
      </c>
      <c r="AB157" s="2" t="str">
        <f>IF(Source!$C157&gt;=COLUMNS($A157:AB157), Source!$E157, "")</f>
        <v/>
      </c>
      <c r="AC157" s="2" t="str">
        <f>IF(Source!$C157&gt;=COLUMNS($A157:AC157), Source!$E157, "")</f>
        <v/>
      </c>
      <c r="AD157" s="2" t="str">
        <f>IF(Source!$C157&gt;=COLUMNS($A157:AD157), Source!$E157, "")</f>
        <v/>
      </c>
      <c r="AE157" s="2" t="str">
        <f>IF(Source!$C157&gt;=COLUMNS($A157:AE157), Source!$E157, "")</f>
        <v/>
      </c>
      <c r="AF157" s="2" t="str">
        <f>IF(Source!$C157&gt;=COLUMNS($A157:AF157), Source!$E157, "")</f>
        <v/>
      </c>
      <c r="AG157" s="2" t="str">
        <f>IF(Source!$C157&gt;=COLUMNS($A157:AG157), Source!$E157, "")</f>
        <v/>
      </c>
      <c r="AH157" s="2" t="str">
        <f>IF(Source!$C157&gt;=COLUMNS($A157:AH157), Source!$E157, "")</f>
        <v/>
      </c>
      <c r="AI157" s="2" t="str">
        <f>IF(Source!$C157&gt;=COLUMNS($A157:AI157), Source!$E157, "")</f>
        <v/>
      </c>
      <c r="AJ157" s="2" t="str">
        <f>IF(Source!$C157&gt;=COLUMNS($A157:AJ157), Source!$E157, "")</f>
        <v/>
      </c>
      <c r="AK157" s="2" t="str">
        <f>IF(Source!$C157&gt;=COLUMNS($A157:AK157), Source!$E157, "")</f>
        <v/>
      </c>
      <c r="AL157" s="2" t="str">
        <f>IF(Source!$C157&gt;=COLUMNS($A157:AL157), Source!$E157, "")</f>
        <v/>
      </c>
      <c r="AM157" s="2" t="str">
        <f>IF(Source!$C157&gt;=COLUMNS($A157:AM157), Source!$E157, "")</f>
        <v/>
      </c>
      <c r="AN157" s="2" t="str">
        <f>IF(Source!$C157&gt;=COLUMNS($A157:AN157), Source!$E157, "")</f>
        <v/>
      </c>
      <c r="AO157" s="2" t="str">
        <f>IF(Source!$C157&gt;=COLUMNS($A157:AO157), Source!$E157, "")</f>
        <v/>
      </c>
      <c r="AP157" s="2" t="str">
        <f>IF(Source!$C157&gt;=COLUMNS($A157:AP157), Source!$E157, "")</f>
        <v/>
      </c>
      <c r="AQ157" s="2" t="str">
        <f>IF(Source!$C157&gt;=COLUMNS($A157:AQ157), Source!$E157, "")</f>
        <v/>
      </c>
      <c r="AR157" s="2" t="str">
        <f>IF(Source!$C157&gt;=COLUMNS($A157:AR157), Source!$E157, "")</f>
        <v/>
      </c>
    </row>
    <row r="158">
      <c r="A158" s="2">
        <f>IF(Source!$C158&gt;=COLUMNS($A158:A158), Source!$E158, "")</f>
        <v>5</v>
      </c>
      <c r="B158" s="2">
        <f>IF(Source!$C158&gt;=COLUMNS($A158:B158), Source!$E158, "")</f>
        <v>5</v>
      </c>
      <c r="C158" s="2">
        <f>IF(Source!$C158&gt;=COLUMNS($A158:C158), Source!$E158, "")</f>
        <v>5</v>
      </c>
      <c r="D158" s="2">
        <f>IF(Source!$C158&gt;=COLUMNS($A158:D158), Source!$E158, "")</f>
        <v>5</v>
      </c>
      <c r="E158" s="2">
        <f>IF(Source!$C158&gt;=COLUMNS($A158:E158), Source!$E158, "")</f>
        <v>5</v>
      </c>
      <c r="F158" s="2">
        <f>IF(Source!$C158&gt;=COLUMNS($A158:F158), Source!$E158, "")</f>
        <v>5</v>
      </c>
      <c r="G158" s="2">
        <f>IF(Source!$C158&gt;=COLUMNS($A158:G158), Source!$E158, "")</f>
        <v>5</v>
      </c>
      <c r="H158" s="2">
        <f>IF(Source!$C158&gt;=COLUMNS($A158:H158), Source!$E158, "")</f>
        <v>5</v>
      </c>
      <c r="I158" s="2" t="str">
        <f>IF(Source!$C158&gt;=COLUMNS($A158:I158), Source!$E158, "")</f>
        <v/>
      </c>
      <c r="J158" s="2" t="str">
        <f>IF(Source!$C158&gt;=COLUMNS($A158:J158), Source!$E158, "")</f>
        <v/>
      </c>
      <c r="K158" s="2" t="str">
        <f>IF(Source!$C158&gt;=COLUMNS($A158:K158), Source!$E158, "")</f>
        <v/>
      </c>
      <c r="L158" s="2" t="str">
        <f>IF(Source!$C158&gt;=COLUMNS($A158:L158), Source!$E158, "")</f>
        <v/>
      </c>
      <c r="M158" s="2" t="str">
        <f>IF(Source!$C158&gt;=COLUMNS($A158:M158), Source!$E158, "")</f>
        <v/>
      </c>
      <c r="N158" s="2" t="str">
        <f>IF(Source!$C158&gt;=COLUMNS($A158:N158), Source!$E158, "")</f>
        <v/>
      </c>
      <c r="O158" s="2" t="str">
        <f>IF(Source!$C158&gt;=COLUMNS($A158:O158), Source!$E158, "")</f>
        <v/>
      </c>
      <c r="P158" s="2" t="str">
        <f>IF(Source!$C158&gt;=COLUMNS($A158:P158), Source!$E158, "")</f>
        <v/>
      </c>
      <c r="Q158" s="2" t="str">
        <f>IF(Source!$C158&gt;=COLUMNS($A158:Q158), Source!$E158, "")</f>
        <v/>
      </c>
      <c r="R158" s="2" t="str">
        <f>IF(Source!$C158&gt;=COLUMNS($A158:R158), Source!$E158, "")</f>
        <v/>
      </c>
      <c r="S158" s="2" t="str">
        <f>IF(Source!$C158&gt;=COLUMNS($A158:S158), Source!$E158, "")</f>
        <v/>
      </c>
      <c r="T158" s="2" t="str">
        <f>IF(Source!$C158&gt;=COLUMNS($A158:T158), Source!$E158, "")</f>
        <v/>
      </c>
      <c r="U158" s="2" t="str">
        <f>IF(Source!$C158&gt;=COLUMNS($A158:U158), Source!$E158, "")</f>
        <v/>
      </c>
      <c r="V158" s="2" t="str">
        <f>IF(Source!$C158&gt;=COLUMNS($A158:V158), Source!$E158, "")</f>
        <v/>
      </c>
      <c r="W158" s="2" t="str">
        <f>IF(Source!$C158&gt;=COLUMNS($A158:W158), Source!$E158, "")</f>
        <v/>
      </c>
      <c r="X158" s="2" t="str">
        <f>IF(Source!$C158&gt;=COLUMNS($A158:X158), Source!$E158, "")</f>
        <v/>
      </c>
      <c r="Y158" s="2" t="str">
        <f>IF(Source!$C158&gt;=COLUMNS($A158:Y158), Source!$E158, "")</f>
        <v/>
      </c>
      <c r="Z158" s="2" t="str">
        <f>IF(Source!$C158&gt;=COLUMNS($A158:Z158), Source!$E158, "")</f>
        <v/>
      </c>
      <c r="AA158" s="2" t="str">
        <f>IF(Source!$C158&gt;=COLUMNS($A158:AA158), Source!$E158, "")</f>
        <v/>
      </c>
      <c r="AB158" s="2" t="str">
        <f>IF(Source!$C158&gt;=COLUMNS($A158:AB158), Source!$E158, "")</f>
        <v/>
      </c>
      <c r="AC158" s="2" t="str">
        <f>IF(Source!$C158&gt;=COLUMNS($A158:AC158), Source!$E158, "")</f>
        <v/>
      </c>
      <c r="AD158" s="2" t="str">
        <f>IF(Source!$C158&gt;=COLUMNS($A158:AD158), Source!$E158, "")</f>
        <v/>
      </c>
      <c r="AE158" s="2" t="str">
        <f>IF(Source!$C158&gt;=COLUMNS($A158:AE158), Source!$E158, "")</f>
        <v/>
      </c>
      <c r="AF158" s="2" t="str">
        <f>IF(Source!$C158&gt;=COLUMNS($A158:AF158), Source!$E158, "")</f>
        <v/>
      </c>
      <c r="AG158" s="2" t="str">
        <f>IF(Source!$C158&gt;=COLUMNS($A158:AG158), Source!$E158, "")</f>
        <v/>
      </c>
      <c r="AH158" s="2" t="str">
        <f>IF(Source!$C158&gt;=COLUMNS($A158:AH158), Source!$E158, "")</f>
        <v/>
      </c>
      <c r="AI158" s="2" t="str">
        <f>IF(Source!$C158&gt;=COLUMNS($A158:AI158), Source!$E158, "")</f>
        <v/>
      </c>
      <c r="AJ158" s="2" t="str">
        <f>IF(Source!$C158&gt;=COLUMNS($A158:AJ158), Source!$E158, "")</f>
        <v/>
      </c>
      <c r="AK158" s="2" t="str">
        <f>IF(Source!$C158&gt;=COLUMNS($A158:AK158), Source!$E158, "")</f>
        <v/>
      </c>
      <c r="AL158" s="2" t="str">
        <f>IF(Source!$C158&gt;=COLUMNS($A158:AL158), Source!$E158, "")</f>
        <v/>
      </c>
      <c r="AM158" s="2" t="str">
        <f>IF(Source!$C158&gt;=COLUMNS($A158:AM158), Source!$E158, "")</f>
        <v/>
      </c>
      <c r="AN158" s="2" t="str">
        <f>IF(Source!$C158&gt;=COLUMNS($A158:AN158), Source!$E158, "")</f>
        <v/>
      </c>
      <c r="AO158" s="2" t="str">
        <f>IF(Source!$C158&gt;=COLUMNS($A158:AO158), Source!$E158, "")</f>
        <v/>
      </c>
      <c r="AP158" s="2" t="str">
        <f>IF(Source!$C158&gt;=COLUMNS($A158:AP158), Source!$E158, "")</f>
        <v/>
      </c>
      <c r="AQ158" s="2" t="str">
        <f>IF(Source!$C158&gt;=COLUMNS($A158:AQ158), Source!$E158, "")</f>
        <v/>
      </c>
      <c r="AR158" s="2" t="str">
        <f>IF(Source!$C158&gt;=COLUMNS($A158:AR158), Source!$E158, "")</f>
        <v/>
      </c>
    </row>
    <row r="159">
      <c r="A159" s="2">
        <f>IF(Source!$C159&gt;=COLUMNS($A159:A159), Source!$E159, "")</f>
        <v>4</v>
      </c>
      <c r="B159" s="2">
        <f>IF(Source!$C159&gt;=COLUMNS($A159:B159), Source!$E159, "")</f>
        <v>4</v>
      </c>
      <c r="C159" s="2">
        <f>IF(Source!$C159&gt;=COLUMNS($A159:C159), Source!$E159, "")</f>
        <v>4</v>
      </c>
      <c r="D159" s="2">
        <f>IF(Source!$C159&gt;=COLUMNS($A159:D159), Source!$E159, "")</f>
        <v>4</v>
      </c>
      <c r="E159" s="2">
        <f>IF(Source!$C159&gt;=COLUMNS($A159:E159), Source!$E159, "")</f>
        <v>4</v>
      </c>
      <c r="F159" s="2" t="str">
        <f>IF(Source!$C159&gt;=COLUMNS($A159:F159), Source!$E159, "")</f>
        <v/>
      </c>
      <c r="G159" s="2" t="str">
        <f>IF(Source!$C159&gt;=COLUMNS($A159:G159), Source!$E159, "")</f>
        <v/>
      </c>
      <c r="H159" s="2" t="str">
        <f>IF(Source!$C159&gt;=COLUMNS($A159:H159), Source!$E159, "")</f>
        <v/>
      </c>
      <c r="I159" s="2" t="str">
        <f>IF(Source!$C159&gt;=COLUMNS($A159:I159), Source!$E159, "")</f>
        <v/>
      </c>
      <c r="J159" s="2" t="str">
        <f>IF(Source!$C159&gt;=COLUMNS($A159:J159), Source!$E159, "")</f>
        <v/>
      </c>
      <c r="K159" s="2" t="str">
        <f>IF(Source!$C159&gt;=COLUMNS($A159:K159), Source!$E159, "")</f>
        <v/>
      </c>
      <c r="L159" s="2" t="str">
        <f>IF(Source!$C159&gt;=COLUMNS($A159:L159), Source!$E159, "")</f>
        <v/>
      </c>
      <c r="M159" s="2" t="str">
        <f>IF(Source!$C159&gt;=COLUMNS($A159:M159), Source!$E159, "")</f>
        <v/>
      </c>
      <c r="N159" s="2" t="str">
        <f>IF(Source!$C159&gt;=COLUMNS($A159:N159), Source!$E159, "")</f>
        <v/>
      </c>
      <c r="O159" s="2" t="str">
        <f>IF(Source!$C159&gt;=COLUMNS($A159:O159), Source!$E159, "")</f>
        <v/>
      </c>
      <c r="P159" s="2" t="str">
        <f>IF(Source!$C159&gt;=COLUMNS($A159:P159), Source!$E159, "")</f>
        <v/>
      </c>
      <c r="Q159" s="2" t="str">
        <f>IF(Source!$C159&gt;=COLUMNS($A159:Q159), Source!$E159, "")</f>
        <v/>
      </c>
      <c r="R159" s="2" t="str">
        <f>IF(Source!$C159&gt;=COLUMNS($A159:R159), Source!$E159, "")</f>
        <v/>
      </c>
      <c r="S159" s="2" t="str">
        <f>IF(Source!$C159&gt;=COLUMNS($A159:S159), Source!$E159, "")</f>
        <v/>
      </c>
      <c r="T159" s="2" t="str">
        <f>IF(Source!$C159&gt;=COLUMNS($A159:T159), Source!$E159, "")</f>
        <v/>
      </c>
      <c r="U159" s="2" t="str">
        <f>IF(Source!$C159&gt;=COLUMNS($A159:U159), Source!$E159, "")</f>
        <v/>
      </c>
      <c r="V159" s="2" t="str">
        <f>IF(Source!$C159&gt;=COLUMNS($A159:V159), Source!$E159, "")</f>
        <v/>
      </c>
      <c r="W159" s="2" t="str">
        <f>IF(Source!$C159&gt;=COLUMNS($A159:W159), Source!$E159, "")</f>
        <v/>
      </c>
      <c r="X159" s="2" t="str">
        <f>IF(Source!$C159&gt;=COLUMNS($A159:X159), Source!$E159, "")</f>
        <v/>
      </c>
      <c r="Y159" s="2" t="str">
        <f>IF(Source!$C159&gt;=COLUMNS($A159:Y159), Source!$E159, "")</f>
        <v/>
      </c>
      <c r="Z159" s="2" t="str">
        <f>IF(Source!$C159&gt;=COLUMNS($A159:Z159), Source!$E159, "")</f>
        <v/>
      </c>
      <c r="AA159" s="2" t="str">
        <f>IF(Source!$C159&gt;=COLUMNS($A159:AA159), Source!$E159, "")</f>
        <v/>
      </c>
      <c r="AB159" s="2" t="str">
        <f>IF(Source!$C159&gt;=COLUMNS($A159:AB159), Source!$E159, "")</f>
        <v/>
      </c>
      <c r="AC159" s="2" t="str">
        <f>IF(Source!$C159&gt;=COLUMNS($A159:AC159), Source!$E159, "")</f>
        <v/>
      </c>
      <c r="AD159" s="2" t="str">
        <f>IF(Source!$C159&gt;=COLUMNS($A159:AD159), Source!$E159, "")</f>
        <v/>
      </c>
      <c r="AE159" s="2" t="str">
        <f>IF(Source!$C159&gt;=COLUMNS($A159:AE159), Source!$E159, "")</f>
        <v/>
      </c>
      <c r="AF159" s="2" t="str">
        <f>IF(Source!$C159&gt;=COLUMNS($A159:AF159), Source!$E159, "")</f>
        <v/>
      </c>
      <c r="AG159" s="2" t="str">
        <f>IF(Source!$C159&gt;=COLUMNS($A159:AG159), Source!$E159, "")</f>
        <v/>
      </c>
      <c r="AH159" s="2" t="str">
        <f>IF(Source!$C159&gt;=COLUMNS($A159:AH159), Source!$E159, "")</f>
        <v/>
      </c>
      <c r="AI159" s="2" t="str">
        <f>IF(Source!$C159&gt;=COLUMNS($A159:AI159), Source!$E159, "")</f>
        <v/>
      </c>
      <c r="AJ159" s="2" t="str">
        <f>IF(Source!$C159&gt;=COLUMNS($A159:AJ159), Source!$E159, "")</f>
        <v/>
      </c>
      <c r="AK159" s="2" t="str">
        <f>IF(Source!$C159&gt;=COLUMNS($A159:AK159), Source!$E159, "")</f>
        <v/>
      </c>
      <c r="AL159" s="2" t="str">
        <f>IF(Source!$C159&gt;=COLUMNS($A159:AL159), Source!$E159, "")</f>
        <v/>
      </c>
      <c r="AM159" s="2" t="str">
        <f>IF(Source!$C159&gt;=COLUMNS($A159:AM159), Source!$E159, "")</f>
        <v/>
      </c>
      <c r="AN159" s="2" t="str">
        <f>IF(Source!$C159&gt;=COLUMNS($A159:AN159), Source!$E159, "")</f>
        <v/>
      </c>
      <c r="AO159" s="2" t="str">
        <f>IF(Source!$C159&gt;=COLUMNS($A159:AO159), Source!$E159, "")</f>
        <v/>
      </c>
      <c r="AP159" s="2" t="str">
        <f>IF(Source!$C159&gt;=COLUMNS($A159:AP159), Source!$E159, "")</f>
        <v/>
      </c>
      <c r="AQ159" s="2" t="str">
        <f>IF(Source!$C159&gt;=COLUMNS($A159:AQ159), Source!$E159, "")</f>
        <v/>
      </c>
      <c r="AR159" s="2" t="str">
        <f>IF(Source!$C159&gt;=COLUMNS($A159:AR159), Source!$E159, "")</f>
        <v/>
      </c>
    </row>
    <row r="160">
      <c r="A160" s="2">
        <f>IF(Source!$C160&gt;=COLUMNS($A160:A160), Source!$E160, "")</f>
        <v>8</v>
      </c>
      <c r="B160" s="2">
        <f>IF(Source!$C160&gt;=COLUMNS($A160:B160), Source!$E160, "")</f>
        <v>8</v>
      </c>
      <c r="C160" s="2" t="str">
        <f>IF(Source!$C160&gt;=COLUMNS($A160:C160), Source!$E160, "")</f>
        <v/>
      </c>
      <c r="D160" s="2" t="str">
        <f>IF(Source!$C160&gt;=COLUMNS($A160:D160), Source!$E160, "")</f>
        <v/>
      </c>
      <c r="E160" s="2" t="str">
        <f>IF(Source!$C160&gt;=COLUMNS($A160:E160), Source!$E160, "")</f>
        <v/>
      </c>
      <c r="F160" s="2" t="str">
        <f>IF(Source!$C160&gt;=COLUMNS($A160:F160), Source!$E160, "")</f>
        <v/>
      </c>
      <c r="G160" s="2" t="str">
        <f>IF(Source!$C160&gt;=COLUMNS($A160:G160), Source!$E160, "")</f>
        <v/>
      </c>
      <c r="H160" s="2" t="str">
        <f>IF(Source!$C160&gt;=COLUMNS($A160:H160), Source!$E160, "")</f>
        <v/>
      </c>
      <c r="I160" s="2" t="str">
        <f>IF(Source!$C160&gt;=COLUMNS($A160:I160), Source!$E160, "")</f>
        <v/>
      </c>
      <c r="J160" s="2" t="str">
        <f>IF(Source!$C160&gt;=COLUMNS($A160:J160), Source!$E160, "")</f>
        <v/>
      </c>
      <c r="K160" s="2" t="str">
        <f>IF(Source!$C160&gt;=COLUMNS($A160:K160), Source!$E160, "")</f>
        <v/>
      </c>
      <c r="L160" s="2" t="str">
        <f>IF(Source!$C160&gt;=COLUMNS($A160:L160), Source!$E160, "")</f>
        <v/>
      </c>
      <c r="M160" s="2" t="str">
        <f>IF(Source!$C160&gt;=COLUMNS($A160:M160), Source!$E160, "")</f>
        <v/>
      </c>
      <c r="N160" s="2" t="str">
        <f>IF(Source!$C160&gt;=COLUMNS($A160:N160), Source!$E160, "")</f>
        <v/>
      </c>
      <c r="O160" s="2" t="str">
        <f>IF(Source!$C160&gt;=COLUMNS($A160:O160), Source!$E160, "")</f>
        <v/>
      </c>
      <c r="P160" s="2" t="str">
        <f>IF(Source!$C160&gt;=COLUMNS($A160:P160), Source!$E160, "")</f>
        <v/>
      </c>
      <c r="Q160" s="2" t="str">
        <f>IF(Source!$C160&gt;=COLUMNS($A160:Q160), Source!$E160, "")</f>
        <v/>
      </c>
      <c r="R160" s="2" t="str">
        <f>IF(Source!$C160&gt;=COLUMNS($A160:R160), Source!$E160, "")</f>
        <v/>
      </c>
      <c r="S160" s="2" t="str">
        <f>IF(Source!$C160&gt;=COLUMNS($A160:S160), Source!$E160, "")</f>
        <v/>
      </c>
      <c r="T160" s="2" t="str">
        <f>IF(Source!$C160&gt;=COLUMNS($A160:T160), Source!$E160, "")</f>
        <v/>
      </c>
      <c r="U160" s="2" t="str">
        <f>IF(Source!$C160&gt;=COLUMNS($A160:U160), Source!$E160, "")</f>
        <v/>
      </c>
      <c r="V160" s="2" t="str">
        <f>IF(Source!$C160&gt;=COLUMNS($A160:V160), Source!$E160, "")</f>
        <v/>
      </c>
      <c r="W160" s="2" t="str">
        <f>IF(Source!$C160&gt;=COLUMNS($A160:W160), Source!$E160, "")</f>
        <v/>
      </c>
      <c r="X160" s="2" t="str">
        <f>IF(Source!$C160&gt;=COLUMNS($A160:X160), Source!$E160, "")</f>
        <v/>
      </c>
      <c r="Y160" s="2" t="str">
        <f>IF(Source!$C160&gt;=COLUMNS($A160:Y160), Source!$E160, "")</f>
        <v/>
      </c>
      <c r="Z160" s="2" t="str">
        <f>IF(Source!$C160&gt;=COLUMNS($A160:Z160), Source!$E160, "")</f>
        <v/>
      </c>
      <c r="AA160" s="2" t="str">
        <f>IF(Source!$C160&gt;=COLUMNS($A160:AA160), Source!$E160, "")</f>
        <v/>
      </c>
      <c r="AB160" s="2" t="str">
        <f>IF(Source!$C160&gt;=COLUMNS($A160:AB160), Source!$E160, "")</f>
        <v/>
      </c>
      <c r="AC160" s="2" t="str">
        <f>IF(Source!$C160&gt;=COLUMNS($A160:AC160), Source!$E160, "")</f>
        <v/>
      </c>
      <c r="AD160" s="2" t="str">
        <f>IF(Source!$C160&gt;=COLUMNS($A160:AD160), Source!$E160, "")</f>
        <v/>
      </c>
      <c r="AE160" s="2" t="str">
        <f>IF(Source!$C160&gt;=COLUMNS($A160:AE160), Source!$E160, "")</f>
        <v/>
      </c>
      <c r="AF160" s="2" t="str">
        <f>IF(Source!$C160&gt;=COLUMNS($A160:AF160), Source!$E160, "")</f>
        <v/>
      </c>
      <c r="AG160" s="2" t="str">
        <f>IF(Source!$C160&gt;=COLUMNS($A160:AG160), Source!$E160, "")</f>
        <v/>
      </c>
      <c r="AH160" s="2" t="str">
        <f>IF(Source!$C160&gt;=COLUMNS($A160:AH160), Source!$E160, "")</f>
        <v/>
      </c>
      <c r="AI160" s="2" t="str">
        <f>IF(Source!$C160&gt;=COLUMNS($A160:AI160), Source!$E160, "")</f>
        <v/>
      </c>
      <c r="AJ160" s="2" t="str">
        <f>IF(Source!$C160&gt;=COLUMNS($A160:AJ160), Source!$E160, "")</f>
        <v/>
      </c>
      <c r="AK160" s="2" t="str">
        <f>IF(Source!$C160&gt;=COLUMNS($A160:AK160), Source!$E160, "")</f>
        <v/>
      </c>
      <c r="AL160" s="2" t="str">
        <f>IF(Source!$C160&gt;=COLUMNS($A160:AL160), Source!$E160, "")</f>
        <v/>
      </c>
      <c r="AM160" s="2" t="str">
        <f>IF(Source!$C160&gt;=COLUMNS($A160:AM160), Source!$E160, "")</f>
        <v/>
      </c>
      <c r="AN160" s="2" t="str">
        <f>IF(Source!$C160&gt;=COLUMNS($A160:AN160), Source!$E160, "")</f>
        <v/>
      </c>
      <c r="AO160" s="2" t="str">
        <f>IF(Source!$C160&gt;=COLUMNS($A160:AO160), Source!$E160, "")</f>
        <v/>
      </c>
      <c r="AP160" s="2" t="str">
        <f>IF(Source!$C160&gt;=COLUMNS($A160:AP160), Source!$E160, "")</f>
        <v/>
      </c>
      <c r="AQ160" s="2" t="str">
        <f>IF(Source!$C160&gt;=COLUMNS($A160:AQ160), Source!$E160, "")</f>
        <v/>
      </c>
      <c r="AR160" s="2" t="str">
        <f>IF(Source!$C160&gt;=COLUMNS($A160:AR160), Source!$E160, "")</f>
        <v/>
      </c>
    </row>
    <row r="161">
      <c r="A161" s="2">
        <f>IF(Source!$C161&gt;=COLUMNS($A161:A161), Source!$E161, "")</f>
        <v>3</v>
      </c>
      <c r="B161" s="2">
        <f>IF(Source!$C161&gt;=COLUMNS($A161:B161), Source!$E161, "")</f>
        <v>3</v>
      </c>
      <c r="C161" s="2" t="str">
        <f>IF(Source!$C161&gt;=COLUMNS($A161:C161), Source!$E161, "")</f>
        <v/>
      </c>
      <c r="D161" s="2" t="str">
        <f>IF(Source!$C161&gt;=COLUMNS($A161:D161), Source!$E161, "")</f>
        <v/>
      </c>
      <c r="E161" s="2" t="str">
        <f>IF(Source!$C161&gt;=COLUMNS($A161:E161), Source!$E161, "")</f>
        <v/>
      </c>
      <c r="F161" s="2" t="str">
        <f>IF(Source!$C161&gt;=COLUMNS($A161:F161), Source!$E161, "")</f>
        <v/>
      </c>
      <c r="G161" s="2" t="str">
        <f>IF(Source!$C161&gt;=COLUMNS($A161:G161), Source!$E161, "")</f>
        <v/>
      </c>
      <c r="H161" s="2" t="str">
        <f>IF(Source!$C161&gt;=COLUMNS($A161:H161), Source!$E161, "")</f>
        <v/>
      </c>
      <c r="I161" s="2" t="str">
        <f>IF(Source!$C161&gt;=COLUMNS($A161:I161), Source!$E161, "")</f>
        <v/>
      </c>
      <c r="J161" s="2" t="str">
        <f>IF(Source!$C161&gt;=COLUMNS($A161:J161), Source!$E161, "")</f>
        <v/>
      </c>
      <c r="K161" s="2" t="str">
        <f>IF(Source!$C161&gt;=COLUMNS($A161:K161), Source!$E161, "")</f>
        <v/>
      </c>
      <c r="L161" s="2" t="str">
        <f>IF(Source!$C161&gt;=COLUMNS($A161:L161), Source!$E161, "")</f>
        <v/>
      </c>
      <c r="M161" s="2" t="str">
        <f>IF(Source!$C161&gt;=COLUMNS($A161:M161), Source!$E161, "")</f>
        <v/>
      </c>
      <c r="N161" s="2" t="str">
        <f>IF(Source!$C161&gt;=COLUMNS($A161:N161), Source!$E161, "")</f>
        <v/>
      </c>
      <c r="O161" s="2" t="str">
        <f>IF(Source!$C161&gt;=COLUMNS($A161:O161), Source!$E161, "")</f>
        <v/>
      </c>
      <c r="P161" s="2" t="str">
        <f>IF(Source!$C161&gt;=COLUMNS($A161:P161), Source!$E161, "")</f>
        <v/>
      </c>
      <c r="Q161" s="2" t="str">
        <f>IF(Source!$C161&gt;=COLUMNS($A161:Q161), Source!$E161, "")</f>
        <v/>
      </c>
      <c r="R161" s="2" t="str">
        <f>IF(Source!$C161&gt;=COLUMNS($A161:R161), Source!$E161, "")</f>
        <v/>
      </c>
      <c r="S161" s="2" t="str">
        <f>IF(Source!$C161&gt;=COLUMNS($A161:S161), Source!$E161, "")</f>
        <v/>
      </c>
      <c r="T161" s="2" t="str">
        <f>IF(Source!$C161&gt;=COLUMNS($A161:T161), Source!$E161, "")</f>
        <v/>
      </c>
      <c r="U161" s="2" t="str">
        <f>IF(Source!$C161&gt;=COLUMNS($A161:U161), Source!$E161, "")</f>
        <v/>
      </c>
      <c r="V161" s="2" t="str">
        <f>IF(Source!$C161&gt;=COLUMNS($A161:V161), Source!$E161, "")</f>
        <v/>
      </c>
      <c r="W161" s="2" t="str">
        <f>IF(Source!$C161&gt;=COLUMNS($A161:W161), Source!$E161, "")</f>
        <v/>
      </c>
      <c r="X161" s="2" t="str">
        <f>IF(Source!$C161&gt;=COLUMNS($A161:X161), Source!$E161, "")</f>
        <v/>
      </c>
      <c r="Y161" s="2" t="str">
        <f>IF(Source!$C161&gt;=COLUMNS($A161:Y161), Source!$E161, "")</f>
        <v/>
      </c>
      <c r="Z161" s="2" t="str">
        <f>IF(Source!$C161&gt;=COLUMNS($A161:Z161), Source!$E161, "")</f>
        <v/>
      </c>
      <c r="AA161" s="2" t="str">
        <f>IF(Source!$C161&gt;=COLUMNS($A161:AA161), Source!$E161, "")</f>
        <v/>
      </c>
      <c r="AB161" s="2" t="str">
        <f>IF(Source!$C161&gt;=COLUMNS($A161:AB161), Source!$E161, "")</f>
        <v/>
      </c>
      <c r="AC161" s="2" t="str">
        <f>IF(Source!$C161&gt;=COLUMNS($A161:AC161), Source!$E161, "")</f>
        <v/>
      </c>
      <c r="AD161" s="2" t="str">
        <f>IF(Source!$C161&gt;=COLUMNS($A161:AD161), Source!$E161, "")</f>
        <v/>
      </c>
      <c r="AE161" s="2" t="str">
        <f>IF(Source!$C161&gt;=COLUMNS($A161:AE161), Source!$E161, "")</f>
        <v/>
      </c>
      <c r="AF161" s="2" t="str">
        <f>IF(Source!$C161&gt;=COLUMNS($A161:AF161), Source!$E161, "")</f>
        <v/>
      </c>
      <c r="AG161" s="2" t="str">
        <f>IF(Source!$C161&gt;=COLUMNS($A161:AG161), Source!$E161, "")</f>
        <v/>
      </c>
      <c r="AH161" s="2" t="str">
        <f>IF(Source!$C161&gt;=COLUMNS($A161:AH161), Source!$E161, "")</f>
        <v/>
      </c>
      <c r="AI161" s="2" t="str">
        <f>IF(Source!$C161&gt;=COLUMNS($A161:AI161), Source!$E161, "")</f>
        <v/>
      </c>
      <c r="AJ161" s="2" t="str">
        <f>IF(Source!$C161&gt;=COLUMNS($A161:AJ161), Source!$E161, "")</f>
        <v/>
      </c>
      <c r="AK161" s="2" t="str">
        <f>IF(Source!$C161&gt;=COLUMNS($A161:AK161), Source!$E161, "")</f>
        <v/>
      </c>
      <c r="AL161" s="2" t="str">
        <f>IF(Source!$C161&gt;=COLUMNS($A161:AL161), Source!$E161, "")</f>
        <v/>
      </c>
      <c r="AM161" s="2" t="str">
        <f>IF(Source!$C161&gt;=COLUMNS($A161:AM161), Source!$E161, "")</f>
        <v/>
      </c>
      <c r="AN161" s="2" t="str">
        <f>IF(Source!$C161&gt;=COLUMNS($A161:AN161), Source!$E161, "")</f>
        <v/>
      </c>
      <c r="AO161" s="2" t="str">
        <f>IF(Source!$C161&gt;=COLUMNS($A161:AO161), Source!$E161, "")</f>
        <v/>
      </c>
      <c r="AP161" s="2" t="str">
        <f>IF(Source!$C161&gt;=COLUMNS($A161:AP161), Source!$E161, "")</f>
        <v/>
      </c>
      <c r="AQ161" s="2" t="str">
        <f>IF(Source!$C161&gt;=COLUMNS($A161:AQ161), Source!$E161, "")</f>
        <v/>
      </c>
      <c r="AR161" s="2" t="str">
        <f>IF(Source!$C161&gt;=COLUMNS($A161:AR161), Source!$E161, "")</f>
        <v/>
      </c>
    </row>
    <row r="162">
      <c r="A162" s="2">
        <f>IF(Source!$C162&gt;=COLUMNS($A162:A162), Source!$E162, "")</f>
        <v>3</v>
      </c>
      <c r="B162" s="2" t="str">
        <f>IF(Source!$C162&gt;=COLUMNS($A162:B162), Source!$E162, "")</f>
        <v/>
      </c>
      <c r="C162" s="2" t="str">
        <f>IF(Source!$C162&gt;=COLUMNS($A162:C162), Source!$E162, "")</f>
        <v/>
      </c>
      <c r="D162" s="2" t="str">
        <f>IF(Source!$C162&gt;=COLUMNS($A162:D162), Source!$E162, "")</f>
        <v/>
      </c>
      <c r="E162" s="2" t="str">
        <f>IF(Source!$C162&gt;=COLUMNS($A162:E162), Source!$E162, "")</f>
        <v/>
      </c>
      <c r="F162" s="2" t="str">
        <f>IF(Source!$C162&gt;=COLUMNS($A162:F162), Source!$E162, "")</f>
        <v/>
      </c>
      <c r="G162" s="2" t="str">
        <f>IF(Source!$C162&gt;=COLUMNS($A162:G162), Source!$E162, "")</f>
        <v/>
      </c>
      <c r="H162" s="2" t="str">
        <f>IF(Source!$C162&gt;=COLUMNS($A162:H162), Source!$E162, "")</f>
        <v/>
      </c>
      <c r="I162" s="2" t="str">
        <f>IF(Source!$C162&gt;=COLUMNS($A162:I162), Source!$E162, "")</f>
        <v/>
      </c>
      <c r="J162" s="2" t="str">
        <f>IF(Source!$C162&gt;=COLUMNS($A162:J162), Source!$E162, "")</f>
        <v/>
      </c>
      <c r="K162" s="2" t="str">
        <f>IF(Source!$C162&gt;=COLUMNS($A162:K162), Source!$E162, "")</f>
        <v/>
      </c>
      <c r="L162" s="2" t="str">
        <f>IF(Source!$C162&gt;=COLUMNS($A162:L162), Source!$E162, "")</f>
        <v/>
      </c>
      <c r="M162" s="2" t="str">
        <f>IF(Source!$C162&gt;=COLUMNS($A162:M162), Source!$E162, "")</f>
        <v/>
      </c>
      <c r="N162" s="2" t="str">
        <f>IF(Source!$C162&gt;=COLUMNS($A162:N162), Source!$E162, "")</f>
        <v/>
      </c>
      <c r="O162" s="2" t="str">
        <f>IF(Source!$C162&gt;=COLUMNS($A162:O162), Source!$E162, "")</f>
        <v/>
      </c>
      <c r="P162" s="2" t="str">
        <f>IF(Source!$C162&gt;=COLUMNS($A162:P162), Source!$E162, "")</f>
        <v/>
      </c>
      <c r="Q162" s="2" t="str">
        <f>IF(Source!$C162&gt;=COLUMNS($A162:Q162), Source!$E162, "")</f>
        <v/>
      </c>
      <c r="R162" s="2" t="str">
        <f>IF(Source!$C162&gt;=COLUMNS($A162:R162), Source!$E162, "")</f>
        <v/>
      </c>
      <c r="S162" s="2" t="str">
        <f>IF(Source!$C162&gt;=COLUMNS($A162:S162), Source!$E162, "")</f>
        <v/>
      </c>
      <c r="T162" s="2" t="str">
        <f>IF(Source!$C162&gt;=COLUMNS($A162:T162), Source!$E162, "")</f>
        <v/>
      </c>
      <c r="U162" s="2" t="str">
        <f>IF(Source!$C162&gt;=COLUMNS($A162:U162), Source!$E162, "")</f>
        <v/>
      </c>
      <c r="V162" s="2" t="str">
        <f>IF(Source!$C162&gt;=COLUMNS($A162:V162), Source!$E162, "")</f>
        <v/>
      </c>
      <c r="W162" s="2" t="str">
        <f>IF(Source!$C162&gt;=COLUMNS($A162:W162), Source!$E162, "")</f>
        <v/>
      </c>
      <c r="X162" s="2" t="str">
        <f>IF(Source!$C162&gt;=COLUMNS($A162:X162), Source!$E162, "")</f>
        <v/>
      </c>
      <c r="Y162" s="2" t="str">
        <f>IF(Source!$C162&gt;=COLUMNS($A162:Y162), Source!$E162, "")</f>
        <v/>
      </c>
      <c r="Z162" s="2" t="str">
        <f>IF(Source!$C162&gt;=COLUMNS($A162:Z162), Source!$E162, "")</f>
        <v/>
      </c>
      <c r="AA162" s="2" t="str">
        <f>IF(Source!$C162&gt;=COLUMNS($A162:AA162), Source!$E162, "")</f>
        <v/>
      </c>
      <c r="AB162" s="2" t="str">
        <f>IF(Source!$C162&gt;=COLUMNS($A162:AB162), Source!$E162, "")</f>
        <v/>
      </c>
      <c r="AC162" s="2" t="str">
        <f>IF(Source!$C162&gt;=COLUMNS($A162:AC162), Source!$E162, "")</f>
        <v/>
      </c>
      <c r="AD162" s="2" t="str">
        <f>IF(Source!$C162&gt;=COLUMNS($A162:AD162), Source!$E162, "")</f>
        <v/>
      </c>
      <c r="AE162" s="2" t="str">
        <f>IF(Source!$C162&gt;=COLUMNS($A162:AE162), Source!$E162, "")</f>
        <v/>
      </c>
      <c r="AF162" s="2" t="str">
        <f>IF(Source!$C162&gt;=COLUMNS($A162:AF162), Source!$E162, "")</f>
        <v/>
      </c>
      <c r="AG162" s="2" t="str">
        <f>IF(Source!$C162&gt;=COLUMNS($A162:AG162), Source!$E162, "")</f>
        <v/>
      </c>
      <c r="AH162" s="2" t="str">
        <f>IF(Source!$C162&gt;=COLUMNS($A162:AH162), Source!$E162, "")</f>
        <v/>
      </c>
      <c r="AI162" s="2" t="str">
        <f>IF(Source!$C162&gt;=COLUMNS($A162:AI162), Source!$E162, "")</f>
        <v/>
      </c>
      <c r="AJ162" s="2" t="str">
        <f>IF(Source!$C162&gt;=COLUMNS($A162:AJ162), Source!$E162, "")</f>
        <v/>
      </c>
      <c r="AK162" s="2" t="str">
        <f>IF(Source!$C162&gt;=COLUMNS($A162:AK162), Source!$E162, "")</f>
        <v/>
      </c>
      <c r="AL162" s="2" t="str">
        <f>IF(Source!$C162&gt;=COLUMNS($A162:AL162), Source!$E162, "")</f>
        <v/>
      </c>
      <c r="AM162" s="2" t="str">
        <f>IF(Source!$C162&gt;=COLUMNS($A162:AM162), Source!$E162, "")</f>
        <v/>
      </c>
      <c r="AN162" s="2" t="str">
        <f>IF(Source!$C162&gt;=COLUMNS($A162:AN162), Source!$E162, "")</f>
        <v/>
      </c>
      <c r="AO162" s="2" t="str">
        <f>IF(Source!$C162&gt;=COLUMNS($A162:AO162), Source!$E162, "")</f>
        <v/>
      </c>
      <c r="AP162" s="2" t="str">
        <f>IF(Source!$C162&gt;=COLUMNS($A162:AP162), Source!$E162, "")</f>
        <v/>
      </c>
      <c r="AQ162" s="2" t="str">
        <f>IF(Source!$C162&gt;=COLUMNS($A162:AQ162), Source!$E162, "")</f>
        <v/>
      </c>
      <c r="AR162" s="2" t="str">
        <f>IF(Source!$C162&gt;=COLUMNS($A162:AR162), Source!$E162, "")</f>
        <v/>
      </c>
    </row>
    <row r="163">
      <c r="A163" s="2">
        <f>IF(Source!$C163&gt;=COLUMNS($A163:A163), Source!$E163, "")</f>
        <v>7</v>
      </c>
      <c r="B163" s="2">
        <f>IF(Source!$C163&gt;=COLUMNS($A163:B163), Source!$E163, "")</f>
        <v>7</v>
      </c>
      <c r="C163" s="2" t="str">
        <f>IF(Source!$C163&gt;=COLUMNS($A163:C163), Source!$E163, "")</f>
        <v/>
      </c>
      <c r="D163" s="2" t="str">
        <f>IF(Source!$C163&gt;=COLUMNS($A163:D163), Source!$E163, "")</f>
        <v/>
      </c>
      <c r="E163" s="2" t="str">
        <f>IF(Source!$C163&gt;=COLUMNS($A163:E163), Source!$E163, "")</f>
        <v/>
      </c>
      <c r="F163" s="2" t="str">
        <f>IF(Source!$C163&gt;=COLUMNS($A163:F163), Source!$E163, "")</f>
        <v/>
      </c>
      <c r="G163" s="2" t="str">
        <f>IF(Source!$C163&gt;=COLUMNS($A163:G163), Source!$E163, "")</f>
        <v/>
      </c>
      <c r="H163" s="2" t="str">
        <f>IF(Source!$C163&gt;=COLUMNS($A163:H163), Source!$E163, "")</f>
        <v/>
      </c>
      <c r="I163" s="2" t="str">
        <f>IF(Source!$C163&gt;=COLUMNS($A163:I163), Source!$E163, "")</f>
        <v/>
      </c>
      <c r="J163" s="2" t="str">
        <f>IF(Source!$C163&gt;=COLUMNS($A163:J163), Source!$E163, "")</f>
        <v/>
      </c>
      <c r="K163" s="2" t="str">
        <f>IF(Source!$C163&gt;=COLUMNS($A163:K163), Source!$E163, "")</f>
        <v/>
      </c>
      <c r="L163" s="2" t="str">
        <f>IF(Source!$C163&gt;=COLUMNS($A163:L163), Source!$E163, "")</f>
        <v/>
      </c>
      <c r="M163" s="2" t="str">
        <f>IF(Source!$C163&gt;=COLUMNS($A163:M163), Source!$E163, "")</f>
        <v/>
      </c>
      <c r="N163" s="2" t="str">
        <f>IF(Source!$C163&gt;=COLUMNS($A163:N163), Source!$E163, "")</f>
        <v/>
      </c>
      <c r="O163" s="2" t="str">
        <f>IF(Source!$C163&gt;=COLUMNS($A163:O163), Source!$E163, "")</f>
        <v/>
      </c>
      <c r="P163" s="2" t="str">
        <f>IF(Source!$C163&gt;=COLUMNS($A163:P163), Source!$E163, "")</f>
        <v/>
      </c>
      <c r="Q163" s="2" t="str">
        <f>IF(Source!$C163&gt;=COLUMNS($A163:Q163), Source!$E163, "")</f>
        <v/>
      </c>
      <c r="R163" s="2" t="str">
        <f>IF(Source!$C163&gt;=COLUMNS($A163:R163), Source!$E163, "")</f>
        <v/>
      </c>
      <c r="S163" s="2" t="str">
        <f>IF(Source!$C163&gt;=COLUMNS($A163:S163), Source!$E163, "")</f>
        <v/>
      </c>
      <c r="T163" s="2" t="str">
        <f>IF(Source!$C163&gt;=COLUMNS($A163:T163), Source!$E163, "")</f>
        <v/>
      </c>
      <c r="U163" s="2" t="str">
        <f>IF(Source!$C163&gt;=COLUMNS($A163:U163), Source!$E163, "")</f>
        <v/>
      </c>
      <c r="V163" s="2" t="str">
        <f>IF(Source!$C163&gt;=COLUMNS($A163:V163), Source!$E163, "")</f>
        <v/>
      </c>
      <c r="W163" s="2" t="str">
        <f>IF(Source!$C163&gt;=COLUMNS($A163:W163), Source!$E163, "")</f>
        <v/>
      </c>
      <c r="X163" s="2" t="str">
        <f>IF(Source!$C163&gt;=COLUMNS($A163:X163), Source!$E163, "")</f>
        <v/>
      </c>
      <c r="Y163" s="2" t="str">
        <f>IF(Source!$C163&gt;=COLUMNS($A163:Y163), Source!$E163, "")</f>
        <v/>
      </c>
      <c r="Z163" s="2" t="str">
        <f>IF(Source!$C163&gt;=COLUMNS($A163:Z163), Source!$E163, "")</f>
        <v/>
      </c>
      <c r="AA163" s="2" t="str">
        <f>IF(Source!$C163&gt;=COLUMNS($A163:AA163), Source!$E163, "")</f>
        <v/>
      </c>
      <c r="AB163" s="2" t="str">
        <f>IF(Source!$C163&gt;=COLUMNS($A163:AB163), Source!$E163, "")</f>
        <v/>
      </c>
      <c r="AC163" s="2" t="str">
        <f>IF(Source!$C163&gt;=COLUMNS($A163:AC163), Source!$E163, "")</f>
        <v/>
      </c>
      <c r="AD163" s="2" t="str">
        <f>IF(Source!$C163&gt;=COLUMNS($A163:AD163), Source!$E163, "")</f>
        <v/>
      </c>
      <c r="AE163" s="2" t="str">
        <f>IF(Source!$C163&gt;=COLUMNS($A163:AE163), Source!$E163, "")</f>
        <v/>
      </c>
      <c r="AF163" s="2" t="str">
        <f>IF(Source!$C163&gt;=COLUMNS($A163:AF163), Source!$E163, "")</f>
        <v/>
      </c>
      <c r="AG163" s="2" t="str">
        <f>IF(Source!$C163&gt;=COLUMNS($A163:AG163), Source!$E163, "")</f>
        <v/>
      </c>
      <c r="AH163" s="2" t="str">
        <f>IF(Source!$C163&gt;=COLUMNS($A163:AH163), Source!$E163, "")</f>
        <v/>
      </c>
      <c r="AI163" s="2" t="str">
        <f>IF(Source!$C163&gt;=COLUMNS($A163:AI163), Source!$E163, "")</f>
        <v/>
      </c>
      <c r="AJ163" s="2" t="str">
        <f>IF(Source!$C163&gt;=COLUMNS($A163:AJ163), Source!$E163, "")</f>
        <v/>
      </c>
      <c r="AK163" s="2" t="str">
        <f>IF(Source!$C163&gt;=COLUMNS($A163:AK163), Source!$E163, "")</f>
        <v/>
      </c>
      <c r="AL163" s="2" t="str">
        <f>IF(Source!$C163&gt;=COLUMNS($A163:AL163), Source!$E163, "")</f>
        <v/>
      </c>
      <c r="AM163" s="2" t="str">
        <f>IF(Source!$C163&gt;=COLUMNS($A163:AM163), Source!$E163, "")</f>
        <v/>
      </c>
      <c r="AN163" s="2" t="str">
        <f>IF(Source!$C163&gt;=COLUMNS($A163:AN163), Source!$E163, "")</f>
        <v/>
      </c>
      <c r="AO163" s="2" t="str">
        <f>IF(Source!$C163&gt;=COLUMNS($A163:AO163), Source!$E163, "")</f>
        <v/>
      </c>
      <c r="AP163" s="2" t="str">
        <f>IF(Source!$C163&gt;=COLUMNS($A163:AP163), Source!$E163, "")</f>
        <v/>
      </c>
      <c r="AQ163" s="2" t="str">
        <f>IF(Source!$C163&gt;=COLUMNS($A163:AQ163), Source!$E163, "")</f>
        <v/>
      </c>
      <c r="AR163" s="2" t="str">
        <f>IF(Source!$C163&gt;=COLUMNS($A163:AR163), Source!$E163, "")</f>
        <v/>
      </c>
    </row>
    <row r="164">
      <c r="A164" s="2">
        <f>IF(Source!$C164&gt;=COLUMNS($A164:A164), Source!$E164, "")</f>
        <v>1</v>
      </c>
      <c r="B164" s="2">
        <f>IF(Source!$C164&gt;=COLUMNS($A164:B164), Source!$E164, "")</f>
        <v>1</v>
      </c>
      <c r="C164" s="2" t="str">
        <f>IF(Source!$C164&gt;=COLUMNS($A164:C164), Source!$E164, "")</f>
        <v/>
      </c>
      <c r="D164" s="2" t="str">
        <f>IF(Source!$C164&gt;=COLUMNS($A164:D164), Source!$E164, "")</f>
        <v/>
      </c>
      <c r="E164" s="2" t="str">
        <f>IF(Source!$C164&gt;=COLUMNS($A164:E164), Source!$E164, "")</f>
        <v/>
      </c>
      <c r="F164" s="2" t="str">
        <f>IF(Source!$C164&gt;=COLUMNS($A164:F164), Source!$E164, "")</f>
        <v/>
      </c>
      <c r="G164" s="2" t="str">
        <f>IF(Source!$C164&gt;=COLUMNS($A164:G164), Source!$E164, "")</f>
        <v/>
      </c>
      <c r="H164" s="2" t="str">
        <f>IF(Source!$C164&gt;=COLUMNS($A164:H164), Source!$E164, "")</f>
        <v/>
      </c>
      <c r="I164" s="2" t="str">
        <f>IF(Source!$C164&gt;=COLUMNS($A164:I164), Source!$E164, "")</f>
        <v/>
      </c>
      <c r="J164" s="2" t="str">
        <f>IF(Source!$C164&gt;=COLUMNS($A164:J164), Source!$E164, "")</f>
        <v/>
      </c>
      <c r="K164" s="2" t="str">
        <f>IF(Source!$C164&gt;=COLUMNS($A164:K164), Source!$E164, "")</f>
        <v/>
      </c>
      <c r="L164" s="2" t="str">
        <f>IF(Source!$C164&gt;=COLUMNS($A164:L164), Source!$E164, "")</f>
        <v/>
      </c>
      <c r="M164" s="2" t="str">
        <f>IF(Source!$C164&gt;=COLUMNS($A164:M164), Source!$E164, "")</f>
        <v/>
      </c>
      <c r="N164" s="2" t="str">
        <f>IF(Source!$C164&gt;=COLUMNS($A164:N164), Source!$E164, "")</f>
        <v/>
      </c>
      <c r="O164" s="2" t="str">
        <f>IF(Source!$C164&gt;=COLUMNS($A164:O164), Source!$E164, "")</f>
        <v/>
      </c>
      <c r="P164" s="2" t="str">
        <f>IF(Source!$C164&gt;=COLUMNS($A164:P164), Source!$E164, "")</f>
        <v/>
      </c>
      <c r="Q164" s="2" t="str">
        <f>IF(Source!$C164&gt;=COLUMNS($A164:Q164), Source!$E164, "")</f>
        <v/>
      </c>
      <c r="R164" s="2" t="str">
        <f>IF(Source!$C164&gt;=COLUMNS($A164:R164), Source!$E164, "")</f>
        <v/>
      </c>
      <c r="S164" s="2" t="str">
        <f>IF(Source!$C164&gt;=COLUMNS($A164:S164), Source!$E164, "")</f>
        <v/>
      </c>
      <c r="T164" s="2" t="str">
        <f>IF(Source!$C164&gt;=COLUMNS($A164:T164), Source!$E164, "")</f>
        <v/>
      </c>
      <c r="U164" s="2" t="str">
        <f>IF(Source!$C164&gt;=COLUMNS($A164:U164), Source!$E164, "")</f>
        <v/>
      </c>
      <c r="V164" s="2" t="str">
        <f>IF(Source!$C164&gt;=COLUMNS($A164:V164), Source!$E164, "")</f>
        <v/>
      </c>
      <c r="W164" s="2" t="str">
        <f>IF(Source!$C164&gt;=COLUMNS($A164:W164), Source!$E164, "")</f>
        <v/>
      </c>
      <c r="X164" s="2" t="str">
        <f>IF(Source!$C164&gt;=COLUMNS($A164:X164), Source!$E164, "")</f>
        <v/>
      </c>
      <c r="Y164" s="2" t="str">
        <f>IF(Source!$C164&gt;=COLUMNS($A164:Y164), Source!$E164, "")</f>
        <v/>
      </c>
      <c r="Z164" s="2" t="str">
        <f>IF(Source!$C164&gt;=COLUMNS($A164:Z164), Source!$E164, "")</f>
        <v/>
      </c>
      <c r="AA164" s="2" t="str">
        <f>IF(Source!$C164&gt;=COLUMNS($A164:AA164), Source!$E164, "")</f>
        <v/>
      </c>
      <c r="AB164" s="2" t="str">
        <f>IF(Source!$C164&gt;=COLUMNS($A164:AB164), Source!$E164, "")</f>
        <v/>
      </c>
      <c r="AC164" s="2" t="str">
        <f>IF(Source!$C164&gt;=COLUMNS($A164:AC164), Source!$E164, "")</f>
        <v/>
      </c>
      <c r="AD164" s="2" t="str">
        <f>IF(Source!$C164&gt;=COLUMNS($A164:AD164), Source!$E164, "")</f>
        <v/>
      </c>
      <c r="AE164" s="2" t="str">
        <f>IF(Source!$C164&gt;=COLUMNS($A164:AE164), Source!$E164, "")</f>
        <v/>
      </c>
      <c r="AF164" s="2" t="str">
        <f>IF(Source!$C164&gt;=COLUMNS($A164:AF164), Source!$E164, "")</f>
        <v/>
      </c>
      <c r="AG164" s="2" t="str">
        <f>IF(Source!$C164&gt;=COLUMNS($A164:AG164), Source!$E164, "")</f>
        <v/>
      </c>
      <c r="AH164" s="2" t="str">
        <f>IF(Source!$C164&gt;=COLUMNS($A164:AH164), Source!$E164, "")</f>
        <v/>
      </c>
      <c r="AI164" s="2" t="str">
        <f>IF(Source!$C164&gt;=COLUMNS($A164:AI164), Source!$E164, "")</f>
        <v/>
      </c>
      <c r="AJ164" s="2" t="str">
        <f>IF(Source!$C164&gt;=COLUMNS($A164:AJ164), Source!$E164, "")</f>
        <v/>
      </c>
      <c r="AK164" s="2" t="str">
        <f>IF(Source!$C164&gt;=COLUMNS($A164:AK164), Source!$E164, "")</f>
        <v/>
      </c>
      <c r="AL164" s="2" t="str">
        <f>IF(Source!$C164&gt;=COLUMNS($A164:AL164), Source!$E164, "")</f>
        <v/>
      </c>
      <c r="AM164" s="2" t="str">
        <f>IF(Source!$C164&gt;=COLUMNS($A164:AM164), Source!$E164, "")</f>
        <v/>
      </c>
      <c r="AN164" s="2" t="str">
        <f>IF(Source!$C164&gt;=COLUMNS($A164:AN164), Source!$E164, "")</f>
        <v/>
      </c>
      <c r="AO164" s="2" t="str">
        <f>IF(Source!$C164&gt;=COLUMNS($A164:AO164), Source!$E164, "")</f>
        <v/>
      </c>
      <c r="AP164" s="2" t="str">
        <f>IF(Source!$C164&gt;=COLUMNS($A164:AP164), Source!$E164, "")</f>
        <v/>
      </c>
      <c r="AQ164" s="2" t="str">
        <f>IF(Source!$C164&gt;=COLUMNS($A164:AQ164), Source!$E164, "")</f>
        <v/>
      </c>
      <c r="AR164" s="2" t="str">
        <f>IF(Source!$C164&gt;=COLUMNS($A164:AR164), Source!$E164, "")</f>
        <v/>
      </c>
    </row>
    <row r="165">
      <c r="A165" s="2">
        <f>IF(Source!$C165&gt;=COLUMNS($A165:A165), Source!$E165, "")</f>
        <v>2</v>
      </c>
      <c r="B165" s="2">
        <f>IF(Source!$C165&gt;=COLUMNS($A165:B165), Source!$E165, "")</f>
        <v>2</v>
      </c>
      <c r="C165" s="2">
        <f>IF(Source!$C165&gt;=COLUMNS($A165:C165), Source!$E165, "")</f>
        <v>2</v>
      </c>
      <c r="D165" s="2">
        <f>IF(Source!$C165&gt;=COLUMNS($A165:D165), Source!$E165, "")</f>
        <v>2</v>
      </c>
      <c r="E165" s="2">
        <f>IF(Source!$C165&gt;=COLUMNS($A165:E165), Source!$E165, "")</f>
        <v>2</v>
      </c>
      <c r="F165" s="2">
        <f>IF(Source!$C165&gt;=COLUMNS($A165:F165), Source!$E165, "")</f>
        <v>2</v>
      </c>
      <c r="G165" s="2">
        <f>IF(Source!$C165&gt;=COLUMNS($A165:G165), Source!$E165, "")</f>
        <v>2</v>
      </c>
      <c r="H165" s="2">
        <f>IF(Source!$C165&gt;=COLUMNS($A165:H165), Source!$E165, "")</f>
        <v>2</v>
      </c>
      <c r="I165" s="2">
        <f>IF(Source!$C165&gt;=COLUMNS($A165:I165), Source!$E165, "")</f>
        <v>2</v>
      </c>
      <c r="J165" s="2">
        <f>IF(Source!$C165&gt;=COLUMNS($A165:J165), Source!$E165, "")</f>
        <v>2</v>
      </c>
      <c r="K165" s="2">
        <f>IF(Source!$C165&gt;=COLUMNS($A165:K165), Source!$E165, "")</f>
        <v>2</v>
      </c>
      <c r="L165" s="2">
        <f>IF(Source!$C165&gt;=COLUMNS($A165:L165), Source!$E165, "")</f>
        <v>2</v>
      </c>
      <c r="M165" s="2" t="str">
        <f>IF(Source!$C165&gt;=COLUMNS($A165:M165), Source!$E165, "")</f>
        <v/>
      </c>
      <c r="N165" s="2" t="str">
        <f>IF(Source!$C165&gt;=COLUMNS($A165:N165), Source!$E165, "")</f>
        <v/>
      </c>
      <c r="O165" s="2" t="str">
        <f>IF(Source!$C165&gt;=COLUMNS($A165:O165), Source!$E165, "")</f>
        <v/>
      </c>
      <c r="P165" s="2" t="str">
        <f>IF(Source!$C165&gt;=COLUMNS($A165:P165), Source!$E165, "")</f>
        <v/>
      </c>
      <c r="Q165" s="2" t="str">
        <f>IF(Source!$C165&gt;=COLUMNS($A165:Q165), Source!$E165, "")</f>
        <v/>
      </c>
      <c r="R165" s="2" t="str">
        <f>IF(Source!$C165&gt;=COLUMNS($A165:R165), Source!$E165, "")</f>
        <v/>
      </c>
      <c r="S165" s="2" t="str">
        <f>IF(Source!$C165&gt;=COLUMNS($A165:S165), Source!$E165, "")</f>
        <v/>
      </c>
      <c r="T165" s="2" t="str">
        <f>IF(Source!$C165&gt;=COLUMNS($A165:T165), Source!$E165, "")</f>
        <v/>
      </c>
      <c r="U165" s="2" t="str">
        <f>IF(Source!$C165&gt;=COLUMNS($A165:U165), Source!$E165, "")</f>
        <v/>
      </c>
      <c r="V165" s="2" t="str">
        <f>IF(Source!$C165&gt;=COLUMNS($A165:V165), Source!$E165, "")</f>
        <v/>
      </c>
      <c r="W165" s="2" t="str">
        <f>IF(Source!$C165&gt;=COLUMNS($A165:W165), Source!$E165, "")</f>
        <v/>
      </c>
      <c r="X165" s="2" t="str">
        <f>IF(Source!$C165&gt;=COLUMNS($A165:X165), Source!$E165, "")</f>
        <v/>
      </c>
      <c r="Y165" s="2" t="str">
        <f>IF(Source!$C165&gt;=COLUMNS($A165:Y165), Source!$E165, "")</f>
        <v/>
      </c>
      <c r="Z165" s="2" t="str">
        <f>IF(Source!$C165&gt;=COLUMNS($A165:Z165), Source!$E165, "")</f>
        <v/>
      </c>
      <c r="AA165" s="2" t="str">
        <f>IF(Source!$C165&gt;=COLUMNS($A165:AA165), Source!$E165, "")</f>
        <v/>
      </c>
      <c r="AB165" s="2" t="str">
        <f>IF(Source!$C165&gt;=COLUMNS($A165:AB165), Source!$E165, "")</f>
        <v/>
      </c>
      <c r="AC165" s="2" t="str">
        <f>IF(Source!$C165&gt;=COLUMNS($A165:AC165), Source!$E165, "")</f>
        <v/>
      </c>
      <c r="AD165" s="2" t="str">
        <f>IF(Source!$C165&gt;=COLUMNS($A165:AD165), Source!$E165, "")</f>
        <v/>
      </c>
      <c r="AE165" s="2" t="str">
        <f>IF(Source!$C165&gt;=COLUMNS($A165:AE165), Source!$E165, "")</f>
        <v/>
      </c>
      <c r="AF165" s="2" t="str">
        <f>IF(Source!$C165&gt;=COLUMNS($A165:AF165), Source!$E165, "")</f>
        <v/>
      </c>
      <c r="AG165" s="2" t="str">
        <f>IF(Source!$C165&gt;=COLUMNS($A165:AG165), Source!$E165, "")</f>
        <v/>
      </c>
      <c r="AH165" s="2" t="str">
        <f>IF(Source!$C165&gt;=COLUMNS($A165:AH165), Source!$E165, "")</f>
        <v/>
      </c>
      <c r="AI165" s="2" t="str">
        <f>IF(Source!$C165&gt;=COLUMNS($A165:AI165), Source!$E165, "")</f>
        <v/>
      </c>
      <c r="AJ165" s="2" t="str">
        <f>IF(Source!$C165&gt;=COLUMNS($A165:AJ165), Source!$E165, "")</f>
        <v/>
      </c>
      <c r="AK165" s="2" t="str">
        <f>IF(Source!$C165&gt;=COLUMNS($A165:AK165), Source!$E165, "")</f>
        <v/>
      </c>
      <c r="AL165" s="2" t="str">
        <f>IF(Source!$C165&gt;=COLUMNS($A165:AL165), Source!$E165, "")</f>
        <v/>
      </c>
      <c r="AM165" s="2" t="str">
        <f>IF(Source!$C165&gt;=COLUMNS($A165:AM165), Source!$E165, "")</f>
        <v/>
      </c>
      <c r="AN165" s="2" t="str">
        <f>IF(Source!$C165&gt;=COLUMNS($A165:AN165), Source!$E165, "")</f>
        <v/>
      </c>
      <c r="AO165" s="2" t="str">
        <f>IF(Source!$C165&gt;=COLUMNS($A165:AO165), Source!$E165, "")</f>
        <v/>
      </c>
      <c r="AP165" s="2" t="str">
        <f>IF(Source!$C165&gt;=COLUMNS($A165:AP165), Source!$E165, "")</f>
        <v/>
      </c>
      <c r="AQ165" s="2" t="str">
        <f>IF(Source!$C165&gt;=COLUMNS($A165:AQ165), Source!$E165, "")</f>
        <v/>
      </c>
      <c r="AR165" s="2" t="str">
        <f>IF(Source!$C165&gt;=COLUMNS($A165:AR165), Source!$E165, "")</f>
        <v/>
      </c>
    </row>
    <row r="166">
      <c r="A166" s="2">
        <f>IF(Source!$C166&gt;=COLUMNS($A166:A166), Source!$E166, "")</f>
        <v>9</v>
      </c>
      <c r="B166" s="2" t="str">
        <f>IF(Source!$C166&gt;=COLUMNS($A166:B166), Source!$E166, "")</f>
        <v/>
      </c>
      <c r="C166" s="2" t="str">
        <f>IF(Source!$C166&gt;=COLUMNS($A166:C166), Source!$E166, "")</f>
        <v/>
      </c>
      <c r="D166" s="2" t="str">
        <f>IF(Source!$C166&gt;=COLUMNS($A166:D166), Source!$E166, "")</f>
        <v/>
      </c>
      <c r="E166" s="2" t="str">
        <f>IF(Source!$C166&gt;=COLUMNS($A166:E166), Source!$E166, "")</f>
        <v/>
      </c>
      <c r="F166" s="2" t="str">
        <f>IF(Source!$C166&gt;=COLUMNS($A166:F166), Source!$E166, "")</f>
        <v/>
      </c>
      <c r="G166" s="2" t="str">
        <f>IF(Source!$C166&gt;=COLUMNS($A166:G166), Source!$E166, "")</f>
        <v/>
      </c>
      <c r="H166" s="2" t="str">
        <f>IF(Source!$C166&gt;=COLUMNS($A166:H166), Source!$E166, "")</f>
        <v/>
      </c>
      <c r="I166" s="2" t="str">
        <f>IF(Source!$C166&gt;=COLUMNS($A166:I166), Source!$E166, "")</f>
        <v/>
      </c>
      <c r="J166" s="2" t="str">
        <f>IF(Source!$C166&gt;=COLUMNS($A166:J166), Source!$E166, "")</f>
        <v/>
      </c>
      <c r="K166" s="2" t="str">
        <f>IF(Source!$C166&gt;=COLUMNS($A166:K166), Source!$E166, "")</f>
        <v/>
      </c>
      <c r="L166" s="2" t="str">
        <f>IF(Source!$C166&gt;=COLUMNS($A166:L166), Source!$E166, "")</f>
        <v/>
      </c>
      <c r="M166" s="2" t="str">
        <f>IF(Source!$C166&gt;=COLUMNS($A166:M166), Source!$E166, "")</f>
        <v/>
      </c>
      <c r="N166" s="2" t="str">
        <f>IF(Source!$C166&gt;=COLUMNS($A166:N166), Source!$E166, "")</f>
        <v/>
      </c>
      <c r="O166" s="2" t="str">
        <f>IF(Source!$C166&gt;=COLUMNS($A166:O166), Source!$E166, "")</f>
        <v/>
      </c>
      <c r="P166" s="2" t="str">
        <f>IF(Source!$C166&gt;=COLUMNS($A166:P166), Source!$E166, "")</f>
        <v/>
      </c>
      <c r="Q166" s="2" t="str">
        <f>IF(Source!$C166&gt;=COLUMNS($A166:Q166), Source!$E166, "")</f>
        <v/>
      </c>
      <c r="R166" s="2" t="str">
        <f>IF(Source!$C166&gt;=COLUMNS($A166:R166), Source!$E166, "")</f>
        <v/>
      </c>
      <c r="S166" s="2" t="str">
        <f>IF(Source!$C166&gt;=COLUMNS($A166:S166), Source!$E166, "")</f>
        <v/>
      </c>
      <c r="T166" s="2" t="str">
        <f>IF(Source!$C166&gt;=COLUMNS($A166:T166), Source!$E166, "")</f>
        <v/>
      </c>
      <c r="U166" s="2" t="str">
        <f>IF(Source!$C166&gt;=COLUMNS($A166:U166), Source!$E166, "")</f>
        <v/>
      </c>
      <c r="V166" s="2" t="str">
        <f>IF(Source!$C166&gt;=COLUMNS($A166:V166), Source!$E166, "")</f>
        <v/>
      </c>
      <c r="W166" s="2" t="str">
        <f>IF(Source!$C166&gt;=COLUMNS($A166:W166), Source!$E166, "")</f>
        <v/>
      </c>
      <c r="X166" s="2" t="str">
        <f>IF(Source!$C166&gt;=COLUMNS($A166:X166), Source!$E166, "")</f>
        <v/>
      </c>
      <c r="Y166" s="2" t="str">
        <f>IF(Source!$C166&gt;=COLUMNS($A166:Y166), Source!$E166, "")</f>
        <v/>
      </c>
      <c r="Z166" s="2" t="str">
        <f>IF(Source!$C166&gt;=COLUMNS($A166:Z166), Source!$E166, "")</f>
        <v/>
      </c>
      <c r="AA166" s="2" t="str">
        <f>IF(Source!$C166&gt;=COLUMNS($A166:AA166), Source!$E166, "")</f>
        <v/>
      </c>
      <c r="AB166" s="2" t="str">
        <f>IF(Source!$C166&gt;=COLUMNS($A166:AB166), Source!$E166, "")</f>
        <v/>
      </c>
      <c r="AC166" s="2" t="str">
        <f>IF(Source!$C166&gt;=COLUMNS($A166:AC166), Source!$E166, "")</f>
        <v/>
      </c>
      <c r="AD166" s="2" t="str">
        <f>IF(Source!$C166&gt;=COLUMNS($A166:AD166), Source!$E166, "")</f>
        <v/>
      </c>
      <c r="AE166" s="2" t="str">
        <f>IF(Source!$C166&gt;=COLUMNS($A166:AE166), Source!$E166, "")</f>
        <v/>
      </c>
      <c r="AF166" s="2" t="str">
        <f>IF(Source!$C166&gt;=COLUMNS($A166:AF166), Source!$E166, "")</f>
        <v/>
      </c>
      <c r="AG166" s="2" t="str">
        <f>IF(Source!$C166&gt;=COLUMNS($A166:AG166), Source!$E166, "")</f>
        <v/>
      </c>
      <c r="AH166" s="2" t="str">
        <f>IF(Source!$C166&gt;=COLUMNS($A166:AH166), Source!$E166, "")</f>
        <v/>
      </c>
      <c r="AI166" s="2" t="str">
        <f>IF(Source!$C166&gt;=COLUMNS($A166:AI166), Source!$E166, "")</f>
        <v/>
      </c>
      <c r="AJ166" s="2" t="str">
        <f>IF(Source!$C166&gt;=COLUMNS($A166:AJ166), Source!$E166, "")</f>
        <v/>
      </c>
      <c r="AK166" s="2" t="str">
        <f>IF(Source!$C166&gt;=COLUMNS($A166:AK166), Source!$E166, "")</f>
        <v/>
      </c>
      <c r="AL166" s="2" t="str">
        <f>IF(Source!$C166&gt;=COLUMNS($A166:AL166), Source!$E166, "")</f>
        <v/>
      </c>
      <c r="AM166" s="2" t="str">
        <f>IF(Source!$C166&gt;=COLUMNS($A166:AM166), Source!$E166, "")</f>
        <v/>
      </c>
      <c r="AN166" s="2" t="str">
        <f>IF(Source!$C166&gt;=COLUMNS($A166:AN166), Source!$E166, "")</f>
        <v/>
      </c>
      <c r="AO166" s="2" t="str">
        <f>IF(Source!$C166&gt;=COLUMNS($A166:AO166), Source!$E166, "")</f>
        <v/>
      </c>
      <c r="AP166" s="2" t="str">
        <f>IF(Source!$C166&gt;=COLUMNS($A166:AP166), Source!$E166, "")</f>
        <v/>
      </c>
      <c r="AQ166" s="2" t="str">
        <f>IF(Source!$C166&gt;=COLUMNS($A166:AQ166), Source!$E166, "")</f>
        <v/>
      </c>
      <c r="AR166" s="2" t="str">
        <f>IF(Source!$C166&gt;=COLUMNS($A166:AR166), Source!$E166, "")</f>
        <v/>
      </c>
    </row>
    <row r="167">
      <c r="A167" s="2">
        <f>IF(Source!$C167&gt;=COLUMNS($A167:A167), Source!$E167, "")</f>
        <v>6</v>
      </c>
      <c r="B167" s="2" t="str">
        <f>IF(Source!$C167&gt;=COLUMNS($A167:B167), Source!$E167, "")</f>
        <v/>
      </c>
      <c r="C167" s="2" t="str">
        <f>IF(Source!$C167&gt;=COLUMNS($A167:C167), Source!$E167, "")</f>
        <v/>
      </c>
      <c r="D167" s="2" t="str">
        <f>IF(Source!$C167&gt;=COLUMNS($A167:D167), Source!$E167, "")</f>
        <v/>
      </c>
      <c r="E167" s="2" t="str">
        <f>IF(Source!$C167&gt;=COLUMNS($A167:E167), Source!$E167, "")</f>
        <v/>
      </c>
      <c r="F167" s="2" t="str">
        <f>IF(Source!$C167&gt;=COLUMNS($A167:F167), Source!$E167, "")</f>
        <v/>
      </c>
      <c r="G167" s="2" t="str">
        <f>IF(Source!$C167&gt;=COLUMNS($A167:G167), Source!$E167, "")</f>
        <v/>
      </c>
      <c r="H167" s="2" t="str">
        <f>IF(Source!$C167&gt;=COLUMNS($A167:H167), Source!$E167, "")</f>
        <v/>
      </c>
      <c r="I167" s="2" t="str">
        <f>IF(Source!$C167&gt;=COLUMNS($A167:I167), Source!$E167, "")</f>
        <v/>
      </c>
      <c r="J167" s="2" t="str">
        <f>IF(Source!$C167&gt;=COLUMNS($A167:J167), Source!$E167, "")</f>
        <v/>
      </c>
      <c r="K167" s="2" t="str">
        <f>IF(Source!$C167&gt;=COLUMNS($A167:K167), Source!$E167, "")</f>
        <v/>
      </c>
      <c r="L167" s="2" t="str">
        <f>IF(Source!$C167&gt;=COLUMNS($A167:L167), Source!$E167, "")</f>
        <v/>
      </c>
      <c r="M167" s="2" t="str">
        <f>IF(Source!$C167&gt;=COLUMNS($A167:M167), Source!$E167, "")</f>
        <v/>
      </c>
      <c r="N167" s="2" t="str">
        <f>IF(Source!$C167&gt;=COLUMNS($A167:N167), Source!$E167, "")</f>
        <v/>
      </c>
      <c r="O167" s="2" t="str">
        <f>IF(Source!$C167&gt;=COLUMNS($A167:O167), Source!$E167, "")</f>
        <v/>
      </c>
      <c r="P167" s="2" t="str">
        <f>IF(Source!$C167&gt;=COLUMNS($A167:P167), Source!$E167, "")</f>
        <v/>
      </c>
      <c r="Q167" s="2" t="str">
        <f>IF(Source!$C167&gt;=COLUMNS($A167:Q167), Source!$E167, "")</f>
        <v/>
      </c>
      <c r="R167" s="2" t="str">
        <f>IF(Source!$C167&gt;=COLUMNS($A167:R167), Source!$E167, "")</f>
        <v/>
      </c>
      <c r="S167" s="2" t="str">
        <f>IF(Source!$C167&gt;=COLUMNS($A167:S167), Source!$E167, "")</f>
        <v/>
      </c>
      <c r="T167" s="2" t="str">
        <f>IF(Source!$C167&gt;=COLUMNS($A167:T167), Source!$E167, "")</f>
        <v/>
      </c>
      <c r="U167" s="2" t="str">
        <f>IF(Source!$C167&gt;=COLUMNS($A167:U167), Source!$E167, "")</f>
        <v/>
      </c>
      <c r="V167" s="2" t="str">
        <f>IF(Source!$C167&gt;=COLUMNS($A167:V167), Source!$E167, "")</f>
        <v/>
      </c>
      <c r="W167" s="2" t="str">
        <f>IF(Source!$C167&gt;=COLUMNS($A167:W167), Source!$E167, "")</f>
        <v/>
      </c>
      <c r="X167" s="2" t="str">
        <f>IF(Source!$C167&gt;=COLUMNS($A167:X167), Source!$E167, "")</f>
        <v/>
      </c>
      <c r="Y167" s="2" t="str">
        <f>IF(Source!$C167&gt;=COLUMNS($A167:Y167), Source!$E167, "")</f>
        <v/>
      </c>
      <c r="Z167" s="2" t="str">
        <f>IF(Source!$C167&gt;=COLUMNS($A167:Z167), Source!$E167, "")</f>
        <v/>
      </c>
      <c r="AA167" s="2" t="str">
        <f>IF(Source!$C167&gt;=COLUMNS($A167:AA167), Source!$E167, "")</f>
        <v/>
      </c>
      <c r="AB167" s="2" t="str">
        <f>IF(Source!$C167&gt;=COLUMNS($A167:AB167), Source!$E167, "")</f>
        <v/>
      </c>
      <c r="AC167" s="2" t="str">
        <f>IF(Source!$C167&gt;=COLUMNS($A167:AC167), Source!$E167, "")</f>
        <v/>
      </c>
      <c r="AD167" s="2" t="str">
        <f>IF(Source!$C167&gt;=COLUMNS($A167:AD167), Source!$E167, "")</f>
        <v/>
      </c>
      <c r="AE167" s="2" t="str">
        <f>IF(Source!$C167&gt;=COLUMNS($A167:AE167), Source!$E167, "")</f>
        <v/>
      </c>
      <c r="AF167" s="2" t="str">
        <f>IF(Source!$C167&gt;=COLUMNS($A167:AF167), Source!$E167, "")</f>
        <v/>
      </c>
      <c r="AG167" s="2" t="str">
        <f>IF(Source!$C167&gt;=COLUMNS($A167:AG167), Source!$E167, "")</f>
        <v/>
      </c>
      <c r="AH167" s="2" t="str">
        <f>IF(Source!$C167&gt;=COLUMNS($A167:AH167), Source!$E167, "")</f>
        <v/>
      </c>
      <c r="AI167" s="2" t="str">
        <f>IF(Source!$C167&gt;=COLUMNS($A167:AI167), Source!$E167, "")</f>
        <v/>
      </c>
      <c r="AJ167" s="2" t="str">
        <f>IF(Source!$C167&gt;=COLUMNS($A167:AJ167), Source!$E167, "")</f>
        <v/>
      </c>
      <c r="AK167" s="2" t="str">
        <f>IF(Source!$C167&gt;=COLUMNS($A167:AK167), Source!$E167, "")</f>
        <v/>
      </c>
      <c r="AL167" s="2" t="str">
        <f>IF(Source!$C167&gt;=COLUMNS($A167:AL167), Source!$E167, "")</f>
        <v/>
      </c>
      <c r="AM167" s="2" t="str">
        <f>IF(Source!$C167&gt;=COLUMNS($A167:AM167), Source!$E167, "")</f>
        <v/>
      </c>
      <c r="AN167" s="2" t="str">
        <f>IF(Source!$C167&gt;=COLUMNS($A167:AN167), Source!$E167, "")</f>
        <v/>
      </c>
      <c r="AO167" s="2" t="str">
        <f>IF(Source!$C167&gt;=COLUMNS($A167:AO167), Source!$E167, "")</f>
        <v/>
      </c>
      <c r="AP167" s="2" t="str">
        <f>IF(Source!$C167&gt;=COLUMNS($A167:AP167), Source!$E167, "")</f>
        <v/>
      </c>
      <c r="AQ167" s="2" t="str">
        <f>IF(Source!$C167&gt;=COLUMNS($A167:AQ167), Source!$E167, "")</f>
        <v/>
      </c>
      <c r="AR167" s="2" t="str">
        <f>IF(Source!$C167&gt;=COLUMNS($A167:AR167), Source!$E167, "")</f>
        <v/>
      </c>
    </row>
    <row r="168">
      <c r="A168" s="2">
        <f>IF(Source!$C168&gt;=COLUMNS($A168:A168), Source!$E168, "")</f>
        <v>7</v>
      </c>
      <c r="B168" s="2">
        <f>IF(Source!$C168&gt;=COLUMNS($A168:B168), Source!$E168, "")</f>
        <v>7</v>
      </c>
      <c r="C168" s="2">
        <f>IF(Source!$C168&gt;=COLUMNS($A168:C168), Source!$E168, "")</f>
        <v>7</v>
      </c>
      <c r="D168" s="2">
        <f>IF(Source!$C168&gt;=COLUMNS($A168:D168), Source!$E168, "")</f>
        <v>7</v>
      </c>
      <c r="E168" s="2">
        <f>IF(Source!$C168&gt;=COLUMNS($A168:E168), Source!$E168, "")</f>
        <v>7</v>
      </c>
      <c r="F168" s="2">
        <f>IF(Source!$C168&gt;=COLUMNS($A168:F168), Source!$E168, "")</f>
        <v>7</v>
      </c>
      <c r="G168" s="2">
        <f>IF(Source!$C168&gt;=COLUMNS($A168:G168), Source!$E168, "")</f>
        <v>7</v>
      </c>
      <c r="H168" s="2">
        <f>IF(Source!$C168&gt;=COLUMNS($A168:H168), Source!$E168, "")</f>
        <v>7</v>
      </c>
      <c r="I168" s="2">
        <f>IF(Source!$C168&gt;=COLUMNS($A168:I168), Source!$E168, "")</f>
        <v>7</v>
      </c>
      <c r="J168" s="2" t="str">
        <f>IF(Source!$C168&gt;=COLUMNS($A168:J168), Source!$E168, "")</f>
        <v/>
      </c>
      <c r="K168" s="2" t="str">
        <f>IF(Source!$C168&gt;=COLUMNS($A168:K168), Source!$E168, "")</f>
        <v/>
      </c>
      <c r="L168" s="2" t="str">
        <f>IF(Source!$C168&gt;=COLUMNS($A168:L168), Source!$E168, "")</f>
        <v/>
      </c>
      <c r="M168" s="2" t="str">
        <f>IF(Source!$C168&gt;=COLUMNS($A168:M168), Source!$E168, "")</f>
        <v/>
      </c>
      <c r="N168" s="2" t="str">
        <f>IF(Source!$C168&gt;=COLUMNS($A168:N168), Source!$E168, "")</f>
        <v/>
      </c>
      <c r="O168" s="2" t="str">
        <f>IF(Source!$C168&gt;=COLUMNS($A168:O168), Source!$E168, "")</f>
        <v/>
      </c>
      <c r="P168" s="2" t="str">
        <f>IF(Source!$C168&gt;=COLUMNS($A168:P168), Source!$E168, "")</f>
        <v/>
      </c>
      <c r="Q168" s="2" t="str">
        <f>IF(Source!$C168&gt;=COLUMNS($A168:Q168), Source!$E168, "")</f>
        <v/>
      </c>
      <c r="R168" s="2" t="str">
        <f>IF(Source!$C168&gt;=COLUMNS($A168:R168), Source!$E168, "")</f>
        <v/>
      </c>
      <c r="S168" s="2" t="str">
        <f>IF(Source!$C168&gt;=COLUMNS($A168:S168), Source!$E168, "")</f>
        <v/>
      </c>
      <c r="T168" s="2" t="str">
        <f>IF(Source!$C168&gt;=COLUMNS($A168:T168), Source!$E168, "")</f>
        <v/>
      </c>
      <c r="U168" s="2" t="str">
        <f>IF(Source!$C168&gt;=COLUMNS($A168:U168), Source!$E168, "")</f>
        <v/>
      </c>
      <c r="V168" s="2" t="str">
        <f>IF(Source!$C168&gt;=COLUMNS($A168:V168), Source!$E168, "")</f>
        <v/>
      </c>
      <c r="W168" s="2" t="str">
        <f>IF(Source!$C168&gt;=COLUMNS($A168:W168), Source!$E168, "")</f>
        <v/>
      </c>
      <c r="X168" s="2" t="str">
        <f>IF(Source!$C168&gt;=COLUMNS($A168:X168), Source!$E168, "")</f>
        <v/>
      </c>
      <c r="Y168" s="2" t="str">
        <f>IF(Source!$C168&gt;=COLUMNS($A168:Y168), Source!$E168, "")</f>
        <v/>
      </c>
      <c r="Z168" s="2" t="str">
        <f>IF(Source!$C168&gt;=COLUMNS($A168:Z168), Source!$E168, "")</f>
        <v/>
      </c>
      <c r="AA168" s="2" t="str">
        <f>IF(Source!$C168&gt;=COLUMNS($A168:AA168), Source!$E168, "")</f>
        <v/>
      </c>
      <c r="AB168" s="2" t="str">
        <f>IF(Source!$C168&gt;=COLUMNS($A168:AB168), Source!$E168, "")</f>
        <v/>
      </c>
      <c r="AC168" s="2" t="str">
        <f>IF(Source!$C168&gt;=COLUMNS($A168:AC168), Source!$E168, "")</f>
        <v/>
      </c>
      <c r="AD168" s="2" t="str">
        <f>IF(Source!$C168&gt;=COLUMNS($A168:AD168), Source!$E168, "")</f>
        <v/>
      </c>
      <c r="AE168" s="2" t="str">
        <f>IF(Source!$C168&gt;=COLUMNS($A168:AE168), Source!$E168, "")</f>
        <v/>
      </c>
      <c r="AF168" s="2" t="str">
        <f>IF(Source!$C168&gt;=COLUMNS($A168:AF168), Source!$E168, "")</f>
        <v/>
      </c>
      <c r="AG168" s="2" t="str">
        <f>IF(Source!$C168&gt;=COLUMNS($A168:AG168), Source!$E168, "")</f>
        <v/>
      </c>
      <c r="AH168" s="2" t="str">
        <f>IF(Source!$C168&gt;=COLUMNS($A168:AH168), Source!$E168, "")</f>
        <v/>
      </c>
      <c r="AI168" s="2" t="str">
        <f>IF(Source!$C168&gt;=COLUMNS($A168:AI168), Source!$E168, "")</f>
        <v/>
      </c>
      <c r="AJ168" s="2" t="str">
        <f>IF(Source!$C168&gt;=COLUMNS($A168:AJ168), Source!$E168, "")</f>
        <v/>
      </c>
      <c r="AK168" s="2" t="str">
        <f>IF(Source!$C168&gt;=COLUMNS($A168:AK168), Source!$E168, "")</f>
        <v/>
      </c>
      <c r="AL168" s="2" t="str">
        <f>IF(Source!$C168&gt;=COLUMNS($A168:AL168), Source!$E168, "")</f>
        <v/>
      </c>
      <c r="AM168" s="2" t="str">
        <f>IF(Source!$C168&gt;=COLUMNS($A168:AM168), Source!$E168, "")</f>
        <v/>
      </c>
      <c r="AN168" s="2" t="str">
        <f>IF(Source!$C168&gt;=COLUMNS($A168:AN168), Source!$E168, "")</f>
        <v/>
      </c>
      <c r="AO168" s="2" t="str">
        <f>IF(Source!$C168&gt;=COLUMNS($A168:AO168), Source!$E168, "")</f>
        <v/>
      </c>
      <c r="AP168" s="2" t="str">
        <f>IF(Source!$C168&gt;=COLUMNS($A168:AP168), Source!$E168, "")</f>
        <v/>
      </c>
      <c r="AQ168" s="2" t="str">
        <f>IF(Source!$C168&gt;=COLUMNS($A168:AQ168), Source!$E168, "")</f>
        <v/>
      </c>
      <c r="AR168" s="2" t="str">
        <f>IF(Source!$C168&gt;=COLUMNS($A168:AR168), Source!$E168, "")</f>
        <v/>
      </c>
    </row>
    <row r="169">
      <c r="A169" s="2">
        <f>IF(Source!$C169&gt;=COLUMNS($A169:A169), Source!$E169, "")</f>
        <v>8</v>
      </c>
      <c r="B169" s="2" t="str">
        <f>IF(Source!$C169&gt;=COLUMNS($A169:B169), Source!$E169, "")</f>
        <v/>
      </c>
      <c r="C169" s="2" t="str">
        <f>IF(Source!$C169&gt;=COLUMNS($A169:C169), Source!$E169, "")</f>
        <v/>
      </c>
      <c r="D169" s="2" t="str">
        <f>IF(Source!$C169&gt;=COLUMNS($A169:D169), Source!$E169, "")</f>
        <v/>
      </c>
      <c r="E169" s="2" t="str">
        <f>IF(Source!$C169&gt;=COLUMNS($A169:E169), Source!$E169, "")</f>
        <v/>
      </c>
      <c r="F169" s="2" t="str">
        <f>IF(Source!$C169&gt;=COLUMNS($A169:F169), Source!$E169, "")</f>
        <v/>
      </c>
      <c r="G169" s="2" t="str">
        <f>IF(Source!$C169&gt;=COLUMNS($A169:G169), Source!$E169, "")</f>
        <v/>
      </c>
      <c r="H169" s="2" t="str">
        <f>IF(Source!$C169&gt;=COLUMNS($A169:H169), Source!$E169, "")</f>
        <v/>
      </c>
      <c r="I169" s="2" t="str">
        <f>IF(Source!$C169&gt;=COLUMNS($A169:I169), Source!$E169, "")</f>
        <v/>
      </c>
      <c r="J169" s="2" t="str">
        <f>IF(Source!$C169&gt;=COLUMNS($A169:J169), Source!$E169, "")</f>
        <v/>
      </c>
      <c r="K169" s="2" t="str">
        <f>IF(Source!$C169&gt;=COLUMNS($A169:K169), Source!$E169, "")</f>
        <v/>
      </c>
      <c r="L169" s="2" t="str">
        <f>IF(Source!$C169&gt;=COLUMNS($A169:L169), Source!$E169, "")</f>
        <v/>
      </c>
      <c r="M169" s="2" t="str">
        <f>IF(Source!$C169&gt;=COLUMNS($A169:M169), Source!$E169, "")</f>
        <v/>
      </c>
      <c r="N169" s="2" t="str">
        <f>IF(Source!$C169&gt;=COLUMNS($A169:N169), Source!$E169, "")</f>
        <v/>
      </c>
      <c r="O169" s="2" t="str">
        <f>IF(Source!$C169&gt;=COLUMNS($A169:O169), Source!$E169, "")</f>
        <v/>
      </c>
      <c r="P169" s="2" t="str">
        <f>IF(Source!$C169&gt;=COLUMNS($A169:P169), Source!$E169, "")</f>
        <v/>
      </c>
      <c r="Q169" s="2" t="str">
        <f>IF(Source!$C169&gt;=COLUMNS($A169:Q169), Source!$E169, "")</f>
        <v/>
      </c>
      <c r="R169" s="2" t="str">
        <f>IF(Source!$C169&gt;=COLUMNS($A169:R169), Source!$E169, "")</f>
        <v/>
      </c>
      <c r="S169" s="2" t="str">
        <f>IF(Source!$C169&gt;=COLUMNS($A169:S169), Source!$E169, "")</f>
        <v/>
      </c>
      <c r="T169" s="2" t="str">
        <f>IF(Source!$C169&gt;=COLUMNS($A169:T169), Source!$E169, "")</f>
        <v/>
      </c>
      <c r="U169" s="2" t="str">
        <f>IF(Source!$C169&gt;=COLUMNS($A169:U169), Source!$E169, "")</f>
        <v/>
      </c>
      <c r="V169" s="2" t="str">
        <f>IF(Source!$C169&gt;=COLUMNS($A169:V169), Source!$E169, "")</f>
        <v/>
      </c>
      <c r="W169" s="2" t="str">
        <f>IF(Source!$C169&gt;=COLUMNS($A169:W169), Source!$E169, "")</f>
        <v/>
      </c>
      <c r="X169" s="2" t="str">
        <f>IF(Source!$C169&gt;=COLUMNS($A169:X169), Source!$E169, "")</f>
        <v/>
      </c>
      <c r="Y169" s="2" t="str">
        <f>IF(Source!$C169&gt;=COLUMNS($A169:Y169), Source!$E169, "")</f>
        <v/>
      </c>
      <c r="Z169" s="2" t="str">
        <f>IF(Source!$C169&gt;=COLUMNS($A169:Z169), Source!$E169, "")</f>
        <v/>
      </c>
      <c r="AA169" s="2" t="str">
        <f>IF(Source!$C169&gt;=COLUMNS($A169:AA169), Source!$E169, "")</f>
        <v/>
      </c>
      <c r="AB169" s="2" t="str">
        <f>IF(Source!$C169&gt;=COLUMNS($A169:AB169), Source!$E169, "")</f>
        <v/>
      </c>
      <c r="AC169" s="2" t="str">
        <f>IF(Source!$C169&gt;=COLUMNS($A169:AC169), Source!$E169, "")</f>
        <v/>
      </c>
      <c r="AD169" s="2" t="str">
        <f>IF(Source!$C169&gt;=COLUMNS($A169:AD169), Source!$E169, "")</f>
        <v/>
      </c>
      <c r="AE169" s="2" t="str">
        <f>IF(Source!$C169&gt;=COLUMNS($A169:AE169), Source!$E169, "")</f>
        <v/>
      </c>
      <c r="AF169" s="2" t="str">
        <f>IF(Source!$C169&gt;=COLUMNS($A169:AF169), Source!$E169, "")</f>
        <v/>
      </c>
      <c r="AG169" s="2" t="str">
        <f>IF(Source!$C169&gt;=COLUMNS($A169:AG169), Source!$E169, "")</f>
        <v/>
      </c>
      <c r="AH169" s="2" t="str">
        <f>IF(Source!$C169&gt;=COLUMNS($A169:AH169), Source!$E169, "")</f>
        <v/>
      </c>
      <c r="AI169" s="2" t="str">
        <f>IF(Source!$C169&gt;=COLUMNS($A169:AI169), Source!$E169, "")</f>
        <v/>
      </c>
      <c r="AJ169" s="2" t="str">
        <f>IF(Source!$C169&gt;=COLUMNS($A169:AJ169), Source!$E169, "")</f>
        <v/>
      </c>
      <c r="AK169" s="2" t="str">
        <f>IF(Source!$C169&gt;=COLUMNS($A169:AK169), Source!$E169, "")</f>
        <v/>
      </c>
      <c r="AL169" s="2" t="str">
        <f>IF(Source!$C169&gt;=COLUMNS($A169:AL169), Source!$E169, "")</f>
        <v/>
      </c>
      <c r="AM169" s="2" t="str">
        <f>IF(Source!$C169&gt;=COLUMNS($A169:AM169), Source!$E169, "")</f>
        <v/>
      </c>
      <c r="AN169" s="2" t="str">
        <f>IF(Source!$C169&gt;=COLUMNS($A169:AN169), Source!$E169, "")</f>
        <v/>
      </c>
      <c r="AO169" s="2" t="str">
        <f>IF(Source!$C169&gt;=COLUMNS($A169:AO169), Source!$E169, "")</f>
        <v/>
      </c>
      <c r="AP169" s="2" t="str">
        <f>IF(Source!$C169&gt;=COLUMNS($A169:AP169), Source!$E169, "")</f>
        <v/>
      </c>
      <c r="AQ169" s="2" t="str">
        <f>IF(Source!$C169&gt;=COLUMNS($A169:AQ169), Source!$E169, "")</f>
        <v/>
      </c>
      <c r="AR169" s="2" t="str">
        <f>IF(Source!$C169&gt;=COLUMNS($A169:AR169), Source!$E169, "")</f>
        <v/>
      </c>
    </row>
    <row r="170">
      <c r="A170" s="2">
        <f>IF(Source!$C170&gt;=COLUMNS($A170:A170), Source!$E170, "")</f>
        <v>9</v>
      </c>
      <c r="B170" s="2">
        <f>IF(Source!$C170&gt;=COLUMNS($A170:B170), Source!$E170, "")</f>
        <v>9</v>
      </c>
      <c r="C170" s="2">
        <f>IF(Source!$C170&gt;=COLUMNS($A170:C170), Source!$E170, "")</f>
        <v>9</v>
      </c>
      <c r="D170" s="2">
        <f>IF(Source!$C170&gt;=COLUMNS($A170:D170), Source!$E170, "")</f>
        <v>9</v>
      </c>
      <c r="E170" s="2">
        <f>IF(Source!$C170&gt;=COLUMNS($A170:E170), Source!$E170, "")</f>
        <v>9</v>
      </c>
      <c r="F170" s="2">
        <f>IF(Source!$C170&gt;=COLUMNS($A170:F170), Source!$E170, "")</f>
        <v>9</v>
      </c>
      <c r="G170" s="2">
        <f>IF(Source!$C170&gt;=COLUMNS($A170:G170), Source!$E170, "")</f>
        <v>9</v>
      </c>
      <c r="H170" s="2">
        <f>IF(Source!$C170&gt;=COLUMNS($A170:H170), Source!$E170, "")</f>
        <v>9</v>
      </c>
      <c r="I170" s="2">
        <f>IF(Source!$C170&gt;=COLUMNS($A170:I170), Source!$E170, "")</f>
        <v>9</v>
      </c>
      <c r="J170" s="2" t="str">
        <f>IF(Source!$C170&gt;=COLUMNS($A170:J170), Source!$E170, "")</f>
        <v/>
      </c>
      <c r="K170" s="2" t="str">
        <f>IF(Source!$C170&gt;=COLUMNS($A170:K170), Source!$E170, "")</f>
        <v/>
      </c>
      <c r="L170" s="2" t="str">
        <f>IF(Source!$C170&gt;=COLUMNS($A170:L170), Source!$E170, "")</f>
        <v/>
      </c>
      <c r="M170" s="2" t="str">
        <f>IF(Source!$C170&gt;=COLUMNS($A170:M170), Source!$E170, "")</f>
        <v/>
      </c>
      <c r="N170" s="2" t="str">
        <f>IF(Source!$C170&gt;=COLUMNS($A170:N170), Source!$E170, "")</f>
        <v/>
      </c>
      <c r="O170" s="2" t="str">
        <f>IF(Source!$C170&gt;=COLUMNS($A170:O170), Source!$E170, "")</f>
        <v/>
      </c>
      <c r="P170" s="2" t="str">
        <f>IF(Source!$C170&gt;=COLUMNS($A170:P170), Source!$E170, "")</f>
        <v/>
      </c>
      <c r="Q170" s="2" t="str">
        <f>IF(Source!$C170&gt;=COLUMNS($A170:Q170), Source!$E170, "")</f>
        <v/>
      </c>
      <c r="R170" s="2" t="str">
        <f>IF(Source!$C170&gt;=COLUMNS($A170:R170), Source!$E170, "")</f>
        <v/>
      </c>
      <c r="S170" s="2" t="str">
        <f>IF(Source!$C170&gt;=COLUMNS($A170:S170), Source!$E170, "")</f>
        <v/>
      </c>
      <c r="T170" s="2" t="str">
        <f>IF(Source!$C170&gt;=COLUMNS($A170:T170), Source!$E170, "")</f>
        <v/>
      </c>
      <c r="U170" s="2" t="str">
        <f>IF(Source!$C170&gt;=COLUMNS($A170:U170), Source!$E170, "")</f>
        <v/>
      </c>
      <c r="V170" s="2" t="str">
        <f>IF(Source!$C170&gt;=COLUMNS($A170:V170), Source!$E170, "")</f>
        <v/>
      </c>
      <c r="W170" s="2" t="str">
        <f>IF(Source!$C170&gt;=COLUMNS($A170:W170), Source!$E170, "")</f>
        <v/>
      </c>
      <c r="X170" s="2" t="str">
        <f>IF(Source!$C170&gt;=COLUMNS($A170:X170), Source!$E170, "")</f>
        <v/>
      </c>
      <c r="Y170" s="2" t="str">
        <f>IF(Source!$C170&gt;=COLUMNS($A170:Y170), Source!$E170, "")</f>
        <v/>
      </c>
      <c r="Z170" s="2" t="str">
        <f>IF(Source!$C170&gt;=COLUMNS($A170:Z170), Source!$E170, "")</f>
        <v/>
      </c>
      <c r="AA170" s="2" t="str">
        <f>IF(Source!$C170&gt;=COLUMNS($A170:AA170), Source!$E170, "")</f>
        <v/>
      </c>
      <c r="AB170" s="2" t="str">
        <f>IF(Source!$C170&gt;=COLUMNS($A170:AB170), Source!$E170, "")</f>
        <v/>
      </c>
      <c r="AC170" s="2" t="str">
        <f>IF(Source!$C170&gt;=COLUMNS($A170:AC170), Source!$E170, "")</f>
        <v/>
      </c>
      <c r="AD170" s="2" t="str">
        <f>IF(Source!$C170&gt;=COLUMNS($A170:AD170), Source!$E170, "")</f>
        <v/>
      </c>
      <c r="AE170" s="2" t="str">
        <f>IF(Source!$C170&gt;=COLUMNS($A170:AE170), Source!$E170, "")</f>
        <v/>
      </c>
      <c r="AF170" s="2" t="str">
        <f>IF(Source!$C170&gt;=COLUMNS($A170:AF170), Source!$E170, "")</f>
        <v/>
      </c>
      <c r="AG170" s="2" t="str">
        <f>IF(Source!$C170&gt;=COLUMNS($A170:AG170), Source!$E170, "")</f>
        <v/>
      </c>
      <c r="AH170" s="2" t="str">
        <f>IF(Source!$C170&gt;=COLUMNS($A170:AH170), Source!$E170, "")</f>
        <v/>
      </c>
      <c r="AI170" s="2" t="str">
        <f>IF(Source!$C170&gt;=COLUMNS($A170:AI170), Source!$E170, "")</f>
        <v/>
      </c>
      <c r="AJ170" s="2" t="str">
        <f>IF(Source!$C170&gt;=COLUMNS($A170:AJ170), Source!$E170, "")</f>
        <v/>
      </c>
      <c r="AK170" s="2" t="str">
        <f>IF(Source!$C170&gt;=COLUMNS($A170:AK170), Source!$E170, "")</f>
        <v/>
      </c>
      <c r="AL170" s="2" t="str">
        <f>IF(Source!$C170&gt;=COLUMNS($A170:AL170), Source!$E170, "")</f>
        <v/>
      </c>
      <c r="AM170" s="2" t="str">
        <f>IF(Source!$C170&gt;=COLUMNS($A170:AM170), Source!$E170, "")</f>
        <v/>
      </c>
      <c r="AN170" s="2" t="str">
        <f>IF(Source!$C170&gt;=COLUMNS($A170:AN170), Source!$E170, "")</f>
        <v/>
      </c>
      <c r="AO170" s="2" t="str">
        <f>IF(Source!$C170&gt;=COLUMNS($A170:AO170), Source!$E170, "")</f>
        <v/>
      </c>
      <c r="AP170" s="2" t="str">
        <f>IF(Source!$C170&gt;=COLUMNS($A170:AP170), Source!$E170, "")</f>
        <v/>
      </c>
      <c r="AQ170" s="2" t="str">
        <f>IF(Source!$C170&gt;=COLUMNS($A170:AQ170), Source!$E170, "")</f>
        <v/>
      </c>
      <c r="AR170" s="2" t="str">
        <f>IF(Source!$C170&gt;=COLUMNS($A170:AR170), Source!$E170, "")</f>
        <v/>
      </c>
    </row>
    <row r="171">
      <c r="A171" s="2">
        <f>IF(Source!$C171&gt;=COLUMNS($A171:A171), Source!$E171, "")</f>
        <v>7</v>
      </c>
      <c r="B171" s="2">
        <f>IF(Source!$C171&gt;=COLUMNS($A171:B171), Source!$E171, "")</f>
        <v>7</v>
      </c>
      <c r="C171" s="2">
        <f>IF(Source!$C171&gt;=COLUMNS($A171:C171), Source!$E171, "")</f>
        <v>7</v>
      </c>
      <c r="D171" s="2">
        <f>IF(Source!$C171&gt;=COLUMNS($A171:D171), Source!$E171, "")</f>
        <v>7</v>
      </c>
      <c r="E171" s="2">
        <f>IF(Source!$C171&gt;=COLUMNS($A171:E171), Source!$E171, "")</f>
        <v>7</v>
      </c>
      <c r="F171" s="2">
        <f>IF(Source!$C171&gt;=COLUMNS($A171:F171), Source!$E171, "")</f>
        <v>7</v>
      </c>
      <c r="G171" s="2" t="str">
        <f>IF(Source!$C171&gt;=COLUMNS($A171:G171), Source!$E171, "")</f>
        <v/>
      </c>
      <c r="H171" s="2" t="str">
        <f>IF(Source!$C171&gt;=COLUMNS($A171:H171), Source!$E171, "")</f>
        <v/>
      </c>
      <c r="I171" s="2" t="str">
        <f>IF(Source!$C171&gt;=COLUMNS($A171:I171), Source!$E171, "")</f>
        <v/>
      </c>
      <c r="J171" s="2" t="str">
        <f>IF(Source!$C171&gt;=COLUMNS($A171:J171), Source!$E171, "")</f>
        <v/>
      </c>
      <c r="K171" s="2" t="str">
        <f>IF(Source!$C171&gt;=COLUMNS($A171:K171), Source!$E171, "")</f>
        <v/>
      </c>
      <c r="L171" s="2" t="str">
        <f>IF(Source!$C171&gt;=COLUMNS($A171:L171), Source!$E171, "")</f>
        <v/>
      </c>
      <c r="M171" s="2" t="str">
        <f>IF(Source!$C171&gt;=COLUMNS($A171:M171), Source!$E171, "")</f>
        <v/>
      </c>
      <c r="N171" s="2" t="str">
        <f>IF(Source!$C171&gt;=COLUMNS($A171:N171), Source!$E171, "")</f>
        <v/>
      </c>
      <c r="O171" s="2" t="str">
        <f>IF(Source!$C171&gt;=COLUMNS($A171:O171), Source!$E171, "")</f>
        <v/>
      </c>
      <c r="P171" s="2" t="str">
        <f>IF(Source!$C171&gt;=COLUMNS($A171:P171), Source!$E171, "")</f>
        <v/>
      </c>
      <c r="Q171" s="2" t="str">
        <f>IF(Source!$C171&gt;=COLUMNS($A171:Q171), Source!$E171, "")</f>
        <v/>
      </c>
      <c r="R171" s="2" t="str">
        <f>IF(Source!$C171&gt;=COLUMNS($A171:R171), Source!$E171, "")</f>
        <v/>
      </c>
      <c r="S171" s="2" t="str">
        <f>IF(Source!$C171&gt;=COLUMNS($A171:S171), Source!$E171, "")</f>
        <v/>
      </c>
      <c r="T171" s="2" t="str">
        <f>IF(Source!$C171&gt;=COLUMNS($A171:T171), Source!$E171, "")</f>
        <v/>
      </c>
      <c r="U171" s="2" t="str">
        <f>IF(Source!$C171&gt;=COLUMNS($A171:U171), Source!$E171, "")</f>
        <v/>
      </c>
      <c r="V171" s="2" t="str">
        <f>IF(Source!$C171&gt;=COLUMNS($A171:V171), Source!$E171, "")</f>
        <v/>
      </c>
      <c r="W171" s="2" t="str">
        <f>IF(Source!$C171&gt;=COLUMNS($A171:W171), Source!$E171, "")</f>
        <v/>
      </c>
      <c r="X171" s="2" t="str">
        <f>IF(Source!$C171&gt;=COLUMNS($A171:X171), Source!$E171, "")</f>
        <v/>
      </c>
      <c r="Y171" s="2" t="str">
        <f>IF(Source!$C171&gt;=COLUMNS($A171:Y171), Source!$E171, "")</f>
        <v/>
      </c>
      <c r="Z171" s="2" t="str">
        <f>IF(Source!$C171&gt;=COLUMNS($A171:Z171), Source!$E171, "")</f>
        <v/>
      </c>
      <c r="AA171" s="2" t="str">
        <f>IF(Source!$C171&gt;=COLUMNS($A171:AA171), Source!$E171, "")</f>
        <v/>
      </c>
      <c r="AB171" s="2" t="str">
        <f>IF(Source!$C171&gt;=COLUMNS($A171:AB171), Source!$E171, "")</f>
        <v/>
      </c>
      <c r="AC171" s="2" t="str">
        <f>IF(Source!$C171&gt;=COLUMNS($A171:AC171), Source!$E171, "")</f>
        <v/>
      </c>
      <c r="AD171" s="2" t="str">
        <f>IF(Source!$C171&gt;=COLUMNS($A171:AD171), Source!$E171, "")</f>
        <v/>
      </c>
      <c r="AE171" s="2" t="str">
        <f>IF(Source!$C171&gt;=COLUMNS($A171:AE171), Source!$E171, "")</f>
        <v/>
      </c>
      <c r="AF171" s="2" t="str">
        <f>IF(Source!$C171&gt;=COLUMNS($A171:AF171), Source!$E171, "")</f>
        <v/>
      </c>
      <c r="AG171" s="2" t="str">
        <f>IF(Source!$C171&gt;=COLUMNS($A171:AG171), Source!$E171, "")</f>
        <v/>
      </c>
      <c r="AH171" s="2" t="str">
        <f>IF(Source!$C171&gt;=COLUMNS($A171:AH171), Source!$E171, "")</f>
        <v/>
      </c>
      <c r="AI171" s="2" t="str">
        <f>IF(Source!$C171&gt;=COLUMNS($A171:AI171), Source!$E171, "")</f>
        <v/>
      </c>
      <c r="AJ171" s="2" t="str">
        <f>IF(Source!$C171&gt;=COLUMNS($A171:AJ171), Source!$E171, "")</f>
        <v/>
      </c>
      <c r="AK171" s="2" t="str">
        <f>IF(Source!$C171&gt;=COLUMNS($A171:AK171), Source!$E171, "")</f>
        <v/>
      </c>
      <c r="AL171" s="2" t="str">
        <f>IF(Source!$C171&gt;=COLUMNS($A171:AL171), Source!$E171, "")</f>
        <v/>
      </c>
      <c r="AM171" s="2" t="str">
        <f>IF(Source!$C171&gt;=COLUMNS($A171:AM171), Source!$E171, "")</f>
        <v/>
      </c>
      <c r="AN171" s="2" t="str">
        <f>IF(Source!$C171&gt;=COLUMNS($A171:AN171), Source!$E171, "")</f>
        <v/>
      </c>
      <c r="AO171" s="2" t="str">
        <f>IF(Source!$C171&gt;=COLUMNS($A171:AO171), Source!$E171, "")</f>
        <v/>
      </c>
      <c r="AP171" s="2" t="str">
        <f>IF(Source!$C171&gt;=COLUMNS($A171:AP171), Source!$E171, "")</f>
        <v/>
      </c>
      <c r="AQ171" s="2" t="str">
        <f>IF(Source!$C171&gt;=COLUMNS($A171:AQ171), Source!$E171, "")</f>
        <v/>
      </c>
      <c r="AR171" s="2" t="str">
        <f>IF(Source!$C171&gt;=COLUMNS($A171:AR171), Source!$E171, "")</f>
        <v/>
      </c>
    </row>
    <row r="172">
      <c r="A172" s="2">
        <f>IF(Source!$C172&gt;=COLUMNS($A172:A172), Source!$E172, "")</f>
        <v>4</v>
      </c>
      <c r="B172" s="2">
        <f>IF(Source!$C172&gt;=COLUMNS($A172:B172), Source!$E172, "")</f>
        <v>4</v>
      </c>
      <c r="C172" s="2">
        <f>IF(Source!$C172&gt;=COLUMNS($A172:C172), Source!$E172, "")</f>
        <v>4</v>
      </c>
      <c r="D172" s="2">
        <f>IF(Source!$C172&gt;=COLUMNS($A172:D172), Source!$E172, "")</f>
        <v>4</v>
      </c>
      <c r="E172" s="2" t="str">
        <f>IF(Source!$C172&gt;=COLUMNS($A172:E172), Source!$E172, "")</f>
        <v/>
      </c>
      <c r="F172" s="2" t="str">
        <f>IF(Source!$C172&gt;=COLUMNS($A172:F172), Source!$E172, "")</f>
        <v/>
      </c>
      <c r="G172" s="2" t="str">
        <f>IF(Source!$C172&gt;=COLUMNS($A172:G172), Source!$E172, "")</f>
        <v/>
      </c>
      <c r="H172" s="2" t="str">
        <f>IF(Source!$C172&gt;=COLUMNS($A172:H172), Source!$E172, "")</f>
        <v/>
      </c>
      <c r="I172" s="2" t="str">
        <f>IF(Source!$C172&gt;=COLUMNS($A172:I172), Source!$E172, "")</f>
        <v/>
      </c>
      <c r="J172" s="2" t="str">
        <f>IF(Source!$C172&gt;=COLUMNS($A172:J172), Source!$E172, "")</f>
        <v/>
      </c>
      <c r="K172" s="2" t="str">
        <f>IF(Source!$C172&gt;=COLUMNS($A172:K172), Source!$E172, "")</f>
        <v/>
      </c>
      <c r="L172" s="2" t="str">
        <f>IF(Source!$C172&gt;=COLUMNS($A172:L172), Source!$E172, "")</f>
        <v/>
      </c>
      <c r="M172" s="2" t="str">
        <f>IF(Source!$C172&gt;=COLUMNS($A172:M172), Source!$E172, "")</f>
        <v/>
      </c>
      <c r="N172" s="2" t="str">
        <f>IF(Source!$C172&gt;=COLUMNS($A172:N172), Source!$E172, "")</f>
        <v/>
      </c>
      <c r="O172" s="2" t="str">
        <f>IF(Source!$C172&gt;=COLUMNS($A172:O172), Source!$E172, "")</f>
        <v/>
      </c>
      <c r="P172" s="2" t="str">
        <f>IF(Source!$C172&gt;=COLUMNS($A172:P172), Source!$E172, "")</f>
        <v/>
      </c>
      <c r="Q172" s="2" t="str">
        <f>IF(Source!$C172&gt;=COLUMNS($A172:Q172), Source!$E172, "")</f>
        <v/>
      </c>
      <c r="R172" s="2" t="str">
        <f>IF(Source!$C172&gt;=COLUMNS($A172:R172), Source!$E172, "")</f>
        <v/>
      </c>
      <c r="S172" s="2" t="str">
        <f>IF(Source!$C172&gt;=COLUMNS($A172:S172), Source!$E172, "")</f>
        <v/>
      </c>
      <c r="T172" s="2" t="str">
        <f>IF(Source!$C172&gt;=COLUMNS($A172:T172), Source!$E172, "")</f>
        <v/>
      </c>
      <c r="U172" s="2" t="str">
        <f>IF(Source!$C172&gt;=COLUMNS($A172:U172), Source!$E172, "")</f>
        <v/>
      </c>
      <c r="V172" s="2" t="str">
        <f>IF(Source!$C172&gt;=COLUMNS($A172:V172), Source!$E172, "")</f>
        <v/>
      </c>
      <c r="W172" s="2" t="str">
        <f>IF(Source!$C172&gt;=COLUMNS($A172:W172), Source!$E172, "")</f>
        <v/>
      </c>
      <c r="X172" s="2" t="str">
        <f>IF(Source!$C172&gt;=COLUMNS($A172:X172), Source!$E172, "")</f>
        <v/>
      </c>
      <c r="Y172" s="2" t="str">
        <f>IF(Source!$C172&gt;=COLUMNS($A172:Y172), Source!$E172, "")</f>
        <v/>
      </c>
      <c r="Z172" s="2" t="str">
        <f>IF(Source!$C172&gt;=COLUMNS($A172:Z172), Source!$E172, "")</f>
        <v/>
      </c>
      <c r="AA172" s="2" t="str">
        <f>IF(Source!$C172&gt;=COLUMNS($A172:AA172), Source!$E172, "")</f>
        <v/>
      </c>
      <c r="AB172" s="2" t="str">
        <f>IF(Source!$C172&gt;=COLUMNS($A172:AB172), Source!$E172, "")</f>
        <v/>
      </c>
      <c r="AC172" s="2" t="str">
        <f>IF(Source!$C172&gt;=COLUMNS($A172:AC172), Source!$E172, "")</f>
        <v/>
      </c>
      <c r="AD172" s="2" t="str">
        <f>IF(Source!$C172&gt;=COLUMNS($A172:AD172), Source!$E172, "")</f>
        <v/>
      </c>
      <c r="AE172" s="2" t="str">
        <f>IF(Source!$C172&gt;=COLUMNS($A172:AE172), Source!$E172, "")</f>
        <v/>
      </c>
      <c r="AF172" s="2" t="str">
        <f>IF(Source!$C172&gt;=COLUMNS($A172:AF172), Source!$E172, "")</f>
        <v/>
      </c>
      <c r="AG172" s="2" t="str">
        <f>IF(Source!$C172&gt;=COLUMNS($A172:AG172), Source!$E172, "")</f>
        <v/>
      </c>
      <c r="AH172" s="2" t="str">
        <f>IF(Source!$C172&gt;=COLUMNS($A172:AH172), Source!$E172, "")</f>
        <v/>
      </c>
      <c r="AI172" s="2" t="str">
        <f>IF(Source!$C172&gt;=COLUMNS($A172:AI172), Source!$E172, "")</f>
        <v/>
      </c>
      <c r="AJ172" s="2" t="str">
        <f>IF(Source!$C172&gt;=COLUMNS($A172:AJ172), Source!$E172, "")</f>
        <v/>
      </c>
      <c r="AK172" s="2" t="str">
        <f>IF(Source!$C172&gt;=COLUMNS($A172:AK172), Source!$E172, "")</f>
        <v/>
      </c>
      <c r="AL172" s="2" t="str">
        <f>IF(Source!$C172&gt;=COLUMNS($A172:AL172), Source!$E172, "")</f>
        <v/>
      </c>
      <c r="AM172" s="2" t="str">
        <f>IF(Source!$C172&gt;=COLUMNS($A172:AM172), Source!$E172, "")</f>
        <v/>
      </c>
      <c r="AN172" s="2" t="str">
        <f>IF(Source!$C172&gt;=COLUMNS($A172:AN172), Source!$E172, "")</f>
        <v/>
      </c>
      <c r="AO172" s="2" t="str">
        <f>IF(Source!$C172&gt;=COLUMNS($A172:AO172), Source!$E172, "")</f>
        <v/>
      </c>
      <c r="AP172" s="2" t="str">
        <f>IF(Source!$C172&gt;=COLUMNS($A172:AP172), Source!$E172, "")</f>
        <v/>
      </c>
      <c r="AQ172" s="2" t="str">
        <f>IF(Source!$C172&gt;=COLUMNS($A172:AQ172), Source!$E172, "")</f>
        <v/>
      </c>
      <c r="AR172" s="2" t="str">
        <f>IF(Source!$C172&gt;=COLUMNS($A172:AR172), Source!$E172, "")</f>
        <v/>
      </c>
    </row>
    <row r="173">
      <c r="A173" s="2">
        <f>IF(Source!$C173&gt;=COLUMNS($A173:A173), Source!$E173, "")</f>
        <v>2</v>
      </c>
      <c r="B173" s="2">
        <f>IF(Source!$C173&gt;=COLUMNS($A173:B173), Source!$E173, "")</f>
        <v>2</v>
      </c>
      <c r="C173" s="2">
        <f>IF(Source!$C173&gt;=COLUMNS($A173:C173), Source!$E173, "")</f>
        <v>2</v>
      </c>
      <c r="D173" s="2">
        <f>IF(Source!$C173&gt;=COLUMNS($A173:D173), Source!$E173, "")</f>
        <v>2</v>
      </c>
      <c r="E173" s="2">
        <f>IF(Source!$C173&gt;=COLUMNS($A173:E173), Source!$E173, "")</f>
        <v>2</v>
      </c>
      <c r="F173" s="2">
        <f>IF(Source!$C173&gt;=COLUMNS($A173:F173), Source!$E173, "")</f>
        <v>2</v>
      </c>
      <c r="G173" s="2" t="str">
        <f>IF(Source!$C173&gt;=COLUMNS($A173:G173), Source!$E173, "")</f>
        <v/>
      </c>
      <c r="H173" s="2" t="str">
        <f>IF(Source!$C173&gt;=COLUMNS($A173:H173), Source!$E173, "")</f>
        <v/>
      </c>
      <c r="I173" s="2" t="str">
        <f>IF(Source!$C173&gt;=COLUMNS($A173:I173), Source!$E173, "")</f>
        <v/>
      </c>
      <c r="J173" s="2" t="str">
        <f>IF(Source!$C173&gt;=COLUMNS($A173:J173), Source!$E173, "")</f>
        <v/>
      </c>
      <c r="K173" s="2" t="str">
        <f>IF(Source!$C173&gt;=COLUMNS($A173:K173), Source!$E173, "")</f>
        <v/>
      </c>
      <c r="L173" s="2" t="str">
        <f>IF(Source!$C173&gt;=COLUMNS($A173:L173), Source!$E173, "")</f>
        <v/>
      </c>
      <c r="M173" s="2" t="str">
        <f>IF(Source!$C173&gt;=COLUMNS($A173:M173), Source!$E173, "")</f>
        <v/>
      </c>
      <c r="N173" s="2" t="str">
        <f>IF(Source!$C173&gt;=COLUMNS($A173:N173), Source!$E173, "")</f>
        <v/>
      </c>
      <c r="O173" s="2" t="str">
        <f>IF(Source!$C173&gt;=COLUMNS($A173:O173), Source!$E173, "")</f>
        <v/>
      </c>
      <c r="P173" s="2" t="str">
        <f>IF(Source!$C173&gt;=COLUMNS($A173:P173), Source!$E173, "")</f>
        <v/>
      </c>
      <c r="Q173" s="2" t="str">
        <f>IF(Source!$C173&gt;=COLUMNS($A173:Q173), Source!$E173, "")</f>
        <v/>
      </c>
      <c r="R173" s="2" t="str">
        <f>IF(Source!$C173&gt;=COLUMNS($A173:R173), Source!$E173, "")</f>
        <v/>
      </c>
      <c r="S173" s="2" t="str">
        <f>IF(Source!$C173&gt;=COLUMNS($A173:S173), Source!$E173, "")</f>
        <v/>
      </c>
      <c r="T173" s="2" t="str">
        <f>IF(Source!$C173&gt;=COLUMNS($A173:T173), Source!$E173, "")</f>
        <v/>
      </c>
      <c r="U173" s="2" t="str">
        <f>IF(Source!$C173&gt;=COLUMNS($A173:U173), Source!$E173, "")</f>
        <v/>
      </c>
      <c r="V173" s="2" t="str">
        <f>IF(Source!$C173&gt;=COLUMNS($A173:V173), Source!$E173, "")</f>
        <v/>
      </c>
      <c r="W173" s="2" t="str">
        <f>IF(Source!$C173&gt;=COLUMNS($A173:W173), Source!$E173, "")</f>
        <v/>
      </c>
      <c r="X173" s="2" t="str">
        <f>IF(Source!$C173&gt;=COLUMNS($A173:X173), Source!$E173, "")</f>
        <v/>
      </c>
      <c r="Y173" s="2" t="str">
        <f>IF(Source!$C173&gt;=COLUMNS($A173:Y173), Source!$E173, "")</f>
        <v/>
      </c>
      <c r="Z173" s="2" t="str">
        <f>IF(Source!$C173&gt;=COLUMNS($A173:Z173), Source!$E173, "")</f>
        <v/>
      </c>
      <c r="AA173" s="2" t="str">
        <f>IF(Source!$C173&gt;=COLUMNS($A173:AA173), Source!$E173, "")</f>
        <v/>
      </c>
      <c r="AB173" s="2" t="str">
        <f>IF(Source!$C173&gt;=COLUMNS($A173:AB173), Source!$E173, "")</f>
        <v/>
      </c>
      <c r="AC173" s="2" t="str">
        <f>IF(Source!$C173&gt;=COLUMNS($A173:AC173), Source!$E173, "")</f>
        <v/>
      </c>
      <c r="AD173" s="2" t="str">
        <f>IF(Source!$C173&gt;=COLUMNS($A173:AD173), Source!$E173, "")</f>
        <v/>
      </c>
      <c r="AE173" s="2" t="str">
        <f>IF(Source!$C173&gt;=COLUMNS($A173:AE173), Source!$E173, "")</f>
        <v/>
      </c>
      <c r="AF173" s="2" t="str">
        <f>IF(Source!$C173&gt;=COLUMNS($A173:AF173), Source!$E173, "")</f>
        <v/>
      </c>
      <c r="AG173" s="2" t="str">
        <f>IF(Source!$C173&gt;=COLUMNS($A173:AG173), Source!$E173, "")</f>
        <v/>
      </c>
      <c r="AH173" s="2" t="str">
        <f>IF(Source!$C173&gt;=COLUMNS($A173:AH173), Source!$E173, "")</f>
        <v/>
      </c>
      <c r="AI173" s="2" t="str">
        <f>IF(Source!$C173&gt;=COLUMNS($A173:AI173), Source!$E173, "")</f>
        <v/>
      </c>
      <c r="AJ173" s="2" t="str">
        <f>IF(Source!$C173&gt;=COLUMNS($A173:AJ173), Source!$E173, "")</f>
        <v/>
      </c>
      <c r="AK173" s="2" t="str">
        <f>IF(Source!$C173&gt;=COLUMNS($A173:AK173), Source!$E173, "")</f>
        <v/>
      </c>
      <c r="AL173" s="2" t="str">
        <f>IF(Source!$C173&gt;=COLUMNS($A173:AL173), Source!$E173, "")</f>
        <v/>
      </c>
      <c r="AM173" s="2" t="str">
        <f>IF(Source!$C173&gt;=COLUMNS($A173:AM173), Source!$E173, "")</f>
        <v/>
      </c>
      <c r="AN173" s="2" t="str">
        <f>IF(Source!$C173&gt;=COLUMNS($A173:AN173), Source!$E173, "")</f>
        <v/>
      </c>
      <c r="AO173" s="2" t="str">
        <f>IF(Source!$C173&gt;=COLUMNS($A173:AO173), Source!$E173, "")</f>
        <v/>
      </c>
      <c r="AP173" s="2" t="str">
        <f>IF(Source!$C173&gt;=COLUMNS($A173:AP173), Source!$E173, "")</f>
        <v/>
      </c>
      <c r="AQ173" s="2" t="str">
        <f>IF(Source!$C173&gt;=COLUMNS($A173:AQ173), Source!$E173, "")</f>
        <v/>
      </c>
      <c r="AR173" s="2" t="str">
        <f>IF(Source!$C173&gt;=COLUMNS($A173:AR173), Source!$E173, "")</f>
        <v/>
      </c>
    </row>
    <row r="174">
      <c r="A174" s="2">
        <f>IF(Source!$C174&gt;=COLUMNS($A174:A174), Source!$E174, "")</f>
        <v>4</v>
      </c>
      <c r="B174" s="2" t="str">
        <f>IF(Source!$C174&gt;=COLUMNS($A174:B174), Source!$E174, "")</f>
        <v/>
      </c>
      <c r="C174" s="2" t="str">
        <f>IF(Source!$C174&gt;=COLUMNS($A174:C174), Source!$E174, "")</f>
        <v/>
      </c>
      <c r="D174" s="2" t="str">
        <f>IF(Source!$C174&gt;=COLUMNS($A174:D174), Source!$E174, "")</f>
        <v/>
      </c>
      <c r="E174" s="2" t="str">
        <f>IF(Source!$C174&gt;=COLUMNS($A174:E174), Source!$E174, "")</f>
        <v/>
      </c>
      <c r="F174" s="2" t="str">
        <f>IF(Source!$C174&gt;=COLUMNS($A174:F174), Source!$E174, "")</f>
        <v/>
      </c>
      <c r="G174" s="2" t="str">
        <f>IF(Source!$C174&gt;=COLUMNS($A174:G174), Source!$E174, "")</f>
        <v/>
      </c>
      <c r="H174" s="2" t="str">
        <f>IF(Source!$C174&gt;=COLUMNS($A174:H174), Source!$E174, "")</f>
        <v/>
      </c>
      <c r="I174" s="2" t="str">
        <f>IF(Source!$C174&gt;=COLUMNS($A174:I174), Source!$E174, "")</f>
        <v/>
      </c>
      <c r="J174" s="2" t="str">
        <f>IF(Source!$C174&gt;=COLUMNS($A174:J174), Source!$E174, "")</f>
        <v/>
      </c>
      <c r="K174" s="2" t="str">
        <f>IF(Source!$C174&gt;=COLUMNS($A174:K174), Source!$E174, "")</f>
        <v/>
      </c>
      <c r="L174" s="2" t="str">
        <f>IF(Source!$C174&gt;=COLUMNS($A174:L174), Source!$E174, "")</f>
        <v/>
      </c>
      <c r="M174" s="2" t="str">
        <f>IF(Source!$C174&gt;=COLUMNS($A174:M174), Source!$E174, "")</f>
        <v/>
      </c>
      <c r="N174" s="2" t="str">
        <f>IF(Source!$C174&gt;=COLUMNS($A174:N174), Source!$E174, "")</f>
        <v/>
      </c>
      <c r="O174" s="2" t="str">
        <f>IF(Source!$C174&gt;=COLUMNS($A174:O174), Source!$E174, "")</f>
        <v/>
      </c>
      <c r="P174" s="2" t="str">
        <f>IF(Source!$C174&gt;=COLUMNS($A174:P174), Source!$E174, "")</f>
        <v/>
      </c>
      <c r="Q174" s="2" t="str">
        <f>IF(Source!$C174&gt;=COLUMNS($A174:Q174), Source!$E174, "")</f>
        <v/>
      </c>
      <c r="R174" s="2" t="str">
        <f>IF(Source!$C174&gt;=COLUMNS($A174:R174), Source!$E174, "")</f>
        <v/>
      </c>
      <c r="S174" s="2" t="str">
        <f>IF(Source!$C174&gt;=COLUMNS($A174:S174), Source!$E174, "")</f>
        <v/>
      </c>
      <c r="T174" s="2" t="str">
        <f>IF(Source!$C174&gt;=COLUMNS($A174:T174), Source!$E174, "")</f>
        <v/>
      </c>
      <c r="U174" s="2" t="str">
        <f>IF(Source!$C174&gt;=COLUMNS($A174:U174), Source!$E174, "")</f>
        <v/>
      </c>
      <c r="V174" s="2" t="str">
        <f>IF(Source!$C174&gt;=COLUMNS($A174:V174), Source!$E174, "")</f>
        <v/>
      </c>
      <c r="W174" s="2" t="str">
        <f>IF(Source!$C174&gt;=COLUMNS($A174:W174), Source!$E174, "")</f>
        <v/>
      </c>
      <c r="X174" s="2" t="str">
        <f>IF(Source!$C174&gt;=COLUMNS($A174:X174), Source!$E174, "")</f>
        <v/>
      </c>
      <c r="Y174" s="2" t="str">
        <f>IF(Source!$C174&gt;=COLUMNS($A174:Y174), Source!$E174, "")</f>
        <v/>
      </c>
      <c r="Z174" s="2" t="str">
        <f>IF(Source!$C174&gt;=COLUMNS($A174:Z174), Source!$E174, "")</f>
        <v/>
      </c>
      <c r="AA174" s="2" t="str">
        <f>IF(Source!$C174&gt;=COLUMNS($A174:AA174), Source!$E174, "")</f>
        <v/>
      </c>
      <c r="AB174" s="2" t="str">
        <f>IF(Source!$C174&gt;=COLUMNS($A174:AB174), Source!$E174, "")</f>
        <v/>
      </c>
      <c r="AC174" s="2" t="str">
        <f>IF(Source!$C174&gt;=COLUMNS($A174:AC174), Source!$E174, "")</f>
        <v/>
      </c>
      <c r="AD174" s="2" t="str">
        <f>IF(Source!$C174&gt;=COLUMNS($A174:AD174), Source!$E174, "")</f>
        <v/>
      </c>
      <c r="AE174" s="2" t="str">
        <f>IF(Source!$C174&gt;=COLUMNS($A174:AE174), Source!$E174, "")</f>
        <v/>
      </c>
      <c r="AF174" s="2" t="str">
        <f>IF(Source!$C174&gt;=COLUMNS($A174:AF174), Source!$E174, "")</f>
        <v/>
      </c>
      <c r="AG174" s="2" t="str">
        <f>IF(Source!$C174&gt;=COLUMNS($A174:AG174), Source!$E174, "")</f>
        <v/>
      </c>
      <c r="AH174" s="2" t="str">
        <f>IF(Source!$C174&gt;=COLUMNS($A174:AH174), Source!$E174, "")</f>
        <v/>
      </c>
      <c r="AI174" s="2" t="str">
        <f>IF(Source!$C174&gt;=COLUMNS($A174:AI174), Source!$E174, "")</f>
        <v/>
      </c>
      <c r="AJ174" s="2" t="str">
        <f>IF(Source!$C174&gt;=COLUMNS($A174:AJ174), Source!$E174, "")</f>
        <v/>
      </c>
      <c r="AK174" s="2" t="str">
        <f>IF(Source!$C174&gt;=COLUMNS($A174:AK174), Source!$E174, "")</f>
        <v/>
      </c>
      <c r="AL174" s="2" t="str">
        <f>IF(Source!$C174&gt;=COLUMNS($A174:AL174), Source!$E174, "")</f>
        <v/>
      </c>
      <c r="AM174" s="2" t="str">
        <f>IF(Source!$C174&gt;=COLUMNS($A174:AM174), Source!$E174, "")</f>
        <v/>
      </c>
      <c r="AN174" s="2" t="str">
        <f>IF(Source!$C174&gt;=COLUMNS($A174:AN174), Source!$E174, "")</f>
        <v/>
      </c>
      <c r="AO174" s="2" t="str">
        <f>IF(Source!$C174&gt;=COLUMNS($A174:AO174), Source!$E174, "")</f>
        <v/>
      </c>
      <c r="AP174" s="2" t="str">
        <f>IF(Source!$C174&gt;=COLUMNS($A174:AP174), Source!$E174, "")</f>
        <v/>
      </c>
      <c r="AQ174" s="2" t="str">
        <f>IF(Source!$C174&gt;=COLUMNS($A174:AQ174), Source!$E174, "")</f>
        <v/>
      </c>
      <c r="AR174" s="2" t="str">
        <f>IF(Source!$C174&gt;=COLUMNS($A174:AR174), Source!$E174, "")</f>
        <v/>
      </c>
    </row>
    <row r="175">
      <c r="A175" s="2">
        <f>IF(Source!$C175&gt;=COLUMNS($A175:A175), Source!$E175, "")</f>
        <v>1</v>
      </c>
      <c r="B175" s="2">
        <f>IF(Source!$C175&gt;=COLUMNS($A175:B175), Source!$E175, "")</f>
        <v>1</v>
      </c>
      <c r="C175" s="2">
        <f>IF(Source!$C175&gt;=COLUMNS($A175:C175), Source!$E175, "")</f>
        <v>1</v>
      </c>
      <c r="D175" s="2" t="str">
        <f>IF(Source!$C175&gt;=COLUMNS($A175:D175), Source!$E175, "")</f>
        <v/>
      </c>
      <c r="E175" s="2" t="str">
        <f>IF(Source!$C175&gt;=COLUMNS($A175:E175), Source!$E175, "")</f>
        <v/>
      </c>
      <c r="F175" s="2" t="str">
        <f>IF(Source!$C175&gt;=COLUMNS($A175:F175), Source!$E175, "")</f>
        <v/>
      </c>
      <c r="G175" s="2" t="str">
        <f>IF(Source!$C175&gt;=COLUMNS($A175:G175), Source!$E175, "")</f>
        <v/>
      </c>
      <c r="H175" s="2" t="str">
        <f>IF(Source!$C175&gt;=COLUMNS($A175:H175), Source!$E175, "")</f>
        <v/>
      </c>
      <c r="I175" s="2" t="str">
        <f>IF(Source!$C175&gt;=COLUMNS($A175:I175), Source!$E175, "")</f>
        <v/>
      </c>
      <c r="J175" s="2" t="str">
        <f>IF(Source!$C175&gt;=COLUMNS($A175:J175), Source!$E175, "")</f>
        <v/>
      </c>
      <c r="K175" s="2" t="str">
        <f>IF(Source!$C175&gt;=COLUMNS($A175:K175), Source!$E175, "")</f>
        <v/>
      </c>
      <c r="L175" s="2" t="str">
        <f>IF(Source!$C175&gt;=COLUMNS($A175:L175), Source!$E175, "")</f>
        <v/>
      </c>
      <c r="M175" s="2" t="str">
        <f>IF(Source!$C175&gt;=COLUMNS($A175:M175), Source!$E175, "")</f>
        <v/>
      </c>
      <c r="N175" s="2" t="str">
        <f>IF(Source!$C175&gt;=COLUMNS($A175:N175), Source!$E175, "")</f>
        <v/>
      </c>
      <c r="O175" s="2" t="str">
        <f>IF(Source!$C175&gt;=COLUMNS($A175:O175), Source!$E175, "")</f>
        <v/>
      </c>
      <c r="P175" s="2" t="str">
        <f>IF(Source!$C175&gt;=COLUMNS($A175:P175), Source!$E175, "")</f>
        <v/>
      </c>
      <c r="Q175" s="2" t="str">
        <f>IF(Source!$C175&gt;=COLUMNS($A175:Q175), Source!$E175, "")</f>
        <v/>
      </c>
      <c r="R175" s="2" t="str">
        <f>IF(Source!$C175&gt;=COLUMNS($A175:R175), Source!$E175, "")</f>
        <v/>
      </c>
      <c r="S175" s="2" t="str">
        <f>IF(Source!$C175&gt;=COLUMNS($A175:S175), Source!$E175, "")</f>
        <v/>
      </c>
      <c r="T175" s="2" t="str">
        <f>IF(Source!$C175&gt;=COLUMNS($A175:T175), Source!$E175, "")</f>
        <v/>
      </c>
      <c r="U175" s="2" t="str">
        <f>IF(Source!$C175&gt;=COLUMNS($A175:U175), Source!$E175, "")</f>
        <v/>
      </c>
      <c r="V175" s="2" t="str">
        <f>IF(Source!$C175&gt;=COLUMNS($A175:V175), Source!$E175, "")</f>
        <v/>
      </c>
      <c r="W175" s="2" t="str">
        <f>IF(Source!$C175&gt;=COLUMNS($A175:W175), Source!$E175, "")</f>
        <v/>
      </c>
      <c r="X175" s="2" t="str">
        <f>IF(Source!$C175&gt;=COLUMNS($A175:X175), Source!$E175, "")</f>
        <v/>
      </c>
      <c r="Y175" s="2" t="str">
        <f>IF(Source!$C175&gt;=COLUMNS($A175:Y175), Source!$E175, "")</f>
        <v/>
      </c>
      <c r="Z175" s="2" t="str">
        <f>IF(Source!$C175&gt;=COLUMNS($A175:Z175), Source!$E175, "")</f>
        <v/>
      </c>
      <c r="AA175" s="2" t="str">
        <f>IF(Source!$C175&gt;=COLUMNS($A175:AA175), Source!$E175, "")</f>
        <v/>
      </c>
      <c r="AB175" s="2" t="str">
        <f>IF(Source!$C175&gt;=COLUMNS($A175:AB175), Source!$E175, "")</f>
        <v/>
      </c>
      <c r="AC175" s="2" t="str">
        <f>IF(Source!$C175&gt;=COLUMNS($A175:AC175), Source!$E175, "")</f>
        <v/>
      </c>
      <c r="AD175" s="2" t="str">
        <f>IF(Source!$C175&gt;=COLUMNS($A175:AD175), Source!$E175, "")</f>
        <v/>
      </c>
      <c r="AE175" s="2" t="str">
        <f>IF(Source!$C175&gt;=COLUMNS($A175:AE175), Source!$E175, "")</f>
        <v/>
      </c>
      <c r="AF175" s="2" t="str">
        <f>IF(Source!$C175&gt;=COLUMNS($A175:AF175), Source!$E175, "")</f>
        <v/>
      </c>
      <c r="AG175" s="2" t="str">
        <f>IF(Source!$C175&gt;=COLUMNS($A175:AG175), Source!$E175, "")</f>
        <v/>
      </c>
      <c r="AH175" s="2" t="str">
        <f>IF(Source!$C175&gt;=COLUMNS($A175:AH175), Source!$E175, "")</f>
        <v/>
      </c>
      <c r="AI175" s="2" t="str">
        <f>IF(Source!$C175&gt;=COLUMNS($A175:AI175), Source!$E175, "")</f>
        <v/>
      </c>
      <c r="AJ175" s="2" t="str">
        <f>IF(Source!$C175&gt;=COLUMNS($A175:AJ175), Source!$E175, "")</f>
        <v/>
      </c>
      <c r="AK175" s="2" t="str">
        <f>IF(Source!$C175&gt;=COLUMNS($A175:AK175), Source!$E175, "")</f>
        <v/>
      </c>
      <c r="AL175" s="2" t="str">
        <f>IF(Source!$C175&gt;=COLUMNS($A175:AL175), Source!$E175, "")</f>
        <v/>
      </c>
      <c r="AM175" s="2" t="str">
        <f>IF(Source!$C175&gt;=COLUMNS($A175:AM175), Source!$E175, "")</f>
        <v/>
      </c>
      <c r="AN175" s="2" t="str">
        <f>IF(Source!$C175&gt;=COLUMNS($A175:AN175), Source!$E175, "")</f>
        <v/>
      </c>
      <c r="AO175" s="2" t="str">
        <f>IF(Source!$C175&gt;=COLUMNS($A175:AO175), Source!$E175, "")</f>
        <v/>
      </c>
      <c r="AP175" s="2" t="str">
        <f>IF(Source!$C175&gt;=COLUMNS($A175:AP175), Source!$E175, "")</f>
        <v/>
      </c>
      <c r="AQ175" s="2" t="str">
        <f>IF(Source!$C175&gt;=COLUMNS($A175:AQ175), Source!$E175, "")</f>
        <v/>
      </c>
      <c r="AR175" s="2" t="str">
        <f>IF(Source!$C175&gt;=COLUMNS($A175:AR175), Source!$E175, "")</f>
        <v/>
      </c>
    </row>
    <row r="176">
      <c r="A176" s="2">
        <f>IF(Source!$C176&gt;=COLUMNS($A176:A176), Source!$E176, "")</f>
        <v>4</v>
      </c>
      <c r="B176" s="2">
        <f>IF(Source!$C176&gt;=COLUMNS($A176:B176), Source!$E176, "")</f>
        <v>4</v>
      </c>
      <c r="C176" s="2">
        <f>IF(Source!$C176&gt;=COLUMNS($A176:C176), Source!$E176, "")</f>
        <v>4</v>
      </c>
      <c r="D176" s="2">
        <f>IF(Source!$C176&gt;=COLUMNS($A176:D176), Source!$E176, "")</f>
        <v>4</v>
      </c>
      <c r="E176" s="2">
        <f>IF(Source!$C176&gt;=COLUMNS($A176:E176), Source!$E176, "")</f>
        <v>4</v>
      </c>
      <c r="F176" s="2">
        <f>IF(Source!$C176&gt;=COLUMNS($A176:F176), Source!$E176, "")</f>
        <v>4</v>
      </c>
      <c r="G176" s="2" t="str">
        <f>IF(Source!$C176&gt;=COLUMNS($A176:G176), Source!$E176, "")</f>
        <v/>
      </c>
      <c r="H176" s="2" t="str">
        <f>IF(Source!$C176&gt;=COLUMNS($A176:H176), Source!$E176, "")</f>
        <v/>
      </c>
      <c r="I176" s="2" t="str">
        <f>IF(Source!$C176&gt;=COLUMNS($A176:I176), Source!$E176, "")</f>
        <v/>
      </c>
      <c r="J176" s="2" t="str">
        <f>IF(Source!$C176&gt;=COLUMNS($A176:J176), Source!$E176, "")</f>
        <v/>
      </c>
      <c r="K176" s="2" t="str">
        <f>IF(Source!$C176&gt;=COLUMNS($A176:K176), Source!$E176, "")</f>
        <v/>
      </c>
      <c r="L176" s="2" t="str">
        <f>IF(Source!$C176&gt;=COLUMNS($A176:L176), Source!$E176, "")</f>
        <v/>
      </c>
      <c r="M176" s="2" t="str">
        <f>IF(Source!$C176&gt;=COLUMNS($A176:M176), Source!$E176, "")</f>
        <v/>
      </c>
      <c r="N176" s="2" t="str">
        <f>IF(Source!$C176&gt;=COLUMNS($A176:N176), Source!$E176, "")</f>
        <v/>
      </c>
      <c r="O176" s="2" t="str">
        <f>IF(Source!$C176&gt;=COLUMNS($A176:O176), Source!$E176, "")</f>
        <v/>
      </c>
      <c r="P176" s="2" t="str">
        <f>IF(Source!$C176&gt;=COLUMNS($A176:P176), Source!$E176, "")</f>
        <v/>
      </c>
      <c r="Q176" s="2" t="str">
        <f>IF(Source!$C176&gt;=COLUMNS($A176:Q176), Source!$E176, "")</f>
        <v/>
      </c>
      <c r="R176" s="2" t="str">
        <f>IF(Source!$C176&gt;=COLUMNS($A176:R176), Source!$E176, "")</f>
        <v/>
      </c>
      <c r="S176" s="2" t="str">
        <f>IF(Source!$C176&gt;=COLUMNS($A176:S176), Source!$E176, "")</f>
        <v/>
      </c>
      <c r="T176" s="2" t="str">
        <f>IF(Source!$C176&gt;=COLUMNS($A176:T176), Source!$E176, "")</f>
        <v/>
      </c>
      <c r="U176" s="2" t="str">
        <f>IF(Source!$C176&gt;=COLUMNS($A176:U176), Source!$E176, "")</f>
        <v/>
      </c>
      <c r="V176" s="2" t="str">
        <f>IF(Source!$C176&gt;=COLUMNS($A176:V176), Source!$E176, "")</f>
        <v/>
      </c>
      <c r="W176" s="2" t="str">
        <f>IF(Source!$C176&gt;=COLUMNS($A176:W176), Source!$E176, "")</f>
        <v/>
      </c>
      <c r="X176" s="2" t="str">
        <f>IF(Source!$C176&gt;=COLUMNS($A176:X176), Source!$E176, "")</f>
        <v/>
      </c>
      <c r="Y176" s="2" t="str">
        <f>IF(Source!$C176&gt;=COLUMNS($A176:Y176), Source!$E176, "")</f>
        <v/>
      </c>
      <c r="Z176" s="2" t="str">
        <f>IF(Source!$C176&gt;=COLUMNS($A176:Z176), Source!$E176, "")</f>
        <v/>
      </c>
      <c r="AA176" s="2" t="str">
        <f>IF(Source!$C176&gt;=COLUMNS($A176:AA176), Source!$E176, "")</f>
        <v/>
      </c>
      <c r="AB176" s="2" t="str">
        <f>IF(Source!$C176&gt;=COLUMNS($A176:AB176), Source!$E176, "")</f>
        <v/>
      </c>
      <c r="AC176" s="2" t="str">
        <f>IF(Source!$C176&gt;=COLUMNS($A176:AC176), Source!$E176, "")</f>
        <v/>
      </c>
      <c r="AD176" s="2" t="str">
        <f>IF(Source!$C176&gt;=COLUMNS($A176:AD176), Source!$E176, "")</f>
        <v/>
      </c>
      <c r="AE176" s="2" t="str">
        <f>IF(Source!$C176&gt;=COLUMNS($A176:AE176), Source!$E176, "")</f>
        <v/>
      </c>
      <c r="AF176" s="2" t="str">
        <f>IF(Source!$C176&gt;=COLUMNS($A176:AF176), Source!$E176, "")</f>
        <v/>
      </c>
      <c r="AG176" s="2" t="str">
        <f>IF(Source!$C176&gt;=COLUMNS($A176:AG176), Source!$E176, "")</f>
        <v/>
      </c>
      <c r="AH176" s="2" t="str">
        <f>IF(Source!$C176&gt;=COLUMNS($A176:AH176), Source!$E176, "")</f>
        <v/>
      </c>
      <c r="AI176" s="2" t="str">
        <f>IF(Source!$C176&gt;=COLUMNS($A176:AI176), Source!$E176, "")</f>
        <v/>
      </c>
      <c r="AJ176" s="2" t="str">
        <f>IF(Source!$C176&gt;=COLUMNS($A176:AJ176), Source!$E176, "")</f>
        <v/>
      </c>
      <c r="AK176" s="2" t="str">
        <f>IF(Source!$C176&gt;=COLUMNS($A176:AK176), Source!$E176, "")</f>
        <v/>
      </c>
      <c r="AL176" s="2" t="str">
        <f>IF(Source!$C176&gt;=COLUMNS($A176:AL176), Source!$E176, "")</f>
        <v/>
      </c>
      <c r="AM176" s="2" t="str">
        <f>IF(Source!$C176&gt;=COLUMNS($A176:AM176), Source!$E176, "")</f>
        <v/>
      </c>
      <c r="AN176" s="2" t="str">
        <f>IF(Source!$C176&gt;=COLUMNS($A176:AN176), Source!$E176, "")</f>
        <v/>
      </c>
      <c r="AO176" s="2" t="str">
        <f>IF(Source!$C176&gt;=COLUMNS($A176:AO176), Source!$E176, "")</f>
        <v/>
      </c>
      <c r="AP176" s="2" t="str">
        <f>IF(Source!$C176&gt;=COLUMNS($A176:AP176), Source!$E176, "")</f>
        <v/>
      </c>
      <c r="AQ176" s="2" t="str">
        <f>IF(Source!$C176&gt;=COLUMNS($A176:AQ176), Source!$E176, "")</f>
        <v/>
      </c>
      <c r="AR176" s="2" t="str">
        <f>IF(Source!$C176&gt;=COLUMNS($A176:AR176), Source!$E176, "")</f>
        <v/>
      </c>
    </row>
    <row r="177">
      <c r="A177" s="2">
        <f>IF(Source!$C177&gt;=COLUMNS($A177:A177), Source!$E177, "")</f>
        <v>8</v>
      </c>
      <c r="B177" s="2">
        <f>IF(Source!$C177&gt;=COLUMNS($A177:B177), Source!$E177, "")</f>
        <v>8</v>
      </c>
      <c r="C177" s="2">
        <f>IF(Source!$C177&gt;=COLUMNS($A177:C177), Source!$E177, "")</f>
        <v>8</v>
      </c>
      <c r="D177" s="2">
        <f>IF(Source!$C177&gt;=COLUMNS($A177:D177), Source!$E177, "")</f>
        <v>8</v>
      </c>
      <c r="E177" s="2">
        <f>IF(Source!$C177&gt;=COLUMNS($A177:E177), Source!$E177, "")</f>
        <v>8</v>
      </c>
      <c r="F177" s="2" t="str">
        <f>IF(Source!$C177&gt;=COLUMNS($A177:F177), Source!$E177, "")</f>
        <v/>
      </c>
      <c r="G177" s="2" t="str">
        <f>IF(Source!$C177&gt;=COLUMNS($A177:G177), Source!$E177, "")</f>
        <v/>
      </c>
      <c r="H177" s="2" t="str">
        <f>IF(Source!$C177&gt;=COLUMNS($A177:H177), Source!$E177, "")</f>
        <v/>
      </c>
      <c r="I177" s="2" t="str">
        <f>IF(Source!$C177&gt;=COLUMNS($A177:I177), Source!$E177, "")</f>
        <v/>
      </c>
      <c r="J177" s="2" t="str">
        <f>IF(Source!$C177&gt;=COLUMNS($A177:J177), Source!$E177, "")</f>
        <v/>
      </c>
      <c r="K177" s="2" t="str">
        <f>IF(Source!$C177&gt;=COLUMNS($A177:K177), Source!$E177, "")</f>
        <v/>
      </c>
      <c r="L177" s="2" t="str">
        <f>IF(Source!$C177&gt;=COLUMNS($A177:L177), Source!$E177, "")</f>
        <v/>
      </c>
      <c r="M177" s="2" t="str">
        <f>IF(Source!$C177&gt;=COLUMNS($A177:M177), Source!$E177, "")</f>
        <v/>
      </c>
      <c r="N177" s="2" t="str">
        <f>IF(Source!$C177&gt;=COLUMNS($A177:N177), Source!$E177, "")</f>
        <v/>
      </c>
      <c r="O177" s="2" t="str">
        <f>IF(Source!$C177&gt;=COLUMNS($A177:O177), Source!$E177, "")</f>
        <v/>
      </c>
      <c r="P177" s="2" t="str">
        <f>IF(Source!$C177&gt;=COLUMNS($A177:P177), Source!$E177, "")</f>
        <v/>
      </c>
      <c r="Q177" s="2" t="str">
        <f>IF(Source!$C177&gt;=COLUMNS($A177:Q177), Source!$E177, "")</f>
        <v/>
      </c>
      <c r="R177" s="2" t="str">
        <f>IF(Source!$C177&gt;=COLUMNS($A177:R177), Source!$E177, "")</f>
        <v/>
      </c>
      <c r="S177" s="2" t="str">
        <f>IF(Source!$C177&gt;=COLUMNS($A177:S177), Source!$E177, "")</f>
        <v/>
      </c>
      <c r="T177" s="2" t="str">
        <f>IF(Source!$C177&gt;=COLUMNS($A177:T177), Source!$E177, "")</f>
        <v/>
      </c>
      <c r="U177" s="2" t="str">
        <f>IF(Source!$C177&gt;=COLUMNS($A177:U177), Source!$E177, "")</f>
        <v/>
      </c>
      <c r="V177" s="2" t="str">
        <f>IF(Source!$C177&gt;=COLUMNS($A177:V177), Source!$E177, "")</f>
        <v/>
      </c>
      <c r="W177" s="2" t="str">
        <f>IF(Source!$C177&gt;=COLUMNS($A177:W177), Source!$E177, "")</f>
        <v/>
      </c>
      <c r="X177" s="2" t="str">
        <f>IF(Source!$C177&gt;=COLUMNS($A177:X177), Source!$E177, "")</f>
        <v/>
      </c>
      <c r="Y177" s="2" t="str">
        <f>IF(Source!$C177&gt;=COLUMNS($A177:Y177), Source!$E177, "")</f>
        <v/>
      </c>
      <c r="Z177" s="2" t="str">
        <f>IF(Source!$C177&gt;=COLUMNS($A177:Z177), Source!$E177, "")</f>
        <v/>
      </c>
      <c r="AA177" s="2" t="str">
        <f>IF(Source!$C177&gt;=COLUMNS($A177:AA177), Source!$E177, "")</f>
        <v/>
      </c>
      <c r="AB177" s="2" t="str">
        <f>IF(Source!$C177&gt;=COLUMNS($A177:AB177), Source!$E177, "")</f>
        <v/>
      </c>
      <c r="AC177" s="2" t="str">
        <f>IF(Source!$C177&gt;=COLUMNS($A177:AC177), Source!$E177, "")</f>
        <v/>
      </c>
      <c r="AD177" s="2" t="str">
        <f>IF(Source!$C177&gt;=COLUMNS($A177:AD177), Source!$E177, "")</f>
        <v/>
      </c>
      <c r="AE177" s="2" t="str">
        <f>IF(Source!$C177&gt;=COLUMNS($A177:AE177), Source!$E177, "")</f>
        <v/>
      </c>
      <c r="AF177" s="2" t="str">
        <f>IF(Source!$C177&gt;=COLUMNS($A177:AF177), Source!$E177, "")</f>
        <v/>
      </c>
      <c r="AG177" s="2" t="str">
        <f>IF(Source!$C177&gt;=COLUMNS($A177:AG177), Source!$E177, "")</f>
        <v/>
      </c>
      <c r="AH177" s="2" t="str">
        <f>IF(Source!$C177&gt;=COLUMNS($A177:AH177), Source!$E177, "")</f>
        <v/>
      </c>
      <c r="AI177" s="2" t="str">
        <f>IF(Source!$C177&gt;=COLUMNS($A177:AI177), Source!$E177, "")</f>
        <v/>
      </c>
      <c r="AJ177" s="2" t="str">
        <f>IF(Source!$C177&gt;=COLUMNS($A177:AJ177), Source!$E177, "")</f>
        <v/>
      </c>
      <c r="AK177" s="2" t="str">
        <f>IF(Source!$C177&gt;=COLUMNS($A177:AK177), Source!$E177, "")</f>
        <v/>
      </c>
      <c r="AL177" s="2" t="str">
        <f>IF(Source!$C177&gt;=COLUMNS($A177:AL177), Source!$E177, "")</f>
        <v/>
      </c>
      <c r="AM177" s="2" t="str">
        <f>IF(Source!$C177&gt;=COLUMNS($A177:AM177), Source!$E177, "")</f>
        <v/>
      </c>
      <c r="AN177" s="2" t="str">
        <f>IF(Source!$C177&gt;=COLUMNS($A177:AN177), Source!$E177, "")</f>
        <v/>
      </c>
      <c r="AO177" s="2" t="str">
        <f>IF(Source!$C177&gt;=COLUMNS($A177:AO177), Source!$E177, "")</f>
        <v/>
      </c>
      <c r="AP177" s="2" t="str">
        <f>IF(Source!$C177&gt;=COLUMNS($A177:AP177), Source!$E177, "")</f>
        <v/>
      </c>
      <c r="AQ177" s="2" t="str">
        <f>IF(Source!$C177&gt;=COLUMNS($A177:AQ177), Source!$E177, "")</f>
        <v/>
      </c>
      <c r="AR177" s="2" t="str">
        <f>IF(Source!$C177&gt;=COLUMNS($A177:AR177), Source!$E177, "")</f>
        <v/>
      </c>
    </row>
    <row r="178">
      <c r="A178" s="2">
        <f>IF(Source!$C178&gt;=COLUMNS($A178:A178), Source!$E178, "")</f>
        <v>4</v>
      </c>
      <c r="B178" s="2">
        <f>IF(Source!$C178&gt;=COLUMNS($A178:B178), Source!$E178, "")</f>
        <v>4</v>
      </c>
      <c r="C178" s="2">
        <f>IF(Source!$C178&gt;=COLUMNS($A178:C178), Source!$E178, "")</f>
        <v>4</v>
      </c>
      <c r="D178" s="2">
        <f>IF(Source!$C178&gt;=COLUMNS($A178:D178), Source!$E178, "")</f>
        <v>4</v>
      </c>
      <c r="E178" s="2">
        <f>IF(Source!$C178&gt;=COLUMNS($A178:E178), Source!$E178, "")</f>
        <v>4</v>
      </c>
      <c r="F178" s="2">
        <f>IF(Source!$C178&gt;=COLUMNS($A178:F178), Source!$E178, "")</f>
        <v>4</v>
      </c>
      <c r="G178" s="2">
        <f>IF(Source!$C178&gt;=COLUMNS($A178:G178), Source!$E178, "")</f>
        <v>4</v>
      </c>
      <c r="H178" s="2">
        <f>IF(Source!$C178&gt;=COLUMNS($A178:H178), Source!$E178, "")</f>
        <v>4</v>
      </c>
      <c r="I178" s="2" t="str">
        <f>IF(Source!$C178&gt;=COLUMNS($A178:I178), Source!$E178, "")</f>
        <v/>
      </c>
      <c r="J178" s="2" t="str">
        <f>IF(Source!$C178&gt;=COLUMNS($A178:J178), Source!$E178, "")</f>
        <v/>
      </c>
      <c r="K178" s="2" t="str">
        <f>IF(Source!$C178&gt;=COLUMNS($A178:K178), Source!$E178, "")</f>
        <v/>
      </c>
      <c r="L178" s="2" t="str">
        <f>IF(Source!$C178&gt;=COLUMNS($A178:L178), Source!$E178, "")</f>
        <v/>
      </c>
      <c r="M178" s="2" t="str">
        <f>IF(Source!$C178&gt;=COLUMNS($A178:M178), Source!$E178, "")</f>
        <v/>
      </c>
      <c r="N178" s="2" t="str">
        <f>IF(Source!$C178&gt;=COLUMNS($A178:N178), Source!$E178, "")</f>
        <v/>
      </c>
      <c r="O178" s="2" t="str">
        <f>IF(Source!$C178&gt;=COLUMNS($A178:O178), Source!$E178, "")</f>
        <v/>
      </c>
      <c r="P178" s="2" t="str">
        <f>IF(Source!$C178&gt;=COLUMNS($A178:P178), Source!$E178, "")</f>
        <v/>
      </c>
      <c r="Q178" s="2" t="str">
        <f>IF(Source!$C178&gt;=COLUMNS($A178:Q178), Source!$E178, "")</f>
        <v/>
      </c>
      <c r="R178" s="2" t="str">
        <f>IF(Source!$C178&gt;=COLUMNS($A178:R178), Source!$E178, "")</f>
        <v/>
      </c>
      <c r="S178" s="2" t="str">
        <f>IF(Source!$C178&gt;=COLUMNS($A178:S178), Source!$E178, "")</f>
        <v/>
      </c>
      <c r="T178" s="2" t="str">
        <f>IF(Source!$C178&gt;=COLUMNS($A178:T178), Source!$E178, "")</f>
        <v/>
      </c>
      <c r="U178" s="2" t="str">
        <f>IF(Source!$C178&gt;=COLUMNS($A178:U178), Source!$E178, "")</f>
        <v/>
      </c>
      <c r="V178" s="2" t="str">
        <f>IF(Source!$C178&gt;=COLUMNS($A178:V178), Source!$E178, "")</f>
        <v/>
      </c>
      <c r="W178" s="2" t="str">
        <f>IF(Source!$C178&gt;=COLUMNS($A178:W178), Source!$E178, "")</f>
        <v/>
      </c>
      <c r="X178" s="2" t="str">
        <f>IF(Source!$C178&gt;=COLUMNS($A178:X178), Source!$E178, "")</f>
        <v/>
      </c>
      <c r="Y178" s="2" t="str">
        <f>IF(Source!$C178&gt;=COLUMNS($A178:Y178), Source!$E178, "")</f>
        <v/>
      </c>
      <c r="Z178" s="2" t="str">
        <f>IF(Source!$C178&gt;=COLUMNS($A178:Z178), Source!$E178, "")</f>
        <v/>
      </c>
      <c r="AA178" s="2" t="str">
        <f>IF(Source!$C178&gt;=COLUMNS($A178:AA178), Source!$E178, "")</f>
        <v/>
      </c>
      <c r="AB178" s="2" t="str">
        <f>IF(Source!$C178&gt;=COLUMNS($A178:AB178), Source!$E178, "")</f>
        <v/>
      </c>
      <c r="AC178" s="2" t="str">
        <f>IF(Source!$C178&gt;=COLUMNS($A178:AC178), Source!$E178, "")</f>
        <v/>
      </c>
      <c r="AD178" s="2" t="str">
        <f>IF(Source!$C178&gt;=COLUMNS($A178:AD178), Source!$E178, "")</f>
        <v/>
      </c>
      <c r="AE178" s="2" t="str">
        <f>IF(Source!$C178&gt;=COLUMNS($A178:AE178), Source!$E178, "")</f>
        <v/>
      </c>
      <c r="AF178" s="2" t="str">
        <f>IF(Source!$C178&gt;=COLUMNS($A178:AF178), Source!$E178, "")</f>
        <v/>
      </c>
      <c r="AG178" s="2" t="str">
        <f>IF(Source!$C178&gt;=COLUMNS($A178:AG178), Source!$E178, "")</f>
        <v/>
      </c>
      <c r="AH178" s="2" t="str">
        <f>IF(Source!$C178&gt;=COLUMNS($A178:AH178), Source!$E178, "")</f>
        <v/>
      </c>
      <c r="AI178" s="2" t="str">
        <f>IF(Source!$C178&gt;=COLUMNS($A178:AI178), Source!$E178, "")</f>
        <v/>
      </c>
      <c r="AJ178" s="2" t="str">
        <f>IF(Source!$C178&gt;=COLUMNS($A178:AJ178), Source!$E178, "")</f>
        <v/>
      </c>
      <c r="AK178" s="2" t="str">
        <f>IF(Source!$C178&gt;=COLUMNS($A178:AK178), Source!$E178, "")</f>
        <v/>
      </c>
      <c r="AL178" s="2" t="str">
        <f>IF(Source!$C178&gt;=COLUMNS($A178:AL178), Source!$E178, "")</f>
        <v/>
      </c>
      <c r="AM178" s="2" t="str">
        <f>IF(Source!$C178&gt;=COLUMNS($A178:AM178), Source!$E178, "")</f>
        <v/>
      </c>
      <c r="AN178" s="2" t="str">
        <f>IF(Source!$C178&gt;=COLUMNS($A178:AN178), Source!$E178, "")</f>
        <v/>
      </c>
      <c r="AO178" s="2" t="str">
        <f>IF(Source!$C178&gt;=COLUMNS($A178:AO178), Source!$E178, "")</f>
        <v/>
      </c>
      <c r="AP178" s="2" t="str">
        <f>IF(Source!$C178&gt;=COLUMNS($A178:AP178), Source!$E178, "")</f>
        <v/>
      </c>
      <c r="AQ178" s="2" t="str">
        <f>IF(Source!$C178&gt;=COLUMNS($A178:AQ178), Source!$E178, "")</f>
        <v/>
      </c>
      <c r="AR178" s="2" t="str">
        <f>IF(Source!$C178&gt;=COLUMNS($A178:AR178), Source!$E178, "")</f>
        <v/>
      </c>
    </row>
    <row r="179">
      <c r="A179" s="2">
        <f>IF(Source!$C179&gt;=COLUMNS($A179:A179), Source!$E179, "")</f>
        <v>9</v>
      </c>
      <c r="B179" s="2">
        <f>IF(Source!$C179&gt;=COLUMNS($A179:B179), Source!$E179, "")</f>
        <v>9</v>
      </c>
      <c r="C179" s="2">
        <f>IF(Source!$C179&gt;=COLUMNS($A179:C179), Source!$E179, "")</f>
        <v>9</v>
      </c>
      <c r="D179" s="2" t="str">
        <f>IF(Source!$C179&gt;=COLUMNS($A179:D179), Source!$E179, "")</f>
        <v/>
      </c>
      <c r="E179" s="2" t="str">
        <f>IF(Source!$C179&gt;=COLUMNS($A179:E179), Source!$E179, "")</f>
        <v/>
      </c>
      <c r="F179" s="2" t="str">
        <f>IF(Source!$C179&gt;=COLUMNS($A179:F179), Source!$E179, "")</f>
        <v/>
      </c>
      <c r="G179" s="2" t="str">
        <f>IF(Source!$C179&gt;=COLUMNS($A179:G179), Source!$E179, "")</f>
        <v/>
      </c>
      <c r="H179" s="2" t="str">
        <f>IF(Source!$C179&gt;=COLUMNS($A179:H179), Source!$E179, "")</f>
        <v/>
      </c>
      <c r="I179" s="2" t="str">
        <f>IF(Source!$C179&gt;=COLUMNS($A179:I179), Source!$E179, "")</f>
        <v/>
      </c>
      <c r="J179" s="2" t="str">
        <f>IF(Source!$C179&gt;=COLUMNS($A179:J179), Source!$E179, "")</f>
        <v/>
      </c>
      <c r="K179" s="2" t="str">
        <f>IF(Source!$C179&gt;=COLUMNS($A179:K179), Source!$E179, "")</f>
        <v/>
      </c>
      <c r="L179" s="2" t="str">
        <f>IF(Source!$C179&gt;=COLUMNS($A179:L179), Source!$E179, "")</f>
        <v/>
      </c>
      <c r="M179" s="2" t="str">
        <f>IF(Source!$C179&gt;=COLUMNS($A179:M179), Source!$E179, "")</f>
        <v/>
      </c>
      <c r="N179" s="2" t="str">
        <f>IF(Source!$C179&gt;=COLUMNS($A179:N179), Source!$E179, "")</f>
        <v/>
      </c>
      <c r="O179" s="2" t="str">
        <f>IF(Source!$C179&gt;=COLUMNS($A179:O179), Source!$E179, "")</f>
        <v/>
      </c>
      <c r="P179" s="2" t="str">
        <f>IF(Source!$C179&gt;=COLUMNS($A179:P179), Source!$E179, "")</f>
        <v/>
      </c>
      <c r="Q179" s="2" t="str">
        <f>IF(Source!$C179&gt;=COLUMNS($A179:Q179), Source!$E179, "")</f>
        <v/>
      </c>
      <c r="R179" s="2" t="str">
        <f>IF(Source!$C179&gt;=COLUMNS($A179:R179), Source!$E179, "")</f>
        <v/>
      </c>
      <c r="S179" s="2" t="str">
        <f>IF(Source!$C179&gt;=COLUMNS($A179:S179), Source!$E179, "")</f>
        <v/>
      </c>
      <c r="T179" s="2" t="str">
        <f>IF(Source!$C179&gt;=COLUMNS($A179:T179), Source!$E179, "")</f>
        <v/>
      </c>
      <c r="U179" s="2" t="str">
        <f>IF(Source!$C179&gt;=COLUMNS($A179:U179), Source!$E179, "")</f>
        <v/>
      </c>
      <c r="V179" s="2" t="str">
        <f>IF(Source!$C179&gt;=COLUMNS($A179:V179), Source!$E179, "")</f>
        <v/>
      </c>
      <c r="W179" s="2" t="str">
        <f>IF(Source!$C179&gt;=COLUMNS($A179:W179), Source!$E179, "")</f>
        <v/>
      </c>
      <c r="X179" s="2" t="str">
        <f>IF(Source!$C179&gt;=COLUMNS($A179:X179), Source!$E179, "")</f>
        <v/>
      </c>
      <c r="Y179" s="2" t="str">
        <f>IF(Source!$C179&gt;=COLUMNS($A179:Y179), Source!$E179, "")</f>
        <v/>
      </c>
      <c r="Z179" s="2" t="str">
        <f>IF(Source!$C179&gt;=COLUMNS($A179:Z179), Source!$E179, "")</f>
        <v/>
      </c>
      <c r="AA179" s="2" t="str">
        <f>IF(Source!$C179&gt;=COLUMNS($A179:AA179), Source!$E179, "")</f>
        <v/>
      </c>
      <c r="AB179" s="2" t="str">
        <f>IF(Source!$C179&gt;=COLUMNS($A179:AB179), Source!$E179, "")</f>
        <v/>
      </c>
      <c r="AC179" s="2" t="str">
        <f>IF(Source!$C179&gt;=COLUMNS($A179:AC179), Source!$E179, "")</f>
        <v/>
      </c>
      <c r="AD179" s="2" t="str">
        <f>IF(Source!$C179&gt;=COLUMNS($A179:AD179), Source!$E179, "")</f>
        <v/>
      </c>
      <c r="AE179" s="2" t="str">
        <f>IF(Source!$C179&gt;=COLUMNS($A179:AE179), Source!$E179, "")</f>
        <v/>
      </c>
      <c r="AF179" s="2" t="str">
        <f>IF(Source!$C179&gt;=COLUMNS($A179:AF179), Source!$E179, "")</f>
        <v/>
      </c>
      <c r="AG179" s="2" t="str">
        <f>IF(Source!$C179&gt;=COLUMNS($A179:AG179), Source!$E179, "")</f>
        <v/>
      </c>
      <c r="AH179" s="2" t="str">
        <f>IF(Source!$C179&gt;=COLUMNS($A179:AH179), Source!$E179, "")</f>
        <v/>
      </c>
      <c r="AI179" s="2" t="str">
        <f>IF(Source!$C179&gt;=COLUMNS($A179:AI179), Source!$E179, "")</f>
        <v/>
      </c>
      <c r="AJ179" s="2" t="str">
        <f>IF(Source!$C179&gt;=COLUMNS($A179:AJ179), Source!$E179, "")</f>
        <v/>
      </c>
      <c r="AK179" s="2" t="str">
        <f>IF(Source!$C179&gt;=COLUMNS($A179:AK179), Source!$E179, "")</f>
        <v/>
      </c>
      <c r="AL179" s="2" t="str">
        <f>IF(Source!$C179&gt;=COLUMNS($A179:AL179), Source!$E179, "")</f>
        <v/>
      </c>
      <c r="AM179" s="2" t="str">
        <f>IF(Source!$C179&gt;=COLUMNS($A179:AM179), Source!$E179, "")</f>
        <v/>
      </c>
      <c r="AN179" s="2" t="str">
        <f>IF(Source!$C179&gt;=COLUMNS($A179:AN179), Source!$E179, "")</f>
        <v/>
      </c>
      <c r="AO179" s="2" t="str">
        <f>IF(Source!$C179&gt;=COLUMNS($A179:AO179), Source!$E179, "")</f>
        <v/>
      </c>
      <c r="AP179" s="2" t="str">
        <f>IF(Source!$C179&gt;=COLUMNS($A179:AP179), Source!$E179, "")</f>
        <v/>
      </c>
      <c r="AQ179" s="2" t="str">
        <f>IF(Source!$C179&gt;=COLUMNS($A179:AQ179), Source!$E179, "")</f>
        <v/>
      </c>
      <c r="AR179" s="2" t="str">
        <f>IF(Source!$C179&gt;=COLUMNS($A179:AR179), Source!$E179, "")</f>
        <v/>
      </c>
    </row>
    <row r="180">
      <c r="A180" s="2">
        <f>IF(Source!$C180&gt;=COLUMNS($A180:A180), Source!$E180, "")</f>
        <v>9</v>
      </c>
      <c r="B180" s="2" t="str">
        <f>IF(Source!$C180&gt;=COLUMNS($A180:B180), Source!$E180, "")</f>
        <v/>
      </c>
      <c r="C180" s="2" t="str">
        <f>IF(Source!$C180&gt;=COLUMNS($A180:C180), Source!$E180, "")</f>
        <v/>
      </c>
      <c r="D180" s="2" t="str">
        <f>IF(Source!$C180&gt;=COLUMNS($A180:D180), Source!$E180, "")</f>
        <v/>
      </c>
      <c r="E180" s="2" t="str">
        <f>IF(Source!$C180&gt;=COLUMNS($A180:E180), Source!$E180, "")</f>
        <v/>
      </c>
      <c r="F180" s="2" t="str">
        <f>IF(Source!$C180&gt;=COLUMNS($A180:F180), Source!$E180, "")</f>
        <v/>
      </c>
      <c r="G180" s="2" t="str">
        <f>IF(Source!$C180&gt;=COLUMNS($A180:G180), Source!$E180, "")</f>
        <v/>
      </c>
      <c r="H180" s="2" t="str">
        <f>IF(Source!$C180&gt;=COLUMNS($A180:H180), Source!$E180, "")</f>
        <v/>
      </c>
      <c r="I180" s="2" t="str">
        <f>IF(Source!$C180&gt;=COLUMNS($A180:I180), Source!$E180, "")</f>
        <v/>
      </c>
      <c r="J180" s="2" t="str">
        <f>IF(Source!$C180&gt;=COLUMNS($A180:J180), Source!$E180, "")</f>
        <v/>
      </c>
      <c r="K180" s="2" t="str">
        <f>IF(Source!$C180&gt;=COLUMNS($A180:K180), Source!$E180, "")</f>
        <v/>
      </c>
      <c r="L180" s="2" t="str">
        <f>IF(Source!$C180&gt;=COLUMNS($A180:L180), Source!$E180, "")</f>
        <v/>
      </c>
      <c r="M180" s="2" t="str">
        <f>IF(Source!$C180&gt;=COLUMNS($A180:M180), Source!$E180, "")</f>
        <v/>
      </c>
      <c r="N180" s="2" t="str">
        <f>IF(Source!$C180&gt;=COLUMNS($A180:N180), Source!$E180, "")</f>
        <v/>
      </c>
      <c r="O180" s="2" t="str">
        <f>IF(Source!$C180&gt;=COLUMNS($A180:O180), Source!$E180, "")</f>
        <v/>
      </c>
      <c r="P180" s="2" t="str">
        <f>IF(Source!$C180&gt;=COLUMNS($A180:P180), Source!$E180, "")</f>
        <v/>
      </c>
      <c r="Q180" s="2" t="str">
        <f>IF(Source!$C180&gt;=COLUMNS($A180:Q180), Source!$E180, "")</f>
        <v/>
      </c>
      <c r="R180" s="2" t="str">
        <f>IF(Source!$C180&gt;=COLUMNS($A180:R180), Source!$E180, "")</f>
        <v/>
      </c>
      <c r="S180" s="2" t="str">
        <f>IF(Source!$C180&gt;=COLUMNS($A180:S180), Source!$E180, "")</f>
        <v/>
      </c>
      <c r="T180" s="2" t="str">
        <f>IF(Source!$C180&gt;=COLUMNS($A180:T180), Source!$E180, "")</f>
        <v/>
      </c>
      <c r="U180" s="2" t="str">
        <f>IF(Source!$C180&gt;=COLUMNS($A180:U180), Source!$E180, "")</f>
        <v/>
      </c>
      <c r="V180" s="2" t="str">
        <f>IF(Source!$C180&gt;=COLUMNS($A180:V180), Source!$E180, "")</f>
        <v/>
      </c>
      <c r="W180" s="2" t="str">
        <f>IF(Source!$C180&gt;=COLUMNS($A180:W180), Source!$E180, "")</f>
        <v/>
      </c>
      <c r="X180" s="2" t="str">
        <f>IF(Source!$C180&gt;=COLUMNS($A180:X180), Source!$E180, "")</f>
        <v/>
      </c>
      <c r="Y180" s="2" t="str">
        <f>IF(Source!$C180&gt;=COLUMNS($A180:Y180), Source!$E180, "")</f>
        <v/>
      </c>
      <c r="Z180" s="2" t="str">
        <f>IF(Source!$C180&gt;=COLUMNS($A180:Z180), Source!$E180, "")</f>
        <v/>
      </c>
      <c r="AA180" s="2" t="str">
        <f>IF(Source!$C180&gt;=COLUMNS($A180:AA180), Source!$E180, "")</f>
        <v/>
      </c>
      <c r="AB180" s="2" t="str">
        <f>IF(Source!$C180&gt;=COLUMNS($A180:AB180), Source!$E180, "")</f>
        <v/>
      </c>
      <c r="AC180" s="2" t="str">
        <f>IF(Source!$C180&gt;=COLUMNS($A180:AC180), Source!$E180, "")</f>
        <v/>
      </c>
      <c r="AD180" s="2" t="str">
        <f>IF(Source!$C180&gt;=COLUMNS($A180:AD180), Source!$E180, "")</f>
        <v/>
      </c>
      <c r="AE180" s="2" t="str">
        <f>IF(Source!$C180&gt;=COLUMNS($A180:AE180), Source!$E180, "")</f>
        <v/>
      </c>
      <c r="AF180" s="2" t="str">
        <f>IF(Source!$C180&gt;=COLUMNS($A180:AF180), Source!$E180, "")</f>
        <v/>
      </c>
      <c r="AG180" s="2" t="str">
        <f>IF(Source!$C180&gt;=COLUMNS($A180:AG180), Source!$E180, "")</f>
        <v/>
      </c>
      <c r="AH180" s="2" t="str">
        <f>IF(Source!$C180&gt;=COLUMNS($A180:AH180), Source!$E180, "")</f>
        <v/>
      </c>
      <c r="AI180" s="2" t="str">
        <f>IF(Source!$C180&gt;=COLUMNS($A180:AI180), Source!$E180, "")</f>
        <v/>
      </c>
      <c r="AJ180" s="2" t="str">
        <f>IF(Source!$C180&gt;=COLUMNS($A180:AJ180), Source!$E180, "")</f>
        <v/>
      </c>
      <c r="AK180" s="2" t="str">
        <f>IF(Source!$C180&gt;=COLUMNS($A180:AK180), Source!$E180, "")</f>
        <v/>
      </c>
      <c r="AL180" s="2" t="str">
        <f>IF(Source!$C180&gt;=COLUMNS($A180:AL180), Source!$E180, "")</f>
        <v/>
      </c>
      <c r="AM180" s="2" t="str">
        <f>IF(Source!$C180&gt;=COLUMNS($A180:AM180), Source!$E180, "")</f>
        <v/>
      </c>
      <c r="AN180" s="2" t="str">
        <f>IF(Source!$C180&gt;=COLUMNS($A180:AN180), Source!$E180, "")</f>
        <v/>
      </c>
      <c r="AO180" s="2" t="str">
        <f>IF(Source!$C180&gt;=COLUMNS($A180:AO180), Source!$E180, "")</f>
        <v/>
      </c>
      <c r="AP180" s="2" t="str">
        <f>IF(Source!$C180&gt;=COLUMNS($A180:AP180), Source!$E180, "")</f>
        <v/>
      </c>
      <c r="AQ180" s="2" t="str">
        <f>IF(Source!$C180&gt;=COLUMNS($A180:AQ180), Source!$E180, "")</f>
        <v/>
      </c>
      <c r="AR180" s="2" t="str">
        <f>IF(Source!$C180&gt;=COLUMNS($A180:AR180), Source!$E180, "")</f>
        <v/>
      </c>
    </row>
    <row r="181">
      <c r="A181" s="2">
        <f>IF(Source!$C181&gt;=COLUMNS($A181:A181), Source!$E181, "")</f>
        <v>8</v>
      </c>
      <c r="B181" s="2">
        <f>IF(Source!$C181&gt;=COLUMNS($A181:B181), Source!$E181, "")</f>
        <v>8</v>
      </c>
      <c r="C181" s="2">
        <f>IF(Source!$C181&gt;=COLUMNS($A181:C181), Source!$E181, "")</f>
        <v>8</v>
      </c>
      <c r="D181" s="2" t="str">
        <f>IF(Source!$C181&gt;=COLUMNS($A181:D181), Source!$E181, "")</f>
        <v/>
      </c>
      <c r="E181" s="2" t="str">
        <f>IF(Source!$C181&gt;=COLUMNS($A181:E181), Source!$E181, "")</f>
        <v/>
      </c>
      <c r="F181" s="2" t="str">
        <f>IF(Source!$C181&gt;=COLUMNS($A181:F181), Source!$E181, "")</f>
        <v/>
      </c>
      <c r="G181" s="2" t="str">
        <f>IF(Source!$C181&gt;=COLUMNS($A181:G181), Source!$E181, "")</f>
        <v/>
      </c>
      <c r="H181" s="2" t="str">
        <f>IF(Source!$C181&gt;=COLUMNS($A181:H181), Source!$E181, "")</f>
        <v/>
      </c>
      <c r="I181" s="2" t="str">
        <f>IF(Source!$C181&gt;=COLUMNS($A181:I181), Source!$E181, "")</f>
        <v/>
      </c>
      <c r="J181" s="2" t="str">
        <f>IF(Source!$C181&gt;=COLUMNS($A181:J181), Source!$E181, "")</f>
        <v/>
      </c>
      <c r="K181" s="2" t="str">
        <f>IF(Source!$C181&gt;=COLUMNS($A181:K181), Source!$E181, "")</f>
        <v/>
      </c>
      <c r="L181" s="2" t="str">
        <f>IF(Source!$C181&gt;=COLUMNS($A181:L181), Source!$E181, "")</f>
        <v/>
      </c>
      <c r="M181" s="2" t="str">
        <f>IF(Source!$C181&gt;=COLUMNS($A181:M181), Source!$E181, "")</f>
        <v/>
      </c>
      <c r="N181" s="2" t="str">
        <f>IF(Source!$C181&gt;=COLUMNS($A181:N181), Source!$E181, "")</f>
        <v/>
      </c>
      <c r="O181" s="2" t="str">
        <f>IF(Source!$C181&gt;=COLUMNS($A181:O181), Source!$E181, "")</f>
        <v/>
      </c>
      <c r="P181" s="2" t="str">
        <f>IF(Source!$C181&gt;=COLUMNS($A181:P181), Source!$E181, "")</f>
        <v/>
      </c>
      <c r="Q181" s="2" t="str">
        <f>IF(Source!$C181&gt;=COLUMNS($A181:Q181), Source!$E181, "")</f>
        <v/>
      </c>
      <c r="R181" s="2" t="str">
        <f>IF(Source!$C181&gt;=COLUMNS($A181:R181), Source!$E181, "")</f>
        <v/>
      </c>
      <c r="S181" s="2" t="str">
        <f>IF(Source!$C181&gt;=COLUMNS($A181:S181), Source!$E181, "")</f>
        <v/>
      </c>
      <c r="T181" s="2" t="str">
        <f>IF(Source!$C181&gt;=COLUMNS($A181:T181), Source!$E181, "")</f>
        <v/>
      </c>
      <c r="U181" s="2" t="str">
        <f>IF(Source!$C181&gt;=COLUMNS($A181:U181), Source!$E181, "")</f>
        <v/>
      </c>
      <c r="V181" s="2" t="str">
        <f>IF(Source!$C181&gt;=COLUMNS($A181:V181), Source!$E181, "")</f>
        <v/>
      </c>
      <c r="W181" s="2" t="str">
        <f>IF(Source!$C181&gt;=COLUMNS($A181:W181), Source!$E181, "")</f>
        <v/>
      </c>
      <c r="X181" s="2" t="str">
        <f>IF(Source!$C181&gt;=COLUMNS($A181:X181), Source!$E181, "")</f>
        <v/>
      </c>
      <c r="Y181" s="2" t="str">
        <f>IF(Source!$C181&gt;=COLUMNS($A181:Y181), Source!$E181, "")</f>
        <v/>
      </c>
      <c r="Z181" s="2" t="str">
        <f>IF(Source!$C181&gt;=COLUMNS($A181:Z181), Source!$E181, "")</f>
        <v/>
      </c>
      <c r="AA181" s="2" t="str">
        <f>IF(Source!$C181&gt;=COLUMNS($A181:AA181), Source!$E181, "")</f>
        <v/>
      </c>
      <c r="AB181" s="2" t="str">
        <f>IF(Source!$C181&gt;=COLUMNS($A181:AB181), Source!$E181, "")</f>
        <v/>
      </c>
      <c r="AC181" s="2" t="str">
        <f>IF(Source!$C181&gt;=COLUMNS($A181:AC181), Source!$E181, "")</f>
        <v/>
      </c>
      <c r="AD181" s="2" t="str">
        <f>IF(Source!$C181&gt;=COLUMNS($A181:AD181), Source!$E181, "")</f>
        <v/>
      </c>
      <c r="AE181" s="2" t="str">
        <f>IF(Source!$C181&gt;=COLUMNS($A181:AE181), Source!$E181, "")</f>
        <v/>
      </c>
      <c r="AF181" s="2" t="str">
        <f>IF(Source!$C181&gt;=COLUMNS($A181:AF181), Source!$E181, "")</f>
        <v/>
      </c>
      <c r="AG181" s="2" t="str">
        <f>IF(Source!$C181&gt;=COLUMNS($A181:AG181), Source!$E181, "")</f>
        <v/>
      </c>
      <c r="AH181" s="2" t="str">
        <f>IF(Source!$C181&gt;=COLUMNS($A181:AH181), Source!$E181, "")</f>
        <v/>
      </c>
      <c r="AI181" s="2" t="str">
        <f>IF(Source!$C181&gt;=COLUMNS($A181:AI181), Source!$E181, "")</f>
        <v/>
      </c>
      <c r="AJ181" s="2" t="str">
        <f>IF(Source!$C181&gt;=COLUMNS($A181:AJ181), Source!$E181, "")</f>
        <v/>
      </c>
      <c r="AK181" s="2" t="str">
        <f>IF(Source!$C181&gt;=COLUMNS($A181:AK181), Source!$E181, "")</f>
        <v/>
      </c>
      <c r="AL181" s="2" t="str">
        <f>IF(Source!$C181&gt;=COLUMNS($A181:AL181), Source!$E181, "")</f>
        <v/>
      </c>
      <c r="AM181" s="2" t="str">
        <f>IF(Source!$C181&gt;=COLUMNS($A181:AM181), Source!$E181, "")</f>
        <v/>
      </c>
      <c r="AN181" s="2" t="str">
        <f>IF(Source!$C181&gt;=COLUMNS($A181:AN181), Source!$E181, "")</f>
        <v/>
      </c>
      <c r="AO181" s="2" t="str">
        <f>IF(Source!$C181&gt;=COLUMNS($A181:AO181), Source!$E181, "")</f>
        <v/>
      </c>
      <c r="AP181" s="2" t="str">
        <f>IF(Source!$C181&gt;=COLUMNS($A181:AP181), Source!$E181, "")</f>
        <v/>
      </c>
      <c r="AQ181" s="2" t="str">
        <f>IF(Source!$C181&gt;=COLUMNS($A181:AQ181), Source!$E181, "")</f>
        <v/>
      </c>
      <c r="AR181" s="2" t="str">
        <f>IF(Source!$C181&gt;=COLUMNS($A181:AR181), Source!$E181, "")</f>
        <v/>
      </c>
    </row>
    <row r="182">
      <c r="A182" s="2">
        <f>IF(Source!$C182&gt;=COLUMNS($A182:A182), Source!$E182, "")</f>
        <v>9</v>
      </c>
      <c r="B182" s="2">
        <f>IF(Source!$C182&gt;=COLUMNS($A182:B182), Source!$E182, "")</f>
        <v>9</v>
      </c>
      <c r="C182" s="2">
        <f>IF(Source!$C182&gt;=COLUMNS($A182:C182), Source!$E182, "")</f>
        <v>9</v>
      </c>
      <c r="D182" s="2">
        <f>IF(Source!$C182&gt;=COLUMNS($A182:D182), Source!$E182, "")</f>
        <v>9</v>
      </c>
      <c r="E182" s="2">
        <f>IF(Source!$C182&gt;=COLUMNS($A182:E182), Source!$E182, "")</f>
        <v>9</v>
      </c>
      <c r="F182" s="2" t="str">
        <f>IF(Source!$C182&gt;=COLUMNS($A182:F182), Source!$E182, "")</f>
        <v/>
      </c>
      <c r="G182" s="2" t="str">
        <f>IF(Source!$C182&gt;=COLUMNS($A182:G182), Source!$E182, "")</f>
        <v/>
      </c>
      <c r="H182" s="2" t="str">
        <f>IF(Source!$C182&gt;=COLUMNS($A182:H182), Source!$E182, "")</f>
        <v/>
      </c>
      <c r="I182" s="2" t="str">
        <f>IF(Source!$C182&gt;=COLUMNS($A182:I182), Source!$E182, "")</f>
        <v/>
      </c>
      <c r="J182" s="2" t="str">
        <f>IF(Source!$C182&gt;=COLUMNS($A182:J182), Source!$E182, "")</f>
        <v/>
      </c>
      <c r="K182" s="2" t="str">
        <f>IF(Source!$C182&gt;=COLUMNS($A182:K182), Source!$E182, "")</f>
        <v/>
      </c>
      <c r="L182" s="2" t="str">
        <f>IF(Source!$C182&gt;=COLUMNS($A182:L182), Source!$E182, "")</f>
        <v/>
      </c>
      <c r="M182" s="2" t="str">
        <f>IF(Source!$C182&gt;=COLUMNS($A182:M182), Source!$E182, "")</f>
        <v/>
      </c>
      <c r="N182" s="2" t="str">
        <f>IF(Source!$C182&gt;=COLUMNS($A182:N182), Source!$E182, "")</f>
        <v/>
      </c>
      <c r="O182" s="2" t="str">
        <f>IF(Source!$C182&gt;=COLUMNS($A182:O182), Source!$E182, "")</f>
        <v/>
      </c>
      <c r="P182" s="2" t="str">
        <f>IF(Source!$C182&gt;=COLUMNS($A182:P182), Source!$E182, "")</f>
        <v/>
      </c>
      <c r="Q182" s="2" t="str">
        <f>IF(Source!$C182&gt;=COLUMNS($A182:Q182), Source!$E182, "")</f>
        <v/>
      </c>
      <c r="R182" s="2" t="str">
        <f>IF(Source!$C182&gt;=COLUMNS($A182:R182), Source!$E182, "")</f>
        <v/>
      </c>
      <c r="S182" s="2" t="str">
        <f>IF(Source!$C182&gt;=COLUMNS($A182:S182), Source!$E182, "")</f>
        <v/>
      </c>
      <c r="T182" s="2" t="str">
        <f>IF(Source!$C182&gt;=COLUMNS($A182:T182), Source!$E182, "")</f>
        <v/>
      </c>
      <c r="U182" s="2" t="str">
        <f>IF(Source!$C182&gt;=COLUMNS($A182:U182), Source!$E182, "")</f>
        <v/>
      </c>
      <c r="V182" s="2" t="str">
        <f>IF(Source!$C182&gt;=COLUMNS($A182:V182), Source!$E182, "")</f>
        <v/>
      </c>
      <c r="W182" s="2" t="str">
        <f>IF(Source!$C182&gt;=COLUMNS($A182:W182), Source!$E182, "")</f>
        <v/>
      </c>
      <c r="X182" s="2" t="str">
        <f>IF(Source!$C182&gt;=COLUMNS($A182:X182), Source!$E182, "")</f>
        <v/>
      </c>
      <c r="Y182" s="2" t="str">
        <f>IF(Source!$C182&gt;=COLUMNS($A182:Y182), Source!$E182, "")</f>
        <v/>
      </c>
      <c r="Z182" s="2" t="str">
        <f>IF(Source!$C182&gt;=COLUMNS($A182:Z182), Source!$E182, "")</f>
        <v/>
      </c>
      <c r="AA182" s="2" t="str">
        <f>IF(Source!$C182&gt;=COLUMNS($A182:AA182), Source!$E182, "")</f>
        <v/>
      </c>
      <c r="AB182" s="2" t="str">
        <f>IF(Source!$C182&gt;=COLUMNS($A182:AB182), Source!$E182, "")</f>
        <v/>
      </c>
      <c r="AC182" s="2" t="str">
        <f>IF(Source!$C182&gt;=COLUMNS($A182:AC182), Source!$E182, "")</f>
        <v/>
      </c>
      <c r="AD182" s="2" t="str">
        <f>IF(Source!$C182&gt;=COLUMNS($A182:AD182), Source!$E182, "")</f>
        <v/>
      </c>
      <c r="AE182" s="2" t="str">
        <f>IF(Source!$C182&gt;=COLUMNS($A182:AE182), Source!$E182, "")</f>
        <v/>
      </c>
      <c r="AF182" s="2" t="str">
        <f>IF(Source!$C182&gt;=COLUMNS($A182:AF182), Source!$E182, "")</f>
        <v/>
      </c>
      <c r="AG182" s="2" t="str">
        <f>IF(Source!$C182&gt;=COLUMNS($A182:AG182), Source!$E182, "")</f>
        <v/>
      </c>
      <c r="AH182" s="2" t="str">
        <f>IF(Source!$C182&gt;=COLUMNS($A182:AH182), Source!$E182, "")</f>
        <v/>
      </c>
      <c r="AI182" s="2" t="str">
        <f>IF(Source!$C182&gt;=COLUMNS($A182:AI182), Source!$E182, "")</f>
        <v/>
      </c>
      <c r="AJ182" s="2" t="str">
        <f>IF(Source!$C182&gt;=COLUMNS($A182:AJ182), Source!$E182, "")</f>
        <v/>
      </c>
      <c r="AK182" s="2" t="str">
        <f>IF(Source!$C182&gt;=COLUMNS($A182:AK182), Source!$E182, "")</f>
        <v/>
      </c>
      <c r="AL182" s="2" t="str">
        <f>IF(Source!$C182&gt;=COLUMNS($A182:AL182), Source!$E182, "")</f>
        <v/>
      </c>
      <c r="AM182" s="2" t="str">
        <f>IF(Source!$C182&gt;=COLUMNS($A182:AM182), Source!$E182, "")</f>
        <v/>
      </c>
      <c r="AN182" s="2" t="str">
        <f>IF(Source!$C182&gt;=COLUMNS($A182:AN182), Source!$E182, "")</f>
        <v/>
      </c>
      <c r="AO182" s="2" t="str">
        <f>IF(Source!$C182&gt;=COLUMNS($A182:AO182), Source!$E182, "")</f>
        <v/>
      </c>
      <c r="AP182" s="2" t="str">
        <f>IF(Source!$C182&gt;=COLUMNS($A182:AP182), Source!$E182, "")</f>
        <v/>
      </c>
      <c r="AQ182" s="2" t="str">
        <f>IF(Source!$C182&gt;=COLUMNS($A182:AQ182), Source!$E182, "")</f>
        <v/>
      </c>
      <c r="AR182" s="2" t="str">
        <f>IF(Source!$C182&gt;=COLUMNS($A182:AR182), Source!$E182, "")</f>
        <v/>
      </c>
    </row>
    <row r="183">
      <c r="A183" s="2">
        <f>IF(Source!$C183&gt;=COLUMNS($A183:A183), Source!$E183, "")</f>
        <v>2</v>
      </c>
      <c r="B183" s="2">
        <f>IF(Source!$C183&gt;=COLUMNS($A183:B183), Source!$E183, "")</f>
        <v>2</v>
      </c>
      <c r="C183" s="2">
        <f>IF(Source!$C183&gt;=COLUMNS($A183:C183), Source!$E183, "")</f>
        <v>2</v>
      </c>
      <c r="D183" s="2" t="str">
        <f>IF(Source!$C183&gt;=COLUMNS($A183:D183), Source!$E183, "")</f>
        <v/>
      </c>
      <c r="E183" s="2" t="str">
        <f>IF(Source!$C183&gt;=COLUMNS($A183:E183), Source!$E183, "")</f>
        <v/>
      </c>
      <c r="F183" s="2" t="str">
        <f>IF(Source!$C183&gt;=COLUMNS($A183:F183), Source!$E183, "")</f>
        <v/>
      </c>
      <c r="G183" s="2" t="str">
        <f>IF(Source!$C183&gt;=COLUMNS($A183:G183), Source!$E183, "")</f>
        <v/>
      </c>
      <c r="H183" s="2" t="str">
        <f>IF(Source!$C183&gt;=COLUMNS($A183:H183), Source!$E183, "")</f>
        <v/>
      </c>
      <c r="I183" s="2" t="str">
        <f>IF(Source!$C183&gt;=COLUMNS($A183:I183), Source!$E183, "")</f>
        <v/>
      </c>
      <c r="J183" s="2" t="str">
        <f>IF(Source!$C183&gt;=COLUMNS($A183:J183), Source!$E183, "")</f>
        <v/>
      </c>
      <c r="K183" s="2" t="str">
        <f>IF(Source!$C183&gt;=COLUMNS($A183:K183), Source!$E183, "")</f>
        <v/>
      </c>
      <c r="L183" s="2" t="str">
        <f>IF(Source!$C183&gt;=COLUMNS($A183:L183), Source!$E183, "")</f>
        <v/>
      </c>
      <c r="M183" s="2" t="str">
        <f>IF(Source!$C183&gt;=COLUMNS($A183:M183), Source!$E183, "")</f>
        <v/>
      </c>
      <c r="N183" s="2" t="str">
        <f>IF(Source!$C183&gt;=COLUMNS($A183:N183), Source!$E183, "")</f>
        <v/>
      </c>
      <c r="O183" s="2" t="str">
        <f>IF(Source!$C183&gt;=COLUMNS($A183:O183), Source!$E183, "")</f>
        <v/>
      </c>
      <c r="P183" s="2" t="str">
        <f>IF(Source!$C183&gt;=COLUMNS($A183:P183), Source!$E183, "")</f>
        <v/>
      </c>
      <c r="Q183" s="2" t="str">
        <f>IF(Source!$C183&gt;=COLUMNS($A183:Q183), Source!$E183, "")</f>
        <v/>
      </c>
      <c r="R183" s="2" t="str">
        <f>IF(Source!$C183&gt;=COLUMNS($A183:R183), Source!$E183, "")</f>
        <v/>
      </c>
      <c r="S183" s="2" t="str">
        <f>IF(Source!$C183&gt;=COLUMNS($A183:S183), Source!$E183, "")</f>
        <v/>
      </c>
      <c r="T183" s="2" t="str">
        <f>IF(Source!$C183&gt;=COLUMNS($A183:T183), Source!$E183, "")</f>
        <v/>
      </c>
      <c r="U183" s="2" t="str">
        <f>IF(Source!$C183&gt;=COLUMNS($A183:U183), Source!$E183, "")</f>
        <v/>
      </c>
      <c r="V183" s="2" t="str">
        <f>IF(Source!$C183&gt;=COLUMNS($A183:V183), Source!$E183, "")</f>
        <v/>
      </c>
      <c r="W183" s="2" t="str">
        <f>IF(Source!$C183&gt;=COLUMNS($A183:W183), Source!$E183, "")</f>
        <v/>
      </c>
      <c r="X183" s="2" t="str">
        <f>IF(Source!$C183&gt;=COLUMNS($A183:X183), Source!$E183, "")</f>
        <v/>
      </c>
      <c r="Y183" s="2" t="str">
        <f>IF(Source!$C183&gt;=COLUMNS($A183:Y183), Source!$E183, "")</f>
        <v/>
      </c>
      <c r="Z183" s="2" t="str">
        <f>IF(Source!$C183&gt;=COLUMNS($A183:Z183), Source!$E183, "")</f>
        <v/>
      </c>
      <c r="AA183" s="2" t="str">
        <f>IF(Source!$C183&gt;=COLUMNS($A183:AA183), Source!$E183, "")</f>
        <v/>
      </c>
      <c r="AB183" s="2" t="str">
        <f>IF(Source!$C183&gt;=COLUMNS($A183:AB183), Source!$E183, "")</f>
        <v/>
      </c>
      <c r="AC183" s="2" t="str">
        <f>IF(Source!$C183&gt;=COLUMNS($A183:AC183), Source!$E183, "")</f>
        <v/>
      </c>
      <c r="AD183" s="2" t="str">
        <f>IF(Source!$C183&gt;=COLUMNS($A183:AD183), Source!$E183, "")</f>
        <v/>
      </c>
      <c r="AE183" s="2" t="str">
        <f>IF(Source!$C183&gt;=COLUMNS($A183:AE183), Source!$E183, "")</f>
        <v/>
      </c>
      <c r="AF183" s="2" t="str">
        <f>IF(Source!$C183&gt;=COLUMNS($A183:AF183), Source!$E183, "")</f>
        <v/>
      </c>
      <c r="AG183" s="2" t="str">
        <f>IF(Source!$C183&gt;=COLUMNS($A183:AG183), Source!$E183, "")</f>
        <v/>
      </c>
      <c r="AH183" s="2" t="str">
        <f>IF(Source!$C183&gt;=COLUMNS($A183:AH183), Source!$E183, "")</f>
        <v/>
      </c>
      <c r="AI183" s="2" t="str">
        <f>IF(Source!$C183&gt;=COLUMNS($A183:AI183), Source!$E183, "")</f>
        <v/>
      </c>
      <c r="AJ183" s="2" t="str">
        <f>IF(Source!$C183&gt;=COLUMNS($A183:AJ183), Source!$E183, "")</f>
        <v/>
      </c>
      <c r="AK183" s="2" t="str">
        <f>IF(Source!$C183&gt;=COLUMNS($A183:AK183), Source!$E183, "")</f>
        <v/>
      </c>
      <c r="AL183" s="2" t="str">
        <f>IF(Source!$C183&gt;=COLUMNS($A183:AL183), Source!$E183, "")</f>
        <v/>
      </c>
      <c r="AM183" s="2" t="str">
        <f>IF(Source!$C183&gt;=COLUMNS($A183:AM183), Source!$E183, "")</f>
        <v/>
      </c>
      <c r="AN183" s="2" t="str">
        <f>IF(Source!$C183&gt;=COLUMNS($A183:AN183), Source!$E183, "")</f>
        <v/>
      </c>
      <c r="AO183" s="2" t="str">
        <f>IF(Source!$C183&gt;=COLUMNS($A183:AO183), Source!$E183, "")</f>
        <v/>
      </c>
      <c r="AP183" s="2" t="str">
        <f>IF(Source!$C183&gt;=COLUMNS($A183:AP183), Source!$E183, "")</f>
        <v/>
      </c>
      <c r="AQ183" s="2" t="str">
        <f>IF(Source!$C183&gt;=COLUMNS($A183:AQ183), Source!$E183, "")</f>
        <v/>
      </c>
      <c r="AR183" s="2" t="str">
        <f>IF(Source!$C183&gt;=COLUMNS($A183:AR183), Source!$E183, "")</f>
        <v/>
      </c>
    </row>
    <row r="184">
      <c r="A184" s="2">
        <f>IF(Source!$C184&gt;=COLUMNS($A184:A184), Source!$E184, "")</f>
        <v>6</v>
      </c>
      <c r="B184" s="2">
        <f>IF(Source!$C184&gt;=COLUMNS($A184:B184), Source!$E184, "")</f>
        <v>6</v>
      </c>
      <c r="C184" s="2">
        <f>IF(Source!$C184&gt;=COLUMNS($A184:C184), Source!$E184, "")</f>
        <v>6</v>
      </c>
      <c r="D184" s="2" t="str">
        <f>IF(Source!$C184&gt;=COLUMNS($A184:D184), Source!$E184, "")</f>
        <v/>
      </c>
      <c r="E184" s="2" t="str">
        <f>IF(Source!$C184&gt;=COLUMNS($A184:E184), Source!$E184, "")</f>
        <v/>
      </c>
      <c r="F184" s="2" t="str">
        <f>IF(Source!$C184&gt;=COLUMNS($A184:F184), Source!$E184, "")</f>
        <v/>
      </c>
      <c r="G184" s="2" t="str">
        <f>IF(Source!$C184&gt;=COLUMNS($A184:G184), Source!$E184, "")</f>
        <v/>
      </c>
      <c r="H184" s="2" t="str">
        <f>IF(Source!$C184&gt;=COLUMNS($A184:H184), Source!$E184, "")</f>
        <v/>
      </c>
      <c r="I184" s="2" t="str">
        <f>IF(Source!$C184&gt;=COLUMNS($A184:I184), Source!$E184, "")</f>
        <v/>
      </c>
      <c r="J184" s="2" t="str">
        <f>IF(Source!$C184&gt;=COLUMNS($A184:J184), Source!$E184, "")</f>
        <v/>
      </c>
      <c r="K184" s="2" t="str">
        <f>IF(Source!$C184&gt;=COLUMNS($A184:K184), Source!$E184, "")</f>
        <v/>
      </c>
      <c r="L184" s="2" t="str">
        <f>IF(Source!$C184&gt;=COLUMNS($A184:L184), Source!$E184, "")</f>
        <v/>
      </c>
      <c r="M184" s="2" t="str">
        <f>IF(Source!$C184&gt;=COLUMNS($A184:M184), Source!$E184, "")</f>
        <v/>
      </c>
      <c r="N184" s="2" t="str">
        <f>IF(Source!$C184&gt;=COLUMNS($A184:N184), Source!$E184, "")</f>
        <v/>
      </c>
      <c r="O184" s="2" t="str">
        <f>IF(Source!$C184&gt;=COLUMNS($A184:O184), Source!$E184, "")</f>
        <v/>
      </c>
      <c r="P184" s="2" t="str">
        <f>IF(Source!$C184&gt;=COLUMNS($A184:P184), Source!$E184, "")</f>
        <v/>
      </c>
      <c r="Q184" s="2" t="str">
        <f>IF(Source!$C184&gt;=COLUMNS($A184:Q184), Source!$E184, "")</f>
        <v/>
      </c>
      <c r="R184" s="2" t="str">
        <f>IF(Source!$C184&gt;=COLUMNS($A184:R184), Source!$E184, "")</f>
        <v/>
      </c>
      <c r="S184" s="2" t="str">
        <f>IF(Source!$C184&gt;=COLUMNS($A184:S184), Source!$E184, "")</f>
        <v/>
      </c>
      <c r="T184" s="2" t="str">
        <f>IF(Source!$C184&gt;=COLUMNS($A184:T184), Source!$E184, "")</f>
        <v/>
      </c>
      <c r="U184" s="2" t="str">
        <f>IF(Source!$C184&gt;=COLUMNS($A184:U184), Source!$E184, "")</f>
        <v/>
      </c>
      <c r="V184" s="2" t="str">
        <f>IF(Source!$C184&gt;=COLUMNS($A184:V184), Source!$E184, "")</f>
        <v/>
      </c>
      <c r="W184" s="2" t="str">
        <f>IF(Source!$C184&gt;=COLUMNS($A184:W184), Source!$E184, "")</f>
        <v/>
      </c>
      <c r="X184" s="2" t="str">
        <f>IF(Source!$C184&gt;=COLUMNS($A184:X184), Source!$E184, "")</f>
        <v/>
      </c>
      <c r="Y184" s="2" t="str">
        <f>IF(Source!$C184&gt;=COLUMNS($A184:Y184), Source!$E184, "")</f>
        <v/>
      </c>
      <c r="Z184" s="2" t="str">
        <f>IF(Source!$C184&gt;=COLUMNS($A184:Z184), Source!$E184, "")</f>
        <v/>
      </c>
      <c r="AA184" s="2" t="str">
        <f>IF(Source!$C184&gt;=COLUMNS($A184:AA184), Source!$E184, "")</f>
        <v/>
      </c>
      <c r="AB184" s="2" t="str">
        <f>IF(Source!$C184&gt;=COLUMNS($A184:AB184), Source!$E184, "")</f>
        <v/>
      </c>
      <c r="AC184" s="2" t="str">
        <f>IF(Source!$C184&gt;=COLUMNS($A184:AC184), Source!$E184, "")</f>
        <v/>
      </c>
      <c r="AD184" s="2" t="str">
        <f>IF(Source!$C184&gt;=COLUMNS($A184:AD184), Source!$E184, "")</f>
        <v/>
      </c>
      <c r="AE184" s="2" t="str">
        <f>IF(Source!$C184&gt;=COLUMNS($A184:AE184), Source!$E184, "")</f>
        <v/>
      </c>
      <c r="AF184" s="2" t="str">
        <f>IF(Source!$C184&gt;=COLUMNS($A184:AF184), Source!$E184, "")</f>
        <v/>
      </c>
      <c r="AG184" s="2" t="str">
        <f>IF(Source!$C184&gt;=COLUMNS($A184:AG184), Source!$E184, "")</f>
        <v/>
      </c>
      <c r="AH184" s="2" t="str">
        <f>IF(Source!$C184&gt;=COLUMNS($A184:AH184), Source!$E184, "")</f>
        <v/>
      </c>
      <c r="AI184" s="2" t="str">
        <f>IF(Source!$C184&gt;=COLUMNS($A184:AI184), Source!$E184, "")</f>
        <v/>
      </c>
      <c r="AJ184" s="2" t="str">
        <f>IF(Source!$C184&gt;=COLUMNS($A184:AJ184), Source!$E184, "")</f>
        <v/>
      </c>
      <c r="AK184" s="2" t="str">
        <f>IF(Source!$C184&gt;=COLUMNS($A184:AK184), Source!$E184, "")</f>
        <v/>
      </c>
      <c r="AL184" s="2" t="str">
        <f>IF(Source!$C184&gt;=COLUMNS($A184:AL184), Source!$E184, "")</f>
        <v/>
      </c>
      <c r="AM184" s="2" t="str">
        <f>IF(Source!$C184&gt;=COLUMNS($A184:AM184), Source!$E184, "")</f>
        <v/>
      </c>
      <c r="AN184" s="2" t="str">
        <f>IF(Source!$C184&gt;=COLUMNS($A184:AN184), Source!$E184, "")</f>
        <v/>
      </c>
      <c r="AO184" s="2" t="str">
        <f>IF(Source!$C184&gt;=COLUMNS($A184:AO184), Source!$E184, "")</f>
        <v/>
      </c>
      <c r="AP184" s="2" t="str">
        <f>IF(Source!$C184&gt;=COLUMNS($A184:AP184), Source!$E184, "")</f>
        <v/>
      </c>
      <c r="AQ184" s="2" t="str">
        <f>IF(Source!$C184&gt;=COLUMNS($A184:AQ184), Source!$E184, "")</f>
        <v/>
      </c>
      <c r="AR184" s="2" t="str">
        <f>IF(Source!$C184&gt;=COLUMNS($A184:AR184), Source!$E184, "")</f>
        <v/>
      </c>
    </row>
    <row r="185">
      <c r="A185" s="2">
        <f>IF(Source!$C185&gt;=COLUMNS($A185:A185), Source!$E185, "")</f>
        <v>6</v>
      </c>
      <c r="B185" s="2">
        <f>IF(Source!$C185&gt;=COLUMNS($A185:B185), Source!$E185, "")</f>
        <v>6</v>
      </c>
      <c r="C185" s="2">
        <f>IF(Source!$C185&gt;=COLUMNS($A185:C185), Source!$E185, "")</f>
        <v>6</v>
      </c>
      <c r="D185" s="2" t="str">
        <f>IF(Source!$C185&gt;=COLUMNS($A185:D185), Source!$E185, "")</f>
        <v/>
      </c>
      <c r="E185" s="2" t="str">
        <f>IF(Source!$C185&gt;=COLUMNS($A185:E185), Source!$E185, "")</f>
        <v/>
      </c>
      <c r="F185" s="2" t="str">
        <f>IF(Source!$C185&gt;=COLUMNS($A185:F185), Source!$E185, "")</f>
        <v/>
      </c>
      <c r="G185" s="2" t="str">
        <f>IF(Source!$C185&gt;=COLUMNS($A185:G185), Source!$E185, "")</f>
        <v/>
      </c>
      <c r="H185" s="2" t="str">
        <f>IF(Source!$C185&gt;=COLUMNS($A185:H185), Source!$E185, "")</f>
        <v/>
      </c>
      <c r="I185" s="2" t="str">
        <f>IF(Source!$C185&gt;=COLUMNS($A185:I185), Source!$E185, "")</f>
        <v/>
      </c>
      <c r="J185" s="2" t="str">
        <f>IF(Source!$C185&gt;=COLUMNS($A185:J185), Source!$E185, "")</f>
        <v/>
      </c>
      <c r="K185" s="2" t="str">
        <f>IF(Source!$C185&gt;=COLUMNS($A185:K185), Source!$E185, "")</f>
        <v/>
      </c>
      <c r="L185" s="2" t="str">
        <f>IF(Source!$C185&gt;=COLUMNS($A185:L185), Source!$E185, "")</f>
        <v/>
      </c>
      <c r="M185" s="2" t="str">
        <f>IF(Source!$C185&gt;=COLUMNS($A185:M185), Source!$E185, "")</f>
        <v/>
      </c>
      <c r="N185" s="2" t="str">
        <f>IF(Source!$C185&gt;=COLUMNS($A185:N185), Source!$E185, "")</f>
        <v/>
      </c>
      <c r="O185" s="2" t="str">
        <f>IF(Source!$C185&gt;=COLUMNS($A185:O185), Source!$E185, "")</f>
        <v/>
      </c>
      <c r="P185" s="2" t="str">
        <f>IF(Source!$C185&gt;=COLUMNS($A185:P185), Source!$E185, "")</f>
        <v/>
      </c>
      <c r="Q185" s="2" t="str">
        <f>IF(Source!$C185&gt;=COLUMNS($A185:Q185), Source!$E185, "")</f>
        <v/>
      </c>
      <c r="R185" s="2" t="str">
        <f>IF(Source!$C185&gt;=COLUMNS($A185:R185), Source!$E185, "")</f>
        <v/>
      </c>
      <c r="S185" s="2" t="str">
        <f>IF(Source!$C185&gt;=COLUMNS($A185:S185), Source!$E185, "")</f>
        <v/>
      </c>
      <c r="T185" s="2" t="str">
        <f>IF(Source!$C185&gt;=COLUMNS($A185:T185), Source!$E185, "")</f>
        <v/>
      </c>
      <c r="U185" s="2" t="str">
        <f>IF(Source!$C185&gt;=COLUMNS($A185:U185), Source!$E185, "")</f>
        <v/>
      </c>
      <c r="V185" s="2" t="str">
        <f>IF(Source!$C185&gt;=COLUMNS($A185:V185), Source!$E185, "")</f>
        <v/>
      </c>
      <c r="W185" s="2" t="str">
        <f>IF(Source!$C185&gt;=COLUMNS($A185:W185), Source!$E185, "")</f>
        <v/>
      </c>
      <c r="X185" s="2" t="str">
        <f>IF(Source!$C185&gt;=COLUMNS($A185:X185), Source!$E185, "")</f>
        <v/>
      </c>
      <c r="Y185" s="2" t="str">
        <f>IF(Source!$C185&gt;=COLUMNS($A185:Y185), Source!$E185, "")</f>
        <v/>
      </c>
      <c r="Z185" s="2" t="str">
        <f>IF(Source!$C185&gt;=COLUMNS($A185:Z185), Source!$E185, "")</f>
        <v/>
      </c>
      <c r="AA185" s="2" t="str">
        <f>IF(Source!$C185&gt;=COLUMNS($A185:AA185), Source!$E185, "")</f>
        <v/>
      </c>
      <c r="AB185" s="2" t="str">
        <f>IF(Source!$C185&gt;=COLUMNS($A185:AB185), Source!$E185, "")</f>
        <v/>
      </c>
      <c r="AC185" s="2" t="str">
        <f>IF(Source!$C185&gt;=COLUMNS($A185:AC185), Source!$E185, "")</f>
        <v/>
      </c>
      <c r="AD185" s="2" t="str">
        <f>IF(Source!$C185&gt;=COLUMNS($A185:AD185), Source!$E185, "")</f>
        <v/>
      </c>
      <c r="AE185" s="2" t="str">
        <f>IF(Source!$C185&gt;=COLUMNS($A185:AE185), Source!$E185, "")</f>
        <v/>
      </c>
      <c r="AF185" s="2" t="str">
        <f>IF(Source!$C185&gt;=COLUMNS($A185:AF185), Source!$E185, "")</f>
        <v/>
      </c>
      <c r="AG185" s="2" t="str">
        <f>IF(Source!$C185&gt;=COLUMNS($A185:AG185), Source!$E185, "")</f>
        <v/>
      </c>
      <c r="AH185" s="2" t="str">
        <f>IF(Source!$C185&gt;=COLUMNS($A185:AH185), Source!$E185, "")</f>
        <v/>
      </c>
      <c r="AI185" s="2" t="str">
        <f>IF(Source!$C185&gt;=COLUMNS($A185:AI185), Source!$E185, "")</f>
        <v/>
      </c>
      <c r="AJ185" s="2" t="str">
        <f>IF(Source!$C185&gt;=COLUMNS($A185:AJ185), Source!$E185, "")</f>
        <v/>
      </c>
      <c r="AK185" s="2" t="str">
        <f>IF(Source!$C185&gt;=COLUMNS($A185:AK185), Source!$E185, "")</f>
        <v/>
      </c>
      <c r="AL185" s="2" t="str">
        <f>IF(Source!$C185&gt;=COLUMNS($A185:AL185), Source!$E185, "")</f>
        <v/>
      </c>
      <c r="AM185" s="2" t="str">
        <f>IF(Source!$C185&gt;=COLUMNS($A185:AM185), Source!$E185, "")</f>
        <v/>
      </c>
      <c r="AN185" s="2" t="str">
        <f>IF(Source!$C185&gt;=COLUMNS($A185:AN185), Source!$E185, "")</f>
        <v/>
      </c>
      <c r="AO185" s="2" t="str">
        <f>IF(Source!$C185&gt;=COLUMNS($A185:AO185), Source!$E185, "")</f>
        <v/>
      </c>
      <c r="AP185" s="2" t="str">
        <f>IF(Source!$C185&gt;=COLUMNS($A185:AP185), Source!$E185, "")</f>
        <v/>
      </c>
      <c r="AQ185" s="2" t="str">
        <f>IF(Source!$C185&gt;=COLUMNS($A185:AQ185), Source!$E185, "")</f>
        <v/>
      </c>
      <c r="AR185" s="2" t="str">
        <f>IF(Source!$C185&gt;=COLUMNS($A185:AR185), Source!$E185, "")</f>
        <v/>
      </c>
    </row>
    <row r="186">
      <c r="A186" s="2">
        <f>IF(Source!$C186&gt;=COLUMNS($A186:A186), Source!$E186, "")</f>
        <v>2</v>
      </c>
      <c r="B186" s="2">
        <f>IF(Source!$C186&gt;=COLUMNS($A186:B186), Source!$E186, "")</f>
        <v>2</v>
      </c>
      <c r="C186" s="2">
        <f>IF(Source!$C186&gt;=COLUMNS($A186:C186), Source!$E186, "")</f>
        <v>2</v>
      </c>
      <c r="D186" s="2">
        <f>IF(Source!$C186&gt;=COLUMNS($A186:D186), Source!$E186, "")</f>
        <v>2</v>
      </c>
      <c r="E186" s="2" t="str">
        <f>IF(Source!$C186&gt;=COLUMNS($A186:E186), Source!$E186, "")</f>
        <v/>
      </c>
      <c r="F186" s="2" t="str">
        <f>IF(Source!$C186&gt;=COLUMNS($A186:F186), Source!$E186, "")</f>
        <v/>
      </c>
      <c r="G186" s="2" t="str">
        <f>IF(Source!$C186&gt;=COLUMNS($A186:G186), Source!$E186, "")</f>
        <v/>
      </c>
      <c r="H186" s="2" t="str">
        <f>IF(Source!$C186&gt;=COLUMNS($A186:H186), Source!$E186, "")</f>
        <v/>
      </c>
      <c r="I186" s="2" t="str">
        <f>IF(Source!$C186&gt;=COLUMNS($A186:I186), Source!$E186, "")</f>
        <v/>
      </c>
      <c r="J186" s="2" t="str">
        <f>IF(Source!$C186&gt;=COLUMNS($A186:J186), Source!$E186, "")</f>
        <v/>
      </c>
      <c r="K186" s="2" t="str">
        <f>IF(Source!$C186&gt;=COLUMNS($A186:K186), Source!$E186, "")</f>
        <v/>
      </c>
      <c r="L186" s="2" t="str">
        <f>IF(Source!$C186&gt;=COLUMNS($A186:L186), Source!$E186, "")</f>
        <v/>
      </c>
      <c r="M186" s="2" t="str">
        <f>IF(Source!$C186&gt;=COLUMNS($A186:M186), Source!$E186, "")</f>
        <v/>
      </c>
      <c r="N186" s="2" t="str">
        <f>IF(Source!$C186&gt;=COLUMNS($A186:N186), Source!$E186, "")</f>
        <v/>
      </c>
      <c r="O186" s="2" t="str">
        <f>IF(Source!$C186&gt;=COLUMNS($A186:O186), Source!$E186, "")</f>
        <v/>
      </c>
      <c r="P186" s="2" t="str">
        <f>IF(Source!$C186&gt;=COLUMNS($A186:P186), Source!$E186, "")</f>
        <v/>
      </c>
      <c r="Q186" s="2" t="str">
        <f>IF(Source!$C186&gt;=COLUMNS($A186:Q186), Source!$E186, "")</f>
        <v/>
      </c>
      <c r="R186" s="2" t="str">
        <f>IF(Source!$C186&gt;=COLUMNS($A186:R186), Source!$E186, "")</f>
        <v/>
      </c>
      <c r="S186" s="2" t="str">
        <f>IF(Source!$C186&gt;=COLUMNS($A186:S186), Source!$E186, "")</f>
        <v/>
      </c>
      <c r="T186" s="2" t="str">
        <f>IF(Source!$C186&gt;=COLUMNS($A186:T186), Source!$E186, "")</f>
        <v/>
      </c>
      <c r="U186" s="2" t="str">
        <f>IF(Source!$C186&gt;=COLUMNS($A186:U186), Source!$E186, "")</f>
        <v/>
      </c>
      <c r="V186" s="2" t="str">
        <f>IF(Source!$C186&gt;=COLUMNS($A186:V186), Source!$E186, "")</f>
        <v/>
      </c>
      <c r="W186" s="2" t="str">
        <f>IF(Source!$C186&gt;=COLUMNS($A186:W186), Source!$E186, "")</f>
        <v/>
      </c>
      <c r="X186" s="2" t="str">
        <f>IF(Source!$C186&gt;=COLUMNS($A186:X186), Source!$E186, "")</f>
        <v/>
      </c>
      <c r="Y186" s="2" t="str">
        <f>IF(Source!$C186&gt;=COLUMNS($A186:Y186), Source!$E186, "")</f>
        <v/>
      </c>
      <c r="Z186" s="2" t="str">
        <f>IF(Source!$C186&gt;=COLUMNS($A186:Z186), Source!$E186, "")</f>
        <v/>
      </c>
      <c r="AA186" s="2" t="str">
        <f>IF(Source!$C186&gt;=COLUMNS($A186:AA186), Source!$E186, "")</f>
        <v/>
      </c>
      <c r="AB186" s="2" t="str">
        <f>IF(Source!$C186&gt;=COLUMNS($A186:AB186), Source!$E186, "")</f>
        <v/>
      </c>
      <c r="AC186" s="2" t="str">
        <f>IF(Source!$C186&gt;=COLUMNS($A186:AC186), Source!$E186, "")</f>
        <v/>
      </c>
      <c r="AD186" s="2" t="str">
        <f>IF(Source!$C186&gt;=COLUMNS($A186:AD186), Source!$E186, "")</f>
        <v/>
      </c>
      <c r="AE186" s="2" t="str">
        <f>IF(Source!$C186&gt;=COLUMNS($A186:AE186), Source!$E186, "")</f>
        <v/>
      </c>
      <c r="AF186" s="2" t="str">
        <f>IF(Source!$C186&gt;=COLUMNS($A186:AF186), Source!$E186, "")</f>
        <v/>
      </c>
      <c r="AG186" s="2" t="str">
        <f>IF(Source!$C186&gt;=COLUMNS($A186:AG186), Source!$E186, "")</f>
        <v/>
      </c>
      <c r="AH186" s="2" t="str">
        <f>IF(Source!$C186&gt;=COLUMNS($A186:AH186), Source!$E186, "")</f>
        <v/>
      </c>
      <c r="AI186" s="2" t="str">
        <f>IF(Source!$C186&gt;=COLUMNS($A186:AI186), Source!$E186, "")</f>
        <v/>
      </c>
      <c r="AJ186" s="2" t="str">
        <f>IF(Source!$C186&gt;=COLUMNS($A186:AJ186), Source!$E186, "")</f>
        <v/>
      </c>
      <c r="AK186" s="2" t="str">
        <f>IF(Source!$C186&gt;=COLUMNS($A186:AK186), Source!$E186, "")</f>
        <v/>
      </c>
      <c r="AL186" s="2" t="str">
        <f>IF(Source!$C186&gt;=COLUMNS($A186:AL186), Source!$E186, "")</f>
        <v/>
      </c>
      <c r="AM186" s="2" t="str">
        <f>IF(Source!$C186&gt;=COLUMNS($A186:AM186), Source!$E186, "")</f>
        <v/>
      </c>
      <c r="AN186" s="2" t="str">
        <f>IF(Source!$C186&gt;=COLUMNS($A186:AN186), Source!$E186, "")</f>
        <v/>
      </c>
      <c r="AO186" s="2" t="str">
        <f>IF(Source!$C186&gt;=COLUMNS($A186:AO186), Source!$E186, "")</f>
        <v/>
      </c>
      <c r="AP186" s="2" t="str">
        <f>IF(Source!$C186&gt;=COLUMNS($A186:AP186), Source!$E186, "")</f>
        <v/>
      </c>
      <c r="AQ186" s="2" t="str">
        <f>IF(Source!$C186&gt;=COLUMNS($A186:AQ186), Source!$E186, "")</f>
        <v/>
      </c>
      <c r="AR186" s="2" t="str">
        <f>IF(Source!$C186&gt;=COLUMNS($A186:AR186), Source!$E186, "")</f>
        <v/>
      </c>
    </row>
    <row r="187">
      <c r="A187" s="2">
        <f>IF(Source!$C187&gt;=COLUMNS($A187:A187), Source!$E187, "")</f>
        <v>9</v>
      </c>
      <c r="B187" s="2">
        <f>IF(Source!$C187&gt;=COLUMNS($A187:B187), Source!$E187, "")</f>
        <v>9</v>
      </c>
      <c r="C187" s="2">
        <f>IF(Source!$C187&gt;=COLUMNS($A187:C187), Source!$E187, "")</f>
        <v>9</v>
      </c>
      <c r="D187" s="2">
        <f>IF(Source!$C187&gt;=COLUMNS($A187:D187), Source!$E187, "")</f>
        <v>9</v>
      </c>
      <c r="E187" s="2">
        <f>IF(Source!$C187&gt;=COLUMNS($A187:E187), Source!$E187, "")</f>
        <v>9</v>
      </c>
      <c r="F187" s="2">
        <f>IF(Source!$C187&gt;=COLUMNS($A187:F187), Source!$E187, "")</f>
        <v>9</v>
      </c>
      <c r="G187" s="2" t="str">
        <f>IF(Source!$C187&gt;=COLUMNS($A187:G187), Source!$E187, "")</f>
        <v/>
      </c>
      <c r="H187" s="2" t="str">
        <f>IF(Source!$C187&gt;=COLUMNS($A187:H187), Source!$E187, "")</f>
        <v/>
      </c>
      <c r="I187" s="2" t="str">
        <f>IF(Source!$C187&gt;=COLUMNS($A187:I187), Source!$E187, "")</f>
        <v/>
      </c>
      <c r="J187" s="2" t="str">
        <f>IF(Source!$C187&gt;=COLUMNS($A187:J187), Source!$E187, "")</f>
        <v/>
      </c>
      <c r="K187" s="2" t="str">
        <f>IF(Source!$C187&gt;=COLUMNS($A187:K187), Source!$E187, "")</f>
        <v/>
      </c>
      <c r="L187" s="2" t="str">
        <f>IF(Source!$C187&gt;=COLUMNS($A187:L187), Source!$E187, "")</f>
        <v/>
      </c>
      <c r="M187" s="2" t="str">
        <f>IF(Source!$C187&gt;=COLUMNS($A187:M187), Source!$E187, "")</f>
        <v/>
      </c>
      <c r="N187" s="2" t="str">
        <f>IF(Source!$C187&gt;=COLUMNS($A187:N187), Source!$E187, "")</f>
        <v/>
      </c>
      <c r="O187" s="2" t="str">
        <f>IF(Source!$C187&gt;=COLUMNS($A187:O187), Source!$E187, "")</f>
        <v/>
      </c>
      <c r="P187" s="2" t="str">
        <f>IF(Source!$C187&gt;=COLUMNS($A187:P187), Source!$E187, "")</f>
        <v/>
      </c>
      <c r="Q187" s="2" t="str">
        <f>IF(Source!$C187&gt;=COLUMNS($A187:Q187), Source!$E187, "")</f>
        <v/>
      </c>
      <c r="R187" s="2" t="str">
        <f>IF(Source!$C187&gt;=COLUMNS($A187:R187), Source!$E187, "")</f>
        <v/>
      </c>
      <c r="S187" s="2" t="str">
        <f>IF(Source!$C187&gt;=COLUMNS($A187:S187), Source!$E187, "")</f>
        <v/>
      </c>
      <c r="T187" s="2" t="str">
        <f>IF(Source!$C187&gt;=COLUMNS($A187:T187), Source!$E187, "")</f>
        <v/>
      </c>
      <c r="U187" s="2" t="str">
        <f>IF(Source!$C187&gt;=COLUMNS($A187:U187), Source!$E187, "")</f>
        <v/>
      </c>
      <c r="V187" s="2" t="str">
        <f>IF(Source!$C187&gt;=COLUMNS($A187:V187), Source!$E187, "")</f>
        <v/>
      </c>
      <c r="W187" s="2" t="str">
        <f>IF(Source!$C187&gt;=COLUMNS($A187:W187), Source!$E187, "")</f>
        <v/>
      </c>
      <c r="X187" s="2" t="str">
        <f>IF(Source!$C187&gt;=COLUMNS($A187:X187), Source!$E187, "")</f>
        <v/>
      </c>
      <c r="Y187" s="2" t="str">
        <f>IF(Source!$C187&gt;=COLUMNS($A187:Y187), Source!$E187, "")</f>
        <v/>
      </c>
      <c r="Z187" s="2" t="str">
        <f>IF(Source!$C187&gt;=COLUMNS($A187:Z187), Source!$E187, "")</f>
        <v/>
      </c>
      <c r="AA187" s="2" t="str">
        <f>IF(Source!$C187&gt;=COLUMNS($A187:AA187), Source!$E187, "")</f>
        <v/>
      </c>
      <c r="AB187" s="2" t="str">
        <f>IF(Source!$C187&gt;=COLUMNS($A187:AB187), Source!$E187, "")</f>
        <v/>
      </c>
      <c r="AC187" s="2" t="str">
        <f>IF(Source!$C187&gt;=COLUMNS($A187:AC187), Source!$E187, "")</f>
        <v/>
      </c>
      <c r="AD187" s="2" t="str">
        <f>IF(Source!$C187&gt;=COLUMNS($A187:AD187), Source!$E187, "")</f>
        <v/>
      </c>
      <c r="AE187" s="2" t="str">
        <f>IF(Source!$C187&gt;=COLUMNS($A187:AE187), Source!$E187, "")</f>
        <v/>
      </c>
      <c r="AF187" s="2" t="str">
        <f>IF(Source!$C187&gt;=COLUMNS($A187:AF187), Source!$E187, "")</f>
        <v/>
      </c>
      <c r="AG187" s="2" t="str">
        <f>IF(Source!$C187&gt;=COLUMNS($A187:AG187), Source!$E187, "")</f>
        <v/>
      </c>
      <c r="AH187" s="2" t="str">
        <f>IF(Source!$C187&gt;=COLUMNS($A187:AH187), Source!$E187, "")</f>
        <v/>
      </c>
      <c r="AI187" s="2" t="str">
        <f>IF(Source!$C187&gt;=COLUMNS($A187:AI187), Source!$E187, "")</f>
        <v/>
      </c>
      <c r="AJ187" s="2" t="str">
        <f>IF(Source!$C187&gt;=COLUMNS($A187:AJ187), Source!$E187, "")</f>
        <v/>
      </c>
      <c r="AK187" s="2" t="str">
        <f>IF(Source!$C187&gt;=COLUMNS($A187:AK187), Source!$E187, "")</f>
        <v/>
      </c>
      <c r="AL187" s="2" t="str">
        <f>IF(Source!$C187&gt;=COLUMNS($A187:AL187), Source!$E187, "")</f>
        <v/>
      </c>
      <c r="AM187" s="2" t="str">
        <f>IF(Source!$C187&gt;=COLUMNS($A187:AM187), Source!$E187, "")</f>
        <v/>
      </c>
      <c r="AN187" s="2" t="str">
        <f>IF(Source!$C187&gt;=COLUMNS($A187:AN187), Source!$E187, "")</f>
        <v/>
      </c>
      <c r="AO187" s="2" t="str">
        <f>IF(Source!$C187&gt;=COLUMNS($A187:AO187), Source!$E187, "")</f>
        <v/>
      </c>
      <c r="AP187" s="2" t="str">
        <f>IF(Source!$C187&gt;=COLUMNS($A187:AP187), Source!$E187, "")</f>
        <v/>
      </c>
      <c r="AQ187" s="2" t="str">
        <f>IF(Source!$C187&gt;=COLUMNS($A187:AQ187), Source!$E187, "")</f>
        <v/>
      </c>
      <c r="AR187" s="2" t="str">
        <f>IF(Source!$C187&gt;=COLUMNS($A187:AR187), Source!$E187, "")</f>
        <v/>
      </c>
    </row>
    <row r="188">
      <c r="A188" s="2">
        <f>IF(Source!$C188&gt;=COLUMNS($A188:A188), Source!$E188, "")</f>
        <v>1</v>
      </c>
      <c r="B188" s="2" t="str">
        <f>IF(Source!$C188&gt;=COLUMNS($A188:B188), Source!$E188, "")</f>
        <v/>
      </c>
      <c r="C188" s="2" t="str">
        <f>IF(Source!$C188&gt;=COLUMNS($A188:C188), Source!$E188, "")</f>
        <v/>
      </c>
      <c r="D188" s="2" t="str">
        <f>IF(Source!$C188&gt;=COLUMNS($A188:D188), Source!$E188, "")</f>
        <v/>
      </c>
      <c r="E188" s="2" t="str">
        <f>IF(Source!$C188&gt;=COLUMNS($A188:E188), Source!$E188, "")</f>
        <v/>
      </c>
      <c r="F188" s="2" t="str">
        <f>IF(Source!$C188&gt;=COLUMNS($A188:F188), Source!$E188, "")</f>
        <v/>
      </c>
      <c r="G188" s="2" t="str">
        <f>IF(Source!$C188&gt;=COLUMNS($A188:G188), Source!$E188, "")</f>
        <v/>
      </c>
      <c r="H188" s="2" t="str">
        <f>IF(Source!$C188&gt;=COLUMNS($A188:H188), Source!$E188, "")</f>
        <v/>
      </c>
      <c r="I188" s="2" t="str">
        <f>IF(Source!$C188&gt;=COLUMNS($A188:I188), Source!$E188, "")</f>
        <v/>
      </c>
      <c r="J188" s="2" t="str">
        <f>IF(Source!$C188&gt;=COLUMNS($A188:J188), Source!$E188, "")</f>
        <v/>
      </c>
      <c r="K188" s="2" t="str">
        <f>IF(Source!$C188&gt;=COLUMNS($A188:K188), Source!$E188, "")</f>
        <v/>
      </c>
      <c r="L188" s="2" t="str">
        <f>IF(Source!$C188&gt;=COLUMNS($A188:L188), Source!$E188, "")</f>
        <v/>
      </c>
      <c r="M188" s="2" t="str">
        <f>IF(Source!$C188&gt;=COLUMNS($A188:M188), Source!$E188, "")</f>
        <v/>
      </c>
      <c r="N188" s="2" t="str">
        <f>IF(Source!$C188&gt;=COLUMNS($A188:N188), Source!$E188, "")</f>
        <v/>
      </c>
      <c r="O188" s="2" t="str">
        <f>IF(Source!$C188&gt;=COLUMNS($A188:O188), Source!$E188, "")</f>
        <v/>
      </c>
      <c r="P188" s="2" t="str">
        <f>IF(Source!$C188&gt;=COLUMNS($A188:P188), Source!$E188, "")</f>
        <v/>
      </c>
      <c r="Q188" s="2" t="str">
        <f>IF(Source!$C188&gt;=COLUMNS($A188:Q188), Source!$E188, "")</f>
        <v/>
      </c>
      <c r="R188" s="2" t="str">
        <f>IF(Source!$C188&gt;=COLUMNS($A188:R188), Source!$E188, "")</f>
        <v/>
      </c>
      <c r="S188" s="2" t="str">
        <f>IF(Source!$C188&gt;=COLUMNS($A188:S188), Source!$E188, "")</f>
        <v/>
      </c>
      <c r="T188" s="2" t="str">
        <f>IF(Source!$C188&gt;=COLUMNS($A188:T188), Source!$E188, "")</f>
        <v/>
      </c>
      <c r="U188" s="2" t="str">
        <f>IF(Source!$C188&gt;=COLUMNS($A188:U188), Source!$E188, "")</f>
        <v/>
      </c>
      <c r="V188" s="2" t="str">
        <f>IF(Source!$C188&gt;=COLUMNS($A188:V188), Source!$E188, "")</f>
        <v/>
      </c>
      <c r="W188" s="2" t="str">
        <f>IF(Source!$C188&gt;=COLUMNS($A188:W188), Source!$E188, "")</f>
        <v/>
      </c>
      <c r="X188" s="2" t="str">
        <f>IF(Source!$C188&gt;=COLUMNS($A188:X188), Source!$E188, "")</f>
        <v/>
      </c>
      <c r="Y188" s="2" t="str">
        <f>IF(Source!$C188&gt;=COLUMNS($A188:Y188), Source!$E188, "")</f>
        <v/>
      </c>
      <c r="Z188" s="2" t="str">
        <f>IF(Source!$C188&gt;=COLUMNS($A188:Z188), Source!$E188, "")</f>
        <v/>
      </c>
      <c r="AA188" s="2" t="str">
        <f>IF(Source!$C188&gt;=COLUMNS($A188:AA188), Source!$E188, "")</f>
        <v/>
      </c>
      <c r="AB188" s="2" t="str">
        <f>IF(Source!$C188&gt;=COLUMNS($A188:AB188), Source!$E188, "")</f>
        <v/>
      </c>
      <c r="AC188" s="2" t="str">
        <f>IF(Source!$C188&gt;=COLUMNS($A188:AC188), Source!$E188, "")</f>
        <v/>
      </c>
      <c r="AD188" s="2" t="str">
        <f>IF(Source!$C188&gt;=COLUMNS($A188:AD188), Source!$E188, "")</f>
        <v/>
      </c>
      <c r="AE188" s="2" t="str">
        <f>IF(Source!$C188&gt;=COLUMNS($A188:AE188), Source!$E188, "")</f>
        <v/>
      </c>
      <c r="AF188" s="2" t="str">
        <f>IF(Source!$C188&gt;=COLUMNS($A188:AF188), Source!$E188, "")</f>
        <v/>
      </c>
      <c r="AG188" s="2" t="str">
        <f>IF(Source!$C188&gt;=COLUMNS($A188:AG188), Source!$E188, "")</f>
        <v/>
      </c>
      <c r="AH188" s="2" t="str">
        <f>IF(Source!$C188&gt;=COLUMNS($A188:AH188), Source!$E188, "")</f>
        <v/>
      </c>
      <c r="AI188" s="2" t="str">
        <f>IF(Source!$C188&gt;=COLUMNS($A188:AI188), Source!$E188, "")</f>
        <v/>
      </c>
      <c r="AJ188" s="2" t="str">
        <f>IF(Source!$C188&gt;=COLUMNS($A188:AJ188), Source!$E188, "")</f>
        <v/>
      </c>
      <c r="AK188" s="2" t="str">
        <f>IF(Source!$C188&gt;=COLUMNS($A188:AK188), Source!$E188, "")</f>
        <v/>
      </c>
      <c r="AL188" s="2" t="str">
        <f>IF(Source!$C188&gt;=COLUMNS($A188:AL188), Source!$E188, "")</f>
        <v/>
      </c>
      <c r="AM188" s="2" t="str">
        <f>IF(Source!$C188&gt;=COLUMNS($A188:AM188), Source!$E188, "")</f>
        <v/>
      </c>
      <c r="AN188" s="2" t="str">
        <f>IF(Source!$C188&gt;=COLUMNS($A188:AN188), Source!$E188, "")</f>
        <v/>
      </c>
      <c r="AO188" s="2" t="str">
        <f>IF(Source!$C188&gt;=COLUMNS($A188:AO188), Source!$E188, "")</f>
        <v/>
      </c>
      <c r="AP188" s="2" t="str">
        <f>IF(Source!$C188&gt;=COLUMNS($A188:AP188), Source!$E188, "")</f>
        <v/>
      </c>
      <c r="AQ188" s="2" t="str">
        <f>IF(Source!$C188&gt;=COLUMNS($A188:AQ188), Source!$E188, "")</f>
        <v/>
      </c>
      <c r="AR188" s="2" t="str">
        <f>IF(Source!$C188&gt;=COLUMNS($A188:AR188), Source!$E188, "")</f>
        <v/>
      </c>
    </row>
    <row r="189">
      <c r="A189" s="2">
        <f>IF(Source!$C189&gt;=COLUMNS($A189:A189), Source!$E189, "")</f>
        <v>8</v>
      </c>
      <c r="B189" s="2">
        <f>IF(Source!$C189&gt;=COLUMNS($A189:B189), Source!$E189, "")</f>
        <v>8</v>
      </c>
      <c r="C189" s="2">
        <f>IF(Source!$C189&gt;=COLUMNS($A189:C189), Source!$E189, "")</f>
        <v>8</v>
      </c>
      <c r="D189" s="2">
        <f>IF(Source!$C189&gt;=COLUMNS($A189:D189), Source!$E189, "")</f>
        <v>8</v>
      </c>
      <c r="E189" s="2">
        <f>IF(Source!$C189&gt;=COLUMNS($A189:E189), Source!$E189, "")</f>
        <v>8</v>
      </c>
      <c r="F189" s="2">
        <f>IF(Source!$C189&gt;=COLUMNS($A189:F189), Source!$E189, "")</f>
        <v>8</v>
      </c>
      <c r="G189" s="2">
        <f>IF(Source!$C189&gt;=COLUMNS($A189:G189), Source!$E189, "")</f>
        <v>8</v>
      </c>
      <c r="H189" s="2">
        <f>IF(Source!$C189&gt;=COLUMNS($A189:H189), Source!$E189, "")</f>
        <v>8</v>
      </c>
      <c r="I189" s="2" t="str">
        <f>IF(Source!$C189&gt;=COLUMNS($A189:I189), Source!$E189, "")</f>
        <v/>
      </c>
      <c r="J189" s="2" t="str">
        <f>IF(Source!$C189&gt;=COLUMNS($A189:J189), Source!$E189, "")</f>
        <v/>
      </c>
      <c r="K189" s="2" t="str">
        <f>IF(Source!$C189&gt;=COLUMNS($A189:K189), Source!$E189, "")</f>
        <v/>
      </c>
      <c r="L189" s="2" t="str">
        <f>IF(Source!$C189&gt;=COLUMNS($A189:L189), Source!$E189, "")</f>
        <v/>
      </c>
      <c r="M189" s="2" t="str">
        <f>IF(Source!$C189&gt;=COLUMNS($A189:M189), Source!$E189, "")</f>
        <v/>
      </c>
      <c r="N189" s="2" t="str">
        <f>IF(Source!$C189&gt;=COLUMNS($A189:N189), Source!$E189, "")</f>
        <v/>
      </c>
      <c r="O189" s="2" t="str">
        <f>IF(Source!$C189&gt;=COLUMNS($A189:O189), Source!$E189, "")</f>
        <v/>
      </c>
      <c r="P189" s="2" t="str">
        <f>IF(Source!$C189&gt;=COLUMNS($A189:P189), Source!$E189, "")</f>
        <v/>
      </c>
      <c r="Q189" s="2" t="str">
        <f>IF(Source!$C189&gt;=COLUMNS($A189:Q189), Source!$E189, "")</f>
        <v/>
      </c>
      <c r="R189" s="2" t="str">
        <f>IF(Source!$C189&gt;=COLUMNS($A189:R189), Source!$E189, "")</f>
        <v/>
      </c>
      <c r="S189" s="2" t="str">
        <f>IF(Source!$C189&gt;=COLUMNS($A189:S189), Source!$E189, "")</f>
        <v/>
      </c>
      <c r="T189" s="2" t="str">
        <f>IF(Source!$C189&gt;=COLUMNS($A189:T189), Source!$E189, "")</f>
        <v/>
      </c>
      <c r="U189" s="2" t="str">
        <f>IF(Source!$C189&gt;=COLUMNS($A189:U189), Source!$E189, "")</f>
        <v/>
      </c>
      <c r="V189" s="2" t="str">
        <f>IF(Source!$C189&gt;=COLUMNS($A189:V189), Source!$E189, "")</f>
        <v/>
      </c>
      <c r="W189" s="2" t="str">
        <f>IF(Source!$C189&gt;=COLUMNS($A189:W189), Source!$E189, "")</f>
        <v/>
      </c>
      <c r="X189" s="2" t="str">
        <f>IF(Source!$C189&gt;=COLUMNS($A189:X189), Source!$E189, "")</f>
        <v/>
      </c>
      <c r="Y189" s="2" t="str">
        <f>IF(Source!$C189&gt;=COLUMNS($A189:Y189), Source!$E189, "")</f>
        <v/>
      </c>
      <c r="Z189" s="2" t="str">
        <f>IF(Source!$C189&gt;=COLUMNS($A189:Z189), Source!$E189, "")</f>
        <v/>
      </c>
      <c r="AA189" s="2" t="str">
        <f>IF(Source!$C189&gt;=COLUMNS($A189:AA189), Source!$E189, "")</f>
        <v/>
      </c>
      <c r="AB189" s="2" t="str">
        <f>IF(Source!$C189&gt;=COLUMNS($A189:AB189), Source!$E189, "")</f>
        <v/>
      </c>
      <c r="AC189" s="2" t="str">
        <f>IF(Source!$C189&gt;=COLUMNS($A189:AC189), Source!$E189, "")</f>
        <v/>
      </c>
      <c r="AD189" s="2" t="str">
        <f>IF(Source!$C189&gt;=COLUMNS($A189:AD189), Source!$E189, "")</f>
        <v/>
      </c>
      <c r="AE189" s="2" t="str">
        <f>IF(Source!$C189&gt;=COLUMNS($A189:AE189), Source!$E189, "")</f>
        <v/>
      </c>
      <c r="AF189" s="2" t="str">
        <f>IF(Source!$C189&gt;=COLUMNS($A189:AF189), Source!$E189, "")</f>
        <v/>
      </c>
      <c r="AG189" s="2" t="str">
        <f>IF(Source!$C189&gt;=COLUMNS($A189:AG189), Source!$E189, "")</f>
        <v/>
      </c>
      <c r="AH189" s="2" t="str">
        <f>IF(Source!$C189&gt;=COLUMNS($A189:AH189), Source!$E189, "")</f>
        <v/>
      </c>
      <c r="AI189" s="2" t="str">
        <f>IF(Source!$C189&gt;=COLUMNS($A189:AI189), Source!$E189, "")</f>
        <v/>
      </c>
      <c r="AJ189" s="2" t="str">
        <f>IF(Source!$C189&gt;=COLUMNS($A189:AJ189), Source!$E189, "")</f>
        <v/>
      </c>
      <c r="AK189" s="2" t="str">
        <f>IF(Source!$C189&gt;=COLUMNS($A189:AK189), Source!$E189, "")</f>
        <v/>
      </c>
      <c r="AL189" s="2" t="str">
        <f>IF(Source!$C189&gt;=COLUMNS($A189:AL189), Source!$E189, "")</f>
        <v/>
      </c>
      <c r="AM189" s="2" t="str">
        <f>IF(Source!$C189&gt;=COLUMNS($A189:AM189), Source!$E189, "")</f>
        <v/>
      </c>
      <c r="AN189" s="2" t="str">
        <f>IF(Source!$C189&gt;=COLUMNS($A189:AN189), Source!$E189, "")</f>
        <v/>
      </c>
      <c r="AO189" s="2" t="str">
        <f>IF(Source!$C189&gt;=COLUMNS($A189:AO189), Source!$E189, "")</f>
        <v/>
      </c>
      <c r="AP189" s="2" t="str">
        <f>IF(Source!$C189&gt;=COLUMNS($A189:AP189), Source!$E189, "")</f>
        <v/>
      </c>
      <c r="AQ189" s="2" t="str">
        <f>IF(Source!$C189&gt;=COLUMNS($A189:AQ189), Source!$E189, "")</f>
        <v/>
      </c>
      <c r="AR189" s="2" t="str">
        <f>IF(Source!$C189&gt;=COLUMNS($A189:AR189), Source!$E189, "")</f>
        <v/>
      </c>
    </row>
    <row r="190">
      <c r="A190" s="2">
        <f>IF(Source!$C190&gt;=COLUMNS($A190:A190), Source!$E190, "")</f>
        <v>5</v>
      </c>
      <c r="B190" s="2">
        <f>IF(Source!$C190&gt;=COLUMNS($A190:B190), Source!$E190, "")</f>
        <v>5</v>
      </c>
      <c r="C190" s="2">
        <f>IF(Source!$C190&gt;=COLUMNS($A190:C190), Source!$E190, "")</f>
        <v>5</v>
      </c>
      <c r="D190" s="2">
        <f>IF(Source!$C190&gt;=COLUMNS($A190:D190), Source!$E190, "")</f>
        <v>5</v>
      </c>
      <c r="E190" s="2">
        <f>IF(Source!$C190&gt;=COLUMNS($A190:E190), Source!$E190, "")</f>
        <v>5</v>
      </c>
      <c r="F190" s="2">
        <f>IF(Source!$C190&gt;=COLUMNS($A190:F190), Source!$E190, "")</f>
        <v>5</v>
      </c>
      <c r="G190" s="2">
        <f>IF(Source!$C190&gt;=COLUMNS($A190:G190), Source!$E190, "")</f>
        <v>5</v>
      </c>
      <c r="H190" s="2">
        <f>IF(Source!$C190&gt;=COLUMNS($A190:H190), Source!$E190, "")</f>
        <v>5</v>
      </c>
      <c r="I190" s="2">
        <f>IF(Source!$C190&gt;=COLUMNS($A190:I190), Source!$E190, "")</f>
        <v>5</v>
      </c>
      <c r="J190" s="2">
        <f>IF(Source!$C190&gt;=COLUMNS($A190:J190), Source!$E190, "")</f>
        <v>5</v>
      </c>
      <c r="K190" s="2">
        <f>IF(Source!$C190&gt;=COLUMNS($A190:K190), Source!$E190, "")</f>
        <v>5</v>
      </c>
      <c r="L190" s="2">
        <f>IF(Source!$C190&gt;=COLUMNS($A190:L190), Source!$E190, "")</f>
        <v>5</v>
      </c>
      <c r="M190" s="2">
        <f>IF(Source!$C190&gt;=COLUMNS($A190:M190), Source!$E190, "")</f>
        <v>5</v>
      </c>
      <c r="N190" s="2">
        <f>IF(Source!$C190&gt;=COLUMNS($A190:N190), Source!$E190, "")</f>
        <v>5</v>
      </c>
      <c r="O190" s="2">
        <f>IF(Source!$C190&gt;=COLUMNS($A190:O190), Source!$E190, "")</f>
        <v>5</v>
      </c>
      <c r="P190" s="2">
        <f>IF(Source!$C190&gt;=COLUMNS($A190:P190), Source!$E190, "")</f>
        <v>5</v>
      </c>
      <c r="Q190" s="2">
        <f>IF(Source!$C190&gt;=COLUMNS($A190:Q190), Source!$E190, "")</f>
        <v>5</v>
      </c>
      <c r="R190" s="2">
        <f>IF(Source!$C190&gt;=COLUMNS($A190:R190), Source!$E190, "")</f>
        <v>5</v>
      </c>
      <c r="S190" s="2">
        <f>IF(Source!$C190&gt;=COLUMNS($A190:S190), Source!$E190, "")</f>
        <v>5</v>
      </c>
      <c r="T190" s="2">
        <f>IF(Source!$C190&gt;=COLUMNS($A190:T190), Source!$E190, "")</f>
        <v>5</v>
      </c>
      <c r="U190" s="2" t="str">
        <f>IF(Source!$C190&gt;=COLUMNS($A190:U190), Source!$E190, "")</f>
        <v/>
      </c>
      <c r="V190" s="2" t="str">
        <f>IF(Source!$C190&gt;=COLUMNS($A190:V190), Source!$E190, "")</f>
        <v/>
      </c>
      <c r="W190" s="2" t="str">
        <f>IF(Source!$C190&gt;=COLUMNS($A190:W190), Source!$E190, "")</f>
        <v/>
      </c>
      <c r="X190" s="2" t="str">
        <f>IF(Source!$C190&gt;=COLUMNS($A190:X190), Source!$E190, "")</f>
        <v/>
      </c>
      <c r="Y190" s="2" t="str">
        <f>IF(Source!$C190&gt;=COLUMNS($A190:Y190), Source!$E190, "")</f>
        <v/>
      </c>
      <c r="Z190" s="2" t="str">
        <f>IF(Source!$C190&gt;=COLUMNS($A190:Z190), Source!$E190, "")</f>
        <v/>
      </c>
      <c r="AA190" s="2" t="str">
        <f>IF(Source!$C190&gt;=COLUMNS($A190:AA190), Source!$E190, "")</f>
        <v/>
      </c>
      <c r="AB190" s="2" t="str">
        <f>IF(Source!$C190&gt;=COLUMNS($A190:AB190), Source!$E190, "")</f>
        <v/>
      </c>
      <c r="AC190" s="2" t="str">
        <f>IF(Source!$C190&gt;=COLUMNS($A190:AC190), Source!$E190, "")</f>
        <v/>
      </c>
      <c r="AD190" s="2" t="str">
        <f>IF(Source!$C190&gt;=COLUMNS($A190:AD190), Source!$E190, "")</f>
        <v/>
      </c>
      <c r="AE190" s="2" t="str">
        <f>IF(Source!$C190&gt;=COLUMNS($A190:AE190), Source!$E190, "")</f>
        <v/>
      </c>
      <c r="AF190" s="2" t="str">
        <f>IF(Source!$C190&gt;=COLUMNS($A190:AF190), Source!$E190, "")</f>
        <v/>
      </c>
      <c r="AG190" s="2" t="str">
        <f>IF(Source!$C190&gt;=COLUMNS($A190:AG190), Source!$E190, "")</f>
        <v/>
      </c>
      <c r="AH190" s="2" t="str">
        <f>IF(Source!$C190&gt;=COLUMNS($A190:AH190), Source!$E190, "")</f>
        <v/>
      </c>
      <c r="AI190" s="2" t="str">
        <f>IF(Source!$C190&gt;=COLUMNS($A190:AI190), Source!$E190, "")</f>
        <v/>
      </c>
      <c r="AJ190" s="2" t="str">
        <f>IF(Source!$C190&gt;=COLUMNS($A190:AJ190), Source!$E190, "")</f>
        <v/>
      </c>
      <c r="AK190" s="2" t="str">
        <f>IF(Source!$C190&gt;=COLUMNS($A190:AK190), Source!$E190, "")</f>
        <v/>
      </c>
      <c r="AL190" s="2" t="str">
        <f>IF(Source!$C190&gt;=COLUMNS($A190:AL190), Source!$E190, "")</f>
        <v/>
      </c>
      <c r="AM190" s="2" t="str">
        <f>IF(Source!$C190&gt;=COLUMNS($A190:AM190), Source!$E190, "")</f>
        <v/>
      </c>
      <c r="AN190" s="2" t="str">
        <f>IF(Source!$C190&gt;=COLUMNS($A190:AN190), Source!$E190, "")</f>
        <v/>
      </c>
      <c r="AO190" s="2" t="str">
        <f>IF(Source!$C190&gt;=COLUMNS($A190:AO190), Source!$E190, "")</f>
        <v/>
      </c>
      <c r="AP190" s="2" t="str">
        <f>IF(Source!$C190&gt;=COLUMNS($A190:AP190), Source!$E190, "")</f>
        <v/>
      </c>
      <c r="AQ190" s="2" t="str">
        <f>IF(Source!$C190&gt;=COLUMNS($A190:AQ190), Source!$E190, "")</f>
        <v/>
      </c>
      <c r="AR190" s="2" t="str">
        <f>IF(Source!$C190&gt;=COLUMNS($A190:AR190), Source!$E190, "")</f>
        <v/>
      </c>
    </row>
    <row r="191">
      <c r="A191" s="2">
        <f>IF(Source!$C191&gt;=COLUMNS($A191:A191), Source!$E191, "")</f>
        <v>2</v>
      </c>
      <c r="B191" s="2">
        <f>IF(Source!$C191&gt;=COLUMNS($A191:B191), Source!$E191, "")</f>
        <v>2</v>
      </c>
      <c r="C191" s="2" t="str">
        <f>IF(Source!$C191&gt;=COLUMNS($A191:C191), Source!$E191, "")</f>
        <v/>
      </c>
      <c r="D191" s="2" t="str">
        <f>IF(Source!$C191&gt;=COLUMNS($A191:D191), Source!$E191, "")</f>
        <v/>
      </c>
      <c r="E191" s="2" t="str">
        <f>IF(Source!$C191&gt;=COLUMNS($A191:E191), Source!$E191, "")</f>
        <v/>
      </c>
      <c r="F191" s="2" t="str">
        <f>IF(Source!$C191&gt;=COLUMNS($A191:F191), Source!$E191, "")</f>
        <v/>
      </c>
      <c r="G191" s="2" t="str">
        <f>IF(Source!$C191&gt;=COLUMNS($A191:G191), Source!$E191, "")</f>
        <v/>
      </c>
      <c r="H191" s="2" t="str">
        <f>IF(Source!$C191&gt;=COLUMNS($A191:H191), Source!$E191, "")</f>
        <v/>
      </c>
      <c r="I191" s="2" t="str">
        <f>IF(Source!$C191&gt;=COLUMNS($A191:I191), Source!$E191, "")</f>
        <v/>
      </c>
      <c r="J191" s="2" t="str">
        <f>IF(Source!$C191&gt;=COLUMNS($A191:J191), Source!$E191, "")</f>
        <v/>
      </c>
      <c r="K191" s="2" t="str">
        <f>IF(Source!$C191&gt;=COLUMNS($A191:K191), Source!$E191, "")</f>
        <v/>
      </c>
      <c r="L191" s="2" t="str">
        <f>IF(Source!$C191&gt;=COLUMNS($A191:L191), Source!$E191, "")</f>
        <v/>
      </c>
      <c r="M191" s="2" t="str">
        <f>IF(Source!$C191&gt;=COLUMNS($A191:M191), Source!$E191, "")</f>
        <v/>
      </c>
      <c r="N191" s="2" t="str">
        <f>IF(Source!$C191&gt;=COLUMNS($A191:N191), Source!$E191, "")</f>
        <v/>
      </c>
      <c r="O191" s="2" t="str">
        <f>IF(Source!$C191&gt;=COLUMNS($A191:O191), Source!$E191, "")</f>
        <v/>
      </c>
      <c r="P191" s="2" t="str">
        <f>IF(Source!$C191&gt;=COLUMNS($A191:P191), Source!$E191, "")</f>
        <v/>
      </c>
      <c r="Q191" s="2" t="str">
        <f>IF(Source!$C191&gt;=COLUMNS($A191:Q191), Source!$E191, "")</f>
        <v/>
      </c>
      <c r="R191" s="2" t="str">
        <f>IF(Source!$C191&gt;=COLUMNS($A191:R191), Source!$E191, "")</f>
        <v/>
      </c>
      <c r="S191" s="2" t="str">
        <f>IF(Source!$C191&gt;=COLUMNS($A191:S191), Source!$E191, "")</f>
        <v/>
      </c>
      <c r="T191" s="2" t="str">
        <f>IF(Source!$C191&gt;=COLUMNS($A191:T191), Source!$E191, "")</f>
        <v/>
      </c>
      <c r="U191" s="2" t="str">
        <f>IF(Source!$C191&gt;=COLUMNS($A191:U191), Source!$E191, "")</f>
        <v/>
      </c>
      <c r="V191" s="2" t="str">
        <f>IF(Source!$C191&gt;=COLUMNS($A191:V191), Source!$E191, "")</f>
        <v/>
      </c>
      <c r="W191" s="2" t="str">
        <f>IF(Source!$C191&gt;=COLUMNS($A191:W191), Source!$E191, "")</f>
        <v/>
      </c>
      <c r="X191" s="2" t="str">
        <f>IF(Source!$C191&gt;=COLUMNS($A191:X191), Source!$E191, "")</f>
        <v/>
      </c>
      <c r="Y191" s="2" t="str">
        <f>IF(Source!$C191&gt;=COLUMNS($A191:Y191), Source!$E191, "")</f>
        <v/>
      </c>
      <c r="Z191" s="2" t="str">
        <f>IF(Source!$C191&gt;=COLUMNS($A191:Z191), Source!$E191, "")</f>
        <v/>
      </c>
      <c r="AA191" s="2" t="str">
        <f>IF(Source!$C191&gt;=COLUMNS($A191:AA191), Source!$E191, "")</f>
        <v/>
      </c>
      <c r="AB191" s="2" t="str">
        <f>IF(Source!$C191&gt;=COLUMNS($A191:AB191), Source!$E191, "")</f>
        <v/>
      </c>
      <c r="AC191" s="2" t="str">
        <f>IF(Source!$C191&gt;=COLUMNS($A191:AC191), Source!$E191, "")</f>
        <v/>
      </c>
      <c r="AD191" s="2" t="str">
        <f>IF(Source!$C191&gt;=COLUMNS($A191:AD191), Source!$E191, "")</f>
        <v/>
      </c>
      <c r="AE191" s="2" t="str">
        <f>IF(Source!$C191&gt;=COLUMNS($A191:AE191), Source!$E191, "")</f>
        <v/>
      </c>
      <c r="AF191" s="2" t="str">
        <f>IF(Source!$C191&gt;=COLUMNS($A191:AF191), Source!$E191, "")</f>
        <v/>
      </c>
      <c r="AG191" s="2" t="str">
        <f>IF(Source!$C191&gt;=COLUMNS($A191:AG191), Source!$E191, "")</f>
        <v/>
      </c>
      <c r="AH191" s="2" t="str">
        <f>IF(Source!$C191&gt;=COLUMNS($A191:AH191), Source!$E191, "")</f>
        <v/>
      </c>
      <c r="AI191" s="2" t="str">
        <f>IF(Source!$C191&gt;=COLUMNS($A191:AI191), Source!$E191, "")</f>
        <v/>
      </c>
      <c r="AJ191" s="2" t="str">
        <f>IF(Source!$C191&gt;=COLUMNS($A191:AJ191), Source!$E191, "")</f>
        <v/>
      </c>
      <c r="AK191" s="2" t="str">
        <f>IF(Source!$C191&gt;=COLUMNS($A191:AK191), Source!$E191, "")</f>
        <v/>
      </c>
      <c r="AL191" s="2" t="str">
        <f>IF(Source!$C191&gt;=COLUMNS($A191:AL191), Source!$E191, "")</f>
        <v/>
      </c>
      <c r="AM191" s="2" t="str">
        <f>IF(Source!$C191&gt;=COLUMNS($A191:AM191), Source!$E191, "")</f>
        <v/>
      </c>
      <c r="AN191" s="2" t="str">
        <f>IF(Source!$C191&gt;=COLUMNS($A191:AN191), Source!$E191, "")</f>
        <v/>
      </c>
      <c r="AO191" s="2" t="str">
        <f>IF(Source!$C191&gt;=COLUMNS($A191:AO191), Source!$E191, "")</f>
        <v/>
      </c>
      <c r="AP191" s="2" t="str">
        <f>IF(Source!$C191&gt;=COLUMNS($A191:AP191), Source!$E191, "")</f>
        <v/>
      </c>
      <c r="AQ191" s="2" t="str">
        <f>IF(Source!$C191&gt;=COLUMNS($A191:AQ191), Source!$E191, "")</f>
        <v/>
      </c>
      <c r="AR191" s="2" t="str">
        <f>IF(Source!$C191&gt;=COLUMNS($A191:AR191), Source!$E191, "")</f>
        <v/>
      </c>
    </row>
    <row r="192">
      <c r="A192" s="2">
        <f>IF(Source!$C192&gt;=COLUMNS($A192:A192), Source!$E192, "")</f>
        <v>7</v>
      </c>
      <c r="B192" s="2">
        <f>IF(Source!$C192&gt;=COLUMNS($A192:B192), Source!$E192, "")</f>
        <v>7</v>
      </c>
      <c r="C192" s="2">
        <f>IF(Source!$C192&gt;=COLUMNS($A192:C192), Source!$E192, "")</f>
        <v>7</v>
      </c>
      <c r="D192" s="2">
        <f>IF(Source!$C192&gt;=COLUMNS($A192:D192), Source!$E192, "")</f>
        <v>7</v>
      </c>
      <c r="E192" s="2">
        <f>IF(Source!$C192&gt;=COLUMNS($A192:E192), Source!$E192, "")</f>
        <v>7</v>
      </c>
      <c r="F192" s="2">
        <f>IF(Source!$C192&gt;=COLUMNS($A192:F192), Source!$E192, "")</f>
        <v>7</v>
      </c>
      <c r="G192" s="2" t="str">
        <f>IF(Source!$C192&gt;=COLUMNS($A192:G192), Source!$E192, "")</f>
        <v/>
      </c>
      <c r="H192" s="2" t="str">
        <f>IF(Source!$C192&gt;=COLUMNS($A192:H192), Source!$E192, "")</f>
        <v/>
      </c>
      <c r="I192" s="2" t="str">
        <f>IF(Source!$C192&gt;=COLUMNS($A192:I192), Source!$E192, "")</f>
        <v/>
      </c>
      <c r="J192" s="2" t="str">
        <f>IF(Source!$C192&gt;=COLUMNS($A192:J192), Source!$E192, "")</f>
        <v/>
      </c>
      <c r="K192" s="2" t="str">
        <f>IF(Source!$C192&gt;=COLUMNS($A192:K192), Source!$E192, "")</f>
        <v/>
      </c>
      <c r="L192" s="2" t="str">
        <f>IF(Source!$C192&gt;=COLUMNS($A192:L192), Source!$E192, "")</f>
        <v/>
      </c>
      <c r="M192" s="2" t="str">
        <f>IF(Source!$C192&gt;=COLUMNS($A192:M192), Source!$E192, "")</f>
        <v/>
      </c>
      <c r="N192" s="2" t="str">
        <f>IF(Source!$C192&gt;=COLUMNS($A192:N192), Source!$E192, "")</f>
        <v/>
      </c>
      <c r="O192" s="2" t="str">
        <f>IF(Source!$C192&gt;=COLUMNS($A192:O192), Source!$E192, "")</f>
        <v/>
      </c>
      <c r="P192" s="2" t="str">
        <f>IF(Source!$C192&gt;=COLUMNS($A192:P192), Source!$E192, "")</f>
        <v/>
      </c>
      <c r="Q192" s="2" t="str">
        <f>IF(Source!$C192&gt;=COLUMNS($A192:Q192), Source!$E192, "")</f>
        <v/>
      </c>
      <c r="R192" s="2" t="str">
        <f>IF(Source!$C192&gt;=COLUMNS($A192:R192), Source!$E192, "")</f>
        <v/>
      </c>
      <c r="S192" s="2" t="str">
        <f>IF(Source!$C192&gt;=COLUMNS($A192:S192), Source!$E192, "")</f>
        <v/>
      </c>
      <c r="T192" s="2" t="str">
        <f>IF(Source!$C192&gt;=COLUMNS($A192:T192), Source!$E192, "")</f>
        <v/>
      </c>
      <c r="U192" s="2" t="str">
        <f>IF(Source!$C192&gt;=COLUMNS($A192:U192), Source!$E192, "")</f>
        <v/>
      </c>
      <c r="V192" s="2" t="str">
        <f>IF(Source!$C192&gt;=COLUMNS($A192:V192), Source!$E192, "")</f>
        <v/>
      </c>
      <c r="W192" s="2" t="str">
        <f>IF(Source!$C192&gt;=COLUMNS($A192:W192), Source!$E192, "")</f>
        <v/>
      </c>
      <c r="X192" s="2" t="str">
        <f>IF(Source!$C192&gt;=COLUMNS($A192:X192), Source!$E192, "")</f>
        <v/>
      </c>
      <c r="Y192" s="2" t="str">
        <f>IF(Source!$C192&gt;=COLUMNS($A192:Y192), Source!$E192, "")</f>
        <v/>
      </c>
      <c r="Z192" s="2" t="str">
        <f>IF(Source!$C192&gt;=COLUMNS($A192:Z192), Source!$E192, "")</f>
        <v/>
      </c>
      <c r="AA192" s="2" t="str">
        <f>IF(Source!$C192&gt;=COLUMNS($A192:AA192), Source!$E192, "")</f>
        <v/>
      </c>
      <c r="AB192" s="2" t="str">
        <f>IF(Source!$C192&gt;=COLUMNS($A192:AB192), Source!$E192, "")</f>
        <v/>
      </c>
      <c r="AC192" s="2" t="str">
        <f>IF(Source!$C192&gt;=COLUMNS($A192:AC192), Source!$E192, "")</f>
        <v/>
      </c>
      <c r="AD192" s="2" t="str">
        <f>IF(Source!$C192&gt;=COLUMNS($A192:AD192), Source!$E192, "")</f>
        <v/>
      </c>
      <c r="AE192" s="2" t="str">
        <f>IF(Source!$C192&gt;=COLUMNS($A192:AE192), Source!$E192, "")</f>
        <v/>
      </c>
      <c r="AF192" s="2" t="str">
        <f>IF(Source!$C192&gt;=COLUMNS($A192:AF192), Source!$E192, "")</f>
        <v/>
      </c>
      <c r="AG192" s="2" t="str">
        <f>IF(Source!$C192&gt;=COLUMNS($A192:AG192), Source!$E192, "")</f>
        <v/>
      </c>
      <c r="AH192" s="2" t="str">
        <f>IF(Source!$C192&gt;=COLUMNS($A192:AH192), Source!$E192, "")</f>
        <v/>
      </c>
      <c r="AI192" s="2" t="str">
        <f>IF(Source!$C192&gt;=COLUMNS($A192:AI192), Source!$E192, "")</f>
        <v/>
      </c>
      <c r="AJ192" s="2" t="str">
        <f>IF(Source!$C192&gt;=COLUMNS($A192:AJ192), Source!$E192, "")</f>
        <v/>
      </c>
      <c r="AK192" s="2" t="str">
        <f>IF(Source!$C192&gt;=COLUMNS($A192:AK192), Source!$E192, "")</f>
        <v/>
      </c>
      <c r="AL192" s="2" t="str">
        <f>IF(Source!$C192&gt;=COLUMNS($A192:AL192), Source!$E192, "")</f>
        <v/>
      </c>
      <c r="AM192" s="2" t="str">
        <f>IF(Source!$C192&gt;=COLUMNS($A192:AM192), Source!$E192, "")</f>
        <v/>
      </c>
      <c r="AN192" s="2" t="str">
        <f>IF(Source!$C192&gt;=COLUMNS($A192:AN192), Source!$E192, "")</f>
        <v/>
      </c>
      <c r="AO192" s="2" t="str">
        <f>IF(Source!$C192&gt;=COLUMNS($A192:AO192), Source!$E192, "")</f>
        <v/>
      </c>
      <c r="AP192" s="2" t="str">
        <f>IF(Source!$C192&gt;=COLUMNS($A192:AP192), Source!$E192, "")</f>
        <v/>
      </c>
      <c r="AQ192" s="2" t="str">
        <f>IF(Source!$C192&gt;=COLUMNS($A192:AQ192), Source!$E192, "")</f>
        <v/>
      </c>
      <c r="AR192" s="2" t="str">
        <f>IF(Source!$C192&gt;=COLUMNS($A192:AR192), Source!$E192, "")</f>
        <v/>
      </c>
    </row>
    <row r="193">
      <c r="A193" s="2">
        <f>IF(Source!$C193&gt;=COLUMNS($A193:A193), Source!$E193, "")</f>
        <v>6</v>
      </c>
      <c r="B193" s="2">
        <f>IF(Source!$C193&gt;=COLUMNS($A193:B193), Source!$E193, "")</f>
        <v>6</v>
      </c>
      <c r="C193" s="2">
        <f>IF(Source!$C193&gt;=COLUMNS($A193:C193), Source!$E193, "")</f>
        <v>6</v>
      </c>
      <c r="D193" s="2">
        <f>IF(Source!$C193&gt;=COLUMNS($A193:D193), Source!$E193, "")</f>
        <v>6</v>
      </c>
      <c r="E193" s="2">
        <f>IF(Source!$C193&gt;=COLUMNS($A193:E193), Source!$E193, "")</f>
        <v>6</v>
      </c>
      <c r="F193" s="2">
        <f>IF(Source!$C193&gt;=COLUMNS($A193:F193), Source!$E193, "")</f>
        <v>6</v>
      </c>
      <c r="G193" s="2">
        <f>IF(Source!$C193&gt;=COLUMNS($A193:G193), Source!$E193, "")</f>
        <v>6</v>
      </c>
      <c r="H193" s="2">
        <f>IF(Source!$C193&gt;=COLUMNS($A193:H193), Source!$E193, "")</f>
        <v>6</v>
      </c>
      <c r="I193" s="2">
        <f>IF(Source!$C193&gt;=COLUMNS($A193:I193), Source!$E193, "")</f>
        <v>6</v>
      </c>
      <c r="J193" s="2">
        <f>IF(Source!$C193&gt;=COLUMNS($A193:J193), Source!$E193, "")</f>
        <v>6</v>
      </c>
      <c r="K193" s="2" t="str">
        <f>IF(Source!$C193&gt;=COLUMNS($A193:K193), Source!$E193, "")</f>
        <v/>
      </c>
      <c r="L193" s="2" t="str">
        <f>IF(Source!$C193&gt;=COLUMNS($A193:L193), Source!$E193, "")</f>
        <v/>
      </c>
      <c r="M193" s="2" t="str">
        <f>IF(Source!$C193&gt;=COLUMNS($A193:M193), Source!$E193, "")</f>
        <v/>
      </c>
      <c r="N193" s="2" t="str">
        <f>IF(Source!$C193&gt;=COLUMNS($A193:N193), Source!$E193, "")</f>
        <v/>
      </c>
      <c r="O193" s="2" t="str">
        <f>IF(Source!$C193&gt;=COLUMNS($A193:O193), Source!$E193, "")</f>
        <v/>
      </c>
      <c r="P193" s="2" t="str">
        <f>IF(Source!$C193&gt;=COLUMNS($A193:P193), Source!$E193, "")</f>
        <v/>
      </c>
      <c r="Q193" s="2" t="str">
        <f>IF(Source!$C193&gt;=COLUMNS($A193:Q193), Source!$E193, "")</f>
        <v/>
      </c>
      <c r="R193" s="2" t="str">
        <f>IF(Source!$C193&gt;=COLUMNS($A193:R193), Source!$E193, "")</f>
        <v/>
      </c>
      <c r="S193" s="2" t="str">
        <f>IF(Source!$C193&gt;=COLUMNS($A193:S193), Source!$E193, "")</f>
        <v/>
      </c>
      <c r="T193" s="2" t="str">
        <f>IF(Source!$C193&gt;=COLUMNS($A193:T193), Source!$E193, "")</f>
        <v/>
      </c>
      <c r="U193" s="2" t="str">
        <f>IF(Source!$C193&gt;=COLUMNS($A193:U193), Source!$E193, "")</f>
        <v/>
      </c>
      <c r="V193" s="2" t="str">
        <f>IF(Source!$C193&gt;=COLUMNS($A193:V193), Source!$E193, "")</f>
        <v/>
      </c>
      <c r="W193" s="2" t="str">
        <f>IF(Source!$C193&gt;=COLUMNS($A193:W193), Source!$E193, "")</f>
        <v/>
      </c>
      <c r="X193" s="2" t="str">
        <f>IF(Source!$C193&gt;=COLUMNS($A193:X193), Source!$E193, "")</f>
        <v/>
      </c>
      <c r="Y193" s="2" t="str">
        <f>IF(Source!$C193&gt;=COLUMNS($A193:Y193), Source!$E193, "")</f>
        <v/>
      </c>
      <c r="Z193" s="2" t="str">
        <f>IF(Source!$C193&gt;=COLUMNS($A193:Z193), Source!$E193, "")</f>
        <v/>
      </c>
      <c r="AA193" s="2" t="str">
        <f>IF(Source!$C193&gt;=COLUMNS($A193:AA193), Source!$E193, "")</f>
        <v/>
      </c>
      <c r="AB193" s="2" t="str">
        <f>IF(Source!$C193&gt;=COLUMNS($A193:AB193), Source!$E193, "")</f>
        <v/>
      </c>
      <c r="AC193" s="2" t="str">
        <f>IF(Source!$C193&gt;=COLUMNS($A193:AC193), Source!$E193, "")</f>
        <v/>
      </c>
      <c r="AD193" s="2" t="str">
        <f>IF(Source!$C193&gt;=COLUMNS($A193:AD193), Source!$E193, "")</f>
        <v/>
      </c>
      <c r="AE193" s="2" t="str">
        <f>IF(Source!$C193&gt;=COLUMNS($A193:AE193), Source!$E193, "")</f>
        <v/>
      </c>
      <c r="AF193" s="2" t="str">
        <f>IF(Source!$C193&gt;=COLUMNS($A193:AF193), Source!$E193, "")</f>
        <v/>
      </c>
      <c r="AG193" s="2" t="str">
        <f>IF(Source!$C193&gt;=COLUMNS($A193:AG193), Source!$E193, "")</f>
        <v/>
      </c>
      <c r="AH193" s="2" t="str">
        <f>IF(Source!$C193&gt;=COLUMNS($A193:AH193), Source!$E193, "")</f>
        <v/>
      </c>
      <c r="AI193" s="2" t="str">
        <f>IF(Source!$C193&gt;=COLUMNS($A193:AI193), Source!$E193, "")</f>
        <v/>
      </c>
      <c r="AJ193" s="2" t="str">
        <f>IF(Source!$C193&gt;=COLUMNS($A193:AJ193), Source!$E193, "")</f>
        <v/>
      </c>
      <c r="AK193" s="2" t="str">
        <f>IF(Source!$C193&gt;=COLUMNS($A193:AK193), Source!$E193, "")</f>
        <v/>
      </c>
      <c r="AL193" s="2" t="str">
        <f>IF(Source!$C193&gt;=COLUMNS($A193:AL193), Source!$E193, "")</f>
        <v/>
      </c>
      <c r="AM193" s="2" t="str">
        <f>IF(Source!$C193&gt;=COLUMNS($A193:AM193), Source!$E193, "")</f>
        <v/>
      </c>
      <c r="AN193" s="2" t="str">
        <f>IF(Source!$C193&gt;=COLUMNS($A193:AN193), Source!$E193, "")</f>
        <v/>
      </c>
      <c r="AO193" s="2" t="str">
        <f>IF(Source!$C193&gt;=COLUMNS($A193:AO193), Source!$E193, "")</f>
        <v/>
      </c>
      <c r="AP193" s="2" t="str">
        <f>IF(Source!$C193&gt;=COLUMNS($A193:AP193), Source!$E193, "")</f>
        <v/>
      </c>
      <c r="AQ193" s="2" t="str">
        <f>IF(Source!$C193&gt;=COLUMNS($A193:AQ193), Source!$E193, "")</f>
        <v/>
      </c>
      <c r="AR193" s="2" t="str">
        <f>IF(Source!$C193&gt;=COLUMNS($A193:AR193), Source!$E193, "")</f>
        <v/>
      </c>
    </row>
    <row r="194">
      <c r="A194" s="2">
        <f>IF(Source!$C194&gt;=COLUMNS($A194:A194), Source!$E194, "")</f>
        <v>6</v>
      </c>
      <c r="B194" s="2">
        <f>IF(Source!$C194&gt;=COLUMNS($A194:B194), Source!$E194, "")</f>
        <v>6</v>
      </c>
      <c r="C194" s="2">
        <f>IF(Source!$C194&gt;=COLUMNS($A194:C194), Source!$E194, "")</f>
        <v>6</v>
      </c>
      <c r="D194" s="2">
        <f>IF(Source!$C194&gt;=COLUMNS($A194:D194), Source!$E194, "")</f>
        <v>6</v>
      </c>
      <c r="E194" s="2" t="str">
        <f>IF(Source!$C194&gt;=COLUMNS($A194:E194), Source!$E194, "")</f>
        <v/>
      </c>
      <c r="F194" s="2" t="str">
        <f>IF(Source!$C194&gt;=COLUMNS($A194:F194), Source!$E194, "")</f>
        <v/>
      </c>
      <c r="G194" s="2" t="str">
        <f>IF(Source!$C194&gt;=COLUMNS($A194:G194), Source!$E194, "")</f>
        <v/>
      </c>
      <c r="H194" s="2" t="str">
        <f>IF(Source!$C194&gt;=COLUMNS($A194:H194), Source!$E194, "")</f>
        <v/>
      </c>
      <c r="I194" s="2" t="str">
        <f>IF(Source!$C194&gt;=COLUMNS($A194:I194), Source!$E194, "")</f>
        <v/>
      </c>
      <c r="J194" s="2" t="str">
        <f>IF(Source!$C194&gt;=COLUMNS($A194:J194), Source!$E194, "")</f>
        <v/>
      </c>
      <c r="K194" s="2" t="str">
        <f>IF(Source!$C194&gt;=COLUMNS($A194:K194), Source!$E194, "")</f>
        <v/>
      </c>
      <c r="L194" s="2" t="str">
        <f>IF(Source!$C194&gt;=COLUMNS($A194:L194), Source!$E194, "")</f>
        <v/>
      </c>
      <c r="M194" s="2" t="str">
        <f>IF(Source!$C194&gt;=COLUMNS($A194:M194), Source!$E194, "")</f>
        <v/>
      </c>
      <c r="N194" s="2" t="str">
        <f>IF(Source!$C194&gt;=COLUMNS($A194:N194), Source!$E194, "")</f>
        <v/>
      </c>
      <c r="O194" s="2" t="str">
        <f>IF(Source!$C194&gt;=COLUMNS($A194:O194), Source!$E194, "")</f>
        <v/>
      </c>
      <c r="P194" s="2" t="str">
        <f>IF(Source!$C194&gt;=COLUMNS($A194:P194), Source!$E194, "")</f>
        <v/>
      </c>
      <c r="Q194" s="2" t="str">
        <f>IF(Source!$C194&gt;=COLUMNS($A194:Q194), Source!$E194, "")</f>
        <v/>
      </c>
      <c r="R194" s="2" t="str">
        <f>IF(Source!$C194&gt;=COLUMNS($A194:R194), Source!$E194, "")</f>
        <v/>
      </c>
      <c r="S194" s="2" t="str">
        <f>IF(Source!$C194&gt;=COLUMNS($A194:S194), Source!$E194, "")</f>
        <v/>
      </c>
      <c r="T194" s="2" t="str">
        <f>IF(Source!$C194&gt;=COLUMNS($A194:T194), Source!$E194, "")</f>
        <v/>
      </c>
      <c r="U194" s="2" t="str">
        <f>IF(Source!$C194&gt;=COLUMNS($A194:U194), Source!$E194, "")</f>
        <v/>
      </c>
      <c r="V194" s="2" t="str">
        <f>IF(Source!$C194&gt;=COLUMNS($A194:V194), Source!$E194, "")</f>
        <v/>
      </c>
      <c r="W194" s="2" t="str">
        <f>IF(Source!$C194&gt;=COLUMNS($A194:W194), Source!$E194, "")</f>
        <v/>
      </c>
      <c r="X194" s="2" t="str">
        <f>IF(Source!$C194&gt;=COLUMNS($A194:X194), Source!$E194, "")</f>
        <v/>
      </c>
      <c r="Y194" s="2" t="str">
        <f>IF(Source!$C194&gt;=COLUMNS($A194:Y194), Source!$E194, "")</f>
        <v/>
      </c>
      <c r="Z194" s="2" t="str">
        <f>IF(Source!$C194&gt;=COLUMNS($A194:Z194), Source!$E194, "")</f>
        <v/>
      </c>
      <c r="AA194" s="2" t="str">
        <f>IF(Source!$C194&gt;=COLUMNS($A194:AA194), Source!$E194, "")</f>
        <v/>
      </c>
      <c r="AB194" s="2" t="str">
        <f>IF(Source!$C194&gt;=COLUMNS($A194:AB194), Source!$E194, "")</f>
        <v/>
      </c>
      <c r="AC194" s="2" t="str">
        <f>IF(Source!$C194&gt;=COLUMNS($A194:AC194), Source!$E194, "")</f>
        <v/>
      </c>
      <c r="AD194" s="2" t="str">
        <f>IF(Source!$C194&gt;=COLUMNS($A194:AD194), Source!$E194, "")</f>
        <v/>
      </c>
      <c r="AE194" s="2" t="str">
        <f>IF(Source!$C194&gt;=COLUMNS($A194:AE194), Source!$E194, "")</f>
        <v/>
      </c>
      <c r="AF194" s="2" t="str">
        <f>IF(Source!$C194&gt;=COLUMNS($A194:AF194), Source!$E194, "")</f>
        <v/>
      </c>
      <c r="AG194" s="2" t="str">
        <f>IF(Source!$C194&gt;=COLUMNS($A194:AG194), Source!$E194, "")</f>
        <v/>
      </c>
      <c r="AH194" s="2" t="str">
        <f>IF(Source!$C194&gt;=COLUMNS($A194:AH194), Source!$E194, "")</f>
        <v/>
      </c>
      <c r="AI194" s="2" t="str">
        <f>IF(Source!$C194&gt;=COLUMNS($A194:AI194), Source!$E194, "")</f>
        <v/>
      </c>
      <c r="AJ194" s="2" t="str">
        <f>IF(Source!$C194&gt;=COLUMNS($A194:AJ194), Source!$E194, "")</f>
        <v/>
      </c>
      <c r="AK194" s="2" t="str">
        <f>IF(Source!$C194&gt;=COLUMNS($A194:AK194), Source!$E194, "")</f>
        <v/>
      </c>
      <c r="AL194" s="2" t="str">
        <f>IF(Source!$C194&gt;=COLUMNS($A194:AL194), Source!$E194, "")</f>
        <v/>
      </c>
      <c r="AM194" s="2" t="str">
        <f>IF(Source!$C194&gt;=COLUMNS($A194:AM194), Source!$E194, "")</f>
        <v/>
      </c>
      <c r="AN194" s="2" t="str">
        <f>IF(Source!$C194&gt;=COLUMNS($A194:AN194), Source!$E194, "")</f>
        <v/>
      </c>
      <c r="AO194" s="2" t="str">
        <f>IF(Source!$C194&gt;=COLUMNS($A194:AO194), Source!$E194, "")</f>
        <v/>
      </c>
      <c r="AP194" s="2" t="str">
        <f>IF(Source!$C194&gt;=COLUMNS($A194:AP194), Source!$E194, "")</f>
        <v/>
      </c>
      <c r="AQ194" s="2" t="str">
        <f>IF(Source!$C194&gt;=COLUMNS($A194:AQ194), Source!$E194, "")</f>
        <v/>
      </c>
      <c r="AR194" s="2" t="str">
        <f>IF(Source!$C194&gt;=COLUMNS($A194:AR194), Source!$E194, "")</f>
        <v/>
      </c>
    </row>
    <row r="195">
      <c r="A195" s="2">
        <f>IF(Source!$C195&gt;=COLUMNS($A195:A195), Source!$E195, "")</f>
        <v>1</v>
      </c>
      <c r="B195" s="2">
        <f>IF(Source!$C195&gt;=COLUMNS($A195:B195), Source!$E195, "")</f>
        <v>1</v>
      </c>
      <c r="C195" s="2">
        <f>IF(Source!$C195&gt;=COLUMNS($A195:C195), Source!$E195, "")</f>
        <v>1</v>
      </c>
      <c r="D195" s="2">
        <f>IF(Source!$C195&gt;=COLUMNS($A195:D195), Source!$E195, "")</f>
        <v>1</v>
      </c>
      <c r="E195" s="2" t="str">
        <f>IF(Source!$C195&gt;=COLUMNS($A195:E195), Source!$E195, "")</f>
        <v/>
      </c>
      <c r="F195" s="2" t="str">
        <f>IF(Source!$C195&gt;=COLUMNS($A195:F195), Source!$E195, "")</f>
        <v/>
      </c>
      <c r="G195" s="2" t="str">
        <f>IF(Source!$C195&gt;=COLUMNS($A195:G195), Source!$E195, "")</f>
        <v/>
      </c>
      <c r="H195" s="2" t="str">
        <f>IF(Source!$C195&gt;=COLUMNS($A195:H195), Source!$E195, "")</f>
        <v/>
      </c>
      <c r="I195" s="2" t="str">
        <f>IF(Source!$C195&gt;=COLUMNS($A195:I195), Source!$E195, "")</f>
        <v/>
      </c>
      <c r="J195" s="2" t="str">
        <f>IF(Source!$C195&gt;=COLUMNS($A195:J195), Source!$E195, "")</f>
        <v/>
      </c>
      <c r="K195" s="2" t="str">
        <f>IF(Source!$C195&gt;=COLUMNS($A195:K195), Source!$E195, "")</f>
        <v/>
      </c>
      <c r="L195" s="2" t="str">
        <f>IF(Source!$C195&gt;=COLUMNS($A195:L195), Source!$E195, "")</f>
        <v/>
      </c>
      <c r="M195" s="2" t="str">
        <f>IF(Source!$C195&gt;=COLUMNS($A195:M195), Source!$E195, "")</f>
        <v/>
      </c>
      <c r="N195" s="2" t="str">
        <f>IF(Source!$C195&gt;=COLUMNS($A195:N195), Source!$E195, "")</f>
        <v/>
      </c>
      <c r="O195" s="2" t="str">
        <f>IF(Source!$C195&gt;=COLUMNS($A195:O195), Source!$E195, "")</f>
        <v/>
      </c>
      <c r="P195" s="2" t="str">
        <f>IF(Source!$C195&gt;=COLUMNS($A195:P195), Source!$E195, "")</f>
        <v/>
      </c>
      <c r="Q195" s="2" t="str">
        <f>IF(Source!$C195&gt;=COLUMNS($A195:Q195), Source!$E195, "")</f>
        <v/>
      </c>
      <c r="R195" s="2" t="str">
        <f>IF(Source!$C195&gt;=COLUMNS($A195:R195), Source!$E195, "")</f>
        <v/>
      </c>
      <c r="S195" s="2" t="str">
        <f>IF(Source!$C195&gt;=COLUMNS($A195:S195), Source!$E195, "")</f>
        <v/>
      </c>
      <c r="T195" s="2" t="str">
        <f>IF(Source!$C195&gt;=COLUMNS($A195:T195), Source!$E195, "")</f>
        <v/>
      </c>
      <c r="U195" s="2" t="str">
        <f>IF(Source!$C195&gt;=COLUMNS($A195:U195), Source!$E195, "")</f>
        <v/>
      </c>
      <c r="V195" s="2" t="str">
        <f>IF(Source!$C195&gt;=COLUMNS($A195:V195), Source!$E195, "")</f>
        <v/>
      </c>
      <c r="W195" s="2" t="str">
        <f>IF(Source!$C195&gt;=COLUMNS($A195:W195), Source!$E195, "")</f>
        <v/>
      </c>
      <c r="X195" s="2" t="str">
        <f>IF(Source!$C195&gt;=COLUMNS($A195:X195), Source!$E195, "")</f>
        <v/>
      </c>
      <c r="Y195" s="2" t="str">
        <f>IF(Source!$C195&gt;=COLUMNS($A195:Y195), Source!$E195, "")</f>
        <v/>
      </c>
      <c r="Z195" s="2" t="str">
        <f>IF(Source!$C195&gt;=COLUMNS($A195:Z195), Source!$E195, "")</f>
        <v/>
      </c>
      <c r="AA195" s="2" t="str">
        <f>IF(Source!$C195&gt;=COLUMNS($A195:AA195), Source!$E195, "")</f>
        <v/>
      </c>
      <c r="AB195" s="2" t="str">
        <f>IF(Source!$C195&gt;=COLUMNS($A195:AB195), Source!$E195, "")</f>
        <v/>
      </c>
      <c r="AC195" s="2" t="str">
        <f>IF(Source!$C195&gt;=COLUMNS($A195:AC195), Source!$E195, "")</f>
        <v/>
      </c>
      <c r="AD195" s="2" t="str">
        <f>IF(Source!$C195&gt;=COLUMNS($A195:AD195), Source!$E195, "")</f>
        <v/>
      </c>
      <c r="AE195" s="2" t="str">
        <f>IF(Source!$C195&gt;=COLUMNS($A195:AE195), Source!$E195, "")</f>
        <v/>
      </c>
      <c r="AF195" s="2" t="str">
        <f>IF(Source!$C195&gt;=COLUMNS($A195:AF195), Source!$E195, "")</f>
        <v/>
      </c>
      <c r="AG195" s="2" t="str">
        <f>IF(Source!$C195&gt;=COLUMNS($A195:AG195), Source!$E195, "")</f>
        <v/>
      </c>
      <c r="AH195" s="2" t="str">
        <f>IF(Source!$C195&gt;=COLUMNS($A195:AH195), Source!$E195, "")</f>
        <v/>
      </c>
      <c r="AI195" s="2" t="str">
        <f>IF(Source!$C195&gt;=COLUMNS($A195:AI195), Source!$E195, "")</f>
        <v/>
      </c>
      <c r="AJ195" s="2" t="str">
        <f>IF(Source!$C195&gt;=COLUMNS($A195:AJ195), Source!$E195, "")</f>
        <v/>
      </c>
      <c r="AK195" s="2" t="str">
        <f>IF(Source!$C195&gt;=COLUMNS($A195:AK195), Source!$E195, "")</f>
        <v/>
      </c>
      <c r="AL195" s="2" t="str">
        <f>IF(Source!$C195&gt;=COLUMNS($A195:AL195), Source!$E195, "")</f>
        <v/>
      </c>
      <c r="AM195" s="2" t="str">
        <f>IF(Source!$C195&gt;=COLUMNS($A195:AM195), Source!$E195, "")</f>
        <v/>
      </c>
      <c r="AN195" s="2" t="str">
        <f>IF(Source!$C195&gt;=COLUMNS($A195:AN195), Source!$E195, "")</f>
        <v/>
      </c>
      <c r="AO195" s="2" t="str">
        <f>IF(Source!$C195&gt;=COLUMNS($A195:AO195), Source!$E195, "")</f>
        <v/>
      </c>
      <c r="AP195" s="2" t="str">
        <f>IF(Source!$C195&gt;=COLUMNS($A195:AP195), Source!$E195, "")</f>
        <v/>
      </c>
      <c r="AQ195" s="2" t="str">
        <f>IF(Source!$C195&gt;=COLUMNS($A195:AQ195), Source!$E195, "")</f>
        <v/>
      </c>
      <c r="AR195" s="2" t="str">
        <f>IF(Source!$C195&gt;=COLUMNS($A195:AR195), Source!$E195, "")</f>
        <v/>
      </c>
    </row>
    <row r="196">
      <c r="A196" s="2">
        <f>IF(Source!$C196&gt;=COLUMNS($A196:A196), Source!$E196, "")</f>
        <v>1</v>
      </c>
      <c r="B196" s="2">
        <f>IF(Source!$C196&gt;=COLUMNS($A196:B196), Source!$E196, "")</f>
        <v>1</v>
      </c>
      <c r="C196" s="2" t="str">
        <f>IF(Source!$C196&gt;=COLUMNS($A196:C196), Source!$E196, "")</f>
        <v/>
      </c>
      <c r="D196" s="2" t="str">
        <f>IF(Source!$C196&gt;=COLUMNS($A196:D196), Source!$E196, "")</f>
        <v/>
      </c>
      <c r="E196" s="2" t="str">
        <f>IF(Source!$C196&gt;=COLUMNS($A196:E196), Source!$E196, "")</f>
        <v/>
      </c>
      <c r="F196" s="2" t="str">
        <f>IF(Source!$C196&gt;=COLUMNS($A196:F196), Source!$E196, "")</f>
        <v/>
      </c>
      <c r="G196" s="2" t="str">
        <f>IF(Source!$C196&gt;=COLUMNS($A196:G196), Source!$E196, "")</f>
        <v/>
      </c>
      <c r="H196" s="2" t="str">
        <f>IF(Source!$C196&gt;=COLUMNS($A196:H196), Source!$E196, "")</f>
        <v/>
      </c>
      <c r="I196" s="2" t="str">
        <f>IF(Source!$C196&gt;=COLUMNS($A196:I196), Source!$E196, "")</f>
        <v/>
      </c>
      <c r="J196" s="2" t="str">
        <f>IF(Source!$C196&gt;=COLUMNS($A196:J196), Source!$E196, "")</f>
        <v/>
      </c>
      <c r="K196" s="2" t="str">
        <f>IF(Source!$C196&gt;=COLUMNS($A196:K196), Source!$E196, "")</f>
        <v/>
      </c>
      <c r="L196" s="2" t="str">
        <f>IF(Source!$C196&gt;=COLUMNS($A196:L196), Source!$E196, "")</f>
        <v/>
      </c>
      <c r="M196" s="2" t="str">
        <f>IF(Source!$C196&gt;=COLUMNS($A196:M196), Source!$E196, "")</f>
        <v/>
      </c>
      <c r="N196" s="2" t="str">
        <f>IF(Source!$C196&gt;=COLUMNS($A196:N196), Source!$E196, "")</f>
        <v/>
      </c>
      <c r="O196" s="2" t="str">
        <f>IF(Source!$C196&gt;=COLUMNS($A196:O196), Source!$E196, "")</f>
        <v/>
      </c>
      <c r="P196" s="2" t="str">
        <f>IF(Source!$C196&gt;=COLUMNS($A196:P196), Source!$E196, "")</f>
        <v/>
      </c>
      <c r="Q196" s="2" t="str">
        <f>IF(Source!$C196&gt;=COLUMNS($A196:Q196), Source!$E196, "")</f>
        <v/>
      </c>
      <c r="R196" s="2" t="str">
        <f>IF(Source!$C196&gt;=COLUMNS($A196:R196), Source!$E196, "")</f>
        <v/>
      </c>
      <c r="S196" s="2" t="str">
        <f>IF(Source!$C196&gt;=COLUMNS($A196:S196), Source!$E196, "")</f>
        <v/>
      </c>
      <c r="T196" s="2" t="str">
        <f>IF(Source!$C196&gt;=COLUMNS($A196:T196), Source!$E196, "")</f>
        <v/>
      </c>
      <c r="U196" s="2" t="str">
        <f>IF(Source!$C196&gt;=COLUMNS($A196:U196), Source!$E196, "")</f>
        <v/>
      </c>
      <c r="V196" s="2" t="str">
        <f>IF(Source!$C196&gt;=COLUMNS($A196:V196), Source!$E196, "")</f>
        <v/>
      </c>
      <c r="W196" s="2" t="str">
        <f>IF(Source!$C196&gt;=COLUMNS($A196:W196), Source!$E196, "")</f>
        <v/>
      </c>
      <c r="X196" s="2" t="str">
        <f>IF(Source!$C196&gt;=COLUMNS($A196:X196), Source!$E196, "")</f>
        <v/>
      </c>
      <c r="Y196" s="2" t="str">
        <f>IF(Source!$C196&gt;=COLUMNS($A196:Y196), Source!$E196, "")</f>
        <v/>
      </c>
      <c r="Z196" s="2" t="str">
        <f>IF(Source!$C196&gt;=COLUMNS($A196:Z196), Source!$E196, "")</f>
        <v/>
      </c>
      <c r="AA196" s="2" t="str">
        <f>IF(Source!$C196&gt;=COLUMNS($A196:AA196), Source!$E196, "")</f>
        <v/>
      </c>
      <c r="AB196" s="2" t="str">
        <f>IF(Source!$C196&gt;=COLUMNS($A196:AB196), Source!$E196, "")</f>
        <v/>
      </c>
      <c r="AC196" s="2" t="str">
        <f>IF(Source!$C196&gt;=COLUMNS($A196:AC196), Source!$E196, "")</f>
        <v/>
      </c>
      <c r="AD196" s="2" t="str">
        <f>IF(Source!$C196&gt;=COLUMNS($A196:AD196), Source!$E196, "")</f>
        <v/>
      </c>
      <c r="AE196" s="2" t="str">
        <f>IF(Source!$C196&gt;=COLUMNS($A196:AE196), Source!$E196, "")</f>
        <v/>
      </c>
      <c r="AF196" s="2" t="str">
        <f>IF(Source!$C196&gt;=COLUMNS($A196:AF196), Source!$E196, "")</f>
        <v/>
      </c>
      <c r="AG196" s="2" t="str">
        <f>IF(Source!$C196&gt;=COLUMNS($A196:AG196), Source!$E196, "")</f>
        <v/>
      </c>
      <c r="AH196" s="2" t="str">
        <f>IF(Source!$C196&gt;=COLUMNS($A196:AH196), Source!$E196, "")</f>
        <v/>
      </c>
      <c r="AI196" s="2" t="str">
        <f>IF(Source!$C196&gt;=COLUMNS($A196:AI196), Source!$E196, "")</f>
        <v/>
      </c>
      <c r="AJ196" s="2" t="str">
        <f>IF(Source!$C196&gt;=COLUMNS($A196:AJ196), Source!$E196, "")</f>
        <v/>
      </c>
      <c r="AK196" s="2" t="str">
        <f>IF(Source!$C196&gt;=COLUMNS($A196:AK196), Source!$E196, "")</f>
        <v/>
      </c>
      <c r="AL196" s="2" t="str">
        <f>IF(Source!$C196&gt;=COLUMNS($A196:AL196), Source!$E196, "")</f>
        <v/>
      </c>
      <c r="AM196" s="2" t="str">
        <f>IF(Source!$C196&gt;=COLUMNS($A196:AM196), Source!$E196, "")</f>
        <v/>
      </c>
      <c r="AN196" s="2" t="str">
        <f>IF(Source!$C196&gt;=COLUMNS($A196:AN196), Source!$E196, "")</f>
        <v/>
      </c>
      <c r="AO196" s="2" t="str">
        <f>IF(Source!$C196&gt;=COLUMNS($A196:AO196), Source!$E196, "")</f>
        <v/>
      </c>
      <c r="AP196" s="2" t="str">
        <f>IF(Source!$C196&gt;=COLUMNS($A196:AP196), Source!$E196, "")</f>
        <v/>
      </c>
      <c r="AQ196" s="2" t="str">
        <f>IF(Source!$C196&gt;=COLUMNS($A196:AQ196), Source!$E196, "")</f>
        <v/>
      </c>
      <c r="AR196" s="2" t="str">
        <f>IF(Source!$C196&gt;=COLUMNS($A196:AR196), Source!$E196, "")</f>
        <v/>
      </c>
    </row>
    <row r="197">
      <c r="A197" s="2">
        <f>IF(Source!$C197&gt;=COLUMNS($A197:A197), Source!$E197, "")</f>
        <v>6</v>
      </c>
      <c r="B197" s="2">
        <f>IF(Source!$C197&gt;=COLUMNS($A197:B197), Source!$E197, "")</f>
        <v>6</v>
      </c>
      <c r="C197" s="2">
        <f>IF(Source!$C197&gt;=COLUMNS($A197:C197), Source!$E197, "")</f>
        <v>6</v>
      </c>
      <c r="D197" s="2" t="str">
        <f>IF(Source!$C197&gt;=COLUMNS($A197:D197), Source!$E197, "")</f>
        <v/>
      </c>
      <c r="E197" s="2" t="str">
        <f>IF(Source!$C197&gt;=COLUMNS($A197:E197), Source!$E197, "")</f>
        <v/>
      </c>
      <c r="F197" s="2" t="str">
        <f>IF(Source!$C197&gt;=COLUMNS($A197:F197), Source!$E197, "")</f>
        <v/>
      </c>
      <c r="G197" s="2" t="str">
        <f>IF(Source!$C197&gt;=COLUMNS($A197:G197), Source!$E197, "")</f>
        <v/>
      </c>
      <c r="H197" s="2" t="str">
        <f>IF(Source!$C197&gt;=COLUMNS($A197:H197), Source!$E197, "")</f>
        <v/>
      </c>
      <c r="I197" s="2" t="str">
        <f>IF(Source!$C197&gt;=COLUMNS($A197:I197), Source!$E197, "")</f>
        <v/>
      </c>
      <c r="J197" s="2" t="str">
        <f>IF(Source!$C197&gt;=COLUMNS($A197:J197), Source!$E197, "")</f>
        <v/>
      </c>
      <c r="K197" s="2" t="str">
        <f>IF(Source!$C197&gt;=COLUMNS($A197:K197), Source!$E197, "")</f>
        <v/>
      </c>
      <c r="L197" s="2" t="str">
        <f>IF(Source!$C197&gt;=COLUMNS($A197:L197), Source!$E197, "")</f>
        <v/>
      </c>
      <c r="M197" s="2" t="str">
        <f>IF(Source!$C197&gt;=COLUMNS($A197:M197), Source!$E197, "")</f>
        <v/>
      </c>
      <c r="N197" s="2" t="str">
        <f>IF(Source!$C197&gt;=COLUMNS($A197:N197), Source!$E197, "")</f>
        <v/>
      </c>
      <c r="O197" s="2" t="str">
        <f>IF(Source!$C197&gt;=COLUMNS($A197:O197), Source!$E197, "")</f>
        <v/>
      </c>
      <c r="P197" s="2" t="str">
        <f>IF(Source!$C197&gt;=COLUMNS($A197:P197), Source!$E197, "")</f>
        <v/>
      </c>
      <c r="Q197" s="2" t="str">
        <f>IF(Source!$C197&gt;=COLUMNS($A197:Q197), Source!$E197, "")</f>
        <v/>
      </c>
      <c r="R197" s="2" t="str">
        <f>IF(Source!$C197&gt;=COLUMNS($A197:R197), Source!$E197, "")</f>
        <v/>
      </c>
      <c r="S197" s="2" t="str">
        <f>IF(Source!$C197&gt;=COLUMNS($A197:S197), Source!$E197, "")</f>
        <v/>
      </c>
      <c r="T197" s="2" t="str">
        <f>IF(Source!$C197&gt;=COLUMNS($A197:T197), Source!$E197, "")</f>
        <v/>
      </c>
      <c r="U197" s="2" t="str">
        <f>IF(Source!$C197&gt;=COLUMNS($A197:U197), Source!$E197, "")</f>
        <v/>
      </c>
      <c r="V197" s="2" t="str">
        <f>IF(Source!$C197&gt;=COLUMNS($A197:V197), Source!$E197, "")</f>
        <v/>
      </c>
      <c r="W197" s="2" t="str">
        <f>IF(Source!$C197&gt;=COLUMNS($A197:W197), Source!$E197, "")</f>
        <v/>
      </c>
      <c r="X197" s="2" t="str">
        <f>IF(Source!$C197&gt;=COLUMNS($A197:X197), Source!$E197, "")</f>
        <v/>
      </c>
      <c r="Y197" s="2" t="str">
        <f>IF(Source!$C197&gt;=COLUMNS($A197:Y197), Source!$E197, "")</f>
        <v/>
      </c>
      <c r="Z197" s="2" t="str">
        <f>IF(Source!$C197&gt;=COLUMNS($A197:Z197), Source!$E197, "")</f>
        <v/>
      </c>
      <c r="AA197" s="2" t="str">
        <f>IF(Source!$C197&gt;=COLUMNS($A197:AA197), Source!$E197, "")</f>
        <v/>
      </c>
      <c r="AB197" s="2" t="str">
        <f>IF(Source!$C197&gt;=COLUMNS($A197:AB197), Source!$E197, "")</f>
        <v/>
      </c>
      <c r="AC197" s="2" t="str">
        <f>IF(Source!$C197&gt;=COLUMNS($A197:AC197), Source!$E197, "")</f>
        <v/>
      </c>
      <c r="AD197" s="2" t="str">
        <f>IF(Source!$C197&gt;=COLUMNS($A197:AD197), Source!$E197, "")</f>
        <v/>
      </c>
      <c r="AE197" s="2" t="str">
        <f>IF(Source!$C197&gt;=COLUMNS($A197:AE197), Source!$E197, "")</f>
        <v/>
      </c>
      <c r="AF197" s="2" t="str">
        <f>IF(Source!$C197&gt;=COLUMNS($A197:AF197), Source!$E197, "")</f>
        <v/>
      </c>
      <c r="AG197" s="2" t="str">
        <f>IF(Source!$C197&gt;=COLUMNS($A197:AG197), Source!$E197, "")</f>
        <v/>
      </c>
      <c r="AH197" s="2" t="str">
        <f>IF(Source!$C197&gt;=COLUMNS($A197:AH197), Source!$E197, "")</f>
        <v/>
      </c>
      <c r="AI197" s="2" t="str">
        <f>IF(Source!$C197&gt;=COLUMNS($A197:AI197), Source!$E197, "")</f>
        <v/>
      </c>
      <c r="AJ197" s="2" t="str">
        <f>IF(Source!$C197&gt;=COLUMNS($A197:AJ197), Source!$E197, "")</f>
        <v/>
      </c>
      <c r="AK197" s="2" t="str">
        <f>IF(Source!$C197&gt;=COLUMNS($A197:AK197), Source!$E197, "")</f>
        <v/>
      </c>
      <c r="AL197" s="2" t="str">
        <f>IF(Source!$C197&gt;=COLUMNS($A197:AL197), Source!$E197, "")</f>
        <v/>
      </c>
      <c r="AM197" s="2" t="str">
        <f>IF(Source!$C197&gt;=COLUMNS($A197:AM197), Source!$E197, "")</f>
        <v/>
      </c>
      <c r="AN197" s="2" t="str">
        <f>IF(Source!$C197&gt;=COLUMNS($A197:AN197), Source!$E197, "")</f>
        <v/>
      </c>
      <c r="AO197" s="2" t="str">
        <f>IF(Source!$C197&gt;=COLUMNS($A197:AO197), Source!$E197, "")</f>
        <v/>
      </c>
      <c r="AP197" s="2" t="str">
        <f>IF(Source!$C197&gt;=COLUMNS($A197:AP197), Source!$E197, "")</f>
        <v/>
      </c>
      <c r="AQ197" s="2" t="str">
        <f>IF(Source!$C197&gt;=COLUMNS($A197:AQ197), Source!$E197, "")</f>
        <v/>
      </c>
      <c r="AR197" s="2" t="str">
        <f>IF(Source!$C197&gt;=COLUMNS($A197:AR197), Source!$E197, "")</f>
        <v/>
      </c>
    </row>
    <row r="198">
      <c r="A198" s="2">
        <f>IF(Source!$C198&gt;=COLUMNS($A198:A198), Source!$E198, "")</f>
        <v>8</v>
      </c>
      <c r="B198" s="2">
        <f>IF(Source!$C198&gt;=COLUMNS($A198:B198), Source!$E198, "")</f>
        <v>8</v>
      </c>
      <c r="C198" s="2">
        <f>IF(Source!$C198&gt;=COLUMNS($A198:C198), Source!$E198, "")</f>
        <v>8</v>
      </c>
      <c r="D198" s="2">
        <f>IF(Source!$C198&gt;=COLUMNS($A198:D198), Source!$E198, "")</f>
        <v>8</v>
      </c>
      <c r="E198" s="2">
        <f>IF(Source!$C198&gt;=COLUMNS($A198:E198), Source!$E198, "")</f>
        <v>8</v>
      </c>
      <c r="F198" s="2" t="str">
        <f>IF(Source!$C198&gt;=COLUMNS($A198:F198), Source!$E198, "")</f>
        <v/>
      </c>
      <c r="G198" s="2" t="str">
        <f>IF(Source!$C198&gt;=COLUMNS($A198:G198), Source!$E198, "")</f>
        <v/>
      </c>
      <c r="H198" s="2" t="str">
        <f>IF(Source!$C198&gt;=COLUMNS($A198:H198), Source!$E198, "")</f>
        <v/>
      </c>
      <c r="I198" s="2" t="str">
        <f>IF(Source!$C198&gt;=COLUMNS($A198:I198), Source!$E198, "")</f>
        <v/>
      </c>
      <c r="J198" s="2" t="str">
        <f>IF(Source!$C198&gt;=COLUMNS($A198:J198), Source!$E198, "")</f>
        <v/>
      </c>
      <c r="K198" s="2" t="str">
        <f>IF(Source!$C198&gt;=COLUMNS($A198:K198), Source!$E198, "")</f>
        <v/>
      </c>
      <c r="L198" s="2" t="str">
        <f>IF(Source!$C198&gt;=COLUMNS($A198:L198), Source!$E198, "")</f>
        <v/>
      </c>
      <c r="M198" s="2" t="str">
        <f>IF(Source!$C198&gt;=COLUMNS($A198:M198), Source!$E198, "")</f>
        <v/>
      </c>
      <c r="N198" s="2" t="str">
        <f>IF(Source!$C198&gt;=COLUMNS($A198:N198), Source!$E198, "")</f>
        <v/>
      </c>
      <c r="O198" s="2" t="str">
        <f>IF(Source!$C198&gt;=COLUMNS($A198:O198), Source!$E198, "")</f>
        <v/>
      </c>
      <c r="P198" s="2" t="str">
        <f>IF(Source!$C198&gt;=COLUMNS($A198:P198), Source!$E198, "")</f>
        <v/>
      </c>
      <c r="Q198" s="2" t="str">
        <f>IF(Source!$C198&gt;=COLUMNS($A198:Q198), Source!$E198, "")</f>
        <v/>
      </c>
      <c r="R198" s="2" t="str">
        <f>IF(Source!$C198&gt;=COLUMNS($A198:R198), Source!$E198, "")</f>
        <v/>
      </c>
      <c r="S198" s="2" t="str">
        <f>IF(Source!$C198&gt;=COLUMNS($A198:S198), Source!$E198, "")</f>
        <v/>
      </c>
      <c r="T198" s="2" t="str">
        <f>IF(Source!$C198&gt;=COLUMNS($A198:T198), Source!$E198, "")</f>
        <v/>
      </c>
      <c r="U198" s="2" t="str">
        <f>IF(Source!$C198&gt;=COLUMNS($A198:U198), Source!$E198, "")</f>
        <v/>
      </c>
      <c r="V198" s="2" t="str">
        <f>IF(Source!$C198&gt;=COLUMNS($A198:V198), Source!$E198, "")</f>
        <v/>
      </c>
      <c r="W198" s="2" t="str">
        <f>IF(Source!$C198&gt;=COLUMNS($A198:W198), Source!$E198, "")</f>
        <v/>
      </c>
      <c r="X198" s="2" t="str">
        <f>IF(Source!$C198&gt;=COLUMNS($A198:X198), Source!$E198, "")</f>
        <v/>
      </c>
      <c r="Y198" s="2" t="str">
        <f>IF(Source!$C198&gt;=COLUMNS($A198:Y198), Source!$E198, "")</f>
        <v/>
      </c>
      <c r="Z198" s="2" t="str">
        <f>IF(Source!$C198&gt;=COLUMNS($A198:Z198), Source!$E198, "")</f>
        <v/>
      </c>
      <c r="AA198" s="2" t="str">
        <f>IF(Source!$C198&gt;=COLUMNS($A198:AA198), Source!$E198, "")</f>
        <v/>
      </c>
      <c r="AB198" s="2" t="str">
        <f>IF(Source!$C198&gt;=COLUMNS($A198:AB198), Source!$E198, "")</f>
        <v/>
      </c>
      <c r="AC198" s="2" t="str">
        <f>IF(Source!$C198&gt;=COLUMNS($A198:AC198), Source!$E198, "")</f>
        <v/>
      </c>
      <c r="AD198" s="2" t="str">
        <f>IF(Source!$C198&gt;=COLUMNS($A198:AD198), Source!$E198, "")</f>
        <v/>
      </c>
      <c r="AE198" s="2" t="str">
        <f>IF(Source!$C198&gt;=COLUMNS($A198:AE198), Source!$E198, "")</f>
        <v/>
      </c>
      <c r="AF198" s="2" t="str">
        <f>IF(Source!$C198&gt;=COLUMNS($A198:AF198), Source!$E198, "")</f>
        <v/>
      </c>
      <c r="AG198" s="2" t="str">
        <f>IF(Source!$C198&gt;=COLUMNS($A198:AG198), Source!$E198, "")</f>
        <v/>
      </c>
      <c r="AH198" s="2" t="str">
        <f>IF(Source!$C198&gt;=COLUMNS($A198:AH198), Source!$E198, "")</f>
        <v/>
      </c>
      <c r="AI198" s="2" t="str">
        <f>IF(Source!$C198&gt;=COLUMNS($A198:AI198), Source!$E198, "")</f>
        <v/>
      </c>
      <c r="AJ198" s="2" t="str">
        <f>IF(Source!$C198&gt;=COLUMNS($A198:AJ198), Source!$E198, "")</f>
        <v/>
      </c>
      <c r="AK198" s="2" t="str">
        <f>IF(Source!$C198&gt;=COLUMNS($A198:AK198), Source!$E198, "")</f>
        <v/>
      </c>
      <c r="AL198" s="2" t="str">
        <f>IF(Source!$C198&gt;=COLUMNS($A198:AL198), Source!$E198, "")</f>
        <v/>
      </c>
      <c r="AM198" s="2" t="str">
        <f>IF(Source!$C198&gt;=COLUMNS($A198:AM198), Source!$E198, "")</f>
        <v/>
      </c>
      <c r="AN198" s="2" t="str">
        <f>IF(Source!$C198&gt;=COLUMNS($A198:AN198), Source!$E198, "")</f>
        <v/>
      </c>
      <c r="AO198" s="2" t="str">
        <f>IF(Source!$C198&gt;=COLUMNS($A198:AO198), Source!$E198, "")</f>
        <v/>
      </c>
      <c r="AP198" s="2" t="str">
        <f>IF(Source!$C198&gt;=COLUMNS($A198:AP198), Source!$E198, "")</f>
        <v/>
      </c>
      <c r="AQ198" s="2" t="str">
        <f>IF(Source!$C198&gt;=COLUMNS($A198:AQ198), Source!$E198, "")</f>
        <v/>
      </c>
      <c r="AR198" s="2" t="str">
        <f>IF(Source!$C198&gt;=COLUMNS($A198:AR198), Source!$E198, "")</f>
        <v/>
      </c>
    </row>
    <row r="199">
      <c r="A199" s="2">
        <f>IF(Source!$C199&gt;=COLUMNS($A199:A199), Source!$E199, "")</f>
        <v>7</v>
      </c>
      <c r="B199" s="2">
        <f>IF(Source!$C199&gt;=COLUMNS($A199:B199), Source!$E199, "")</f>
        <v>7</v>
      </c>
      <c r="C199" s="2">
        <f>IF(Source!$C199&gt;=COLUMNS($A199:C199), Source!$E199, "")</f>
        <v>7</v>
      </c>
      <c r="D199" s="2" t="str">
        <f>IF(Source!$C199&gt;=COLUMNS($A199:D199), Source!$E199, "")</f>
        <v/>
      </c>
      <c r="E199" s="2" t="str">
        <f>IF(Source!$C199&gt;=COLUMNS($A199:E199), Source!$E199, "")</f>
        <v/>
      </c>
      <c r="F199" s="2" t="str">
        <f>IF(Source!$C199&gt;=COLUMNS($A199:F199), Source!$E199, "")</f>
        <v/>
      </c>
      <c r="G199" s="2" t="str">
        <f>IF(Source!$C199&gt;=COLUMNS($A199:G199), Source!$E199, "")</f>
        <v/>
      </c>
      <c r="H199" s="2" t="str">
        <f>IF(Source!$C199&gt;=COLUMNS($A199:H199), Source!$E199, "")</f>
        <v/>
      </c>
      <c r="I199" s="2" t="str">
        <f>IF(Source!$C199&gt;=COLUMNS($A199:I199), Source!$E199, "")</f>
        <v/>
      </c>
      <c r="J199" s="2" t="str">
        <f>IF(Source!$C199&gt;=COLUMNS($A199:J199), Source!$E199, "")</f>
        <v/>
      </c>
      <c r="K199" s="2" t="str">
        <f>IF(Source!$C199&gt;=COLUMNS($A199:K199), Source!$E199, "")</f>
        <v/>
      </c>
      <c r="L199" s="2" t="str">
        <f>IF(Source!$C199&gt;=COLUMNS($A199:L199), Source!$E199, "")</f>
        <v/>
      </c>
      <c r="M199" s="2" t="str">
        <f>IF(Source!$C199&gt;=COLUMNS($A199:M199), Source!$E199, "")</f>
        <v/>
      </c>
      <c r="N199" s="2" t="str">
        <f>IF(Source!$C199&gt;=COLUMNS($A199:N199), Source!$E199, "")</f>
        <v/>
      </c>
      <c r="O199" s="2" t="str">
        <f>IF(Source!$C199&gt;=COLUMNS($A199:O199), Source!$E199, "")</f>
        <v/>
      </c>
      <c r="P199" s="2" t="str">
        <f>IF(Source!$C199&gt;=COLUMNS($A199:P199), Source!$E199, "")</f>
        <v/>
      </c>
      <c r="Q199" s="2" t="str">
        <f>IF(Source!$C199&gt;=COLUMNS($A199:Q199), Source!$E199, "")</f>
        <v/>
      </c>
      <c r="R199" s="2" t="str">
        <f>IF(Source!$C199&gt;=COLUMNS($A199:R199), Source!$E199, "")</f>
        <v/>
      </c>
      <c r="S199" s="2" t="str">
        <f>IF(Source!$C199&gt;=COLUMNS($A199:S199), Source!$E199, "")</f>
        <v/>
      </c>
      <c r="T199" s="2" t="str">
        <f>IF(Source!$C199&gt;=COLUMNS($A199:T199), Source!$E199, "")</f>
        <v/>
      </c>
      <c r="U199" s="2" t="str">
        <f>IF(Source!$C199&gt;=COLUMNS($A199:U199), Source!$E199, "")</f>
        <v/>
      </c>
      <c r="V199" s="2" t="str">
        <f>IF(Source!$C199&gt;=COLUMNS($A199:V199), Source!$E199, "")</f>
        <v/>
      </c>
      <c r="W199" s="2" t="str">
        <f>IF(Source!$C199&gt;=COLUMNS($A199:W199), Source!$E199, "")</f>
        <v/>
      </c>
      <c r="X199" s="2" t="str">
        <f>IF(Source!$C199&gt;=COLUMNS($A199:X199), Source!$E199, "")</f>
        <v/>
      </c>
      <c r="Y199" s="2" t="str">
        <f>IF(Source!$C199&gt;=COLUMNS($A199:Y199), Source!$E199, "")</f>
        <v/>
      </c>
      <c r="Z199" s="2" t="str">
        <f>IF(Source!$C199&gt;=COLUMNS($A199:Z199), Source!$E199, "")</f>
        <v/>
      </c>
      <c r="AA199" s="2" t="str">
        <f>IF(Source!$C199&gt;=COLUMNS($A199:AA199), Source!$E199, "")</f>
        <v/>
      </c>
      <c r="AB199" s="2" t="str">
        <f>IF(Source!$C199&gt;=COLUMNS($A199:AB199), Source!$E199, "")</f>
        <v/>
      </c>
      <c r="AC199" s="2" t="str">
        <f>IF(Source!$C199&gt;=COLUMNS($A199:AC199), Source!$E199, "")</f>
        <v/>
      </c>
      <c r="AD199" s="2" t="str">
        <f>IF(Source!$C199&gt;=COLUMNS($A199:AD199), Source!$E199, "")</f>
        <v/>
      </c>
      <c r="AE199" s="2" t="str">
        <f>IF(Source!$C199&gt;=COLUMNS($A199:AE199), Source!$E199, "")</f>
        <v/>
      </c>
      <c r="AF199" s="2" t="str">
        <f>IF(Source!$C199&gt;=COLUMNS($A199:AF199), Source!$E199, "")</f>
        <v/>
      </c>
      <c r="AG199" s="2" t="str">
        <f>IF(Source!$C199&gt;=COLUMNS($A199:AG199), Source!$E199, "")</f>
        <v/>
      </c>
      <c r="AH199" s="2" t="str">
        <f>IF(Source!$C199&gt;=COLUMNS($A199:AH199), Source!$E199, "")</f>
        <v/>
      </c>
      <c r="AI199" s="2" t="str">
        <f>IF(Source!$C199&gt;=COLUMNS($A199:AI199), Source!$E199, "")</f>
        <v/>
      </c>
      <c r="AJ199" s="2" t="str">
        <f>IF(Source!$C199&gt;=COLUMNS($A199:AJ199), Source!$E199, "")</f>
        <v/>
      </c>
      <c r="AK199" s="2" t="str">
        <f>IF(Source!$C199&gt;=COLUMNS($A199:AK199), Source!$E199, "")</f>
        <v/>
      </c>
      <c r="AL199" s="2" t="str">
        <f>IF(Source!$C199&gt;=COLUMNS($A199:AL199), Source!$E199, "")</f>
        <v/>
      </c>
      <c r="AM199" s="2" t="str">
        <f>IF(Source!$C199&gt;=COLUMNS($A199:AM199), Source!$E199, "")</f>
        <v/>
      </c>
      <c r="AN199" s="2" t="str">
        <f>IF(Source!$C199&gt;=COLUMNS($A199:AN199), Source!$E199, "")</f>
        <v/>
      </c>
      <c r="AO199" s="2" t="str">
        <f>IF(Source!$C199&gt;=COLUMNS($A199:AO199), Source!$E199, "")</f>
        <v/>
      </c>
      <c r="AP199" s="2" t="str">
        <f>IF(Source!$C199&gt;=COLUMNS($A199:AP199), Source!$E199, "")</f>
        <v/>
      </c>
      <c r="AQ199" s="2" t="str">
        <f>IF(Source!$C199&gt;=COLUMNS($A199:AQ199), Source!$E199, "")</f>
        <v/>
      </c>
      <c r="AR199" s="2" t="str">
        <f>IF(Source!$C199&gt;=COLUMNS($A199:AR199), Source!$E199, "")</f>
        <v/>
      </c>
    </row>
    <row r="200">
      <c r="A200" s="2">
        <f>IF(Source!$C200&gt;=COLUMNS($A200:A200), Source!$E200, "")</f>
        <v>3</v>
      </c>
      <c r="B200" s="2">
        <f>IF(Source!$C200&gt;=COLUMNS($A200:B200), Source!$E200, "")</f>
        <v>3</v>
      </c>
      <c r="C200" s="2">
        <f>IF(Source!$C200&gt;=COLUMNS($A200:C200), Source!$E200, "")</f>
        <v>3</v>
      </c>
      <c r="D200" s="2">
        <f>IF(Source!$C200&gt;=COLUMNS($A200:D200), Source!$E200, "")</f>
        <v>3</v>
      </c>
      <c r="E200" s="2">
        <f>IF(Source!$C200&gt;=COLUMNS($A200:E200), Source!$E200, "")</f>
        <v>3</v>
      </c>
      <c r="F200" s="2">
        <f>IF(Source!$C200&gt;=COLUMNS($A200:F200), Source!$E200, "")</f>
        <v>3</v>
      </c>
      <c r="G200" s="2">
        <f>IF(Source!$C200&gt;=COLUMNS($A200:G200), Source!$E200, "")</f>
        <v>3</v>
      </c>
      <c r="H200" s="2">
        <f>IF(Source!$C200&gt;=COLUMNS($A200:H200), Source!$E200, "")</f>
        <v>3</v>
      </c>
      <c r="I200" s="2">
        <f>IF(Source!$C200&gt;=COLUMNS($A200:I200), Source!$E200, "")</f>
        <v>3</v>
      </c>
      <c r="J200" s="2">
        <f>IF(Source!$C200&gt;=COLUMNS($A200:J200), Source!$E200, "")</f>
        <v>3</v>
      </c>
      <c r="K200" s="2">
        <f>IF(Source!$C200&gt;=COLUMNS($A200:K200), Source!$E200, "")</f>
        <v>3</v>
      </c>
      <c r="L200" s="2">
        <f>IF(Source!$C200&gt;=COLUMNS($A200:L200), Source!$E200, "")</f>
        <v>3</v>
      </c>
      <c r="M200" s="2">
        <f>IF(Source!$C200&gt;=COLUMNS($A200:M200), Source!$E200, "")</f>
        <v>3</v>
      </c>
      <c r="N200" s="2">
        <f>IF(Source!$C200&gt;=COLUMNS($A200:N200), Source!$E200, "")</f>
        <v>3</v>
      </c>
      <c r="O200" s="2">
        <f>IF(Source!$C200&gt;=COLUMNS($A200:O200), Source!$E200, "")</f>
        <v>3</v>
      </c>
      <c r="P200" s="2">
        <f>IF(Source!$C200&gt;=COLUMNS($A200:P200), Source!$E200, "")</f>
        <v>3</v>
      </c>
      <c r="Q200" s="2">
        <f>IF(Source!$C200&gt;=COLUMNS($A200:Q200), Source!$E200, "")</f>
        <v>3</v>
      </c>
      <c r="R200" s="2" t="str">
        <f>IF(Source!$C200&gt;=COLUMNS($A200:R200), Source!$E200, "")</f>
        <v/>
      </c>
      <c r="S200" s="2" t="str">
        <f>IF(Source!$C200&gt;=COLUMNS($A200:S200), Source!$E200, "")</f>
        <v/>
      </c>
      <c r="T200" s="2" t="str">
        <f>IF(Source!$C200&gt;=COLUMNS($A200:T200), Source!$E200, "")</f>
        <v/>
      </c>
      <c r="U200" s="2" t="str">
        <f>IF(Source!$C200&gt;=COLUMNS($A200:U200), Source!$E200, "")</f>
        <v/>
      </c>
      <c r="V200" s="2" t="str">
        <f>IF(Source!$C200&gt;=COLUMNS($A200:V200), Source!$E200, "")</f>
        <v/>
      </c>
      <c r="W200" s="2" t="str">
        <f>IF(Source!$C200&gt;=COLUMNS($A200:W200), Source!$E200, "")</f>
        <v/>
      </c>
      <c r="X200" s="2" t="str">
        <f>IF(Source!$C200&gt;=COLUMNS($A200:X200), Source!$E200, "")</f>
        <v/>
      </c>
      <c r="Y200" s="2" t="str">
        <f>IF(Source!$C200&gt;=COLUMNS($A200:Y200), Source!$E200, "")</f>
        <v/>
      </c>
      <c r="Z200" s="2" t="str">
        <f>IF(Source!$C200&gt;=COLUMNS($A200:Z200), Source!$E200, "")</f>
        <v/>
      </c>
      <c r="AA200" s="2" t="str">
        <f>IF(Source!$C200&gt;=COLUMNS($A200:AA200), Source!$E200, "")</f>
        <v/>
      </c>
      <c r="AB200" s="2" t="str">
        <f>IF(Source!$C200&gt;=COLUMNS($A200:AB200), Source!$E200, "")</f>
        <v/>
      </c>
      <c r="AC200" s="2" t="str">
        <f>IF(Source!$C200&gt;=COLUMNS($A200:AC200), Source!$E200, "")</f>
        <v/>
      </c>
      <c r="AD200" s="2" t="str">
        <f>IF(Source!$C200&gt;=COLUMNS($A200:AD200), Source!$E200, "")</f>
        <v/>
      </c>
      <c r="AE200" s="2" t="str">
        <f>IF(Source!$C200&gt;=COLUMNS($A200:AE200), Source!$E200, "")</f>
        <v/>
      </c>
      <c r="AF200" s="2" t="str">
        <f>IF(Source!$C200&gt;=COLUMNS($A200:AF200), Source!$E200, "")</f>
        <v/>
      </c>
      <c r="AG200" s="2" t="str">
        <f>IF(Source!$C200&gt;=COLUMNS($A200:AG200), Source!$E200, "")</f>
        <v/>
      </c>
      <c r="AH200" s="2" t="str">
        <f>IF(Source!$C200&gt;=COLUMNS($A200:AH200), Source!$E200, "")</f>
        <v/>
      </c>
      <c r="AI200" s="2" t="str">
        <f>IF(Source!$C200&gt;=COLUMNS($A200:AI200), Source!$E200, "")</f>
        <v/>
      </c>
      <c r="AJ200" s="2" t="str">
        <f>IF(Source!$C200&gt;=COLUMNS($A200:AJ200), Source!$E200, "")</f>
        <v/>
      </c>
      <c r="AK200" s="2" t="str">
        <f>IF(Source!$C200&gt;=COLUMNS($A200:AK200), Source!$E200, "")</f>
        <v/>
      </c>
      <c r="AL200" s="2" t="str">
        <f>IF(Source!$C200&gt;=COLUMNS($A200:AL200), Source!$E200, "")</f>
        <v/>
      </c>
      <c r="AM200" s="2" t="str">
        <f>IF(Source!$C200&gt;=COLUMNS($A200:AM200), Source!$E200, "")</f>
        <v/>
      </c>
      <c r="AN200" s="2" t="str">
        <f>IF(Source!$C200&gt;=COLUMNS($A200:AN200), Source!$E200, "")</f>
        <v/>
      </c>
      <c r="AO200" s="2" t="str">
        <f>IF(Source!$C200&gt;=COLUMNS($A200:AO200), Source!$E200, "")</f>
        <v/>
      </c>
      <c r="AP200" s="2" t="str">
        <f>IF(Source!$C200&gt;=COLUMNS($A200:AP200), Source!$E200, "")</f>
        <v/>
      </c>
      <c r="AQ200" s="2" t="str">
        <f>IF(Source!$C200&gt;=COLUMNS($A200:AQ200), Source!$E200, "")</f>
        <v/>
      </c>
      <c r="AR200" s="2" t="str">
        <f>IF(Source!$C200&gt;=COLUMNS($A200:AR200), Source!$E200, "")</f>
        <v/>
      </c>
    </row>
    <row r="201">
      <c r="A201" s="2">
        <f>IF(Source!$C201&gt;=COLUMNS($A201:A201), Source!$E201, "")</f>
        <v>6</v>
      </c>
      <c r="B201" s="2" t="str">
        <f>IF(Source!$C201&gt;=COLUMNS($A201:B201), Source!$E201, "")</f>
        <v/>
      </c>
      <c r="C201" s="2" t="str">
        <f>IF(Source!$C201&gt;=COLUMNS($A201:C201), Source!$E201, "")</f>
        <v/>
      </c>
      <c r="D201" s="2" t="str">
        <f>IF(Source!$C201&gt;=COLUMNS($A201:D201), Source!$E201, "")</f>
        <v/>
      </c>
      <c r="E201" s="2" t="str">
        <f>IF(Source!$C201&gt;=COLUMNS($A201:E201), Source!$E201, "")</f>
        <v/>
      </c>
      <c r="F201" s="2" t="str">
        <f>IF(Source!$C201&gt;=COLUMNS($A201:F201), Source!$E201, "")</f>
        <v/>
      </c>
      <c r="G201" s="2" t="str">
        <f>IF(Source!$C201&gt;=COLUMNS($A201:G201), Source!$E201, "")</f>
        <v/>
      </c>
      <c r="H201" s="2" t="str">
        <f>IF(Source!$C201&gt;=COLUMNS($A201:H201), Source!$E201, "")</f>
        <v/>
      </c>
      <c r="I201" s="2" t="str">
        <f>IF(Source!$C201&gt;=COLUMNS($A201:I201), Source!$E201, "")</f>
        <v/>
      </c>
      <c r="J201" s="2" t="str">
        <f>IF(Source!$C201&gt;=COLUMNS($A201:J201), Source!$E201, "")</f>
        <v/>
      </c>
      <c r="K201" s="2" t="str">
        <f>IF(Source!$C201&gt;=COLUMNS($A201:K201), Source!$E201, "")</f>
        <v/>
      </c>
      <c r="L201" s="2" t="str">
        <f>IF(Source!$C201&gt;=COLUMNS($A201:L201), Source!$E201, "")</f>
        <v/>
      </c>
      <c r="M201" s="2" t="str">
        <f>IF(Source!$C201&gt;=COLUMNS($A201:M201), Source!$E201, "")</f>
        <v/>
      </c>
      <c r="N201" s="2" t="str">
        <f>IF(Source!$C201&gt;=COLUMNS($A201:N201), Source!$E201, "")</f>
        <v/>
      </c>
      <c r="O201" s="2" t="str">
        <f>IF(Source!$C201&gt;=COLUMNS($A201:O201), Source!$E201, "")</f>
        <v/>
      </c>
      <c r="P201" s="2" t="str">
        <f>IF(Source!$C201&gt;=COLUMNS($A201:P201), Source!$E201, "")</f>
        <v/>
      </c>
      <c r="Q201" s="2" t="str">
        <f>IF(Source!$C201&gt;=COLUMNS($A201:Q201), Source!$E201, "")</f>
        <v/>
      </c>
      <c r="R201" s="2" t="str">
        <f>IF(Source!$C201&gt;=COLUMNS($A201:R201), Source!$E201, "")</f>
        <v/>
      </c>
      <c r="S201" s="2" t="str">
        <f>IF(Source!$C201&gt;=COLUMNS($A201:S201), Source!$E201, "")</f>
        <v/>
      </c>
      <c r="T201" s="2" t="str">
        <f>IF(Source!$C201&gt;=COLUMNS($A201:T201), Source!$E201, "")</f>
        <v/>
      </c>
      <c r="U201" s="2" t="str">
        <f>IF(Source!$C201&gt;=COLUMNS($A201:U201), Source!$E201, "")</f>
        <v/>
      </c>
      <c r="V201" s="2" t="str">
        <f>IF(Source!$C201&gt;=COLUMNS($A201:V201), Source!$E201, "")</f>
        <v/>
      </c>
      <c r="W201" s="2" t="str">
        <f>IF(Source!$C201&gt;=COLUMNS($A201:W201), Source!$E201, "")</f>
        <v/>
      </c>
      <c r="X201" s="2" t="str">
        <f>IF(Source!$C201&gt;=COLUMNS($A201:X201), Source!$E201, "")</f>
        <v/>
      </c>
      <c r="Y201" s="2" t="str">
        <f>IF(Source!$C201&gt;=COLUMNS($A201:Y201), Source!$E201, "")</f>
        <v/>
      </c>
      <c r="Z201" s="2" t="str">
        <f>IF(Source!$C201&gt;=COLUMNS($A201:Z201), Source!$E201, "")</f>
        <v/>
      </c>
      <c r="AA201" s="2" t="str">
        <f>IF(Source!$C201&gt;=COLUMNS($A201:AA201), Source!$E201, "")</f>
        <v/>
      </c>
      <c r="AB201" s="2" t="str">
        <f>IF(Source!$C201&gt;=COLUMNS($A201:AB201), Source!$E201, "")</f>
        <v/>
      </c>
      <c r="AC201" s="2" t="str">
        <f>IF(Source!$C201&gt;=COLUMNS($A201:AC201), Source!$E201, "")</f>
        <v/>
      </c>
      <c r="AD201" s="2" t="str">
        <f>IF(Source!$C201&gt;=COLUMNS($A201:AD201), Source!$E201, "")</f>
        <v/>
      </c>
      <c r="AE201" s="2" t="str">
        <f>IF(Source!$C201&gt;=COLUMNS($A201:AE201), Source!$E201, "")</f>
        <v/>
      </c>
      <c r="AF201" s="2" t="str">
        <f>IF(Source!$C201&gt;=COLUMNS($A201:AF201), Source!$E201, "")</f>
        <v/>
      </c>
      <c r="AG201" s="2" t="str">
        <f>IF(Source!$C201&gt;=COLUMNS($A201:AG201), Source!$E201, "")</f>
        <v/>
      </c>
      <c r="AH201" s="2" t="str">
        <f>IF(Source!$C201&gt;=COLUMNS($A201:AH201), Source!$E201, "")</f>
        <v/>
      </c>
      <c r="AI201" s="2" t="str">
        <f>IF(Source!$C201&gt;=COLUMNS($A201:AI201), Source!$E201, "")</f>
        <v/>
      </c>
      <c r="AJ201" s="2" t="str">
        <f>IF(Source!$C201&gt;=COLUMNS($A201:AJ201), Source!$E201, "")</f>
        <v/>
      </c>
      <c r="AK201" s="2" t="str">
        <f>IF(Source!$C201&gt;=COLUMNS($A201:AK201), Source!$E201, "")</f>
        <v/>
      </c>
      <c r="AL201" s="2" t="str">
        <f>IF(Source!$C201&gt;=COLUMNS($A201:AL201), Source!$E201, "")</f>
        <v/>
      </c>
      <c r="AM201" s="2" t="str">
        <f>IF(Source!$C201&gt;=COLUMNS($A201:AM201), Source!$E201, "")</f>
        <v/>
      </c>
      <c r="AN201" s="2" t="str">
        <f>IF(Source!$C201&gt;=COLUMNS($A201:AN201), Source!$E201, "")</f>
        <v/>
      </c>
      <c r="AO201" s="2" t="str">
        <f>IF(Source!$C201&gt;=COLUMNS($A201:AO201), Source!$E201, "")</f>
        <v/>
      </c>
      <c r="AP201" s="2" t="str">
        <f>IF(Source!$C201&gt;=COLUMNS($A201:AP201), Source!$E201, "")</f>
        <v/>
      </c>
      <c r="AQ201" s="2" t="str">
        <f>IF(Source!$C201&gt;=COLUMNS($A201:AQ201), Source!$E201, "")</f>
        <v/>
      </c>
      <c r="AR201" s="2" t="str">
        <f>IF(Source!$C201&gt;=COLUMNS($A201:AR201), Source!$E201, "")</f>
        <v/>
      </c>
    </row>
    <row r="202">
      <c r="A202" s="2">
        <f>IF(Source!$C202&gt;=COLUMNS($A202:A202), Source!$E202, "")</f>
        <v>6</v>
      </c>
      <c r="B202" s="2">
        <f>IF(Source!$C202&gt;=COLUMNS($A202:B202), Source!$E202, "")</f>
        <v>6</v>
      </c>
      <c r="C202" s="2" t="str">
        <f>IF(Source!$C202&gt;=COLUMNS($A202:C202), Source!$E202, "")</f>
        <v/>
      </c>
      <c r="D202" s="2" t="str">
        <f>IF(Source!$C202&gt;=COLUMNS($A202:D202), Source!$E202, "")</f>
        <v/>
      </c>
      <c r="E202" s="2" t="str">
        <f>IF(Source!$C202&gt;=COLUMNS($A202:E202), Source!$E202, "")</f>
        <v/>
      </c>
      <c r="F202" s="2" t="str">
        <f>IF(Source!$C202&gt;=COLUMNS($A202:F202), Source!$E202, "")</f>
        <v/>
      </c>
      <c r="G202" s="2" t="str">
        <f>IF(Source!$C202&gt;=COLUMNS($A202:G202), Source!$E202, "")</f>
        <v/>
      </c>
      <c r="H202" s="2" t="str">
        <f>IF(Source!$C202&gt;=COLUMNS($A202:H202), Source!$E202, "")</f>
        <v/>
      </c>
      <c r="I202" s="2" t="str">
        <f>IF(Source!$C202&gt;=COLUMNS($A202:I202), Source!$E202, "")</f>
        <v/>
      </c>
      <c r="J202" s="2" t="str">
        <f>IF(Source!$C202&gt;=COLUMNS($A202:J202), Source!$E202, "")</f>
        <v/>
      </c>
      <c r="K202" s="2" t="str">
        <f>IF(Source!$C202&gt;=COLUMNS($A202:K202), Source!$E202, "")</f>
        <v/>
      </c>
      <c r="L202" s="2" t="str">
        <f>IF(Source!$C202&gt;=COLUMNS($A202:L202), Source!$E202, "")</f>
        <v/>
      </c>
      <c r="M202" s="2" t="str">
        <f>IF(Source!$C202&gt;=COLUMNS($A202:M202), Source!$E202, "")</f>
        <v/>
      </c>
      <c r="N202" s="2" t="str">
        <f>IF(Source!$C202&gt;=COLUMNS($A202:N202), Source!$E202, "")</f>
        <v/>
      </c>
      <c r="O202" s="2" t="str">
        <f>IF(Source!$C202&gt;=COLUMNS($A202:O202), Source!$E202, "")</f>
        <v/>
      </c>
      <c r="P202" s="2" t="str">
        <f>IF(Source!$C202&gt;=COLUMNS($A202:P202), Source!$E202, "")</f>
        <v/>
      </c>
      <c r="Q202" s="2" t="str">
        <f>IF(Source!$C202&gt;=COLUMNS($A202:Q202), Source!$E202, "")</f>
        <v/>
      </c>
      <c r="R202" s="2" t="str">
        <f>IF(Source!$C202&gt;=COLUMNS($A202:R202), Source!$E202, "")</f>
        <v/>
      </c>
      <c r="S202" s="2" t="str">
        <f>IF(Source!$C202&gt;=COLUMNS($A202:S202), Source!$E202, "")</f>
        <v/>
      </c>
      <c r="T202" s="2" t="str">
        <f>IF(Source!$C202&gt;=COLUMNS($A202:T202), Source!$E202, "")</f>
        <v/>
      </c>
      <c r="U202" s="2" t="str">
        <f>IF(Source!$C202&gt;=COLUMNS($A202:U202), Source!$E202, "")</f>
        <v/>
      </c>
      <c r="V202" s="2" t="str">
        <f>IF(Source!$C202&gt;=COLUMNS($A202:V202), Source!$E202, "")</f>
        <v/>
      </c>
      <c r="W202" s="2" t="str">
        <f>IF(Source!$C202&gt;=COLUMNS($A202:W202), Source!$E202, "")</f>
        <v/>
      </c>
      <c r="X202" s="2" t="str">
        <f>IF(Source!$C202&gt;=COLUMNS($A202:X202), Source!$E202, "")</f>
        <v/>
      </c>
      <c r="Y202" s="2" t="str">
        <f>IF(Source!$C202&gt;=COLUMNS($A202:Y202), Source!$E202, "")</f>
        <v/>
      </c>
      <c r="Z202" s="2" t="str">
        <f>IF(Source!$C202&gt;=COLUMNS($A202:Z202), Source!$E202, "")</f>
        <v/>
      </c>
      <c r="AA202" s="2" t="str">
        <f>IF(Source!$C202&gt;=COLUMNS($A202:AA202), Source!$E202, "")</f>
        <v/>
      </c>
      <c r="AB202" s="2" t="str">
        <f>IF(Source!$C202&gt;=COLUMNS($A202:AB202), Source!$E202, "")</f>
        <v/>
      </c>
      <c r="AC202" s="2" t="str">
        <f>IF(Source!$C202&gt;=COLUMNS($A202:AC202), Source!$E202, "")</f>
        <v/>
      </c>
      <c r="AD202" s="2" t="str">
        <f>IF(Source!$C202&gt;=COLUMNS($A202:AD202), Source!$E202, "")</f>
        <v/>
      </c>
      <c r="AE202" s="2" t="str">
        <f>IF(Source!$C202&gt;=COLUMNS($A202:AE202), Source!$E202, "")</f>
        <v/>
      </c>
      <c r="AF202" s="2" t="str">
        <f>IF(Source!$C202&gt;=COLUMNS($A202:AF202), Source!$E202, "")</f>
        <v/>
      </c>
      <c r="AG202" s="2" t="str">
        <f>IF(Source!$C202&gt;=COLUMNS($A202:AG202), Source!$E202, "")</f>
        <v/>
      </c>
      <c r="AH202" s="2" t="str">
        <f>IF(Source!$C202&gt;=COLUMNS($A202:AH202), Source!$E202, "")</f>
        <v/>
      </c>
      <c r="AI202" s="2" t="str">
        <f>IF(Source!$C202&gt;=COLUMNS($A202:AI202), Source!$E202, "")</f>
        <v/>
      </c>
      <c r="AJ202" s="2" t="str">
        <f>IF(Source!$C202&gt;=COLUMNS($A202:AJ202), Source!$E202, "")</f>
        <v/>
      </c>
      <c r="AK202" s="2" t="str">
        <f>IF(Source!$C202&gt;=COLUMNS($A202:AK202), Source!$E202, "")</f>
        <v/>
      </c>
      <c r="AL202" s="2" t="str">
        <f>IF(Source!$C202&gt;=COLUMNS($A202:AL202), Source!$E202, "")</f>
        <v/>
      </c>
      <c r="AM202" s="2" t="str">
        <f>IF(Source!$C202&gt;=COLUMNS($A202:AM202), Source!$E202, "")</f>
        <v/>
      </c>
      <c r="AN202" s="2" t="str">
        <f>IF(Source!$C202&gt;=COLUMNS($A202:AN202), Source!$E202, "")</f>
        <v/>
      </c>
      <c r="AO202" s="2" t="str">
        <f>IF(Source!$C202&gt;=COLUMNS($A202:AO202), Source!$E202, "")</f>
        <v/>
      </c>
      <c r="AP202" s="2" t="str">
        <f>IF(Source!$C202&gt;=COLUMNS($A202:AP202), Source!$E202, "")</f>
        <v/>
      </c>
      <c r="AQ202" s="2" t="str">
        <f>IF(Source!$C202&gt;=COLUMNS($A202:AQ202), Source!$E202, "")</f>
        <v/>
      </c>
      <c r="AR202" s="2" t="str">
        <f>IF(Source!$C202&gt;=COLUMNS($A202:AR202), Source!$E202, "")</f>
        <v/>
      </c>
    </row>
    <row r="203">
      <c r="A203" s="2">
        <f>IF(Source!$C203&gt;=COLUMNS($A203:A203), Source!$E203, "")</f>
        <v>6</v>
      </c>
      <c r="B203" s="2" t="str">
        <f>IF(Source!$C203&gt;=COLUMNS($A203:B203), Source!$E203, "")</f>
        <v/>
      </c>
      <c r="C203" s="2" t="str">
        <f>IF(Source!$C203&gt;=COLUMNS($A203:C203), Source!$E203, "")</f>
        <v/>
      </c>
      <c r="D203" s="2" t="str">
        <f>IF(Source!$C203&gt;=COLUMNS($A203:D203), Source!$E203, "")</f>
        <v/>
      </c>
      <c r="E203" s="2" t="str">
        <f>IF(Source!$C203&gt;=COLUMNS($A203:E203), Source!$E203, "")</f>
        <v/>
      </c>
      <c r="F203" s="2" t="str">
        <f>IF(Source!$C203&gt;=COLUMNS($A203:F203), Source!$E203, "")</f>
        <v/>
      </c>
      <c r="G203" s="2" t="str">
        <f>IF(Source!$C203&gt;=COLUMNS($A203:G203), Source!$E203, "")</f>
        <v/>
      </c>
      <c r="H203" s="2" t="str">
        <f>IF(Source!$C203&gt;=COLUMNS($A203:H203), Source!$E203, "")</f>
        <v/>
      </c>
      <c r="I203" s="2" t="str">
        <f>IF(Source!$C203&gt;=COLUMNS($A203:I203), Source!$E203, "")</f>
        <v/>
      </c>
      <c r="J203" s="2" t="str">
        <f>IF(Source!$C203&gt;=COLUMNS($A203:J203), Source!$E203, "")</f>
        <v/>
      </c>
      <c r="K203" s="2" t="str">
        <f>IF(Source!$C203&gt;=COLUMNS($A203:K203), Source!$E203, "")</f>
        <v/>
      </c>
      <c r="L203" s="2" t="str">
        <f>IF(Source!$C203&gt;=COLUMNS($A203:L203), Source!$E203, "")</f>
        <v/>
      </c>
      <c r="M203" s="2" t="str">
        <f>IF(Source!$C203&gt;=COLUMNS($A203:M203), Source!$E203, "")</f>
        <v/>
      </c>
      <c r="N203" s="2" t="str">
        <f>IF(Source!$C203&gt;=COLUMNS($A203:N203), Source!$E203, "")</f>
        <v/>
      </c>
      <c r="O203" s="2" t="str">
        <f>IF(Source!$C203&gt;=COLUMNS($A203:O203), Source!$E203, "")</f>
        <v/>
      </c>
      <c r="P203" s="2" t="str">
        <f>IF(Source!$C203&gt;=COLUMNS($A203:P203), Source!$E203, "")</f>
        <v/>
      </c>
      <c r="Q203" s="2" t="str">
        <f>IF(Source!$C203&gt;=COLUMNS($A203:Q203), Source!$E203, "")</f>
        <v/>
      </c>
      <c r="R203" s="2" t="str">
        <f>IF(Source!$C203&gt;=COLUMNS($A203:R203), Source!$E203, "")</f>
        <v/>
      </c>
      <c r="S203" s="2" t="str">
        <f>IF(Source!$C203&gt;=COLUMNS($A203:S203), Source!$E203, "")</f>
        <v/>
      </c>
      <c r="T203" s="2" t="str">
        <f>IF(Source!$C203&gt;=COLUMNS($A203:T203), Source!$E203, "")</f>
        <v/>
      </c>
      <c r="U203" s="2" t="str">
        <f>IF(Source!$C203&gt;=COLUMNS($A203:U203), Source!$E203, "")</f>
        <v/>
      </c>
      <c r="V203" s="2" t="str">
        <f>IF(Source!$C203&gt;=COLUMNS($A203:V203), Source!$E203, "")</f>
        <v/>
      </c>
      <c r="W203" s="2" t="str">
        <f>IF(Source!$C203&gt;=COLUMNS($A203:W203), Source!$E203, "")</f>
        <v/>
      </c>
      <c r="X203" s="2" t="str">
        <f>IF(Source!$C203&gt;=COLUMNS($A203:X203), Source!$E203, "")</f>
        <v/>
      </c>
      <c r="Y203" s="2" t="str">
        <f>IF(Source!$C203&gt;=COLUMNS($A203:Y203), Source!$E203, "")</f>
        <v/>
      </c>
      <c r="Z203" s="2" t="str">
        <f>IF(Source!$C203&gt;=COLUMNS($A203:Z203), Source!$E203, "")</f>
        <v/>
      </c>
      <c r="AA203" s="2" t="str">
        <f>IF(Source!$C203&gt;=COLUMNS($A203:AA203), Source!$E203, "")</f>
        <v/>
      </c>
      <c r="AB203" s="2" t="str">
        <f>IF(Source!$C203&gt;=COLUMNS($A203:AB203), Source!$E203, "")</f>
        <v/>
      </c>
      <c r="AC203" s="2" t="str">
        <f>IF(Source!$C203&gt;=COLUMNS($A203:AC203), Source!$E203, "")</f>
        <v/>
      </c>
      <c r="AD203" s="2" t="str">
        <f>IF(Source!$C203&gt;=COLUMNS($A203:AD203), Source!$E203, "")</f>
        <v/>
      </c>
      <c r="AE203" s="2" t="str">
        <f>IF(Source!$C203&gt;=COLUMNS($A203:AE203), Source!$E203, "")</f>
        <v/>
      </c>
      <c r="AF203" s="2" t="str">
        <f>IF(Source!$C203&gt;=COLUMNS($A203:AF203), Source!$E203, "")</f>
        <v/>
      </c>
      <c r="AG203" s="2" t="str">
        <f>IF(Source!$C203&gt;=COLUMNS($A203:AG203), Source!$E203, "")</f>
        <v/>
      </c>
      <c r="AH203" s="2" t="str">
        <f>IF(Source!$C203&gt;=COLUMNS($A203:AH203), Source!$E203, "")</f>
        <v/>
      </c>
      <c r="AI203" s="2" t="str">
        <f>IF(Source!$C203&gt;=COLUMNS($A203:AI203), Source!$E203, "")</f>
        <v/>
      </c>
      <c r="AJ203" s="2" t="str">
        <f>IF(Source!$C203&gt;=COLUMNS($A203:AJ203), Source!$E203, "")</f>
        <v/>
      </c>
      <c r="AK203" s="2" t="str">
        <f>IF(Source!$C203&gt;=COLUMNS($A203:AK203), Source!$E203, "")</f>
        <v/>
      </c>
      <c r="AL203" s="2" t="str">
        <f>IF(Source!$C203&gt;=COLUMNS($A203:AL203), Source!$E203, "")</f>
        <v/>
      </c>
      <c r="AM203" s="2" t="str">
        <f>IF(Source!$C203&gt;=COLUMNS($A203:AM203), Source!$E203, "")</f>
        <v/>
      </c>
      <c r="AN203" s="2" t="str">
        <f>IF(Source!$C203&gt;=COLUMNS($A203:AN203), Source!$E203, "")</f>
        <v/>
      </c>
      <c r="AO203" s="2" t="str">
        <f>IF(Source!$C203&gt;=COLUMNS($A203:AO203), Source!$E203, "")</f>
        <v/>
      </c>
      <c r="AP203" s="2" t="str">
        <f>IF(Source!$C203&gt;=COLUMNS($A203:AP203), Source!$E203, "")</f>
        <v/>
      </c>
      <c r="AQ203" s="2" t="str">
        <f>IF(Source!$C203&gt;=COLUMNS($A203:AQ203), Source!$E203, "")</f>
        <v/>
      </c>
      <c r="AR203" s="2" t="str">
        <f>IF(Source!$C203&gt;=COLUMNS($A203:AR203), Source!$E203, "")</f>
        <v/>
      </c>
    </row>
    <row r="204">
      <c r="A204" s="2">
        <f>IF(Source!$C204&gt;=COLUMNS($A204:A204), Source!$E204, "")</f>
        <v>9</v>
      </c>
      <c r="B204" s="2">
        <f>IF(Source!$C204&gt;=COLUMNS($A204:B204), Source!$E204, "")</f>
        <v>9</v>
      </c>
      <c r="C204" s="2">
        <f>IF(Source!$C204&gt;=COLUMNS($A204:C204), Source!$E204, "")</f>
        <v>9</v>
      </c>
      <c r="D204" s="2">
        <f>IF(Source!$C204&gt;=COLUMNS($A204:D204), Source!$E204, "")</f>
        <v>9</v>
      </c>
      <c r="E204" s="2">
        <f>IF(Source!$C204&gt;=COLUMNS($A204:E204), Source!$E204, "")</f>
        <v>9</v>
      </c>
      <c r="F204" s="2">
        <f>IF(Source!$C204&gt;=COLUMNS($A204:F204), Source!$E204, "")</f>
        <v>9</v>
      </c>
      <c r="G204" s="2">
        <f>IF(Source!$C204&gt;=COLUMNS($A204:G204), Source!$E204, "")</f>
        <v>9</v>
      </c>
      <c r="H204" s="2">
        <f>IF(Source!$C204&gt;=COLUMNS($A204:H204), Source!$E204, "")</f>
        <v>9</v>
      </c>
      <c r="I204" s="2">
        <f>IF(Source!$C204&gt;=COLUMNS($A204:I204), Source!$E204, "")</f>
        <v>9</v>
      </c>
      <c r="J204" s="2">
        <f>IF(Source!$C204&gt;=COLUMNS($A204:J204), Source!$E204, "")</f>
        <v>9</v>
      </c>
      <c r="K204" s="2">
        <f>IF(Source!$C204&gt;=COLUMNS($A204:K204), Source!$E204, "")</f>
        <v>9</v>
      </c>
      <c r="L204" s="2">
        <f>IF(Source!$C204&gt;=COLUMNS($A204:L204), Source!$E204, "")</f>
        <v>9</v>
      </c>
      <c r="M204" s="2" t="str">
        <f>IF(Source!$C204&gt;=COLUMNS($A204:M204), Source!$E204, "")</f>
        <v/>
      </c>
      <c r="N204" s="2" t="str">
        <f>IF(Source!$C204&gt;=COLUMNS($A204:N204), Source!$E204, "")</f>
        <v/>
      </c>
      <c r="O204" s="2" t="str">
        <f>IF(Source!$C204&gt;=COLUMNS($A204:O204), Source!$E204, "")</f>
        <v/>
      </c>
      <c r="P204" s="2" t="str">
        <f>IF(Source!$C204&gt;=COLUMNS($A204:P204), Source!$E204, "")</f>
        <v/>
      </c>
      <c r="Q204" s="2" t="str">
        <f>IF(Source!$C204&gt;=COLUMNS($A204:Q204), Source!$E204, "")</f>
        <v/>
      </c>
      <c r="R204" s="2" t="str">
        <f>IF(Source!$C204&gt;=COLUMNS($A204:R204), Source!$E204, "")</f>
        <v/>
      </c>
      <c r="S204" s="2" t="str">
        <f>IF(Source!$C204&gt;=COLUMNS($A204:S204), Source!$E204, "")</f>
        <v/>
      </c>
      <c r="T204" s="2" t="str">
        <f>IF(Source!$C204&gt;=COLUMNS($A204:T204), Source!$E204, "")</f>
        <v/>
      </c>
      <c r="U204" s="2" t="str">
        <f>IF(Source!$C204&gt;=COLUMNS($A204:U204), Source!$E204, "")</f>
        <v/>
      </c>
      <c r="V204" s="2" t="str">
        <f>IF(Source!$C204&gt;=COLUMNS($A204:V204), Source!$E204, "")</f>
        <v/>
      </c>
      <c r="W204" s="2" t="str">
        <f>IF(Source!$C204&gt;=COLUMNS($A204:W204), Source!$E204, "")</f>
        <v/>
      </c>
      <c r="X204" s="2" t="str">
        <f>IF(Source!$C204&gt;=COLUMNS($A204:X204), Source!$E204, "")</f>
        <v/>
      </c>
      <c r="Y204" s="2" t="str">
        <f>IF(Source!$C204&gt;=COLUMNS($A204:Y204), Source!$E204, "")</f>
        <v/>
      </c>
      <c r="Z204" s="2" t="str">
        <f>IF(Source!$C204&gt;=COLUMNS($A204:Z204), Source!$E204, "")</f>
        <v/>
      </c>
      <c r="AA204" s="2" t="str">
        <f>IF(Source!$C204&gt;=COLUMNS($A204:AA204), Source!$E204, "")</f>
        <v/>
      </c>
      <c r="AB204" s="2" t="str">
        <f>IF(Source!$C204&gt;=COLUMNS($A204:AB204), Source!$E204, "")</f>
        <v/>
      </c>
      <c r="AC204" s="2" t="str">
        <f>IF(Source!$C204&gt;=COLUMNS($A204:AC204), Source!$E204, "")</f>
        <v/>
      </c>
      <c r="AD204" s="2" t="str">
        <f>IF(Source!$C204&gt;=COLUMNS($A204:AD204), Source!$E204, "")</f>
        <v/>
      </c>
      <c r="AE204" s="2" t="str">
        <f>IF(Source!$C204&gt;=COLUMNS($A204:AE204), Source!$E204, "")</f>
        <v/>
      </c>
      <c r="AF204" s="2" t="str">
        <f>IF(Source!$C204&gt;=COLUMNS($A204:AF204), Source!$E204, "")</f>
        <v/>
      </c>
      <c r="AG204" s="2" t="str">
        <f>IF(Source!$C204&gt;=COLUMNS($A204:AG204), Source!$E204, "")</f>
        <v/>
      </c>
      <c r="AH204" s="2" t="str">
        <f>IF(Source!$C204&gt;=COLUMNS($A204:AH204), Source!$E204, "")</f>
        <v/>
      </c>
      <c r="AI204" s="2" t="str">
        <f>IF(Source!$C204&gt;=COLUMNS($A204:AI204), Source!$E204, "")</f>
        <v/>
      </c>
      <c r="AJ204" s="2" t="str">
        <f>IF(Source!$C204&gt;=COLUMNS($A204:AJ204), Source!$E204, "")</f>
        <v/>
      </c>
      <c r="AK204" s="2" t="str">
        <f>IF(Source!$C204&gt;=COLUMNS($A204:AK204), Source!$E204, "")</f>
        <v/>
      </c>
      <c r="AL204" s="2" t="str">
        <f>IF(Source!$C204&gt;=COLUMNS($A204:AL204), Source!$E204, "")</f>
        <v/>
      </c>
      <c r="AM204" s="2" t="str">
        <f>IF(Source!$C204&gt;=COLUMNS($A204:AM204), Source!$E204, "")</f>
        <v/>
      </c>
      <c r="AN204" s="2" t="str">
        <f>IF(Source!$C204&gt;=COLUMNS($A204:AN204), Source!$E204, "")</f>
        <v/>
      </c>
      <c r="AO204" s="2" t="str">
        <f>IF(Source!$C204&gt;=COLUMNS($A204:AO204), Source!$E204, "")</f>
        <v/>
      </c>
      <c r="AP204" s="2" t="str">
        <f>IF(Source!$C204&gt;=COLUMNS($A204:AP204), Source!$E204, "")</f>
        <v/>
      </c>
      <c r="AQ204" s="2" t="str">
        <f>IF(Source!$C204&gt;=COLUMNS($A204:AQ204), Source!$E204, "")</f>
        <v/>
      </c>
      <c r="AR204" s="2" t="str">
        <f>IF(Source!$C204&gt;=COLUMNS($A204:AR204), Source!$E204, "")</f>
        <v/>
      </c>
    </row>
    <row r="205">
      <c r="A205" s="2">
        <f>IF(Source!$C205&gt;=COLUMNS($A205:A205), Source!$E205, "")</f>
        <v>4</v>
      </c>
      <c r="B205" s="2" t="str">
        <f>IF(Source!$C205&gt;=COLUMNS($A205:B205), Source!$E205, "")</f>
        <v/>
      </c>
      <c r="C205" s="2" t="str">
        <f>IF(Source!$C205&gt;=COLUMNS($A205:C205), Source!$E205, "")</f>
        <v/>
      </c>
      <c r="D205" s="2" t="str">
        <f>IF(Source!$C205&gt;=COLUMNS($A205:D205), Source!$E205, "")</f>
        <v/>
      </c>
      <c r="E205" s="2" t="str">
        <f>IF(Source!$C205&gt;=COLUMNS($A205:E205), Source!$E205, "")</f>
        <v/>
      </c>
      <c r="F205" s="2" t="str">
        <f>IF(Source!$C205&gt;=COLUMNS($A205:F205), Source!$E205, "")</f>
        <v/>
      </c>
      <c r="G205" s="2" t="str">
        <f>IF(Source!$C205&gt;=COLUMNS($A205:G205), Source!$E205, "")</f>
        <v/>
      </c>
      <c r="H205" s="2" t="str">
        <f>IF(Source!$C205&gt;=COLUMNS($A205:H205), Source!$E205, "")</f>
        <v/>
      </c>
      <c r="I205" s="2" t="str">
        <f>IF(Source!$C205&gt;=COLUMNS($A205:I205), Source!$E205, "")</f>
        <v/>
      </c>
      <c r="J205" s="2" t="str">
        <f>IF(Source!$C205&gt;=COLUMNS($A205:J205), Source!$E205, "")</f>
        <v/>
      </c>
      <c r="K205" s="2" t="str">
        <f>IF(Source!$C205&gt;=COLUMNS($A205:K205), Source!$E205, "")</f>
        <v/>
      </c>
      <c r="L205" s="2" t="str">
        <f>IF(Source!$C205&gt;=COLUMNS($A205:L205), Source!$E205, "")</f>
        <v/>
      </c>
      <c r="M205" s="2" t="str">
        <f>IF(Source!$C205&gt;=COLUMNS($A205:M205), Source!$E205, "")</f>
        <v/>
      </c>
      <c r="N205" s="2" t="str">
        <f>IF(Source!$C205&gt;=COLUMNS($A205:N205), Source!$E205, "")</f>
        <v/>
      </c>
      <c r="O205" s="2" t="str">
        <f>IF(Source!$C205&gt;=COLUMNS($A205:O205), Source!$E205, "")</f>
        <v/>
      </c>
      <c r="P205" s="2" t="str">
        <f>IF(Source!$C205&gt;=COLUMNS($A205:P205), Source!$E205, "")</f>
        <v/>
      </c>
      <c r="Q205" s="2" t="str">
        <f>IF(Source!$C205&gt;=COLUMNS($A205:Q205), Source!$E205, "")</f>
        <v/>
      </c>
      <c r="R205" s="2" t="str">
        <f>IF(Source!$C205&gt;=COLUMNS($A205:R205), Source!$E205, "")</f>
        <v/>
      </c>
      <c r="S205" s="2" t="str">
        <f>IF(Source!$C205&gt;=COLUMNS($A205:S205), Source!$E205, "")</f>
        <v/>
      </c>
      <c r="T205" s="2" t="str">
        <f>IF(Source!$C205&gt;=COLUMNS($A205:T205), Source!$E205, "")</f>
        <v/>
      </c>
      <c r="U205" s="2" t="str">
        <f>IF(Source!$C205&gt;=COLUMNS($A205:U205), Source!$E205, "")</f>
        <v/>
      </c>
      <c r="V205" s="2" t="str">
        <f>IF(Source!$C205&gt;=COLUMNS($A205:V205), Source!$E205, "")</f>
        <v/>
      </c>
      <c r="W205" s="2" t="str">
        <f>IF(Source!$C205&gt;=COLUMNS($A205:W205), Source!$E205, "")</f>
        <v/>
      </c>
      <c r="X205" s="2" t="str">
        <f>IF(Source!$C205&gt;=COLUMNS($A205:X205), Source!$E205, "")</f>
        <v/>
      </c>
      <c r="Y205" s="2" t="str">
        <f>IF(Source!$C205&gt;=COLUMNS($A205:Y205), Source!$E205, "")</f>
        <v/>
      </c>
      <c r="Z205" s="2" t="str">
        <f>IF(Source!$C205&gt;=COLUMNS($A205:Z205), Source!$E205, "")</f>
        <v/>
      </c>
      <c r="AA205" s="2" t="str">
        <f>IF(Source!$C205&gt;=COLUMNS($A205:AA205), Source!$E205, "")</f>
        <v/>
      </c>
      <c r="AB205" s="2" t="str">
        <f>IF(Source!$C205&gt;=COLUMNS($A205:AB205), Source!$E205, "")</f>
        <v/>
      </c>
      <c r="AC205" s="2" t="str">
        <f>IF(Source!$C205&gt;=COLUMNS($A205:AC205), Source!$E205, "")</f>
        <v/>
      </c>
      <c r="AD205" s="2" t="str">
        <f>IF(Source!$C205&gt;=COLUMNS($A205:AD205), Source!$E205, "")</f>
        <v/>
      </c>
      <c r="AE205" s="2" t="str">
        <f>IF(Source!$C205&gt;=COLUMNS($A205:AE205), Source!$E205, "")</f>
        <v/>
      </c>
      <c r="AF205" s="2" t="str">
        <f>IF(Source!$C205&gt;=COLUMNS($A205:AF205), Source!$E205, "")</f>
        <v/>
      </c>
      <c r="AG205" s="2" t="str">
        <f>IF(Source!$C205&gt;=COLUMNS($A205:AG205), Source!$E205, "")</f>
        <v/>
      </c>
      <c r="AH205" s="2" t="str">
        <f>IF(Source!$C205&gt;=COLUMNS($A205:AH205), Source!$E205, "")</f>
        <v/>
      </c>
      <c r="AI205" s="2" t="str">
        <f>IF(Source!$C205&gt;=COLUMNS($A205:AI205), Source!$E205, "")</f>
        <v/>
      </c>
      <c r="AJ205" s="2" t="str">
        <f>IF(Source!$C205&gt;=COLUMNS($A205:AJ205), Source!$E205, "")</f>
        <v/>
      </c>
      <c r="AK205" s="2" t="str">
        <f>IF(Source!$C205&gt;=COLUMNS($A205:AK205), Source!$E205, "")</f>
        <v/>
      </c>
      <c r="AL205" s="2" t="str">
        <f>IF(Source!$C205&gt;=COLUMNS($A205:AL205), Source!$E205, "")</f>
        <v/>
      </c>
      <c r="AM205" s="2" t="str">
        <f>IF(Source!$C205&gt;=COLUMNS($A205:AM205), Source!$E205, "")</f>
        <v/>
      </c>
      <c r="AN205" s="2" t="str">
        <f>IF(Source!$C205&gt;=COLUMNS($A205:AN205), Source!$E205, "")</f>
        <v/>
      </c>
      <c r="AO205" s="2" t="str">
        <f>IF(Source!$C205&gt;=COLUMNS($A205:AO205), Source!$E205, "")</f>
        <v/>
      </c>
      <c r="AP205" s="2" t="str">
        <f>IF(Source!$C205&gt;=COLUMNS($A205:AP205), Source!$E205, "")</f>
        <v/>
      </c>
      <c r="AQ205" s="2" t="str">
        <f>IF(Source!$C205&gt;=COLUMNS($A205:AQ205), Source!$E205, "")</f>
        <v/>
      </c>
      <c r="AR205" s="2" t="str">
        <f>IF(Source!$C205&gt;=COLUMNS($A205:AR205), Source!$E205, "")</f>
        <v/>
      </c>
    </row>
    <row r="206">
      <c r="A206" s="2">
        <f>IF(Source!$C206&gt;=COLUMNS($A206:A206), Source!$E206, "")</f>
        <v>3</v>
      </c>
      <c r="B206" s="2">
        <f>IF(Source!$C206&gt;=COLUMNS($A206:B206), Source!$E206, "")</f>
        <v>3</v>
      </c>
      <c r="C206" s="2">
        <f>IF(Source!$C206&gt;=COLUMNS($A206:C206), Source!$E206, "")</f>
        <v>3</v>
      </c>
      <c r="D206" s="2">
        <f>IF(Source!$C206&gt;=COLUMNS($A206:D206), Source!$E206, "")</f>
        <v>3</v>
      </c>
      <c r="E206" s="2">
        <f>IF(Source!$C206&gt;=COLUMNS($A206:E206), Source!$E206, "")</f>
        <v>3</v>
      </c>
      <c r="F206" s="2">
        <f>IF(Source!$C206&gt;=COLUMNS($A206:F206), Source!$E206, "")</f>
        <v>3</v>
      </c>
      <c r="G206" s="2">
        <f>IF(Source!$C206&gt;=COLUMNS($A206:G206), Source!$E206, "")</f>
        <v>3</v>
      </c>
      <c r="H206" s="2">
        <f>IF(Source!$C206&gt;=COLUMNS($A206:H206), Source!$E206, "")</f>
        <v>3</v>
      </c>
      <c r="I206" s="2" t="str">
        <f>IF(Source!$C206&gt;=COLUMNS($A206:I206), Source!$E206, "")</f>
        <v/>
      </c>
      <c r="J206" s="2" t="str">
        <f>IF(Source!$C206&gt;=COLUMNS($A206:J206), Source!$E206, "")</f>
        <v/>
      </c>
      <c r="K206" s="2" t="str">
        <f>IF(Source!$C206&gt;=COLUMNS($A206:K206), Source!$E206, "")</f>
        <v/>
      </c>
      <c r="L206" s="2" t="str">
        <f>IF(Source!$C206&gt;=COLUMNS($A206:L206), Source!$E206, "")</f>
        <v/>
      </c>
      <c r="M206" s="2" t="str">
        <f>IF(Source!$C206&gt;=COLUMNS($A206:M206), Source!$E206, "")</f>
        <v/>
      </c>
      <c r="N206" s="2" t="str">
        <f>IF(Source!$C206&gt;=COLUMNS($A206:N206), Source!$E206, "")</f>
        <v/>
      </c>
      <c r="O206" s="2" t="str">
        <f>IF(Source!$C206&gt;=COLUMNS($A206:O206), Source!$E206, "")</f>
        <v/>
      </c>
      <c r="P206" s="2" t="str">
        <f>IF(Source!$C206&gt;=COLUMNS($A206:P206), Source!$E206, "")</f>
        <v/>
      </c>
      <c r="Q206" s="2" t="str">
        <f>IF(Source!$C206&gt;=COLUMNS($A206:Q206), Source!$E206, "")</f>
        <v/>
      </c>
      <c r="R206" s="2" t="str">
        <f>IF(Source!$C206&gt;=COLUMNS($A206:R206), Source!$E206, "")</f>
        <v/>
      </c>
      <c r="S206" s="2" t="str">
        <f>IF(Source!$C206&gt;=COLUMNS($A206:S206), Source!$E206, "")</f>
        <v/>
      </c>
      <c r="T206" s="2" t="str">
        <f>IF(Source!$C206&gt;=COLUMNS($A206:T206), Source!$E206, "")</f>
        <v/>
      </c>
      <c r="U206" s="2" t="str">
        <f>IF(Source!$C206&gt;=COLUMNS($A206:U206), Source!$E206, "")</f>
        <v/>
      </c>
      <c r="V206" s="2" t="str">
        <f>IF(Source!$C206&gt;=COLUMNS($A206:V206), Source!$E206, "")</f>
        <v/>
      </c>
      <c r="W206" s="2" t="str">
        <f>IF(Source!$C206&gt;=COLUMNS($A206:W206), Source!$E206, "")</f>
        <v/>
      </c>
      <c r="X206" s="2" t="str">
        <f>IF(Source!$C206&gt;=COLUMNS($A206:X206), Source!$E206, "")</f>
        <v/>
      </c>
      <c r="Y206" s="2" t="str">
        <f>IF(Source!$C206&gt;=COLUMNS($A206:Y206), Source!$E206, "")</f>
        <v/>
      </c>
      <c r="Z206" s="2" t="str">
        <f>IF(Source!$C206&gt;=COLUMNS($A206:Z206), Source!$E206, "")</f>
        <v/>
      </c>
      <c r="AA206" s="2" t="str">
        <f>IF(Source!$C206&gt;=COLUMNS($A206:AA206), Source!$E206, "")</f>
        <v/>
      </c>
      <c r="AB206" s="2" t="str">
        <f>IF(Source!$C206&gt;=COLUMNS($A206:AB206), Source!$E206, "")</f>
        <v/>
      </c>
      <c r="AC206" s="2" t="str">
        <f>IF(Source!$C206&gt;=COLUMNS($A206:AC206), Source!$E206, "")</f>
        <v/>
      </c>
      <c r="AD206" s="2" t="str">
        <f>IF(Source!$C206&gt;=COLUMNS($A206:AD206), Source!$E206, "")</f>
        <v/>
      </c>
      <c r="AE206" s="2" t="str">
        <f>IF(Source!$C206&gt;=COLUMNS($A206:AE206), Source!$E206, "")</f>
        <v/>
      </c>
      <c r="AF206" s="2" t="str">
        <f>IF(Source!$C206&gt;=COLUMNS($A206:AF206), Source!$E206, "")</f>
        <v/>
      </c>
      <c r="AG206" s="2" t="str">
        <f>IF(Source!$C206&gt;=COLUMNS($A206:AG206), Source!$E206, "")</f>
        <v/>
      </c>
      <c r="AH206" s="2" t="str">
        <f>IF(Source!$C206&gt;=COLUMNS($A206:AH206), Source!$E206, "")</f>
        <v/>
      </c>
      <c r="AI206" s="2" t="str">
        <f>IF(Source!$C206&gt;=COLUMNS($A206:AI206), Source!$E206, "")</f>
        <v/>
      </c>
      <c r="AJ206" s="2" t="str">
        <f>IF(Source!$C206&gt;=COLUMNS($A206:AJ206), Source!$E206, "")</f>
        <v/>
      </c>
      <c r="AK206" s="2" t="str">
        <f>IF(Source!$C206&gt;=COLUMNS($A206:AK206), Source!$E206, "")</f>
        <v/>
      </c>
      <c r="AL206" s="2" t="str">
        <f>IF(Source!$C206&gt;=COLUMNS($A206:AL206), Source!$E206, "")</f>
        <v/>
      </c>
      <c r="AM206" s="2" t="str">
        <f>IF(Source!$C206&gt;=COLUMNS($A206:AM206), Source!$E206, "")</f>
        <v/>
      </c>
      <c r="AN206" s="2" t="str">
        <f>IF(Source!$C206&gt;=COLUMNS($A206:AN206), Source!$E206, "")</f>
        <v/>
      </c>
      <c r="AO206" s="2" t="str">
        <f>IF(Source!$C206&gt;=COLUMNS($A206:AO206), Source!$E206, "")</f>
        <v/>
      </c>
      <c r="AP206" s="2" t="str">
        <f>IF(Source!$C206&gt;=COLUMNS($A206:AP206), Source!$E206, "")</f>
        <v/>
      </c>
      <c r="AQ206" s="2" t="str">
        <f>IF(Source!$C206&gt;=COLUMNS($A206:AQ206), Source!$E206, "")</f>
        <v/>
      </c>
      <c r="AR206" s="2" t="str">
        <f>IF(Source!$C206&gt;=COLUMNS($A206:AR206), Source!$E206, "")</f>
        <v/>
      </c>
    </row>
    <row r="207">
      <c r="A207" s="2">
        <f>IF(Source!$C207&gt;=COLUMNS($A207:A207), Source!$E207, "")</f>
        <v>8</v>
      </c>
      <c r="B207" s="2">
        <f>IF(Source!$C207&gt;=COLUMNS($A207:B207), Source!$E207, "")</f>
        <v>8</v>
      </c>
      <c r="C207" s="2">
        <f>IF(Source!$C207&gt;=COLUMNS($A207:C207), Source!$E207, "")</f>
        <v>8</v>
      </c>
      <c r="D207" s="2">
        <f>IF(Source!$C207&gt;=COLUMNS($A207:D207), Source!$E207, "")</f>
        <v>8</v>
      </c>
      <c r="E207" s="2">
        <f>IF(Source!$C207&gt;=COLUMNS($A207:E207), Source!$E207, "")</f>
        <v>8</v>
      </c>
      <c r="F207" s="2">
        <f>IF(Source!$C207&gt;=COLUMNS($A207:F207), Source!$E207, "")</f>
        <v>8</v>
      </c>
      <c r="G207" s="2">
        <f>IF(Source!$C207&gt;=COLUMNS($A207:G207), Source!$E207, "")</f>
        <v>8</v>
      </c>
      <c r="H207" s="2">
        <f>IF(Source!$C207&gt;=COLUMNS($A207:H207), Source!$E207, "")</f>
        <v>8</v>
      </c>
      <c r="I207" s="2" t="str">
        <f>IF(Source!$C207&gt;=COLUMNS($A207:I207), Source!$E207, "")</f>
        <v/>
      </c>
      <c r="J207" s="2" t="str">
        <f>IF(Source!$C207&gt;=COLUMNS($A207:J207), Source!$E207, "")</f>
        <v/>
      </c>
      <c r="K207" s="2" t="str">
        <f>IF(Source!$C207&gt;=COLUMNS($A207:K207), Source!$E207, "")</f>
        <v/>
      </c>
      <c r="L207" s="2" t="str">
        <f>IF(Source!$C207&gt;=COLUMNS($A207:L207), Source!$E207, "")</f>
        <v/>
      </c>
      <c r="M207" s="2" t="str">
        <f>IF(Source!$C207&gt;=COLUMNS($A207:M207), Source!$E207, "")</f>
        <v/>
      </c>
      <c r="N207" s="2" t="str">
        <f>IF(Source!$C207&gt;=COLUMNS($A207:N207), Source!$E207, "")</f>
        <v/>
      </c>
      <c r="O207" s="2" t="str">
        <f>IF(Source!$C207&gt;=COLUMNS($A207:O207), Source!$E207, "")</f>
        <v/>
      </c>
      <c r="P207" s="2" t="str">
        <f>IF(Source!$C207&gt;=COLUMNS($A207:P207), Source!$E207, "")</f>
        <v/>
      </c>
      <c r="Q207" s="2" t="str">
        <f>IF(Source!$C207&gt;=COLUMNS($A207:Q207), Source!$E207, "")</f>
        <v/>
      </c>
      <c r="R207" s="2" t="str">
        <f>IF(Source!$C207&gt;=COLUMNS($A207:R207), Source!$E207, "")</f>
        <v/>
      </c>
      <c r="S207" s="2" t="str">
        <f>IF(Source!$C207&gt;=COLUMNS($A207:S207), Source!$E207, "")</f>
        <v/>
      </c>
      <c r="T207" s="2" t="str">
        <f>IF(Source!$C207&gt;=COLUMNS($A207:T207), Source!$E207, "")</f>
        <v/>
      </c>
      <c r="U207" s="2" t="str">
        <f>IF(Source!$C207&gt;=COLUMNS($A207:U207), Source!$E207, "")</f>
        <v/>
      </c>
      <c r="V207" s="2" t="str">
        <f>IF(Source!$C207&gt;=COLUMNS($A207:V207), Source!$E207, "")</f>
        <v/>
      </c>
      <c r="W207" s="2" t="str">
        <f>IF(Source!$C207&gt;=COLUMNS($A207:W207), Source!$E207, "")</f>
        <v/>
      </c>
      <c r="X207" s="2" t="str">
        <f>IF(Source!$C207&gt;=COLUMNS($A207:X207), Source!$E207, "")</f>
        <v/>
      </c>
      <c r="Y207" s="2" t="str">
        <f>IF(Source!$C207&gt;=COLUMNS($A207:Y207), Source!$E207, "")</f>
        <v/>
      </c>
      <c r="Z207" s="2" t="str">
        <f>IF(Source!$C207&gt;=COLUMNS($A207:Z207), Source!$E207, "")</f>
        <v/>
      </c>
      <c r="AA207" s="2" t="str">
        <f>IF(Source!$C207&gt;=COLUMNS($A207:AA207), Source!$E207, "")</f>
        <v/>
      </c>
      <c r="AB207" s="2" t="str">
        <f>IF(Source!$C207&gt;=COLUMNS($A207:AB207), Source!$E207, "")</f>
        <v/>
      </c>
      <c r="AC207" s="2" t="str">
        <f>IF(Source!$C207&gt;=COLUMNS($A207:AC207), Source!$E207, "")</f>
        <v/>
      </c>
      <c r="AD207" s="2" t="str">
        <f>IF(Source!$C207&gt;=COLUMNS($A207:AD207), Source!$E207, "")</f>
        <v/>
      </c>
      <c r="AE207" s="2" t="str">
        <f>IF(Source!$C207&gt;=COLUMNS($A207:AE207), Source!$E207, "")</f>
        <v/>
      </c>
      <c r="AF207" s="2" t="str">
        <f>IF(Source!$C207&gt;=COLUMNS($A207:AF207), Source!$E207, "")</f>
        <v/>
      </c>
      <c r="AG207" s="2" t="str">
        <f>IF(Source!$C207&gt;=COLUMNS($A207:AG207), Source!$E207, "")</f>
        <v/>
      </c>
      <c r="AH207" s="2" t="str">
        <f>IF(Source!$C207&gt;=COLUMNS($A207:AH207), Source!$E207, "")</f>
        <v/>
      </c>
      <c r="AI207" s="2" t="str">
        <f>IF(Source!$C207&gt;=COLUMNS($A207:AI207), Source!$E207, "")</f>
        <v/>
      </c>
      <c r="AJ207" s="2" t="str">
        <f>IF(Source!$C207&gt;=COLUMNS($A207:AJ207), Source!$E207, "")</f>
        <v/>
      </c>
      <c r="AK207" s="2" t="str">
        <f>IF(Source!$C207&gt;=COLUMNS($A207:AK207), Source!$E207, "")</f>
        <v/>
      </c>
      <c r="AL207" s="2" t="str">
        <f>IF(Source!$C207&gt;=COLUMNS($A207:AL207), Source!$E207, "")</f>
        <v/>
      </c>
      <c r="AM207" s="2" t="str">
        <f>IF(Source!$C207&gt;=COLUMNS($A207:AM207), Source!$E207, "")</f>
        <v/>
      </c>
      <c r="AN207" s="2" t="str">
        <f>IF(Source!$C207&gt;=COLUMNS($A207:AN207), Source!$E207, "")</f>
        <v/>
      </c>
      <c r="AO207" s="2" t="str">
        <f>IF(Source!$C207&gt;=COLUMNS($A207:AO207), Source!$E207, "")</f>
        <v/>
      </c>
      <c r="AP207" s="2" t="str">
        <f>IF(Source!$C207&gt;=COLUMNS($A207:AP207), Source!$E207, "")</f>
        <v/>
      </c>
      <c r="AQ207" s="2" t="str">
        <f>IF(Source!$C207&gt;=COLUMNS($A207:AQ207), Source!$E207, "")</f>
        <v/>
      </c>
      <c r="AR207" s="2" t="str">
        <f>IF(Source!$C207&gt;=COLUMNS($A207:AR207), Source!$E207, "")</f>
        <v/>
      </c>
    </row>
    <row r="208">
      <c r="A208" s="2">
        <f>IF(Source!$C208&gt;=COLUMNS($A208:A208), Source!$E208, "")</f>
        <v>9</v>
      </c>
      <c r="B208" s="2">
        <f>IF(Source!$C208&gt;=COLUMNS($A208:B208), Source!$E208, "")</f>
        <v>9</v>
      </c>
      <c r="C208" s="2">
        <f>IF(Source!$C208&gt;=COLUMNS($A208:C208), Source!$E208, "")</f>
        <v>9</v>
      </c>
      <c r="D208" s="2">
        <f>IF(Source!$C208&gt;=COLUMNS($A208:D208), Source!$E208, "")</f>
        <v>9</v>
      </c>
      <c r="E208" s="2">
        <f>IF(Source!$C208&gt;=COLUMNS($A208:E208), Source!$E208, "")</f>
        <v>9</v>
      </c>
      <c r="F208" s="2">
        <f>IF(Source!$C208&gt;=COLUMNS($A208:F208), Source!$E208, "")</f>
        <v>9</v>
      </c>
      <c r="G208" s="2">
        <f>IF(Source!$C208&gt;=COLUMNS($A208:G208), Source!$E208, "")</f>
        <v>9</v>
      </c>
      <c r="H208" s="2" t="str">
        <f>IF(Source!$C208&gt;=COLUMNS($A208:H208), Source!$E208, "")</f>
        <v/>
      </c>
      <c r="I208" s="2" t="str">
        <f>IF(Source!$C208&gt;=COLUMNS($A208:I208), Source!$E208, "")</f>
        <v/>
      </c>
      <c r="J208" s="2" t="str">
        <f>IF(Source!$C208&gt;=COLUMNS($A208:J208), Source!$E208, "")</f>
        <v/>
      </c>
      <c r="K208" s="2" t="str">
        <f>IF(Source!$C208&gt;=COLUMNS($A208:K208), Source!$E208, "")</f>
        <v/>
      </c>
      <c r="L208" s="2" t="str">
        <f>IF(Source!$C208&gt;=COLUMNS($A208:L208), Source!$E208, "")</f>
        <v/>
      </c>
      <c r="M208" s="2" t="str">
        <f>IF(Source!$C208&gt;=COLUMNS($A208:M208), Source!$E208, "")</f>
        <v/>
      </c>
      <c r="N208" s="2" t="str">
        <f>IF(Source!$C208&gt;=COLUMNS($A208:N208), Source!$E208, "")</f>
        <v/>
      </c>
      <c r="O208" s="2" t="str">
        <f>IF(Source!$C208&gt;=COLUMNS($A208:O208), Source!$E208, "")</f>
        <v/>
      </c>
      <c r="P208" s="2" t="str">
        <f>IF(Source!$C208&gt;=COLUMNS($A208:P208), Source!$E208, "")</f>
        <v/>
      </c>
      <c r="Q208" s="2" t="str">
        <f>IF(Source!$C208&gt;=COLUMNS($A208:Q208), Source!$E208, "")</f>
        <v/>
      </c>
      <c r="R208" s="2" t="str">
        <f>IF(Source!$C208&gt;=COLUMNS($A208:R208), Source!$E208, "")</f>
        <v/>
      </c>
      <c r="S208" s="2" t="str">
        <f>IF(Source!$C208&gt;=COLUMNS($A208:S208), Source!$E208, "")</f>
        <v/>
      </c>
      <c r="T208" s="2" t="str">
        <f>IF(Source!$C208&gt;=COLUMNS($A208:T208), Source!$E208, "")</f>
        <v/>
      </c>
      <c r="U208" s="2" t="str">
        <f>IF(Source!$C208&gt;=COLUMNS($A208:U208), Source!$E208, "")</f>
        <v/>
      </c>
      <c r="V208" s="2" t="str">
        <f>IF(Source!$C208&gt;=COLUMNS($A208:V208), Source!$E208, "")</f>
        <v/>
      </c>
      <c r="W208" s="2" t="str">
        <f>IF(Source!$C208&gt;=COLUMNS($A208:W208), Source!$E208, "")</f>
        <v/>
      </c>
      <c r="X208" s="2" t="str">
        <f>IF(Source!$C208&gt;=COLUMNS($A208:X208), Source!$E208, "")</f>
        <v/>
      </c>
      <c r="Y208" s="2" t="str">
        <f>IF(Source!$C208&gt;=COLUMNS($A208:Y208), Source!$E208, "")</f>
        <v/>
      </c>
      <c r="Z208" s="2" t="str">
        <f>IF(Source!$C208&gt;=COLUMNS($A208:Z208), Source!$E208, "")</f>
        <v/>
      </c>
      <c r="AA208" s="2" t="str">
        <f>IF(Source!$C208&gt;=COLUMNS($A208:AA208), Source!$E208, "")</f>
        <v/>
      </c>
      <c r="AB208" s="2" t="str">
        <f>IF(Source!$C208&gt;=COLUMNS($A208:AB208), Source!$E208, "")</f>
        <v/>
      </c>
      <c r="AC208" s="2" t="str">
        <f>IF(Source!$C208&gt;=COLUMNS($A208:AC208), Source!$E208, "")</f>
        <v/>
      </c>
      <c r="AD208" s="2" t="str">
        <f>IF(Source!$C208&gt;=COLUMNS($A208:AD208), Source!$E208, "")</f>
        <v/>
      </c>
      <c r="AE208" s="2" t="str">
        <f>IF(Source!$C208&gt;=COLUMNS($A208:AE208), Source!$E208, "")</f>
        <v/>
      </c>
      <c r="AF208" s="2" t="str">
        <f>IF(Source!$C208&gt;=COLUMNS($A208:AF208), Source!$E208, "")</f>
        <v/>
      </c>
      <c r="AG208" s="2" t="str">
        <f>IF(Source!$C208&gt;=COLUMNS($A208:AG208), Source!$E208, "")</f>
        <v/>
      </c>
      <c r="AH208" s="2" t="str">
        <f>IF(Source!$C208&gt;=COLUMNS($A208:AH208), Source!$E208, "")</f>
        <v/>
      </c>
      <c r="AI208" s="2" t="str">
        <f>IF(Source!$C208&gt;=COLUMNS($A208:AI208), Source!$E208, "")</f>
        <v/>
      </c>
      <c r="AJ208" s="2" t="str">
        <f>IF(Source!$C208&gt;=COLUMNS($A208:AJ208), Source!$E208, "")</f>
        <v/>
      </c>
      <c r="AK208" s="2" t="str">
        <f>IF(Source!$C208&gt;=COLUMNS($A208:AK208), Source!$E208, "")</f>
        <v/>
      </c>
      <c r="AL208" s="2" t="str">
        <f>IF(Source!$C208&gt;=COLUMNS($A208:AL208), Source!$E208, "")</f>
        <v/>
      </c>
      <c r="AM208" s="2" t="str">
        <f>IF(Source!$C208&gt;=COLUMNS($A208:AM208), Source!$E208, "")</f>
        <v/>
      </c>
      <c r="AN208" s="2" t="str">
        <f>IF(Source!$C208&gt;=COLUMNS($A208:AN208), Source!$E208, "")</f>
        <v/>
      </c>
      <c r="AO208" s="2" t="str">
        <f>IF(Source!$C208&gt;=COLUMNS($A208:AO208), Source!$E208, "")</f>
        <v/>
      </c>
      <c r="AP208" s="2" t="str">
        <f>IF(Source!$C208&gt;=COLUMNS($A208:AP208), Source!$E208, "")</f>
        <v/>
      </c>
      <c r="AQ208" s="2" t="str">
        <f>IF(Source!$C208&gt;=COLUMNS($A208:AQ208), Source!$E208, "")</f>
        <v/>
      </c>
      <c r="AR208" s="2" t="str">
        <f>IF(Source!$C208&gt;=COLUMNS($A208:AR208), Source!$E208, "")</f>
        <v/>
      </c>
    </row>
    <row r="209">
      <c r="A209" s="2">
        <f>IF(Source!$C209&gt;=COLUMNS($A209:A209), Source!$E209, "")</f>
        <v>9</v>
      </c>
      <c r="B209" s="2" t="str">
        <f>IF(Source!$C209&gt;=COLUMNS($A209:B209), Source!$E209, "")</f>
        <v/>
      </c>
      <c r="C209" s="2" t="str">
        <f>IF(Source!$C209&gt;=COLUMNS($A209:C209), Source!$E209, "")</f>
        <v/>
      </c>
      <c r="D209" s="2" t="str">
        <f>IF(Source!$C209&gt;=COLUMNS($A209:D209), Source!$E209, "")</f>
        <v/>
      </c>
      <c r="E209" s="2" t="str">
        <f>IF(Source!$C209&gt;=COLUMNS($A209:E209), Source!$E209, "")</f>
        <v/>
      </c>
      <c r="F209" s="2" t="str">
        <f>IF(Source!$C209&gt;=COLUMNS($A209:F209), Source!$E209, "")</f>
        <v/>
      </c>
      <c r="G209" s="2" t="str">
        <f>IF(Source!$C209&gt;=COLUMNS($A209:G209), Source!$E209, "")</f>
        <v/>
      </c>
      <c r="H209" s="2" t="str">
        <f>IF(Source!$C209&gt;=COLUMNS($A209:H209), Source!$E209, "")</f>
        <v/>
      </c>
      <c r="I209" s="2" t="str">
        <f>IF(Source!$C209&gt;=COLUMNS($A209:I209), Source!$E209, "")</f>
        <v/>
      </c>
      <c r="J209" s="2" t="str">
        <f>IF(Source!$C209&gt;=COLUMNS($A209:J209), Source!$E209, "")</f>
        <v/>
      </c>
      <c r="K209" s="2" t="str">
        <f>IF(Source!$C209&gt;=COLUMNS($A209:K209), Source!$E209, "")</f>
        <v/>
      </c>
      <c r="L209" s="2" t="str">
        <f>IF(Source!$C209&gt;=COLUMNS($A209:L209), Source!$E209, "")</f>
        <v/>
      </c>
      <c r="M209" s="2" t="str">
        <f>IF(Source!$C209&gt;=COLUMNS($A209:M209), Source!$E209, "")</f>
        <v/>
      </c>
      <c r="N209" s="2" t="str">
        <f>IF(Source!$C209&gt;=COLUMNS($A209:N209), Source!$E209, "")</f>
        <v/>
      </c>
      <c r="O209" s="2" t="str">
        <f>IF(Source!$C209&gt;=COLUMNS($A209:O209), Source!$E209, "")</f>
        <v/>
      </c>
      <c r="P209" s="2" t="str">
        <f>IF(Source!$C209&gt;=COLUMNS($A209:P209), Source!$E209, "")</f>
        <v/>
      </c>
      <c r="Q209" s="2" t="str">
        <f>IF(Source!$C209&gt;=COLUMNS($A209:Q209), Source!$E209, "")</f>
        <v/>
      </c>
      <c r="R209" s="2" t="str">
        <f>IF(Source!$C209&gt;=COLUMNS($A209:R209), Source!$E209, "")</f>
        <v/>
      </c>
      <c r="S209" s="2" t="str">
        <f>IF(Source!$C209&gt;=COLUMNS($A209:S209), Source!$E209, "")</f>
        <v/>
      </c>
      <c r="T209" s="2" t="str">
        <f>IF(Source!$C209&gt;=COLUMNS($A209:T209), Source!$E209, "")</f>
        <v/>
      </c>
      <c r="U209" s="2" t="str">
        <f>IF(Source!$C209&gt;=COLUMNS($A209:U209), Source!$E209, "")</f>
        <v/>
      </c>
      <c r="V209" s="2" t="str">
        <f>IF(Source!$C209&gt;=COLUMNS($A209:V209), Source!$E209, "")</f>
        <v/>
      </c>
      <c r="W209" s="2" t="str">
        <f>IF(Source!$C209&gt;=COLUMNS($A209:W209), Source!$E209, "")</f>
        <v/>
      </c>
      <c r="X209" s="2" t="str">
        <f>IF(Source!$C209&gt;=COLUMNS($A209:X209), Source!$E209, "")</f>
        <v/>
      </c>
      <c r="Y209" s="2" t="str">
        <f>IF(Source!$C209&gt;=COLUMNS($A209:Y209), Source!$E209, "")</f>
        <v/>
      </c>
      <c r="Z209" s="2" t="str">
        <f>IF(Source!$C209&gt;=COLUMNS($A209:Z209), Source!$E209, "")</f>
        <v/>
      </c>
      <c r="AA209" s="2" t="str">
        <f>IF(Source!$C209&gt;=COLUMNS($A209:AA209), Source!$E209, "")</f>
        <v/>
      </c>
      <c r="AB209" s="2" t="str">
        <f>IF(Source!$C209&gt;=COLUMNS($A209:AB209), Source!$E209, "")</f>
        <v/>
      </c>
      <c r="AC209" s="2" t="str">
        <f>IF(Source!$C209&gt;=COLUMNS($A209:AC209), Source!$E209, "")</f>
        <v/>
      </c>
      <c r="AD209" s="2" t="str">
        <f>IF(Source!$C209&gt;=COLUMNS($A209:AD209), Source!$E209, "")</f>
        <v/>
      </c>
      <c r="AE209" s="2" t="str">
        <f>IF(Source!$C209&gt;=COLUMNS($A209:AE209), Source!$E209, "")</f>
        <v/>
      </c>
      <c r="AF209" s="2" t="str">
        <f>IF(Source!$C209&gt;=COLUMNS($A209:AF209), Source!$E209, "")</f>
        <v/>
      </c>
      <c r="AG209" s="2" t="str">
        <f>IF(Source!$C209&gt;=COLUMNS($A209:AG209), Source!$E209, "")</f>
        <v/>
      </c>
      <c r="AH209" s="2" t="str">
        <f>IF(Source!$C209&gt;=COLUMNS($A209:AH209), Source!$E209, "")</f>
        <v/>
      </c>
      <c r="AI209" s="2" t="str">
        <f>IF(Source!$C209&gt;=COLUMNS($A209:AI209), Source!$E209, "")</f>
        <v/>
      </c>
      <c r="AJ209" s="2" t="str">
        <f>IF(Source!$C209&gt;=COLUMNS($A209:AJ209), Source!$E209, "")</f>
        <v/>
      </c>
      <c r="AK209" s="2" t="str">
        <f>IF(Source!$C209&gt;=COLUMNS($A209:AK209), Source!$E209, "")</f>
        <v/>
      </c>
      <c r="AL209" s="2" t="str">
        <f>IF(Source!$C209&gt;=COLUMNS($A209:AL209), Source!$E209, "")</f>
        <v/>
      </c>
      <c r="AM209" s="2" t="str">
        <f>IF(Source!$C209&gt;=COLUMNS($A209:AM209), Source!$E209, "")</f>
        <v/>
      </c>
      <c r="AN209" s="2" t="str">
        <f>IF(Source!$C209&gt;=COLUMNS($A209:AN209), Source!$E209, "")</f>
        <v/>
      </c>
      <c r="AO209" s="2" t="str">
        <f>IF(Source!$C209&gt;=COLUMNS($A209:AO209), Source!$E209, "")</f>
        <v/>
      </c>
      <c r="AP209" s="2" t="str">
        <f>IF(Source!$C209&gt;=COLUMNS($A209:AP209), Source!$E209, "")</f>
        <v/>
      </c>
      <c r="AQ209" s="2" t="str">
        <f>IF(Source!$C209&gt;=COLUMNS($A209:AQ209), Source!$E209, "")</f>
        <v/>
      </c>
      <c r="AR209" s="2" t="str">
        <f>IF(Source!$C209&gt;=COLUMNS($A209:AR209), Source!$E209, "")</f>
        <v/>
      </c>
    </row>
    <row r="210">
      <c r="A210" s="2">
        <f>IF(Source!$C210&gt;=COLUMNS($A210:A210), Source!$E210, "")</f>
        <v>2</v>
      </c>
      <c r="B210" s="2">
        <f>IF(Source!$C210&gt;=COLUMNS($A210:B210), Source!$E210, "")</f>
        <v>2</v>
      </c>
      <c r="C210" s="2">
        <f>IF(Source!$C210&gt;=COLUMNS($A210:C210), Source!$E210, "")</f>
        <v>2</v>
      </c>
      <c r="D210" s="2">
        <f>IF(Source!$C210&gt;=COLUMNS($A210:D210), Source!$E210, "")</f>
        <v>2</v>
      </c>
      <c r="E210" s="2">
        <f>IF(Source!$C210&gt;=COLUMNS($A210:E210), Source!$E210, "")</f>
        <v>2</v>
      </c>
      <c r="F210" s="2">
        <f>IF(Source!$C210&gt;=COLUMNS($A210:F210), Source!$E210, "")</f>
        <v>2</v>
      </c>
      <c r="G210" s="2">
        <f>IF(Source!$C210&gt;=COLUMNS($A210:G210), Source!$E210, "")</f>
        <v>2</v>
      </c>
      <c r="H210" s="2">
        <f>IF(Source!$C210&gt;=COLUMNS($A210:H210), Source!$E210, "")</f>
        <v>2</v>
      </c>
      <c r="I210" s="2">
        <f>IF(Source!$C210&gt;=COLUMNS($A210:I210), Source!$E210, "")</f>
        <v>2</v>
      </c>
      <c r="J210" s="2">
        <f>IF(Source!$C210&gt;=COLUMNS($A210:J210), Source!$E210, "")</f>
        <v>2</v>
      </c>
      <c r="K210" s="2">
        <f>IF(Source!$C210&gt;=COLUMNS($A210:K210), Source!$E210, "")</f>
        <v>2</v>
      </c>
      <c r="L210" s="2">
        <f>IF(Source!$C210&gt;=COLUMNS($A210:L210), Source!$E210, "")</f>
        <v>2</v>
      </c>
      <c r="M210" s="2">
        <f>IF(Source!$C210&gt;=COLUMNS($A210:M210), Source!$E210, "")</f>
        <v>2</v>
      </c>
      <c r="N210" s="2">
        <f>IF(Source!$C210&gt;=COLUMNS($A210:N210), Source!$E210, "")</f>
        <v>2</v>
      </c>
      <c r="O210" s="2">
        <f>IF(Source!$C210&gt;=COLUMNS($A210:O210), Source!$E210, "")</f>
        <v>2</v>
      </c>
      <c r="P210" s="2">
        <f>IF(Source!$C210&gt;=COLUMNS($A210:P210), Source!$E210, "")</f>
        <v>2</v>
      </c>
      <c r="Q210" s="2">
        <f>IF(Source!$C210&gt;=COLUMNS($A210:Q210), Source!$E210, "")</f>
        <v>2</v>
      </c>
      <c r="R210" s="2">
        <f>IF(Source!$C210&gt;=COLUMNS($A210:R210), Source!$E210, "")</f>
        <v>2</v>
      </c>
      <c r="S210" s="2" t="str">
        <f>IF(Source!$C210&gt;=COLUMNS($A210:S210), Source!$E210, "")</f>
        <v/>
      </c>
      <c r="T210" s="2" t="str">
        <f>IF(Source!$C210&gt;=COLUMNS($A210:T210), Source!$E210, "")</f>
        <v/>
      </c>
      <c r="U210" s="2" t="str">
        <f>IF(Source!$C210&gt;=COLUMNS($A210:U210), Source!$E210, "")</f>
        <v/>
      </c>
      <c r="V210" s="2" t="str">
        <f>IF(Source!$C210&gt;=COLUMNS($A210:V210), Source!$E210, "")</f>
        <v/>
      </c>
      <c r="W210" s="2" t="str">
        <f>IF(Source!$C210&gt;=COLUMNS($A210:W210), Source!$E210, "")</f>
        <v/>
      </c>
      <c r="X210" s="2" t="str">
        <f>IF(Source!$C210&gt;=COLUMNS($A210:X210), Source!$E210, "")</f>
        <v/>
      </c>
      <c r="Y210" s="2" t="str">
        <f>IF(Source!$C210&gt;=COLUMNS($A210:Y210), Source!$E210, "")</f>
        <v/>
      </c>
      <c r="Z210" s="2" t="str">
        <f>IF(Source!$C210&gt;=COLUMNS($A210:Z210), Source!$E210, "")</f>
        <v/>
      </c>
      <c r="AA210" s="2" t="str">
        <f>IF(Source!$C210&gt;=COLUMNS($A210:AA210), Source!$E210, "")</f>
        <v/>
      </c>
      <c r="AB210" s="2" t="str">
        <f>IF(Source!$C210&gt;=COLUMNS($A210:AB210), Source!$E210, "")</f>
        <v/>
      </c>
      <c r="AC210" s="2" t="str">
        <f>IF(Source!$C210&gt;=COLUMNS($A210:AC210), Source!$E210, "")</f>
        <v/>
      </c>
      <c r="AD210" s="2" t="str">
        <f>IF(Source!$C210&gt;=COLUMNS($A210:AD210), Source!$E210, "")</f>
        <v/>
      </c>
      <c r="AE210" s="2" t="str">
        <f>IF(Source!$C210&gt;=COLUMNS($A210:AE210), Source!$E210, "")</f>
        <v/>
      </c>
      <c r="AF210" s="2" t="str">
        <f>IF(Source!$C210&gt;=COLUMNS($A210:AF210), Source!$E210, "")</f>
        <v/>
      </c>
      <c r="AG210" s="2" t="str">
        <f>IF(Source!$C210&gt;=COLUMNS($A210:AG210), Source!$E210, "")</f>
        <v/>
      </c>
      <c r="AH210" s="2" t="str">
        <f>IF(Source!$C210&gt;=COLUMNS($A210:AH210), Source!$E210, "")</f>
        <v/>
      </c>
      <c r="AI210" s="2" t="str">
        <f>IF(Source!$C210&gt;=COLUMNS($A210:AI210), Source!$E210, "")</f>
        <v/>
      </c>
      <c r="AJ210" s="2" t="str">
        <f>IF(Source!$C210&gt;=COLUMNS($A210:AJ210), Source!$E210, "")</f>
        <v/>
      </c>
      <c r="AK210" s="2" t="str">
        <f>IF(Source!$C210&gt;=COLUMNS($A210:AK210), Source!$E210, "")</f>
        <v/>
      </c>
      <c r="AL210" s="2" t="str">
        <f>IF(Source!$C210&gt;=COLUMNS($A210:AL210), Source!$E210, "")</f>
        <v/>
      </c>
      <c r="AM210" s="2" t="str">
        <f>IF(Source!$C210&gt;=COLUMNS($A210:AM210), Source!$E210, "")</f>
        <v/>
      </c>
      <c r="AN210" s="2" t="str">
        <f>IF(Source!$C210&gt;=COLUMNS($A210:AN210), Source!$E210, "")</f>
        <v/>
      </c>
      <c r="AO210" s="2" t="str">
        <f>IF(Source!$C210&gt;=COLUMNS($A210:AO210), Source!$E210, "")</f>
        <v/>
      </c>
      <c r="AP210" s="2" t="str">
        <f>IF(Source!$C210&gt;=COLUMNS($A210:AP210), Source!$E210, "")</f>
        <v/>
      </c>
      <c r="AQ210" s="2" t="str">
        <f>IF(Source!$C210&gt;=COLUMNS($A210:AQ210), Source!$E210, "")</f>
        <v/>
      </c>
      <c r="AR210" s="2" t="str">
        <f>IF(Source!$C210&gt;=COLUMNS($A210:AR210), Source!$E210, "")</f>
        <v/>
      </c>
    </row>
    <row r="211">
      <c r="A211" s="2">
        <f>IF(Source!$C211&gt;=COLUMNS($A211:A211), Source!$E211, "")</f>
        <v>7</v>
      </c>
      <c r="B211" s="2" t="str">
        <f>IF(Source!$C211&gt;=COLUMNS($A211:B211), Source!$E211, "")</f>
        <v/>
      </c>
      <c r="C211" s="2" t="str">
        <f>IF(Source!$C211&gt;=COLUMNS($A211:C211), Source!$E211, "")</f>
        <v/>
      </c>
      <c r="D211" s="2" t="str">
        <f>IF(Source!$C211&gt;=COLUMNS($A211:D211), Source!$E211, "")</f>
        <v/>
      </c>
      <c r="E211" s="2" t="str">
        <f>IF(Source!$C211&gt;=COLUMNS($A211:E211), Source!$E211, "")</f>
        <v/>
      </c>
      <c r="F211" s="2" t="str">
        <f>IF(Source!$C211&gt;=COLUMNS($A211:F211), Source!$E211, "")</f>
        <v/>
      </c>
      <c r="G211" s="2" t="str">
        <f>IF(Source!$C211&gt;=COLUMNS($A211:G211), Source!$E211, "")</f>
        <v/>
      </c>
      <c r="H211" s="2" t="str">
        <f>IF(Source!$C211&gt;=COLUMNS($A211:H211), Source!$E211, "")</f>
        <v/>
      </c>
      <c r="I211" s="2" t="str">
        <f>IF(Source!$C211&gt;=COLUMNS($A211:I211), Source!$E211, "")</f>
        <v/>
      </c>
      <c r="J211" s="2" t="str">
        <f>IF(Source!$C211&gt;=COLUMNS($A211:J211), Source!$E211, "")</f>
        <v/>
      </c>
      <c r="K211" s="2" t="str">
        <f>IF(Source!$C211&gt;=COLUMNS($A211:K211), Source!$E211, "")</f>
        <v/>
      </c>
      <c r="L211" s="2" t="str">
        <f>IF(Source!$C211&gt;=COLUMNS($A211:L211), Source!$E211, "")</f>
        <v/>
      </c>
      <c r="M211" s="2" t="str">
        <f>IF(Source!$C211&gt;=COLUMNS($A211:M211), Source!$E211, "")</f>
        <v/>
      </c>
      <c r="N211" s="2" t="str">
        <f>IF(Source!$C211&gt;=COLUMNS($A211:N211), Source!$E211, "")</f>
        <v/>
      </c>
      <c r="O211" s="2" t="str">
        <f>IF(Source!$C211&gt;=COLUMNS($A211:O211), Source!$E211, "")</f>
        <v/>
      </c>
      <c r="P211" s="2" t="str">
        <f>IF(Source!$C211&gt;=COLUMNS($A211:P211), Source!$E211, "")</f>
        <v/>
      </c>
      <c r="Q211" s="2" t="str">
        <f>IF(Source!$C211&gt;=COLUMNS($A211:Q211), Source!$E211, "")</f>
        <v/>
      </c>
      <c r="R211" s="2" t="str">
        <f>IF(Source!$C211&gt;=COLUMNS($A211:R211), Source!$E211, "")</f>
        <v/>
      </c>
      <c r="S211" s="2" t="str">
        <f>IF(Source!$C211&gt;=COLUMNS($A211:S211), Source!$E211, "")</f>
        <v/>
      </c>
      <c r="T211" s="2" t="str">
        <f>IF(Source!$C211&gt;=COLUMNS($A211:T211), Source!$E211, "")</f>
        <v/>
      </c>
      <c r="U211" s="2" t="str">
        <f>IF(Source!$C211&gt;=COLUMNS($A211:U211), Source!$E211, "")</f>
        <v/>
      </c>
      <c r="V211" s="2" t="str">
        <f>IF(Source!$C211&gt;=COLUMNS($A211:V211), Source!$E211, "")</f>
        <v/>
      </c>
      <c r="W211" s="2" t="str">
        <f>IF(Source!$C211&gt;=COLUMNS($A211:W211), Source!$E211, "")</f>
        <v/>
      </c>
      <c r="X211" s="2" t="str">
        <f>IF(Source!$C211&gt;=COLUMNS($A211:X211), Source!$E211, "")</f>
        <v/>
      </c>
      <c r="Y211" s="2" t="str">
        <f>IF(Source!$C211&gt;=COLUMNS($A211:Y211), Source!$E211, "")</f>
        <v/>
      </c>
      <c r="Z211" s="2" t="str">
        <f>IF(Source!$C211&gt;=COLUMNS($A211:Z211), Source!$E211, "")</f>
        <v/>
      </c>
      <c r="AA211" s="2" t="str">
        <f>IF(Source!$C211&gt;=COLUMNS($A211:AA211), Source!$E211, "")</f>
        <v/>
      </c>
      <c r="AB211" s="2" t="str">
        <f>IF(Source!$C211&gt;=COLUMNS($A211:AB211), Source!$E211, "")</f>
        <v/>
      </c>
      <c r="AC211" s="2" t="str">
        <f>IF(Source!$C211&gt;=COLUMNS($A211:AC211), Source!$E211, "")</f>
        <v/>
      </c>
      <c r="AD211" s="2" t="str">
        <f>IF(Source!$C211&gt;=COLUMNS($A211:AD211), Source!$E211, "")</f>
        <v/>
      </c>
      <c r="AE211" s="2" t="str">
        <f>IF(Source!$C211&gt;=COLUMNS($A211:AE211), Source!$E211, "")</f>
        <v/>
      </c>
      <c r="AF211" s="2" t="str">
        <f>IF(Source!$C211&gt;=COLUMNS($A211:AF211), Source!$E211, "")</f>
        <v/>
      </c>
      <c r="AG211" s="2" t="str">
        <f>IF(Source!$C211&gt;=COLUMNS($A211:AG211), Source!$E211, "")</f>
        <v/>
      </c>
      <c r="AH211" s="2" t="str">
        <f>IF(Source!$C211&gt;=COLUMNS($A211:AH211), Source!$E211, "")</f>
        <v/>
      </c>
      <c r="AI211" s="2" t="str">
        <f>IF(Source!$C211&gt;=COLUMNS($A211:AI211), Source!$E211, "")</f>
        <v/>
      </c>
      <c r="AJ211" s="2" t="str">
        <f>IF(Source!$C211&gt;=COLUMNS($A211:AJ211), Source!$E211, "")</f>
        <v/>
      </c>
      <c r="AK211" s="2" t="str">
        <f>IF(Source!$C211&gt;=COLUMNS($A211:AK211), Source!$E211, "")</f>
        <v/>
      </c>
      <c r="AL211" s="2" t="str">
        <f>IF(Source!$C211&gt;=COLUMNS($A211:AL211), Source!$E211, "")</f>
        <v/>
      </c>
      <c r="AM211" s="2" t="str">
        <f>IF(Source!$C211&gt;=COLUMNS($A211:AM211), Source!$E211, "")</f>
        <v/>
      </c>
      <c r="AN211" s="2" t="str">
        <f>IF(Source!$C211&gt;=COLUMNS($A211:AN211), Source!$E211, "")</f>
        <v/>
      </c>
      <c r="AO211" s="2" t="str">
        <f>IF(Source!$C211&gt;=COLUMNS($A211:AO211), Source!$E211, "")</f>
        <v/>
      </c>
      <c r="AP211" s="2" t="str">
        <f>IF(Source!$C211&gt;=COLUMNS($A211:AP211), Source!$E211, "")</f>
        <v/>
      </c>
      <c r="AQ211" s="2" t="str">
        <f>IF(Source!$C211&gt;=COLUMNS($A211:AQ211), Source!$E211, "")</f>
        <v/>
      </c>
      <c r="AR211" s="2" t="str">
        <f>IF(Source!$C211&gt;=COLUMNS($A211:AR211), Source!$E211, "")</f>
        <v/>
      </c>
    </row>
    <row r="212">
      <c r="A212" s="2">
        <f>IF(Source!$C212&gt;=COLUMNS($A212:A212), Source!$E212, "")</f>
        <v>7</v>
      </c>
      <c r="B212" s="2">
        <f>IF(Source!$C212&gt;=COLUMNS($A212:B212), Source!$E212, "")</f>
        <v>7</v>
      </c>
      <c r="C212" s="2" t="str">
        <f>IF(Source!$C212&gt;=COLUMNS($A212:C212), Source!$E212, "")</f>
        <v/>
      </c>
      <c r="D212" s="2" t="str">
        <f>IF(Source!$C212&gt;=COLUMNS($A212:D212), Source!$E212, "")</f>
        <v/>
      </c>
      <c r="E212" s="2" t="str">
        <f>IF(Source!$C212&gt;=COLUMNS($A212:E212), Source!$E212, "")</f>
        <v/>
      </c>
      <c r="F212" s="2" t="str">
        <f>IF(Source!$C212&gt;=COLUMNS($A212:F212), Source!$E212, "")</f>
        <v/>
      </c>
      <c r="G212" s="2" t="str">
        <f>IF(Source!$C212&gt;=COLUMNS($A212:G212), Source!$E212, "")</f>
        <v/>
      </c>
      <c r="H212" s="2" t="str">
        <f>IF(Source!$C212&gt;=COLUMNS($A212:H212), Source!$E212, "")</f>
        <v/>
      </c>
      <c r="I212" s="2" t="str">
        <f>IF(Source!$C212&gt;=COLUMNS($A212:I212), Source!$E212, "")</f>
        <v/>
      </c>
      <c r="J212" s="2" t="str">
        <f>IF(Source!$C212&gt;=COLUMNS($A212:J212), Source!$E212, "")</f>
        <v/>
      </c>
      <c r="K212" s="2" t="str">
        <f>IF(Source!$C212&gt;=COLUMNS($A212:K212), Source!$E212, "")</f>
        <v/>
      </c>
      <c r="L212" s="2" t="str">
        <f>IF(Source!$C212&gt;=COLUMNS($A212:L212), Source!$E212, "")</f>
        <v/>
      </c>
      <c r="M212" s="2" t="str">
        <f>IF(Source!$C212&gt;=COLUMNS($A212:M212), Source!$E212, "")</f>
        <v/>
      </c>
      <c r="N212" s="2" t="str">
        <f>IF(Source!$C212&gt;=COLUMNS($A212:N212), Source!$E212, "")</f>
        <v/>
      </c>
      <c r="O212" s="2" t="str">
        <f>IF(Source!$C212&gt;=COLUMNS($A212:O212), Source!$E212, "")</f>
        <v/>
      </c>
      <c r="P212" s="2" t="str">
        <f>IF(Source!$C212&gt;=COLUMNS($A212:P212), Source!$E212, "")</f>
        <v/>
      </c>
      <c r="Q212" s="2" t="str">
        <f>IF(Source!$C212&gt;=COLUMNS($A212:Q212), Source!$E212, "")</f>
        <v/>
      </c>
      <c r="R212" s="2" t="str">
        <f>IF(Source!$C212&gt;=COLUMNS($A212:R212), Source!$E212, "")</f>
        <v/>
      </c>
      <c r="S212" s="2" t="str">
        <f>IF(Source!$C212&gt;=COLUMNS($A212:S212), Source!$E212, "")</f>
        <v/>
      </c>
      <c r="T212" s="2" t="str">
        <f>IF(Source!$C212&gt;=COLUMNS($A212:T212), Source!$E212, "")</f>
        <v/>
      </c>
      <c r="U212" s="2" t="str">
        <f>IF(Source!$C212&gt;=COLUMNS($A212:U212), Source!$E212, "")</f>
        <v/>
      </c>
      <c r="V212" s="2" t="str">
        <f>IF(Source!$C212&gt;=COLUMNS($A212:V212), Source!$E212, "")</f>
        <v/>
      </c>
      <c r="W212" s="2" t="str">
        <f>IF(Source!$C212&gt;=COLUMNS($A212:W212), Source!$E212, "")</f>
        <v/>
      </c>
      <c r="X212" s="2" t="str">
        <f>IF(Source!$C212&gt;=COLUMNS($A212:X212), Source!$E212, "")</f>
        <v/>
      </c>
      <c r="Y212" s="2" t="str">
        <f>IF(Source!$C212&gt;=COLUMNS($A212:Y212), Source!$E212, "")</f>
        <v/>
      </c>
      <c r="Z212" s="2" t="str">
        <f>IF(Source!$C212&gt;=COLUMNS($A212:Z212), Source!$E212, "")</f>
        <v/>
      </c>
      <c r="AA212" s="2" t="str">
        <f>IF(Source!$C212&gt;=COLUMNS($A212:AA212), Source!$E212, "")</f>
        <v/>
      </c>
      <c r="AB212" s="2" t="str">
        <f>IF(Source!$C212&gt;=COLUMNS($A212:AB212), Source!$E212, "")</f>
        <v/>
      </c>
      <c r="AC212" s="2" t="str">
        <f>IF(Source!$C212&gt;=COLUMNS($A212:AC212), Source!$E212, "")</f>
        <v/>
      </c>
      <c r="AD212" s="2" t="str">
        <f>IF(Source!$C212&gt;=COLUMNS($A212:AD212), Source!$E212, "")</f>
        <v/>
      </c>
      <c r="AE212" s="2" t="str">
        <f>IF(Source!$C212&gt;=COLUMNS($A212:AE212), Source!$E212, "")</f>
        <v/>
      </c>
      <c r="AF212" s="2" t="str">
        <f>IF(Source!$C212&gt;=COLUMNS($A212:AF212), Source!$E212, "")</f>
        <v/>
      </c>
      <c r="AG212" s="2" t="str">
        <f>IF(Source!$C212&gt;=COLUMNS($A212:AG212), Source!$E212, "")</f>
        <v/>
      </c>
      <c r="AH212" s="2" t="str">
        <f>IF(Source!$C212&gt;=COLUMNS($A212:AH212), Source!$E212, "")</f>
        <v/>
      </c>
      <c r="AI212" s="2" t="str">
        <f>IF(Source!$C212&gt;=COLUMNS($A212:AI212), Source!$E212, "")</f>
        <v/>
      </c>
      <c r="AJ212" s="2" t="str">
        <f>IF(Source!$C212&gt;=COLUMNS($A212:AJ212), Source!$E212, "")</f>
        <v/>
      </c>
      <c r="AK212" s="2" t="str">
        <f>IF(Source!$C212&gt;=COLUMNS($A212:AK212), Source!$E212, "")</f>
        <v/>
      </c>
      <c r="AL212" s="2" t="str">
        <f>IF(Source!$C212&gt;=COLUMNS($A212:AL212), Source!$E212, "")</f>
        <v/>
      </c>
      <c r="AM212" s="2" t="str">
        <f>IF(Source!$C212&gt;=COLUMNS($A212:AM212), Source!$E212, "")</f>
        <v/>
      </c>
      <c r="AN212" s="2" t="str">
        <f>IF(Source!$C212&gt;=COLUMNS($A212:AN212), Source!$E212, "")</f>
        <v/>
      </c>
      <c r="AO212" s="2" t="str">
        <f>IF(Source!$C212&gt;=COLUMNS($A212:AO212), Source!$E212, "")</f>
        <v/>
      </c>
      <c r="AP212" s="2" t="str">
        <f>IF(Source!$C212&gt;=COLUMNS($A212:AP212), Source!$E212, "")</f>
        <v/>
      </c>
      <c r="AQ212" s="2" t="str">
        <f>IF(Source!$C212&gt;=COLUMNS($A212:AQ212), Source!$E212, "")</f>
        <v/>
      </c>
      <c r="AR212" s="2" t="str">
        <f>IF(Source!$C212&gt;=COLUMNS($A212:AR212), Source!$E212, "")</f>
        <v/>
      </c>
    </row>
    <row r="213">
      <c r="A213" s="2">
        <f>IF(Source!$C213&gt;=COLUMNS($A213:A213), Source!$E213, "")</f>
        <v>1</v>
      </c>
      <c r="B213" s="2" t="str">
        <f>IF(Source!$C213&gt;=COLUMNS($A213:B213), Source!$E213, "")</f>
        <v/>
      </c>
      <c r="C213" s="2" t="str">
        <f>IF(Source!$C213&gt;=COLUMNS($A213:C213), Source!$E213, "")</f>
        <v/>
      </c>
      <c r="D213" s="2" t="str">
        <f>IF(Source!$C213&gt;=COLUMNS($A213:D213), Source!$E213, "")</f>
        <v/>
      </c>
      <c r="E213" s="2" t="str">
        <f>IF(Source!$C213&gt;=COLUMNS($A213:E213), Source!$E213, "")</f>
        <v/>
      </c>
      <c r="F213" s="2" t="str">
        <f>IF(Source!$C213&gt;=COLUMNS($A213:F213), Source!$E213, "")</f>
        <v/>
      </c>
      <c r="G213" s="2" t="str">
        <f>IF(Source!$C213&gt;=COLUMNS($A213:G213), Source!$E213, "")</f>
        <v/>
      </c>
      <c r="H213" s="2" t="str">
        <f>IF(Source!$C213&gt;=COLUMNS($A213:H213), Source!$E213, "")</f>
        <v/>
      </c>
      <c r="I213" s="2" t="str">
        <f>IF(Source!$C213&gt;=COLUMNS($A213:I213), Source!$E213, "")</f>
        <v/>
      </c>
      <c r="J213" s="2" t="str">
        <f>IF(Source!$C213&gt;=COLUMNS($A213:J213), Source!$E213, "")</f>
        <v/>
      </c>
      <c r="K213" s="2" t="str">
        <f>IF(Source!$C213&gt;=COLUMNS($A213:K213), Source!$E213, "")</f>
        <v/>
      </c>
      <c r="L213" s="2" t="str">
        <f>IF(Source!$C213&gt;=COLUMNS($A213:L213), Source!$E213, "")</f>
        <v/>
      </c>
      <c r="M213" s="2" t="str">
        <f>IF(Source!$C213&gt;=COLUMNS($A213:M213), Source!$E213, "")</f>
        <v/>
      </c>
      <c r="N213" s="2" t="str">
        <f>IF(Source!$C213&gt;=COLUMNS($A213:N213), Source!$E213, "")</f>
        <v/>
      </c>
      <c r="O213" s="2" t="str">
        <f>IF(Source!$C213&gt;=COLUMNS($A213:O213), Source!$E213, "")</f>
        <v/>
      </c>
      <c r="P213" s="2" t="str">
        <f>IF(Source!$C213&gt;=COLUMNS($A213:P213), Source!$E213, "")</f>
        <v/>
      </c>
      <c r="Q213" s="2" t="str">
        <f>IF(Source!$C213&gt;=COLUMNS($A213:Q213), Source!$E213, "")</f>
        <v/>
      </c>
      <c r="R213" s="2" t="str">
        <f>IF(Source!$C213&gt;=COLUMNS($A213:R213), Source!$E213, "")</f>
        <v/>
      </c>
      <c r="S213" s="2" t="str">
        <f>IF(Source!$C213&gt;=COLUMNS($A213:S213), Source!$E213, "")</f>
        <v/>
      </c>
      <c r="T213" s="2" t="str">
        <f>IF(Source!$C213&gt;=COLUMNS($A213:T213), Source!$E213, "")</f>
        <v/>
      </c>
      <c r="U213" s="2" t="str">
        <f>IF(Source!$C213&gt;=COLUMNS($A213:U213), Source!$E213, "")</f>
        <v/>
      </c>
      <c r="V213" s="2" t="str">
        <f>IF(Source!$C213&gt;=COLUMNS($A213:V213), Source!$E213, "")</f>
        <v/>
      </c>
      <c r="W213" s="2" t="str">
        <f>IF(Source!$C213&gt;=COLUMNS($A213:W213), Source!$E213, "")</f>
        <v/>
      </c>
      <c r="X213" s="2" t="str">
        <f>IF(Source!$C213&gt;=COLUMNS($A213:X213), Source!$E213, "")</f>
        <v/>
      </c>
      <c r="Y213" s="2" t="str">
        <f>IF(Source!$C213&gt;=COLUMNS($A213:Y213), Source!$E213, "")</f>
        <v/>
      </c>
      <c r="Z213" s="2" t="str">
        <f>IF(Source!$C213&gt;=COLUMNS($A213:Z213), Source!$E213, "")</f>
        <v/>
      </c>
      <c r="AA213" s="2" t="str">
        <f>IF(Source!$C213&gt;=COLUMNS($A213:AA213), Source!$E213, "")</f>
        <v/>
      </c>
      <c r="AB213" s="2" t="str">
        <f>IF(Source!$C213&gt;=COLUMNS($A213:AB213), Source!$E213, "")</f>
        <v/>
      </c>
      <c r="AC213" s="2" t="str">
        <f>IF(Source!$C213&gt;=COLUMNS($A213:AC213), Source!$E213, "")</f>
        <v/>
      </c>
      <c r="AD213" s="2" t="str">
        <f>IF(Source!$C213&gt;=COLUMNS($A213:AD213), Source!$E213, "")</f>
        <v/>
      </c>
      <c r="AE213" s="2" t="str">
        <f>IF(Source!$C213&gt;=COLUMNS($A213:AE213), Source!$E213, "")</f>
        <v/>
      </c>
      <c r="AF213" s="2" t="str">
        <f>IF(Source!$C213&gt;=COLUMNS($A213:AF213), Source!$E213, "")</f>
        <v/>
      </c>
      <c r="AG213" s="2" t="str">
        <f>IF(Source!$C213&gt;=COLUMNS($A213:AG213), Source!$E213, "")</f>
        <v/>
      </c>
      <c r="AH213" s="2" t="str">
        <f>IF(Source!$C213&gt;=COLUMNS($A213:AH213), Source!$E213, "")</f>
        <v/>
      </c>
      <c r="AI213" s="2" t="str">
        <f>IF(Source!$C213&gt;=COLUMNS($A213:AI213), Source!$E213, "")</f>
        <v/>
      </c>
      <c r="AJ213" s="2" t="str">
        <f>IF(Source!$C213&gt;=COLUMNS($A213:AJ213), Source!$E213, "")</f>
        <v/>
      </c>
      <c r="AK213" s="2" t="str">
        <f>IF(Source!$C213&gt;=COLUMNS($A213:AK213), Source!$E213, "")</f>
        <v/>
      </c>
      <c r="AL213" s="2" t="str">
        <f>IF(Source!$C213&gt;=COLUMNS($A213:AL213), Source!$E213, "")</f>
        <v/>
      </c>
      <c r="AM213" s="2" t="str">
        <f>IF(Source!$C213&gt;=COLUMNS($A213:AM213), Source!$E213, "")</f>
        <v/>
      </c>
      <c r="AN213" s="2" t="str">
        <f>IF(Source!$C213&gt;=COLUMNS($A213:AN213), Source!$E213, "")</f>
        <v/>
      </c>
      <c r="AO213" s="2" t="str">
        <f>IF(Source!$C213&gt;=COLUMNS($A213:AO213), Source!$E213, "")</f>
        <v/>
      </c>
      <c r="AP213" s="2" t="str">
        <f>IF(Source!$C213&gt;=COLUMNS($A213:AP213), Source!$E213, "")</f>
        <v/>
      </c>
      <c r="AQ213" s="2" t="str">
        <f>IF(Source!$C213&gt;=COLUMNS($A213:AQ213), Source!$E213, "")</f>
        <v/>
      </c>
      <c r="AR213" s="2" t="str">
        <f>IF(Source!$C213&gt;=COLUMNS($A213:AR213), Source!$E213, "")</f>
        <v/>
      </c>
    </row>
    <row r="214">
      <c r="A214" s="2">
        <f>IF(Source!$C214&gt;=COLUMNS($A214:A214), Source!$E214, "")</f>
        <v>2</v>
      </c>
      <c r="B214" s="2">
        <f>IF(Source!$C214&gt;=COLUMNS($A214:B214), Source!$E214, "")</f>
        <v>2</v>
      </c>
      <c r="C214" s="2">
        <f>IF(Source!$C214&gt;=COLUMNS($A214:C214), Source!$E214, "")</f>
        <v>2</v>
      </c>
      <c r="D214" s="2">
        <f>IF(Source!$C214&gt;=COLUMNS($A214:D214), Source!$E214, "")</f>
        <v>2</v>
      </c>
      <c r="E214" s="2" t="str">
        <f>IF(Source!$C214&gt;=COLUMNS($A214:E214), Source!$E214, "")</f>
        <v/>
      </c>
      <c r="F214" s="2" t="str">
        <f>IF(Source!$C214&gt;=COLUMNS($A214:F214), Source!$E214, "")</f>
        <v/>
      </c>
      <c r="G214" s="2" t="str">
        <f>IF(Source!$C214&gt;=COLUMNS($A214:G214), Source!$E214, "")</f>
        <v/>
      </c>
      <c r="H214" s="2" t="str">
        <f>IF(Source!$C214&gt;=COLUMNS($A214:H214), Source!$E214, "")</f>
        <v/>
      </c>
      <c r="I214" s="2" t="str">
        <f>IF(Source!$C214&gt;=COLUMNS($A214:I214), Source!$E214, "")</f>
        <v/>
      </c>
      <c r="J214" s="2" t="str">
        <f>IF(Source!$C214&gt;=COLUMNS($A214:J214), Source!$E214, "")</f>
        <v/>
      </c>
      <c r="K214" s="2" t="str">
        <f>IF(Source!$C214&gt;=COLUMNS($A214:K214), Source!$E214, "")</f>
        <v/>
      </c>
      <c r="L214" s="2" t="str">
        <f>IF(Source!$C214&gt;=COLUMNS($A214:L214), Source!$E214, "")</f>
        <v/>
      </c>
      <c r="M214" s="2" t="str">
        <f>IF(Source!$C214&gt;=COLUMNS($A214:M214), Source!$E214, "")</f>
        <v/>
      </c>
      <c r="N214" s="2" t="str">
        <f>IF(Source!$C214&gt;=COLUMNS($A214:N214), Source!$E214, "")</f>
        <v/>
      </c>
      <c r="O214" s="2" t="str">
        <f>IF(Source!$C214&gt;=COLUMNS($A214:O214), Source!$E214, "")</f>
        <v/>
      </c>
      <c r="P214" s="2" t="str">
        <f>IF(Source!$C214&gt;=COLUMNS($A214:P214), Source!$E214, "")</f>
        <v/>
      </c>
      <c r="Q214" s="2" t="str">
        <f>IF(Source!$C214&gt;=COLUMNS($A214:Q214), Source!$E214, "")</f>
        <v/>
      </c>
      <c r="R214" s="2" t="str">
        <f>IF(Source!$C214&gt;=COLUMNS($A214:R214), Source!$E214, "")</f>
        <v/>
      </c>
      <c r="S214" s="2" t="str">
        <f>IF(Source!$C214&gt;=COLUMNS($A214:S214), Source!$E214, "")</f>
        <v/>
      </c>
      <c r="T214" s="2" t="str">
        <f>IF(Source!$C214&gt;=COLUMNS($A214:T214), Source!$E214, "")</f>
        <v/>
      </c>
      <c r="U214" s="2" t="str">
        <f>IF(Source!$C214&gt;=COLUMNS($A214:U214), Source!$E214, "")</f>
        <v/>
      </c>
      <c r="V214" s="2" t="str">
        <f>IF(Source!$C214&gt;=COLUMNS($A214:V214), Source!$E214, "")</f>
        <v/>
      </c>
      <c r="W214" s="2" t="str">
        <f>IF(Source!$C214&gt;=COLUMNS($A214:W214), Source!$E214, "")</f>
        <v/>
      </c>
      <c r="X214" s="2" t="str">
        <f>IF(Source!$C214&gt;=COLUMNS($A214:X214), Source!$E214, "")</f>
        <v/>
      </c>
      <c r="Y214" s="2" t="str">
        <f>IF(Source!$C214&gt;=COLUMNS($A214:Y214), Source!$E214, "")</f>
        <v/>
      </c>
      <c r="Z214" s="2" t="str">
        <f>IF(Source!$C214&gt;=COLUMNS($A214:Z214), Source!$E214, "")</f>
        <v/>
      </c>
      <c r="AA214" s="2" t="str">
        <f>IF(Source!$C214&gt;=COLUMNS($A214:AA214), Source!$E214, "")</f>
        <v/>
      </c>
      <c r="AB214" s="2" t="str">
        <f>IF(Source!$C214&gt;=COLUMNS($A214:AB214), Source!$E214, "")</f>
        <v/>
      </c>
      <c r="AC214" s="2" t="str">
        <f>IF(Source!$C214&gt;=COLUMNS($A214:AC214), Source!$E214, "")</f>
        <v/>
      </c>
      <c r="AD214" s="2" t="str">
        <f>IF(Source!$C214&gt;=COLUMNS($A214:AD214), Source!$E214, "")</f>
        <v/>
      </c>
      <c r="AE214" s="2" t="str">
        <f>IF(Source!$C214&gt;=COLUMNS($A214:AE214), Source!$E214, "")</f>
        <v/>
      </c>
      <c r="AF214" s="2" t="str">
        <f>IF(Source!$C214&gt;=COLUMNS($A214:AF214), Source!$E214, "")</f>
        <v/>
      </c>
      <c r="AG214" s="2" t="str">
        <f>IF(Source!$C214&gt;=COLUMNS($A214:AG214), Source!$E214, "")</f>
        <v/>
      </c>
      <c r="AH214" s="2" t="str">
        <f>IF(Source!$C214&gt;=COLUMNS($A214:AH214), Source!$E214, "")</f>
        <v/>
      </c>
      <c r="AI214" s="2" t="str">
        <f>IF(Source!$C214&gt;=COLUMNS($A214:AI214), Source!$E214, "")</f>
        <v/>
      </c>
      <c r="AJ214" s="2" t="str">
        <f>IF(Source!$C214&gt;=COLUMNS($A214:AJ214), Source!$E214, "")</f>
        <v/>
      </c>
      <c r="AK214" s="2" t="str">
        <f>IF(Source!$C214&gt;=COLUMNS($A214:AK214), Source!$E214, "")</f>
        <v/>
      </c>
      <c r="AL214" s="2" t="str">
        <f>IF(Source!$C214&gt;=COLUMNS($A214:AL214), Source!$E214, "")</f>
        <v/>
      </c>
      <c r="AM214" s="2" t="str">
        <f>IF(Source!$C214&gt;=COLUMNS($A214:AM214), Source!$E214, "")</f>
        <v/>
      </c>
      <c r="AN214" s="2" t="str">
        <f>IF(Source!$C214&gt;=COLUMNS($A214:AN214), Source!$E214, "")</f>
        <v/>
      </c>
      <c r="AO214" s="2" t="str">
        <f>IF(Source!$C214&gt;=COLUMNS($A214:AO214), Source!$E214, "")</f>
        <v/>
      </c>
      <c r="AP214" s="2" t="str">
        <f>IF(Source!$C214&gt;=COLUMNS($A214:AP214), Source!$E214, "")</f>
        <v/>
      </c>
      <c r="AQ214" s="2" t="str">
        <f>IF(Source!$C214&gt;=COLUMNS($A214:AQ214), Source!$E214, "")</f>
        <v/>
      </c>
      <c r="AR214" s="2" t="str">
        <f>IF(Source!$C214&gt;=COLUMNS($A214:AR214), Source!$E214, "")</f>
        <v/>
      </c>
    </row>
    <row r="215">
      <c r="A215" s="2">
        <f>IF(Source!$C215&gt;=COLUMNS($A215:A215), Source!$E215, "")</f>
        <v>9</v>
      </c>
      <c r="B215" s="2">
        <f>IF(Source!$C215&gt;=COLUMNS($A215:B215), Source!$E215, "")</f>
        <v>9</v>
      </c>
      <c r="C215" s="2">
        <f>IF(Source!$C215&gt;=COLUMNS($A215:C215), Source!$E215, "")</f>
        <v>9</v>
      </c>
      <c r="D215" s="2">
        <f>IF(Source!$C215&gt;=COLUMNS($A215:D215), Source!$E215, "")</f>
        <v>9</v>
      </c>
      <c r="E215" s="2">
        <f>IF(Source!$C215&gt;=COLUMNS($A215:E215), Source!$E215, "")</f>
        <v>9</v>
      </c>
      <c r="F215" s="2">
        <f>IF(Source!$C215&gt;=COLUMNS($A215:F215), Source!$E215, "")</f>
        <v>9</v>
      </c>
      <c r="G215" s="2">
        <f>IF(Source!$C215&gt;=COLUMNS($A215:G215), Source!$E215, "")</f>
        <v>9</v>
      </c>
      <c r="H215" s="2">
        <f>IF(Source!$C215&gt;=COLUMNS($A215:H215), Source!$E215, "")</f>
        <v>9</v>
      </c>
      <c r="I215" s="2">
        <f>IF(Source!$C215&gt;=COLUMNS($A215:I215), Source!$E215, "")</f>
        <v>9</v>
      </c>
      <c r="J215" s="2">
        <f>IF(Source!$C215&gt;=COLUMNS($A215:J215), Source!$E215, "")</f>
        <v>9</v>
      </c>
      <c r="K215" s="2">
        <f>IF(Source!$C215&gt;=COLUMNS($A215:K215), Source!$E215, "")</f>
        <v>9</v>
      </c>
      <c r="L215" s="2">
        <f>IF(Source!$C215&gt;=COLUMNS($A215:L215), Source!$E215, "")</f>
        <v>9</v>
      </c>
      <c r="M215" s="2">
        <f>IF(Source!$C215&gt;=COLUMNS($A215:M215), Source!$E215, "")</f>
        <v>9</v>
      </c>
      <c r="N215" s="2">
        <f>IF(Source!$C215&gt;=COLUMNS($A215:N215), Source!$E215, "")</f>
        <v>9</v>
      </c>
      <c r="O215" s="2">
        <f>IF(Source!$C215&gt;=COLUMNS($A215:O215), Source!$E215, "")</f>
        <v>9</v>
      </c>
      <c r="P215" s="2" t="str">
        <f>IF(Source!$C215&gt;=COLUMNS($A215:P215), Source!$E215, "")</f>
        <v/>
      </c>
      <c r="Q215" s="2" t="str">
        <f>IF(Source!$C215&gt;=COLUMNS($A215:Q215), Source!$E215, "")</f>
        <v/>
      </c>
      <c r="R215" s="2" t="str">
        <f>IF(Source!$C215&gt;=COLUMNS($A215:R215), Source!$E215, "")</f>
        <v/>
      </c>
      <c r="S215" s="2" t="str">
        <f>IF(Source!$C215&gt;=COLUMNS($A215:S215), Source!$E215, "")</f>
        <v/>
      </c>
      <c r="T215" s="2" t="str">
        <f>IF(Source!$C215&gt;=COLUMNS($A215:T215), Source!$E215, "")</f>
        <v/>
      </c>
      <c r="U215" s="2" t="str">
        <f>IF(Source!$C215&gt;=COLUMNS($A215:U215), Source!$E215, "")</f>
        <v/>
      </c>
      <c r="V215" s="2" t="str">
        <f>IF(Source!$C215&gt;=COLUMNS($A215:V215), Source!$E215, "")</f>
        <v/>
      </c>
      <c r="W215" s="2" t="str">
        <f>IF(Source!$C215&gt;=COLUMNS($A215:W215), Source!$E215, "")</f>
        <v/>
      </c>
      <c r="X215" s="2" t="str">
        <f>IF(Source!$C215&gt;=COLUMNS($A215:X215), Source!$E215, "")</f>
        <v/>
      </c>
      <c r="Y215" s="2" t="str">
        <f>IF(Source!$C215&gt;=COLUMNS($A215:Y215), Source!$E215, "")</f>
        <v/>
      </c>
      <c r="Z215" s="2" t="str">
        <f>IF(Source!$C215&gt;=COLUMNS($A215:Z215), Source!$E215, "")</f>
        <v/>
      </c>
      <c r="AA215" s="2" t="str">
        <f>IF(Source!$C215&gt;=COLUMNS($A215:AA215), Source!$E215, "")</f>
        <v/>
      </c>
      <c r="AB215" s="2" t="str">
        <f>IF(Source!$C215&gt;=COLUMNS($A215:AB215), Source!$E215, "")</f>
        <v/>
      </c>
      <c r="AC215" s="2" t="str">
        <f>IF(Source!$C215&gt;=COLUMNS($A215:AC215), Source!$E215, "")</f>
        <v/>
      </c>
      <c r="AD215" s="2" t="str">
        <f>IF(Source!$C215&gt;=COLUMNS($A215:AD215), Source!$E215, "")</f>
        <v/>
      </c>
      <c r="AE215" s="2" t="str">
        <f>IF(Source!$C215&gt;=COLUMNS($A215:AE215), Source!$E215, "")</f>
        <v/>
      </c>
      <c r="AF215" s="2" t="str">
        <f>IF(Source!$C215&gt;=COLUMNS($A215:AF215), Source!$E215, "")</f>
        <v/>
      </c>
      <c r="AG215" s="2" t="str">
        <f>IF(Source!$C215&gt;=COLUMNS($A215:AG215), Source!$E215, "")</f>
        <v/>
      </c>
      <c r="AH215" s="2" t="str">
        <f>IF(Source!$C215&gt;=COLUMNS($A215:AH215), Source!$E215, "")</f>
        <v/>
      </c>
      <c r="AI215" s="2" t="str">
        <f>IF(Source!$C215&gt;=COLUMNS($A215:AI215), Source!$E215, "")</f>
        <v/>
      </c>
      <c r="AJ215" s="2" t="str">
        <f>IF(Source!$C215&gt;=COLUMNS($A215:AJ215), Source!$E215, "")</f>
        <v/>
      </c>
      <c r="AK215" s="2" t="str">
        <f>IF(Source!$C215&gt;=COLUMNS($A215:AK215), Source!$E215, "")</f>
        <v/>
      </c>
      <c r="AL215" s="2" t="str">
        <f>IF(Source!$C215&gt;=COLUMNS($A215:AL215), Source!$E215, "")</f>
        <v/>
      </c>
      <c r="AM215" s="2" t="str">
        <f>IF(Source!$C215&gt;=COLUMNS($A215:AM215), Source!$E215, "")</f>
        <v/>
      </c>
      <c r="AN215" s="2" t="str">
        <f>IF(Source!$C215&gt;=COLUMNS($A215:AN215), Source!$E215, "")</f>
        <v/>
      </c>
      <c r="AO215" s="2" t="str">
        <f>IF(Source!$C215&gt;=COLUMNS($A215:AO215), Source!$E215, "")</f>
        <v/>
      </c>
      <c r="AP215" s="2" t="str">
        <f>IF(Source!$C215&gt;=COLUMNS($A215:AP215), Source!$E215, "")</f>
        <v/>
      </c>
      <c r="AQ215" s="2" t="str">
        <f>IF(Source!$C215&gt;=COLUMNS($A215:AQ215), Source!$E215, "")</f>
        <v/>
      </c>
      <c r="AR215" s="2" t="str">
        <f>IF(Source!$C215&gt;=COLUMNS($A215:AR215), Source!$E215, "")</f>
        <v/>
      </c>
    </row>
    <row r="216">
      <c r="A216" s="2">
        <f>IF(Source!$C216&gt;=COLUMNS($A216:A216), Source!$E216, "")</f>
        <v>9</v>
      </c>
      <c r="B216" s="2" t="str">
        <f>IF(Source!$C216&gt;=COLUMNS($A216:B216), Source!$E216, "")</f>
        <v/>
      </c>
      <c r="C216" s="2" t="str">
        <f>IF(Source!$C216&gt;=COLUMNS($A216:C216), Source!$E216, "")</f>
        <v/>
      </c>
      <c r="D216" s="2" t="str">
        <f>IF(Source!$C216&gt;=COLUMNS($A216:D216), Source!$E216, "")</f>
        <v/>
      </c>
      <c r="E216" s="2" t="str">
        <f>IF(Source!$C216&gt;=COLUMNS($A216:E216), Source!$E216, "")</f>
        <v/>
      </c>
      <c r="F216" s="2" t="str">
        <f>IF(Source!$C216&gt;=COLUMNS($A216:F216), Source!$E216, "")</f>
        <v/>
      </c>
      <c r="G216" s="2" t="str">
        <f>IF(Source!$C216&gt;=COLUMNS($A216:G216), Source!$E216, "")</f>
        <v/>
      </c>
      <c r="H216" s="2" t="str">
        <f>IF(Source!$C216&gt;=COLUMNS($A216:H216), Source!$E216, "")</f>
        <v/>
      </c>
      <c r="I216" s="2" t="str">
        <f>IF(Source!$C216&gt;=COLUMNS($A216:I216), Source!$E216, "")</f>
        <v/>
      </c>
      <c r="J216" s="2" t="str">
        <f>IF(Source!$C216&gt;=COLUMNS($A216:J216), Source!$E216, "")</f>
        <v/>
      </c>
      <c r="K216" s="2" t="str">
        <f>IF(Source!$C216&gt;=COLUMNS($A216:K216), Source!$E216, "")</f>
        <v/>
      </c>
      <c r="L216" s="2" t="str">
        <f>IF(Source!$C216&gt;=COLUMNS($A216:L216), Source!$E216, "")</f>
        <v/>
      </c>
      <c r="M216" s="2" t="str">
        <f>IF(Source!$C216&gt;=COLUMNS($A216:M216), Source!$E216, "")</f>
        <v/>
      </c>
      <c r="N216" s="2" t="str">
        <f>IF(Source!$C216&gt;=COLUMNS($A216:N216), Source!$E216, "")</f>
        <v/>
      </c>
      <c r="O216" s="2" t="str">
        <f>IF(Source!$C216&gt;=COLUMNS($A216:O216), Source!$E216, "")</f>
        <v/>
      </c>
      <c r="P216" s="2" t="str">
        <f>IF(Source!$C216&gt;=COLUMNS($A216:P216), Source!$E216, "")</f>
        <v/>
      </c>
      <c r="Q216" s="2" t="str">
        <f>IF(Source!$C216&gt;=COLUMNS($A216:Q216), Source!$E216, "")</f>
        <v/>
      </c>
      <c r="R216" s="2" t="str">
        <f>IF(Source!$C216&gt;=COLUMNS($A216:R216), Source!$E216, "")</f>
        <v/>
      </c>
      <c r="S216" s="2" t="str">
        <f>IF(Source!$C216&gt;=COLUMNS($A216:S216), Source!$E216, "")</f>
        <v/>
      </c>
      <c r="T216" s="2" t="str">
        <f>IF(Source!$C216&gt;=COLUMNS($A216:T216), Source!$E216, "")</f>
        <v/>
      </c>
      <c r="U216" s="2" t="str">
        <f>IF(Source!$C216&gt;=COLUMNS($A216:U216), Source!$E216, "")</f>
        <v/>
      </c>
      <c r="V216" s="2" t="str">
        <f>IF(Source!$C216&gt;=COLUMNS($A216:V216), Source!$E216, "")</f>
        <v/>
      </c>
      <c r="W216" s="2" t="str">
        <f>IF(Source!$C216&gt;=COLUMNS($A216:W216), Source!$E216, "")</f>
        <v/>
      </c>
      <c r="X216" s="2" t="str">
        <f>IF(Source!$C216&gt;=COLUMNS($A216:X216), Source!$E216, "")</f>
        <v/>
      </c>
      <c r="Y216" s="2" t="str">
        <f>IF(Source!$C216&gt;=COLUMNS($A216:Y216), Source!$E216, "")</f>
        <v/>
      </c>
      <c r="Z216" s="2" t="str">
        <f>IF(Source!$C216&gt;=COLUMNS($A216:Z216), Source!$E216, "")</f>
        <v/>
      </c>
      <c r="AA216" s="2" t="str">
        <f>IF(Source!$C216&gt;=COLUMNS($A216:AA216), Source!$E216, "")</f>
        <v/>
      </c>
      <c r="AB216" s="2" t="str">
        <f>IF(Source!$C216&gt;=COLUMNS($A216:AB216), Source!$E216, "")</f>
        <v/>
      </c>
      <c r="AC216" s="2" t="str">
        <f>IF(Source!$C216&gt;=COLUMNS($A216:AC216), Source!$E216, "")</f>
        <v/>
      </c>
      <c r="AD216" s="2" t="str">
        <f>IF(Source!$C216&gt;=COLUMNS($A216:AD216), Source!$E216, "")</f>
        <v/>
      </c>
      <c r="AE216" s="2" t="str">
        <f>IF(Source!$C216&gt;=COLUMNS($A216:AE216), Source!$E216, "")</f>
        <v/>
      </c>
      <c r="AF216" s="2" t="str">
        <f>IF(Source!$C216&gt;=COLUMNS($A216:AF216), Source!$E216, "")</f>
        <v/>
      </c>
      <c r="AG216" s="2" t="str">
        <f>IF(Source!$C216&gt;=COLUMNS($A216:AG216), Source!$E216, "")</f>
        <v/>
      </c>
      <c r="AH216" s="2" t="str">
        <f>IF(Source!$C216&gt;=COLUMNS($A216:AH216), Source!$E216, "")</f>
        <v/>
      </c>
      <c r="AI216" s="2" t="str">
        <f>IF(Source!$C216&gt;=COLUMNS($A216:AI216), Source!$E216, "")</f>
        <v/>
      </c>
      <c r="AJ216" s="2" t="str">
        <f>IF(Source!$C216&gt;=COLUMNS($A216:AJ216), Source!$E216, "")</f>
        <v/>
      </c>
      <c r="AK216" s="2" t="str">
        <f>IF(Source!$C216&gt;=COLUMNS($A216:AK216), Source!$E216, "")</f>
        <v/>
      </c>
      <c r="AL216" s="2" t="str">
        <f>IF(Source!$C216&gt;=COLUMNS($A216:AL216), Source!$E216, "")</f>
        <v/>
      </c>
      <c r="AM216" s="2" t="str">
        <f>IF(Source!$C216&gt;=COLUMNS($A216:AM216), Source!$E216, "")</f>
        <v/>
      </c>
      <c r="AN216" s="2" t="str">
        <f>IF(Source!$C216&gt;=COLUMNS($A216:AN216), Source!$E216, "")</f>
        <v/>
      </c>
      <c r="AO216" s="2" t="str">
        <f>IF(Source!$C216&gt;=COLUMNS($A216:AO216), Source!$E216, "")</f>
        <v/>
      </c>
      <c r="AP216" s="2" t="str">
        <f>IF(Source!$C216&gt;=COLUMNS($A216:AP216), Source!$E216, "")</f>
        <v/>
      </c>
      <c r="AQ216" s="2" t="str">
        <f>IF(Source!$C216&gt;=COLUMNS($A216:AQ216), Source!$E216, "")</f>
        <v/>
      </c>
      <c r="AR216" s="2" t="str">
        <f>IF(Source!$C216&gt;=COLUMNS($A216:AR216), Source!$E216, "")</f>
        <v/>
      </c>
    </row>
    <row r="217">
      <c r="A217" s="2">
        <f>IF(Source!$C217&gt;=COLUMNS($A217:A217), Source!$E217, "")</f>
        <v>1</v>
      </c>
      <c r="B217" s="2">
        <f>IF(Source!$C217&gt;=COLUMNS($A217:B217), Source!$E217, "")</f>
        <v>1</v>
      </c>
      <c r="C217" s="2" t="str">
        <f>IF(Source!$C217&gt;=COLUMNS($A217:C217), Source!$E217, "")</f>
        <v/>
      </c>
      <c r="D217" s="2" t="str">
        <f>IF(Source!$C217&gt;=COLUMNS($A217:D217), Source!$E217, "")</f>
        <v/>
      </c>
      <c r="E217" s="2" t="str">
        <f>IF(Source!$C217&gt;=COLUMNS($A217:E217), Source!$E217, "")</f>
        <v/>
      </c>
      <c r="F217" s="2" t="str">
        <f>IF(Source!$C217&gt;=COLUMNS($A217:F217), Source!$E217, "")</f>
        <v/>
      </c>
      <c r="G217" s="2" t="str">
        <f>IF(Source!$C217&gt;=COLUMNS($A217:G217), Source!$E217, "")</f>
        <v/>
      </c>
      <c r="H217" s="2" t="str">
        <f>IF(Source!$C217&gt;=COLUMNS($A217:H217), Source!$E217, "")</f>
        <v/>
      </c>
      <c r="I217" s="2" t="str">
        <f>IF(Source!$C217&gt;=COLUMNS($A217:I217), Source!$E217, "")</f>
        <v/>
      </c>
      <c r="J217" s="2" t="str">
        <f>IF(Source!$C217&gt;=COLUMNS($A217:J217), Source!$E217, "")</f>
        <v/>
      </c>
      <c r="K217" s="2" t="str">
        <f>IF(Source!$C217&gt;=COLUMNS($A217:K217), Source!$E217, "")</f>
        <v/>
      </c>
      <c r="L217" s="2" t="str">
        <f>IF(Source!$C217&gt;=COLUMNS($A217:L217), Source!$E217, "")</f>
        <v/>
      </c>
      <c r="M217" s="2" t="str">
        <f>IF(Source!$C217&gt;=COLUMNS($A217:M217), Source!$E217, "")</f>
        <v/>
      </c>
      <c r="N217" s="2" t="str">
        <f>IF(Source!$C217&gt;=COLUMNS($A217:N217), Source!$E217, "")</f>
        <v/>
      </c>
      <c r="O217" s="2" t="str">
        <f>IF(Source!$C217&gt;=COLUMNS($A217:O217), Source!$E217, "")</f>
        <v/>
      </c>
      <c r="P217" s="2" t="str">
        <f>IF(Source!$C217&gt;=COLUMNS($A217:P217), Source!$E217, "")</f>
        <v/>
      </c>
      <c r="Q217" s="2" t="str">
        <f>IF(Source!$C217&gt;=COLUMNS($A217:Q217), Source!$E217, "")</f>
        <v/>
      </c>
      <c r="R217" s="2" t="str">
        <f>IF(Source!$C217&gt;=COLUMNS($A217:R217), Source!$E217, "")</f>
        <v/>
      </c>
      <c r="S217" s="2" t="str">
        <f>IF(Source!$C217&gt;=COLUMNS($A217:S217), Source!$E217, "")</f>
        <v/>
      </c>
      <c r="T217" s="2" t="str">
        <f>IF(Source!$C217&gt;=COLUMNS($A217:T217), Source!$E217, "")</f>
        <v/>
      </c>
      <c r="U217" s="2" t="str">
        <f>IF(Source!$C217&gt;=COLUMNS($A217:U217), Source!$E217, "")</f>
        <v/>
      </c>
      <c r="V217" s="2" t="str">
        <f>IF(Source!$C217&gt;=COLUMNS($A217:V217), Source!$E217, "")</f>
        <v/>
      </c>
      <c r="W217" s="2" t="str">
        <f>IF(Source!$C217&gt;=COLUMNS($A217:W217), Source!$E217, "")</f>
        <v/>
      </c>
      <c r="X217" s="2" t="str">
        <f>IF(Source!$C217&gt;=COLUMNS($A217:X217), Source!$E217, "")</f>
        <v/>
      </c>
      <c r="Y217" s="2" t="str">
        <f>IF(Source!$C217&gt;=COLUMNS($A217:Y217), Source!$E217, "")</f>
        <v/>
      </c>
      <c r="Z217" s="2" t="str">
        <f>IF(Source!$C217&gt;=COLUMNS($A217:Z217), Source!$E217, "")</f>
        <v/>
      </c>
      <c r="AA217" s="2" t="str">
        <f>IF(Source!$C217&gt;=COLUMNS($A217:AA217), Source!$E217, "")</f>
        <v/>
      </c>
      <c r="AB217" s="2" t="str">
        <f>IF(Source!$C217&gt;=COLUMNS($A217:AB217), Source!$E217, "")</f>
        <v/>
      </c>
      <c r="AC217" s="2" t="str">
        <f>IF(Source!$C217&gt;=COLUMNS($A217:AC217), Source!$E217, "")</f>
        <v/>
      </c>
      <c r="AD217" s="2" t="str">
        <f>IF(Source!$C217&gt;=COLUMNS($A217:AD217), Source!$E217, "")</f>
        <v/>
      </c>
      <c r="AE217" s="2" t="str">
        <f>IF(Source!$C217&gt;=COLUMNS($A217:AE217), Source!$E217, "")</f>
        <v/>
      </c>
      <c r="AF217" s="2" t="str">
        <f>IF(Source!$C217&gt;=COLUMNS($A217:AF217), Source!$E217, "")</f>
        <v/>
      </c>
      <c r="AG217" s="2" t="str">
        <f>IF(Source!$C217&gt;=COLUMNS($A217:AG217), Source!$E217, "")</f>
        <v/>
      </c>
      <c r="AH217" s="2" t="str">
        <f>IF(Source!$C217&gt;=COLUMNS($A217:AH217), Source!$E217, "")</f>
        <v/>
      </c>
      <c r="AI217" s="2" t="str">
        <f>IF(Source!$C217&gt;=COLUMNS($A217:AI217), Source!$E217, "")</f>
        <v/>
      </c>
      <c r="AJ217" s="2" t="str">
        <f>IF(Source!$C217&gt;=COLUMNS($A217:AJ217), Source!$E217, "")</f>
        <v/>
      </c>
      <c r="AK217" s="2" t="str">
        <f>IF(Source!$C217&gt;=COLUMNS($A217:AK217), Source!$E217, "")</f>
        <v/>
      </c>
      <c r="AL217" s="2" t="str">
        <f>IF(Source!$C217&gt;=COLUMNS($A217:AL217), Source!$E217, "")</f>
        <v/>
      </c>
      <c r="AM217" s="2" t="str">
        <f>IF(Source!$C217&gt;=COLUMNS($A217:AM217), Source!$E217, "")</f>
        <v/>
      </c>
      <c r="AN217" s="2" t="str">
        <f>IF(Source!$C217&gt;=COLUMNS($A217:AN217), Source!$E217, "")</f>
        <v/>
      </c>
      <c r="AO217" s="2" t="str">
        <f>IF(Source!$C217&gt;=COLUMNS($A217:AO217), Source!$E217, "")</f>
        <v/>
      </c>
      <c r="AP217" s="2" t="str">
        <f>IF(Source!$C217&gt;=COLUMNS($A217:AP217), Source!$E217, "")</f>
        <v/>
      </c>
      <c r="AQ217" s="2" t="str">
        <f>IF(Source!$C217&gt;=COLUMNS($A217:AQ217), Source!$E217, "")</f>
        <v/>
      </c>
      <c r="AR217" s="2" t="str">
        <f>IF(Source!$C217&gt;=COLUMNS($A217:AR217), Source!$E217, "")</f>
        <v/>
      </c>
    </row>
    <row r="218">
      <c r="A218" s="2">
        <f>IF(Source!$C218&gt;=COLUMNS($A218:A218), Source!$E218, "")</f>
        <v>2</v>
      </c>
      <c r="B218" s="2">
        <f>IF(Source!$C218&gt;=COLUMNS($A218:B218), Source!$E218, "")</f>
        <v>2</v>
      </c>
      <c r="C218" s="2">
        <f>IF(Source!$C218&gt;=COLUMNS($A218:C218), Source!$E218, "")</f>
        <v>2</v>
      </c>
      <c r="D218" s="2">
        <f>IF(Source!$C218&gt;=COLUMNS($A218:D218), Source!$E218, "")</f>
        <v>2</v>
      </c>
      <c r="E218" s="2">
        <f>IF(Source!$C218&gt;=COLUMNS($A218:E218), Source!$E218, "")</f>
        <v>2</v>
      </c>
      <c r="F218" s="2">
        <f>IF(Source!$C218&gt;=COLUMNS($A218:F218), Source!$E218, "")</f>
        <v>2</v>
      </c>
      <c r="G218" s="2" t="str">
        <f>IF(Source!$C218&gt;=COLUMNS($A218:G218), Source!$E218, "")</f>
        <v/>
      </c>
      <c r="H218" s="2" t="str">
        <f>IF(Source!$C218&gt;=COLUMNS($A218:H218), Source!$E218, "")</f>
        <v/>
      </c>
      <c r="I218" s="2" t="str">
        <f>IF(Source!$C218&gt;=COLUMNS($A218:I218), Source!$E218, "")</f>
        <v/>
      </c>
      <c r="J218" s="2" t="str">
        <f>IF(Source!$C218&gt;=COLUMNS($A218:J218), Source!$E218, "")</f>
        <v/>
      </c>
      <c r="K218" s="2" t="str">
        <f>IF(Source!$C218&gt;=COLUMNS($A218:K218), Source!$E218, "")</f>
        <v/>
      </c>
      <c r="L218" s="2" t="str">
        <f>IF(Source!$C218&gt;=COLUMNS($A218:L218), Source!$E218, "")</f>
        <v/>
      </c>
      <c r="M218" s="2" t="str">
        <f>IF(Source!$C218&gt;=COLUMNS($A218:M218), Source!$E218, "")</f>
        <v/>
      </c>
      <c r="N218" s="2" t="str">
        <f>IF(Source!$C218&gt;=COLUMNS($A218:N218), Source!$E218, "")</f>
        <v/>
      </c>
      <c r="O218" s="2" t="str">
        <f>IF(Source!$C218&gt;=COLUMNS($A218:O218), Source!$E218, "")</f>
        <v/>
      </c>
      <c r="P218" s="2" t="str">
        <f>IF(Source!$C218&gt;=COLUMNS($A218:P218), Source!$E218, "")</f>
        <v/>
      </c>
      <c r="Q218" s="2" t="str">
        <f>IF(Source!$C218&gt;=COLUMNS($A218:Q218), Source!$E218, "")</f>
        <v/>
      </c>
      <c r="R218" s="2" t="str">
        <f>IF(Source!$C218&gt;=COLUMNS($A218:R218), Source!$E218, "")</f>
        <v/>
      </c>
      <c r="S218" s="2" t="str">
        <f>IF(Source!$C218&gt;=COLUMNS($A218:S218), Source!$E218, "")</f>
        <v/>
      </c>
      <c r="T218" s="2" t="str">
        <f>IF(Source!$C218&gt;=COLUMNS($A218:T218), Source!$E218, "")</f>
        <v/>
      </c>
      <c r="U218" s="2" t="str">
        <f>IF(Source!$C218&gt;=COLUMNS($A218:U218), Source!$E218, "")</f>
        <v/>
      </c>
      <c r="V218" s="2" t="str">
        <f>IF(Source!$C218&gt;=COLUMNS($A218:V218), Source!$E218, "")</f>
        <v/>
      </c>
      <c r="W218" s="2" t="str">
        <f>IF(Source!$C218&gt;=COLUMNS($A218:W218), Source!$E218, "")</f>
        <v/>
      </c>
      <c r="X218" s="2" t="str">
        <f>IF(Source!$C218&gt;=COLUMNS($A218:X218), Source!$E218, "")</f>
        <v/>
      </c>
      <c r="Y218" s="2" t="str">
        <f>IF(Source!$C218&gt;=COLUMNS($A218:Y218), Source!$E218, "")</f>
        <v/>
      </c>
      <c r="Z218" s="2" t="str">
        <f>IF(Source!$C218&gt;=COLUMNS($A218:Z218), Source!$E218, "")</f>
        <v/>
      </c>
      <c r="AA218" s="2" t="str">
        <f>IF(Source!$C218&gt;=COLUMNS($A218:AA218), Source!$E218, "")</f>
        <v/>
      </c>
      <c r="AB218" s="2" t="str">
        <f>IF(Source!$C218&gt;=COLUMNS($A218:AB218), Source!$E218, "")</f>
        <v/>
      </c>
      <c r="AC218" s="2" t="str">
        <f>IF(Source!$C218&gt;=COLUMNS($A218:AC218), Source!$E218, "")</f>
        <v/>
      </c>
      <c r="AD218" s="2" t="str">
        <f>IF(Source!$C218&gt;=COLUMNS($A218:AD218), Source!$E218, "")</f>
        <v/>
      </c>
      <c r="AE218" s="2" t="str">
        <f>IF(Source!$C218&gt;=COLUMNS($A218:AE218), Source!$E218, "")</f>
        <v/>
      </c>
      <c r="AF218" s="2" t="str">
        <f>IF(Source!$C218&gt;=COLUMNS($A218:AF218), Source!$E218, "")</f>
        <v/>
      </c>
      <c r="AG218" s="2" t="str">
        <f>IF(Source!$C218&gt;=COLUMNS($A218:AG218), Source!$E218, "")</f>
        <v/>
      </c>
      <c r="AH218" s="2" t="str">
        <f>IF(Source!$C218&gt;=COLUMNS($A218:AH218), Source!$E218, "")</f>
        <v/>
      </c>
      <c r="AI218" s="2" t="str">
        <f>IF(Source!$C218&gt;=COLUMNS($A218:AI218), Source!$E218, "")</f>
        <v/>
      </c>
      <c r="AJ218" s="2" t="str">
        <f>IF(Source!$C218&gt;=COLUMNS($A218:AJ218), Source!$E218, "")</f>
        <v/>
      </c>
      <c r="AK218" s="2" t="str">
        <f>IF(Source!$C218&gt;=COLUMNS($A218:AK218), Source!$E218, "")</f>
        <v/>
      </c>
      <c r="AL218" s="2" t="str">
        <f>IF(Source!$C218&gt;=COLUMNS($A218:AL218), Source!$E218, "")</f>
        <v/>
      </c>
      <c r="AM218" s="2" t="str">
        <f>IF(Source!$C218&gt;=COLUMNS($A218:AM218), Source!$E218, "")</f>
        <v/>
      </c>
      <c r="AN218" s="2" t="str">
        <f>IF(Source!$C218&gt;=COLUMNS($A218:AN218), Source!$E218, "")</f>
        <v/>
      </c>
      <c r="AO218" s="2" t="str">
        <f>IF(Source!$C218&gt;=COLUMNS($A218:AO218), Source!$E218, "")</f>
        <v/>
      </c>
      <c r="AP218" s="2" t="str">
        <f>IF(Source!$C218&gt;=COLUMNS($A218:AP218), Source!$E218, "")</f>
        <v/>
      </c>
      <c r="AQ218" s="2" t="str">
        <f>IF(Source!$C218&gt;=COLUMNS($A218:AQ218), Source!$E218, "")</f>
        <v/>
      </c>
      <c r="AR218" s="2" t="str">
        <f>IF(Source!$C218&gt;=COLUMNS($A218:AR218), Source!$E218, "")</f>
        <v/>
      </c>
    </row>
    <row r="219">
      <c r="A219" s="2">
        <f>IF(Source!$C219&gt;=COLUMNS($A219:A219), Source!$E219, "")</f>
        <v>2</v>
      </c>
      <c r="B219" s="2">
        <f>IF(Source!$C219&gt;=COLUMNS($A219:B219), Source!$E219, "")</f>
        <v>2</v>
      </c>
      <c r="C219" s="2">
        <f>IF(Source!$C219&gt;=COLUMNS($A219:C219), Source!$E219, "")</f>
        <v>2</v>
      </c>
      <c r="D219" s="2">
        <f>IF(Source!$C219&gt;=COLUMNS($A219:D219), Source!$E219, "")</f>
        <v>2</v>
      </c>
      <c r="E219" s="2">
        <f>IF(Source!$C219&gt;=COLUMNS($A219:E219), Source!$E219, "")</f>
        <v>2</v>
      </c>
      <c r="F219" s="2">
        <f>IF(Source!$C219&gt;=COLUMNS($A219:F219), Source!$E219, "")</f>
        <v>2</v>
      </c>
      <c r="G219" s="2">
        <f>IF(Source!$C219&gt;=COLUMNS($A219:G219), Source!$E219, "")</f>
        <v>2</v>
      </c>
      <c r="H219" s="2">
        <f>IF(Source!$C219&gt;=COLUMNS($A219:H219), Source!$E219, "")</f>
        <v>2</v>
      </c>
      <c r="I219" s="2" t="str">
        <f>IF(Source!$C219&gt;=COLUMNS($A219:I219), Source!$E219, "")</f>
        <v/>
      </c>
      <c r="J219" s="2" t="str">
        <f>IF(Source!$C219&gt;=COLUMNS($A219:J219), Source!$E219, "")</f>
        <v/>
      </c>
      <c r="K219" s="2" t="str">
        <f>IF(Source!$C219&gt;=COLUMNS($A219:K219), Source!$E219, "")</f>
        <v/>
      </c>
      <c r="L219" s="2" t="str">
        <f>IF(Source!$C219&gt;=COLUMNS($A219:L219), Source!$E219, "")</f>
        <v/>
      </c>
      <c r="M219" s="2" t="str">
        <f>IF(Source!$C219&gt;=COLUMNS($A219:M219), Source!$E219, "")</f>
        <v/>
      </c>
      <c r="N219" s="2" t="str">
        <f>IF(Source!$C219&gt;=COLUMNS($A219:N219), Source!$E219, "")</f>
        <v/>
      </c>
      <c r="O219" s="2" t="str">
        <f>IF(Source!$C219&gt;=COLUMNS($A219:O219), Source!$E219, "")</f>
        <v/>
      </c>
      <c r="P219" s="2" t="str">
        <f>IF(Source!$C219&gt;=COLUMNS($A219:P219), Source!$E219, "")</f>
        <v/>
      </c>
      <c r="Q219" s="2" t="str">
        <f>IF(Source!$C219&gt;=COLUMNS($A219:Q219), Source!$E219, "")</f>
        <v/>
      </c>
      <c r="R219" s="2" t="str">
        <f>IF(Source!$C219&gt;=COLUMNS($A219:R219), Source!$E219, "")</f>
        <v/>
      </c>
      <c r="S219" s="2" t="str">
        <f>IF(Source!$C219&gt;=COLUMNS($A219:S219), Source!$E219, "")</f>
        <v/>
      </c>
      <c r="T219" s="2" t="str">
        <f>IF(Source!$C219&gt;=COLUMNS($A219:T219), Source!$E219, "")</f>
        <v/>
      </c>
      <c r="U219" s="2" t="str">
        <f>IF(Source!$C219&gt;=COLUMNS($A219:U219), Source!$E219, "")</f>
        <v/>
      </c>
      <c r="V219" s="2" t="str">
        <f>IF(Source!$C219&gt;=COLUMNS($A219:V219), Source!$E219, "")</f>
        <v/>
      </c>
      <c r="W219" s="2" t="str">
        <f>IF(Source!$C219&gt;=COLUMNS($A219:W219), Source!$E219, "")</f>
        <v/>
      </c>
      <c r="X219" s="2" t="str">
        <f>IF(Source!$C219&gt;=COLUMNS($A219:X219), Source!$E219, "")</f>
        <v/>
      </c>
      <c r="Y219" s="2" t="str">
        <f>IF(Source!$C219&gt;=COLUMNS($A219:Y219), Source!$E219, "")</f>
        <v/>
      </c>
      <c r="Z219" s="2" t="str">
        <f>IF(Source!$C219&gt;=COLUMNS($A219:Z219), Source!$E219, "")</f>
        <v/>
      </c>
      <c r="AA219" s="2" t="str">
        <f>IF(Source!$C219&gt;=COLUMNS($A219:AA219), Source!$E219, "")</f>
        <v/>
      </c>
      <c r="AB219" s="2" t="str">
        <f>IF(Source!$C219&gt;=COLUMNS($A219:AB219), Source!$E219, "")</f>
        <v/>
      </c>
      <c r="AC219" s="2" t="str">
        <f>IF(Source!$C219&gt;=COLUMNS($A219:AC219), Source!$E219, "")</f>
        <v/>
      </c>
      <c r="AD219" s="2" t="str">
        <f>IF(Source!$C219&gt;=COLUMNS($A219:AD219), Source!$E219, "")</f>
        <v/>
      </c>
      <c r="AE219" s="2" t="str">
        <f>IF(Source!$C219&gt;=COLUMNS($A219:AE219), Source!$E219, "")</f>
        <v/>
      </c>
      <c r="AF219" s="2" t="str">
        <f>IF(Source!$C219&gt;=COLUMNS($A219:AF219), Source!$E219, "")</f>
        <v/>
      </c>
      <c r="AG219" s="2" t="str">
        <f>IF(Source!$C219&gt;=COLUMNS($A219:AG219), Source!$E219, "")</f>
        <v/>
      </c>
      <c r="AH219" s="2" t="str">
        <f>IF(Source!$C219&gt;=COLUMNS($A219:AH219), Source!$E219, "")</f>
        <v/>
      </c>
      <c r="AI219" s="2" t="str">
        <f>IF(Source!$C219&gt;=COLUMNS($A219:AI219), Source!$E219, "")</f>
        <v/>
      </c>
      <c r="AJ219" s="2" t="str">
        <f>IF(Source!$C219&gt;=COLUMNS($A219:AJ219), Source!$E219, "")</f>
        <v/>
      </c>
      <c r="AK219" s="2" t="str">
        <f>IF(Source!$C219&gt;=COLUMNS($A219:AK219), Source!$E219, "")</f>
        <v/>
      </c>
      <c r="AL219" s="2" t="str">
        <f>IF(Source!$C219&gt;=COLUMNS($A219:AL219), Source!$E219, "")</f>
        <v/>
      </c>
      <c r="AM219" s="2" t="str">
        <f>IF(Source!$C219&gt;=COLUMNS($A219:AM219), Source!$E219, "")</f>
        <v/>
      </c>
      <c r="AN219" s="2" t="str">
        <f>IF(Source!$C219&gt;=COLUMNS($A219:AN219), Source!$E219, "")</f>
        <v/>
      </c>
      <c r="AO219" s="2" t="str">
        <f>IF(Source!$C219&gt;=COLUMNS($A219:AO219), Source!$E219, "")</f>
        <v/>
      </c>
      <c r="AP219" s="2" t="str">
        <f>IF(Source!$C219&gt;=COLUMNS($A219:AP219), Source!$E219, "")</f>
        <v/>
      </c>
      <c r="AQ219" s="2" t="str">
        <f>IF(Source!$C219&gt;=COLUMNS($A219:AQ219), Source!$E219, "")</f>
        <v/>
      </c>
      <c r="AR219" s="2" t="str">
        <f>IF(Source!$C219&gt;=COLUMNS($A219:AR219), Source!$E219, "")</f>
        <v/>
      </c>
    </row>
    <row r="220">
      <c r="A220" s="2">
        <f>IF(Source!$C220&gt;=COLUMNS($A220:A220), Source!$E220, "")</f>
        <v>8</v>
      </c>
      <c r="B220" s="2">
        <f>IF(Source!$C220&gt;=COLUMNS($A220:B220), Source!$E220, "")</f>
        <v>8</v>
      </c>
      <c r="C220" s="2" t="str">
        <f>IF(Source!$C220&gt;=COLUMNS($A220:C220), Source!$E220, "")</f>
        <v/>
      </c>
      <c r="D220" s="2" t="str">
        <f>IF(Source!$C220&gt;=COLUMNS($A220:D220), Source!$E220, "")</f>
        <v/>
      </c>
      <c r="E220" s="2" t="str">
        <f>IF(Source!$C220&gt;=COLUMNS($A220:E220), Source!$E220, "")</f>
        <v/>
      </c>
      <c r="F220" s="2" t="str">
        <f>IF(Source!$C220&gt;=COLUMNS($A220:F220), Source!$E220, "")</f>
        <v/>
      </c>
      <c r="G220" s="2" t="str">
        <f>IF(Source!$C220&gt;=COLUMNS($A220:G220), Source!$E220, "")</f>
        <v/>
      </c>
      <c r="H220" s="2" t="str">
        <f>IF(Source!$C220&gt;=COLUMNS($A220:H220), Source!$E220, "")</f>
        <v/>
      </c>
      <c r="I220" s="2" t="str">
        <f>IF(Source!$C220&gt;=COLUMNS($A220:I220), Source!$E220, "")</f>
        <v/>
      </c>
      <c r="J220" s="2" t="str">
        <f>IF(Source!$C220&gt;=COLUMNS($A220:J220), Source!$E220, "")</f>
        <v/>
      </c>
      <c r="K220" s="2" t="str">
        <f>IF(Source!$C220&gt;=COLUMNS($A220:K220), Source!$E220, "")</f>
        <v/>
      </c>
      <c r="L220" s="2" t="str">
        <f>IF(Source!$C220&gt;=COLUMNS($A220:L220), Source!$E220, "")</f>
        <v/>
      </c>
      <c r="M220" s="2" t="str">
        <f>IF(Source!$C220&gt;=COLUMNS($A220:M220), Source!$E220, "")</f>
        <v/>
      </c>
      <c r="N220" s="2" t="str">
        <f>IF(Source!$C220&gt;=COLUMNS($A220:N220), Source!$E220, "")</f>
        <v/>
      </c>
      <c r="O220" s="2" t="str">
        <f>IF(Source!$C220&gt;=COLUMNS($A220:O220), Source!$E220, "")</f>
        <v/>
      </c>
      <c r="P220" s="2" t="str">
        <f>IF(Source!$C220&gt;=COLUMNS($A220:P220), Source!$E220, "")</f>
        <v/>
      </c>
      <c r="Q220" s="2" t="str">
        <f>IF(Source!$C220&gt;=COLUMNS($A220:Q220), Source!$E220, "")</f>
        <v/>
      </c>
      <c r="R220" s="2" t="str">
        <f>IF(Source!$C220&gt;=COLUMNS($A220:R220), Source!$E220, "")</f>
        <v/>
      </c>
      <c r="S220" s="2" t="str">
        <f>IF(Source!$C220&gt;=COLUMNS($A220:S220), Source!$E220, "")</f>
        <v/>
      </c>
      <c r="T220" s="2" t="str">
        <f>IF(Source!$C220&gt;=COLUMNS($A220:T220), Source!$E220, "")</f>
        <v/>
      </c>
      <c r="U220" s="2" t="str">
        <f>IF(Source!$C220&gt;=COLUMNS($A220:U220), Source!$E220, "")</f>
        <v/>
      </c>
      <c r="V220" s="2" t="str">
        <f>IF(Source!$C220&gt;=COLUMNS($A220:V220), Source!$E220, "")</f>
        <v/>
      </c>
      <c r="W220" s="2" t="str">
        <f>IF(Source!$C220&gt;=COLUMNS($A220:W220), Source!$E220, "")</f>
        <v/>
      </c>
      <c r="X220" s="2" t="str">
        <f>IF(Source!$C220&gt;=COLUMNS($A220:X220), Source!$E220, "")</f>
        <v/>
      </c>
      <c r="Y220" s="2" t="str">
        <f>IF(Source!$C220&gt;=COLUMNS($A220:Y220), Source!$E220, "")</f>
        <v/>
      </c>
      <c r="Z220" s="2" t="str">
        <f>IF(Source!$C220&gt;=COLUMNS($A220:Z220), Source!$E220, "")</f>
        <v/>
      </c>
      <c r="AA220" s="2" t="str">
        <f>IF(Source!$C220&gt;=COLUMNS($A220:AA220), Source!$E220, "")</f>
        <v/>
      </c>
      <c r="AB220" s="2" t="str">
        <f>IF(Source!$C220&gt;=COLUMNS($A220:AB220), Source!$E220, "")</f>
        <v/>
      </c>
      <c r="AC220" s="2" t="str">
        <f>IF(Source!$C220&gt;=COLUMNS($A220:AC220), Source!$E220, "")</f>
        <v/>
      </c>
      <c r="AD220" s="2" t="str">
        <f>IF(Source!$C220&gt;=COLUMNS($A220:AD220), Source!$E220, "")</f>
        <v/>
      </c>
      <c r="AE220" s="2" t="str">
        <f>IF(Source!$C220&gt;=COLUMNS($A220:AE220), Source!$E220, "")</f>
        <v/>
      </c>
      <c r="AF220" s="2" t="str">
        <f>IF(Source!$C220&gt;=COLUMNS($A220:AF220), Source!$E220, "")</f>
        <v/>
      </c>
      <c r="AG220" s="2" t="str">
        <f>IF(Source!$C220&gt;=COLUMNS($A220:AG220), Source!$E220, "")</f>
        <v/>
      </c>
      <c r="AH220" s="2" t="str">
        <f>IF(Source!$C220&gt;=COLUMNS($A220:AH220), Source!$E220, "")</f>
        <v/>
      </c>
      <c r="AI220" s="2" t="str">
        <f>IF(Source!$C220&gt;=COLUMNS($A220:AI220), Source!$E220, "")</f>
        <v/>
      </c>
      <c r="AJ220" s="2" t="str">
        <f>IF(Source!$C220&gt;=COLUMNS($A220:AJ220), Source!$E220, "")</f>
        <v/>
      </c>
      <c r="AK220" s="2" t="str">
        <f>IF(Source!$C220&gt;=COLUMNS($A220:AK220), Source!$E220, "")</f>
        <v/>
      </c>
      <c r="AL220" s="2" t="str">
        <f>IF(Source!$C220&gt;=COLUMNS($A220:AL220), Source!$E220, "")</f>
        <v/>
      </c>
      <c r="AM220" s="2" t="str">
        <f>IF(Source!$C220&gt;=COLUMNS($A220:AM220), Source!$E220, "")</f>
        <v/>
      </c>
      <c r="AN220" s="2" t="str">
        <f>IF(Source!$C220&gt;=COLUMNS($A220:AN220), Source!$E220, "")</f>
        <v/>
      </c>
      <c r="AO220" s="2" t="str">
        <f>IF(Source!$C220&gt;=COLUMNS($A220:AO220), Source!$E220, "")</f>
        <v/>
      </c>
      <c r="AP220" s="2" t="str">
        <f>IF(Source!$C220&gt;=COLUMNS($A220:AP220), Source!$E220, "")</f>
        <v/>
      </c>
      <c r="AQ220" s="2" t="str">
        <f>IF(Source!$C220&gt;=COLUMNS($A220:AQ220), Source!$E220, "")</f>
        <v/>
      </c>
      <c r="AR220" s="2" t="str">
        <f>IF(Source!$C220&gt;=COLUMNS($A220:AR220), Source!$E220, "")</f>
        <v/>
      </c>
    </row>
    <row r="221">
      <c r="A221" s="2">
        <f>IF(Source!$C221&gt;=COLUMNS($A221:A221), Source!$E221, "")</f>
        <v>9</v>
      </c>
      <c r="B221" s="2">
        <f>IF(Source!$C221&gt;=COLUMNS($A221:B221), Source!$E221, "")</f>
        <v>9</v>
      </c>
      <c r="C221" s="2" t="str">
        <f>IF(Source!$C221&gt;=COLUMNS($A221:C221), Source!$E221, "")</f>
        <v/>
      </c>
      <c r="D221" s="2" t="str">
        <f>IF(Source!$C221&gt;=COLUMNS($A221:D221), Source!$E221, "")</f>
        <v/>
      </c>
      <c r="E221" s="2" t="str">
        <f>IF(Source!$C221&gt;=COLUMNS($A221:E221), Source!$E221, "")</f>
        <v/>
      </c>
      <c r="F221" s="2" t="str">
        <f>IF(Source!$C221&gt;=COLUMNS($A221:F221), Source!$E221, "")</f>
        <v/>
      </c>
      <c r="G221" s="2" t="str">
        <f>IF(Source!$C221&gt;=COLUMNS($A221:G221), Source!$E221, "")</f>
        <v/>
      </c>
      <c r="H221" s="2" t="str">
        <f>IF(Source!$C221&gt;=COLUMNS($A221:H221), Source!$E221, "")</f>
        <v/>
      </c>
      <c r="I221" s="2" t="str">
        <f>IF(Source!$C221&gt;=COLUMNS($A221:I221), Source!$E221, "")</f>
        <v/>
      </c>
      <c r="J221" s="2" t="str">
        <f>IF(Source!$C221&gt;=COLUMNS($A221:J221), Source!$E221, "")</f>
        <v/>
      </c>
      <c r="K221" s="2" t="str">
        <f>IF(Source!$C221&gt;=COLUMNS($A221:K221), Source!$E221, "")</f>
        <v/>
      </c>
      <c r="L221" s="2" t="str">
        <f>IF(Source!$C221&gt;=COLUMNS($A221:L221), Source!$E221, "")</f>
        <v/>
      </c>
      <c r="M221" s="2" t="str">
        <f>IF(Source!$C221&gt;=COLUMNS($A221:M221), Source!$E221, "")</f>
        <v/>
      </c>
      <c r="N221" s="2" t="str">
        <f>IF(Source!$C221&gt;=COLUMNS($A221:N221), Source!$E221, "")</f>
        <v/>
      </c>
      <c r="O221" s="2" t="str">
        <f>IF(Source!$C221&gt;=COLUMNS($A221:O221), Source!$E221, "")</f>
        <v/>
      </c>
      <c r="P221" s="2" t="str">
        <f>IF(Source!$C221&gt;=COLUMNS($A221:P221), Source!$E221, "")</f>
        <v/>
      </c>
      <c r="Q221" s="2" t="str">
        <f>IF(Source!$C221&gt;=COLUMNS($A221:Q221), Source!$E221, "")</f>
        <v/>
      </c>
      <c r="R221" s="2" t="str">
        <f>IF(Source!$C221&gt;=COLUMNS($A221:R221), Source!$E221, "")</f>
        <v/>
      </c>
      <c r="S221" s="2" t="str">
        <f>IF(Source!$C221&gt;=COLUMNS($A221:S221), Source!$E221, "")</f>
        <v/>
      </c>
      <c r="T221" s="2" t="str">
        <f>IF(Source!$C221&gt;=COLUMNS($A221:T221), Source!$E221, "")</f>
        <v/>
      </c>
      <c r="U221" s="2" t="str">
        <f>IF(Source!$C221&gt;=COLUMNS($A221:U221), Source!$E221, "")</f>
        <v/>
      </c>
      <c r="V221" s="2" t="str">
        <f>IF(Source!$C221&gt;=COLUMNS($A221:V221), Source!$E221, "")</f>
        <v/>
      </c>
      <c r="W221" s="2" t="str">
        <f>IF(Source!$C221&gt;=COLUMNS($A221:W221), Source!$E221, "")</f>
        <v/>
      </c>
      <c r="X221" s="2" t="str">
        <f>IF(Source!$C221&gt;=COLUMNS($A221:X221), Source!$E221, "")</f>
        <v/>
      </c>
      <c r="Y221" s="2" t="str">
        <f>IF(Source!$C221&gt;=COLUMNS($A221:Y221), Source!$E221, "")</f>
        <v/>
      </c>
      <c r="Z221" s="2" t="str">
        <f>IF(Source!$C221&gt;=COLUMNS($A221:Z221), Source!$E221, "")</f>
        <v/>
      </c>
      <c r="AA221" s="2" t="str">
        <f>IF(Source!$C221&gt;=COLUMNS($A221:AA221), Source!$E221, "")</f>
        <v/>
      </c>
      <c r="AB221" s="2" t="str">
        <f>IF(Source!$C221&gt;=COLUMNS($A221:AB221), Source!$E221, "")</f>
        <v/>
      </c>
      <c r="AC221" s="2" t="str">
        <f>IF(Source!$C221&gt;=COLUMNS($A221:AC221), Source!$E221, "")</f>
        <v/>
      </c>
      <c r="AD221" s="2" t="str">
        <f>IF(Source!$C221&gt;=COLUMNS($A221:AD221), Source!$E221, "")</f>
        <v/>
      </c>
      <c r="AE221" s="2" t="str">
        <f>IF(Source!$C221&gt;=COLUMNS($A221:AE221), Source!$E221, "")</f>
        <v/>
      </c>
      <c r="AF221" s="2" t="str">
        <f>IF(Source!$C221&gt;=COLUMNS($A221:AF221), Source!$E221, "")</f>
        <v/>
      </c>
      <c r="AG221" s="2" t="str">
        <f>IF(Source!$C221&gt;=COLUMNS($A221:AG221), Source!$E221, "")</f>
        <v/>
      </c>
      <c r="AH221" s="2" t="str">
        <f>IF(Source!$C221&gt;=COLUMNS($A221:AH221), Source!$E221, "")</f>
        <v/>
      </c>
      <c r="AI221" s="2" t="str">
        <f>IF(Source!$C221&gt;=COLUMNS($A221:AI221), Source!$E221, "")</f>
        <v/>
      </c>
      <c r="AJ221" s="2" t="str">
        <f>IF(Source!$C221&gt;=COLUMNS($A221:AJ221), Source!$E221, "")</f>
        <v/>
      </c>
      <c r="AK221" s="2" t="str">
        <f>IF(Source!$C221&gt;=COLUMNS($A221:AK221), Source!$E221, "")</f>
        <v/>
      </c>
      <c r="AL221" s="2" t="str">
        <f>IF(Source!$C221&gt;=COLUMNS($A221:AL221), Source!$E221, "")</f>
        <v/>
      </c>
      <c r="AM221" s="2" t="str">
        <f>IF(Source!$C221&gt;=COLUMNS($A221:AM221), Source!$E221, "")</f>
        <v/>
      </c>
      <c r="AN221" s="2" t="str">
        <f>IF(Source!$C221&gt;=COLUMNS($A221:AN221), Source!$E221, "")</f>
        <v/>
      </c>
      <c r="AO221" s="2" t="str">
        <f>IF(Source!$C221&gt;=COLUMNS($A221:AO221), Source!$E221, "")</f>
        <v/>
      </c>
      <c r="AP221" s="2" t="str">
        <f>IF(Source!$C221&gt;=COLUMNS($A221:AP221), Source!$E221, "")</f>
        <v/>
      </c>
      <c r="AQ221" s="2" t="str">
        <f>IF(Source!$C221&gt;=COLUMNS($A221:AQ221), Source!$E221, "")</f>
        <v/>
      </c>
      <c r="AR221" s="2" t="str">
        <f>IF(Source!$C221&gt;=COLUMNS($A221:AR221), Source!$E221, "")</f>
        <v/>
      </c>
    </row>
    <row r="222">
      <c r="A222" s="2">
        <f>IF(Source!$C222&gt;=COLUMNS($A222:A222), Source!$E222, "")</f>
        <v>4</v>
      </c>
      <c r="B222" s="2">
        <f>IF(Source!$C222&gt;=COLUMNS($A222:B222), Source!$E222, "")</f>
        <v>4</v>
      </c>
      <c r="C222" s="2">
        <f>IF(Source!$C222&gt;=COLUMNS($A222:C222), Source!$E222, "")</f>
        <v>4</v>
      </c>
      <c r="D222" s="2">
        <f>IF(Source!$C222&gt;=COLUMNS($A222:D222), Source!$E222, "")</f>
        <v>4</v>
      </c>
      <c r="E222" s="2" t="str">
        <f>IF(Source!$C222&gt;=COLUMNS($A222:E222), Source!$E222, "")</f>
        <v/>
      </c>
      <c r="F222" s="2" t="str">
        <f>IF(Source!$C222&gt;=COLUMNS($A222:F222), Source!$E222, "")</f>
        <v/>
      </c>
      <c r="G222" s="2" t="str">
        <f>IF(Source!$C222&gt;=COLUMNS($A222:G222), Source!$E222, "")</f>
        <v/>
      </c>
      <c r="H222" s="2" t="str">
        <f>IF(Source!$C222&gt;=COLUMNS($A222:H222), Source!$E222, "")</f>
        <v/>
      </c>
      <c r="I222" s="2" t="str">
        <f>IF(Source!$C222&gt;=COLUMNS($A222:I222), Source!$E222, "")</f>
        <v/>
      </c>
      <c r="J222" s="2" t="str">
        <f>IF(Source!$C222&gt;=COLUMNS($A222:J222), Source!$E222, "")</f>
        <v/>
      </c>
      <c r="K222" s="2" t="str">
        <f>IF(Source!$C222&gt;=COLUMNS($A222:K222), Source!$E222, "")</f>
        <v/>
      </c>
      <c r="L222" s="2" t="str">
        <f>IF(Source!$C222&gt;=COLUMNS($A222:L222), Source!$E222, "")</f>
        <v/>
      </c>
      <c r="M222" s="2" t="str">
        <f>IF(Source!$C222&gt;=COLUMNS($A222:M222), Source!$E222, "")</f>
        <v/>
      </c>
      <c r="N222" s="2" t="str">
        <f>IF(Source!$C222&gt;=COLUMNS($A222:N222), Source!$E222, "")</f>
        <v/>
      </c>
      <c r="O222" s="2" t="str">
        <f>IF(Source!$C222&gt;=COLUMNS($A222:O222), Source!$E222, "")</f>
        <v/>
      </c>
      <c r="P222" s="2" t="str">
        <f>IF(Source!$C222&gt;=COLUMNS($A222:P222), Source!$E222, "")</f>
        <v/>
      </c>
      <c r="Q222" s="2" t="str">
        <f>IF(Source!$C222&gt;=COLUMNS($A222:Q222), Source!$E222, "")</f>
        <v/>
      </c>
      <c r="R222" s="2" t="str">
        <f>IF(Source!$C222&gt;=COLUMNS($A222:R222), Source!$E222, "")</f>
        <v/>
      </c>
      <c r="S222" s="2" t="str">
        <f>IF(Source!$C222&gt;=COLUMNS($A222:S222), Source!$E222, "")</f>
        <v/>
      </c>
      <c r="T222" s="2" t="str">
        <f>IF(Source!$C222&gt;=COLUMNS($A222:T222), Source!$E222, "")</f>
        <v/>
      </c>
      <c r="U222" s="2" t="str">
        <f>IF(Source!$C222&gt;=COLUMNS($A222:U222), Source!$E222, "")</f>
        <v/>
      </c>
      <c r="V222" s="2" t="str">
        <f>IF(Source!$C222&gt;=COLUMNS($A222:V222), Source!$E222, "")</f>
        <v/>
      </c>
      <c r="W222" s="2" t="str">
        <f>IF(Source!$C222&gt;=COLUMNS($A222:W222), Source!$E222, "")</f>
        <v/>
      </c>
      <c r="X222" s="2" t="str">
        <f>IF(Source!$C222&gt;=COLUMNS($A222:X222), Source!$E222, "")</f>
        <v/>
      </c>
      <c r="Y222" s="2" t="str">
        <f>IF(Source!$C222&gt;=COLUMNS($A222:Y222), Source!$E222, "")</f>
        <v/>
      </c>
      <c r="Z222" s="2" t="str">
        <f>IF(Source!$C222&gt;=COLUMNS($A222:Z222), Source!$E222, "")</f>
        <v/>
      </c>
      <c r="AA222" s="2" t="str">
        <f>IF(Source!$C222&gt;=COLUMNS($A222:AA222), Source!$E222, "")</f>
        <v/>
      </c>
      <c r="AB222" s="2" t="str">
        <f>IF(Source!$C222&gt;=COLUMNS($A222:AB222), Source!$E222, "")</f>
        <v/>
      </c>
      <c r="AC222" s="2" t="str">
        <f>IF(Source!$C222&gt;=COLUMNS($A222:AC222), Source!$E222, "")</f>
        <v/>
      </c>
      <c r="AD222" s="2" t="str">
        <f>IF(Source!$C222&gt;=COLUMNS($A222:AD222), Source!$E222, "")</f>
        <v/>
      </c>
      <c r="AE222" s="2" t="str">
        <f>IF(Source!$C222&gt;=COLUMNS($A222:AE222), Source!$E222, "")</f>
        <v/>
      </c>
      <c r="AF222" s="2" t="str">
        <f>IF(Source!$C222&gt;=COLUMNS($A222:AF222), Source!$E222, "")</f>
        <v/>
      </c>
      <c r="AG222" s="2" t="str">
        <f>IF(Source!$C222&gt;=COLUMNS($A222:AG222), Source!$E222, "")</f>
        <v/>
      </c>
      <c r="AH222" s="2" t="str">
        <f>IF(Source!$C222&gt;=COLUMNS($A222:AH222), Source!$E222, "")</f>
        <v/>
      </c>
      <c r="AI222" s="2" t="str">
        <f>IF(Source!$C222&gt;=COLUMNS($A222:AI222), Source!$E222, "")</f>
        <v/>
      </c>
      <c r="AJ222" s="2" t="str">
        <f>IF(Source!$C222&gt;=COLUMNS($A222:AJ222), Source!$E222, "")</f>
        <v/>
      </c>
      <c r="AK222" s="2" t="str">
        <f>IF(Source!$C222&gt;=COLUMNS($A222:AK222), Source!$E222, "")</f>
        <v/>
      </c>
      <c r="AL222" s="2" t="str">
        <f>IF(Source!$C222&gt;=COLUMNS($A222:AL222), Source!$E222, "")</f>
        <v/>
      </c>
      <c r="AM222" s="2" t="str">
        <f>IF(Source!$C222&gt;=COLUMNS($A222:AM222), Source!$E222, "")</f>
        <v/>
      </c>
      <c r="AN222" s="2" t="str">
        <f>IF(Source!$C222&gt;=COLUMNS($A222:AN222), Source!$E222, "")</f>
        <v/>
      </c>
      <c r="AO222" s="2" t="str">
        <f>IF(Source!$C222&gt;=COLUMNS($A222:AO222), Source!$E222, "")</f>
        <v/>
      </c>
      <c r="AP222" s="2" t="str">
        <f>IF(Source!$C222&gt;=COLUMNS($A222:AP222), Source!$E222, "")</f>
        <v/>
      </c>
      <c r="AQ222" s="2" t="str">
        <f>IF(Source!$C222&gt;=COLUMNS($A222:AQ222), Source!$E222, "")</f>
        <v/>
      </c>
      <c r="AR222" s="2" t="str">
        <f>IF(Source!$C222&gt;=COLUMNS($A222:AR222), Source!$E222, "")</f>
        <v/>
      </c>
    </row>
    <row r="223">
      <c r="A223" s="2">
        <f>IF(Source!$C223&gt;=COLUMNS($A223:A223), Source!$E223, "")</f>
        <v>5</v>
      </c>
      <c r="B223" s="2">
        <f>IF(Source!$C223&gt;=COLUMNS($A223:B223), Source!$E223, "")</f>
        <v>5</v>
      </c>
      <c r="C223" s="2" t="str">
        <f>IF(Source!$C223&gt;=COLUMNS($A223:C223), Source!$E223, "")</f>
        <v/>
      </c>
      <c r="D223" s="2" t="str">
        <f>IF(Source!$C223&gt;=COLUMNS($A223:D223), Source!$E223, "")</f>
        <v/>
      </c>
      <c r="E223" s="2" t="str">
        <f>IF(Source!$C223&gt;=COLUMNS($A223:E223), Source!$E223, "")</f>
        <v/>
      </c>
      <c r="F223" s="2" t="str">
        <f>IF(Source!$C223&gt;=COLUMNS($A223:F223), Source!$E223, "")</f>
        <v/>
      </c>
      <c r="G223" s="2" t="str">
        <f>IF(Source!$C223&gt;=COLUMNS($A223:G223), Source!$E223, "")</f>
        <v/>
      </c>
      <c r="H223" s="2" t="str">
        <f>IF(Source!$C223&gt;=COLUMNS($A223:H223), Source!$E223, "")</f>
        <v/>
      </c>
      <c r="I223" s="2" t="str">
        <f>IF(Source!$C223&gt;=COLUMNS($A223:I223), Source!$E223, "")</f>
        <v/>
      </c>
      <c r="J223" s="2" t="str">
        <f>IF(Source!$C223&gt;=COLUMNS($A223:J223), Source!$E223, "")</f>
        <v/>
      </c>
      <c r="K223" s="2" t="str">
        <f>IF(Source!$C223&gt;=COLUMNS($A223:K223), Source!$E223, "")</f>
        <v/>
      </c>
      <c r="L223" s="2" t="str">
        <f>IF(Source!$C223&gt;=COLUMNS($A223:L223), Source!$E223, "")</f>
        <v/>
      </c>
      <c r="M223" s="2" t="str">
        <f>IF(Source!$C223&gt;=COLUMNS($A223:M223), Source!$E223, "")</f>
        <v/>
      </c>
      <c r="N223" s="2" t="str">
        <f>IF(Source!$C223&gt;=COLUMNS($A223:N223), Source!$E223, "")</f>
        <v/>
      </c>
      <c r="O223" s="2" t="str">
        <f>IF(Source!$C223&gt;=COLUMNS($A223:O223), Source!$E223, "")</f>
        <v/>
      </c>
      <c r="P223" s="2" t="str">
        <f>IF(Source!$C223&gt;=COLUMNS($A223:P223), Source!$E223, "")</f>
        <v/>
      </c>
      <c r="Q223" s="2" t="str">
        <f>IF(Source!$C223&gt;=COLUMNS($A223:Q223), Source!$E223, "")</f>
        <v/>
      </c>
      <c r="R223" s="2" t="str">
        <f>IF(Source!$C223&gt;=COLUMNS($A223:R223), Source!$E223, "")</f>
        <v/>
      </c>
      <c r="S223" s="2" t="str">
        <f>IF(Source!$C223&gt;=COLUMNS($A223:S223), Source!$E223, "")</f>
        <v/>
      </c>
      <c r="T223" s="2" t="str">
        <f>IF(Source!$C223&gt;=COLUMNS($A223:T223), Source!$E223, "")</f>
        <v/>
      </c>
      <c r="U223" s="2" t="str">
        <f>IF(Source!$C223&gt;=COLUMNS($A223:U223), Source!$E223, "")</f>
        <v/>
      </c>
      <c r="V223" s="2" t="str">
        <f>IF(Source!$C223&gt;=COLUMNS($A223:V223), Source!$E223, "")</f>
        <v/>
      </c>
      <c r="W223" s="2" t="str">
        <f>IF(Source!$C223&gt;=COLUMNS($A223:W223), Source!$E223, "")</f>
        <v/>
      </c>
      <c r="X223" s="2" t="str">
        <f>IF(Source!$C223&gt;=COLUMNS($A223:X223), Source!$E223, "")</f>
        <v/>
      </c>
      <c r="Y223" s="2" t="str">
        <f>IF(Source!$C223&gt;=COLUMNS($A223:Y223), Source!$E223, "")</f>
        <v/>
      </c>
      <c r="Z223" s="2" t="str">
        <f>IF(Source!$C223&gt;=COLUMNS($A223:Z223), Source!$E223, "")</f>
        <v/>
      </c>
      <c r="AA223" s="2" t="str">
        <f>IF(Source!$C223&gt;=COLUMNS($A223:AA223), Source!$E223, "")</f>
        <v/>
      </c>
      <c r="AB223" s="2" t="str">
        <f>IF(Source!$C223&gt;=COLUMNS($A223:AB223), Source!$E223, "")</f>
        <v/>
      </c>
      <c r="AC223" s="2" t="str">
        <f>IF(Source!$C223&gt;=COLUMNS($A223:AC223), Source!$E223, "")</f>
        <v/>
      </c>
      <c r="AD223" s="2" t="str">
        <f>IF(Source!$C223&gt;=COLUMNS($A223:AD223), Source!$E223, "")</f>
        <v/>
      </c>
      <c r="AE223" s="2" t="str">
        <f>IF(Source!$C223&gt;=COLUMNS($A223:AE223), Source!$E223, "")</f>
        <v/>
      </c>
      <c r="AF223" s="2" t="str">
        <f>IF(Source!$C223&gt;=COLUMNS($A223:AF223), Source!$E223, "")</f>
        <v/>
      </c>
      <c r="AG223" s="2" t="str">
        <f>IF(Source!$C223&gt;=COLUMNS($A223:AG223), Source!$E223, "")</f>
        <v/>
      </c>
      <c r="AH223" s="2" t="str">
        <f>IF(Source!$C223&gt;=COLUMNS($A223:AH223), Source!$E223, "")</f>
        <v/>
      </c>
      <c r="AI223" s="2" t="str">
        <f>IF(Source!$C223&gt;=COLUMNS($A223:AI223), Source!$E223, "")</f>
        <v/>
      </c>
      <c r="AJ223" s="2" t="str">
        <f>IF(Source!$C223&gt;=COLUMNS($A223:AJ223), Source!$E223, "")</f>
        <v/>
      </c>
      <c r="AK223" s="2" t="str">
        <f>IF(Source!$C223&gt;=COLUMNS($A223:AK223), Source!$E223, "")</f>
        <v/>
      </c>
      <c r="AL223" s="2" t="str">
        <f>IF(Source!$C223&gt;=COLUMNS($A223:AL223), Source!$E223, "")</f>
        <v/>
      </c>
      <c r="AM223" s="2" t="str">
        <f>IF(Source!$C223&gt;=COLUMNS($A223:AM223), Source!$E223, "")</f>
        <v/>
      </c>
      <c r="AN223" s="2" t="str">
        <f>IF(Source!$C223&gt;=COLUMNS($A223:AN223), Source!$E223, "")</f>
        <v/>
      </c>
      <c r="AO223" s="2" t="str">
        <f>IF(Source!$C223&gt;=COLUMNS($A223:AO223), Source!$E223, "")</f>
        <v/>
      </c>
      <c r="AP223" s="2" t="str">
        <f>IF(Source!$C223&gt;=COLUMNS($A223:AP223), Source!$E223, "")</f>
        <v/>
      </c>
      <c r="AQ223" s="2" t="str">
        <f>IF(Source!$C223&gt;=COLUMNS($A223:AQ223), Source!$E223, "")</f>
        <v/>
      </c>
      <c r="AR223" s="2" t="str">
        <f>IF(Source!$C223&gt;=COLUMNS($A223:AR223), Source!$E223, "")</f>
        <v/>
      </c>
    </row>
    <row r="224">
      <c r="A224" s="2">
        <f>IF(Source!$C224&gt;=COLUMNS($A224:A224), Source!$E224, "")</f>
        <v>8</v>
      </c>
      <c r="B224" s="2">
        <f>IF(Source!$C224&gt;=COLUMNS($A224:B224), Source!$E224, "")</f>
        <v>8</v>
      </c>
      <c r="C224" s="2" t="str">
        <f>IF(Source!$C224&gt;=COLUMNS($A224:C224), Source!$E224, "")</f>
        <v/>
      </c>
      <c r="D224" s="2" t="str">
        <f>IF(Source!$C224&gt;=COLUMNS($A224:D224), Source!$E224, "")</f>
        <v/>
      </c>
      <c r="E224" s="2" t="str">
        <f>IF(Source!$C224&gt;=COLUMNS($A224:E224), Source!$E224, "")</f>
        <v/>
      </c>
      <c r="F224" s="2" t="str">
        <f>IF(Source!$C224&gt;=COLUMNS($A224:F224), Source!$E224, "")</f>
        <v/>
      </c>
      <c r="G224" s="2" t="str">
        <f>IF(Source!$C224&gt;=COLUMNS($A224:G224), Source!$E224, "")</f>
        <v/>
      </c>
      <c r="H224" s="2" t="str">
        <f>IF(Source!$C224&gt;=COLUMNS($A224:H224), Source!$E224, "")</f>
        <v/>
      </c>
      <c r="I224" s="2" t="str">
        <f>IF(Source!$C224&gt;=COLUMNS($A224:I224), Source!$E224, "")</f>
        <v/>
      </c>
      <c r="J224" s="2" t="str">
        <f>IF(Source!$C224&gt;=COLUMNS($A224:J224), Source!$E224, "")</f>
        <v/>
      </c>
      <c r="K224" s="2" t="str">
        <f>IF(Source!$C224&gt;=COLUMNS($A224:K224), Source!$E224, "")</f>
        <v/>
      </c>
      <c r="L224" s="2" t="str">
        <f>IF(Source!$C224&gt;=COLUMNS($A224:L224), Source!$E224, "")</f>
        <v/>
      </c>
      <c r="M224" s="2" t="str">
        <f>IF(Source!$C224&gt;=COLUMNS($A224:M224), Source!$E224, "")</f>
        <v/>
      </c>
      <c r="N224" s="2" t="str">
        <f>IF(Source!$C224&gt;=COLUMNS($A224:N224), Source!$E224, "")</f>
        <v/>
      </c>
      <c r="O224" s="2" t="str">
        <f>IF(Source!$C224&gt;=COLUMNS($A224:O224), Source!$E224, "")</f>
        <v/>
      </c>
      <c r="P224" s="2" t="str">
        <f>IF(Source!$C224&gt;=COLUMNS($A224:P224), Source!$E224, "")</f>
        <v/>
      </c>
      <c r="Q224" s="2" t="str">
        <f>IF(Source!$C224&gt;=COLUMNS($A224:Q224), Source!$E224, "")</f>
        <v/>
      </c>
      <c r="R224" s="2" t="str">
        <f>IF(Source!$C224&gt;=COLUMNS($A224:R224), Source!$E224, "")</f>
        <v/>
      </c>
      <c r="S224" s="2" t="str">
        <f>IF(Source!$C224&gt;=COLUMNS($A224:S224), Source!$E224, "")</f>
        <v/>
      </c>
      <c r="T224" s="2" t="str">
        <f>IF(Source!$C224&gt;=COLUMNS($A224:T224), Source!$E224, "")</f>
        <v/>
      </c>
      <c r="U224" s="2" t="str">
        <f>IF(Source!$C224&gt;=COLUMNS($A224:U224), Source!$E224, "")</f>
        <v/>
      </c>
      <c r="V224" s="2" t="str">
        <f>IF(Source!$C224&gt;=COLUMNS($A224:V224), Source!$E224, "")</f>
        <v/>
      </c>
      <c r="W224" s="2" t="str">
        <f>IF(Source!$C224&gt;=COLUMNS($A224:W224), Source!$E224, "")</f>
        <v/>
      </c>
      <c r="X224" s="2" t="str">
        <f>IF(Source!$C224&gt;=COLUMNS($A224:X224), Source!$E224, "")</f>
        <v/>
      </c>
      <c r="Y224" s="2" t="str">
        <f>IF(Source!$C224&gt;=COLUMNS($A224:Y224), Source!$E224, "")</f>
        <v/>
      </c>
      <c r="Z224" s="2" t="str">
        <f>IF(Source!$C224&gt;=COLUMNS($A224:Z224), Source!$E224, "")</f>
        <v/>
      </c>
      <c r="AA224" s="2" t="str">
        <f>IF(Source!$C224&gt;=COLUMNS($A224:AA224), Source!$E224, "")</f>
        <v/>
      </c>
      <c r="AB224" s="2" t="str">
        <f>IF(Source!$C224&gt;=COLUMNS($A224:AB224), Source!$E224, "")</f>
        <v/>
      </c>
      <c r="AC224" s="2" t="str">
        <f>IF(Source!$C224&gt;=COLUMNS($A224:AC224), Source!$E224, "")</f>
        <v/>
      </c>
      <c r="AD224" s="2" t="str">
        <f>IF(Source!$C224&gt;=COLUMNS($A224:AD224), Source!$E224, "")</f>
        <v/>
      </c>
      <c r="AE224" s="2" t="str">
        <f>IF(Source!$C224&gt;=COLUMNS($A224:AE224), Source!$E224, "")</f>
        <v/>
      </c>
      <c r="AF224" s="2" t="str">
        <f>IF(Source!$C224&gt;=COLUMNS($A224:AF224), Source!$E224, "")</f>
        <v/>
      </c>
      <c r="AG224" s="2" t="str">
        <f>IF(Source!$C224&gt;=COLUMNS($A224:AG224), Source!$E224, "")</f>
        <v/>
      </c>
      <c r="AH224" s="2" t="str">
        <f>IF(Source!$C224&gt;=COLUMNS($A224:AH224), Source!$E224, "")</f>
        <v/>
      </c>
      <c r="AI224" s="2" t="str">
        <f>IF(Source!$C224&gt;=COLUMNS($A224:AI224), Source!$E224, "")</f>
        <v/>
      </c>
      <c r="AJ224" s="2" t="str">
        <f>IF(Source!$C224&gt;=COLUMNS($A224:AJ224), Source!$E224, "")</f>
        <v/>
      </c>
      <c r="AK224" s="2" t="str">
        <f>IF(Source!$C224&gt;=COLUMNS($A224:AK224), Source!$E224, "")</f>
        <v/>
      </c>
      <c r="AL224" s="2" t="str">
        <f>IF(Source!$C224&gt;=COLUMNS($A224:AL224), Source!$E224, "")</f>
        <v/>
      </c>
      <c r="AM224" s="2" t="str">
        <f>IF(Source!$C224&gt;=COLUMNS($A224:AM224), Source!$E224, "")</f>
        <v/>
      </c>
      <c r="AN224" s="2" t="str">
        <f>IF(Source!$C224&gt;=COLUMNS($A224:AN224), Source!$E224, "")</f>
        <v/>
      </c>
      <c r="AO224" s="2" t="str">
        <f>IF(Source!$C224&gt;=COLUMNS($A224:AO224), Source!$E224, "")</f>
        <v/>
      </c>
      <c r="AP224" s="2" t="str">
        <f>IF(Source!$C224&gt;=COLUMNS($A224:AP224), Source!$E224, "")</f>
        <v/>
      </c>
      <c r="AQ224" s="2" t="str">
        <f>IF(Source!$C224&gt;=COLUMNS($A224:AQ224), Source!$E224, "")</f>
        <v/>
      </c>
      <c r="AR224" s="2" t="str">
        <f>IF(Source!$C224&gt;=COLUMNS($A224:AR224), Source!$E224, "")</f>
        <v/>
      </c>
    </row>
    <row r="225">
      <c r="A225" s="2">
        <f>IF(Source!$C225&gt;=COLUMNS($A225:A225), Source!$E225, "")</f>
        <v>3</v>
      </c>
      <c r="B225" s="2">
        <f>IF(Source!$C225&gt;=COLUMNS($A225:B225), Source!$E225, "")</f>
        <v>3</v>
      </c>
      <c r="C225" s="2">
        <f>IF(Source!$C225&gt;=COLUMNS($A225:C225), Source!$E225, "")</f>
        <v>3</v>
      </c>
      <c r="D225" s="2">
        <f>IF(Source!$C225&gt;=COLUMNS($A225:D225), Source!$E225, "")</f>
        <v>3</v>
      </c>
      <c r="E225" s="2">
        <f>IF(Source!$C225&gt;=COLUMNS($A225:E225), Source!$E225, "")</f>
        <v>3</v>
      </c>
      <c r="F225" s="2">
        <f>IF(Source!$C225&gt;=COLUMNS($A225:F225), Source!$E225, "")</f>
        <v>3</v>
      </c>
      <c r="G225" s="2">
        <f>IF(Source!$C225&gt;=COLUMNS($A225:G225), Source!$E225, "")</f>
        <v>3</v>
      </c>
      <c r="H225" s="2">
        <f>IF(Source!$C225&gt;=COLUMNS($A225:H225), Source!$E225, "")</f>
        <v>3</v>
      </c>
      <c r="I225" s="2">
        <f>IF(Source!$C225&gt;=COLUMNS($A225:I225), Source!$E225, "")</f>
        <v>3</v>
      </c>
      <c r="J225" s="2">
        <f>IF(Source!$C225&gt;=COLUMNS($A225:J225), Source!$E225, "")</f>
        <v>3</v>
      </c>
      <c r="K225" s="2">
        <f>IF(Source!$C225&gt;=COLUMNS($A225:K225), Source!$E225, "")</f>
        <v>3</v>
      </c>
      <c r="L225" s="2">
        <f>IF(Source!$C225&gt;=COLUMNS($A225:L225), Source!$E225, "")</f>
        <v>3</v>
      </c>
      <c r="M225" s="2">
        <f>IF(Source!$C225&gt;=COLUMNS($A225:M225), Source!$E225, "")</f>
        <v>3</v>
      </c>
      <c r="N225" s="2">
        <f>IF(Source!$C225&gt;=COLUMNS($A225:N225), Source!$E225, "")</f>
        <v>3</v>
      </c>
      <c r="O225" s="2" t="str">
        <f>IF(Source!$C225&gt;=COLUMNS($A225:O225), Source!$E225, "")</f>
        <v/>
      </c>
      <c r="P225" s="2" t="str">
        <f>IF(Source!$C225&gt;=COLUMNS($A225:P225), Source!$E225, "")</f>
        <v/>
      </c>
      <c r="Q225" s="2" t="str">
        <f>IF(Source!$C225&gt;=COLUMNS($A225:Q225), Source!$E225, "")</f>
        <v/>
      </c>
      <c r="R225" s="2" t="str">
        <f>IF(Source!$C225&gt;=COLUMNS($A225:R225), Source!$E225, "")</f>
        <v/>
      </c>
      <c r="S225" s="2" t="str">
        <f>IF(Source!$C225&gt;=COLUMNS($A225:S225), Source!$E225, "")</f>
        <v/>
      </c>
      <c r="T225" s="2" t="str">
        <f>IF(Source!$C225&gt;=COLUMNS($A225:T225), Source!$E225, "")</f>
        <v/>
      </c>
      <c r="U225" s="2" t="str">
        <f>IF(Source!$C225&gt;=COLUMNS($A225:U225), Source!$E225, "")</f>
        <v/>
      </c>
      <c r="V225" s="2" t="str">
        <f>IF(Source!$C225&gt;=COLUMNS($A225:V225), Source!$E225, "")</f>
        <v/>
      </c>
      <c r="W225" s="2" t="str">
        <f>IF(Source!$C225&gt;=COLUMNS($A225:W225), Source!$E225, "")</f>
        <v/>
      </c>
      <c r="X225" s="2" t="str">
        <f>IF(Source!$C225&gt;=COLUMNS($A225:X225), Source!$E225, "")</f>
        <v/>
      </c>
      <c r="Y225" s="2" t="str">
        <f>IF(Source!$C225&gt;=COLUMNS($A225:Y225), Source!$E225, "")</f>
        <v/>
      </c>
      <c r="Z225" s="2" t="str">
        <f>IF(Source!$C225&gt;=COLUMNS($A225:Z225), Source!$E225, "")</f>
        <v/>
      </c>
      <c r="AA225" s="2" t="str">
        <f>IF(Source!$C225&gt;=COLUMNS($A225:AA225), Source!$E225, "")</f>
        <v/>
      </c>
      <c r="AB225" s="2" t="str">
        <f>IF(Source!$C225&gt;=COLUMNS($A225:AB225), Source!$E225, "")</f>
        <v/>
      </c>
      <c r="AC225" s="2" t="str">
        <f>IF(Source!$C225&gt;=COLUMNS($A225:AC225), Source!$E225, "")</f>
        <v/>
      </c>
      <c r="AD225" s="2" t="str">
        <f>IF(Source!$C225&gt;=COLUMNS($A225:AD225), Source!$E225, "")</f>
        <v/>
      </c>
      <c r="AE225" s="2" t="str">
        <f>IF(Source!$C225&gt;=COLUMNS($A225:AE225), Source!$E225, "")</f>
        <v/>
      </c>
      <c r="AF225" s="2" t="str">
        <f>IF(Source!$C225&gt;=COLUMNS($A225:AF225), Source!$E225, "")</f>
        <v/>
      </c>
      <c r="AG225" s="2" t="str">
        <f>IF(Source!$C225&gt;=COLUMNS($A225:AG225), Source!$E225, "")</f>
        <v/>
      </c>
      <c r="AH225" s="2" t="str">
        <f>IF(Source!$C225&gt;=COLUMNS($A225:AH225), Source!$E225, "")</f>
        <v/>
      </c>
      <c r="AI225" s="2" t="str">
        <f>IF(Source!$C225&gt;=COLUMNS($A225:AI225), Source!$E225, "")</f>
        <v/>
      </c>
      <c r="AJ225" s="2" t="str">
        <f>IF(Source!$C225&gt;=COLUMNS($A225:AJ225), Source!$E225, "")</f>
        <v/>
      </c>
      <c r="AK225" s="2" t="str">
        <f>IF(Source!$C225&gt;=COLUMNS($A225:AK225), Source!$E225, "")</f>
        <v/>
      </c>
      <c r="AL225" s="2" t="str">
        <f>IF(Source!$C225&gt;=COLUMNS($A225:AL225), Source!$E225, "")</f>
        <v/>
      </c>
      <c r="AM225" s="2" t="str">
        <f>IF(Source!$C225&gt;=COLUMNS($A225:AM225), Source!$E225, "")</f>
        <v/>
      </c>
      <c r="AN225" s="2" t="str">
        <f>IF(Source!$C225&gt;=COLUMNS($A225:AN225), Source!$E225, "")</f>
        <v/>
      </c>
      <c r="AO225" s="2" t="str">
        <f>IF(Source!$C225&gt;=COLUMNS($A225:AO225), Source!$E225, "")</f>
        <v/>
      </c>
      <c r="AP225" s="2" t="str">
        <f>IF(Source!$C225&gt;=COLUMNS($A225:AP225), Source!$E225, "")</f>
        <v/>
      </c>
      <c r="AQ225" s="2" t="str">
        <f>IF(Source!$C225&gt;=COLUMNS($A225:AQ225), Source!$E225, "")</f>
        <v/>
      </c>
      <c r="AR225" s="2" t="str">
        <f>IF(Source!$C225&gt;=COLUMNS($A225:AR225), Source!$E225, "")</f>
        <v/>
      </c>
    </row>
    <row r="226">
      <c r="A226" s="2">
        <f>IF(Source!$C226&gt;=COLUMNS($A226:A226), Source!$E226, "")</f>
        <v>9</v>
      </c>
      <c r="B226" s="2">
        <f>IF(Source!$C226&gt;=COLUMNS($A226:B226), Source!$E226, "")</f>
        <v>9</v>
      </c>
      <c r="C226" s="2" t="str">
        <f>IF(Source!$C226&gt;=COLUMNS($A226:C226), Source!$E226, "")</f>
        <v/>
      </c>
      <c r="D226" s="2" t="str">
        <f>IF(Source!$C226&gt;=COLUMNS($A226:D226), Source!$E226, "")</f>
        <v/>
      </c>
      <c r="E226" s="2" t="str">
        <f>IF(Source!$C226&gt;=COLUMNS($A226:E226), Source!$E226, "")</f>
        <v/>
      </c>
      <c r="F226" s="2" t="str">
        <f>IF(Source!$C226&gt;=COLUMNS($A226:F226), Source!$E226, "")</f>
        <v/>
      </c>
      <c r="G226" s="2" t="str">
        <f>IF(Source!$C226&gt;=COLUMNS($A226:G226), Source!$E226, "")</f>
        <v/>
      </c>
      <c r="H226" s="2" t="str">
        <f>IF(Source!$C226&gt;=COLUMNS($A226:H226), Source!$E226, "")</f>
        <v/>
      </c>
      <c r="I226" s="2" t="str">
        <f>IF(Source!$C226&gt;=COLUMNS($A226:I226), Source!$E226, "")</f>
        <v/>
      </c>
      <c r="J226" s="2" t="str">
        <f>IF(Source!$C226&gt;=COLUMNS($A226:J226), Source!$E226, "")</f>
        <v/>
      </c>
      <c r="K226" s="2" t="str">
        <f>IF(Source!$C226&gt;=COLUMNS($A226:K226), Source!$E226, "")</f>
        <v/>
      </c>
      <c r="L226" s="2" t="str">
        <f>IF(Source!$C226&gt;=COLUMNS($A226:L226), Source!$E226, "")</f>
        <v/>
      </c>
      <c r="M226" s="2" t="str">
        <f>IF(Source!$C226&gt;=COLUMNS($A226:M226), Source!$E226, "")</f>
        <v/>
      </c>
      <c r="N226" s="2" t="str">
        <f>IF(Source!$C226&gt;=COLUMNS($A226:N226), Source!$E226, "")</f>
        <v/>
      </c>
      <c r="O226" s="2" t="str">
        <f>IF(Source!$C226&gt;=COLUMNS($A226:O226), Source!$E226, "")</f>
        <v/>
      </c>
      <c r="P226" s="2" t="str">
        <f>IF(Source!$C226&gt;=COLUMNS($A226:P226), Source!$E226, "")</f>
        <v/>
      </c>
      <c r="Q226" s="2" t="str">
        <f>IF(Source!$C226&gt;=COLUMNS($A226:Q226), Source!$E226, "")</f>
        <v/>
      </c>
      <c r="R226" s="2" t="str">
        <f>IF(Source!$C226&gt;=COLUMNS($A226:R226), Source!$E226, "")</f>
        <v/>
      </c>
      <c r="S226" s="2" t="str">
        <f>IF(Source!$C226&gt;=COLUMNS($A226:S226), Source!$E226, "")</f>
        <v/>
      </c>
      <c r="T226" s="2" t="str">
        <f>IF(Source!$C226&gt;=COLUMNS($A226:T226), Source!$E226, "")</f>
        <v/>
      </c>
      <c r="U226" s="2" t="str">
        <f>IF(Source!$C226&gt;=COLUMNS($A226:U226), Source!$E226, "")</f>
        <v/>
      </c>
      <c r="V226" s="2" t="str">
        <f>IF(Source!$C226&gt;=COLUMNS($A226:V226), Source!$E226, "")</f>
        <v/>
      </c>
      <c r="W226" s="2" t="str">
        <f>IF(Source!$C226&gt;=COLUMNS($A226:W226), Source!$E226, "")</f>
        <v/>
      </c>
      <c r="X226" s="2" t="str">
        <f>IF(Source!$C226&gt;=COLUMNS($A226:X226), Source!$E226, "")</f>
        <v/>
      </c>
      <c r="Y226" s="2" t="str">
        <f>IF(Source!$C226&gt;=COLUMNS($A226:Y226), Source!$E226, "")</f>
        <v/>
      </c>
      <c r="Z226" s="2" t="str">
        <f>IF(Source!$C226&gt;=COLUMNS($A226:Z226), Source!$E226, "")</f>
        <v/>
      </c>
      <c r="AA226" s="2" t="str">
        <f>IF(Source!$C226&gt;=COLUMNS($A226:AA226), Source!$E226, "")</f>
        <v/>
      </c>
      <c r="AB226" s="2" t="str">
        <f>IF(Source!$C226&gt;=COLUMNS($A226:AB226), Source!$E226, "")</f>
        <v/>
      </c>
      <c r="AC226" s="2" t="str">
        <f>IF(Source!$C226&gt;=COLUMNS($A226:AC226), Source!$E226, "")</f>
        <v/>
      </c>
      <c r="AD226" s="2" t="str">
        <f>IF(Source!$C226&gt;=COLUMNS($A226:AD226), Source!$E226, "")</f>
        <v/>
      </c>
      <c r="AE226" s="2" t="str">
        <f>IF(Source!$C226&gt;=COLUMNS($A226:AE226), Source!$E226, "")</f>
        <v/>
      </c>
      <c r="AF226" s="2" t="str">
        <f>IF(Source!$C226&gt;=COLUMNS($A226:AF226), Source!$E226, "")</f>
        <v/>
      </c>
      <c r="AG226" s="2" t="str">
        <f>IF(Source!$C226&gt;=COLUMNS($A226:AG226), Source!$E226, "")</f>
        <v/>
      </c>
      <c r="AH226" s="2" t="str">
        <f>IF(Source!$C226&gt;=COLUMNS($A226:AH226), Source!$E226, "")</f>
        <v/>
      </c>
      <c r="AI226" s="2" t="str">
        <f>IF(Source!$C226&gt;=COLUMNS($A226:AI226), Source!$E226, "")</f>
        <v/>
      </c>
      <c r="AJ226" s="2" t="str">
        <f>IF(Source!$C226&gt;=COLUMNS($A226:AJ226), Source!$E226, "")</f>
        <v/>
      </c>
      <c r="AK226" s="2" t="str">
        <f>IF(Source!$C226&gt;=COLUMNS($A226:AK226), Source!$E226, "")</f>
        <v/>
      </c>
      <c r="AL226" s="2" t="str">
        <f>IF(Source!$C226&gt;=COLUMNS($A226:AL226), Source!$E226, "")</f>
        <v/>
      </c>
      <c r="AM226" s="2" t="str">
        <f>IF(Source!$C226&gt;=COLUMNS($A226:AM226), Source!$E226, "")</f>
        <v/>
      </c>
      <c r="AN226" s="2" t="str">
        <f>IF(Source!$C226&gt;=COLUMNS($A226:AN226), Source!$E226, "")</f>
        <v/>
      </c>
      <c r="AO226" s="2" t="str">
        <f>IF(Source!$C226&gt;=COLUMNS($A226:AO226), Source!$E226, "")</f>
        <v/>
      </c>
      <c r="AP226" s="2" t="str">
        <f>IF(Source!$C226&gt;=COLUMNS($A226:AP226), Source!$E226, "")</f>
        <v/>
      </c>
      <c r="AQ226" s="2" t="str">
        <f>IF(Source!$C226&gt;=COLUMNS($A226:AQ226), Source!$E226, "")</f>
        <v/>
      </c>
      <c r="AR226" s="2" t="str">
        <f>IF(Source!$C226&gt;=COLUMNS($A226:AR226), Source!$E226, "")</f>
        <v/>
      </c>
    </row>
    <row r="227">
      <c r="A227" s="2">
        <f>IF(Source!$C227&gt;=COLUMNS($A227:A227), Source!$E227, "")</f>
        <v>4</v>
      </c>
      <c r="B227" s="2">
        <f>IF(Source!$C227&gt;=COLUMNS($A227:B227), Source!$E227, "")</f>
        <v>4</v>
      </c>
      <c r="C227" s="2" t="str">
        <f>IF(Source!$C227&gt;=COLUMNS($A227:C227), Source!$E227, "")</f>
        <v/>
      </c>
      <c r="D227" s="2" t="str">
        <f>IF(Source!$C227&gt;=COLUMNS($A227:D227), Source!$E227, "")</f>
        <v/>
      </c>
      <c r="E227" s="2" t="str">
        <f>IF(Source!$C227&gt;=COLUMNS($A227:E227), Source!$E227, "")</f>
        <v/>
      </c>
      <c r="F227" s="2" t="str">
        <f>IF(Source!$C227&gt;=COLUMNS($A227:F227), Source!$E227, "")</f>
        <v/>
      </c>
      <c r="G227" s="2" t="str">
        <f>IF(Source!$C227&gt;=COLUMNS($A227:G227), Source!$E227, "")</f>
        <v/>
      </c>
      <c r="H227" s="2" t="str">
        <f>IF(Source!$C227&gt;=COLUMNS($A227:H227), Source!$E227, "")</f>
        <v/>
      </c>
      <c r="I227" s="2" t="str">
        <f>IF(Source!$C227&gt;=COLUMNS($A227:I227), Source!$E227, "")</f>
        <v/>
      </c>
      <c r="J227" s="2" t="str">
        <f>IF(Source!$C227&gt;=COLUMNS($A227:J227), Source!$E227, "")</f>
        <v/>
      </c>
      <c r="K227" s="2" t="str">
        <f>IF(Source!$C227&gt;=COLUMNS($A227:K227), Source!$E227, "")</f>
        <v/>
      </c>
      <c r="L227" s="2" t="str">
        <f>IF(Source!$C227&gt;=COLUMNS($A227:L227), Source!$E227, "")</f>
        <v/>
      </c>
      <c r="M227" s="2" t="str">
        <f>IF(Source!$C227&gt;=COLUMNS($A227:M227), Source!$E227, "")</f>
        <v/>
      </c>
      <c r="N227" s="2" t="str">
        <f>IF(Source!$C227&gt;=COLUMNS($A227:N227), Source!$E227, "")</f>
        <v/>
      </c>
      <c r="O227" s="2" t="str">
        <f>IF(Source!$C227&gt;=COLUMNS($A227:O227), Source!$E227, "")</f>
        <v/>
      </c>
      <c r="P227" s="2" t="str">
        <f>IF(Source!$C227&gt;=COLUMNS($A227:P227), Source!$E227, "")</f>
        <v/>
      </c>
      <c r="Q227" s="2" t="str">
        <f>IF(Source!$C227&gt;=COLUMNS($A227:Q227), Source!$E227, "")</f>
        <v/>
      </c>
      <c r="R227" s="2" t="str">
        <f>IF(Source!$C227&gt;=COLUMNS($A227:R227), Source!$E227, "")</f>
        <v/>
      </c>
      <c r="S227" s="2" t="str">
        <f>IF(Source!$C227&gt;=COLUMNS($A227:S227), Source!$E227, "")</f>
        <v/>
      </c>
      <c r="T227" s="2" t="str">
        <f>IF(Source!$C227&gt;=COLUMNS($A227:T227), Source!$E227, "")</f>
        <v/>
      </c>
      <c r="U227" s="2" t="str">
        <f>IF(Source!$C227&gt;=COLUMNS($A227:U227), Source!$E227, "")</f>
        <v/>
      </c>
      <c r="V227" s="2" t="str">
        <f>IF(Source!$C227&gt;=COLUMNS($A227:V227), Source!$E227, "")</f>
        <v/>
      </c>
      <c r="W227" s="2" t="str">
        <f>IF(Source!$C227&gt;=COLUMNS($A227:W227), Source!$E227, "")</f>
        <v/>
      </c>
      <c r="X227" s="2" t="str">
        <f>IF(Source!$C227&gt;=COLUMNS($A227:X227), Source!$E227, "")</f>
        <v/>
      </c>
      <c r="Y227" s="2" t="str">
        <f>IF(Source!$C227&gt;=COLUMNS($A227:Y227), Source!$E227, "")</f>
        <v/>
      </c>
      <c r="Z227" s="2" t="str">
        <f>IF(Source!$C227&gt;=COLUMNS($A227:Z227), Source!$E227, "")</f>
        <v/>
      </c>
      <c r="AA227" s="2" t="str">
        <f>IF(Source!$C227&gt;=COLUMNS($A227:AA227), Source!$E227, "")</f>
        <v/>
      </c>
      <c r="AB227" s="2" t="str">
        <f>IF(Source!$C227&gt;=COLUMNS($A227:AB227), Source!$E227, "")</f>
        <v/>
      </c>
      <c r="AC227" s="2" t="str">
        <f>IF(Source!$C227&gt;=COLUMNS($A227:AC227), Source!$E227, "")</f>
        <v/>
      </c>
      <c r="AD227" s="2" t="str">
        <f>IF(Source!$C227&gt;=COLUMNS($A227:AD227), Source!$E227, "")</f>
        <v/>
      </c>
      <c r="AE227" s="2" t="str">
        <f>IF(Source!$C227&gt;=COLUMNS($A227:AE227), Source!$E227, "")</f>
        <v/>
      </c>
      <c r="AF227" s="2" t="str">
        <f>IF(Source!$C227&gt;=COLUMNS($A227:AF227), Source!$E227, "")</f>
        <v/>
      </c>
      <c r="AG227" s="2" t="str">
        <f>IF(Source!$C227&gt;=COLUMNS($A227:AG227), Source!$E227, "")</f>
        <v/>
      </c>
      <c r="AH227" s="2" t="str">
        <f>IF(Source!$C227&gt;=COLUMNS($A227:AH227), Source!$E227, "")</f>
        <v/>
      </c>
      <c r="AI227" s="2" t="str">
        <f>IF(Source!$C227&gt;=COLUMNS($A227:AI227), Source!$E227, "")</f>
        <v/>
      </c>
      <c r="AJ227" s="2" t="str">
        <f>IF(Source!$C227&gt;=COLUMNS($A227:AJ227), Source!$E227, "")</f>
        <v/>
      </c>
      <c r="AK227" s="2" t="str">
        <f>IF(Source!$C227&gt;=COLUMNS($A227:AK227), Source!$E227, "")</f>
        <v/>
      </c>
      <c r="AL227" s="2" t="str">
        <f>IF(Source!$C227&gt;=COLUMNS($A227:AL227), Source!$E227, "")</f>
        <v/>
      </c>
      <c r="AM227" s="2" t="str">
        <f>IF(Source!$C227&gt;=COLUMNS($A227:AM227), Source!$E227, "")</f>
        <v/>
      </c>
      <c r="AN227" s="2" t="str">
        <f>IF(Source!$C227&gt;=COLUMNS($A227:AN227), Source!$E227, "")</f>
        <v/>
      </c>
      <c r="AO227" s="2" t="str">
        <f>IF(Source!$C227&gt;=COLUMNS($A227:AO227), Source!$E227, "")</f>
        <v/>
      </c>
      <c r="AP227" s="2" t="str">
        <f>IF(Source!$C227&gt;=COLUMNS($A227:AP227), Source!$E227, "")</f>
        <v/>
      </c>
      <c r="AQ227" s="2" t="str">
        <f>IF(Source!$C227&gt;=COLUMNS($A227:AQ227), Source!$E227, "")</f>
        <v/>
      </c>
      <c r="AR227" s="2" t="str">
        <f>IF(Source!$C227&gt;=COLUMNS($A227:AR227), Source!$E227, "")</f>
        <v/>
      </c>
    </row>
    <row r="228">
      <c r="A228" s="2">
        <f>IF(Source!$C228&gt;=COLUMNS($A228:A228), Source!$E228, "")</f>
        <v>2</v>
      </c>
      <c r="B228" s="2" t="str">
        <f>IF(Source!$C228&gt;=COLUMNS($A228:B228), Source!$E228, "")</f>
        <v/>
      </c>
      <c r="C228" s="2" t="str">
        <f>IF(Source!$C228&gt;=COLUMNS($A228:C228), Source!$E228, "")</f>
        <v/>
      </c>
      <c r="D228" s="2" t="str">
        <f>IF(Source!$C228&gt;=COLUMNS($A228:D228), Source!$E228, "")</f>
        <v/>
      </c>
      <c r="E228" s="2" t="str">
        <f>IF(Source!$C228&gt;=COLUMNS($A228:E228), Source!$E228, "")</f>
        <v/>
      </c>
      <c r="F228" s="2" t="str">
        <f>IF(Source!$C228&gt;=COLUMNS($A228:F228), Source!$E228, "")</f>
        <v/>
      </c>
      <c r="G228" s="2" t="str">
        <f>IF(Source!$C228&gt;=COLUMNS($A228:G228), Source!$E228, "")</f>
        <v/>
      </c>
      <c r="H228" s="2" t="str">
        <f>IF(Source!$C228&gt;=COLUMNS($A228:H228), Source!$E228, "")</f>
        <v/>
      </c>
      <c r="I228" s="2" t="str">
        <f>IF(Source!$C228&gt;=COLUMNS($A228:I228), Source!$E228, "")</f>
        <v/>
      </c>
      <c r="J228" s="2" t="str">
        <f>IF(Source!$C228&gt;=COLUMNS($A228:J228), Source!$E228, "")</f>
        <v/>
      </c>
      <c r="K228" s="2" t="str">
        <f>IF(Source!$C228&gt;=COLUMNS($A228:K228), Source!$E228, "")</f>
        <v/>
      </c>
      <c r="L228" s="2" t="str">
        <f>IF(Source!$C228&gt;=COLUMNS($A228:L228), Source!$E228, "")</f>
        <v/>
      </c>
      <c r="M228" s="2" t="str">
        <f>IF(Source!$C228&gt;=COLUMNS($A228:M228), Source!$E228, "")</f>
        <v/>
      </c>
      <c r="N228" s="2" t="str">
        <f>IF(Source!$C228&gt;=COLUMNS($A228:N228), Source!$E228, "")</f>
        <v/>
      </c>
      <c r="O228" s="2" t="str">
        <f>IF(Source!$C228&gt;=COLUMNS($A228:O228), Source!$E228, "")</f>
        <v/>
      </c>
      <c r="P228" s="2" t="str">
        <f>IF(Source!$C228&gt;=COLUMNS($A228:P228), Source!$E228, "")</f>
        <v/>
      </c>
      <c r="Q228" s="2" t="str">
        <f>IF(Source!$C228&gt;=COLUMNS($A228:Q228), Source!$E228, "")</f>
        <v/>
      </c>
      <c r="R228" s="2" t="str">
        <f>IF(Source!$C228&gt;=COLUMNS($A228:R228), Source!$E228, "")</f>
        <v/>
      </c>
      <c r="S228" s="2" t="str">
        <f>IF(Source!$C228&gt;=COLUMNS($A228:S228), Source!$E228, "")</f>
        <v/>
      </c>
      <c r="T228" s="2" t="str">
        <f>IF(Source!$C228&gt;=COLUMNS($A228:T228), Source!$E228, "")</f>
        <v/>
      </c>
      <c r="U228" s="2" t="str">
        <f>IF(Source!$C228&gt;=COLUMNS($A228:U228), Source!$E228, "")</f>
        <v/>
      </c>
      <c r="V228" s="2" t="str">
        <f>IF(Source!$C228&gt;=COLUMNS($A228:V228), Source!$E228, "")</f>
        <v/>
      </c>
      <c r="W228" s="2" t="str">
        <f>IF(Source!$C228&gt;=COLUMNS($A228:W228), Source!$E228, "")</f>
        <v/>
      </c>
      <c r="X228" s="2" t="str">
        <f>IF(Source!$C228&gt;=COLUMNS($A228:X228), Source!$E228, "")</f>
        <v/>
      </c>
      <c r="Y228" s="2" t="str">
        <f>IF(Source!$C228&gt;=COLUMNS($A228:Y228), Source!$E228, "")</f>
        <v/>
      </c>
      <c r="Z228" s="2" t="str">
        <f>IF(Source!$C228&gt;=COLUMNS($A228:Z228), Source!$E228, "")</f>
        <v/>
      </c>
      <c r="AA228" s="2" t="str">
        <f>IF(Source!$C228&gt;=COLUMNS($A228:AA228), Source!$E228, "")</f>
        <v/>
      </c>
      <c r="AB228" s="2" t="str">
        <f>IF(Source!$C228&gt;=COLUMNS($A228:AB228), Source!$E228, "")</f>
        <v/>
      </c>
      <c r="AC228" s="2" t="str">
        <f>IF(Source!$C228&gt;=COLUMNS($A228:AC228), Source!$E228, "")</f>
        <v/>
      </c>
      <c r="AD228" s="2" t="str">
        <f>IF(Source!$C228&gt;=COLUMNS($A228:AD228), Source!$E228, "")</f>
        <v/>
      </c>
      <c r="AE228" s="2" t="str">
        <f>IF(Source!$C228&gt;=COLUMNS($A228:AE228), Source!$E228, "")</f>
        <v/>
      </c>
      <c r="AF228" s="2" t="str">
        <f>IF(Source!$C228&gt;=COLUMNS($A228:AF228), Source!$E228, "")</f>
        <v/>
      </c>
      <c r="AG228" s="2" t="str">
        <f>IF(Source!$C228&gt;=COLUMNS($A228:AG228), Source!$E228, "")</f>
        <v/>
      </c>
      <c r="AH228" s="2" t="str">
        <f>IF(Source!$C228&gt;=COLUMNS($A228:AH228), Source!$E228, "")</f>
        <v/>
      </c>
      <c r="AI228" s="2" t="str">
        <f>IF(Source!$C228&gt;=COLUMNS($A228:AI228), Source!$E228, "")</f>
        <v/>
      </c>
      <c r="AJ228" s="2" t="str">
        <f>IF(Source!$C228&gt;=COLUMNS($A228:AJ228), Source!$E228, "")</f>
        <v/>
      </c>
      <c r="AK228" s="2" t="str">
        <f>IF(Source!$C228&gt;=COLUMNS($A228:AK228), Source!$E228, "")</f>
        <v/>
      </c>
      <c r="AL228" s="2" t="str">
        <f>IF(Source!$C228&gt;=COLUMNS($A228:AL228), Source!$E228, "")</f>
        <v/>
      </c>
      <c r="AM228" s="2" t="str">
        <f>IF(Source!$C228&gt;=COLUMNS($A228:AM228), Source!$E228, "")</f>
        <v/>
      </c>
      <c r="AN228" s="2" t="str">
        <f>IF(Source!$C228&gt;=COLUMNS($A228:AN228), Source!$E228, "")</f>
        <v/>
      </c>
      <c r="AO228" s="2" t="str">
        <f>IF(Source!$C228&gt;=COLUMNS($A228:AO228), Source!$E228, "")</f>
        <v/>
      </c>
      <c r="AP228" s="2" t="str">
        <f>IF(Source!$C228&gt;=COLUMNS($A228:AP228), Source!$E228, "")</f>
        <v/>
      </c>
      <c r="AQ228" s="2" t="str">
        <f>IF(Source!$C228&gt;=COLUMNS($A228:AQ228), Source!$E228, "")</f>
        <v/>
      </c>
      <c r="AR228" s="2" t="str">
        <f>IF(Source!$C228&gt;=COLUMNS($A228:AR228), Source!$E228, "")</f>
        <v/>
      </c>
    </row>
    <row r="229">
      <c r="A229" s="2">
        <f>IF(Source!$C229&gt;=COLUMNS($A229:A229), Source!$E229, "")</f>
        <v>7</v>
      </c>
      <c r="B229" s="2">
        <f>IF(Source!$C229&gt;=COLUMNS($A229:B229), Source!$E229, "")</f>
        <v>7</v>
      </c>
      <c r="C229" s="2">
        <f>IF(Source!$C229&gt;=COLUMNS($A229:C229), Source!$E229, "")</f>
        <v>7</v>
      </c>
      <c r="D229" s="2">
        <f>IF(Source!$C229&gt;=COLUMNS($A229:D229), Source!$E229, "")</f>
        <v>7</v>
      </c>
      <c r="E229" s="2">
        <f>IF(Source!$C229&gt;=COLUMNS($A229:E229), Source!$E229, "")</f>
        <v>7</v>
      </c>
      <c r="F229" s="2" t="str">
        <f>IF(Source!$C229&gt;=COLUMNS($A229:F229), Source!$E229, "")</f>
        <v/>
      </c>
      <c r="G229" s="2" t="str">
        <f>IF(Source!$C229&gt;=COLUMNS($A229:G229), Source!$E229, "")</f>
        <v/>
      </c>
      <c r="H229" s="2" t="str">
        <f>IF(Source!$C229&gt;=COLUMNS($A229:H229), Source!$E229, "")</f>
        <v/>
      </c>
      <c r="I229" s="2" t="str">
        <f>IF(Source!$C229&gt;=COLUMNS($A229:I229), Source!$E229, "")</f>
        <v/>
      </c>
      <c r="J229" s="2" t="str">
        <f>IF(Source!$C229&gt;=COLUMNS($A229:J229), Source!$E229, "")</f>
        <v/>
      </c>
      <c r="K229" s="2" t="str">
        <f>IF(Source!$C229&gt;=COLUMNS($A229:K229), Source!$E229, "")</f>
        <v/>
      </c>
      <c r="L229" s="2" t="str">
        <f>IF(Source!$C229&gt;=COLUMNS($A229:L229), Source!$E229, "")</f>
        <v/>
      </c>
      <c r="M229" s="2" t="str">
        <f>IF(Source!$C229&gt;=COLUMNS($A229:M229), Source!$E229, "")</f>
        <v/>
      </c>
      <c r="N229" s="2" t="str">
        <f>IF(Source!$C229&gt;=COLUMNS($A229:N229), Source!$E229, "")</f>
        <v/>
      </c>
      <c r="O229" s="2" t="str">
        <f>IF(Source!$C229&gt;=COLUMNS($A229:O229), Source!$E229, "")</f>
        <v/>
      </c>
      <c r="P229" s="2" t="str">
        <f>IF(Source!$C229&gt;=COLUMNS($A229:P229), Source!$E229, "")</f>
        <v/>
      </c>
      <c r="Q229" s="2" t="str">
        <f>IF(Source!$C229&gt;=COLUMNS($A229:Q229), Source!$E229, "")</f>
        <v/>
      </c>
      <c r="R229" s="2" t="str">
        <f>IF(Source!$C229&gt;=COLUMNS($A229:R229), Source!$E229, "")</f>
        <v/>
      </c>
      <c r="S229" s="2" t="str">
        <f>IF(Source!$C229&gt;=COLUMNS($A229:S229), Source!$E229, "")</f>
        <v/>
      </c>
      <c r="T229" s="2" t="str">
        <f>IF(Source!$C229&gt;=COLUMNS($A229:T229), Source!$E229, "")</f>
        <v/>
      </c>
      <c r="U229" s="2" t="str">
        <f>IF(Source!$C229&gt;=COLUMNS($A229:U229), Source!$E229, "")</f>
        <v/>
      </c>
      <c r="V229" s="2" t="str">
        <f>IF(Source!$C229&gt;=COLUMNS($A229:V229), Source!$E229, "")</f>
        <v/>
      </c>
      <c r="W229" s="2" t="str">
        <f>IF(Source!$C229&gt;=COLUMNS($A229:W229), Source!$E229, "")</f>
        <v/>
      </c>
      <c r="X229" s="2" t="str">
        <f>IF(Source!$C229&gt;=COLUMNS($A229:X229), Source!$E229, "")</f>
        <v/>
      </c>
      <c r="Y229" s="2" t="str">
        <f>IF(Source!$C229&gt;=COLUMNS($A229:Y229), Source!$E229, "")</f>
        <v/>
      </c>
      <c r="Z229" s="2" t="str">
        <f>IF(Source!$C229&gt;=COLUMNS($A229:Z229), Source!$E229, "")</f>
        <v/>
      </c>
      <c r="AA229" s="2" t="str">
        <f>IF(Source!$C229&gt;=COLUMNS($A229:AA229), Source!$E229, "")</f>
        <v/>
      </c>
      <c r="AB229" s="2" t="str">
        <f>IF(Source!$C229&gt;=COLUMNS($A229:AB229), Source!$E229, "")</f>
        <v/>
      </c>
      <c r="AC229" s="2" t="str">
        <f>IF(Source!$C229&gt;=COLUMNS($A229:AC229), Source!$E229, "")</f>
        <v/>
      </c>
      <c r="AD229" s="2" t="str">
        <f>IF(Source!$C229&gt;=COLUMNS($A229:AD229), Source!$E229, "")</f>
        <v/>
      </c>
      <c r="AE229" s="2" t="str">
        <f>IF(Source!$C229&gt;=COLUMNS($A229:AE229), Source!$E229, "")</f>
        <v/>
      </c>
      <c r="AF229" s="2" t="str">
        <f>IF(Source!$C229&gt;=COLUMNS($A229:AF229), Source!$E229, "")</f>
        <v/>
      </c>
      <c r="AG229" s="2" t="str">
        <f>IF(Source!$C229&gt;=COLUMNS($A229:AG229), Source!$E229, "")</f>
        <v/>
      </c>
      <c r="AH229" s="2" t="str">
        <f>IF(Source!$C229&gt;=COLUMNS($A229:AH229), Source!$E229, "")</f>
        <v/>
      </c>
      <c r="AI229" s="2" t="str">
        <f>IF(Source!$C229&gt;=COLUMNS($A229:AI229), Source!$E229, "")</f>
        <v/>
      </c>
      <c r="AJ229" s="2" t="str">
        <f>IF(Source!$C229&gt;=COLUMNS($A229:AJ229), Source!$E229, "")</f>
        <v/>
      </c>
      <c r="AK229" s="2" t="str">
        <f>IF(Source!$C229&gt;=COLUMNS($A229:AK229), Source!$E229, "")</f>
        <v/>
      </c>
      <c r="AL229" s="2" t="str">
        <f>IF(Source!$C229&gt;=COLUMNS($A229:AL229), Source!$E229, "")</f>
        <v/>
      </c>
      <c r="AM229" s="2" t="str">
        <f>IF(Source!$C229&gt;=COLUMNS($A229:AM229), Source!$E229, "")</f>
        <v/>
      </c>
      <c r="AN229" s="2" t="str">
        <f>IF(Source!$C229&gt;=COLUMNS($A229:AN229), Source!$E229, "")</f>
        <v/>
      </c>
      <c r="AO229" s="2" t="str">
        <f>IF(Source!$C229&gt;=COLUMNS($A229:AO229), Source!$E229, "")</f>
        <v/>
      </c>
      <c r="AP229" s="2" t="str">
        <f>IF(Source!$C229&gt;=COLUMNS($A229:AP229), Source!$E229, "")</f>
        <v/>
      </c>
      <c r="AQ229" s="2" t="str">
        <f>IF(Source!$C229&gt;=COLUMNS($A229:AQ229), Source!$E229, "")</f>
        <v/>
      </c>
      <c r="AR229" s="2" t="str">
        <f>IF(Source!$C229&gt;=COLUMNS($A229:AR229), Source!$E229, "")</f>
        <v/>
      </c>
    </row>
    <row r="230">
      <c r="A230" s="2">
        <f>IF(Source!$C230&gt;=COLUMNS($A230:A230), Source!$E230, "")</f>
        <v>1</v>
      </c>
      <c r="B230" s="2">
        <f>IF(Source!$C230&gt;=COLUMNS($A230:B230), Source!$E230, "")</f>
        <v>1</v>
      </c>
      <c r="C230" s="2">
        <f>IF(Source!$C230&gt;=COLUMNS($A230:C230), Source!$E230, "")</f>
        <v>1</v>
      </c>
      <c r="D230" s="2">
        <f>IF(Source!$C230&gt;=COLUMNS($A230:D230), Source!$E230, "")</f>
        <v>1</v>
      </c>
      <c r="E230" s="2">
        <f>IF(Source!$C230&gt;=COLUMNS($A230:E230), Source!$E230, "")</f>
        <v>1</v>
      </c>
      <c r="F230" s="2">
        <f>IF(Source!$C230&gt;=COLUMNS($A230:F230), Source!$E230, "")</f>
        <v>1</v>
      </c>
      <c r="G230" s="2">
        <f>IF(Source!$C230&gt;=COLUMNS($A230:G230), Source!$E230, "")</f>
        <v>1</v>
      </c>
      <c r="H230" s="2">
        <f>IF(Source!$C230&gt;=COLUMNS($A230:H230), Source!$E230, "")</f>
        <v>1</v>
      </c>
      <c r="I230" s="2">
        <f>IF(Source!$C230&gt;=COLUMNS($A230:I230), Source!$E230, "")</f>
        <v>1</v>
      </c>
      <c r="J230" s="2">
        <f>IF(Source!$C230&gt;=COLUMNS($A230:J230), Source!$E230, "")</f>
        <v>1</v>
      </c>
      <c r="K230" s="2">
        <f>IF(Source!$C230&gt;=COLUMNS($A230:K230), Source!$E230, "")</f>
        <v>1</v>
      </c>
      <c r="L230" s="2">
        <f>IF(Source!$C230&gt;=COLUMNS($A230:L230), Source!$E230, "")</f>
        <v>1</v>
      </c>
      <c r="M230" s="2">
        <f>IF(Source!$C230&gt;=COLUMNS($A230:M230), Source!$E230, "")</f>
        <v>1</v>
      </c>
      <c r="N230" s="2">
        <f>IF(Source!$C230&gt;=COLUMNS($A230:N230), Source!$E230, "")</f>
        <v>1</v>
      </c>
      <c r="O230" s="2">
        <f>IF(Source!$C230&gt;=COLUMNS($A230:O230), Source!$E230, "")</f>
        <v>1</v>
      </c>
      <c r="P230" s="2">
        <f>IF(Source!$C230&gt;=COLUMNS($A230:P230), Source!$E230, "")</f>
        <v>1</v>
      </c>
      <c r="Q230" s="2">
        <f>IF(Source!$C230&gt;=COLUMNS($A230:Q230), Source!$E230, "")</f>
        <v>1</v>
      </c>
      <c r="R230" s="2">
        <f>IF(Source!$C230&gt;=COLUMNS($A230:R230), Source!$E230, "")</f>
        <v>1</v>
      </c>
      <c r="S230" s="2">
        <f>IF(Source!$C230&gt;=COLUMNS($A230:S230), Source!$E230, "")</f>
        <v>1</v>
      </c>
      <c r="T230" s="2">
        <f>IF(Source!$C230&gt;=COLUMNS($A230:T230), Source!$E230, "")</f>
        <v>1</v>
      </c>
      <c r="U230" s="2">
        <f>IF(Source!$C230&gt;=COLUMNS($A230:U230), Source!$E230, "")</f>
        <v>1</v>
      </c>
      <c r="V230" s="2" t="str">
        <f>IF(Source!$C230&gt;=COLUMNS($A230:V230), Source!$E230, "")</f>
        <v/>
      </c>
      <c r="W230" s="2" t="str">
        <f>IF(Source!$C230&gt;=COLUMNS($A230:W230), Source!$E230, "")</f>
        <v/>
      </c>
      <c r="X230" s="2" t="str">
        <f>IF(Source!$C230&gt;=COLUMNS($A230:X230), Source!$E230, "")</f>
        <v/>
      </c>
      <c r="Y230" s="2" t="str">
        <f>IF(Source!$C230&gt;=COLUMNS($A230:Y230), Source!$E230, "")</f>
        <v/>
      </c>
      <c r="Z230" s="2" t="str">
        <f>IF(Source!$C230&gt;=COLUMNS($A230:Z230), Source!$E230, "")</f>
        <v/>
      </c>
      <c r="AA230" s="2" t="str">
        <f>IF(Source!$C230&gt;=COLUMNS($A230:AA230), Source!$E230, "")</f>
        <v/>
      </c>
      <c r="AB230" s="2" t="str">
        <f>IF(Source!$C230&gt;=COLUMNS($A230:AB230), Source!$E230, "")</f>
        <v/>
      </c>
      <c r="AC230" s="2" t="str">
        <f>IF(Source!$C230&gt;=COLUMNS($A230:AC230), Source!$E230, "")</f>
        <v/>
      </c>
      <c r="AD230" s="2" t="str">
        <f>IF(Source!$C230&gt;=COLUMNS($A230:AD230), Source!$E230, "")</f>
        <v/>
      </c>
      <c r="AE230" s="2" t="str">
        <f>IF(Source!$C230&gt;=COLUMNS($A230:AE230), Source!$E230, "")</f>
        <v/>
      </c>
      <c r="AF230" s="2" t="str">
        <f>IF(Source!$C230&gt;=COLUMNS($A230:AF230), Source!$E230, "")</f>
        <v/>
      </c>
      <c r="AG230" s="2" t="str">
        <f>IF(Source!$C230&gt;=COLUMNS($A230:AG230), Source!$E230, "")</f>
        <v/>
      </c>
      <c r="AH230" s="2" t="str">
        <f>IF(Source!$C230&gt;=COLUMNS($A230:AH230), Source!$E230, "")</f>
        <v/>
      </c>
      <c r="AI230" s="2" t="str">
        <f>IF(Source!$C230&gt;=COLUMNS($A230:AI230), Source!$E230, "")</f>
        <v/>
      </c>
      <c r="AJ230" s="2" t="str">
        <f>IF(Source!$C230&gt;=COLUMNS($A230:AJ230), Source!$E230, "")</f>
        <v/>
      </c>
      <c r="AK230" s="2" t="str">
        <f>IF(Source!$C230&gt;=COLUMNS($A230:AK230), Source!$E230, "")</f>
        <v/>
      </c>
      <c r="AL230" s="2" t="str">
        <f>IF(Source!$C230&gt;=COLUMNS($A230:AL230), Source!$E230, "")</f>
        <v/>
      </c>
      <c r="AM230" s="2" t="str">
        <f>IF(Source!$C230&gt;=COLUMNS($A230:AM230), Source!$E230, "")</f>
        <v/>
      </c>
      <c r="AN230" s="2" t="str">
        <f>IF(Source!$C230&gt;=COLUMNS($A230:AN230), Source!$E230, "")</f>
        <v/>
      </c>
      <c r="AO230" s="2" t="str">
        <f>IF(Source!$C230&gt;=COLUMNS($A230:AO230), Source!$E230, "")</f>
        <v/>
      </c>
      <c r="AP230" s="2" t="str">
        <f>IF(Source!$C230&gt;=COLUMNS($A230:AP230), Source!$E230, "")</f>
        <v/>
      </c>
      <c r="AQ230" s="2" t="str">
        <f>IF(Source!$C230&gt;=COLUMNS($A230:AQ230), Source!$E230, "")</f>
        <v/>
      </c>
      <c r="AR230" s="2" t="str">
        <f>IF(Source!$C230&gt;=COLUMNS($A230:AR230), Source!$E230, "")</f>
        <v/>
      </c>
    </row>
    <row r="231">
      <c r="A231" s="2">
        <f>IF(Source!$C231&gt;=COLUMNS($A231:A231), Source!$E231, "")</f>
        <v>1</v>
      </c>
      <c r="B231" s="2">
        <f>IF(Source!$C231&gt;=COLUMNS($A231:B231), Source!$E231, "")</f>
        <v>1</v>
      </c>
      <c r="C231" s="2" t="str">
        <f>IF(Source!$C231&gt;=COLUMNS($A231:C231), Source!$E231, "")</f>
        <v/>
      </c>
      <c r="D231" s="2" t="str">
        <f>IF(Source!$C231&gt;=COLUMNS($A231:D231), Source!$E231, "")</f>
        <v/>
      </c>
      <c r="E231" s="2" t="str">
        <f>IF(Source!$C231&gt;=COLUMNS($A231:E231), Source!$E231, "")</f>
        <v/>
      </c>
      <c r="F231" s="2" t="str">
        <f>IF(Source!$C231&gt;=COLUMNS($A231:F231), Source!$E231, "")</f>
        <v/>
      </c>
      <c r="G231" s="2" t="str">
        <f>IF(Source!$C231&gt;=COLUMNS($A231:G231), Source!$E231, "")</f>
        <v/>
      </c>
      <c r="H231" s="2" t="str">
        <f>IF(Source!$C231&gt;=COLUMNS($A231:H231), Source!$E231, "")</f>
        <v/>
      </c>
      <c r="I231" s="2" t="str">
        <f>IF(Source!$C231&gt;=COLUMNS($A231:I231), Source!$E231, "")</f>
        <v/>
      </c>
      <c r="J231" s="2" t="str">
        <f>IF(Source!$C231&gt;=COLUMNS($A231:J231), Source!$E231, "")</f>
        <v/>
      </c>
      <c r="K231" s="2" t="str">
        <f>IF(Source!$C231&gt;=COLUMNS($A231:K231), Source!$E231, "")</f>
        <v/>
      </c>
      <c r="L231" s="2" t="str">
        <f>IF(Source!$C231&gt;=COLUMNS($A231:L231), Source!$E231, "")</f>
        <v/>
      </c>
      <c r="M231" s="2" t="str">
        <f>IF(Source!$C231&gt;=COLUMNS($A231:M231), Source!$E231, "")</f>
        <v/>
      </c>
      <c r="N231" s="2" t="str">
        <f>IF(Source!$C231&gt;=COLUMNS($A231:N231), Source!$E231, "")</f>
        <v/>
      </c>
      <c r="O231" s="2" t="str">
        <f>IF(Source!$C231&gt;=COLUMNS($A231:O231), Source!$E231, "")</f>
        <v/>
      </c>
      <c r="P231" s="2" t="str">
        <f>IF(Source!$C231&gt;=COLUMNS($A231:P231), Source!$E231, "")</f>
        <v/>
      </c>
      <c r="Q231" s="2" t="str">
        <f>IF(Source!$C231&gt;=COLUMNS($A231:Q231), Source!$E231, "")</f>
        <v/>
      </c>
      <c r="R231" s="2" t="str">
        <f>IF(Source!$C231&gt;=COLUMNS($A231:R231), Source!$E231, "")</f>
        <v/>
      </c>
      <c r="S231" s="2" t="str">
        <f>IF(Source!$C231&gt;=COLUMNS($A231:S231), Source!$E231, "")</f>
        <v/>
      </c>
      <c r="T231" s="2" t="str">
        <f>IF(Source!$C231&gt;=COLUMNS($A231:T231), Source!$E231, "")</f>
        <v/>
      </c>
      <c r="U231" s="2" t="str">
        <f>IF(Source!$C231&gt;=COLUMNS($A231:U231), Source!$E231, "")</f>
        <v/>
      </c>
      <c r="V231" s="2" t="str">
        <f>IF(Source!$C231&gt;=COLUMNS($A231:V231), Source!$E231, "")</f>
        <v/>
      </c>
      <c r="W231" s="2" t="str">
        <f>IF(Source!$C231&gt;=COLUMNS($A231:W231), Source!$E231, "")</f>
        <v/>
      </c>
      <c r="X231" s="2" t="str">
        <f>IF(Source!$C231&gt;=COLUMNS($A231:X231), Source!$E231, "")</f>
        <v/>
      </c>
      <c r="Y231" s="2" t="str">
        <f>IF(Source!$C231&gt;=COLUMNS($A231:Y231), Source!$E231, "")</f>
        <v/>
      </c>
      <c r="Z231" s="2" t="str">
        <f>IF(Source!$C231&gt;=COLUMNS($A231:Z231), Source!$E231, "")</f>
        <v/>
      </c>
      <c r="AA231" s="2" t="str">
        <f>IF(Source!$C231&gt;=COLUMNS($A231:AA231), Source!$E231, "")</f>
        <v/>
      </c>
      <c r="AB231" s="2" t="str">
        <f>IF(Source!$C231&gt;=COLUMNS($A231:AB231), Source!$E231, "")</f>
        <v/>
      </c>
      <c r="AC231" s="2" t="str">
        <f>IF(Source!$C231&gt;=COLUMNS($A231:AC231), Source!$E231, "")</f>
        <v/>
      </c>
      <c r="AD231" s="2" t="str">
        <f>IF(Source!$C231&gt;=COLUMNS($A231:AD231), Source!$E231, "")</f>
        <v/>
      </c>
      <c r="AE231" s="2" t="str">
        <f>IF(Source!$C231&gt;=COLUMNS($A231:AE231), Source!$E231, "")</f>
        <v/>
      </c>
      <c r="AF231" s="2" t="str">
        <f>IF(Source!$C231&gt;=COLUMNS($A231:AF231), Source!$E231, "")</f>
        <v/>
      </c>
      <c r="AG231" s="2" t="str">
        <f>IF(Source!$C231&gt;=COLUMNS($A231:AG231), Source!$E231, "")</f>
        <v/>
      </c>
      <c r="AH231" s="2" t="str">
        <f>IF(Source!$C231&gt;=COLUMNS($A231:AH231), Source!$E231, "")</f>
        <v/>
      </c>
      <c r="AI231" s="2" t="str">
        <f>IF(Source!$C231&gt;=COLUMNS($A231:AI231), Source!$E231, "")</f>
        <v/>
      </c>
      <c r="AJ231" s="2" t="str">
        <f>IF(Source!$C231&gt;=COLUMNS($A231:AJ231), Source!$E231, "")</f>
        <v/>
      </c>
      <c r="AK231" s="2" t="str">
        <f>IF(Source!$C231&gt;=COLUMNS($A231:AK231), Source!$E231, "")</f>
        <v/>
      </c>
      <c r="AL231" s="2" t="str">
        <f>IF(Source!$C231&gt;=COLUMNS($A231:AL231), Source!$E231, "")</f>
        <v/>
      </c>
      <c r="AM231" s="2" t="str">
        <f>IF(Source!$C231&gt;=COLUMNS($A231:AM231), Source!$E231, "")</f>
        <v/>
      </c>
      <c r="AN231" s="2" t="str">
        <f>IF(Source!$C231&gt;=COLUMNS($A231:AN231), Source!$E231, "")</f>
        <v/>
      </c>
      <c r="AO231" s="2" t="str">
        <f>IF(Source!$C231&gt;=COLUMNS($A231:AO231), Source!$E231, "")</f>
        <v/>
      </c>
      <c r="AP231" s="2" t="str">
        <f>IF(Source!$C231&gt;=COLUMNS($A231:AP231), Source!$E231, "")</f>
        <v/>
      </c>
      <c r="AQ231" s="2" t="str">
        <f>IF(Source!$C231&gt;=COLUMNS($A231:AQ231), Source!$E231, "")</f>
        <v/>
      </c>
      <c r="AR231" s="2" t="str">
        <f>IF(Source!$C231&gt;=COLUMNS($A231:AR231), Source!$E231, "")</f>
        <v/>
      </c>
    </row>
    <row r="232">
      <c r="A232" s="2">
        <f>IF(Source!$C232&gt;=COLUMNS($A232:A232), Source!$E232, "")</f>
        <v>2</v>
      </c>
      <c r="B232" s="2">
        <f>IF(Source!$C232&gt;=COLUMNS($A232:B232), Source!$E232, "")</f>
        <v>2</v>
      </c>
      <c r="C232" s="2">
        <f>IF(Source!$C232&gt;=COLUMNS($A232:C232), Source!$E232, "")</f>
        <v>2</v>
      </c>
      <c r="D232" s="2" t="str">
        <f>IF(Source!$C232&gt;=COLUMNS($A232:D232), Source!$E232, "")</f>
        <v/>
      </c>
      <c r="E232" s="2" t="str">
        <f>IF(Source!$C232&gt;=COLUMNS($A232:E232), Source!$E232, "")</f>
        <v/>
      </c>
      <c r="F232" s="2" t="str">
        <f>IF(Source!$C232&gt;=COLUMNS($A232:F232), Source!$E232, "")</f>
        <v/>
      </c>
      <c r="G232" s="2" t="str">
        <f>IF(Source!$C232&gt;=COLUMNS($A232:G232), Source!$E232, "")</f>
        <v/>
      </c>
      <c r="H232" s="2" t="str">
        <f>IF(Source!$C232&gt;=COLUMNS($A232:H232), Source!$E232, "")</f>
        <v/>
      </c>
      <c r="I232" s="2" t="str">
        <f>IF(Source!$C232&gt;=COLUMNS($A232:I232), Source!$E232, "")</f>
        <v/>
      </c>
      <c r="J232" s="2" t="str">
        <f>IF(Source!$C232&gt;=COLUMNS($A232:J232), Source!$E232, "")</f>
        <v/>
      </c>
      <c r="K232" s="2" t="str">
        <f>IF(Source!$C232&gt;=COLUMNS($A232:K232), Source!$E232, "")</f>
        <v/>
      </c>
      <c r="L232" s="2" t="str">
        <f>IF(Source!$C232&gt;=COLUMNS($A232:L232), Source!$E232, "")</f>
        <v/>
      </c>
      <c r="M232" s="2" t="str">
        <f>IF(Source!$C232&gt;=COLUMNS($A232:M232), Source!$E232, "")</f>
        <v/>
      </c>
      <c r="N232" s="2" t="str">
        <f>IF(Source!$C232&gt;=COLUMNS($A232:N232), Source!$E232, "")</f>
        <v/>
      </c>
      <c r="O232" s="2" t="str">
        <f>IF(Source!$C232&gt;=COLUMNS($A232:O232), Source!$E232, "")</f>
        <v/>
      </c>
      <c r="P232" s="2" t="str">
        <f>IF(Source!$C232&gt;=COLUMNS($A232:P232), Source!$E232, "")</f>
        <v/>
      </c>
      <c r="Q232" s="2" t="str">
        <f>IF(Source!$C232&gt;=COLUMNS($A232:Q232), Source!$E232, "")</f>
        <v/>
      </c>
      <c r="R232" s="2" t="str">
        <f>IF(Source!$C232&gt;=COLUMNS($A232:R232), Source!$E232, "")</f>
        <v/>
      </c>
      <c r="S232" s="2" t="str">
        <f>IF(Source!$C232&gt;=COLUMNS($A232:S232), Source!$E232, "")</f>
        <v/>
      </c>
      <c r="T232" s="2" t="str">
        <f>IF(Source!$C232&gt;=COLUMNS($A232:T232), Source!$E232, "")</f>
        <v/>
      </c>
      <c r="U232" s="2" t="str">
        <f>IF(Source!$C232&gt;=COLUMNS($A232:U232), Source!$E232, "")</f>
        <v/>
      </c>
      <c r="V232" s="2" t="str">
        <f>IF(Source!$C232&gt;=COLUMNS($A232:V232), Source!$E232, "")</f>
        <v/>
      </c>
      <c r="W232" s="2" t="str">
        <f>IF(Source!$C232&gt;=COLUMNS($A232:W232), Source!$E232, "")</f>
        <v/>
      </c>
      <c r="X232" s="2" t="str">
        <f>IF(Source!$C232&gt;=COLUMNS($A232:X232), Source!$E232, "")</f>
        <v/>
      </c>
      <c r="Y232" s="2" t="str">
        <f>IF(Source!$C232&gt;=COLUMNS($A232:Y232), Source!$E232, "")</f>
        <v/>
      </c>
      <c r="Z232" s="2" t="str">
        <f>IF(Source!$C232&gt;=COLUMNS($A232:Z232), Source!$E232, "")</f>
        <v/>
      </c>
      <c r="AA232" s="2" t="str">
        <f>IF(Source!$C232&gt;=COLUMNS($A232:AA232), Source!$E232, "")</f>
        <v/>
      </c>
      <c r="AB232" s="2" t="str">
        <f>IF(Source!$C232&gt;=COLUMNS($A232:AB232), Source!$E232, "")</f>
        <v/>
      </c>
      <c r="AC232" s="2" t="str">
        <f>IF(Source!$C232&gt;=COLUMNS($A232:AC232), Source!$E232, "")</f>
        <v/>
      </c>
      <c r="AD232" s="2" t="str">
        <f>IF(Source!$C232&gt;=COLUMNS($A232:AD232), Source!$E232, "")</f>
        <v/>
      </c>
      <c r="AE232" s="2" t="str">
        <f>IF(Source!$C232&gt;=COLUMNS($A232:AE232), Source!$E232, "")</f>
        <v/>
      </c>
      <c r="AF232" s="2" t="str">
        <f>IF(Source!$C232&gt;=COLUMNS($A232:AF232), Source!$E232, "")</f>
        <v/>
      </c>
      <c r="AG232" s="2" t="str">
        <f>IF(Source!$C232&gt;=COLUMNS($A232:AG232), Source!$E232, "")</f>
        <v/>
      </c>
      <c r="AH232" s="2" t="str">
        <f>IF(Source!$C232&gt;=COLUMNS($A232:AH232), Source!$E232, "")</f>
        <v/>
      </c>
      <c r="AI232" s="2" t="str">
        <f>IF(Source!$C232&gt;=COLUMNS($A232:AI232), Source!$E232, "")</f>
        <v/>
      </c>
      <c r="AJ232" s="2" t="str">
        <f>IF(Source!$C232&gt;=COLUMNS($A232:AJ232), Source!$E232, "")</f>
        <v/>
      </c>
      <c r="AK232" s="2" t="str">
        <f>IF(Source!$C232&gt;=COLUMNS($A232:AK232), Source!$E232, "")</f>
        <v/>
      </c>
      <c r="AL232" s="2" t="str">
        <f>IF(Source!$C232&gt;=COLUMNS($A232:AL232), Source!$E232, "")</f>
        <v/>
      </c>
      <c r="AM232" s="2" t="str">
        <f>IF(Source!$C232&gt;=COLUMNS($A232:AM232), Source!$E232, "")</f>
        <v/>
      </c>
      <c r="AN232" s="2" t="str">
        <f>IF(Source!$C232&gt;=COLUMNS($A232:AN232), Source!$E232, "")</f>
        <v/>
      </c>
      <c r="AO232" s="2" t="str">
        <f>IF(Source!$C232&gt;=COLUMNS($A232:AO232), Source!$E232, "")</f>
        <v/>
      </c>
      <c r="AP232" s="2" t="str">
        <f>IF(Source!$C232&gt;=COLUMNS($A232:AP232), Source!$E232, "")</f>
        <v/>
      </c>
      <c r="AQ232" s="2" t="str">
        <f>IF(Source!$C232&gt;=COLUMNS($A232:AQ232), Source!$E232, "")</f>
        <v/>
      </c>
      <c r="AR232" s="2" t="str">
        <f>IF(Source!$C232&gt;=COLUMNS($A232:AR232), Source!$E232, "")</f>
        <v/>
      </c>
    </row>
    <row r="233">
      <c r="A233" s="2">
        <f>IF(Source!$C233&gt;=COLUMNS($A233:A233), Source!$E233, "")</f>
        <v>7</v>
      </c>
      <c r="B233" s="2" t="str">
        <f>IF(Source!$C233&gt;=COLUMNS($A233:B233), Source!$E233, "")</f>
        <v/>
      </c>
      <c r="C233" s="2" t="str">
        <f>IF(Source!$C233&gt;=COLUMNS($A233:C233), Source!$E233, "")</f>
        <v/>
      </c>
      <c r="D233" s="2" t="str">
        <f>IF(Source!$C233&gt;=COLUMNS($A233:D233), Source!$E233, "")</f>
        <v/>
      </c>
      <c r="E233" s="2" t="str">
        <f>IF(Source!$C233&gt;=COLUMNS($A233:E233), Source!$E233, "")</f>
        <v/>
      </c>
      <c r="F233" s="2" t="str">
        <f>IF(Source!$C233&gt;=COLUMNS($A233:F233), Source!$E233, "")</f>
        <v/>
      </c>
      <c r="G233" s="2" t="str">
        <f>IF(Source!$C233&gt;=COLUMNS($A233:G233), Source!$E233, "")</f>
        <v/>
      </c>
      <c r="H233" s="2" t="str">
        <f>IF(Source!$C233&gt;=COLUMNS($A233:H233), Source!$E233, "")</f>
        <v/>
      </c>
      <c r="I233" s="2" t="str">
        <f>IF(Source!$C233&gt;=COLUMNS($A233:I233), Source!$E233, "")</f>
        <v/>
      </c>
      <c r="J233" s="2" t="str">
        <f>IF(Source!$C233&gt;=COLUMNS($A233:J233), Source!$E233, "")</f>
        <v/>
      </c>
      <c r="K233" s="2" t="str">
        <f>IF(Source!$C233&gt;=COLUMNS($A233:K233), Source!$E233, "")</f>
        <v/>
      </c>
      <c r="L233" s="2" t="str">
        <f>IF(Source!$C233&gt;=COLUMNS($A233:L233), Source!$E233, "")</f>
        <v/>
      </c>
      <c r="M233" s="2" t="str">
        <f>IF(Source!$C233&gt;=COLUMNS($A233:M233), Source!$E233, "")</f>
        <v/>
      </c>
      <c r="N233" s="2" t="str">
        <f>IF(Source!$C233&gt;=COLUMNS($A233:N233), Source!$E233, "")</f>
        <v/>
      </c>
      <c r="O233" s="2" t="str">
        <f>IF(Source!$C233&gt;=COLUMNS($A233:O233), Source!$E233, "")</f>
        <v/>
      </c>
      <c r="P233" s="2" t="str">
        <f>IF(Source!$C233&gt;=COLUMNS($A233:P233), Source!$E233, "")</f>
        <v/>
      </c>
      <c r="Q233" s="2" t="str">
        <f>IF(Source!$C233&gt;=COLUMNS($A233:Q233), Source!$E233, "")</f>
        <v/>
      </c>
      <c r="R233" s="2" t="str">
        <f>IF(Source!$C233&gt;=COLUMNS($A233:R233), Source!$E233, "")</f>
        <v/>
      </c>
      <c r="S233" s="2" t="str">
        <f>IF(Source!$C233&gt;=COLUMNS($A233:S233), Source!$E233, "")</f>
        <v/>
      </c>
      <c r="T233" s="2" t="str">
        <f>IF(Source!$C233&gt;=COLUMNS($A233:T233), Source!$E233, "")</f>
        <v/>
      </c>
      <c r="U233" s="2" t="str">
        <f>IF(Source!$C233&gt;=COLUMNS($A233:U233), Source!$E233, "")</f>
        <v/>
      </c>
      <c r="V233" s="2" t="str">
        <f>IF(Source!$C233&gt;=COLUMNS($A233:V233), Source!$E233, "")</f>
        <v/>
      </c>
      <c r="W233" s="2" t="str">
        <f>IF(Source!$C233&gt;=COLUMNS($A233:W233), Source!$E233, "")</f>
        <v/>
      </c>
      <c r="X233" s="2" t="str">
        <f>IF(Source!$C233&gt;=COLUMNS($A233:X233), Source!$E233, "")</f>
        <v/>
      </c>
      <c r="Y233" s="2" t="str">
        <f>IF(Source!$C233&gt;=COLUMNS($A233:Y233), Source!$E233, "")</f>
        <v/>
      </c>
      <c r="Z233" s="2" t="str">
        <f>IF(Source!$C233&gt;=COLUMNS($A233:Z233), Source!$E233, "")</f>
        <v/>
      </c>
      <c r="AA233" s="2" t="str">
        <f>IF(Source!$C233&gt;=COLUMNS($A233:AA233), Source!$E233, "")</f>
        <v/>
      </c>
      <c r="AB233" s="2" t="str">
        <f>IF(Source!$C233&gt;=COLUMNS($A233:AB233), Source!$E233, "")</f>
        <v/>
      </c>
      <c r="AC233" s="2" t="str">
        <f>IF(Source!$C233&gt;=COLUMNS($A233:AC233), Source!$E233, "")</f>
        <v/>
      </c>
      <c r="AD233" s="2" t="str">
        <f>IF(Source!$C233&gt;=COLUMNS($A233:AD233), Source!$E233, "")</f>
        <v/>
      </c>
      <c r="AE233" s="2" t="str">
        <f>IF(Source!$C233&gt;=COLUMNS($A233:AE233), Source!$E233, "")</f>
        <v/>
      </c>
      <c r="AF233" s="2" t="str">
        <f>IF(Source!$C233&gt;=COLUMNS($A233:AF233), Source!$E233, "")</f>
        <v/>
      </c>
      <c r="AG233" s="2" t="str">
        <f>IF(Source!$C233&gt;=COLUMNS($A233:AG233), Source!$E233, "")</f>
        <v/>
      </c>
      <c r="AH233" s="2" t="str">
        <f>IF(Source!$C233&gt;=COLUMNS($A233:AH233), Source!$E233, "")</f>
        <v/>
      </c>
      <c r="AI233" s="2" t="str">
        <f>IF(Source!$C233&gt;=COLUMNS($A233:AI233), Source!$E233, "")</f>
        <v/>
      </c>
      <c r="AJ233" s="2" t="str">
        <f>IF(Source!$C233&gt;=COLUMNS($A233:AJ233), Source!$E233, "")</f>
        <v/>
      </c>
      <c r="AK233" s="2" t="str">
        <f>IF(Source!$C233&gt;=COLUMNS($A233:AK233), Source!$E233, "")</f>
        <v/>
      </c>
      <c r="AL233" s="2" t="str">
        <f>IF(Source!$C233&gt;=COLUMNS($A233:AL233), Source!$E233, "")</f>
        <v/>
      </c>
      <c r="AM233" s="2" t="str">
        <f>IF(Source!$C233&gt;=COLUMNS($A233:AM233), Source!$E233, "")</f>
        <v/>
      </c>
      <c r="AN233" s="2" t="str">
        <f>IF(Source!$C233&gt;=COLUMNS($A233:AN233), Source!$E233, "")</f>
        <v/>
      </c>
      <c r="AO233" s="2" t="str">
        <f>IF(Source!$C233&gt;=COLUMNS($A233:AO233), Source!$E233, "")</f>
        <v/>
      </c>
      <c r="AP233" s="2" t="str">
        <f>IF(Source!$C233&gt;=COLUMNS($A233:AP233), Source!$E233, "")</f>
        <v/>
      </c>
      <c r="AQ233" s="2" t="str">
        <f>IF(Source!$C233&gt;=COLUMNS($A233:AQ233), Source!$E233, "")</f>
        <v/>
      </c>
      <c r="AR233" s="2" t="str">
        <f>IF(Source!$C233&gt;=COLUMNS($A233:AR233), Source!$E233, "")</f>
        <v/>
      </c>
    </row>
    <row r="234">
      <c r="A234" s="2">
        <f>IF(Source!$C234&gt;=COLUMNS($A234:A234), Source!$E234, "")</f>
        <v>9</v>
      </c>
      <c r="B234" s="2">
        <f>IF(Source!$C234&gt;=COLUMNS($A234:B234), Source!$E234, "")</f>
        <v>9</v>
      </c>
      <c r="C234" s="2">
        <f>IF(Source!$C234&gt;=COLUMNS($A234:C234), Source!$E234, "")</f>
        <v>9</v>
      </c>
      <c r="D234" s="2">
        <f>IF(Source!$C234&gt;=COLUMNS($A234:D234), Source!$E234, "")</f>
        <v>9</v>
      </c>
      <c r="E234" s="2">
        <f>IF(Source!$C234&gt;=COLUMNS($A234:E234), Source!$E234, "")</f>
        <v>9</v>
      </c>
      <c r="F234" s="2">
        <f>IF(Source!$C234&gt;=COLUMNS($A234:F234), Source!$E234, "")</f>
        <v>9</v>
      </c>
      <c r="G234" s="2">
        <f>IF(Source!$C234&gt;=COLUMNS($A234:G234), Source!$E234, "")</f>
        <v>9</v>
      </c>
      <c r="H234" s="2">
        <f>IF(Source!$C234&gt;=COLUMNS($A234:H234), Source!$E234, "")</f>
        <v>9</v>
      </c>
      <c r="I234" s="2">
        <f>IF(Source!$C234&gt;=COLUMNS($A234:I234), Source!$E234, "")</f>
        <v>9</v>
      </c>
      <c r="J234" s="2">
        <f>IF(Source!$C234&gt;=COLUMNS($A234:J234), Source!$E234, "")</f>
        <v>9</v>
      </c>
      <c r="K234" s="2">
        <f>IF(Source!$C234&gt;=COLUMNS($A234:K234), Source!$E234, "")</f>
        <v>9</v>
      </c>
      <c r="L234" s="2">
        <f>IF(Source!$C234&gt;=COLUMNS($A234:L234), Source!$E234, "")</f>
        <v>9</v>
      </c>
      <c r="M234" s="2">
        <f>IF(Source!$C234&gt;=COLUMNS($A234:M234), Source!$E234, "")</f>
        <v>9</v>
      </c>
      <c r="N234" s="2">
        <f>IF(Source!$C234&gt;=COLUMNS($A234:N234), Source!$E234, "")</f>
        <v>9</v>
      </c>
      <c r="O234" s="2">
        <f>IF(Source!$C234&gt;=COLUMNS($A234:O234), Source!$E234, "")</f>
        <v>9</v>
      </c>
      <c r="P234" s="2">
        <f>IF(Source!$C234&gt;=COLUMNS($A234:P234), Source!$E234, "")</f>
        <v>9</v>
      </c>
      <c r="Q234" s="2">
        <f>IF(Source!$C234&gt;=COLUMNS($A234:Q234), Source!$E234, "")</f>
        <v>9</v>
      </c>
      <c r="R234" s="2">
        <f>IF(Source!$C234&gt;=COLUMNS($A234:R234), Source!$E234, "")</f>
        <v>9</v>
      </c>
      <c r="S234" s="2">
        <f>IF(Source!$C234&gt;=COLUMNS($A234:S234), Source!$E234, "")</f>
        <v>9</v>
      </c>
      <c r="T234" s="2" t="str">
        <f>IF(Source!$C234&gt;=COLUMNS($A234:T234), Source!$E234, "")</f>
        <v/>
      </c>
      <c r="U234" s="2" t="str">
        <f>IF(Source!$C234&gt;=COLUMNS($A234:U234), Source!$E234, "")</f>
        <v/>
      </c>
      <c r="V234" s="2" t="str">
        <f>IF(Source!$C234&gt;=COLUMNS($A234:V234), Source!$E234, "")</f>
        <v/>
      </c>
      <c r="W234" s="2" t="str">
        <f>IF(Source!$C234&gt;=COLUMNS($A234:W234), Source!$E234, "")</f>
        <v/>
      </c>
      <c r="X234" s="2" t="str">
        <f>IF(Source!$C234&gt;=COLUMNS($A234:X234), Source!$E234, "")</f>
        <v/>
      </c>
      <c r="Y234" s="2" t="str">
        <f>IF(Source!$C234&gt;=COLUMNS($A234:Y234), Source!$E234, "")</f>
        <v/>
      </c>
      <c r="Z234" s="2" t="str">
        <f>IF(Source!$C234&gt;=COLUMNS($A234:Z234), Source!$E234, "")</f>
        <v/>
      </c>
      <c r="AA234" s="2" t="str">
        <f>IF(Source!$C234&gt;=COLUMNS($A234:AA234), Source!$E234, "")</f>
        <v/>
      </c>
      <c r="AB234" s="2" t="str">
        <f>IF(Source!$C234&gt;=COLUMNS($A234:AB234), Source!$E234, "")</f>
        <v/>
      </c>
      <c r="AC234" s="2" t="str">
        <f>IF(Source!$C234&gt;=COLUMNS($A234:AC234), Source!$E234, "")</f>
        <v/>
      </c>
      <c r="AD234" s="2" t="str">
        <f>IF(Source!$C234&gt;=COLUMNS($A234:AD234), Source!$E234, "")</f>
        <v/>
      </c>
      <c r="AE234" s="2" t="str">
        <f>IF(Source!$C234&gt;=COLUMNS($A234:AE234), Source!$E234, "")</f>
        <v/>
      </c>
      <c r="AF234" s="2" t="str">
        <f>IF(Source!$C234&gt;=COLUMNS($A234:AF234), Source!$E234, "")</f>
        <v/>
      </c>
      <c r="AG234" s="2" t="str">
        <f>IF(Source!$C234&gt;=COLUMNS($A234:AG234), Source!$E234, "")</f>
        <v/>
      </c>
      <c r="AH234" s="2" t="str">
        <f>IF(Source!$C234&gt;=COLUMNS($A234:AH234), Source!$E234, "")</f>
        <v/>
      </c>
      <c r="AI234" s="2" t="str">
        <f>IF(Source!$C234&gt;=COLUMNS($A234:AI234), Source!$E234, "")</f>
        <v/>
      </c>
      <c r="AJ234" s="2" t="str">
        <f>IF(Source!$C234&gt;=COLUMNS($A234:AJ234), Source!$E234, "")</f>
        <v/>
      </c>
      <c r="AK234" s="2" t="str">
        <f>IF(Source!$C234&gt;=COLUMNS($A234:AK234), Source!$E234, "")</f>
        <v/>
      </c>
      <c r="AL234" s="2" t="str">
        <f>IF(Source!$C234&gt;=COLUMNS($A234:AL234), Source!$E234, "")</f>
        <v/>
      </c>
      <c r="AM234" s="2" t="str">
        <f>IF(Source!$C234&gt;=COLUMNS($A234:AM234), Source!$E234, "")</f>
        <v/>
      </c>
      <c r="AN234" s="2" t="str">
        <f>IF(Source!$C234&gt;=COLUMNS($A234:AN234), Source!$E234, "")</f>
        <v/>
      </c>
      <c r="AO234" s="2" t="str">
        <f>IF(Source!$C234&gt;=COLUMNS($A234:AO234), Source!$E234, "")</f>
        <v/>
      </c>
      <c r="AP234" s="2" t="str">
        <f>IF(Source!$C234&gt;=COLUMNS($A234:AP234), Source!$E234, "")</f>
        <v/>
      </c>
      <c r="AQ234" s="2" t="str">
        <f>IF(Source!$C234&gt;=COLUMNS($A234:AQ234), Source!$E234, "")</f>
        <v/>
      </c>
      <c r="AR234" s="2" t="str">
        <f>IF(Source!$C234&gt;=COLUMNS($A234:AR234), Source!$E234, "")</f>
        <v/>
      </c>
    </row>
    <row r="235">
      <c r="A235" s="2">
        <f>IF(Source!$C235&gt;=COLUMNS($A235:A235), Source!$E235, "")</f>
        <v>2</v>
      </c>
      <c r="B235" s="2" t="str">
        <f>IF(Source!$C235&gt;=COLUMNS($A235:B235), Source!$E235, "")</f>
        <v/>
      </c>
      <c r="C235" s="2" t="str">
        <f>IF(Source!$C235&gt;=COLUMNS($A235:C235), Source!$E235, "")</f>
        <v/>
      </c>
      <c r="D235" s="2" t="str">
        <f>IF(Source!$C235&gt;=COLUMNS($A235:D235), Source!$E235, "")</f>
        <v/>
      </c>
      <c r="E235" s="2" t="str">
        <f>IF(Source!$C235&gt;=COLUMNS($A235:E235), Source!$E235, "")</f>
        <v/>
      </c>
      <c r="F235" s="2" t="str">
        <f>IF(Source!$C235&gt;=COLUMNS($A235:F235), Source!$E235, "")</f>
        <v/>
      </c>
      <c r="G235" s="2" t="str">
        <f>IF(Source!$C235&gt;=COLUMNS($A235:G235), Source!$E235, "")</f>
        <v/>
      </c>
      <c r="H235" s="2" t="str">
        <f>IF(Source!$C235&gt;=COLUMNS($A235:H235), Source!$E235, "")</f>
        <v/>
      </c>
      <c r="I235" s="2" t="str">
        <f>IF(Source!$C235&gt;=COLUMNS($A235:I235), Source!$E235, "")</f>
        <v/>
      </c>
      <c r="J235" s="2" t="str">
        <f>IF(Source!$C235&gt;=COLUMNS($A235:J235), Source!$E235, "")</f>
        <v/>
      </c>
      <c r="K235" s="2" t="str">
        <f>IF(Source!$C235&gt;=COLUMNS($A235:K235), Source!$E235, "")</f>
        <v/>
      </c>
      <c r="L235" s="2" t="str">
        <f>IF(Source!$C235&gt;=COLUMNS($A235:L235), Source!$E235, "")</f>
        <v/>
      </c>
      <c r="M235" s="2" t="str">
        <f>IF(Source!$C235&gt;=COLUMNS($A235:M235), Source!$E235, "")</f>
        <v/>
      </c>
      <c r="N235" s="2" t="str">
        <f>IF(Source!$C235&gt;=COLUMNS($A235:N235), Source!$E235, "")</f>
        <v/>
      </c>
      <c r="O235" s="2" t="str">
        <f>IF(Source!$C235&gt;=COLUMNS($A235:O235), Source!$E235, "")</f>
        <v/>
      </c>
      <c r="P235" s="2" t="str">
        <f>IF(Source!$C235&gt;=COLUMNS($A235:P235), Source!$E235, "")</f>
        <v/>
      </c>
      <c r="Q235" s="2" t="str">
        <f>IF(Source!$C235&gt;=COLUMNS($A235:Q235), Source!$E235, "")</f>
        <v/>
      </c>
      <c r="R235" s="2" t="str">
        <f>IF(Source!$C235&gt;=COLUMNS($A235:R235), Source!$E235, "")</f>
        <v/>
      </c>
      <c r="S235" s="2" t="str">
        <f>IF(Source!$C235&gt;=COLUMNS($A235:S235), Source!$E235, "")</f>
        <v/>
      </c>
      <c r="T235" s="2" t="str">
        <f>IF(Source!$C235&gt;=COLUMNS($A235:T235), Source!$E235, "")</f>
        <v/>
      </c>
      <c r="U235" s="2" t="str">
        <f>IF(Source!$C235&gt;=COLUMNS($A235:U235), Source!$E235, "")</f>
        <v/>
      </c>
      <c r="V235" s="2" t="str">
        <f>IF(Source!$C235&gt;=COLUMNS($A235:V235), Source!$E235, "")</f>
        <v/>
      </c>
      <c r="W235" s="2" t="str">
        <f>IF(Source!$C235&gt;=COLUMNS($A235:W235), Source!$E235, "")</f>
        <v/>
      </c>
      <c r="X235" s="2" t="str">
        <f>IF(Source!$C235&gt;=COLUMNS($A235:X235), Source!$E235, "")</f>
        <v/>
      </c>
      <c r="Y235" s="2" t="str">
        <f>IF(Source!$C235&gt;=COLUMNS($A235:Y235), Source!$E235, "")</f>
        <v/>
      </c>
      <c r="Z235" s="2" t="str">
        <f>IF(Source!$C235&gt;=COLUMNS($A235:Z235), Source!$E235, "")</f>
        <v/>
      </c>
      <c r="AA235" s="2" t="str">
        <f>IF(Source!$C235&gt;=COLUMNS($A235:AA235), Source!$E235, "")</f>
        <v/>
      </c>
      <c r="AB235" s="2" t="str">
        <f>IF(Source!$C235&gt;=COLUMNS($A235:AB235), Source!$E235, "")</f>
        <v/>
      </c>
      <c r="AC235" s="2" t="str">
        <f>IF(Source!$C235&gt;=COLUMNS($A235:AC235), Source!$E235, "")</f>
        <v/>
      </c>
      <c r="AD235" s="2" t="str">
        <f>IF(Source!$C235&gt;=COLUMNS($A235:AD235), Source!$E235, "")</f>
        <v/>
      </c>
      <c r="AE235" s="2" t="str">
        <f>IF(Source!$C235&gt;=COLUMNS($A235:AE235), Source!$E235, "")</f>
        <v/>
      </c>
      <c r="AF235" s="2" t="str">
        <f>IF(Source!$C235&gt;=COLUMNS($A235:AF235), Source!$E235, "")</f>
        <v/>
      </c>
      <c r="AG235" s="2" t="str">
        <f>IF(Source!$C235&gt;=COLUMNS($A235:AG235), Source!$E235, "")</f>
        <v/>
      </c>
      <c r="AH235" s="2" t="str">
        <f>IF(Source!$C235&gt;=COLUMNS($A235:AH235), Source!$E235, "")</f>
        <v/>
      </c>
      <c r="AI235" s="2" t="str">
        <f>IF(Source!$C235&gt;=COLUMNS($A235:AI235), Source!$E235, "")</f>
        <v/>
      </c>
      <c r="AJ235" s="2" t="str">
        <f>IF(Source!$C235&gt;=COLUMNS($A235:AJ235), Source!$E235, "")</f>
        <v/>
      </c>
      <c r="AK235" s="2" t="str">
        <f>IF(Source!$C235&gt;=COLUMNS($A235:AK235), Source!$E235, "")</f>
        <v/>
      </c>
      <c r="AL235" s="2" t="str">
        <f>IF(Source!$C235&gt;=COLUMNS($A235:AL235), Source!$E235, "")</f>
        <v/>
      </c>
      <c r="AM235" s="2" t="str">
        <f>IF(Source!$C235&gt;=COLUMNS($A235:AM235), Source!$E235, "")</f>
        <v/>
      </c>
      <c r="AN235" s="2" t="str">
        <f>IF(Source!$C235&gt;=COLUMNS($A235:AN235), Source!$E235, "")</f>
        <v/>
      </c>
      <c r="AO235" s="2" t="str">
        <f>IF(Source!$C235&gt;=COLUMNS($A235:AO235), Source!$E235, "")</f>
        <v/>
      </c>
      <c r="AP235" s="2" t="str">
        <f>IF(Source!$C235&gt;=COLUMNS($A235:AP235), Source!$E235, "")</f>
        <v/>
      </c>
      <c r="AQ235" s="2" t="str">
        <f>IF(Source!$C235&gt;=COLUMNS($A235:AQ235), Source!$E235, "")</f>
        <v/>
      </c>
      <c r="AR235" s="2" t="str">
        <f>IF(Source!$C235&gt;=COLUMNS($A235:AR235), Source!$E235, "")</f>
        <v/>
      </c>
    </row>
    <row r="236">
      <c r="A236" s="2">
        <f>IF(Source!$C236&gt;=COLUMNS($A236:A236), Source!$E236, "")</f>
        <v>7</v>
      </c>
      <c r="B236" s="2" t="str">
        <f>IF(Source!$C236&gt;=COLUMNS($A236:B236), Source!$E236, "")</f>
        <v/>
      </c>
      <c r="C236" s="2" t="str">
        <f>IF(Source!$C236&gt;=COLUMNS($A236:C236), Source!$E236, "")</f>
        <v/>
      </c>
      <c r="D236" s="2" t="str">
        <f>IF(Source!$C236&gt;=COLUMNS($A236:D236), Source!$E236, "")</f>
        <v/>
      </c>
      <c r="E236" s="2" t="str">
        <f>IF(Source!$C236&gt;=COLUMNS($A236:E236), Source!$E236, "")</f>
        <v/>
      </c>
      <c r="F236" s="2" t="str">
        <f>IF(Source!$C236&gt;=COLUMNS($A236:F236), Source!$E236, "")</f>
        <v/>
      </c>
      <c r="G236" s="2" t="str">
        <f>IF(Source!$C236&gt;=COLUMNS($A236:G236), Source!$E236, "")</f>
        <v/>
      </c>
      <c r="H236" s="2" t="str">
        <f>IF(Source!$C236&gt;=COLUMNS($A236:H236), Source!$E236, "")</f>
        <v/>
      </c>
      <c r="I236" s="2" t="str">
        <f>IF(Source!$C236&gt;=COLUMNS($A236:I236), Source!$E236, "")</f>
        <v/>
      </c>
      <c r="J236" s="2" t="str">
        <f>IF(Source!$C236&gt;=COLUMNS($A236:J236), Source!$E236, "")</f>
        <v/>
      </c>
      <c r="K236" s="2" t="str">
        <f>IF(Source!$C236&gt;=COLUMNS($A236:K236), Source!$E236, "")</f>
        <v/>
      </c>
      <c r="L236" s="2" t="str">
        <f>IF(Source!$C236&gt;=COLUMNS($A236:L236), Source!$E236, "")</f>
        <v/>
      </c>
      <c r="M236" s="2" t="str">
        <f>IF(Source!$C236&gt;=COLUMNS($A236:M236), Source!$E236, "")</f>
        <v/>
      </c>
      <c r="N236" s="2" t="str">
        <f>IF(Source!$C236&gt;=COLUMNS($A236:N236), Source!$E236, "")</f>
        <v/>
      </c>
      <c r="O236" s="2" t="str">
        <f>IF(Source!$C236&gt;=COLUMNS($A236:O236), Source!$E236, "")</f>
        <v/>
      </c>
      <c r="P236" s="2" t="str">
        <f>IF(Source!$C236&gt;=COLUMNS($A236:P236), Source!$E236, "")</f>
        <v/>
      </c>
      <c r="Q236" s="2" t="str">
        <f>IF(Source!$C236&gt;=COLUMNS($A236:Q236), Source!$E236, "")</f>
        <v/>
      </c>
      <c r="R236" s="2" t="str">
        <f>IF(Source!$C236&gt;=COLUMNS($A236:R236), Source!$E236, "")</f>
        <v/>
      </c>
      <c r="S236" s="2" t="str">
        <f>IF(Source!$C236&gt;=COLUMNS($A236:S236), Source!$E236, "")</f>
        <v/>
      </c>
      <c r="T236" s="2" t="str">
        <f>IF(Source!$C236&gt;=COLUMNS($A236:T236), Source!$E236, "")</f>
        <v/>
      </c>
      <c r="U236" s="2" t="str">
        <f>IF(Source!$C236&gt;=COLUMNS($A236:U236), Source!$E236, "")</f>
        <v/>
      </c>
      <c r="V236" s="2" t="str">
        <f>IF(Source!$C236&gt;=COLUMNS($A236:V236), Source!$E236, "")</f>
        <v/>
      </c>
      <c r="W236" s="2" t="str">
        <f>IF(Source!$C236&gt;=COLUMNS($A236:W236), Source!$E236, "")</f>
        <v/>
      </c>
      <c r="X236" s="2" t="str">
        <f>IF(Source!$C236&gt;=COLUMNS($A236:X236), Source!$E236, "")</f>
        <v/>
      </c>
      <c r="Y236" s="2" t="str">
        <f>IF(Source!$C236&gt;=COLUMNS($A236:Y236), Source!$E236, "")</f>
        <v/>
      </c>
      <c r="Z236" s="2" t="str">
        <f>IF(Source!$C236&gt;=COLUMNS($A236:Z236), Source!$E236, "")</f>
        <v/>
      </c>
      <c r="AA236" s="2" t="str">
        <f>IF(Source!$C236&gt;=COLUMNS($A236:AA236), Source!$E236, "")</f>
        <v/>
      </c>
      <c r="AB236" s="2" t="str">
        <f>IF(Source!$C236&gt;=COLUMNS($A236:AB236), Source!$E236, "")</f>
        <v/>
      </c>
      <c r="AC236" s="2" t="str">
        <f>IF(Source!$C236&gt;=COLUMNS($A236:AC236), Source!$E236, "")</f>
        <v/>
      </c>
      <c r="AD236" s="2" t="str">
        <f>IF(Source!$C236&gt;=COLUMNS($A236:AD236), Source!$E236, "")</f>
        <v/>
      </c>
      <c r="AE236" s="2" t="str">
        <f>IF(Source!$C236&gt;=COLUMNS($A236:AE236), Source!$E236, "")</f>
        <v/>
      </c>
      <c r="AF236" s="2" t="str">
        <f>IF(Source!$C236&gt;=COLUMNS($A236:AF236), Source!$E236, "")</f>
        <v/>
      </c>
      <c r="AG236" s="2" t="str">
        <f>IF(Source!$C236&gt;=COLUMNS($A236:AG236), Source!$E236, "")</f>
        <v/>
      </c>
      <c r="AH236" s="2" t="str">
        <f>IF(Source!$C236&gt;=COLUMNS($A236:AH236), Source!$E236, "")</f>
        <v/>
      </c>
      <c r="AI236" s="2" t="str">
        <f>IF(Source!$C236&gt;=COLUMNS($A236:AI236), Source!$E236, "")</f>
        <v/>
      </c>
      <c r="AJ236" s="2" t="str">
        <f>IF(Source!$C236&gt;=COLUMNS($A236:AJ236), Source!$E236, "")</f>
        <v/>
      </c>
      <c r="AK236" s="2" t="str">
        <f>IF(Source!$C236&gt;=COLUMNS($A236:AK236), Source!$E236, "")</f>
        <v/>
      </c>
      <c r="AL236" s="2" t="str">
        <f>IF(Source!$C236&gt;=COLUMNS($A236:AL236), Source!$E236, "")</f>
        <v/>
      </c>
      <c r="AM236" s="2" t="str">
        <f>IF(Source!$C236&gt;=COLUMNS($A236:AM236), Source!$E236, "")</f>
        <v/>
      </c>
      <c r="AN236" s="2" t="str">
        <f>IF(Source!$C236&gt;=COLUMNS($A236:AN236), Source!$E236, "")</f>
        <v/>
      </c>
      <c r="AO236" s="2" t="str">
        <f>IF(Source!$C236&gt;=COLUMNS($A236:AO236), Source!$E236, "")</f>
        <v/>
      </c>
      <c r="AP236" s="2" t="str">
        <f>IF(Source!$C236&gt;=COLUMNS($A236:AP236), Source!$E236, "")</f>
        <v/>
      </c>
      <c r="AQ236" s="2" t="str">
        <f>IF(Source!$C236&gt;=COLUMNS($A236:AQ236), Source!$E236, "")</f>
        <v/>
      </c>
      <c r="AR236" s="2" t="str">
        <f>IF(Source!$C236&gt;=COLUMNS($A236:AR236), Source!$E236, "")</f>
        <v/>
      </c>
    </row>
    <row r="237">
      <c r="A237" s="2">
        <f>IF(Source!$C237&gt;=COLUMNS($A237:A237), Source!$E237, "")</f>
        <v>4</v>
      </c>
      <c r="B237" s="2">
        <f>IF(Source!$C237&gt;=COLUMNS($A237:B237), Source!$E237, "")</f>
        <v>4</v>
      </c>
      <c r="C237" s="2">
        <f>IF(Source!$C237&gt;=COLUMNS($A237:C237), Source!$E237, "")</f>
        <v>4</v>
      </c>
      <c r="D237" s="2" t="str">
        <f>IF(Source!$C237&gt;=COLUMNS($A237:D237), Source!$E237, "")</f>
        <v/>
      </c>
      <c r="E237" s="2" t="str">
        <f>IF(Source!$C237&gt;=COLUMNS($A237:E237), Source!$E237, "")</f>
        <v/>
      </c>
      <c r="F237" s="2" t="str">
        <f>IF(Source!$C237&gt;=COLUMNS($A237:F237), Source!$E237, "")</f>
        <v/>
      </c>
      <c r="G237" s="2" t="str">
        <f>IF(Source!$C237&gt;=COLUMNS($A237:G237), Source!$E237, "")</f>
        <v/>
      </c>
      <c r="H237" s="2" t="str">
        <f>IF(Source!$C237&gt;=COLUMNS($A237:H237), Source!$E237, "")</f>
        <v/>
      </c>
      <c r="I237" s="2" t="str">
        <f>IF(Source!$C237&gt;=COLUMNS($A237:I237), Source!$E237, "")</f>
        <v/>
      </c>
      <c r="J237" s="2" t="str">
        <f>IF(Source!$C237&gt;=COLUMNS($A237:J237), Source!$E237, "")</f>
        <v/>
      </c>
      <c r="K237" s="2" t="str">
        <f>IF(Source!$C237&gt;=COLUMNS($A237:K237), Source!$E237, "")</f>
        <v/>
      </c>
      <c r="L237" s="2" t="str">
        <f>IF(Source!$C237&gt;=COLUMNS($A237:L237), Source!$E237, "")</f>
        <v/>
      </c>
      <c r="M237" s="2" t="str">
        <f>IF(Source!$C237&gt;=COLUMNS($A237:M237), Source!$E237, "")</f>
        <v/>
      </c>
      <c r="N237" s="2" t="str">
        <f>IF(Source!$C237&gt;=COLUMNS($A237:N237), Source!$E237, "")</f>
        <v/>
      </c>
      <c r="O237" s="2" t="str">
        <f>IF(Source!$C237&gt;=COLUMNS($A237:O237), Source!$E237, "")</f>
        <v/>
      </c>
      <c r="P237" s="2" t="str">
        <f>IF(Source!$C237&gt;=COLUMNS($A237:P237), Source!$E237, "")</f>
        <v/>
      </c>
      <c r="Q237" s="2" t="str">
        <f>IF(Source!$C237&gt;=COLUMNS($A237:Q237), Source!$E237, "")</f>
        <v/>
      </c>
      <c r="R237" s="2" t="str">
        <f>IF(Source!$C237&gt;=COLUMNS($A237:R237), Source!$E237, "")</f>
        <v/>
      </c>
      <c r="S237" s="2" t="str">
        <f>IF(Source!$C237&gt;=COLUMNS($A237:S237), Source!$E237, "")</f>
        <v/>
      </c>
      <c r="T237" s="2" t="str">
        <f>IF(Source!$C237&gt;=COLUMNS($A237:T237), Source!$E237, "")</f>
        <v/>
      </c>
      <c r="U237" s="2" t="str">
        <f>IF(Source!$C237&gt;=COLUMNS($A237:U237), Source!$E237, "")</f>
        <v/>
      </c>
      <c r="V237" s="2" t="str">
        <f>IF(Source!$C237&gt;=COLUMNS($A237:V237), Source!$E237, "")</f>
        <v/>
      </c>
      <c r="W237" s="2" t="str">
        <f>IF(Source!$C237&gt;=COLUMNS($A237:W237), Source!$E237, "")</f>
        <v/>
      </c>
      <c r="X237" s="2" t="str">
        <f>IF(Source!$C237&gt;=COLUMNS($A237:X237), Source!$E237, "")</f>
        <v/>
      </c>
      <c r="Y237" s="2" t="str">
        <f>IF(Source!$C237&gt;=COLUMNS($A237:Y237), Source!$E237, "")</f>
        <v/>
      </c>
      <c r="Z237" s="2" t="str">
        <f>IF(Source!$C237&gt;=COLUMNS($A237:Z237), Source!$E237, "")</f>
        <v/>
      </c>
      <c r="AA237" s="2" t="str">
        <f>IF(Source!$C237&gt;=COLUMNS($A237:AA237), Source!$E237, "")</f>
        <v/>
      </c>
      <c r="AB237" s="2" t="str">
        <f>IF(Source!$C237&gt;=COLUMNS($A237:AB237), Source!$E237, "")</f>
        <v/>
      </c>
      <c r="AC237" s="2" t="str">
        <f>IF(Source!$C237&gt;=COLUMNS($A237:AC237), Source!$E237, "")</f>
        <v/>
      </c>
      <c r="AD237" s="2" t="str">
        <f>IF(Source!$C237&gt;=COLUMNS($A237:AD237), Source!$E237, "")</f>
        <v/>
      </c>
      <c r="AE237" s="2" t="str">
        <f>IF(Source!$C237&gt;=COLUMNS($A237:AE237), Source!$E237, "")</f>
        <v/>
      </c>
      <c r="AF237" s="2" t="str">
        <f>IF(Source!$C237&gt;=COLUMNS($A237:AF237), Source!$E237, "")</f>
        <v/>
      </c>
      <c r="AG237" s="2" t="str">
        <f>IF(Source!$C237&gt;=COLUMNS($A237:AG237), Source!$E237, "")</f>
        <v/>
      </c>
      <c r="AH237" s="2" t="str">
        <f>IF(Source!$C237&gt;=COLUMNS($A237:AH237), Source!$E237, "")</f>
        <v/>
      </c>
      <c r="AI237" s="2" t="str">
        <f>IF(Source!$C237&gt;=COLUMNS($A237:AI237), Source!$E237, "")</f>
        <v/>
      </c>
      <c r="AJ237" s="2" t="str">
        <f>IF(Source!$C237&gt;=COLUMNS($A237:AJ237), Source!$E237, "")</f>
        <v/>
      </c>
      <c r="AK237" s="2" t="str">
        <f>IF(Source!$C237&gt;=COLUMNS($A237:AK237), Source!$E237, "")</f>
        <v/>
      </c>
      <c r="AL237" s="2" t="str">
        <f>IF(Source!$C237&gt;=COLUMNS($A237:AL237), Source!$E237, "")</f>
        <v/>
      </c>
      <c r="AM237" s="2" t="str">
        <f>IF(Source!$C237&gt;=COLUMNS($A237:AM237), Source!$E237, "")</f>
        <v/>
      </c>
      <c r="AN237" s="2" t="str">
        <f>IF(Source!$C237&gt;=COLUMNS($A237:AN237), Source!$E237, "")</f>
        <v/>
      </c>
      <c r="AO237" s="2" t="str">
        <f>IF(Source!$C237&gt;=COLUMNS($A237:AO237), Source!$E237, "")</f>
        <v/>
      </c>
      <c r="AP237" s="2" t="str">
        <f>IF(Source!$C237&gt;=COLUMNS($A237:AP237), Source!$E237, "")</f>
        <v/>
      </c>
      <c r="AQ237" s="2" t="str">
        <f>IF(Source!$C237&gt;=COLUMNS($A237:AQ237), Source!$E237, "")</f>
        <v/>
      </c>
      <c r="AR237" s="2" t="str">
        <f>IF(Source!$C237&gt;=COLUMNS($A237:AR237), Source!$E237, "")</f>
        <v/>
      </c>
    </row>
    <row r="238">
      <c r="A238" s="2">
        <f>IF(Source!$C238&gt;=COLUMNS($A238:A238), Source!$E238, "")</f>
        <v>5</v>
      </c>
      <c r="B238" s="2">
        <f>IF(Source!$C238&gt;=COLUMNS($A238:B238), Source!$E238, "")</f>
        <v>5</v>
      </c>
      <c r="C238" s="2">
        <f>IF(Source!$C238&gt;=COLUMNS($A238:C238), Source!$E238, "")</f>
        <v>5</v>
      </c>
      <c r="D238" s="2">
        <f>IF(Source!$C238&gt;=COLUMNS($A238:D238), Source!$E238, "")</f>
        <v>5</v>
      </c>
      <c r="E238" s="2">
        <f>IF(Source!$C238&gt;=COLUMNS($A238:E238), Source!$E238, "")</f>
        <v>5</v>
      </c>
      <c r="F238" s="2">
        <f>IF(Source!$C238&gt;=COLUMNS($A238:F238), Source!$E238, "")</f>
        <v>5</v>
      </c>
      <c r="G238" s="2">
        <f>IF(Source!$C238&gt;=COLUMNS($A238:G238), Source!$E238, "")</f>
        <v>5</v>
      </c>
      <c r="H238" s="2">
        <f>IF(Source!$C238&gt;=COLUMNS($A238:H238), Source!$E238, "")</f>
        <v>5</v>
      </c>
      <c r="I238" s="2">
        <f>IF(Source!$C238&gt;=COLUMNS($A238:I238), Source!$E238, "")</f>
        <v>5</v>
      </c>
      <c r="J238" s="2">
        <f>IF(Source!$C238&gt;=COLUMNS($A238:J238), Source!$E238, "")</f>
        <v>5</v>
      </c>
      <c r="K238" s="2">
        <f>IF(Source!$C238&gt;=COLUMNS($A238:K238), Source!$E238, "")</f>
        <v>5</v>
      </c>
      <c r="L238" s="2">
        <f>IF(Source!$C238&gt;=COLUMNS($A238:L238), Source!$E238, "")</f>
        <v>5</v>
      </c>
      <c r="M238" s="2">
        <f>IF(Source!$C238&gt;=COLUMNS($A238:M238), Source!$E238, "")</f>
        <v>5</v>
      </c>
      <c r="N238" s="2">
        <f>IF(Source!$C238&gt;=COLUMNS($A238:N238), Source!$E238, "")</f>
        <v>5</v>
      </c>
      <c r="O238" s="2">
        <f>IF(Source!$C238&gt;=COLUMNS($A238:O238), Source!$E238, "")</f>
        <v>5</v>
      </c>
      <c r="P238" s="2">
        <f>IF(Source!$C238&gt;=COLUMNS($A238:P238), Source!$E238, "")</f>
        <v>5</v>
      </c>
      <c r="Q238" s="2">
        <f>IF(Source!$C238&gt;=COLUMNS($A238:Q238), Source!$E238, "")</f>
        <v>5</v>
      </c>
      <c r="R238" s="2">
        <f>IF(Source!$C238&gt;=COLUMNS($A238:R238), Source!$E238, "")</f>
        <v>5</v>
      </c>
      <c r="S238" s="2">
        <f>IF(Source!$C238&gt;=COLUMNS($A238:S238), Source!$E238, "")</f>
        <v>5</v>
      </c>
      <c r="T238" s="2" t="str">
        <f>IF(Source!$C238&gt;=COLUMNS($A238:T238), Source!$E238, "")</f>
        <v/>
      </c>
      <c r="U238" s="2" t="str">
        <f>IF(Source!$C238&gt;=COLUMNS($A238:U238), Source!$E238, "")</f>
        <v/>
      </c>
      <c r="V238" s="2" t="str">
        <f>IF(Source!$C238&gt;=COLUMNS($A238:V238), Source!$E238, "")</f>
        <v/>
      </c>
      <c r="W238" s="2" t="str">
        <f>IF(Source!$C238&gt;=COLUMNS($A238:W238), Source!$E238, "")</f>
        <v/>
      </c>
      <c r="X238" s="2" t="str">
        <f>IF(Source!$C238&gt;=COLUMNS($A238:X238), Source!$E238, "")</f>
        <v/>
      </c>
      <c r="Y238" s="2" t="str">
        <f>IF(Source!$C238&gt;=COLUMNS($A238:Y238), Source!$E238, "")</f>
        <v/>
      </c>
      <c r="Z238" s="2" t="str">
        <f>IF(Source!$C238&gt;=COLUMNS($A238:Z238), Source!$E238, "")</f>
        <v/>
      </c>
      <c r="AA238" s="2" t="str">
        <f>IF(Source!$C238&gt;=COLUMNS($A238:AA238), Source!$E238, "")</f>
        <v/>
      </c>
      <c r="AB238" s="2" t="str">
        <f>IF(Source!$C238&gt;=COLUMNS($A238:AB238), Source!$E238, "")</f>
        <v/>
      </c>
      <c r="AC238" s="2" t="str">
        <f>IF(Source!$C238&gt;=COLUMNS($A238:AC238), Source!$E238, "")</f>
        <v/>
      </c>
      <c r="AD238" s="2" t="str">
        <f>IF(Source!$C238&gt;=COLUMNS($A238:AD238), Source!$E238, "")</f>
        <v/>
      </c>
      <c r="AE238" s="2" t="str">
        <f>IF(Source!$C238&gt;=COLUMNS($A238:AE238), Source!$E238, "")</f>
        <v/>
      </c>
      <c r="AF238" s="2" t="str">
        <f>IF(Source!$C238&gt;=COLUMNS($A238:AF238), Source!$E238, "")</f>
        <v/>
      </c>
      <c r="AG238" s="2" t="str">
        <f>IF(Source!$C238&gt;=COLUMNS($A238:AG238), Source!$E238, "")</f>
        <v/>
      </c>
      <c r="AH238" s="2" t="str">
        <f>IF(Source!$C238&gt;=COLUMNS($A238:AH238), Source!$E238, "")</f>
        <v/>
      </c>
      <c r="AI238" s="2" t="str">
        <f>IF(Source!$C238&gt;=COLUMNS($A238:AI238), Source!$E238, "")</f>
        <v/>
      </c>
      <c r="AJ238" s="2" t="str">
        <f>IF(Source!$C238&gt;=COLUMNS($A238:AJ238), Source!$E238, "")</f>
        <v/>
      </c>
      <c r="AK238" s="2" t="str">
        <f>IF(Source!$C238&gt;=COLUMNS($A238:AK238), Source!$E238, "")</f>
        <v/>
      </c>
      <c r="AL238" s="2" t="str">
        <f>IF(Source!$C238&gt;=COLUMNS($A238:AL238), Source!$E238, "")</f>
        <v/>
      </c>
      <c r="AM238" s="2" t="str">
        <f>IF(Source!$C238&gt;=COLUMNS($A238:AM238), Source!$E238, "")</f>
        <v/>
      </c>
      <c r="AN238" s="2" t="str">
        <f>IF(Source!$C238&gt;=COLUMNS($A238:AN238), Source!$E238, "")</f>
        <v/>
      </c>
      <c r="AO238" s="2" t="str">
        <f>IF(Source!$C238&gt;=COLUMNS($A238:AO238), Source!$E238, "")</f>
        <v/>
      </c>
      <c r="AP238" s="2" t="str">
        <f>IF(Source!$C238&gt;=COLUMNS($A238:AP238), Source!$E238, "")</f>
        <v/>
      </c>
      <c r="AQ238" s="2" t="str">
        <f>IF(Source!$C238&gt;=COLUMNS($A238:AQ238), Source!$E238, "")</f>
        <v/>
      </c>
      <c r="AR238" s="2" t="str">
        <f>IF(Source!$C238&gt;=COLUMNS($A238:AR238), Source!$E238, "")</f>
        <v/>
      </c>
    </row>
    <row r="239">
      <c r="A239" s="2">
        <f>IF(Source!$C239&gt;=COLUMNS($A239:A239), Source!$E239, "")</f>
        <v>2</v>
      </c>
      <c r="B239" s="2">
        <f>IF(Source!$C239&gt;=COLUMNS($A239:B239), Source!$E239, "")</f>
        <v>2</v>
      </c>
      <c r="C239" s="2" t="str">
        <f>IF(Source!$C239&gt;=COLUMNS($A239:C239), Source!$E239, "")</f>
        <v/>
      </c>
      <c r="D239" s="2" t="str">
        <f>IF(Source!$C239&gt;=COLUMNS($A239:D239), Source!$E239, "")</f>
        <v/>
      </c>
      <c r="E239" s="2" t="str">
        <f>IF(Source!$C239&gt;=COLUMNS($A239:E239), Source!$E239, "")</f>
        <v/>
      </c>
      <c r="F239" s="2" t="str">
        <f>IF(Source!$C239&gt;=COLUMNS($A239:F239), Source!$E239, "")</f>
        <v/>
      </c>
      <c r="G239" s="2" t="str">
        <f>IF(Source!$C239&gt;=COLUMNS($A239:G239), Source!$E239, "")</f>
        <v/>
      </c>
      <c r="H239" s="2" t="str">
        <f>IF(Source!$C239&gt;=COLUMNS($A239:H239), Source!$E239, "")</f>
        <v/>
      </c>
      <c r="I239" s="2" t="str">
        <f>IF(Source!$C239&gt;=COLUMNS($A239:I239), Source!$E239, "")</f>
        <v/>
      </c>
      <c r="J239" s="2" t="str">
        <f>IF(Source!$C239&gt;=COLUMNS($A239:J239), Source!$E239, "")</f>
        <v/>
      </c>
      <c r="K239" s="2" t="str">
        <f>IF(Source!$C239&gt;=COLUMNS($A239:K239), Source!$E239, "")</f>
        <v/>
      </c>
      <c r="L239" s="2" t="str">
        <f>IF(Source!$C239&gt;=COLUMNS($A239:L239), Source!$E239, "")</f>
        <v/>
      </c>
      <c r="M239" s="2" t="str">
        <f>IF(Source!$C239&gt;=COLUMNS($A239:M239), Source!$E239, "")</f>
        <v/>
      </c>
      <c r="N239" s="2" t="str">
        <f>IF(Source!$C239&gt;=COLUMNS($A239:N239), Source!$E239, "")</f>
        <v/>
      </c>
      <c r="O239" s="2" t="str">
        <f>IF(Source!$C239&gt;=COLUMNS($A239:O239), Source!$E239, "")</f>
        <v/>
      </c>
      <c r="P239" s="2" t="str">
        <f>IF(Source!$C239&gt;=COLUMNS($A239:P239), Source!$E239, "")</f>
        <v/>
      </c>
      <c r="Q239" s="2" t="str">
        <f>IF(Source!$C239&gt;=COLUMNS($A239:Q239), Source!$E239, "")</f>
        <v/>
      </c>
      <c r="R239" s="2" t="str">
        <f>IF(Source!$C239&gt;=COLUMNS($A239:R239), Source!$E239, "")</f>
        <v/>
      </c>
      <c r="S239" s="2" t="str">
        <f>IF(Source!$C239&gt;=COLUMNS($A239:S239), Source!$E239, "")</f>
        <v/>
      </c>
      <c r="T239" s="2" t="str">
        <f>IF(Source!$C239&gt;=COLUMNS($A239:T239), Source!$E239, "")</f>
        <v/>
      </c>
      <c r="U239" s="2" t="str">
        <f>IF(Source!$C239&gt;=COLUMNS($A239:U239), Source!$E239, "")</f>
        <v/>
      </c>
      <c r="V239" s="2" t="str">
        <f>IF(Source!$C239&gt;=COLUMNS($A239:V239), Source!$E239, "")</f>
        <v/>
      </c>
      <c r="W239" s="2" t="str">
        <f>IF(Source!$C239&gt;=COLUMNS($A239:W239), Source!$E239, "")</f>
        <v/>
      </c>
      <c r="X239" s="2" t="str">
        <f>IF(Source!$C239&gt;=COLUMNS($A239:X239), Source!$E239, "")</f>
        <v/>
      </c>
      <c r="Y239" s="2" t="str">
        <f>IF(Source!$C239&gt;=COLUMNS($A239:Y239), Source!$E239, "")</f>
        <v/>
      </c>
      <c r="Z239" s="2" t="str">
        <f>IF(Source!$C239&gt;=COLUMNS($A239:Z239), Source!$E239, "")</f>
        <v/>
      </c>
      <c r="AA239" s="2" t="str">
        <f>IF(Source!$C239&gt;=COLUMNS($A239:AA239), Source!$E239, "")</f>
        <v/>
      </c>
      <c r="AB239" s="2" t="str">
        <f>IF(Source!$C239&gt;=COLUMNS($A239:AB239), Source!$E239, "")</f>
        <v/>
      </c>
      <c r="AC239" s="2" t="str">
        <f>IF(Source!$C239&gt;=COLUMNS($A239:AC239), Source!$E239, "")</f>
        <v/>
      </c>
      <c r="AD239" s="2" t="str">
        <f>IF(Source!$C239&gt;=COLUMNS($A239:AD239), Source!$E239, "")</f>
        <v/>
      </c>
      <c r="AE239" s="2" t="str">
        <f>IF(Source!$C239&gt;=COLUMNS($A239:AE239), Source!$E239, "")</f>
        <v/>
      </c>
      <c r="AF239" s="2" t="str">
        <f>IF(Source!$C239&gt;=COLUMNS($A239:AF239), Source!$E239, "")</f>
        <v/>
      </c>
      <c r="AG239" s="2" t="str">
        <f>IF(Source!$C239&gt;=COLUMNS($A239:AG239), Source!$E239, "")</f>
        <v/>
      </c>
      <c r="AH239" s="2" t="str">
        <f>IF(Source!$C239&gt;=COLUMNS($A239:AH239), Source!$E239, "")</f>
        <v/>
      </c>
      <c r="AI239" s="2" t="str">
        <f>IF(Source!$C239&gt;=COLUMNS($A239:AI239), Source!$E239, "")</f>
        <v/>
      </c>
      <c r="AJ239" s="2" t="str">
        <f>IF(Source!$C239&gt;=COLUMNS($A239:AJ239), Source!$E239, "")</f>
        <v/>
      </c>
      <c r="AK239" s="2" t="str">
        <f>IF(Source!$C239&gt;=COLUMNS($A239:AK239), Source!$E239, "")</f>
        <v/>
      </c>
      <c r="AL239" s="2" t="str">
        <f>IF(Source!$C239&gt;=COLUMNS($A239:AL239), Source!$E239, "")</f>
        <v/>
      </c>
      <c r="AM239" s="2" t="str">
        <f>IF(Source!$C239&gt;=COLUMNS($A239:AM239), Source!$E239, "")</f>
        <v/>
      </c>
      <c r="AN239" s="2" t="str">
        <f>IF(Source!$C239&gt;=COLUMNS($A239:AN239), Source!$E239, "")</f>
        <v/>
      </c>
      <c r="AO239" s="2" t="str">
        <f>IF(Source!$C239&gt;=COLUMNS($A239:AO239), Source!$E239, "")</f>
        <v/>
      </c>
      <c r="AP239" s="2" t="str">
        <f>IF(Source!$C239&gt;=COLUMNS($A239:AP239), Source!$E239, "")</f>
        <v/>
      </c>
      <c r="AQ239" s="2" t="str">
        <f>IF(Source!$C239&gt;=COLUMNS($A239:AQ239), Source!$E239, "")</f>
        <v/>
      </c>
      <c r="AR239" s="2" t="str">
        <f>IF(Source!$C239&gt;=COLUMNS($A239:AR239), Source!$E239, "")</f>
        <v/>
      </c>
    </row>
    <row r="240">
      <c r="A240" s="2">
        <f>IF(Source!$C240&gt;=COLUMNS($A240:A240), Source!$E240, "")</f>
        <v>5</v>
      </c>
      <c r="B240" s="2" t="str">
        <f>IF(Source!$C240&gt;=COLUMNS($A240:B240), Source!$E240, "")</f>
        <v/>
      </c>
      <c r="C240" s="2" t="str">
        <f>IF(Source!$C240&gt;=COLUMNS($A240:C240), Source!$E240, "")</f>
        <v/>
      </c>
      <c r="D240" s="2" t="str">
        <f>IF(Source!$C240&gt;=COLUMNS($A240:D240), Source!$E240, "")</f>
        <v/>
      </c>
      <c r="E240" s="2" t="str">
        <f>IF(Source!$C240&gt;=COLUMNS($A240:E240), Source!$E240, "")</f>
        <v/>
      </c>
      <c r="F240" s="2" t="str">
        <f>IF(Source!$C240&gt;=COLUMNS($A240:F240), Source!$E240, "")</f>
        <v/>
      </c>
      <c r="G240" s="2" t="str">
        <f>IF(Source!$C240&gt;=COLUMNS($A240:G240), Source!$E240, "")</f>
        <v/>
      </c>
      <c r="H240" s="2" t="str">
        <f>IF(Source!$C240&gt;=COLUMNS($A240:H240), Source!$E240, "")</f>
        <v/>
      </c>
      <c r="I240" s="2" t="str">
        <f>IF(Source!$C240&gt;=COLUMNS($A240:I240), Source!$E240, "")</f>
        <v/>
      </c>
      <c r="J240" s="2" t="str">
        <f>IF(Source!$C240&gt;=COLUMNS($A240:J240), Source!$E240, "")</f>
        <v/>
      </c>
      <c r="K240" s="2" t="str">
        <f>IF(Source!$C240&gt;=COLUMNS($A240:K240), Source!$E240, "")</f>
        <v/>
      </c>
      <c r="L240" s="2" t="str">
        <f>IF(Source!$C240&gt;=COLUMNS($A240:L240), Source!$E240, "")</f>
        <v/>
      </c>
      <c r="M240" s="2" t="str">
        <f>IF(Source!$C240&gt;=COLUMNS($A240:M240), Source!$E240, "")</f>
        <v/>
      </c>
      <c r="N240" s="2" t="str">
        <f>IF(Source!$C240&gt;=COLUMNS($A240:N240), Source!$E240, "")</f>
        <v/>
      </c>
      <c r="O240" s="2" t="str">
        <f>IF(Source!$C240&gt;=COLUMNS($A240:O240), Source!$E240, "")</f>
        <v/>
      </c>
      <c r="P240" s="2" t="str">
        <f>IF(Source!$C240&gt;=COLUMNS($A240:P240), Source!$E240, "")</f>
        <v/>
      </c>
      <c r="Q240" s="2" t="str">
        <f>IF(Source!$C240&gt;=COLUMNS($A240:Q240), Source!$E240, "")</f>
        <v/>
      </c>
      <c r="R240" s="2" t="str">
        <f>IF(Source!$C240&gt;=COLUMNS($A240:R240), Source!$E240, "")</f>
        <v/>
      </c>
      <c r="S240" s="2" t="str">
        <f>IF(Source!$C240&gt;=COLUMNS($A240:S240), Source!$E240, "")</f>
        <v/>
      </c>
      <c r="T240" s="2" t="str">
        <f>IF(Source!$C240&gt;=COLUMNS($A240:T240), Source!$E240, "")</f>
        <v/>
      </c>
      <c r="U240" s="2" t="str">
        <f>IF(Source!$C240&gt;=COLUMNS($A240:U240), Source!$E240, "")</f>
        <v/>
      </c>
      <c r="V240" s="2" t="str">
        <f>IF(Source!$C240&gt;=COLUMNS($A240:V240), Source!$E240, "")</f>
        <v/>
      </c>
      <c r="W240" s="2" t="str">
        <f>IF(Source!$C240&gt;=COLUMNS($A240:W240), Source!$E240, "")</f>
        <v/>
      </c>
      <c r="X240" s="2" t="str">
        <f>IF(Source!$C240&gt;=COLUMNS($A240:X240), Source!$E240, "")</f>
        <v/>
      </c>
      <c r="Y240" s="2" t="str">
        <f>IF(Source!$C240&gt;=COLUMNS($A240:Y240), Source!$E240, "")</f>
        <v/>
      </c>
      <c r="Z240" s="2" t="str">
        <f>IF(Source!$C240&gt;=COLUMNS($A240:Z240), Source!$E240, "")</f>
        <v/>
      </c>
      <c r="AA240" s="2" t="str">
        <f>IF(Source!$C240&gt;=COLUMNS($A240:AA240), Source!$E240, "")</f>
        <v/>
      </c>
      <c r="AB240" s="2" t="str">
        <f>IF(Source!$C240&gt;=COLUMNS($A240:AB240), Source!$E240, "")</f>
        <v/>
      </c>
      <c r="AC240" s="2" t="str">
        <f>IF(Source!$C240&gt;=COLUMNS($A240:AC240), Source!$E240, "")</f>
        <v/>
      </c>
      <c r="AD240" s="2" t="str">
        <f>IF(Source!$C240&gt;=COLUMNS($A240:AD240), Source!$E240, "")</f>
        <v/>
      </c>
      <c r="AE240" s="2" t="str">
        <f>IF(Source!$C240&gt;=COLUMNS($A240:AE240), Source!$E240, "")</f>
        <v/>
      </c>
      <c r="AF240" s="2" t="str">
        <f>IF(Source!$C240&gt;=COLUMNS($A240:AF240), Source!$E240, "")</f>
        <v/>
      </c>
      <c r="AG240" s="2" t="str">
        <f>IF(Source!$C240&gt;=COLUMNS($A240:AG240), Source!$E240, "")</f>
        <v/>
      </c>
      <c r="AH240" s="2" t="str">
        <f>IF(Source!$C240&gt;=COLUMNS($A240:AH240), Source!$E240, "")</f>
        <v/>
      </c>
      <c r="AI240" s="2" t="str">
        <f>IF(Source!$C240&gt;=COLUMNS($A240:AI240), Source!$E240, "")</f>
        <v/>
      </c>
      <c r="AJ240" s="2" t="str">
        <f>IF(Source!$C240&gt;=COLUMNS($A240:AJ240), Source!$E240, "")</f>
        <v/>
      </c>
      <c r="AK240" s="2" t="str">
        <f>IF(Source!$C240&gt;=COLUMNS($A240:AK240), Source!$E240, "")</f>
        <v/>
      </c>
      <c r="AL240" s="2" t="str">
        <f>IF(Source!$C240&gt;=COLUMNS($A240:AL240), Source!$E240, "")</f>
        <v/>
      </c>
      <c r="AM240" s="2" t="str">
        <f>IF(Source!$C240&gt;=COLUMNS($A240:AM240), Source!$E240, "")</f>
        <v/>
      </c>
      <c r="AN240" s="2" t="str">
        <f>IF(Source!$C240&gt;=COLUMNS($A240:AN240), Source!$E240, "")</f>
        <v/>
      </c>
      <c r="AO240" s="2" t="str">
        <f>IF(Source!$C240&gt;=COLUMNS($A240:AO240), Source!$E240, "")</f>
        <v/>
      </c>
      <c r="AP240" s="2" t="str">
        <f>IF(Source!$C240&gt;=COLUMNS($A240:AP240), Source!$E240, "")</f>
        <v/>
      </c>
      <c r="AQ240" s="2" t="str">
        <f>IF(Source!$C240&gt;=COLUMNS($A240:AQ240), Source!$E240, "")</f>
        <v/>
      </c>
      <c r="AR240" s="2" t="str">
        <f>IF(Source!$C240&gt;=COLUMNS($A240:AR240), Source!$E240, "")</f>
        <v/>
      </c>
    </row>
    <row r="241">
      <c r="A241" s="2">
        <f>IF(Source!$C241&gt;=COLUMNS($A241:A241), Source!$E241, "")</f>
        <v>3</v>
      </c>
      <c r="B241" s="2" t="str">
        <f>IF(Source!$C241&gt;=COLUMNS($A241:B241), Source!$E241, "")</f>
        <v/>
      </c>
      <c r="C241" s="2" t="str">
        <f>IF(Source!$C241&gt;=COLUMNS($A241:C241), Source!$E241, "")</f>
        <v/>
      </c>
      <c r="D241" s="2" t="str">
        <f>IF(Source!$C241&gt;=COLUMNS($A241:D241), Source!$E241, "")</f>
        <v/>
      </c>
      <c r="E241" s="2" t="str">
        <f>IF(Source!$C241&gt;=COLUMNS($A241:E241), Source!$E241, "")</f>
        <v/>
      </c>
      <c r="F241" s="2" t="str">
        <f>IF(Source!$C241&gt;=COLUMNS($A241:F241), Source!$E241, "")</f>
        <v/>
      </c>
      <c r="G241" s="2" t="str">
        <f>IF(Source!$C241&gt;=COLUMNS($A241:G241), Source!$E241, "")</f>
        <v/>
      </c>
      <c r="H241" s="2" t="str">
        <f>IF(Source!$C241&gt;=COLUMNS($A241:H241), Source!$E241, "")</f>
        <v/>
      </c>
      <c r="I241" s="2" t="str">
        <f>IF(Source!$C241&gt;=COLUMNS($A241:I241), Source!$E241, "")</f>
        <v/>
      </c>
      <c r="J241" s="2" t="str">
        <f>IF(Source!$C241&gt;=COLUMNS($A241:J241), Source!$E241, "")</f>
        <v/>
      </c>
      <c r="K241" s="2" t="str">
        <f>IF(Source!$C241&gt;=COLUMNS($A241:K241), Source!$E241, "")</f>
        <v/>
      </c>
      <c r="L241" s="2" t="str">
        <f>IF(Source!$C241&gt;=COLUMNS($A241:L241), Source!$E241, "")</f>
        <v/>
      </c>
      <c r="M241" s="2" t="str">
        <f>IF(Source!$C241&gt;=COLUMNS($A241:M241), Source!$E241, "")</f>
        <v/>
      </c>
      <c r="N241" s="2" t="str">
        <f>IF(Source!$C241&gt;=COLUMNS($A241:N241), Source!$E241, "")</f>
        <v/>
      </c>
      <c r="O241" s="2" t="str">
        <f>IF(Source!$C241&gt;=COLUMNS($A241:O241), Source!$E241, "")</f>
        <v/>
      </c>
      <c r="P241" s="2" t="str">
        <f>IF(Source!$C241&gt;=COLUMNS($A241:P241), Source!$E241, "")</f>
        <v/>
      </c>
      <c r="Q241" s="2" t="str">
        <f>IF(Source!$C241&gt;=COLUMNS($A241:Q241), Source!$E241, "")</f>
        <v/>
      </c>
      <c r="R241" s="2" t="str">
        <f>IF(Source!$C241&gt;=COLUMNS($A241:R241), Source!$E241, "")</f>
        <v/>
      </c>
      <c r="S241" s="2" t="str">
        <f>IF(Source!$C241&gt;=COLUMNS($A241:S241), Source!$E241, "")</f>
        <v/>
      </c>
      <c r="T241" s="2" t="str">
        <f>IF(Source!$C241&gt;=COLUMNS($A241:T241), Source!$E241, "")</f>
        <v/>
      </c>
      <c r="U241" s="2" t="str">
        <f>IF(Source!$C241&gt;=COLUMNS($A241:U241), Source!$E241, "")</f>
        <v/>
      </c>
      <c r="V241" s="2" t="str">
        <f>IF(Source!$C241&gt;=COLUMNS($A241:V241), Source!$E241, "")</f>
        <v/>
      </c>
      <c r="W241" s="2" t="str">
        <f>IF(Source!$C241&gt;=COLUMNS($A241:W241), Source!$E241, "")</f>
        <v/>
      </c>
      <c r="X241" s="2" t="str">
        <f>IF(Source!$C241&gt;=COLUMNS($A241:X241), Source!$E241, "")</f>
        <v/>
      </c>
      <c r="Y241" s="2" t="str">
        <f>IF(Source!$C241&gt;=COLUMNS($A241:Y241), Source!$E241, "")</f>
        <v/>
      </c>
      <c r="Z241" s="2" t="str">
        <f>IF(Source!$C241&gt;=COLUMNS($A241:Z241), Source!$E241, "")</f>
        <v/>
      </c>
      <c r="AA241" s="2" t="str">
        <f>IF(Source!$C241&gt;=COLUMNS($A241:AA241), Source!$E241, "")</f>
        <v/>
      </c>
      <c r="AB241" s="2" t="str">
        <f>IF(Source!$C241&gt;=COLUMNS($A241:AB241), Source!$E241, "")</f>
        <v/>
      </c>
      <c r="AC241" s="2" t="str">
        <f>IF(Source!$C241&gt;=COLUMNS($A241:AC241), Source!$E241, "")</f>
        <v/>
      </c>
      <c r="AD241" s="2" t="str">
        <f>IF(Source!$C241&gt;=COLUMNS($A241:AD241), Source!$E241, "")</f>
        <v/>
      </c>
      <c r="AE241" s="2" t="str">
        <f>IF(Source!$C241&gt;=COLUMNS($A241:AE241), Source!$E241, "")</f>
        <v/>
      </c>
      <c r="AF241" s="2" t="str">
        <f>IF(Source!$C241&gt;=COLUMNS($A241:AF241), Source!$E241, "")</f>
        <v/>
      </c>
      <c r="AG241" s="2" t="str">
        <f>IF(Source!$C241&gt;=COLUMNS($A241:AG241), Source!$E241, "")</f>
        <v/>
      </c>
      <c r="AH241" s="2" t="str">
        <f>IF(Source!$C241&gt;=COLUMNS($A241:AH241), Source!$E241, "")</f>
        <v/>
      </c>
      <c r="AI241" s="2" t="str">
        <f>IF(Source!$C241&gt;=COLUMNS($A241:AI241), Source!$E241, "")</f>
        <v/>
      </c>
      <c r="AJ241" s="2" t="str">
        <f>IF(Source!$C241&gt;=COLUMNS($A241:AJ241), Source!$E241, "")</f>
        <v/>
      </c>
      <c r="AK241" s="2" t="str">
        <f>IF(Source!$C241&gt;=COLUMNS($A241:AK241), Source!$E241, "")</f>
        <v/>
      </c>
      <c r="AL241" s="2" t="str">
        <f>IF(Source!$C241&gt;=COLUMNS($A241:AL241), Source!$E241, "")</f>
        <v/>
      </c>
      <c r="AM241" s="2" t="str">
        <f>IF(Source!$C241&gt;=COLUMNS($A241:AM241), Source!$E241, "")</f>
        <v/>
      </c>
      <c r="AN241" s="2" t="str">
        <f>IF(Source!$C241&gt;=COLUMNS($A241:AN241), Source!$E241, "")</f>
        <v/>
      </c>
      <c r="AO241" s="2" t="str">
        <f>IF(Source!$C241&gt;=COLUMNS($A241:AO241), Source!$E241, "")</f>
        <v/>
      </c>
      <c r="AP241" s="2" t="str">
        <f>IF(Source!$C241&gt;=COLUMNS($A241:AP241), Source!$E241, "")</f>
        <v/>
      </c>
      <c r="AQ241" s="2" t="str">
        <f>IF(Source!$C241&gt;=COLUMNS($A241:AQ241), Source!$E241, "")</f>
        <v/>
      </c>
      <c r="AR241" s="2" t="str">
        <f>IF(Source!$C241&gt;=COLUMNS($A241:AR241), Source!$E241, "")</f>
        <v/>
      </c>
    </row>
    <row r="242">
      <c r="A242" s="2">
        <f>IF(Source!$C242&gt;=COLUMNS($A242:A242), Source!$E242, "")</f>
        <v>9</v>
      </c>
      <c r="B242" s="2">
        <f>IF(Source!$C242&gt;=COLUMNS($A242:B242), Source!$E242, "")</f>
        <v>9</v>
      </c>
      <c r="C242" s="2">
        <f>IF(Source!$C242&gt;=COLUMNS($A242:C242), Source!$E242, "")</f>
        <v>9</v>
      </c>
      <c r="D242" s="2">
        <f>IF(Source!$C242&gt;=COLUMNS($A242:D242), Source!$E242, "")</f>
        <v>9</v>
      </c>
      <c r="E242" s="2">
        <f>IF(Source!$C242&gt;=COLUMNS($A242:E242), Source!$E242, "")</f>
        <v>9</v>
      </c>
      <c r="F242" s="2">
        <f>IF(Source!$C242&gt;=COLUMNS($A242:F242), Source!$E242, "")</f>
        <v>9</v>
      </c>
      <c r="G242" s="2">
        <f>IF(Source!$C242&gt;=COLUMNS($A242:G242), Source!$E242, "")</f>
        <v>9</v>
      </c>
      <c r="H242" s="2">
        <f>IF(Source!$C242&gt;=COLUMNS($A242:H242), Source!$E242, "")</f>
        <v>9</v>
      </c>
      <c r="I242" s="2" t="str">
        <f>IF(Source!$C242&gt;=COLUMNS($A242:I242), Source!$E242, "")</f>
        <v/>
      </c>
      <c r="J242" s="2" t="str">
        <f>IF(Source!$C242&gt;=COLUMNS($A242:J242), Source!$E242, "")</f>
        <v/>
      </c>
      <c r="K242" s="2" t="str">
        <f>IF(Source!$C242&gt;=COLUMNS($A242:K242), Source!$E242, "")</f>
        <v/>
      </c>
      <c r="L242" s="2" t="str">
        <f>IF(Source!$C242&gt;=COLUMNS($A242:L242), Source!$E242, "")</f>
        <v/>
      </c>
      <c r="M242" s="2" t="str">
        <f>IF(Source!$C242&gt;=COLUMNS($A242:M242), Source!$E242, "")</f>
        <v/>
      </c>
      <c r="N242" s="2" t="str">
        <f>IF(Source!$C242&gt;=COLUMNS($A242:N242), Source!$E242, "")</f>
        <v/>
      </c>
      <c r="O242" s="2" t="str">
        <f>IF(Source!$C242&gt;=COLUMNS($A242:O242), Source!$E242, "")</f>
        <v/>
      </c>
      <c r="P242" s="2" t="str">
        <f>IF(Source!$C242&gt;=COLUMNS($A242:P242), Source!$E242, "")</f>
        <v/>
      </c>
      <c r="Q242" s="2" t="str">
        <f>IF(Source!$C242&gt;=COLUMNS($A242:Q242), Source!$E242, "")</f>
        <v/>
      </c>
      <c r="R242" s="2" t="str">
        <f>IF(Source!$C242&gt;=COLUMNS($A242:R242), Source!$E242, "")</f>
        <v/>
      </c>
      <c r="S242" s="2" t="str">
        <f>IF(Source!$C242&gt;=COLUMNS($A242:S242), Source!$E242, "")</f>
        <v/>
      </c>
      <c r="T242" s="2" t="str">
        <f>IF(Source!$C242&gt;=COLUMNS($A242:T242), Source!$E242, "")</f>
        <v/>
      </c>
      <c r="U242" s="2" t="str">
        <f>IF(Source!$C242&gt;=COLUMNS($A242:U242), Source!$E242, "")</f>
        <v/>
      </c>
      <c r="V242" s="2" t="str">
        <f>IF(Source!$C242&gt;=COLUMNS($A242:V242), Source!$E242, "")</f>
        <v/>
      </c>
      <c r="W242" s="2" t="str">
        <f>IF(Source!$C242&gt;=COLUMNS($A242:W242), Source!$E242, "")</f>
        <v/>
      </c>
      <c r="X242" s="2" t="str">
        <f>IF(Source!$C242&gt;=COLUMNS($A242:X242), Source!$E242, "")</f>
        <v/>
      </c>
      <c r="Y242" s="2" t="str">
        <f>IF(Source!$C242&gt;=COLUMNS($A242:Y242), Source!$E242, "")</f>
        <v/>
      </c>
      <c r="Z242" s="2" t="str">
        <f>IF(Source!$C242&gt;=COLUMNS($A242:Z242), Source!$E242, "")</f>
        <v/>
      </c>
      <c r="AA242" s="2" t="str">
        <f>IF(Source!$C242&gt;=COLUMNS($A242:AA242), Source!$E242, "")</f>
        <v/>
      </c>
      <c r="AB242" s="2" t="str">
        <f>IF(Source!$C242&gt;=COLUMNS($A242:AB242), Source!$E242, "")</f>
        <v/>
      </c>
      <c r="AC242" s="2" t="str">
        <f>IF(Source!$C242&gt;=COLUMNS($A242:AC242), Source!$E242, "")</f>
        <v/>
      </c>
      <c r="AD242" s="2" t="str">
        <f>IF(Source!$C242&gt;=COLUMNS($A242:AD242), Source!$E242, "")</f>
        <v/>
      </c>
      <c r="AE242" s="2" t="str">
        <f>IF(Source!$C242&gt;=COLUMNS($A242:AE242), Source!$E242, "")</f>
        <v/>
      </c>
      <c r="AF242" s="2" t="str">
        <f>IF(Source!$C242&gt;=COLUMNS($A242:AF242), Source!$E242, "")</f>
        <v/>
      </c>
      <c r="AG242" s="2" t="str">
        <f>IF(Source!$C242&gt;=COLUMNS($A242:AG242), Source!$E242, "")</f>
        <v/>
      </c>
      <c r="AH242" s="2" t="str">
        <f>IF(Source!$C242&gt;=COLUMNS($A242:AH242), Source!$E242, "")</f>
        <v/>
      </c>
      <c r="AI242" s="2" t="str">
        <f>IF(Source!$C242&gt;=COLUMNS($A242:AI242), Source!$E242, "")</f>
        <v/>
      </c>
      <c r="AJ242" s="2" t="str">
        <f>IF(Source!$C242&gt;=COLUMNS($A242:AJ242), Source!$E242, "")</f>
        <v/>
      </c>
      <c r="AK242" s="2" t="str">
        <f>IF(Source!$C242&gt;=COLUMNS($A242:AK242), Source!$E242, "")</f>
        <v/>
      </c>
      <c r="AL242" s="2" t="str">
        <f>IF(Source!$C242&gt;=COLUMNS($A242:AL242), Source!$E242, "")</f>
        <v/>
      </c>
      <c r="AM242" s="2" t="str">
        <f>IF(Source!$C242&gt;=COLUMNS($A242:AM242), Source!$E242, "")</f>
        <v/>
      </c>
      <c r="AN242" s="2" t="str">
        <f>IF(Source!$C242&gt;=COLUMNS($A242:AN242), Source!$E242, "")</f>
        <v/>
      </c>
      <c r="AO242" s="2" t="str">
        <f>IF(Source!$C242&gt;=COLUMNS($A242:AO242), Source!$E242, "")</f>
        <v/>
      </c>
      <c r="AP242" s="2" t="str">
        <f>IF(Source!$C242&gt;=COLUMNS($A242:AP242), Source!$E242, "")</f>
        <v/>
      </c>
      <c r="AQ242" s="2" t="str">
        <f>IF(Source!$C242&gt;=COLUMNS($A242:AQ242), Source!$E242, "")</f>
        <v/>
      </c>
      <c r="AR242" s="2" t="str">
        <f>IF(Source!$C242&gt;=COLUMNS($A242:AR242), Source!$E242, "")</f>
        <v/>
      </c>
    </row>
    <row r="243">
      <c r="A243" s="2">
        <f>IF(Source!$C243&gt;=COLUMNS($A243:A243), Source!$E243, "")</f>
        <v>6</v>
      </c>
      <c r="B243" s="2" t="str">
        <f>IF(Source!$C243&gt;=COLUMNS($A243:B243), Source!$E243, "")</f>
        <v/>
      </c>
      <c r="C243" s="2" t="str">
        <f>IF(Source!$C243&gt;=COLUMNS($A243:C243), Source!$E243, "")</f>
        <v/>
      </c>
      <c r="D243" s="2" t="str">
        <f>IF(Source!$C243&gt;=COLUMNS($A243:D243), Source!$E243, "")</f>
        <v/>
      </c>
      <c r="E243" s="2" t="str">
        <f>IF(Source!$C243&gt;=COLUMNS($A243:E243), Source!$E243, "")</f>
        <v/>
      </c>
      <c r="F243" s="2" t="str">
        <f>IF(Source!$C243&gt;=COLUMNS($A243:F243), Source!$E243, "")</f>
        <v/>
      </c>
      <c r="G243" s="2" t="str">
        <f>IF(Source!$C243&gt;=COLUMNS($A243:G243), Source!$E243, "")</f>
        <v/>
      </c>
      <c r="H243" s="2" t="str">
        <f>IF(Source!$C243&gt;=COLUMNS($A243:H243), Source!$E243, "")</f>
        <v/>
      </c>
      <c r="I243" s="2" t="str">
        <f>IF(Source!$C243&gt;=COLUMNS($A243:I243), Source!$E243, "")</f>
        <v/>
      </c>
      <c r="J243" s="2" t="str">
        <f>IF(Source!$C243&gt;=COLUMNS($A243:J243), Source!$E243, "")</f>
        <v/>
      </c>
      <c r="K243" s="2" t="str">
        <f>IF(Source!$C243&gt;=COLUMNS($A243:K243), Source!$E243, "")</f>
        <v/>
      </c>
      <c r="L243" s="2" t="str">
        <f>IF(Source!$C243&gt;=COLUMNS($A243:L243), Source!$E243, "")</f>
        <v/>
      </c>
      <c r="M243" s="2" t="str">
        <f>IF(Source!$C243&gt;=COLUMNS($A243:M243), Source!$E243, "")</f>
        <v/>
      </c>
      <c r="N243" s="2" t="str">
        <f>IF(Source!$C243&gt;=COLUMNS($A243:N243), Source!$E243, "")</f>
        <v/>
      </c>
      <c r="O243" s="2" t="str">
        <f>IF(Source!$C243&gt;=COLUMNS($A243:O243), Source!$E243, "")</f>
        <v/>
      </c>
      <c r="P243" s="2" t="str">
        <f>IF(Source!$C243&gt;=COLUMNS($A243:P243), Source!$E243, "")</f>
        <v/>
      </c>
      <c r="Q243" s="2" t="str">
        <f>IF(Source!$C243&gt;=COLUMNS($A243:Q243), Source!$E243, "")</f>
        <v/>
      </c>
      <c r="R243" s="2" t="str">
        <f>IF(Source!$C243&gt;=COLUMNS($A243:R243), Source!$E243, "")</f>
        <v/>
      </c>
      <c r="S243" s="2" t="str">
        <f>IF(Source!$C243&gt;=COLUMNS($A243:S243), Source!$E243, "")</f>
        <v/>
      </c>
      <c r="T243" s="2" t="str">
        <f>IF(Source!$C243&gt;=COLUMNS($A243:T243), Source!$E243, "")</f>
        <v/>
      </c>
      <c r="U243" s="2" t="str">
        <f>IF(Source!$C243&gt;=COLUMNS($A243:U243), Source!$E243, "")</f>
        <v/>
      </c>
      <c r="V243" s="2" t="str">
        <f>IF(Source!$C243&gt;=COLUMNS($A243:V243), Source!$E243, "")</f>
        <v/>
      </c>
      <c r="W243" s="2" t="str">
        <f>IF(Source!$C243&gt;=COLUMNS($A243:W243), Source!$E243, "")</f>
        <v/>
      </c>
      <c r="X243" s="2" t="str">
        <f>IF(Source!$C243&gt;=COLUMNS($A243:X243), Source!$E243, "")</f>
        <v/>
      </c>
      <c r="Y243" s="2" t="str">
        <f>IF(Source!$C243&gt;=COLUMNS($A243:Y243), Source!$E243, "")</f>
        <v/>
      </c>
      <c r="Z243" s="2" t="str">
        <f>IF(Source!$C243&gt;=COLUMNS($A243:Z243), Source!$E243, "")</f>
        <v/>
      </c>
      <c r="AA243" s="2" t="str">
        <f>IF(Source!$C243&gt;=COLUMNS($A243:AA243), Source!$E243, "")</f>
        <v/>
      </c>
      <c r="AB243" s="2" t="str">
        <f>IF(Source!$C243&gt;=COLUMNS($A243:AB243), Source!$E243, "")</f>
        <v/>
      </c>
      <c r="AC243" s="2" t="str">
        <f>IF(Source!$C243&gt;=COLUMNS($A243:AC243), Source!$E243, "")</f>
        <v/>
      </c>
      <c r="AD243" s="2" t="str">
        <f>IF(Source!$C243&gt;=COLUMNS($A243:AD243), Source!$E243, "")</f>
        <v/>
      </c>
      <c r="AE243" s="2" t="str">
        <f>IF(Source!$C243&gt;=COLUMNS($A243:AE243), Source!$E243, "")</f>
        <v/>
      </c>
      <c r="AF243" s="2" t="str">
        <f>IF(Source!$C243&gt;=COLUMNS($A243:AF243), Source!$E243, "")</f>
        <v/>
      </c>
      <c r="AG243" s="2" t="str">
        <f>IF(Source!$C243&gt;=COLUMNS($A243:AG243), Source!$E243, "")</f>
        <v/>
      </c>
      <c r="AH243" s="2" t="str">
        <f>IF(Source!$C243&gt;=COLUMNS($A243:AH243), Source!$E243, "")</f>
        <v/>
      </c>
      <c r="AI243" s="2" t="str">
        <f>IF(Source!$C243&gt;=COLUMNS($A243:AI243), Source!$E243, "")</f>
        <v/>
      </c>
      <c r="AJ243" s="2" t="str">
        <f>IF(Source!$C243&gt;=COLUMNS($A243:AJ243), Source!$E243, "")</f>
        <v/>
      </c>
      <c r="AK243" s="2" t="str">
        <f>IF(Source!$C243&gt;=COLUMNS($A243:AK243), Source!$E243, "")</f>
        <v/>
      </c>
      <c r="AL243" s="2" t="str">
        <f>IF(Source!$C243&gt;=COLUMNS($A243:AL243), Source!$E243, "")</f>
        <v/>
      </c>
      <c r="AM243" s="2" t="str">
        <f>IF(Source!$C243&gt;=COLUMNS($A243:AM243), Source!$E243, "")</f>
        <v/>
      </c>
      <c r="AN243" s="2" t="str">
        <f>IF(Source!$C243&gt;=COLUMNS($A243:AN243), Source!$E243, "")</f>
        <v/>
      </c>
      <c r="AO243" s="2" t="str">
        <f>IF(Source!$C243&gt;=COLUMNS($A243:AO243), Source!$E243, "")</f>
        <v/>
      </c>
      <c r="AP243" s="2" t="str">
        <f>IF(Source!$C243&gt;=COLUMNS($A243:AP243), Source!$E243, "")</f>
        <v/>
      </c>
      <c r="AQ243" s="2" t="str">
        <f>IF(Source!$C243&gt;=COLUMNS($A243:AQ243), Source!$E243, "")</f>
        <v/>
      </c>
      <c r="AR243" s="2" t="str">
        <f>IF(Source!$C243&gt;=COLUMNS($A243:AR243), Source!$E243, "")</f>
        <v/>
      </c>
    </row>
    <row r="244">
      <c r="A244" s="2">
        <f>IF(Source!$C244&gt;=COLUMNS($A244:A244), Source!$E244, "")</f>
        <v>2</v>
      </c>
      <c r="B244" s="2" t="str">
        <f>IF(Source!$C244&gt;=COLUMNS($A244:B244), Source!$E244, "")</f>
        <v/>
      </c>
      <c r="C244" s="2" t="str">
        <f>IF(Source!$C244&gt;=COLUMNS($A244:C244), Source!$E244, "")</f>
        <v/>
      </c>
      <c r="D244" s="2" t="str">
        <f>IF(Source!$C244&gt;=COLUMNS($A244:D244), Source!$E244, "")</f>
        <v/>
      </c>
      <c r="E244" s="2" t="str">
        <f>IF(Source!$C244&gt;=COLUMNS($A244:E244), Source!$E244, "")</f>
        <v/>
      </c>
      <c r="F244" s="2" t="str">
        <f>IF(Source!$C244&gt;=COLUMNS($A244:F244), Source!$E244, "")</f>
        <v/>
      </c>
      <c r="G244" s="2" t="str">
        <f>IF(Source!$C244&gt;=COLUMNS($A244:G244), Source!$E244, "")</f>
        <v/>
      </c>
      <c r="H244" s="2" t="str">
        <f>IF(Source!$C244&gt;=COLUMNS($A244:H244), Source!$E244, "")</f>
        <v/>
      </c>
      <c r="I244" s="2" t="str">
        <f>IF(Source!$C244&gt;=COLUMNS($A244:I244), Source!$E244, "")</f>
        <v/>
      </c>
      <c r="J244" s="2" t="str">
        <f>IF(Source!$C244&gt;=COLUMNS($A244:J244), Source!$E244, "")</f>
        <v/>
      </c>
      <c r="K244" s="2" t="str">
        <f>IF(Source!$C244&gt;=COLUMNS($A244:K244), Source!$E244, "")</f>
        <v/>
      </c>
      <c r="L244" s="2" t="str">
        <f>IF(Source!$C244&gt;=COLUMNS($A244:L244), Source!$E244, "")</f>
        <v/>
      </c>
      <c r="M244" s="2" t="str">
        <f>IF(Source!$C244&gt;=COLUMNS($A244:M244), Source!$E244, "")</f>
        <v/>
      </c>
      <c r="N244" s="2" t="str">
        <f>IF(Source!$C244&gt;=COLUMNS($A244:N244), Source!$E244, "")</f>
        <v/>
      </c>
      <c r="O244" s="2" t="str">
        <f>IF(Source!$C244&gt;=COLUMNS($A244:O244), Source!$E244, "")</f>
        <v/>
      </c>
      <c r="P244" s="2" t="str">
        <f>IF(Source!$C244&gt;=COLUMNS($A244:P244), Source!$E244, "")</f>
        <v/>
      </c>
      <c r="Q244" s="2" t="str">
        <f>IF(Source!$C244&gt;=COLUMNS($A244:Q244), Source!$E244, "")</f>
        <v/>
      </c>
      <c r="R244" s="2" t="str">
        <f>IF(Source!$C244&gt;=COLUMNS($A244:R244), Source!$E244, "")</f>
        <v/>
      </c>
      <c r="S244" s="2" t="str">
        <f>IF(Source!$C244&gt;=COLUMNS($A244:S244), Source!$E244, "")</f>
        <v/>
      </c>
      <c r="T244" s="2" t="str">
        <f>IF(Source!$C244&gt;=COLUMNS($A244:T244), Source!$E244, "")</f>
        <v/>
      </c>
      <c r="U244" s="2" t="str">
        <f>IF(Source!$C244&gt;=COLUMNS($A244:U244), Source!$E244, "")</f>
        <v/>
      </c>
      <c r="V244" s="2" t="str">
        <f>IF(Source!$C244&gt;=COLUMNS($A244:V244), Source!$E244, "")</f>
        <v/>
      </c>
      <c r="W244" s="2" t="str">
        <f>IF(Source!$C244&gt;=COLUMNS($A244:W244), Source!$E244, "")</f>
        <v/>
      </c>
      <c r="X244" s="2" t="str">
        <f>IF(Source!$C244&gt;=COLUMNS($A244:X244), Source!$E244, "")</f>
        <v/>
      </c>
      <c r="Y244" s="2" t="str">
        <f>IF(Source!$C244&gt;=COLUMNS($A244:Y244), Source!$E244, "")</f>
        <v/>
      </c>
      <c r="Z244" s="2" t="str">
        <f>IF(Source!$C244&gt;=COLUMNS($A244:Z244), Source!$E244, "")</f>
        <v/>
      </c>
      <c r="AA244" s="2" t="str">
        <f>IF(Source!$C244&gt;=COLUMNS($A244:AA244), Source!$E244, "")</f>
        <v/>
      </c>
      <c r="AB244" s="2" t="str">
        <f>IF(Source!$C244&gt;=COLUMNS($A244:AB244), Source!$E244, "")</f>
        <v/>
      </c>
      <c r="AC244" s="2" t="str">
        <f>IF(Source!$C244&gt;=COLUMNS($A244:AC244), Source!$E244, "")</f>
        <v/>
      </c>
      <c r="AD244" s="2" t="str">
        <f>IF(Source!$C244&gt;=COLUMNS($A244:AD244), Source!$E244, "")</f>
        <v/>
      </c>
      <c r="AE244" s="2" t="str">
        <f>IF(Source!$C244&gt;=COLUMNS($A244:AE244), Source!$E244, "")</f>
        <v/>
      </c>
      <c r="AF244" s="2" t="str">
        <f>IF(Source!$C244&gt;=COLUMNS($A244:AF244), Source!$E244, "")</f>
        <v/>
      </c>
      <c r="AG244" s="2" t="str">
        <f>IF(Source!$C244&gt;=COLUMNS($A244:AG244), Source!$E244, "")</f>
        <v/>
      </c>
      <c r="AH244" s="2" t="str">
        <f>IF(Source!$C244&gt;=COLUMNS($A244:AH244), Source!$E244, "")</f>
        <v/>
      </c>
      <c r="AI244" s="2" t="str">
        <f>IF(Source!$C244&gt;=COLUMNS($A244:AI244), Source!$E244, "")</f>
        <v/>
      </c>
      <c r="AJ244" s="2" t="str">
        <f>IF(Source!$C244&gt;=COLUMNS($A244:AJ244), Source!$E244, "")</f>
        <v/>
      </c>
      <c r="AK244" s="2" t="str">
        <f>IF(Source!$C244&gt;=COLUMNS($A244:AK244), Source!$E244, "")</f>
        <v/>
      </c>
      <c r="AL244" s="2" t="str">
        <f>IF(Source!$C244&gt;=COLUMNS($A244:AL244), Source!$E244, "")</f>
        <v/>
      </c>
      <c r="AM244" s="2" t="str">
        <f>IF(Source!$C244&gt;=COLUMNS($A244:AM244), Source!$E244, "")</f>
        <v/>
      </c>
      <c r="AN244" s="2" t="str">
        <f>IF(Source!$C244&gt;=COLUMNS($A244:AN244), Source!$E244, "")</f>
        <v/>
      </c>
      <c r="AO244" s="2" t="str">
        <f>IF(Source!$C244&gt;=COLUMNS($A244:AO244), Source!$E244, "")</f>
        <v/>
      </c>
      <c r="AP244" s="2" t="str">
        <f>IF(Source!$C244&gt;=COLUMNS($A244:AP244), Source!$E244, "")</f>
        <v/>
      </c>
      <c r="AQ244" s="2" t="str">
        <f>IF(Source!$C244&gt;=COLUMNS($A244:AQ244), Source!$E244, "")</f>
        <v/>
      </c>
      <c r="AR244" s="2" t="str">
        <f>IF(Source!$C244&gt;=COLUMNS($A244:AR244), Source!$E244, "")</f>
        <v/>
      </c>
    </row>
    <row r="245">
      <c r="A245" s="2">
        <f>IF(Source!$C245&gt;=COLUMNS($A245:A245), Source!$E245, "")</f>
        <v>2</v>
      </c>
      <c r="B245" s="2" t="str">
        <f>IF(Source!$C245&gt;=COLUMNS($A245:B245), Source!$E245, "")</f>
        <v/>
      </c>
      <c r="C245" s="2" t="str">
        <f>IF(Source!$C245&gt;=COLUMNS($A245:C245), Source!$E245, "")</f>
        <v/>
      </c>
      <c r="D245" s="2" t="str">
        <f>IF(Source!$C245&gt;=COLUMNS($A245:D245), Source!$E245, "")</f>
        <v/>
      </c>
      <c r="E245" s="2" t="str">
        <f>IF(Source!$C245&gt;=COLUMNS($A245:E245), Source!$E245, "")</f>
        <v/>
      </c>
      <c r="F245" s="2" t="str">
        <f>IF(Source!$C245&gt;=COLUMNS($A245:F245), Source!$E245, "")</f>
        <v/>
      </c>
      <c r="G245" s="2" t="str">
        <f>IF(Source!$C245&gt;=COLUMNS($A245:G245), Source!$E245, "")</f>
        <v/>
      </c>
      <c r="H245" s="2" t="str">
        <f>IF(Source!$C245&gt;=COLUMNS($A245:H245), Source!$E245, "")</f>
        <v/>
      </c>
      <c r="I245" s="2" t="str">
        <f>IF(Source!$C245&gt;=COLUMNS($A245:I245), Source!$E245, "")</f>
        <v/>
      </c>
      <c r="J245" s="2" t="str">
        <f>IF(Source!$C245&gt;=COLUMNS($A245:J245), Source!$E245, "")</f>
        <v/>
      </c>
      <c r="K245" s="2" t="str">
        <f>IF(Source!$C245&gt;=COLUMNS($A245:K245), Source!$E245, "")</f>
        <v/>
      </c>
      <c r="L245" s="2" t="str">
        <f>IF(Source!$C245&gt;=COLUMNS($A245:L245), Source!$E245, "")</f>
        <v/>
      </c>
      <c r="M245" s="2" t="str">
        <f>IF(Source!$C245&gt;=COLUMNS($A245:M245), Source!$E245, "")</f>
        <v/>
      </c>
      <c r="N245" s="2" t="str">
        <f>IF(Source!$C245&gt;=COLUMNS($A245:N245), Source!$E245, "")</f>
        <v/>
      </c>
      <c r="O245" s="2" t="str">
        <f>IF(Source!$C245&gt;=COLUMNS($A245:O245), Source!$E245, "")</f>
        <v/>
      </c>
      <c r="P245" s="2" t="str">
        <f>IF(Source!$C245&gt;=COLUMNS($A245:P245), Source!$E245, "")</f>
        <v/>
      </c>
      <c r="Q245" s="2" t="str">
        <f>IF(Source!$C245&gt;=COLUMNS($A245:Q245), Source!$E245, "")</f>
        <v/>
      </c>
      <c r="R245" s="2" t="str">
        <f>IF(Source!$C245&gt;=COLUMNS($A245:R245), Source!$E245, "")</f>
        <v/>
      </c>
      <c r="S245" s="2" t="str">
        <f>IF(Source!$C245&gt;=COLUMNS($A245:S245), Source!$E245, "")</f>
        <v/>
      </c>
      <c r="T245" s="2" t="str">
        <f>IF(Source!$C245&gt;=COLUMNS($A245:T245), Source!$E245, "")</f>
        <v/>
      </c>
      <c r="U245" s="2" t="str">
        <f>IF(Source!$C245&gt;=COLUMNS($A245:U245), Source!$E245, "")</f>
        <v/>
      </c>
      <c r="V245" s="2" t="str">
        <f>IF(Source!$C245&gt;=COLUMNS($A245:V245), Source!$E245, "")</f>
        <v/>
      </c>
      <c r="W245" s="2" t="str">
        <f>IF(Source!$C245&gt;=COLUMNS($A245:W245), Source!$E245, "")</f>
        <v/>
      </c>
      <c r="X245" s="2" t="str">
        <f>IF(Source!$C245&gt;=COLUMNS($A245:X245), Source!$E245, "")</f>
        <v/>
      </c>
      <c r="Y245" s="2" t="str">
        <f>IF(Source!$C245&gt;=COLUMNS($A245:Y245), Source!$E245, "")</f>
        <v/>
      </c>
      <c r="Z245" s="2" t="str">
        <f>IF(Source!$C245&gt;=COLUMNS($A245:Z245), Source!$E245, "")</f>
        <v/>
      </c>
      <c r="AA245" s="2" t="str">
        <f>IF(Source!$C245&gt;=COLUMNS($A245:AA245), Source!$E245, "")</f>
        <v/>
      </c>
      <c r="AB245" s="2" t="str">
        <f>IF(Source!$C245&gt;=COLUMNS($A245:AB245), Source!$E245, "")</f>
        <v/>
      </c>
      <c r="AC245" s="2" t="str">
        <f>IF(Source!$C245&gt;=COLUMNS($A245:AC245), Source!$E245, "")</f>
        <v/>
      </c>
      <c r="AD245" s="2" t="str">
        <f>IF(Source!$C245&gt;=COLUMNS($A245:AD245), Source!$E245, "")</f>
        <v/>
      </c>
      <c r="AE245" s="2" t="str">
        <f>IF(Source!$C245&gt;=COLUMNS($A245:AE245), Source!$E245, "")</f>
        <v/>
      </c>
      <c r="AF245" s="2" t="str">
        <f>IF(Source!$C245&gt;=COLUMNS($A245:AF245), Source!$E245, "")</f>
        <v/>
      </c>
      <c r="AG245" s="2" t="str">
        <f>IF(Source!$C245&gt;=COLUMNS($A245:AG245), Source!$E245, "")</f>
        <v/>
      </c>
      <c r="AH245" s="2" t="str">
        <f>IF(Source!$C245&gt;=COLUMNS($A245:AH245), Source!$E245, "")</f>
        <v/>
      </c>
      <c r="AI245" s="2" t="str">
        <f>IF(Source!$C245&gt;=COLUMNS($A245:AI245), Source!$E245, "")</f>
        <v/>
      </c>
      <c r="AJ245" s="2" t="str">
        <f>IF(Source!$C245&gt;=COLUMNS($A245:AJ245), Source!$E245, "")</f>
        <v/>
      </c>
      <c r="AK245" s="2" t="str">
        <f>IF(Source!$C245&gt;=COLUMNS($A245:AK245), Source!$E245, "")</f>
        <v/>
      </c>
      <c r="AL245" s="2" t="str">
        <f>IF(Source!$C245&gt;=COLUMNS($A245:AL245), Source!$E245, "")</f>
        <v/>
      </c>
      <c r="AM245" s="2" t="str">
        <f>IF(Source!$C245&gt;=COLUMNS($A245:AM245), Source!$E245, "")</f>
        <v/>
      </c>
      <c r="AN245" s="2" t="str">
        <f>IF(Source!$C245&gt;=COLUMNS($A245:AN245), Source!$E245, "")</f>
        <v/>
      </c>
      <c r="AO245" s="2" t="str">
        <f>IF(Source!$C245&gt;=COLUMNS($A245:AO245), Source!$E245, "")</f>
        <v/>
      </c>
      <c r="AP245" s="2" t="str">
        <f>IF(Source!$C245&gt;=COLUMNS($A245:AP245), Source!$E245, "")</f>
        <v/>
      </c>
      <c r="AQ245" s="2" t="str">
        <f>IF(Source!$C245&gt;=COLUMNS($A245:AQ245), Source!$E245, "")</f>
        <v/>
      </c>
      <c r="AR245" s="2" t="str">
        <f>IF(Source!$C245&gt;=COLUMNS($A245:AR245), Source!$E245, "")</f>
        <v/>
      </c>
    </row>
    <row r="246">
      <c r="A246" s="2">
        <f>IF(Source!$C246&gt;=COLUMNS($A246:A246), Source!$E246, "")</f>
        <v>7</v>
      </c>
      <c r="B246" s="2">
        <f>IF(Source!$C246&gt;=COLUMNS($A246:B246), Source!$E246, "")</f>
        <v>7</v>
      </c>
      <c r="C246" s="2">
        <f>IF(Source!$C246&gt;=COLUMNS($A246:C246), Source!$E246, "")</f>
        <v>7</v>
      </c>
      <c r="D246" s="2">
        <f>IF(Source!$C246&gt;=COLUMNS($A246:D246), Source!$E246, "")</f>
        <v>7</v>
      </c>
      <c r="E246" s="2">
        <f>IF(Source!$C246&gt;=COLUMNS($A246:E246), Source!$E246, "")</f>
        <v>7</v>
      </c>
      <c r="F246" s="2">
        <f>IF(Source!$C246&gt;=COLUMNS($A246:F246), Source!$E246, "")</f>
        <v>7</v>
      </c>
      <c r="G246" s="2">
        <f>IF(Source!$C246&gt;=COLUMNS($A246:G246), Source!$E246, "")</f>
        <v>7</v>
      </c>
      <c r="H246" s="2">
        <f>IF(Source!$C246&gt;=COLUMNS($A246:H246), Source!$E246, "")</f>
        <v>7</v>
      </c>
      <c r="I246" s="2" t="str">
        <f>IF(Source!$C246&gt;=COLUMNS($A246:I246), Source!$E246, "")</f>
        <v/>
      </c>
      <c r="J246" s="2" t="str">
        <f>IF(Source!$C246&gt;=COLUMNS($A246:J246), Source!$E246, "")</f>
        <v/>
      </c>
      <c r="K246" s="2" t="str">
        <f>IF(Source!$C246&gt;=COLUMNS($A246:K246), Source!$E246, "")</f>
        <v/>
      </c>
      <c r="L246" s="2" t="str">
        <f>IF(Source!$C246&gt;=COLUMNS($A246:L246), Source!$E246, "")</f>
        <v/>
      </c>
      <c r="M246" s="2" t="str">
        <f>IF(Source!$C246&gt;=COLUMNS($A246:M246), Source!$E246, "")</f>
        <v/>
      </c>
      <c r="N246" s="2" t="str">
        <f>IF(Source!$C246&gt;=COLUMNS($A246:N246), Source!$E246, "")</f>
        <v/>
      </c>
      <c r="O246" s="2" t="str">
        <f>IF(Source!$C246&gt;=COLUMNS($A246:O246), Source!$E246, "")</f>
        <v/>
      </c>
      <c r="P246" s="2" t="str">
        <f>IF(Source!$C246&gt;=COLUMNS($A246:P246), Source!$E246, "")</f>
        <v/>
      </c>
      <c r="Q246" s="2" t="str">
        <f>IF(Source!$C246&gt;=COLUMNS($A246:Q246), Source!$E246, "")</f>
        <v/>
      </c>
      <c r="R246" s="2" t="str">
        <f>IF(Source!$C246&gt;=COLUMNS($A246:R246), Source!$E246, "")</f>
        <v/>
      </c>
      <c r="S246" s="2" t="str">
        <f>IF(Source!$C246&gt;=COLUMNS($A246:S246), Source!$E246, "")</f>
        <v/>
      </c>
      <c r="T246" s="2" t="str">
        <f>IF(Source!$C246&gt;=COLUMNS($A246:T246), Source!$E246, "")</f>
        <v/>
      </c>
      <c r="U246" s="2" t="str">
        <f>IF(Source!$C246&gt;=COLUMNS($A246:U246), Source!$E246, "")</f>
        <v/>
      </c>
      <c r="V246" s="2" t="str">
        <f>IF(Source!$C246&gt;=COLUMNS($A246:V246), Source!$E246, "")</f>
        <v/>
      </c>
      <c r="W246" s="2" t="str">
        <f>IF(Source!$C246&gt;=COLUMNS($A246:W246), Source!$E246, "")</f>
        <v/>
      </c>
      <c r="X246" s="2" t="str">
        <f>IF(Source!$C246&gt;=COLUMNS($A246:X246), Source!$E246, "")</f>
        <v/>
      </c>
      <c r="Y246" s="2" t="str">
        <f>IF(Source!$C246&gt;=COLUMNS($A246:Y246), Source!$E246, "")</f>
        <v/>
      </c>
      <c r="Z246" s="2" t="str">
        <f>IF(Source!$C246&gt;=COLUMNS($A246:Z246), Source!$E246, "")</f>
        <v/>
      </c>
      <c r="AA246" s="2" t="str">
        <f>IF(Source!$C246&gt;=COLUMNS($A246:AA246), Source!$E246, "")</f>
        <v/>
      </c>
      <c r="AB246" s="2" t="str">
        <f>IF(Source!$C246&gt;=COLUMNS($A246:AB246), Source!$E246, "")</f>
        <v/>
      </c>
      <c r="AC246" s="2" t="str">
        <f>IF(Source!$C246&gt;=COLUMNS($A246:AC246), Source!$E246, "")</f>
        <v/>
      </c>
      <c r="AD246" s="2" t="str">
        <f>IF(Source!$C246&gt;=COLUMNS($A246:AD246), Source!$E246, "")</f>
        <v/>
      </c>
      <c r="AE246" s="2" t="str">
        <f>IF(Source!$C246&gt;=COLUMNS($A246:AE246), Source!$E246, "")</f>
        <v/>
      </c>
      <c r="AF246" s="2" t="str">
        <f>IF(Source!$C246&gt;=COLUMNS($A246:AF246), Source!$E246, "")</f>
        <v/>
      </c>
      <c r="AG246" s="2" t="str">
        <f>IF(Source!$C246&gt;=COLUMNS($A246:AG246), Source!$E246, "")</f>
        <v/>
      </c>
      <c r="AH246" s="2" t="str">
        <f>IF(Source!$C246&gt;=COLUMNS($A246:AH246), Source!$E246, "")</f>
        <v/>
      </c>
      <c r="AI246" s="2" t="str">
        <f>IF(Source!$C246&gt;=COLUMNS($A246:AI246), Source!$E246, "")</f>
        <v/>
      </c>
      <c r="AJ246" s="2" t="str">
        <f>IF(Source!$C246&gt;=COLUMNS($A246:AJ246), Source!$E246, "")</f>
        <v/>
      </c>
      <c r="AK246" s="2" t="str">
        <f>IF(Source!$C246&gt;=COLUMNS($A246:AK246), Source!$E246, "")</f>
        <v/>
      </c>
      <c r="AL246" s="2" t="str">
        <f>IF(Source!$C246&gt;=COLUMNS($A246:AL246), Source!$E246, "")</f>
        <v/>
      </c>
      <c r="AM246" s="2" t="str">
        <f>IF(Source!$C246&gt;=COLUMNS($A246:AM246), Source!$E246, "")</f>
        <v/>
      </c>
      <c r="AN246" s="2" t="str">
        <f>IF(Source!$C246&gt;=COLUMNS($A246:AN246), Source!$E246, "")</f>
        <v/>
      </c>
      <c r="AO246" s="2" t="str">
        <f>IF(Source!$C246&gt;=COLUMNS($A246:AO246), Source!$E246, "")</f>
        <v/>
      </c>
      <c r="AP246" s="2" t="str">
        <f>IF(Source!$C246&gt;=COLUMNS($A246:AP246), Source!$E246, "")</f>
        <v/>
      </c>
      <c r="AQ246" s="2" t="str">
        <f>IF(Source!$C246&gt;=COLUMNS($A246:AQ246), Source!$E246, "")</f>
        <v/>
      </c>
      <c r="AR246" s="2" t="str">
        <f>IF(Source!$C246&gt;=COLUMNS($A246:AR246), Source!$E246, "")</f>
        <v/>
      </c>
    </row>
    <row r="247">
      <c r="A247" s="2">
        <f>IF(Source!$C247&gt;=COLUMNS($A247:A247), Source!$E247, "")</f>
        <v>4</v>
      </c>
      <c r="B247" s="2">
        <f>IF(Source!$C247&gt;=COLUMNS($A247:B247), Source!$E247, "")</f>
        <v>4</v>
      </c>
      <c r="C247" s="2">
        <f>IF(Source!$C247&gt;=COLUMNS($A247:C247), Source!$E247, "")</f>
        <v>4</v>
      </c>
      <c r="D247" s="2">
        <f>IF(Source!$C247&gt;=COLUMNS($A247:D247), Source!$E247, "")</f>
        <v>4</v>
      </c>
      <c r="E247" s="2">
        <f>IF(Source!$C247&gt;=COLUMNS($A247:E247), Source!$E247, "")</f>
        <v>4</v>
      </c>
      <c r="F247" s="2" t="str">
        <f>IF(Source!$C247&gt;=COLUMNS($A247:F247), Source!$E247, "")</f>
        <v/>
      </c>
      <c r="G247" s="2" t="str">
        <f>IF(Source!$C247&gt;=COLUMNS($A247:G247), Source!$E247, "")</f>
        <v/>
      </c>
      <c r="H247" s="2" t="str">
        <f>IF(Source!$C247&gt;=COLUMNS($A247:H247), Source!$E247, "")</f>
        <v/>
      </c>
      <c r="I247" s="2" t="str">
        <f>IF(Source!$C247&gt;=COLUMNS($A247:I247), Source!$E247, "")</f>
        <v/>
      </c>
      <c r="J247" s="2" t="str">
        <f>IF(Source!$C247&gt;=COLUMNS($A247:J247), Source!$E247, "")</f>
        <v/>
      </c>
      <c r="K247" s="2" t="str">
        <f>IF(Source!$C247&gt;=COLUMNS($A247:K247), Source!$E247, "")</f>
        <v/>
      </c>
      <c r="L247" s="2" t="str">
        <f>IF(Source!$C247&gt;=COLUMNS($A247:L247), Source!$E247, "")</f>
        <v/>
      </c>
      <c r="M247" s="2" t="str">
        <f>IF(Source!$C247&gt;=COLUMNS($A247:M247), Source!$E247, "")</f>
        <v/>
      </c>
      <c r="N247" s="2" t="str">
        <f>IF(Source!$C247&gt;=COLUMNS($A247:N247), Source!$E247, "")</f>
        <v/>
      </c>
      <c r="O247" s="2" t="str">
        <f>IF(Source!$C247&gt;=COLUMNS($A247:O247), Source!$E247, "")</f>
        <v/>
      </c>
      <c r="P247" s="2" t="str">
        <f>IF(Source!$C247&gt;=COLUMNS($A247:P247), Source!$E247, "")</f>
        <v/>
      </c>
      <c r="Q247" s="2" t="str">
        <f>IF(Source!$C247&gt;=COLUMNS($A247:Q247), Source!$E247, "")</f>
        <v/>
      </c>
      <c r="R247" s="2" t="str">
        <f>IF(Source!$C247&gt;=COLUMNS($A247:R247), Source!$E247, "")</f>
        <v/>
      </c>
      <c r="S247" s="2" t="str">
        <f>IF(Source!$C247&gt;=COLUMNS($A247:S247), Source!$E247, "")</f>
        <v/>
      </c>
      <c r="T247" s="2" t="str">
        <f>IF(Source!$C247&gt;=COLUMNS($A247:T247), Source!$E247, "")</f>
        <v/>
      </c>
      <c r="U247" s="2" t="str">
        <f>IF(Source!$C247&gt;=COLUMNS($A247:U247), Source!$E247, "")</f>
        <v/>
      </c>
      <c r="V247" s="2" t="str">
        <f>IF(Source!$C247&gt;=COLUMNS($A247:V247), Source!$E247, "")</f>
        <v/>
      </c>
      <c r="W247" s="2" t="str">
        <f>IF(Source!$C247&gt;=COLUMNS($A247:W247), Source!$E247, "")</f>
        <v/>
      </c>
      <c r="X247" s="2" t="str">
        <f>IF(Source!$C247&gt;=COLUMNS($A247:X247), Source!$E247, "")</f>
        <v/>
      </c>
      <c r="Y247" s="2" t="str">
        <f>IF(Source!$C247&gt;=COLUMNS($A247:Y247), Source!$E247, "")</f>
        <v/>
      </c>
      <c r="Z247" s="2" t="str">
        <f>IF(Source!$C247&gt;=COLUMNS($A247:Z247), Source!$E247, "")</f>
        <v/>
      </c>
      <c r="AA247" s="2" t="str">
        <f>IF(Source!$C247&gt;=COLUMNS($A247:AA247), Source!$E247, "")</f>
        <v/>
      </c>
      <c r="AB247" s="2" t="str">
        <f>IF(Source!$C247&gt;=COLUMNS($A247:AB247), Source!$E247, "")</f>
        <v/>
      </c>
      <c r="AC247" s="2" t="str">
        <f>IF(Source!$C247&gt;=COLUMNS($A247:AC247), Source!$E247, "")</f>
        <v/>
      </c>
      <c r="AD247" s="2" t="str">
        <f>IF(Source!$C247&gt;=COLUMNS($A247:AD247), Source!$E247, "")</f>
        <v/>
      </c>
      <c r="AE247" s="2" t="str">
        <f>IF(Source!$C247&gt;=COLUMNS($A247:AE247), Source!$E247, "")</f>
        <v/>
      </c>
      <c r="AF247" s="2" t="str">
        <f>IF(Source!$C247&gt;=COLUMNS($A247:AF247), Source!$E247, "")</f>
        <v/>
      </c>
      <c r="AG247" s="2" t="str">
        <f>IF(Source!$C247&gt;=COLUMNS($A247:AG247), Source!$E247, "")</f>
        <v/>
      </c>
      <c r="AH247" s="2" t="str">
        <f>IF(Source!$C247&gt;=COLUMNS($A247:AH247), Source!$E247, "")</f>
        <v/>
      </c>
      <c r="AI247" s="2" t="str">
        <f>IF(Source!$C247&gt;=COLUMNS($A247:AI247), Source!$E247, "")</f>
        <v/>
      </c>
      <c r="AJ247" s="2" t="str">
        <f>IF(Source!$C247&gt;=COLUMNS($A247:AJ247), Source!$E247, "")</f>
        <v/>
      </c>
      <c r="AK247" s="2" t="str">
        <f>IF(Source!$C247&gt;=COLUMNS($A247:AK247), Source!$E247, "")</f>
        <v/>
      </c>
      <c r="AL247" s="2" t="str">
        <f>IF(Source!$C247&gt;=COLUMNS($A247:AL247), Source!$E247, "")</f>
        <v/>
      </c>
      <c r="AM247" s="2" t="str">
        <f>IF(Source!$C247&gt;=COLUMNS($A247:AM247), Source!$E247, "")</f>
        <v/>
      </c>
      <c r="AN247" s="2" t="str">
        <f>IF(Source!$C247&gt;=COLUMNS($A247:AN247), Source!$E247, "")</f>
        <v/>
      </c>
      <c r="AO247" s="2" t="str">
        <f>IF(Source!$C247&gt;=COLUMNS($A247:AO247), Source!$E247, "")</f>
        <v/>
      </c>
      <c r="AP247" s="2" t="str">
        <f>IF(Source!$C247&gt;=COLUMNS($A247:AP247), Source!$E247, "")</f>
        <v/>
      </c>
      <c r="AQ247" s="2" t="str">
        <f>IF(Source!$C247&gt;=COLUMNS($A247:AQ247), Source!$E247, "")</f>
        <v/>
      </c>
      <c r="AR247" s="2" t="str">
        <f>IF(Source!$C247&gt;=COLUMNS($A247:AR247), Source!$E247, "")</f>
        <v/>
      </c>
    </row>
    <row r="248">
      <c r="A248" s="2">
        <f>IF(Source!$C248&gt;=COLUMNS($A248:A248), Source!$E248, "")</f>
        <v>6</v>
      </c>
      <c r="B248" s="2">
        <f>IF(Source!$C248&gt;=COLUMNS($A248:B248), Source!$E248, "")</f>
        <v>6</v>
      </c>
      <c r="C248" s="2" t="str">
        <f>IF(Source!$C248&gt;=COLUMNS($A248:C248), Source!$E248, "")</f>
        <v/>
      </c>
      <c r="D248" s="2" t="str">
        <f>IF(Source!$C248&gt;=COLUMNS($A248:D248), Source!$E248, "")</f>
        <v/>
      </c>
      <c r="E248" s="2" t="str">
        <f>IF(Source!$C248&gt;=COLUMNS($A248:E248), Source!$E248, "")</f>
        <v/>
      </c>
      <c r="F248" s="2" t="str">
        <f>IF(Source!$C248&gt;=COLUMNS($A248:F248), Source!$E248, "")</f>
        <v/>
      </c>
      <c r="G248" s="2" t="str">
        <f>IF(Source!$C248&gt;=COLUMNS($A248:G248), Source!$E248, "")</f>
        <v/>
      </c>
      <c r="H248" s="2" t="str">
        <f>IF(Source!$C248&gt;=COLUMNS($A248:H248), Source!$E248, "")</f>
        <v/>
      </c>
      <c r="I248" s="2" t="str">
        <f>IF(Source!$C248&gt;=COLUMNS($A248:I248), Source!$E248, "")</f>
        <v/>
      </c>
      <c r="J248" s="2" t="str">
        <f>IF(Source!$C248&gt;=COLUMNS($A248:J248), Source!$E248, "")</f>
        <v/>
      </c>
      <c r="K248" s="2" t="str">
        <f>IF(Source!$C248&gt;=COLUMNS($A248:K248), Source!$E248, "")</f>
        <v/>
      </c>
      <c r="L248" s="2" t="str">
        <f>IF(Source!$C248&gt;=COLUMNS($A248:L248), Source!$E248, "")</f>
        <v/>
      </c>
      <c r="M248" s="2" t="str">
        <f>IF(Source!$C248&gt;=COLUMNS($A248:M248), Source!$E248, "")</f>
        <v/>
      </c>
      <c r="N248" s="2" t="str">
        <f>IF(Source!$C248&gt;=COLUMNS($A248:N248), Source!$E248, "")</f>
        <v/>
      </c>
      <c r="O248" s="2" t="str">
        <f>IF(Source!$C248&gt;=COLUMNS($A248:O248), Source!$E248, "")</f>
        <v/>
      </c>
      <c r="P248" s="2" t="str">
        <f>IF(Source!$C248&gt;=COLUMNS($A248:P248), Source!$E248, "")</f>
        <v/>
      </c>
      <c r="Q248" s="2" t="str">
        <f>IF(Source!$C248&gt;=COLUMNS($A248:Q248), Source!$E248, "")</f>
        <v/>
      </c>
      <c r="R248" s="2" t="str">
        <f>IF(Source!$C248&gt;=COLUMNS($A248:R248), Source!$E248, "")</f>
        <v/>
      </c>
      <c r="S248" s="2" t="str">
        <f>IF(Source!$C248&gt;=COLUMNS($A248:S248), Source!$E248, "")</f>
        <v/>
      </c>
      <c r="T248" s="2" t="str">
        <f>IF(Source!$C248&gt;=COLUMNS($A248:T248), Source!$E248, "")</f>
        <v/>
      </c>
      <c r="U248" s="2" t="str">
        <f>IF(Source!$C248&gt;=COLUMNS($A248:U248), Source!$E248, "")</f>
        <v/>
      </c>
      <c r="V248" s="2" t="str">
        <f>IF(Source!$C248&gt;=COLUMNS($A248:V248), Source!$E248, "")</f>
        <v/>
      </c>
      <c r="W248" s="2" t="str">
        <f>IF(Source!$C248&gt;=COLUMNS($A248:W248), Source!$E248, "")</f>
        <v/>
      </c>
      <c r="X248" s="2" t="str">
        <f>IF(Source!$C248&gt;=COLUMNS($A248:X248), Source!$E248, "")</f>
        <v/>
      </c>
      <c r="Y248" s="2" t="str">
        <f>IF(Source!$C248&gt;=COLUMNS($A248:Y248), Source!$E248, "")</f>
        <v/>
      </c>
      <c r="Z248" s="2" t="str">
        <f>IF(Source!$C248&gt;=COLUMNS($A248:Z248), Source!$E248, "")</f>
        <v/>
      </c>
      <c r="AA248" s="2" t="str">
        <f>IF(Source!$C248&gt;=COLUMNS($A248:AA248), Source!$E248, "")</f>
        <v/>
      </c>
      <c r="AB248" s="2" t="str">
        <f>IF(Source!$C248&gt;=COLUMNS($A248:AB248), Source!$E248, "")</f>
        <v/>
      </c>
      <c r="AC248" s="2" t="str">
        <f>IF(Source!$C248&gt;=COLUMNS($A248:AC248), Source!$E248, "")</f>
        <v/>
      </c>
      <c r="AD248" s="2" t="str">
        <f>IF(Source!$C248&gt;=COLUMNS($A248:AD248), Source!$E248, "")</f>
        <v/>
      </c>
      <c r="AE248" s="2" t="str">
        <f>IF(Source!$C248&gt;=COLUMNS($A248:AE248), Source!$E248, "")</f>
        <v/>
      </c>
      <c r="AF248" s="2" t="str">
        <f>IF(Source!$C248&gt;=COLUMNS($A248:AF248), Source!$E248, "")</f>
        <v/>
      </c>
      <c r="AG248" s="2" t="str">
        <f>IF(Source!$C248&gt;=COLUMNS($A248:AG248), Source!$E248, "")</f>
        <v/>
      </c>
      <c r="AH248" s="2" t="str">
        <f>IF(Source!$C248&gt;=COLUMNS($A248:AH248), Source!$E248, "")</f>
        <v/>
      </c>
      <c r="AI248" s="2" t="str">
        <f>IF(Source!$C248&gt;=COLUMNS($A248:AI248), Source!$E248, "")</f>
        <v/>
      </c>
      <c r="AJ248" s="2" t="str">
        <f>IF(Source!$C248&gt;=COLUMNS($A248:AJ248), Source!$E248, "")</f>
        <v/>
      </c>
      <c r="AK248" s="2" t="str">
        <f>IF(Source!$C248&gt;=COLUMNS($A248:AK248), Source!$E248, "")</f>
        <v/>
      </c>
      <c r="AL248" s="2" t="str">
        <f>IF(Source!$C248&gt;=COLUMNS($A248:AL248), Source!$E248, "")</f>
        <v/>
      </c>
      <c r="AM248" s="2" t="str">
        <f>IF(Source!$C248&gt;=COLUMNS($A248:AM248), Source!$E248, "")</f>
        <v/>
      </c>
      <c r="AN248" s="2" t="str">
        <f>IF(Source!$C248&gt;=COLUMNS($A248:AN248), Source!$E248, "")</f>
        <v/>
      </c>
      <c r="AO248" s="2" t="str">
        <f>IF(Source!$C248&gt;=COLUMNS($A248:AO248), Source!$E248, "")</f>
        <v/>
      </c>
      <c r="AP248" s="2" t="str">
        <f>IF(Source!$C248&gt;=COLUMNS($A248:AP248), Source!$E248, "")</f>
        <v/>
      </c>
      <c r="AQ248" s="2" t="str">
        <f>IF(Source!$C248&gt;=COLUMNS($A248:AQ248), Source!$E248, "")</f>
        <v/>
      </c>
      <c r="AR248" s="2" t="str">
        <f>IF(Source!$C248&gt;=COLUMNS($A248:AR248), Source!$E248, "")</f>
        <v/>
      </c>
    </row>
    <row r="249">
      <c r="A249" s="2">
        <f>IF(Source!$C249&gt;=COLUMNS($A249:A249), Source!$E249, "")</f>
        <v>5</v>
      </c>
      <c r="B249" s="2" t="str">
        <f>IF(Source!$C249&gt;=COLUMNS($A249:B249), Source!$E249, "")</f>
        <v/>
      </c>
      <c r="C249" s="2" t="str">
        <f>IF(Source!$C249&gt;=COLUMNS($A249:C249), Source!$E249, "")</f>
        <v/>
      </c>
      <c r="D249" s="2" t="str">
        <f>IF(Source!$C249&gt;=COLUMNS($A249:D249), Source!$E249, "")</f>
        <v/>
      </c>
      <c r="E249" s="2" t="str">
        <f>IF(Source!$C249&gt;=COLUMNS($A249:E249), Source!$E249, "")</f>
        <v/>
      </c>
      <c r="F249" s="2" t="str">
        <f>IF(Source!$C249&gt;=COLUMNS($A249:F249), Source!$E249, "")</f>
        <v/>
      </c>
      <c r="G249" s="2" t="str">
        <f>IF(Source!$C249&gt;=COLUMNS($A249:G249), Source!$E249, "")</f>
        <v/>
      </c>
      <c r="H249" s="2" t="str">
        <f>IF(Source!$C249&gt;=COLUMNS($A249:H249), Source!$E249, "")</f>
        <v/>
      </c>
      <c r="I249" s="2" t="str">
        <f>IF(Source!$C249&gt;=COLUMNS($A249:I249), Source!$E249, "")</f>
        <v/>
      </c>
      <c r="J249" s="2" t="str">
        <f>IF(Source!$C249&gt;=COLUMNS($A249:J249), Source!$E249, "")</f>
        <v/>
      </c>
      <c r="K249" s="2" t="str">
        <f>IF(Source!$C249&gt;=COLUMNS($A249:K249), Source!$E249, "")</f>
        <v/>
      </c>
      <c r="L249" s="2" t="str">
        <f>IF(Source!$C249&gt;=COLUMNS($A249:L249), Source!$E249, "")</f>
        <v/>
      </c>
      <c r="M249" s="2" t="str">
        <f>IF(Source!$C249&gt;=COLUMNS($A249:M249), Source!$E249, "")</f>
        <v/>
      </c>
      <c r="N249" s="2" t="str">
        <f>IF(Source!$C249&gt;=COLUMNS($A249:N249), Source!$E249, "")</f>
        <v/>
      </c>
      <c r="O249" s="2" t="str">
        <f>IF(Source!$C249&gt;=COLUMNS($A249:O249), Source!$E249, "")</f>
        <v/>
      </c>
      <c r="P249" s="2" t="str">
        <f>IF(Source!$C249&gt;=COLUMNS($A249:P249), Source!$E249, "")</f>
        <v/>
      </c>
      <c r="Q249" s="2" t="str">
        <f>IF(Source!$C249&gt;=COLUMNS($A249:Q249), Source!$E249, "")</f>
        <v/>
      </c>
      <c r="R249" s="2" t="str">
        <f>IF(Source!$C249&gt;=COLUMNS($A249:R249), Source!$E249, "")</f>
        <v/>
      </c>
      <c r="S249" s="2" t="str">
        <f>IF(Source!$C249&gt;=COLUMNS($A249:S249), Source!$E249, "")</f>
        <v/>
      </c>
      <c r="T249" s="2" t="str">
        <f>IF(Source!$C249&gt;=COLUMNS($A249:T249), Source!$E249, "")</f>
        <v/>
      </c>
      <c r="U249" s="2" t="str">
        <f>IF(Source!$C249&gt;=COLUMNS($A249:U249), Source!$E249, "")</f>
        <v/>
      </c>
      <c r="V249" s="2" t="str">
        <f>IF(Source!$C249&gt;=COLUMNS($A249:V249), Source!$E249, "")</f>
        <v/>
      </c>
      <c r="W249" s="2" t="str">
        <f>IF(Source!$C249&gt;=COLUMNS($A249:W249), Source!$E249, "")</f>
        <v/>
      </c>
      <c r="X249" s="2" t="str">
        <f>IF(Source!$C249&gt;=COLUMNS($A249:X249), Source!$E249, "")</f>
        <v/>
      </c>
      <c r="Y249" s="2" t="str">
        <f>IF(Source!$C249&gt;=COLUMNS($A249:Y249), Source!$E249, "")</f>
        <v/>
      </c>
      <c r="Z249" s="2" t="str">
        <f>IF(Source!$C249&gt;=COLUMNS($A249:Z249), Source!$E249, "")</f>
        <v/>
      </c>
      <c r="AA249" s="2" t="str">
        <f>IF(Source!$C249&gt;=COLUMNS($A249:AA249), Source!$E249, "")</f>
        <v/>
      </c>
      <c r="AB249" s="2" t="str">
        <f>IF(Source!$C249&gt;=COLUMNS($A249:AB249), Source!$E249, "")</f>
        <v/>
      </c>
      <c r="AC249" s="2" t="str">
        <f>IF(Source!$C249&gt;=COLUMNS($A249:AC249), Source!$E249, "")</f>
        <v/>
      </c>
      <c r="AD249" s="2" t="str">
        <f>IF(Source!$C249&gt;=COLUMNS($A249:AD249), Source!$E249, "")</f>
        <v/>
      </c>
      <c r="AE249" s="2" t="str">
        <f>IF(Source!$C249&gt;=COLUMNS($A249:AE249), Source!$E249, "")</f>
        <v/>
      </c>
      <c r="AF249" s="2" t="str">
        <f>IF(Source!$C249&gt;=COLUMNS($A249:AF249), Source!$E249, "")</f>
        <v/>
      </c>
      <c r="AG249" s="2" t="str">
        <f>IF(Source!$C249&gt;=COLUMNS($A249:AG249), Source!$E249, "")</f>
        <v/>
      </c>
      <c r="AH249" s="2" t="str">
        <f>IF(Source!$C249&gt;=COLUMNS($A249:AH249), Source!$E249, "")</f>
        <v/>
      </c>
      <c r="AI249" s="2" t="str">
        <f>IF(Source!$C249&gt;=COLUMNS($A249:AI249), Source!$E249, "")</f>
        <v/>
      </c>
      <c r="AJ249" s="2" t="str">
        <f>IF(Source!$C249&gt;=COLUMNS($A249:AJ249), Source!$E249, "")</f>
        <v/>
      </c>
      <c r="AK249" s="2" t="str">
        <f>IF(Source!$C249&gt;=COLUMNS($A249:AK249), Source!$E249, "")</f>
        <v/>
      </c>
      <c r="AL249" s="2" t="str">
        <f>IF(Source!$C249&gt;=COLUMNS($A249:AL249), Source!$E249, "")</f>
        <v/>
      </c>
      <c r="AM249" s="2" t="str">
        <f>IF(Source!$C249&gt;=COLUMNS($A249:AM249), Source!$E249, "")</f>
        <v/>
      </c>
      <c r="AN249" s="2" t="str">
        <f>IF(Source!$C249&gt;=COLUMNS($A249:AN249), Source!$E249, "")</f>
        <v/>
      </c>
      <c r="AO249" s="2" t="str">
        <f>IF(Source!$C249&gt;=COLUMNS($A249:AO249), Source!$E249, "")</f>
        <v/>
      </c>
      <c r="AP249" s="2" t="str">
        <f>IF(Source!$C249&gt;=COLUMNS($A249:AP249), Source!$E249, "")</f>
        <v/>
      </c>
      <c r="AQ249" s="2" t="str">
        <f>IF(Source!$C249&gt;=COLUMNS($A249:AQ249), Source!$E249, "")</f>
        <v/>
      </c>
      <c r="AR249" s="2" t="str">
        <f>IF(Source!$C249&gt;=COLUMNS($A249:AR249), Source!$E249, "")</f>
        <v/>
      </c>
    </row>
    <row r="250">
      <c r="A250" s="2">
        <f>IF(Source!$C250&gt;=COLUMNS($A250:A250), Source!$E250, "")</f>
        <v>1</v>
      </c>
      <c r="B250" s="2" t="str">
        <f>IF(Source!$C250&gt;=COLUMNS($A250:B250), Source!$E250, "")</f>
        <v/>
      </c>
      <c r="C250" s="2" t="str">
        <f>IF(Source!$C250&gt;=COLUMNS($A250:C250), Source!$E250, "")</f>
        <v/>
      </c>
      <c r="D250" s="2" t="str">
        <f>IF(Source!$C250&gt;=COLUMNS($A250:D250), Source!$E250, "")</f>
        <v/>
      </c>
      <c r="E250" s="2" t="str">
        <f>IF(Source!$C250&gt;=COLUMNS($A250:E250), Source!$E250, "")</f>
        <v/>
      </c>
      <c r="F250" s="2" t="str">
        <f>IF(Source!$C250&gt;=COLUMNS($A250:F250), Source!$E250, "")</f>
        <v/>
      </c>
      <c r="G250" s="2" t="str">
        <f>IF(Source!$C250&gt;=COLUMNS($A250:G250), Source!$E250, "")</f>
        <v/>
      </c>
      <c r="H250" s="2" t="str">
        <f>IF(Source!$C250&gt;=COLUMNS($A250:H250), Source!$E250, "")</f>
        <v/>
      </c>
      <c r="I250" s="2" t="str">
        <f>IF(Source!$C250&gt;=COLUMNS($A250:I250), Source!$E250, "")</f>
        <v/>
      </c>
      <c r="J250" s="2" t="str">
        <f>IF(Source!$C250&gt;=COLUMNS($A250:J250), Source!$E250, "")</f>
        <v/>
      </c>
      <c r="K250" s="2" t="str">
        <f>IF(Source!$C250&gt;=COLUMNS($A250:K250), Source!$E250, "")</f>
        <v/>
      </c>
      <c r="L250" s="2" t="str">
        <f>IF(Source!$C250&gt;=COLUMNS($A250:L250), Source!$E250, "")</f>
        <v/>
      </c>
      <c r="M250" s="2" t="str">
        <f>IF(Source!$C250&gt;=COLUMNS($A250:M250), Source!$E250, "")</f>
        <v/>
      </c>
      <c r="N250" s="2" t="str">
        <f>IF(Source!$C250&gt;=COLUMNS($A250:N250), Source!$E250, "")</f>
        <v/>
      </c>
      <c r="O250" s="2" t="str">
        <f>IF(Source!$C250&gt;=COLUMNS($A250:O250), Source!$E250, "")</f>
        <v/>
      </c>
      <c r="P250" s="2" t="str">
        <f>IF(Source!$C250&gt;=COLUMNS($A250:P250), Source!$E250, "")</f>
        <v/>
      </c>
      <c r="Q250" s="2" t="str">
        <f>IF(Source!$C250&gt;=COLUMNS($A250:Q250), Source!$E250, "")</f>
        <v/>
      </c>
      <c r="R250" s="2" t="str">
        <f>IF(Source!$C250&gt;=COLUMNS($A250:R250), Source!$E250, "")</f>
        <v/>
      </c>
      <c r="S250" s="2" t="str">
        <f>IF(Source!$C250&gt;=COLUMNS($A250:S250), Source!$E250, "")</f>
        <v/>
      </c>
      <c r="T250" s="2" t="str">
        <f>IF(Source!$C250&gt;=COLUMNS($A250:T250), Source!$E250, "")</f>
        <v/>
      </c>
      <c r="U250" s="2" t="str">
        <f>IF(Source!$C250&gt;=COLUMNS($A250:U250), Source!$E250, "")</f>
        <v/>
      </c>
      <c r="V250" s="2" t="str">
        <f>IF(Source!$C250&gt;=COLUMNS($A250:V250), Source!$E250, "")</f>
        <v/>
      </c>
      <c r="W250" s="2" t="str">
        <f>IF(Source!$C250&gt;=COLUMNS($A250:W250), Source!$E250, "")</f>
        <v/>
      </c>
      <c r="X250" s="2" t="str">
        <f>IF(Source!$C250&gt;=COLUMNS($A250:X250), Source!$E250, "")</f>
        <v/>
      </c>
      <c r="Y250" s="2" t="str">
        <f>IF(Source!$C250&gt;=COLUMNS($A250:Y250), Source!$E250, "")</f>
        <v/>
      </c>
      <c r="Z250" s="2" t="str">
        <f>IF(Source!$C250&gt;=COLUMNS($A250:Z250), Source!$E250, "")</f>
        <v/>
      </c>
      <c r="AA250" s="2" t="str">
        <f>IF(Source!$C250&gt;=COLUMNS($A250:AA250), Source!$E250, "")</f>
        <v/>
      </c>
      <c r="AB250" s="2" t="str">
        <f>IF(Source!$C250&gt;=COLUMNS($A250:AB250), Source!$E250, "")</f>
        <v/>
      </c>
      <c r="AC250" s="2" t="str">
        <f>IF(Source!$C250&gt;=COLUMNS($A250:AC250), Source!$E250, "")</f>
        <v/>
      </c>
      <c r="AD250" s="2" t="str">
        <f>IF(Source!$C250&gt;=COLUMNS($A250:AD250), Source!$E250, "")</f>
        <v/>
      </c>
      <c r="AE250" s="2" t="str">
        <f>IF(Source!$C250&gt;=COLUMNS($A250:AE250), Source!$E250, "")</f>
        <v/>
      </c>
      <c r="AF250" s="2" t="str">
        <f>IF(Source!$C250&gt;=COLUMNS($A250:AF250), Source!$E250, "")</f>
        <v/>
      </c>
      <c r="AG250" s="2" t="str">
        <f>IF(Source!$C250&gt;=COLUMNS($A250:AG250), Source!$E250, "")</f>
        <v/>
      </c>
      <c r="AH250" s="2" t="str">
        <f>IF(Source!$C250&gt;=COLUMNS($A250:AH250), Source!$E250, "")</f>
        <v/>
      </c>
      <c r="AI250" s="2" t="str">
        <f>IF(Source!$C250&gt;=COLUMNS($A250:AI250), Source!$E250, "")</f>
        <v/>
      </c>
      <c r="AJ250" s="2" t="str">
        <f>IF(Source!$C250&gt;=COLUMNS($A250:AJ250), Source!$E250, "")</f>
        <v/>
      </c>
      <c r="AK250" s="2" t="str">
        <f>IF(Source!$C250&gt;=COLUMNS($A250:AK250), Source!$E250, "")</f>
        <v/>
      </c>
      <c r="AL250" s="2" t="str">
        <f>IF(Source!$C250&gt;=COLUMNS($A250:AL250), Source!$E250, "")</f>
        <v/>
      </c>
      <c r="AM250" s="2" t="str">
        <f>IF(Source!$C250&gt;=COLUMNS($A250:AM250), Source!$E250, "")</f>
        <v/>
      </c>
      <c r="AN250" s="2" t="str">
        <f>IF(Source!$C250&gt;=COLUMNS($A250:AN250), Source!$E250, "")</f>
        <v/>
      </c>
      <c r="AO250" s="2" t="str">
        <f>IF(Source!$C250&gt;=COLUMNS($A250:AO250), Source!$E250, "")</f>
        <v/>
      </c>
      <c r="AP250" s="2" t="str">
        <f>IF(Source!$C250&gt;=COLUMNS($A250:AP250), Source!$E250, "")</f>
        <v/>
      </c>
      <c r="AQ250" s="2" t="str">
        <f>IF(Source!$C250&gt;=COLUMNS($A250:AQ250), Source!$E250, "")</f>
        <v/>
      </c>
      <c r="AR250" s="2" t="str">
        <f>IF(Source!$C250&gt;=COLUMNS($A250:AR250), Source!$E250, "")</f>
        <v/>
      </c>
    </row>
    <row r="251">
      <c r="A251" s="2">
        <f>IF(Source!$C251&gt;=COLUMNS($A251:A251), Source!$E251, "")</f>
        <v>1</v>
      </c>
      <c r="B251" s="2" t="str">
        <f>IF(Source!$C251&gt;=COLUMNS($A251:B251), Source!$E251, "")</f>
        <v/>
      </c>
      <c r="C251" s="2" t="str">
        <f>IF(Source!$C251&gt;=COLUMNS($A251:C251), Source!$E251, "")</f>
        <v/>
      </c>
      <c r="D251" s="2" t="str">
        <f>IF(Source!$C251&gt;=COLUMNS($A251:D251), Source!$E251, "")</f>
        <v/>
      </c>
      <c r="E251" s="2" t="str">
        <f>IF(Source!$C251&gt;=COLUMNS($A251:E251), Source!$E251, "")</f>
        <v/>
      </c>
      <c r="F251" s="2" t="str">
        <f>IF(Source!$C251&gt;=COLUMNS($A251:F251), Source!$E251, "")</f>
        <v/>
      </c>
      <c r="G251" s="2" t="str">
        <f>IF(Source!$C251&gt;=COLUMNS($A251:G251), Source!$E251, "")</f>
        <v/>
      </c>
      <c r="H251" s="2" t="str">
        <f>IF(Source!$C251&gt;=COLUMNS($A251:H251), Source!$E251, "")</f>
        <v/>
      </c>
      <c r="I251" s="2" t="str">
        <f>IF(Source!$C251&gt;=COLUMNS($A251:I251), Source!$E251, "")</f>
        <v/>
      </c>
      <c r="J251" s="2" t="str">
        <f>IF(Source!$C251&gt;=COLUMNS($A251:J251), Source!$E251, "")</f>
        <v/>
      </c>
      <c r="K251" s="2" t="str">
        <f>IF(Source!$C251&gt;=COLUMNS($A251:K251), Source!$E251, "")</f>
        <v/>
      </c>
      <c r="L251" s="2" t="str">
        <f>IF(Source!$C251&gt;=COLUMNS($A251:L251), Source!$E251, "")</f>
        <v/>
      </c>
      <c r="M251" s="2" t="str">
        <f>IF(Source!$C251&gt;=COLUMNS($A251:M251), Source!$E251, "")</f>
        <v/>
      </c>
      <c r="N251" s="2" t="str">
        <f>IF(Source!$C251&gt;=COLUMNS($A251:N251), Source!$E251, "")</f>
        <v/>
      </c>
      <c r="O251" s="2" t="str">
        <f>IF(Source!$C251&gt;=COLUMNS($A251:O251), Source!$E251, "")</f>
        <v/>
      </c>
      <c r="P251" s="2" t="str">
        <f>IF(Source!$C251&gt;=COLUMNS($A251:P251), Source!$E251, "")</f>
        <v/>
      </c>
      <c r="Q251" s="2" t="str">
        <f>IF(Source!$C251&gt;=COLUMNS($A251:Q251), Source!$E251, "")</f>
        <v/>
      </c>
      <c r="R251" s="2" t="str">
        <f>IF(Source!$C251&gt;=COLUMNS($A251:R251), Source!$E251, "")</f>
        <v/>
      </c>
      <c r="S251" s="2" t="str">
        <f>IF(Source!$C251&gt;=COLUMNS($A251:S251), Source!$E251, "")</f>
        <v/>
      </c>
      <c r="T251" s="2" t="str">
        <f>IF(Source!$C251&gt;=COLUMNS($A251:T251), Source!$E251, "")</f>
        <v/>
      </c>
      <c r="U251" s="2" t="str">
        <f>IF(Source!$C251&gt;=COLUMNS($A251:U251), Source!$E251, "")</f>
        <v/>
      </c>
      <c r="V251" s="2" t="str">
        <f>IF(Source!$C251&gt;=COLUMNS($A251:V251), Source!$E251, "")</f>
        <v/>
      </c>
      <c r="W251" s="2" t="str">
        <f>IF(Source!$C251&gt;=COLUMNS($A251:W251), Source!$E251, "")</f>
        <v/>
      </c>
      <c r="X251" s="2" t="str">
        <f>IF(Source!$C251&gt;=COLUMNS($A251:X251), Source!$E251, "")</f>
        <v/>
      </c>
      <c r="Y251" s="2" t="str">
        <f>IF(Source!$C251&gt;=COLUMNS($A251:Y251), Source!$E251, "")</f>
        <v/>
      </c>
      <c r="Z251" s="2" t="str">
        <f>IF(Source!$C251&gt;=COLUMNS($A251:Z251), Source!$E251, "")</f>
        <v/>
      </c>
      <c r="AA251" s="2" t="str">
        <f>IF(Source!$C251&gt;=COLUMNS($A251:AA251), Source!$E251, "")</f>
        <v/>
      </c>
      <c r="AB251" s="2" t="str">
        <f>IF(Source!$C251&gt;=COLUMNS($A251:AB251), Source!$E251, "")</f>
        <v/>
      </c>
      <c r="AC251" s="2" t="str">
        <f>IF(Source!$C251&gt;=COLUMNS($A251:AC251), Source!$E251, "")</f>
        <v/>
      </c>
      <c r="AD251" s="2" t="str">
        <f>IF(Source!$C251&gt;=COLUMNS($A251:AD251), Source!$E251, "")</f>
        <v/>
      </c>
      <c r="AE251" s="2" t="str">
        <f>IF(Source!$C251&gt;=COLUMNS($A251:AE251), Source!$E251, "")</f>
        <v/>
      </c>
      <c r="AF251" s="2" t="str">
        <f>IF(Source!$C251&gt;=COLUMNS($A251:AF251), Source!$E251, "")</f>
        <v/>
      </c>
      <c r="AG251" s="2" t="str">
        <f>IF(Source!$C251&gt;=COLUMNS($A251:AG251), Source!$E251, "")</f>
        <v/>
      </c>
      <c r="AH251" s="2" t="str">
        <f>IF(Source!$C251&gt;=COLUMNS($A251:AH251), Source!$E251, "")</f>
        <v/>
      </c>
      <c r="AI251" s="2" t="str">
        <f>IF(Source!$C251&gt;=COLUMNS($A251:AI251), Source!$E251, "")</f>
        <v/>
      </c>
      <c r="AJ251" s="2" t="str">
        <f>IF(Source!$C251&gt;=COLUMNS($A251:AJ251), Source!$E251, "")</f>
        <v/>
      </c>
      <c r="AK251" s="2" t="str">
        <f>IF(Source!$C251&gt;=COLUMNS($A251:AK251), Source!$E251, "")</f>
        <v/>
      </c>
      <c r="AL251" s="2" t="str">
        <f>IF(Source!$C251&gt;=COLUMNS($A251:AL251), Source!$E251, "")</f>
        <v/>
      </c>
      <c r="AM251" s="2" t="str">
        <f>IF(Source!$C251&gt;=COLUMNS($A251:AM251), Source!$E251, "")</f>
        <v/>
      </c>
      <c r="AN251" s="2" t="str">
        <f>IF(Source!$C251&gt;=COLUMNS($A251:AN251), Source!$E251, "")</f>
        <v/>
      </c>
      <c r="AO251" s="2" t="str">
        <f>IF(Source!$C251&gt;=COLUMNS($A251:AO251), Source!$E251, "")</f>
        <v/>
      </c>
      <c r="AP251" s="2" t="str">
        <f>IF(Source!$C251&gt;=COLUMNS($A251:AP251), Source!$E251, "")</f>
        <v/>
      </c>
      <c r="AQ251" s="2" t="str">
        <f>IF(Source!$C251&gt;=COLUMNS($A251:AQ251), Source!$E251, "")</f>
        <v/>
      </c>
      <c r="AR251" s="2" t="str">
        <f>IF(Source!$C251&gt;=COLUMNS($A251:AR251), Source!$E251, "")</f>
        <v/>
      </c>
    </row>
    <row r="252">
      <c r="A252" s="2">
        <f>IF(Source!$C252&gt;=COLUMNS($A252:A252), Source!$E252, "")</f>
        <v>4</v>
      </c>
      <c r="B252" s="2">
        <f>IF(Source!$C252&gt;=COLUMNS($A252:B252), Source!$E252, "")</f>
        <v>4</v>
      </c>
      <c r="C252" s="2" t="str">
        <f>IF(Source!$C252&gt;=COLUMNS($A252:C252), Source!$E252, "")</f>
        <v/>
      </c>
      <c r="D252" s="2" t="str">
        <f>IF(Source!$C252&gt;=COLUMNS($A252:D252), Source!$E252, "")</f>
        <v/>
      </c>
      <c r="E252" s="2" t="str">
        <f>IF(Source!$C252&gt;=COLUMNS($A252:E252), Source!$E252, "")</f>
        <v/>
      </c>
      <c r="F252" s="2" t="str">
        <f>IF(Source!$C252&gt;=COLUMNS($A252:F252), Source!$E252, "")</f>
        <v/>
      </c>
      <c r="G252" s="2" t="str">
        <f>IF(Source!$C252&gt;=COLUMNS($A252:G252), Source!$E252, "")</f>
        <v/>
      </c>
      <c r="H252" s="2" t="str">
        <f>IF(Source!$C252&gt;=COLUMNS($A252:H252), Source!$E252, "")</f>
        <v/>
      </c>
      <c r="I252" s="2" t="str">
        <f>IF(Source!$C252&gt;=COLUMNS($A252:I252), Source!$E252, "")</f>
        <v/>
      </c>
      <c r="J252" s="2" t="str">
        <f>IF(Source!$C252&gt;=COLUMNS($A252:J252), Source!$E252, "")</f>
        <v/>
      </c>
      <c r="K252" s="2" t="str">
        <f>IF(Source!$C252&gt;=COLUMNS($A252:K252), Source!$E252, "")</f>
        <v/>
      </c>
      <c r="L252" s="2" t="str">
        <f>IF(Source!$C252&gt;=COLUMNS($A252:L252), Source!$E252, "")</f>
        <v/>
      </c>
      <c r="M252" s="2" t="str">
        <f>IF(Source!$C252&gt;=COLUMNS($A252:M252), Source!$E252, "")</f>
        <v/>
      </c>
      <c r="N252" s="2" t="str">
        <f>IF(Source!$C252&gt;=COLUMNS($A252:N252), Source!$E252, "")</f>
        <v/>
      </c>
      <c r="O252" s="2" t="str">
        <f>IF(Source!$C252&gt;=COLUMNS($A252:O252), Source!$E252, "")</f>
        <v/>
      </c>
      <c r="P252" s="2" t="str">
        <f>IF(Source!$C252&gt;=COLUMNS($A252:P252), Source!$E252, "")</f>
        <v/>
      </c>
      <c r="Q252" s="2" t="str">
        <f>IF(Source!$C252&gt;=COLUMNS($A252:Q252), Source!$E252, "")</f>
        <v/>
      </c>
      <c r="R252" s="2" t="str">
        <f>IF(Source!$C252&gt;=COLUMNS($A252:R252), Source!$E252, "")</f>
        <v/>
      </c>
      <c r="S252" s="2" t="str">
        <f>IF(Source!$C252&gt;=COLUMNS($A252:S252), Source!$E252, "")</f>
        <v/>
      </c>
      <c r="T252" s="2" t="str">
        <f>IF(Source!$C252&gt;=COLUMNS($A252:T252), Source!$E252, "")</f>
        <v/>
      </c>
      <c r="U252" s="2" t="str">
        <f>IF(Source!$C252&gt;=COLUMNS($A252:U252), Source!$E252, "")</f>
        <v/>
      </c>
      <c r="V252" s="2" t="str">
        <f>IF(Source!$C252&gt;=COLUMNS($A252:V252), Source!$E252, "")</f>
        <v/>
      </c>
      <c r="W252" s="2" t="str">
        <f>IF(Source!$C252&gt;=COLUMNS($A252:W252), Source!$E252, "")</f>
        <v/>
      </c>
      <c r="X252" s="2" t="str">
        <f>IF(Source!$C252&gt;=COLUMNS($A252:X252), Source!$E252, "")</f>
        <v/>
      </c>
      <c r="Y252" s="2" t="str">
        <f>IF(Source!$C252&gt;=COLUMNS($A252:Y252), Source!$E252, "")</f>
        <v/>
      </c>
      <c r="Z252" s="2" t="str">
        <f>IF(Source!$C252&gt;=COLUMNS($A252:Z252), Source!$E252, "")</f>
        <v/>
      </c>
      <c r="AA252" s="2" t="str">
        <f>IF(Source!$C252&gt;=COLUMNS($A252:AA252), Source!$E252, "")</f>
        <v/>
      </c>
      <c r="AB252" s="2" t="str">
        <f>IF(Source!$C252&gt;=COLUMNS($A252:AB252), Source!$E252, "")</f>
        <v/>
      </c>
      <c r="AC252" s="2" t="str">
        <f>IF(Source!$C252&gt;=COLUMNS($A252:AC252), Source!$E252, "")</f>
        <v/>
      </c>
      <c r="AD252" s="2" t="str">
        <f>IF(Source!$C252&gt;=COLUMNS($A252:AD252), Source!$E252, "")</f>
        <v/>
      </c>
      <c r="AE252" s="2" t="str">
        <f>IF(Source!$C252&gt;=COLUMNS($A252:AE252), Source!$E252, "")</f>
        <v/>
      </c>
      <c r="AF252" s="2" t="str">
        <f>IF(Source!$C252&gt;=COLUMNS($A252:AF252), Source!$E252, "")</f>
        <v/>
      </c>
      <c r="AG252" s="2" t="str">
        <f>IF(Source!$C252&gt;=COLUMNS($A252:AG252), Source!$E252, "")</f>
        <v/>
      </c>
      <c r="AH252" s="2" t="str">
        <f>IF(Source!$C252&gt;=COLUMNS($A252:AH252), Source!$E252, "")</f>
        <v/>
      </c>
      <c r="AI252" s="2" t="str">
        <f>IF(Source!$C252&gt;=COLUMNS($A252:AI252), Source!$E252, "")</f>
        <v/>
      </c>
      <c r="AJ252" s="2" t="str">
        <f>IF(Source!$C252&gt;=COLUMNS($A252:AJ252), Source!$E252, "")</f>
        <v/>
      </c>
      <c r="AK252" s="2" t="str">
        <f>IF(Source!$C252&gt;=COLUMNS($A252:AK252), Source!$E252, "")</f>
        <v/>
      </c>
      <c r="AL252" s="2" t="str">
        <f>IF(Source!$C252&gt;=COLUMNS($A252:AL252), Source!$E252, "")</f>
        <v/>
      </c>
      <c r="AM252" s="2" t="str">
        <f>IF(Source!$C252&gt;=COLUMNS($A252:AM252), Source!$E252, "")</f>
        <v/>
      </c>
      <c r="AN252" s="2" t="str">
        <f>IF(Source!$C252&gt;=COLUMNS($A252:AN252), Source!$E252, "")</f>
        <v/>
      </c>
      <c r="AO252" s="2" t="str">
        <f>IF(Source!$C252&gt;=COLUMNS($A252:AO252), Source!$E252, "")</f>
        <v/>
      </c>
      <c r="AP252" s="2" t="str">
        <f>IF(Source!$C252&gt;=COLUMNS($A252:AP252), Source!$E252, "")</f>
        <v/>
      </c>
      <c r="AQ252" s="2" t="str">
        <f>IF(Source!$C252&gt;=COLUMNS($A252:AQ252), Source!$E252, "")</f>
        <v/>
      </c>
      <c r="AR252" s="2" t="str">
        <f>IF(Source!$C252&gt;=COLUMNS($A252:AR252), Source!$E252, "")</f>
        <v/>
      </c>
    </row>
    <row r="253">
      <c r="A253" s="2">
        <f>IF(Source!$C253&gt;=COLUMNS($A253:A253), Source!$E253, "")</f>
        <v>4</v>
      </c>
      <c r="B253" s="2" t="str">
        <f>IF(Source!$C253&gt;=COLUMNS($A253:B253), Source!$E253, "")</f>
        <v/>
      </c>
      <c r="C253" s="2" t="str">
        <f>IF(Source!$C253&gt;=COLUMNS($A253:C253), Source!$E253, "")</f>
        <v/>
      </c>
      <c r="D253" s="2" t="str">
        <f>IF(Source!$C253&gt;=COLUMNS($A253:D253), Source!$E253, "")</f>
        <v/>
      </c>
      <c r="E253" s="2" t="str">
        <f>IF(Source!$C253&gt;=COLUMNS($A253:E253), Source!$E253, "")</f>
        <v/>
      </c>
      <c r="F253" s="2" t="str">
        <f>IF(Source!$C253&gt;=COLUMNS($A253:F253), Source!$E253, "")</f>
        <v/>
      </c>
      <c r="G253" s="2" t="str">
        <f>IF(Source!$C253&gt;=COLUMNS($A253:G253), Source!$E253, "")</f>
        <v/>
      </c>
      <c r="H253" s="2" t="str">
        <f>IF(Source!$C253&gt;=COLUMNS($A253:H253), Source!$E253, "")</f>
        <v/>
      </c>
      <c r="I253" s="2" t="str">
        <f>IF(Source!$C253&gt;=COLUMNS($A253:I253), Source!$E253, "")</f>
        <v/>
      </c>
      <c r="J253" s="2" t="str">
        <f>IF(Source!$C253&gt;=COLUMNS($A253:J253), Source!$E253, "")</f>
        <v/>
      </c>
      <c r="K253" s="2" t="str">
        <f>IF(Source!$C253&gt;=COLUMNS($A253:K253), Source!$E253, "")</f>
        <v/>
      </c>
      <c r="L253" s="2" t="str">
        <f>IF(Source!$C253&gt;=COLUMNS($A253:L253), Source!$E253, "")</f>
        <v/>
      </c>
      <c r="M253" s="2" t="str">
        <f>IF(Source!$C253&gt;=COLUMNS($A253:M253), Source!$E253, "")</f>
        <v/>
      </c>
      <c r="N253" s="2" t="str">
        <f>IF(Source!$C253&gt;=COLUMNS($A253:N253), Source!$E253, "")</f>
        <v/>
      </c>
      <c r="O253" s="2" t="str">
        <f>IF(Source!$C253&gt;=COLUMNS($A253:O253), Source!$E253, "")</f>
        <v/>
      </c>
      <c r="P253" s="2" t="str">
        <f>IF(Source!$C253&gt;=COLUMNS($A253:P253), Source!$E253, "")</f>
        <v/>
      </c>
      <c r="Q253" s="2" t="str">
        <f>IF(Source!$C253&gt;=COLUMNS($A253:Q253), Source!$E253, "")</f>
        <v/>
      </c>
      <c r="R253" s="2" t="str">
        <f>IF(Source!$C253&gt;=COLUMNS($A253:R253), Source!$E253, "")</f>
        <v/>
      </c>
      <c r="S253" s="2" t="str">
        <f>IF(Source!$C253&gt;=COLUMNS($A253:S253), Source!$E253, "")</f>
        <v/>
      </c>
      <c r="T253" s="2" t="str">
        <f>IF(Source!$C253&gt;=COLUMNS($A253:T253), Source!$E253, "")</f>
        <v/>
      </c>
      <c r="U253" s="2" t="str">
        <f>IF(Source!$C253&gt;=COLUMNS($A253:U253), Source!$E253, "")</f>
        <v/>
      </c>
      <c r="V253" s="2" t="str">
        <f>IF(Source!$C253&gt;=COLUMNS($A253:V253), Source!$E253, "")</f>
        <v/>
      </c>
      <c r="W253" s="2" t="str">
        <f>IF(Source!$C253&gt;=COLUMNS($A253:W253), Source!$E253, "")</f>
        <v/>
      </c>
      <c r="X253" s="2" t="str">
        <f>IF(Source!$C253&gt;=COLUMNS($A253:X253), Source!$E253, "")</f>
        <v/>
      </c>
      <c r="Y253" s="2" t="str">
        <f>IF(Source!$C253&gt;=COLUMNS($A253:Y253), Source!$E253, "")</f>
        <v/>
      </c>
      <c r="Z253" s="2" t="str">
        <f>IF(Source!$C253&gt;=COLUMNS($A253:Z253), Source!$E253, "")</f>
        <v/>
      </c>
      <c r="AA253" s="2" t="str">
        <f>IF(Source!$C253&gt;=COLUMNS($A253:AA253), Source!$E253, "")</f>
        <v/>
      </c>
      <c r="AB253" s="2" t="str">
        <f>IF(Source!$C253&gt;=COLUMNS($A253:AB253), Source!$E253, "")</f>
        <v/>
      </c>
      <c r="AC253" s="2" t="str">
        <f>IF(Source!$C253&gt;=COLUMNS($A253:AC253), Source!$E253, "")</f>
        <v/>
      </c>
      <c r="AD253" s="2" t="str">
        <f>IF(Source!$C253&gt;=COLUMNS($A253:AD253), Source!$E253, "")</f>
        <v/>
      </c>
      <c r="AE253" s="2" t="str">
        <f>IF(Source!$C253&gt;=COLUMNS($A253:AE253), Source!$E253, "")</f>
        <v/>
      </c>
      <c r="AF253" s="2" t="str">
        <f>IF(Source!$C253&gt;=COLUMNS($A253:AF253), Source!$E253, "")</f>
        <v/>
      </c>
      <c r="AG253" s="2" t="str">
        <f>IF(Source!$C253&gt;=COLUMNS($A253:AG253), Source!$E253, "")</f>
        <v/>
      </c>
      <c r="AH253" s="2" t="str">
        <f>IF(Source!$C253&gt;=COLUMNS($A253:AH253), Source!$E253, "")</f>
        <v/>
      </c>
      <c r="AI253" s="2" t="str">
        <f>IF(Source!$C253&gt;=COLUMNS($A253:AI253), Source!$E253, "")</f>
        <v/>
      </c>
      <c r="AJ253" s="2" t="str">
        <f>IF(Source!$C253&gt;=COLUMNS($A253:AJ253), Source!$E253, "")</f>
        <v/>
      </c>
      <c r="AK253" s="2" t="str">
        <f>IF(Source!$C253&gt;=COLUMNS($A253:AK253), Source!$E253, "")</f>
        <v/>
      </c>
      <c r="AL253" s="2" t="str">
        <f>IF(Source!$C253&gt;=COLUMNS($A253:AL253), Source!$E253, "")</f>
        <v/>
      </c>
      <c r="AM253" s="2" t="str">
        <f>IF(Source!$C253&gt;=COLUMNS($A253:AM253), Source!$E253, "")</f>
        <v/>
      </c>
      <c r="AN253" s="2" t="str">
        <f>IF(Source!$C253&gt;=COLUMNS($A253:AN253), Source!$E253, "")</f>
        <v/>
      </c>
      <c r="AO253" s="2" t="str">
        <f>IF(Source!$C253&gt;=COLUMNS($A253:AO253), Source!$E253, "")</f>
        <v/>
      </c>
      <c r="AP253" s="2" t="str">
        <f>IF(Source!$C253&gt;=COLUMNS($A253:AP253), Source!$E253, "")</f>
        <v/>
      </c>
      <c r="AQ253" s="2" t="str">
        <f>IF(Source!$C253&gt;=COLUMNS($A253:AQ253), Source!$E253, "")</f>
        <v/>
      </c>
      <c r="AR253" s="2" t="str">
        <f>IF(Source!$C253&gt;=COLUMNS($A253:AR253), Source!$E253, "")</f>
        <v/>
      </c>
    </row>
    <row r="254">
      <c r="A254" s="2">
        <f>IF(Source!$C254&gt;=COLUMNS($A254:A254), Source!$E254, "")</f>
        <v>4</v>
      </c>
      <c r="B254" s="2">
        <f>IF(Source!$C254&gt;=COLUMNS($A254:B254), Source!$E254, "")</f>
        <v>4</v>
      </c>
      <c r="C254" s="2" t="str">
        <f>IF(Source!$C254&gt;=COLUMNS($A254:C254), Source!$E254, "")</f>
        <v/>
      </c>
      <c r="D254" s="2" t="str">
        <f>IF(Source!$C254&gt;=COLUMNS($A254:D254), Source!$E254, "")</f>
        <v/>
      </c>
      <c r="E254" s="2" t="str">
        <f>IF(Source!$C254&gt;=COLUMNS($A254:E254), Source!$E254, "")</f>
        <v/>
      </c>
      <c r="F254" s="2" t="str">
        <f>IF(Source!$C254&gt;=COLUMNS($A254:F254), Source!$E254, "")</f>
        <v/>
      </c>
      <c r="G254" s="2" t="str">
        <f>IF(Source!$C254&gt;=COLUMNS($A254:G254), Source!$E254, "")</f>
        <v/>
      </c>
      <c r="H254" s="2" t="str">
        <f>IF(Source!$C254&gt;=COLUMNS($A254:H254), Source!$E254, "")</f>
        <v/>
      </c>
      <c r="I254" s="2" t="str">
        <f>IF(Source!$C254&gt;=COLUMNS($A254:I254), Source!$E254, "")</f>
        <v/>
      </c>
      <c r="J254" s="2" t="str">
        <f>IF(Source!$C254&gt;=COLUMNS($A254:J254), Source!$E254, "")</f>
        <v/>
      </c>
      <c r="K254" s="2" t="str">
        <f>IF(Source!$C254&gt;=COLUMNS($A254:K254), Source!$E254, "")</f>
        <v/>
      </c>
      <c r="L254" s="2" t="str">
        <f>IF(Source!$C254&gt;=COLUMNS($A254:L254), Source!$E254, "")</f>
        <v/>
      </c>
      <c r="M254" s="2" t="str">
        <f>IF(Source!$C254&gt;=COLUMNS($A254:M254), Source!$E254, "")</f>
        <v/>
      </c>
      <c r="N254" s="2" t="str">
        <f>IF(Source!$C254&gt;=COLUMNS($A254:N254), Source!$E254, "")</f>
        <v/>
      </c>
      <c r="O254" s="2" t="str">
        <f>IF(Source!$C254&gt;=COLUMNS($A254:O254), Source!$E254, "")</f>
        <v/>
      </c>
      <c r="P254" s="2" t="str">
        <f>IF(Source!$C254&gt;=COLUMNS($A254:P254), Source!$E254, "")</f>
        <v/>
      </c>
      <c r="Q254" s="2" t="str">
        <f>IF(Source!$C254&gt;=COLUMNS($A254:Q254), Source!$E254, "")</f>
        <v/>
      </c>
      <c r="R254" s="2" t="str">
        <f>IF(Source!$C254&gt;=COLUMNS($A254:R254), Source!$E254, "")</f>
        <v/>
      </c>
      <c r="S254" s="2" t="str">
        <f>IF(Source!$C254&gt;=COLUMNS($A254:S254), Source!$E254, "")</f>
        <v/>
      </c>
      <c r="T254" s="2" t="str">
        <f>IF(Source!$C254&gt;=COLUMNS($A254:T254), Source!$E254, "")</f>
        <v/>
      </c>
      <c r="U254" s="2" t="str">
        <f>IF(Source!$C254&gt;=COLUMNS($A254:U254), Source!$E254, "")</f>
        <v/>
      </c>
      <c r="V254" s="2" t="str">
        <f>IF(Source!$C254&gt;=COLUMNS($A254:V254), Source!$E254, "")</f>
        <v/>
      </c>
      <c r="W254" s="2" t="str">
        <f>IF(Source!$C254&gt;=COLUMNS($A254:W254), Source!$E254, "")</f>
        <v/>
      </c>
      <c r="X254" s="2" t="str">
        <f>IF(Source!$C254&gt;=COLUMNS($A254:X254), Source!$E254, "")</f>
        <v/>
      </c>
      <c r="Y254" s="2" t="str">
        <f>IF(Source!$C254&gt;=COLUMNS($A254:Y254), Source!$E254, "")</f>
        <v/>
      </c>
      <c r="Z254" s="2" t="str">
        <f>IF(Source!$C254&gt;=COLUMNS($A254:Z254), Source!$E254, "")</f>
        <v/>
      </c>
      <c r="AA254" s="2" t="str">
        <f>IF(Source!$C254&gt;=COLUMNS($A254:AA254), Source!$E254, "")</f>
        <v/>
      </c>
      <c r="AB254" s="2" t="str">
        <f>IF(Source!$C254&gt;=COLUMNS($A254:AB254), Source!$E254, "")</f>
        <v/>
      </c>
      <c r="AC254" s="2" t="str">
        <f>IF(Source!$C254&gt;=COLUMNS($A254:AC254), Source!$E254, "")</f>
        <v/>
      </c>
      <c r="AD254" s="2" t="str">
        <f>IF(Source!$C254&gt;=COLUMNS($A254:AD254), Source!$E254, "")</f>
        <v/>
      </c>
      <c r="AE254" s="2" t="str">
        <f>IF(Source!$C254&gt;=COLUMNS($A254:AE254), Source!$E254, "")</f>
        <v/>
      </c>
      <c r="AF254" s="2" t="str">
        <f>IF(Source!$C254&gt;=COLUMNS($A254:AF254), Source!$E254, "")</f>
        <v/>
      </c>
      <c r="AG254" s="2" t="str">
        <f>IF(Source!$C254&gt;=COLUMNS($A254:AG254), Source!$E254, "")</f>
        <v/>
      </c>
      <c r="AH254" s="2" t="str">
        <f>IF(Source!$C254&gt;=COLUMNS($A254:AH254), Source!$E254, "")</f>
        <v/>
      </c>
      <c r="AI254" s="2" t="str">
        <f>IF(Source!$C254&gt;=COLUMNS($A254:AI254), Source!$E254, "")</f>
        <v/>
      </c>
      <c r="AJ254" s="2" t="str">
        <f>IF(Source!$C254&gt;=COLUMNS($A254:AJ254), Source!$E254, "")</f>
        <v/>
      </c>
      <c r="AK254" s="2" t="str">
        <f>IF(Source!$C254&gt;=COLUMNS($A254:AK254), Source!$E254, "")</f>
        <v/>
      </c>
      <c r="AL254" s="2" t="str">
        <f>IF(Source!$C254&gt;=COLUMNS($A254:AL254), Source!$E254, "")</f>
        <v/>
      </c>
      <c r="AM254" s="2" t="str">
        <f>IF(Source!$C254&gt;=COLUMNS($A254:AM254), Source!$E254, "")</f>
        <v/>
      </c>
      <c r="AN254" s="2" t="str">
        <f>IF(Source!$C254&gt;=COLUMNS($A254:AN254), Source!$E254, "")</f>
        <v/>
      </c>
      <c r="AO254" s="2" t="str">
        <f>IF(Source!$C254&gt;=COLUMNS($A254:AO254), Source!$E254, "")</f>
        <v/>
      </c>
      <c r="AP254" s="2" t="str">
        <f>IF(Source!$C254&gt;=COLUMNS($A254:AP254), Source!$E254, "")</f>
        <v/>
      </c>
      <c r="AQ254" s="2" t="str">
        <f>IF(Source!$C254&gt;=COLUMNS($A254:AQ254), Source!$E254, "")</f>
        <v/>
      </c>
      <c r="AR254" s="2" t="str">
        <f>IF(Source!$C254&gt;=COLUMNS($A254:AR254), Source!$E254, "")</f>
        <v/>
      </c>
    </row>
    <row r="255">
      <c r="A255" s="2">
        <f>IF(Source!$C255&gt;=COLUMNS($A255:A255), Source!$E255, "")</f>
        <v>6</v>
      </c>
      <c r="B255" s="2" t="str">
        <f>IF(Source!$C255&gt;=COLUMNS($A255:B255), Source!$E255, "")</f>
        <v/>
      </c>
      <c r="C255" s="2" t="str">
        <f>IF(Source!$C255&gt;=COLUMNS($A255:C255), Source!$E255, "")</f>
        <v/>
      </c>
      <c r="D255" s="2" t="str">
        <f>IF(Source!$C255&gt;=COLUMNS($A255:D255), Source!$E255, "")</f>
        <v/>
      </c>
      <c r="E255" s="2" t="str">
        <f>IF(Source!$C255&gt;=COLUMNS($A255:E255), Source!$E255, "")</f>
        <v/>
      </c>
      <c r="F255" s="2" t="str">
        <f>IF(Source!$C255&gt;=COLUMNS($A255:F255), Source!$E255, "")</f>
        <v/>
      </c>
      <c r="G255" s="2" t="str">
        <f>IF(Source!$C255&gt;=COLUMNS($A255:G255), Source!$E255, "")</f>
        <v/>
      </c>
      <c r="H255" s="2" t="str">
        <f>IF(Source!$C255&gt;=COLUMNS($A255:H255), Source!$E255, "")</f>
        <v/>
      </c>
      <c r="I255" s="2" t="str">
        <f>IF(Source!$C255&gt;=COLUMNS($A255:I255), Source!$E255, "")</f>
        <v/>
      </c>
      <c r="J255" s="2" t="str">
        <f>IF(Source!$C255&gt;=COLUMNS($A255:J255), Source!$E255, "")</f>
        <v/>
      </c>
      <c r="K255" s="2" t="str">
        <f>IF(Source!$C255&gt;=COLUMNS($A255:K255), Source!$E255, "")</f>
        <v/>
      </c>
      <c r="L255" s="2" t="str">
        <f>IF(Source!$C255&gt;=COLUMNS($A255:L255), Source!$E255, "")</f>
        <v/>
      </c>
      <c r="M255" s="2" t="str">
        <f>IF(Source!$C255&gt;=COLUMNS($A255:M255), Source!$E255, "")</f>
        <v/>
      </c>
      <c r="N255" s="2" t="str">
        <f>IF(Source!$C255&gt;=COLUMNS($A255:N255), Source!$E255, "")</f>
        <v/>
      </c>
      <c r="O255" s="2" t="str">
        <f>IF(Source!$C255&gt;=COLUMNS($A255:O255), Source!$E255, "")</f>
        <v/>
      </c>
      <c r="P255" s="2" t="str">
        <f>IF(Source!$C255&gt;=COLUMNS($A255:P255), Source!$E255, "")</f>
        <v/>
      </c>
      <c r="Q255" s="2" t="str">
        <f>IF(Source!$C255&gt;=COLUMNS($A255:Q255), Source!$E255, "")</f>
        <v/>
      </c>
      <c r="R255" s="2" t="str">
        <f>IF(Source!$C255&gt;=COLUMNS($A255:R255), Source!$E255, "")</f>
        <v/>
      </c>
      <c r="S255" s="2" t="str">
        <f>IF(Source!$C255&gt;=COLUMNS($A255:S255), Source!$E255, "")</f>
        <v/>
      </c>
      <c r="T255" s="2" t="str">
        <f>IF(Source!$C255&gt;=COLUMNS($A255:T255), Source!$E255, "")</f>
        <v/>
      </c>
      <c r="U255" s="2" t="str">
        <f>IF(Source!$C255&gt;=COLUMNS($A255:U255), Source!$E255, "")</f>
        <v/>
      </c>
      <c r="V255" s="2" t="str">
        <f>IF(Source!$C255&gt;=COLUMNS($A255:V255), Source!$E255, "")</f>
        <v/>
      </c>
      <c r="W255" s="2" t="str">
        <f>IF(Source!$C255&gt;=COLUMNS($A255:W255), Source!$E255, "")</f>
        <v/>
      </c>
      <c r="X255" s="2" t="str">
        <f>IF(Source!$C255&gt;=COLUMNS($A255:X255), Source!$E255, "")</f>
        <v/>
      </c>
      <c r="Y255" s="2" t="str">
        <f>IF(Source!$C255&gt;=COLUMNS($A255:Y255), Source!$E255, "")</f>
        <v/>
      </c>
      <c r="Z255" s="2" t="str">
        <f>IF(Source!$C255&gt;=COLUMNS($A255:Z255), Source!$E255, "")</f>
        <v/>
      </c>
      <c r="AA255" s="2" t="str">
        <f>IF(Source!$C255&gt;=COLUMNS($A255:AA255), Source!$E255, "")</f>
        <v/>
      </c>
      <c r="AB255" s="2" t="str">
        <f>IF(Source!$C255&gt;=COLUMNS($A255:AB255), Source!$E255, "")</f>
        <v/>
      </c>
      <c r="AC255" s="2" t="str">
        <f>IF(Source!$C255&gt;=COLUMNS($A255:AC255), Source!$E255, "")</f>
        <v/>
      </c>
      <c r="AD255" s="2" t="str">
        <f>IF(Source!$C255&gt;=COLUMNS($A255:AD255), Source!$E255, "")</f>
        <v/>
      </c>
      <c r="AE255" s="2" t="str">
        <f>IF(Source!$C255&gt;=COLUMNS($A255:AE255), Source!$E255, "")</f>
        <v/>
      </c>
      <c r="AF255" s="2" t="str">
        <f>IF(Source!$C255&gt;=COLUMNS($A255:AF255), Source!$E255, "")</f>
        <v/>
      </c>
      <c r="AG255" s="2" t="str">
        <f>IF(Source!$C255&gt;=COLUMNS($A255:AG255), Source!$E255, "")</f>
        <v/>
      </c>
      <c r="AH255" s="2" t="str">
        <f>IF(Source!$C255&gt;=COLUMNS($A255:AH255), Source!$E255, "")</f>
        <v/>
      </c>
      <c r="AI255" s="2" t="str">
        <f>IF(Source!$C255&gt;=COLUMNS($A255:AI255), Source!$E255, "")</f>
        <v/>
      </c>
      <c r="AJ255" s="2" t="str">
        <f>IF(Source!$C255&gt;=COLUMNS($A255:AJ255), Source!$E255, "")</f>
        <v/>
      </c>
      <c r="AK255" s="2" t="str">
        <f>IF(Source!$C255&gt;=COLUMNS($A255:AK255), Source!$E255, "")</f>
        <v/>
      </c>
      <c r="AL255" s="2" t="str">
        <f>IF(Source!$C255&gt;=COLUMNS($A255:AL255), Source!$E255, "")</f>
        <v/>
      </c>
      <c r="AM255" s="2" t="str">
        <f>IF(Source!$C255&gt;=COLUMNS($A255:AM255), Source!$E255, "")</f>
        <v/>
      </c>
      <c r="AN255" s="2" t="str">
        <f>IF(Source!$C255&gt;=COLUMNS($A255:AN255), Source!$E255, "")</f>
        <v/>
      </c>
      <c r="AO255" s="2" t="str">
        <f>IF(Source!$C255&gt;=COLUMNS($A255:AO255), Source!$E255, "")</f>
        <v/>
      </c>
      <c r="AP255" s="2" t="str">
        <f>IF(Source!$C255&gt;=COLUMNS($A255:AP255), Source!$E255, "")</f>
        <v/>
      </c>
      <c r="AQ255" s="2" t="str">
        <f>IF(Source!$C255&gt;=COLUMNS($A255:AQ255), Source!$E255, "")</f>
        <v/>
      </c>
      <c r="AR255" s="2" t="str">
        <f>IF(Source!$C255&gt;=COLUMNS($A255:AR255), Source!$E255, "")</f>
        <v/>
      </c>
    </row>
    <row r="256">
      <c r="A256" s="2">
        <f>IF(Source!$C256&gt;=COLUMNS($A256:A256), Source!$E256, "")</f>
        <v>1</v>
      </c>
      <c r="B256" s="2" t="str">
        <f>IF(Source!$C256&gt;=COLUMNS($A256:B256), Source!$E256, "")</f>
        <v/>
      </c>
      <c r="C256" s="2" t="str">
        <f>IF(Source!$C256&gt;=COLUMNS($A256:C256), Source!$E256, "")</f>
        <v/>
      </c>
      <c r="D256" s="2" t="str">
        <f>IF(Source!$C256&gt;=COLUMNS($A256:D256), Source!$E256, "")</f>
        <v/>
      </c>
      <c r="E256" s="2" t="str">
        <f>IF(Source!$C256&gt;=COLUMNS($A256:E256), Source!$E256, "")</f>
        <v/>
      </c>
      <c r="F256" s="2" t="str">
        <f>IF(Source!$C256&gt;=COLUMNS($A256:F256), Source!$E256, "")</f>
        <v/>
      </c>
      <c r="G256" s="2" t="str">
        <f>IF(Source!$C256&gt;=COLUMNS($A256:G256), Source!$E256, "")</f>
        <v/>
      </c>
      <c r="H256" s="2" t="str">
        <f>IF(Source!$C256&gt;=COLUMNS($A256:H256), Source!$E256, "")</f>
        <v/>
      </c>
      <c r="I256" s="2" t="str">
        <f>IF(Source!$C256&gt;=COLUMNS($A256:I256), Source!$E256, "")</f>
        <v/>
      </c>
      <c r="J256" s="2" t="str">
        <f>IF(Source!$C256&gt;=COLUMNS($A256:J256), Source!$E256, "")</f>
        <v/>
      </c>
      <c r="K256" s="2" t="str">
        <f>IF(Source!$C256&gt;=COLUMNS($A256:K256), Source!$E256, "")</f>
        <v/>
      </c>
      <c r="L256" s="2" t="str">
        <f>IF(Source!$C256&gt;=COLUMNS($A256:L256), Source!$E256, "")</f>
        <v/>
      </c>
      <c r="M256" s="2" t="str">
        <f>IF(Source!$C256&gt;=COLUMNS($A256:M256), Source!$E256, "")</f>
        <v/>
      </c>
      <c r="N256" s="2" t="str">
        <f>IF(Source!$C256&gt;=COLUMNS($A256:N256), Source!$E256, "")</f>
        <v/>
      </c>
      <c r="O256" s="2" t="str">
        <f>IF(Source!$C256&gt;=COLUMNS($A256:O256), Source!$E256, "")</f>
        <v/>
      </c>
      <c r="P256" s="2" t="str">
        <f>IF(Source!$C256&gt;=COLUMNS($A256:P256), Source!$E256, "")</f>
        <v/>
      </c>
      <c r="Q256" s="2" t="str">
        <f>IF(Source!$C256&gt;=COLUMNS($A256:Q256), Source!$E256, "")</f>
        <v/>
      </c>
      <c r="R256" s="2" t="str">
        <f>IF(Source!$C256&gt;=COLUMNS($A256:R256), Source!$E256, "")</f>
        <v/>
      </c>
      <c r="S256" s="2" t="str">
        <f>IF(Source!$C256&gt;=COLUMNS($A256:S256), Source!$E256, "")</f>
        <v/>
      </c>
      <c r="T256" s="2" t="str">
        <f>IF(Source!$C256&gt;=COLUMNS($A256:T256), Source!$E256, "")</f>
        <v/>
      </c>
      <c r="U256" s="2" t="str">
        <f>IF(Source!$C256&gt;=COLUMNS($A256:U256), Source!$E256, "")</f>
        <v/>
      </c>
      <c r="V256" s="2" t="str">
        <f>IF(Source!$C256&gt;=COLUMNS($A256:V256), Source!$E256, "")</f>
        <v/>
      </c>
      <c r="W256" s="2" t="str">
        <f>IF(Source!$C256&gt;=COLUMNS($A256:W256), Source!$E256, "")</f>
        <v/>
      </c>
      <c r="X256" s="2" t="str">
        <f>IF(Source!$C256&gt;=COLUMNS($A256:X256), Source!$E256, "")</f>
        <v/>
      </c>
      <c r="Y256" s="2" t="str">
        <f>IF(Source!$C256&gt;=COLUMNS($A256:Y256), Source!$E256, "")</f>
        <v/>
      </c>
      <c r="Z256" s="2" t="str">
        <f>IF(Source!$C256&gt;=COLUMNS($A256:Z256), Source!$E256, "")</f>
        <v/>
      </c>
      <c r="AA256" s="2" t="str">
        <f>IF(Source!$C256&gt;=COLUMNS($A256:AA256), Source!$E256, "")</f>
        <v/>
      </c>
      <c r="AB256" s="2" t="str">
        <f>IF(Source!$C256&gt;=COLUMNS($A256:AB256), Source!$E256, "")</f>
        <v/>
      </c>
      <c r="AC256" s="2" t="str">
        <f>IF(Source!$C256&gt;=COLUMNS($A256:AC256), Source!$E256, "")</f>
        <v/>
      </c>
      <c r="AD256" s="2" t="str">
        <f>IF(Source!$C256&gt;=COLUMNS($A256:AD256), Source!$E256, "")</f>
        <v/>
      </c>
      <c r="AE256" s="2" t="str">
        <f>IF(Source!$C256&gt;=COLUMNS($A256:AE256), Source!$E256, "")</f>
        <v/>
      </c>
      <c r="AF256" s="2" t="str">
        <f>IF(Source!$C256&gt;=COLUMNS($A256:AF256), Source!$E256, "")</f>
        <v/>
      </c>
      <c r="AG256" s="2" t="str">
        <f>IF(Source!$C256&gt;=COLUMNS($A256:AG256), Source!$E256, "")</f>
        <v/>
      </c>
      <c r="AH256" s="2" t="str">
        <f>IF(Source!$C256&gt;=COLUMNS($A256:AH256), Source!$E256, "")</f>
        <v/>
      </c>
      <c r="AI256" s="2" t="str">
        <f>IF(Source!$C256&gt;=COLUMNS($A256:AI256), Source!$E256, "")</f>
        <v/>
      </c>
      <c r="AJ256" s="2" t="str">
        <f>IF(Source!$C256&gt;=COLUMNS($A256:AJ256), Source!$E256, "")</f>
        <v/>
      </c>
      <c r="AK256" s="2" t="str">
        <f>IF(Source!$C256&gt;=COLUMNS($A256:AK256), Source!$E256, "")</f>
        <v/>
      </c>
      <c r="AL256" s="2" t="str">
        <f>IF(Source!$C256&gt;=COLUMNS($A256:AL256), Source!$E256, "")</f>
        <v/>
      </c>
      <c r="AM256" s="2" t="str">
        <f>IF(Source!$C256&gt;=COLUMNS($A256:AM256), Source!$E256, "")</f>
        <v/>
      </c>
      <c r="AN256" s="2" t="str">
        <f>IF(Source!$C256&gt;=COLUMNS($A256:AN256), Source!$E256, "")</f>
        <v/>
      </c>
      <c r="AO256" s="2" t="str">
        <f>IF(Source!$C256&gt;=COLUMNS($A256:AO256), Source!$E256, "")</f>
        <v/>
      </c>
      <c r="AP256" s="2" t="str">
        <f>IF(Source!$C256&gt;=COLUMNS($A256:AP256), Source!$E256, "")</f>
        <v/>
      </c>
      <c r="AQ256" s="2" t="str">
        <f>IF(Source!$C256&gt;=COLUMNS($A256:AQ256), Source!$E256, "")</f>
        <v/>
      </c>
      <c r="AR256" s="2" t="str">
        <f>IF(Source!$C256&gt;=COLUMNS($A256:AR256), Source!$E256, "")</f>
        <v/>
      </c>
    </row>
    <row r="257">
      <c r="A257" s="2">
        <f>IF(Source!$C257&gt;=COLUMNS($A257:A257), Source!$E257, "")</f>
        <v>8</v>
      </c>
      <c r="B257" s="2" t="str">
        <f>IF(Source!$C257&gt;=COLUMNS($A257:B257), Source!$E257, "")</f>
        <v/>
      </c>
      <c r="C257" s="2" t="str">
        <f>IF(Source!$C257&gt;=COLUMNS($A257:C257), Source!$E257, "")</f>
        <v/>
      </c>
      <c r="D257" s="2" t="str">
        <f>IF(Source!$C257&gt;=COLUMNS($A257:D257), Source!$E257, "")</f>
        <v/>
      </c>
      <c r="E257" s="2" t="str">
        <f>IF(Source!$C257&gt;=COLUMNS($A257:E257), Source!$E257, "")</f>
        <v/>
      </c>
      <c r="F257" s="2" t="str">
        <f>IF(Source!$C257&gt;=COLUMNS($A257:F257), Source!$E257, "")</f>
        <v/>
      </c>
      <c r="G257" s="2" t="str">
        <f>IF(Source!$C257&gt;=COLUMNS($A257:G257), Source!$E257, "")</f>
        <v/>
      </c>
      <c r="H257" s="2" t="str">
        <f>IF(Source!$C257&gt;=COLUMNS($A257:H257), Source!$E257, "")</f>
        <v/>
      </c>
      <c r="I257" s="2" t="str">
        <f>IF(Source!$C257&gt;=COLUMNS($A257:I257), Source!$E257, "")</f>
        <v/>
      </c>
      <c r="J257" s="2" t="str">
        <f>IF(Source!$C257&gt;=COLUMNS($A257:J257), Source!$E257, "")</f>
        <v/>
      </c>
      <c r="K257" s="2" t="str">
        <f>IF(Source!$C257&gt;=COLUMNS($A257:K257), Source!$E257, "")</f>
        <v/>
      </c>
      <c r="L257" s="2" t="str">
        <f>IF(Source!$C257&gt;=COLUMNS($A257:L257), Source!$E257, "")</f>
        <v/>
      </c>
      <c r="M257" s="2" t="str">
        <f>IF(Source!$C257&gt;=COLUMNS($A257:M257), Source!$E257, "")</f>
        <v/>
      </c>
      <c r="N257" s="2" t="str">
        <f>IF(Source!$C257&gt;=COLUMNS($A257:N257), Source!$E257, "")</f>
        <v/>
      </c>
      <c r="O257" s="2" t="str">
        <f>IF(Source!$C257&gt;=COLUMNS($A257:O257), Source!$E257, "")</f>
        <v/>
      </c>
      <c r="P257" s="2" t="str">
        <f>IF(Source!$C257&gt;=COLUMNS($A257:P257), Source!$E257, "")</f>
        <v/>
      </c>
      <c r="Q257" s="2" t="str">
        <f>IF(Source!$C257&gt;=COLUMNS($A257:Q257), Source!$E257, "")</f>
        <v/>
      </c>
      <c r="R257" s="2" t="str">
        <f>IF(Source!$C257&gt;=COLUMNS($A257:R257), Source!$E257, "")</f>
        <v/>
      </c>
      <c r="S257" s="2" t="str">
        <f>IF(Source!$C257&gt;=COLUMNS($A257:S257), Source!$E257, "")</f>
        <v/>
      </c>
      <c r="T257" s="2" t="str">
        <f>IF(Source!$C257&gt;=COLUMNS($A257:T257), Source!$E257, "")</f>
        <v/>
      </c>
      <c r="U257" s="2" t="str">
        <f>IF(Source!$C257&gt;=COLUMNS($A257:U257), Source!$E257, "")</f>
        <v/>
      </c>
      <c r="V257" s="2" t="str">
        <f>IF(Source!$C257&gt;=COLUMNS($A257:V257), Source!$E257, "")</f>
        <v/>
      </c>
      <c r="W257" s="2" t="str">
        <f>IF(Source!$C257&gt;=COLUMNS($A257:W257), Source!$E257, "")</f>
        <v/>
      </c>
      <c r="X257" s="2" t="str">
        <f>IF(Source!$C257&gt;=COLUMNS($A257:X257), Source!$E257, "")</f>
        <v/>
      </c>
      <c r="Y257" s="2" t="str">
        <f>IF(Source!$C257&gt;=COLUMNS($A257:Y257), Source!$E257, "")</f>
        <v/>
      </c>
      <c r="Z257" s="2" t="str">
        <f>IF(Source!$C257&gt;=COLUMNS($A257:Z257), Source!$E257, "")</f>
        <v/>
      </c>
      <c r="AA257" s="2" t="str">
        <f>IF(Source!$C257&gt;=COLUMNS($A257:AA257), Source!$E257, "")</f>
        <v/>
      </c>
      <c r="AB257" s="2" t="str">
        <f>IF(Source!$C257&gt;=COLUMNS($A257:AB257), Source!$E257, "")</f>
        <v/>
      </c>
      <c r="AC257" s="2" t="str">
        <f>IF(Source!$C257&gt;=COLUMNS($A257:AC257), Source!$E257, "")</f>
        <v/>
      </c>
      <c r="AD257" s="2" t="str">
        <f>IF(Source!$C257&gt;=COLUMNS($A257:AD257), Source!$E257, "")</f>
        <v/>
      </c>
      <c r="AE257" s="2" t="str">
        <f>IF(Source!$C257&gt;=COLUMNS($A257:AE257), Source!$E257, "")</f>
        <v/>
      </c>
      <c r="AF257" s="2" t="str">
        <f>IF(Source!$C257&gt;=COLUMNS($A257:AF257), Source!$E257, "")</f>
        <v/>
      </c>
      <c r="AG257" s="2" t="str">
        <f>IF(Source!$C257&gt;=COLUMNS($A257:AG257), Source!$E257, "")</f>
        <v/>
      </c>
      <c r="AH257" s="2" t="str">
        <f>IF(Source!$C257&gt;=COLUMNS($A257:AH257), Source!$E257, "")</f>
        <v/>
      </c>
      <c r="AI257" s="2" t="str">
        <f>IF(Source!$C257&gt;=COLUMNS($A257:AI257), Source!$E257, "")</f>
        <v/>
      </c>
      <c r="AJ257" s="2" t="str">
        <f>IF(Source!$C257&gt;=COLUMNS($A257:AJ257), Source!$E257, "")</f>
        <v/>
      </c>
      <c r="AK257" s="2" t="str">
        <f>IF(Source!$C257&gt;=COLUMNS($A257:AK257), Source!$E257, "")</f>
        <v/>
      </c>
      <c r="AL257" s="2" t="str">
        <f>IF(Source!$C257&gt;=COLUMNS($A257:AL257), Source!$E257, "")</f>
        <v/>
      </c>
      <c r="AM257" s="2" t="str">
        <f>IF(Source!$C257&gt;=COLUMNS($A257:AM257), Source!$E257, "")</f>
        <v/>
      </c>
      <c r="AN257" s="2" t="str">
        <f>IF(Source!$C257&gt;=COLUMNS($A257:AN257), Source!$E257, "")</f>
        <v/>
      </c>
      <c r="AO257" s="2" t="str">
        <f>IF(Source!$C257&gt;=COLUMNS($A257:AO257), Source!$E257, "")</f>
        <v/>
      </c>
      <c r="AP257" s="2" t="str">
        <f>IF(Source!$C257&gt;=COLUMNS($A257:AP257), Source!$E257, "")</f>
        <v/>
      </c>
      <c r="AQ257" s="2" t="str">
        <f>IF(Source!$C257&gt;=COLUMNS($A257:AQ257), Source!$E257, "")</f>
        <v/>
      </c>
      <c r="AR257" s="2" t="str">
        <f>IF(Source!$C257&gt;=COLUMNS($A257:AR257), Source!$E257, "")</f>
        <v/>
      </c>
    </row>
    <row r="258">
      <c r="A258" s="2">
        <f>IF(Source!$C258&gt;=COLUMNS($A258:A258), Source!$E258, "")</f>
        <v>1</v>
      </c>
      <c r="B258" s="2" t="str">
        <f>IF(Source!$C258&gt;=COLUMNS($A258:B258), Source!$E258, "")</f>
        <v/>
      </c>
      <c r="C258" s="2" t="str">
        <f>IF(Source!$C258&gt;=COLUMNS($A258:C258), Source!$E258, "")</f>
        <v/>
      </c>
      <c r="D258" s="2" t="str">
        <f>IF(Source!$C258&gt;=COLUMNS($A258:D258), Source!$E258, "")</f>
        <v/>
      </c>
      <c r="E258" s="2" t="str">
        <f>IF(Source!$C258&gt;=COLUMNS($A258:E258), Source!$E258, "")</f>
        <v/>
      </c>
      <c r="F258" s="2" t="str">
        <f>IF(Source!$C258&gt;=COLUMNS($A258:F258), Source!$E258, "")</f>
        <v/>
      </c>
      <c r="G258" s="2" t="str">
        <f>IF(Source!$C258&gt;=COLUMNS($A258:G258), Source!$E258, "")</f>
        <v/>
      </c>
      <c r="H258" s="2" t="str">
        <f>IF(Source!$C258&gt;=COLUMNS($A258:H258), Source!$E258, "")</f>
        <v/>
      </c>
      <c r="I258" s="2" t="str">
        <f>IF(Source!$C258&gt;=COLUMNS($A258:I258), Source!$E258, "")</f>
        <v/>
      </c>
      <c r="J258" s="2" t="str">
        <f>IF(Source!$C258&gt;=COLUMNS($A258:J258), Source!$E258, "")</f>
        <v/>
      </c>
      <c r="K258" s="2" t="str">
        <f>IF(Source!$C258&gt;=COLUMNS($A258:K258), Source!$E258, "")</f>
        <v/>
      </c>
      <c r="L258" s="2" t="str">
        <f>IF(Source!$C258&gt;=COLUMNS($A258:L258), Source!$E258, "")</f>
        <v/>
      </c>
      <c r="M258" s="2" t="str">
        <f>IF(Source!$C258&gt;=COLUMNS($A258:M258), Source!$E258, "")</f>
        <v/>
      </c>
      <c r="N258" s="2" t="str">
        <f>IF(Source!$C258&gt;=COLUMNS($A258:N258), Source!$E258, "")</f>
        <v/>
      </c>
      <c r="O258" s="2" t="str">
        <f>IF(Source!$C258&gt;=COLUMNS($A258:O258), Source!$E258, "")</f>
        <v/>
      </c>
      <c r="P258" s="2" t="str">
        <f>IF(Source!$C258&gt;=COLUMNS($A258:P258), Source!$E258, "")</f>
        <v/>
      </c>
      <c r="Q258" s="2" t="str">
        <f>IF(Source!$C258&gt;=COLUMNS($A258:Q258), Source!$E258, "")</f>
        <v/>
      </c>
      <c r="R258" s="2" t="str">
        <f>IF(Source!$C258&gt;=COLUMNS($A258:R258), Source!$E258, "")</f>
        <v/>
      </c>
      <c r="S258" s="2" t="str">
        <f>IF(Source!$C258&gt;=COLUMNS($A258:S258), Source!$E258, "")</f>
        <v/>
      </c>
      <c r="T258" s="2" t="str">
        <f>IF(Source!$C258&gt;=COLUMNS($A258:T258), Source!$E258, "")</f>
        <v/>
      </c>
      <c r="U258" s="2" t="str">
        <f>IF(Source!$C258&gt;=COLUMNS($A258:U258), Source!$E258, "")</f>
        <v/>
      </c>
      <c r="V258" s="2" t="str">
        <f>IF(Source!$C258&gt;=COLUMNS($A258:V258), Source!$E258, "")</f>
        <v/>
      </c>
      <c r="W258" s="2" t="str">
        <f>IF(Source!$C258&gt;=COLUMNS($A258:W258), Source!$E258, "")</f>
        <v/>
      </c>
      <c r="X258" s="2" t="str">
        <f>IF(Source!$C258&gt;=COLUMNS($A258:X258), Source!$E258, "")</f>
        <v/>
      </c>
      <c r="Y258" s="2" t="str">
        <f>IF(Source!$C258&gt;=COLUMNS($A258:Y258), Source!$E258, "")</f>
        <v/>
      </c>
      <c r="Z258" s="2" t="str">
        <f>IF(Source!$C258&gt;=COLUMNS($A258:Z258), Source!$E258, "")</f>
        <v/>
      </c>
      <c r="AA258" s="2" t="str">
        <f>IF(Source!$C258&gt;=COLUMNS($A258:AA258), Source!$E258, "")</f>
        <v/>
      </c>
      <c r="AB258" s="2" t="str">
        <f>IF(Source!$C258&gt;=COLUMNS($A258:AB258), Source!$E258, "")</f>
        <v/>
      </c>
      <c r="AC258" s="2" t="str">
        <f>IF(Source!$C258&gt;=COLUMNS($A258:AC258), Source!$E258, "")</f>
        <v/>
      </c>
      <c r="AD258" s="2" t="str">
        <f>IF(Source!$C258&gt;=COLUMNS($A258:AD258), Source!$E258, "")</f>
        <v/>
      </c>
      <c r="AE258" s="2" t="str">
        <f>IF(Source!$C258&gt;=COLUMNS($A258:AE258), Source!$E258, "")</f>
        <v/>
      </c>
      <c r="AF258" s="2" t="str">
        <f>IF(Source!$C258&gt;=COLUMNS($A258:AF258), Source!$E258, "")</f>
        <v/>
      </c>
      <c r="AG258" s="2" t="str">
        <f>IF(Source!$C258&gt;=COLUMNS($A258:AG258), Source!$E258, "")</f>
        <v/>
      </c>
      <c r="AH258" s="2" t="str">
        <f>IF(Source!$C258&gt;=COLUMNS($A258:AH258), Source!$E258, "")</f>
        <v/>
      </c>
      <c r="AI258" s="2" t="str">
        <f>IF(Source!$C258&gt;=COLUMNS($A258:AI258), Source!$E258, "")</f>
        <v/>
      </c>
      <c r="AJ258" s="2" t="str">
        <f>IF(Source!$C258&gt;=COLUMNS($A258:AJ258), Source!$E258, "")</f>
        <v/>
      </c>
      <c r="AK258" s="2" t="str">
        <f>IF(Source!$C258&gt;=COLUMNS($A258:AK258), Source!$E258, "")</f>
        <v/>
      </c>
      <c r="AL258" s="2" t="str">
        <f>IF(Source!$C258&gt;=COLUMNS($A258:AL258), Source!$E258, "")</f>
        <v/>
      </c>
      <c r="AM258" s="2" t="str">
        <f>IF(Source!$C258&gt;=COLUMNS($A258:AM258), Source!$E258, "")</f>
        <v/>
      </c>
      <c r="AN258" s="2" t="str">
        <f>IF(Source!$C258&gt;=COLUMNS($A258:AN258), Source!$E258, "")</f>
        <v/>
      </c>
      <c r="AO258" s="2" t="str">
        <f>IF(Source!$C258&gt;=COLUMNS($A258:AO258), Source!$E258, "")</f>
        <v/>
      </c>
      <c r="AP258" s="2" t="str">
        <f>IF(Source!$C258&gt;=COLUMNS($A258:AP258), Source!$E258, "")</f>
        <v/>
      </c>
      <c r="AQ258" s="2" t="str">
        <f>IF(Source!$C258&gt;=COLUMNS($A258:AQ258), Source!$E258, "")</f>
        <v/>
      </c>
      <c r="AR258" s="2" t="str">
        <f>IF(Source!$C258&gt;=COLUMNS($A258:AR258), Source!$E258, "")</f>
        <v/>
      </c>
    </row>
    <row r="259">
      <c r="A259" s="2">
        <f>IF(Source!$C259&gt;=COLUMNS($A259:A259), Source!$E259, "")</f>
        <v>3</v>
      </c>
      <c r="B259" s="2">
        <f>IF(Source!$C259&gt;=COLUMNS($A259:B259), Source!$E259, "")</f>
        <v>3</v>
      </c>
      <c r="C259" s="2">
        <f>IF(Source!$C259&gt;=COLUMNS($A259:C259), Source!$E259, "")</f>
        <v>3</v>
      </c>
      <c r="D259" s="2">
        <f>IF(Source!$C259&gt;=COLUMNS($A259:D259), Source!$E259, "")</f>
        <v>3</v>
      </c>
      <c r="E259" s="2">
        <f>IF(Source!$C259&gt;=COLUMNS($A259:E259), Source!$E259, "")</f>
        <v>3</v>
      </c>
      <c r="F259" s="2">
        <f>IF(Source!$C259&gt;=COLUMNS($A259:F259), Source!$E259, "")</f>
        <v>3</v>
      </c>
      <c r="G259" s="2">
        <f>IF(Source!$C259&gt;=COLUMNS($A259:G259), Source!$E259, "")</f>
        <v>3</v>
      </c>
      <c r="H259" s="2">
        <f>IF(Source!$C259&gt;=COLUMNS($A259:H259), Source!$E259, "")</f>
        <v>3</v>
      </c>
      <c r="I259" s="2">
        <f>IF(Source!$C259&gt;=COLUMNS($A259:I259), Source!$E259, "")</f>
        <v>3</v>
      </c>
      <c r="J259" s="2">
        <f>IF(Source!$C259&gt;=COLUMNS($A259:J259), Source!$E259, "")</f>
        <v>3</v>
      </c>
      <c r="K259" s="2">
        <f>IF(Source!$C259&gt;=COLUMNS($A259:K259), Source!$E259, "")</f>
        <v>3</v>
      </c>
      <c r="L259" s="2">
        <f>IF(Source!$C259&gt;=COLUMNS($A259:L259), Source!$E259, "")</f>
        <v>3</v>
      </c>
      <c r="M259" s="2">
        <f>IF(Source!$C259&gt;=COLUMNS($A259:M259), Source!$E259, "")</f>
        <v>3</v>
      </c>
      <c r="N259" s="2">
        <f>IF(Source!$C259&gt;=COLUMNS($A259:N259), Source!$E259, "")</f>
        <v>3</v>
      </c>
      <c r="O259" s="2">
        <f>IF(Source!$C259&gt;=COLUMNS($A259:O259), Source!$E259, "")</f>
        <v>3</v>
      </c>
      <c r="P259" s="2">
        <f>IF(Source!$C259&gt;=COLUMNS($A259:P259), Source!$E259, "")</f>
        <v>3</v>
      </c>
      <c r="Q259" s="2">
        <f>IF(Source!$C259&gt;=COLUMNS($A259:Q259), Source!$E259, "")</f>
        <v>3</v>
      </c>
      <c r="R259" s="2">
        <f>IF(Source!$C259&gt;=COLUMNS($A259:R259), Source!$E259, "")</f>
        <v>3</v>
      </c>
      <c r="S259" s="2">
        <f>IF(Source!$C259&gt;=COLUMNS($A259:S259), Source!$E259, "")</f>
        <v>3</v>
      </c>
      <c r="T259" s="2">
        <f>IF(Source!$C259&gt;=COLUMNS($A259:T259), Source!$E259, "")</f>
        <v>3</v>
      </c>
      <c r="U259" s="2">
        <f>IF(Source!$C259&gt;=COLUMNS($A259:U259), Source!$E259, "")</f>
        <v>3</v>
      </c>
      <c r="V259" s="2">
        <f>IF(Source!$C259&gt;=COLUMNS($A259:V259), Source!$E259, "")</f>
        <v>3</v>
      </c>
      <c r="W259" s="2">
        <f>IF(Source!$C259&gt;=COLUMNS($A259:W259), Source!$E259, "")</f>
        <v>3</v>
      </c>
      <c r="X259" s="2">
        <f>IF(Source!$C259&gt;=COLUMNS($A259:X259), Source!$E259, "")</f>
        <v>3</v>
      </c>
      <c r="Y259" s="2">
        <f>IF(Source!$C259&gt;=COLUMNS($A259:Y259), Source!$E259, "")</f>
        <v>3</v>
      </c>
      <c r="Z259" s="2" t="str">
        <f>IF(Source!$C259&gt;=COLUMNS($A259:Z259), Source!$E259, "")</f>
        <v/>
      </c>
      <c r="AA259" s="2" t="str">
        <f>IF(Source!$C259&gt;=COLUMNS($A259:AA259), Source!$E259, "")</f>
        <v/>
      </c>
      <c r="AB259" s="2" t="str">
        <f>IF(Source!$C259&gt;=COLUMNS($A259:AB259), Source!$E259, "")</f>
        <v/>
      </c>
      <c r="AC259" s="2" t="str">
        <f>IF(Source!$C259&gt;=COLUMNS($A259:AC259), Source!$E259, "")</f>
        <v/>
      </c>
      <c r="AD259" s="2" t="str">
        <f>IF(Source!$C259&gt;=COLUMNS($A259:AD259), Source!$E259, "")</f>
        <v/>
      </c>
      <c r="AE259" s="2" t="str">
        <f>IF(Source!$C259&gt;=COLUMNS($A259:AE259), Source!$E259, "")</f>
        <v/>
      </c>
      <c r="AF259" s="2" t="str">
        <f>IF(Source!$C259&gt;=COLUMNS($A259:AF259), Source!$E259, "")</f>
        <v/>
      </c>
      <c r="AG259" s="2" t="str">
        <f>IF(Source!$C259&gt;=COLUMNS($A259:AG259), Source!$E259, "")</f>
        <v/>
      </c>
      <c r="AH259" s="2" t="str">
        <f>IF(Source!$C259&gt;=COLUMNS($A259:AH259), Source!$E259, "")</f>
        <v/>
      </c>
      <c r="AI259" s="2" t="str">
        <f>IF(Source!$C259&gt;=COLUMNS($A259:AI259), Source!$E259, "")</f>
        <v/>
      </c>
      <c r="AJ259" s="2" t="str">
        <f>IF(Source!$C259&gt;=COLUMNS($A259:AJ259), Source!$E259, "")</f>
        <v/>
      </c>
      <c r="AK259" s="2" t="str">
        <f>IF(Source!$C259&gt;=COLUMNS($A259:AK259), Source!$E259, "")</f>
        <v/>
      </c>
      <c r="AL259" s="2" t="str">
        <f>IF(Source!$C259&gt;=COLUMNS($A259:AL259), Source!$E259, "")</f>
        <v/>
      </c>
      <c r="AM259" s="2" t="str">
        <f>IF(Source!$C259&gt;=COLUMNS($A259:AM259), Source!$E259, "")</f>
        <v/>
      </c>
      <c r="AN259" s="2" t="str">
        <f>IF(Source!$C259&gt;=COLUMNS($A259:AN259), Source!$E259, "")</f>
        <v/>
      </c>
      <c r="AO259" s="2" t="str">
        <f>IF(Source!$C259&gt;=COLUMNS($A259:AO259), Source!$E259, "")</f>
        <v/>
      </c>
      <c r="AP259" s="2" t="str">
        <f>IF(Source!$C259&gt;=COLUMNS($A259:AP259), Source!$E259, "")</f>
        <v/>
      </c>
      <c r="AQ259" s="2" t="str">
        <f>IF(Source!$C259&gt;=COLUMNS($A259:AQ259), Source!$E259, "")</f>
        <v/>
      </c>
      <c r="AR259" s="2" t="str">
        <f>IF(Source!$C259&gt;=COLUMNS($A259:AR259), Source!$E259, "")</f>
        <v/>
      </c>
    </row>
    <row r="260">
      <c r="A260" s="2">
        <f>IF(Source!$C260&gt;=COLUMNS($A260:A260), Source!$E260, "")</f>
        <v>4</v>
      </c>
      <c r="B260" s="2" t="str">
        <f>IF(Source!$C260&gt;=COLUMNS($A260:B260), Source!$E260, "")</f>
        <v/>
      </c>
      <c r="C260" s="2" t="str">
        <f>IF(Source!$C260&gt;=COLUMNS($A260:C260), Source!$E260, "")</f>
        <v/>
      </c>
      <c r="D260" s="2" t="str">
        <f>IF(Source!$C260&gt;=COLUMNS($A260:D260), Source!$E260, "")</f>
        <v/>
      </c>
      <c r="E260" s="2" t="str">
        <f>IF(Source!$C260&gt;=COLUMNS($A260:E260), Source!$E260, "")</f>
        <v/>
      </c>
      <c r="F260" s="2" t="str">
        <f>IF(Source!$C260&gt;=COLUMNS($A260:F260), Source!$E260, "")</f>
        <v/>
      </c>
      <c r="G260" s="2" t="str">
        <f>IF(Source!$C260&gt;=COLUMNS($A260:G260), Source!$E260, "")</f>
        <v/>
      </c>
      <c r="H260" s="2" t="str">
        <f>IF(Source!$C260&gt;=COLUMNS($A260:H260), Source!$E260, "")</f>
        <v/>
      </c>
      <c r="I260" s="2" t="str">
        <f>IF(Source!$C260&gt;=COLUMNS($A260:I260), Source!$E260, "")</f>
        <v/>
      </c>
      <c r="J260" s="2" t="str">
        <f>IF(Source!$C260&gt;=COLUMNS($A260:J260), Source!$E260, "")</f>
        <v/>
      </c>
      <c r="K260" s="2" t="str">
        <f>IF(Source!$C260&gt;=COLUMNS($A260:K260), Source!$E260, "")</f>
        <v/>
      </c>
      <c r="L260" s="2" t="str">
        <f>IF(Source!$C260&gt;=COLUMNS($A260:L260), Source!$E260, "")</f>
        <v/>
      </c>
      <c r="M260" s="2" t="str">
        <f>IF(Source!$C260&gt;=COLUMNS($A260:M260), Source!$E260, "")</f>
        <v/>
      </c>
      <c r="N260" s="2" t="str">
        <f>IF(Source!$C260&gt;=COLUMNS($A260:N260), Source!$E260, "")</f>
        <v/>
      </c>
      <c r="O260" s="2" t="str">
        <f>IF(Source!$C260&gt;=COLUMNS($A260:O260), Source!$E260, "")</f>
        <v/>
      </c>
      <c r="P260" s="2" t="str">
        <f>IF(Source!$C260&gt;=COLUMNS($A260:P260), Source!$E260, "")</f>
        <v/>
      </c>
      <c r="Q260" s="2" t="str">
        <f>IF(Source!$C260&gt;=COLUMNS($A260:Q260), Source!$E260, "")</f>
        <v/>
      </c>
      <c r="R260" s="2" t="str">
        <f>IF(Source!$C260&gt;=COLUMNS($A260:R260), Source!$E260, "")</f>
        <v/>
      </c>
      <c r="S260" s="2" t="str">
        <f>IF(Source!$C260&gt;=COLUMNS($A260:S260), Source!$E260, "")</f>
        <v/>
      </c>
      <c r="T260" s="2" t="str">
        <f>IF(Source!$C260&gt;=COLUMNS($A260:T260), Source!$E260, "")</f>
        <v/>
      </c>
      <c r="U260" s="2" t="str">
        <f>IF(Source!$C260&gt;=COLUMNS($A260:U260), Source!$E260, "")</f>
        <v/>
      </c>
      <c r="V260" s="2" t="str">
        <f>IF(Source!$C260&gt;=COLUMNS($A260:V260), Source!$E260, "")</f>
        <v/>
      </c>
      <c r="W260" s="2" t="str">
        <f>IF(Source!$C260&gt;=COLUMNS($A260:W260), Source!$E260, "")</f>
        <v/>
      </c>
      <c r="X260" s="2" t="str">
        <f>IF(Source!$C260&gt;=COLUMNS($A260:X260), Source!$E260, "")</f>
        <v/>
      </c>
      <c r="Y260" s="2" t="str">
        <f>IF(Source!$C260&gt;=COLUMNS($A260:Y260), Source!$E260, "")</f>
        <v/>
      </c>
      <c r="Z260" s="2" t="str">
        <f>IF(Source!$C260&gt;=COLUMNS($A260:Z260), Source!$E260, "")</f>
        <v/>
      </c>
      <c r="AA260" s="2" t="str">
        <f>IF(Source!$C260&gt;=COLUMNS($A260:AA260), Source!$E260, "")</f>
        <v/>
      </c>
      <c r="AB260" s="2" t="str">
        <f>IF(Source!$C260&gt;=COLUMNS($A260:AB260), Source!$E260, "")</f>
        <v/>
      </c>
      <c r="AC260" s="2" t="str">
        <f>IF(Source!$C260&gt;=COLUMNS($A260:AC260), Source!$E260, "")</f>
        <v/>
      </c>
      <c r="AD260" s="2" t="str">
        <f>IF(Source!$C260&gt;=COLUMNS($A260:AD260), Source!$E260, "")</f>
        <v/>
      </c>
      <c r="AE260" s="2" t="str">
        <f>IF(Source!$C260&gt;=COLUMNS($A260:AE260), Source!$E260, "")</f>
        <v/>
      </c>
      <c r="AF260" s="2" t="str">
        <f>IF(Source!$C260&gt;=COLUMNS($A260:AF260), Source!$E260, "")</f>
        <v/>
      </c>
      <c r="AG260" s="2" t="str">
        <f>IF(Source!$C260&gt;=COLUMNS($A260:AG260), Source!$E260, "")</f>
        <v/>
      </c>
      <c r="AH260" s="2" t="str">
        <f>IF(Source!$C260&gt;=COLUMNS($A260:AH260), Source!$E260, "")</f>
        <v/>
      </c>
      <c r="AI260" s="2" t="str">
        <f>IF(Source!$C260&gt;=COLUMNS($A260:AI260), Source!$E260, "")</f>
        <v/>
      </c>
      <c r="AJ260" s="2" t="str">
        <f>IF(Source!$C260&gt;=COLUMNS($A260:AJ260), Source!$E260, "")</f>
        <v/>
      </c>
      <c r="AK260" s="2" t="str">
        <f>IF(Source!$C260&gt;=COLUMNS($A260:AK260), Source!$E260, "")</f>
        <v/>
      </c>
      <c r="AL260" s="2" t="str">
        <f>IF(Source!$C260&gt;=COLUMNS($A260:AL260), Source!$E260, "")</f>
        <v/>
      </c>
      <c r="AM260" s="2" t="str">
        <f>IF(Source!$C260&gt;=COLUMNS($A260:AM260), Source!$E260, "")</f>
        <v/>
      </c>
      <c r="AN260" s="2" t="str">
        <f>IF(Source!$C260&gt;=COLUMNS($A260:AN260), Source!$E260, "")</f>
        <v/>
      </c>
      <c r="AO260" s="2" t="str">
        <f>IF(Source!$C260&gt;=COLUMNS($A260:AO260), Source!$E260, "")</f>
        <v/>
      </c>
      <c r="AP260" s="2" t="str">
        <f>IF(Source!$C260&gt;=COLUMNS($A260:AP260), Source!$E260, "")</f>
        <v/>
      </c>
      <c r="AQ260" s="2" t="str">
        <f>IF(Source!$C260&gt;=COLUMNS($A260:AQ260), Source!$E260, "")</f>
        <v/>
      </c>
      <c r="AR260" s="2" t="str">
        <f>IF(Source!$C260&gt;=COLUMNS($A260:AR260), Source!$E260, "")</f>
        <v/>
      </c>
    </row>
    <row r="261">
      <c r="A261" s="2">
        <f>IF(Source!$C261&gt;=COLUMNS($A261:A261), Source!$E261, "")</f>
        <v>3</v>
      </c>
      <c r="B261" s="2">
        <f>IF(Source!$C261&gt;=COLUMNS($A261:B261), Source!$E261, "")</f>
        <v>3</v>
      </c>
      <c r="C261" s="2" t="str">
        <f>IF(Source!$C261&gt;=COLUMNS($A261:C261), Source!$E261, "")</f>
        <v/>
      </c>
      <c r="D261" s="2" t="str">
        <f>IF(Source!$C261&gt;=COLUMNS($A261:D261), Source!$E261, "")</f>
        <v/>
      </c>
      <c r="E261" s="2" t="str">
        <f>IF(Source!$C261&gt;=COLUMNS($A261:E261), Source!$E261, "")</f>
        <v/>
      </c>
      <c r="F261" s="2" t="str">
        <f>IF(Source!$C261&gt;=COLUMNS($A261:F261), Source!$E261, "")</f>
        <v/>
      </c>
      <c r="G261" s="2" t="str">
        <f>IF(Source!$C261&gt;=COLUMNS($A261:G261), Source!$E261, "")</f>
        <v/>
      </c>
      <c r="H261" s="2" t="str">
        <f>IF(Source!$C261&gt;=COLUMNS($A261:H261), Source!$E261, "")</f>
        <v/>
      </c>
      <c r="I261" s="2" t="str">
        <f>IF(Source!$C261&gt;=COLUMNS($A261:I261), Source!$E261, "")</f>
        <v/>
      </c>
      <c r="J261" s="2" t="str">
        <f>IF(Source!$C261&gt;=COLUMNS($A261:J261), Source!$E261, "")</f>
        <v/>
      </c>
      <c r="K261" s="2" t="str">
        <f>IF(Source!$C261&gt;=COLUMNS($A261:K261), Source!$E261, "")</f>
        <v/>
      </c>
      <c r="L261" s="2" t="str">
        <f>IF(Source!$C261&gt;=COLUMNS($A261:L261), Source!$E261, "")</f>
        <v/>
      </c>
      <c r="M261" s="2" t="str">
        <f>IF(Source!$C261&gt;=COLUMNS($A261:M261), Source!$E261, "")</f>
        <v/>
      </c>
      <c r="N261" s="2" t="str">
        <f>IF(Source!$C261&gt;=COLUMNS($A261:N261), Source!$E261, "")</f>
        <v/>
      </c>
      <c r="O261" s="2" t="str">
        <f>IF(Source!$C261&gt;=COLUMNS($A261:O261), Source!$E261, "")</f>
        <v/>
      </c>
      <c r="P261" s="2" t="str">
        <f>IF(Source!$C261&gt;=COLUMNS($A261:P261), Source!$E261, "")</f>
        <v/>
      </c>
      <c r="Q261" s="2" t="str">
        <f>IF(Source!$C261&gt;=COLUMNS($A261:Q261), Source!$E261, "")</f>
        <v/>
      </c>
      <c r="R261" s="2" t="str">
        <f>IF(Source!$C261&gt;=COLUMNS($A261:R261), Source!$E261, "")</f>
        <v/>
      </c>
      <c r="S261" s="2" t="str">
        <f>IF(Source!$C261&gt;=COLUMNS($A261:S261), Source!$E261, "")</f>
        <v/>
      </c>
      <c r="T261" s="2" t="str">
        <f>IF(Source!$C261&gt;=COLUMNS($A261:T261), Source!$E261, "")</f>
        <v/>
      </c>
      <c r="U261" s="2" t="str">
        <f>IF(Source!$C261&gt;=COLUMNS($A261:U261), Source!$E261, "")</f>
        <v/>
      </c>
      <c r="V261" s="2" t="str">
        <f>IF(Source!$C261&gt;=COLUMNS($A261:V261), Source!$E261, "")</f>
        <v/>
      </c>
      <c r="W261" s="2" t="str">
        <f>IF(Source!$C261&gt;=COLUMNS($A261:W261), Source!$E261, "")</f>
        <v/>
      </c>
      <c r="X261" s="2" t="str">
        <f>IF(Source!$C261&gt;=COLUMNS($A261:X261), Source!$E261, "")</f>
        <v/>
      </c>
      <c r="Y261" s="2" t="str">
        <f>IF(Source!$C261&gt;=COLUMNS($A261:Y261), Source!$E261, "")</f>
        <v/>
      </c>
      <c r="Z261" s="2" t="str">
        <f>IF(Source!$C261&gt;=COLUMNS($A261:Z261), Source!$E261, "")</f>
        <v/>
      </c>
      <c r="AA261" s="2" t="str">
        <f>IF(Source!$C261&gt;=COLUMNS($A261:AA261), Source!$E261, "")</f>
        <v/>
      </c>
      <c r="AB261" s="2" t="str">
        <f>IF(Source!$C261&gt;=COLUMNS($A261:AB261), Source!$E261, "")</f>
        <v/>
      </c>
      <c r="AC261" s="2" t="str">
        <f>IF(Source!$C261&gt;=COLUMNS($A261:AC261), Source!$E261, "")</f>
        <v/>
      </c>
      <c r="AD261" s="2" t="str">
        <f>IF(Source!$C261&gt;=COLUMNS($A261:AD261), Source!$E261, "")</f>
        <v/>
      </c>
      <c r="AE261" s="2" t="str">
        <f>IF(Source!$C261&gt;=COLUMNS($A261:AE261), Source!$E261, "")</f>
        <v/>
      </c>
      <c r="AF261" s="2" t="str">
        <f>IF(Source!$C261&gt;=COLUMNS($A261:AF261), Source!$E261, "")</f>
        <v/>
      </c>
      <c r="AG261" s="2" t="str">
        <f>IF(Source!$C261&gt;=COLUMNS($A261:AG261), Source!$E261, "")</f>
        <v/>
      </c>
      <c r="AH261" s="2" t="str">
        <f>IF(Source!$C261&gt;=COLUMNS($A261:AH261), Source!$E261, "")</f>
        <v/>
      </c>
      <c r="AI261" s="2" t="str">
        <f>IF(Source!$C261&gt;=COLUMNS($A261:AI261), Source!$E261, "")</f>
        <v/>
      </c>
      <c r="AJ261" s="2" t="str">
        <f>IF(Source!$C261&gt;=COLUMNS($A261:AJ261), Source!$E261, "")</f>
        <v/>
      </c>
      <c r="AK261" s="2" t="str">
        <f>IF(Source!$C261&gt;=COLUMNS($A261:AK261), Source!$E261, "")</f>
        <v/>
      </c>
      <c r="AL261" s="2" t="str">
        <f>IF(Source!$C261&gt;=COLUMNS($A261:AL261), Source!$E261, "")</f>
        <v/>
      </c>
      <c r="AM261" s="2" t="str">
        <f>IF(Source!$C261&gt;=COLUMNS($A261:AM261), Source!$E261, "")</f>
        <v/>
      </c>
      <c r="AN261" s="2" t="str">
        <f>IF(Source!$C261&gt;=COLUMNS($A261:AN261), Source!$E261, "")</f>
        <v/>
      </c>
      <c r="AO261" s="2" t="str">
        <f>IF(Source!$C261&gt;=COLUMNS($A261:AO261), Source!$E261, "")</f>
        <v/>
      </c>
      <c r="AP261" s="2" t="str">
        <f>IF(Source!$C261&gt;=COLUMNS($A261:AP261), Source!$E261, "")</f>
        <v/>
      </c>
      <c r="AQ261" s="2" t="str">
        <f>IF(Source!$C261&gt;=COLUMNS($A261:AQ261), Source!$E261, "")</f>
        <v/>
      </c>
      <c r="AR261" s="2" t="str">
        <f>IF(Source!$C261&gt;=COLUMNS($A261:AR261), Source!$E261, "")</f>
        <v/>
      </c>
    </row>
    <row r="262">
      <c r="A262" s="2">
        <f>IF(Source!$C262&gt;=COLUMNS($A262:A262), Source!$E262, "")</f>
        <v>1</v>
      </c>
      <c r="B262" s="2">
        <f>IF(Source!$C262&gt;=COLUMNS($A262:B262), Source!$E262, "")</f>
        <v>1</v>
      </c>
      <c r="C262" s="2">
        <f>IF(Source!$C262&gt;=COLUMNS($A262:C262), Source!$E262, "")</f>
        <v>1</v>
      </c>
      <c r="D262" s="2" t="str">
        <f>IF(Source!$C262&gt;=COLUMNS($A262:D262), Source!$E262, "")</f>
        <v/>
      </c>
      <c r="E262" s="2" t="str">
        <f>IF(Source!$C262&gt;=COLUMNS($A262:E262), Source!$E262, "")</f>
        <v/>
      </c>
      <c r="F262" s="2" t="str">
        <f>IF(Source!$C262&gt;=COLUMNS($A262:F262), Source!$E262, "")</f>
        <v/>
      </c>
      <c r="G262" s="2" t="str">
        <f>IF(Source!$C262&gt;=COLUMNS($A262:G262), Source!$E262, "")</f>
        <v/>
      </c>
      <c r="H262" s="2" t="str">
        <f>IF(Source!$C262&gt;=COLUMNS($A262:H262), Source!$E262, "")</f>
        <v/>
      </c>
      <c r="I262" s="2" t="str">
        <f>IF(Source!$C262&gt;=COLUMNS($A262:I262), Source!$E262, "")</f>
        <v/>
      </c>
      <c r="J262" s="2" t="str">
        <f>IF(Source!$C262&gt;=COLUMNS($A262:J262), Source!$E262, "")</f>
        <v/>
      </c>
      <c r="K262" s="2" t="str">
        <f>IF(Source!$C262&gt;=COLUMNS($A262:K262), Source!$E262, "")</f>
        <v/>
      </c>
      <c r="L262" s="2" t="str">
        <f>IF(Source!$C262&gt;=COLUMNS($A262:L262), Source!$E262, "")</f>
        <v/>
      </c>
      <c r="M262" s="2" t="str">
        <f>IF(Source!$C262&gt;=COLUMNS($A262:M262), Source!$E262, "")</f>
        <v/>
      </c>
      <c r="N262" s="2" t="str">
        <f>IF(Source!$C262&gt;=COLUMNS($A262:N262), Source!$E262, "")</f>
        <v/>
      </c>
      <c r="O262" s="2" t="str">
        <f>IF(Source!$C262&gt;=COLUMNS($A262:O262), Source!$E262, "")</f>
        <v/>
      </c>
      <c r="P262" s="2" t="str">
        <f>IF(Source!$C262&gt;=COLUMNS($A262:P262), Source!$E262, "")</f>
        <v/>
      </c>
      <c r="Q262" s="2" t="str">
        <f>IF(Source!$C262&gt;=COLUMNS($A262:Q262), Source!$E262, "")</f>
        <v/>
      </c>
      <c r="R262" s="2" t="str">
        <f>IF(Source!$C262&gt;=COLUMNS($A262:R262), Source!$E262, "")</f>
        <v/>
      </c>
      <c r="S262" s="2" t="str">
        <f>IF(Source!$C262&gt;=COLUMNS($A262:S262), Source!$E262, "")</f>
        <v/>
      </c>
      <c r="T262" s="2" t="str">
        <f>IF(Source!$C262&gt;=COLUMNS($A262:T262), Source!$E262, "")</f>
        <v/>
      </c>
      <c r="U262" s="2" t="str">
        <f>IF(Source!$C262&gt;=COLUMNS($A262:U262), Source!$E262, "")</f>
        <v/>
      </c>
      <c r="V262" s="2" t="str">
        <f>IF(Source!$C262&gt;=COLUMNS($A262:V262), Source!$E262, "")</f>
        <v/>
      </c>
      <c r="W262" s="2" t="str">
        <f>IF(Source!$C262&gt;=COLUMNS($A262:W262), Source!$E262, "")</f>
        <v/>
      </c>
      <c r="X262" s="2" t="str">
        <f>IF(Source!$C262&gt;=COLUMNS($A262:X262), Source!$E262, "")</f>
        <v/>
      </c>
      <c r="Y262" s="2" t="str">
        <f>IF(Source!$C262&gt;=COLUMNS($A262:Y262), Source!$E262, "")</f>
        <v/>
      </c>
      <c r="Z262" s="2" t="str">
        <f>IF(Source!$C262&gt;=COLUMNS($A262:Z262), Source!$E262, "")</f>
        <v/>
      </c>
      <c r="AA262" s="2" t="str">
        <f>IF(Source!$C262&gt;=COLUMNS($A262:AA262), Source!$E262, "")</f>
        <v/>
      </c>
      <c r="AB262" s="2" t="str">
        <f>IF(Source!$C262&gt;=COLUMNS($A262:AB262), Source!$E262, "")</f>
        <v/>
      </c>
      <c r="AC262" s="2" t="str">
        <f>IF(Source!$C262&gt;=COLUMNS($A262:AC262), Source!$E262, "")</f>
        <v/>
      </c>
      <c r="AD262" s="2" t="str">
        <f>IF(Source!$C262&gt;=COLUMNS($A262:AD262), Source!$E262, "")</f>
        <v/>
      </c>
      <c r="AE262" s="2" t="str">
        <f>IF(Source!$C262&gt;=COLUMNS($A262:AE262), Source!$E262, "")</f>
        <v/>
      </c>
      <c r="AF262" s="2" t="str">
        <f>IF(Source!$C262&gt;=COLUMNS($A262:AF262), Source!$E262, "")</f>
        <v/>
      </c>
      <c r="AG262" s="2" t="str">
        <f>IF(Source!$C262&gt;=COLUMNS($A262:AG262), Source!$E262, "")</f>
        <v/>
      </c>
      <c r="AH262" s="2" t="str">
        <f>IF(Source!$C262&gt;=COLUMNS($A262:AH262), Source!$E262, "")</f>
        <v/>
      </c>
      <c r="AI262" s="2" t="str">
        <f>IF(Source!$C262&gt;=COLUMNS($A262:AI262), Source!$E262, "")</f>
        <v/>
      </c>
      <c r="AJ262" s="2" t="str">
        <f>IF(Source!$C262&gt;=COLUMNS($A262:AJ262), Source!$E262, "")</f>
        <v/>
      </c>
      <c r="AK262" s="2" t="str">
        <f>IF(Source!$C262&gt;=COLUMNS($A262:AK262), Source!$E262, "")</f>
        <v/>
      </c>
      <c r="AL262" s="2" t="str">
        <f>IF(Source!$C262&gt;=COLUMNS($A262:AL262), Source!$E262, "")</f>
        <v/>
      </c>
      <c r="AM262" s="2" t="str">
        <f>IF(Source!$C262&gt;=COLUMNS($A262:AM262), Source!$E262, "")</f>
        <v/>
      </c>
      <c r="AN262" s="2" t="str">
        <f>IF(Source!$C262&gt;=COLUMNS($A262:AN262), Source!$E262, "")</f>
        <v/>
      </c>
      <c r="AO262" s="2" t="str">
        <f>IF(Source!$C262&gt;=COLUMNS($A262:AO262), Source!$E262, "")</f>
        <v/>
      </c>
      <c r="AP262" s="2" t="str">
        <f>IF(Source!$C262&gt;=COLUMNS($A262:AP262), Source!$E262, "")</f>
        <v/>
      </c>
      <c r="AQ262" s="2" t="str">
        <f>IF(Source!$C262&gt;=COLUMNS($A262:AQ262), Source!$E262, "")</f>
        <v/>
      </c>
      <c r="AR262" s="2" t="str">
        <f>IF(Source!$C262&gt;=COLUMNS($A262:AR262), Source!$E262, "")</f>
        <v/>
      </c>
    </row>
    <row r="263">
      <c r="A263" s="2">
        <f>IF(Source!$C263&gt;=COLUMNS($A263:A263), Source!$E263, "")</f>
        <v>9</v>
      </c>
      <c r="B263" s="2">
        <f>IF(Source!$C263&gt;=COLUMNS($A263:B263), Source!$E263, "")</f>
        <v>9</v>
      </c>
      <c r="C263" s="2">
        <f>IF(Source!$C263&gt;=COLUMNS($A263:C263), Source!$E263, "")</f>
        <v>9</v>
      </c>
      <c r="D263" s="2">
        <f>IF(Source!$C263&gt;=COLUMNS($A263:D263), Source!$E263, "")</f>
        <v>9</v>
      </c>
      <c r="E263" s="2">
        <f>IF(Source!$C263&gt;=COLUMNS($A263:E263), Source!$E263, "")</f>
        <v>9</v>
      </c>
      <c r="F263" s="2">
        <f>IF(Source!$C263&gt;=COLUMNS($A263:F263), Source!$E263, "")</f>
        <v>9</v>
      </c>
      <c r="G263" s="2" t="str">
        <f>IF(Source!$C263&gt;=COLUMNS($A263:G263), Source!$E263, "")</f>
        <v/>
      </c>
      <c r="H263" s="2" t="str">
        <f>IF(Source!$C263&gt;=COLUMNS($A263:H263), Source!$E263, "")</f>
        <v/>
      </c>
      <c r="I263" s="2" t="str">
        <f>IF(Source!$C263&gt;=COLUMNS($A263:I263), Source!$E263, "")</f>
        <v/>
      </c>
      <c r="J263" s="2" t="str">
        <f>IF(Source!$C263&gt;=COLUMNS($A263:J263), Source!$E263, "")</f>
        <v/>
      </c>
      <c r="K263" s="2" t="str">
        <f>IF(Source!$C263&gt;=COLUMNS($A263:K263), Source!$E263, "")</f>
        <v/>
      </c>
      <c r="L263" s="2" t="str">
        <f>IF(Source!$C263&gt;=COLUMNS($A263:L263), Source!$E263, "")</f>
        <v/>
      </c>
      <c r="M263" s="2" t="str">
        <f>IF(Source!$C263&gt;=COLUMNS($A263:M263), Source!$E263, "")</f>
        <v/>
      </c>
      <c r="N263" s="2" t="str">
        <f>IF(Source!$C263&gt;=COLUMNS($A263:N263), Source!$E263, "")</f>
        <v/>
      </c>
      <c r="O263" s="2" t="str">
        <f>IF(Source!$C263&gt;=COLUMNS($A263:O263), Source!$E263, "")</f>
        <v/>
      </c>
      <c r="P263" s="2" t="str">
        <f>IF(Source!$C263&gt;=COLUMNS($A263:P263), Source!$E263, "")</f>
        <v/>
      </c>
      <c r="Q263" s="2" t="str">
        <f>IF(Source!$C263&gt;=COLUMNS($A263:Q263), Source!$E263, "")</f>
        <v/>
      </c>
      <c r="R263" s="2" t="str">
        <f>IF(Source!$C263&gt;=COLUMNS($A263:R263), Source!$E263, "")</f>
        <v/>
      </c>
      <c r="S263" s="2" t="str">
        <f>IF(Source!$C263&gt;=COLUMNS($A263:S263), Source!$E263, "")</f>
        <v/>
      </c>
      <c r="T263" s="2" t="str">
        <f>IF(Source!$C263&gt;=COLUMNS($A263:T263), Source!$E263, "")</f>
        <v/>
      </c>
      <c r="U263" s="2" t="str">
        <f>IF(Source!$C263&gt;=COLUMNS($A263:U263), Source!$E263, "")</f>
        <v/>
      </c>
      <c r="V263" s="2" t="str">
        <f>IF(Source!$C263&gt;=COLUMNS($A263:V263), Source!$E263, "")</f>
        <v/>
      </c>
      <c r="W263" s="2" t="str">
        <f>IF(Source!$C263&gt;=COLUMNS($A263:W263), Source!$E263, "")</f>
        <v/>
      </c>
      <c r="X263" s="2" t="str">
        <f>IF(Source!$C263&gt;=COLUMNS($A263:X263), Source!$E263, "")</f>
        <v/>
      </c>
      <c r="Y263" s="2" t="str">
        <f>IF(Source!$C263&gt;=COLUMNS($A263:Y263), Source!$E263, "")</f>
        <v/>
      </c>
      <c r="Z263" s="2" t="str">
        <f>IF(Source!$C263&gt;=COLUMNS($A263:Z263), Source!$E263, "")</f>
        <v/>
      </c>
      <c r="AA263" s="2" t="str">
        <f>IF(Source!$C263&gt;=COLUMNS($A263:AA263), Source!$E263, "")</f>
        <v/>
      </c>
      <c r="AB263" s="2" t="str">
        <f>IF(Source!$C263&gt;=COLUMNS($A263:AB263), Source!$E263, "")</f>
        <v/>
      </c>
      <c r="AC263" s="2" t="str">
        <f>IF(Source!$C263&gt;=COLUMNS($A263:AC263), Source!$E263, "")</f>
        <v/>
      </c>
      <c r="AD263" s="2" t="str">
        <f>IF(Source!$C263&gt;=COLUMNS($A263:AD263), Source!$E263, "")</f>
        <v/>
      </c>
      <c r="AE263" s="2" t="str">
        <f>IF(Source!$C263&gt;=COLUMNS($A263:AE263), Source!$E263, "")</f>
        <v/>
      </c>
      <c r="AF263" s="2" t="str">
        <f>IF(Source!$C263&gt;=COLUMNS($A263:AF263), Source!$E263, "")</f>
        <v/>
      </c>
      <c r="AG263" s="2" t="str">
        <f>IF(Source!$C263&gt;=COLUMNS($A263:AG263), Source!$E263, "")</f>
        <v/>
      </c>
      <c r="AH263" s="2" t="str">
        <f>IF(Source!$C263&gt;=COLUMNS($A263:AH263), Source!$E263, "")</f>
        <v/>
      </c>
      <c r="AI263" s="2" t="str">
        <f>IF(Source!$C263&gt;=COLUMNS($A263:AI263), Source!$E263, "")</f>
        <v/>
      </c>
      <c r="AJ263" s="2" t="str">
        <f>IF(Source!$C263&gt;=COLUMNS($A263:AJ263), Source!$E263, "")</f>
        <v/>
      </c>
      <c r="AK263" s="2" t="str">
        <f>IF(Source!$C263&gt;=COLUMNS($A263:AK263), Source!$E263, "")</f>
        <v/>
      </c>
      <c r="AL263" s="2" t="str">
        <f>IF(Source!$C263&gt;=COLUMNS($A263:AL263), Source!$E263, "")</f>
        <v/>
      </c>
      <c r="AM263" s="2" t="str">
        <f>IF(Source!$C263&gt;=COLUMNS($A263:AM263), Source!$E263, "")</f>
        <v/>
      </c>
      <c r="AN263" s="2" t="str">
        <f>IF(Source!$C263&gt;=COLUMNS($A263:AN263), Source!$E263, "")</f>
        <v/>
      </c>
      <c r="AO263" s="2" t="str">
        <f>IF(Source!$C263&gt;=COLUMNS($A263:AO263), Source!$E263, "")</f>
        <v/>
      </c>
      <c r="AP263" s="2" t="str">
        <f>IF(Source!$C263&gt;=COLUMNS($A263:AP263), Source!$E263, "")</f>
        <v/>
      </c>
      <c r="AQ263" s="2" t="str">
        <f>IF(Source!$C263&gt;=COLUMNS($A263:AQ263), Source!$E263, "")</f>
        <v/>
      </c>
      <c r="AR263" s="2" t="str">
        <f>IF(Source!$C263&gt;=COLUMNS($A263:AR263), Source!$E263, "")</f>
        <v/>
      </c>
    </row>
    <row r="264">
      <c r="A264" s="2">
        <f>IF(Source!$C264&gt;=COLUMNS($A264:A264), Source!$E264, "")</f>
        <v>6</v>
      </c>
      <c r="B264" s="2" t="str">
        <f>IF(Source!$C264&gt;=COLUMNS($A264:B264), Source!$E264, "")</f>
        <v/>
      </c>
      <c r="C264" s="2" t="str">
        <f>IF(Source!$C264&gt;=COLUMNS($A264:C264), Source!$E264, "")</f>
        <v/>
      </c>
      <c r="D264" s="2" t="str">
        <f>IF(Source!$C264&gt;=COLUMNS($A264:D264), Source!$E264, "")</f>
        <v/>
      </c>
      <c r="E264" s="2" t="str">
        <f>IF(Source!$C264&gt;=COLUMNS($A264:E264), Source!$E264, "")</f>
        <v/>
      </c>
      <c r="F264" s="2" t="str">
        <f>IF(Source!$C264&gt;=COLUMNS($A264:F264), Source!$E264, "")</f>
        <v/>
      </c>
      <c r="G264" s="2" t="str">
        <f>IF(Source!$C264&gt;=COLUMNS($A264:G264), Source!$E264, "")</f>
        <v/>
      </c>
      <c r="H264" s="2" t="str">
        <f>IF(Source!$C264&gt;=COLUMNS($A264:H264), Source!$E264, "")</f>
        <v/>
      </c>
      <c r="I264" s="2" t="str">
        <f>IF(Source!$C264&gt;=COLUMNS($A264:I264), Source!$E264, "")</f>
        <v/>
      </c>
      <c r="J264" s="2" t="str">
        <f>IF(Source!$C264&gt;=COLUMNS($A264:J264), Source!$E264, "")</f>
        <v/>
      </c>
      <c r="K264" s="2" t="str">
        <f>IF(Source!$C264&gt;=COLUMNS($A264:K264), Source!$E264, "")</f>
        <v/>
      </c>
      <c r="L264" s="2" t="str">
        <f>IF(Source!$C264&gt;=COLUMNS($A264:L264), Source!$E264, "")</f>
        <v/>
      </c>
      <c r="M264" s="2" t="str">
        <f>IF(Source!$C264&gt;=COLUMNS($A264:M264), Source!$E264, "")</f>
        <v/>
      </c>
      <c r="N264" s="2" t="str">
        <f>IF(Source!$C264&gt;=COLUMNS($A264:N264), Source!$E264, "")</f>
        <v/>
      </c>
      <c r="O264" s="2" t="str">
        <f>IF(Source!$C264&gt;=COLUMNS($A264:O264), Source!$E264, "")</f>
        <v/>
      </c>
      <c r="P264" s="2" t="str">
        <f>IF(Source!$C264&gt;=COLUMNS($A264:P264), Source!$E264, "")</f>
        <v/>
      </c>
      <c r="Q264" s="2" t="str">
        <f>IF(Source!$C264&gt;=COLUMNS($A264:Q264), Source!$E264, "")</f>
        <v/>
      </c>
      <c r="R264" s="2" t="str">
        <f>IF(Source!$C264&gt;=COLUMNS($A264:R264), Source!$E264, "")</f>
        <v/>
      </c>
      <c r="S264" s="2" t="str">
        <f>IF(Source!$C264&gt;=COLUMNS($A264:S264), Source!$E264, "")</f>
        <v/>
      </c>
      <c r="T264" s="2" t="str">
        <f>IF(Source!$C264&gt;=COLUMNS($A264:T264), Source!$E264, "")</f>
        <v/>
      </c>
      <c r="U264" s="2" t="str">
        <f>IF(Source!$C264&gt;=COLUMNS($A264:U264), Source!$E264, "")</f>
        <v/>
      </c>
      <c r="V264" s="2" t="str">
        <f>IF(Source!$C264&gt;=COLUMNS($A264:V264), Source!$E264, "")</f>
        <v/>
      </c>
      <c r="W264" s="2" t="str">
        <f>IF(Source!$C264&gt;=COLUMNS($A264:W264), Source!$E264, "")</f>
        <v/>
      </c>
      <c r="X264" s="2" t="str">
        <f>IF(Source!$C264&gt;=COLUMNS($A264:X264), Source!$E264, "")</f>
        <v/>
      </c>
      <c r="Y264" s="2" t="str">
        <f>IF(Source!$C264&gt;=COLUMNS($A264:Y264), Source!$E264, "")</f>
        <v/>
      </c>
      <c r="Z264" s="2" t="str">
        <f>IF(Source!$C264&gt;=COLUMNS($A264:Z264), Source!$E264, "")</f>
        <v/>
      </c>
      <c r="AA264" s="2" t="str">
        <f>IF(Source!$C264&gt;=COLUMNS($A264:AA264), Source!$E264, "")</f>
        <v/>
      </c>
      <c r="AB264" s="2" t="str">
        <f>IF(Source!$C264&gt;=COLUMNS($A264:AB264), Source!$E264, "")</f>
        <v/>
      </c>
      <c r="AC264" s="2" t="str">
        <f>IF(Source!$C264&gt;=COLUMNS($A264:AC264), Source!$E264, "")</f>
        <v/>
      </c>
      <c r="AD264" s="2" t="str">
        <f>IF(Source!$C264&gt;=COLUMNS($A264:AD264), Source!$E264, "")</f>
        <v/>
      </c>
      <c r="AE264" s="2" t="str">
        <f>IF(Source!$C264&gt;=COLUMNS($A264:AE264), Source!$E264, "")</f>
        <v/>
      </c>
      <c r="AF264" s="2" t="str">
        <f>IF(Source!$C264&gt;=COLUMNS($A264:AF264), Source!$E264, "")</f>
        <v/>
      </c>
      <c r="AG264" s="2" t="str">
        <f>IF(Source!$C264&gt;=COLUMNS($A264:AG264), Source!$E264, "")</f>
        <v/>
      </c>
      <c r="AH264" s="2" t="str">
        <f>IF(Source!$C264&gt;=COLUMNS($A264:AH264), Source!$E264, "")</f>
        <v/>
      </c>
      <c r="AI264" s="2" t="str">
        <f>IF(Source!$C264&gt;=COLUMNS($A264:AI264), Source!$E264, "")</f>
        <v/>
      </c>
      <c r="AJ264" s="2" t="str">
        <f>IF(Source!$C264&gt;=COLUMNS($A264:AJ264), Source!$E264, "")</f>
        <v/>
      </c>
      <c r="AK264" s="2" t="str">
        <f>IF(Source!$C264&gt;=COLUMNS($A264:AK264), Source!$E264, "")</f>
        <v/>
      </c>
      <c r="AL264" s="2" t="str">
        <f>IF(Source!$C264&gt;=COLUMNS($A264:AL264), Source!$E264, "")</f>
        <v/>
      </c>
      <c r="AM264" s="2" t="str">
        <f>IF(Source!$C264&gt;=COLUMNS($A264:AM264), Source!$E264, "")</f>
        <v/>
      </c>
      <c r="AN264" s="2" t="str">
        <f>IF(Source!$C264&gt;=COLUMNS($A264:AN264), Source!$E264, "")</f>
        <v/>
      </c>
      <c r="AO264" s="2" t="str">
        <f>IF(Source!$C264&gt;=COLUMNS($A264:AO264), Source!$E264, "")</f>
        <v/>
      </c>
      <c r="AP264" s="2" t="str">
        <f>IF(Source!$C264&gt;=COLUMNS($A264:AP264), Source!$E264, "")</f>
        <v/>
      </c>
      <c r="AQ264" s="2" t="str">
        <f>IF(Source!$C264&gt;=COLUMNS($A264:AQ264), Source!$E264, "")</f>
        <v/>
      </c>
      <c r="AR264" s="2" t="str">
        <f>IF(Source!$C264&gt;=COLUMNS($A264:AR264), Source!$E264, "")</f>
        <v/>
      </c>
    </row>
    <row r="265">
      <c r="A265" s="2">
        <f>IF(Source!$C265&gt;=COLUMNS($A265:A265), Source!$E265, "")</f>
        <v>2</v>
      </c>
      <c r="B265" s="2" t="str">
        <f>IF(Source!$C265&gt;=COLUMNS($A265:B265), Source!$E265, "")</f>
        <v/>
      </c>
      <c r="C265" s="2" t="str">
        <f>IF(Source!$C265&gt;=COLUMNS($A265:C265), Source!$E265, "")</f>
        <v/>
      </c>
      <c r="D265" s="2" t="str">
        <f>IF(Source!$C265&gt;=COLUMNS($A265:D265), Source!$E265, "")</f>
        <v/>
      </c>
      <c r="E265" s="2" t="str">
        <f>IF(Source!$C265&gt;=COLUMNS($A265:E265), Source!$E265, "")</f>
        <v/>
      </c>
      <c r="F265" s="2" t="str">
        <f>IF(Source!$C265&gt;=COLUMNS($A265:F265), Source!$E265, "")</f>
        <v/>
      </c>
      <c r="G265" s="2" t="str">
        <f>IF(Source!$C265&gt;=COLUMNS($A265:G265), Source!$E265, "")</f>
        <v/>
      </c>
      <c r="H265" s="2" t="str">
        <f>IF(Source!$C265&gt;=COLUMNS($A265:H265), Source!$E265, "")</f>
        <v/>
      </c>
      <c r="I265" s="2" t="str">
        <f>IF(Source!$C265&gt;=COLUMNS($A265:I265), Source!$E265, "")</f>
        <v/>
      </c>
      <c r="J265" s="2" t="str">
        <f>IF(Source!$C265&gt;=COLUMNS($A265:J265), Source!$E265, "")</f>
        <v/>
      </c>
      <c r="K265" s="2" t="str">
        <f>IF(Source!$C265&gt;=COLUMNS($A265:K265), Source!$E265, "")</f>
        <v/>
      </c>
      <c r="L265" s="2" t="str">
        <f>IF(Source!$C265&gt;=COLUMNS($A265:L265), Source!$E265, "")</f>
        <v/>
      </c>
      <c r="M265" s="2" t="str">
        <f>IF(Source!$C265&gt;=COLUMNS($A265:M265), Source!$E265, "")</f>
        <v/>
      </c>
      <c r="N265" s="2" t="str">
        <f>IF(Source!$C265&gt;=COLUMNS($A265:N265), Source!$E265, "")</f>
        <v/>
      </c>
      <c r="O265" s="2" t="str">
        <f>IF(Source!$C265&gt;=COLUMNS($A265:O265), Source!$E265, "")</f>
        <v/>
      </c>
      <c r="P265" s="2" t="str">
        <f>IF(Source!$C265&gt;=COLUMNS($A265:P265), Source!$E265, "")</f>
        <v/>
      </c>
      <c r="Q265" s="2" t="str">
        <f>IF(Source!$C265&gt;=COLUMNS($A265:Q265), Source!$E265, "")</f>
        <v/>
      </c>
      <c r="R265" s="2" t="str">
        <f>IF(Source!$C265&gt;=COLUMNS($A265:R265), Source!$E265, "")</f>
        <v/>
      </c>
      <c r="S265" s="2" t="str">
        <f>IF(Source!$C265&gt;=COLUMNS($A265:S265), Source!$E265, "")</f>
        <v/>
      </c>
      <c r="T265" s="2" t="str">
        <f>IF(Source!$C265&gt;=COLUMNS($A265:T265), Source!$E265, "")</f>
        <v/>
      </c>
      <c r="U265" s="2" t="str">
        <f>IF(Source!$C265&gt;=COLUMNS($A265:U265), Source!$E265, "")</f>
        <v/>
      </c>
      <c r="V265" s="2" t="str">
        <f>IF(Source!$C265&gt;=COLUMNS($A265:V265), Source!$E265, "")</f>
        <v/>
      </c>
      <c r="W265" s="2" t="str">
        <f>IF(Source!$C265&gt;=COLUMNS($A265:W265), Source!$E265, "")</f>
        <v/>
      </c>
      <c r="X265" s="2" t="str">
        <f>IF(Source!$C265&gt;=COLUMNS($A265:X265), Source!$E265, "")</f>
        <v/>
      </c>
      <c r="Y265" s="2" t="str">
        <f>IF(Source!$C265&gt;=COLUMNS($A265:Y265), Source!$E265, "")</f>
        <v/>
      </c>
      <c r="Z265" s="2" t="str">
        <f>IF(Source!$C265&gt;=COLUMNS($A265:Z265), Source!$E265, "")</f>
        <v/>
      </c>
      <c r="AA265" s="2" t="str">
        <f>IF(Source!$C265&gt;=COLUMNS($A265:AA265), Source!$E265, "")</f>
        <v/>
      </c>
      <c r="AB265" s="2" t="str">
        <f>IF(Source!$C265&gt;=COLUMNS($A265:AB265), Source!$E265, "")</f>
        <v/>
      </c>
      <c r="AC265" s="2" t="str">
        <f>IF(Source!$C265&gt;=COLUMNS($A265:AC265), Source!$E265, "")</f>
        <v/>
      </c>
      <c r="AD265" s="2" t="str">
        <f>IF(Source!$C265&gt;=COLUMNS($A265:AD265), Source!$E265, "")</f>
        <v/>
      </c>
      <c r="AE265" s="2" t="str">
        <f>IF(Source!$C265&gt;=COLUMNS($A265:AE265), Source!$E265, "")</f>
        <v/>
      </c>
      <c r="AF265" s="2" t="str">
        <f>IF(Source!$C265&gt;=COLUMNS($A265:AF265), Source!$E265, "")</f>
        <v/>
      </c>
      <c r="AG265" s="2" t="str">
        <f>IF(Source!$C265&gt;=COLUMNS($A265:AG265), Source!$E265, "")</f>
        <v/>
      </c>
      <c r="AH265" s="2" t="str">
        <f>IF(Source!$C265&gt;=COLUMNS($A265:AH265), Source!$E265, "")</f>
        <v/>
      </c>
      <c r="AI265" s="2" t="str">
        <f>IF(Source!$C265&gt;=COLUMNS($A265:AI265), Source!$E265, "")</f>
        <v/>
      </c>
      <c r="AJ265" s="2" t="str">
        <f>IF(Source!$C265&gt;=COLUMNS($A265:AJ265), Source!$E265, "")</f>
        <v/>
      </c>
      <c r="AK265" s="2" t="str">
        <f>IF(Source!$C265&gt;=COLUMNS($A265:AK265), Source!$E265, "")</f>
        <v/>
      </c>
      <c r="AL265" s="2" t="str">
        <f>IF(Source!$C265&gt;=COLUMNS($A265:AL265), Source!$E265, "")</f>
        <v/>
      </c>
      <c r="AM265" s="2" t="str">
        <f>IF(Source!$C265&gt;=COLUMNS($A265:AM265), Source!$E265, "")</f>
        <v/>
      </c>
      <c r="AN265" s="2" t="str">
        <f>IF(Source!$C265&gt;=COLUMNS($A265:AN265), Source!$E265, "")</f>
        <v/>
      </c>
      <c r="AO265" s="2" t="str">
        <f>IF(Source!$C265&gt;=COLUMNS($A265:AO265), Source!$E265, "")</f>
        <v/>
      </c>
      <c r="AP265" s="2" t="str">
        <f>IF(Source!$C265&gt;=COLUMNS($A265:AP265), Source!$E265, "")</f>
        <v/>
      </c>
      <c r="AQ265" s="2" t="str">
        <f>IF(Source!$C265&gt;=COLUMNS($A265:AQ265), Source!$E265, "")</f>
        <v/>
      </c>
      <c r="AR265" s="2" t="str">
        <f>IF(Source!$C265&gt;=COLUMNS($A265:AR265), Source!$E265, "")</f>
        <v/>
      </c>
    </row>
    <row r="266">
      <c r="A266" s="2">
        <f>IF(Source!$C266&gt;=COLUMNS($A266:A266), Source!$E266, "")</f>
        <v>7</v>
      </c>
      <c r="B266" s="2">
        <f>IF(Source!$C266&gt;=COLUMNS($A266:B266), Source!$E266, "")</f>
        <v>7</v>
      </c>
      <c r="C266" s="2">
        <f>IF(Source!$C266&gt;=COLUMNS($A266:C266), Source!$E266, "")</f>
        <v>7</v>
      </c>
      <c r="D266" s="2">
        <f>IF(Source!$C266&gt;=COLUMNS($A266:D266), Source!$E266, "")</f>
        <v>7</v>
      </c>
      <c r="E266" s="2">
        <f>IF(Source!$C266&gt;=COLUMNS($A266:E266), Source!$E266, "")</f>
        <v>7</v>
      </c>
      <c r="F266" s="2">
        <f>IF(Source!$C266&gt;=COLUMNS($A266:F266), Source!$E266, "")</f>
        <v>7</v>
      </c>
      <c r="G266" s="2">
        <f>IF(Source!$C266&gt;=COLUMNS($A266:G266), Source!$E266, "")</f>
        <v>7</v>
      </c>
      <c r="H266" s="2">
        <f>IF(Source!$C266&gt;=COLUMNS($A266:H266), Source!$E266, "")</f>
        <v>7</v>
      </c>
      <c r="I266" s="2">
        <f>IF(Source!$C266&gt;=COLUMNS($A266:I266), Source!$E266, "")</f>
        <v>7</v>
      </c>
      <c r="J266" s="2">
        <f>IF(Source!$C266&gt;=COLUMNS($A266:J266), Source!$E266, "")</f>
        <v>7</v>
      </c>
      <c r="K266" s="2">
        <f>IF(Source!$C266&gt;=COLUMNS($A266:K266), Source!$E266, "")</f>
        <v>7</v>
      </c>
      <c r="L266" s="2">
        <f>IF(Source!$C266&gt;=COLUMNS($A266:L266), Source!$E266, "")</f>
        <v>7</v>
      </c>
      <c r="M266" s="2">
        <f>IF(Source!$C266&gt;=COLUMNS($A266:M266), Source!$E266, "")</f>
        <v>7</v>
      </c>
      <c r="N266" s="2">
        <f>IF(Source!$C266&gt;=COLUMNS($A266:N266), Source!$E266, "")</f>
        <v>7</v>
      </c>
      <c r="O266" s="2">
        <f>IF(Source!$C266&gt;=COLUMNS($A266:O266), Source!$E266, "")</f>
        <v>7</v>
      </c>
      <c r="P266" s="2" t="str">
        <f>IF(Source!$C266&gt;=COLUMNS($A266:P266), Source!$E266, "")</f>
        <v/>
      </c>
      <c r="Q266" s="2" t="str">
        <f>IF(Source!$C266&gt;=COLUMNS($A266:Q266), Source!$E266, "")</f>
        <v/>
      </c>
      <c r="R266" s="2" t="str">
        <f>IF(Source!$C266&gt;=COLUMNS($A266:R266), Source!$E266, "")</f>
        <v/>
      </c>
      <c r="S266" s="2" t="str">
        <f>IF(Source!$C266&gt;=COLUMNS($A266:S266), Source!$E266, "")</f>
        <v/>
      </c>
      <c r="T266" s="2" t="str">
        <f>IF(Source!$C266&gt;=COLUMNS($A266:T266), Source!$E266, "")</f>
        <v/>
      </c>
      <c r="U266" s="2" t="str">
        <f>IF(Source!$C266&gt;=COLUMNS($A266:U266), Source!$E266, "")</f>
        <v/>
      </c>
      <c r="V266" s="2" t="str">
        <f>IF(Source!$C266&gt;=COLUMNS($A266:V266), Source!$E266, "")</f>
        <v/>
      </c>
      <c r="W266" s="2" t="str">
        <f>IF(Source!$C266&gt;=COLUMNS($A266:W266), Source!$E266, "")</f>
        <v/>
      </c>
      <c r="X266" s="2" t="str">
        <f>IF(Source!$C266&gt;=COLUMNS($A266:X266), Source!$E266, "")</f>
        <v/>
      </c>
      <c r="Y266" s="2" t="str">
        <f>IF(Source!$C266&gt;=COLUMNS($A266:Y266), Source!$E266, "")</f>
        <v/>
      </c>
      <c r="Z266" s="2" t="str">
        <f>IF(Source!$C266&gt;=COLUMNS($A266:Z266), Source!$E266, "")</f>
        <v/>
      </c>
      <c r="AA266" s="2" t="str">
        <f>IF(Source!$C266&gt;=COLUMNS($A266:AA266), Source!$E266, "")</f>
        <v/>
      </c>
      <c r="AB266" s="2" t="str">
        <f>IF(Source!$C266&gt;=COLUMNS($A266:AB266), Source!$E266, "")</f>
        <v/>
      </c>
      <c r="AC266" s="2" t="str">
        <f>IF(Source!$C266&gt;=COLUMNS($A266:AC266), Source!$E266, "")</f>
        <v/>
      </c>
      <c r="AD266" s="2" t="str">
        <f>IF(Source!$C266&gt;=COLUMNS($A266:AD266), Source!$E266, "")</f>
        <v/>
      </c>
      <c r="AE266" s="2" t="str">
        <f>IF(Source!$C266&gt;=COLUMNS($A266:AE266), Source!$E266, "")</f>
        <v/>
      </c>
      <c r="AF266" s="2" t="str">
        <f>IF(Source!$C266&gt;=COLUMNS($A266:AF266), Source!$E266, "")</f>
        <v/>
      </c>
      <c r="AG266" s="2" t="str">
        <f>IF(Source!$C266&gt;=COLUMNS($A266:AG266), Source!$E266, "")</f>
        <v/>
      </c>
      <c r="AH266" s="2" t="str">
        <f>IF(Source!$C266&gt;=COLUMNS($A266:AH266), Source!$E266, "")</f>
        <v/>
      </c>
      <c r="AI266" s="2" t="str">
        <f>IF(Source!$C266&gt;=COLUMNS($A266:AI266), Source!$E266, "")</f>
        <v/>
      </c>
      <c r="AJ266" s="2" t="str">
        <f>IF(Source!$C266&gt;=COLUMNS($A266:AJ266), Source!$E266, "")</f>
        <v/>
      </c>
      <c r="AK266" s="2" t="str">
        <f>IF(Source!$C266&gt;=COLUMNS($A266:AK266), Source!$E266, "")</f>
        <v/>
      </c>
      <c r="AL266" s="2" t="str">
        <f>IF(Source!$C266&gt;=COLUMNS($A266:AL266), Source!$E266, "")</f>
        <v/>
      </c>
      <c r="AM266" s="2" t="str">
        <f>IF(Source!$C266&gt;=COLUMNS($A266:AM266), Source!$E266, "")</f>
        <v/>
      </c>
      <c r="AN266" s="2" t="str">
        <f>IF(Source!$C266&gt;=COLUMNS($A266:AN266), Source!$E266, "")</f>
        <v/>
      </c>
      <c r="AO266" s="2" t="str">
        <f>IF(Source!$C266&gt;=COLUMNS($A266:AO266), Source!$E266, "")</f>
        <v/>
      </c>
      <c r="AP266" s="2" t="str">
        <f>IF(Source!$C266&gt;=COLUMNS($A266:AP266), Source!$E266, "")</f>
        <v/>
      </c>
      <c r="AQ266" s="2" t="str">
        <f>IF(Source!$C266&gt;=COLUMNS($A266:AQ266), Source!$E266, "")</f>
        <v/>
      </c>
      <c r="AR266" s="2" t="str">
        <f>IF(Source!$C266&gt;=COLUMNS($A266:AR266), Source!$E266, "")</f>
        <v/>
      </c>
    </row>
    <row r="267">
      <c r="A267" s="2">
        <f>IF(Source!$C267&gt;=COLUMNS($A267:A267), Source!$E267, "")</f>
        <v>2</v>
      </c>
      <c r="B267" s="2">
        <f>IF(Source!$C267&gt;=COLUMNS($A267:B267), Source!$E267, "")</f>
        <v>2</v>
      </c>
      <c r="C267" s="2" t="str">
        <f>IF(Source!$C267&gt;=COLUMNS($A267:C267), Source!$E267, "")</f>
        <v/>
      </c>
      <c r="D267" s="2" t="str">
        <f>IF(Source!$C267&gt;=COLUMNS($A267:D267), Source!$E267, "")</f>
        <v/>
      </c>
      <c r="E267" s="2" t="str">
        <f>IF(Source!$C267&gt;=COLUMNS($A267:E267), Source!$E267, "")</f>
        <v/>
      </c>
      <c r="F267" s="2" t="str">
        <f>IF(Source!$C267&gt;=COLUMNS($A267:F267), Source!$E267, "")</f>
        <v/>
      </c>
      <c r="G267" s="2" t="str">
        <f>IF(Source!$C267&gt;=COLUMNS($A267:G267), Source!$E267, "")</f>
        <v/>
      </c>
      <c r="H267" s="2" t="str">
        <f>IF(Source!$C267&gt;=COLUMNS($A267:H267), Source!$E267, "")</f>
        <v/>
      </c>
      <c r="I267" s="2" t="str">
        <f>IF(Source!$C267&gt;=COLUMNS($A267:I267), Source!$E267, "")</f>
        <v/>
      </c>
      <c r="J267" s="2" t="str">
        <f>IF(Source!$C267&gt;=COLUMNS($A267:J267), Source!$E267, "")</f>
        <v/>
      </c>
      <c r="K267" s="2" t="str">
        <f>IF(Source!$C267&gt;=COLUMNS($A267:K267), Source!$E267, "")</f>
        <v/>
      </c>
      <c r="L267" s="2" t="str">
        <f>IF(Source!$C267&gt;=COLUMNS($A267:L267), Source!$E267, "")</f>
        <v/>
      </c>
      <c r="M267" s="2" t="str">
        <f>IF(Source!$C267&gt;=COLUMNS($A267:M267), Source!$E267, "")</f>
        <v/>
      </c>
      <c r="N267" s="2" t="str">
        <f>IF(Source!$C267&gt;=COLUMNS($A267:N267), Source!$E267, "")</f>
        <v/>
      </c>
      <c r="O267" s="2" t="str">
        <f>IF(Source!$C267&gt;=COLUMNS($A267:O267), Source!$E267, "")</f>
        <v/>
      </c>
      <c r="P267" s="2" t="str">
        <f>IF(Source!$C267&gt;=COLUMNS($A267:P267), Source!$E267, "")</f>
        <v/>
      </c>
      <c r="Q267" s="2" t="str">
        <f>IF(Source!$C267&gt;=COLUMNS($A267:Q267), Source!$E267, "")</f>
        <v/>
      </c>
      <c r="R267" s="2" t="str">
        <f>IF(Source!$C267&gt;=COLUMNS($A267:R267), Source!$E267, "")</f>
        <v/>
      </c>
      <c r="S267" s="2" t="str">
        <f>IF(Source!$C267&gt;=COLUMNS($A267:S267), Source!$E267, "")</f>
        <v/>
      </c>
      <c r="T267" s="2" t="str">
        <f>IF(Source!$C267&gt;=COLUMNS($A267:T267), Source!$E267, "")</f>
        <v/>
      </c>
      <c r="U267" s="2" t="str">
        <f>IF(Source!$C267&gt;=COLUMNS($A267:U267), Source!$E267, "")</f>
        <v/>
      </c>
      <c r="V267" s="2" t="str">
        <f>IF(Source!$C267&gt;=COLUMNS($A267:V267), Source!$E267, "")</f>
        <v/>
      </c>
      <c r="W267" s="2" t="str">
        <f>IF(Source!$C267&gt;=COLUMNS($A267:W267), Source!$E267, "")</f>
        <v/>
      </c>
      <c r="X267" s="2" t="str">
        <f>IF(Source!$C267&gt;=COLUMNS($A267:X267), Source!$E267, "")</f>
        <v/>
      </c>
      <c r="Y267" s="2" t="str">
        <f>IF(Source!$C267&gt;=COLUMNS($A267:Y267), Source!$E267, "")</f>
        <v/>
      </c>
      <c r="Z267" s="2" t="str">
        <f>IF(Source!$C267&gt;=COLUMNS($A267:Z267), Source!$E267, "")</f>
        <v/>
      </c>
      <c r="AA267" s="2" t="str">
        <f>IF(Source!$C267&gt;=COLUMNS($A267:AA267), Source!$E267, "")</f>
        <v/>
      </c>
      <c r="AB267" s="2" t="str">
        <f>IF(Source!$C267&gt;=COLUMNS($A267:AB267), Source!$E267, "")</f>
        <v/>
      </c>
      <c r="AC267" s="2" t="str">
        <f>IF(Source!$C267&gt;=COLUMNS($A267:AC267), Source!$E267, "")</f>
        <v/>
      </c>
      <c r="AD267" s="2" t="str">
        <f>IF(Source!$C267&gt;=COLUMNS($A267:AD267), Source!$E267, "")</f>
        <v/>
      </c>
      <c r="AE267" s="2" t="str">
        <f>IF(Source!$C267&gt;=COLUMNS($A267:AE267), Source!$E267, "")</f>
        <v/>
      </c>
      <c r="AF267" s="2" t="str">
        <f>IF(Source!$C267&gt;=COLUMNS($A267:AF267), Source!$E267, "")</f>
        <v/>
      </c>
      <c r="AG267" s="2" t="str">
        <f>IF(Source!$C267&gt;=COLUMNS($A267:AG267), Source!$E267, "")</f>
        <v/>
      </c>
      <c r="AH267" s="2" t="str">
        <f>IF(Source!$C267&gt;=COLUMNS($A267:AH267), Source!$E267, "")</f>
        <v/>
      </c>
      <c r="AI267" s="2" t="str">
        <f>IF(Source!$C267&gt;=COLUMNS($A267:AI267), Source!$E267, "")</f>
        <v/>
      </c>
      <c r="AJ267" s="2" t="str">
        <f>IF(Source!$C267&gt;=COLUMNS($A267:AJ267), Source!$E267, "")</f>
        <v/>
      </c>
      <c r="AK267" s="2" t="str">
        <f>IF(Source!$C267&gt;=COLUMNS($A267:AK267), Source!$E267, "")</f>
        <v/>
      </c>
      <c r="AL267" s="2" t="str">
        <f>IF(Source!$C267&gt;=COLUMNS($A267:AL267), Source!$E267, "")</f>
        <v/>
      </c>
      <c r="AM267" s="2" t="str">
        <f>IF(Source!$C267&gt;=COLUMNS($A267:AM267), Source!$E267, "")</f>
        <v/>
      </c>
      <c r="AN267" s="2" t="str">
        <f>IF(Source!$C267&gt;=COLUMNS($A267:AN267), Source!$E267, "")</f>
        <v/>
      </c>
      <c r="AO267" s="2" t="str">
        <f>IF(Source!$C267&gt;=COLUMNS($A267:AO267), Source!$E267, "")</f>
        <v/>
      </c>
      <c r="AP267" s="2" t="str">
        <f>IF(Source!$C267&gt;=COLUMNS($A267:AP267), Source!$E267, "")</f>
        <v/>
      </c>
      <c r="AQ267" s="2" t="str">
        <f>IF(Source!$C267&gt;=COLUMNS($A267:AQ267), Source!$E267, "")</f>
        <v/>
      </c>
      <c r="AR267" s="2" t="str">
        <f>IF(Source!$C267&gt;=COLUMNS($A267:AR267), Source!$E267, "")</f>
        <v/>
      </c>
    </row>
    <row r="268">
      <c r="A268" s="2">
        <f>IF(Source!$C268&gt;=COLUMNS($A268:A268), Source!$E268, "")</f>
        <v>3</v>
      </c>
      <c r="B268" s="2" t="str">
        <f>IF(Source!$C268&gt;=COLUMNS($A268:B268), Source!$E268, "")</f>
        <v/>
      </c>
      <c r="C268" s="2" t="str">
        <f>IF(Source!$C268&gt;=COLUMNS($A268:C268), Source!$E268, "")</f>
        <v/>
      </c>
      <c r="D268" s="2" t="str">
        <f>IF(Source!$C268&gt;=COLUMNS($A268:D268), Source!$E268, "")</f>
        <v/>
      </c>
      <c r="E268" s="2" t="str">
        <f>IF(Source!$C268&gt;=COLUMNS($A268:E268), Source!$E268, "")</f>
        <v/>
      </c>
      <c r="F268" s="2" t="str">
        <f>IF(Source!$C268&gt;=COLUMNS($A268:F268), Source!$E268, "")</f>
        <v/>
      </c>
      <c r="G268" s="2" t="str">
        <f>IF(Source!$C268&gt;=COLUMNS($A268:G268), Source!$E268, "")</f>
        <v/>
      </c>
      <c r="H268" s="2" t="str">
        <f>IF(Source!$C268&gt;=COLUMNS($A268:H268), Source!$E268, "")</f>
        <v/>
      </c>
      <c r="I268" s="2" t="str">
        <f>IF(Source!$C268&gt;=COLUMNS($A268:I268), Source!$E268, "")</f>
        <v/>
      </c>
      <c r="J268" s="2" t="str">
        <f>IF(Source!$C268&gt;=COLUMNS($A268:J268), Source!$E268, "")</f>
        <v/>
      </c>
      <c r="K268" s="2" t="str">
        <f>IF(Source!$C268&gt;=COLUMNS($A268:K268), Source!$E268, "")</f>
        <v/>
      </c>
      <c r="L268" s="2" t="str">
        <f>IF(Source!$C268&gt;=COLUMNS($A268:L268), Source!$E268, "")</f>
        <v/>
      </c>
      <c r="M268" s="2" t="str">
        <f>IF(Source!$C268&gt;=COLUMNS($A268:M268), Source!$E268, "")</f>
        <v/>
      </c>
      <c r="N268" s="2" t="str">
        <f>IF(Source!$C268&gt;=COLUMNS($A268:N268), Source!$E268, "")</f>
        <v/>
      </c>
      <c r="O268" s="2" t="str">
        <f>IF(Source!$C268&gt;=COLUMNS($A268:O268), Source!$E268, "")</f>
        <v/>
      </c>
      <c r="P268" s="2" t="str">
        <f>IF(Source!$C268&gt;=COLUMNS($A268:P268), Source!$E268, "")</f>
        <v/>
      </c>
      <c r="Q268" s="2" t="str">
        <f>IF(Source!$C268&gt;=COLUMNS($A268:Q268), Source!$E268, "")</f>
        <v/>
      </c>
      <c r="R268" s="2" t="str">
        <f>IF(Source!$C268&gt;=COLUMNS($A268:R268), Source!$E268, "")</f>
        <v/>
      </c>
      <c r="S268" s="2" t="str">
        <f>IF(Source!$C268&gt;=COLUMNS($A268:S268), Source!$E268, "")</f>
        <v/>
      </c>
      <c r="T268" s="2" t="str">
        <f>IF(Source!$C268&gt;=COLUMNS($A268:T268), Source!$E268, "")</f>
        <v/>
      </c>
      <c r="U268" s="2" t="str">
        <f>IF(Source!$C268&gt;=COLUMNS($A268:U268), Source!$E268, "")</f>
        <v/>
      </c>
      <c r="V268" s="2" t="str">
        <f>IF(Source!$C268&gt;=COLUMNS($A268:V268), Source!$E268, "")</f>
        <v/>
      </c>
      <c r="W268" s="2" t="str">
        <f>IF(Source!$C268&gt;=COLUMNS($A268:W268), Source!$E268, "")</f>
        <v/>
      </c>
      <c r="X268" s="2" t="str">
        <f>IF(Source!$C268&gt;=COLUMNS($A268:X268), Source!$E268, "")</f>
        <v/>
      </c>
      <c r="Y268" s="2" t="str">
        <f>IF(Source!$C268&gt;=COLUMNS($A268:Y268), Source!$E268, "")</f>
        <v/>
      </c>
      <c r="Z268" s="2" t="str">
        <f>IF(Source!$C268&gt;=COLUMNS($A268:Z268), Source!$E268, "")</f>
        <v/>
      </c>
      <c r="AA268" s="2" t="str">
        <f>IF(Source!$C268&gt;=COLUMNS($A268:AA268), Source!$E268, "")</f>
        <v/>
      </c>
      <c r="AB268" s="2" t="str">
        <f>IF(Source!$C268&gt;=COLUMNS($A268:AB268), Source!$E268, "")</f>
        <v/>
      </c>
      <c r="AC268" s="2" t="str">
        <f>IF(Source!$C268&gt;=COLUMNS($A268:AC268), Source!$E268, "")</f>
        <v/>
      </c>
      <c r="AD268" s="2" t="str">
        <f>IF(Source!$C268&gt;=COLUMNS($A268:AD268), Source!$E268, "")</f>
        <v/>
      </c>
      <c r="AE268" s="2" t="str">
        <f>IF(Source!$C268&gt;=COLUMNS($A268:AE268), Source!$E268, "")</f>
        <v/>
      </c>
      <c r="AF268" s="2" t="str">
        <f>IF(Source!$C268&gt;=COLUMNS($A268:AF268), Source!$E268, "")</f>
        <v/>
      </c>
      <c r="AG268" s="2" t="str">
        <f>IF(Source!$C268&gt;=COLUMNS($A268:AG268), Source!$E268, "")</f>
        <v/>
      </c>
      <c r="AH268" s="2" t="str">
        <f>IF(Source!$C268&gt;=COLUMNS($A268:AH268), Source!$E268, "")</f>
        <v/>
      </c>
      <c r="AI268" s="2" t="str">
        <f>IF(Source!$C268&gt;=COLUMNS($A268:AI268), Source!$E268, "")</f>
        <v/>
      </c>
      <c r="AJ268" s="2" t="str">
        <f>IF(Source!$C268&gt;=COLUMNS($A268:AJ268), Source!$E268, "")</f>
        <v/>
      </c>
      <c r="AK268" s="2" t="str">
        <f>IF(Source!$C268&gt;=COLUMNS($A268:AK268), Source!$E268, "")</f>
        <v/>
      </c>
      <c r="AL268" s="2" t="str">
        <f>IF(Source!$C268&gt;=COLUMNS($A268:AL268), Source!$E268, "")</f>
        <v/>
      </c>
      <c r="AM268" s="2" t="str">
        <f>IF(Source!$C268&gt;=COLUMNS($A268:AM268), Source!$E268, "")</f>
        <v/>
      </c>
      <c r="AN268" s="2" t="str">
        <f>IF(Source!$C268&gt;=COLUMNS($A268:AN268), Source!$E268, "")</f>
        <v/>
      </c>
      <c r="AO268" s="2" t="str">
        <f>IF(Source!$C268&gt;=COLUMNS($A268:AO268), Source!$E268, "")</f>
        <v/>
      </c>
      <c r="AP268" s="2" t="str">
        <f>IF(Source!$C268&gt;=COLUMNS($A268:AP268), Source!$E268, "")</f>
        <v/>
      </c>
      <c r="AQ268" s="2" t="str">
        <f>IF(Source!$C268&gt;=COLUMNS($A268:AQ268), Source!$E268, "")</f>
        <v/>
      </c>
      <c r="AR268" s="2" t="str">
        <f>IF(Source!$C268&gt;=COLUMNS($A268:AR268), Source!$E268, "")</f>
        <v/>
      </c>
    </row>
    <row r="269">
      <c r="A269" s="2">
        <f>IF(Source!$C269&gt;=COLUMNS($A269:A269), Source!$E269, "")</f>
        <v>1</v>
      </c>
      <c r="B269" s="2" t="str">
        <f>IF(Source!$C269&gt;=COLUMNS($A269:B269), Source!$E269, "")</f>
        <v/>
      </c>
      <c r="C269" s="2" t="str">
        <f>IF(Source!$C269&gt;=COLUMNS($A269:C269), Source!$E269, "")</f>
        <v/>
      </c>
      <c r="D269" s="2" t="str">
        <f>IF(Source!$C269&gt;=COLUMNS($A269:D269), Source!$E269, "")</f>
        <v/>
      </c>
      <c r="E269" s="2" t="str">
        <f>IF(Source!$C269&gt;=COLUMNS($A269:E269), Source!$E269, "")</f>
        <v/>
      </c>
      <c r="F269" s="2" t="str">
        <f>IF(Source!$C269&gt;=COLUMNS($A269:F269), Source!$E269, "")</f>
        <v/>
      </c>
      <c r="G269" s="2" t="str">
        <f>IF(Source!$C269&gt;=COLUMNS($A269:G269), Source!$E269, "")</f>
        <v/>
      </c>
      <c r="H269" s="2" t="str">
        <f>IF(Source!$C269&gt;=COLUMNS($A269:H269), Source!$E269, "")</f>
        <v/>
      </c>
      <c r="I269" s="2" t="str">
        <f>IF(Source!$C269&gt;=COLUMNS($A269:I269), Source!$E269, "")</f>
        <v/>
      </c>
      <c r="J269" s="2" t="str">
        <f>IF(Source!$C269&gt;=COLUMNS($A269:J269), Source!$E269, "")</f>
        <v/>
      </c>
      <c r="K269" s="2" t="str">
        <f>IF(Source!$C269&gt;=COLUMNS($A269:K269), Source!$E269, "")</f>
        <v/>
      </c>
      <c r="L269" s="2" t="str">
        <f>IF(Source!$C269&gt;=COLUMNS($A269:L269), Source!$E269, "")</f>
        <v/>
      </c>
      <c r="M269" s="2" t="str">
        <f>IF(Source!$C269&gt;=COLUMNS($A269:M269), Source!$E269, "")</f>
        <v/>
      </c>
      <c r="N269" s="2" t="str">
        <f>IF(Source!$C269&gt;=COLUMNS($A269:N269), Source!$E269, "")</f>
        <v/>
      </c>
      <c r="O269" s="2" t="str">
        <f>IF(Source!$C269&gt;=COLUMNS($A269:O269), Source!$E269, "")</f>
        <v/>
      </c>
      <c r="P269" s="2" t="str">
        <f>IF(Source!$C269&gt;=COLUMNS($A269:P269), Source!$E269, "")</f>
        <v/>
      </c>
      <c r="Q269" s="2" t="str">
        <f>IF(Source!$C269&gt;=COLUMNS($A269:Q269), Source!$E269, "")</f>
        <v/>
      </c>
      <c r="R269" s="2" t="str">
        <f>IF(Source!$C269&gt;=COLUMNS($A269:R269), Source!$E269, "")</f>
        <v/>
      </c>
      <c r="S269" s="2" t="str">
        <f>IF(Source!$C269&gt;=COLUMNS($A269:S269), Source!$E269, "")</f>
        <v/>
      </c>
      <c r="T269" s="2" t="str">
        <f>IF(Source!$C269&gt;=COLUMNS($A269:T269), Source!$E269, "")</f>
        <v/>
      </c>
      <c r="U269" s="2" t="str">
        <f>IF(Source!$C269&gt;=COLUMNS($A269:U269), Source!$E269, "")</f>
        <v/>
      </c>
      <c r="V269" s="2" t="str">
        <f>IF(Source!$C269&gt;=COLUMNS($A269:V269), Source!$E269, "")</f>
        <v/>
      </c>
      <c r="W269" s="2" t="str">
        <f>IF(Source!$C269&gt;=COLUMNS($A269:W269), Source!$E269, "")</f>
        <v/>
      </c>
      <c r="X269" s="2" t="str">
        <f>IF(Source!$C269&gt;=COLUMNS($A269:X269), Source!$E269, "")</f>
        <v/>
      </c>
      <c r="Y269" s="2" t="str">
        <f>IF(Source!$C269&gt;=COLUMNS($A269:Y269), Source!$E269, "")</f>
        <v/>
      </c>
      <c r="Z269" s="2" t="str">
        <f>IF(Source!$C269&gt;=COLUMNS($A269:Z269), Source!$E269, "")</f>
        <v/>
      </c>
      <c r="AA269" s="2" t="str">
        <f>IF(Source!$C269&gt;=COLUMNS($A269:AA269), Source!$E269, "")</f>
        <v/>
      </c>
      <c r="AB269" s="2" t="str">
        <f>IF(Source!$C269&gt;=COLUMNS($A269:AB269), Source!$E269, "")</f>
        <v/>
      </c>
      <c r="AC269" s="2" t="str">
        <f>IF(Source!$C269&gt;=COLUMNS($A269:AC269), Source!$E269, "")</f>
        <v/>
      </c>
      <c r="AD269" s="2" t="str">
        <f>IF(Source!$C269&gt;=COLUMNS($A269:AD269), Source!$E269, "")</f>
        <v/>
      </c>
      <c r="AE269" s="2" t="str">
        <f>IF(Source!$C269&gt;=COLUMNS($A269:AE269), Source!$E269, "")</f>
        <v/>
      </c>
      <c r="AF269" s="2" t="str">
        <f>IF(Source!$C269&gt;=COLUMNS($A269:AF269), Source!$E269, "")</f>
        <v/>
      </c>
      <c r="AG269" s="2" t="str">
        <f>IF(Source!$C269&gt;=COLUMNS($A269:AG269), Source!$E269, "")</f>
        <v/>
      </c>
      <c r="AH269" s="2" t="str">
        <f>IF(Source!$C269&gt;=COLUMNS($A269:AH269), Source!$E269, "")</f>
        <v/>
      </c>
      <c r="AI269" s="2" t="str">
        <f>IF(Source!$C269&gt;=COLUMNS($A269:AI269), Source!$E269, "")</f>
        <v/>
      </c>
      <c r="AJ269" s="2" t="str">
        <f>IF(Source!$C269&gt;=COLUMNS($A269:AJ269), Source!$E269, "")</f>
        <v/>
      </c>
      <c r="AK269" s="2" t="str">
        <f>IF(Source!$C269&gt;=COLUMNS($A269:AK269), Source!$E269, "")</f>
        <v/>
      </c>
      <c r="AL269" s="2" t="str">
        <f>IF(Source!$C269&gt;=COLUMNS($A269:AL269), Source!$E269, "")</f>
        <v/>
      </c>
      <c r="AM269" s="2" t="str">
        <f>IF(Source!$C269&gt;=COLUMNS($A269:AM269), Source!$E269, "")</f>
        <v/>
      </c>
      <c r="AN269" s="2" t="str">
        <f>IF(Source!$C269&gt;=COLUMNS($A269:AN269), Source!$E269, "")</f>
        <v/>
      </c>
      <c r="AO269" s="2" t="str">
        <f>IF(Source!$C269&gt;=COLUMNS($A269:AO269), Source!$E269, "")</f>
        <v/>
      </c>
      <c r="AP269" s="2" t="str">
        <f>IF(Source!$C269&gt;=COLUMNS($A269:AP269), Source!$E269, "")</f>
        <v/>
      </c>
      <c r="AQ269" s="2" t="str">
        <f>IF(Source!$C269&gt;=COLUMNS($A269:AQ269), Source!$E269, "")</f>
        <v/>
      </c>
      <c r="AR269" s="2" t="str">
        <f>IF(Source!$C269&gt;=COLUMNS($A269:AR269), Source!$E269, "")</f>
        <v/>
      </c>
    </row>
    <row r="270">
      <c r="A270" s="2">
        <f>IF(Source!$C270&gt;=COLUMNS($A270:A270), Source!$E270, "")</f>
        <v>8</v>
      </c>
      <c r="B270" s="2">
        <f>IF(Source!$C270&gt;=COLUMNS($A270:B270), Source!$E270, "")</f>
        <v>8</v>
      </c>
      <c r="C270" s="2">
        <f>IF(Source!$C270&gt;=COLUMNS($A270:C270), Source!$E270, "")</f>
        <v>8</v>
      </c>
      <c r="D270" s="2">
        <f>IF(Source!$C270&gt;=COLUMNS($A270:D270), Source!$E270, "")</f>
        <v>8</v>
      </c>
      <c r="E270" s="2">
        <f>IF(Source!$C270&gt;=COLUMNS($A270:E270), Source!$E270, "")</f>
        <v>8</v>
      </c>
      <c r="F270" s="2">
        <f>IF(Source!$C270&gt;=COLUMNS($A270:F270), Source!$E270, "")</f>
        <v>8</v>
      </c>
      <c r="G270" s="2" t="str">
        <f>IF(Source!$C270&gt;=COLUMNS($A270:G270), Source!$E270, "")</f>
        <v/>
      </c>
      <c r="H270" s="2" t="str">
        <f>IF(Source!$C270&gt;=COLUMNS($A270:H270), Source!$E270, "")</f>
        <v/>
      </c>
      <c r="I270" s="2" t="str">
        <f>IF(Source!$C270&gt;=COLUMNS($A270:I270), Source!$E270, "")</f>
        <v/>
      </c>
      <c r="J270" s="2" t="str">
        <f>IF(Source!$C270&gt;=COLUMNS($A270:J270), Source!$E270, "")</f>
        <v/>
      </c>
      <c r="K270" s="2" t="str">
        <f>IF(Source!$C270&gt;=COLUMNS($A270:K270), Source!$E270, "")</f>
        <v/>
      </c>
      <c r="L270" s="2" t="str">
        <f>IF(Source!$C270&gt;=COLUMNS($A270:L270), Source!$E270, "")</f>
        <v/>
      </c>
      <c r="M270" s="2" t="str">
        <f>IF(Source!$C270&gt;=COLUMNS($A270:M270), Source!$E270, "")</f>
        <v/>
      </c>
      <c r="N270" s="2" t="str">
        <f>IF(Source!$C270&gt;=COLUMNS($A270:N270), Source!$E270, "")</f>
        <v/>
      </c>
      <c r="O270" s="2" t="str">
        <f>IF(Source!$C270&gt;=COLUMNS($A270:O270), Source!$E270, "")</f>
        <v/>
      </c>
      <c r="P270" s="2" t="str">
        <f>IF(Source!$C270&gt;=COLUMNS($A270:P270), Source!$E270, "")</f>
        <v/>
      </c>
      <c r="Q270" s="2" t="str">
        <f>IF(Source!$C270&gt;=COLUMNS($A270:Q270), Source!$E270, "")</f>
        <v/>
      </c>
      <c r="R270" s="2" t="str">
        <f>IF(Source!$C270&gt;=COLUMNS($A270:R270), Source!$E270, "")</f>
        <v/>
      </c>
      <c r="S270" s="2" t="str">
        <f>IF(Source!$C270&gt;=COLUMNS($A270:S270), Source!$E270, "")</f>
        <v/>
      </c>
      <c r="T270" s="2" t="str">
        <f>IF(Source!$C270&gt;=COLUMNS($A270:T270), Source!$E270, "")</f>
        <v/>
      </c>
      <c r="U270" s="2" t="str">
        <f>IF(Source!$C270&gt;=COLUMNS($A270:U270), Source!$E270, "")</f>
        <v/>
      </c>
      <c r="V270" s="2" t="str">
        <f>IF(Source!$C270&gt;=COLUMNS($A270:V270), Source!$E270, "")</f>
        <v/>
      </c>
      <c r="W270" s="2" t="str">
        <f>IF(Source!$C270&gt;=COLUMNS($A270:W270), Source!$E270, "")</f>
        <v/>
      </c>
      <c r="X270" s="2" t="str">
        <f>IF(Source!$C270&gt;=COLUMNS($A270:X270), Source!$E270, "")</f>
        <v/>
      </c>
      <c r="Y270" s="2" t="str">
        <f>IF(Source!$C270&gt;=COLUMNS($A270:Y270), Source!$E270, "")</f>
        <v/>
      </c>
      <c r="Z270" s="2" t="str">
        <f>IF(Source!$C270&gt;=COLUMNS($A270:Z270), Source!$E270, "")</f>
        <v/>
      </c>
      <c r="AA270" s="2" t="str">
        <f>IF(Source!$C270&gt;=COLUMNS($A270:AA270), Source!$E270, "")</f>
        <v/>
      </c>
      <c r="AB270" s="2" t="str">
        <f>IF(Source!$C270&gt;=COLUMNS($A270:AB270), Source!$E270, "")</f>
        <v/>
      </c>
      <c r="AC270" s="2" t="str">
        <f>IF(Source!$C270&gt;=COLUMNS($A270:AC270), Source!$E270, "")</f>
        <v/>
      </c>
      <c r="AD270" s="2" t="str">
        <f>IF(Source!$C270&gt;=COLUMNS($A270:AD270), Source!$E270, "")</f>
        <v/>
      </c>
      <c r="AE270" s="2" t="str">
        <f>IF(Source!$C270&gt;=COLUMNS($A270:AE270), Source!$E270, "")</f>
        <v/>
      </c>
      <c r="AF270" s="2" t="str">
        <f>IF(Source!$C270&gt;=COLUMNS($A270:AF270), Source!$E270, "")</f>
        <v/>
      </c>
      <c r="AG270" s="2" t="str">
        <f>IF(Source!$C270&gt;=COLUMNS($A270:AG270), Source!$E270, "")</f>
        <v/>
      </c>
      <c r="AH270" s="2" t="str">
        <f>IF(Source!$C270&gt;=COLUMNS($A270:AH270), Source!$E270, "")</f>
        <v/>
      </c>
      <c r="AI270" s="2" t="str">
        <f>IF(Source!$C270&gt;=COLUMNS($A270:AI270), Source!$E270, "")</f>
        <v/>
      </c>
      <c r="AJ270" s="2" t="str">
        <f>IF(Source!$C270&gt;=COLUMNS($A270:AJ270), Source!$E270, "")</f>
        <v/>
      </c>
      <c r="AK270" s="2" t="str">
        <f>IF(Source!$C270&gt;=COLUMNS($A270:AK270), Source!$E270, "")</f>
        <v/>
      </c>
      <c r="AL270" s="2" t="str">
        <f>IF(Source!$C270&gt;=COLUMNS($A270:AL270), Source!$E270, "")</f>
        <v/>
      </c>
      <c r="AM270" s="2" t="str">
        <f>IF(Source!$C270&gt;=COLUMNS($A270:AM270), Source!$E270, "")</f>
        <v/>
      </c>
      <c r="AN270" s="2" t="str">
        <f>IF(Source!$C270&gt;=COLUMNS($A270:AN270), Source!$E270, "")</f>
        <v/>
      </c>
      <c r="AO270" s="2" t="str">
        <f>IF(Source!$C270&gt;=COLUMNS($A270:AO270), Source!$E270, "")</f>
        <v/>
      </c>
      <c r="AP270" s="2" t="str">
        <f>IF(Source!$C270&gt;=COLUMNS($A270:AP270), Source!$E270, "")</f>
        <v/>
      </c>
      <c r="AQ270" s="2" t="str">
        <f>IF(Source!$C270&gt;=COLUMNS($A270:AQ270), Source!$E270, "")</f>
        <v/>
      </c>
      <c r="AR270" s="2" t="str">
        <f>IF(Source!$C270&gt;=COLUMNS($A270:AR270), Source!$E270, "")</f>
        <v/>
      </c>
    </row>
    <row r="271">
      <c r="A271" s="2">
        <f>IF(Source!$C271&gt;=COLUMNS($A271:A271), Source!$E271, "")</f>
        <v>3</v>
      </c>
      <c r="B271" s="2" t="str">
        <f>IF(Source!$C271&gt;=COLUMNS($A271:B271), Source!$E271, "")</f>
        <v/>
      </c>
      <c r="C271" s="2" t="str">
        <f>IF(Source!$C271&gt;=COLUMNS($A271:C271), Source!$E271, "")</f>
        <v/>
      </c>
      <c r="D271" s="2" t="str">
        <f>IF(Source!$C271&gt;=COLUMNS($A271:D271), Source!$E271, "")</f>
        <v/>
      </c>
      <c r="E271" s="2" t="str">
        <f>IF(Source!$C271&gt;=COLUMNS($A271:E271), Source!$E271, "")</f>
        <v/>
      </c>
      <c r="F271" s="2" t="str">
        <f>IF(Source!$C271&gt;=COLUMNS($A271:F271), Source!$E271, "")</f>
        <v/>
      </c>
      <c r="G271" s="2" t="str">
        <f>IF(Source!$C271&gt;=COLUMNS($A271:G271), Source!$E271, "")</f>
        <v/>
      </c>
      <c r="H271" s="2" t="str">
        <f>IF(Source!$C271&gt;=COLUMNS($A271:H271), Source!$E271, "")</f>
        <v/>
      </c>
      <c r="I271" s="2" t="str">
        <f>IF(Source!$C271&gt;=COLUMNS($A271:I271), Source!$E271, "")</f>
        <v/>
      </c>
      <c r="J271" s="2" t="str">
        <f>IF(Source!$C271&gt;=COLUMNS($A271:J271), Source!$E271, "")</f>
        <v/>
      </c>
      <c r="K271" s="2" t="str">
        <f>IF(Source!$C271&gt;=COLUMNS($A271:K271), Source!$E271, "")</f>
        <v/>
      </c>
      <c r="L271" s="2" t="str">
        <f>IF(Source!$C271&gt;=COLUMNS($A271:L271), Source!$E271, "")</f>
        <v/>
      </c>
      <c r="M271" s="2" t="str">
        <f>IF(Source!$C271&gt;=COLUMNS($A271:M271), Source!$E271, "")</f>
        <v/>
      </c>
      <c r="N271" s="2" t="str">
        <f>IF(Source!$C271&gt;=COLUMNS($A271:N271), Source!$E271, "")</f>
        <v/>
      </c>
      <c r="O271" s="2" t="str">
        <f>IF(Source!$C271&gt;=COLUMNS($A271:O271), Source!$E271, "")</f>
        <v/>
      </c>
      <c r="P271" s="2" t="str">
        <f>IF(Source!$C271&gt;=COLUMNS($A271:P271), Source!$E271, "")</f>
        <v/>
      </c>
      <c r="Q271" s="2" t="str">
        <f>IF(Source!$C271&gt;=COLUMNS($A271:Q271), Source!$E271, "")</f>
        <v/>
      </c>
      <c r="R271" s="2" t="str">
        <f>IF(Source!$C271&gt;=COLUMNS($A271:R271), Source!$E271, "")</f>
        <v/>
      </c>
      <c r="S271" s="2" t="str">
        <f>IF(Source!$C271&gt;=COLUMNS($A271:S271), Source!$E271, "")</f>
        <v/>
      </c>
      <c r="T271" s="2" t="str">
        <f>IF(Source!$C271&gt;=COLUMNS($A271:T271), Source!$E271, "")</f>
        <v/>
      </c>
      <c r="U271" s="2" t="str">
        <f>IF(Source!$C271&gt;=COLUMNS($A271:U271), Source!$E271, "")</f>
        <v/>
      </c>
      <c r="V271" s="2" t="str">
        <f>IF(Source!$C271&gt;=COLUMNS($A271:V271), Source!$E271, "")</f>
        <v/>
      </c>
      <c r="W271" s="2" t="str">
        <f>IF(Source!$C271&gt;=COLUMNS($A271:W271), Source!$E271, "")</f>
        <v/>
      </c>
      <c r="X271" s="2" t="str">
        <f>IF(Source!$C271&gt;=COLUMNS($A271:X271), Source!$E271, "")</f>
        <v/>
      </c>
      <c r="Y271" s="2" t="str">
        <f>IF(Source!$C271&gt;=COLUMNS($A271:Y271), Source!$E271, "")</f>
        <v/>
      </c>
      <c r="Z271" s="2" t="str">
        <f>IF(Source!$C271&gt;=COLUMNS($A271:Z271), Source!$E271, "")</f>
        <v/>
      </c>
      <c r="AA271" s="2" t="str">
        <f>IF(Source!$C271&gt;=COLUMNS($A271:AA271), Source!$E271, "")</f>
        <v/>
      </c>
      <c r="AB271" s="2" t="str">
        <f>IF(Source!$C271&gt;=COLUMNS($A271:AB271), Source!$E271, "")</f>
        <v/>
      </c>
      <c r="AC271" s="2" t="str">
        <f>IF(Source!$C271&gt;=COLUMNS($A271:AC271), Source!$E271, "")</f>
        <v/>
      </c>
      <c r="AD271" s="2" t="str">
        <f>IF(Source!$C271&gt;=COLUMNS($A271:AD271), Source!$E271, "")</f>
        <v/>
      </c>
      <c r="AE271" s="2" t="str">
        <f>IF(Source!$C271&gt;=COLUMNS($A271:AE271), Source!$E271, "")</f>
        <v/>
      </c>
      <c r="AF271" s="2" t="str">
        <f>IF(Source!$C271&gt;=COLUMNS($A271:AF271), Source!$E271, "")</f>
        <v/>
      </c>
      <c r="AG271" s="2" t="str">
        <f>IF(Source!$C271&gt;=COLUMNS($A271:AG271), Source!$E271, "")</f>
        <v/>
      </c>
      <c r="AH271" s="2" t="str">
        <f>IF(Source!$C271&gt;=COLUMNS($A271:AH271), Source!$E271, "")</f>
        <v/>
      </c>
      <c r="AI271" s="2" t="str">
        <f>IF(Source!$C271&gt;=COLUMNS($A271:AI271), Source!$E271, "")</f>
        <v/>
      </c>
      <c r="AJ271" s="2" t="str">
        <f>IF(Source!$C271&gt;=COLUMNS($A271:AJ271), Source!$E271, "")</f>
        <v/>
      </c>
      <c r="AK271" s="2" t="str">
        <f>IF(Source!$C271&gt;=COLUMNS($A271:AK271), Source!$E271, "")</f>
        <v/>
      </c>
      <c r="AL271" s="2" t="str">
        <f>IF(Source!$C271&gt;=COLUMNS($A271:AL271), Source!$E271, "")</f>
        <v/>
      </c>
      <c r="AM271" s="2" t="str">
        <f>IF(Source!$C271&gt;=COLUMNS($A271:AM271), Source!$E271, "")</f>
        <v/>
      </c>
      <c r="AN271" s="2" t="str">
        <f>IF(Source!$C271&gt;=COLUMNS($A271:AN271), Source!$E271, "")</f>
        <v/>
      </c>
      <c r="AO271" s="2" t="str">
        <f>IF(Source!$C271&gt;=COLUMNS($A271:AO271), Source!$E271, "")</f>
        <v/>
      </c>
      <c r="AP271" s="2" t="str">
        <f>IF(Source!$C271&gt;=COLUMNS($A271:AP271), Source!$E271, "")</f>
        <v/>
      </c>
      <c r="AQ271" s="2" t="str">
        <f>IF(Source!$C271&gt;=COLUMNS($A271:AQ271), Source!$E271, "")</f>
        <v/>
      </c>
      <c r="AR271" s="2" t="str">
        <f>IF(Source!$C271&gt;=COLUMNS($A271:AR271), Source!$E271, "")</f>
        <v/>
      </c>
    </row>
    <row r="272">
      <c r="A272" s="2">
        <f>IF(Source!$C272&gt;=COLUMNS($A272:A272), Source!$E272, "")</f>
        <v>8</v>
      </c>
      <c r="B272" s="2" t="str">
        <f>IF(Source!$C272&gt;=COLUMNS($A272:B272), Source!$E272, "")</f>
        <v/>
      </c>
      <c r="C272" s="2" t="str">
        <f>IF(Source!$C272&gt;=COLUMNS($A272:C272), Source!$E272, "")</f>
        <v/>
      </c>
      <c r="D272" s="2" t="str">
        <f>IF(Source!$C272&gt;=COLUMNS($A272:D272), Source!$E272, "")</f>
        <v/>
      </c>
      <c r="E272" s="2" t="str">
        <f>IF(Source!$C272&gt;=COLUMNS($A272:E272), Source!$E272, "")</f>
        <v/>
      </c>
      <c r="F272" s="2" t="str">
        <f>IF(Source!$C272&gt;=COLUMNS($A272:F272), Source!$E272, "")</f>
        <v/>
      </c>
      <c r="G272" s="2" t="str">
        <f>IF(Source!$C272&gt;=COLUMNS($A272:G272), Source!$E272, "")</f>
        <v/>
      </c>
      <c r="H272" s="2" t="str">
        <f>IF(Source!$C272&gt;=COLUMNS($A272:H272), Source!$E272, "")</f>
        <v/>
      </c>
      <c r="I272" s="2" t="str">
        <f>IF(Source!$C272&gt;=COLUMNS($A272:I272), Source!$E272, "")</f>
        <v/>
      </c>
      <c r="J272" s="2" t="str">
        <f>IF(Source!$C272&gt;=COLUMNS($A272:J272), Source!$E272, "")</f>
        <v/>
      </c>
      <c r="K272" s="2" t="str">
        <f>IF(Source!$C272&gt;=COLUMNS($A272:K272), Source!$E272, "")</f>
        <v/>
      </c>
      <c r="L272" s="2" t="str">
        <f>IF(Source!$C272&gt;=COLUMNS($A272:L272), Source!$E272, "")</f>
        <v/>
      </c>
      <c r="M272" s="2" t="str">
        <f>IF(Source!$C272&gt;=COLUMNS($A272:M272), Source!$E272, "")</f>
        <v/>
      </c>
      <c r="N272" s="2" t="str">
        <f>IF(Source!$C272&gt;=COLUMNS($A272:N272), Source!$E272, "")</f>
        <v/>
      </c>
      <c r="O272" s="2" t="str">
        <f>IF(Source!$C272&gt;=COLUMNS($A272:O272), Source!$E272, "")</f>
        <v/>
      </c>
      <c r="P272" s="2" t="str">
        <f>IF(Source!$C272&gt;=COLUMNS($A272:P272), Source!$E272, "")</f>
        <v/>
      </c>
      <c r="Q272" s="2" t="str">
        <f>IF(Source!$C272&gt;=COLUMNS($A272:Q272), Source!$E272, "")</f>
        <v/>
      </c>
      <c r="R272" s="2" t="str">
        <f>IF(Source!$C272&gt;=COLUMNS($A272:R272), Source!$E272, "")</f>
        <v/>
      </c>
      <c r="S272" s="2" t="str">
        <f>IF(Source!$C272&gt;=COLUMNS($A272:S272), Source!$E272, "")</f>
        <v/>
      </c>
      <c r="T272" s="2" t="str">
        <f>IF(Source!$C272&gt;=COLUMNS($A272:T272), Source!$E272, "")</f>
        <v/>
      </c>
      <c r="U272" s="2" t="str">
        <f>IF(Source!$C272&gt;=COLUMNS($A272:U272), Source!$E272, "")</f>
        <v/>
      </c>
      <c r="V272" s="2" t="str">
        <f>IF(Source!$C272&gt;=COLUMNS($A272:V272), Source!$E272, "")</f>
        <v/>
      </c>
      <c r="W272" s="2" t="str">
        <f>IF(Source!$C272&gt;=COLUMNS($A272:W272), Source!$E272, "")</f>
        <v/>
      </c>
      <c r="X272" s="2" t="str">
        <f>IF(Source!$C272&gt;=COLUMNS($A272:X272), Source!$E272, "")</f>
        <v/>
      </c>
      <c r="Y272" s="2" t="str">
        <f>IF(Source!$C272&gt;=COLUMNS($A272:Y272), Source!$E272, "")</f>
        <v/>
      </c>
      <c r="Z272" s="2" t="str">
        <f>IF(Source!$C272&gt;=COLUMNS($A272:Z272), Source!$E272, "")</f>
        <v/>
      </c>
      <c r="AA272" s="2" t="str">
        <f>IF(Source!$C272&gt;=COLUMNS($A272:AA272), Source!$E272, "")</f>
        <v/>
      </c>
      <c r="AB272" s="2" t="str">
        <f>IF(Source!$C272&gt;=COLUMNS($A272:AB272), Source!$E272, "")</f>
        <v/>
      </c>
      <c r="AC272" s="2" t="str">
        <f>IF(Source!$C272&gt;=COLUMNS($A272:AC272), Source!$E272, "")</f>
        <v/>
      </c>
      <c r="AD272" s="2" t="str">
        <f>IF(Source!$C272&gt;=COLUMNS($A272:AD272), Source!$E272, "")</f>
        <v/>
      </c>
      <c r="AE272" s="2" t="str">
        <f>IF(Source!$C272&gt;=COLUMNS($A272:AE272), Source!$E272, "")</f>
        <v/>
      </c>
      <c r="AF272" s="2" t="str">
        <f>IF(Source!$C272&gt;=COLUMNS($A272:AF272), Source!$E272, "")</f>
        <v/>
      </c>
      <c r="AG272" s="2" t="str">
        <f>IF(Source!$C272&gt;=COLUMNS($A272:AG272), Source!$E272, "")</f>
        <v/>
      </c>
      <c r="AH272" s="2" t="str">
        <f>IF(Source!$C272&gt;=COLUMNS($A272:AH272), Source!$E272, "")</f>
        <v/>
      </c>
      <c r="AI272" s="2" t="str">
        <f>IF(Source!$C272&gt;=COLUMNS($A272:AI272), Source!$E272, "")</f>
        <v/>
      </c>
      <c r="AJ272" s="2" t="str">
        <f>IF(Source!$C272&gt;=COLUMNS($A272:AJ272), Source!$E272, "")</f>
        <v/>
      </c>
      <c r="AK272" s="2" t="str">
        <f>IF(Source!$C272&gt;=COLUMNS($A272:AK272), Source!$E272, "")</f>
        <v/>
      </c>
      <c r="AL272" s="2" t="str">
        <f>IF(Source!$C272&gt;=COLUMNS($A272:AL272), Source!$E272, "")</f>
        <v/>
      </c>
      <c r="AM272" s="2" t="str">
        <f>IF(Source!$C272&gt;=COLUMNS($A272:AM272), Source!$E272, "")</f>
        <v/>
      </c>
      <c r="AN272" s="2" t="str">
        <f>IF(Source!$C272&gt;=COLUMNS($A272:AN272), Source!$E272, "")</f>
        <v/>
      </c>
      <c r="AO272" s="2" t="str">
        <f>IF(Source!$C272&gt;=COLUMNS($A272:AO272), Source!$E272, "")</f>
        <v/>
      </c>
      <c r="AP272" s="2" t="str">
        <f>IF(Source!$C272&gt;=COLUMNS($A272:AP272), Source!$E272, "")</f>
        <v/>
      </c>
      <c r="AQ272" s="2" t="str">
        <f>IF(Source!$C272&gt;=COLUMNS($A272:AQ272), Source!$E272, "")</f>
        <v/>
      </c>
      <c r="AR272" s="2" t="str">
        <f>IF(Source!$C272&gt;=COLUMNS($A272:AR272), Source!$E272, "")</f>
        <v/>
      </c>
    </row>
    <row r="273">
      <c r="A273" s="2">
        <f>IF(Source!$C273&gt;=COLUMNS($A273:A273), Source!$E273, "")</f>
        <v>5</v>
      </c>
      <c r="B273" s="2">
        <f>IF(Source!$C273&gt;=COLUMNS($A273:B273), Source!$E273, "")</f>
        <v>5</v>
      </c>
      <c r="C273" s="2" t="str">
        <f>IF(Source!$C273&gt;=COLUMNS($A273:C273), Source!$E273, "")</f>
        <v/>
      </c>
      <c r="D273" s="2" t="str">
        <f>IF(Source!$C273&gt;=COLUMNS($A273:D273), Source!$E273, "")</f>
        <v/>
      </c>
      <c r="E273" s="2" t="str">
        <f>IF(Source!$C273&gt;=COLUMNS($A273:E273), Source!$E273, "")</f>
        <v/>
      </c>
      <c r="F273" s="2" t="str">
        <f>IF(Source!$C273&gt;=COLUMNS($A273:F273), Source!$E273, "")</f>
        <v/>
      </c>
      <c r="G273" s="2" t="str">
        <f>IF(Source!$C273&gt;=COLUMNS($A273:G273), Source!$E273, "")</f>
        <v/>
      </c>
      <c r="H273" s="2" t="str">
        <f>IF(Source!$C273&gt;=COLUMNS($A273:H273), Source!$E273, "")</f>
        <v/>
      </c>
      <c r="I273" s="2" t="str">
        <f>IF(Source!$C273&gt;=COLUMNS($A273:I273), Source!$E273, "")</f>
        <v/>
      </c>
      <c r="J273" s="2" t="str">
        <f>IF(Source!$C273&gt;=COLUMNS($A273:J273), Source!$E273, "")</f>
        <v/>
      </c>
      <c r="K273" s="2" t="str">
        <f>IF(Source!$C273&gt;=COLUMNS($A273:K273), Source!$E273, "")</f>
        <v/>
      </c>
      <c r="L273" s="2" t="str">
        <f>IF(Source!$C273&gt;=COLUMNS($A273:L273), Source!$E273, "")</f>
        <v/>
      </c>
      <c r="M273" s="2" t="str">
        <f>IF(Source!$C273&gt;=COLUMNS($A273:M273), Source!$E273, "")</f>
        <v/>
      </c>
      <c r="N273" s="2" t="str">
        <f>IF(Source!$C273&gt;=COLUMNS($A273:N273), Source!$E273, "")</f>
        <v/>
      </c>
      <c r="O273" s="2" t="str">
        <f>IF(Source!$C273&gt;=COLUMNS($A273:O273), Source!$E273, "")</f>
        <v/>
      </c>
      <c r="P273" s="2" t="str">
        <f>IF(Source!$C273&gt;=COLUMNS($A273:P273), Source!$E273, "")</f>
        <v/>
      </c>
      <c r="Q273" s="2" t="str">
        <f>IF(Source!$C273&gt;=COLUMNS($A273:Q273), Source!$E273, "")</f>
        <v/>
      </c>
      <c r="R273" s="2" t="str">
        <f>IF(Source!$C273&gt;=COLUMNS($A273:R273), Source!$E273, "")</f>
        <v/>
      </c>
      <c r="S273" s="2" t="str">
        <f>IF(Source!$C273&gt;=COLUMNS($A273:S273), Source!$E273, "")</f>
        <v/>
      </c>
      <c r="T273" s="2" t="str">
        <f>IF(Source!$C273&gt;=COLUMNS($A273:T273), Source!$E273, "")</f>
        <v/>
      </c>
      <c r="U273" s="2" t="str">
        <f>IF(Source!$C273&gt;=COLUMNS($A273:U273), Source!$E273, "")</f>
        <v/>
      </c>
      <c r="V273" s="2" t="str">
        <f>IF(Source!$C273&gt;=COLUMNS($A273:V273), Source!$E273, "")</f>
        <v/>
      </c>
      <c r="W273" s="2" t="str">
        <f>IF(Source!$C273&gt;=COLUMNS($A273:W273), Source!$E273, "")</f>
        <v/>
      </c>
      <c r="X273" s="2" t="str">
        <f>IF(Source!$C273&gt;=COLUMNS($A273:X273), Source!$E273, "")</f>
        <v/>
      </c>
      <c r="Y273" s="2" t="str">
        <f>IF(Source!$C273&gt;=COLUMNS($A273:Y273), Source!$E273, "")</f>
        <v/>
      </c>
      <c r="Z273" s="2" t="str">
        <f>IF(Source!$C273&gt;=COLUMNS($A273:Z273), Source!$E273, "")</f>
        <v/>
      </c>
      <c r="AA273" s="2" t="str">
        <f>IF(Source!$C273&gt;=COLUMNS($A273:AA273), Source!$E273, "")</f>
        <v/>
      </c>
      <c r="AB273" s="2" t="str">
        <f>IF(Source!$C273&gt;=COLUMNS($A273:AB273), Source!$E273, "")</f>
        <v/>
      </c>
      <c r="AC273" s="2" t="str">
        <f>IF(Source!$C273&gt;=COLUMNS($A273:AC273), Source!$E273, "")</f>
        <v/>
      </c>
      <c r="AD273" s="2" t="str">
        <f>IF(Source!$C273&gt;=COLUMNS($A273:AD273), Source!$E273, "")</f>
        <v/>
      </c>
      <c r="AE273" s="2" t="str">
        <f>IF(Source!$C273&gt;=COLUMNS($A273:AE273), Source!$E273, "")</f>
        <v/>
      </c>
      <c r="AF273" s="2" t="str">
        <f>IF(Source!$C273&gt;=COLUMNS($A273:AF273), Source!$E273, "")</f>
        <v/>
      </c>
      <c r="AG273" s="2" t="str">
        <f>IF(Source!$C273&gt;=COLUMNS($A273:AG273), Source!$E273, "")</f>
        <v/>
      </c>
      <c r="AH273" s="2" t="str">
        <f>IF(Source!$C273&gt;=COLUMNS($A273:AH273), Source!$E273, "")</f>
        <v/>
      </c>
      <c r="AI273" s="2" t="str">
        <f>IF(Source!$C273&gt;=COLUMNS($A273:AI273), Source!$E273, "")</f>
        <v/>
      </c>
      <c r="AJ273" s="2" t="str">
        <f>IF(Source!$C273&gt;=COLUMNS($A273:AJ273), Source!$E273, "")</f>
        <v/>
      </c>
      <c r="AK273" s="2" t="str">
        <f>IF(Source!$C273&gt;=COLUMNS($A273:AK273), Source!$E273, "")</f>
        <v/>
      </c>
      <c r="AL273" s="2" t="str">
        <f>IF(Source!$C273&gt;=COLUMNS($A273:AL273), Source!$E273, "")</f>
        <v/>
      </c>
      <c r="AM273" s="2" t="str">
        <f>IF(Source!$C273&gt;=COLUMNS($A273:AM273), Source!$E273, "")</f>
        <v/>
      </c>
      <c r="AN273" s="2" t="str">
        <f>IF(Source!$C273&gt;=COLUMNS($A273:AN273), Source!$E273, "")</f>
        <v/>
      </c>
      <c r="AO273" s="2" t="str">
        <f>IF(Source!$C273&gt;=COLUMNS($A273:AO273), Source!$E273, "")</f>
        <v/>
      </c>
      <c r="AP273" s="2" t="str">
        <f>IF(Source!$C273&gt;=COLUMNS($A273:AP273), Source!$E273, "")</f>
        <v/>
      </c>
      <c r="AQ273" s="2" t="str">
        <f>IF(Source!$C273&gt;=COLUMNS($A273:AQ273), Source!$E273, "")</f>
        <v/>
      </c>
      <c r="AR273" s="2" t="str">
        <f>IF(Source!$C273&gt;=COLUMNS($A273:AR273), Source!$E273, "")</f>
        <v/>
      </c>
    </row>
    <row r="274">
      <c r="A274" s="2">
        <f>IF(Source!$C274&gt;=COLUMNS($A274:A274), Source!$E274, "")</f>
        <v>6</v>
      </c>
      <c r="B274" s="2">
        <f>IF(Source!$C274&gt;=COLUMNS($A274:B274), Source!$E274, "")</f>
        <v>6</v>
      </c>
      <c r="C274" s="2">
        <f>IF(Source!$C274&gt;=COLUMNS($A274:C274), Source!$E274, "")</f>
        <v>6</v>
      </c>
      <c r="D274" s="2">
        <f>IF(Source!$C274&gt;=COLUMNS($A274:D274), Source!$E274, "")</f>
        <v>6</v>
      </c>
      <c r="E274" s="2">
        <f>IF(Source!$C274&gt;=COLUMNS($A274:E274), Source!$E274, "")</f>
        <v>6</v>
      </c>
      <c r="F274" s="2">
        <f>IF(Source!$C274&gt;=COLUMNS($A274:F274), Source!$E274, "")</f>
        <v>6</v>
      </c>
      <c r="G274" s="2">
        <f>IF(Source!$C274&gt;=COLUMNS($A274:G274), Source!$E274, "")</f>
        <v>6</v>
      </c>
      <c r="H274" s="2">
        <f>IF(Source!$C274&gt;=COLUMNS($A274:H274), Source!$E274, "")</f>
        <v>6</v>
      </c>
      <c r="I274" s="2" t="str">
        <f>IF(Source!$C274&gt;=COLUMNS($A274:I274), Source!$E274, "")</f>
        <v/>
      </c>
      <c r="J274" s="2" t="str">
        <f>IF(Source!$C274&gt;=COLUMNS($A274:J274), Source!$E274, "")</f>
        <v/>
      </c>
      <c r="K274" s="2" t="str">
        <f>IF(Source!$C274&gt;=COLUMNS($A274:K274), Source!$E274, "")</f>
        <v/>
      </c>
      <c r="L274" s="2" t="str">
        <f>IF(Source!$C274&gt;=COLUMNS($A274:L274), Source!$E274, "")</f>
        <v/>
      </c>
      <c r="M274" s="2" t="str">
        <f>IF(Source!$C274&gt;=COLUMNS($A274:M274), Source!$E274, "")</f>
        <v/>
      </c>
      <c r="N274" s="2" t="str">
        <f>IF(Source!$C274&gt;=COLUMNS($A274:N274), Source!$E274, "")</f>
        <v/>
      </c>
      <c r="O274" s="2" t="str">
        <f>IF(Source!$C274&gt;=COLUMNS($A274:O274), Source!$E274, "")</f>
        <v/>
      </c>
      <c r="P274" s="2" t="str">
        <f>IF(Source!$C274&gt;=COLUMNS($A274:P274), Source!$E274, "")</f>
        <v/>
      </c>
      <c r="Q274" s="2" t="str">
        <f>IF(Source!$C274&gt;=COLUMNS($A274:Q274), Source!$E274, "")</f>
        <v/>
      </c>
      <c r="R274" s="2" t="str">
        <f>IF(Source!$C274&gt;=COLUMNS($A274:R274), Source!$E274, "")</f>
        <v/>
      </c>
      <c r="S274" s="2" t="str">
        <f>IF(Source!$C274&gt;=COLUMNS($A274:S274), Source!$E274, "")</f>
        <v/>
      </c>
      <c r="T274" s="2" t="str">
        <f>IF(Source!$C274&gt;=COLUMNS($A274:T274), Source!$E274, "")</f>
        <v/>
      </c>
      <c r="U274" s="2" t="str">
        <f>IF(Source!$C274&gt;=COLUMNS($A274:U274), Source!$E274, "")</f>
        <v/>
      </c>
      <c r="V274" s="2" t="str">
        <f>IF(Source!$C274&gt;=COLUMNS($A274:V274), Source!$E274, "")</f>
        <v/>
      </c>
      <c r="W274" s="2" t="str">
        <f>IF(Source!$C274&gt;=COLUMNS($A274:W274), Source!$E274, "")</f>
        <v/>
      </c>
      <c r="X274" s="2" t="str">
        <f>IF(Source!$C274&gt;=COLUMNS($A274:X274), Source!$E274, "")</f>
        <v/>
      </c>
      <c r="Y274" s="2" t="str">
        <f>IF(Source!$C274&gt;=COLUMNS($A274:Y274), Source!$E274, "")</f>
        <v/>
      </c>
      <c r="Z274" s="2" t="str">
        <f>IF(Source!$C274&gt;=COLUMNS($A274:Z274), Source!$E274, "")</f>
        <v/>
      </c>
      <c r="AA274" s="2" t="str">
        <f>IF(Source!$C274&gt;=COLUMNS($A274:AA274), Source!$E274, "")</f>
        <v/>
      </c>
      <c r="AB274" s="2" t="str">
        <f>IF(Source!$C274&gt;=COLUMNS($A274:AB274), Source!$E274, "")</f>
        <v/>
      </c>
      <c r="AC274" s="2" t="str">
        <f>IF(Source!$C274&gt;=COLUMNS($A274:AC274), Source!$E274, "")</f>
        <v/>
      </c>
      <c r="AD274" s="2" t="str">
        <f>IF(Source!$C274&gt;=COLUMNS($A274:AD274), Source!$E274, "")</f>
        <v/>
      </c>
      <c r="AE274" s="2" t="str">
        <f>IF(Source!$C274&gt;=COLUMNS($A274:AE274), Source!$E274, "")</f>
        <v/>
      </c>
      <c r="AF274" s="2" t="str">
        <f>IF(Source!$C274&gt;=COLUMNS($A274:AF274), Source!$E274, "")</f>
        <v/>
      </c>
      <c r="AG274" s="2" t="str">
        <f>IF(Source!$C274&gt;=COLUMNS($A274:AG274), Source!$E274, "")</f>
        <v/>
      </c>
      <c r="AH274" s="2" t="str">
        <f>IF(Source!$C274&gt;=COLUMNS($A274:AH274), Source!$E274, "")</f>
        <v/>
      </c>
      <c r="AI274" s="2" t="str">
        <f>IF(Source!$C274&gt;=COLUMNS($A274:AI274), Source!$E274, "")</f>
        <v/>
      </c>
      <c r="AJ274" s="2" t="str">
        <f>IF(Source!$C274&gt;=COLUMNS($A274:AJ274), Source!$E274, "")</f>
        <v/>
      </c>
      <c r="AK274" s="2" t="str">
        <f>IF(Source!$C274&gt;=COLUMNS($A274:AK274), Source!$E274, "")</f>
        <v/>
      </c>
      <c r="AL274" s="2" t="str">
        <f>IF(Source!$C274&gt;=COLUMNS($A274:AL274), Source!$E274, "")</f>
        <v/>
      </c>
      <c r="AM274" s="2" t="str">
        <f>IF(Source!$C274&gt;=COLUMNS($A274:AM274), Source!$E274, "")</f>
        <v/>
      </c>
      <c r="AN274" s="2" t="str">
        <f>IF(Source!$C274&gt;=COLUMNS($A274:AN274), Source!$E274, "")</f>
        <v/>
      </c>
      <c r="AO274" s="2" t="str">
        <f>IF(Source!$C274&gt;=COLUMNS($A274:AO274), Source!$E274, "")</f>
        <v/>
      </c>
      <c r="AP274" s="2" t="str">
        <f>IF(Source!$C274&gt;=COLUMNS($A274:AP274), Source!$E274, "")</f>
        <v/>
      </c>
      <c r="AQ274" s="2" t="str">
        <f>IF(Source!$C274&gt;=COLUMNS($A274:AQ274), Source!$E274, "")</f>
        <v/>
      </c>
      <c r="AR274" s="2" t="str">
        <f>IF(Source!$C274&gt;=COLUMNS($A274:AR274), Source!$E274, "")</f>
        <v/>
      </c>
    </row>
    <row r="275">
      <c r="A275" s="2">
        <f>IF(Source!$C275&gt;=COLUMNS($A275:A275), Source!$E275, "")</f>
        <v>8</v>
      </c>
      <c r="B275" s="2" t="str">
        <f>IF(Source!$C275&gt;=COLUMNS($A275:B275), Source!$E275, "")</f>
        <v/>
      </c>
      <c r="C275" s="2" t="str">
        <f>IF(Source!$C275&gt;=COLUMNS($A275:C275), Source!$E275, "")</f>
        <v/>
      </c>
      <c r="D275" s="2" t="str">
        <f>IF(Source!$C275&gt;=COLUMNS($A275:D275), Source!$E275, "")</f>
        <v/>
      </c>
      <c r="E275" s="2" t="str">
        <f>IF(Source!$C275&gt;=COLUMNS($A275:E275), Source!$E275, "")</f>
        <v/>
      </c>
      <c r="F275" s="2" t="str">
        <f>IF(Source!$C275&gt;=COLUMNS($A275:F275), Source!$E275, "")</f>
        <v/>
      </c>
      <c r="G275" s="2" t="str">
        <f>IF(Source!$C275&gt;=COLUMNS($A275:G275), Source!$E275, "")</f>
        <v/>
      </c>
      <c r="H275" s="2" t="str">
        <f>IF(Source!$C275&gt;=COLUMNS($A275:H275), Source!$E275, "")</f>
        <v/>
      </c>
      <c r="I275" s="2" t="str">
        <f>IF(Source!$C275&gt;=COLUMNS($A275:I275), Source!$E275, "")</f>
        <v/>
      </c>
      <c r="J275" s="2" t="str">
        <f>IF(Source!$C275&gt;=COLUMNS($A275:J275), Source!$E275, "")</f>
        <v/>
      </c>
      <c r="K275" s="2" t="str">
        <f>IF(Source!$C275&gt;=COLUMNS($A275:K275), Source!$E275, "")</f>
        <v/>
      </c>
      <c r="L275" s="2" t="str">
        <f>IF(Source!$C275&gt;=COLUMNS($A275:L275), Source!$E275, "")</f>
        <v/>
      </c>
      <c r="M275" s="2" t="str">
        <f>IF(Source!$C275&gt;=COLUMNS($A275:M275), Source!$E275, "")</f>
        <v/>
      </c>
      <c r="N275" s="2" t="str">
        <f>IF(Source!$C275&gt;=COLUMNS($A275:N275), Source!$E275, "")</f>
        <v/>
      </c>
      <c r="O275" s="2" t="str">
        <f>IF(Source!$C275&gt;=COLUMNS($A275:O275), Source!$E275, "")</f>
        <v/>
      </c>
      <c r="P275" s="2" t="str">
        <f>IF(Source!$C275&gt;=COLUMNS($A275:P275), Source!$E275, "")</f>
        <v/>
      </c>
      <c r="Q275" s="2" t="str">
        <f>IF(Source!$C275&gt;=COLUMNS($A275:Q275), Source!$E275, "")</f>
        <v/>
      </c>
      <c r="R275" s="2" t="str">
        <f>IF(Source!$C275&gt;=COLUMNS($A275:R275), Source!$E275, "")</f>
        <v/>
      </c>
      <c r="S275" s="2" t="str">
        <f>IF(Source!$C275&gt;=COLUMNS($A275:S275), Source!$E275, "")</f>
        <v/>
      </c>
      <c r="T275" s="2" t="str">
        <f>IF(Source!$C275&gt;=COLUMNS($A275:T275), Source!$E275, "")</f>
        <v/>
      </c>
      <c r="U275" s="2" t="str">
        <f>IF(Source!$C275&gt;=COLUMNS($A275:U275), Source!$E275, "")</f>
        <v/>
      </c>
      <c r="V275" s="2" t="str">
        <f>IF(Source!$C275&gt;=COLUMNS($A275:V275), Source!$E275, "")</f>
        <v/>
      </c>
      <c r="W275" s="2" t="str">
        <f>IF(Source!$C275&gt;=COLUMNS($A275:W275), Source!$E275, "")</f>
        <v/>
      </c>
      <c r="X275" s="2" t="str">
        <f>IF(Source!$C275&gt;=COLUMNS($A275:X275), Source!$E275, "")</f>
        <v/>
      </c>
      <c r="Y275" s="2" t="str">
        <f>IF(Source!$C275&gt;=COLUMNS($A275:Y275), Source!$E275, "")</f>
        <v/>
      </c>
      <c r="Z275" s="2" t="str">
        <f>IF(Source!$C275&gt;=COLUMNS($A275:Z275), Source!$E275, "")</f>
        <v/>
      </c>
      <c r="AA275" s="2" t="str">
        <f>IF(Source!$C275&gt;=COLUMNS($A275:AA275), Source!$E275, "")</f>
        <v/>
      </c>
      <c r="AB275" s="2" t="str">
        <f>IF(Source!$C275&gt;=COLUMNS($A275:AB275), Source!$E275, "")</f>
        <v/>
      </c>
      <c r="AC275" s="2" t="str">
        <f>IF(Source!$C275&gt;=COLUMNS($A275:AC275), Source!$E275, "")</f>
        <v/>
      </c>
      <c r="AD275" s="2" t="str">
        <f>IF(Source!$C275&gt;=COLUMNS($A275:AD275), Source!$E275, "")</f>
        <v/>
      </c>
      <c r="AE275" s="2" t="str">
        <f>IF(Source!$C275&gt;=COLUMNS($A275:AE275), Source!$E275, "")</f>
        <v/>
      </c>
      <c r="AF275" s="2" t="str">
        <f>IF(Source!$C275&gt;=COLUMNS($A275:AF275), Source!$E275, "")</f>
        <v/>
      </c>
      <c r="AG275" s="2" t="str">
        <f>IF(Source!$C275&gt;=COLUMNS($A275:AG275), Source!$E275, "")</f>
        <v/>
      </c>
      <c r="AH275" s="2" t="str">
        <f>IF(Source!$C275&gt;=COLUMNS($A275:AH275), Source!$E275, "")</f>
        <v/>
      </c>
      <c r="AI275" s="2" t="str">
        <f>IF(Source!$C275&gt;=COLUMNS($A275:AI275), Source!$E275, "")</f>
        <v/>
      </c>
      <c r="AJ275" s="2" t="str">
        <f>IF(Source!$C275&gt;=COLUMNS($A275:AJ275), Source!$E275, "")</f>
        <v/>
      </c>
      <c r="AK275" s="2" t="str">
        <f>IF(Source!$C275&gt;=COLUMNS($A275:AK275), Source!$E275, "")</f>
        <v/>
      </c>
      <c r="AL275" s="2" t="str">
        <f>IF(Source!$C275&gt;=COLUMNS($A275:AL275), Source!$E275, "")</f>
        <v/>
      </c>
      <c r="AM275" s="2" t="str">
        <f>IF(Source!$C275&gt;=COLUMNS($A275:AM275), Source!$E275, "")</f>
        <v/>
      </c>
      <c r="AN275" s="2" t="str">
        <f>IF(Source!$C275&gt;=COLUMNS($A275:AN275), Source!$E275, "")</f>
        <v/>
      </c>
      <c r="AO275" s="2" t="str">
        <f>IF(Source!$C275&gt;=COLUMNS($A275:AO275), Source!$E275, "")</f>
        <v/>
      </c>
      <c r="AP275" s="2" t="str">
        <f>IF(Source!$C275&gt;=COLUMNS($A275:AP275), Source!$E275, "")</f>
        <v/>
      </c>
      <c r="AQ275" s="2" t="str">
        <f>IF(Source!$C275&gt;=COLUMNS($A275:AQ275), Source!$E275, "")</f>
        <v/>
      </c>
      <c r="AR275" s="2" t="str">
        <f>IF(Source!$C275&gt;=COLUMNS($A275:AR275), Source!$E275, "")</f>
        <v/>
      </c>
    </row>
    <row r="276">
      <c r="A276" s="2">
        <f>IF(Source!$C276&gt;=COLUMNS($A276:A276), Source!$E276, "")</f>
        <v>9</v>
      </c>
      <c r="B276" s="2" t="str">
        <f>IF(Source!$C276&gt;=COLUMNS($A276:B276), Source!$E276, "")</f>
        <v/>
      </c>
      <c r="C276" s="2" t="str">
        <f>IF(Source!$C276&gt;=COLUMNS($A276:C276), Source!$E276, "")</f>
        <v/>
      </c>
      <c r="D276" s="2" t="str">
        <f>IF(Source!$C276&gt;=COLUMNS($A276:D276), Source!$E276, "")</f>
        <v/>
      </c>
      <c r="E276" s="2" t="str">
        <f>IF(Source!$C276&gt;=COLUMNS($A276:E276), Source!$E276, "")</f>
        <v/>
      </c>
      <c r="F276" s="2" t="str">
        <f>IF(Source!$C276&gt;=COLUMNS($A276:F276), Source!$E276, "")</f>
        <v/>
      </c>
      <c r="G276" s="2" t="str">
        <f>IF(Source!$C276&gt;=COLUMNS($A276:G276), Source!$E276, "")</f>
        <v/>
      </c>
      <c r="H276" s="2" t="str">
        <f>IF(Source!$C276&gt;=COLUMNS($A276:H276), Source!$E276, "")</f>
        <v/>
      </c>
      <c r="I276" s="2" t="str">
        <f>IF(Source!$C276&gt;=COLUMNS($A276:I276), Source!$E276, "")</f>
        <v/>
      </c>
      <c r="J276" s="2" t="str">
        <f>IF(Source!$C276&gt;=COLUMNS($A276:J276), Source!$E276, "")</f>
        <v/>
      </c>
      <c r="K276" s="2" t="str">
        <f>IF(Source!$C276&gt;=COLUMNS($A276:K276), Source!$E276, "")</f>
        <v/>
      </c>
      <c r="L276" s="2" t="str">
        <f>IF(Source!$C276&gt;=COLUMNS($A276:L276), Source!$E276, "")</f>
        <v/>
      </c>
      <c r="M276" s="2" t="str">
        <f>IF(Source!$C276&gt;=COLUMNS($A276:M276), Source!$E276, "")</f>
        <v/>
      </c>
      <c r="N276" s="2" t="str">
        <f>IF(Source!$C276&gt;=COLUMNS($A276:N276), Source!$E276, "")</f>
        <v/>
      </c>
      <c r="O276" s="2" t="str">
        <f>IF(Source!$C276&gt;=COLUMNS($A276:O276), Source!$E276, "")</f>
        <v/>
      </c>
      <c r="P276" s="2" t="str">
        <f>IF(Source!$C276&gt;=COLUMNS($A276:P276), Source!$E276, "")</f>
        <v/>
      </c>
      <c r="Q276" s="2" t="str">
        <f>IF(Source!$C276&gt;=COLUMNS($A276:Q276), Source!$E276, "")</f>
        <v/>
      </c>
      <c r="R276" s="2" t="str">
        <f>IF(Source!$C276&gt;=COLUMNS($A276:R276), Source!$E276, "")</f>
        <v/>
      </c>
      <c r="S276" s="2" t="str">
        <f>IF(Source!$C276&gt;=COLUMNS($A276:S276), Source!$E276, "")</f>
        <v/>
      </c>
      <c r="T276" s="2" t="str">
        <f>IF(Source!$C276&gt;=COLUMNS($A276:T276), Source!$E276, "")</f>
        <v/>
      </c>
      <c r="U276" s="2" t="str">
        <f>IF(Source!$C276&gt;=COLUMNS($A276:U276), Source!$E276, "")</f>
        <v/>
      </c>
      <c r="V276" s="2" t="str">
        <f>IF(Source!$C276&gt;=COLUMNS($A276:V276), Source!$E276, "")</f>
        <v/>
      </c>
      <c r="W276" s="2" t="str">
        <f>IF(Source!$C276&gt;=COLUMNS($A276:W276), Source!$E276, "")</f>
        <v/>
      </c>
      <c r="X276" s="2" t="str">
        <f>IF(Source!$C276&gt;=COLUMNS($A276:X276), Source!$E276, "")</f>
        <v/>
      </c>
      <c r="Y276" s="2" t="str">
        <f>IF(Source!$C276&gt;=COLUMNS($A276:Y276), Source!$E276, "")</f>
        <v/>
      </c>
      <c r="Z276" s="2" t="str">
        <f>IF(Source!$C276&gt;=COLUMNS($A276:Z276), Source!$E276, "")</f>
        <v/>
      </c>
      <c r="AA276" s="2" t="str">
        <f>IF(Source!$C276&gt;=COLUMNS($A276:AA276), Source!$E276, "")</f>
        <v/>
      </c>
      <c r="AB276" s="2" t="str">
        <f>IF(Source!$C276&gt;=COLUMNS($A276:AB276), Source!$E276, "")</f>
        <v/>
      </c>
      <c r="AC276" s="2" t="str">
        <f>IF(Source!$C276&gt;=COLUMNS($A276:AC276), Source!$E276, "")</f>
        <v/>
      </c>
      <c r="AD276" s="2" t="str">
        <f>IF(Source!$C276&gt;=COLUMNS($A276:AD276), Source!$E276, "")</f>
        <v/>
      </c>
      <c r="AE276" s="2" t="str">
        <f>IF(Source!$C276&gt;=COLUMNS($A276:AE276), Source!$E276, "")</f>
        <v/>
      </c>
      <c r="AF276" s="2" t="str">
        <f>IF(Source!$C276&gt;=COLUMNS($A276:AF276), Source!$E276, "")</f>
        <v/>
      </c>
      <c r="AG276" s="2" t="str">
        <f>IF(Source!$C276&gt;=COLUMNS($A276:AG276), Source!$E276, "")</f>
        <v/>
      </c>
      <c r="AH276" s="2" t="str">
        <f>IF(Source!$C276&gt;=COLUMNS($A276:AH276), Source!$E276, "")</f>
        <v/>
      </c>
      <c r="AI276" s="2" t="str">
        <f>IF(Source!$C276&gt;=COLUMNS($A276:AI276), Source!$E276, "")</f>
        <v/>
      </c>
      <c r="AJ276" s="2" t="str">
        <f>IF(Source!$C276&gt;=COLUMNS($A276:AJ276), Source!$E276, "")</f>
        <v/>
      </c>
      <c r="AK276" s="2" t="str">
        <f>IF(Source!$C276&gt;=COLUMNS($A276:AK276), Source!$E276, "")</f>
        <v/>
      </c>
      <c r="AL276" s="2" t="str">
        <f>IF(Source!$C276&gt;=COLUMNS($A276:AL276), Source!$E276, "")</f>
        <v/>
      </c>
      <c r="AM276" s="2" t="str">
        <f>IF(Source!$C276&gt;=COLUMNS($A276:AM276), Source!$E276, "")</f>
        <v/>
      </c>
      <c r="AN276" s="2" t="str">
        <f>IF(Source!$C276&gt;=COLUMNS($A276:AN276), Source!$E276, "")</f>
        <v/>
      </c>
      <c r="AO276" s="2" t="str">
        <f>IF(Source!$C276&gt;=COLUMNS($A276:AO276), Source!$E276, "")</f>
        <v/>
      </c>
      <c r="AP276" s="2" t="str">
        <f>IF(Source!$C276&gt;=COLUMNS($A276:AP276), Source!$E276, "")</f>
        <v/>
      </c>
      <c r="AQ276" s="2" t="str">
        <f>IF(Source!$C276&gt;=COLUMNS($A276:AQ276), Source!$E276, "")</f>
        <v/>
      </c>
      <c r="AR276" s="2" t="str">
        <f>IF(Source!$C276&gt;=COLUMNS($A276:AR276), Source!$E276, "")</f>
        <v/>
      </c>
    </row>
    <row r="277">
      <c r="A277" s="2">
        <f>IF(Source!$C277&gt;=COLUMNS($A277:A277), Source!$E277, "")</f>
        <v>4</v>
      </c>
      <c r="B277" s="2">
        <f>IF(Source!$C277&gt;=COLUMNS($A277:B277), Source!$E277, "")</f>
        <v>4</v>
      </c>
      <c r="C277" s="2">
        <f>IF(Source!$C277&gt;=COLUMNS($A277:C277), Source!$E277, "")</f>
        <v>4</v>
      </c>
      <c r="D277" s="2">
        <f>IF(Source!$C277&gt;=COLUMNS($A277:D277), Source!$E277, "")</f>
        <v>4</v>
      </c>
      <c r="E277" s="2">
        <f>IF(Source!$C277&gt;=COLUMNS($A277:E277), Source!$E277, "")</f>
        <v>4</v>
      </c>
      <c r="F277" s="2">
        <f>IF(Source!$C277&gt;=COLUMNS($A277:F277), Source!$E277, "")</f>
        <v>4</v>
      </c>
      <c r="G277" s="2">
        <f>IF(Source!$C277&gt;=COLUMNS($A277:G277), Source!$E277, "")</f>
        <v>4</v>
      </c>
      <c r="H277" s="2">
        <f>IF(Source!$C277&gt;=COLUMNS($A277:H277), Source!$E277, "")</f>
        <v>4</v>
      </c>
      <c r="I277" s="2">
        <f>IF(Source!$C277&gt;=COLUMNS($A277:I277), Source!$E277, "")</f>
        <v>4</v>
      </c>
      <c r="J277" s="2" t="str">
        <f>IF(Source!$C277&gt;=COLUMNS($A277:J277), Source!$E277, "")</f>
        <v/>
      </c>
      <c r="K277" s="2" t="str">
        <f>IF(Source!$C277&gt;=COLUMNS($A277:K277), Source!$E277, "")</f>
        <v/>
      </c>
      <c r="L277" s="2" t="str">
        <f>IF(Source!$C277&gt;=COLUMNS($A277:L277), Source!$E277, "")</f>
        <v/>
      </c>
      <c r="M277" s="2" t="str">
        <f>IF(Source!$C277&gt;=COLUMNS($A277:M277), Source!$E277, "")</f>
        <v/>
      </c>
      <c r="N277" s="2" t="str">
        <f>IF(Source!$C277&gt;=COLUMNS($A277:N277), Source!$E277, "")</f>
        <v/>
      </c>
      <c r="O277" s="2" t="str">
        <f>IF(Source!$C277&gt;=COLUMNS($A277:O277), Source!$E277, "")</f>
        <v/>
      </c>
      <c r="P277" s="2" t="str">
        <f>IF(Source!$C277&gt;=COLUMNS($A277:P277), Source!$E277, "")</f>
        <v/>
      </c>
      <c r="Q277" s="2" t="str">
        <f>IF(Source!$C277&gt;=COLUMNS($A277:Q277), Source!$E277, "")</f>
        <v/>
      </c>
      <c r="R277" s="2" t="str">
        <f>IF(Source!$C277&gt;=COLUMNS($A277:R277), Source!$E277, "")</f>
        <v/>
      </c>
      <c r="S277" s="2" t="str">
        <f>IF(Source!$C277&gt;=COLUMNS($A277:S277), Source!$E277, "")</f>
        <v/>
      </c>
      <c r="T277" s="2" t="str">
        <f>IF(Source!$C277&gt;=COLUMNS($A277:T277), Source!$E277, "")</f>
        <v/>
      </c>
      <c r="U277" s="2" t="str">
        <f>IF(Source!$C277&gt;=COLUMNS($A277:U277), Source!$E277, "")</f>
        <v/>
      </c>
      <c r="V277" s="2" t="str">
        <f>IF(Source!$C277&gt;=COLUMNS($A277:V277), Source!$E277, "")</f>
        <v/>
      </c>
      <c r="W277" s="2" t="str">
        <f>IF(Source!$C277&gt;=COLUMNS($A277:W277), Source!$E277, "")</f>
        <v/>
      </c>
      <c r="X277" s="2" t="str">
        <f>IF(Source!$C277&gt;=COLUMNS($A277:X277), Source!$E277, "")</f>
        <v/>
      </c>
      <c r="Y277" s="2" t="str">
        <f>IF(Source!$C277&gt;=COLUMNS($A277:Y277), Source!$E277, "")</f>
        <v/>
      </c>
      <c r="Z277" s="2" t="str">
        <f>IF(Source!$C277&gt;=COLUMNS($A277:Z277), Source!$E277, "")</f>
        <v/>
      </c>
      <c r="AA277" s="2" t="str">
        <f>IF(Source!$C277&gt;=COLUMNS($A277:AA277), Source!$E277, "")</f>
        <v/>
      </c>
      <c r="AB277" s="2" t="str">
        <f>IF(Source!$C277&gt;=COLUMNS($A277:AB277), Source!$E277, "")</f>
        <v/>
      </c>
      <c r="AC277" s="2" t="str">
        <f>IF(Source!$C277&gt;=COLUMNS($A277:AC277), Source!$E277, "")</f>
        <v/>
      </c>
      <c r="AD277" s="2" t="str">
        <f>IF(Source!$C277&gt;=COLUMNS($A277:AD277), Source!$E277, "")</f>
        <v/>
      </c>
      <c r="AE277" s="2" t="str">
        <f>IF(Source!$C277&gt;=COLUMNS($A277:AE277), Source!$E277, "")</f>
        <v/>
      </c>
      <c r="AF277" s="2" t="str">
        <f>IF(Source!$C277&gt;=COLUMNS($A277:AF277), Source!$E277, "")</f>
        <v/>
      </c>
      <c r="AG277" s="2" t="str">
        <f>IF(Source!$C277&gt;=COLUMNS($A277:AG277), Source!$E277, "")</f>
        <v/>
      </c>
      <c r="AH277" s="2" t="str">
        <f>IF(Source!$C277&gt;=COLUMNS($A277:AH277), Source!$E277, "")</f>
        <v/>
      </c>
      <c r="AI277" s="2" t="str">
        <f>IF(Source!$C277&gt;=COLUMNS($A277:AI277), Source!$E277, "")</f>
        <v/>
      </c>
      <c r="AJ277" s="2" t="str">
        <f>IF(Source!$C277&gt;=COLUMNS($A277:AJ277), Source!$E277, "")</f>
        <v/>
      </c>
      <c r="AK277" s="2" t="str">
        <f>IF(Source!$C277&gt;=COLUMNS($A277:AK277), Source!$E277, "")</f>
        <v/>
      </c>
      <c r="AL277" s="2" t="str">
        <f>IF(Source!$C277&gt;=COLUMNS($A277:AL277), Source!$E277, "")</f>
        <v/>
      </c>
      <c r="AM277" s="2" t="str">
        <f>IF(Source!$C277&gt;=COLUMNS($A277:AM277), Source!$E277, "")</f>
        <v/>
      </c>
      <c r="AN277" s="2" t="str">
        <f>IF(Source!$C277&gt;=COLUMNS($A277:AN277), Source!$E277, "")</f>
        <v/>
      </c>
      <c r="AO277" s="2" t="str">
        <f>IF(Source!$C277&gt;=COLUMNS($A277:AO277), Source!$E277, "")</f>
        <v/>
      </c>
      <c r="AP277" s="2" t="str">
        <f>IF(Source!$C277&gt;=COLUMNS($A277:AP277), Source!$E277, "")</f>
        <v/>
      </c>
      <c r="AQ277" s="2" t="str">
        <f>IF(Source!$C277&gt;=COLUMNS($A277:AQ277), Source!$E277, "")</f>
        <v/>
      </c>
      <c r="AR277" s="2" t="str">
        <f>IF(Source!$C277&gt;=COLUMNS($A277:AR277), Source!$E277, "")</f>
        <v/>
      </c>
    </row>
    <row r="278">
      <c r="A278" s="2">
        <f>IF(Source!$C278&gt;=COLUMNS($A278:A278), Source!$E278, "")</f>
        <v>1</v>
      </c>
      <c r="B278" s="2">
        <f>IF(Source!$C278&gt;=COLUMNS($A278:B278), Source!$E278, "")</f>
        <v>1</v>
      </c>
      <c r="C278" s="2">
        <f>IF(Source!$C278&gt;=COLUMNS($A278:C278), Source!$E278, "")</f>
        <v>1</v>
      </c>
      <c r="D278" s="2">
        <f>IF(Source!$C278&gt;=COLUMNS($A278:D278), Source!$E278, "")</f>
        <v>1</v>
      </c>
      <c r="E278" s="2">
        <f>IF(Source!$C278&gt;=COLUMNS($A278:E278), Source!$E278, "")</f>
        <v>1</v>
      </c>
      <c r="F278" s="2">
        <f>IF(Source!$C278&gt;=COLUMNS($A278:F278), Source!$E278, "")</f>
        <v>1</v>
      </c>
      <c r="G278" s="2">
        <f>IF(Source!$C278&gt;=COLUMNS($A278:G278), Source!$E278, "")</f>
        <v>1</v>
      </c>
      <c r="H278" s="2">
        <f>IF(Source!$C278&gt;=COLUMNS($A278:H278), Source!$E278, "")</f>
        <v>1</v>
      </c>
      <c r="I278" s="2">
        <f>IF(Source!$C278&gt;=COLUMNS($A278:I278), Source!$E278, "")</f>
        <v>1</v>
      </c>
      <c r="J278" s="2">
        <f>IF(Source!$C278&gt;=COLUMNS($A278:J278), Source!$E278, "")</f>
        <v>1</v>
      </c>
      <c r="K278" s="2">
        <f>IF(Source!$C278&gt;=COLUMNS($A278:K278), Source!$E278, "")</f>
        <v>1</v>
      </c>
      <c r="L278" s="2">
        <f>IF(Source!$C278&gt;=COLUMNS($A278:L278), Source!$E278, "")</f>
        <v>1</v>
      </c>
      <c r="M278" s="2">
        <f>IF(Source!$C278&gt;=COLUMNS($A278:M278), Source!$E278, "")</f>
        <v>1</v>
      </c>
      <c r="N278" s="2">
        <f>IF(Source!$C278&gt;=COLUMNS($A278:N278), Source!$E278, "")</f>
        <v>1</v>
      </c>
      <c r="O278" s="2">
        <f>IF(Source!$C278&gt;=COLUMNS($A278:O278), Source!$E278, "")</f>
        <v>1</v>
      </c>
      <c r="P278" s="2">
        <f>IF(Source!$C278&gt;=COLUMNS($A278:P278), Source!$E278, "")</f>
        <v>1</v>
      </c>
      <c r="Q278" s="2">
        <f>IF(Source!$C278&gt;=COLUMNS($A278:Q278), Source!$E278, "")</f>
        <v>1</v>
      </c>
      <c r="R278" s="2">
        <f>IF(Source!$C278&gt;=COLUMNS($A278:R278), Source!$E278, "")</f>
        <v>1</v>
      </c>
      <c r="S278" s="2">
        <f>IF(Source!$C278&gt;=COLUMNS($A278:S278), Source!$E278, "")</f>
        <v>1</v>
      </c>
      <c r="T278" s="2" t="str">
        <f>IF(Source!$C278&gt;=COLUMNS($A278:T278), Source!$E278, "")</f>
        <v/>
      </c>
      <c r="U278" s="2" t="str">
        <f>IF(Source!$C278&gt;=COLUMNS($A278:U278), Source!$E278, "")</f>
        <v/>
      </c>
      <c r="V278" s="2" t="str">
        <f>IF(Source!$C278&gt;=COLUMNS($A278:V278), Source!$E278, "")</f>
        <v/>
      </c>
      <c r="W278" s="2" t="str">
        <f>IF(Source!$C278&gt;=COLUMNS($A278:W278), Source!$E278, "")</f>
        <v/>
      </c>
      <c r="X278" s="2" t="str">
        <f>IF(Source!$C278&gt;=COLUMNS($A278:X278), Source!$E278, "")</f>
        <v/>
      </c>
      <c r="Y278" s="2" t="str">
        <f>IF(Source!$C278&gt;=COLUMNS($A278:Y278), Source!$E278, "")</f>
        <v/>
      </c>
      <c r="Z278" s="2" t="str">
        <f>IF(Source!$C278&gt;=COLUMNS($A278:Z278), Source!$E278, "")</f>
        <v/>
      </c>
      <c r="AA278" s="2" t="str">
        <f>IF(Source!$C278&gt;=COLUMNS($A278:AA278), Source!$E278, "")</f>
        <v/>
      </c>
      <c r="AB278" s="2" t="str">
        <f>IF(Source!$C278&gt;=COLUMNS($A278:AB278), Source!$E278, "")</f>
        <v/>
      </c>
      <c r="AC278" s="2" t="str">
        <f>IF(Source!$C278&gt;=COLUMNS($A278:AC278), Source!$E278, "")</f>
        <v/>
      </c>
      <c r="AD278" s="2" t="str">
        <f>IF(Source!$C278&gt;=COLUMNS($A278:AD278), Source!$E278, "")</f>
        <v/>
      </c>
      <c r="AE278" s="2" t="str">
        <f>IF(Source!$C278&gt;=COLUMNS($A278:AE278), Source!$E278, "")</f>
        <v/>
      </c>
      <c r="AF278" s="2" t="str">
        <f>IF(Source!$C278&gt;=COLUMNS($A278:AF278), Source!$E278, "")</f>
        <v/>
      </c>
      <c r="AG278" s="2" t="str">
        <f>IF(Source!$C278&gt;=COLUMNS($A278:AG278), Source!$E278, "")</f>
        <v/>
      </c>
      <c r="AH278" s="2" t="str">
        <f>IF(Source!$C278&gt;=COLUMNS($A278:AH278), Source!$E278, "")</f>
        <v/>
      </c>
      <c r="AI278" s="2" t="str">
        <f>IF(Source!$C278&gt;=COLUMNS($A278:AI278), Source!$E278, "")</f>
        <v/>
      </c>
      <c r="AJ278" s="2" t="str">
        <f>IF(Source!$C278&gt;=COLUMNS($A278:AJ278), Source!$E278, "")</f>
        <v/>
      </c>
      <c r="AK278" s="2" t="str">
        <f>IF(Source!$C278&gt;=COLUMNS($A278:AK278), Source!$E278, "")</f>
        <v/>
      </c>
      <c r="AL278" s="2" t="str">
        <f>IF(Source!$C278&gt;=COLUMNS($A278:AL278), Source!$E278, "")</f>
        <v/>
      </c>
      <c r="AM278" s="2" t="str">
        <f>IF(Source!$C278&gt;=COLUMNS($A278:AM278), Source!$E278, "")</f>
        <v/>
      </c>
      <c r="AN278" s="2" t="str">
        <f>IF(Source!$C278&gt;=COLUMNS($A278:AN278), Source!$E278, "")</f>
        <v/>
      </c>
      <c r="AO278" s="2" t="str">
        <f>IF(Source!$C278&gt;=COLUMNS($A278:AO278), Source!$E278, "")</f>
        <v/>
      </c>
      <c r="AP278" s="2" t="str">
        <f>IF(Source!$C278&gt;=COLUMNS($A278:AP278), Source!$E278, "")</f>
        <v/>
      </c>
      <c r="AQ278" s="2" t="str">
        <f>IF(Source!$C278&gt;=COLUMNS($A278:AQ278), Source!$E278, "")</f>
        <v/>
      </c>
      <c r="AR278" s="2" t="str">
        <f>IF(Source!$C278&gt;=COLUMNS($A278:AR278), Source!$E278, "")</f>
        <v/>
      </c>
    </row>
    <row r="279">
      <c r="A279" s="2">
        <f>IF(Source!$C279&gt;=COLUMNS($A279:A279), Source!$E279, "")</f>
        <v>3</v>
      </c>
      <c r="B279" s="2">
        <f>IF(Source!$C279&gt;=COLUMNS($A279:B279), Source!$E279, "")</f>
        <v>3</v>
      </c>
      <c r="C279" s="2">
        <f>IF(Source!$C279&gt;=COLUMNS($A279:C279), Source!$E279, "")</f>
        <v>3</v>
      </c>
      <c r="D279" s="2">
        <f>IF(Source!$C279&gt;=COLUMNS($A279:D279), Source!$E279, "")</f>
        <v>3</v>
      </c>
      <c r="E279" s="2">
        <f>IF(Source!$C279&gt;=COLUMNS($A279:E279), Source!$E279, "")</f>
        <v>3</v>
      </c>
      <c r="F279" s="2">
        <f>IF(Source!$C279&gt;=COLUMNS($A279:F279), Source!$E279, "")</f>
        <v>3</v>
      </c>
      <c r="G279" s="2">
        <f>IF(Source!$C279&gt;=COLUMNS($A279:G279), Source!$E279, "")</f>
        <v>3</v>
      </c>
      <c r="H279" s="2">
        <f>IF(Source!$C279&gt;=COLUMNS($A279:H279), Source!$E279, "")</f>
        <v>3</v>
      </c>
      <c r="I279" s="2">
        <f>IF(Source!$C279&gt;=COLUMNS($A279:I279), Source!$E279, "")</f>
        <v>3</v>
      </c>
      <c r="J279" s="2" t="str">
        <f>IF(Source!$C279&gt;=COLUMNS($A279:J279), Source!$E279, "")</f>
        <v/>
      </c>
      <c r="K279" s="2" t="str">
        <f>IF(Source!$C279&gt;=COLUMNS($A279:K279), Source!$E279, "")</f>
        <v/>
      </c>
      <c r="L279" s="2" t="str">
        <f>IF(Source!$C279&gt;=COLUMNS($A279:L279), Source!$E279, "")</f>
        <v/>
      </c>
      <c r="M279" s="2" t="str">
        <f>IF(Source!$C279&gt;=COLUMNS($A279:M279), Source!$E279, "")</f>
        <v/>
      </c>
      <c r="N279" s="2" t="str">
        <f>IF(Source!$C279&gt;=COLUMNS($A279:N279), Source!$E279, "")</f>
        <v/>
      </c>
      <c r="O279" s="2" t="str">
        <f>IF(Source!$C279&gt;=COLUMNS($A279:O279), Source!$E279, "")</f>
        <v/>
      </c>
      <c r="P279" s="2" t="str">
        <f>IF(Source!$C279&gt;=COLUMNS($A279:P279), Source!$E279, "")</f>
        <v/>
      </c>
      <c r="Q279" s="2" t="str">
        <f>IF(Source!$C279&gt;=COLUMNS($A279:Q279), Source!$E279, "")</f>
        <v/>
      </c>
      <c r="R279" s="2" t="str">
        <f>IF(Source!$C279&gt;=COLUMNS($A279:R279), Source!$E279, "")</f>
        <v/>
      </c>
      <c r="S279" s="2" t="str">
        <f>IF(Source!$C279&gt;=COLUMNS($A279:S279), Source!$E279, "")</f>
        <v/>
      </c>
      <c r="T279" s="2" t="str">
        <f>IF(Source!$C279&gt;=COLUMNS($A279:T279), Source!$E279, "")</f>
        <v/>
      </c>
      <c r="U279" s="2" t="str">
        <f>IF(Source!$C279&gt;=COLUMNS($A279:U279), Source!$E279, "")</f>
        <v/>
      </c>
      <c r="V279" s="2" t="str">
        <f>IF(Source!$C279&gt;=COLUMNS($A279:V279), Source!$E279, "")</f>
        <v/>
      </c>
      <c r="W279" s="2" t="str">
        <f>IF(Source!$C279&gt;=COLUMNS($A279:W279), Source!$E279, "")</f>
        <v/>
      </c>
      <c r="X279" s="2" t="str">
        <f>IF(Source!$C279&gt;=COLUMNS($A279:X279), Source!$E279, "")</f>
        <v/>
      </c>
      <c r="Y279" s="2" t="str">
        <f>IF(Source!$C279&gt;=COLUMNS($A279:Y279), Source!$E279, "")</f>
        <v/>
      </c>
      <c r="Z279" s="2" t="str">
        <f>IF(Source!$C279&gt;=COLUMNS($A279:Z279), Source!$E279, "")</f>
        <v/>
      </c>
      <c r="AA279" s="2" t="str">
        <f>IF(Source!$C279&gt;=COLUMNS($A279:AA279), Source!$E279, "")</f>
        <v/>
      </c>
      <c r="AB279" s="2" t="str">
        <f>IF(Source!$C279&gt;=COLUMNS($A279:AB279), Source!$E279, "")</f>
        <v/>
      </c>
      <c r="AC279" s="2" t="str">
        <f>IF(Source!$C279&gt;=COLUMNS($A279:AC279), Source!$E279, "")</f>
        <v/>
      </c>
      <c r="AD279" s="2" t="str">
        <f>IF(Source!$C279&gt;=COLUMNS($A279:AD279), Source!$E279, "")</f>
        <v/>
      </c>
      <c r="AE279" s="2" t="str">
        <f>IF(Source!$C279&gt;=COLUMNS($A279:AE279), Source!$E279, "")</f>
        <v/>
      </c>
      <c r="AF279" s="2" t="str">
        <f>IF(Source!$C279&gt;=COLUMNS($A279:AF279), Source!$E279, "")</f>
        <v/>
      </c>
      <c r="AG279" s="2" t="str">
        <f>IF(Source!$C279&gt;=COLUMNS($A279:AG279), Source!$E279, "")</f>
        <v/>
      </c>
      <c r="AH279" s="2" t="str">
        <f>IF(Source!$C279&gt;=COLUMNS($A279:AH279), Source!$E279, "")</f>
        <v/>
      </c>
      <c r="AI279" s="2" t="str">
        <f>IF(Source!$C279&gt;=COLUMNS($A279:AI279), Source!$E279, "")</f>
        <v/>
      </c>
      <c r="AJ279" s="2" t="str">
        <f>IF(Source!$C279&gt;=COLUMNS($A279:AJ279), Source!$E279, "")</f>
        <v/>
      </c>
      <c r="AK279" s="2" t="str">
        <f>IF(Source!$C279&gt;=COLUMNS($A279:AK279), Source!$E279, "")</f>
        <v/>
      </c>
      <c r="AL279" s="2" t="str">
        <f>IF(Source!$C279&gt;=COLUMNS($A279:AL279), Source!$E279, "")</f>
        <v/>
      </c>
      <c r="AM279" s="2" t="str">
        <f>IF(Source!$C279&gt;=COLUMNS($A279:AM279), Source!$E279, "")</f>
        <v/>
      </c>
      <c r="AN279" s="2" t="str">
        <f>IF(Source!$C279&gt;=COLUMNS($A279:AN279), Source!$E279, "")</f>
        <v/>
      </c>
      <c r="AO279" s="2" t="str">
        <f>IF(Source!$C279&gt;=COLUMNS($A279:AO279), Source!$E279, "")</f>
        <v/>
      </c>
      <c r="AP279" s="2" t="str">
        <f>IF(Source!$C279&gt;=COLUMNS($A279:AP279), Source!$E279, "")</f>
        <v/>
      </c>
      <c r="AQ279" s="2" t="str">
        <f>IF(Source!$C279&gt;=COLUMNS($A279:AQ279), Source!$E279, "")</f>
        <v/>
      </c>
      <c r="AR279" s="2" t="str">
        <f>IF(Source!$C279&gt;=COLUMNS($A279:AR279), Source!$E279, "")</f>
        <v/>
      </c>
    </row>
    <row r="280">
      <c r="A280" s="2">
        <f>IF(Source!$C280&gt;=COLUMNS($A280:A280), Source!$E280, "")</f>
        <v>7</v>
      </c>
      <c r="B280" s="2">
        <f>IF(Source!$C280&gt;=COLUMNS($A280:B280), Source!$E280, "")</f>
        <v>7</v>
      </c>
      <c r="C280" s="2">
        <f>IF(Source!$C280&gt;=COLUMNS($A280:C280), Source!$E280, "")</f>
        <v>7</v>
      </c>
      <c r="D280" s="2">
        <f>IF(Source!$C280&gt;=COLUMNS($A280:D280), Source!$E280, "")</f>
        <v>7</v>
      </c>
      <c r="E280" s="2">
        <f>IF(Source!$C280&gt;=COLUMNS($A280:E280), Source!$E280, "")</f>
        <v>7</v>
      </c>
      <c r="F280" s="2">
        <f>IF(Source!$C280&gt;=COLUMNS($A280:F280), Source!$E280, "")</f>
        <v>7</v>
      </c>
      <c r="G280" s="2" t="str">
        <f>IF(Source!$C280&gt;=COLUMNS($A280:G280), Source!$E280, "")</f>
        <v/>
      </c>
      <c r="H280" s="2" t="str">
        <f>IF(Source!$C280&gt;=COLUMNS($A280:H280), Source!$E280, "")</f>
        <v/>
      </c>
      <c r="I280" s="2" t="str">
        <f>IF(Source!$C280&gt;=COLUMNS($A280:I280), Source!$E280, "")</f>
        <v/>
      </c>
      <c r="J280" s="2" t="str">
        <f>IF(Source!$C280&gt;=COLUMNS($A280:J280), Source!$E280, "")</f>
        <v/>
      </c>
      <c r="K280" s="2" t="str">
        <f>IF(Source!$C280&gt;=COLUMNS($A280:K280), Source!$E280, "")</f>
        <v/>
      </c>
      <c r="L280" s="2" t="str">
        <f>IF(Source!$C280&gt;=COLUMNS($A280:L280), Source!$E280, "")</f>
        <v/>
      </c>
      <c r="M280" s="2" t="str">
        <f>IF(Source!$C280&gt;=COLUMNS($A280:M280), Source!$E280, "")</f>
        <v/>
      </c>
      <c r="N280" s="2" t="str">
        <f>IF(Source!$C280&gt;=COLUMNS($A280:N280), Source!$E280, "")</f>
        <v/>
      </c>
      <c r="O280" s="2" t="str">
        <f>IF(Source!$C280&gt;=COLUMNS($A280:O280), Source!$E280, "")</f>
        <v/>
      </c>
      <c r="P280" s="2" t="str">
        <f>IF(Source!$C280&gt;=COLUMNS($A280:P280), Source!$E280, "")</f>
        <v/>
      </c>
      <c r="Q280" s="2" t="str">
        <f>IF(Source!$C280&gt;=COLUMNS($A280:Q280), Source!$E280, "")</f>
        <v/>
      </c>
      <c r="R280" s="2" t="str">
        <f>IF(Source!$C280&gt;=COLUMNS($A280:R280), Source!$E280, "")</f>
        <v/>
      </c>
      <c r="S280" s="2" t="str">
        <f>IF(Source!$C280&gt;=COLUMNS($A280:S280), Source!$E280, "")</f>
        <v/>
      </c>
      <c r="T280" s="2" t="str">
        <f>IF(Source!$C280&gt;=COLUMNS($A280:T280), Source!$E280, "")</f>
        <v/>
      </c>
      <c r="U280" s="2" t="str">
        <f>IF(Source!$C280&gt;=COLUMNS($A280:U280), Source!$E280, "")</f>
        <v/>
      </c>
      <c r="V280" s="2" t="str">
        <f>IF(Source!$C280&gt;=COLUMNS($A280:V280), Source!$E280, "")</f>
        <v/>
      </c>
      <c r="W280" s="2" t="str">
        <f>IF(Source!$C280&gt;=COLUMNS($A280:W280), Source!$E280, "")</f>
        <v/>
      </c>
      <c r="X280" s="2" t="str">
        <f>IF(Source!$C280&gt;=COLUMNS($A280:X280), Source!$E280, "")</f>
        <v/>
      </c>
      <c r="Y280" s="2" t="str">
        <f>IF(Source!$C280&gt;=COLUMNS($A280:Y280), Source!$E280, "")</f>
        <v/>
      </c>
      <c r="Z280" s="2" t="str">
        <f>IF(Source!$C280&gt;=COLUMNS($A280:Z280), Source!$E280, "")</f>
        <v/>
      </c>
      <c r="AA280" s="2" t="str">
        <f>IF(Source!$C280&gt;=COLUMNS($A280:AA280), Source!$E280, "")</f>
        <v/>
      </c>
      <c r="AB280" s="2" t="str">
        <f>IF(Source!$C280&gt;=COLUMNS($A280:AB280), Source!$E280, "")</f>
        <v/>
      </c>
      <c r="AC280" s="2" t="str">
        <f>IF(Source!$C280&gt;=COLUMNS($A280:AC280), Source!$E280, "")</f>
        <v/>
      </c>
      <c r="AD280" s="2" t="str">
        <f>IF(Source!$C280&gt;=COLUMNS($A280:AD280), Source!$E280, "")</f>
        <v/>
      </c>
      <c r="AE280" s="2" t="str">
        <f>IF(Source!$C280&gt;=COLUMNS($A280:AE280), Source!$E280, "")</f>
        <v/>
      </c>
      <c r="AF280" s="2" t="str">
        <f>IF(Source!$C280&gt;=COLUMNS($A280:AF280), Source!$E280, "")</f>
        <v/>
      </c>
      <c r="AG280" s="2" t="str">
        <f>IF(Source!$C280&gt;=COLUMNS($A280:AG280), Source!$E280, "")</f>
        <v/>
      </c>
      <c r="AH280" s="2" t="str">
        <f>IF(Source!$C280&gt;=COLUMNS($A280:AH280), Source!$E280, "")</f>
        <v/>
      </c>
      <c r="AI280" s="2" t="str">
        <f>IF(Source!$C280&gt;=COLUMNS($A280:AI280), Source!$E280, "")</f>
        <v/>
      </c>
      <c r="AJ280" s="2" t="str">
        <f>IF(Source!$C280&gt;=COLUMNS($A280:AJ280), Source!$E280, "")</f>
        <v/>
      </c>
      <c r="AK280" s="2" t="str">
        <f>IF(Source!$C280&gt;=COLUMNS($A280:AK280), Source!$E280, "")</f>
        <v/>
      </c>
      <c r="AL280" s="2" t="str">
        <f>IF(Source!$C280&gt;=COLUMNS($A280:AL280), Source!$E280, "")</f>
        <v/>
      </c>
      <c r="AM280" s="2" t="str">
        <f>IF(Source!$C280&gt;=COLUMNS($A280:AM280), Source!$E280, "")</f>
        <v/>
      </c>
      <c r="AN280" s="2" t="str">
        <f>IF(Source!$C280&gt;=COLUMNS($A280:AN280), Source!$E280, "")</f>
        <v/>
      </c>
      <c r="AO280" s="2" t="str">
        <f>IF(Source!$C280&gt;=COLUMNS($A280:AO280), Source!$E280, "")</f>
        <v/>
      </c>
      <c r="AP280" s="2" t="str">
        <f>IF(Source!$C280&gt;=COLUMNS($A280:AP280), Source!$E280, "")</f>
        <v/>
      </c>
      <c r="AQ280" s="2" t="str">
        <f>IF(Source!$C280&gt;=COLUMNS($A280:AQ280), Source!$E280, "")</f>
        <v/>
      </c>
      <c r="AR280" s="2" t="str">
        <f>IF(Source!$C280&gt;=COLUMNS($A280:AR280), Source!$E280, "")</f>
        <v/>
      </c>
    </row>
    <row r="281">
      <c r="A281" s="2">
        <f>IF(Source!$C281&gt;=COLUMNS($A281:A281), Source!$E281, "")</f>
        <v>1</v>
      </c>
      <c r="B281" s="2">
        <f>IF(Source!$C281&gt;=COLUMNS($A281:B281), Source!$E281, "")</f>
        <v>1</v>
      </c>
      <c r="C281" s="2" t="str">
        <f>IF(Source!$C281&gt;=COLUMNS($A281:C281), Source!$E281, "")</f>
        <v/>
      </c>
      <c r="D281" s="2" t="str">
        <f>IF(Source!$C281&gt;=COLUMNS($A281:D281), Source!$E281, "")</f>
        <v/>
      </c>
      <c r="E281" s="2" t="str">
        <f>IF(Source!$C281&gt;=COLUMNS($A281:E281), Source!$E281, "")</f>
        <v/>
      </c>
      <c r="F281" s="2" t="str">
        <f>IF(Source!$C281&gt;=COLUMNS($A281:F281), Source!$E281, "")</f>
        <v/>
      </c>
      <c r="G281" s="2" t="str">
        <f>IF(Source!$C281&gt;=COLUMNS($A281:G281), Source!$E281, "")</f>
        <v/>
      </c>
      <c r="H281" s="2" t="str">
        <f>IF(Source!$C281&gt;=COLUMNS($A281:H281), Source!$E281, "")</f>
        <v/>
      </c>
      <c r="I281" s="2" t="str">
        <f>IF(Source!$C281&gt;=COLUMNS($A281:I281), Source!$E281, "")</f>
        <v/>
      </c>
      <c r="J281" s="2" t="str">
        <f>IF(Source!$C281&gt;=COLUMNS($A281:J281), Source!$E281, "")</f>
        <v/>
      </c>
      <c r="K281" s="2" t="str">
        <f>IF(Source!$C281&gt;=COLUMNS($A281:K281), Source!$E281, "")</f>
        <v/>
      </c>
      <c r="L281" s="2" t="str">
        <f>IF(Source!$C281&gt;=COLUMNS($A281:L281), Source!$E281, "")</f>
        <v/>
      </c>
      <c r="M281" s="2" t="str">
        <f>IF(Source!$C281&gt;=COLUMNS($A281:M281), Source!$E281, "")</f>
        <v/>
      </c>
      <c r="N281" s="2" t="str">
        <f>IF(Source!$C281&gt;=COLUMNS($A281:N281), Source!$E281, "")</f>
        <v/>
      </c>
      <c r="O281" s="2" t="str">
        <f>IF(Source!$C281&gt;=COLUMNS($A281:O281), Source!$E281, "")</f>
        <v/>
      </c>
      <c r="P281" s="2" t="str">
        <f>IF(Source!$C281&gt;=COLUMNS($A281:P281), Source!$E281, "")</f>
        <v/>
      </c>
      <c r="Q281" s="2" t="str">
        <f>IF(Source!$C281&gt;=COLUMNS($A281:Q281), Source!$E281, "")</f>
        <v/>
      </c>
      <c r="R281" s="2" t="str">
        <f>IF(Source!$C281&gt;=COLUMNS($A281:R281), Source!$E281, "")</f>
        <v/>
      </c>
      <c r="S281" s="2" t="str">
        <f>IF(Source!$C281&gt;=COLUMNS($A281:S281), Source!$E281, "")</f>
        <v/>
      </c>
      <c r="T281" s="2" t="str">
        <f>IF(Source!$C281&gt;=COLUMNS($A281:T281), Source!$E281, "")</f>
        <v/>
      </c>
      <c r="U281" s="2" t="str">
        <f>IF(Source!$C281&gt;=COLUMNS($A281:U281), Source!$E281, "")</f>
        <v/>
      </c>
      <c r="V281" s="2" t="str">
        <f>IF(Source!$C281&gt;=COLUMNS($A281:V281), Source!$E281, "")</f>
        <v/>
      </c>
      <c r="W281" s="2" t="str">
        <f>IF(Source!$C281&gt;=COLUMNS($A281:W281), Source!$E281, "")</f>
        <v/>
      </c>
      <c r="X281" s="2" t="str">
        <f>IF(Source!$C281&gt;=COLUMNS($A281:X281), Source!$E281, "")</f>
        <v/>
      </c>
      <c r="Y281" s="2" t="str">
        <f>IF(Source!$C281&gt;=COLUMNS($A281:Y281), Source!$E281, "")</f>
        <v/>
      </c>
      <c r="Z281" s="2" t="str">
        <f>IF(Source!$C281&gt;=COLUMNS($A281:Z281), Source!$E281, "")</f>
        <v/>
      </c>
      <c r="AA281" s="2" t="str">
        <f>IF(Source!$C281&gt;=COLUMNS($A281:AA281), Source!$E281, "")</f>
        <v/>
      </c>
      <c r="AB281" s="2" t="str">
        <f>IF(Source!$C281&gt;=COLUMNS($A281:AB281), Source!$E281, "")</f>
        <v/>
      </c>
      <c r="AC281" s="2" t="str">
        <f>IF(Source!$C281&gt;=COLUMNS($A281:AC281), Source!$E281, "")</f>
        <v/>
      </c>
      <c r="AD281" s="2" t="str">
        <f>IF(Source!$C281&gt;=COLUMNS($A281:AD281), Source!$E281, "")</f>
        <v/>
      </c>
      <c r="AE281" s="2" t="str">
        <f>IF(Source!$C281&gt;=COLUMNS($A281:AE281), Source!$E281, "")</f>
        <v/>
      </c>
      <c r="AF281" s="2" t="str">
        <f>IF(Source!$C281&gt;=COLUMNS($A281:AF281), Source!$E281, "")</f>
        <v/>
      </c>
      <c r="AG281" s="2" t="str">
        <f>IF(Source!$C281&gt;=COLUMNS($A281:AG281), Source!$E281, "")</f>
        <v/>
      </c>
      <c r="AH281" s="2" t="str">
        <f>IF(Source!$C281&gt;=COLUMNS($A281:AH281), Source!$E281, "")</f>
        <v/>
      </c>
      <c r="AI281" s="2" t="str">
        <f>IF(Source!$C281&gt;=COLUMNS($A281:AI281), Source!$E281, "")</f>
        <v/>
      </c>
      <c r="AJ281" s="2" t="str">
        <f>IF(Source!$C281&gt;=COLUMNS($A281:AJ281), Source!$E281, "")</f>
        <v/>
      </c>
      <c r="AK281" s="2" t="str">
        <f>IF(Source!$C281&gt;=COLUMNS($A281:AK281), Source!$E281, "")</f>
        <v/>
      </c>
      <c r="AL281" s="2" t="str">
        <f>IF(Source!$C281&gt;=COLUMNS($A281:AL281), Source!$E281, "")</f>
        <v/>
      </c>
      <c r="AM281" s="2" t="str">
        <f>IF(Source!$C281&gt;=COLUMNS($A281:AM281), Source!$E281, "")</f>
        <v/>
      </c>
      <c r="AN281" s="2" t="str">
        <f>IF(Source!$C281&gt;=COLUMNS($A281:AN281), Source!$E281, "")</f>
        <v/>
      </c>
      <c r="AO281" s="2" t="str">
        <f>IF(Source!$C281&gt;=COLUMNS($A281:AO281), Source!$E281, "")</f>
        <v/>
      </c>
      <c r="AP281" s="2" t="str">
        <f>IF(Source!$C281&gt;=COLUMNS($A281:AP281), Source!$E281, "")</f>
        <v/>
      </c>
      <c r="AQ281" s="2" t="str">
        <f>IF(Source!$C281&gt;=COLUMNS($A281:AQ281), Source!$E281, "")</f>
        <v/>
      </c>
      <c r="AR281" s="2" t="str">
        <f>IF(Source!$C281&gt;=COLUMNS($A281:AR281), Source!$E281, "")</f>
        <v/>
      </c>
    </row>
    <row r="282">
      <c r="A282" s="2">
        <f>IF(Source!$C282&gt;=COLUMNS($A282:A282), Source!$E282, "")</f>
        <v>2</v>
      </c>
      <c r="B282" s="2">
        <f>IF(Source!$C282&gt;=COLUMNS($A282:B282), Source!$E282, "")</f>
        <v>2</v>
      </c>
      <c r="C282" s="2">
        <f>IF(Source!$C282&gt;=COLUMNS($A282:C282), Source!$E282, "")</f>
        <v>2</v>
      </c>
      <c r="D282" s="2">
        <f>IF(Source!$C282&gt;=COLUMNS($A282:D282), Source!$E282, "")</f>
        <v>2</v>
      </c>
      <c r="E282" s="2">
        <f>IF(Source!$C282&gt;=COLUMNS($A282:E282), Source!$E282, "")</f>
        <v>2</v>
      </c>
      <c r="F282" s="2">
        <f>IF(Source!$C282&gt;=COLUMNS($A282:F282), Source!$E282, "")</f>
        <v>2</v>
      </c>
      <c r="G282" s="2">
        <f>IF(Source!$C282&gt;=COLUMNS($A282:G282), Source!$E282, "")</f>
        <v>2</v>
      </c>
      <c r="H282" s="2" t="str">
        <f>IF(Source!$C282&gt;=COLUMNS($A282:H282), Source!$E282, "")</f>
        <v/>
      </c>
      <c r="I282" s="2" t="str">
        <f>IF(Source!$C282&gt;=COLUMNS($A282:I282), Source!$E282, "")</f>
        <v/>
      </c>
      <c r="J282" s="2" t="str">
        <f>IF(Source!$C282&gt;=COLUMNS($A282:J282), Source!$E282, "")</f>
        <v/>
      </c>
      <c r="K282" s="2" t="str">
        <f>IF(Source!$C282&gt;=COLUMNS($A282:K282), Source!$E282, "")</f>
        <v/>
      </c>
      <c r="L282" s="2" t="str">
        <f>IF(Source!$C282&gt;=COLUMNS($A282:L282), Source!$E282, "")</f>
        <v/>
      </c>
      <c r="M282" s="2" t="str">
        <f>IF(Source!$C282&gt;=COLUMNS($A282:M282), Source!$E282, "")</f>
        <v/>
      </c>
      <c r="N282" s="2" t="str">
        <f>IF(Source!$C282&gt;=COLUMNS($A282:N282), Source!$E282, "")</f>
        <v/>
      </c>
      <c r="O282" s="2" t="str">
        <f>IF(Source!$C282&gt;=COLUMNS($A282:O282), Source!$E282, "")</f>
        <v/>
      </c>
      <c r="P282" s="2" t="str">
        <f>IF(Source!$C282&gt;=COLUMNS($A282:P282), Source!$E282, "")</f>
        <v/>
      </c>
      <c r="Q282" s="2" t="str">
        <f>IF(Source!$C282&gt;=COLUMNS($A282:Q282), Source!$E282, "")</f>
        <v/>
      </c>
      <c r="R282" s="2" t="str">
        <f>IF(Source!$C282&gt;=COLUMNS($A282:R282), Source!$E282, "")</f>
        <v/>
      </c>
      <c r="S282" s="2" t="str">
        <f>IF(Source!$C282&gt;=COLUMNS($A282:S282), Source!$E282, "")</f>
        <v/>
      </c>
      <c r="T282" s="2" t="str">
        <f>IF(Source!$C282&gt;=COLUMNS($A282:T282), Source!$E282, "")</f>
        <v/>
      </c>
      <c r="U282" s="2" t="str">
        <f>IF(Source!$C282&gt;=COLUMNS($A282:U282), Source!$E282, "")</f>
        <v/>
      </c>
      <c r="V282" s="2" t="str">
        <f>IF(Source!$C282&gt;=COLUMNS($A282:V282), Source!$E282, "")</f>
        <v/>
      </c>
      <c r="W282" s="2" t="str">
        <f>IF(Source!$C282&gt;=COLUMNS($A282:W282), Source!$E282, "")</f>
        <v/>
      </c>
      <c r="X282" s="2" t="str">
        <f>IF(Source!$C282&gt;=COLUMNS($A282:X282), Source!$E282, "")</f>
        <v/>
      </c>
      <c r="Y282" s="2" t="str">
        <f>IF(Source!$C282&gt;=COLUMNS($A282:Y282), Source!$E282, "")</f>
        <v/>
      </c>
      <c r="Z282" s="2" t="str">
        <f>IF(Source!$C282&gt;=COLUMNS($A282:Z282), Source!$E282, "")</f>
        <v/>
      </c>
      <c r="AA282" s="2" t="str">
        <f>IF(Source!$C282&gt;=COLUMNS($A282:AA282), Source!$E282, "")</f>
        <v/>
      </c>
      <c r="AB282" s="2" t="str">
        <f>IF(Source!$C282&gt;=COLUMNS($A282:AB282), Source!$E282, "")</f>
        <v/>
      </c>
      <c r="AC282" s="2" t="str">
        <f>IF(Source!$C282&gt;=COLUMNS($A282:AC282), Source!$E282, "")</f>
        <v/>
      </c>
      <c r="AD282" s="2" t="str">
        <f>IF(Source!$C282&gt;=COLUMNS($A282:AD282), Source!$E282, "")</f>
        <v/>
      </c>
      <c r="AE282" s="2" t="str">
        <f>IF(Source!$C282&gt;=COLUMNS($A282:AE282), Source!$E282, "")</f>
        <v/>
      </c>
      <c r="AF282" s="2" t="str">
        <f>IF(Source!$C282&gt;=COLUMNS($A282:AF282), Source!$E282, "")</f>
        <v/>
      </c>
      <c r="AG282" s="2" t="str">
        <f>IF(Source!$C282&gt;=COLUMNS($A282:AG282), Source!$E282, "")</f>
        <v/>
      </c>
      <c r="AH282" s="2" t="str">
        <f>IF(Source!$C282&gt;=COLUMNS($A282:AH282), Source!$E282, "")</f>
        <v/>
      </c>
      <c r="AI282" s="2" t="str">
        <f>IF(Source!$C282&gt;=COLUMNS($A282:AI282), Source!$E282, "")</f>
        <v/>
      </c>
      <c r="AJ282" s="2" t="str">
        <f>IF(Source!$C282&gt;=COLUMNS($A282:AJ282), Source!$E282, "")</f>
        <v/>
      </c>
      <c r="AK282" s="2" t="str">
        <f>IF(Source!$C282&gt;=COLUMNS($A282:AK282), Source!$E282, "")</f>
        <v/>
      </c>
      <c r="AL282" s="2" t="str">
        <f>IF(Source!$C282&gt;=COLUMNS($A282:AL282), Source!$E282, "")</f>
        <v/>
      </c>
      <c r="AM282" s="2" t="str">
        <f>IF(Source!$C282&gt;=COLUMNS($A282:AM282), Source!$E282, "")</f>
        <v/>
      </c>
      <c r="AN282" s="2" t="str">
        <f>IF(Source!$C282&gt;=COLUMNS($A282:AN282), Source!$E282, "")</f>
        <v/>
      </c>
      <c r="AO282" s="2" t="str">
        <f>IF(Source!$C282&gt;=COLUMNS($A282:AO282), Source!$E282, "")</f>
        <v/>
      </c>
      <c r="AP282" s="2" t="str">
        <f>IF(Source!$C282&gt;=COLUMNS($A282:AP282), Source!$E282, "")</f>
        <v/>
      </c>
      <c r="AQ282" s="2" t="str">
        <f>IF(Source!$C282&gt;=COLUMNS($A282:AQ282), Source!$E282, "")</f>
        <v/>
      </c>
      <c r="AR282" s="2" t="str">
        <f>IF(Source!$C282&gt;=COLUMNS($A282:AR282), Source!$E282, "")</f>
        <v/>
      </c>
    </row>
    <row r="283">
      <c r="A283" s="2">
        <f>IF(Source!$C283&gt;=COLUMNS($A283:A283), Source!$E283, "")</f>
        <v>5</v>
      </c>
      <c r="B283" s="2">
        <f>IF(Source!$C283&gt;=COLUMNS($A283:B283), Source!$E283, "")</f>
        <v>5</v>
      </c>
      <c r="C283" s="2">
        <f>IF(Source!$C283&gt;=COLUMNS($A283:C283), Source!$E283, "")</f>
        <v>5</v>
      </c>
      <c r="D283" s="2">
        <f>IF(Source!$C283&gt;=COLUMNS($A283:D283), Source!$E283, "")</f>
        <v>5</v>
      </c>
      <c r="E283" s="2">
        <f>IF(Source!$C283&gt;=COLUMNS($A283:E283), Source!$E283, "")</f>
        <v>5</v>
      </c>
      <c r="F283" s="2">
        <f>IF(Source!$C283&gt;=COLUMNS($A283:F283), Source!$E283, "")</f>
        <v>5</v>
      </c>
      <c r="G283" s="2">
        <f>IF(Source!$C283&gt;=COLUMNS($A283:G283), Source!$E283, "")</f>
        <v>5</v>
      </c>
      <c r="H283" s="2" t="str">
        <f>IF(Source!$C283&gt;=COLUMNS($A283:H283), Source!$E283, "")</f>
        <v/>
      </c>
      <c r="I283" s="2" t="str">
        <f>IF(Source!$C283&gt;=COLUMNS($A283:I283), Source!$E283, "")</f>
        <v/>
      </c>
      <c r="J283" s="2" t="str">
        <f>IF(Source!$C283&gt;=COLUMNS($A283:J283), Source!$E283, "")</f>
        <v/>
      </c>
      <c r="K283" s="2" t="str">
        <f>IF(Source!$C283&gt;=COLUMNS($A283:K283), Source!$E283, "")</f>
        <v/>
      </c>
      <c r="L283" s="2" t="str">
        <f>IF(Source!$C283&gt;=COLUMNS($A283:L283), Source!$E283, "")</f>
        <v/>
      </c>
      <c r="M283" s="2" t="str">
        <f>IF(Source!$C283&gt;=COLUMNS($A283:M283), Source!$E283, "")</f>
        <v/>
      </c>
      <c r="N283" s="2" t="str">
        <f>IF(Source!$C283&gt;=COLUMNS($A283:N283), Source!$E283, "")</f>
        <v/>
      </c>
      <c r="O283" s="2" t="str">
        <f>IF(Source!$C283&gt;=COLUMNS($A283:O283), Source!$E283, "")</f>
        <v/>
      </c>
      <c r="P283" s="2" t="str">
        <f>IF(Source!$C283&gt;=COLUMNS($A283:P283), Source!$E283, "")</f>
        <v/>
      </c>
      <c r="Q283" s="2" t="str">
        <f>IF(Source!$C283&gt;=COLUMNS($A283:Q283), Source!$E283, "")</f>
        <v/>
      </c>
      <c r="R283" s="2" t="str">
        <f>IF(Source!$C283&gt;=COLUMNS($A283:R283), Source!$E283, "")</f>
        <v/>
      </c>
      <c r="S283" s="2" t="str">
        <f>IF(Source!$C283&gt;=COLUMNS($A283:S283), Source!$E283, "")</f>
        <v/>
      </c>
      <c r="T283" s="2" t="str">
        <f>IF(Source!$C283&gt;=COLUMNS($A283:T283), Source!$E283, "")</f>
        <v/>
      </c>
      <c r="U283" s="2" t="str">
        <f>IF(Source!$C283&gt;=COLUMNS($A283:U283), Source!$E283, "")</f>
        <v/>
      </c>
      <c r="V283" s="2" t="str">
        <f>IF(Source!$C283&gt;=COLUMNS($A283:V283), Source!$E283, "")</f>
        <v/>
      </c>
      <c r="W283" s="2" t="str">
        <f>IF(Source!$C283&gt;=COLUMNS($A283:W283), Source!$E283, "")</f>
        <v/>
      </c>
      <c r="X283" s="2" t="str">
        <f>IF(Source!$C283&gt;=COLUMNS($A283:X283), Source!$E283, "")</f>
        <v/>
      </c>
      <c r="Y283" s="2" t="str">
        <f>IF(Source!$C283&gt;=COLUMNS($A283:Y283), Source!$E283, "")</f>
        <v/>
      </c>
      <c r="Z283" s="2" t="str">
        <f>IF(Source!$C283&gt;=COLUMNS($A283:Z283), Source!$E283, "")</f>
        <v/>
      </c>
      <c r="AA283" s="2" t="str">
        <f>IF(Source!$C283&gt;=COLUMNS($A283:AA283), Source!$E283, "")</f>
        <v/>
      </c>
      <c r="AB283" s="2" t="str">
        <f>IF(Source!$C283&gt;=COLUMNS($A283:AB283), Source!$E283, "")</f>
        <v/>
      </c>
      <c r="AC283" s="2" t="str">
        <f>IF(Source!$C283&gt;=COLUMNS($A283:AC283), Source!$E283, "")</f>
        <v/>
      </c>
      <c r="AD283" s="2" t="str">
        <f>IF(Source!$C283&gt;=COLUMNS($A283:AD283), Source!$E283, "")</f>
        <v/>
      </c>
      <c r="AE283" s="2" t="str">
        <f>IF(Source!$C283&gt;=COLUMNS($A283:AE283), Source!$E283, "")</f>
        <v/>
      </c>
      <c r="AF283" s="2" t="str">
        <f>IF(Source!$C283&gt;=COLUMNS($A283:AF283), Source!$E283, "")</f>
        <v/>
      </c>
      <c r="AG283" s="2" t="str">
        <f>IF(Source!$C283&gt;=COLUMNS($A283:AG283), Source!$E283, "")</f>
        <v/>
      </c>
      <c r="AH283" s="2" t="str">
        <f>IF(Source!$C283&gt;=COLUMNS($A283:AH283), Source!$E283, "")</f>
        <v/>
      </c>
      <c r="AI283" s="2" t="str">
        <f>IF(Source!$C283&gt;=COLUMNS($A283:AI283), Source!$E283, "")</f>
        <v/>
      </c>
      <c r="AJ283" s="2" t="str">
        <f>IF(Source!$C283&gt;=COLUMNS($A283:AJ283), Source!$E283, "")</f>
        <v/>
      </c>
      <c r="AK283" s="2" t="str">
        <f>IF(Source!$C283&gt;=COLUMNS($A283:AK283), Source!$E283, "")</f>
        <v/>
      </c>
      <c r="AL283" s="2" t="str">
        <f>IF(Source!$C283&gt;=COLUMNS($A283:AL283), Source!$E283, "")</f>
        <v/>
      </c>
      <c r="AM283" s="2" t="str">
        <f>IF(Source!$C283&gt;=COLUMNS($A283:AM283), Source!$E283, "")</f>
        <v/>
      </c>
      <c r="AN283" s="2" t="str">
        <f>IF(Source!$C283&gt;=COLUMNS($A283:AN283), Source!$E283, "")</f>
        <v/>
      </c>
      <c r="AO283" s="2" t="str">
        <f>IF(Source!$C283&gt;=COLUMNS($A283:AO283), Source!$E283, "")</f>
        <v/>
      </c>
      <c r="AP283" s="2" t="str">
        <f>IF(Source!$C283&gt;=COLUMNS($A283:AP283), Source!$E283, "")</f>
        <v/>
      </c>
      <c r="AQ283" s="2" t="str">
        <f>IF(Source!$C283&gt;=COLUMNS($A283:AQ283), Source!$E283, "")</f>
        <v/>
      </c>
      <c r="AR283" s="2" t="str">
        <f>IF(Source!$C283&gt;=COLUMNS($A283:AR283), Source!$E283, "")</f>
        <v/>
      </c>
    </row>
    <row r="284">
      <c r="A284" s="2">
        <f>IF(Source!$C284&gt;=COLUMNS($A284:A284), Source!$E284, "")</f>
        <v>4</v>
      </c>
      <c r="B284" s="2">
        <f>IF(Source!$C284&gt;=COLUMNS($A284:B284), Source!$E284, "")</f>
        <v>4</v>
      </c>
      <c r="C284" s="2">
        <f>IF(Source!$C284&gt;=COLUMNS($A284:C284), Source!$E284, "")</f>
        <v>4</v>
      </c>
      <c r="D284" s="2">
        <f>IF(Source!$C284&gt;=COLUMNS($A284:D284), Source!$E284, "")</f>
        <v>4</v>
      </c>
      <c r="E284" s="2">
        <f>IF(Source!$C284&gt;=COLUMNS($A284:E284), Source!$E284, "")</f>
        <v>4</v>
      </c>
      <c r="F284" s="2" t="str">
        <f>IF(Source!$C284&gt;=COLUMNS($A284:F284), Source!$E284, "")</f>
        <v/>
      </c>
      <c r="G284" s="2" t="str">
        <f>IF(Source!$C284&gt;=COLUMNS($A284:G284), Source!$E284, "")</f>
        <v/>
      </c>
      <c r="H284" s="2" t="str">
        <f>IF(Source!$C284&gt;=COLUMNS($A284:H284), Source!$E284, "")</f>
        <v/>
      </c>
      <c r="I284" s="2" t="str">
        <f>IF(Source!$C284&gt;=COLUMNS($A284:I284), Source!$E284, "")</f>
        <v/>
      </c>
      <c r="J284" s="2" t="str">
        <f>IF(Source!$C284&gt;=COLUMNS($A284:J284), Source!$E284, "")</f>
        <v/>
      </c>
      <c r="K284" s="2" t="str">
        <f>IF(Source!$C284&gt;=COLUMNS($A284:K284), Source!$E284, "")</f>
        <v/>
      </c>
      <c r="L284" s="2" t="str">
        <f>IF(Source!$C284&gt;=COLUMNS($A284:L284), Source!$E284, "")</f>
        <v/>
      </c>
      <c r="M284" s="2" t="str">
        <f>IF(Source!$C284&gt;=COLUMNS($A284:M284), Source!$E284, "")</f>
        <v/>
      </c>
      <c r="N284" s="2" t="str">
        <f>IF(Source!$C284&gt;=COLUMNS($A284:N284), Source!$E284, "")</f>
        <v/>
      </c>
      <c r="O284" s="2" t="str">
        <f>IF(Source!$C284&gt;=COLUMNS($A284:O284), Source!$E284, "")</f>
        <v/>
      </c>
      <c r="P284" s="2" t="str">
        <f>IF(Source!$C284&gt;=COLUMNS($A284:P284), Source!$E284, "")</f>
        <v/>
      </c>
      <c r="Q284" s="2" t="str">
        <f>IF(Source!$C284&gt;=COLUMNS($A284:Q284), Source!$E284, "")</f>
        <v/>
      </c>
      <c r="R284" s="2" t="str">
        <f>IF(Source!$C284&gt;=COLUMNS($A284:R284), Source!$E284, "")</f>
        <v/>
      </c>
      <c r="S284" s="2" t="str">
        <f>IF(Source!$C284&gt;=COLUMNS($A284:S284), Source!$E284, "")</f>
        <v/>
      </c>
      <c r="T284" s="2" t="str">
        <f>IF(Source!$C284&gt;=COLUMNS($A284:T284), Source!$E284, "")</f>
        <v/>
      </c>
      <c r="U284" s="2" t="str">
        <f>IF(Source!$C284&gt;=COLUMNS($A284:U284), Source!$E284, "")</f>
        <v/>
      </c>
      <c r="V284" s="2" t="str">
        <f>IF(Source!$C284&gt;=COLUMNS($A284:V284), Source!$E284, "")</f>
        <v/>
      </c>
      <c r="W284" s="2" t="str">
        <f>IF(Source!$C284&gt;=COLUMNS($A284:W284), Source!$E284, "")</f>
        <v/>
      </c>
      <c r="X284" s="2" t="str">
        <f>IF(Source!$C284&gt;=COLUMNS($A284:X284), Source!$E284, "")</f>
        <v/>
      </c>
      <c r="Y284" s="2" t="str">
        <f>IF(Source!$C284&gt;=COLUMNS($A284:Y284), Source!$E284, "")</f>
        <v/>
      </c>
      <c r="Z284" s="2" t="str">
        <f>IF(Source!$C284&gt;=COLUMNS($A284:Z284), Source!$E284, "")</f>
        <v/>
      </c>
      <c r="AA284" s="2" t="str">
        <f>IF(Source!$C284&gt;=COLUMNS($A284:AA284), Source!$E284, "")</f>
        <v/>
      </c>
      <c r="AB284" s="2" t="str">
        <f>IF(Source!$C284&gt;=COLUMNS($A284:AB284), Source!$E284, "")</f>
        <v/>
      </c>
      <c r="AC284" s="2" t="str">
        <f>IF(Source!$C284&gt;=COLUMNS($A284:AC284), Source!$E284, "")</f>
        <v/>
      </c>
      <c r="AD284" s="2" t="str">
        <f>IF(Source!$C284&gt;=COLUMNS($A284:AD284), Source!$E284, "")</f>
        <v/>
      </c>
      <c r="AE284" s="2" t="str">
        <f>IF(Source!$C284&gt;=COLUMNS($A284:AE284), Source!$E284, "")</f>
        <v/>
      </c>
      <c r="AF284" s="2" t="str">
        <f>IF(Source!$C284&gt;=COLUMNS($A284:AF284), Source!$E284, "")</f>
        <v/>
      </c>
      <c r="AG284" s="2" t="str">
        <f>IF(Source!$C284&gt;=COLUMNS($A284:AG284), Source!$E284, "")</f>
        <v/>
      </c>
      <c r="AH284" s="2" t="str">
        <f>IF(Source!$C284&gt;=COLUMNS($A284:AH284), Source!$E284, "")</f>
        <v/>
      </c>
      <c r="AI284" s="2" t="str">
        <f>IF(Source!$C284&gt;=COLUMNS($A284:AI284), Source!$E284, "")</f>
        <v/>
      </c>
      <c r="AJ284" s="2" t="str">
        <f>IF(Source!$C284&gt;=COLUMNS($A284:AJ284), Source!$E284, "")</f>
        <v/>
      </c>
      <c r="AK284" s="2" t="str">
        <f>IF(Source!$C284&gt;=COLUMNS($A284:AK284), Source!$E284, "")</f>
        <v/>
      </c>
      <c r="AL284" s="2" t="str">
        <f>IF(Source!$C284&gt;=COLUMNS($A284:AL284), Source!$E284, "")</f>
        <v/>
      </c>
      <c r="AM284" s="2" t="str">
        <f>IF(Source!$C284&gt;=COLUMNS($A284:AM284), Source!$E284, "")</f>
        <v/>
      </c>
      <c r="AN284" s="2" t="str">
        <f>IF(Source!$C284&gt;=COLUMNS($A284:AN284), Source!$E284, "")</f>
        <v/>
      </c>
      <c r="AO284" s="2" t="str">
        <f>IF(Source!$C284&gt;=COLUMNS($A284:AO284), Source!$E284, "")</f>
        <v/>
      </c>
      <c r="AP284" s="2" t="str">
        <f>IF(Source!$C284&gt;=COLUMNS($A284:AP284), Source!$E284, "")</f>
        <v/>
      </c>
      <c r="AQ284" s="2" t="str">
        <f>IF(Source!$C284&gt;=COLUMNS($A284:AQ284), Source!$E284, "")</f>
        <v/>
      </c>
      <c r="AR284" s="2" t="str">
        <f>IF(Source!$C284&gt;=COLUMNS($A284:AR284), Source!$E284, "")</f>
        <v/>
      </c>
    </row>
    <row r="285">
      <c r="A285" s="2">
        <f>IF(Source!$C285&gt;=COLUMNS($A285:A285), Source!$E285, "")</f>
        <v>5</v>
      </c>
      <c r="B285" s="2">
        <f>IF(Source!$C285&gt;=COLUMNS($A285:B285), Source!$E285, "")</f>
        <v>5</v>
      </c>
      <c r="C285" s="2">
        <f>IF(Source!$C285&gt;=COLUMNS($A285:C285), Source!$E285, "")</f>
        <v>5</v>
      </c>
      <c r="D285" s="2" t="str">
        <f>IF(Source!$C285&gt;=COLUMNS($A285:D285), Source!$E285, "")</f>
        <v/>
      </c>
      <c r="E285" s="2" t="str">
        <f>IF(Source!$C285&gt;=COLUMNS($A285:E285), Source!$E285, "")</f>
        <v/>
      </c>
      <c r="F285" s="2" t="str">
        <f>IF(Source!$C285&gt;=COLUMNS($A285:F285), Source!$E285, "")</f>
        <v/>
      </c>
      <c r="G285" s="2" t="str">
        <f>IF(Source!$C285&gt;=COLUMNS($A285:G285), Source!$E285, "")</f>
        <v/>
      </c>
      <c r="H285" s="2" t="str">
        <f>IF(Source!$C285&gt;=COLUMNS($A285:H285), Source!$E285, "")</f>
        <v/>
      </c>
      <c r="I285" s="2" t="str">
        <f>IF(Source!$C285&gt;=COLUMNS($A285:I285), Source!$E285, "")</f>
        <v/>
      </c>
      <c r="J285" s="2" t="str">
        <f>IF(Source!$C285&gt;=COLUMNS($A285:J285), Source!$E285, "")</f>
        <v/>
      </c>
      <c r="K285" s="2" t="str">
        <f>IF(Source!$C285&gt;=COLUMNS($A285:K285), Source!$E285, "")</f>
        <v/>
      </c>
      <c r="L285" s="2" t="str">
        <f>IF(Source!$C285&gt;=COLUMNS($A285:L285), Source!$E285, "")</f>
        <v/>
      </c>
      <c r="M285" s="2" t="str">
        <f>IF(Source!$C285&gt;=COLUMNS($A285:M285), Source!$E285, "")</f>
        <v/>
      </c>
      <c r="N285" s="2" t="str">
        <f>IF(Source!$C285&gt;=COLUMNS($A285:N285), Source!$E285, "")</f>
        <v/>
      </c>
      <c r="O285" s="2" t="str">
        <f>IF(Source!$C285&gt;=COLUMNS($A285:O285), Source!$E285, "")</f>
        <v/>
      </c>
      <c r="P285" s="2" t="str">
        <f>IF(Source!$C285&gt;=COLUMNS($A285:P285), Source!$E285, "")</f>
        <v/>
      </c>
      <c r="Q285" s="2" t="str">
        <f>IF(Source!$C285&gt;=COLUMNS($A285:Q285), Source!$E285, "")</f>
        <v/>
      </c>
      <c r="R285" s="2" t="str">
        <f>IF(Source!$C285&gt;=COLUMNS($A285:R285), Source!$E285, "")</f>
        <v/>
      </c>
      <c r="S285" s="2" t="str">
        <f>IF(Source!$C285&gt;=COLUMNS($A285:S285), Source!$E285, "")</f>
        <v/>
      </c>
      <c r="T285" s="2" t="str">
        <f>IF(Source!$C285&gt;=COLUMNS($A285:T285), Source!$E285, "")</f>
        <v/>
      </c>
      <c r="U285" s="2" t="str">
        <f>IF(Source!$C285&gt;=COLUMNS($A285:U285), Source!$E285, "")</f>
        <v/>
      </c>
      <c r="V285" s="2" t="str">
        <f>IF(Source!$C285&gt;=COLUMNS($A285:V285), Source!$E285, "")</f>
        <v/>
      </c>
      <c r="W285" s="2" t="str">
        <f>IF(Source!$C285&gt;=COLUMNS($A285:W285), Source!$E285, "")</f>
        <v/>
      </c>
      <c r="X285" s="2" t="str">
        <f>IF(Source!$C285&gt;=COLUMNS($A285:X285), Source!$E285, "")</f>
        <v/>
      </c>
      <c r="Y285" s="2" t="str">
        <f>IF(Source!$C285&gt;=COLUMNS($A285:Y285), Source!$E285, "")</f>
        <v/>
      </c>
      <c r="Z285" s="2" t="str">
        <f>IF(Source!$C285&gt;=COLUMNS($A285:Z285), Source!$E285, "")</f>
        <v/>
      </c>
      <c r="AA285" s="2" t="str">
        <f>IF(Source!$C285&gt;=COLUMNS($A285:AA285), Source!$E285, "")</f>
        <v/>
      </c>
      <c r="AB285" s="2" t="str">
        <f>IF(Source!$C285&gt;=COLUMNS($A285:AB285), Source!$E285, "")</f>
        <v/>
      </c>
      <c r="AC285" s="2" t="str">
        <f>IF(Source!$C285&gt;=COLUMNS($A285:AC285), Source!$E285, "")</f>
        <v/>
      </c>
      <c r="AD285" s="2" t="str">
        <f>IF(Source!$C285&gt;=COLUMNS($A285:AD285), Source!$E285, "")</f>
        <v/>
      </c>
      <c r="AE285" s="2" t="str">
        <f>IF(Source!$C285&gt;=COLUMNS($A285:AE285), Source!$E285, "")</f>
        <v/>
      </c>
      <c r="AF285" s="2" t="str">
        <f>IF(Source!$C285&gt;=COLUMNS($A285:AF285), Source!$E285, "")</f>
        <v/>
      </c>
      <c r="AG285" s="2" t="str">
        <f>IF(Source!$C285&gt;=COLUMNS($A285:AG285), Source!$E285, "")</f>
        <v/>
      </c>
      <c r="AH285" s="2" t="str">
        <f>IF(Source!$C285&gt;=COLUMNS($A285:AH285), Source!$E285, "")</f>
        <v/>
      </c>
      <c r="AI285" s="2" t="str">
        <f>IF(Source!$C285&gt;=COLUMNS($A285:AI285), Source!$E285, "")</f>
        <v/>
      </c>
      <c r="AJ285" s="2" t="str">
        <f>IF(Source!$C285&gt;=COLUMNS($A285:AJ285), Source!$E285, "")</f>
        <v/>
      </c>
      <c r="AK285" s="2" t="str">
        <f>IF(Source!$C285&gt;=COLUMNS($A285:AK285), Source!$E285, "")</f>
        <v/>
      </c>
      <c r="AL285" s="2" t="str">
        <f>IF(Source!$C285&gt;=COLUMNS($A285:AL285), Source!$E285, "")</f>
        <v/>
      </c>
      <c r="AM285" s="2" t="str">
        <f>IF(Source!$C285&gt;=COLUMNS($A285:AM285), Source!$E285, "")</f>
        <v/>
      </c>
      <c r="AN285" s="2" t="str">
        <f>IF(Source!$C285&gt;=COLUMNS($A285:AN285), Source!$E285, "")</f>
        <v/>
      </c>
      <c r="AO285" s="2" t="str">
        <f>IF(Source!$C285&gt;=COLUMNS($A285:AO285), Source!$E285, "")</f>
        <v/>
      </c>
      <c r="AP285" s="2" t="str">
        <f>IF(Source!$C285&gt;=COLUMNS($A285:AP285), Source!$E285, "")</f>
        <v/>
      </c>
      <c r="AQ285" s="2" t="str">
        <f>IF(Source!$C285&gt;=COLUMNS($A285:AQ285), Source!$E285, "")</f>
        <v/>
      </c>
      <c r="AR285" s="2" t="str">
        <f>IF(Source!$C285&gt;=COLUMNS($A285:AR285), Source!$E285, "")</f>
        <v/>
      </c>
    </row>
    <row r="286">
      <c r="A286" s="2">
        <f>IF(Source!$C286&gt;=COLUMNS($A286:A286), Source!$E286, "")</f>
        <v>2</v>
      </c>
      <c r="B286" s="2" t="str">
        <f>IF(Source!$C286&gt;=COLUMNS($A286:B286), Source!$E286, "")</f>
        <v/>
      </c>
      <c r="C286" s="2" t="str">
        <f>IF(Source!$C286&gt;=COLUMNS($A286:C286), Source!$E286, "")</f>
        <v/>
      </c>
      <c r="D286" s="2" t="str">
        <f>IF(Source!$C286&gt;=COLUMNS($A286:D286), Source!$E286, "")</f>
        <v/>
      </c>
      <c r="E286" s="2" t="str">
        <f>IF(Source!$C286&gt;=COLUMNS($A286:E286), Source!$E286, "")</f>
        <v/>
      </c>
      <c r="F286" s="2" t="str">
        <f>IF(Source!$C286&gt;=COLUMNS($A286:F286), Source!$E286, "")</f>
        <v/>
      </c>
      <c r="G286" s="2" t="str">
        <f>IF(Source!$C286&gt;=COLUMNS($A286:G286), Source!$E286, "")</f>
        <v/>
      </c>
      <c r="H286" s="2" t="str">
        <f>IF(Source!$C286&gt;=COLUMNS($A286:H286), Source!$E286, "")</f>
        <v/>
      </c>
      <c r="I286" s="2" t="str">
        <f>IF(Source!$C286&gt;=COLUMNS($A286:I286), Source!$E286, "")</f>
        <v/>
      </c>
      <c r="J286" s="2" t="str">
        <f>IF(Source!$C286&gt;=COLUMNS($A286:J286), Source!$E286, "")</f>
        <v/>
      </c>
      <c r="K286" s="2" t="str">
        <f>IF(Source!$C286&gt;=COLUMNS($A286:K286), Source!$E286, "")</f>
        <v/>
      </c>
      <c r="L286" s="2" t="str">
        <f>IF(Source!$C286&gt;=COLUMNS($A286:L286), Source!$E286, "")</f>
        <v/>
      </c>
      <c r="M286" s="2" t="str">
        <f>IF(Source!$C286&gt;=COLUMNS($A286:M286), Source!$E286, "")</f>
        <v/>
      </c>
      <c r="N286" s="2" t="str">
        <f>IF(Source!$C286&gt;=COLUMNS($A286:N286), Source!$E286, "")</f>
        <v/>
      </c>
      <c r="O286" s="2" t="str">
        <f>IF(Source!$C286&gt;=COLUMNS($A286:O286), Source!$E286, "")</f>
        <v/>
      </c>
      <c r="P286" s="2" t="str">
        <f>IF(Source!$C286&gt;=COLUMNS($A286:P286), Source!$E286, "")</f>
        <v/>
      </c>
      <c r="Q286" s="2" t="str">
        <f>IF(Source!$C286&gt;=COLUMNS($A286:Q286), Source!$E286, "")</f>
        <v/>
      </c>
      <c r="R286" s="2" t="str">
        <f>IF(Source!$C286&gt;=COLUMNS($A286:R286), Source!$E286, "")</f>
        <v/>
      </c>
      <c r="S286" s="2" t="str">
        <f>IF(Source!$C286&gt;=COLUMNS($A286:S286), Source!$E286, "")</f>
        <v/>
      </c>
      <c r="T286" s="2" t="str">
        <f>IF(Source!$C286&gt;=COLUMNS($A286:T286), Source!$E286, "")</f>
        <v/>
      </c>
      <c r="U286" s="2" t="str">
        <f>IF(Source!$C286&gt;=COLUMNS($A286:U286), Source!$E286, "")</f>
        <v/>
      </c>
      <c r="V286" s="2" t="str">
        <f>IF(Source!$C286&gt;=COLUMNS($A286:V286), Source!$E286, "")</f>
        <v/>
      </c>
      <c r="W286" s="2" t="str">
        <f>IF(Source!$C286&gt;=COLUMNS($A286:W286), Source!$E286, "")</f>
        <v/>
      </c>
      <c r="X286" s="2" t="str">
        <f>IF(Source!$C286&gt;=COLUMNS($A286:X286), Source!$E286, "")</f>
        <v/>
      </c>
      <c r="Y286" s="2" t="str">
        <f>IF(Source!$C286&gt;=COLUMNS($A286:Y286), Source!$E286, "")</f>
        <v/>
      </c>
      <c r="Z286" s="2" t="str">
        <f>IF(Source!$C286&gt;=COLUMNS($A286:Z286), Source!$E286, "")</f>
        <v/>
      </c>
      <c r="AA286" s="2" t="str">
        <f>IF(Source!$C286&gt;=COLUMNS($A286:AA286), Source!$E286, "")</f>
        <v/>
      </c>
      <c r="AB286" s="2" t="str">
        <f>IF(Source!$C286&gt;=COLUMNS($A286:AB286), Source!$E286, "")</f>
        <v/>
      </c>
      <c r="AC286" s="2" t="str">
        <f>IF(Source!$C286&gt;=COLUMNS($A286:AC286), Source!$E286, "")</f>
        <v/>
      </c>
      <c r="AD286" s="2" t="str">
        <f>IF(Source!$C286&gt;=COLUMNS($A286:AD286), Source!$E286, "")</f>
        <v/>
      </c>
      <c r="AE286" s="2" t="str">
        <f>IF(Source!$C286&gt;=COLUMNS($A286:AE286), Source!$E286, "")</f>
        <v/>
      </c>
      <c r="AF286" s="2" t="str">
        <f>IF(Source!$C286&gt;=COLUMNS($A286:AF286), Source!$E286, "")</f>
        <v/>
      </c>
      <c r="AG286" s="2" t="str">
        <f>IF(Source!$C286&gt;=COLUMNS($A286:AG286), Source!$E286, "")</f>
        <v/>
      </c>
      <c r="AH286" s="2" t="str">
        <f>IF(Source!$C286&gt;=COLUMNS($A286:AH286), Source!$E286, "")</f>
        <v/>
      </c>
      <c r="AI286" s="2" t="str">
        <f>IF(Source!$C286&gt;=COLUMNS($A286:AI286), Source!$E286, "")</f>
        <v/>
      </c>
      <c r="AJ286" s="2" t="str">
        <f>IF(Source!$C286&gt;=COLUMNS($A286:AJ286), Source!$E286, "")</f>
        <v/>
      </c>
      <c r="AK286" s="2" t="str">
        <f>IF(Source!$C286&gt;=COLUMNS($A286:AK286), Source!$E286, "")</f>
        <v/>
      </c>
      <c r="AL286" s="2" t="str">
        <f>IF(Source!$C286&gt;=COLUMNS($A286:AL286), Source!$E286, "")</f>
        <v/>
      </c>
      <c r="AM286" s="2" t="str">
        <f>IF(Source!$C286&gt;=COLUMNS($A286:AM286), Source!$E286, "")</f>
        <v/>
      </c>
      <c r="AN286" s="2" t="str">
        <f>IF(Source!$C286&gt;=COLUMNS($A286:AN286), Source!$E286, "")</f>
        <v/>
      </c>
      <c r="AO286" s="2" t="str">
        <f>IF(Source!$C286&gt;=COLUMNS($A286:AO286), Source!$E286, "")</f>
        <v/>
      </c>
      <c r="AP286" s="2" t="str">
        <f>IF(Source!$C286&gt;=COLUMNS($A286:AP286), Source!$E286, "")</f>
        <v/>
      </c>
      <c r="AQ286" s="2" t="str">
        <f>IF(Source!$C286&gt;=COLUMNS($A286:AQ286), Source!$E286, "")</f>
        <v/>
      </c>
      <c r="AR286" s="2" t="str">
        <f>IF(Source!$C286&gt;=COLUMNS($A286:AR286), Source!$E286, "")</f>
        <v/>
      </c>
    </row>
    <row r="287">
      <c r="A287" s="2">
        <f>IF(Source!$C287&gt;=COLUMNS($A287:A287), Source!$E287, "")</f>
        <v>4</v>
      </c>
      <c r="B287" s="2">
        <f>IF(Source!$C287&gt;=COLUMNS($A287:B287), Source!$E287, "")</f>
        <v>4</v>
      </c>
      <c r="C287" s="2" t="str">
        <f>IF(Source!$C287&gt;=COLUMNS($A287:C287), Source!$E287, "")</f>
        <v/>
      </c>
      <c r="D287" s="2" t="str">
        <f>IF(Source!$C287&gt;=COLUMNS($A287:D287), Source!$E287, "")</f>
        <v/>
      </c>
      <c r="E287" s="2" t="str">
        <f>IF(Source!$C287&gt;=COLUMNS($A287:E287), Source!$E287, "")</f>
        <v/>
      </c>
      <c r="F287" s="2" t="str">
        <f>IF(Source!$C287&gt;=COLUMNS($A287:F287), Source!$E287, "")</f>
        <v/>
      </c>
      <c r="G287" s="2" t="str">
        <f>IF(Source!$C287&gt;=COLUMNS($A287:G287), Source!$E287, "")</f>
        <v/>
      </c>
      <c r="H287" s="2" t="str">
        <f>IF(Source!$C287&gt;=COLUMNS($A287:H287), Source!$E287, "")</f>
        <v/>
      </c>
      <c r="I287" s="2" t="str">
        <f>IF(Source!$C287&gt;=COLUMNS($A287:I287), Source!$E287, "")</f>
        <v/>
      </c>
      <c r="J287" s="2" t="str">
        <f>IF(Source!$C287&gt;=COLUMNS($A287:J287), Source!$E287, "")</f>
        <v/>
      </c>
      <c r="K287" s="2" t="str">
        <f>IF(Source!$C287&gt;=COLUMNS($A287:K287), Source!$E287, "")</f>
        <v/>
      </c>
      <c r="L287" s="2" t="str">
        <f>IF(Source!$C287&gt;=COLUMNS($A287:L287), Source!$E287, "")</f>
        <v/>
      </c>
      <c r="M287" s="2" t="str">
        <f>IF(Source!$C287&gt;=COLUMNS($A287:M287), Source!$E287, "")</f>
        <v/>
      </c>
      <c r="N287" s="2" t="str">
        <f>IF(Source!$C287&gt;=COLUMNS($A287:N287), Source!$E287, "")</f>
        <v/>
      </c>
      <c r="O287" s="2" t="str">
        <f>IF(Source!$C287&gt;=COLUMNS($A287:O287), Source!$E287, "")</f>
        <v/>
      </c>
      <c r="P287" s="2" t="str">
        <f>IF(Source!$C287&gt;=COLUMNS($A287:P287), Source!$E287, "")</f>
        <v/>
      </c>
      <c r="Q287" s="2" t="str">
        <f>IF(Source!$C287&gt;=COLUMNS($A287:Q287), Source!$E287, "")</f>
        <v/>
      </c>
      <c r="R287" s="2" t="str">
        <f>IF(Source!$C287&gt;=COLUMNS($A287:R287), Source!$E287, "")</f>
        <v/>
      </c>
      <c r="S287" s="2" t="str">
        <f>IF(Source!$C287&gt;=COLUMNS($A287:S287), Source!$E287, "")</f>
        <v/>
      </c>
      <c r="T287" s="2" t="str">
        <f>IF(Source!$C287&gt;=COLUMNS($A287:T287), Source!$E287, "")</f>
        <v/>
      </c>
      <c r="U287" s="2" t="str">
        <f>IF(Source!$C287&gt;=COLUMNS($A287:U287), Source!$E287, "")</f>
        <v/>
      </c>
      <c r="V287" s="2" t="str">
        <f>IF(Source!$C287&gt;=COLUMNS($A287:V287), Source!$E287, "")</f>
        <v/>
      </c>
      <c r="W287" s="2" t="str">
        <f>IF(Source!$C287&gt;=COLUMNS($A287:W287), Source!$E287, "")</f>
        <v/>
      </c>
      <c r="X287" s="2" t="str">
        <f>IF(Source!$C287&gt;=COLUMNS($A287:X287), Source!$E287, "")</f>
        <v/>
      </c>
      <c r="Y287" s="2" t="str">
        <f>IF(Source!$C287&gt;=COLUMNS($A287:Y287), Source!$E287, "")</f>
        <v/>
      </c>
      <c r="Z287" s="2" t="str">
        <f>IF(Source!$C287&gt;=COLUMNS($A287:Z287), Source!$E287, "")</f>
        <v/>
      </c>
      <c r="AA287" s="2" t="str">
        <f>IF(Source!$C287&gt;=COLUMNS($A287:AA287), Source!$E287, "")</f>
        <v/>
      </c>
      <c r="AB287" s="2" t="str">
        <f>IF(Source!$C287&gt;=COLUMNS($A287:AB287), Source!$E287, "")</f>
        <v/>
      </c>
      <c r="AC287" s="2" t="str">
        <f>IF(Source!$C287&gt;=COLUMNS($A287:AC287), Source!$E287, "")</f>
        <v/>
      </c>
      <c r="AD287" s="2" t="str">
        <f>IF(Source!$C287&gt;=COLUMNS($A287:AD287), Source!$E287, "")</f>
        <v/>
      </c>
      <c r="AE287" s="2" t="str">
        <f>IF(Source!$C287&gt;=COLUMNS($A287:AE287), Source!$E287, "")</f>
        <v/>
      </c>
      <c r="AF287" s="2" t="str">
        <f>IF(Source!$C287&gt;=COLUMNS($A287:AF287), Source!$E287, "")</f>
        <v/>
      </c>
      <c r="AG287" s="2" t="str">
        <f>IF(Source!$C287&gt;=COLUMNS($A287:AG287), Source!$E287, "")</f>
        <v/>
      </c>
      <c r="AH287" s="2" t="str">
        <f>IF(Source!$C287&gt;=COLUMNS($A287:AH287), Source!$E287, "")</f>
        <v/>
      </c>
      <c r="AI287" s="2" t="str">
        <f>IF(Source!$C287&gt;=COLUMNS($A287:AI287), Source!$E287, "")</f>
        <v/>
      </c>
      <c r="AJ287" s="2" t="str">
        <f>IF(Source!$C287&gt;=COLUMNS($A287:AJ287), Source!$E287, "")</f>
        <v/>
      </c>
      <c r="AK287" s="2" t="str">
        <f>IF(Source!$C287&gt;=COLUMNS($A287:AK287), Source!$E287, "")</f>
        <v/>
      </c>
      <c r="AL287" s="2" t="str">
        <f>IF(Source!$C287&gt;=COLUMNS($A287:AL287), Source!$E287, "")</f>
        <v/>
      </c>
      <c r="AM287" s="2" t="str">
        <f>IF(Source!$C287&gt;=COLUMNS($A287:AM287), Source!$E287, "")</f>
        <v/>
      </c>
      <c r="AN287" s="2" t="str">
        <f>IF(Source!$C287&gt;=COLUMNS($A287:AN287), Source!$E287, "")</f>
        <v/>
      </c>
      <c r="AO287" s="2" t="str">
        <f>IF(Source!$C287&gt;=COLUMNS($A287:AO287), Source!$E287, "")</f>
        <v/>
      </c>
      <c r="AP287" s="2" t="str">
        <f>IF(Source!$C287&gt;=COLUMNS($A287:AP287), Source!$E287, "")</f>
        <v/>
      </c>
      <c r="AQ287" s="2" t="str">
        <f>IF(Source!$C287&gt;=COLUMNS($A287:AQ287), Source!$E287, "")</f>
        <v/>
      </c>
      <c r="AR287" s="2" t="str">
        <f>IF(Source!$C287&gt;=COLUMNS($A287:AR287), Source!$E287, "")</f>
        <v/>
      </c>
    </row>
    <row r="288">
      <c r="A288" s="2">
        <f>IF(Source!$C288&gt;=COLUMNS($A288:A288), Source!$E288, "")</f>
        <v>6</v>
      </c>
      <c r="B288" s="2">
        <f>IF(Source!$C288&gt;=COLUMNS($A288:B288), Source!$E288, "")</f>
        <v>6</v>
      </c>
      <c r="C288" s="2">
        <f>IF(Source!$C288&gt;=COLUMNS($A288:C288), Source!$E288, "")</f>
        <v>6</v>
      </c>
      <c r="D288" s="2">
        <f>IF(Source!$C288&gt;=COLUMNS($A288:D288), Source!$E288, "")</f>
        <v>6</v>
      </c>
      <c r="E288" s="2">
        <f>IF(Source!$C288&gt;=COLUMNS($A288:E288), Source!$E288, "")</f>
        <v>6</v>
      </c>
      <c r="F288" s="2">
        <f>IF(Source!$C288&gt;=COLUMNS($A288:F288), Source!$E288, "")</f>
        <v>6</v>
      </c>
      <c r="G288" s="2">
        <f>IF(Source!$C288&gt;=COLUMNS($A288:G288), Source!$E288, "")</f>
        <v>6</v>
      </c>
      <c r="H288" s="2">
        <f>IF(Source!$C288&gt;=COLUMNS($A288:H288), Source!$E288, "")</f>
        <v>6</v>
      </c>
      <c r="I288" s="2">
        <f>IF(Source!$C288&gt;=COLUMNS($A288:I288), Source!$E288, "")</f>
        <v>6</v>
      </c>
      <c r="J288" s="2">
        <f>IF(Source!$C288&gt;=COLUMNS($A288:J288), Source!$E288, "")</f>
        <v>6</v>
      </c>
      <c r="K288" s="2">
        <f>IF(Source!$C288&gt;=COLUMNS($A288:K288), Source!$E288, "")</f>
        <v>6</v>
      </c>
      <c r="L288" s="2">
        <f>IF(Source!$C288&gt;=COLUMNS($A288:L288), Source!$E288, "")</f>
        <v>6</v>
      </c>
      <c r="M288" s="2">
        <f>IF(Source!$C288&gt;=COLUMNS($A288:M288), Source!$E288, "")</f>
        <v>6</v>
      </c>
      <c r="N288" s="2">
        <f>IF(Source!$C288&gt;=COLUMNS($A288:N288), Source!$E288, "")</f>
        <v>6</v>
      </c>
      <c r="O288" s="2" t="str">
        <f>IF(Source!$C288&gt;=COLUMNS($A288:O288), Source!$E288, "")</f>
        <v/>
      </c>
      <c r="P288" s="2" t="str">
        <f>IF(Source!$C288&gt;=COLUMNS($A288:P288), Source!$E288, "")</f>
        <v/>
      </c>
      <c r="Q288" s="2" t="str">
        <f>IF(Source!$C288&gt;=COLUMNS($A288:Q288), Source!$E288, "")</f>
        <v/>
      </c>
      <c r="R288" s="2" t="str">
        <f>IF(Source!$C288&gt;=COLUMNS($A288:R288), Source!$E288, "")</f>
        <v/>
      </c>
      <c r="S288" s="2" t="str">
        <f>IF(Source!$C288&gt;=COLUMNS($A288:S288), Source!$E288, "")</f>
        <v/>
      </c>
      <c r="T288" s="2" t="str">
        <f>IF(Source!$C288&gt;=COLUMNS($A288:T288), Source!$E288, "")</f>
        <v/>
      </c>
      <c r="U288" s="2" t="str">
        <f>IF(Source!$C288&gt;=COLUMNS($A288:U288), Source!$E288, "")</f>
        <v/>
      </c>
      <c r="V288" s="2" t="str">
        <f>IF(Source!$C288&gt;=COLUMNS($A288:V288), Source!$E288, "")</f>
        <v/>
      </c>
      <c r="W288" s="2" t="str">
        <f>IF(Source!$C288&gt;=COLUMNS($A288:W288), Source!$E288, "")</f>
        <v/>
      </c>
      <c r="X288" s="2" t="str">
        <f>IF(Source!$C288&gt;=COLUMNS($A288:X288), Source!$E288, "")</f>
        <v/>
      </c>
      <c r="Y288" s="2" t="str">
        <f>IF(Source!$C288&gt;=COLUMNS($A288:Y288), Source!$E288, "")</f>
        <v/>
      </c>
      <c r="Z288" s="2" t="str">
        <f>IF(Source!$C288&gt;=COLUMNS($A288:Z288), Source!$E288, "")</f>
        <v/>
      </c>
      <c r="AA288" s="2" t="str">
        <f>IF(Source!$C288&gt;=COLUMNS($A288:AA288), Source!$E288, "")</f>
        <v/>
      </c>
      <c r="AB288" s="2" t="str">
        <f>IF(Source!$C288&gt;=COLUMNS($A288:AB288), Source!$E288, "")</f>
        <v/>
      </c>
      <c r="AC288" s="2" t="str">
        <f>IF(Source!$C288&gt;=COLUMNS($A288:AC288), Source!$E288, "")</f>
        <v/>
      </c>
      <c r="AD288" s="2" t="str">
        <f>IF(Source!$C288&gt;=COLUMNS($A288:AD288), Source!$E288, "")</f>
        <v/>
      </c>
      <c r="AE288" s="2" t="str">
        <f>IF(Source!$C288&gt;=COLUMNS($A288:AE288), Source!$E288, "")</f>
        <v/>
      </c>
      <c r="AF288" s="2" t="str">
        <f>IF(Source!$C288&gt;=COLUMNS($A288:AF288), Source!$E288, "")</f>
        <v/>
      </c>
      <c r="AG288" s="2" t="str">
        <f>IF(Source!$C288&gt;=COLUMNS($A288:AG288), Source!$E288, "")</f>
        <v/>
      </c>
      <c r="AH288" s="2" t="str">
        <f>IF(Source!$C288&gt;=COLUMNS($A288:AH288), Source!$E288, "")</f>
        <v/>
      </c>
      <c r="AI288" s="2" t="str">
        <f>IF(Source!$C288&gt;=COLUMNS($A288:AI288), Source!$E288, "")</f>
        <v/>
      </c>
      <c r="AJ288" s="2" t="str">
        <f>IF(Source!$C288&gt;=COLUMNS($A288:AJ288), Source!$E288, "")</f>
        <v/>
      </c>
      <c r="AK288" s="2" t="str">
        <f>IF(Source!$C288&gt;=COLUMNS($A288:AK288), Source!$E288, "")</f>
        <v/>
      </c>
      <c r="AL288" s="2" t="str">
        <f>IF(Source!$C288&gt;=COLUMNS($A288:AL288), Source!$E288, "")</f>
        <v/>
      </c>
      <c r="AM288" s="2" t="str">
        <f>IF(Source!$C288&gt;=COLUMNS($A288:AM288), Source!$E288, "")</f>
        <v/>
      </c>
      <c r="AN288" s="2" t="str">
        <f>IF(Source!$C288&gt;=COLUMNS($A288:AN288), Source!$E288, "")</f>
        <v/>
      </c>
      <c r="AO288" s="2" t="str">
        <f>IF(Source!$C288&gt;=COLUMNS($A288:AO288), Source!$E288, "")</f>
        <v/>
      </c>
      <c r="AP288" s="2" t="str">
        <f>IF(Source!$C288&gt;=COLUMNS($A288:AP288), Source!$E288, "")</f>
        <v/>
      </c>
      <c r="AQ288" s="2" t="str">
        <f>IF(Source!$C288&gt;=COLUMNS($A288:AQ288), Source!$E288, "")</f>
        <v/>
      </c>
      <c r="AR288" s="2" t="str">
        <f>IF(Source!$C288&gt;=COLUMNS($A288:AR288), Source!$E288, "")</f>
        <v/>
      </c>
    </row>
    <row r="289">
      <c r="A289" s="2">
        <f>IF(Source!$C289&gt;=COLUMNS($A289:A289), Source!$E289, "")</f>
        <v>5</v>
      </c>
      <c r="B289" s="2">
        <f>IF(Source!$C289&gt;=COLUMNS($A289:B289), Source!$E289, "")</f>
        <v>5</v>
      </c>
      <c r="C289" s="2">
        <f>IF(Source!$C289&gt;=COLUMNS($A289:C289), Source!$E289, "")</f>
        <v>5</v>
      </c>
      <c r="D289" s="2">
        <f>IF(Source!$C289&gt;=COLUMNS($A289:D289), Source!$E289, "")</f>
        <v>5</v>
      </c>
      <c r="E289" s="2">
        <f>IF(Source!$C289&gt;=COLUMNS($A289:E289), Source!$E289, "")</f>
        <v>5</v>
      </c>
      <c r="F289" s="2">
        <f>IF(Source!$C289&gt;=COLUMNS($A289:F289), Source!$E289, "")</f>
        <v>5</v>
      </c>
      <c r="G289" s="2" t="str">
        <f>IF(Source!$C289&gt;=COLUMNS($A289:G289), Source!$E289, "")</f>
        <v/>
      </c>
      <c r="H289" s="2" t="str">
        <f>IF(Source!$C289&gt;=COLUMNS($A289:H289), Source!$E289, "")</f>
        <v/>
      </c>
      <c r="I289" s="2" t="str">
        <f>IF(Source!$C289&gt;=COLUMNS($A289:I289), Source!$E289, "")</f>
        <v/>
      </c>
      <c r="J289" s="2" t="str">
        <f>IF(Source!$C289&gt;=COLUMNS($A289:J289), Source!$E289, "")</f>
        <v/>
      </c>
      <c r="K289" s="2" t="str">
        <f>IF(Source!$C289&gt;=COLUMNS($A289:K289), Source!$E289, "")</f>
        <v/>
      </c>
      <c r="L289" s="2" t="str">
        <f>IF(Source!$C289&gt;=COLUMNS($A289:L289), Source!$E289, "")</f>
        <v/>
      </c>
      <c r="M289" s="2" t="str">
        <f>IF(Source!$C289&gt;=COLUMNS($A289:M289), Source!$E289, "")</f>
        <v/>
      </c>
      <c r="N289" s="2" t="str">
        <f>IF(Source!$C289&gt;=COLUMNS($A289:N289), Source!$E289, "")</f>
        <v/>
      </c>
      <c r="O289" s="2" t="str">
        <f>IF(Source!$C289&gt;=COLUMNS($A289:O289), Source!$E289, "")</f>
        <v/>
      </c>
      <c r="P289" s="2" t="str">
        <f>IF(Source!$C289&gt;=COLUMNS($A289:P289), Source!$E289, "")</f>
        <v/>
      </c>
      <c r="Q289" s="2" t="str">
        <f>IF(Source!$C289&gt;=COLUMNS($A289:Q289), Source!$E289, "")</f>
        <v/>
      </c>
      <c r="R289" s="2" t="str">
        <f>IF(Source!$C289&gt;=COLUMNS($A289:R289), Source!$E289, "")</f>
        <v/>
      </c>
      <c r="S289" s="2" t="str">
        <f>IF(Source!$C289&gt;=COLUMNS($A289:S289), Source!$E289, "")</f>
        <v/>
      </c>
      <c r="T289" s="2" t="str">
        <f>IF(Source!$C289&gt;=COLUMNS($A289:T289), Source!$E289, "")</f>
        <v/>
      </c>
      <c r="U289" s="2" t="str">
        <f>IF(Source!$C289&gt;=COLUMNS($A289:U289), Source!$E289, "")</f>
        <v/>
      </c>
      <c r="V289" s="2" t="str">
        <f>IF(Source!$C289&gt;=COLUMNS($A289:V289), Source!$E289, "")</f>
        <v/>
      </c>
      <c r="W289" s="2" t="str">
        <f>IF(Source!$C289&gt;=COLUMNS($A289:W289), Source!$E289, "")</f>
        <v/>
      </c>
      <c r="X289" s="2" t="str">
        <f>IF(Source!$C289&gt;=COLUMNS($A289:X289), Source!$E289, "")</f>
        <v/>
      </c>
      <c r="Y289" s="2" t="str">
        <f>IF(Source!$C289&gt;=COLUMNS($A289:Y289), Source!$E289, "")</f>
        <v/>
      </c>
      <c r="Z289" s="2" t="str">
        <f>IF(Source!$C289&gt;=COLUMNS($A289:Z289), Source!$E289, "")</f>
        <v/>
      </c>
      <c r="AA289" s="2" t="str">
        <f>IF(Source!$C289&gt;=COLUMNS($A289:AA289), Source!$E289, "")</f>
        <v/>
      </c>
      <c r="AB289" s="2" t="str">
        <f>IF(Source!$C289&gt;=COLUMNS($A289:AB289), Source!$E289, "")</f>
        <v/>
      </c>
      <c r="AC289" s="2" t="str">
        <f>IF(Source!$C289&gt;=COLUMNS($A289:AC289), Source!$E289, "")</f>
        <v/>
      </c>
      <c r="AD289" s="2" t="str">
        <f>IF(Source!$C289&gt;=COLUMNS($A289:AD289), Source!$E289, "")</f>
        <v/>
      </c>
      <c r="AE289" s="2" t="str">
        <f>IF(Source!$C289&gt;=COLUMNS($A289:AE289), Source!$E289, "")</f>
        <v/>
      </c>
      <c r="AF289" s="2" t="str">
        <f>IF(Source!$C289&gt;=COLUMNS($A289:AF289), Source!$E289, "")</f>
        <v/>
      </c>
      <c r="AG289" s="2" t="str">
        <f>IF(Source!$C289&gt;=COLUMNS($A289:AG289), Source!$E289, "")</f>
        <v/>
      </c>
      <c r="AH289" s="2" t="str">
        <f>IF(Source!$C289&gt;=COLUMNS($A289:AH289), Source!$E289, "")</f>
        <v/>
      </c>
      <c r="AI289" s="2" t="str">
        <f>IF(Source!$C289&gt;=COLUMNS($A289:AI289), Source!$E289, "")</f>
        <v/>
      </c>
      <c r="AJ289" s="2" t="str">
        <f>IF(Source!$C289&gt;=COLUMNS($A289:AJ289), Source!$E289, "")</f>
        <v/>
      </c>
      <c r="AK289" s="2" t="str">
        <f>IF(Source!$C289&gt;=COLUMNS($A289:AK289), Source!$E289, "")</f>
        <v/>
      </c>
      <c r="AL289" s="2" t="str">
        <f>IF(Source!$C289&gt;=COLUMNS($A289:AL289), Source!$E289, "")</f>
        <v/>
      </c>
      <c r="AM289" s="2" t="str">
        <f>IF(Source!$C289&gt;=COLUMNS($A289:AM289), Source!$E289, "")</f>
        <v/>
      </c>
      <c r="AN289" s="2" t="str">
        <f>IF(Source!$C289&gt;=COLUMNS($A289:AN289), Source!$E289, "")</f>
        <v/>
      </c>
      <c r="AO289" s="2" t="str">
        <f>IF(Source!$C289&gt;=COLUMNS($A289:AO289), Source!$E289, "")</f>
        <v/>
      </c>
      <c r="AP289" s="2" t="str">
        <f>IF(Source!$C289&gt;=COLUMNS($A289:AP289), Source!$E289, "")</f>
        <v/>
      </c>
      <c r="AQ289" s="2" t="str">
        <f>IF(Source!$C289&gt;=COLUMNS($A289:AQ289), Source!$E289, "")</f>
        <v/>
      </c>
      <c r="AR289" s="2" t="str">
        <f>IF(Source!$C289&gt;=COLUMNS($A289:AR289), Source!$E289, "")</f>
        <v/>
      </c>
    </row>
    <row r="290">
      <c r="A290" s="2">
        <f>IF(Source!$C290&gt;=COLUMNS($A290:A290), Source!$E290, "")</f>
        <v>5</v>
      </c>
      <c r="B290" s="2" t="str">
        <f>IF(Source!$C290&gt;=COLUMNS($A290:B290), Source!$E290, "")</f>
        <v/>
      </c>
      <c r="C290" s="2" t="str">
        <f>IF(Source!$C290&gt;=COLUMNS($A290:C290), Source!$E290, "")</f>
        <v/>
      </c>
      <c r="D290" s="2" t="str">
        <f>IF(Source!$C290&gt;=COLUMNS($A290:D290), Source!$E290, "")</f>
        <v/>
      </c>
      <c r="E290" s="2" t="str">
        <f>IF(Source!$C290&gt;=COLUMNS($A290:E290), Source!$E290, "")</f>
        <v/>
      </c>
      <c r="F290" s="2" t="str">
        <f>IF(Source!$C290&gt;=COLUMNS($A290:F290), Source!$E290, "")</f>
        <v/>
      </c>
      <c r="G290" s="2" t="str">
        <f>IF(Source!$C290&gt;=COLUMNS($A290:G290), Source!$E290, "")</f>
        <v/>
      </c>
      <c r="H290" s="2" t="str">
        <f>IF(Source!$C290&gt;=COLUMNS($A290:H290), Source!$E290, "")</f>
        <v/>
      </c>
      <c r="I290" s="2" t="str">
        <f>IF(Source!$C290&gt;=COLUMNS($A290:I290), Source!$E290, "")</f>
        <v/>
      </c>
      <c r="J290" s="2" t="str">
        <f>IF(Source!$C290&gt;=COLUMNS($A290:J290), Source!$E290, "")</f>
        <v/>
      </c>
      <c r="K290" s="2" t="str">
        <f>IF(Source!$C290&gt;=COLUMNS($A290:K290), Source!$E290, "")</f>
        <v/>
      </c>
      <c r="L290" s="2" t="str">
        <f>IF(Source!$C290&gt;=COLUMNS($A290:L290), Source!$E290, "")</f>
        <v/>
      </c>
      <c r="M290" s="2" t="str">
        <f>IF(Source!$C290&gt;=COLUMNS($A290:M290), Source!$E290, "")</f>
        <v/>
      </c>
      <c r="N290" s="2" t="str">
        <f>IF(Source!$C290&gt;=COLUMNS($A290:N290), Source!$E290, "")</f>
        <v/>
      </c>
      <c r="O290" s="2" t="str">
        <f>IF(Source!$C290&gt;=COLUMNS($A290:O290), Source!$E290, "")</f>
        <v/>
      </c>
      <c r="P290" s="2" t="str">
        <f>IF(Source!$C290&gt;=COLUMNS($A290:P290), Source!$E290, "")</f>
        <v/>
      </c>
      <c r="Q290" s="2" t="str">
        <f>IF(Source!$C290&gt;=COLUMNS($A290:Q290), Source!$E290, "")</f>
        <v/>
      </c>
      <c r="R290" s="2" t="str">
        <f>IF(Source!$C290&gt;=COLUMNS($A290:R290), Source!$E290, "")</f>
        <v/>
      </c>
      <c r="S290" s="2" t="str">
        <f>IF(Source!$C290&gt;=COLUMNS($A290:S290), Source!$E290, "")</f>
        <v/>
      </c>
      <c r="T290" s="2" t="str">
        <f>IF(Source!$C290&gt;=COLUMNS($A290:T290), Source!$E290, "")</f>
        <v/>
      </c>
      <c r="U290" s="2" t="str">
        <f>IF(Source!$C290&gt;=COLUMNS($A290:U290), Source!$E290, "")</f>
        <v/>
      </c>
      <c r="V290" s="2" t="str">
        <f>IF(Source!$C290&gt;=COLUMNS($A290:V290), Source!$E290, "")</f>
        <v/>
      </c>
      <c r="W290" s="2" t="str">
        <f>IF(Source!$C290&gt;=COLUMNS($A290:W290), Source!$E290, "")</f>
        <v/>
      </c>
      <c r="X290" s="2" t="str">
        <f>IF(Source!$C290&gt;=COLUMNS($A290:X290), Source!$E290, "")</f>
        <v/>
      </c>
      <c r="Y290" s="2" t="str">
        <f>IF(Source!$C290&gt;=COLUMNS($A290:Y290), Source!$E290, "")</f>
        <v/>
      </c>
      <c r="Z290" s="2" t="str">
        <f>IF(Source!$C290&gt;=COLUMNS($A290:Z290), Source!$E290, "")</f>
        <v/>
      </c>
      <c r="AA290" s="2" t="str">
        <f>IF(Source!$C290&gt;=COLUMNS($A290:AA290), Source!$E290, "")</f>
        <v/>
      </c>
      <c r="AB290" s="2" t="str">
        <f>IF(Source!$C290&gt;=COLUMNS($A290:AB290), Source!$E290, "")</f>
        <v/>
      </c>
      <c r="AC290" s="2" t="str">
        <f>IF(Source!$C290&gt;=COLUMNS($A290:AC290), Source!$E290, "")</f>
        <v/>
      </c>
      <c r="AD290" s="2" t="str">
        <f>IF(Source!$C290&gt;=COLUMNS($A290:AD290), Source!$E290, "")</f>
        <v/>
      </c>
      <c r="AE290" s="2" t="str">
        <f>IF(Source!$C290&gt;=COLUMNS($A290:AE290), Source!$E290, "")</f>
        <v/>
      </c>
      <c r="AF290" s="2" t="str">
        <f>IF(Source!$C290&gt;=COLUMNS($A290:AF290), Source!$E290, "")</f>
        <v/>
      </c>
      <c r="AG290" s="2" t="str">
        <f>IF(Source!$C290&gt;=COLUMNS($A290:AG290), Source!$E290, "")</f>
        <v/>
      </c>
      <c r="AH290" s="2" t="str">
        <f>IF(Source!$C290&gt;=COLUMNS($A290:AH290), Source!$E290, "")</f>
        <v/>
      </c>
      <c r="AI290" s="2" t="str">
        <f>IF(Source!$C290&gt;=COLUMNS($A290:AI290), Source!$E290, "")</f>
        <v/>
      </c>
      <c r="AJ290" s="2" t="str">
        <f>IF(Source!$C290&gt;=COLUMNS($A290:AJ290), Source!$E290, "")</f>
        <v/>
      </c>
      <c r="AK290" s="2" t="str">
        <f>IF(Source!$C290&gt;=COLUMNS($A290:AK290), Source!$E290, "")</f>
        <v/>
      </c>
      <c r="AL290" s="2" t="str">
        <f>IF(Source!$C290&gt;=COLUMNS($A290:AL290), Source!$E290, "")</f>
        <v/>
      </c>
      <c r="AM290" s="2" t="str">
        <f>IF(Source!$C290&gt;=COLUMNS($A290:AM290), Source!$E290, "")</f>
        <v/>
      </c>
      <c r="AN290" s="2" t="str">
        <f>IF(Source!$C290&gt;=COLUMNS($A290:AN290), Source!$E290, "")</f>
        <v/>
      </c>
      <c r="AO290" s="2" t="str">
        <f>IF(Source!$C290&gt;=COLUMNS($A290:AO290), Source!$E290, "")</f>
        <v/>
      </c>
      <c r="AP290" s="2" t="str">
        <f>IF(Source!$C290&gt;=COLUMNS($A290:AP290), Source!$E290, "")</f>
        <v/>
      </c>
      <c r="AQ290" s="2" t="str">
        <f>IF(Source!$C290&gt;=COLUMNS($A290:AQ290), Source!$E290, "")</f>
        <v/>
      </c>
      <c r="AR290" s="2" t="str">
        <f>IF(Source!$C290&gt;=COLUMNS($A290:AR290), Source!$E290, "")</f>
        <v/>
      </c>
    </row>
    <row r="291">
      <c r="A291" s="2">
        <f>IF(Source!$C291&gt;=COLUMNS($A291:A291), Source!$E291, "")</f>
        <v>1</v>
      </c>
      <c r="B291" s="2">
        <f>IF(Source!$C291&gt;=COLUMNS($A291:B291), Source!$E291, "")</f>
        <v>1</v>
      </c>
      <c r="C291" s="2">
        <f>IF(Source!$C291&gt;=COLUMNS($A291:C291), Source!$E291, "")</f>
        <v>1</v>
      </c>
      <c r="D291" s="2">
        <f>IF(Source!$C291&gt;=COLUMNS($A291:D291), Source!$E291, "")</f>
        <v>1</v>
      </c>
      <c r="E291" s="2">
        <f>IF(Source!$C291&gt;=COLUMNS($A291:E291), Source!$E291, "")</f>
        <v>1</v>
      </c>
      <c r="F291" s="2">
        <f>IF(Source!$C291&gt;=COLUMNS($A291:F291), Source!$E291, "")</f>
        <v>1</v>
      </c>
      <c r="G291" s="2">
        <f>IF(Source!$C291&gt;=COLUMNS($A291:G291), Source!$E291, "")</f>
        <v>1</v>
      </c>
      <c r="H291" s="2" t="str">
        <f>IF(Source!$C291&gt;=COLUMNS($A291:H291), Source!$E291, "")</f>
        <v/>
      </c>
      <c r="I291" s="2" t="str">
        <f>IF(Source!$C291&gt;=COLUMNS($A291:I291), Source!$E291, "")</f>
        <v/>
      </c>
      <c r="J291" s="2" t="str">
        <f>IF(Source!$C291&gt;=COLUMNS($A291:J291), Source!$E291, "")</f>
        <v/>
      </c>
      <c r="K291" s="2" t="str">
        <f>IF(Source!$C291&gt;=COLUMNS($A291:K291), Source!$E291, "")</f>
        <v/>
      </c>
      <c r="L291" s="2" t="str">
        <f>IF(Source!$C291&gt;=COLUMNS($A291:L291), Source!$E291, "")</f>
        <v/>
      </c>
      <c r="M291" s="2" t="str">
        <f>IF(Source!$C291&gt;=COLUMNS($A291:M291), Source!$E291, "")</f>
        <v/>
      </c>
      <c r="N291" s="2" t="str">
        <f>IF(Source!$C291&gt;=COLUMNS($A291:N291), Source!$E291, "")</f>
        <v/>
      </c>
      <c r="O291" s="2" t="str">
        <f>IF(Source!$C291&gt;=COLUMNS($A291:O291), Source!$E291, "")</f>
        <v/>
      </c>
      <c r="P291" s="2" t="str">
        <f>IF(Source!$C291&gt;=COLUMNS($A291:P291), Source!$E291, "")</f>
        <v/>
      </c>
      <c r="Q291" s="2" t="str">
        <f>IF(Source!$C291&gt;=COLUMNS($A291:Q291), Source!$E291, "")</f>
        <v/>
      </c>
      <c r="R291" s="2" t="str">
        <f>IF(Source!$C291&gt;=COLUMNS($A291:R291), Source!$E291, "")</f>
        <v/>
      </c>
      <c r="S291" s="2" t="str">
        <f>IF(Source!$C291&gt;=COLUMNS($A291:S291), Source!$E291, "")</f>
        <v/>
      </c>
      <c r="T291" s="2" t="str">
        <f>IF(Source!$C291&gt;=COLUMNS($A291:T291), Source!$E291, "")</f>
        <v/>
      </c>
      <c r="U291" s="2" t="str">
        <f>IF(Source!$C291&gt;=COLUMNS($A291:U291), Source!$E291, "")</f>
        <v/>
      </c>
      <c r="V291" s="2" t="str">
        <f>IF(Source!$C291&gt;=COLUMNS($A291:V291), Source!$E291, "")</f>
        <v/>
      </c>
      <c r="W291" s="2" t="str">
        <f>IF(Source!$C291&gt;=COLUMNS($A291:W291), Source!$E291, "")</f>
        <v/>
      </c>
      <c r="X291" s="2" t="str">
        <f>IF(Source!$C291&gt;=COLUMNS($A291:X291), Source!$E291, "")</f>
        <v/>
      </c>
      <c r="Y291" s="2" t="str">
        <f>IF(Source!$C291&gt;=COLUMNS($A291:Y291), Source!$E291, "")</f>
        <v/>
      </c>
      <c r="Z291" s="2" t="str">
        <f>IF(Source!$C291&gt;=COLUMNS($A291:Z291), Source!$E291, "")</f>
        <v/>
      </c>
      <c r="AA291" s="2" t="str">
        <f>IF(Source!$C291&gt;=COLUMNS($A291:AA291), Source!$E291, "")</f>
        <v/>
      </c>
      <c r="AB291" s="2" t="str">
        <f>IF(Source!$C291&gt;=COLUMNS($A291:AB291), Source!$E291, "")</f>
        <v/>
      </c>
      <c r="AC291" s="2" t="str">
        <f>IF(Source!$C291&gt;=COLUMNS($A291:AC291), Source!$E291, "")</f>
        <v/>
      </c>
      <c r="AD291" s="2" t="str">
        <f>IF(Source!$C291&gt;=COLUMNS($A291:AD291), Source!$E291, "")</f>
        <v/>
      </c>
      <c r="AE291" s="2" t="str">
        <f>IF(Source!$C291&gt;=COLUMNS($A291:AE291), Source!$E291, "")</f>
        <v/>
      </c>
      <c r="AF291" s="2" t="str">
        <f>IF(Source!$C291&gt;=COLUMNS($A291:AF291), Source!$E291, "")</f>
        <v/>
      </c>
      <c r="AG291" s="2" t="str">
        <f>IF(Source!$C291&gt;=COLUMNS($A291:AG291), Source!$E291, "")</f>
        <v/>
      </c>
      <c r="AH291" s="2" t="str">
        <f>IF(Source!$C291&gt;=COLUMNS($A291:AH291), Source!$E291, "")</f>
        <v/>
      </c>
      <c r="AI291" s="2" t="str">
        <f>IF(Source!$C291&gt;=COLUMNS($A291:AI291), Source!$E291, "")</f>
        <v/>
      </c>
      <c r="AJ291" s="2" t="str">
        <f>IF(Source!$C291&gt;=COLUMNS($A291:AJ291), Source!$E291, "")</f>
        <v/>
      </c>
      <c r="AK291" s="2" t="str">
        <f>IF(Source!$C291&gt;=COLUMNS($A291:AK291), Source!$E291, "")</f>
        <v/>
      </c>
      <c r="AL291" s="2" t="str">
        <f>IF(Source!$C291&gt;=COLUMNS($A291:AL291), Source!$E291, "")</f>
        <v/>
      </c>
      <c r="AM291" s="2" t="str">
        <f>IF(Source!$C291&gt;=COLUMNS($A291:AM291), Source!$E291, "")</f>
        <v/>
      </c>
      <c r="AN291" s="2" t="str">
        <f>IF(Source!$C291&gt;=COLUMNS($A291:AN291), Source!$E291, "")</f>
        <v/>
      </c>
      <c r="AO291" s="2" t="str">
        <f>IF(Source!$C291&gt;=COLUMNS($A291:AO291), Source!$E291, "")</f>
        <v/>
      </c>
      <c r="AP291" s="2" t="str">
        <f>IF(Source!$C291&gt;=COLUMNS($A291:AP291), Source!$E291, "")</f>
        <v/>
      </c>
      <c r="AQ291" s="2" t="str">
        <f>IF(Source!$C291&gt;=COLUMNS($A291:AQ291), Source!$E291, "")</f>
        <v/>
      </c>
      <c r="AR291" s="2" t="str">
        <f>IF(Source!$C291&gt;=COLUMNS($A291:AR291), Source!$E291, "")</f>
        <v/>
      </c>
    </row>
    <row r="292">
      <c r="A292" s="2">
        <f>IF(Source!$C292&gt;=COLUMNS($A292:A292), Source!$E292, "")</f>
        <v>2</v>
      </c>
      <c r="B292" s="2" t="str">
        <f>IF(Source!$C292&gt;=COLUMNS($A292:B292), Source!$E292, "")</f>
        <v/>
      </c>
      <c r="C292" s="2" t="str">
        <f>IF(Source!$C292&gt;=COLUMNS($A292:C292), Source!$E292, "")</f>
        <v/>
      </c>
      <c r="D292" s="2" t="str">
        <f>IF(Source!$C292&gt;=COLUMNS($A292:D292), Source!$E292, "")</f>
        <v/>
      </c>
      <c r="E292" s="2" t="str">
        <f>IF(Source!$C292&gt;=COLUMNS($A292:E292), Source!$E292, "")</f>
        <v/>
      </c>
      <c r="F292" s="2" t="str">
        <f>IF(Source!$C292&gt;=COLUMNS($A292:F292), Source!$E292, "")</f>
        <v/>
      </c>
      <c r="G292" s="2" t="str">
        <f>IF(Source!$C292&gt;=COLUMNS($A292:G292), Source!$E292, "")</f>
        <v/>
      </c>
      <c r="H292" s="2" t="str">
        <f>IF(Source!$C292&gt;=COLUMNS($A292:H292), Source!$E292, "")</f>
        <v/>
      </c>
      <c r="I292" s="2" t="str">
        <f>IF(Source!$C292&gt;=COLUMNS($A292:I292), Source!$E292, "")</f>
        <v/>
      </c>
      <c r="J292" s="2" t="str">
        <f>IF(Source!$C292&gt;=COLUMNS($A292:J292), Source!$E292, "")</f>
        <v/>
      </c>
      <c r="K292" s="2" t="str">
        <f>IF(Source!$C292&gt;=COLUMNS($A292:K292), Source!$E292, "")</f>
        <v/>
      </c>
      <c r="L292" s="2" t="str">
        <f>IF(Source!$C292&gt;=COLUMNS($A292:L292), Source!$E292, "")</f>
        <v/>
      </c>
      <c r="M292" s="2" t="str">
        <f>IF(Source!$C292&gt;=COLUMNS($A292:M292), Source!$E292, "")</f>
        <v/>
      </c>
      <c r="N292" s="2" t="str">
        <f>IF(Source!$C292&gt;=COLUMNS($A292:N292), Source!$E292, "")</f>
        <v/>
      </c>
      <c r="O292" s="2" t="str">
        <f>IF(Source!$C292&gt;=COLUMNS($A292:O292), Source!$E292, "")</f>
        <v/>
      </c>
      <c r="P292" s="2" t="str">
        <f>IF(Source!$C292&gt;=COLUMNS($A292:P292), Source!$E292, "")</f>
        <v/>
      </c>
      <c r="Q292" s="2" t="str">
        <f>IF(Source!$C292&gt;=COLUMNS($A292:Q292), Source!$E292, "")</f>
        <v/>
      </c>
      <c r="R292" s="2" t="str">
        <f>IF(Source!$C292&gt;=COLUMNS($A292:R292), Source!$E292, "")</f>
        <v/>
      </c>
      <c r="S292" s="2" t="str">
        <f>IF(Source!$C292&gt;=COLUMNS($A292:S292), Source!$E292, "")</f>
        <v/>
      </c>
      <c r="T292" s="2" t="str">
        <f>IF(Source!$C292&gt;=COLUMNS($A292:T292), Source!$E292, "")</f>
        <v/>
      </c>
      <c r="U292" s="2" t="str">
        <f>IF(Source!$C292&gt;=COLUMNS($A292:U292), Source!$E292, "")</f>
        <v/>
      </c>
      <c r="V292" s="2" t="str">
        <f>IF(Source!$C292&gt;=COLUMNS($A292:V292), Source!$E292, "")</f>
        <v/>
      </c>
      <c r="W292" s="2" t="str">
        <f>IF(Source!$C292&gt;=COLUMNS($A292:W292), Source!$E292, "")</f>
        <v/>
      </c>
      <c r="X292" s="2" t="str">
        <f>IF(Source!$C292&gt;=COLUMNS($A292:X292), Source!$E292, "")</f>
        <v/>
      </c>
      <c r="Y292" s="2" t="str">
        <f>IF(Source!$C292&gt;=COLUMNS($A292:Y292), Source!$E292, "")</f>
        <v/>
      </c>
      <c r="Z292" s="2" t="str">
        <f>IF(Source!$C292&gt;=COLUMNS($A292:Z292), Source!$E292, "")</f>
        <v/>
      </c>
      <c r="AA292" s="2" t="str">
        <f>IF(Source!$C292&gt;=COLUMNS($A292:AA292), Source!$E292, "")</f>
        <v/>
      </c>
      <c r="AB292" s="2" t="str">
        <f>IF(Source!$C292&gt;=COLUMNS($A292:AB292), Source!$E292, "")</f>
        <v/>
      </c>
      <c r="AC292" s="2" t="str">
        <f>IF(Source!$C292&gt;=COLUMNS($A292:AC292), Source!$E292, "")</f>
        <v/>
      </c>
      <c r="AD292" s="2" t="str">
        <f>IF(Source!$C292&gt;=COLUMNS($A292:AD292), Source!$E292, "")</f>
        <v/>
      </c>
      <c r="AE292" s="2" t="str">
        <f>IF(Source!$C292&gt;=COLUMNS($A292:AE292), Source!$E292, "")</f>
        <v/>
      </c>
      <c r="AF292" s="2" t="str">
        <f>IF(Source!$C292&gt;=COLUMNS($A292:AF292), Source!$E292, "")</f>
        <v/>
      </c>
      <c r="AG292" s="2" t="str">
        <f>IF(Source!$C292&gt;=COLUMNS($A292:AG292), Source!$E292, "")</f>
        <v/>
      </c>
      <c r="AH292" s="2" t="str">
        <f>IF(Source!$C292&gt;=COLUMNS($A292:AH292), Source!$E292, "")</f>
        <v/>
      </c>
      <c r="AI292" s="2" t="str">
        <f>IF(Source!$C292&gt;=COLUMNS($A292:AI292), Source!$E292, "")</f>
        <v/>
      </c>
      <c r="AJ292" s="2" t="str">
        <f>IF(Source!$C292&gt;=COLUMNS($A292:AJ292), Source!$E292, "")</f>
        <v/>
      </c>
      <c r="AK292" s="2" t="str">
        <f>IF(Source!$C292&gt;=COLUMNS($A292:AK292), Source!$E292, "")</f>
        <v/>
      </c>
      <c r="AL292" s="2" t="str">
        <f>IF(Source!$C292&gt;=COLUMNS($A292:AL292), Source!$E292, "")</f>
        <v/>
      </c>
      <c r="AM292" s="2" t="str">
        <f>IF(Source!$C292&gt;=COLUMNS($A292:AM292), Source!$E292, "")</f>
        <v/>
      </c>
      <c r="AN292" s="2" t="str">
        <f>IF(Source!$C292&gt;=COLUMNS($A292:AN292), Source!$E292, "")</f>
        <v/>
      </c>
      <c r="AO292" s="2" t="str">
        <f>IF(Source!$C292&gt;=COLUMNS($A292:AO292), Source!$E292, "")</f>
        <v/>
      </c>
      <c r="AP292" s="2" t="str">
        <f>IF(Source!$C292&gt;=COLUMNS($A292:AP292), Source!$E292, "")</f>
        <v/>
      </c>
      <c r="AQ292" s="2" t="str">
        <f>IF(Source!$C292&gt;=COLUMNS($A292:AQ292), Source!$E292, "")</f>
        <v/>
      </c>
      <c r="AR292" s="2" t="str">
        <f>IF(Source!$C292&gt;=COLUMNS($A292:AR292), Source!$E292, "")</f>
        <v/>
      </c>
    </row>
    <row r="293">
      <c r="A293" s="2">
        <f>IF(Source!$C293&gt;=COLUMNS($A293:A293), Source!$E293, "")</f>
        <v>6</v>
      </c>
      <c r="B293" s="2">
        <f>IF(Source!$C293&gt;=COLUMNS($A293:B293), Source!$E293, "")</f>
        <v>6</v>
      </c>
      <c r="C293" s="2">
        <f>IF(Source!$C293&gt;=COLUMNS($A293:C293), Source!$E293, "")</f>
        <v>6</v>
      </c>
      <c r="D293" s="2">
        <f>IF(Source!$C293&gt;=COLUMNS($A293:D293), Source!$E293, "")</f>
        <v>6</v>
      </c>
      <c r="E293" s="2" t="str">
        <f>IF(Source!$C293&gt;=COLUMNS($A293:E293), Source!$E293, "")</f>
        <v/>
      </c>
      <c r="F293" s="2" t="str">
        <f>IF(Source!$C293&gt;=COLUMNS($A293:F293), Source!$E293, "")</f>
        <v/>
      </c>
      <c r="G293" s="2" t="str">
        <f>IF(Source!$C293&gt;=COLUMNS($A293:G293), Source!$E293, "")</f>
        <v/>
      </c>
      <c r="H293" s="2" t="str">
        <f>IF(Source!$C293&gt;=COLUMNS($A293:H293), Source!$E293, "")</f>
        <v/>
      </c>
      <c r="I293" s="2" t="str">
        <f>IF(Source!$C293&gt;=COLUMNS($A293:I293), Source!$E293, "")</f>
        <v/>
      </c>
      <c r="J293" s="2" t="str">
        <f>IF(Source!$C293&gt;=COLUMNS($A293:J293), Source!$E293, "")</f>
        <v/>
      </c>
      <c r="K293" s="2" t="str">
        <f>IF(Source!$C293&gt;=COLUMNS($A293:K293), Source!$E293, "")</f>
        <v/>
      </c>
      <c r="L293" s="2" t="str">
        <f>IF(Source!$C293&gt;=COLUMNS($A293:L293), Source!$E293, "")</f>
        <v/>
      </c>
      <c r="M293" s="2" t="str">
        <f>IF(Source!$C293&gt;=COLUMNS($A293:M293), Source!$E293, "")</f>
        <v/>
      </c>
      <c r="N293" s="2" t="str">
        <f>IF(Source!$C293&gt;=COLUMNS($A293:N293), Source!$E293, "")</f>
        <v/>
      </c>
      <c r="O293" s="2" t="str">
        <f>IF(Source!$C293&gt;=COLUMNS($A293:O293), Source!$E293, "")</f>
        <v/>
      </c>
      <c r="P293" s="2" t="str">
        <f>IF(Source!$C293&gt;=COLUMNS($A293:P293), Source!$E293, "")</f>
        <v/>
      </c>
      <c r="Q293" s="2" t="str">
        <f>IF(Source!$C293&gt;=COLUMNS($A293:Q293), Source!$E293, "")</f>
        <v/>
      </c>
      <c r="R293" s="2" t="str">
        <f>IF(Source!$C293&gt;=COLUMNS($A293:R293), Source!$E293, "")</f>
        <v/>
      </c>
      <c r="S293" s="2" t="str">
        <f>IF(Source!$C293&gt;=COLUMNS($A293:S293), Source!$E293, "")</f>
        <v/>
      </c>
      <c r="T293" s="2" t="str">
        <f>IF(Source!$C293&gt;=COLUMNS($A293:T293), Source!$E293, "")</f>
        <v/>
      </c>
      <c r="U293" s="2" t="str">
        <f>IF(Source!$C293&gt;=COLUMNS($A293:U293), Source!$E293, "")</f>
        <v/>
      </c>
      <c r="V293" s="2" t="str">
        <f>IF(Source!$C293&gt;=COLUMNS($A293:V293), Source!$E293, "")</f>
        <v/>
      </c>
      <c r="W293" s="2" t="str">
        <f>IF(Source!$C293&gt;=COLUMNS($A293:W293), Source!$E293, "")</f>
        <v/>
      </c>
      <c r="X293" s="2" t="str">
        <f>IF(Source!$C293&gt;=COLUMNS($A293:X293), Source!$E293, "")</f>
        <v/>
      </c>
      <c r="Y293" s="2" t="str">
        <f>IF(Source!$C293&gt;=COLUMNS($A293:Y293), Source!$E293, "")</f>
        <v/>
      </c>
      <c r="Z293" s="2" t="str">
        <f>IF(Source!$C293&gt;=COLUMNS($A293:Z293), Source!$E293, "")</f>
        <v/>
      </c>
      <c r="AA293" s="2" t="str">
        <f>IF(Source!$C293&gt;=COLUMNS($A293:AA293), Source!$E293, "")</f>
        <v/>
      </c>
      <c r="AB293" s="2" t="str">
        <f>IF(Source!$C293&gt;=COLUMNS($A293:AB293), Source!$E293, "")</f>
        <v/>
      </c>
      <c r="AC293" s="2" t="str">
        <f>IF(Source!$C293&gt;=COLUMNS($A293:AC293), Source!$E293, "")</f>
        <v/>
      </c>
      <c r="AD293" s="2" t="str">
        <f>IF(Source!$C293&gt;=COLUMNS($A293:AD293), Source!$E293, "")</f>
        <v/>
      </c>
      <c r="AE293" s="2" t="str">
        <f>IF(Source!$C293&gt;=COLUMNS($A293:AE293), Source!$E293, "")</f>
        <v/>
      </c>
      <c r="AF293" s="2" t="str">
        <f>IF(Source!$C293&gt;=COLUMNS($A293:AF293), Source!$E293, "")</f>
        <v/>
      </c>
      <c r="AG293" s="2" t="str">
        <f>IF(Source!$C293&gt;=COLUMNS($A293:AG293), Source!$E293, "")</f>
        <v/>
      </c>
      <c r="AH293" s="2" t="str">
        <f>IF(Source!$C293&gt;=COLUMNS($A293:AH293), Source!$E293, "")</f>
        <v/>
      </c>
      <c r="AI293" s="2" t="str">
        <f>IF(Source!$C293&gt;=COLUMNS($A293:AI293), Source!$E293, "")</f>
        <v/>
      </c>
      <c r="AJ293" s="2" t="str">
        <f>IF(Source!$C293&gt;=COLUMNS($A293:AJ293), Source!$E293, "")</f>
        <v/>
      </c>
      <c r="AK293" s="2" t="str">
        <f>IF(Source!$C293&gt;=COLUMNS($A293:AK293), Source!$E293, "")</f>
        <v/>
      </c>
      <c r="AL293" s="2" t="str">
        <f>IF(Source!$C293&gt;=COLUMNS($A293:AL293), Source!$E293, "")</f>
        <v/>
      </c>
      <c r="AM293" s="2" t="str">
        <f>IF(Source!$C293&gt;=COLUMNS($A293:AM293), Source!$E293, "")</f>
        <v/>
      </c>
      <c r="AN293" s="2" t="str">
        <f>IF(Source!$C293&gt;=COLUMNS($A293:AN293), Source!$E293, "")</f>
        <v/>
      </c>
      <c r="AO293" s="2" t="str">
        <f>IF(Source!$C293&gt;=COLUMNS($A293:AO293), Source!$E293, "")</f>
        <v/>
      </c>
      <c r="AP293" s="2" t="str">
        <f>IF(Source!$C293&gt;=COLUMNS($A293:AP293), Source!$E293, "")</f>
        <v/>
      </c>
      <c r="AQ293" s="2" t="str">
        <f>IF(Source!$C293&gt;=COLUMNS($A293:AQ293), Source!$E293, "")</f>
        <v/>
      </c>
      <c r="AR293" s="2" t="str">
        <f>IF(Source!$C293&gt;=COLUMNS($A293:AR293), Source!$E293, "")</f>
        <v/>
      </c>
    </row>
    <row r="294">
      <c r="A294" s="2">
        <f>IF(Source!$C294&gt;=COLUMNS($A294:A294), Source!$E294, "")</f>
        <v>5</v>
      </c>
      <c r="B294" s="2" t="str">
        <f>IF(Source!$C294&gt;=COLUMNS($A294:B294), Source!$E294, "")</f>
        <v/>
      </c>
      <c r="C294" s="2" t="str">
        <f>IF(Source!$C294&gt;=COLUMNS($A294:C294), Source!$E294, "")</f>
        <v/>
      </c>
      <c r="D294" s="2" t="str">
        <f>IF(Source!$C294&gt;=COLUMNS($A294:D294), Source!$E294, "")</f>
        <v/>
      </c>
      <c r="E294" s="2" t="str">
        <f>IF(Source!$C294&gt;=COLUMNS($A294:E294), Source!$E294, "")</f>
        <v/>
      </c>
      <c r="F294" s="2" t="str">
        <f>IF(Source!$C294&gt;=COLUMNS($A294:F294), Source!$E294, "")</f>
        <v/>
      </c>
      <c r="G294" s="2" t="str">
        <f>IF(Source!$C294&gt;=COLUMNS($A294:G294), Source!$E294, "")</f>
        <v/>
      </c>
      <c r="H294" s="2" t="str">
        <f>IF(Source!$C294&gt;=COLUMNS($A294:H294), Source!$E294, "")</f>
        <v/>
      </c>
      <c r="I294" s="2" t="str">
        <f>IF(Source!$C294&gt;=COLUMNS($A294:I294), Source!$E294, "")</f>
        <v/>
      </c>
      <c r="J294" s="2" t="str">
        <f>IF(Source!$C294&gt;=COLUMNS($A294:J294), Source!$E294, "")</f>
        <v/>
      </c>
      <c r="K294" s="2" t="str">
        <f>IF(Source!$C294&gt;=COLUMNS($A294:K294), Source!$E294, "")</f>
        <v/>
      </c>
      <c r="L294" s="2" t="str">
        <f>IF(Source!$C294&gt;=COLUMNS($A294:L294), Source!$E294, "")</f>
        <v/>
      </c>
      <c r="M294" s="2" t="str">
        <f>IF(Source!$C294&gt;=COLUMNS($A294:M294), Source!$E294, "")</f>
        <v/>
      </c>
      <c r="N294" s="2" t="str">
        <f>IF(Source!$C294&gt;=COLUMNS($A294:N294), Source!$E294, "")</f>
        <v/>
      </c>
      <c r="O294" s="2" t="str">
        <f>IF(Source!$C294&gt;=COLUMNS($A294:O294), Source!$E294, "")</f>
        <v/>
      </c>
      <c r="P294" s="2" t="str">
        <f>IF(Source!$C294&gt;=COLUMNS($A294:P294), Source!$E294, "")</f>
        <v/>
      </c>
      <c r="Q294" s="2" t="str">
        <f>IF(Source!$C294&gt;=COLUMNS($A294:Q294), Source!$E294, "")</f>
        <v/>
      </c>
      <c r="R294" s="2" t="str">
        <f>IF(Source!$C294&gt;=COLUMNS($A294:R294), Source!$E294, "")</f>
        <v/>
      </c>
      <c r="S294" s="2" t="str">
        <f>IF(Source!$C294&gt;=COLUMNS($A294:S294), Source!$E294, "")</f>
        <v/>
      </c>
      <c r="T294" s="2" t="str">
        <f>IF(Source!$C294&gt;=COLUMNS($A294:T294), Source!$E294, "")</f>
        <v/>
      </c>
      <c r="U294" s="2" t="str">
        <f>IF(Source!$C294&gt;=COLUMNS($A294:U294), Source!$E294, "")</f>
        <v/>
      </c>
      <c r="V294" s="2" t="str">
        <f>IF(Source!$C294&gt;=COLUMNS($A294:V294), Source!$E294, "")</f>
        <v/>
      </c>
      <c r="W294" s="2" t="str">
        <f>IF(Source!$C294&gt;=COLUMNS($A294:W294), Source!$E294, "")</f>
        <v/>
      </c>
      <c r="X294" s="2" t="str">
        <f>IF(Source!$C294&gt;=COLUMNS($A294:X294), Source!$E294, "")</f>
        <v/>
      </c>
      <c r="Y294" s="2" t="str">
        <f>IF(Source!$C294&gt;=COLUMNS($A294:Y294), Source!$E294, "")</f>
        <v/>
      </c>
      <c r="Z294" s="2" t="str">
        <f>IF(Source!$C294&gt;=COLUMNS($A294:Z294), Source!$E294, "")</f>
        <v/>
      </c>
      <c r="AA294" s="2" t="str">
        <f>IF(Source!$C294&gt;=COLUMNS($A294:AA294), Source!$E294, "")</f>
        <v/>
      </c>
      <c r="AB294" s="2" t="str">
        <f>IF(Source!$C294&gt;=COLUMNS($A294:AB294), Source!$E294, "")</f>
        <v/>
      </c>
      <c r="AC294" s="2" t="str">
        <f>IF(Source!$C294&gt;=COLUMNS($A294:AC294), Source!$E294, "")</f>
        <v/>
      </c>
      <c r="AD294" s="2" t="str">
        <f>IF(Source!$C294&gt;=COLUMNS($A294:AD294), Source!$E294, "")</f>
        <v/>
      </c>
      <c r="AE294" s="2" t="str">
        <f>IF(Source!$C294&gt;=COLUMNS($A294:AE294), Source!$E294, "")</f>
        <v/>
      </c>
      <c r="AF294" s="2" t="str">
        <f>IF(Source!$C294&gt;=COLUMNS($A294:AF294), Source!$E294, "")</f>
        <v/>
      </c>
      <c r="AG294" s="2" t="str">
        <f>IF(Source!$C294&gt;=COLUMNS($A294:AG294), Source!$E294, "")</f>
        <v/>
      </c>
      <c r="AH294" s="2" t="str">
        <f>IF(Source!$C294&gt;=COLUMNS($A294:AH294), Source!$E294, "")</f>
        <v/>
      </c>
      <c r="AI294" s="2" t="str">
        <f>IF(Source!$C294&gt;=COLUMNS($A294:AI294), Source!$E294, "")</f>
        <v/>
      </c>
      <c r="AJ294" s="2" t="str">
        <f>IF(Source!$C294&gt;=COLUMNS($A294:AJ294), Source!$E294, "")</f>
        <v/>
      </c>
      <c r="AK294" s="2" t="str">
        <f>IF(Source!$C294&gt;=COLUMNS($A294:AK294), Source!$E294, "")</f>
        <v/>
      </c>
      <c r="AL294" s="2" t="str">
        <f>IF(Source!$C294&gt;=COLUMNS($A294:AL294), Source!$E294, "")</f>
        <v/>
      </c>
      <c r="AM294" s="2" t="str">
        <f>IF(Source!$C294&gt;=COLUMNS($A294:AM294), Source!$E294, "")</f>
        <v/>
      </c>
      <c r="AN294" s="2" t="str">
        <f>IF(Source!$C294&gt;=COLUMNS($A294:AN294), Source!$E294, "")</f>
        <v/>
      </c>
      <c r="AO294" s="2" t="str">
        <f>IF(Source!$C294&gt;=COLUMNS($A294:AO294), Source!$E294, "")</f>
        <v/>
      </c>
      <c r="AP294" s="2" t="str">
        <f>IF(Source!$C294&gt;=COLUMNS($A294:AP294), Source!$E294, "")</f>
        <v/>
      </c>
      <c r="AQ294" s="2" t="str">
        <f>IF(Source!$C294&gt;=COLUMNS($A294:AQ294), Source!$E294, "")</f>
        <v/>
      </c>
      <c r="AR294" s="2" t="str">
        <f>IF(Source!$C294&gt;=COLUMNS($A294:AR294), Source!$E294, "")</f>
        <v/>
      </c>
    </row>
    <row r="295">
      <c r="A295" s="2">
        <f>IF(Source!$C295&gt;=COLUMNS($A295:A295), Source!$E295, "")</f>
        <v>1</v>
      </c>
      <c r="B295" s="2">
        <f>IF(Source!$C295&gt;=COLUMNS($A295:B295), Source!$E295, "")</f>
        <v>1</v>
      </c>
      <c r="C295" s="2" t="str">
        <f>IF(Source!$C295&gt;=COLUMNS($A295:C295), Source!$E295, "")</f>
        <v/>
      </c>
      <c r="D295" s="2" t="str">
        <f>IF(Source!$C295&gt;=COLUMNS($A295:D295), Source!$E295, "")</f>
        <v/>
      </c>
      <c r="E295" s="2" t="str">
        <f>IF(Source!$C295&gt;=COLUMNS($A295:E295), Source!$E295, "")</f>
        <v/>
      </c>
      <c r="F295" s="2" t="str">
        <f>IF(Source!$C295&gt;=COLUMNS($A295:F295), Source!$E295, "")</f>
        <v/>
      </c>
      <c r="G295" s="2" t="str">
        <f>IF(Source!$C295&gt;=COLUMNS($A295:G295), Source!$E295, "")</f>
        <v/>
      </c>
      <c r="H295" s="2" t="str">
        <f>IF(Source!$C295&gt;=COLUMNS($A295:H295), Source!$E295, "")</f>
        <v/>
      </c>
      <c r="I295" s="2" t="str">
        <f>IF(Source!$C295&gt;=COLUMNS($A295:I295), Source!$E295, "")</f>
        <v/>
      </c>
      <c r="J295" s="2" t="str">
        <f>IF(Source!$C295&gt;=COLUMNS($A295:J295), Source!$E295, "")</f>
        <v/>
      </c>
      <c r="K295" s="2" t="str">
        <f>IF(Source!$C295&gt;=COLUMNS($A295:K295), Source!$E295, "")</f>
        <v/>
      </c>
      <c r="L295" s="2" t="str">
        <f>IF(Source!$C295&gt;=COLUMNS($A295:L295), Source!$E295, "")</f>
        <v/>
      </c>
      <c r="M295" s="2" t="str">
        <f>IF(Source!$C295&gt;=COLUMNS($A295:M295), Source!$E295, "")</f>
        <v/>
      </c>
      <c r="N295" s="2" t="str">
        <f>IF(Source!$C295&gt;=COLUMNS($A295:N295), Source!$E295, "")</f>
        <v/>
      </c>
      <c r="O295" s="2" t="str">
        <f>IF(Source!$C295&gt;=COLUMNS($A295:O295), Source!$E295, "")</f>
        <v/>
      </c>
      <c r="P295" s="2" t="str">
        <f>IF(Source!$C295&gt;=COLUMNS($A295:P295), Source!$E295, "")</f>
        <v/>
      </c>
      <c r="Q295" s="2" t="str">
        <f>IF(Source!$C295&gt;=COLUMNS($A295:Q295), Source!$E295, "")</f>
        <v/>
      </c>
      <c r="R295" s="2" t="str">
        <f>IF(Source!$C295&gt;=COLUMNS($A295:R295), Source!$E295, "")</f>
        <v/>
      </c>
      <c r="S295" s="2" t="str">
        <f>IF(Source!$C295&gt;=COLUMNS($A295:S295), Source!$E295, "")</f>
        <v/>
      </c>
      <c r="T295" s="2" t="str">
        <f>IF(Source!$C295&gt;=COLUMNS($A295:T295), Source!$E295, "")</f>
        <v/>
      </c>
      <c r="U295" s="2" t="str">
        <f>IF(Source!$C295&gt;=COLUMNS($A295:U295), Source!$E295, "")</f>
        <v/>
      </c>
      <c r="V295" s="2" t="str">
        <f>IF(Source!$C295&gt;=COLUMNS($A295:V295), Source!$E295, "")</f>
        <v/>
      </c>
      <c r="W295" s="2" t="str">
        <f>IF(Source!$C295&gt;=COLUMNS($A295:W295), Source!$E295, "")</f>
        <v/>
      </c>
      <c r="X295" s="2" t="str">
        <f>IF(Source!$C295&gt;=COLUMNS($A295:X295), Source!$E295, "")</f>
        <v/>
      </c>
      <c r="Y295" s="2" t="str">
        <f>IF(Source!$C295&gt;=COLUMNS($A295:Y295), Source!$E295, "")</f>
        <v/>
      </c>
      <c r="Z295" s="2" t="str">
        <f>IF(Source!$C295&gt;=COLUMNS($A295:Z295), Source!$E295, "")</f>
        <v/>
      </c>
      <c r="AA295" s="2" t="str">
        <f>IF(Source!$C295&gt;=COLUMNS($A295:AA295), Source!$E295, "")</f>
        <v/>
      </c>
      <c r="AB295" s="2" t="str">
        <f>IF(Source!$C295&gt;=COLUMNS($A295:AB295), Source!$E295, "")</f>
        <v/>
      </c>
      <c r="AC295" s="2" t="str">
        <f>IF(Source!$C295&gt;=COLUMNS($A295:AC295), Source!$E295, "")</f>
        <v/>
      </c>
      <c r="AD295" s="2" t="str">
        <f>IF(Source!$C295&gt;=COLUMNS($A295:AD295), Source!$E295, "")</f>
        <v/>
      </c>
      <c r="AE295" s="2" t="str">
        <f>IF(Source!$C295&gt;=COLUMNS($A295:AE295), Source!$E295, "")</f>
        <v/>
      </c>
      <c r="AF295" s="2" t="str">
        <f>IF(Source!$C295&gt;=COLUMNS($A295:AF295), Source!$E295, "")</f>
        <v/>
      </c>
      <c r="AG295" s="2" t="str">
        <f>IF(Source!$C295&gt;=COLUMNS($A295:AG295), Source!$E295, "")</f>
        <v/>
      </c>
      <c r="AH295" s="2" t="str">
        <f>IF(Source!$C295&gt;=COLUMNS($A295:AH295), Source!$E295, "")</f>
        <v/>
      </c>
      <c r="AI295" s="2" t="str">
        <f>IF(Source!$C295&gt;=COLUMNS($A295:AI295), Source!$E295, "")</f>
        <v/>
      </c>
      <c r="AJ295" s="2" t="str">
        <f>IF(Source!$C295&gt;=COLUMNS($A295:AJ295), Source!$E295, "")</f>
        <v/>
      </c>
      <c r="AK295" s="2" t="str">
        <f>IF(Source!$C295&gt;=COLUMNS($A295:AK295), Source!$E295, "")</f>
        <v/>
      </c>
      <c r="AL295" s="2" t="str">
        <f>IF(Source!$C295&gt;=COLUMNS($A295:AL295), Source!$E295, "")</f>
        <v/>
      </c>
      <c r="AM295" s="2" t="str">
        <f>IF(Source!$C295&gt;=COLUMNS($A295:AM295), Source!$E295, "")</f>
        <v/>
      </c>
      <c r="AN295" s="2" t="str">
        <f>IF(Source!$C295&gt;=COLUMNS($A295:AN295), Source!$E295, "")</f>
        <v/>
      </c>
      <c r="AO295" s="2" t="str">
        <f>IF(Source!$C295&gt;=COLUMNS($A295:AO295), Source!$E295, "")</f>
        <v/>
      </c>
      <c r="AP295" s="2" t="str">
        <f>IF(Source!$C295&gt;=COLUMNS($A295:AP295), Source!$E295, "")</f>
        <v/>
      </c>
      <c r="AQ295" s="2" t="str">
        <f>IF(Source!$C295&gt;=COLUMNS($A295:AQ295), Source!$E295, "")</f>
        <v/>
      </c>
      <c r="AR295" s="2" t="str">
        <f>IF(Source!$C295&gt;=COLUMNS($A295:AR295), Source!$E295, "")</f>
        <v/>
      </c>
    </row>
    <row r="296">
      <c r="A296" s="2">
        <f>IF(Source!$C296&gt;=COLUMNS($A296:A296), Source!$E296, "")</f>
        <v>9</v>
      </c>
      <c r="B296" s="2">
        <f>IF(Source!$C296&gt;=COLUMNS($A296:B296), Source!$E296, "")</f>
        <v>9</v>
      </c>
      <c r="C296" s="2" t="str">
        <f>IF(Source!$C296&gt;=COLUMNS($A296:C296), Source!$E296, "")</f>
        <v/>
      </c>
      <c r="D296" s="2" t="str">
        <f>IF(Source!$C296&gt;=COLUMNS($A296:D296), Source!$E296, "")</f>
        <v/>
      </c>
      <c r="E296" s="2" t="str">
        <f>IF(Source!$C296&gt;=COLUMNS($A296:E296), Source!$E296, "")</f>
        <v/>
      </c>
      <c r="F296" s="2" t="str">
        <f>IF(Source!$C296&gt;=COLUMNS($A296:F296), Source!$E296, "")</f>
        <v/>
      </c>
      <c r="G296" s="2" t="str">
        <f>IF(Source!$C296&gt;=COLUMNS($A296:G296), Source!$E296, "")</f>
        <v/>
      </c>
      <c r="H296" s="2" t="str">
        <f>IF(Source!$C296&gt;=COLUMNS($A296:H296), Source!$E296, "")</f>
        <v/>
      </c>
      <c r="I296" s="2" t="str">
        <f>IF(Source!$C296&gt;=COLUMNS($A296:I296), Source!$E296, "")</f>
        <v/>
      </c>
      <c r="J296" s="2" t="str">
        <f>IF(Source!$C296&gt;=COLUMNS($A296:J296), Source!$E296, "")</f>
        <v/>
      </c>
      <c r="K296" s="2" t="str">
        <f>IF(Source!$C296&gt;=COLUMNS($A296:K296), Source!$E296, "")</f>
        <v/>
      </c>
      <c r="L296" s="2" t="str">
        <f>IF(Source!$C296&gt;=COLUMNS($A296:L296), Source!$E296, "")</f>
        <v/>
      </c>
      <c r="M296" s="2" t="str">
        <f>IF(Source!$C296&gt;=COLUMNS($A296:M296), Source!$E296, "")</f>
        <v/>
      </c>
      <c r="N296" s="2" t="str">
        <f>IF(Source!$C296&gt;=COLUMNS($A296:N296), Source!$E296, "")</f>
        <v/>
      </c>
      <c r="O296" s="2" t="str">
        <f>IF(Source!$C296&gt;=COLUMNS($A296:O296), Source!$E296, "")</f>
        <v/>
      </c>
      <c r="P296" s="2" t="str">
        <f>IF(Source!$C296&gt;=COLUMNS($A296:P296), Source!$E296, "")</f>
        <v/>
      </c>
      <c r="Q296" s="2" t="str">
        <f>IF(Source!$C296&gt;=COLUMNS($A296:Q296), Source!$E296, "")</f>
        <v/>
      </c>
      <c r="R296" s="2" t="str">
        <f>IF(Source!$C296&gt;=COLUMNS($A296:R296), Source!$E296, "")</f>
        <v/>
      </c>
      <c r="S296" s="2" t="str">
        <f>IF(Source!$C296&gt;=COLUMNS($A296:S296), Source!$E296, "")</f>
        <v/>
      </c>
      <c r="T296" s="2" t="str">
        <f>IF(Source!$C296&gt;=COLUMNS($A296:T296), Source!$E296, "")</f>
        <v/>
      </c>
      <c r="U296" s="2" t="str">
        <f>IF(Source!$C296&gt;=COLUMNS($A296:U296), Source!$E296, "")</f>
        <v/>
      </c>
      <c r="V296" s="2" t="str">
        <f>IF(Source!$C296&gt;=COLUMNS($A296:V296), Source!$E296, "")</f>
        <v/>
      </c>
      <c r="W296" s="2" t="str">
        <f>IF(Source!$C296&gt;=COLUMNS($A296:W296), Source!$E296, "")</f>
        <v/>
      </c>
      <c r="X296" s="2" t="str">
        <f>IF(Source!$C296&gt;=COLUMNS($A296:X296), Source!$E296, "")</f>
        <v/>
      </c>
      <c r="Y296" s="2" t="str">
        <f>IF(Source!$C296&gt;=COLUMNS($A296:Y296), Source!$E296, "")</f>
        <v/>
      </c>
      <c r="Z296" s="2" t="str">
        <f>IF(Source!$C296&gt;=COLUMNS($A296:Z296), Source!$E296, "")</f>
        <v/>
      </c>
      <c r="AA296" s="2" t="str">
        <f>IF(Source!$C296&gt;=COLUMNS($A296:AA296), Source!$E296, "")</f>
        <v/>
      </c>
      <c r="AB296" s="2" t="str">
        <f>IF(Source!$C296&gt;=COLUMNS($A296:AB296), Source!$E296, "")</f>
        <v/>
      </c>
      <c r="AC296" s="2" t="str">
        <f>IF(Source!$C296&gt;=COLUMNS($A296:AC296), Source!$E296, "")</f>
        <v/>
      </c>
      <c r="AD296" s="2" t="str">
        <f>IF(Source!$C296&gt;=COLUMNS($A296:AD296), Source!$E296, "")</f>
        <v/>
      </c>
      <c r="AE296" s="2" t="str">
        <f>IF(Source!$C296&gt;=COLUMNS($A296:AE296), Source!$E296, "")</f>
        <v/>
      </c>
      <c r="AF296" s="2" t="str">
        <f>IF(Source!$C296&gt;=COLUMNS($A296:AF296), Source!$E296, "")</f>
        <v/>
      </c>
      <c r="AG296" s="2" t="str">
        <f>IF(Source!$C296&gt;=COLUMNS($A296:AG296), Source!$E296, "")</f>
        <v/>
      </c>
      <c r="AH296" s="2" t="str">
        <f>IF(Source!$C296&gt;=COLUMNS($A296:AH296), Source!$E296, "")</f>
        <v/>
      </c>
      <c r="AI296" s="2" t="str">
        <f>IF(Source!$C296&gt;=COLUMNS($A296:AI296), Source!$E296, "")</f>
        <v/>
      </c>
      <c r="AJ296" s="2" t="str">
        <f>IF(Source!$C296&gt;=COLUMNS($A296:AJ296), Source!$E296, "")</f>
        <v/>
      </c>
      <c r="AK296" s="2" t="str">
        <f>IF(Source!$C296&gt;=COLUMNS($A296:AK296), Source!$E296, "")</f>
        <v/>
      </c>
      <c r="AL296" s="2" t="str">
        <f>IF(Source!$C296&gt;=COLUMNS($A296:AL296), Source!$E296, "")</f>
        <v/>
      </c>
      <c r="AM296" s="2" t="str">
        <f>IF(Source!$C296&gt;=COLUMNS($A296:AM296), Source!$E296, "")</f>
        <v/>
      </c>
      <c r="AN296" s="2" t="str">
        <f>IF(Source!$C296&gt;=COLUMNS($A296:AN296), Source!$E296, "")</f>
        <v/>
      </c>
      <c r="AO296" s="2" t="str">
        <f>IF(Source!$C296&gt;=COLUMNS($A296:AO296), Source!$E296, "")</f>
        <v/>
      </c>
      <c r="AP296" s="2" t="str">
        <f>IF(Source!$C296&gt;=COLUMNS($A296:AP296), Source!$E296, "")</f>
        <v/>
      </c>
      <c r="AQ296" s="2" t="str">
        <f>IF(Source!$C296&gt;=COLUMNS($A296:AQ296), Source!$E296, "")</f>
        <v/>
      </c>
      <c r="AR296" s="2" t="str">
        <f>IF(Source!$C296&gt;=COLUMNS($A296:AR296), Source!$E296, "")</f>
        <v/>
      </c>
    </row>
    <row r="297">
      <c r="A297" s="2">
        <f>IF(Source!$C297&gt;=COLUMNS($A297:A297), Source!$E297, "")</f>
        <v>1</v>
      </c>
      <c r="B297" s="2">
        <f>IF(Source!$C297&gt;=COLUMNS($A297:B297), Source!$E297, "")</f>
        <v>1</v>
      </c>
      <c r="C297" s="2" t="str">
        <f>IF(Source!$C297&gt;=COLUMNS($A297:C297), Source!$E297, "")</f>
        <v/>
      </c>
      <c r="D297" s="2" t="str">
        <f>IF(Source!$C297&gt;=COLUMNS($A297:D297), Source!$E297, "")</f>
        <v/>
      </c>
      <c r="E297" s="2" t="str">
        <f>IF(Source!$C297&gt;=COLUMNS($A297:E297), Source!$E297, "")</f>
        <v/>
      </c>
      <c r="F297" s="2" t="str">
        <f>IF(Source!$C297&gt;=COLUMNS($A297:F297), Source!$E297, "")</f>
        <v/>
      </c>
      <c r="G297" s="2" t="str">
        <f>IF(Source!$C297&gt;=COLUMNS($A297:G297), Source!$E297, "")</f>
        <v/>
      </c>
      <c r="H297" s="2" t="str">
        <f>IF(Source!$C297&gt;=COLUMNS($A297:H297), Source!$E297, "")</f>
        <v/>
      </c>
      <c r="I297" s="2" t="str">
        <f>IF(Source!$C297&gt;=COLUMNS($A297:I297), Source!$E297, "")</f>
        <v/>
      </c>
      <c r="J297" s="2" t="str">
        <f>IF(Source!$C297&gt;=COLUMNS($A297:J297), Source!$E297, "")</f>
        <v/>
      </c>
      <c r="K297" s="2" t="str">
        <f>IF(Source!$C297&gt;=COLUMNS($A297:K297), Source!$E297, "")</f>
        <v/>
      </c>
      <c r="L297" s="2" t="str">
        <f>IF(Source!$C297&gt;=COLUMNS($A297:L297), Source!$E297, "")</f>
        <v/>
      </c>
      <c r="M297" s="2" t="str">
        <f>IF(Source!$C297&gt;=COLUMNS($A297:M297), Source!$E297, "")</f>
        <v/>
      </c>
      <c r="N297" s="2" t="str">
        <f>IF(Source!$C297&gt;=COLUMNS($A297:N297), Source!$E297, "")</f>
        <v/>
      </c>
      <c r="O297" s="2" t="str">
        <f>IF(Source!$C297&gt;=COLUMNS($A297:O297), Source!$E297, "")</f>
        <v/>
      </c>
      <c r="P297" s="2" t="str">
        <f>IF(Source!$C297&gt;=COLUMNS($A297:P297), Source!$E297, "")</f>
        <v/>
      </c>
      <c r="Q297" s="2" t="str">
        <f>IF(Source!$C297&gt;=COLUMNS($A297:Q297), Source!$E297, "")</f>
        <v/>
      </c>
      <c r="R297" s="2" t="str">
        <f>IF(Source!$C297&gt;=COLUMNS($A297:R297), Source!$E297, "")</f>
        <v/>
      </c>
      <c r="S297" s="2" t="str">
        <f>IF(Source!$C297&gt;=COLUMNS($A297:S297), Source!$E297, "")</f>
        <v/>
      </c>
      <c r="T297" s="2" t="str">
        <f>IF(Source!$C297&gt;=COLUMNS($A297:T297), Source!$E297, "")</f>
        <v/>
      </c>
      <c r="U297" s="2" t="str">
        <f>IF(Source!$C297&gt;=COLUMNS($A297:U297), Source!$E297, "")</f>
        <v/>
      </c>
      <c r="V297" s="2" t="str">
        <f>IF(Source!$C297&gt;=COLUMNS($A297:V297), Source!$E297, "")</f>
        <v/>
      </c>
      <c r="W297" s="2" t="str">
        <f>IF(Source!$C297&gt;=COLUMNS($A297:W297), Source!$E297, "")</f>
        <v/>
      </c>
      <c r="X297" s="2" t="str">
        <f>IF(Source!$C297&gt;=COLUMNS($A297:X297), Source!$E297, "")</f>
        <v/>
      </c>
      <c r="Y297" s="2" t="str">
        <f>IF(Source!$C297&gt;=COLUMNS($A297:Y297), Source!$E297, "")</f>
        <v/>
      </c>
      <c r="Z297" s="2" t="str">
        <f>IF(Source!$C297&gt;=COLUMNS($A297:Z297), Source!$E297, "")</f>
        <v/>
      </c>
      <c r="AA297" s="2" t="str">
        <f>IF(Source!$C297&gt;=COLUMNS($A297:AA297), Source!$E297, "")</f>
        <v/>
      </c>
      <c r="AB297" s="2" t="str">
        <f>IF(Source!$C297&gt;=COLUMNS($A297:AB297), Source!$E297, "")</f>
        <v/>
      </c>
      <c r="AC297" s="2" t="str">
        <f>IF(Source!$C297&gt;=COLUMNS($A297:AC297), Source!$E297, "")</f>
        <v/>
      </c>
      <c r="AD297" s="2" t="str">
        <f>IF(Source!$C297&gt;=COLUMNS($A297:AD297), Source!$E297, "")</f>
        <v/>
      </c>
      <c r="AE297" s="2" t="str">
        <f>IF(Source!$C297&gt;=COLUMNS($A297:AE297), Source!$E297, "")</f>
        <v/>
      </c>
      <c r="AF297" s="2" t="str">
        <f>IF(Source!$C297&gt;=COLUMNS($A297:AF297), Source!$E297, "")</f>
        <v/>
      </c>
      <c r="AG297" s="2" t="str">
        <f>IF(Source!$C297&gt;=COLUMNS($A297:AG297), Source!$E297, "")</f>
        <v/>
      </c>
      <c r="AH297" s="2" t="str">
        <f>IF(Source!$C297&gt;=COLUMNS($A297:AH297), Source!$E297, "")</f>
        <v/>
      </c>
      <c r="AI297" s="2" t="str">
        <f>IF(Source!$C297&gt;=COLUMNS($A297:AI297), Source!$E297, "")</f>
        <v/>
      </c>
      <c r="AJ297" s="2" t="str">
        <f>IF(Source!$C297&gt;=COLUMNS($A297:AJ297), Source!$E297, "")</f>
        <v/>
      </c>
      <c r="AK297" s="2" t="str">
        <f>IF(Source!$C297&gt;=COLUMNS($A297:AK297), Source!$E297, "")</f>
        <v/>
      </c>
      <c r="AL297" s="2" t="str">
        <f>IF(Source!$C297&gt;=COLUMNS($A297:AL297), Source!$E297, "")</f>
        <v/>
      </c>
      <c r="AM297" s="2" t="str">
        <f>IF(Source!$C297&gt;=COLUMNS($A297:AM297), Source!$E297, "")</f>
        <v/>
      </c>
      <c r="AN297" s="2" t="str">
        <f>IF(Source!$C297&gt;=COLUMNS($A297:AN297), Source!$E297, "")</f>
        <v/>
      </c>
      <c r="AO297" s="2" t="str">
        <f>IF(Source!$C297&gt;=COLUMNS($A297:AO297), Source!$E297, "")</f>
        <v/>
      </c>
      <c r="AP297" s="2" t="str">
        <f>IF(Source!$C297&gt;=COLUMNS($A297:AP297), Source!$E297, "")</f>
        <v/>
      </c>
      <c r="AQ297" s="2" t="str">
        <f>IF(Source!$C297&gt;=COLUMNS($A297:AQ297), Source!$E297, "")</f>
        <v/>
      </c>
      <c r="AR297" s="2" t="str">
        <f>IF(Source!$C297&gt;=COLUMNS($A297:AR297), Source!$E297, "")</f>
        <v/>
      </c>
    </row>
    <row r="298">
      <c r="A298" s="2">
        <f>IF(Source!$C298&gt;=COLUMNS($A298:A298), Source!$E298, "")</f>
        <v>3</v>
      </c>
      <c r="B298" s="2">
        <f>IF(Source!$C298&gt;=COLUMNS($A298:B298), Source!$E298, "")</f>
        <v>3</v>
      </c>
      <c r="C298" s="2">
        <f>IF(Source!$C298&gt;=COLUMNS($A298:C298), Source!$E298, "")</f>
        <v>3</v>
      </c>
      <c r="D298" s="2">
        <f>IF(Source!$C298&gt;=COLUMNS($A298:D298), Source!$E298, "")</f>
        <v>3</v>
      </c>
      <c r="E298" s="2">
        <f>IF(Source!$C298&gt;=COLUMNS($A298:E298), Source!$E298, "")</f>
        <v>3</v>
      </c>
      <c r="F298" s="2">
        <f>IF(Source!$C298&gt;=COLUMNS($A298:F298), Source!$E298, "")</f>
        <v>3</v>
      </c>
      <c r="G298" s="2">
        <f>IF(Source!$C298&gt;=COLUMNS($A298:G298), Source!$E298, "")</f>
        <v>3</v>
      </c>
      <c r="H298" s="2">
        <f>IF(Source!$C298&gt;=COLUMNS($A298:H298), Source!$E298, "")</f>
        <v>3</v>
      </c>
      <c r="I298" s="2">
        <f>IF(Source!$C298&gt;=COLUMNS($A298:I298), Source!$E298, "")</f>
        <v>3</v>
      </c>
      <c r="J298" s="2" t="str">
        <f>IF(Source!$C298&gt;=COLUMNS($A298:J298), Source!$E298, "")</f>
        <v/>
      </c>
      <c r="K298" s="2" t="str">
        <f>IF(Source!$C298&gt;=COLUMNS($A298:K298), Source!$E298, "")</f>
        <v/>
      </c>
      <c r="L298" s="2" t="str">
        <f>IF(Source!$C298&gt;=COLUMNS($A298:L298), Source!$E298, "")</f>
        <v/>
      </c>
      <c r="M298" s="2" t="str">
        <f>IF(Source!$C298&gt;=COLUMNS($A298:M298), Source!$E298, "")</f>
        <v/>
      </c>
      <c r="N298" s="2" t="str">
        <f>IF(Source!$C298&gt;=COLUMNS($A298:N298), Source!$E298, "")</f>
        <v/>
      </c>
      <c r="O298" s="2" t="str">
        <f>IF(Source!$C298&gt;=COLUMNS($A298:O298), Source!$E298, "")</f>
        <v/>
      </c>
      <c r="P298" s="2" t="str">
        <f>IF(Source!$C298&gt;=COLUMNS($A298:P298), Source!$E298, "")</f>
        <v/>
      </c>
      <c r="Q298" s="2" t="str">
        <f>IF(Source!$C298&gt;=COLUMNS($A298:Q298), Source!$E298, "")</f>
        <v/>
      </c>
      <c r="R298" s="2" t="str">
        <f>IF(Source!$C298&gt;=COLUMNS($A298:R298), Source!$E298, "")</f>
        <v/>
      </c>
      <c r="S298" s="2" t="str">
        <f>IF(Source!$C298&gt;=COLUMNS($A298:S298), Source!$E298, "")</f>
        <v/>
      </c>
      <c r="T298" s="2" t="str">
        <f>IF(Source!$C298&gt;=COLUMNS($A298:T298), Source!$E298, "")</f>
        <v/>
      </c>
      <c r="U298" s="2" t="str">
        <f>IF(Source!$C298&gt;=COLUMNS($A298:U298), Source!$E298, "")</f>
        <v/>
      </c>
      <c r="V298" s="2" t="str">
        <f>IF(Source!$C298&gt;=COLUMNS($A298:V298), Source!$E298, "")</f>
        <v/>
      </c>
      <c r="W298" s="2" t="str">
        <f>IF(Source!$C298&gt;=COLUMNS($A298:W298), Source!$E298, "")</f>
        <v/>
      </c>
      <c r="X298" s="2" t="str">
        <f>IF(Source!$C298&gt;=COLUMNS($A298:X298), Source!$E298, "")</f>
        <v/>
      </c>
      <c r="Y298" s="2" t="str">
        <f>IF(Source!$C298&gt;=COLUMNS($A298:Y298), Source!$E298, "")</f>
        <v/>
      </c>
      <c r="Z298" s="2" t="str">
        <f>IF(Source!$C298&gt;=COLUMNS($A298:Z298), Source!$E298, "")</f>
        <v/>
      </c>
      <c r="AA298" s="2" t="str">
        <f>IF(Source!$C298&gt;=COLUMNS($A298:AA298), Source!$E298, "")</f>
        <v/>
      </c>
      <c r="AB298" s="2" t="str">
        <f>IF(Source!$C298&gt;=COLUMNS($A298:AB298), Source!$E298, "")</f>
        <v/>
      </c>
      <c r="AC298" s="2" t="str">
        <f>IF(Source!$C298&gt;=COLUMNS($A298:AC298), Source!$E298, "")</f>
        <v/>
      </c>
      <c r="AD298" s="2" t="str">
        <f>IF(Source!$C298&gt;=COLUMNS($A298:AD298), Source!$E298, "")</f>
        <v/>
      </c>
      <c r="AE298" s="2" t="str">
        <f>IF(Source!$C298&gt;=COLUMNS($A298:AE298), Source!$E298, "")</f>
        <v/>
      </c>
      <c r="AF298" s="2" t="str">
        <f>IF(Source!$C298&gt;=COLUMNS($A298:AF298), Source!$E298, "")</f>
        <v/>
      </c>
      <c r="AG298" s="2" t="str">
        <f>IF(Source!$C298&gt;=COLUMNS($A298:AG298), Source!$E298, "")</f>
        <v/>
      </c>
      <c r="AH298" s="2" t="str">
        <f>IF(Source!$C298&gt;=COLUMNS($A298:AH298), Source!$E298, "")</f>
        <v/>
      </c>
      <c r="AI298" s="2" t="str">
        <f>IF(Source!$C298&gt;=COLUMNS($A298:AI298), Source!$E298, "")</f>
        <v/>
      </c>
      <c r="AJ298" s="2" t="str">
        <f>IF(Source!$C298&gt;=COLUMNS($A298:AJ298), Source!$E298, "")</f>
        <v/>
      </c>
      <c r="AK298" s="2" t="str">
        <f>IF(Source!$C298&gt;=COLUMNS($A298:AK298), Source!$E298, "")</f>
        <v/>
      </c>
      <c r="AL298" s="2" t="str">
        <f>IF(Source!$C298&gt;=COLUMNS($A298:AL298), Source!$E298, "")</f>
        <v/>
      </c>
      <c r="AM298" s="2" t="str">
        <f>IF(Source!$C298&gt;=COLUMNS($A298:AM298), Source!$E298, "")</f>
        <v/>
      </c>
      <c r="AN298" s="2" t="str">
        <f>IF(Source!$C298&gt;=COLUMNS($A298:AN298), Source!$E298, "")</f>
        <v/>
      </c>
      <c r="AO298" s="2" t="str">
        <f>IF(Source!$C298&gt;=COLUMNS($A298:AO298), Source!$E298, "")</f>
        <v/>
      </c>
      <c r="AP298" s="2" t="str">
        <f>IF(Source!$C298&gt;=COLUMNS($A298:AP298), Source!$E298, "")</f>
        <v/>
      </c>
      <c r="AQ298" s="2" t="str">
        <f>IF(Source!$C298&gt;=COLUMNS($A298:AQ298), Source!$E298, "")</f>
        <v/>
      </c>
      <c r="AR298" s="2" t="str">
        <f>IF(Source!$C298&gt;=COLUMNS($A298:AR298), Source!$E298, "")</f>
        <v/>
      </c>
    </row>
    <row r="299">
      <c r="A299" s="2">
        <f>IF(Source!$C299&gt;=COLUMNS($A299:A299), Source!$E299, "")</f>
        <v>7</v>
      </c>
      <c r="B299" s="2">
        <f>IF(Source!$C299&gt;=COLUMNS($A299:B299), Source!$E299, "")</f>
        <v>7</v>
      </c>
      <c r="C299" s="2">
        <f>IF(Source!$C299&gt;=COLUMNS($A299:C299), Source!$E299, "")</f>
        <v>7</v>
      </c>
      <c r="D299" s="2" t="str">
        <f>IF(Source!$C299&gt;=COLUMNS($A299:D299), Source!$E299, "")</f>
        <v/>
      </c>
      <c r="E299" s="2" t="str">
        <f>IF(Source!$C299&gt;=COLUMNS($A299:E299), Source!$E299, "")</f>
        <v/>
      </c>
      <c r="F299" s="2" t="str">
        <f>IF(Source!$C299&gt;=COLUMNS($A299:F299), Source!$E299, "")</f>
        <v/>
      </c>
      <c r="G299" s="2" t="str">
        <f>IF(Source!$C299&gt;=COLUMNS($A299:G299), Source!$E299, "")</f>
        <v/>
      </c>
      <c r="H299" s="2" t="str">
        <f>IF(Source!$C299&gt;=COLUMNS($A299:H299), Source!$E299, "")</f>
        <v/>
      </c>
      <c r="I299" s="2" t="str">
        <f>IF(Source!$C299&gt;=COLUMNS($A299:I299), Source!$E299, "")</f>
        <v/>
      </c>
      <c r="J299" s="2" t="str">
        <f>IF(Source!$C299&gt;=COLUMNS($A299:J299), Source!$E299, "")</f>
        <v/>
      </c>
      <c r="K299" s="2" t="str">
        <f>IF(Source!$C299&gt;=COLUMNS($A299:K299), Source!$E299, "")</f>
        <v/>
      </c>
      <c r="L299" s="2" t="str">
        <f>IF(Source!$C299&gt;=COLUMNS($A299:L299), Source!$E299, "")</f>
        <v/>
      </c>
      <c r="M299" s="2" t="str">
        <f>IF(Source!$C299&gt;=COLUMNS($A299:M299), Source!$E299, "")</f>
        <v/>
      </c>
      <c r="N299" s="2" t="str">
        <f>IF(Source!$C299&gt;=COLUMNS($A299:N299), Source!$E299, "")</f>
        <v/>
      </c>
      <c r="O299" s="2" t="str">
        <f>IF(Source!$C299&gt;=COLUMNS($A299:O299), Source!$E299, "")</f>
        <v/>
      </c>
      <c r="P299" s="2" t="str">
        <f>IF(Source!$C299&gt;=COLUMNS($A299:P299), Source!$E299, "")</f>
        <v/>
      </c>
      <c r="Q299" s="2" t="str">
        <f>IF(Source!$C299&gt;=COLUMNS($A299:Q299), Source!$E299, "")</f>
        <v/>
      </c>
      <c r="R299" s="2" t="str">
        <f>IF(Source!$C299&gt;=COLUMNS($A299:R299), Source!$E299, "")</f>
        <v/>
      </c>
      <c r="S299" s="2" t="str">
        <f>IF(Source!$C299&gt;=COLUMNS($A299:S299), Source!$E299, "")</f>
        <v/>
      </c>
      <c r="T299" s="2" t="str">
        <f>IF(Source!$C299&gt;=COLUMNS($A299:T299), Source!$E299, "")</f>
        <v/>
      </c>
      <c r="U299" s="2" t="str">
        <f>IF(Source!$C299&gt;=COLUMNS($A299:U299), Source!$E299, "")</f>
        <v/>
      </c>
      <c r="V299" s="2" t="str">
        <f>IF(Source!$C299&gt;=COLUMNS($A299:V299), Source!$E299, "")</f>
        <v/>
      </c>
      <c r="W299" s="2" t="str">
        <f>IF(Source!$C299&gt;=COLUMNS($A299:W299), Source!$E299, "")</f>
        <v/>
      </c>
      <c r="X299" s="2" t="str">
        <f>IF(Source!$C299&gt;=COLUMNS($A299:X299), Source!$E299, "")</f>
        <v/>
      </c>
      <c r="Y299" s="2" t="str">
        <f>IF(Source!$C299&gt;=COLUMNS($A299:Y299), Source!$E299, "")</f>
        <v/>
      </c>
      <c r="Z299" s="2" t="str">
        <f>IF(Source!$C299&gt;=COLUMNS($A299:Z299), Source!$E299, "")</f>
        <v/>
      </c>
      <c r="AA299" s="2" t="str">
        <f>IF(Source!$C299&gt;=COLUMNS($A299:AA299), Source!$E299, "")</f>
        <v/>
      </c>
      <c r="AB299" s="2" t="str">
        <f>IF(Source!$C299&gt;=COLUMNS($A299:AB299), Source!$E299, "")</f>
        <v/>
      </c>
      <c r="AC299" s="2" t="str">
        <f>IF(Source!$C299&gt;=COLUMNS($A299:AC299), Source!$E299, "")</f>
        <v/>
      </c>
      <c r="AD299" s="2" t="str">
        <f>IF(Source!$C299&gt;=COLUMNS($A299:AD299), Source!$E299, "")</f>
        <v/>
      </c>
      <c r="AE299" s="2" t="str">
        <f>IF(Source!$C299&gt;=COLUMNS($A299:AE299), Source!$E299, "")</f>
        <v/>
      </c>
      <c r="AF299" s="2" t="str">
        <f>IF(Source!$C299&gt;=COLUMNS($A299:AF299), Source!$E299, "")</f>
        <v/>
      </c>
      <c r="AG299" s="2" t="str">
        <f>IF(Source!$C299&gt;=COLUMNS($A299:AG299), Source!$E299, "")</f>
        <v/>
      </c>
      <c r="AH299" s="2" t="str">
        <f>IF(Source!$C299&gt;=COLUMNS($A299:AH299), Source!$E299, "")</f>
        <v/>
      </c>
      <c r="AI299" s="2" t="str">
        <f>IF(Source!$C299&gt;=COLUMNS($A299:AI299), Source!$E299, "")</f>
        <v/>
      </c>
      <c r="AJ299" s="2" t="str">
        <f>IF(Source!$C299&gt;=COLUMNS($A299:AJ299), Source!$E299, "")</f>
        <v/>
      </c>
      <c r="AK299" s="2" t="str">
        <f>IF(Source!$C299&gt;=COLUMNS($A299:AK299), Source!$E299, "")</f>
        <v/>
      </c>
      <c r="AL299" s="2" t="str">
        <f>IF(Source!$C299&gt;=COLUMNS($A299:AL299), Source!$E299, "")</f>
        <v/>
      </c>
      <c r="AM299" s="2" t="str">
        <f>IF(Source!$C299&gt;=COLUMNS($A299:AM299), Source!$E299, "")</f>
        <v/>
      </c>
      <c r="AN299" s="2" t="str">
        <f>IF(Source!$C299&gt;=COLUMNS($A299:AN299), Source!$E299, "")</f>
        <v/>
      </c>
      <c r="AO299" s="2" t="str">
        <f>IF(Source!$C299&gt;=COLUMNS($A299:AO299), Source!$E299, "")</f>
        <v/>
      </c>
      <c r="AP299" s="2" t="str">
        <f>IF(Source!$C299&gt;=COLUMNS($A299:AP299), Source!$E299, "")</f>
        <v/>
      </c>
      <c r="AQ299" s="2" t="str">
        <f>IF(Source!$C299&gt;=COLUMNS($A299:AQ299), Source!$E299, "")</f>
        <v/>
      </c>
      <c r="AR299" s="2" t="str">
        <f>IF(Source!$C299&gt;=COLUMNS($A299:AR299), Source!$E299, "")</f>
        <v/>
      </c>
    </row>
    <row r="300">
      <c r="A300" s="2">
        <f>IF(Source!$C300&gt;=COLUMNS($A300:A300), Source!$E300, "")</f>
        <v>8</v>
      </c>
      <c r="B300" s="2">
        <f>IF(Source!$C300&gt;=COLUMNS($A300:B300), Source!$E300, "")</f>
        <v>8</v>
      </c>
      <c r="C300" s="2">
        <f>IF(Source!$C300&gt;=COLUMNS($A300:C300), Source!$E300, "")</f>
        <v>8</v>
      </c>
      <c r="D300" s="2">
        <f>IF(Source!$C300&gt;=COLUMNS($A300:D300), Source!$E300, "")</f>
        <v>8</v>
      </c>
      <c r="E300" s="2" t="str">
        <f>IF(Source!$C300&gt;=COLUMNS($A300:E300), Source!$E300, "")</f>
        <v/>
      </c>
      <c r="F300" s="2" t="str">
        <f>IF(Source!$C300&gt;=COLUMNS($A300:F300), Source!$E300, "")</f>
        <v/>
      </c>
      <c r="G300" s="2" t="str">
        <f>IF(Source!$C300&gt;=COLUMNS($A300:G300), Source!$E300, "")</f>
        <v/>
      </c>
      <c r="H300" s="2" t="str">
        <f>IF(Source!$C300&gt;=COLUMNS($A300:H300), Source!$E300, "")</f>
        <v/>
      </c>
      <c r="I300" s="2" t="str">
        <f>IF(Source!$C300&gt;=COLUMNS($A300:I300), Source!$E300, "")</f>
        <v/>
      </c>
      <c r="J300" s="2" t="str">
        <f>IF(Source!$C300&gt;=COLUMNS($A300:J300), Source!$E300, "")</f>
        <v/>
      </c>
      <c r="K300" s="2" t="str">
        <f>IF(Source!$C300&gt;=COLUMNS($A300:K300), Source!$E300, "")</f>
        <v/>
      </c>
      <c r="L300" s="2" t="str">
        <f>IF(Source!$C300&gt;=COLUMNS($A300:L300), Source!$E300, "")</f>
        <v/>
      </c>
      <c r="M300" s="2" t="str">
        <f>IF(Source!$C300&gt;=COLUMNS($A300:M300), Source!$E300, "")</f>
        <v/>
      </c>
      <c r="N300" s="2" t="str">
        <f>IF(Source!$C300&gt;=COLUMNS($A300:N300), Source!$E300, "")</f>
        <v/>
      </c>
      <c r="O300" s="2" t="str">
        <f>IF(Source!$C300&gt;=COLUMNS($A300:O300), Source!$E300, "")</f>
        <v/>
      </c>
      <c r="P300" s="2" t="str">
        <f>IF(Source!$C300&gt;=COLUMNS($A300:P300), Source!$E300, "")</f>
        <v/>
      </c>
      <c r="Q300" s="2" t="str">
        <f>IF(Source!$C300&gt;=COLUMNS($A300:Q300), Source!$E300, "")</f>
        <v/>
      </c>
      <c r="R300" s="2" t="str">
        <f>IF(Source!$C300&gt;=COLUMNS($A300:R300), Source!$E300, "")</f>
        <v/>
      </c>
      <c r="S300" s="2" t="str">
        <f>IF(Source!$C300&gt;=COLUMNS($A300:S300), Source!$E300, "")</f>
        <v/>
      </c>
      <c r="T300" s="2" t="str">
        <f>IF(Source!$C300&gt;=COLUMNS($A300:T300), Source!$E300, "")</f>
        <v/>
      </c>
      <c r="U300" s="2" t="str">
        <f>IF(Source!$C300&gt;=COLUMNS($A300:U300), Source!$E300, "")</f>
        <v/>
      </c>
      <c r="V300" s="2" t="str">
        <f>IF(Source!$C300&gt;=COLUMNS($A300:V300), Source!$E300, "")</f>
        <v/>
      </c>
      <c r="W300" s="2" t="str">
        <f>IF(Source!$C300&gt;=COLUMNS($A300:W300), Source!$E300, "")</f>
        <v/>
      </c>
      <c r="X300" s="2" t="str">
        <f>IF(Source!$C300&gt;=COLUMNS($A300:X300), Source!$E300, "")</f>
        <v/>
      </c>
      <c r="Y300" s="2" t="str">
        <f>IF(Source!$C300&gt;=COLUMNS($A300:Y300), Source!$E300, "")</f>
        <v/>
      </c>
      <c r="Z300" s="2" t="str">
        <f>IF(Source!$C300&gt;=COLUMNS($A300:Z300), Source!$E300, "")</f>
        <v/>
      </c>
      <c r="AA300" s="2" t="str">
        <f>IF(Source!$C300&gt;=COLUMNS($A300:AA300), Source!$E300, "")</f>
        <v/>
      </c>
      <c r="AB300" s="2" t="str">
        <f>IF(Source!$C300&gt;=COLUMNS($A300:AB300), Source!$E300, "")</f>
        <v/>
      </c>
      <c r="AC300" s="2" t="str">
        <f>IF(Source!$C300&gt;=COLUMNS($A300:AC300), Source!$E300, "")</f>
        <v/>
      </c>
      <c r="AD300" s="2" t="str">
        <f>IF(Source!$C300&gt;=COLUMNS($A300:AD300), Source!$E300, "")</f>
        <v/>
      </c>
      <c r="AE300" s="2" t="str">
        <f>IF(Source!$C300&gt;=COLUMNS($A300:AE300), Source!$E300, "")</f>
        <v/>
      </c>
      <c r="AF300" s="2" t="str">
        <f>IF(Source!$C300&gt;=COLUMNS($A300:AF300), Source!$E300, "")</f>
        <v/>
      </c>
      <c r="AG300" s="2" t="str">
        <f>IF(Source!$C300&gt;=COLUMNS($A300:AG300), Source!$E300, "")</f>
        <v/>
      </c>
      <c r="AH300" s="2" t="str">
        <f>IF(Source!$C300&gt;=COLUMNS($A300:AH300), Source!$E300, "")</f>
        <v/>
      </c>
      <c r="AI300" s="2" t="str">
        <f>IF(Source!$C300&gt;=COLUMNS($A300:AI300), Source!$E300, "")</f>
        <v/>
      </c>
      <c r="AJ300" s="2" t="str">
        <f>IF(Source!$C300&gt;=COLUMNS($A300:AJ300), Source!$E300, "")</f>
        <v/>
      </c>
      <c r="AK300" s="2" t="str">
        <f>IF(Source!$C300&gt;=COLUMNS($A300:AK300), Source!$E300, "")</f>
        <v/>
      </c>
      <c r="AL300" s="2" t="str">
        <f>IF(Source!$C300&gt;=COLUMNS($A300:AL300), Source!$E300, "")</f>
        <v/>
      </c>
      <c r="AM300" s="2" t="str">
        <f>IF(Source!$C300&gt;=COLUMNS($A300:AM300), Source!$E300, "")</f>
        <v/>
      </c>
      <c r="AN300" s="2" t="str">
        <f>IF(Source!$C300&gt;=COLUMNS($A300:AN300), Source!$E300, "")</f>
        <v/>
      </c>
      <c r="AO300" s="2" t="str">
        <f>IF(Source!$C300&gt;=COLUMNS($A300:AO300), Source!$E300, "")</f>
        <v/>
      </c>
      <c r="AP300" s="2" t="str">
        <f>IF(Source!$C300&gt;=COLUMNS($A300:AP300), Source!$E300, "")</f>
        <v/>
      </c>
      <c r="AQ300" s="2" t="str">
        <f>IF(Source!$C300&gt;=COLUMNS($A300:AQ300), Source!$E300, "")</f>
        <v/>
      </c>
      <c r="AR300" s="2" t="str">
        <f>IF(Source!$C300&gt;=COLUMNS($A300:AR300), Source!$E300, "")</f>
        <v/>
      </c>
    </row>
    <row r="301">
      <c r="A301" s="2">
        <f>IF(Source!$C301&gt;=COLUMNS($A301:A301), Source!$E301, "")</f>
        <v>7</v>
      </c>
      <c r="B301" s="2">
        <f>IF(Source!$C301&gt;=COLUMNS($A301:B301), Source!$E301, "")</f>
        <v>7</v>
      </c>
      <c r="C301" s="2">
        <f>IF(Source!$C301&gt;=COLUMNS($A301:C301), Source!$E301, "")</f>
        <v>7</v>
      </c>
      <c r="D301" s="2" t="str">
        <f>IF(Source!$C301&gt;=COLUMNS($A301:D301), Source!$E301, "")</f>
        <v/>
      </c>
      <c r="E301" s="2" t="str">
        <f>IF(Source!$C301&gt;=COLUMNS($A301:E301), Source!$E301, "")</f>
        <v/>
      </c>
      <c r="F301" s="2" t="str">
        <f>IF(Source!$C301&gt;=COLUMNS($A301:F301), Source!$E301, "")</f>
        <v/>
      </c>
      <c r="G301" s="2" t="str">
        <f>IF(Source!$C301&gt;=COLUMNS($A301:G301), Source!$E301, "")</f>
        <v/>
      </c>
      <c r="H301" s="2" t="str">
        <f>IF(Source!$C301&gt;=COLUMNS($A301:H301), Source!$E301, "")</f>
        <v/>
      </c>
      <c r="I301" s="2" t="str">
        <f>IF(Source!$C301&gt;=COLUMNS($A301:I301), Source!$E301, "")</f>
        <v/>
      </c>
      <c r="J301" s="2" t="str">
        <f>IF(Source!$C301&gt;=COLUMNS($A301:J301), Source!$E301, "")</f>
        <v/>
      </c>
      <c r="K301" s="2" t="str">
        <f>IF(Source!$C301&gt;=COLUMNS($A301:K301), Source!$E301, "")</f>
        <v/>
      </c>
      <c r="L301" s="2" t="str">
        <f>IF(Source!$C301&gt;=COLUMNS($A301:L301), Source!$E301, "")</f>
        <v/>
      </c>
      <c r="M301" s="2" t="str">
        <f>IF(Source!$C301&gt;=COLUMNS($A301:M301), Source!$E301, "")</f>
        <v/>
      </c>
      <c r="N301" s="2" t="str">
        <f>IF(Source!$C301&gt;=COLUMNS($A301:N301), Source!$E301, "")</f>
        <v/>
      </c>
      <c r="O301" s="2" t="str">
        <f>IF(Source!$C301&gt;=COLUMNS($A301:O301), Source!$E301, "")</f>
        <v/>
      </c>
      <c r="P301" s="2" t="str">
        <f>IF(Source!$C301&gt;=COLUMNS($A301:P301), Source!$E301, "")</f>
        <v/>
      </c>
      <c r="Q301" s="2" t="str">
        <f>IF(Source!$C301&gt;=COLUMNS($A301:Q301), Source!$E301, "")</f>
        <v/>
      </c>
      <c r="R301" s="2" t="str">
        <f>IF(Source!$C301&gt;=COLUMNS($A301:R301), Source!$E301, "")</f>
        <v/>
      </c>
      <c r="S301" s="2" t="str">
        <f>IF(Source!$C301&gt;=COLUMNS($A301:S301), Source!$E301, "")</f>
        <v/>
      </c>
      <c r="T301" s="2" t="str">
        <f>IF(Source!$C301&gt;=COLUMNS($A301:T301), Source!$E301, "")</f>
        <v/>
      </c>
      <c r="U301" s="2" t="str">
        <f>IF(Source!$C301&gt;=COLUMNS($A301:U301), Source!$E301, "")</f>
        <v/>
      </c>
      <c r="V301" s="2" t="str">
        <f>IF(Source!$C301&gt;=COLUMNS($A301:V301), Source!$E301, "")</f>
        <v/>
      </c>
      <c r="W301" s="2" t="str">
        <f>IF(Source!$C301&gt;=COLUMNS($A301:W301), Source!$E301, "")</f>
        <v/>
      </c>
      <c r="X301" s="2" t="str">
        <f>IF(Source!$C301&gt;=COLUMNS($A301:X301), Source!$E301, "")</f>
        <v/>
      </c>
      <c r="Y301" s="2" t="str">
        <f>IF(Source!$C301&gt;=COLUMNS($A301:Y301), Source!$E301, "")</f>
        <v/>
      </c>
      <c r="Z301" s="2" t="str">
        <f>IF(Source!$C301&gt;=COLUMNS($A301:Z301), Source!$E301, "")</f>
        <v/>
      </c>
      <c r="AA301" s="2" t="str">
        <f>IF(Source!$C301&gt;=COLUMNS($A301:AA301), Source!$E301, "")</f>
        <v/>
      </c>
      <c r="AB301" s="2" t="str">
        <f>IF(Source!$C301&gt;=COLUMNS($A301:AB301), Source!$E301, "")</f>
        <v/>
      </c>
      <c r="AC301" s="2" t="str">
        <f>IF(Source!$C301&gt;=COLUMNS($A301:AC301), Source!$E301, "")</f>
        <v/>
      </c>
      <c r="AD301" s="2" t="str">
        <f>IF(Source!$C301&gt;=COLUMNS($A301:AD301), Source!$E301, "")</f>
        <v/>
      </c>
      <c r="AE301" s="2" t="str">
        <f>IF(Source!$C301&gt;=COLUMNS($A301:AE301), Source!$E301, "")</f>
        <v/>
      </c>
      <c r="AF301" s="2" t="str">
        <f>IF(Source!$C301&gt;=COLUMNS($A301:AF301), Source!$E301, "")</f>
        <v/>
      </c>
      <c r="AG301" s="2" t="str">
        <f>IF(Source!$C301&gt;=COLUMNS($A301:AG301), Source!$E301, "")</f>
        <v/>
      </c>
      <c r="AH301" s="2" t="str">
        <f>IF(Source!$C301&gt;=COLUMNS($A301:AH301), Source!$E301, "")</f>
        <v/>
      </c>
      <c r="AI301" s="2" t="str">
        <f>IF(Source!$C301&gt;=COLUMNS($A301:AI301), Source!$E301, "")</f>
        <v/>
      </c>
      <c r="AJ301" s="2" t="str">
        <f>IF(Source!$C301&gt;=COLUMNS($A301:AJ301), Source!$E301, "")</f>
        <v/>
      </c>
      <c r="AK301" s="2" t="str">
        <f>IF(Source!$C301&gt;=COLUMNS($A301:AK301), Source!$E301, "")</f>
        <v/>
      </c>
      <c r="AL301" s="2" t="str">
        <f>IF(Source!$C301&gt;=COLUMNS($A301:AL301), Source!$E301, "")</f>
        <v/>
      </c>
      <c r="AM301" s="2" t="str">
        <f>IF(Source!$C301&gt;=COLUMNS($A301:AM301), Source!$E301, "")</f>
        <v/>
      </c>
      <c r="AN301" s="2" t="str">
        <f>IF(Source!$C301&gt;=COLUMNS($A301:AN301), Source!$E301, "")</f>
        <v/>
      </c>
      <c r="AO301" s="2" t="str">
        <f>IF(Source!$C301&gt;=COLUMNS($A301:AO301), Source!$E301, "")</f>
        <v/>
      </c>
      <c r="AP301" s="2" t="str">
        <f>IF(Source!$C301&gt;=COLUMNS($A301:AP301), Source!$E301, "")</f>
        <v/>
      </c>
      <c r="AQ301" s="2" t="str">
        <f>IF(Source!$C301&gt;=COLUMNS($A301:AQ301), Source!$E301, "")</f>
        <v/>
      </c>
      <c r="AR301" s="2" t="str">
        <f>IF(Source!$C301&gt;=COLUMNS($A301:AR301), Source!$E301, "")</f>
        <v/>
      </c>
    </row>
    <row r="302">
      <c r="A302" s="2">
        <f>IF(Source!$C302&gt;=COLUMNS($A302:A302), Source!$E302, "")</f>
        <v>7</v>
      </c>
      <c r="B302" s="2" t="str">
        <f>IF(Source!$C302&gt;=COLUMNS($A302:B302), Source!$E302, "")</f>
        <v/>
      </c>
      <c r="C302" s="2" t="str">
        <f>IF(Source!$C302&gt;=COLUMNS($A302:C302), Source!$E302, "")</f>
        <v/>
      </c>
      <c r="D302" s="2" t="str">
        <f>IF(Source!$C302&gt;=COLUMNS($A302:D302), Source!$E302, "")</f>
        <v/>
      </c>
      <c r="E302" s="2" t="str">
        <f>IF(Source!$C302&gt;=COLUMNS($A302:E302), Source!$E302, "")</f>
        <v/>
      </c>
      <c r="F302" s="2" t="str">
        <f>IF(Source!$C302&gt;=COLUMNS($A302:F302), Source!$E302, "")</f>
        <v/>
      </c>
      <c r="G302" s="2" t="str">
        <f>IF(Source!$C302&gt;=COLUMNS($A302:G302), Source!$E302, "")</f>
        <v/>
      </c>
      <c r="H302" s="2" t="str">
        <f>IF(Source!$C302&gt;=COLUMNS($A302:H302), Source!$E302, "")</f>
        <v/>
      </c>
      <c r="I302" s="2" t="str">
        <f>IF(Source!$C302&gt;=COLUMNS($A302:I302), Source!$E302, "")</f>
        <v/>
      </c>
      <c r="J302" s="2" t="str">
        <f>IF(Source!$C302&gt;=COLUMNS($A302:J302), Source!$E302, "")</f>
        <v/>
      </c>
      <c r="K302" s="2" t="str">
        <f>IF(Source!$C302&gt;=COLUMNS($A302:K302), Source!$E302, "")</f>
        <v/>
      </c>
      <c r="L302" s="2" t="str">
        <f>IF(Source!$C302&gt;=COLUMNS($A302:L302), Source!$E302, "")</f>
        <v/>
      </c>
      <c r="M302" s="2" t="str">
        <f>IF(Source!$C302&gt;=COLUMNS($A302:M302), Source!$E302, "")</f>
        <v/>
      </c>
      <c r="N302" s="2" t="str">
        <f>IF(Source!$C302&gt;=COLUMNS($A302:N302), Source!$E302, "")</f>
        <v/>
      </c>
      <c r="O302" s="2" t="str">
        <f>IF(Source!$C302&gt;=COLUMNS($A302:O302), Source!$E302, "")</f>
        <v/>
      </c>
      <c r="P302" s="2" t="str">
        <f>IF(Source!$C302&gt;=COLUMNS($A302:P302), Source!$E302, "")</f>
        <v/>
      </c>
      <c r="Q302" s="2" t="str">
        <f>IF(Source!$C302&gt;=COLUMNS($A302:Q302), Source!$E302, "")</f>
        <v/>
      </c>
      <c r="R302" s="2" t="str">
        <f>IF(Source!$C302&gt;=COLUMNS($A302:R302), Source!$E302, "")</f>
        <v/>
      </c>
      <c r="S302" s="2" t="str">
        <f>IF(Source!$C302&gt;=COLUMNS($A302:S302), Source!$E302, "")</f>
        <v/>
      </c>
      <c r="T302" s="2" t="str">
        <f>IF(Source!$C302&gt;=COLUMNS($A302:T302), Source!$E302, "")</f>
        <v/>
      </c>
      <c r="U302" s="2" t="str">
        <f>IF(Source!$C302&gt;=COLUMNS($A302:U302), Source!$E302, "")</f>
        <v/>
      </c>
      <c r="V302" s="2" t="str">
        <f>IF(Source!$C302&gt;=COLUMNS($A302:V302), Source!$E302, "")</f>
        <v/>
      </c>
      <c r="W302" s="2" t="str">
        <f>IF(Source!$C302&gt;=COLUMNS($A302:W302), Source!$E302, "")</f>
        <v/>
      </c>
      <c r="X302" s="2" t="str">
        <f>IF(Source!$C302&gt;=COLUMNS($A302:X302), Source!$E302, "")</f>
        <v/>
      </c>
      <c r="Y302" s="2" t="str">
        <f>IF(Source!$C302&gt;=COLUMNS($A302:Y302), Source!$E302, "")</f>
        <v/>
      </c>
      <c r="Z302" s="2" t="str">
        <f>IF(Source!$C302&gt;=COLUMNS($A302:Z302), Source!$E302, "")</f>
        <v/>
      </c>
      <c r="AA302" s="2" t="str">
        <f>IF(Source!$C302&gt;=COLUMNS($A302:AA302), Source!$E302, "")</f>
        <v/>
      </c>
      <c r="AB302" s="2" t="str">
        <f>IF(Source!$C302&gt;=COLUMNS($A302:AB302), Source!$E302, "")</f>
        <v/>
      </c>
      <c r="AC302" s="2" t="str">
        <f>IF(Source!$C302&gt;=COLUMNS($A302:AC302), Source!$E302, "")</f>
        <v/>
      </c>
      <c r="AD302" s="2" t="str">
        <f>IF(Source!$C302&gt;=COLUMNS($A302:AD302), Source!$E302, "")</f>
        <v/>
      </c>
      <c r="AE302" s="2" t="str">
        <f>IF(Source!$C302&gt;=COLUMNS($A302:AE302), Source!$E302, "")</f>
        <v/>
      </c>
      <c r="AF302" s="2" t="str">
        <f>IF(Source!$C302&gt;=COLUMNS($A302:AF302), Source!$E302, "")</f>
        <v/>
      </c>
      <c r="AG302" s="2" t="str">
        <f>IF(Source!$C302&gt;=COLUMNS($A302:AG302), Source!$E302, "")</f>
        <v/>
      </c>
      <c r="AH302" s="2" t="str">
        <f>IF(Source!$C302&gt;=COLUMNS($A302:AH302), Source!$E302, "")</f>
        <v/>
      </c>
      <c r="AI302" s="2" t="str">
        <f>IF(Source!$C302&gt;=COLUMNS($A302:AI302), Source!$E302, "")</f>
        <v/>
      </c>
      <c r="AJ302" s="2" t="str">
        <f>IF(Source!$C302&gt;=COLUMNS($A302:AJ302), Source!$E302, "")</f>
        <v/>
      </c>
      <c r="AK302" s="2" t="str">
        <f>IF(Source!$C302&gt;=COLUMNS($A302:AK302), Source!$E302, "")</f>
        <v/>
      </c>
      <c r="AL302" s="2" t="str">
        <f>IF(Source!$C302&gt;=COLUMNS($A302:AL302), Source!$E302, "")</f>
        <v/>
      </c>
      <c r="AM302" s="2" t="str">
        <f>IF(Source!$C302&gt;=COLUMNS($A302:AM302), Source!$E302, "")</f>
        <v/>
      </c>
      <c r="AN302" s="2" t="str">
        <f>IF(Source!$C302&gt;=COLUMNS($A302:AN302), Source!$E302, "")</f>
        <v/>
      </c>
      <c r="AO302" s="2" t="str">
        <f>IF(Source!$C302&gt;=COLUMNS($A302:AO302), Source!$E302, "")</f>
        <v/>
      </c>
      <c r="AP302" s="2" t="str">
        <f>IF(Source!$C302&gt;=COLUMNS($A302:AP302), Source!$E302, "")</f>
        <v/>
      </c>
      <c r="AQ302" s="2" t="str">
        <f>IF(Source!$C302&gt;=COLUMNS($A302:AQ302), Source!$E302, "")</f>
        <v/>
      </c>
      <c r="AR302" s="2" t="str">
        <f>IF(Source!$C302&gt;=COLUMNS($A302:AR302), Source!$E302, "")</f>
        <v/>
      </c>
    </row>
    <row r="303">
      <c r="A303" s="2">
        <f>IF(Source!$C303&gt;=COLUMNS($A303:A303), Source!$E303, "")</f>
        <v>7</v>
      </c>
      <c r="B303" s="2" t="str">
        <f>IF(Source!$C303&gt;=COLUMNS($A303:B303), Source!$E303, "")</f>
        <v/>
      </c>
      <c r="C303" s="2" t="str">
        <f>IF(Source!$C303&gt;=COLUMNS($A303:C303), Source!$E303, "")</f>
        <v/>
      </c>
      <c r="D303" s="2" t="str">
        <f>IF(Source!$C303&gt;=COLUMNS($A303:D303), Source!$E303, "")</f>
        <v/>
      </c>
      <c r="E303" s="2" t="str">
        <f>IF(Source!$C303&gt;=COLUMNS($A303:E303), Source!$E303, "")</f>
        <v/>
      </c>
      <c r="F303" s="2" t="str">
        <f>IF(Source!$C303&gt;=COLUMNS($A303:F303), Source!$E303, "")</f>
        <v/>
      </c>
      <c r="G303" s="2" t="str">
        <f>IF(Source!$C303&gt;=COLUMNS($A303:G303), Source!$E303, "")</f>
        <v/>
      </c>
      <c r="H303" s="2" t="str">
        <f>IF(Source!$C303&gt;=COLUMNS($A303:H303), Source!$E303, "")</f>
        <v/>
      </c>
      <c r="I303" s="2" t="str">
        <f>IF(Source!$C303&gt;=COLUMNS($A303:I303), Source!$E303, "")</f>
        <v/>
      </c>
      <c r="J303" s="2" t="str">
        <f>IF(Source!$C303&gt;=COLUMNS($A303:J303), Source!$E303, "")</f>
        <v/>
      </c>
      <c r="K303" s="2" t="str">
        <f>IF(Source!$C303&gt;=COLUMNS($A303:K303), Source!$E303, "")</f>
        <v/>
      </c>
      <c r="L303" s="2" t="str">
        <f>IF(Source!$C303&gt;=COLUMNS($A303:L303), Source!$E303, "")</f>
        <v/>
      </c>
      <c r="M303" s="2" t="str">
        <f>IF(Source!$C303&gt;=COLUMNS($A303:M303), Source!$E303, "")</f>
        <v/>
      </c>
      <c r="N303" s="2" t="str">
        <f>IF(Source!$C303&gt;=COLUMNS($A303:N303), Source!$E303, "")</f>
        <v/>
      </c>
      <c r="O303" s="2" t="str">
        <f>IF(Source!$C303&gt;=COLUMNS($A303:O303), Source!$E303, "")</f>
        <v/>
      </c>
      <c r="P303" s="2" t="str">
        <f>IF(Source!$C303&gt;=COLUMNS($A303:P303), Source!$E303, "")</f>
        <v/>
      </c>
      <c r="Q303" s="2" t="str">
        <f>IF(Source!$C303&gt;=COLUMNS($A303:Q303), Source!$E303, "")</f>
        <v/>
      </c>
      <c r="R303" s="2" t="str">
        <f>IF(Source!$C303&gt;=COLUMNS($A303:R303), Source!$E303, "")</f>
        <v/>
      </c>
      <c r="S303" s="2" t="str">
        <f>IF(Source!$C303&gt;=COLUMNS($A303:S303), Source!$E303, "")</f>
        <v/>
      </c>
      <c r="T303" s="2" t="str">
        <f>IF(Source!$C303&gt;=COLUMNS($A303:T303), Source!$E303, "")</f>
        <v/>
      </c>
      <c r="U303" s="2" t="str">
        <f>IF(Source!$C303&gt;=COLUMNS($A303:U303), Source!$E303, "")</f>
        <v/>
      </c>
      <c r="V303" s="2" t="str">
        <f>IF(Source!$C303&gt;=COLUMNS($A303:V303), Source!$E303, "")</f>
        <v/>
      </c>
      <c r="W303" s="2" t="str">
        <f>IF(Source!$C303&gt;=COLUMNS($A303:W303), Source!$E303, "")</f>
        <v/>
      </c>
      <c r="X303" s="2" t="str">
        <f>IF(Source!$C303&gt;=COLUMNS($A303:X303), Source!$E303, "")</f>
        <v/>
      </c>
      <c r="Y303" s="2" t="str">
        <f>IF(Source!$C303&gt;=COLUMNS($A303:Y303), Source!$E303, "")</f>
        <v/>
      </c>
      <c r="Z303" s="2" t="str">
        <f>IF(Source!$C303&gt;=COLUMNS($A303:Z303), Source!$E303, "")</f>
        <v/>
      </c>
      <c r="AA303" s="2" t="str">
        <f>IF(Source!$C303&gt;=COLUMNS($A303:AA303), Source!$E303, "")</f>
        <v/>
      </c>
      <c r="AB303" s="2" t="str">
        <f>IF(Source!$C303&gt;=COLUMNS($A303:AB303), Source!$E303, "")</f>
        <v/>
      </c>
      <c r="AC303" s="2" t="str">
        <f>IF(Source!$C303&gt;=COLUMNS($A303:AC303), Source!$E303, "")</f>
        <v/>
      </c>
      <c r="AD303" s="2" t="str">
        <f>IF(Source!$C303&gt;=COLUMNS($A303:AD303), Source!$E303, "")</f>
        <v/>
      </c>
      <c r="AE303" s="2" t="str">
        <f>IF(Source!$C303&gt;=COLUMNS($A303:AE303), Source!$E303, "")</f>
        <v/>
      </c>
      <c r="AF303" s="2" t="str">
        <f>IF(Source!$C303&gt;=COLUMNS($A303:AF303), Source!$E303, "")</f>
        <v/>
      </c>
      <c r="AG303" s="2" t="str">
        <f>IF(Source!$C303&gt;=COLUMNS($A303:AG303), Source!$E303, "")</f>
        <v/>
      </c>
      <c r="AH303" s="2" t="str">
        <f>IF(Source!$C303&gt;=COLUMNS($A303:AH303), Source!$E303, "")</f>
        <v/>
      </c>
      <c r="AI303" s="2" t="str">
        <f>IF(Source!$C303&gt;=COLUMNS($A303:AI303), Source!$E303, "")</f>
        <v/>
      </c>
      <c r="AJ303" s="2" t="str">
        <f>IF(Source!$C303&gt;=COLUMNS($A303:AJ303), Source!$E303, "")</f>
        <v/>
      </c>
      <c r="AK303" s="2" t="str">
        <f>IF(Source!$C303&gt;=COLUMNS($A303:AK303), Source!$E303, "")</f>
        <v/>
      </c>
      <c r="AL303" s="2" t="str">
        <f>IF(Source!$C303&gt;=COLUMNS($A303:AL303), Source!$E303, "")</f>
        <v/>
      </c>
      <c r="AM303" s="2" t="str">
        <f>IF(Source!$C303&gt;=COLUMNS($A303:AM303), Source!$E303, "")</f>
        <v/>
      </c>
      <c r="AN303" s="2" t="str">
        <f>IF(Source!$C303&gt;=COLUMNS($A303:AN303), Source!$E303, "")</f>
        <v/>
      </c>
      <c r="AO303" s="2" t="str">
        <f>IF(Source!$C303&gt;=COLUMNS($A303:AO303), Source!$E303, "")</f>
        <v/>
      </c>
      <c r="AP303" s="2" t="str">
        <f>IF(Source!$C303&gt;=COLUMNS($A303:AP303), Source!$E303, "")</f>
        <v/>
      </c>
      <c r="AQ303" s="2" t="str">
        <f>IF(Source!$C303&gt;=COLUMNS($A303:AQ303), Source!$E303, "")</f>
        <v/>
      </c>
      <c r="AR303" s="2" t="str">
        <f>IF(Source!$C303&gt;=COLUMNS($A303:AR303), Source!$E303, "")</f>
        <v/>
      </c>
    </row>
    <row r="304">
      <c r="A304" s="2">
        <f>IF(Source!$C304&gt;=COLUMNS($A304:A304), Source!$E304, "")</f>
        <v>8</v>
      </c>
      <c r="B304" s="2">
        <f>IF(Source!$C304&gt;=COLUMNS($A304:B304), Source!$E304, "")</f>
        <v>8</v>
      </c>
      <c r="C304" s="2">
        <f>IF(Source!$C304&gt;=COLUMNS($A304:C304), Source!$E304, "")</f>
        <v>8</v>
      </c>
      <c r="D304" s="2" t="str">
        <f>IF(Source!$C304&gt;=COLUMNS($A304:D304), Source!$E304, "")</f>
        <v/>
      </c>
      <c r="E304" s="2" t="str">
        <f>IF(Source!$C304&gt;=COLUMNS($A304:E304), Source!$E304, "")</f>
        <v/>
      </c>
      <c r="F304" s="2" t="str">
        <f>IF(Source!$C304&gt;=COLUMNS($A304:F304), Source!$E304, "")</f>
        <v/>
      </c>
      <c r="G304" s="2" t="str">
        <f>IF(Source!$C304&gt;=COLUMNS($A304:G304), Source!$E304, "")</f>
        <v/>
      </c>
      <c r="H304" s="2" t="str">
        <f>IF(Source!$C304&gt;=COLUMNS($A304:H304), Source!$E304, "")</f>
        <v/>
      </c>
      <c r="I304" s="2" t="str">
        <f>IF(Source!$C304&gt;=COLUMNS($A304:I304), Source!$E304, "")</f>
        <v/>
      </c>
      <c r="J304" s="2" t="str">
        <f>IF(Source!$C304&gt;=COLUMNS($A304:J304), Source!$E304, "")</f>
        <v/>
      </c>
      <c r="K304" s="2" t="str">
        <f>IF(Source!$C304&gt;=COLUMNS($A304:K304), Source!$E304, "")</f>
        <v/>
      </c>
      <c r="L304" s="2" t="str">
        <f>IF(Source!$C304&gt;=COLUMNS($A304:L304), Source!$E304, "")</f>
        <v/>
      </c>
      <c r="M304" s="2" t="str">
        <f>IF(Source!$C304&gt;=COLUMNS($A304:M304), Source!$E304, "")</f>
        <v/>
      </c>
      <c r="N304" s="2" t="str">
        <f>IF(Source!$C304&gt;=COLUMNS($A304:N304), Source!$E304, "")</f>
        <v/>
      </c>
      <c r="O304" s="2" t="str">
        <f>IF(Source!$C304&gt;=COLUMNS($A304:O304), Source!$E304, "")</f>
        <v/>
      </c>
      <c r="P304" s="2" t="str">
        <f>IF(Source!$C304&gt;=COLUMNS($A304:P304), Source!$E304, "")</f>
        <v/>
      </c>
      <c r="Q304" s="2" t="str">
        <f>IF(Source!$C304&gt;=COLUMNS($A304:Q304), Source!$E304, "")</f>
        <v/>
      </c>
      <c r="R304" s="2" t="str">
        <f>IF(Source!$C304&gt;=COLUMNS($A304:R304), Source!$E304, "")</f>
        <v/>
      </c>
      <c r="S304" s="2" t="str">
        <f>IF(Source!$C304&gt;=COLUMNS($A304:S304), Source!$E304, "")</f>
        <v/>
      </c>
      <c r="T304" s="2" t="str">
        <f>IF(Source!$C304&gt;=COLUMNS($A304:T304), Source!$E304, "")</f>
        <v/>
      </c>
      <c r="U304" s="2" t="str">
        <f>IF(Source!$C304&gt;=COLUMNS($A304:U304), Source!$E304, "")</f>
        <v/>
      </c>
      <c r="V304" s="2" t="str">
        <f>IF(Source!$C304&gt;=COLUMNS($A304:V304), Source!$E304, "")</f>
        <v/>
      </c>
      <c r="W304" s="2" t="str">
        <f>IF(Source!$C304&gt;=COLUMNS($A304:W304), Source!$E304, "")</f>
        <v/>
      </c>
      <c r="X304" s="2" t="str">
        <f>IF(Source!$C304&gt;=COLUMNS($A304:X304), Source!$E304, "")</f>
        <v/>
      </c>
      <c r="Y304" s="2" t="str">
        <f>IF(Source!$C304&gt;=COLUMNS($A304:Y304), Source!$E304, "")</f>
        <v/>
      </c>
      <c r="Z304" s="2" t="str">
        <f>IF(Source!$C304&gt;=COLUMNS($A304:Z304), Source!$E304, "")</f>
        <v/>
      </c>
      <c r="AA304" s="2" t="str">
        <f>IF(Source!$C304&gt;=COLUMNS($A304:AA304), Source!$E304, "")</f>
        <v/>
      </c>
      <c r="AB304" s="2" t="str">
        <f>IF(Source!$C304&gt;=COLUMNS($A304:AB304), Source!$E304, "")</f>
        <v/>
      </c>
      <c r="AC304" s="2" t="str">
        <f>IF(Source!$C304&gt;=COLUMNS($A304:AC304), Source!$E304, "")</f>
        <v/>
      </c>
      <c r="AD304" s="2" t="str">
        <f>IF(Source!$C304&gt;=COLUMNS($A304:AD304), Source!$E304, "")</f>
        <v/>
      </c>
      <c r="AE304" s="2" t="str">
        <f>IF(Source!$C304&gt;=COLUMNS($A304:AE304), Source!$E304, "")</f>
        <v/>
      </c>
      <c r="AF304" s="2" t="str">
        <f>IF(Source!$C304&gt;=COLUMNS($A304:AF304), Source!$E304, "")</f>
        <v/>
      </c>
      <c r="AG304" s="2" t="str">
        <f>IF(Source!$C304&gt;=COLUMNS($A304:AG304), Source!$E304, "")</f>
        <v/>
      </c>
      <c r="AH304" s="2" t="str">
        <f>IF(Source!$C304&gt;=COLUMNS($A304:AH304), Source!$E304, "")</f>
        <v/>
      </c>
      <c r="AI304" s="2" t="str">
        <f>IF(Source!$C304&gt;=COLUMNS($A304:AI304), Source!$E304, "")</f>
        <v/>
      </c>
      <c r="AJ304" s="2" t="str">
        <f>IF(Source!$C304&gt;=COLUMNS($A304:AJ304), Source!$E304, "")</f>
        <v/>
      </c>
      <c r="AK304" s="2" t="str">
        <f>IF(Source!$C304&gt;=COLUMNS($A304:AK304), Source!$E304, "")</f>
        <v/>
      </c>
      <c r="AL304" s="2" t="str">
        <f>IF(Source!$C304&gt;=COLUMNS($A304:AL304), Source!$E304, "")</f>
        <v/>
      </c>
      <c r="AM304" s="2" t="str">
        <f>IF(Source!$C304&gt;=COLUMNS($A304:AM304), Source!$E304, "")</f>
        <v/>
      </c>
      <c r="AN304" s="2" t="str">
        <f>IF(Source!$C304&gt;=COLUMNS($A304:AN304), Source!$E304, "")</f>
        <v/>
      </c>
      <c r="AO304" s="2" t="str">
        <f>IF(Source!$C304&gt;=COLUMNS($A304:AO304), Source!$E304, "")</f>
        <v/>
      </c>
      <c r="AP304" s="2" t="str">
        <f>IF(Source!$C304&gt;=COLUMNS($A304:AP304), Source!$E304, "")</f>
        <v/>
      </c>
      <c r="AQ304" s="2" t="str">
        <f>IF(Source!$C304&gt;=COLUMNS($A304:AQ304), Source!$E304, "")</f>
        <v/>
      </c>
      <c r="AR304" s="2" t="str">
        <f>IF(Source!$C304&gt;=COLUMNS($A304:AR304), Source!$E304, "")</f>
        <v/>
      </c>
    </row>
    <row r="305">
      <c r="A305" s="2">
        <f>IF(Source!$C305&gt;=COLUMNS($A305:A305), Source!$E305, "")</f>
        <v>6</v>
      </c>
      <c r="B305" s="2">
        <f>IF(Source!$C305&gt;=COLUMNS($A305:B305), Source!$E305, "")</f>
        <v>6</v>
      </c>
      <c r="C305" s="2">
        <f>IF(Source!$C305&gt;=COLUMNS($A305:C305), Source!$E305, "")</f>
        <v>6</v>
      </c>
      <c r="D305" s="2">
        <f>IF(Source!$C305&gt;=COLUMNS($A305:D305), Source!$E305, "")</f>
        <v>6</v>
      </c>
      <c r="E305" s="2">
        <f>IF(Source!$C305&gt;=COLUMNS($A305:E305), Source!$E305, "")</f>
        <v>6</v>
      </c>
      <c r="F305" s="2">
        <f>IF(Source!$C305&gt;=COLUMNS($A305:F305), Source!$E305, "")</f>
        <v>6</v>
      </c>
      <c r="G305" s="2">
        <f>IF(Source!$C305&gt;=COLUMNS($A305:G305), Source!$E305, "")</f>
        <v>6</v>
      </c>
      <c r="H305" s="2">
        <f>IF(Source!$C305&gt;=COLUMNS($A305:H305), Source!$E305, "")</f>
        <v>6</v>
      </c>
      <c r="I305" s="2">
        <f>IF(Source!$C305&gt;=COLUMNS($A305:I305), Source!$E305, "")</f>
        <v>6</v>
      </c>
      <c r="J305" s="2">
        <f>IF(Source!$C305&gt;=COLUMNS($A305:J305), Source!$E305, "")</f>
        <v>6</v>
      </c>
      <c r="K305" s="2">
        <f>IF(Source!$C305&gt;=COLUMNS($A305:K305), Source!$E305, "")</f>
        <v>6</v>
      </c>
      <c r="L305" s="2">
        <f>IF(Source!$C305&gt;=COLUMNS($A305:L305), Source!$E305, "")</f>
        <v>6</v>
      </c>
      <c r="M305" s="2">
        <f>IF(Source!$C305&gt;=COLUMNS($A305:M305), Source!$E305, "")</f>
        <v>6</v>
      </c>
      <c r="N305" s="2">
        <f>IF(Source!$C305&gt;=COLUMNS($A305:N305), Source!$E305, "")</f>
        <v>6</v>
      </c>
      <c r="O305" s="2">
        <f>IF(Source!$C305&gt;=COLUMNS($A305:O305), Source!$E305, "")</f>
        <v>6</v>
      </c>
      <c r="P305" s="2">
        <f>IF(Source!$C305&gt;=COLUMNS($A305:P305), Source!$E305, "")</f>
        <v>6</v>
      </c>
      <c r="Q305" s="2">
        <f>IF(Source!$C305&gt;=COLUMNS($A305:Q305), Source!$E305, "")</f>
        <v>6</v>
      </c>
      <c r="R305" s="2">
        <f>IF(Source!$C305&gt;=COLUMNS($A305:R305), Source!$E305, "")</f>
        <v>6</v>
      </c>
      <c r="S305" s="2">
        <f>IF(Source!$C305&gt;=COLUMNS($A305:S305), Source!$E305, "")</f>
        <v>6</v>
      </c>
      <c r="T305" s="2">
        <f>IF(Source!$C305&gt;=COLUMNS($A305:T305), Source!$E305, "")</f>
        <v>6</v>
      </c>
      <c r="U305" s="2">
        <f>IF(Source!$C305&gt;=COLUMNS($A305:U305), Source!$E305, "")</f>
        <v>6</v>
      </c>
      <c r="V305" s="2">
        <f>IF(Source!$C305&gt;=COLUMNS($A305:V305), Source!$E305, "")</f>
        <v>6</v>
      </c>
      <c r="W305" s="2">
        <f>IF(Source!$C305&gt;=COLUMNS($A305:W305), Source!$E305, "")</f>
        <v>6</v>
      </c>
      <c r="X305" s="2">
        <f>IF(Source!$C305&gt;=COLUMNS($A305:X305), Source!$E305, "")</f>
        <v>6</v>
      </c>
      <c r="Y305" s="2">
        <f>IF(Source!$C305&gt;=COLUMNS($A305:Y305), Source!$E305, "")</f>
        <v>6</v>
      </c>
      <c r="Z305" s="2">
        <f>IF(Source!$C305&gt;=COLUMNS($A305:Z305), Source!$E305, "")</f>
        <v>6</v>
      </c>
      <c r="AA305" s="2" t="str">
        <f>IF(Source!$C305&gt;=COLUMNS($A305:AA305), Source!$E305, "")</f>
        <v/>
      </c>
      <c r="AB305" s="2" t="str">
        <f>IF(Source!$C305&gt;=COLUMNS($A305:AB305), Source!$E305, "")</f>
        <v/>
      </c>
      <c r="AC305" s="2" t="str">
        <f>IF(Source!$C305&gt;=COLUMNS($A305:AC305), Source!$E305, "")</f>
        <v/>
      </c>
      <c r="AD305" s="2" t="str">
        <f>IF(Source!$C305&gt;=COLUMNS($A305:AD305), Source!$E305, "")</f>
        <v/>
      </c>
      <c r="AE305" s="2" t="str">
        <f>IF(Source!$C305&gt;=COLUMNS($A305:AE305), Source!$E305, "")</f>
        <v/>
      </c>
      <c r="AF305" s="2" t="str">
        <f>IF(Source!$C305&gt;=COLUMNS($A305:AF305), Source!$E305, "")</f>
        <v/>
      </c>
      <c r="AG305" s="2" t="str">
        <f>IF(Source!$C305&gt;=COLUMNS($A305:AG305), Source!$E305, "")</f>
        <v/>
      </c>
      <c r="AH305" s="2" t="str">
        <f>IF(Source!$C305&gt;=COLUMNS($A305:AH305), Source!$E305, "")</f>
        <v/>
      </c>
      <c r="AI305" s="2" t="str">
        <f>IF(Source!$C305&gt;=COLUMNS($A305:AI305), Source!$E305, "")</f>
        <v/>
      </c>
      <c r="AJ305" s="2" t="str">
        <f>IF(Source!$C305&gt;=COLUMNS($A305:AJ305), Source!$E305, "")</f>
        <v/>
      </c>
      <c r="AK305" s="2" t="str">
        <f>IF(Source!$C305&gt;=COLUMNS($A305:AK305), Source!$E305, "")</f>
        <v/>
      </c>
      <c r="AL305" s="2" t="str">
        <f>IF(Source!$C305&gt;=COLUMNS($A305:AL305), Source!$E305, "")</f>
        <v/>
      </c>
      <c r="AM305" s="2" t="str">
        <f>IF(Source!$C305&gt;=COLUMNS($A305:AM305), Source!$E305, "")</f>
        <v/>
      </c>
      <c r="AN305" s="2" t="str">
        <f>IF(Source!$C305&gt;=COLUMNS($A305:AN305), Source!$E305, "")</f>
        <v/>
      </c>
      <c r="AO305" s="2" t="str">
        <f>IF(Source!$C305&gt;=COLUMNS($A305:AO305), Source!$E305, "")</f>
        <v/>
      </c>
      <c r="AP305" s="2" t="str">
        <f>IF(Source!$C305&gt;=COLUMNS($A305:AP305), Source!$E305, "")</f>
        <v/>
      </c>
      <c r="AQ305" s="2" t="str">
        <f>IF(Source!$C305&gt;=COLUMNS($A305:AQ305), Source!$E305, "")</f>
        <v/>
      </c>
      <c r="AR305" s="2" t="str">
        <f>IF(Source!$C305&gt;=COLUMNS($A305:AR305), Source!$E305, "")</f>
        <v/>
      </c>
    </row>
    <row r="306">
      <c r="A306" s="2">
        <f>IF(Source!$C306&gt;=COLUMNS($A306:A306), Source!$E306, "")</f>
        <v>1</v>
      </c>
      <c r="B306" s="2">
        <f>IF(Source!$C306&gt;=COLUMNS($A306:B306), Source!$E306, "")</f>
        <v>1</v>
      </c>
      <c r="C306" s="2">
        <f>IF(Source!$C306&gt;=COLUMNS($A306:C306), Source!$E306, "")</f>
        <v>1</v>
      </c>
      <c r="D306" s="2">
        <f>IF(Source!$C306&gt;=COLUMNS($A306:D306), Source!$E306, "")</f>
        <v>1</v>
      </c>
      <c r="E306" s="2">
        <f>IF(Source!$C306&gt;=COLUMNS($A306:E306), Source!$E306, "")</f>
        <v>1</v>
      </c>
      <c r="F306" s="2">
        <f>IF(Source!$C306&gt;=COLUMNS($A306:F306), Source!$E306, "")</f>
        <v>1</v>
      </c>
      <c r="G306" s="2">
        <f>IF(Source!$C306&gt;=COLUMNS($A306:G306), Source!$E306, "")</f>
        <v>1</v>
      </c>
      <c r="H306" s="2">
        <f>IF(Source!$C306&gt;=COLUMNS($A306:H306), Source!$E306, "")</f>
        <v>1</v>
      </c>
      <c r="I306" s="2" t="str">
        <f>IF(Source!$C306&gt;=COLUMNS($A306:I306), Source!$E306, "")</f>
        <v/>
      </c>
      <c r="J306" s="2" t="str">
        <f>IF(Source!$C306&gt;=COLUMNS($A306:J306), Source!$E306, "")</f>
        <v/>
      </c>
      <c r="K306" s="2" t="str">
        <f>IF(Source!$C306&gt;=COLUMNS($A306:K306), Source!$E306, "")</f>
        <v/>
      </c>
      <c r="L306" s="2" t="str">
        <f>IF(Source!$C306&gt;=COLUMNS($A306:L306), Source!$E306, "")</f>
        <v/>
      </c>
      <c r="M306" s="2" t="str">
        <f>IF(Source!$C306&gt;=COLUMNS($A306:M306), Source!$E306, "")</f>
        <v/>
      </c>
      <c r="N306" s="2" t="str">
        <f>IF(Source!$C306&gt;=COLUMNS($A306:N306), Source!$E306, "")</f>
        <v/>
      </c>
      <c r="O306" s="2" t="str">
        <f>IF(Source!$C306&gt;=COLUMNS($A306:O306), Source!$E306, "")</f>
        <v/>
      </c>
      <c r="P306" s="2" t="str">
        <f>IF(Source!$C306&gt;=COLUMNS($A306:P306), Source!$E306, "")</f>
        <v/>
      </c>
      <c r="Q306" s="2" t="str">
        <f>IF(Source!$C306&gt;=COLUMNS($A306:Q306), Source!$E306, "")</f>
        <v/>
      </c>
      <c r="R306" s="2" t="str">
        <f>IF(Source!$C306&gt;=COLUMNS($A306:R306), Source!$E306, "")</f>
        <v/>
      </c>
      <c r="S306" s="2" t="str">
        <f>IF(Source!$C306&gt;=COLUMNS($A306:S306), Source!$E306, "")</f>
        <v/>
      </c>
      <c r="T306" s="2" t="str">
        <f>IF(Source!$C306&gt;=COLUMNS($A306:T306), Source!$E306, "")</f>
        <v/>
      </c>
      <c r="U306" s="2" t="str">
        <f>IF(Source!$C306&gt;=COLUMNS($A306:U306), Source!$E306, "")</f>
        <v/>
      </c>
      <c r="V306" s="2" t="str">
        <f>IF(Source!$C306&gt;=COLUMNS($A306:V306), Source!$E306, "")</f>
        <v/>
      </c>
      <c r="W306" s="2" t="str">
        <f>IF(Source!$C306&gt;=COLUMNS($A306:W306), Source!$E306, "")</f>
        <v/>
      </c>
      <c r="X306" s="2" t="str">
        <f>IF(Source!$C306&gt;=COLUMNS($A306:X306), Source!$E306, "")</f>
        <v/>
      </c>
      <c r="Y306" s="2" t="str">
        <f>IF(Source!$C306&gt;=COLUMNS($A306:Y306), Source!$E306, "")</f>
        <v/>
      </c>
      <c r="Z306" s="2" t="str">
        <f>IF(Source!$C306&gt;=COLUMNS($A306:Z306), Source!$E306, "")</f>
        <v/>
      </c>
      <c r="AA306" s="2" t="str">
        <f>IF(Source!$C306&gt;=COLUMNS($A306:AA306), Source!$E306, "")</f>
        <v/>
      </c>
      <c r="AB306" s="2" t="str">
        <f>IF(Source!$C306&gt;=COLUMNS($A306:AB306), Source!$E306, "")</f>
        <v/>
      </c>
      <c r="AC306" s="2" t="str">
        <f>IF(Source!$C306&gt;=COLUMNS($A306:AC306), Source!$E306, "")</f>
        <v/>
      </c>
      <c r="AD306" s="2" t="str">
        <f>IF(Source!$C306&gt;=COLUMNS($A306:AD306), Source!$E306, "")</f>
        <v/>
      </c>
      <c r="AE306" s="2" t="str">
        <f>IF(Source!$C306&gt;=COLUMNS($A306:AE306), Source!$E306, "")</f>
        <v/>
      </c>
      <c r="AF306" s="2" t="str">
        <f>IF(Source!$C306&gt;=COLUMNS($A306:AF306), Source!$E306, "")</f>
        <v/>
      </c>
      <c r="AG306" s="2" t="str">
        <f>IF(Source!$C306&gt;=COLUMNS($A306:AG306), Source!$E306, "")</f>
        <v/>
      </c>
      <c r="AH306" s="2" t="str">
        <f>IF(Source!$C306&gt;=COLUMNS($A306:AH306), Source!$E306, "")</f>
        <v/>
      </c>
      <c r="AI306" s="2" t="str">
        <f>IF(Source!$C306&gt;=COLUMNS($A306:AI306), Source!$E306, "")</f>
        <v/>
      </c>
      <c r="AJ306" s="2" t="str">
        <f>IF(Source!$C306&gt;=COLUMNS($A306:AJ306), Source!$E306, "")</f>
        <v/>
      </c>
      <c r="AK306" s="2" t="str">
        <f>IF(Source!$C306&gt;=COLUMNS($A306:AK306), Source!$E306, "")</f>
        <v/>
      </c>
      <c r="AL306" s="2" t="str">
        <f>IF(Source!$C306&gt;=COLUMNS($A306:AL306), Source!$E306, "")</f>
        <v/>
      </c>
      <c r="AM306" s="2" t="str">
        <f>IF(Source!$C306&gt;=COLUMNS($A306:AM306), Source!$E306, "")</f>
        <v/>
      </c>
      <c r="AN306" s="2" t="str">
        <f>IF(Source!$C306&gt;=COLUMNS($A306:AN306), Source!$E306, "")</f>
        <v/>
      </c>
      <c r="AO306" s="2" t="str">
        <f>IF(Source!$C306&gt;=COLUMNS($A306:AO306), Source!$E306, "")</f>
        <v/>
      </c>
      <c r="AP306" s="2" t="str">
        <f>IF(Source!$C306&gt;=COLUMNS($A306:AP306), Source!$E306, "")</f>
        <v/>
      </c>
      <c r="AQ306" s="2" t="str">
        <f>IF(Source!$C306&gt;=COLUMNS($A306:AQ306), Source!$E306, "")</f>
        <v/>
      </c>
      <c r="AR306" s="2" t="str">
        <f>IF(Source!$C306&gt;=COLUMNS($A306:AR306), Source!$E306, "")</f>
        <v/>
      </c>
    </row>
    <row r="307">
      <c r="A307" s="2">
        <f>IF(Source!$C307&gt;=COLUMNS($A307:A307), Source!$E307, "")</f>
        <v>6</v>
      </c>
      <c r="B307" s="2" t="str">
        <f>IF(Source!$C307&gt;=COLUMNS($A307:B307), Source!$E307, "")</f>
        <v/>
      </c>
      <c r="C307" s="2" t="str">
        <f>IF(Source!$C307&gt;=COLUMNS($A307:C307), Source!$E307, "")</f>
        <v/>
      </c>
      <c r="D307" s="2" t="str">
        <f>IF(Source!$C307&gt;=COLUMNS($A307:D307), Source!$E307, "")</f>
        <v/>
      </c>
      <c r="E307" s="2" t="str">
        <f>IF(Source!$C307&gt;=COLUMNS($A307:E307), Source!$E307, "")</f>
        <v/>
      </c>
      <c r="F307" s="2" t="str">
        <f>IF(Source!$C307&gt;=COLUMNS($A307:F307), Source!$E307, "")</f>
        <v/>
      </c>
      <c r="G307" s="2" t="str">
        <f>IF(Source!$C307&gt;=COLUMNS($A307:G307), Source!$E307, "")</f>
        <v/>
      </c>
      <c r="H307" s="2" t="str">
        <f>IF(Source!$C307&gt;=COLUMNS($A307:H307), Source!$E307, "")</f>
        <v/>
      </c>
      <c r="I307" s="2" t="str">
        <f>IF(Source!$C307&gt;=COLUMNS($A307:I307), Source!$E307, "")</f>
        <v/>
      </c>
      <c r="J307" s="2" t="str">
        <f>IF(Source!$C307&gt;=COLUMNS($A307:J307), Source!$E307, "")</f>
        <v/>
      </c>
      <c r="K307" s="2" t="str">
        <f>IF(Source!$C307&gt;=COLUMNS($A307:K307), Source!$E307, "")</f>
        <v/>
      </c>
      <c r="L307" s="2" t="str">
        <f>IF(Source!$C307&gt;=COLUMNS($A307:L307), Source!$E307, "")</f>
        <v/>
      </c>
      <c r="M307" s="2" t="str">
        <f>IF(Source!$C307&gt;=COLUMNS($A307:M307), Source!$E307, "")</f>
        <v/>
      </c>
      <c r="N307" s="2" t="str">
        <f>IF(Source!$C307&gt;=COLUMNS($A307:N307), Source!$E307, "")</f>
        <v/>
      </c>
      <c r="O307" s="2" t="str">
        <f>IF(Source!$C307&gt;=COLUMNS($A307:O307), Source!$E307, "")</f>
        <v/>
      </c>
      <c r="P307" s="2" t="str">
        <f>IF(Source!$C307&gt;=COLUMNS($A307:P307), Source!$E307, "")</f>
        <v/>
      </c>
      <c r="Q307" s="2" t="str">
        <f>IF(Source!$C307&gt;=COLUMNS($A307:Q307), Source!$E307, "")</f>
        <v/>
      </c>
      <c r="R307" s="2" t="str">
        <f>IF(Source!$C307&gt;=COLUMNS($A307:R307), Source!$E307, "")</f>
        <v/>
      </c>
      <c r="S307" s="2" t="str">
        <f>IF(Source!$C307&gt;=COLUMNS($A307:S307), Source!$E307, "")</f>
        <v/>
      </c>
      <c r="T307" s="2" t="str">
        <f>IF(Source!$C307&gt;=COLUMNS($A307:T307), Source!$E307, "")</f>
        <v/>
      </c>
      <c r="U307" s="2" t="str">
        <f>IF(Source!$C307&gt;=COLUMNS($A307:U307), Source!$E307, "")</f>
        <v/>
      </c>
      <c r="V307" s="2" t="str">
        <f>IF(Source!$C307&gt;=COLUMNS($A307:V307), Source!$E307, "")</f>
        <v/>
      </c>
      <c r="W307" s="2" t="str">
        <f>IF(Source!$C307&gt;=COLUMNS($A307:W307), Source!$E307, "")</f>
        <v/>
      </c>
      <c r="X307" s="2" t="str">
        <f>IF(Source!$C307&gt;=COLUMNS($A307:X307), Source!$E307, "")</f>
        <v/>
      </c>
      <c r="Y307" s="2" t="str">
        <f>IF(Source!$C307&gt;=COLUMNS($A307:Y307), Source!$E307, "")</f>
        <v/>
      </c>
      <c r="Z307" s="2" t="str">
        <f>IF(Source!$C307&gt;=COLUMNS($A307:Z307), Source!$E307, "")</f>
        <v/>
      </c>
      <c r="AA307" s="2" t="str">
        <f>IF(Source!$C307&gt;=COLUMNS($A307:AA307), Source!$E307, "")</f>
        <v/>
      </c>
      <c r="AB307" s="2" t="str">
        <f>IF(Source!$C307&gt;=COLUMNS($A307:AB307), Source!$E307, "")</f>
        <v/>
      </c>
      <c r="AC307" s="2" t="str">
        <f>IF(Source!$C307&gt;=COLUMNS($A307:AC307), Source!$E307, "")</f>
        <v/>
      </c>
      <c r="AD307" s="2" t="str">
        <f>IF(Source!$C307&gt;=COLUMNS($A307:AD307), Source!$E307, "")</f>
        <v/>
      </c>
      <c r="AE307" s="2" t="str">
        <f>IF(Source!$C307&gt;=COLUMNS($A307:AE307), Source!$E307, "")</f>
        <v/>
      </c>
      <c r="AF307" s="2" t="str">
        <f>IF(Source!$C307&gt;=COLUMNS($A307:AF307), Source!$E307, "")</f>
        <v/>
      </c>
      <c r="AG307" s="2" t="str">
        <f>IF(Source!$C307&gt;=COLUMNS($A307:AG307), Source!$E307, "")</f>
        <v/>
      </c>
      <c r="AH307" s="2" t="str">
        <f>IF(Source!$C307&gt;=COLUMNS($A307:AH307), Source!$E307, "")</f>
        <v/>
      </c>
      <c r="AI307" s="2" t="str">
        <f>IF(Source!$C307&gt;=COLUMNS($A307:AI307), Source!$E307, "")</f>
        <v/>
      </c>
      <c r="AJ307" s="2" t="str">
        <f>IF(Source!$C307&gt;=COLUMNS($A307:AJ307), Source!$E307, "")</f>
        <v/>
      </c>
      <c r="AK307" s="2" t="str">
        <f>IF(Source!$C307&gt;=COLUMNS($A307:AK307), Source!$E307, "")</f>
        <v/>
      </c>
      <c r="AL307" s="2" t="str">
        <f>IF(Source!$C307&gt;=COLUMNS($A307:AL307), Source!$E307, "")</f>
        <v/>
      </c>
      <c r="AM307" s="2" t="str">
        <f>IF(Source!$C307&gt;=COLUMNS($A307:AM307), Source!$E307, "")</f>
        <v/>
      </c>
      <c r="AN307" s="2" t="str">
        <f>IF(Source!$C307&gt;=COLUMNS($A307:AN307), Source!$E307, "")</f>
        <v/>
      </c>
      <c r="AO307" s="2" t="str">
        <f>IF(Source!$C307&gt;=COLUMNS($A307:AO307), Source!$E307, "")</f>
        <v/>
      </c>
      <c r="AP307" s="2" t="str">
        <f>IF(Source!$C307&gt;=COLUMNS($A307:AP307), Source!$E307, "")</f>
        <v/>
      </c>
      <c r="AQ307" s="2" t="str">
        <f>IF(Source!$C307&gt;=COLUMNS($A307:AQ307), Source!$E307, "")</f>
        <v/>
      </c>
      <c r="AR307" s="2" t="str">
        <f>IF(Source!$C307&gt;=COLUMNS($A307:AR307), Source!$E307, "")</f>
        <v/>
      </c>
    </row>
    <row r="308">
      <c r="A308" s="2">
        <f>IF(Source!$C308&gt;=COLUMNS($A308:A308), Source!$E308, "")</f>
        <v>2</v>
      </c>
      <c r="B308" s="2">
        <f>IF(Source!$C308&gt;=COLUMNS($A308:B308), Source!$E308, "")</f>
        <v>2</v>
      </c>
      <c r="C308" s="2">
        <f>IF(Source!$C308&gt;=COLUMNS($A308:C308), Source!$E308, "")</f>
        <v>2</v>
      </c>
      <c r="D308" s="2">
        <f>IF(Source!$C308&gt;=COLUMNS($A308:D308), Source!$E308, "")</f>
        <v>2</v>
      </c>
      <c r="E308" s="2">
        <f>IF(Source!$C308&gt;=COLUMNS($A308:E308), Source!$E308, "")</f>
        <v>2</v>
      </c>
      <c r="F308" s="2" t="str">
        <f>IF(Source!$C308&gt;=COLUMNS($A308:F308), Source!$E308, "")</f>
        <v/>
      </c>
      <c r="G308" s="2" t="str">
        <f>IF(Source!$C308&gt;=COLUMNS($A308:G308), Source!$E308, "")</f>
        <v/>
      </c>
      <c r="H308" s="2" t="str">
        <f>IF(Source!$C308&gt;=COLUMNS($A308:H308), Source!$E308, "")</f>
        <v/>
      </c>
      <c r="I308" s="2" t="str">
        <f>IF(Source!$C308&gt;=COLUMNS($A308:I308), Source!$E308, "")</f>
        <v/>
      </c>
      <c r="J308" s="2" t="str">
        <f>IF(Source!$C308&gt;=COLUMNS($A308:J308), Source!$E308, "")</f>
        <v/>
      </c>
      <c r="K308" s="2" t="str">
        <f>IF(Source!$C308&gt;=COLUMNS($A308:K308), Source!$E308, "")</f>
        <v/>
      </c>
      <c r="L308" s="2" t="str">
        <f>IF(Source!$C308&gt;=COLUMNS($A308:L308), Source!$E308, "")</f>
        <v/>
      </c>
      <c r="M308" s="2" t="str">
        <f>IF(Source!$C308&gt;=COLUMNS($A308:M308), Source!$E308, "")</f>
        <v/>
      </c>
      <c r="N308" s="2" t="str">
        <f>IF(Source!$C308&gt;=COLUMNS($A308:N308), Source!$E308, "")</f>
        <v/>
      </c>
      <c r="O308" s="2" t="str">
        <f>IF(Source!$C308&gt;=COLUMNS($A308:O308), Source!$E308, "")</f>
        <v/>
      </c>
      <c r="P308" s="2" t="str">
        <f>IF(Source!$C308&gt;=COLUMNS($A308:P308), Source!$E308, "")</f>
        <v/>
      </c>
      <c r="Q308" s="2" t="str">
        <f>IF(Source!$C308&gt;=COLUMNS($A308:Q308), Source!$E308, "")</f>
        <v/>
      </c>
      <c r="R308" s="2" t="str">
        <f>IF(Source!$C308&gt;=COLUMNS($A308:R308), Source!$E308, "")</f>
        <v/>
      </c>
      <c r="S308" s="2" t="str">
        <f>IF(Source!$C308&gt;=COLUMNS($A308:S308), Source!$E308, "")</f>
        <v/>
      </c>
      <c r="T308" s="2" t="str">
        <f>IF(Source!$C308&gt;=COLUMNS($A308:T308), Source!$E308, "")</f>
        <v/>
      </c>
      <c r="U308" s="2" t="str">
        <f>IF(Source!$C308&gt;=COLUMNS($A308:U308), Source!$E308, "")</f>
        <v/>
      </c>
      <c r="V308" s="2" t="str">
        <f>IF(Source!$C308&gt;=COLUMNS($A308:V308), Source!$E308, "")</f>
        <v/>
      </c>
      <c r="W308" s="2" t="str">
        <f>IF(Source!$C308&gt;=COLUMNS($A308:W308), Source!$E308, "")</f>
        <v/>
      </c>
      <c r="X308" s="2" t="str">
        <f>IF(Source!$C308&gt;=COLUMNS($A308:X308), Source!$E308, "")</f>
        <v/>
      </c>
      <c r="Y308" s="2" t="str">
        <f>IF(Source!$C308&gt;=COLUMNS($A308:Y308), Source!$E308, "")</f>
        <v/>
      </c>
      <c r="Z308" s="2" t="str">
        <f>IF(Source!$C308&gt;=COLUMNS($A308:Z308), Source!$E308, "")</f>
        <v/>
      </c>
      <c r="AA308" s="2" t="str">
        <f>IF(Source!$C308&gt;=COLUMNS($A308:AA308), Source!$E308, "")</f>
        <v/>
      </c>
      <c r="AB308" s="2" t="str">
        <f>IF(Source!$C308&gt;=COLUMNS($A308:AB308), Source!$E308, "")</f>
        <v/>
      </c>
      <c r="AC308" s="2" t="str">
        <f>IF(Source!$C308&gt;=COLUMNS($A308:AC308), Source!$E308, "")</f>
        <v/>
      </c>
      <c r="AD308" s="2" t="str">
        <f>IF(Source!$C308&gt;=COLUMNS($A308:AD308), Source!$E308, "")</f>
        <v/>
      </c>
      <c r="AE308" s="2" t="str">
        <f>IF(Source!$C308&gt;=COLUMNS($A308:AE308), Source!$E308, "")</f>
        <v/>
      </c>
      <c r="AF308" s="2" t="str">
        <f>IF(Source!$C308&gt;=COLUMNS($A308:AF308), Source!$E308, "")</f>
        <v/>
      </c>
      <c r="AG308" s="2" t="str">
        <f>IF(Source!$C308&gt;=COLUMNS($A308:AG308), Source!$E308, "")</f>
        <v/>
      </c>
      <c r="AH308" s="2" t="str">
        <f>IF(Source!$C308&gt;=COLUMNS($A308:AH308), Source!$E308, "")</f>
        <v/>
      </c>
      <c r="AI308" s="2" t="str">
        <f>IF(Source!$C308&gt;=COLUMNS($A308:AI308), Source!$E308, "")</f>
        <v/>
      </c>
      <c r="AJ308" s="2" t="str">
        <f>IF(Source!$C308&gt;=COLUMNS($A308:AJ308), Source!$E308, "")</f>
        <v/>
      </c>
      <c r="AK308" s="2" t="str">
        <f>IF(Source!$C308&gt;=COLUMNS($A308:AK308), Source!$E308, "")</f>
        <v/>
      </c>
      <c r="AL308" s="2" t="str">
        <f>IF(Source!$C308&gt;=COLUMNS($A308:AL308), Source!$E308, "")</f>
        <v/>
      </c>
      <c r="AM308" s="2" t="str">
        <f>IF(Source!$C308&gt;=COLUMNS($A308:AM308), Source!$E308, "")</f>
        <v/>
      </c>
      <c r="AN308" s="2" t="str">
        <f>IF(Source!$C308&gt;=COLUMNS($A308:AN308), Source!$E308, "")</f>
        <v/>
      </c>
      <c r="AO308" s="2" t="str">
        <f>IF(Source!$C308&gt;=COLUMNS($A308:AO308), Source!$E308, "")</f>
        <v/>
      </c>
      <c r="AP308" s="2" t="str">
        <f>IF(Source!$C308&gt;=COLUMNS($A308:AP308), Source!$E308, "")</f>
        <v/>
      </c>
      <c r="AQ308" s="2" t="str">
        <f>IF(Source!$C308&gt;=COLUMNS($A308:AQ308), Source!$E308, "")</f>
        <v/>
      </c>
      <c r="AR308" s="2" t="str">
        <f>IF(Source!$C308&gt;=COLUMNS($A308:AR308), Source!$E308, "")</f>
        <v/>
      </c>
    </row>
    <row r="309">
      <c r="A309" s="2">
        <f>IF(Source!$C309&gt;=COLUMNS($A309:A309), Source!$E309, "")</f>
        <v>2</v>
      </c>
      <c r="B309" s="2">
        <f>IF(Source!$C309&gt;=COLUMNS($A309:B309), Source!$E309, "")</f>
        <v>2</v>
      </c>
      <c r="C309" s="2" t="str">
        <f>IF(Source!$C309&gt;=COLUMNS($A309:C309), Source!$E309, "")</f>
        <v/>
      </c>
      <c r="D309" s="2" t="str">
        <f>IF(Source!$C309&gt;=COLUMNS($A309:D309), Source!$E309, "")</f>
        <v/>
      </c>
      <c r="E309" s="2" t="str">
        <f>IF(Source!$C309&gt;=COLUMNS($A309:E309), Source!$E309, "")</f>
        <v/>
      </c>
      <c r="F309" s="2" t="str">
        <f>IF(Source!$C309&gt;=COLUMNS($A309:F309), Source!$E309, "")</f>
        <v/>
      </c>
      <c r="G309" s="2" t="str">
        <f>IF(Source!$C309&gt;=COLUMNS($A309:G309), Source!$E309, "")</f>
        <v/>
      </c>
      <c r="H309" s="2" t="str">
        <f>IF(Source!$C309&gt;=COLUMNS($A309:H309), Source!$E309, "")</f>
        <v/>
      </c>
      <c r="I309" s="2" t="str">
        <f>IF(Source!$C309&gt;=COLUMNS($A309:I309), Source!$E309, "")</f>
        <v/>
      </c>
      <c r="J309" s="2" t="str">
        <f>IF(Source!$C309&gt;=COLUMNS($A309:J309), Source!$E309, "")</f>
        <v/>
      </c>
      <c r="K309" s="2" t="str">
        <f>IF(Source!$C309&gt;=COLUMNS($A309:K309), Source!$E309, "")</f>
        <v/>
      </c>
      <c r="L309" s="2" t="str">
        <f>IF(Source!$C309&gt;=COLUMNS($A309:L309), Source!$E309, "")</f>
        <v/>
      </c>
      <c r="M309" s="2" t="str">
        <f>IF(Source!$C309&gt;=COLUMNS($A309:M309), Source!$E309, "")</f>
        <v/>
      </c>
      <c r="N309" s="2" t="str">
        <f>IF(Source!$C309&gt;=COLUMNS($A309:N309), Source!$E309, "")</f>
        <v/>
      </c>
      <c r="O309" s="2" t="str">
        <f>IF(Source!$C309&gt;=COLUMNS($A309:O309), Source!$E309, "")</f>
        <v/>
      </c>
      <c r="P309" s="2" t="str">
        <f>IF(Source!$C309&gt;=COLUMNS($A309:P309), Source!$E309, "")</f>
        <v/>
      </c>
      <c r="Q309" s="2" t="str">
        <f>IF(Source!$C309&gt;=COLUMNS($A309:Q309), Source!$E309, "")</f>
        <v/>
      </c>
      <c r="R309" s="2" t="str">
        <f>IF(Source!$C309&gt;=COLUMNS($A309:R309), Source!$E309, "")</f>
        <v/>
      </c>
      <c r="S309" s="2" t="str">
        <f>IF(Source!$C309&gt;=COLUMNS($A309:S309), Source!$E309, "")</f>
        <v/>
      </c>
      <c r="T309" s="2" t="str">
        <f>IF(Source!$C309&gt;=COLUMNS($A309:T309), Source!$E309, "")</f>
        <v/>
      </c>
      <c r="U309" s="2" t="str">
        <f>IF(Source!$C309&gt;=COLUMNS($A309:U309), Source!$E309, "")</f>
        <v/>
      </c>
      <c r="V309" s="2" t="str">
        <f>IF(Source!$C309&gt;=COLUMNS($A309:V309), Source!$E309, "")</f>
        <v/>
      </c>
      <c r="W309" s="2" t="str">
        <f>IF(Source!$C309&gt;=COLUMNS($A309:W309), Source!$E309, "")</f>
        <v/>
      </c>
      <c r="X309" s="2" t="str">
        <f>IF(Source!$C309&gt;=COLUMNS($A309:X309), Source!$E309, "")</f>
        <v/>
      </c>
      <c r="Y309" s="2" t="str">
        <f>IF(Source!$C309&gt;=COLUMNS($A309:Y309), Source!$E309, "")</f>
        <v/>
      </c>
      <c r="Z309" s="2" t="str">
        <f>IF(Source!$C309&gt;=COLUMNS($A309:Z309), Source!$E309, "")</f>
        <v/>
      </c>
      <c r="AA309" s="2" t="str">
        <f>IF(Source!$C309&gt;=COLUMNS($A309:AA309), Source!$E309, "")</f>
        <v/>
      </c>
      <c r="AB309" s="2" t="str">
        <f>IF(Source!$C309&gt;=COLUMNS($A309:AB309), Source!$E309, "")</f>
        <v/>
      </c>
      <c r="AC309" s="2" t="str">
        <f>IF(Source!$C309&gt;=COLUMNS($A309:AC309), Source!$E309, "")</f>
        <v/>
      </c>
      <c r="AD309" s="2" t="str">
        <f>IF(Source!$C309&gt;=COLUMNS($A309:AD309), Source!$E309, "")</f>
        <v/>
      </c>
      <c r="AE309" s="2" t="str">
        <f>IF(Source!$C309&gt;=COLUMNS($A309:AE309), Source!$E309, "")</f>
        <v/>
      </c>
      <c r="AF309" s="2" t="str">
        <f>IF(Source!$C309&gt;=COLUMNS($A309:AF309), Source!$E309, "")</f>
        <v/>
      </c>
      <c r="AG309" s="2" t="str">
        <f>IF(Source!$C309&gt;=COLUMNS($A309:AG309), Source!$E309, "")</f>
        <v/>
      </c>
      <c r="AH309" s="2" t="str">
        <f>IF(Source!$C309&gt;=COLUMNS($A309:AH309), Source!$E309, "")</f>
        <v/>
      </c>
      <c r="AI309" s="2" t="str">
        <f>IF(Source!$C309&gt;=COLUMNS($A309:AI309), Source!$E309, "")</f>
        <v/>
      </c>
      <c r="AJ309" s="2" t="str">
        <f>IF(Source!$C309&gt;=COLUMNS($A309:AJ309), Source!$E309, "")</f>
        <v/>
      </c>
      <c r="AK309" s="2" t="str">
        <f>IF(Source!$C309&gt;=COLUMNS($A309:AK309), Source!$E309, "")</f>
        <v/>
      </c>
      <c r="AL309" s="2" t="str">
        <f>IF(Source!$C309&gt;=COLUMNS($A309:AL309), Source!$E309, "")</f>
        <v/>
      </c>
      <c r="AM309" s="2" t="str">
        <f>IF(Source!$C309&gt;=COLUMNS($A309:AM309), Source!$E309, "")</f>
        <v/>
      </c>
      <c r="AN309" s="2" t="str">
        <f>IF(Source!$C309&gt;=COLUMNS($A309:AN309), Source!$E309, "")</f>
        <v/>
      </c>
      <c r="AO309" s="2" t="str">
        <f>IF(Source!$C309&gt;=COLUMNS($A309:AO309), Source!$E309, "")</f>
        <v/>
      </c>
      <c r="AP309" s="2" t="str">
        <f>IF(Source!$C309&gt;=COLUMNS($A309:AP309), Source!$E309, "")</f>
        <v/>
      </c>
      <c r="AQ309" s="2" t="str">
        <f>IF(Source!$C309&gt;=COLUMNS($A309:AQ309), Source!$E309, "")</f>
        <v/>
      </c>
      <c r="AR309" s="2" t="str">
        <f>IF(Source!$C309&gt;=COLUMNS($A309:AR309), Source!$E309, "")</f>
        <v/>
      </c>
    </row>
    <row r="310">
      <c r="A310" s="2">
        <f>IF(Source!$C310&gt;=COLUMNS($A310:A310), Source!$E310, "")</f>
        <v>4</v>
      </c>
      <c r="B310" s="2">
        <f>IF(Source!$C310&gt;=COLUMNS($A310:B310), Source!$E310, "")</f>
        <v>4</v>
      </c>
      <c r="C310" s="2">
        <f>IF(Source!$C310&gt;=COLUMNS($A310:C310), Source!$E310, "")</f>
        <v>4</v>
      </c>
      <c r="D310" s="2">
        <f>IF(Source!$C310&gt;=COLUMNS($A310:D310), Source!$E310, "")</f>
        <v>4</v>
      </c>
      <c r="E310" s="2">
        <f>IF(Source!$C310&gt;=COLUMNS($A310:E310), Source!$E310, "")</f>
        <v>4</v>
      </c>
      <c r="F310" s="2">
        <f>IF(Source!$C310&gt;=COLUMNS($A310:F310), Source!$E310, "")</f>
        <v>4</v>
      </c>
      <c r="G310" s="2">
        <f>IF(Source!$C310&gt;=COLUMNS($A310:G310), Source!$E310, "")</f>
        <v>4</v>
      </c>
      <c r="H310" s="2">
        <f>IF(Source!$C310&gt;=COLUMNS($A310:H310), Source!$E310, "")</f>
        <v>4</v>
      </c>
      <c r="I310" s="2">
        <f>IF(Source!$C310&gt;=COLUMNS($A310:I310), Source!$E310, "")</f>
        <v>4</v>
      </c>
      <c r="J310" s="2">
        <f>IF(Source!$C310&gt;=COLUMNS($A310:J310), Source!$E310, "")</f>
        <v>4</v>
      </c>
      <c r="K310" s="2" t="str">
        <f>IF(Source!$C310&gt;=COLUMNS($A310:K310), Source!$E310, "")</f>
        <v/>
      </c>
      <c r="L310" s="2" t="str">
        <f>IF(Source!$C310&gt;=COLUMNS($A310:L310), Source!$E310, "")</f>
        <v/>
      </c>
      <c r="M310" s="2" t="str">
        <f>IF(Source!$C310&gt;=COLUMNS($A310:M310), Source!$E310, "")</f>
        <v/>
      </c>
      <c r="N310" s="2" t="str">
        <f>IF(Source!$C310&gt;=COLUMNS($A310:N310), Source!$E310, "")</f>
        <v/>
      </c>
      <c r="O310" s="2" t="str">
        <f>IF(Source!$C310&gt;=COLUMNS($A310:O310), Source!$E310, "")</f>
        <v/>
      </c>
      <c r="P310" s="2" t="str">
        <f>IF(Source!$C310&gt;=COLUMNS($A310:P310), Source!$E310, "")</f>
        <v/>
      </c>
      <c r="Q310" s="2" t="str">
        <f>IF(Source!$C310&gt;=COLUMNS($A310:Q310), Source!$E310, "")</f>
        <v/>
      </c>
      <c r="R310" s="2" t="str">
        <f>IF(Source!$C310&gt;=COLUMNS($A310:R310), Source!$E310, "")</f>
        <v/>
      </c>
      <c r="S310" s="2" t="str">
        <f>IF(Source!$C310&gt;=COLUMNS($A310:S310), Source!$E310, "")</f>
        <v/>
      </c>
      <c r="T310" s="2" t="str">
        <f>IF(Source!$C310&gt;=COLUMNS($A310:T310), Source!$E310, "")</f>
        <v/>
      </c>
      <c r="U310" s="2" t="str">
        <f>IF(Source!$C310&gt;=COLUMNS($A310:U310), Source!$E310, "")</f>
        <v/>
      </c>
      <c r="V310" s="2" t="str">
        <f>IF(Source!$C310&gt;=COLUMNS($A310:V310), Source!$E310, "")</f>
        <v/>
      </c>
      <c r="W310" s="2" t="str">
        <f>IF(Source!$C310&gt;=COLUMNS($A310:W310), Source!$E310, "")</f>
        <v/>
      </c>
      <c r="X310" s="2" t="str">
        <f>IF(Source!$C310&gt;=COLUMNS($A310:X310), Source!$E310, "")</f>
        <v/>
      </c>
      <c r="Y310" s="2" t="str">
        <f>IF(Source!$C310&gt;=COLUMNS($A310:Y310), Source!$E310, "")</f>
        <v/>
      </c>
      <c r="Z310" s="2" t="str">
        <f>IF(Source!$C310&gt;=COLUMNS($A310:Z310), Source!$E310, "")</f>
        <v/>
      </c>
      <c r="AA310" s="2" t="str">
        <f>IF(Source!$C310&gt;=COLUMNS($A310:AA310), Source!$E310, "")</f>
        <v/>
      </c>
      <c r="AB310" s="2" t="str">
        <f>IF(Source!$C310&gt;=COLUMNS($A310:AB310), Source!$E310, "")</f>
        <v/>
      </c>
      <c r="AC310" s="2" t="str">
        <f>IF(Source!$C310&gt;=COLUMNS($A310:AC310), Source!$E310, "")</f>
        <v/>
      </c>
      <c r="AD310" s="2" t="str">
        <f>IF(Source!$C310&gt;=COLUMNS($A310:AD310), Source!$E310, "")</f>
        <v/>
      </c>
      <c r="AE310" s="2" t="str">
        <f>IF(Source!$C310&gt;=COLUMNS($A310:AE310), Source!$E310, "")</f>
        <v/>
      </c>
      <c r="AF310" s="2" t="str">
        <f>IF(Source!$C310&gt;=COLUMNS($A310:AF310), Source!$E310, "")</f>
        <v/>
      </c>
      <c r="AG310" s="2" t="str">
        <f>IF(Source!$C310&gt;=COLUMNS($A310:AG310), Source!$E310, "")</f>
        <v/>
      </c>
      <c r="AH310" s="2" t="str">
        <f>IF(Source!$C310&gt;=COLUMNS($A310:AH310), Source!$E310, "")</f>
        <v/>
      </c>
      <c r="AI310" s="2" t="str">
        <f>IF(Source!$C310&gt;=COLUMNS($A310:AI310), Source!$E310, "")</f>
        <v/>
      </c>
      <c r="AJ310" s="2" t="str">
        <f>IF(Source!$C310&gt;=COLUMNS($A310:AJ310), Source!$E310, "")</f>
        <v/>
      </c>
      <c r="AK310" s="2" t="str">
        <f>IF(Source!$C310&gt;=COLUMNS($A310:AK310), Source!$E310, "")</f>
        <v/>
      </c>
      <c r="AL310" s="2" t="str">
        <f>IF(Source!$C310&gt;=COLUMNS($A310:AL310), Source!$E310, "")</f>
        <v/>
      </c>
      <c r="AM310" s="2" t="str">
        <f>IF(Source!$C310&gt;=COLUMNS($A310:AM310), Source!$E310, "")</f>
        <v/>
      </c>
      <c r="AN310" s="2" t="str">
        <f>IF(Source!$C310&gt;=COLUMNS($A310:AN310), Source!$E310, "")</f>
        <v/>
      </c>
      <c r="AO310" s="2" t="str">
        <f>IF(Source!$C310&gt;=COLUMNS($A310:AO310), Source!$E310, "")</f>
        <v/>
      </c>
      <c r="AP310" s="2" t="str">
        <f>IF(Source!$C310&gt;=COLUMNS($A310:AP310), Source!$E310, "")</f>
        <v/>
      </c>
      <c r="AQ310" s="2" t="str">
        <f>IF(Source!$C310&gt;=COLUMNS($A310:AQ310), Source!$E310, "")</f>
        <v/>
      </c>
      <c r="AR310" s="2" t="str">
        <f>IF(Source!$C310&gt;=COLUMNS($A310:AR310), Source!$E310, "")</f>
        <v/>
      </c>
    </row>
    <row r="311">
      <c r="A311" s="2">
        <f>IF(Source!$C311&gt;=COLUMNS($A311:A311), Source!$E311, "")</f>
        <v>6</v>
      </c>
      <c r="B311" s="2" t="str">
        <f>IF(Source!$C311&gt;=COLUMNS($A311:B311), Source!$E311, "")</f>
        <v/>
      </c>
      <c r="C311" s="2" t="str">
        <f>IF(Source!$C311&gt;=COLUMNS($A311:C311), Source!$E311, "")</f>
        <v/>
      </c>
      <c r="D311" s="2" t="str">
        <f>IF(Source!$C311&gt;=COLUMNS($A311:D311), Source!$E311, "")</f>
        <v/>
      </c>
      <c r="E311" s="2" t="str">
        <f>IF(Source!$C311&gt;=COLUMNS($A311:E311), Source!$E311, "")</f>
        <v/>
      </c>
      <c r="F311" s="2" t="str">
        <f>IF(Source!$C311&gt;=COLUMNS($A311:F311), Source!$E311, "")</f>
        <v/>
      </c>
      <c r="G311" s="2" t="str">
        <f>IF(Source!$C311&gt;=COLUMNS($A311:G311), Source!$E311, "")</f>
        <v/>
      </c>
      <c r="H311" s="2" t="str">
        <f>IF(Source!$C311&gt;=COLUMNS($A311:H311), Source!$E311, "")</f>
        <v/>
      </c>
      <c r="I311" s="2" t="str">
        <f>IF(Source!$C311&gt;=COLUMNS($A311:I311), Source!$E311, "")</f>
        <v/>
      </c>
      <c r="J311" s="2" t="str">
        <f>IF(Source!$C311&gt;=COLUMNS($A311:J311), Source!$E311, "")</f>
        <v/>
      </c>
      <c r="K311" s="2" t="str">
        <f>IF(Source!$C311&gt;=COLUMNS($A311:K311), Source!$E311, "")</f>
        <v/>
      </c>
      <c r="L311" s="2" t="str">
        <f>IF(Source!$C311&gt;=COLUMNS($A311:L311), Source!$E311, "")</f>
        <v/>
      </c>
      <c r="M311" s="2" t="str">
        <f>IF(Source!$C311&gt;=COLUMNS($A311:M311), Source!$E311, "")</f>
        <v/>
      </c>
      <c r="N311" s="2" t="str">
        <f>IF(Source!$C311&gt;=COLUMNS($A311:N311), Source!$E311, "")</f>
        <v/>
      </c>
      <c r="O311" s="2" t="str">
        <f>IF(Source!$C311&gt;=COLUMNS($A311:O311), Source!$E311, "")</f>
        <v/>
      </c>
      <c r="P311" s="2" t="str">
        <f>IF(Source!$C311&gt;=COLUMNS($A311:P311), Source!$E311, "")</f>
        <v/>
      </c>
      <c r="Q311" s="2" t="str">
        <f>IF(Source!$C311&gt;=COLUMNS($A311:Q311), Source!$E311, "")</f>
        <v/>
      </c>
      <c r="R311" s="2" t="str">
        <f>IF(Source!$C311&gt;=COLUMNS($A311:R311), Source!$E311, "")</f>
        <v/>
      </c>
      <c r="S311" s="2" t="str">
        <f>IF(Source!$C311&gt;=COLUMNS($A311:S311), Source!$E311, "")</f>
        <v/>
      </c>
      <c r="T311" s="2" t="str">
        <f>IF(Source!$C311&gt;=COLUMNS($A311:T311), Source!$E311, "")</f>
        <v/>
      </c>
      <c r="U311" s="2" t="str">
        <f>IF(Source!$C311&gt;=COLUMNS($A311:U311), Source!$E311, "")</f>
        <v/>
      </c>
      <c r="V311" s="2" t="str">
        <f>IF(Source!$C311&gt;=COLUMNS($A311:V311), Source!$E311, "")</f>
        <v/>
      </c>
      <c r="W311" s="2" t="str">
        <f>IF(Source!$C311&gt;=COLUMNS($A311:W311), Source!$E311, "")</f>
        <v/>
      </c>
      <c r="X311" s="2" t="str">
        <f>IF(Source!$C311&gt;=COLUMNS($A311:X311), Source!$E311, "")</f>
        <v/>
      </c>
      <c r="Y311" s="2" t="str">
        <f>IF(Source!$C311&gt;=COLUMNS($A311:Y311), Source!$E311, "")</f>
        <v/>
      </c>
      <c r="Z311" s="2" t="str">
        <f>IF(Source!$C311&gt;=COLUMNS($A311:Z311), Source!$E311, "")</f>
        <v/>
      </c>
      <c r="AA311" s="2" t="str">
        <f>IF(Source!$C311&gt;=COLUMNS($A311:AA311), Source!$E311, "")</f>
        <v/>
      </c>
      <c r="AB311" s="2" t="str">
        <f>IF(Source!$C311&gt;=COLUMNS($A311:AB311), Source!$E311, "")</f>
        <v/>
      </c>
      <c r="AC311" s="2" t="str">
        <f>IF(Source!$C311&gt;=COLUMNS($A311:AC311), Source!$E311, "")</f>
        <v/>
      </c>
      <c r="AD311" s="2" t="str">
        <f>IF(Source!$C311&gt;=COLUMNS($A311:AD311), Source!$E311, "")</f>
        <v/>
      </c>
      <c r="AE311" s="2" t="str">
        <f>IF(Source!$C311&gt;=COLUMNS($A311:AE311), Source!$E311, "")</f>
        <v/>
      </c>
      <c r="AF311" s="2" t="str">
        <f>IF(Source!$C311&gt;=COLUMNS($A311:AF311), Source!$E311, "")</f>
        <v/>
      </c>
      <c r="AG311" s="2" t="str">
        <f>IF(Source!$C311&gt;=COLUMNS($A311:AG311), Source!$E311, "")</f>
        <v/>
      </c>
      <c r="AH311" s="2" t="str">
        <f>IF(Source!$C311&gt;=COLUMNS($A311:AH311), Source!$E311, "")</f>
        <v/>
      </c>
      <c r="AI311" s="2" t="str">
        <f>IF(Source!$C311&gt;=COLUMNS($A311:AI311), Source!$E311, "")</f>
        <v/>
      </c>
      <c r="AJ311" s="2" t="str">
        <f>IF(Source!$C311&gt;=COLUMNS($A311:AJ311), Source!$E311, "")</f>
        <v/>
      </c>
      <c r="AK311" s="2" t="str">
        <f>IF(Source!$C311&gt;=COLUMNS($A311:AK311), Source!$E311, "")</f>
        <v/>
      </c>
      <c r="AL311" s="2" t="str">
        <f>IF(Source!$C311&gt;=COLUMNS($A311:AL311), Source!$E311, "")</f>
        <v/>
      </c>
      <c r="AM311" s="2" t="str">
        <f>IF(Source!$C311&gt;=COLUMNS($A311:AM311), Source!$E311, "")</f>
        <v/>
      </c>
      <c r="AN311" s="2" t="str">
        <f>IF(Source!$C311&gt;=COLUMNS($A311:AN311), Source!$E311, "")</f>
        <v/>
      </c>
      <c r="AO311" s="2" t="str">
        <f>IF(Source!$C311&gt;=COLUMNS($A311:AO311), Source!$E311, "")</f>
        <v/>
      </c>
      <c r="AP311" s="2" t="str">
        <f>IF(Source!$C311&gt;=COLUMNS($A311:AP311), Source!$E311, "")</f>
        <v/>
      </c>
      <c r="AQ311" s="2" t="str">
        <f>IF(Source!$C311&gt;=COLUMNS($A311:AQ311), Source!$E311, "")</f>
        <v/>
      </c>
      <c r="AR311" s="2" t="str">
        <f>IF(Source!$C311&gt;=COLUMNS($A311:AR311), Source!$E311, "")</f>
        <v/>
      </c>
    </row>
    <row r="312">
      <c r="A312" s="2">
        <f>IF(Source!$C312&gt;=COLUMNS($A312:A312), Source!$E312, "")</f>
        <v>1</v>
      </c>
      <c r="B312" s="2">
        <f>IF(Source!$C312&gt;=COLUMNS($A312:B312), Source!$E312, "")</f>
        <v>1</v>
      </c>
      <c r="C312" s="2">
        <f>IF(Source!$C312&gt;=COLUMNS($A312:C312), Source!$E312, "")</f>
        <v>1</v>
      </c>
      <c r="D312" s="2">
        <f>IF(Source!$C312&gt;=COLUMNS($A312:D312), Source!$E312, "")</f>
        <v>1</v>
      </c>
      <c r="E312" s="2">
        <f>IF(Source!$C312&gt;=COLUMNS($A312:E312), Source!$E312, "")</f>
        <v>1</v>
      </c>
      <c r="F312" s="2">
        <f>IF(Source!$C312&gt;=COLUMNS($A312:F312), Source!$E312, "")</f>
        <v>1</v>
      </c>
      <c r="G312" s="2">
        <f>IF(Source!$C312&gt;=COLUMNS($A312:G312), Source!$E312, "")</f>
        <v>1</v>
      </c>
      <c r="H312" s="2">
        <f>IF(Source!$C312&gt;=COLUMNS($A312:H312), Source!$E312, "")</f>
        <v>1</v>
      </c>
      <c r="I312" s="2">
        <f>IF(Source!$C312&gt;=COLUMNS($A312:I312), Source!$E312, "")</f>
        <v>1</v>
      </c>
      <c r="J312" s="2">
        <f>IF(Source!$C312&gt;=COLUMNS($A312:J312), Source!$E312, "")</f>
        <v>1</v>
      </c>
      <c r="K312" s="2">
        <f>IF(Source!$C312&gt;=COLUMNS($A312:K312), Source!$E312, "")</f>
        <v>1</v>
      </c>
      <c r="L312" s="2">
        <f>IF(Source!$C312&gt;=COLUMNS($A312:L312), Source!$E312, "")</f>
        <v>1</v>
      </c>
      <c r="M312" s="2">
        <f>IF(Source!$C312&gt;=COLUMNS($A312:M312), Source!$E312, "")</f>
        <v>1</v>
      </c>
      <c r="N312" s="2">
        <f>IF(Source!$C312&gt;=COLUMNS($A312:N312), Source!$E312, "")</f>
        <v>1</v>
      </c>
      <c r="O312" s="2">
        <f>IF(Source!$C312&gt;=COLUMNS($A312:O312), Source!$E312, "")</f>
        <v>1</v>
      </c>
      <c r="P312" s="2">
        <f>IF(Source!$C312&gt;=COLUMNS($A312:P312), Source!$E312, "")</f>
        <v>1</v>
      </c>
      <c r="Q312" s="2">
        <f>IF(Source!$C312&gt;=COLUMNS($A312:Q312), Source!$E312, "")</f>
        <v>1</v>
      </c>
      <c r="R312" s="2">
        <f>IF(Source!$C312&gt;=COLUMNS($A312:R312), Source!$E312, "")</f>
        <v>1</v>
      </c>
      <c r="S312" s="2">
        <f>IF(Source!$C312&gt;=COLUMNS($A312:S312), Source!$E312, "")</f>
        <v>1</v>
      </c>
      <c r="T312" s="2">
        <f>IF(Source!$C312&gt;=COLUMNS($A312:T312), Source!$E312, "")</f>
        <v>1</v>
      </c>
      <c r="U312" s="2">
        <f>IF(Source!$C312&gt;=COLUMNS($A312:U312), Source!$E312, "")</f>
        <v>1</v>
      </c>
      <c r="V312" s="2">
        <f>IF(Source!$C312&gt;=COLUMNS($A312:V312), Source!$E312, "")</f>
        <v>1</v>
      </c>
      <c r="W312" s="2" t="str">
        <f>IF(Source!$C312&gt;=COLUMNS($A312:W312), Source!$E312, "")</f>
        <v/>
      </c>
      <c r="X312" s="2" t="str">
        <f>IF(Source!$C312&gt;=COLUMNS($A312:X312), Source!$E312, "")</f>
        <v/>
      </c>
      <c r="Y312" s="2" t="str">
        <f>IF(Source!$C312&gt;=COLUMNS($A312:Y312), Source!$E312, "")</f>
        <v/>
      </c>
      <c r="Z312" s="2" t="str">
        <f>IF(Source!$C312&gt;=COLUMNS($A312:Z312), Source!$E312, "")</f>
        <v/>
      </c>
      <c r="AA312" s="2" t="str">
        <f>IF(Source!$C312&gt;=COLUMNS($A312:AA312), Source!$E312, "")</f>
        <v/>
      </c>
      <c r="AB312" s="2" t="str">
        <f>IF(Source!$C312&gt;=COLUMNS($A312:AB312), Source!$E312, "")</f>
        <v/>
      </c>
      <c r="AC312" s="2" t="str">
        <f>IF(Source!$C312&gt;=COLUMNS($A312:AC312), Source!$E312, "")</f>
        <v/>
      </c>
      <c r="AD312" s="2" t="str">
        <f>IF(Source!$C312&gt;=COLUMNS($A312:AD312), Source!$E312, "")</f>
        <v/>
      </c>
      <c r="AE312" s="2" t="str">
        <f>IF(Source!$C312&gt;=COLUMNS($A312:AE312), Source!$E312, "")</f>
        <v/>
      </c>
      <c r="AF312" s="2" t="str">
        <f>IF(Source!$C312&gt;=COLUMNS($A312:AF312), Source!$E312, "")</f>
        <v/>
      </c>
      <c r="AG312" s="2" t="str">
        <f>IF(Source!$C312&gt;=COLUMNS($A312:AG312), Source!$E312, "")</f>
        <v/>
      </c>
      <c r="AH312" s="2" t="str">
        <f>IF(Source!$C312&gt;=COLUMNS($A312:AH312), Source!$E312, "")</f>
        <v/>
      </c>
      <c r="AI312" s="2" t="str">
        <f>IF(Source!$C312&gt;=COLUMNS($A312:AI312), Source!$E312, "")</f>
        <v/>
      </c>
      <c r="AJ312" s="2" t="str">
        <f>IF(Source!$C312&gt;=COLUMNS($A312:AJ312), Source!$E312, "")</f>
        <v/>
      </c>
      <c r="AK312" s="2" t="str">
        <f>IF(Source!$C312&gt;=COLUMNS($A312:AK312), Source!$E312, "")</f>
        <v/>
      </c>
      <c r="AL312" s="2" t="str">
        <f>IF(Source!$C312&gt;=COLUMNS($A312:AL312), Source!$E312, "")</f>
        <v/>
      </c>
      <c r="AM312" s="2" t="str">
        <f>IF(Source!$C312&gt;=COLUMNS($A312:AM312), Source!$E312, "")</f>
        <v/>
      </c>
      <c r="AN312" s="2" t="str">
        <f>IF(Source!$C312&gt;=COLUMNS($A312:AN312), Source!$E312, "")</f>
        <v/>
      </c>
      <c r="AO312" s="2" t="str">
        <f>IF(Source!$C312&gt;=COLUMNS($A312:AO312), Source!$E312, "")</f>
        <v/>
      </c>
      <c r="AP312" s="2" t="str">
        <f>IF(Source!$C312&gt;=COLUMNS($A312:AP312), Source!$E312, "")</f>
        <v/>
      </c>
      <c r="AQ312" s="2" t="str">
        <f>IF(Source!$C312&gt;=COLUMNS($A312:AQ312), Source!$E312, "")</f>
        <v/>
      </c>
      <c r="AR312" s="2" t="str">
        <f>IF(Source!$C312&gt;=COLUMNS($A312:AR312), Source!$E312, "")</f>
        <v/>
      </c>
    </row>
    <row r="313">
      <c r="A313" s="2">
        <f>IF(Source!$C313&gt;=COLUMNS($A313:A313), Source!$E313, "")</f>
        <v>6</v>
      </c>
      <c r="B313" s="2" t="str">
        <f>IF(Source!$C313&gt;=COLUMNS($A313:B313), Source!$E313, "")</f>
        <v/>
      </c>
      <c r="C313" s="2" t="str">
        <f>IF(Source!$C313&gt;=COLUMNS($A313:C313), Source!$E313, "")</f>
        <v/>
      </c>
      <c r="D313" s="2" t="str">
        <f>IF(Source!$C313&gt;=COLUMNS($A313:D313), Source!$E313, "")</f>
        <v/>
      </c>
      <c r="E313" s="2" t="str">
        <f>IF(Source!$C313&gt;=COLUMNS($A313:E313), Source!$E313, "")</f>
        <v/>
      </c>
      <c r="F313" s="2" t="str">
        <f>IF(Source!$C313&gt;=COLUMNS($A313:F313), Source!$E313, "")</f>
        <v/>
      </c>
      <c r="G313" s="2" t="str">
        <f>IF(Source!$C313&gt;=COLUMNS($A313:G313), Source!$E313, "")</f>
        <v/>
      </c>
      <c r="H313" s="2" t="str">
        <f>IF(Source!$C313&gt;=COLUMNS($A313:H313), Source!$E313, "")</f>
        <v/>
      </c>
      <c r="I313" s="2" t="str">
        <f>IF(Source!$C313&gt;=COLUMNS($A313:I313), Source!$E313, "")</f>
        <v/>
      </c>
      <c r="J313" s="2" t="str">
        <f>IF(Source!$C313&gt;=COLUMNS($A313:J313), Source!$E313, "")</f>
        <v/>
      </c>
      <c r="K313" s="2" t="str">
        <f>IF(Source!$C313&gt;=COLUMNS($A313:K313), Source!$E313, "")</f>
        <v/>
      </c>
      <c r="L313" s="2" t="str">
        <f>IF(Source!$C313&gt;=COLUMNS($A313:L313), Source!$E313, "")</f>
        <v/>
      </c>
      <c r="M313" s="2" t="str">
        <f>IF(Source!$C313&gt;=COLUMNS($A313:M313), Source!$E313, "")</f>
        <v/>
      </c>
      <c r="N313" s="2" t="str">
        <f>IF(Source!$C313&gt;=COLUMNS($A313:N313), Source!$E313, "")</f>
        <v/>
      </c>
      <c r="O313" s="2" t="str">
        <f>IF(Source!$C313&gt;=COLUMNS($A313:O313), Source!$E313, "")</f>
        <v/>
      </c>
      <c r="P313" s="2" t="str">
        <f>IF(Source!$C313&gt;=COLUMNS($A313:P313), Source!$E313, "")</f>
        <v/>
      </c>
      <c r="Q313" s="2" t="str">
        <f>IF(Source!$C313&gt;=COLUMNS($A313:Q313), Source!$E313, "")</f>
        <v/>
      </c>
      <c r="R313" s="2" t="str">
        <f>IF(Source!$C313&gt;=COLUMNS($A313:R313), Source!$E313, "")</f>
        <v/>
      </c>
      <c r="S313" s="2" t="str">
        <f>IF(Source!$C313&gt;=COLUMNS($A313:S313), Source!$E313, "")</f>
        <v/>
      </c>
      <c r="T313" s="2" t="str">
        <f>IF(Source!$C313&gt;=COLUMNS($A313:T313), Source!$E313, "")</f>
        <v/>
      </c>
      <c r="U313" s="2" t="str">
        <f>IF(Source!$C313&gt;=COLUMNS($A313:U313), Source!$E313, "")</f>
        <v/>
      </c>
      <c r="V313" s="2" t="str">
        <f>IF(Source!$C313&gt;=COLUMNS($A313:V313), Source!$E313, "")</f>
        <v/>
      </c>
      <c r="W313" s="2" t="str">
        <f>IF(Source!$C313&gt;=COLUMNS($A313:W313), Source!$E313, "")</f>
        <v/>
      </c>
      <c r="X313" s="2" t="str">
        <f>IF(Source!$C313&gt;=COLUMNS($A313:X313), Source!$E313, "")</f>
        <v/>
      </c>
      <c r="Y313" s="2" t="str">
        <f>IF(Source!$C313&gt;=COLUMNS($A313:Y313), Source!$E313, "")</f>
        <v/>
      </c>
      <c r="Z313" s="2" t="str">
        <f>IF(Source!$C313&gt;=COLUMNS($A313:Z313), Source!$E313, "")</f>
        <v/>
      </c>
      <c r="AA313" s="2" t="str">
        <f>IF(Source!$C313&gt;=COLUMNS($A313:AA313), Source!$E313, "")</f>
        <v/>
      </c>
      <c r="AB313" s="2" t="str">
        <f>IF(Source!$C313&gt;=COLUMNS($A313:AB313), Source!$E313, "")</f>
        <v/>
      </c>
      <c r="AC313" s="2" t="str">
        <f>IF(Source!$C313&gt;=COLUMNS($A313:AC313), Source!$E313, "")</f>
        <v/>
      </c>
      <c r="AD313" s="2" t="str">
        <f>IF(Source!$C313&gt;=COLUMNS($A313:AD313), Source!$E313, "")</f>
        <v/>
      </c>
      <c r="AE313" s="2" t="str">
        <f>IF(Source!$C313&gt;=COLUMNS($A313:AE313), Source!$E313, "")</f>
        <v/>
      </c>
      <c r="AF313" s="2" t="str">
        <f>IF(Source!$C313&gt;=COLUMNS($A313:AF313), Source!$E313, "")</f>
        <v/>
      </c>
      <c r="AG313" s="2" t="str">
        <f>IF(Source!$C313&gt;=COLUMNS($A313:AG313), Source!$E313, "")</f>
        <v/>
      </c>
      <c r="AH313" s="2" t="str">
        <f>IF(Source!$C313&gt;=COLUMNS($A313:AH313), Source!$E313, "")</f>
        <v/>
      </c>
      <c r="AI313" s="2" t="str">
        <f>IF(Source!$C313&gt;=COLUMNS($A313:AI313), Source!$E313, "")</f>
        <v/>
      </c>
      <c r="AJ313" s="2" t="str">
        <f>IF(Source!$C313&gt;=COLUMNS($A313:AJ313), Source!$E313, "")</f>
        <v/>
      </c>
      <c r="AK313" s="2" t="str">
        <f>IF(Source!$C313&gt;=COLUMNS($A313:AK313), Source!$E313, "")</f>
        <v/>
      </c>
      <c r="AL313" s="2" t="str">
        <f>IF(Source!$C313&gt;=COLUMNS($A313:AL313), Source!$E313, "")</f>
        <v/>
      </c>
      <c r="AM313" s="2" t="str">
        <f>IF(Source!$C313&gt;=COLUMNS($A313:AM313), Source!$E313, "")</f>
        <v/>
      </c>
      <c r="AN313" s="2" t="str">
        <f>IF(Source!$C313&gt;=COLUMNS($A313:AN313), Source!$E313, "")</f>
        <v/>
      </c>
      <c r="AO313" s="2" t="str">
        <f>IF(Source!$C313&gt;=COLUMNS($A313:AO313), Source!$E313, "")</f>
        <v/>
      </c>
      <c r="AP313" s="2" t="str">
        <f>IF(Source!$C313&gt;=COLUMNS($A313:AP313), Source!$E313, "")</f>
        <v/>
      </c>
      <c r="AQ313" s="2" t="str">
        <f>IF(Source!$C313&gt;=COLUMNS($A313:AQ313), Source!$E313, "")</f>
        <v/>
      </c>
      <c r="AR313" s="2" t="str">
        <f>IF(Source!$C313&gt;=COLUMNS($A313:AR313), Source!$E313, "")</f>
        <v/>
      </c>
    </row>
    <row r="314">
      <c r="A314" s="2">
        <f>IF(Source!$C314&gt;=COLUMNS($A314:A314), Source!$E314, "")</f>
        <v>4</v>
      </c>
      <c r="B314" s="2">
        <f>IF(Source!$C314&gt;=COLUMNS($A314:B314), Source!$E314, "")</f>
        <v>4</v>
      </c>
      <c r="C314" s="2">
        <f>IF(Source!$C314&gt;=COLUMNS($A314:C314), Source!$E314, "")</f>
        <v>4</v>
      </c>
      <c r="D314" s="2">
        <f>IF(Source!$C314&gt;=COLUMNS($A314:D314), Source!$E314, "")</f>
        <v>4</v>
      </c>
      <c r="E314" s="2">
        <f>IF(Source!$C314&gt;=COLUMNS($A314:E314), Source!$E314, "")</f>
        <v>4</v>
      </c>
      <c r="F314" s="2">
        <f>IF(Source!$C314&gt;=COLUMNS($A314:F314), Source!$E314, "")</f>
        <v>4</v>
      </c>
      <c r="G314" s="2" t="str">
        <f>IF(Source!$C314&gt;=COLUMNS($A314:G314), Source!$E314, "")</f>
        <v/>
      </c>
      <c r="H314" s="2" t="str">
        <f>IF(Source!$C314&gt;=COLUMNS($A314:H314), Source!$E314, "")</f>
        <v/>
      </c>
      <c r="I314" s="2" t="str">
        <f>IF(Source!$C314&gt;=COLUMNS($A314:I314), Source!$E314, "")</f>
        <v/>
      </c>
      <c r="J314" s="2" t="str">
        <f>IF(Source!$C314&gt;=COLUMNS($A314:J314), Source!$E314, "")</f>
        <v/>
      </c>
      <c r="K314" s="2" t="str">
        <f>IF(Source!$C314&gt;=COLUMNS($A314:K314), Source!$E314, "")</f>
        <v/>
      </c>
      <c r="L314" s="2" t="str">
        <f>IF(Source!$C314&gt;=COLUMNS($A314:L314), Source!$E314, "")</f>
        <v/>
      </c>
      <c r="M314" s="2" t="str">
        <f>IF(Source!$C314&gt;=COLUMNS($A314:M314), Source!$E314, "")</f>
        <v/>
      </c>
      <c r="N314" s="2" t="str">
        <f>IF(Source!$C314&gt;=COLUMNS($A314:N314), Source!$E314, "")</f>
        <v/>
      </c>
      <c r="O314" s="2" t="str">
        <f>IF(Source!$C314&gt;=COLUMNS($A314:O314), Source!$E314, "")</f>
        <v/>
      </c>
      <c r="P314" s="2" t="str">
        <f>IF(Source!$C314&gt;=COLUMNS($A314:P314), Source!$E314, "")</f>
        <v/>
      </c>
      <c r="Q314" s="2" t="str">
        <f>IF(Source!$C314&gt;=COLUMNS($A314:Q314), Source!$E314, "")</f>
        <v/>
      </c>
      <c r="R314" s="2" t="str">
        <f>IF(Source!$C314&gt;=COLUMNS($A314:R314), Source!$E314, "")</f>
        <v/>
      </c>
      <c r="S314" s="2" t="str">
        <f>IF(Source!$C314&gt;=COLUMNS($A314:S314), Source!$E314, "")</f>
        <v/>
      </c>
      <c r="T314" s="2" t="str">
        <f>IF(Source!$C314&gt;=COLUMNS($A314:T314), Source!$E314, "")</f>
        <v/>
      </c>
      <c r="U314" s="2" t="str">
        <f>IF(Source!$C314&gt;=COLUMNS($A314:U314), Source!$E314, "")</f>
        <v/>
      </c>
      <c r="V314" s="2" t="str">
        <f>IF(Source!$C314&gt;=COLUMNS($A314:V314), Source!$E314, "")</f>
        <v/>
      </c>
      <c r="W314" s="2" t="str">
        <f>IF(Source!$C314&gt;=COLUMNS($A314:W314), Source!$E314, "")</f>
        <v/>
      </c>
      <c r="X314" s="2" t="str">
        <f>IF(Source!$C314&gt;=COLUMNS($A314:X314), Source!$E314, "")</f>
        <v/>
      </c>
      <c r="Y314" s="2" t="str">
        <f>IF(Source!$C314&gt;=COLUMNS($A314:Y314), Source!$E314, "")</f>
        <v/>
      </c>
      <c r="Z314" s="2" t="str">
        <f>IF(Source!$C314&gt;=COLUMNS($A314:Z314), Source!$E314, "")</f>
        <v/>
      </c>
      <c r="AA314" s="2" t="str">
        <f>IF(Source!$C314&gt;=COLUMNS($A314:AA314), Source!$E314, "")</f>
        <v/>
      </c>
      <c r="AB314" s="2" t="str">
        <f>IF(Source!$C314&gt;=COLUMNS($A314:AB314), Source!$E314, "")</f>
        <v/>
      </c>
      <c r="AC314" s="2" t="str">
        <f>IF(Source!$C314&gt;=COLUMNS($A314:AC314), Source!$E314, "")</f>
        <v/>
      </c>
      <c r="AD314" s="2" t="str">
        <f>IF(Source!$C314&gt;=COLUMNS($A314:AD314), Source!$E314, "")</f>
        <v/>
      </c>
      <c r="AE314" s="2" t="str">
        <f>IF(Source!$C314&gt;=COLUMNS($A314:AE314), Source!$E314, "")</f>
        <v/>
      </c>
      <c r="AF314" s="2" t="str">
        <f>IF(Source!$C314&gt;=COLUMNS($A314:AF314), Source!$E314, "")</f>
        <v/>
      </c>
      <c r="AG314" s="2" t="str">
        <f>IF(Source!$C314&gt;=COLUMNS($A314:AG314), Source!$E314, "")</f>
        <v/>
      </c>
      <c r="AH314" s="2" t="str">
        <f>IF(Source!$C314&gt;=COLUMNS($A314:AH314), Source!$E314, "")</f>
        <v/>
      </c>
      <c r="AI314" s="2" t="str">
        <f>IF(Source!$C314&gt;=COLUMNS($A314:AI314), Source!$E314, "")</f>
        <v/>
      </c>
      <c r="AJ314" s="2" t="str">
        <f>IF(Source!$C314&gt;=COLUMNS($A314:AJ314), Source!$E314, "")</f>
        <v/>
      </c>
      <c r="AK314" s="2" t="str">
        <f>IF(Source!$C314&gt;=COLUMNS($A314:AK314), Source!$E314, "")</f>
        <v/>
      </c>
      <c r="AL314" s="2" t="str">
        <f>IF(Source!$C314&gt;=COLUMNS($A314:AL314), Source!$E314, "")</f>
        <v/>
      </c>
      <c r="AM314" s="2" t="str">
        <f>IF(Source!$C314&gt;=COLUMNS($A314:AM314), Source!$E314, "")</f>
        <v/>
      </c>
      <c r="AN314" s="2" t="str">
        <f>IF(Source!$C314&gt;=COLUMNS($A314:AN314), Source!$E314, "")</f>
        <v/>
      </c>
      <c r="AO314" s="2" t="str">
        <f>IF(Source!$C314&gt;=COLUMNS($A314:AO314), Source!$E314, "")</f>
        <v/>
      </c>
      <c r="AP314" s="2" t="str">
        <f>IF(Source!$C314&gt;=COLUMNS($A314:AP314), Source!$E314, "")</f>
        <v/>
      </c>
      <c r="AQ314" s="2" t="str">
        <f>IF(Source!$C314&gt;=COLUMNS($A314:AQ314), Source!$E314, "")</f>
        <v/>
      </c>
      <c r="AR314" s="2" t="str">
        <f>IF(Source!$C314&gt;=COLUMNS($A314:AR314), Source!$E314, "")</f>
        <v/>
      </c>
    </row>
    <row r="315">
      <c r="A315" s="2">
        <f>IF(Source!$C315&gt;=COLUMNS($A315:A315), Source!$E315, "")</f>
        <v>5</v>
      </c>
      <c r="B315" s="2" t="str">
        <f>IF(Source!$C315&gt;=COLUMNS($A315:B315), Source!$E315, "")</f>
        <v/>
      </c>
      <c r="C315" s="2" t="str">
        <f>IF(Source!$C315&gt;=COLUMNS($A315:C315), Source!$E315, "")</f>
        <v/>
      </c>
      <c r="D315" s="2" t="str">
        <f>IF(Source!$C315&gt;=COLUMNS($A315:D315), Source!$E315, "")</f>
        <v/>
      </c>
      <c r="E315" s="2" t="str">
        <f>IF(Source!$C315&gt;=COLUMNS($A315:E315), Source!$E315, "")</f>
        <v/>
      </c>
      <c r="F315" s="2" t="str">
        <f>IF(Source!$C315&gt;=COLUMNS($A315:F315), Source!$E315, "")</f>
        <v/>
      </c>
      <c r="G315" s="2" t="str">
        <f>IF(Source!$C315&gt;=COLUMNS($A315:G315), Source!$E315, "")</f>
        <v/>
      </c>
      <c r="H315" s="2" t="str">
        <f>IF(Source!$C315&gt;=COLUMNS($A315:H315), Source!$E315, "")</f>
        <v/>
      </c>
      <c r="I315" s="2" t="str">
        <f>IF(Source!$C315&gt;=COLUMNS($A315:I315), Source!$E315, "")</f>
        <v/>
      </c>
      <c r="J315" s="2" t="str">
        <f>IF(Source!$C315&gt;=COLUMNS($A315:J315), Source!$E315, "")</f>
        <v/>
      </c>
      <c r="K315" s="2" t="str">
        <f>IF(Source!$C315&gt;=COLUMNS($A315:K315), Source!$E315, "")</f>
        <v/>
      </c>
      <c r="L315" s="2" t="str">
        <f>IF(Source!$C315&gt;=COLUMNS($A315:L315), Source!$E315, "")</f>
        <v/>
      </c>
      <c r="M315" s="2" t="str">
        <f>IF(Source!$C315&gt;=COLUMNS($A315:M315), Source!$E315, "")</f>
        <v/>
      </c>
      <c r="N315" s="2" t="str">
        <f>IF(Source!$C315&gt;=COLUMNS($A315:N315), Source!$E315, "")</f>
        <v/>
      </c>
      <c r="O315" s="2" t="str">
        <f>IF(Source!$C315&gt;=COLUMNS($A315:O315), Source!$E315, "")</f>
        <v/>
      </c>
      <c r="P315" s="2" t="str">
        <f>IF(Source!$C315&gt;=COLUMNS($A315:P315), Source!$E315, "")</f>
        <v/>
      </c>
      <c r="Q315" s="2" t="str">
        <f>IF(Source!$C315&gt;=COLUMNS($A315:Q315), Source!$E315, "")</f>
        <v/>
      </c>
      <c r="R315" s="2" t="str">
        <f>IF(Source!$C315&gt;=COLUMNS($A315:R315), Source!$E315, "")</f>
        <v/>
      </c>
      <c r="S315" s="2" t="str">
        <f>IF(Source!$C315&gt;=COLUMNS($A315:S315), Source!$E315, "")</f>
        <v/>
      </c>
      <c r="T315" s="2" t="str">
        <f>IF(Source!$C315&gt;=COLUMNS($A315:T315), Source!$E315, "")</f>
        <v/>
      </c>
      <c r="U315" s="2" t="str">
        <f>IF(Source!$C315&gt;=COLUMNS($A315:U315), Source!$E315, "")</f>
        <v/>
      </c>
      <c r="V315" s="2" t="str">
        <f>IF(Source!$C315&gt;=COLUMNS($A315:V315), Source!$E315, "")</f>
        <v/>
      </c>
      <c r="W315" s="2" t="str">
        <f>IF(Source!$C315&gt;=COLUMNS($A315:W315), Source!$E315, "")</f>
        <v/>
      </c>
      <c r="X315" s="2" t="str">
        <f>IF(Source!$C315&gt;=COLUMNS($A315:X315), Source!$E315, "")</f>
        <v/>
      </c>
      <c r="Y315" s="2" t="str">
        <f>IF(Source!$C315&gt;=COLUMNS($A315:Y315), Source!$E315, "")</f>
        <v/>
      </c>
      <c r="Z315" s="2" t="str">
        <f>IF(Source!$C315&gt;=COLUMNS($A315:Z315), Source!$E315, "")</f>
        <v/>
      </c>
      <c r="AA315" s="2" t="str">
        <f>IF(Source!$C315&gt;=COLUMNS($A315:AA315), Source!$E315, "")</f>
        <v/>
      </c>
      <c r="AB315" s="2" t="str">
        <f>IF(Source!$C315&gt;=COLUMNS($A315:AB315), Source!$E315, "")</f>
        <v/>
      </c>
      <c r="AC315" s="2" t="str">
        <f>IF(Source!$C315&gt;=COLUMNS($A315:AC315), Source!$E315, "")</f>
        <v/>
      </c>
      <c r="AD315" s="2" t="str">
        <f>IF(Source!$C315&gt;=COLUMNS($A315:AD315), Source!$E315, "")</f>
        <v/>
      </c>
      <c r="AE315" s="2" t="str">
        <f>IF(Source!$C315&gt;=COLUMNS($A315:AE315), Source!$E315, "")</f>
        <v/>
      </c>
      <c r="AF315" s="2" t="str">
        <f>IF(Source!$C315&gt;=COLUMNS($A315:AF315), Source!$E315, "")</f>
        <v/>
      </c>
      <c r="AG315" s="2" t="str">
        <f>IF(Source!$C315&gt;=COLUMNS($A315:AG315), Source!$E315, "")</f>
        <v/>
      </c>
      <c r="AH315" s="2" t="str">
        <f>IF(Source!$C315&gt;=COLUMNS($A315:AH315), Source!$E315, "")</f>
        <v/>
      </c>
      <c r="AI315" s="2" t="str">
        <f>IF(Source!$C315&gt;=COLUMNS($A315:AI315), Source!$E315, "")</f>
        <v/>
      </c>
      <c r="AJ315" s="2" t="str">
        <f>IF(Source!$C315&gt;=COLUMNS($A315:AJ315), Source!$E315, "")</f>
        <v/>
      </c>
      <c r="AK315" s="2" t="str">
        <f>IF(Source!$C315&gt;=COLUMNS($A315:AK315), Source!$E315, "")</f>
        <v/>
      </c>
      <c r="AL315" s="2" t="str">
        <f>IF(Source!$C315&gt;=COLUMNS($A315:AL315), Source!$E315, "")</f>
        <v/>
      </c>
      <c r="AM315" s="2" t="str">
        <f>IF(Source!$C315&gt;=COLUMNS($A315:AM315), Source!$E315, "")</f>
        <v/>
      </c>
      <c r="AN315" s="2" t="str">
        <f>IF(Source!$C315&gt;=COLUMNS($A315:AN315), Source!$E315, "")</f>
        <v/>
      </c>
      <c r="AO315" s="2" t="str">
        <f>IF(Source!$C315&gt;=COLUMNS($A315:AO315), Source!$E315, "")</f>
        <v/>
      </c>
      <c r="AP315" s="2" t="str">
        <f>IF(Source!$C315&gt;=COLUMNS($A315:AP315), Source!$E315, "")</f>
        <v/>
      </c>
      <c r="AQ315" s="2" t="str">
        <f>IF(Source!$C315&gt;=COLUMNS($A315:AQ315), Source!$E315, "")</f>
        <v/>
      </c>
      <c r="AR315" s="2" t="str">
        <f>IF(Source!$C315&gt;=COLUMNS($A315:AR315), Source!$E315, "")</f>
        <v/>
      </c>
    </row>
    <row r="316">
      <c r="A316" s="2">
        <f>IF(Source!$C316&gt;=COLUMNS($A316:A316), Source!$E316, "")</f>
        <v>1</v>
      </c>
      <c r="B316" s="2" t="str">
        <f>IF(Source!$C316&gt;=COLUMNS($A316:B316), Source!$E316, "")</f>
        <v/>
      </c>
      <c r="C316" s="2" t="str">
        <f>IF(Source!$C316&gt;=COLUMNS($A316:C316), Source!$E316, "")</f>
        <v/>
      </c>
      <c r="D316" s="2" t="str">
        <f>IF(Source!$C316&gt;=COLUMNS($A316:D316), Source!$E316, "")</f>
        <v/>
      </c>
      <c r="E316" s="2" t="str">
        <f>IF(Source!$C316&gt;=COLUMNS($A316:E316), Source!$E316, "")</f>
        <v/>
      </c>
      <c r="F316" s="2" t="str">
        <f>IF(Source!$C316&gt;=COLUMNS($A316:F316), Source!$E316, "")</f>
        <v/>
      </c>
      <c r="G316" s="2" t="str">
        <f>IF(Source!$C316&gt;=COLUMNS($A316:G316), Source!$E316, "")</f>
        <v/>
      </c>
      <c r="H316" s="2" t="str">
        <f>IF(Source!$C316&gt;=COLUMNS($A316:H316), Source!$E316, "")</f>
        <v/>
      </c>
      <c r="I316" s="2" t="str">
        <f>IF(Source!$C316&gt;=COLUMNS($A316:I316), Source!$E316, "")</f>
        <v/>
      </c>
      <c r="J316" s="2" t="str">
        <f>IF(Source!$C316&gt;=COLUMNS($A316:J316), Source!$E316, "")</f>
        <v/>
      </c>
      <c r="K316" s="2" t="str">
        <f>IF(Source!$C316&gt;=COLUMNS($A316:K316), Source!$E316, "")</f>
        <v/>
      </c>
      <c r="L316" s="2" t="str">
        <f>IF(Source!$C316&gt;=COLUMNS($A316:L316), Source!$E316, "")</f>
        <v/>
      </c>
      <c r="M316" s="2" t="str">
        <f>IF(Source!$C316&gt;=COLUMNS($A316:M316), Source!$E316, "")</f>
        <v/>
      </c>
      <c r="N316" s="2" t="str">
        <f>IF(Source!$C316&gt;=COLUMNS($A316:N316), Source!$E316, "")</f>
        <v/>
      </c>
      <c r="O316" s="2" t="str">
        <f>IF(Source!$C316&gt;=COLUMNS($A316:O316), Source!$E316, "")</f>
        <v/>
      </c>
      <c r="P316" s="2" t="str">
        <f>IF(Source!$C316&gt;=COLUMNS($A316:P316), Source!$E316, "")</f>
        <v/>
      </c>
      <c r="Q316" s="2" t="str">
        <f>IF(Source!$C316&gt;=COLUMNS($A316:Q316), Source!$E316, "")</f>
        <v/>
      </c>
      <c r="R316" s="2" t="str">
        <f>IF(Source!$C316&gt;=COLUMNS($A316:R316), Source!$E316, "")</f>
        <v/>
      </c>
      <c r="S316" s="2" t="str">
        <f>IF(Source!$C316&gt;=COLUMNS($A316:S316), Source!$E316, "")</f>
        <v/>
      </c>
      <c r="T316" s="2" t="str">
        <f>IF(Source!$C316&gt;=COLUMNS($A316:T316), Source!$E316, "")</f>
        <v/>
      </c>
      <c r="U316" s="2" t="str">
        <f>IF(Source!$C316&gt;=COLUMNS($A316:U316), Source!$E316, "")</f>
        <v/>
      </c>
      <c r="V316" s="2" t="str">
        <f>IF(Source!$C316&gt;=COLUMNS($A316:V316), Source!$E316, "")</f>
        <v/>
      </c>
      <c r="W316" s="2" t="str">
        <f>IF(Source!$C316&gt;=COLUMNS($A316:W316), Source!$E316, "")</f>
        <v/>
      </c>
      <c r="X316" s="2" t="str">
        <f>IF(Source!$C316&gt;=COLUMNS($A316:X316), Source!$E316, "")</f>
        <v/>
      </c>
      <c r="Y316" s="2" t="str">
        <f>IF(Source!$C316&gt;=COLUMNS($A316:Y316), Source!$E316, "")</f>
        <v/>
      </c>
      <c r="Z316" s="2" t="str">
        <f>IF(Source!$C316&gt;=COLUMNS($A316:Z316), Source!$E316, "")</f>
        <v/>
      </c>
      <c r="AA316" s="2" t="str">
        <f>IF(Source!$C316&gt;=COLUMNS($A316:AA316), Source!$E316, "")</f>
        <v/>
      </c>
      <c r="AB316" s="2" t="str">
        <f>IF(Source!$C316&gt;=COLUMNS($A316:AB316), Source!$E316, "")</f>
        <v/>
      </c>
      <c r="AC316" s="2" t="str">
        <f>IF(Source!$C316&gt;=COLUMNS($A316:AC316), Source!$E316, "")</f>
        <v/>
      </c>
      <c r="AD316" s="2" t="str">
        <f>IF(Source!$C316&gt;=COLUMNS($A316:AD316), Source!$E316, "")</f>
        <v/>
      </c>
      <c r="AE316" s="2" t="str">
        <f>IF(Source!$C316&gt;=COLUMNS($A316:AE316), Source!$E316, "")</f>
        <v/>
      </c>
      <c r="AF316" s="2" t="str">
        <f>IF(Source!$C316&gt;=COLUMNS($A316:AF316), Source!$E316, "")</f>
        <v/>
      </c>
      <c r="AG316" s="2" t="str">
        <f>IF(Source!$C316&gt;=COLUMNS($A316:AG316), Source!$E316, "")</f>
        <v/>
      </c>
      <c r="AH316" s="2" t="str">
        <f>IF(Source!$C316&gt;=COLUMNS($A316:AH316), Source!$E316, "")</f>
        <v/>
      </c>
      <c r="AI316" s="2" t="str">
        <f>IF(Source!$C316&gt;=COLUMNS($A316:AI316), Source!$E316, "")</f>
        <v/>
      </c>
      <c r="AJ316" s="2" t="str">
        <f>IF(Source!$C316&gt;=COLUMNS($A316:AJ316), Source!$E316, "")</f>
        <v/>
      </c>
      <c r="AK316" s="2" t="str">
        <f>IF(Source!$C316&gt;=COLUMNS($A316:AK316), Source!$E316, "")</f>
        <v/>
      </c>
      <c r="AL316" s="2" t="str">
        <f>IF(Source!$C316&gt;=COLUMNS($A316:AL316), Source!$E316, "")</f>
        <v/>
      </c>
      <c r="AM316" s="2" t="str">
        <f>IF(Source!$C316&gt;=COLUMNS($A316:AM316), Source!$E316, "")</f>
        <v/>
      </c>
      <c r="AN316" s="2" t="str">
        <f>IF(Source!$C316&gt;=COLUMNS($A316:AN316), Source!$E316, "")</f>
        <v/>
      </c>
      <c r="AO316" s="2" t="str">
        <f>IF(Source!$C316&gt;=COLUMNS($A316:AO316), Source!$E316, "")</f>
        <v/>
      </c>
      <c r="AP316" s="2" t="str">
        <f>IF(Source!$C316&gt;=COLUMNS($A316:AP316), Source!$E316, "")</f>
        <v/>
      </c>
      <c r="AQ316" s="2" t="str">
        <f>IF(Source!$C316&gt;=COLUMNS($A316:AQ316), Source!$E316, "")</f>
        <v/>
      </c>
      <c r="AR316" s="2" t="str">
        <f>IF(Source!$C316&gt;=COLUMNS($A316:AR316), Source!$E316, "")</f>
        <v/>
      </c>
    </row>
    <row r="317">
      <c r="A317" s="2">
        <f>IF(Source!$C317&gt;=COLUMNS($A317:A317), Source!$E317, "")</f>
        <v>7</v>
      </c>
      <c r="B317" s="2">
        <f>IF(Source!$C317&gt;=COLUMNS($A317:B317), Source!$E317, "")</f>
        <v>7</v>
      </c>
      <c r="C317" s="2">
        <f>IF(Source!$C317&gt;=COLUMNS($A317:C317), Source!$E317, "")</f>
        <v>7</v>
      </c>
      <c r="D317" s="2">
        <f>IF(Source!$C317&gt;=COLUMNS($A317:D317), Source!$E317, "")</f>
        <v>7</v>
      </c>
      <c r="E317" s="2">
        <f>IF(Source!$C317&gt;=COLUMNS($A317:E317), Source!$E317, "")</f>
        <v>7</v>
      </c>
      <c r="F317" s="2">
        <f>IF(Source!$C317&gt;=COLUMNS($A317:F317), Source!$E317, "")</f>
        <v>7</v>
      </c>
      <c r="G317" s="2">
        <f>IF(Source!$C317&gt;=COLUMNS($A317:G317), Source!$E317, "")</f>
        <v>7</v>
      </c>
      <c r="H317" s="2">
        <f>IF(Source!$C317&gt;=COLUMNS($A317:H317), Source!$E317, "")</f>
        <v>7</v>
      </c>
      <c r="I317" s="2">
        <f>IF(Source!$C317&gt;=COLUMNS($A317:I317), Source!$E317, "")</f>
        <v>7</v>
      </c>
      <c r="J317" s="2">
        <f>IF(Source!$C317&gt;=COLUMNS($A317:J317), Source!$E317, "")</f>
        <v>7</v>
      </c>
      <c r="K317" s="2">
        <f>IF(Source!$C317&gt;=COLUMNS($A317:K317), Source!$E317, "")</f>
        <v>7</v>
      </c>
      <c r="L317" s="2">
        <f>IF(Source!$C317&gt;=COLUMNS($A317:L317), Source!$E317, "")</f>
        <v>7</v>
      </c>
      <c r="M317" s="2">
        <f>IF(Source!$C317&gt;=COLUMNS($A317:M317), Source!$E317, "")</f>
        <v>7</v>
      </c>
      <c r="N317" s="2">
        <f>IF(Source!$C317&gt;=COLUMNS($A317:N317), Source!$E317, "")</f>
        <v>7</v>
      </c>
      <c r="O317" s="2">
        <f>IF(Source!$C317&gt;=COLUMNS($A317:O317), Source!$E317, "")</f>
        <v>7</v>
      </c>
      <c r="P317" s="2">
        <f>IF(Source!$C317&gt;=COLUMNS($A317:P317), Source!$E317, "")</f>
        <v>7</v>
      </c>
      <c r="Q317" s="2">
        <f>IF(Source!$C317&gt;=COLUMNS($A317:Q317), Source!$E317, "")</f>
        <v>7</v>
      </c>
      <c r="R317" s="2">
        <f>IF(Source!$C317&gt;=COLUMNS($A317:R317), Source!$E317, "")</f>
        <v>7</v>
      </c>
      <c r="S317" s="2">
        <f>IF(Source!$C317&gt;=COLUMNS($A317:S317), Source!$E317, "")</f>
        <v>7</v>
      </c>
      <c r="T317" s="2">
        <f>IF(Source!$C317&gt;=COLUMNS($A317:T317), Source!$E317, "")</f>
        <v>7</v>
      </c>
      <c r="U317" s="2">
        <f>IF(Source!$C317&gt;=COLUMNS($A317:U317), Source!$E317, "")</f>
        <v>7</v>
      </c>
      <c r="V317" s="2" t="str">
        <f>IF(Source!$C317&gt;=COLUMNS($A317:V317), Source!$E317, "")</f>
        <v/>
      </c>
      <c r="W317" s="2" t="str">
        <f>IF(Source!$C317&gt;=COLUMNS($A317:W317), Source!$E317, "")</f>
        <v/>
      </c>
      <c r="X317" s="2" t="str">
        <f>IF(Source!$C317&gt;=COLUMNS($A317:X317), Source!$E317, "")</f>
        <v/>
      </c>
      <c r="Y317" s="2" t="str">
        <f>IF(Source!$C317&gt;=COLUMNS($A317:Y317), Source!$E317, "")</f>
        <v/>
      </c>
      <c r="Z317" s="2" t="str">
        <f>IF(Source!$C317&gt;=COLUMNS($A317:Z317), Source!$E317, "")</f>
        <v/>
      </c>
      <c r="AA317" s="2" t="str">
        <f>IF(Source!$C317&gt;=COLUMNS($A317:AA317), Source!$E317, "")</f>
        <v/>
      </c>
      <c r="AB317" s="2" t="str">
        <f>IF(Source!$C317&gt;=COLUMNS($A317:AB317), Source!$E317, "")</f>
        <v/>
      </c>
      <c r="AC317" s="2" t="str">
        <f>IF(Source!$C317&gt;=COLUMNS($A317:AC317), Source!$E317, "")</f>
        <v/>
      </c>
      <c r="AD317" s="2" t="str">
        <f>IF(Source!$C317&gt;=COLUMNS($A317:AD317), Source!$E317, "")</f>
        <v/>
      </c>
      <c r="AE317" s="2" t="str">
        <f>IF(Source!$C317&gt;=COLUMNS($A317:AE317), Source!$E317, "")</f>
        <v/>
      </c>
      <c r="AF317" s="2" t="str">
        <f>IF(Source!$C317&gt;=COLUMNS($A317:AF317), Source!$E317, "")</f>
        <v/>
      </c>
      <c r="AG317" s="2" t="str">
        <f>IF(Source!$C317&gt;=COLUMNS($A317:AG317), Source!$E317, "")</f>
        <v/>
      </c>
      <c r="AH317" s="2" t="str">
        <f>IF(Source!$C317&gt;=COLUMNS($A317:AH317), Source!$E317, "")</f>
        <v/>
      </c>
      <c r="AI317" s="2" t="str">
        <f>IF(Source!$C317&gt;=COLUMNS($A317:AI317), Source!$E317, "")</f>
        <v/>
      </c>
      <c r="AJ317" s="2" t="str">
        <f>IF(Source!$C317&gt;=COLUMNS($A317:AJ317), Source!$E317, "")</f>
        <v/>
      </c>
      <c r="AK317" s="2" t="str">
        <f>IF(Source!$C317&gt;=COLUMNS($A317:AK317), Source!$E317, "")</f>
        <v/>
      </c>
      <c r="AL317" s="2" t="str">
        <f>IF(Source!$C317&gt;=COLUMNS($A317:AL317), Source!$E317, "")</f>
        <v/>
      </c>
      <c r="AM317" s="2" t="str">
        <f>IF(Source!$C317&gt;=COLUMNS($A317:AM317), Source!$E317, "")</f>
        <v/>
      </c>
      <c r="AN317" s="2" t="str">
        <f>IF(Source!$C317&gt;=COLUMNS($A317:AN317), Source!$E317, "")</f>
        <v/>
      </c>
      <c r="AO317" s="2" t="str">
        <f>IF(Source!$C317&gt;=COLUMNS($A317:AO317), Source!$E317, "")</f>
        <v/>
      </c>
      <c r="AP317" s="2" t="str">
        <f>IF(Source!$C317&gt;=COLUMNS($A317:AP317), Source!$E317, "")</f>
        <v/>
      </c>
      <c r="AQ317" s="2" t="str">
        <f>IF(Source!$C317&gt;=COLUMNS($A317:AQ317), Source!$E317, "")</f>
        <v/>
      </c>
      <c r="AR317" s="2" t="str">
        <f>IF(Source!$C317&gt;=COLUMNS($A317:AR317), Source!$E317, "")</f>
        <v/>
      </c>
    </row>
    <row r="318">
      <c r="A318" s="2">
        <f>IF(Source!$C318&gt;=COLUMNS($A318:A318), Source!$E318, "")</f>
        <v>2</v>
      </c>
      <c r="B318" s="2">
        <f>IF(Source!$C318&gt;=COLUMNS($A318:B318), Source!$E318, "")</f>
        <v>2</v>
      </c>
      <c r="C318" s="2">
        <f>IF(Source!$C318&gt;=COLUMNS($A318:C318), Source!$E318, "")</f>
        <v>2</v>
      </c>
      <c r="D318" s="2">
        <f>IF(Source!$C318&gt;=COLUMNS($A318:D318), Source!$E318, "")</f>
        <v>2</v>
      </c>
      <c r="E318" s="2">
        <f>IF(Source!$C318&gt;=COLUMNS($A318:E318), Source!$E318, "")</f>
        <v>2</v>
      </c>
      <c r="F318" s="2">
        <f>IF(Source!$C318&gt;=COLUMNS($A318:F318), Source!$E318, "")</f>
        <v>2</v>
      </c>
      <c r="G318" s="2">
        <f>IF(Source!$C318&gt;=COLUMNS($A318:G318), Source!$E318, "")</f>
        <v>2</v>
      </c>
      <c r="H318" s="2">
        <f>IF(Source!$C318&gt;=COLUMNS($A318:H318), Source!$E318, "")</f>
        <v>2</v>
      </c>
      <c r="I318" s="2">
        <f>IF(Source!$C318&gt;=COLUMNS($A318:I318), Source!$E318, "")</f>
        <v>2</v>
      </c>
      <c r="J318" s="2">
        <f>IF(Source!$C318&gt;=COLUMNS($A318:J318), Source!$E318, "")</f>
        <v>2</v>
      </c>
      <c r="K318" s="2">
        <f>IF(Source!$C318&gt;=COLUMNS($A318:K318), Source!$E318, "")</f>
        <v>2</v>
      </c>
      <c r="L318" s="2">
        <f>IF(Source!$C318&gt;=COLUMNS($A318:L318), Source!$E318, "")</f>
        <v>2</v>
      </c>
      <c r="M318" s="2">
        <f>IF(Source!$C318&gt;=COLUMNS($A318:M318), Source!$E318, "")</f>
        <v>2</v>
      </c>
      <c r="N318" s="2">
        <f>IF(Source!$C318&gt;=COLUMNS($A318:N318), Source!$E318, "")</f>
        <v>2</v>
      </c>
      <c r="O318" s="2">
        <f>IF(Source!$C318&gt;=COLUMNS($A318:O318), Source!$E318, "")</f>
        <v>2</v>
      </c>
      <c r="P318" s="2">
        <f>IF(Source!$C318&gt;=COLUMNS($A318:P318), Source!$E318, "")</f>
        <v>2</v>
      </c>
      <c r="Q318" s="2">
        <f>IF(Source!$C318&gt;=COLUMNS($A318:Q318), Source!$E318, "")</f>
        <v>2</v>
      </c>
      <c r="R318" s="2">
        <f>IF(Source!$C318&gt;=COLUMNS($A318:R318), Source!$E318, "")</f>
        <v>2</v>
      </c>
      <c r="S318" s="2">
        <f>IF(Source!$C318&gt;=COLUMNS($A318:S318), Source!$E318, "")</f>
        <v>2</v>
      </c>
      <c r="T318" s="2">
        <f>IF(Source!$C318&gt;=COLUMNS($A318:T318), Source!$E318, "")</f>
        <v>2</v>
      </c>
      <c r="U318" s="2">
        <f>IF(Source!$C318&gt;=COLUMNS($A318:U318), Source!$E318, "")</f>
        <v>2</v>
      </c>
      <c r="V318" s="2">
        <f>IF(Source!$C318&gt;=COLUMNS($A318:V318), Source!$E318, "")</f>
        <v>2</v>
      </c>
      <c r="W318" s="2">
        <f>IF(Source!$C318&gt;=COLUMNS($A318:W318), Source!$E318, "")</f>
        <v>2</v>
      </c>
      <c r="X318" s="2">
        <f>IF(Source!$C318&gt;=COLUMNS($A318:X318), Source!$E318, "")</f>
        <v>2</v>
      </c>
      <c r="Y318" s="2">
        <f>IF(Source!$C318&gt;=COLUMNS($A318:Y318), Source!$E318, "")</f>
        <v>2</v>
      </c>
      <c r="Z318" s="2">
        <f>IF(Source!$C318&gt;=COLUMNS($A318:Z318), Source!$E318, "")</f>
        <v>2</v>
      </c>
      <c r="AA318" s="2">
        <f>IF(Source!$C318&gt;=COLUMNS($A318:AA318), Source!$E318, "")</f>
        <v>2</v>
      </c>
      <c r="AB318" s="2">
        <f>IF(Source!$C318&gt;=COLUMNS($A318:AB318), Source!$E318, "")</f>
        <v>2</v>
      </c>
      <c r="AC318" s="2">
        <f>IF(Source!$C318&gt;=COLUMNS($A318:AC318), Source!$E318, "")</f>
        <v>2</v>
      </c>
      <c r="AD318" s="2">
        <f>IF(Source!$C318&gt;=COLUMNS($A318:AD318), Source!$E318, "")</f>
        <v>2</v>
      </c>
      <c r="AE318" s="2">
        <f>IF(Source!$C318&gt;=COLUMNS($A318:AE318), Source!$E318, "")</f>
        <v>2</v>
      </c>
      <c r="AF318" s="2">
        <f>IF(Source!$C318&gt;=COLUMNS($A318:AF318), Source!$E318, "")</f>
        <v>2</v>
      </c>
      <c r="AG318" s="2">
        <f>IF(Source!$C318&gt;=COLUMNS($A318:AG318), Source!$E318, "")</f>
        <v>2</v>
      </c>
      <c r="AH318" s="2">
        <f>IF(Source!$C318&gt;=COLUMNS($A318:AH318), Source!$E318, "")</f>
        <v>2</v>
      </c>
      <c r="AI318" s="2">
        <f>IF(Source!$C318&gt;=COLUMNS($A318:AI318), Source!$E318, "")</f>
        <v>2</v>
      </c>
      <c r="AJ318" s="2">
        <f>IF(Source!$C318&gt;=COLUMNS($A318:AJ318), Source!$E318, "")</f>
        <v>2</v>
      </c>
      <c r="AK318" s="2">
        <f>IF(Source!$C318&gt;=COLUMNS($A318:AK318), Source!$E318, "")</f>
        <v>2</v>
      </c>
      <c r="AL318" s="2">
        <f>IF(Source!$C318&gt;=COLUMNS($A318:AL318), Source!$E318, "")</f>
        <v>2</v>
      </c>
      <c r="AM318" s="2" t="str">
        <f>IF(Source!$C318&gt;=COLUMNS($A318:AM318), Source!$E318, "")</f>
        <v/>
      </c>
      <c r="AN318" s="2" t="str">
        <f>IF(Source!$C318&gt;=COLUMNS($A318:AN318), Source!$E318, "")</f>
        <v/>
      </c>
      <c r="AO318" s="2" t="str">
        <f>IF(Source!$C318&gt;=COLUMNS($A318:AO318), Source!$E318, "")</f>
        <v/>
      </c>
      <c r="AP318" s="2" t="str">
        <f>IF(Source!$C318&gt;=COLUMNS($A318:AP318), Source!$E318, "")</f>
        <v/>
      </c>
      <c r="AQ318" s="2" t="str">
        <f>IF(Source!$C318&gt;=COLUMNS($A318:AQ318), Source!$E318, "")</f>
        <v/>
      </c>
      <c r="AR318" s="2" t="str">
        <f>IF(Source!$C318&gt;=COLUMNS($A318:AR318), Source!$E318, "")</f>
        <v/>
      </c>
    </row>
    <row r="319">
      <c r="A319" s="2">
        <f>IF(Source!$C319&gt;=COLUMNS($A319:A319), Source!$E319, "")</f>
        <v>2</v>
      </c>
      <c r="B319" s="2">
        <f>IF(Source!$C319&gt;=COLUMNS($A319:B319), Source!$E319, "")</f>
        <v>2</v>
      </c>
      <c r="C319" s="2">
        <f>IF(Source!$C319&gt;=COLUMNS($A319:C319), Source!$E319, "")</f>
        <v>2</v>
      </c>
      <c r="D319" s="2">
        <f>IF(Source!$C319&gt;=COLUMNS($A319:D319), Source!$E319, "")</f>
        <v>2</v>
      </c>
      <c r="E319" s="2">
        <f>IF(Source!$C319&gt;=COLUMNS($A319:E319), Source!$E319, "")</f>
        <v>2</v>
      </c>
      <c r="F319" s="2">
        <f>IF(Source!$C319&gt;=COLUMNS($A319:F319), Source!$E319, "")</f>
        <v>2</v>
      </c>
      <c r="G319" s="2">
        <f>IF(Source!$C319&gt;=COLUMNS($A319:G319), Source!$E319, "")</f>
        <v>2</v>
      </c>
      <c r="H319" s="2">
        <f>IF(Source!$C319&gt;=COLUMNS($A319:H319), Source!$E319, "")</f>
        <v>2</v>
      </c>
      <c r="I319" s="2" t="str">
        <f>IF(Source!$C319&gt;=COLUMNS($A319:I319), Source!$E319, "")</f>
        <v/>
      </c>
      <c r="J319" s="2" t="str">
        <f>IF(Source!$C319&gt;=COLUMNS($A319:J319), Source!$E319, "")</f>
        <v/>
      </c>
      <c r="K319" s="2" t="str">
        <f>IF(Source!$C319&gt;=COLUMNS($A319:K319), Source!$E319, "")</f>
        <v/>
      </c>
      <c r="L319" s="2" t="str">
        <f>IF(Source!$C319&gt;=COLUMNS($A319:L319), Source!$E319, "")</f>
        <v/>
      </c>
      <c r="M319" s="2" t="str">
        <f>IF(Source!$C319&gt;=COLUMNS($A319:M319), Source!$E319, "")</f>
        <v/>
      </c>
      <c r="N319" s="2" t="str">
        <f>IF(Source!$C319&gt;=COLUMNS($A319:N319), Source!$E319, "")</f>
        <v/>
      </c>
      <c r="O319" s="2" t="str">
        <f>IF(Source!$C319&gt;=COLUMNS($A319:O319), Source!$E319, "")</f>
        <v/>
      </c>
      <c r="P319" s="2" t="str">
        <f>IF(Source!$C319&gt;=COLUMNS($A319:P319), Source!$E319, "")</f>
        <v/>
      </c>
      <c r="Q319" s="2" t="str">
        <f>IF(Source!$C319&gt;=COLUMNS($A319:Q319), Source!$E319, "")</f>
        <v/>
      </c>
      <c r="R319" s="2" t="str">
        <f>IF(Source!$C319&gt;=COLUMNS($A319:R319), Source!$E319, "")</f>
        <v/>
      </c>
      <c r="S319" s="2" t="str">
        <f>IF(Source!$C319&gt;=COLUMNS($A319:S319), Source!$E319, "")</f>
        <v/>
      </c>
      <c r="T319" s="2" t="str">
        <f>IF(Source!$C319&gt;=COLUMNS($A319:T319), Source!$E319, "")</f>
        <v/>
      </c>
      <c r="U319" s="2" t="str">
        <f>IF(Source!$C319&gt;=COLUMNS($A319:U319), Source!$E319, "")</f>
        <v/>
      </c>
      <c r="V319" s="2" t="str">
        <f>IF(Source!$C319&gt;=COLUMNS($A319:V319), Source!$E319, "")</f>
        <v/>
      </c>
      <c r="W319" s="2" t="str">
        <f>IF(Source!$C319&gt;=COLUMNS($A319:W319), Source!$E319, "")</f>
        <v/>
      </c>
      <c r="X319" s="2" t="str">
        <f>IF(Source!$C319&gt;=COLUMNS($A319:X319), Source!$E319, "")</f>
        <v/>
      </c>
      <c r="Y319" s="2" t="str">
        <f>IF(Source!$C319&gt;=COLUMNS($A319:Y319), Source!$E319, "")</f>
        <v/>
      </c>
      <c r="Z319" s="2" t="str">
        <f>IF(Source!$C319&gt;=COLUMNS($A319:Z319), Source!$E319, "")</f>
        <v/>
      </c>
      <c r="AA319" s="2" t="str">
        <f>IF(Source!$C319&gt;=COLUMNS($A319:AA319), Source!$E319, "")</f>
        <v/>
      </c>
      <c r="AB319" s="2" t="str">
        <f>IF(Source!$C319&gt;=COLUMNS($A319:AB319), Source!$E319, "")</f>
        <v/>
      </c>
      <c r="AC319" s="2" t="str">
        <f>IF(Source!$C319&gt;=COLUMNS($A319:AC319), Source!$E319, "")</f>
        <v/>
      </c>
      <c r="AD319" s="2" t="str">
        <f>IF(Source!$C319&gt;=COLUMNS($A319:AD319), Source!$E319, "")</f>
        <v/>
      </c>
      <c r="AE319" s="2" t="str">
        <f>IF(Source!$C319&gt;=COLUMNS($A319:AE319), Source!$E319, "")</f>
        <v/>
      </c>
      <c r="AF319" s="2" t="str">
        <f>IF(Source!$C319&gt;=COLUMNS($A319:AF319), Source!$E319, "")</f>
        <v/>
      </c>
      <c r="AG319" s="2" t="str">
        <f>IF(Source!$C319&gt;=COLUMNS($A319:AG319), Source!$E319, "")</f>
        <v/>
      </c>
      <c r="AH319" s="2" t="str">
        <f>IF(Source!$C319&gt;=COLUMNS($A319:AH319), Source!$E319, "")</f>
        <v/>
      </c>
      <c r="AI319" s="2" t="str">
        <f>IF(Source!$C319&gt;=COLUMNS($A319:AI319), Source!$E319, "")</f>
        <v/>
      </c>
      <c r="AJ319" s="2" t="str">
        <f>IF(Source!$C319&gt;=COLUMNS($A319:AJ319), Source!$E319, "")</f>
        <v/>
      </c>
      <c r="AK319" s="2" t="str">
        <f>IF(Source!$C319&gt;=COLUMNS($A319:AK319), Source!$E319, "")</f>
        <v/>
      </c>
      <c r="AL319" s="2" t="str">
        <f>IF(Source!$C319&gt;=COLUMNS($A319:AL319), Source!$E319, "")</f>
        <v/>
      </c>
      <c r="AM319" s="2" t="str">
        <f>IF(Source!$C319&gt;=COLUMNS($A319:AM319), Source!$E319, "")</f>
        <v/>
      </c>
      <c r="AN319" s="2" t="str">
        <f>IF(Source!$C319&gt;=COLUMNS($A319:AN319), Source!$E319, "")</f>
        <v/>
      </c>
      <c r="AO319" s="2" t="str">
        <f>IF(Source!$C319&gt;=COLUMNS($A319:AO319), Source!$E319, "")</f>
        <v/>
      </c>
      <c r="AP319" s="2" t="str">
        <f>IF(Source!$C319&gt;=COLUMNS($A319:AP319), Source!$E319, "")</f>
        <v/>
      </c>
      <c r="AQ319" s="2" t="str">
        <f>IF(Source!$C319&gt;=COLUMNS($A319:AQ319), Source!$E319, "")</f>
        <v/>
      </c>
      <c r="AR319" s="2" t="str">
        <f>IF(Source!$C319&gt;=COLUMNS($A319:AR319), Source!$E319, "")</f>
        <v/>
      </c>
    </row>
    <row r="320">
      <c r="A320" s="2">
        <f>IF(Source!$C320&gt;=COLUMNS($A320:A320), Source!$E320, "")</f>
        <v>4</v>
      </c>
      <c r="B320" s="2">
        <f>IF(Source!$C320&gt;=COLUMNS($A320:B320), Source!$E320, "")</f>
        <v>4</v>
      </c>
      <c r="C320" s="2" t="str">
        <f>IF(Source!$C320&gt;=COLUMNS($A320:C320), Source!$E320, "")</f>
        <v/>
      </c>
      <c r="D320" s="2" t="str">
        <f>IF(Source!$C320&gt;=COLUMNS($A320:D320), Source!$E320, "")</f>
        <v/>
      </c>
      <c r="E320" s="2" t="str">
        <f>IF(Source!$C320&gt;=COLUMNS($A320:E320), Source!$E320, "")</f>
        <v/>
      </c>
      <c r="F320" s="2" t="str">
        <f>IF(Source!$C320&gt;=COLUMNS($A320:F320), Source!$E320, "")</f>
        <v/>
      </c>
      <c r="G320" s="2" t="str">
        <f>IF(Source!$C320&gt;=COLUMNS($A320:G320), Source!$E320, "")</f>
        <v/>
      </c>
      <c r="H320" s="2" t="str">
        <f>IF(Source!$C320&gt;=COLUMNS($A320:H320), Source!$E320, "")</f>
        <v/>
      </c>
      <c r="I320" s="2" t="str">
        <f>IF(Source!$C320&gt;=COLUMNS($A320:I320), Source!$E320, "")</f>
        <v/>
      </c>
      <c r="J320" s="2" t="str">
        <f>IF(Source!$C320&gt;=COLUMNS($A320:J320), Source!$E320, "")</f>
        <v/>
      </c>
      <c r="K320" s="2" t="str">
        <f>IF(Source!$C320&gt;=COLUMNS($A320:K320), Source!$E320, "")</f>
        <v/>
      </c>
      <c r="L320" s="2" t="str">
        <f>IF(Source!$C320&gt;=COLUMNS($A320:L320), Source!$E320, "")</f>
        <v/>
      </c>
      <c r="M320" s="2" t="str">
        <f>IF(Source!$C320&gt;=COLUMNS($A320:M320), Source!$E320, "")</f>
        <v/>
      </c>
      <c r="N320" s="2" t="str">
        <f>IF(Source!$C320&gt;=COLUMNS($A320:N320), Source!$E320, "")</f>
        <v/>
      </c>
      <c r="O320" s="2" t="str">
        <f>IF(Source!$C320&gt;=COLUMNS($A320:O320), Source!$E320, "")</f>
        <v/>
      </c>
      <c r="P320" s="2" t="str">
        <f>IF(Source!$C320&gt;=COLUMNS($A320:P320), Source!$E320, "")</f>
        <v/>
      </c>
      <c r="Q320" s="2" t="str">
        <f>IF(Source!$C320&gt;=COLUMNS($A320:Q320), Source!$E320, "")</f>
        <v/>
      </c>
      <c r="R320" s="2" t="str">
        <f>IF(Source!$C320&gt;=COLUMNS($A320:R320), Source!$E320, "")</f>
        <v/>
      </c>
      <c r="S320" s="2" t="str">
        <f>IF(Source!$C320&gt;=COLUMNS($A320:S320), Source!$E320, "")</f>
        <v/>
      </c>
      <c r="T320" s="2" t="str">
        <f>IF(Source!$C320&gt;=COLUMNS($A320:T320), Source!$E320, "")</f>
        <v/>
      </c>
      <c r="U320" s="2" t="str">
        <f>IF(Source!$C320&gt;=COLUMNS($A320:U320), Source!$E320, "")</f>
        <v/>
      </c>
      <c r="V320" s="2" t="str">
        <f>IF(Source!$C320&gt;=COLUMNS($A320:V320), Source!$E320, "")</f>
        <v/>
      </c>
      <c r="W320" s="2" t="str">
        <f>IF(Source!$C320&gt;=COLUMNS($A320:W320), Source!$E320, "")</f>
        <v/>
      </c>
      <c r="X320" s="2" t="str">
        <f>IF(Source!$C320&gt;=COLUMNS($A320:X320), Source!$E320, "")</f>
        <v/>
      </c>
      <c r="Y320" s="2" t="str">
        <f>IF(Source!$C320&gt;=COLUMNS($A320:Y320), Source!$E320, "")</f>
        <v/>
      </c>
      <c r="Z320" s="2" t="str">
        <f>IF(Source!$C320&gt;=COLUMNS($A320:Z320), Source!$E320, "")</f>
        <v/>
      </c>
      <c r="AA320" s="2" t="str">
        <f>IF(Source!$C320&gt;=COLUMNS($A320:AA320), Source!$E320, "")</f>
        <v/>
      </c>
      <c r="AB320" s="2" t="str">
        <f>IF(Source!$C320&gt;=COLUMNS($A320:AB320), Source!$E320, "")</f>
        <v/>
      </c>
      <c r="AC320" s="2" t="str">
        <f>IF(Source!$C320&gt;=COLUMNS($A320:AC320), Source!$E320, "")</f>
        <v/>
      </c>
      <c r="AD320" s="2" t="str">
        <f>IF(Source!$C320&gt;=COLUMNS($A320:AD320), Source!$E320, "")</f>
        <v/>
      </c>
      <c r="AE320" s="2" t="str">
        <f>IF(Source!$C320&gt;=COLUMNS($A320:AE320), Source!$E320, "")</f>
        <v/>
      </c>
      <c r="AF320" s="2" t="str">
        <f>IF(Source!$C320&gt;=COLUMNS($A320:AF320), Source!$E320, "")</f>
        <v/>
      </c>
      <c r="AG320" s="2" t="str">
        <f>IF(Source!$C320&gt;=COLUMNS($A320:AG320), Source!$E320, "")</f>
        <v/>
      </c>
      <c r="AH320" s="2" t="str">
        <f>IF(Source!$C320&gt;=COLUMNS($A320:AH320), Source!$E320, "")</f>
        <v/>
      </c>
      <c r="AI320" s="2" t="str">
        <f>IF(Source!$C320&gt;=COLUMNS($A320:AI320), Source!$E320, "")</f>
        <v/>
      </c>
      <c r="AJ320" s="2" t="str">
        <f>IF(Source!$C320&gt;=COLUMNS($A320:AJ320), Source!$E320, "")</f>
        <v/>
      </c>
      <c r="AK320" s="2" t="str">
        <f>IF(Source!$C320&gt;=COLUMNS($A320:AK320), Source!$E320, "")</f>
        <v/>
      </c>
      <c r="AL320" s="2" t="str">
        <f>IF(Source!$C320&gt;=COLUMNS($A320:AL320), Source!$E320, "")</f>
        <v/>
      </c>
      <c r="AM320" s="2" t="str">
        <f>IF(Source!$C320&gt;=COLUMNS($A320:AM320), Source!$E320, "")</f>
        <v/>
      </c>
      <c r="AN320" s="2" t="str">
        <f>IF(Source!$C320&gt;=COLUMNS($A320:AN320), Source!$E320, "")</f>
        <v/>
      </c>
      <c r="AO320" s="2" t="str">
        <f>IF(Source!$C320&gt;=COLUMNS($A320:AO320), Source!$E320, "")</f>
        <v/>
      </c>
      <c r="AP320" s="2" t="str">
        <f>IF(Source!$C320&gt;=COLUMNS($A320:AP320), Source!$E320, "")</f>
        <v/>
      </c>
      <c r="AQ320" s="2" t="str">
        <f>IF(Source!$C320&gt;=COLUMNS($A320:AQ320), Source!$E320, "")</f>
        <v/>
      </c>
      <c r="AR320" s="2" t="str">
        <f>IF(Source!$C320&gt;=COLUMNS($A320:AR320), Source!$E320, "")</f>
        <v/>
      </c>
    </row>
    <row r="321">
      <c r="A321" s="2">
        <f>IF(Source!$C321&gt;=COLUMNS($A321:A321), Source!$E321, "")</f>
        <v>8</v>
      </c>
      <c r="B321" s="2">
        <f>IF(Source!$C321&gt;=COLUMNS($A321:B321), Source!$E321, "")</f>
        <v>8</v>
      </c>
      <c r="C321" s="2" t="str">
        <f>IF(Source!$C321&gt;=COLUMNS($A321:C321), Source!$E321, "")</f>
        <v/>
      </c>
      <c r="D321" s="2" t="str">
        <f>IF(Source!$C321&gt;=COLUMNS($A321:D321), Source!$E321, "")</f>
        <v/>
      </c>
      <c r="E321" s="2" t="str">
        <f>IF(Source!$C321&gt;=COLUMNS($A321:E321), Source!$E321, "")</f>
        <v/>
      </c>
      <c r="F321" s="2" t="str">
        <f>IF(Source!$C321&gt;=COLUMNS($A321:F321), Source!$E321, "")</f>
        <v/>
      </c>
      <c r="G321" s="2" t="str">
        <f>IF(Source!$C321&gt;=COLUMNS($A321:G321), Source!$E321, "")</f>
        <v/>
      </c>
      <c r="H321" s="2" t="str">
        <f>IF(Source!$C321&gt;=COLUMNS($A321:H321), Source!$E321, "")</f>
        <v/>
      </c>
      <c r="I321" s="2" t="str">
        <f>IF(Source!$C321&gt;=COLUMNS($A321:I321), Source!$E321, "")</f>
        <v/>
      </c>
      <c r="J321" s="2" t="str">
        <f>IF(Source!$C321&gt;=COLUMNS($A321:J321), Source!$E321, "")</f>
        <v/>
      </c>
      <c r="K321" s="2" t="str">
        <f>IF(Source!$C321&gt;=COLUMNS($A321:K321), Source!$E321, "")</f>
        <v/>
      </c>
      <c r="L321" s="2" t="str">
        <f>IF(Source!$C321&gt;=COLUMNS($A321:L321), Source!$E321, "")</f>
        <v/>
      </c>
      <c r="M321" s="2" t="str">
        <f>IF(Source!$C321&gt;=COLUMNS($A321:M321), Source!$E321, "")</f>
        <v/>
      </c>
      <c r="N321" s="2" t="str">
        <f>IF(Source!$C321&gt;=COLUMNS($A321:N321), Source!$E321, "")</f>
        <v/>
      </c>
      <c r="O321" s="2" t="str">
        <f>IF(Source!$C321&gt;=COLUMNS($A321:O321), Source!$E321, "")</f>
        <v/>
      </c>
      <c r="P321" s="2" t="str">
        <f>IF(Source!$C321&gt;=COLUMNS($A321:P321), Source!$E321, "")</f>
        <v/>
      </c>
      <c r="Q321" s="2" t="str">
        <f>IF(Source!$C321&gt;=COLUMNS($A321:Q321), Source!$E321, "")</f>
        <v/>
      </c>
      <c r="R321" s="2" t="str">
        <f>IF(Source!$C321&gt;=COLUMNS($A321:R321), Source!$E321, "")</f>
        <v/>
      </c>
      <c r="S321" s="2" t="str">
        <f>IF(Source!$C321&gt;=COLUMNS($A321:S321), Source!$E321, "")</f>
        <v/>
      </c>
      <c r="T321" s="2" t="str">
        <f>IF(Source!$C321&gt;=COLUMNS($A321:T321), Source!$E321, "")</f>
        <v/>
      </c>
      <c r="U321" s="2" t="str">
        <f>IF(Source!$C321&gt;=COLUMNS($A321:U321), Source!$E321, "")</f>
        <v/>
      </c>
      <c r="V321" s="2" t="str">
        <f>IF(Source!$C321&gt;=COLUMNS($A321:V321), Source!$E321, "")</f>
        <v/>
      </c>
      <c r="W321" s="2" t="str">
        <f>IF(Source!$C321&gt;=COLUMNS($A321:W321), Source!$E321, "")</f>
        <v/>
      </c>
      <c r="X321" s="2" t="str">
        <f>IF(Source!$C321&gt;=COLUMNS($A321:X321), Source!$E321, "")</f>
        <v/>
      </c>
      <c r="Y321" s="2" t="str">
        <f>IF(Source!$C321&gt;=COLUMNS($A321:Y321), Source!$E321, "")</f>
        <v/>
      </c>
      <c r="Z321" s="2" t="str">
        <f>IF(Source!$C321&gt;=COLUMNS($A321:Z321), Source!$E321, "")</f>
        <v/>
      </c>
      <c r="AA321" s="2" t="str">
        <f>IF(Source!$C321&gt;=COLUMNS($A321:AA321), Source!$E321, "")</f>
        <v/>
      </c>
      <c r="AB321" s="2" t="str">
        <f>IF(Source!$C321&gt;=COLUMNS($A321:AB321), Source!$E321, "")</f>
        <v/>
      </c>
      <c r="AC321" s="2" t="str">
        <f>IF(Source!$C321&gt;=COLUMNS($A321:AC321), Source!$E321, "")</f>
        <v/>
      </c>
      <c r="AD321" s="2" t="str">
        <f>IF(Source!$C321&gt;=COLUMNS($A321:AD321), Source!$E321, "")</f>
        <v/>
      </c>
      <c r="AE321" s="2" t="str">
        <f>IF(Source!$C321&gt;=COLUMNS($A321:AE321), Source!$E321, "")</f>
        <v/>
      </c>
      <c r="AF321" s="2" t="str">
        <f>IF(Source!$C321&gt;=COLUMNS($A321:AF321), Source!$E321, "")</f>
        <v/>
      </c>
      <c r="AG321" s="2" t="str">
        <f>IF(Source!$C321&gt;=COLUMNS($A321:AG321), Source!$E321, "")</f>
        <v/>
      </c>
      <c r="AH321" s="2" t="str">
        <f>IF(Source!$C321&gt;=COLUMNS($A321:AH321), Source!$E321, "")</f>
        <v/>
      </c>
      <c r="AI321" s="2" t="str">
        <f>IF(Source!$C321&gt;=COLUMNS($A321:AI321), Source!$E321, "")</f>
        <v/>
      </c>
      <c r="AJ321" s="2" t="str">
        <f>IF(Source!$C321&gt;=COLUMNS($A321:AJ321), Source!$E321, "")</f>
        <v/>
      </c>
      <c r="AK321" s="2" t="str">
        <f>IF(Source!$C321&gt;=COLUMNS($A321:AK321), Source!$E321, "")</f>
        <v/>
      </c>
      <c r="AL321" s="2" t="str">
        <f>IF(Source!$C321&gt;=COLUMNS($A321:AL321), Source!$E321, "")</f>
        <v/>
      </c>
      <c r="AM321" s="2" t="str">
        <f>IF(Source!$C321&gt;=COLUMNS($A321:AM321), Source!$E321, "")</f>
        <v/>
      </c>
      <c r="AN321" s="2" t="str">
        <f>IF(Source!$C321&gt;=COLUMNS($A321:AN321), Source!$E321, "")</f>
        <v/>
      </c>
      <c r="AO321" s="2" t="str">
        <f>IF(Source!$C321&gt;=COLUMNS($A321:AO321), Source!$E321, "")</f>
        <v/>
      </c>
      <c r="AP321" s="2" t="str">
        <f>IF(Source!$C321&gt;=COLUMNS($A321:AP321), Source!$E321, "")</f>
        <v/>
      </c>
      <c r="AQ321" s="2" t="str">
        <f>IF(Source!$C321&gt;=COLUMNS($A321:AQ321), Source!$E321, "")</f>
        <v/>
      </c>
      <c r="AR321" s="2" t="str">
        <f>IF(Source!$C321&gt;=COLUMNS($A321:AR321), Source!$E321, "")</f>
        <v/>
      </c>
    </row>
    <row r="322">
      <c r="A322" s="2">
        <f>IF(Source!$C322&gt;=COLUMNS($A322:A322), Source!$E322, "")</f>
        <v>1</v>
      </c>
      <c r="B322" s="2" t="str">
        <f>IF(Source!$C322&gt;=COLUMNS($A322:B322), Source!$E322, "")</f>
        <v/>
      </c>
      <c r="C322" s="2" t="str">
        <f>IF(Source!$C322&gt;=COLUMNS($A322:C322), Source!$E322, "")</f>
        <v/>
      </c>
      <c r="D322" s="2" t="str">
        <f>IF(Source!$C322&gt;=COLUMNS($A322:D322), Source!$E322, "")</f>
        <v/>
      </c>
      <c r="E322" s="2" t="str">
        <f>IF(Source!$C322&gt;=COLUMNS($A322:E322), Source!$E322, "")</f>
        <v/>
      </c>
      <c r="F322" s="2" t="str">
        <f>IF(Source!$C322&gt;=COLUMNS($A322:F322), Source!$E322, "")</f>
        <v/>
      </c>
      <c r="G322" s="2" t="str">
        <f>IF(Source!$C322&gt;=COLUMNS($A322:G322), Source!$E322, "")</f>
        <v/>
      </c>
      <c r="H322" s="2" t="str">
        <f>IF(Source!$C322&gt;=COLUMNS($A322:H322), Source!$E322, "")</f>
        <v/>
      </c>
      <c r="I322" s="2" t="str">
        <f>IF(Source!$C322&gt;=COLUMNS($A322:I322), Source!$E322, "")</f>
        <v/>
      </c>
      <c r="J322" s="2" t="str">
        <f>IF(Source!$C322&gt;=COLUMNS($A322:J322), Source!$E322, "")</f>
        <v/>
      </c>
      <c r="K322" s="2" t="str">
        <f>IF(Source!$C322&gt;=COLUMNS($A322:K322), Source!$E322, "")</f>
        <v/>
      </c>
      <c r="L322" s="2" t="str">
        <f>IF(Source!$C322&gt;=COLUMNS($A322:L322), Source!$E322, "")</f>
        <v/>
      </c>
      <c r="M322" s="2" t="str">
        <f>IF(Source!$C322&gt;=COLUMNS($A322:M322), Source!$E322, "")</f>
        <v/>
      </c>
      <c r="N322" s="2" t="str">
        <f>IF(Source!$C322&gt;=COLUMNS($A322:N322), Source!$E322, "")</f>
        <v/>
      </c>
      <c r="O322" s="2" t="str">
        <f>IF(Source!$C322&gt;=COLUMNS($A322:O322), Source!$E322, "")</f>
        <v/>
      </c>
      <c r="P322" s="2" t="str">
        <f>IF(Source!$C322&gt;=COLUMNS($A322:P322), Source!$E322, "")</f>
        <v/>
      </c>
      <c r="Q322" s="2" t="str">
        <f>IF(Source!$C322&gt;=COLUMNS($A322:Q322), Source!$E322, "")</f>
        <v/>
      </c>
      <c r="R322" s="2" t="str">
        <f>IF(Source!$C322&gt;=COLUMNS($A322:R322), Source!$E322, "")</f>
        <v/>
      </c>
      <c r="S322" s="2" t="str">
        <f>IF(Source!$C322&gt;=COLUMNS($A322:S322), Source!$E322, "")</f>
        <v/>
      </c>
      <c r="T322" s="2" t="str">
        <f>IF(Source!$C322&gt;=COLUMNS($A322:T322), Source!$E322, "")</f>
        <v/>
      </c>
      <c r="U322" s="2" t="str">
        <f>IF(Source!$C322&gt;=COLUMNS($A322:U322), Source!$E322, "")</f>
        <v/>
      </c>
      <c r="V322" s="2" t="str">
        <f>IF(Source!$C322&gt;=COLUMNS($A322:V322), Source!$E322, "")</f>
        <v/>
      </c>
      <c r="W322" s="2" t="str">
        <f>IF(Source!$C322&gt;=COLUMNS($A322:W322), Source!$E322, "")</f>
        <v/>
      </c>
      <c r="X322" s="2" t="str">
        <f>IF(Source!$C322&gt;=COLUMNS($A322:X322), Source!$E322, "")</f>
        <v/>
      </c>
      <c r="Y322" s="2" t="str">
        <f>IF(Source!$C322&gt;=COLUMNS($A322:Y322), Source!$E322, "")</f>
        <v/>
      </c>
      <c r="Z322" s="2" t="str">
        <f>IF(Source!$C322&gt;=COLUMNS($A322:Z322), Source!$E322, "")</f>
        <v/>
      </c>
      <c r="AA322" s="2" t="str">
        <f>IF(Source!$C322&gt;=COLUMNS($A322:AA322), Source!$E322, "")</f>
        <v/>
      </c>
      <c r="AB322" s="2" t="str">
        <f>IF(Source!$C322&gt;=COLUMNS($A322:AB322), Source!$E322, "")</f>
        <v/>
      </c>
      <c r="AC322" s="2" t="str">
        <f>IF(Source!$C322&gt;=COLUMNS($A322:AC322), Source!$E322, "")</f>
        <v/>
      </c>
      <c r="AD322" s="2" t="str">
        <f>IF(Source!$C322&gt;=COLUMNS($A322:AD322), Source!$E322, "")</f>
        <v/>
      </c>
      <c r="AE322" s="2" t="str">
        <f>IF(Source!$C322&gt;=COLUMNS($A322:AE322), Source!$E322, "")</f>
        <v/>
      </c>
      <c r="AF322" s="2" t="str">
        <f>IF(Source!$C322&gt;=COLUMNS($A322:AF322), Source!$E322, "")</f>
        <v/>
      </c>
      <c r="AG322" s="2" t="str">
        <f>IF(Source!$C322&gt;=COLUMNS($A322:AG322), Source!$E322, "")</f>
        <v/>
      </c>
      <c r="AH322" s="2" t="str">
        <f>IF(Source!$C322&gt;=COLUMNS($A322:AH322), Source!$E322, "")</f>
        <v/>
      </c>
      <c r="AI322" s="2" t="str">
        <f>IF(Source!$C322&gt;=COLUMNS($A322:AI322), Source!$E322, "")</f>
        <v/>
      </c>
      <c r="AJ322" s="2" t="str">
        <f>IF(Source!$C322&gt;=COLUMNS($A322:AJ322), Source!$E322, "")</f>
        <v/>
      </c>
      <c r="AK322" s="2" t="str">
        <f>IF(Source!$C322&gt;=COLUMNS($A322:AK322), Source!$E322, "")</f>
        <v/>
      </c>
      <c r="AL322" s="2" t="str">
        <f>IF(Source!$C322&gt;=COLUMNS($A322:AL322), Source!$E322, "")</f>
        <v/>
      </c>
      <c r="AM322" s="2" t="str">
        <f>IF(Source!$C322&gt;=COLUMNS($A322:AM322), Source!$E322, "")</f>
        <v/>
      </c>
      <c r="AN322" s="2" t="str">
        <f>IF(Source!$C322&gt;=COLUMNS($A322:AN322), Source!$E322, "")</f>
        <v/>
      </c>
      <c r="AO322" s="2" t="str">
        <f>IF(Source!$C322&gt;=COLUMNS($A322:AO322), Source!$E322, "")</f>
        <v/>
      </c>
      <c r="AP322" s="2" t="str">
        <f>IF(Source!$C322&gt;=COLUMNS($A322:AP322), Source!$E322, "")</f>
        <v/>
      </c>
      <c r="AQ322" s="2" t="str">
        <f>IF(Source!$C322&gt;=COLUMNS($A322:AQ322), Source!$E322, "")</f>
        <v/>
      </c>
      <c r="AR322" s="2" t="str">
        <f>IF(Source!$C322&gt;=COLUMNS($A322:AR322), Source!$E322, "")</f>
        <v/>
      </c>
    </row>
    <row r="323">
      <c r="A323" s="2">
        <f>IF(Source!$C323&gt;=COLUMNS($A323:A323), Source!$E323, "")</f>
        <v>2</v>
      </c>
      <c r="B323" s="2" t="str">
        <f>IF(Source!$C323&gt;=COLUMNS($A323:B323), Source!$E323, "")</f>
        <v/>
      </c>
      <c r="C323" s="2" t="str">
        <f>IF(Source!$C323&gt;=COLUMNS($A323:C323), Source!$E323, "")</f>
        <v/>
      </c>
      <c r="D323" s="2" t="str">
        <f>IF(Source!$C323&gt;=COLUMNS($A323:D323), Source!$E323, "")</f>
        <v/>
      </c>
      <c r="E323" s="2" t="str">
        <f>IF(Source!$C323&gt;=COLUMNS($A323:E323), Source!$E323, "")</f>
        <v/>
      </c>
      <c r="F323" s="2" t="str">
        <f>IF(Source!$C323&gt;=COLUMNS($A323:F323), Source!$E323, "")</f>
        <v/>
      </c>
      <c r="G323" s="2" t="str">
        <f>IF(Source!$C323&gt;=COLUMNS($A323:G323), Source!$E323, "")</f>
        <v/>
      </c>
      <c r="H323" s="2" t="str">
        <f>IF(Source!$C323&gt;=COLUMNS($A323:H323), Source!$E323, "")</f>
        <v/>
      </c>
      <c r="I323" s="2" t="str">
        <f>IF(Source!$C323&gt;=COLUMNS($A323:I323), Source!$E323, "")</f>
        <v/>
      </c>
      <c r="J323" s="2" t="str">
        <f>IF(Source!$C323&gt;=COLUMNS($A323:J323), Source!$E323, "")</f>
        <v/>
      </c>
      <c r="K323" s="2" t="str">
        <f>IF(Source!$C323&gt;=COLUMNS($A323:K323), Source!$E323, "")</f>
        <v/>
      </c>
      <c r="L323" s="2" t="str">
        <f>IF(Source!$C323&gt;=COLUMNS($A323:L323), Source!$E323, "")</f>
        <v/>
      </c>
      <c r="M323" s="2" t="str">
        <f>IF(Source!$C323&gt;=COLUMNS($A323:M323), Source!$E323, "")</f>
        <v/>
      </c>
      <c r="N323" s="2" t="str">
        <f>IF(Source!$C323&gt;=COLUMNS($A323:N323), Source!$E323, "")</f>
        <v/>
      </c>
      <c r="O323" s="2" t="str">
        <f>IF(Source!$C323&gt;=COLUMNS($A323:O323), Source!$E323, "")</f>
        <v/>
      </c>
      <c r="P323" s="2" t="str">
        <f>IF(Source!$C323&gt;=COLUMNS($A323:P323), Source!$E323, "")</f>
        <v/>
      </c>
      <c r="Q323" s="2" t="str">
        <f>IF(Source!$C323&gt;=COLUMNS($A323:Q323), Source!$E323, "")</f>
        <v/>
      </c>
      <c r="R323" s="2" t="str">
        <f>IF(Source!$C323&gt;=COLUMNS($A323:R323), Source!$E323, "")</f>
        <v/>
      </c>
      <c r="S323" s="2" t="str">
        <f>IF(Source!$C323&gt;=COLUMNS($A323:S323), Source!$E323, "")</f>
        <v/>
      </c>
      <c r="T323" s="2" t="str">
        <f>IF(Source!$C323&gt;=COLUMNS($A323:T323), Source!$E323, "")</f>
        <v/>
      </c>
      <c r="U323" s="2" t="str">
        <f>IF(Source!$C323&gt;=COLUMNS($A323:U323), Source!$E323, "")</f>
        <v/>
      </c>
      <c r="V323" s="2" t="str">
        <f>IF(Source!$C323&gt;=COLUMNS($A323:V323), Source!$E323, "")</f>
        <v/>
      </c>
      <c r="W323" s="2" t="str">
        <f>IF(Source!$C323&gt;=COLUMNS($A323:W323), Source!$E323, "")</f>
        <v/>
      </c>
      <c r="X323" s="2" t="str">
        <f>IF(Source!$C323&gt;=COLUMNS($A323:X323), Source!$E323, "")</f>
        <v/>
      </c>
      <c r="Y323" s="2" t="str">
        <f>IF(Source!$C323&gt;=COLUMNS($A323:Y323), Source!$E323, "")</f>
        <v/>
      </c>
      <c r="Z323" s="2" t="str">
        <f>IF(Source!$C323&gt;=COLUMNS($A323:Z323), Source!$E323, "")</f>
        <v/>
      </c>
      <c r="AA323" s="2" t="str">
        <f>IF(Source!$C323&gt;=COLUMNS($A323:AA323), Source!$E323, "")</f>
        <v/>
      </c>
      <c r="AB323" s="2" t="str">
        <f>IF(Source!$C323&gt;=COLUMNS($A323:AB323), Source!$E323, "")</f>
        <v/>
      </c>
      <c r="AC323" s="2" t="str">
        <f>IF(Source!$C323&gt;=COLUMNS($A323:AC323), Source!$E323, "")</f>
        <v/>
      </c>
      <c r="AD323" s="2" t="str">
        <f>IF(Source!$C323&gt;=COLUMNS($A323:AD323), Source!$E323, "")</f>
        <v/>
      </c>
      <c r="AE323" s="2" t="str">
        <f>IF(Source!$C323&gt;=COLUMNS($A323:AE323), Source!$E323, "")</f>
        <v/>
      </c>
      <c r="AF323" s="2" t="str">
        <f>IF(Source!$C323&gt;=COLUMNS($A323:AF323), Source!$E323, "")</f>
        <v/>
      </c>
      <c r="AG323" s="2" t="str">
        <f>IF(Source!$C323&gt;=COLUMNS($A323:AG323), Source!$E323, "")</f>
        <v/>
      </c>
      <c r="AH323" s="2" t="str">
        <f>IF(Source!$C323&gt;=COLUMNS($A323:AH323), Source!$E323, "")</f>
        <v/>
      </c>
      <c r="AI323" s="2" t="str">
        <f>IF(Source!$C323&gt;=COLUMNS($A323:AI323), Source!$E323, "")</f>
        <v/>
      </c>
      <c r="AJ323" s="2" t="str">
        <f>IF(Source!$C323&gt;=COLUMNS($A323:AJ323), Source!$E323, "")</f>
        <v/>
      </c>
      <c r="AK323" s="2" t="str">
        <f>IF(Source!$C323&gt;=COLUMNS($A323:AK323), Source!$E323, "")</f>
        <v/>
      </c>
      <c r="AL323" s="2" t="str">
        <f>IF(Source!$C323&gt;=COLUMNS($A323:AL323), Source!$E323, "")</f>
        <v/>
      </c>
      <c r="AM323" s="2" t="str">
        <f>IF(Source!$C323&gt;=COLUMNS($A323:AM323), Source!$E323, "")</f>
        <v/>
      </c>
      <c r="AN323" s="2" t="str">
        <f>IF(Source!$C323&gt;=COLUMNS($A323:AN323), Source!$E323, "")</f>
        <v/>
      </c>
      <c r="AO323" s="2" t="str">
        <f>IF(Source!$C323&gt;=COLUMNS($A323:AO323), Source!$E323, "")</f>
        <v/>
      </c>
      <c r="AP323" s="2" t="str">
        <f>IF(Source!$C323&gt;=COLUMNS($A323:AP323), Source!$E323, "")</f>
        <v/>
      </c>
      <c r="AQ323" s="2" t="str">
        <f>IF(Source!$C323&gt;=COLUMNS($A323:AQ323), Source!$E323, "")</f>
        <v/>
      </c>
      <c r="AR323" s="2" t="str">
        <f>IF(Source!$C323&gt;=COLUMNS($A323:AR323), Source!$E323, "")</f>
        <v/>
      </c>
    </row>
    <row r="324">
      <c r="A324" s="2">
        <f>IF(Source!$C324&gt;=COLUMNS($A324:A324), Source!$E324, "")</f>
        <v>2</v>
      </c>
      <c r="B324" s="2" t="str">
        <f>IF(Source!$C324&gt;=COLUMNS($A324:B324), Source!$E324, "")</f>
        <v/>
      </c>
      <c r="C324" s="2" t="str">
        <f>IF(Source!$C324&gt;=COLUMNS($A324:C324), Source!$E324, "")</f>
        <v/>
      </c>
      <c r="D324" s="2" t="str">
        <f>IF(Source!$C324&gt;=COLUMNS($A324:D324), Source!$E324, "")</f>
        <v/>
      </c>
      <c r="E324" s="2" t="str">
        <f>IF(Source!$C324&gt;=COLUMNS($A324:E324), Source!$E324, "")</f>
        <v/>
      </c>
      <c r="F324" s="2" t="str">
        <f>IF(Source!$C324&gt;=COLUMNS($A324:F324), Source!$E324, "")</f>
        <v/>
      </c>
      <c r="G324" s="2" t="str">
        <f>IF(Source!$C324&gt;=COLUMNS($A324:G324), Source!$E324, "")</f>
        <v/>
      </c>
      <c r="H324" s="2" t="str">
        <f>IF(Source!$C324&gt;=COLUMNS($A324:H324), Source!$E324, "")</f>
        <v/>
      </c>
      <c r="I324" s="2" t="str">
        <f>IF(Source!$C324&gt;=COLUMNS($A324:I324), Source!$E324, "")</f>
        <v/>
      </c>
      <c r="J324" s="2" t="str">
        <f>IF(Source!$C324&gt;=COLUMNS($A324:J324), Source!$E324, "")</f>
        <v/>
      </c>
      <c r="K324" s="2" t="str">
        <f>IF(Source!$C324&gt;=COLUMNS($A324:K324), Source!$E324, "")</f>
        <v/>
      </c>
      <c r="L324" s="2" t="str">
        <f>IF(Source!$C324&gt;=COLUMNS($A324:L324), Source!$E324, "")</f>
        <v/>
      </c>
      <c r="M324" s="2" t="str">
        <f>IF(Source!$C324&gt;=COLUMNS($A324:M324), Source!$E324, "")</f>
        <v/>
      </c>
      <c r="N324" s="2" t="str">
        <f>IF(Source!$C324&gt;=COLUMNS($A324:N324), Source!$E324, "")</f>
        <v/>
      </c>
      <c r="O324" s="2" t="str">
        <f>IF(Source!$C324&gt;=COLUMNS($A324:O324), Source!$E324, "")</f>
        <v/>
      </c>
      <c r="P324" s="2" t="str">
        <f>IF(Source!$C324&gt;=COLUMNS($A324:P324), Source!$E324, "")</f>
        <v/>
      </c>
      <c r="Q324" s="2" t="str">
        <f>IF(Source!$C324&gt;=COLUMNS($A324:Q324), Source!$E324, "")</f>
        <v/>
      </c>
      <c r="R324" s="2" t="str">
        <f>IF(Source!$C324&gt;=COLUMNS($A324:R324), Source!$E324, "")</f>
        <v/>
      </c>
      <c r="S324" s="2" t="str">
        <f>IF(Source!$C324&gt;=COLUMNS($A324:S324), Source!$E324, "")</f>
        <v/>
      </c>
      <c r="T324" s="2" t="str">
        <f>IF(Source!$C324&gt;=COLUMNS($A324:T324), Source!$E324, "")</f>
        <v/>
      </c>
      <c r="U324" s="2" t="str">
        <f>IF(Source!$C324&gt;=COLUMNS($A324:U324), Source!$E324, "")</f>
        <v/>
      </c>
      <c r="V324" s="2" t="str">
        <f>IF(Source!$C324&gt;=COLUMNS($A324:V324), Source!$E324, "")</f>
        <v/>
      </c>
      <c r="W324" s="2" t="str">
        <f>IF(Source!$C324&gt;=COLUMNS($A324:W324), Source!$E324, "")</f>
        <v/>
      </c>
      <c r="X324" s="2" t="str">
        <f>IF(Source!$C324&gt;=COLUMNS($A324:X324), Source!$E324, "")</f>
        <v/>
      </c>
      <c r="Y324" s="2" t="str">
        <f>IF(Source!$C324&gt;=COLUMNS($A324:Y324), Source!$E324, "")</f>
        <v/>
      </c>
      <c r="Z324" s="2" t="str">
        <f>IF(Source!$C324&gt;=COLUMNS($A324:Z324), Source!$E324, "")</f>
        <v/>
      </c>
      <c r="AA324" s="2" t="str">
        <f>IF(Source!$C324&gt;=COLUMNS($A324:AA324), Source!$E324, "")</f>
        <v/>
      </c>
      <c r="AB324" s="2" t="str">
        <f>IF(Source!$C324&gt;=COLUMNS($A324:AB324), Source!$E324, "")</f>
        <v/>
      </c>
      <c r="AC324" s="2" t="str">
        <f>IF(Source!$C324&gt;=COLUMNS($A324:AC324), Source!$E324, "")</f>
        <v/>
      </c>
      <c r="AD324" s="2" t="str">
        <f>IF(Source!$C324&gt;=COLUMNS($A324:AD324), Source!$E324, "")</f>
        <v/>
      </c>
      <c r="AE324" s="2" t="str">
        <f>IF(Source!$C324&gt;=COLUMNS($A324:AE324), Source!$E324, "")</f>
        <v/>
      </c>
      <c r="AF324" s="2" t="str">
        <f>IF(Source!$C324&gt;=COLUMNS($A324:AF324), Source!$E324, "")</f>
        <v/>
      </c>
      <c r="AG324" s="2" t="str">
        <f>IF(Source!$C324&gt;=COLUMNS($A324:AG324), Source!$E324, "")</f>
        <v/>
      </c>
      <c r="AH324" s="2" t="str">
        <f>IF(Source!$C324&gt;=COLUMNS($A324:AH324), Source!$E324, "")</f>
        <v/>
      </c>
      <c r="AI324" s="2" t="str">
        <f>IF(Source!$C324&gt;=COLUMNS($A324:AI324), Source!$E324, "")</f>
        <v/>
      </c>
      <c r="AJ324" s="2" t="str">
        <f>IF(Source!$C324&gt;=COLUMNS($A324:AJ324), Source!$E324, "")</f>
        <v/>
      </c>
      <c r="AK324" s="2" t="str">
        <f>IF(Source!$C324&gt;=COLUMNS($A324:AK324), Source!$E324, "")</f>
        <v/>
      </c>
      <c r="AL324" s="2" t="str">
        <f>IF(Source!$C324&gt;=COLUMNS($A324:AL324), Source!$E324, "")</f>
        <v/>
      </c>
      <c r="AM324" s="2" t="str">
        <f>IF(Source!$C324&gt;=COLUMNS($A324:AM324), Source!$E324, "")</f>
        <v/>
      </c>
      <c r="AN324" s="2" t="str">
        <f>IF(Source!$C324&gt;=COLUMNS($A324:AN324), Source!$E324, "")</f>
        <v/>
      </c>
      <c r="AO324" s="2" t="str">
        <f>IF(Source!$C324&gt;=COLUMNS($A324:AO324), Source!$E324, "")</f>
        <v/>
      </c>
      <c r="AP324" s="2" t="str">
        <f>IF(Source!$C324&gt;=COLUMNS($A324:AP324), Source!$E324, "")</f>
        <v/>
      </c>
      <c r="AQ324" s="2" t="str">
        <f>IF(Source!$C324&gt;=COLUMNS($A324:AQ324), Source!$E324, "")</f>
        <v/>
      </c>
      <c r="AR324" s="2" t="str">
        <f>IF(Source!$C324&gt;=COLUMNS($A324:AR324), Source!$E324, "")</f>
        <v/>
      </c>
    </row>
    <row r="325">
      <c r="A325" s="2">
        <f>IF(Source!$C325&gt;=COLUMNS($A325:A325), Source!$E325, "")</f>
        <v>6</v>
      </c>
      <c r="B325" s="2">
        <f>IF(Source!$C325&gt;=COLUMNS($A325:B325), Source!$E325, "")</f>
        <v>6</v>
      </c>
      <c r="C325" s="2">
        <f>IF(Source!$C325&gt;=COLUMNS($A325:C325), Source!$E325, "")</f>
        <v>6</v>
      </c>
      <c r="D325" s="2">
        <f>IF(Source!$C325&gt;=COLUMNS($A325:D325), Source!$E325, "")</f>
        <v>6</v>
      </c>
      <c r="E325" s="2">
        <f>IF(Source!$C325&gt;=COLUMNS($A325:E325), Source!$E325, "")</f>
        <v>6</v>
      </c>
      <c r="F325" s="2">
        <f>IF(Source!$C325&gt;=COLUMNS($A325:F325), Source!$E325, "")</f>
        <v>6</v>
      </c>
      <c r="G325" s="2" t="str">
        <f>IF(Source!$C325&gt;=COLUMNS($A325:G325), Source!$E325, "")</f>
        <v/>
      </c>
      <c r="H325" s="2" t="str">
        <f>IF(Source!$C325&gt;=COLUMNS($A325:H325), Source!$E325, "")</f>
        <v/>
      </c>
      <c r="I325" s="2" t="str">
        <f>IF(Source!$C325&gt;=COLUMNS($A325:I325), Source!$E325, "")</f>
        <v/>
      </c>
      <c r="J325" s="2" t="str">
        <f>IF(Source!$C325&gt;=COLUMNS($A325:J325), Source!$E325, "")</f>
        <v/>
      </c>
      <c r="K325" s="2" t="str">
        <f>IF(Source!$C325&gt;=COLUMNS($A325:K325), Source!$E325, "")</f>
        <v/>
      </c>
      <c r="L325" s="2" t="str">
        <f>IF(Source!$C325&gt;=COLUMNS($A325:L325), Source!$E325, "")</f>
        <v/>
      </c>
      <c r="M325" s="2" t="str">
        <f>IF(Source!$C325&gt;=COLUMNS($A325:M325), Source!$E325, "")</f>
        <v/>
      </c>
      <c r="N325" s="2" t="str">
        <f>IF(Source!$C325&gt;=COLUMNS($A325:N325), Source!$E325, "")</f>
        <v/>
      </c>
      <c r="O325" s="2" t="str">
        <f>IF(Source!$C325&gt;=COLUMNS($A325:O325), Source!$E325, "")</f>
        <v/>
      </c>
      <c r="P325" s="2" t="str">
        <f>IF(Source!$C325&gt;=COLUMNS($A325:P325), Source!$E325, "")</f>
        <v/>
      </c>
      <c r="Q325" s="2" t="str">
        <f>IF(Source!$C325&gt;=COLUMNS($A325:Q325), Source!$E325, "")</f>
        <v/>
      </c>
      <c r="R325" s="2" t="str">
        <f>IF(Source!$C325&gt;=COLUMNS($A325:R325), Source!$E325, "")</f>
        <v/>
      </c>
      <c r="S325" s="2" t="str">
        <f>IF(Source!$C325&gt;=COLUMNS($A325:S325), Source!$E325, "")</f>
        <v/>
      </c>
      <c r="T325" s="2" t="str">
        <f>IF(Source!$C325&gt;=COLUMNS($A325:T325), Source!$E325, "")</f>
        <v/>
      </c>
      <c r="U325" s="2" t="str">
        <f>IF(Source!$C325&gt;=COLUMNS($A325:U325), Source!$E325, "")</f>
        <v/>
      </c>
      <c r="V325" s="2" t="str">
        <f>IF(Source!$C325&gt;=COLUMNS($A325:V325), Source!$E325, "")</f>
        <v/>
      </c>
      <c r="W325" s="2" t="str">
        <f>IF(Source!$C325&gt;=COLUMNS($A325:W325), Source!$E325, "")</f>
        <v/>
      </c>
      <c r="X325" s="2" t="str">
        <f>IF(Source!$C325&gt;=COLUMNS($A325:X325), Source!$E325, "")</f>
        <v/>
      </c>
      <c r="Y325" s="2" t="str">
        <f>IF(Source!$C325&gt;=COLUMNS($A325:Y325), Source!$E325, "")</f>
        <v/>
      </c>
      <c r="Z325" s="2" t="str">
        <f>IF(Source!$C325&gt;=COLUMNS($A325:Z325), Source!$E325, "")</f>
        <v/>
      </c>
      <c r="AA325" s="2" t="str">
        <f>IF(Source!$C325&gt;=COLUMNS($A325:AA325), Source!$E325, "")</f>
        <v/>
      </c>
      <c r="AB325" s="2" t="str">
        <f>IF(Source!$C325&gt;=COLUMNS($A325:AB325), Source!$E325, "")</f>
        <v/>
      </c>
      <c r="AC325" s="2" t="str">
        <f>IF(Source!$C325&gt;=COLUMNS($A325:AC325), Source!$E325, "")</f>
        <v/>
      </c>
      <c r="AD325" s="2" t="str">
        <f>IF(Source!$C325&gt;=COLUMNS($A325:AD325), Source!$E325, "")</f>
        <v/>
      </c>
      <c r="AE325" s="2" t="str">
        <f>IF(Source!$C325&gt;=COLUMNS($A325:AE325), Source!$E325, "")</f>
        <v/>
      </c>
      <c r="AF325" s="2" t="str">
        <f>IF(Source!$C325&gt;=COLUMNS($A325:AF325), Source!$E325, "")</f>
        <v/>
      </c>
      <c r="AG325" s="2" t="str">
        <f>IF(Source!$C325&gt;=COLUMNS($A325:AG325), Source!$E325, "")</f>
        <v/>
      </c>
      <c r="AH325" s="2" t="str">
        <f>IF(Source!$C325&gt;=COLUMNS($A325:AH325), Source!$E325, "")</f>
        <v/>
      </c>
      <c r="AI325" s="2" t="str">
        <f>IF(Source!$C325&gt;=COLUMNS($A325:AI325), Source!$E325, "")</f>
        <v/>
      </c>
      <c r="AJ325" s="2" t="str">
        <f>IF(Source!$C325&gt;=COLUMNS($A325:AJ325), Source!$E325, "")</f>
        <v/>
      </c>
      <c r="AK325" s="2" t="str">
        <f>IF(Source!$C325&gt;=COLUMNS($A325:AK325), Source!$E325, "")</f>
        <v/>
      </c>
      <c r="AL325" s="2" t="str">
        <f>IF(Source!$C325&gt;=COLUMNS($A325:AL325), Source!$E325, "")</f>
        <v/>
      </c>
      <c r="AM325" s="2" t="str">
        <f>IF(Source!$C325&gt;=COLUMNS($A325:AM325), Source!$E325, "")</f>
        <v/>
      </c>
      <c r="AN325" s="2" t="str">
        <f>IF(Source!$C325&gt;=COLUMNS($A325:AN325), Source!$E325, "")</f>
        <v/>
      </c>
      <c r="AO325" s="2" t="str">
        <f>IF(Source!$C325&gt;=COLUMNS($A325:AO325), Source!$E325, "")</f>
        <v/>
      </c>
      <c r="AP325" s="2" t="str">
        <f>IF(Source!$C325&gt;=COLUMNS($A325:AP325), Source!$E325, "")</f>
        <v/>
      </c>
      <c r="AQ325" s="2" t="str">
        <f>IF(Source!$C325&gt;=COLUMNS($A325:AQ325), Source!$E325, "")</f>
        <v/>
      </c>
      <c r="AR325" s="2" t="str">
        <f>IF(Source!$C325&gt;=COLUMNS($A325:AR325), Source!$E325, "")</f>
        <v/>
      </c>
    </row>
    <row r="326">
      <c r="A326" s="2">
        <f>IF(Source!$C326&gt;=COLUMNS($A326:A326), Source!$E326, "")</f>
        <v>4</v>
      </c>
      <c r="B326" s="2">
        <f>IF(Source!$C326&gt;=COLUMNS($A326:B326), Source!$E326, "")</f>
        <v>4</v>
      </c>
      <c r="C326" s="2" t="str">
        <f>IF(Source!$C326&gt;=COLUMNS($A326:C326), Source!$E326, "")</f>
        <v/>
      </c>
      <c r="D326" s="2" t="str">
        <f>IF(Source!$C326&gt;=COLUMNS($A326:D326), Source!$E326, "")</f>
        <v/>
      </c>
      <c r="E326" s="2" t="str">
        <f>IF(Source!$C326&gt;=COLUMNS($A326:E326), Source!$E326, "")</f>
        <v/>
      </c>
      <c r="F326" s="2" t="str">
        <f>IF(Source!$C326&gt;=COLUMNS($A326:F326), Source!$E326, "")</f>
        <v/>
      </c>
      <c r="G326" s="2" t="str">
        <f>IF(Source!$C326&gt;=COLUMNS($A326:G326), Source!$E326, "")</f>
        <v/>
      </c>
      <c r="H326" s="2" t="str">
        <f>IF(Source!$C326&gt;=COLUMNS($A326:H326), Source!$E326, "")</f>
        <v/>
      </c>
      <c r="I326" s="2" t="str">
        <f>IF(Source!$C326&gt;=COLUMNS($A326:I326), Source!$E326, "")</f>
        <v/>
      </c>
      <c r="J326" s="2" t="str">
        <f>IF(Source!$C326&gt;=COLUMNS($A326:J326), Source!$E326, "")</f>
        <v/>
      </c>
      <c r="K326" s="2" t="str">
        <f>IF(Source!$C326&gt;=COLUMNS($A326:K326), Source!$E326, "")</f>
        <v/>
      </c>
      <c r="L326" s="2" t="str">
        <f>IF(Source!$C326&gt;=COLUMNS($A326:L326), Source!$E326, "")</f>
        <v/>
      </c>
      <c r="M326" s="2" t="str">
        <f>IF(Source!$C326&gt;=COLUMNS($A326:M326), Source!$E326, "")</f>
        <v/>
      </c>
      <c r="N326" s="2" t="str">
        <f>IF(Source!$C326&gt;=COLUMNS($A326:N326), Source!$E326, "")</f>
        <v/>
      </c>
      <c r="O326" s="2" t="str">
        <f>IF(Source!$C326&gt;=COLUMNS($A326:O326), Source!$E326, "")</f>
        <v/>
      </c>
      <c r="P326" s="2" t="str">
        <f>IF(Source!$C326&gt;=COLUMNS($A326:P326), Source!$E326, "")</f>
        <v/>
      </c>
      <c r="Q326" s="2" t="str">
        <f>IF(Source!$C326&gt;=COLUMNS($A326:Q326), Source!$E326, "")</f>
        <v/>
      </c>
      <c r="R326" s="2" t="str">
        <f>IF(Source!$C326&gt;=COLUMNS($A326:R326), Source!$E326, "")</f>
        <v/>
      </c>
      <c r="S326" s="2" t="str">
        <f>IF(Source!$C326&gt;=COLUMNS($A326:S326), Source!$E326, "")</f>
        <v/>
      </c>
      <c r="T326" s="2" t="str">
        <f>IF(Source!$C326&gt;=COLUMNS($A326:T326), Source!$E326, "")</f>
        <v/>
      </c>
      <c r="U326" s="2" t="str">
        <f>IF(Source!$C326&gt;=COLUMNS($A326:U326), Source!$E326, "")</f>
        <v/>
      </c>
      <c r="V326" s="2" t="str">
        <f>IF(Source!$C326&gt;=COLUMNS($A326:V326), Source!$E326, "")</f>
        <v/>
      </c>
      <c r="W326" s="2" t="str">
        <f>IF(Source!$C326&gt;=COLUMNS($A326:W326), Source!$E326, "")</f>
        <v/>
      </c>
      <c r="X326" s="2" t="str">
        <f>IF(Source!$C326&gt;=COLUMNS($A326:X326), Source!$E326, "")</f>
        <v/>
      </c>
      <c r="Y326" s="2" t="str">
        <f>IF(Source!$C326&gt;=COLUMNS($A326:Y326), Source!$E326, "")</f>
        <v/>
      </c>
      <c r="Z326" s="2" t="str">
        <f>IF(Source!$C326&gt;=COLUMNS($A326:Z326), Source!$E326, "")</f>
        <v/>
      </c>
      <c r="AA326" s="2" t="str">
        <f>IF(Source!$C326&gt;=COLUMNS($A326:AA326), Source!$E326, "")</f>
        <v/>
      </c>
      <c r="AB326" s="2" t="str">
        <f>IF(Source!$C326&gt;=COLUMNS($A326:AB326), Source!$E326, "")</f>
        <v/>
      </c>
      <c r="AC326" s="2" t="str">
        <f>IF(Source!$C326&gt;=COLUMNS($A326:AC326), Source!$E326, "")</f>
        <v/>
      </c>
      <c r="AD326" s="2" t="str">
        <f>IF(Source!$C326&gt;=COLUMNS($A326:AD326), Source!$E326, "")</f>
        <v/>
      </c>
      <c r="AE326" s="2" t="str">
        <f>IF(Source!$C326&gt;=COLUMNS($A326:AE326), Source!$E326, "")</f>
        <v/>
      </c>
      <c r="AF326" s="2" t="str">
        <f>IF(Source!$C326&gt;=COLUMNS($A326:AF326), Source!$E326, "")</f>
        <v/>
      </c>
      <c r="AG326" s="2" t="str">
        <f>IF(Source!$C326&gt;=COLUMNS($A326:AG326), Source!$E326, "")</f>
        <v/>
      </c>
      <c r="AH326" s="2" t="str">
        <f>IF(Source!$C326&gt;=COLUMNS($A326:AH326), Source!$E326, "")</f>
        <v/>
      </c>
      <c r="AI326" s="2" t="str">
        <f>IF(Source!$C326&gt;=COLUMNS($A326:AI326), Source!$E326, "")</f>
        <v/>
      </c>
      <c r="AJ326" s="2" t="str">
        <f>IF(Source!$C326&gt;=COLUMNS($A326:AJ326), Source!$E326, "")</f>
        <v/>
      </c>
      <c r="AK326" s="2" t="str">
        <f>IF(Source!$C326&gt;=COLUMNS($A326:AK326), Source!$E326, "")</f>
        <v/>
      </c>
      <c r="AL326" s="2" t="str">
        <f>IF(Source!$C326&gt;=COLUMNS($A326:AL326), Source!$E326, "")</f>
        <v/>
      </c>
      <c r="AM326" s="2" t="str">
        <f>IF(Source!$C326&gt;=COLUMNS($A326:AM326), Source!$E326, "")</f>
        <v/>
      </c>
      <c r="AN326" s="2" t="str">
        <f>IF(Source!$C326&gt;=COLUMNS($A326:AN326), Source!$E326, "")</f>
        <v/>
      </c>
      <c r="AO326" s="2" t="str">
        <f>IF(Source!$C326&gt;=COLUMNS($A326:AO326), Source!$E326, "")</f>
        <v/>
      </c>
      <c r="AP326" s="2" t="str">
        <f>IF(Source!$C326&gt;=COLUMNS($A326:AP326), Source!$E326, "")</f>
        <v/>
      </c>
      <c r="AQ326" s="2" t="str">
        <f>IF(Source!$C326&gt;=COLUMNS($A326:AQ326), Source!$E326, "")</f>
        <v/>
      </c>
      <c r="AR326" s="2" t="str">
        <f>IF(Source!$C326&gt;=COLUMNS($A326:AR326), Source!$E326, "")</f>
        <v/>
      </c>
    </row>
    <row r="327">
      <c r="A327" s="2">
        <f>IF(Source!$C327&gt;=COLUMNS($A327:A327), Source!$E327, "")</f>
        <v>2</v>
      </c>
      <c r="B327" s="2">
        <f>IF(Source!$C327&gt;=COLUMNS($A327:B327), Source!$E327, "")</f>
        <v>2</v>
      </c>
      <c r="C327" s="2" t="str">
        <f>IF(Source!$C327&gt;=COLUMNS($A327:C327), Source!$E327, "")</f>
        <v/>
      </c>
      <c r="D327" s="2" t="str">
        <f>IF(Source!$C327&gt;=COLUMNS($A327:D327), Source!$E327, "")</f>
        <v/>
      </c>
      <c r="E327" s="2" t="str">
        <f>IF(Source!$C327&gt;=COLUMNS($A327:E327), Source!$E327, "")</f>
        <v/>
      </c>
      <c r="F327" s="2" t="str">
        <f>IF(Source!$C327&gt;=COLUMNS($A327:F327), Source!$E327, "")</f>
        <v/>
      </c>
      <c r="G327" s="2" t="str">
        <f>IF(Source!$C327&gt;=COLUMNS($A327:G327), Source!$E327, "")</f>
        <v/>
      </c>
      <c r="H327" s="2" t="str">
        <f>IF(Source!$C327&gt;=COLUMNS($A327:H327), Source!$E327, "")</f>
        <v/>
      </c>
      <c r="I327" s="2" t="str">
        <f>IF(Source!$C327&gt;=COLUMNS($A327:I327), Source!$E327, "")</f>
        <v/>
      </c>
      <c r="J327" s="2" t="str">
        <f>IF(Source!$C327&gt;=COLUMNS($A327:J327), Source!$E327, "")</f>
        <v/>
      </c>
      <c r="K327" s="2" t="str">
        <f>IF(Source!$C327&gt;=COLUMNS($A327:K327), Source!$E327, "")</f>
        <v/>
      </c>
      <c r="L327" s="2" t="str">
        <f>IF(Source!$C327&gt;=COLUMNS($A327:L327), Source!$E327, "")</f>
        <v/>
      </c>
      <c r="M327" s="2" t="str">
        <f>IF(Source!$C327&gt;=COLUMNS($A327:M327), Source!$E327, "")</f>
        <v/>
      </c>
      <c r="N327" s="2" t="str">
        <f>IF(Source!$C327&gt;=COLUMNS($A327:N327), Source!$E327, "")</f>
        <v/>
      </c>
      <c r="O327" s="2" t="str">
        <f>IF(Source!$C327&gt;=COLUMNS($A327:O327), Source!$E327, "")</f>
        <v/>
      </c>
      <c r="P327" s="2" t="str">
        <f>IF(Source!$C327&gt;=COLUMNS($A327:P327), Source!$E327, "")</f>
        <v/>
      </c>
      <c r="Q327" s="2" t="str">
        <f>IF(Source!$C327&gt;=COLUMNS($A327:Q327), Source!$E327, "")</f>
        <v/>
      </c>
      <c r="R327" s="2" t="str">
        <f>IF(Source!$C327&gt;=COLUMNS($A327:R327), Source!$E327, "")</f>
        <v/>
      </c>
      <c r="S327" s="2" t="str">
        <f>IF(Source!$C327&gt;=COLUMNS($A327:S327), Source!$E327, "")</f>
        <v/>
      </c>
      <c r="T327" s="2" t="str">
        <f>IF(Source!$C327&gt;=COLUMNS($A327:T327), Source!$E327, "")</f>
        <v/>
      </c>
      <c r="U327" s="2" t="str">
        <f>IF(Source!$C327&gt;=COLUMNS($A327:U327), Source!$E327, "")</f>
        <v/>
      </c>
      <c r="V327" s="2" t="str">
        <f>IF(Source!$C327&gt;=COLUMNS($A327:V327), Source!$E327, "")</f>
        <v/>
      </c>
      <c r="W327" s="2" t="str">
        <f>IF(Source!$C327&gt;=COLUMNS($A327:W327), Source!$E327, "")</f>
        <v/>
      </c>
      <c r="X327" s="2" t="str">
        <f>IF(Source!$C327&gt;=COLUMNS($A327:X327), Source!$E327, "")</f>
        <v/>
      </c>
      <c r="Y327" s="2" t="str">
        <f>IF(Source!$C327&gt;=COLUMNS($A327:Y327), Source!$E327, "")</f>
        <v/>
      </c>
      <c r="Z327" s="2" t="str">
        <f>IF(Source!$C327&gt;=COLUMNS($A327:Z327), Source!$E327, "")</f>
        <v/>
      </c>
      <c r="AA327" s="2" t="str">
        <f>IF(Source!$C327&gt;=COLUMNS($A327:AA327), Source!$E327, "")</f>
        <v/>
      </c>
      <c r="AB327" s="2" t="str">
        <f>IF(Source!$C327&gt;=COLUMNS($A327:AB327), Source!$E327, "")</f>
        <v/>
      </c>
      <c r="AC327" s="2" t="str">
        <f>IF(Source!$C327&gt;=COLUMNS($A327:AC327), Source!$E327, "")</f>
        <v/>
      </c>
      <c r="AD327" s="2" t="str">
        <f>IF(Source!$C327&gt;=COLUMNS($A327:AD327), Source!$E327, "")</f>
        <v/>
      </c>
      <c r="AE327" s="2" t="str">
        <f>IF(Source!$C327&gt;=COLUMNS($A327:AE327), Source!$E327, "")</f>
        <v/>
      </c>
      <c r="AF327" s="2" t="str">
        <f>IF(Source!$C327&gt;=COLUMNS($A327:AF327), Source!$E327, "")</f>
        <v/>
      </c>
      <c r="AG327" s="2" t="str">
        <f>IF(Source!$C327&gt;=COLUMNS($A327:AG327), Source!$E327, "")</f>
        <v/>
      </c>
      <c r="AH327" s="2" t="str">
        <f>IF(Source!$C327&gt;=COLUMNS($A327:AH327), Source!$E327, "")</f>
        <v/>
      </c>
      <c r="AI327" s="2" t="str">
        <f>IF(Source!$C327&gt;=COLUMNS($A327:AI327), Source!$E327, "")</f>
        <v/>
      </c>
      <c r="AJ327" s="2" t="str">
        <f>IF(Source!$C327&gt;=COLUMNS($A327:AJ327), Source!$E327, "")</f>
        <v/>
      </c>
      <c r="AK327" s="2" t="str">
        <f>IF(Source!$C327&gt;=COLUMNS($A327:AK327), Source!$E327, "")</f>
        <v/>
      </c>
      <c r="AL327" s="2" t="str">
        <f>IF(Source!$C327&gt;=COLUMNS($A327:AL327), Source!$E327, "")</f>
        <v/>
      </c>
      <c r="AM327" s="2" t="str">
        <f>IF(Source!$C327&gt;=COLUMNS($A327:AM327), Source!$E327, "")</f>
        <v/>
      </c>
      <c r="AN327" s="2" t="str">
        <f>IF(Source!$C327&gt;=COLUMNS($A327:AN327), Source!$E327, "")</f>
        <v/>
      </c>
      <c r="AO327" s="2" t="str">
        <f>IF(Source!$C327&gt;=COLUMNS($A327:AO327), Source!$E327, "")</f>
        <v/>
      </c>
      <c r="AP327" s="2" t="str">
        <f>IF(Source!$C327&gt;=COLUMNS($A327:AP327), Source!$E327, "")</f>
        <v/>
      </c>
      <c r="AQ327" s="2" t="str">
        <f>IF(Source!$C327&gt;=COLUMNS($A327:AQ327), Source!$E327, "")</f>
        <v/>
      </c>
      <c r="AR327" s="2" t="str">
        <f>IF(Source!$C327&gt;=COLUMNS($A327:AR327), Source!$E327, "")</f>
        <v/>
      </c>
    </row>
    <row r="328">
      <c r="A328" s="2">
        <f>IF(Source!$C328&gt;=COLUMNS($A328:A328), Source!$E328, "")</f>
        <v>8</v>
      </c>
      <c r="B328" s="2" t="str">
        <f>IF(Source!$C328&gt;=COLUMNS($A328:B328), Source!$E328, "")</f>
        <v/>
      </c>
      <c r="C328" s="2" t="str">
        <f>IF(Source!$C328&gt;=COLUMNS($A328:C328), Source!$E328, "")</f>
        <v/>
      </c>
      <c r="D328" s="2" t="str">
        <f>IF(Source!$C328&gt;=COLUMNS($A328:D328), Source!$E328, "")</f>
        <v/>
      </c>
      <c r="E328" s="2" t="str">
        <f>IF(Source!$C328&gt;=COLUMNS($A328:E328), Source!$E328, "")</f>
        <v/>
      </c>
      <c r="F328" s="2" t="str">
        <f>IF(Source!$C328&gt;=COLUMNS($A328:F328), Source!$E328, "")</f>
        <v/>
      </c>
      <c r="G328" s="2" t="str">
        <f>IF(Source!$C328&gt;=COLUMNS($A328:G328), Source!$E328, "")</f>
        <v/>
      </c>
      <c r="H328" s="2" t="str">
        <f>IF(Source!$C328&gt;=COLUMNS($A328:H328), Source!$E328, "")</f>
        <v/>
      </c>
      <c r="I328" s="2" t="str">
        <f>IF(Source!$C328&gt;=COLUMNS($A328:I328), Source!$E328, "")</f>
        <v/>
      </c>
      <c r="J328" s="2" t="str">
        <f>IF(Source!$C328&gt;=COLUMNS($A328:J328), Source!$E328, "")</f>
        <v/>
      </c>
      <c r="K328" s="2" t="str">
        <f>IF(Source!$C328&gt;=COLUMNS($A328:K328), Source!$E328, "")</f>
        <v/>
      </c>
      <c r="L328" s="2" t="str">
        <f>IF(Source!$C328&gt;=COLUMNS($A328:L328), Source!$E328, "")</f>
        <v/>
      </c>
      <c r="M328" s="2" t="str">
        <f>IF(Source!$C328&gt;=COLUMNS($A328:M328), Source!$E328, "")</f>
        <v/>
      </c>
      <c r="N328" s="2" t="str">
        <f>IF(Source!$C328&gt;=COLUMNS($A328:N328), Source!$E328, "")</f>
        <v/>
      </c>
      <c r="O328" s="2" t="str">
        <f>IF(Source!$C328&gt;=COLUMNS($A328:O328), Source!$E328, "")</f>
        <v/>
      </c>
      <c r="P328" s="2" t="str">
        <f>IF(Source!$C328&gt;=COLUMNS($A328:P328), Source!$E328, "")</f>
        <v/>
      </c>
      <c r="Q328" s="2" t="str">
        <f>IF(Source!$C328&gt;=COLUMNS($A328:Q328), Source!$E328, "")</f>
        <v/>
      </c>
      <c r="R328" s="2" t="str">
        <f>IF(Source!$C328&gt;=COLUMNS($A328:R328), Source!$E328, "")</f>
        <v/>
      </c>
      <c r="S328" s="2" t="str">
        <f>IF(Source!$C328&gt;=COLUMNS($A328:S328), Source!$E328, "")</f>
        <v/>
      </c>
      <c r="T328" s="2" t="str">
        <f>IF(Source!$C328&gt;=COLUMNS($A328:T328), Source!$E328, "")</f>
        <v/>
      </c>
      <c r="U328" s="2" t="str">
        <f>IF(Source!$C328&gt;=COLUMNS($A328:U328), Source!$E328, "")</f>
        <v/>
      </c>
      <c r="V328" s="2" t="str">
        <f>IF(Source!$C328&gt;=COLUMNS($A328:V328), Source!$E328, "")</f>
        <v/>
      </c>
      <c r="W328" s="2" t="str">
        <f>IF(Source!$C328&gt;=COLUMNS($A328:W328), Source!$E328, "")</f>
        <v/>
      </c>
      <c r="X328" s="2" t="str">
        <f>IF(Source!$C328&gt;=COLUMNS($A328:X328), Source!$E328, "")</f>
        <v/>
      </c>
      <c r="Y328" s="2" t="str">
        <f>IF(Source!$C328&gt;=COLUMNS($A328:Y328), Source!$E328, "")</f>
        <v/>
      </c>
      <c r="Z328" s="2" t="str">
        <f>IF(Source!$C328&gt;=COLUMNS($A328:Z328), Source!$E328, "")</f>
        <v/>
      </c>
      <c r="AA328" s="2" t="str">
        <f>IF(Source!$C328&gt;=COLUMNS($A328:AA328), Source!$E328, "")</f>
        <v/>
      </c>
      <c r="AB328" s="2" t="str">
        <f>IF(Source!$C328&gt;=COLUMNS($A328:AB328), Source!$E328, "")</f>
        <v/>
      </c>
      <c r="AC328" s="2" t="str">
        <f>IF(Source!$C328&gt;=COLUMNS($A328:AC328), Source!$E328, "")</f>
        <v/>
      </c>
      <c r="AD328" s="2" t="str">
        <f>IF(Source!$C328&gt;=COLUMNS($A328:AD328), Source!$E328, "")</f>
        <v/>
      </c>
      <c r="AE328" s="2" t="str">
        <f>IF(Source!$C328&gt;=COLUMNS($A328:AE328), Source!$E328, "")</f>
        <v/>
      </c>
      <c r="AF328" s="2" t="str">
        <f>IF(Source!$C328&gt;=COLUMNS($A328:AF328), Source!$E328, "")</f>
        <v/>
      </c>
      <c r="AG328" s="2" t="str">
        <f>IF(Source!$C328&gt;=COLUMNS($A328:AG328), Source!$E328, "")</f>
        <v/>
      </c>
      <c r="AH328" s="2" t="str">
        <f>IF(Source!$C328&gt;=COLUMNS($A328:AH328), Source!$E328, "")</f>
        <v/>
      </c>
      <c r="AI328" s="2" t="str">
        <f>IF(Source!$C328&gt;=COLUMNS($A328:AI328), Source!$E328, "")</f>
        <v/>
      </c>
      <c r="AJ328" s="2" t="str">
        <f>IF(Source!$C328&gt;=COLUMNS($A328:AJ328), Source!$E328, "")</f>
        <v/>
      </c>
      <c r="AK328" s="2" t="str">
        <f>IF(Source!$C328&gt;=COLUMNS($A328:AK328), Source!$E328, "")</f>
        <v/>
      </c>
      <c r="AL328" s="2" t="str">
        <f>IF(Source!$C328&gt;=COLUMNS($A328:AL328), Source!$E328, "")</f>
        <v/>
      </c>
      <c r="AM328" s="2" t="str">
        <f>IF(Source!$C328&gt;=COLUMNS($A328:AM328), Source!$E328, "")</f>
        <v/>
      </c>
      <c r="AN328" s="2" t="str">
        <f>IF(Source!$C328&gt;=COLUMNS($A328:AN328), Source!$E328, "")</f>
        <v/>
      </c>
      <c r="AO328" s="2" t="str">
        <f>IF(Source!$C328&gt;=COLUMNS($A328:AO328), Source!$E328, "")</f>
        <v/>
      </c>
      <c r="AP328" s="2" t="str">
        <f>IF(Source!$C328&gt;=COLUMNS($A328:AP328), Source!$E328, "")</f>
        <v/>
      </c>
      <c r="AQ328" s="2" t="str">
        <f>IF(Source!$C328&gt;=COLUMNS($A328:AQ328), Source!$E328, "")</f>
        <v/>
      </c>
      <c r="AR328" s="2" t="str">
        <f>IF(Source!$C328&gt;=COLUMNS($A328:AR328), Source!$E328, "")</f>
        <v/>
      </c>
    </row>
    <row r="329">
      <c r="A329" s="2">
        <f>IF(Source!$C329&gt;=COLUMNS($A329:A329), Source!$E329, "")</f>
        <v>3</v>
      </c>
      <c r="B329" s="2">
        <f>IF(Source!$C329&gt;=COLUMNS($A329:B329), Source!$E329, "")</f>
        <v>3</v>
      </c>
      <c r="C329" s="2">
        <f>IF(Source!$C329&gt;=COLUMNS($A329:C329), Source!$E329, "")</f>
        <v>3</v>
      </c>
      <c r="D329" s="2">
        <f>IF(Source!$C329&gt;=COLUMNS($A329:D329), Source!$E329, "")</f>
        <v>3</v>
      </c>
      <c r="E329" s="2">
        <f>IF(Source!$C329&gt;=COLUMNS($A329:E329), Source!$E329, "")</f>
        <v>3</v>
      </c>
      <c r="F329" s="2">
        <f>IF(Source!$C329&gt;=COLUMNS($A329:F329), Source!$E329, "")</f>
        <v>3</v>
      </c>
      <c r="G329" s="2">
        <f>IF(Source!$C329&gt;=COLUMNS($A329:G329), Source!$E329, "")</f>
        <v>3</v>
      </c>
      <c r="H329" s="2">
        <f>IF(Source!$C329&gt;=COLUMNS($A329:H329), Source!$E329, "")</f>
        <v>3</v>
      </c>
      <c r="I329" s="2">
        <f>IF(Source!$C329&gt;=COLUMNS($A329:I329), Source!$E329, "")</f>
        <v>3</v>
      </c>
      <c r="J329" s="2">
        <f>IF(Source!$C329&gt;=COLUMNS($A329:J329), Source!$E329, "")</f>
        <v>3</v>
      </c>
      <c r="K329" s="2">
        <f>IF(Source!$C329&gt;=COLUMNS($A329:K329), Source!$E329, "")</f>
        <v>3</v>
      </c>
      <c r="L329" s="2">
        <f>IF(Source!$C329&gt;=COLUMNS($A329:L329), Source!$E329, "")</f>
        <v>3</v>
      </c>
      <c r="M329" s="2">
        <f>IF(Source!$C329&gt;=COLUMNS($A329:M329), Source!$E329, "")</f>
        <v>3</v>
      </c>
      <c r="N329" s="2">
        <f>IF(Source!$C329&gt;=COLUMNS($A329:N329), Source!$E329, "")</f>
        <v>3</v>
      </c>
      <c r="O329" s="2">
        <f>IF(Source!$C329&gt;=COLUMNS($A329:O329), Source!$E329, "")</f>
        <v>3</v>
      </c>
      <c r="P329" s="2">
        <f>IF(Source!$C329&gt;=COLUMNS($A329:P329), Source!$E329, "")</f>
        <v>3</v>
      </c>
      <c r="Q329" s="2">
        <f>IF(Source!$C329&gt;=COLUMNS($A329:Q329), Source!$E329, "")</f>
        <v>3</v>
      </c>
      <c r="R329" s="2">
        <f>IF(Source!$C329&gt;=COLUMNS($A329:R329), Source!$E329, "")</f>
        <v>3</v>
      </c>
      <c r="S329" s="2">
        <f>IF(Source!$C329&gt;=COLUMNS($A329:S329), Source!$E329, "")</f>
        <v>3</v>
      </c>
      <c r="T329" s="2">
        <f>IF(Source!$C329&gt;=COLUMNS($A329:T329), Source!$E329, "")</f>
        <v>3</v>
      </c>
      <c r="U329" s="2">
        <f>IF(Source!$C329&gt;=COLUMNS($A329:U329), Source!$E329, "")</f>
        <v>3</v>
      </c>
      <c r="V329" s="2">
        <f>IF(Source!$C329&gt;=COLUMNS($A329:V329), Source!$E329, "")</f>
        <v>3</v>
      </c>
      <c r="W329" s="2">
        <f>IF(Source!$C329&gt;=COLUMNS($A329:W329), Source!$E329, "")</f>
        <v>3</v>
      </c>
      <c r="X329" s="2">
        <f>IF(Source!$C329&gt;=COLUMNS($A329:X329), Source!$E329, "")</f>
        <v>3</v>
      </c>
      <c r="Y329" s="2">
        <f>IF(Source!$C329&gt;=COLUMNS($A329:Y329), Source!$E329, "")</f>
        <v>3</v>
      </c>
      <c r="Z329" s="2">
        <f>IF(Source!$C329&gt;=COLUMNS($A329:Z329), Source!$E329, "")</f>
        <v>3</v>
      </c>
      <c r="AA329" s="2">
        <f>IF(Source!$C329&gt;=COLUMNS($A329:AA329), Source!$E329, "")</f>
        <v>3</v>
      </c>
      <c r="AB329" s="2">
        <f>IF(Source!$C329&gt;=COLUMNS($A329:AB329), Source!$E329, "")</f>
        <v>3</v>
      </c>
      <c r="AC329" s="2" t="str">
        <f>IF(Source!$C329&gt;=COLUMNS($A329:AC329), Source!$E329, "")</f>
        <v/>
      </c>
      <c r="AD329" s="2" t="str">
        <f>IF(Source!$C329&gt;=COLUMNS($A329:AD329), Source!$E329, "")</f>
        <v/>
      </c>
      <c r="AE329" s="2" t="str">
        <f>IF(Source!$C329&gt;=COLUMNS($A329:AE329), Source!$E329, "")</f>
        <v/>
      </c>
      <c r="AF329" s="2" t="str">
        <f>IF(Source!$C329&gt;=COLUMNS($A329:AF329), Source!$E329, "")</f>
        <v/>
      </c>
      <c r="AG329" s="2" t="str">
        <f>IF(Source!$C329&gt;=COLUMNS($A329:AG329), Source!$E329, "")</f>
        <v/>
      </c>
      <c r="AH329" s="2" t="str">
        <f>IF(Source!$C329&gt;=COLUMNS($A329:AH329), Source!$E329, "")</f>
        <v/>
      </c>
      <c r="AI329" s="2" t="str">
        <f>IF(Source!$C329&gt;=COLUMNS($A329:AI329), Source!$E329, "")</f>
        <v/>
      </c>
      <c r="AJ329" s="2" t="str">
        <f>IF(Source!$C329&gt;=COLUMNS($A329:AJ329), Source!$E329, "")</f>
        <v/>
      </c>
      <c r="AK329" s="2" t="str">
        <f>IF(Source!$C329&gt;=COLUMNS($A329:AK329), Source!$E329, "")</f>
        <v/>
      </c>
      <c r="AL329" s="2" t="str">
        <f>IF(Source!$C329&gt;=COLUMNS($A329:AL329), Source!$E329, "")</f>
        <v/>
      </c>
      <c r="AM329" s="2" t="str">
        <f>IF(Source!$C329&gt;=COLUMNS($A329:AM329), Source!$E329, "")</f>
        <v/>
      </c>
      <c r="AN329" s="2" t="str">
        <f>IF(Source!$C329&gt;=COLUMNS($A329:AN329), Source!$E329, "")</f>
        <v/>
      </c>
      <c r="AO329" s="2" t="str">
        <f>IF(Source!$C329&gt;=COLUMNS($A329:AO329), Source!$E329, "")</f>
        <v/>
      </c>
      <c r="AP329" s="2" t="str">
        <f>IF(Source!$C329&gt;=COLUMNS($A329:AP329), Source!$E329, "")</f>
        <v/>
      </c>
      <c r="AQ329" s="2" t="str">
        <f>IF(Source!$C329&gt;=COLUMNS($A329:AQ329), Source!$E329, "")</f>
        <v/>
      </c>
      <c r="AR329" s="2" t="str">
        <f>IF(Source!$C329&gt;=COLUMNS($A329:AR329), Source!$E329, "")</f>
        <v/>
      </c>
    </row>
    <row r="330">
      <c r="A330" s="2">
        <f>IF(Source!$C330&gt;=COLUMNS($A330:A330), Source!$E330, "")</f>
        <v>1</v>
      </c>
      <c r="B330" s="2">
        <f>IF(Source!$C330&gt;=COLUMNS($A330:B330), Source!$E330, "")</f>
        <v>1</v>
      </c>
      <c r="C330" s="2">
        <f>IF(Source!$C330&gt;=COLUMNS($A330:C330), Source!$E330, "")</f>
        <v>1</v>
      </c>
      <c r="D330" s="2">
        <f>IF(Source!$C330&gt;=COLUMNS($A330:D330), Source!$E330, "")</f>
        <v>1</v>
      </c>
      <c r="E330" s="2">
        <f>IF(Source!$C330&gt;=COLUMNS($A330:E330), Source!$E330, "")</f>
        <v>1</v>
      </c>
      <c r="F330" s="2">
        <f>IF(Source!$C330&gt;=COLUMNS($A330:F330), Source!$E330, "")</f>
        <v>1</v>
      </c>
      <c r="G330" s="2">
        <f>IF(Source!$C330&gt;=COLUMNS($A330:G330), Source!$E330, "")</f>
        <v>1</v>
      </c>
      <c r="H330" s="2">
        <f>IF(Source!$C330&gt;=COLUMNS($A330:H330), Source!$E330, "")</f>
        <v>1</v>
      </c>
      <c r="I330" s="2">
        <f>IF(Source!$C330&gt;=COLUMNS($A330:I330), Source!$E330, "")</f>
        <v>1</v>
      </c>
      <c r="J330" s="2">
        <f>IF(Source!$C330&gt;=COLUMNS($A330:J330), Source!$E330, "")</f>
        <v>1</v>
      </c>
      <c r="K330" s="2">
        <f>IF(Source!$C330&gt;=COLUMNS($A330:K330), Source!$E330, "")</f>
        <v>1</v>
      </c>
      <c r="L330" s="2" t="str">
        <f>IF(Source!$C330&gt;=COLUMNS($A330:L330), Source!$E330, "")</f>
        <v/>
      </c>
      <c r="M330" s="2" t="str">
        <f>IF(Source!$C330&gt;=COLUMNS($A330:M330), Source!$E330, "")</f>
        <v/>
      </c>
      <c r="N330" s="2" t="str">
        <f>IF(Source!$C330&gt;=COLUMNS($A330:N330), Source!$E330, "")</f>
        <v/>
      </c>
      <c r="O330" s="2" t="str">
        <f>IF(Source!$C330&gt;=COLUMNS($A330:O330), Source!$E330, "")</f>
        <v/>
      </c>
      <c r="P330" s="2" t="str">
        <f>IF(Source!$C330&gt;=COLUMNS($A330:P330), Source!$E330, "")</f>
        <v/>
      </c>
      <c r="Q330" s="2" t="str">
        <f>IF(Source!$C330&gt;=COLUMNS($A330:Q330), Source!$E330, "")</f>
        <v/>
      </c>
      <c r="R330" s="2" t="str">
        <f>IF(Source!$C330&gt;=COLUMNS($A330:R330), Source!$E330, "")</f>
        <v/>
      </c>
      <c r="S330" s="2" t="str">
        <f>IF(Source!$C330&gt;=COLUMNS($A330:S330), Source!$E330, "")</f>
        <v/>
      </c>
      <c r="T330" s="2" t="str">
        <f>IF(Source!$C330&gt;=COLUMNS($A330:T330), Source!$E330, "")</f>
        <v/>
      </c>
      <c r="U330" s="2" t="str">
        <f>IF(Source!$C330&gt;=COLUMNS($A330:U330), Source!$E330, "")</f>
        <v/>
      </c>
      <c r="V330" s="2" t="str">
        <f>IF(Source!$C330&gt;=COLUMNS($A330:V330), Source!$E330, "")</f>
        <v/>
      </c>
      <c r="W330" s="2" t="str">
        <f>IF(Source!$C330&gt;=COLUMNS($A330:W330), Source!$E330, "")</f>
        <v/>
      </c>
      <c r="X330" s="2" t="str">
        <f>IF(Source!$C330&gt;=COLUMNS($A330:X330), Source!$E330, "")</f>
        <v/>
      </c>
      <c r="Y330" s="2" t="str">
        <f>IF(Source!$C330&gt;=COLUMNS($A330:Y330), Source!$E330, "")</f>
        <v/>
      </c>
      <c r="Z330" s="2" t="str">
        <f>IF(Source!$C330&gt;=COLUMNS($A330:Z330), Source!$E330, "")</f>
        <v/>
      </c>
      <c r="AA330" s="2" t="str">
        <f>IF(Source!$C330&gt;=COLUMNS($A330:AA330), Source!$E330, "")</f>
        <v/>
      </c>
      <c r="AB330" s="2" t="str">
        <f>IF(Source!$C330&gt;=COLUMNS($A330:AB330), Source!$E330, "")</f>
        <v/>
      </c>
      <c r="AC330" s="2" t="str">
        <f>IF(Source!$C330&gt;=COLUMNS($A330:AC330), Source!$E330, "")</f>
        <v/>
      </c>
      <c r="AD330" s="2" t="str">
        <f>IF(Source!$C330&gt;=COLUMNS($A330:AD330), Source!$E330, "")</f>
        <v/>
      </c>
      <c r="AE330" s="2" t="str">
        <f>IF(Source!$C330&gt;=COLUMNS($A330:AE330), Source!$E330, "")</f>
        <v/>
      </c>
      <c r="AF330" s="2" t="str">
        <f>IF(Source!$C330&gt;=COLUMNS($A330:AF330), Source!$E330, "")</f>
        <v/>
      </c>
      <c r="AG330" s="2" t="str">
        <f>IF(Source!$C330&gt;=COLUMNS($A330:AG330), Source!$E330, "")</f>
        <v/>
      </c>
      <c r="AH330" s="2" t="str">
        <f>IF(Source!$C330&gt;=COLUMNS($A330:AH330), Source!$E330, "")</f>
        <v/>
      </c>
      <c r="AI330" s="2" t="str">
        <f>IF(Source!$C330&gt;=COLUMNS($A330:AI330), Source!$E330, "")</f>
        <v/>
      </c>
      <c r="AJ330" s="2" t="str">
        <f>IF(Source!$C330&gt;=COLUMNS($A330:AJ330), Source!$E330, "")</f>
        <v/>
      </c>
      <c r="AK330" s="2" t="str">
        <f>IF(Source!$C330&gt;=COLUMNS($A330:AK330), Source!$E330, "")</f>
        <v/>
      </c>
      <c r="AL330" s="2" t="str">
        <f>IF(Source!$C330&gt;=COLUMNS($A330:AL330), Source!$E330, "")</f>
        <v/>
      </c>
      <c r="AM330" s="2" t="str">
        <f>IF(Source!$C330&gt;=COLUMNS($A330:AM330), Source!$E330, "")</f>
        <v/>
      </c>
      <c r="AN330" s="2" t="str">
        <f>IF(Source!$C330&gt;=COLUMNS($A330:AN330), Source!$E330, "")</f>
        <v/>
      </c>
      <c r="AO330" s="2" t="str">
        <f>IF(Source!$C330&gt;=COLUMNS($A330:AO330), Source!$E330, "")</f>
        <v/>
      </c>
      <c r="AP330" s="2" t="str">
        <f>IF(Source!$C330&gt;=COLUMNS($A330:AP330), Source!$E330, "")</f>
        <v/>
      </c>
      <c r="AQ330" s="2" t="str">
        <f>IF(Source!$C330&gt;=COLUMNS($A330:AQ330), Source!$E330, "")</f>
        <v/>
      </c>
      <c r="AR330" s="2" t="str">
        <f>IF(Source!$C330&gt;=COLUMNS($A330:AR330), Source!$E330, "")</f>
        <v/>
      </c>
    </row>
    <row r="331">
      <c r="A331" s="2">
        <f>IF(Source!$C331&gt;=COLUMNS($A331:A331), Source!$E331, "")</f>
        <v>1</v>
      </c>
      <c r="B331" s="2">
        <f>IF(Source!$C331&gt;=COLUMNS($A331:B331), Source!$E331, "")</f>
        <v>1</v>
      </c>
      <c r="C331" s="2">
        <f>IF(Source!$C331&gt;=COLUMNS($A331:C331), Source!$E331, "")</f>
        <v>1</v>
      </c>
      <c r="D331" s="2">
        <f>IF(Source!$C331&gt;=COLUMNS($A331:D331), Source!$E331, "")</f>
        <v>1</v>
      </c>
      <c r="E331" s="2">
        <f>IF(Source!$C331&gt;=COLUMNS($A331:E331), Source!$E331, "")</f>
        <v>1</v>
      </c>
      <c r="F331" s="2">
        <f>IF(Source!$C331&gt;=COLUMNS($A331:F331), Source!$E331, "")</f>
        <v>1</v>
      </c>
      <c r="G331" s="2">
        <f>IF(Source!$C331&gt;=COLUMNS($A331:G331), Source!$E331, "")</f>
        <v>1</v>
      </c>
      <c r="H331" s="2">
        <f>IF(Source!$C331&gt;=COLUMNS($A331:H331), Source!$E331, "")</f>
        <v>1</v>
      </c>
      <c r="I331" s="2" t="str">
        <f>IF(Source!$C331&gt;=COLUMNS($A331:I331), Source!$E331, "")</f>
        <v/>
      </c>
      <c r="J331" s="2" t="str">
        <f>IF(Source!$C331&gt;=COLUMNS($A331:J331), Source!$E331, "")</f>
        <v/>
      </c>
      <c r="K331" s="2" t="str">
        <f>IF(Source!$C331&gt;=COLUMNS($A331:K331), Source!$E331, "")</f>
        <v/>
      </c>
      <c r="L331" s="2" t="str">
        <f>IF(Source!$C331&gt;=COLUMNS($A331:L331), Source!$E331, "")</f>
        <v/>
      </c>
      <c r="M331" s="2" t="str">
        <f>IF(Source!$C331&gt;=COLUMNS($A331:M331), Source!$E331, "")</f>
        <v/>
      </c>
      <c r="N331" s="2" t="str">
        <f>IF(Source!$C331&gt;=COLUMNS($A331:N331), Source!$E331, "")</f>
        <v/>
      </c>
      <c r="O331" s="2" t="str">
        <f>IF(Source!$C331&gt;=COLUMNS($A331:O331), Source!$E331, "")</f>
        <v/>
      </c>
      <c r="P331" s="2" t="str">
        <f>IF(Source!$C331&gt;=COLUMNS($A331:P331), Source!$E331, "")</f>
        <v/>
      </c>
      <c r="Q331" s="2" t="str">
        <f>IF(Source!$C331&gt;=COLUMNS($A331:Q331), Source!$E331, "")</f>
        <v/>
      </c>
      <c r="R331" s="2" t="str">
        <f>IF(Source!$C331&gt;=COLUMNS($A331:R331), Source!$E331, "")</f>
        <v/>
      </c>
      <c r="S331" s="2" t="str">
        <f>IF(Source!$C331&gt;=COLUMNS($A331:S331), Source!$E331, "")</f>
        <v/>
      </c>
      <c r="T331" s="2" t="str">
        <f>IF(Source!$C331&gt;=COLUMNS($A331:T331), Source!$E331, "")</f>
        <v/>
      </c>
      <c r="U331" s="2" t="str">
        <f>IF(Source!$C331&gt;=COLUMNS($A331:U331), Source!$E331, "")</f>
        <v/>
      </c>
      <c r="V331" s="2" t="str">
        <f>IF(Source!$C331&gt;=COLUMNS($A331:V331), Source!$E331, "")</f>
        <v/>
      </c>
      <c r="W331" s="2" t="str">
        <f>IF(Source!$C331&gt;=COLUMNS($A331:W331), Source!$E331, "")</f>
        <v/>
      </c>
      <c r="X331" s="2" t="str">
        <f>IF(Source!$C331&gt;=COLUMNS($A331:X331), Source!$E331, "")</f>
        <v/>
      </c>
      <c r="Y331" s="2" t="str">
        <f>IF(Source!$C331&gt;=COLUMNS($A331:Y331), Source!$E331, "")</f>
        <v/>
      </c>
      <c r="Z331" s="2" t="str">
        <f>IF(Source!$C331&gt;=COLUMNS($A331:Z331), Source!$E331, "")</f>
        <v/>
      </c>
      <c r="AA331" s="2" t="str">
        <f>IF(Source!$C331&gt;=COLUMNS($A331:AA331), Source!$E331, "")</f>
        <v/>
      </c>
      <c r="AB331" s="2" t="str">
        <f>IF(Source!$C331&gt;=COLUMNS($A331:AB331), Source!$E331, "")</f>
        <v/>
      </c>
      <c r="AC331" s="2" t="str">
        <f>IF(Source!$C331&gt;=COLUMNS($A331:AC331), Source!$E331, "")</f>
        <v/>
      </c>
      <c r="AD331" s="2" t="str">
        <f>IF(Source!$C331&gt;=COLUMNS($A331:AD331), Source!$E331, "")</f>
        <v/>
      </c>
      <c r="AE331" s="2" t="str">
        <f>IF(Source!$C331&gt;=COLUMNS($A331:AE331), Source!$E331, "")</f>
        <v/>
      </c>
      <c r="AF331" s="2" t="str">
        <f>IF(Source!$C331&gt;=COLUMNS($A331:AF331), Source!$E331, "")</f>
        <v/>
      </c>
      <c r="AG331" s="2" t="str">
        <f>IF(Source!$C331&gt;=COLUMNS($A331:AG331), Source!$E331, "")</f>
        <v/>
      </c>
      <c r="AH331" s="2" t="str">
        <f>IF(Source!$C331&gt;=COLUMNS($A331:AH331), Source!$E331, "")</f>
        <v/>
      </c>
      <c r="AI331" s="2" t="str">
        <f>IF(Source!$C331&gt;=COLUMNS($A331:AI331), Source!$E331, "")</f>
        <v/>
      </c>
      <c r="AJ331" s="2" t="str">
        <f>IF(Source!$C331&gt;=COLUMNS($A331:AJ331), Source!$E331, "")</f>
        <v/>
      </c>
      <c r="AK331" s="2" t="str">
        <f>IF(Source!$C331&gt;=COLUMNS($A331:AK331), Source!$E331, "")</f>
        <v/>
      </c>
      <c r="AL331" s="2" t="str">
        <f>IF(Source!$C331&gt;=COLUMNS($A331:AL331), Source!$E331, "")</f>
        <v/>
      </c>
      <c r="AM331" s="2" t="str">
        <f>IF(Source!$C331&gt;=COLUMNS($A331:AM331), Source!$E331, "")</f>
        <v/>
      </c>
      <c r="AN331" s="2" t="str">
        <f>IF(Source!$C331&gt;=COLUMNS($A331:AN331), Source!$E331, "")</f>
        <v/>
      </c>
      <c r="AO331" s="2" t="str">
        <f>IF(Source!$C331&gt;=COLUMNS($A331:AO331), Source!$E331, "")</f>
        <v/>
      </c>
      <c r="AP331" s="2" t="str">
        <f>IF(Source!$C331&gt;=COLUMNS($A331:AP331), Source!$E331, "")</f>
        <v/>
      </c>
      <c r="AQ331" s="2" t="str">
        <f>IF(Source!$C331&gt;=COLUMNS($A331:AQ331), Source!$E331, "")</f>
        <v/>
      </c>
      <c r="AR331" s="2" t="str">
        <f>IF(Source!$C331&gt;=COLUMNS($A331:AR331), Source!$E331, "")</f>
        <v/>
      </c>
    </row>
    <row r="332">
      <c r="A332" s="2">
        <f>IF(Source!$C332&gt;=COLUMNS($A332:A332), Source!$E332, "")</f>
        <v>6</v>
      </c>
      <c r="B332" s="2">
        <f>IF(Source!$C332&gt;=COLUMNS($A332:B332), Source!$E332, "")</f>
        <v>6</v>
      </c>
      <c r="C332" s="2">
        <f>IF(Source!$C332&gt;=COLUMNS($A332:C332), Source!$E332, "")</f>
        <v>6</v>
      </c>
      <c r="D332" s="2">
        <f>IF(Source!$C332&gt;=COLUMNS($A332:D332), Source!$E332, "")</f>
        <v>6</v>
      </c>
      <c r="E332" s="2" t="str">
        <f>IF(Source!$C332&gt;=COLUMNS($A332:E332), Source!$E332, "")</f>
        <v/>
      </c>
      <c r="F332" s="2" t="str">
        <f>IF(Source!$C332&gt;=COLUMNS($A332:F332), Source!$E332, "")</f>
        <v/>
      </c>
      <c r="G332" s="2" t="str">
        <f>IF(Source!$C332&gt;=COLUMNS($A332:G332), Source!$E332, "")</f>
        <v/>
      </c>
      <c r="H332" s="2" t="str">
        <f>IF(Source!$C332&gt;=COLUMNS($A332:H332), Source!$E332, "")</f>
        <v/>
      </c>
      <c r="I332" s="2" t="str">
        <f>IF(Source!$C332&gt;=COLUMNS($A332:I332), Source!$E332, "")</f>
        <v/>
      </c>
      <c r="J332" s="2" t="str">
        <f>IF(Source!$C332&gt;=COLUMNS($A332:J332), Source!$E332, "")</f>
        <v/>
      </c>
      <c r="K332" s="2" t="str">
        <f>IF(Source!$C332&gt;=COLUMNS($A332:K332), Source!$E332, "")</f>
        <v/>
      </c>
      <c r="L332" s="2" t="str">
        <f>IF(Source!$C332&gt;=COLUMNS($A332:L332), Source!$E332, "")</f>
        <v/>
      </c>
      <c r="M332" s="2" t="str">
        <f>IF(Source!$C332&gt;=COLUMNS($A332:M332), Source!$E332, "")</f>
        <v/>
      </c>
      <c r="N332" s="2" t="str">
        <f>IF(Source!$C332&gt;=COLUMNS($A332:N332), Source!$E332, "")</f>
        <v/>
      </c>
      <c r="O332" s="2" t="str">
        <f>IF(Source!$C332&gt;=COLUMNS($A332:O332), Source!$E332, "")</f>
        <v/>
      </c>
      <c r="P332" s="2" t="str">
        <f>IF(Source!$C332&gt;=COLUMNS($A332:P332), Source!$E332, "")</f>
        <v/>
      </c>
      <c r="Q332" s="2" t="str">
        <f>IF(Source!$C332&gt;=COLUMNS($A332:Q332), Source!$E332, "")</f>
        <v/>
      </c>
      <c r="R332" s="2" t="str">
        <f>IF(Source!$C332&gt;=COLUMNS($A332:R332), Source!$E332, "")</f>
        <v/>
      </c>
      <c r="S332" s="2" t="str">
        <f>IF(Source!$C332&gt;=COLUMNS($A332:S332), Source!$E332, "")</f>
        <v/>
      </c>
      <c r="T332" s="2" t="str">
        <f>IF(Source!$C332&gt;=COLUMNS($A332:T332), Source!$E332, "")</f>
        <v/>
      </c>
      <c r="U332" s="2" t="str">
        <f>IF(Source!$C332&gt;=COLUMNS($A332:U332), Source!$E332, "")</f>
        <v/>
      </c>
      <c r="V332" s="2" t="str">
        <f>IF(Source!$C332&gt;=COLUMNS($A332:V332), Source!$E332, "")</f>
        <v/>
      </c>
      <c r="W332" s="2" t="str">
        <f>IF(Source!$C332&gt;=COLUMNS($A332:W332), Source!$E332, "")</f>
        <v/>
      </c>
      <c r="X332" s="2" t="str">
        <f>IF(Source!$C332&gt;=COLUMNS($A332:X332), Source!$E332, "")</f>
        <v/>
      </c>
      <c r="Y332" s="2" t="str">
        <f>IF(Source!$C332&gt;=COLUMNS($A332:Y332), Source!$E332, "")</f>
        <v/>
      </c>
      <c r="Z332" s="2" t="str">
        <f>IF(Source!$C332&gt;=COLUMNS($A332:Z332), Source!$E332, "")</f>
        <v/>
      </c>
      <c r="AA332" s="2" t="str">
        <f>IF(Source!$C332&gt;=COLUMNS($A332:AA332), Source!$E332, "")</f>
        <v/>
      </c>
      <c r="AB332" s="2" t="str">
        <f>IF(Source!$C332&gt;=COLUMNS($A332:AB332), Source!$E332, "")</f>
        <v/>
      </c>
      <c r="AC332" s="2" t="str">
        <f>IF(Source!$C332&gt;=COLUMNS($A332:AC332), Source!$E332, "")</f>
        <v/>
      </c>
      <c r="AD332" s="2" t="str">
        <f>IF(Source!$C332&gt;=COLUMNS($A332:AD332), Source!$E332, "")</f>
        <v/>
      </c>
      <c r="AE332" s="2" t="str">
        <f>IF(Source!$C332&gt;=COLUMNS($A332:AE332), Source!$E332, "")</f>
        <v/>
      </c>
      <c r="AF332" s="2" t="str">
        <f>IF(Source!$C332&gt;=COLUMNS($A332:AF332), Source!$E332, "")</f>
        <v/>
      </c>
      <c r="AG332" s="2" t="str">
        <f>IF(Source!$C332&gt;=COLUMNS($A332:AG332), Source!$E332, "")</f>
        <v/>
      </c>
      <c r="AH332" s="2" t="str">
        <f>IF(Source!$C332&gt;=COLUMNS($A332:AH332), Source!$E332, "")</f>
        <v/>
      </c>
      <c r="AI332" s="2" t="str">
        <f>IF(Source!$C332&gt;=COLUMNS($A332:AI332), Source!$E332, "")</f>
        <v/>
      </c>
      <c r="AJ332" s="2" t="str">
        <f>IF(Source!$C332&gt;=COLUMNS($A332:AJ332), Source!$E332, "")</f>
        <v/>
      </c>
      <c r="AK332" s="2" t="str">
        <f>IF(Source!$C332&gt;=COLUMNS($A332:AK332), Source!$E332, "")</f>
        <v/>
      </c>
      <c r="AL332" s="2" t="str">
        <f>IF(Source!$C332&gt;=COLUMNS($A332:AL332), Source!$E332, "")</f>
        <v/>
      </c>
      <c r="AM332" s="2" t="str">
        <f>IF(Source!$C332&gt;=COLUMNS($A332:AM332), Source!$E332, "")</f>
        <v/>
      </c>
      <c r="AN332" s="2" t="str">
        <f>IF(Source!$C332&gt;=COLUMNS($A332:AN332), Source!$E332, "")</f>
        <v/>
      </c>
      <c r="AO332" s="2" t="str">
        <f>IF(Source!$C332&gt;=COLUMNS($A332:AO332), Source!$E332, "")</f>
        <v/>
      </c>
      <c r="AP332" s="2" t="str">
        <f>IF(Source!$C332&gt;=COLUMNS($A332:AP332), Source!$E332, "")</f>
        <v/>
      </c>
      <c r="AQ332" s="2" t="str">
        <f>IF(Source!$C332&gt;=COLUMNS($A332:AQ332), Source!$E332, "")</f>
        <v/>
      </c>
      <c r="AR332" s="2" t="str">
        <f>IF(Source!$C332&gt;=COLUMNS($A332:AR332), Source!$E332, "")</f>
        <v/>
      </c>
    </row>
    <row r="333">
      <c r="A333" s="2">
        <f>IF(Source!$C333&gt;=COLUMNS($A333:A333), Source!$E333, "")</f>
        <v>3</v>
      </c>
      <c r="B333" s="2">
        <f>IF(Source!$C333&gt;=COLUMNS($A333:B333), Source!$E333, "")</f>
        <v>3</v>
      </c>
      <c r="C333" s="2">
        <f>IF(Source!$C333&gt;=COLUMNS($A333:C333), Source!$E333, "")</f>
        <v>3</v>
      </c>
      <c r="D333" s="2">
        <f>IF(Source!$C333&gt;=COLUMNS($A333:D333), Source!$E333, "")</f>
        <v>3</v>
      </c>
      <c r="E333" s="2">
        <f>IF(Source!$C333&gt;=COLUMNS($A333:E333), Source!$E333, "")</f>
        <v>3</v>
      </c>
      <c r="F333" s="2">
        <f>IF(Source!$C333&gt;=COLUMNS($A333:F333), Source!$E333, "")</f>
        <v>3</v>
      </c>
      <c r="G333" s="2">
        <f>IF(Source!$C333&gt;=COLUMNS($A333:G333), Source!$E333, "")</f>
        <v>3</v>
      </c>
      <c r="H333" s="2">
        <f>IF(Source!$C333&gt;=COLUMNS($A333:H333), Source!$E333, "")</f>
        <v>3</v>
      </c>
      <c r="I333" s="2" t="str">
        <f>IF(Source!$C333&gt;=COLUMNS($A333:I333), Source!$E333, "")</f>
        <v/>
      </c>
      <c r="J333" s="2" t="str">
        <f>IF(Source!$C333&gt;=COLUMNS($A333:J333), Source!$E333, "")</f>
        <v/>
      </c>
      <c r="K333" s="2" t="str">
        <f>IF(Source!$C333&gt;=COLUMNS($A333:K333), Source!$E333, "")</f>
        <v/>
      </c>
      <c r="L333" s="2" t="str">
        <f>IF(Source!$C333&gt;=COLUMNS($A333:L333), Source!$E333, "")</f>
        <v/>
      </c>
      <c r="M333" s="2" t="str">
        <f>IF(Source!$C333&gt;=COLUMNS($A333:M333), Source!$E333, "")</f>
        <v/>
      </c>
      <c r="N333" s="2" t="str">
        <f>IF(Source!$C333&gt;=COLUMNS($A333:N333), Source!$E333, "")</f>
        <v/>
      </c>
      <c r="O333" s="2" t="str">
        <f>IF(Source!$C333&gt;=COLUMNS($A333:O333), Source!$E333, "")</f>
        <v/>
      </c>
      <c r="P333" s="2" t="str">
        <f>IF(Source!$C333&gt;=COLUMNS($A333:P333), Source!$E333, "")</f>
        <v/>
      </c>
      <c r="Q333" s="2" t="str">
        <f>IF(Source!$C333&gt;=COLUMNS($A333:Q333), Source!$E333, "")</f>
        <v/>
      </c>
      <c r="R333" s="2" t="str">
        <f>IF(Source!$C333&gt;=COLUMNS($A333:R333), Source!$E333, "")</f>
        <v/>
      </c>
      <c r="S333" s="2" t="str">
        <f>IF(Source!$C333&gt;=COLUMNS($A333:S333), Source!$E333, "")</f>
        <v/>
      </c>
      <c r="T333" s="2" t="str">
        <f>IF(Source!$C333&gt;=COLUMNS($A333:T333), Source!$E333, "")</f>
        <v/>
      </c>
      <c r="U333" s="2" t="str">
        <f>IF(Source!$C333&gt;=COLUMNS($A333:U333), Source!$E333, "")</f>
        <v/>
      </c>
      <c r="V333" s="2" t="str">
        <f>IF(Source!$C333&gt;=COLUMNS($A333:V333), Source!$E333, "")</f>
        <v/>
      </c>
      <c r="W333" s="2" t="str">
        <f>IF(Source!$C333&gt;=COLUMNS($A333:W333), Source!$E333, "")</f>
        <v/>
      </c>
      <c r="X333" s="2" t="str">
        <f>IF(Source!$C333&gt;=COLUMNS($A333:X333), Source!$E333, "")</f>
        <v/>
      </c>
      <c r="Y333" s="2" t="str">
        <f>IF(Source!$C333&gt;=COLUMNS($A333:Y333), Source!$E333, "")</f>
        <v/>
      </c>
      <c r="Z333" s="2" t="str">
        <f>IF(Source!$C333&gt;=COLUMNS($A333:Z333), Source!$E333, "")</f>
        <v/>
      </c>
      <c r="AA333" s="2" t="str">
        <f>IF(Source!$C333&gt;=COLUMNS($A333:AA333), Source!$E333, "")</f>
        <v/>
      </c>
      <c r="AB333" s="2" t="str">
        <f>IF(Source!$C333&gt;=COLUMNS($A333:AB333), Source!$E333, "")</f>
        <v/>
      </c>
      <c r="AC333" s="2" t="str">
        <f>IF(Source!$C333&gt;=COLUMNS($A333:AC333), Source!$E333, "")</f>
        <v/>
      </c>
      <c r="AD333" s="2" t="str">
        <f>IF(Source!$C333&gt;=COLUMNS($A333:AD333), Source!$E333, "")</f>
        <v/>
      </c>
      <c r="AE333" s="2" t="str">
        <f>IF(Source!$C333&gt;=COLUMNS($A333:AE333), Source!$E333, "")</f>
        <v/>
      </c>
      <c r="AF333" s="2" t="str">
        <f>IF(Source!$C333&gt;=COLUMNS($A333:AF333), Source!$E333, "")</f>
        <v/>
      </c>
      <c r="AG333" s="2" t="str">
        <f>IF(Source!$C333&gt;=COLUMNS($A333:AG333), Source!$E333, "")</f>
        <v/>
      </c>
      <c r="AH333" s="2" t="str">
        <f>IF(Source!$C333&gt;=COLUMNS($A333:AH333), Source!$E333, "")</f>
        <v/>
      </c>
      <c r="AI333" s="2" t="str">
        <f>IF(Source!$C333&gt;=COLUMNS($A333:AI333), Source!$E333, "")</f>
        <v/>
      </c>
      <c r="AJ333" s="2" t="str">
        <f>IF(Source!$C333&gt;=COLUMNS($A333:AJ333), Source!$E333, "")</f>
        <v/>
      </c>
      <c r="AK333" s="2" t="str">
        <f>IF(Source!$C333&gt;=COLUMNS($A333:AK333), Source!$E333, "")</f>
        <v/>
      </c>
      <c r="AL333" s="2" t="str">
        <f>IF(Source!$C333&gt;=COLUMNS($A333:AL333), Source!$E333, "")</f>
        <v/>
      </c>
      <c r="AM333" s="2" t="str">
        <f>IF(Source!$C333&gt;=COLUMNS($A333:AM333), Source!$E333, "")</f>
        <v/>
      </c>
      <c r="AN333" s="2" t="str">
        <f>IF(Source!$C333&gt;=COLUMNS($A333:AN333), Source!$E333, "")</f>
        <v/>
      </c>
      <c r="AO333" s="2" t="str">
        <f>IF(Source!$C333&gt;=COLUMNS($A333:AO333), Source!$E333, "")</f>
        <v/>
      </c>
      <c r="AP333" s="2" t="str">
        <f>IF(Source!$C333&gt;=COLUMNS($A333:AP333), Source!$E333, "")</f>
        <v/>
      </c>
      <c r="AQ333" s="2" t="str">
        <f>IF(Source!$C333&gt;=COLUMNS($A333:AQ333), Source!$E333, "")</f>
        <v/>
      </c>
      <c r="AR333" s="2" t="str">
        <f>IF(Source!$C333&gt;=COLUMNS($A333:AR333), Source!$E333, "")</f>
        <v/>
      </c>
    </row>
    <row r="334">
      <c r="A334" s="2">
        <f>IF(Source!$C334&gt;=COLUMNS($A334:A334), Source!$E334, "")</f>
        <v>2</v>
      </c>
      <c r="B334" s="2">
        <f>IF(Source!$C334&gt;=COLUMNS($A334:B334), Source!$E334, "")</f>
        <v>2</v>
      </c>
      <c r="C334" s="2">
        <f>IF(Source!$C334&gt;=COLUMNS($A334:C334), Source!$E334, "")</f>
        <v>2</v>
      </c>
      <c r="D334" s="2">
        <f>IF(Source!$C334&gt;=COLUMNS($A334:D334), Source!$E334, "")</f>
        <v>2</v>
      </c>
      <c r="E334" s="2">
        <f>IF(Source!$C334&gt;=COLUMNS($A334:E334), Source!$E334, "")</f>
        <v>2</v>
      </c>
      <c r="F334" s="2">
        <f>IF(Source!$C334&gt;=COLUMNS($A334:F334), Source!$E334, "")</f>
        <v>2</v>
      </c>
      <c r="G334" s="2">
        <f>IF(Source!$C334&gt;=COLUMNS($A334:G334), Source!$E334, "")</f>
        <v>2</v>
      </c>
      <c r="H334" s="2">
        <f>IF(Source!$C334&gt;=COLUMNS($A334:H334), Source!$E334, "")</f>
        <v>2</v>
      </c>
      <c r="I334" s="2" t="str">
        <f>IF(Source!$C334&gt;=COLUMNS($A334:I334), Source!$E334, "")</f>
        <v/>
      </c>
      <c r="J334" s="2" t="str">
        <f>IF(Source!$C334&gt;=COLUMNS($A334:J334), Source!$E334, "")</f>
        <v/>
      </c>
      <c r="K334" s="2" t="str">
        <f>IF(Source!$C334&gt;=COLUMNS($A334:K334), Source!$E334, "")</f>
        <v/>
      </c>
      <c r="L334" s="2" t="str">
        <f>IF(Source!$C334&gt;=COLUMNS($A334:L334), Source!$E334, "")</f>
        <v/>
      </c>
      <c r="M334" s="2" t="str">
        <f>IF(Source!$C334&gt;=COLUMNS($A334:M334), Source!$E334, "")</f>
        <v/>
      </c>
      <c r="N334" s="2" t="str">
        <f>IF(Source!$C334&gt;=COLUMNS($A334:N334), Source!$E334, "")</f>
        <v/>
      </c>
      <c r="O334" s="2" t="str">
        <f>IF(Source!$C334&gt;=COLUMNS($A334:O334), Source!$E334, "")</f>
        <v/>
      </c>
      <c r="P334" s="2" t="str">
        <f>IF(Source!$C334&gt;=COLUMNS($A334:P334), Source!$E334, "")</f>
        <v/>
      </c>
      <c r="Q334" s="2" t="str">
        <f>IF(Source!$C334&gt;=COLUMNS($A334:Q334), Source!$E334, "")</f>
        <v/>
      </c>
      <c r="R334" s="2" t="str">
        <f>IF(Source!$C334&gt;=COLUMNS($A334:R334), Source!$E334, "")</f>
        <v/>
      </c>
      <c r="S334" s="2" t="str">
        <f>IF(Source!$C334&gt;=COLUMNS($A334:S334), Source!$E334, "")</f>
        <v/>
      </c>
      <c r="T334" s="2" t="str">
        <f>IF(Source!$C334&gt;=COLUMNS($A334:T334), Source!$E334, "")</f>
        <v/>
      </c>
      <c r="U334" s="2" t="str">
        <f>IF(Source!$C334&gt;=COLUMNS($A334:U334), Source!$E334, "")</f>
        <v/>
      </c>
      <c r="V334" s="2" t="str">
        <f>IF(Source!$C334&gt;=COLUMNS($A334:V334), Source!$E334, "")</f>
        <v/>
      </c>
      <c r="W334" s="2" t="str">
        <f>IF(Source!$C334&gt;=COLUMNS($A334:W334), Source!$E334, "")</f>
        <v/>
      </c>
      <c r="X334" s="2" t="str">
        <f>IF(Source!$C334&gt;=COLUMNS($A334:X334), Source!$E334, "")</f>
        <v/>
      </c>
      <c r="Y334" s="2" t="str">
        <f>IF(Source!$C334&gt;=COLUMNS($A334:Y334), Source!$E334, "")</f>
        <v/>
      </c>
      <c r="Z334" s="2" t="str">
        <f>IF(Source!$C334&gt;=COLUMNS($A334:Z334), Source!$E334, "")</f>
        <v/>
      </c>
      <c r="AA334" s="2" t="str">
        <f>IF(Source!$C334&gt;=COLUMNS($A334:AA334), Source!$E334, "")</f>
        <v/>
      </c>
      <c r="AB334" s="2" t="str">
        <f>IF(Source!$C334&gt;=COLUMNS($A334:AB334), Source!$E334, "")</f>
        <v/>
      </c>
      <c r="AC334" s="2" t="str">
        <f>IF(Source!$C334&gt;=COLUMNS($A334:AC334), Source!$E334, "")</f>
        <v/>
      </c>
      <c r="AD334" s="2" t="str">
        <f>IF(Source!$C334&gt;=COLUMNS($A334:AD334), Source!$E334, "")</f>
        <v/>
      </c>
      <c r="AE334" s="2" t="str">
        <f>IF(Source!$C334&gt;=COLUMNS($A334:AE334), Source!$E334, "")</f>
        <v/>
      </c>
      <c r="AF334" s="2" t="str">
        <f>IF(Source!$C334&gt;=COLUMNS($A334:AF334), Source!$E334, "")</f>
        <v/>
      </c>
      <c r="AG334" s="2" t="str">
        <f>IF(Source!$C334&gt;=COLUMNS($A334:AG334), Source!$E334, "")</f>
        <v/>
      </c>
      <c r="AH334" s="2" t="str">
        <f>IF(Source!$C334&gt;=COLUMNS($A334:AH334), Source!$E334, "")</f>
        <v/>
      </c>
      <c r="AI334" s="2" t="str">
        <f>IF(Source!$C334&gt;=COLUMNS($A334:AI334), Source!$E334, "")</f>
        <v/>
      </c>
      <c r="AJ334" s="2" t="str">
        <f>IF(Source!$C334&gt;=COLUMNS($A334:AJ334), Source!$E334, "")</f>
        <v/>
      </c>
      <c r="AK334" s="2" t="str">
        <f>IF(Source!$C334&gt;=COLUMNS($A334:AK334), Source!$E334, "")</f>
        <v/>
      </c>
      <c r="AL334" s="2" t="str">
        <f>IF(Source!$C334&gt;=COLUMNS($A334:AL334), Source!$E334, "")</f>
        <v/>
      </c>
      <c r="AM334" s="2" t="str">
        <f>IF(Source!$C334&gt;=COLUMNS($A334:AM334), Source!$E334, "")</f>
        <v/>
      </c>
      <c r="AN334" s="2" t="str">
        <f>IF(Source!$C334&gt;=COLUMNS($A334:AN334), Source!$E334, "")</f>
        <v/>
      </c>
      <c r="AO334" s="2" t="str">
        <f>IF(Source!$C334&gt;=COLUMNS($A334:AO334), Source!$E334, "")</f>
        <v/>
      </c>
      <c r="AP334" s="2" t="str">
        <f>IF(Source!$C334&gt;=COLUMNS($A334:AP334), Source!$E334, "")</f>
        <v/>
      </c>
      <c r="AQ334" s="2" t="str">
        <f>IF(Source!$C334&gt;=COLUMNS($A334:AQ334), Source!$E334, "")</f>
        <v/>
      </c>
      <c r="AR334" s="2" t="str">
        <f>IF(Source!$C334&gt;=COLUMNS($A334:AR334), Source!$E334, "")</f>
        <v/>
      </c>
    </row>
    <row r="335">
      <c r="A335" s="2">
        <f>IF(Source!$C335&gt;=COLUMNS($A335:A335), Source!$E335, "")</f>
        <v>5</v>
      </c>
      <c r="B335" s="2">
        <f>IF(Source!$C335&gt;=COLUMNS($A335:B335), Source!$E335, "")</f>
        <v>5</v>
      </c>
      <c r="C335" s="2">
        <f>IF(Source!$C335&gt;=COLUMNS($A335:C335), Source!$E335, "")</f>
        <v>5</v>
      </c>
      <c r="D335" s="2">
        <f>IF(Source!$C335&gt;=COLUMNS($A335:D335), Source!$E335, "")</f>
        <v>5</v>
      </c>
      <c r="E335" s="2">
        <f>IF(Source!$C335&gt;=COLUMNS($A335:E335), Source!$E335, "")</f>
        <v>5</v>
      </c>
      <c r="F335" s="2">
        <f>IF(Source!$C335&gt;=COLUMNS($A335:F335), Source!$E335, "")</f>
        <v>5</v>
      </c>
      <c r="G335" s="2" t="str">
        <f>IF(Source!$C335&gt;=COLUMNS($A335:G335), Source!$E335, "")</f>
        <v/>
      </c>
      <c r="H335" s="2" t="str">
        <f>IF(Source!$C335&gt;=COLUMNS($A335:H335), Source!$E335, "")</f>
        <v/>
      </c>
      <c r="I335" s="2" t="str">
        <f>IF(Source!$C335&gt;=COLUMNS($A335:I335), Source!$E335, "")</f>
        <v/>
      </c>
      <c r="J335" s="2" t="str">
        <f>IF(Source!$C335&gt;=COLUMNS($A335:J335), Source!$E335, "")</f>
        <v/>
      </c>
      <c r="K335" s="2" t="str">
        <f>IF(Source!$C335&gt;=COLUMNS($A335:K335), Source!$E335, "")</f>
        <v/>
      </c>
      <c r="L335" s="2" t="str">
        <f>IF(Source!$C335&gt;=COLUMNS($A335:L335), Source!$E335, "")</f>
        <v/>
      </c>
      <c r="M335" s="2" t="str">
        <f>IF(Source!$C335&gt;=COLUMNS($A335:M335), Source!$E335, "")</f>
        <v/>
      </c>
      <c r="N335" s="2" t="str">
        <f>IF(Source!$C335&gt;=COLUMNS($A335:N335), Source!$E335, "")</f>
        <v/>
      </c>
      <c r="O335" s="2" t="str">
        <f>IF(Source!$C335&gt;=COLUMNS($A335:O335), Source!$E335, "")</f>
        <v/>
      </c>
      <c r="P335" s="2" t="str">
        <f>IF(Source!$C335&gt;=COLUMNS($A335:P335), Source!$E335, "")</f>
        <v/>
      </c>
      <c r="Q335" s="2" t="str">
        <f>IF(Source!$C335&gt;=COLUMNS($A335:Q335), Source!$E335, "")</f>
        <v/>
      </c>
      <c r="R335" s="2" t="str">
        <f>IF(Source!$C335&gt;=COLUMNS($A335:R335), Source!$E335, "")</f>
        <v/>
      </c>
      <c r="S335" s="2" t="str">
        <f>IF(Source!$C335&gt;=COLUMNS($A335:S335), Source!$E335, "")</f>
        <v/>
      </c>
      <c r="T335" s="2" t="str">
        <f>IF(Source!$C335&gt;=COLUMNS($A335:T335), Source!$E335, "")</f>
        <v/>
      </c>
      <c r="U335" s="2" t="str">
        <f>IF(Source!$C335&gt;=COLUMNS($A335:U335), Source!$E335, "")</f>
        <v/>
      </c>
      <c r="V335" s="2" t="str">
        <f>IF(Source!$C335&gt;=COLUMNS($A335:V335), Source!$E335, "")</f>
        <v/>
      </c>
      <c r="W335" s="2" t="str">
        <f>IF(Source!$C335&gt;=COLUMNS($A335:W335), Source!$E335, "")</f>
        <v/>
      </c>
      <c r="X335" s="2" t="str">
        <f>IF(Source!$C335&gt;=COLUMNS($A335:X335), Source!$E335, "")</f>
        <v/>
      </c>
      <c r="Y335" s="2" t="str">
        <f>IF(Source!$C335&gt;=COLUMNS($A335:Y335), Source!$E335, "")</f>
        <v/>
      </c>
      <c r="Z335" s="2" t="str">
        <f>IF(Source!$C335&gt;=COLUMNS($A335:Z335), Source!$E335, "")</f>
        <v/>
      </c>
      <c r="AA335" s="2" t="str">
        <f>IF(Source!$C335&gt;=COLUMNS($A335:AA335), Source!$E335, "")</f>
        <v/>
      </c>
      <c r="AB335" s="2" t="str">
        <f>IF(Source!$C335&gt;=COLUMNS($A335:AB335), Source!$E335, "")</f>
        <v/>
      </c>
      <c r="AC335" s="2" t="str">
        <f>IF(Source!$C335&gt;=COLUMNS($A335:AC335), Source!$E335, "")</f>
        <v/>
      </c>
      <c r="AD335" s="2" t="str">
        <f>IF(Source!$C335&gt;=COLUMNS($A335:AD335), Source!$E335, "")</f>
        <v/>
      </c>
      <c r="AE335" s="2" t="str">
        <f>IF(Source!$C335&gt;=COLUMNS($A335:AE335), Source!$E335, "")</f>
        <v/>
      </c>
      <c r="AF335" s="2" t="str">
        <f>IF(Source!$C335&gt;=COLUMNS($A335:AF335), Source!$E335, "")</f>
        <v/>
      </c>
      <c r="AG335" s="2" t="str">
        <f>IF(Source!$C335&gt;=COLUMNS($A335:AG335), Source!$E335, "")</f>
        <v/>
      </c>
      <c r="AH335" s="2" t="str">
        <f>IF(Source!$C335&gt;=COLUMNS($A335:AH335), Source!$E335, "")</f>
        <v/>
      </c>
      <c r="AI335" s="2" t="str">
        <f>IF(Source!$C335&gt;=COLUMNS($A335:AI335), Source!$E335, "")</f>
        <v/>
      </c>
      <c r="AJ335" s="2" t="str">
        <f>IF(Source!$C335&gt;=COLUMNS($A335:AJ335), Source!$E335, "")</f>
        <v/>
      </c>
      <c r="AK335" s="2" t="str">
        <f>IF(Source!$C335&gt;=COLUMNS($A335:AK335), Source!$E335, "")</f>
        <v/>
      </c>
      <c r="AL335" s="2" t="str">
        <f>IF(Source!$C335&gt;=COLUMNS($A335:AL335), Source!$E335, "")</f>
        <v/>
      </c>
      <c r="AM335" s="2" t="str">
        <f>IF(Source!$C335&gt;=COLUMNS($A335:AM335), Source!$E335, "")</f>
        <v/>
      </c>
      <c r="AN335" s="2" t="str">
        <f>IF(Source!$C335&gt;=COLUMNS($A335:AN335), Source!$E335, "")</f>
        <v/>
      </c>
      <c r="AO335" s="2" t="str">
        <f>IF(Source!$C335&gt;=COLUMNS($A335:AO335), Source!$E335, "")</f>
        <v/>
      </c>
      <c r="AP335" s="2" t="str">
        <f>IF(Source!$C335&gt;=COLUMNS($A335:AP335), Source!$E335, "")</f>
        <v/>
      </c>
      <c r="AQ335" s="2" t="str">
        <f>IF(Source!$C335&gt;=COLUMNS($A335:AQ335), Source!$E335, "")</f>
        <v/>
      </c>
      <c r="AR335" s="2" t="str">
        <f>IF(Source!$C335&gt;=COLUMNS($A335:AR335), Source!$E335, "")</f>
        <v/>
      </c>
    </row>
    <row r="336">
      <c r="A336" s="2">
        <f>IF(Source!$C336&gt;=COLUMNS($A336:A336), Source!$E336, "")</f>
        <v>5</v>
      </c>
      <c r="B336" s="2">
        <f>IF(Source!$C336&gt;=COLUMNS($A336:B336), Source!$E336, "")</f>
        <v>5</v>
      </c>
      <c r="C336" s="2" t="str">
        <f>IF(Source!$C336&gt;=COLUMNS($A336:C336), Source!$E336, "")</f>
        <v/>
      </c>
      <c r="D336" s="2" t="str">
        <f>IF(Source!$C336&gt;=COLUMNS($A336:D336), Source!$E336, "")</f>
        <v/>
      </c>
      <c r="E336" s="2" t="str">
        <f>IF(Source!$C336&gt;=COLUMNS($A336:E336), Source!$E336, "")</f>
        <v/>
      </c>
      <c r="F336" s="2" t="str">
        <f>IF(Source!$C336&gt;=COLUMNS($A336:F336), Source!$E336, "")</f>
        <v/>
      </c>
      <c r="G336" s="2" t="str">
        <f>IF(Source!$C336&gt;=COLUMNS($A336:G336), Source!$E336, "")</f>
        <v/>
      </c>
      <c r="H336" s="2" t="str">
        <f>IF(Source!$C336&gt;=COLUMNS($A336:H336), Source!$E336, "")</f>
        <v/>
      </c>
      <c r="I336" s="2" t="str">
        <f>IF(Source!$C336&gt;=COLUMNS($A336:I336), Source!$E336, "")</f>
        <v/>
      </c>
      <c r="J336" s="2" t="str">
        <f>IF(Source!$C336&gt;=COLUMNS($A336:J336), Source!$E336, "")</f>
        <v/>
      </c>
      <c r="K336" s="2" t="str">
        <f>IF(Source!$C336&gt;=COLUMNS($A336:K336), Source!$E336, "")</f>
        <v/>
      </c>
      <c r="L336" s="2" t="str">
        <f>IF(Source!$C336&gt;=COLUMNS($A336:L336), Source!$E336, "")</f>
        <v/>
      </c>
      <c r="M336" s="2" t="str">
        <f>IF(Source!$C336&gt;=COLUMNS($A336:M336), Source!$E336, "")</f>
        <v/>
      </c>
      <c r="N336" s="2" t="str">
        <f>IF(Source!$C336&gt;=COLUMNS($A336:N336), Source!$E336, "")</f>
        <v/>
      </c>
      <c r="O336" s="2" t="str">
        <f>IF(Source!$C336&gt;=COLUMNS($A336:O336), Source!$E336, "")</f>
        <v/>
      </c>
      <c r="P336" s="2" t="str">
        <f>IF(Source!$C336&gt;=COLUMNS($A336:P336), Source!$E336, "")</f>
        <v/>
      </c>
      <c r="Q336" s="2" t="str">
        <f>IF(Source!$C336&gt;=COLUMNS($A336:Q336), Source!$E336, "")</f>
        <v/>
      </c>
      <c r="R336" s="2" t="str">
        <f>IF(Source!$C336&gt;=COLUMNS($A336:R336), Source!$E336, "")</f>
        <v/>
      </c>
      <c r="S336" s="2" t="str">
        <f>IF(Source!$C336&gt;=COLUMNS($A336:S336), Source!$E336, "")</f>
        <v/>
      </c>
      <c r="T336" s="2" t="str">
        <f>IF(Source!$C336&gt;=COLUMNS($A336:T336), Source!$E336, "")</f>
        <v/>
      </c>
      <c r="U336" s="2" t="str">
        <f>IF(Source!$C336&gt;=COLUMNS($A336:U336), Source!$E336, "")</f>
        <v/>
      </c>
      <c r="V336" s="2" t="str">
        <f>IF(Source!$C336&gt;=COLUMNS($A336:V336), Source!$E336, "")</f>
        <v/>
      </c>
      <c r="W336" s="2" t="str">
        <f>IF(Source!$C336&gt;=COLUMNS($A336:W336), Source!$E336, "")</f>
        <v/>
      </c>
      <c r="X336" s="2" t="str">
        <f>IF(Source!$C336&gt;=COLUMNS($A336:X336), Source!$E336, "")</f>
        <v/>
      </c>
      <c r="Y336" s="2" t="str">
        <f>IF(Source!$C336&gt;=COLUMNS($A336:Y336), Source!$E336, "")</f>
        <v/>
      </c>
      <c r="Z336" s="2" t="str">
        <f>IF(Source!$C336&gt;=COLUMNS($A336:Z336), Source!$E336, "")</f>
        <v/>
      </c>
      <c r="AA336" s="2" t="str">
        <f>IF(Source!$C336&gt;=COLUMNS($A336:AA336), Source!$E336, "")</f>
        <v/>
      </c>
      <c r="AB336" s="2" t="str">
        <f>IF(Source!$C336&gt;=COLUMNS($A336:AB336), Source!$E336, "")</f>
        <v/>
      </c>
      <c r="AC336" s="2" t="str">
        <f>IF(Source!$C336&gt;=COLUMNS($A336:AC336), Source!$E336, "")</f>
        <v/>
      </c>
      <c r="AD336" s="2" t="str">
        <f>IF(Source!$C336&gt;=COLUMNS($A336:AD336), Source!$E336, "")</f>
        <v/>
      </c>
      <c r="AE336" s="2" t="str">
        <f>IF(Source!$C336&gt;=COLUMNS($A336:AE336), Source!$E336, "")</f>
        <v/>
      </c>
      <c r="AF336" s="2" t="str">
        <f>IF(Source!$C336&gt;=COLUMNS($A336:AF336), Source!$E336, "")</f>
        <v/>
      </c>
      <c r="AG336" s="2" t="str">
        <f>IF(Source!$C336&gt;=COLUMNS($A336:AG336), Source!$E336, "")</f>
        <v/>
      </c>
      <c r="AH336" s="2" t="str">
        <f>IF(Source!$C336&gt;=COLUMNS($A336:AH336), Source!$E336, "")</f>
        <v/>
      </c>
      <c r="AI336" s="2" t="str">
        <f>IF(Source!$C336&gt;=COLUMNS($A336:AI336), Source!$E336, "")</f>
        <v/>
      </c>
      <c r="AJ336" s="2" t="str">
        <f>IF(Source!$C336&gt;=COLUMNS($A336:AJ336), Source!$E336, "")</f>
        <v/>
      </c>
      <c r="AK336" s="2" t="str">
        <f>IF(Source!$C336&gt;=COLUMNS($A336:AK336), Source!$E336, "")</f>
        <v/>
      </c>
      <c r="AL336" s="2" t="str">
        <f>IF(Source!$C336&gt;=COLUMNS($A336:AL336), Source!$E336, "")</f>
        <v/>
      </c>
      <c r="AM336" s="2" t="str">
        <f>IF(Source!$C336&gt;=COLUMNS($A336:AM336), Source!$E336, "")</f>
        <v/>
      </c>
      <c r="AN336" s="2" t="str">
        <f>IF(Source!$C336&gt;=COLUMNS($A336:AN336), Source!$E336, "")</f>
        <v/>
      </c>
      <c r="AO336" s="2" t="str">
        <f>IF(Source!$C336&gt;=COLUMNS($A336:AO336), Source!$E336, "")</f>
        <v/>
      </c>
      <c r="AP336" s="2" t="str">
        <f>IF(Source!$C336&gt;=COLUMNS($A336:AP336), Source!$E336, "")</f>
        <v/>
      </c>
      <c r="AQ336" s="2" t="str">
        <f>IF(Source!$C336&gt;=COLUMNS($A336:AQ336), Source!$E336, "")</f>
        <v/>
      </c>
      <c r="AR336" s="2" t="str">
        <f>IF(Source!$C336&gt;=COLUMNS($A336:AR336), Source!$E336, "")</f>
        <v/>
      </c>
    </row>
    <row r="337">
      <c r="A337" s="2">
        <f>IF(Source!$C337&gt;=COLUMNS($A337:A337), Source!$E337, "")</f>
        <v>3</v>
      </c>
      <c r="B337" s="2">
        <f>IF(Source!$C337&gt;=COLUMNS($A337:B337), Source!$E337, "")</f>
        <v>3</v>
      </c>
      <c r="C337" s="2">
        <f>IF(Source!$C337&gt;=COLUMNS($A337:C337), Source!$E337, "")</f>
        <v>3</v>
      </c>
      <c r="D337" s="2">
        <f>IF(Source!$C337&gt;=COLUMNS($A337:D337), Source!$E337, "")</f>
        <v>3</v>
      </c>
      <c r="E337" s="2">
        <f>IF(Source!$C337&gt;=COLUMNS($A337:E337), Source!$E337, "")</f>
        <v>3</v>
      </c>
      <c r="F337" s="2">
        <f>IF(Source!$C337&gt;=COLUMNS($A337:F337), Source!$E337, "")</f>
        <v>3</v>
      </c>
      <c r="G337" s="2">
        <f>IF(Source!$C337&gt;=COLUMNS($A337:G337), Source!$E337, "")</f>
        <v>3</v>
      </c>
      <c r="H337" s="2">
        <f>IF(Source!$C337&gt;=COLUMNS($A337:H337), Source!$E337, "")</f>
        <v>3</v>
      </c>
      <c r="I337" s="2" t="str">
        <f>IF(Source!$C337&gt;=COLUMNS($A337:I337), Source!$E337, "")</f>
        <v/>
      </c>
      <c r="J337" s="2" t="str">
        <f>IF(Source!$C337&gt;=COLUMNS($A337:J337), Source!$E337, "")</f>
        <v/>
      </c>
      <c r="K337" s="2" t="str">
        <f>IF(Source!$C337&gt;=COLUMNS($A337:K337), Source!$E337, "")</f>
        <v/>
      </c>
      <c r="L337" s="2" t="str">
        <f>IF(Source!$C337&gt;=COLUMNS($A337:L337), Source!$E337, "")</f>
        <v/>
      </c>
      <c r="M337" s="2" t="str">
        <f>IF(Source!$C337&gt;=COLUMNS($A337:M337), Source!$E337, "")</f>
        <v/>
      </c>
      <c r="N337" s="2" t="str">
        <f>IF(Source!$C337&gt;=COLUMNS($A337:N337), Source!$E337, "")</f>
        <v/>
      </c>
      <c r="O337" s="2" t="str">
        <f>IF(Source!$C337&gt;=COLUMNS($A337:O337), Source!$E337, "")</f>
        <v/>
      </c>
      <c r="P337" s="2" t="str">
        <f>IF(Source!$C337&gt;=COLUMNS($A337:P337), Source!$E337, "")</f>
        <v/>
      </c>
      <c r="Q337" s="2" t="str">
        <f>IF(Source!$C337&gt;=COLUMNS($A337:Q337), Source!$E337, "")</f>
        <v/>
      </c>
      <c r="R337" s="2" t="str">
        <f>IF(Source!$C337&gt;=COLUMNS($A337:R337), Source!$E337, "")</f>
        <v/>
      </c>
      <c r="S337" s="2" t="str">
        <f>IF(Source!$C337&gt;=COLUMNS($A337:S337), Source!$E337, "")</f>
        <v/>
      </c>
      <c r="T337" s="2" t="str">
        <f>IF(Source!$C337&gt;=COLUMNS($A337:T337), Source!$E337, "")</f>
        <v/>
      </c>
      <c r="U337" s="2" t="str">
        <f>IF(Source!$C337&gt;=COLUMNS($A337:U337), Source!$E337, "")</f>
        <v/>
      </c>
      <c r="V337" s="2" t="str">
        <f>IF(Source!$C337&gt;=COLUMNS($A337:V337), Source!$E337, "")</f>
        <v/>
      </c>
      <c r="W337" s="2" t="str">
        <f>IF(Source!$C337&gt;=COLUMNS($A337:W337), Source!$E337, "")</f>
        <v/>
      </c>
      <c r="X337" s="2" t="str">
        <f>IF(Source!$C337&gt;=COLUMNS($A337:X337), Source!$E337, "")</f>
        <v/>
      </c>
      <c r="Y337" s="2" t="str">
        <f>IF(Source!$C337&gt;=COLUMNS($A337:Y337), Source!$E337, "")</f>
        <v/>
      </c>
      <c r="Z337" s="2" t="str">
        <f>IF(Source!$C337&gt;=COLUMNS($A337:Z337), Source!$E337, "")</f>
        <v/>
      </c>
      <c r="AA337" s="2" t="str">
        <f>IF(Source!$C337&gt;=COLUMNS($A337:AA337), Source!$E337, "")</f>
        <v/>
      </c>
      <c r="AB337" s="2" t="str">
        <f>IF(Source!$C337&gt;=COLUMNS($A337:AB337), Source!$E337, "")</f>
        <v/>
      </c>
      <c r="AC337" s="2" t="str">
        <f>IF(Source!$C337&gt;=COLUMNS($A337:AC337), Source!$E337, "")</f>
        <v/>
      </c>
      <c r="AD337" s="2" t="str">
        <f>IF(Source!$C337&gt;=COLUMNS($A337:AD337), Source!$E337, "")</f>
        <v/>
      </c>
      <c r="AE337" s="2" t="str">
        <f>IF(Source!$C337&gt;=COLUMNS($A337:AE337), Source!$E337, "")</f>
        <v/>
      </c>
      <c r="AF337" s="2" t="str">
        <f>IF(Source!$C337&gt;=COLUMNS($A337:AF337), Source!$E337, "")</f>
        <v/>
      </c>
      <c r="AG337" s="2" t="str">
        <f>IF(Source!$C337&gt;=COLUMNS($A337:AG337), Source!$E337, "")</f>
        <v/>
      </c>
      <c r="AH337" s="2" t="str">
        <f>IF(Source!$C337&gt;=COLUMNS($A337:AH337), Source!$E337, "")</f>
        <v/>
      </c>
      <c r="AI337" s="2" t="str">
        <f>IF(Source!$C337&gt;=COLUMNS($A337:AI337), Source!$E337, "")</f>
        <v/>
      </c>
      <c r="AJ337" s="2" t="str">
        <f>IF(Source!$C337&gt;=COLUMNS($A337:AJ337), Source!$E337, "")</f>
        <v/>
      </c>
      <c r="AK337" s="2" t="str">
        <f>IF(Source!$C337&gt;=COLUMNS($A337:AK337), Source!$E337, "")</f>
        <v/>
      </c>
      <c r="AL337" s="2" t="str">
        <f>IF(Source!$C337&gt;=COLUMNS($A337:AL337), Source!$E337, "")</f>
        <v/>
      </c>
      <c r="AM337" s="2" t="str">
        <f>IF(Source!$C337&gt;=COLUMNS($A337:AM337), Source!$E337, "")</f>
        <v/>
      </c>
      <c r="AN337" s="2" t="str">
        <f>IF(Source!$C337&gt;=COLUMNS($A337:AN337), Source!$E337, "")</f>
        <v/>
      </c>
      <c r="AO337" s="2" t="str">
        <f>IF(Source!$C337&gt;=COLUMNS($A337:AO337), Source!$E337, "")</f>
        <v/>
      </c>
      <c r="AP337" s="2" t="str">
        <f>IF(Source!$C337&gt;=COLUMNS($A337:AP337), Source!$E337, "")</f>
        <v/>
      </c>
      <c r="AQ337" s="2" t="str">
        <f>IF(Source!$C337&gt;=COLUMNS($A337:AQ337), Source!$E337, "")</f>
        <v/>
      </c>
      <c r="AR337" s="2" t="str">
        <f>IF(Source!$C337&gt;=COLUMNS($A337:AR337), Source!$E337, "")</f>
        <v/>
      </c>
    </row>
    <row r="338">
      <c r="A338" s="2">
        <f>IF(Source!$C338&gt;=COLUMNS($A338:A338), Source!$E338, "")</f>
        <v>4</v>
      </c>
      <c r="B338" s="2">
        <f>IF(Source!$C338&gt;=COLUMNS($A338:B338), Source!$E338, "")</f>
        <v>4</v>
      </c>
      <c r="C338" s="2">
        <f>IF(Source!$C338&gt;=COLUMNS($A338:C338), Source!$E338, "")</f>
        <v>4</v>
      </c>
      <c r="D338" s="2">
        <f>IF(Source!$C338&gt;=COLUMNS($A338:D338), Source!$E338, "")</f>
        <v>4</v>
      </c>
      <c r="E338" s="2">
        <f>IF(Source!$C338&gt;=COLUMNS($A338:E338), Source!$E338, "")</f>
        <v>4</v>
      </c>
      <c r="F338" s="2">
        <f>IF(Source!$C338&gt;=COLUMNS($A338:F338), Source!$E338, "")</f>
        <v>4</v>
      </c>
      <c r="G338" s="2">
        <f>IF(Source!$C338&gt;=COLUMNS($A338:G338), Source!$E338, "")</f>
        <v>4</v>
      </c>
      <c r="H338" s="2">
        <f>IF(Source!$C338&gt;=COLUMNS($A338:H338), Source!$E338, "")</f>
        <v>4</v>
      </c>
      <c r="I338" s="2">
        <f>IF(Source!$C338&gt;=COLUMNS($A338:I338), Source!$E338, "")</f>
        <v>4</v>
      </c>
      <c r="J338" s="2">
        <f>IF(Source!$C338&gt;=COLUMNS($A338:J338), Source!$E338, "")</f>
        <v>4</v>
      </c>
      <c r="K338" s="2">
        <f>IF(Source!$C338&gt;=COLUMNS($A338:K338), Source!$E338, "")</f>
        <v>4</v>
      </c>
      <c r="L338" s="2">
        <f>IF(Source!$C338&gt;=COLUMNS($A338:L338), Source!$E338, "")</f>
        <v>4</v>
      </c>
      <c r="M338" s="2">
        <f>IF(Source!$C338&gt;=COLUMNS($A338:M338), Source!$E338, "")</f>
        <v>4</v>
      </c>
      <c r="N338" s="2">
        <f>IF(Source!$C338&gt;=COLUMNS($A338:N338), Source!$E338, "")</f>
        <v>4</v>
      </c>
      <c r="O338" s="2">
        <f>IF(Source!$C338&gt;=COLUMNS($A338:O338), Source!$E338, "")</f>
        <v>4</v>
      </c>
      <c r="P338" s="2">
        <f>IF(Source!$C338&gt;=COLUMNS($A338:P338), Source!$E338, "")</f>
        <v>4</v>
      </c>
      <c r="Q338" s="2">
        <f>IF(Source!$C338&gt;=COLUMNS($A338:Q338), Source!$E338, "")</f>
        <v>4</v>
      </c>
      <c r="R338" s="2">
        <f>IF(Source!$C338&gt;=COLUMNS($A338:R338), Source!$E338, "")</f>
        <v>4</v>
      </c>
      <c r="S338" s="2">
        <f>IF(Source!$C338&gt;=COLUMNS($A338:S338), Source!$E338, "")</f>
        <v>4</v>
      </c>
      <c r="T338" s="2">
        <f>IF(Source!$C338&gt;=COLUMNS($A338:T338), Source!$E338, "")</f>
        <v>4</v>
      </c>
      <c r="U338" s="2">
        <f>IF(Source!$C338&gt;=COLUMNS($A338:U338), Source!$E338, "")</f>
        <v>4</v>
      </c>
      <c r="V338" s="2">
        <f>IF(Source!$C338&gt;=COLUMNS($A338:V338), Source!$E338, "")</f>
        <v>4</v>
      </c>
      <c r="W338" s="2" t="str">
        <f>IF(Source!$C338&gt;=COLUMNS($A338:W338), Source!$E338, "")</f>
        <v/>
      </c>
      <c r="X338" s="2" t="str">
        <f>IF(Source!$C338&gt;=COLUMNS($A338:X338), Source!$E338, "")</f>
        <v/>
      </c>
      <c r="Y338" s="2" t="str">
        <f>IF(Source!$C338&gt;=COLUMNS($A338:Y338), Source!$E338, "")</f>
        <v/>
      </c>
      <c r="Z338" s="2" t="str">
        <f>IF(Source!$C338&gt;=COLUMNS($A338:Z338), Source!$E338, "")</f>
        <v/>
      </c>
      <c r="AA338" s="2" t="str">
        <f>IF(Source!$C338&gt;=COLUMNS($A338:AA338), Source!$E338, "")</f>
        <v/>
      </c>
      <c r="AB338" s="2" t="str">
        <f>IF(Source!$C338&gt;=COLUMNS($A338:AB338), Source!$E338, "")</f>
        <v/>
      </c>
      <c r="AC338" s="2" t="str">
        <f>IF(Source!$C338&gt;=COLUMNS($A338:AC338), Source!$E338, "")</f>
        <v/>
      </c>
      <c r="AD338" s="2" t="str">
        <f>IF(Source!$C338&gt;=COLUMNS($A338:AD338), Source!$E338, "")</f>
        <v/>
      </c>
      <c r="AE338" s="2" t="str">
        <f>IF(Source!$C338&gt;=COLUMNS($A338:AE338), Source!$E338, "")</f>
        <v/>
      </c>
      <c r="AF338" s="2" t="str">
        <f>IF(Source!$C338&gt;=COLUMNS($A338:AF338), Source!$E338, "")</f>
        <v/>
      </c>
      <c r="AG338" s="2" t="str">
        <f>IF(Source!$C338&gt;=COLUMNS($A338:AG338), Source!$E338, "")</f>
        <v/>
      </c>
      <c r="AH338" s="2" t="str">
        <f>IF(Source!$C338&gt;=COLUMNS($A338:AH338), Source!$E338, "")</f>
        <v/>
      </c>
      <c r="AI338" s="2" t="str">
        <f>IF(Source!$C338&gt;=COLUMNS($A338:AI338), Source!$E338, "")</f>
        <v/>
      </c>
      <c r="AJ338" s="2" t="str">
        <f>IF(Source!$C338&gt;=COLUMNS($A338:AJ338), Source!$E338, "")</f>
        <v/>
      </c>
      <c r="AK338" s="2" t="str">
        <f>IF(Source!$C338&gt;=COLUMNS($A338:AK338), Source!$E338, "")</f>
        <v/>
      </c>
      <c r="AL338" s="2" t="str">
        <f>IF(Source!$C338&gt;=COLUMNS($A338:AL338), Source!$E338, "")</f>
        <v/>
      </c>
      <c r="AM338" s="2" t="str">
        <f>IF(Source!$C338&gt;=COLUMNS($A338:AM338), Source!$E338, "")</f>
        <v/>
      </c>
      <c r="AN338" s="2" t="str">
        <f>IF(Source!$C338&gt;=COLUMNS($A338:AN338), Source!$E338, "")</f>
        <v/>
      </c>
      <c r="AO338" s="2" t="str">
        <f>IF(Source!$C338&gt;=COLUMNS($A338:AO338), Source!$E338, "")</f>
        <v/>
      </c>
      <c r="AP338" s="2" t="str">
        <f>IF(Source!$C338&gt;=COLUMNS($A338:AP338), Source!$E338, "")</f>
        <v/>
      </c>
      <c r="AQ338" s="2" t="str">
        <f>IF(Source!$C338&gt;=COLUMNS($A338:AQ338), Source!$E338, "")</f>
        <v/>
      </c>
      <c r="AR338" s="2" t="str">
        <f>IF(Source!$C338&gt;=COLUMNS($A338:AR338), Source!$E338, "")</f>
        <v/>
      </c>
    </row>
    <row r="339">
      <c r="A339" s="2">
        <f>IF(Source!$C339&gt;=COLUMNS($A339:A339), Source!$E339, "")</f>
        <v>3</v>
      </c>
      <c r="B339" s="2">
        <f>IF(Source!$C339&gt;=COLUMNS($A339:B339), Source!$E339, "")</f>
        <v>3</v>
      </c>
      <c r="C339" s="2" t="str">
        <f>IF(Source!$C339&gt;=COLUMNS($A339:C339), Source!$E339, "")</f>
        <v/>
      </c>
      <c r="D339" s="2" t="str">
        <f>IF(Source!$C339&gt;=COLUMNS($A339:D339), Source!$E339, "")</f>
        <v/>
      </c>
      <c r="E339" s="2" t="str">
        <f>IF(Source!$C339&gt;=COLUMNS($A339:E339), Source!$E339, "")</f>
        <v/>
      </c>
      <c r="F339" s="2" t="str">
        <f>IF(Source!$C339&gt;=COLUMNS($A339:F339), Source!$E339, "")</f>
        <v/>
      </c>
      <c r="G339" s="2" t="str">
        <f>IF(Source!$C339&gt;=COLUMNS($A339:G339), Source!$E339, "")</f>
        <v/>
      </c>
      <c r="H339" s="2" t="str">
        <f>IF(Source!$C339&gt;=COLUMNS($A339:H339), Source!$E339, "")</f>
        <v/>
      </c>
      <c r="I339" s="2" t="str">
        <f>IF(Source!$C339&gt;=COLUMNS($A339:I339), Source!$E339, "")</f>
        <v/>
      </c>
      <c r="J339" s="2" t="str">
        <f>IF(Source!$C339&gt;=COLUMNS($A339:J339), Source!$E339, "")</f>
        <v/>
      </c>
      <c r="K339" s="2" t="str">
        <f>IF(Source!$C339&gt;=COLUMNS($A339:K339), Source!$E339, "")</f>
        <v/>
      </c>
      <c r="L339" s="2" t="str">
        <f>IF(Source!$C339&gt;=COLUMNS($A339:L339), Source!$E339, "")</f>
        <v/>
      </c>
      <c r="M339" s="2" t="str">
        <f>IF(Source!$C339&gt;=COLUMNS($A339:M339), Source!$E339, "")</f>
        <v/>
      </c>
      <c r="N339" s="2" t="str">
        <f>IF(Source!$C339&gt;=COLUMNS($A339:N339), Source!$E339, "")</f>
        <v/>
      </c>
      <c r="O339" s="2" t="str">
        <f>IF(Source!$C339&gt;=COLUMNS($A339:O339), Source!$E339, "")</f>
        <v/>
      </c>
      <c r="P339" s="2" t="str">
        <f>IF(Source!$C339&gt;=COLUMNS($A339:P339), Source!$E339, "")</f>
        <v/>
      </c>
      <c r="Q339" s="2" t="str">
        <f>IF(Source!$C339&gt;=COLUMNS($A339:Q339), Source!$E339, "")</f>
        <v/>
      </c>
      <c r="R339" s="2" t="str">
        <f>IF(Source!$C339&gt;=COLUMNS($A339:R339), Source!$E339, "")</f>
        <v/>
      </c>
      <c r="S339" s="2" t="str">
        <f>IF(Source!$C339&gt;=COLUMNS($A339:S339), Source!$E339, "")</f>
        <v/>
      </c>
      <c r="T339" s="2" t="str">
        <f>IF(Source!$C339&gt;=COLUMNS($A339:T339), Source!$E339, "")</f>
        <v/>
      </c>
      <c r="U339" s="2" t="str">
        <f>IF(Source!$C339&gt;=COLUMNS($A339:U339), Source!$E339, "")</f>
        <v/>
      </c>
      <c r="V339" s="2" t="str">
        <f>IF(Source!$C339&gt;=COLUMNS($A339:V339), Source!$E339, "")</f>
        <v/>
      </c>
      <c r="W339" s="2" t="str">
        <f>IF(Source!$C339&gt;=COLUMNS($A339:W339), Source!$E339, "")</f>
        <v/>
      </c>
      <c r="X339" s="2" t="str">
        <f>IF(Source!$C339&gt;=COLUMNS($A339:X339), Source!$E339, "")</f>
        <v/>
      </c>
      <c r="Y339" s="2" t="str">
        <f>IF(Source!$C339&gt;=COLUMNS($A339:Y339), Source!$E339, "")</f>
        <v/>
      </c>
      <c r="Z339" s="2" t="str">
        <f>IF(Source!$C339&gt;=COLUMNS($A339:Z339), Source!$E339, "")</f>
        <v/>
      </c>
      <c r="AA339" s="2" t="str">
        <f>IF(Source!$C339&gt;=COLUMNS($A339:AA339), Source!$E339, "")</f>
        <v/>
      </c>
      <c r="AB339" s="2" t="str">
        <f>IF(Source!$C339&gt;=COLUMNS($A339:AB339), Source!$E339, "")</f>
        <v/>
      </c>
      <c r="AC339" s="2" t="str">
        <f>IF(Source!$C339&gt;=COLUMNS($A339:AC339), Source!$E339, "")</f>
        <v/>
      </c>
      <c r="AD339" s="2" t="str">
        <f>IF(Source!$C339&gt;=COLUMNS($A339:AD339), Source!$E339, "")</f>
        <v/>
      </c>
      <c r="AE339" s="2" t="str">
        <f>IF(Source!$C339&gt;=COLUMNS($A339:AE339), Source!$E339, "")</f>
        <v/>
      </c>
      <c r="AF339" s="2" t="str">
        <f>IF(Source!$C339&gt;=COLUMNS($A339:AF339), Source!$E339, "")</f>
        <v/>
      </c>
      <c r="AG339" s="2" t="str">
        <f>IF(Source!$C339&gt;=COLUMNS($A339:AG339), Source!$E339, "")</f>
        <v/>
      </c>
      <c r="AH339" s="2" t="str">
        <f>IF(Source!$C339&gt;=COLUMNS($A339:AH339), Source!$E339, "")</f>
        <v/>
      </c>
      <c r="AI339" s="2" t="str">
        <f>IF(Source!$C339&gt;=COLUMNS($A339:AI339), Source!$E339, "")</f>
        <v/>
      </c>
      <c r="AJ339" s="2" t="str">
        <f>IF(Source!$C339&gt;=COLUMNS($A339:AJ339), Source!$E339, "")</f>
        <v/>
      </c>
      <c r="AK339" s="2" t="str">
        <f>IF(Source!$C339&gt;=COLUMNS($A339:AK339), Source!$E339, "")</f>
        <v/>
      </c>
      <c r="AL339" s="2" t="str">
        <f>IF(Source!$C339&gt;=COLUMNS($A339:AL339), Source!$E339, "")</f>
        <v/>
      </c>
      <c r="AM339" s="2" t="str">
        <f>IF(Source!$C339&gt;=COLUMNS($A339:AM339), Source!$E339, "")</f>
        <v/>
      </c>
      <c r="AN339" s="2" t="str">
        <f>IF(Source!$C339&gt;=COLUMNS($A339:AN339), Source!$E339, "")</f>
        <v/>
      </c>
      <c r="AO339" s="2" t="str">
        <f>IF(Source!$C339&gt;=COLUMNS($A339:AO339), Source!$E339, "")</f>
        <v/>
      </c>
      <c r="AP339" s="2" t="str">
        <f>IF(Source!$C339&gt;=COLUMNS($A339:AP339), Source!$E339, "")</f>
        <v/>
      </c>
      <c r="AQ339" s="2" t="str">
        <f>IF(Source!$C339&gt;=COLUMNS($A339:AQ339), Source!$E339, "")</f>
        <v/>
      </c>
      <c r="AR339" s="2" t="str">
        <f>IF(Source!$C339&gt;=COLUMNS($A339:AR339), Source!$E339, "")</f>
        <v/>
      </c>
    </row>
    <row r="340">
      <c r="A340" s="2">
        <f>IF(Source!$C340&gt;=COLUMNS($A340:A340), Source!$E340, "")</f>
        <v>1</v>
      </c>
      <c r="B340" s="2">
        <f>IF(Source!$C340&gt;=COLUMNS($A340:B340), Source!$E340, "")</f>
        <v>1</v>
      </c>
      <c r="C340" s="2">
        <f>IF(Source!$C340&gt;=COLUMNS($A340:C340), Source!$E340, "")</f>
        <v>1</v>
      </c>
      <c r="D340" s="2">
        <f>IF(Source!$C340&gt;=COLUMNS($A340:D340), Source!$E340, "")</f>
        <v>1</v>
      </c>
      <c r="E340" s="2">
        <f>IF(Source!$C340&gt;=COLUMNS($A340:E340), Source!$E340, "")</f>
        <v>1</v>
      </c>
      <c r="F340" s="2">
        <f>IF(Source!$C340&gt;=COLUMNS($A340:F340), Source!$E340, "")</f>
        <v>1</v>
      </c>
      <c r="G340" s="2">
        <f>IF(Source!$C340&gt;=COLUMNS($A340:G340), Source!$E340, "")</f>
        <v>1</v>
      </c>
      <c r="H340" s="2">
        <f>IF(Source!$C340&gt;=COLUMNS($A340:H340), Source!$E340, "")</f>
        <v>1</v>
      </c>
      <c r="I340" s="2">
        <f>IF(Source!$C340&gt;=COLUMNS($A340:I340), Source!$E340, "")</f>
        <v>1</v>
      </c>
      <c r="J340" s="2">
        <f>IF(Source!$C340&gt;=COLUMNS($A340:J340), Source!$E340, "")</f>
        <v>1</v>
      </c>
      <c r="K340" s="2">
        <f>IF(Source!$C340&gt;=COLUMNS($A340:K340), Source!$E340, "")</f>
        <v>1</v>
      </c>
      <c r="L340" s="2">
        <f>IF(Source!$C340&gt;=COLUMNS($A340:L340), Source!$E340, "")</f>
        <v>1</v>
      </c>
      <c r="M340" s="2">
        <f>IF(Source!$C340&gt;=COLUMNS($A340:M340), Source!$E340, "")</f>
        <v>1</v>
      </c>
      <c r="N340" s="2">
        <f>IF(Source!$C340&gt;=COLUMNS($A340:N340), Source!$E340, "")</f>
        <v>1</v>
      </c>
      <c r="O340" s="2">
        <f>IF(Source!$C340&gt;=COLUMNS($A340:O340), Source!$E340, "")</f>
        <v>1</v>
      </c>
      <c r="P340" s="2">
        <f>IF(Source!$C340&gt;=COLUMNS($A340:P340), Source!$E340, "")</f>
        <v>1</v>
      </c>
      <c r="Q340" s="2">
        <f>IF(Source!$C340&gt;=COLUMNS($A340:Q340), Source!$E340, "")</f>
        <v>1</v>
      </c>
      <c r="R340" s="2">
        <f>IF(Source!$C340&gt;=COLUMNS($A340:R340), Source!$E340, "")</f>
        <v>1</v>
      </c>
      <c r="S340" s="2">
        <f>IF(Source!$C340&gt;=COLUMNS($A340:S340), Source!$E340, "")</f>
        <v>1</v>
      </c>
      <c r="T340" s="2">
        <f>IF(Source!$C340&gt;=COLUMNS($A340:T340), Source!$E340, "")</f>
        <v>1</v>
      </c>
      <c r="U340" s="2">
        <f>IF(Source!$C340&gt;=COLUMNS($A340:U340), Source!$E340, "")</f>
        <v>1</v>
      </c>
      <c r="V340" s="2">
        <f>IF(Source!$C340&gt;=COLUMNS($A340:V340), Source!$E340, "")</f>
        <v>1</v>
      </c>
      <c r="W340" s="2">
        <f>IF(Source!$C340&gt;=COLUMNS($A340:W340), Source!$E340, "")</f>
        <v>1</v>
      </c>
      <c r="X340" s="2">
        <f>IF(Source!$C340&gt;=COLUMNS($A340:X340), Source!$E340, "")</f>
        <v>1</v>
      </c>
      <c r="Y340" s="2">
        <f>IF(Source!$C340&gt;=COLUMNS($A340:Y340), Source!$E340, "")</f>
        <v>1</v>
      </c>
      <c r="Z340" s="2">
        <f>IF(Source!$C340&gt;=COLUMNS($A340:Z340), Source!$E340, "")</f>
        <v>1</v>
      </c>
      <c r="AA340" s="2">
        <f>IF(Source!$C340&gt;=COLUMNS($A340:AA340), Source!$E340, "")</f>
        <v>1</v>
      </c>
      <c r="AB340" s="2">
        <f>IF(Source!$C340&gt;=COLUMNS($A340:AB340), Source!$E340, "")</f>
        <v>1</v>
      </c>
      <c r="AC340" s="2">
        <f>IF(Source!$C340&gt;=COLUMNS($A340:AC340), Source!$E340, "")</f>
        <v>1</v>
      </c>
      <c r="AD340" s="2">
        <f>IF(Source!$C340&gt;=COLUMNS($A340:AD340), Source!$E340, "")</f>
        <v>1</v>
      </c>
      <c r="AE340" s="2">
        <f>IF(Source!$C340&gt;=COLUMNS($A340:AE340), Source!$E340, "")</f>
        <v>1</v>
      </c>
      <c r="AF340" s="2">
        <f>IF(Source!$C340&gt;=COLUMNS($A340:AF340), Source!$E340, "")</f>
        <v>1</v>
      </c>
      <c r="AG340" s="2">
        <f>IF(Source!$C340&gt;=COLUMNS($A340:AG340), Source!$E340, "")</f>
        <v>1</v>
      </c>
      <c r="AH340" s="2" t="str">
        <f>IF(Source!$C340&gt;=COLUMNS($A340:AH340), Source!$E340, "")</f>
        <v/>
      </c>
      <c r="AI340" s="2" t="str">
        <f>IF(Source!$C340&gt;=COLUMNS($A340:AI340), Source!$E340, "")</f>
        <v/>
      </c>
      <c r="AJ340" s="2" t="str">
        <f>IF(Source!$C340&gt;=COLUMNS($A340:AJ340), Source!$E340, "")</f>
        <v/>
      </c>
      <c r="AK340" s="2" t="str">
        <f>IF(Source!$C340&gt;=COLUMNS($A340:AK340), Source!$E340, "")</f>
        <v/>
      </c>
      <c r="AL340" s="2" t="str">
        <f>IF(Source!$C340&gt;=COLUMNS($A340:AL340), Source!$E340, "")</f>
        <v/>
      </c>
      <c r="AM340" s="2" t="str">
        <f>IF(Source!$C340&gt;=COLUMNS($A340:AM340), Source!$E340, "")</f>
        <v/>
      </c>
      <c r="AN340" s="2" t="str">
        <f>IF(Source!$C340&gt;=COLUMNS($A340:AN340), Source!$E340, "")</f>
        <v/>
      </c>
      <c r="AO340" s="2" t="str">
        <f>IF(Source!$C340&gt;=COLUMNS($A340:AO340), Source!$E340, "")</f>
        <v/>
      </c>
      <c r="AP340" s="2" t="str">
        <f>IF(Source!$C340&gt;=COLUMNS($A340:AP340), Source!$E340, "")</f>
        <v/>
      </c>
      <c r="AQ340" s="2" t="str">
        <f>IF(Source!$C340&gt;=COLUMNS($A340:AQ340), Source!$E340, "")</f>
        <v/>
      </c>
      <c r="AR340" s="2" t="str">
        <f>IF(Source!$C340&gt;=COLUMNS($A340:AR340), Source!$E340, "")</f>
        <v/>
      </c>
    </row>
    <row r="341">
      <c r="A341" s="2">
        <f>IF(Source!$C341&gt;=COLUMNS($A341:A341), Source!$E341, "")</f>
        <v>5</v>
      </c>
      <c r="B341" s="2">
        <f>IF(Source!$C341&gt;=COLUMNS($A341:B341), Source!$E341, "")</f>
        <v>5</v>
      </c>
      <c r="C341" s="2">
        <f>IF(Source!$C341&gt;=COLUMNS($A341:C341), Source!$E341, "")</f>
        <v>5</v>
      </c>
      <c r="D341" s="2">
        <f>IF(Source!$C341&gt;=COLUMNS($A341:D341), Source!$E341, "")</f>
        <v>5</v>
      </c>
      <c r="E341" s="2">
        <f>IF(Source!$C341&gt;=COLUMNS($A341:E341), Source!$E341, "")</f>
        <v>5</v>
      </c>
      <c r="F341" s="2">
        <f>IF(Source!$C341&gt;=COLUMNS($A341:F341), Source!$E341, "")</f>
        <v>5</v>
      </c>
      <c r="G341" s="2">
        <f>IF(Source!$C341&gt;=COLUMNS($A341:G341), Source!$E341, "")</f>
        <v>5</v>
      </c>
      <c r="H341" s="2">
        <f>IF(Source!$C341&gt;=COLUMNS($A341:H341), Source!$E341, "")</f>
        <v>5</v>
      </c>
      <c r="I341" s="2">
        <f>IF(Source!$C341&gt;=COLUMNS($A341:I341), Source!$E341, "")</f>
        <v>5</v>
      </c>
      <c r="J341" s="2">
        <f>IF(Source!$C341&gt;=COLUMNS($A341:J341), Source!$E341, "")</f>
        <v>5</v>
      </c>
      <c r="K341" s="2">
        <f>IF(Source!$C341&gt;=COLUMNS($A341:K341), Source!$E341, "")</f>
        <v>5</v>
      </c>
      <c r="L341" s="2">
        <f>IF(Source!$C341&gt;=COLUMNS($A341:L341), Source!$E341, "")</f>
        <v>5</v>
      </c>
      <c r="M341" s="2">
        <f>IF(Source!$C341&gt;=COLUMNS($A341:M341), Source!$E341, "")</f>
        <v>5</v>
      </c>
      <c r="N341" s="2">
        <f>IF(Source!$C341&gt;=COLUMNS($A341:N341), Source!$E341, "")</f>
        <v>5</v>
      </c>
      <c r="O341" s="2">
        <f>IF(Source!$C341&gt;=COLUMNS($A341:O341), Source!$E341, "")</f>
        <v>5</v>
      </c>
      <c r="P341" s="2">
        <f>IF(Source!$C341&gt;=COLUMNS($A341:P341), Source!$E341, "")</f>
        <v>5</v>
      </c>
      <c r="Q341" s="2">
        <f>IF(Source!$C341&gt;=COLUMNS($A341:Q341), Source!$E341, "")</f>
        <v>5</v>
      </c>
      <c r="R341" s="2">
        <f>IF(Source!$C341&gt;=COLUMNS($A341:R341), Source!$E341, "")</f>
        <v>5</v>
      </c>
      <c r="S341" s="2">
        <f>IF(Source!$C341&gt;=COLUMNS($A341:S341), Source!$E341, "")</f>
        <v>5</v>
      </c>
      <c r="T341" s="2">
        <f>IF(Source!$C341&gt;=COLUMNS($A341:T341), Source!$E341, "")</f>
        <v>5</v>
      </c>
      <c r="U341" s="2">
        <f>IF(Source!$C341&gt;=COLUMNS($A341:U341), Source!$E341, "")</f>
        <v>5</v>
      </c>
      <c r="V341" s="2">
        <f>IF(Source!$C341&gt;=COLUMNS($A341:V341), Source!$E341, "")</f>
        <v>5</v>
      </c>
      <c r="W341" s="2">
        <f>IF(Source!$C341&gt;=COLUMNS($A341:W341), Source!$E341, "")</f>
        <v>5</v>
      </c>
      <c r="X341" s="2">
        <f>IF(Source!$C341&gt;=COLUMNS($A341:X341), Source!$E341, "")</f>
        <v>5</v>
      </c>
      <c r="Y341" s="2">
        <f>IF(Source!$C341&gt;=COLUMNS($A341:Y341), Source!$E341, "")</f>
        <v>5</v>
      </c>
      <c r="Z341" s="2">
        <f>IF(Source!$C341&gt;=COLUMNS($A341:Z341), Source!$E341, "")</f>
        <v>5</v>
      </c>
      <c r="AA341" s="2" t="str">
        <f>IF(Source!$C341&gt;=COLUMNS($A341:AA341), Source!$E341, "")</f>
        <v/>
      </c>
      <c r="AB341" s="2" t="str">
        <f>IF(Source!$C341&gt;=COLUMNS($A341:AB341), Source!$E341, "")</f>
        <v/>
      </c>
      <c r="AC341" s="2" t="str">
        <f>IF(Source!$C341&gt;=COLUMNS($A341:AC341), Source!$E341, "")</f>
        <v/>
      </c>
      <c r="AD341" s="2" t="str">
        <f>IF(Source!$C341&gt;=COLUMNS($A341:AD341), Source!$E341, "")</f>
        <v/>
      </c>
      <c r="AE341" s="2" t="str">
        <f>IF(Source!$C341&gt;=COLUMNS($A341:AE341), Source!$E341, "")</f>
        <v/>
      </c>
      <c r="AF341" s="2" t="str">
        <f>IF(Source!$C341&gt;=COLUMNS($A341:AF341), Source!$E341, "")</f>
        <v/>
      </c>
      <c r="AG341" s="2" t="str">
        <f>IF(Source!$C341&gt;=COLUMNS($A341:AG341), Source!$E341, "")</f>
        <v/>
      </c>
      <c r="AH341" s="2" t="str">
        <f>IF(Source!$C341&gt;=COLUMNS($A341:AH341), Source!$E341, "")</f>
        <v/>
      </c>
      <c r="AI341" s="2" t="str">
        <f>IF(Source!$C341&gt;=COLUMNS($A341:AI341), Source!$E341, "")</f>
        <v/>
      </c>
      <c r="AJ341" s="2" t="str">
        <f>IF(Source!$C341&gt;=COLUMNS($A341:AJ341), Source!$E341, "")</f>
        <v/>
      </c>
      <c r="AK341" s="2" t="str">
        <f>IF(Source!$C341&gt;=COLUMNS($A341:AK341), Source!$E341, "")</f>
        <v/>
      </c>
      <c r="AL341" s="2" t="str">
        <f>IF(Source!$C341&gt;=COLUMNS($A341:AL341), Source!$E341, "")</f>
        <v/>
      </c>
      <c r="AM341" s="2" t="str">
        <f>IF(Source!$C341&gt;=COLUMNS($A341:AM341), Source!$E341, "")</f>
        <v/>
      </c>
      <c r="AN341" s="2" t="str">
        <f>IF(Source!$C341&gt;=COLUMNS($A341:AN341), Source!$E341, "")</f>
        <v/>
      </c>
      <c r="AO341" s="2" t="str">
        <f>IF(Source!$C341&gt;=COLUMNS($A341:AO341), Source!$E341, "")</f>
        <v/>
      </c>
      <c r="AP341" s="2" t="str">
        <f>IF(Source!$C341&gt;=COLUMNS($A341:AP341), Source!$E341, "")</f>
        <v/>
      </c>
      <c r="AQ341" s="2" t="str">
        <f>IF(Source!$C341&gt;=COLUMNS($A341:AQ341), Source!$E341, "")</f>
        <v/>
      </c>
      <c r="AR341" s="2" t="str">
        <f>IF(Source!$C341&gt;=COLUMNS($A341:AR341), Source!$E341, "")</f>
        <v/>
      </c>
    </row>
    <row r="342">
      <c r="A342" s="2">
        <f>IF(Source!$C342&gt;=COLUMNS($A342:A342), Source!$E342, "")</f>
        <v>5</v>
      </c>
      <c r="B342" s="2">
        <f>IF(Source!$C342&gt;=COLUMNS($A342:B342), Source!$E342, "")</f>
        <v>5</v>
      </c>
      <c r="C342" s="2">
        <f>IF(Source!$C342&gt;=COLUMNS($A342:C342), Source!$E342, "")</f>
        <v>5</v>
      </c>
      <c r="D342" s="2">
        <f>IF(Source!$C342&gt;=COLUMNS($A342:D342), Source!$E342, "")</f>
        <v>5</v>
      </c>
      <c r="E342" s="2" t="str">
        <f>IF(Source!$C342&gt;=COLUMNS($A342:E342), Source!$E342, "")</f>
        <v/>
      </c>
      <c r="F342" s="2" t="str">
        <f>IF(Source!$C342&gt;=COLUMNS($A342:F342), Source!$E342, "")</f>
        <v/>
      </c>
      <c r="G342" s="2" t="str">
        <f>IF(Source!$C342&gt;=COLUMNS($A342:G342), Source!$E342, "")</f>
        <v/>
      </c>
      <c r="H342" s="2" t="str">
        <f>IF(Source!$C342&gt;=COLUMNS($A342:H342), Source!$E342, "")</f>
        <v/>
      </c>
      <c r="I342" s="2" t="str">
        <f>IF(Source!$C342&gt;=COLUMNS($A342:I342), Source!$E342, "")</f>
        <v/>
      </c>
      <c r="J342" s="2" t="str">
        <f>IF(Source!$C342&gt;=COLUMNS($A342:J342), Source!$E342, "")</f>
        <v/>
      </c>
      <c r="K342" s="2" t="str">
        <f>IF(Source!$C342&gt;=COLUMNS($A342:K342), Source!$E342, "")</f>
        <v/>
      </c>
      <c r="L342" s="2" t="str">
        <f>IF(Source!$C342&gt;=COLUMNS($A342:L342), Source!$E342, "")</f>
        <v/>
      </c>
      <c r="M342" s="2" t="str">
        <f>IF(Source!$C342&gt;=COLUMNS($A342:M342), Source!$E342, "")</f>
        <v/>
      </c>
      <c r="N342" s="2" t="str">
        <f>IF(Source!$C342&gt;=COLUMNS($A342:N342), Source!$E342, "")</f>
        <v/>
      </c>
      <c r="O342" s="2" t="str">
        <f>IF(Source!$C342&gt;=COLUMNS($A342:O342), Source!$E342, "")</f>
        <v/>
      </c>
      <c r="P342" s="2" t="str">
        <f>IF(Source!$C342&gt;=COLUMNS($A342:P342), Source!$E342, "")</f>
        <v/>
      </c>
      <c r="Q342" s="2" t="str">
        <f>IF(Source!$C342&gt;=COLUMNS($A342:Q342), Source!$E342, "")</f>
        <v/>
      </c>
      <c r="R342" s="2" t="str">
        <f>IF(Source!$C342&gt;=COLUMNS($A342:R342), Source!$E342, "")</f>
        <v/>
      </c>
      <c r="S342" s="2" t="str">
        <f>IF(Source!$C342&gt;=COLUMNS($A342:S342), Source!$E342, "")</f>
        <v/>
      </c>
      <c r="T342" s="2" t="str">
        <f>IF(Source!$C342&gt;=COLUMNS($A342:T342), Source!$E342, "")</f>
        <v/>
      </c>
      <c r="U342" s="2" t="str">
        <f>IF(Source!$C342&gt;=COLUMNS($A342:U342), Source!$E342, "")</f>
        <v/>
      </c>
      <c r="V342" s="2" t="str">
        <f>IF(Source!$C342&gt;=COLUMNS($A342:V342), Source!$E342, "")</f>
        <v/>
      </c>
      <c r="W342" s="2" t="str">
        <f>IF(Source!$C342&gt;=COLUMNS($A342:W342), Source!$E342, "")</f>
        <v/>
      </c>
      <c r="X342" s="2" t="str">
        <f>IF(Source!$C342&gt;=COLUMNS($A342:X342), Source!$E342, "")</f>
        <v/>
      </c>
      <c r="Y342" s="2" t="str">
        <f>IF(Source!$C342&gt;=COLUMNS($A342:Y342), Source!$E342, "")</f>
        <v/>
      </c>
      <c r="Z342" s="2" t="str">
        <f>IF(Source!$C342&gt;=COLUMNS($A342:Z342), Source!$E342, "")</f>
        <v/>
      </c>
      <c r="AA342" s="2" t="str">
        <f>IF(Source!$C342&gt;=COLUMNS($A342:AA342), Source!$E342, "")</f>
        <v/>
      </c>
      <c r="AB342" s="2" t="str">
        <f>IF(Source!$C342&gt;=COLUMNS($A342:AB342), Source!$E342, "")</f>
        <v/>
      </c>
      <c r="AC342" s="2" t="str">
        <f>IF(Source!$C342&gt;=COLUMNS($A342:AC342), Source!$E342, "")</f>
        <v/>
      </c>
      <c r="AD342" s="2" t="str">
        <f>IF(Source!$C342&gt;=COLUMNS($A342:AD342), Source!$E342, "")</f>
        <v/>
      </c>
      <c r="AE342" s="2" t="str">
        <f>IF(Source!$C342&gt;=COLUMNS($A342:AE342), Source!$E342, "")</f>
        <v/>
      </c>
      <c r="AF342" s="2" t="str">
        <f>IF(Source!$C342&gt;=COLUMNS($A342:AF342), Source!$E342, "")</f>
        <v/>
      </c>
      <c r="AG342" s="2" t="str">
        <f>IF(Source!$C342&gt;=COLUMNS($A342:AG342), Source!$E342, "")</f>
        <v/>
      </c>
      <c r="AH342" s="2" t="str">
        <f>IF(Source!$C342&gt;=COLUMNS($A342:AH342), Source!$E342, "")</f>
        <v/>
      </c>
      <c r="AI342" s="2" t="str">
        <f>IF(Source!$C342&gt;=COLUMNS($A342:AI342), Source!$E342, "")</f>
        <v/>
      </c>
      <c r="AJ342" s="2" t="str">
        <f>IF(Source!$C342&gt;=COLUMNS($A342:AJ342), Source!$E342, "")</f>
        <v/>
      </c>
      <c r="AK342" s="2" t="str">
        <f>IF(Source!$C342&gt;=COLUMNS($A342:AK342), Source!$E342, "")</f>
        <v/>
      </c>
      <c r="AL342" s="2" t="str">
        <f>IF(Source!$C342&gt;=COLUMNS($A342:AL342), Source!$E342, "")</f>
        <v/>
      </c>
      <c r="AM342" s="2" t="str">
        <f>IF(Source!$C342&gt;=COLUMNS($A342:AM342), Source!$E342, "")</f>
        <v/>
      </c>
      <c r="AN342" s="2" t="str">
        <f>IF(Source!$C342&gt;=COLUMNS($A342:AN342), Source!$E342, "")</f>
        <v/>
      </c>
      <c r="AO342" s="2" t="str">
        <f>IF(Source!$C342&gt;=COLUMNS($A342:AO342), Source!$E342, "")</f>
        <v/>
      </c>
      <c r="AP342" s="2" t="str">
        <f>IF(Source!$C342&gt;=COLUMNS($A342:AP342), Source!$E342, "")</f>
        <v/>
      </c>
      <c r="AQ342" s="2" t="str">
        <f>IF(Source!$C342&gt;=COLUMNS($A342:AQ342), Source!$E342, "")</f>
        <v/>
      </c>
      <c r="AR342" s="2" t="str">
        <f>IF(Source!$C342&gt;=COLUMNS($A342:AR342), Source!$E342, "")</f>
        <v/>
      </c>
    </row>
    <row r="343">
      <c r="A343" s="2">
        <f>IF(Source!$C343&gt;=COLUMNS($A343:A343), Source!$E343, "")</f>
        <v>2</v>
      </c>
      <c r="B343" s="2">
        <f>IF(Source!$C343&gt;=COLUMNS($A343:B343), Source!$E343, "")</f>
        <v>2</v>
      </c>
      <c r="C343" s="2" t="str">
        <f>IF(Source!$C343&gt;=COLUMNS($A343:C343), Source!$E343, "")</f>
        <v/>
      </c>
      <c r="D343" s="2" t="str">
        <f>IF(Source!$C343&gt;=COLUMNS($A343:D343), Source!$E343, "")</f>
        <v/>
      </c>
      <c r="E343" s="2" t="str">
        <f>IF(Source!$C343&gt;=COLUMNS($A343:E343), Source!$E343, "")</f>
        <v/>
      </c>
      <c r="F343" s="2" t="str">
        <f>IF(Source!$C343&gt;=COLUMNS($A343:F343), Source!$E343, "")</f>
        <v/>
      </c>
      <c r="G343" s="2" t="str">
        <f>IF(Source!$C343&gt;=COLUMNS($A343:G343), Source!$E343, "")</f>
        <v/>
      </c>
      <c r="H343" s="2" t="str">
        <f>IF(Source!$C343&gt;=COLUMNS($A343:H343), Source!$E343, "")</f>
        <v/>
      </c>
      <c r="I343" s="2" t="str">
        <f>IF(Source!$C343&gt;=COLUMNS($A343:I343), Source!$E343, "")</f>
        <v/>
      </c>
      <c r="J343" s="2" t="str">
        <f>IF(Source!$C343&gt;=COLUMNS($A343:J343), Source!$E343, "")</f>
        <v/>
      </c>
      <c r="K343" s="2" t="str">
        <f>IF(Source!$C343&gt;=COLUMNS($A343:K343), Source!$E343, "")</f>
        <v/>
      </c>
      <c r="L343" s="2" t="str">
        <f>IF(Source!$C343&gt;=COLUMNS($A343:L343), Source!$E343, "")</f>
        <v/>
      </c>
      <c r="M343" s="2" t="str">
        <f>IF(Source!$C343&gt;=COLUMNS($A343:M343), Source!$E343, "")</f>
        <v/>
      </c>
      <c r="N343" s="2" t="str">
        <f>IF(Source!$C343&gt;=COLUMNS($A343:N343), Source!$E343, "")</f>
        <v/>
      </c>
      <c r="O343" s="2" t="str">
        <f>IF(Source!$C343&gt;=COLUMNS($A343:O343), Source!$E343, "")</f>
        <v/>
      </c>
      <c r="P343" s="2" t="str">
        <f>IF(Source!$C343&gt;=COLUMNS($A343:P343), Source!$E343, "")</f>
        <v/>
      </c>
      <c r="Q343" s="2" t="str">
        <f>IF(Source!$C343&gt;=COLUMNS($A343:Q343), Source!$E343, "")</f>
        <v/>
      </c>
      <c r="R343" s="2" t="str">
        <f>IF(Source!$C343&gt;=COLUMNS($A343:R343), Source!$E343, "")</f>
        <v/>
      </c>
      <c r="S343" s="2" t="str">
        <f>IF(Source!$C343&gt;=COLUMNS($A343:S343), Source!$E343, "")</f>
        <v/>
      </c>
      <c r="T343" s="2" t="str">
        <f>IF(Source!$C343&gt;=COLUMNS($A343:T343), Source!$E343, "")</f>
        <v/>
      </c>
      <c r="U343" s="2" t="str">
        <f>IF(Source!$C343&gt;=COLUMNS($A343:U343), Source!$E343, "")</f>
        <v/>
      </c>
      <c r="V343" s="2" t="str">
        <f>IF(Source!$C343&gt;=COLUMNS($A343:V343), Source!$E343, "")</f>
        <v/>
      </c>
      <c r="W343" s="2" t="str">
        <f>IF(Source!$C343&gt;=COLUMNS($A343:W343), Source!$E343, "")</f>
        <v/>
      </c>
      <c r="X343" s="2" t="str">
        <f>IF(Source!$C343&gt;=COLUMNS($A343:X343), Source!$E343, "")</f>
        <v/>
      </c>
      <c r="Y343" s="2" t="str">
        <f>IF(Source!$C343&gt;=COLUMNS($A343:Y343), Source!$E343, "")</f>
        <v/>
      </c>
      <c r="Z343" s="2" t="str">
        <f>IF(Source!$C343&gt;=COLUMNS($A343:Z343), Source!$E343, "")</f>
        <v/>
      </c>
      <c r="AA343" s="2" t="str">
        <f>IF(Source!$C343&gt;=COLUMNS($A343:AA343), Source!$E343, "")</f>
        <v/>
      </c>
      <c r="AB343" s="2" t="str">
        <f>IF(Source!$C343&gt;=COLUMNS($A343:AB343), Source!$E343, "")</f>
        <v/>
      </c>
      <c r="AC343" s="2" t="str">
        <f>IF(Source!$C343&gt;=COLUMNS($A343:AC343), Source!$E343, "")</f>
        <v/>
      </c>
      <c r="AD343" s="2" t="str">
        <f>IF(Source!$C343&gt;=COLUMNS($A343:AD343), Source!$E343, "")</f>
        <v/>
      </c>
      <c r="AE343" s="2" t="str">
        <f>IF(Source!$C343&gt;=COLUMNS($A343:AE343), Source!$E343, "")</f>
        <v/>
      </c>
      <c r="AF343" s="2" t="str">
        <f>IF(Source!$C343&gt;=COLUMNS($A343:AF343), Source!$E343, "")</f>
        <v/>
      </c>
      <c r="AG343" s="2" t="str">
        <f>IF(Source!$C343&gt;=COLUMNS($A343:AG343), Source!$E343, "")</f>
        <v/>
      </c>
      <c r="AH343" s="2" t="str">
        <f>IF(Source!$C343&gt;=COLUMNS($A343:AH343), Source!$E343, "")</f>
        <v/>
      </c>
      <c r="AI343" s="2" t="str">
        <f>IF(Source!$C343&gt;=COLUMNS($A343:AI343), Source!$E343, "")</f>
        <v/>
      </c>
      <c r="AJ343" s="2" t="str">
        <f>IF(Source!$C343&gt;=COLUMNS($A343:AJ343), Source!$E343, "")</f>
        <v/>
      </c>
      <c r="AK343" s="2" t="str">
        <f>IF(Source!$C343&gt;=COLUMNS($A343:AK343), Source!$E343, "")</f>
        <v/>
      </c>
      <c r="AL343" s="2" t="str">
        <f>IF(Source!$C343&gt;=COLUMNS($A343:AL343), Source!$E343, "")</f>
        <v/>
      </c>
      <c r="AM343" s="2" t="str">
        <f>IF(Source!$C343&gt;=COLUMNS($A343:AM343), Source!$E343, "")</f>
        <v/>
      </c>
      <c r="AN343" s="2" t="str">
        <f>IF(Source!$C343&gt;=COLUMNS($A343:AN343), Source!$E343, "")</f>
        <v/>
      </c>
      <c r="AO343" s="2" t="str">
        <f>IF(Source!$C343&gt;=COLUMNS($A343:AO343), Source!$E343, "")</f>
        <v/>
      </c>
      <c r="AP343" s="2" t="str">
        <f>IF(Source!$C343&gt;=COLUMNS($A343:AP343), Source!$E343, "")</f>
        <v/>
      </c>
      <c r="AQ343" s="2" t="str">
        <f>IF(Source!$C343&gt;=COLUMNS($A343:AQ343), Source!$E343, "")</f>
        <v/>
      </c>
      <c r="AR343" s="2" t="str">
        <f>IF(Source!$C343&gt;=COLUMNS($A343:AR343), Source!$E343, "")</f>
        <v/>
      </c>
    </row>
    <row r="344">
      <c r="A344" s="2">
        <f>IF(Source!$C344&gt;=COLUMNS($A344:A344), Source!$E344, "")</f>
        <v>7</v>
      </c>
      <c r="B344" s="2">
        <f>IF(Source!$C344&gt;=COLUMNS($A344:B344), Source!$E344, "")</f>
        <v>7</v>
      </c>
      <c r="C344" s="2" t="str">
        <f>IF(Source!$C344&gt;=COLUMNS($A344:C344), Source!$E344, "")</f>
        <v/>
      </c>
      <c r="D344" s="2" t="str">
        <f>IF(Source!$C344&gt;=COLUMNS($A344:D344), Source!$E344, "")</f>
        <v/>
      </c>
      <c r="E344" s="2" t="str">
        <f>IF(Source!$C344&gt;=COLUMNS($A344:E344), Source!$E344, "")</f>
        <v/>
      </c>
      <c r="F344" s="2" t="str">
        <f>IF(Source!$C344&gt;=COLUMNS($A344:F344), Source!$E344, "")</f>
        <v/>
      </c>
      <c r="G344" s="2" t="str">
        <f>IF(Source!$C344&gt;=COLUMNS($A344:G344), Source!$E344, "")</f>
        <v/>
      </c>
      <c r="H344" s="2" t="str">
        <f>IF(Source!$C344&gt;=COLUMNS($A344:H344), Source!$E344, "")</f>
        <v/>
      </c>
      <c r="I344" s="2" t="str">
        <f>IF(Source!$C344&gt;=COLUMNS($A344:I344), Source!$E344, "")</f>
        <v/>
      </c>
      <c r="J344" s="2" t="str">
        <f>IF(Source!$C344&gt;=COLUMNS($A344:J344), Source!$E344, "")</f>
        <v/>
      </c>
      <c r="K344" s="2" t="str">
        <f>IF(Source!$C344&gt;=COLUMNS($A344:K344), Source!$E344, "")</f>
        <v/>
      </c>
      <c r="L344" s="2" t="str">
        <f>IF(Source!$C344&gt;=COLUMNS($A344:L344), Source!$E344, "")</f>
        <v/>
      </c>
      <c r="M344" s="2" t="str">
        <f>IF(Source!$C344&gt;=COLUMNS($A344:M344), Source!$E344, "")</f>
        <v/>
      </c>
      <c r="N344" s="2" t="str">
        <f>IF(Source!$C344&gt;=COLUMNS($A344:N344), Source!$E344, "")</f>
        <v/>
      </c>
      <c r="O344" s="2" t="str">
        <f>IF(Source!$C344&gt;=COLUMNS($A344:O344), Source!$E344, "")</f>
        <v/>
      </c>
      <c r="P344" s="2" t="str">
        <f>IF(Source!$C344&gt;=COLUMNS($A344:P344), Source!$E344, "")</f>
        <v/>
      </c>
      <c r="Q344" s="2" t="str">
        <f>IF(Source!$C344&gt;=COLUMNS($A344:Q344), Source!$E344, "")</f>
        <v/>
      </c>
      <c r="R344" s="2" t="str">
        <f>IF(Source!$C344&gt;=COLUMNS($A344:R344), Source!$E344, "")</f>
        <v/>
      </c>
      <c r="S344" s="2" t="str">
        <f>IF(Source!$C344&gt;=COLUMNS($A344:S344), Source!$E344, "")</f>
        <v/>
      </c>
      <c r="T344" s="2" t="str">
        <f>IF(Source!$C344&gt;=COLUMNS($A344:T344), Source!$E344, "")</f>
        <v/>
      </c>
      <c r="U344" s="2" t="str">
        <f>IF(Source!$C344&gt;=COLUMNS($A344:U344), Source!$E344, "")</f>
        <v/>
      </c>
      <c r="V344" s="2" t="str">
        <f>IF(Source!$C344&gt;=COLUMNS($A344:V344), Source!$E344, "")</f>
        <v/>
      </c>
      <c r="W344" s="2" t="str">
        <f>IF(Source!$C344&gt;=COLUMNS($A344:W344), Source!$E344, "")</f>
        <v/>
      </c>
      <c r="X344" s="2" t="str">
        <f>IF(Source!$C344&gt;=COLUMNS($A344:X344), Source!$E344, "")</f>
        <v/>
      </c>
      <c r="Y344" s="2" t="str">
        <f>IF(Source!$C344&gt;=COLUMNS($A344:Y344), Source!$E344, "")</f>
        <v/>
      </c>
      <c r="Z344" s="2" t="str">
        <f>IF(Source!$C344&gt;=COLUMNS($A344:Z344), Source!$E344, "")</f>
        <v/>
      </c>
      <c r="AA344" s="2" t="str">
        <f>IF(Source!$C344&gt;=COLUMNS($A344:AA344), Source!$E344, "")</f>
        <v/>
      </c>
      <c r="AB344" s="2" t="str">
        <f>IF(Source!$C344&gt;=COLUMNS($A344:AB344), Source!$E344, "")</f>
        <v/>
      </c>
      <c r="AC344" s="2" t="str">
        <f>IF(Source!$C344&gt;=COLUMNS($A344:AC344), Source!$E344, "")</f>
        <v/>
      </c>
      <c r="AD344" s="2" t="str">
        <f>IF(Source!$C344&gt;=COLUMNS($A344:AD344), Source!$E344, "")</f>
        <v/>
      </c>
      <c r="AE344" s="2" t="str">
        <f>IF(Source!$C344&gt;=COLUMNS($A344:AE344), Source!$E344, "")</f>
        <v/>
      </c>
      <c r="AF344" s="2" t="str">
        <f>IF(Source!$C344&gt;=COLUMNS($A344:AF344), Source!$E344, "")</f>
        <v/>
      </c>
      <c r="AG344" s="2" t="str">
        <f>IF(Source!$C344&gt;=COLUMNS($A344:AG344), Source!$E344, "")</f>
        <v/>
      </c>
      <c r="AH344" s="2" t="str">
        <f>IF(Source!$C344&gt;=COLUMNS($A344:AH344), Source!$E344, "")</f>
        <v/>
      </c>
      <c r="AI344" s="2" t="str">
        <f>IF(Source!$C344&gt;=COLUMNS($A344:AI344), Source!$E344, "")</f>
        <v/>
      </c>
      <c r="AJ344" s="2" t="str">
        <f>IF(Source!$C344&gt;=COLUMNS($A344:AJ344), Source!$E344, "")</f>
        <v/>
      </c>
      <c r="AK344" s="2" t="str">
        <f>IF(Source!$C344&gt;=COLUMNS($A344:AK344), Source!$E344, "")</f>
        <v/>
      </c>
      <c r="AL344" s="2" t="str">
        <f>IF(Source!$C344&gt;=COLUMNS($A344:AL344), Source!$E344, "")</f>
        <v/>
      </c>
      <c r="AM344" s="2" t="str">
        <f>IF(Source!$C344&gt;=COLUMNS($A344:AM344), Source!$E344, "")</f>
        <v/>
      </c>
      <c r="AN344" s="2" t="str">
        <f>IF(Source!$C344&gt;=COLUMNS($A344:AN344), Source!$E344, "")</f>
        <v/>
      </c>
      <c r="AO344" s="2" t="str">
        <f>IF(Source!$C344&gt;=COLUMNS($A344:AO344), Source!$E344, "")</f>
        <v/>
      </c>
      <c r="AP344" s="2" t="str">
        <f>IF(Source!$C344&gt;=COLUMNS($A344:AP344), Source!$E344, "")</f>
        <v/>
      </c>
      <c r="AQ344" s="2" t="str">
        <f>IF(Source!$C344&gt;=COLUMNS($A344:AQ344), Source!$E344, "")</f>
        <v/>
      </c>
      <c r="AR344" s="2" t="str">
        <f>IF(Source!$C344&gt;=COLUMNS($A344:AR344), Source!$E344, "")</f>
        <v/>
      </c>
    </row>
    <row r="345">
      <c r="A345" s="2">
        <f>IF(Source!$C345&gt;=COLUMNS($A345:A345), Source!$E345, "")</f>
        <v>7</v>
      </c>
      <c r="B345" s="2">
        <f>IF(Source!$C345&gt;=COLUMNS($A345:B345), Source!$E345, "")</f>
        <v>7</v>
      </c>
      <c r="C345" s="2" t="str">
        <f>IF(Source!$C345&gt;=COLUMNS($A345:C345), Source!$E345, "")</f>
        <v/>
      </c>
      <c r="D345" s="2" t="str">
        <f>IF(Source!$C345&gt;=COLUMNS($A345:D345), Source!$E345, "")</f>
        <v/>
      </c>
      <c r="E345" s="2" t="str">
        <f>IF(Source!$C345&gt;=COLUMNS($A345:E345), Source!$E345, "")</f>
        <v/>
      </c>
      <c r="F345" s="2" t="str">
        <f>IF(Source!$C345&gt;=COLUMNS($A345:F345), Source!$E345, "")</f>
        <v/>
      </c>
      <c r="G345" s="2" t="str">
        <f>IF(Source!$C345&gt;=COLUMNS($A345:G345), Source!$E345, "")</f>
        <v/>
      </c>
      <c r="H345" s="2" t="str">
        <f>IF(Source!$C345&gt;=COLUMNS($A345:H345), Source!$E345, "")</f>
        <v/>
      </c>
      <c r="I345" s="2" t="str">
        <f>IF(Source!$C345&gt;=COLUMNS($A345:I345), Source!$E345, "")</f>
        <v/>
      </c>
      <c r="J345" s="2" t="str">
        <f>IF(Source!$C345&gt;=COLUMNS($A345:J345), Source!$E345, "")</f>
        <v/>
      </c>
      <c r="K345" s="2" t="str">
        <f>IF(Source!$C345&gt;=COLUMNS($A345:K345), Source!$E345, "")</f>
        <v/>
      </c>
      <c r="L345" s="2" t="str">
        <f>IF(Source!$C345&gt;=COLUMNS($A345:L345), Source!$E345, "")</f>
        <v/>
      </c>
      <c r="M345" s="2" t="str">
        <f>IF(Source!$C345&gt;=COLUMNS($A345:M345), Source!$E345, "")</f>
        <v/>
      </c>
      <c r="N345" s="2" t="str">
        <f>IF(Source!$C345&gt;=COLUMNS($A345:N345), Source!$E345, "")</f>
        <v/>
      </c>
      <c r="O345" s="2" t="str">
        <f>IF(Source!$C345&gt;=COLUMNS($A345:O345), Source!$E345, "")</f>
        <v/>
      </c>
      <c r="P345" s="2" t="str">
        <f>IF(Source!$C345&gt;=COLUMNS($A345:P345), Source!$E345, "")</f>
        <v/>
      </c>
      <c r="Q345" s="2" t="str">
        <f>IF(Source!$C345&gt;=COLUMNS($A345:Q345), Source!$E345, "")</f>
        <v/>
      </c>
      <c r="R345" s="2" t="str">
        <f>IF(Source!$C345&gt;=COLUMNS($A345:R345), Source!$E345, "")</f>
        <v/>
      </c>
      <c r="S345" s="2" t="str">
        <f>IF(Source!$C345&gt;=COLUMNS($A345:S345), Source!$E345, "")</f>
        <v/>
      </c>
      <c r="T345" s="2" t="str">
        <f>IF(Source!$C345&gt;=COLUMNS($A345:T345), Source!$E345, "")</f>
        <v/>
      </c>
      <c r="U345" s="2" t="str">
        <f>IF(Source!$C345&gt;=COLUMNS($A345:U345), Source!$E345, "")</f>
        <v/>
      </c>
      <c r="V345" s="2" t="str">
        <f>IF(Source!$C345&gt;=COLUMNS($A345:V345), Source!$E345, "")</f>
        <v/>
      </c>
      <c r="W345" s="2" t="str">
        <f>IF(Source!$C345&gt;=COLUMNS($A345:W345), Source!$E345, "")</f>
        <v/>
      </c>
      <c r="X345" s="2" t="str">
        <f>IF(Source!$C345&gt;=COLUMNS($A345:X345), Source!$E345, "")</f>
        <v/>
      </c>
      <c r="Y345" s="2" t="str">
        <f>IF(Source!$C345&gt;=COLUMNS($A345:Y345), Source!$E345, "")</f>
        <v/>
      </c>
      <c r="Z345" s="2" t="str">
        <f>IF(Source!$C345&gt;=COLUMNS($A345:Z345), Source!$E345, "")</f>
        <v/>
      </c>
      <c r="AA345" s="2" t="str">
        <f>IF(Source!$C345&gt;=COLUMNS($A345:AA345), Source!$E345, "")</f>
        <v/>
      </c>
      <c r="AB345" s="2" t="str">
        <f>IF(Source!$C345&gt;=COLUMNS($A345:AB345), Source!$E345, "")</f>
        <v/>
      </c>
      <c r="AC345" s="2" t="str">
        <f>IF(Source!$C345&gt;=COLUMNS($A345:AC345), Source!$E345, "")</f>
        <v/>
      </c>
      <c r="AD345" s="2" t="str">
        <f>IF(Source!$C345&gt;=COLUMNS($A345:AD345), Source!$E345, "")</f>
        <v/>
      </c>
      <c r="AE345" s="2" t="str">
        <f>IF(Source!$C345&gt;=COLUMNS($A345:AE345), Source!$E345, "")</f>
        <v/>
      </c>
      <c r="AF345" s="2" t="str">
        <f>IF(Source!$C345&gt;=COLUMNS($A345:AF345), Source!$E345, "")</f>
        <v/>
      </c>
      <c r="AG345" s="2" t="str">
        <f>IF(Source!$C345&gt;=COLUMNS($A345:AG345), Source!$E345, "")</f>
        <v/>
      </c>
      <c r="AH345" s="2" t="str">
        <f>IF(Source!$C345&gt;=COLUMNS($A345:AH345), Source!$E345, "")</f>
        <v/>
      </c>
      <c r="AI345" s="2" t="str">
        <f>IF(Source!$C345&gt;=COLUMNS($A345:AI345), Source!$E345, "")</f>
        <v/>
      </c>
      <c r="AJ345" s="2" t="str">
        <f>IF(Source!$C345&gt;=COLUMNS($A345:AJ345), Source!$E345, "")</f>
        <v/>
      </c>
      <c r="AK345" s="2" t="str">
        <f>IF(Source!$C345&gt;=COLUMNS($A345:AK345), Source!$E345, "")</f>
        <v/>
      </c>
      <c r="AL345" s="2" t="str">
        <f>IF(Source!$C345&gt;=COLUMNS($A345:AL345), Source!$E345, "")</f>
        <v/>
      </c>
      <c r="AM345" s="2" t="str">
        <f>IF(Source!$C345&gt;=COLUMNS($A345:AM345), Source!$E345, "")</f>
        <v/>
      </c>
      <c r="AN345" s="2" t="str">
        <f>IF(Source!$C345&gt;=COLUMNS($A345:AN345), Source!$E345, "")</f>
        <v/>
      </c>
      <c r="AO345" s="2" t="str">
        <f>IF(Source!$C345&gt;=COLUMNS($A345:AO345), Source!$E345, "")</f>
        <v/>
      </c>
      <c r="AP345" s="2" t="str">
        <f>IF(Source!$C345&gt;=COLUMNS($A345:AP345), Source!$E345, "")</f>
        <v/>
      </c>
      <c r="AQ345" s="2" t="str">
        <f>IF(Source!$C345&gt;=COLUMNS($A345:AQ345), Source!$E345, "")</f>
        <v/>
      </c>
      <c r="AR345" s="2" t="str">
        <f>IF(Source!$C345&gt;=COLUMNS($A345:AR345), Source!$E345, "")</f>
        <v/>
      </c>
    </row>
    <row r="346">
      <c r="A346" s="2">
        <f>IF(Source!$C346&gt;=COLUMNS($A346:A346), Source!$E346, "")</f>
        <v>8</v>
      </c>
      <c r="B346" s="2">
        <f>IF(Source!$C346&gt;=COLUMNS($A346:B346), Source!$E346, "")</f>
        <v>8</v>
      </c>
      <c r="C346" s="2" t="str">
        <f>IF(Source!$C346&gt;=COLUMNS($A346:C346), Source!$E346, "")</f>
        <v/>
      </c>
      <c r="D346" s="2" t="str">
        <f>IF(Source!$C346&gt;=COLUMNS($A346:D346), Source!$E346, "")</f>
        <v/>
      </c>
      <c r="E346" s="2" t="str">
        <f>IF(Source!$C346&gt;=COLUMNS($A346:E346), Source!$E346, "")</f>
        <v/>
      </c>
      <c r="F346" s="2" t="str">
        <f>IF(Source!$C346&gt;=COLUMNS($A346:F346), Source!$E346, "")</f>
        <v/>
      </c>
      <c r="G346" s="2" t="str">
        <f>IF(Source!$C346&gt;=COLUMNS($A346:G346), Source!$E346, "")</f>
        <v/>
      </c>
      <c r="H346" s="2" t="str">
        <f>IF(Source!$C346&gt;=COLUMNS($A346:H346), Source!$E346, "")</f>
        <v/>
      </c>
      <c r="I346" s="2" t="str">
        <f>IF(Source!$C346&gt;=COLUMNS($A346:I346), Source!$E346, "")</f>
        <v/>
      </c>
      <c r="J346" s="2" t="str">
        <f>IF(Source!$C346&gt;=COLUMNS($A346:J346), Source!$E346, "")</f>
        <v/>
      </c>
      <c r="K346" s="2" t="str">
        <f>IF(Source!$C346&gt;=COLUMNS($A346:K346), Source!$E346, "")</f>
        <v/>
      </c>
      <c r="L346" s="2" t="str">
        <f>IF(Source!$C346&gt;=COLUMNS($A346:L346), Source!$E346, "")</f>
        <v/>
      </c>
      <c r="M346" s="2" t="str">
        <f>IF(Source!$C346&gt;=COLUMNS($A346:M346), Source!$E346, "")</f>
        <v/>
      </c>
      <c r="N346" s="2" t="str">
        <f>IF(Source!$C346&gt;=COLUMNS($A346:N346), Source!$E346, "")</f>
        <v/>
      </c>
      <c r="O346" s="2" t="str">
        <f>IF(Source!$C346&gt;=COLUMNS($A346:O346), Source!$E346, "")</f>
        <v/>
      </c>
      <c r="P346" s="2" t="str">
        <f>IF(Source!$C346&gt;=COLUMNS($A346:P346), Source!$E346, "")</f>
        <v/>
      </c>
      <c r="Q346" s="2" t="str">
        <f>IF(Source!$C346&gt;=COLUMNS($A346:Q346), Source!$E346, "")</f>
        <v/>
      </c>
      <c r="R346" s="2" t="str">
        <f>IF(Source!$C346&gt;=COLUMNS($A346:R346), Source!$E346, "")</f>
        <v/>
      </c>
      <c r="S346" s="2" t="str">
        <f>IF(Source!$C346&gt;=COLUMNS($A346:S346), Source!$E346, "")</f>
        <v/>
      </c>
      <c r="T346" s="2" t="str">
        <f>IF(Source!$C346&gt;=COLUMNS($A346:T346), Source!$E346, "")</f>
        <v/>
      </c>
      <c r="U346" s="2" t="str">
        <f>IF(Source!$C346&gt;=COLUMNS($A346:U346), Source!$E346, "")</f>
        <v/>
      </c>
      <c r="V346" s="2" t="str">
        <f>IF(Source!$C346&gt;=COLUMNS($A346:V346), Source!$E346, "")</f>
        <v/>
      </c>
      <c r="W346" s="2" t="str">
        <f>IF(Source!$C346&gt;=COLUMNS($A346:W346), Source!$E346, "")</f>
        <v/>
      </c>
      <c r="X346" s="2" t="str">
        <f>IF(Source!$C346&gt;=COLUMNS($A346:X346), Source!$E346, "")</f>
        <v/>
      </c>
      <c r="Y346" s="2" t="str">
        <f>IF(Source!$C346&gt;=COLUMNS($A346:Y346), Source!$E346, "")</f>
        <v/>
      </c>
      <c r="Z346" s="2" t="str">
        <f>IF(Source!$C346&gt;=COLUMNS($A346:Z346), Source!$E346, "")</f>
        <v/>
      </c>
      <c r="AA346" s="2" t="str">
        <f>IF(Source!$C346&gt;=COLUMNS($A346:AA346), Source!$E346, "")</f>
        <v/>
      </c>
      <c r="AB346" s="2" t="str">
        <f>IF(Source!$C346&gt;=COLUMNS($A346:AB346), Source!$E346, "")</f>
        <v/>
      </c>
      <c r="AC346" s="2" t="str">
        <f>IF(Source!$C346&gt;=COLUMNS($A346:AC346), Source!$E346, "")</f>
        <v/>
      </c>
      <c r="AD346" s="2" t="str">
        <f>IF(Source!$C346&gt;=COLUMNS($A346:AD346), Source!$E346, "")</f>
        <v/>
      </c>
      <c r="AE346" s="2" t="str">
        <f>IF(Source!$C346&gt;=COLUMNS($A346:AE346), Source!$E346, "")</f>
        <v/>
      </c>
      <c r="AF346" s="2" t="str">
        <f>IF(Source!$C346&gt;=COLUMNS($A346:AF346), Source!$E346, "")</f>
        <v/>
      </c>
      <c r="AG346" s="2" t="str">
        <f>IF(Source!$C346&gt;=COLUMNS($A346:AG346), Source!$E346, "")</f>
        <v/>
      </c>
      <c r="AH346" s="2" t="str">
        <f>IF(Source!$C346&gt;=COLUMNS($A346:AH346), Source!$E346, "")</f>
        <v/>
      </c>
      <c r="AI346" s="2" t="str">
        <f>IF(Source!$C346&gt;=COLUMNS($A346:AI346), Source!$E346, "")</f>
        <v/>
      </c>
      <c r="AJ346" s="2" t="str">
        <f>IF(Source!$C346&gt;=COLUMNS($A346:AJ346), Source!$E346, "")</f>
        <v/>
      </c>
      <c r="AK346" s="2" t="str">
        <f>IF(Source!$C346&gt;=COLUMNS($A346:AK346), Source!$E346, "")</f>
        <v/>
      </c>
      <c r="AL346" s="2" t="str">
        <f>IF(Source!$C346&gt;=COLUMNS($A346:AL346), Source!$E346, "")</f>
        <v/>
      </c>
      <c r="AM346" s="2" t="str">
        <f>IF(Source!$C346&gt;=COLUMNS($A346:AM346), Source!$E346, "")</f>
        <v/>
      </c>
      <c r="AN346" s="2" t="str">
        <f>IF(Source!$C346&gt;=COLUMNS($A346:AN346), Source!$E346, "")</f>
        <v/>
      </c>
      <c r="AO346" s="2" t="str">
        <f>IF(Source!$C346&gt;=COLUMNS($A346:AO346), Source!$E346, "")</f>
        <v/>
      </c>
      <c r="AP346" s="2" t="str">
        <f>IF(Source!$C346&gt;=COLUMNS($A346:AP346), Source!$E346, "")</f>
        <v/>
      </c>
      <c r="AQ346" s="2" t="str">
        <f>IF(Source!$C346&gt;=COLUMNS($A346:AQ346), Source!$E346, "")</f>
        <v/>
      </c>
      <c r="AR346" s="2" t="str">
        <f>IF(Source!$C346&gt;=COLUMNS($A346:AR346), Source!$E346, "")</f>
        <v/>
      </c>
    </row>
    <row r="347">
      <c r="A347" s="2">
        <f>IF(Source!$C347&gt;=COLUMNS($A347:A347), Source!$E347, "")</f>
        <v>1</v>
      </c>
      <c r="B347" s="2">
        <f>IF(Source!$C347&gt;=COLUMNS($A347:B347), Source!$E347, "")</f>
        <v>1</v>
      </c>
      <c r="C347" s="2">
        <f>IF(Source!$C347&gt;=COLUMNS($A347:C347), Source!$E347, "")</f>
        <v>1</v>
      </c>
      <c r="D347" s="2">
        <f>IF(Source!$C347&gt;=COLUMNS($A347:D347), Source!$E347, "")</f>
        <v>1</v>
      </c>
      <c r="E347" s="2">
        <f>IF(Source!$C347&gt;=COLUMNS($A347:E347), Source!$E347, "")</f>
        <v>1</v>
      </c>
      <c r="F347" s="2">
        <f>IF(Source!$C347&gt;=COLUMNS($A347:F347), Source!$E347, "")</f>
        <v>1</v>
      </c>
      <c r="G347" s="2" t="str">
        <f>IF(Source!$C347&gt;=COLUMNS($A347:G347), Source!$E347, "")</f>
        <v/>
      </c>
      <c r="H347" s="2" t="str">
        <f>IF(Source!$C347&gt;=COLUMNS($A347:H347), Source!$E347, "")</f>
        <v/>
      </c>
      <c r="I347" s="2" t="str">
        <f>IF(Source!$C347&gt;=COLUMNS($A347:I347), Source!$E347, "")</f>
        <v/>
      </c>
      <c r="J347" s="2" t="str">
        <f>IF(Source!$C347&gt;=COLUMNS($A347:J347), Source!$E347, "")</f>
        <v/>
      </c>
      <c r="K347" s="2" t="str">
        <f>IF(Source!$C347&gt;=COLUMNS($A347:K347), Source!$E347, "")</f>
        <v/>
      </c>
      <c r="L347" s="2" t="str">
        <f>IF(Source!$C347&gt;=COLUMNS($A347:L347), Source!$E347, "")</f>
        <v/>
      </c>
      <c r="M347" s="2" t="str">
        <f>IF(Source!$C347&gt;=COLUMNS($A347:M347), Source!$E347, "")</f>
        <v/>
      </c>
      <c r="N347" s="2" t="str">
        <f>IF(Source!$C347&gt;=COLUMNS($A347:N347), Source!$E347, "")</f>
        <v/>
      </c>
      <c r="O347" s="2" t="str">
        <f>IF(Source!$C347&gt;=COLUMNS($A347:O347), Source!$E347, "")</f>
        <v/>
      </c>
      <c r="P347" s="2" t="str">
        <f>IF(Source!$C347&gt;=COLUMNS($A347:P347), Source!$E347, "")</f>
        <v/>
      </c>
      <c r="Q347" s="2" t="str">
        <f>IF(Source!$C347&gt;=COLUMNS($A347:Q347), Source!$E347, "")</f>
        <v/>
      </c>
      <c r="R347" s="2" t="str">
        <f>IF(Source!$C347&gt;=COLUMNS($A347:R347), Source!$E347, "")</f>
        <v/>
      </c>
      <c r="S347" s="2" t="str">
        <f>IF(Source!$C347&gt;=COLUMNS($A347:S347), Source!$E347, "")</f>
        <v/>
      </c>
      <c r="T347" s="2" t="str">
        <f>IF(Source!$C347&gt;=COLUMNS($A347:T347), Source!$E347, "")</f>
        <v/>
      </c>
      <c r="U347" s="2" t="str">
        <f>IF(Source!$C347&gt;=COLUMNS($A347:U347), Source!$E347, "")</f>
        <v/>
      </c>
      <c r="V347" s="2" t="str">
        <f>IF(Source!$C347&gt;=COLUMNS($A347:V347), Source!$E347, "")</f>
        <v/>
      </c>
      <c r="W347" s="2" t="str">
        <f>IF(Source!$C347&gt;=COLUMNS($A347:W347), Source!$E347, "")</f>
        <v/>
      </c>
      <c r="X347" s="2" t="str">
        <f>IF(Source!$C347&gt;=COLUMNS($A347:X347), Source!$E347, "")</f>
        <v/>
      </c>
      <c r="Y347" s="2" t="str">
        <f>IF(Source!$C347&gt;=COLUMNS($A347:Y347), Source!$E347, "")</f>
        <v/>
      </c>
      <c r="Z347" s="2" t="str">
        <f>IF(Source!$C347&gt;=COLUMNS($A347:Z347), Source!$E347, "")</f>
        <v/>
      </c>
      <c r="AA347" s="2" t="str">
        <f>IF(Source!$C347&gt;=COLUMNS($A347:AA347), Source!$E347, "")</f>
        <v/>
      </c>
      <c r="AB347" s="2" t="str">
        <f>IF(Source!$C347&gt;=COLUMNS($A347:AB347), Source!$E347, "")</f>
        <v/>
      </c>
      <c r="AC347" s="2" t="str">
        <f>IF(Source!$C347&gt;=COLUMNS($A347:AC347), Source!$E347, "")</f>
        <v/>
      </c>
      <c r="AD347" s="2" t="str">
        <f>IF(Source!$C347&gt;=COLUMNS($A347:AD347), Source!$E347, "")</f>
        <v/>
      </c>
      <c r="AE347" s="2" t="str">
        <f>IF(Source!$C347&gt;=COLUMNS($A347:AE347), Source!$E347, "")</f>
        <v/>
      </c>
      <c r="AF347" s="2" t="str">
        <f>IF(Source!$C347&gt;=COLUMNS($A347:AF347), Source!$E347, "")</f>
        <v/>
      </c>
      <c r="AG347" s="2" t="str">
        <f>IF(Source!$C347&gt;=COLUMNS($A347:AG347), Source!$E347, "")</f>
        <v/>
      </c>
      <c r="AH347" s="2" t="str">
        <f>IF(Source!$C347&gt;=COLUMNS($A347:AH347), Source!$E347, "")</f>
        <v/>
      </c>
      <c r="AI347" s="2" t="str">
        <f>IF(Source!$C347&gt;=COLUMNS($A347:AI347), Source!$E347, "")</f>
        <v/>
      </c>
      <c r="AJ347" s="2" t="str">
        <f>IF(Source!$C347&gt;=COLUMNS($A347:AJ347), Source!$E347, "")</f>
        <v/>
      </c>
      <c r="AK347" s="2" t="str">
        <f>IF(Source!$C347&gt;=COLUMNS($A347:AK347), Source!$E347, "")</f>
        <v/>
      </c>
      <c r="AL347" s="2" t="str">
        <f>IF(Source!$C347&gt;=COLUMNS($A347:AL347), Source!$E347, "")</f>
        <v/>
      </c>
      <c r="AM347" s="2" t="str">
        <f>IF(Source!$C347&gt;=COLUMNS($A347:AM347), Source!$E347, "")</f>
        <v/>
      </c>
      <c r="AN347" s="2" t="str">
        <f>IF(Source!$C347&gt;=COLUMNS($A347:AN347), Source!$E347, "")</f>
        <v/>
      </c>
      <c r="AO347" s="2" t="str">
        <f>IF(Source!$C347&gt;=COLUMNS($A347:AO347), Source!$E347, "")</f>
        <v/>
      </c>
      <c r="AP347" s="2" t="str">
        <f>IF(Source!$C347&gt;=COLUMNS($A347:AP347), Source!$E347, "")</f>
        <v/>
      </c>
      <c r="AQ347" s="2" t="str">
        <f>IF(Source!$C347&gt;=COLUMNS($A347:AQ347), Source!$E347, "")</f>
        <v/>
      </c>
      <c r="AR347" s="2" t="str">
        <f>IF(Source!$C347&gt;=COLUMNS($A347:AR347), Source!$E347, "")</f>
        <v/>
      </c>
    </row>
    <row r="348">
      <c r="A348" s="2">
        <f>IF(Source!$C348&gt;=COLUMNS($A348:A348), Source!$E348, "")</f>
        <v>5</v>
      </c>
      <c r="B348" s="2">
        <f>IF(Source!$C348&gt;=COLUMNS($A348:B348), Source!$E348, "")</f>
        <v>5</v>
      </c>
      <c r="C348" s="2">
        <f>IF(Source!$C348&gt;=COLUMNS($A348:C348), Source!$E348, "")</f>
        <v>5</v>
      </c>
      <c r="D348" s="2">
        <f>IF(Source!$C348&gt;=COLUMNS($A348:D348), Source!$E348, "")</f>
        <v>5</v>
      </c>
      <c r="E348" s="2">
        <f>IF(Source!$C348&gt;=COLUMNS($A348:E348), Source!$E348, "")</f>
        <v>5</v>
      </c>
      <c r="F348" s="2" t="str">
        <f>IF(Source!$C348&gt;=COLUMNS($A348:F348), Source!$E348, "")</f>
        <v/>
      </c>
      <c r="G348" s="2" t="str">
        <f>IF(Source!$C348&gt;=COLUMNS($A348:G348), Source!$E348, "")</f>
        <v/>
      </c>
      <c r="H348" s="2" t="str">
        <f>IF(Source!$C348&gt;=COLUMNS($A348:H348), Source!$E348, "")</f>
        <v/>
      </c>
      <c r="I348" s="2" t="str">
        <f>IF(Source!$C348&gt;=COLUMNS($A348:I348), Source!$E348, "")</f>
        <v/>
      </c>
      <c r="J348" s="2" t="str">
        <f>IF(Source!$C348&gt;=COLUMNS($A348:J348), Source!$E348, "")</f>
        <v/>
      </c>
      <c r="K348" s="2" t="str">
        <f>IF(Source!$C348&gt;=COLUMNS($A348:K348), Source!$E348, "")</f>
        <v/>
      </c>
      <c r="L348" s="2" t="str">
        <f>IF(Source!$C348&gt;=COLUMNS($A348:L348), Source!$E348, "")</f>
        <v/>
      </c>
      <c r="M348" s="2" t="str">
        <f>IF(Source!$C348&gt;=COLUMNS($A348:M348), Source!$E348, "")</f>
        <v/>
      </c>
      <c r="N348" s="2" t="str">
        <f>IF(Source!$C348&gt;=COLUMNS($A348:N348), Source!$E348, "")</f>
        <v/>
      </c>
      <c r="O348" s="2" t="str">
        <f>IF(Source!$C348&gt;=COLUMNS($A348:O348), Source!$E348, "")</f>
        <v/>
      </c>
      <c r="P348" s="2" t="str">
        <f>IF(Source!$C348&gt;=COLUMNS($A348:P348), Source!$E348, "")</f>
        <v/>
      </c>
      <c r="Q348" s="2" t="str">
        <f>IF(Source!$C348&gt;=COLUMNS($A348:Q348), Source!$E348, "")</f>
        <v/>
      </c>
      <c r="R348" s="2" t="str">
        <f>IF(Source!$C348&gt;=COLUMNS($A348:R348), Source!$E348, "")</f>
        <v/>
      </c>
      <c r="S348" s="2" t="str">
        <f>IF(Source!$C348&gt;=COLUMNS($A348:S348), Source!$E348, "")</f>
        <v/>
      </c>
      <c r="T348" s="2" t="str">
        <f>IF(Source!$C348&gt;=COLUMNS($A348:T348), Source!$E348, "")</f>
        <v/>
      </c>
      <c r="U348" s="2" t="str">
        <f>IF(Source!$C348&gt;=COLUMNS($A348:U348), Source!$E348, "")</f>
        <v/>
      </c>
      <c r="V348" s="2" t="str">
        <f>IF(Source!$C348&gt;=COLUMNS($A348:V348), Source!$E348, "")</f>
        <v/>
      </c>
      <c r="W348" s="2" t="str">
        <f>IF(Source!$C348&gt;=COLUMNS($A348:W348), Source!$E348, "")</f>
        <v/>
      </c>
      <c r="X348" s="2" t="str">
        <f>IF(Source!$C348&gt;=COLUMNS($A348:X348), Source!$E348, "")</f>
        <v/>
      </c>
      <c r="Y348" s="2" t="str">
        <f>IF(Source!$C348&gt;=COLUMNS($A348:Y348), Source!$E348, "")</f>
        <v/>
      </c>
      <c r="Z348" s="2" t="str">
        <f>IF(Source!$C348&gt;=COLUMNS($A348:Z348), Source!$E348, "")</f>
        <v/>
      </c>
      <c r="AA348" s="2" t="str">
        <f>IF(Source!$C348&gt;=COLUMNS($A348:AA348), Source!$E348, "")</f>
        <v/>
      </c>
      <c r="AB348" s="2" t="str">
        <f>IF(Source!$C348&gt;=COLUMNS($A348:AB348), Source!$E348, "")</f>
        <v/>
      </c>
      <c r="AC348" s="2" t="str">
        <f>IF(Source!$C348&gt;=COLUMNS($A348:AC348), Source!$E348, "")</f>
        <v/>
      </c>
      <c r="AD348" s="2" t="str">
        <f>IF(Source!$C348&gt;=COLUMNS($A348:AD348), Source!$E348, "")</f>
        <v/>
      </c>
      <c r="AE348" s="2" t="str">
        <f>IF(Source!$C348&gt;=COLUMNS($A348:AE348), Source!$E348, "")</f>
        <v/>
      </c>
      <c r="AF348" s="2" t="str">
        <f>IF(Source!$C348&gt;=COLUMNS($A348:AF348), Source!$E348, "")</f>
        <v/>
      </c>
      <c r="AG348" s="2" t="str">
        <f>IF(Source!$C348&gt;=COLUMNS($A348:AG348), Source!$E348, "")</f>
        <v/>
      </c>
      <c r="AH348" s="2" t="str">
        <f>IF(Source!$C348&gt;=COLUMNS($A348:AH348), Source!$E348, "")</f>
        <v/>
      </c>
      <c r="AI348" s="2" t="str">
        <f>IF(Source!$C348&gt;=COLUMNS($A348:AI348), Source!$E348, "")</f>
        <v/>
      </c>
      <c r="AJ348" s="2" t="str">
        <f>IF(Source!$C348&gt;=COLUMNS($A348:AJ348), Source!$E348, "")</f>
        <v/>
      </c>
      <c r="AK348" s="2" t="str">
        <f>IF(Source!$C348&gt;=COLUMNS($A348:AK348), Source!$E348, "")</f>
        <v/>
      </c>
      <c r="AL348" s="2" t="str">
        <f>IF(Source!$C348&gt;=COLUMNS($A348:AL348), Source!$E348, "")</f>
        <v/>
      </c>
      <c r="AM348" s="2" t="str">
        <f>IF(Source!$C348&gt;=COLUMNS($A348:AM348), Source!$E348, "")</f>
        <v/>
      </c>
      <c r="AN348" s="2" t="str">
        <f>IF(Source!$C348&gt;=COLUMNS($A348:AN348), Source!$E348, "")</f>
        <v/>
      </c>
      <c r="AO348" s="2" t="str">
        <f>IF(Source!$C348&gt;=COLUMNS($A348:AO348), Source!$E348, "")</f>
        <v/>
      </c>
      <c r="AP348" s="2" t="str">
        <f>IF(Source!$C348&gt;=COLUMNS($A348:AP348), Source!$E348, "")</f>
        <v/>
      </c>
      <c r="AQ348" s="2" t="str">
        <f>IF(Source!$C348&gt;=COLUMNS($A348:AQ348), Source!$E348, "")</f>
        <v/>
      </c>
      <c r="AR348" s="2" t="str">
        <f>IF(Source!$C348&gt;=COLUMNS($A348:AR348), Source!$E348, "")</f>
        <v/>
      </c>
    </row>
    <row r="349">
      <c r="A349" s="2">
        <f>IF(Source!$C349&gt;=COLUMNS($A349:A349), Source!$E349, "")</f>
        <v>5</v>
      </c>
      <c r="B349" s="2" t="str">
        <f>IF(Source!$C349&gt;=COLUMNS($A349:B349), Source!$E349, "")</f>
        <v/>
      </c>
      <c r="C349" s="2" t="str">
        <f>IF(Source!$C349&gt;=COLUMNS($A349:C349), Source!$E349, "")</f>
        <v/>
      </c>
      <c r="D349" s="2" t="str">
        <f>IF(Source!$C349&gt;=COLUMNS($A349:D349), Source!$E349, "")</f>
        <v/>
      </c>
      <c r="E349" s="2" t="str">
        <f>IF(Source!$C349&gt;=COLUMNS($A349:E349), Source!$E349, "")</f>
        <v/>
      </c>
      <c r="F349" s="2" t="str">
        <f>IF(Source!$C349&gt;=COLUMNS($A349:F349), Source!$E349, "")</f>
        <v/>
      </c>
      <c r="G349" s="2" t="str">
        <f>IF(Source!$C349&gt;=COLUMNS($A349:G349), Source!$E349, "")</f>
        <v/>
      </c>
      <c r="H349" s="2" t="str">
        <f>IF(Source!$C349&gt;=COLUMNS($A349:H349), Source!$E349, "")</f>
        <v/>
      </c>
      <c r="I349" s="2" t="str">
        <f>IF(Source!$C349&gt;=COLUMNS($A349:I349), Source!$E349, "")</f>
        <v/>
      </c>
      <c r="J349" s="2" t="str">
        <f>IF(Source!$C349&gt;=COLUMNS($A349:J349), Source!$E349, "")</f>
        <v/>
      </c>
      <c r="K349" s="2" t="str">
        <f>IF(Source!$C349&gt;=COLUMNS($A349:K349), Source!$E349, "")</f>
        <v/>
      </c>
      <c r="L349" s="2" t="str">
        <f>IF(Source!$C349&gt;=COLUMNS($A349:L349), Source!$E349, "")</f>
        <v/>
      </c>
      <c r="M349" s="2" t="str">
        <f>IF(Source!$C349&gt;=COLUMNS($A349:M349), Source!$E349, "")</f>
        <v/>
      </c>
      <c r="N349" s="2" t="str">
        <f>IF(Source!$C349&gt;=COLUMNS($A349:N349), Source!$E349, "")</f>
        <v/>
      </c>
      <c r="O349" s="2" t="str">
        <f>IF(Source!$C349&gt;=COLUMNS($A349:O349), Source!$E349, "")</f>
        <v/>
      </c>
      <c r="P349" s="2" t="str">
        <f>IF(Source!$C349&gt;=COLUMNS($A349:P349), Source!$E349, "")</f>
        <v/>
      </c>
      <c r="Q349" s="2" t="str">
        <f>IF(Source!$C349&gt;=COLUMNS($A349:Q349), Source!$E349, "")</f>
        <v/>
      </c>
      <c r="R349" s="2" t="str">
        <f>IF(Source!$C349&gt;=COLUMNS($A349:R349), Source!$E349, "")</f>
        <v/>
      </c>
      <c r="S349" s="2" t="str">
        <f>IF(Source!$C349&gt;=COLUMNS($A349:S349), Source!$E349, "")</f>
        <v/>
      </c>
      <c r="T349" s="2" t="str">
        <f>IF(Source!$C349&gt;=COLUMNS($A349:T349), Source!$E349, "")</f>
        <v/>
      </c>
      <c r="U349" s="2" t="str">
        <f>IF(Source!$C349&gt;=COLUMNS($A349:U349), Source!$E349, "")</f>
        <v/>
      </c>
      <c r="V349" s="2" t="str">
        <f>IF(Source!$C349&gt;=COLUMNS($A349:V349), Source!$E349, "")</f>
        <v/>
      </c>
      <c r="W349" s="2" t="str">
        <f>IF(Source!$C349&gt;=COLUMNS($A349:W349), Source!$E349, "")</f>
        <v/>
      </c>
      <c r="X349" s="2" t="str">
        <f>IF(Source!$C349&gt;=COLUMNS($A349:X349), Source!$E349, "")</f>
        <v/>
      </c>
      <c r="Y349" s="2" t="str">
        <f>IF(Source!$C349&gt;=COLUMNS($A349:Y349), Source!$E349, "")</f>
        <v/>
      </c>
      <c r="Z349" s="2" t="str">
        <f>IF(Source!$C349&gt;=COLUMNS($A349:Z349), Source!$E349, "")</f>
        <v/>
      </c>
      <c r="AA349" s="2" t="str">
        <f>IF(Source!$C349&gt;=COLUMNS($A349:AA349), Source!$E349, "")</f>
        <v/>
      </c>
      <c r="AB349" s="2" t="str">
        <f>IF(Source!$C349&gt;=COLUMNS($A349:AB349), Source!$E349, "")</f>
        <v/>
      </c>
      <c r="AC349" s="2" t="str">
        <f>IF(Source!$C349&gt;=COLUMNS($A349:AC349), Source!$E349, "")</f>
        <v/>
      </c>
      <c r="AD349" s="2" t="str">
        <f>IF(Source!$C349&gt;=COLUMNS($A349:AD349), Source!$E349, "")</f>
        <v/>
      </c>
      <c r="AE349" s="2" t="str">
        <f>IF(Source!$C349&gt;=COLUMNS($A349:AE349), Source!$E349, "")</f>
        <v/>
      </c>
      <c r="AF349" s="2" t="str">
        <f>IF(Source!$C349&gt;=COLUMNS($A349:AF349), Source!$E349, "")</f>
        <v/>
      </c>
      <c r="AG349" s="2" t="str">
        <f>IF(Source!$C349&gt;=COLUMNS($A349:AG349), Source!$E349, "")</f>
        <v/>
      </c>
      <c r="AH349" s="2" t="str">
        <f>IF(Source!$C349&gt;=COLUMNS($A349:AH349), Source!$E349, "")</f>
        <v/>
      </c>
      <c r="AI349" s="2" t="str">
        <f>IF(Source!$C349&gt;=COLUMNS($A349:AI349), Source!$E349, "")</f>
        <v/>
      </c>
      <c r="AJ349" s="2" t="str">
        <f>IF(Source!$C349&gt;=COLUMNS($A349:AJ349), Source!$E349, "")</f>
        <v/>
      </c>
      <c r="AK349" s="2" t="str">
        <f>IF(Source!$C349&gt;=COLUMNS($A349:AK349), Source!$E349, "")</f>
        <v/>
      </c>
      <c r="AL349" s="2" t="str">
        <f>IF(Source!$C349&gt;=COLUMNS($A349:AL349), Source!$E349, "")</f>
        <v/>
      </c>
      <c r="AM349" s="2" t="str">
        <f>IF(Source!$C349&gt;=COLUMNS($A349:AM349), Source!$E349, "")</f>
        <v/>
      </c>
      <c r="AN349" s="2" t="str">
        <f>IF(Source!$C349&gt;=COLUMNS($A349:AN349), Source!$E349, "")</f>
        <v/>
      </c>
      <c r="AO349" s="2" t="str">
        <f>IF(Source!$C349&gt;=COLUMNS($A349:AO349), Source!$E349, "")</f>
        <v/>
      </c>
      <c r="AP349" s="2" t="str">
        <f>IF(Source!$C349&gt;=COLUMNS($A349:AP349), Source!$E349, "")</f>
        <v/>
      </c>
      <c r="AQ349" s="2" t="str">
        <f>IF(Source!$C349&gt;=COLUMNS($A349:AQ349), Source!$E349, "")</f>
        <v/>
      </c>
      <c r="AR349" s="2" t="str">
        <f>IF(Source!$C349&gt;=COLUMNS($A349:AR349), Source!$E349, "")</f>
        <v/>
      </c>
    </row>
    <row r="350">
      <c r="A350" s="2">
        <f>IF(Source!$C350&gt;=COLUMNS($A350:A350), Source!$E350, "")</f>
        <v>7</v>
      </c>
      <c r="B350" s="2">
        <f>IF(Source!$C350&gt;=COLUMNS($A350:B350), Source!$E350, "")</f>
        <v>7</v>
      </c>
      <c r="C350" s="2">
        <f>IF(Source!$C350&gt;=COLUMNS($A350:C350), Source!$E350, "")</f>
        <v>7</v>
      </c>
      <c r="D350" s="2">
        <f>IF(Source!$C350&gt;=COLUMNS($A350:D350), Source!$E350, "")</f>
        <v>7</v>
      </c>
      <c r="E350" s="2">
        <f>IF(Source!$C350&gt;=COLUMNS($A350:E350), Source!$E350, "")</f>
        <v>7</v>
      </c>
      <c r="F350" s="2">
        <f>IF(Source!$C350&gt;=COLUMNS($A350:F350), Source!$E350, "")</f>
        <v>7</v>
      </c>
      <c r="G350" s="2">
        <f>IF(Source!$C350&gt;=COLUMNS($A350:G350), Source!$E350, "")</f>
        <v>7</v>
      </c>
      <c r="H350" s="2" t="str">
        <f>IF(Source!$C350&gt;=COLUMNS($A350:H350), Source!$E350, "")</f>
        <v/>
      </c>
      <c r="I350" s="2" t="str">
        <f>IF(Source!$C350&gt;=COLUMNS($A350:I350), Source!$E350, "")</f>
        <v/>
      </c>
      <c r="J350" s="2" t="str">
        <f>IF(Source!$C350&gt;=COLUMNS($A350:J350), Source!$E350, "")</f>
        <v/>
      </c>
      <c r="K350" s="2" t="str">
        <f>IF(Source!$C350&gt;=COLUMNS($A350:K350), Source!$E350, "")</f>
        <v/>
      </c>
      <c r="L350" s="2" t="str">
        <f>IF(Source!$C350&gt;=COLUMNS($A350:L350), Source!$E350, "")</f>
        <v/>
      </c>
      <c r="M350" s="2" t="str">
        <f>IF(Source!$C350&gt;=COLUMNS($A350:M350), Source!$E350, "")</f>
        <v/>
      </c>
      <c r="N350" s="2" t="str">
        <f>IF(Source!$C350&gt;=COLUMNS($A350:N350), Source!$E350, "")</f>
        <v/>
      </c>
      <c r="O350" s="2" t="str">
        <f>IF(Source!$C350&gt;=COLUMNS($A350:O350), Source!$E350, "")</f>
        <v/>
      </c>
      <c r="P350" s="2" t="str">
        <f>IF(Source!$C350&gt;=COLUMNS($A350:P350), Source!$E350, "")</f>
        <v/>
      </c>
      <c r="Q350" s="2" t="str">
        <f>IF(Source!$C350&gt;=COLUMNS($A350:Q350), Source!$E350, "")</f>
        <v/>
      </c>
      <c r="R350" s="2" t="str">
        <f>IF(Source!$C350&gt;=COLUMNS($A350:R350), Source!$E350, "")</f>
        <v/>
      </c>
      <c r="S350" s="2" t="str">
        <f>IF(Source!$C350&gt;=COLUMNS($A350:S350), Source!$E350, "")</f>
        <v/>
      </c>
      <c r="T350" s="2" t="str">
        <f>IF(Source!$C350&gt;=COLUMNS($A350:T350), Source!$E350, "")</f>
        <v/>
      </c>
      <c r="U350" s="2" t="str">
        <f>IF(Source!$C350&gt;=COLUMNS($A350:U350), Source!$E350, "")</f>
        <v/>
      </c>
      <c r="V350" s="2" t="str">
        <f>IF(Source!$C350&gt;=COLUMNS($A350:V350), Source!$E350, "")</f>
        <v/>
      </c>
      <c r="W350" s="2" t="str">
        <f>IF(Source!$C350&gt;=COLUMNS($A350:W350), Source!$E350, "")</f>
        <v/>
      </c>
      <c r="X350" s="2" t="str">
        <f>IF(Source!$C350&gt;=COLUMNS($A350:X350), Source!$E350, "")</f>
        <v/>
      </c>
      <c r="Y350" s="2" t="str">
        <f>IF(Source!$C350&gt;=COLUMNS($A350:Y350), Source!$E350, "")</f>
        <v/>
      </c>
      <c r="Z350" s="2" t="str">
        <f>IF(Source!$C350&gt;=COLUMNS($A350:Z350), Source!$E350, "")</f>
        <v/>
      </c>
      <c r="AA350" s="2" t="str">
        <f>IF(Source!$C350&gt;=COLUMNS($A350:AA350), Source!$E350, "")</f>
        <v/>
      </c>
      <c r="AB350" s="2" t="str">
        <f>IF(Source!$C350&gt;=COLUMNS($A350:AB350), Source!$E350, "")</f>
        <v/>
      </c>
      <c r="AC350" s="2" t="str">
        <f>IF(Source!$C350&gt;=COLUMNS($A350:AC350), Source!$E350, "")</f>
        <v/>
      </c>
      <c r="AD350" s="2" t="str">
        <f>IF(Source!$C350&gt;=COLUMNS($A350:AD350), Source!$E350, "")</f>
        <v/>
      </c>
      <c r="AE350" s="2" t="str">
        <f>IF(Source!$C350&gt;=COLUMNS($A350:AE350), Source!$E350, "")</f>
        <v/>
      </c>
      <c r="AF350" s="2" t="str">
        <f>IF(Source!$C350&gt;=COLUMNS($A350:AF350), Source!$E350, "")</f>
        <v/>
      </c>
      <c r="AG350" s="2" t="str">
        <f>IF(Source!$C350&gt;=COLUMNS($A350:AG350), Source!$E350, "")</f>
        <v/>
      </c>
      <c r="AH350" s="2" t="str">
        <f>IF(Source!$C350&gt;=COLUMNS($A350:AH350), Source!$E350, "")</f>
        <v/>
      </c>
      <c r="AI350" s="2" t="str">
        <f>IF(Source!$C350&gt;=COLUMNS($A350:AI350), Source!$E350, "")</f>
        <v/>
      </c>
      <c r="AJ350" s="2" t="str">
        <f>IF(Source!$C350&gt;=COLUMNS($A350:AJ350), Source!$E350, "")</f>
        <v/>
      </c>
      <c r="AK350" s="2" t="str">
        <f>IF(Source!$C350&gt;=COLUMNS($A350:AK350), Source!$E350, "")</f>
        <v/>
      </c>
      <c r="AL350" s="2" t="str">
        <f>IF(Source!$C350&gt;=COLUMNS($A350:AL350), Source!$E350, "")</f>
        <v/>
      </c>
      <c r="AM350" s="2" t="str">
        <f>IF(Source!$C350&gt;=COLUMNS($A350:AM350), Source!$E350, "")</f>
        <v/>
      </c>
      <c r="AN350" s="2" t="str">
        <f>IF(Source!$C350&gt;=COLUMNS($A350:AN350), Source!$E350, "")</f>
        <v/>
      </c>
      <c r="AO350" s="2" t="str">
        <f>IF(Source!$C350&gt;=COLUMNS($A350:AO350), Source!$E350, "")</f>
        <v/>
      </c>
      <c r="AP350" s="2" t="str">
        <f>IF(Source!$C350&gt;=COLUMNS($A350:AP350), Source!$E350, "")</f>
        <v/>
      </c>
      <c r="AQ350" s="2" t="str">
        <f>IF(Source!$C350&gt;=COLUMNS($A350:AQ350), Source!$E350, "")</f>
        <v/>
      </c>
      <c r="AR350" s="2" t="str">
        <f>IF(Source!$C350&gt;=COLUMNS($A350:AR350), Source!$E350, "")</f>
        <v/>
      </c>
    </row>
    <row r="351">
      <c r="A351" s="2">
        <f>IF(Source!$C351&gt;=COLUMNS($A351:A351), Source!$E351, "")</f>
        <v>5</v>
      </c>
      <c r="B351" s="2">
        <f>IF(Source!$C351&gt;=COLUMNS($A351:B351), Source!$E351, "")</f>
        <v>5</v>
      </c>
      <c r="C351" s="2">
        <f>IF(Source!$C351&gt;=COLUMNS($A351:C351), Source!$E351, "")</f>
        <v>5</v>
      </c>
      <c r="D351" s="2">
        <f>IF(Source!$C351&gt;=COLUMNS($A351:D351), Source!$E351, "")</f>
        <v>5</v>
      </c>
      <c r="E351" s="2" t="str">
        <f>IF(Source!$C351&gt;=COLUMNS($A351:E351), Source!$E351, "")</f>
        <v/>
      </c>
      <c r="F351" s="2" t="str">
        <f>IF(Source!$C351&gt;=COLUMNS($A351:F351), Source!$E351, "")</f>
        <v/>
      </c>
      <c r="G351" s="2" t="str">
        <f>IF(Source!$C351&gt;=COLUMNS($A351:G351), Source!$E351, "")</f>
        <v/>
      </c>
      <c r="H351" s="2" t="str">
        <f>IF(Source!$C351&gt;=COLUMNS($A351:H351), Source!$E351, "")</f>
        <v/>
      </c>
      <c r="I351" s="2" t="str">
        <f>IF(Source!$C351&gt;=COLUMNS($A351:I351), Source!$E351, "")</f>
        <v/>
      </c>
      <c r="J351" s="2" t="str">
        <f>IF(Source!$C351&gt;=COLUMNS($A351:J351), Source!$E351, "")</f>
        <v/>
      </c>
      <c r="K351" s="2" t="str">
        <f>IF(Source!$C351&gt;=COLUMNS($A351:K351), Source!$E351, "")</f>
        <v/>
      </c>
      <c r="L351" s="2" t="str">
        <f>IF(Source!$C351&gt;=COLUMNS($A351:L351), Source!$E351, "")</f>
        <v/>
      </c>
      <c r="M351" s="2" t="str">
        <f>IF(Source!$C351&gt;=COLUMNS($A351:M351), Source!$E351, "")</f>
        <v/>
      </c>
      <c r="N351" s="2" t="str">
        <f>IF(Source!$C351&gt;=COLUMNS($A351:N351), Source!$E351, "")</f>
        <v/>
      </c>
      <c r="O351" s="2" t="str">
        <f>IF(Source!$C351&gt;=COLUMNS($A351:O351), Source!$E351, "")</f>
        <v/>
      </c>
      <c r="P351" s="2" t="str">
        <f>IF(Source!$C351&gt;=COLUMNS($A351:P351), Source!$E351, "")</f>
        <v/>
      </c>
      <c r="Q351" s="2" t="str">
        <f>IF(Source!$C351&gt;=COLUMNS($A351:Q351), Source!$E351, "")</f>
        <v/>
      </c>
      <c r="R351" s="2" t="str">
        <f>IF(Source!$C351&gt;=COLUMNS($A351:R351), Source!$E351, "")</f>
        <v/>
      </c>
      <c r="S351" s="2" t="str">
        <f>IF(Source!$C351&gt;=COLUMNS($A351:S351), Source!$E351, "")</f>
        <v/>
      </c>
      <c r="T351" s="2" t="str">
        <f>IF(Source!$C351&gt;=COLUMNS($A351:T351), Source!$E351, "")</f>
        <v/>
      </c>
      <c r="U351" s="2" t="str">
        <f>IF(Source!$C351&gt;=COLUMNS($A351:U351), Source!$E351, "")</f>
        <v/>
      </c>
      <c r="V351" s="2" t="str">
        <f>IF(Source!$C351&gt;=COLUMNS($A351:V351), Source!$E351, "")</f>
        <v/>
      </c>
      <c r="W351" s="2" t="str">
        <f>IF(Source!$C351&gt;=COLUMNS($A351:W351), Source!$E351, "")</f>
        <v/>
      </c>
      <c r="X351" s="2" t="str">
        <f>IF(Source!$C351&gt;=COLUMNS($A351:X351), Source!$E351, "")</f>
        <v/>
      </c>
      <c r="Y351" s="2" t="str">
        <f>IF(Source!$C351&gt;=COLUMNS($A351:Y351), Source!$E351, "")</f>
        <v/>
      </c>
      <c r="Z351" s="2" t="str">
        <f>IF(Source!$C351&gt;=COLUMNS($A351:Z351), Source!$E351, "")</f>
        <v/>
      </c>
      <c r="AA351" s="2" t="str">
        <f>IF(Source!$C351&gt;=COLUMNS($A351:AA351), Source!$E351, "")</f>
        <v/>
      </c>
      <c r="AB351" s="2" t="str">
        <f>IF(Source!$C351&gt;=COLUMNS($A351:AB351), Source!$E351, "")</f>
        <v/>
      </c>
      <c r="AC351" s="2" t="str">
        <f>IF(Source!$C351&gt;=COLUMNS($A351:AC351), Source!$E351, "")</f>
        <v/>
      </c>
      <c r="AD351" s="2" t="str">
        <f>IF(Source!$C351&gt;=COLUMNS($A351:AD351), Source!$E351, "")</f>
        <v/>
      </c>
      <c r="AE351" s="2" t="str">
        <f>IF(Source!$C351&gt;=COLUMNS($A351:AE351), Source!$E351, "")</f>
        <v/>
      </c>
      <c r="AF351" s="2" t="str">
        <f>IF(Source!$C351&gt;=COLUMNS($A351:AF351), Source!$E351, "")</f>
        <v/>
      </c>
      <c r="AG351" s="2" t="str">
        <f>IF(Source!$C351&gt;=COLUMNS($A351:AG351), Source!$E351, "")</f>
        <v/>
      </c>
      <c r="AH351" s="2" t="str">
        <f>IF(Source!$C351&gt;=COLUMNS($A351:AH351), Source!$E351, "")</f>
        <v/>
      </c>
      <c r="AI351" s="2" t="str">
        <f>IF(Source!$C351&gt;=COLUMNS($A351:AI351), Source!$E351, "")</f>
        <v/>
      </c>
      <c r="AJ351" s="2" t="str">
        <f>IF(Source!$C351&gt;=COLUMNS($A351:AJ351), Source!$E351, "")</f>
        <v/>
      </c>
      <c r="AK351" s="2" t="str">
        <f>IF(Source!$C351&gt;=COLUMNS($A351:AK351), Source!$E351, "")</f>
        <v/>
      </c>
      <c r="AL351" s="2" t="str">
        <f>IF(Source!$C351&gt;=COLUMNS($A351:AL351), Source!$E351, "")</f>
        <v/>
      </c>
      <c r="AM351" s="2" t="str">
        <f>IF(Source!$C351&gt;=COLUMNS($A351:AM351), Source!$E351, "")</f>
        <v/>
      </c>
      <c r="AN351" s="2" t="str">
        <f>IF(Source!$C351&gt;=COLUMNS($A351:AN351), Source!$E351, "")</f>
        <v/>
      </c>
      <c r="AO351" s="2" t="str">
        <f>IF(Source!$C351&gt;=COLUMNS($A351:AO351), Source!$E351, "")</f>
        <v/>
      </c>
      <c r="AP351" s="2" t="str">
        <f>IF(Source!$C351&gt;=COLUMNS($A351:AP351), Source!$E351, "")</f>
        <v/>
      </c>
      <c r="AQ351" s="2" t="str">
        <f>IF(Source!$C351&gt;=COLUMNS($A351:AQ351), Source!$E351, "")</f>
        <v/>
      </c>
      <c r="AR351" s="2" t="str">
        <f>IF(Source!$C351&gt;=COLUMNS($A351:AR351), Source!$E351, "")</f>
        <v/>
      </c>
    </row>
    <row r="352">
      <c r="A352" s="2">
        <f>IF(Source!$C352&gt;=COLUMNS($A352:A352), Source!$E352, "")</f>
        <v>1</v>
      </c>
      <c r="B352" s="2">
        <f>IF(Source!$C352&gt;=COLUMNS($A352:B352), Source!$E352, "")</f>
        <v>1</v>
      </c>
      <c r="C352" s="2">
        <f>IF(Source!$C352&gt;=COLUMNS($A352:C352), Source!$E352, "")</f>
        <v>1</v>
      </c>
      <c r="D352" s="2">
        <f>IF(Source!$C352&gt;=COLUMNS($A352:D352), Source!$E352, "")</f>
        <v>1</v>
      </c>
      <c r="E352" s="2">
        <f>IF(Source!$C352&gt;=COLUMNS($A352:E352), Source!$E352, "")</f>
        <v>1</v>
      </c>
      <c r="F352" s="2" t="str">
        <f>IF(Source!$C352&gt;=COLUMNS($A352:F352), Source!$E352, "")</f>
        <v/>
      </c>
      <c r="G352" s="2" t="str">
        <f>IF(Source!$C352&gt;=COLUMNS($A352:G352), Source!$E352, "")</f>
        <v/>
      </c>
      <c r="H352" s="2" t="str">
        <f>IF(Source!$C352&gt;=COLUMNS($A352:H352), Source!$E352, "")</f>
        <v/>
      </c>
      <c r="I352" s="2" t="str">
        <f>IF(Source!$C352&gt;=COLUMNS($A352:I352), Source!$E352, "")</f>
        <v/>
      </c>
      <c r="J352" s="2" t="str">
        <f>IF(Source!$C352&gt;=COLUMNS($A352:J352), Source!$E352, "")</f>
        <v/>
      </c>
      <c r="K352" s="2" t="str">
        <f>IF(Source!$C352&gt;=COLUMNS($A352:K352), Source!$E352, "")</f>
        <v/>
      </c>
      <c r="L352" s="2" t="str">
        <f>IF(Source!$C352&gt;=COLUMNS($A352:L352), Source!$E352, "")</f>
        <v/>
      </c>
      <c r="M352" s="2" t="str">
        <f>IF(Source!$C352&gt;=COLUMNS($A352:M352), Source!$E352, "")</f>
        <v/>
      </c>
      <c r="N352" s="2" t="str">
        <f>IF(Source!$C352&gt;=COLUMNS($A352:N352), Source!$E352, "")</f>
        <v/>
      </c>
      <c r="O352" s="2" t="str">
        <f>IF(Source!$C352&gt;=COLUMNS($A352:O352), Source!$E352, "")</f>
        <v/>
      </c>
      <c r="P352" s="2" t="str">
        <f>IF(Source!$C352&gt;=COLUMNS($A352:P352), Source!$E352, "")</f>
        <v/>
      </c>
      <c r="Q352" s="2" t="str">
        <f>IF(Source!$C352&gt;=COLUMNS($A352:Q352), Source!$E352, "")</f>
        <v/>
      </c>
      <c r="R352" s="2" t="str">
        <f>IF(Source!$C352&gt;=COLUMNS($A352:R352), Source!$E352, "")</f>
        <v/>
      </c>
      <c r="S352" s="2" t="str">
        <f>IF(Source!$C352&gt;=COLUMNS($A352:S352), Source!$E352, "")</f>
        <v/>
      </c>
      <c r="T352" s="2" t="str">
        <f>IF(Source!$C352&gt;=COLUMNS($A352:T352), Source!$E352, "")</f>
        <v/>
      </c>
      <c r="U352" s="2" t="str">
        <f>IF(Source!$C352&gt;=COLUMNS($A352:U352), Source!$E352, "")</f>
        <v/>
      </c>
      <c r="V352" s="2" t="str">
        <f>IF(Source!$C352&gt;=COLUMNS($A352:V352), Source!$E352, "")</f>
        <v/>
      </c>
      <c r="W352" s="2" t="str">
        <f>IF(Source!$C352&gt;=COLUMNS($A352:W352), Source!$E352, "")</f>
        <v/>
      </c>
      <c r="X352" s="2" t="str">
        <f>IF(Source!$C352&gt;=COLUMNS($A352:X352), Source!$E352, "")</f>
        <v/>
      </c>
      <c r="Y352" s="2" t="str">
        <f>IF(Source!$C352&gt;=COLUMNS($A352:Y352), Source!$E352, "")</f>
        <v/>
      </c>
      <c r="Z352" s="2" t="str">
        <f>IF(Source!$C352&gt;=COLUMNS($A352:Z352), Source!$E352, "")</f>
        <v/>
      </c>
      <c r="AA352" s="2" t="str">
        <f>IF(Source!$C352&gt;=COLUMNS($A352:AA352), Source!$E352, "")</f>
        <v/>
      </c>
      <c r="AB352" s="2" t="str">
        <f>IF(Source!$C352&gt;=COLUMNS($A352:AB352), Source!$E352, "")</f>
        <v/>
      </c>
      <c r="AC352" s="2" t="str">
        <f>IF(Source!$C352&gt;=COLUMNS($A352:AC352), Source!$E352, "")</f>
        <v/>
      </c>
      <c r="AD352" s="2" t="str">
        <f>IF(Source!$C352&gt;=COLUMNS($A352:AD352), Source!$E352, "")</f>
        <v/>
      </c>
      <c r="AE352" s="2" t="str">
        <f>IF(Source!$C352&gt;=COLUMNS($A352:AE352), Source!$E352, "")</f>
        <v/>
      </c>
      <c r="AF352" s="2" t="str">
        <f>IF(Source!$C352&gt;=COLUMNS($A352:AF352), Source!$E352, "")</f>
        <v/>
      </c>
      <c r="AG352" s="2" t="str">
        <f>IF(Source!$C352&gt;=COLUMNS($A352:AG352), Source!$E352, "")</f>
        <v/>
      </c>
      <c r="AH352" s="2" t="str">
        <f>IF(Source!$C352&gt;=COLUMNS($A352:AH352), Source!$E352, "")</f>
        <v/>
      </c>
      <c r="AI352" s="2" t="str">
        <f>IF(Source!$C352&gt;=COLUMNS($A352:AI352), Source!$E352, "")</f>
        <v/>
      </c>
      <c r="AJ352" s="2" t="str">
        <f>IF(Source!$C352&gt;=COLUMNS($A352:AJ352), Source!$E352, "")</f>
        <v/>
      </c>
      <c r="AK352" s="2" t="str">
        <f>IF(Source!$C352&gt;=COLUMNS($A352:AK352), Source!$E352, "")</f>
        <v/>
      </c>
      <c r="AL352" s="2" t="str">
        <f>IF(Source!$C352&gt;=COLUMNS($A352:AL352), Source!$E352, "")</f>
        <v/>
      </c>
      <c r="AM352" s="2" t="str">
        <f>IF(Source!$C352&gt;=COLUMNS($A352:AM352), Source!$E352, "")</f>
        <v/>
      </c>
      <c r="AN352" s="2" t="str">
        <f>IF(Source!$C352&gt;=COLUMNS($A352:AN352), Source!$E352, "")</f>
        <v/>
      </c>
      <c r="AO352" s="2" t="str">
        <f>IF(Source!$C352&gt;=COLUMNS($A352:AO352), Source!$E352, "")</f>
        <v/>
      </c>
      <c r="AP352" s="2" t="str">
        <f>IF(Source!$C352&gt;=COLUMNS($A352:AP352), Source!$E352, "")</f>
        <v/>
      </c>
      <c r="AQ352" s="2" t="str">
        <f>IF(Source!$C352&gt;=COLUMNS($A352:AQ352), Source!$E352, "")</f>
        <v/>
      </c>
      <c r="AR352" s="2" t="str">
        <f>IF(Source!$C352&gt;=COLUMNS($A352:AR352), Source!$E352, "")</f>
        <v/>
      </c>
    </row>
    <row r="353">
      <c r="A353" s="2">
        <f>IF(Source!$C353&gt;=COLUMNS($A353:A353), Source!$E353, "")</f>
        <v>2</v>
      </c>
      <c r="B353" s="2">
        <f>IF(Source!$C353&gt;=COLUMNS($A353:B353), Source!$E353, "")</f>
        <v>2</v>
      </c>
      <c r="C353" s="2">
        <f>IF(Source!$C353&gt;=COLUMNS($A353:C353), Source!$E353, "")</f>
        <v>2</v>
      </c>
      <c r="D353" s="2">
        <f>IF(Source!$C353&gt;=COLUMNS($A353:D353), Source!$E353, "")</f>
        <v>2</v>
      </c>
      <c r="E353" s="2" t="str">
        <f>IF(Source!$C353&gt;=COLUMNS($A353:E353), Source!$E353, "")</f>
        <v/>
      </c>
      <c r="F353" s="2" t="str">
        <f>IF(Source!$C353&gt;=COLUMNS($A353:F353), Source!$E353, "")</f>
        <v/>
      </c>
      <c r="G353" s="2" t="str">
        <f>IF(Source!$C353&gt;=COLUMNS($A353:G353), Source!$E353, "")</f>
        <v/>
      </c>
      <c r="H353" s="2" t="str">
        <f>IF(Source!$C353&gt;=COLUMNS($A353:H353), Source!$E353, "")</f>
        <v/>
      </c>
      <c r="I353" s="2" t="str">
        <f>IF(Source!$C353&gt;=COLUMNS($A353:I353), Source!$E353, "")</f>
        <v/>
      </c>
      <c r="J353" s="2" t="str">
        <f>IF(Source!$C353&gt;=COLUMNS($A353:J353), Source!$E353, "")</f>
        <v/>
      </c>
      <c r="K353" s="2" t="str">
        <f>IF(Source!$C353&gt;=COLUMNS($A353:K353), Source!$E353, "")</f>
        <v/>
      </c>
      <c r="L353" s="2" t="str">
        <f>IF(Source!$C353&gt;=COLUMNS($A353:L353), Source!$E353, "")</f>
        <v/>
      </c>
      <c r="M353" s="2" t="str">
        <f>IF(Source!$C353&gt;=COLUMNS($A353:M353), Source!$E353, "")</f>
        <v/>
      </c>
      <c r="N353" s="2" t="str">
        <f>IF(Source!$C353&gt;=COLUMNS($A353:N353), Source!$E353, "")</f>
        <v/>
      </c>
      <c r="O353" s="2" t="str">
        <f>IF(Source!$C353&gt;=COLUMNS($A353:O353), Source!$E353, "")</f>
        <v/>
      </c>
      <c r="P353" s="2" t="str">
        <f>IF(Source!$C353&gt;=COLUMNS($A353:P353), Source!$E353, "")</f>
        <v/>
      </c>
      <c r="Q353" s="2" t="str">
        <f>IF(Source!$C353&gt;=COLUMNS($A353:Q353), Source!$E353, "")</f>
        <v/>
      </c>
      <c r="R353" s="2" t="str">
        <f>IF(Source!$C353&gt;=COLUMNS($A353:R353), Source!$E353, "")</f>
        <v/>
      </c>
      <c r="S353" s="2" t="str">
        <f>IF(Source!$C353&gt;=COLUMNS($A353:S353), Source!$E353, "")</f>
        <v/>
      </c>
      <c r="T353" s="2" t="str">
        <f>IF(Source!$C353&gt;=COLUMNS($A353:T353), Source!$E353, "")</f>
        <v/>
      </c>
      <c r="U353" s="2" t="str">
        <f>IF(Source!$C353&gt;=COLUMNS($A353:U353), Source!$E353, "")</f>
        <v/>
      </c>
      <c r="V353" s="2" t="str">
        <f>IF(Source!$C353&gt;=COLUMNS($A353:V353), Source!$E353, "")</f>
        <v/>
      </c>
      <c r="W353" s="2" t="str">
        <f>IF(Source!$C353&gt;=COLUMNS($A353:W353), Source!$E353, "")</f>
        <v/>
      </c>
      <c r="X353" s="2" t="str">
        <f>IF(Source!$C353&gt;=COLUMNS($A353:X353), Source!$E353, "")</f>
        <v/>
      </c>
      <c r="Y353" s="2" t="str">
        <f>IF(Source!$C353&gt;=COLUMNS($A353:Y353), Source!$E353, "")</f>
        <v/>
      </c>
      <c r="Z353" s="2" t="str">
        <f>IF(Source!$C353&gt;=COLUMNS($A353:Z353), Source!$E353, "")</f>
        <v/>
      </c>
      <c r="AA353" s="2" t="str">
        <f>IF(Source!$C353&gt;=COLUMNS($A353:AA353), Source!$E353, "")</f>
        <v/>
      </c>
      <c r="AB353" s="2" t="str">
        <f>IF(Source!$C353&gt;=COLUMNS($A353:AB353), Source!$E353, "")</f>
        <v/>
      </c>
      <c r="AC353" s="2" t="str">
        <f>IF(Source!$C353&gt;=COLUMNS($A353:AC353), Source!$E353, "")</f>
        <v/>
      </c>
      <c r="AD353" s="2" t="str">
        <f>IF(Source!$C353&gt;=COLUMNS($A353:AD353), Source!$E353, "")</f>
        <v/>
      </c>
      <c r="AE353" s="2" t="str">
        <f>IF(Source!$C353&gt;=COLUMNS($A353:AE353), Source!$E353, "")</f>
        <v/>
      </c>
      <c r="AF353" s="2" t="str">
        <f>IF(Source!$C353&gt;=COLUMNS($A353:AF353), Source!$E353, "")</f>
        <v/>
      </c>
      <c r="AG353" s="2" t="str">
        <f>IF(Source!$C353&gt;=COLUMNS($A353:AG353), Source!$E353, "")</f>
        <v/>
      </c>
      <c r="AH353" s="2" t="str">
        <f>IF(Source!$C353&gt;=COLUMNS($A353:AH353), Source!$E353, "")</f>
        <v/>
      </c>
      <c r="AI353" s="2" t="str">
        <f>IF(Source!$C353&gt;=COLUMNS($A353:AI353), Source!$E353, "")</f>
        <v/>
      </c>
      <c r="AJ353" s="2" t="str">
        <f>IF(Source!$C353&gt;=COLUMNS($A353:AJ353), Source!$E353, "")</f>
        <v/>
      </c>
      <c r="AK353" s="2" t="str">
        <f>IF(Source!$C353&gt;=COLUMNS($A353:AK353), Source!$E353, "")</f>
        <v/>
      </c>
      <c r="AL353" s="2" t="str">
        <f>IF(Source!$C353&gt;=COLUMNS($A353:AL353), Source!$E353, "")</f>
        <v/>
      </c>
      <c r="AM353" s="2" t="str">
        <f>IF(Source!$C353&gt;=COLUMNS($A353:AM353), Source!$E353, "")</f>
        <v/>
      </c>
      <c r="AN353" s="2" t="str">
        <f>IF(Source!$C353&gt;=COLUMNS($A353:AN353), Source!$E353, "")</f>
        <v/>
      </c>
      <c r="AO353" s="2" t="str">
        <f>IF(Source!$C353&gt;=COLUMNS($A353:AO353), Source!$E353, "")</f>
        <v/>
      </c>
      <c r="AP353" s="2" t="str">
        <f>IF(Source!$C353&gt;=COLUMNS($A353:AP353), Source!$E353, "")</f>
        <v/>
      </c>
      <c r="AQ353" s="2" t="str">
        <f>IF(Source!$C353&gt;=COLUMNS($A353:AQ353), Source!$E353, "")</f>
        <v/>
      </c>
      <c r="AR353" s="2" t="str">
        <f>IF(Source!$C353&gt;=COLUMNS($A353:AR353), Source!$E353, "")</f>
        <v/>
      </c>
    </row>
    <row r="354">
      <c r="A354" s="2">
        <f>IF(Source!$C354&gt;=COLUMNS($A354:A354), Source!$E354, "")</f>
        <v>7</v>
      </c>
      <c r="B354" s="2">
        <f>IF(Source!$C354&gt;=COLUMNS($A354:B354), Source!$E354, "")</f>
        <v>7</v>
      </c>
      <c r="C354" s="2" t="str">
        <f>IF(Source!$C354&gt;=COLUMNS($A354:C354), Source!$E354, "")</f>
        <v/>
      </c>
      <c r="D354" s="2" t="str">
        <f>IF(Source!$C354&gt;=COLUMNS($A354:D354), Source!$E354, "")</f>
        <v/>
      </c>
      <c r="E354" s="2" t="str">
        <f>IF(Source!$C354&gt;=COLUMNS($A354:E354), Source!$E354, "")</f>
        <v/>
      </c>
      <c r="F354" s="2" t="str">
        <f>IF(Source!$C354&gt;=COLUMNS($A354:F354), Source!$E354, "")</f>
        <v/>
      </c>
      <c r="G354" s="2" t="str">
        <f>IF(Source!$C354&gt;=COLUMNS($A354:G354), Source!$E354, "")</f>
        <v/>
      </c>
      <c r="H354" s="2" t="str">
        <f>IF(Source!$C354&gt;=COLUMNS($A354:H354), Source!$E354, "")</f>
        <v/>
      </c>
      <c r="I354" s="2" t="str">
        <f>IF(Source!$C354&gt;=COLUMNS($A354:I354), Source!$E354, "")</f>
        <v/>
      </c>
      <c r="J354" s="2" t="str">
        <f>IF(Source!$C354&gt;=COLUMNS($A354:J354), Source!$E354, "")</f>
        <v/>
      </c>
      <c r="K354" s="2" t="str">
        <f>IF(Source!$C354&gt;=COLUMNS($A354:K354), Source!$E354, "")</f>
        <v/>
      </c>
      <c r="L354" s="2" t="str">
        <f>IF(Source!$C354&gt;=COLUMNS($A354:L354), Source!$E354, "")</f>
        <v/>
      </c>
      <c r="M354" s="2" t="str">
        <f>IF(Source!$C354&gt;=COLUMNS($A354:M354), Source!$E354, "")</f>
        <v/>
      </c>
      <c r="N354" s="2" t="str">
        <f>IF(Source!$C354&gt;=COLUMNS($A354:N354), Source!$E354, "")</f>
        <v/>
      </c>
      <c r="O354" s="2" t="str">
        <f>IF(Source!$C354&gt;=COLUMNS($A354:O354), Source!$E354, "")</f>
        <v/>
      </c>
      <c r="P354" s="2" t="str">
        <f>IF(Source!$C354&gt;=COLUMNS($A354:P354), Source!$E354, "")</f>
        <v/>
      </c>
      <c r="Q354" s="2" t="str">
        <f>IF(Source!$C354&gt;=COLUMNS($A354:Q354), Source!$E354, "")</f>
        <v/>
      </c>
      <c r="R354" s="2" t="str">
        <f>IF(Source!$C354&gt;=COLUMNS($A354:R354), Source!$E354, "")</f>
        <v/>
      </c>
      <c r="S354" s="2" t="str">
        <f>IF(Source!$C354&gt;=COLUMNS($A354:S354), Source!$E354, "")</f>
        <v/>
      </c>
      <c r="T354" s="2" t="str">
        <f>IF(Source!$C354&gt;=COLUMNS($A354:T354), Source!$E354, "")</f>
        <v/>
      </c>
      <c r="U354" s="2" t="str">
        <f>IF(Source!$C354&gt;=COLUMNS($A354:U354), Source!$E354, "")</f>
        <v/>
      </c>
      <c r="V354" s="2" t="str">
        <f>IF(Source!$C354&gt;=COLUMNS($A354:V354), Source!$E354, "")</f>
        <v/>
      </c>
      <c r="W354" s="2" t="str">
        <f>IF(Source!$C354&gt;=COLUMNS($A354:W354), Source!$E354, "")</f>
        <v/>
      </c>
      <c r="X354" s="2" t="str">
        <f>IF(Source!$C354&gt;=COLUMNS($A354:X354), Source!$E354, "")</f>
        <v/>
      </c>
      <c r="Y354" s="2" t="str">
        <f>IF(Source!$C354&gt;=COLUMNS($A354:Y354), Source!$E354, "")</f>
        <v/>
      </c>
      <c r="Z354" s="2" t="str">
        <f>IF(Source!$C354&gt;=COLUMNS($A354:Z354), Source!$E354, "")</f>
        <v/>
      </c>
      <c r="AA354" s="2" t="str">
        <f>IF(Source!$C354&gt;=COLUMNS($A354:AA354), Source!$E354, "")</f>
        <v/>
      </c>
      <c r="AB354" s="2" t="str">
        <f>IF(Source!$C354&gt;=COLUMNS($A354:AB354), Source!$E354, "")</f>
        <v/>
      </c>
      <c r="AC354" s="2" t="str">
        <f>IF(Source!$C354&gt;=COLUMNS($A354:AC354), Source!$E354, "")</f>
        <v/>
      </c>
      <c r="AD354" s="2" t="str">
        <f>IF(Source!$C354&gt;=COLUMNS($A354:AD354), Source!$E354, "")</f>
        <v/>
      </c>
      <c r="AE354" s="2" t="str">
        <f>IF(Source!$C354&gt;=COLUMNS($A354:AE354), Source!$E354, "")</f>
        <v/>
      </c>
      <c r="AF354" s="2" t="str">
        <f>IF(Source!$C354&gt;=COLUMNS($A354:AF354), Source!$E354, "")</f>
        <v/>
      </c>
      <c r="AG354" s="2" t="str">
        <f>IF(Source!$C354&gt;=COLUMNS($A354:AG354), Source!$E354, "")</f>
        <v/>
      </c>
      <c r="AH354" s="2" t="str">
        <f>IF(Source!$C354&gt;=COLUMNS($A354:AH354), Source!$E354, "")</f>
        <v/>
      </c>
      <c r="AI354" s="2" t="str">
        <f>IF(Source!$C354&gt;=COLUMNS($A354:AI354), Source!$E354, "")</f>
        <v/>
      </c>
      <c r="AJ354" s="2" t="str">
        <f>IF(Source!$C354&gt;=COLUMNS($A354:AJ354), Source!$E354, "")</f>
        <v/>
      </c>
      <c r="AK354" s="2" t="str">
        <f>IF(Source!$C354&gt;=COLUMNS($A354:AK354), Source!$E354, "")</f>
        <v/>
      </c>
      <c r="AL354" s="2" t="str">
        <f>IF(Source!$C354&gt;=COLUMNS($A354:AL354), Source!$E354, "")</f>
        <v/>
      </c>
      <c r="AM354" s="2" t="str">
        <f>IF(Source!$C354&gt;=COLUMNS($A354:AM354), Source!$E354, "")</f>
        <v/>
      </c>
      <c r="AN354" s="2" t="str">
        <f>IF(Source!$C354&gt;=COLUMNS($A354:AN354), Source!$E354, "")</f>
        <v/>
      </c>
      <c r="AO354" s="2" t="str">
        <f>IF(Source!$C354&gt;=COLUMNS($A354:AO354), Source!$E354, "")</f>
        <v/>
      </c>
      <c r="AP354" s="2" t="str">
        <f>IF(Source!$C354&gt;=COLUMNS($A354:AP354), Source!$E354, "")</f>
        <v/>
      </c>
      <c r="AQ354" s="2" t="str">
        <f>IF(Source!$C354&gt;=COLUMNS($A354:AQ354), Source!$E354, "")</f>
        <v/>
      </c>
      <c r="AR354" s="2" t="str">
        <f>IF(Source!$C354&gt;=COLUMNS($A354:AR354), Source!$E354, "")</f>
        <v/>
      </c>
    </row>
    <row r="355">
      <c r="A355" s="2">
        <f>IF(Source!$C355&gt;=COLUMNS($A355:A355), Source!$E355, "")</f>
        <v>7</v>
      </c>
      <c r="B355" s="2">
        <f>IF(Source!$C355&gt;=COLUMNS($A355:B355), Source!$E355, "")</f>
        <v>7</v>
      </c>
      <c r="C355" s="2" t="str">
        <f>IF(Source!$C355&gt;=COLUMNS($A355:C355), Source!$E355, "")</f>
        <v/>
      </c>
      <c r="D355" s="2" t="str">
        <f>IF(Source!$C355&gt;=COLUMNS($A355:D355), Source!$E355, "")</f>
        <v/>
      </c>
      <c r="E355" s="2" t="str">
        <f>IF(Source!$C355&gt;=COLUMNS($A355:E355), Source!$E355, "")</f>
        <v/>
      </c>
      <c r="F355" s="2" t="str">
        <f>IF(Source!$C355&gt;=COLUMNS($A355:F355), Source!$E355, "")</f>
        <v/>
      </c>
      <c r="G355" s="2" t="str">
        <f>IF(Source!$C355&gt;=COLUMNS($A355:G355), Source!$E355, "")</f>
        <v/>
      </c>
      <c r="H355" s="2" t="str">
        <f>IF(Source!$C355&gt;=COLUMNS($A355:H355), Source!$E355, "")</f>
        <v/>
      </c>
      <c r="I355" s="2" t="str">
        <f>IF(Source!$C355&gt;=COLUMNS($A355:I355), Source!$E355, "")</f>
        <v/>
      </c>
      <c r="J355" s="2" t="str">
        <f>IF(Source!$C355&gt;=COLUMNS($A355:J355), Source!$E355, "")</f>
        <v/>
      </c>
      <c r="K355" s="2" t="str">
        <f>IF(Source!$C355&gt;=COLUMNS($A355:K355), Source!$E355, "")</f>
        <v/>
      </c>
      <c r="L355" s="2" t="str">
        <f>IF(Source!$C355&gt;=COLUMNS($A355:L355), Source!$E355, "")</f>
        <v/>
      </c>
      <c r="M355" s="2" t="str">
        <f>IF(Source!$C355&gt;=COLUMNS($A355:M355), Source!$E355, "")</f>
        <v/>
      </c>
      <c r="N355" s="2" t="str">
        <f>IF(Source!$C355&gt;=COLUMNS($A355:N355), Source!$E355, "")</f>
        <v/>
      </c>
      <c r="O355" s="2" t="str">
        <f>IF(Source!$C355&gt;=COLUMNS($A355:O355), Source!$E355, "")</f>
        <v/>
      </c>
      <c r="P355" s="2" t="str">
        <f>IF(Source!$C355&gt;=COLUMNS($A355:P355), Source!$E355, "")</f>
        <v/>
      </c>
      <c r="Q355" s="2" t="str">
        <f>IF(Source!$C355&gt;=COLUMNS($A355:Q355), Source!$E355, "")</f>
        <v/>
      </c>
      <c r="R355" s="2" t="str">
        <f>IF(Source!$C355&gt;=COLUMNS($A355:R355), Source!$E355, "")</f>
        <v/>
      </c>
      <c r="S355" s="2" t="str">
        <f>IF(Source!$C355&gt;=COLUMNS($A355:S355), Source!$E355, "")</f>
        <v/>
      </c>
      <c r="T355" s="2" t="str">
        <f>IF(Source!$C355&gt;=COLUMNS($A355:T355), Source!$E355, "")</f>
        <v/>
      </c>
      <c r="U355" s="2" t="str">
        <f>IF(Source!$C355&gt;=COLUMNS($A355:U355), Source!$E355, "")</f>
        <v/>
      </c>
      <c r="V355" s="2" t="str">
        <f>IF(Source!$C355&gt;=COLUMNS($A355:V355), Source!$E355, "")</f>
        <v/>
      </c>
      <c r="W355" s="2" t="str">
        <f>IF(Source!$C355&gt;=COLUMNS($A355:W355), Source!$E355, "")</f>
        <v/>
      </c>
      <c r="X355" s="2" t="str">
        <f>IF(Source!$C355&gt;=COLUMNS($A355:X355), Source!$E355, "")</f>
        <v/>
      </c>
      <c r="Y355" s="2" t="str">
        <f>IF(Source!$C355&gt;=COLUMNS($A355:Y355), Source!$E355, "")</f>
        <v/>
      </c>
      <c r="Z355" s="2" t="str">
        <f>IF(Source!$C355&gt;=COLUMNS($A355:Z355), Source!$E355, "")</f>
        <v/>
      </c>
      <c r="AA355" s="2" t="str">
        <f>IF(Source!$C355&gt;=COLUMNS($A355:AA355), Source!$E355, "")</f>
        <v/>
      </c>
      <c r="AB355" s="2" t="str">
        <f>IF(Source!$C355&gt;=COLUMNS($A355:AB355), Source!$E355, "")</f>
        <v/>
      </c>
      <c r="AC355" s="2" t="str">
        <f>IF(Source!$C355&gt;=COLUMNS($A355:AC355), Source!$E355, "")</f>
        <v/>
      </c>
      <c r="AD355" s="2" t="str">
        <f>IF(Source!$C355&gt;=COLUMNS($A355:AD355), Source!$E355, "")</f>
        <v/>
      </c>
      <c r="AE355" s="2" t="str">
        <f>IF(Source!$C355&gt;=COLUMNS($A355:AE355), Source!$E355, "")</f>
        <v/>
      </c>
      <c r="AF355" s="2" t="str">
        <f>IF(Source!$C355&gt;=COLUMNS($A355:AF355), Source!$E355, "")</f>
        <v/>
      </c>
      <c r="AG355" s="2" t="str">
        <f>IF(Source!$C355&gt;=COLUMNS($A355:AG355), Source!$E355, "")</f>
        <v/>
      </c>
      <c r="AH355" s="2" t="str">
        <f>IF(Source!$C355&gt;=COLUMNS($A355:AH355), Source!$E355, "")</f>
        <v/>
      </c>
      <c r="AI355" s="2" t="str">
        <f>IF(Source!$C355&gt;=COLUMNS($A355:AI355), Source!$E355, "")</f>
        <v/>
      </c>
      <c r="AJ355" s="2" t="str">
        <f>IF(Source!$C355&gt;=COLUMNS($A355:AJ355), Source!$E355, "")</f>
        <v/>
      </c>
      <c r="AK355" s="2" t="str">
        <f>IF(Source!$C355&gt;=COLUMNS($A355:AK355), Source!$E355, "")</f>
        <v/>
      </c>
      <c r="AL355" s="2" t="str">
        <f>IF(Source!$C355&gt;=COLUMNS($A355:AL355), Source!$E355, "")</f>
        <v/>
      </c>
      <c r="AM355" s="2" t="str">
        <f>IF(Source!$C355&gt;=COLUMNS($A355:AM355), Source!$E355, "")</f>
        <v/>
      </c>
      <c r="AN355" s="2" t="str">
        <f>IF(Source!$C355&gt;=COLUMNS($A355:AN355), Source!$E355, "")</f>
        <v/>
      </c>
      <c r="AO355" s="2" t="str">
        <f>IF(Source!$C355&gt;=COLUMNS($A355:AO355), Source!$E355, "")</f>
        <v/>
      </c>
      <c r="AP355" s="2" t="str">
        <f>IF(Source!$C355&gt;=COLUMNS($A355:AP355), Source!$E355, "")</f>
        <v/>
      </c>
      <c r="AQ355" s="2" t="str">
        <f>IF(Source!$C355&gt;=COLUMNS($A355:AQ355), Source!$E355, "")</f>
        <v/>
      </c>
      <c r="AR355" s="2" t="str">
        <f>IF(Source!$C355&gt;=COLUMNS($A355:AR355), Source!$E355, "")</f>
        <v/>
      </c>
    </row>
    <row r="356">
      <c r="A356" s="2">
        <f>IF(Source!$C356&gt;=COLUMNS($A356:A356), Source!$E356, "")</f>
        <v>4</v>
      </c>
      <c r="B356" s="2">
        <f>IF(Source!$C356&gt;=COLUMNS($A356:B356), Source!$E356, "")</f>
        <v>4</v>
      </c>
      <c r="C356" s="2">
        <f>IF(Source!$C356&gt;=COLUMNS($A356:C356), Source!$E356, "")</f>
        <v>4</v>
      </c>
      <c r="D356" s="2">
        <f>IF(Source!$C356&gt;=COLUMNS($A356:D356), Source!$E356, "")</f>
        <v>4</v>
      </c>
      <c r="E356" s="2">
        <f>IF(Source!$C356&gt;=COLUMNS($A356:E356), Source!$E356, "")</f>
        <v>4</v>
      </c>
      <c r="F356" s="2" t="str">
        <f>IF(Source!$C356&gt;=COLUMNS($A356:F356), Source!$E356, "")</f>
        <v/>
      </c>
      <c r="G356" s="2" t="str">
        <f>IF(Source!$C356&gt;=COLUMNS($A356:G356), Source!$E356, "")</f>
        <v/>
      </c>
      <c r="H356" s="2" t="str">
        <f>IF(Source!$C356&gt;=COLUMNS($A356:H356), Source!$E356, "")</f>
        <v/>
      </c>
      <c r="I356" s="2" t="str">
        <f>IF(Source!$C356&gt;=COLUMNS($A356:I356), Source!$E356, "")</f>
        <v/>
      </c>
      <c r="J356" s="2" t="str">
        <f>IF(Source!$C356&gt;=COLUMNS($A356:J356), Source!$E356, "")</f>
        <v/>
      </c>
      <c r="K356" s="2" t="str">
        <f>IF(Source!$C356&gt;=COLUMNS($A356:K356), Source!$E356, "")</f>
        <v/>
      </c>
      <c r="L356" s="2" t="str">
        <f>IF(Source!$C356&gt;=COLUMNS($A356:L356), Source!$E356, "")</f>
        <v/>
      </c>
      <c r="M356" s="2" t="str">
        <f>IF(Source!$C356&gt;=COLUMNS($A356:M356), Source!$E356, "")</f>
        <v/>
      </c>
      <c r="N356" s="2" t="str">
        <f>IF(Source!$C356&gt;=COLUMNS($A356:N356), Source!$E356, "")</f>
        <v/>
      </c>
      <c r="O356" s="2" t="str">
        <f>IF(Source!$C356&gt;=COLUMNS($A356:O356), Source!$E356, "")</f>
        <v/>
      </c>
      <c r="P356" s="2" t="str">
        <f>IF(Source!$C356&gt;=COLUMNS($A356:P356), Source!$E356, "")</f>
        <v/>
      </c>
      <c r="Q356" s="2" t="str">
        <f>IF(Source!$C356&gt;=COLUMNS($A356:Q356), Source!$E356, "")</f>
        <v/>
      </c>
      <c r="R356" s="2" t="str">
        <f>IF(Source!$C356&gt;=COLUMNS($A356:R356), Source!$E356, "")</f>
        <v/>
      </c>
      <c r="S356" s="2" t="str">
        <f>IF(Source!$C356&gt;=COLUMNS($A356:S356), Source!$E356, "")</f>
        <v/>
      </c>
      <c r="T356" s="2" t="str">
        <f>IF(Source!$C356&gt;=COLUMNS($A356:T356), Source!$E356, "")</f>
        <v/>
      </c>
      <c r="U356" s="2" t="str">
        <f>IF(Source!$C356&gt;=COLUMNS($A356:U356), Source!$E356, "")</f>
        <v/>
      </c>
      <c r="V356" s="2" t="str">
        <f>IF(Source!$C356&gt;=COLUMNS($A356:V356), Source!$E356, "")</f>
        <v/>
      </c>
      <c r="W356" s="2" t="str">
        <f>IF(Source!$C356&gt;=COLUMNS($A356:W356), Source!$E356, "")</f>
        <v/>
      </c>
      <c r="X356" s="2" t="str">
        <f>IF(Source!$C356&gt;=COLUMNS($A356:X356), Source!$E356, "")</f>
        <v/>
      </c>
      <c r="Y356" s="2" t="str">
        <f>IF(Source!$C356&gt;=COLUMNS($A356:Y356), Source!$E356, "")</f>
        <v/>
      </c>
      <c r="Z356" s="2" t="str">
        <f>IF(Source!$C356&gt;=COLUMNS($A356:Z356), Source!$E356, "")</f>
        <v/>
      </c>
      <c r="AA356" s="2" t="str">
        <f>IF(Source!$C356&gt;=COLUMNS($A356:AA356), Source!$E356, "")</f>
        <v/>
      </c>
      <c r="AB356" s="2" t="str">
        <f>IF(Source!$C356&gt;=COLUMNS($A356:AB356), Source!$E356, "")</f>
        <v/>
      </c>
      <c r="AC356" s="2" t="str">
        <f>IF(Source!$C356&gt;=COLUMNS($A356:AC356), Source!$E356, "")</f>
        <v/>
      </c>
      <c r="AD356" s="2" t="str">
        <f>IF(Source!$C356&gt;=COLUMNS($A356:AD356), Source!$E356, "")</f>
        <v/>
      </c>
      <c r="AE356" s="2" t="str">
        <f>IF(Source!$C356&gt;=COLUMNS($A356:AE356), Source!$E356, "")</f>
        <v/>
      </c>
      <c r="AF356" s="2" t="str">
        <f>IF(Source!$C356&gt;=COLUMNS($A356:AF356), Source!$E356, "")</f>
        <v/>
      </c>
      <c r="AG356" s="2" t="str">
        <f>IF(Source!$C356&gt;=COLUMNS($A356:AG356), Source!$E356, "")</f>
        <v/>
      </c>
      <c r="AH356" s="2" t="str">
        <f>IF(Source!$C356&gt;=COLUMNS($A356:AH356), Source!$E356, "")</f>
        <v/>
      </c>
      <c r="AI356" s="2" t="str">
        <f>IF(Source!$C356&gt;=COLUMNS($A356:AI356), Source!$E356, "")</f>
        <v/>
      </c>
      <c r="AJ356" s="2" t="str">
        <f>IF(Source!$C356&gt;=COLUMNS($A356:AJ356), Source!$E356, "")</f>
        <v/>
      </c>
      <c r="AK356" s="2" t="str">
        <f>IF(Source!$C356&gt;=COLUMNS($A356:AK356), Source!$E356, "")</f>
        <v/>
      </c>
      <c r="AL356" s="2" t="str">
        <f>IF(Source!$C356&gt;=COLUMNS($A356:AL356), Source!$E356, "")</f>
        <v/>
      </c>
      <c r="AM356" s="2" t="str">
        <f>IF(Source!$C356&gt;=COLUMNS($A356:AM356), Source!$E356, "")</f>
        <v/>
      </c>
      <c r="AN356" s="2" t="str">
        <f>IF(Source!$C356&gt;=COLUMNS($A356:AN356), Source!$E356, "")</f>
        <v/>
      </c>
      <c r="AO356" s="2" t="str">
        <f>IF(Source!$C356&gt;=COLUMNS($A356:AO356), Source!$E356, "")</f>
        <v/>
      </c>
      <c r="AP356" s="2" t="str">
        <f>IF(Source!$C356&gt;=COLUMNS($A356:AP356), Source!$E356, "")</f>
        <v/>
      </c>
      <c r="AQ356" s="2" t="str">
        <f>IF(Source!$C356&gt;=COLUMNS($A356:AQ356), Source!$E356, "")</f>
        <v/>
      </c>
      <c r="AR356" s="2" t="str">
        <f>IF(Source!$C356&gt;=COLUMNS($A356:AR356), Source!$E356, "")</f>
        <v/>
      </c>
    </row>
    <row r="357">
      <c r="A357" s="2">
        <f>IF(Source!$C357&gt;=COLUMNS($A357:A357), Source!$E357, "")</f>
        <v>8</v>
      </c>
      <c r="B357" s="2" t="str">
        <f>IF(Source!$C357&gt;=COLUMNS($A357:B357), Source!$E357, "")</f>
        <v/>
      </c>
      <c r="C357" s="2" t="str">
        <f>IF(Source!$C357&gt;=COLUMNS($A357:C357), Source!$E357, "")</f>
        <v/>
      </c>
      <c r="D357" s="2" t="str">
        <f>IF(Source!$C357&gt;=COLUMNS($A357:D357), Source!$E357, "")</f>
        <v/>
      </c>
      <c r="E357" s="2" t="str">
        <f>IF(Source!$C357&gt;=COLUMNS($A357:E357), Source!$E357, "")</f>
        <v/>
      </c>
      <c r="F357" s="2" t="str">
        <f>IF(Source!$C357&gt;=COLUMNS($A357:F357), Source!$E357, "")</f>
        <v/>
      </c>
      <c r="G357" s="2" t="str">
        <f>IF(Source!$C357&gt;=COLUMNS($A357:G357), Source!$E357, "")</f>
        <v/>
      </c>
      <c r="H357" s="2" t="str">
        <f>IF(Source!$C357&gt;=COLUMNS($A357:H357), Source!$E357, "")</f>
        <v/>
      </c>
      <c r="I357" s="2" t="str">
        <f>IF(Source!$C357&gt;=COLUMNS($A357:I357), Source!$E357, "")</f>
        <v/>
      </c>
      <c r="J357" s="2" t="str">
        <f>IF(Source!$C357&gt;=COLUMNS($A357:J357), Source!$E357, "")</f>
        <v/>
      </c>
      <c r="K357" s="2" t="str">
        <f>IF(Source!$C357&gt;=COLUMNS($A357:K357), Source!$E357, "")</f>
        <v/>
      </c>
      <c r="L357" s="2" t="str">
        <f>IF(Source!$C357&gt;=COLUMNS($A357:L357), Source!$E357, "")</f>
        <v/>
      </c>
      <c r="M357" s="2" t="str">
        <f>IF(Source!$C357&gt;=COLUMNS($A357:M357), Source!$E357, "")</f>
        <v/>
      </c>
      <c r="N357" s="2" t="str">
        <f>IF(Source!$C357&gt;=COLUMNS($A357:N357), Source!$E357, "")</f>
        <v/>
      </c>
      <c r="O357" s="2" t="str">
        <f>IF(Source!$C357&gt;=COLUMNS($A357:O357), Source!$E357, "")</f>
        <v/>
      </c>
      <c r="P357" s="2" t="str">
        <f>IF(Source!$C357&gt;=COLUMNS($A357:P357), Source!$E357, "")</f>
        <v/>
      </c>
      <c r="Q357" s="2" t="str">
        <f>IF(Source!$C357&gt;=COLUMNS($A357:Q357), Source!$E357, "")</f>
        <v/>
      </c>
      <c r="R357" s="2" t="str">
        <f>IF(Source!$C357&gt;=COLUMNS($A357:R357), Source!$E357, "")</f>
        <v/>
      </c>
      <c r="S357" s="2" t="str">
        <f>IF(Source!$C357&gt;=COLUMNS($A357:S357), Source!$E357, "")</f>
        <v/>
      </c>
      <c r="T357" s="2" t="str">
        <f>IF(Source!$C357&gt;=COLUMNS($A357:T357), Source!$E357, "")</f>
        <v/>
      </c>
      <c r="U357" s="2" t="str">
        <f>IF(Source!$C357&gt;=COLUMNS($A357:U357), Source!$E357, "")</f>
        <v/>
      </c>
      <c r="V357" s="2" t="str">
        <f>IF(Source!$C357&gt;=COLUMNS($A357:V357), Source!$E357, "")</f>
        <v/>
      </c>
      <c r="W357" s="2" t="str">
        <f>IF(Source!$C357&gt;=COLUMNS($A357:W357), Source!$E357, "")</f>
        <v/>
      </c>
      <c r="X357" s="2" t="str">
        <f>IF(Source!$C357&gt;=COLUMNS($A357:X357), Source!$E357, "")</f>
        <v/>
      </c>
      <c r="Y357" s="2" t="str">
        <f>IF(Source!$C357&gt;=COLUMNS($A357:Y357), Source!$E357, "")</f>
        <v/>
      </c>
      <c r="Z357" s="2" t="str">
        <f>IF(Source!$C357&gt;=COLUMNS($A357:Z357), Source!$E357, "")</f>
        <v/>
      </c>
      <c r="AA357" s="2" t="str">
        <f>IF(Source!$C357&gt;=COLUMNS($A357:AA357), Source!$E357, "")</f>
        <v/>
      </c>
      <c r="AB357" s="2" t="str">
        <f>IF(Source!$C357&gt;=COLUMNS($A357:AB357), Source!$E357, "")</f>
        <v/>
      </c>
      <c r="AC357" s="2" t="str">
        <f>IF(Source!$C357&gt;=COLUMNS($A357:AC357), Source!$E357, "")</f>
        <v/>
      </c>
      <c r="AD357" s="2" t="str">
        <f>IF(Source!$C357&gt;=COLUMNS($A357:AD357), Source!$E357, "")</f>
        <v/>
      </c>
      <c r="AE357" s="2" t="str">
        <f>IF(Source!$C357&gt;=COLUMNS($A357:AE357), Source!$E357, "")</f>
        <v/>
      </c>
      <c r="AF357" s="2" t="str">
        <f>IF(Source!$C357&gt;=COLUMNS($A357:AF357), Source!$E357, "")</f>
        <v/>
      </c>
      <c r="AG357" s="2" t="str">
        <f>IF(Source!$C357&gt;=COLUMNS($A357:AG357), Source!$E357, "")</f>
        <v/>
      </c>
      <c r="AH357" s="2" t="str">
        <f>IF(Source!$C357&gt;=COLUMNS($A357:AH357), Source!$E357, "")</f>
        <v/>
      </c>
      <c r="AI357" s="2" t="str">
        <f>IF(Source!$C357&gt;=COLUMNS($A357:AI357), Source!$E357, "")</f>
        <v/>
      </c>
      <c r="AJ357" s="2" t="str">
        <f>IF(Source!$C357&gt;=COLUMNS($A357:AJ357), Source!$E357, "")</f>
        <v/>
      </c>
      <c r="AK357" s="2" t="str">
        <f>IF(Source!$C357&gt;=COLUMNS($A357:AK357), Source!$E357, "")</f>
        <v/>
      </c>
      <c r="AL357" s="2" t="str">
        <f>IF(Source!$C357&gt;=COLUMNS($A357:AL357), Source!$E357, "")</f>
        <v/>
      </c>
      <c r="AM357" s="2" t="str">
        <f>IF(Source!$C357&gt;=COLUMNS($A357:AM357), Source!$E357, "")</f>
        <v/>
      </c>
      <c r="AN357" s="2" t="str">
        <f>IF(Source!$C357&gt;=COLUMNS($A357:AN357), Source!$E357, "")</f>
        <v/>
      </c>
      <c r="AO357" s="2" t="str">
        <f>IF(Source!$C357&gt;=COLUMNS($A357:AO357), Source!$E357, "")</f>
        <v/>
      </c>
      <c r="AP357" s="2" t="str">
        <f>IF(Source!$C357&gt;=COLUMNS($A357:AP357), Source!$E357, "")</f>
        <v/>
      </c>
      <c r="AQ357" s="2" t="str">
        <f>IF(Source!$C357&gt;=COLUMNS($A357:AQ357), Source!$E357, "")</f>
        <v/>
      </c>
      <c r="AR357" s="2" t="str">
        <f>IF(Source!$C357&gt;=COLUMNS($A357:AR357), Source!$E357, "")</f>
        <v/>
      </c>
    </row>
    <row r="358">
      <c r="A358" s="2">
        <f>IF(Source!$C358&gt;=COLUMNS($A358:A358), Source!$E358, "")</f>
        <v>2</v>
      </c>
      <c r="B358" s="2" t="str">
        <f>IF(Source!$C358&gt;=COLUMNS($A358:B358), Source!$E358, "")</f>
        <v/>
      </c>
      <c r="C358" s="2" t="str">
        <f>IF(Source!$C358&gt;=COLUMNS($A358:C358), Source!$E358, "")</f>
        <v/>
      </c>
      <c r="D358" s="2" t="str">
        <f>IF(Source!$C358&gt;=COLUMNS($A358:D358), Source!$E358, "")</f>
        <v/>
      </c>
      <c r="E358" s="2" t="str">
        <f>IF(Source!$C358&gt;=COLUMNS($A358:E358), Source!$E358, "")</f>
        <v/>
      </c>
      <c r="F358" s="2" t="str">
        <f>IF(Source!$C358&gt;=COLUMNS($A358:F358), Source!$E358, "")</f>
        <v/>
      </c>
      <c r="G358" s="2" t="str">
        <f>IF(Source!$C358&gt;=COLUMNS($A358:G358), Source!$E358, "")</f>
        <v/>
      </c>
      <c r="H358" s="2" t="str">
        <f>IF(Source!$C358&gt;=COLUMNS($A358:H358), Source!$E358, "")</f>
        <v/>
      </c>
      <c r="I358" s="2" t="str">
        <f>IF(Source!$C358&gt;=COLUMNS($A358:I358), Source!$E358, "")</f>
        <v/>
      </c>
      <c r="J358" s="2" t="str">
        <f>IF(Source!$C358&gt;=COLUMNS($A358:J358), Source!$E358, "")</f>
        <v/>
      </c>
      <c r="K358" s="2" t="str">
        <f>IF(Source!$C358&gt;=COLUMNS($A358:K358), Source!$E358, "")</f>
        <v/>
      </c>
      <c r="L358" s="2" t="str">
        <f>IF(Source!$C358&gt;=COLUMNS($A358:L358), Source!$E358, "")</f>
        <v/>
      </c>
      <c r="M358" s="2" t="str">
        <f>IF(Source!$C358&gt;=COLUMNS($A358:M358), Source!$E358, "")</f>
        <v/>
      </c>
      <c r="N358" s="2" t="str">
        <f>IF(Source!$C358&gt;=COLUMNS($A358:N358), Source!$E358, "")</f>
        <v/>
      </c>
      <c r="O358" s="2" t="str">
        <f>IF(Source!$C358&gt;=COLUMNS($A358:O358), Source!$E358, "")</f>
        <v/>
      </c>
      <c r="P358" s="2" t="str">
        <f>IF(Source!$C358&gt;=COLUMNS($A358:P358), Source!$E358, "")</f>
        <v/>
      </c>
      <c r="Q358" s="2" t="str">
        <f>IF(Source!$C358&gt;=COLUMNS($A358:Q358), Source!$E358, "")</f>
        <v/>
      </c>
      <c r="R358" s="2" t="str">
        <f>IF(Source!$C358&gt;=COLUMNS($A358:R358), Source!$E358, "")</f>
        <v/>
      </c>
      <c r="S358" s="2" t="str">
        <f>IF(Source!$C358&gt;=COLUMNS($A358:S358), Source!$E358, "")</f>
        <v/>
      </c>
      <c r="T358" s="2" t="str">
        <f>IF(Source!$C358&gt;=COLUMNS($A358:T358), Source!$E358, "")</f>
        <v/>
      </c>
      <c r="U358" s="2" t="str">
        <f>IF(Source!$C358&gt;=COLUMNS($A358:U358), Source!$E358, "")</f>
        <v/>
      </c>
      <c r="V358" s="2" t="str">
        <f>IF(Source!$C358&gt;=COLUMNS($A358:V358), Source!$E358, "")</f>
        <v/>
      </c>
      <c r="W358" s="2" t="str">
        <f>IF(Source!$C358&gt;=COLUMNS($A358:W358), Source!$E358, "")</f>
        <v/>
      </c>
      <c r="X358" s="2" t="str">
        <f>IF(Source!$C358&gt;=COLUMNS($A358:X358), Source!$E358, "")</f>
        <v/>
      </c>
      <c r="Y358" s="2" t="str">
        <f>IF(Source!$C358&gt;=COLUMNS($A358:Y358), Source!$E358, "")</f>
        <v/>
      </c>
      <c r="Z358" s="2" t="str">
        <f>IF(Source!$C358&gt;=COLUMNS($A358:Z358), Source!$E358, "")</f>
        <v/>
      </c>
      <c r="AA358" s="2" t="str">
        <f>IF(Source!$C358&gt;=COLUMNS($A358:AA358), Source!$E358, "")</f>
        <v/>
      </c>
      <c r="AB358" s="2" t="str">
        <f>IF(Source!$C358&gt;=COLUMNS($A358:AB358), Source!$E358, "")</f>
        <v/>
      </c>
      <c r="AC358" s="2" t="str">
        <f>IF(Source!$C358&gt;=COLUMNS($A358:AC358), Source!$E358, "")</f>
        <v/>
      </c>
      <c r="AD358" s="2" t="str">
        <f>IF(Source!$C358&gt;=COLUMNS($A358:AD358), Source!$E358, "")</f>
        <v/>
      </c>
      <c r="AE358" s="2" t="str">
        <f>IF(Source!$C358&gt;=COLUMNS($A358:AE358), Source!$E358, "")</f>
        <v/>
      </c>
      <c r="AF358" s="2" t="str">
        <f>IF(Source!$C358&gt;=COLUMNS($A358:AF358), Source!$E358, "")</f>
        <v/>
      </c>
      <c r="AG358" s="2" t="str">
        <f>IF(Source!$C358&gt;=COLUMNS($A358:AG358), Source!$E358, "")</f>
        <v/>
      </c>
      <c r="AH358" s="2" t="str">
        <f>IF(Source!$C358&gt;=COLUMNS($A358:AH358), Source!$E358, "")</f>
        <v/>
      </c>
      <c r="AI358" s="2" t="str">
        <f>IF(Source!$C358&gt;=COLUMNS($A358:AI358), Source!$E358, "")</f>
        <v/>
      </c>
      <c r="AJ358" s="2" t="str">
        <f>IF(Source!$C358&gt;=COLUMNS($A358:AJ358), Source!$E358, "")</f>
        <v/>
      </c>
      <c r="AK358" s="2" t="str">
        <f>IF(Source!$C358&gt;=COLUMNS($A358:AK358), Source!$E358, "")</f>
        <v/>
      </c>
      <c r="AL358" s="2" t="str">
        <f>IF(Source!$C358&gt;=COLUMNS($A358:AL358), Source!$E358, "")</f>
        <v/>
      </c>
      <c r="AM358" s="2" t="str">
        <f>IF(Source!$C358&gt;=COLUMNS($A358:AM358), Source!$E358, "")</f>
        <v/>
      </c>
      <c r="AN358" s="2" t="str">
        <f>IF(Source!$C358&gt;=COLUMNS($A358:AN358), Source!$E358, "")</f>
        <v/>
      </c>
      <c r="AO358" s="2" t="str">
        <f>IF(Source!$C358&gt;=COLUMNS($A358:AO358), Source!$E358, "")</f>
        <v/>
      </c>
      <c r="AP358" s="2" t="str">
        <f>IF(Source!$C358&gt;=COLUMNS($A358:AP358), Source!$E358, "")</f>
        <v/>
      </c>
      <c r="AQ358" s="2" t="str">
        <f>IF(Source!$C358&gt;=COLUMNS($A358:AQ358), Source!$E358, "")</f>
        <v/>
      </c>
      <c r="AR358" s="2" t="str">
        <f>IF(Source!$C358&gt;=COLUMNS($A358:AR358), Source!$E358, "")</f>
        <v/>
      </c>
    </row>
    <row r="359">
      <c r="A359" s="2">
        <f>IF(Source!$C359&gt;=COLUMNS($A359:A359), Source!$E359, "")</f>
        <v>3</v>
      </c>
      <c r="B359" s="2">
        <f>IF(Source!$C359&gt;=COLUMNS($A359:B359), Source!$E359, "")</f>
        <v>3</v>
      </c>
      <c r="C359" s="2">
        <f>IF(Source!$C359&gt;=COLUMNS($A359:C359), Source!$E359, "")</f>
        <v>3</v>
      </c>
      <c r="D359" s="2">
        <f>IF(Source!$C359&gt;=COLUMNS($A359:D359), Source!$E359, "")</f>
        <v>3</v>
      </c>
      <c r="E359" s="2">
        <f>IF(Source!$C359&gt;=COLUMNS($A359:E359), Source!$E359, "")</f>
        <v>3</v>
      </c>
      <c r="F359" s="2">
        <f>IF(Source!$C359&gt;=COLUMNS($A359:F359), Source!$E359, "")</f>
        <v>3</v>
      </c>
      <c r="G359" s="2">
        <f>IF(Source!$C359&gt;=COLUMNS($A359:G359), Source!$E359, "")</f>
        <v>3</v>
      </c>
      <c r="H359" s="2">
        <f>IF(Source!$C359&gt;=COLUMNS($A359:H359), Source!$E359, "")</f>
        <v>3</v>
      </c>
      <c r="I359" s="2">
        <f>IF(Source!$C359&gt;=COLUMNS($A359:I359), Source!$E359, "")</f>
        <v>3</v>
      </c>
      <c r="J359" s="2">
        <f>IF(Source!$C359&gt;=COLUMNS($A359:J359), Source!$E359, "")</f>
        <v>3</v>
      </c>
      <c r="K359" s="2" t="str">
        <f>IF(Source!$C359&gt;=COLUMNS($A359:K359), Source!$E359, "")</f>
        <v/>
      </c>
      <c r="L359" s="2" t="str">
        <f>IF(Source!$C359&gt;=COLUMNS($A359:L359), Source!$E359, "")</f>
        <v/>
      </c>
      <c r="M359" s="2" t="str">
        <f>IF(Source!$C359&gt;=COLUMNS($A359:M359), Source!$E359, "")</f>
        <v/>
      </c>
      <c r="N359" s="2" t="str">
        <f>IF(Source!$C359&gt;=COLUMNS($A359:N359), Source!$E359, "")</f>
        <v/>
      </c>
      <c r="O359" s="2" t="str">
        <f>IF(Source!$C359&gt;=COLUMNS($A359:O359), Source!$E359, "")</f>
        <v/>
      </c>
      <c r="P359" s="2" t="str">
        <f>IF(Source!$C359&gt;=COLUMNS($A359:P359), Source!$E359, "")</f>
        <v/>
      </c>
      <c r="Q359" s="2" t="str">
        <f>IF(Source!$C359&gt;=COLUMNS($A359:Q359), Source!$E359, "")</f>
        <v/>
      </c>
      <c r="R359" s="2" t="str">
        <f>IF(Source!$C359&gt;=COLUMNS($A359:R359), Source!$E359, "")</f>
        <v/>
      </c>
      <c r="S359" s="2" t="str">
        <f>IF(Source!$C359&gt;=COLUMNS($A359:S359), Source!$E359, "")</f>
        <v/>
      </c>
      <c r="T359" s="2" t="str">
        <f>IF(Source!$C359&gt;=COLUMNS($A359:T359), Source!$E359, "")</f>
        <v/>
      </c>
      <c r="U359" s="2" t="str">
        <f>IF(Source!$C359&gt;=COLUMNS($A359:U359), Source!$E359, "")</f>
        <v/>
      </c>
      <c r="V359" s="2" t="str">
        <f>IF(Source!$C359&gt;=COLUMNS($A359:V359), Source!$E359, "")</f>
        <v/>
      </c>
      <c r="W359" s="2" t="str">
        <f>IF(Source!$C359&gt;=COLUMNS($A359:W359), Source!$E359, "")</f>
        <v/>
      </c>
      <c r="X359" s="2" t="str">
        <f>IF(Source!$C359&gt;=COLUMNS($A359:X359), Source!$E359, "")</f>
        <v/>
      </c>
      <c r="Y359" s="2" t="str">
        <f>IF(Source!$C359&gt;=COLUMNS($A359:Y359), Source!$E359, "")</f>
        <v/>
      </c>
      <c r="Z359" s="2" t="str">
        <f>IF(Source!$C359&gt;=COLUMNS($A359:Z359), Source!$E359, "")</f>
        <v/>
      </c>
      <c r="AA359" s="2" t="str">
        <f>IF(Source!$C359&gt;=COLUMNS($A359:AA359), Source!$E359, "")</f>
        <v/>
      </c>
      <c r="AB359" s="2" t="str">
        <f>IF(Source!$C359&gt;=COLUMNS($A359:AB359), Source!$E359, "")</f>
        <v/>
      </c>
      <c r="AC359" s="2" t="str">
        <f>IF(Source!$C359&gt;=COLUMNS($A359:AC359), Source!$E359, "")</f>
        <v/>
      </c>
      <c r="AD359" s="2" t="str">
        <f>IF(Source!$C359&gt;=COLUMNS($A359:AD359), Source!$E359, "")</f>
        <v/>
      </c>
      <c r="AE359" s="2" t="str">
        <f>IF(Source!$C359&gt;=COLUMNS($A359:AE359), Source!$E359, "")</f>
        <v/>
      </c>
      <c r="AF359" s="2" t="str">
        <f>IF(Source!$C359&gt;=COLUMNS($A359:AF359), Source!$E359, "")</f>
        <v/>
      </c>
      <c r="AG359" s="2" t="str">
        <f>IF(Source!$C359&gt;=COLUMNS($A359:AG359), Source!$E359, "")</f>
        <v/>
      </c>
      <c r="AH359" s="2" t="str">
        <f>IF(Source!$C359&gt;=COLUMNS($A359:AH359), Source!$E359, "")</f>
        <v/>
      </c>
      <c r="AI359" s="2" t="str">
        <f>IF(Source!$C359&gt;=COLUMNS($A359:AI359), Source!$E359, "")</f>
        <v/>
      </c>
      <c r="AJ359" s="2" t="str">
        <f>IF(Source!$C359&gt;=COLUMNS($A359:AJ359), Source!$E359, "")</f>
        <v/>
      </c>
      <c r="AK359" s="2" t="str">
        <f>IF(Source!$C359&gt;=COLUMNS($A359:AK359), Source!$E359, "")</f>
        <v/>
      </c>
      <c r="AL359" s="2" t="str">
        <f>IF(Source!$C359&gt;=COLUMNS($A359:AL359), Source!$E359, "")</f>
        <v/>
      </c>
      <c r="AM359" s="2" t="str">
        <f>IF(Source!$C359&gt;=COLUMNS($A359:AM359), Source!$E359, "")</f>
        <v/>
      </c>
      <c r="AN359" s="2" t="str">
        <f>IF(Source!$C359&gt;=COLUMNS($A359:AN359), Source!$E359, "")</f>
        <v/>
      </c>
      <c r="AO359" s="2" t="str">
        <f>IF(Source!$C359&gt;=COLUMNS($A359:AO359), Source!$E359, "")</f>
        <v/>
      </c>
      <c r="AP359" s="2" t="str">
        <f>IF(Source!$C359&gt;=COLUMNS($A359:AP359), Source!$E359, "")</f>
        <v/>
      </c>
      <c r="AQ359" s="2" t="str">
        <f>IF(Source!$C359&gt;=COLUMNS($A359:AQ359), Source!$E359, "")</f>
        <v/>
      </c>
      <c r="AR359" s="2" t="str">
        <f>IF(Source!$C359&gt;=COLUMNS($A359:AR359), Source!$E359, "")</f>
        <v/>
      </c>
    </row>
    <row r="360">
      <c r="A360" s="2">
        <f>IF(Source!$C360&gt;=COLUMNS($A360:A360), Source!$E360, "")</f>
        <v>6</v>
      </c>
      <c r="B360" s="2">
        <f>IF(Source!$C360&gt;=COLUMNS($A360:B360), Source!$E360, "")</f>
        <v>6</v>
      </c>
      <c r="C360" s="2">
        <f>IF(Source!$C360&gt;=COLUMNS($A360:C360), Source!$E360, "")</f>
        <v>6</v>
      </c>
      <c r="D360" s="2">
        <f>IF(Source!$C360&gt;=COLUMNS($A360:D360), Source!$E360, "")</f>
        <v>6</v>
      </c>
      <c r="E360" s="2">
        <f>IF(Source!$C360&gt;=COLUMNS($A360:E360), Source!$E360, "")</f>
        <v>6</v>
      </c>
      <c r="F360" s="2">
        <f>IF(Source!$C360&gt;=COLUMNS($A360:F360), Source!$E360, "")</f>
        <v>6</v>
      </c>
      <c r="G360" s="2">
        <f>IF(Source!$C360&gt;=COLUMNS($A360:G360), Source!$E360, "")</f>
        <v>6</v>
      </c>
      <c r="H360" s="2">
        <f>IF(Source!$C360&gt;=COLUMNS($A360:H360), Source!$E360, "")</f>
        <v>6</v>
      </c>
      <c r="I360" s="2">
        <f>IF(Source!$C360&gt;=COLUMNS($A360:I360), Source!$E360, "")</f>
        <v>6</v>
      </c>
      <c r="J360" s="2">
        <f>IF(Source!$C360&gt;=COLUMNS($A360:J360), Source!$E360, "")</f>
        <v>6</v>
      </c>
      <c r="K360" s="2">
        <f>IF(Source!$C360&gt;=COLUMNS($A360:K360), Source!$E360, "")</f>
        <v>6</v>
      </c>
      <c r="L360" s="2">
        <f>IF(Source!$C360&gt;=COLUMNS($A360:L360), Source!$E360, "")</f>
        <v>6</v>
      </c>
      <c r="M360" s="2">
        <f>IF(Source!$C360&gt;=COLUMNS($A360:M360), Source!$E360, "")</f>
        <v>6</v>
      </c>
      <c r="N360" s="2">
        <f>IF(Source!$C360&gt;=COLUMNS($A360:N360), Source!$E360, "")</f>
        <v>6</v>
      </c>
      <c r="O360" s="2">
        <f>IF(Source!$C360&gt;=COLUMNS($A360:O360), Source!$E360, "")</f>
        <v>6</v>
      </c>
      <c r="P360" s="2">
        <f>IF(Source!$C360&gt;=COLUMNS($A360:P360), Source!$E360, "")</f>
        <v>6</v>
      </c>
      <c r="Q360" s="2">
        <f>IF(Source!$C360&gt;=COLUMNS($A360:Q360), Source!$E360, "")</f>
        <v>6</v>
      </c>
      <c r="R360" s="2">
        <f>IF(Source!$C360&gt;=COLUMNS($A360:R360), Source!$E360, "")</f>
        <v>6</v>
      </c>
      <c r="S360" s="2">
        <f>IF(Source!$C360&gt;=COLUMNS($A360:S360), Source!$E360, "")</f>
        <v>6</v>
      </c>
      <c r="T360" s="2">
        <f>IF(Source!$C360&gt;=COLUMNS($A360:T360), Source!$E360, "")</f>
        <v>6</v>
      </c>
      <c r="U360" s="2">
        <f>IF(Source!$C360&gt;=COLUMNS($A360:U360), Source!$E360, "")</f>
        <v>6</v>
      </c>
      <c r="V360" s="2">
        <f>IF(Source!$C360&gt;=COLUMNS($A360:V360), Source!$E360, "")</f>
        <v>6</v>
      </c>
      <c r="W360" s="2">
        <f>IF(Source!$C360&gt;=COLUMNS($A360:W360), Source!$E360, "")</f>
        <v>6</v>
      </c>
      <c r="X360" s="2">
        <f>IF(Source!$C360&gt;=COLUMNS($A360:X360), Source!$E360, "")</f>
        <v>6</v>
      </c>
      <c r="Y360" s="2">
        <f>IF(Source!$C360&gt;=COLUMNS($A360:Y360), Source!$E360, "")</f>
        <v>6</v>
      </c>
      <c r="Z360" s="2">
        <f>IF(Source!$C360&gt;=COLUMNS($A360:Z360), Source!$E360, "")</f>
        <v>6</v>
      </c>
      <c r="AA360" s="2">
        <f>IF(Source!$C360&gt;=COLUMNS($A360:AA360), Source!$E360, "")</f>
        <v>6</v>
      </c>
      <c r="AB360" s="2">
        <f>IF(Source!$C360&gt;=COLUMNS($A360:AB360), Source!$E360, "")</f>
        <v>6</v>
      </c>
      <c r="AC360" s="2">
        <f>IF(Source!$C360&gt;=COLUMNS($A360:AC360), Source!$E360, "")</f>
        <v>6</v>
      </c>
      <c r="AD360" s="2">
        <f>IF(Source!$C360&gt;=COLUMNS($A360:AD360), Source!$E360, "")</f>
        <v>6</v>
      </c>
      <c r="AE360" s="2">
        <f>IF(Source!$C360&gt;=COLUMNS($A360:AE360), Source!$E360, "")</f>
        <v>6</v>
      </c>
      <c r="AF360" s="2">
        <f>IF(Source!$C360&gt;=COLUMNS($A360:AF360), Source!$E360, "")</f>
        <v>6</v>
      </c>
      <c r="AG360" s="2">
        <f>IF(Source!$C360&gt;=COLUMNS($A360:AG360), Source!$E360, "")</f>
        <v>6</v>
      </c>
      <c r="AH360" s="2">
        <f>IF(Source!$C360&gt;=COLUMNS($A360:AH360), Source!$E360, "")</f>
        <v>6</v>
      </c>
      <c r="AI360" s="2">
        <f>IF(Source!$C360&gt;=COLUMNS($A360:AI360), Source!$E360, "")</f>
        <v>6</v>
      </c>
      <c r="AJ360" s="2">
        <f>IF(Source!$C360&gt;=COLUMNS($A360:AJ360), Source!$E360, "")</f>
        <v>6</v>
      </c>
      <c r="AK360" s="2">
        <f>IF(Source!$C360&gt;=COLUMNS($A360:AK360), Source!$E360, "")</f>
        <v>6</v>
      </c>
      <c r="AL360" s="2">
        <f>IF(Source!$C360&gt;=COLUMNS($A360:AL360), Source!$E360, "")</f>
        <v>6</v>
      </c>
      <c r="AM360" s="2">
        <f>IF(Source!$C360&gt;=COLUMNS($A360:AM360), Source!$E360, "")</f>
        <v>6</v>
      </c>
      <c r="AN360" s="2">
        <f>IF(Source!$C360&gt;=COLUMNS($A360:AN360), Source!$E360, "")</f>
        <v>6</v>
      </c>
      <c r="AO360" s="2">
        <f>IF(Source!$C360&gt;=COLUMNS($A360:AO360), Source!$E360, "")</f>
        <v>6</v>
      </c>
      <c r="AP360" s="2">
        <f>IF(Source!$C360&gt;=COLUMNS($A360:AP360), Source!$E360, "")</f>
        <v>6</v>
      </c>
      <c r="AQ360" s="2">
        <f>IF(Source!$C360&gt;=COLUMNS($A360:AQ360), Source!$E360, "")</f>
        <v>6</v>
      </c>
      <c r="AR360" s="2">
        <f>IF(Source!$C360&gt;=COLUMNS($A360:AR360), Source!$E360, "")</f>
        <v>6</v>
      </c>
    </row>
    <row r="361">
      <c r="A361" s="2">
        <f>IF(Source!$C361&gt;=COLUMNS($A361:A361), Source!$E361, "")</f>
        <v>5</v>
      </c>
      <c r="B361" s="2">
        <f>IF(Source!$C361&gt;=COLUMNS($A361:B361), Source!$E361, "")</f>
        <v>5</v>
      </c>
      <c r="C361" s="2" t="str">
        <f>IF(Source!$C361&gt;=COLUMNS($A361:C361), Source!$E361, "")</f>
        <v/>
      </c>
      <c r="D361" s="2" t="str">
        <f>IF(Source!$C361&gt;=COLUMNS($A361:D361), Source!$E361, "")</f>
        <v/>
      </c>
      <c r="E361" s="2" t="str">
        <f>IF(Source!$C361&gt;=COLUMNS($A361:E361), Source!$E361, "")</f>
        <v/>
      </c>
      <c r="F361" s="2" t="str">
        <f>IF(Source!$C361&gt;=COLUMNS($A361:F361), Source!$E361, "")</f>
        <v/>
      </c>
      <c r="G361" s="2" t="str">
        <f>IF(Source!$C361&gt;=COLUMNS($A361:G361), Source!$E361, "")</f>
        <v/>
      </c>
      <c r="H361" s="2" t="str">
        <f>IF(Source!$C361&gt;=COLUMNS($A361:H361), Source!$E361, "")</f>
        <v/>
      </c>
      <c r="I361" s="2" t="str">
        <f>IF(Source!$C361&gt;=COLUMNS($A361:I361), Source!$E361, "")</f>
        <v/>
      </c>
      <c r="J361" s="2" t="str">
        <f>IF(Source!$C361&gt;=COLUMNS($A361:J361), Source!$E361, "")</f>
        <v/>
      </c>
      <c r="K361" s="2" t="str">
        <f>IF(Source!$C361&gt;=COLUMNS($A361:K361), Source!$E361, "")</f>
        <v/>
      </c>
      <c r="L361" s="2" t="str">
        <f>IF(Source!$C361&gt;=COLUMNS($A361:L361), Source!$E361, "")</f>
        <v/>
      </c>
      <c r="M361" s="2" t="str">
        <f>IF(Source!$C361&gt;=COLUMNS($A361:M361), Source!$E361, "")</f>
        <v/>
      </c>
      <c r="N361" s="2" t="str">
        <f>IF(Source!$C361&gt;=COLUMNS($A361:N361), Source!$E361, "")</f>
        <v/>
      </c>
      <c r="O361" s="2" t="str">
        <f>IF(Source!$C361&gt;=COLUMNS($A361:O361), Source!$E361, "")</f>
        <v/>
      </c>
      <c r="P361" s="2" t="str">
        <f>IF(Source!$C361&gt;=COLUMNS($A361:P361), Source!$E361, "")</f>
        <v/>
      </c>
      <c r="Q361" s="2" t="str">
        <f>IF(Source!$C361&gt;=COLUMNS($A361:Q361), Source!$E361, "")</f>
        <v/>
      </c>
      <c r="R361" s="2" t="str">
        <f>IF(Source!$C361&gt;=COLUMNS($A361:R361), Source!$E361, "")</f>
        <v/>
      </c>
      <c r="S361" s="2" t="str">
        <f>IF(Source!$C361&gt;=COLUMNS($A361:S361), Source!$E361, "")</f>
        <v/>
      </c>
      <c r="T361" s="2" t="str">
        <f>IF(Source!$C361&gt;=COLUMNS($A361:T361), Source!$E361, "")</f>
        <v/>
      </c>
      <c r="U361" s="2" t="str">
        <f>IF(Source!$C361&gt;=COLUMNS($A361:U361), Source!$E361, "")</f>
        <v/>
      </c>
      <c r="V361" s="2" t="str">
        <f>IF(Source!$C361&gt;=COLUMNS($A361:V361), Source!$E361, "")</f>
        <v/>
      </c>
      <c r="W361" s="2" t="str">
        <f>IF(Source!$C361&gt;=COLUMNS($A361:W361), Source!$E361, "")</f>
        <v/>
      </c>
      <c r="X361" s="2" t="str">
        <f>IF(Source!$C361&gt;=COLUMNS($A361:X361), Source!$E361, "")</f>
        <v/>
      </c>
      <c r="Y361" s="2" t="str">
        <f>IF(Source!$C361&gt;=COLUMNS($A361:Y361), Source!$E361, "")</f>
        <v/>
      </c>
      <c r="Z361" s="2" t="str">
        <f>IF(Source!$C361&gt;=COLUMNS($A361:Z361), Source!$E361, "")</f>
        <v/>
      </c>
      <c r="AA361" s="2" t="str">
        <f>IF(Source!$C361&gt;=COLUMNS($A361:AA361), Source!$E361, "")</f>
        <v/>
      </c>
      <c r="AB361" s="2" t="str">
        <f>IF(Source!$C361&gt;=COLUMNS($A361:AB361), Source!$E361, "")</f>
        <v/>
      </c>
      <c r="AC361" s="2" t="str">
        <f>IF(Source!$C361&gt;=COLUMNS($A361:AC361), Source!$E361, "")</f>
        <v/>
      </c>
      <c r="AD361" s="2" t="str">
        <f>IF(Source!$C361&gt;=COLUMNS($A361:AD361), Source!$E361, "")</f>
        <v/>
      </c>
      <c r="AE361" s="2" t="str">
        <f>IF(Source!$C361&gt;=COLUMNS($A361:AE361), Source!$E361, "")</f>
        <v/>
      </c>
      <c r="AF361" s="2" t="str">
        <f>IF(Source!$C361&gt;=COLUMNS($A361:AF361), Source!$E361, "")</f>
        <v/>
      </c>
      <c r="AG361" s="2" t="str">
        <f>IF(Source!$C361&gt;=COLUMNS($A361:AG361), Source!$E361, "")</f>
        <v/>
      </c>
      <c r="AH361" s="2" t="str">
        <f>IF(Source!$C361&gt;=COLUMNS($A361:AH361), Source!$E361, "")</f>
        <v/>
      </c>
      <c r="AI361" s="2" t="str">
        <f>IF(Source!$C361&gt;=COLUMNS($A361:AI361), Source!$E361, "")</f>
        <v/>
      </c>
      <c r="AJ361" s="2" t="str">
        <f>IF(Source!$C361&gt;=COLUMNS($A361:AJ361), Source!$E361, "")</f>
        <v/>
      </c>
      <c r="AK361" s="2" t="str">
        <f>IF(Source!$C361&gt;=COLUMNS($A361:AK361), Source!$E361, "")</f>
        <v/>
      </c>
      <c r="AL361" s="2" t="str">
        <f>IF(Source!$C361&gt;=COLUMNS($A361:AL361), Source!$E361, "")</f>
        <v/>
      </c>
      <c r="AM361" s="2" t="str">
        <f>IF(Source!$C361&gt;=COLUMNS($A361:AM361), Source!$E361, "")</f>
        <v/>
      </c>
      <c r="AN361" s="2" t="str">
        <f>IF(Source!$C361&gt;=COLUMNS($A361:AN361), Source!$E361, "")</f>
        <v/>
      </c>
      <c r="AO361" s="2" t="str">
        <f>IF(Source!$C361&gt;=COLUMNS($A361:AO361), Source!$E361, "")</f>
        <v/>
      </c>
      <c r="AP361" s="2" t="str">
        <f>IF(Source!$C361&gt;=COLUMNS($A361:AP361), Source!$E361, "")</f>
        <v/>
      </c>
      <c r="AQ361" s="2" t="str">
        <f>IF(Source!$C361&gt;=COLUMNS($A361:AQ361), Source!$E361, "")</f>
        <v/>
      </c>
      <c r="AR361" s="2" t="str">
        <f>IF(Source!$C361&gt;=COLUMNS($A361:AR361), Source!$E361, "")</f>
        <v/>
      </c>
    </row>
    <row r="362">
      <c r="A362" s="2">
        <f>IF(Source!$C362&gt;=COLUMNS($A362:A362), Source!$E362, "")</f>
        <v>5</v>
      </c>
      <c r="B362" s="2" t="str">
        <f>IF(Source!$C362&gt;=COLUMNS($A362:B362), Source!$E362, "")</f>
        <v/>
      </c>
      <c r="C362" s="2" t="str">
        <f>IF(Source!$C362&gt;=COLUMNS($A362:C362), Source!$E362, "")</f>
        <v/>
      </c>
      <c r="D362" s="2" t="str">
        <f>IF(Source!$C362&gt;=COLUMNS($A362:D362), Source!$E362, "")</f>
        <v/>
      </c>
      <c r="E362" s="2" t="str">
        <f>IF(Source!$C362&gt;=COLUMNS($A362:E362), Source!$E362, "")</f>
        <v/>
      </c>
      <c r="F362" s="2" t="str">
        <f>IF(Source!$C362&gt;=COLUMNS($A362:F362), Source!$E362, "")</f>
        <v/>
      </c>
      <c r="G362" s="2" t="str">
        <f>IF(Source!$C362&gt;=COLUMNS($A362:G362), Source!$E362, "")</f>
        <v/>
      </c>
      <c r="H362" s="2" t="str">
        <f>IF(Source!$C362&gt;=COLUMNS($A362:H362), Source!$E362, "")</f>
        <v/>
      </c>
      <c r="I362" s="2" t="str">
        <f>IF(Source!$C362&gt;=COLUMNS($A362:I362), Source!$E362, "")</f>
        <v/>
      </c>
      <c r="J362" s="2" t="str">
        <f>IF(Source!$C362&gt;=COLUMNS($A362:J362), Source!$E362, "")</f>
        <v/>
      </c>
      <c r="K362" s="2" t="str">
        <f>IF(Source!$C362&gt;=COLUMNS($A362:K362), Source!$E362, "")</f>
        <v/>
      </c>
      <c r="L362" s="2" t="str">
        <f>IF(Source!$C362&gt;=COLUMNS($A362:L362), Source!$E362, "")</f>
        <v/>
      </c>
      <c r="M362" s="2" t="str">
        <f>IF(Source!$C362&gt;=COLUMNS($A362:M362), Source!$E362, "")</f>
        <v/>
      </c>
      <c r="N362" s="2" t="str">
        <f>IF(Source!$C362&gt;=COLUMNS($A362:N362), Source!$E362, "")</f>
        <v/>
      </c>
      <c r="O362" s="2" t="str">
        <f>IF(Source!$C362&gt;=COLUMNS($A362:O362), Source!$E362, "")</f>
        <v/>
      </c>
      <c r="P362" s="2" t="str">
        <f>IF(Source!$C362&gt;=COLUMNS($A362:P362), Source!$E362, "")</f>
        <v/>
      </c>
      <c r="Q362" s="2" t="str">
        <f>IF(Source!$C362&gt;=COLUMNS($A362:Q362), Source!$E362, "")</f>
        <v/>
      </c>
      <c r="R362" s="2" t="str">
        <f>IF(Source!$C362&gt;=COLUMNS($A362:R362), Source!$E362, "")</f>
        <v/>
      </c>
      <c r="S362" s="2" t="str">
        <f>IF(Source!$C362&gt;=COLUMNS($A362:S362), Source!$E362, "")</f>
        <v/>
      </c>
      <c r="T362" s="2" t="str">
        <f>IF(Source!$C362&gt;=COLUMNS($A362:T362), Source!$E362, "")</f>
        <v/>
      </c>
      <c r="U362" s="2" t="str">
        <f>IF(Source!$C362&gt;=COLUMNS($A362:U362), Source!$E362, "")</f>
        <v/>
      </c>
      <c r="V362" s="2" t="str">
        <f>IF(Source!$C362&gt;=COLUMNS($A362:V362), Source!$E362, "")</f>
        <v/>
      </c>
      <c r="W362" s="2" t="str">
        <f>IF(Source!$C362&gt;=COLUMNS($A362:W362), Source!$E362, "")</f>
        <v/>
      </c>
      <c r="X362" s="2" t="str">
        <f>IF(Source!$C362&gt;=COLUMNS($A362:X362), Source!$E362, "")</f>
        <v/>
      </c>
      <c r="Y362" s="2" t="str">
        <f>IF(Source!$C362&gt;=COLUMNS($A362:Y362), Source!$E362, "")</f>
        <v/>
      </c>
      <c r="Z362" s="2" t="str">
        <f>IF(Source!$C362&gt;=COLUMNS($A362:Z362), Source!$E362, "")</f>
        <v/>
      </c>
      <c r="AA362" s="2" t="str">
        <f>IF(Source!$C362&gt;=COLUMNS($A362:AA362), Source!$E362, "")</f>
        <v/>
      </c>
      <c r="AB362" s="2" t="str">
        <f>IF(Source!$C362&gt;=COLUMNS($A362:AB362), Source!$E362, "")</f>
        <v/>
      </c>
      <c r="AC362" s="2" t="str">
        <f>IF(Source!$C362&gt;=COLUMNS($A362:AC362), Source!$E362, "")</f>
        <v/>
      </c>
      <c r="AD362" s="2" t="str">
        <f>IF(Source!$C362&gt;=COLUMNS($A362:AD362), Source!$E362, "")</f>
        <v/>
      </c>
      <c r="AE362" s="2" t="str">
        <f>IF(Source!$C362&gt;=COLUMNS($A362:AE362), Source!$E362, "")</f>
        <v/>
      </c>
      <c r="AF362" s="2" t="str">
        <f>IF(Source!$C362&gt;=COLUMNS($A362:AF362), Source!$E362, "")</f>
        <v/>
      </c>
      <c r="AG362" s="2" t="str">
        <f>IF(Source!$C362&gt;=COLUMNS($A362:AG362), Source!$E362, "")</f>
        <v/>
      </c>
      <c r="AH362" s="2" t="str">
        <f>IF(Source!$C362&gt;=COLUMNS($A362:AH362), Source!$E362, "")</f>
        <v/>
      </c>
      <c r="AI362" s="2" t="str">
        <f>IF(Source!$C362&gt;=COLUMNS($A362:AI362), Source!$E362, "")</f>
        <v/>
      </c>
      <c r="AJ362" s="2" t="str">
        <f>IF(Source!$C362&gt;=COLUMNS($A362:AJ362), Source!$E362, "")</f>
        <v/>
      </c>
      <c r="AK362" s="2" t="str">
        <f>IF(Source!$C362&gt;=COLUMNS($A362:AK362), Source!$E362, "")</f>
        <v/>
      </c>
      <c r="AL362" s="2" t="str">
        <f>IF(Source!$C362&gt;=COLUMNS($A362:AL362), Source!$E362, "")</f>
        <v/>
      </c>
      <c r="AM362" s="2" t="str">
        <f>IF(Source!$C362&gt;=COLUMNS($A362:AM362), Source!$E362, "")</f>
        <v/>
      </c>
      <c r="AN362" s="2" t="str">
        <f>IF(Source!$C362&gt;=COLUMNS($A362:AN362), Source!$E362, "")</f>
        <v/>
      </c>
      <c r="AO362" s="2" t="str">
        <f>IF(Source!$C362&gt;=COLUMNS($A362:AO362), Source!$E362, "")</f>
        <v/>
      </c>
      <c r="AP362" s="2" t="str">
        <f>IF(Source!$C362&gt;=COLUMNS($A362:AP362), Source!$E362, "")</f>
        <v/>
      </c>
      <c r="AQ362" s="2" t="str">
        <f>IF(Source!$C362&gt;=COLUMNS($A362:AQ362), Source!$E362, "")</f>
        <v/>
      </c>
      <c r="AR362" s="2" t="str">
        <f>IF(Source!$C362&gt;=COLUMNS($A362:AR362), Source!$E362, "")</f>
        <v/>
      </c>
    </row>
    <row r="363">
      <c r="A363" s="2">
        <f>IF(Source!$C363&gt;=COLUMNS($A363:A363), Source!$E363, "")</f>
        <v>9</v>
      </c>
      <c r="B363" s="2">
        <f>IF(Source!$C363&gt;=COLUMNS($A363:B363), Source!$E363, "")</f>
        <v>9</v>
      </c>
      <c r="C363" s="2">
        <f>IF(Source!$C363&gt;=COLUMNS($A363:C363), Source!$E363, "")</f>
        <v>9</v>
      </c>
      <c r="D363" s="2">
        <f>IF(Source!$C363&gt;=COLUMNS($A363:D363), Source!$E363, "")</f>
        <v>9</v>
      </c>
      <c r="E363" s="2">
        <f>IF(Source!$C363&gt;=COLUMNS($A363:E363), Source!$E363, "")</f>
        <v>9</v>
      </c>
      <c r="F363" s="2">
        <f>IF(Source!$C363&gt;=COLUMNS($A363:F363), Source!$E363, "")</f>
        <v>9</v>
      </c>
      <c r="G363" s="2">
        <f>IF(Source!$C363&gt;=COLUMNS($A363:G363), Source!$E363, "")</f>
        <v>9</v>
      </c>
      <c r="H363" s="2">
        <f>IF(Source!$C363&gt;=COLUMNS($A363:H363), Source!$E363, "")</f>
        <v>9</v>
      </c>
      <c r="I363" s="2">
        <f>IF(Source!$C363&gt;=COLUMNS($A363:I363), Source!$E363, "")</f>
        <v>9</v>
      </c>
      <c r="J363" s="2">
        <f>IF(Source!$C363&gt;=COLUMNS($A363:J363), Source!$E363, "")</f>
        <v>9</v>
      </c>
      <c r="K363" s="2">
        <f>IF(Source!$C363&gt;=COLUMNS($A363:K363), Source!$E363, "")</f>
        <v>9</v>
      </c>
      <c r="L363" s="2">
        <f>IF(Source!$C363&gt;=COLUMNS($A363:L363), Source!$E363, "")</f>
        <v>9</v>
      </c>
      <c r="M363" s="2">
        <f>IF(Source!$C363&gt;=COLUMNS($A363:M363), Source!$E363, "")</f>
        <v>9</v>
      </c>
      <c r="N363" s="2">
        <f>IF(Source!$C363&gt;=COLUMNS($A363:N363), Source!$E363, "")</f>
        <v>9</v>
      </c>
      <c r="O363" s="2">
        <f>IF(Source!$C363&gt;=COLUMNS($A363:O363), Source!$E363, "")</f>
        <v>9</v>
      </c>
      <c r="P363" s="2">
        <f>IF(Source!$C363&gt;=COLUMNS($A363:P363), Source!$E363, "")</f>
        <v>9</v>
      </c>
      <c r="Q363" s="2">
        <f>IF(Source!$C363&gt;=COLUMNS($A363:Q363), Source!$E363, "")</f>
        <v>9</v>
      </c>
      <c r="R363" s="2">
        <f>IF(Source!$C363&gt;=COLUMNS($A363:R363), Source!$E363, "")</f>
        <v>9</v>
      </c>
      <c r="S363" s="2">
        <f>IF(Source!$C363&gt;=COLUMNS($A363:S363), Source!$E363, "")</f>
        <v>9</v>
      </c>
      <c r="T363" s="2">
        <f>IF(Source!$C363&gt;=COLUMNS($A363:T363), Source!$E363, "")</f>
        <v>9</v>
      </c>
      <c r="U363" s="2">
        <f>IF(Source!$C363&gt;=COLUMNS($A363:U363), Source!$E363, "")</f>
        <v>9</v>
      </c>
      <c r="V363" s="2">
        <f>IF(Source!$C363&gt;=COLUMNS($A363:V363), Source!$E363, "")</f>
        <v>9</v>
      </c>
      <c r="W363" s="2">
        <f>IF(Source!$C363&gt;=COLUMNS($A363:W363), Source!$E363, "")</f>
        <v>9</v>
      </c>
      <c r="X363" s="2">
        <f>IF(Source!$C363&gt;=COLUMNS($A363:X363), Source!$E363, "")</f>
        <v>9</v>
      </c>
      <c r="Y363" s="2">
        <f>IF(Source!$C363&gt;=COLUMNS($A363:Y363), Source!$E363, "")</f>
        <v>9</v>
      </c>
      <c r="Z363" s="2">
        <f>IF(Source!$C363&gt;=COLUMNS($A363:Z363), Source!$E363, "")</f>
        <v>9</v>
      </c>
      <c r="AA363" s="2">
        <f>IF(Source!$C363&gt;=COLUMNS($A363:AA363), Source!$E363, "")</f>
        <v>9</v>
      </c>
      <c r="AB363" s="2">
        <f>IF(Source!$C363&gt;=COLUMNS($A363:AB363), Source!$E363, "")</f>
        <v>9</v>
      </c>
      <c r="AC363" s="2">
        <f>IF(Source!$C363&gt;=COLUMNS($A363:AC363), Source!$E363, "")</f>
        <v>9</v>
      </c>
      <c r="AD363" s="2">
        <f>IF(Source!$C363&gt;=COLUMNS($A363:AD363), Source!$E363, "")</f>
        <v>9</v>
      </c>
      <c r="AE363" s="2">
        <f>IF(Source!$C363&gt;=COLUMNS($A363:AE363), Source!$E363, "")</f>
        <v>9</v>
      </c>
      <c r="AF363" s="2">
        <f>IF(Source!$C363&gt;=COLUMNS($A363:AF363), Source!$E363, "")</f>
        <v>9</v>
      </c>
      <c r="AG363" s="2">
        <f>IF(Source!$C363&gt;=COLUMNS($A363:AG363), Source!$E363, "")</f>
        <v>9</v>
      </c>
      <c r="AH363" s="2">
        <f>IF(Source!$C363&gt;=COLUMNS($A363:AH363), Source!$E363, "")</f>
        <v>9</v>
      </c>
      <c r="AI363" s="2">
        <f>IF(Source!$C363&gt;=COLUMNS($A363:AI363), Source!$E363, "")</f>
        <v>9</v>
      </c>
      <c r="AJ363" s="2">
        <f>IF(Source!$C363&gt;=COLUMNS($A363:AJ363), Source!$E363, "")</f>
        <v>9</v>
      </c>
      <c r="AK363" s="2">
        <f>IF(Source!$C363&gt;=COLUMNS($A363:AK363), Source!$E363, "")</f>
        <v>9</v>
      </c>
      <c r="AL363" s="2">
        <f>IF(Source!$C363&gt;=COLUMNS($A363:AL363), Source!$E363, "")</f>
        <v>9</v>
      </c>
      <c r="AM363" s="2">
        <f>IF(Source!$C363&gt;=COLUMNS($A363:AM363), Source!$E363, "")</f>
        <v>9</v>
      </c>
      <c r="AN363" s="2">
        <f>IF(Source!$C363&gt;=COLUMNS($A363:AN363), Source!$E363, "")</f>
        <v>9</v>
      </c>
      <c r="AO363" s="2">
        <f>IF(Source!$C363&gt;=COLUMNS($A363:AO363), Source!$E363, "")</f>
        <v>9</v>
      </c>
      <c r="AP363" s="2" t="str">
        <f>IF(Source!$C363&gt;=COLUMNS($A363:AP363), Source!$E363, "")</f>
        <v/>
      </c>
      <c r="AQ363" s="2" t="str">
        <f>IF(Source!$C363&gt;=COLUMNS($A363:AQ363), Source!$E363, "")</f>
        <v/>
      </c>
      <c r="AR363" s="2" t="str">
        <f>IF(Source!$C363&gt;=COLUMNS($A363:AR363), Source!$E363, "")</f>
        <v/>
      </c>
    </row>
    <row r="364">
      <c r="A364" s="2">
        <f>IF(Source!$C364&gt;=COLUMNS($A364:A364), Source!$E364, "")</f>
        <v>6</v>
      </c>
      <c r="B364" s="2" t="str">
        <f>IF(Source!$C364&gt;=COLUMNS($A364:B364), Source!$E364, "")</f>
        <v/>
      </c>
      <c r="C364" s="2" t="str">
        <f>IF(Source!$C364&gt;=COLUMNS($A364:C364), Source!$E364, "")</f>
        <v/>
      </c>
      <c r="D364" s="2" t="str">
        <f>IF(Source!$C364&gt;=COLUMNS($A364:D364), Source!$E364, "")</f>
        <v/>
      </c>
      <c r="E364" s="2" t="str">
        <f>IF(Source!$C364&gt;=COLUMNS($A364:E364), Source!$E364, "")</f>
        <v/>
      </c>
      <c r="F364" s="2" t="str">
        <f>IF(Source!$C364&gt;=COLUMNS($A364:F364), Source!$E364, "")</f>
        <v/>
      </c>
      <c r="G364" s="2" t="str">
        <f>IF(Source!$C364&gt;=COLUMNS($A364:G364), Source!$E364, "")</f>
        <v/>
      </c>
      <c r="H364" s="2" t="str">
        <f>IF(Source!$C364&gt;=COLUMNS($A364:H364), Source!$E364, "")</f>
        <v/>
      </c>
      <c r="I364" s="2" t="str">
        <f>IF(Source!$C364&gt;=COLUMNS($A364:I364), Source!$E364, "")</f>
        <v/>
      </c>
      <c r="J364" s="2" t="str">
        <f>IF(Source!$C364&gt;=COLUMNS($A364:J364), Source!$E364, "")</f>
        <v/>
      </c>
      <c r="K364" s="2" t="str">
        <f>IF(Source!$C364&gt;=COLUMNS($A364:K364), Source!$E364, "")</f>
        <v/>
      </c>
      <c r="L364" s="2" t="str">
        <f>IF(Source!$C364&gt;=COLUMNS($A364:L364), Source!$E364, "")</f>
        <v/>
      </c>
      <c r="M364" s="2" t="str">
        <f>IF(Source!$C364&gt;=COLUMNS($A364:M364), Source!$E364, "")</f>
        <v/>
      </c>
      <c r="N364" s="2" t="str">
        <f>IF(Source!$C364&gt;=COLUMNS($A364:N364), Source!$E364, "")</f>
        <v/>
      </c>
      <c r="O364" s="2" t="str">
        <f>IF(Source!$C364&gt;=COLUMNS($A364:O364), Source!$E364, "")</f>
        <v/>
      </c>
      <c r="P364" s="2" t="str">
        <f>IF(Source!$C364&gt;=COLUMNS($A364:P364), Source!$E364, "")</f>
        <v/>
      </c>
      <c r="Q364" s="2" t="str">
        <f>IF(Source!$C364&gt;=COLUMNS($A364:Q364), Source!$E364, "")</f>
        <v/>
      </c>
      <c r="R364" s="2" t="str">
        <f>IF(Source!$C364&gt;=COLUMNS($A364:R364), Source!$E364, "")</f>
        <v/>
      </c>
      <c r="S364" s="2" t="str">
        <f>IF(Source!$C364&gt;=COLUMNS($A364:S364), Source!$E364, "")</f>
        <v/>
      </c>
      <c r="T364" s="2" t="str">
        <f>IF(Source!$C364&gt;=COLUMNS($A364:T364), Source!$E364, "")</f>
        <v/>
      </c>
      <c r="U364" s="2" t="str">
        <f>IF(Source!$C364&gt;=COLUMNS($A364:U364), Source!$E364, "")</f>
        <v/>
      </c>
      <c r="V364" s="2" t="str">
        <f>IF(Source!$C364&gt;=COLUMNS($A364:V364), Source!$E364, "")</f>
        <v/>
      </c>
      <c r="W364" s="2" t="str">
        <f>IF(Source!$C364&gt;=COLUMNS($A364:W364), Source!$E364, "")</f>
        <v/>
      </c>
      <c r="X364" s="2" t="str">
        <f>IF(Source!$C364&gt;=COLUMNS($A364:X364), Source!$E364, "")</f>
        <v/>
      </c>
      <c r="Y364" s="2" t="str">
        <f>IF(Source!$C364&gt;=COLUMNS($A364:Y364), Source!$E364, "")</f>
        <v/>
      </c>
      <c r="Z364" s="2" t="str">
        <f>IF(Source!$C364&gt;=COLUMNS($A364:Z364), Source!$E364, "")</f>
        <v/>
      </c>
      <c r="AA364" s="2" t="str">
        <f>IF(Source!$C364&gt;=COLUMNS($A364:AA364), Source!$E364, "")</f>
        <v/>
      </c>
      <c r="AB364" s="2" t="str">
        <f>IF(Source!$C364&gt;=COLUMNS($A364:AB364), Source!$E364, "")</f>
        <v/>
      </c>
      <c r="AC364" s="2" t="str">
        <f>IF(Source!$C364&gt;=COLUMNS($A364:AC364), Source!$E364, "")</f>
        <v/>
      </c>
      <c r="AD364" s="2" t="str">
        <f>IF(Source!$C364&gt;=COLUMNS($A364:AD364), Source!$E364, "")</f>
        <v/>
      </c>
      <c r="AE364" s="2" t="str">
        <f>IF(Source!$C364&gt;=COLUMNS($A364:AE364), Source!$E364, "")</f>
        <v/>
      </c>
      <c r="AF364" s="2" t="str">
        <f>IF(Source!$C364&gt;=COLUMNS($A364:AF364), Source!$E364, "")</f>
        <v/>
      </c>
      <c r="AG364" s="2" t="str">
        <f>IF(Source!$C364&gt;=COLUMNS($A364:AG364), Source!$E364, "")</f>
        <v/>
      </c>
      <c r="AH364" s="2" t="str">
        <f>IF(Source!$C364&gt;=COLUMNS($A364:AH364), Source!$E364, "")</f>
        <v/>
      </c>
      <c r="AI364" s="2" t="str">
        <f>IF(Source!$C364&gt;=COLUMNS($A364:AI364), Source!$E364, "")</f>
        <v/>
      </c>
      <c r="AJ364" s="2" t="str">
        <f>IF(Source!$C364&gt;=COLUMNS($A364:AJ364), Source!$E364, "")</f>
        <v/>
      </c>
      <c r="AK364" s="2" t="str">
        <f>IF(Source!$C364&gt;=COLUMNS($A364:AK364), Source!$E364, "")</f>
        <v/>
      </c>
      <c r="AL364" s="2" t="str">
        <f>IF(Source!$C364&gt;=COLUMNS($A364:AL364), Source!$E364, "")</f>
        <v/>
      </c>
      <c r="AM364" s="2" t="str">
        <f>IF(Source!$C364&gt;=COLUMNS($A364:AM364), Source!$E364, "")</f>
        <v/>
      </c>
      <c r="AN364" s="2" t="str">
        <f>IF(Source!$C364&gt;=COLUMNS($A364:AN364), Source!$E364, "")</f>
        <v/>
      </c>
      <c r="AO364" s="2" t="str">
        <f>IF(Source!$C364&gt;=COLUMNS($A364:AO364), Source!$E364, "")</f>
        <v/>
      </c>
      <c r="AP364" s="2" t="str">
        <f>IF(Source!$C364&gt;=COLUMNS($A364:AP364), Source!$E364, "")</f>
        <v/>
      </c>
      <c r="AQ364" s="2" t="str">
        <f>IF(Source!$C364&gt;=COLUMNS($A364:AQ364), Source!$E364, "")</f>
        <v/>
      </c>
      <c r="AR364" s="2" t="str">
        <f>IF(Source!$C364&gt;=COLUMNS($A364:AR364), Source!$E364, "")</f>
        <v/>
      </c>
    </row>
    <row r="365">
      <c r="A365" s="2">
        <f>IF(Source!$C365&gt;=COLUMNS($A365:A365), Source!$E365, "")</f>
        <v>8</v>
      </c>
      <c r="B365" s="2">
        <f>IF(Source!$C365&gt;=COLUMNS($A365:B365), Source!$E365, "")</f>
        <v>8</v>
      </c>
      <c r="C365" s="2" t="str">
        <f>IF(Source!$C365&gt;=COLUMNS($A365:C365), Source!$E365, "")</f>
        <v/>
      </c>
      <c r="D365" s="2" t="str">
        <f>IF(Source!$C365&gt;=COLUMNS($A365:D365), Source!$E365, "")</f>
        <v/>
      </c>
      <c r="E365" s="2" t="str">
        <f>IF(Source!$C365&gt;=COLUMNS($A365:E365), Source!$E365, "")</f>
        <v/>
      </c>
      <c r="F365" s="2" t="str">
        <f>IF(Source!$C365&gt;=COLUMNS($A365:F365), Source!$E365, "")</f>
        <v/>
      </c>
      <c r="G365" s="2" t="str">
        <f>IF(Source!$C365&gt;=COLUMNS($A365:G365), Source!$E365, "")</f>
        <v/>
      </c>
      <c r="H365" s="2" t="str">
        <f>IF(Source!$C365&gt;=COLUMNS($A365:H365), Source!$E365, "")</f>
        <v/>
      </c>
      <c r="I365" s="2" t="str">
        <f>IF(Source!$C365&gt;=COLUMNS($A365:I365), Source!$E365, "")</f>
        <v/>
      </c>
      <c r="J365" s="2" t="str">
        <f>IF(Source!$C365&gt;=COLUMNS($A365:J365), Source!$E365, "")</f>
        <v/>
      </c>
      <c r="K365" s="2" t="str">
        <f>IF(Source!$C365&gt;=COLUMNS($A365:K365), Source!$E365, "")</f>
        <v/>
      </c>
      <c r="L365" s="2" t="str">
        <f>IF(Source!$C365&gt;=COLUMNS($A365:L365), Source!$E365, "")</f>
        <v/>
      </c>
      <c r="M365" s="2" t="str">
        <f>IF(Source!$C365&gt;=COLUMNS($A365:M365), Source!$E365, "")</f>
        <v/>
      </c>
      <c r="N365" s="2" t="str">
        <f>IF(Source!$C365&gt;=COLUMNS($A365:N365), Source!$E365, "")</f>
        <v/>
      </c>
      <c r="O365" s="2" t="str">
        <f>IF(Source!$C365&gt;=COLUMNS($A365:O365), Source!$E365, "")</f>
        <v/>
      </c>
      <c r="P365" s="2" t="str">
        <f>IF(Source!$C365&gt;=COLUMNS($A365:P365), Source!$E365, "")</f>
        <v/>
      </c>
      <c r="Q365" s="2" t="str">
        <f>IF(Source!$C365&gt;=COLUMNS($A365:Q365), Source!$E365, "")</f>
        <v/>
      </c>
      <c r="R365" s="2" t="str">
        <f>IF(Source!$C365&gt;=COLUMNS($A365:R365), Source!$E365, "")</f>
        <v/>
      </c>
      <c r="S365" s="2" t="str">
        <f>IF(Source!$C365&gt;=COLUMNS($A365:S365), Source!$E365, "")</f>
        <v/>
      </c>
      <c r="T365" s="2" t="str">
        <f>IF(Source!$C365&gt;=COLUMNS($A365:T365), Source!$E365, "")</f>
        <v/>
      </c>
      <c r="U365" s="2" t="str">
        <f>IF(Source!$C365&gt;=COLUMNS($A365:U365), Source!$E365, "")</f>
        <v/>
      </c>
      <c r="V365" s="2" t="str">
        <f>IF(Source!$C365&gt;=COLUMNS($A365:V365), Source!$E365, "")</f>
        <v/>
      </c>
      <c r="W365" s="2" t="str">
        <f>IF(Source!$C365&gt;=COLUMNS($A365:W365), Source!$E365, "")</f>
        <v/>
      </c>
      <c r="X365" s="2" t="str">
        <f>IF(Source!$C365&gt;=COLUMNS($A365:X365), Source!$E365, "")</f>
        <v/>
      </c>
      <c r="Y365" s="2" t="str">
        <f>IF(Source!$C365&gt;=COLUMNS($A365:Y365), Source!$E365, "")</f>
        <v/>
      </c>
      <c r="Z365" s="2" t="str">
        <f>IF(Source!$C365&gt;=COLUMNS($A365:Z365), Source!$E365, "")</f>
        <v/>
      </c>
      <c r="AA365" s="2" t="str">
        <f>IF(Source!$C365&gt;=COLUMNS($A365:AA365), Source!$E365, "")</f>
        <v/>
      </c>
      <c r="AB365" s="2" t="str">
        <f>IF(Source!$C365&gt;=COLUMNS($A365:AB365), Source!$E365, "")</f>
        <v/>
      </c>
      <c r="AC365" s="2" t="str">
        <f>IF(Source!$C365&gt;=COLUMNS($A365:AC365), Source!$E365, "")</f>
        <v/>
      </c>
      <c r="AD365" s="2" t="str">
        <f>IF(Source!$C365&gt;=COLUMNS($A365:AD365), Source!$E365, "")</f>
        <v/>
      </c>
      <c r="AE365" s="2" t="str">
        <f>IF(Source!$C365&gt;=COLUMNS($A365:AE365), Source!$E365, "")</f>
        <v/>
      </c>
      <c r="AF365" s="2" t="str">
        <f>IF(Source!$C365&gt;=COLUMNS($A365:AF365), Source!$E365, "")</f>
        <v/>
      </c>
      <c r="AG365" s="2" t="str">
        <f>IF(Source!$C365&gt;=COLUMNS($A365:AG365), Source!$E365, "")</f>
        <v/>
      </c>
      <c r="AH365" s="2" t="str">
        <f>IF(Source!$C365&gt;=COLUMNS($A365:AH365), Source!$E365, "")</f>
        <v/>
      </c>
      <c r="AI365" s="2" t="str">
        <f>IF(Source!$C365&gt;=COLUMNS($A365:AI365), Source!$E365, "")</f>
        <v/>
      </c>
      <c r="AJ365" s="2" t="str">
        <f>IF(Source!$C365&gt;=COLUMNS($A365:AJ365), Source!$E365, "")</f>
        <v/>
      </c>
      <c r="AK365" s="2" t="str">
        <f>IF(Source!$C365&gt;=COLUMNS($A365:AK365), Source!$E365, "")</f>
        <v/>
      </c>
      <c r="AL365" s="2" t="str">
        <f>IF(Source!$C365&gt;=COLUMNS($A365:AL365), Source!$E365, "")</f>
        <v/>
      </c>
      <c r="AM365" s="2" t="str">
        <f>IF(Source!$C365&gt;=COLUMNS($A365:AM365), Source!$E365, "")</f>
        <v/>
      </c>
      <c r="AN365" s="2" t="str">
        <f>IF(Source!$C365&gt;=COLUMNS($A365:AN365), Source!$E365, "")</f>
        <v/>
      </c>
      <c r="AO365" s="2" t="str">
        <f>IF(Source!$C365&gt;=COLUMNS($A365:AO365), Source!$E365, "")</f>
        <v/>
      </c>
      <c r="AP365" s="2" t="str">
        <f>IF(Source!$C365&gt;=COLUMNS($A365:AP365), Source!$E365, "")</f>
        <v/>
      </c>
      <c r="AQ365" s="2" t="str">
        <f>IF(Source!$C365&gt;=COLUMNS($A365:AQ365), Source!$E365, "")</f>
        <v/>
      </c>
      <c r="AR365" s="2" t="str">
        <f>IF(Source!$C365&gt;=COLUMNS($A365:AR365), Source!$E365, "")</f>
        <v/>
      </c>
    </row>
    <row r="366">
      <c r="A366" s="2">
        <f>IF(Source!$C366&gt;=COLUMNS($A366:A366), Source!$E366, "")</f>
        <v>7</v>
      </c>
      <c r="B366" s="2" t="str">
        <f>IF(Source!$C366&gt;=COLUMNS($A366:B366), Source!$E366, "")</f>
        <v/>
      </c>
      <c r="C366" s="2" t="str">
        <f>IF(Source!$C366&gt;=COLUMNS($A366:C366), Source!$E366, "")</f>
        <v/>
      </c>
      <c r="D366" s="2" t="str">
        <f>IF(Source!$C366&gt;=COLUMNS($A366:D366), Source!$E366, "")</f>
        <v/>
      </c>
      <c r="E366" s="2" t="str">
        <f>IF(Source!$C366&gt;=COLUMNS($A366:E366), Source!$E366, "")</f>
        <v/>
      </c>
      <c r="F366" s="2" t="str">
        <f>IF(Source!$C366&gt;=COLUMNS($A366:F366), Source!$E366, "")</f>
        <v/>
      </c>
      <c r="G366" s="2" t="str">
        <f>IF(Source!$C366&gt;=COLUMNS($A366:G366), Source!$E366, "")</f>
        <v/>
      </c>
      <c r="H366" s="2" t="str">
        <f>IF(Source!$C366&gt;=COLUMNS($A366:H366), Source!$E366, "")</f>
        <v/>
      </c>
      <c r="I366" s="2" t="str">
        <f>IF(Source!$C366&gt;=COLUMNS($A366:I366), Source!$E366, "")</f>
        <v/>
      </c>
      <c r="J366" s="2" t="str">
        <f>IF(Source!$C366&gt;=COLUMNS($A366:J366), Source!$E366, "")</f>
        <v/>
      </c>
      <c r="K366" s="2" t="str">
        <f>IF(Source!$C366&gt;=COLUMNS($A366:K366), Source!$E366, "")</f>
        <v/>
      </c>
      <c r="L366" s="2" t="str">
        <f>IF(Source!$C366&gt;=COLUMNS($A366:L366), Source!$E366, "")</f>
        <v/>
      </c>
      <c r="M366" s="2" t="str">
        <f>IF(Source!$C366&gt;=COLUMNS($A366:M366), Source!$E366, "")</f>
        <v/>
      </c>
      <c r="N366" s="2" t="str">
        <f>IF(Source!$C366&gt;=COLUMNS($A366:N366), Source!$E366, "")</f>
        <v/>
      </c>
      <c r="O366" s="2" t="str">
        <f>IF(Source!$C366&gt;=COLUMNS($A366:O366), Source!$E366, "")</f>
        <v/>
      </c>
      <c r="P366" s="2" t="str">
        <f>IF(Source!$C366&gt;=COLUMNS($A366:P366), Source!$E366, "")</f>
        <v/>
      </c>
      <c r="Q366" s="2" t="str">
        <f>IF(Source!$C366&gt;=COLUMNS($A366:Q366), Source!$E366, "")</f>
        <v/>
      </c>
      <c r="R366" s="2" t="str">
        <f>IF(Source!$C366&gt;=COLUMNS($A366:R366), Source!$E366, "")</f>
        <v/>
      </c>
      <c r="S366" s="2" t="str">
        <f>IF(Source!$C366&gt;=COLUMNS($A366:S366), Source!$E366, "")</f>
        <v/>
      </c>
      <c r="T366" s="2" t="str">
        <f>IF(Source!$C366&gt;=COLUMNS($A366:T366), Source!$E366, "")</f>
        <v/>
      </c>
      <c r="U366" s="2" t="str">
        <f>IF(Source!$C366&gt;=COLUMNS($A366:U366), Source!$E366, "")</f>
        <v/>
      </c>
      <c r="V366" s="2" t="str">
        <f>IF(Source!$C366&gt;=COLUMNS($A366:V366), Source!$E366, "")</f>
        <v/>
      </c>
      <c r="W366" s="2" t="str">
        <f>IF(Source!$C366&gt;=COLUMNS($A366:W366), Source!$E366, "")</f>
        <v/>
      </c>
      <c r="X366" s="2" t="str">
        <f>IF(Source!$C366&gt;=COLUMNS($A366:X366), Source!$E366, "")</f>
        <v/>
      </c>
      <c r="Y366" s="2" t="str">
        <f>IF(Source!$C366&gt;=COLUMNS($A366:Y366), Source!$E366, "")</f>
        <v/>
      </c>
      <c r="Z366" s="2" t="str">
        <f>IF(Source!$C366&gt;=COLUMNS($A366:Z366), Source!$E366, "")</f>
        <v/>
      </c>
      <c r="AA366" s="2" t="str">
        <f>IF(Source!$C366&gt;=COLUMNS($A366:AA366), Source!$E366, "")</f>
        <v/>
      </c>
      <c r="AB366" s="2" t="str">
        <f>IF(Source!$C366&gt;=COLUMNS($A366:AB366), Source!$E366, "")</f>
        <v/>
      </c>
      <c r="AC366" s="2" t="str">
        <f>IF(Source!$C366&gt;=COLUMNS($A366:AC366), Source!$E366, "")</f>
        <v/>
      </c>
      <c r="AD366" s="2" t="str">
        <f>IF(Source!$C366&gt;=COLUMNS($A366:AD366), Source!$E366, "")</f>
        <v/>
      </c>
      <c r="AE366" s="2" t="str">
        <f>IF(Source!$C366&gt;=COLUMNS($A366:AE366), Source!$E366, "")</f>
        <v/>
      </c>
      <c r="AF366" s="2" t="str">
        <f>IF(Source!$C366&gt;=COLUMNS($A366:AF366), Source!$E366, "")</f>
        <v/>
      </c>
      <c r="AG366" s="2" t="str">
        <f>IF(Source!$C366&gt;=COLUMNS($A366:AG366), Source!$E366, "")</f>
        <v/>
      </c>
      <c r="AH366" s="2" t="str">
        <f>IF(Source!$C366&gt;=COLUMNS($A366:AH366), Source!$E366, "")</f>
        <v/>
      </c>
      <c r="AI366" s="2" t="str">
        <f>IF(Source!$C366&gt;=COLUMNS($A366:AI366), Source!$E366, "")</f>
        <v/>
      </c>
      <c r="AJ366" s="2" t="str">
        <f>IF(Source!$C366&gt;=COLUMNS($A366:AJ366), Source!$E366, "")</f>
        <v/>
      </c>
      <c r="AK366" s="2" t="str">
        <f>IF(Source!$C366&gt;=COLUMNS($A366:AK366), Source!$E366, "")</f>
        <v/>
      </c>
      <c r="AL366" s="2" t="str">
        <f>IF(Source!$C366&gt;=COLUMNS($A366:AL366), Source!$E366, "")</f>
        <v/>
      </c>
      <c r="AM366" s="2" t="str">
        <f>IF(Source!$C366&gt;=COLUMNS($A366:AM366), Source!$E366, "")</f>
        <v/>
      </c>
      <c r="AN366" s="2" t="str">
        <f>IF(Source!$C366&gt;=COLUMNS($A366:AN366), Source!$E366, "")</f>
        <v/>
      </c>
      <c r="AO366" s="2" t="str">
        <f>IF(Source!$C366&gt;=COLUMNS($A366:AO366), Source!$E366, "")</f>
        <v/>
      </c>
      <c r="AP366" s="2" t="str">
        <f>IF(Source!$C366&gt;=COLUMNS($A366:AP366), Source!$E366, "")</f>
        <v/>
      </c>
      <c r="AQ366" s="2" t="str">
        <f>IF(Source!$C366&gt;=COLUMNS($A366:AQ366), Source!$E366, "")</f>
        <v/>
      </c>
      <c r="AR366" s="2" t="str">
        <f>IF(Source!$C366&gt;=COLUMNS($A366:AR366), Source!$E366, "")</f>
        <v/>
      </c>
    </row>
    <row r="367">
      <c r="A367" s="2">
        <f>IF(Source!$C367&gt;=COLUMNS($A367:A367), Source!$E367, "")</f>
        <v>3</v>
      </c>
      <c r="B367" s="2" t="str">
        <f>IF(Source!$C367&gt;=COLUMNS($A367:B367), Source!$E367, "")</f>
        <v/>
      </c>
      <c r="C367" s="2" t="str">
        <f>IF(Source!$C367&gt;=COLUMNS($A367:C367), Source!$E367, "")</f>
        <v/>
      </c>
      <c r="D367" s="2" t="str">
        <f>IF(Source!$C367&gt;=COLUMNS($A367:D367), Source!$E367, "")</f>
        <v/>
      </c>
      <c r="E367" s="2" t="str">
        <f>IF(Source!$C367&gt;=COLUMNS($A367:E367), Source!$E367, "")</f>
        <v/>
      </c>
      <c r="F367" s="2" t="str">
        <f>IF(Source!$C367&gt;=COLUMNS($A367:F367), Source!$E367, "")</f>
        <v/>
      </c>
      <c r="G367" s="2" t="str">
        <f>IF(Source!$C367&gt;=COLUMNS($A367:G367), Source!$E367, "")</f>
        <v/>
      </c>
      <c r="H367" s="2" t="str">
        <f>IF(Source!$C367&gt;=COLUMNS($A367:H367), Source!$E367, "")</f>
        <v/>
      </c>
      <c r="I367" s="2" t="str">
        <f>IF(Source!$C367&gt;=COLUMNS($A367:I367), Source!$E367, "")</f>
        <v/>
      </c>
      <c r="J367" s="2" t="str">
        <f>IF(Source!$C367&gt;=COLUMNS($A367:J367), Source!$E367, "")</f>
        <v/>
      </c>
      <c r="K367" s="2" t="str">
        <f>IF(Source!$C367&gt;=COLUMNS($A367:K367), Source!$E367, "")</f>
        <v/>
      </c>
      <c r="L367" s="2" t="str">
        <f>IF(Source!$C367&gt;=COLUMNS($A367:L367), Source!$E367, "")</f>
        <v/>
      </c>
      <c r="M367" s="2" t="str">
        <f>IF(Source!$C367&gt;=COLUMNS($A367:M367), Source!$E367, "")</f>
        <v/>
      </c>
      <c r="N367" s="2" t="str">
        <f>IF(Source!$C367&gt;=COLUMNS($A367:N367), Source!$E367, "")</f>
        <v/>
      </c>
      <c r="O367" s="2" t="str">
        <f>IF(Source!$C367&gt;=COLUMNS($A367:O367), Source!$E367, "")</f>
        <v/>
      </c>
      <c r="P367" s="2" t="str">
        <f>IF(Source!$C367&gt;=COLUMNS($A367:P367), Source!$E367, "")</f>
        <v/>
      </c>
      <c r="Q367" s="2" t="str">
        <f>IF(Source!$C367&gt;=COLUMNS($A367:Q367), Source!$E367, "")</f>
        <v/>
      </c>
      <c r="R367" s="2" t="str">
        <f>IF(Source!$C367&gt;=COLUMNS($A367:R367), Source!$E367, "")</f>
        <v/>
      </c>
      <c r="S367" s="2" t="str">
        <f>IF(Source!$C367&gt;=COLUMNS($A367:S367), Source!$E367, "")</f>
        <v/>
      </c>
      <c r="T367" s="2" t="str">
        <f>IF(Source!$C367&gt;=COLUMNS($A367:T367), Source!$E367, "")</f>
        <v/>
      </c>
      <c r="U367" s="2" t="str">
        <f>IF(Source!$C367&gt;=COLUMNS($A367:U367), Source!$E367, "")</f>
        <v/>
      </c>
      <c r="V367" s="2" t="str">
        <f>IF(Source!$C367&gt;=COLUMNS($A367:V367), Source!$E367, "")</f>
        <v/>
      </c>
      <c r="W367" s="2" t="str">
        <f>IF(Source!$C367&gt;=COLUMNS($A367:W367), Source!$E367, "")</f>
        <v/>
      </c>
      <c r="X367" s="2" t="str">
        <f>IF(Source!$C367&gt;=COLUMNS($A367:X367), Source!$E367, "")</f>
        <v/>
      </c>
      <c r="Y367" s="2" t="str">
        <f>IF(Source!$C367&gt;=COLUMNS($A367:Y367), Source!$E367, "")</f>
        <v/>
      </c>
      <c r="Z367" s="2" t="str">
        <f>IF(Source!$C367&gt;=COLUMNS($A367:Z367), Source!$E367, "")</f>
        <v/>
      </c>
      <c r="AA367" s="2" t="str">
        <f>IF(Source!$C367&gt;=COLUMNS($A367:AA367), Source!$E367, "")</f>
        <v/>
      </c>
      <c r="AB367" s="2" t="str">
        <f>IF(Source!$C367&gt;=COLUMNS($A367:AB367), Source!$E367, "")</f>
        <v/>
      </c>
      <c r="AC367" s="2" t="str">
        <f>IF(Source!$C367&gt;=COLUMNS($A367:AC367), Source!$E367, "")</f>
        <v/>
      </c>
      <c r="AD367" s="2" t="str">
        <f>IF(Source!$C367&gt;=COLUMNS($A367:AD367), Source!$E367, "")</f>
        <v/>
      </c>
      <c r="AE367" s="2" t="str">
        <f>IF(Source!$C367&gt;=COLUMNS($A367:AE367), Source!$E367, "")</f>
        <v/>
      </c>
      <c r="AF367" s="2" t="str">
        <f>IF(Source!$C367&gt;=COLUMNS($A367:AF367), Source!$E367, "")</f>
        <v/>
      </c>
      <c r="AG367" s="2" t="str">
        <f>IF(Source!$C367&gt;=COLUMNS($A367:AG367), Source!$E367, "")</f>
        <v/>
      </c>
      <c r="AH367" s="2" t="str">
        <f>IF(Source!$C367&gt;=COLUMNS($A367:AH367), Source!$E367, "")</f>
        <v/>
      </c>
      <c r="AI367" s="2" t="str">
        <f>IF(Source!$C367&gt;=COLUMNS($A367:AI367), Source!$E367, "")</f>
        <v/>
      </c>
      <c r="AJ367" s="2" t="str">
        <f>IF(Source!$C367&gt;=COLUMNS($A367:AJ367), Source!$E367, "")</f>
        <v/>
      </c>
      <c r="AK367" s="2" t="str">
        <f>IF(Source!$C367&gt;=COLUMNS($A367:AK367), Source!$E367, "")</f>
        <v/>
      </c>
      <c r="AL367" s="2" t="str">
        <f>IF(Source!$C367&gt;=COLUMNS($A367:AL367), Source!$E367, "")</f>
        <v/>
      </c>
      <c r="AM367" s="2" t="str">
        <f>IF(Source!$C367&gt;=COLUMNS($A367:AM367), Source!$E367, "")</f>
        <v/>
      </c>
      <c r="AN367" s="2" t="str">
        <f>IF(Source!$C367&gt;=COLUMNS($A367:AN367), Source!$E367, "")</f>
        <v/>
      </c>
      <c r="AO367" s="2" t="str">
        <f>IF(Source!$C367&gt;=COLUMNS($A367:AO367), Source!$E367, "")</f>
        <v/>
      </c>
      <c r="AP367" s="2" t="str">
        <f>IF(Source!$C367&gt;=COLUMNS($A367:AP367), Source!$E367, "")</f>
        <v/>
      </c>
      <c r="AQ367" s="2" t="str">
        <f>IF(Source!$C367&gt;=COLUMNS($A367:AQ367), Source!$E367, "")</f>
        <v/>
      </c>
      <c r="AR367" s="2" t="str">
        <f>IF(Source!$C367&gt;=COLUMNS($A367:AR367), Source!$E367, "")</f>
        <v/>
      </c>
    </row>
    <row r="368">
      <c r="A368" s="2">
        <f>IF(Source!$C368&gt;=COLUMNS($A368:A368), Source!$E368, "")</f>
        <v>9</v>
      </c>
      <c r="B368" s="2">
        <f>IF(Source!$C368&gt;=COLUMNS($A368:B368), Source!$E368, "")</f>
        <v>9</v>
      </c>
      <c r="C368" s="2" t="str">
        <f>IF(Source!$C368&gt;=COLUMNS($A368:C368), Source!$E368, "")</f>
        <v/>
      </c>
      <c r="D368" s="2" t="str">
        <f>IF(Source!$C368&gt;=COLUMNS($A368:D368), Source!$E368, "")</f>
        <v/>
      </c>
      <c r="E368" s="2" t="str">
        <f>IF(Source!$C368&gt;=COLUMNS($A368:E368), Source!$E368, "")</f>
        <v/>
      </c>
      <c r="F368" s="2" t="str">
        <f>IF(Source!$C368&gt;=COLUMNS($A368:F368), Source!$E368, "")</f>
        <v/>
      </c>
      <c r="G368" s="2" t="str">
        <f>IF(Source!$C368&gt;=COLUMNS($A368:G368), Source!$E368, "")</f>
        <v/>
      </c>
      <c r="H368" s="2" t="str">
        <f>IF(Source!$C368&gt;=COLUMNS($A368:H368), Source!$E368, "")</f>
        <v/>
      </c>
      <c r="I368" s="2" t="str">
        <f>IF(Source!$C368&gt;=COLUMNS($A368:I368), Source!$E368, "")</f>
        <v/>
      </c>
      <c r="J368" s="2" t="str">
        <f>IF(Source!$C368&gt;=COLUMNS($A368:J368), Source!$E368, "")</f>
        <v/>
      </c>
      <c r="K368" s="2" t="str">
        <f>IF(Source!$C368&gt;=COLUMNS($A368:K368), Source!$E368, "")</f>
        <v/>
      </c>
      <c r="L368" s="2" t="str">
        <f>IF(Source!$C368&gt;=COLUMNS($A368:L368), Source!$E368, "")</f>
        <v/>
      </c>
      <c r="M368" s="2" t="str">
        <f>IF(Source!$C368&gt;=COLUMNS($A368:M368), Source!$E368, "")</f>
        <v/>
      </c>
      <c r="N368" s="2" t="str">
        <f>IF(Source!$C368&gt;=COLUMNS($A368:N368), Source!$E368, "")</f>
        <v/>
      </c>
      <c r="O368" s="2" t="str">
        <f>IF(Source!$C368&gt;=COLUMNS($A368:O368), Source!$E368, "")</f>
        <v/>
      </c>
      <c r="P368" s="2" t="str">
        <f>IF(Source!$C368&gt;=COLUMNS($A368:P368), Source!$E368, "")</f>
        <v/>
      </c>
      <c r="Q368" s="2" t="str">
        <f>IF(Source!$C368&gt;=COLUMNS($A368:Q368), Source!$E368, "")</f>
        <v/>
      </c>
      <c r="R368" s="2" t="str">
        <f>IF(Source!$C368&gt;=COLUMNS($A368:R368), Source!$E368, "")</f>
        <v/>
      </c>
      <c r="S368" s="2" t="str">
        <f>IF(Source!$C368&gt;=COLUMNS($A368:S368), Source!$E368, "")</f>
        <v/>
      </c>
      <c r="T368" s="2" t="str">
        <f>IF(Source!$C368&gt;=COLUMNS($A368:T368), Source!$E368, "")</f>
        <v/>
      </c>
      <c r="U368" s="2" t="str">
        <f>IF(Source!$C368&gt;=COLUMNS($A368:U368), Source!$E368, "")</f>
        <v/>
      </c>
      <c r="V368" s="2" t="str">
        <f>IF(Source!$C368&gt;=COLUMNS($A368:V368), Source!$E368, "")</f>
        <v/>
      </c>
      <c r="W368" s="2" t="str">
        <f>IF(Source!$C368&gt;=COLUMNS($A368:W368), Source!$E368, "")</f>
        <v/>
      </c>
      <c r="X368" s="2" t="str">
        <f>IF(Source!$C368&gt;=COLUMNS($A368:X368), Source!$E368, "")</f>
        <v/>
      </c>
      <c r="Y368" s="2" t="str">
        <f>IF(Source!$C368&gt;=COLUMNS($A368:Y368), Source!$E368, "")</f>
        <v/>
      </c>
      <c r="Z368" s="2" t="str">
        <f>IF(Source!$C368&gt;=COLUMNS($A368:Z368), Source!$E368, "")</f>
        <v/>
      </c>
      <c r="AA368" s="2" t="str">
        <f>IF(Source!$C368&gt;=COLUMNS($A368:AA368), Source!$E368, "")</f>
        <v/>
      </c>
      <c r="AB368" s="2" t="str">
        <f>IF(Source!$C368&gt;=COLUMNS($A368:AB368), Source!$E368, "")</f>
        <v/>
      </c>
      <c r="AC368" s="2" t="str">
        <f>IF(Source!$C368&gt;=COLUMNS($A368:AC368), Source!$E368, "")</f>
        <v/>
      </c>
      <c r="AD368" s="2" t="str">
        <f>IF(Source!$C368&gt;=COLUMNS($A368:AD368), Source!$E368, "")</f>
        <v/>
      </c>
      <c r="AE368" s="2" t="str">
        <f>IF(Source!$C368&gt;=COLUMNS($A368:AE368), Source!$E368, "")</f>
        <v/>
      </c>
      <c r="AF368" s="2" t="str">
        <f>IF(Source!$C368&gt;=COLUMNS($A368:AF368), Source!$E368, "")</f>
        <v/>
      </c>
      <c r="AG368" s="2" t="str">
        <f>IF(Source!$C368&gt;=COLUMNS($A368:AG368), Source!$E368, "")</f>
        <v/>
      </c>
      <c r="AH368" s="2" t="str">
        <f>IF(Source!$C368&gt;=COLUMNS($A368:AH368), Source!$E368, "")</f>
        <v/>
      </c>
      <c r="AI368" s="2" t="str">
        <f>IF(Source!$C368&gt;=COLUMNS($A368:AI368), Source!$E368, "")</f>
        <v/>
      </c>
      <c r="AJ368" s="2" t="str">
        <f>IF(Source!$C368&gt;=COLUMNS($A368:AJ368), Source!$E368, "")</f>
        <v/>
      </c>
      <c r="AK368" s="2" t="str">
        <f>IF(Source!$C368&gt;=COLUMNS($A368:AK368), Source!$E368, "")</f>
        <v/>
      </c>
      <c r="AL368" s="2" t="str">
        <f>IF(Source!$C368&gt;=COLUMNS($A368:AL368), Source!$E368, "")</f>
        <v/>
      </c>
      <c r="AM368" s="2" t="str">
        <f>IF(Source!$C368&gt;=COLUMNS($A368:AM368), Source!$E368, "")</f>
        <v/>
      </c>
      <c r="AN368" s="2" t="str">
        <f>IF(Source!$C368&gt;=COLUMNS($A368:AN368), Source!$E368, "")</f>
        <v/>
      </c>
      <c r="AO368" s="2" t="str">
        <f>IF(Source!$C368&gt;=COLUMNS($A368:AO368), Source!$E368, "")</f>
        <v/>
      </c>
      <c r="AP368" s="2" t="str">
        <f>IF(Source!$C368&gt;=COLUMNS($A368:AP368), Source!$E368, "")</f>
        <v/>
      </c>
      <c r="AQ368" s="2" t="str">
        <f>IF(Source!$C368&gt;=COLUMNS($A368:AQ368), Source!$E368, "")</f>
        <v/>
      </c>
      <c r="AR368" s="2" t="str">
        <f>IF(Source!$C368&gt;=COLUMNS($A368:AR368), Source!$E368, "")</f>
        <v/>
      </c>
    </row>
    <row r="369">
      <c r="A369" s="2">
        <f>IF(Source!$C369&gt;=COLUMNS($A369:A369), Source!$E369, "")</f>
        <v>1</v>
      </c>
      <c r="B369" s="2">
        <f>IF(Source!$C369&gt;=COLUMNS($A369:B369), Source!$E369, "")</f>
        <v>1</v>
      </c>
      <c r="C369" s="2">
        <f>IF(Source!$C369&gt;=COLUMNS($A369:C369), Source!$E369, "")</f>
        <v>1</v>
      </c>
      <c r="D369" s="2">
        <f>IF(Source!$C369&gt;=COLUMNS($A369:D369), Source!$E369, "")</f>
        <v>1</v>
      </c>
      <c r="E369" s="2">
        <f>IF(Source!$C369&gt;=COLUMNS($A369:E369), Source!$E369, "")</f>
        <v>1</v>
      </c>
      <c r="F369" s="2">
        <f>IF(Source!$C369&gt;=COLUMNS($A369:F369), Source!$E369, "")</f>
        <v>1</v>
      </c>
      <c r="G369" s="2">
        <f>IF(Source!$C369&gt;=COLUMNS($A369:G369), Source!$E369, "")</f>
        <v>1</v>
      </c>
      <c r="H369" s="2">
        <f>IF(Source!$C369&gt;=COLUMNS($A369:H369), Source!$E369, "")</f>
        <v>1</v>
      </c>
      <c r="I369" s="2">
        <f>IF(Source!$C369&gt;=COLUMNS($A369:I369), Source!$E369, "")</f>
        <v>1</v>
      </c>
      <c r="J369" s="2">
        <f>IF(Source!$C369&gt;=COLUMNS($A369:J369), Source!$E369, "")</f>
        <v>1</v>
      </c>
      <c r="K369" s="2">
        <f>IF(Source!$C369&gt;=COLUMNS($A369:K369), Source!$E369, "")</f>
        <v>1</v>
      </c>
      <c r="L369" s="2">
        <f>IF(Source!$C369&gt;=COLUMNS($A369:L369), Source!$E369, "")</f>
        <v>1</v>
      </c>
      <c r="M369" s="2">
        <f>IF(Source!$C369&gt;=COLUMNS($A369:M369), Source!$E369, "")</f>
        <v>1</v>
      </c>
      <c r="N369" s="2">
        <f>IF(Source!$C369&gt;=COLUMNS($A369:N369), Source!$E369, "")</f>
        <v>1</v>
      </c>
      <c r="O369" s="2">
        <f>IF(Source!$C369&gt;=COLUMNS($A369:O369), Source!$E369, "")</f>
        <v>1</v>
      </c>
      <c r="P369" s="2">
        <f>IF(Source!$C369&gt;=COLUMNS($A369:P369), Source!$E369, "")</f>
        <v>1</v>
      </c>
      <c r="Q369" s="2">
        <f>IF(Source!$C369&gt;=COLUMNS($A369:Q369), Source!$E369, "")</f>
        <v>1</v>
      </c>
      <c r="R369" s="2">
        <f>IF(Source!$C369&gt;=COLUMNS($A369:R369), Source!$E369, "")</f>
        <v>1</v>
      </c>
      <c r="S369" s="2">
        <f>IF(Source!$C369&gt;=COLUMNS($A369:S369), Source!$E369, "")</f>
        <v>1</v>
      </c>
      <c r="T369" s="2">
        <f>IF(Source!$C369&gt;=COLUMNS($A369:T369), Source!$E369, "")</f>
        <v>1</v>
      </c>
      <c r="U369" s="2">
        <f>IF(Source!$C369&gt;=COLUMNS($A369:U369), Source!$E369, "")</f>
        <v>1</v>
      </c>
      <c r="V369" s="2">
        <f>IF(Source!$C369&gt;=COLUMNS($A369:V369), Source!$E369, "")</f>
        <v>1</v>
      </c>
      <c r="W369" s="2">
        <f>IF(Source!$C369&gt;=COLUMNS($A369:W369), Source!$E369, "")</f>
        <v>1</v>
      </c>
      <c r="X369" s="2">
        <f>IF(Source!$C369&gt;=COLUMNS($A369:X369), Source!$E369, "")</f>
        <v>1</v>
      </c>
      <c r="Y369" s="2">
        <f>IF(Source!$C369&gt;=COLUMNS($A369:Y369), Source!$E369, "")</f>
        <v>1</v>
      </c>
      <c r="Z369" s="2">
        <f>IF(Source!$C369&gt;=COLUMNS($A369:Z369), Source!$E369, "")</f>
        <v>1</v>
      </c>
      <c r="AA369" s="2">
        <f>IF(Source!$C369&gt;=COLUMNS($A369:AA369), Source!$E369, "")</f>
        <v>1</v>
      </c>
      <c r="AB369" s="2">
        <f>IF(Source!$C369&gt;=COLUMNS($A369:AB369), Source!$E369, "")</f>
        <v>1</v>
      </c>
      <c r="AC369" s="2">
        <f>IF(Source!$C369&gt;=COLUMNS($A369:AC369), Source!$E369, "")</f>
        <v>1</v>
      </c>
      <c r="AD369" s="2" t="str">
        <f>IF(Source!$C369&gt;=COLUMNS($A369:AD369), Source!$E369, "")</f>
        <v/>
      </c>
      <c r="AE369" s="2" t="str">
        <f>IF(Source!$C369&gt;=COLUMNS($A369:AE369), Source!$E369, "")</f>
        <v/>
      </c>
      <c r="AF369" s="2" t="str">
        <f>IF(Source!$C369&gt;=COLUMNS($A369:AF369), Source!$E369, "")</f>
        <v/>
      </c>
      <c r="AG369" s="2" t="str">
        <f>IF(Source!$C369&gt;=COLUMNS($A369:AG369), Source!$E369, "")</f>
        <v/>
      </c>
      <c r="AH369" s="2" t="str">
        <f>IF(Source!$C369&gt;=COLUMNS($A369:AH369), Source!$E369, "")</f>
        <v/>
      </c>
      <c r="AI369" s="2" t="str">
        <f>IF(Source!$C369&gt;=COLUMNS($A369:AI369), Source!$E369, "")</f>
        <v/>
      </c>
      <c r="AJ369" s="2" t="str">
        <f>IF(Source!$C369&gt;=COLUMNS($A369:AJ369), Source!$E369, "")</f>
        <v/>
      </c>
      <c r="AK369" s="2" t="str">
        <f>IF(Source!$C369&gt;=COLUMNS($A369:AK369), Source!$E369, "")</f>
        <v/>
      </c>
      <c r="AL369" s="2" t="str">
        <f>IF(Source!$C369&gt;=COLUMNS($A369:AL369), Source!$E369, "")</f>
        <v/>
      </c>
      <c r="AM369" s="2" t="str">
        <f>IF(Source!$C369&gt;=COLUMNS($A369:AM369), Source!$E369, "")</f>
        <v/>
      </c>
      <c r="AN369" s="2" t="str">
        <f>IF(Source!$C369&gt;=COLUMNS($A369:AN369), Source!$E369, "")</f>
        <v/>
      </c>
      <c r="AO369" s="2" t="str">
        <f>IF(Source!$C369&gt;=COLUMNS($A369:AO369), Source!$E369, "")</f>
        <v/>
      </c>
      <c r="AP369" s="2" t="str">
        <f>IF(Source!$C369&gt;=COLUMNS($A369:AP369), Source!$E369, "")</f>
        <v/>
      </c>
      <c r="AQ369" s="2" t="str">
        <f>IF(Source!$C369&gt;=COLUMNS($A369:AQ369), Source!$E369, "")</f>
        <v/>
      </c>
      <c r="AR369" s="2" t="str">
        <f>IF(Source!$C369&gt;=COLUMNS($A369:AR369), Source!$E369, "")</f>
        <v/>
      </c>
    </row>
    <row r="370">
      <c r="A370" s="2">
        <f>IF(Source!$C370&gt;=COLUMNS($A370:A370), Source!$E370, "")</f>
        <v>1</v>
      </c>
      <c r="B370" s="2">
        <f>IF(Source!$C370&gt;=COLUMNS($A370:B370), Source!$E370, "")</f>
        <v>1</v>
      </c>
      <c r="C370" s="2" t="str">
        <f>IF(Source!$C370&gt;=COLUMNS($A370:C370), Source!$E370, "")</f>
        <v/>
      </c>
      <c r="D370" s="2" t="str">
        <f>IF(Source!$C370&gt;=COLUMNS($A370:D370), Source!$E370, "")</f>
        <v/>
      </c>
      <c r="E370" s="2" t="str">
        <f>IF(Source!$C370&gt;=COLUMNS($A370:E370), Source!$E370, "")</f>
        <v/>
      </c>
      <c r="F370" s="2" t="str">
        <f>IF(Source!$C370&gt;=COLUMNS($A370:F370), Source!$E370, "")</f>
        <v/>
      </c>
      <c r="G370" s="2" t="str">
        <f>IF(Source!$C370&gt;=COLUMNS($A370:G370), Source!$E370, "")</f>
        <v/>
      </c>
      <c r="H370" s="2" t="str">
        <f>IF(Source!$C370&gt;=COLUMNS($A370:H370), Source!$E370, "")</f>
        <v/>
      </c>
      <c r="I370" s="2" t="str">
        <f>IF(Source!$C370&gt;=COLUMNS($A370:I370), Source!$E370, "")</f>
        <v/>
      </c>
      <c r="J370" s="2" t="str">
        <f>IF(Source!$C370&gt;=COLUMNS($A370:J370), Source!$E370, "")</f>
        <v/>
      </c>
      <c r="K370" s="2" t="str">
        <f>IF(Source!$C370&gt;=COLUMNS($A370:K370), Source!$E370, "")</f>
        <v/>
      </c>
      <c r="L370" s="2" t="str">
        <f>IF(Source!$C370&gt;=COLUMNS($A370:L370), Source!$E370, "")</f>
        <v/>
      </c>
      <c r="M370" s="2" t="str">
        <f>IF(Source!$C370&gt;=COLUMNS($A370:M370), Source!$E370, "")</f>
        <v/>
      </c>
      <c r="N370" s="2" t="str">
        <f>IF(Source!$C370&gt;=COLUMNS($A370:N370), Source!$E370, "")</f>
        <v/>
      </c>
      <c r="O370" s="2" t="str">
        <f>IF(Source!$C370&gt;=COLUMNS($A370:O370), Source!$E370, "")</f>
        <v/>
      </c>
      <c r="P370" s="2" t="str">
        <f>IF(Source!$C370&gt;=COLUMNS($A370:P370), Source!$E370, "")</f>
        <v/>
      </c>
      <c r="Q370" s="2" t="str">
        <f>IF(Source!$C370&gt;=COLUMNS($A370:Q370), Source!$E370, "")</f>
        <v/>
      </c>
      <c r="R370" s="2" t="str">
        <f>IF(Source!$C370&gt;=COLUMNS($A370:R370), Source!$E370, "")</f>
        <v/>
      </c>
      <c r="S370" s="2" t="str">
        <f>IF(Source!$C370&gt;=COLUMNS($A370:S370), Source!$E370, "")</f>
        <v/>
      </c>
      <c r="T370" s="2" t="str">
        <f>IF(Source!$C370&gt;=COLUMNS($A370:T370), Source!$E370, "")</f>
        <v/>
      </c>
      <c r="U370" s="2" t="str">
        <f>IF(Source!$C370&gt;=COLUMNS($A370:U370), Source!$E370, "")</f>
        <v/>
      </c>
      <c r="V370" s="2" t="str">
        <f>IF(Source!$C370&gt;=COLUMNS($A370:V370), Source!$E370, "")</f>
        <v/>
      </c>
      <c r="W370" s="2" t="str">
        <f>IF(Source!$C370&gt;=COLUMNS($A370:W370), Source!$E370, "")</f>
        <v/>
      </c>
      <c r="X370" s="2" t="str">
        <f>IF(Source!$C370&gt;=COLUMNS($A370:X370), Source!$E370, "")</f>
        <v/>
      </c>
      <c r="Y370" s="2" t="str">
        <f>IF(Source!$C370&gt;=COLUMNS($A370:Y370), Source!$E370, "")</f>
        <v/>
      </c>
      <c r="Z370" s="2" t="str">
        <f>IF(Source!$C370&gt;=COLUMNS($A370:Z370), Source!$E370, "")</f>
        <v/>
      </c>
      <c r="AA370" s="2" t="str">
        <f>IF(Source!$C370&gt;=COLUMNS($A370:AA370), Source!$E370, "")</f>
        <v/>
      </c>
      <c r="AB370" s="2" t="str">
        <f>IF(Source!$C370&gt;=COLUMNS($A370:AB370), Source!$E370, "")</f>
        <v/>
      </c>
      <c r="AC370" s="2" t="str">
        <f>IF(Source!$C370&gt;=COLUMNS($A370:AC370), Source!$E370, "")</f>
        <v/>
      </c>
      <c r="AD370" s="2" t="str">
        <f>IF(Source!$C370&gt;=COLUMNS($A370:AD370), Source!$E370, "")</f>
        <v/>
      </c>
      <c r="AE370" s="2" t="str">
        <f>IF(Source!$C370&gt;=COLUMNS($A370:AE370), Source!$E370, "")</f>
        <v/>
      </c>
      <c r="AF370" s="2" t="str">
        <f>IF(Source!$C370&gt;=COLUMNS($A370:AF370), Source!$E370, "")</f>
        <v/>
      </c>
      <c r="AG370" s="2" t="str">
        <f>IF(Source!$C370&gt;=COLUMNS($A370:AG370), Source!$E370, "")</f>
        <v/>
      </c>
      <c r="AH370" s="2" t="str">
        <f>IF(Source!$C370&gt;=COLUMNS($A370:AH370), Source!$E370, "")</f>
        <v/>
      </c>
      <c r="AI370" s="2" t="str">
        <f>IF(Source!$C370&gt;=COLUMNS($A370:AI370), Source!$E370, "")</f>
        <v/>
      </c>
      <c r="AJ370" s="2" t="str">
        <f>IF(Source!$C370&gt;=COLUMNS($A370:AJ370), Source!$E370, "")</f>
        <v/>
      </c>
      <c r="AK370" s="2" t="str">
        <f>IF(Source!$C370&gt;=COLUMNS($A370:AK370), Source!$E370, "")</f>
        <v/>
      </c>
      <c r="AL370" s="2" t="str">
        <f>IF(Source!$C370&gt;=COLUMNS($A370:AL370), Source!$E370, "")</f>
        <v/>
      </c>
      <c r="AM370" s="2" t="str">
        <f>IF(Source!$C370&gt;=COLUMNS($A370:AM370), Source!$E370, "")</f>
        <v/>
      </c>
      <c r="AN370" s="2" t="str">
        <f>IF(Source!$C370&gt;=COLUMNS($A370:AN370), Source!$E370, "")</f>
        <v/>
      </c>
      <c r="AO370" s="2" t="str">
        <f>IF(Source!$C370&gt;=COLUMNS($A370:AO370), Source!$E370, "")</f>
        <v/>
      </c>
      <c r="AP370" s="2" t="str">
        <f>IF(Source!$C370&gt;=COLUMNS($A370:AP370), Source!$E370, "")</f>
        <v/>
      </c>
      <c r="AQ370" s="2" t="str">
        <f>IF(Source!$C370&gt;=COLUMNS($A370:AQ370), Source!$E370, "")</f>
        <v/>
      </c>
      <c r="AR370" s="2" t="str">
        <f>IF(Source!$C370&gt;=COLUMNS($A370:AR370), Source!$E370, "")</f>
        <v/>
      </c>
    </row>
    <row r="371">
      <c r="A371" s="2">
        <f>IF(Source!$C371&gt;=COLUMNS($A371:A371), Source!$E371, "")</f>
        <v>8</v>
      </c>
      <c r="B371" s="2">
        <f>IF(Source!$C371&gt;=COLUMNS($A371:B371), Source!$E371, "")</f>
        <v>8</v>
      </c>
      <c r="C371" s="2" t="str">
        <f>IF(Source!$C371&gt;=COLUMNS($A371:C371), Source!$E371, "")</f>
        <v/>
      </c>
      <c r="D371" s="2" t="str">
        <f>IF(Source!$C371&gt;=COLUMNS($A371:D371), Source!$E371, "")</f>
        <v/>
      </c>
      <c r="E371" s="2" t="str">
        <f>IF(Source!$C371&gt;=COLUMNS($A371:E371), Source!$E371, "")</f>
        <v/>
      </c>
      <c r="F371" s="2" t="str">
        <f>IF(Source!$C371&gt;=COLUMNS($A371:F371), Source!$E371, "")</f>
        <v/>
      </c>
      <c r="G371" s="2" t="str">
        <f>IF(Source!$C371&gt;=COLUMNS($A371:G371), Source!$E371, "")</f>
        <v/>
      </c>
      <c r="H371" s="2" t="str">
        <f>IF(Source!$C371&gt;=COLUMNS($A371:H371), Source!$E371, "")</f>
        <v/>
      </c>
      <c r="I371" s="2" t="str">
        <f>IF(Source!$C371&gt;=COLUMNS($A371:I371), Source!$E371, "")</f>
        <v/>
      </c>
      <c r="J371" s="2" t="str">
        <f>IF(Source!$C371&gt;=COLUMNS($A371:J371), Source!$E371, "")</f>
        <v/>
      </c>
      <c r="K371" s="2" t="str">
        <f>IF(Source!$C371&gt;=COLUMNS($A371:K371), Source!$E371, "")</f>
        <v/>
      </c>
      <c r="L371" s="2" t="str">
        <f>IF(Source!$C371&gt;=COLUMNS($A371:L371), Source!$E371, "")</f>
        <v/>
      </c>
      <c r="M371" s="2" t="str">
        <f>IF(Source!$C371&gt;=COLUMNS($A371:M371), Source!$E371, "")</f>
        <v/>
      </c>
      <c r="N371" s="2" t="str">
        <f>IF(Source!$C371&gt;=COLUMNS($A371:N371), Source!$E371, "")</f>
        <v/>
      </c>
      <c r="O371" s="2" t="str">
        <f>IF(Source!$C371&gt;=COLUMNS($A371:O371), Source!$E371, "")</f>
        <v/>
      </c>
      <c r="P371" s="2" t="str">
        <f>IF(Source!$C371&gt;=COLUMNS($A371:P371), Source!$E371, "")</f>
        <v/>
      </c>
      <c r="Q371" s="2" t="str">
        <f>IF(Source!$C371&gt;=COLUMNS($A371:Q371), Source!$E371, "")</f>
        <v/>
      </c>
      <c r="R371" s="2" t="str">
        <f>IF(Source!$C371&gt;=COLUMNS($A371:R371), Source!$E371, "")</f>
        <v/>
      </c>
      <c r="S371" s="2" t="str">
        <f>IF(Source!$C371&gt;=COLUMNS($A371:S371), Source!$E371, "")</f>
        <v/>
      </c>
      <c r="T371" s="2" t="str">
        <f>IF(Source!$C371&gt;=COLUMNS($A371:T371), Source!$E371, "")</f>
        <v/>
      </c>
      <c r="U371" s="2" t="str">
        <f>IF(Source!$C371&gt;=COLUMNS($A371:U371), Source!$E371, "")</f>
        <v/>
      </c>
      <c r="V371" s="2" t="str">
        <f>IF(Source!$C371&gt;=COLUMNS($A371:V371), Source!$E371, "")</f>
        <v/>
      </c>
      <c r="W371" s="2" t="str">
        <f>IF(Source!$C371&gt;=COLUMNS($A371:W371), Source!$E371, "")</f>
        <v/>
      </c>
      <c r="X371" s="2" t="str">
        <f>IF(Source!$C371&gt;=COLUMNS($A371:X371), Source!$E371, "")</f>
        <v/>
      </c>
      <c r="Y371" s="2" t="str">
        <f>IF(Source!$C371&gt;=COLUMNS($A371:Y371), Source!$E371, "")</f>
        <v/>
      </c>
      <c r="Z371" s="2" t="str">
        <f>IF(Source!$C371&gt;=COLUMNS($A371:Z371), Source!$E371, "")</f>
        <v/>
      </c>
      <c r="AA371" s="2" t="str">
        <f>IF(Source!$C371&gt;=COLUMNS($A371:AA371), Source!$E371, "")</f>
        <v/>
      </c>
      <c r="AB371" s="2" t="str">
        <f>IF(Source!$C371&gt;=COLUMNS($A371:AB371), Source!$E371, "")</f>
        <v/>
      </c>
      <c r="AC371" s="2" t="str">
        <f>IF(Source!$C371&gt;=COLUMNS($A371:AC371), Source!$E371, "")</f>
        <v/>
      </c>
      <c r="AD371" s="2" t="str">
        <f>IF(Source!$C371&gt;=COLUMNS($A371:AD371), Source!$E371, "")</f>
        <v/>
      </c>
      <c r="AE371" s="2" t="str">
        <f>IF(Source!$C371&gt;=COLUMNS($A371:AE371), Source!$E371, "")</f>
        <v/>
      </c>
      <c r="AF371" s="2" t="str">
        <f>IF(Source!$C371&gt;=COLUMNS($A371:AF371), Source!$E371, "")</f>
        <v/>
      </c>
      <c r="AG371" s="2" t="str">
        <f>IF(Source!$C371&gt;=COLUMNS($A371:AG371), Source!$E371, "")</f>
        <v/>
      </c>
      <c r="AH371" s="2" t="str">
        <f>IF(Source!$C371&gt;=COLUMNS($A371:AH371), Source!$E371, "")</f>
        <v/>
      </c>
      <c r="AI371" s="2" t="str">
        <f>IF(Source!$C371&gt;=COLUMNS($A371:AI371), Source!$E371, "")</f>
        <v/>
      </c>
      <c r="AJ371" s="2" t="str">
        <f>IF(Source!$C371&gt;=COLUMNS($A371:AJ371), Source!$E371, "")</f>
        <v/>
      </c>
      <c r="AK371" s="2" t="str">
        <f>IF(Source!$C371&gt;=COLUMNS($A371:AK371), Source!$E371, "")</f>
        <v/>
      </c>
      <c r="AL371" s="2" t="str">
        <f>IF(Source!$C371&gt;=COLUMNS($A371:AL371), Source!$E371, "")</f>
        <v/>
      </c>
      <c r="AM371" s="2" t="str">
        <f>IF(Source!$C371&gt;=COLUMNS($A371:AM371), Source!$E371, "")</f>
        <v/>
      </c>
      <c r="AN371" s="2" t="str">
        <f>IF(Source!$C371&gt;=COLUMNS($A371:AN371), Source!$E371, "")</f>
        <v/>
      </c>
      <c r="AO371" s="2" t="str">
        <f>IF(Source!$C371&gt;=COLUMNS($A371:AO371), Source!$E371, "")</f>
        <v/>
      </c>
      <c r="AP371" s="2" t="str">
        <f>IF(Source!$C371&gt;=COLUMNS($A371:AP371), Source!$E371, "")</f>
        <v/>
      </c>
      <c r="AQ371" s="2" t="str">
        <f>IF(Source!$C371&gt;=COLUMNS($A371:AQ371), Source!$E371, "")</f>
        <v/>
      </c>
      <c r="AR371" s="2" t="str">
        <f>IF(Source!$C371&gt;=COLUMNS($A371:AR371), Source!$E371, "")</f>
        <v/>
      </c>
    </row>
    <row r="372">
      <c r="A372" s="2">
        <f>IF(Source!$C372&gt;=COLUMNS($A372:A372), Source!$E372, "")</f>
        <v>3</v>
      </c>
      <c r="B372" s="2" t="str">
        <f>IF(Source!$C372&gt;=COLUMNS($A372:B372), Source!$E372, "")</f>
        <v/>
      </c>
      <c r="C372" s="2" t="str">
        <f>IF(Source!$C372&gt;=COLUMNS($A372:C372), Source!$E372, "")</f>
        <v/>
      </c>
      <c r="D372" s="2" t="str">
        <f>IF(Source!$C372&gt;=COLUMNS($A372:D372), Source!$E372, "")</f>
        <v/>
      </c>
      <c r="E372" s="2" t="str">
        <f>IF(Source!$C372&gt;=COLUMNS($A372:E372), Source!$E372, "")</f>
        <v/>
      </c>
      <c r="F372" s="2" t="str">
        <f>IF(Source!$C372&gt;=COLUMNS($A372:F372), Source!$E372, "")</f>
        <v/>
      </c>
      <c r="G372" s="2" t="str">
        <f>IF(Source!$C372&gt;=COLUMNS($A372:G372), Source!$E372, "")</f>
        <v/>
      </c>
      <c r="H372" s="2" t="str">
        <f>IF(Source!$C372&gt;=COLUMNS($A372:H372), Source!$E372, "")</f>
        <v/>
      </c>
      <c r="I372" s="2" t="str">
        <f>IF(Source!$C372&gt;=COLUMNS($A372:I372), Source!$E372, "")</f>
        <v/>
      </c>
      <c r="J372" s="2" t="str">
        <f>IF(Source!$C372&gt;=COLUMNS($A372:J372), Source!$E372, "")</f>
        <v/>
      </c>
      <c r="K372" s="2" t="str">
        <f>IF(Source!$C372&gt;=COLUMNS($A372:K372), Source!$E372, "")</f>
        <v/>
      </c>
      <c r="L372" s="2" t="str">
        <f>IF(Source!$C372&gt;=COLUMNS($A372:L372), Source!$E372, "")</f>
        <v/>
      </c>
      <c r="M372" s="2" t="str">
        <f>IF(Source!$C372&gt;=COLUMNS($A372:M372), Source!$E372, "")</f>
        <v/>
      </c>
      <c r="N372" s="2" t="str">
        <f>IF(Source!$C372&gt;=COLUMNS($A372:N372), Source!$E372, "")</f>
        <v/>
      </c>
      <c r="O372" s="2" t="str">
        <f>IF(Source!$C372&gt;=COLUMNS($A372:O372), Source!$E372, "")</f>
        <v/>
      </c>
      <c r="P372" s="2" t="str">
        <f>IF(Source!$C372&gt;=COLUMNS($A372:P372), Source!$E372, "")</f>
        <v/>
      </c>
      <c r="Q372" s="2" t="str">
        <f>IF(Source!$C372&gt;=COLUMNS($A372:Q372), Source!$E372, "")</f>
        <v/>
      </c>
      <c r="R372" s="2" t="str">
        <f>IF(Source!$C372&gt;=COLUMNS($A372:R372), Source!$E372, "")</f>
        <v/>
      </c>
      <c r="S372" s="2" t="str">
        <f>IF(Source!$C372&gt;=COLUMNS($A372:S372), Source!$E372, "")</f>
        <v/>
      </c>
      <c r="T372" s="2" t="str">
        <f>IF(Source!$C372&gt;=COLUMNS($A372:T372), Source!$E372, "")</f>
        <v/>
      </c>
      <c r="U372" s="2" t="str">
        <f>IF(Source!$C372&gt;=COLUMNS($A372:U372), Source!$E372, "")</f>
        <v/>
      </c>
      <c r="V372" s="2" t="str">
        <f>IF(Source!$C372&gt;=COLUMNS($A372:V372), Source!$E372, "")</f>
        <v/>
      </c>
      <c r="W372" s="2" t="str">
        <f>IF(Source!$C372&gt;=COLUMNS($A372:W372), Source!$E372, "")</f>
        <v/>
      </c>
      <c r="X372" s="2" t="str">
        <f>IF(Source!$C372&gt;=COLUMNS($A372:X372), Source!$E372, "")</f>
        <v/>
      </c>
      <c r="Y372" s="2" t="str">
        <f>IF(Source!$C372&gt;=COLUMNS($A372:Y372), Source!$E372, "")</f>
        <v/>
      </c>
      <c r="Z372" s="2" t="str">
        <f>IF(Source!$C372&gt;=COLUMNS($A372:Z372), Source!$E372, "")</f>
        <v/>
      </c>
      <c r="AA372" s="2" t="str">
        <f>IF(Source!$C372&gt;=COLUMNS($A372:AA372), Source!$E372, "")</f>
        <v/>
      </c>
      <c r="AB372" s="2" t="str">
        <f>IF(Source!$C372&gt;=COLUMNS($A372:AB372), Source!$E372, "")</f>
        <v/>
      </c>
      <c r="AC372" s="2" t="str">
        <f>IF(Source!$C372&gt;=COLUMNS($A372:AC372), Source!$E372, "")</f>
        <v/>
      </c>
      <c r="AD372" s="2" t="str">
        <f>IF(Source!$C372&gt;=COLUMNS($A372:AD372), Source!$E372, "")</f>
        <v/>
      </c>
      <c r="AE372" s="2" t="str">
        <f>IF(Source!$C372&gt;=COLUMNS($A372:AE372), Source!$E372, "")</f>
        <v/>
      </c>
      <c r="AF372" s="2" t="str">
        <f>IF(Source!$C372&gt;=COLUMNS($A372:AF372), Source!$E372, "")</f>
        <v/>
      </c>
      <c r="AG372" s="2" t="str">
        <f>IF(Source!$C372&gt;=COLUMNS($A372:AG372), Source!$E372, "")</f>
        <v/>
      </c>
      <c r="AH372" s="2" t="str">
        <f>IF(Source!$C372&gt;=COLUMNS($A372:AH372), Source!$E372, "")</f>
        <v/>
      </c>
      <c r="AI372" s="2" t="str">
        <f>IF(Source!$C372&gt;=COLUMNS($A372:AI372), Source!$E372, "")</f>
        <v/>
      </c>
      <c r="AJ372" s="2" t="str">
        <f>IF(Source!$C372&gt;=COLUMNS($A372:AJ372), Source!$E372, "")</f>
        <v/>
      </c>
      <c r="AK372" s="2" t="str">
        <f>IF(Source!$C372&gt;=COLUMNS($A372:AK372), Source!$E372, "")</f>
        <v/>
      </c>
      <c r="AL372" s="2" t="str">
        <f>IF(Source!$C372&gt;=COLUMNS($A372:AL372), Source!$E372, "")</f>
        <v/>
      </c>
      <c r="AM372" s="2" t="str">
        <f>IF(Source!$C372&gt;=COLUMNS($A372:AM372), Source!$E372, "")</f>
        <v/>
      </c>
      <c r="AN372" s="2" t="str">
        <f>IF(Source!$C372&gt;=COLUMNS($A372:AN372), Source!$E372, "")</f>
        <v/>
      </c>
      <c r="AO372" s="2" t="str">
        <f>IF(Source!$C372&gt;=COLUMNS($A372:AO372), Source!$E372, "")</f>
        <v/>
      </c>
      <c r="AP372" s="2" t="str">
        <f>IF(Source!$C372&gt;=COLUMNS($A372:AP372), Source!$E372, "")</f>
        <v/>
      </c>
      <c r="AQ372" s="2" t="str">
        <f>IF(Source!$C372&gt;=COLUMNS($A372:AQ372), Source!$E372, "")</f>
        <v/>
      </c>
      <c r="AR372" s="2" t="str">
        <f>IF(Source!$C372&gt;=COLUMNS($A372:AR372), Source!$E372, "")</f>
        <v/>
      </c>
    </row>
    <row r="373">
      <c r="A373" s="2">
        <f>IF(Source!$C373&gt;=COLUMNS($A373:A373), Source!$E373, "")</f>
        <v>5</v>
      </c>
      <c r="B373" s="2">
        <f>IF(Source!$C373&gt;=COLUMNS($A373:B373), Source!$E373, "")</f>
        <v>5</v>
      </c>
      <c r="C373" s="2" t="str">
        <f>IF(Source!$C373&gt;=COLUMNS($A373:C373), Source!$E373, "")</f>
        <v/>
      </c>
      <c r="D373" s="2" t="str">
        <f>IF(Source!$C373&gt;=COLUMNS($A373:D373), Source!$E373, "")</f>
        <v/>
      </c>
      <c r="E373" s="2" t="str">
        <f>IF(Source!$C373&gt;=COLUMNS($A373:E373), Source!$E373, "")</f>
        <v/>
      </c>
      <c r="F373" s="2" t="str">
        <f>IF(Source!$C373&gt;=COLUMNS($A373:F373), Source!$E373, "")</f>
        <v/>
      </c>
      <c r="G373" s="2" t="str">
        <f>IF(Source!$C373&gt;=COLUMNS($A373:G373), Source!$E373, "")</f>
        <v/>
      </c>
      <c r="H373" s="2" t="str">
        <f>IF(Source!$C373&gt;=COLUMNS($A373:H373), Source!$E373, "")</f>
        <v/>
      </c>
      <c r="I373" s="2" t="str">
        <f>IF(Source!$C373&gt;=COLUMNS($A373:I373), Source!$E373, "")</f>
        <v/>
      </c>
      <c r="J373" s="2" t="str">
        <f>IF(Source!$C373&gt;=COLUMNS($A373:J373), Source!$E373, "")</f>
        <v/>
      </c>
      <c r="K373" s="2" t="str">
        <f>IF(Source!$C373&gt;=COLUMNS($A373:K373), Source!$E373, "")</f>
        <v/>
      </c>
      <c r="L373" s="2" t="str">
        <f>IF(Source!$C373&gt;=COLUMNS($A373:L373), Source!$E373, "")</f>
        <v/>
      </c>
      <c r="M373" s="2" t="str">
        <f>IF(Source!$C373&gt;=COLUMNS($A373:M373), Source!$E373, "")</f>
        <v/>
      </c>
      <c r="N373" s="2" t="str">
        <f>IF(Source!$C373&gt;=COLUMNS($A373:N373), Source!$E373, "")</f>
        <v/>
      </c>
      <c r="O373" s="2" t="str">
        <f>IF(Source!$C373&gt;=COLUMNS($A373:O373), Source!$E373, "")</f>
        <v/>
      </c>
      <c r="P373" s="2" t="str">
        <f>IF(Source!$C373&gt;=COLUMNS($A373:P373), Source!$E373, "")</f>
        <v/>
      </c>
      <c r="Q373" s="2" t="str">
        <f>IF(Source!$C373&gt;=COLUMNS($A373:Q373), Source!$E373, "")</f>
        <v/>
      </c>
      <c r="R373" s="2" t="str">
        <f>IF(Source!$C373&gt;=COLUMNS($A373:R373), Source!$E373, "")</f>
        <v/>
      </c>
      <c r="S373" s="2" t="str">
        <f>IF(Source!$C373&gt;=COLUMNS($A373:S373), Source!$E373, "")</f>
        <v/>
      </c>
      <c r="T373" s="2" t="str">
        <f>IF(Source!$C373&gt;=COLUMNS($A373:T373), Source!$E373, "")</f>
        <v/>
      </c>
      <c r="U373" s="2" t="str">
        <f>IF(Source!$C373&gt;=COLUMNS($A373:U373), Source!$E373, "")</f>
        <v/>
      </c>
      <c r="V373" s="2" t="str">
        <f>IF(Source!$C373&gt;=COLUMNS($A373:V373), Source!$E373, "")</f>
        <v/>
      </c>
      <c r="W373" s="2" t="str">
        <f>IF(Source!$C373&gt;=COLUMNS($A373:W373), Source!$E373, "")</f>
        <v/>
      </c>
      <c r="X373" s="2" t="str">
        <f>IF(Source!$C373&gt;=COLUMNS($A373:X373), Source!$E373, "")</f>
        <v/>
      </c>
      <c r="Y373" s="2" t="str">
        <f>IF(Source!$C373&gt;=COLUMNS($A373:Y373), Source!$E373, "")</f>
        <v/>
      </c>
      <c r="Z373" s="2" t="str">
        <f>IF(Source!$C373&gt;=COLUMNS($A373:Z373), Source!$E373, "")</f>
        <v/>
      </c>
      <c r="AA373" s="2" t="str">
        <f>IF(Source!$C373&gt;=COLUMNS($A373:AA373), Source!$E373, "")</f>
        <v/>
      </c>
      <c r="AB373" s="2" t="str">
        <f>IF(Source!$C373&gt;=COLUMNS($A373:AB373), Source!$E373, "")</f>
        <v/>
      </c>
      <c r="AC373" s="2" t="str">
        <f>IF(Source!$C373&gt;=COLUMNS($A373:AC373), Source!$E373, "")</f>
        <v/>
      </c>
      <c r="AD373" s="2" t="str">
        <f>IF(Source!$C373&gt;=COLUMNS($A373:AD373), Source!$E373, "")</f>
        <v/>
      </c>
      <c r="AE373" s="2" t="str">
        <f>IF(Source!$C373&gt;=COLUMNS($A373:AE373), Source!$E373, "")</f>
        <v/>
      </c>
      <c r="AF373" s="2" t="str">
        <f>IF(Source!$C373&gt;=COLUMNS($A373:AF373), Source!$E373, "")</f>
        <v/>
      </c>
      <c r="AG373" s="2" t="str">
        <f>IF(Source!$C373&gt;=COLUMNS($A373:AG373), Source!$E373, "")</f>
        <v/>
      </c>
      <c r="AH373" s="2" t="str">
        <f>IF(Source!$C373&gt;=COLUMNS($A373:AH373), Source!$E373, "")</f>
        <v/>
      </c>
      <c r="AI373" s="2" t="str">
        <f>IF(Source!$C373&gt;=COLUMNS($A373:AI373), Source!$E373, "")</f>
        <v/>
      </c>
      <c r="AJ373" s="2" t="str">
        <f>IF(Source!$C373&gt;=COLUMNS($A373:AJ373), Source!$E373, "")</f>
        <v/>
      </c>
      <c r="AK373" s="2" t="str">
        <f>IF(Source!$C373&gt;=COLUMNS($A373:AK373), Source!$E373, "")</f>
        <v/>
      </c>
      <c r="AL373" s="2" t="str">
        <f>IF(Source!$C373&gt;=COLUMNS($A373:AL373), Source!$E373, "")</f>
        <v/>
      </c>
      <c r="AM373" s="2" t="str">
        <f>IF(Source!$C373&gt;=COLUMNS($A373:AM373), Source!$E373, "")</f>
        <v/>
      </c>
      <c r="AN373" s="2" t="str">
        <f>IF(Source!$C373&gt;=COLUMNS($A373:AN373), Source!$E373, "")</f>
        <v/>
      </c>
      <c r="AO373" s="2" t="str">
        <f>IF(Source!$C373&gt;=COLUMNS($A373:AO373), Source!$E373, "")</f>
        <v/>
      </c>
      <c r="AP373" s="2" t="str">
        <f>IF(Source!$C373&gt;=COLUMNS($A373:AP373), Source!$E373, "")</f>
        <v/>
      </c>
      <c r="AQ373" s="2" t="str">
        <f>IF(Source!$C373&gt;=COLUMNS($A373:AQ373), Source!$E373, "")</f>
        <v/>
      </c>
      <c r="AR373" s="2" t="str">
        <f>IF(Source!$C373&gt;=COLUMNS($A373:AR373), Source!$E373, "")</f>
        <v/>
      </c>
    </row>
    <row r="374">
      <c r="A374" s="2">
        <f>IF(Source!$C374&gt;=COLUMNS($A374:A374), Source!$E374, "")</f>
        <v>5</v>
      </c>
      <c r="B374" s="2" t="str">
        <f>IF(Source!$C374&gt;=COLUMNS($A374:B374), Source!$E374, "")</f>
        <v/>
      </c>
      <c r="C374" s="2" t="str">
        <f>IF(Source!$C374&gt;=COLUMNS($A374:C374), Source!$E374, "")</f>
        <v/>
      </c>
      <c r="D374" s="2" t="str">
        <f>IF(Source!$C374&gt;=COLUMNS($A374:D374), Source!$E374, "")</f>
        <v/>
      </c>
      <c r="E374" s="2" t="str">
        <f>IF(Source!$C374&gt;=COLUMNS($A374:E374), Source!$E374, "")</f>
        <v/>
      </c>
      <c r="F374" s="2" t="str">
        <f>IF(Source!$C374&gt;=COLUMNS($A374:F374), Source!$E374, "")</f>
        <v/>
      </c>
      <c r="G374" s="2" t="str">
        <f>IF(Source!$C374&gt;=COLUMNS($A374:G374), Source!$E374, "")</f>
        <v/>
      </c>
      <c r="H374" s="2" t="str">
        <f>IF(Source!$C374&gt;=COLUMNS($A374:H374), Source!$E374, "")</f>
        <v/>
      </c>
      <c r="I374" s="2" t="str">
        <f>IF(Source!$C374&gt;=COLUMNS($A374:I374), Source!$E374, "")</f>
        <v/>
      </c>
      <c r="J374" s="2" t="str">
        <f>IF(Source!$C374&gt;=COLUMNS($A374:J374), Source!$E374, "")</f>
        <v/>
      </c>
      <c r="K374" s="2" t="str">
        <f>IF(Source!$C374&gt;=COLUMNS($A374:K374), Source!$E374, "")</f>
        <v/>
      </c>
      <c r="L374" s="2" t="str">
        <f>IF(Source!$C374&gt;=COLUMNS($A374:L374), Source!$E374, "")</f>
        <v/>
      </c>
      <c r="M374" s="2" t="str">
        <f>IF(Source!$C374&gt;=COLUMNS($A374:M374), Source!$E374, "")</f>
        <v/>
      </c>
      <c r="N374" s="2" t="str">
        <f>IF(Source!$C374&gt;=COLUMNS($A374:N374), Source!$E374, "")</f>
        <v/>
      </c>
      <c r="O374" s="2" t="str">
        <f>IF(Source!$C374&gt;=COLUMNS($A374:O374), Source!$E374, "")</f>
        <v/>
      </c>
      <c r="P374" s="2" t="str">
        <f>IF(Source!$C374&gt;=COLUMNS($A374:P374), Source!$E374, "")</f>
        <v/>
      </c>
      <c r="Q374" s="2" t="str">
        <f>IF(Source!$C374&gt;=COLUMNS($A374:Q374), Source!$E374, "")</f>
        <v/>
      </c>
      <c r="R374" s="2" t="str">
        <f>IF(Source!$C374&gt;=COLUMNS($A374:R374), Source!$E374, "")</f>
        <v/>
      </c>
      <c r="S374" s="2" t="str">
        <f>IF(Source!$C374&gt;=COLUMNS($A374:S374), Source!$E374, "")</f>
        <v/>
      </c>
      <c r="T374" s="2" t="str">
        <f>IF(Source!$C374&gt;=COLUMNS($A374:T374), Source!$E374, "")</f>
        <v/>
      </c>
      <c r="U374" s="2" t="str">
        <f>IF(Source!$C374&gt;=COLUMNS($A374:U374), Source!$E374, "")</f>
        <v/>
      </c>
      <c r="V374" s="2" t="str">
        <f>IF(Source!$C374&gt;=COLUMNS($A374:V374), Source!$E374, "")</f>
        <v/>
      </c>
      <c r="W374" s="2" t="str">
        <f>IF(Source!$C374&gt;=COLUMNS($A374:W374), Source!$E374, "")</f>
        <v/>
      </c>
      <c r="X374" s="2" t="str">
        <f>IF(Source!$C374&gt;=COLUMNS($A374:X374), Source!$E374, "")</f>
        <v/>
      </c>
      <c r="Y374" s="2" t="str">
        <f>IF(Source!$C374&gt;=COLUMNS($A374:Y374), Source!$E374, "")</f>
        <v/>
      </c>
      <c r="Z374" s="2" t="str">
        <f>IF(Source!$C374&gt;=COLUMNS($A374:Z374), Source!$E374, "")</f>
        <v/>
      </c>
      <c r="AA374" s="2" t="str">
        <f>IF(Source!$C374&gt;=COLUMNS($A374:AA374), Source!$E374, "")</f>
        <v/>
      </c>
      <c r="AB374" s="2" t="str">
        <f>IF(Source!$C374&gt;=COLUMNS($A374:AB374), Source!$E374, "")</f>
        <v/>
      </c>
      <c r="AC374" s="2" t="str">
        <f>IF(Source!$C374&gt;=COLUMNS($A374:AC374), Source!$E374, "")</f>
        <v/>
      </c>
      <c r="AD374" s="2" t="str">
        <f>IF(Source!$C374&gt;=COLUMNS($A374:AD374), Source!$E374, "")</f>
        <v/>
      </c>
      <c r="AE374" s="2" t="str">
        <f>IF(Source!$C374&gt;=COLUMNS($A374:AE374), Source!$E374, "")</f>
        <v/>
      </c>
      <c r="AF374" s="2" t="str">
        <f>IF(Source!$C374&gt;=COLUMNS($A374:AF374), Source!$E374, "")</f>
        <v/>
      </c>
      <c r="AG374" s="2" t="str">
        <f>IF(Source!$C374&gt;=COLUMNS($A374:AG374), Source!$E374, "")</f>
        <v/>
      </c>
      <c r="AH374" s="2" t="str">
        <f>IF(Source!$C374&gt;=COLUMNS($A374:AH374), Source!$E374, "")</f>
        <v/>
      </c>
      <c r="AI374" s="2" t="str">
        <f>IF(Source!$C374&gt;=COLUMNS($A374:AI374), Source!$E374, "")</f>
        <v/>
      </c>
      <c r="AJ374" s="2" t="str">
        <f>IF(Source!$C374&gt;=COLUMNS($A374:AJ374), Source!$E374, "")</f>
        <v/>
      </c>
      <c r="AK374" s="2" t="str">
        <f>IF(Source!$C374&gt;=COLUMNS($A374:AK374), Source!$E374, "")</f>
        <v/>
      </c>
      <c r="AL374" s="2" t="str">
        <f>IF(Source!$C374&gt;=COLUMNS($A374:AL374), Source!$E374, "")</f>
        <v/>
      </c>
      <c r="AM374" s="2" t="str">
        <f>IF(Source!$C374&gt;=COLUMNS($A374:AM374), Source!$E374, "")</f>
        <v/>
      </c>
      <c r="AN374" s="2" t="str">
        <f>IF(Source!$C374&gt;=COLUMNS($A374:AN374), Source!$E374, "")</f>
        <v/>
      </c>
      <c r="AO374" s="2" t="str">
        <f>IF(Source!$C374&gt;=COLUMNS($A374:AO374), Source!$E374, "")</f>
        <v/>
      </c>
      <c r="AP374" s="2" t="str">
        <f>IF(Source!$C374&gt;=COLUMNS($A374:AP374), Source!$E374, "")</f>
        <v/>
      </c>
      <c r="AQ374" s="2" t="str">
        <f>IF(Source!$C374&gt;=COLUMNS($A374:AQ374), Source!$E374, "")</f>
        <v/>
      </c>
      <c r="AR374" s="2" t="str">
        <f>IF(Source!$C374&gt;=COLUMNS($A374:AR374), Source!$E374, "")</f>
        <v/>
      </c>
    </row>
    <row r="375">
      <c r="A375" s="2">
        <f>IF(Source!$C375&gt;=COLUMNS($A375:A375), Source!$E375, "")</f>
        <v>9</v>
      </c>
      <c r="B375" s="2">
        <f>IF(Source!$C375&gt;=COLUMNS($A375:B375), Source!$E375, "")</f>
        <v>9</v>
      </c>
      <c r="C375" s="2">
        <f>IF(Source!$C375&gt;=COLUMNS($A375:C375), Source!$E375, "")</f>
        <v>9</v>
      </c>
      <c r="D375" s="2">
        <f>IF(Source!$C375&gt;=COLUMNS($A375:D375), Source!$E375, "")</f>
        <v>9</v>
      </c>
      <c r="E375" s="2">
        <f>IF(Source!$C375&gt;=COLUMNS($A375:E375), Source!$E375, "")</f>
        <v>9</v>
      </c>
      <c r="F375" s="2">
        <f>IF(Source!$C375&gt;=COLUMNS($A375:F375), Source!$E375, "")</f>
        <v>9</v>
      </c>
      <c r="G375" s="2">
        <f>IF(Source!$C375&gt;=COLUMNS($A375:G375), Source!$E375, "")</f>
        <v>9</v>
      </c>
      <c r="H375" s="2">
        <f>IF(Source!$C375&gt;=COLUMNS($A375:H375), Source!$E375, "")</f>
        <v>9</v>
      </c>
      <c r="I375" s="2">
        <f>IF(Source!$C375&gt;=COLUMNS($A375:I375), Source!$E375, "")</f>
        <v>9</v>
      </c>
      <c r="J375" s="2">
        <f>IF(Source!$C375&gt;=COLUMNS($A375:J375), Source!$E375, "")</f>
        <v>9</v>
      </c>
      <c r="K375" s="2">
        <f>IF(Source!$C375&gt;=COLUMNS($A375:K375), Source!$E375, "")</f>
        <v>9</v>
      </c>
      <c r="L375" s="2">
        <f>IF(Source!$C375&gt;=COLUMNS($A375:L375), Source!$E375, "")</f>
        <v>9</v>
      </c>
      <c r="M375" s="2">
        <f>IF(Source!$C375&gt;=COLUMNS($A375:M375), Source!$E375, "")</f>
        <v>9</v>
      </c>
      <c r="N375" s="2">
        <f>IF(Source!$C375&gt;=COLUMNS($A375:N375), Source!$E375, "")</f>
        <v>9</v>
      </c>
      <c r="O375" s="2">
        <f>IF(Source!$C375&gt;=COLUMNS($A375:O375), Source!$E375, "")</f>
        <v>9</v>
      </c>
      <c r="P375" s="2">
        <f>IF(Source!$C375&gt;=COLUMNS($A375:P375), Source!$E375, "")</f>
        <v>9</v>
      </c>
      <c r="Q375" s="2">
        <f>IF(Source!$C375&gt;=COLUMNS($A375:Q375), Source!$E375, "")</f>
        <v>9</v>
      </c>
      <c r="R375" s="2">
        <f>IF(Source!$C375&gt;=COLUMNS($A375:R375), Source!$E375, "")</f>
        <v>9</v>
      </c>
      <c r="S375" s="2">
        <f>IF(Source!$C375&gt;=COLUMNS($A375:S375), Source!$E375, "")</f>
        <v>9</v>
      </c>
      <c r="T375" s="2">
        <f>IF(Source!$C375&gt;=COLUMNS($A375:T375), Source!$E375, "")</f>
        <v>9</v>
      </c>
      <c r="U375" s="2">
        <f>IF(Source!$C375&gt;=COLUMNS($A375:U375), Source!$E375, "")</f>
        <v>9</v>
      </c>
      <c r="V375" s="2">
        <f>IF(Source!$C375&gt;=COLUMNS($A375:V375), Source!$E375, "")</f>
        <v>9</v>
      </c>
      <c r="W375" s="2">
        <f>IF(Source!$C375&gt;=COLUMNS($A375:W375), Source!$E375, "")</f>
        <v>9</v>
      </c>
      <c r="X375" s="2">
        <f>IF(Source!$C375&gt;=COLUMNS($A375:X375), Source!$E375, "")</f>
        <v>9</v>
      </c>
      <c r="Y375" s="2">
        <f>IF(Source!$C375&gt;=COLUMNS($A375:Y375), Source!$E375, "")</f>
        <v>9</v>
      </c>
      <c r="Z375" s="2" t="str">
        <f>IF(Source!$C375&gt;=COLUMNS($A375:Z375), Source!$E375, "")</f>
        <v/>
      </c>
      <c r="AA375" s="2" t="str">
        <f>IF(Source!$C375&gt;=COLUMNS($A375:AA375), Source!$E375, "")</f>
        <v/>
      </c>
      <c r="AB375" s="2" t="str">
        <f>IF(Source!$C375&gt;=COLUMNS($A375:AB375), Source!$E375, "")</f>
        <v/>
      </c>
      <c r="AC375" s="2" t="str">
        <f>IF(Source!$C375&gt;=COLUMNS($A375:AC375), Source!$E375, "")</f>
        <v/>
      </c>
      <c r="AD375" s="2" t="str">
        <f>IF(Source!$C375&gt;=COLUMNS($A375:AD375), Source!$E375, "")</f>
        <v/>
      </c>
      <c r="AE375" s="2" t="str">
        <f>IF(Source!$C375&gt;=COLUMNS($A375:AE375), Source!$E375, "")</f>
        <v/>
      </c>
      <c r="AF375" s="2" t="str">
        <f>IF(Source!$C375&gt;=COLUMNS($A375:AF375), Source!$E375, "")</f>
        <v/>
      </c>
      <c r="AG375" s="2" t="str">
        <f>IF(Source!$C375&gt;=COLUMNS($A375:AG375), Source!$E375, "")</f>
        <v/>
      </c>
      <c r="AH375" s="2" t="str">
        <f>IF(Source!$C375&gt;=COLUMNS($A375:AH375), Source!$E375, "")</f>
        <v/>
      </c>
      <c r="AI375" s="2" t="str">
        <f>IF(Source!$C375&gt;=COLUMNS($A375:AI375), Source!$E375, "")</f>
        <v/>
      </c>
      <c r="AJ375" s="2" t="str">
        <f>IF(Source!$C375&gt;=COLUMNS($A375:AJ375), Source!$E375, "")</f>
        <v/>
      </c>
      <c r="AK375" s="2" t="str">
        <f>IF(Source!$C375&gt;=COLUMNS($A375:AK375), Source!$E375, "")</f>
        <v/>
      </c>
      <c r="AL375" s="2" t="str">
        <f>IF(Source!$C375&gt;=COLUMNS($A375:AL375), Source!$E375, "")</f>
        <v/>
      </c>
      <c r="AM375" s="2" t="str">
        <f>IF(Source!$C375&gt;=COLUMNS($A375:AM375), Source!$E375, "")</f>
        <v/>
      </c>
      <c r="AN375" s="2" t="str">
        <f>IF(Source!$C375&gt;=COLUMNS($A375:AN375), Source!$E375, "")</f>
        <v/>
      </c>
      <c r="AO375" s="2" t="str">
        <f>IF(Source!$C375&gt;=COLUMNS($A375:AO375), Source!$E375, "")</f>
        <v/>
      </c>
      <c r="AP375" s="2" t="str">
        <f>IF(Source!$C375&gt;=COLUMNS($A375:AP375), Source!$E375, "")</f>
        <v/>
      </c>
      <c r="AQ375" s="2" t="str">
        <f>IF(Source!$C375&gt;=COLUMNS($A375:AQ375), Source!$E375, "")</f>
        <v/>
      </c>
      <c r="AR375" s="2" t="str">
        <f>IF(Source!$C375&gt;=COLUMNS($A375:AR375), Source!$E375, "")</f>
        <v/>
      </c>
    </row>
    <row r="376">
      <c r="A376" s="2">
        <f>IF(Source!$C376&gt;=COLUMNS($A376:A376), Source!$E376, "")</f>
        <v>2</v>
      </c>
      <c r="B376" s="2">
        <f>IF(Source!$C376&gt;=COLUMNS($A376:B376), Source!$E376, "")</f>
        <v>2</v>
      </c>
      <c r="C376" s="2">
        <f>IF(Source!$C376&gt;=COLUMNS($A376:C376), Source!$E376, "")</f>
        <v>2</v>
      </c>
      <c r="D376" s="2">
        <f>IF(Source!$C376&gt;=COLUMNS($A376:D376), Source!$E376, "")</f>
        <v>2</v>
      </c>
      <c r="E376" s="2">
        <f>IF(Source!$C376&gt;=COLUMNS($A376:E376), Source!$E376, "")</f>
        <v>2</v>
      </c>
      <c r="F376" s="2">
        <f>IF(Source!$C376&gt;=COLUMNS($A376:F376), Source!$E376, "")</f>
        <v>2</v>
      </c>
      <c r="G376" s="2">
        <f>IF(Source!$C376&gt;=COLUMNS($A376:G376), Source!$E376, "")</f>
        <v>2</v>
      </c>
      <c r="H376" s="2">
        <f>IF(Source!$C376&gt;=COLUMNS($A376:H376), Source!$E376, "")</f>
        <v>2</v>
      </c>
      <c r="I376" s="2">
        <f>IF(Source!$C376&gt;=COLUMNS($A376:I376), Source!$E376, "")</f>
        <v>2</v>
      </c>
      <c r="J376" s="2">
        <f>IF(Source!$C376&gt;=COLUMNS($A376:J376), Source!$E376, "")</f>
        <v>2</v>
      </c>
      <c r="K376" s="2" t="str">
        <f>IF(Source!$C376&gt;=COLUMNS($A376:K376), Source!$E376, "")</f>
        <v/>
      </c>
      <c r="L376" s="2" t="str">
        <f>IF(Source!$C376&gt;=COLUMNS($A376:L376), Source!$E376, "")</f>
        <v/>
      </c>
      <c r="M376" s="2" t="str">
        <f>IF(Source!$C376&gt;=COLUMNS($A376:M376), Source!$E376, "")</f>
        <v/>
      </c>
      <c r="N376" s="2" t="str">
        <f>IF(Source!$C376&gt;=COLUMNS($A376:N376), Source!$E376, "")</f>
        <v/>
      </c>
      <c r="O376" s="2" t="str">
        <f>IF(Source!$C376&gt;=COLUMNS($A376:O376), Source!$E376, "")</f>
        <v/>
      </c>
      <c r="P376" s="2" t="str">
        <f>IF(Source!$C376&gt;=COLUMNS($A376:P376), Source!$E376, "")</f>
        <v/>
      </c>
      <c r="Q376" s="2" t="str">
        <f>IF(Source!$C376&gt;=COLUMNS($A376:Q376), Source!$E376, "")</f>
        <v/>
      </c>
      <c r="R376" s="2" t="str">
        <f>IF(Source!$C376&gt;=COLUMNS($A376:R376), Source!$E376, "")</f>
        <v/>
      </c>
      <c r="S376" s="2" t="str">
        <f>IF(Source!$C376&gt;=COLUMNS($A376:S376), Source!$E376, "")</f>
        <v/>
      </c>
      <c r="T376" s="2" t="str">
        <f>IF(Source!$C376&gt;=COLUMNS($A376:T376), Source!$E376, "")</f>
        <v/>
      </c>
      <c r="U376" s="2" t="str">
        <f>IF(Source!$C376&gt;=COLUMNS($A376:U376), Source!$E376, "")</f>
        <v/>
      </c>
      <c r="V376" s="2" t="str">
        <f>IF(Source!$C376&gt;=COLUMNS($A376:V376), Source!$E376, "")</f>
        <v/>
      </c>
      <c r="W376" s="2" t="str">
        <f>IF(Source!$C376&gt;=COLUMNS($A376:W376), Source!$E376, "")</f>
        <v/>
      </c>
      <c r="X376" s="2" t="str">
        <f>IF(Source!$C376&gt;=COLUMNS($A376:X376), Source!$E376, "")</f>
        <v/>
      </c>
      <c r="Y376" s="2" t="str">
        <f>IF(Source!$C376&gt;=COLUMNS($A376:Y376), Source!$E376, "")</f>
        <v/>
      </c>
      <c r="Z376" s="2" t="str">
        <f>IF(Source!$C376&gt;=COLUMNS($A376:Z376), Source!$E376, "")</f>
        <v/>
      </c>
      <c r="AA376" s="2" t="str">
        <f>IF(Source!$C376&gt;=COLUMNS($A376:AA376), Source!$E376, "")</f>
        <v/>
      </c>
      <c r="AB376" s="2" t="str">
        <f>IF(Source!$C376&gt;=COLUMNS($A376:AB376), Source!$E376, "")</f>
        <v/>
      </c>
      <c r="AC376" s="2" t="str">
        <f>IF(Source!$C376&gt;=COLUMNS($A376:AC376), Source!$E376, "")</f>
        <v/>
      </c>
      <c r="AD376" s="2" t="str">
        <f>IF(Source!$C376&gt;=COLUMNS($A376:AD376), Source!$E376, "")</f>
        <v/>
      </c>
      <c r="AE376" s="2" t="str">
        <f>IF(Source!$C376&gt;=COLUMNS($A376:AE376), Source!$E376, "")</f>
        <v/>
      </c>
      <c r="AF376" s="2" t="str">
        <f>IF(Source!$C376&gt;=COLUMNS($A376:AF376), Source!$E376, "")</f>
        <v/>
      </c>
      <c r="AG376" s="2" t="str">
        <f>IF(Source!$C376&gt;=COLUMNS($A376:AG376), Source!$E376, "")</f>
        <v/>
      </c>
      <c r="AH376" s="2" t="str">
        <f>IF(Source!$C376&gt;=COLUMNS($A376:AH376), Source!$E376, "")</f>
        <v/>
      </c>
      <c r="AI376" s="2" t="str">
        <f>IF(Source!$C376&gt;=COLUMNS($A376:AI376), Source!$E376, "")</f>
        <v/>
      </c>
      <c r="AJ376" s="2" t="str">
        <f>IF(Source!$C376&gt;=COLUMNS($A376:AJ376), Source!$E376, "")</f>
        <v/>
      </c>
      <c r="AK376" s="2" t="str">
        <f>IF(Source!$C376&gt;=COLUMNS($A376:AK376), Source!$E376, "")</f>
        <v/>
      </c>
      <c r="AL376" s="2" t="str">
        <f>IF(Source!$C376&gt;=COLUMNS($A376:AL376), Source!$E376, "")</f>
        <v/>
      </c>
      <c r="AM376" s="2" t="str">
        <f>IF(Source!$C376&gt;=COLUMNS($A376:AM376), Source!$E376, "")</f>
        <v/>
      </c>
      <c r="AN376" s="2" t="str">
        <f>IF(Source!$C376&gt;=COLUMNS($A376:AN376), Source!$E376, "")</f>
        <v/>
      </c>
      <c r="AO376" s="2" t="str">
        <f>IF(Source!$C376&gt;=COLUMNS($A376:AO376), Source!$E376, "")</f>
        <v/>
      </c>
      <c r="AP376" s="2" t="str">
        <f>IF(Source!$C376&gt;=COLUMNS($A376:AP376), Source!$E376, "")</f>
        <v/>
      </c>
      <c r="AQ376" s="2" t="str">
        <f>IF(Source!$C376&gt;=COLUMNS($A376:AQ376), Source!$E376, "")</f>
        <v/>
      </c>
      <c r="AR376" s="2" t="str">
        <f>IF(Source!$C376&gt;=COLUMNS($A376:AR376), Source!$E376, "")</f>
        <v/>
      </c>
    </row>
    <row r="377">
      <c r="A377" s="2">
        <f>IF(Source!$C377&gt;=COLUMNS($A377:A377), Source!$E377, "")</f>
        <v>7</v>
      </c>
      <c r="B377" s="2" t="str">
        <f>IF(Source!$C377&gt;=COLUMNS($A377:B377), Source!$E377, "")</f>
        <v/>
      </c>
      <c r="C377" s="2" t="str">
        <f>IF(Source!$C377&gt;=COLUMNS($A377:C377), Source!$E377, "")</f>
        <v/>
      </c>
      <c r="D377" s="2" t="str">
        <f>IF(Source!$C377&gt;=COLUMNS($A377:D377), Source!$E377, "")</f>
        <v/>
      </c>
      <c r="E377" s="2" t="str">
        <f>IF(Source!$C377&gt;=COLUMNS($A377:E377), Source!$E377, "")</f>
        <v/>
      </c>
      <c r="F377" s="2" t="str">
        <f>IF(Source!$C377&gt;=COLUMNS($A377:F377), Source!$E377, "")</f>
        <v/>
      </c>
      <c r="G377" s="2" t="str">
        <f>IF(Source!$C377&gt;=COLUMNS($A377:G377), Source!$E377, "")</f>
        <v/>
      </c>
      <c r="H377" s="2" t="str">
        <f>IF(Source!$C377&gt;=COLUMNS($A377:H377), Source!$E377, "")</f>
        <v/>
      </c>
      <c r="I377" s="2" t="str">
        <f>IF(Source!$C377&gt;=COLUMNS($A377:I377), Source!$E377, "")</f>
        <v/>
      </c>
      <c r="J377" s="2" t="str">
        <f>IF(Source!$C377&gt;=COLUMNS($A377:J377), Source!$E377, "")</f>
        <v/>
      </c>
      <c r="K377" s="2" t="str">
        <f>IF(Source!$C377&gt;=COLUMNS($A377:K377), Source!$E377, "")</f>
        <v/>
      </c>
      <c r="L377" s="2" t="str">
        <f>IF(Source!$C377&gt;=COLUMNS($A377:L377), Source!$E377, "")</f>
        <v/>
      </c>
      <c r="M377" s="2" t="str">
        <f>IF(Source!$C377&gt;=COLUMNS($A377:M377), Source!$E377, "")</f>
        <v/>
      </c>
      <c r="N377" s="2" t="str">
        <f>IF(Source!$C377&gt;=COLUMNS($A377:N377), Source!$E377, "")</f>
        <v/>
      </c>
      <c r="O377" s="2" t="str">
        <f>IF(Source!$C377&gt;=COLUMNS($A377:O377), Source!$E377, "")</f>
        <v/>
      </c>
      <c r="P377" s="2" t="str">
        <f>IF(Source!$C377&gt;=COLUMNS($A377:P377), Source!$E377, "")</f>
        <v/>
      </c>
      <c r="Q377" s="2" t="str">
        <f>IF(Source!$C377&gt;=COLUMNS($A377:Q377), Source!$E377, "")</f>
        <v/>
      </c>
      <c r="R377" s="2" t="str">
        <f>IF(Source!$C377&gt;=COLUMNS($A377:R377), Source!$E377, "")</f>
        <v/>
      </c>
      <c r="S377" s="2" t="str">
        <f>IF(Source!$C377&gt;=COLUMNS($A377:S377), Source!$E377, "")</f>
        <v/>
      </c>
      <c r="T377" s="2" t="str">
        <f>IF(Source!$C377&gt;=COLUMNS($A377:T377), Source!$E377, "")</f>
        <v/>
      </c>
      <c r="U377" s="2" t="str">
        <f>IF(Source!$C377&gt;=COLUMNS($A377:U377), Source!$E377, "")</f>
        <v/>
      </c>
      <c r="V377" s="2" t="str">
        <f>IF(Source!$C377&gt;=COLUMNS($A377:V377), Source!$E377, "")</f>
        <v/>
      </c>
      <c r="W377" s="2" t="str">
        <f>IF(Source!$C377&gt;=COLUMNS($A377:W377), Source!$E377, "")</f>
        <v/>
      </c>
      <c r="X377" s="2" t="str">
        <f>IF(Source!$C377&gt;=COLUMNS($A377:X377), Source!$E377, "")</f>
        <v/>
      </c>
      <c r="Y377" s="2" t="str">
        <f>IF(Source!$C377&gt;=COLUMNS($A377:Y377), Source!$E377, "")</f>
        <v/>
      </c>
      <c r="Z377" s="2" t="str">
        <f>IF(Source!$C377&gt;=COLUMNS($A377:Z377), Source!$E377, "")</f>
        <v/>
      </c>
      <c r="AA377" s="2" t="str">
        <f>IF(Source!$C377&gt;=COLUMNS($A377:AA377), Source!$E377, "")</f>
        <v/>
      </c>
      <c r="AB377" s="2" t="str">
        <f>IF(Source!$C377&gt;=COLUMNS($A377:AB377), Source!$E377, "")</f>
        <v/>
      </c>
      <c r="AC377" s="2" t="str">
        <f>IF(Source!$C377&gt;=COLUMNS($A377:AC377), Source!$E377, "")</f>
        <v/>
      </c>
      <c r="AD377" s="2" t="str">
        <f>IF(Source!$C377&gt;=COLUMNS($A377:AD377), Source!$E377, "")</f>
        <v/>
      </c>
      <c r="AE377" s="2" t="str">
        <f>IF(Source!$C377&gt;=COLUMNS($A377:AE377), Source!$E377, "")</f>
        <v/>
      </c>
      <c r="AF377" s="2" t="str">
        <f>IF(Source!$C377&gt;=COLUMNS($A377:AF377), Source!$E377, "")</f>
        <v/>
      </c>
      <c r="AG377" s="2" t="str">
        <f>IF(Source!$C377&gt;=COLUMNS($A377:AG377), Source!$E377, "")</f>
        <v/>
      </c>
      <c r="AH377" s="2" t="str">
        <f>IF(Source!$C377&gt;=COLUMNS($A377:AH377), Source!$E377, "")</f>
        <v/>
      </c>
      <c r="AI377" s="2" t="str">
        <f>IF(Source!$C377&gt;=COLUMNS($A377:AI377), Source!$E377, "")</f>
        <v/>
      </c>
      <c r="AJ377" s="2" t="str">
        <f>IF(Source!$C377&gt;=COLUMNS($A377:AJ377), Source!$E377, "")</f>
        <v/>
      </c>
      <c r="AK377" s="2" t="str">
        <f>IF(Source!$C377&gt;=COLUMNS($A377:AK377), Source!$E377, "")</f>
        <v/>
      </c>
      <c r="AL377" s="2" t="str">
        <f>IF(Source!$C377&gt;=COLUMNS($A377:AL377), Source!$E377, "")</f>
        <v/>
      </c>
      <c r="AM377" s="2" t="str">
        <f>IF(Source!$C377&gt;=COLUMNS($A377:AM377), Source!$E377, "")</f>
        <v/>
      </c>
      <c r="AN377" s="2" t="str">
        <f>IF(Source!$C377&gt;=COLUMNS($A377:AN377), Source!$E377, "")</f>
        <v/>
      </c>
      <c r="AO377" s="2" t="str">
        <f>IF(Source!$C377&gt;=COLUMNS($A377:AO377), Source!$E377, "")</f>
        <v/>
      </c>
      <c r="AP377" s="2" t="str">
        <f>IF(Source!$C377&gt;=COLUMNS($A377:AP377), Source!$E377, "")</f>
        <v/>
      </c>
      <c r="AQ377" s="2" t="str">
        <f>IF(Source!$C377&gt;=COLUMNS($A377:AQ377), Source!$E377, "")</f>
        <v/>
      </c>
      <c r="AR377" s="2" t="str">
        <f>IF(Source!$C377&gt;=COLUMNS($A377:AR377), Source!$E377, "")</f>
        <v/>
      </c>
    </row>
    <row r="378">
      <c r="A378" s="2">
        <f>IF(Source!$C378&gt;=COLUMNS($A378:A378), Source!$E378, "")</f>
        <v>4</v>
      </c>
      <c r="B378" s="2">
        <f>IF(Source!$C378&gt;=COLUMNS($A378:B378), Source!$E378, "")</f>
        <v>4</v>
      </c>
      <c r="C378" s="2" t="str">
        <f>IF(Source!$C378&gt;=COLUMNS($A378:C378), Source!$E378, "")</f>
        <v/>
      </c>
      <c r="D378" s="2" t="str">
        <f>IF(Source!$C378&gt;=COLUMNS($A378:D378), Source!$E378, "")</f>
        <v/>
      </c>
      <c r="E378" s="2" t="str">
        <f>IF(Source!$C378&gt;=COLUMNS($A378:E378), Source!$E378, "")</f>
        <v/>
      </c>
      <c r="F378" s="2" t="str">
        <f>IF(Source!$C378&gt;=COLUMNS($A378:F378), Source!$E378, "")</f>
        <v/>
      </c>
      <c r="G378" s="2" t="str">
        <f>IF(Source!$C378&gt;=COLUMNS($A378:G378), Source!$E378, "")</f>
        <v/>
      </c>
      <c r="H378" s="2" t="str">
        <f>IF(Source!$C378&gt;=COLUMNS($A378:H378), Source!$E378, "")</f>
        <v/>
      </c>
      <c r="I378" s="2" t="str">
        <f>IF(Source!$C378&gt;=COLUMNS($A378:I378), Source!$E378, "")</f>
        <v/>
      </c>
      <c r="J378" s="2" t="str">
        <f>IF(Source!$C378&gt;=COLUMNS($A378:J378), Source!$E378, "")</f>
        <v/>
      </c>
      <c r="K378" s="2" t="str">
        <f>IF(Source!$C378&gt;=COLUMNS($A378:K378), Source!$E378, "")</f>
        <v/>
      </c>
      <c r="L378" s="2" t="str">
        <f>IF(Source!$C378&gt;=COLUMNS($A378:L378), Source!$E378, "")</f>
        <v/>
      </c>
      <c r="M378" s="2" t="str">
        <f>IF(Source!$C378&gt;=COLUMNS($A378:M378), Source!$E378, "")</f>
        <v/>
      </c>
      <c r="N378" s="2" t="str">
        <f>IF(Source!$C378&gt;=COLUMNS($A378:N378), Source!$E378, "")</f>
        <v/>
      </c>
      <c r="O378" s="2" t="str">
        <f>IF(Source!$C378&gt;=COLUMNS($A378:O378), Source!$E378, "")</f>
        <v/>
      </c>
      <c r="P378" s="2" t="str">
        <f>IF(Source!$C378&gt;=COLUMNS($A378:P378), Source!$E378, "")</f>
        <v/>
      </c>
      <c r="Q378" s="2" t="str">
        <f>IF(Source!$C378&gt;=COLUMNS($A378:Q378), Source!$E378, "")</f>
        <v/>
      </c>
      <c r="R378" s="2" t="str">
        <f>IF(Source!$C378&gt;=COLUMNS($A378:R378), Source!$E378, "")</f>
        <v/>
      </c>
      <c r="S378" s="2" t="str">
        <f>IF(Source!$C378&gt;=COLUMNS($A378:S378), Source!$E378, "")</f>
        <v/>
      </c>
      <c r="T378" s="2" t="str">
        <f>IF(Source!$C378&gt;=COLUMNS($A378:T378), Source!$E378, "")</f>
        <v/>
      </c>
      <c r="U378" s="2" t="str">
        <f>IF(Source!$C378&gt;=COLUMNS($A378:U378), Source!$E378, "")</f>
        <v/>
      </c>
      <c r="V378" s="2" t="str">
        <f>IF(Source!$C378&gt;=COLUMNS($A378:V378), Source!$E378, "")</f>
        <v/>
      </c>
      <c r="W378" s="2" t="str">
        <f>IF(Source!$C378&gt;=COLUMNS($A378:W378), Source!$E378, "")</f>
        <v/>
      </c>
      <c r="X378" s="2" t="str">
        <f>IF(Source!$C378&gt;=COLUMNS($A378:X378), Source!$E378, "")</f>
        <v/>
      </c>
      <c r="Y378" s="2" t="str">
        <f>IF(Source!$C378&gt;=COLUMNS($A378:Y378), Source!$E378, "")</f>
        <v/>
      </c>
      <c r="Z378" s="2" t="str">
        <f>IF(Source!$C378&gt;=COLUMNS($A378:Z378), Source!$E378, "")</f>
        <v/>
      </c>
      <c r="AA378" s="2" t="str">
        <f>IF(Source!$C378&gt;=COLUMNS($A378:AA378), Source!$E378, "")</f>
        <v/>
      </c>
      <c r="AB378" s="2" t="str">
        <f>IF(Source!$C378&gt;=COLUMNS($A378:AB378), Source!$E378, "")</f>
        <v/>
      </c>
      <c r="AC378" s="2" t="str">
        <f>IF(Source!$C378&gt;=COLUMNS($A378:AC378), Source!$E378, "")</f>
        <v/>
      </c>
      <c r="AD378" s="2" t="str">
        <f>IF(Source!$C378&gt;=COLUMNS($A378:AD378), Source!$E378, "")</f>
        <v/>
      </c>
      <c r="AE378" s="2" t="str">
        <f>IF(Source!$C378&gt;=COLUMNS($A378:AE378), Source!$E378, "")</f>
        <v/>
      </c>
      <c r="AF378" s="2" t="str">
        <f>IF(Source!$C378&gt;=COLUMNS($A378:AF378), Source!$E378, "")</f>
        <v/>
      </c>
      <c r="AG378" s="2" t="str">
        <f>IF(Source!$C378&gt;=COLUMNS($A378:AG378), Source!$E378, "")</f>
        <v/>
      </c>
      <c r="AH378" s="2" t="str">
        <f>IF(Source!$C378&gt;=COLUMNS($A378:AH378), Source!$E378, "")</f>
        <v/>
      </c>
      <c r="AI378" s="2" t="str">
        <f>IF(Source!$C378&gt;=COLUMNS($A378:AI378), Source!$E378, "")</f>
        <v/>
      </c>
      <c r="AJ378" s="2" t="str">
        <f>IF(Source!$C378&gt;=COLUMNS($A378:AJ378), Source!$E378, "")</f>
        <v/>
      </c>
      <c r="AK378" s="2" t="str">
        <f>IF(Source!$C378&gt;=COLUMNS($A378:AK378), Source!$E378, "")</f>
        <v/>
      </c>
      <c r="AL378" s="2" t="str">
        <f>IF(Source!$C378&gt;=COLUMNS($A378:AL378), Source!$E378, "")</f>
        <v/>
      </c>
      <c r="AM378" s="2" t="str">
        <f>IF(Source!$C378&gt;=COLUMNS($A378:AM378), Source!$E378, "")</f>
        <v/>
      </c>
      <c r="AN378" s="2" t="str">
        <f>IF(Source!$C378&gt;=COLUMNS($A378:AN378), Source!$E378, "")</f>
        <v/>
      </c>
      <c r="AO378" s="2" t="str">
        <f>IF(Source!$C378&gt;=COLUMNS($A378:AO378), Source!$E378, "")</f>
        <v/>
      </c>
      <c r="AP378" s="2" t="str">
        <f>IF(Source!$C378&gt;=COLUMNS($A378:AP378), Source!$E378, "")</f>
        <v/>
      </c>
      <c r="AQ378" s="2" t="str">
        <f>IF(Source!$C378&gt;=COLUMNS($A378:AQ378), Source!$E378, "")</f>
        <v/>
      </c>
      <c r="AR378" s="2" t="str">
        <f>IF(Source!$C378&gt;=COLUMNS($A378:AR378), Source!$E378, "")</f>
        <v/>
      </c>
    </row>
    <row r="379">
      <c r="A379" s="2">
        <f>IF(Source!$C379&gt;=COLUMNS($A379:A379), Source!$E379, "")</f>
        <v>8</v>
      </c>
      <c r="B379" s="2">
        <f>IF(Source!$C379&gt;=COLUMNS($A379:B379), Source!$E379, "")</f>
        <v>8</v>
      </c>
      <c r="C379" s="2" t="str">
        <f>IF(Source!$C379&gt;=COLUMNS($A379:C379), Source!$E379, "")</f>
        <v/>
      </c>
      <c r="D379" s="2" t="str">
        <f>IF(Source!$C379&gt;=COLUMNS($A379:D379), Source!$E379, "")</f>
        <v/>
      </c>
      <c r="E379" s="2" t="str">
        <f>IF(Source!$C379&gt;=COLUMNS($A379:E379), Source!$E379, "")</f>
        <v/>
      </c>
      <c r="F379" s="2" t="str">
        <f>IF(Source!$C379&gt;=COLUMNS($A379:F379), Source!$E379, "")</f>
        <v/>
      </c>
      <c r="G379" s="2" t="str">
        <f>IF(Source!$C379&gt;=COLUMNS($A379:G379), Source!$E379, "")</f>
        <v/>
      </c>
      <c r="H379" s="2" t="str">
        <f>IF(Source!$C379&gt;=COLUMNS($A379:H379), Source!$E379, "")</f>
        <v/>
      </c>
      <c r="I379" s="2" t="str">
        <f>IF(Source!$C379&gt;=COLUMNS($A379:I379), Source!$E379, "")</f>
        <v/>
      </c>
      <c r="J379" s="2" t="str">
        <f>IF(Source!$C379&gt;=COLUMNS($A379:J379), Source!$E379, "")</f>
        <v/>
      </c>
      <c r="K379" s="2" t="str">
        <f>IF(Source!$C379&gt;=COLUMNS($A379:K379), Source!$E379, "")</f>
        <v/>
      </c>
      <c r="L379" s="2" t="str">
        <f>IF(Source!$C379&gt;=COLUMNS($A379:L379), Source!$E379, "")</f>
        <v/>
      </c>
      <c r="M379" s="2" t="str">
        <f>IF(Source!$C379&gt;=COLUMNS($A379:M379), Source!$E379, "")</f>
        <v/>
      </c>
      <c r="N379" s="2" t="str">
        <f>IF(Source!$C379&gt;=COLUMNS($A379:N379), Source!$E379, "")</f>
        <v/>
      </c>
      <c r="O379" s="2" t="str">
        <f>IF(Source!$C379&gt;=COLUMNS($A379:O379), Source!$E379, "")</f>
        <v/>
      </c>
      <c r="P379" s="2" t="str">
        <f>IF(Source!$C379&gt;=COLUMNS($A379:P379), Source!$E379, "")</f>
        <v/>
      </c>
      <c r="Q379" s="2" t="str">
        <f>IF(Source!$C379&gt;=COLUMNS($A379:Q379), Source!$E379, "")</f>
        <v/>
      </c>
      <c r="R379" s="2" t="str">
        <f>IF(Source!$C379&gt;=COLUMNS($A379:R379), Source!$E379, "")</f>
        <v/>
      </c>
      <c r="S379" s="2" t="str">
        <f>IF(Source!$C379&gt;=COLUMNS($A379:S379), Source!$E379, "")</f>
        <v/>
      </c>
      <c r="T379" s="2" t="str">
        <f>IF(Source!$C379&gt;=COLUMNS($A379:T379), Source!$E379, "")</f>
        <v/>
      </c>
      <c r="U379" s="2" t="str">
        <f>IF(Source!$C379&gt;=COLUMNS($A379:U379), Source!$E379, "")</f>
        <v/>
      </c>
      <c r="V379" s="2" t="str">
        <f>IF(Source!$C379&gt;=COLUMNS($A379:V379), Source!$E379, "")</f>
        <v/>
      </c>
      <c r="W379" s="2" t="str">
        <f>IF(Source!$C379&gt;=COLUMNS($A379:W379), Source!$E379, "")</f>
        <v/>
      </c>
      <c r="X379" s="2" t="str">
        <f>IF(Source!$C379&gt;=COLUMNS($A379:X379), Source!$E379, "")</f>
        <v/>
      </c>
      <c r="Y379" s="2" t="str">
        <f>IF(Source!$C379&gt;=COLUMNS($A379:Y379), Source!$E379, "")</f>
        <v/>
      </c>
      <c r="Z379" s="2" t="str">
        <f>IF(Source!$C379&gt;=COLUMNS($A379:Z379), Source!$E379, "")</f>
        <v/>
      </c>
      <c r="AA379" s="2" t="str">
        <f>IF(Source!$C379&gt;=COLUMNS($A379:AA379), Source!$E379, "")</f>
        <v/>
      </c>
      <c r="AB379" s="2" t="str">
        <f>IF(Source!$C379&gt;=COLUMNS($A379:AB379), Source!$E379, "")</f>
        <v/>
      </c>
      <c r="AC379" s="2" t="str">
        <f>IF(Source!$C379&gt;=COLUMNS($A379:AC379), Source!$E379, "")</f>
        <v/>
      </c>
      <c r="AD379" s="2" t="str">
        <f>IF(Source!$C379&gt;=COLUMNS($A379:AD379), Source!$E379, "")</f>
        <v/>
      </c>
      <c r="AE379" s="2" t="str">
        <f>IF(Source!$C379&gt;=COLUMNS($A379:AE379), Source!$E379, "")</f>
        <v/>
      </c>
      <c r="AF379" s="2" t="str">
        <f>IF(Source!$C379&gt;=COLUMNS($A379:AF379), Source!$E379, "")</f>
        <v/>
      </c>
      <c r="AG379" s="2" t="str">
        <f>IF(Source!$C379&gt;=COLUMNS($A379:AG379), Source!$E379, "")</f>
        <v/>
      </c>
      <c r="AH379" s="2" t="str">
        <f>IF(Source!$C379&gt;=COLUMNS($A379:AH379), Source!$E379, "")</f>
        <v/>
      </c>
      <c r="AI379" s="2" t="str">
        <f>IF(Source!$C379&gt;=COLUMNS($A379:AI379), Source!$E379, "")</f>
        <v/>
      </c>
      <c r="AJ379" s="2" t="str">
        <f>IF(Source!$C379&gt;=COLUMNS($A379:AJ379), Source!$E379, "")</f>
        <v/>
      </c>
      <c r="AK379" s="2" t="str">
        <f>IF(Source!$C379&gt;=COLUMNS($A379:AK379), Source!$E379, "")</f>
        <v/>
      </c>
      <c r="AL379" s="2" t="str">
        <f>IF(Source!$C379&gt;=COLUMNS($A379:AL379), Source!$E379, "")</f>
        <v/>
      </c>
      <c r="AM379" s="2" t="str">
        <f>IF(Source!$C379&gt;=COLUMNS($A379:AM379), Source!$E379, "")</f>
        <v/>
      </c>
      <c r="AN379" s="2" t="str">
        <f>IF(Source!$C379&gt;=COLUMNS($A379:AN379), Source!$E379, "")</f>
        <v/>
      </c>
      <c r="AO379" s="2" t="str">
        <f>IF(Source!$C379&gt;=COLUMNS($A379:AO379), Source!$E379, "")</f>
        <v/>
      </c>
      <c r="AP379" s="2" t="str">
        <f>IF(Source!$C379&gt;=COLUMNS($A379:AP379), Source!$E379, "")</f>
        <v/>
      </c>
      <c r="AQ379" s="2" t="str">
        <f>IF(Source!$C379&gt;=COLUMNS($A379:AQ379), Source!$E379, "")</f>
        <v/>
      </c>
      <c r="AR379" s="2" t="str">
        <f>IF(Source!$C379&gt;=COLUMNS($A379:AR379), Source!$E379, "")</f>
        <v/>
      </c>
    </row>
    <row r="380">
      <c r="A380" s="2">
        <f>IF(Source!$C380&gt;=COLUMNS($A380:A380), Source!$E380, "")</f>
        <v>8</v>
      </c>
      <c r="B380" s="2" t="str">
        <f>IF(Source!$C380&gt;=COLUMNS($A380:B380), Source!$E380, "")</f>
        <v/>
      </c>
      <c r="C380" s="2" t="str">
        <f>IF(Source!$C380&gt;=COLUMNS($A380:C380), Source!$E380, "")</f>
        <v/>
      </c>
      <c r="D380" s="2" t="str">
        <f>IF(Source!$C380&gt;=COLUMNS($A380:D380), Source!$E380, "")</f>
        <v/>
      </c>
      <c r="E380" s="2" t="str">
        <f>IF(Source!$C380&gt;=COLUMNS($A380:E380), Source!$E380, "")</f>
        <v/>
      </c>
      <c r="F380" s="2" t="str">
        <f>IF(Source!$C380&gt;=COLUMNS($A380:F380), Source!$E380, "")</f>
        <v/>
      </c>
      <c r="G380" s="2" t="str">
        <f>IF(Source!$C380&gt;=COLUMNS($A380:G380), Source!$E380, "")</f>
        <v/>
      </c>
      <c r="H380" s="2" t="str">
        <f>IF(Source!$C380&gt;=COLUMNS($A380:H380), Source!$E380, "")</f>
        <v/>
      </c>
      <c r="I380" s="2" t="str">
        <f>IF(Source!$C380&gt;=COLUMNS($A380:I380), Source!$E380, "")</f>
        <v/>
      </c>
      <c r="J380" s="2" t="str">
        <f>IF(Source!$C380&gt;=COLUMNS($A380:J380), Source!$E380, "")</f>
        <v/>
      </c>
      <c r="K380" s="2" t="str">
        <f>IF(Source!$C380&gt;=COLUMNS($A380:K380), Source!$E380, "")</f>
        <v/>
      </c>
      <c r="L380" s="2" t="str">
        <f>IF(Source!$C380&gt;=COLUMNS($A380:L380), Source!$E380, "")</f>
        <v/>
      </c>
      <c r="M380" s="2" t="str">
        <f>IF(Source!$C380&gt;=COLUMNS($A380:M380), Source!$E380, "")</f>
        <v/>
      </c>
      <c r="N380" s="2" t="str">
        <f>IF(Source!$C380&gt;=COLUMNS($A380:N380), Source!$E380, "")</f>
        <v/>
      </c>
      <c r="O380" s="2" t="str">
        <f>IF(Source!$C380&gt;=COLUMNS($A380:O380), Source!$E380, "")</f>
        <v/>
      </c>
      <c r="P380" s="2" t="str">
        <f>IF(Source!$C380&gt;=COLUMNS($A380:P380), Source!$E380, "")</f>
        <v/>
      </c>
      <c r="Q380" s="2" t="str">
        <f>IF(Source!$C380&gt;=COLUMNS($A380:Q380), Source!$E380, "")</f>
        <v/>
      </c>
      <c r="R380" s="2" t="str">
        <f>IF(Source!$C380&gt;=COLUMNS($A380:R380), Source!$E380, "")</f>
        <v/>
      </c>
      <c r="S380" s="2" t="str">
        <f>IF(Source!$C380&gt;=COLUMNS($A380:S380), Source!$E380, "")</f>
        <v/>
      </c>
      <c r="T380" s="2" t="str">
        <f>IF(Source!$C380&gt;=COLUMNS($A380:T380), Source!$E380, "")</f>
        <v/>
      </c>
      <c r="U380" s="2" t="str">
        <f>IF(Source!$C380&gt;=COLUMNS($A380:U380), Source!$E380, "")</f>
        <v/>
      </c>
      <c r="V380" s="2" t="str">
        <f>IF(Source!$C380&gt;=COLUMNS($A380:V380), Source!$E380, "")</f>
        <v/>
      </c>
      <c r="W380" s="2" t="str">
        <f>IF(Source!$C380&gt;=COLUMNS($A380:W380), Source!$E380, "")</f>
        <v/>
      </c>
      <c r="X380" s="2" t="str">
        <f>IF(Source!$C380&gt;=COLUMNS($A380:X380), Source!$E380, "")</f>
        <v/>
      </c>
      <c r="Y380" s="2" t="str">
        <f>IF(Source!$C380&gt;=COLUMNS($A380:Y380), Source!$E380, "")</f>
        <v/>
      </c>
      <c r="Z380" s="2" t="str">
        <f>IF(Source!$C380&gt;=COLUMNS($A380:Z380), Source!$E380, "")</f>
        <v/>
      </c>
      <c r="AA380" s="2" t="str">
        <f>IF(Source!$C380&gt;=COLUMNS($A380:AA380), Source!$E380, "")</f>
        <v/>
      </c>
      <c r="AB380" s="2" t="str">
        <f>IF(Source!$C380&gt;=COLUMNS($A380:AB380), Source!$E380, "")</f>
        <v/>
      </c>
      <c r="AC380" s="2" t="str">
        <f>IF(Source!$C380&gt;=COLUMNS($A380:AC380), Source!$E380, "")</f>
        <v/>
      </c>
      <c r="AD380" s="2" t="str">
        <f>IF(Source!$C380&gt;=COLUMNS($A380:AD380), Source!$E380, "")</f>
        <v/>
      </c>
      <c r="AE380" s="2" t="str">
        <f>IF(Source!$C380&gt;=COLUMNS($A380:AE380), Source!$E380, "")</f>
        <v/>
      </c>
      <c r="AF380" s="2" t="str">
        <f>IF(Source!$C380&gt;=COLUMNS($A380:AF380), Source!$E380, "")</f>
        <v/>
      </c>
      <c r="AG380" s="2" t="str">
        <f>IF(Source!$C380&gt;=COLUMNS($A380:AG380), Source!$E380, "")</f>
        <v/>
      </c>
      <c r="AH380" s="2" t="str">
        <f>IF(Source!$C380&gt;=COLUMNS($A380:AH380), Source!$E380, "")</f>
        <v/>
      </c>
      <c r="AI380" s="2" t="str">
        <f>IF(Source!$C380&gt;=COLUMNS($A380:AI380), Source!$E380, "")</f>
        <v/>
      </c>
      <c r="AJ380" s="2" t="str">
        <f>IF(Source!$C380&gt;=COLUMNS($A380:AJ380), Source!$E380, "")</f>
        <v/>
      </c>
      <c r="AK380" s="2" t="str">
        <f>IF(Source!$C380&gt;=COLUMNS($A380:AK380), Source!$E380, "")</f>
        <v/>
      </c>
      <c r="AL380" s="2" t="str">
        <f>IF(Source!$C380&gt;=COLUMNS($A380:AL380), Source!$E380, "")</f>
        <v/>
      </c>
      <c r="AM380" s="2" t="str">
        <f>IF(Source!$C380&gt;=COLUMNS($A380:AM380), Source!$E380, "")</f>
        <v/>
      </c>
      <c r="AN380" s="2" t="str">
        <f>IF(Source!$C380&gt;=COLUMNS($A380:AN380), Source!$E380, "")</f>
        <v/>
      </c>
      <c r="AO380" s="2" t="str">
        <f>IF(Source!$C380&gt;=COLUMNS($A380:AO380), Source!$E380, "")</f>
        <v/>
      </c>
      <c r="AP380" s="2" t="str">
        <f>IF(Source!$C380&gt;=COLUMNS($A380:AP380), Source!$E380, "")</f>
        <v/>
      </c>
      <c r="AQ380" s="2" t="str">
        <f>IF(Source!$C380&gt;=COLUMNS($A380:AQ380), Source!$E380, "")</f>
        <v/>
      </c>
      <c r="AR380" s="2" t="str">
        <f>IF(Source!$C380&gt;=COLUMNS($A380:AR380), Source!$E380, "")</f>
        <v/>
      </c>
    </row>
    <row r="381">
      <c r="A381" s="2">
        <f>IF(Source!$C381&gt;=COLUMNS($A381:A381), Source!$E381, "")</f>
        <v>2</v>
      </c>
      <c r="B381" s="2">
        <f>IF(Source!$C381&gt;=COLUMNS($A381:B381), Source!$E381, "")</f>
        <v>2</v>
      </c>
      <c r="C381" s="2">
        <f>IF(Source!$C381&gt;=COLUMNS($A381:C381), Source!$E381, "")</f>
        <v>2</v>
      </c>
      <c r="D381" s="2">
        <f>IF(Source!$C381&gt;=COLUMNS($A381:D381), Source!$E381, "")</f>
        <v>2</v>
      </c>
      <c r="E381" s="2" t="str">
        <f>IF(Source!$C381&gt;=COLUMNS($A381:E381), Source!$E381, "")</f>
        <v/>
      </c>
      <c r="F381" s="2" t="str">
        <f>IF(Source!$C381&gt;=COLUMNS($A381:F381), Source!$E381, "")</f>
        <v/>
      </c>
      <c r="G381" s="2" t="str">
        <f>IF(Source!$C381&gt;=COLUMNS($A381:G381), Source!$E381, "")</f>
        <v/>
      </c>
      <c r="H381" s="2" t="str">
        <f>IF(Source!$C381&gt;=COLUMNS($A381:H381), Source!$E381, "")</f>
        <v/>
      </c>
      <c r="I381" s="2" t="str">
        <f>IF(Source!$C381&gt;=COLUMNS($A381:I381), Source!$E381, "")</f>
        <v/>
      </c>
      <c r="J381" s="2" t="str">
        <f>IF(Source!$C381&gt;=COLUMNS($A381:J381), Source!$E381, "")</f>
        <v/>
      </c>
      <c r="K381" s="2" t="str">
        <f>IF(Source!$C381&gt;=COLUMNS($A381:K381), Source!$E381, "")</f>
        <v/>
      </c>
      <c r="L381" s="2" t="str">
        <f>IF(Source!$C381&gt;=COLUMNS($A381:L381), Source!$E381, "")</f>
        <v/>
      </c>
      <c r="M381" s="2" t="str">
        <f>IF(Source!$C381&gt;=COLUMNS($A381:M381), Source!$E381, "")</f>
        <v/>
      </c>
      <c r="N381" s="2" t="str">
        <f>IF(Source!$C381&gt;=COLUMNS($A381:N381), Source!$E381, "")</f>
        <v/>
      </c>
      <c r="O381" s="2" t="str">
        <f>IF(Source!$C381&gt;=COLUMNS($A381:O381), Source!$E381, "")</f>
        <v/>
      </c>
      <c r="P381" s="2" t="str">
        <f>IF(Source!$C381&gt;=COLUMNS($A381:P381), Source!$E381, "")</f>
        <v/>
      </c>
      <c r="Q381" s="2" t="str">
        <f>IF(Source!$C381&gt;=COLUMNS($A381:Q381), Source!$E381, "")</f>
        <v/>
      </c>
      <c r="R381" s="2" t="str">
        <f>IF(Source!$C381&gt;=COLUMNS($A381:R381), Source!$E381, "")</f>
        <v/>
      </c>
      <c r="S381" s="2" t="str">
        <f>IF(Source!$C381&gt;=COLUMNS($A381:S381), Source!$E381, "")</f>
        <v/>
      </c>
      <c r="T381" s="2" t="str">
        <f>IF(Source!$C381&gt;=COLUMNS($A381:T381), Source!$E381, "")</f>
        <v/>
      </c>
      <c r="U381" s="2" t="str">
        <f>IF(Source!$C381&gt;=COLUMNS($A381:U381), Source!$E381, "")</f>
        <v/>
      </c>
      <c r="V381" s="2" t="str">
        <f>IF(Source!$C381&gt;=COLUMNS($A381:V381), Source!$E381, "")</f>
        <v/>
      </c>
      <c r="W381" s="2" t="str">
        <f>IF(Source!$C381&gt;=COLUMNS($A381:W381), Source!$E381, "")</f>
        <v/>
      </c>
      <c r="X381" s="2" t="str">
        <f>IF(Source!$C381&gt;=COLUMNS($A381:X381), Source!$E381, "")</f>
        <v/>
      </c>
      <c r="Y381" s="2" t="str">
        <f>IF(Source!$C381&gt;=COLUMNS($A381:Y381), Source!$E381, "")</f>
        <v/>
      </c>
      <c r="Z381" s="2" t="str">
        <f>IF(Source!$C381&gt;=COLUMNS($A381:Z381), Source!$E381, "")</f>
        <v/>
      </c>
      <c r="AA381" s="2" t="str">
        <f>IF(Source!$C381&gt;=COLUMNS($A381:AA381), Source!$E381, "")</f>
        <v/>
      </c>
      <c r="AB381" s="2" t="str">
        <f>IF(Source!$C381&gt;=COLUMNS($A381:AB381), Source!$E381, "")</f>
        <v/>
      </c>
      <c r="AC381" s="2" t="str">
        <f>IF(Source!$C381&gt;=COLUMNS($A381:AC381), Source!$E381, "")</f>
        <v/>
      </c>
      <c r="AD381" s="2" t="str">
        <f>IF(Source!$C381&gt;=COLUMNS($A381:AD381), Source!$E381, "")</f>
        <v/>
      </c>
      <c r="AE381" s="2" t="str">
        <f>IF(Source!$C381&gt;=COLUMNS($A381:AE381), Source!$E381, "")</f>
        <v/>
      </c>
      <c r="AF381" s="2" t="str">
        <f>IF(Source!$C381&gt;=COLUMNS($A381:AF381), Source!$E381, "")</f>
        <v/>
      </c>
      <c r="AG381" s="2" t="str">
        <f>IF(Source!$C381&gt;=COLUMNS($A381:AG381), Source!$E381, "")</f>
        <v/>
      </c>
      <c r="AH381" s="2" t="str">
        <f>IF(Source!$C381&gt;=COLUMNS($A381:AH381), Source!$E381, "")</f>
        <v/>
      </c>
      <c r="AI381" s="2" t="str">
        <f>IF(Source!$C381&gt;=COLUMNS($A381:AI381), Source!$E381, "")</f>
        <v/>
      </c>
      <c r="AJ381" s="2" t="str">
        <f>IF(Source!$C381&gt;=COLUMNS($A381:AJ381), Source!$E381, "")</f>
        <v/>
      </c>
      <c r="AK381" s="2" t="str">
        <f>IF(Source!$C381&gt;=COLUMNS($A381:AK381), Source!$E381, "")</f>
        <v/>
      </c>
      <c r="AL381" s="2" t="str">
        <f>IF(Source!$C381&gt;=COLUMNS($A381:AL381), Source!$E381, "")</f>
        <v/>
      </c>
      <c r="AM381" s="2" t="str">
        <f>IF(Source!$C381&gt;=COLUMNS($A381:AM381), Source!$E381, "")</f>
        <v/>
      </c>
      <c r="AN381" s="2" t="str">
        <f>IF(Source!$C381&gt;=COLUMNS($A381:AN381), Source!$E381, "")</f>
        <v/>
      </c>
      <c r="AO381" s="2" t="str">
        <f>IF(Source!$C381&gt;=COLUMNS($A381:AO381), Source!$E381, "")</f>
        <v/>
      </c>
      <c r="AP381" s="2" t="str">
        <f>IF(Source!$C381&gt;=COLUMNS($A381:AP381), Source!$E381, "")</f>
        <v/>
      </c>
      <c r="AQ381" s="2" t="str">
        <f>IF(Source!$C381&gt;=COLUMNS($A381:AQ381), Source!$E381, "")</f>
        <v/>
      </c>
      <c r="AR381" s="2" t="str">
        <f>IF(Source!$C381&gt;=COLUMNS($A381:AR381), Source!$E381, "")</f>
        <v/>
      </c>
    </row>
    <row r="382">
      <c r="A382" s="2">
        <f>IF(Source!$C382&gt;=COLUMNS($A382:A382), Source!$E382, "")</f>
        <v>2</v>
      </c>
      <c r="B382" s="2">
        <f>IF(Source!$C382&gt;=COLUMNS($A382:B382), Source!$E382, "")</f>
        <v>2</v>
      </c>
      <c r="C382" s="2">
        <f>IF(Source!$C382&gt;=COLUMNS($A382:C382), Source!$E382, "")</f>
        <v>2</v>
      </c>
      <c r="D382" s="2">
        <f>IF(Source!$C382&gt;=COLUMNS($A382:D382), Source!$E382, "")</f>
        <v>2</v>
      </c>
      <c r="E382" s="2" t="str">
        <f>IF(Source!$C382&gt;=COLUMNS($A382:E382), Source!$E382, "")</f>
        <v/>
      </c>
      <c r="F382" s="2" t="str">
        <f>IF(Source!$C382&gt;=COLUMNS($A382:F382), Source!$E382, "")</f>
        <v/>
      </c>
      <c r="G382" s="2" t="str">
        <f>IF(Source!$C382&gt;=COLUMNS($A382:G382), Source!$E382, "")</f>
        <v/>
      </c>
      <c r="H382" s="2" t="str">
        <f>IF(Source!$C382&gt;=COLUMNS($A382:H382), Source!$E382, "")</f>
        <v/>
      </c>
      <c r="I382" s="2" t="str">
        <f>IF(Source!$C382&gt;=COLUMNS($A382:I382), Source!$E382, "")</f>
        <v/>
      </c>
      <c r="J382" s="2" t="str">
        <f>IF(Source!$C382&gt;=COLUMNS($A382:J382), Source!$E382, "")</f>
        <v/>
      </c>
      <c r="K382" s="2" t="str">
        <f>IF(Source!$C382&gt;=COLUMNS($A382:K382), Source!$E382, "")</f>
        <v/>
      </c>
      <c r="L382" s="2" t="str">
        <f>IF(Source!$C382&gt;=COLUMNS($A382:L382), Source!$E382, "")</f>
        <v/>
      </c>
      <c r="M382" s="2" t="str">
        <f>IF(Source!$C382&gt;=COLUMNS($A382:M382), Source!$E382, "")</f>
        <v/>
      </c>
      <c r="N382" s="2" t="str">
        <f>IF(Source!$C382&gt;=COLUMNS($A382:N382), Source!$E382, "")</f>
        <v/>
      </c>
      <c r="O382" s="2" t="str">
        <f>IF(Source!$C382&gt;=COLUMNS($A382:O382), Source!$E382, "")</f>
        <v/>
      </c>
      <c r="P382" s="2" t="str">
        <f>IF(Source!$C382&gt;=COLUMNS($A382:P382), Source!$E382, "")</f>
        <v/>
      </c>
      <c r="Q382" s="2" t="str">
        <f>IF(Source!$C382&gt;=COLUMNS($A382:Q382), Source!$E382, "")</f>
        <v/>
      </c>
      <c r="R382" s="2" t="str">
        <f>IF(Source!$C382&gt;=COLUMNS($A382:R382), Source!$E382, "")</f>
        <v/>
      </c>
      <c r="S382" s="2" t="str">
        <f>IF(Source!$C382&gt;=COLUMNS($A382:S382), Source!$E382, "")</f>
        <v/>
      </c>
      <c r="T382" s="2" t="str">
        <f>IF(Source!$C382&gt;=COLUMNS($A382:T382), Source!$E382, "")</f>
        <v/>
      </c>
      <c r="U382" s="2" t="str">
        <f>IF(Source!$C382&gt;=COLUMNS($A382:U382), Source!$E382, "")</f>
        <v/>
      </c>
      <c r="V382" s="2" t="str">
        <f>IF(Source!$C382&gt;=COLUMNS($A382:V382), Source!$E382, "")</f>
        <v/>
      </c>
      <c r="W382" s="2" t="str">
        <f>IF(Source!$C382&gt;=COLUMNS($A382:W382), Source!$E382, "")</f>
        <v/>
      </c>
      <c r="X382" s="2" t="str">
        <f>IF(Source!$C382&gt;=COLUMNS($A382:X382), Source!$E382, "")</f>
        <v/>
      </c>
      <c r="Y382" s="2" t="str">
        <f>IF(Source!$C382&gt;=COLUMNS($A382:Y382), Source!$E382, "")</f>
        <v/>
      </c>
      <c r="Z382" s="2" t="str">
        <f>IF(Source!$C382&gt;=COLUMNS($A382:Z382), Source!$E382, "")</f>
        <v/>
      </c>
      <c r="AA382" s="2" t="str">
        <f>IF(Source!$C382&gt;=COLUMNS($A382:AA382), Source!$E382, "")</f>
        <v/>
      </c>
      <c r="AB382" s="2" t="str">
        <f>IF(Source!$C382&gt;=COLUMNS($A382:AB382), Source!$E382, "")</f>
        <v/>
      </c>
      <c r="AC382" s="2" t="str">
        <f>IF(Source!$C382&gt;=COLUMNS($A382:AC382), Source!$E382, "")</f>
        <v/>
      </c>
      <c r="AD382" s="2" t="str">
        <f>IF(Source!$C382&gt;=COLUMNS($A382:AD382), Source!$E382, "")</f>
        <v/>
      </c>
      <c r="AE382" s="2" t="str">
        <f>IF(Source!$C382&gt;=COLUMNS($A382:AE382), Source!$E382, "")</f>
        <v/>
      </c>
      <c r="AF382" s="2" t="str">
        <f>IF(Source!$C382&gt;=COLUMNS($A382:AF382), Source!$E382, "")</f>
        <v/>
      </c>
      <c r="AG382" s="2" t="str">
        <f>IF(Source!$C382&gt;=COLUMNS($A382:AG382), Source!$E382, "")</f>
        <v/>
      </c>
      <c r="AH382" s="2" t="str">
        <f>IF(Source!$C382&gt;=COLUMNS($A382:AH382), Source!$E382, "")</f>
        <v/>
      </c>
      <c r="AI382" s="2" t="str">
        <f>IF(Source!$C382&gt;=COLUMNS($A382:AI382), Source!$E382, "")</f>
        <v/>
      </c>
      <c r="AJ382" s="2" t="str">
        <f>IF(Source!$C382&gt;=COLUMNS($A382:AJ382), Source!$E382, "")</f>
        <v/>
      </c>
      <c r="AK382" s="2" t="str">
        <f>IF(Source!$C382&gt;=COLUMNS($A382:AK382), Source!$E382, "")</f>
        <v/>
      </c>
      <c r="AL382" s="2" t="str">
        <f>IF(Source!$C382&gt;=COLUMNS($A382:AL382), Source!$E382, "")</f>
        <v/>
      </c>
      <c r="AM382" s="2" t="str">
        <f>IF(Source!$C382&gt;=COLUMNS($A382:AM382), Source!$E382, "")</f>
        <v/>
      </c>
      <c r="AN382" s="2" t="str">
        <f>IF(Source!$C382&gt;=COLUMNS($A382:AN382), Source!$E382, "")</f>
        <v/>
      </c>
      <c r="AO382" s="2" t="str">
        <f>IF(Source!$C382&gt;=COLUMNS($A382:AO382), Source!$E382, "")</f>
        <v/>
      </c>
      <c r="AP382" s="2" t="str">
        <f>IF(Source!$C382&gt;=COLUMNS($A382:AP382), Source!$E382, "")</f>
        <v/>
      </c>
      <c r="AQ382" s="2" t="str">
        <f>IF(Source!$C382&gt;=COLUMNS($A382:AQ382), Source!$E382, "")</f>
        <v/>
      </c>
      <c r="AR382" s="2" t="str">
        <f>IF(Source!$C382&gt;=COLUMNS($A382:AR382), Source!$E382, "")</f>
        <v/>
      </c>
    </row>
    <row r="383">
      <c r="A383" s="2">
        <f>IF(Source!$C383&gt;=COLUMNS($A383:A383), Source!$E383, "")</f>
        <v>6</v>
      </c>
      <c r="B383" s="2" t="str">
        <f>IF(Source!$C383&gt;=COLUMNS($A383:B383), Source!$E383, "")</f>
        <v/>
      </c>
      <c r="C383" s="2" t="str">
        <f>IF(Source!$C383&gt;=COLUMNS($A383:C383), Source!$E383, "")</f>
        <v/>
      </c>
      <c r="D383" s="2" t="str">
        <f>IF(Source!$C383&gt;=COLUMNS($A383:D383), Source!$E383, "")</f>
        <v/>
      </c>
      <c r="E383" s="2" t="str">
        <f>IF(Source!$C383&gt;=COLUMNS($A383:E383), Source!$E383, "")</f>
        <v/>
      </c>
      <c r="F383" s="2" t="str">
        <f>IF(Source!$C383&gt;=COLUMNS($A383:F383), Source!$E383, "")</f>
        <v/>
      </c>
      <c r="G383" s="2" t="str">
        <f>IF(Source!$C383&gt;=COLUMNS($A383:G383), Source!$E383, "")</f>
        <v/>
      </c>
      <c r="H383" s="2" t="str">
        <f>IF(Source!$C383&gt;=COLUMNS($A383:H383), Source!$E383, "")</f>
        <v/>
      </c>
      <c r="I383" s="2" t="str">
        <f>IF(Source!$C383&gt;=COLUMNS($A383:I383), Source!$E383, "")</f>
        <v/>
      </c>
      <c r="J383" s="2" t="str">
        <f>IF(Source!$C383&gt;=COLUMNS($A383:J383), Source!$E383, "")</f>
        <v/>
      </c>
      <c r="K383" s="2" t="str">
        <f>IF(Source!$C383&gt;=COLUMNS($A383:K383), Source!$E383, "")</f>
        <v/>
      </c>
      <c r="L383" s="2" t="str">
        <f>IF(Source!$C383&gt;=COLUMNS($A383:L383), Source!$E383, "")</f>
        <v/>
      </c>
      <c r="M383" s="2" t="str">
        <f>IF(Source!$C383&gt;=COLUMNS($A383:M383), Source!$E383, "")</f>
        <v/>
      </c>
      <c r="N383" s="2" t="str">
        <f>IF(Source!$C383&gt;=COLUMNS($A383:N383), Source!$E383, "")</f>
        <v/>
      </c>
      <c r="O383" s="2" t="str">
        <f>IF(Source!$C383&gt;=COLUMNS($A383:O383), Source!$E383, "")</f>
        <v/>
      </c>
      <c r="P383" s="2" t="str">
        <f>IF(Source!$C383&gt;=COLUMNS($A383:P383), Source!$E383, "")</f>
        <v/>
      </c>
      <c r="Q383" s="2" t="str">
        <f>IF(Source!$C383&gt;=COLUMNS($A383:Q383), Source!$E383, "")</f>
        <v/>
      </c>
      <c r="R383" s="2" t="str">
        <f>IF(Source!$C383&gt;=COLUMNS($A383:R383), Source!$E383, "")</f>
        <v/>
      </c>
      <c r="S383" s="2" t="str">
        <f>IF(Source!$C383&gt;=COLUMNS($A383:S383), Source!$E383, "")</f>
        <v/>
      </c>
      <c r="T383" s="2" t="str">
        <f>IF(Source!$C383&gt;=COLUMNS($A383:T383), Source!$E383, "")</f>
        <v/>
      </c>
      <c r="U383" s="2" t="str">
        <f>IF(Source!$C383&gt;=COLUMNS($A383:U383), Source!$E383, "")</f>
        <v/>
      </c>
      <c r="V383" s="2" t="str">
        <f>IF(Source!$C383&gt;=COLUMNS($A383:V383), Source!$E383, "")</f>
        <v/>
      </c>
      <c r="W383" s="2" t="str">
        <f>IF(Source!$C383&gt;=COLUMNS($A383:W383), Source!$E383, "")</f>
        <v/>
      </c>
      <c r="X383" s="2" t="str">
        <f>IF(Source!$C383&gt;=COLUMNS($A383:X383), Source!$E383, "")</f>
        <v/>
      </c>
      <c r="Y383" s="2" t="str">
        <f>IF(Source!$C383&gt;=COLUMNS($A383:Y383), Source!$E383, "")</f>
        <v/>
      </c>
      <c r="Z383" s="2" t="str">
        <f>IF(Source!$C383&gt;=COLUMNS($A383:Z383), Source!$E383, "")</f>
        <v/>
      </c>
      <c r="AA383" s="2" t="str">
        <f>IF(Source!$C383&gt;=COLUMNS($A383:AA383), Source!$E383, "")</f>
        <v/>
      </c>
      <c r="AB383" s="2" t="str">
        <f>IF(Source!$C383&gt;=COLUMNS($A383:AB383), Source!$E383, "")</f>
        <v/>
      </c>
      <c r="AC383" s="2" t="str">
        <f>IF(Source!$C383&gt;=COLUMNS($A383:AC383), Source!$E383, "")</f>
        <v/>
      </c>
      <c r="AD383" s="2" t="str">
        <f>IF(Source!$C383&gt;=COLUMNS($A383:AD383), Source!$E383, "")</f>
        <v/>
      </c>
      <c r="AE383" s="2" t="str">
        <f>IF(Source!$C383&gt;=COLUMNS($A383:AE383), Source!$E383, "")</f>
        <v/>
      </c>
      <c r="AF383" s="2" t="str">
        <f>IF(Source!$C383&gt;=COLUMNS($A383:AF383), Source!$E383, "")</f>
        <v/>
      </c>
      <c r="AG383" s="2" t="str">
        <f>IF(Source!$C383&gt;=COLUMNS($A383:AG383), Source!$E383, "")</f>
        <v/>
      </c>
      <c r="AH383" s="2" t="str">
        <f>IF(Source!$C383&gt;=COLUMNS($A383:AH383), Source!$E383, "")</f>
        <v/>
      </c>
      <c r="AI383" s="2" t="str">
        <f>IF(Source!$C383&gt;=COLUMNS($A383:AI383), Source!$E383, "")</f>
        <v/>
      </c>
      <c r="AJ383" s="2" t="str">
        <f>IF(Source!$C383&gt;=COLUMNS($A383:AJ383), Source!$E383, "")</f>
        <v/>
      </c>
      <c r="AK383" s="2" t="str">
        <f>IF(Source!$C383&gt;=COLUMNS($A383:AK383), Source!$E383, "")</f>
        <v/>
      </c>
      <c r="AL383" s="2" t="str">
        <f>IF(Source!$C383&gt;=COLUMNS($A383:AL383), Source!$E383, "")</f>
        <v/>
      </c>
      <c r="AM383" s="2" t="str">
        <f>IF(Source!$C383&gt;=COLUMNS($A383:AM383), Source!$E383, "")</f>
        <v/>
      </c>
      <c r="AN383" s="2" t="str">
        <f>IF(Source!$C383&gt;=COLUMNS($A383:AN383), Source!$E383, "")</f>
        <v/>
      </c>
      <c r="AO383" s="2" t="str">
        <f>IF(Source!$C383&gt;=COLUMNS($A383:AO383), Source!$E383, "")</f>
        <v/>
      </c>
      <c r="AP383" s="2" t="str">
        <f>IF(Source!$C383&gt;=COLUMNS($A383:AP383), Source!$E383, "")</f>
        <v/>
      </c>
      <c r="AQ383" s="2" t="str">
        <f>IF(Source!$C383&gt;=COLUMNS($A383:AQ383), Source!$E383, "")</f>
        <v/>
      </c>
      <c r="AR383" s="2" t="str">
        <f>IF(Source!$C383&gt;=COLUMNS($A383:AR383), Source!$E383, "")</f>
        <v/>
      </c>
    </row>
    <row r="384">
      <c r="A384" s="2">
        <f>IF(Source!$C384&gt;=COLUMNS($A384:A384), Source!$E384, "")</f>
        <v>2</v>
      </c>
      <c r="B384" s="2" t="str">
        <f>IF(Source!$C384&gt;=COLUMNS($A384:B384), Source!$E384, "")</f>
        <v/>
      </c>
      <c r="C384" s="2" t="str">
        <f>IF(Source!$C384&gt;=COLUMNS($A384:C384), Source!$E384, "")</f>
        <v/>
      </c>
      <c r="D384" s="2" t="str">
        <f>IF(Source!$C384&gt;=COLUMNS($A384:D384), Source!$E384, "")</f>
        <v/>
      </c>
      <c r="E384" s="2" t="str">
        <f>IF(Source!$C384&gt;=COLUMNS($A384:E384), Source!$E384, "")</f>
        <v/>
      </c>
      <c r="F384" s="2" t="str">
        <f>IF(Source!$C384&gt;=COLUMNS($A384:F384), Source!$E384, "")</f>
        <v/>
      </c>
      <c r="G384" s="2" t="str">
        <f>IF(Source!$C384&gt;=COLUMNS($A384:G384), Source!$E384, "")</f>
        <v/>
      </c>
      <c r="H384" s="2" t="str">
        <f>IF(Source!$C384&gt;=COLUMNS($A384:H384), Source!$E384, "")</f>
        <v/>
      </c>
      <c r="I384" s="2" t="str">
        <f>IF(Source!$C384&gt;=COLUMNS($A384:I384), Source!$E384, "")</f>
        <v/>
      </c>
      <c r="J384" s="2" t="str">
        <f>IF(Source!$C384&gt;=COLUMNS($A384:J384), Source!$E384, "")</f>
        <v/>
      </c>
      <c r="K384" s="2" t="str">
        <f>IF(Source!$C384&gt;=COLUMNS($A384:K384), Source!$E384, "")</f>
        <v/>
      </c>
      <c r="L384" s="2" t="str">
        <f>IF(Source!$C384&gt;=COLUMNS($A384:L384), Source!$E384, "")</f>
        <v/>
      </c>
      <c r="M384" s="2" t="str">
        <f>IF(Source!$C384&gt;=COLUMNS($A384:M384), Source!$E384, "")</f>
        <v/>
      </c>
      <c r="N384" s="2" t="str">
        <f>IF(Source!$C384&gt;=COLUMNS($A384:N384), Source!$E384, "")</f>
        <v/>
      </c>
      <c r="O384" s="2" t="str">
        <f>IF(Source!$C384&gt;=COLUMNS($A384:O384), Source!$E384, "")</f>
        <v/>
      </c>
      <c r="P384" s="2" t="str">
        <f>IF(Source!$C384&gt;=COLUMNS($A384:P384), Source!$E384, "")</f>
        <v/>
      </c>
      <c r="Q384" s="2" t="str">
        <f>IF(Source!$C384&gt;=COLUMNS($A384:Q384), Source!$E384, "")</f>
        <v/>
      </c>
      <c r="R384" s="2" t="str">
        <f>IF(Source!$C384&gt;=COLUMNS($A384:R384), Source!$E384, "")</f>
        <v/>
      </c>
      <c r="S384" s="2" t="str">
        <f>IF(Source!$C384&gt;=COLUMNS($A384:S384), Source!$E384, "")</f>
        <v/>
      </c>
      <c r="T384" s="2" t="str">
        <f>IF(Source!$C384&gt;=COLUMNS($A384:T384), Source!$E384, "")</f>
        <v/>
      </c>
      <c r="U384" s="2" t="str">
        <f>IF(Source!$C384&gt;=COLUMNS($A384:U384), Source!$E384, "")</f>
        <v/>
      </c>
      <c r="V384" s="2" t="str">
        <f>IF(Source!$C384&gt;=COLUMNS($A384:V384), Source!$E384, "")</f>
        <v/>
      </c>
      <c r="W384" s="2" t="str">
        <f>IF(Source!$C384&gt;=COLUMNS($A384:W384), Source!$E384, "")</f>
        <v/>
      </c>
      <c r="X384" s="2" t="str">
        <f>IF(Source!$C384&gt;=COLUMNS($A384:X384), Source!$E384, "")</f>
        <v/>
      </c>
      <c r="Y384" s="2" t="str">
        <f>IF(Source!$C384&gt;=COLUMNS($A384:Y384), Source!$E384, "")</f>
        <v/>
      </c>
      <c r="Z384" s="2" t="str">
        <f>IF(Source!$C384&gt;=COLUMNS($A384:Z384), Source!$E384, "")</f>
        <v/>
      </c>
      <c r="AA384" s="2" t="str">
        <f>IF(Source!$C384&gt;=COLUMNS($A384:AA384), Source!$E384, "")</f>
        <v/>
      </c>
      <c r="AB384" s="2" t="str">
        <f>IF(Source!$C384&gt;=COLUMNS($A384:AB384), Source!$E384, "")</f>
        <v/>
      </c>
      <c r="AC384" s="2" t="str">
        <f>IF(Source!$C384&gt;=COLUMNS($A384:AC384), Source!$E384, "")</f>
        <v/>
      </c>
      <c r="AD384" s="2" t="str">
        <f>IF(Source!$C384&gt;=COLUMNS($A384:AD384), Source!$E384, "")</f>
        <v/>
      </c>
      <c r="AE384" s="2" t="str">
        <f>IF(Source!$C384&gt;=COLUMNS($A384:AE384), Source!$E384, "")</f>
        <v/>
      </c>
      <c r="AF384" s="2" t="str">
        <f>IF(Source!$C384&gt;=COLUMNS($A384:AF384), Source!$E384, "")</f>
        <v/>
      </c>
      <c r="AG384" s="2" t="str">
        <f>IF(Source!$C384&gt;=COLUMNS($A384:AG384), Source!$E384, "")</f>
        <v/>
      </c>
      <c r="AH384" s="2" t="str">
        <f>IF(Source!$C384&gt;=COLUMNS($A384:AH384), Source!$E384, "")</f>
        <v/>
      </c>
      <c r="AI384" s="2" t="str">
        <f>IF(Source!$C384&gt;=COLUMNS($A384:AI384), Source!$E384, "")</f>
        <v/>
      </c>
      <c r="AJ384" s="2" t="str">
        <f>IF(Source!$C384&gt;=COLUMNS($A384:AJ384), Source!$E384, "")</f>
        <v/>
      </c>
      <c r="AK384" s="2" t="str">
        <f>IF(Source!$C384&gt;=COLUMNS($A384:AK384), Source!$E384, "")</f>
        <v/>
      </c>
      <c r="AL384" s="2" t="str">
        <f>IF(Source!$C384&gt;=COLUMNS($A384:AL384), Source!$E384, "")</f>
        <v/>
      </c>
      <c r="AM384" s="2" t="str">
        <f>IF(Source!$C384&gt;=COLUMNS($A384:AM384), Source!$E384, "")</f>
        <v/>
      </c>
      <c r="AN384" s="2" t="str">
        <f>IF(Source!$C384&gt;=COLUMNS($A384:AN384), Source!$E384, "")</f>
        <v/>
      </c>
      <c r="AO384" s="2" t="str">
        <f>IF(Source!$C384&gt;=COLUMNS($A384:AO384), Source!$E384, "")</f>
        <v/>
      </c>
      <c r="AP384" s="2" t="str">
        <f>IF(Source!$C384&gt;=COLUMNS($A384:AP384), Source!$E384, "")</f>
        <v/>
      </c>
      <c r="AQ384" s="2" t="str">
        <f>IF(Source!$C384&gt;=COLUMNS($A384:AQ384), Source!$E384, "")</f>
        <v/>
      </c>
      <c r="AR384" s="2" t="str">
        <f>IF(Source!$C384&gt;=COLUMNS($A384:AR384), Source!$E384, "")</f>
        <v/>
      </c>
    </row>
    <row r="385">
      <c r="A385" s="2">
        <f>IF(Source!$C385&gt;=COLUMNS($A385:A385), Source!$E385, "")</f>
        <v>4</v>
      </c>
      <c r="B385" s="2">
        <f>IF(Source!$C385&gt;=COLUMNS($A385:B385), Source!$E385, "")</f>
        <v>4</v>
      </c>
      <c r="C385" s="2" t="str">
        <f>IF(Source!$C385&gt;=COLUMNS($A385:C385), Source!$E385, "")</f>
        <v/>
      </c>
      <c r="D385" s="2" t="str">
        <f>IF(Source!$C385&gt;=COLUMNS($A385:D385), Source!$E385, "")</f>
        <v/>
      </c>
      <c r="E385" s="2" t="str">
        <f>IF(Source!$C385&gt;=COLUMNS($A385:E385), Source!$E385, "")</f>
        <v/>
      </c>
      <c r="F385" s="2" t="str">
        <f>IF(Source!$C385&gt;=COLUMNS($A385:F385), Source!$E385, "")</f>
        <v/>
      </c>
      <c r="G385" s="2" t="str">
        <f>IF(Source!$C385&gt;=COLUMNS($A385:G385), Source!$E385, "")</f>
        <v/>
      </c>
      <c r="H385" s="2" t="str">
        <f>IF(Source!$C385&gt;=COLUMNS($A385:H385), Source!$E385, "")</f>
        <v/>
      </c>
      <c r="I385" s="2" t="str">
        <f>IF(Source!$C385&gt;=COLUMNS($A385:I385), Source!$E385, "")</f>
        <v/>
      </c>
      <c r="J385" s="2" t="str">
        <f>IF(Source!$C385&gt;=COLUMNS($A385:J385), Source!$E385, "")</f>
        <v/>
      </c>
      <c r="K385" s="2" t="str">
        <f>IF(Source!$C385&gt;=COLUMNS($A385:K385), Source!$E385, "")</f>
        <v/>
      </c>
      <c r="L385" s="2" t="str">
        <f>IF(Source!$C385&gt;=COLUMNS($A385:L385), Source!$E385, "")</f>
        <v/>
      </c>
      <c r="M385" s="2" t="str">
        <f>IF(Source!$C385&gt;=COLUMNS($A385:M385), Source!$E385, "")</f>
        <v/>
      </c>
      <c r="N385" s="2" t="str">
        <f>IF(Source!$C385&gt;=COLUMNS($A385:N385), Source!$E385, "")</f>
        <v/>
      </c>
      <c r="O385" s="2" t="str">
        <f>IF(Source!$C385&gt;=COLUMNS($A385:O385), Source!$E385, "")</f>
        <v/>
      </c>
      <c r="P385" s="2" t="str">
        <f>IF(Source!$C385&gt;=COLUMNS($A385:P385), Source!$E385, "")</f>
        <v/>
      </c>
      <c r="Q385" s="2" t="str">
        <f>IF(Source!$C385&gt;=COLUMNS($A385:Q385), Source!$E385, "")</f>
        <v/>
      </c>
      <c r="R385" s="2" t="str">
        <f>IF(Source!$C385&gt;=COLUMNS($A385:R385), Source!$E385, "")</f>
        <v/>
      </c>
      <c r="S385" s="2" t="str">
        <f>IF(Source!$C385&gt;=COLUMNS($A385:S385), Source!$E385, "")</f>
        <v/>
      </c>
      <c r="T385" s="2" t="str">
        <f>IF(Source!$C385&gt;=COLUMNS($A385:T385), Source!$E385, "")</f>
        <v/>
      </c>
      <c r="U385" s="2" t="str">
        <f>IF(Source!$C385&gt;=COLUMNS($A385:U385), Source!$E385, "")</f>
        <v/>
      </c>
      <c r="V385" s="2" t="str">
        <f>IF(Source!$C385&gt;=COLUMNS($A385:V385), Source!$E385, "")</f>
        <v/>
      </c>
      <c r="W385" s="2" t="str">
        <f>IF(Source!$C385&gt;=COLUMNS($A385:W385), Source!$E385, "")</f>
        <v/>
      </c>
      <c r="X385" s="2" t="str">
        <f>IF(Source!$C385&gt;=COLUMNS($A385:X385), Source!$E385, "")</f>
        <v/>
      </c>
      <c r="Y385" s="2" t="str">
        <f>IF(Source!$C385&gt;=COLUMNS($A385:Y385), Source!$E385, "")</f>
        <v/>
      </c>
      <c r="Z385" s="2" t="str">
        <f>IF(Source!$C385&gt;=COLUMNS($A385:Z385), Source!$E385, "")</f>
        <v/>
      </c>
      <c r="AA385" s="2" t="str">
        <f>IF(Source!$C385&gt;=COLUMNS($A385:AA385), Source!$E385, "")</f>
        <v/>
      </c>
      <c r="AB385" s="2" t="str">
        <f>IF(Source!$C385&gt;=COLUMNS($A385:AB385), Source!$E385, "")</f>
        <v/>
      </c>
      <c r="AC385" s="2" t="str">
        <f>IF(Source!$C385&gt;=COLUMNS($A385:AC385), Source!$E385, "")</f>
        <v/>
      </c>
      <c r="AD385" s="2" t="str">
        <f>IF(Source!$C385&gt;=COLUMNS($A385:AD385), Source!$E385, "")</f>
        <v/>
      </c>
      <c r="AE385" s="2" t="str">
        <f>IF(Source!$C385&gt;=COLUMNS($A385:AE385), Source!$E385, "")</f>
        <v/>
      </c>
      <c r="AF385" s="2" t="str">
        <f>IF(Source!$C385&gt;=COLUMNS($A385:AF385), Source!$E385, "")</f>
        <v/>
      </c>
      <c r="AG385" s="2" t="str">
        <f>IF(Source!$C385&gt;=COLUMNS($A385:AG385), Source!$E385, "")</f>
        <v/>
      </c>
      <c r="AH385" s="2" t="str">
        <f>IF(Source!$C385&gt;=COLUMNS($A385:AH385), Source!$E385, "")</f>
        <v/>
      </c>
      <c r="AI385" s="2" t="str">
        <f>IF(Source!$C385&gt;=COLUMNS($A385:AI385), Source!$E385, "")</f>
        <v/>
      </c>
      <c r="AJ385" s="2" t="str">
        <f>IF(Source!$C385&gt;=COLUMNS($A385:AJ385), Source!$E385, "")</f>
        <v/>
      </c>
      <c r="AK385" s="2" t="str">
        <f>IF(Source!$C385&gt;=COLUMNS($A385:AK385), Source!$E385, "")</f>
        <v/>
      </c>
      <c r="AL385" s="2" t="str">
        <f>IF(Source!$C385&gt;=COLUMNS($A385:AL385), Source!$E385, "")</f>
        <v/>
      </c>
      <c r="AM385" s="2" t="str">
        <f>IF(Source!$C385&gt;=COLUMNS($A385:AM385), Source!$E385, "")</f>
        <v/>
      </c>
      <c r="AN385" s="2" t="str">
        <f>IF(Source!$C385&gt;=COLUMNS($A385:AN385), Source!$E385, "")</f>
        <v/>
      </c>
      <c r="AO385" s="2" t="str">
        <f>IF(Source!$C385&gt;=COLUMNS($A385:AO385), Source!$E385, "")</f>
        <v/>
      </c>
      <c r="AP385" s="2" t="str">
        <f>IF(Source!$C385&gt;=COLUMNS($A385:AP385), Source!$E385, "")</f>
        <v/>
      </c>
      <c r="AQ385" s="2" t="str">
        <f>IF(Source!$C385&gt;=COLUMNS($A385:AQ385), Source!$E385, "")</f>
        <v/>
      </c>
      <c r="AR385" s="2" t="str">
        <f>IF(Source!$C385&gt;=COLUMNS($A385:AR385), Source!$E385, "")</f>
        <v/>
      </c>
    </row>
    <row r="386">
      <c r="A386" s="2">
        <f>IF(Source!$C386&gt;=COLUMNS($A386:A386), Source!$E386, "")</f>
        <v>1</v>
      </c>
      <c r="B386" s="2">
        <f>IF(Source!$C386&gt;=COLUMNS($A386:B386), Source!$E386, "")</f>
        <v>1</v>
      </c>
      <c r="C386" s="2">
        <f>IF(Source!$C386&gt;=COLUMNS($A386:C386), Source!$E386, "")</f>
        <v>1</v>
      </c>
      <c r="D386" s="2">
        <f>IF(Source!$C386&gt;=COLUMNS($A386:D386), Source!$E386, "")</f>
        <v>1</v>
      </c>
      <c r="E386" s="2">
        <f>IF(Source!$C386&gt;=COLUMNS($A386:E386), Source!$E386, "")</f>
        <v>1</v>
      </c>
      <c r="F386" s="2">
        <f>IF(Source!$C386&gt;=COLUMNS($A386:F386), Source!$E386, "")</f>
        <v>1</v>
      </c>
      <c r="G386" s="2">
        <f>IF(Source!$C386&gt;=COLUMNS($A386:G386), Source!$E386, "")</f>
        <v>1</v>
      </c>
      <c r="H386" s="2">
        <f>IF(Source!$C386&gt;=COLUMNS($A386:H386), Source!$E386, "")</f>
        <v>1</v>
      </c>
      <c r="I386" s="2">
        <f>IF(Source!$C386&gt;=COLUMNS($A386:I386), Source!$E386, "")</f>
        <v>1</v>
      </c>
      <c r="J386" s="2">
        <f>IF(Source!$C386&gt;=COLUMNS($A386:J386), Source!$E386, "")</f>
        <v>1</v>
      </c>
      <c r="K386" s="2">
        <f>IF(Source!$C386&gt;=COLUMNS($A386:K386), Source!$E386, "")</f>
        <v>1</v>
      </c>
      <c r="L386" s="2">
        <f>IF(Source!$C386&gt;=COLUMNS($A386:L386), Source!$E386, "")</f>
        <v>1</v>
      </c>
      <c r="M386" s="2">
        <f>IF(Source!$C386&gt;=COLUMNS($A386:M386), Source!$E386, "")</f>
        <v>1</v>
      </c>
      <c r="N386" s="2">
        <f>IF(Source!$C386&gt;=COLUMNS($A386:N386), Source!$E386, "")</f>
        <v>1</v>
      </c>
      <c r="O386" s="2">
        <f>IF(Source!$C386&gt;=COLUMNS($A386:O386), Source!$E386, "")</f>
        <v>1</v>
      </c>
      <c r="P386" s="2">
        <f>IF(Source!$C386&gt;=COLUMNS($A386:P386), Source!$E386, "")</f>
        <v>1</v>
      </c>
      <c r="Q386" s="2">
        <f>IF(Source!$C386&gt;=COLUMNS($A386:Q386), Source!$E386, "")</f>
        <v>1</v>
      </c>
      <c r="R386" s="2">
        <f>IF(Source!$C386&gt;=COLUMNS($A386:R386), Source!$E386, "")</f>
        <v>1</v>
      </c>
      <c r="S386" s="2" t="str">
        <f>IF(Source!$C386&gt;=COLUMNS($A386:S386), Source!$E386, "")</f>
        <v/>
      </c>
      <c r="T386" s="2" t="str">
        <f>IF(Source!$C386&gt;=COLUMNS($A386:T386), Source!$E386, "")</f>
        <v/>
      </c>
      <c r="U386" s="2" t="str">
        <f>IF(Source!$C386&gt;=COLUMNS($A386:U386), Source!$E386, "")</f>
        <v/>
      </c>
      <c r="V386" s="2" t="str">
        <f>IF(Source!$C386&gt;=COLUMNS($A386:V386), Source!$E386, "")</f>
        <v/>
      </c>
      <c r="W386" s="2" t="str">
        <f>IF(Source!$C386&gt;=COLUMNS($A386:W386), Source!$E386, "")</f>
        <v/>
      </c>
      <c r="X386" s="2" t="str">
        <f>IF(Source!$C386&gt;=COLUMNS($A386:X386), Source!$E386, "")</f>
        <v/>
      </c>
      <c r="Y386" s="2" t="str">
        <f>IF(Source!$C386&gt;=COLUMNS($A386:Y386), Source!$E386, "")</f>
        <v/>
      </c>
      <c r="Z386" s="2" t="str">
        <f>IF(Source!$C386&gt;=COLUMNS($A386:Z386), Source!$E386, "")</f>
        <v/>
      </c>
      <c r="AA386" s="2" t="str">
        <f>IF(Source!$C386&gt;=COLUMNS($A386:AA386), Source!$E386, "")</f>
        <v/>
      </c>
      <c r="AB386" s="2" t="str">
        <f>IF(Source!$C386&gt;=COLUMNS($A386:AB386), Source!$E386, "")</f>
        <v/>
      </c>
      <c r="AC386" s="2" t="str">
        <f>IF(Source!$C386&gt;=COLUMNS($A386:AC386), Source!$E386, "")</f>
        <v/>
      </c>
      <c r="AD386" s="2" t="str">
        <f>IF(Source!$C386&gt;=COLUMNS($A386:AD386), Source!$E386, "")</f>
        <v/>
      </c>
      <c r="AE386" s="2" t="str">
        <f>IF(Source!$C386&gt;=COLUMNS($A386:AE386), Source!$E386, "")</f>
        <v/>
      </c>
      <c r="AF386" s="2" t="str">
        <f>IF(Source!$C386&gt;=COLUMNS($A386:AF386), Source!$E386, "")</f>
        <v/>
      </c>
      <c r="AG386" s="2" t="str">
        <f>IF(Source!$C386&gt;=COLUMNS($A386:AG386), Source!$E386, "")</f>
        <v/>
      </c>
      <c r="AH386" s="2" t="str">
        <f>IF(Source!$C386&gt;=COLUMNS($A386:AH386), Source!$E386, "")</f>
        <v/>
      </c>
      <c r="AI386" s="2" t="str">
        <f>IF(Source!$C386&gt;=COLUMNS($A386:AI386), Source!$E386, "")</f>
        <v/>
      </c>
      <c r="AJ386" s="2" t="str">
        <f>IF(Source!$C386&gt;=COLUMNS($A386:AJ386), Source!$E386, "")</f>
        <v/>
      </c>
      <c r="AK386" s="2" t="str">
        <f>IF(Source!$C386&gt;=COLUMNS($A386:AK386), Source!$E386, "")</f>
        <v/>
      </c>
      <c r="AL386" s="2" t="str">
        <f>IF(Source!$C386&gt;=COLUMNS($A386:AL386), Source!$E386, "")</f>
        <v/>
      </c>
      <c r="AM386" s="2" t="str">
        <f>IF(Source!$C386&gt;=COLUMNS($A386:AM386), Source!$E386, "")</f>
        <v/>
      </c>
      <c r="AN386" s="2" t="str">
        <f>IF(Source!$C386&gt;=COLUMNS($A386:AN386), Source!$E386, "")</f>
        <v/>
      </c>
      <c r="AO386" s="2" t="str">
        <f>IF(Source!$C386&gt;=COLUMNS($A386:AO386), Source!$E386, "")</f>
        <v/>
      </c>
      <c r="AP386" s="2" t="str">
        <f>IF(Source!$C386&gt;=COLUMNS($A386:AP386), Source!$E386, "")</f>
        <v/>
      </c>
      <c r="AQ386" s="2" t="str">
        <f>IF(Source!$C386&gt;=COLUMNS($A386:AQ386), Source!$E386, "")</f>
        <v/>
      </c>
      <c r="AR386" s="2" t="str">
        <f>IF(Source!$C386&gt;=COLUMNS($A386:AR386), Source!$E386, "")</f>
        <v/>
      </c>
    </row>
    <row r="387">
      <c r="A387" s="2">
        <f>IF(Source!$C387&gt;=COLUMNS($A387:A387), Source!$E387, "")</f>
        <v>9</v>
      </c>
      <c r="B387" s="2">
        <f>IF(Source!$C387&gt;=COLUMNS($A387:B387), Source!$E387, "")</f>
        <v>9</v>
      </c>
      <c r="C387" s="2">
        <f>IF(Source!$C387&gt;=COLUMNS($A387:C387), Source!$E387, "")</f>
        <v>9</v>
      </c>
      <c r="D387" s="2">
        <f>IF(Source!$C387&gt;=COLUMNS($A387:D387), Source!$E387, "")</f>
        <v>9</v>
      </c>
      <c r="E387" s="2">
        <f>IF(Source!$C387&gt;=COLUMNS($A387:E387), Source!$E387, "")</f>
        <v>9</v>
      </c>
      <c r="F387" s="2">
        <f>IF(Source!$C387&gt;=COLUMNS($A387:F387), Source!$E387, "")</f>
        <v>9</v>
      </c>
      <c r="G387" s="2">
        <f>IF(Source!$C387&gt;=COLUMNS($A387:G387), Source!$E387, "")</f>
        <v>9</v>
      </c>
      <c r="H387" s="2">
        <f>IF(Source!$C387&gt;=COLUMNS($A387:H387), Source!$E387, "")</f>
        <v>9</v>
      </c>
      <c r="I387" s="2" t="str">
        <f>IF(Source!$C387&gt;=COLUMNS($A387:I387), Source!$E387, "")</f>
        <v/>
      </c>
      <c r="J387" s="2" t="str">
        <f>IF(Source!$C387&gt;=COLUMNS($A387:J387), Source!$E387, "")</f>
        <v/>
      </c>
      <c r="K387" s="2" t="str">
        <f>IF(Source!$C387&gt;=COLUMNS($A387:K387), Source!$E387, "")</f>
        <v/>
      </c>
      <c r="L387" s="2" t="str">
        <f>IF(Source!$C387&gt;=COLUMNS($A387:L387), Source!$E387, "")</f>
        <v/>
      </c>
      <c r="M387" s="2" t="str">
        <f>IF(Source!$C387&gt;=COLUMNS($A387:M387), Source!$E387, "")</f>
        <v/>
      </c>
      <c r="N387" s="2" t="str">
        <f>IF(Source!$C387&gt;=COLUMNS($A387:N387), Source!$E387, "")</f>
        <v/>
      </c>
      <c r="O387" s="2" t="str">
        <f>IF(Source!$C387&gt;=COLUMNS($A387:O387), Source!$E387, "")</f>
        <v/>
      </c>
      <c r="P387" s="2" t="str">
        <f>IF(Source!$C387&gt;=COLUMNS($A387:P387), Source!$E387, "")</f>
        <v/>
      </c>
      <c r="Q387" s="2" t="str">
        <f>IF(Source!$C387&gt;=COLUMNS($A387:Q387), Source!$E387, "")</f>
        <v/>
      </c>
      <c r="R387" s="2" t="str">
        <f>IF(Source!$C387&gt;=COLUMNS($A387:R387), Source!$E387, "")</f>
        <v/>
      </c>
      <c r="S387" s="2" t="str">
        <f>IF(Source!$C387&gt;=COLUMNS($A387:S387), Source!$E387, "")</f>
        <v/>
      </c>
      <c r="T387" s="2" t="str">
        <f>IF(Source!$C387&gt;=COLUMNS($A387:T387), Source!$E387, "")</f>
        <v/>
      </c>
      <c r="U387" s="2" t="str">
        <f>IF(Source!$C387&gt;=COLUMNS($A387:U387), Source!$E387, "")</f>
        <v/>
      </c>
      <c r="V387" s="2" t="str">
        <f>IF(Source!$C387&gt;=COLUMNS($A387:V387), Source!$E387, "")</f>
        <v/>
      </c>
      <c r="W387" s="2" t="str">
        <f>IF(Source!$C387&gt;=COLUMNS($A387:W387), Source!$E387, "")</f>
        <v/>
      </c>
      <c r="X387" s="2" t="str">
        <f>IF(Source!$C387&gt;=COLUMNS($A387:X387), Source!$E387, "")</f>
        <v/>
      </c>
      <c r="Y387" s="2" t="str">
        <f>IF(Source!$C387&gt;=COLUMNS($A387:Y387), Source!$E387, "")</f>
        <v/>
      </c>
      <c r="Z387" s="2" t="str">
        <f>IF(Source!$C387&gt;=COLUMNS($A387:Z387), Source!$E387, "")</f>
        <v/>
      </c>
      <c r="AA387" s="2" t="str">
        <f>IF(Source!$C387&gt;=COLUMNS($A387:AA387), Source!$E387, "")</f>
        <v/>
      </c>
      <c r="AB387" s="2" t="str">
        <f>IF(Source!$C387&gt;=COLUMNS($A387:AB387), Source!$E387, "")</f>
        <v/>
      </c>
      <c r="AC387" s="2" t="str">
        <f>IF(Source!$C387&gt;=COLUMNS($A387:AC387), Source!$E387, "")</f>
        <v/>
      </c>
      <c r="AD387" s="2" t="str">
        <f>IF(Source!$C387&gt;=COLUMNS($A387:AD387), Source!$E387, "")</f>
        <v/>
      </c>
      <c r="AE387" s="2" t="str">
        <f>IF(Source!$C387&gt;=COLUMNS($A387:AE387), Source!$E387, "")</f>
        <v/>
      </c>
      <c r="AF387" s="2" t="str">
        <f>IF(Source!$C387&gt;=COLUMNS($A387:AF387), Source!$E387, "")</f>
        <v/>
      </c>
      <c r="AG387" s="2" t="str">
        <f>IF(Source!$C387&gt;=COLUMNS($A387:AG387), Source!$E387, "")</f>
        <v/>
      </c>
      <c r="AH387" s="2" t="str">
        <f>IF(Source!$C387&gt;=COLUMNS($A387:AH387), Source!$E387, "")</f>
        <v/>
      </c>
      <c r="AI387" s="2" t="str">
        <f>IF(Source!$C387&gt;=COLUMNS($A387:AI387), Source!$E387, "")</f>
        <v/>
      </c>
      <c r="AJ387" s="2" t="str">
        <f>IF(Source!$C387&gt;=COLUMNS($A387:AJ387), Source!$E387, "")</f>
        <v/>
      </c>
      <c r="AK387" s="2" t="str">
        <f>IF(Source!$C387&gt;=COLUMNS($A387:AK387), Source!$E387, "")</f>
        <v/>
      </c>
      <c r="AL387" s="2" t="str">
        <f>IF(Source!$C387&gt;=COLUMNS($A387:AL387), Source!$E387, "")</f>
        <v/>
      </c>
      <c r="AM387" s="2" t="str">
        <f>IF(Source!$C387&gt;=COLUMNS($A387:AM387), Source!$E387, "")</f>
        <v/>
      </c>
      <c r="AN387" s="2" t="str">
        <f>IF(Source!$C387&gt;=COLUMNS($A387:AN387), Source!$E387, "")</f>
        <v/>
      </c>
      <c r="AO387" s="2" t="str">
        <f>IF(Source!$C387&gt;=COLUMNS($A387:AO387), Source!$E387, "")</f>
        <v/>
      </c>
      <c r="AP387" s="2" t="str">
        <f>IF(Source!$C387&gt;=COLUMNS($A387:AP387), Source!$E387, "")</f>
        <v/>
      </c>
      <c r="AQ387" s="2" t="str">
        <f>IF(Source!$C387&gt;=COLUMNS($A387:AQ387), Source!$E387, "")</f>
        <v/>
      </c>
      <c r="AR387" s="2" t="str">
        <f>IF(Source!$C387&gt;=COLUMNS($A387:AR387), Source!$E387, "")</f>
        <v/>
      </c>
    </row>
    <row r="388">
      <c r="A388" s="2">
        <f>IF(Source!$C388&gt;=COLUMNS($A388:A388), Source!$E388, "")</f>
        <v>3</v>
      </c>
      <c r="B388" s="2">
        <f>IF(Source!$C388&gt;=COLUMNS($A388:B388), Source!$E388, "")</f>
        <v>3</v>
      </c>
      <c r="C388" s="2">
        <f>IF(Source!$C388&gt;=COLUMNS($A388:C388), Source!$E388, "")</f>
        <v>3</v>
      </c>
      <c r="D388" s="2">
        <f>IF(Source!$C388&gt;=COLUMNS($A388:D388), Source!$E388, "")</f>
        <v>3</v>
      </c>
      <c r="E388" s="2">
        <f>IF(Source!$C388&gt;=COLUMNS($A388:E388), Source!$E388, "")</f>
        <v>3</v>
      </c>
      <c r="F388" s="2">
        <f>IF(Source!$C388&gt;=COLUMNS($A388:F388), Source!$E388, "")</f>
        <v>3</v>
      </c>
      <c r="G388" s="2">
        <f>IF(Source!$C388&gt;=COLUMNS($A388:G388), Source!$E388, "")</f>
        <v>3</v>
      </c>
      <c r="H388" s="2">
        <f>IF(Source!$C388&gt;=COLUMNS($A388:H388), Source!$E388, "")</f>
        <v>3</v>
      </c>
      <c r="I388" s="2">
        <f>IF(Source!$C388&gt;=COLUMNS($A388:I388), Source!$E388, "")</f>
        <v>3</v>
      </c>
      <c r="J388" s="2">
        <f>IF(Source!$C388&gt;=COLUMNS($A388:J388), Source!$E388, "")</f>
        <v>3</v>
      </c>
      <c r="K388" s="2">
        <f>IF(Source!$C388&gt;=COLUMNS($A388:K388), Source!$E388, "")</f>
        <v>3</v>
      </c>
      <c r="L388" s="2">
        <f>IF(Source!$C388&gt;=COLUMNS($A388:L388), Source!$E388, "")</f>
        <v>3</v>
      </c>
      <c r="M388" s="2">
        <f>IF(Source!$C388&gt;=COLUMNS($A388:M388), Source!$E388, "")</f>
        <v>3</v>
      </c>
      <c r="N388" s="2">
        <f>IF(Source!$C388&gt;=COLUMNS($A388:N388), Source!$E388, "")</f>
        <v>3</v>
      </c>
      <c r="O388" s="2">
        <f>IF(Source!$C388&gt;=COLUMNS($A388:O388), Source!$E388, "")</f>
        <v>3</v>
      </c>
      <c r="P388" s="2" t="str">
        <f>IF(Source!$C388&gt;=COLUMNS($A388:P388), Source!$E388, "")</f>
        <v/>
      </c>
      <c r="Q388" s="2" t="str">
        <f>IF(Source!$C388&gt;=COLUMNS($A388:Q388), Source!$E388, "")</f>
        <v/>
      </c>
      <c r="R388" s="2" t="str">
        <f>IF(Source!$C388&gt;=COLUMNS($A388:R388), Source!$E388, "")</f>
        <v/>
      </c>
      <c r="S388" s="2" t="str">
        <f>IF(Source!$C388&gt;=COLUMNS($A388:S388), Source!$E388, "")</f>
        <v/>
      </c>
      <c r="T388" s="2" t="str">
        <f>IF(Source!$C388&gt;=COLUMNS($A388:T388), Source!$E388, "")</f>
        <v/>
      </c>
      <c r="U388" s="2" t="str">
        <f>IF(Source!$C388&gt;=COLUMNS($A388:U388), Source!$E388, "")</f>
        <v/>
      </c>
      <c r="V388" s="2" t="str">
        <f>IF(Source!$C388&gt;=COLUMNS($A388:V388), Source!$E388, "")</f>
        <v/>
      </c>
      <c r="W388" s="2" t="str">
        <f>IF(Source!$C388&gt;=COLUMNS($A388:W388), Source!$E388, "")</f>
        <v/>
      </c>
      <c r="X388" s="2" t="str">
        <f>IF(Source!$C388&gt;=COLUMNS($A388:X388), Source!$E388, "")</f>
        <v/>
      </c>
      <c r="Y388" s="2" t="str">
        <f>IF(Source!$C388&gt;=COLUMNS($A388:Y388), Source!$E388, "")</f>
        <v/>
      </c>
      <c r="Z388" s="2" t="str">
        <f>IF(Source!$C388&gt;=COLUMNS($A388:Z388), Source!$E388, "")</f>
        <v/>
      </c>
      <c r="AA388" s="2" t="str">
        <f>IF(Source!$C388&gt;=COLUMNS($A388:AA388), Source!$E388, "")</f>
        <v/>
      </c>
      <c r="AB388" s="2" t="str">
        <f>IF(Source!$C388&gt;=COLUMNS($A388:AB388), Source!$E388, "")</f>
        <v/>
      </c>
      <c r="AC388" s="2" t="str">
        <f>IF(Source!$C388&gt;=COLUMNS($A388:AC388), Source!$E388, "")</f>
        <v/>
      </c>
      <c r="AD388" s="2" t="str">
        <f>IF(Source!$C388&gt;=COLUMNS($A388:AD388), Source!$E388, "")</f>
        <v/>
      </c>
      <c r="AE388" s="2" t="str">
        <f>IF(Source!$C388&gt;=COLUMNS($A388:AE388), Source!$E388, "")</f>
        <v/>
      </c>
      <c r="AF388" s="2" t="str">
        <f>IF(Source!$C388&gt;=COLUMNS($A388:AF388), Source!$E388, "")</f>
        <v/>
      </c>
      <c r="AG388" s="2" t="str">
        <f>IF(Source!$C388&gt;=COLUMNS($A388:AG388), Source!$E388, "")</f>
        <v/>
      </c>
      <c r="AH388" s="2" t="str">
        <f>IF(Source!$C388&gt;=COLUMNS($A388:AH388), Source!$E388, "")</f>
        <v/>
      </c>
      <c r="AI388" s="2" t="str">
        <f>IF(Source!$C388&gt;=COLUMNS($A388:AI388), Source!$E388, "")</f>
        <v/>
      </c>
      <c r="AJ388" s="2" t="str">
        <f>IF(Source!$C388&gt;=COLUMNS($A388:AJ388), Source!$E388, "")</f>
        <v/>
      </c>
      <c r="AK388" s="2" t="str">
        <f>IF(Source!$C388&gt;=COLUMNS($A388:AK388), Source!$E388, "")</f>
        <v/>
      </c>
      <c r="AL388" s="2" t="str">
        <f>IF(Source!$C388&gt;=COLUMNS($A388:AL388), Source!$E388, "")</f>
        <v/>
      </c>
      <c r="AM388" s="2" t="str">
        <f>IF(Source!$C388&gt;=COLUMNS($A388:AM388), Source!$E388, "")</f>
        <v/>
      </c>
      <c r="AN388" s="2" t="str">
        <f>IF(Source!$C388&gt;=COLUMNS($A388:AN388), Source!$E388, "")</f>
        <v/>
      </c>
      <c r="AO388" s="2" t="str">
        <f>IF(Source!$C388&gt;=COLUMNS($A388:AO388), Source!$E388, "")</f>
        <v/>
      </c>
      <c r="AP388" s="2" t="str">
        <f>IF(Source!$C388&gt;=COLUMNS($A388:AP388), Source!$E388, "")</f>
        <v/>
      </c>
      <c r="AQ388" s="2" t="str">
        <f>IF(Source!$C388&gt;=COLUMNS($A388:AQ388), Source!$E388, "")</f>
        <v/>
      </c>
      <c r="AR388" s="2" t="str">
        <f>IF(Source!$C388&gt;=COLUMNS($A388:AR388), Source!$E388, "")</f>
        <v/>
      </c>
    </row>
    <row r="389">
      <c r="A389" s="2">
        <f>IF(Source!$C389&gt;=COLUMNS($A389:A389), Source!$E389, "")</f>
        <v>4</v>
      </c>
      <c r="B389" s="2">
        <f>IF(Source!$C389&gt;=COLUMNS($A389:B389), Source!$E389, "")</f>
        <v>4</v>
      </c>
      <c r="C389" s="2">
        <f>IF(Source!$C389&gt;=COLUMNS($A389:C389), Source!$E389, "")</f>
        <v>4</v>
      </c>
      <c r="D389" s="2" t="str">
        <f>IF(Source!$C389&gt;=COLUMNS($A389:D389), Source!$E389, "")</f>
        <v/>
      </c>
      <c r="E389" s="2" t="str">
        <f>IF(Source!$C389&gt;=COLUMNS($A389:E389), Source!$E389, "")</f>
        <v/>
      </c>
      <c r="F389" s="2" t="str">
        <f>IF(Source!$C389&gt;=COLUMNS($A389:F389), Source!$E389, "")</f>
        <v/>
      </c>
      <c r="G389" s="2" t="str">
        <f>IF(Source!$C389&gt;=COLUMNS($A389:G389), Source!$E389, "")</f>
        <v/>
      </c>
      <c r="H389" s="2" t="str">
        <f>IF(Source!$C389&gt;=COLUMNS($A389:H389), Source!$E389, "")</f>
        <v/>
      </c>
      <c r="I389" s="2" t="str">
        <f>IF(Source!$C389&gt;=COLUMNS($A389:I389), Source!$E389, "")</f>
        <v/>
      </c>
      <c r="J389" s="2" t="str">
        <f>IF(Source!$C389&gt;=COLUMNS($A389:J389), Source!$E389, "")</f>
        <v/>
      </c>
      <c r="K389" s="2" t="str">
        <f>IF(Source!$C389&gt;=COLUMNS($A389:K389), Source!$E389, "")</f>
        <v/>
      </c>
      <c r="L389" s="2" t="str">
        <f>IF(Source!$C389&gt;=COLUMNS($A389:L389), Source!$E389, "")</f>
        <v/>
      </c>
      <c r="M389" s="2" t="str">
        <f>IF(Source!$C389&gt;=COLUMNS($A389:M389), Source!$E389, "")</f>
        <v/>
      </c>
      <c r="N389" s="2" t="str">
        <f>IF(Source!$C389&gt;=COLUMNS($A389:N389), Source!$E389, "")</f>
        <v/>
      </c>
      <c r="O389" s="2" t="str">
        <f>IF(Source!$C389&gt;=COLUMNS($A389:O389), Source!$E389, "")</f>
        <v/>
      </c>
      <c r="P389" s="2" t="str">
        <f>IF(Source!$C389&gt;=COLUMNS($A389:P389), Source!$E389, "")</f>
        <v/>
      </c>
      <c r="Q389" s="2" t="str">
        <f>IF(Source!$C389&gt;=COLUMNS($A389:Q389), Source!$E389, "")</f>
        <v/>
      </c>
      <c r="R389" s="2" t="str">
        <f>IF(Source!$C389&gt;=COLUMNS($A389:R389), Source!$E389, "")</f>
        <v/>
      </c>
      <c r="S389" s="2" t="str">
        <f>IF(Source!$C389&gt;=COLUMNS($A389:S389), Source!$E389, "")</f>
        <v/>
      </c>
      <c r="T389" s="2" t="str">
        <f>IF(Source!$C389&gt;=COLUMNS($A389:T389), Source!$E389, "")</f>
        <v/>
      </c>
      <c r="U389" s="2" t="str">
        <f>IF(Source!$C389&gt;=COLUMNS($A389:U389), Source!$E389, "")</f>
        <v/>
      </c>
      <c r="V389" s="2" t="str">
        <f>IF(Source!$C389&gt;=COLUMNS($A389:V389), Source!$E389, "")</f>
        <v/>
      </c>
      <c r="W389" s="2" t="str">
        <f>IF(Source!$C389&gt;=COLUMNS($A389:W389), Source!$E389, "")</f>
        <v/>
      </c>
      <c r="X389" s="2" t="str">
        <f>IF(Source!$C389&gt;=COLUMNS($A389:X389), Source!$E389, "")</f>
        <v/>
      </c>
      <c r="Y389" s="2" t="str">
        <f>IF(Source!$C389&gt;=COLUMNS($A389:Y389), Source!$E389, "")</f>
        <v/>
      </c>
      <c r="Z389" s="2" t="str">
        <f>IF(Source!$C389&gt;=COLUMNS($A389:Z389), Source!$E389, "")</f>
        <v/>
      </c>
      <c r="AA389" s="2" t="str">
        <f>IF(Source!$C389&gt;=COLUMNS($A389:AA389), Source!$E389, "")</f>
        <v/>
      </c>
      <c r="AB389" s="2" t="str">
        <f>IF(Source!$C389&gt;=COLUMNS($A389:AB389), Source!$E389, "")</f>
        <v/>
      </c>
      <c r="AC389" s="2" t="str">
        <f>IF(Source!$C389&gt;=COLUMNS($A389:AC389), Source!$E389, "")</f>
        <v/>
      </c>
      <c r="AD389" s="2" t="str">
        <f>IF(Source!$C389&gt;=COLUMNS($A389:AD389), Source!$E389, "")</f>
        <v/>
      </c>
      <c r="AE389" s="2" t="str">
        <f>IF(Source!$C389&gt;=COLUMNS($A389:AE389), Source!$E389, "")</f>
        <v/>
      </c>
      <c r="AF389" s="2" t="str">
        <f>IF(Source!$C389&gt;=COLUMNS($A389:AF389), Source!$E389, "")</f>
        <v/>
      </c>
      <c r="AG389" s="2" t="str">
        <f>IF(Source!$C389&gt;=COLUMNS($A389:AG389), Source!$E389, "")</f>
        <v/>
      </c>
      <c r="AH389" s="2" t="str">
        <f>IF(Source!$C389&gt;=COLUMNS($A389:AH389), Source!$E389, "")</f>
        <v/>
      </c>
      <c r="AI389" s="2" t="str">
        <f>IF(Source!$C389&gt;=COLUMNS($A389:AI389), Source!$E389, "")</f>
        <v/>
      </c>
      <c r="AJ389" s="2" t="str">
        <f>IF(Source!$C389&gt;=COLUMNS($A389:AJ389), Source!$E389, "")</f>
        <v/>
      </c>
      <c r="AK389" s="2" t="str">
        <f>IF(Source!$C389&gt;=COLUMNS($A389:AK389), Source!$E389, "")</f>
        <v/>
      </c>
      <c r="AL389" s="2" t="str">
        <f>IF(Source!$C389&gt;=COLUMNS($A389:AL389), Source!$E389, "")</f>
        <v/>
      </c>
      <c r="AM389" s="2" t="str">
        <f>IF(Source!$C389&gt;=COLUMNS($A389:AM389), Source!$E389, "")</f>
        <v/>
      </c>
      <c r="AN389" s="2" t="str">
        <f>IF(Source!$C389&gt;=COLUMNS($A389:AN389), Source!$E389, "")</f>
        <v/>
      </c>
      <c r="AO389" s="2" t="str">
        <f>IF(Source!$C389&gt;=COLUMNS($A389:AO389), Source!$E389, "")</f>
        <v/>
      </c>
      <c r="AP389" s="2" t="str">
        <f>IF(Source!$C389&gt;=COLUMNS($A389:AP389), Source!$E389, "")</f>
        <v/>
      </c>
      <c r="AQ389" s="2" t="str">
        <f>IF(Source!$C389&gt;=COLUMNS($A389:AQ389), Source!$E389, "")</f>
        <v/>
      </c>
      <c r="AR389" s="2" t="str">
        <f>IF(Source!$C389&gt;=COLUMNS($A389:AR389), Source!$E389, "")</f>
        <v/>
      </c>
    </row>
    <row r="390">
      <c r="A390" s="2">
        <f>IF(Source!$C390&gt;=COLUMNS($A390:A390), Source!$E390, "")</f>
        <v>5</v>
      </c>
      <c r="B390" s="2">
        <f>IF(Source!$C390&gt;=COLUMNS($A390:B390), Source!$E390, "")</f>
        <v>5</v>
      </c>
      <c r="C390" s="2">
        <f>IF(Source!$C390&gt;=COLUMNS($A390:C390), Source!$E390, "")</f>
        <v>5</v>
      </c>
      <c r="D390" s="2">
        <f>IF(Source!$C390&gt;=COLUMNS($A390:D390), Source!$E390, "")</f>
        <v>5</v>
      </c>
      <c r="E390" s="2" t="str">
        <f>IF(Source!$C390&gt;=COLUMNS($A390:E390), Source!$E390, "")</f>
        <v/>
      </c>
      <c r="F390" s="2" t="str">
        <f>IF(Source!$C390&gt;=COLUMNS($A390:F390), Source!$E390, "")</f>
        <v/>
      </c>
      <c r="G390" s="2" t="str">
        <f>IF(Source!$C390&gt;=COLUMNS($A390:G390), Source!$E390, "")</f>
        <v/>
      </c>
      <c r="H390" s="2" t="str">
        <f>IF(Source!$C390&gt;=COLUMNS($A390:H390), Source!$E390, "")</f>
        <v/>
      </c>
      <c r="I390" s="2" t="str">
        <f>IF(Source!$C390&gt;=COLUMNS($A390:I390), Source!$E390, "")</f>
        <v/>
      </c>
      <c r="J390" s="2" t="str">
        <f>IF(Source!$C390&gt;=COLUMNS($A390:J390), Source!$E390, "")</f>
        <v/>
      </c>
      <c r="K390" s="2" t="str">
        <f>IF(Source!$C390&gt;=COLUMNS($A390:K390), Source!$E390, "")</f>
        <v/>
      </c>
      <c r="L390" s="2" t="str">
        <f>IF(Source!$C390&gt;=COLUMNS($A390:L390), Source!$E390, "")</f>
        <v/>
      </c>
      <c r="M390" s="2" t="str">
        <f>IF(Source!$C390&gt;=COLUMNS($A390:M390), Source!$E390, "")</f>
        <v/>
      </c>
      <c r="N390" s="2" t="str">
        <f>IF(Source!$C390&gt;=COLUMNS($A390:N390), Source!$E390, "")</f>
        <v/>
      </c>
      <c r="O390" s="2" t="str">
        <f>IF(Source!$C390&gt;=COLUMNS($A390:O390), Source!$E390, "")</f>
        <v/>
      </c>
      <c r="P390" s="2" t="str">
        <f>IF(Source!$C390&gt;=COLUMNS($A390:P390), Source!$E390, "")</f>
        <v/>
      </c>
      <c r="Q390" s="2" t="str">
        <f>IF(Source!$C390&gt;=COLUMNS($A390:Q390), Source!$E390, "")</f>
        <v/>
      </c>
      <c r="R390" s="2" t="str">
        <f>IF(Source!$C390&gt;=COLUMNS($A390:R390), Source!$E390, "")</f>
        <v/>
      </c>
      <c r="S390" s="2" t="str">
        <f>IF(Source!$C390&gt;=COLUMNS($A390:S390), Source!$E390, "")</f>
        <v/>
      </c>
      <c r="T390" s="2" t="str">
        <f>IF(Source!$C390&gt;=COLUMNS($A390:T390), Source!$E390, "")</f>
        <v/>
      </c>
      <c r="U390" s="2" t="str">
        <f>IF(Source!$C390&gt;=COLUMNS($A390:U390), Source!$E390, "")</f>
        <v/>
      </c>
      <c r="V390" s="2" t="str">
        <f>IF(Source!$C390&gt;=COLUMNS($A390:V390), Source!$E390, "")</f>
        <v/>
      </c>
      <c r="W390" s="2" t="str">
        <f>IF(Source!$C390&gt;=COLUMNS($A390:W390), Source!$E390, "")</f>
        <v/>
      </c>
      <c r="X390" s="2" t="str">
        <f>IF(Source!$C390&gt;=COLUMNS($A390:X390), Source!$E390, "")</f>
        <v/>
      </c>
      <c r="Y390" s="2" t="str">
        <f>IF(Source!$C390&gt;=COLUMNS($A390:Y390), Source!$E390, "")</f>
        <v/>
      </c>
      <c r="Z390" s="2" t="str">
        <f>IF(Source!$C390&gt;=COLUMNS($A390:Z390), Source!$E390, "")</f>
        <v/>
      </c>
      <c r="AA390" s="2" t="str">
        <f>IF(Source!$C390&gt;=COLUMNS($A390:AA390), Source!$E390, "")</f>
        <v/>
      </c>
      <c r="AB390" s="2" t="str">
        <f>IF(Source!$C390&gt;=COLUMNS($A390:AB390), Source!$E390, "")</f>
        <v/>
      </c>
      <c r="AC390" s="2" t="str">
        <f>IF(Source!$C390&gt;=COLUMNS($A390:AC390), Source!$E390, "")</f>
        <v/>
      </c>
      <c r="AD390" s="2" t="str">
        <f>IF(Source!$C390&gt;=COLUMNS($A390:AD390), Source!$E390, "")</f>
        <v/>
      </c>
      <c r="AE390" s="2" t="str">
        <f>IF(Source!$C390&gt;=COLUMNS($A390:AE390), Source!$E390, "")</f>
        <v/>
      </c>
      <c r="AF390" s="2" t="str">
        <f>IF(Source!$C390&gt;=COLUMNS($A390:AF390), Source!$E390, "")</f>
        <v/>
      </c>
      <c r="AG390" s="2" t="str">
        <f>IF(Source!$C390&gt;=COLUMNS($A390:AG390), Source!$E390, "")</f>
        <v/>
      </c>
      <c r="AH390" s="2" t="str">
        <f>IF(Source!$C390&gt;=COLUMNS($A390:AH390), Source!$E390, "")</f>
        <v/>
      </c>
      <c r="AI390" s="2" t="str">
        <f>IF(Source!$C390&gt;=COLUMNS($A390:AI390), Source!$E390, "")</f>
        <v/>
      </c>
      <c r="AJ390" s="2" t="str">
        <f>IF(Source!$C390&gt;=COLUMNS($A390:AJ390), Source!$E390, "")</f>
        <v/>
      </c>
      <c r="AK390" s="2" t="str">
        <f>IF(Source!$C390&gt;=COLUMNS($A390:AK390), Source!$E390, "")</f>
        <v/>
      </c>
      <c r="AL390" s="2" t="str">
        <f>IF(Source!$C390&gt;=COLUMNS($A390:AL390), Source!$E390, "")</f>
        <v/>
      </c>
      <c r="AM390" s="2" t="str">
        <f>IF(Source!$C390&gt;=COLUMNS($A390:AM390), Source!$E390, "")</f>
        <v/>
      </c>
      <c r="AN390" s="2" t="str">
        <f>IF(Source!$C390&gt;=COLUMNS($A390:AN390), Source!$E390, "")</f>
        <v/>
      </c>
      <c r="AO390" s="2" t="str">
        <f>IF(Source!$C390&gt;=COLUMNS($A390:AO390), Source!$E390, "")</f>
        <v/>
      </c>
      <c r="AP390" s="2" t="str">
        <f>IF(Source!$C390&gt;=COLUMNS($A390:AP390), Source!$E390, "")</f>
        <v/>
      </c>
      <c r="AQ390" s="2" t="str">
        <f>IF(Source!$C390&gt;=COLUMNS($A390:AQ390), Source!$E390, "")</f>
        <v/>
      </c>
      <c r="AR390" s="2" t="str">
        <f>IF(Source!$C390&gt;=COLUMNS($A390:AR390), Source!$E390, "")</f>
        <v/>
      </c>
    </row>
    <row r="391">
      <c r="A391" s="2">
        <f>IF(Source!$C391&gt;=COLUMNS($A391:A391), Source!$E391, "")</f>
        <v>2</v>
      </c>
      <c r="B391" s="2">
        <f>IF(Source!$C391&gt;=COLUMNS($A391:B391), Source!$E391, "")</f>
        <v>2</v>
      </c>
      <c r="C391" s="2">
        <f>IF(Source!$C391&gt;=COLUMNS($A391:C391), Source!$E391, "")</f>
        <v>2</v>
      </c>
      <c r="D391" s="2">
        <f>IF(Source!$C391&gt;=COLUMNS($A391:D391), Source!$E391, "")</f>
        <v>2</v>
      </c>
      <c r="E391" s="2" t="str">
        <f>IF(Source!$C391&gt;=COLUMNS($A391:E391), Source!$E391, "")</f>
        <v/>
      </c>
      <c r="F391" s="2" t="str">
        <f>IF(Source!$C391&gt;=COLUMNS($A391:F391), Source!$E391, "")</f>
        <v/>
      </c>
      <c r="G391" s="2" t="str">
        <f>IF(Source!$C391&gt;=COLUMNS($A391:G391), Source!$E391, "")</f>
        <v/>
      </c>
      <c r="H391" s="2" t="str">
        <f>IF(Source!$C391&gt;=COLUMNS($A391:H391), Source!$E391, "")</f>
        <v/>
      </c>
      <c r="I391" s="2" t="str">
        <f>IF(Source!$C391&gt;=COLUMNS($A391:I391), Source!$E391, "")</f>
        <v/>
      </c>
      <c r="J391" s="2" t="str">
        <f>IF(Source!$C391&gt;=COLUMNS($A391:J391), Source!$E391, "")</f>
        <v/>
      </c>
      <c r="K391" s="2" t="str">
        <f>IF(Source!$C391&gt;=COLUMNS($A391:K391), Source!$E391, "")</f>
        <v/>
      </c>
      <c r="L391" s="2" t="str">
        <f>IF(Source!$C391&gt;=COLUMNS($A391:L391), Source!$E391, "")</f>
        <v/>
      </c>
      <c r="M391" s="2" t="str">
        <f>IF(Source!$C391&gt;=COLUMNS($A391:M391), Source!$E391, "")</f>
        <v/>
      </c>
      <c r="N391" s="2" t="str">
        <f>IF(Source!$C391&gt;=COLUMNS($A391:N391), Source!$E391, "")</f>
        <v/>
      </c>
      <c r="O391" s="2" t="str">
        <f>IF(Source!$C391&gt;=COLUMNS($A391:O391), Source!$E391, "")</f>
        <v/>
      </c>
      <c r="P391" s="2" t="str">
        <f>IF(Source!$C391&gt;=COLUMNS($A391:P391), Source!$E391, "")</f>
        <v/>
      </c>
      <c r="Q391" s="2" t="str">
        <f>IF(Source!$C391&gt;=COLUMNS($A391:Q391), Source!$E391, "")</f>
        <v/>
      </c>
      <c r="R391" s="2" t="str">
        <f>IF(Source!$C391&gt;=COLUMNS($A391:R391), Source!$E391, "")</f>
        <v/>
      </c>
      <c r="S391" s="2" t="str">
        <f>IF(Source!$C391&gt;=COLUMNS($A391:S391), Source!$E391, "")</f>
        <v/>
      </c>
      <c r="T391" s="2" t="str">
        <f>IF(Source!$C391&gt;=COLUMNS($A391:T391), Source!$E391, "")</f>
        <v/>
      </c>
      <c r="U391" s="2" t="str">
        <f>IF(Source!$C391&gt;=COLUMNS($A391:U391), Source!$E391, "")</f>
        <v/>
      </c>
      <c r="V391" s="2" t="str">
        <f>IF(Source!$C391&gt;=COLUMNS($A391:V391), Source!$E391, "")</f>
        <v/>
      </c>
      <c r="W391" s="2" t="str">
        <f>IF(Source!$C391&gt;=COLUMNS($A391:W391), Source!$E391, "")</f>
        <v/>
      </c>
      <c r="X391" s="2" t="str">
        <f>IF(Source!$C391&gt;=COLUMNS($A391:X391), Source!$E391, "")</f>
        <v/>
      </c>
      <c r="Y391" s="2" t="str">
        <f>IF(Source!$C391&gt;=COLUMNS($A391:Y391), Source!$E391, "")</f>
        <v/>
      </c>
      <c r="Z391" s="2" t="str">
        <f>IF(Source!$C391&gt;=COLUMNS($A391:Z391), Source!$E391, "")</f>
        <v/>
      </c>
      <c r="AA391" s="2" t="str">
        <f>IF(Source!$C391&gt;=COLUMNS($A391:AA391), Source!$E391, "")</f>
        <v/>
      </c>
      <c r="AB391" s="2" t="str">
        <f>IF(Source!$C391&gt;=COLUMNS($A391:AB391), Source!$E391, "")</f>
        <v/>
      </c>
      <c r="AC391" s="2" t="str">
        <f>IF(Source!$C391&gt;=COLUMNS($A391:AC391), Source!$E391, "")</f>
        <v/>
      </c>
      <c r="AD391" s="2" t="str">
        <f>IF(Source!$C391&gt;=COLUMNS($A391:AD391), Source!$E391, "")</f>
        <v/>
      </c>
      <c r="AE391" s="2" t="str">
        <f>IF(Source!$C391&gt;=COLUMNS($A391:AE391), Source!$E391, "")</f>
        <v/>
      </c>
      <c r="AF391" s="2" t="str">
        <f>IF(Source!$C391&gt;=COLUMNS($A391:AF391), Source!$E391, "")</f>
        <v/>
      </c>
      <c r="AG391" s="2" t="str">
        <f>IF(Source!$C391&gt;=COLUMNS($A391:AG391), Source!$E391, "")</f>
        <v/>
      </c>
      <c r="AH391" s="2" t="str">
        <f>IF(Source!$C391&gt;=COLUMNS($A391:AH391), Source!$E391, "")</f>
        <v/>
      </c>
      <c r="AI391" s="2" t="str">
        <f>IF(Source!$C391&gt;=COLUMNS($A391:AI391), Source!$E391, "")</f>
        <v/>
      </c>
      <c r="AJ391" s="2" t="str">
        <f>IF(Source!$C391&gt;=COLUMNS($A391:AJ391), Source!$E391, "")</f>
        <v/>
      </c>
      <c r="AK391" s="2" t="str">
        <f>IF(Source!$C391&gt;=COLUMNS($A391:AK391), Source!$E391, "")</f>
        <v/>
      </c>
      <c r="AL391" s="2" t="str">
        <f>IF(Source!$C391&gt;=COLUMNS($A391:AL391), Source!$E391, "")</f>
        <v/>
      </c>
      <c r="AM391" s="2" t="str">
        <f>IF(Source!$C391&gt;=COLUMNS($A391:AM391), Source!$E391, "")</f>
        <v/>
      </c>
      <c r="AN391" s="2" t="str">
        <f>IF(Source!$C391&gt;=COLUMNS($A391:AN391), Source!$E391, "")</f>
        <v/>
      </c>
      <c r="AO391" s="2" t="str">
        <f>IF(Source!$C391&gt;=COLUMNS($A391:AO391), Source!$E391, "")</f>
        <v/>
      </c>
      <c r="AP391" s="2" t="str">
        <f>IF(Source!$C391&gt;=COLUMNS($A391:AP391), Source!$E391, "")</f>
        <v/>
      </c>
      <c r="AQ391" s="2" t="str">
        <f>IF(Source!$C391&gt;=COLUMNS($A391:AQ391), Source!$E391, "")</f>
        <v/>
      </c>
      <c r="AR391" s="2" t="str">
        <f>IF(Source!$C391&gt;=COLUMNS($A391:AR391), Source!$E391, "")</f>
        <v/>
      </c>
    </row>
    <row r="392">
      <c r="A392" s="2">
        <f>IF(Source!$C392&gt;=COLUMNS($A392:A392), Source!$E392, "")</f>
        <v>9</v>
      </c>
      <c r="B392" s="2">
        <f>IF(Source!$C392&gt;=COLUMNS($A392:B392), Source!$E392, "")</f>
        <v>9</v>
      </c>
      <c r="C392" s="2">
        <f>IF(Source!$C392&gt;=COLUMNS($A392:C392), Source!$E392, "")</f>
        <v>9</v>
      </c>
      <c r="D392" s="2">
        <f>IF(Source!$C392&gt;=COLUMNS($A392:D392), Source!$E392, "")</f>
        <v>9</v>
      </c>
      <c r="E392" s="2">
        <f>IF(Source!$C392&gt;=COLUMNS($A392:E392), Source!$E392, "")</f>
        <v>9</v>
      </c>
      <c r="F392" s="2">
        <f>IF(Source!$C392&gt;=COLUMNS($A392:F392), Source!$E392, "")</f>
        <v>9</v>
      </c>
      <c r="G392" s="2">
        <f>IF(Source!$C392&gt;=COLUMNS($A392:G392), Source!$E392, "")</f>
        <v>9</v>
      </c>
      <c r="H392" s="2">
        <f>IF(Source!$C392&gt;=COLUMNS($A392:H392), Source!$E392, "")</f>
        <v>9</v>
      </c>
      <c r="I392" s="2">
        <f>IF(Source!$C392&gt;=COLUMNS($A392:I392), Source!$E392, "")</f>
        <v>9</v>
      </c>
      <c r="J392" s="2">
        <f>IF(Source!$C392&gt;=COLUMNS($A392:J392), Source!$E392, "")</f>
        <v>9</v>
      </c>
      <c r="K392" s="2" t="str">
        <f>IF(Source!$C392&gt;=COLUMNS($A392:K392), Source!$E392, "")</f>
        <v/>
      </c>
      <c r="L392" s="2" t="str">
        <f>IF(Source!$C392&gt;=COLUMNS($A392:L392), Source!$E392, "")</f>
        <v/>
      </c>
      <c r="M392" s="2" t="str">
        <f>IF(Source!$C392&gt;=COLUMNS($A392:M392), Source!$E392, "")</f>
        <v/>
      </c>
      <c r="N392" s="2" t="str">
        <f>IF(Source!$C392&gt;=COLUMNS($A392:N392), Source!$E392, "")</f>
        <v/>
      </c>
      <c r="O392" s="2" t="str">
        <f>IF(Source!$C392&gt;=COLUMNS($A392:O392), Source!$E392, "")</f>
        <v/>
      </c>
      <c r="P392" s="2" t="str">
        <f>IF(Source!$C392&gt;=COLUMNS($A392:P392), Source!$E392, "")</f>
        <v/>
      </c>
      <c r="Q392" s="2" t="str">
        <f>IF(Source!$C392&gt;=COLUMNS($A392:Q392), Source!$E392, "")</f>
        <v/>
      </c>
      <c r="R392" s="2" t="str">
        <f>IF(Source!$C392&gt;=COLUMNS($A392:R392), Source!$E392, "")</f>
        <v/>
      </c>
      <c r="S392" s="2" t="str">
        <f>IF(Source!$C392&gt;=COLUMNS($A392:S392), Source!$E392, "")</f>
        <v/>
      </c>
      <c r="T392" s="2" t="str">
        <f>IF(Source!$C392&gt;=COLUMNS($A392:T392), Source!$E392, "")</f>
        <v/>
      </c>
      <c r="U392" s="2" t="str">
        <f>IF(Source!$C392&gt;=COLUMNS($A392:U392), Source!$E392, "")</f>
        <v/>
      </c>
      <c r="V392" s="2" t="str">
        <f>IF(Source!$C392&gt;=COLUMNS($A392:V392), Source!$E392, "")</f>
        <v/>
      </c>
      <c r="W392" s="2" t="str">
        <f>IF(Source!$C392&gt;=COLUMNS($A392:W392), Source!$E392, "")</f>
        <v/>
      </c>
      <c r="X392" s="2" t="str">
        <f>IF(Source!$C392&gt;=COLUMNS($A392:X392), Source!$E392, "")</f>
        <v/>
      </c>
      <c r="Y392" s="2" t="str">
        <f>IF(Source!$C392&gt;=COLUMNS($A392:Y392), Source!$E392, "")</f>
        <v/>
      </c>
      <c r="Z392" s="2" t="str">
        <f>IF(Source!$C392&gt;=COLUMNS($A392:Z392), Source!$E392, "")</f>
        <v/>
      </c>
      <c r="AA392" s="2" t="str">
        <f>IF(Source!$C392&gt;=COLUMNS($A392:AA392), Source!$E392, "")</f>
        <v/>
      </c>
      <c r="AB392" s="2" t="str">
        <f>IF(Source!$C392&gt;=COLUMNS($A392:AB392), Source!$E392, "")</f>
        <v/>
      </c>
      <c r="AC392" s="2" t="str">
        <f>IF(Source!$C392&gt;=COLUMNS($A392:AC392), Source!$E392, "")</f>
        <v/>
      </c>
      <c r="AD392" s="2" t="str">
        <f>IF(Source!$C392&gt;=COLUMNS($A392:AD392), Source!$E392, "")</f>
        <v/>
      </c>
      <c r="AE392" s="2" t="str">
        <f>IF(Source!$C392&gt;=COLUMNS($A392:AE392), Source!$E392, "")</f>
        <v/>
      </c>
      <c r="AF392" s="2" t="str">
        <f>IF(Source!$C392&gt;=COLUMNS($A392:AF392), Source!$E392, "")</f>
        <v/>
      </c>
      <c r="AG392" s="2" t="str">
        <f>IF(Source!$C392&gt;=COLUMNS($A392:AG392), Source!$E392, "")</f>
        <v/>
      </c>
      <c r="AH392" s="2" t="str">
        <f>IF(Source!$C392&gt;=COLUMNS($A392:AH392), Source!$E392, "")</f>
        <v/>
      </c>
      <c r="AI392" s="2" t="str">
        <f>IF(Source!$C392&gt;=COLUMNS($A392:AI392), Source!$E392, "")</f>
        <v/>
      </c>
      <c r="AJ392" s="2" t="str">
        <f>IF(Source!$C392&gt;=COLUMNS($A392:AJ392), Source!$E392, "")</f>
        <v/>
      </c>
      <c r="AK392" s="2" t="str">
        <f>IF(Source!$C392&gt;=COLUMNS($A392:AK392), Source!$E392, "")</f>
        <v/>
      </c>
      <c r="AL392" s="2" t="str">
        <f>IF(Source!$C392&gt;=COLUMNS($A392:AL392), Source!$E392, "")</f>
        <v/>
      </c>
      <c r="AM392" s="2" t="str">
        <f>IF(Source!$C392&gt;=COLUMNS($A392:AM392), Source!$E392, "")</f>
        <v/>
      </c>
      <c r="AN392" s="2" t="str">
        <f>IF(Source!$C392&gt;=COLUMNS($A392:AN392), Source!$E392, "")</f>
        <v/>
      </c>
      <c r="AO392" s="2" t="str">
        <f>IF(Source!$C392&gt;=COLUMNS($A392:AO392), Source!$E392, "")</f>
        <v/>
      </c>
      <c r="AP392" s="2" t="str">
        <f>IF(Source!$C392&gt;=COLUMNS($A392:AP392), Source!$E392, "")</f>
        <v/>
      </c>
      <c r="AQ392" s="2" t="str">
        <f>IF(Source!$C392&gt;=COLUMNS($A392:AQ392), Source!$E392, "")</f>
        <v/>
      </c>
      <c r="AR392" s="2" t="str">
        <f>IF(Source!$C392&gt;=COLUMNS($A392:AR392), Source!$E392, "")</f>
        <v/>
      </c>
    </row>
    <row r="393">
      <c r="A393" s="2">
        <f>IF(Source!$C393&gt;=COLUMNS($A393:A393), Source!$E393, "")</f>
        <v>8</v>
      </c>
      <c r="B393" s="2">
        <f>IF(Source!$C393&gt;=COLUMNS($A393:B393), Source!$E393, "")</f>
        <v>8</v>
      </c>
      <c r="C393" s="2">
        <f>IF(Source!$C393&gt;=COLUMNS($A393:C393), Source!$E393, "")</f>
        <v>8</v>
      </c>
      <c r="D393" s="2">
        <f>IF(Source!$C393&gt;=COLUMNS($A393:D393), Source!$E393, "")</f>
        <v>8</v>
      </c>
      <c r="E393" s="2" t="str">
        <f>IF(Source!$C393&gt;=COLUMNS($A393:E393), Source!$E393, "")</f>
        <v/>
      </c>
      <c r="F393" s="2" t="str">
        <f>IF(Source!$C393&gt;=COLUMNS($A393:F393), Source!$E393, "")</f>
        <v/>
      </c>
      <c r="G393" s="2" t="str">
        <f>IF(Source!$C393&gt;=COLUMNS($A393:G393), Source!$E393, "")</f>
        <v/>
      </c>
      <c r="H393" s="2" t="str">
        <f>IF(Source!$C393&gt;=COLUMNS($A393:H393), Source!$E393, "")</f>
        <v/>
      </c>
      <c r="I393" s="2" t="str">
        <f>IF(Source!$C393&gt;=COLUMNS($A393:I393), Source!$E393, "")</f>
        <v/>
      </c>
      <c r="J393" s="2" t="str">
        <f>IF(Source!$C393&gt;=COLUMNS($A393:J393), Source!$E393, "")</f>
        <v/>
      </c>
      <c r="K393" s="2" t="str">
        <f>IF(Source!$C393&gt;=COLUMNS($A393:K393), Source!$E393, "")</f>
        <v/>
      </c>
      <c r="L393" s="2" t="str">
        <f>IF(Source!$C393&gt;=COLUMNS($A393:L393), Source!$E393, "")</f>
        <v/>
      </c>
      <c r="M393" s="2" t="str">
        <f>IF(Source!$C393&gt;=COLUMNS($A393:M393), Source!$E393, "")</f>
        <v/>
      </c>
      <c r="N393" s="2" t="str">
        <f>IF(Source!$C393&gt;=COLUMNS($A393:N393), Source!$E393, "")</f>
        <v/>
      </c>
      <c r="O393" s="2" t="str">
        <f>IF(Source!$C393&gt;=COLUMNS($A393:O393), Source!$E393, "")</f>
        <v/>
      </c>
      <c r="P393" s="2" t="str">
        <f>IF(Source!$C393&gt;=COLUMNS($A393:P393), Source!$E393, "")</f>
        <v/>
      </c>
      <c r="Q393" s="2" t="str">
        <f>IF(Source!$C393&gt;=COLUMNS($A393:Q393), Source!$E393, "")</f>
        <v/>
      </c>
      <c r="R393" s="2" t="str">
        <f>IF(Source!$C393&gt;=COLUMNS($A393:R393), Source!$E393, "")</f>
        <v/>
      </c>
      <c r="S393" s="2" t="str">
        <f>IF(Source!$C393&gt;=COLUMNS($A393:S393), Source!$E393, "")</f>
        <v/>
      </c>
      <c r="T393" s="2" t="str">
        <f>IF(Source!$C393&gt;=COLUMNS($A393:T393), Source!$E393, "")</f>
        <v/>
      </c>
      <c r="U393" s="2" t="str">
        <f>IF(Source!$C393&gt;=COLUMNS($A393:U393), Source!$E393, "")</f>
        <v/>
      </c>
      <c r="V393" s="2" t="str">
        <f>IF(Source!$C393&gt;=COLUMNS($A393:V393), Source!$E393, "")</f>
        <v/>
      </c>
      <c r="W393" s="2" t="str">
        <f>IF(Source!$C393&gt;=COLUMNS($A393:W393), Source!$E393, "")</f>
        <v/>
      </c>
      <c r="X393" s="2" t="str">
        <f>IF(Source!$C393&gt;=COLUMNS($A393:X393), Source!$E393, "")</f>
        <v/>
      </c>
      <c r="Y393" s="2" t="str">
        <f>IF(Source!$C393&gt;=COLUMNS($A393:Y393), Source!$E393, "")</f>
        <v/>
      </c>
      <c r="Z393" s="2" t="str">
        <f>IF(Source!$C393&gt;=COLUMNS($A393:Z393), Source!$E393, "")</f>
        <v/>
      </c>
      <c r="AA393" s="2" t="str">
        <f>IF(Source!$C393&gt;=COLUMNS($A393:AA393), Source!$E393, "")</f>
        <v/>
      </c>
      <c r="AB393" s="2" t="str">
        <f>IF(Source!$C393&gt;=COLUMNS($A393:AB393), Source!$E393, "")</f>
        <v/>
      </c>
      <c r="AC393" s="2" t="str">
        <f>IF(Source!$C393&gt;=COLUMNS($A393:AC393), Source!$E393, "")</f>
        <v/>
      </c>
      <c r="AD393" s="2" t="str">
        <f>IF(Source!$C393&gt;=COLUMNS($A393:AD393), Source!$E393, "")</f>
        <v/>
      </c>
      <c r="AE393" s="2" t="str">
        <f>IF(Source!$C393&gt;=COLUMNS($A393:AE393), Source!$E393, "")</f>
        <v/>
      </c>
      <c r="AF393" s="2" t="str">
        <f>IF(Source!$C393&gt;=COLUMNS($A393:AF393), Source!$E393, "")</f>
        <v/>
      </c>
      <c r="AG393" s="2" t="str">
        <f>IF(Source!$C393&gt;=COLUMNS($A393:AG393), Source!$E393, "")</f>
        <v/>
      </c>
      <c r="AH393" s="2" t="str">
        <f>IF(Source!$C393&gt;=COLUMNS($A393:AH393), Source!$E393, "")</f>
        <v/>
      </c>
      <c r="AI393" s="2" t="str">
        <f>IF(Source!$C393&gt;=COLUMNS($A393:AI393), Source!$E393, "")</f>
        <v/>
      </c>
      <c r="AJ393" s="2" t="str">
        <f>IF(Source!$C393&gt;=COLUMNS($A393:AJ393), Source!$E393, "")</f>
        <v/>
      </c>
      <c r="AK393" s="2" t="str">
        <f>IF(Source!$C393&gt;=COLUMNS($A393:AK393), Source!$E393, "")</f>
        <v/>
      </c>
      <c r="AL393" s="2" t="str">
        <f>IF(Source!$C393&gt;=COLUMNS($A393:AL393), Source!$E393, "")</f>
        <v/>
      </c>
      <c r="AM393" s="2" t="str">
        <f>IF(Source!$C393&gt;=COLUMNS($A393:AM393), Source!$E393, "")</f>
        <v/>
      </c>
      <c r="AN393" s="2" t="str">
        <f>IF(Source!$C393&gt;=COLUMNS($A393:AN393), Source!$E393, "")</f>
        <v/>
      </c>
      <c r="AO393" s="2" t="str">
        <f>IF(Source!$C393&gt;=COLUMNS($A393:AO393), Source!$E393, "")</f>
        <v/>
      </c>
      <c r="AP393" s="2" t="str">
        <f>IF(Source!$C393&gt;=COLUMNS($A393:AP393), Source!$E393, "")</f>
        <v/>
      </c>
      <c r="AQ393" s="2" t="str">
        <f>IF(Source!$C393&gt;=COLUMNS($A393:AQ393), Source!$E393, "")</f>
        <v/>
      </c>
      <c r="AR393" s="2" t="str">
        <f>IF(Source!$C393&gt;=COLUMNS($A393:AR393), Source!$E393, "")</f>
        <v/>
      </c>
    </row>
    <row r="394">
      <c r="A394" s="2">
        <f>IF(Source!$C394&gt;=COLUMNS($A394:A394), Source!$E394, "")</f>
        <v>7</v>
      </c>
      <c r="B394" s="2">
        <f>IF(Source!$C394&gt;=COLUMNS($A394:B394), Source!$E394, "")</f>
        <v>7</v>
      </c>
      <c r="C394" s="2" t="str">
        <f>IF(Source!$C394&gt;=COLUMNS($A394:C394), Source!$E394, "")</f>
        <v/>
      </c>
      <c r="D394" s="2" t="str">
        <f>IF(Source!$C394&gt;=COLUMNS($A394:D394), Source!$E394, "")</f>
        <v/>
      </c>
      <c r="E394" s="2" t="str">
        <f>IF(Source!$C394&gt;=COLUMNS($A394:E394), Source!$E394, "")</f>
        <v/>
      </c>
      <c r="F394" s="2" t="str">
        <f>IF(Source!$C394&gt;=COLUMNS($A394:F394), Source!$E394, "")</f>
        <v/>
      </c>
      <c r="G394" s="2" t="str">
        <f>IF(Source!$C394&gt;=COLUMNS($A394:G394), Source!$E394, "")</f>
        <v/>
      </c>
      <c r="H394" s="2" t="str">
        <f>IF(Source!$C394&gt;=COLUMNS($A394:H394), Source!$E394, "")</f>
        <v/>
      </c>
      <c r="I394" s="2" t="str">
        <f>IF(Source!$C394&gt;=COLUMNS($A394:I394), Source!$E394, "")</f>
        <v/>
      </c>
      <c r="J394" s="2" t="str">
        <f>IF(Source!$C394&gt;=COLUMNS($A394:J394), Source!$E394, "")</f>
        <v/>
      </c>
      <c r="K394" s="2" t="str">
        <f>IF(Source!$C394&gt;=COLUMNS($A394:K394), Source!$E394, "")</f>
        <v/>
      </c>
      <c r="L394" s="2" t="str">
        <f>IF(Source!$C394&gt;=COLUMNS($A394:L394), Source!$E394, "")</f>
        <v/>
      </c>
      <c r="M394" s="2" t="str">
        <f>IF(Source!$C394&gt;=COLUMNS($A394:M394), Source!$E394, "")</f>
        <v/>
      </c>
      <c r="N394" s="2" t="str">
        <f>IF(Source!$C394&gt;=COLUMNS($A394:N394), Source!$E394, "")</f>
        <v/>
      </c>
      <c r="O394" s="2" t="str">
        <f>IF(Source!$C394&gt;=COLUMNS($A394:O394), Source!$E394, "")</f>
        <v/>
      </c>
      <c r="P394" s="2" t="str">
        <f>IF(Source!$C394&gt;=COLUMNS($A394:P394), Source!$E394, "")</f>
        <v/>
      </c>
      <c r="Q394" s="2" t="str">
        <f>IF(Source!$C394&gt;=COLUMNS($A394:Q394), Source!$E394, "")</f>
        <v/>
      </c>
      <c r="R394" s="2" t="str">
        <f>IF(Source!$C394&gt;=COLUMNS($A394:R394), Source!$E394, "")</f>
        <v/>
      </c>
      <c r="S394" s="2" t="str">
        <f>IF(Source!$C394&gt;=COLUMNS($A394:S394), Source!$E394, "")</f>
        <v/>
      </c>
      <c r="T394" s="2" t="str">
        <f>IF(Source!$C394&gt;=COLUMNS($A394:T394), Source!$E394, "")</f>
        <v/>
      </c>
      <c r="U394" s="2" t="str">
        <f>IF(Source!$C394&gt;=COLUMNS($A394:U394), Source!$E394, "")</f>
        <v/>
      </c>
      <c r="V394" s="2" t="str">
        <f>IF(Source!$C394&gt;=COLUMNS($A394:V394), Source!$E394, "")</f>
        <v/>
      </c>
      <c r="W394" s="2" t="str">
        <f>IF(Source!$C394&gt;=COLUMNS($A394:W394), Source!$E394, "")</f>
        <v/>
      </c>
      <c r="X394" s="2" t="str">
        <f>IF(Source!$C394&gt;=COLUMNS($A394:X394), Source!$E394, "")</f>
        <v/>
      </c>
      <c r="Y394" s="2" t="str">
        <f>IF(Source!$C394&gt;=COLUMNS($A394:Y394), Source!$E394, "")</f>
        <v/>
      </c>
      <c r="Z394" s="2" t="str">
        <f>IF(Source!$C394&gt;=COLUMNS($A394:Z394), Source!$E394, "")</f>
        <v/>
      </c>
      <c r="AA394" s="2" t="str">
        <f>IF(Source!$C394&gt;=COLUMNS($A394:AA394), Source!$E394, "")</f>
        <v/>
      </c>
      <c r="AB394" s="2" t="str">
        <f>IF(Source!$C394&gt;=COLUMNS($A394:AB394), Source!$E394, "")</f>
        <v/>
      </c>
      <c r="AC394" s="2" t="str">
        <f>IF(Source!$C394&gt;=COLUMNS($A394:AC394), Source!$E394, "")</f>
        <v/>
      </c>
      <c r="AD394" s="2" t="str">
        <f>IF(Source!$C394&gt;=COLUMNS($A394:AD394), Source!$E394, "")</f>
        <v/>
      </c>
      <c r="AE394" s="2" t="str">
        <f>IF(Source!$C394&gt;=COLUMNS($A394:AE394), Source!$E394, "")</f>
        <v/>
      </c>
      <c r="AF394" s="2" t="str">
        <f>IF(Source!$C394&gt;=COLUMNS($A394:AF394), Source!$E394, "")</f>
        <v/>
      </c>
      <c r="AG394" s="2" t="str">
        <f>IF(Source!$C394&gt;=COLUMNS($A394:AG394), Source!$E394, "")</f>
        <v/>
      </c>
      <c r="AH394" s="2" t="str">
        <f>IF(Source!$C394&gt;=COLUMNS($A394:AH394), Source!$E394, "")</f>
        <v/>
      </c>
      <c r="AI394" s="2" t="str">
        <f>IF(Source!$C394&gt;=COLUMNS($A394:AI394), Source!$E394, "")</f>
        <v/>
      </c>
      <c r="AJ394" s="2" t="str">
        <f>IF(Source!$C394&gt;=COLUMNS($A394:AJ394), Source!$E394, "")</f>
        <v/>
      </c>
      <c r="AK394" s="2" t="str">
        <f>IF(Source!$C394&gt;=COLUMNS($A394:AK394), Source!$E394, "")</f>
        <v/>
      </c>
      <c r="AL394" s="2" t="str">
        <f>IF(Source!$C394&gt;=COLUMNS($A394:AL394), Source!$E394, "")</f>
        <v/>
      </c>
      <c r="AM394" s="2" t="str">
        <f>IF(Source!$C394&gt;=COLUMNS($A394:AM394), Source!$E394, "")</f>
        <v/>
      </c>
      <c r="AN394" s="2" t="str">
        <f>IF(Source!$C394&gt;=COLUMNS($A394:AN394), Source!$E394, "")</f>
        <v/>
      </c>
      <c r="AO394" s="2" t="str">
        <f>IF(Source!$C394&gt;=COLUMNS($A394:AO394), Source!$E394, "")</f>
        <v/>
      </c>
      <c r="AP394" s="2" t="str">
        <f>IF(Source!$C394&gt;=COLUMNS($A394:AP394), Source!$E394, "")</f>
        <v/>
      </c>
      <c r="AQ394" s="2" t="str">
        <f>IF(Source!$C394&gt;=COLUMNS($A394:AQ394), Source!$E394, "")</f>
        <v/>
      </c>
      <c r="AR394" s="2" t="str">
        <f>IF(Source!$C394&gt;=COLUMNS($A394:AR394), Source!$E394, "")</f>
        <v/>
      </c>
    </row>
    <row r="395">
      <c r="A395" s="2">
        <f>IF(Source!$C395&gt;=COLUMNS($A395:A395), Source!$E395, "")</f>
        <v>4</v>
      </c>
      <c r="B395" s="2">
        <f>IF(Source!$C395&gt;=COLUMNS($A395:B395), Source!$E395, "")</f>
        <v>4</v>
      </c>
      <c r="C395" s="2">
        <f>IF(Source!$C395&gt;=COLUMNS($A395:C395), Source!$E395, "")</f>
        <v>4</v>
      </c>
      <c r="D395" s="2">
        <f>IF(Source!$C395&gt;=COLUMNS($A395:D395), Source!$E395, "")</f>
        <v>4</v>
      </c>
      <c r="E395" s="2">
        <f>IF(Source!$C395&gt;=COLUMNS($A395:E395), Source!$E395, "")</f>
        <v>4</v>
      </c>
      <c r="F395" s="2">
        <f>IF(Source!$C395&gt;=COLUMNS($A395:F395), Source!$E395, "")</f>
        <v>4</v>
      </c>
      <c r="G395" s="2">
        <f>IF(Source!$C395&gt;=COLUMNS($A395:G395), Source!$E395, "")</f>
        <v>4</v>
      </c>
      <c r="H395" s="2">
        <f>IF(Source!$C395&gt;=COLUMNS($A395:H395), Source!$E395, "")</f>
        <v>4</v>
      </c>
      <c r="I395" s="2">
        <f>IF(Source!$C395&gt;=COLUMNS($A395:I395), Source!$E395, "")</f>
        <v>4</v>
      </c>
      <c r="J395" s="2">
        <f>IF(Source!$C395&gt;=COLUMNS($A395:J395), Source!$E395, "")</f>
        <v>4</v>
      </c>
      <c r="K395" s="2">
        <f>IF(Source!$C395&gt;=COLUMNS($A395:K395), Source!$E395, "")</f>
        <v>4</v>
      </c>
      <c r="L395" s="2" t="str">
        <f>IF(Source!$C395&gt;=COLUMNS($A395:L395), Source!$E395, "")</f>
        <v/>
      </c>
      <c r="M395" s="2" t="str">
        <f>IF(Source!$C395&gt;=COLUMNS($A395:M395), Source!$E395, "")</f>
        <v/>
      </c>
      <c r="N395" s="2" t="str">
        <f>IF(Source!$C395&gt;=COLUMNS($A395:N395), Source!$E395, "")</f>
        <v/>
      </c>
      <c r="O395" s="2" t="str">
        <f>IF(Source!$C395&gt;=COLUMNS($A395:O395), Source!$E395, "")</f>
        <v/>
      </c>
      <c r="P395" s="2" t="str">
        <f>IF(Source!$C395&gt;=COLUMNS($A395:P395), Source!$E395, "")</f>
        <v/>
      </c>
      <c r="Q395" s="2" t="str">
        <f>IF(Source!$C395&gt;=COLUMNS($A395:Q395), Source!$E395, "")</f>
        <v/>
      </c>
      <c r="R395" s="2" t="str">
        <f>IF(Source!$C395&gt;=COLUMNS($A395:R395), Source!$E395, "")</f>
        <v/>
      </c>
      <c r="S395" s="2" t="str">
        <f>IF(Source!$C395&gt;=COLUMNS($A395:S395), Source!$E395, "")</f>
        <v/>
      </c>
      <c r="T395" s="2" t="str">
        <f>IF(Source!$C395&gt;=COLUMNS($A395:T395), Source!$E395, "")</f>
        <v/>
      </c>
      <c r="U395" s="2" t="str">
        <f>IF(Source!$C395&gt;=COLUMNS($A395:U395), Source!$E395, "")</f>
        <v/>
      </c>
      <c r="V395" s="2" t="str">
        <f>IF(Source!$C395&gt;=COLUMNS($A395:V395), Source!$E395, "")</f>
        <v/>
      </c>
      <c r="W395" s="2" t="str">
        <f>IF(Source!$C395&gt;=COLUMNS($A395:W395), Source!$E395, "")</f>
        <v/>
      </c>
      <c r="X395" s="2" t="str">
        <f>IF(Source!$C395&gt;=COLUMNS($A395:X395), Source!$E395, "")</f>
        <v/>
      </c>
      <c r="Y395" s="2" t="str">
        <f>IF(Source!$C395&gt;=COLUMNS($A395:Y395), Source!$E395, "")</f>
        <v/>
      </c>
      <c r="Z395" s="2" t="str">
        <f>IF(Source!$C395&gt;=COLUMNS($A395:Z395), Source!$E395, "")</f>
        <v/>
      </c>
      <c r="AA395" s="2" t="str">
        <f>IF(Source!$C395&gt;=COLUMNS($A395:AA395), Source!$E395, "")</f>
        <v/>
      </c>
      <c r="AB395" s="2" t="str">
        <f>IF(Source!$C395&gt;=COLUMNS($A395:AB395), Source!$E395, "")</f>
        <v/>
      </c>
      <c r="AC395" s="2" t="str">
        <f>IF(Source!$C395&gt;=COLUMNS($A395:AC395), Source!$E395, "")</f>
        <v/>
      </c>
      <c r="AD395" s="2" t="str">
        <f>IF(Source!$C395&gt;=COLUMNS($A395:AD395), Source!$E395, "")</f>
        <v/>
      </c>
      <c r="AE395" s="2" t="str">
        <f>IF(Source!$C395&gt;=COLUMNS($A395:AE395), Source!$E395, "")</f>
        <v/>
      </c>
      <c r="AF395" s="2" t="str">
        <f>IF(Source!$C395&gt;=COLUMNS($A395:AF395), Source!$E395, "")</f>
        <v/>
      </c>
      <c r="AG395" s="2" t="str">
        <f>IF(Source!$C395&gt;=COLUMNS($A395:AG395), Source!$E395, "")</f>
        <v/>
      </c>
      <c r="AH395" s="2" t="str">
        <f>IF(Source!$C395&gt;=COLUMNS($A395:AH395), Source!$E395, "")</f>
        <v/>
      </c>
      <c r="AI395" s="2" t="str">
        <f>IF(Source!$C395&gt;=COLUMNS($A395:AI395), Source!$E395, "")</f>
        <v/>
      </c>
      <c r="AJ395" s="2" t="str">
        <f>IF(Source!$C395&gt;=COLUMNS($A395:AJ395), Source!$E395, "")</f>
        <v/>
      </c>
      <c r="AK395" s="2" t="str">
        <f>IF(Source!$C395&gt;=COLUMNS($A395:AK395), Source!$E395, "")</f>
        <v/>
      </c>
      <c r="AL395" s="2" t="str">
        <f>IF(Source!$C395&gt;=COLUMNS($A395:AL395), Source!$E395, "")</f>
        <v/>
      </c>
      <c r="AM395" s="2" t="str">
        <f>IF(Source!$C395&gt;=COLUMNS($A395:AM395), Source!$E395, "")</f>
        <v/>
      </c>
      <c r="AN395" s="2" t="str">
        <f>IF(Source!$C395&gt;=COLUMNS($A395:AN395), Source!$E395, "")</f>
        <v/>
      </c>
      <c r="AO395" s="2" t="str">
        <f>IF(Source!$C395&gt;=COLUMNS($A395:AO395), Source!$E395, "")</f>
        <v/>
      </c>
      <c r="AP395" s="2" t="str">
        <f>IF(Source!$C395&gt;=COLUMNS($A395:AP395), Source!$E395, "")</f>
        <v/>
      </c>
      <c r="AQ395" s="2" t="str">
        <f>IF(Source!$C395&gt;=COLUMNS($A395:AQ395), Source!$E395, "")</f>
        <v/>
      </c>
      <c r="AR395" s="2" t="str">
        <f>IF(Source!$C395&gt;=COLUMNS($A395:AR395), Source!$E395, "")</f>
        <v/>
      </c>
    </row>
    <row r="396">
      <c r="A396" s="2">
        <f>IF(Source!$C396&gt;=COLUMNS($A396:A396), Source!$E396, "")</f>
        <v>4</v>
      </c>
      <c r="B396" s="2">
        <f>IF(Source!$C396&gt;=COLUMNS($A396:B396), Source!$E396, "")</f>
        <v>4</v>
      </c>
      <c r="C396" s="2">
        <f>IF(Source!$C396&gt;=COLUMNS($A396:C396), Source!$E396, "")</f>
        <v>4</v>
      </c>
      <c r="D396" s="2">
        <f>IF(Source!$C396&gt;=COLUMNS($A396:D396), Source!$E396, "")</f>
        <v>4</v>
      </c>
      <c r="E396" s="2">
        <f>IF(Source!$C396&gt;=COLUMNS($A396:E396), Source!$E396, "")</f>
        <v>4</v>
      </c>
      <c r="F396" s="2">
        <f>IF(Source!$C396&gt;=COLUMNS($A396:F396), Source!$E396, "")</f>
        <v>4</v>
      </c>
      <c r="G396" s="2">
        <f>IF(Source!$C396&gt;=COLUMNS($A396:G396), Source!$E396, "")</f>
        <v>4</v>
      </c>
      <c r="H396" s="2">
        <f>IF(Source!$C396&gt;=COLUMNS($A396:H396), Source!$E396, "")</f>
        <v>4</v>
      </c>
      <c r="I396" s="2">
        <f>IF(Source!$C396&gt;=COLUMNS($A396:I396), Source!$E396, "")</f>
        <v>4</v>
      </c>
      <c r="J396" s="2">
        <f>IF(Source!$C396&gt;=COLUMNS($A396:J396), Source!$E396, "")</f>
        <v>4</v>
      </c>
      <c r="K396" s="2">
        <f>IF(Source!$C396&gt;=COLUMNS($A396:K396), Source!$E396, "")</f>
        <v>4</v>
      </c>
      <c r="L396" s="2">
        <f>IF(Source!$C396&gt;=COLUMNS($A396:L396), Source!$E396, "")</f>
        <v>4</v>
      </c>
      <c r="M396" s="2" t="str">
        <f>IF(Source!$C396&gt;=COLUMNS($A396:M396), Source!$E396, "")</f>
        <v/>
      </c>
      <c r="N396" s="2" t="str">
        <f>IF(Source!$C396&gt;=COLUMNS($A396:N396), Source!$E396, "")</f>
        <v/>
      </c>
      <c r="O396" s="2" t="str">
        <f>IF(Source!$C396&gt;=COLUMNS($A396:O396), Source!$E396, "")</f>
        <v/>
      </c>
      <c r="P396" s="2" t="str">
        <f>IF(Source!$C396&gt;=COLUMNS($A396:P396), Source!$E396, "")</f>
        <v/>
      </c>
      <c r="Q396" s="2" t="str">
        <f>IF(Source!$C396&gt;=COLUMNS($A396:Q396), Source!$E396, "")</f>
        <v/>
      </c>
      <c r="R396" s="2" t="str">
        <f>IF(Source!$C396&gt;=COLUMNS($A396:R396), Source!$E396, "")</f>
        <v/>
      </c>
      <c r="S396" s="2" t="str">
        <f>IF(Source!$C396&gt;=COLUMNS($A396:S396), Source!$E396, "")</f>
        <v/>
      </c>
      <c r="T396" s="2" t="str">
        <f>IF(Source!$C396&gt;=COLUMNS($A396:T396), Source!$E396, "")</f>
        <v/>
      </c>
      <c r="U396" s="2" t="str">
        <f>IF(Source!$C396&gt;=COLUMNS($A396:U396), Source!$E396, "")</f>
        <v/>
      </c>
      <c r="V396" s="2" t="str">
        <f>IF(Source!$C396&gt;=COLUMNS($A396:V396), Source!$E396, "")</f>
        <v/>
      </c>
      <c r="W396" s="2" t="str">
        <f>IF(Source!$C396&gt;=COLUMNS($A396:W396), Source!$E396, "")</f>
        <v/>
      </c>
      <c r="X396" s="2" t="str">
        <f>IF(Source!$C396&gt;=COLUMNS($A396:X396), Source!$E396, "")</f>
        <v/>
      </c>
      <c r="Y396" s="2" t="str">
        <f>IF(Source!$C396&gt;=COLUMNS($A396:Y396), Source!$E396, "")</f>
        <v/>
      </c>
      <c r="Z396" s="2" t="str">
        <f>IF(Source!$C396&gt;=COLUMNS($A396:Z396), Source!$E396, "")</f>
        <v/>
      </c>
      <c r="AA396" s="2" t="str">
        <f>IF(Source!$C396&gt;=COLUMNS($A396:AA396), Source!$E396, "")</f>
        <v/>
      </c>
      <c r="AB396" s="2" t="str">
        <f>IF(Source!$C396&gt;=COLUMNS($A396:AB396), Source!$E396, "")</f>
        <v/>
      </c>
      <c r="AC396" s="2" t="str">
        <f>IF(Source!$C396&gt;=COLUMNS($A396:AC396), Source!$E396, "")</f>
        <v/>
      </c>
      <c r="AD396" s="2" t="str">
        <f>IF(Source!$C396&gt;=COLUMNS($A396:AD396), Source!$E396, "")</f>
        <v/>
      </c>
      <c r="AE396" s="2" t="str">
        <f>IF(Source!$C396&gt;=COLUMNS($A396:AE396), Source!$E396, "")</f>
        <v/>
      </c>
      <c r="AF396" s="2" t="str">
        <f>IF(Source!$C396&gt;=COLUMNS($A396:AF396), Source!$E396, "")</f>
        <v/>
      </c>
      <c r="AG396" s="2" t="str">
        <f>IF(Source!$C396&gt;=COLUMNS($A396:AG396), Source!$E396, "")</f>
        <v/>
      </c>
      <c r="AH396" s="2" t="str">
        <f>IF(Source!$C396&gt;=COLUMNS($A396:AH396), Source!$E396, "")</f>
        <v/>
      </c>
      <c r="AI396" s="2" t="str">
        <f>IF(Source!$C396&gt;=COLUMNS($A396:AI396), Source!$E396, "")</f>
        <v/>
      </c>
      <c r="AJ396" s="2" t="str">
        <f>IF(Source!$C396&gt;=COLUMNS($A396:AJ396), Source!$E396, "")</f>
        <v/>
      </c>
      <c r="AK396" s="2" t="str">
        <f>IF(Source!$C396&gt;=COLUMNS($A396:AK396), Source!$E396, "")</f>
        <v/>
      </c>
      <c r="AL396" s="2" t="str">
        <f>IF(Source!$C396&gt;=COLUMNS($A396:AL396), Source!$E396, "")</f>
        <v/>
      </c>
      <c r="AM396" s="2" t="str">
        <f>IF(Source!$C396&gt;=COLUMNS($A396:AM396), Source!$E396, "")</f>
        <v/>
      </c>
      <c r="AN396" s="2" t="str">
        <f>IF(Source!$C396&gt;=COLUMNS($A396:AN396), Source!$E396, "")</f>
        <v/>
      </c>
      <c r="AO396" s="2" t="str">
        <f>IF(Source!$C396&gt;=COLUMNS($A396:AO396), Source!$E396, "")</f>
        <v/>
      </c>
      <c r="AP396" s="2" t="str">
        <f>IF(Source!$C396&gt;=COLUMNS($A396:AP396), Source!$E396, "")</f>
        <v/>
      </c>
      <c r="AQ396" s="2" t="str">
        <f>IF(Source!$C396&gt;=COLUMNS($A396:AQ396), Source!$E396, "")</f>
        <v/>
      </c>
      <c r="AR396" s="2" t="str">
        <f>IF(Source!$C396&gt;=COLUMNS($A396:AR396), Source!$E396, "")</f>
        <v/>
      </c>
    </row>
    <row r="397">
      <c r="A397" s="2">
        <f>IF(Source!$C397&gt;=COLUMNS($A397:A397), Source!$E397, "")</f>
        <v>5</v>
      </c>
      <c r="B397" s="2">
        <f>IF(Source!$C397&gt;=COLUMNS($A397:B397), Source!$E397, "")</f>
        <v>5</v>
      </c>
      <c r="C397" s="2" t="str">
        <f>IF(Source!$C397&gt;=COLUMNS($A397:C397), Source!$E397, "")</f>
        <v/>
      </c>
      <c r="D397" s="2" t="str">
        <f>IF(Source!$C397&gt;=COLUMNS($A397:D397), Source!$E397, "")</f>
        <v/>
      </c>
      <c r="E397" s="2" t="str">
        <f>IF(Source!$C397&gt;=COLUMNS($A397:E397), Source!$E397, "")</f>
        <v/>
      </c>
      <c r="F397" s="2" t="str">
        <f>IF(Source!$C397&gt;=COLUMNS($A397:F397), Source!$E397, "")</f>
        <v/>
      </c>
      <c r="G397" s="2" t="str">
        <f>IF(Source!$C397&gt;=COLUMNS($A397:G397), Source!$E397, "")</f>
        <v/>
      </c>
      <c r="H397" s="2" t="str">
        <f>IF(Source!$C397&gt;=COLUMNS($A397:H397), Source!$E397, "")</f>
        <v/>
      </c>
      <c r="I397" s="2" t="str">
        <f>IF(Source!$C397&gt;=COLUMNS($A397:I397), Source!$E397, "")</f>
        <v/>
      </c>
      <c r="J397" s="2" t="str">
        <f>IF(Source!$C397&gt;=COLUMNS($A397:J397), Source!$E397, "")</f>
        <v/>
      </c>
      <c r="K397" s="2" t="str">
        <f>IF(Source!$C397&gt;=COLUMNS($A397:K397), Source!$E397, "")</f>
        <v/>
      </c>
      <c r="L397" s="2" t="str">
        <f>IF(Source!$C397&gt;=COLUMNS($A397:L397), Source!$E397, "")</f>
        <v/>
      </c>
      <c r="M397" s="2" t="str">
        <f>IF(Source!$C397&gt;=COLUMNS($A397:M397), Source!$E397, "")</f>
        <v/>
      </c>
      <c r="N397" s="2" t="str">
        <f>IF(Source!$C397&gt;=COLUMNS($A397:N397), Source!$E397, "")</f>
        <v/>
      </c>
      <c r="O397" s="2" t="str">
        <f>IF(Source!$C397&gt;=COLUMNS($A397:O397), Source!$E397, "")</f>
        <v/>
      </c>
      <c r="P397" s="2" t="str">
        <f>IF(Source!$C397&gt;=COLUMNS($A397:P397), Source!$E397, "")</f>
        <v/>
      </c>
      <c r="Q397" s="2" t="str">
        <f>IF(Source!$C397&gt;=COLUMNS($A397:Q397), Source!$E397, "")</f>
        <v/>
      </c>
      <c r="R397" s="2" t="str">
        <f>IF(Source!$C397&gt;=COLUMNS($A397:R397), Source!$E397, "")</f>
        <v/>
      </c>
      <c r="S397" s="2" t="str">
        <f>IF(Source!$C397&gt;=COLUMNS($A397:S397), Source!$E397, "")</f>
        <v/>
      </c>
      <c r="T397" s="2" t="str">
        <f>IF(Source!$C397&gt;=COLUMNS($A397:T397), Source!$E397, "")</f>
        <v/>
      </c>
      <c r="U397" s="2" t="str">
        <f>IF(Source!$C397&gt;=COLUMNS($A397:U397), Source!$E397, "")</f>
        <v/>
      </c>
      <c r="V397" s="2" t="str">
        <f>IF(Source!$C397&gt;=COLUMNS($A397:V397), Source!$E397, "")</f>
        <v/>
      </c>
      <c r="W397" s="2" t="str">
        <f>IF(Source!$C397&gt;=COLUMNS($A397:W397), Source!$E397, "")</f>
        <v/>
      </c>
      <c r="X397" s="2" t="str">
        <f>IF(Source!$C397&gt;=COLUMNS($A397:X397), Source!$E397, "")</f>
        <v/>
      </c>
      <c r="Y397" s="2" t="str">
        <f>IF(Source!$C397&gt;=COLUMNS($A397:Y397), Source!$E397, "")</f>
        <v/>
      </c>
      <c r="Z397" s="2" t="str">
        <f>IF(Source!$C397&gt;=COLUMNS($A397:Z397), Source!$E397, "")</f>
        <v/>
      </c>
      <c r="AA397" s="2" t="str">
        <f>IF(Source!$C397&gt;=COLUMNS($A397:AA397), Source!$E397, "")</f>
        <v/>
      </c>
      <c r="AB397" s="2" t="str">
        <f>IF(Source!$C397&gt;=COLUMNS($A397:AB397), Source!$E397, "")</f>
        <v/>
      </c>
      <c r="AC397" s="2" t="str">
        <f>IF(Source!$C397&gt;=COLUMNS($A397:AC397), Source!$E397, "")</f>
        <v/>
      </c>
      <c r="AD397" s="2" t="str">
        <f>IF(Source!$C397&gt;=COLUMNS($A397:AD397), Source!$E397, "")</f>
        <v/>
      </c>
      <c r="AE397" s="2" t="str">
        <f>IF(Source!$C397&gt;=COLUMNS($A397:AE397), Source!$E397, "")</f>
        <v/>
      </c>
      <c r="AF397" s="2" t="str">
        <f>IF(Source!$C397&gt;=COLUMNS($A397:AF397), Source!$E397, "")</f>
        <v/>
      </c>
      <c r="AG397" s="2" t="str">
        <f>IF(Source!$C397&gt;=COLUMNS($A397:AG397), Source!$E397, "")</f>
        <v/>
      </c>
      <c r="AH397" s="2" t="str">
        <f>IF(Source!$C397&gt;=COLUMNS($A397:AH397), Source!$E397, "")</f>
        <v/>
      </c>
      <c r="AI397" s="2" t="str">
        <f>IF(Source!$C397&gt;=COLUMNS($A397:AI397), Source!$E397, "")</f>
        <v/>
      </c>
      <c r="AJ397" s="2" t="str">
        <f>IF(Source!$C397&gt;=COLUMNS($A397:AJ397), Source!$E397, "")</f>
        <v/>
      </c>
      <c r="AK397" s="2" t="str">
        <f>IF(Source!$C397&gt;=COLUMNS($A397:AK397), Source!$E397, "")</f>
        <v/>
      </c>
      <c r="AL397" s="2" t="str">
        <f>IF(Source!$C397&gt;=COLUMNS($A397:AL397), Source!$E397, "")</f>
        <v/>
      </c>
      <c r="AM397" s="2" t="str">
        <f>IF(Source!$C397&gt;=COLUMNS($A397:AM397), Source!$E397, "")</f>
        <v/>
      </c>
      <c r="AN397" s="2" t="str">
        <f>IF(Source!$C397&gt;=COLUMNS($A397:AN397), Source!$E397, "")</f>
        <v/>
      </c>
      <c r="AO397" s="2" t="str">
        <f>IF(Source!$C397&gt;=COLUMNS($A397:AO397), Source!$E397, "")</f>
        <v/>
      </c>
      <c r="AP397" s="2" t="str">
        <f>IF(Source!$C397&gt;=COLUMNS($A397:AP397), Source!$E397, "")</f>
        <v/>
      </c>
      <c r="AQ397" s="2" t="str">
        <f>IF(Source!$C397&gt;=COLUMNS($A397:AQ397), Source!$E397, "")</f>
        <v/>
      </c>
      <c r="AR397" s="2" t="str">
        <f>IF(Source!$C397&gt;=COLUMNS($A397:AR397), Source!$E397, "")</f>
        <v/>
      </c>
    </row>
    <row r="398">
      <c r="A398" s="2">
        <f>IF(Source!$C398&gt;=COLUMNS($A398:A398), Source!$E398, "")</f>
        <v>2</v>
      </c>
      <c r="B398" s="2">
        <f>IF(Source!$C398&gt;=COLUMNS($A398:B398), Source!$E398, "")</f>
        <v>2</v>
      </c>
      <c r="C398" s="2">
        <f>IF(Source!$C398&gt;=COLUMNS($A398:C398), Source!$E398, "")</f>
        <v>2</v>
      </c>
      <c r="D398" s="2">
        <f>IF(Source!$C398&gt;=COLUMNS($A398:D398), Source!$E398, "")</f>
        <v>2</v>
      </c>
      <c r="E398" s="2" t="str">
        <f>IF(Source!$C398&gt;=COLUMNS($A398:E398), Source!$E398, "")</f>
        <v/>
      </c>
      <c r="F398" s="2" t="str">
        <f>IF(Source!$C398&gt;=COLUMNS($A398:F398), Source!$E398, "")</f>
        <v/>
      </c>
      <c r="G398" s="2" t="str">
        <f>IF(Source!$C398&gt;=COLUMNS($A398:G398), Source!$E398, "")</f>
        <v/>
      </c>
      <c r="H398" s="2" t="str">
        <f>IF(Source!$C398&gt;=COLUMNS($A398:H398), Source!$E398, "")</f>
        <v/>
      </c>
      <c r="I398" s="2" t="str">
        <f>IF(Source!$C398&gt;=COLUMNS($A398:I398), Source!$E398, "")</f>
        <v/>
      </c>
      <c r="J398" s="2" t="str">
        <f>IF(Source!$C398&gt;=COLUMNS($A398:J398), Source!$E398, "")</f>
        <v/>
      </c>
      <c r="K398" s="2" t="str">
        <f>IF(Source!$C398&gt;=COLUMNS($A398:K398), Source!$E398, "")</f>
        <v/>
      </c>
      <c r="L398" s="2" t="str">
        <f>IF(Source!$C398&gt;=COLUMNS($A398:L398), Source!$E398, "")</f>
        <v/>
      </c>
      <c r="M398" s="2" t="str">
        <f>IF(Source!$C398&gt;=COLUMNS($A398:M398), Source!$E398, "")</f>
        <v/>
      </c>
      <c r="N398" s="2" t="str">
        <f>IF(Source!$C398&gt;=COLUMNS($A398:N398), Source!$E398, "")</f>
        <v/>
      </c>
      <c r="O398" s="2" t="str">
        <f>IF(Source!$C398&gt;=COLUMNS($A398:O398), Source!$E398, "")</f>
        <v/>
      </c>
      <c r="P398" s="2" t="str">
        <f>IF(Source!$C398&gt;=COLUMNS($A398:P398), Source!$E398, "")</f>
        <v/>
      </c>
      <c r="Q398" s="2" t="str">
        <f>IF(Source!$C398&gt;=COLUMNS($A398:Q398), Source!$E398, "")</f>
        <v/>
      </c>
      <c r="R398" s="2" t="str">
        <f>IF(Source!$C398&gt;=COLUMNS($A398:R398), Source!$E398, "")</f>
        <v/>
      </c>
      <c r="S398" s="2" t="str">
        <f>IF(Source!$C398&gt;=COLUMNS($A398:S398), Source!$E398, "")</f>
        <v/>
      </c>
      <c r="T398" s="2" t="str">
        <f>IF(Source!$C398&gt;=COLUMNS($A398:T398), Source!$E398, "")</f>
        <v/>
      </c>
      <c r="U398" s="2" t="str">
        <f>IF(Source!$C398&gt;=COLUMNS($A398:U398), Source!$E398, "")</f>
        <v/>
      </c>
      <c r="V398" s="2" t="str">
        <f>IF(Source!$C398&gt;=COLUMNS($A398:V398), Source!$E398, "")</f>
        <v/>
      </c>
      <c r="W398" s="2" t="str">
        <f>IF(Source!$C398&gt;=COLUMNS($A398:W398), Source!$E398, "")</f>
        <v/>
      </c>
      <c r="X398" s="2" t="str">
        <f>IF(Source!$C398&gt;=COLUMNS($A398:X398), Source!$E398, "")</f>
        <v/>
      </c>
      <c r="Y398" s="2" t="str">
        <f>IF(Source!$C398&gt;=COLUMNS($A398:Y398), Source!$E398, "")</f>
        <v/>
      </c>
      <c r="Z398" s="2" t="str">
        <f>IF(Source!$C398&gt;=COLUMNS($A398:Z398), Source!$E398, "")</f>
        <v/>
      </c>
      <c r="AA398" s="2" t="str">
        <f>IF(Source!$C398&gt;=COLUMNS($A398:AA398), Source!$E398, "")</f>
        <v/>
      </c>
      <c r="AB398" s="2" t="str">
        <f>IF(Source!$C398&gt;=COLUMNS($A398:AB398), Source!$E398, "")</f>
        <v/>
      </c>
      <c r="AC398" s="2" t="str">
        <f>IF(Source!$C398&gt;=COLUMNS($A398:AC398), Source!$E398, "")</f>
        <v/>
      </c>
      <c r="AD398" s="2" t="str">
        <f>IF(Source!$C398&gt;=COLUMNS($A398:AD398), Source!$E398, "")</f>
        <v/>
      </c>
      <c r="AE398" s="2" t="str">
        <f>IF(Source!$C398&gt;=COLUMNS($A398:AE398), Source!$E398, "")</f>
        <v/>
      </c>
      <c r="AF398" s="2" t="str">
        <f>IF(Source!$C398&gt;=COLUMNS($A398:AF398), Source!$E398, "")</f>
        <v/>
      </c>
      <c r="AG398" s="2" t="str">
        <f>IF(Source!$C398&gt;=COLUMNS($A398:AG398), Source!$E398, "")</f>
        <v/>
      </c>
      <c r="AH398" s="2" t="str">
        <f>IF(Source!$C398&gt;=COLUMNS($A398:AH398), Source!$E398, "")</f>
        <v/>
      </c>
      <c r="AI398" s="2" t="str">
        <f>IF(Source!$C398&gt;=COLUMNS($A398:AI398), Source!$E398, "")</f>
        <v/>
      </c>
      <c r="AJ398" s="2" t="str">
        <f>IF(Source!$C398&gt;=COLUMNS($A398:AJ398), Source!$E398, "")</f>
        <v/>
      </c>
      <c r="AK398" s="2" t="str">
        <f>IF(Source!$C398&gt;=COLUMNS($A398:AK398), Source!$E398, "")</f>
        <v/>
      </c>
      <c r="AL398" s="2" t="str">
        <f>IF(Source!$C398&gt;=COLUMNS($A398:AL398), Source!$E398, "")</f>
        <v/>
      </c>
      <c r="AM398" s="2" t="str">
        <f>IF(Source!$C398&gt;=COLUMNS($A398:AM398), Source!$E398, "")</f>
        <v/>
      </c>
      <c r="AN398" s="2" t="str">
        <f>IF(Source!$C398&gt;=COLUMNS($A398:AN398), Source!$E398, "")</f>
        <v/>
      </c>
      <c r="AO398" s="2" t="str">
        <f>IF(Source!$C398&gt;=COLUMNS($A398:AO398), Source!$E398, "")</f>
        <v/>
      </c>
      <c r="AP398" s="2" t="str">
        <f>IF(Source!$C398&gt;=COLUMNS($A398:AP398), Source!$E398, "")</f>
        <v/>
      </c>
      <c r="AQ398" s="2" t="str">
        <f>IF(Source!$C398&gt;=COLUMNS($A398:AQ398), Source!$E398, "")</f>
        <v/>
      </c>
      <c r="AR398" s="2" t="str">
        <f>IF(Source!$C398&gt;=COLUMNS($A398:AR398), Source!$E398, "")</f>
        <v/>
      </c>
    </row>
    <row r="399">
      <c r="A399" s="2">
        <f>IF(Source!$C399&gt;=COLUMNS($A399:A399), Source!$E399, "")</f>
        <v>8</v>
      </c>
      <c r="B399" s="2">
        <f>IF(Source!$C399&gt;=COLUMNS($A399:B399), Source!$E399, "")</f>
        <v>8</v>
      </c>
      <c r="C399" s="2">
        <f>IF(Source!$C399&gt;=COLUMNS($A399:C399), Source!$E399, "")</f>
        <v>8</v>
      </c>
      <c r="D399" s="2">
        <f>IF(Source!$C399&gt;=COLUMNS($A399:D399), Source!$E399, "")</f>
        <v>8</v>
      </c>
      <c r="E399" s="2">
        <f>IF(Source!$C399&gt;=COLUMNS($A399:E399), Source!$E399, "")</f>
        <v>8</v>
      </c>
      <c r="F399" s="2" t="str">
        <f>IF(Source!$C399&gt;=COLUMNS($A399:F399), Source!$E399, "")</f>
        <v/>
      </c>
      <c r="G399" s="2" t="str">
        <f>IF(Source!$C399&gt;=COLUMNS($A399:G399), Source!$E399, "")</f>
        <v/>
      </c>
      <c r="H399" s="2" t="str">
        <f>IF(Source!$C399&gt;=COLUMNS($A399:H399), Source!$E399, "")</f>
        <v/>
      </c>
      <c r="I399" s="2" t="str">
        <f>IF(Source!$C399&gt;=COLUMNS($A399:I399), Source!$E399, "")</f>
        <v/>
      </c>
      <c r="J399" s="2" t="str">
        <f>IF(Source!$C399&gt;=COLUMNS($A399:J399), Source!$E399, "")</f>
        <v/>
      </c>
      <c r="K399" s="2" t="str">
        <f>IF(Source!$C399&gt;=COLUMNS($A399:K399), Source!$E399, "")</f>
        <v/>
      </c>
      <c r="L399" s="2" t="str">
        <f>IF(Source!$C399&gt;=COLUMNS($A399:L399), Source!$E399, "")</f>
        <v/>
      </c>
      <c r="M399" s="2" t="str">
        <f>IF(Source!$C399&gt;=COLUMNS($A399:M399), Source!$E399, "")</f>
        <v/>
      </c>
      <c r="N399" s="2" t="str">
        <f>IF(Source!$C399&gt;=COLUMNS($A399:N399), Source!$E399, "")</f>
        <v/>
      </c>
      <c r="O399" s="2" t="str">
        <f>IF(Source!$C399&gt;=COLUMNS($A399:O399), Source!$E399, "")</f>
        <v/>
      </c>
      <c r="P399" s="2" t="str">
        <f>IF(Source!$C399&gt;=COLUMNS($A399:P399), Source!$E399, "")</f>
        <v/>
      </c>
      <c r="Q399" s="2" t="str">
        <f>IF(Source!$C399&gt;=COLUMNS($A399:Q399), Source!$E399, "")</f>
        <v/>
      </c>
      <c r="R399" s="2" t="str">
        <f>IF(Source!$C399&gt;=COLUMNS($A399:R399), Source!$E399, "")</f>
        <v/>
      </c>
      <c r="S399" s="2" t="str">
        <f>IF(Source!$C399&gt;=COLUMNS($A399:S399), Source!$E399, "")</f>
        <v/>
      </c>
      <c r="T399" s="2" t="str">
        <f>IF(Source!$C399&gt;=COLUMNS($A399:T399), Source!$E399, "")</f>
        <v/>
      </c>
      <c r="U399" s="2" t="str">
        <f>IF(Source!$C399&gt;=COLUMNS($A399:U399), Source!$E399, "")</f>
        <v/>
      </c>
      <c r="V399" s="2" t="str">
        <f>IF(Source!$C399&gt;=COLUMNS($A399:V399), Source!$E399, "")</f>
        <v/>
      </c>
      <c r="W399" s="2" t="str">
        <f>IF(Source!$C399&gt;=COLUMNS($A399:W399), Source!$E399, "")</f>
        <v/>
      </c>
      <c r="X399" s="2" t="str">
        <f>IF(Source!$C399&gt;=COLUMNS($A399:X399), Source!$E399, "")</f>
        <v/>
      </c>
      <c r="Y399" s="2" t="str">
        <f>IF(Source!$C399&gt;=COLUMNS($A399:Y399), Source!$E399, "")</f>
        <v/>
      </c>
      <c r="Z399" s="2" t="str">
        <f>IF(Source!$C399&gt;=COLUMNS($A399:Z399), Source!$E399, "")</f>
        <v/>
      </c>
      <c r="AA399" s="2" t="str">
        <f>IF(Source!$C399&gt;=COLUMNS($A399:AA399), Source!$E399, "")</f>
        <v/>
      </c>
      <c r="AB399" s="2" t="str">
        <f>IF(Source!$C399&gt;=COLUMNS($A399:AB399), Source!$E399, "")</f>
        <v/>
      </c>
      <c r="AC399" s="2" t="str">
        <f>IF(Source!$C399&gt;=COLUMNS($A399:AC399), Source!$E399, "")</f>
        <v/>
      </c>
      <c r="AD399" s="2" t="str">
        <f>IF(Source!$C399&gt;=COLUMNS($A399:AD399), Source!$E399, "")</f>
        <v/>
      </c>
      <c r="AE399" s="2" t="str">
        <f>IF(Source!$C399&gt;=COLUMNS($A399:AE399), Source!$E399, "")</f>
        <v/>
      </c>
      <c r="AF399" s="2" t="str">
        <f>IF(Source!$C399&gt;=COLUMNS($A399:AF399), Source!$E399, "")</f>
        <v/>
      </c>
      <c r="AG399" s="2" t="str">
        <f>IF(Source!$C399&gt;=COLUMNS($A399:AG399), Source!$E399, "")</f>
        <v/>
      </c>
      <c r="AH399" s="2" t="str">
        <f>IF(Source!$C399&gt;=COLUMNS($A399:AH399), Source!$E399, "")</f>
        <v/>
      </c>
      <c r="AI399" s="2" t="str">
        <f>IF(Source!$C399&gt;=COLUMNS($A399:AI399), Source!$E399, "")</f>
        <v/>
      </c>
      <c r="AJ399" s="2" t="str">
        <f>IF(Source!$C399&gt;=COLUMNS($A399:AJ399), Source!$E399, "")</f>
        <v/>
      </c>
      <c r="AK399" s="2" t="str">
        <f>IF(Source!$C399&gt;=COLUMNS($A399:AK399), Source!$E399, "")</f>
        <v/>
      </c>
      <c r="AL399" s="2" t="str">
        <f>IF(Source!$C399&gt;=COLUMNS($A399:AL399), Source!$E399, "")</f>
        <v/>
      </c>
      <c r="AM399" s="2" t="str">
        <f>IF(Source!$C399&gt;=COLUMNS($A399:AM399), Source!$E399, "")</f>
        <v/>
      </c>
      <c r="AN399" s="2" t="str">
        <f>IF(Source!$C399&gt;=COLUMNS($A399:AN399), Source!$E399, "")</f>
        <v/>
      </c>
      <c r="AO399" s="2" t="str">
        <f>IF(Source!$C399&gt;=COLUMNS($A399:AO399), Source!$E399, "")</f>
        <v/>
      </c>
      <c r="AP399" s="2" t="str">
        <f>IF(Source!$C399&gt;=COLUMNS($A399:AP399), Source!$E399, "")</f>
        <v/>
      </c>
      <c r="AQ399" s="2" t="str">
        <f>IF(Source!$C399&gt;=COLUMNS($A399:AQ399), Source!$E399, "")</f>
        <v/>
      </c>
      <c r="AR399" s="2" t="str">
        <f>IF(Source!$C399&gt;=COLUMNS($A399:AR399), Source!$E399, "")</f>
        <v/>
      </c>
    </row>
    <row r="400">
      <c r="A400" s="2">
        <f>IF(Source!$C400&gt;=COLUMNS($A400:A400), Source!$E400, "")</f>
        <v>5</v>
      </c>
      <c r="B400" s="2" t="str">
        <f>IF(Source!$C400&gt;=COLUMNS($A400:B400), Source!$E400, "")</f>
        <v/>
      </c>
      <c r="C400" s="2" t="str">
        <f>IF(Source!$C400&gt;=COLUMNS($A400:C400), Source!$E400, "")</f>
        <v/>
      </c>
      <c r="D400" s="2" t="str">
        <f>IF(Source!$C400&gt;=COLUMNS($A400:D400), Source!$E400, "")</f>
        <v/>
      </c>
      <c r="E400" s="2" t="str">
        <f>IF(Source!$C400&gt;=COLUMNS($A400:E400), Source!$E400, "")</f>
        <v/>
      </c>
      <c r="F400" s="2" t="str">
        <f>IF(Source!$C400&gt;=COLUMNS($A400:F400), Source!$E400, "")</f>
        <v/>
      </c>
      <c r="G400" s="2" t="str">
        <f>IF(Source!$C400&gt;=COLUMNS($A400:G400), Source!$E400, "")</f>
        <v/>
      </c>
      <c r="H400" s="2" t="str">
        <f>IF(Source!$C400&gt;=COLUMNS($A400:H400), Source!$E400, "")</f>
        <v/>
      </c>
      <c r="I400" s="2" t="str">
        <f>IF(Source!$C400&gt;=COLUMNS($A400:I400), Source!$E400, "")</f>
        <v/>
      </c>
      <c r="J400" s="2" t="str">
        <f>IF(Source!$C400&gt;=COLUMNS($A400:J400), Source!$E400, "")</f>
        <v/>
      </c>
      <c r="K400" s="2" t="str">
        <f>IF(Source!$C400&gt;=COLUMNS($A400:K400), Source!$E400, "")</f>
        <v/>
      </c>
      <c r="L400" s="2" t="str">
        <f>IF(Source!$C400&gt;=COLUMNS($A400:L400), Source!$E400, "")</f>
        <v/>
      </c>
      <c r="M400" s="2" t="str">
        <f>IF(Source!$C400&gt;=COLUMNS($A400:M400), Source!$E400, "")</f>
        <v/>
      </c>
      <c r="N400" s="2" t="str">
        <f>IF(Source!$C400&gt;=COLUMNS($A400:N400), Source!$E400, "")</f>
        <v/>
      </c>
      <c r="O400" s="2" t="str">
        <f>IF(Source!$C400&gt;=COLUMNS($A400:O400), Source!$E400, "")</f>
        <v/>
      </c>
      <c r="P400" s="2" t="str">
        <f>IF(Source!$C400&gt;=COLUMNS($A400:P400), Source!$E400, "")</f>
        <v/>
      </c>
      <c r="Q400" s="2" t="str">
        <f>IF(Source!$C400&gt;=COLUMNS($A400:Q400), Source!$E400, "")</f>
        <v/>
      </c>
      <c r="R400" s="2" t="str">
        <f>IF(Source!$C400&gt;=COLUMNS($A400:R400), Source!$E400, "")</f>
        <v/>
      </c>
      <c r="S400" s="2" t="str">
        <f>IF(Source!$C400&gt;=COLUMNS($A400:S400), Source!$E400, "")</f>
        <v/>
      </c>
      <c r="T400" s="2" t="str">
        <f>IF(Source!$C400&gt;=COLUMNS($A400:T400), Source!$E400, "")</f>
        <v/>
      </c>
      <c r="U400" s="2" t="str">
        <f>IF(Source!$C400&gt;=COLUMNS($A400:U400), Source!$E400, "")</f>
        <v/>
      </c>
      <c r="V400" s="2" t="str">
        <f>IF(Source!$C400&gt;=COLUMNS($A400:V400), Source!$E400, "")</f>
        <v/>
      </c>
      <c r="W400" s="2" t="str">
        <f>IF(Source!$C400&gt;=COLUMNS($A400:W400), Source!$E400, "")</f>
        <v/>
      </c>
      <c r="X400" s="2" t="str">
        <f>IF(Source!$C400&gt;=COLUMNS($A400:X400), Source!$E400, "")</f>
        <v/>
      </c>
      <c r="Y400" s="2" t="str">
        <f>IF(Source!$C400&gt;=COLUMNS($A400:Y400), Source!$E400, "")</f>
        <v/>
      </c>
      <c r="Z400" s="2" t="str">
        <f>IF(Source!$C400&gt;=COLUMNS($A400:Z400), Source!$E400, "")</f>
        <v/>
      </c>
      <c r="AA400" s="2" t="str">
        <f>IF(Source!$C400&gt;=COLUMNS($A400:AA400), Source!$E400, "")</f>
        <v/>
      </c>
      <c r="AB400" s="2" t="str">
        <f>IF(Source!$C400&gt;=COLUMNS($A400:AB400), Source!$E400, "")</f>
        <v/>
      </c>
      <c r="AC400" s="2" t="str">
        <f>IF(Source!$C400&gt;=COLUMNS($A400:AC400), Source!$E400, "")</f>
        <v/>
      </c>
      <c r="AD400" s="2" t="str">
        <f>IF(Source!$C400&gt;=COLUMNS($A400:AD400), Source!$E400, "")</f>
        <v/>
      </c>
      <c r="AE400" s="2" t="str">
        <f>IF(Source!$C400&gt;=COLUMNS($A400:AE400), Source!$E400, "")</f>
        <v/>
      </c>
      <c r="AF400" s="2" t="str">
        <f>IF(Source!$C400&gt;=COLUMNS($A400:AF400), Source!$E400, "")</f>
        <v/>
      </c>
      <c r="AG400" s="2" t="str">
        <f>IF(Source!$C400&gt;=COLUMNS($A400:AG400), Source!$E400, "")</f>
        <v/>
      </c>
      <c r="AH400" s="2" t="str">
        <f>IF(Source!$C400&gt;=COLUMNS($A400:AH400), Source!$E400, "")</f>
        <v/>
      </c>
      <c r="AI400" s="2" t="str">
        <f>IF(Source!$C400&gt;=COLUMNS($A400:AI400), Source!$E400, "")</f>
        <v/>
      </c>
      <c r="AJ400" s="2" t="str">
        <f>IF(Source!$C400&gt;=COLUMNS($A400:AJ400), Source!$E400, "")</f>
        <v/>
      </c>
      <c r="AK400" s="2" t="str">
        <f>IF(Source!$C400&gt;=COLUMNS($A400:AK400), Source!$E400, "")</f>
        <v/>
      </c>
      <c r="AL400" s="2" t="str">
        <f>IF(Source!$C400&gt;=COLUMNS($A400:AL400), Source!$E400, "")</f>
        <v/>
      </c>
      <c r="AM400" s="2" t="str">
        <f>IF(Source!$C400&gt;=COLUMNS($A400:AM400), Source!$E400, "")</f>
        <v/>
      </c>
      <c r="AN400" s="2" t="str">
        <f>IF(Source!$C400&gt;=COLUMNS($A400:AN400), Source!$E400, "")</f>
        <v/>
      </c>
      <c r="AO400" s="2" t="str">
        <f>IF(Source!$C400&gt;=COLUMNS($A400:AO400), Source!$E400, "")</f>
        <v/>
      </c>
      <c r="AP400" s="2" t="str">
        <f>IF(Source!$C400&gt;=COLUMNS($A400:AP400), Source!$E400, "")</f>
        <v/>
      </c>
      <c r="AQ400" s="2" t="str">
        <f>IF(Source!$C400&gt;=COLUMNS($A400:AQ400), Source!$E400, "")</f>
        <v/>
      </c>
      <c r="AR400" s="2" t="str">
        <f>IF(Source!$C400&gt;=COLUMNS($A400:AR400), Source!$E400, "")</f>
        <v/>
      </c>
    </row>
    <row r="401">
      <c r="A401" s="2">
        <f>IF(Source!$C401&gt;=COLUMNS($A401:A401), Source!$E401, "")</f>
        <v>4</v>
      </c>
      <c r="B401" s="2" t="str">
        <f>IF(Source!$C401&gt;=COLUMNS($A401:B401), Source!$E401, "")</f>
        <v/>
      </c>
      <c r="C401" s="2" t="str">
        <f>IF(Source!$C401&gt;=COLUMNS($A401:C401), Source!$E401, "")</f>
        <v/>
      </c>
      <c r="D401" s="2" t="str">
        <f>IF(Source!$C401&gt;=COLUMNS($A401:D401), Source!$E401, "")</f>
        <v/>
      </c>
      <c r="E401" s="2" t="str">
        <f>IF(Source!$C401&gt;=COLUMNS($A401:E401), Source!$E401, "")</f>
        <v/>
      </c>
      <c r="F401" s="2" t="str">
        <f>IF(Source!$C401&gt;=COLUMNS($A401:F401), Source!$E401, "")</f>
        <v/>
      </c>
      <c r="G401" s="2" t="str">
        <f>IF(Source!$C401&gt;=COLUMNS($A401:G401), Source!$E401, "")</f>
        <v/>
      </c>
      <c r="H401" s="2" t="str">
        <f>IF(Source!$C401&gt;=COLUMNS($A401:H401), Source!$E401, "")</f>
        <v/>
      </c>
      <c r="I401" s="2" t="str">
        <f>IF(Source!$C401&gt;=COLUMNS($A401:I401), Source!$E401, "")</f>
        <v/>
      </c>
      <c r="J401" s="2" t="str">
        <f>IF(Source!$C401&gt;=COLUMNS($A401:J401), Source!$E401, "")</f>
        <v/>
      </c>
      <c r="K401" s="2" t="str">
        <f>IF(Source!$C401&gt;=COLUMNS($A401:K401), Source!$E401, "")</f>
        <v/>
      </c>
      <c r="L401" s="2" t="str">
        <f>IF(Source!$C401&gt;=COLUMNS($A401:L401), Source!$E401, "")</f>
        <v/>
      </c>
      <c r="M401" s="2" t="str">
        <f>IF(Source!$C401&gt;=COLUMNS($A401:M401), Source!$E401, "")</f>
        <v/>
      </c>
      <c r="N401" s="2" t="str">
        <f>IF(Source!$C401&gt;=COLUMNS($A401:N401), Source!$E401, "")</f>
        <v/>
      </c>
      <c r="O401" s="2" t="str">
        <f>IF(Source!$C401&gt;=COLUMNS($A401:O401), Source!$E401, "")</f>
        <v/>
      </c>
      <c r="P401" s="2" t="str">
        <f>IF(Source!$C401&gt;=COLUMNS($A401:P401), Source!$E401, "")</f>
        <v/>
      </c>
      <c r="Q401" s="2" t="str">
        <f>IF(Source!$C401&gt;=COLUMNS($A401:Q401), Source!$E401, "")</f>
        <v/>
      </c>
      <c r="R401" s="2" t="str">
        <f>IF(Source!$C401&gt;=COLUMNS($A401:R401), Source!$E401, "")</f>
        <v/>
      </c>
      <c r="S401" s="2" t="str">
        <f>IF(Source!$C401&gt;=COLUMNS($A401:S401), Source!$E401, "")</f>
        <v/>
      </c>
      <c r="T401" s="2" t="str">
        <f>IF(Source!$C401&gt;=COLUMNS($A401:T401), Source!$E401, "")</f>
        <v/>
      </c>
      <c r="U401" s="2" t="str">
        <f>IF(Source!$C401&gt;=COLUMNS($A401:U401), Source!$E401, "")</f>
        <v/>
      </c>
      <c r="V401" s="2" t="str">
        <f>IF(Source!$C401&gt;=COLUMNS($A401:V401), Source!$E401, "")</f>
        <v/>
      </c>
      <c r="W401" s="2" t="str">
        <f>IF(Source!$C401&gt;=COLUMNS($A401:W401), Source!$E401, "")</f>
        <v/>
      </c>
      <c r="X401" s="2" t="str">
        <f>IF(Source!$C401&gt;=COLUMNS($A401:X401), Source!$E401, "")</f>
        <v/>
      </c>
      <c r="Y401" s="2" t="str">
        <f>IF(Source!$C401&gt;=COLUMNS($A401:Y401), Source!$E401, "")</f>
        <v/>
      </c>
      <c r="Z401" s="2" t="str">
        <f>IF(Source!$C401&gt;=COLUMNS($A401:Z401), Source!$E401, "")</f>
        <v/>
      </c>
      <c r="AA401" s="2" t="str">
        <f>IF(Source!$C401&gt;=COLUMNS($A401:AA401), Source!$E401, "")</f>
        <v/>
      </c>
      <c r="AB401" s="2" t="str">
        <f>IF(Source!$C401&gt;=COLUMNS($A401:AB401), Source!$E401, "")</f>
        <v/>
      </c>
      <c r="AC401" s="2" t="str">
        <f>IF(Source!$C401&gt;=COLUMNS($A401:AC401), Source!$E401, "")</f>
        <v/>
      </c>
      <c r="AD401" s="2" t="str">
        <f>IF(Source!$C401&gt;=COLUMNS($A401:AD401), Source!$E401, "")</f>
        <v/>
      </c>
      <c r="AE401" s="2" t="str">
        <f>IF(Source!$C401&gt;=COLUMNS($A401:AE401), Source!$E401, "")</f>
        <v/>
      </c>
      <c r="AF401" s="2" t="str">
        <f>IF(Source!$C401&gt;=COLUMNS($A401:AF401), Source!$E401, "")</f>
        <v/>
      </c>
      <c r="AG401" s="2" t="str">
        <f>IF(Source!$C401&gt;=COLUMNS($A401:AG401), Source!$E401, "")</f>
        <v/>
      </c>
      <c r="AH401" s="2" t="str">
        <f>IF(Source!$C401&gt;=COLUMNS($A401:AH401), Source!$E401, "")</f>
        <v/>
      </c>
      <c r="AI401" s="2" t="str">
        <f>IF(Source!$C401&gt;=COLUMNS($A401:AI401), Source!$E401, "")</f>
        <v/>
      </c>
      <c r="AJ401" s="2" t="str">
        <f>IF(Source!$C401&gt;=COLUMNS($A401:AJ401), Source!$E401, "")</f>
        <v/>
      </c>
      <c r="AK401" s="2" t="str">
        <f>IF(Source!$C401&gt;=COLUMNS($A401:AK401), Source!$E401, "")</f>
        <v/>
      </c>
      <c r="AL401" s="2" t="str">
        <f>IF(Source!$C401&gt;=COLUMNS($A401:AL401), Source!$E401, "")</f>
        <v/>
      </c>
      <c r="AM401" s="2" t="str">
        <f>IF(Source!$C401&gt;=COLUMNS($A401:AM401), Source!$E401, "")</f>
        <v/>
      </c>
      <c r="AN401" s="2" t="str">
        <f>IF(Source!$C401&gt;=COLUMNS($A401:AN401), Source!$E401, "")</f>
        <v/>
      </c>
      <c r="AO401" s="2" t="str">
        <f>IF(Source!$C401&gt;=COLUMNS($A401:AO401), Source!$E401, "")</f>
        <v/>
      </c>
      <c r="AP401" s="2" t="str">
        <f>IF(Source!$C401&gt;=COLUMNS($A401:AP401), Source!$E401, "")</f>
        <v/>
      </c>
      <c r="AQ401" s="2" t="str">
        <f>IF(Source!$C401&gt;=COLUMNS($A401:AQ401), Source!$E401, "")</f>
        <v/>
      </c>
      <c r="AR401" s="2" t="str">
        <f>IF(Source!$C401&gt;=COLUMNS($A401:AR401), Source!$E401, "")</f>
        <v/>
      </c>
    </row>
    <row r="402">
      <c r="A402" s="2">
        <f>IF(Source!$C402&gt;=COLUMNS($A402:A402), Source!$E402, "")</f>
        <v>3</v>
      </c>
      <c r="B402" s="2" t="str">
        <f>IF(Source!$C402&gt;=COLUMNS($A402:B402), Source!$E402, "")</f>
        <v/>
      </c>
      <c r="C402" s="2" t="str">
        <f>IF(Source!$C402&gt;=COLUMNS($A402:C402), Source!$E402, "")</f>
        <v/>
      </c>
      <c r="D402" s="2" t="str">
        <f>IF(Source!$C402&gt;=COLUMNS($A402:D402), Source!$E402, "")</f>
        <v/>
      </c>
      <c r="E402" s="2" t="str">
        <f>IF(Source!$C402&gt;=COLUMNS($A402:E402), Source!$E402, "")</f>
        <v/>
      </c>
      <c r="F402" s="2" t="str">
        <f>IF(Source!$C402&gt;=COLUMNS($A402:F402), Source!$E402, "")</f>
        <v/>
      </c>
      <c r="G402" s="2" t="str">
        <f>IF(Source!$C402&gt;=COLUMNS($A402:G402), Source!$E402, "")</f>
        <v/>
      </c>
      <c r="H402" s="2" t="str">
        <f>IF(Source!$C402&gt;=COLUMNS($A402:H402), Source!$E402, "")</f>
        <v/>
      </c>
      <c r="I402" s="2" t="str">
        <f>IF(Source!$C402&gt;=COLUMNS($A402:I402), Source!$E402, "")</f>
        <v/>
      </c>
      <c r="J402" s="2" t="str">
        <f>IF(Source!$C402&gt;=COLUMNS($A402:J402), Source!$E402, "")</f>
        <v/>
      </c>
      <c r="K402" s="2" t="str">
        <f>IF(Source!$C402&gt;=COLUMNS($A402:K402), Source!$E402, "")</f>
        <v/>
      </c>
      <c r="L402" s="2" t="str">
        <f>IF(Source!$C402&gt;=COLUMNS($A402:L402), Source!$E402, "")</f>
        <v/>
      </c>
      <c r="M402" s="2" t="str">
        <f>IF(Source!$C402&gt;=COLUMNS($A402:M402), Source!$E402, "")</f>
        <v/>
      </c>
      <c r="N402" s="2" t="str">
        <f>IF(Source!$C402&gt;=COLUMNS($A402:N402), Source!$E402, "")</f>
        <v/>
      </c>
      <c r="O402" s="2" t="str">
        <f>IF(Source!$C402&gt;=COLUMNS($A402:O402), Source!$E402, "")</f>
        <v/>
      </c>
      <c r="P402" s="2" t="str">
        <f>IF(Source!$C402&gt;=COLUMNS($A402:P402), Source!$E402, "")</f>
        <v/>
      </c>
      <c r="Q402" s="2" t="str">
        <f>IF(Source!$C402&gt;=COLUMNS($A402:Q402), Source!$E402, "")</f>
        <v/>
      </c>
      <c r="R402" s="2" t="str">
        <f>IF(Source!$C402&gt;=COLUMNS($A402:R402), Source!$E402, "")</f>
        <v/>
      </c>
      <c r="S402" s="2" t="str">
        <f>IF(Source!$C402&gt;=COLUMNS($A402:S402), Source!$E402, "")</f>
        <v/>
      </c>
      <c r="T402" s="2" t="str">
        <f>IF(Source!$C402&gt;=COLUMNS($A402:T402), Source!$E402, "")</f>
        <v/>
      </c>
      <c r="U402" s="2" t="str">
        <f>IF(Source!$C402&gt;=COLUMNS($A402:U402), Source!$E402, "")</f>
        <v/>
      </c>
      <c r="V402" s="2" t="str">
        <f>IF(Source!$C402&gt;=COLUMNS($A402:V402), Source!$E402, "")</f>
        <v/>
      </c>
      <c r="W402" s="2" t="str">
        <f>IF(Source!$C402&gt;=COLUMNS($A402:W402), Source!$E402, "")</f>
        <v/>
      </c>
      <c r="X402" s="2" t="str">
        <f>IF(Source!$C402&gt;=COLUMNS($A402:X402), Source!$E402, "")</f>
        <v/>
      </c>
      <c r="Y402" s="2" t="str">
        <f>IF(Source!$C402&gt;=COLUMNS($A402:Y402), Source!$E402, "")</f>
        <v/>
      </c>
      <c r="Z402" s="2" t="str">
        <f>IF(Source!$C402&gt;=COLUMNS($A402:Z402), Source!$E402, "")</f>
        <v/>
      </c>
      <c r="AA402" s="2" t="str">
        <f>IF(Source!$C402&gt;=COLUMNS($A402:AA402), Source!$E402, "")</f>
        <v/>
      </c>
      <c r="AB402" s="2" t="str">
        <f>IF(Source!$C402&gt;=COLUMNS($A402:AB402), Source!$E402, "")</f>
        <v/>
      </c>
      <c r="AC402" s="2" t="str">
        <f>IF(Source!$C402&gt;=COLUMNS($A402:AC402), Source!$E402, "")</f>
        <v/>
      </c>
      <c r="AD402" s="2" t="str">
        <f>IF(Source!$C402&gt;=COLUMNS($A402:AD402), Source!$E402, "")</f>
        <v/>
      </c>
      <c r="AE402" s="2" t="str">
        <f>IF(Source!$C402&gt;=COLUMNS($A402:AE402), Source!$E402, "")</f>
        <v/>
      </c>
      <c r="AF402" s="2" t="str">
        <f>IF(Source!$C402&gt;=COLUMNS($A402:AF402), Source!$E402, "")</f>
        <v/>
      </c>
      <c r="AG402" s="2" t="str">
        <f>IF(Source!$C402&gt;=COLUMNS($A402:AG402), Source!$E402, "")</f>
        <v/>
      </c>
      <c r="AH402" s="2" t="str">
        <f>IF(Source!$C402&gt;=COLUMNS($A402:AH402), Source!$E402, "")</f>
        <v/>
      </c>
      <c r="AI402" s="2" t="str">
        <f>IF(Source!$C402&gt;=COLUMNS($A402:AI402), Source!$E402, "")</f>
        <v/>
      </c>
      <c r="AJ402" s="2" t="str">
        <f>IF(Source!$C402&gt;=COLUMNS($A402:AJ402), Source!$E402, "")</f>
        <v/>
      </c>
      <c r="AK402" s="2" t="str">
        <f>IF(Source!$C402&gt;=COLUMNS($A402:AK402), Source!$E402, "")</f>
        <v/>
      </c>
      <c r="AL402" s="2" t="str">
        <f>IF(Source!$C402&gt;=COLUMNS($A402:AL402), Source!$E402, "")</f>
        <v/>
      </c>
      <c r="AM402" s="2" t="str">
        <f>IF(Source!$C402&gt;=COLUMNS($A402:AM402), Source!$E402, "")</f>
        <v/>
      </c>
      <c r="AN402" s="2" t="str">
        <f>IF(Source!$C402&gt;=COLUMNS($A402:AN402), Source!$E402, "")</f>
        <v/>
      </c>
      <c r="AO402" s="2" t="str">
        <f>IF(Source!$C402&gt;=COLUMNS($A402:AO402), Source!$E402, "")</f>
        <v/>
      </c>
      <c r="AP402" s="2" t="str">
        <f>IF(Source!$C402&gt;=COLUMNS($A402:AP402), Source!$E402, "")</f>
        <v/>
      </c>
      <c r="AQ402" s="2" t="str">
        <f>IF(Source!$C402&gt;=COLUMNS($A402:AQ402), Source!$E402, "")</f>
        <v/>
      </c>
      <c r="AR402" s="2" t="str">
        <f>IF(Source!$C402&gt;=COLUMNS($A402:AR402), Source!$E402, "")</f>
        <v/>
      </c>
    </row>
    <row r="403">
      <c r="A403" s="2">
        <f>IF(Source!$C403&gt;=COLUMNS($A403:A403), Source!$E403, "")</f>
        <v>5</v>
      </c>
      <c r="B403" s="2" t="str">
        <f>IF(Source!$C403&gt;=COLUMNS($A403:B403), Source!$E403, "")</f>
        <v/>
      </c>
      <c r="C403" s="2" t="str">
        <f>IF(Source!$C403&gt;=COLUMNS($A403:C403), Source!$E403, "")</f>
        <v/>
      </c>
      <c r="D403" s="2" t="str">
        <f>IF(Source!$C403&gt;=COLUMNS($A403:D403), Source!$E403, "")</f>
        <v/>
      </c>
      <c r="E403" s="2" t="str">
        <f>IF(Source!$C403&gt;=COLUMNS($A403:E403), Source!$E403, "")</f>
        <v/>
      </c>
      <c r="F403" s="2" t="str">
        <f>IF(Source!$C403&gt;=COLUMNS($A403:F403), Source!$E403, "")</f>
        <v/>
      </c>
      <c r="G403" s="2" t="str">
        <f>IF(Source!$C403&gt;=COLUMNS($A403:G403), Source!$E403, "")</f>
        <v/>
      </c>
      <c r="H403" s="2" t="str">
        <f>IF(Source!$C403&gt;=COLUMNS($A403:H403), Source!$E403, "")</f>
        <v/>
      </c>
      <c r="I403" s="2" t="str">
        <f>IF(Source!$C403&gt;=COLUMNS($A403:I403), Source!$E403, "")</f>
        <v/>
      </c>
      <c r="J403" s="2" t="str">
        <f>IF(Source!$C403&gt;=COLUMNS($A403:J403), Source!$E403, "")</f>
        <v/>
      </c>
      <c r="K403" s="2" t="str">
        <f>IF(Source!$C403&gt;=COLUMNS($A403:K403), Source!$E403, "")</f>
        <v/>
      </c>
      <c r="L403" s="2" t="str">
        <f>IF(Source!$C403&gt;=COLUMNS($A403:L403), Source!$E403, "")</f>
        <v/>
      </c>
      <c r="M403" s="2" t="str">
        <f>IF(Source!$C403&gt;=COLUMNS($A403:M403), Source!$E403, "")</f>
        <v/>
      </c>
      <c r="N403" s="2" t="str">
        <f>IF(Source!$C403&gt;=COLUMNS($A403:N403), Source!$E403, "")</f>
        <v/>
      </c>
      <c r="O403" s="2" t="str">
        <f>IF(Source!$C403&gt;=COLUMNS($A403:O403), Source!$E403, "")</f>
        <v/>
      </c>
      <c r="P403" s="2" t="str">
        <f>IF(Source!$C403&gt;=COLUMNS($A403:P403), Source!$E403, "")</f>
        <v/>
      </c>
      <c r="Q403" s="2" t="str">
        <f>IF(Source!$C403&gt;=COLUMNS($A403:Q403), Source!$E403, "")</f>
        <v/>
      </c>
      <c r="R403" s="2" t="str">
        <f>IF(Source!$C403&gt;=COLUMNS($A403:R403), Source!$E403, "")</f>
        <v/>
      </c>
      <c r="S403" s="2" t="str">
        <f>IF(Source!$C403&gt;=COLUMNS($A403:S403), Source!$E403, "")</f>
        <v/>
      </c>
      <c r="T403" s="2" t="str">
        <f>IF(Source!$C403&gt;=COLUMNS($A403:T403), Source!$E403, "")</f>
        <v/>
      </c>
      <c r="U403" s="2" t="str">
        <f>IF(Source!$C403&gt;=COLUMNS($A403:U403), Source!$E403, "")</f>
        <v/>
      </c>
      <c r="V403" s="2" t="str">
        <f>IF(Source!$C403&gt;=COLUMNS($A403:V403), Source!$E403, "")</f>
        <v/>
      </c>
      <c r="W403" s="2" t="str">
        <f>IF(Source!$C403&gt;=COLUMNS($A403:W403), Source!$E403, "")</f>
        <v/>
      </c>
      <c r="X403" s="2" t="str">
        <f>IF(Source!$C403&gt;=COLUMNS($A403:X403), Source!$E403, "")</f>
        <v/>
      </c>
      <c r="Y403" s="2" t="str">
        <f>IF(Source!$C403&gt;=COLUMNS($A403:Y403), Source!$E403, "")</f>
        <v/>
      </c>
      <c r="Z403" s="2" t="str">
        <f>IF(Source!$C403&gt;=COLUMNS($A403:Z403), Source!$E403, "")</f>
        <v/>
      </c>
      <c r="AA403" s="2" t="str">
        <f>IF(Source!$C403&gt;=COLUMNS($A403:AA403), Source!$E403, "")</f>
        <v/>
      </c>
      <c r="AB403" s="2" t="str">
        <f>IF(Source!$C403&gt;=COLUMNS($A403:AB403), Source!$E403, "")</f>
        <v/>
      </c>
      <c r="AC403" s="2" t="str">
        <f>IF(Source!$C403&gt;=COLUMNS($A403:AC403), Source!$E403, "")</f>
        <v/>
      </c>
      <c r="AD403" s="2" t="str">
        <f>IF(Source!$C403&gt;=COLUMNS($A403:AD403), Source!$E403, "")</f>
        <v/>
      </c>
      <c r="AE403" s="2" t="str">
        <f>IF(Source!$C403&gt;=COLUMNS($A403:AE403), Source!$E403, "")</f>
        <v/>
      </c>
      <c r="AF403" s="2" t="str">
        <f>IF(Source!$C403&gt;=COLUMNS($A403:AF403), Source!$E403, "")</f>
        <v/>
      </c>
      <c r="AG403" s="2" t="str">
        <f>IF(Source!$C403&gt;=COLUMNS($A403:AG403), Source!$E403, "")</f>
        <v/>
      </c>
      <c r="AH403" s="2" t="str">
        <f>IF(Source!$C403&gt;=COLUMNS($A403:AH403), Source!$E403, "")</f>
        <v/>
      </c>
      <c r="AI403" s="2" t="str">
        <f>IF(Source!$C403&gt;=COLUMNS($A403:AI403), Source!$E403, "")</f>
        <v/>
      </c>
      <c r="AJ403" s="2" t="str">
        <f>IF(Source!$C403&gt;=COLUMNS($A403:AJ403), Source!$E403, "")</f>
        <v/>
      </c>
      <c r="AK403" s="2" t="str">
        <f>IF(Source!$C403&gt;=COLUMNS($A403:AK403), Source!$E403, "")</f>
        <v/>
      </c>
      <c r="AL403" s="2" t="str">
        <f>IF(Source!$C403&gt;=COLUMNS($A403:AL403), Source!$E403, "")</f>
        <v/>
      </c>
      <c r="AM403" s="2" t="str">
        <f>IF(Source!$C403&gt;=COLUMNS($A403:AM403), Source!$E403, "")</f>
        <v/>
      </c>
      <c r="AN403" s="2" t="str">
        <f>IF(Source!$C403&gt;=COLUMNS($A403:AN403), Source!$E403, "")</f>
        <v/>
      </c>
      <c r="AO403" s="2" t="str">
        <f>IF(Source!$C403&gt;=COLUMNS($A403:AO403), Source!$E403, "")</f>
        <v/>
      </c>
      <c r="AP403" s="2" t="str">
        <f>IF(Source!$C403&gt;=COLUMNS($A403:AP403), Source!$E403, "")</f>
        <v/>
      </c>
      <c r="AQ403" s="2" t="str">
        <f>IF(Source!$C403&gt;=COLUMNS($A403:AQ403), Source!$E403, "")</f>
        <v/>
      </c>
      <c r="AR403" s="2" t="str">
        <f>IF(Source!$C403&gt;=COLUMNS($A403:AR403), Source!$E403, "")</f>
        <v/>
      </c>
    </row>
    <row r="404">
      <c r="A404" s="2">
        <f>IF(Source!$C404&gt;=COLUMNS($A404:A404), Source!$E404, "")</f>
        <v>1</v>
      </c>
      <c r="B404" s="2">
        <f>IF(Source!$C404&gt;=COLUMNS($A404:B404), Source!$E404, "")</f>
        <v>1</v>
      </c>
      <c r="C404" s="2">
        <f>IF(Source!$C404&gt;=COLUMNS($A404:C404), Source!$E404, "")</f>
        <v>1</v>
      </c>
      <c r="D404" s="2">
        <f>IF(Source!$C404&gt;=COLUMNS($A404:D404), Source!$E404, "")</f>
        <v>1</v>
      </c>
      <c r="E404" s="2" t="str">
        <f>IF(Source!$C404&gt;=COLUMNS($A404:E404), Source!$E404, "")</f>
        <v/>
      </c>
      <c r="F404" s="2" t="str">
        <f>IF(Source!$C404&gt;=COLUMNS($A404:F404), Source!$E404, "")</f>
        <v/>
      </c>
      <c r="G404" s="2" t="str">
        <f>IF(Source!$C404&gt;=COLUMNS($A404:G404), Source!$E404, "")</f>
        <v/>
      </c>
      <c r="H404" s="2" t="str">
        <f>IF(Source!$C404&gt;=COLUMNS($A404:H404), Source!$E404, "")</f>
        <v/>
      </c>
      <c r="I404" s="2" t="str">
        <f>IF(Source!$C404&gt;=COLUMNS($A404:I404), Source!$E404, "")</f>
        <v/>
      </c>
      <c r="J404" s="2" t="str">
        <f>IF(Source!$C404&gt;=COLUMNS($A404:J404), Source!$E404, "")</f>
        <v/>
      </c>
      <c r="K404" s="2" t="str">
        <f>IF(Source!$C404&gt;=COLUMNS($A404:K404), Source!$E404, "")</f>
        <v/>
      </c>
      <c r="L404" s="2" t="str">
        <f>IF(Source!$C404&gt;=COLUMNS($A404:L404), Source!$E404, "")</f>
        <v/>
      </c>
      <c r="M404" s="2" t="str">
        <f>IF(Source!$C404&gt;=COLUMNS($A404:M404), Source!$E404, "")</f>
        <v/>
      </c>
      <c r="N404" s="2" t="str">
        <f>IF(Source!$C404&gt;=COLUMNS($A404:N404), Source!$E404, "")</f>
        <v/>
      </c>
      <c r="O404" s="2" t="str">
        <f>IF(Source!$C404&gt;=COLUMNS($A404:O404), Source!$E404, "")</f>
        <v/>
      </c>
      <c r="P404" s="2" t="str">
        <f>IF(Source!$C404&gt;=COLUMNS($A404:P404), Source!$E404, "")</f>
        <v/>
      </c>
      <c r="Q404" s="2" t="str">
        <f>IF(Source!$C404&gt;=COLUMNS($A404:Q404), Source!$E404, "")</f>
        <v/>
      </c>
      <c r="R404" s="2" t="str">
        <f>IF(Source!$C404&gt;=COLUMNS($A404:R404), Source!$E404, "")</f>
        <v/>
      </c>
      <c r="S404" s="2" t="str">
        <f>IF(Source!$C404&gt;=COLUMNS($A404:S404), Source!$E404, "")</f>
        <v/>
      </c>
      <c r="T404" s="2" t="str">
        <f>IF(Source!$C404&gt;=COLUMNS($A404:T404), Source!$E404, "")</f>
        <v/>
      </c>
      <c r="U404" s="2" t="str">
        <f>IF(Source!$C404&gt;=COLUMNS($A404:U404), Source!$E404, "")</f>
        <v/>
      </c>
      <c r="V404" s="2" t="str">
        <f>IF(Source!$C404&gt;=COLUMNS($A404:V404), Source!$E404, "")</f>
        <v/>
      </c>
      <c r="W404" s="2" t="str">
        <f>IF(Source!$C404&gt;=COLUMNS($A404:W404), Source!$E404, "")</f>
        <v/>
      </c>
      <c r="X404" s="2" t="str">
        <f>IF(Source!$C404&gt;=COLUMNS($A404:X404), Source!$E404, "")</f>
        <v/>
      </c>
      <c r="Y404" s="2" t="str">
        <f>IF(Source!$C404&gt;=COLUMNS($A404:Y404), Source!$E404, "")</f>
        <v/>
      </c>
      <c r="Z404" s="2" t="str">
        <f>IF(Source!$C404&gt;=COLUMNS($A404:Z404), Source!$E404, "")</f>
        <v/>
      </c>
      <c r="AA404" s="2" t="str">
        <f>IF(Source!$C404&gt;=COLUMNS($A404:AA404), Source!$E404, "")</f>
        <v/>
      </c>
      <c r="AB404" s="2" t="str">
        <f>IF(Source!$C404&gt;=COLUMNS($A404:AB404), Source!$E404, "")</f>
        <v/>
      </c>
      <c r="AC404" s="2" t="str">
        <f>IF(Source!$C404&gt;=COLUMNS($A404:AC404), Source!$E404, "")</f>
        <v/>
      </c>
      <c r="AD404" s="2" t="str">
        <f>IF(Source!$C404&gt;=COLUMNS($A404:AD404), Source!$E404, "")</f>
        <v/>
      </c>
      <c r="AE404" s="2" t="str">
        <f>IF(Source!$C404&gt;=COLUMNS($A404:AE404), Source!$E404, "")</f>
        <v/>
      </c>
      <c r="AF404" s="2" t="str">
        <f>IF(Source!$C404&gt;=COLUMNS($A404:AF404), Source!$E404, "")</f>
        <v/>
      </c>
      <c r="AG404" s="2" t="str">
        <f>IF(Source!$C404&gt;=COLUMNS($A404:AG404), Source!$E404, "")</f>
        <v/>
      </c>
      <c r="AH404" s="2" t="str">
        <f>IF(Source!$C404&gt;=COLUMNS($A404:AH404), Source!$E404, "")</f>
        <v/>
      </c>
      <c r="AI404" s="2" t="str">
        <f>IF(Source!$C404&gt;=COLUMNS($A404:AI404), Source!$E404, "")</f>
        <v/>
      </c>
      <c r="AJ404" s="2" t="str">
        <f>IF(Source!$C404&gt;=COLUMNS($A404:AJ404), Source!$E404, "")</f>
        <v/>
      </c>
      <c r="AK404" s="2" t="str">
        <f>IF(Source!$C404&gt;=COLUMNS($A404:AK404), Source!$E404, "")</f>
        <v/>
      </c>
      <c r="AL404" s="2" t="str">
        <f>IF(Source!$C404&gt;=COLUMNS($A404:AL404), Source!$E404, "")</f>
        <v/>
      </c>
      <c r="AM404" s="2" t="str">
        <f>IF(Source!$C404&gt;=COLUMNS($A404:AM404), Source!$E404, "")</f>
        <v/>
      </c>
      <c r="AN404" s="2" t="str">
        <f>IF(Source!$C404&gt;=COLUMNS($A404:AN404), Source!$E404, "")</f>
        <v/>
      </c>
      <c r="AO404" s="2" t="str">
        <f>IF(Source!$C404&gt;=COLUMNS($A404:AO404), Source!$E404, "")</f>
        <v/>
      </c>
      <c r="AP404" s="2" t="str">
        <f>IF(Source!$C404&gt;=COLUMNS($A404:AP404), Source!$E404, "")</f>
        <v/>
      </c>
      <c r="AQ404" s="2" t="str">
        <f>IF(Source!$C404&gt;=COLUMNS($A404:AQ404), Source!$E404, "")</f>
        <v/>
      </c>
      <c r="AR404" s="2" t="str">
        <f>IF(Source!$C404&gt;=COLUMNS($A404:AR404), Source!$E404, "")</f>
        <v/>
      </c>
    </row>
    <row r="405">
      <c r="A405" s="2">
        <f>IF(Source!$C405&gt;=COLUMNS($A405:A405), Source!$E405, "")</f>
        <v>1</v>
      </c>
      <c r="B405" s="2">
        <f>IF(Source!$C405&gt;=COLUMNS($A405:B405), Source!$E405, "")</f>
        <v>1</v>
      </c>
      <c r="C405" s="2">
        <f>IF(Source!$C405&gt;=COLUMNS($A405:C405), Source!$E405, "")</f>
        <v>1</v>
      </c>
      <c r="D405" s="2">
        <f>IF(Source!$C405&gt;=COLUMNS($A405:D405), Source!$E405, "")</f>
        <v>1</v>
      </c>
      <c r="E405" s="2">
        <f>IF(Source!$C405&gt;=COLUMNS($A405:E405), Source!$E405, "")</f>
        <v>1</v>
      </c>
      <c r="F405" s="2">
        <f>IF(Source!$C405&gt;=COLUMNS($A405:F405), Source!$E405, "")</f>
        <v>1</v>
      </c>
      <c r="G405" s="2" t="str">
        <f>IF(Source!$C405&gt;=COLUMNS($A405:G405), Source!$E405, "")</f>
        <v/>
      </c>
      <c r="H405" s="2" t="str">
        <f>IF(Source!$C405&gt;=COLUMNS($A405:H405), Source!$E405, "")</f>
        <v/>
      </c>
      <c r="I405" s="2" t="str">
        <f>IF(Source!$C405&gt;=COLUMNS($A405:I405), Source!$E405, "")</f>
        <v/>
      </c>
      <c r="J405" s="2" t="str">
        <f>IF(Source!$C405&gt;=COLUMNS($A405:J405), Source!$E405, "")</f>
        <v/>
      </c>
      <c r="K405" s="2" t="str">
        <f>IF(Source!$C405&gt;=COLUMNS($A405:K405), Source!$E405, "")</f>
        <v/>
      </c>
      <c r="L405" s="2" t="str">
        <f>IF(Source!$C405&gt;=COLUMNS($A405:L405), Source!$E405, "")</f>
        <v/>
      </c>
      <c r="M405" s="2" t="str">
        <f>IF(Source!$C405&gt;=COLUMNS($A405:M405), Source!$E405, "")</f>
        <v/>
      </c>
      <c r="N405" s="2" t="str">
        <f>IF(Source!$C405&gt;=COLUMNS($A405:N405), Source!$E405, "")</f>
        <v/>
      </c>
      <c r="O405" s="2" t="str">
        <f>IF(Source!$C405&gt;=COLUMNS($A405:O405), Source!$E405, "")</f>
        <v/>
      </c>
      <c r="P405" s="2" t="str">
        <f>IF(Source!$C405&gt;=COLUMNS($A405:P405), Source!$E405, "")</f>
        <v/>
      </c>
      <c r="Q405" s="2" t="str">
        <f>IF(Source!$C405&gt;=COLUMNS($A405:Q405), Source!$E405, "")</f>
        <v/>
      </c>
      <c r="R405" s="2" t="str">
        <f>IF(Source!$C405&gt;=COLUMNS($A405:R405), Source!$E405, "")</f>
        <v/>
      </c>
      <c r="S405" s="2" t="str">
        <f>IF(Source!$C405&gt;=COLUMNS($A405:S405), Source!$E405, "")</f>
        <v/>
      </c>
      <c r="T405" s="2" t="str">
        <f>IF(Source!$C405&gt;=COLUMNS($A405:T405), Source!$E405, "")</f>
        <v/>
      </c>
      <c r="U405" s="2" t="str">
        <f>IF(Source!$C405&gt;=COLUMNS($A405:U405), Source!$E405, "")</f>
        <v/>
      </c>
      <c r="V405" s="2" t="str">
        <f>IF(Source!$C405&gt;=COLUMNS($A405:V405), Source!$E405, "")</f>
        <v/>
      </c>
      <c r="W405" s="2" t="str">
        <f>IF(Source!$C405&gt;=COLUMNS($A405:W405), Source!$E405, "")</f>
        <v/>
      </c>
      <c r="X405" s="2" t="str">
        <f>IF(Source!$C405&gt;=COLUMNS($A405:X405), Source!$E405, "")</f>
        <v/>
      </c>
      <c r="Y405" s="2" t="str">
        <f>IF(Source!$C405&gt;=COLUMNS($A405:Y405), Source!$E405, "")</f>
        <v/>
      </c>
      <c r="Z405" s="2" t="str">
        <f>IF(Source!$C405&gt;=COLUMNS($A405:Z405), Source!$E405, "")</f>
        <v/>
      </c>
      <c r="AA405" s="2" t="str">
        <f>IF(Source!$C405&gt;=COLUMNS($A405:AA405), Source!$E405, "")</f>
        <v/>
      </c>
      <c r="AB405" s="2" t="str">
        <f>IF(Source!$C405&gt;=COLUMNS($A405:AB405), Source!$E405, "")</f>
        <v/>
      </c>
      <c r="AC405" s="2" t="str">
        <f>IF(Source!$C405&gt;=COLUMNS($A405:AC405), Source!$E405, "")</f>
        <v/>
      </c>
      <c r="AD405" s="2" t="str">
        <f>IF(Source!$C405&gt;=COLUMNS($A405:AD405), Source!$E405, "")</f>
        <v/>
      </c>
      <c r="AE405" s="2" t="str">
        <f>IF(Source!$C405&gt;=COLUMNS($A405:AE405), Source!$E405, "")</f>
        <v/>
      </c>
      <c r="AF405" s="2" t="str">
        <f>IF(Source!$C405&gt;=COLUMNS($A405:AF405), Source!$E405, "")</f>
        <v/>
      </c>
      <c r="AG405" s="2" t="str">
        <f>IF(Source!$C405&gt;=COLUMNS($A405:AG405), Source!$E405, "")</f>
        <v/>
      </c>
      <c r="AH405" s="2" t="str">
        <f>IF(Source!$C405&gt;=COLUMNS($A405:AH405), Source!$E405, "")</f>
        <v/>
      </c>
      <c r="AI405" s="2" t="str">
        <f>IF(Source!$C405&gt;=COLUMNS($A405:AI405), Source!$E405, "")</f>
        <v/>
      </c>
      <c r="AJ405" s="2" t="str">
        <f>IF(Source!$C405&gt;=COLUMNS($A405:AJ405), Source!$E405, "")</f>
        <v/>
      </c>
      <c r="AK405" s="2" t="str">
        <f>IF(Source!$C405&gt;=COLUMNS($A405:AK405), Source!$E405, "")</f>
        <v/>
      </c>
      <c r="AL405" s="2" t="str">
        <f>IF(Source!$C405&gt;=COLUMNS($A405:AL405), Source!$E405, "")</f>
        <v/>
      </c>
      <c r="AM405" s="2" t="str">
        <f>IF(Source!$C405&gt;=COLUMNS($A405:AM405), Source!$E405, "")</f>
        <v/>
      </c>
      <c r="AN405" s="2" t="str">
        <f>IF(Source!$C405&gt;=COLUMNS($A405:AN405), Source!$E405, "")</f>
        <v/>
      </c>
      <c r="AO405" s="2" t="str">
        <f>IF(Source!$C405&gt;=COLUMNS($A405:AO405), Source!$E405, "")</f>
        <v/>
      </c>
      <c r="AP405" s="2" t="str">
        <f>IF(Source!$C405&gt;=COLUMNS($A405:AP405), Source!$E405, "")</f>
        <v/>
      </c>
      <c r="AQ405" s="2" t="str">
        <f>IF(Source!$C405&gt;=COLUMNS($A405:AQ405), Source!$E405, "")</f>
        <v/>
      </c>
      <c r="AR405" s="2" t="str">
        <f>IF(Source!$C405&gt;=COLUMNS($A405:AR405), Source!$E405, "")</f>
        <v/>
      </c>
    </row>
    <row r="406">
      <c r="A406" s="2">
        <f>IF(Source!$C406&gt;=COLUMNS($A406:A406), Source!$E406, "")</f>
        <v>5</v>
      </c>
      <c r="B406" s="2">
        <f>IF(Source!$C406&gt;=COLUMNS($A406:B406), Source!$E406, "")</f>
        <v>5</v>
      </c>
      <c r="C406" s="2">
        <f>IF(Source!$C406&gt;=COLUMNS($A406:C406), Source!$E406, "")</f>
        <v>5</v>
      </c>
      <c r="D406" s="2">
        <f>IF(Source!$C406&gt;=COLUMNS($A406:D406), Source!$E406, "")</f>
        <v>5</v>
      </c>
      <c r="E406" s="2">
        <f>IF(Source!$C406&gt;=COLUMNS($A406:E406), Source!$E406, "")</f>
        <v>5</v>
      </c>
      <c r="F406" s="2">
        <f>IF(Source!$C406&gt;=COLUMNS($A406:F406), Source!$E406, "")</f>
        <v>5</v>
      </c>
      <c r="G406" s="2" t="str">
        <f>IF(Source!$C406&gt;=COLUMNS($A406:G406), Source!$E406, "")</f>
        <v/>
      </c>
      <c r="H406" s="2" t="str">
        <f>IF(Source!$C406&gt;=COLUMNS($A406:H406), Source!$E406, "")</f>
        <v/>
      </c>
      <c r="I406" s="2" t="str">
        <f>IF(Source!$C406&gt;=COLUMNS($A406:I406), Source!$E406, "")</f>
        <v/>
      </c>
      <c r="J406" s="2" t="str">
        <f>IF(Source!$C406&gt;=COLUMNS($A406:J406), Source!$E406, "")</f>
        <v/>
      </c>
      <c r="K406" s="2" t="str">
        <f>IF(Source!$C406&gt;=COLUMNS($A406:K406), Source!$E406, "")</f>
        <v/>
      </c>
      <c r="L406" s="2" t="str">
        <f>IF(Source!$C406&gt;=COLUMNS($A406:L406), Source!$E406, "")</f>
        <v/>
      </c>
      <c r="M406" s="2" t="str">
        <f>IF(Source!$C406&gt;=COLUMNS($A406:M406), Source!$E406, "")</f>
        <v/>
      </c>
      <c r="N406" s="2" t="str">
        <f>IF(Source!$C406&gt;=COLUMNS($A406:N406), Source!$E406, "")</f>
        <v/>
      </c>
      <c r="O406" s="2" t="str">
        <f>IF(Source!$C406&gt;=COLUMNS($A406:O406), Source!$E406, "")</f>
        <v/>
      </c>
      <c r="P406" s="2" t="str">
        <f>IF(Source!$C406&gt;=COLUMNS($A406:P406), Source!$E406, "")</f>
        <v/>
      </c>
      <c r="Q406" s="2" t="str">
        <f>IF(Source!$C406&gt;=COLUMNS($A406:Q406), Source!$E406, "")</f>
        <v/>
      </c>
      <c r="R406" s="2" t="str">
        <f>IF(Source!$C406&gt;=COLUMNS($A406:R406), Source!$E406, "")</f>
        <v/>
      </c>
      <c r="S406" s="2" t="str">
        <f>IF(Source!$C406&gt;=COLUMNS($A406:S406), Source!$E406, "")</f>
        <v/>
      </c>
      <c r="T406" s="2" t="str">
        <f>IF(Source!$C406&gt;=COLUMNS($A406:T406), Source!$E406, "")</f>
        <v/>
      </c>
      <c r="U406" s="2" t="str">
        <f>IF(Source!$C406&gt;=COLUMNS($A406:U406), Source!$E406, "")</f>
        <v/>
      </c>
      <c r="V406" s="2" t="str">
        <f>IF(Source!$C406&gt;=COLUMNS($A406:V406), Source!$E406, "")</f>
        <v/>
      </c>
      <c r="W406" s="2" t="str">
        <f>IF(Source!$C406&gt;=COLUMNS($A406:W406), Source!$E406, "")</f>
        <v/>
      </c>
      <c r="X406" s="2" t="str">
        <f>IF(Source!$C406&gt;=COLUMNS($A406:X406), Source!$E406, "")</f>
        <v/>
      </c>
      <c r="Y406" s="2" t="str">
        <f>IF(Source!$C406&gt;=COLUMNS($A406:Y406), Source!$E406, "")</f>
        <v/>
      </c>
      <c r="Z406" s="2" t="str">
        <f>IF(Source!$C406&gt;=COLUMNS($A406:Z406), Source!$E406, "")</f>
        <v/>
      </c>
      <c r="AA406" s="2" t="str">
        <f>IF(Source!$C406&gt;=COLUMNS($A406:AA406), Source!$E406, "")</f>
        <v/>
      </c>
      <c r="AB406" s="2" t="str">
        <f>IF(Source!$C406&gt;=COLUMNS($A406:AB406), Source!$E406, "")</f>
        <v/>
      </c>
      <c r="AC406" s="2" t="str">
        <f>IF(Source!$C406&gt;=COLUMNS($A406:AC406), Source!$E406, "")</f>
        <v/>
      </c>
      <c r="AD406" s="2" t="str">
        <f>IF(Source!$C406&gt;=COLUMNS($A406:AD406), Source!$E406, "")</f>
        <v/>
      </c>
      <c r="AE406" s="2" t="str">
        <f>IF(Source!$C406&gt;=COLUMNS($A406:AE406), Source!$E406, "")</f>
        <v/>
      </c>
      <c r="AF406" s="2" t="str">
        <f>IF(Source!$C406&gt;=COLUMNS($A406:AF406), Source!$E406, "")</f>
        <v/>
      </c>
      <c r="AG406" s="2" t="str">
        <f>IF(Source!$C406&gt;=COLUMNS($A406:AG406), Source!$E406, "")</f>
        <v/>
      </c>
      <c r="AH406" s="2" t="str">
        <f>IF(Source!$C406&gt;=COLUMNS($A406:AH406), Source!$E406, "")</f>
        <v/>
      </c>
      <c r="AI406" s="2" t="str">
        <f>IF(Source!$C406&gt;=COLUMNS($A406:AI406), Source!$E406, "")</f>
        <v/>
      </c>
      <c r="AJ406" s="2" t="str">
        <f>IF(Source!$C406&gt;=COLUMNS($A406:AJ406), Source!$E406, "")</f>
        <v/>
      </c>
      <c r="AK406" s="2" t="str">
        <f>IF(Source!$C406&gt;=COLUMNS($A406:AK406), Source!$E406, "")</f>
        <v/>
      </c>
      <c r="AL406" s="2" t="str">
        <f>IF(Source!$C406&gt;=COLUMNS($A406:AL406), Source!$E406, "")</f>
        <v/>
      </c>
      <c r="AM406" s="2" t="str">
        <f>IF(Source!$C406&gt;=COLUMNS($A406:AM406), Source!$E406, "")</f>
        <v/>
      </c>
      <c r="AN406" s="2" t="str">
        <f>IF(Source!$C406&gt;=COLUMNS($A406:AN406), Source!$E406, "")</f>
        <v/>
      </c>
      <c r="AO406" s="2" t="str">
        <f>IF(Source!$C406&gt;=COLUMNS($A406:AO406), Source!$E406, "")</f>
        <v/>
      </c>
      <c r="AP406" s="2" t="str">
        <f>IF(Source!$C406&gt;=COLUMNS($A406:AP406), Source!$E406, "")</f>
        <v/>
      </c>
      <c r="AQ406" s="2" t="str">
        <f>IF(Source!$C406&gt;=COLUMNS($A406:AQ406), Source!$E406, "")</f>
        <v/>
      </c>
      <c r="AR406" s="2" t="str">
        <f>IF(Source!$C406&gt;=COLUMNS($A406:AR406), Source!$E406, "")</f>
        <v/>
      </c>
    </row>
    <row r="407">
      <c r="A407" s="2">
        <f>IF(Source!$C407&gt;=COLUMNS($A407:A407), Source!$E407, "")</f>
        <v>7</v>
      </c>
      <c r="B407" s="2">
        <f>IF(Source!$C407&gt;=COLUMNS($A407:B407), Source!$E407, "")</f>
        <v>7</v>
      </c>
      <c r="C407" s="2">
        <f>IF(Source!$C407&gt;=COLUMNS($A407:C407), Source!$E407, "")</f>
        <v>7</v>
      </c>
      <c r="D407" s="2" t="str">
        <f>IF(Source!$C407&gt;=COLUMNS($A407:D407), Source!$E407, "")</f>
        <v/>
      </c>
      <c r="E407" s="2" t="str">
        <f>IF(Source!$C407&gt;=COLUMNS($A407:E407), Source!$E407, "")</f>
        <v/>
      </c>
      <c r="F407" s="2" t="str">
        <f>IF(Source!$C407&gt;=COLUMNS($A407:F407), Source!$E407, "")</f>
        <v/>
      </c>
      <c r="G407" s="2" t="str">
        <f>IF(Source!$C407&gt;=COLUMNS($A407:G407), Source!$E407, "")</f>
        <v/>
      </c>
      <c r="H407" s="2" t="str">
        <f>IF(Source!$C407&gt;=COLUMNS($A407:H407), Source!$E407, "")</f>
        <v/>
      </c>
      <c r="I407" s="2" t="str">
        <f>IF(Source!$C407&gt;=COLUMNS($A407:I407), Source!$E407, "")</f>
        <v/>
      </c>
      <c r="J407" s="2" t="str">
        <f>IF(Source!$C407&gt;=COLUMNS($A407:J407), Source!$E407, "")</f>
        <v/>
      </c>
      <c r="K407" s="2" t="str">
        <f>IF(Source!$C407&gt;=COLUMNS($A407:K407), Source!$E407, "")</f>
        <v/>
      </c>
      <c r="L407" s="2" t="str">
        <f>IF(Source!$C407&gt;=COLUMNS($A407:L407), Source!$E407, "")</f>
        <v/>
      </c>
      <c r="M407" s="2" t="str">
        <f>IF(Source!$C407&gt;=COLUMNS($A407:M407), Source!$E407, "")</f>
        <v/>
      </c>
      <c r="N407" s="2" t="str">
        <f>IF(Source!$C407&gt;=COLUMNS($A407:N407), Source!$E407, "")</f>
        <v/>
      </c>
      <c r="O407" s="2" t="str">
        <f>IF(Source!$C407&gt;=COLUMNS($A407:O407), Source!$E407, "")</f>
        <v/>
      </c>
      <c r="P407" s="2" t="str">
        <f>IF(Source!$C407&gt;=COLUMNS($A407:P407), Source!$E407, "")</f>
        <v/>
      </c>
      <c r="Q407" s="2" t="str">
        <f>IF(Source!$C407&gt;=COLUMNS($A407:Q407), Source!$E407, "")</f>
        <v/>
      </c>
      <c r="R407" s="2" t="str">
        <f>IF(Source!$C407&gt;=COLUMNS($A407:R407), Source!$E407, "")</f>
        <v/>
      </c>
      <c r="S407" s="2" t="str">
        <f>IF(Source!$C407&gt;=COLUMNS($A407:S407), Source!$E407, "")</f>
        <v/>
      </c>
      <c r="T407" s="2" t="str">
        <f>IF(Source!$C407&gt;=COLUMNS($A407:T407), Source!$E407, "")</f>
        <v/>
      </c>
      <c r="U407" s="2" t="str">
        <f>IF(Source!$C407&gt;=COLUMNS($A407:U407), Source!$E407, "")</f>
        <v/>
      </c>
      <c r="V407" s="2" t="str">
        <f>IF(Source!$C407&gt;=COLUMNS($A407:V407), Source!$E407, "")</f>
        <v/>
      </c>
      <c r="W407" s="2" t="str">
        <f>IF(Source!$C407&gt;=COLUMNS($A407:W407), Source!$E407, "")</f>
        <v/>
      </c>
      <c r="X407" s="2" t="str">
        <f>IF(Source!$C407&gt;=COLUMNS($A407:X407), Source!$E407, "")</f>
        <v/>
      </c>
      <c r="Y407" s="2" t="str">
        <f>IF(Source!$C407&gt;=COLUMNS($A407:Y407), Source!$E407, "")</f>
        <v/>
      </c>
      <c r="Z407" s="2" t="str">
        <f>IF(Source!$C407&gt;=COLUMNS($A407:Z407), Source!$E407, "")</f>
        <v/>
      </c>
      <c r="AA407" s="2" t="str">
        <f>IF(Source!$C407&gt;=COLUMNS($A407:AA407), Source!$E407, "")</f>
        <v/>
      </c>
      <c r="AB407" s="2" t="str">
        <f>IF(Source!$C407&gt;=COLUMNS($A407:AB407), Source!$E407, "")</f>
        <v/>
      </c>
      <c r="AC407" s="2" t="str">
        <f>IF(Source!$C407&gt;=COLUMNS($A407:AC407), Source!$E407, "")</f>
        <v/>
      </c>
      <c r="AD407" s="2" t="str">
        <f>IF(Source!$C407&gt;=COLUMNS($A407:AD407), Source!$E407, "")</f>
        <v/>
      </c>
      <c r="AE407" s="2" t="str">
        <f>IF(Source!$C407&gt;=COLUMNS($A407:AE407), Source!$E407, "")</f>
        <v/>
      </c>
      <c r="AF407" s="2" t="str">
        <f>IF(Source!$C407&gt;=COLUMNS($A407:AF407), Source!$E407, "")</f>
        <v/>
      </c>
      <c r="AG407" s="2" t="str">
        <f>IF(Source!$C407&gt;=COLUMNS($A407:AG407), Source!$E407, "")</f>
        <v/>
      </c>
      <c r="AH407" s="2" t="str">
        <f>IF(Source!$C407&gt;=COLUMNS($A407:AH407), Source!$E407, "")</f>
        <v/>
      </c>
      <c r="AI407" s="2" t="str">
        <f>IF(Source!$C407&gt;=COLUMNS($A407:AI407), Source!$E407, "")</f>
        <v/>
      </c>
      <c r="AJ407" s="2" t="str">
        <f>IF(Source!$C407&gt;=COLUMNS($A407:AJ407), Source!$E407, "")</f>
        <v/>
      </c>
      <c r="AK407" s="2" t="str">
        <f>IF(Source!$C407&gt;=COLUMNS($A407:AK407), Source!$E407, "")</f>
        <v/>
      </c>
      <c r="AL407" s="2" t="str">
        <f>IF(Source!$C407&gt;=COLUMNS($A407:AL407), Source!$E407, "")</f>
        <v/>
      </c>
      <c r="AM407" s="2" t="str">
        <f>IF(Source!$C407&gt;=COLUMNS($A407:AM407), Source!$E407, "")</f>
        <v/>
      </c>
      <c r="AN407" s="2" t="str">
        <f>IF(Source!$C407&gt;=COLUMNS($A407:AN407), Source!$E407, "")</f>
        <v/>
      </c>
      <c r="AO407" s="2" t="str">
        <f>IF(Source!$C407&gt;=COLUMNS($A407:AO407), Source!$E407, "")</f>
        <v/>
      </c>
      <c r="AP407" s="2" t="str">
        <f>IF(Source!$C407&gt;=COLUMNS($A407:AP407), Source!$E407, "")</f>
        <v/>
      </c>
      <c r="AQ407" s="2" t="str">
        <f>IF(Source!$C407&gt;=COLUMNS($A407:AQ407), Source!$E407, "")</f>
        <v/>
      </c>
      <c r="AR407" s="2" t="str">
        <f>IF(Source!$C407&gt;=COLUMNS($A407:AR407), Source!$E407, "")</f>
        <v/>
      </c>
    </row>
    <row r="408">
      <c r="A408" s="2">
        <f>IF(Source!$C408&gt;=COLUMNS($A408:A408), Source!$E408, "")</f>
        <v>6</v>
      </c>
      <c r="B408" s="2">
        <f>IF(Source!$C408&gt;=COLUMNS($A408:B408), Source!$E408, "")</f>
        <v>6</v>
      </c>
      <c r="C408" s="2">
        <f>IF(Source!$C408&gt;=COLUMNS($A408:C408), Source!$E408, "")</f>
        <v>6</v>
      </c>
      <c r="D408" s="2">
        <f>IF(Source!$C408&gt;=COLUMNS($A408:D408), Source!$E408, "")</f>
        <v>6</v>
      </c>
      <c r="E408" s="2">
        <f>IF(Source!$C408&gt;=COLUMNS($A408:E408), Source!$E408, "")</f>
        <v>6</v>
      </c>
      <c r="F408" s="2">
        <f>IF(Source!$C408&gt;=COLUMNS($A408:F408), Source!$E408, "")</f>
        <v>6</v>
      </c>
      <c r="G408" s="2">
        <f>IF(Source!$C408&gt;=COLUMNS($A408:G408), Source!$E408, "")</f>
        <v>6</v>
      </c>
      <c r="H408" s="2">
        <f>IF(Source!$C408&gt;=COLUMNS($A408:H408), Source!$E408, "")</f>
        <v>6</v>
      </c>
      <c r="I408" s="2">
        <f>IF(Source!$C408&gt;=COLUMNS($A408:I408), Source!$E408, "")</f>
        <v>6</v>
      </c>
      <c r="J408" s="2" t="str">
        <f>IF(Source!$C408&gt;=COLUMNS($A408:J408), Source!$E408, "")</f>
        <v/>
      </c>
      <c r="K408" s="2" t="str">
        <f>IF(Source!$C408&gt;=COLUMNS($A408:K408), Source!$E408, "")</f>
        <v/>
      </c>
      <c r="L408" s="2" t="str">
        <f>IF(Source!$C408&gt;=COLUMNS($A408:L408), Source!$E408, "")</f>
        <v/>
      </c>
      <c r="M408" s="2" t="str">
        <f>IF(Source!$C408&gt;=COLUMNS($A408:M408), Source!$E408, "")</f>
        <v/>
      </c>
      <c r="N408" s="2" t="str">
        <f>IF(Source!$C408&gt;=COLUMNS($A408:N408), Source!$E408, "")</f>
        <v/>
      </c>
      <c r="O408" s="2" t="str">
        <f>IF(Source!$C408&gt;=COLUMNS($A408:O408), Source!$E408, "")</f>
        <v/>
      </c>
      <c r="P408" s="2" t="str">
        <f>IF(Source!$C408&gt;=COLUMNS($A408:P408), Source!$E408, "")</f>
        <v/>
      </c>
      <c r="Q408" s="2" t="str">
        <f>IF(Source!$C408&gt;=COLUMNS($A408:Q408), Source!$E408, "")</f>
        <v/>
      </c>
      <c r="R408" s="2" t="str">
        <f>IF(Source!$C408&gt;=COLUMNS($A408:R408), Source!$E408, "")</f>
        <v/>
      </c>
      <c r="S408" s="2" t="str">
        <f>IF(Source!$C408&gt;=COLUMNS($A408:S408), Source!$E408, "")</f>
        <v/>
      </c>
      <c r="T408" s="2" t="str">
        <f>IF(Source!$C408&gt;=COLUMNS($A408:T408), Source!$E408, "")</f>
        <v/>
      </c>
      <c r="U408" s="2" t="str">
        <f>IF(Source!$C408&gt;=COLUMNS($A408:U408), Source!$E408, "")</f>
        <v/>
      </c>
      <c r="V408" s="2" t="str">
        <f>IF(Source!$C408&gt;=COLUMNS($A408:V408), Source!$E408, "")</f>
        <v/>
      </c>
      <c r="W408" s="2" t="str">
        <f>IF(Source!$C408&gt;=COLUMNS($A408:W408), Source!$E408, "")</f>
        <v/>
      </c>
      <c r="X408" s="2" t="str">
        <f>IF(Source!$C408&gt;=COLUMNS($A408:X408), Source!$E408, "")</f>
        <v/>
      </c>
      <c r="Y408" s="2" t="str">
        <f>IF(Source!$C408&gt;=COLUMNS($A408:Y408), Source!$E408, "")</f>
        <v/>
      </c>
      <c r="Z408" s="2" t="str">
        <f>IF(Source!$C408&gt;=COLUMNS($A408:Z408), Source!$E408, "")</f>
        <v/>
      </c>
      <c r="AA408" s="2" t="str">
        <f>IF(Source!$C408&gt;=COLUMNS($A408:AA408), Source!$E408, "")</f>
        <v/>
      </c>
      <c r="AB408" s="2" t="str">
        <f>IF(Source!$C408&gt;=COLUMNS($A408:AB408), Source!$E408, "")</f>
        <v/>
      </c>
      <c r="AC408" s="2" t="str">
        <f>IF(Source!$C408&gt;=COLUMNS($A408:AC408), Source!$E408, "")</f>
        <v/>
      </c>
      <c r="AD408" s="2" t="str">
        <f>IF(Source!$C408&gt;=COLUMNS($A408:AD408), Source!$E408, "")</f>
        <v/>
      </c>
      <c r="AE408" s="2" t="str">
        <f>IF(Source!$C408&gt;=COLUMNS($A408:AE408), Source!$E408, "")</f>
        <v/>
      </c>
      <c r="AF408" s="2" t="str">
        <f>IF(Source!$C408&gt;=COLUMNS($A408:AF408), Source!$E408, "")</f>
        <v/>
      </c>
      <c r="AG408" s="2" t="str">
        <f>IF(Source!$C408&gt;=COLUMNS($A408:AG408), Source!$E408, "")</f>
        <v/>
      </c>
      <c r="AH408" s="2" t="str">
        <f>IF(Source!$C408&gt;=COLUMNS($A408:AH408), Source!$E408, "")</f>
        <v/>
      </c>
      <c r="AI408" s="2" t="str">
        <f>IF(Source!$C408&gt;=COLUMNS($A408:AI408), Source!$E408, "")</f>
        <v/>
      </c>
      <c r="AJ408" s="2" t="str">
        <f>IF(Source!$C408&gt;=COLUMNS($A408:AJ408), Source!$E408, "")</f>
        <v/>
      </c>
      <c r="AK408" s="2" t="str">
        <f>IF(Source!$C408&gt;=COLUMNS($A408:AK408), Source!$E408, "")</f>
        <v/>
      </c>
      <c r="AL408" s="2" t="str">
        <f>IF(Source!$C408&gt;=COLUMNS($A408:AL408), Source!$E408, "")</f>
        <v/>
      </c>
      <c r="AM408" s="2" t="str">
        <f>IF(Source!$C408&gt;=COLUMNS($A408:AM408), Source!$E408, "")</f>
        <v/>
      </c>
      <c r="AN408" s="2" t="str">
        <f>IF(Source!$C408&gt;=COLUMNS($A408:AN408), Source!$E408, "")</f>
        <v/>
      </c>
      <c r="AO408" s="2" t="str">
        <f>IF(Source!$C408&gt;=COLUMNS($A408:AO408), Source!$E408, "")</f>
        <v/>
      </c>
      <c r="AP408" s="2" t="str">
        <f>IF(Source!$C408&gt;=COLUMNS($A408:AP408), Source!$E408, "")</f>
        <v/>
      </c>
      <c r="AQ408" s="2" t="str">
        <f>IF(Source!$C408&gt;=COLUMNS($A408:AQ408), Source!$E408, "")</f>
        <v/>
      </c>
      <c r="AR408" s="2" t="str">
        <f>IF(Source!$C408&gt;=COLUMNS($A408:AR408), Source!$E408, "")</f>
        <v/>
      </c>
    </row>
    <row r="409">
      <c r="A409" s="2">
        <f>IF(Source!$C409&gt;=COLUMNS($A409:A409), Source!$E409, "")</f>
        <v>5</v>
      </c>
      <c r="B409" s="2">
        <f>IF(Source!$C409&gt;=COLUMNS($A409:B409), Source!$E409, "")</f>
        <v>5</v>
      </c>
      <c r="C409" s="2">
        <f>IF(Source!$C409&gt;=COLUMNS($A409:C409), Source!$E409, "")</f>
        <v>5</v>
      </c>
      <c r="D409" s="2">
        <f>IF(Source!$C409&gt;=COLUMNS($A409:D409), Source!$E409, "")</f>
        <v>5</v>
      </c>
      <c r="E409" s="2">
        <f>IF(Source!$C409&gt;=COLUMNS($A409:E409), Source!$E409, "")</f>
        <v>5</v>
      </c>
      <c r="F409" s="2">
        <f>IF(Source!$C409&gt;=COLUMNS($A409:F409), Source!$E409, "")</f>
        <v>5</v>
      </c>
      <c r="G409" s="2">
        <f>IF(Source!$C409&gt;=COLUMNS($A409:G409), Source!$E409, "")</f>
        <v>5</v>
      </c>
      <c r="H409" s="2">
        <f>IF(Source!$C409&gt;=COLUMNS($A409:H409), Source!$E409, "")</f>
        <v>5</v>
      </c>
      <c r="I409" s="2" t="str">
        <f>IF(Source!$C409&gt;=COLUMNS($A409:I409), Source!$E409, "")</f>
        <v/>
      </c>
      <c r="J409" s="2" t="str">
        <f>IF(Source!$C409&gt;=COLUMNS($A409:J409), Source!$E409, "")</f>
        <v/>
      </c>
      <c r="K409" s="2" t="str">
        <f>IF(Source!$C409&gt;=COLUMNS($A409:K409), Source!$E409, "")</f>
        <v/>
      </c>
      <c r="L409" s="2" t="str">
        <f>IF(Source!$C409&gt;=COLUMNS($A409:L409), Source!$E409, "")</f>
        <v/>
      </c>
      <c r="M409" s="2" t="str">
        <f>IF(Source!$C409&gt;=COLUMNS($A409:M409), Source!$E409, "")</f>
        <v/>
      </c>
      <c r="N409" s="2" t="str">
        <f>IF(Source!$C409&gt;=COLUMNS($A409:N409), Source!$E409, "")</f>
        <v/>
      </c>
      <c r="O409" s="2" t="str">
        <f>IF(Source!$C409&gt;=COLUMNS($A409:O409), Source!$E409, "")</f>
        <v/>
      </c>
      <c r="P409" s="2" t="str">
        <f>IF(Source!$C409&gt;=COLUMNS($A409:P409), Source!$E409, "")</f>
        <v/>
      </c>
      <c r="Q409" s="2" t="str">
        <f>IF(Source!$C409&gt;=COLUMNS($A409:Q409), Source!$E409, "")</f>
        <v/>
      </c>
      <c r="R409" s="2" t="str">
        <f>IF(Source!$C409&gt;=COLUMNS($A409:R409), Source!$E409, "")</f>
        <v/>
      </c>
      <c r="S409" s="2" t="str">
        <f>IF(Source!$C409&gt;=COLUMNS($A409:S409), Source!$E409, "")</f>
        <v/>
      </c>
      <c r="T409" s="2" t="str">
        <f>IF(Source!$C409&gt;=COLUMNS($A409:T409), Source!$E409, "")</f>
        <v/>
      </c>
      <c r="U409" s="2" t="str">
        <f>IF(Source!$C409&gt;=COLUMNS($A409:U409), Source!$E409, "")</f>
        <v/>
      </c>
      <c r="V409" s="2" t="str">
        <f>IF(Source!$C409&gt;=COLUMNS($A409:V409), Source!$E409, "")</f>
        <v/>
      </c>
      <c r="W409" s="2" t="str">
        <f>IF(Source!$C409&gt;=COLUMNS($A409:W409), Source!$E409, "")</f>
        <v/>
      </c>
      <c r="X409" s="2" t="str">
        <f>IF(Source!$C409&gt;=COLUMNS($A409:X409), Source!$E409, "")</f>
        <v/>
      </c>
      <c r="Y409" s="2" t="str">
        <f>IF(Source!$C409&gt;=COLUMNS($A409:Y409), Source!$E409, "")</f>
        <v/>
      </c>
      <c r="Z409" s="2" t="str">
        <f>IF(Source!$C409&gt;=COLUMNS($A409:Z409), Source!$E409, "")</f>
        <v/>
      </c>
      <c r="AA409" s="2" t="str">
        <f>IF(Source!$C409&gt;=COLUMNS($A409:AA409), Source!$E409, "")</f>
        <v/>
      </c>
      <c r="AB409" s="2" t="str">
        <f>IF(Source!$C409&gt;=COLUMNS($A409:AB409), Source!$E409, "")</f>
        <v/>
      </c>
      <c r="AC409" s="2" t="str">
        <f>IF(Source!$C409&gt;=COLUMNS($A409:AC409), Source!$E409, "")</f>
        <v/>
      </c>
      <c r="AD409" s="2" t="str">
        <f>IF(Source!$C409&gt;=COLUMNS($A409:AD409), Source!$E409, "")</f>
        <v/>
      </c>
      <c r="AE409" s="2" t="str">
        <f>IF(Source!$C409&gt;=COLUMNS($A409:AE409), Source!$E409, "")</f>
        <v/>
      </c>
      <c r="AF409" s="2" t="str">
        <f>IF(Source!$C409&gt;=COLUMNS($A409:AF409), Source!$E409, "")</f>
        <v/>
      </c>
      <c r="AG409" s="2" t="str">
        <f>IF(Source!$C409&gt;=COLUMNS($A409:AG409), Source!$E409, "")</f>
        <v/>
      </c>
      <c r="AH409" s="2" t="str">
        <f>IF(Source!$C409&gt;=COLUMNS($A409:AH409), Source!$E409, "")</f>
        <v/>
      </c>
      <c r="AI409" s="2" t="str">
        <f>IF(Source!$C409&gt;=COLUMNS($A409:AI409), Source!$E409, "")</f>
        <v/>
      </c>
      <c r="AJ409" s="2" t="str">
        <f>IF(Source!$C409&gt;=COLUMNS($A409:AJ409), Source!$E409, "")</f>
        <v/>
      </c>
      <c r="AK409" s="2" t="str">
        <f>IF(Source!$C409&gt;=COLUMNS($A409:AK409), Source!$E409, "")</f>
        <v/>
      </c>
      <c r="AL409" s="2" t="str">
        <f>IF(Source!$C409&gt;=COLUMNS($A409:AL409), Source!$E409, "")</f>
        <v/>
      </c>
      <c r="AM409" s="2" t="str">
        <f>IF(Source!$C409&gt;=COLUMNS($A409:AM409), Source!$E409, "")</f>
        <v/>
      </c>
      <c r="AN409" s="2" t="str">
        <f>IF(Source!$C409&gt;=COLUMNS($A409:AN409), Source!$E409, "")</f>
        <v/>
      </c>
      <c r="AO409" s="2" t="str">
        <f>IF(Source!$C409&gt;=COLUMNS($A409:AO409), Source!$E409, "")</f>
        <v/>
      </c>
      <c r="AP409" s="2" t="str">
        <f>IF(Source!$C409&gt;=COLUMNS($A409:AP409), Source!$E409, "")</f>
        <v/>
      </c>
      <c r="AQ409" s="2" t="str">
        <f>IF(Source!$C409&gt;=COLUMNS($A409:AQ409), Source!$E409, "")</f>
        <v/>
      </c>
      <c r="AR409" s="2" t="str">
        <f>IF(Source!$C409&gt;=COLUMNS($A409:AR409), Source!$E409, "")</f>
        <v/>
      </c>
    </row>
    <row r="410">
      <c r="A410" s="2">
        <f>IF(Source!$C410&gt;=COLUMNS($A410:A410), Source!$E410, "")</f>
        <v>2</v>
      </c>
      <c r="B410" s="2">
        <f>IF(Source!$C410&gt;=COLUMNS($A410:B410), Source!$E410, "")</f>
        <v>2</v>
      </c>
      <c r="C410" s="2">
        <f>IF(Source!$C410&gt;=COLUMNS($A410:C410), Source!$E410, "")</f>
        <v>2</v>
      </c>
      <c r="D410" s="2">
        <f>IF(Source!$C410&gt;=COLUMNS($A410:D410), Source!$E410, "")</f>
        <v>2</v>
      </c>
      <c r="E410" s="2">
        <f>IF(Source!$C410&gt;=COLUMNS($A410:E410), Source!$E410, "")</f>
        <v>2</v>
      </c>
      <c r="F410" s="2">
        <f>IF(Source!$C410&gt;=COLUMNS($A410:F410), Source!$E410, "")</f>
        <v>2</v>
      </c>
      <c r="G410" s="2">
        <f>IF(Source!$C410&gt;=COLUMNS($A410:G410), Source!$E410, "")</f>
        <v>2</v>
      </c>
      <c r="H410" s="2" t="str">
        <f>IF(Source!$C410&gt;=COLUMNS($A410:H410), Source!$E410, "")</f>
        <v/>
      </c>
      <c r="I410" s="2" t="str">
        <f>IF(Source!$C410&gt;=COLUMNS($A410:I410), Source!$E410, "")</f>
        <v/>
      </c>
      <c r="J410" s="2" t="str">
        <f>IF(Source!$C410&gt;=COLUMNS($A410:J410), Source!$E410, "")</f>
        <v/>
      </c>
      <c r="K410" s="2" t="str">
        <f>IF(Source!$C410&gt;=COLUMNS($A410:K410), Source!$E410, "")</f>
        <v/>
      </c>
      <c r="L410" s="2" t="str">
        <f>IF(Source!$C410&gt;=COLUMNS($A410:L410), Source!$E410, "")</f>
        <v/>
      </c>
      <c r="M410" s="2" t="str">
        <f>IF(Source!$C410&gt;=COLUMNS($A410:M410), Source!$E410, "")</f>
        <v/>
      </c>
      <c r="N410" s="2" t="str">
        <f>IF(Source!$C410&gt;=COLUMNS($A410:N410), Source!$E410, "")</f>
        <v/>
      </c>
      <c r="O410" s="2" t="str">
        <f>IF(Source!$C410&gt;=COLUMNS($A410:O410), Source!$E410, "")</f>
        <v/>
      </c>
      <c r="P410" s="2" t="str">
        <f>IF(Source!$C410&gt;=COLUMNS($A410:P410), Source!$E410, "")</f>
        <v/>
      </c>
      <c r="Q410" s="2" t="str">
        <f>IF(Source!$C410&gt;=COLUMNS($A410:Q410), Source!$E410, "")</f>
        <v/>
      </c>
      <c r="R410" s="2" t="str">
        <f>IF(Source!$C410&gt;=COLUMNS($A410:R410), Source!$E410, "")</f>
        <v/>
      </c>
      <c r="S410" s="2" t="str">
        <f>IF(Source!$C410&gt;=COLUMNS($A410:S410), Source!$E410, "")</f>
        <v/>
      </c>
      <c r="T410" s="2" t="str">
        <f>IF(Source!$C410&gt;=COLUMNS($A410:T410), Source!$E410, "")</f>
        <v/>
      </c>
      <c r="U410" s="2" t="str">
        <f>IF(Source!$C410&gt;=COLUMNS($A410:U410), Source!$E410, "")</f>
        <v/>
      </c>
      <c r="V410" s="2" t="str">
        <f>IF(Source!$C410&gt;=COLUMNS($A410:V410), Source!$E410, "")</f>
        <v/>
      </c>
      <c r="W410" s="2" t="str">
        <f>IF(Source!$C410&gt;=COLUMNS($A410:W410), Source!$E410, "")</f>
        <v/>
      </c>
      <c r="X410" s="2" t="str">
        <f>IF(Source!$C410&gt;=COLUMNS($A410:X410), Source!$E410, "")</f>
        <v/>
      </c>
      <c r="Y410" s="2" t="str">
        <f>IF(Source!$C410&gt;=COLUMNS($A410:Y410), Source!$E410, "")</f>
        <v/>
      </c>
      <c r="Z410" s="2" t="str">
        <f>IF(Source!$C410&gt;=COLUMNS($A410:Z410), Source!$E410, "")</f>
        <v/>
      </c>
      <c r="AA410" s="2" t="str">
        <f>IF(Source!$C410&gt;=COLUMNS($A410:AA410), Source!$E410, "")</f>
        <v/>
      </c>
      <c r="AB410" s="2" t="str">
        <f>IF(Source!$C410&gt;=COLUMNS($A410:AB410), Source!$E410, "")</f>
        <v/>
      </c>
      <c r="AC410" s="2" t="str">
        <f>IF(Source!$C410&gt;=COLUMNS($A410:AC410), Source!$E410, "")</f>
        <v/>
      </c>
      <c r="AD410" s="2" t="str">
        <f>IF(Source!$C410&gt;=COLUMNS($A410:AD410), Source!$E410, "")</f>
        <v/>
      </c>
      <c r="AE410" s="2" t="str">
        <f>IF(Source!$C410&gt;=COLUMNS($A410:AE410), Source!$E410, "")</f>
        <v/>
      </c>
      <c r="AF410" s="2" t="str">
        <f>IF(Source!$C410&gt;=COLUMNS($A410:AF410), Source!$E410, "")</f>
        <v/>
      </c>
      <c r="AG410" s="2" t="str">
        <f>IF(Source!$C410&gt;=COLUMNS($A410:AG410), Source!$E410, "")</f>
        <v/>
      </c>
      <c r="AH410" s="2" t="str">
        <f>IF(Source!$C410&gt;=COLUMNS($A410:AH410), Source!$E410, "")</f>
        <v/>
      </c>
      <c r="AI410" s="2" t="str">
        <f>IF(Source!$C410&gt;=COLUMNS($A410:AI410), Source!$E410, "")</f>
        <v/>
      </c>
      <c r="AJ410" s="2" t="str">
        <f>IF(Source!$C410&gt;=COLUMNS($A410:AJ410), Source!$E410, "")</f>
        <v/>
      </c>
      <c r="AK410" s="2" t="str">
        <f>IF(Source!$C410&gt;=COLUMNS($A410:AK410), Source!$E410, "")</f>
        <v/>
      </c>
      <c r="AL410" s="2" t="str">
        <f>IF(Source!$C410&gt;=COLUMNS($A410:AL410), Source!$E410, "")</f>
        <v/>
      </c>
      <c r="AM410" s="2" t="str">
        <f>IF(Source!$C410&gt;=COLUMNS($A410:AM410), Source!$E410, "")</f>
        <v/>
      </c>
      <c r="AN410" s="2" t="str">
        <f>IF(Source!$C410&gt;=COLUMNS($A410:AN410), Source!$E410, "")</f>
        <v/>
      </c>
      <c r="AO410" s="2" t="str">
        <f>IF(Source!$C410&gt;=COLUMNS($A410:AO410), Source!$E410, "")</f>
        <v/>
      </c>
      <c r="AP410" s="2" t="str">
        <f>IF(Source!$C410&gt;=COLUMNS($A410:AP410), Source!$E410, "")</f>
        <v/>
      </c>
      <c r="AQ410" s="2" t="str">
        <f>IF(Source!$C410&gt;=COLUMNS($A410:AQ410), Source!$E410, "")</f>
        <v/>
      </c>
      <c r="AR410" s="2" t="str">
        <f>IF(Source!$C410&gt;=COLUMNS($A410:AR410), Source!$E410, "")</f>
        <v/>
      </c>
    </row>
    <row r="411">
      <c r="A411" s="2">
        <f>IF(Source!$C411&gt;=COLUMNS($A411:A411), Source!$E411, "")</f>
        <v>3</v>
      </c>
      <c r="B411" s="2" t="str">
        <f>IF(Source!$C411&gt;=COLUMNS($A411:B411), Source!$E411, "")</f>
        <v/>
      </c>
      <c r="C411" s="2" t="str">
        <f>IF(Source!$C411&gt;=COLUMNS($A411:C411), Source!$E411, "")</f>
        <v/>
      </c>
      <c r="D411" s="2" t="str">
        <f>IF(Source!$C411&gt;=COLUMNS($A411:D411), Source!$E411, "")</f>
        <v/>
      </c>
      <c r="E411" s="2" t="str">
        <f>IF(Source!$C411&gt;=COLUMNS($A411:E411), Source!$E411, "")</f>
        <v/>
      </c>
      <c r="F411" s="2" t="str">
        <f>IF(Source!$C411&gt;=COLUMNS($A411:F411), Source!$E411, "")</f>
        <v/>
      </c>
      <c r="G411" s="2" t="str">
        <f>IF(Source!$C411&gt;=COLUMNS($A411:G411), Source!$E411, "")</f>
        <v/>
      </c>
      <c r="H411" s="2" t="str">
        <f>IF(Source!$C411&gt;=COLUMNS($A411:H411), Source!$E411, "")</f>
        <v/>
      </c>
      <c r="I411" s="2" t="str">
        <f>IF(Source!$C411&gt;=COLUMNS($A411:I411), Source!$E411, "")</f>
        <v/>
      </c>
      <c r="J411" s="2" t="str">
        <f>IF(Source!$C411&gt;=COLUMNS($A411:J411), Source!$E411, "")</f>
        <v/>
      </c>
      <c r="K411" s="2" t="str">
        <f>IF(Source!$C411&gt;=COLUMNS($A411:K411), Source!$E411, "")</f>
        <v/>
      </c>
      <c r="L411" s="2" t="str">
        <f>IF(Source!$C411&gt;=COLUMNS($A411:L411), Source!$E411, "")</f>
        <v/>
      </c>
      <c r="M411" s="2" t="str">
        <f>IF(Source!$C411&gt;=COLUMNS($A411:M411), Source!$E411, "")</f>
        <v/>
      </c>
      <c r="N411" s="2" t="str">
        <f>IF(Source!$C411&gt;=COLUMNS($A411:N411), Source!$E411, "")</f>
        <v/>
      </c>
      <c r="O411" s="2" t="str">
        <f>IF(Source!$C411&gt;=COLUMNS($A411:O411), Source!$E411, "")</f>
        <v/>
      </c>
      <c r="P411" s="2" t="str">
        <f>IF(Source!$C411&gt;=COLUMNS($A411:P411), Source!$E411, "")</f>
        <v/>
      </c>
      <c r="Q411" s="2" t="str">
        <f>IF(Source!$C411&gt;=COLUMNS($A411:Q411), Source!$E411, "")</f>
        <v/>
      </c>
      <c r="R411" s="2" t="str">
        <f>IF(Source!$C411&gt;=COLUMNS($A411:R411), Source!$E411, "")</f>
        <v/>
      </c>
      <c r="S411" s="2" t="str">
        <f>IF(Source!$C411&gt;=COLUMNS($A411:S411), Source!$E411, "")</f>
        <v/>
      </c>
      <c r="T411" s="2" t="str">
        <f>IF(Source!$C411&gt;=COLUMNS($A411:T411), Source!$E411, "")</f>
        <v/>
      </c>
      <c r="U411" s="2" t="str">
        <f>IF(Source!$C411&gt;=COLUMNS($A411:U411), Source!$E411, "")</f>
        <v/>
      </c>
      <c r="V411" s="2" t="str">
        <f>IF(Source!$C411&gt;=COLUMNS($A411:V411), Source!$E411, "")</f>
        <v/>
      </c>
      <c r="W411" s="2" t="str">
        <f>IF(Source!$C411&gt;=COLUMNS($A411:W411), Source!$E411, "")</f>
        <v/>
      </c>
      <c r="X411" s="2" t="str">
        <f>IF(Source!$C411&gt;=COLUMNS($A411:X411), Source!$E411, "")</f>
        <v/>
      </c>
      <c r="Y411" s="2" t="str">
        <f>IF(Source!$C411&gt;=COLUMNS($A411:Y411), Source!$E411, "")</f>
        <v/>
      </c>
      <c r="Z411" s="2" t="str">
        <f>IF(Source!$C411&gt;=COLUMNS($A411:Z411), Source!$E411, "")</f>
        <v/>
      </c>
      <c r="AA411" s="2" t="str">
        <f>IF(Source!$C411&gt;=COLUMNS($A411:AA411), Source!$E411, "")</f>
        <v/>
      </c>
      <c r="AB411" s="2" t="str">
        <f>IF(Source!$C411&gt;=COLUMNS($A411:AB411), Source!$E411, "")</f>
        <v/>
      </c>
      <c r="AC411" s="2" t="str">
        <f>IF(Source!$C411&gt;=COLUMNS($A411:AC411), Source!$E411, "")</f>
        <v/>
      </c>
      <c r="AD411" s="2" t="str">
        <f>IF(Source!$C411&gt;=COLUMNS($A411:AD411), Source!$E411, "")</f>
        <v/>
      </c>
      <c r="AE411" s="2" t="str">
        <f>IF(Source!$C411&gt;=COLUMNS($A411:AE411), Source!$E411, "")</f>
        <v/>
      </c>
      <c r="AF411" s="2" t="str">
        <f>IF(Source!$C411&gt;=COLUMNS($A411:AF411), Source!$E411, "")</f>
        <v/>
      </c>
      <c r="AG411" s="2" t="str">
        <f>IF(Source!$C411&gt;=COLUMNS($A411:AG411), Source!$E411, "")</f>
        <v/>
      </c>
      <c r="AH411" s="2" t="str">
        <f>IF(Source!$C411&gt;=COLUMNS($A411:AH411), Source!$E411, "")</f>
        <v/>
      </c>
      <c r="AI411" s="2" t="str">
        <f>IF(Source!$C411&gt;=COLUMNS($A411:AI411), Source!$E411, "")</f>
        <v/>
      </c>
      <c r="AJ411" s="2" t="str">
        <f>IF(Source!$C411&gt;=COLUMNS($A411:AJ411), Source!$E411, "")</f>
        <v/>
      </c>
      <c r="AK411" s="2" t="str">
        <f>IF(Source!$C411&gt;=COLUMNS($A411:AK411), Source!$E411, "")</f>
        <v/>
      </c>
      <c r="AL411" s="2" t="str">
        <f>IF(Source!$C411&gt;=COLUMNS($A411:AL411), Source!$E411, "")</f>
        <v/>
      </c>
      <c r="AM411" s="2" t="str">
        <f>IF(Source!$C411&gt;=COLUMNS($A411:AM411), Source!$E411, "")</f>
        <v/>
      </c>
      <c r="AN411" s="2" t="str">
        <f>IF(Source!$C411&gt;=COLUMNS($A411:AN411), Source!$E411, "")</f>
        <v/>
      </c>
      <c r="AO411" s="2" t="str">
        <f>IF(Source!$C411&gt;=COLUMNS($A411:AO411), Source!$E411, "")</f>
        <v/>
      </c>
      <c r="AP411" s="2" t="str">
        <f>IF(Source!$C411&gt;=COLUMNS($A411:AP411), Source!$E411, "")</f>
        <v/>
      </c>
      <c r="AQ411" s="2" t="str">
        <f>IF(Source!$C411&gt;=COLUMNS($A411:AQ411), Source!$E411, "")</f>
        <v/>
      </c>
      <c r="AR411" s="2" t="str">
        <f>IF(Source!$C411&gt;=COLUMNS($A411:AR411), Source!$E411, "")</f>
        <v/>
      </c>
    </row>
    <row r="412">
      <c r="A412" s="2">
        <f>IF(Source!$C412&gt;=COLUMNS($A412:A412), Source!$E412, "")</f>
        <v>3</v>
      </c>
      <c r="B412" s="2">
        <f>IF(Source!$C412&gt;=COLUMNS($A412:B412), Source!$E412, "")</f>
        <v>3</v>
      </c>
      <c r="C412" s="2">
        <f>IF(Source!$C412&gt;=COLUMNS($A412:C412), Source!$E412, "")</f>
        <v>3</v>
      </c>
      <c r="D412" s="2">
        <f>IF(Source!$C412&gt;=COLUMNS($A412:D412), Source!$E412, "")</f>
        <v>3</v>
      </c>
      <c r="E412" s="2">
        <f>IF(Source!$C412&gt;=COLUMNS($A412:E412), Source!$E412, "")</f>
        <v>3</v>
      </c>
      <c r="F412" s="2">
        <f>IF(Source!$C412&gt;=COLUMNS($A412:F412), Source!$E412, "")</f>
        <v>3</v>
      </c>
      <c r="G412" s="2">
        <f>IF(Source!$C412&gt;=COLUMNS($A412:G412), Source!$E412, "")</f>
        <v>3</v>
      </c>
      <c r="H412" s="2" t="str">
        <f>IF(Source!$C412&gt;=COLUMNS($A412:H412), Source!$E412, "")</f>
        <v/>
      </c>
      <c r="I412" s="2" t="str">
        <f>IF(Source!$C412&gt;=COLUMNS($A412:I412), Source!$E412, "")</f>
        <v/>
      </c>
      <c r="J412" s="2" t="str">
        <f>IF(Source!$C412&gt;=COLUMNS($A412:J412), Source!$E412, "")</f>
        <v/>
      </c>
      <c r="K412" s="2" t="str">
        <f>IF(Source!$C412&gt;=COLUMNS($A412:K412), Source!$E412, "")</f>
        <v/>
      </c>
      <c r="L412" s="2" t="str">
        <f>IF(Source!$C412&gt;=COLUMNS($A412:L412), Source!$E412, "")</f>
        <v/>
      </c>
      <c r="M412" s="2" t="str">
        <f>IF(Source!$C412&gt;=COLUMNS($A412:M412), Source!$E412, "")</f>
        <v/>
      </c>
      <c r="N412" s="2" t="str">
        <f>IF(Source!$C412&gt;=COLUMNS($A412:N412), Source!$E412, "")</f>
        <v/>
      </c>
      <c r="O412" s="2" t="str">
        <f>IF(Source!$C412&gt;=COLUMNS($A412:O412), Source!$E412, "")</f>
        <v/>
      </c>
      <c r="P412" s="2" t="str">
        <f>IF(Source!$C412&gt;=COLUMNS($A412:P412), Source!$E412, "")</f>
        <v/>
      </c>
      <c r="Q412" s="2" t="str">
        <f>IF(Source!$C412&gt;=COLUMNS($A412:Q412), Source!$E412, "")</f>
        <v/>
      </c>
      <c r="R412" s="2" t="str">
        <f>IF(Source!$C412&gt;=COLUMNS($A412:R412), Source!$E412, "")</f>
        <v/>
      </c>
      <c r="S412" s="2" t="str">
        <f>IF(Source!$C412&gt;=COLUMNS($A412:S412), Source!$E412, "")</f>
        <v/>
      </c>
      <c r="T412" s="2" t="str">
        <f>IF(Source!$C412&gt;=COLUMNS($A412:T412), Source!$E412, "")</f>
        <v/>
      </c>
      <c r="U412" s="2" t="str">
        <f>IF(Source!$C412&gt;=COLUMNS($A412:U412), Source!$E412, "")</f>
        <v/>
      </c>
      <c r="V412" s="2" t="str">
        <f>IF(Source!$C412&gt;=COLUMNS($A412:V412), Source!$E412, "")</f>
        <v/>
      </c>
      <c r="W412" s="2" t="str">
        <f>IF(Source!$C412&gt;=COLUMNS($A412:W412), Source!$E412, "")</f>
        <v/>
      </c>
      <c r="X412" s="2" t="str">
        <f>IF(Source!$C412&gt;=COLUMNS($A412:X412), Source!$E412, "")</f>
        <v/>
      </c>
      <c r="Y412" s="2" t="str">
        <f>IF(Source!$C412&gt;=COLUMNS($A412:Y412), Source!$E412, "")</f>
        <v/>
      </c>
      <c r="Z412" s="2" t="str">
        <f>IF(Source!$C412&gt;=COLUMNS($A412:Z412), Source!$E412, "")</f>
        <v/>
      </c>
      <c r="AA412" s="2" t="str">
        <f>IF(Source!$C412&gt;=COLUMNS($A412:AA412), Source!$E412, "")</f>
        <v/>
      </c>
      <c r="AB412" s="2" t="str">
        <f>IF(Source!$C412&gt;=COLUMNS($A412:AB412), Source!$E412, "")</f>
        <v/>
      </c>
      <c r="AC412" s="2" t="str">
        <f>IF(Source!$C412&gt;=COLUMNS($A412:AC412), Source!$E412, "")</f>
        <v/>
      </c>
      <c r="AD412" s="2" t="str">
        <f>IF(Source!$C412&gt;=COLUMNS($A412:AD412), Source!$E412, "")</f>
        <v/>
      </c>
      <c r="AE412" s="2" t="str">
        <f>IF(Source!$C412&gt;=COLUMNS($A412:AE412), Source!$E412, "")</f>
        <v/>
      </c>
      <c r="AF412" s="2" t="str">
        <f>IF(Source!$C412&gt;=COLUMNS($A412:AF412), Source!$E412, "")</f>
        <v/>
      </c>
      <c r="AG412" s="2" t="str">
        <f>IF(Source!$C412&gt;=COLUMNS($A412:AG412), Source!$E412, "")</f>
        <v/>
      </c>
      <c r="AH412" s="2" t="str">
        <f>IF(Source!$C412&gt;=COLUMNS($A412:AH412), Source!$E412, "")</f>
        <v/>
      </c>
      <c r="AI412" s="2" t="str">
        <f>IF(Source!$C412&gt;=COLUMNS($A412:AI412), Source!$E412, "")</f>
        <v/>
      </c>
      <c r="AJ412" s="2" t="str">
        <f>IF(Source!$C412&gt;=COLUMNS($A412:AJ412), Source!$E412, "")</f>
        <v/>
      </c>
      <c r="AK412" s="2" t="str">
        <f>IF(Source!$C412&gt;=COLUMNS($A412:AK412), Source!$E412, "")</f>
        <v/>
      </c>
      <c r="AL412" s="2" t="str">
        <f>IF(Source!$C412&gt;=COLUMNS($A412:AL412), Source!$E412, "")</f>
        <v/>
      </c>
      <c r="AM412" s="2" t="str">
        <f>IF(Source!$C412&gt;=COLUMNS($A412:AM412), Source!$E412, "")</f>
        <v/>
      </c>
      <c r="AN412" s="2" t="str">
        <f>IF(Source!$C412&gt;=COLUMNS($A412:AN412), Source!$E412, "")</f>
        <v/>
      </c>
      <c r="AO412" s="2" t="str">
        <f>IF(Source!$C412&gt;=COLUMNS($A412:AO412), Source!$E412, "")</f>
        <v/>
      </c>
      <c r="AP412" s="2" t="str">
        <f>IF(Source!$C412&gt;=COLUMNS($A412:AP412), Source!$E412, "")</f>
        <v/>
      </c>
      <c r="AQ412" s="2" t="str">
        <f>IF(Source!$C412&gt;=COLUMNS($A412:AQ412), Source!$E412, "")</f>
        <v/>
      </c>
      <c r="AR412" s="2" t="str">
        <f>IF(Source!$C412&gt;=COLUMNS($A412:AR412), Source!$E412, "")</f>
        <v/>
      </c>
    </row>
    <row r="413">
      <c r="A413" s="2">
        <f>IF(Source!$C413&gt;=COLUMNS($A413:A413), Source!$E413, "")</f>
        <v>4</v>
      </c>
      <c r="B413" s="2">
        <f>IF(Source!$C413&gt;=COLUMNS($A413:B413), Source!$E413, "")</f>
        <v>4</v>
      </c>
      <c r="C413" s="2" t="str">
        <f>IF(Source!$C413&gt;=COLUMNS($A413:C413), Source!$E413, "")</f>
        <v/>
      </c>
      <c r="D413" s="2" t="str">
        <f>IF(Source!$C413&gt;=COLUMNS($A413:D413), Source!$E413, "")</f>
        <v/>
      </c>
      <c r="E413" s="2" t="str">
        <f>IF(Source!$C413&gt;=COLUMNS($A413:E413), Source!$E413, "")</f>
        <v/>
      </c>
      <c r="F413" s="2" t="str">
        <f>IF(Source!$C413&gt;=COLUMNS($A413:F413), Source!$E413, "")</f>
        <v/>
      </c>
      <c r="G413" s="2" t="str">
        <f>IF(Source!$C413&gt;=COLUMNS($A413:G413), Source!$E413, "")</f>
        <v/>
      </c>
      <c r="H413" s="2" t="str">
        <f>IF(Source!$C413&gt;=COLUMNS($A413:H413), Source!$E413, "")</f>
        <v/>
      </c>
      <c r="I413" s="2" t="str">
        <f>IF(Source!$C413&gt;=COLUMNS($A413:I413), Source!$E413, "")</f>
        <v/>
      </c>
      <c r="J413" s="2" t="str">
        <f>IF(Source!$C413&gt;=COLUMNS($A413:J413), Source!$E413, "")</f>
        <v/>
      </c>
      <c r="K413" s="2" t="str">
        <f>IF(Source!$C413&gt;=COLUMNS($A413:K413), Source!$E413, "")</f>
        <v/>
      </c>
      <c r="L413" s="2" t="str">
        <f>IF(Source!$C413&gt;=COLUMNS($A413:L413), Source!$E413, "")</f>
        <v/>
      </c>
      <c r="M413" s="2" t="str">
        <f>IF(Source!$C413&gt;=COLUMNS($A413:M413), Source!$E413, "")</f>
        <v/>
      </c>
      <c r="N413" s="2" t="str">
        <f>IF(Source!$C413&gt;=COLUMNS($A413:N413), Source!$E413, "")</f>
        <v/>
      </c>
      <c r="O413" s="2" t="str">
        <f>IF(Source!$C413&gt;=COLUMNS($A413:O413), Source!$E413, "")</f>
        <v/>
      </c>
      <c r="P413" s="2" t="str">
        <f>IF(Source!$C413&gt;=COLUMNS($A413:P413), Source!$E413, "")</f>
        <v/>
      </c>
      <c r="Q413" s="2" t="str">
        <f>IF(Source!$C413&gt;=COLUMNS($A413:Q413), Source!$E413, "")</f>
        <v/>
      </c>
      <c r="R413" s="2" t="str">
        <f>IF(Source!$C413&gt;=COLUMNS($A413:R413), Source!$E413, "")</f>
        <v/>
      </c>
      <c r="S413" s="2" t="str">
        <f>IF(Source!$C413&gt;=COLUMNS($A413:S413), Source!$E413, "")</f>
        <v/>
      </c>
      <c r="T413" s="2" t="str">
        <f>IF(Source!$C413&gt;=COLUMNS($A413:T413), Source!$E413, "")</f>
        <v/>
      </c>
      <c r="U413" s="2" t="str">
        <f>IF(Source!$C413&gt;=COLUMNS($A413:U413), Source!$E413, "")</f>
        <v/>
      </c>
      <c r="V413" s="2" t="str">
        <f>IF(Source!$C413&gt;=COLUMNS($A413:V413), Source!$E413, "")</f>
        <v/>
      </c>
      <c r="W413" s="2" t="str">
        <f>IF(Source!$C413&gt;=COLUMNS($A413:W413), Source!$E413, "")</f>
        <v/>
      </c>
      <c r="X413" s="2" t="str">
        <f>IF(Source!$C413&gt;=COLUMNS($A413:X413), Source!$E413, "")</f>
        <v/>
      </c>
      <c r="Y413" s="2" t="str">
        <f>IF(Source!$C413&gt;=COLUMNS($A413:Y413), Source!$E413, "")</f>
        <v/>
      </c>
      <c r="Z413" s="2" t="str">
        <f>IF(Source!$C413&gt;=COLUMNS($A413:Z413), Source!$E413, "")</f>
        <v/>
      </c>
      <c r="AA413" s="2" t="str">
        <f>IF(Source!$C413&gt;=COLUMNS($A413:AA413), Source!$E413, "")</f>
        <v/>
      </c>
      <c r="AB413" s="2" t="str">
        <f>IF(Source!$C413&gt;=COLUMNS($A413:AB413), Source!$E413, "")</f>
        <v/>
      </c>
      <c r="AC413" s="2" t="str">
        <f>IF(Source!$C413&gt;=COLUMNS($A413:AC413), Source!$E413, "")</f>
        <v/>
      </c>
      <c r="AD413" s="2" t="str">
        <f>IF(Source!$C413&gt;=COLUMNS($A413:AD413), Source!$E413, "")</f>
        <v/>
      </c>
      <c r="AE413" s="2" t="str">
        <f>IF(Source!$C413&gt;=COLUMNS($A413:AE413), Source!$E413, "")</f>
        <v/>
      </c>
      <c r="AF413" s="2" t="str">
        <f>IF(Source!$C413&gt;=COLUMNS($A413:AF413), Source!$E413, "")</f>
        <v/>
      </c>
      <c r="AG413" s="2" t="str">
        <f>IF(Source!$C413&gt;=COLUMNS($A413:AG413), Source!$E413, "")</f>
        <v/>
      </c>
      <c r="AH413" s="2" t="str">
        <f>IF(Source!$C413&gt;=COLUMNS($A413:AH413), Source!$E413, "")</f>
        <v/>
      </c>
      <c r="AI413" s="2" t="str">
        <f>IF(Source!$C413&gt;=COLUMNS($A413:AI413), Source!$E413, "")</f>
        <v/>
      </c>
      <c r="AJ413" s="2" t="str">
        <f>IF(Source!$C413&gt;=COLUMNS($A413:AJ413), Source!$E413, "")</f>
        <v/>
      </c>
      <c r="AK413" s="2" t="str">
        <f>IF(Source!$C413&gt;=COLUMNS($A413:AK413), Source!$E413, "")</f>
        <v/>
      </c>
      <c r="AL413" s="2" t="str">
        <f>IF(Source!$C413&gt;=COLUMNS($A413:AL413), Source!$E413, "")</f>
        <v/>
      </c>
      <c r="AM413" s="2" t="str">
        <f>IF(Source!$C413&gt;=COLUMNS($A413:AM413), Source!$E413, "")</f>
        <v/>
      </c>
      <c r="AN413" s="2" t="str">
        <f>IF(Source!$C413&gt;=COLUMNS($A413:AN413), Source!$E413, "")</f>
        <v/>
      </c>
      <c r="AO413" s="2" t="str">
        <f>IF(Source!$C413&gt;=COLUMNS($A413:AO413), Source!$E413, "")</f>
        <v/>
      </c>
      <c r="AP413" s="2" t="str">
        <f>IF(Source!$C413&gt;=COLUMNS($A413:AP413), Source!$E413, "")</f>
        <v/>
      </c>
      <c r="AQ413" s="2" t="str">
        <f>IF(Source!$C413&gt;=COLUMNS($A413:AQ413), Source!$E413, "")</f>
        <v/>
      </c>
      <c r="AR413" s="2" t="str">
        <f>IF(Source!$C413&gt;=COLUMNS($A413:AR413), Source!$E413, "")</f>
        <v/>
      </c>
    </row>
    <row r="414">
      <c r="A414" s="2">
        <f>IF(Source!$C414&gt;=COLUMNS($A414:A414), Source!$E414, "")</f>
        <v>2</v>
      </c>
      <c r="B414" s="2" t="str">
        <f>IF(Source!$C414&gt;=COLUMNS($A414:B414), Source!$E414, "")</f>
        <v/>
      </c>
      <c r="C414" s="2" t="str">
        <f>IF(Source!$C414&gt;=COLUMNS($A414:C414), Source!$E414, "")</f>
        <v/>
      </c>
      <c r="D414" s="2" t="str">
        <f>IF(Source!$C414&gt;=COLUMNS($A414:D414), Source!$E414, "")</f>
        <v/>
      </c>
      <c r="E414" s="2" t="str">
        <f>IF(Source!$C414&gt;=COLUMNS($A414:E414), Source!$E414, "")</f>
        <v/>
      </c>
      <c r="F414" s="2" t="str">
        <f>IF(Source!$C414&gt;=COLUMNS($A414:F414), Source!$E414, "")</f>
        <v/>
      </c>
      <c r="G414" s="2" t="str">
        <f>IF(Source!$C414&gt;=COLUMNS($A414:G414), Source!$E414, "")</f>
        <v/>
      </c>
      <c r="H414" s="2" t="str">
        <f>IF(Source!$C414&gt;=COLUMNS($A414:H414), Source!$E414, "")</f>
        <v/>
      </c>
      <c r="I414" s="2" t="str">
        <f>IF(Source!$C414&gt;=COLUMNS($A414:I414), Source!$E414, "")</f>
        <v/>
      </c>
      <c r="J414" s="2" t="str">
        <f>IF(Source!$C414&gt;=COLUMNS($A414:J414), Source!$E414, "")</f>
        <v/>
      </c>
      <c r="K414" s="2" t="str">
        <f>IF(Source!$C414&gt;=COLUMNS($A414:K414), Source!$E414, "")</f>
        <v/>
      </c>
      <c r="L414" s="2" t="str">
        <f>IF(Source!$C414&gt;=COLUMNS($A414:L414), Source!$E414, "")</f>
        <v/>
      </c>
      <c r="M414" s="2" t="str">
        <f>IF(Source!$C414&gt;=COLUMNS($A414:M414), Source!$E414, "")</f>
        <v/>
      </c>
      <c r="N414" s="2" t="str">
        <f>IF(Source!$C414&gt;=COLUMNS($A414:N414), Source!$E414, "")</f>
        <v/>
      </c>
      <c r="O414" s="2" t="str">
        <f>IF(Source!$C414&gt;=COLUMNS($A414:O414), Source!$E414, "")</f>
        <v/>
      </c>
      <c r="P414" s="2" t="str">
        <f>IF(Source!$C414&gt;=COLUMNS($A414:P414), Source!$E414, "")</f>
        <v/>
      </c>
      <c r="Q414" s="2" t="str">
        <f>IF(Source!$C414&gt;=COLUMNS($A414:Q414), Source!$E414, "")</f>
        <v/>
      </c>
      <c r="R414" s="2" t="str">
        <f>IF(Source!$C414&gt;=COLUMNS($A414:R414), Source!$E414, "")</f>
        <v/>
      </c>
      <c r="S414" s="2" t="str">
        <f>IF(Source!$C414&gt;=COLUMNS($A414:S414), Source!$E414, "")</f>
        <v/>
      </c>
      <c r="T414" s="2" t="str">
        <f>IF(Source!$C414&gt;=COLUMNS($A414:T414), Source!$E414, "")</f>
        <v/>
      </c>
      <c r="U414" s="2" t="str">
        <f>IF(Source!$C414&gt;=COLUMNS($A414:U414), Source!$E414, "")</f>
        <v/>
      </c>
      <c r="V414" s="2" t="str">
        <f>IF(Source!$C414&gt;=COLUMNS($A414:V414), Source!$E414, "")</f>
        <v/>
      </c>
      <c r="W414" s="2" t="str">
        <f>IF(Source!$C414&gt;=COLUMNS($A414:W414), Source!$E414, "")</f>
        <v/>
      </c>
      <c r="X414" s="2" t="str">
        <f>IF(Source!$C414&gt;=COLUMNS($A414:X414), Source!$E414, "")</f>
        <v/>
      </c>
      <c r="Y414" s="2" t="str">
        <f>IF(Source!$C414&gt;=COLUMNS($A414:Y414), Source!$E414, "")</f>
        <v/>
      </c>
      <c r="Z414" s="2" t="str">
        <f>IF(Source!$C414&gt;=COLUMNS($A414:Z414), Source!$E414, "")</f>
        <v/>
      </c>
      <c r="AA414" s="2" t="str">
        <f>IF(Source!$C414&gt;=COLUMNS($A414:AA414), Source!$E414, "")</f>
        <v/>
      </c>
      <c r="AB414" s="2" t="str">
        <f>IF(Source!$C414&gt;=COLUMNS($A414:AB414), Source!$E414, "")</f>
        <v/>
      </c>
      <c r="AC414" s="2" t="str">
        <f>IF(Source!$C414&gt;=COLUMNS($A414:AC414), Source!$E414, "")</f>
        <v/>
      </c>
      <c r="AD414" s="2" t="str">
        <f>IF(Source!$C414&gt;=COLUMNS($A414:AD414), Source!$E414, "")</f>
        <v/>
      </c>
      <c r="AE414" s="2" t="str">
        <f>IF(Source!$C414&gt;=COLUMNS($A414:AE414), Source!$E414, "")</f>
        <v/>
      </c>
      <c r="AF414" s="2" t="str">
        <f>IF(Source!$C414&gt;=COLUMNS($A414:AF414), Source!$E414, "")</f>
        <v/>
      </c>
      <c r="AG414" s="2" t="str">
        <f>IF(Source!$C414&gt;=COLUMNS($A414:AG414), Source!$E414, "")</f>
        <v/>
      </c>
      <c r="AH414" s="2" t="str">
        <f>IF(Source!$C414&gt;=COLUMNS($A414:AH414), Source!$E414, "")</f>
        <v/>
      </c>
      <c r="AI414" s="2" t="str">
        <f>IF(Source!$C414&gt;=COLUMNS($A414:AI414), Source!$E414, "")</f>
        <v/>
      </c>
      <c r="AJ414" s="2" t="str">
        <f>IF(Source!$C414&gt;=COLUMNS($A414:AJ414), Source!$E414, "")</f>
        <v/>
      </c>
      <c r="AK414" s="2" t="str">
        <f>IF(Source!$C414&gt;=COLUMNS($A414:AK414), Source!$E414, "")</f>
        <v/>
      </c>
      <c r="AL414" s="2" t="str">
        <f>IF(Source!$C414&gt;=COLUMNS($A414:AL414), Source!$E414, "")</f>
        <v/>
      </c>
      <c r="AM414" s="2" t="str">
        <f>IF(Source!$C414&gt;=COLUMNS($A414:AM414), Source!$E414, "")</f>
        <v/>
      </c>
      <c r="AN414" s="2" t="str">
        <f>IF(Source!$C414&gt;=COLUMNS($A414:AN414), Source!$E414, "")</f>
        <v/>
      </c>
      <c r="AO414" s="2" t="str">
        <f>IF(Source!$C414&gt;=COLUMNS($A414:AO414), Source!$E414, "")</f>
        <v/>
      </c>
      <c r="AP414" s="2" t="str">
        <f>IF(Source!$C414&gt;=COLUMNS($A414:AP414), Source!$E414, "")</f>
        <v/>
      </c>
      <c r="AQ414" s="2" t="str">
        <f>IF(Source!$C414&gt;=COLUMNS($A414:AQ414), Source!$E414, "")</f>
        <v/>
      </c>
      <c r="AR414" s="2" t="str">
        <f>IF(Source!$C414&gt;=COLUMNS($A414:AR414), Source!$E414, "")</f>
        <v/>
      </c>
    </row>
    <row r="415">
      <c r="A415" s="2">
        <f>IF(Source!$C415&gt;=COLUMNS($A415:A415), Source!$E415, "")</f>
        <v>1</v>
      </c>
      <c r="B415" s="2">
        <f>IF(Source!$C415&gt;=COLUMNS($A415:B415), Source!$E415, "")</f>
        <v>1</v>
      </c>
      <c r="C415" s="2" t="str">
        <f>IF(Source!$C415&gt;=COLUMNS($A415:C415), Source!$E415, "")</f>
        <v/>
      </c>
      <c r="D415" s="2" t="str">
        <f>IF(Source!$C415&gt;=COLUMNS($A415:D415), Source!$E415, "")</f>
        <v/>
      </c>
      <c r="E415" s="2" t="str">
        <f>IF(Source!$C415&gt;=COLUMNS($A415:E415), Source!$E415, "")</f>
        <v/>
      </c>
      <c r="F415" s="2" t="str">
        <f>IF(Source!$C415&gt;=COLUMNS($A415:F415), Source!$E415, "")</f>
        <v/>
      </c>
      <c r="G415" s="2" t="str">
        <f>IF(Source!$C415&gt;=COLUMNS($A415:G415), Source!$E415, "")</f>
        <v/>
      </c>
      <c r="H415" s="2" t="str">
        <f>IF(Source!$C415&gt;=COLUMNS($A415:H415), Source!$E415, "")</f>
        <v/>
      </c>
      <c r="I415" s="2" t="str">
        <f>IF(Source!$C415&gt;=COLUMNS($A415:I415), Source!$E415, "")</f>
        <v/>
      </c>
      <c r="J415" s="2" t="str">
        <f>IF(Source!$C415&gt;=COLUMNS($A415:J415), Source!$E415, "")</f>
        <v/>
      </c>
      <c r="K415" s="2" t="str">
        <f>IF(Source!$C415&gt;=COLUMNS($A415:K415), Source!$E415, "")</f>
        <v/>
      </c>
      <c r="L415" s="2" t="str">
        <f>IF(Source!$C415&gt;=COLUMNS($A415:L415), Source!$E415, "")</f>
        <v/>
      </c>
      <c r="M415" s="2" t="str">
        <f>IF(Source!$C415&gt;=COLUMNS($A415:M415), Source!$E415, "")</f>
        <v/>
      </c>
      <c r="N415" s="2" t="str">
        <f>IF(Source!$C415&gt;=COLUMNS($A415:N415), Source!$E415, "")</f>
        <v/>
      </c>
      <c r="O415" s="2" t="str">
        <f>IF(Source!$C415&gt;=COLUMNS($A415:O415), Source!$E415, "")</f>
        <v/>
      </c>
      <c r="P415" s="2" t="str">
        <f>IF(Source!$C415&gt;=COLUMNS($A415:P415), Source!$E415, "")</f>
        <v/>
      </c>
      <c r="Q415" s="2" t="str">
        <f>IF(Source!$C415&gt;=COLUMNS($A415:Q415), Source!$E415, "")</f>
        <v/>
      </c>
      <c r="R415" s="2" t="str">
        <f>IF(Source!$C415&gt;=COLUMNS($A415:R415), Source!$E415, "")</f>
        <v/>
      </c>
      <c r="S415" s="2" t="str">
        <f>IF(Source!$C415&gt;=COLUMNS($A415:S415), Source!$E415, "")</f>
        <v/>
      </c>
      <c r="T415" s="2" t="str">
        <f>IF(Source!$C415&gt;=COLUMNS($A415:T415), Source!$E415, "")</f>
        <v/>
      </c>
      <c r="U415" s="2" t="str">
        <f>IF(Source!$C415&gt;=COLUMNS($A415:U415), Source!$E415, "")</f>
        <v/>
      </c>
      <c r="V415" s="2" t="str">
        <f>IF(Source!$C415&gt;=COLUMNS($A415:V415), Source!$E415, "")</f>
        <v/>
      </c>
      <c r="W415" s="2" t="str">
        <f>IF(Source!$C415&gt;=COLUMNS($A415:W415), Source!$E415, "")</f>
        <v/>
      </c>
      <c r="X415" s="2" t="str">
        <f>IF(Source!$C415&gt;=COLUMNS($A415:X415), Source!$E415, "")</f>
        <v/>
      </c>
      <c r="Y415" s="2" t="str">
        <f>IF(Source!$C415&gt;=COLUMNS($A415:Y415), Source!$E415, "")</f>
        <v/>
      </c>
      <c r="Z415" s="2" t="str">
        <f>IF(Source!$C415&gt;=COLUMNS($A415:Z415), Source!$E415, "")</f>
        <v/>
      </c>
      <c r="AA415" s="2" t="str">
        <f>IF(Source!$C415&gt;=COLUMNS($A415:AA415), Source!$E415, "")</f>
        <v/>
      </c>
      <c r="AB415" s="2" t="str">
        <f>IF(Source!$C415&gt;=COLUMNS($A415:AB415), Source!$E415, "")</f>
        <v/>
      </c>
      <c r="AC415" s="2" t="str">
        <f>IF(Source!$C415&gt;=COLUMNS($A415:AC415), Source!$E415, "")</f>
        <v/>
      </c>
      <c r="AD415" s="2" t="str">
        <f>IF(Source!$C415&gt;=COLUMNS($A415:AD415), Source!$E415, "")</f>
        <v/>
      </c>
      <c r="AE415" s="2" t="str">
        <f>IF(Source!$C415&gt;=COLUMNS($A415:AE415), Source!$E415, "")</f>
        <v/>
      </c>
      <c r="AF415" s="2" t="str">
        <f>IF(Source!$C415&gt;=COLUMNS($A415:AF415), Source!$E415, "")</f>
        <v/>
      </c>
      <c r="AG415" s="2" t="str">
        <f>IF(Source!$C415&gt;=COLUMNS($A415:AG415), Source!$E415, "")</f>
        <v/>
      </c>
      <c r="AH415" s="2" t="str">
        <f>IF(Source!$C415&gt;=COLUMNS($A415:AH415), Source!$E415, "")</f>
        <v/>
      </c>
      <c r="AI415" s="2" t="str">
        <f>IF(Source!$C415&gt;=COLUMNS($A415:AI415), Source!$E415, "")</f>
        <v/>
      </c>
      <c r="AJ415" s="2" t="str">
        <f>IF(Source!$C415&gt;=COLUMNS($A415:AJ415), Source!$E415, "")</f>
        <v/>
      </c>
      <c r="AK415" s="2" t="str">
        <f>IF(Source!$C415&gt;=COLUMNS($A415:AK415), Source!$E415, "")</f>
        <v/>
      </c>
      <c r="AL415" s="2" t="str">
        <f>IF(Source!$C415&gt;=COLUMNS($A415:AL415), Source!$E415, "")</f>
        <v/>
      </c>
      <c r="AM415" s="2" t="str">
        <f>IF(Source!$C415&gt;=COLUMNS($A415:AM415), Source!$E415, "")</f>
        <v/>
      </c>
      <c r="AN415" s="2" t="str">
        <f>IF(Source!$C415&gt;=COLUMNS($A415:AN415), Source!$E415, "")</f>
        <v/>
      </c>
      <c r="AO415" s="2" t="str">
        <f>IF(Source!$C415&gt;=COLUMNS($A415:AO415), Source!$E415, "")</f>
        <v/>
      </c>
      <c r="AP415" s="2" t="str">
        <f>IF(Source!$C415&gt;=COLUMNS($A415:AP415), Source!$E415, "")</f>
        <v/>
      </c>
      <c r="AQ415" s="2" t="str">
        <f>IF(Source!$C415&gt;=COLUMNS($A415:AQ415), Source!$E415, "")</f>
        <v/>
      </c>
      <c r="AR415" s="2" t="str">
        <f>IF(Source!$C415&gt;=COLUMNS($A415:AR415), Source!$E415, "")</f>
        <v/>
      </c>
    </row>
    <row r="416">
      <c r="A416" s="2">
        <f>IF(Source!$C416&gt;=COLUMNS($A416:A416), Source!$E416, "")</f>
        <v>5</v>
      </c>
      <c r="B416" s="2">
        <f>IF(Source!$C416&gt;=COLUMNS($A416:B416), Source!$E416, "")</f>
        <v>5</v>
      </c>
      <c r="C416" s="2">
        <f>IF(Source!$C416&gt;=COLUMNS($A416:C416), Source!$E416, "")</f>
        <v>5</v>
      </c>
      <c r="D416" s="2">
        <f>IF(Source!$C416&gt;=COLUMNS($A416:D416), Source!$E416, "")</f>
        <v>5</v>
      </c>
      <c r="E416" s="2">
        <f>IF(Source!$C416&gt;=COLUMNS($A416:E416), Source!$E416, "")</f>
        <v>5</v>
      </c>
      <c r="F416" s="2">
        <f>IF(Source!$C416&gt;=COLUMNS($A416:F416), Source!$E416, "")</f>
        <v>5</v>
      </c>
      <c r="G416" s="2">
        <f>IF(Source!$C416&gt;=COLUMNS($A416:G416), Source!$E416, "")</f>
        <v>5</v>
      </c>
      <c r="H416" s="2">
        <f>IF(Source!$C416&gt;=COLUMNS($A416:H416), Source!$E416, "")</f>
        <v>5</v>
      </c>
      <c r="I416" s="2" t="str">
        <f>IF(Source!$C416&gt;=COLUMNS($A416:I416), Source!$E416, "")</f>
        <v/>
      </c>
      <c r="J416" s="2" t="str">
        <f>IF(Source!$C416&gt;=COLUMNS($A416:J416), Source!$E416, "")</f>
        <v/>
      </c>
      <c r="K416" s="2" t="str">
        <f>IF(Source!$C416&gt;=COLUMNS($A416:K416), Source!$E416, "")</f>
        <v/>
      </c>
      <c r="L416" s="2" t="str">
        <f>IF(Source!$C416&gt;=COLUMNS($A416:L416), Source!$E416, "")</f>
        <v/>
      </c>
      <c r="M416" s="2" t="str">
        <f>IF(Source!$C416&gt;=COLUMNS($A416:M416), Source!$E416, "")</f>
        <v/>
      </c>
      <c r="N416" s="2" t="str">
        <f>IF(Source!$C416&gt;=COLUMNS($A416:N416), Source!$E416, "")</f>
        <v/>
      </c>
      <c r="O416" s="2" t="str">
        <f>IF(Source!$C416&gt;=COLUMNS($A416:O416), Source!$E416, "")</f>
        <v/>
      </c>
      <c r="P416" s="2" t="str">
        <f>IF(Source!$C416&gt;=COLUMNS($A416:P416), Source!$E416, "")</f>
        <v/>
      </c>
      <c r="Q416" s="2" t="str">
        <f>IF(Source!$C416&gt;=COLUMNS($A416:Q416), Source!$E416, "")</f>
        <v/>
      </c>
      <c r="R416" s="2" t="str">
        <f>IF(Source!$C416&gt;=COLUMNS($A416:R416), Source!$E416, "")</f>
        <v/>
      </c>
      <c r="S416" s="2" t="str">
        <f>IF(Source!$C416&gt;=COLUMNS($A416:S416), Source!$E416, "")</f>
        <v/>
      </c>
      <c r="T416" s="2" t="str">
        <f>IF(Source!$C416&gt;=COLUMNS($A416:T416), Source!$E416, "")</f>
        <v/>
      </c>
      <c r="U416" s="2" t="str">
        <f>IF(Source!$C416&gt;=COLUMNS($A416:U416), Source!$E416, "")</f>
        <v/>
      </c>
      <c r="V416" s="2" t="str">
        <f>IF(Source!$C416&gt;=COLUMNS($A416:V416), Source!$E416, "")</f>
        <v/>
      </c>
      <c r="W416" s="2" t="str">
        <f>IF(Source!$C416&gt;=COLUMNS($A416:W416), Source!$E416, "")</f>
        <v/>
      </c>
      <c r="X416" s="2" t="str">
        <f>IF(Source!$C416&gt;=COLUMNS($A416:X416), Source!$E416, "")</f>
        <v/>
      </c>
      <c r="Y416" s="2" t="str">
        <f>IF(Source!$C416&gt;=COLUMNS($A416:Y416), Source!$E416, "")</f>
        <v/>
      </c>
      <c r="Z416" s="2" t="str">
        <f>IF(Source!$C416&gt;=COLUMNS($A416:Z416), Source!$E416, "")</f>
        <v/>
      </c>
      <c r="AA416" s="2" t="str">
        <f>IF(Source!$C416&gt;=COLUMNS($A416:AA416), Source!$E416, "")</f>
        <v/>
      </c>
      <c r="AB416" s="2" t="str">
        <f>IF(Source!$C416&gt;=COLUMNS($A416:AB416), Source!$E416, "")</f>
        <v/>
      </c>
      <c r="AC416" s="2" t="str">
        <f>IF(Source!$C416&gt;=COLUMNS($A416:AC416), Source!$E416, "")</f>
        <v/>
      </c>
      <c r="AD416" s="2" t="str">
        <f>IF(Source!$C416&gt;=COLUMNS($A416:AD416), Source!$E416, "")</f>
        <v/>
      </c>
      <c r="AE416" s="2" t="str">
        <f>IF(Source!$C416&gt;=COLUMNS($A416:AE416), Source!$E416, "")</f>
        <v/>
      </c>
      <c r="AF416" s="2" t="str">
        <f>IF(Source!$C416&gt;=COLUMNS($A416:AF416), Source!$E416, "")</f>
        <v/>
      </c>
      <c r="AG416" s="2" t="str">
        <f>IF(Source!$C416&gt;=COLUMNS($A416:AG416), Source!$E416, "")</f>
        <v/>
      </c>
      <c r="AH416" s="2" t="str">
        <f>IF(Source!$C416&gt;=COLUMNS($A416:AH416), Source!$E416, "")</f>
        <v/>
      </c>
      <c r="AI416" s="2" t="str">
        <f>IF(Source!$C416&gt;=COLUMNS($A416:AI416), Source!$E416, "")</f>
        <v/>
      </c>
      <c r="AJ416" s="2" t="str">
        <f>IF(Source!$C416&gt;=COLUMNS($A416:AJ416), Source!$E416, "")</f>
        <v/>
      </c>
      <c r="AK416" s="2" t="str">
        <f>IF(Source!$C416&gt;=COLUMNS($A416:AK416), Source!$E416, "")</f>
        <v/>
      </c>
      <c r="AL416" s="2" t="str">
        <f>IF(Source!$C416&gt;=COLUMNS($A416:AL416), Source!$E416, "")</f>
        <v/>
      </c>
      <c r="AM416" s="2" t="str">
        <f>IF(Source!$C416&gt;=COLUMNS($A416:AM416), Source!$E416, "")</f>
        <v/>
      </c>
      <c r="AN416" s="2" t="str">
        <f>IF(Source!$C416&gt;=COLUMNS($A416:AN416), Source!$E416, "")</f>
        <v/>
      </c>
      <c r="AO416" s="2" t="str">
        <f>IF(Source!$C416&gt;=COLUMNS($A416:AO416), Source!$E416, "")</f>
        <v/>
      </c>
      <c r="AP416" s="2" t="str">
        <f>IF(Source!$C416&gt;=COLUMNS($A416:AP416), Source!$E416, "")</f>
        <v/>
      </c>
      <c r="AQ416" s="2" t="str">
        <f>IF(Source!$C416&gt;=COLUMNS($A416:AQ416), Source!$E416, "")</f>
        <v/>
      </c>
      <c r="AR416" s="2" t="str">
        <f>IF(Source!$C416&gt;=COLUMNS($A416:AR416), Source!$E416, "")</f>
        <v/>
      </c>
    </row>
    <row r="417">
      <c r="A417" s="2">
        <f>IF(Source!$C417&gt;=COLUMNS($A417:A417), Source!$E417, "")</f>
        <v>1</v>
      </c>
      <c r="B417" s="2">
        <f>IF(Source!$C417&gt;=COLUMNS($A417:B417), Source!$E417, "")</f>
        <v>1</v>
      </c>
      <c r="C417" s="2">
        <f>IF(Source!$C417&gt;=COLUMNS($A417:C417), Source!$E417, "")</f>
        <v>1</v>
      </c>
      <c r="D417" s="2" t="str">
        <f>IF(Source!$C417&gt;=COLUMNS($A417:D417), Source!$E417, "")</f>
        <v/>
      </c>
      <c r="E417" s="2" t="str">
        <f>IF(Source!$C417&gt;=COLUMNS($A417:E417), Source!$E417, "")</f>
        <v/>
      </c>
      <c r="F417" s="2" t="str">
        <f>IF(Source!$C417&gt;=COLUMNS($A417:F417), Source!$E417, "")</f>
        <v/>
      </c>
      <c r="G417" s="2" t="str">
        <f>IF(Source!$C417&gt;=COLUMNS($A417:G417), Source!$E417, "")</f>
        <v/>
      </c>
      <c r="H417" s="2" t="str">
        <f>IF(Source!$C417&gt;=COLUMNS($A417:H417), Source!$E417, "")</f>
        <v/>
      </c>
      <c r="I417" s="2" t="str">
        <f>IF(Source!$C417&gt;=COLUMNS($A417:I417), Source!$E417, "")</f>
        <v/>
      </c>
      <c r="J417" s="2" t="str">
        <f>IF(Source!$C417&gt;=COLUMNS($A417:J417), Source!$E417, "")</f>
        <v/>
      </c>
      <c r="K417" s="2" t="str">
        <f>IF(Source!$C417&gt;=COLUMNS($A417:K417), Source!$E417, "")</f>
        <v/>
      </c>
      <c r="L417" s="2" t="str">
        <f>IF(Source!$C417&gt;=COLUMNS($A417:L417), Source!$E417, "")</f>
        <v/>
      </c>
      <c r="M417" s="2" t="str">
        <f>IF(Source!$C417&gt;=COLUMNS($A417:M417), Source!$E417, "")</f>
        <v/>
      </c>
      <c r="N417" s="2" t="str">
        <f>IF(Source!$C417&gt;=COLUMNS($A417:N417), Source!$E417, "")</f>
        <v/>
      </c>
      <c r="O417" s="2" t="str">
        <f>IF(Source!$C417&gt;=COLUMNS($A417:O417), Source!$E417, "")</f>
        <v/>
      </c>
      <c r="P417" s="2" t="str">
        <f>IF(Source!$C417&gt;=COLUMNS($A417:P417), Source!$E417, "")</f>
        <v/>
      </c>
      <c r="Q417" s="2" t="str">
        <f>IF(Source!$C417&gt;=COLUMNS($A417:Q417), Source!$E417, "")</f>
        <v/>
      </c>
      <c r="R417" s="2" t="str">
        <f>IF(Source!$C417&gt;=COLUMNS($A417:R417), Source!$E417, "")</f>
        <v/>
      </c>
      <c r="S417" s="2" t="str">
        <f>IF(Source!$C417&gt;=COLUMNS($A417:S417), Source!$E417, "")</f>
        <v/>
      </c>
      <c r="T417" s="2" t="str">
        <f>IF(Source!$C417&gt;=COLUMNS($A417:T417), Source!$E417, "")</f>
        <v/>
      </c>
      <c r="U417" s="2" t="str">
        <f>IF(Source!$C417&gt;=COLUMNS($A417:U417), Source!$E417, "")</f>
        <v/>
      </c>
      <c r="V417" s="2" t="str">
        <f>IF(Source!$C417&gt;=COLUMNS($A417:V417), Source!$E417, "")</f>
        <v/>
      </c>
      <c r="W417" s="2" t="str">
        <f>IF(Source!$C417&gt;=COLUMNS($A417:W417), Source!$E417, "")</f>
        <v/>
      </c>
      <c r="X417" s="2" t="str">
        <f>IF(Source!$C417&gt;=COLUMNS($A417:X417), Source!$E417, "")</f>
        <v/>
      </c>
      <c r="Y417" s="2" t="str">
        <f>IF(Source!$C417&gt;=COLUMNS($A417:Y417), Source!$E417, "")</f>
        <v/>
      </c>
      <c r="Z417" s="2" t="str">
        <f>IF(Source!$C417&gt;=COLUMNS($A417:Z417), Source!$E417, "")</f>
        <v/>
      </c>
      <c r="AA417" s="2" t="str">
        <f>IF(Source!$C417&gt;=COLUMNS($A417:AA417), Source!$E417, "")</f>
        <v/>
      </c>
      <c r="AB417" s="2" t="str">
        <f>IF(Source!$C417&gt;=COLUMNS($A417:AB417), Source!$E417, "")</f>
        <v/>
      </c>
      <c r="AC417" s="2" t="str">
        <f>IF(Source!$C417&gt;=COLUMNS($A417:AC417), Source!$E417, "")</f>
        <v/>
      </c>
      <c r="AD417" s="2" t="str">
        <f>IF(Source!$C417&gt;=COLUMNS($A417:AD417), Source!$E417, "")</f>
        <v/>
      </c>
      <c r="AE417" s="2" t="str">
        <f>IF(Source!$C417&gt;=COLUMNS($A417:AE417), Source!$E417, "")</f>
        <v/>
      </c>
      <c r="AF417" s="2" t="str">
        <f>IF(Source!$C417&gt;=COLUMNS($A417:AF417), Source!$E417, "")</f>
        <v/>
      </c>
      <c r="AG417" s="2" t="str">
        <f>IF(Source!$C417&gt;=COLUMNS($A417:AG417), Source!$E417, "")</f>
        <v/>
      </c>
      <c r="AH417" s="2" t="str">
        <f>IF(Source!$C417&gt;=COLUMNS($A417:AH417), Source!$E417, "")</f>
        <v/>
      </c>
      <c r="AI417" s="2" t="str">
        <f>IF(Source!$C417&gt;=COLUMNS($A417:AI417), Source!$E417, "")</f>
        <v/>
      </c>
      <c r="AJ417" s="2" t="str">
        <f>IF(Source!$C417&gt;=COLUMNS($A417:AJ417), Source!$E417, "")</f>
        <v/>
      </c>
      <c r="AK417" s="2" t="str">
        <f>IF(Source!$C417&gt;=COLUMNS($A417:AK417), Source!$E417, "")</f>
        <v/>
      </c>
      <c r="AL417" s="2" t="str">
        <f>IF(Source!$C417&gt;=COLUMNS($A417:AL417), Source!$E417, "")</f>
        <v/>
      </c>
      <c r="AM417" s="2" t="str">
        <f>IF(Source!$C417&gt;=COLUMNS($A417:AM417), Source!$E417, "")</f>
        <v/>
      </c>
      <c r="AN417" s="2" t="str">
        <f>IF(Source!$C417&gt;=COLUMNS($A417:AN417), Source!$E417, "")</f>
        <v/>
      </c>
      <c r="AO417" s="2" t="str">
        <f>IF(Source!$C417&gt;=COLUMNS($A417:AO417), Source!$E417, "")</f>
        <v/>
      </c>
      <c r="AP417" s="2" t="str">
        <f>IF(Source!$C417&gt;=COLUMNS($A417:AP417), Source!$E417, "")</f>
        <v/>
      </c>
      <c r="AQ417" s="2" t="str">
        <f>IF(Source!$C417&gt;=COLUMNS($A417:AQ417), Source!$E417, "")</f>
        <v/>
      </c>
      <c r="AR417" s="2" t="str">
        <f>IF(Source!$C417&gt;=COLUMNS($A417:AR417), Source!$E417, "")</f>
        <v/>
      </c>
    </row>
    <row r="418">
      <c r="A418" s="2">
        <f>IF(Source!$C418&gt;=COLUMNS($A418:A418), Source!$E418, "")</f>
        <v>6</v>
      </c>
      <c r="B418" s="2" t="str">
        <f>IF(Source!$C418&gt;=COLUMNS($A418:B418), Source!$E418, "")</f>
        <v/>
      </c>
      <c r="C418" s="2" t="str">
        <f>IF(Source!$C418&gt;=COLUMNS($A418:C418), Source!$E418, "")</f>
        <v/>
      </c>
      <c r="D418" s="2" t="str">
        <f>IF(Source!$C418&gt;=COLUMNS($A418:D418), Source!$E418, "")</f>
        <v/>
      </c>
      <c r="E418" s="2" t="str">
        <f>IF(Source!$C418&gt;=COLUMNS($A418:E418), Source!$E418, "")</f>
        <v/>
      </c>
      <c r="F418" s="2" t="str">
        <f>IF(Source!$C418&gt;=COLUMNS($A418:F418), Source!$E418, "")</f>
        <v/>
      </c>
      <c r="G418" s="2" t="str">
        <f>IF(Source!$C418&gt;=COLUMNS($A418:G418), Source!$E418, "")</f>
        <v/>
      </c>
      <c r="H418" s="2" t="str">
        <f>IF(Source!$C418&gt;=COLUMNS($A418:H418), Source!$E418, "")</f>
        <v/>
      </c>
      <c r="I418" s="2" t="str">
        <f>IF(Source!$C418&gt;=COLUMNS($A418:I418), Source!$E418, "")</f>
        <v/>
      </c>
      <c r="J418" s="2" t="str">
        <f>IF(Source!$C418&gt;=COLUMNS($A418:J418), Source!$E418, "")</f>
        <v/>
      </c>
      <c r="K418" s="2" t="str">
        <f>IF(Source!$C418&gt;=COLUMNS($A418:K418), Source!$E418, "")</f>
        <v/>
      </c>
      <c r="L418" s="2" t="str">
        <f>IF(Source!$C418&gt;=COLUMNS($A418:L418), Source!$E418, "")</f>
        <v/>
      </c>
      <c r="M418" s="2" t="str">
        <f>IF(Source!$C418&gt;=COLUMNS($A418:M418), Source!$E418, "")</f>
        <v/>
      </c>
      <c r="N418" s="2" t="str">
        <f>IF(Source!$C418&gt;=COLUMNS($A418:N418), Source!$E418, "")</f>
        <v/>
      </c>
      <c r="O418" s="2" t="str">
        <f>IF(Source!$C418&gt;=COLUMNS($A418:O418), Source!$E418, "")</f>
        <v/>
      </c>
      <c r="P418" s="2" t="str">
        <f>IF(Source!$C418&gt;=COLUMNS($A418:P418), Source!$E418, "")</f>
        <v/>
      </c>
      <c r="Q418" s="2" t="str">
        <f>IF(Source!$C418&gt;=COLUMNS($A418:Q418), Source!$E418, "")</f>
        <v/>
      </c>
      <c r="R418" s="2" t="str">
        <f>IF(Source!$C418&gt;=COLUMNS($A418:R418), Source!$E418, "")</f>
        <v/>
      </c>
      <c r="S418" s="2" t="str">
        <f>IF(Source!$C418&gt;=COLUMNS($A418:S418), Source!$E418, "")</f>
        <v/>
      </c>
      <c r="T418" s="2" t="str">
        <f>IF(Source!$C418&gt;=COLUMNS($A418:T418), Source!$E418, "")</f>
        <v/>
      </c>
      <c r="U418" s="2" t="str">
        <f>IF(Source!$C418&gt;=COLUMNS($A418:U418), Source!$E418, "")</f>
        <v/>
      </c>
      <c r="V418" s="2" t="str">
        <f>IF(Source!$C418&gt;=COLUMNS($A418:V418), Source!$E418, "")</f>
        <v/>
      </c>
      <c r="W418" s="2" t="str">
        <f>IF(Source!$C418&gt;=COLUMNS($A418:W418), Source!$E418, "")</f>
        <v/>
      </c>
      <c r="X418" s="2" t="str">
        <f>IF(Source!$C418&gt;=COLUMNS($A418:X418), Source!$E418, "")</f>
        <v/>
      </c>
      <c r="Y418" s="2" t="str">
        <f>IF(Source!$C418&gt;=COLUMNS($A418:Y418), Source!$E418, "")</f>
        <v/>
      </c>
      <c r="Z418" s="2" t="str">
        <f>IF(Source!$C418&gt;=COLUMNS($A418:Z418), Source!$E418, "")</f>
        <v/>
      </c>
      <c r="AA418" s="2" t="str">
        <f>IF(Source!$C418&gt;=COLUMNS($A418:AA418), Source!$E418, "")</f>
        <v/>
      </c>
      <c r="AB418" s="2" t="str">
        <f>IF(Source!$C418&gt;=COLUMNS($A418:AB418), Source!$E418, "")</f>
        <v/>
      </c>
      <c r="AC418" s="2" t="str">
        <f>IF(Source!$C418&gt;=COLUMNS($A418:AC418), Source!$E418, "")</f>
        <v/>
      </c>
      <c r="AD418" s="2" t="str">
        <f>IF(Source!$C418&gt;=COLUMNS($A418:AD418), Source!$E418, "")</f>
        <v/>
      </c>
      <c r="AE418" s="2" t="str">
        <f>IF(Source!$C418&gt;=COLUMNS($A418:AE418), Source!$E418, "")</f>
        <v/>
      </c>
      <c r="AF418" s="2" t="str">
        <f>IF(Source!$C418&gt;=COLUMNS($A418:AF418), Source!$E418, "")</f>
        <v/>
      </c>
      <c r="AG418" s="2" t="str">
        <f>IF(Source!$C418&gt;=COLUMNS($A418:AG418), Source!$E418, "")</f>
        <v/>
      </c>
      <c r="AH418" s="2" t="str">
        <f>IF(Source!$C418&gt;=COLUMNS($A418:AH418), Source!$E418, "")</f>
        <v/>
      </c>
      <c r="AI418" s="2" t="str">
        <f>IF(Source!$C418&gt;=COLUMNS($A418:AI418), Source!$E418, "")</f>
        <v/>
      </c>
      <c r="AJ418" s="2" t="str">
        <f>IF(Source!$C418&gt;=COLUMNS($A418:AJ418), Source!$E418, "")</f>
        <v/>
      </c>
      <c r="AK418" s="2" t="str">
        <f>IF(Source!$C418&gt;=COLUMNS($A418:AK418), Source!$E418, "")</f>
        <v/>
      </c>
      <c r="AL418" s="2" t="str">
        <f>IF(Source!$C418&gt;=COLUMNS($A418:AL418), Source!$E418, "")</f>
        <v/>
      </c>
      <c r="AM418" s="2" t="str">
        <f>IF(Source!$C418&gt;=COLUMNS($A418:AM418), Source!$E418, "")</f>
        <v/>
      </c>
      <c r="AN418" s="2" t="str">
        <f>IF(Source!$C418&gt;=COLUMNS($A418:AN418), Source!$E418, "")</f>
        <v/>
      </c>
      <c r="AO418" s="2" t="str">
        <f>IF(Source!$C418&gt;=COLUMNS($A418:AO418), Source!$E418, "")</f>
        <v/>
      </c>
      <c r="AP418" s="2" t="str">
        <f>IF(Source!$C418&gt;=COLUMNS($A418:AP418), Source!$E418, "")</f>
        <v/>
      </c>
      <c r="AQ418" s="2" t="str">
        <f>IF(Source!$C418&gt;=COLUMNS($A418:AQ418), Source!$E418, "")</f>
        <v/>
      </c>
      <c r="AR418" s="2" t="str">
        <f>IF(Source!$C418&gt;=COLUMNS($A418:AR418), Source!$E418, "")</f>
        <v/>
      </c>
    </row>
    <row r="419">
      <c r="A419" s="2">
        <f>IF(Source!$C419&gt;=COLUMNS($A419:A419), Source!$E419, "")</f>
        <v>4</v>
      </c>
      <c r="B419" s="2">
        <f>IF(Source!$C419&gt;=COLUMNS($A419:B419), Source!$E419, "")</f>
        <v>4</v>
      </c>
      <c r="C419" s="2" t="str">
        <f>IF(Source!$C419&gt;=COLUMNS($A419:C419), Source!$E419, "")</f>
        <v/>
      </c>
      <c r="D419" s="2" t="str">
        <f>IF(Source!$C419&gt;=COLUMNS($A419:D419), Source!$E419, "")</f>
        <v/>
      </c>
      <c r="E419" s="2" t="str">
        <f>IF(Source!$C419&gt;=COLUMNS($A419:E419), Source!$E419, "")</f>
        <v/>
      </c>
      <c r="F419" s="2" t="str">
        <f>IF(Source!$C419&gt;=COLUMNS($A419:F419), Source!$E419, "")</f>
        <v/>
      </c>
      <c r="G419" s="2" t="str">
        <f>IF(Source!$C419&gt;=COLUMNS($A419:G419), Source!$E419, "")</f>
        <v/>
      </c>
      <c r="H419" s="2" t="str">
        <f>IF(Source!$C419&gt;=COLUMNS($A419:H419), Source!$E419, "")</f>
        <v/>
      </c>
      <c r="I419" s="2" t="str">
        <f>IF(Source!$C419&gt;=COLUMNS($A419:I419), Source!$E419, "")</f>
        <v/>
      </c>
      <c r="J419" s="2" t="str">
        <f>IF(Source!$C419&gt;=COLUMNS($A419:J419), Source!$E419, "")</f>
        <v/>
      </c>
      <c r="K419" s="2" t="str">
        <f>IF(Source!$C419&gt;=COLUMNS($A419:K419), Source!$E419, "")</f>
        <v/>
      </c>
      <c r="L419" s="2" t="str">
        <f>IF(Source!$C419&gt;=COLUMNS($A419:L419), Source!$E419, "")</f>
        <v/>
      </c>
      <c r="M419" s="2" t="str">
        <f>IF(Source!$C419&gt;=COLUMNS($A419:M419), Source!$E419, "")</f>
        <v/>
      </c>
      <c r="N419" s="2" t="str">
        <f>IF(Source!$C419&gt;=COLUMNS($A419:N419), Source!$E419, "")</f>
        <v/>
      </c>
      <c r="O419" s="2" t="str">
        <f>IF(Source!$C419&gt;=COLUMNS($A419:O419), Source!$E419, "")</f>
        <v/>
      </c>
      <c r="P419" s="2" t="str">
        <f>IF(Source!$C419&gt;=COLUMNS($A419:P419), Source!$E419, "")</f>
        <v/>
      </c>
      <c r="Q419" s="2" t="str">
        <f>IF(Source!$C419&gt;=COLUMNS($A419:Q419), Source!$E419, "")</f>
        <v/>
      </c>
      <c r="R419" s="2" t="str">
        <f>IF(Source!$C419&gt;=COLUMNS($A419:R419), Source!$E419, "")</f>
        <v/>
      </c>
      <c r="S419" s="2" t="str">
        <f>IF(Source!$C419&gt;=COLUMNS($A419:S419), Source!$E419, "")</f>
        <v/>
      </c>
      <c r="T419" s="2" t="str">
        <f>IF(Source!$C419&gt;=COLUMNS($A419:T419), Source!$E419, "")</f>
        <v/>
      </c>
      <c r="U419" s="2" t="str">
        <f>IF(Source!$C419&gt;=COLUMNS($A419:U419), Source!$E419, "")</f>
        <v/>
      </c>
      <c r="V419" s="2" t="str">
        <f>IF(Source!$C419&gt;=COLUMNS($A419:V419), Source!$E419, "")</f>
        <v/>
      </c>
      <c r="W419" s="2" t="str">
        <f>IF(Source!$C419&gt;=COLUMNS($A419:W419), Source!$E419, "")</f>
        <v/>
      </c>
      <c r="X419" s="2" t="str">
        <f>IF(Source!$C419&gt;=COLUMNS($A419:X419), Source!$E419, "")</f>
        <v/>
      </c>
      <c r="Y419" s="2" t="str">
        <f>IF(Source!$C419&gt;=COLUMNS($A419:Y419), Source!$E419, "")</f>
        <v/>
      </c>
      <c r="Z419" s="2" t="str">
        <f>IF(Source!$C419&gt;=COLUMNS($A419:Z419), Source!$E419, "")</f>
        <v/>
      </c>
      <c r="AA419" s="2" t="str">
        <f>IF(Source!$C419&gt;=COLUMNS($A419:AA419), Source!$E419, "")</f>
        <v/>
      </c>
      <c r="AB419" s="2" t="str">
        <f>IF(Source!$C419&gt;=COLUMNS($A419:AB419), Source!$E419, "")</f>
        <v/>
      </c>
      <c r="AC419" s="2" t="str">
        <f>IF(Source!$C419&gt;=COLUMNS($A419:AC419), Source!$E419, "")</f>
        <v/>
      </c>
      <c r="AD419" s="2" t="str">
        <f>IF(Source!$C419&gt;=COLUMNS($A419:AD419), Source!$E419, "")</f>
        <v/>
      </c>
      <c r="AE419" s="2" t="str">
        <f>IF(Source!$C419&gt;=COLUMNS($A419:AE419), Source!$E419, "")</f>
        <v/>
      </c>
      <c r="AF419" s="2" t="str">
        <f>IF(Source!$C419&gt;=COLUMNS($A419:AF419), Source!$E419, "")</f>
        <v/>
      </c>
      <c r="AG419" s="2" t="str">
        <f>IF(Source!$C419&gt;=COLUMNS($A419:AG419), Source!$E419, "")</f>
        <v/>
      </c>
      <c r="AH419" s="2" t="str">
        <f>IF(Source!$C419&gt;=COLUMNS($A419:AH419), Source!$E419, "")</f>
        <v/>
      </c>
      <c r="AI419" s="2" t="str">
        <f>IF(Source!$C419&gt;=COLUMNS($A419:AI419), Source!$E419, "")</f>
        <v/>
      </c>
      <c r="AJ419" s="2" t="str">
        <f>IF(Source!$C419&gt;=COLUMNS($A419:AJ419), Source!$E419, "")</f>
        <v/>
      </c>
      <c r="AK419" s="2" t="str">
        <f>IF(Source!$C419&gt;=COLUMNS($A419:AK419), Source!$E419, "")</f>
        <v/>
      </c>
      <c r="AL419" s="2" t="str">
        <f>IF(Source!$C419&gt;=COLUMNS($A419:AL419), Source!$E419, "")</f>
        <v/>
      </c>
      <c r="AM419" s="2" t="str">
        <f>IF(Source!$C419&gt;=COLUMNS($A419:AM419), Source!$E419, "")</f>
        <v/>
      </c>
      <c r="AN419" s="2" t="str">
        <f>IF(Source!$C419&gt;=COLUMNS($A419:AN419), Source!$E419, "")</f>
        <v/>
      </c>
      <c r="AO419" s="2" t="str">
        <f>IF(Source!$C419&gt;=COLUMNS($A419:AO419), Source!$E419, "")</f>
        <v/>
      </c>
      <c r="AP419" s="2" t="str">
        <f>IF(Source!$C419&gt;=COLUMNS($A419:AP419), Source!$E419, "")</f>
        <v/>
      </c>
      <c r="AQ419" s="2" t="str">
        <f>IF(Source!$C419&gt;=COLUMNS($A419:AQ419), Source!$E419, "")</f>
        <v/>
      </c>
      <c r="AR419" s="2" t="str">
        <f>IF(Source!$C419&gt;=COLUMNS($A419:AR419), Source!$E419, "")</f>
        <v/>
      </c>
    </row>
    <row r="420">
      <c r="A420" s="2">
        <f>IF(Source!$C420&gt;=COLUMNS($A420:A420), Source!$E420, "")</f>
        <v>5</v>
      </c>
      <c r="B420" s="2" t="str">
        <f>IF(Source!$C420&gt;=COLUMNS($A420:B420), Source!$E420, "")</f>
        <v/>
      </c>
      <c r="C420" s="2" t="str">
        <f>IF(Source!$C420&gt;=COLUMNS($A420:C420), Source!$E420, "")</f>
        <v/>
      </c>
      <c r="D420" s="2" t="str">
        <f>IF(Source!$C420&gt;=COLUMNS($A420:D420), Source!$E420, "")</f>
        <v/>
      </c>
      <c r="E420" s="2" t="str">
        <f>IF(Source!$C420&gt;=COLUMNS($A420:E420), Source!$E420, "")</f>
        <v/>
      </c>
      <c r="F420" s="2" t="str">
        <f>IF(Source!$C420&gt;=COLUMNS($A420:F420), Source!$E420, "")</f>
        <v/>
      </c>
      <c r="G420" s="2" t="str">
        <f>IF(Source!$C420&gt;=COLUMNS($A420:G420), Source!$E420, "")</f>
        <v/>
      </c>
      <c r="H420" s="2" t="str">
        <f>IF(Source!$C420&gt;=COLUMNS($A420:H420), Source!$E420, "")</f>
        <v/>
      </c>
      <c r="I420" s="2" t="str">
        <f>IF(Source!$C420&gt;=COLUMNS($A420:I420), Source!$E420, "")</f>
        <v/>
      </c>
      <c r="J420" s="2" t="str">
        <f>IF(Source!$C420&gt;=COLUMNS($A420:J420), Source!$E420, "")</f>
        <v/>
      </c>
      <c r="K420" s="2" t="str">
        <f>IF(Source!$C420&gt;=COLUMNS($A420:K420), Source!$E420, "")</f>
        <v/>
      </c>
      <c r="L420" s="2" t="str">
        <f>IF(Source!$C420&gt;=COLUMNS($A420:L420), Source!$E420, "")</f>
        <v/>
      </c>
      <c r="M420" s="2" t="str">
        <f>IF(Source!$C420&gt;=COLUMNS($A420:M420), Source!$E420, "")</f>
        <v/>
      </c>
      <c r="N420" s="2" t="str">
        <f>IF(Source!$C420&gt;=COLUMNS($A420:N420), Source!$E420, "")</f>
        <v/>
      </c>
      <c r="O420" s="2" t="str">
        <f>IF(Source!$C420&gt;=COLUMNS($A420:O420), Source!$E420, "")</f>
        <v/>
      </c>
      <c r="P420" s="2" t="str">
        <f>IF(Source!$C420&gt;=COLUMNS($A420:P420), Source!$E420, "")</f>
        <v/>
      </c>
      <c r="Q420" s="2" t="str">
        <f>IF(Source!$C420&gt;=COLUMNS($A420:Q420), Source!$E420, "")</f>
        <v/>
      </c>
      <c r="R420" s="2" t="str">
        <f>IF(Source!$C420&gt;=COLUMNS($A420:R420), Source!$E420, "")</f>
        <v/>
      </c>
      <c r="S420" s="2" t="str">
        <f>IF(Source!$C420&gt;=COLUMNS($A420:S420), Source!$E420, "")</f>
        <v/>
      </c>
      <c r="T420" s="2" t="str">
        <f>IF(Source!$C420&gt;=COLUMNS($A420:T420), Source!$E420, "")</f>
        <v/>
      </c>
      <c r="U420" s="2" t="str">
        <f>IF(Source!$C420&gt;=COLUMNS($A420:U420), Source!$E420, "")</f>
        <v/>
      </c>
      <c r="V420" s="2" t="str">
        <f>IF(Source!$C420&gt;=COLUMNS($A420:V420), Source!$E420, "")</f>
        <v/>
      </c>
      <c r="W420" s="2" t="str">
        <f>IF(Source!$C420&gt;=COLUMNS($A420:W420), Source!$E420, "")</f>
        <v/>
      </c>
      <c r="X420" s="2" t="str">
        <f>IF(Source!$C420&gt;=COLUMNS($A420:X420), Source!$E420, "")</f>
        <v/>
      </c>
      <c r="Y420" s="2" t="str">
        <f>IF(Source!$C420&gt;=COLUMNS($A420:Y420), Source!$E420, "")</f>
        <v/>
      </c>
      <c r="Z420" s="2" t="str">
        <f>IF(Source!$C420&gt;=COLUMNS($A420:Z420), Source!$E420, "")</f>
        <v/>
      </c>
      <c r="AA420" s="2" t="str">
        <f>IF(Source!$C420&gt;=COLUMNS($A420:AA420), Source!$E420, "")</f>
        <v/>
      </c>
      <c r="AB420" s="2" t="str">
        <f>IF(Source!$C420&gt;=COLUMNS($A420:AB420), Source!$E420, "")</f>
        <v/>
      </c>
      <c r="AC420" s="2" t="str">
        <f>IF(Source!$C420&gt;=COLUMNS($A420:AC420), Source!$E420, "")</f>
        <v/>
      </c>
      <c r="AD420" s="2" t="str">
        <f>IF(Source!$C420&gt;=COLUMNS($A420:AD420), Source!$E420, "")</f>
        <v/>
      </c>
      <c r="AE420" s="2" t="str">
        <f>IF(Source!$C420&gt;=COLUMNS($A420:AE420), Source!$E420, "")</f>
        <v/>
      </c>
      <c r="AF420" s="2" t="str">
        <f>IF(Source!$C420&gt;=COLUMNS($A420:AF420), Source!$E420, "")</f>
        <v/>
      </c>
      <c r="AG420" s="2" t="str">
        <f>IF(Source!$C420&gt;=COLUMNS($A420:AG420), Source!$E420, "")</f>
        <v/>
      </c>
      <c r="AH420" s="2" t="str">
        <f>IF(Source!$C420&gt;=COLUMNS($A420:AH420), Source!$E420, "")</f>
        <v/>
      </c>
      <c r="AI420" s="2" t="str">
        <f>IF(Source!$C420&gt;=COLUMNS($A420:AI420), Source!$E420, "")</f>
        <v/>
      </c>
      <c r="AJ420" s="2" t="str">
        <f>IF(Source!$C420&gt;=COLUMNS($A420:AJ420), Source!$E420, "")</f>
        <v/>
      </c>
      <c r="AK420" s="2" t="str">
        <f>IF(Source!$C420&gt;=COLUMNS($A420:AK420), Source!$E420, "")</f>
        <v/>
      </c>
      <c r="AL420" s="2" t="str">
        <f>IF(Source!$C420&gt;=COLUMNS($A420:AL420), Source!$E420, "")</f>
        <v/>
      </c>
      <c r="AM420" s="2" t="str">
        <f>IF(Source!$C420&gt;=COLUMNS($A420:AM420), Source!$E420, "")</f>
        <v/>
      </c>
      <c r="AN420" s="2" t="str">
        <f>IF(Source!$C420&gt;=COLUMNS($A420:AN420), Source!$E420, "")</f>
        <v/>
      </c>
      <c r="AO420" s="2" t="str">
        <f>IF(Source!$C420&gt;=COLUMNS($A420:AO420), Source!$E420, "")</f>
        <v/>
      </c>
      <c r="AP420" s="2" t="str">
        <f>IF(Source!$C420&gt;=COLUMNS($A420:AP420), Source!$E420, "")</f>
        <v/>
      </c>
      <c r="AQ420" s="2" t="str">
        <f>IF(Source!$C420&gt;=COLUMNS($A420:AQ420), Source!$E420, "")</f>
        <v/>
      </c>
      <c r="AR420" s="2" t="str">
        <f>IF(Source!$C420&gt;=COLUMNS($A420:AR420), Source!$E420, "")</f>
        <v/>
      </c>
    </row>
    <row r="421">
      <c r="A421" s="2">
        <f>IF(Source!$C421&gt;=COLUMNS($A421:A421), Source!$E421, "")</f>
        <v>1</v>
      </c>
      <c r="B421" s="2">
        <f>IF(Source!$C421&gt;=COLUMNS($A421:B421), Source!$E421, "")</f>
        <v>1</v>
      </c>
      <c r="C421" s="2" t="str">
        <f>IF(Source!$C421&gt;=COLUMNS($A421:C421), Source!$E421, "")</f>
        <v/>
      </c>
      <c r="D421" s="2" t="str">
        <f>IF(Source!$C421&gt;=COLUMNS($A421:D421), Source!$E421, "")</f>
        <v/>
      </c>
      <c r="E421" s="2" t="str">
        <f>IF(Source!$C421&gt;=COLUMNS($A421:E421), Source!$E421, "")</f>
        <v/>
      </c>
      <c r="F421" s="2" t="str">
        <f>IF(Source!$C421&gt;=COLUMNS($A421:F421), Source!$E421, "")</f>
        <v/>
      </c>
      <c r="G421" s="2" t="str">
        <f>IF(Source!$C421&gt;=COLUMNS($A421:G421), Source!$E421, "")</f>
        <v/>
      </c>
      <c r="H421" s="2" t="str">
        <f>IF(Source!$C421&gt;=COLUMNS($A421:H421), Source!$E421, "")</f>
        <v/>
      </c>
      <c r="I421" s="2" t="str">
        <f>IF(Source!$C421&gt;=COLUMNS($A421:I421), Source!$E421, "")</f>
        <v/>
      </c>
      <c r="J421" s="2" t="str">
        <f>IF(Source!$C421&gt;=COLUMNS($A421:J421), Source!$E421, "")</f>
        <v/>
      </c>
      <c r="K421" s="2" t="str">
        <f>IF(Source!$C421&gt;=COLUMNS($A421:K421), Source!$E421, "")</f>
        <v/>
      </c>
      <c r="L421" s="2" t="str">
        <f>IF(Source!$C421&gt;=COLUMNS($A421:L421), Source!$E421, "")</f>
        <v/>
      </c>
      <c r="M421" s="2" t="str">
        <f>IF(Source!$C421&gt;=COLUMNS($A421:M421), Source!$E421, "")</f>
        <v/>
      </c>
      <c r="N421" s="2" t="str">
        <f>IF(Source!$C421&gt;=COLUMNS($A421:N421), Source!$E421, "")</f>
        <v/>
      </c>
      <c r="O421" s="2" t="str">
        <f>IF(Source!$C421&gt;=COLUMNS($A421:O421), Source!$E421, "")</f>
        <v/>
      </c>
      <c r="P421" s="2" t="str">
        <f>IF(Source!$C421&gt;=COLUMNS($A421:P421), Source!$E421, "")</f>
        <v/>
      </c>
      <c r="Q421" s="2" t="str">
        <f>IF(Source!$C421&gt;=COLUMNS($A421:Q421), Source!$E421, "")</f>
        <v/>
      </c>
      <c r="R421" s="2" t="str">
        <f>IF(Source!$C421&gt;=COLUMNS($A421:R421), Source!$E421, "")</f>
        <v/>
      </c>
      <c r="S421" s="2" t="str">
        <f>IF(Source!$C421&gt;=COLUMNS($A421:S421), Source!$E421, "")</f>
        <v/>
      </c>
      <c r="T421" s="2" t="str">
        <f>IF(Source!$C421&gt;=COLUMNS($A421:T421), Source!$E421, "")</f>
        <v/>
      </c>
      <c r="U421" s="2" t="str">
        <f>IF(Source!$C421&gt;=COLUMNS($A421:U421), Source!$E421, "")</f>
        <v/>
      </c>
      <c r="V421" s="2" t="str">
        <f>IF(Source!$C421&gt;=COLUMNS($A421:V421), Source!$E421, "")</f>
        <v/>
      </c>
      <c r="W421" s="2" t="str">
        <f>IF(Source!$C421&gt;=COLUMNS($A421:W421), Source!$E421, "")</f>
        <v/>
      </c>
      <c r="X421" s="2" t="str">
        <f>IF(Source!$C421&gt;=COLUMNS($A421:X421), Source!$E421, "")</f>
        <v/>
      </c>
      <c r="Y421" s="2" t="str">
        <f>IF(Source!$C421&gt;=COLUMNS($A421:Y421), Source!$E421, "")</f>
        <v/>
      </c>
      <c r="Z421" s="2" t="str">
        <f>IF(Source!$C421&gt;=COLUMNS($A421:Z421), Source!$E421, "")</f>
        <v/>
      </c>
      <c r="AA421" s="2" t="str">
        <f>IF(Source!$C421&gt;=COLUMNS($A421:AA421), Source!$E421, "")</f>
        <v/>
      </c>
      <c r="AB421" s="2" t="str">
        <f>IF(Source!$C421&gt;=COLUMNS($A421:AB421), Source!$E421, "")</f>
        <v/>
      </c>
      <c r="AC421" s="2" t="str">
        <f>IF(Source!$C421&gt;=COLUMNS($A421:AC421), Source!$E421, "")</f>
        <v/>
      </c>
      <c r="AD421" s="2" t="str">
        <f>IF(Source!$C421&gt;=COLUMNS($A421:AD421), Source!$E421, "")</f>
        <v/>
      </c>
      <c r="AE421" s="2" t="str">
        <f>IF(Source!$C421&gt;=COLUMNS($A421:AE421), Source!$E421, "")</f>
        <v/>
      </c>
      <c r="AF421" s="2" t="str">
        <f>IF(Source!$C421&gt;=COLUMNS($A421:AF421), Source!$E421, "")</f>
        <v/>
      </c>
      <c r="AG421" s="2" t="str">
        <f>IF(Source!$C421&gt;=COLUMNS($A421:AG421), Source!$E421, "")</f>
        <v/>
      </c>
      <c r="AH421" s="2" t="str">
        <f>IF(Source!$C421&gt;=COLUMNS($A421:AH421), Source!$E421, "")</f>
        <v/>
      </c>
      <c r="AI421" s="2" t="str">
        <f>IF(Source!$C421&gt;=COLUMNS($A421:AI421), Source!$E421, "")</f>
        <v/>
      </c>
      <c r="AJ421" s="2" t="str">
        <f>IF(Source!$C421&gt;=COLUMNS($A421:AJ421), Source!$E421, "")</f>
        <v/>
      </c>
      <c r="AK421" s="2" t="str">
        <f>IF(Source!$C421&gt;=COLUMNS($A421:AK421), Source!$E421, "")</f>
        <v/>
      </c>
      <c r="AL421" s="2" t="str">
        <f>IF(Source!$C421&gt;=COLUMNS($A421:AL421), Source!$E421, "")</f>
        <v/>
      </c>
      <c r="AM421" s="2" t="str">
        <f>IF(Source!$C421&gt;=COLUMNS($A421:AM421), Source!$E421, "")</f>
        <v/>
      </c>
      <c r="AN421" s="2" t="str">
        <f>IF(Source!$C421&gt;=COLUMNS($A421:AN421), Source!$E421, "")</f>
        <v/>
      </c>
      <c r="AO421" s="2" t="str">
        <f>IF(Source!$C421&gt;=COLUMNS($A421:AO421), Source!$E421, "")</f>
        <v/>
      </c>
      <c r="AP421" s="2" t="str">
        <f>IF(Source!$C421&gt;=COLUMNS($A421:AP421), Source!$E421, "")</f>
        <v/>
      </c>
      <c r="AQ421" s="2" t="str">
        <f>IF(Source!$C421&gt;=COLUMNS($A421:AQ421), Source!$E421, "")</f>
        <v/>
      </c>
      <c r="AR421" s="2" t="str">
        <f>IF(Source!$C421&gt;=COLUMNS($A421:AR421), Source!$E421, "")</f>
        <v/>
      </c>
    </row>
    <row r="422">
      <c r="A422" s="2">
        <f>IF(Source!$C422&gt;=COLUMNS($A422:A422), Source!$E422, "")</f>
        <v>6</v>
      </c>
      <c r="B422" s="2">
        <f>IF(Source!$C422&gt;=COLUMNS($A422:B422), Source!$E422, "")</f>
        <v>6</v>
      </c>
      <c r="C422" s="2" t="str">
        <f>IF(Source!$C422&gt;=COLUMNS($A422:C422), Source!$E422, "")</f>
        <v/>
      </c>
      <c r="D422" s="2" t="str">
        <f>IF(Source!$C422&gt;=COLUMNS($A422:D422), Source!$E422, "")</f>
        <v/>
      </c>
      <c r="E422" s="2" t="str">
        <f>IF(Source!$C422&gt;=COLUMNS($A422:E422), Source!$E422, "")</f>
        <v/>
      </c>
      <c r="F422" s="2" t="str">
        <f>IF(Source!$C422&gt;=COLUMNS($A422:F422), Source!$E422, "")</f>
        <v/>
      </c>
      <c r="G422" s="2" t="str">
        <f>IF(Source!$C422&gt;=COLUMNS($A422:G422), Source!$E422, "")</f>
        <v/>
      </c>
      <c r="H422" s="2" t="str">
        <f>IF(Source!$C422&gt;=COLUMNS($A422:H422), Source!$E422, "")</f>
        <v/>
      </c>
      <c r="I422" s="2" t="str">
        <f>IF(Source!$C422&gt;=COLUMNS($A422:I422), Source!$E422, "")</f>
        <v/>
      </c>
      <c r="J422" s="2" t="str">
        <f>IF(Source!$C422&gt;=COLUMNS($A422:J422), Source!$E422, "")</f>
        <v/>
      </c>
      <c r="K422" s="2" t="str">
        <f>IF(Source!$C422&gt;=COLUMNS($A422:K422), Source!$E422, "")</f>
        <v/>
      </c>
      <c r="L422" s="2" t="str">
        <f>IF(Source!$C422&gt;=COLUMNS($A422:L422), Source!$E422, "")</f>
        <v/>
      </c>
      <c r="M422" s="2" t="str">
        <f>IF(Source!$C422&gt;=COLUMNS($A422:M422), Source!$E422, "")</f>
        <v/>
      </c>
      <c r="N422" s="2" t="str">
        <f>IF(Source!$C422&gt;=COLUMNS($A422:N422), Source!$E422, "")</f>
        <v/>
      </c>
      <c r="O422" s="2" t="str">
        <f>IF(Source!$C422&gt;=COLUMNS($A422:O422), Source!$E422, "")</f>
        <v/>
      </c>
      <c r="P422" s="2" t="str">
        <f>IF(Source!$C422&gt;=COLUMNS($A422:P422), Source!$E422, "")</f>
        <v/>
      </c>
      <c r="Q422" s="2" t="str">
        <f>IF(Source!$C422&gt;=COLUMNS($A422:Q422), Source!$E422, "")</f>
        <v/>
      </c>
      <c r="R422" s="2" t="str">
        <f>IF(Source!$C422&gt;=COLUMNS($A422:R422), Source!$E422, "")</f>
        <v/>
      </c>
      <c r="S422" s="2" t="str">
        <f>IF(Source!$C422&gt;=COLUMNS($A422:S422), Source!$E422, "")</f>
        <v/>
      </c>
      <c r="T422" s="2" t="str">
        <f>IF(Source!$C422&gt;=COLUMNS($A422:T422), Source!$E422, "")</f>
        <v/>
      </c>
      <c r="U422" s="2" t="str">
        <f>IF(Source!$C422&gt;=COLUMNS($A422:U422), Source!$E422, "")</f>
        <v/>
      </c>
      <c r="V422" s="2" t="str">
        <f>IF(Source!$C422&gt;=COLUMNS($A422:V422), Source!$E422, "")</f>
        <v/>
      </c>
      <c r="W422" s="2" t="str">
        <f>IF(Source!$C422&gt;=COLUMNS($A422:W422), Source!$E422, "")</f>
        <v/>
      </c>
      <c r="X422" s="2" t="str">
        <f>IF(Source!$C422&gt;=COLUMNS($A422:X422), Source!$E422, "")</f>
        <v/>
      </c>
      <c r="Y422" s="2" t="str">
        <f>IF(Source!$C422&gt;=COLUMNS($A422:Y422), Source!$E422, "")</f>
        <v/>
      </c>
      <c r="Z422" s="2" t="str">
        <f>IF(Source!$C422&gt;=COLUMNS($A422:Z422), Source!$E422, "")</f>
        <v/>
      </c>
      <c r="AA422" s="2" t="str">
        <f>IF(Source!$C422&gt;=COLUMNS($A422:AA422), Source!$E422, "")</f>
        <v/>
      </c>
      <c r="AB422" s="2" t="str">
        <f>IF(Source!$C422&gt;=COLUMNS($A422:AB422), Source!$E422, "")</f>
        <v/>
      </c>
      <c r="AC422" s="2" t="str">
        <f>IF(Source!$C422&gt;=COLUMNS($A422:AC422), Source!$E422, "")</f>
        <v/>
      </c>
      <c r="AD422" s="2" t="str">
        <f>IF(Source!$C422&gt;=COLUMNS($A422:AD422), Source!$E422, "")</f>
        <v/>
      </c>
      <c r="AE422" s="2" t="str">
        <f>IF(Source!$C422&gt;=COLUMNS($A422:AE422), Source!$E422, "")</f>
        <v/>
      </c>
      <c r="AF422" s="2" t="str">
        <f>IF(Source!$C422&gt;=COLUMNS($A422:AF422), Source!$E422, "")</f>
        <v/>
      </c>
      <c r="AG422" s="2" t="str">
        <f>IF(Source!$C422&gt;=COLUMNS($A422:AG422), Source!$E422, "")</f>
        <v/>
      </c>
      <c r="AH422" s="2" t="str">
        <f>IF(Source!$C422&gt;=COLUMNS($A422:AH422), Source!$E422, "")</f>
        <v/>
      </c>
      <c r="AI422" s="2" t="str">
        <f>IF(Source!$C422&gt;=COLUMNS($A422:AI422), Source!$E422, "")</f>
        <v/>
      </c>
      <c r="AJ422" s="2" t="str">
        <f>IF(Source!$C422&gt;=COLUMNS($A422:AJ422), Source!$E422, "")</f>
        <v/>
      </c>
      <c r="AK422" s="2" t="str">
        <f>IF(Source!$C422&gt;=COLUMNS($A422:AK422), Source!$E422, "")</f>
        <v/>
      </c>
      <c r="AL422" s="2" t="str">
        <f>IF(Source!$C422&gt;=COLUMNS($A422:AL422), Source!$E422, "")</f>
        <v/>
      </c>
      <c r="AM422" s="2" t="str">
        <f>IF(Source!$C422&gt;=COLUMNS($A422:AM422), Source!$E422, "")</f>
        <v/>
      </c>
      <c r="AN422" s="2" t="str">
        <f>IF(Source!$C422&gt;=COLUMNS($A422:AN422), Source!$E422, "")</f>
        <v/>
      </c>
      <c r="AO422" s="2" t="str">
        <f>IF(Source!$C422&gt;=COLUMNS($A422:AO422), Source!$E422, "")</f>
        <v/>
      </c>
      <c r="AP422" s="2" t="str">
        <f>IF(Source!$C422&gt;=COLUMNS($A422:AP422), Source!$E422, "")</f>
        <v/>
      </c>
      <c r="AQ422" s="2" t="str">
        <f>IF(Source!$C422&gt;=COLUMNS($A422:AQ422), Source!$E422, "")</f>
        <v/>
      </c>
      <c r="AR422" s="2" t="str">
        <f>IF(Source!$C422&gt;=COLUMNS($A422:AR422), Source!$E422, "")</f>
        <v/>
      </c>
    </row>
    <row r="423">
      <c r="A423" s="2">
        <f>IF(Source!$C423&gt;=COLUMNS($A423:A423), Source!$E423, "")</f>
        <v>3</v>
      </c>
      <c r="B423" s="2">
        <f>IF(Source!$C423&gt;=COLUMNS($A423:B423), Source!$E423, "")</f>
        <v>3</v>
      </c>
      <c r="C423" s="2" t="str">
        <f>IF(Source!$C423&gt;=COLUMNS($A423:C423), Source!$E423, "")</f>
        <v/>
      </c>
      <c r="D423" s="2" t="str">
        <f>IF(Source!$C423&gt;=COLUMNS($A423:D423), Source!$E423, "")</f>
        <v/>
      </c>
      <c r="E423" s="2" t="str">
        <f>IF(Source!$C423&gt;=COLUMNS($A423:E423), Source!$E423, "")</f>
        <v/>
      </c>
      <c r="F423" s="2" t="str">
        <f>IF(Source!$C423&gt;=COLUMNS($A423:F423), Source!$E423, "")</f>
        <v/>
      </c>
      <c r="G423" s="2" t="str">
        <f>IF(Source!$C423&gt;=COLUMNS($A423:G423), Source!$E423, "")</f>
        <v/>
      </c>
      <c r="H423" s="2" t="str">
        <f>IF(Source!$C423&gt;=COLUMNS($A423:H423), Source!$E423, "")</f>
        <v/>
      </c>
      <c r="I423" s="2" t="str">
        <f>IF(Source!$C423&gt;=COLUMNS($A423:I423), Source!$E423, "")</f>
        <v/>
      </c>
      <c r="J423" s="2" t="str">
        <f>IF(Source!$C423&gt;=COLUMNS($A423:J423), Source!$E423, "")</f>
        <v/>
      </c>
      <c r="K423" s="2" t="str">
        <f>IF(Source!$C423&gt;=COLUMNS($A423:K423), Source!$E423, "")</f>
        <v/>
      </c>
      <c r="L423" s="2" t="str">
        <f>IF(Source!$C423&gt;=COLUMNS($A423:L423), Source!$E423, "")</f>
        <v/>
      </c>
      <c r="M423" s="2" t="str">
        <f>IF(Source!$C423&gt;=COLUMNS($A423:M423), Source!$E423, "")</f>
        <v/>
      </c>
      <c r="N423" s="2" t="str">
        <f>IF(Source!$C423&gt;=COLUMNS($A423:N423), Source!$E423, "")</f>
        <v/>
      </c>
      <c r="O423" s="2" t="str">
        <f>IF(Source!$C423&gt;=COLUMNS($A423:O423), Source!$E423, "")</f>
        <v/>
      </c>
      <c r="P423" s="2" t="str">
        <f>IF(Source!$C423&gt;=COLUMNS($A423:P423), Source!$E423, "")</f>
        <v/>
      </c>
      <c r="Q423" s="2" t="str">
        <f>IF(Source!$C423&gt;=COLUMNS($A423:Q423), Source!$E423, "")</f>
        <v/>
      </c>
      <c r="R423" s="2" t="str">
        <f>IF(Source!$C423&gt;=COLUMNS($A423:R423), Source!$E423, "")</f>
        <v/>
      </c>
      <c r="S423" s="2" t="str">
        <f>IF(Source!$C423&gt;=COLUMNS($A423:S423), Source!$E423, "")</f>
        <v/>
      </c>
      <c r="T423" s="2" t="str">
        <f>IF(Source!$C423&gt;=COLUMNS($A423:T423), Source!$E423, "")</f>
        <v/>
      </c>
      <c r="U423" s="2" t="str">
        <f>IF(Source!$C423&gt;=COLUMNS($A423:U423), Source!$E423, "")</f>
        <v/>
      </c>
      <c r="V423" s="2" t="str">
        <f>IF(Source!$C423&gt;=COLUMNS($A423:V423), Source!$E423, "")</f>
        <v/>
      </c>
      <c r="W423" s="2" t="str">
        <f>IF(Source!$C423&gt;=COLUMNS($A423:W423), Source!$E423, "")</f>
        <v/>
      </c>
      <c r="X423" s="2" t="str">
        <f>IF(Source!$C423&gt;=COLUMNS($A423:X423), Source!$E423, "")</f>
        <v/>
      </c>
      <c r="Y423" s="2" t="str">
        <f>IF(Source!$C423&gt;=COLUMNS($A423:Y423), Source!$E423, "")</f>
        <v/>
      </c>
      <c r="Z423" s="2" t="str">
        <f>IF(Source!$C423&gt;=COLUMNS($A423:Z423), Source!$E423, "")</f>
        <v/>
      </c>
      <c r="AA423" s="2" t="str">
        <f>IF(Source!$C423&gt;=COLUMNS($A423:AA423), Source!$E423, "")</f>
        <v/>
      </c>
      <c r="AB423" s="2" t="str">
        <f>IF(Source!$C423&gt;=COLUMNS($A423:AB423), Source!$E423, "")</f>
        <v/>
      </c>
      <c r="AC423" s="2" t="str">
        <f>IF(Source!$C423&gt;=COLUMNS($A423:AC423), Source!$E423, "")</f>
        <v/>
      </c>
      <c r="AD423" s="2" t="str">
        <f>IF(Source!$C423&gt;=COLUMNS($A423:AD423), Source!$E423, "")</f>
        <v/>
      </c>
      <c r="AE423" s="2" t="str">
        <f>IF(Source!$C423&gt;=COLUMNS($A423:AE423), Source!$E423, "")</f>
        <v/>
      </c>
      <c r="AF423" s="2" t="str">
        <f>IF(Source!$C423&gt;=COLUMNS($A423:AF423), Source!$E423, "")</f>
        <v/>
      </c>
      <c r="AG423" s="2" t="str">
        <f>IF(Source!$C423&gt;=COLUMNS($A423:AG423), Source!$E423, "")</f>
        <v/>
      </c>
      <c r="AH423" s="2" t="str">
        <f>IF(Source!$C423&gt;=COLUMNS($A423:AH423), Source!$E423, "")</f>
        <v/>
      </c>
      <c r="AI423" s="2" t="str">
        <f>IF(Source!$C423&gt;=COLUMNS($A423:AI423), Source!$E423, "")</f>
        <v/>
      </c>
      <c r="AJ423" s="2" t="str">
        <f>IF(Source!$C423&gt;=COLUMNS($A423:AJ423), Source!$E423, "")</f>
        <v/>
      </c>
      <c r="AK423" s="2" t="str">
        <f>IF(Source!$C423&gt;=COLUMNS($A423:AK423), Source!$E423, "")</f>
        <v/>
      </c>
      <c r="AL423" s="2" t="str">
        <f>IF(Source!$C423&gt;=COLUMNS($A423:AL423), Source!$E423, "")</f>
        <v/>
      </c>
      <c r="AM423" s="2" t="str">
        <f>IF(Source!$C423&gt;=COLUMNS($A423:AM423), Source!$E423, "")</f>
        <v/>
      </c>
      <c r="AN423" s="2" t="str">
        <f>IF(Source!$C423&gt;=COLUMNS($A423:AN423), Source!$E423, "")</f>
        <v/>
      </c>
      <c r="AO423" s="2" t="str">
        <f>IF(Source!$C423&gt;=COLUMNS($A423:AO423), Source!$E423, "")</f>
        <v/>
      </c>
      <c r="AP423" s="2" t="str">
        <f>IF(Source!$C423&gt;=COLUMNS($A423:AP423), Source!$E423, "")</f>
        <v/>
      </c>
      <c r="AQ423" s="2" t="str">
        <f>IF(Source!$C423&gt;=COLUMNS($A423:AQ423), Source!$E423, "")</f>
        <v/>
      </c>
      <c r="AR423" s="2" t="str">
        <f>IF(Source!$C423&gt;=COLUMNS($A423:AR423), Source!$E423, "")</f>
        <v/>
      </c>
    </row>
    <row r="424">
      <c r="A424" s="2">
        <f>IF(Source!$C424&gt;=COLUMNS($A424:A424), Source!$E424, "")</f>
        <v>2</v>
      </c>
      <c r="B424" s="2">
        <f>IF(Source!$C424&gt;=COLUMNS($A424:B424), Source!$E424, "")</f>
        <v>2</v>
      </c>
      <c r="C424" s="2" t="str">
        <f>IF(Source!$C424&gt;=COLUMNS($A424:C424), Source!$E424, "")</f>
        <v/>
      </c>
      <c r="D424" s="2" t="str">
        <f>IF(Source!$C424&gt;=COLUMNS($A424:D424), Source!$E424, "")</f>
        <v/>
      </c>
      <c r="E424" s="2" t="str">
        <f>IF(Source!$C424&gt;=COLUMNS($A424:E424), Source!$E424, "")</f>
        <v/>
      </c>
      <c r="F424" s="2" t="str">
        <f>IF(Source!$C424&gt;=COLUMNS($A424:F424), Source!$E424, "")</f>
        <v/>
      </c>
      <c r="G424" s="2" t="str">
        <f>IF(Source!$C424&gt;=COLUMNS($A424:G424), Source!$E424, "")</f>
        <v/>
      </c>
      <c r="H424" s="2" t="str">
        <f>IF(Source!$C424&gt;=COLUMNS($A424:H424), Source!$E424, "")</f>
        <v/>
      </c>
      <c r="I424" s="2" t="str">
        <f>IF(Source!$C424&gt;=COLUMNS($A424:I424), Source!$E424, "")</f>
        <v/>
      </c>
      <c r="J424" s="2" t="str">
        <f>IF(Source!$C424&gt;=COLUMNS($A424:J424), Source!$E424, "")</f>
        <v/>
      </c>
      <c r="K424" s="2" t="str">
        <f>IF(Source!$C424&gt;=COLUMNS($A424:K424), Source!$E424, "")</f>
        <v/>
      </c>
      <c r="L424" s="2" t="str">
        <f>IF(Source!$C424&gt;=COLUMNS($A424:L424), Source!$E424, "")</f>
        <v/>
      </c>
      <c r="M424" s="2" t="str">
        <f>IF(Source!$C424&gt;=COLUMNS($A424:M424), Source!$E424, "")</f>
        <v/>
      </c>
      <c r="N424" s="2" t="str">
        <f>IF(Source!$C424&gt;=COLUMNS($A424:N424), Source!$E424, "")</f>
        <v/>
      </c>
      <c r="O424" s="2" t="str">
        <f>IF(Source!$C424&gt;=COLUMNS($A424:O424), Source!$E424, "")</f>
        <v/>
      </c>
      <c r="P424" s="2" t="str">
        <f>IF(Source!$C424&gt;=COLUMNS($A424:P424), Source!$E424, "")</f>
        <v/>
      </c>
      <c r="Q424" s="2" t="str">
        <f>IF(Source!$C424&gt;=COLUMNS($A424:Q424), Source!$E424, "")</f>
        <v/>
      </c>
      <c r="R424" s="2" t="str">
        <f>IF(Source!$C424&gt;=COLUMNS($A424:R424), Source!$E424, "")</f>
        <v/>
      </c>
      <c r="S424" s="2" t="str">
        <f>IF(Source!$C424&gt;=COLUMNS($A424:S424), Source!$E424, "")</f>
        <v/>
      </c>
      <c r="T424" s="2" t="str">
        <f>IF(Source!$C424&gt;=COLUMNS($A424:T424), Source!$E424, "")</f>
        <v/>
      </c>
      <c r="U424" s="2" t="str">
        <f>IF(Source!$C424&gt;=COLUMNS($A424:U424), Source!$E424, "")</f>
        <v/>
      </c>
      <c r="V424" s="2" t="str">
        <f>IF(Source!$C424&gt;=COLUMNS($A424:V424), Source!$E424, "")</f>
        <v/>
      </c>
      <c r="W424" s="2" t="str">
        <f>IF(Source!$C424&gt;=COLUMNS($A424:W424), Source!$E424, "")</f>
        <v/>
      </c>
      <c r="X424" s="2" t="str">
        <f>IF(Source!$C424&gt;=COLUMNS($A424:X424), Source!$E424, "")</f>
        <v/>
      </c>
      <c r="Y424" s="2" t="str">
        <f>IF(Source!$C424&gt;=COLUMNS($A424:Y424), Source!$E424, "")</f>
        <v/>
      </c>
      <c r="Z424" s="2" t="str">
        <f>IF(Source!$C424&gt;=COLUMNS($A424:Z424), Source!$E424, "")</f>
        <v/>
      </c>
      <c r="AA424" s="2" t="str">
        <f>IF(Source!$C424&gt;=COLUMNS($A424:AA424), Source!$E424, "")</f>
        <v/>
      </c>
      <c r="AB424" s="2" t="str">
        <f>IF(Source!$C424&gt;=COLUMNS($A424:AB424), Source!$E424, "")</f>
        <v/>
      </c>
      <c r="AC424" s="2" t="str">
        <f>IF(Source!$C424&gt;=COLUMNS($A424:AC424), Source!$E424, "")</f>
        <v/>
      </c>
      <c r="AD424" s="2" t="str">
        <f>IF(Source!$C424&gt;=COLUMNS($A424:AD424), Source!$E424, "")</f>
        <v/>
      </c>
      <c r="AE424" s="2" t="str">
        <f>IF(Source!$C424&gt;=COLUMNS($A424:AE424), Source!$E424, "")</f>
        <v/>
      </c>
      <c r="AF424" s="2" t="str">
        <f>IF(Source!$C424&gt;=COLUMNS($A424:AF424), Source!$E424, "")</f>
        <v/>
      </c>
      <c r="AG424" s="2" t="str">
        <f>IF(Source!$C424&gt;=COLUMNS($A424:AG424), Source!$E424, "")</f>
        <v/>
      </c>
      <c r="AH424" s="2" t="str">
        <f>IF(Source!$C424&gt;=COLUMNS($A424:AH424), Source!$E424, "")</f>
        <v/>
      </c>
      <c r="AI424" s="2" t="str">
        <f>IF(Source!$C424&gt;=COLUMNS($A424:AI424), Source!$E424, "")</f>
        <v/>
      </c>
      <c r="AJ424" s="2" t="str">
        <f>IF(Source!$C424&gt;=COLUMNS($A424:AJ424), Source!$E424, "")</f>
        <v/>
      </c>
      <c r="AK424" s="2" t="str">
        <f>IF(Source!$C424&gt;=COLUMNS($A424:AK424), Source!$E424, "")</f>
        <v/>
      </c>
      <c r="AL424" s="2" t="str">
        <f>IF(Source!$C424&gt;=COLUMNS($A424:AL424), Source!$E424, "")</f>
        <v/>
      </c>
      <c r="AM424" s="2" t="str">
        <f>IF(Source!$C424&gt;=COLUMNS($A424:AM424), Source!$E424, "")</f>
        <v/>
      </c>
      <c r="AN424" s="2" t="str">
        <f>IF(Source!$C424&gt;=COLUMNS($A424:AN424), Source!$E424, "")</f>
        <v/>
      </c>
      <c r="AO424" s="2" t="str">
        <f>IF(Source!$C424&gt;=COLUMNS($A424:AO424), Source!$E424, "")</f>
        <v/>
      </c>
      <c r="AP424" s="2" t="str">
        <f>IF(Source!$C424&gt;=COLUMNS($A424:AP424), Source!$E424, "")</f>
        <v/>
      </c>
      <c r="AQ424" s="2" t="str">
        <f>IF(Source!$C424&gt;=COLUMNS($A424:AQ424), Source!$E424, "")</f>
        <v/>
      </c>
      <c r="AR424" s="2" t="str">
        <f>IF(Source!$C424&gt;=COLUMNS($A424:AR424), Source!$E424, "")</f>
        <v/>
      </c>
    </row>
    <row r="425">
      <c r="A425" s="2">
        <f>IF(Source!$C425&gt;=COLUMNS($A425:A425), Source!$E425, "")</f>
        <v>2</v>
      </c>
      <c r="B425" s="2" t="str">
        <f>IF(Source!$C425&gt;=COLUMNS($A425:B425), Source!$E425, "")</f>
        <v/>
      </c>
      <c r="C425" s="2" t="str">
        <f>IF(Source!$C425&gt;=COLUMNS($A425:C425), Source!$E425, "")</f>
        <v/>
      </c>
      <c r="D425" s="2" t="str">
        <f>IF(Source!$C425&gt;=COLUMNS($A425:D425), Source!$E425, "")</f>
        <v/>
      </c>
      <c r="E425" s="2" t="str">
        <f>IF(Source!$C425&gt;=COLUMNS($A425:E425), Source!$E425, "")</f>
        <v/>
      </c>
      <c r="F425" s="2" t="str">
        <f>IF(Source!$C425&gt;=COLUMNS($A425:F425), Source!$E425, "")</f>
        <v/>
      </c>
      <c r="G425" s="2" t="str">
        <f>IF(Source!$C425&gt;=COLUMNS($A425:G425), Source!$E425, "")</f>
        <v/>
      </c>
      <c r="H425" s="2" t="str">
        <f>IF(Source!$C425&gt;=COLUMNS($A425:H425), Source!$E425, "")</f>
        <v/>
      </c>
      <c r="I425" s="2" t="str">
        <f>IF(Source!$C425&gt;=COLUMNS($A425:I425), Source!$E425, "")</f>
        <v/>
      </c>
      <c r="J425" s="2" t="str">
        <f>IF(Source!$C425&gt;=COLUMNS($A425:J425), Source!$E425, "")</f>
        <v/>
      </c>
      <c r="K425" s="2" t="str">
        <f>IF(Source!$C425&gt;=COLUMNS($A425:K425), Source!$E425, "")</f>
        <v/>
      </c>
      <c r="L425" s="2" t="str">
        <f>IF(Source!$C425&gt;=COLUMNS($A425:L425), Source!$E425, "")</f>
        <v/>
      </c>
      <c r="M425" s="2" t="str">
        <f>IF(Source!$C425&gt;=COLUMNS($A425:M425), Source!$E425, "")</f>
        <v/>
      </c>
      <c r="N425" s="2" t="str">
        <f>IF(Source!$C425&gt;=COLUMNS($A425:N425), Source!$E425, "")</f>
        <v/>
      </c>
      <c r="O425" s="2" t="str">
        <f>IF(Source!$C425&gt;=COLUMNS($A425:O425), Source!$E425, "")</f>
        <v/>
      </c>
      <c r="P425" s="2" t="str">
        <f>IF(Source!$C425&gt;=COLUMNS($A425:P425), Source!$E425, "")</f>
        <v/>
      </c>
      <c r="Q425" s="2" t="str">
        <f>IF(Source!$C425&gt;=COLUMNS($A425:Q425), Source!$E425, "")</f>
        <v/>
      </c>
      <c r="R425" s="2" t="str">
        <f>IF(Source!$C425&gt;=COLUMNS($A425:R425), Source!$E425, "")</f>
        <v/>
      </c>
      <c r="S425" s="2" t="str">
        <f>IF(Source!$C425&gt;=COLUMNS($A425:S425), Source!$E425, "")</f>
        <v/>
      </c>
      <c r="T425" s="2" t="str">
        <f>IF(Source!$C425&gt;=COLUMNS($A425:T425), Source!$E425, "")</f>
        <v/>
      </c>
      <c r="U425" s="2" t="str">
        <f>IF(Source!$C425&gt;=COLUMNS($A425:U425), Source!$E425, "")</f>
        <v/>
      </c>
      <c r="V425" s="2" t="str">
        <f>IF(Source!$C425&gt;=COLUMNS($A425:V425), Source!$E425, "")</f>
        <v/>
      </c>
      <c r="W425" s="2" t="str">
        <f>IF(Source!$C425&gt;=COLUMNS($A425:W425), Source!$E425, "")</f>
        <v/>
      </c>
      <c r="X425" s="2" t="str">
        <f>IF(Source!$C425&gt;=COLUMNS($A425:X425), Source!$E425, "")</f>
        <v/>
      </c>
      <c r="Y425" s="2" t="str">
        <f>IF(Source!$C425&gt;=COLUMNS($A425:Y425), Source!$E425, "")</f>
        <v/>
      </c>
      <c r="Z425" s="2" t="str">
        <f>IF(Source!$C425&gt;=COLUMNS($A425:Z425), Source!$E425, "")</f>
        <v/>
      </c>
      <c r="AA425" s="2" t="str">
        <f>IF(Source!$C425&gt;=COLUMNS($A425:AA425), Source!$E425, "")</f>
        <v/>
      </c>
      <c r="AB425" s="2" t="str">
        <f>IF(Source!$C425&gt;=COLUMNS($A425:AB425), Source!$E425, "")</f>
        <v/>
      </c>
      <c r="AC425" s="2" t="str">
        <f>IF(Source!$C425&gt;=COLUMNS($A425:AC425), Source!$E425, "")</f>
        <v/>
      </c>
      <c r="AD425" s="2" t="str">
        <f>IF(Source!$C425&gt;=COLUMNS($A425:AD425), Source!$E425, "")</f>
        <v/>
      </c>
      <c r="AE425" s="2" t="str">
        <f>IF(Source!$C425&gt;=COLUMNS($A425:AE425), Source!$E425, "")</f>
        <v/>
      </c>
      <c r="AF425" s="2" t="str">
        <f>IF(Source!$C425&gt;=COLUMNS($A425:AF425), Source!$E425, "")</f>
        <v/>
      </c>
      <c r="AG425" s="2" t="str">
        <f>IF(Source!$C425&gt;=COLUMNS($A425:AG425), Source!$E425, "")</f>
        <v/>
      </c>
      <c r="AH425" s="2" t="str">
        <f>IF(Source!$C425&gt;=COLUMNS($A425:AH425), Source!$E425, "")</f>
        <v/>
      </c>
      <c r="AI425" s="2" t="str">
        <f>IF(Source!$C425&gt;=COLUMNS($A425:AI425), Source!$E425, "")</f>
        <v/>
      </c>
      <c r="AJ425" s="2" t="str">
        <f>IF(Source!$C425&gt;=COLUMNS($A425:AJ425), Source!$E425, "")</f>
        <v/>
      </c>
      <c r="AK425" s="2" t="str">
        <f>IF(Source!$C425&gt;=COLUMNS($A425:AK425), Source!$E425, "")</f>
        <v/>
      </c>
      <c r="AL425" s="2" t="str">
        <f>IF(Source!$C425&gt;=COLUMNS($A425:AL425), Source!$E425, "")</f>
        <v/>
      </c>
      <c r="AM425" s="2" t="str">
        <f>IF(Source!$C425&gt;=COLUMNS($A425:AM425), Source!$E425, "")</f>
        <v/>
      </c>
      <c r="AN425" s="2" t="str">
        <f>IF(Source!$C425&gt;=COLUMNS($A425:AN425), Source!$E425, "")</f>
        <v/>
      </c>
      <c r="AO425" s="2" t="str">
        <f>IF(Source!$C425&gt;=COLUMNS($A425:AO425), Source!$E425, "")</f>
        <v/>
      </c>
      <c r="AP425" s="2" t="str">
        <f>IF(Source!$C425&gt;=COLUMNS($A425:AP425), Source!$E425, "")</f>
        <v/>
      </c>
      <c r="AQ425" s="2" t="str">
        <f>IF(Source!$C425&gt;=COLUMNS($A425:AQ425), Source!$E425, "")</f>
        <v/>
      </c>
      <c r="AR425" s="2" t="str">
        <f>IF(Source!$C425&gt;=COLUMNS($A425:AR425), Source!$E425, "")</f>
        <v/>
      </c>
    </row>
    <row r="426">
      <c r="A426" s="2">
        <f>IF(Source!$C426&gt;=COLUMNS($A426:A426), Source!$E426, "")</f>
        <v>3</v>
      </c>
      <c r="B426" s="2">
        <f>IF(Source!$C426&gt;=COLUMNS($A426:B426), Source!$E426, "")</f>
        <v>3</v>
      </c>
      <c r="C426" s="2">
        <f>IF(Source!$C426&gt;=COLUMNS($A426:C426), Source!$E426, "")</f>
        <v>3</v>
      </c>
      <c r="D426" s="2" t="str">
        <f>IF(Source!$C426&gt;=COLUMNS($A426:D426), Source!$E426, "")</f>
        <v/>
      </c>
      <c r="E426" s="2" t="str">
        <f>IF(Source!$C426&gt;=COLUMNS($A426:E426), Source!$E426, "")</f>
        <v/>
      </c>
      <c r="F426" s="2" t="str">
        <f>IF(Source!$C426&gt;=COLUMNS($A426:F426), Source!$E426, "")</f>
        <v/>
      </c>
      <c r="G426" s="2" t="str">
        <f>IF(Source!$C426&gt;=COLUMNS($A426:G426), Source!$E426, "")</f>
        <v/>
      </c>
      <c r="H426" s="2" t="str">
        <f>IF(Source!$C426&gt;=COLUMNS($A426:H426), Source!$E426, "")</f>
        <v/>
      </c>
      <c r="I426" s="2" t="str">
        <f>IF(Source!$C426&gt;=COLUMNS($A426:I426), Source!$E426, "")</f>
        <v/>
      </c>
      <c r="J426" s="2" t="str">
        <f>IF(Source!$C426&gt;=COLUMNS($A426:J426), Source!$E426, "")</f>
        <v/>
      </c>
      <c r="K426" s="2" t="str">
        <f>IF(Source!$C426&gt;=COLUMNS($A426:K426), Source!$E426, "")</f>
        <v/>
      </c>
      <c r="L426" s="2" t="str">
        <f>IF(Source!$C426&gt;=COLUMNS($A426:L426), Source!$E426, "")</f>
        <v/>
      </c>
      <c r="M426" s="2" t="str">
        <f>IF(Source!$C426&gt;=COLUMNS($A426:M426), Source!$E426, "")</f>
        <v/>
      </c>
      <c r="N426" s="2" t="str">
        <f>IF(Source!$C426&gt;=COLUMNS($A426:N426), Source!$E426, "")</f>
        <v/>
      </c>
      <c r="O426" s="2" t="str">
        <f>IF(Source!$C426&gt;=COLUMNS($A426:O426), Source!$E426, "")</f>
        <v/>
      </c>
      <c r="P426" s="2" t="str">
        <f>IF(Source!$C426&gt;=COLUMNS($A426:P426), Source!$E426, "")</f>
        <v/>
      </c>
      <c r="Q426" s="2" t="str">
        <f>IF(Source!$C426&gt;=COLUMNS($A426:Q426), Source!$E426, "")</f>
        <v/>
      </c>
      <c r="R426" s="2" t="str">
        <f>IF(Source!$C426&gt;=COLUMNS($A426:R426), Source!$E426, "")</f>
        <v/>
      </c>
      <c r="S426" s="2" t="str">
        <f>IF(Source!$C426&gt;=COLUMNS($A426:S426), Source!$E426, "")</f>
        <v/>
      </c>
      <c r="T426" s="2" t="str">
        <f>IF(Source!$C426&gt;=COLUMNS($A426:T426), Source!$E426, "")</f>
        <v/>
      </c>
      <c r="U426" s="2" t="str">
        <f>IF(Source!$C426&gt;=COLUMNS($A426:U426), Source!$E426, "")</f>
        <v/>
      </c>
      <c r="V426" s="2" t="str">
        <f>IF(Source!$C426&gt;=COLUMNS($A426:V426), Source!$E426, "")</f>
        <v/>
      </c>
      <c r="W426" s="2" t="str">
        <f>IF(Source!$C426&gt;=COLUMNS($A426:W426), Source!$E426, "")</f>
        <v/>
      </c>
      <c r="X426" s="2" t="str">
        <f>IF(Source!$C426&gt;=COLUMNS($A426:X426), Source!$E426, "")</f>
        <v/>
      </c>
      <c r="Y426" s="2" t="str">
        <f>IF(Source!$C426&gt;=COLUMNS($A426:Y426), Source!$E426, "")</f>
        <v/>
      </c>
      <c r="Z426" s="2" t="str">
        <f>IF(Source!$C426&gt;=COLUMNS($A426:Z426), Source!$E426, "")</f>
        <v/>
      </c>
      <c r="AA426" s="2" t="str">
        <f>IF(Source!$C426&gt;=COLUMNS($A426:AA426), Source!$E426, "")</f>
        <v/>
      </c>
      <c r="AB426" s="2" t="str">
        <f>IF(Source!$C426&gt;=COLUMNS($A426:AB426), Source!$E426, "")</f>
        <v/>
      </c>
      <c r="AC426" s="2" t="str">
        <f>IF(Source!$C426&gt;=COLUMNS($A426:AC426), Source!$E426, "")</f>
        <v/>
      </c>
      <c r="AD426" s="2" t="str">
        <f>IF(Source!$C426&gt;=COLUMNS($A426:AD426), Source!$E426, "")</f>
        <v/>
      </c>
      <c r="AE426" s="2" t="str">
        <f>IF(Source!$C426&gt;=COLUMNS($A426:AE426), Source!$E426, "")</f>
        <v/>
      </c>
      <c r="AF426" s="2" t="str">
        <f>IF(Source!$C426&gt;=COLUMNS($A426:AF426), Source!$E426, "")</f>
        <v/>
      </c>
      <c r="AG426" s="2" t="str">
        <f>IF(Source!$C426&gt;=COLUMNS($A426:AG426), Source!$E426, "")</f>
        <v/>
      </c>
      <c r="AH426" s="2" t="str">
        <f>IF(Source!$C426&gt;=COLUMNS($A426:AH426), Source!$E426, "")</f>
        <v/>
      </c>
      <c r="AI426" s="2" t="str">
        <f>IF(Source!$C426&gt;=COLUMNS($A426:AI426), Source!$E426, "")</f>
        <v/>
      </c>
      <c r="AJ426" s="2" t="str">
        <f>IF(Source!$C426&gt;=COLUMNS($A426:AJ426), Source!$E426, "")</f>
        <v/>
      </c>
      <c r="AK426" s="2" t="str">
        <f>IF(Source!$C426&gt;=COLUMNS($A426:AK426), Source!$E426, "")</f>
        <v/>
      </c>
      <c r="AL426" s="2" t="str">
        <f>IF(Source!$C426&gt;=COLUMNS($A426:AL426), Source!$E426, "")</f>
        <v/>
      </c>
      <c r="AM426" s="2" t="str">
        <f>IF(Source!$C426&gt;=COLUMNS($A426:AM426), Source!$E426, "")</f>
        <v/>
      </c>
      <c r="AN426" s="2" t="str">
        <f>IF(Source!$C426&gt;=COLUMNS($A426:AN426), Source!$E426, "")</f>
        <v/>
      </c>
      <c r="AO426" s="2" t="str">
        <f>IF(Source!$C426&gt;=COLUMNS($A426:AO426), Source!$E426, "")</f>
        <v/>
      </c>
      <c r="AP426" s="2" t="str">
        <f>IF(Source!$C426&gt;=COLUMNS($A426:AP426), Source!$E426, "")</f>
        <v/>
      </c>
      <c r="AQ426" s="2" t="str">
        <f>IF(Source!$C426&gt;=COLUMNS($A426:AQ426), Source!$E426, "")</f>
        <v/>
      </c>
      <c r="AR426" s="2" t="str">
        <f>IF(Source!$C426&gt;=COLUMNS($A426:AR426), Source!$E426, "")</f>
        <v/>
      </c>
    </row>
    <row r="427">
      <c r="A427" s="2">
        <f>IF(Source!$C427&gt;=COLUMNS($A427:A427), Source!$E427, "")</f>
        <v>4</v>
      </c>
      <c r="B427" s="2">
        <f>IF(Source!$C427&gt;=COLUMNS($A427:B427), Source!$E427, "")</f>
        <v>4</v>
      </c>
      <c r="C427" s="2" t="str">
        <f>IF(Source!$C427&gt;=COLUMNS($A427:C427), Source!$E427, "")</f>
        <v/>
      </c>
      <c r="D427" s="2" t="str">
        <f>IF(Source!$C427&gt;=COLUMNS($A427:D427), Source!$E427, "")</f>
        <v/>
      </c>
      <c r="E427" s="2" t="str">
        <f>IF(Source!$C427&gt;=COLUMNS($A427:E427), Source!$E427, "")</f>
        <v/>
      </c>
      <c r="F427" s="2" t="str">
        <f>IF(Source!$C427&gt;=COLUMNS($A427:F427), Source!$E427, "")</f>
        <v/>
      </c>
      <c r="G427" s="2" t="str">
        <f>IF(Source!$C427&gt;=COLUMNS($A427:G427), Source!$E427, "")</f>
        <v/>
      </c>
      <c r="H427" s="2" t="str">
        <f>IF(Source!$C427&gt;=COLUMNS($A427:H427), Source!$E427, "")</f>
        <v/>
      </c>
      <c r="I427" s="2" t="str">
        <f>IF(Source!$C427&gt;=COLUMNS($A427:I427), Source!$E427, "")</f>
        <v/>
      </c>
      <c r="J427" s="2" t="str">
        <f>IF(Source!$C427&gt;=COLUMNS($A427:J427), Source!$E427, "")</f>
        <v/>
      </c>
      <c r="K427" s="2" t="str">
        <f>IF(Source!$C427&gt;=COLUMNS($A427:K427), Source!$E427, "")</f>
        <v/>
      </c>
      <c r="L427" s="2" t="str">
        <f>IF(Source!$C427&gt;=COLUMNS($A427:L427), Source!$E427, "")</f>
        <v/>
      </c>
      <c r="M427" s="2" t="str">
        <f>IF(Source!$C427&gt;=COLUMNS($A427:M427), Source!$E427, "")</f>
        <v/>
      </c>
      <c r="N427" s="2" t="str">
        <f>IF(Source!$C427&gt;=COLUMNS($A427:N427), Source!$E427, "")</f>
        <v/>
      </c>
      <c r="O427" s="2" t="str">
        <f>IF(Source!$C427&gt;=COLUMNS($A427:O427), Source!$E427, "")</f>
        <v/>
      </c>
      <c r="P427" s="2" t="str">
        <f>IF(Source!$C427&gt;=COLUMNS($A427:P427), Source!$E427, "")</f>
        <v/>
      </c>
      <c r="Q427" s="2" t="str">
        <f>IF(Source!$C427&gt;=COLUMNS($A427:Q427), Source!$E427, "")</f>
        <v/>
      </c>
      <c r="R427" s="2" t="str">
        <f>IF(Source!$C427&gt;=COLUMNS($A427:R427), Source!$E427, "")</f>
        <v/>
      </c>
      <c r="S427" s="2" t="str">
        <f>IF(Source!$C427&gt;=COLUMNS($A427:S427), Source!$E427, "")</f>
        <v/>
      </c>
      <c r="T427" s="2" t="str">
        <f>IF(Source!$C427&gt;=COLUMNS($A427:T427), Source!$E427, "")</f>
        <v/>
      </c>
      <c r="U427" s="2" t="str">
        <f>IF(Source!$C427&gt;=COLUMNS($A427:U427), Source!$E427, "")</f>
        <v/>
      </c>
      <c r="V427" s="2" t="str">
        <f>IF(Source!$C427&gt;=COLUMNS($A427:V427), Source!$E427, "")</f>
        <v/>
      </c>
      <c r="W427" s="2" t="str">
        <f>IF(Source!$C427&gt;=COLUMNS($A427:W427), Source!$E427, "")</f>
        <v/>
      </c>
      <c r="X427" s="2" t="str">
        <f>IF(Source!$C427&gt;=COLUMNS($A427:X427), Source!$E427, "")</f>
        <v/>
      </c>
      <c r="Y427" s="2" t="str">
        <f>IF(Source!$C427&gt;=COLUMNS($A427:Y427), Source!$E427, "")</f>
        <v/>
      </c>
      <c r="Z427" s="2" t="str">
        <f>IF(Source!$C427&gt;=COLUMNS($A427:Z427), Source!$E427, "")</f>
        <v/>
      </c>
      <c r="AA427" s="2" t="str">
        <f>IF(Source!$C427&gt;=COLUMNS($A427:AA427), Source!$E427, "")</f>
        <v/>
      </c>
      <c r="AB427" s="2" t="str">
        <f>IF(Source!$C427&gt;=COLUMNS($A427:AB427), Source!$E427, "")</f>
        <v/>
      </c>
      <c r="AC427" s="2" t="str">
        <f>IF(Source!$C427&gt;=COLUMNS($A427:AC427), Source!$E427, "")</f>
        <v/>
      </c>
      <c r="AD427" s="2" t="str">
        <f>IF(Source!$C427&gt;=COLUMNS($A427:AD427), Source!$E427, "")</f>
        <v/>
      </c>
      <c r="AE427" s="2" t="str">
        <f>IF(Source!$C427&gt;=COLUMNS($A427:AE427), Source!$E427, "")</f>
        <v/>
      </c>
      <c r="AF427" s="2" t="str">
        <f>IF(Source!$C427&gt;=COLUMNS($A427:AF427), Source!$E427, "")</f>
        <v/>
      </c>
      <c r="AG427" s="2" t="str">
        <f>IF(Source!$C427&gt;=COLUMNS($A427:AG427), Source!$E427, "")</f>
        <v/>
      </c>
      <c r="AH427" s="2" t="str">
        <f>IF(Source!$C427&gt;=COLUMNS($A427:AH427), Source!$E427, "")</f>
        <v/>
      </c>
      <c r="AI427" s="2" t="str">
        <f>IF(Source!$C427&gt;=COLUMNS($A427:AI427), Source!$E427, "")</f>
        <v/>
      </c>
      <c r="AJ427" s="2" t="str">
        <f>IF(Source!$C427&gt;=COLUMNS($A427:AJ427), Source!$E427, "")</f>
        <v/>
      </c>
      <c r="AK427" s="2" t="str">
        <f>IF(Source!$C427&gt;=COLUMNS($A427:AK427), Source!$E427, "")</f>
        <v/>
      </c>
      <c r="AL427" s="2" t="str">
        <f>IF(Source!$C427&gt;=COLUMNS($A427:AL427), Source!$E427, "")</f>
        <v/>
      </c>
      <c r="AM427" s="2" t="str">
        <f>IF(Source!$C427&gt;=COLUMNS($A427:AM427), Source!$E427, "")</f>
        <v/>
      </c>
      <c r="AN427" s="2" t="str">
        <f>IF(Source!$C427&gt;=COLUMNS($A427:AN427), Source!$E427, "")</f>
        <v/>
      </c>
      <c r="AO427" s="2" t="str">
        <f>IF(Source!$C427&gt;=COLUMNS($A427:AO427), Source!$E427, "")</f>
        <v/>
      </c>
      <c r="AP427" s="2" t="str">
        <f>IF(Source!$C427&gt;=COLUMNS($A427:AP427), Source!$E427, "")</f>
        <v/>
      </c>
      <c r="AQ427" s="2" t="str">
        <f>IF(Source!$C427&gt;=COLUMNS($A427:AQ427), Source!$E427, "")</f>
        <v/>
      </c>
      <c r="AR427" s="2" t="str">
        <f>IF(Source!$C427&gt;=COLUMNS($A427:AR427), Source!$E427, "")</f>
        <v/>
      </c>
    </row>
    <row r="428">
      <c r="A428" s="2">
        <f>IF(Source!$C428&gt;=COLUMNS($A428:A428), Source!$E428, "")</f>
        <v>3</v>
      </c>
      <c r="B428" s="2">
        <f>IF(Source!$C428&gt;=COLUMNS($A428:B428), Source!$E428, "")</f>
        <v>3</v>
      </c>
      <c r="C428" s="2">
        <f>IF(Source!$C428&gt;=COLUMNS($A428:C428), Source!$E428, "")</f>
        <v>3</v>
      </c>
      <c r="D428" s="2" t="str">
        <f>IF(Source!$C428&gt;=COLUMNS($A428:D428), Source!$E428, "")</f>
        <v/>
      </c>
      <c r="E428" s="2" t="str">
        <f>IF(Source!$C428&gt;=COLUMNS($A428:E428), Source!$E428, "")</f>
        <v/>
      </c>
      <c r="F428" s="2" t="str">
        <f>IF(Source!$C428&gt;=COLUMNS($A428:F428), Source!$E428, "")</f>
        <v/>
      </c>
      <c r="G428" s="2" t="str">
        <f>IF(Source!$C428&gt;=COLUMNS($A428:G428), Source!$E428, "")</f>
        <v/>
      </c>
      <c r="H428" s="2" t="str">
        <f>IF(Source!$C428&gt;=COLUMNS($A428:H428), Source!$E428, "")</f>
        <v/>
      </c>
      <c r="I428" s="2" t="str">
        <f>IF(Source!$C428&gt;=COLUMNS($A428:I428), Source!$E428, "")</f>
        <v/>
      </c>
      <c r="J428" s="2" t="str">
        <f>IF(Source!$C428&gt;=COLUMNS($A428:J428), Source!$E428, "")</f>
        <v/>
      </c>
      <c r="K428" s="2" t="str">
        <f>IF(Source!$C428&gt;=COLUMNS($A428:K428), Source!$E428, "")</f>
        <v/>
      </c>
      <c r="L428" s="2" t="str">
        <f>IF(Source!$C428&gt;=COLUMNS($A428:L428), Source!$E428, "")</f>
        <v/>
      </c>
      <c r="M428" s="2" t="str">
        <f>IF(Source!$C428&gt;=COLUMNS($A428:M428), Source!$E428, "")</f>
        <v/>
      </c>
      <c r="N428" s="2" t="str">
        <f>IF(Source!$C428&gt;=COLUMNS($A428:N428), Source!$E428, "")</f>
        <v/>
      </c>
      <c r="O428" s="2" t="str">
        <f>IF(Source!$C428&gt;=COLUMNS($A428:O428), Source!$E428, "")</f>
        <v/>
      </c>
      <c r="P428" s="2" t="str">
        <f>IF(Source!$C428&gt;=COLUMNS($A428:P428), Source!$E428, "")</f>
        <v/>
      </c>
      <c r="Q428" s="2" t="str">
        <f>IF(Source!$C428&gt;=COLUMNS($A428:Q428), Source!$E428, "")</f>
        <v/>
      </c>
      <c r="R428" s="2" t="str">
        <f>IF(Source!$C428&gt;=COLUMNS($A428:R428), Source!$E428, "")</f>
        <v/>
      </c>
      <c r="S428" s="2" t="str">
        <f>IF(Source!$C428&gt;=COLUMNS($A428:S428), Source!$E428, "")</f>
        <v/>
      </c>
      <c r="T428" s="2" t="str">
        <f>IF(Source!$C428&gt;=COLUMNS($A428:T428), Source!$E428, "")</f>
        <v/>
      </c>
      <c r="U428" s="2" t="str">
        <f>IF(Source!$C428&gt;=COLUMNS($A428:U428), Source!$E428, "")</f>
        <v/>
      </c>
      <c r="V428" s="2" t="str">
        <f>IF(Source!$C428&gt;=COLUMNS($A428:V428), Source!$E428, "")</f>
        <v/>
      </c>
      <c r="W428" s="2" t="str">
        <f>IF(Source!$C428&gt;=COLUMNS($A428:W428), Source!$E428, "")</f>
        <v/>
      </c>
      <c r="X428" s="2" t="str">
        <f>IF(Source!$C428&gt;=COLUMNS($A428:X428), Source!$E428, "")</f>
        <v/>
      </c>
      <c r="Y428" s="2" t="str">
        <f>IF(Source!$C428&gt;=COLUMNS($A428:Y428), Source!$E428, "")</f>
        <v/>
      </c>
      <c r="Z428" s="2" t="str">
        <f>IF(Source!$C428&gt;=COLUMNS($A428:Z428), Source!$E428, "")</f>
        <v/>
      </c>
      <c r="AA428" s="2" t="str">
        <f>IF(Source!$C428&gt;=COLUMNS($A428:AA428), Source!$E428, "")</f>
        <v/>
      </c>
      <c r="AB428" s="2" t="str">
        <f>IF(Source!$C428&gt;=COLUMNS($A428:AB428), Source!$E428, "")</f>
        <v/>
      </c>
      <c r="AC428" s="2" t="str">
        <f>IF(Source!$C428&gt;=COLUMNS($A428:AC428), Source!$E428, "")</f>
        <v/>
      </c>
      <c r="AD428" s="2" t="str">
        <f>IF(Source!$C428&gt;=COLUMNS($A428:AD428), Source!$E428, "")</f>
        <v/>
      </c>
      <c r="AE428" s="2" t="str">
        <f>IF(Source!$C428&gt;=COLUMNS($A428:AE428), Source!$E428, "")</f>
        <v/>
      </c>
      <c r="AF428" s="2" t="str">
        <f>IF(Source!$C428&gt;=COLUMNS($A428:AF428), Source!$E428, "")</f>
        <v/>
      </c>
      <c r="AG428" s="2" t="str">
        <f>IF(Source!$C428&gt;=COLUMNS($A428:AG428), Source!$E428, "")</f>
        <v/>
      </c>
      <c r="AH428" s="2" t="str">
        <f>IF(Source!$C428&gt;=COLUMNS($A428:AH428), Source!$E428, "")</f>
        <v/>
      </c>
      <c r="AI428" s="2" t="str">
        <f>IF(Source!$C428&gt;=COLUMNS($A428:AI428), Source!$E428, "")</f>
        <v/>
      </c>
      <c r="AJ428" s="2" t="str">
        <f>IF(Source!$C428&gt;=COLUMNS($A428:AJ428), Source!$E428, "")</f>
        <v/>
      </c>
      <c r="AK428" s="2" t="str">
        <f>IF(Source!$C428&gt;=COLUMNS($A428:AK428), Source!$E428, "")</f>
        <v/>
      </c>
      <c r="AL428" s="2" t="str">
        <f>IF(Source!$C428&gt;=COLUMNS($A428:AL428), Source!$E428, "")</f>
        <v/>
      </c>
      <c r="AM428" s="2" t="str">
        <f>IF(Source!$C428&gt;=COLUMNS($A428:AM428), Source!$E428, "")</f>
        <v/>
      </c>
      <c r="AN428" s="2" t="str">
        <f>IF(Source!$C428&gt;=COLUMNS($A428:AN428), Source!$E428, "")</f>
        <v/>
      </c>
      <c r="AO428" s="2" t="str">
        <f>IF(Source!$C428&gt;=COLUMNS($A428:AO428), Source!$E428, "")</f>
        <v/>
      </c>
      <c r="AP428" s="2" t="str">
        <f>IF(Source!$C428&gt;=COLUMNS($A428:AP428), Source!$E428, "")</f>
        <v/>
      </c>
      <c r="AQ428" s="2" t="str">
        <f>IF(Source!$C428&gt;=COLUMNS($A428:AQ428), Source!$E428, "")</f>
        <v/>
      </c>
      <c r="AR428" s="2" t="str">
        <f>IF(Source!$C428&gt;=COLUMNS($A428:AR428), Source!$E428, "")</f>
        <v/>
      </c>
    </row>
    <row r="429">
      <c r="A429" s="2">
        <f>IF(Source!$C429&gt;=COLUMNS($A429:A429), Source!$E429, "")</f>
        <v>1</v>
      </c>
      <c r="B429" s="2">
        <f>IF(Source!$C429&gt;=COLUMNS($A429:B429), Source!$E429, "")</f>
        <v>1</v>
      </c>
      <c r="C429" s="2">
        <f>IF(Source!$C429&gt;=COLUMNS($A429:C429), Source!$E429, "")</f>
        <v>1</v>
      </c>
      <c r="D429" s="2">
        <f>IF(Source!$C429&gt;=COLUMNS($A429:D429), Source!$E429, "")</f>
        <v>1</v>
      </c>
      <c r="E429" s="2" t="str">
        <f>IF(Source!$C429&gt;=COLUMNS($A429:E429), Source!$E429, "")</f>
        <v/>
      </c>
      <c r="F429" s="2" t="str">
        <f>IF(Source!$C429&gt;=COLUMNS($A429:F429), Source!$E429, "")</f>
        <v/>
      </c>
      <c r="G429" s="2" t="str">
        <f>IF(Source!$C429&gt;=COLUMNS($A429:G429), Source!$E429, "")</f>
        <v/>
      </c>
      <c r="H429" s="2" t="str">
        <f>IF(Source!$C429&gt;=COLUMNS($A429:H429), Source!$E429, "")</f>
        <v/>
      </c>
      <c r="I429" s="2" t="str">
        <f>IF(Source!$C429&gt;=COLUMNS($A429:I429), Source!$E429, "")</f>
        <v/>
      </c>
      <c r="J429" s="2" t="str">
        <f>IF(Source!$C429&gt;=COLUMNS($A429:J429), Source!$E429, "")</f>
        <v/>
      </c>
      <c r="K429" s="2" t="str">
        <f>IF(Source!$C429&gt;=COLUMNS($A429:K429), Source!$E429, "")</f>
        <v/>
      </c>
      <c r="L429" s="2" t="str">
        <f>IF(Source!$C429&gt;=COLUMNS($A429:L429), Source!$E429, "")</f>
        <v/>
      </c>
      <c r="M429" s="2" t="str">
        <f>IF(Source!$C429&gt;=COLUMNS($A429:M429), Source!$E429, "")</f>
        <v/>
      </c>
      <c r="N429" s="2" t="str">
        <f>IF(Source!$C429&gt;=COLUMNS($A429:N429), Source!$E429, "")</f>
        <v/>
      </c>
      <c r="O429" s="2" t="str">
        <f>IF(Source!$C429&gt;=COLUMNS($A429:O429), Source!$E429, "")</f>
        <v/>
      </c>
      <c r="P429" s="2" t="str">
        <f>IF(Source!$C429&gt;=COLUMNS($A429:P429), Source!$E429, "")</f>
        <v/>
      </c>
      <c r="Q429" s="2" t="str">
        <f>IF(Source!$C429&gt;=COLUMNS($A429:Q429), Source!$E429, "")</f>
        <v/>
      </c>
      <c r="R429" s="2" t="str">
        <f>IF(Source!$C429&gt;=COLUMNS($A429:R429), Source!$E429, "")</f>
        <v/>
      </c>
      <c r="S429" s="2" t="str">
        <f>IF(Source!$C429&gt;=COLUMNS($A429:S429), Source!$E429, "")</f>
        <v/>
      </c>
      <c r="T429" s="2" t="str">
        <f>IF(Source!$C429&gt;=COLUMNS($A429:T429), Source!$E429, "")</f>
        <v/>
      </c>
      <c r="U429" s="2" t="str">
        <f>IF(Source!$C429&gt;=COLUMNS($A429:U429), Source!$E429, "")</f>
        <v/>
      </c>
      <c r="V429" s="2" t="str">
        <f>IF(Source!$C429&gt;=COLUMNS($A429:V429), Source!$E429, "")</f>
        <v/>
      </c>
      <c r="W429" s="2" t="str">
        <f>IF(Source!$C429&gt;=COLUMNS($A429:W429), Source!$E429, "")</f>
        <v/>
      </c>
      <c r="X429" s="2" t="str">
        <f>IF(Source!$C429&gt;=COLUMNS($A429:X429), Source!$E429, "")</f>
        <v/>
      </c>
      <c r="Y429" s="2" t="str">
        <f>IF(Source!$C429&gt;=COLUMNS($A429:Y429), Source!$E429, "")</f>
        <v/>
      </c>
      <c r="Z429" s="2" t="str">
        <f>IF(Source!$C429&gt;=COLUMNS($A429:Z429), Source!$E429, "")</f>
        <v/>
      </c>
      <c r="AA429" s="2" t="str">
        <f>IF(Source!$C429&gt;=COLUMNS($A429:AA429), Source!$E429, "")</f>
        <v/>
      </c>
      <c r="AB429" s="2" t="str">
        <f>IF(Source!$C429&gt;=COLUMNS($A429:AB429), Source!$E429, "")</f>
        <v/>
      </c>
      <c r="AC429" s="2" t="str">
        <f>IF(Source!$C429&gt;=COLUMNS($A429:AC429), Source!$E429, "")</f>
        <v/>
      </c>
      <c r="AD429" s="2" t="str">
        <f>IF(Source!$C429&gt;=COLUMNS($A429:AD429), Source!$E429, "")</f>
        <v/>
      </c>
      <c r="AE429" s="2" t="str">
        <f>IF(Source!$C429&gt;=COLUMNS($A429:AE429), Source!$E429, "")</f>
        <v/>
      </c>
      <c r="AF429" s="2" t="str">
        <f>IF(Source!$C429&gt;=COLUMNS($A429:AF429), Source!$E429, "")</f>
        <v/>
      </c>
      <c r="AG429" s="2" t="str">
        <f>IF(Source!$C429&gt;=COLUMNS($A429:AG429), Source!$E429, "")</f>
        <v/>
      </c>
      <c r="AH429" s="2" t="str">
        <f>IF(Source!$C429&gt;=COLUMNS($A429:AH429), Source!$E429, "")</f>
        <v/>
      </c>
      <c r="AI429" s="2" t="str">
        <f>IF(Source!$C429&gt;=COLUMNS($A429:AI429), Source!$E429, "")</f>
        <v/>
      </c>
      <c r="AJ429" s="2" t="str">
        <f>IF(Source!$C429&gt;=COLUMNS($A429:AJ429), Source!$E429, "")</f>
        <v/>
      </c>
      <c r="AK429" s="2" t="str">
        <f>IF(Source!$C429&gt;=COLUMNS($A429:AK429), Source!$E429, "")</f>
        <v/>
      </c>
      <c r="AL429" s="2" t="str">
        <f>IF(Source!$C429&gt;=COLUMNS($A429:AL429), Source!$E429, "")</f>
        <v/>
      </c>
      <c r="AM429" s="2" t="str">
        <f>IF(Source!$C429&gt;=COLUMNS($A429:AM429), Source!$E429, "")</f>
        <v/>
      </c>
      <c r="AN429" s="2" t="str">
        <f>IF(Source!$C429&gt;=COLUMNS($A429:AN429), Source!$E429, "")</f>
        <v/>
      </c>
      <c r="AO429" s="2" t="str">
        <f>IF(Source!$C429&gt;=COLUMNS($A429:AO429), Source!$E429, "")</f>
        <v/>
      </c>
      <c r="AP429" s="2" t="str">
        <f>IF(Source!$C429&gt;=COLUMNS($A429:AP429), Source!$E429, "")</f>
        <v/>
      </c>
      <c r="AQ429" s="2" t="str">
        <f>IF(Source!$C429&gt;=COLUMNS($A429:AQ429), Source!$E429, "")</f>
        <v/>
      </c>
      <c r="AR429" s="2" t="str">
        <f>IF(Source!$C429&gt;=COLUMNS($A429:AR429), Source!$E429, "")</f>
        <v/>
      </c>
    </row>
    <row r="430">
      <c r="A430" s="2">
        <f>IF(Source!$C430&gt;=COLUMNS($A430:A430), Source!$E430, "")</f>
        <v>8</v>
      </c>
      <c r="B430" s="2">
        <f>IF(Source!$C430&gt;=COLUMNS($A430:B430), Source!$E430, "")</f>
        <v>8</v>
      </c>
      <c r="C430" s="2" t="str">
        <f>IF(Source!$C430&gt;=COLUMNS($A430:C430), Source!$E430, "")</f>
        <v/>
      </c>
      <c r="D430" s="2" t="str">
        <f>IF(Source!$C430&gt;=COLUMNS($A430:D430), Source!$E430, "")</f>
        <v/>
      </c>
      <c r="E430" s="2" t="str">
        <f>IF(Source!$C430&gt;=COLUMNS($A430:E430), Source!$E430, "")</f>
        <v/>
      </c>
      <c r="F430" s="2" t="str">
        <f>IF(Source!$C430&gt;=COLUMNS($A430:F430), Source!$E430, "")</f>
        <v/>
      </c>
      <c r="G430" s="2" t="str">
        <f>IF(Source!$C430&gt;=COLUMNS($A430:G430), Source!$E430, "")</f>
        <v/>
      </c>
      <c r="H430" s="2" t="str">
        <f>IF(Source!$C430&gt;=COLUMNS($A430:H430), Source!$E430, "")</f>
        <v/>
      </c>
      <c r="I430" s="2" t="str">
        <f>IF(Source!$C430&gt;=COLUMNS($A430:I430), Source!$E430, "")</f>
        <v/>
      </c>
      <c r="J430" s="2" t="str">
        <f>IF(Source!$C430&gt;=COLUMNS($A430:J430), Source!$E430, "")</f>
        <v/>
      </c>
      <c r="K430" s="2" t="str">
        <f>IF(Source!$C430&gt;=COLUMNS($A430:K430), Source!$E430, "")</f>
        <v/>
      </c>
      <c r="L430" s="2" t="str">
        <f>IF(Source!$C430&gt;=COLUMNS($A430:L430), Source!$E430, "")</f>
        <v/>
      </c>
      <c r="M430" s="2" t="str">
        <f>IF(Source!$C430&gt;=COLUMNS($A430:M430), Source!$E430, "")</f>
        <v/>
      </c>
      <c r="N430" s="2" t="str">
        <f>IF(Source!$C430&gt;=COLUMNS($A430:N430), Source!$E430, "")</f>
        <v/>
      </c>
      <c r="O430" s="2" t="str">
        <f>IF(Source!$C430&gt;=COLUMNS($A430:O430), Source!$E430, "")</f>
        <v/>
      </c>
      <c r="P430" s="2" t="str">
        <f>IF(Source!$C430&gt;=COLUMNS($A430:P430), Source!$E430, "")</f>
        <v/>
      </c>
      <c r="Q430" s="2" t="str">
        <f>IF(Source!$C430&gt;=COLUMNS($A430:Q430), Source!$E430, "")</f>
        <v/>
      </c>
      <c r="R430" s="2" t="str">
        <f>IF(Source!$C430&gt;=COLUMNS($A430:R430), Source!$E430, "")</f>
        <v/>
      </c>
      <c r="S430" s="2" t="str">
        <f>IF(Source!$C430&gt;=COLUMNS($A430:S430), Source!$E430, "")</f>
        <v/>
      </c>
      <c r="T430" s="2" t="str">
        <f>IF(Source!$C430&gt;=COLUMNS($A430:T430), Source!$E430, "")</f>
        <v/>
      </c>
      <c r="U430" s="2" t="str">
        <f>IF(Source!$C430&gt;=COLUMNS($A430:U430), Source!$E430, "")</f>
        <v/>
      </c>
      <c r="V430" s="2" t="str">
        <f>IF(Source!$C430&gt;=COLUMNS($A430:V430), Source!$E430, "")</f>
        <v/>
      </c>
      <c r="W430" s="2" t="str">
        <f>IF(Source!$C430&gt;=COLUMNS($A430:W430), Source!$E430, "")</f>
        <v/>
      </c>
      <c r="X430" s="2" t="str">
        <f>IF(Source!$C430&gt;=COLUMNS($A430:X430), Source!$E430, "")</f>
        <v/>
      </c>
      <c r="Y430" s="2" t="str">
        <f>IF(Source!$C430&gt;=COLUMNS($A430:Y430), Source!$E430, "")</f>
        <v/>
      </c>
      <c r="Z430" s="2" t="str">
        <f>IF(Source!$C430&gt;=COLUMNS($A430:Z430), Source!$E430, "")</f>
        <v/>
      </c>
      <c r="AA430" s="2" t="str">
        <f>IF(Source!$C430&gt;=COLUMNS($A430:AA430), Source!$E430, "")</f>
        <v/>
      </c>
      <c r="AB430" s="2" t="str">
        <f>IF(Source!$C430&gt;=COLUMNS($A430:AB430), Source!$E430, "")</f>
        <v/>
      </c>
      <c r="AC430" s="2" t="str">
        <f>IF(Source!$C430&gt;=COLUMNS($A430:AC430), Source!$E430, "")</f>
        <v/>
      </c>
      <c r="AD430" s="2" t="str">
        <f>IF(Source!$C430&gt;=COLUMNS($A430:AD430), Source!$E430, "")</f>
        <v/>
      </c>
      <c r="AE430" s="2" t="str">
        <f>IF(Source!$C430&gt;=COLUMNS($A430:AE430), Source!$E430, "")</f>
        <v/>
      </c>
      <c r="AF430" s="2" t="str">
        <f>IF(Source!$C430&gt;=COLUMNS($A430:AF430), Source!$E430, "")</f>
        <v/>
      </c>
      <c r="AG430" s="2" t="str">
        <f>IF(Source!$C430&gt;=COLUMNS($A430:AG430), Source!$E430, "")</f>
        <v/>
      </c>
      <c r="AH430" s="2" t="str">
        <f>IF(Source!$C430&gt;=COLUMNS($A430:AH430), Source!$E430, "")</f>
        <v/>
      </c>
      <c r="AI430" s="2" t="str">
        <f>IF(Source!$C430&gt;=COLUMNS($A430:AI430), Source!$E430, "")</f>
        <v/>
      </c>
      <c r="AJ430" s="2" t="str">
        <f>IF(Source!$C430&gt;=COLUMNS($A430:AJ430), Source!$E430, "")</f>
        <v/>
      </c>
      <c r="AK430" s="2" t="str">
        <f>IF(Source!$C430&gt;=COLUMNS($A430:AK430), Source!$E430, "")</f>
        <v/>
      </c>
      <c r="AL430" s="2" t="str">
        <f>IF(Source!$C430&gt;=COLUMNS($A430:AL430), Source!$E430, "")</f>
        <v/>
      </c>
      <c r="AM430" s="2" t="str">
        <f>IF(Source!$C430&gt;=COLUMNS($A430:AM430), Source!$E430, "")</f>
        <v/>
      </c>
      <c r="AN430" s="2" t="str">
        <f>IF(Source!$C430&gt;=COLUMNS($A430:AN430), Source!$E430, "")</f>
        <v/>
      </c>
      <c r="AO430" s="2" t="str">
        <f>IF(Source!$C430&gt;=COLUMNS($A430:AO430), Source!$E430, "")</f>
        <v/>
      </c>
      <c r="AP430" s="2" t="str">
        <f>IF(Source!$C430&gt;=COLUMNS($A430:AP430), Source!$E430, "")</f>
        <v/>
      </c>
      <c r="AQ430" s="2" t="str">
        <f>IF(Source!$C430&gt;=COLUMNS($A430:AQ430), Source!$E430, "")</f>
        <v/>
      </c>
      <c r="AR430" s="2" t="str">
        <f>IF(Source!$C430&gt;=COLUMNS($A430:AR430), Source!$E430, "")</f>
        <v/>
      </c>
    </row>
    <row r="431">
      <c r="A431" s="2">
        <f>IF(Source!$C431&gt;=COLUMNS($A431:A431), Source!$E431, "")</f>
        <v>9</v>
      </c>
      <c r="B431" s="2">
        <f>IF(Source!$C431&gt;=COLUMNS($A431:B431), Source!$E431, "")</f>
        <v>9</v>
      </c>
      <c r="C431" s="2">
        <f>IF(Source!$C431&gt;=COLUMNS($A431:C431), Source!$E431, "")</f>
        <v>9</v>
      </c>
      <c r="D431" s="2">
        <f>IF(Source!$C431&gt;=COLUMNS($A431:D431), Source!$E431, "")</f>
        <v>9</v>
      </c>
      <c r="E431" s="2">
        <f>IF(Source!$C431&gt;=COLUMNS($A431:E431), Source!$E431, "")</f>
        <v>9</v>
      </c>
      <c r="F431" s="2">
        <f>IF(Source!$C431&gt;=COLUMNS($A431:F431), Source!$E431, "")</f>
        <v>9</v>
      </c>
      <c r="G431" s="2">
        <f>IF(Source!$C431&gt;=COLUMNS($A431:G431), Source!$E431, "")</f>
        <v>9</v>
      </c>
      <c r="H431" s="2" t="str">
        <f>IF(Source!$C431&gt;=COLUMNS($A431:H431), Source!$E431, "")</f>
        <v/>
      </c>
      <c r="I431" s="2" t="str">
        <f>IF(Source!$C431&gt;=COLUMNS($A431:I431), Source!$E431, "")</f>
        <v/>
      </c>
      <c r="J431" s="2" t="str">
        <f>IF(Source!$C431&gt;=COLUMNS($A431:J431), Source!$E431, "")</f>
        <v/>
      </c>
      <c r="K431" s="2" t="str">
        <f>IF(Source!$C431&gt;=COLUMNS($A431:K431), Source!$E431, "")</f>
        <v/>
      </c>
      <c r="L431" s="2" t="str">
        <f>IF(Source!$C431&gt;=COLUMNS($A431:L431), Source!$E431, "")</f>
        <v/>
      </c>
      <c r="M431" s="2" t="str">
        <f>IF(Source!$C431&gt;=COLUMNS($A431:M431), Source!$E431, "")</f>
        <v/>
      </c>
      <c r="N431" s="2" t="str">
        <f>IF(Source!$C431&gt;=COLUMNS($A431:N431), Source!$E431, "")</f>
        <v/>
      </c>
      <c r="O431" s="2" t="str">
        <f>IF(Source!$C431&gt;=COLUMNS($A431:O431), Source!$E431, "")</f>
        <v/>
      </c>
      <c r="P431" s="2" t="str">
        <f>IF(Source!$C431&gt;=COLUMNS($A431:P431), Source!$E431, "")</f>
        <v/>
      </c>
      <c r="Q431" s="2" t="str">
        <f>IF(Source!$C431&gt;=COLUMNS($A431:Q431), Source!$E431, "")</f>
        <v/>
      </c>
      <c r="R431" s="2" t="str">
        <f>IF(Source!$C431&gt;=COLUMNS($A431:R431), Source!$E431, "")</f>
        <v/>
      </c>
      <c r="S431" s="2" t="str">
        <f>IF(Source!$C431&gt;=COLUMNS($A431:S431), Source!$E431, "")</f>
        <v/>
      </c>
      <c r="T431" s="2" t="str">
        <f>IF(Source!$C431&gt;=COLUMNS($A431:T431), Source!$E431, "")</f>
        <v/>
      </c>
      <c r="U431" s="2" t="str">
        <f>IF(Source!$C431&gt;=COLUMNS($A431:U431), Source!$E431, "")</f>
        <v/>
      </c>
      <c r="V431" s="2" t="str">
        <f>IF(Source!$C431&gt;=COLUMNS($A431:V431), Source!$E431, "")</f>
        <v/>
      </c>
      <c r="W431" s="2" t="str">
        <f>IF(Source!$C431&gt;=COLUMNS($A431:W431), Source!$E431, "")</f>
        <v/>
      </c>
      <c r="X431" s="2" t="str">
        <f>IF(Source!$C431&gt;=COLUMNS($A431:X431), Source!$E431, "")</f>
        <v/>
      </c>
      <c r="Y431" s="2" t="str">
        <f>IF(Source!$C431&gt;=COLUMNS($A431:Y431), Source!$E431, "")</f>
        <v/>
      </c>
      <c r="Z431" s="2" t="str">
        <f>IF(Source!$C431&gt;=COLUMNS($A431:Z431), Source!$E431, "")</f>
        <v/>
      </c>
      <c r="AA431" s="2" t="str">
        <f>IF(Source!$C431&gt;=COLUMNS($A431:AA431), Source!$E431, "")</f>
        <v/>
      </c>
      <c r="AB431" s="2" t="str">
        <f>IF(Source!$C431&gt;=COLUMNS($A431:AB431), Source!$E431, "")</f>
        <v/>
      </c>
      <c r="AC431" s="2" t="str">
        <f>IF(Source!$C431&gt;=COLUMNS($A431:AC431), Source!$E431, "")</f>
        <v/>
      </c>
      <c r="AD431" s="2" t="str">
        <f>IF(Source!$C431&gt;=COLUMNS($A431:AD431), Source!$E431, "")</f>
        <v/>
      </c>
      <c r="AE431" s="2" t="str">
        <f>IF(Source!$C431&gt;=COLUMNS($A431:AE431), Source!$E431, "")</f>
        <v/>
      </c>
      <c r="AF431" s="2" t="str">
        <f>IF(Source!$C431&gt;=COLUMNS($A431:AF431), Source!$E431, "")</f>
        <v/>
      </c>
      <c r="AG431" s="2" t="str">
        <f>IF(Source!$C431&gt;=COLUMNS($A431:AG431), Source!$E431, "")</f>
        <v/>
      </c>
      <c r="AH431" s="2" t="str">
        <f>IF(Source!$C431&gt;=COLUMNS($A431:AH431), Source!$E431, "")</f>
        <v/>
      </c>
      <c r="AI431" s="2" t="str">
        <f>IF(Source!$C431&gt;=COLUMNS($A431:AI431), Source!$E431, "")</f>
        <v/>
      </c>
      <c r="AJ431" s="2" t="str">
        <f>IF(Source!$C431&gt;=COLUMNS($A431:AJ431), Source!$E431, "")</f>
        <v/>
      </c>
      <c r="AK431" s="2" t="str">
        <f>IF(Source!$C431&gt;=COLUMNS($A431:AK431), Source!$E431, "")</f>
        <v/>
      </c>
      <c r="AL431" s="2" t="str">
        <f>IF(Source!$C431&gt;=COLUMNS($A431:AL431), Source!$E431, "")</f>
        <v/>
      </c>
      <c r="AM431" s="2" t="str">
        <f>IF(Source!$C431&gt;=COLUMNS($A431:AM431), Source!$E431, "")</f>
        <v/>
      </c>
      <c r="AN431" s="2" t="str">
        <f>IF(Source!$C431&gt;=COLUMNS($A431:AN431), Source!$E431, "")</f>
        <v/>
      </c>
      <c r="AO431" s="2" t="str">
        <f>IF(Source!$C431&gt;=COLUMNS($A431:AO431), Source!$E431, "")</f>
        <v/>
      </c>
      <c r="AP431" s="2" t="str">
        <f>IF(Source!$C431&gt;=COLUMNS($A431:AP431), Source!$E431, "")</f>
        <v/>
      </c>
      <c r="AQ431" s="2" t="str">
        <f>IF(Source!$C431&gt;=COLUMNS($A431:AQ431), Source!$E431, "")</f>
        <v/>
      </c>
      <c r="AR431" s="2" t="str">
        <f>IF(Source!$C431&gt;=COLUMNS($A431:AR431), Source!$E431, "")</f>
        <v/>
      </c>
    </row>
    <row r="432">
      <c r="A432" s="2">
        <f>IF(Source!$C432&gt;=COLUMNS($A432:A432), Source!$E432, "")</f>
        <v>1</v>
      </c>
      <c r="B432" s="2" t="str">
        <f>IF(Source!$C432&gt;=COLUMNS($A432:B432), Source!$E432, "")</f>
        <v/>
      </c>
      <c r="C432" s="2" t="str">
        <f>IF(Source!$C432&gt;=COLUMNS($A432:C432), Source!$E432, "")</f>
        <v/>
      </c>
      <c r="D432" s="2" t="str">
        <f>IF(Source!$C432&gt;=COLUMNS($A432:D432), Source!$E432, "")</f>
        <v/>
      </c>
      <c r="E432" s="2" t="str">
        <f>IF(Source!$C432&gt;=COLUMNS($A432:E432), Source!$E432, "")</f>
        <v/>
      </c>
      <c r="F432" s="2" t="str">
        <f>IF(Source!$C432&gt;=COLUMNS($A432:F432), Source!$E432, "")</f>
        <v/>
      </c>
      <c r="G432" s="2" t="str">
        <f>IF(Source!$C432&gt;=COLUMNS($A432:G432), Source!$E432, "")</f>
        <v/>
      </c>
      <c r="H432" s="2" t="str">
        <f>IF(Source!$C432&gt;=COLUMNS($A432:H432), Source!$E432, "")</f>
        <v/>
      </c>
      <c r="I432" s="2" t="str">
        <f>IF(Source!$C432&gt;=COLUMNS($A432:I432), Source!$E432, "")</f>
        <v/>
      </c>
      <c r="J432" s="2" t="str">
        <f>IF(Source!$C432&gt;=COLUMNS($A432:J432), Source!$E432, "")</f>
        <v/>
      </c>
      <c r="K432" s="2" t="str">
        <f>IF(Source!$C432&gt;=COLUMNS($A432:K432), Source!$E432, "")</f>
        <v/>
      </c>
      <c r="L432" s="2" t="str">
        <f>IF(Source!$C432&gt;=COLUMNS($A432:L432), Source!$E432, "")</f>
        <v/>
      </c>
      <c r="M432" s="2" t="str">
        <f>IF(Source!$C432&gt;=COLUMNS($A432:M432), Source!$E432, "")</f>
        <v/>
      </c>
      <c r="N432" s="2" t="str">
        <f>IF(Source!$C432&gt;=COLUMNS($A432:N432), Source!$E432, "")</f>
        <v/>
      </c>
      <c r="O432" s="2" t="str">
        <f>IF(Source!$C432&gt;=COLUMNS($A432:O432), Source!$E432, "")</f>
        <v/>
      </c>
      <c r="P432" s="2" t="str">
        <f>IF(Source!$C432&gt;=COLUMNS($A432:P432), Source!$E432, "")</f>
        <v/>
      </c>
      <c r="Q432" s="2" t="str">
        <f>IF(Source!$C432&gt;=COLUMNS($A432:Q432), Source!$E432, "")</f>
        <v/>
      </c>
      <c r="R432" s="2" t="str">
        <f>IF(Source!$C432&gt;=COLUMNS($A432:R432), Source!$E432, "")</f>
        <v/>
      </c>
      <c r="S432" s="2" t="str">
        <f>IF(Source!$C432&gt;=COLUMNS($A432:S432), Source!$E432, "")</f>
        <v/>
      </c>
      <c r="T432" s="2" t="str">
        <f>IF(Source!$C432&gt;=COLUMNS($A432:T432), Source!$E432, "")</f>
        <v/>
      </c>
      <c r="U432" s="2" t="str">
        <f>IF(Source!$C432&gt;=COLUMNS($A432:U432), Source!$E432, "")</f>
        <v/>
      </c>
      <c r="V432" s="2" t="str">
        <f>IF(Source!$C432&gt;=COLUMNS($A432:V432), Source!$E432, "")</f>
        <v/>
      </c>
      <c r="W432" s="2" t="str">
        <f>IF(Source!$C432&gt;=COLUMNS($A432:W432), Source!$E432, "")</f>
        <v/>
      </c>
      <c r="X432" s="2" t="str">
        <f>IF(Source!$C432&gt;=COLUMNS($A432:X432), Source!$E432, "")</f>
        <v/>
      </c>
      <c r="Y432" s="2" t="str">
        <f>IF(Source!$C432&gt;=COLUMNS($A432:Y432), Source!$E432, "")</f>
        <v/>
      </c>
      <c r="Z432" s="2" t="str">
        <f>IF(Source!$C432&gt;=COLUMNS($A432:Z432), Source!$E432, "")</f>
        <v/>
      </c>
      <c r="AA432" s="2" t="str">
        <f>IF(Source!$C432&gt;=COLUMNS($A432:AA432), Source!$E432, "")</f>
        <v/>
      </c>
      <c r="AB432" s="2" t="str">
        <f>IF(Source!$C432&gt;=COLUMNS($A432:AB432), Source!$E432, "")</f>
        <v/>
      </c>
      <c r="AC432" s="2" t="str">
        <f>IF(Source!$C432&gt;=COLUMNS($A432:AC432), Source!$E432, "")</f>
        <v/>
      </c>
      <c r="AD432" s="2" t="str">
        <f>IF(Source!$C432&gt;=COLUMNS($A432:AD432), Source!$E432, "")</f>
        <v/>
      </c>
      <c r="AE432" s="2" t="str">
        <f>IF(Source!$C432&gt;=COLUMNS($A432:AE432), Source!$E432, "")</f>
        <v/>
      </c>
      <c r="AF432" s="2" t="str">
        <f>IF(Source!$C432&gt;=COLUMNS($A432:AF432), Source!$E432, "")</f>
        <v/>
      </c>
      <c r="AG432" s="2" t="str">
        <f>IF(Source!$C432&gt;=COLUMNS($A432:AG432), Source!$E432, "")</f>
        <v/>
      </c>
      <c r="AH432" s="2" t="str">
        <f>IF(Source!$C432&gt;=COLUMNS($A432:AH432), Source!$E432, "")</f>
        <v/>
      </c>
      <c r="AI432" s="2" t="str">
        <f>IF(Source!$C432&gt;=COLUMNS($A432:AI432), Source!$E432, "")</f>
        <v/>
      </c>
      <c r="AJ432" s="2" t="str">
        <f>IF(Source!$C432&gt;=COLUMNS($A432:AJ432), Source!$E432, "")</f>
        <v/>
      </c>
      <c r="AK432" s="2" t="str">
        <f>IF(Source!$C432&gt;=COLUMNS($A432:AK432), Source!$E432, "")</f>
        <v/>
      </c>
      <c r="AL432" s="2" t="str">
        <f>IF(Source!$C432&gt;=COLUMNS($A432:AL432), Source!$E432, "")</f>
        <v/>
      </c>
      <c r="AM432" s="2" t="str">
        <f>IF(Source!$C432&gt;=COLUMNS($A432:AM432), Source!$E432, "")</f>
        <v/>
      </c>
      <c r="AN432" s="2" t="str">
        <f>IF(Source!$C432&gt;=COLUMNS($A432:AN432), Source!$E432, "")</f>
        <v/>
      </c>
      <c r="AO432" s="2" t="str">
        <f>IF(Source!$C432&gt;=COLUMNS($A432:AO432), Source!$E432, "")</f>
        <v/>
      </c>
      <c r="AP432" s="2" t="str">
        <f>IF(Source!$C432&gt;=COLUMNS($A432:AP432), Source!$E432, "")</f>
        <v/>
      </c>
      <c r="AQ432" s="2" t="str">
        <f>IF(Source!$C432&gt;=COLUMNS($A432:AQ432), Source!$E432, "")</f>
        <v/>
      </c>
      <c r="AR432" s="2" t="str">
        <f>IF(Source!$C432&gt;=COLUMNS($A432:AR432), Source!$E432, "")</f>
        <v/>
      </c>
    </row>
    <row r="433">
      <c r="A433" s="2">
        <f>IF(Source!$C433&gt;=COLUMNS($A433:A433), Source!$E433, "")</f>
        <v>9</v>
      </c>
      <c r="B433" s="2">
        <f>IF(Source!$C433&gt;=COLUMNS($A433:B433), Source!$E433, "")</f>
        <v>9</v>
      </c>
      <c r="C433" s="2">
        <f>IF(Source!$C433&gt;=COLUMNS($A433:C433), Source!$E433, "")</f>
        <v>9</v>
      </c>
      <c r="D433" s="2">
        <f>IF(Source!$C433&gt;=COLUMNS($A433:D433), Source!$E433, "")</f>
        <v>9</v>
      </c>
      <c r="E433" s="2">
        <f>IF(Source!$C433&gt;=COLUMNS($A433:E433), Source!$E433, "")</f>
        <v>9</v>
      </c>
      <c r="F433" s="2">
        <f>IF(Source!$C433&gt;=COLUMNS($A433:F433), Source!$E433, "")</f>
        <v>9</v>
      </c>
      <c r="G433" s="2">
        <f>IF(Source!$C433&gt;=COLUMNS($A433:G433), Source!$E433, "")</f>
        <v>9</v>
      </c>
      <c r="H433" s="2">
        <f>IF(Source!$C433&gt;=COLUMNS($A433:H433), Source!$E433, "")</f>
        <v>9</v>
      </c>
      <c r="I433" s="2">
        <f>IF(Source!$C433&gt;=COLUMNS($A433:I433), Source!$E433, "")</f>
        <v>9</v>
      </c>
      <c r="J433" s="2">
        <f>IF(Source!$C433&gt;=COLUMNS($A433:J433), Source!$E433, "")</f>
        <v>9</v>
      </c>
      <c r="K433" s="2">
        <f>IF(Source!$C433&gt;=COLUMNS($A433:K433), Source!$E433, "")</f>
        <v>9</v>
      </c>
      <c r="L433" s="2" t="str">
        <f>IF(Source!$C433&gt;=COLUMNS($A433:L433), Source!$E433, "")</f>
        <v/>
      </c>
      <c r="M433" s="2" t="str">
        <f>IF(Source!$C433&gt;=COLUMNS($A433:M433), Source!$E433, "")</f>
        <v/>
      </c>
      <c r="N433" s="2" t="str">
        <f>IF(Source!$C433&gt;=COLUMNS($A433:N433), Source!$E433, "")</f>
        <v/>
      </c>
      <c r="O433" s="2" t="str">
        <f>IF(Source!$C433&gt;=COLUMNS($A433:O433), Source!$E433, "")</f>
        <v/>
      </c>
      <c r="P433" s="2" t="str">
        <f>IF(Source!$C433&gt;=COLUMNS($A433:P433), Source!$E433, "")</f>
        <v/>
      </c>
      <c r="Q433" s="2" t="str">
        <f>IF(Source!$C433&gt;=COLUMNS($A433:Q433), Source!$E433, "")</f>
        <v/>
      </c>
      <c r="R433" s="2" t="str">
        <f>IF(Source!$C433&gt;=COLUMNS($A433:R433), Source!$E433, "")</f>
        <v/>
      </c>
      <c r="S433" s="2" t="str">
        <f>IF(Source!$C433&gt;=COLUMNS($A433:S433), Source!$E433, "")</f>
        <v/>
      </c>
      <c r="T433" s="2" t="str">
        <f>IF(Source!$C433&gt;=COLUMNS($A433:T433), Source!$E433, "")</f>
        <v/>
      </c>
      <c r="U433" s="2" t="str">
        <f>IF(Source!$C433&gt;=COLUMNS($A433:U433), Source!$E433, "")</f>
        <v/>
      </c>
      <c r="V433" s="2" t="str">
        <f>IF(Source!$C433&gt;=COLUMNS($A433:V433), Source!$E433, "")</f>
        <v/>
      </c>
      <c r="W433" s="2" t="str">
        <f>IF(Source!$C433&gt;=COLUMNS($A433:W433), Source!$E433, "")</f>
        <v/>
      </c>
      <c r="X433" s="2" t="str">
        <f>IF(Source!$C433&gt;=COLUMNS($A433:X433), Source!$E433, "")</f>
        <v/>
      </c>
      <c r="Y433" s="2" t="str">
        <f>IF(Source!$C433&gt;=COLUMNS($A433:Y433), Source!$E433, "")</f>
        <v/>
      </c>
      <c r="Z433" s="2" t="str">
        <f>IF(Source!$C433&gt;=COLUMNS($A433:Z433), Source!$E433, "")</f>
        <v/>
      </c>
      <c r="AA433" s="2" t="str">
        <f>IF(Source!$C433&gt;=COLUMNS($A433:AA433), Source!$E433, "")</f>
        <v/>
      </c>
      <c r="AB433" s="2" t="str">
        <f>IF(Source!$C433&gt;=COLUMNS($A433:AB433), Source!$E433, "")</f>
        <v/>
      </c>
      <c r="AC433" s="2" t="str">
        <f>IF(Source!$C433&gt;=COLUMNS($A433:AC433), Source!$E433, "")</f>
        <v/>
      </c>
      <c r="AD433" s="2" t="str">
        <f>IF(Source!$C433&gt;=COLUMNS($A433:AD433), Source!$E433, "")</f>
        <v/>
      </c>
      <c r="AE433" s="2" t="str">
        <f>IF(Source!$C433&gt;=COLUMNS($A433:AE433), Source!$E433, "")</f>
        <v/>
      </c>
      <c r="AF433" s="2" t="str">
        <f>IF(Source!$C433&gt;=COLUMNS($A433:AF433), Source!$E433, "")</f>
        <v/>
      </c>
      <c r="AG433" s="2" t="str">
        <f>IF(Source!$C433&gt;=COLUMNS($A433:AG433), Source!$E433, "")</f>
        <v/>
      </c>
      <c r="AH433" s="2" t="str">
        <f>IF(Source!$C433&gt;=COLUMNS($A433:AH433), Source!$E433, "")</f>
        <v/>
      </c>
      <c r="AI433" s="2" t="str">
        <f>IF(Source!$C433&gt;=COLUMNS($A433:AI433), Source!$E433, "")</f>
        <v/>
      </c>
      <c r="AJ433" s="2" t="str">
        <f>IF(Source!$C433&gt;=COLUMNS($A433:AJ433), Source!$E433, "")</f>
        <v/>
      </c>
      <c r="AK433" s="2" t="str">
        <f>IF(Source!$C433&gt;=COLUMNS($A433:AK433), Source!$E433, "")</f>
        <v/>
      </c>
      <c r="AL433" s="2" t="str">
        <f>IF(Source!$C433&gt;=COLUMNS($A433:AL433), Source!$E433, "")</f>
        <v/>
      </c>
      <c r="AM433" s="2" t="str">
        <f>IF(Source!$C433&gt;=COLUMNS($A433:AM433), Source!$E433, "")</f>
        <v/>
      </c>
      <c r="AN433" s="2" t="str">
        <f>IF(Source!$C433&gt;=COLUMNS($A433:AN433), Source!$E433, "")</f>
        <v/>
      </c>
      <c r="AO433" s="2" t="str">
        <f>IF(Source!$C433&gt;=COLUMNS($A433:AO433), Source!$E433, "")</f>
        <v/>
      </c>
      <c r="AP433" s="2" t="str">
        <f>IF(Source!$C433&gt;=COLUMNS($A433:AP433), Source!$E433, "")</f>
        <v/>
      </c>
      <c r="AQ433" s="2" t="str">
        <f>IF(Source!$C433&gt;=COLUMNS($A433:AQ433), Source!$E433, "")</f>
        <v/>
      </c>
      <c r="AR433" s="2" t="str">
        <f>IF(Source!$C433&gt;=COLUMNS($A433:AR433), Source!$E433, "")</f>
        <v/>
      </c>
    </row>
    <row r="434">
      <c r="A434" s="2">
        <f>IF(Source!$C434&gt;=COLUMNS($A434:A434), Source!$E434, "")</f>
        <v>9</v>
      </c>
      <c r="B434" s="2">
        <f>IF(Source!$C434&gt;=COLUMNS($A434:B434), Source!$E434, "")</f>
        <v>9</v>
      </c>
      <c r="C434" s="2">
        <f>IF(Source!$C434&gt;=COLUMNS($A434:C434), Source!$E434, "")</f>
        <v>9</v>
      </c>
      <c r="D434" s="2" t="str">
        <f>IF(Source!$C434&gt;=COLUMNS($A434:D434), Source!$E434, "")</f>
        <v/>
      </c>
      <c r="E434" s="2" t="str">
        <f>IF(Source!$C434&gt;=COLUMNS($A434:E434), Source!$E434, "")</f>
        <v/>
      </c>
      <c r="F434" s="2" t="str">
        <f>IF(Source!$C434&gt;=COLUMNS($A434:F434), Source!$E434, "")</f>
        <v/>
      </c>
      <c r="G434" s="2" t="str">
        <f>IF(Source!$C434&gt;=COLUMNS($A434:G434), Source!$E434, "")</f>
        <v/>
      </c>
      <c r="H434" s="2" t="str">
        <f>IF(Source!$C434&gt;=COLUMNS($A434:H434), Source!$E434, "")</f>
        <v/>
      </c>
      <c r="I434" s="2" t="str">
        <f>IF(Source!$C434&gt;=COLUMNS($A434:I434), Source!$E434, "")</f>
        <v/>
      </c>
      <c r="J434" s="2" t="str">
        <f>IF(Source!$C434&gt;=COLUMNS($A434:J434), Source!$E434, "")</f>
        <v/>
      </c>
      <c r="K434" s="2" t="str">
        <f>IF(Source!$C434&gt;=COLUMNS($A434:K434), Source!$E434, "")</f>
        <v/>
      </c>
      <c r="L434" s="2" t="str">
        <f>IF(Source!$C434&gt;=COLUMNS($A434:L434), Source!$E434, "")</f>
        <v/>
      </c>
      <c r="M434" s="2" t="str">
        <f>IF(Source!$C434&gt;=COLUMNS($A434:M434), Source!$E434, "")</f>
        <v/>
      </c>
      <c r="N434" s="2" t="str">
        <f>IF(Source!$C434&gt;=COLUMNS($A434:N434), Source!$E434, "")</f>
        <v/>
      </c>
      <c r="O434" s="2" t="str">
        <f>IF(Source!$C434&gt;=COLUMNS($A434:O434), Source!$E434, "")</f>
        <v/>
      </c>
      <c r="P434" s="2" t="str">
        <f>IF(Source!$C434&gt;=COLUMNS($A434:P434), Source!$E434, "")</f>
        <v/>
      </c>
      <c r="Q434" s="2" t="str">
        <f>IF(Source!$C434&gt;=COLUMNS($A434:Q434), Source!$E434, "")</f>
        <v/>
      </c>
      <c r="R434" s="2" t="str">
        <f>IF(Source!$C434&gt;=COLUMNS($A434:R434), Source!$E434, "")</f>
        <v/>
      </c>
      <c r="S434" s="2" t="str">
        <f>IF(Source!$C434&gt;=COLUMNS($A434:S434), Source!$E434, "")</f>
        <v/>
      </c>
      <c r="T434" s="2" t="str">
        <f>IF(Source!$C434&gt;=COLUMNS($A434:T434), Source!$E434, "")</f>
        <v/>
      </c>
      <c r="U434" s="2" t="str">
        <f>IF(Source!$C434&gt;=COLUMNS($A434:U434), Source!$E434, "")</f>
        <v/>
      </c>
      <c r="V434" s="2" t="str">
        <f>IF(Source!$C434&gt;=COLUMNS($A434:V434), Source!$E434, "")</f>
        <v/>
      </c>
      <c r="W434" s="2" t="str">
        <f>IF(Source!$C434&gt;=COLUMNS($A434:W434), Source!$E434, "")</f>
        <v/>
      </c>
      <c r="X434" s="2" t="str">
        <f>IF(Source!$C434&gt;=COLUMNS($A434:X434), Source!$E434, "")</f>
        <v/>
      </c>
      <c r="Y434" s="2" t="str">
        <f>IF(Source!$C434&gt;=COLUMNS($A434:Y434), Source!$E434, "")</f>
        <v/>
      </c>
      <c r="Z434" s="2" t="str">
        <f>IF(Source!$C434&gt;=COLUMNS($A434:Z434), Source!$E434, "")</f>
        <v/>
      </c>
      <c r="AA434" s="2" t="str">
        <f>IF(Source!$C434&gt;=COLUMNS($A434:AA434), Source!$E434, "")</f>
        <v/>
      </c>
      <c r="AB434" s="2" t="str">
        <f>IF(Source!$C434&gt;=COLUMNS($A434:AB434), Source!$E434, "")</f>
        <v/>
      </c>
      <c r="AC434" s="2" t="str">
        <f>IF(Source!$C434&gt;=COLUMNS($A434:AC434), Source!$E434, "")</f>
        <v/>
      </c>
      <c r="AD434" s="2" t="str">
        <f>IF(Source!$C434&gt;=COLUMNS($A434:AD434), Source!$E434, "")</f>
        <v/>
      </c>
      <c r="AE434" s="2" t="str">
        <f>IF(Source!$C434&gt;=COLUMNS($A434:AE434), Source!$E434, "")</f>
        <v/>
      </c>
      <c r="AF434" s="2" t="str">
        <f>IF(Source!$C434&gt;=COLUMNS($A434:AF434), Source!$E434, "")</f>
        <v/>
      </c>
      <c r="AG434" s="2" t="str">
        <f>IF(Source!$C434&gt;=COLUMNS($A434:AG434), Source!$E434, "")</f>
        <v/>
      </c>
      <c r="AH434" s="2" t="str">
        <f>IF(Source!$C434&gt;=COLUMNS($A434:AH434), Source!$E434, "")</f>
        <v/>
      </c>
      <c r="AI434" s="2" t="str">
        <f>IF(Source!$C434&gt;=COLUMNS($A434:AI434), Source!$E434, "")</f>
        <v/>
      </c>
      <c r="AJ434" s="2" t="str">
        <f>IF(Source!$C434&gt;=COLUMNS($A434:AJ434), Source!$E434, "")</f>
        <v/>
      </c>
      <c r="AK434" s="2" t="str">
        <f>IF(Source!$C434&gt;=COLUMNS($A434:AK434), Source!$E434, "")</f>
        <v/>
      </c>
      <c r="AL434" s="2" t="str">
        <f>IF(Source!$C434&gt;=COLUMNS($A434:AL434), Source!$E434, "")</f>
        <v/>
      </c>
      <c r="AM434" s="2" t="str">
        <f>IF(Source!$C434&gt;=COLUMNS($A434:AM434), Source!$E434, "")</f>
        <v/>
      </c>
      <c r="AN434" s="2" t="str">
        <f>IF(Source!$C434&gt;=COLUMNS($A434:AN434), Source!$E434, "")</f>
        <v/>
      </c>
      <c r="AO434" s="2" t="str">
        <f>IF(Source!$C434&gt;=COLUMNS($A434:AO434), Source!$E434, "")</f>
        <v/>
      </c>
      <c r="AP434" s="2" t="str">
        <f>IF(Source!$C434&gt;=COLUMNS($A434:AP434), Source!$E434, "")</f>
        <v/>
      </c>
      <c r="AQ434" s="2" t="str">
        <f>IF(Source!$C434&gt;=COLUMNS($A434:AQ434), Source!$E434, "")</f>
        <v/>
      </c>
      <c r="AR434" s="2" t="str">
        <f>IF(Source!$C434&gt;=COLUMNS($A434:AR434), Source!$E434, "")</f>
        <v/>
      </c>
    </row>
    <row r="435">
      <c r="A435" s="2">
        <f>IF(Source!$C435&gt;=COLUMNS($A435:A435), Source!$E435, "")</f>
        <v>9</v>
      </c>
      <c r="B435" s="2">
        <f>IF(Source!$C435&gt;=COLUMNS($A435:B435), Source!$E435, "")</f>
        <v>9</v>
      </c>
      <c r="C435" s="2">
        <f>IF(Source!$C435&gt;=COLUMNS($A435:C435), Source!$E435, "")</f>
        <v>9</v>
      </c>
      <c r="D435" s="2">
        <f>IF(Source!$C435&gt;=COLUMNS($A435:D435), Source!$E435, "")</f>
        <v>9</v>
      </c>
      <c r="E435" s="2">
        <f>IF(Source!$C435&gt;=COLUMNS($A435:E435), Source!$E435, "")</f>
        <v>9</v>
      </c>
      <c r="F435" s="2">
        <f>IF(Source!$C435&gt;=COLUMNS($A435:F435), Source!$E435, "")</f>
        <v>9</v>
      </c>
      <c r="G435" s="2">
        <f>IF(Source!$C435&gt;=COLUMNS($A435:G435), Source!$E435, "")</f>
        <v>9</v>
      </c>
      <c r="H435" s="2">
        <f>IF(Source!$C435&gt;=COLUMNS($A435:H435), Source!$E435, "")</f>
        <v>9</v>
      </c>
      <c r="I435" s="2">
        <f>IF(Source!$C435&gt;=COLUMNS($A435:I435), Source!$E435, "")</f>
        <v>9</v>
      </c>
      <c r="J435" s="2">
        <f>IF(Source!$C435&gt;=COLUMNS($A435:J435), Source!$E435, "")</f>
        <v>9</v>
      </c>
      <c r="K435" s="2">
        <f>IF(Source!$C435&gt;=COLUMNS($A435:K435), Source!$E435, "")</f>
        <v>9</v>
      </c>
      <c r="L435" s="2">
        <f>IF(Source!$C435&gt;=COLUMNS($A435:L435), Source!$E435, "")</f>
        <v>9</v>
      </c>
      <c r="M435" s="2">
        <f>IF(Source!$C435&gt;=COLUMNS($A435:M435), Source!$E435, "")</f>
        <v>9</v>
      </c>
      <c r="N435" s="2">
        <f>IF(Source!$C435&gt;=COLUMNS($A435:N435), Source!$E435, "")</f>
        <v>9</v>
      </c>
      <c r="O435" s="2" t="str">
        <f>IF(Source!$C435&gt;=COLUMNS($A435:O435), Source!$E435, "")</f>
        <v/>
      </c>
      <c r="P435" s="2" t="str">
        <f>IF(Source!$C435&gt;=COLUMNS($A435:P435), Source!$E435, "")</f>
        <v/>
      </c>
      <c r="Q435" s="2" t="str">
        <f>IF(Source!$C435&gt;=COLUMNS($A435:Q435), Source!$E435, "")</f>
        <v/>
      </c>
      <c r="R435" s="2" t="str">
        <f>IF(Source!$C435&gt;=COLUMNS($A435:R435), Source!$E435, "")</f>
        <v/>
      </c>
      <c r="S435" s="2" t="str">
        <f>IF(Source!$C435&gt;=COLUMNS($A435:S435), Source!$E435, "")</f>
        <v/>
      </c>
      <c r="T435" s="2" t="str">
        <f>IF(Source!$C435&gt;=COLUMNS($A435:T435), Source!$E435, "")</f>
        <v/>
      </c>
      <c r="U435" s="2" t="str">
        <f>IF(Source!$C435&gt;=COLUMNS($A435:U435), Source!$E435, "")</f>
        <v/>
      </c>
      <c r="V435" s="2" t="str">
        <f>IF(Source!$C435&gt;=COLUMNS($A435:V435), Source!$E435, "")</f>
        <v/>
      </c>
      <c r="W435" s="2" t="str">
        <f>IF(Source!$C435&gt;=COLUMNS($A435:W435), Source!$E435, "")</f>
        <v/>
      </c>
      <c r="X435" s="2" t="str">
        <f>IF(Source!$C435&gt;=COLUMNS($A435:X435), Source!$E435, "")</f>
        <v/>
      </c>
      <c r="Y435" s="2" t="str">
        <f>IF(Source!$C435&gt;=COLUMNS($A435:Y435), Source!$E435, "")</f>
        <v/>
      </c>
      <c r="Z435" s="2" t="str">
        <f>IF(Source!$C435&gt;=COLUMNS($A435:Z435), Source!$E435, "")</f>
        <v/>
      </c>
      <c r="AA435" s="2" t="str">
        <f>IF(Source!$C435&gt;=COLUMNS($A435:AA435), Source!$E435, "")</f>
        <v/>
      </c>
      <c r="AB435" s="2" t="str">
        <f>IF(Source!$C435&gt;=COLUMNS($A435:AB435), Source!$E435, "")</f>
        <v/>
      </c>
      <c r="AC435" s="2" t="str">
        <f>IF(Source!$C435&gt;=COLUMNS($A435:AC435), Source!$E435, "")</f>
        <v/>
      </c>
      <c r="AD435" s="2" t="str">
        <f>IF(Source!$C435&gt;=COLUMNS($A435:AD435), Source!$E435, "")</f>
        <v/>
      </c>
      <c r="AE435" s="2" t="str">
        <f>IF(Source!$C435&gt;=COLUMNS($A435:AE435), Source!$E435, "")</f>
        <v/>
      </c>
      <c r="AF435" s="2" t="str">
        <f>IF(Source!$C435&gt;=COLUMNS($A435:AF435), Source!$E435, "")</f>
        <v/>
      </c>
      <c r="AG435" s="2" t="str">
        <f>IF(Source!$C435&gt;=COLUMNS($A435:AG435), Source!$E435, "")</f>
        <v/>
      </c>
      <c r="AH435" s="2" t="str">
        <f>IF(Source!$C435&gt;=COLUMNS($A435:AH435), Source!$E435, "")</f>
        <v/>
      </c>
      <c r="AI435" s="2" t="str">
        <f>IF(Source!$C435&gt;=COLUMNS($A435:AI435), Source!$E435, "")</f>
        <v/>
      </c>
      <c r="AJ435" s="2" t="str">
        <f>IF(Source!$C435&gt;=COLUMNS($A435:AJ435), Source!$E435, "")</f>
        <v/>
      </c>
      <c r="AK435" s="2" t="str">
        <f>IF(Source!$C435&gt;=COLUMNS($A435:AK435), Source!$E435, "")</f>
        <v/>
      </c>
      <c r="AL435" s="2" t="str">
        <f>IF(Source!$C435&gt;=COLUMNS($A435:AL435), Source!$E435, "")</f>
        <v/>
      </c>
      <c r="AM435" s="2" t="str">
        <f>IF(Source!$C435&gt;=COLUMNS($A435:AM435), Source!$E435, "")</f>
        <v/>
      </c>
      <c r="AN435" s="2" t="str">
        <f>IF(Source!$C435&gt;=COLUMNS($A435:AN435), Source!$E435, "")</f>
        <v/>
      </c>
      <c r="AO435" s="2" t="str">
        <f>IF(Source!$C435&gt;=COLUMNS($A435:AO435), Source!$E435, "")</f>
        <v/>
      </c>
      <c r="AP435" s="2" t="str">
        <f>IF(Source!$C435&gt;=COLUMNS($A435:AP435), Source!$E435, "")</f>
        <v/>
      </c>
      <c r="AQ435" s="2" t="str">
        <f>IF(Source!$C435&gt;=COLUMNS($A435:AQ435), Source!$E435, "")</f>
        <v/>
      </c>
      <c r="AR435" s="2" t="str">
        <f>IF(Source!$C435&gt;=COLUMNS($A435:AR435), Source!$E435, "")</f>
        <v/>
      </c>
    </row>
    <row r="436">
      <c r="A436" s="2">
        <f>IF(Source!$C436&gt;=COLUMNS($A436:A436), Source!$E436, "")</f>
        <v>6</v>
      </c>
      <c r="B436" s="2">
        <f>IF(Source!$C436&gt;=COLUMNS($A436:B436), Source!$E436, "")</f>
        <v>6</v>
      </c>
      <c r="C436" s="2">
        <f>IF(Source!$C436&gt;=COLUMNS($A436:C436), Source!$E436, "")</f>
        <v>6</v>
      </c>
      <c r="D436" s="2">
        <f>IF(Source!$C436&gt;=COLUMNS($A436:D436), Source!$E436, "")</f>
        <v>6</v>
      </c>
      <c r="E436" s="2">
        <f>IF(Source!$C436&gt;=COLUMNS($A436:E436), Source!$E436, "")</f>
        <v>6</v>
      </c>
      <c r="F436" s="2">
        <f>IF(Source!$C436&gt;=COLUMNS($A436:F436), Source!$E436, "")</f>
        <v>6</v>
      </c>
      <c r="G436" s="2" t="str">
        <f>IF(Source!$C436&gt;=COLUMNS($A436:G436), Source!$E436, "")</f>
        <v/>
      </c>
      <c r="H436" s="2" t="str">
        <f>IF(Source!$C436&gt;=COLUMNS($A436:H436), Source!$E436, "")</f>
        <v/>
      </c>
      <c r="I436" s="2" t="str">
        <f>IF(Source!$C436&gt;=COLUMNS($A436:I436), Source!$E436, "")</f>
        <v/>
      </c>
      <c r="J436" s="2" t="str">
        <f>IF(Source!$C436&gt;=COLUMNS($A436:J436), Source!$E436, "")</f>
        <v/>
      </c>
      <c r="K436" s="2" t="str">
        <f>IF(Source!$C436&gt;=COLUMNS($A436:K436), Source!$E436, "")</f>
        <v/>
      </c>
      <c r="L436" s="2" t="str">
        <f>IF(Source!$C436&gt;=COLUMNS($A436:L436), Source!$E436, "")</f>
        <v/>
      </c>
      <c r="M436" s="2" t="str">
        <f>IF(Source!$C436&gt;=COLUMNS($A436:M436), Source!$E436, "")</f>
        <v/>
      </c>
      <c r="N436" s="2" t="str">
        <f>IF(Source!$C436&gt;=COLUMNS($A436:N436), Source!$E436, "")</f>
        <v/>
      </c>
      <c r="O436" s="2" t="str">
        <f>IF(Source!$C436&gt;=COLUMNS($A436:O436), Source!$E436, "")</f>
        <v/>
      </c>
      <c r="P436" s="2" t="str">
        <f>IF(Source!$C436&gt;=COLUMNS($A436:P436), Source!$E436, "")</f>
        <v/>
      </c>
      <c r="Q436" s="2" t="str">
        <f>IF(Source!$C436&gt;=COLUMNS($A436:Q436), Source!$E436, "")</f>
        <v/>
      </c>
      <c r="R436" s="2" t="str">
        <f>IF(Source!$C436&gt;=COLUMNS($A436:R436), Source!$E436, "")</f>
        <v/>
      </c>
      <c r="S436" s="2" t="str">
        <f>IF(Source!$C436&gt;=COLUMNS($A436:S436), Source!$E436, "")</f>
        <v/>
      </c>
      <c r="T436" s="2" t="str">
        <f>IF(Source!$C436&gt;=COLUMNS($A436:T436), Source!$E436, "")</f>
        <v/>
      </c>
      <c r="U436" s="2" t="str">
        <f>IF(Source!$C436&gt;=COLUMNS($A436:U436), Source!$E436, "")</f>
        <v/>
      </c>
      <c r="V436" s="2" t="str">
        <f>IF(Source!$C436&gt;=COLUMNS($A436:V436), Source!$E436, "")</f>
        <v/>
      </c>
      <c r="W436" s="2" t="str">
        <f>IF(Source!$C436&gt;=COLUMNS($A436:W436), Source!$E436, "")</f>
        <v/>
      </c>
      <c r="X436" s="2" t="str">
        <f>IF(Source!$C436&gt;=COLUMNS($A436:X436), Source!$E436, "")</f>
        <v/>
      </c>
      <c r="Y436" s="2" t="str">
        <f>IF(Source!$C436&gt;=COLUMNS($A436:Y436), Source!$E436, "")</f>
        <v/>
      </c>
      <c r="Z436" s="2" t="str">
        <f>IF(Source!$C436&gt;=COLUMNS($A436:Z436), Source!$E436, "")</f>
        <v/>
      </c>
      <c r="AA436" s="2" t="str">
        <f>IF(Source!$C436&gt;=COLUMNS($A436:AA436), Source!$E436, "")</f>
        <v/>
      </c>
      <c r="AB436" s="2" t="str">
        <f>IF(Source!$C436&gt;=COLUMNS($A436:AB436), Source!$E436, "")</f>
        <v/>
      </c>
      <c r="AC436" s="2" t="str">
        <f>IF(Source!$C436&gt;=COLUMNS($A436:AC436), Source!$E436, "")</f>
        <v/>
      </c>
      <c r="AD436" s="2" t="str">
        <f>IF(Source!$C436&gt;=COLUMNS($A436:AD436), Source!$E436, "")</f>
        <v/>
      </c>
      <c r="AE436" s="2" t="str">
        <f>IF(Source!$C436&gt;=COLUMNS($A436:AE436), Source!$E436, "")</f>
        <v/>
      </c>
      <c r="AF436" s="2" t="str">
        <f>IF(Source!$C436&gt;=COLUMNS($A436:AF436), Source!$E436, "")</f>
        <v/>
      </c>
      <c r="AG436" s="2" t="str">
        <f>IF(Source!$C436&gt;=COLUMNS($A436:AG436), Source!$E436, "")</f>
        <v/>
      </c>
      <c r="AH436" s="2" t="str">
        <f>IF(Source!$C436&gt;=COLUMNS($A436:AH436), Source!$E436, "")</f>
        <v/>
      </c>
      <c r="AI436" s="2" t="str">
        <f>IF(Source!$C436&gt;=COLUMNS($A436:AI436), Source!$E436, "")</f>
        <v/>
      </c>
      <c r="AJ436" s="2" t="str">
        <f>IF(Source!$C436&gt;=COLUMNS($A436:AJ436), Source!$E436, "")</f>
        <v/>
      </c>
      <c r="AK436" s="2" t="str">
        <f>IF(Source!$C436&gt;=COLUMNS($A436:AK436), Source!$E436, "")</f>
        <v/>
      </c>
      <c r="AL436" s="2" t="str">
        <f>IF(Source!$C436&gt;=COLUMNS($A436:AL436), Source!$E436, "")</f>
        <v/>
      </c>
      <c r="AM436" s="2" t="str">
        <f>IF(Source!$C436&gt;=COLUMNS($A436:AM436), Source!$E436, "")</f>
        <v/>
      </c>
      <c r="AN436" s="2" t="str">
        <f>IF(Source!$C436&gt;=COLUMNS($A436:AN436), Source!$E436, "")</f>
        <v/>
      </c>
      <c r="AO436" s="2" t="str">
        <f>IF(Source!$C436&gt;=COLUMNS($A436:AO436), Source!$E436, "")</f>
        <v/>
      </c>
      <c r="AP436" s="2" t="str">
        <f>IF(Source!$C436&gt;=COLUMNS($A436:AP436), Source!$E436, "")</f>
        <v/>
      </c>
      <c r="AQ436" s="2" t="str">
        <f>IF(Source!$C436&gt;=COLUMNS($A436:AQ436), Source!$E436, "")</f>
        <v/>
      </c>
      <c r="AR436" s="2" t="str">
        <f>IF(Source!$C436&gt;=COLUMNS($A436:AR436), Source!$E436, "")</f>
        <v/>
      </c>
    </row>
    <row r="437">
      <c r="A437" s="2">
        <f>IF(Source!$C437&gt;=COLUMNS($A437:A437), Source!$E437, "")</f>
        <v>5</v>
      </c>
      <c r="B437" s="2">
        <f>IF(Source!$C437&gt;=COLUMNS($A437:B437), Source!$E437, "")</f>
        <v>5</v>
      </c>
      <c r="C437" s="2">
        <f>IF(Source!$C437&gt;=COLUMNS($A437:C437), Source!$E437, "")</f>
        <v>5</v>
      </c>
      <c r="D437" s="2">
        <f>IF(Source!$C437&gt;=COLUMNS($A437:D437), Source!$E437, "")</f>
        <v>5</v>
      </c>
      <c r="E437" s="2" t="str">
        <f>IF(Source!$C437&gt;=COLUMNS($A437:E437), Source!$E437, "")</f>
        <v/>
      </c>
      <c r="F437" s="2" t="str">
        <f>IF(Source!$C437&gt;=COLUMNS($A437:F437), Source!$E437, "")</f>
        <v/>
      </c>
      <c r="G437" s="2" t="str">
        <f>IF(Source!$C437&gt;=COLUMNS($A437:G437), Source!$E437, "")</f>
        <v/>
      </c>
      <c r="H437" s="2" t="str">
        <f>IF(Source!$C437&gt;=COLUMNS($A437:H437), Source!$E437, "")</f>
        <v/>
      </c>
      <c r="I437" s="2" t="str">
        <f>IF(Source!$C437&gt;=COLUMNS($A437:I437), Source!$E437, "")</f>
        <v/>
      </c>
      <c r="J437" s="2" t="str">
        <f>IF(Source!$C437&gt;=COLUMNS($A437:J437), Source!$E437, "")</f>
        <v/>
      </c>
      <c r="K437" s="2" t="str">
        <f>IF(Source!$C437&gt;=COLUMNS($A437:K437), Source!$E437, "")</f>
        <v/>
      </c>
      <c r="L437" s="2" t="str">
        <f>IF(Source!$C437&gt;=COLUMNS($A437:L437), Source!$E437, "")</f>
        <v/>
      </c>
      <c r="M437" s="2" t="str">
        <f>IF(Source!$C437&gt;=COLUMNS($A437:M437), Source!$E437, "")</f>
        <v/>
      </c>
      <c r="N437" s="2" t="str">
        <f>IF(Source!$C437&gt;=COLUMNS($A437:N437), Source!$E437, "")</f>
        <v/>
      </c>
      <c r="O437" s="2" t="str">
        <f>IF(Source!$C437&gt;=COLUMNS($A437:O437), Source!$E437, "")</f>
        <v/>
      </c>
      <c r="P437" s="2" t="str">
        <f>IF(Source!$C437&gt;=COLUMNS($A437:P437), Source!$E437, "")</f>
        <v/>
      </c>
      <c r="Q437" s="2" t="str">
        <f>IF(Source!$C437&gt;=COLUMNS($A437:Q437), Source!$E437, "")</f>
        <v/>
      </c>
      <c r="R437" s="2" t="str">
        <f>IF(Source!$C437&gt;=COLUMNS($A437:R437), Source!$E437, "")</f>
        <v/>
      </c>
      <c r="S437" s="2" t="str">
        <f>IF(Source!$C437&gt;=COLUMNS($A437:S437), Source!$E437, "")</f>
        <v/>
      </c>
      <c r="T437" s="2" t="str">
        <f>IF(Source!$C437&gt;=COLUMNS($A437:T437), Source!$E437, "")</f>
        <v/>
      </c>
      <c r="U437" s="2" t="str">
        <f>IF(Source!$C437&gt;=COLUMNS($A437:U437), Source!$E437, "")</f>
        <v/>
      </c>
      <c r="V437" s="2" t="str">
        <f>IF(Source!$C437&gt;=COLUMNS($A437:V437), Source!$E437, "")</f>
        <v/>
      </c>
      <c r="W437" s="2" t="str">
        <f>IF(Source!$C437&gt;=COLUMNS($A437:W437), Source!$E437, "")</f>
        <v/>
      </c>
      <c r="X437" s="2" t="str">
        <f>IF(Source!$C437&gt;=COLUMNS($A437:X437), Source!$E437, "")</f>
        <v/>
      </c>
      <c r="Y437" s="2" t="str">
        <f>IF(Source!$C437&gt;=COLUMNS($A437:Y437), Source!$E437, "")</f>
        <v/>
      </c>
      <c r="Z437" s="2" t="str">
        <f>IF(Source!$C437&gt;=COLUMNS($A437:Z437), Source!$E437, "")</f>
        <v/>
      </c>
      <c r="AA437" s="2" t="str">
        <f>IF(Source!$C437&gt;=COLUMNS($A437:AA437), Source!$E437, "")</f>
        <v/>
      </c>
      <c r="AB437" s="2" t="str">
        <f>IF(Source!$C437&gt;=COLUMNS($A437:AB437), Source!$E437, "")</f>
        <v/>
      </c>
      <c r="AC437" s="2" t="str">
        <f>IF(Source!$C437&gt;=COLUMNS($A437:AC437), Source!$E437, "")</f>
        <v/>
      </c>
      <c r="AD437" s="2" t="str">
        <f>IF(Source!$C437&gt;=COLUMNS($A437:AD437), Source!$E437, "")</f>
        <v/>
      </c>
      <c r="AE437" s="2" t="str">
        <f>IF(Source!$C437&gt;=COLUMNS($A437:AE437), Source!$E437, "")</f>
        <v/>
      </c>
      <c r="AF437" s="2" t="str">
        <f>IF(Source!$C437&gt;=COLUMNS($A437:AF437), Source!$E437, "")</f>
        <v/>
      </c>
      <c r="AG437" s="2" t="str">
        <f>IF(Source!$C437&gt;=COLUMNS($A437:AG437), Source!$E437, "")</f>
        <v/>
      </c>
      <c r="AH437" s="2" t="str">
        <f>IF(Source!$C437&gt;=COLUMNS($A437:AH437), Source!$E437, "")</f>
        <v/>
      </c>
      <c r="AI437" s="2" t="str">
        <f>IF(Source!$C437&gt;=COLUMNS($A437:AI437), Source!$E437, "")</f>
        <v/>
      </c>
      <c r="AJ437" s="2" t="str">
        <f>IF(Source!$C437&gt;=COLUMNS($A437:AJ437), Source!$E437, "")</f>
        <v/>
      </c>
      <c r="AK437" s="2" t="str">
        <f>IF(Source!$C437&gt;=COLUMNS($A437:AK437), Source!$E437, "")</f>
        <v/>
      </c>
      <c r="AL437" s="2" t="str">
        <f>IF(Source!$C437&gt;=COLUMNS($A437:AL437), Source!$E437, "")</f>
        <v/>
      </c>
      <c r="AM437" s="2" t="str">
        <f>IF(Source!$C437&gt;=COLUMNS($A437:AM437), Source!$E437, "")</f>
        <v/>
      </c>
      <c r="AN437" s="2" t="str">
        <f>IF(Source!$C437&gt;=COLUMNS($A437:AN437), Source!$E437, "")</f>
        <v/>
      </c>
      <c r="AO437" s="2" t="str">
        <f>IF(Source!$C437&gt;=COLUMNS($A437:AO437), Source!$E437, "")</f>
        <v/>
      </c>
      <c r="AP437" s="2" t="str">
        <f>IF(Source!$C437&gt;=COLUMNS($A437:AP437), Source!$E437, "")</f>
        <v/>
      </c>
      <c r="AQ437" s="2" t="str">
        <f>IF(Source!$C437&gt;=COLUMNS($A437:AQ437), Source!$E437, "")</f>
        <v/>
      </c>
      <c r="AR437" s="2" t="str">
        <f>IF(Source!$C437&gt;=COLUMNS($A437:AR437), Source!$E437, "")</f>
        <v/>
      </c>
    </row>
    <row r="438">
      <c r="A438" s="2">
        <f>IF(Source!$C438&gt;=COLUMNS($A438:A438), Source!$E438, "")</f>
        <v>7</v>
      </c>
      <c r="B438" s="2">
        <f>IF(Source!$C438&gt;=COLUMNS($A438:B438), Source!$E438, "")</f>
        <v>7</v>
      </c>
      <c r="C438" s="2">
        <f>IF(Source!$C438&gt;=COLUMNS($A438:C438), Source!$E438, "")</f>
        <v>7</v>
      </c>
      <c r="D438" s="2">
        <f>IF(Source!$C438&gt;=COLUMNS($A438:D438), Source!$E438, "")</f>
        <v>7</v>
      </c>
      <c r="E438" s="2">
        <f>IF(Source!$C438&gt;=COLUMNS($A438:E438), Source!$E438, "")</f>
        <v>7</v>
      </c>
      <c r="F438" s="2">
        <f>IF(Source!$C438&gt;=COLUMNS($A438:F438), Source!$E438, "")</f>
        <v>7</v>
      </c>
      <c r="G438" s="2">
        <f>IF(Source!$C438&gt;=COLUMNS($A438:G438), Source!$E438, "")</f>
        <v>7</v>
      </c>
      <c r="H438" s="2">
        <f>IF(Source!$C438&gt;=COLUMNS($A438:H438), Source!$E438, "")</f>
        <v>7</v>
      </c>
      <c r="I438" s="2">
        <f>IF(Source!$C438&gt;=COLUMNS($A438:I438), Source!$E438, "")</f>
        <v>7</v>
      </c>
      <c r="J438" s="2">
        <f>IF(Source!$C438&gt;=COLUMNS($A438:J438), Source!$E438, "")</f>
        <v>7</v>
      </c>
      <c r="K438" s="2" t="str">
        <f>IF(Source!$C438&gt;=COLUMNS($A438:K438), Source!$E438, "")</f>
        <v/>
      </c>
      <c r="L438" s="2" t="str">
        <f>IF(Source!$C438&gt;=COLUMNS($A438:L438), Source!$E438, "")</f>
        <v/>
      </c>
      <c r="M438" s="2" t="str">
        <f>IF(Source!$C438&gt;=COLUMNS($A438:M438), Source!$E438, "")</f>
        <v/>
      </c>
      <c r="N438" s="2" t="str">
        <f>IF(Source!$C438&gt;=COLUMNS($A438:N438), Source!$E438, "")</f>
        <v/>
      </c>
      <c r="O438" s="2" t="str">
        <f>IF(Source!$C438&gt;=COLUMNS($A438:O438), Source!$E438, "")</f>
        <v/>
      </c>
      <c r="P438" s="2" t="str">
        <f>IF(Source!$C438&gt;=COLUMNS($A438:P438), Source!$E438, "")</f>
        <v/>
      </c>
      <c r="Q438" s="2" t="str">
        <f>IF(Source!$C438&gt;=COLUMNS($A438:Q438), Source!$E438, "")</f>
        <v/>
      </c>
      <c r="R438" s="2" t="str">
        <f>IF(Source!$C438&gt;=COLUMNS($A438:R438), Source!$E438, "")</f>
        <v/>
      </c>
      <c r="S438" s="2" t="str">
        <f>IF(Source!$C438&gt;=COLUMNS($A438:S438), Source!$E438, "")</f>
        <v/>
      </c>
      <c r="T438" s="2" t="str">
        <f>IF(Source!$C438&gt;=COLUMNS($A438:T438), Source!$E438, "")</f>
        <v/>
      </c>
      <c r="U438" s="2" t="str">
        <f>IF(Source!$C438&gt;=COLUMNS($A438:U438), Source!$E438, "")</f>
        <v/>
      </c>
      <c r="V438" s="2" t="str">
        <f>IF(Source!$C438&gt;=COLUMNS($A438:V438), Source!$E438, "")</f>
        <v/>
      </c>
      <c r="W438" s="2" t="str">
        <f>IF(Source!$C438&gt;=COLUMNS($A438:W438), Source!$E438, "")</f>
        <v/>
      </c>
      <c r="X438" s="2" t="str">
        <f>IF(Source!$C438&gt;=COLUMNS($A438:X438), Source!$E438, "")</f>
        <v/>
      </c>
      <c r="Y438" s="2" t="str">
        <f>IF(Source!$C438&gt;=COLUMNS($A438:Y438), Source!$E438, "")</f>
        <v/>
      </c>
      <c r="Z438" s="2" t="str">
        <f>IF(Source!$C438&gt;=COLUMNS($A438:Z438), Source!$E438, "")</f>
        <v/>
      </c>
      <c r="AA438" s="2" t="str">
        <f>IF(Source!$C438&gt;=COLUMNS($A438:AA438), Source!$E438, "")</f>
        <v/>
      </c>
      <c r="AB438" s="2" t="str">
        <f>IF(Source!$C438&gt;=COLUMNS($A438:AB438), Source!$E438, "")</f>
        <v/>
      </c>
      <c r="AC438" s="2" t="str">
        <f>IF(Source!$C438&gt;=COLUMNS($A438:AC438), Source!$E438, "")</f>
        <v/>
      </c>
      <c r="AD438" s="2" t="str">
        <f>IF(Source!$C438&gt;=COLUMNS($A438:AD438), Source!$E438, "")</f>
        <v/>
      </c>
      <c r="AE438" s="2" t="str">
        <f>IF(Source!$C438&gt;=COLUMNS($A438:AE438), Source!$E438, "")</f>
        <v/>
      </c>
      <c r="AF438" s="2" t="str">
        <f>IF(Source!$C438&gt;=COLUMNS($A438:AF438), Source!$E438, "")</f>
        <v/>
      </c>
      <c r="AG438" s="2" t="str">
        <f>IF(Source!$C438&gt;=COLUMNS($A438:AG438), Source!$E438, "")</f>
        <v/>
      </c>
      <c r="AH438" s="2" t="str">
        <f>IF(Source!$C438&gt;=COLUMNS($A438:AH438), Source!$E438, "")</f>
        <v/>
      </c>
      <c r="AI438" s="2" t="str">
        <f>IF(Source!$C438&gt;=COLUMNS($A438:AI438), Source!$E438, "")</f>
        <v/>
      </c>
      <c r="AJ438" s="2" t="str">
        <f>IF(Source!$C438&gt;=COLUMNS($A438:AJ438), Source!$E438, "")</f>
        <v/>
      </c>
      <c r="AK438" s="2" t="str">
        <f>IF(Source!$C438&gt;=COLUMNS($A438:AK438), Source!$E438, "")</f>
        <v/>
      </c>
      <c r="AL438" s="2" t="str">
        <f>IF(Source!$C438&gt;=COLUMNS($A438:AL438), Source!$E438, "")</f>
        <v/>
      </c>
      <c r="AM438" s="2" t="str">
        <f>IF(Source!$C438&gt;=COLUMNS($A438:AM438), Source!$E438, "")</f>
        <v/>
      </c>
      <c r="AN438" s="2" t="str">
        <f>IF(Source!$C438&gt;=COLUMNS($A438:AN438), Source!$E438, "")</f>
        <v/>
      </c>
      <c r="AO438" s="2" t="str">
        <f>IF(Source!$C438&gt;=COLUMNS($A438:AO438), Source!$E438, "")</f>
        <v/>
      </c>
      <c r="AP438" s="2" t="str">
        <f>IF(Source!$C438&gt;=COLUMNS($A438:AP438), Source!$E438, "")</f>
        <v/>
      </c>
      <c r="AQ438" s="2" t="str">
        <f>IF(Source!$C438&gt;=COLUMNS($A438:AQ438), Source!$E438, "")</f>
        <v/>
      </c>
      <c r="AR438" s="2" t="str">
        <f>IF(Source!$C438&gt;=COLUMNS($A438:AR438), Source!$E438, "")</f>
        <v/>
      </c>
    </row>
    <row r="439">
      <c r="A439" s="2">
        <f>IF(Source!$C439&gt;=COLUMNS($A439:A439), Source!$E439, "")</f>
        <v>3</v>
      </c>
      <c r="B439" s="2" t="str">
        <f>IF(Source!$C439&gt;=COLUMNS($A439:B439), Source!$E439, "")</f>
        <v/>
      </c>
      <c r="C439" s="2" t="str">
        <f>IF(Source!$C439&gt;=COLUMNS($A439:C439), Source!$E439, "")</f>
        <v/>
      </c>
      <c r="D439" s="2" t="str">
        <f>IF(Source!$C439&gt;=COLUMNS($A439:D439), Source!$E439, "")</f>
        <v/>
      </c>
      <c r="E439" s="2" t="str">
        <f>IF(Source!$C439&gt;=COLUMNS($A439:E439), Source!$E439, "")</f>
        <v/>
      </c>
      <c r="F439" s="2" t="str">
        <f>IF(Source!$C439&gt;=COLUMNS($A439:F439), Source!$E439, "")</f>
        <v/>
      </c>
      <c r="G439" s="2" t="str">
        <f>IF(Source!$C439&gt;=COLUMNS($A439:G439), Source!$E439, "")</f>
        <v/>
      </c>
      <c r="H439" s="2" t="str">
        <f>IF(Source!$C439&gt;=COLUMNS($A439:H439), Source!$E439, "")</f>
        <v/>
      </c>
      <c r="I439" s="2" t="str">
        <f>IF(Source!$C439&gt;=COLUMNS($A439:I439), Source!$E439, "")</f>
        <v/>
      </c>
      <c r="J439" s="2" t="str">
        <f>IF(Source!$C439&gt;=COLUMNS($A439:J439), Source!$E439, "")</f>
        <v/>
      </c>
      <c r="K439" s="2" t="str">
        <f>IF(Source!$C439&gt;=COLUMNS($A439:K439), Source!$E439, "")</f>
        <v/>
      </c>
      <c r="L439" s="2" t="str">
        <f>IF(Source!$C439&gt;=COLUMNS($A439:L439), Source!$E439, "")</f>
        <v/>
      </c>
      <c r="M439" s="2" t="str">
        <f>IF(Source!$C439&gt;=COLUMNS($A439:M439), Source!$E439, "")</f>
        <v/>
      </c>
      <c r="N439" s="2" t="str">
        <f>IF(Source!$C439&gt;=COLUMNS($A439:N439), Source!$E439, "")</f>
        <v/>
      </c>
      <c r="O439" s="2" t="str">
        <f>IF(Source!$C439&gt;=COLUMNS($A439:O439), Source!$E439, "")</f>
        <v/>
      </c>
      <c r="P439" s="2" t="str">
        <f>IF(Source!$C439&gt;=COLUMNS($A439:P439), Source!$E439, "")</f>
        <v/>
      </c>
      <c r="Q439" s="2" t="str">
        <f>IF(Source!$C439&gt;=COLUMNS($A439:Q439), Source!$E439, "")</f>
        <v/>
      </c>
      <c r="R439" s="2" t="str">
        <f>IF(Source!$C439&gt;=COLUMNS($A439:R439), Source!$E439, "")</f>
        <v/>
      </c>
      <c r="S439" s="2" t="str">
        <f>IF(Source!$C439&gt;=COLUMNS($A439:S439), Source!$E439, "")</f>
        <v/>
      </c>
      <c r="T439" s="2" t="str">
        <f>IF(Source!$C439&gt;=COLUMNS($A439:T439), Source!$E439, "")</f>
        <v/>
      </c>
      <c r="U439" s="2" t="str">
        <f>IF(Source!$C439&gt;=COLUMNS($A439:U439), Source!$E439, "")</f>
        <v/>
      </c>
      <c r="V439" s="2" t="str">
        <f>IF(Source!$C439&gt;=COLUMNS($A439:V439), Source!$E439, "")</f>
        <v/>
      </c>
      <c r="W439" s="2" t="str">
        <f>IF(Source!$C439&gt;=COLUMNS($A439:W439), Source!$E439, "")</f>
        <v/>
      </c>
      <c r="X439" s="2" t="str">
        <f>IF(Source!$C439&gt;=COLUMNS($A439:X439), Source!$E439, "")</f>
        <v/>
      </c>
      <c r="Y439" s="2" t="str">
        <f>IF(Source!$C439&gt;=COLUMNS($A439:Y439), Source!$E439, "")</f>
        <v/>
      </c>
      <c r="Z439" s="2" t="str">
        <f>IF(Source!$C439&gt;=COLUMNS($A439:Z439), Source!$E439, "")</f>
        <v/>
      </c>
      <c r="AA439" s="2" t="str">
        <f>IF(Source!$C439&gt;=COLUMNS($A439:AA439), Source!$E439, "")</f>
        <v/>
      </c>
      <c r="AB439" s="2" t="str">
        <f>IF(Source!$C439&gt;=COLUMNS($A439:AB439), Source!$E439, "")</f>
        <v/>
      </c>
      <c r="AC439" s="2" t="str">
        <f>IF(Source!$C439&gt;=COLUMNS($A439:AC439), Source!$E439, "")</f>
        <v/>
      </c>
      <c r="AD439" s="2" t="str">
        <f>IF(Source!$C439&gt;=COLUMNS($A439:AD439), Source!$E439, "")</f>
        <v/>
      </c>
      <c r="AE439" s="2" t="str">
        <f>IF(Source!$C439&gt;=COLUMNS($A439:AE439), Source!$E439, "")</f>
        <v/>
      </c>
      <c r="AF439" s="2" t="str">
        <f>IF(Source!$C439&gt;=COLUMNS($A439:AF439), Source!$E439, "")</f>
        <v/>
      </c>
      <c r="AG439" s="2" t="str">
        <f>IF(Source!$C439&gt;=COLUMNS($A439:AG439), Source!$E439, "")</f>
        <v/>
      </c>
      <c r="AH439" s="2" t="str">
        <f>IF(Source!$C439&gt;=COLUMNS($A439:AH439), Source!$E439, "")</f>
        <v/>
      </c>
      <c r="AI439" s="2" t="str">
        <f>IF(Source!$C439&gt;=COLUMNS($A439:AI439), Source!$E439, "")</f>
        <v/>
      </c>
      <c r="AJ439" s="2" t="str">
        <f>IF(Source!$C439&gt;=COLUMNS($A439:AJ439), Source!$E439, "")</f>
        <v/>
      </c>
      <c r="AK439" s="2" t="str">
        <f>IF(Source!$C439&gt;=COLUMNS($A439:AK439), Source!$E439, "")</f>
        <v/>
      </c>
      <c r="AL439" s="2" t="str">
        <f>IF(Source!$C439&gt;=COLUMNS($A439:AL439), Source!$E439, "")</f>
        <v/>
      </c>
      <c r="AM439" s="2" t="str">
        <f>IF(Source!$C439&gt;=COLUMNS($A439:AM439), Source!$E439, "")</f>
        <v/>
      </c>
      <c r="AN439" s="2" t="str">
        <f>IF(Source!$C439&gt;=COLUMNS($A439:AN439), Source!$E439, "")</f>
        <v/>
      </c>
      <c r="AO439" s="2" t="str">
        <f>IF(Source!$C439&gt;=COLUMNS($A439:AO439), Source!$E439, "")</f>
        <v/>
      </c>
      <c r="AP439" s="2" t="str">
        <f>IF(Source!$C439&gt;=COLUMNS($A439:AP439), Source!$E439, "")</f>
        <v/>
      </c>
      <c r="AQ439" s="2" t="str">
        <f>IF(Source!$C439&gt;=COLUMNS($A439:AQ439), Source!$E439, "")</f>
        <v/>
      </c>
      <c r="AR439" s="2" t="str">
        <f>IF(Source!$C439&gt;=COLUMNS($A439:AR439), Source!$E439, "")</f>
        <v/>
      </c>
    </row>
    <row r="440">
      <c r="A440" s="2">
        <f>IF(Source!$C440&gt;=COLUMNS($A440:A440), Source!$E440, "")</f>
        <v>4</v>
      </c>
      <c r="B440" s="2">
        <f>IF(Source!$C440&gt;=COLUMNS($A440:B440), Source!$E440, "")</f>
        <v>4</v>
      </c>
      <c r="C440" s="2" t="str">
        <f>IF(Source!$C440&gt;=COLUMNS($A440:C440), Source!$E440, "")</f>
        <v/>
      </c>
      <c r="D440" s="2" t="str">
        <f>IF(Source!$C440&gt;=COLUMNS($A440:D440), Source!$E440, "")</f>
        <v/>
      </c>
      <c r="E440" s="2" t="str">
        <f>IF(Source!$C440&gt;=COLUMNS($A440:E440), Source!$E440, "")</f>
        <v/>
      </c>
      <c r="F440" s="2" t="str">
        <f>IF(Source!$C440&gt;=COLUMNS($A440:F440), Source!$E440, "")</f>
        <v/>
      </c>
      <c r="G440" s="2" t="str">
        <f>IF(Source!$C440&gt;=COLUMNS($A440:G440), Source!$E440, "")</f>
        <v/>
      </c>
      <c r="H440" s="2" t="str">
        <f>IF(Source!$C440&gt;=COLUMNS($A440:H440), Source!$E440, "")</f>
        <v/>
      </c>
      <c r="I440" s="2" t="str">
        <f>IF(Source!$C440&gt;=COLUMNS($A440:I440), Source!$E440, "")</f>
        <v/>
      </c>
      <c r="J440" s="2" t="str">
        <f>IF(Source!$C440&gt;=COLUMNS($A440:J440), Source!$E440, "")</f>
        <v/>
      </c>
      <c r="K440" s="2" t="str">
        <f>IF(Source!$C440&gt;=COLUMNS($A440:K440), Source!$E440, "")</f>
        <v/>
      </c>
      <c r="L440" s="2" t="str">
        <f>IF(Source!$C440&gt;=COLUMNS($A440:L440), Source!$E440, "")</f>
        <v/>
      </c>
      <c r="M440" s="2" t="str">
        <f>IF(Source!$C440&gt;=COLUMNS($A440:M440), Source!$E440, "")</f>
        <v/>
      </c>
      <c r="N440" s="2" t="str">
        <f>IF(Source!$C440&gt;=COLUMNS($A440:N440), Source!$E440, "")</f>
        <v/>
      </c>
      <c r="O440" s="2" t="str">
        <f>IF(Source!$C440&gt;=COLUMNS($A440:O440), Source!$E440, "")</f>
        <v/>
      </c>
      <c r="P440" s="2" t="str">
        <f>IF(Source!$C440&gt;=COLUMNS($A440:P440), Source!$E440, "")</f>
        <v/>
      </c>
      <c r="Q440" s="2" t="str">
        <f>IF(Source!$C440&gt;=COLUMNS($A440:Q440), Source!$E440, "")</f>
        <v/>
      </c>
      <c r="R440" s="2" t="str">
        <f>IF(Source!$C440&gt;=COLUMNS($A440:R440), Source!$E440, "")</f>
        <v/>
      </c>
      <c r="S440" s="2" t="str">
        <f>IF(Source!$C440&gt;=COLUMNS($A440:S440), Source!$E440, "")</f>
        <v/>
      </c>
      <c r="T440" s="2" t="str">
        <f>IF(Source!$C440&gt;=COLUMNS($A440:T440), Source!$E440, "")</f>
        <v/>
      </c>
      <c r="U440" s="2" t="str">
        <f>IF(Source!$C440&gt;=COLUMNS($A440:U440), Source!$E440, "")</f>
        <v/>
      </c>
      <c r="V440" s="2" t="str">
        <f>IF(Source!$C440&gt;=COLUMNS($A440:V440), Source!$E440, "")</f>
        <v/>
      </c>
      <c r="W440" s="2" t="str">
        <f>IF(Source!$C440&gt;=COLUMNS($A440:W440), Source!$E440, "")</f>
        <v/>
      </c>
      <c r="X440" s="2" t="str">
        <f>IF(Source!$C440&gt;=COLUMNS($A440:X440), Source!$E440, "")</f>
        <v/>
      </c>
      <c r="Y440" s="2" t="str">
        <f>IF(Source!$C440&gt;=COLUMNS($A440:Y440), Source!$E440, "")</f>
        <v/>
      </c>
      <c r="Z440" s="2" t="str">
        <f>IF(Source!$C440&gt;=COLUMNS($A440:Z440), Source!$E440, "")</f>
        <v/>
      </c>
      <c r="AA440" s="2" t="str">
        <f>IF(Source!$C440&gt;=COLUMNS($A440:AA440), Source!$E440, "")</f>
        <v/>
      </c>
      <c r="AB440" s="2" t="str">
        <f>IF(Source!$C440&gt;=COLUMNS($A440:AB440), Source!$E440, "")</f>
        <v/>
      </c>
      <c r="AC440" s="2" t="str">
        <f>IF(Source!$C440&gt;=COLUMNS($A440:AC440), Source!$E440, "")</f>
        <v/>
      </c>
      <c r="AD440" s="2" t="str">
        <f>IF(Source!$C440&gt;=COLUMNS($A440:AD440), Source!$E440, "")</f>
        <v/>
      </c>
      <c r="AE440" s="2" t="str">
        <f>IF(Source!$C440&gt;=COLUMNS($A440:AE440), Source!$E440, "")</f>
        <v/>
      </c>
      <c r="AF440" s="2" t="str">
        <f>IF(Source!$C440&gt;=COLUMNS($A440:AF440), Source!$E440, "")</f>
        <v/>
      </c>
      <c r="AG440" s="2" t="str">
        <f>IF(Source!$C440&gt;=COLUMNS($A440:AG440), Source!$E440, "")</f>
        <v/>
      </c>
      <c r="AH440" s="2" t="str">
        <f>IF(Source!$C440&gt;=COLUMNS($A440:AH440), Source!$E440, "")</f>
        <v/>
      </c>
      <c r="AI440" s="2" t="str">
        <f>IF(Source!$C440&gt;=COLUMNS($A440:AI440), Source!$E440, "")</f>
        <v/>
      </c>
      <c r="AJ440" s="2" t="str">
        <f>IF(Source!$C440&gt;=COLUMNS($A440:AJ440), Source!$E440, "")</f>
        <v/>
      </c>
      <c r="AK440" s="2" t="str">
        <f>IF(Source!$C440&gt;=COLUMNS($A440:AK440), Source!$E440, "")</f>
        <v/>
      </c>
      <c r="AL440" s="2" t="str">
        <f>IF(Source!$C440&gt;=COLUMNS($A440:AL440), Source!$E440, "")</f>
        <v/>
      </c>
      <c r="AM440" s="2" t="str">
        <f>IF(Source!$C440&gt;=COLUMNS($A440:AM440), Source!$E440, "")</f>
        <v/>
      </c>
      <c r="AN440" s="2" t="str">
        <f>IF(Source!$C440&gt;=COLUMNS($A440:AN440), Source!$E440, "")</f>
        <v/>
      </c>
      <c r="AO440" s="2" t="str">
        <f>IF(Source!$C440&gt;=COLUMNS($A440:AO440), Source!$E440, "")</f>
        <v/>
      </c>
      <c r="AP440" s="2" t="str">
        <f>IF(Source!$C440&gt;=COLUMNS($A440:AP440), Source!$E440, "")</f>
        <v/>
      </c>
      <c r="AQ440" s="2" t="str">
        <f>IF(Source!$C440&gt;=COLUMNS($A440:AQ440), Source!$E440, "")</f>
        <v/>
      </c>
      <c r="AR440" s="2" t="str">
        <f>IF(Source!$C440&gt;=COLUMNS($A440:AR440), Source!$E440, "")</f>
        <v/>
      </c>
    </row>
    <row r="441">
      <c r="A441" s="2">
        <f>IF(Source!$C441&gt;=COLUMNS($A441:A441), Source!$E441, "")</f>
        <v>7</v>
      </c>
      <c r="B441" s="2">
        <f>IF(Source!$C441&gt;=COLUMNS($A441:B441), Source!$E441, "")</f>
        <v>7</v>
      </c>
      <c r="C441" s="2">
        <f>IF(Source!$C441&gt;=COLUMNS($A441:C441), Source!$E441, "")</f>
        <v>7</v>
      </c>
      <c r="D441" s="2">
        <f>IF(Source!$C441&gt;=COLUMNS($A441:D441), Source!$E441, "")</f>
        <v>7</v>
      </c>
      <c r="E441" s="2" t="str">
        <f>IF(Source!$C441&gt;=COLUMNS($A441:E441), Source!$E441, "")</f>
        <v/>
      </c>
      <c r="F441" s="2" t="str">
        <f>IF(Source!$C441&gt;=COLUMNS($A441:F441), Source!$E441, "")</f>
        <v/>
      </c>
      <c r="G441" s="2" t="str">
        <f>IF(Source!$C441&gt;=COLUMNS($A441:G441), Source!$E441, "")</f>
        <v/>
      </c>
      <c r="H441" s="2" t="str">
        <f>IF(Source!$C441&gt;=COLUMNS($A441:H441), Source!$E441, "")</f>
        <v/>
      </c>
      <c r="I441" s="2" t="str">
        <f>IF(Source!$C441&gt;=COLUMNS($A441:I441), Source!$E441, "")</f>
        <v/>
      </c>
      <c r="J441" s="2" t="str">
        <f>IF(Source!$C441&gt;=COLUMNS($A441:J441), Source!$E441, "")</f>
        <v/>
      </c>
      <c r="K441" s="2" t="str">
        <f>IF(Source!$C441&gt;=COLUMNS($A441:K441), Source!$E441, "")</f>
        <v/>
      </c>
      <c r="L441" s="2" t="str">
        <f>IF(Source!$C441&gt;=COLUMNS($A441:L441), Source!$E441, "")</f>
        <v/>
      </c>
      <c r="M441" s="2" t="str">
        <f>IF(Source!$C441&gt;=COLUMNS($A441:M441), Source!$E441, "")</f>
        <v/>
      </c>
      <c r="N441" s="2" t="str">
        <f>IF(Source!$C441&gt;=COLUMNS($A441:N441), Source!$E441, "")</f>
        <v/>
      </c>
      <c r="O441" s="2" t="str">
        <f>IF(Source!$C441&gt;=COLUMNS($A441:O441), Source!$E441, "")</f>
        <v/>
      </c>
      <c r="P441" s="2" t="str">
        <f>IF(Source!$C441&gt;=COLUMNS($A441:P441), Source!$E441, "")</f>
        <v/>
      </c>
      <c r="Q441" s="2" t="str">
        <f>IF(Source!$C441&gt;=COLUMNS($A441:Q441), Source!$E441, "")</f>
        <v/>
      </c>
      <c r="R441" s="2" t="str">
        <f>IF(Source!$C441&gt;=COLUMNS($A441:R441), Source!$E441, "")</f>
        <v/>
      </c>
      <c r="S441" s="2" t="str">
        <f>IF(Source!$C441&gt;=COLUMNS($A441:S441), Source!$E441, "")</f>
        <v/>
      </c>
      <c r="T441" s="2" t="str">
        <f>IF(Source!$C441&gt;=COLUMNS($A441:T441), Source!$E441, "")</f>
        <v/>
      </c>
      <c r="U441" s="2" t="str">
        <f>IF(Source!$C441&gt;=COLUMNS($A441:U441), Source!$E441, "")</f>
        <v/>
      </c>
      <c r="V441" s="2" t="str">
        <f>IF(Source!$C441&gt;=COLUMNS($A441:V441), Source!$E441, "")</f>
        <v/>
      </c>
      <c r="W441" s="2" t="str">
        <f>IF(Source!$C441&gt;=COLUMNS($A441:W441), Source!$E441, "")</f>
        <v/>
      </c>
      <c r="X441" s="2" t="str">
        <f>IF(Source!$C441&gt;=COLUMNS($A441:X441), Source!$E441, "")</f>
        <v/>
      </c>
      <c r="Y441" s="2" t="str">
        <f>IF(Source!$C441&gt;=COLUMNS($A441:Y441), Source!$E441, "")</f>
        <v/>
      </c>
      <c r="Z441" s="2" t="str">
        <f>IF(Source!$C441&gt;=COLUMNS($A441:Z441), Source!$E441, "")</f>
        <v/>
      </c>
      <c r="AA441" s="2" t="str">
        <f>IF(Source!$C441&gt;=COLUMNS($A441:AA441), Source!$E441, "")</f>
        <v/>
      </c>
      <c r="AB441" s="2" t="str">
        <f>IF(Source!$C441&gt;=COLUMNS($A441:AB441), Source!$E441, "")</f>
        <v/>
      </c>
      <c r="AC441" s="2" t="str">
        <f>IF(Source!$C441&gt;=COLUMNS($A441:AC441), Source!$E441, "")</f>
        <v/>
      </c>
      <c r="AD441" s="2" t="str">
        <f>IF(Source!$C441&gt;=COLUMNS($A441:AD441), Source!$E441, "")</f>
        <v/>
      </c>
      <c r="AE441" s="2" t="str">
        <f>IF(Source!$C441&gt;=COLUMNS($A441:AE441), Source!$E441, "")</f>
        <v/>
      </c>
      <c r="AF441" s="2" t="str">
        <f>IF(Source!$C441&gt;=COLUMNS($A441:AF441), Source!$E441, "")</f>
        <v/>
      </c>
      <c r="AG441" s="2" t="str">
        <f>IF(Source!$C441&gt;=COLUMNS($A441:AG441), Source!$E441, "")</f>
        <v/>
      </c>
      <c r="AH441" s="2" t="str">
        <f>IF(Source!$C441&gt;=COLUMNS($A441:AH441), Source!$E441, "")</f>
        <v/>
      </c>
      <c r="AI441" s="2" t="str">
        <f>IF(Source!$C441&gt;=COLUMNS($A441:AI441), Source!$E441, "")</f>
        <v/>
      </c>
      <c r="AJ441" s="2" t="str">
        <f>IF(Source!$C441&gt;=COLUMNS($A441:AJ441), Source!$E441, "")</f>
        <v/>
      </c>
      <c r="AK441" s="2" t="str">
        <f>IF(Source!$C441&gt;=COLUMNS($A441:AK441), Source!$E441, "")</f>
        <v/>
      </c>
      <c r="AL441" s="2" t="str">
        <f>IF(Source!$C441&gt;=COLUMNS($A441:AL441), Source!$E441, "")</f>
        <v/>
      </c>
      <c r="AM441" s="2" t="str">
        <f>IF(Source!$C441&gt;=COLUMNS($A441:AM441), Source!$E441, "")</f>
        <v/>
      </c>
      <c r="AN441" s="2" t="str">
        <f>IF(Source!$C441&gt;=COLUMNS($A441:AN441), Source!$E441, "")</f>
        <v/>
      </c>
      <c r="AO441" s="2" t="str">
        <f>IF(Source!$C441&gt;=COLUMNS($A441:AO441), Source!$E441, "")</f>
        <v/>
      </c>
      <c r="AP441" s="2" t="str">
        <f>IF(Source!$C441&gt;=COLUMNS($A441:AP441), Source!$E441, "")</f>
        <v/>
      </c>
      <c r="AQ441" s="2" t="str">
        <f>IF(Source!$C441&gt;=COLUMNS($A441:AQ441), Source!$E441, "")</f>
        <v/>
      </c>
      <c r="AR441" s="2" t="str">
        <f>IF(Source!$C441&gt;=COLUMNS($A441:AR441), Source!$E441, "")</f>
        <v/>
      </c>
    </row>
    <row r="442">
      <c r="A442" s="2">
        <f>IF(Source!$C442&gt;=COLUMNS($A442:A442), Source!$E442, "")</f>
        <v>6</v>
      </c>
      <c r="B442" s="2">
        <f>IF(Source!$C442&gt;=COLUMNS($A442:B442), Source!$E442, "")</f>
        <v>6</v>
      </c>
      <c r="C442" s="2">
        <f>IF(Source!$C442&gt;=COLUMNS($A442:C442), Source!$E442, "")</f>
        <v>6</v>
      </c>
      <c r="D442" s="2">
        <f>IF(Source!$C442&gt;=COLUMNS($A442:D442), Source!$E442, "")</f>
        <v>6</v>
      </c>
      <c r="E442" s="2">
        <f>IF(Source!$C442&gt;=COLUMNS($A442:E442), Source!$E442, "")</f>
        <v>6</v>
      </c>
      <c r="F442" s="2">
        <f>IF(Source!$C442&gt;=COLUMNS($A442:F442), Source!$E442, "")</f>
        <v>6</v>
      </c>
      <c r="G442" s="2">
        <f>IF(Source!$C442&gt;=COLUMNS($A442:G442), Source!$E442, "")</f>
        <v>6</v>
      </c>
      <c r="H442" s="2">
        <f>IF(Source!$C442&gt;=COLUMNS($A442:H442), Source!$E442, "")</f>
        <v>6</v>
      </c>
      <c r="I442" s="2">
        <f>IF(Source!$C442&gt;=COLUMNS($A442:I442), Source!$E442, "")</f>
        <v>6</v>
      </c>
      <c r="J442" s="2" t="str">
        <f>IF(Source!$C442&gt;=COLUMNS($A442:J442), Source!$E442, "")</f>
        <v/>
      </c>
      <c r="K442" s="2" t="str">
        <f>IF(Source!$C442&gt;=COLUMNS($A442:K442), Source!$E442, "")</f>
        <v/>
      </c>
      <c r="L442" s="2" t="str">
        <f>IF(Source!$C442&gt;=COLUMNS($A442:L442), Source!$E442, "")</f>
        <v/>
      </c>
      <c r="M442" s="2" t="str">
        <f>IF(Source!$C442&gt;=COLUMNS($A442:M442), Source!$E442, "")</f>
        <v/>
      </c>
      <c r="N442" s="2" t="str">
        <f>IF(Source!$C442&gt;=COLUMNS($A442:N442), Source!$E442, "")</f>
        <v/>
      </c>
      <c r="O442" s="2" t="str">
        <f>IF(Source!$C442&gt;=COLUMNS($A442:O442), Source!$E442, "")</f>
        <v/>
      </c>
      <c r="P442" s="2" t="str">
        <f>IF(Source!$C442&gt;=COLUMNS($A442:P442), Source!$E442, "")</f>
        <v/>
      </c>
      <c r="Q442" s="2" t="str">
        <f>IF(Source!$C442&gt;=COLUMNS($A442:Q442), Source!$E442, "")</f>
        <v/>
      </c>
      <c r="R442" s="2" t="str">
        <f>IF(Source!$C442&gt;=COLUMNS($A442:R442), Source!$E442, "")</f>
        <v/>
      </c>
      <c r="S442" s="2" t="str">
        <f>IF(Source!$C442&gt;=COLUMNS($A442:S442), Source!$E442, "")</f>
        <v/>
      </c>
      <c r="T442" s="2" t="str">
        <f>IF(Source!$C442&gt;=COLUMNS($A442:T442), Source!$E442, "")</f>
        <v/>
      </c>
      <c r="U442" s="2" t="str">
        <f>IF(Source!$C442&gt;=COLUMNS($A442:U442), Source!$E442, "")</f>
        <v/>
      </c>
      <c r="V442" s="2" t="str">
        <f>IF(Source!$C442&gt;=COLUMNS($A442:V442), Source!$E442, "")</f>
        <v/>
      </c>
      <c r="W442" s="2" t="str">
        <f>IF(Source!$C442&gt;=COLUMNS($A442:W442), Source!$E442, "")</f>
        <v/>
      </c>
      <c r="X442" s="2" t="str">
        <f>IF(Source!$C442&gt;=COLUMNS($A442:X442), Source!$E442, "")</f>
        <v/>
      </c>
      <c r="Y442" s="2" t="str">
        <f>IF(Source!$C442&gt;=COLUMNS($A442:Y442), Source!$E442, "")</f>
        <v/>
      </c>
      <c r="Z442" s="2" t="str">
        <f>IF(Source!$C442&gt;=COLUMNS($A442:Z442), Source!$E442, "")</f>
        <v/>
      </c>
      <c r="AA442" s="2" t="str">
        <f>IF(Source!$C442&gt;=COLUMNS($A442:AA442), Source!$E442, "")</f>
        <v/>
      </c>
      <c r="AB442" s="2" t="str">
        <f>IF(Source!$C442&gt;=COLUMNS($A442:AB442), Source!$E442, "")</f>
        <v/>
      </c>
      <c r="AC442" s="2" t="str">
        <f>IF(Source!$C442&gt;=COLUMNS($A442:AC442), Source!$E442, "")</f>
        <v/>
      </c>
      <c r="AD442" s="2" t="str">
        <f>IF(Source!$C442&gt;=COLUMNS($A442:AD442), Source!$E442, "")</f>
        <v/>
      </c>
      <c r="AE442" s="2" t="str">
        <f>IF(Source!$C442&gt;=COLUMNS($A442:AE442), Source!$E442, "")</f>
        <v/>
      </c>
      <c r="AF442" s="2" t="str">
        <f>IF(Source!$C442&gt;=COLUMNS($A442:AF442), Source!$E442, "")</f>
        <v/>
      </c>
      <c r="AG442" s="2" t="str">
        <f>IF(Source!$C442&gt;=COLUMNS($A442:AG442), Source!$E442, "")</f>
        <v/>
      </c>
      <c r="AH442" s="2" t="str">
        <f>IF(Source!$C442&gt;=COLUMNS($A442:AH442), Source!$E442, "")</f>
        <v/>
      </c>
      <c r="AI442" s="2" t="str">
        <f>IF(Source!$C442&gt;=COLUMNS($A442:AI442), Source!$E442, "")</f>
        <v/>
      </c>
      <c r="AJ442" s="2" t="str">
        <f>IF(Source!$C442&gt;=COLUMNS($A442:AJ442), Source!$E442, "")</f>
        <v/>
      </c>
      <c r="AK442" s="2" t="str">
        <f>IF(Source!$C442&gt;=COLUMNS($A442:AK442), Source!$E442, "")</f>
        <v/>
      </c>
      <c r="AL442" s="2" t="str">
        <f>IF(Source!$C442&gt;=COLUMNS($A442:AL442), Source!$E442, "")</f>
        <v/>
      </c>
      <c r="AM442" s="2" t="str">
        <f>IF(Source!$C442&gt;=COLUMNS($A442:AM442), Source!$E442, "")</f>
        <v/>
      </c>
      <c r="AN442" s="2" t="str">
        <f>IF(Source!$C442&gt;=COLUMNS($A442:AN442), Source!$E442, "")</f>
        <v/>
      </c>
      <c r="AO442" s="2" t="str">
        <f>IF(Source!$C442&gt;=COLUMNS($A442:AO442), Source!$E442, "")</f>
        <v/>
      </c>
      <c r="AP442" s="2" t="str">
        <f>IF(Source!$C442&gt;=COLUMNS($A442:AP442), Source!$E442, "")</f>
        <v/>
      </c>
      <c r="AQ442" s="2" t="str">
        <f>IF(Source!$C442&gt;=COLUMNS($A442:AQ442), Source!$E442, "")</f>
        <v/>
      </c>
      <c r="AR442" s="2" t="str">
        <f>IF(Source!$C442&gt;=COLUMNS($A442:AR442), Source!$E442, "")</f>
        <v/>
      </c>
    </row>
    <row r="443">
      <c r="A443" s="2">
        <f>IF(Source!$C443&gt;=COLUMNS($A443:A443), Source!$E443, "")</f>
        <v>6</v>
      </c>
      <c r="B443" s="2">
        <f>IF(Source!$C443&gt;=COLUMNS($A443:B443), Source!$E443, "")</f>
        <v>6</v>
      </c>
      <c r="C443" s="2">
        <f>IF(Source!$C443&gt;=COLUMNS($A443:C443), Source!$E443, "")</f>
        <v>6</v>
      </c>
      <c r="D443" s="2" t="str">
        <f>IF(Source!$C443&gt;=COLUMNS($A443:D443), Source!$E443, "")</f>
        <v/>
      </c>
      <c r="E443" s="2" t="str">
        <f>IF(Source!$C443&gt;=COLUMNS($A443:E443), Source!$E443, "")</f>
        <v/>
      </c>
      <c r="F443" s="2" t="str">
        <f>IF(Source!$C443&gt;=COLUMNS($A443:F443), Source!$E443, "")</f>
        <v/>
      </c>
      <c r="G443" s="2" t="str">
        <f>IF(Source!$C443&gt;=COLUMNS($A443:G443), Source!$E443, "")</f>
        <v/>
      </c>
      <c r="H443" s="2" t="str">
        <f>IF(Source!$C443&gt;=COLUMNS($A443:H443), Source!$E443, "")</f>
        <v/>
      </c>
      <c r="I443" s="2" t="str">
        <f>IF(Source!$C443&gt;=COLUMNS($A443:I443), Source!$E443, "")</f>
        <v/>
      </c>
      <c r="J443" s="2" t="str">
        <f>IF(Source!$C443&gt;=COLUMNS($A443:J443), Source!$E443, "")</f>
        <v/>
      </c>
      <c r="K443" s="2" t="str">
        <f>IF(Source!$C443&gt;=COLUMNS($A443:K443), Source!$E443, "")</f>
        <v/>
      </c>
      <c r="L443" s="2" t="str">
        <f>IF(Source!$C443&gt;=COLUMNS($A443:L443), Source!$E443, "")</f>
        <v/>
      </c>
      <c r="M443" s="2" t="str">
        <f>IF(Source!$C443&gt;=COLUMNS($A443:M443), Source!$E443, "")</f>
        <v/>
      </c>
      <c r="N443" s="2" t="str">
        <f>IF(Source!$C443&gt;=COLUMNS($A443:N443), Source!$E443, "")</f>
        <v/>
      </c>
      <c r="O443" s="2" t="str">
        <f>IF(Source!$C443&gt;=COLUMNS($A443:O443), Source!$E443, "")</f>
        <v/>
      </c>
      <c r="P443" s="2" t="str">
        <f>IF(Source!$C443&gt;=COLUMNS($A443:P443), Source!$E443, "")</f>
        <v/>
      </c>
      <c r="Q443" s="2" t="str">
        <f>IF(Source!$C443&gt;=COLUMNS($A443:Q443), Source!$E443, "")</f>
        <v/>
      </c>
      <c r="R443" s="2" t="str">
        <f>IF(Source!$C443&gt;=COLUMNS($A443:R443), Source!$E443, "")</f>
        <v/>
      </c>
      <c r="S443" s="2" t="str">
        <f>IF(Source!$C443&gt;=COLUMNS($A443:S443), Source!$E443, "")</f>
        <v/>
      </c>
      <c r="T443" s="2" t="str">
        <f>IF(Source!$C443&gt;=COLUMNS($A443:T443), Source!$E443, "")</f>
        <v/>
      </c>
      <c r="U443" s="2" t="str">
        <f>IF(Source!$C443&gt;=COLUMNS($A443:U443), Source!$E443, "")</f>
        <v/>
      </c>
      <c r="V443" s="2" t="str">
        <f>IF(Source!$C443&gt;=COLUMNS($A443:V443), Source!$E443, "")</f>
        <v/>
      </c>
      <c r="W443" s="2" t="str">
        <f>IF(Source!$C443&gt;=COLUMNS($A443:W443), Source!$E443, "")</f>
        <v/>
      </c>
      <c r="X443" s="2" t="str">
        <f>IF(Source!$C443&gt;=COLUMNS($A443:X443), Source!$E443, "")</f>
        <v/>
      </c>
      <c r="Y443" s="2" t="str">
        <f>IF(Source!$C443&gt;=COLUMNS($A443:Y443), Source!$E443, "")</f>
        <v/>
      </c>
      <c r="Z443" s="2" t="str">
        <f>IF(Source!$C443&gt;=COLUMNS($A443:Z443), Source!$E443, "")</f>
        <v/>
      </c>
      <c r="AA443" s="2" t="str">
        <f>IF(Source!$C443&gt;=COLUMNS($A443:AA443), Source!$E443, "")</f>
        <v/>
      </c>
      <c r="AB443" s="2" t="str">
        <f>IF(Source!$C443&gt;=COLUMNS($A443:AB443), Source!$E443, "")</f>
        <v/>
      </c>
      <c r="AC443" s="2" t="str">
        <f>IF(Source!$C443&gt;=COLUMNS($A443:AC443), Source!$E443, "")</f>
        <v/>
      </c>
      <c r="AD443" s="2" t="str">
        <f>IF(Source!$C443&gt;=COLUMNS($A443:AD443), Source!$E443, "")</f>
        <v/>
      </c>
      <c r="AE443" s="2" t="str">
        <f>IF(Source!$C443&gt;=COLUMNS($A443:AE443), Source!$E443, "")</f>
        <v/>
      </c>
      <c r="AF443" s="2" t="str">
        <f>IF(Source!$C443&gt;=COLUMNS($A443:AF443), Source!$E443, "")</f>
        <v/>
      </c>
      <c r="AG443" s="2" t="str">
        <f>IF(Source!$C443&gt;=COLUMNS($A443:AG443), Source!$E443, "")</f>
        <v/>
      </c>
      <c r="AH443" s="2" t="str">
        <f>IF(Source!$C443&gt;=COLUMNS($A443:AH443), Source!$E443, "")</f>
        <v/>
      </c>
      <c r="AI443" s="2" t="str">
        <f>IF(Source!$C443&gt;=COLUMNS($A443:AI443), Source!$E443, "")</f>
        <v/>
      </c>
      <c r="AJ443" s="2" t="str">
        <f>IF(Source!$C443&gt;=COLUMNS($A443:AJ443), Source!$E443, "")</f>
        <v/>
      </c>
      <c r="AK443" s="2" t="str">
        <f>IF(Source!$C443&gt;=COLUMNS($A443:AK443), Source!$E443, "")</f>
        <v/>
      </c>
      <c r="AL443" s="2" t="str">
        <f>IF(Source!$C443&gt;=COLUMNS($A443:AL443), Source!$E443, "")</f>
        <v/>
      </c>
      <c r="AM443" s="2" t="str">
        <f>IF(Source!$C443&gt;=COLUMNS($A443:AM443), Source!$E443, "")</f>
        <v/>
      </c>
      <c r="AN443" s="2" t="str">
        <f>IF(Source!$C443&gt;=COLUMNS($A443:AN443), Source!$E443, "")</f>
        <v/>
      </c>
      <c r="AO443" s="2" t="str">
        <f>IF(Source!$C443&gt;=COLUMNS($A443:AO443), Source!$E443, "")</f>
        <v/>
      </c>
      <c r="AP443" s="2" t="str">
        <f>IF(Source!$C443&gt;=COLUMNS($A443:AP443), Source!$E443, "")</f>
        <v/>
      </c>
      <c r="AQ443" s="2" t="str">
        <f>IF(Source!$C443&gt;=COLUMNS($A443:AQ443), Source!$E443, "")</f>
        <v/>
      </c>
      <c r="AR443" s="2" t="str">
        <f>IF(Source!$C443&gt;=COLUMNS($A443:AR443), Source!$E443, "")</f>
        <v/>
      </c>
    </row>
    <row r="444">
      <c r="A444" s="2">
        <f>IF(Source!$C444&gt;=COLUMNS($A444:A444), Source!$E444, "")</f>
        <v>9</v>
      </c>
      <c r="B444" s="2">
        <f>IF(Source!$C444&gt;=COLUMNS($A444:B444), Source!$E444, "")</f>
        <v>9</v>
      </c>
      <c r="C444" s="2">
        <f>IF(Source!$C444&gt;=COLUMNS($A444:C444), Source!$E444, "")</f>
        <v>9</v>
      </c>
      <c r="D444" s="2">
        <f>IF(Source!$C444&gt;=COLUMNS($A444:D444), Source!$E444, "")</f>
        <v>9</v>
      </c>
      <c r="E444" s="2">
        <f>IF(Source!$C444&gt;=COLUMNS($A444:E444), Source!$E444, "")</f>
        <v>9</v>
      </c>
      <c r="F444" s="2">
        <f>IF(Source!$C444&gt;=COLUMNS($A444:F444), Source!$E444, "")</f>
        <v>9</v>
      </c>
      <c r="G444" s="2">
        <f>IF(Source!$C444&gt;=COLUMNS($A444:G444), Source!$E444, "")</f>
        <v>9</v>
      </c>
      <c r="H444" s="2">
        <f>IF(Source!$C444&gt;=COLUMNS($A444:H444), Source!$E444, "")</f>
        <v>9</v>
      </c>
      <c r="I444" s="2">
        <f>IF(Source!$C444&gt;=COLUMNS($A444:I444), Source!$E444, "")</f>
        <v>9</v>
      </c>
      <c r="J444" s="2">
        <f>IF(Source!$C444&gt;=COLUMNS($A444:J444), Source!$E444, "")</f>
        <v>9</v>
      </c>
      <c r="K444" s="2">
        <f>IF(Source!$C444&gt;=COLUMNS($A444:K444), Source!$E444, "")</f>
        <v>9</v>
      </c>
      <c r="L444" s="2">
        <f>IF(Source!$C444&gt;=COLUMNS($A444:L444), Source!$E444, "")</f>
        <v>9</v>
      </c>
      <c r="M444" s="2">
        <f>IF(Source!$C444&gt;=COLUMNS($A444:M444), Source!$E444, "")</f>
        <v>9</v>
      </c>
      <c r="N444" s="2">
        <f>IF(Source!$C444&gt;=COLUMNS($A444:N444), Source!$E444, "")</f>
        <v>9</v>
      </c>
      <c r="O444" s="2">
        <f>IF(Source!$C444&gt;=COLUMNS($A444:O444), Source!$E444, "")</f>
        <v>9</v>
      </c>
      <c r="P444" s="2" t="str">
        <f>IF(Source!$C444&gt;=COLUMNS($A444:P444), Source!$E444, "")</f>
        <v/>
      </c>
      <c r="Q444" s="2" t="str">
        <f>IF(Source!$C444&gt;=COLUMNS($A444:Q444), Source!$E444, "")</f>
        <v/>
      </c>
      <c r="R444" s="2" t="str">
        <f>IF(Source!$C444&gt;=COLUMNS($A444:R444), Source!$E444, "")</f>
        <v/>
      </c>
      <c r="S444" s="2" t="str">
        <f>IF(Source!$C444&gt;=COLUMNS($A444:S444), Source!$E444, "")</f>
        <v/>
      </c>
      <c r="T444" s="2" t="str">
        <f>IF(Source!$C444&gt;=COLUMNS($A444:T444), Source!$E444, "")</f>
        <v/>
      </c>
      <c r="U444" s="2" t="str">
        <f>IF(Source!$C444&gt;=COLUMNS($A444:U444), Source!$E444, "")</f>
        <v/>
      </c>
      <c r="V444" s="2" t="str">
        <f>IF(Source!$C444&gt;=COLUMNS($A444:V444), Source!$E444, "")</f>
        <v/>
      </c>
      <c r="W444" s="2" t="str">
        <f>IF(Source!$C444&gt;=COLUMNS($A444:W444), Source!$E444, "")</f>
        <v/>
      </c>
      <c r="X444" s="2" t="str">
        <f>IF(Source!$C444&gt;=COLUMNS($A444:X444), Source!$E444, "")</f>
        <v/>
      </c>
      <c r="Y444" s="2" t="str">
        <f>IF(Source!$C444&gt;=COLUMNS($A444:Y444), Source!$E444, "")</f>
        <v/>
      </c>
      <c r="Z444" s="2" t="str">
        <f>IF(Source!$C444&gt;=COLUMNS($A444:Z444), Source!$E444, "")</f>
        <v/>
      </c>
      <c r="AA444" s="2" t="str">
        <f>IF(Source!$C444&gt;=COLUMNS($A444:AA444), Source!$E444, "")</f>
        <v/>
      </c>
      <c r="AB444" s="2" t="str">
        <f>IF(Source!$C444&gt;=COLUMNS($A444:AB444), Source!$E444, "")</f>
        <v/>
      </c>
      <c r="AC444" s="2" t="str">
        <f>IF(Source!$C444&gt;=COLUMNS($A444:AC444), Source!$E444, "")</f>
        <v/>
      </c>
      <c r="AD444" s="2" t="str">
        <f>IF(Source!$C444&gt;=COLUMNS($A444:AD444), Source!$E444, "")</f>
        <v/>
      </c>
      <c r="AE444" s="2" t="str">
        <f>IF(Source!$C444&gt;=COLUMNS($A444:AE444), Source!$E444, "")</f>
        <v/>
      </c>
      <c r="AF444" s="2" t="str">
        <f>IF(Source!$C444&gt;=COLUMNS($A444:AF444), Source!$E444, "")</f>
        <v/>
      </c>
      <c r="AG444" s="2" t="str">
        <f>IF(Source!$C444&gt;=COLUMNS($A444:AG444), Source!$E444, "")</f>
        <v/>
      </c>
      <c r="AH444" s="2" t="str">
        <f>IF(Source!$C444&gt;=COLUMNS($A444:AH444), Source!$E444, "")</f>
        <v/>
      </c>
      <c r="AI444" s="2" t="str">
        <f>IF(Source!$C444&gt;=COLUMNS($A444:AI444), Source!$E444, "")</f>
        <v/>
      </c>
      <c r="AJ444" s="2" t="str">
        <f>IF(Source!$C444&gt;=COLUMNS($A444:AJ444), Source!$E444, "")</f>
        <v/>
      </c>
      <c r="AK444" s="2" t="str">
        <f>IF(Source!$C444&gt;=COLUMNS($A444:AK444), Source!$E444, "")</f>
        <v/>
      </c>
      <c r="AL444" s="2" t="str">
        <f>IF(Source!$C444&gt;=COLUMNS($A444:AL444), Source!$E444, "")</f>
        <v/>
      </c>
      <c r="AM444" s="2" t="str">
        <f>IF(Source!$C444&gt;=COLUMNS($A444:AM444), Source!$E444, "")</f>
        <v/>
      </c>
      <c r="AN444" s="2" t="str">
        <f>IF(Source!$C444&gt;=COLUMNS($A444:AN444), Source!$E444, "")</f>
        <v/>
      </c>
      <c r="AO444" s="2" t="str">
        <f>IF(Source!$C444&gt;=COLUMNS($A444:AO444), Source!$E444, "")</f>
        <v/>
      </c>
      <c r="AP444" s="2" t="str">
        <f>IF(Source!$C444&gt;=COLUMNS($A444:AP444), Source!$E444, "")</f>
        <v/>
      </c>
      <c r="AQ444" s="2" t="str">
        <f>IF(Source!$C444&gt;=COLUMNS($A444:AQ444), Source!$E444, "")</f>
        <v/>
      </c>
      <c r="AR444" s="2" t="str">
        <f>IF(Source!$C444&gt;=COLUMNS($A444:AR444), Source!$E444, "")</f>
        <v/>
      </c>
    </row>
    <row r="445">
      <c r="A445" s="2">
        <f>IF(Source!$C445&gt;=COLUMNS($A445:A445), Source!$E445, "")</f>
        <v>4</v>
      </c>
      <c r="B445" s="2" t="str">
        <f>IF(Source!$C445&gt;=COLUMNS($A445:B445), Source!$E445, "")</f>
        <v/>
      </c>
      <c r="C445" s="2" t="str">
        <f>IF(Source!$C445&gt;=COLUMNS($A445:C445), Source!$E445, "")</f>
        <v/>
      </c>
      <c r="D445" s="2" t="str">
        <f>IF(Source!$C445&gt;=COLUMNS($A445:D445), Source!$E445, "")</f>
        <v/>
      </c>
      <c r="E445" s="2" t="str">
        <f>IF(Source!$C445&gt;=COLUMNS($A445:E445), Source!$E445, "")</f>
        <v/>
      </c>
      <c r="F445" s="2" t="str">
        <f>IF(Source!$C445&gt;=COLUMNS($A445:F445), Source!$E445, "")</f>
        <v/>
      </c>
      <c r="G445" s="2" t="str">
        <f>IF(Source!$C445&gt;=COLUMNS($A445:G445), Source!$E445, "")</f>
        <v/>
      </c>
      <c r="H445" s="2" t="str">
        <f>IF(Source!$C445&gt;=COLUMNS($A445:H445), Source!$E445, "")</f>
        <v/>
      </c>
      <c r="I445" s="2" t="str">
        <f>IF(Source!$C445&gt;=COLUMNS($A445:I445), Source!$E445, "")</f>
        <v/>
      </c>
      <c r="J445" s="2" t="str">
        <f>IF(Source!$C445&gt;=COLUMNS($A445:J445), Source!$E445, "")</f>
        <v/>
      </c>
      <c r="K445" s="2" t="str">
        <f>IF(Source!$C445&gt;=COLUMNS($A445:K445), Source!$E445, "")</f>
        <v/>
      </c>
      <c r="L445" s="2" t="str">
        <f>IF(Source!$C445&gt;=COLUMNS($A445:L445), Source!$E445, "")</f>
        <v/>
      </c>
      <c r="M445" s="2" t="str">
        <f>IF(Source!$C445&gt;=COLUMNS($A445:M445), Source!$E445, "")</f>
        <v/>
      </c>
      <c r="N445" s="2" t="str">
        <f>IF(Source!$C445&gt;=COLUMNS($A445:N445), Source!$E445, "")</f>
        <v/>
      </c>
      <c r="O445" s="2" t="str">
        <f>IF(Source!$C445&gt;=COLUMNS($A445:O445), Source!$E445, "")</f>
        <v/>
      </c>
      <c r="P445" s="2" t="str">
        <f>IF(Source!$C445&gt;=COLUMNS($A445:P445), Source!$E445, "")</f>
        <v/>
      </c>
      <c r="Q445" s="2" t="str">
        <f>IF(Source!$C445&gt;=COLUMNS($A445:Q445), Source!$E445, "")</f>
        <v/>
      </c>
      <c r="R445" s="2" t="str">
        <f>IF(Source!$C445&gt;=COLUMNS($A445:R445), Source!$E445, "")</f>
        <v/>
      </c>
      <c r="S445" s="2" t="str">
        <f>IF(Source!$C445&gt;=COLUMNS($A445:S445), Source!$E445, "")</f>
        <v/>
      </c>
      <c r="T445" s="2" t="str">
        <f>IF(Source!$C445&gt;=COLUMNS($A445:T445), Source!$E445, "")</f>
        <v/>
      </c>
      <c r="U445" s="2" t="str">
        <f>IF(Source!$C445&gt;=COLUMNS($A445:U445), Source!$E445, "")</f>
        <v/>
      </c>
      <c r="V445" s="2" t="str">
        <f>IF(Source!$C445&gt;=COLUMNS($A445:V445), Source!$E445, "")</f>
        <v/>
      </c>
      <c r="W445" s="2" t="str">
        <f>IF(Source!$C445&gt;=COLUMNS($A445:W445), Source!$E445, "")</f>
        <v/>
      </c>
      <c r="X445" s="2" t="str">
        <f>IF(Source!$C445&gt;=COLUMNS($A445:X445), Source!$E445, "")</f>
        <v/>
      </c>
      <c r="Y445" s="2" t="str">
        <f>IF(Source!$C445&gt;=COLUMNS($A445:Y445), Source!$E445, "")</f>
        <v/>
      </c>
      <c r="Z445" s="2" t="str">
        <f>IF(Source!$C445&gt;=COLUMNS($A445:Z445), Source!$E445, "")</f>
        <v/>
      </c>
      <c r="AA445" s="2" t="str">
        <f>IF(Source!$C445&gt;=COLUMNS($A445:AA445), Source!$E445, "")</f>
        <v/>
      </c>
      <c r="AB445" s="2" t="str">
        <f>IF(Source!$C445&gt;=COLUMNS($A445:AB445), Source!$E445, "")</f>
        <v/>
      </c>
      <c r="AC445" s="2" t="str">
        <f>IF(Source!$C445&gt;=COLUMNS($A445:AC445), Source!$E445, "")</f>
        <v/>
      </c>
      <c r="AD445" s="2" t="str">
        <f>IF(Source!$C445&gt;=COLUMNS($A445:AD445), Source!$E445, "")</f>
        <v/>
      </c>
      <c r="AE445" s="2" t="str">
        <f>IF(Source!$C445&gt;=COLUMNS($A445:AE445), Source!$E445, "")</f>
        <v/>
      </c>
      <c r="AF445" s="2" t="str">
        <f>IF(Source!$C445&gt;=COLUMNS($A445:AF445), Source!$E445, "")</f>
        <v/>
      </c>
      <c r="AG445" s="2" t="str">
        <f>IF(Source!$C445&gt;=COLUMNS($A445:AG445), Source!$E445, "")</f>
        <v/>
      </c>
      <c r="AH445" s="2" t="str">
        <f>IF(Source!$C445&gt;=COLUMNS($A445:AH445), Source!$E445, "")</f>
        <v/>
      </c>
      <c r="AI445" s="2" t="str">
        <f>IF(Source!$C445&gt;=COLUMNS($A445:AI445), Source!$E445, "")</f>
        <v/>
      </c>
      <c r="AJ445" s="2" t="str">
        <f>IF(Source!$C445&gt;=COLUMNS($A445:AJ445), Source!$E445, "")</f>
        <v/>
      </c>
      <c r="AK445" s="2" t="str">
        <f>IF(Source!$C445&gt;=COLUMNS($A445:AK445), Source!$E445, "")</f>
        <v/>
      </c>
      <c r="AL445" s="2" t="str">
        <f>IF(Source!$C445&gt;=COLUMNS($A445:AL445), Source!$E445, "")</f>
        <v/>
      </c>
      <c r="AM445" s="2" t="str">
        <f>IF(Source!$C445&gt;=COLUMNS($A445:AM445), Source!$E445, "")</f>
        <v/>
      </c>
      <c r="AN445" s="2" t="str">
        <f>IF(Source!$C445&gt;=COLUMNS($A445:AN445), Source!$E445, "")</f>
        <v/>
      </c>
      <c r="AO445" s="2" t="str">
        <f>IF(Source!$C445&gt;=COLUMNS($A445:AO445), Source!$E445, "")</f>
        <v/>
      </c>
      <c r="AP445" s="2" t="str">
        <f>IF(Source!$C445&gt;=COLUMNS($A445:AP445), Source!$E445, "")</f>
        <v/>
      </c>
      <c r="AQ445" s="2" t="str">
        <f>IF(Source!$C445&gt;=COLUMNS($A445:AQ445), Source!$E445, "")</f>
        <v/>
      </c>
      <c r="AR445" s="2" t="str">
        <f>IF(Source!$C445&gt;=COLUMNS($A445:AR445), Source!$E445, "")</f>
        <v/>
      </c>
    </row>
    <row r="446">
      <c r="A446" s="2">
        <f>IF(Source!$C446&gt;=COLUMNS($A446:A446), Source!$E446, "")</f>
        <v>9</v>
      </c>
      <c r="B446" s="2">
        <f>IF(Source!$C446&gt;=COLUMNS($A446:B446), Source!$E446, "")</f>
        <v>9</v>
      </c>
      <c r="C446" s="2">
        <f>IF(Source!$C446&gt;=COLUMNS($A446:C446), Source!$E446, "")</f>
        <v>9</v>
      </c>
      <c r="D446" s="2">
        <f>IF(Source!$C446&gt;=COLUMNS($A446:D446), Source!$E446, "")</f>
        <v>9</v>
      </c>
      <c r="E446" s="2" t="str">
        <f>IF(Source!$C446&gt;=COLUMNS($A446:E446), Source!$E446, "")</f>
        <v/>
      </c>
      <c r="F446" s="2" t="str">
        <f>IF(Source!$C446&gt;=COLUMNS($A446:F446), Source!$E446, "")</f>
        <v/>
      </c>
      <c r="G446" s="2" t="str">
        <f>IF(Source!$C446&gt;=COLUMNS($A446:G446), Source!$E446, "")</f>
        <v/>
      </c>
      <c r="H446" s="2" t="str">
        <f>IF(Source!$C446&gt;=COLUMNS($A446:H446), Source!$E446, "")</f>
        <v/>
      </c>
      <c r="I446" s="2" t="str">
        <f>IF(Source!$C446&gt;=COLUMNS($A446:I446), Source!$E446, "")</f>
        <v/>
      </c>
      <c r="J446" s="2" t="str">
        <f>IF(Source!$C446&gt;=COLUMNS($A446:J446), Source!$E446, "")</f>
        <v/>
      </c>
      <c r="K446" s="2" t="str">
        <f>IF(Source!$C446&gt;=COLUMNS($A446:K446), Source!$E446, "")</f>
        <v/>
      </c>
      <c r="L446" s="2" t="str">
        <f>IF(Source!$C446&gt;=COLUMNS($A446:L446), Source!$E446, "")</f>
        <v/>
      </c>
      <c r="M446" s="2" t="str">
        <f>IF(Source!$C446&gt;=COLUMNS($A446:M446), Source!$E446, "")</f>
        <v/>
      </c>
      <c r="N446" s="2" t="str">
        <f>IF(Source!$C446&gt;=COLUMNS($A446:N446), Source!$E446, "")</f>
        <v/>
      </c>
      <c r="O446" s="2" t="str">
        <f>IF(Source!$C446&gt;=COLUMNS($A446:O446), Source!$E446, "")</f>
        <v/>
      </c>
      <c r="P446" s="2" t="str">
        <f>IF(Source!$C446&gt;=COLUMNS($A446:P446), Source!$E446, "")</f>
        <v/>
      </c>
      <c r="Q446" s="2" t="str">
        <f>IF(Source!$C446&gt;=COLUMNS($A446:Q446), Source!$E446, "")</f>
        <v/>
      </c>
      <c r="R446" s="2" t="str">
        <f>IF(Source!$C446&gt;=COLUMNS($A446:R446), Source!$E446, "")</f>
        <v/>
      </c>
      <c r="S446" s="2" t="str">
        <f>IF(Source!$C446&gt;=COLUMNS($A446:S446), Source!$E446, "")</f>
        <v/>
      </c>
      <c r="T446" s="2" t="str">
        <f>IF(Source!$C446&gt;=COLUMNS($A446:T446), Source!$E446, "")</f>
        <v/>
      </c>
      <c r="U446" s="2" t="str">
        <f>IF(Source!$C446&gt;=COLUMNS($A446:U446), Source!$E446, "")</f>
        <v/>
      </c>
      <c r="V446" s="2" t="str">
        <f>IF(Source!$C446&gt;=COLUMNS($A446:V446), Source!$E446, "")</f>
        <v/>
      </c>
      <c r="W446" s="2" t="str">
        <f>IF(Source!$C446&gt;=COLUMNS($A446:W446), Source!$E446, "")</f>
        <v/>
      </c>
      <c r="X446" s="2" t="str">
        <f>IF(Source!$C446&gt;=COLUMNS($A446:X446), Source!$E446, "")</f>
        <v/>
      </c>
      <c r="Y446" s="2" t="str">
        <f>IF(Source!$C446&gt;=COLUMNS($A446:Y446), Source!$E446, "")</f>
        <v/>
      </c>
      <c r="Z446" s="2" t="str">
        <f>IF(Source!$C446&gt;=COLUMNS($A446:Z446), Source!$E446, "")</f>
        <v/>
      </c>
      <c r="AA446" s="2" t="str">
        <f>IF(Source!$C446&gt;=COLUMNS($A446:AA446), Source!$E446, "")</f>
        <v/>
      </c>
      <c r="AB446" s="2" t="str">
        <f>IF(Source!$C446&gt;=COLUMNS($A446:AB446), Source!$E446, "")</f>
        <v/>
      </c>
      <c r="AC446" s="2" t="str">
        <f>IF(Source!$C446&gt;=COLUMNS($A446:AC446), Source!$E446, "")</f>
        <v/>
      </c>
      <c r="AD446" s="2" t="str">
        <f>IF(Source!$C446&gt;=COLUMNS($A446:AD446), Source!$E446, "")</f>
        <v/>
      </c>
      <c r="AE446" s="2" t="str">
        <f>IF(Source!$C446&gt;=COLUMNS($A446:AE446), Source!$E446, "")</f>
        <v/>
      </c>
      <c r="AF446" s="2" t="str">
        <f>IF(Source!$C446&gt;=COLUMNS($A446:AF446), Source!$E446, "")</f>
        <v/>
      </c>
      <c r="AG446" s="2" t="str">
        <f>IF(Source!$C446&gt;=COLUMNS($A446:AG446), Source!$E446, "")</f>
        <v/>
      </c>
      <c r="AH446" s="2" t="str">
        <f>IF(Source!$C446&gt;=COLUMNS($A446:AH446), Source!$E446, "")</f>
        <v/>
      </c>
      <c r="AI446" s="2" t="str">
        <f>IF(Source!$C446&gt;=COLUMNS($A446:AI446), Source!$E446, "")</f>
        <v/>
      </c>
      <c r="AJ446" s="2" t="str">
        <f>IF(Source!$C446&gt;=COLUMNS($A446:AJ446), Source!$E446, "")</f>
        <v/>
      </c>
      <c r="AK446" s="2" t="str">
        <f>IF(Source!$C446&gt;=COLUMNS($A446:AK446), Source!$E446, "")</f>
        <v/>
      </c>
      <c r="AL446" s="2" t="str">
        <f>IF(Source!$C446&gt;=COLUMNS($A446:AL446), Source!$E446, "")</f>
        <v/>
      </c>
      <c r="AM446" s="2" t="str">
        <f>IF(Source!$C446&gt;=COLUMNS($A446:AM446), Source!$E446, "")</f>
        <v/>
      </c>
      <c r="AN446" s="2" t="str">
        <f>IF(Source!$C446&gt;=COLUMNS($A446:AN446), Source!$E446, "")</f>
        <v/>
      </c>
      <c r="AO446" s="2" t="str">
        <f>IF(Source!$C446&gt;=COLUMNS($A446:AO446), Source!$E446, "")</f>
        <v/>
      </c>
      <c r="AP446" s="2" t="str">
        <f>IF(Source!$C446&gt;=COLUMNS($A446:AP446), Source!$E446, "")</f>
        <v/>
      </c>
      <c r="AQ446" s="2" t="str">
        <f>IF(Source!$C446&gt;=COLUMNS($A446:AQ446), Source!$E446, "")</f>
        <v/>
      </c>
      <c r="AR446" s="2" t="str">
        <f>IF(Source!$C446&gt;=COLUMNS($A446:AR446), Source!$E446, "")</f>
        <v/>
      </c>
    </row>
    <row r="447">
      <c r="A447" s="2">
        <f>IF(Source!$C447&gt;=COLUMNS($A447:A447), Source!$E447, "")</f>
        <v>5</v>
      </c>
      <c r="B447" s="2">
        <f>IF(Source!$C447&gt;=COLUMNS($A447:B447), Source!$E447, "")</f>
        <v>5</v>
      </c>
      <c r="C447" s="2">
        <f>IF(Source!$C447&gt;=COLUMNS($A447:C447), Source!$E447, "")</f>
        <v>5</v>
      </c>
      <c r="D447" s="2">
        <f>IF(Source!$C447&gt;=COLUMNS($A447:D447), Source!$E447, "")</f>
        <v>5</v>
      </c>
      <c r="E447" s="2">
        <f>IF(Source!$C447&gt;=COLUMNS($A447:E447), Source!$E447, "")</f>
        <v>5</v>
      </c>
      <c r="F447" s="2">
        <f>IF(Source!$C447&gt;=COLUMNS($A447:F447), Source!$E447, "")</f>
        <v>5</v>
      </c>
      <c r="G447" s="2">
        <f>IF(Source!$C447&gt;=COLUMNS($A447:G447), Source!$E447, "")</f>
        <v>5</v>
      </c>
      <c r="H447" s="2">
        <f>IF(Source!$C447&gt;=COLUMNS($A447:H447), Source!$E447, "")</f>
        <v>5</v>
      </c>
      <c r="I447" s="2">
        <f>IF(Source!$C447&gt;=COLUMNS($A447:I447), Source!$E447, "")</f>
        <v>5</v>
      </c>
      <c r="J447" s="2">
        <f>IF(Source!$C447&gt;=COLUMNS($A447:J447), Source!$E447, "")</f>
        <v>5</v>
      </c>
      <c r="K447" s="2">
        <f>IF(Source!$C447&gt;=COLUMNS($A447:K447), Source!$E447, "")</f>
        <v>5</v>
      </c>
      <c r="L447" s="2">
        <f>IF(Source!$C447&gt;=COLUMNS($A447:L447), Source!$E447, "")</f>
        <v>5</v>
      </c>
      <c r="M447" s="2" t="str">
        <f>IF(Source!$C447&gt;=COLUMNS($A447:M447), Source!$E447, "")</f>
        <v/>
      </c>
      <c r="N447" s="2" t="str">
        <f>IF(Source!$C447&gt;=COLUMNS($A447:N447), Source!$E447, "")</f>
        <v/>
      </c>
      <c r="O447" s="2" t="str">
        <f>IF(Source!$C447&gt;=COLUMNS($A447:O447), Source!$E447, "")</f>
        <v/>
      </c>
      <c r="P447" s="2" t="str">
        <f>IF(Source!$C447&gt;=COLUMNS($A447:P447), Source!$E447, "")</f>
        <v/>
      </c>
      <c r="Q447" s="2" t="str">
        <f>IF(Source!$C447&gt;=COLUMNS($A447:Q447), Source!$E447, "")</f>
        <v/>
      </c>
      <c r="R447" s="2" t="str">
        <f>IF(Source!$C447&gt;=COLUMNS($A447:R447), Source!$E447, "")</f>
        <v/>
      </c>
      <c r="S447" s="2" t="str">
        <f>IF(Source!$C447&gt;=COLUMNS($A447:S447), Source!$E447, "")</f>
        <v/>
      </c>
      <c r="T447" s="2" t="str">
        <f>IF(Source!$C447&gt;=COLUMNS($A447:T447), Source!$E447, "")</f>
        <v/>
      </c>
      <c r="U447" s="2" t="str">
        <f>IF(Source!$C447&gt;=COLUMNS($A447:U447), Source!$E447, "")</f>
        <v/>
      </c>
      <c r="V447" s="2" t="str">
        <f>IF(Source!$C447&gt;=COLUMNS($A447:V447), Source!$E447, "")</f>
        <v/>
      </c>
      <c r="W447" s="2" t="str">
        <f>IF(Source!$C447&gt;=COLUMNS($A447:W447), Source!$E447, "")</f>
        <v/>
      </c>
      <c r="X447" s="2" t="str">
        <f>IF(Source!$C447&gt;=COLUMNS($A447:X447), Source!$E447, "")</f>
        <v/>
      </c>
      <c r="Y447" s="2" t="str">
        <f>IF(Source!$C447&gt;=COLUMNS($A447:Y447), Source!$E447, "")</f>
        <v/>
      </c>
      <c r="Z447" s="2" t="str">
        <f>IF(Source!$C447&gt;=COLUMNS($A447:Z447), Source!$E447, "")</f>
        <v/>
      </c>
      <c r="AA447" s="2" t="str">
        <f>IF(Source!$C447&gt;=COLUMNS($A447:AA447), Source!$E447, "")</f>
        <v/>
      </c>
      <c r="AB447" s="2" t="str">
        <f>IF(Source!$C447&gt;=COLUMNS($A447:AB447), Source!$E447, "")</f>
        <v/>
      </c>
      <c r="AC447" s="2" t="str">
        <f>IF(Source!$C447&gt;=COLUMNS($A447:AC447), Source!$E447, "")</f>
        <v/>
      </c>
      <c r="AD447" s="2" t="str">
        <f>IF(Source!$C447&gt;=COLUMNS($A447:AD447), Source!$E447, "")</f>
        <v/>
      </c>
      <c r="AE447" s="2" t="str">
        <f>IF(Source!$C447&gt;=COLUMNS($A447:AE447), Source!$E447, "")</f>
        <v/>
      </c>
      <c r="AF447" s="2" t="str">
        <f>IF(Source!$C447&gt;=COLUMNS($A447:AF447), Source!$E447, "")</f>
        <v/>
      </c>
      <c r="AG447" s="2" t="str">
        <f>IF(Source!$C447&gt;=COLUMNS($A447:AG447), Source!$E447, "")</f>
        <v/>
      </c>
      <c r="AH447" s="2" t="str">
        <f>IF(Source!$C447&gt;=COLUMNS($A447:AH447), Source!$E447, "")</f>
        <v/>
      </c>
      <c r="AI447" s="2" t="str">
        <f>IF(Source!$C447&gt;=COLUMNS($A447:AI447), Source!$E447, "")</f>
        <v/>
      </c>
      <c r="AJ447" s="2" t="str">
        <f>IF(Source!$C447&gt;=COLUMNS($A447:AJ447), Source!$E447, "")</f>
        <v/>
      </c>
      <c r="AK447" s="2" t="str">
        <f>IF(Source!$C447&gt;=COLUMNS($A447:AK447), Source!$E447, "")</f>
        <v/>
      </c>
      <c r="AL447" s="2" t="str">
        <f>IF(Source!$C447&gt;=COLUMNS($A447:AL447), Source!$E447, "")</f>
        <v/>
      </c>
      <c r="AM447" s="2" t="str">
        <f>IF(Source!$C447&gt;=COLUMNS($A447:AM447), Source!$E447, "")</f>
        <v/>
      </c>
      <c r="AN447" s="2" t="str">
        <f>IF(Source!$C447&gt;=COLUMNS($A447:AN447), Source!$E447, "")</f>
        <v/>
      </c>
      <c r="AO447" s="2" t="str">
        <f>IF(Source!$C447&gt;=COLUMNS($A447:AO447), Source!$E447, "")</f>
        <v/>
      </c>
      <c r="AP447" s="2" t="str">
        <f>IF(Source!$C447&gt;=COLUMNS($A447:AP447), Source!$E447, "")</f>
        <v/>
      </c>
      <c r="AQ447" s="2" t="str">
        <f>IF(Source!$C447&gt;=COLUMNS($A447:AQ447), Source!$E447, "")</f>
        <v/>
      </c>
      <c r="AR447" s="2" t="str">
        <f>IF(Source!$C447&gt;=COLUMNS($A447:AR447), Source!$E447, "")</f>
        <v/>
      </c>
    </row>
    <row r="448">
      <c r="A448" s="2">
        <f>IF(Source!$C448&gt;=COLUMNS($A448:A448), Source!$E448, "")</f>
        <v>7</v>
      </c>
      <c r="B448" s="2">
        <f>IF(Source!$C448&gt;=COLUMNS($A448:B448), Source!$E448, "")</f>
        <v>7</v>
      </c>
      <c r="C448" s="2">
        <f>IF(Source!$C448&gt;=COLUMNS($A448:C448), Source!$E448, "")</f>
        <v>7</v>
      </c>
      <c r="D448" s="2" t="str">
        <f>IF(Source!$C448&gt;=COLUMNS($A448:D448), Source!$E448, "")</f>
        <v/>
      </c>
      <c r="E448" s="2" t="str">
        <f>IF(Source!$C448&gt;=COLUMNS($A448:E448), Source!$E448, "")</f>
        <v/>
      </c>
      <c r="F448" s="2" t="str">
        <f>IF(Source!$C448&gt;=COLUMNS($A448:F448), Source!$E448, "")</f>
        <v/>
      </c>
      <c r="G448" s="2" t="str">
        <f>IF(Source!$C448&gt;=COLUMNS($A448:G448), Source!$E448, "")</f>
        <v/>
      </c>
      <c r="H448" s="2" t="str">
        <f>IF(Source!$C448&gt;=COLUMNS($A448:H448), Source!$E448, "")</f>
        <v/>
      </c>
      <c r="I448" s="2" t="str">
        <f>IF(Source!$C448&gt;=COLUMNS($A448:I448), Source!$E448, "")</f>
        <v/>
      </c>
      <c r="J448" s="2" t="str">
        <f>IF(Source!$C448&gt;=COLUMNS($A448:J448), Source!$E448, "")</f>
        <v/>
      </c>
      <c r="K448" s="2" t="str">
        <f>IF(Source!$C448&gt;=COLUMNS($A448:K448), Source!$E448, "")</f>
        <v/>
      </c>
      <c r="L448" s="2" t="str">
        <f>IF(Source!$C448&gt;=COLUMNS($A448:L448), Source!$E448, "")</f>
        <v/>
      </c>
      <c r="M448" s="2" t="str">
        <f>IF(Source!$C448&gt;=COLUMNS($A448:M448), Source!$E448, "")</f>
        <v/>
      </c>
      <c r="N448" s="2" t="str">
        <f>IF(Source!$C448&gt;=COLUMNS($A448:N448), Source!$E448, "")</f>
        <v/>
      </c>
      <c r="O448" s="2" t="str">
        <f>IF(Source!$C448&gt;=COLUMNS($A448:O448), Source!$E448, "")</f>
        <v/>
      </c>
      <c r="P448" s="2" t="str">
        <f>IF(Source!$C448&gt;=COLUMNS($A448:P448), Source!$E448, "")</f>
        <v/>
      </c>
      <c r="Q448" s="2" t="str">
        <f>IF(Source!$C448&gt;=COLUMNS($A448:Q448), Source!$E448, "")</f>
        <v/>
      </c>
      <c r="R448" s="2" t="str">
        <f>IF(Source!$C448&gt;=COLUMNS($A448:R448), Source!$E448, "")</f>
        <v/>
      </c>
      <c r="S448" s="2" t="str">
        <f>IF(Source!$C448&gt;=COLUMNS($A448:S448), Source!$E448, "")</f>
        <v/>
      </c>
      <c r="T448" s="2" t="str">
        <f>IF(Source!$C448&gt;=COLUMNS($A448:T448), Source!$E448, "")</f>
        <v/>
      </c>
      <c r="U448" s="2" t="str">
        <f>IF(Source!$C448&gt;=COLUMNS($A448:U448), Source!$E448, "")</f>
        <v/>
      </c>
      <c r="V448" s="2" t="str">
        <f>IF(Source!$C448&gt;=COLUMNS($A448:V448), Source!$E448, "")</f>
        <v/>
      </c>
      <c r="W448" s="2" t="str">
        <f>IF(Source!$C448&gt;=COLUMNS($A448:W448), Source!$E448, "")</f>
        <v/>
      </c>
      <c r="X448" s="2" t="str">
        <f>IF(Source!$C448&gt;=COLUMNS($A448:X448), Source!$E448, "")</f>
        <v/>
      </c>
      <c r="Y448" s="2" t="str">
        <f>IF(Source!$C448&gt;=COLUMNS($A448:Y448), Source!$E448, "")</f>
        <v/>
      </c>
      <c r="Z448" s="2" t="str">
        <f>IF(Source!$C448&gt;=COLUMNS($A448:Z448), Source!$E448, "")</f>
        <v/>
      </c>
      <c r="AA448" s="2" t="str">
        <f>IF(Source!$C448&gt;=COLUMNS($A448:AA448), Source!$E448, "")</f>
        <v/>
      </c>
      <c r="AB448" s="2" t="str">
        <f>IF(Source!$C448&gt;=COLUMNS($A448:AB448), Source!$E448, "")</f>
        <v/>
      </c>
      <c r="AC448" s="2" t="str">
        <f>IF(Source!$C448&gt;=COLUMNS($A448:AC448), Source!$E448, "")</f>
        <v/>
      </c>
      <c r="AD448" s="2" t="str">
        <f>IF(Source!$C448&gt;=COLUMNS($A448:AD448), Source!$E448, "")</f>
        <v/>
      </c>
      <c r="AE448" s="2" t="str">
        <f>IF(Source!$C448&gt;=COLUMNS($A448:AE448), Source!$E448, "")</f>
        <v/>
      </c>
      <c r="AF448" s="2" t="str">
        <f>IF(Source!$C448&gt;=COLUMNS($A448:AF448), Source!$E448, "")</f>
        <v/>
      </c>
      <c r="AG448" s="2" t="str">
        <f>IF(Source!$C448&gt;=COLUMNS($A448:AG448), Source!$E448, "")</f>
        <v/>
      </c>
      <c r="AH448" s="2" t="str">
        <f>IF(Source!$C448&gt;=COLUMNS($A448:AH448), Source!$E448, "")</f>
        <v/>
      </c>
      <c r="AI448" s="2" t="str">
        <f>IF(Source!$C448&gt;=COLUMNS($A448:AI448), Source!$E448, "")</f>
        <v/>
      </c>
      <c r="AJ448" s="2" t="str">
        <f>IF(Source!$C448&gt;=COLUMNS($A448:AJ448), Source!$E448, "")</f>
        <v/>
      </c>
      <c r="AK448" s="2" t="str">
        <f>IF(Source!$C448&gt;=COLUMNS($A448:AK448), Source!$E448, "")</f>
        <v/>
      </c>
      <c r="AL448" s="2" t="str">
        <f>IF(Source!$C448&gt;=COLUMNS($A448:AL448), Source!$E448, "")</f>
        <v/>
      </c>
      <c r="AM448" s="2" t="str">
        <f>IF(Source!$C448&gt;=COLUMNS($A448:AM448), Source!$E448, "")</f>
        <v/>
      </c>
      <c r="AN448" s="2" t="str">
        <f>IF(Source!$C448&gt;=COLUMNS($A448:AN448), Source!$E448, "")</f>
        <v/>
      </c>
      <c r="AO448" s="2" t="str">
        <f>IF(Source!$C448&gt;=COLUMNS($A448:AO448), Source!$E448, "")</f>
        <v/>
      </c>
      <c r="AP448" s="2" t="str">
        <f>IF(Source!$C448&gt;=COLUMNS($A448:AP448), Source!$E448, "")</f>
        <v/>
      </c>
      <c r="AQ448" s="2" t="str">
        <f>IF(Source!$C448&gt;=COLUMNS($A448:AQ448), Source!$E448, "")</f>
        <v/>
      </c>
      <c r="AR448" s="2" t="str">
        <f>IF(Source!$C448&gt;=COLUMNS($A448:AR448), Source!$E448, "")</f>
        <v/>
      </c>
    </row>
    <row r="449">
      <c r="A449" s="2">
        <f>IF(Source!$C449&gt;=COLUMNS($A449:A449), Source!$E449, "")</f>
        <v>7</v>
      </c>
      <c r="B449" s="2">
        <f>IF(Source!$C449&gt;=COLUMNS($A449:B449), Source!$E449, "")</f>
        <v>7</v>
      </c>
      <c r="C449" s="2">
        <f>IF(Source!$C449&gt;=COLUMNS($A449:C449), Source!$E449, "")</f>
        <v>7</v>
      </c>
      <c r="D449" s="2">
        <f>IF(Source!$C449&gt;=COLUMNS($A449:D449), Source!$E449, "")</f>
        <v>7</v>
      </c>
      <c r="E449" s="2" t="str">
        <f>IF(Source!$C449&gt;=COLUMNS($A449:E449), Source!$E449, "")</f>
        <v/>
      </c>
      <c r="F449" s="2" t="str">
        <f>IF(Source!$C449&gt;=COLUMNS($A449:F449), Source!$E449, "")</f>
        <v/>
      </c>
      <c r="G449" s="2" t="str">
        <f>IF(Source!$C449&gt;=COLUMNS($A449:G449), Source!$E449, "")</f>
        <v/>
      </c>
      <c r="H449" s="2" t="str">
        <f>IF(Source!$C449&gt;=COLUMNS($A449:H449), Source!$E449, "")</f>
        <v/>
      </c>
      <c r="I449" s="2" t="str">
        <f>IF(Source!$C449&gt;=COLUMNS($A449:I449), Source!$E449, "")</f>
        <v/>
      </c>
      <c r="J449" s="2" t="str">
        <f>IF(Source!$C449&gt;=COLUMNS($A449:J449), Source!$E449, "")</f>
        <v/>
      </c>
      <c r="K449" s="2" t="str">
        <f>IF(Source!$C449&gt;=COLUMNS($A449:K449), Source!$E449, "")</f>
        <v/>
      </c>
      <c r="L449" s="2" t="str">
        <f>IF(Source!$C449&gt;=COLUMNS($A449:L449), Source!$E449, "")</f>
        <v/>
      </c>
      <c r="M449" s="2" t="str">
        <f>IF(Source!$C449&gt;=COLUMNS($A449:M449), Source!$E449, "")</f>
        <v/>
      </c>
      <c r="N449" s="2" t="str">
        <f>IF(Source!$C449&gt;=COLUMNS($A449:N449), Source!$E449, "")</f>
        <v/>
      </c>
      <c r="O449" s="2" t="str">
        <f>IF(Source!$C449&gt;=COLUMNS($A449:O449), Source!$E449, "")</f>
        <v/>
      </c>
      <c r="P449" s="2" t="str">
        <f>IF(Source!$C449&gt;=COLUMNS($A449:P449), Source!$E449, "")</f>
        <v/>
      </c>
      <c r="Q449" s="2" t="str">
        <f>IF(Source!$C449&gt;=COLUMNS($A449:Q449), Source!$E449, "")</f>
        <v/>
      </c>
      <c r="R449" s="2" t="str">
        <f>IF(Source!$C449&gt;=COLUMNS($A449:R449), Source!$E449, "")</f>
        <v/>
      </c>
      <c r="S449" s="2" t="str">
        <f>IF(Source!$C449&gt;=COLUMNS($A449:S449), Source!$E449, "")</f>
        <v/>
      </c>
      <c r="T449" s="2" t="str">
        <f>IF(Source!$C449&gt;=COLUMNS($A449:T449), Source!$E449, "")</f>
        <v/>
      </c>
      <c r="U449" s="2" t="str">
        <f>IF(Source!$C449&gt;=COLUMNS($A449:U449), Source!$E449, "")</f>
        <v/>
      </c>
      <c r="V449" s="2" t="str">
        <f>IF(Source!$C449&gt;=COLUMNS($A449:V449), Source!$E449, "")</f>
        <v/>
      </c>
      <c r="W449" s="2" t="str">
        <f>IF(Source!$C449&gt;=COLUMNS($A449:W449), Source!$E449, "")</f>
        <v/>
      </c>
      <c r="X449" s="2" t="str">
        <f>IF(Source!$C449&gt;=COLUMNS($A449:X449), Source!$E449, "")</f>
        <v/>
      </c>
      <c r="Y449" s="2" t="str">
        <f>IF(Source!$C449&gt;=COLUMNS($A449:Y449), Source!$E449, "")</f>
        <v/>
      </c>
      <c r="Z449" s="2" t="str">
        <f>IF(Source!$C449&gt;=COLUMNS($A449:Z449), Source!$E449, "")</f>
        <v/>
      </c>
      <c r="AA449" s="2" t="str">
        <f>IF(Source!$C449&gt;=COLUMNS($A449:AA449), Source!$E449, "")</f>
        <v/>
      </c>
      <c r="AB449" s="2" t="str">
        <f>IF(Source!$C449&gt;=COLUMNS($A449:AB449), Source!$E449, "")</f>
        <v/>
      </c>
      <c r="AC449" s="2" t="str">
        <f>IF(Source!$C449&gt;=COLUMNS($A449:AC449), Source!$E449, "")</f>
        <v/>
      </c>
      <c r="AD449" s="2" t="str">
        <f>IF(Source!$C449&gt;=COLUMNS($A449:AD449), Source!$E449, "")</f>
        <v/>
      </c>
      <c r="AE449" s="2" t="str">
        <f>IF(Source!$C449&gt;=COLUMNS($A449:AE449), Source!$E449, "")</f>
        <v/>
      </c>
      <c r="AF449" s="2" t="str">
        <f>IF(Source!$C449&gt;=COLUMNS($A449:AF449), Source!$E449, "")</f>
        <v/>
      </c>
      <c r="AG449" s="2" t="str">
        <f>IF(Source!$C449&gt;=COLUMNS($A449:AG449), Source!$E449, "")</f>
        <v/>
      </c>
      <c r="AH449" s="2" t="str">
        <f>IF(Source!$C449&gt;=COLUMNS($A449:AH449), Source!$E449, "")</f>
        <v/>
      </c>
      <c r="AI449" s="2" t="str">
        <f>IF(Source!$C449&gt;=COLUMNS($A449:AI449), Source!$E449, "")</f>
        <v/>
      </c>
      <c r="AJ449" s="2" t="str">
        <f>IF(Source!$C449&gt;=COLUMNS($A449:AJ449), Source!$E449, "")</f>
        <v/>
      </c>
      <c r="AK449" s="2" t="str">
        <f>IF(Source!$C449&gt;=COLUMNS($A449:AK449), Source!$E449, "")</f>
        <v/>
      </c>
      <c r="AL449" s="2" t="str">
        <f>IF(Source!$C449&gt;=COLUMNS($A449:AL449), Source!$E449, "")</f>
        <v/>
      </c>
      <c r="AM449" s="2" t="str">
        <f>IF(Source!$C449&gt;=COLUMNS($A449:AM449), Source!$E449, "")</f>
        <v/>
      </c>
      <c r="AN449" s="2" t="str">
        <f>IF(Source!$C449&gt;=COLUMNS($A449:AN449), Source!$E449, "")</f>
        <v/>
      </c>
      <c r="AO449" s="2" t="str">
        <f>IF(Source!$C449&gt;=COLUMNS($A449:AO449), Source!$E449, "")</f>
        <v/>
      </c>
      <c r="AP449" s="2" t="str">
        <f>IF(Source!$C449&gt;=COLUMNS($A449:AP449), Source!$E449, "")</f>
        <v/>
      </c>
      <c r="AQ449" s="2" t="str">
        <f>IF(Source!$C449&gt;=COLUMNS($A449:AQ449), Source!$E449, "")</f>
        <v/>
      </c>
      <c r="AR449" s="2" t="str">
        <f>IF(Source!$C449&gt;=COLUMNS($A449:AR449), Source!$E449, "")</f>
        <v/>
      </c>
    </row>
    <row r="450">
      <c r="A450" s="2">
        <f>IF(Source!$C450&gt;=COLUMNS($A450:A450), Source!$E450, "")</f>
        <v>9</v>
      </c>
      <c r="B450" s="2" t="str">
        <f>IF(Source!$C450&gt;=COLUMNS($A450:B450), Source!$E450, "")</f>
        <v/>
      </c>
      <c r="C450" s="2" t="str">
        <f>IF(Source!$C450&gt;=COLUMNS($A450:C450), Source!$E450, "")</f>
        <v/>
      </c>
      <c r="D450" s="2" t="str">
        <f>IF(Source!$C450&gt;=COLUMNS($A450:D450), Source!$E450, "")</f>
        <v/>
      </c>
      <c r="E450" s="2" t="str">
        <f>IF(Source!$C450&gt;=COLUMNS($A450:E450), Source!$E450, "")</f>
        <v/>
      </c>
      <c r="F450" s="2" t="str">
        <f>IF(Source!$C450&gt;=COLUMNS($A450:F450), Source!$E450, "")</f>
        <v/>
      </c>
      <c r="G450" s="2" t="str">
        <f>IF(Source!$C450&gt;=COLUMNS($A450:G450), Source!$E450, "")</f>
        <v/>
      </c>
      <c r="H450" s="2" t="str">
        <f>IF(Source!$C450&gt;=COLUMNS($A450:H450), Source!$E450, "")</f>
        <v/>
      </c>
      <c r="I450" s="2" t="str">
        <f>IF(Source!$C450&gt;=COLUMNS($A450:I450), Source!$E450, "")</f>
        <v/>
      </c>
      <c r="J450" s="2" t="str">
        <f>IF(Source!$C450&gt;=COLUMNS($A450:J450), Source!$E450, "")</f>
        <v/>
      </c>
      <c r="K450" s="2" t="str">
        <f>IF(Source!$C450&gt;=COLUMNS($A450:K450), Source!$E450, "")</f>
        <v/>
      </c>
      <c r="L450" s="2" t="str">
        <f>IF(Source!$C450&gt;=COLUMNS($A450:L450), Source!$E450, "")</f>
        <v/>
      </c>
      <c r="M450" s="2" t="str">
        <f>IF(Source!$C450&gt;=COLUMNS($A450:M450), Source!$E450, "")</f>
        <v/>
      </c>
      <c r="N450" s="2" t="str">
        <f>IF(Source!$C450&gt;=COLUMNS($A450:N450), Source!$E450, "")</f>
        <v/>
      </c>
      <c r="O450" s="2" t="str">
        <f>IF(Source!$C450&gt;=COLUMNS($A450:O450), Source!$E450, "")</f>
        <v/>
      </c>
      <c r="P450" s="2" t="str">
        <f>IF(Source!$C450&gt;=COLUMNS($A450:P450), Source!$E450, "")</f>
        <v/>
      </c>
      <c r="Q450" s="2" t="str">
        <f>IF(Source!$C450&gt;=COLUMNS($A450:Q450), Source!$E450, "")</f>
        <v/>
      </c>
      <c r="R450" s="2" t="str">
        <f>IF(Source!$C450&gt;=COLUMNS($A450:R450), Source!$E450, "")</f>
        <v/>
      </c>
      <c r="S450" s="2" t="str">
        <f>IF(Source!$C450&gt;=COLUMNS($A450:S450), Source!$E450, "")</f>
        <v/>
      </c>
      <c r="T450" s="2" t="str">
        <f>IF(Source!$C450&gt;=COLUMNS($A450:T450), Source!$E450, "")</f>
        <v/>
      </c>
      <c r="U450" s="2" t="str">
        <f>IF(Source!$C450&gt;=COLUMNS($A450:U450), Source!$E450, "")</f>
        <v/>
      </c>
      <c r="V450" s="2" t="str">
        <f>IF(Source!$C450&gt;=COLUMNS($A450:V450), Source!$E450, "")</f>
        <v/>
      </c>
      <c r="W450" s="2" t="str">
        <f>IF(Source!$C450&gt;=COLUMNS($A450:W450), Source!$E450, "")</f>
        <v/>
      </c>
      <c r="X450" s="2" t="str">
        <f>IF(Source!$C450&gt;=COLUMNS($A450:X450), Source!$E450, "")</f>
        <v/>
      </c>
      <c r="Y450" s="2" t="str">
        <f>IF(Source!$C450&gt;=COLUMNS($A450:Y450), Source!$E450, "")</f>
        <v/>
      </c>
      <c r="Z450" s="2" t="str">
        <f>IF(Source!$C450&gt;=COLUMNS($A450:Z450), Source!$E450, "")</f>
        <v/>
      </c>
      <c r="AA450" s="2" t="str">
        <f>IF(Source!$C450&gt;=COLUMNS($A450:AA450), Source!$E450, "")</f>
        <v/>
      </c>
      <c r="AB450" s="2" t="str">
        <f>IF(Source!$C450&gt;=COLUMNS($A450:AB450), Source!$E450, "")</f>
        <v/>
      </c>
      <c r="AC450" s="2" t="str">
        <f>IF(Source!$C450&gt;=COLUMNS($A450:AC450), Source!$E450, "")</f>
        <v/>
      </c>
      <c r="AD450" s="2" t="str">
        <f>IF(Source!$C450&gt;=COLUMNS($A450:AD450), Source!$E450, "")</f>
        <v/>
      </c>
      <c r="AE450" s="2" t="str">
        <f>IF(Source!$C450&gt;=COLUMNS($A450:AE450), Source!$E450, "")</f>
        <v/>
      </c>
      <c r="AF450" s="2" t="str">
        <f>IF(Source!$C450&gt;=COLUMNS($A450:AF450), Source!$E450, "")</f>
        <v/>
      </c>
      <c r="AG450" s="2" t="str">
        <f>IF(Source!$C450&gt;=COLUMNS($A450:AG450), Source!$E450, "")</f>
        <v/>
      </c>
      <c r="AH450" s="2" t="str">
        <f>IF(Source!$C450&gt;=COLUMNS($A450:AH450), Source!$E450, "")</f>
        <v/>
      </c>
      <c r="AI450" s="2" t="str">
        <f>IF(Source!$C450&gt;=COLUMNS($A450:AI450), Source!$E450, "")</f>
        <v/>
      </c>
      <c r="AJ450" s="2" t="str">
        <f>IF(Source!$C450&gt;=COLUMNS($A450:AJ450), Source!$E450, "")</f>
        <v/>
      </c>
      <c r="AK450" s="2" t="str">
        <f>IF(Source!$C450&gt;=COLUMNS($A450:AK450), Source!$E450, "")</f>
        <v/>
      </c>
      <c r="AL450" s="2" t="str">
        <f>IF(Source!$C450&gt;=COLUMNS($A450:AL450), Source!$E450, "")</f>
        <v/>
      </c>
      <c r="AM450" s="2" t="str">
        <f>IF(Source!$C450&gt;=COLUMNS($A450:AM450), Source!$E450, "")</f>
        <v/>
      </c>
      <c r="AN450" s="2" t="str">
        <f>IF(Source!$C450&gt;=COLUMNS($A450:AN450), Source!$E450, "")</f>
        <v/>
      </c>
      <c r="AO450" s="2" t="str">
        <f>IF(Source!$C450&gt;=COLUMNS($A450:AO450), Source!$E450, "")</f>
        <v/>
      </c>
      <c r="AP450" s="2" t="str">
        <f>IF(Source!$C450&gt;=COLUMNS($A450:AP450), Source!$E450, "")</f>
        <v/>
      </c>
      <c r="AQ450" s="2" t="str">
        <f>IF(Source!$C450&gt;=COLUMNS($A450:AQ450), Source!$E450, "")</f>
        <v/>
      </c>
      <c r="AR450" s="2" t="str">
        <f>IF(Source!$C450&gt;=COLUMNS($A450:AR450), Source!$E450, "")</f>
        <v/>
      </c>
    </row>
    <row r="451">
      <c r="A451" s="2">
        <f>IF(Source!$C451&gt;=COLUMNS($A451:A451), Source!$E451, "")</f>
        <v>1</v>
      </c>
      <c r="B451" s="2">
        <f>IF(Source!$C451&gt;=COLUMNS($A451:B451), Source!$E451, "")</f>
        <v>1</v>
      </c>
      <c r="C451" s="2">
        <f>IF(Source!$C451&gt;=COLUMNS($A451:C451), Source!$E451, "")</f>
        <v>1</v>
      </c>
      <c r="D451" s="2">
        <f>IF(Source!$C451&gt;=COLUMNS($A451:D451), Source!$E451, "")</f>
        <v>1</v>
      </c>
      <c r="E451" s="2">
        <f>IF(Source!$C451&gt;=COLUMNS($A451:E451), Source!$E451, "")</f>
        <v>1</v>
      </c>
      <c r="F451" s="2">
        <f>IF(Source!$C451&gt;=COLUMNS($A451:F451), Source!$E451, "")</f>
        <v>1</v>
      </c>
      <c r="G451" s="2">
        <f>IF(Source!$C451&gt;=COLUMNS($A451:G451), Source!$E451, "")</f>
        <v>1</v>
      </c>
      <c r="H451" s="2">
        <f>IF(Source!$C451&gt;=COLUMNS($A451:H451), Source!$E451, "")</f>
        <v>1</v>
      </c>
      <c r="I451" s="2">
        <f>IF(Source!$C451&gt;=COLUMNS($A451:I451), Source!$E451, "")</f>
        <v>1</v>
      </c>
      <c r="J451" s="2">
        <f>IF(Source!$C451&gt;=COLUMNS($A451:J451), Source!$E451, "")</f>
        <v>1</v>
      </c>
      <c r="K451" s="2">
        <f>IF(Source!$C451&gt;=COLUMNS($A451:K451), Source!$E451, "")</f>
        <v>1</v>
      </c>
      <c r="L451" s="2">
        <f>IF(Source!$C451&gt;=COLUMNS($A451:L451), Source!$E451, "")</f>
        <v>1</v>
      </c>
      <c r="M451" s="2">
        <f>IF(Source!$C451&gt;=COLUMNS($A451:M451), Source!$E451, "")</f>
        <v>1</v>
      </c>
      <c r="N451" s="2">
        <f>IF(Source!$C451&gt;=COLUMNS($A451:N451), Source!$E451, "")</f>
        <v>1</v>
      </c>
      <c r="O451" s="2">
        <f>IF(Source!$C451&gt;=COLUMNS($A451:O451), Source!$E451, "")</f>
        <v>1</v>
      </c>
      <c r="P451" s="2">
        <f>IF(Source!$C451&gt;=COLUMNS($A451:P451), Source!$E451, "")</f>
        <v>1</v>
      </c>
      <c r="Q451" s="2">
        <f>IF(Source!$C451&gt;=COLUMNS($A451:Q451), Source!$E451, "")</f>
        <v>1</v>
      </c>
      <c r="R451" s="2">
        <f>IF(Source!$C451&gt;=COLUMNS($A451:R451), Source!$E451, "")</f>
        <v>1</v>
      </c>
      <c r="S451" s="2">
        <f>IF(Source!$C451&gt;=COLUMNS($A451:S451), Source!$E451, "")</f>
        <v>1</v>
      </c>
      <c r="T451" s="2">
        <f>IF(Source!$C451&gt;=COLUMNS($A451:T451), Source!$E451, "")</f>
        <v>1</v>
      </c>
      <c r="U451" s="2">
        <f>IF(Source!$C451&gt;=COLUMNS($A451:U451), Source!$E451, "")</f>
        <v>1</v>
      </c>
      <c r="V451" s="2">
        <f>IF(Source!$C451&gt;=COLUMNS($A451:V451), Source!$E451, "")</f>
        <v>1</v>
      </c>
      <c r="W451" s="2" t="str">
        <f>IF(Source!$C451&gt;=COLUMNS($A451:W451), Source!$E451, "")</f>
        <v/>
      </c>
      <c r="X451" s="2" t="str">
        <f>IF(Source!$C451&gt;=COLUMNS($A451:X451), Source!$E451, "")</f>
        <v/>
      </c>
      <c r="Y451" s="2" t="str">
        <f>IF(Source!$C451&gt;=COLUMNS($A451:Y451), Source!$E451, "")</f>
        <v/>
      </c>
      <c r="Z451" s="2" t="str">
        <f>IF(Source!$C451&gt;=COLUMNS($A451:Z451), Source!$E451, "")</f>
        <v/>
      </c>
      <c r="AA451" s="2" t="str">
        <f>IF(Source!$C451&gt;=COLUMNS($A451:AA451), Source!$E451, "")</f>
        <v/>
      </c>
      <c r="AB451" s="2" t="str">
        <f>IF(Source!$C451&gt;=COLUMNS($A451:AB451), Source!$E451, "")</f>
        <v/>
      </c>
      <c r="AC451" s="2" t="str">
        <f>IF(Source!$C451&gt;=COLUMNS($A451:AC451), Source!$E451, "")</f>
        <v/>
      </c>
      <c r="AD451" s="2" t="str">
        <f>IF(Source!$C451&gt;=COLUMNS($A451:AD451), Source!$E451, "")</f>
        <v/>
      </c>
      <c r="AE451" s="2" t="str">
        <f>IF(Source!$C451&gt;=COLUMNS($A451:AE451), Source!$E451, "")</f>
        <v/>
      </c>
      <c r="AF451" s="2" t="str">
        <f>IF(Source!$C451&gt;=COLUMNS($A451:AF451), Source!$E451, "")</f>
        <v/>
      </c>
      <c r="AG451" s="2" t="str">
        <f>IF(Source!$C451&gt;=COLUMNS($A451:AG451), Source!$E451, "")</f>
        <v/>
      </c>
      <c r="AH451" s="2" t="str">
        <f>IF(Source!$C451&gt;=COLUMNS($A451:AH451), Source!$E451, "")</f>
        <v/>
      </c>
      <c r="AI451" s="2" t="str">
        <f>IF(Source!$C451&gt;=COLUMNS($A451:AI451), Source!$E451, "")</f>
        <v/>
      </c>
      <c r="AJ451" s="2" t="str">
        <f>IF(Source!$C451&gt;=COLUMNS($A451:AJ451), Source!$E451, "")</f>
        <v/>
      </c>
      <c r="AK451" s="2" t="str">
        <f>IF(Source!$C451&gt;=COLUMNS($A451:AK451), Source!$E451, "")</f>
        <v/>
      </c>
      <c r="AL451" s="2" t="str">
        <f>IF(Source!$C451&gt;=COLUMNS($A451:AL451), Source!$E451, "")</f>
        <v/>
      </c>
      <c r="AM451" s="2" t="str">
        <f>IF(Source!$C451&gt;=COLUMNS($A451:AM451), Source!$E451, "")</f>
        <v/>
      </c>
      <c r="AN451" s="2" t="str">
        <f>IF(Source!$C451&gt;=COLUMNS($A451:AN451), Source!$E451, "")</f>
        <v/>
      </c>
      <c r="AO451" s="2" t="str">
        <f>IF(Source!$C451&gt;=COLUMNS($A451:AO451), Source!$E451, "")</f>
        <v/>
      </c>
      <c r="AP451" s="2" t="str">
        <f>IF(Source!$C451&gt;=COLUMNS($A451:AP451), Source!$E451, "")</f>
        <v/>
      </c>
      <c r="AQ451" s="2" t="str">
        <f>IF(Source!$C451&gt;=COLUMNS($A451:AQ451), Source!$E451, "")</f>
        <v/>
      </c>
      <c r="AR451" s="2" t="str">
        <f>IF(Source!$C451&gt;=COLUMNS($A451:AR451), Source!$E451, "")</f>
        <v/>
      </c>
    </row>
    <row r="452">
      <c r="A452" s="2">
        <f>IF(Source!$C452&gt;=COLUMNS($A452:A452), Source!$E452, "")</f>
        <v>2</v>
      </c>
      <c r="B452" s="2">
        <f>IF(Source!$C452&gt;=COLUMNS($A452:B452), Source!$E452, "")</f>
        <v>2</v>
      </c>
      <c r="C452" s="2">
        <f>IF(Source!$C452&gt;=COLUMNS($A452:C452), Source!$E452, "")</f>
        <v>2</v>
      </c>
      <c r="D452" s="2">
        <f>IF(Source!$C452&gt;=COLUMNS($A452:D452), Source!$E452, "")</f>
        <v>2</v>
      </c>
      <c r="E452" s="2">
        <f>IF(Source!$C452&gt;=COLUMNS($A452:E452), Source!$E452, "")</f>
        <v>2</v>
      </c>
      <c r="F452" s="2">
        <f>IF(Source!$C452&gt;=COLUMNS($A452:F452), Source!$E452, "")</f>
        <v>2</v>
      </c>
      <c r="G452" s="2">
        <f>IF(Source!$C452&gt;=COLUMNS($A452:G452), Source!$E452, "")</f>
        <v>2</v>
      </c>
      <c r="H452" s="2">
        <f>IF(Source!$C452&gt;=COLUMNS($A452:H452), Source!$E452, "")</f>
        <v>2</v>
      </c>
      <c r="I452" s="2">
        <f>IF(Source!$C452&gt;=COLUMNS($A452:I452), Source!$E452, "")</f>
        <v>2</v>
      </c>
      <c r="J452" s="2">
        <f>IF(Source!$C452&gt;=COLUMNS($A452:J452), Source!$E452, "")</f>
        <v>2</v>
      </c>
      <c r="K452" s="2">
        <f>IF(Source!$C452&gt;=COLUMNS($A452:K452), Source!$E452, "")</f>
        <v>2</v>
      </c>
      <c r="L452" s="2">
        <f>IF(Source!$C452&gt;=COLUMNS($A452:L452), Source!$E452, "")</f>
        <v>2</v>
      </c>
      <c r="M452" s="2">
        <f>IF(Source!$C452&gt;=COLUMNS($A452:M452), Source!$E452, "")</f>
        <v>2</v>
      </c>
      <c r="N452" s="2">
        <f>IF(Source!$C452&gt;=COLUMNS($A452:N452), Source!$E452, "")</f>
        <v>2</v>
      </c>
      <c r="O452" s="2">
        <f>IF(Source!$C452&gt;=COLUMNS($A452:O452), Source!$E452, "")</f>
        <v>2</v>
      </c>
      <c r="P452" s="2">
        <f>IF(Source!$C452&gt;=COLUMNS($A452:P452), Source!$E452, "")</f>
        <v>2</v>
      </c>
      <c r="Q452" s="2">
        <f>IF(Source!$C452&gt;=COLUMNS($A452:Q452), Source!$E452, "")</f>
        <v>2</v>
      </c>
      <c r="R452" s="2">
        <f>IF(Source!$C452&gt;=COLUMNS($A452:R452), Source!$E452, "")</f>
        <v>2</v>
      </c>
      <c r="S452" s="2">
        <f>IF(Source!$C452&gt;=COLUMNS($A452:S452), Source!$E452, "")</f>
        <v>2</v>
      </c>
      <c r="T452" s="2">
        <f>IF(Source!$C452&gt;=COLUMNS($A452:T452), Source!$E452, "")</f>
        <v>2</v>
      </c>
      <c r="U452" s="2">
        <f>IF(Source!$C452&gt;=COLUMNS($A452:U452), Source!$E452, "")</f>
        <v>2</v>
      </c>
      <c r="V452" s="2" t="str">
        <f>IF(Source!$C452&gt;=COLUMNS($A452:V452), Source!$E452, "")</f>
        <v/>
      </c>
      <c r="W452" s="2" t="str">
        <f>IF(Source!$C452&gt;=COLUMNS($A452:W452), Source!$E452, "")</f>
        <v/>
      </c>
      <c r="X452" s="2" t="str">
        <f>IF(Source!$C452&gt;=COLUMNS($A452:X452), Source!$E452, "")</f>
        <v/>
      </c>
      <c r="Y452" s="2" t="str">
        <f>IF(Source!$C452&gt;=COLUMNS($A452:Y452), Source!$E452, "")</f>
        <v/>
      </c>
      <c r="Z452" s="2" t="str">
        <f>IF(Source!$C452&gt;=COLUMNS($A452:Z452), Source!$E452, "")</f>
        <v/>
      </c>
      <c r="AA452" s="2" t="str">
        <f>IF(Source!$C452&gt;=COLUMNS($A452:AA452), Source!$E452, "")</f>
        <v/>
      </c>
      <c r="AB452" s="2" t="str">
        <f>IF(Source!$C452&gt;=COLUMNS($A452:AB452), Source!$E452, "")</f>
        <v/>
      </c>
      <c r="AC452" s="2" t="str">
        <f>IF(Source!$C452&gt;=COLUMNS($A452:AC452), Source!$E452, "")</f>
        <v/>
      </c>
      <c r="AD452" s="2" t="str">
        <f>IF(Source!$C452&gt;=COLUMNS($A452:AD452), Source!$E452, "")</f>
        <v/>
      </c>
      <c r="AE452" s="2" t="str">
        <f>IF(Source!$C452&gt;=COLUMNS($A452:AE452), Source!$E452, "")</f>
        <v/>
      </c>
      <c r="AF452" s="2" t="str">
        <f>IF(Source!$C452&gt;=COLUMNS($A452:AF452), Source!$E452, "")</f>
        <v/>
      </c>
      <c r="AG452" s="2" t="str">
        <f>IF(Source!$C452&gt;=COLUMNS($A452:AG452), Source!$E452, "")</f>
        <v/>
      </c>
      <c r="AH452" s="2" t="str">
        <f>IF(Source!$C452&gt;=COLUMNS($A452:AH452), Source!$E452, "")</f>
        <v/>
      </c>
      <c r="AI452" s="2" t="str">
        <f>IF(Source!$C452&gt;=COLUMNS($A452:AI452), Source!$E452, "")</f>
        <v/>
      </c>
      <c r="AJ452" s="2" t="str">
        <f>IF(Source!$C452&gt;=COLUMNS($A452:AJ452), Source!$E452, "")</f>
        <v/>
      </c>
      <c r="AK452" s="2" t="str">
        <f>IF(Source!$C452&gt;=COLUMNS($A452:AK452), Source!$E452, "")</f>
        <v/>
      </c>
      <c r="AL452" s="2" t="str">
        <f>IF(Source!$C452&gt;=COLUMNS($A452:AL452), Source!$E452, "")</f>
        <v/>
      </c>
      <c r="AM452" s="2" t="str">
        <f>IF(Source!$C452&gt;=COLUMNS($A452:AM452), Source!$E452, "")</f>
        <v/>
      </c>
      <c r="AN452" s="2" t="str">
        <f>IF(Source!$C452&gt;=COLUMNS($A452:AN452), Source!$E452, "")</f>
        <v/>
      </c>
      <c r="AO452" s="2" t="str">
        <f>IF(Source!$C452&gt;=COLUMNS($A452:AO452), Source!$E452, "")</f>
        <v/>
      </c>
      <c r="AP452" s="2" t="str">
        <f>IF(Source!$C452&gt;=COLUMNS($A452:AP452), Source!$E452, "")</f>
        <v/>
      </c>
      <c r="AQ452" s="2" t="str">
        <f>IF(Source!$C452&gt;=COLUMNS($A452:AQ452), Source!$E452, "")</f>
        <v/>
      </c>
      <c r="AR452" s="2" t="str">
        <f>IF(Source!$C452&gt;=COLUMNS($A452:AR452), Source!$E452, "")</f>
        <v/>
      </c>
    </row>
    <row r="453">
      <c r="A453" s="2">
        <f>IF(Source!$C453&gt;=COLUMNS($A453:A453), Source!$E453, "")</f>
        <v>1</v>
      </c>
      <c r="B453" s="2">
        <f>IF(Source!$C453&gt;=COLUMNS($A453:B453), Source!$E453, "")</f>
        <v>1</v>
      </c>
      <c r="C453" s="2">
        <f>IF(Source!$C453&gt;=COLUMNS($A453:C453), Source!$E453, "")</f>
        <v>1</v>
      </c>
      <c r="D453" s="2" t="str">
        <f>IF(Source!$C453&gt;=COLUMNS($A453:D453), Source!$E453, "")</f>
        <v/>
      </c>
      <c r="E453" s="2" t="str">
        <f>IF(Source!$C453&gt;=COLUMNS($A453:E453), Source!$E453, "")</f>
        <v/>
      </c>
      <c r="F453" s="2" t="str">
        <f>IF(Source!$C453&gt;=COLUMNS($A453:F453), Source!$E453, "")</f>
        <v/>
      </c>
      <c r="G453" s="2" t="str">
        <f>IF(Source!$C453&gt;=COLUMNS($A453:G453), Source!$E453, "")</f>
        <v/>
      </c>
      <c r="H453" s="2" t="str">
        <f>IF(Source!$C453&gt;=COLUMNS($A453:H453), Source!$E453, "")</f>
        <v/>
      </c>
      <c r="I453" s="2" t="str">
        <f>IF(Source!$C453&gt;=COLUMNS($A453:I453), Source!$E453, "")</f>
        <v/>
      </c>
      <c r="J453" s="2" t="str">
        <f>IF(Source!$C453&gt;=COLUMNS($A453:J453), Source!$E453, "")</f>
        <v/>
      </c>
      <c r="K453" s="2" t="str">
        <f>IF(Source!$C453&gt;=COLUMNS($A453:K453), Source!$E453, "")</f>
        <v/>
      </c>
      <c r="L453" s="2" t="str">
        <f>IF(Source!$C453&gt;=COLUMNS($A453:L453), Source!$E453, "")</f>
        <v/>
      </c>
      <c r="M453" s="2" t="str">
        <f>IF(Source!$C453&gt;=COLUMNS($A453:M453), Source!$E453, "")</f>
        <v/>
      </c>
      <c r="N453" s="2" t="str">
        <f>IF(Source!$C453&gt;=COLUMNS($A453:N453), Source!$E453, "")</f>
        <v/>
      </c>
      <c r="O453" s="2" t="str">
        <f>IF(Source!$C453&gt;=COLUMNS($A453:O453), Source!$E453, "")</f>
        <v/>
      </c>
      <c r="P453" s="2" t="str">
        <f>IF(Source!$C453&gt;=COLUMNS($A453:P453), Source!$E453, "")</f>
        <v/>
      </c>
      <c r="Q453" s="2" t="str">
        <f>IF(Source!$C453&gt;=COLUMNS($A453:Q453), Source!$E453, "")</f>
        <v/>
      </c>
      <c r="R453" s="2" t="str">
        <f>IF(Source!$C453&gt;=COLUMNS($A453:R453), Source!$E453, "")</f>
        <v/>
      </c>
      <c r="S453" s="2" t="str">
        <f>IF(Source!$C453&gt;=COLUMNS($A453:S453), Source!$E453, "")</f>
        <v/>
      </c>
      <c r="T453" s="2" t="str">
        <f>IF(Source!$C453&gt;=COLUMNS($A453:T453), Source!$E453, "")</f>
        <v/>
      </c>
      <c r="U453" s="2" t="str">
        <f>IF(Source!$C453&gt;=COLUMNS($A453:U453), Source!$E453, "")</f>
        <v/>
      </c>
      <c r="V453" s="2" t="str">
        <f>IF(Source!$C453&gt;=COLUMNS($A453:V453), Source!$E453, "")</f>
        <v/>
      </c>
      <c r="W453" s="2" t="str">
        <f>IF(Source!$C453&gt;=COLUMNS($A453:W453), Source!$E453, "")</f>
        <v/>
      </c>
      <c r="X453" s="2" t="str">
        <f>IF(Source!$C453&gt;=COLUMNS($A453:X453), Source!$E453, "")</f>
        <v/>
      </c>
      <c r="Y453" s="2" t="str">
        <f>IF(Source!$C453&gt;=COLUMNS($A453:Y453), Source!$E453, "")</f>
        <v/>
      </c>
      <c r="Z453" s="2" t="str">
        <f>IF(Source!$C453&gt;=COLUMNS($A453:Z453), Source!$E453, "")</f>
        <v/>
      </c>
      <c r="AA453" s="2" t="str">
        <f>IF(Source!$C453&gt;=COLUMNS($A453:AA453), Source!$E453, "")</f>
        <v/>
      </c>
      <c r="AB453" s="2" t="str">
        <f>IF(Source!$C453&gt;=COLUMNS($A453:AB453), Source!$E453, "")</f>
        <v/>
      </c>
      <c r="AC453" s="2" t="str">
        <f>IF(Source!$C453&gt;=COLUMNS($A453:AC453), Source!$E453, "")</f>
        <v/>
      </c>
      <c r="AD453" s="2" t="str">
        <f>IF(Source!$C453&gt;=COLUMNS($A453:AD453), Source!$E453, "")</f>
        <v/>
      </c>
      <c r="AE453" s="2" t="str">
        <f>IF(Source!$C453&gt;=COLUMNS($A453:AE453), Source!$E453, "")</f>
        <v/>
      </c>
      <c r="AF453" s="2" t="str">
        <f>IF(Source!$C453&gt;=COLUMNS($A453:AF453), Source!$E453, "")</f>
        <v/>
      </c>
      <c r="AG453" s="2" t="str">
        <f>IF(Source!$C453&gt;=COLUMNS($A453:AG453), Source!$E453, "")</f>
        <v/>
      </c>
      <c r="AH453" s="2" t="str">
        <f>IF(Source!$C453&gt;=COLUMNS($A453:AH453), Source!$E453, "")</f>
        <v/>
      </c>
      <c r="AI453" s="2" t="str">
        <f>IF(Source!$C453&gt;=COLUMNS($A453:AI453), Source!$E453, "")</f>
        <v/>
      </c>
      <c r="AJ453" s="2" t="str">
        <f>IF(Source!$C453&gt;=COLUMNS($A453:AJ453), Source!$E453, "")</f>
        <v/>
      </c>
      <c r="AK453" s="2" t="str">
        <f>IF(Source!$C453&gt;=COLUMNS($A453:AK453), Source!$E453, "")</f>
        <v/>
      </c>
      <c r="AL453" s="2" t="str">
        <f>IF(Source!$C453&gt;=COLUMNS($A453:AL453), Source!$E453, "")</f>
        <v/>
      </c>
      <c r="AM453" s="2" t="str">
        <f>IF(Source!$C453&gt;=COLUMNS($A453:AM453), Source!$E453, "")</f>
        <v/>
      </c>
      <c r="AN453" s="2" t="str">
        <f>IF(Source!$C453&gt;=COLUMNS($A453:AN453), Source!$E453, "")</f>
        <v/>
      </c>
      <c r="AO453" s="2" t="str">
        <f>IF(Source!$C453&gt;=COLUMNS($A453:AO453), Source!$E453, "")</f>
        <v/>
      </c>
      <c r="AP453" s="2" t="str">
        <f>IF(Source!$C453&gt;=COLUMNS($A453:AP453), Source!$E453, "")</f>
        <v/>
      </c>
      <c r="AQ453" s="2" t="str">
        <f>IF(Source!$C453&gt;=COLUMNS($A453:AQ453), Source!$E453, "")</f>
        <v/>
      </c>
      <c r="AR453" s="2" t="str">
        <f>IF(Source!$C453&gt;=COLUMNS($A453:AR453), Source!$E453, "")</f>
        <v/>
      </c>
    </row>
    <row r="454">
      <c r="A454" s="2">
        <f>IF(Source!$C454&gt;=COLUMNS($A454:A454), Source!$E454, "")</f>
        <v>3</v>
      </c>
      <c r="B454" s="2" t="str">
        <f>IF(Source!$C454&gt;=COLUMNS($A454:B454), Source!$E454, "")</f>
        <v/>
      </c>
      <c r="C454" s="2" t="str">
        <f>IF(Source!$C454&gt;=COLUMNS($A454:C454), Source!$E454, "")</f>
        <v/>
      </c>
      <c r="D454" s="2" t="str">
        <f>IF(Source!$C454&gt;=COLUMNS($A454:D454), Source!$E454, "")</f>
        <v/>
      </c>
      <c r="E454" s="2" t="str">
        <f>IF(Source!$C454&gt;=COLUMNS($A454:E454), Source!$E454, "")</f>
        <v/>
      </c>
      <c r="F454" s="2" t="str">
        <f>IF(Source!$C454&gt;=COLUMNS($A454:F454), Source!$E454, "")</f>
        <v/>
      </c>
      <c r="G454" s="2" t="str">
        <f>IF(Source!$C454&gt;=COLUMNS($A454:G454), Source!$E454, "")</f>
        <v/>
      </c>
      <c r="H454" s="2" t="str">
        <f>IF(Source!$C454&gt;=COLUMNS($A454:H454), Source!$E454, "")</f>
        <v/>
      </c>
      <c r="I454" s="2" t="str">
        <f>IF(Source!$C454&gt;=COLUMNS($A454:I454), Source!$E454, "")</f>
        <v/>
      </c>
      <c r="J454" s="2" t="str">
        <f>IF(Source!$C454&gt;=COLUMNS($A454:J454), Source!$E454, "")</f>
        <v/>
      </c>
      <c r="K454" s="2" t="str">
        <f>IF(Source!$C454&gt;=COLUMNS($A454:K454), Source!$E454, "")</f>
        <v/>
      </c>
      <c r="L454" s="2" t="str">
        <f>IF(Source!$C454&gt;=COLUMNS($A454:L454), Source!$E454, "")</f>
        <v/>
      </c>
      <c r="M454" s="2" t="str">
        <f>IF(Source!$C454&gt;=COLUMNS($A454:M454), Source!$E454, "")</f>
        <v/>
      </c>
      <c r="N454" s="2" t="str">
        <f>IF(Source!$C454&gt;=COLUMNS($A454:N454), Source!$E454, "")</f>
        <v/>
      </c>
      <c r="O454" s="2" t="str">
        <f>IF(Source!$C454&gt;=COLUMNS($A454:O454), Source!$E454, "")</f>
        <v/>
      </c>
      <c r="P454" s="2" t="str">
        <f>IF(Source!$C454&gt;=COLUMNS($A454:P454), Source!$E454, "")</f>
        <v/>
      </c>
      <c r="Q454" s="2" t="str">
        <f>IF(Source!$C454&gt;=COLUMNS($A454:Q454), Source!$E454, "")</f>
        <v/>
      </c>
      <c r="R454" s="2" t="str">
        <f>IF(Source!$C454&gt;=COLUMNS($A454:R454), Source!$E454, "")</f>
        <v/>
      </c>
      <c r="S454" s="2" t="str">
        <f>IF(Source!$C454&gt;=COLUMNS($A454:S454), Source!$E454, "")</f>
        <v/>
      </c>
      <c r="T454" s="2" t="str">
        <f>IF(Source!$C454&gt;=COLUMNS($A454:T454), Source!$E454, "")</f>
        <v/>
      </c>
      <c r="U454" s="2" t="str">
        <f>IF(Source!$C454&gt;=COLUMNS($A454:U454), Source!$E454, "")</f>
        <v/>
      </c>
      <c r="V454" s="2" t="str">
        <f>IF(Source!$C454&gt;=COLUMNS($A454:V454), Source!$E454, "")</f>
        <v/>
      </c>
      <c r="W454" s="2" t="str">
        <f>IF(Source!$C454&gt;=COLUMNS($A454:W454), Source!$E454, "")</f>
        <v/>
      </c>
      <c r="X454" s="2" t="str">
        <f>IF(Source!$C454&gt;=COLUMNS($A454:X454), Source!$E454, "")</f>
        <v/>
      </c>
      <c r="Y454" s="2" t="str">
        <f>IF(Source!$C454&gt;=COLUMNS($A454:Y454), Source!$E454, "")</f>
        <v/>
      </c>
      <c r="Z454" s="2" t="str">
        <f>IF(Source!$C454&gt;=COLUMNS($A454:Z454), Source!$E454, "")</f>
        <v/>
      </c>
      <c r="AA454" s="2" t="str">
        <f>IF(Source!$C454&gt;=COLUMNS($A454:AA454), Source!$E454, "")</f>
        <v/>
      </c>
      <c r="AB454" s="2" t="str">
        <f>IF(Source!$C454&gt;=COLUMNS($A454:AB454), Source!$E454, "")</f>
        <v/>
      </c>
      <c r="AC454" s="2" t="str">
        <f>IF(Source!$C454&gt;=COLUMNS($A454:AC454), Source!$E454, "")</f>
        <v/>
      </c>
      <c r="AD454" s="2" t="str">
        <f>IF(Source!$C454&gt;=COLUMNS($A454:AD454), Source!$E454, "")</f>
        <v/>
      </c>
      <c r="AE454" s="2" t="str">
        <f>IF(Source!$C454&gt;=COLUMNS($A454:AE454), Source!$E454, "")</f>
        <v/>
      </c>
      <c r="AF454" s="2" t="str">
        <f>IF(Source!$C454&gt;=COLUMNS($A454:AF454), Source!$E454, "")</f>
        <v/>
      </c>
      <c r="AG454" s="2" t="str">
        <f>IF(Source!$C454&gt;=COLUMNS($A454:AG454), Source!$E454, "")</f>
        <v/>
      </c>
      <c r="AH454" s="2" t="str">
        <f>IF(Source!$C454&gt;=COLUMNS($A454:AH454), Source!$E454, "")</f>
        <v/>
      </c>
      <c r="AI454" s="2" t="str">
        <f>IF(Source!$C454&gt;=COLUMNS($A454:AI454), Source!$E454, "")</f>
        <v/>
      </c>
      <c r="AJ454" s="2" t="str">
        <f>IF(Source!$C454&gt;=COLUMNS($A454:AJ454), Source!$E454, "")</f>
        <v/>
      </c>
      <c r="AK454" s="2" t="str">
        <f>IF(Source!$C454&gt;=COLUMNS($A454:AK454), Source!$E454, "")</f>
        <v/>
      </c>
      <c r="AL454" s="2" t="str">
        <f>IF(Source!$C454&gt;=COLUMNS($A454:AL454), Source!$E454, "")</f>
        <v/>
      </c>
      <c r="AM454" s="2" t="str">
        <f>IF(Source!$C454&gt;=COLUMNS($A454:AM454), Source!$E454, "")</f>
        <v/>
      </c>
      <c r="AN454" s="2" t="str">
        <f>IF(Source!$C454&gt;=COLUMNS($A454:AN454), Source!$E454, "")</f>
        <v/>
      </c>
      <c r="AO454" s="2" t="str">
        <f>IF(Source!$C454&gt;=COLUMNS($A454:AO454), Source!$E454, "")</f>
        <v/>
      </c>
      <c r="AP454" s="2" t="str">
        <f>IF(Source!$C454&gt;=COLUMNS($A454:AP454), Source!$E454, "")</f>
        <v/>
      </c>
      <c r="AQ454" s="2" t="str">
        <f>IF(Source!$C454&gt;=COLUMNS($A454:AQ454), Source!$E454, "")</f>
        <v/>
      </c>
      <c r="AR454" s="2" t="str">
        <f>IF(Source!$C454&gt;=COLUMNS($A454:AR454), Source!$E454, "")</f>
        <v/>
      </c>
    </row>
    <row r="455">
      <c r="A455" s="2">
        <f>IF(Source!$C455&gt;=COLUMNS($A455:A455), Source!$E455, "")</f>
        <v>7</v>
      </c>
      <c r="B455" s="2" t="str">
        <f>IF(Source!$C455&gt;=COLUMNS($A455:B455), Source!$E455, "")</f>
        <v/>
      </c>
      <c r="C455" s="2" t="str">
        <f>IF(Source!$C455&gt;=COLUMNS($A455:C455), Source!$E455, "")</f>
        <v/>
      </c>
      <c r="D455" s="2" t="str">
        <f>IF(Source!$C455&gt;=COLUMNS($A455:D455), Source!$E455, "")</f>
        <v/>
      </c>
      <c r="E455" s="2" t="str">
        <f>IF(Source!$C455&gt;=COLUMNS($A455:E455), Source!$E455, "")</f>
        <v/>
      </c>
      <c r="F455" s="2" t="str">
        <f>IF(Source!$C455&gt;=COLUMNS($A455:F455), Source!$E455, "")</f>
        <v/>
      </c>
      <c r="G455" s="2" t="str">
        <f>IF(Source!$C455&gt;=COLUMNS($A455:G455), Source!$E455, "")</f>
        <v/>
      </c>
      <c r="H455" s="2" t="str">
        <f>IF(Source!$C455&gt;=COLUMNS($A455:H455), Source!$E455, "")</f>
        <v/>
      </c>
      <c r="I455" s="2" t="str">
        <f>IF(Source!$C455&gt;=COLUMNS($A455:I455), Source!$E455, "")</f>
        <v/>
      </c>
      <c r="J455" s="2" t="str">
        <f>IF(Source!$C455&gt;=COLUMNS($A455:J455), Source!$E455, "")</f>
        <v/>
      </c>
      <c r="K455" s="2" t="str">
        <f>IF(Source!$C455&gt;=COLUMNS($A455:K455), Source!$E455, "")</f>
        <v/>
      </c>
      <c r="L455" s="2" t="str">
        <f>IF(Source!$C455&gt;=COLUMNS($A455:L455), Source!$E455, "")</f>
        <v/>
      </c>
      <c r="M455" s="2" t="str">
        <f>IF(Source!$C455&gt;=COLUMNS($A455:M455), Source!$E455, "")</f>
        <v/>
      </c>
      <c r="N455" s="2" t="str">
        <f>IF(Source!$C455&gt;=COLUMNS($A455:N455), Source!$E455, "")</f>
        <v/>
      </c>
      <c r="O455" s="2" t="str">
        <f>IF(Source!$C455&gt;=COLUMNS($A455:O455), Source!$E455, "")</f>
        <v/>
      </c>
      <c r="P455" s="2" t="str">
        <f>IF(Source!$C455&gt;=COLUMNS($A455:P455), Source!$E455, "")</f>
        <v/>
      </c>
      <c r="Q455" s="2" t="str">
        <f>IF(Source!$C455&gt;=COLUMNS($A455:Q455), Source!$E455, "")</f>
        <v/>
      </c>
      <c r="R455" s="2" t="str">
        <f>IF(Source!$C455&gt;=COLUMNS($A455:R455), Source!$E455, "")</f>
        <v/>
      </c>
      <c r="S455" s="2" t="str">
        <f>IF(Source!$C455&gt;=COLUMNS($A455:S455), Source!$E455, "")</f>
        <v/>
      </c>
      <c r="T455" s="2" t="str">
        <f>IF(Source!$C455&gt;=COLUMNS($A455:T455), Source!$E455, "")</f>
        <v/>
      </c>
      <c r="U455" s="2" t="str">
        <f>IF(Source!$C455&gt;=COLUMNS($A455:U455), Source!$E455, "")</f>
        <v/>
      </c>
      <c r="V455" s="2" t="str">
        <f>IF(Source!$C455&gt;=COLUMNS($A455:V455), Source!$E455, "")</f>
        <v/>
      </c>
      <c r="W455" s="2" t="str">
        <f>IF(Source!$C455&gt;=COLUMNS($A455:W455), Source!$E455, "")</f>
        <v/>
      </c>
      <c r="X455" s="2" t="str">
        <f>IF(Source!$C455&gt;=COLUMNS($A455:X455), Source!$E455, "")</f>
        <v/>
      </c>
      <c r="Y455" s="2" t="str">
        <f>IF(Source!$C455&gt;=COLUMNS($A455:Y455), Source!$E455, "")</f>
        <v/>
      </c>
      <c r="Z455" s="2" t="str">
        <f>IF(Source!$C455&gt;=COLUMNS($A455:Z455), Source!$E455, "")</f>
        <v/>
      </c>
      <c r="AA455" s="2" t="str">
        <f>IF(Source!$C455&gt;=COLUMNS($A455:AA455), Source!$E455, "")</f>
        <v/>
      </c>
      <c r="AB455" s="2" t="str">
        <f>IF(Source!$C455&gt;=COLUMNS($A455:AB455), Source!$E455, "")</f>
        <v/>
      </c>
      <c r="AC455" s="2" t="str">
        <f>IF(Source!$C455&gt;=COLUMNS($A455:AC455), Source!$E455, "")</f>
        <v/>
      </c>
      <c r="AD455" s="2" t="str">
        <f>IF(Source!$C455&gt;=COLUMNS($A455:AD455), Source!$E455, "")</f>
        <v/>
      </c>
      <c r="AE455" s="2" t="str">
        <f>IF(Source!$C455&gt;=COLUMNS($A455:AE455), Source!$E455, "")</f>
        <v/>
      </c>
      <c r="AF455" s="2" t="str">
        <f>IF(Source!$C455&gt;=COLUMNS($A455:AF455), Source!$E455, "")</f>
        <v/>
      </c>
      <c r="AG455" s="2" t="str">
        <f>IF(Source!$C455&gt;=COLUMNS($A455:AG455), Source!$E455, "")</f>
        <v/>
      </c>
      <c r="AH455" s="2" t="str">
        <f>IF(Source!$C455&gt;=COLUMNS($A455:AH455), Source!$E455, "")</f>
        <v/>
      </c>
      <c r="AI455" s="2" t="str">
        <f>IF(Source!$C455&gt;=COLUMNS($A455:AI455), Source!$E455, "")</f>
        <v/>
      </c>
      <c r="AJ455" s="2" t="str">
        <f>IF(Source!$C455&gt;=COLUMNS($A455:AJ455), Source!$E455, "")</f>
        <v/>
      </c>
      <c r="AK455" s="2" t="str">
        <f>IF(Source!$C455&gt;=COLUMNS($A455:AK455), Source!$E455, "")</f>
        <v/>
      </c>
      <c r="AL455" s="2" t="str">
        <f>IF(Source!$C455&gt;=COLUMNS($A455:AL455), Source!$E455, "")</f>
        <v/>
      </c>
      <c r="AM455" s="2" t="str">
        <f>IF(Source!$C455&gt;=COLUMNS($A455:AM455), Source!$E455, "")</f>
        <v/>
      </c>
      <c r="AN455" s="2" t="str">
        <f>IF(Source!$C455&gt;=COLUMNS($A455:AN455), Source!$E455, "")</f>
        <v/>
      </c>
      <c r="AO455" s="2" t="str">
        <f>IF(Source!$C455&gt;=COLUMNS($A455:AO455), Source!$E455, "")</f>
        <v/>
      </c>
      <c r="AP455" s="2" t="str">
        <f>IF(Source!$C455&gt;=COLUMNS($A455:AP455), Source!$E455, "")</f>
        <v/>
      </c>
      <c r="AQ455" s="2" t="str">
        <f>IF(Source!$C455&gt;=COLUMNS($A455:AQ455), Source!$E455, "")</f>
        <v/>
      </c>
      <c r="AR455" s="2" t="str">
        <f>IF(Source!$C455&gt;=COLUMNS($A455:AR455), Source!$E455, "")</f>
        <v/>
      </c>
    </row>
    <row r="456">
      <c r="A456" s="2">
        <f>IF(Source!$C456&gt;=COLUMNS($A456:A456), Source!$E456, "")</f>
        <v>3</v>
      </c>
      <c r="B456" s="2" t="str">
        <f>IF(Source!$C456&gt;=COLUMNS($A456:B456), Source!$E456, "")</f>
        <v/>
      </c>
      <c r="C456" s="2" t="str">
        <f>IF(Source!$C456&gt;=COLUMNS($A456:C456), Source!$E456, "")</f>
        <v/>
      </c>
      <c r="D456" s="2" t="str">
        <f>IF(Source!$C456&gt;=COLUMNS($A456:D456), Source!$E456, "")</f>
        <v/>
      </c>
      <c r="E456" s="2" t="str">
        <f>IF(Source!$C456&gt;=COLUMNS($A456:E456), Source!$E456, "")</f>
        <v/>
      </c>
      <c r="F456" s="2" t="str">
        <f>IF(Source!$C456&gt;=COLUMNS($A456:F456), Source!$E456, "")</f>
        <v/>
      </c>
      <c r="G456" s="2" t="str">
        <f>IF(Source!$C456&gt;=COLUMNS($A456:G456), Source!$E456, "")</f>
        <v/>
      </c>
      <c r="H456" s="2" t="str">
        <f>IF(Source!$C456&gt;=COLUMNS($A456:H456), Source!$E456, "")</f>
        <v/>
      </c>
      <c r="I456" s="2" t="str">
        <f>IF(Source!$C456&gt;=COLUMNS($A456:I456), Source!$E456, "")</f>
        <v/>
      </c>
      <c r="J456" s="2" t="str">
        <f>IF(Source!$C456&gt;=COLUMNS($A456:J456), Source!$E456, "")</f>
        <v/>
      </c>
      <c r="K456" s="2" t="str">
        <f>IF(Source!$C456&gt;=COLUMNS($A456:K456), Source!$E456, "")</f>
        <v/>
      </c>
      <c r="L456" s="2" t="str">
        <f>IF(Source!$C456&gt;=COLUMNS($A456:L456), Source!$E456, "")</f>
        <v/>
      </c>
      <c r="M456" s="2" t="str">
        <f>IF(Source!$C456&gt;=COLUMNS($A456:M456), Source!$E456, "")</f>
        <v/>
      </c>
      <c r="N456" s="2" t="str">
        <f>IF(Source!$C456&gt;=COLUMNS($A456:N456), Source!$E456, "")</f>
        <v/>
      </c>
      <c r="O456" s="2" t="str">
        <f>IF(Source!$C456&gt;=COLUMNS($A456:O456), Source!$E456, "")</f>
        <v/>
      </c>
      <c r="P456" s="2" t="str">
        <f>IF(Source!$C456&gt;=COLUMNS($A456:P456), Source!$E456, "")</f>
        <v/>
      </c>
      <c r="Q456" s="2" t="str">
        <f>IF(Source!$C456&gt;=COLUMNS($A456:Q456), Source!$E456, "")</f>
        <v/>
      </c>
      <c r="R456" s="2" t="str">
        <f>IF(Source!$C456&gt;=COLUMNS($A456:R456), Source!$E456, "")</f>
        <v/>
      </c>
      <c r="S456" s="2" t="str">
        <f>IF(Source!$C456&gt;=COLUMNS($A456:S456), Source!$E456, "")</f>
        <v/>
      </c>
      <c r="T456" s="2" t="str">
        <f>IF(Source!$C456&gt;=COLUMNS($A456:T456), Source!$E456, "")</f>
        <v/>
      </c>
      <c r="U456" s="2" t="str">
        <f>IF(Source!$C456&gt;=COLUMNS($A456:U456), Source!$E456, "")</f>
        <v/>
      </c>
      <c r="V456" s="2" t="str">
        <f>IF(Source!$C456&gt;=COLUMNS($A456:V456), Source!$E456, "")</f>
        <v/>
      </c>
      <c r="W456" s="2" t="str">
        <f>IF(Source!$C456&gt;=COLUMNS($A456:W456), Source!$E456, "")</f>
        <v/>
      </c>
      <c r="X456" s="2" t="str">
        <f>IF(Source!$C456&gt;=COLUMNS($A456:X456), Source!$E456, "")</f>
        <v/>
      </c>
      <c r="Y456" s="2" t="str">
        <f>IF(Source!$C456&gt;=COLUMNS($A456:Y456), Source!$E456, "")</f>
        <v/>
      </c>
      <c r="Z456" s="2" t="str">
        <f>IF(Source!$C456&gt;=COLUMNS($A456:Z456), Source!$E456, "")</f>
        <v/>
      </c>
      <c r="AA456" s="2" t="str">
        <f>IF(Source!$C456&gt;=COLUMNS($A456:AA456), Source!$E456, "")</f>
        <v/>
      </c>
      <c r="AB456" s="2" t="str">
        <f>IF(Source!$C456&gt;=COLUMNS($A456:AB456), Source!$E456, "")</f>
        <v/>
      </c>
      <c r="AC456" s="2" t="str">
        <f>IF(Source!$C456&gt;=COLUMNS($A456:AC456), Source!$E456, "")</f>
        <v/>
      </c>
      <c r="AD456" s="2" t="str">
        <f>IF(Source!$C456&gt;=COLUMNS($A456:AD456), Source!$E456, "")</f>
        <v/>
      </c>
      <c r="AE456" s="2" t="str">
        <f>IF(Source!$C456&gt;=COLUMNS($A456:AE456), Source!$E456, "")</f>
        <v/>
      </c>
      <c r="AF456" s="2" t="str">
        <f>IF(Source!$C456&gt;=COLUMNS($A456:AF456), Source!$E456, "")</f>
        <v/>
      </c>
      <c r="AG456" s="2" t="str">
        <f>IF(Source!$C456&gt;=COLUMNS($A456:AG456), Source!$E456, "")</f>
        <v/>
      </c>
      <c r="AH456" s="2" t="str">
        <f>IF(Source!$C456&gt;=COLUMNS($A456:AH456), Source!$E456, "")</f>
        <v/>
      </c>
      <c r="AI456" s="2" t="str">
        <f>IF(Source!$C456&gt;=COLUMNS($A456:AI456), Source!$E456, "")</f>
        <v/>
      </c>
      <c r="AJ456" s="2" t="str">
        <f>IF(Source!$C456&gt;=COLUMNS($A456:AJ456), Source!$E456, "")</f>
        <v/>
      </c>
      <c r="AK456" s="2" t="str">
        <f>IF(Source!$C456&gt;=COLUMNS($A456:AK456), Source!$E456, "")</f>
        <v/>
      </c>
      <c r="AL456" s="2" t="str">
        <f>IF(Source!$C456&gt;=COLUMNS($A456:AL456), Source!$E456, "")</f>
        <v/>
      </c>
      <c r="AM456" s="2" t="str">
        <f>IF(Source!$C456&gt;=COLUMNS($A456:AM456), Source!$E456, "")</f>
        <v/>
      </c>
      <c r="AN456" s="2" t="str">
        <f>IF(Source!$C456&gt;=COLUMNS($A456:AN456), Source!$E456, "")</f>
        <v/>
      </c>
      <c r="AO456" s="2" t="str">
        <f>IF(Source!$C456&gt;=COLUMNS($A456:AO456), Source!$E456, "")</f>
        <v/>
      </c>
      <c r="AP456" s="2" t="str">
        <f>IF(Source!$C456&gt;=COLUMNS($A456:AP456), Source!$E456, "")</f>
        <v/>
      </c>
      <c r="AQ456" s="2" t="str">
        <f>IF(Source!$C456&gt;=COLUMNS($A456:AQ456), Source!$E456, "")</f>
        <v/>
      </c>
      <c r="AR456" s="2" t="str">
        <f>IF(Source!$C456&gt;=COLUMNS($A456:AR456), Source!$E456, "")</f>
        <v/>
      </c>
    </row>
    <row r="457">
      <c r="A457" s="2">
        <f>IF(Source!$C457&gt;=COLUMNS($A457:A457), Source!$E457, "")</f>
        <v>1</v>
      </c>
      <c r="B457" s="2">
        <f>IF(Source!$C457&gt;=COLUMNS($A457:B457), Source!$E457, "")</f>
        <v>1</v>
      </c>
      <c r="C457" s="2">
        <f>IF(Source!$C457&gt;=COLUMNS($A457:C457), Source!$E457, "")</f>
        <v>1</v>
      </c>
      <c r="D457" s="2">
        <f>IF(Source!$C457&gt;=COLUMNS($A457:D457), Source!$E457, "")</f>
        <v>1</v>
      </c>
      <c r="E457" s="2">
        <f>IF(Source!$C457&gt;=COLUMNS($A457:E457), Source!$E457, "")</f>
        <v>1</v>
      </c>
      <c r="F457" s="2">
        <f>IF(Source!$C457&gt;=COLUMNS($A457:F457), Source!$E457, "")</f>
        <v>1</v>
      </c>
      <c r="G457" s="2">
        <f>IF(Source!$C457&gt;=COLUMNS($A457:G457), Source!$E457, "")</f>
        <v>1</v>
      </c>
      <c r="H457" s="2">
        <f>IF(Source!$C457&gt;=COLUMNS($A457:H457), Source!$E457, "")</f>
        <v>1</v>
      </c>
      <c r="I457" s="2" t="str">
        <f>IF(Source!$C457&gt;=COLUMNS($A457:I457), Source!$E457, "")</f>
        <v/>
      </c>
      <c r="J457" s="2" t="str">
        <f>IF(Source!$C457&gt;=COLUMNS($A457:J457), Source!$E457, "")</f>
        <v/>
      </c>
      <c r="K457" s="2" t="str">
        <f>IF(Source!$C457&gt;=COLUMNS($A457:K457), Source!$E457, "")</f>
        <v/>
      </c>
      <c r="L457" s="2" t="str">
        <f>IF(Source!$C457&gt;=COLUMNS($A457:L457), Source!$E457, "")</f>
        <v/>
      </c>
      <c r="M457" s="2" t="str">
        <f>IF(Source!$C457&gt;=COLUMNS($A457:M457), Source!$E457, "")</f>
        <v/>
      </c>
      <c r="N457" s="2" t="str">
        <f>IF(Source!$C457&gt;=COLUMNS($A457:N457), Source!$E457, "")</f>
        <v/>
      </c>
      <c r="O457" s="2" t="str">
        <f>IF(Source!$C457&gt;=COLUMNS($A457:O457), Source!$E457, "")</f>
        <v/>
      </c>
      <c r="P457" s="2" t="str">
        <f>IF(Source!$C457&gt;=COLUMNS($A457:P457), Source!$E457, "")</f>
        <v/>
      </c>
      <c r="Q457" s="2" t="str">
        <f>IF(Source!$C457&gt;=COLUMNS($A457:Q457), Source!$E457, "")</f>
        <v/>
      </c>
      <c r="R457" s="2" t="str">
        <f>IF(Source!$C457&gt;=COLUMNS($A457:R457), Source!$E457, "")</f>
        <v/>
      </c>
      <c r="S457" s="2" t="str">
        <f>IF(Source!$C457&gt;=COLUMNS($A457:S457), Source!$E457, "")</f>
        <v/>
      </c>
      <c r="T457" s="2" t="str">
        <f>IF(Source!$C457&gt;=COLUMNS($A457:T457), Source!$E457, "")</f>
        <v/>
      </c>
      <c r="U457" s="2" t="str">
        <f>IF(Source!$C457&gt;=COLUMNS($A457:U457), Source!$E457, "")</f>
        <v/>
      </c>
      <c r="V457" s="2" t="str">
        <f>IF(Source!$C457&gt;=COLUMNS($A457:V457), Source!$E457, "")</f>
        <v/>
      </c>
      <c r="W457" s="2" t="str">
        <f>IF(Source!$C457&gt;=COLUMNS($A457:W457), Source!$E457, "")</f>
        <v/>
      </c>
      <c r="X457" s="2" t="str">
        <f>IF(Source!$C457&gt;=COLUMNS($A457:X457), Source!$E457, "")</f>
        <v/>
      </c>
      <c r="Y457" s="2" t="str">
        <f>IF(Source!$C457&gt;=COLUMNS($A457:Y457), Source!$E457, "")</f>
        <v/>
      </c>
      <c r="Z457" s="2" t="str">
        <f>IF(Source!$C457&gt;=COLUMNS($A457:Z457), Source!$E457, "")</f>
        <v/>
      </c>
      <c r="AA457" s="2" t="str">
        <f>IF(Source!$C457&gt;=COLUMNS($A457:AA457), Source!$E457, "")</f>
        <v/>
      </c>
      <c r="AB457" s="2" t="str">
        <f>IF(Source!$C457&gt;=COLUMNS($A457:AB457), Source!$E457, "")</f>
        <v/>
      </c>
      <c r="AC457" s="2" t="str">
        <f>IF(Source!$C457&gt;=COLUMNS($A457:AC457), Source!$E457, "")</f>
        <v/>
      </c>
      <c r="AD457" s="2" t="str">
        <f>IF(Source!$C457&gt;=COLUMNS($A457:AD457), Source!$E457, "")</f>
        <v/>
      </c>
      <c r="AE457" s="2" t="str">
        <f>IF(Source!$C457&gt;=COLUMNS($A457:AE457), Source!$E457, "")</f>
        <v/>
      </c>
      <c r="AF457" s="2" t="str">
        <f>IF(Source!$C457&gt;=COLUMNS($A457:AF457), Source!$E457, "")</f>
        <v/>
      </c>
      <c r="AG457" s="2" t="str">
        <f>IF(Source!$C457&gt;=COLUMNS($A457:AG457), Source!$E457, "")</f>
        <v/>
      </c>
      <c r="AH457" s="2" t="str">
        <f>IF(Source!$C457&gt;=COLUMNS($A457:AH457), Source!$E457, "")</f>
        <v/>
      </c>
      <c r="AI457" s="2" t="str">
        <f>IF(Source!$C457&gt;=COLUMNS($A457:AI457), Source!$E457, "")</f>
        <v/>
      </c>
      <c r="AJ457" s="2" t="str">
        <f>IF(Source!$C457&gt;=COLUMNS($A457:AJ457), Source!$E457, "")</f>
        <v/>
      </c>
      <c r="AK457" s="2" t="str">
        <f>IF(Source!$C457&gt;=COLUMNS($A457:AK457), Source!$E457, "")</f>
        <v/>
      </c>
      <c r="AL457" s="2" t="str">
        <f>IF(Source!$C457&gt;=COLUMNS($A457:AL457), Source!$E457, "")</f>
        <v/>
      </c>
      <c r="AM457" s="2" t="str">
        <f>IF(Source!$C457&gt;=COLUMNS($A457:AM457), Source!$E457, "")</f>
        <v/>
      </c>
      <c r="AN457" s="2" t="str">
        <f>IF(Source!$C457&gt;=COLUMNS($A457:AN457), Source!$E457, "")</f>
        <v/>
      </c>
      <c r="AO457" s="2" t="str">
        <f>IF(Source!$C457&gt;=COLUMNS($A457:AO457), Source!$E457, "")</f>
        <v/>
      </c>
      <c r="AP457" s="2" t="str">
        <f>IF(Source!$C457&gt;=COLUMNS($A457:AP457), Source!$E457, "")</f>
        <v/>
      </c>
      <c r="AQ457" s="2" t="str">
        <f>IF(Source!$C457&gt;=COLUMNS($A457:AQ457), Source!$E457, "")</f>
        <v/>
      </c>
      <c r="AR457" s="2" t="str">
        <f>IF(Source!$C457&gt;=COLUMNS($A457:AR457), Source!$E457, "")</f>
        <v/>
      </c>
    </row>
    <row r="458">
      <c r="A458" s="2">
        <f>IF(Source!$C458&gt;=COLUMNS($A458:A458), Source!$E458, "")</f>
        <v>9</v>
      </c>
      <c r="B458" s="2" t="str">
        <f>IF(Source!$C458&gt;=COLUMNS($A458:B458), Source!$E458, "")</f>
        <v/>
      </c>
      <c r="C458" s="2" t="str">
        <f>IF(Source!$C458&gt;=COLUMNS($A458:C458), Source!$E458, "")</f>
        <v/>
      </c>
      <c r="D458" s="2" t="str">
        <f>IF(Source!$C458&gt;=COLUMNS($A458:D458), Source!$E458, "")</f>
        <v/>
      </c>
      <c r="E458" s="2" t="str">
        <f>IF(Source!$C458&gt;=COLUMNS($A458:E458), Source!$E458, "")</f>
        <v/>
      </c>
      <c r="F458" s="2" t="str">
        <f>IF(Source!$C458&gt;=COLUMNS($A458:F458), Source!$E458, "")</f>
        <v/>
      </c>
      <c r="G458" s="2" t="str">
        <f>IF(Source!$C458&gt;=COLUMNS($A458:G458), Source!$E458, "")</f>
        <v/>
      </c>
      <c r="H458" s="2" t="str">
        <f>IF(Source!$C458&gt;=COLUMNS($A458:H458), Source!$E458, "")</f>
        <v/>
      </c>
      <c r="I458" s="2" t="str">
        <f>IF(Source!$C458&gt;=COLUMNS($A458:I458), Source!$E458, "")</f>
        <v/>
      </c>
      <c r="J458" s="2" t="str">
        <f>IF(Source!$C458&gt;=COLUMNS($A458:J458), Source!$E458, "")</f>
        <v/>
      </c>
      <c r="K458" s="2" t="str">
        <f>IF(Source!$C458&gt;=COLUMNS($A458:K458), Source!$E458, "")</f>
        <v/>
      </c>
      <c r="L458" s="2" t="str">
        <f>IF(Source!$C458&gt;=COLUMNS($A458:L458), Source!$E458, "")</f>
        <v/>
      </c>
      <c r="M458" s="2" t="str">
        <f>IF(Source!$C458&gt;=COLUMNS($A458:M458), Source!$E458, "")</f>
        <v/>
      </c>
      <c r="N458" s="2" t="str">
        <f>IF(Source!$C458&gt;=COLUMNS($A458:N458), Source!$E458, "")</f>
        <v/>
      </c>
      <c r="O458" s="2" t="str">
        <f>IF(Source!$C458&gt;=COLUMNS($A458:O458), Source!$E458, "")</f>
        <v/>
      </c>
      <c r="P458" s="2" t="str">
        <f>IF(Source!$C458&gt;=COLUMNS($A458:P458), Source!$E458, "")</f>
        <v/>
      </c>
      <c r="Q458" s="2" t="str">
        <f>IF(Source!$C458&gt;=COLUMNS($A458:Q458), Source!$E458, "")</f>
        <v/>
      </c>
      <c r="R458" s="2" t="str">
        <f>IF(Source!$C458&gt;=COLUMNS($A458:R458), Source!$E458, "")</f>
        <v/>
      </c>
      <c r="S458" s="2" t="str">
        <f>IF(Source!$C458&gt;=COLUMNS($A458:S458), Source!$E458, "")</f>
        <v/>
      </c>
      <c r="T458" s="2" t="str">
        <f>IF(Source!$C458&gt;=COLUMNS($A458:T458), Source!$E458, "")</f>
        <v/>
      </c>
      <c r="U458" s="2" t="str">
        <f>IF(Source!$C458&gt;=COLUMNS($A458:U458), Source!$E458, "")</f>
        <v/>
      </c>
      <c r="V458" s="2" t="str">
        <f>IF(Source!$C458&gt;=COLUMNS($A458:V458), Source!$E458, "")</f>
        <v/>
      </c>
      <c r="W458" s="2" t="str">
        <f>IF(Source!$C458&gt;=COLUMNS($A458:W458), Source!$E458, "")</f>
        <v/>
      </c>
      <c r="X458" s="2" t="str">
        <f>IF(Source!$C458&gt;=COLUMNS($A458:X458), Source!$E458, "")</f>
        <v/>
      </c>
      <c r="Y458" s="2" t="str">
        <f>IF(Source!$C458&gt;=COLUMNS($A458:Y458), Source!$E458, "")</f>
        <v/>
      </c>
      <c r="Z458" s="2" t="str">
        <f>IF(Source!$C458&gt;=COLUMNS($A458:Z458), Source!$E458, "")</f>
        <v/>
      </c>
      <c r="AA458" s="2" t="str">
        <f>IF(Source!$C458&gt;=COLUMNS($A458:AA458), Source!$E458, "")</f>
        <v/>
      </c>
      <c r="AB458" s="2" t="str">
        <f>IF(Source!$C458&gt;=COLUMNS($A458:AB458), Source!$E458, "")</f>
        <v/>
      </c>
      <c r="AC458" s="2" t="str">
        <f>IF(Source!$C458&gt;=COLUMNS($A458:AC458), Source!$E458, "")</f>
        <v/>
      </c>
      <c r="AD458" s="2" t="str">
        <f>IF(Source!$C458&gt;=COLUMNS($A458:AD458), Source!$E458, "")</f>
        <v/>
      </c>
      <c r="AE458" s="2" t="str">
        <f>IF(Source!$C458&gt;=COLUMNS($A458:AE458), Source!$E458, "")</f>
        <v/>
      </c>
      <c r="AF458" s="2" t="str">
        <f>IF(Source!$C458&gt;=COLUMNS($A458:AF458), Source!$E458, "")</f>
        <v/>
      </c>
      <c r="AG458" s="2" t="str">
        <f>IF(Source!$C458&gt;=COLUMNS($A458:AG458), Source!$E458, "")</f>
        <v/>
      </c>
      <c r="AH458" s="2" t="str">
        <f>IF(Source!$C458&gt;=COLUMNS($A458:AH458), Source!$E458, "")</f>
        <v/>
      </c>
      <c r="AI458" s="2" t="str">
        <f>IF(Source!$C458&gt;=COLUMNS($A458:AI458), Source!$E458, "")</f>
        <v/>
      </c>
      <c r="AJ458" s="2" t="str">
        <f>IF(Source!$C458&gt;=COLUMNS($A458:AJ458), Source!$E458, "")</f>
        <v/>
      </c>
      <c r="AK458" s="2" t="str">
        <f>IF(Source!$C458&gt;=COLUMNS($A458:AK458), Source!$E458, "")</f>
        <v/>
      </c>
      <c r="AL458" s="2" t="str">
        <f>IF(Source!$C458&gt;=COLUMNS($A458:AL458), Source!$E458, "")</f>
        <v/>
      </c>
      <c r="AM458" s="2" t="str">
        <f>IF(Source!$C458&gt;=COLUMNS($A458:AM458), Source!$E458, "")</f>
        <v/>
      </c>
      <c r="AN458" s="2" t="str">
        <f>IF(Source!$C458&gt;=COLUMNS($A458:AN458), Source!$E458, "")</f>
        <v/>
      </c>
      <c r="AO458" s="2" t="str">
        <f>IF(Source!$C458&gt;=COLUMNS($A458:AO458), Source!$E458, "")</f>
        <v/>
      </c>
      <c r="AP458" s="2" t="str">
        <f>IF(Source!$C458&gt;=COLUMNS($A458:AP458), Source!$E458, "")</f>
        <v/>
      </c>
      <c r="AQ458" s="2" t="str">
        <f>IF(Source!$C458&gt;=COLUMNS($A458:AQ458), Source!$E458, "")</f>
        <v/>
      </c>
      <c r="AR458" s="2" t="str">
        <f>IF(Source!$C458&gt;=COLUMNS($A458:AR458), Source!$E458, "")</f>
        <v/>
      </c>
    </row>
    <row r="459">
      <c r="A459" s="2">
        <f>IF(Source!$C459&gt;=COLUMNS($A459:A459), Source!$E459, "")</f>
        <v>4</v>
      </c>
      <c r="B459" s="2">
        <f>IF(Source!$C459&gt;=COLUMNS($A459:B459), Source!$E459, "")</f>
        <v>4</v>
      </c>
      <c r="C459" s="2">
        <f>IF(Source!$C459&gt;=COLUMNS($A459:C459), Source!$E459, "")</f>
        <v>4</v>
      </c>
      <c r="D459" s="2">
        <f>IF(Source!$C459&gt;=COLUMNS($A459:D459), Source!$E459, "")</f>
        <v>4</v>
      </c>
      <c r="E459" s="2">
        <f>IF(Source!$C459&gt;=COLUMNS($A459:E459), Source!$E459, "")</f>
        <v>4</v>
      </c>
      <c r="F459" s="2">
        <f>IF(Source!$C459&gt;=COLUMNS($A459:F459), Source!$E459, "")</f>
        <v>4</v>
      </c>
      <c r="G459" s="2">
        <f>IF(Source!$C459&gt;=COLUMNS($A459:G459), Source!$E459, "")</f>
        <v>4</v>
      </c>
      <c r="H459" s="2" t="str">
        <f>IF(Source!$C459&gt;=COLUMNS($A459:H459), Source!$E459, "")</f>
        <v/>
      </c>
      <c r="I459" s="2" t="str">
        <f>IF(Source!$C459&gt;=COLUMNS($A459:I459), Source!$E459, "")</f>
        <v/>
      </c>
      <c r="J459" s="2" t="str">
        <f>IF(Source!$C459&gt;=COLUMNS($A459:J459), Source!$E459, "")</f>
        <v/>
      </c>
      <c r="K459" s="2" t="str">
        <f>IF(Source!$C459&gt;=COLUMNS($A459:K459), Source!$E459, "")</f>
        <v/>
      </c>
      <c r="L459" s="2" t="str">
        <f>IF(Source!$C459&gt;=COLUMNS($A459:L459), Source!$E459, "")</f>
        <v/>
      </c>
      <c r="M459" s="2" t="str">
        <f>IF(Source!$C459&gt;=COLUMNS($A459:M459), Source!$E459, "")</f>
        <v/>
      </c>
      <c r="N459" s="2" t="str">
        <f>IF(Source!$C459&gt;=COLUMNS($A459:N459), Source!$E459, "")</f>
        <v/>
      </c>
      <c r="O459" s="2" t="str">
        <f>IF(Source!$C459&gt;=COLUMNS($A459:O459), Source!$E459, "")</f>
        <v/>
      </c>
      <c r="P459" s="2" t="str">
        <f>IF(Source!$C459&gt;=COLUMNS($A459:P459), Source!$E459, "")</f>
        <v/>
      </c>
      <c r="Q459" s="2" t="str">
        <f>IF(Source!$C459&gt;=COLUMNS($A459:Q459), Source!$E459, "")</f>
        <v/>
      </c>
      <c r="R459" s="2" t="str">
        <f>IF(Source!$C459&gt;=COLUMNS($A459:R459), Source!$E459, "")</f>
        <v/>
      </c>
      <c r="S459" s="2" t="str">
        <f>IF(Source!$C459&gt;=COLUMNS($A459:S459), Source!$E459, "")</f>
        <v/>
      </c>
      <c r="T459" s="2" t="str">
        <f>IF(Source!$C459&gt;=COLUMNS($A459:T459), Source!$E459, "")</f>
        <v/>
      </c>
      <c r="U459" s="2" t="str">
        <f>IF(Source!$C459&gt;=COLUMNS($A459:U459), Source!$E459, "")</f>
        <v/>
      </c>
      <c r="V459" s="2" t="str">
        <f>IF(Source!$C459&gt;=COLUMNS($A459:V459), Source!$E459, "")</f>
        <v/>
      </c>
      <c r="W459" s="2" t="str">
        <f>IF(Source!$C459&gt;=COLUMNS($A459:W459), Source!$E459, "")</f>
        <v/>
      </c>
      <c r="X459" s="2" t="str">
        <f>IF(Source!$C459&gt;=COLUMNS($A459:X459), Source!$E459, "")</f>
        <v/>
      </c>
      <c r="Y459" s="2" t="str">
        <f>IF(Source!$C459&gt;=COLUMNS($A459:Y459), Source!$E459, "")</f>
        <v/>
      </c>
      <c r="Z459" s="2" t="str">
        <f>IF(Source!$C459&gt;=COLUMNS($A459:Z459), Source!$E459, "")</f>
        <v/>
      </c>
      <c r="AA459" s="2" t="str">
        <f>IF(Source!$C459&gt;=COLUMNS($A459:AA459), Source!$E459, "")</f>
        <v/>
      </c>
      <c r="AB459" s="2" t="str">
        <f>IF(Source!$C459&gt;=COLUMNS($A459:AB459), Source!$E459, "")</f>
        <v/>
      </c>
      <c r="AC459" s="2" t="str">
        <f>IF(Source!$C459&gt;=COLUMNS($A459:AC459), Source!$E459, "")</f>
        <v/>
      </c>
      <c r="AD459" s="2" t="str">
        <f>IF(Source!$C459&gt;=COLUMNS($A459:AD459), Source!$E459, "")</f>
        <v/>
      </c>
      <c r="AE459" s="2" t="str">
        <f>IF(Source!$C459&gt;=COLUMNS($A459:AE459), Source!$E459, "")</f>
        <v/>
      </c>
      <c r="AF459" s="2" t="str">
        <f>IF(Source!$C459&gt;=COLUMNS($A459:AF459), Source!$E459, "")</f>
        <v/>
      </c>
      <c r="AG459" s="2" t="str">
        <f>IF(Source!$C459&gt;=COLUMNS($A459:AG459), Source!$E459, "")</f>
        <v/>
      </c>
      <c r="AH459" s="2" t="str">
        <f>IF(Source!$C459&gt;=COLUMNS($A459:AH459), Source!$E459, "")</f>
        <v/>
      </c>
      <c r="AI459" s="2" t="str">
        <f>IF(Source!$C459&gt;=COLUMNS($A459:AI459), Source!$E459, "")</f>
        <v/>
      </c>
      <c r="AJ459" s="2" t="str">
        <f>IF(Source!$C459&gt;=COLUMNS($A459:AJ459), Source!$E459, "")</f>
        <v/>
      </c>
      <c r="AK459" s="2" t="str">
        <f>IF(Source!$C459&gt;=COLUMNS($A459:AK459), Source!$E459, "")</f>
        <v/>
      </c>
      <c r="AL459" s="2" t="str">
        <f>IF(Source!$C459&gt;=COLUMNS($A459:AL459), Source!$E459, "")</f>
        <v/>
      </c>
      <c r="AM459" s="2" t="str">
        <f>IF(Source!$C459&gt;=COLUMNS($A459:AM459), Source!$E459, "")</f>
        <v/>
      </c>
      <c r="AN459" s="2" t="str">
        <f>IF(Source!$C459&gt;=COLUMNS($A459:AN459), Source!$E459, "")</f>
        <v/>
      </c>
      <c r="AO459" s="2" t="str">
        <f>IF(Source!$C459&gt;=COLUMNS($A459:AO459), Source!$E459, "")</f>
        <v/>
      </c>
      <c r="AP459" s="2" t="str">
        <f>IF(Source!$C459&gt;=COLUMNS($A459:AP459), Source!$E459, "")</f>
        <v/>
      </c>
      <c r="AQ459" s="2" t="str">
        <f>IF(Source!$C459&gt;=COLUMNS($A459:AQ459), Source!$E459, "")</f>
        <v/>
      </c>
      <c r="AR459" s="2" t="str">
        <f>IF(Source!$C459&gt;=COLUMNS($A459:AR459), Source!$E459, "")</f>
        <v/>
      </c>
    </row>
    <row r="460">
      <c r="A460" s="2">
        <f>IF(Source!$C460&gt;=COLUMNS($A460:A460), Source!$E460, "")</f>
        <v>3</v>
      </c>
      <c r="B460" s="2">
        <f>IF(Source!$C460&gt;=COLUMNS($A460:B460), Source!$E460, "")</f>
        <v>3</v>
      </c>
      <c r="C460" s="2">
        <f>IF(Source!$C460&gt;=COLUMNS($A460:C460), Source!$E460, "")</f>
        <v>3</v>
      </c>
      <c r="D460" s="2" t="str">
        <f>IF(Source!$C460&gt;=COLUMNS($A460:D460), Source!$E460, "")</f>
        <v/>
      </c>
      <c r="E460" s="2" t="str">
        <f>IF(Source!$C460&gt;=COLUMNS($A460:E460), Source!$E460, "")</f>
        <v/>
      </c>
      <c r="F460" s="2" t="str">
        <f>IF(Source!$C460&gt;=COLUMNS($A460:F460), Source!$E460, "")</f>
        <v/>
      </c>
      <c r="G460" s="2" t="str">
        <f>IF(Source!$C460&gt;=COLUMNS($A460:G460), Source!$E460, "")</f>
        <v/>
      </c>
      <c r="H460" s="2" t="str">
        <f>IF(Source!$C460&gt;=COLUMNS($A460:H460), Source!$E460, "")</f>
        <v/>
      </c>
      <c r="I460" s="2" t="str">
        <f>IF(Source!$C460&gt;=COLUMNS($A460:I460), Source!$E460, "")</f>
        <v/>
      </c>
      <c r="J460" s="2" t="str">
        <f>IF(Source!$C460&gt;=COLUMNS($A460:J460), Source!$E460, "")</f>
        <v/>
      </c>
      <c r="K460" s="2" t="str">
        <f>IF(Source!$C460&gt;=COLUMNS($A460:K460), Source!$E460, "")</f>
        <v/>
      </c>
      <c r="L460" s="2" t="str">
        <f>IF(Source!$C460&gt;=COLUMNS($A460:L460), Source!$E460, "")</f>
        <v/>
      </c>
      <c r="M460" s="2" t="str">
        <f>IF(Source!$C460&gt;=COLUMNS($A460:M460), Source!$E460, "")</f>
        <v/>
      </c>
      <c r="N460" s="2" t="str">
        <f>IF(Source!$C460&gt;=COLUMNS($A460:N460), Source!$E460, "")</f>
        <v/>
      </c>
      <c r="O460" s="2" t="str">
        <f>IF(Source!$C460&gt;=COLUMNS($A460:O460), Source!$E460, "")</f>
        <v/>
      </c>
      <c r="P460" s="2" t="str">
        <f>IF(Source!$C460&gt;=COLUMNS($A460:P460), Source!$E460, "")</f>
        <v/>
      </c>
      <c r="Q460" s="2" t="str">
        <f>IF(Source!$C460&gt;=COLUMNS($A460:Q460), Source!$E460, "")</f>
        <v/>
      </c>
      <c r="R460" s="2" t="str">
        <f>IF(Source!$C460&gt;=COLUMNS($A460:R460), Source!$E460, "")</f>
        <v/>
      </c>
      <c r="S460" s="2" t="str">
        <f>IF(Source!$C460&gt;=COLUMNS($A460:S460), Source!$E460, "")</f>
        <v/>
      </c>
      <c r="T460" s="2" t="str">
        <f>IF(Source!$C460&gt;=COLUMNS($A460:T460), Source!$E460, "")</f>
        <v/>
      </c>
      <c r="U460" s="2" t="str">
        <f>IF(Source!$C460&gt;=COLUMNS($A460:U460), Source!$E460, "")</f>
        <v/>
      </c>
      <c r="V460" s="2" t="str">
        <f>IF(Source!$C460&gt;=COLUMNS($A460:V460), Source!$E460, "")</f>
        <v/>
      </c>
      <c r="W460" s="2" t="str">
        <f>IF(Source!$C460&gt;=COLUMNS($A460:W460), Source!$E460, "")</f>
        <v/>
      </c>
      <c r="X460" s="2" t="str">
        <f>IF(Source!$C460&gt;=COLUMNS($A460:X460), Source!$E460, "")</f>
        <v/>
      </c>
      <c r="Y460" s="2" t="str">
        <f>IF(Source!$C460&gt;=COLUMNS($A460:Y460), Source!$E460, "")</f>
        <v/>
      </c>
      <c r="Z460" s="2" t="str">
        <f>IF(Source!$C460&gt;=COLUMNS($A460:Z460), Source!$E460, "")</f>
        <v/>
      </c>
      <c r="AA460" s="2" t="str">
        <f>IF(Source!$C460&gt;=COLUMNS($A460:AA460), Source!$E460, "")</f>
        <v/>
      </c>
      <c r="AB460" s="2" t="str">
        <f>IF(Source!$C460&gt;=COLUMNS($A460:AB460), Source!$E460, "")</f>
        <v/>
      </c>
      <c r="AC460" s="2" t="str">
        <f>IF(Source!$C460&gt;=COLUMNS($A460:AC460), Source!$E460, "")</f>
        <v/>
      </c>
      <c r="AD460" s="2" t="str">
        <f>IF(Source!$C460&gt;=COLUMNS($A460:AD460), Source!$E460, "")</f>
        <v/>
      </c>
      <c r="AE460" s="2" t="str">
        <f>IF(Source!$C460&gt;=COLUMNS($A460:AE460), Source!$E460, "")</f>
        <v/>
      </c>
      <c r="AF460" s="2" t="str">
        <f>IF(Source!$C460&gt;=COLUMNS($A460:AF460), Source!$E460, "")</f>
        <v/>
      </c>
      <c r="AG460" s="2" t="str">
        <f>IF(Source!$C460&gt;=COLUMNS($A460:AG460), Source!$E460, "")</f>
        <v/>
      </c>
      <c r="AH460" s="2" t="str">
        <f>IF(Source!$C460&gt;=COLUMNS($A460:AH460), Source!$E460, "")</f>
        <v/>
      </c>
      <c r="AI460" s="2" t="str">
        <f>IF(Source!$C460&gt;=COLUMNS($A460:AI460), Source!$E460, "")</f>
        <v/>
      </c>
      <c r="AJ460" s="2" t="str">
        <f>IF(Source!$C460&gt;=COLUMNS($A460:AJ460), Source!$E460, "")</f>
        <v/>
      </c>
      <c r="AK460" s="2" t="str">
        <f>IF(Source!$C460&gt;=COLUMNS($A460:AK460), Source!$E460, "")</f>
        <v/>
      </c>
      <c r="AL460" s="2" t="str">
        <f>IF(Source!$C460&gt;=COLUMNS($A460:AL460), Source!$E460, "")</f>
        <v/>
      </c>
      <c r="AM460" s="2" t="str">
        <f>IF(Source!$C460&gt;=COLUMNS($A460:AM460), Source!$E460, "")</f>
        <v/>
      </c>
      <c r="AN460" s="2" t="str">
        <f>IF(Source!$C460&gt;=COLUMNS($A460:AN460), Source!$E460, "")</f>
        <v/>
      </c>
      <c r="AO460" s="2" t="str">
        <f>IF(Source!$C460&gt;=COLUMNS($A460:AO460), Source!$E460, "")</f>
        <v/>
      </c>
      <c r="AP460" s="2" t="str">
        <f>IF(Source!$C460&gt;=COLUMNS($A460:AP460), Source!$E460, "")</f>
        <v/>
      </c>
      <c r="AQ460" s="2" t="str">
        <f>IF(Source!$C460&gt;=COLUMNS($A460:AQ460), Source!$E460, "")</f>
        <v/>
      </c>
      <c r="AR460" s="2" t="str">
        <f>IF(Source!$C460&gt;=COLUMNS($A460:AR460), Source!$E460, "")</f>
        <v/>
      </c>
    </row>
    <row r="461">
      <c r="A461" s="2">
        <f>IF(Source!$C461&gt;=COLUMNS($A461:A461), Source!$E461, "")</f>
        <v>3</v>
      </c>
      <c r="B461" s="2">
        <f>IF(Source!$C461&gt;=COLUMNS($A461:B461), Source!$E461, "")</f>
        <v>3</v>
      </c>
      <c r="C461" s="2">
        <f>IF(Source!$C461&gt;=COLUMNS($A461:C461), Source!$E461, "")</f>
        <v>3</v>
      </c>
      <c r="D461" s="2" t="str">
        <f>IF(Source!$C461&gt;=COLUMNS($A461:D461), Source!$E461, "")</f>
        <v/>
      </c>
      <c r="E461" s="2" t="str">
        <f>IF(Source!$C461&gt;=COLUMNS($A461:E461), Source!$E461, "")</f>
        <v/>
      </c>
      <c r="F461" s="2" t="str">
        <f>IF(Source!$C461&gt;=COLUMNS($A461:F461), Source!$E461, "")</f>
        <v/>
      </c>
      <c r="G461" s="2" t="str">
        <f>IF(Source!$C461&gt;=COLUMNS($A461:G461), Source!$E461, "")</f>
        <v/>
      </c>
      <c r="H461" s="2" t="str">
        <f>IF(Source!$C461&gt;=COLUMNS($A461:H461), Source!$E461, "")</f>
        <v/>
      </c>
      <c r="I461" s="2" t="str">
        <f>IF(Source!$C461&gt;=COLUMNS($A461:I461), Source!$E461, "")</f>
        <v/>
      </c>
      <c r="J461" s="2" t="str">
        <f>IF(Source!$C461&gt;=COLUMNS($A461:J461), Source!$E461, "")</f>
        <v/>
      </c>
      <c r="K461" s="2" t="str">
        <f>IF(Source!$C461&gt;=COLUMNS($A461:K461), Source!$E461, "")</f>
        <v/>
      </c>
      <c r="L461" s="2" t="str">
        <f>IF(Source!$C461&gt;=COLUMNS($A461:L461), Source!$E461, "")</f>
        <v/>
      </c>
      <c r="M461" s="2" t="str">
        <f>IF(Source!$C461&gt;=COLUMNS($A461:M461), Source!$E461, "")</f>
        <v/>
      </c>
      <c r="N461" s="2" t="str">
        <f>IF(Source!$C461&gt;=COLUMNS($A461:N461), Source!$E461, "")</f>
        <v/>
      </c>
      <c r="O461" s="2" t="str">
        <f>IF(Source!$C461&gt;=COLUMNS($A461:O461), Source!$E461, "")</f>
        <v/>
      </c>
      <c r="P461" s="2" t="str">
        <f>IF(Source!$C461&gt;=COLUMNS($A461:P461), Source!$E461, "")</f>
        <v/>
      </c>
      <c r="Q461" s="2" t="str">
        <f>IF(Source!$C461&gt;=COLUMNS($A461:Q461), Source!$E461, "")</f>
        <v/>
      </c>
      <c r="R461" s="2" t="str">
        <f>IF(Source!$C461&gt;=COLUMNS($A461:R461), Source!$E461, "")</f>
        <v/>
      </c>
      <c r="S461" s="2" t="str">
        <f>IF(Source!$C461&gt;=COLUMNS($A461:S461), Source!$E461, "")</f>
        <v/>
      </c>
      <c r="T461" s="2" t="str">
        <f>IF(Source!$C461&gt;=COLUMNS($A461:T461), Source!$E461, "")</f>
        <v/>
      </c>
      <c r="U461" s="2" t="str">
        <f>IF(Source!$C461&gt;=COLUMNS($A461:U461), Source!$E461, "")</f>
        <v/>
      </c>
      <c r="V461" s="2" t="str">
        <f>IF(Source!$C461&gt;=COLUMNS($A461:V461), Source!$E461, "")</f>
        <v/>
      </c>
      <c r="W461" s="2" t="str">
        <f>IF(Source!$C461&gt;=COLUMNS($A461:W461), Source!$E461, "")</f>
        <v/>
      </c>
      <c r="X461" s="2" t="str">
        <f>IF(Source!$C461&gt;=COLUMNS($A461:X461), Source!$E461, "")</f>
        <v/>
      </c>
      <c r="Y461" s="2" t="str">
        <f>IF(Source!$C461&gt;=COLUMNS($A461:Y461), Source!$E461, "")</f>
        <v/>
      </c>
      <c r="Z461" s="2" t="str">
        <f>IF(Source!$C461&gt;=COLUMNS($A461:Z461), Source!$E461, "")</f>
        <v/>
      </c>
      <c r="AA461" s="2" t="str">
        <f>IF(Source!$C461&gt;=COLUMNS($A461:AA461), Source!$E461, "")</f>
        <v/>
      </c>
      <c r="AB461" s="2" t="str">
        <f>IF(Source!$C461&gt;=COLUMNS($A461:AB461), Source!$E461, "")</f>
        <v/>
      </c>
      <c r="AC461" s="2" t="str">
        <f>IF(Source!$C461&gt;=COLUMNS($A461:AC461), Source!$E461, "")</f>
        <v/>
      </c>
      <c r="AD461" s="2" t="str">
        <f>IF(Source!$C461&gt;=COLUMNS($A461:AD461), Source!$E461, "")</f>
        <v/>
      </c>
      <c r="AE461" s="2" t="str">
        <f>IF(Source!$C461&gt;=COLUMNS($A461:AE461), Source!$E461, "")</f>
        <v/>
      </c>
      <c r="AF461" s="2" t="str">
        <f>IF(Source!$C461&gt;=COLUMNS($A461:AF461), Source!$E461, "")</f>
        <v/>
      </c>
      <c r="AG461" s="2" t="str">
        <f>IF(Source!$C461&gt;=COLUMNS($A461:AG461), Source!$E461, "")</f>
        <v/>
      </c>
      <c r="AH461" s="2" t="str">
        <f>IF(Source!$C461&gt;=COLUMNS($A461:AH461), Source!$E461, "")</f>
        <v/>
      </c>
      <c r="AI461" s="2" t="str">
        <f>IF(Source!$C461&gt;=COLUMNS($A461:AI461), Source!$E461, "")</f>
        <v/>
      </c>
      <c r="AJ461" s="2" t="str">
        <f>IF(Source!$C461&gt;=COLUMNS($A461:AJ461), Source!$E461, "")</f>
        <v/>
      </c>
      <c r="AK461" s="2" t="str">
        <f>IF(Source!$C461&gt;=COLUMNS($A461:AK461), Source!$E461, "")</f>
        <v/>
      </c>
      <c r="AL461" s="2" t="str">
        <f>IF(Source!$C461&gt;=COLUMNS($A461:AL461), Source!$E461, "")</f>
        <v/>
      </c>
      <c r="AM461" s="2" t="str">
        <f>IF(Source!$C461&gt;=COLUMNS($A461:AM461), Source!$E461, "")</f>
        <v/>
      </c>
      <c r="AN461" s="2" t="str">
        <f>IF(Source!$C461&gt;=COLUMNS($A461:AN461), Source!$E461, "")</f>
        <v/>
      </c>
      <c r="AO461" s="2" t="str">
        <f>IF(Source!$C461&gt;=COLUMNS($A461:AO461), Source!$E461, "")</f>
        <v/>
      </c>
      <c r="AP461" s="2" t="str">
        <f>IF(Source!$C461&gt;=COLUMNS($A461:AP461), Source!$E461, "")</f>
        <v/>
      </c>
      <c r="AQ461" s="2" t="str">
        <f>IF(Source!$C461&gt;=COLUMNS($A461:AQ461), Source!$E461, "")</f>
        <v/>
      </c>
      <c r="AR461" s="2" t="str">
        <f>IF(Source!$C461&gt;=COLUMNS($A461:AR461), Source!$E461, "")</f>
        <v/>
      </c>
    </row>
    <row r="462">
      <c r="A462" s="2">
        <f>IF(Source!$C462&gt;=COLUMNS($A462:A462), Source!$E462, "")</f>
        <v>2</v>
      </c>
      <c r="B462" s="2">
        <f>IF(Source!$C462&gt;=COLUMNS($A462:B462), Source!$E462, "")</f>
        <v>2</v>
      </c>
      <c r="C462" s="2">
        <f>IF(Source!$C462&gt;=COLUMNS($A462:C462), Source!$E462, "")</f>
        <v>2</v>
      </c>
      <c r="D462" s="2">
        <f>IF(Source!$C462&gt;=COLUMNS($A462:D462), Source!$E462, "")</f>
        <v>2</v>
      </c>
      <c r="E462" s="2" t="str">
        <f>IF(Source!$C462&gt;=COLUMNS($A462:E462), Source!$E462, "")</f>
        <v/>
      </c>
      <c r="F462" s="2" t="str">
        <f>IF(Source!$C462&gt;=COLUMNS($A462:F462), Source!$E462, "")</f>
        <v/>
      </c>
      <c r="G462" s="2" t="str">
        <f>IF(Source!$C462&gt;=COLUMNS($A462:G462), Source!$E462, "")</f>
        <v/>
      </c>
      <c r="H462" s="2" t="str">
        <f>IF(Source!$C462&gt;=COLUMNS($A462:H462), Source!$E462, "")</f>
        <v/>
      </c>
      <c r="I462" s="2" t="str">
        <f>IF(Source!$C462&gt;=COLUMNS($A462:I462), Source!$E462, "")</f>
        <v/>
      </c>
      <c r="J462" s="2" t="str">
        <f>IF(Source!$C462&gt;=COLUMNS($A462:J462), Source!$E462, "")</f>
        <v/>
      </c>
      <c r="K462" s="2" t="str">
        <f>IF(Source!$C462&gt;=COLUMNS($A462:K462), Source!$E462, "")</f>
        <v/>
      </c>
      <c r="L462" s="2" t="str">
        <f>IF(Source!$C462&gt;=COLUMNS($A462:L462), Source!$E462, "")</f>
        <v/>
      </c>
      <c r="M462" s="2" t="str">
        <f>IF(Source!$C462&gt;=COLUMNS($A462:M462), Source!$E462, "")</f>
        <v/>
      </c>
      <c r="N462" s="2" t="str">
        <f>IF(Source!$C462&gt;=COLUMNS($A462:N462), Source!$E462, "")</f>
        <v/>
      </c>
      <c r="O462" s="2" t="str">
        <f>IF(Source!$C462&gt;=COLUMNS($A462:O462), Source!$E462, "")</f>
        <v/>
      </c>
      <c r="P462" s="2" t="str">
        <f>IF(Source!$C462&gt;=COLUMNS($A462:P462), Source!$E462, "")</f>
        <v/>
      </c>
      <c r="Q462" s="2" t="str">
        <f>IF(Source!$C462&gt;=COLUMNS($A462:Q462), Source!$E462, "")</f>
        <v/>
      </c>
      <c r="R462" s="2" t="str">
        <f>IF(Source!$C462&gt;=COLUMNS($A462:R462), Source!$E462, "")</f>
        <v/>
      </c>
      <c r="S462" s="2" t="str">
        <f>IF(Source!$C462&gt;=COLUMNS($A462:S462), Source!$E462, "")</f>
        <v/>
      </c>
      <c r="T462" s="2" t="str">
        <f>IF(Source!$C462&gt;=COLUMNS($A462:T462), Source!$E462, "")</f>
        <v/>
      </c>
      <c r="U462" s="2" t="str">
        <f>IF(Source!$C462&gt;=COLUMNS($A462:U462), Source!$E462, "")</f>
        <v/>
      </c>
      <c r="V462" s="2" t="str">
        <f>IF(Source!$C462&gt;=COLUMNS($A462:V462), Source!$E462, "")</f>
        <v/>
      </c>
      <c r="W462" s="2" t="str">
        <f>IF(Source!$C462&gt;=COLUMNS($A462:W462), Source!$E462, "")</f>
        <v/>
      </c>
      <c r="X462" s="2" t="str">
        <f>IF(Source!$C462&gt;=COLUMNS($A462:X462), Source!$E462, "")</f>
        <v/>
      </c>
      <c r="Y462" s="2" t="str">
        <f>IF(Source!$C462&gt;=COLUMNS($A462:Y462), Source!$E462, "")</f>
        <v/>
      </c>
      <c r="Z462" s="2" t="str">
        <f>IF(Source!$C462&gt;=COLUMNS($A462:Z462), Source!$E462, "")</f>
        <v/>
      </c>
      <c r="AA462" s="2" t="str">
        <f>IF(Source!$C462&gt;=COLUMNS($A462:AA462), Source!$E462, "")</f>
        <v/>
      </c>
      <c r="AB462" s="2" t="str">
        <f>IF(Source!$C462&gt;=COLUMNS($A462:AB462), Source!$E462, "")</f>
        <v/>
      </c>
      <c r="AC462" s="2" t="str">
        <f>IF(Source!$C462&gt;=COLUMNS($A462:AC462), Source!$E462, "")</f>
        <v/>
      </c>
      <c r="AD462" s="2" t="str">
        <f>IF(Source!$C462&gt;=COLUMNS($A462:AD462), Source!$E462, "")</f>
        <v/>
      </c>
      <c r="AE462" s="2" t="str">
        <f>IF(Source!$C462&gt;=COLUMNS($A462:AE462), Source!$E462, "")</f>
        <v/>
      </c>
      <c r="AF462" s="2" t="str">
        <f>IF(Source!$C462&gt;=COLUMNS($A462:AF462), Source!$E462, "")</f>
        <v/>
      </c>
      <c r="AG462" s="2" t="str">
        <f>IF(Source!$C462&gt;=COLUMNS($A462:AG462), Source!$E462, "")</f>
        <v/>
      </c>
      <c r="AH462" s="2" t="str">
        <f>IF(Source!$C462&gt;=COLUMNS($A462:AH462), Source!$E462, "")</f>
        <v/>
      </c>
      <c r="AI462" s="2" t="str">
        <f>IF(Source!$C462&gt;=COLUMNS($A462:AI462), Source!$E462, "")</f>
        <v/>
      </c>
      <c r="AJ462" s="2" t="str">
        <f>IF(Source!$C462&gt;=COLUMNS($A462:AJ462), Source!$E462, "")</f>
        <v/>
      </c>
      <c r="AK462" s="2" t="str">
        <f>IF(Source!$C462&gt;=COLUMNS($A462:AK462), Source!$E462, "")</f>
        <v/>
      </c>
      <c r="AL462" s="2" t="str">
        <f>IF(Source!$C462&gt;=COLUMNS($A462:AL462), Source!$E462, "")</f>
        <v/>
      </c>
      <c r="AM462" s="2" t="str">
        <f>IF(Source!$C462&gt;=COLUMNS($A462:AM462), Source!$E462, "")</f>
        <v/>
      </c>
      <c r="AN462" s="2" t="str">
        <f>IF(Source!$C462&gt;=COLUMNS($A462:AN462), Source!$E462, "")</f>
        <v/>
      </c>
      <c r="AO462" s="2" t="str">
        <f>IF(Source!$C462&gt;=COLUMNS($A462:AO462), Source!$E462, "")</f>
        <v/>
      </c>
      <c r="AP462" s="2" t="str">
        <f>IF(Source!$C462&gt;=COLUMNS($A462:AP462), Source!$E462, "")</f>
        <v/>
      </c>
      <c r="AQ462" s="2" t="str">
        <f>IF(Source!$C462&gt;=COLUMNS($A462:AQ462), Source!$E462, "")</f>
        <v/>
      </c>
      <c r="AR462" s="2" t="str">
        <f>IF(Source!$C462&gt;=COLUMNS($A462:AR462), Source!$E462, "")</f>
        <v/>
      </c>
    </row>
    <row r="463">
      <c r="A463" s="2">
        <f>IF(Source!$C463&gt;=COLUMNS($A463:A463), Source!$E463, "")</f>
        <v>1</v>
      </c>
      <c r="B463" s="2" t="str">
        <f>IF(Source!$C463&gt;=COLUMNS($A463:B463), Source!$E463, "")</f>
        <v/>
      </c>
      <c r="C463" s="2" t="str">
        <f>IF(Source!$C463&gt;=COLUMNS($A463:C463), Source!$E463, "")</f>
        <v/>
      </c>
      <c r="D463" s="2" t="str">
        <f>IF(Source!$C463&gt;=COLUMNS($A463:D463), Source!$E463, "")</f>
        <v/>
      </c>
      <c r="E463" s="2" t="str">
        <f>IF(Source!$C463&gt;=COLUMNS($A463:E463), Source!$E463, "")</f>
        <v/>
      </c>
      <c r="F463" s="2" t="str">
        <f>IF(Source!$C463&gt;=COLUMNS($A463:F463), Source!$E463, "")</f>
        <v/>
      </c>
      <c r="G463" s="2" t="str">
        <f>IF(Source!$C463&gt;=COLUMNS($A463:G463), Source!$E463, "")</f>
        <v/>
      </c>
      <c r="H463" s="2" t="str">
        <f>IF(Source!$C463&gt;=COLUMNS($A463:H463), Source!$E463, "")</f>
        <v/>
      </c>
      <c r="I463" s="2" t="str">
        <f>IF(Source!$C463&gt;=COLUMNS($A463:I463), Source!$E463, "")</f>
        <v/>
      </c>
      <c r="J463" s="2" t="str">
        <f>IF(Source!$C463&gt;=COLUMNS($A463:J463), Source!$E463, "")</f>
        <v/>
      </c>
      <c r="K463" s="2" t="str">
        <f>IF(Source!$C463&gt;=COLUMNS($A463:K463), Source!$E463, "")</f>
        <v/>
      </c>
      <c r="L463" s="2" t="str">
        <f>IF(Source!$C463&gt;=COLUMNS($A463:L463), Source!$E463, "")</f>
        <v/>
      </c>
      <c r="M463" s="2" t="str">
        <f>IF(Source!$C463&gt;=COLUMNS($A463:M463), Source!$E463, "")</f>
        <v/>
      </c>
      <c r="N463" s="2" t="str">
        <f>IF(Source!$C463&gt;=COLUMNS($A463:N463), Source!$E463, "")</f>
        <v/>
      </c>
      <c r="O463" s="2" t="str">
        <f>IF(Source!$C463&gt;=COLUMNS($A463:O463), Source!$E463, "")</f>
        <v/>
      </c>
      <c r="P463" s="2" t="str">
        <f>IF(Source!$C463&gt;=COLUMNS($A463:P463), Source!$E463, "")</f>
        <v/>
      </c>
      <c r="Q463" s="2" t="str">
        <f>IF(Source!$C463&gt;=COLUMNS($A463:Q463), Source!$E463, "")</f>
        <v/>
      </c>
      <c r="R463" s="2" t="str">
        <f>IF(Source!$C463&gt;=COLUMNS($A463:R463), Source!$E463, "")</f>
        <v/>
      </c>
      <c r="S463" s="2" t="str">
        <f>IF(Source!$C463&gt;=COLUMNS($A463:S463), Source!$E463, "")</f>
        <v/>
      </c>
      <c r="T463" s="2" t="str">
        <f>IF(Source!$C463&gt;=COLUMNS($A463:T463), Source!$E463, "")</f>
        <v/>
      </c>
      <c r="U463" s="2" t="str">
        <f>IF(Source!$C463&gt;=COLUMNS($A463:U463), Source!$E463, "")</f>
        <v/>
      </c>
      <c r="V463" s="2" t="str">
        <f>IF(Source!$C463&gt;=COLUMNS($A463:V463), Source!$E463, "")</f>
        <v/>
      </c>
      <c r="W463" s="2" t="str">
        <f>IF(Source!$C463&gt;=COLUMNS($A463:W463), Source!$E463, "")</f>
        <v/>
      </c>
      <c r="X463" s="2" t="str">
        <f>IF(Source!$C463&gt;=COLUMNS($A463:X463), Source!$E463, "")</f>
        <v/>
      </c>
      <c r="Y463" s="2" t="str">
        <f>IF(Source!$C463&gt;=COLUMNS($A463:Y463), Source!$E463, "")</f>
        <v/>
      </c>
      <c r="Z463" s="2" t="str">
        <f>IF(Source!$C463&gt;=COLUMNS($A463:Z463), Source!$E463, "")</f>
        <v/>
      </c>
      <c r="AA463" s="2" t="str">
        <f>IF(Source!$C463&gt;=COLUMNS($A463:AA463), Source!$E463, "")</f>
        <v/>
      </c>
      <c r="AB463" s="2" t="str">
        <f>IF(Source!$C463&gt;=COLUMNS($A463:AB463), Source!$E463, "")</f>
        <v/>
      </c>
      <c r="AC463" s="2" t="str">
        <f>IF(Source!$C463&gt;=COLUMNS($A463:AC463), Source!$E463, "")</f>
        <v/>
      </c>
      <c r="AD463" s="2" t="str">
        <f>IF(Source!$C463&gt;=COLUMNS($A463:AD463), Source!$E463, "")</f>
        <v/>
      </c>
      <c r="AE463" s="2" t="str">
        <f>IF(Source!$C463&gt;=COLUMNS($A463:AE463), Source!$E463, "")</f>
        <v/>
      </c>
      <c r="AF463" s="2" t="str">
        <f>IF(Source!$C463&gt;=COLUMNS($A463:AF463), Source!$E463, "")</f>
        <v/>
      </c>
      <c r="AG463" s="2" t="str">
        <f>IF(Source!$C463&gt;=COLUMNS($A463:AG463), Source!$E463, "")</f>
        <v/>
      </c>
      <c r="AH463" s="2" t="str">
        <f>IF(Source!$C463&gt;=COLUMNS($A463:AH463), Source!$E463, "")</f>
        <v/>
      </c>
      <c r="AI463" s="2" t="str">
        <f>IF(Source!$C463&gt;=COLUMNS($A463:AI463), Source!$E463, "")</f>
        <v/>
      </c>
      <c r="AJ463" s="2" t="str">
        <f>IF(Source!$C463&gt;=COLUMNS($A463:AJ463), Source!$E463, "")</f>
        <v/>
      </c>
      <c r="AK463" s="2" t="str">
        <f>IF(Source!$C463&gt;=COLUMNS($A463:AK463), Source!$E463, "")</f>
        <v/>
      </c>
      <c r="AL463" s="2" t="str">
        <f>IF(Source!$C463&gt;=COLUMNS($A463:AL463), Source!$E463, "")</f>
        <v/>
      </c>
      <c r="AM463" s="2" t="str">
        <f>IF(Source!$C463&gt;=COLUMNS($A463:AM463), Source!$E463, "")</f>
        <v/>
      </c>
      <c r="AN463" s="2" t="str">
        <f>IF(Source!$C463&gt;=COLUMNS($A463:AN463), Source!$E463, "")</f>
        <v/>
      </c>
      <c r="AO463" s="2" t="str">
        <f>IF(Source!$C463&gt;=COLUMNS($A463:AO463), Source!$E463, "")</f>
        <v/>
      </c>
      <c r="AP463" s="2" t="str">
        <f>IF(Source!$C463&gt;=COLUMNS($A463:AP463), Source!$E463, "")</f>
        <v/>
      </c>
      <c r="AQ463" s="2" t="str">
        <f>IF(Source!$C463&gt;=COLUMNS($A463:AQ463), Source!$E463, "")</f>
        <v/>
      </c>
      <c r="AR463" s="2" t="str">
        <f>IF(Source!$C463&gt;=COLUMNS($A463:AR463), Source!$E463, "")</f>
        <v/>
      </c>
    </row>
    <row r="464">
      <c r="A464" s="2">
        <f>IF(Source!$C464&gt;=COLUMNS($A464:A464), Source!$E464, "")</f>
        <v>8</v>
      </c>
      <c r="B464" s="2">
        <f>IF(Source!$C464&gt;=COLUMNS($A464:B464), Source!$E464, "")</f>
        <v>8</v>
      </c>
      <c r="C464" s="2">
        <f>IF(Source!$C464&gt;=COLUMNS($A464:C464), Source!$E464, "")</f>
        <v>8</v>
      </c>
      <c r="D464" s="2">
        <f>IF(Source!$C464&gt;=COLUMNS($A464:D464), Source!$E464, "")</f>
        <v>8</v>
      </c>
      <c r="E464" s="2" t="str">
        <f>IF(Source!$C464&gt;=COLUMNS($A464:E464), Source!$E464, "")</f>
        <v/>
      </c>
      <c r="F464" s="2" t="str">
        <f>IF(Source!$C464&gt;=COLUMNS($A464:F464), Source!$E464, "")</f>
        <v/>
      </c>
      <c r="G464" s="2" t="str">
        <f>IF(Source!$C464&gt;=COLUMNS($A464:G464), Source!$E464, "")</f>
        <v/>
      </c>
      <c r="H464" s="2" t="str">
        <f>IF(Source!$C464&gt;=COLUMNS($A464:H464), Source!$E464, "")</f>
        <v/>
      </c>
      <c r="I464" s="2" t="str">
        <f>IF(Source!$C464&gt;=COLUMNS($A464:I464), Source!$E464, "")</f>
        <v/>
      </c>
      <c r="J464" s="2" t="str">
        <f>IF(Source!$C464&gt;=COLUMNS($A464:J464), Source!$E464, "")</f>
        <v/>
      </c>
      <c r="K464" s="2" t="str">
        <f>IF(Source!$C464&gt;=COLUMNS($A464:K464), Source!$E464, "")</f>
        <v/>
      </c>
      <c r="L464" s="2" t="str">
        <f>IF(Source!$C464&gt;=COLUMNS($A464:L464), Source!$E464, "")</f>
        <v/>
      </c>
      <c r="M464" s="2" t="str">
        <f>IF(Source!$C464&gt;=COLUMNS($A464:M464), Source!$E464, "")</f>
        <v/>
      </c>
      <c r="N464" s="2" t="str">
        <f>IF(Source!$C464&gt;=COLUMNS($A464:N464), Source!$E464, "")</f>
        <v/>
      </c>
      <c r="O464" s="2" t="str">
        <f>IF(Source!$C464&gt;=COLUMNS($A464:O464), Source!$E464, "")</f>
        <v/>
      </c>
      <c r="P464" s="2" t="str">
        <f>IF(Source!$C464&gt;=COLUMNS($A464:P464), Source!$E464, "")</f>
        <v/>
      </c>
      <c r="Q464" s="2" t="str">
        <f>IF(Source!$C464&gt;=COLUMNS($A464:Q464), Source!$E464, "")</f>
        <v/>
      </c>
      <c r="R464" s="2" t="str">
        <f>IF(Source!$C464&gt;=COLUMNS($A464:R464), Source!$E464, "")</f>
        <v/>
      </c>
      <c r="S464" s="2" t="str">
        <f>IF(Source!$C464&gt;=COLUMNS($A464:S464), Source!$E464, "")</f>
        <v/>
      </c>
      <c r="T464" s="2" t="str">
        <f>IF(Source!$C464&gt;=COLUMNS($A464:T464), Source!$E464, "")</f>
        <v/>
      </c>
      <c r="U464" s="2" t="str">
        <f>IF(Source!$C464&gt;=COLUMNS($A464:U464), Source!$E464, "")</f>
        <v/>
      </c>
      <c r="V464" s="2" t="str">
        <f>IF(Source!$C464&gt;=COLUMNS($A464:V464), Source!$E464, "")</f>
        <v/>
      </c>
      <c r="W464" s="2" t="str">
        <f>IF(Source!$C464&gt;=COLUMNS($A464:W464), Source!$E464, "")</f>
        <v/>
      </c>
      <c r="X464" s="2" t="str">
        <f>IF(Source!$C464&gt;=COLUMNS($A464:X464), Source!$E464, "")</f>
        <v/>
      </c>
      <c r="Y464" s="2" t="str">
        <f>IF(Source!$C464&gt;=COLUMNS($A464:Y464), Source!$E464, "")</f>
        <v/>
      </c>
      <c r="Z464" s="2" t="str">
        <f>IF(Source!$C464&gt;=COLUMNS($A464:Z464), Source!$E464, "")</f>
        <v/>
      </c>
      <c r="AA464" s="2" t="str">
        <f>IF(Source!$C464&gt;=COLUMNS($A464:AA464), Source!$E464, "")</f>
        <v/>
      </c>
      <c r="AB464" s="2" t="str">
        <f>IF(Source!$C464&gt;=COLUMNS($A464:AB464), Source!$E464, "")</f>
        <v/>
      </c>
      <c r="AC464" s="2" t="str">
        <f>IF(Source!$C464&gt;=COLUMNS($A464:AC464), Source!$E464, "")</f>
        <v/>
      </c>
      <c r="AD464" s="2" t="str">
        <f>IF(Source!$C464&gt;=COLUMNS($A464:AD464), Source!$E464, "")</f>
        <v/>
      </c>
      <c r="AE464" s="2" t="str">
        <f>IF(Source!$C464&gt;=COLUMNS($A464:AE464), Source!$E464, "")</f>
        <v/>
      </c>
      <c r="AF464" s="2" t="str">
        <f>IF(Source!$C464&gt;=COLUMNS($A464:AF464), Source!$E464, "")</f>
        <v/>
      </c>
      <c r="AG464" s="2" t="str">
        <f>IF(Source!$C464&gt;=COLUMNS($A464:AG464), Source!$E464, "")</f>
        <v/>
      </c>
      <c r="AH464" s="2" t="str">
        <f>IF(Source!$C464&gt;=COLUMNS($A464:AH464), Source!$E464, "")</f>
        <v/>
      </c>
      <c r="AI464" s="2" t="str">
        <f>IF(Source!$C464&gt;=COLUMNS($A464:AI464), Source!$E464, "")</f>
        <v/>
      </c>
      <c r="AJ464" s="2" t="str">
        <f>IF(Source!$C464&gt;=COLUMNS($A464:AJ464), Source!$E464, "")</f>
        <v/>
      </c>
      <c r="AK464" s="2" t="str">
        <f>IF(Source!$C464&gt;=COLUMNS($A464:AK464), Source!$E464, "")</f>
        <v/>
      </c>
      <c r="AL464" s="2" t="str">
        <f>IF(Source!$C464&gt;=COLUMNS($A464:AL464), Source!$E464, "")</f>
        <v/>
      </c>
      <c r="AM464" s="2" t="str">
        <f>IF(Source!$C464&gt;=COLUMNS($A464:AM464), Source!$E464, "")</f>
        <v/>
      </c>
      <c r="AN464" s="2" t="str">
        <f>IF(Source!$C464&gt;=COLUMNS($A464:AN464), Source!$E464, "")</f>
        <v/>
      </c>
      <c r="AO464" s="2" t="str">
        <f>IF(Source!$C464&gt;=COLUMNS($A464:AO464), Source!$E464, "")</f>
        <v/>
      </c>
      <c r="AP464" s="2" t="str">
        <f>IF(Source!$C464&gt;=COLUMNS($A464:AP464), Source!$E464, "")</f>
        <v/>
      </c>
      <c r="AQ464" s="2" t="str">
        <f>IF(Source!$C464&gt;=COLUMNS($A464:AQ464), Source!$E464, "")</f>
        <v/>
      </c>
      <c r="AR464" s="2" t="str">
        <f>IF(Source!$C464&gt;=COLUMNS($A464:AR464), Source!$E464, "")</f>
        <v/>
      </c>
    </row>
    <row r="465">
      <c r="A465" s="2">
        <f>IF(Source!$C465&gt;=COLUMNS($A465:A465), Source!$E465, "")</f>
        <v>8</v>
      </c>
      <c r="B465" s="2">
        <f>IF(Source!$C465&gt;=COLUMNS($A465:B465), Source!$E465, "")</f>
        <v>8</v>
      </c>
      <c r="C465" s="2" t="str">
        <f>IF(Source!$C465&gt;=COLUMNS($A465:C465), Source!$E465, "")</f>
        <v/>
      </c>
      <c r="D465" s="2" t="str">
        <f>IF(Source!$C465&gt;=COLUMNS($A465:D465), Source!$E465, "")</f>
        <v/>
      </c>
      <c r="E465" s="2" t="str">
        <f>IF(Source!$C465&gt;=COLUMNS($A465:E465), Source!$E465, "")</f>
        <v/>
      </c>
      <c r="F465" s="2" t="str">
        <f>IF(Source!$C465&gt;=COLUMNS($A465:F465), Source!$E465, "")</f>
        <v/>
      </c>
      <c r="G465" s="2" t="str">
        <f>IF(Source!$C465&gt;=COLUMNS($A465:G465), Source!$E465, "")</f>
        <v/>
      </c>
      <c r="H465" s="2" t="str">
        <f>IF(Source!$C465&gt;=COLUMNS($A465:H465), Source!$E465, "")</f>
        <v/>
      </c>
      <c r="I465" s="2" t="str">
        <f>IF(Source!$C465&gt;=COLUMNS($A465:I465), Source!$E465, "")</f>
        <v/>
      </c>
      <c r="J465" s="2" t="str">
        <f>IF(Source!$C465&gt;=COLUMNS($A465:J465), Source!$E465, "")</f>
        <v/>
      </c>
      <c r="K465" s="2" t="str">
        <f>IF(Source!$C465&gt;=COLUMNS($A465:K465), Source!$E465, "")</f>
        <v/>
      </c>
      <c r="L465" s="2" t="str">
        <f>IF(Source!$C465&gt;=COLUMNS($A465:L465), Source!$E465, "")</f>
        <v/>
      </c>
      <c r="M465" s="2" t="str">
        <f>IF(Source!$C465&gt;=COLUMNS($A465:M465), Source!$E465, "")</f>
        <v/>
      </c>
      <c r="N465" s="2" t="str">
        <f>IF(Source!$C465&gt;=COLUMNS($A465:N465), Source!$E465, "")</f>
        <v/>
      </c>
      <c r="O465" s="2" t="str">
        <f>IF(Source!$C465&gt;=COLUMNS($A465:O465), Source!$E465, "")</f>
        <v/>
      </c>
      <c r="P465" s="2" t="str">
        <f>IF(Source!$C465&gt;=COLUMNS($A465:P465), Source!$E465, "")</f>
        <v/>
      </c>
      <c r="Q465" s="2" t="str">
        <f>IF(Source!$C465&gt;=COLUMNS($A465:Q465), Source!$E465, "")</f>
        <v/>
      </c>
      <c r="R465" s="2" t="str">
        <f>IF(Source!$C465&gt;=COLUMNS($A465:R465), Source!$E465, "")</f>
        <v/>
      </c>
      <c r="S465" s="2" t="str">
        <f>IF(Source!$C465&gt;=COLUMNS($A465:S465), Source!$E465, "")</f>
        <v/>
      </c>
      <c r="T465" s="2" t="str">
        <f>IF(Source!$C465&gt;=COLUMNS($A465:T465), Source!$E465, "")</f>
        <v/>
      </c>
      <c r="U465" s="2" t="str">
        <f>IF(Source!$C465&gt;=COLUMNS($A465:U465), Source!$E465, "")</f>
        <v/>
      </c>
      <c r="V465" s="2" t="str">
        <f>IF(Source!$C465&gt;=COLUMNS($A465:V465), Source!$E465, "")</f>
        <v/>
      </c>
      <c r="W465" s="2" t="str">
        <f>IF(Source!$C465&gt;=COLUMNS($A465:W465), Source!$E465, "")</f>
        <v/>
      </c>
      <c r="X465" s="2" t="str">
        <f>IF(Source!$C465&gt;=COLUMNS($A465:X465), Source!$E465, "")</f>
        <v/>
      </c>
      <c r="Y465" s="2" t="str">
        <f>IF(Source!$C465&gt;=COLUMNS($A465:Y465), Source!$E465, "")</f>
        <v/>
      </c>
      <c r="Z465" s="2" t="str">
        <f>IF(Source!$C465&gt;=COLUMNS($A465:Z465), Source!$E465, "")</f>
        <v/>
      </c>
      <c r="AA465" s="2" t="str">
        <f>IF(Source!$C465&gt;=COLUMNS($A465:AA465), Source!$E465, "")</f>
        <v/>
      </c>
      <c r="AB465" s="2" t="str">
        <f>IF(Source!$C465&gt;=COLUMNS($A465:AB465), Source!$E465, "")</f>
        <v/>
      </c>
      <c r="AC465" s="2" t="str">
        <f>IF(Source!$C465&gt;=COLUMNS($A465:AC465), Source!$E465, "")</f>
        <v/>
      </c>
      <c r="AD465" s="2" t="str">
        <f>IF(Source!$C465&gt;=COLUMNS($A465:AD465), Source!$E465, "")</f>
        <v/>
      </c>
      <c r="AE465" s="2" t="str">
        <f>IF(Source!$C465&gt;=COLUMNS($A465:AE465), Source!$E465, "")</f>
        <v/>
      </c>
      <c r="AF465" s="2" t="str">
        <f>IF(Source!$C465&gt;=COLUMNS($A465:AF465), Source!$E465, "")</f>
        <v/>
      </c>
      <c r="AG465" s="2" t="str">
        <f>IF(Source!$C465&gt;=COLUMNS($A465:AG465), Source!$E465, "")</f>
        <v/>
      </c>
      <c r="AH465" s="2" t="str">
        <f>IF(Source!$C465&gt;=COLUMNS($A465:AH465), Source!$E465, "")</f>
        <v/>
      </c>
      <c r="AI465" s="2" t="str">
        <f>IF(Source!$C465&gt;=COLUMNS($A465:AI465), Source!$E465, "")</f>
        <v/>
      </c>
      <c r="AJ465" s="2" t="str">
        <f>IF(Source!$C465&gt;=COLUMNS($A465:AJ465), Source!$E465, "")</f>
        <v/>
      </c>
      <c r="AK465" s="2" t="str">
        <f>IF(Source!$C465&gt;=COLUMNS($A465:AK465), Source!$E465, "")</f>
        <v/>
      </c>
      <c r="AL465" s="2" t="str">
        <f>IF(Source!$C465&gt;=COLUMNS($A465:AL465), Source!$E465, "")</f>
        <v/>
      </c>
      <c r="AM465" s="2" t="str">
        <f>IF(Source!$C465&gt;=COLUMNS($A465:AM465), Source!$E465, "")</f>
        <v/>
      </c>
      <c r="AN465" s="2" t="str">
        <f>IF(Source!$C465&gt;=COLUMNS($A465:AN465), Source!$E465, "")</f>
        <v/>
      </c>
      <c r="AO465" s="2" t="str">
        <f>IF(Source!$C465&gt;=COLUMNS($A465:AO465), Source!$E465, "")</f>
        <v/>
      </c>
      <c r="AP465" s="2" t="str">
        <f>IF(Source!$C465&gt;=COLUMNS($A465:AP465), Source!$E465, "")</f>
        <v/>
      </c>
      <c r="AQ465" s="2" t="str">
        <f>IF(Source!$C465&gt;=COLUMNS($A465:AQ465), Source!$E465, "")</f>
        <v/>
      </c>
      <c r="AR465" s="2" t="str">
        <f>IF(Source!$C465&gt;=COLUMNS($A465:AR465), Source!$E465, "")</f>
        <v/>
      </c>
    </row>
    <row r="466">
      <c r="A466" s="2">
        <f>IF(Source!$C466&gt;=COLUMNS($A466:A466), Source!$E466, "")</f>
        <v>3</v>
      </c>
      <c r="B466" s="2">
        <f>IF(Source!$C466&gt;=COLUMNS($A466:B466), Source!$E466, "")</f>
        <v>3</v>
      </c>
      <c r="C466" s="2">
        <f>IF(Source!$C466&gt;=COLUMNS($A466:C466), Source!$E466, "")</f>
        <v>3</v>
      </c>
      <c r="D466" s="2">
        <f>IF(Source!$C466&gt;=COLUMNS($A466:D466), Source!$E466, "")</f>
        <v>3</v>
      </c>
      <c r="E466" s="2">
        <f>IF(Source!$C466&gt;=COLUMNS($A466:E466), Source!$E466, "")</f>
        <v>3</v>
      </c>
      <c r="F466" s="2" t="str">
        <f>IF(Source!$C466&gt;=COLUMNS($A466:F466), Source!$E466, "")</f>
        <v/>
      </c>
      <c r="G466" s="2" t="str">
        <f>IF(Source!$C466&gt;=COLUMNS($A466:G466), Source!$E466, "")</f>
        <v/>
      </c>
      <c r="H466" s="2" t="str">
        <f>IF(Source!$C466&gt;=COLUMNS($A466:H466), Source!$E466, "")</f>
        <v/>
      </c>
      <c r="I466" s="2" t="str">
        <f>IF(Source!$C466&gt;=COLUMNS($A466:I466), Source!$E466, "")</f>
        <v/>
      </c>
      <c r="J466" s="2" t="str">
        <f>IF(Source!$C466&gt;=COLUMNS($A466:J466), Source!$E466, "")</f>
        <v/>
      </c>
      <c r="K466" s="2" t="str">
        <f>IF(Source!$C466&gt;=COLUMNS($A466:K466), Source!$E466, "")</f>
        <v/>
      </c>
      <c r="L466" s="2" t="str">
        <f>IF(Source!$C466&gt;=COLUMNS($A466:L466), Source!$E466, "")</f>
        <v/>
      </c>
      <c r="M466" s="2" t="str">
        <f>IF(Source!$C466&gt;=COLUMNS($A466:M466), Source!$E466, "")</f>
        <v/>
      </c>
      <c r="N466" s="2" t="str">
        <f>IF(Source!$C466&gt;=COLUMNS($A466:N466), Source!$E466, "")</f>
        <v/>
      </c>
      <c r="O466" s="2" t="str">
        <f>IF(Source!$C466&gt;=COLUMNS($A466:O466), Source!$E466, "")</f>
        <v/>
      </c>
      <c r="P466" s="2" t="str">
        <f>IF(Source!$C466&gt;=COLUMNS($A466:P466), Source!$E466, "")</f>
        <v/>
      </c>
      <c r="Q466" s="2" t="str">
        <f>IF(Source!$C466&gt;=COLUMNS($A466:Q466), Source!$E466, "")</f>
        <v/>
      </c>
      <c r="R466" s="2" t="str">
        <f>IF(Source!$C466&gt;=COLUMNS($A466:R466), Source!$E466, "")</f>
        <v/>
      </c>
      <c r="S466" s="2" t="str">
        <f>IF(Source!$C466&gt;=COLUMNS($A466:S466), Source!$E466, "")</f>
        <v/>
      </c>
      <c r="T466" s="2" t="str">
        <f>IF(Source!$C466&gt;=COLUMNS($A466:T466), Source!$E466, "")</f>
        <v/>
      </c>
      <c r="U466" s="2" t="str">
        <f>IF(Source!$C466&gt;=COLUMNS($A466:U466), Source!$E466, "")</f>
        <v/>
      </c>
      <c r="V466" s="2" t="str">
        <f>IF(Source!$C466&gt;=COLUMNS($A466:V466), Source!$E466, "")</f>
        <v/>
      </c>
      <c r="W466" s="2" t="str">
        <f>IF(Source!$C466&gt;=COLUMNS($A466:W466), Source!$E466, "")</f>
        <v/>
      </c>
      <c r="X466" s="2" t="str">
        <f>IF(Source!$C466&gt;=COLUMNS($A466:X466), Source!$E466, "")</f>
        <v/>
      </c>
      <c r="Y466" s="2" t="str">
        <f>IF(Source!$C466&gt;=COLUMNS($A466:Y466), Source!$E466, "")</f>
        <v/>
      </c>
      <c r="Z466" s="2" t="str">
        <f>IF(Source!$C466&gt;=COLUMNS($A466:Z466), Source!$E466, "")</f>
        <v/>
      </c>
      <c r="AA466" s="2" t="str">
        <f>IF(Source!$C466&gt;=COLUMNS($A466:AA466), Source!$E466, "")</f>
        <v/>
      </c>
      <c r="AB466" s="2" t="str">
        <f>IF(Source!$C466&gt;=COLUMNS($A466:AB466), Source!$E466, "")</f>
        <v/>
      </c>
      <c r="AC466" s="2" t="str">
        <f>IF(Source!$C466&gt;=COLUMNS($A466:AC466), Source!$E466, "")</f>
        <v/>
      </c>
      <c r="AD466" s="2" t="str">
        <f>IF(Source!$C466&gt;=COLUMNS($A466:AD466), Source!$E466, "")</f>
        <v/>
      </c>
      <c r="AE466" s="2" t="str">
        <f>IF(Source!$C466&gt;=COLUMNS($A466:AE466), Source!$E466, "")</f>
        <v/>
      </c>
      <c r="AF466" s="2" t="str">
        <f>IF(Source!$C466&gt;=COLUMNS($A466:AF466), Source!$E466, "")</f>
        <v/>
      </c>
      <c r="AG466" s="2" t="str">
        <f>IF(Source!$C466&gt;=COLUMNS($A466:AG466), Source!$E466, "")</f>
        <v/>
      </c>
      <c r="AH466" s="2" t="str">
        <f>IF(Source!$C466&gt;=COLUMNS($A466:AH466), Source!$E466, "")</f>
        <v/>
      </c>
      <c r="AI466" s="2" t="str">
        <f>IF(Source!$C466&gt;=COLUMNS($A466:AI466), Source!$E466, "")</f>
        <v/>
      </c>
      <c r="AJ466" s="2" t="str">
        <f>IF(Source!$C466&gt;=COLUMNS($A466:AJ466), Source!$E466, "")</f>
        <v/>
      </c>
      <c r="AK466" s="2" t="str">
        <f>IF(Source!$C466&gt;=COLUMNS($A466:AK466), Source!$E466, "")</f>
        <v/>
      </c>
      <c r="AL466" s="2" t="str">
        <f>IF(Source!$C466&gt;=COLUMNS($A466:AL466), Source!$E466, "")</f>
        <v/>
      </c>
      <c r="AM466" s="2" t="str">
        <f>IF(Source!$C466&gt;=COLUMNS($A466:AM466), Source!$E466, "")</f>
        <v/>
      </c>
      <c r="AN466" s="2" t="str">
        <f>IF(Source!$C466&gt;=COLUMNS($A466:AN466), Source!$E466, "")</f>
        <v/>
      </c>
      <c r="AO466" s="2" t="str">
        <f>IF(Source!$C466&gt;=COLUMNS($A466:AO466), Source!$E466, "")</f>
        <v/>
      </c>
      <c r="AP466" s="2" t="str">
        <f>IF(Source!$C466&gt;=COLUMNS($A466:AP466), Source!$E466, "")</f>
        <v/>
      </c>
      <c r="AQ466" s="2" t="str">
        <f>IF(Source!$C466&gt;=COLUMNS($A466:AQ466), Source!$E466, "")</f>
        <v/>
      </c>
      <c r="AR466" s="2" t="str">
        <f>IF(Source!$C466&gt;=COLUMNS($A466:AR466), Source!$E466, "")</f>
        <v/>
      </c>
    </row>
    <row r="467">
      <c r="A467" s="2">
        <f>IF(Source!$C467&gt;=COLUMNS($A467:A467), Source!$E467, "")</f>
        <v>5</v>
      </c>
      <c r="B467" s="2">
        <f>IF(Source!$C467&gt;=COLUMNS($A467:B467), Source!$E467, "")</f>
        <v>5</v>
      </c>
      <c r="C467" s="2">
        <f>IF(Source!$C467&gt;=COLUMNS($A467:C467), Source!$E467, "")</f>
        <v>5</v>
      </c>
      <c r="D467" s="2">
        <f>IF(Source!$C467&gt;=COLUMNS($A467:D467), Source!$E467, "")</f>
        <v>5</v>
      </c>
      <c r="E467" s="2">
        <f>IF(Source!$C467&gt;=COLUMNS($A467:E467), Source!$E467, "")</f>
        <v>5</v>
      </c>
      <c r="F467" s="2">
        <f>IF(Source!$C467&gt;=COLUMNS($A467:F467), Source!$E467, "")</f>
        <v>5</v>
      </c>
      <c r="G467" s="2" t="str">
        <f>IF(Source!$C467&gt;=COLUMNS($A467:G467), Source!$E467, "")</f>
        <v/>
      </c>
      <c r="H467" s="2" t="str">
        <f>IF(Source!$C467&gt;=COLUMNS($A467:H467), Source!$E467, "")</f>
        <v/>
      </c>
      <c r="I467" s="2" t="str">
        <f>IF(Source!$C467&gt;=COLUMNS($A467:I467), Source!$E467, "")</f>
        <v/>
      </c>
      <c r="J467" s="2" t="str">
        <f>IF(Source!$C467&gt;=COLUMNS($A467:J467), Source!$E467, "")</f>
        <v/>
      </c>
      <c r="K467" s="2" t="str">
        <f>IF(Source!$C467&gt;=COLUMNS($A467:K467), Source!$E467, "")</f>
        <v/>
      </c>
      <c r="L467" s="2" t="str">
        <f>IF(Source!$C467&gt;=COLUMNS($A467:L467), Source!$E467, "")</f>
        <v/>
      </c>
      <c r="M467" s="2" t="str">
        <f>IF(Source!$C467&gt;=COLUMNS($A467:M467), Source!$E467, "")</f>
        <v/>
      </c>
      <c r="N467" s="2" t="str">
        <f>IF(Source!$C467&gt;=COLUMNS($A467:N467), Source!$E467, "")</f>
        <v/>
      </c>
      <c r="O467" s="2" t="str">
        <f>IF(Source!$C467&gt;=COLUMNS($A467:O467), Source!$E467, "")</f>
        <v/>
      </c>
      <c r="P467" s="2" t="str">
        <f>IF(Source!$C467&gt;=COLUMNS($A467:P467), Source!$E467, "")</f>
        <v/>
      </c>
      <c r="Q467" s="2" t="str">
        <f>IF(Source!$C467&gt;=COLUMNS($A467:Q467), Source!$E467, "")</f>
        <v/>
      </c>
      <c r="R467" s="2" t="str">
        <f>IF(Source!$C467&gt;=COLUMNS($A467:R467), Source!$E467, "")</f>
        <v/>
      </c>
      <c r="S467" s="2" t="str">
        <f>IF(Source!$C467&gt;=COLUMNS($A467:S467), Source!$E467, "")</f>
        <v/>
      </c>
      <c r="T467" s="2" t="str">
        <f>IF(Source!$C467&gt;=COLUMNS($A467:T467), Source!$E467, "")</f>
        <v/>
      </c>
      <c r="U467" s="2" t="str">
        <f>IF(Source!$C467&gt;=COLUMNS($A467:U467), Source!$E467, "")</f>
        <v/>
      </c>
      <c r="V467" s="2" t="str">
        <f>IF(Source!$C467&gt;=COLUMNS($A467:V467), Source!$E467, "")</f>
        <v/>
      </c>
      <c r="W467" s="2" t="str">
        <f>IF(Source!$C467&gt;=COLUMNS($A467:W467), Source!$E467, "")</f>
        <v/>
      </c>
      <c r="X467" s="2" t="str">
        <f>IF(Source!$C467&gt;=COLUMNS($A467:X467), Source!$E467, "")</f>
        <v/>
      </c>
      <c r="Y467" s="2" t="str">
        <f>IF(Source!$C467&gt;=COLUMNS($A467:Y467), Source!$E467, "")</f>
        <v/>
      </c>
      <c r="Z467" s="2" t="str">
        <f>IF(Source!$C467&gt;=COLUMNS($A467:Z467), Source!$E467, "")</f>
        <v/>
      </c>
      <c r="AA467" s="2" t="str">
        <f>IF(Source!$C467&gt;=COLUMNS($A467:AA467), Source!$E467, "")</f>
        <v/>
      </c>
      <c r="AB467" s="2" t="str">
        <f>IF(Source!$C467&gt;=COLUMNS($A467:AB467), Source!$E467, "")</f>
        <v/>
      </c>
      <c r="AC467" s="2" t="str">
        <f>IF(Source!$C467&gt;=COLUMNS($A467:AC467), Source!$E467, "")</f>
        <v/>
      </c>
      <c r="AD467" s="2" t="str">
        <f>IF(Source!$C467&gt;=COLUMNS($A467:AD467), Source!$E467, "")</f>
        <v/>
      </c>
      <c r="AE467" s="2" t="str">
        <f>IF(Source!$C467&gt;=COLUMNS($A467:AE467), Source!$E467, "")</f>
        <v/>
      </c>
      <c r="AF467" s="2" t="str">
        <f>IF(Source!$C467&gt;=COLUMNS($A467:AF467), Source!$E467, "")</f>
        <v/>
      </c>
      <c r="AG467" s="2" t="str">
        <f>IF(Source!$C467&gt;=COLUMNS($A467:AG467), Source!$E467, "")</f>
        <v/>
      </c>
      <c r="AH467" s="2" t="str">
        <f>IF(Source!$C467&gt;=COLUMNS($A467:AH467), Source!$E467, "")</f>
        <v/>
      </c>
      <c r="AI467" s="2" t="str">
        <f>IF(Source!$C467&gt;=COLUMNS($A467:AI467), Source!$E467, "")</f>
        <v/>
      </c>
      <c r="AJ467" s="2" t="str">
        <f>IF(Source!$C467&gt;=COLUMNS($A467:AJ467), Source!$E467, "")</f>
        <v/>
      </c>
      <c r="AK467" s="2" t="str">
        <f>IF(Source!$C467&gt;=COLUMNS($A467:AK467), Source!$E467, "")</f>
        <v/>
      </c>
      <c r="AL467" s="2" t="str">
        <f>IF(Source!$C467&gt;=COLUMNS($A467:AL467), Source!$E467, "")</f>
        <v/>
      </c>
      <c r="AM467" s="2" t="str">
        <f>IF(Source!$C467&gt;=COLUMNS($A467:AM467), Source!$E467, "")</f>
        <v/>
      </c>
      <c r="AN467" s="2" t="str">
        <f>IF(Source!$C467&gt;=COLUMNS($A467:AN467), Source!$E467, "")</f>
        <v/>
      </c>
      <c r="AO467" s="2" t="str">
        <f>IF(Source!$C467&gt;=COLUMNS($A467:AO467), Source!$E467, "")</f>
        <v/>
      </c>
      <c r="AP467" s="2" t="str">
        <f>IF(Source!$C467&gt;=COLUMNS($A467:AP467), Source!$E467, "")</f>
        <v/>
      </c>
      <c r="AQ467" s="2" t="str">
        <f>IF(Source!$C467&gt;=COLUMNS($A467:AQ467), Source!$E467, "")</f>
        <v/>
      </c>
      <c r="AR467" s="2" t="str">
        <f>IF(Source!$C467&gt;=COLUMNS($A467:AR467), Source!$E467, "")</f>
        <v/>
      </c>
    </row>
    <row r="468">
      <c r="A468" s="2">
        <f>IF(Source!$C468&gt;=COLUMNS($A468:A468), Source!$E468, "")</f>
        <v>5</v>
      </c>
      <c r="B468" s="2">
        <f>IF(Source!$C468&gt;=COLUMNS($A468:B468), Source!$E468, "")</f>
        <v>5</v>
      </c>
      <c r="C468" s="2" t="str">
        <f>IF(Source!$C468&gt;=COLUMNS($A468:C468), Source!$E468, "")</f>
        <v/>
      </c>
      <c r="D468" s="2" t="str">
        <f>IF(Source!$C468&gt;=COLUMNS($A468:D468), Source!$E468, "")</f>
        <v/>
      </c>
      <c r="E468" s="2" t="str">
        <f>IF(Source!$C468&gt;=COLUMNS($A468:E468), Source!$E468, "")</f>
        <v/>
      </c>
      <c r="F468" s="2" t="str">
        <f>IF(Source!$C468&gt;=COLUMNS($A468:F468), Source!$E468, "")</f>
        <v/>
      </c>
      <c r="G468" s="2" t="str">
        <f>IF(Source!$C468&gt;=COLUMNS($A468:G468), Source!$E468, "")</f>
        <v/>
      </c>
      <c r="H468" s="2" t="str">
        <f>IF(Source!$C468&gt;=COLUMNS($A468:H468), Source!$E468, "")</f>
        <v/>
      </c>
      <c r="I468" s="2" t="str">
        <f>IF(Source!$C468&gt;=COLUMNS($A468:I468), Source!$E468, "")</f>
        <v/>
      </c>
      <c r="J468" s="2" t="str">
        <f>IF(Source!$C468&gt;=COLUMNS($A468:J468), Source!$E468, "")</f>
        <v/>
      </c>
      <c r="K468" s="2" t="str">
        <f>IF(Source!$C468&gt;=COLUMNS($A468:K468), Source!$E468, "")</f>
        <v/>
      </c>
      <c r="L468" s="2" t="str">
        <f>IF(Source!$C468&gt;=COLUMNS($A468:L468), Source!$E468, "")</f>
        <v/>
      </c>
      <c r="M468" s="2" t="str">
        <f>IF(Source!$C468&gt;=COLUMNS($A468:M468), Source!$E468, "")</f>
        <v/>
      </c>
      <c r="N468" s="2" t="str">
        <f>IF(Source!$C468&gt;=COLUMNS($A468:N468), Source!$E468, "")</f>
        <v/>
      </c>
      <c r="O468" s="2" t="str">
        <f>IF(Source!$C468&gt;=COLUMNS($A468:O468), Source!$E468, "")</f>
        <v/>
      </c>
      <c r="P468" s="2" t="str">
        <f>IF(Source!$C468&gt;=COLUMNS($A468:P468), Source!$E468, "")</f>
        <v/>
      </c>
      <c r="Q468" s="2" t="str">
        <f>IF(Source!$C468&gt;=COLUMNS($A468:Q468), Source!$E468, "")</f>
        <v/>
      </c>
      <c r="R468" s="2" t="str">
        <f>IF(Source!$C468&gt;=COLUMNS($A468:R468), Source!$E468, "")</f>
        <v/>
      </c>
      <c r="S468" s="2" t="str">
        <f>IF(Source!$C468&gt;=COLUMNS($A468:S468), Source!$E468, "")</f>
        <v/>
      </c>
      <c r="T468" s="2" t="str">
        <f>IF(Source!$C468&gt;=COLUMNS($A468:T468), Source!$E468, "")</f>
        <v/>
      </c>
      <c r="U468" s="2" t="str">
        <f>IF(Source!$C468&gt;=COLUMNS($A468:U468), Source!$E468, "")</f>
        <v/>
      </c>
      <c r="V468" s="2" t="str">
        <f>IF(Source!$C468&gt;=COLUMNS($A468:V468), Source!$E468, "")</f>
        <v/>
      </c>
      <c r="W468" s="2" t="str">
        <f>IF(Source!$C468&gt;=COLUMNS($A468:W468), Source!$E468, "")</f>
        <v/>
      </c>
      <c r="X468" s="2" t="str">
        <f>IF(Source!$C468&gt;=COLUMNS($A468:X468), Source!$E468, "")</f>
        <v/>
      </c>
      <c r="Y468" s="2" t="str">
        <f>IF(Source!$C468&gt;=COLUMNS($A468:Y468), Source!$E468, "")</f>
        <v/>
      </c>
      <c r="Z468" s="2" t="str">
        <f>IF(Source!$C468&gt;=COLUMNS($A468:Z468), Source!$E468, "")</f>
        <v/>
      </c>
      <c r="AA468" s="2" t="str">
        <f>IF(Source!$C468&gt;=COLUMNS($A468:AA468), Source!$E468, "")</f>
        <v/>
      </c>
      <c r="AB468" s="2" t="str">
        <f>IF(Source!$C468&gt;=COLUMNS($A468:AB468), Source!$E468, "")</f>
        <v/>
      </c>
      <c r="AC468" s="2" t="str">
        <f>IF(Source!$C468&gt;=COLUMNS($A468:AC468), Source!$E468, "")</f>
        <v/>
      </c>
      <c r="AD468" s="2" t="str">
        <f>IF(Source!$C468&gt;=COLUMNS($A468:AD468), Source!$E468, "")</f>
        <v/>
      </c>
      <c r="AE468" s="2" t="str">
        <f>IF(Source!$C468&gt;=COLUMNS($A468:AE468), Source!$E468, "")</f>
        <v/>
      </c>
      <c r="AF468" s="2" t="str">
        <f>IF(Source!$C468&gt;=COLUMNS($A468:AF468), Source!$E468, "")</f>
        <v/>
      </c>
      <c r="AG468" s="2" t="str">
        <f>IF(Source!$C468&gt;=COLUMNS($A468:AG468), Source!$E468, "")</f>
        <v/>
      </c>
      <c r="AH468" s="2" t="str">
        <f>IF(Source!$C468&gt;=COLUMNS($A468:AH468), Source!$E468, "")</f>
        <v/>
      </c>
      <c r="AI468" s="2" t="str">
        <f>IF(Source!$C468&gt;=COLUMNS($A468:AI468), Source!$E468, "")</f>
        <v/>
      </c>
      <c r="AJ468" s="2" t="str">
        <f>IF(Source!$C468&gt;=COLUMNS($A468:AJ468), Source!$E468, "")</f>
        <v/>
      </c>
      <c r="AK468" s="2" t="str">
        <f>IF(Source!$C468&gt;=COLUMNS($A468:AK468), Source!$E468, "")</f>
        <v/>
      </c>
      <c r="AL468" s="2" t="str">
        <f>IF(Source!$C468&gt;=COLUMNS($A468:AL468), Source!$E468, "")</f>
        <v/>
      </c>
      <c r="AM468" s="2" t="str">
        <f>IF(Source!$C468&gt;=COLUMNS($A468:AM468), Source!$E468, "")</f>
        <v/>
      </c>
      <c r="AN468" s="2" t="str">
        <f>IF(Source!$C468&gt;=COLUMNS($A468:AN468), Source!$E468, "")</f>
        <v/>
      </c>
      <c r="AO468" s="2" t="str">
        <f>IF(Source!$C468&gt;=COLUMNS($A468:AO468), Source!$E468, "")</f>
        <v/>
      </c>
      <c r="AP468" s="2" t="str">
        <f>IF(Source!$C468&gt;=COLUMNS($A468:AP468), Source!$E468, "")</f>
        <v/>
      </c>
      <c r="AQ468" s="2" t="str">
        <f>IF(Source!$C468&gt;=COLUMNS($A468:AQ468), Source!$E468, "")</f>
        <v/>
      </c>
      <c r="AR468" s="2" t="str">
        <f>IF(Source!$C468&gt;=COLUMNS($A468:AR468), Source!$E468, "")</f>
        <v/>
      </c>
    </row>
    <row r="469">
      <c r="A469" s="2">
        <f>IF(Source!$C469&gt;=COLUMNS($A469:A469), Source!$E469, "")</f>
        <v>1</v>
      </c>
      <c r="B469" s="2">
        <f>IF(Source!$C469&gt;=COLUMNS($A469:B469), Source!$E469, "")</f>
        <v>1</v>
      </c>
      <c r="C469" s="2" t="str">
        <f>IF(Source!$C469&gt;=COLUMNS($A469:C469), Source!$E469, "")</f>
        <v/>
      </c>
      <c r="D469" s="2" t="str">
        <f>IF(Source!$C469&gt;=COLUMNS($A469:D469), Source!$E469, "")</f>
        <v/>
      </c>
      <c r="E469" s="2" t="str">
        <f>IF(Source!$C469&gt;=COLUMNS($A469:E469), Source!$E469, "")</f>
        <v/>
      </c>
      <c r="F469" s="2" t="str">
        <f>IF(Source!$C469&gt;=COLUMNS($A469:F469), Source!$E469, "")</f>
        <v/>
      </c>
      <c r="G469" s="2" t="str">
        <f>IF(Source!$C469&gt;=COLUMNS($A469:G469), Source!$E469, "")</f>
        <v/>
      </c>
      <c r="H469" s="2" t="str">
        <f>IF(Source!$C469&gt;=COLUMNS($A469:H469), Source!$E469, "")</f>
        <v/>
      </c>
      <c r="I469" s="2" t="str">
        <f>IF(Source!$C469&gt;=COLUMNS($A469:I469), Source!$E469, "")</f>
        <v/>
      </c>
      <c r="J469" s="2" t="str">
        <f>IF(Source!$C469&gt;=COLUMNS($A469:J469), Source!$E469, "")</f>
        <v/>
      </c>
      <c r="K469" s="2" t="str">
        <f>IF(Source!$C469&gt;=COLUMNS($A469:K469), Source!$E469, "")</f>
        <v/>
      </c>
      <c r="L469" s="2" t="str">
        <f>IF(Source!$C469&gt;=COLUMNS($A469:L469), Source!$E469, "")</f>
        <v/>
      </c>
      <c r="M469" s="2" t="str">
        <f>IF(Source!$C469&gt;=COLUMNS($A469:M469), Source!$E469, "")</f>
        <v/>
      </c>
      <c r="N469" s="2" t="str">
        <f>IF(Source!$C469&gt;=COLUMNS($A469:N469), Source!$E469, "")</f>
        <v/>
      </c>
      <c r="O469" s="2" t="str">
        <f>IF(Source!$C469&gt;=COLUMNS($A469:O469), Source!$E469, "")</f>
        <v/>
      </c>
      <c r="P469" s="2" t="str">
        <f>IF(Source!$C469&gt;=COLUMNS($A469:P469), Source!$E469, "")</f>
        <v/>
      </c>
      <c r="Q469" s="2" t="str">
        <f>IF(Source!$C469&gt;=COLUMNS($A469:Q469), Source!$E469, "")</f>
        <v/>
      </c>
      <c r="R469" s="2" t="str">
        <f>IF(Source!$C469&gt;=COLUMNS($A469:R469), Source!$E469, "")</f>
        <v/>
      </c>
      <c r="S469" s="2" t="str">
        <f>IF(Source!$C469&gt;=COLUMNS($A469:S469), Source!$E469, "")</f>
        <v/>
      </c>
      <c r="T469" s="2" t="str">
        <f>IF(Source!$C469&gt;=COLUMNS($A469:T469), Source!$E469, "")</f>
        <v/>
      </c>
      <c r="U469" s="2" t="str">
        <f>IF(Source!$C469&gt;=COLUMNS($A469:U469), Source!$E469, "")</f>
        <v/>
      </c>
      <c r="V469" s="2" t="str">
        <f>IF(Source!$C469&gt;=COLUMNS($A469:V469), Source!$E469, "")</f>
        <v/>
      </c>
      <c r="W469" s="2" t="str">
        <f>IF(Source!$C469&gt;=COLUMNS($A469:W469), Source!$E469, "")</f>
        <v/>
      </c>
      <c r="X469" s="2" t="str">
        <f>IF(Source!$C469&gt;=COLUMNS($A469:X469), Source!$E469, "")</f>
        <v/>
      </c>
      <c r="Y469" s="2" t="str">
        <f>IF(Source!$C469&gt;=COLUMNS($A469:Y469), Source!$E469, "")</f>
        <v/>
      </c>
      <c r="Z469" s="2" t="str">
        <f>IF(Source!$C469&gt;=COLUMNS($A469:Z469), Source!$E469, "")</f>
        <v/>
      </c>
      <c r="AA469" s="2" t="str">
        <f>IF(Source!$C469&gt;=COLUMNS($A469:AA469), Source!$E469, "")</f>
        <v/>
      </c>
      <c r="AB469" s="2" t="str">
        <f>IF(Source!$C469&gt;=COLUMNS($A469:AB469), Source!$E469, "")</f>
        <v/>
      </c>
      <c r="AC469" s="2" t="str">
        <f>IF(Source!$C469&gt;=COLUMNS($A469:AC469), Source!$E469, "")</f>
        <v/>
      </c>
      <c r="AD469" s="2" t="str">
        <f>IF(Source!$C469&gt;=COLUMNS($A469:AD469), Source!$E469, "")</f>
        <v/>
      </c>
      <c r="AE469" s="2" t="str">
        <f>IF(Source!$C469&gt;=COLUMNS($A469:AE469), Source!$E469, "")</f>
        <v/>
      </c>
      <c r="AF469" s="2" t="str">
        <f>IF(Source!$C469&gt;=COLUMNS($A469:AF469), Source!$E469, "")</f>
        <v/>
      </c>
      <c r="AG469" s="2" t="str">
        <f>IF(Source!$C469&gt;=COLUMNS($A469:AG469), Source!$E469, "")</f>
        <v/>
      </c>
      <c r="AH469" s="2" t="str">
        <f>IF(Source!$C469&gt;=COLUMNS($A469:AH469), Source!$E469, "")</f>
        <v/>
      </c>
      <c r="AI469" s="2" t="str">
        <f>IF(Source!$C469&gt;=COLUMNS($A469:AI469), Source!$E469, "")</f>
        <v/>
      </c>
      <c r="AJ469" s="2" t="str">
        <f>IF(Source!$C469&gt;=COLUMNS($A469:AJ469), Source!$E469, "")</f>
        <v/>
      </c>
      <c r="AK469" s="2" t="str">
        <f>IF(Source!$C469&gt;=COLUMNS($A469:AK469), Source!$E469, "")</f>
        <v/>
      </c>
      <c r="AL469" s="2" t="str">
        <f>IF(Source!$C469&gt;=COLUMNS($A469:AL469), Source!$E469, "")</f>
        <v/>
      </c>
      <c r="AM469" s="2" t="str">
        <f>IF(Source!$C469&gt;=COLUMNS($A469:AM469), Source!$E469, "")</f>
        <v/>
      </c>
      <c r="AN469" s="2" t="str">
        <f>IF(Source!$C469&gt;=COLUMNS($A469:AN469), Source!$E469, "")</f>
        <v/>
      </c>
      <c r="AO469" s="2" t="str">
        <f>IF(Source!$C469&gt;=COLUMNS($A469:AO469), Source!$E469, "")</f>
        <v/>
      </c>
      <c r="AP469" s="2" t="str">
        <f>IF(Source!$C469&gt;=COLUMNS($A469:AP469), Source!$E469, "")</f>
        <v/>
      </c>
      <c r="AQ469" s="2" t="str">
        <f>IF(Source!$C469&gt;=COLUMNS($A469:AQ469), Source!$E469, "")</f>
        <v/>
      </c>
      <c r="AR469" s="2" t="str">
        <f>IF(Source!$C469&gt;=COLUMNS($A469:AR469), Source!$E469, "")</f>
        <v/>
      </c>
    </row>
    <row r="470">
      <c r="A470" s="2">
        <f>IF(Source!$C470&gt;=COLUMNS($A470:A470), Source!$E470, "")</f>
        <v>7</v>
      </c>
      <c r="B470" s="2">
        <f>IF(Source!$C470&gt;=COLUMNS($A470:B470), Source!$E470, "")</f>
        <v>7</v>
      </c>
      <c r="C470" s="2" t="str">
        <f>IF(Source!$C470&gt;=COLUMNS($A470:C470), Source!$E470, "")</f>
        <v/>
      </c>
      <c r="D470" s="2" t="str">
        <f>IF(Source!$C470&gt;=COLUMNS($A470:D470), Source!$E470, "")</f>
        <v/>
      </c>
      <c r="E470" s="2" t="str">
        <f>IF(Source!$C470&gt;=COLUMNS($A470:E470), Source!$E470, "")</f>
        <v/>
      </c>
      <c r="F470" s="2" t="str">
        <f>IF(Source!$C470&gt;=COLUMNS($A470:F470), Source!$E470, "")</f>
        <v/>
      </c>
      <c r="G470" s="2" t="str">
        <f>IF(Source!$C470&gt;=COLUMNS($A470:G470), Source!$E470, "")</f>
        <v/>
      </c>
      <c r="H470" s="2" t="str">
        <f>IF(Source!$C470&gt;=COLUMNS($A470:H470), Source!$E470, "")</f>
        <v/>
      </c>
      <c r="I470" s="2" t="str">
        <f>IF(Source!$C470&gt;=COLUMNS($A470:I470), Source!$E470, "")</f>
        <v/>
      </c>
      <c r="J470" s="2" t="str">
        <f>IF(Source!$C470&gt;=COLUMNS($A470:J470), Source!$E470, "")</f>
        <v/>
      </c>
      <c r="K470" s="2" t="str">
        <f>IF(Source!$C470&gt;=COLUMNS($A470:K470), Source!$E470, "")</f>
        <v/>
      </c>
      <c r="L470" s="2" t="str">
        <f>IF(Source!$C470&gt;=COLUMNS($A470:L470), Source!$E470, "")</f>
        <v/>
      </c>
      <c r="M470" s="2" t="str">
        <f>IF(Source!$C470&gt;=COLUMNS($A470:M470), Source!$E470, "")</f>
        <v/>
      </c>
      <c r="N470" s="2" t="str">
        <f>IF(Source!$C470&gt;=COLUMNS($A470:N470), Source!$E470, "")</f>
        <v/>
      </c>
      <c r="O470" s="2" t="str">
        <f>IF(Source!$C470&gt;=COLUMNS($A470:O470), Source!$E470, "")</f>
        <v/>
      </c>
      <c r="P470" s="2" t="str">
        <f>IF(Source!$C470&gt;=COLUMNS($A470:P470), Source!$E470, "")</f>
        <v/>
      </c>
      <c r="Q470" s="2" t="str">
        <f>IF(Source!$C470&gt;=COLUMNS($A470:Q470), Source!$E470, "")</f>
        <v/>
      </c>
      <c r="R470" s="2" t="str">
        <f>IF(Source!$C470&gt;=COLUMNS($A470:R470), Source!$E470, "")</f>
        <v/>
      </c>
      <c r="S470" s="2" t="str">
        <f>IF(Source!$C470&gt;=COLUMNS($A470:S470), Source!$E470, "")</f>
        <v/>
      </c>
      <c r="T470" s="2" t="str">
        <f>IF(Source!$C470&gt;=COLUMNS($A470:T470), Source!$E470, "")</f>
        <v/>
      </c>
      <c r="U470" s="2" t="str">
        <f>IF(Source!$C470&gt;=COLUMNS($A470:U470), Source!$E470, "")</f>
        <v/>
      </c>
      <c r="V470" s="2" t="str">
        <f>IF(Source!$C470&gt;=COLUMNS($A470:V470), Source!$E470, "")</f>
        <v/>
      </c>
      <c r="W470" s="2" t="str">
        <f>IF(Source!$C470&gt;=COLUMNS($A470:W470), Source!$E470, "")</f>
        <v/>
      </c>
      <c r="X470" s="2" t="str">
        <f>IF(Source!$C470&gt;=COLUMNS($A470:X470), Source!$E470, "")</f>
        <v/>
      </c>
      <c r="Y470" s="2" t="str">
        <f>IF(Source!$C470&gt;=COLUMNS($A470:Y470), Source!$E470, "")</f>
        <v/>
      </c>
      <c r="Z470" s="2" t="str">
        <f>IF(Source!$C470&gt;=COLUMNS($A470:Z470), Source!$E470, "")</f>
        <v/>
      </c>
      <c r="AA470" s="2" t="str">
        <f>IF(Source!$C470&gt;=COLUMNS($A470:AA470), Source!$E470, "")</f>
        <v/>
      </c>
      <c r="AB470" s="2" t="str">
        <f>IF(Source!$C470&gt;=COLUMNS($A470:AB470), Source!$E470, "")</f>
        <v/>
      </c>
      <c r="AC470" s="2" t="str">
        <f>IF(Source!$C470&gt;=COLUMNS($A470:AC470), Source!$E470, "")</f>
        <v/>
      </c>
      <c r="AD470" s="2" t="str">
        <f>IF(Source!$C470&gt;=COLUMNS($A470:AD470), Source!$E470, "")</f>
        <v/>
      </c>
      <c r="AE470" s="2" t="str">
        <f>IF(Source!$C470&gt;=COLUMNS($A470:AE470), Source!$E470, "")</f>
        <v/>
      </c>
      <c r="AF470" s="2" t="str">
        <f>IF(Source!$C470&gt;=COLUMNS($A470:AF470), Source!$E470, "")</f>
        <v/>
      </c>
      <c r="AG470" s="2" t="str">
        <f>IF(Source!$C470&gt;=COLUMNS($A470:AG470), Source!$E470, "")</f>
        <v/>
      </c>
      <c r="AH470" s="2" t="str">
        <f>IF(Source!$C470&gt;=COLUMNS($A470:AH470), Source!$E470, "")</f>
        <v/>
      </c>
      <c r="AI470" s="2" t="str">
        <f>IF(Source!$C470&gt;=COLUMNS($A470:AI470), Source!$E470, "")</f>
        <v/>
      </c>
      <c r="AJ470" s="2" t="str">
        <f>IF(Source!$C470&gt;=COLUMNS($A470:AJ470), Source!$E470, "")</f>
        <v/>
      </c>
      <c r="AK470" s="2" t="str">
        <f>IF(Source!$C470&gt;=COLUMNS($A470:AK470), Source!$E470, "")</f>
        <v/>
      </c>
      <c r="AL470" s="2" t="str">
        <f>IF(Source!$C470&gt;=COLUMNS($A470:AL470), Source!$E470, "")</f>
        <v/>
      </c>
      <c r="AM470" s="2" t="str">
        <f>IF(Source!$C470&gt;=COLUMNS($A470:AM470), Source!$E470, "")</f>
        <v/>
      </c>
      <c r="AN470" s="2" t="str">
        <f>IF(Source!$C470&gt;=COLUMNS($A470:AN470), Source!$E470, "")</f>
        <v/>
      </c>
      <c r="AO470" s="2" t="str">
        <f>IF(Source!$C470&gt;=COLUMNS($A470:AO470), Source!$E470, "")</f>
        <v/>
      </c>
      <c r="AP470" s="2" t="str">
        <f>IF(Source!$C470&gt;=COLUMNS($A470:AP470), Source!$E470, "")</f>
        <v/>
      </c>
      <c r="AQ470" s="2" t="str">
        <f>IF(Source!$C470&gt;=COLUMNS($A470:AQ470), Source!$E470, "")</f>
        <v/>
      </c>
      <c r="AR470" s="2" t="str">
        <f>IF(Source!$C470&gt;=COLUMNS($A470:AR470), Source!$E470, "")</f>
        <v/>
      </c>
    </row>
    <row r="471">
      <c r="A471" s="2">
        <f>IF(Source!$C471&gt;=COLUMNS($A471:A471), Source!$E471, "")</f>
        <v>6</v>
      </c>
      <c r="B471" s="2">
        <f>IF(Source!$C471&gt;=COLUMNS($A471:B471), Source!$E471, "")</f>
        <v>6</v>
      </c>
      <c r="C471" s="2">
        <f>IF(Source!$C471&gt;=COLUMNS($A471:C471), Source!$E471, "")</f>
        <v>6</v>
      </c>
      <c r="D471" s="2">
        <f>IF(Source!$C471&gt;=COLUMNS($A471:D471), Source!$E471, "")</f>
        <v>6</v>
      </c>
      <c r="E471" s="2">
        <f>IF(Source!$C471&gt;=COLUMNS($A471:E471), Source!$E471, "")</f>
        <v>6</v>
      </c>
      <c r="F471" s="2">
        <f>IF(Source!$C471&gt;=COLUMNS($A471:F471), Source!$E471, "")</f>
        <v>6</v>
      </c>
      <c r="G471" s="2">
        <f>IF(Source!$C471&gt;=COLUMNS($A471:G471), Source!$E471, "")</f>
        <v>6</v>
      </c>
      <c r="H471" s="2">
        <f>IF(Source!$C471&gt;=COLUMNS($A471:H471), Source!$E471, "")</f>
        <v>6</v>
      </c>
      <c r="I471" s="2">
        <f>IF(Source!$C471&gt;=COLUMNS($A471:I471), Source!$E471, "")</f>
        <v>6</v>
      </c>
      <c r="J471" s="2">
        <f>IF(Source!$C471&gt;=COLUMNS($A471:J471), Source!$E471, "")</f>
        <v>6</v>
      </c>
      <c r="K471" s="2">
        <f>IF(Source!$C471&gt;=COLUMNS($A471:K471), Source!$E471, "")</f>
        <v>6</v>
      </c>
      <c r="L471" s="2">
        <f>IF(Source!$C471&gt;=COLUMNS($A471:L471), Source!$E471, "")</f>
        <v>6</v>
      </c>
      <c r="M471" s="2">
        <f>IF(Source!$C471&gt;=COLUMNS($A471:M471), Source!$E471, "")</f>
        <v>6</v>
      </c>
      <c r="N471" s="2">
        <f>IF(Source!$C471&gt;=COLUMNS($A471:N471), Source!$E471, "")</f>
        <v>6</v>
      </c>
      <c r="O471" s="2">
        <f>IF(Source!$C471&gt;=COLUMNS($A471:O471), Source!$E471, "")</f>
        <v>6</v>
      </c>
      <c r="P471" s="2" t="str">
        <f>IF(Source!$C471&gt;=COLUMNS($A471:P471), Source!$E471, "")</f>
        <v/>
      </c>
      <c r="Q471" s="2" t="str">
        <f>IF(Source!$C471&gt;=COLUMNS($A471:Q471), Source!$E471, "")</f>
        <v/>
      </c>
      <c r="R471" s="2" t="str">
        <f>IF(Source!$C471&gt;=COLUMNS($A471:R471), Source!$E471, "")</f>
        <v/>
      </c>
      <c r="S471" s="2" t="str">
        <f>IF(Source!$C471&gt;=COLUMNS($A471:S471), Source!$E471, "")</f>
        <v/>
      </c>
      <c r="T471" s="2" t="str">
        <f>IF(Source!$C471&gt;=COLUMNS($A471:T471), Source!$E471, "")</f>
        <v/>
      </c>
      <c r="U471" s="2" t="str">
        <f>IF(Source!$C471&gt;=COLUMNS($A471:U471), Source!$E471, "")</f>
        <v/>
      </c>
      <c r="V471" s="2" t="str">
        <f>IF(Source!$C471&gt;=COLUMNS($A471:V471), Source!$E471, "")</f>
        <v/>
      </c>
      <c r="W471" s="2" t="str">
        <f>IF(Source!$C471&gt;=COLUMNS($A471:W471), Source!$E471, "")</f>
        <v/>
      </c>
      <c r="X471" s="2" t="str">
        <f>IF(Source!$C471&gt;=COLUMNS($A471:X471), Source!$E471, "")</f>
        <v/>
      </c>
      <c r="Y471" s="2" t="str">
        <f>IF(Source!$C471&gt;=COLUMNS($A471:Y471), Source!$E471, "")</f>
        <v/>
      </c>
      <c r="Z471" s="2" t="str">
        <f>IF(Source!$C471&gt;=COLUMNS($A471:Z471), Source!$E471, "")</f>
        <v/>
      </c>
      <c r="AA471" s="2" t="str">
        <f>IF(Source!$C471&gt;=COLUMNS($A471:AA471), Source!$E471, "")</f>
        <v/>
      </c>
      <c r="AB471" s="2" t="str">
        <f>IF(Source!$C471&gt;=COLUMNS($A471:AB471), Source!$E471, "")</f>
        <v/>
      </c>
      <c r="AC471" s="2" t="str">
        <f>IF(Source!$C471&gt;=COLUMNS($A471:AC471), Source!$E471, "")</f>
        <v/>
      </c>
      <c r="AD471" s="2" t="str">
        <f>IF(Source!$C471&gt;=COLUMNS($A471:AD471), Source!$E471, "")</f>
        <v/>
      </c>
      <c r="AE471" s="2" t="str">
        <f>IF(Source!$C471&gt;=COLUMNS($A471:AE471), Source!$E471, "")</f>
        <v/>
      </c>
      <c r="AF471" s="2" t="str">
        <f>IF(Source!$C471&gt;=COLUMNS($A471:AF471), Source!$E471, "")</f>
        <v/>
      </c>
      <c r="AG471" s="2" t="str">
        <f>IF(Source!$C471&gt;=COLUMNS($A471:AG471), Source!$E471, "")</f>
        <v/>
      </c>
      <c r="AH471" s="2" t="str">
        <f>IF(Source!$C471&gt;=COLUMNS($A471:AH471), Source!$E471, "")</f>
        <v/>
      </c>
      <c r="AI471" s="2" t="str">
        <f>IF(Source!$C471&gt;=COLUMNS($A471:AI471), Source!$E471, "")</f>
        <v/>
      </c>
      <c r="AJ471" s="2" t="str">
        <f>IF(Source!$C471&gt;=COLUMNS($A471:AJ471), Source!$E471, "")</f>
        <v/>
      </c>
      <c r="AK471" s="2" t="str">
        <f>IF(Source!$C471&gt;=COLUMNS($A471:AK471), Source!$E471, "")</f>
        <v/>
      </c>
      <c r="AL471" s="2" t="str">
        <f>IF(Source!$C471&gt;=COLUMNS($A471:AL471), Source!$E471, "")</f>
        <v/>
      </c>
      <c r="AM471" s="2" t="str">
        <f>IF(Source!$C471&gt;=COLUMNS($A471:AM471), Source!$E471, "")</f>
        <v/>
      </c>
      <c r="AN471" s="2" t="str">
        <f>IF(Source!$C471&gt;=COLUMNS($A471:AN471), Source!$E471, "")</f>
        <v/>
      </c>
      <c r="AO471" s="2" t="str">
        <f>IF(Source!$C471&gt;=COLUMNS($A471:AO471), Source!$E471, "")</f>
        <v/>
      </c>
      <c r="AP471" s="2" t="str">
        <f>IF(Source!$C471&gt;=COLUMNS($A471:AP471), Source!$E471, "")</f>
        <v/>
      </c>
      <c r="AQ471" s="2" t="str">
        <f>IF(Source!$C471&gt;=COLUMNS($A471:AQ471), Source!$E471, "")</f>
        <v/>
      </c>
      <c r="AR471" s="2" t="str">
        <f>IF(Source!$C471&gt;=COLUMNS($A471:AR471), Source!$E471, "")</f>
        <v/>
      </c>
    </row>
    <row r="472">
      <c r="A472" s="2">
        <f>IF(Source!$C472&gt;=COLUMNS($A472:A472), Source!$E472, "")</f>
        <v>3</v>
      </c>
      <c r="B472" s="2">
        <f>IF(Source!$C472&gt;=COLUMNS($A472:B472), Source!$E472, "")</f>
        <v>3</v>
      </c>
      <c r="C472" s="2">
        <f>IF(Source!$C472&gt;=COLUMNS($A472:C472), Source!$E472, "")</f>
        <v>3</v>
      </c>
      <c r="D472" s="2">
        <f>IF(Source!$C472&gt;=COLUMNS($A472:D472), Source!$E472, "")</f>
        <v>3</v>
      </c>
      <c r="E472" s="2">
        <f>IF(Source!$C472&gt;=COLUMNS($A472:E472), Source!$E472, "")</f>
        <v>3</v>
      </c>
      <c r="F472" s="2">
        <f>IF(Source!$C472&gt;=COLUMNS($A472:F472), Source!$E472, "")</f>
        <v>3</v>
      </c>
      <c r="G472" s="2">
        <f>IF(Source!$C472&gt;=COLUMNS($A472:G472), Source!$E472, "")</f>
        <v>3</v>
      </c>
      <c r="H472" s="2">
        <f>IF(Source!$C472&gt;=COLUMNS($A472:H472), Source!$E472, "")</f>
        <v>3</v>
      </c>
      <c r="I472" s="2" t="str">
        <f>IF(Source!$C472&gt;=COLUMNS($A472:I472), Source!$E472, "")</f>
        <v/>
      </c>
      <c r="J472" s="2" t="str">
        <f>IF(Source!$C472&gt;=COLUMNS($A472:J472), Source!$E472, "")</f>
        <v/>
      </c>
      <c r="K472" s="2" t="str">
        <f>IF(Source!$C472&gt;=COLUMNS($A472:K472), Source!$E472, "")</f>
        <v/>
      </c>
      <c r="L472" s="2" t="str">
        <f>IF(Source!$C472&gt;=COLUMNS($A472:L472), Source!$E472, "")</f>
        <v/>
      </c>
      <c r="M472" s="2" t="str">
        <f>IF(Source!$C472&gt;=COLUMNS($A472:M472), Source!$E472, "")</f>
        <v/>
      </c>
      <c r="N472" s="2" t="str">
        <f>IF(Source!$C472&gt;=COLUMNS($A472:N472), Source!$E472, "")</f>
        <v/>
      </c>
      <c r="O472" s="2" t="str">
        <f>IF(Source!$C472&gt;=COLUMNS($A472:O472), Source!$E472, "")</f>
        <v/>
      </c>
      <c r="P472" s="2" t="str">
        <f>IF(Source!$C472&gt;=COLUMNS($A472:P472), Source!$E472, "")</f>
        <v/>
      </c>
      <c r="Q472" s="2" t="str">
        <f>IF(Source!$C472&gt;=COLUMNS($A472:Q472), Source!$E472, "")</f>
        <v/>
      </c>
      <c r="R472" s="2" t="str">
        <f>IF(Source!$C472&gt;=COLUMNS($A472:R472), Source!$E472, "")</f>
        <v/>
      </c>
      <c r="S472" s="2" t="str">
        <f>IF(Source!$C472&gt;=COLUMNS($A472:S472), Source!$E472, "")</f>
        <v/>
      </c>
      <c r="T472" s="2" t="str">
        <f>IF(Source!$C472&gt;=COLUMNS($A472:T472), Source!$E472, "")</f>
        <v/>
      </c>
      <c r="U472" s="2" t="str">
        <f>IF(Source!$C472&gt;=COLUMNS($A472:U472), Source!$E472, "")</f>
        <v/>
      </c>
      <c r="V472" s="2" t="str">
        <f>IF(Source!$C472&gt;=COLUMNS($A472:V472), Source!$E472, "")</f>
        <v/>
      </c>
      <c r="W472" s="2" t="str">
        <f>IF(Source!$C472&gt;=COLUMNS($A472:W472), Source!$E472, "")</f>
        <v/>
      </c>
      <c r="X472" s="2" t="str">
        <f>IF(Source!$C472&gt;=COLUMNS($A472:X472), Source!$E472, "")</f>
        <v/>
      </c>
      <c r="Y472" s="2" t="str">
        <f>IF(Source!$C472&gt;=COLUMNS($A472:Y472), Source!$E472, "")</f>
        <v/>
      </c>
      <c r="Z472" s="2" t="str">
        <f>IF(Source!$C472&gt;=COLUMNS($A472:Z472), Source!$E472, "")</f>
        <v/>
      </c>
      <c r="AA472" s="2" t="str">
        <f>IF(Source!$C472&gt;=COLUMNS($A472:AA472), Source!$E472, "")</f>
        <v/>
      </c>
      <c r="AB472" s="2" t="str">
        <f>IF(Source!$C472&gt;=COLUMNS($A472:AB472), Source!$E472, "")</f>
        <v/>
      </c>
      <c r="AC472" s="2" t="str">
        <f>IF(Source!$C472&gt;=COLUMNS($A472:AC472), Source!$E472, "")</f>
        <v/>
      </c>
      <c r="AD472" s="2" t="str">
        <f>IF(Source!$C472&gt;=COLUMNS($A472:AD472), Source!$E472, "")</f>
        <v/>
      </c>
      <c r="AE472" s="2" t="str">
        <f>IF(Source!$C472&gt;=COLUMNS($A472:AE472), Source!$E472, "")</f>
        <v/>
      </c>
      <c r="AF472" s="2" t="str">
        <f>IF(Source!$C472&gt;=COLUMNS($A472:AF472), Source!$E472, "")</f>
        <v/>
      </c>
      <c r="AG472" s="2" t="str">
        <f>IF(Source!$C472&gt;=COLUMNS($A472:AG472), Source!$E472, "")</f>
        <v/>
      </c>
      <c r="AH472" s="2" t="str">
        <f>IF(Source!$C472&gt;=COLUMNS($A472:AH472), Source!$E472, "")</f>
        <v/>
      </c>
      <c r="AI472" s="2" t="str">
        <f>IF(Source!$C472&gt;=COLUMNS($A472:AI472), Source!$E472, "")</f>
        <v/>
      </c>
      <c r="AJ472" s="2" t="str">
        <f>IF(Source!$C472&gt;=COLUMNS($A472:AJ472), Source!$E472, "")</f>
        <v/>
      </c>
      <c r="AK472" s="2" t="str">
        <f>IF(Source!$C472&gt;=COLUMNS($A472:AK472), Source!$E472, "")</f>
        <v/>
      </c>
      <c r="AL472" s="2" t="str">
        <f>IF(Source!$C472&gt;=COLUMNS($A472:AL472), Source!$E472, "")</f>
        <v/>
      </c>
      <c r="AM472" s="2" t="str">
        <f>IF(Source!$C472&gt;=COLUMNS($A472:AM472), Source!$E472, "")</f>
        <v/>
      </c>
      <c r="AN472" s="2" t="str">
        <f>IF(Source!$C472&gt;=COLUMNS($A472:AN472), Source!$E472, "")</f>
        <v/>
      </c>
      <c r="AO472" s="2" t="str">
        <f>IF(Source!$C472&gt;=COLUMNS($A472:AO472), Source!$E472, "")</f>
        <v/>
      </c>
      <c r="AP472" s="2" t="str">
        <f>IF(Source!$C472&gt;=COLUMNS($A472:AP472), Source!$E472, "")</f>
        <v/>
      </c>
      <c r="AQ472" s="2" t="str">
        <f>IF(Source!$C472&gt;=COLUMNS($A472:AQ472), Source!$E472, "")</f>
        <v/>
      </c>
      <c r="AR472" s="2" t="str">
        <f>IF(Source!$C472&gt;=COLUMNS($A472:AR472), Source!$E472, "")</f>
        <v/>
      </c>
    </row>
    <row r="473">
      <c r="A473" s="2">
        <f>IF(Source!$C473&gt;=COLUMNS($A473:A473), Source!$E473, "")</f>
        <v>5</v>
      </c>
      <c r="B473" s="2">
        <f>IF(Source!$C473&gt;=COLUMNS($A473:B473), Source!$E473, "")</f>
        <v>5</v>
      </c>
      <c r="C473" s="2">
        <f>IF(Source!$C473&gt;=COLUMNS($A473:C473), Source!$E473, "")</f>
        <v>5</v>
      </c>
      <c r="D473" s="2" t="str">
        <f>IF(Source!$C473&gt;=COLUMNS($A473:D473), Source!$E473, "")</f>
        <v/>
      </c>
      <c r="E473" s="2" t="str">
        <f>IF(Source!$C473&gt;=COLUMNS($A473:E473), Source!$E473, "")</f>
        <v/>
      </c>
      <c r="F473" s="2" t="str">
        <f>IF(Source!$C473&gt;=COLUMNS($A473:F473), Source!$E473, "")</f>
        <v/>
      </c>
      <c r="G473" s="2" t="str">
        <f>IF(Source!$C473&gt;=COLUMNS($A473:G473), Source!$E473, "")</f>
        <v/>
      </c>
      <c r="H473" s="2" t="str">
        <f>IF(Source!$C473&gt;=COLUMNS($A473:H473), Source!$E473, "")</f>
        <v/>
      </c>
      <c r="I473" s="2" t="str">
        <f>IF(Source!$C473&gt;=COLUMNS($A473:I473), Source!$E473, "")</f>
        <v/>
      </c>
      <c r="J473" s="2" t="str">
        <f>IF(Source!$C473&gt;=COLUMNS($A473:J473), Source!$E473, "")</f>
        <v/>
      </c>
      <c r="K473" s="2" t="str">
        <f>IF(Source!$C473&gt;=COLUMNS($A473:K473), Source!$E473, "")</f>
        <v/>
      </c>
      <c r="L473" s="2" t="str">
        <f>IF(Source!$C473&gt;=COLUMNS($A473:L473), Source!$E473, "")</f>
        <v/>
      </c>
      <c r="M473" s="2" t="str">
        <f>IF(Source!$C473&gt;=COLUMNS($A473:M473), Source!$E473, "")</f>
        <v/>
      </c>
      <c r="N473" s="2" t="str">
        <f>IF(Source!$C473&gt;=COLUMNS($A473:N473), Source!$E473, "")</f>
        <v/>
      </c>
      <c r="O473" s="2" t="str">
        <f>IF(Source!$C473&gt;=COLUMNS($A473:O473), Source!$E473, "")</f>
        <v/>
      </c>
      <c r="P473" s="2" t="str">
        <f>IF(Source!$C473&gt;=COLUMNS($A473:P473), Source!$E473, "")</f>
        <v/>
      </c>
      <c r="Q473" s="2" t="str">
        <f>IF(Source!$C473&gt;=COLUMNS($A473:Q473), Source!$E473, "")</f>
        <v/>
      </c>
      <c r="R473" s="2" t="str">
        <f>IF(Source!$C473&gt;=COLUMNS($A473:R473), Source!$E473, "")</f>
        <v/>
      </c>
      <c r="S473" s="2" t="str">
        <f>IF(Source!$C473&gt;=COLUMNS($A473:S473), Source!$E473, "")</f>
        <v/>
      </c>
      <c r="T473" s="2" t="str">
        <f>IF(Source!$C473&gt;=COLUMNS($A473:T473), Source!$E473, "")</f>
        <v/>
      </c>
      <c r="U473" s="2" t="str">
        <f>IF(Source!$C473&gt;=COLUMNS($A473:U473), Source!$E473, "")</f>
        <v/>
      </c>
      <c r="V473" s="2" t="str">
        <f>IF(Source!$C473&gt;=COLUMNS($A473:V473), Source!$E473, "")</f>
        <v/>
      </c>
      <c r="W473" s="2" t="str">
        <f>IF(Source!$C473&gt;=COLUMNS($A473:W473), Source!$E473, "")</f>
        <v/>
      </c>
      <c r="X473" s="2" t="str">
        <f>IF(Source!$C473&gt;=COLUMNS($A473:X473), Source!$E473, "")</f>
        <v/>
      </c>
      <c r="Y473" s="2" t="str">
        <f>IF(Source!$C473&gt;=COLUMNS($A473:Y473), Source!$E473, "")</f>
        <v/>
      </c>
      <c r="Z473" s="2" t="str">
        <f>IF(Source!$C473&gt;=COLUMNS($A473:Z473), Source!$E473, "")</f>
        <v/>
      </c>
      <c r="AA473" s="2" t="str">
        <f>IF(Source!$C473&gt;=COLUMNS($A473:AA473), Source!$E473, "")</f>
        <v/>
      </c>
      <c r="AB473" s="2" t="str">
        <f>IF(Source!$C473&gt;=COLUMNS($A473:AB473), Source!$E473, "")</f>
        <v/>
      </c>
      <c r="AC473" s="2" t="str">
        <f>IF(Source!$C473&gt;=COLUMNS($A473:AC473), Source!$E473, "")</f>
        <v/>
      </c>
      <c r="AD473" s="2" t="str">
        <f>IF(Source!$C473&gt;=COLUMNS($A473:AD473), Source!$E473, "")</f>
        <v/>
      </c>
      <c r="AE473" s="2" t="str">
        <f>IF(Source!$C473&gt;=COLUMNS($A473:AE473), Source!$E473, "")</f>
        <v/>
      </c>
      <c r="AF473" s="2" t="str">
        <f>IF(Source!$C473&gt;=COLUMNS($A473:AF473), Source!$E473, "")</f>
        <v/>
      </c>
      <c r="AG473" s="2" t="str">
        <f>IF(Source!$C473&gt;=COLUMNS($A473:AG473), Source!$E473, "")</f>
        <v/>
      </c>
      <c r="AH473" s="2" t="str">
        <f>IF(Source!$C473&gt;=COLUMNS($A473:AH473), Source!$E473, "")</f>
        <v/>
      </c>
      <c r="AI473" s="2" t="str">
        <f>IF(Source!$C473&gt;=COLUMNS($A473:AI473), Source!$E473, "")</f>
        <v/>
      </c>
      <c r="AJ473" s="2" t="str">
        <f>IF(Source!$C473&gt;=COLUMNS($A473:AJ473), Source!$E473, "")</f>
        <v/>
      </c>
      <c r="AK473" s="2" t="str">
        <f>IF(Source!$C473&gt;=COLUMNS($A473:AK473), Source!$E473, "")</f>
        <v/>
      </c>
      <c r="AL473" s="2" t="str">
        <f>IF(Source!$C473&gt;=COLUMNS($A473:AL473), Source!$E473, "")</f>
        <v/>
      </c>
      <c r="AM473" s="2" t="str">
        <f>IF(Source!$C473&gt;=COLUMNS($A473:AM473), Source!$E473, "")</f>
        <v/>
      </c>
      <c r="AN473" s="2" t="str">
        <f>IF(Source!$C473&gt;=COLUMNS($A473:AN473), Source!$E473, "")</f>
        <v/>
      </c>
      <c r="AO473" s="2" t="str">
        <f>IF(Source!$C473&gt;=COLUMNS($A473:AO473), Source!$E473, "")</f>
        <v/>
      </c>
      <c r="AP473" s="2" t="str">
        <f>IF(Source!$C473&gt;=COLUMNS($A473:AP473), Source!$E473, "")</f>
        <v/>
      </c>
      <c r="AQ473" s="2" t="str">
        <f>IF(Source!$C473&gt;=COLUMNS($A473:AQ473), Source!$E473, "")</f>
        <v/>
      </c>
      <c r="AR473" s="2" t="str">
        <f>IF(Source!$C473&gt;=COLUMNS($A473:AR473), Source!$E473, "")</f>
        <v/>
      </c>
    </row>
    <row r="474">
      <c r="A474" s="2">
        <f>IF(Source!$C474&gt;=COLUMNS($A474:A474), Source!$E474, "")</f>
        <v>4</v>
      </c>
      <c r="B474" s="2">
        <f>IF(Source!$C474&gt;=COLUMNS($A474:B474), Source!$E474, "")</f>
        <v>4</v>
      </c>
      <c r="C474" s="2" t="str">
        <f>IF(Source!$C474&gt;=COLUMNS($A474:C474), Source!$E474, "")</f>
        <v/>
      </c>
      <c r="D474" s="2" t="str">
        <f>IF(Source!$C474&gt;=COLUMNS($A474:D474), Source!$E474, "")</f>
        <v/>
      </c>
      <c r="E474" s="2" t="str">
        <f>IF(Source!$C474&gt;=COLUMNS($A474:E474), Source!$E474, "")</f>
        <v/>
      </c>
      <c r="F474" s="2" t="str">
        <f>IF(Source!$C474&gt;=COLUMNS($A474:F474), Source!$E474, "")</f>
        <v/>
      </c>
      <c r="G474" s="2" t="str">
        <f>IF(Source!$C474&gt;=COLUMNS($A474:G474), Source!$E474, "")</f>
        <v/>
      </c>
      <c r="H474" s="2" t="str">
        <f>IF(Source!$C474&gt;=COLUMNS($A474:H474), Source!$E474, "")</f>
        <v/>
      </c>
      <c r="I474" s="2" t="str">
        <f>IF(Source!$C474&gt;=COLUMNS($A474:I474), Source!$E474, "")</f>
        <v/>
      </c>
      <c r="J474" s="2" t="str">
        <f>IF(Source!$C474&gt;=COLUMNS($A474:J474), Source!$E474, "")</f>
        <v/>
      </c>
      <c r="K474" s="2" t="str">
        <f>IF(Source!$C474&gt;=COLUMNS($A474:K474), Source!$E474, "")</f>
        <v/>
      </c>
      <c r="L474" s="2" t="str">
        <f>IF(Source!$C474&gt;=COLUMNS($A474:L474), Source!$E474, "")</f>
        <v/>
      </c>
      <c r="M474" s="2" t="str">
        <f>IF(Source!$C474&gt;=COLUMNS($A474:M474), Source!$E474, "")</f>
        <v/>
      </c>
      <c r="N474" s="2" t="str">
        <f>IF(Source!$C474&gt;=COLUMNS($A474:N474), Source!$E474, "")</f>
        <v/>
      </c>
      <c r="O474" s="2" t="str">
        <f>IF(Source!$C474&gt;=COLUMNS($A474:O474), Source!$E474, "")</f>
        <v/>
      </c>
      <c r="P474" s="2" t="str">
        <f>IF(Source!$C474&gt;=COLUMNS($A474:P474), Source!$E474, "")</f>
        <v/>
      </c>
      <c r="Q474" s="2" t="str">
        <f>IF(Source!$C474&gt;=COLUMNS($A474:Q474), Source!$E474, "")</f>
        <v/>
      </c>
      <c r="R474" s="2" t="str">
        <f>IF(Source!$C474&gt;=COLUMNS($A474:R474), Source!$E474, "")</f>
        <v/>
      </c>
      <c r="S474" s="2" t="str">
        <f>IF(Source!$C474&gt;=COLUMNS($A474:S474), Source!$E474, "")</f>
        <v/>
      </c>
      <c r="T474" s="2" t="str">
        <f>IF(Source!$C474&gt;=COLUMNS($A474:T474), Source!$E474, "")</f>
        <v/>
      </c>
      <c r="U474" s="2" t="str">
        <f>IF(Source!$C474&gt;=COLUMNS($A474:U474), Source!$E474, "")</f>
        <v/>
      </c>
      <c r="V474" s="2" t="str">
        <f>IF(Source!$C474&gt;=COLUMNS($A474:V474), Source!$E474, "")</f>
        <v/>
      </c>
      <c r="W474" s="2" t="str">
        <f>IF(Source!$C474&gt;=COLUMNS($A474:W474), Source!$E474, "")</f>
        <v/>
      </c>
      <c r="X474" s="2" t="str">
        <f>IF(Source!$C474&gt;=COLUMNS($A474:X474), Source!$E474, "")</f>
        <v/>
      </c>
      <c r="Y474" s="2" t="str">
        <f>IF(Source!$C474&gt;=COLUMNS($A474:Y474), Source!$E474, "")</f>
        <v/>
      </c>
      <c r="Z474" s="2" t="str">
        <f>IF(Source!$C474&gt;=COLUMNS($A474:Z474), Source!$E474, "")</f>
        <v/>
      </c>
      <c r="AA474" s="2" t="str">
        <f>IF(Source!$C474&gt;=COLUMNS($A474:AA474), Source!$E474, "")</f>
        <v/>
      </c>
      <c r="AB474" s="2" t="str">
        <f>IF(Source!$C474&gt;=COLUMNS($A474:AB474), Source!$E474, "")</f>
        <v/>
      </c>
      <c r="AC474" s="2" t="str">
        <f>IF(Source!$C474&gt;=COLUMNS($A474:AC474), Source!$E474, "")</f>
        <v/>
      </c>
      <c r="AD474" s="2" t="str">
        <f>IF(Source!$C474&gt;=COLUMNS($A474:AD474), Source!$E474, "")</f>
        <v/>
      </c>
      <c r="AE474" s="2" t="str">
        <f>IF(Source!$C474&gt;=COLUMNS($A474:AE474), Source!$E474, "")</f>
        <v/>
      </c>
      <c r="AF474" s="2" t="str">
        <f>IF(Source!$C474&gt;=COLUMNS($A474:AF474), Source!$E474, "")</f>
        <v/>
      </c>
      <c r="AG474" s="2" t="str">
        <f>IF(Source!$C474&gt;=COLUMNS($A474:AG474), Source!$E474, "")</f>
        <v/>
      </c>
      <c r="AH474" s="2" t="str">
        <f>IF(Source!$C474&gt;=COLUMNS($A474:AH474), Source!$E474, "")</f>
        <v/>
      </c>
      <c r="AI474" s="2" t="str">
        <f>IF(Source!$C474&gt;=COLUMNS($A474:AI474), Source!$E474, "")</f>
        <v/>
      </c>
      <c r="AJ474" s="2" t="str">
        <f>IF(Source!$C474&gt;=COLUMNS($A474:AJ474), Source!$E474, "")</f>
        <v/>
      </c>
      <c r="AK474" s="2" t="str">
        <f>IF(Source!$C474&gt;=COLUMNS($A474:AK474), Source!$E474, "")</f>
        <v/>
      </c>
      <c r="AL474" s="2" t="str">
        <f>IF(Source!$C474&gt;=COLUMNS($A474:AL474), Source!$E474, "")</f>
        <v/>
      </c>
      <c r="AM474" s="2" t="str">
        <f>IF(Source!$C474&gt;=COLUMNS($A474:AM474), Source!$E474, "")</f>
        <v/>
      </c>
      <c r="AN474" s="2" t="str">
        <f>IF(Source!$C474&gt;=COLUMNS($A474:AN474), Source!$E474, "")</f>
        <v/>
      </c>
      <c r="AO474" s="2" t="str">
        <f>IF(Source!$C474&gt;=COLUMNS($A474:AO474), Source!$E474, "")</f>
        <v/>
      </c>
      <c r="AP474" s="2" t="str">
        <f>IF(Source!$C474&gt;=COLUMNS($A474:AP474), Source!$E474, "")</f>
        <v/>
      </c>
      <c r="AQ474" s="2" t="str">
        <f>IF(Source!$C474&gt;=COLUMNS($A474:AQ474), Source!$E474, "")</f>
        <v/>
      </c>
      <c r="AR474" s="2" t="str">
        <f>IF(Source!$C474&gt;=COLUMNS($A474:AR474), Source!$E474, "")</f>
        <v/>
      </c>
    </row>
    <row r="475">
      <c r="A475" s="2">
        <f>IF(Source!$C475&gt;=COLUMNS($A475:A475), Source!$E475, "")</f>
        <v>1</v>
      </c>
      <c r="B475" s="2">
        <f>IF(Source!$C475&gt;=COLUMNS($A475:B475), Source!$E475, "")</f>
        <v>1</v>
      </c>
      <c r="C475" s="2">
        <f>IF(Source!$C475&gt;=COLUMNS($A475:C475), Source!$E475, "")</f>
        <v>1</v>
      </c>
      <c r="D475" s="2">
        <f>IF(Source!$C475&gt;=COLUMNS($A475:D475), Source!$E475, "")</f>
        <v>1</v>
      </c>
      <c r="E475" s="2">
        <f>IF(Source!$C475&gt;=COLUMNS($A475:E475), Source!$E475, "")</f>
        <v>1</v>
      </c>
      <c r="F475" s="2">
        <f>IF(Source!$C475&gt;=COLUMNS($A475:F475), Source!$E475, "")</f>
        <v>1</v>
      </c>
      <c r="G475" s="2">
        <f>IF(Source!$C475&gt;=COLUMNS($A475:G475), Source!$E475, "")</f>
        <v>1</v>
      </c>
      <c r="H475" s="2">
        <f>IF(Source!$C475&gt;=COLUMNS($A475:H475), Source!$E475, "")</f>
        <v>1</v>
      </c>
      <c r="I475" s="2" t="str">
        <f>IF(Source!$C475&gt;=COLUMNS($A475:I475), Source!$E475, "")</f>
        <v/>
      </c>
      <c r="J475" s="2" t="str">
        <f>IF(Source!$C475&gt;=COLUMNS($A475:J475), Source!$E475, "")</f>
        <v/>
      </c>
      <c r="K475" s="2" t="str">
        <f>IF(Source!$C475&gt;=COLUMNS($A475:K475), Source!$E475, "")</f>
        <v/>
      </c>
      <c r="L475" s="2" t="str">
        <f>IF(Source!$C475&gt;=COLUMNS($A475:L475), Source!$E475, "")</f>
        <v/>
      </c>
      <c r="M475" s="2" t="str">
        <f>IF(Source!$C475&gt;=COLUMNS($A475:M475), Source!$E475, "")</f>
        <v/>
      </c>
      <c r="N475" s="2" t="str">
        <f>IF(Source!$C475&gt;=COLUMNS($A475:N475), Source!$E475, "")</f>
        <v/>
      </c>
      <c r="O475" s="2" t="str">
        <f>IF(Source!$C475&gt;=COLUMNS($A475:O475), Source!$E475, "")</f>
        <v/>
      </c>
      <c r="P475" s="2" t="str">
        <f>IF(Source!$C475&gt;=COLUMNS($A475:P475), Source!$E475, "")</f>
        <v/>
      </c>
      <c r="Q475" s="2" t="str">
        <f>IF(Source!$C475&gt;=COLUMNS($A475:Q475), Source!$E475, "")</f>
        <v/>
      </c>
      <c r="R475" s="2" t="str">
        <f>IF(Source!$C475&gt;=COLUMNS($A475:R475), Source!$E475, "")</f>
        <v/>
      </c>
      <c r="S475" s="2" t="str">
        <f>IF(Source!$C475&gt;=COLUMNS($A475:S475), Source!$E475, "")</f>
        <v/>
      </c>
      <c r="T475" s="2" t="str">
        <f>IF(Source!$C475&gt;=COLUMNS($A475:T475), Source!$E475, "")</f>
        <v/>
      </c>
      <c r="U475" s="2" t="str">
        <f>IF(Source!$C475&gt;=COLUMNS($A475:U475), Source!$E475, "")</f>
        <v/>
      </c>
      <c r="V475" s="2" t="str">
        <f>IF(Source!$C475&gt;=COLUMNS($A475:V475), Source!$E475, "")</f>
        <v/>
      </c>
      <c r="W475" s="2" t="str">
        <f>IF(Source!$C475&gt;=COLUMNS($A475:W475), Source!$E475, "")</f>
        <v/>
      </c>
      <c r="X475" s="2" t="str">
        <f>IF(Source!$C475&gt;=COLUMNS($A475:X475), Source!$E475, "")</f>
        <v/>
      </c>
      <c r="Y475" s="2" t="str">
        <f>IF(Source!$C475&gt;=COLUMNS($A475:Y475), Source!$E475, "")</f>
        <v/>
      </c>
      <c r="Z475" s="2" t="str">
        <f>IF(Source!$C475&gt;=COLUMNS($A475:Z475), Source!$E475, "")</f>
        <v/>
      </c>
      <c r="AA475" s="2" t="str">
        <f>IF(Source!$C475&gt;=COLUMNS($A475:AA475), Source!$E475, "")</f>
        <v/>
      </c>
      <c r="AB475" s="2" t="str">
        <f>IF(Source!$C475&gt;=COLUMNS($A475:AB475), Source!$E475, "")</f>
        <v/>
      </c>
      <c r="AC475" s="2" t="str">
        <f>IF(Source!$C475&gt;=COLUMNS($A475:AC475), Source!$E475, "")</f>
        <v/>
      </c>
      <c r="AD475" s="2" t="str">
        <f>IF(Source!$C475&gt;=COLUMNS($A475:AD475), Source!$E475, "")</f>
        <v/>
      </c>
      <c r="AE475" s="2" t="str">
        <f>IF(Source!$C475&gt;=COLUMNS($A475:AE475), Source!$E475, "")</f>
        <v/>
      </c>
      <c r="AF475" s="2" t="str">
        <f>IF(Source!$C475&gt;=COLUMNS($A475:AF475), Source!$E475, "")</f>
        <v/>
      </c>
      <c r="AG475" s="2" t="str">
        <f>IF(Source!$C475&gt;=COLUMNS($A475:AG475), Source!$E475, "")</f>
        <v/>
      </c>
      <c r="AH475" s="2" t="str">
        <f>IF(Source!$C475&gt;=COLUMNS($A475:AH475), Source!$E475, "")</f>
        <v/>
      </c>
      <c r="AI475" s="2" t="str">
        <f>IF(Source!$C475&gt;=COLUMNS($A475:AI475), Source!$E475, "")</f>
        <v/>
      </c>
      <c r="AJ475" s="2" t="str">
        <f>IF(Source!$C475&gt;=COLUMNS($A475:AJ475), Source!$E475, "")</f>
        <v/>
      </c>
      <c r="AK475" s="2" t="str">
        <f>IF(Source!$C475&gt;=COLUMNS($A475:AK475), Source!$E475, "")</f>
        <v/>
      </c>
      <c r="AL475" s="2" t="str">
        <f>IF(Source!$C475&gt;=COLUMNS($A475:AL475), Source!$E475, "")</f>
        <v/>
      </c>
      <c r="AM475" s="2" t="str">
        <f>IF(Source!$C475&gt;=COLUMNS($A475:AM475), Source!$E475, "")</f>
        <v/>
      </c>
      <c r="AN475" s="2" t="str">
        <f>IF(Source!$C475&gt;=COLUMNS($A475:AN475), Source!$E475, "")</f>
        <v/>
      </c>
      <c r="AO475" s="2" t="str">
        <f>IF(Source!$C475&gt;=COLUMNS($A475:AO475), Source!$E475, "")</f>
        <v/>
      </c>
      <c r="AP475" s="2" t="str">
        <f>IF(Source!$C475&gt;=COLUMNS($A475:AP475), Source!$E475, "")</f>
        <v/>
      </c>
      <c r="AQ475" s="2" t="str">
        <f>IF(Source!$C475&gt;=COLUMNS($A475:AQ475), Source!$E475, "")</f>
        <v/>
      </c>
      <c r="AR475" s="2" t="str">
        <f>IF(Source!$C475&gt;=COLUMNS($A475:AR475), Source!$E475, "")</f>
        <v/>
      </c>
    </row>
    <row r="476">
      <c r="A476" s="2">
        <f>IF(Source!$C476&gt;=COLUMNS($A476:A476), Source!$E476, "")</f>
        <v>9</v>
      </c>
      <c r="B476" s="2">
        <f>IF(Source!$C476&gt;=COLUMNS($A476:B476), Source!$E476, "")</f>
        <v>9</v>
      </c>
      <c r="C476" s="2">
        <f>IF(Source!$C476&gt;=COLUMNS($A476:C476), Source!$E476, "")</f>
        <v>9</v>
      </c>
      <c r="D476" s="2">
        <f>IF(Source!$C476&gt;=COLUMNS($A476:D476), Source!$E476, "")</f>
        <v>9</v>
      </c>
      <c r="E476" s="2">
        <f>IF(Source!$C476&gt;=COLUMNS($A476:E476), Source!$E476, "")</f>
        <v>9</v>
      </c>
      <c r="F476" s="2">
        <f>IF(Source!$C476&gt;=COLUMNS($A476:F476), Source!$E476, "")</f>
        <v>9</v>
      </c>
      <c r="G476" s="2">
        <f>IF(Source!$C476&gt;=COLUMNS($A476:G476), Source!$E476, "")</f>
        <v>9</v>
      </c>
      <c r="H476" s="2">
        <f>IF(Source!$C476&gt;=COLUMNS($A476:H476), Source!$E476, "")</f>
        <v>9</v>
      </c>
      <c r="I476" s="2" t="str">
        <f>IF(Source!$C476&gt;=COLUMNS($A476:I476), Source!$E476, "")</f>
        <v/>
      </c>
      <c r="J476" s="2" t="str">
        <f>IF(Source!$C476&gt;=COLUMNS($A476:J476), Source!$E476, "")</f>
        <v/>
      </c>
      <c r="K476" s="2" t="str">
        <f>IF(Source!$C476&gt;=COLUMNS($A476:K476), Source!$E476, "")</f>
        <v/>
      </c>
      <c r="L476" s="2" t="str">
        <f>IF(Source!$C476&gt;=COLUMNS($A476:L476), Source!$E476, "")</f>
        <v/>
      </c>
      <c r="M476" s="2" t="str">
        <f>IF(Source!$C476&gt;=COLUMNS($A476:M476), Source!$E476, "")</f>
        <v/>
      </c>
      <c r="N476" s="2" t="str">
        <f>IF(Source!$C476&gt;=COLUMNS($A476:N476), Source!$E476, "")</f>
        <v/>
      </c>
      <c r="O476" s="2" t="str">
        <f>IF(Source!$C476&gt;=COLUMNS($A476:O476), Source!$E476, "")</f>
        <v/>
      </c>
      <c r="P476" s="2" t="str">
        <f>IF(Source!$C476&gt;=COLUMNS($A476:P476), Source!$E476, "")</f>
        <v/>
      </c>
      <c r="Q476" s="2" t="str">
        <f>IF(Source!$C476&gt;=COLUMNS($A476:Q476), Source!$E476, "")</f>
        <v/>
      </c>
      <c r="R476" s="2" t="str">
        <f>IF(Source!$C476&gt;=COLUMNS($A476:R476), Source!$E476, "")</f>
        <v/>
      </c>
      <c r="S476" s="2" t="str">
        <f>IF(Source!$C476&gt;=COLUMNS($A476:S476), Source!$E476, "")</f>
        <v/>
      </c>
      <c r="T476" s="2" t="str">
        <f>IF(Source!$C476&gt;=COLUMNS($A476:T476), Source!$E476, "")</f>
        <v/>
      </c>
      <c r="U476" s="2" t="str">
        <f>IF(Source!$C476&gt;=COLUMNS($A476:U476), Source!$E476, "")</f>
        <v/>
      </c>
      <c r="V476" s="2" t="str">
        <f>IF(Source!$C476&gt;=COLUMNS($A476:V476), Source!$E476, "")</f>
        <v/>
      </c>
      <c r="W476" s="2" t="str">
        <f>IF(Source!$C476&gt;=COLUMNS($A476:W476), Source!$E476, "")</f>
        <v/>
      </c>
      <c r="X476" s="2" t="str">
        <f>IF(Source!$C476&gt;=COLUMNS($A476:X476), Source!$E476, "")</f>
        <v/>
      </c>
      <c r="Y476" s="2" t="str">
        <f>IF(Source!$C476&gt;=COLUMNS($A476:Y476), Source!$E476, "")</f>
        <v/>
      </c>
      <c r="Z476" s="2" t="str">
        <f>IF(Source!$C476&gt;=COLUMNS($A476:Z476), Source!$E476, "")</f>
        <v/>
      </c>
      <c r="AA476" s="2" t="str">
        <f>IF(Source!$C476&gt;=COLUMNS($A476:AA476), Source!$E476, "")</f>
        <v/>
      </c>
      <c r="AB476" s="2" t="str">
        <f>IF(Source!$C476&gt;=COLUMNS($A476:AB476), Source!$E476, "")</f>
        <v/>
      </c>
      <c r="AC476" s="2" t="str">
        <f>IF(Source!$C476&gt;=COLUMNS($A476:AC476), Source!$E476, "")</f>
        <v/>
      </c>
      <c r="AD476" s="2" t="str">
        <f>IF(Source!$C476&gt;=COLUMNS($A476:AD476), Source!$E476, "")</f>
        <v/>
      </c>
      <c r="AE476" s="2" t="str">
        <f>IF(Source!$C476&gt;=COLUMNS($A476:AE476), Source!$E476, "")</f>
        <v/>
      </c>
      <c r="AF476" s="2" t="str">
        <f>IF(Source!$C476&gt;=COLUMNS($A476:AF476), Source!$E476, "")</f>
        <v/>
      </c>
      <c r="AG476" s="2" t="str">
        <f>IF(Source!$C476&gt;=COLUMNS($A476:AG476), Source!$E476, "")</f>
        <v/>
      </c>
      <c r="AH476" s="2" t="str">
        <f>IF(Source!$C476&gt;=COLUMNS($A476:AH476), Source!$E476, "")</f>
        <v/>
      </c>
      <c r="AI476" s="2" t="str">
        <f>IF(Source!$C476&gt;=COLUMNS($A476:AI476), Source!$E476, "")</f>
        <v/>
      </c>
      <c r="AJ476" s="2" t="str">
        <f>IF(Source!$C476&gt;=COLUMNS($A476:AJ476), Source!$E476, "")</f>
        <v/>
      </c>
      <c r="AK476" s="2" t="str">
        <f>IF(Source!$C476&gt;=COLUMNS($A476:AK476), Source!$E476, "")</f>
        <v/>
      </c>
      <c r="AL476" s="2" t="str">
        <f>IF(Source!$C476&gt;=COLUMNS($A476:AL476), Source!$E476, "")</f>
        <v/>
      </c>
      <c r="AM476" s="2" t="str">
        <f>IF(Source!$C476&gt;=COLUMNS($A476:AM476), Source!$E476, "")</f>
        <v/>
      </c>
      <c r="AN476" s="2" t="str">
        <f>IF(Source!$C476&gt;=COLUMNS($A476:AN476), Source!$E476, "")</f>
        <v/>
      </c>
      <c r="AO476" s="2" t="str">
        <f>IF(Source!$C476&gt;=COLUMNS($A476:AO476), Source!$E476, "")</f>
        <v/>
      </c>
      <c r="AP476" s="2" t="str">
        <f>IF(Source!$C476&gt;=COLUMNS($A476:AP476), Source!$E476, "")</f>
        <v/>
      </c>
      <c r="AQ476" s="2" t="str">
        <f>IF(Source!$C476&gt;=COLUMNS($A476:AQ476), Source!$E476, "")</f>
        <v/>
      </c>
      <c r="AR476" s="2" t="str">
        <f>IF(Source!$C476&gt;=COLUMNS($A476:AR476), Source!$E476, "")</f>
        <v/>
      </c>
    </row>
    <row r="477">
      <c r="A477" s="2">
        <f>IF(Source!$C477&gt;=COLUMNS($A477:A477), Source!$E477, "")</f>
        <v>1</v>
      </c>
      <c r="B477" s="2" t="str">
        <f>IF(Source!$C477&gt;=COLUMNS($A477:B477), Source!$E477, "")</f>
        <v/>
      </c>
      <c r="C477" s="2" t="str">
        <f>IF(Source!$C477&gt;=COLUMNS($A477:C477), Source!$E477, "")</f>
        <v/>
      </c>
      <c r="D477" s="2" t="str">
        <f>IF(Source!$C477&gt;=COLUMNS($A477:D477), Source!$E477, "")</f>
        <v/>
      </c>
      <c r="E477" s="2" t="str">
        <f>IF(Source!$C477&gt;=COLUMNS($A477:E477), Source!$E477, "")</f>
        <v/>
      </c>
      <c r="F477" s="2" t="str">
        <f>IF(Source!$C477&gt;=COLUMNS($A477:F477), Source!$E477, "")</f>
        <v/>
      </c>
      <c r="G477" s="2" t="str">
        <f>IF(Source!$C477&gt;=COLUMNS($A477:G477), Source!$E477, "")</f>
        <v/>
      </c>
      <c r="H477" s="2" t="str">
        <f>IF(Source!$C477&gt;=COLUMNS($A477:H477), Source!$E477, "")</f>
        <v/>
      </c>
      <c r="I477" s="2" t="str">
        <f>IF(Source!$C477&gt;=COLUMNS($A477:I477), Source!$E477, "")</f>
        <v/>
      </c>
      <c r="J477" s="2" t="str">
        <f>IF(Source!$C477&gt;=COLUMNS($A477:J477), Source!$E477, "")</f>
        <v/>
      </c>
      <c r="K477" s="2" t="str">
        <f>IF(Source!$C477&gt;=COLUMNS($A477:K477), Source!$E477, "")</f>
        <v/>
      </c>
      <c r="L477" s="2" t="str">
        <f>IF(Source!$C477&gt;=COLUMNS($A477:L477), Source!$E477, "")</f>
        <v/>
      </c>
      <c r="M477" s="2" t="str">
        <f>IF(Source!$C477&gt;=COLUMNS($A477:M477), Source!$E477, "")</f>
        <v/>
      </c>
      <c r="N477" s="2" t="str">
        <f>IF(Source!$C477&gt;=COLUMNS($A477:N477), Source!$E477, "")</f>
        <v/>
      </c>
      <c r="O477" s="2" t="str">
        <f>IF(Source!$C477&gt;=COLUMNS($A477:O477), Source!$E477, "")</f>
        <v/>
      </c>
      <c r="P477" s="2" t="str">
        <f>IF(Source!$C477&gt;=COLUMNS($A477:P477), Source!$E477, "")</f>
        <v/>
      </c>
      <c r="Q477" s="2" t="str">
        <f>IF(Source!$C477&gt;=COLUMNS($A477:Q477), Source!$E477, "")</f>
        <v/>
      </c>
      <c r="R477" s="2" t="str">
        <f>IF(Source!$C477&gt;=COLUMNS($A477:R477), Source!$E477, "")</f>
        <v/>
      </c>
      <c r="S477" s="2" t="str">
        <f>IF(Source!$C477&gt;=COLUMNS($A477:S477), Source!$E477, "")</f>
        <v/>
      </c>
      <c r="T477" s="2" t="str">
        <f>IF(Source!$C477&gt;=COLUMNS($A477:T477), Source!$E477, "")</f>
        <v/>
      </c>
      <c r="U477" s="2" t="str">
        <f>IF(Source!$C477&gt;=COLUMNS($A477:U477), Source!$E477, "")</f>
        <v/>
      </c>
      <c r="V477" s="2" t="str">
        <f>IF(Source!$C477&gt;=COLUMNS($A477:V477), Source!$E477, "")</f>
        <v/>
      </c>
      <c r="W477" s="2" t="str">
        <f>IF(Source!$C477&gt;=COLUMNS($A477:W477), Source!$E477, "")</f>
        <v/>
      </c>
      <c r="X477" s="2" t="str">
        <f>IF(Source!$C477&gt;=COLUMNS($A477:X477), Source!$E477, "")</f>
        <v/>
      </c>
      <c r="Y477" s="2" t="str">
        <f>IF(Source!$C477&gt;=COLUMNS($A477:Y477), Source!$E477, "")</f>
        <v/>
      </c>
      <c r="Z477" s="2" t="str">
        <f>IF(Source!$C477&gt;=COLUMNS($A477:Z477), Source!$E477, "")</f>
        <v/>
      </c>
      <c r="AA477" s="2" t="str">
        <f>IF(Source!$C477&gt;=COLUMNS($A477:AA477), Source!$E477, "")</f>
        <v/>
      </c>
      <c r="AB477" s="2" t="str">
        <f>IF(Source!$C477&gt;=COLUMNS($A477:AB477), Source!$E477, "")</f>
        <v/>
      </c>
      <c r="AC477" s="2" t="str">
        <f>IF(Source!$C477&gt;=COLUMNS($A477:AC477), Source!$E477, "")</f>
        <v/>
      </c>
      <c r="AD477" s="2" t="str">
        <f>IF(Source!$C477&gt;=COLUMNS($A477:AD477), Source!$E477, "")</f>
        <v/>
      </c>
      <c r="AE477" s="2" t="str">
        <f>IF(Source!$C477&gt;=COLUMNS($A477:AE477), Source!$E477, "")</f>
        <v/>
      </c>
      <c r="AF477" s="2" t="str">
        <f>IF(Source!$C477&gt;=COLUMNS($A477:AF477), Source!$E477, "")</f>
        <v/>
      </c>
      <c r="AG477" s="2" t="str">
        <f>IF(Source!$C477&gt;=COLUMNS($A477:AG477), Source!$E477, "")</f>
        <v/>
      </c>
      <c r="AH477" s="2" t="str">
        <f>IF(Source!$C477&gt;=COLUMNS($A477:AH477), Source!$E477, "")</f>
        <v/>
      </c>
      <c r="AI477" s="2" t="str">
        <f>IF(Source!$C477&gt;=COLUMNS($A477:AI477), Source!$E477, "")</f>
        <v/>
      </c>
      <c r="AJ477" s="2" t="str">
        <f>IF(Source!$C477&gt;=COLUMNS($A477:AJ477), Source!$E477, "")</f>
        <v/>
      </c>
      <c r="AK477" s="2" t="str">
        <f>IF(Source!$C477&gt;=COLUMNS($A477:AK477), Source!$E477, "")</f>
        <v/>
      </c>
      <c r="AL477" s="2" t="str">
        <f>IF(Source!$C477&gt;=COLUMNS($A477:AL477), Source!$E477, "")</f>
        <v/>
      </c>
      <c r="AM477" s="2" t="str">
        <f>IF(Source!$C477&gt;=COLUMNS($A477:AM477), Source!$E477, "")</f>
        <v/>
      </c>
      <c r="AN477" s="2" t="str">
        <f>IF(Source!$C477&gt;=COLUMNS($A477:AN477), Source!$E477, "")</f>
        <v/>
      </c>
      <c r="AO477" s="2" t="str">
        <f>IF(Source!$C477&gt;=COLUMNS($A477:AO477), Source!$E477, "")</f>
        <v/>
      </c>
      <c r="AP477" s="2" t="str">
        <f>IF(Source!$C477&gt;=COLUMNS($A477:AP477), Source!$E477, "")</f>
        <v/>
      </c>
      <c r="AQ477" s="2" t="str">
        <f>IF(Source!$C477&gt;=COLUMNS($A477:AQ477), Source!$E477, "")</f>
        <v/>
      </c>
      <c r="AR477" s="2" t="str">
        <f>IF(Source!$C477&gt;=COLUMNS($A477:AR477), Source!$E477, "")</f>
        <v/>
      </c>
    </row>
    <row r="478">
      <c r="A478" s="2">
        <f>IF(Source!$C478&gt;=COLUMNS($A478:A478), Source!$E478, "")</f>
        <v>5</v>
      </c>
      <c r="B478" s="2">
        <f>IF(Source!$C478&gt;=COLUMNS($A478:B478), Source!$E478, "")</f>
        <v>5</v>
      </c>
      <c r="C478" s="2">
        <f>IF(Source!$C478&gt;=COLUMNS($A478:C478), Source!$E478, "")</f>
        <v>5</v>
      </c>
      <c r="D478" s="2" t="str">
        <f>IF(Source!$C478&gt;=COLUMNS($A478:D478), Source!$E478, "")</f>
        <v/>
      </c>
      <c r="E478" s="2" t="str">
        <f>IF(Source!$C478&gt;=COLUMNS($A478:E478), Source!$E478, "")</f>
        <v/>
      </c>
      <c r="F478" s="2" t="str">
        <f>IF(Source!$C478&gt;=COLUMNS($A478:F478), Source!$E478, "")</f>
        <v/>
      </c>
      <c r="G478" s="2" t="str">
        <f>IF(Source!$C478&gt;=COLUMNS($A478:G478), Source!$E478, "")</f>
        <v/>
      </c>
      <c r="H478" s="2" t="str">
        <f>IF(Source!$C478&gt;=COLUMNS($A478:H478), Source!$E478, "")</f>
        <v/>
      </c>
      <c r="I478" s="2" t="str">
        <f>IF(Source!$C478&gt;=COLUMNS($A478:I478), Source!$E478, "")</f>
        <v/>
      </c>
      <c r="J478" s="2" t="str">
        <f>IF(Source!$C478&gt;=COLUMNS($A478:J478), Source!$E478, "")</f>
        <v/>
      </c>
      <c r="K478" s="2" t="str">
        <f>IF(Source!$C478&gt;=COLUMNS($A478:K478), Source!$E478, "")</f>
        <v/>
      </c>
      <c r="L478" s="2" t="str">
        <f>IF(Source!$C478&gt;=COLUMNS($A478:L478), Source!$E478, "")</f>
        <v/>
      </c>
      <c r="M478" s="2" t="str">
        <f>IF(Source!$C478&gt;=COLUMNS($A478:M478), Source!$E478, "")</f>
        <v/>
      </c>
      <c r="N478" s="2" t="str">
        <f>IF(Source!$C478&gt;=COLUMNS($A478:N478), Source!$E478, "")</f>
        <v/>
      </c>
      <c r="O478" s="2" t="str">
        <f>IF(Source!$C478&gt;=COLUMNS($A478:O478), Source!$E478, "")</f>
        <v/>
      </c>
      <c r="P478" s="2" t="str">
        <f>IF(Source!$C478&gt;=COLUMNS($A478:P478), Source!$E478, "")</f>
        <v/>
      </c>
      <c r="Q478" s="2" t="str">
        <f>IF(Source!$C478&gt;=COLUMNS($A478:Q478), Source!$E478, "")</f>
        <v/>
      </c>
      <c r="R478" s="2" t="str">
        <f>IF(Source!$C478&gt;=COLUMNS($A478:R478), Source!$E478, "")</f>
        <v/>
      </c>
      <c r="S478" s="2" t="str">
        <f>IF(Source!$C478&gt;=COLUMNS($A478:S478), Source!$E478, "")</f>
        <v/>
      </c>
      <c r="T478" s="2" t="str">
        <f>IF(Source!$C478&gt;=COLUMNS($A478:T478), Source!$E478, "")</f>
        <v/>
      </c>
      <c r="U478" s="2" t="str">
        <f>IF(Source!$C478&gt;=COLUMNS($A478:U478), Source!$E478, "")</f>
        <v/>
      </c>
      <c r="V478" s="2" t="str">
        <f>IF(Source!$C478&gt;=COLUMNS($A478:V478), Source!$E478, "")</f>
        <v/>
      </c>
      <c r="W478" s="2" t="str">
        <f>IF(Source!$C478&gt;=COLUMNS($A478:W478), Source!$E478, "")</f>
        <v/>
      </c>
      <c r="X478" s="2" t="str">
        <f>IF(Source!$C478&gt;=COLUMNS($A478:X478), Source!$E478, "")</f>
        <v/>
      </c>
      <c r="Y478" s="2" t="str">
        <f>IF(Source!$C478&gt;=COLUMNS($A478:Y478), Source!$E478, "")</f>
        <v/>
      </c>
      <c r="Z478" s="2" t="str">
        <f>IF(Source!$C478&gt;=COLUMNS($A478:Z478), Source!$E478, "")</f>
        <v/>
      </c>
      <c r="AA478" s="2" t="str">
        <f>IF(Source!$C478&gt;=COLUMNS($A478:AA478), Source!$E478, "")</f>
        <v/>
      </c>
      <c r="AB478" s="2" t="str">
        <f>IF(Source!$C478&gt;=COLUMNS($A478:AB478), Source!$E478, "")</f>
        <v/>
      </c>
      <c r="AC478" s="2" t="str">
        <f>IF(Source!$C478&gt;=COLUMNS($A478:AC478), Source!$E478, "")</f>
        <v/>
      </c>
      <c r="AD478" s="2" t="str">
        <f>IF(Source!$C478&gt;=COLUMNS($A478:AD478), Source!$E478, "")</f>
        <v/>
      </c>
      <c r="AE478" s="2" t="str">
        <f>IF(Source!$C478&gt;=COLUMNS($A478:AE478), Source!$E478, "")</f>
        <v/>
      </c>
      <c r="AF478" s="2" t="str">
        <f>IF(Source!$C478&gt;=COLUMNS($A478:AF478), Source!$E478, "")</f>
        <v/>
      </c>
      <c r="AG478" s="2" t="str">
        <f>IF(Source!$C478&gt;=COLUMNS($A478:AG478), Source!$E478, "")</f>
        <v/>
      </c>
      <c r="AH478" s="2" t="str">
        <f>IF(Source!$C478&gt;=COLUMNS($A478:AH478), Source!$E478, "")</f>
        <v/>
      </c>
      <c r="AI478" s="2" t="str">
        <f>IF(Source!$C478&gt;=COLUMNS($A478:AI478), Source!$E478, "")</f>
        <v/>
      </c>
      <c r="AJ478" s="2" t="str">
        <f>IF(Source!$C478&gt;=COLUMNS($A478:AJ478), Source!$E478, "")</f>
        <v/>
      </c>
      <c r="AK478" s="2" t="str">
        <f>IF(Source!$C478&gt;=COLUMNS($A478:AK478), Source!$E478, "")</f>
        <v/>
      </c>
      <c r="AL478" s="2" t="str">
        <f>IF(Source!$C478&gt;=COLUMNS($A478:AL478), Source!$E478, "")</f>
        <v/>
      </c>
      <c r="AM478" s="2" t="str">
        <f>IF(Source!$C478&gt;=COLUMNS($A478:AM478), Source!$E478, "")</f>
        <v/>
      </c>
      <c r="AN478" s="2" t="str">
        <f>IF(Source!$C478&gt;=COLUMNS($A478:AN478), Source!$E478, "")</f>
        <v/>
      </c>
      <c r="AO478" s="2" t="str">
        <f>IF(Source!$C478&gt;=COLUMNS($A478:AO478), Source!$E478, "")</f>
        <v/>
      </c>
      <c r="AP478" s="2" t="str">
        <f>IF(Source!$C478&gt;=COLUMNS($A478:AP478), Source!$E478, "")</f>
        <v/>
      </c>
      <c r="AQ478" s="2" t="str">
        <f>IF(Source!$C478&gt;=COLUMNS($A478:AQ478), Source!$E478, "")</f>
        <v/>
      </c>
      <c r="AR478" s="2" t="str">
        <f>IF(Source!$C478&gt;=COLUMNS($A478:AR478), Source!$E478, "")</f>
        <v/>
      </c>
    </row>
    <row r="479">
      <c r="A479" s="2">
        <f>IF(Source!$C479&gt;=COLUMNS($A479:A479), Source!$E479, "")</f>
        <v>8</v>
      </c>
      <c r="B479" s="2">
        <f>IF(Source!$C479&gt;=COLUMNS($A479:B479), Source!$E479, "")</f>
        <v>8</v>
      </c>
      <c r="C479" s="2">
        <f>IF(Source!$C479&gt;=COLUMNS($A479:C479), Source!$E479, "")</f>
        <v>8</v>
      </c>
      <c r="D479" s="2">
        <f>IF(Source!$C479&gt;=COLUMNS($A479:D479), Source!$E479, "")</f>
        <v>8</v>
      </c>
      <c r="E479" s="2" t="str">
        <f>IF(Source!$C479&gt;=COLUMNS($A479:E479), Source!$E479, "")</f>
        <v/>
      </c>
      <c r="F479" s="2" t="str">
        <f>IF(Source!$C479&gt;=COLUMNS($A479:F479), Source!$E479, "")</f>
        <v/>
      </c>
      <c r="G479" s="2" t="str">
        <f>IF(Source!$C479&gt;=COLUMNS($A479:G479), Source!$E479, "")</f>
        <v/>
      </c>
      <c r="H479" s="2" t="str">
        <f>IF(Source!$C479&gt;=COLUMNS($A479:H479), Source!$E479, "")</f>
        <v/>
      </c>
      <c r="I479" s="2" t="str">
        <f>IF(Source!$C479&gt;=COLUMNS($A479:I479), Source!$E479, "")</f>
        <v/>
      </c>
      <c r="J479" s="2" t="str">
        <f>IF(Source!$C479&gt;=COLUMNS($A479:J479), Source!$E479, "")</f>
        <v/>
      </c>
      <c r="K479" s="2" t="str">
        <f>IF(Source!$C479&gt;=COLUMNS($A479:K479), Source!$E479, "")</f>
        <v/>
      </c>
      <c r="L479" s="2" t="str">
        <f>IF(Source!$C479&gt;=COLUMNS($A479:L479), Source!$E479, "")</f>
        <v/>
      </c>
      <c r="M479" s="2" t="str">
        <f>IF(Source!$C479&gt;=COLUMNS($A479:M479), Source!$E479, "")</f>
        <v/>
      </c>
      <c r="N479" s="2" t="str">
        <f>IF(Source!$C479&gt;=COLUMNS($A479:N479), Source!$E479, "")</f>
        <v/>
      </c>
      <c r="O479" s="2" t="str">
        <f>IF(Source!$C479&gt;=COLUMNS($A479:O479), Source!$E479, "")</f>
        <v/>
      </c>
      <c r="P479" s="2" t="str">
        <f>IF(Source!$C479&gt;=COLUMNS($A479:P479), Source!$E479, "")</f>
        <v/>
      </c>
      <c r="Q479" s="2" t="str">
        <f>IF(Source!$C479&gt;=COLUMNS($A479:Q479), Source!$E479, "")</f>
        <v/>
      </c>
      <c r="R479" s="2" t="str">
        <f>IF(Source!$C479&gt;=COLUMNS($A479:R479), Source!$E479, "")</f>
        <v/>
      </c>
      <c r="S479" s="2" t="str">
        <f>IF(Source!$C479&gt;=COLUMNS($A479:S479), Source!$E479, "")</f>
        <v/>
      </c>
      <c r="T479" s="2" t="str">
        <f>IF(Source!$C479&gt;=COLUMNS($A479:T479), Source!$E479, "")</f>
        <v/>
      </c>
      <c r="U479" s="2" t="str">
        <f>IF(Source!$C479&gt;=COLUMNS($A479:U479), Source!$E479, "")</f>
        <v/>
      </c>
      <c r="V479" s="2" t="str">
        <f>IF(Source!$C479&gt;=COLUMNS($A479:V479), Source!$E479, "")</f>
        <v/>
      </c>
      <c r="W479" s="2" t="str">
        <f>IF(Source!$C479&gt;=COLUMNS($A479:W479), Source!$E479, "")</f>
        <v/>
      </c>
      <c r="X479" s="2" t="str">
        <f>IF(Source!$C479&gt;=COLUMNS($A479:X479), Source!$E479, "")</f>
        <v/>
      </c>
      <c r="Y479" s="2" t="str">
        <f>IF(Source!$C479&gt;=COLUMNS($A479:Y479), Source!$E479, "")</f>
        <v/>
      </c>
      <c r="Z479" s="2" t="str">
        <f>IF(Source!$C479&gt;=COLUMNS($A479:Z479), Source!$E479, "")</f>
        <v/>
      </c>
      <c r="AA479" s="2" t="str">
        <f>IF(Source!$C479&gt;=COLUMNS($A479:AA479), Source!$E479, "")</f>
        <v/>
      </c>
      <c r="AB479" s="2" t="str">
        <f>IF(Source!$C479&gt;=COLUMNS($A479:AB479), Source!$E479, "")</f>
        <v/>
      </c>
      <c r="AC479" s="2" t="str">
        <f>IF(Source!$C479&gt;=COLUMNS($A479:AC479), Source!$E479, "")</f>
        <v/>
      </c>
      <c r="AD479" s="2" t="str">
        <f>IF(Source!$C479&gt;=COLUMNS($A479:AD479), Source!$E479, "")</f>
        <v/>
      </c>
      <c r="AE479" s="2" t="str">
        <f>IF(Source!$C479&gt;=COLUMNS($A479:AE479), Source!$E479, "")</f>
        <v/>
      </c>
      <c r="AF479" s="2" t="str">
        <f>IF(Source!$C479&gt;=COLUMNS($A479:AF479), Source!$E479, "")</f>
        <v/>
      </c>
      <c r="AG479" s="2" t="str">
        <f>IF(Source!$C479&gt;=COLUMNS($A479:AG479), Source!$E479, "")</f>
        <v/>
      </c>
      <c r="AH479" s="2" t="str">
        <f>IF(Source!$C479&gt;=COLUMNS($A479:AH479), Source!$E479, "")</f>
        <v/>
      </c>
      <c r="AI479" s="2" t="str">
        <f>IF(Source!$C479&gt;=COLUMNS($A479:AI479), Source!$E479, "")</f>
        <v/>
      </c>
      <c r="AJ479" s="2" t="str">
        <f>IF(Source!$C479&gt;=COLUMNS($A479:AJ479), Source!$E479, "")</f>
        <v/>
      </c>
      <c r="AK479" s="2" t="str">
        <f>IF(Source!$C479&gt;=COLUMNS($A479:AK479), Source!$E479, "")</f>
        <v/>
      </c>
      <c r="AL479" s="2" t="str">
        <f>IF(Source!$C479&gt;=COLUMNS($A479:AL479), Source!$E479, "")</f>
        <v/>
      </c>
      <c r="AM479" s="2" t="str">
        <f>IF(Source!$C479&gt;=COLUMNS($A479:AM479), Source!$E479, "")</f>
        <v/>
      </c>
      <c r="AN479" s="2" t="str">
        <f>IF(Source!$C479&gt;=COLUMNS($A479:AN479), Source!$E479, "")</f>
        <v/>
      </c>
      <c r="AO479" s="2" t="str">
        <f>IF(Source!$C479&gt;=COLUMNS($A479:AO479), Source!$E479, "")</f>
        <v/>
      </c>
      <c r="AP479" s="2" t="str">
        <f>IF(Source!$C479&gt;=COLUMNS($A479:AP479), Source!$E479, "")</f>
        <v/>
      </c>
      <c r="AQ479" s="2" t="str">
        <f>IF(Source!$C479&gt;=COLUMNS($A479:AQ479), Source!$E479, "")</f>
        <v/>
      </c>
      <c r="AR479" s="2" t="str">
        <f>IF(Source!$C479&gt;=COLUMNS($A479:AR479), Source!$E479, "")</f>
        <v/>
      </c>
    </row>
    <row r="480">
      <c r="A480" s="2">
        <f>IF(Source!$C480&gt;=COLUMNS($A480:A480), Source!$E480, "")</f>
        <v>3</v>
      </c>
      <c r="B480" s="2" t="str">
        <f>IF(Source!$C480&gt;=COLUMNS($A480:B480), Source!$E480, "")</f>
        <v/>
      </c>
      <c r="C480" s="2" t="str">
        <f>IF(Source!$C480&gt;=COLUMNS($A480:C480), Source!$E480, "")</f>
        <v/>
      </c>
      <c r="D480" s="2" t="str">
        <f>IF(Source!$C480&gt;=COLUMNS($A480:D480), Source!$E480, "")</f>
        <v/>
      </c>
      <c r="E480" s="2" t="str">
        <f>IF(Source!$C480&gt;=COLUMNS($A480:E480), Source!$E480, "")</f>
        <v/>
      </c>
      <c r="F480" s="2" t="str">
        <f>IF(Source!$C480&gt;=COLUMNS($A480:F480), Source!$E480, "")</f>
        <v/>
      </c>
      <c r="G480" s="2" t="str">
        <f>IF(Source!$C480&gt;=COLUMNS($A480:G480), Source!$E480, "")</f>
        <v/>
      </c>
      <c r="H480" s="2" t="str">
        <f>IF(Source!$C480&gt;=COLUMNS($A480:H480), Source!$E480, "")</f>
        <v/>
      </c>
      <c r="I480" s="2" t="str">
        <f>IF(Source!$C480&gt;=COLUMNS($A480:I480), Source!$E480, "")</f>
        <v/>
      </c>
      <c r="J480" s="2" t="str">
        <f>IF(Source!$C480&gt;=COLUMNS($A480:J480), Source!$E480, "")</f>
        <v/>
      </c>
      <c r="K480" s="2" t="str">
        <f>IF(Source!$C480&gt;=COLUMNS($A480:K480), Source!$E480, "")</f>
        <v/>
      </c>
      <c r="L480" s="2" t="str">
        <f>IF(Source!$C480&gt;=COLUMNS($A480:L480), Source!$E480, "")</f>
        <v/>
      </c>
      <c r="M480" s="2" t="str">
        <f>IF(Source!$C480&gt;=COLUMNS($A480:M480), Source!$E480, "")</f>
        <v/>
      </c>
      <c r="N480" s="2" t="str">
        <f>IF(Source!$C480&gt;=COLUMNS($A480:N480), Source!$E480, "")</f>
        <v/>
      </c>
      <c r="O480" s="2" t="str">
        <f>IF(Source!$C480&gt;=COLUMNS($A480:O480), Source!$E480, "")</f>
        <v/>
      </c>
      <c r="P480" s="2" t="str">
        <f>IF(Source!$C480&gt;=COLUMNS($A480:P480), Source!$E480, "")</f>
        <v/>
      </c>
      <c r="Q480" s="2" t="str">
        <f>IF(Source!$C480&gt;=COLUMNS($A480:Q480), Source!$E480, "")</f>
        <v/>
      </c>
      <c r="R480" s="2" t="str">
        <f>IF(Source!$C480&gt;=COLUMNS($A480:R480), Source!$E480, "")</f>
        <v/>
      </c>
      <c r="S480" s="2" t="str">
        <f>IF(Source!$C480&gt;=COLUMNS($A480:S480), Source!$E480, "")</f>
        <v/>
      </c>
      <c r="T480" s="2" t="str">
        <f>IF(Source!$C480&gt;=COLUMNS($A480:T480), Source!$E480, "")</f>
        <v/>
      </c>
      <c r="U480" s="2" t="str">
        <f>IF(Source!$C480&gt;=COLUMNS($A480:U480), Source!$E480, "")</f>
        <v/>
      </c>
      <c r="V480" s="2" t="str">
        <f>IF(Source!$C480&gt;=COLUMNS($A480:V480), Source!$E480, "")</f>
        <v/>
      </c>
      <c r="W480" s="2" t="str">
        <f>IF(Source!$C480&gt;=COLUMNS($A480:W480), Source!$E480, "")</f>
        <v/>
      </c>
      <c r="X480" s="2" t="str">
        <f>IF(Source!$C480&gt;=COLUMNS($A480:X480), Source!$E480, "")</f>
        <v/>
      </c>
      <c r="Y480" s="2" t="str">
        <f>IF(Source!$C480&gt;=COLUMNS($A480:Y480), Source!$E480, "")</f>
        <v/>
      </c>
      <c r="Z480" s="2" t="str">
        <f>IF(Source!$C480&gt;=COLUMNS($A480:Z480), Source!$E480, "")</f>
        <v/>
      </c>
      <c r="AA480" s="2" t="str">
        <f>IF(Source!$C480&gt;=COLUMNS($A480:AA480), Source!$E480, "")</f>
        <v/>
      </c>
      <c r="AB480" s="2" t="str">
        <f>IF(Source!$C480&gt;=COLUMNS($A480:AB480), Source!$E480, "")</f>
        <v/>
      </c>
      <c r="AC480" s="2" t="str">
        <f>IF(Source!$C480&gt;=COLUMNS($A480:AC480), Source!$E480, "")</f>
        <v/>
      </c>
      <c r="AD480" s="2" t="str">
        <f>IF(Source!$C480&gt;=COLUMNS($A480:AD480), Source!$E480, "")</f>
        <v/>
      </c>
      <c r="AE480" s="2" t="str">
        <f>IF(Source!$C480&gt;=COLUMNS($A480:AE480), Source!$E480, "")</f>
        <v/>
      </c>
      <c r="AF480" s="2" t="str">
        <f>IF(Source!$C480&gt;=COLUMNS($A480:AF480), Source!$E480, "")</f>
        <v/>
      </c>
      <c r="AG480" s="2" t="str">
        <f>IF(Source!$C480&gt;=COLUMNS($A480:AG480), Source!$E480, "")</f>
        <v/>
      </c>
      <c r="AH480" s="2" t="str">
        <f>IF(Source!$C480&gt;=COLUMNS($A480:AH480), Source!$E480, "")</f>
        <v/>
      </c>
      <c r="AI480" s="2" t="str">
        <f>IF(Source!$C480&gt;=COLUMNS($A480:AI480), Source!$E480, "")</f>
        <v/>
      </c>
      <c r="AJ480" s="2" t="str">
        <f>IF(Source!$C480&gt;=COLUMNS($A480:AJ480), Source!$E480, "")</f>
        <v/>
      </c>
      <c r="AK480" s="2" t="str">
        <f>IF(Source!$C480&gt;=COLUMNS($A480:AK480), Source!$E480, "")</f>
        <v/>
      </c>
      <c r="AL480" s="2" t="str">
        <f>IF(Source!$C480&gt;=COLUMNS($A480:AL480), Source!$E480, "")</f>
        <v/>
      </c>
      <c r="AM480" s="2" t="str">
        <f>IF(Source!$C480&gt;=COLUMNS($A480:AM480), Source!$E480, "")</f>
        <v/>
      </c>
      <c r="AN480" s="2" t="str">
        <f>IF(Source!$C480&gt;=COLUMNS($A480:AN480), Source!$E480, "")</f>
        <v/>
      </c>
      <c r="AO480" s="2" t="str">
        <f>IF(Source!$C480&gt;=COLUMNS($A480:AO480), Source!$E480, "")</f>
        <v/>
      </c>
      <c r="AP480" s="2" t="str">
        <f>IF(Source!$C480&gt;=COLUMNS($A480:AP480), Source!$E480, "")</f>
        <v/>
      </c>
      <c r="AQ480" s="2" t="str">
        <f>IF(Source!$C480&gt;=COLUMNS($A480:AQ480), Source!$E480, "")</f>
        <v/>
      </c>
      <c r="AR480" s="2" t="str">
        <f>IF(Source!$C480&gt;=COLUMNS($A480:AR480), Source!$E480, "")</f>
        <v/>
      </c>
    </row>
    <row r="481">
      <c r="A481" s="2">
        <f>IF(Source!$C481&gt;=COLUMNS($A481:A481), Source!$E481, "")</f>
        <v>4</v>
      </c>
      <c r="B481" s="2">
        <f>IF(Source!$C481&gt;=COLUMNS($A481:B481), Source!$E481, "")</f>
        <v>4</v>
      </c>
      <c r="C481" s="2" t="str">
        <f>IF(Source!$C481&gt;=COLUMNS($A481:C481), Source!$E481, "")</f>
        <v/>
      </c>
      <c r="D481" s="2" t="str">
        <f>IF(Source!$C481&gt;=COLUMNS($A481:D481), Source!$E481, "")</f>
        <v/>
      </c>
      <c r="E481" s="2" t="str">
        <f>IF(Source!$C481&gt;=COLUMNS($A481:E481), Source!$E481, "")</f>
        <v/>
      </c>
      <c r="F481" s="2" t="str">
        <f>IF(Source!$C481&gt;=COLUMNS($A481:F481), Source!$E481, "")</f>
        <v/>
      </c>
      <c r="G481" s="2" t="str">
        <f>IF(Source!$C481&gt;=COLUMNS($A481:G481), Source!$E481, "")</f>
        <v/>
      </c>
      <c r="H481" s="2" t="str">
        <f>IF(Source!$C481&gt;=COLUMNS($A481:H481), Source!$E481, "")</f>
        <v/>
      </c>
      <c r="I481" s="2" t="str">
        <f>IF(Source!$C481&gt;=COLUMNS($A481:I481), Source!$E481, "")</f>
        <v/>
      </c>
      <c r="J481" s="2" t="str">
        <f>IF(Source!$C481&gt;=COLUMNS($A481:J481), Source!$E481, "")</f>
        <v/>
      </c>
      <c r="K481" s="2" t="str">
        <f>IF(Source!$C481&gt;=COLUMNS($A481:K481), Source!$E481, "")</f>
        <v/>
      </c>
      <c r="L481" s="2" t="str">
        <f>IF(Source!$C481&gt;=COLUMNS($A481:L481), Source!$E481, "")</f>
        <v/>
      </c>
      <c r="M481" s="2" t="str">
        <f>IF(Source!$C481&gt;=COLUMNS($A481:M481), Source!$E481, "")</f>
        <v/>
      </c>
      <c r="N481" s="2" t="str">
        <f>IF(Source!$C481&gt;=COLUMNS($A481:N481), Source!$E481, "")</f>
        <v/>
      </c>
      <c r="O481" s="2" t="str">
        <f>IF(Source!$C481&gt;=COLUMNS($A481:O481), Source!$E481, "")</f>
        <v/>
      </c>
      <c r="P481" s="2" t="str">
        <f>IF(Source!$C481&gt;=COLUMNS($A481:P481), Source!$E481, "")</f>
        <v/>
      </c>
      <c r="Q481" s="2" t="str">
        <f>IF(Source!$C481&gt;=COLUMNS($A481:Q481), Source!$E481, "")</f>
        <v/>
      </c>
      <c r="R481" s="2" t="str">
        <f>IF(Source!$C481&gt;=COLUMNS($A481:R481), Source!$E481, "")</f>
        <v/>
      </c>
      <c r="S481" s="2" t="str">
        <f>IF(Source!$C481&gt;=COLUMNS($A481:S481), Source!$E481, "")</f>
        <v/>
      </c>
      <c r="T481" s="2" t="str">
        <f>IF(Source!$C481&gt;=COLUMNS($A481:T481), Source!$E481, "")</f>
        <v/>
      </c>
      <c r="U481" s="2" t="str">
        <f>IF(Source!$C481&gt;=COLUMNS($A481:U481), Source!$E481, "")</f>
        <v/>
      </c>
      <c r="V481" s="2" t="str">
        <f>IF(Source!$C481&gt;=COLUMNS($A481:V481), Source!$E481, "")</f>
        <v/>
      </c>
      <c r="W481" s="2" t="str">
        <f>IF(Source!$C481&gt;=COLUMNS($A481:W481), Source!$E481, "")</f>
        <v/>
      </c>
      <c r="X481" s="2" t="str">
        <f>IF(Source!$C481&gt;=COLUMNS($A481:X481), Source!$E481, "")</f>
        <v/>
      </c>
      <c r="Y481" s="2" t="str">
        <f>IF(Source!$C481&gt;=COLUMNS($A481:Y481), Source!$E481, "")</f>
        <v/>
      </c>
      <c r="Z481" s="2" t="str">
        <f>IF(Source!$C481&gt;=COLUMNS($A481:Z481), Source!$E481, "")</f>
        <v/>
      </c>
      <c r="AA481" s="2" t="str">
        <f>IF(Source!$C481&gt;=COLUMNS($A481:AA481), Source!$E481, "")</f>
        <v/>
      </c>
      <c r="AB481" s="2" t="str">
        <f>IF(Source!$C481&gt;=COLUMNS($A481:AB481), Source!$E481, "")</f>
        <v/>
      </c>
      <c r="AC481" s="2" t="str">
        <f>IF(Source!$C481&gt;=COLUMNS($A481:AC481), Source!$E481, "")</f>
        <v/>
      </c>
      <c r="AD481" s="2" t="str">
        <f>IF(Source!$C481&gt;=COLUMNS($A481:AD481), Source!$E481, "")</f>
        <v/>
      </c>
      <c r="AE481" s="2" t="str">
        <f>IF(Source!$C481&gt;=COLUMNS($A481:AE481), Source!$E481, "")</f>
        <v/>
      </c>
      <c r="AF481" s="2" t="str">
        <f>IF(Source!$C481&gt;=COLUMNS($A481:AF481), Source!$E481, "")</f>
        <v/>
      </c>
      <c r="AG481" s="2" t="str">
        <f>IF(Source!$C481&gt;=COLUMNS($A481:AG481), Source!$E481, "")</f>
        <v/>
      </c>
      <c r="AH481" s="2" t="str">
        <f>IF(Source!$C481&gt;=COLUMNS($A481:AH481), Source!$E481, "")</f>
        <v/>
      </c>
      <c r="AI481" s="2" t="str">
        <f>IF(Source!$C481&gt;=COLUMNS($A481:AI481), Source!$E481, "")</f>
        <v/>
      </c>
      <c r="AJ481" s="2" t="str">
        <f>IF(Source!$C481&gt;=COLUMNS($A481:AJ481), Source!$E481, "")</f>
        <v/>
      </c>
      <c r="AK481" s="2" t="str">
        <f>IF(Source!$C481&gt;=COLUMNS($A481:AK481), Source!$E481, "")</f>
        <v/>
      </c>
      <c r="AL481" s="2" t="str">
        <f>IF(Source!$C481&gt;=COLUMNS($A481:AL481), Source!$E481, "")</f>
        <v/>
      </c>
      <c r="AM481" s="2" t="str">
        <f>IF(Source!$C481&gt;=COLUMNS($A481:AM481), Source!$E481, "")</f>
        <v/>
      </c>
      <c r="AN481" s="2" t="str">
        <f>IF(Source!$C481&gt;=COLUMNS($A481:AN481), Source!$E481, "")</f>
        <v/>
      </c>
      <c r="AO481" s="2" t="str">
        <f>IF(Source!$C481&gt;=COLUMNS($A481:AO481), Source!$E481, "")</f>
        <v/>
      </c>
      <c r="AP481" s="2" t="str">
        <f>IF(Source!$C481&gt;=COLUMNS($A481:AP481), Source!$E481, "")</f>
        <v/>
      </c>
      <c r="AQ481" s="2" t="str">
        <f>IF(Source!$C481&gt;=COLUMNS($A481:AQ481), Source!$E481, "")</f>
        <v/>
      </c>
      <c r="AR481" s="2" t="str">
        <f>IF(Source!$C481&gt;=COLUMNS($A481:AR481), Source!$E481, "")</f>
        <v/>
      </c>
    </row>
    <row r="482">
      <c r="A482" s="2">
        <f>IF(Source!$C482&gt;=COLUMNS($A482:A482), Source!$E482, "")</f>
        <v>8</v>
      </c>
      <c r="B482" s="2">
        <f>IF(Source!$C482&gt;=COLUMNS($A482:B482), Source!$E482, "")</f>
        <v>8</v>
      </c>
      <c r="C482" s="2" t="str">
        <f>IF(Source!$C482&gt;=COLUMNS($A482:C482), Source!$E482, "")</f>
        <v/>
      </c>
      <c r="D482" s="2" t="str">
        <f>IF(Source!$C482&gt;=COLUMNS($A482:D482), Source!$E482, "")</f>
        <v/>
      </c>
      <c r="E482" s="2" t="str">
        <f>IF(Source!$C482&gt;=COLUMNS($A482:E482), Source!$E482, "")</f>
        <v/>
      </c>
      <c r="F482" s="2" t="str">
        <f>IF(Source!$C482&gt;=COLUMNS($A482:F482), Source!$E482, "")</f>
        <v/>
      </c>
      <c r="G482" s="2" t="str">
        <f>IF(Source!$C482&gt;=COLUMNS($A482:G482), Source!$E482, "")</f>
        <v/>
      </c>
      <c r="H482" s="2" t="str">
        <f>IF(Source!$C482&gt;=COLUMNS($A482:H482), Source!$E482, "")</f>
        <v/>
      </c>
      <c r="I482" s="2" t="str">
        <f>IF(Source!$C482&gt;=COLUMNS($A482:I482), Source!$E482, "")</f>
        <v/>
      </c>
      <c r="J482" s="2" t="str">
        <f>IF(Source!$C482&gt;=COLUMNS($A482:J482), Source!$E482, "")</f>
        <v/>
      </c>
      <c r="K482" s="2" t="str">
        <f>IF(Source!$C482&gt;=COLUMNS($A482:K482), Source!$E482, "")</f>
        <v/>
      </c>
      <c r="L482" s="2" t="str">
        <f>IF(Source!$C482&gt;=COLUMNS($A482:L482), Source!$E482, "")</f>
        <v/>
      </c>
      <c r="M482" s="2" t="str">
        <f>IF(Source!$C482&gt;=COLUMNS($A482:M482), Source!$E482, "")</f>
        <v/>
      </c>
      <c r="N482" s="2" t="str">
        <f>IF(Source!$C482&gt;=COLUMNS($A482:N482), Source!$E482, "")</f>
        <v/>
      </c>
      <c r="O482" s="2" t="str">
        <f>IF(Source!$C482&gt;=COLUMNS($A482:O482), Source!$E482, "")</f>
        <v/>
      </c>
      <c r="P482" s="2" t="str">
        <f>IF(Source!$C482&gt;=COLUMNS($A482:P482), Source!$E482, "")</f>
        <v/>
      </c>
      <c r="Q482" s="2" t="str">
        <f>IF(Source!$C482&gt;=COLUMNS($A482:Q482), Source!$E482, "")</f>
        <v/>
      </c>
      <c r="R482" s="2" t="str">
        <f>IF(Source!$C482&gt;=COLUMNS($A482:R482), Source!$E482, "")</f>
        <v/>
      </c>
      <c r="S482" s="2" t="str">
        <f>IF(Source!$C482&gt;=COLUMNS($A482:S482), Source!$E482, "")</f>
        <v/>
      </c>
      <c r="T482" s="2" t="str">
        <f>IF(Source!$C482&gt;=COLUMNS($A482:T482), Source!$E482, "")</f>
        <v/>
      </c>
      <c r="U482" s="2" t="str">
        <f>IF(Source!$C482&gt;=COLUMNS($A482:U482), Source!$E482, "")</f>
        <v/>
      </c>
      <c r="V482" s="2" t="str">
        <f>IF(Source!$C482&gt;=COLUMNS($A482:V482), Source!$E482, "")</f>
        <v/>
      </c>
      <c r="W482" s="2" t="str">
        <f>IF(Source!$C482&gt;=COLUMNS($A482:W482), Source!$E482, "")</f>
        <v/>
      </c>
      <c r="X482" s="2" t="str">
        <f>IF(Source!$C482&gt;=COLUMNS($A482:X482), Source!$E482, "")</f>
        <v/>
      </c>
      <c r="Y482" s="2" t="str">
        <f>IF(Source!$C482&gt;=COLUMNS($A482:Y482), Source!$E482, "")</f>
        <v/>
      </c>
      <c r="Z482" s="2" t="str">
        <f>IF(Source!$C482&gt;=COLUMNS($A482:Z482), Source!$E482, "")</f>
        <v/>
      </c>
      <c r="AA482" s="2" t="str">
        <f>IF(Source!$C482&gt;=COLUMNS($A482:AA482), Source!$E482, "")</f>
        <v/>
      </c>
      <c r="AB482" s="2" t="str">
        <f>IF(Source!$C482&gt;=COLUMNS($A482:AB482), Source!$E482, "")</f>
        <v/>
      </c>
      <c r="AC482" s="2" t="str">
        <f>IF(Source!$C482&gt;=COLUMNS($A482:AC482), Source!$E482, "")</f>
        <v/>
      </c>
      <c r="AD482" s="2" t="str">
        <f>IF(Source!$C482&gt;=COLUMNS($A482:AD482), Source!$E482, "")</f>
        <v/>
      </c>
      <c r="AE482" s="2" t="str">
        <f>IF(Source!$C482&gt;=COLUMNS($A482:AE482), Source!$E482, "")</f>
        <v/>
      </c>
      <c r="AF482" s="2" t="str">
        <f>IF(Source!$C482&gt;=COLUMNS($A482:AF482), Source!$E482, "")</f>
        <v/>
      </c>
      <c r="AG482" s="2" t="str">
        <f>IF(Source!$C482&gt;=COLUMNS($A482:AG482), Source!$E482, "")</f>
        <v/>
      </c>
      <c r="AH482" s="2" t="str">
        <f>IF(Source!$C482&gt;=COLUMNS($A482:AH482), Source!$E482, "")</f>
        <v/>
      </c>
      <c r="AI482" s="2" t="str">
        <f>IF(Source!$C482&gt;=COLUMNS($A482:AI482), Source!$E482, "")</f>
        <v/>
      </c>
      <c r="AJ482" s="2" t="str">
        <f>IF(Source!$C482&gt;=COLUMNS($A482:AJ482), Source!$E482, "")</f>
        <v/>
      </c>
      <c r="AK482" s="2" t="str">
        <f>IF(Source!$C482&gt;=COLUMNS($A482:AK482), Source!$E482, "")</f>
        <v/>
      </c>
      <c r="AL482" s="2" t="str">
        <f>IF(Source!$C482&gt;=COLUMNS($A482:AL482), Source!$E482, "")</f>
        <v/>
      </c>
      <c r="AM482" s="2" t="str">
        <f>IF(Source!$C482&gt;=COLUMNS($A482:AM482), Source!$E482, "")</f>
        <v/>
      </c>
      <c r="AN482" s="2" t="str">
        <f>IF(Source!$C482&gt;=COLUMNS($A482:AN482), Source!$E482, "")</f>
        <v/>
      </c>
      <c r="AO482" s="2" t="str">
        <f>IF(Source!$C482&gt;=COLUMNS($A482:AO482), Source!$E482, "")</f>
        <v/>
      </c>
      <c r="AP482" s="2" t="str">
        <f>IF(Source!$C482&gt;=COLUMNS($A482:AP482), Source!$E482, "")</f>
        <v/>
      </c>
      <c r="AQ482" s="2" t="str">
        <f>IF(Source!$C482&gt;=COLUMNS($A482:AQ482), Source!$E482, "")</f>
        <v/>
      </c>
      <c r="AR482" s="2" t="str">
        <f>IF(Source!$C482&gt;=COLUMNS($A482:AR482), Source!$E482, "")</f>
        <v/>
      </c>
    </row>
    <row r="483">
      <c r="A483" s="2">
        <f>IF(Source!$C483&gt;=COLUMNS($A483:A483), Source!$E483, "")</f>
        <v>8</v>
      </c>
      <c r="B483" s="2">
        <f>IF(Source!$C483&gt;=COLUMNS($A483:B483), Source!$E483, "")</f>
        <v>8</v>
      </c>
      <c r="C483" s="2">
        <f>IF(Source!$C483&gt;=COLUMNS($A483:C483), Source!$E483, "")</f>
        <v>8</v>
      </c>
      <c r="D483" s="2" t="str">
        <f>IF(Source!$C483&gt;=COLUMNS($A483:D483), Source!$E483, "")</f>
        <v/>
      </c>
      <c r="E483" s="2" t="str">
        <f>IF(Source!$C483&gt;=COLUMNS($A483:E483), Source!$E483, "")</f>
        <v/>
      </c>
      <c r="F483" s="2" t="str">
        <f>IF(Source!$C483&gt;=COLUMNS($A483:F483), Source!$E483, "")</f>
        <v/>
      </c>
      <c r="G483" s="2" t="str">
        <f>IF(Source!$C483&gt;=COLUMNS($A483:G483), Source!$E483, "")</f>
        <v/>
      </c>
      <c r="H483" s="2" t="str">
        <f>IF(Source!$C483&gt;=COLUMNS($A483:H483), Source!$E483, "")</f>
        <v/>
      </c>
      <c r="I483" s="2" t="str">
        <f>IF(Source!$C483&gt;=COLUMNS($A483:I483), Source!$E483, "")</f>
        <v/>
      </c>
      <c r="J483" s="2" t="str">
        <f>IF(Source!$C483&gt;=COLUMNS($A483:J483), Source!$E483, "")</f>
        <v/>
      </c>
      <c r="K483" s="2" t="str">
        <f>IF(Source!$C483&gt;=COLUMNS($A483:K483), Source!$E483, "")</f>
        <v/>
      </c>
      <c r="L483" s="2" t="str">
        <f>IF(Source!$C483&gt;=COLUMNS($A483:L483), Source!$E483, "")</f>
        <v/>
      </c>
      <c r="M483" s="2" t="str">
        <f>IF(Source!$C483&gt;=COLUMNS($A483:M483), Source!$E483, "")</f>
        <v/>
      </c>
      <c r="N483" s="2" t="str">
        <f>IF(Source!$C483&gt;=COLUMNS($A483:N483), Source!$E483, "")</f>
        <v/>
      </c>
      <c r="O483" s="2" t="str">
        <f>IF(Source!$C483&gt;=COLUMNS($A483:O483), Source!$E483, "")</f>
        <v/>
      </c>
      <c r="P483" s="2" t="str">
        <f>IF(Source!$C483&gt;=COLUMNS($A483:P483), Source!$E483, "")</f>
        <v/>
      </c>
      <c r="Q483" s="2" t="str">
        <f>IF(Source!$C483&gt;=COLUMNS($A483:Q483), Source!$E483, "")</f>
        <v/>
      </c>
      <c r="R483" s="2" t="str">
        <f>IF(Source!$C483&gt;=COLUMNS($A483:R483), Source!$E483, "")</f>
        <v/>
      </c>
      <c r="S483" s="2" t="str">
        <f>IF(Source!$C483&gt;=COLUMNS($A483:S483), Source!$E483, "")</f>
        <v/>
      </c>
      <c r="T483" s="2" t="str">
        <f>IF(Source!$C483&gt;=COLUMNS($A483:T483), Source!$E483, "")</f>
        <v/>
      </c>
      <c r="U483" s="2" t="str">
        <f>IF(Source!$C483&gt;=COLUMNS($A483:U483), Source!$E483, "")</f>
        <v/>
      </c>
      <c r="V483" s="2" t="str">
        <f>IF(Source!$C483&gt;=COLUMNS($A483:V483), Source!$E483, "")</f>
        <v/>
      </c>
      <c r="W483" s="2" t="str">
        <f>IF(Source!$C483&gt;=COLUMNS($A483:W483), Source!$E483, "")</f>
        <v/>
      </c>
      <c r="X483" s="2" t="str">
        <f>IF(Source!$C483&gt;=COLUMNS($A483:X483), Source!$E483, "")</f>
        <v/>
      </c>
      <c r="Y483" s="2" t="str">
        <f>IF(Source!$C483&gt;=COLUMNS($A483:Y483), Source!$E483, "")</f>
        <v/>
      </c>
      <c r="Z483" s="2" t="str">
        <f>IF(Source!$C483&gt;=COLUMNS($A483:Z483), Source!$E483, "")</f>
        <v/>
      </c>
      <c r="AA483" s="2" t="str">
        <f>IF(Source!$C483&gt;=COLUMNS($A483:AA483), Source!$E483, "")</f>
        <v/>
      </c>
      <c r="AB483" s="2" t="str">
        <f>IF(Source!$C483&gt;=COLUMNS($A483:AB483), Source!$E483, "")</f>
        <v/>
      </c>
      <c r="AC483" s="2" t="str">
        <f>IF(Source!$C483&gt;=COLUMNS($A483:AC483), Source!$E483, "")</f>
        <v/>
      </c>
      <c r="AD483" s="2" t="str">
        <f>IF(Source!$C483&gt;=COLUMNS($A483:AD483), Source!$E483, "")</f>
        <v/>
      </c>
      <c r="AE483" s="2" t="str">
        <f>IF(Source!$C483&gt;=COLUMNS($A483:AE483), Source!$E483, "")</f>
        <v/>
      </c>
      <c r="AF483" s="2" t="str">
        <f>IF(Source!$C483&gt;=COLUMNS($A483:AF483), Source!$E483, "")</f>
        <v/>
      </c>
      <c r="AG483" s="2" t="str">
        <f>IF(Source!$C483&gt;=COLUMNS($A483:AG483), Source!$E483, "")</f>
        <v/>
      </c>
      <c r="AH483" s="2" t="str">
        <f>IF(Source!$C483&gt;=COLUMNS($A483:AH483), Source!$E483, "")</f>
        <v/>
      </c>
      <c r="AI483" s="2" t="str">
        <f>IF(Source!$C483&gt;=COLUMNS($A483:AI483), Source!$E483, "")</f>
        <v/>
      </c>
      <c r="AJ483" s="2" t="str">
        <f>IF(Source!$C483&gt;=COLUMNS($A483:AJ483), Source!$E483, "")</f>
        <v/>
      </c>
      <c r="AK483" s="2" t="str">
        <f>IF(Source!$C483&gt;=COLUMNS($A483:AK483), Source!$E483, "")</f>
        <v/>
      </c>
      <c r="AL483" s="2" t="str">
        <f>IF(Source!$C483&gt;=COLUMNS($A483:AL483), Source!$E483, "")</f>
        <v/>
      </c>
      <c r="AM483" s="2" t="str">
        <f>IF(Source!$C483&gt;=COLUMNS($A483:AM483), Source!$E483, "")</f>
        <v/>
      </c>
      <c r="AN483" s="2" t="str">
        <f>IF(Source!$C483&gt;=COLUMNS($A483:AN483), Source!$E483, "")</f>
        <v/>
      </c>
      <c r="AO483" s="2" t="str">
        <f>IF(Source!$C483&gt;=COLUMNS($A483:AO483), Source!$E483, "")</f>
        <v/>
      </c>
      <c r="AP483" s="2" t="str">
        <f>IF(Source!$C483&gt;=COLUMNS($A483:AP483), Source!$E483, "")</f>
        <v/>
      </c>
      <c r="AQ483" s="2" t="str">
        <f>IF(Source!$C483&gt;=COLUMNS($A483:AQ483), Source!$E483, "")</f>
        <v/>
      </c>
      <c r="AR483" s="2" t="str">
        <f>IF(Source!$C483&gt;=COLUMNS($A483:AR483), Source!$E483, "")</f>
        <v/>
      </c>
    </row>
    <row r="484">
      <c r="A484" s="2">
        <f>IF(Source!$C484&gt;=COLUMNS($A484:A484), Source!$E484, "")</f>
        <v>2</v>
      </c>
      <c r="B484" s="2">
        <f>IF(Source!$C484&gt;=COLUMNS($A484:B484), Source!$E484, "")</f>
        <v>2</v>
      </c>
      <c r="C484" s="2">
        <f>IF(Source!$C484&gt;=COLUMNS($A484:C484), Source!$E484, "")</f>
        <v>2</v>
      </c>
      <c r="D484" s="2">
        <f>IF(Source!$C484&gt;=COLUMNS($A484:D484), Source!$E484, "")</f>
        <v>2</v>
      </c>
      <c r="E484" s="2">
        <f>IF(Source!$C484&gt;=COLUMNS($A484:E484), Source!$E484, "")</f>
        <v>2</v>
      </c>
      <c r="F484" s="2">
        <f>IF(Source!$C484&gt;=COLUMNS($A484:F484), Source!$E484, "")</f>
        <v>2</v>
      </c>
      <c r="G484" s="2">
        <f>IF(Source!$C484&gt;=COLUMNS($A484:G484), Source!$E484, "")</f>
        <v>2</v>
      </c>
      <c r="H484" s="2">
        <f>IF(Source!$C484&gt;=COLUMNS($A484:H484), Source!$E484, "")</f>
        <v>2</v>
      </c>
      <c r="I484" s="2" t="str">
        <f>IF(Source!$C484&gt;=COLUMNS($A484:I484), Source!$E484, "")</f>
        <v/>
      </c>
      <c r="J484" s="2" t="str">
        <f>IF(Source!$C484&gt;=COLUMNS($A484:J484), Source!$E484, "")</f>
        <v/>
      </c>
      <c r="K484" s="2" t="str">
        <f>IF(Source!$C484&gt;=COLUMNS($A484:K484), Source!$E484, "")</f>
        <v/>
      </c>
      <c r="L484" s="2" t="str">
        <f>IF(Source!$C484&gt;=COLUMNS($A484:L484), Source!$E484, "")</f>
        <v/>
      </c>
      <c r="M484" s="2" t="str">
        <f>IF(Source!$C484&gt;=COLUMNS($A484:M484), Source!$E484, "")</f>
        <v/>
      </c>
      <c r="N484" s="2" t="str">
        <f>IF(Source!$C484&gt;=COLUMNS($A484:N484), Source!$E484, "")</f>
        <v/>
      </c>
      <c r="O484" s="2" t="str">
        <f>IF(Source!$C484&gt;=COLUMNS($A484:O484), Source!$E484, "")</f>
        <v/>
      </c>
      <c r="P484" s="2" t="str">
        <f>IF(Source!$C484&gt;=COLUMNS($A484:P484), Source!$E484, "")</f>
        <v/>
      </c>
      <c r="Q484" s="2" t="str">
        <f>IF(Source!$C484&gt;=COLUMNS($A484:Q484), Source!$E484, "")</f>
        <v/>
      </c>
      <c r="R484" s="2" t="str">
        <f>IF(Source!$C484&gt;=COLUMNS($A484:R484), Source!$E484, "")</f>
        <v/>
      </c>
      <c r="S484" s="2" t="str">
        <f>IF(Source!$C484&gt;=COLUMNS($A484:S484), Source!$E484, "")</f>
        <v/>
      </c>
      <c r="T484" s="2" t="str">
        <f>IF(Source!$C484&gt;=COLUMNS($A484:T484), Source!$E484, "")</f>
        <v/>
      </c>
      <c r="U484" s="2" t="str">
        <f>IF(Source!$C484&gt;=COLUMNS($A484:U484), Source!$E484, "")</f>
        <v/>
      </c>
      <c r="V484" s="2" t="str">
        <f>IF(Source!$C484&gt;=COLUMNS($A484:V484), Source!$E484, "")</f>
        <v/>
      </c>
      <c r="W484" s="2" t="str">
        <f>IF(Source!$C484&gt;=COLUMNS($A484:W484), Source!$E484, "")</f>
        <v/>
      </c>
      <c r="X484" s="2" t="str">
        <f>IF(Source!$C484&gt;=COLUMNS($A484:X484), Source!$E484, "")</f>
        <v/>
      </c>
      <c r="Y484" s="2" t="str">
        <f>IF(Source!$C484&gt;=COLUMNS($A484:Y484), Source!$E484, "")</f>
        <v/>
      </c>
      <c r="Z484" s="2" t="str">
        <f>IF(Source!$C484&gt;=COLUMNS($A484:Z484), Source!$E484, "")</f>
        <v/>
      </c>
      <c r="AA484" s="2" t="str">
        <f>IF(Source!$C484&gt;=COLUMNS($A484:AA484), Source!$E484, "")</f>
        <v/>
      </c>
      <c r="AB484" s="2" t="str">
        <f>IF(Source!$C484&gt;=COLUMNS($A484:AB484), Source!$E484, "")</f>
        <v/>
      </c>
      <c r="AC484" s="2" t="str">
        <f>IF(Source!$C484&gt;=COLUMNS($A484:AC484), Source!$E484, "")</f>
        <v/>
      </c>
      <c r="AD484" s="2" t="str">
        <f>IF(Source!$C484&gt;=COLUMNS($A484:AD484), Source!$E484, "")</f>
        <v/>
      </c>
      <c r="AE484" s="2" t="str">
        <f>IF(Source!$C484&gt;=COLUMNS($A484:AE484), Source!$E484, "")</f>
        <v/>
      </c>
      <c r="AF484" s="2" t="str">
        <f>IF(Source!$C484&gt;=COLUMNS($A484:AF484), Source!$E484, "")</f>
        <v/>
      </c>
      <c r="AG484" s="2" t="str">
        <f>IF(Source!$C484&gt;=COLUMNS($A484:AG484), Source!$E484, "")</f>
        <v/>
      </c>
      <c r="AH484" s="2" t="str">
        <f>IF(Source!$C484&gt;=COLUMNS($A484:AH484), Source!$E484, "")</f>
        <v/>
      </c>
      <c r="AI484" s="2" t="str">
        <f>IF(Source!$C484&gt;=COLUMNS($A484:AI484), Source!$E484, "")</f>
        <v/>
      </c>
      <c r="AJ484" s="2" t="str">
        <f>IF(Source!$C484&gt;=COLUMNS($A484:AJ484), Source!$E484, "")</f>
        <v/>
      </c>
      <c r="AK484" s="2" t="str">
        <f>IF(Source!$C484&gt;=COLUMNS($A484:AK484), Source!$E484, "")</f>
        <v/>
      </c>
      <c r="AL484" s="2" t="str">
        <f>IF(Source!$C484&gt;=COLUMNS($A484:AL484), Source!$E484, "")</f>
        <v/>
      </c>
      <c r="AM484" s="2" t="str">
        <f>IF(Source!$C484&gt;=COLUMNS($A484:AM484), Source!$E484, "")</f>
        <v/>
      </c>
      <c r="AN484" s="2" t="str">
        <f>IF(Source!$C484&gt;=COLUMNS($A484:AN484), Source!$E484, "")</f>
        <v/>
      </c>
      <c r="AO484" s="2" t="str">
        <f>IF(Source!$C484&gt;=COLUMNS($A484:AO484), Source!$E484, "")</f>
        <v/>
      </c>
      <c r="AP484" s="2" t="str">
        <f>IF(Source!$C484&gt;=COLUMNS($A484:AP484), Source!$E484, "")</f>
        <v/>
      </c>
      <c r="AQ484" s="2" t="str">
        <f>IF(Source!$C484&gt;=COLUMNS($A484:AQ484), Source!$E484, "")</f>
        <v/>
      </c>
      <c r="AR484" s="2" t="str">
        <f>IF(Source!$C484&gt;=COLUMNS($A484:AR484), Source!$E484, "")</f>
        <v/>
      </c>
    </row>
    <row r="485">
      <c r="A485" s="2">
        <f>IF(Source!$C485&gt;=COLUMNS($A485:A485), Source!$E485, "")</f>
        <v>5</v>
      </c>
      <c r="B485" s="2">
        <f>IF(Source!$C485&gt;=COLUMNS($A485:B485), Source!$E485, "")</f>
        <v>5</v>
      </c>
      <c r="C485" s="2">
        <f>IF(Source!$C485&gt;=COLUMNS($A485:C485), Source!$E485, "")</f>
        <v>5</v>
      </c>
      <c r="D485" s="2" t="str">
        <f>IF(Source!$C485&gt;=COLUMNS($A485:D485), Source!$E485, "")</f>
        <v/>
      </c>
      <c r="E485" s="2" t="str">
        <f>IF(Source!$C485&gt;=COLUMNS($A485:E485), Source!$E485, "")</f>
        <v/>
      </c>
      <c r="F485" s="2" t="str">
        <f>IF(Source!$C485&gt;=COLUMNS($A485:F485), Source!$E485, "")</f>
        <v/>
      </c>
      <c r="G485" s="2" t="str">
        <f>IF(Source!$C485&gt;=COLUMNS($A485:G485), Source!$E485, "")</f>
        <v/>
      </c>
      <c r="H485" s="2" t="str">
        <f>IF(Source!$C485&gt;=COLUMNS($A485:H485), Source!$E485, "")</f>
        <v/>
      </c>
      <c r="I485" s="2" t="str">
        <f>IF(Source!$C485&gt;=COLUMNS($A485:I485), Source!$E485, "")</f>
        <v/>
      </c>
      <c r="J485" s="2" t="str">
        <f>IF(Source!$C485&gt;=COLUMNS($A485:J485), Source!$E485, "")</f>
        <v/>
      </c>
      <c r="K485" s="2" t="str">
        <f>IF(Source!$C485&gt;=COLUMNS($A485:K485), Source!$E485, "")</f>
        <v/>
      </c>
      <c r="L485" s="2" t="str">
        <f>IF(Source!$C485&gt;=COLUMNS($A485:L485), Source!$E485, "")</f>
        <v/>
      </c>
      <c r="M485" s="2" t="str">
        <f>IF(Source!$C485&gt;=COLUMNS($A485:M485), Source!$E485, "")</f>
        <v/>
      </c>
      <c r="N485" s="2" t="str">
        <f>IF(Source!$C485&gt;=COLUMNS($A485:N485), Source!$E485, "")</f>
        <v/>
      </c>
      <c r="O485" s="2" t="str">
        <f>IF(Source!$C485&gt;=COLUMNS($A485:O485), Source!$E485, "")</f>
        <v/>
      </c>
      <c r="P485" s="2" t="str">
        <f>IF(Source!$C485&gt;=COLUMNS($A485:P485), Source!$E485, "")</f>
        <v/>
      </c>
      <c r="Q485" s="2" t="str">
        <f>IF(Source!$C485&gt;=COLUMNS($A485:Q485), Source!$E485, "")</f>
        <v/>
      </c>
      <c r="R485" s="2" t="str">
        <f>IF(Source!$C485&gt;=COLUMNS($A485:R485), Source!$E485, "")</f>
        <v/>
      </c>
      <c r="S485" s="2" t="str">
        <f>IF(Source!$C485&gt;=COLUMNS($A485:S485), Source!$E485, "")</f>
        <v/>
      </c>
      <c r="T485" s="2" t="str">
        <f>IF(Source!$C485&gt;=COLUMNS($A485:T485), Source!$E485, "")</f>
        <v/>
      </c>
      <c r="U485" s="2" t="str">
        <f>IF(Source!$C485&gt;=COLUMNS($A485:U485), Source!$E485, "")</f>
        <v/>
      </c>
      <c r="V485" s="2" t="str">
        <f>IF(Source!$C485&gt;=COLUMNS($A485:V485), Source!$E485, "")</f>
        <v/>
      </c>
      <c r="W485" s="2" t="str">
        <f>IF(Source!$C485&gt;=COLUMNS($A485:W485), Source!$E485, "")</f>
        <v/>
      </c>
      <c r="X485" s="2" t="str">
        <f>IF(Source!$C485&gt;=COLUMNS($A485:X485), Source!$E485, "")</f>
        <v/>
      </c>
      <c r="Y485" s="2" t="str">
        <f>IF(Source!$C485&gt;=COLUMNS($A485:Y485), Source!$E485, "")</f>
        <v/>
      </c>
      <c r="Z485" s="2" t="str">
        <f>IF(Source!$C485&gt;=COLUMNS($A485:Z485), Source!$E485, "")</f>
        <v/>
      </c>
      <c r="AA485" s="2" t="str">
        <f>IF(Source!$C485&gt;=COLUMNS($A485:AA485), Source!$E485, "")</f>
        <v/>
      </c>
      <c r="AB485" s="2" t="str">
        <f>IF(Source!$C485&gt;=COLUMNS($A485:AB485), Source!$E485, "")</f>
        <v/>
      </c>
      <c r="AC485" s="2" t="str">
        <f>IF(Source!$C485&gt;=COLUMNS($A485:AC485), Source!$E485, "")</f>
        <v/>
      </c>
      <c r="AD485" s="2" t="str">
        <f>IF(Source!$C485&gt;=COLUMNS($A485:AD485), Source!$E485, "")</f>
        <v/>
      </c>
      <c r="AE485" s="2" t="str">
        <f>IF(Source!$C485&gt;=COLUMNS($A485:AE485), Source!$E485, "")</f>
        <v/>
      </c>
      <c r="AF485" s="2" t="str">
        <f>IF(Source!$C485&gt;=COLUMNS($A485:AF485), Source!$E485, "")</f>
        <v/>
      </c>
      <c r="AG485" s="2" t="str">
        <f>IF(Source!$C485&gt;=COLUMNS($A485:AG485), Source!$E485, "")</f>
        <v/>
      </c>
      <c r="AH485" s="2" t="str">
        <f>IF(Source!$C485&gt;=COLUMNS($A485:AH485), Source!$E485, "")</f>
        <v/>
      </c>
      <c r="AI485" s="2" t="str">
        <f>IF(Source!$C485&gt;=COLUMNS($A485:AI485), Source!$E485, "")</f>
        <v/>
      </c>
      <c r="AJ485" s="2" t="str">
        <f>IF(Source!$C485&gt;=COLUMNS($A485:AJ485), Source!$E485, "")</f>
        <v/>
      </c>
      <c r="AK485" s="2" t="str">
        <f>IF(Source!$C485&gt;=COLUMNS($A485:AK485), Source!$E485, "")</f>
        <v/>
      </c>
      <c r="AL485" s="2" t="str">
        <f>IF(Source!$C485&gt;=COLUMNS($A485:AL485), Source!$E485, "")</f>
        <v/>
      </c>
      <c r="AM485" s="2" t="str">
        <f>IF(Source!$C485&gt;=COLUMNS($A485:AM485), Source!$E485, "")</f>
        <v/>
      </c>
      <c r="AN485" s="2" t="str">
        <f>IF(Source!$C485&gt;=COLUMNS($A485:AN485), Source!$E485, "")</f>
        <v/>
      </c>
      <c r="AO485" s="2" t="str">
        <f>IF(Source!$C485&gt;=COLUMNS($A485:AO485), Source!$E485, "")</f>
        <v/>
      </c>
      <c r="AP485" s="2" t="str">
        <f>IF(Source!$C485&gt;=COLUMNS($A485:AP485), Source!$E485, "")</f>
        <v/>
      </c>
      <c r="AQ485" s="2" t="str">
        <f>IF(Source!$C485&gt;=COLUMNS($A485:AQ485), Source!$E485, "")</f>
        <v/>
      </c>
      <c r="AR485" s="2" t="str">
        <f>IF(Source!$C485&gt;=COLUMNS($A485:AR485), Source!$E485, "")</f>
        <v/>
      </c>
    </row>
    <row r="486">
      <c r="A486" s="2">
        <f>IF(Source!$C486&gt;=COLUMNS($A486:A486), Source!$E486, "")</f>
        <v>3</v>
      </c>
      <c r="B486" s="2">
        <f>IF(Source!$C486&gt;=COLUMNS($A486:B486), Source!$E486, "")</f>
        <v>3</v>
      </c>
      <c r="C486" s="2">
        <f>IF(Source!$C486&gt;=COLUMNS($A486:C486), Source!$E486, "")</f>
        <v>3</v>
      </c>
      <c r="D486" s="2">
        <f>IF(Source!$C486&gt;=COLUMNS($A486:D486), Source!$E486, "")</f>
        <v>3</v>
      </c>
      <c r="E486" s="2" t="str">
        <f>IF(Source!$C486&gt;=COLUMNS($A486:E486), Source!$E486, "")</f>
        <v/>
      </c>
      <c r="F486" s="2" t="str">
        <f>IF(Source!$C486&gt;=COLUMNS($A486:F486), Source!$E486, "")</f>
        <v/>
      </c>
      <c r="G486" s="2" t="str">
        <f>IF(Source!$C486&gt;=COLUMNS($A486:G486), Source!$E486, "")</f>
        <v/>
      </c>
      <c r="H486" s="2" t="str">
        <f>IF(Source!$C486&gt;=COLUMNS($A486:H486), Source!$E486, "")</f>
        <v/>
      </c>
      <c r="I486" s="2" t="str">
        <f>IF(Source!$C486&gt;=COLUMNS($A486:I486), Source!$E486, "")</f>
        <v/>
      </c>
      <c r="J486" s="2" t="str">
        <f>IF(Source!$C486&gt;=COLUMNS($A486:J486), Source!$E486, "")</f>
        <v/>
      </c>
      <c r="K486" s="2" t="str">
        <f>IF(Source!$C486&gt;=COLUMNS($A486:K486), Source!$E486, "")</f>
        <v/>
      </c>
      <c r="L486" s="2" t="str">
        <f>IF(Source!$C486&gt;=COLUMNS($A486:L486), Source!$E486, "")</f>
        <v/>
      </c>
      <c r="M486" s="2" t="str">
        <f>IF(Source!$C486&gt;=COLUMNS($A486:M486), Source!$E486, "")</f>
        <v/>
      </c>
      <c r="N486" s="2" t="str">
        <f>IF(Source!$C486&gt;=COLUMNS($A486:N486), Source!$E486, "")</f>
        <v/>
      </c>
      <c r="O486" s="2" t="str">
        <f>IF(Source!$C486&gt;=COLUMNS($A486:O486), Source!$E486, "")</f>
        <v/>
      </c>
      <c r="P486" s="2" t="str">
        <f>IF(Source!$C486&gt;=COLUMNS($A486:P486), Source!$E486, "")</f>
        <v/>
      </c>
      <c r="Q486" s="2" t="str">
        <f>IF(Source!$C486&gt;=COLUMNS($A486:Q486), Source!$E486, "")</f>
        <v/>
      </c>
      <c r="R486" s="2" t="str">
        <f>IF(Source!$C486&gt;=COLUMNS($A486:R486), Source!$E486, "")</f>
        <v/>
      </c>
      <c r="S486" s="2" t="str">
        <f>IF(Source!$C486&gt;=COLUMNS($A486:S486), Source!$E486, "")</f>
        <v/>
      </c>
      <c r="T486" s="2" t="str">
        <f>IF(Source!$C486&gt;=COLUMNS($A486:T486), Source!$E486, "")</f>
        <v/>
      </c>
      <c r="U486" s="2" t="str">
        <f>IF(Source!$C486&gt;=COLUMNS($A486:U486), Source!$E486, "")</f>
        <v/>
      </c>
      <c r="V486" s="2" t="str">
        <f>IF(Source!$C486&gt;=COLUMNS($A486:V486), Source!$E486, "")</f>
        <v/>
      </c>
      <c r="W486" s="2" t="str">
        <f>IF(Source!$C486&gt;=COLUMNS($A486:W486), Source!$E486, "")</f>
        <v/>
      </c>
      <c r="X486" s="2" t="str">
        <f>IF(Source!$C486&gt;=COLUMNS($A486:X486), Source!$E486, "")</f>
        <v/>
      </c>
      <c r="Y486" s="2" t="str">
        <f>IF(Source!$C486&gt;=COLUMNS($A486:Y486), Source!$E486, "")</f>
        <v/>
      </c>
      <c r="Z486" s="2" t="str">
        <f>IF(Source!$C486&gt;=COLUMNS($A486:Z486), Source!$E486, "")</f>
        <v/>
      </c>
      <c r="AA486" s="2" t="str">
        <f>IF(Source!$C486&gt;=COLUMNS($A486:AA486), Source!$E486, "")</f>
        <v/>
      </c>
      <c r="AB486" s="2" t="str">
        <f>IF(Source!$C486&gt;=COLUMNS($A486:AB486), Source!$E486, "")</f>
        <v/>
      </c>
      <c r="AC486" s="2" t="str">
        <f>IF(Source!$C486&gt;=COLUMNS($A486:AC486), Source!$E486, "")</f>
        <v/>
      </c>
      <c r="AD486" s="2" t="str">
        <f>IF(Source!$C486&gt;=COLUMNS($A486:AD486), Source!$E486, "")</f>
        <v/>
      </c>
      <c r="AE486" s="2" t="str">
        <f>IF(Source!$C486&gt;=COLUMNS($A486:AE486), Source!$E486, "")</f>
        <v/>
      </c>
      <c r="AF486" s="2" t="str">
        <f>IF(Source!$C486&gt;=COLUMNS($A486:AF486), Source!$E486, "")</f>
        <v/>
      </c>
      <c r="AG486" s="2" t="str">
        <f>IF(Source!$C486&gt;=COLUMNS($A486:AG486), Source!$E486, "")</f>
        <v/>
      </c>
      <c r="AH486" s="2" t="str">
        <f>IF(Source!$C486&gt;=COLUMNS($A486:AH486), Source!$E486, "")</f>
        <v/>
      </c>
      <c r="AI486" s="2" t="str">
        <f>IF(Source!$C486&gt;=COLUMNS($A486:AI486), Source!$E486, "")</f>
        <v/>
      </c>
      <c r="AJ486" s="2" t="str">
        <f>IF(Source!$C486&gt;=COLUMNS($A486:AJ486), Source!$E486, "")</f>
        <v/>
      </c>
      <c r="AK486" s="2" t="str">
        <f>IF(Source!$C486&gt;=COLUMNS($A486:AK486), Source!$E486, "")</f>
        <v/>
      </c>
      <c r="AL486" s="2" t="str">
        <f>IF(Source!$C486&gt;=COLUMNS($A486:AL486), Source!$E486, "")</f>
        <v/>
      </c>
      <c r="AM486" s="2" t="str">
        <f>IF(Source!$C486&gt;=COLUMNS($A486:AM486), Source!$E486, "")</f>
        <v/>
      </c>
      <c r="AN486" s="2" t="str">
        <f>IF(Source!$C486&gt;=COLUMNS($A486:AN486), Source!$E486, "")</f>
        <v/>
      </c>
      <c r="AO486" s="2" t="str">
        <f>IF(Source!$C486&gt;=COLUMNS($A486:AO486), Source!$E486, "")</f>
        <v/>
      </c>
      <c r="AP486" s="2" t="str">
        <f>IF(Source!$C486&gt;=COLUMNS($A486:AP486), Source!$E486, "")</f>
        <v/>
      </c>
      <c r="AQ486" s="2" t="str">
        <f>IF(Source!$C486&gt;=COLUMNS($A486:AQ486), Source!$E486, "")</f>
        <v/>
      </c>
      <c r="AR486" s="2" t="str">
        <f>IF(Source!$C486&gt;=COLUMNS($A486:AR486), Source!$E486, "")</f>
        <v/>
      </c>
    </row>
    <row r="487">
      <c r="A487" s="2">
        <f>IF(Source!$C487&gt;=COLUMNS($A487:A487), Source!$E487, "")</f>
        <v>6</v>
      </c>
      <c r="B487" s="2">
        <f>IF(Source!$C487&gt;=COLUMNS($A487:B487), Source!$E487, "")</f>
        <v>6</v>
      </c>
      <c r="C487" s="2">
        <f>IF(Source!$C487&gt;=COLUMNS($A487:C487), Source!$E487, "")</f>
        <v>6</v>
      </c>
      <c r="D487" s="2" t="str">
        <f>IF(Source!$C487&gt;=COLUMNS($A487:D487), Source!$E487, "")</f>
        <v/>
      </c>
      <c r="E487" s="2" t="str">
        <f>IF(Source!$C487&gt;=COLUMNS($A487:E487), Source!$E487, "")</f>
        <v/>
      </c>
      <c r="F487" s="2" t="str">
        <f>IF(Source!$C487&gt;=COLUMNS($A487:F487), Source!$E487, "")</f>
        <v/>
      </c>
      <c r="G487" s="2" t="str">
        <f>IF(Source!$C487&gt;=COLUMNS($A487:G487), Source!$E487, "")</f>
        <v/>
      </c>
      <c r="H487" s="2" t="str">
        <f>IF(Source!$C487&gt;=COLUMNS($A487:H487), Source!$E487, "")</f>
        <v/>
      </c>
      <c r="I487" s="2" t="str">
        <f>IF(Source!$C487&gt;=COLUMNS($A487:I487), Source!$E487, "")</f>
        <v/>
      </c>
      <c r="J487" s="2" t="str">
        <f>IF(Source!$C487&gt;=COLUMNS($A487:J487), Source!$E487, "")</f>
        <v/>
      </c>
      <c r="K487" s="2" t="str">
        <f>IF(Source!$C487&gt;=COLUMNS($A487:K487), Source!$E487, "")</f>
        <v/>
      </c>
      <c r="L487" s="2" t="str">
        <f>IF(Source!$C487&gt;=COLUMNS($A487:L487), Source!$E487, "")</f>
        <v/>
      </c>
      <c r="M487" s="2" t="str">
        <f>IF(Source!$C487&gt;=COLUMNS($A487:M487), Source!$E487, "")</f>
        <v/>
      </c>
      <c r="N487" s="2" t="str">
        <f>IF(Source!$C487&gt;=COLUMNS($A487:N487), Source!$E487, "")</f>
        <v/>
      </c>
      <c r="O487" s="2" t="str">
        <f>IF(Source!$C487&gt;=COLUMNS($A487:O487), Source!$E487, "")</f>
        <v/>
      </c>
      <c r="P487" s="2" t="str">
        <f>IF(Source!$C487&gt;=COLUMNS($A487:P487), Source!$E487, "")</f>
        <v/>
      </c>
      <c r="Q487" s="2" t="str">
        <f>IF(Source!$C487&gt;=COLUMNS($A487:Q487), Source!$E487, "")</f>
        <v/>
      </c>
      <c r="R487" s="2" t="str">
        <f>IF(Source!$C487&gt;=COLUMNS($A487:R487), Source!$E487, "")</f>
        <v/>
      </c>
      <c r="S487" s="2" t="str">
        <f>IF(Source!$C487&gt;=COLUMNS($A487:S487), Source!$E487, "")</f>
        <v/>
      </c>
      <c r="T487" s="2" t="str">
        <f>IF(Source!$C487&gt;=COLUMNS($A487:T487), Source!$E487, "")</f>
        <v/>
      </c>
      <c r="U487" s="2" t="str">
        <f>IF(Source!$C487&gt;=COLUMNS($A487:U487), Source!$E487, "")</f>
        <v/>
      </c>
      <c r="V487" s="2" t="str">
        <f>IF(Source!$C487&gt;=COLUMNS($A487:V487), Source!$E487, "")</f>
        <v/>
      </c>
      <c r="W487" s="2" t="str">
        <f>IF(Source!$C487&gt;=COLUMNS($A487:W487), Source!$E487, "")</f>
        <v/>
      </c>
      <c r="X487" s="2" t="str">
        <f>IF(Source!$C487&gt;=COLUMNS($A487:X487), Source!$E487, "")</f>
        <v/>
      </c>
      <c r="Y487" s="2" t="str">
        <f>IF(Source!$C487&gt;=COLUMNS($A487:Y487), Source!$E487, "")</f>
        <v/>
      </c>
      <c r="Z487" s="2" t="str">
        <f>IF(Source!$C487&gt;=COLUMNS($A487:Z487), Source!$E487, "")</f>
        <v/>
      </c>
      <c r="AA487" s="2" t="str">
        <f>IF(Source!$C487&gt;=COLUMNS($A487:AA487), Source!$E487, "")</f>
        <v/>
      </c>
      <c r="AB487" s="2" t="str">
        <f>IF(Source!$C487&gt;=COLUMNS($A487:AB487), Source!$E487, "")</f>
        <v/>
      </c>
      <c r="AC487" s="2" t="str">
        <f>IF(Source!$C487&gt;=COLUMNS($A487:AC487), Source!$E487, "")</f>
        <v/>
      </c>
      <c r="AD487" s="2" t="str">
        <f>IF(Source!$C487&gt;=COLUMNS($A487:AD487), Source!$E487, "")</f>
        <v/>
      </c>
      <c r="AE487" s="2" t="str">
        <f>IF(Source!$C487&gt;=COLUMNS($A487:AE487), Source!$E487, "")</f>
        <v/>
      </c>
      <c r="AF487" s="2" t="str">
        <f>IF(Source!$C487&gt;=COLUMNS($A487:AF487), Source!$E487, "")</f>
        <v/>
      </c>
      <c r="AG487" s="2" t="str">
        <f>IF(Source!$C487&gt;=COLUMNS($A487:AG487), Source!$E487, "")</f>
        <v/>
      </c>
      <c r="AH487" s="2" t="str">
        <f>IF(Source!$C487&gt;=COLUMNS($A487:AH487), Source!$E487, "")</f>
        <v/>
      </c>
      <c r="AI487" s="2" t="str">
        <f>IF(Source!$C487&gt;=COLUMNS($A487:AI487), Source!$E487, "")</f>
        <v/>
      </c>
      <c r="AJ487" s="2" t="str">
        <f>IF(Source!$C487&gt;=COLUMNS($A487:AJ487), Source!$E487, "")</f>
        <v/>
      </c>
      <c r="AK487" s="2" t="str">
        <f>IF(Source!$C487&gt;=COLUMNS($A487:AK487), Source!$E487, "")</f>
        <v/>
      </c>
      <c r="AL487" s="2" t="str">
        <f>IF(Source!$C487&gt;=COLUMNS($A487:AL487), Source!$E487, "")</f>
        <v/>
      </c>
      <c r="AM487" s="2" t="str">
        <f>IF(Source!$C487&gt;=COLUMNS($A487:AM487), Source!$E487, "")</f>
        <v/>
      </c>
      <c r="AN487" s="2" t="str">
        <f>IF(Source!$C487&gt;=COLUMNS($A487:AN487), Source!$E487, "")</f>
        <v/>
      </c>
      <c r="AO487" s="2" t="str">
        <f>IF(Source!$C487&gt;=COLUMNS($A487:AO487), Source!$E487, "")</f>
        <v/>
      </c>
      <c r="AP487" s="2" t="str">
        <f>IF(Source!$C487&gt;=COLUMNS($A487:AP487), Source!$E487, "")</f>
        <v/>
      </c>
      <c r="AQ487" s="2" t="str">
        <f>IF(Source!$C487&gt;=COLUMNS($A487:AQ487), Source!$E487, "")</f>
        <v/>
      </c>
      <c r="AR487" s="2" t="str">
        <f>IF(Source!$C487&gt;=COLUMNS($A487:AR487), Source!$E487, "")</f>
        <v/>
      </c>
    </row>
    <row r="488">
      <c r="A488" s="2">
        <f>IF(Source!$C488&gt;=COLUMNS($A488:A488), Source!$E488, "")</f>
        <v>5</v>
      </c>
      <c r="B488" s="2">
        <f>IF(Source!$C488&gt;=COLUMNS($A488:B488), Source!$E488, "")</f>
        <v>5</v>
      </c>
      <c r="C488" s="2" t="str">
        <f>IF(Source!$C488&gt;=COLUMNS($A488:C488), Source!$E488, "")</f>
        <v/>
      </c>
      <c r="D488" s="2" t="str">
        <f>IF(Source!$C488&gt;=COLUMNS($A488:D488), Source!$E488, "")</f>
        <v/>
      </c>
      <c r="E488" s="2" t="str">
        <f>IF(Source!$C488&gt;=COLUMNS($A488:E488), Source!$E488, "")</f>
        <v/>
      </c>
      <c r="F488" s="2" t="str">
        <f>IF(Source!$C488&gt;=COLUMNS($A488:F488), Source!$E488, "")</f>
        <v/>
      </c>
      <c r="G488" s="2" t="str">
        <f>IF(Source!$C488&gt;=COLUMNS($A488:G488), Source!$E488, "")</f>
        <v/>
      </c>
      <c r="H488" s="2" t="str">
        <f>IF(Source!$C488&gt;=COLUMNS($A488:H488), Source!$E488, "")</f>
        <v/>
      </c>
      <c r="I488" s="2" t="str">
        <f>IF(Source!$C488&gt;=COLUMNS($A488:I488), Source!$E488, "")</f>
        <v/>
      </c>
      <c r="J488" s="2" t="str">
        <f>IF(Source!$C488&gt;=COLUMNS($A488:J488), Source!$E488, "")</f>
        <v/>
      </c>
      <c r="K488" s="2" t="str">
        <f>IF(Source!$C488&gt;=COLUMNS($A488:K488), Source!$E488, "")</f>
        <v/>
      </c>
      <c r="L488" s="2" t="str">
        <f>IF(Source!$C488&gt;=COLUMNS($A488:L488), Source!$E488, "")</f>
        <v/>
      </c>
      <c r="M488" s="2" t="str">
        <f>IF(Source!$C488&gt;=COLUMNS($A488:M488), Source!$E488, "")</f>
        <v/>
      </c>
      <c r="N488" s="2" t="str">
        <f>IF(Source!$C488&gt;=COLUMNS($A488:N488), Source!$E488, "")</f>
        <v/>
      </c>
      <c r="O488" s="2" t="str">
        <f>IF(Source!$C488&gt;=COLUMNS($A488:O488), Source!$E488, "")</f>
        <v/>
      </c>
      <c r="P488" s="2" t="str">
        <f>IF(Source!$C488&gt;=COLUMNS($A488:P488), Source!$E488, "")</f>
        <v/>
      </c>
      <c r="Q488" s="2" t="str">
        <f>IF(Source!$C488&gt;=COLUMNS($A488:Q488), Source!$E488, "")</f>
        <v/>
      </c>
      <c r="R488" s="2" t="str">
        <f>IF(Source!$C488&gt;=COLUMNS($A488:R488), Source!$E488, "")</f>
        <v/>
      </c>
      <c r="S488" s="2" t="str">
        <f>IF(Source!$C488&gt;=COLUMNS($A488:S488), Source!$E488, "")</f>
        <v/>
      </c>
      <c r="T488" s="2" t="str">
        <f>IF(Source!$C488&gt;=COLUMNS($A488:T488), Source!$E488, "")</f>
        <v/>
      </c>
      <c r="U488" s="2" t="str">
        <f>IF(Source!$C488&gt;=COLUMNS($A488:U488), Source!$E488, "")</f>
        <v/>
      </c>
      <c r="V488" s="2" t="str">
        <f>IF(Source!$C488&gt;=COLUMNS($A488:V488), Source!$E488, "")</f>
        <v/>
      </c>
      <c r="W488" s="2" t="str">
        <f>IF(Source!$C488&gt;=COLUMNS($A488:W488), Source!$E488, "")</f>
        <v/>
      </c>
      <c r="X488" s="2" t="str">
        <f>IF(Source!$C488&gt;=COLUMNS($A488:X488), Source!$E488, "")</f>
        <v/>
      </c>
      <c r="Y488" s="2" t="str">
        <f>IF(Source!$C488&gt;=COLUMNS($A488:Y488), Source!$E488, "")</f>
        <v/>
      </c>
      <c r="Z488" s="2" t="str">
        <f>IF(Source!$C488&gt;=COLUMNS($A488:Z488), Source!$E488, "")</f>
        <v/>
      </c>
      <c r="AA488" s="2" t="str">
        <f>IF(Source!$C488&gt;=COLUMNS($A488:AA488), Source!$E488, "")</f>
        <v/>
      </c>
      <c r="AB488" s="2" t="str">
        <f>IF(Source!$C488&gt;=COLUMNS($A488:AB488), Source!$E488, "")</f>
        <v/>
      </c>
      <c r="AC488" s="2" t="str">
        <f>IF(Source!$C488&gt;=COLUMNS($A488:AC488), Source!$E488, "")</f>
        <v/>
      </c>
      <c r="AD488" s="2" t="str">
        <f>IF(Source!$C488&gt;=COLUMNS($A488:AD488), Source!$E488, "")</f>
        <v/>
      </c>
      <c r="AE488" s="2" t="str">
        <f>IF(Source!$C488&gt;=COLUMNS($A488:AE488), Source!$E488, "")</f>
        <v/>
      </c>
      <c r="AF488" s="2" t="str">
        <f>IF(Source!$C488&gt;=COLUMNS($A488:AF488), Source!$E488, "")</f>
        <v/>
      </c>
      <c r="AG488" s="2" t="str">
        <f>IF(Source!$C488&gt;=COLUMNS($A488:AG488), Source!$E488, "")</f>
        <v/>
      </c>
      <c r="AH488" s="2" t="str">
        <f>IF(Source!$C488&gt;=COLUMNS($A488:AH488), Source!$E488, "")</f>
        <v/>
      </c>
      <c r="AI488" s="2" t="str">
        <f>IF(Source!$C488&gt;=COLUMNS($A488:AI488), Source!$E488, "")</f>
        <v/>
      </c>
      <c r="AJ488" s="2" t="str">
        <f>IF(Source!$C488&gt;=COLUMNS($A488:AJ488), Source!$E488, "")</f>
        <v/>
      </c>
      <c r="AK488" s="2" t="str">
        <f>IF(Source!$C488&gt;=COLUMNS($A488:AK488), Source!$E488, "")</f>
        <v/>
      </c>
      <c r="AL488" s="2" t="str">
        <f>IF(Source!$C488&gt;=COLUMNS($A488:AL488), Source!$E488, "")</f>
        <v/>
      </c>
      <c r="AM488" s="2" t="str">
        <f>IF(Source!$C488&gt;=COLUMNS($A488:AM488), Source!$E488, "")</f>
        <v/>
      </c>
      <c r="AN488" s="2" t="str">
        <f>IF(Source!$C488&gt;=COLUMNS($A488:AN488), Source!$E488, "")</f>
        <v/>
      </c>
      <c r="AO488" s="2" t="str">
        <f>IF(Source!$C488&gt;=COLUMNS($A488:AO488), Source!$E488, "")</f>
        <v/>
      </c>
      <c r="AP488" s="2" t="str">
        <f>IF(Source!$C488&gt;=COLUMNS($A488:AP488), Source!$E488, "")</f>
        <v/>
      </c>
      <c r="AQ488" s="2" t="str">
        <f>IF(Source!$C488&gt;=COLUMNS($A488:AQ488), Source!$E488, "")</f>
        <v/>
      </c>
      <c r="AR488" s="2" t="str">
        <f>IF(Source!$C488&gt;=COLUMNS($A488:AR488), Source!$E488, "")</f>
        <v/>
      </c>
    </row>
    <row r="489">
      <c r="A489" s="2">
        <f>IF(Source!$C489&gt;=COLUMNS($A489:A489), Source!$E489, "")</f>
        <v>4</v>
      </c>
      <c r="B489" s="2">
        <f>IF(Source!$C489&gt;=COLUMNS($A489:B489), Source!$E489, "")</f>
        <v>4</v>
      </c>
      <c r="C489" s="2">
        <f>IF(Source!$C489&gt;=COLUMNS($A489:C489), Source!$E489, "")</f>
        <v>4</v>
      </c>
      <c r="D489" s="2">
        <f>IF(Source!$C489&gt;=COLUMNS($A489:D489), Source!$E489, "")</f>
        <v>4</v>
      </c>
      <c r="E489" s="2" t="str">
        <f>IF(Source!$C489&gt;=COLUMNS($A489:E489), Source!$E489, "")</f>
        <v/>
      </c>
      <c r="F489" s="2" t="str">
        <f>IF(Source!$C489&gt;=COLUMNS($A489:F489), Source!$E489, "")</f>
        <v/>
      </c>
      <c r="G489" s="2" t="str">
        <f>IF(Source!$C489&gt;=COLUMNS($A489:G489), Source!$E489, "")</f>
        <v/>
      </c>
      <c r="H489" s="2" t="str">
        <f>IF(Source!$C489&gt;=COLUMNS($A489:H489), Source!$E489, "")</f>
        <v/>
      </c>
      <c r="I489" s="2" t="str">
        <f>IF(Source!$C489&gt;=COLUMNS($A489:I489), Source!$E489, "")</f>
        <v/>
      </c>
      <c r="J489" s="2" t="str">
        <f>IF(Source!$C489&gt;=COLUMNS($A489:J489), Source!$E489, "")</f>
        <v/>
      </c>
      <c r="K489" s="2" t="str">
        <f>IF(Source!$C489&gt;=COLUMNS($A489:K489), Source!$E489, "")</f>
        <v/>
      </c>
      <c r="L489" s="2" t="str">
        <f>IF(Source!$C489&gt;=COLUMNS($A489:L489), Source!$E489, "")</f>
        <v/>
      </c>
      <c r="M489" s="2" t="str">
        <f>IF(Source!$C489&gt;=COLUMNS($A489:M489), Source!$E489, "")</f>
        <v/>
      </c>
      <c r="N489" s="2" t="str">
        <f>IF(Source!$C489&gt;=COLUMNS($A489:N489), Source!$E489, "")</f>
        <v/>
      </c>
      <c r="O489" s="2" t="str">
        <f>IF(Source!$C489&gt;=COLUMNS($A489:O489), Source!$E489, "")</f>
        <v/>
      </c>
      <c r="P489" s="2" t="str">
        <f>IF(Source!$C489&gt;=COLUMNS($A489:P489), Source!$E489, "")</f>
        <v/>
      </c>
      <c r="Q489" s="2" t="str">
        <f>IF(Source!$C489&gt;=COLUMNS($A489:Q489), Source!$E489, "")</f>
        <v/>
      </c>
      <c r="R489" s="2" t="str">
        <f>IF(Source!$C489&gt;=COLUMNS($A489:R489), Source!$E489, "")</f>
        <v/>
      </c>
      <c r="S489" s="2" t="str">
        <f>IF(Source!$C489&gt;=COLUMNS($A489:S489), Source!$E489, "")</f>
        <v/>
      </c>
      <c r="T489" s="2" t="str">
        <f>IF(Source!$C489&gt;=COLUMNS($A489:T489), Source!$E489, "")</f>
        <v/>
      </c>
      <c r="U489" s="2" t="str">
        <f>IF(Source!$C489&gt;=COLUMNS($A489:U489), Source!$E489, "")</f>
        <v/>
      </c>
      <c r="V489" s="2" t="str">
        <f>IF(Source!$C489&gt;=COLUMNS($A489:V489), Source!$E489, "")</f>
        <v/>
      </c>
      <c r="W489" s="2" t="str">
        <f>IF(Source!$C489&gt;=COLUMNS($A489:W489), Source!$E489, "")</f>
        <v/>
      </c>
      <c r="X489" s="2" t="str">
        <f>IF(Source!$C489&gt;=COLUMNS($A489:X489), Source!$E489, "")</f>
        <v/>
      </c>
      <c r="Y489" s="2" t="str">
        <f>IF(Source!$C489&gt;=COLUMNS($A489:Y489), Source!$E489, "")</f>
        <v/>
      </c>
      <c r="Z489" s="2" t="str">
        <f>IF(Source!$C489&gt;=COLUMNS($A489:Z489), Source!$E489, "")</f>
        <v/>
      </c>
      <c r="AA489" s="2" t="str">
        <f>IF(Source!$C489&gt;=COLUMNS($A489:AA489), Source!$E489, "")</f>
        <v/>
      </c>
      <c r="AB489" s="2" t="str">
        <f>IF(Source!$C489&gt;=COLUMNS($A489:AB489), Source!$E489, "")</f>
        <v/>
      </c>
      <c r="AC489" s="2" t="str">
        <f>IF(Source!$C489&gt;=COLUMNS($A489:AC489), Source!$E489, "")</f>
        <v/>
      </c>
      <c r="AD489" s="2" t="str">
        <f>IF(Source!$C489&gt;=COLUMNS($A489:AD489), Source!$E489, "")</f>
        <v/>
      </c>
      <c r="AE489" s="2" t="str">
        <f>IF(Source!$C489&gt;=COLUMNS($A489:AE489), Source!$E489, "")</f>
        <v/>
      </c>
      <c r="AF489" s="2" t="str">
        <f>IF(Source!$C489&gt;=COLUMNS($A489:AF489), Source!$E489, "")</f>
        <v/>
      </c>
      <c r="AG489" s="2" t="str">
        <f>IF(Source!$C489&gt;=COLUMNS($A489:AG489), Source!$E489, "")</f>
        <v/>
      </c>
      <c r="AH489" s="2" t="str">
        <f>IF(Source!$C489&gt;=COLUMNS($A489:AH489), Source!$E489, "")</f>
        <v/>
      </c>
      <c r="AI489" s="2" t="str">
        <f>IF(Source!$C489&gt;=COLUMNS($A489:AI489), Source!$E489, "")</f>
        <v/>
      </c>
      <c r="AJ489" s="2" t="str">
        <f>IF(Source!$C489&gt;=COLUMNS($A489:AJ489), Source!$E489, "")</f>
        <v/>
      </c>
      <c r="AK489" s="2" t="str">
        <f>IF(Source!$C489&gt;=COLUMNS($A489:AK489), Source!$E489, "")</f>
        <v/>
      </c>
      <c r="AL489" s="2" t="str">
        <f>IF(Source!$C489&gt;=COLUMNS($A489:AL489), Source!$E489, "")</f>
        <v/>
      </c>
      <c r="AM489" s="2" t="str">
        <f>IF(Source!$C489&gt;=COLUMNS($A489:AM489), Source!$E489, "")</f>
        <v/>
      </c>
      <c r="AN489" s="2" t="str">
        <f>IF(Source!$C489&gt;=COLUMNS($A489:AN489), Source!$E489, "")</f>
        <v/>
      </c>
      <c r="AO489" s="2" t="str">
        <f>IF(Source!$C489&gt;=COLUMNS($A489:AO489), Source!$E489, "")</f>
        <v/>
      </c>
      <c r="AP489" s="2" t="str">
        <f>IF(Source!$C489&gt;=COLUMNS($A489:AP489), Source!$E489, "")</f>
        <v/>
      </c>
      <c r="AQ489" s="2" t="str">
        <f>IF(Source!$C489&gt;=COLUMNS($A489:AQ489), Source!$E489, "")</f>
        <v/>
      </c>
      <c r="AR489" s="2" t="str">
        <f>IF(Source!$C489&gt;=COLUMNS($A489:AR489), Source!$E489, "")</f>
        <v/>
      </c>
    </row>
    <row r="490">
      <c r="A490" s="2">
        <f>IF(Source!$C490&gt;=COLUMNS($A490:A490), Source!$E490, "")</f>
        <v>5</v>
      </c>
      <c r="B490" s="2">
        <f>IF(Source!$C490&gt;=COLUMNS($A490:B490), Source!$E490, "")</f>
        <v>5</v>
      </c>
      <c r="C490" s="2" t="str">
        <f>IF(Source!$C490&gt;=COLUMNS($A490:C490), Source!$E490, "")</f>
        <v/>
      </c>
      <c r="D490" s="2" t="str">
        <f>IF(Source!$C490&gt;=COLUMNS($A490:D490), Source!$E490, "")</f>
        <v/>
      </c>
      <c r="E490" s="2" t="str">
        <f>IF(Source!$C490&gt;=COLUMNS($A490:E490), Source!$E490, "")</f>
        <v/>
      </c>
      <c r="F490" s="2" t="str">
        <f>IF(Source!$C490&gt;=COLUMNS($A490:F490), Source!$E490, "")</f>
        <v/>
      </c>
      <c r="G490" s="2" t="str">
        <f>IF(Source!$C490&gt;=COLUMNS($A490:G490), Source!$E490, "")</f>
        <v/>
      </c>
      <c r="H490" s="2" t="str">
        <f>IF(Source!$C490&gt;=COLUMNS($A490:H490), Source!$E490, "")</f>
        <v/>
      </c>
      <c r="I490" s="2" t="str">
        <f>IF(Source!$C490&gt;=COLUMNS($A490:I490), Source!$E490, "")</f>
        <v/>
      </c>
      <c r="J490" s="2" t="str">
        <f>IF(Source!$C490&gt;=COLUMNS($A490:J490), Source!$E490, "")</f>
        <v/>
      </c>
      <c r="K490" s="2" t="str">
        <f>IF(Source!$C490&gt;=COLUMNS($A490:K490), Source!$E490, "")</f>
        <v/>
      </c>
      <c r="L490" s="2" t="str">
        <f>IF(Source!$C490&gt;=COLUMNS($A490:L490), Source!$E490, "")</f>
        <v/>
      </c>
      <c r="M490" s="2" t="str">
        <f>IF(Source!$C490&gt;=COLUMNS($A490:M490), Source!$E490, "")</f>
        <v/>
      </c>
      <c r="N490" s="2" t="str">
        <f>IF(Source!$C490&gt;=COLUMNS($A490:N490), Source!$E490, "")</f>
        <v/>
      </c>
      <c r="O490" s="2" t="str">
        <f>IF(Source!$C490&gt;=COLUMNS($A490:O490), Source!$E490, "")</f>
        <v/>
      </c>
      <c r="P490" s="2" t="str">
        <f>IF(Source!$C490&gt;=COLUMNS($A490:P490), Source!$E490, "")</f>
        <v/>
      </c>
      <c r="Q490" s="2" t="str">
        <f>IF(Source!$C490&gt;=COLUMNS($A490:Q490), Source!$E490, "")</f>
        <v/>
      </c>
      <c r="R490" s="2" t="str">
        <f>IF(Source!$C490&gt;=COLUMNS($A490:R490), Source!$E490, "")</f>
        <v/>
      </c>
      <c r="S490" s="2" t="str">
        <f>IF(Source!$C490&gt;=COLUMNS($A490:S490), Source!$E490, "")</f>
        <v/>
      </c>
      <c r="T490" s="2" t="str">
        <f>IF(Source!$C490&gt;=COLUMNS($A490:T490), Source!$E490, "")</f>
        <v/>
      </c>
      <c r="U490" s="2" t="str">
        <f>IF(Source!$C490&gt;=COLUMNS($A490:U490), Source!$E490, "")</f>
        <v/>
      </c>
      <c r="V490" s="2" t="str">
        <f>IF(Source!$C490&gt;=COLUMNS($A490:V490), Source!$E490, "")</f>
        <v/>
      </c>
      <c r="W490" s="2" t="str">
        <f>IF(Source!$C490&gt;=COLUMNS($A490:W490), Source!$E490, "")</f>
        <v/>
      </c>
      <c r="X490" s="2" t="str">
        <f>IF(Source!$C490&gt;=COLUMNS($A490:X490), Source!$E490, "")</f>
        <v/>
      </c>
      <c r="Y490" s="2" t="str">
        <f>IF(Source!$C490&gt;=COLUMNS($A490:Y490), Source!$E490, "")</f>
        <v/>
      </c>
      <c r="Z490" s="2" t="str">
        <f>IF(Source!$C490&gt;=COLUMNS($A490:Z490), Source!$E490, "")</f>
        <v/>
      </c>
      <c r="AA490" s="2" t="str">
        <f>IF(Source!$C490&gt;=COLUMNS($A490:AA490), Source!$E490, "")</f>
        <v/>
      </c>
      <c r="AB490" s="2" t="str">
        <f>IF(Source!$C490&gt;=COLUMNS($A490:AB490), Source!$E490, "")</f>
        <v/>
      </c>
      <c r="AC490" s="2" t="str">
        <f>IF(Source!$C490&gt;=COLUMNS($A490:AC490), Source!$E490, "")</f>
        <v/>
      </c>
      <c r="AD490" s="2" t="str">
        <f>IF(Source!$C490&gt;=COLUMNS($A490:AD490), Source!$E490, "")</f>
        <v/>
      </c>
      <c r="AE490" s="2" t="str">
        <f>IF(Source!$C490&gt;=COLUMNS($A490:AE490), Source!$E490, "")</f>
        <v/>
      </c>
      <c r="AF490" s="2" t="str">
        <f>IF(Source!$C490&gt;=COLUMNS($A490:AF490), Source!$E490, "")</f>
        <v/>
      </c>
      <c r="AG490" s="2" t="str">
        <f>IF(Source!$C490&gt;=COLUMNS($A490:AG490), Source!$E490, "")</f>
        <v/>
      </c>
      <c r="AH490" s="2" t="str">
        <f>IF(Source!$C490&gt;=COLUMNS($A490:AH490), Source!$E490, "")</f>
        <v/>
      </c>
      <c r="AI490" s="2" t="str">
        <f>IF(Source!$C490&gt;=COLUMNS($A490:AI490), Source!$E490, "")</f>
        <v/>
      </c>
      <c r="AJ490" s="2" t="str">
        <f>IF(Source!$C490&gt;=COLUMNS($A490:AJ490), Source!$E490, "")</f>
        <v/>
      </c>
      <c r="AK490" s="2" t="str">
        <f>IF(Source!$C490&gt;=COLUMNS($A490:AK490), Source!$E490, "")</f>
        <v/>
      </c>
      <c r="AL490" s="2" t="str">
        <f>IF(Source!$C490&gt;=COLUMNS($A490:AL490), Source!$E490, "")</f>
        <v/>
      </c>
      <c r="AM490" s="2" t="str">
        <f>IF(Source!$C490&gt;=COLUMNS($A490:AM490), Source!$E490, "")</f>
        <v/>
      </c>
      <c r="AN490" s="2" t="str">
        <f>IF(Source!$C490&gt;=COLUMNS($A490:AN490), Source!$E490, "")</f>
        <v/>
      </c>
      <c r="AO490" s="2" t="str">
        <f>IF(Source!$C490&gt;=COLUMNS($A490:AO490), Source!$E490, "")</f>
        <v/>
      </c>
      <c r="AP490" s="2" t="str">
        <f>IF(Source!$C490&gt;=COLUMNS($A490:AP490), Source!$E490, "")</f>
        <v/>
      </c>
      <c r="AQ490" s="2" t="str">
        <f>IF(Source!$C490&gt;=COLUMNS($A490:AQ490), Source!$E490, "")</f>
        <v/>
      </c>
      <c r="AR490" s="2" t="str">
        <f>IF(Source!$C490&gt;=COLUMNS($A490:AR490), Source!$E490, "")</f>
        <v/>
      </c>
    </row>
    <row r="491">
      <c r="A491" s="2">
        <f>IF(Source!$C491&gt;=COLUMNS($A491:A491), Source!$E491, "")</f>
        <v>5</v>
      </c>
      <c r="B491" s="2" t="str">
        <f>IF(Source!$C491&gt;=COLUMNS($A491:B491), Source!$E491, "")</f>
        <v/>
      </c>
      <c r="C491" s="2" t="str">
        <f>IF(Source!$C491&gt;=COLUMNS($A491:C491), Source!$E491, "")</f>
        <v/>
      </c>
      <c r="D491" s="2" t="str">
        <f>IF(Source!$C491&gt;=COLUMNS($A491:D491), Source!$E491, "")</f>
        <v/>
      </c>
      <c r="E491" s="2" t="str">
        <f>IF(Source!$C491&gt;=COLUMNS($A491:E491), Source!$E491, "")</f>
        <v/>
      </c>
      <c r="F491" s="2" t="str">
        <f>IF(Source!$C491&gt;=COLUMNS($A491:F491), Source!$E491, "")</f>
        <v/>
      </c>
      <c r="G491" s="2" t="str">
        <f>IF(Source!$C491&gt;=COLUMNS($A491:G491), Source!$E491, "")</f>
        <v/>
      </c>
      <c r="H491" s="2" t="str">
        <f>IF(Source!$C491&gt;=COLUMNS($A491:H491), Source!$E491, "")</f>
        <v/>
      </c>
      <c r="I491" s="2" t="str">
        <f>IF(Source!$C491&gt;=COLUMNS($A491:I491), Source!$E491, "")</f>
        <v/>
      </c>
      <c r="J491" s="2" t="str">
        <f>IF(Source!$C491&gt;=COLUMNS($A491:J491), Source!$E491, "")</f>
        <v/>
      </c>
      <c r="K491" s="2" t="str">
        <f>IF(Source!$C491&gt;=COLUMNS($A491:K491), Source!$E491, "")</f>
        <v/>
      </c>
      <c r="L491" s="2" t="str">
        <f>IF(Source!$C491&gt;=COLUMNS($A491:L491), Source!$E491, "")</f>
        <v/>
      </c>
      <c r="M491" s="2" t="str">
        <f>IF(Source!$C491&gt;=COLUMNS($A491:M491), Source!$E491, "")</f>
        <v/>
      </c>
      <c r="N491" s="2" t="str">
        <f>IF(Source!$C491&gt;=COLUMNS($A491:N491), Source!$E491, "")</f>
        <v/>
      </c>
      <c r="O491" s="2" t="str">
        <f>IF(Source!$C491&gt;=COLUMNS($A491:O491), Source!$E491, "")</f>
        <v/>
      </c>
      <c r="P491" s="2" t="str">
        <f>IF(Source!$C491&gt;=COLUMNS($A491:P491), Source!$E491, "")</f>
        <v/>
      </c>
      <c r="Q491" s="2" t="str">
        <f>IF(Source!$C491&gt;=COLUMNS($A491:Q491), Source!$E491, "")</f>
        <v/>
      </c>
      <c r="R491" s="2" t="str">
        <f>IF(Source!$C491&gt;=COLUMNS($A491:R491), Source!$E491, "")</f>
        <v/>
      </c>
      <c r="S491" s="2" t="str">
        <f>IF(Source!$C491&gt;=COLUMNS($A491:S491), Source!$E491, "")</f>
        <v/>
      </c>
      <c r="T491" s="2" t="str">
        <f>IF(Source!$C491&gt;=COLUMNS($A491:T491), Source!$E491, "")</f>
        <v/>
      </c>
      <c r="U491" s="2" t="str">
        <f>IF(Source!$C491&gt;=COLUMNS($A491:U491), Source!$E491, "")</f>
        <v/>
      </c>
      <c r="V491" s="2" t="str">
        <f>IF(Source!$C491&gt;=COLUMNS($A491:V491), Source!$E491, "")</f>
        <v/>
      </c>
      <c r="W491" s="2" t="str">
        <f>IF(Source!$C491&gt;=COLUMNS($A491:W491), Source!$E491, "")</f>
        <v/>
      </c>
      <c r="X491" s="2" t="str">
        <f>IF(Source!$C491&gt;=COLUMNS($A491:X491), Source!$E491, "")</f>
        <v/>
      </c>
      <c r="Y491" s="2" t="str">
        <f>IF(Source!$C491&gt;=COLUMNS($A491:Y491), Source!$E491, "")</f>
        <v/>
      </c>
      <c r="Z491" s="2" t="str">
        <f>IF(Source!$C491&gt;=COLUMNS($A491:Z491), Source!$E491, "")</f>
        <v/>
      </c>
      <c r="AA491" s="2" t="str">
        <f>IF(Source!$C491&gt;=COLUMNS($A491:AA491), Source!$E491, "")</f>
        <v/>
      </c>
      <c r="AB491" s="2" t="str">
        <f>IF(Source!$C491&gt;=COLUMNS($A491:AB491), Source!$E491, "")</f>
        <v/>
      </c>
      <c r="AC491" s="2" t="str">
        <f>IF(Source!$C491&gt;=COLUMNS($A491:AC491), Source!$E491, "")</f>
        <v/>
      </c>
      <c r="AD491" s="2" t="str">
        <f>IF(Source!$C491&gt;=COLUMNS($A491:AD491), Source!$E491, "")</f>
        <v/>
      </c>
      <c r="AE491" s="2" t="str">
        <f>IF(Source!$C491&gt;=COLUMNS($A491:AE491), Source!$E491, "")</f>
        <v/>
      </c>
      <c r="AF491" s="2" t="str">
        <f>IF(Source!$C491&gt;=COLUMNS($A491:AF491), Source!$E491, "")</f>
        <v/>
      </c>
      <c r="AG491" s="2" t="str">
        <f>IF(Source!$C491&gt;=COLUMNS($A491:AG491), Source!$E491, "")</f>
        <v/>
      </c>
      <c r="AH491" s="2" t="str">
        <f>IF(Source!$C491&gt;=COLUMNS($A491:AH491), Source!$E491, "")</f>
        <v/>
      </c>
      <c r="AI491" s="2" t="str">
        <f>IF(Source!$C491&gt;=COLUMNS($A491:AI491), Source!$E491, "")</f>
        <v/>
      </c>
      <c r="AJ491" s="2" t="str">
        <f>IF(Source!$C491&gt;=COLUMNS($A491:AJ491), Source!$E491, "")</f>
        <v/>
      </c>
      <c r="AK491" s="2" t="str">
        <f>IF(Source!$C491&gt;=COLUMNS($A491:AK491), Source!$E491, "")</f>
        <v/>
      </c>
      <c r="AL491" s="2" t="str">
        <f>IF(Source!$C491&gt;=COLUMNS($A491:AL491), Source!$E491, "")</f>
        <v/>
      </c>
      <c r="AM491" s="2" t="str">
        <f>IF(Source!$C491&gt;=COLUMNS($A491:AM491), Source!$E491, "")</f>
        <v/>
      </c>
      <c r="AN491" s="2" t="str">
        <f>IF(Source!$C491&gt;=COLUMNS($A491:AN491), Source!$E491, "")</f>
        <v/>
      </c>
      <c r="AO491" s="2" t="str">
        <f>IF(Source!$C491&gt;=COLUMNS($A491:AO491), Source!$E491, "")</f>
        <v/>
      </c>
      <c r="AP491" s="2" t="str">
        <f>IF(Source!$C491&gt;=COLUMNS($A491:AP491), Source!$E491, "")</f>
        <v/>
      </c>
      <c r="AQ491" s="2" t="str">
        <f>IF(Source!$C491&gt;=COLUMNS($A491:AQ491), Source!$E491, "")</f>
        <v/>
      </c>
      <c r="AR491" s="2" t="str">
        <f>IF(Source!$C491&gt;=COLUMNS($A491:AR491), Source!$E491, "")</f>
        <v/>
      </c>
    </row>
    <row r="492">
      <c r="A492" s="2">
        <f>IF(Source!$C492&gt;=COLUMNS($A492:A492), Source!$E492, "")</f>
        <v>2</v>
      </c>
      <c r="B492" s="2">
        <f>IF(Source!$C492&gt;=COLUMNS($A492:B492), Source!$E492, "")</f>
        <v>2</v>
      </c>
      <c r="C492" s="2" t="str">
        <f>IF(Source!$C492&gt;=COLUMNS($A492:C492), Source!$E492, "")</f>
        <v/>
      </c>
      <c r="D492" s="2" t="str">
        <f>IF(Source!$C492&gt;=COLUMNS($A492:D492), Source!$E492, "")</f>
        <v/>
      </c>
      <c r="E492" s="2" t="str">
        <f>IF(Source!$C492&gt;=COLUMNS($A492:E492), Source!$E492, "")</f>
        <v/>
      </c>
      <c r="F492" s="2" t="str">
        <f>IF(Source!$C492&gt;=COLUMNS($A492:F492), Source!$E492, "")</f>
        <v/>
      </c>
      <c r="G492" s="2" t="str">
        <f>IF(Source!$C492&gt;=COLUMNS($A492:G492), Source!$E492, "")</f>
        <v/>
      </c>
      <c r="H492" s="2" t="str">
        <f>IF(Source!$C492&gt;=COLUMNS($A492:H492), Source!$E492, "")</f>
        <v/>
      </c>
      <c r="I492" s="2" t="str">
        <f>IF(Source!$C492&gt;=COLUMNS($A492:I492), Source!$E492, "")</f>
        <v/>
      </c>
      <c r="J492" s="2" t="str">
        <f>IF(Source!$C492&gt;=COLUMNS($A492:J492), Source!$E492, "")</f>
        <v/>
      </c>
      <c r="K492" s="2" t="str">
        <f>IF(Source!$C492&gt;=COLUMNS($A492:K492), Source!$E492, "")</f>
        <v/>
      </c>
      <c r="L492" s="2" t="str">
        <f>IF(Source!$C492&gt;=COLUMNS($A492:L492), Source!$E492, "")</f>
        <v/>
      </c>
      <c r="M492" s="2" t="str">
        <f>IF(Source!$C492&gt;=COLUMNS($A492:M492), Source!$E492, "")</f>
        <v/>
      </c>
      <c r="N492" s="2" t="str">
        <f>IF(Source!$C492&gt;=COLUMNS($A492:N492), Source!$E492, "")</f>
        <v/>
      </c>
      <c r="O492" s="2" t="str">
        <f>IF(Source!$C492&gt;=COLUMNS($A492:O492), Source!$E492, "")</f>
        <v/>
      </c>
      <c r="P492" s="2" t="str">
        <f>IF(Source!$C492&gt;=COLUMNS($A492:P492), Source!$E492, "")</f>
        <v/>
      </c>
      <c r="Q492" s="2" t="str">
        <f>IF(Source!$C492&gt;=COLUMNS($A492:Q492), Source!$E492, "")</f>
        <v/>
      </c>
      <c r="R492" s="2" t="str">
        <f>IF(Source!$C492&gt;=COLUMNS($A492:R492), Source!$E492, "")</f>
        <v/>
      </c>
      <c r="S492" s="2" t="str">
        <f>IF(Source!$C492&gt;=COLUMNS($A492:S492), Source!$E492, "")</f>
        <v/>
      </c>
      <c r="T492" s="2" t="str">
        <f>IF(Source!$C492&gt;=COLUMNS($A492:T492), Source!$E492, "")</f>
        <v/>
      </c>
      <c r="U492" s="2" t="str">
        <f>IF(Source!$C492&gt;=COLUMNS($A492:U492), Source!$E492, "")</f>
        <v/>
      </c>
      <c r="V492" s="2" t="str">
        <f>IF(Source!$C492&gt;=COLUMNS($A492:V492), Source!$E492, "")</f>
        <v/>
      </c>
      <c r="W492" s="2" t="str">
        <f>IF(Source!$C492&gt;=COLUMNS($A492:W492), Source!$E492, "")</f>
        <v/>
      </c>
      <c r="X492" s="2" t="str">
        <f>IF(Source!$C492&gt;=COLUMNS($A492:X492), Source!$E492, "")</f>
        <v/>
      </c>
      <c r="Y492" s="2" t="str">
        <f>IF(Source!$C492&gt;=COLUMNS($A492:Y492), Source!$E492, "")</f>
        <v/>
      </c>
      <c r="Z492" s="2" t="str">
        <f>IF(Source!$C492&gt;=COLUMNS($A492:Z492), Source!$E492, "")</f>
        <v/>
      </c>
      <c r="AA492" s="2" t="str">
        <f>IF(Source!$C492&gt;=COLUMNS($A492:AA492), Source!$E492, "")</f>
        <v/>
      </c>
      <c r="AB492" s="2" t="str">
        <f>IF(Source!$C492&gt;=COLUMNS($A492:AB492), Source!$E492, "")</f>
        <v/>
      </c>
      <c r="AC492" s="2" t="str">
        <f>IF(Source!$C492&gt;=COLUMNS($A492:AC492), Source!$E492, "")</f>
        <v/>
      </c>
      <c r="AD492" s="2" t="str">
        <f>IF(Source!$C492&gt;=COLUMNS($A492:AD492), Source!$E492, "")</f>
        <v/>
      </c>
      <c r="AE492" s="2" t="str">
        <f>IF(Source!$C492&gt;=COLUMNS($A492:AE492), Source!$E492, "")</f>
        <v/>
      </c>
      <c r="AF492" s="2" t="str">
        <f>IF(Source!$C492&gt;=COLUMNS($A492:AF492), Source!$E492, "")</f>
        <v/>
      </c>
      <c r="AG492" s="2" t="str">
        <f>IF(Source!$C492&gt;=COLUMNS($A492:AG492), Source!$E492, "")</f>
        <v/>
      </c>
      <c r="AH492" s="2" t="str">
        <f>IF(Source!$C492&gt;=COLUMNS($A492:AH492), Source!$E492, "")</f>
        <v/>
      </c>
      <c r="AI492" s="2" t="str">
        <f>IF(Source!$C492&gt;=COLUMNS($A492:AI492), Source!$E492, "")</f>
        <v/>
      </c>
      <c r="AJ492" s="2" t="str">
        <f>IF(Source!$C492&gt;=COLUMNS($A492:AJ492), Source!$E492, "")</f>
        <v/>
      </c>
      <c r="AK492" s="2" t="str">
        <f>IF(Source!$C492&gt;=COLUMNS($A492:AK492), Source!$E492, "")</f>
        <v/>
      </c>
      <c r="AL492" s="2" t="str">
        <f>IF(Source!$C492&gt;=COLUMNS($A492:AL492), Source!$E492, "")</f>
        <v/>
      </c>
      <c r="AM492" s="2" t="str">
        <f>IF(Source!$C492&gt;=COLUMNS($A492:AM492), Source!$E492, "")</f>
        <v/>
      </c>
      <c r="AN492" s="2" t="str">
        <f>IF(Source!$C492&gt;=COLUMNS($A492:AN492), Source!$E492, "")</f>
        <v/>
      </c>
      <c r="AO492" s="2" t="str">
        <f>IF(Source!$C492&gt;=COLUMNS($A492:AO492), Source!$E492, "")</f>
        <v/>
      </c>
      <c r="AP492" s="2" t="str">
        <f>IF(Source!$C492&gt;=COLUMNS($A492:AP492), Source!$E492, "")</f>
        <v/>
      </c>
      <c r="AQ492" s="2" t="str">
        <f>IF(Source!$C492&gt;=COLUMNS($A492:AQ492), Source!$E492, "")</f>
        <v/>
      </c>
      <c r="AR492" s="2" t="str">
        <f>IF(Source!$C492&gt;=COLUMNS($A492:AR492), Source!$E492, "")</f>
        <v/>
      </c>
    </row>
    <row r="493">
      <c r="A493" s="2">
        <f>IF(Source!$C493&gt;=COLUMNS($A493:A493), Source!$E493, "")</f>
        <v>3</v>
      </c>
      <c r="B493" s="2">
        <f>IF(Source!$C493&gt;=COLUMNS($A493:B493), Source!$E493, "")</f>
        <v>3</v>
      </c>
      <c r="C493" s="2">
        <f>IF(Source!$C493&gt;=COLUMNS($A493:C493), Source!$E493, "")</f>
        <v>3</v>
      </c>
      <c r="D493" s="2">
        <f>IF(Source!$C493&gt;=COLUMNS($A493:D493), Source!$E493, "")</f>
        <v>3</v>
      </c>
      <c r="E493" s="2" t="str">
        <f>IF(Source!$C493&gt;=COLUMNS($A493:E493), Source!$E493, "")</f>
        <v/>
      </c>
      <c r="F493" s="2" t="str">
        <f>IF(Source!$C493&gt;=COLUMNS($A493:F493), Source!$E493, "")</f>
        <v/>
      </c>
      <c r="G493" s="2" t="str">
        <f>IF(Source!$C493&gt;=COLUMNS($A493:G493), Source!$E493, "")</f>
        <v/>
      </c>
      <c r="H493" s="2" t="str">
        <f>IF(Source!$C493&gt;=COLUMNS($A493:H493), Source!$E493, "")</f>
        <v/>
      </c>
      <c r="I493" s="2" t="str">
        <f>IF(Source!$C493&gt;=COLUMNS($A493:I493), Source!$E493, "")</f>
        <v/>
      </c>
      <c r="J493" s="2" t="str">
        <f>IF(Source!$C493&gt;=COLUMNS($A493:J493), Source!$E493, "")</f>
        <v/>
      </c>
      <c r="K493" s="2" t="str">
        <f>IF(Source!$C493&gt;=COLUMNS($A493:K493), Source!$E493, "")</f>
        <v/>
      </c>
      <c r="L493" s="2" t="str">
        <f>IF(Source!$C493&gt;=COLUMNS($A493:L493), Source!$E493, "")</f>
        <v/>
      </c>
      <c r="M493" s="2" t="str">
        <f>IF(Source!$C493&gt;=COLUMNS($A493:M493), Source!$E493, "")</f>
        <v/>
      </c>
      <c r="N493" s="2" t="str">
        <f>IF(Source!$C493&gt;=COLUMNS($A493:N493), Source!$E493, "")</f>
        <v/>
      </c>
      <c r="O493" s="2" t="str">
        <f>IF(Source!$C493&gt;=COLUMNS($A493:O493), Source!$E493, "")</f>
        <v/>
      </c>
      <c r="P493" s="2" t="str">
        <f>IF(Source!$C493&gt;=COLUMNS($A493:P493), Source!$E493, "")</f>
        <v/>
      </c>
      <c r="Q493" s="2" t="str">
        <f>IF(Source!$C493&gt;=COLUMNS($A493:Q493), Source!$E493, "")</f>
        <v/>
      </c>
      <c r="R493" s="2" t="str">
        <f>IF(Source!$C493&gt;=COLUMNS($A493:R493), Source!$E493, "")</f>
        <v/>
      </c>
      <c r="S493" s="2" t="str">
        <f>IF(Source!$C493&gt;=COLUMNS($A493:S493), Source!$E493, "")</f>
        <v/>
      </c>
      <c r="T493" s="2" t="str">
        <f>IF(Source!$C493&gt;=COLUMNS($A493:T493), Source!$E493, "")</f>
        <v/>
      </c>
      <c r="U493" s="2" t="str">
        <f>IF(Source!$C493&gt;=COLUMNS($A493:U493), Source!$E493, "")</f>
        <v/>
      </c>
      <c r="V493" s="2" t="str">
        <f>IF(Source!$C493&gt;=COLUMNS($A493:V493), Source!$E493, "")</f>
        <v/>
      </c>
      <c r="W493" s="2" t="str">
        <f>IF(Source!$C493&gt;=COLUMNS($A493:W493), Source!$E493, "")</f>
        <v/>
      </c>
      <c r="X493" s="2" t="str">
        <f>IF(Source!$C493&gt;=COLUMNS($A493:X493), Source!$E493, "")</f>
        <v/>
      </c>
      <c r="Y493" s="2" t="str">
        <f>IF(Source!$C493&gt;=COLUMNS($A493:Y493), Source!$E493, "")</f>
        <v/>
      </c>
      <c r="Z493" s="2" t="str">
        <f>IF(Source!$C493&gt;=COLUMNS($A493:Z493), Source!$E493, "")</f>
        <v/>
      </c>
      <c r="AA493" s="2" t="str">
        <f>IF(Source!$C493&gt;=COLUMNS($A493:AA493), Source!$E493, "")</f>
        <v/>
      </c>
      <c r="AB493" s="2" t="str">
        <f>IF(Source!$C493&gt;=COLUMNS($A493:AB493), Source!$E493, "")</f>
        <v/>
      </c>
      <c r="AC493" s="2" t="str">
        <f>IF(Source!$C493&gt;=COLUMNS($A493:AC493), Source!$E493, "")</f>
        <v/>
      </c>
      <c r="AD493" s="2" t="str">
        <f>IF(Source!$C493&gt;=COLUMNS($A493:AD493), Source!$E493, "")</f>
        <v/>
      </c>
      <c r="AE493" s="2" t="str">
        <f>IF(Source!$C493&gt;=COLUMNS($A493:AE493), Source!$E493, "")</f>
        <v/>
      </c>
      <c r="AF493" s="2" t="str">
        <f>IF(Source!$C493&gt;=COLUMNS($A493:AF493), Source!$E493, "")</f>
        <v/>
      </c>
      <c r="AG493" s="2" t="str">
        <f>IF(Source!$C493&gt;=COLUMNS($A493:AG493), Source!$E493, "")</f>
        <v/>
      </c>
      <c r="AH493" s="2" t="str">
        <f>IF(Source!$C493&gt;=COLUMNS($A493:AH493), Source!$E493, "")</f>
        <v/>
      </c>
      <c r="AI493" s="2" t="str">
        <f>IF(Source!$C493&gt;=COLUMNS($A493:AI493), Source!$E493, "")</f>
        <v/>
      </c>
      <c r="AJ493" s="2" t="str">
        <f>IF(Source!$C493&gt;=COLUMNS($A493:AJ493), Source!$E493, "")</f>
        <v/>
      </c>
      <c r="AK493" s="2" t="str">
        <f>IF(Source!$C493&gt;=COLUMNS($A493:AK493), Source!$E493, "")</f>
        <v/>
      </c>
      <c r="AL493" s="2" t="str">
        <f>IF(Source!$C493&gt;=COLUMNS($A493:AL493), Source!$E493, "")</f>
        <v/>
      </c>
      <c r="AM493" s="2" t="str">
        <f>IF(Source!$C493&gt;=COLUMNS($A493:AM493), Source!$E493, "")</f>
        <v/>
      </c>
      <c r="AN493" s="2" t="str">
        <f>IF(Source!$C493&gt;=COLUMNS($A493:AN493), Source!$E493, "")</f>
        <v/>
      </c>
      <c r="AO493" s="2" t="str">
        <f>IF(Source!$C493&gt;=COLUMNS($A493:AO493), Source!$E493, "")</f>
        <v/>
      </c>
      <c r="AP493" s="2" t="str">
        <f>IF(Source!$C493&gt;=COLUMNS($A493:AP493), Source!$E493, "")</f>
        <v/>
      </c>
      <c r="AQ493" s="2" t="str">
        <f>IF(Source!$C493&gt;=COLUMNS($A493:AQ493), Source!$E493, "")</f>
        <v/>
      </c>
      <c r="AR493" s="2" t="str">
        <f>IF(Source!$C493&gt;=COLUMNS($A493:AR493), Source!$E493, "")</f>
        <v/>
      </c>
    </row>
    <row r="494">
      <c r="A494" s="2">
        <f>IF(Source!$C494&gt;=COLUMNS($A494:A494), Source!$E494, "")</f>
        <v>7</v>
      </c>
      <c r="B494" s="2" t="str">
        <f>IF(Source!$C494&gt;=COLUMNS($A494:B494), Source!$E494, "")</f>
        <v/>
      </c>
      <c r="C494" s="2" t="str">
        <f>IF(Source!$C494&gt;=COLUMNS($A494:C494), Source!$E494, "")</f>
        <v/>
      </c>
      <c r="D494" s="2" t="str">
        <f>IF(Source!$C494&gt;=COLUMNS($A494:D494), Source!$E494, "")</f>
        <v/>
      </c>
      <c r="E494" s="2" t="str">
        <f>IF(Source!$C494&gt;=COLUMNS($A494:E494), Source!$E494, "")</f>
        <v/>
      </c>
      <c r="F494" s="2" t="str">
        <f>IF(Source!$C494&gt;=COLUMNS($A494:F494), Source!$E494, "")</f>
        <v/>
      </c>
      <c r="G494" s="2" t="str">
        <f>IF(Source!$C494&gt;=COLUMNS($A494:G494), Source!$E494, "")</f>
        <v/>
      </c>
      <c r="H494" s="2" t="str">
        <f>IF(Source!$C494&gt;=COLUMNS($A494:H494), Source!$E494, "")</f>
        <v/>
      </c>
      <c r="I494" s="2" t="str">
        <f>IF(Source!$C494&gt;=COLUMNS($A494:I494), Source!$E494, "")</f>
        <v/>
      </c>
      <c r="J494" s="2" t="str">
        <f>IF(Source!$C494&gt;=COLUMNS($A494:J494), Source!$E494, "")</f>
        <v/>
      </c>
      <c r="K494" s="2" t="str">
        <f>IF(Source!$C494&gt;=COLUMNS($A494:K494), Source!$E494, "")</f>
        <v/>
      </c>
      <c r="L494" s="2" t="str">
        <f>IF(Source!$C494&gt;=COLUMNS($A494:L494), Source!$E494, "")</f>
        <v/>
      </c>
      <c r="M494" s="2" t="str">
        <f>IF(Source!$C494&gt;=COLUMNS($A494:M494), Source!$E494, "")</f>
        <v/>
      </c>
      <c r="N494" s="2" t="str">
        <f>IF(Source!$C494&gt;=COLUMNS($A494:N494), Source!$E494, "")</f>
        <v/>
      </c>
      <c r="O494" s="2" t="str">
        <f>IF(Source!$C494&gt;=COLUMNS($A494:O494), Source!$E494, "")</f>
        <v/>
      </c>
      <c r="P494" s="2" t="str">
        <f>IF(Source!$C494&gt;=COLUMNS($A494:P494), Source!$E494, "")</f>
        <v/>
      </c>
      <c r="Q494" s="2" t="str">
        <f>IF(Source!$C494&gt;=COLUMNS($A494:Q494), Source!$E494, "")</f>
        <v/>
      </c>
      <c r="R494" s="2" t="str">
        <f>IF(Source!$C494&gt;=COLUMNS($A494:R494), Source!$E494, "")</f>
        <v/>
      </c>
      <c r="S494" s="2" t="str">
        <f>IF(Source!$C494&gt;=COLUMNS($A494:S494), Source!$E494, "")</f>
        <v/>
      </c>
      <c r="T494" s="2" t="str">
        <f>IF(Source!$C494&gt;=COLUMNS($A494:T494), Source!$E494, "")</f>
        <v/>
      </c>
      <c r="U494" s="2" t="str">
        <f>IF(Source!$C494&gt;=COLUMNS($A494:U494), Source!$E494, "")</f>
        <v/>
      </c>
      <c r="V494" s="2" t="str">
        <f>IF(Source!$C494&gt;=COLUMNS($A494:V494), Source!$E494, "")</f>
        <v/>
      </c>
      <c r="W494" s="2" t="str">
        <f>IF(Source!$C494&gt;=COLUMNS($A494:W494), Source!$E494, "")</f>
        <v/>
      </c>
      <c r="X494" s="2" t="str">
        <f>IF(Source!$C494&gt;=COLUMNS($A494:X494), Source!$E494, "")</f>
        <v/>
      </c>
      <c r="Y494" s="2" t="str">
        <f>IF(Source!$C494&gt;=COLUMNS($A494:Y494), Source!$E494, "")</f>
        <v/>
      </c>
      <c r="Z494" s="2" t="str">
        <f>IF(Source!$C494&gt;=COLUMNS($A494:Z494), Source!$E494, "")</f>
        <v/>
      </c>
      <c r="AA494" s="2" t="str">
        <f>IF(Source!$C494&gt;=COLUMNS($A494:AA494), Source!$E494, "")</f>
        <v/>
      </c>
      <c r="AB494" s="2" t="str">
        <f>IF(Source!$C494&gt;=COLUMNS($A494:AB494), Source!$E494, "")</f>
        <v/>
      </c>
      <c r="AC494" s="2" t="str">
        <f>IF(Source!$C494&gt;=COLUMNS($A494:AC494), Source!$E494, "")</f>
        <v/>
      </c>
      <c r="AD494" s="2" t="str">
        <f>IF(Source!$C494&gt;=COLUMNS($A494:AD494), Source!$E494, "")</f>
        <v/>
      </c>
      <c r="AE494" s="2" t="str">
        <f>IF(Source!$C494&gt;=COLUMNS($A494:AE494), Source!$E494, "")</f>
        <v/>
      </c>
      <c r="AF494" s="2" t="str">
        <f>IF(Source!$C494&gt;=COLUMNS($A494:AF494), Source!$E494, "")</f>
        <v/>
      </c>
      <c r="AG494" s="2" t="str">
        <f>IF(Source!$C494&gt;=COLUMNS($A494:AG494), Source!$E494, "")</f>
        <v/>
      </c>
      <c r="AH494" s="2" t="str">
        <f>IF(Source!$C494&gt;=COLUMNS($A494:AH494), Source!$E494, "")</f>
        <v/>
      </c>
      <c r="AI494" s="2" t="str">
        <f>IF(Source!$C494&gt;=COLUMNS($A494:AI494), Source!$E494, "")</f>
        <v/>
      </c>
      <c r="AJ494" s="2" t="str">
        <f>IF(Source!$C494&gt;=COLUMNS($A494:AJ494), Source!$E494, "")</f>
        <v/>
      </c>
      <c r="AK494" s="2" t="str">
        <f>IF(Source!$C494&gt;=COLUMNS($A494:AK494), Source!$E494, "")</f>
        <v/>
      </c>
      <c r="AL494" s="2" t="str">
        <f>IF(Source!$C494&gt;=COLUMNS($A494:AL494), Source!$E494, "")</f>
        <v/>
      </c>
      <c r="AM494" s="2" t="str">
        <f>IF(Source!$C494&gt;=COLUMNS($A494:AM494), Source!$E494, "")</f>
        <v/>
      </c>
      <c r="AN494" s="2" t="str">
        <f>IF(Source!$C494&gt;=COLUMNS($A494:AN494), Source!$E494, "")</f>
        <v/>
      </c>
      <c r="AO494" s="2" t="str">
        <f>IF(Source!$C494&gt;=COLUMNS($A494:AO494), Source!$E494, "")</f>
        <v/>
      </c>
      <c r="AP494" s="2" t="str">
        <f>IF(Source!$C494&gt;=COLUMNS($A494:AP494), Source!$E494, "")</f>
        <v/>
      </c>
      <c r="AQ494" s="2" t="str">
        <f>IF(Source!$C494&gt;=COLUMNS($A494:AQ494), Source!$E494, "")</f>
        <v/>
      </c>
      <c r="AR494" s="2" t="str">
        <f>IF(Source!$C494&gt;=COLUMNS($A494:AR494), Source!$E494, "")</f>
        <v/>
      </c>
    </row>
    <row r="495">
      <c r="A495" s="2">
        <f>IF(Source!$C495&gt;=COLUMNS($A495:A495), Source!$E495, "")</f>
        <v>7</v>
      </c>
      <c r="B495" s="2">
        <f>IF(Source!$C495&gt;=COLUMNS($A495:B495), Source!$E495, "")</f>
        <v>7</v>
      </c>
      <c r="C495" s="2" t="str">
        <f>IF(Source!$C495&gt;=COLUMNS($A495:C495), Source!$E495, "")</f>
        <v/>
      </c>
      <c r="D495" s="2" t="str">
        <f>IF(Source!$C495&gt;=COLUMNS($A495:D495), Source!$E495, "")</f>
        <v/>
      </c>
      <c r="E495" s="2" t="str">
        <f>IF(Source!$C495&gt;=COLUMNS($A495:E495), Source!$E495, "")</f>
        <v/>
      </c>
      <c r="F495" s="2" t="str">
        <f>IF(Source!$C495&gt;=COLUMNS($A495:F495), Source!$E495, "")</f>
        <v/>
      </c>
      <c r="G495" s="2" t="str">
        <f>IF(Source!$C495&gt;=COLUMNS($A495:G495), Source!$E495, "")</f>
        <v/>
      </c>
      <c r="H495" s="2" t="str">
        <f>IF(Source!$C495&gt;=COLUMNS($A495:H495), Source!$E495, "")</f>
        <v/>
      </c>
      <c r="I495" s="2" t="str">
        <f>IF(Source!$C495&gt;=COLUMNS($A495:I495), Source!$E495, "")</f>
        <v/>
      </c>
      <c r="J495" s="2" t="str">
        <f>IF(Source!$C495&gt;=COLUMNS($A495:J495), Source!$E495, "")</f>
        <v/>
      </c>
      <c r="K495" s="2" t="str">
        <f>IF(Source!$C495&gt;=COLUMNS($A495:K495), Source!$E495, "")</f>
        <v/>
      </c>
      <c r="L495" s="2" t="str">
        <f>IF(Source!$C495&gt;=COLUMNS($A495:L495), Source!$E495, "")</f>
        <v/>
      </c>
      <c r="M495" s="2" t="str">
        <f>IF(Source!$C495&gt;=COLUMNS($A495:M495), Source!$E495, "")</f>
        <v/>
      </c>
      <c r="N495" s="2" t="str">
        <f>IF(Source!$C495&gt;=COLUMNS($A495:N495), Source!$E495, "")</f>
        <v/>
      </c>
      <c r="O495" s="2" t="str">
        <f>IF(Source!$C495&gt;=COLUMNS($A495:O495), Source!$E495, "")</f>
        <v/>
      </c>
      <c r="P495" s="2" t="str">
        <f>IF(Source!$C495&gt;=COLUMNS($A495:P495), Source!$E495, "")</f>
        <v/>
      </c>
      <c r="Q495" s="2" t="str">
        <f>IF(Source!$C495&gt;=COLUMNS($A495:Q495), Source!$E495, "")</f>
        <v/>
      </c>
      <c r="R495" s="2" t="str">
        <f>IF(Source!$C495&gt;=COLUMNS($A495:R495), Source!$E495, "")</f>
        <v/>
      </c>
      <c r="S495" s="2" t="str">
        <f>IF(Source!$C495&gt;=COLUMNS($A495:S495), Source!$E495, "")</f>
        <v/>
      </c>
      <c r="T495" s="2" t="str">
        <f>IF(Source!$C495&gt;=COLUMNS($A495:T495), Source!$E495, "")</f>
        <v/>
      </c>
      <c r="U495" s="2" t="str">
        <f>IF(Source!$C495&gt;=COLUMNS($A495:U495), Source!$E495, "")</f>
        <v/>
      </c>
      <c r="V495" s="2" t="str">
        <f>IF(Source!$C495&gt;=COLUMNS($A495:V495), Source!$E495, "")</f>
        <v/>
      </c>
      <c r="W495" s="2" t="str">
        <f>IF(Source!$C495&gt;=COLUMNS($A495:W495), Source!$E495, "")</f>
        <v/>
      </c>
      <c r="X495" s="2" t="str">
        <f>IF(Source!$C495&gt;=COLUMNS($A495:X495), Source!$E495, "")</f>
        <v/>
      </c>
      <c r="Y495" s="2" t="str">
        <f>IF(Source!$C495&gt;=COLUMNS($A495:Y495), Source!$E495, "")</f>
        <v/>
      </c>
      <c r="Z495" s="2" t="str">
        <f>IF(Source!$C495&gt;=COLUMNS($A495:Z495), Source!$E495, "")</f>
        <v/>
      </c>
      <c r="AA495" s="2" t="str">
        <f>IF(Source!$C495&gt;=COLUMNS($A495:AA495), Source!$E495, "")</f>
        <v/>
      </c>
      <c r="AB495" s="2" t="str">
        <f>IF(Source!$C495&gt;=COLUMNS($A495:AB495), Source!$E495, "")</f>
        <v/>
      </c>
      <c r="AC495" s="2" t="str">
        <f>IF(Source!$C495&gt;=COLUMNS($A495:AC495), Source!$E495, "")</f>
        <v/>
      </c>
      <c r="AD495" s="2" t="str">
        <f>IF(Source!$C495&gt;=COLUMNS($A495:AD495), Source!$E495, "")</f>
        <v/>
      </c>
      <c r="AE495" s="2" t="str">
        <f>IF(Source!$C495&gt;=COLUMNS($A495:AE495), Source!$E495, "")</f>
        <v/>
      </c>
      <c r="AF495" s="2" t="str">
        <f>IF(Source!$C495&gt;=COLUMNS($A495:AF495), Source!$E495, "")</f>
        <v/>
      </c>
      <c r="AG495" s="2" t="str">
        <f>IF(Source!$C495&gt;=COLUMNS($A495:AG495), Source!$E495, "")</f>
        <v/>
      </c>
      <c r="AH495" s="2" t="str">
        <f>IF(Source!$C495&gt;=COLUMNS($A495:AH495), Source!$E495, "")</f>
        <v/>
      </c>
      <c r="AI495" s="2" t="str">
        <f>IF(Source!$C495&gt;=COLUMNS($A495:AI495), Source!$E495, "")</f>
        <v/>
      </c>
      <c r="AJ495" s="2" t="str">
        <f>IF(Source!$C495&gt;=COLUMNS($A495:AJ495), Source!$E495, "")</f>
        <v/>
      </c>
      <c r="AK495" s="2" t="str">
        <f>IF(Source!$C495&gt;=COLUMNS($A495:AK495), Source!$E495, "")</f>
        <v/>
      </c>
      <c r="AL495" s="2" t="str">
        <f>IF(Source!$C495&gt;=COLUMNS($A495:AL495), Source!$E495, "")</f>
        <v/>
      </c>
      <c r="AM495" s="2" t="str">
        <f>IF(Source!$C495&gt;=COLUMNS($A495:AM495), Source!$E495, "")</f>
        <v/>
      </c>
      <c r="AN495" s="2" t="str">
        <f>IF(Source!$C495&gt;=COLUMNS($A495:AN495), Source!$E495, "")</f>
        <v/>
      </c>
      <c r="AO495" s="2" t="str">
        <f>IF(Source!$C495&gt;=COLUMNS($A495:AO495), Source!$E495, "")</f>
        <v/>
      </c>
      <c r="AP495" s="2" t="str">
        <f>IF(Source!$C495&gt;=COLUMNS($A495:AP495), Source!$E495, "")</f>
        <v/>
      </c>
      <c r="AQ495" s="2" t="str">
        <f>IF(Source!$C495&gt;=COLUMNS($A495:AQ495), Source!$E495, "")</f>
        <v/>
      </c>
      <c r="AR495" s="2" t="str">
        <f>IF(Source!$C495&gt;=COLUMNS($A495:AR495), Source!$E495, "")</f>
        <v/>
      </c>
    </row>
    <row r="496">
      <c r="A496" s="2">
        <f>IF(Source!$C496&gt;=COLUMNS($A496:A496), Source!$E496, "")</f>
        <v>4</v>
      </c>
      <c r="B496" s="2">
        <f>IF(Source!$C496&gt;=COLUMNS($A496:B496), Source!$E496, "")</f>
        <v>4</v>
      </c>
      <c r="C496" s="2" t="str">
        <f>IF(Source!$C496&gt;=COLUMNS($A496:C496), Source!$E496, "")</f>
        <v/>
      </c>
      <c r="D496" s="2" t="str">
        <f>IF(Source!$C496&gt;=COLUMNS($A496:D496), Source!$E496, "")</f>
        <v/>
      </c>
      <c r="E496" s="2" t="str">
        <f>IF(Source!$C496&gt;=COLUMNS($A496:E496), Source!$E496, "")</f>
        <v/>
      </c>
      <c r="F496" s="2" t="str">
        <f>IF(Source!$C496&gt;=COLUMNS($A496:F496), Source!$E496, "")</f>
        <v/>
      </c>
      <c r="G496" s="2" t="str">
        <f>IF(Source!$C496&gt;=COLUMNS($A496:G496), Source!$E496, "")</f>
        <v/>
      </c>
      <c r="H496" s="2" t="str">
        <f>IF(Source!$C496&gt;=COLUMNS($A496:H496), Source!$E496, "")</f>
        <v/>
      </c>
      <c r="I496" s="2" t="str">
        <f>IF(Source!$C496&gt;=COLUMNS($A496:I496), Source!$E496, "")</f>
        <v/>
      </c>
      <c r="J496" s="2" t="str">
        <f>IF(Source!$C496&gt;=COLUMNS($A496:J496), Source!$E496, "")</f>
        <v/>
      </c>
      <c r="K496" s="2" t="str">
        <f>IF(Source!$C496&gt;=COLUMNS($A496:K496), Source!$E496, "")</f>
        <v/>
      </c>
      <c r="L496" s="2" t="str">
        <f>IF(Source!$C496&gt;=COLUMNS($A496:L496), Source!$E496, "")</f>
        <v/>
      </c>
      <c r="M496" s="2" t="str">
        <f>IF(Source!$C496&gt;=COLUMNS($A496:M496), Source!$E496, "")</f>
        <v/>
      </c>
      <c r="N496" s="2" t="str">
        <f>IF(Source!$C496&gt;=COLUMNS($A496:N496), Source!$E496, "")</f>
        <v/>
      </c>
      <c r="O496" s="2" t="str">
        <f>IF(Source!$C496&gt;=COLUMNS($A496:O496), Source!$E496, "")</f>
        <v/>
      </c>
      <c r="P496" s="2" t="str">
        <f>IF(Source!$C496&gt;=COLUMNS($A496:P496), Source!$E496, "")</f>
        <v/>
      </c>
      <c r="Q496" s="2" t="str">
        <f>IF(Source!$C496&gt;=COLUMNS($A496:Q496), Source!$E496, "")</f>
        <v/>
      </c>
      <c r="R496" s="2" t="str">
        <f>IF(Source!$C496&gt;=COLUMNS($A496:R496), Source!$E496, "")</f>
        <v/>
      </c>
      <c r="S496" s="2" t="str">
        <f>IF(Source!$C496&gt;=COLUMNS($A496:S496), Source!$E496, "")</f>
        <v/>
      </c>
      <c r="T496" s="2" t="str">
        <f>IF(Source!$C496&gt;=COLUMNS($A496:T496), Source!$E496, "")</f>
        <v/>
      </c>
      <c r="U496" s="2" t="str">
        <f>IF(Source!$C496&gt;=COLUMNS($A496:U496), Source!$E496, "")</f>
        <v/>
      </c>
      <c r="V496" s="2" t="str">
        <f>IF(Source!$C496&gt;=COLUMNS($A496:V496), Source!$E496, "")</f>
        <v/>
      </c>
      <c r="W496" s="2" t="str">
        <f>IF(Source!$C496&gt;=COLUMNS($A496:W496), Source!$E496, "")</f>
        <v/>
      </c>
      <c r="X496" s="2" t="str">
        <f>IF(Source!$C496&gt;=COLUMNS($A496:X496), Source!$E496, "")</f>
        <v/>
      </c>
      <c r="Y496" s="2" t="str">
        <f>IF(Source!$C496&gt;=COLUMNS($A496:Y496), Source!$E496, "")</f>
        <v/>
      </c>
      <c r="Z496" s="2" t="str">
        <f>IF(Source!$C496&gt;=COLUMNS($A496:Z496), Source!$E496, "")</f>
        <v/>
      </c>
      <c r="AA496" s="2" t="str">
        <f>IF(Source!$C496&gt;=COLUMNS($A496:AA496), Source!$E496, "")</f>
        <v/>
      </c>
      <c r="AB496" s="2" t="str">
        <f>IF(Source!$C496&gt;=COLUMNS($A496:AB496), Source!$E496, "")</f>
        <v/>
      </c>
      <c r="AC496" s="2" t="str">
        <f>IF(Source!$C496&gt;=COLUMNS($A496:AC496), Source!$E496, "")</f>
        <v/>
      </c>
      <c r="AD496" s="2" t="str">
        <f>IF(Source!$C496&gt;=COLUMNS($A496:AD496), Source!$E496, "")</f>
        <v/>
      </c>
      <c r="AE496" s="2" t="str">
        <f>IF(Source!$C496&gt;=COLUMNS($A496:AE496), Source!$E496, "")</f>
        <v/>
      </c>
      <c r="AF496" s="2" t="str">
        <f>IF(Source!$C496&gt;=COLUMNS($A496:AF496), Source!$E496, "")</f>
        <v/>
      </c>
      <c r="AG496" s="2" t="str">
        <f>IF(Source!$C496&gt;=COLUMNS($A496:AG496), Source!$E496, "")</f>
        <v/>
      </c>
      <c r="AH496" s="2" t="str">
        <f>IF(Source!$C496&gt;=COLUMNS($A496:AH496), Source!$E496, "")</f>
        <v/>
      </c>
      <c r="AI496" s="2" t="str">
        <f>IF(Source!$C496&gt;=COLUMNS($A496:AI496), Source!$E496, "")</f>
        <v/>
      </c>
      <c r="AJ496" s="2" t="str">
        <f>IF(Source!$C496&gt;=COLUMNS($A496:AJ496), Source!$E496, "")</f>
        <v/>
      </c>
      <c r="AK496" s="2" t="str">
        <f>IF(Source!$C496&gt;=COLUMNS($A496:AK496), Source!$E496, "")</f>
        <v/>
      </c>
      <c r="AL496" s="2" t="str">
        <f>IF(Source!$C496&gt;=COLUMNS($A496:AL496), Source!$E496, "")</f>
        <v/>
      </c>
      <c r="AM496" s="2" t="str">
        <f>IF(Source!$C496&gt;=COLUMNS($A496:AM496), Source!$E496, "")</f>
        <v/>
      </c>
      <c r="AN496" s="2" t="str">
        <f>IF(Source!$C496&gt;=COLUMNS($A496:AN496), Source!$E496, "")</f>
        <v/>
      </c>
      <c r="AO496" s="2" t="str">
        <f>IF(Source!$C496&gt;=COLUMNS($A496:AO496), Source!$E496, "")</f>
        <v/>
      </c>
      <c r="AP496" s="2" t="str">
        <f>IF(Source!$C496&gt;=COLUMNS($A496:AP496), Source!$E496, "")</f>
        <v/>
      </c>
      <c r="AQ496" s="2" t="str">
        <f>IF(Source!$C496&gt;=COLUMNS($A496:AQ496), Source!$E496, "")</f>
        <v/>
      </c>
      <c r="AR496" s="2" t="str">
        <f>IF(Source!$C496&gt;=COLUMNS($A496:AR496), Source!$E496, "")</f>
        <v/>
      </c>
    </row>
    <row r="497">
      <c r="A497" s="2">
        <f>IF(Source!$C497&gt;=COLUMNS($A497:A497), Source!$E497, "")</f>
        <v>6</v>
      </c>
      <c r="B497" s="2" t="str">
        <f>IF(Source!$C497&gt;=COLUMNS($A497:B497), Source!$E497, "")</f>
        <v/>
      </c>
      <c r="C497" s="2" t="str">
        <f>IF(Source!$C497&gt;=COLUMNS($A497:C497), Source!$E497, "")</f>
        <v/>
      </c>
      <c r="D497" s="2" t="str">
        <f>IF(Source!$C497&gt;=COLUMNS($A497:D497), Source!$E497, "")</f>
        <v/>
      </c>
      <c r="E497" s="2" t="str">
        <f>IF(Source!$C497&gt;=COLUMNS($A497:E497), Source!$E497, "")</f>
        <v/>
      </c>
      <c r="F497" s="2" t="str">
        <f>IF(Source!$C497&gt;=COLUMNS($A497:F497), Source!$E497, "")</f>
        <v/>
      </c>
      <c r="G497" s="2" t="str">
        <f>IF(Source!$C497&gt;=COLUMNS($A497:G497), Source!$E497, "")</f>
        <v/>
      </c>
      <c r="H497" s="2" t="str">
        <f>IF(Source!$C497&gt;=COLUMNS($A497:H497), Source!$E497, "")</f>
        <v/>
      </c>
      <c r="I497" s="2" t="str">
        <f>IF(Source!$C497&gt;=COLUMNS($A497:I497), Source!$E497, "")</f>
        <v/>
      </c>
      <c r="J497" s="2" t="str">
        <f>IF(Source!$C497&gt;=COLUMNS($A497:J497), Source!$E497, "")</f>
        <v/>
      </c>
      <c r="K497" s="2" t="str">
        <f>IF(Source!$C497&gt;=COLUMNS($A497:K497), Source!$E497, "")</f>
        <v/>
      </c>
      <c r="L497" s="2" t="str">
        <f>IF(Source!$C497&gt;=COLUMNS($A497:L497), Source!$E497, "")</f>
        <v/>
      </c>
      <c r="M497" s="2" t="str">
        <f>IF(Source!$C497&gt;=COLUMNS($A497:M497), Source!$E497, "")</f>
        <v/>
      </c>
      <c r="N497" s="2" t="str">
        <f>IF(Source!$C497&gt;=COLUMNS($A497:N497), Source!$E497, "")</f>
        <v/>
      </c>
      <c r="O497" s="2" t="str">
        <f>IF(Source!$C497&gt;=COLUMNS($A497:O497), Source!$E497, "")</f>
        <v/>
      </c>
      <c r="P497" s="2" t="str">
        <f>IF(Source!$C497&gt;=COLUMNS($A497:P497), Source!$E497, "")</f>
        <v/>
      </c>
      <c r="Q497" s="2" t="str">
        <f>IF(Source!$C497&gt;=COLUMNS($A497:Q497), Source!$E497, "")</f>
        <v/>
      </c>
      <c r="R497" s="2" t="str">
        <f>IF(Source!$C497&gt;=COLUMNS($A497:R497), Source!$E497, "")</f>
        <v/>
      </c>
      <c r="S497" s="2" t="str">
        <f>IF(Source!$C497&gt;=COLUMNS($A497:S497), Source!$E497, "")</f>
        <v/>
      </c>
      <c r="T497" s="2" t="str">
        <f>IF(Source!$C497&gt;=COLUMNS($A497:T497), Source!$E497, "")</f>
        <v/>
      </c>
      <c r="U497" s="2" t="str">
        <f>IF(Source!$C497&gt;=COLUMNS($A497:U497), Source!$E497, "")</f>
        <v/>
      </c>
      <c r="V497" s="2" t="str">
        <f>IF(Source!$C497&gt;=COLUMNS($A497:V497), Source!$E497, "")</f>
        <v/>
      </c>
      <c r="W497" s="2" t="str">
        <f>IF(Source!$C497&gt;=COLUMNS($A497:W497), Source!$E497, "")</f>
        <v/>
      </c>
      <c r="X497" s="2" t="str">
        <f>IF(Source!$C497&gt;=COLUMNS($A497:X497), Source!$E497, "")</f>
        <v/>
      </c>
      <c r="Y497" s="2" t="str">
        <f>IF(Source!$C497&gt;=COLUMNS($A497:Y497), Source!$E497, "")</f>
        <v/>
      </c>
      <c r="Z497" s="2" t="str">
        <f>IF(Source!$C497&gt;=COLUMNS($A497:Z497), Source!$E497, "")</f>
        <v/>
      </c>
      <c r="AA497" s="2" t="str">
        <f>IF(Source!$C497&gt;=COLUMNS($A497:AA497), Source!$E497, "")</f>
        <v/>
      </c>
      <c r="AB497" s="2" t="str">
        <f>IF(Source!$C497&gt;=COLUMNS($A497:AB497), Source!$E497, "")</f>
        <v/>
      </c>
      <c r="AC497" s="2" t="str">
        <f>IF(Source!$C497&gt;=COLUMNS($A497:AC497), Source!$E497, "")</f>
        <v/>
      </c>
      <c r="AD497" s="2" t="str">
        <f>IF(Source!$C497&gt;=COLUMNS($A497:AD497), Source!$E497, "")</f>
        <v/>
      </c>
      <c r="AE497" s="2" t="str">
        <f>IF(Source!$C497&gt;=COLUMNS($A497:AE497), Source!$E497, "")</f>
        <v/>
      </c>
      <c r="AF497" s="2" t="str">
        <f>IF(Source!$C497&gt;=COLUMNS($A497:AF497), Source!$E497, "")</f>
        <v/>
      </c>
      <c r="AG497" s="2" t="str">
        <f>IF(Source!$C497&gt;=COLUMNS($A497:AG497), Source!$E497, "")</f>
        <v/>
      </c>
      <c r="AH497" s="2" t="str">
        <f>IF(Source!$C497&gt;=COLUMNS($A497:AH497), Source!$E497, "")</f>
        <v/>
      </c>
      <c r="AI497" s="2" t="str">
        <f>IF(Source!$C497&gt;=COLUMNS($A497:AI497), Source!$E497, "")</f>
        <v/>
      </c>
      <c r="AJ497" s="2" t="str">
        <f>IF(Source!$C497&gt;=COLUMNS($A497:AJ497), Source!$E497, "")</f>
        <v/>
      </c>
      <c r="AK497" s="2" t="str">
        <f>IF(Source!$C497&gt;=COLUMNS($A497:AK497), Source!$E497, "")</f>
        <v/>
      </c>
      <c r="AL497" s="2" t="str">
        <f>IF(Source!$C497&gt;=COLUMNS($A497:AL497), Source!$E497, "")</f>
        <v/>
      </c>
      <c r="AM497" s="2" t="str">
        <f>IF(Source!$C497&gt;=COLUMNS($A497:AM497), Source!$E497, "")</f>
        <v/>
      </c>
      <c r="AN497" s="2" t="str">
        <f>IF(Source!$C497&gt;=COLUMNS($A497:AN497), Source!$E497, "")</f>
        <v/>
      </c>
      <c r="AO497" s="2" t="str">
        <f>IF(Source!$C497&gt;=COLUMNS($A497:AO497), Source!$E497, "")</f>
        <v/>
      </c>
      <c r="AP497" s="2" t="str">
        <f>IF(Source!$C497&gt;=COLUMNS($A497:AP497), Source!$E497, "")</f>
        <v/>
      </c>
      <c r="AQ497" s="2" t="str">
        <f>IF(Source!$C497&gt;=COLUMNS($A497:AQ497), Source!$E497, "")</f>
        <v/>
      </c>
      <c r="AR497" s="2" t="str">
        <f>IF(Source!$C497&gt;=COLUMNS($A497:AR497), Source!$E497, "")</f>
        <v/>
      </c>
    </row>
    <row r="498">
      <c r="A498" s="2">
        <f>IF(Source!$C498&gt;=COLUMNS($A498:A498), Source!$E498, "")</f>
        <v>2</v>
      </c>
      <c r="B498" s="2" t="str">
        <f>IF(Source!$C498&gt;=COLUMNS($A498:B498), Source!$E498, "")</f>
        <v/>
      </c>
      <c r="C498" s="2" t="str">
        <f>IF(Source!$C498&gt;=COLUMNS($A498:C498), Source!$E498, "")</f>
        <v/>
      </c>
      <c r="D498" s="2" t="str">
        <f>IF(Source!$C498&gt;=COLUMNS($A498:D498), Source!$E498, "")</f>
        <v/>
      </c>
      <c r="E498" s="2" t="str">
        <f>IF(Source!$C498&gt;=COLUMNS($A498:E498), Source!$E498, "")</f>
        <v/>
      </c>
      <c r="F498" s="2" t="str">
        <f>IF(Source!$C498&gt;=COLUMNS($A498:F498), Source!$E498, "")</f>
        <v/>
      </c>
      <c r="G498" s="2" t="str">
        <f>IF(Source!$C498&gt;=COLUMNS($A498:G498), Source!$E498, "")</f>
        <v/>
      </c>
      <c r="H498" s="2" t="str">
        <f>IF(Source!$C498&gt;=COLUMNS($A498:H498), Source!$E498, "")</f>
        <v/>
      </c>
      <c r="I498" s="2" t="str">
        <f>IF(Source!$C498&gt;=COLUMNS($A498:I498), Source!$E498, "")</f>
        <v/>
      </c>
      <c r="J498" s="2" t="str">
        <f>IF(Source!$C498&gt;=COLUMNS($A498:J498), Source!$E498, "")</f>
        <v/>
      </c>
      <c r="K498" s="2" t="str">
        <f>IF(Source!$C498&gt;=COLUMNS($A498:K498), Source!$E498, "")</f>
        <v/>
      </c>
      <c r="L498" s="2" t="str">
        <f>IF(Source!$C498&gt;=COLUMNS($A498:L498), Source!$E498, "")</f>
        <v/>
      </c>
      <c r="M498" s="2" t="str">
        <f>IF(Source!$C498&gt;=COLUMNS($A498:M498), Source!$E498, "")</f>
        <v/>
      </c>
      <c r="N498" s="2" t="str">
        <f>IF(Source!$C498&gt;=COLUMNS($A498:N498), Source!$E498, "")</f>
        <v/>
      </c>
      <c r="O498" s="2" t="str">
        <f>IF(Source!$C498&gt;=COLUMNS($A498:O498), Source!$E498, "")</f>
        <v/>
      </c>
      <c r="P498" s="2" t="str">
        <f>IF(Source!$C498&gt;=COLUMNS($A498:P498), Source!$E498, "")</f>
        <v/>
      </c>
      <c r="Q498" s="2" t="str">
        <f>IF(Source!$C498&gt;=COLUMNS($A498:Q498), Source!$E498, "")</f>
        <v/>
      </c>
      <c r="R498" s="2" t="str">
        <f>IF(Source!$C498&gt;=COLUMNS($A498:R498), Source!$E498, "")</f>
        <v/>
      </c>
      <c r="S498" s="2" t="str">
        <f>IF(Source!$C498&gt;=COLUMNS($A498:S498), Source!$E498, "")</f>
        <v/>
      </c>
      <c r="T498" s="2" t="str">
        <f>IF(Source!$C498&gt;=COLUMNS($A498:T498), Source!$E498, "")</f>
        <v/>
      </c>
      <c r="U498" s="2" t="str">
        <f>IF(Source!$C498&gt;=COLUMNS($A498:U498), Source!$E498, "")</f>
        <v/>
      </c>
      <c r="V498" s="2" t="str">
        <f>IF(Source!$C498&gt;=COLUMNS($A498:V498), Source!$E498, "")</f>
        <v/>
      </c>
      <c r="W498" s="2" t="str">
        <f>IF(Source!$C498&gt;=COLUMNS($A498:W498), Source!$E498, "")</f>
        <v/>
      </c>
      <c r="X498" s="2" t="str">
        <f>IF(Source!$C498&gt;=COLUMNS($A498:X498), Source!$E498, "")</f>
        <v/>
      </c>
      <c r="Y498" s="2" t="str">
        <f>IF(Source!$C498&gt;=COLUMNS($A498:Y498), Source!$E498, "")</f>
        <v/>
      </c>
      <c r="Z498" s="2" t="str">
        <f>IF(Source!$C498&gt;=COLUMNS($A498:Z498), Source!$E498, "")</f>
        <v/>
      </c>
      <c r="AA498" s="2" t="str">
        <f>IF(Source!$C498&gt;=COLUMNS($A498:AA498), Source!$E498, "")</f>
        <v/>
      </c>
      <c r="AB498" s="2" t="str">
        <f>IF(Source!$C498&gt;=COLUMNS($A498:AB498), Source!$E498, "")</f>
        <v/>
      </c>
      <c r="AC498" s="2" t="str">
        <f>IF(Source!$C498&gt;=COLUMNS($A498:AC498), Source!$E498, "")</f>
        <v/>
      </c>
      <c r="AD498" s="2" t="str">
        <f>IF(Source!$C498&gt;=COLUMNS($A498:AD498), Source!$E498, "")</f>
        <v/>
      </c>
      <c r="AE498" s="2" t="str">
        <f>IF(Source!$C498&gt;=COLUMNS($A498:AE498), Source!$E498, "")</f>
        <v/>
      </c>
      <c r="AF498" s="2" t="str">
        <f>IF(Source!$C498&gt;=COLUMNS($A498:AF498), Source!$E498, "")</f>
        <v/>
      </c>
      <c r="AG498" s="2" t="str">
        <f>IF(Source!$C498&gt;=COLUMNS($A498:AG498), Source!$E498, "")</f>
        <v/>
      </c>
      <c r="AH498" s="2" t="str">
        <f>IF(Source!$C498&gt;=COLUMNS($A498:AH498), Source!$E498, "")</f>
        <v/>
      </c>
      <c r="AI498" s="2" t="str">
        <f>IF(Source!$C498&gt;=COLUMNS($A498:AI498), Source!$E498, "")</f>
        <v/>
      </c>
      <c r="AJ498" s="2" t="str">
        <f>IF(Source!$C498&gt;=COLUMNS($A498:AJ498), Source!$E498, "")</f>
        <v/>
      </c>
      <c r="AK498" s="2" t="str">
        <f>IF(Source!$C498&gt;=COLUMNS($A498:AK498), Source!$E498, "")</f>
        <v/>
      </c>
      <c r="AL498" s="2" t="str">
        <f>IF(Source!$C498&gt;=COLUMNS($A498:AL498), Source!$E498, "")</f>
        <v/>
      </c>
      <c r="AM498" s="2" t="str">
        <f>IF(Source!$C498&gt;=COLUMNS($A498:AM498), Source!$E498, "")</f>
        <v/>
      </c>
      <c r="AN498" s="2" t="str">
        <f>IF(Source!$C498&gt;=COLUMNS($A498:AN498), Source!$E498, "")</f>
        <v/>
      </c>
      <c r="AO498" s="2" t="str">
        <f>IF(Source!$C498&gt;=COLUMNS($A498:AO498), Source!$E498, "")</f>
        <v/>
      </c>
      <c r="AP498" s="2" t="str">
        <f>IF(Source!$C498&gt;=COLUMNS($A498:AP498), Source!$E498, "")</f>
        <v/>
      </c>
      <c r="AQ498" s="2" t="str">
        <f>IF(Source!$C498&gt;=COLUMNS($A498:AQ498), Source!$E498, "")</f>
        <v/>
      </c>
      <c r="AR498" s="2" t="str">
        <f>IF(Source!$C498&gt;=COLUMNS($A498:AR498), Source!$E498, "")</f>
        <v/>
      </c>
    </row>
    <row r="499">
      <c r="A499" s="2">
        <f>IF(Source!$C499&gt;=COLUMNS($A499:A499), Source!$E499, "")</f>
        <v>3</v>
      </c>
      <c r="B499" s="2">
        <f>IF(Source!$C499&gt;=COLUMNS($A499:B499), Source!$E499, "")</f>
        <v>3</v>
      </c>
      <c r="C499" s="2" t="str">
        <f>IF(Source!$C499&gt;=COLUMNS($A499:C499), Source!$E499, "")</f>
        <v/>
      </c>
      <c r="D499" s="2" t="str">
        <f>IF(Source!$C499&gt;=COLUMNS($A499:D499), Source!$E499, "")</f>
        <v/>
      </c>
      <c r="E499" s="2" t="str">
        <f>IF(Source!$C499&gt;=COLUMNS($A499:E499), Source!$E499, "")</f>
        <v/>
      </c>
      <c r="F499" s="2" t="str">
        <f>IF(Source!$C499&gt;=COLUMNS($A499:F499), Source!$E499, "")</f>
        <v/>
      </c>
      <c r="G499" s="2" t="str">
        <f>IF(Source!$C499&gt;=COLUMNS($A499:G499), Source!$E499, "")</f>
        <v/>
      </c>
      <c r="H499" s="2" t="str">
        <f>IF(Source!$C499&gt;=COLUMNS($A499:H499), Source!$E499, "")</f>
        <v/>
      </c>
      <c r="I499" s="2" t="str">
        <f>IF(Source!$C499&gt;=COLUMNS($A499:I499), Source!$E499, "")</f>
        <v/>
      </c>
      <c r="J499" s="2" t="str">
        <f>IF(Source!$C499&gt;=COLUMNS($A499:J499), Source!$E499, "")</f>
        <v/>
      </c>
      <c r="K499" s="2" t="str">
        <f>IF(Source!$C499&gt;=COLUMNS($A499:K499), Source!$E499, "")</f>
        <v/>
      </c>
      <c r="L499" s="2" t="str">
        <f>IF(Source!$C499&gt;=COLUMNS($A499:L499), Source!$E499, "")</f>
        <v/>
      </c>
      <c r="M499" s="2" t="str">
        <f>IF(Source!$C499&gt;=COLUMNS($A499:M499), Source!$E499, "")</f>
        <v/>
      </c>
      <c r="N499" s="2" t="str">
        <f>IF(Source!$C499&gt;=COLUMNS($A499:N499), Source!$E499, "")</f>
        <v/>
      </c>
      <c r="O499" s="2" t="str">
        <f>IF(Source!$C499&gt;=COLUMNS($A499:O499), Source!$E499, "")</f>
        <v/>
      </c>
      <c r="P499" s="2" t="str">
        <f>IF(Source!$C499&gt;=COLUMNS($A499:P499), Source!$E499, "")</f>
        <v/>
      </c>
      <c r="Q499" s="2" t="str">
        <f>IF(Source!$C499&gt;=COLUMNS($A499:Q499), Source!$E499, "")</f>
        <v/>
      </c>
      <c r="R499" s="2" t="str">
        <f>IF(Source!$C499&gt;=COLUMNS($A499:R499), Source!$E499, "")</f>
        <v/>
      </c>
      <c r="S499" s="2" t="str">
        <f>IF(Source!$C499&gt;=COLUMNS($A499:S499), Source!$E499, "")</f>
        <v/>
      </c>
      <c r="T499" s="2" t="str">
        <f>IF(Source!$C499&gt;=COLUMNS($A499:T499), Source!$E499, "")</f>
        <v/>
      </c>
      <c r="U499" s="2" t="str">
        <f>IF(Source!$C499&gt;=COLUMNS($A499:U499), Source!$E499, "")</f>
        <v/>
      </c>
      <c r="V499" s="2" t="str">
        <f>IF(Source!$C499&gt;=COLUMNS($A499:V499), Source!$E499, "")</f>
        <v/>
      </c>
      <c r="W499" s="2" t="str">
        <f>IF(Source!$C499&gt;=COLUMNS($A499:W499), Source!$E499, "")</f>
        <v/>
      </c>
      <c r="X499" s="2" t="str">
        <f>IF(Source!$C499&gt;=COLUMNS($A499:X499), Source!$E499, "")</f>
        <v/>
      </c>
      <c r="Y499" s="2" t="str">
        <f>IF(Source!$C499&gt;=COLUMNS($A499:Y499), Source!$E499, "")</f>
        <v/>
      </c>
      <c r="Z499" s="2" t="str">
        <f>IF(Source!$C499&gt;=COLUMNS($A499:Z499), Source!$E499, "")</f>
        <v/>
      </c>
      <c r="AA499" s="2" t="str">
        <f>IF(Source!$C499&gt;=COLUMNS($A499:AA499), Source!$E499, "")</f>
        <v/>
      </c>
      <c r="AB499" s="2" t="str">
        <f>IF(Source!$C499&gt;=COLUMNS($A499:AB499), Source!$E499, "")</f>
        <v/>
      </c>
      <c r="AC499" s="2" t="str">
        <f>IF(Source!$C499&gt;=COLUMNS($A499:AC499), Source!$E499, "")</f>
        <v/>
      </c>
      <c r="AD499" s="2" t="str">
        <f>IF(Source!$C499&gt;=COLUMNS($A499:AD499), Source!$E499, "")</f>
        <v/>
      </c>
      <c r="AE499" s="2" t="str">
        <f>IF(Source!$C499&gt;=COLUMNS($A499:AE499), Source!$E499, "")</f>
        <v/>
      </c>
      <c r="AF499" s="2" t="str">
        <f>IF(Source!$C499&gt;=COLUMNS($A499:AF499), Source!$E499, "")</f>
        <v/>
      </c>
      <c r="AG499" s="2" t="str">
        <f>IF(Source!$C499&gt;=COLUMNS($A499:AG499), Source!$E499, "")</f>
        <v/>
      </c>
      <c r="AH499" s="2" t="str">
        <f>IF(Source!$C499&gt;=COLUMNS($A499:AH499), Source!$E499, "")</f>
        <v/>
      </c>
      <c r="AI499" s="2" t="str">
        <f>IF(Source!$C499&gt;=COLUMNS($A499:AI499), Source!$E499, "")</f>
        <v/>
      </c>
      <c r="AJ499" s="2" t="str">
        <f>IF(Source!$C499&gt;=COLUMNS($A499:AJ499), Source!$E499, "")</f>
        <v/>
      </c>
      <c r="AK499" s="2" t="str">
        <f>IF(Source!$C499&gt;=COLUMNS($A499:AK499), Source!$E499, "")</f>
        <v/>
      </c>
      <c r="AL499" s="2" t="str">
        <f>IF(Source!$C499&gt;=COLUMNS($A499:AL499), Source!$E499, "")</f>
        <v/>
      </c>
      <c r="AM499" s="2" t="str">
        <f>IF(Source!$C499&gt;=COLUMNS($A499:AM499), Source!$E499, "")</f>
        <v/>
      </c>
      <c r="AN499" s="2" t="str">
        <f>IF(Source!$C499&gt;=COLUMNS($A499:AN499), Source!$E499, "")</f>
        <v/>
      </c>
      <c r="AO499" s="2" t="str">
        <f>IF(Source!$C499&gt;=COLUMNS($A499:AO499), Source!$E499, "")</f>
        <v/>
      </c>
      <c r="AP499" s="2" t="str">
        <f>IF(Source!$C499&gt;=COLUMNS($A499:AP499), Source!$E499, "")</f>
        <v/>
      </c>
      <c r="AQ499" s="2" t="str">
        <f>IF(Source!$C499&gt;=COLUMNS($A499:AQ499), Source!$E499, "")</f>
        <v/>
      </c>
      <c r="AR499" s="2" t="str">
        <f>IF(Source!$C499&gt;=COLUMNS($A499:AR499), Source!$E499, "")</f>
        <v/>
      </c>
    </row>
    <row r="500">
      <c r="A500" s="2">
        <f>IF(Source!$C500&gt;=COLUMNS($A500:A500), Source!$E500, "")</f>
        <v>1</v>
      </c>
      <c r="B500" s="2">
        <f>IF(Source!$C500&gt;=COLUMNS($A500:B500), Source!$E500, "")</f>
        <v>1</v>
      </c>
      <c r="C500" s="2">
        <f>IF(Source!$C500&gt;=COLUMNS($A500:C500), Source!$E500, "")</f>
        <v>1</v>
      </c>
      <c r="D500" s="2">
        <f>IF(Source!$C500&gt;=COLUMNS($A500:D500), Source!$E500, "")</f>
        <v>1</v>
      </c>
      <c r="E500" s="2">
        <f>IF(Source!$C500&gt;=COLUMNS($A500:E500), Source!$E500, "")</f>
        <v>1</v>
      </c>
      <c r="F500" s="2">
        <f>IF(Source!$C500&gt;=COLUMNS($A500:F500), Source!$E500, "")</f>
        <v>1</v>
      </c>
      <c r="G500" s="2">
        <f>IF(Source!$C500&gt;=COLUMNS($A500:G500), Source!$E500, "")</f>
        <v>1</v>
      </c>
      <c r="H500" s="2">
        <f>IF(Source!$C500&gt;=COLUMNS($A500:H500), Source!$E500, "")</f>
        <v>1</v>
      </c>
      <c r="I500" s="2">
        <f>IF(Source!$C500&gt;=COLUMNS($A500:I500), Source!$E500, "")</f>
        <v>1</v>
      </c>
      <c r="J500" s="2">
        <f>IF(Source!$C500&gt;=COLUMNS($A500:J500), Source!$E500, "")</f>
        <v>1</v>
      </c>
      <c r="K500" s="2">
        <f>IF(Source!$C500&gt;=COLUMNS($A500:K500), Source!$E500, "")</f>
        <v>1</v>
      </c>
      <c r="L500" s="2">
        <f>IF(Source!$C500&gt;=COLUMNS($A500:L500), Source!$E500, "")</f>
        <v>1</v>
      </c>
      <c r="M500" s="2">
        <f>IF(Source!$C500&gt;=COLUMNS($A500:M500), Source!$E500, "")</f>
        <v>1</v>
      </c>
      <c r="N500" s="2">
        <f>IF(Source!$C500&gt;=COLUMNS($A500:N500), Source!$E500, "")</f>
        <v>1</v>
      </c>
      <c r="O500" s="2" t="str">
        <f>IF(Source!$C500&gt;=COLUMNS($A500:O500), Source!$E500, "")</f>
        <v/>
      </c>
      <c r="P500" s="2" t="str">
        <f>IF(Source!$C500&gt;=COLUMNS($A500:P500), Source!$E500, "")</f>
        <v/>
      </c>
      <c r="Q500" s="2" t="str">
        <f>IF(Source!$C500&gt;=COLUMNS($A500:Q500), Source!$E500, "")</f>
        <v/>
      </c>
      <c r="R500" s="2" t="str">
        <f>IF(Source!$C500&gt;=COLUMNS($A500:R500), Source!$E500, "")</f>
        <v/>
      </c>
      <c r="S500" s="2" t="str">
        <f>IF(Source!$C500&gt;=COLUMNS($A500:S500), Source!$E500, "")</f>
        <v/>
      </c>
      <c r="T500" s="2" t="str">
        <f>IF(Source!$C500&gt;=COLUMNS($A500:T500), Source!$E500, "")</f>
        <v/>
      </c>
      <c r="U500" s="2" t="str">
        <f>IF(Source!$C500&gt;=COLUMNS($A500:U500), Source!$E500, "")</f>
        <v/>
      </c>
      <c r="V500" s="2" t="str">
        <f>IF(Source!$C500&gt;=COLUMNS($A500:V500), Source!$E500, "")</f>
        <v/>
      </c>
      <c r="W500" s="2" t="str">
        <f>IF(Source!$C500&gt;=COLUMNS($A500:W500), Source!$E500, "")</f>
        <v/>
      </c>
      <c r="X500" s="2" t="str">
        <f>IF(Source!$C500&gt;=COLUMNS($A500:X500), Source!$E500, "")</f>
        <v/>
      </c>
      <c r="Y500" s="2" t="str">
        <f>IF(Source!$C500&gt;=COLUMNS($A500:Y500), Source!$E500, "")</f>
        <v/>
      </c>
      <c r="Z500" s="2" t="str">
        <f>IF(Source!$C500&gt;=COLUMNS($A500:Z500), Source!$E500, "")</f>
        <v/>
      </c>
      <c r="AA500" s="2" t="str">
        <f>IF(Source!$C500&gt;=COLUMNS($A500:AA500), Source!$E500, "")</f>
        <v/>
      </c>
      <c r="AB500" s="2" t="str">
        <f>IF(Source!$C500&gt;=COLUMNS($A500:AB500), Source!$E500, "")</f>
        <v/>
      </c>
      <c r="AC500" s="2" t="str">
        <f>IF(Source!$C500&gt;=COLUMNS($A500:AC500), Source!$E500, "")</f>
        <v/>
      </c>
      <c r="AD500" s="2" t="str">
        <f>IF(Source!$C500&gt;=COLUMNS($A500:AD500), Source!$E500, "")</f>
        <v/>
      </c>
      <c r="AE500" s="2" t="str">
        <f>IF(Source!$C500&gt;=COLUMNS($A500:AE500), Source!$E500, "")</f>
        <v/>
      </c>
      <c r="AF500" s="2" t="str">
        <f>IF(Source!$C500&gt;=COLUMNS($A500:AF500), Source!$E500, "")</f>
        <v/>
      </c>
      <c r="AG500" s="2" t="str">
        <f>IF(Source!$C500&gt;=COLUMNS($A500:AG500), Source!$E500, "")</f>
        <v/>
      </c>
      <c r="AH500" s="2" t="str">
        <f>IF(Source!$C500&gt;=COLUMNS($A500:AH500), Source!$E500, "")</f>
        <v/>
      </c>
      <c r="AI500" s="2" t="str">
        <f>IF(Source!$C500&gt;=COLUMNS($A500:AI500), Source!$E500, "")</f>
        <v/>
      </c>
      <c r="AJ500" s="2" t="str">
        <f>IF(Source!$C500&gt;=COLUMNS($A500:AJ500), Source!$E500, "")</f>
        <v/>
      </c>
      <c r="AK500" s="2" t="str">
        <f>IF(Source!$C500&gt;=COLUMNS($A500:AK500), Source!$E500, "")</f>
        <v/>
      </c>
      <c r="AL500" s="2" t="str">
        <f>IF(Source!$C500&gt;=COLUMNS($A500:AL500), Source!$E500, "")</f>
        <v/>
      </c>
      <c r="AM500" s="2" t="str">
        <f>IF(Source!$C500&gt;=COLUMNS($A500:AM500), Source!$E500, "")</f>
        <v/>
      </c>
      <c r="AN500" s="2" t="str">
        <f>IF(Source!$C500&gt;=COLUMNS($A500:AN500), Source!$E500, "")</f>
        <v/>
      </c>
      <c r="AO500" s="2" t="str">
        <f>IF(Source!$C500&gt;=COLUMNS($A500:AO500), Source!$E500, "")</f>
        <v/>
      </c>
      <c r="AP500" s="2" t="str">
        <f>IF(Source!$C500&gt;=COLUMNS($A500:AP500), Source!$E500, "")</f>
        <v/>
      </c>
      <c r="AQ500" s="2" t="str">
        <f>IF(Source!$C500&gt;=COLUMNS($A500:AQ500), Source!$E500, "")</f>
        <v/>
      </c>
      <c r="AR500" s="2" t="str">
        <f>IF(Source!$C500&gt;=COLUMNS($A500:AR500), Source!$E500, "")</f>
        <v/>
      </c>
    </row>
    <row r="501">
      <c r="A501" s="2">
        <f>IF(Source!$C501&gt;=COLUMNS($A501:A501), Source!$E501, "")</f>
        <v>6</v>
      </c>
      <c r="B501" s="2" t="str">
        <f>IF(Source!$C501&gt;=COLUMNS($A501:B501), Source!$E501, "")</f>
        <v/>
      </c>
      <c r="C501" s="2" t="str">
        <f>IF(Source!$C501&gt;=COLUMNS($A501:C501), Source!$E501, "")</f>
        <v/>
      </c>
      <c r="D501" s="2" t="str">
        <f>IF(Source!$C501&gt;=COLUMNS($A501:D501), Source!$E501, "")</f>
        <v/>
      </c>
      <c r="E501" s="2" t="str">
        <f>IF(Source!$C501&gt;=COLUMNS($A501:E501), Source!$E501, "")</f>
        <v/>
      </c>
      <c r="F501" s="2" t="str">
        <f>IF(Source!$C501&gt;=COLUMNS($A501:F501), Source!$E501, "")</f>
        <v/>
      </c>
      <c r="G501" s="2" t="str">
        <f>IF(Source!$C501&gt;=COLUMNS($A501:G501), Source!$E501, "")</f>
        <v/>
      </c>
      <c r="H501" s="2" t="str">
        <f>IF(Source!$C501&gt;=COLUMNS($A501:H501), Source!$E501, "")</f>
        <v/>
      </c>
      <c r="I501" s="2" t="str">
        <f>IF(Source!$C501&gt;=COLUMNS($A501:I501), Source!$E501, "")</f>
        <v/>
      </c>
      <c r="J501" s="2" t="str">
        <f>IF(Source!$C501&gt;=COLUMNS($A501:J501), Source!$E501, "")</f>
        <v/>
      </c>
      <c r="K501" s="2" t="str">
        <f>IF(Source!$C501&gt;=COLUMNS($A501:K501), Source!$E501, "")</f>
        <v/>
      </c>
      <c r="L501" s="2" t="str">
        <f>IF(Source!$C501&gt;=COLUMNS($A501:L501), Source!$E501, "")</f>
        <v/>
      </c>
      <c r="M501" s="2" t="str">
        <f>IF(Source!$C501&gt;=COLUMNS($A501:M501), Source!$E501, "")</f>
        <v/>
      </c>
      <c r="N501" s="2" t="str">
        <f>IF(Source!$C501&gt;=COLUMNS($A501:N501), Source!$E501, "")</f>
        <v/>
      </c>
      <c r="O501" s="2" t="str">
        <f>IF(Source!$C501&gt;=COLUMNS($A501:O501), Source!$E501, "")</f>
        <v/>
      </c>
      <c r="P501" s="2" t="str">
        <f>IF(Source!$C501&gt;=COLUMNS($A501:P501), Source!$E501, "")</f>
        <v/>
      </c>
      <c r="Q501" s="2" t="str">
        <f>IF(Source!$C501&gt;=COLUMNS($A501:Q501), Source!$E501, "")</f>
        <v/>
      </c>
      <c r="R501" s="2" t="str">
        <f>IF(Source!$C501&gt;=COLUMNS($A501:R501), Source!$E501, "")</f>
        <v/>
      </c>
      <c r="S501" s="2" t="str">
        <f>IF(Source!$C501&gt;=COLUMNS($A501:S501), Source!$E501, "")</f>
        <v/>
      </c>
      <c r="T501" s="2" t="str">
        <f>IF(Source!$C501&gt;=COLUMNS($A501:T501), Source!$E501, "")</f>
        <v/>
      </c>
      <c r="U501" s="2" t="str">
        <f>IF(Source!$C501&gt;=COLUMNS($A501:U501), Source!$E501, "")</f>
        <v/>
      </c>
      <c r="V501" s="2" t="str">
        <f>IF(Source!$C501&gt;=COLUMNS($A501:V501), Source!$E501, "")</f>
        <v/>
      </c>
      <c r="W501" s="2" t="str">
        <f>IF(Source!$C501&gt;=COLUMNS($A501:W501), Source!$E501, "")</f>
        <v/>
      </c>
      <c r="X501" s="2" t="str">
        <f>IF(Source!$C501&gt;=COLUMNS($A501:X501), Source!$E501, "")</f>
        <v/>
      </c>
      <c r="Y501" s="2" t="str">
        <f>IF(Source!$C501&gt;=COLUMNS($A501:Y501), Source!$E501, "")</f>
        <v/>
      </c>
      <c r="Z501" s="2" t="str">
        <f>IF(Source!$C501&gt;=COLUMNS($A501:Z501), Source!$E501, "")</f>
        <v/>
      </c>
      <c r="AA501" s="2" t="str">
        <f>IF(Source!$C501&gt;=COLUMNS($A501:AA501), Source!$E501, "")</f>
        <v/>
      </c>
      <c r="AB501" s="2" t="str">
        <f>IF(Source!$C501&gt;=COLUMNS($A501:AB501), Source!$E501, "")</f>
        <v/>
      </c>
      <c r="AC501" s="2" t="str">
        <f>IF(Source!$C501&gt;=COLUMNS($A501:AC501), Source!$E501, "")</f>
        <v/>
      </c>
      <c r="AD501" s="2" t="str">
        <f>IF(Source!$C501&gt;=COLUMNS($A501:AD501), Source!$E501, "")</f>
        <v/>
      </c>
      <c r="AE501" s="2" t="str">
        <f>IF(Source!$C501&gt;=COLUMNS($A501:AE501), Source!$E501, "")</f>
        <v/>
      </c>
      <c r="AF501" s="2" t="str">
        <f>IF(Source!$C501&gt;=COLUMNS($A501:AF501), Source!$E501, "")</f>
        <v/>
      </c>
      <c r="AG501" s="2" t="str">
        <f>IF(Source!$C501&gt;=COLUMNS($A501:AG501), Source!$E501, "")</f>
        <v/>
      </c>
      <c r="AH501" s="2" t="str">
        <f>IF(Source!$C501&gt;=COLUMNS($A501:AH501), Source!$E501, "")</f>
        <v/>
      </c>
      <c r="AI501" s="2" t="str">
        <f>IF(Source!$C501&gt;=COLUMNS($A501:AI501), Source!$E501, "")</f>
        <v/>
      </c>
      <c r="AJ501" s="2" t="str">
        <f>IF(Source!$C501&gt;=COLUMNS($A501:AJ501), Source!$E501, "")</f>
        <v/>
      </c>
      <c r="AK501" s="2" t="str">
        <f>IF(Source!$C501&gt;=COLUMNS($A501:AK501), Source!$E501, "")</f>
        <v/>
      </c>
      <c r="AL501" s="2" t="str">
        <f>IF(Source!$C501&gt;=COLUMNS($A501:AL501), Source!$E501, "")</f>
        <v/>
      </c>
      <c r="AM501" s="2" t="str">
        <f>IF(Source!$C501&gt;=COLUMNS($A501:AM501), Source!$E501, "")</f>
        <v/>
      </c>
      <c r="AN501" s="2" t="str">
        <f>IF(Source!$C501&gt;=COLUMNS($A501:AN501), Source!$E501, "")</f>
        <v/>
      </c>
      <c r="AO501" s="2" t="str">
        <f>IF(Source!$C501&gt;=COLUMNS($A501:AO501), Source!$E501, "")</f>
        <v/>
      </c>
      <c r="AP501" s="2" t="str">
        <f>IF(Source!$C501&gt;=COLUMNS($A501:AP501), Source!$E501, "")</f>
        <v/>
      </c>
      <c r="AQ501" s="2" t="str">
        <f>IF(Source!$C501&gt;=COLUMNS($A501:AQ501), Source!$E501, "")</f>
        <v/>
      </c>
      <c r="AR501" s="2" t="str">
        <f>IF(Source!$C501&gt;=COLUMNS($A501:AR501), Source!$E501, "")</f>
        <v/>
      </c>
    </row>
    <row r="502">
      <c r="A502" s="2">
        <f>IF(Source!$C502&gt;=COLUMNS($A502:A502), Source!$E502, "")</f>
        <v>7</v>
      </c>
      <c r="B502" s="2">
        <f>IF(Source!$C502&gt;=COLUMNS($A502:B502), Source!$E502, "")</f>
        <v>7</v>
      </c>
      <c r="C502" s="2" t="str">
        <f>IF(Source!$C502&gt;=COLUMNS($A502:C502), Source!$E502, "")</f>
        <v/>
      </c>
      <c r="D502" s="2" t="str">
        <f>IF(Source!$C502&gt;=COLUMNS($A502:D502), Source!$E502, "")</f>
        <v/>
      </c>
      <c r="E502" s="2" t="str">
        <f>IF(Source!$C502&gt;=COLUMNS($A502:E502), Source!$E502, "")</f>
        <v/>
      </c>
      <c r="F502" s="2" t="str">
        <f>IF(Source!$C502&gt;=COLUMNS($A502:F502), Source!$E502, "")</f>
        <v/>
      </c>
      <c r="G502" s="2" t="str">
        <f>IF(Source!$C502&gt;=COLUMNS($A502:G502), Source!$E502, "")</f>
        <v/>
      </c>
      <c r="H502" s="2" t="str">
        <f>IF(Source!$C502&gt;=COLUMNS($A502:H502), Source!$E502, "")</f>
        <v/>
      </c>
      <c r="I502" s="2" t="str">
        <f>IF(Source!$C502&gt;=COLUMNS($A502:I502), Source!$E502, "")</f>
        <v/>
      </c>
      <c r="J502" s="2" t="str">
        <f>IF(Source!$C502&gt;=COLUMNS($A502:J502), Source!$E502, "")</f>
        <v/>
      </c>
      <c r="K502" s="2" t="str">
        <f>IF(Source!$C502&gt;=COLUMNS($A502:K502), Source!$E502, "")</f>
        <v/>
      </c>
      <c r="L502" s="2" t="str">
        <f>IF(Source!$C502&gt;=COLUMNS($A502:L502), Source!$E502, "")</f>
        <v/>
      </c>
      <c r="M502" s="2" t="str">
        <f>IF(Source!$C502&gt;=COLUMNS($A502:M502), Source!$E502, "")</f>
        <v/>
      </c>
      <c r="N502" s="2" t="str">
        <f>IF(Source!$C502&gt;=COLUMNS($A502:N502), Source!$E502, "")</f>
        <v/>
      </c>
      <c r="O502" s="2" t="str">
        <f>IF(Source!$C502&gt;=COLUMNS($A502:O502), Source!$E502, "")</f>
        <v/>
      </c>
      <c r="P502" s="2" t="str">
        <f>IF(Source!$C502&gt;=COLUMNS($A502:P502), Source!$E502, "")</f>
        <v/>
      </c>
      <c r="Q502" s="2" t="str">
        <f>IF(Source!$C502&gt;=COLUMNS($A502:Q502), Source!$E502, "")</f>
        <v/>
      </c>
      <c r="R502" s="2" t="str">
        <f>IF(Source!$C502&gt;=COLUMNS($A502:R502), Source!$E502, "")</f>
        <v/>
      </c>
      <c r="S502" s="2" t="str">
        <f>IF(Source!$C502&gt;=COLUMNS($A502:S502), Source!$E502, "")</f>
        <v/>
      </c>
      <c r="T502" s="2" t="str">
        <f>IF(Source!$C502&gt;=COLUMNS($A502:T502), Source!$E502, "")</f>
        <v/>
      </c>
      <c r="U502" s="2" t="str">
        <f>IF(Source!$C502&gt;=COLUMNS($A502:U502), Source!$E502, "")</f>
        <v/>
      </c>
      <c r="V502" s="2" t="str">
        <f>IF(Source!$C502&gt;=COLUMNS($A502:V502), Source!$E502, "")</f>
        <v/>
      </c>
      <c r="W502" s="2" t="str">
        <f>IF(Source!$C502&gt;=COLUMNS($A502:W502), Source!$E502, "")</f>
        <v/>
      </c>
      <c r="X502" s="2" t="str">
        <f>IF(Source!$C502&gt;=COLUMNS($A502:X502), Source!$E502, "")</f>
        <v/>
      </c>
      <c r="Y502" s="2" t="str">
        <f>IF(Source!$C502&gt;=COLUMNS($A502:Y502), Source!$E502, "")</f>
        <v/>
      </c>
      <c r="Z502" s="2" t="str">
        <f>IF(Source!$C502&gt;=COLUMNS($A502:Z502), Source!$E502, "")</f>
        <v/>
      </c>
      <c r="AA502" s="2" t="str">
        <f>IF(Source!$C502&gt;=COLUMNS($A502:AA502), Source!$E502, "")</f>
        <v/>
      </c>
      <c r="AB502" s="2" t="str">
        <f>IF(Source!$C502&gt;=COLUMNS($A502:AB502), Source!$E502, "")</f>
        <v/>
      </c>
      <c r="AC502" s="2" t="str">
        <f>IF(Source!$C502&gt;=COLUMNS($A502:AC502), Source!$E502, "")</f>
        <v/>
      </c>
      <c r="AD502" s="2" t="str">
        <f>IF(Source!$C502&gt;=COLUMNS($A502:AD502), Source!$E502, "")</f>
        <v/>
      </c>
      <c r="AE502" s="2" t="str">
        <f>IF(Source!$C502&gt;=COLUMNS($A502:AE502), Source!$E502, "")</f>
        <v/>
      </c>
      <c r="AF502" s="2" t="str">
        <f>IF(Source!$C502&gt;=COLUMNS($A502:AF502), Source!$E502, "")</f>
        <v/>
      </c>
      <c r="AG502" s="2" t="str">
        <f>IF(Source!$C502&gt;=COLUMNS($A502:AG502), Source!$E502, "")</f>
        <v/>
      </c>
      <c r="AH502" s="2" t="str">
        <f>IF(Source!$C502&gt;=COLUMNS($A502:AH502), Source!$E502, "")</f>
        <v/>
      </c>
      <c r="AI502" s="2" t="str">
        <f>IF(Source!$C502&gt;=COLUMNS($A502:AI502), Source!$E502, "")</f>
        <v/>
      </c>
      <c r="AJ502" s="2" t="str">
        <f>IF(Source!$C502&gt;=COLUMNS($A502:AJ502), Source!$E502, "")</f>
        <v/>
      </c>
      <c r="AK502" s="2" t="str">
        <f>IF(Source!$C502&gt;=COLUMNS($A502:AK502), Source!$E502, "")</f>
        <v/>
      </c>
      <c r="AL502" s="2" t="str">
        <f>IF(Source!$C502&gt;=COLUMNS($A502:AL502), Source!$E502, "")</f>
        <v/>
      </c>
      <c r="AM502" s="2" t="str">
        <f>IF(Source!$C502&gt;=COLUMNS($A502:AM502), Source!$E502, "")</f>
        <v/>
      </c>
      <c r="AN502" s="2" t="str">
        <f>IF(Source!$C502&gt;=COLUMNS($A502:AN502), Source!$E502, "")</f>
        <v/>
      </c>
      <c r="AO502" s="2" t="str">
        <f>IF(Source!$C502&gt;=COLUMNS($A502:AO502), Source!$E502, "")</f>
        <v/>
      </c>
      <c r="AP502" s="2" t="str">
        <f>IF(Source!$C502&gt;=COLUMNS($A502:AP502), Source!$E502, "")</f>
        <v/>
      </c>
      <c r="AQ502" s="2" t="str">
        <f>IF(Source!$C502&gt;=COLUMNS($A502:AQ502), Source!$E502, "")</f>
        <v/>
      </c>
      <c r="AR502" s="2" t="str">
        <f>IF(Source!$C502&gt;=COLUMNS($A502:AR502), Source!$E502, "")</f>
        <v/>
      </c>
    </row>
    <row r="503">
      <c r="A503" s="2">
        <f>IF(Source!$C503&gt;=COLUMNS($A503:A503), Source!$E503, "")</f>
        <v>8</v>
      </c>
      <c r="B503" s="2">
        <f>IF(Source!$C503&gt;=COLUMNS($A503:B503), Source!$E503, "")</f>
        <v>8</v>
      </c>
      <c r="C503" s="2">
        <f>IF(Source!$C503&gt;=COLUMNS($A503:C503), Source!$E503, "")</f>
        <v>8</v>
      </c>
      <c r="D503" s="2" t="str">
        <f>IF(Source!$C503&gt;=COLUMNS($A503:D503), Source!$E503, "")</f>
        <v/>
      </c>
      <c r="E503" s="2" t="str">
        <f>IF(Source!$C503&gt;=COLUMNS($A503:E503), Source!$E503, "")</f>
        <v/>
      </c>
      <c r="F503" s="2" t="str">
        <f>IF(Source!$C503&gt;=COLUMNS($A503:F503), Source!$E503, "")</f>
        <v/>
      </c>
      <c r="G503" s="2" t="str">
        <f>IF(Source!$C503&gt;=COLUMNS($A503:G503), Source!$E503, "")</f>
        <v/>
      </c>
      <c r="H503" s="2" t="str">
        <f>IF(Source!$C503&gt;=COLUMNS($A503:H503), Source!$E503, "")</f>
        <v/>
      </c>
      <c r="I503" s="2" t="str">
        <f>IF(Source!$C503&gt;=COLUMNS($A503:I503), Source!$E503, "")</f>
        <v/>
      </c>
      <c r="J503" s="2" t="str">
        <f>IF(Source!$C503&gt;=COLUMNS($A503:J503), Source!$E503, "")</f>
        <v/>
      </c>
      <c r="K503" s="2" t="str">
        <f>IF(Source!$C503&gt;=COLUMNS($A503:K503), Source!$E503, "")</f>
        <v/>
      </c>
      <c r="L503" s="2" t="str">
        <f>IF(Source!$C503&gt;=COLUMNS($A503:L503), Source!$E503, "")</f>
        <v/>
      </c>
      <c r="M503" s="2" t="str">
        <f>IF(Source!$C503&gt;=COLUMNS($A503:M503), Source!$E503, "")</f>
        <v/>
      </c>
      <c r="N503" s="2" t="str">
        <f>IF(Source!$C503&gt;=COLUMNS($A503:N503), Source!$E503, "")</f>
        <v/>
      </c>
      <c r="O503" s="2" t="str">
        <f>IF(Source!$C503&gt;=COLUMNS($A503:O503), Source!$E503, "")</f>
        <v/>
      </c>
      <c r="P503" s="2" t="str">
        <f>IF(Source!$C503&gt;=COLUMNS($A503:P503), Source!$E503, "")</f>
        <v/>
      </c>
      <c r="Q503" s="2" t="str">
        <f>IF(Source!$C503&gt;=COLUMNS($A503:Q503), Source!$E503, "")</f>
        <v/>
      </c>
      <c r="R503" s="2" t="str">
        <f>IF(Source!$C503&gt;=COLUMNS($A503:R503), Source!$E503, "")</f>
        <v/>
      </c>
      <c r="S503" s="2" t="str">
        <f>IF(Source!$C503&gt;=COLUMNS($A503:S503), Source!$E503, "")</f>
        <v/>
      </c>
      <c r="T503" s="2" t="str">
        <f>IF(Source!$C503&gt;=COLUMNS($A503:T503), Source!$E503, "")</f>
        <v/>
      </c>
      <c r="U503" s="2" t="str">
        <f>IF(Source!$C503&gt;=COLUMNS($A503:U503), Source!$E503, "")</f>
        <v/>
      </c>
      <c r="V503" s="2" t="str">
        <f>IF(Source!$C503&gt;=COLUMNS($A503:V503), Source!$E503, "")</f>
        <v/>
      </c>
      <c r="W503" s="2" t="str">
        <f>IF(Source!$C503&gt;=COLUMNS($A503:W503), Source!$E503, "")</f>
        <v/>
      </c>
      <c r="X503" s="2" t="str">
        <f>IF(Source!$C503&gt;=COLUMNS($A503:X503), Source!$E503, "")</f>
        <v/>
      </c>
      <c r="Y503" s="2" t="str">
        <f>IF(Source!$C503&gt;=COLUMNS($A503:Y503), Source!$E503, "")</f>
        <v/>
      </c>
      <c r="Z503" s="2" t="str">
        <f>IF(Source!$C503&gt;=COLUMNS($A503:Z503), Source!$E503, "")</f>
        <v/>
      </c>
      <c r="AA503" s="2" t="str">
        <f>IF(Source!$C503&gt;=COLUMNS($A503:AA503), Source!$E503, "")</f>
        <v/>
      </c>
      <c r="AB503" s="2" t="str">
        <f>IF(Source!$C503&gt;=COLUMNS($A503:AB503), Source!$E503, "")</f>
        <v/>
      </c>
      <c r="AC503" s="2" t="str">
        <f>IF(Source!$C503&gt;=COLUMNS($A503:AC503), Source!$E503, "")</f>
        <v/>
      </c>
      <c r="AD503" s="2" t="str">
        <f>IF(Source!$C503&gt;=COLUMNS($A503:AD503), Source!$E503, "")</f>
        <v/>
      </c>
      <c r="AE503" s="2" t="str">
        <f>IF(Source!$C503&gt;=COLUMNS($A503:AE503), Source!$E503, "")</f>
        <v/>
      </c>
      <c r="AF503" s="2" t="str">
        <f>IF(Source!$C503&gt;=COLUMNS($A503:AF503), Source!$E503, "")</f>
        <v/>
      </c>
      <c r="AG503" s="2" t="str">
        <f>IF(Source!$C503&gt;=COLUMNS($A503:AG503), Source!$E503, "")</f>
        <v/>
      </c>
      <c r="AH503" s="2" t="str">
        <f>IF(Source!$C503&gt;=COLUMNS($A503:AH503), Source!$E503, "")</f>
        <v/>
      </c>
      <c r="AI503" s="2" t="str">
        <f>IF(Source!$C503&gt;=COLUMNS($A503:AI503), Source!$E503, "")</f>
        <v/>
      </c>
      <c r="AJ503" s="2" t="str">
        <f>IF(Source!$C503&gt;=COLUMNS($A503:AJ503), Source!$E503, "")</f>
        <v/>
      </c>
      <c r="AK503" s="2" t="str">
        <f>IF(Source!$C503&gt;=COLUMNS($A503:AK503), Source!$E503, "")</f>
        <v/>
      </c>
      <c r="AL503" s="2" t="str">
        <f>IF(Source!$C503&gt;=COLUMNS($A503:AL503), Source!$E503, "")</f>
        <v/>
      </c>
      <c r="AM503" s="2" t="str">
        <f>IF(Source!$C503&gt;=COLUMNS($A503:AM503), Source!$E503, "")</f>
        <v/>
      </c>
      <c r="AN503" s="2" t="str">
        <f>IF(Source!$C503&gt;=COLUMNS($A503:AN503), Source!$E503, "")</f>
        <v/>
      </c>
      <c r="AO503" s="2" t="str">
        <f>IF(Source!$C503&gt;=COLUMNS($A503:AO503), Source!$E503, "")</f>
        <v/>
      </c>
      <c r="AP503" s="2" t="str">
        <f>IF(Source!$C503&gt;=COLUMNS($A503:AP503), Source!$E503, "")</f>
        <v/>
      </c>
      <c r="AQ503" s="2" t="str">
        <f>IF(Source!$C503&gt;=COLUMNS($A503:AQ503), Source!$E503, "")</f>
        <v/>
      </c>
      <c r="AR503" s="2" t="str">
        <f>IF(Source!$C503&gt;=COLUMNS($A503:AR503), Source!$E503, "")</f>
        <v/>
      </c>
    </row>
    <row r="504">
      <c r="A504" s="2">
        <f>IF(Source!$C504&gt;=COLUMNS($A504:A504), Source!$E504, "")</f>
        <v>8</v>
      </c>
      <c r="B504" s="2">
        <f>IF(Source!$C504&gt;=COLUMNS($A504:B504), Source!$E504, "")</f>
        <v>8</v>
      </c>
      <c r="C504" s="2">
        <f>IF(Source!$C504&gt;=COLUMNS($A504:C504), Source!$E504, "")</f>
        <v>8</v>
      </c>
      <c r="D504" s="2">
        <f>IF(Source!$C504&gt;=COLUMNS($A504:D504), Source!$E504, "")</f>
        <v>8</v>
      </c>
      <c r="E504" s="2">
        <f>IF(Source!$C504&gt;=COLUMNS($A504:E504), Source!$E504, "")</f>
        <v>8</v>
      </c>
      <c r="F504" s="2">
        <f>IF(Source!$C504&gt;=COLUMNS($A504:F504), Source!$E504, "")</f>
        <v>8</v>
      </c>
      <c r="G504" s="2" t="str">
        <f>IF(Source!$C504&gt;=COLUMNS($A504:G504), Source!$E504, "")</f>
        <v/>
      </c>
      <c r="H504" s="2" t="str">
        <f>IF(Source!$C504&gt;=COLUMNS($A504:H504), Source!$E504, "")</f>
        <v/>
      </c>
      <c r="I504" s="2" t="str">
        <f>IF(Source!$C504&gt;=COLUMNS($A504:I504), Source!$E504, "")</f>
        <v/>
      </c>
      <c r="J504" s="2" t="str">
        <f>IF(Source!$C504&gt;=COLUMNS($A504:J504), Source!$E504, "")</f>
        <v/>
      </c>
      <c r="K504" s="2" t="str">
        <f>IF(Source!$C504&gt;=COLUMNS($A504:K504), Source!$E504, "")</f>
        <v/>
      </c>
      <c r="L504" s="2" t="str">
        <f>IF(Source!$C504&gt;=COLUMNS($A504:L504), Source!$E504, "")</f>
        <v/>
      </c>
      <c r="M504" s="2" t="str">
        <f>IF(Source!$C504&gt;=COLUMNS($A504:M504), Source!$E504, "")</f>
        <v/>
      </c>
      <c r="N504" s="2" t="str">
        <f>IF(Source!$C504&gt;=COLUMNS($A504:N504), Source!$E504, "")</f>
        <v/>
      </c>
      <c r="O504" s="2" t="str">
        <f>IF(Source!$C504&gt;=COLUMNS($A504:O504), Source!$E504, "")</f>
        <v/>
      </c>
      <c r="P504" s="2" t="str">
        <f>IF(Source!$C504&gt;=COLUMNS($A504:P504), Source!$E504, "")</f>
        <v/>
      </c>
      <c r="Q504" s="2" t="str">
        <f>IF(Source!$C504&gt;=COLUMNS($A504:Q504), Source!$E504, "")</f>
        <v/>
      </c>
      <c r="R504" s="2" t="str">
        <f>IF(Source!$C504&gt;=COLUMNS($A504:R504), Source!$E504, "")</f>
        <v/>
      </c>
      <c r="S504" s="2" t="str">
        <f>IF(Source!$C504&gt;=COLUMNS($A504:S504), Source!$E504, "")</f>
        <v/>
      </c>
      <c r="T504" s="2" t="str">
        <f>IF(Source!$C504&gt;=COLUMNS($A504:T504), Source!$E504, "")</f>
        <v/>
      </c>
      <c r="U504" s="2" t="str">
        <f>IF(Source!$C504&gt;=COLUMNS($A504:U504), Source!$E504, "")</f>
        <v/>
      </c>
      <c r="V504" s="2" t="str">
        <f>IF(Source!$C504&gt;=COLUMNS($A504:V504), Source!$E504, "")</f>
        <v/>
      </c>
      <c r="W504" s="2" t="str">
        <f>IF(Source!$C504&gt;=COLUMNS($A504:W504), Source!$E504, "")</f>
        <v/>
      </c>
      <c r="X504" s="2" t="str">
        <f>IF(Source!$C504&gt;=COLUMNS($A504:X504), Source!$E504, "")</f>
        <v/>
      </c>
      <c r="Y504" s="2" t="str">
        <f>IF(Source!$C504&gt;=COLUMNS($A504:Y504), Source!$E504, "")</f>
        <v/>
      </c>
      <c r="Z504" s="2" t="str">
        <f>IF(Source!$C504&gt;=COLUMNS($A504:Z504), Source!$E504, "")</f>
        <v/>
      </c>
      <c r="AA504" s="2" t="str">
        <f>IF(Source!$C504&gt;=COLUMNS($A504:AA504), Source!$E504, "")</f>
        <v/>
      </c>
      <c r="AB504" s="2" t="str">
        <f>IF(Source!$C504&gt;=COLUMNS($A504:AB504), Source!$E504, "")</f>
        <v/>
      </c>
      <c r="AC504" s="2" t="str">
        <f>IF(Source!$C504&gt;=COLUMNS($A504:AC504), Source!$E504, "")</f>
        <v/>
      </c>
      <c r="AD504" s="2" t="str">
        <f>IF(Source!$C504&gt;=COLUMNS($A504:AD504), Source!$E504, "")</f>
        <v/>
      </c>
      <c r="AE504" s="2" t="str">
        <f>IF(Source!$C504&gt;=COLUMNS($A504:AE504), Source!$E504, "")</f>
        <v/>
      </c>
      <c r="AF504" s="2" t="str">
        <f>IF(Source!$C504&gt;=COLUMNS($A504:AF504), Source!$E504, "")</f>
        <v/>
      </c>
      <c r="AG504" s="2" t="str">
        <f>IF(Source!$C504&gt;=COLUMNS($A504:AG504), Source!$E504, "")</f>
        <v/>
      </c>
      <c r="AH504" s="2" t="str">
        <f>IF(Source!$C504&gt;=COLUMNS($A504:AH504), Source!$E504, "")</f>
        <v/>
      </c>
      <c r="AI504" s="2" t="str">
        <f>IF(Source!$C504&gt;=COLUMNS($A504:AI504), Source!$E504, "")</f>
        <v/>
      </c>
      <c r="AJ504" s="2" t="str">
        <f>IF(Source!$C504&gt;=COLUMNS($A504:AJ504), Source!$E504, "")</f>
        <v/>
      </c>
      <c r="AK504" s="2" t="str">
        <f>IF(Source!$C504&gt;=COLUMNS($A504:AK504), Source!$E504, "")</f>
        <v/>
      </c>
      <c r="AL504" s="2" t="str">
        <f>IF(Source!$C504&gt;=COLUMNS($A504:AL504), Source!$E504, "")</f>
        <v/>
      </c>
      <c r="AM504" s="2" t="str">
        <f>IF(Source!$C504&gt;=COLUMNS($A504:AM504), Source!$E504, "")</f>
        <v/>
      </c>
      <c r="AN504" s="2" t="str">
        <f>IF(Source!$C504&gt;=COLUMNS($A504:AN504), Source!$E504, "")</f>
        <v/>
      </c>
      <c r="AO504" s="2" t="str">
        <f>IF(Source!$C504&gt;=COLUMNS($A504:AO504), Source!$E504, "")</f>
        <v/>
      </c>
      <c r="AP504" s="2" t="str">
        <f>IF(Source!$C504&gt;=COLUMNS($A504:AP504), Source!$E504, "")</f>
        <v/>
      </c>
      <c r="AQ504" s="2" t="str">
        <f>IF(Source!$C504&gt;=COLUMNS($A504:AQ504), Source!$E504, "")</f>
        <v/>
      </c>
      <c r="AR504" s="2" t="str">
        <f>IF(Source!$C504&gt;=COLUMNS($A504:AR504), Source!$E504, "")</f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">
        <f>IF(Source!$C2&gt;=COLUMNS($A2:A2), Source!$G2, "")</f>
        <v>5</v>
      </c>
      <c r="B2" s="2" t="str">
        <f>IF(Source!$C2&gt;=COLUMNS($A2:B2), Source!$G2, "")</f>
        <v/>
      </c>
      <c r="C2" s="2" t="str">
        <f>IF(Source!$C2&gt;=COLUMNS($A2:C2), Source!$G2, "")</f>
        <v/>
      </c>
      <c r="D2" s="2" t="str">
        <f>IF(Source!$C2&gt;=COLUMNS($A2:D2), Source!$G2, "")</f>
        <v/>
      </c>
      <c r="E2" s="2" t="str">
        <f>IF(Source!$C2&gt;=COLUMNS($A2:E2), Source!$G2, "")</f>
        <v/>
      </c>
      <c r="F2" s="2" t="str">
        <f>IF(Source!$C2&gt;=COLUMNS($A2:F2), Source!$G2, "")</f>
        <v/>
      </c>
      <c r="G2" s="2" t="str">
        <f>IF(Source!$C2&gt;=COLUMNS($A2:G2), Source!$G2, "")</f>
        <v/>
      </c>
      <c r="H2" s="2" t="str">
        <f>IF(Source!$C2&gt;=COLUMNS($A2:H2), Source!$G2, "")</f>
        <v/>
      </c>
      <c r="I2" s="2" t="str">
        <f>IF(Source!$C2&gt;=COLUMNS($A2:I2), Source!$G2, "")</f>
        <v/>
      </c>
      <c r="J2" s="2" t="str">
        <f>IF(Source!$C2&gt;=COLUMNS($A2:J2), Source!$G2, "")</f>
        <v/>
      </c>
      <c r="K2" s="2" t="str">
        <f>IF(Source!$C2&gt;=COLUMNS($A2:K2), Source!$G2, "")</f>
        <v/>
      </c>
      <c r="L2" s="2" t="str">
        <f>IF(Source!$C2&gt;=COLUMNS($A2:L2), Source!$G2, "")</f>
        <v/>
      </c>
      <c r="M2" s="2" t="str">
        <f>IF(Source!$C2&gt;=COLUMNS($A2:M2), Source!$G2, "")</f>
        <v/>
      </c>
      <c r="N2" s="2" t="str">
        <f>IF(Source!$C2&gt;=COLUMNS($A2:N2), Source!$G2, "")</f>
        <v/>
      </c>
      <c r="O2" s="2" t="str">
        <f>IF(Source!$C2&gt;=COLUMNS($A2:O2), Source!$G2, "")</f>
        <v/>
      </c>
      <c r="P2" s="2" t="str">
        <f>IF(Source!$C2&gt;=COLUMNS($A2:P2), Source!$G2, "")</f>
        <v/>
      </c>
      <c r="Q2" s="2" t="str">
        <f>IF(Source!$C2&gt;=COLUMNS($A2:Q2), Source!$G2, "")</f>
        <v/>
      </c>
      <c r="R2" s="2" t="str">
        <f>IF(Source!$C2&gt;=COLUMNS($A2:R2), Source!$G2, "")</f>
        <v/>
      </c>
      <c r="S2" s="2" t="str">
        <f>IF(Source!$C2&gt;=COLUMNS($A2:S2), Source!$G2, "")</f>
        <v/>
      </c>
      <c r="T2" s="2" t="str">
        <f>IF(Source!$C2&gt;=COLUMNS($A2:T2), Source!$G2, "")</f>
        <v/>
      </c>
      <c r="U2" s="2" t="str">
        <f>IF(Source!$C2&gt;=COLUMNS($A2:U2), Source!$G2, "")</f>
        <v/>
      </c>
      <c r="V2" s="2" t="str">
        <f>IF(Source!$C2&gt;=COLUMNS($A2:V2), Source!$G2, "")</f>
        <v/>
      </c>
      <c r="W2" s="2" t="str">
        <f>IF(Source!$C2&gt;=COLUMNS($A2:W2), Source!$G2, "")</f>
        <v/>
      </c>
      <c r="X2" s="2" t="str">
        <f>IF(Source!$C2&gt;=COLUMNS($A2:X2), Source!$G2, "")</f>
        <v/>
      </c>
      <c r="Y2" s="2" t="str">
        <f>IF(Source!$C2&gt;=COLUMNS($A2:Y2), Source!$G2, "")</f>
        <v/>
      </c>
      <c r="Z2" s="2" t="str">
        <f>IF(Source!$C2&gt;=COLUMNS($A2:Z2), Source!$G2, "")</f>
        <v/>
      </c>
      <c r="AA2" s="2" t="str">
        <f>IF(Source!$C2&gt;=COLUMNS($A2:AA2), Source!$G2, "")</f>
        <v/>
      </c>
      <c r="AB2" s="2" t="str">
        <f>IF(Source!$C2&gt;=COLUMNS($A2:AB2), Source!$G2, "")</f>
        <v/>
      </c>
      <c r="AC2" s="2" t="str">
        <f>IF(Source!$C2&gt;=COLUMNS($A2:AC2), Source!$G2, "")</f>
        <v/>
      </c>
      <c r="AD2" s="2" t="str">
        <f>IF(Source!$C2&gt;=COLUMNS($A2:AD2), Source!$G2, "")</f>
        <v/>
      </c>
      <c r="AE2" s="2" t="str">
        <f>IF(Source!$C2&gt;=COLUMNS($A2:AE2), Source!$G2, "")</f>
        <v/>
      </c>
      <c r="AF2" s="2" t="str">
        <f>IF(Source!$C2&gt;=COLUMNS($A2:AF2), Source!$G2, "")</f>
        <v/>
      </c>
      <c r="AG2" s="2" t="str">
        <f>IF(Source!$C2&gt;=COLUMNS($A2:AG2), Source!$G2, "")</f>
        <v/>
      </c>
      <c r="AH2" s="2" t="str">
        <f>IF(Source!$C2&gt;=COLUMNS($A2:AH2), Source!$G2, "")</f>
        <v/>
      </c>
      <c r="AI2" s="2" t="str">
        <f>IF(Source!$C2&gt;=COLUMNS($A2:AI2), Source!$G2, "")</f>
        <v/>
      </c>
      <c r="AJ2" s="2" t="str">
        <f>IF(Source!$C2&gt;=COLUMNS($A2:AJ2), Source!$G2, "")</f>
        <v/>
      </c>
      <c r="AK2" s="2" t="str">
        <f>IF(Source!$C2&gt;=COLUMNS($A2:AK2), Source!$G2, "")</f>
        <v/>
      </c>
      <c r="AL2" s="2" t="str">
        <f>IF(Source!$C2&gt;=COLUMNS($A2:AL2), Source!$G2, "")</f>
        <v/>
      </c>
      <c r="AM2" s="2" t="str">
        <f>IF(Source!$C2&gt;=COLUMNS($A2:AM2), Source!$G2, "")</f>
        <v/>
      </c>
      <c r="AN2" s="2" t="str">
        <f>IF(Source!$C2&gt;=COLUMNS($A2:AN2), Source!$G2, "")</f>
        <v/>
      </c>
      <c r="AO2" s="2" t="str">
        <f>IF(Source!$C2&gt;=COLUMNS($A2:AO2), Source!$G2, "")</f>
        <v/>
      </c>
      <c r="AP2" s="2" t="str">
        <f>IF(Source!$C2&gt;=COLUMNS($A2:AP2), Source!$G2, "")</f>
        <v/>
      </c>
      <c r="AQ2" s="2" t="str">
        <f>IF(Source!$C2&gt;=COLUMNS($A2:AQ2), Source!$G2, "")</f>
        <v/>
      </c>
      <c r="AR2" s="2" t="str">
        <f>IF(Source!$C2&gt;=COLUMNS($A2:AR2), Source!$G2, "")</f>
        <v/>
      </c>
    </row>
    <row r="3">
      <c r="A3" s="2">
        <f>IF(Source!$C3&gt;=COLUMNS($A3:A3), Source!$G3, "")</f>
        <v>4</v>
      </c>
      <c r="B3" s="2">
        <f>IF(Source!$C3&gt;=COLUMNS($A3:B3), Source!$G3, "")</f>
        <v>4</v>
      </c>
      <c r="C3" s="2">
        <f>IF(Source!$C3&gt;=COLUMNS($A3:C3), Source!$G3, "")</f>
        <v>4</v>
      </c>
      <c r="D3" s="2">
        <f>IF(Source!$C3&gt;=COLUMNS($A3:D3), Source!$G3, "")</f>
        <v>4</v>
      </c>
      <c r="E3" s="2">
        <f>IF(Source!$C3&gt;=COLUMNS($A3:E3), Source!$G3, "")</f>
        <v>4</v>
      </c>
      <c r="F3" s="2" t="str">
        <f>IF(Source!$C3&gt;=COLUMNS($A3:F3), Source!$G3, "")</f>
        <v/>
      </c>
      <c r="G3" s="2" t="str">
        <f>IF(Source!$C3&gt;=COLUMNS($A3:G3), Source!$G3, "")</f>
        <v/>
      </c>
      <c r="H3" s="2" t="str">
        <f>IF(Source!$C3&gt;=COLUMNS($A3:H3), Source!$G3, "")</f>
        <v/>
      </c>
      <c r="I3" s="2" t="str">
        <f>IF(Source!$C3&gt;=COLUMNS($A3:I3), Source!$G3, "")</f>
        <v/>
      </c>
      <c r="J3" s="2" t="str">
        <f>IF(Source!$C3&gt;=COLUMNS($A3:J3), Source!$G3, "")</f>
        <v/>
      </c>
      <c r="K3" s="2" t="str">
        <f>IF(Source!$C3&gt;=COLUMNS($A3:K3), Source!$G3, "")</f>
        <v/>
      </c>
      <c r="L3" s="2" t="str">
        <f>IF(Source!$C3&gt;=COLUMNS($A3:L3), Source!$G3, "")</f>
        <v/>
      </c>
      <c r="M3" s="2" t="str">
        <f>IF(Source!$C3&gt;=COLUMNS($A3:M3), Source!$G3, "")</f>
        <v/>
      </c>
      <c r="N3" s="2" t="str">
        <f>IF(Source!$C3&gt;=COLUMNS($A3:N3), Source!$G3, "")</f>
        <v/>
      </c>
      <c r="O3" s="2" t="str">
        <f>IF(Source!$C3&gt;=COLUMNS($A3:O3), Source!$G3, "")</f>
        <v/>
      </c>
      <c r="P3" s="2" t="str">
        <f>IF(Source!$C3&gt;=COLUMNS($A3:P3), Source!$G3, "")</f>
        <v/>
      </c>
      <c r="Q3" s="2" t="str">
        <f>IF(Source!$C3&gt;=COLUMNS($A3:Q3), Source!$G3, "")</f>
        <v/>
      </c>
      <c r="R3" s="2" t="str">
        <f>IF(Source!$C3&gt;=COLUMNS($A3:R3), Source!$G3, "")</f>
        <v/>
      </c>
      <c r="S3" s="2" t="str">
        <f>IF(Source!$C3&gt;=COLUMNS($A3:S3), Source!$G3, "")</f>
        <v/>
      </c>
      <c r="T3" s="2" t="str">
        <f>IF(Source!$C3&gt;=COLUMNS($A3:T3), Source!$G3, "")</f>
        <v/>
      </c>
      <c r="U3" s="2" t="str">
        <f>IF(Source!$C3&gt;=COLUMNS($A3:U3), Source!$G3, "")</f>
        <v/>
      </c>
      <c r="V3" s="2" t="str">
        <f>IF(Source!$C3&gt;=COLUMNS($A3:V3), Source!$G3, "")</f>
        <v/>
      </c>
      <c r="W3" s="2" t="str">
        <f>IF(Source!$C3&gt;=COLUMNS($A3:W3), Source!$G3, "")</f>
        <v/>
      </c>
      <c r="X3" s="2" t="str">
        <f>IF(Source!$C3&gt;=COLUMNS($A3:X3), Source!$G3, "")</f>
        <v/>
      </c>
      <c r="Y3" s="2" t="str">
        <f>IF(Source!$C3&gt;=COLUMNS($A3:Y3), Source!$G3, "")</f>
        <v/>
      </c>
      <c r="Z3" s="2" t="str">
        <f>IF(Source!$C3&gt;=COLUMNS($A3:Z3), Source!$G3, "")</f>
        <v/>
      </c>
      <c r="AA3" s="2" t="str">
        <f>IF(Source!$C3&gt;=COLUMNS($A3:AA3), Source!$G3, "")</f>
        <v/>
      </c>
      <c r="AB3" s="2" t="str">
        <f>IF(Source!$C3&gt;=COLUMNS($A3:AB3), Source!$G3, "")</f>
        <v/>
      </c>
      <c r="AC3" s="2" t="str">
        <f>IF(Source!$C3&gt;=COLUMNS($A3:AC3), Source!$G3, "")</f>
        <v/>
      </c>
      <c r="AD3" s="2" t="str">
        <f>IF(Source!$C3&gt;=COLUMNS($A3:AD3), Source!$G3, "")</f>
        <v/>
      </c>
      <c r="AE3" s="2" t="str">
        <f>IF(Source!$C3&gt;=COLUMNS($A3:AE3), Source!$G3, "")</f>
        <v/>
      </c>
      <c r="AF3" s="2" t="str">
        <f>IF(Source!$C3&gt;=COLUMNS($A3:AF3), Source!$G3, "")</f>
        <v/>
      </c>
      <c r="AG3" s="2" t="str">
        <f>IF(Source!$C3&gt;=COLUMNS($A3:AG3), Source!$G3, "")</f>
        <v/>
      </c>
      <c r="AH3" s="2" t="str">
        <f>IF(Source!$C3&gt;=COLUMNS($A3:AH3), Source!$G3, "")</f>
        <v/>
      </c>
      <c r="AI3" s="2" t="str">
        <f>IF(Source!$C3&gt;=COLUMNS($A3:AI3), Source!$G3, "")</f>
        <v/>
      </c>
      <c r="AJ3" s="2" t="str">
        <f>IF(Source!$C3&gt;=COLUMNS($A3:AJ3), Source!$G3, "")</f>
        <v/>
      </c>
      <c r="AK3" s="2" t="str">
        <f>IF(Source!$C3&gt;=COLUMNS($A3:AK3), Source!$G3, "")</f>
        <v/>
      </c>
      <c r="AL3" s="2" t="str">
        <f>IF(Source!$C3&gt;=COLUMNS($A3:AL3), Source!$G3, "")</f>
        <v/>
      </c>
      <c r="AM3" s="2" t="str">
        <f>IF(Source!$C3&gt;=COLUMNS($A3:AM3), Source!$G3, "")</f>
        <v/>
      </c>
      <c r="AN3" s="2" t="str">
        <f>IF(Source!$C3&gt;=COLUMNS($A3:AN3), Source!$G3, "")</f>
        <v/>
      </c>
      <c r="AO3" s="2" t="str">
        <f>IF(Source!$C3&gt;=COLUMNS($A3:AO3), Source!$G3, "")</f>
        <v/>
      </c>
      <c r="AP3" s="2" t="str">
        <f>IF(Source!$C3&gt;=COLUMNS($A3:AP3), Source!$G3, "")</f>
        <v/>
      </c>
      <c r="AQ3" s="2" t="str">
        <f>IF(Source!$C3&gt;=COLUMNS($A3:AQ3), Source!$G3, "")</f>
        <v/>
      </c>
      <c r="AR3" s="2" t="str">
        <f>IF(Source!$C3&gt;=COLUMNS($A3:AR3), Source!$G3, "")</f>
        <v/>
      </c>
    </row>
    <row r="4">
      <c r="A4" s="2">
        <f>IF(Source!$C4&gt;=COLUMNS($A4:A4), Source!$G4, "")</f>
        <v>3</v>
      </c>
      <c r="B4" s="2">
        <f>IF(Source!$C4&gt;=COLUMNS($A4:B4), Source!$G4, "")</f>
        <v>3</v>
      </c>
      <c r="C4" s="2">
        <f>IF(Source!$C4&gt;=COLUMNS($A4:C4), Source!$G4, "")</f>
        <v>3</v>
      </c>
      <c r="D4" s="2">
        <f>IF(Source!$C4&gt;=COLUMNS($A4:D4), Source!$G4, "")</f>
        <v>3</v>
      </c>
      <c r="E4" s="2">
        <f>IF(Source!$C4&gt;=COLUMNS($A4:E4), Source!$G4, "")</f>
        <v>3</v>
      </c>
      <c r="F4" s="2">
        <f>IF(Source!$C4&gt;=COLUMNS($A4:F4), Source!$G4, "")</f>
        <v>3</v>
      </c>
      <c r="G4" s="2" t="str">
        <f>IF(Source!$C4&gt;=COLUMNS($A4:G4), Source!$G4, "")</f>
        <v/>
      </c>
      <c r="H4" s="2" t="str">
        <f>IF(Source!$C4&gt;=COLUMNS($A4:H4), Source!$G4, "")</f>
        <v/>
      </c>
      <c r="I4" s="2" t="str">
        <f>IF(Source!$C4&gt;=COLUMNS($A4:I4), Source!$G4, "")</f>
        <v/>
      </c>
      <c r="J4" s="2" t="str">
        <f>IF(Source!$C4&gt;=COLUMNS($A4:J4), Source!$G4, "")</f>
        <v/>
      </c>
      <c r="K4" s="2" t="str">
        <f>IF(Source!$C4&gt;=COLUMNS($A4:K4), Source!$G4, "")</f>
        <v/>
      </c>
      <c r="L4" s="2" t="str">
        <f>IF(Source!$C4&gt;=COLUMNS($A4:L4), Source!$G4, "")</f>
        <v/>
      </c>
      <c r="M4" s="2" t="str">
        <f>IF(Source!$C4&gt;=COLUMNS($A4:M4), Source!$G4, "")</f>
        <v/>
      </c>
      <c r="N4" s="2" t="str">
        <f>IF(Source!$C4&gt;=COLUMNS($A4:N4), Source!$G4, "")</f>
        <v/>
      </c>
      <c r="O4" s="2" t="str">
        <f>IF(Source!$C4&gt;=COLUMNS($A4:O4), Source!$G4, "")</f>
        <v/>
      </c>
      <c r="P4" s="2" t="str">
        <f>IF(Source!$C4&gt;=COLUMNS($A4:P4), Source!$G4, "")</f>
        <v/>
      </c>
      <c r="Q4" s="2" t="str">
        <f>IF(Source!$C4&gt;=COLUMNS($A4:Q4), Source!$G4, "")</f>
        <v/>
      </c>
      <c r="R4" s="2" t="str">
        <f>IF(Source!$C4&gt;=COLUMNS($A4:R4), Source!$G4, "")</f>
        <v/>
      </c>
      <c r="S4" s="2" t="str">
        <f>IF(Source!$C4&gt;=COLUMNS($A4:S4), Source!$G4, "")</f>
        <v/>
      </c>
      <c r="T4" s="2" t="str">
        <f>IF(Source!$C4&gt;=COLUMNS($A4:T4), Source!$G4, "")</f>
        <v/>
      </c>
      <c r="U4" s="2" t="str">
        <f>IF(Source!$C4&gt;=COLUMNS($A4:U4), Source!$G4, "")</f>
        <v/>
      </c>
      <c r="V4" s="2" t="str">
        <f>IF(Source!$C4&gt;=COLUMNS($A4:V4), Source!$G4, "")</f>
        <v/>
      </c>
      <c r="W4" s="2" t="str">
        <f>IF(Source!$C4&gt;=COLUMNS($A4:W4), Source!$G4, "")</f>
        <v/>
      </c>
      <c r="X4" s="2" t="str">
        <f>IF(Source!$C4&gt;=COLUMNS($A4:X4), Source!$G4, "")</f>
        <v/>
      </c>
      <c r="Y4" s="2" t="str">
        <f>IF(Source!$C4&gt;=COLUMNS($A4:Y4), Source!$G4, "")</f>
        <v/>
      </c>
      <c r="Z4" s="2" t="str">
        <f>IF(Source!$C4&gt;=COLUMNS($A4:Z4), Source!$G4, "")</f>
        <v/>
      </c>
      <c r="AA4" s="2" t="str">
        <f>IF(Source!$C4&gt;=COLUMNS($A4:AA4), Source!$G4, "")</f>
        <v/>
      </c>
      <c r="AB4" s="2" t="str">
        <f>IF(Source!$C4&gt;=COLUMNS($A4:AB4), Source!$G4, "")</f>
        <v/>
      </c>
      <c r="AC4" s="2" t="str">
        <f>IF(Source!$C4&gt;=COLUMNS($A4:AC4), Source!$G4, "")</f>
        <v/>
      </c>
      <c r="AD4" s="2" t="str">
        <f>IF(Source!$C4&gt;=COLUMNS($A4:AD4), Source!$G4, "")</f>
        <v/>
      </c>
      <c r="AE4" s="2" t="str">
        <f>IF(Source!$C4&gt;=COLUMNS($A4:AE4), Source!$G4, "")</f>
        <v/>
      </c>
      <c r="AF4" s="2" t="str">
        <f>IF(Source!$C4&gt;=COLUMNS($A4:AF4), Source!$G4, "")</f>
        <v/>
      </c>
      <c r="AG4" s="2" t="str">
        <f>IF(Source!$C4&gt;=COLUMNS($A4:AG4), Source!$G4, "")</f>
        <v/>
      </c>
      <c r="AH4" s="2" t="str">
        <f>IF(Source!$C4&gt;=COLUMNS($A4:AH4), Source!$G4, "")</f>
        <v/>
      </c>
      <c r="AI4" s="2" t="str">
        <f>IF(Source!$C4&gt;=COLUMNS($A4:AI4), Source!$G4, "")</f>
        <v/>
      </c>
      <c r="AJ4" s="2" t="str">
        <f>IF(Source!$C4&gt;=COLUMNS($A4:AJ4), Source!$G4, "")</f>
        <v/>
      </c>
      <c r="AK4" s="2" t="str">
        <f>IF(Source!$C4&gt;=COLUMNS($A4:AK4), Source!$G4, "")</f>
        <v/>
      </c>
      <c r="AL4" s="2" t="str">
        <f>IF(Source!$C4&gt;=COLUMNS($A4:AL4), Source!$G4, "")</f>
        <v/>
      </c>
      <c r="AM4" s="2" t="str">
        <f>IF(Source!$C4&gt;=COLUMNS($A4:AM4), Source!$G4, "")</f>
        <v/>
      </c>
      <c r="AN4" s="2" t="str">
        <f>IF(Source!$C4&gt;=COLUMNS($A4:AN4), Source!$G4, "")</f>
        <v/>
      </c>
      <c r="AO4" s="2" t="str">
        <f>IF(Source!$C4&gt;=COLUMNS($A4:AO4), Source!$G4, "")</f>
        <v/>
      </c>
      <c r="AP4" s="2" t="str">
        <f>IF(Source!$C4&gt;=COLUMNS($A4:AP4), Source!$G4, "")</f>
        <v/>
      </c>
      <c r="AQ4" s="2" t="str">
        <f>IF(Source!$C4&gt;=COLUMNS($A4:AQ4), Source!$G4, "")</f>
        <v/>
      </c>
      <c r="AR4" s="2" t="str">
        <f>IF(Source!$C4&gt;=COLUMNS($A4:AR4), Source!$G4, "")</f>
        <v/>
      </c>
    </row>
    <row r="5">
      <c r="A5" s="2">
        <f>IF(Source!$C5&gt;=COLUMNS($A5:A5), Source!$G5, "")</f>
        <v>3</v>
      </c>
      <c r="B5" s="2">
        <f>IF(Source!$C5&gt;=COLUMNS($A5:B5), Source!$G5, "")</f>
        <v>3</v>
      </c>
      <c r="C5" s="2">
        <f>IF(Source!$C5&gt;=COLUMNS($A5:C5), Source!$G5, "")</f>
        <v>3</v>
      </c>
      <c r="D5" s="2">
        <f>IF(Source!$C5&gt;=COLUMNS($A5:D5), Source!$G5, "")</f>
        <v>3</v>
      </c>
      <c r="E5" s="2">
        <f>IF(Source!$C5&gt;=COLUMNS($A5:E5), Source!$G5, "")</f>
        <v>3</v>
      </c>
      <c r="F5" s="2">
        <f>IF(Source!$C5&gt;=COLUMNS($A5:F5), Source!$G5, "")</f>
        <v>3</v>
      </c>
      <c r="G5" s="2" t="str">
        <f>IF(Source!$C5&gt;=COLUMNS($A5:G5), Source!$G5, "")</f>
        <v/>
      </c>
      <c r="H5" s="2" t="str">
        <f>IF(Source!$C5&gt;=COLUMNS($A5:H5), Source!$G5, "")</f>
        <v/>
      </c>
      <c r="I5" s="2" t="str">
        <f>IF(Source!$C5&gt;=COLUMNS($A5:I5), Source!$G5, "")</f>
        <v/>
      </c>
      <c r="J5" s="2" t="str">
        <f>IF(Source!$C5&gt;=COLUMNS($A5:J5), Source!$G5, "")</f>
        <v/>
      </c>
      <c r="K5" s="2" t="str">
        <f>IF(Source!$C5&gt;=COLUMNS($A5:K5), Source!$G5, "")</f>
        <v/>
      </c>
      <c r="L5" s="2" t="str">
        <f>IF(Source!$C5&gt;=COLUMNS($A5:L5), Source!$G5, "")</f>
        <v/>
      </c>
      <c r="M5" s="2" t="str">
        <f>IF(Source!$C5&gt;=COLUMNS($A5:M5), Source!$G5, "")</f>
        <v/>
      </c>
      <c r="N5" s="2" t="str">
        <f>IF(Source!$C5&gt;=COLUMNS($A5:N5), Source!$G5, "")</f>
        <v/>
      </c>
      <c r="O5" s="2" t="str">
        <f>IF(Source!$C5&gt;=COLUMNS($A5:O5), Source!$G5, "")</f>
        <v/>
      </c>
      <c r="P5" s="2" t="str">
        <f>IF(Source!$C5&gt;=COLUMNS($A5:P5), Source!$G5, "")</f>
        <v/>
      </c>
      <c r="Q5" s="2" t="str">
        <f>IF(Source!$C5&gt;=COLUMNS($A5:Q5), Source!$G5, "")</f>
        <v/>
      </c>
      <c r="R5" s="2" t="str">
        <f>IF(Source!$C5&gt;=COLUMNS($A5:R5), Source!$G5, "")</f>
        <v/>
      </c>
      <c r="S5" s="2" t="str">
        <f>IF(Source!$C5&gt;=COLUMNS($A5:S5), Source!$G5, "")</f>
        <v/>
      </c>
      <c r="T5" s="2" t="str">
        <f>IF(Source!$C5&gt;=COLUMNS($A5:T5), Source!$G5, "")</f>
        <v/>
      </c>
      <c r="U5" s="2" t="str">
        <f>IF(Source!$C5&gt;=COLUMNS($A5:U5), Source!$G5, "")</f>
        <v/>
      </c>
      <c r="V5" s="2" t="str">
        <f>IF(Source!$C5&gt;=COLUMNS($A5:V5), Source!$G5, "")</f>
        <v/>
      </c>
      <c r="W5" s="2" t="str">
        <f>IF(Source!$C5&gt;=COLUMNS($A5:W5), Source!$G5, "")</f>
        <v/>
      </c>
      <c r="X5" s="2" t="str">
        <f>IF(Source!$C5&gt;=COLUMNS($A5:X5), Source!$G5, "")</f>
        <v/>
      </c>
      <c r="Y5" s="2" t="str">
        <f>IF(Source!$C5&gt;=COLUMNS($A5:Y5), Source!$G5, "")</f>
        <v/>
      </c>
      <c r="Z5" s="2" t="str">
        <f>IF(Source!$C5&gt;=COLUMNS($A5:Z5), Source!$G5, "")</f>
        <v/>
      </c>
      <c r="AA5" s="2" t="str">
        <f>IF(Source!$C5&gt;=COLUMNS($A5:AA5), Source!$G5, "")</f>
        <v/>
      </c>
      <c r="AB5" s="2" t="str">
        <f>IF(Source!$C5&gt;=COLUMNS($A5:AB5), Source!$G5, "")</f>
        <v/>
      </c>
      <c r="AC5" s="2" t="str">
        <f>IF(Source!$C5&gt;=COLUMNS($A5:AC5), Source!$G5, "")</f>
        <v/>
      </c>
      <c r="AD5" s="2" t="str">
        <f>IF(Source!$C5&gt;=COLUMNS($A5:AD5), Source!$G5, "")</f>
        <v/>
      </c>
      <c r="AE5" s="2" t="str">
        <f>IF(Source!$C5&gt;=COLUMNS($A5:AE5), Source!$G5, "")</f>
        <v/>
      </c>
      <c r="AF5" s="2" t="str">
        <f>IF(Source!$C5&gt;=COLUMNS($A5:AF5), Source!$G5, "")</f>
        <v/>
      </c>
      <c r="AG5" s="2" t="str">
        <f>IF(Source!$C5&gt;=COLUMNS($A5:AG5), Source!$G5, "")</f>
        <v/>
      </c>
      <c r="AH5" s="2" t="str">
        <f>IF(Source!$C5&gt;=COLUMNS($A5:AH5), Source!$G5, "")</f>
        <v/>
      </c>
      <c r="AI5" s="2" t="str">
        <f>IF(Source!$C5&gt;=COLUMNS($A5:AI5), Source!$G5, "")</f>
        <v/>
      </c>
      <c r="AJ5" s="2" t="str">
        <f>IF(Source!$C5&gt;=COLUMNS($A5:AJ5), Source!$G5, "")</f>
        <v/>
      </c>
      <c r="AK5" s="2" t="str">
        <f>IF(Source!$C5&gt;=COLUMNS($A5:AK5), Source!$G5, "")</f>
        <v/>
      </c>
      <c r="AL5" s="2" t="str">
        <f>IF(Source!$C5&gt;=COLUMNS($A5:AL5), Source!$G5, "")</f>
        <v/>
      </c>
      <c r="AM5" s="2" t="str">
        <f>IF(Source!$C5&gt;=COLUMNS($A5:AM5), Source!$G5, "")</f>
        <v/>
      </c>
      <c r="AN5" s="2" t="str">
        <f>IF(Source!$C5&gt;=COLUMNS($A5:AN5), Source!$G5, "")</f>
        <v/>
      </c>
      <c r="AO5" s="2" t="str">
        <f>IF(Source!$C5&gt;=COLUMNS($A5:AO5), Source!$G5, "")</f>
        <v/>
      </c>
      <c r="AP5" s="2" t="str">
        <f>IF(Source!$C5&gt;=COLUMNS($A5:AP5), Source!$G5, "")</f>
        <v/>
      </c>
      <c r="AQ5" s="2" t="str">
        <f>IF(Source!$C5&gt;=COLUMNS($A5:AQ5), Source!$G5, "")</f>
        <v/>
      </c>
      <c r="AR5" s="2" t="str">
        <f>IF(Source!$C5&gt;=COLUMNS($A5:AR5), Source!$G5, "")</f>
        <v/>
      </c>
    </row>
    <row r="6">
      <c r="A6" s="2">
        <f>IF(Source!$C6&gt;=COLUMNS($A6:A6), Source!$G6, "")</f>
        <v>9</v>
      </c>
      <c r="B6" s="2" t="str">
        <f>IF(Source!$C6&gt;=COLUMNS($A6:B6), Source!$G6, "")</f>
        <v/>
      </c>
      <c r="C6" s="2" t="str">
        <f>IF(Source!$C6&gt;=COLUMNS($A6:C6), Source!$G6, "")</f>
        <v/>
      </c>
      <c r="D6" s="2" t="str">
        <f>IF(Source!$C6&gt;=COLUMNS($A6:D6), Source!$G6, "")</f>
        <v/>
      </c>
      <c r="E6" s="2" t="str">
        <f>IF(Source!$C6&gt;=COLUMNS($A6:E6), Source!$G6, "")</f>
        <v/>
      </c>
      <c r="F6" s="2" t="str">
        <f>IF(Source!$C6&gt;=COLUMNS($A6:F6), Source!$G6, "")</f>
        <v/>
      </c>
      <c r="G6" s="2" t="str">
        <f>IF(Source!$C6&gt;=COLUMNS($A6:G6), Source!$G6, "")</f>
        <v/>
      </c>
      <c r="H6" s="2" t="str">
        <f>IF(Source!$C6&gt;=COLUMNS($A6:H6), Source!$G6, "")</f>
        <v/>
      </c>
      <c r="I6" s="2" t="str">
        <f>IF(Source!$C6&gt;=COLUMNS($A6:I6), Source!$G6, "")</f>
        <v/>
      </c>
      <c r="J6" s="2" t="str">
        <f>IF(Source!$C6&gt;=COLUMNS($A6:J6), Source!$G6, "")</f>
        <v/>
      </c>
      <c r="K6" s="2" t="str">
        <f>IF(Source!$C6&gt;=COLUMNS($A6:K6), Source!$G6, "")</f>
        <v/>
      </c>
      <c r="L6" s="2" t="str">
        <f>IF(Source!$C6&gt;=COLUMNS($A6:L6), Source!$G6, "")</f>
        <v/>
      </c>
      <c r="M6" s="2" t="str">
        <f>IF(Source!$C6&gt;=COLUMNS($A6:M6), Source!$G6, "")</f>
        <v/>
      </c>
      <c r="N6" s="2" t="str">
        <f>IF(Source!$C6&gt;=COLUMNS($A6:N6), Source!$G6, "")</f>
        <v/>
      </c>
      <c r="O6" s="2" t="str">
        <f>IF(Source!$C6&gt;=COLUMNS($A6:O6), Source!$G6, "")</f>
        <v/>
      </c>
      <c r="P6" s="2" t="str">
        <f>IF(Source!$C6&gt;=COLUMNS($A6:P6), Source!$G6, "")</f>
        <v/>
      </c>
      <c r="Q6" s="2" t="str">
        <f>IF(Source!$C6&gt;=COLUMNS($A6:Q6), Source!$G6, "")</f>
        <v/>
      </c>
      <c r="R6" s="2" t="str">
        <f>IF(Source!$C6&gt;=COLUMNS($A6:R6), Source!$G6, "")</f>
        <v/>
      </c>
      <c r="S6" s="2" t="str">
        <f>IF(Source!$C6&gt;=COLUMNS($A6:S6), Source!$G6, "")</f>
        <v/>
      </c>
      <c r="T6" s="2" t="str">
        <f>IF(Source!$C6&gt;=COLUMNS($A6:T6), Source!$G6, "")</f>
        <v/>
      </c>
      <c r="U6" s="2" t="str">
        <f>IF(Source!$C6&gt;=COLUMNS($A6:U6), Source!$G6, "")</f>
        <v/>
      </c>
      <c r="V6" s="2" t="str">
        <f>IF(Source!$C6&gt;=COLUMNS($A6:V6), Source!$G6, "")</f>
        <v/>
      </c>
      <c r="W6" s="2" t="str">
        <f>IF(Source!$C6&gt;=COLUMNS($A6:W6), Source!$G6, "")</f>
        <v/>
      </c>
      <c r="X6" s="2" t="str">
        <f>IF(Source!$C6&gt;=COLUMNS($A6:X6), Source!$G6, "")</f>
        <v/>
      </c>
      <c r="Y6" s="2" t="str">
        <f>IF(Source!$C6&gt;=COLUMNS($A6:Y6), Source!$G6, "")</f>
        <v/>
      </c>
      <c r="Z6" s="2" t="str">
        <f>IF(Source!$C6&gt;=COLUMNS($A6:Z6), Source!$G6, "")</f>
        <v/>
      </c>
      <c r="AA6" s="2" t="str">
        <f>IF(Source!$C6&gt;=COLUMNS($A6:AA6), Source!$G6, "")</f>
        <v/>
      </c>
      <c r="AB6" s="2" t="str">
        <f>IF(Source!$C6&gt;=COLUMNS($A6:AB6), Source!$G6, "")</f>
        <v/>
      </c>
      <c r="AC6" s="2" t="str">
        <f>IF(Source!$C6&gt;=COLUMNS($A6:AC6), Source!$G6, "")</f>
        <v/>
      </c>
      <c r="AD6" s="2" t="str">
        <f>IF(Source!$C6&gt;=COLUMNS($A6:AD6), Source!$G6, "")</f>
        <v/>
      </c>
      <c r="AE6" s="2" t="str">
        <f>IF(Source!$C6&gt;=COLUMNS($A6:AE6), Source!$G6, "")</f>
        <v/>
      </c>
      <c r="AF6" s="2" t="str">
        <f>IF(Source!$C6&gt;=COLUMNS($A6:AF6), Source!$G6, "")</f>
        <v/>
      </c>
      <c r="AG6" s="2" t="str">
        <f>IF(Source!$C6&gt;=COLUMNS($A6:AG6), Source!$G6, "")</f>
        <v/>
      </c>
      <c r="AH6" s="2" t="str">
        <f>IF(Source!$C6&gt;=COLUMNS($A6:AH6), Source!$G6, "")</f>
        <v/>
      </c>
      <c r="AI6" s="2" t="str">
        <f>IF(Source!$C6&gt;=COLUMNS($A6:AI6), Source!$G6, "")</f>
        <v/>
      </c>
      <c r="AJ6" s="2" t="str">
        <f>IF(Source!$C6&gt;=COLUMNS($A6:AJ6), Source!$G6, "")</f>
        <v/>
      </c>
      <c r="AK6" s="2" t="str">
        <f>IF(Source!$C6&gt;=COLUMNS($A6:AK6), Source!$G6, "")</f>
        <v/>
      </c>
      <c r="AL6" s="2" t="str">
        <f>IF(Source!$C6&gt;=COLUMNS($A6:AL6), Source!$G6, "")</f>
        <v/>
      </c>
      <c r="AM6" s="2" t="str">
        <f>IF(Source!$C6&gt;=COLUMNS($A6:AM6), Source!$G6, "")</f>
        <v/>
      </c>
      <c r="AN6" s="2" t="str">
        <f>IF(Source!$C6&gt;=COLUMNS($A6:AN6), Source!$G6, "")</f>
        <v/>
      </c>
      <c r="AO6" s="2" t="str">
        <f>IF(Source!$C6&gt;=COLUMNS($A6:AO6), Source!$G6, "")</f>
        <v/>
      </c>
      <c r="AP6" s="2" t="str">
        <f>IF(Source!$C6&gt;=COLUMNS($A6:AP6), Source!$G6, "")</f>
        <v/>
      </c>
      <c r="AQ6" s="2" t="str">
        <f>IF(Source!$C6&gt;=COLUMNS($A6:AQ6), Source!$G6, "")</f>
        <v/>
      </c>
      <c r="AR6" s="2" t="str">
        <f>IF(Source!$C6&gt;=COLUMNS($A6:AR6), Source!$G6, "")</f>
        <v/>
      </c>
    </row>
    <row r="7">
      <c r="A7" s="2">
        <f>IF(Source!$C7&gt;=COLUMNS($A7:A7), Source!$G7, "")</f>
        <v>4</v>
      </c>
      <c r="B7" s="2" t="str">
        <f>IF(Source!$C7&gt;=COLUMNS($A7:B7), Source!$G7, "")</f>
        <v/>
      </c>
      <c r="C7" s="2" t="str">
        <f>IF(Source!$C7&gt;=COLUMNS($A7:C7), Source!$G7, "")</f>
        <v/>
      </c>
      <c r="D7" s="2" t="str">
        <f>IF(Source!$C7&gt;=COLUMNS($A7:D7), Source!$G7, "")</f>
        <v/>
      </c>
      <c r="E7" s="2" t="str">
        <f>IF(Source!$C7&gt;=COLUMNS($A7:E7), Source!$G7, "")</f>
        <v/>
      </c>
      <c r="F7" s="2" t="str">
        <f>IF(Source!$C7&gt;=COLUMNS($A7:F7), Source!$G7, "")</f>
        <v/>
      </c>
      <c r="G7" s="2" t="str">
        <f>IF(Source!$C7&gt;=COLUMNS($A7:G7), Source!$G7, "")</f>
        <v/>
      </c>
      <c r="H7" s="2" t="str">
        <f>IF(Source!$C7&gt;=COLUMNS($A7:H7), Source!$G7, "")</f>
        <v/>
      </c>
      <c r="I7" s="2" t="str">
        <f>IF(Source!$C7&gt;=COLUMNS($A7:I7), Source!$G7, "")</f>
        <v/>
      </c>
      <c r="J7" s="2" t="str">
        <f>IF(Source!$C7&gt;=COLUMNS($A7:J7), Source!$G7, "")</f>
        <v/>
      </c>
      <c r="K7" s="2" t="str">
        <f>IF(Source!$C7&gt;=COLUMNS($A7:K7), Source!$G7, "")</f>
        <v/>
      </c>
      <c r="L7" s="2" t="str">
        <f>IF(Source!$C7&gt;=COLUMNS($A7:L7), Source!$G7, "")</f>
        <v/>
      </c>
      <c r="M7" s="2" t="str">
        <f>IF(Source!$C7&gt;=COLUMNS($A7:M7), Source!$G7, "")</f>
        <v/>
      </c>
      <c r="N7" s="2" t="str">
        <f>IF(Source!$C7&gt;=COLUMNS($A7:N7), Source!$G7, "")</f>
        <v/>
      </c>
      <c r="O7" s="2" t="str">
        <f>IF(Source!$C7&gt;=COLUMNS($A7:O7), Source!$G7, "")</f>
        <v/>
      </c>
      <c r="P7" s="2" t="str">
        <f>IF(Source!$C7&gt;=COLUMNS($A7:P7), Source!$G7, "")</f>
        <v/>
      </c>
      <c r="Q7" s="2" t="str">
        <f>IF(Source!$C7&gt;=COLUMNS($A7:Q7), Source!$G7, "")</f>
        <v/>
      </c>
      <c r="R7" s="2" t="str">
        <f>IF(Source!$C7&gt;=COLUMNS($A7:R7), Source!$G7, "")</f>
        <v/>
      </c>
      <c r="S7" s="2" t="str">
        <f>IF(Source!$C7&gt;=COLUMNS($A7:S7), Source!$G7, "")</f>
        <v/>
      </c>
      <c r="T7" s="2" t="str">
        <f>IF(Source!$C7&gt;=COLUMNS($A7:T7), Source!$G7, "")</f>
        <v/>
      </c>
      <c r="U7" s="2" t="str">
        <f>IF(Source!$C7&gt;=COLUMNS($A7:U7), Source!$G7, "")</f>
        <v/>
      </c>
      <c r="V7" s="2" t="str">
        <f>IF(Source!$C7&gt;=COLUMNS($A7:V7), Source!$G7, "")</f>
        <v/>
      </c>
      <c r="W7" s="2" t="str">
        <f>IF(Source!$C7&gt;=COLUMNS($A7:W7), Source!$G7, "")</f>
        <v/>
      </c>
      <c r="X7" s="2" t="str">
        <f>IF(Source!$C7&gt;=COLUMNS($A7:X7), Source!$G7, "")</f>
        <v/>
      </c>
      <c r="Y7" s="2" t="str">
        <f>IF(Source!$C7&gt;=COLUMNS($A7:Y7), Source!$G7, "")</f>
        <v/>
      </c>
      <c r="Z7" s="2" t="str">
        <f>IF(Source!$C7&gt;=COLUMNS($A7:Z7), Source!$G7, "")</f>
        <v/>
      </c>
      <c r="AA7" s="2" t="str">
        <f>IF(Source!$C7&gt;=COLUMNS($A7:AA7), Source!$G7, "")</f>
        <v/>
      </c>
      <c r="AB7" s="2" t="str">
        <f>IF(Source!$C7&gt;=COLUMNS($A7:AB7), Source!$G7, "")</f>
        <v/>
      </c>
      <c r="AC7" s="2" t="str">
        <f>IF(Source!$C7&gt;=COLUMNS($A7:AC7), Source!$G7, "")</f>
        <v/>
      </c>
      <c r="AD7" s="2" t="str">
        <f>IF(Source!$C7&gt;=COLUMNS($A7:AD7), Source!$G7, "")</f>
        <v/>
      </c>
      <c r="AE7" s="2" t="str">
        <f>IF(Source!$C7&gt;=COLUMNS($A7:AE7), Source!$G7, "")</f>
        <v/>
      </c>
      <c r="AF7" s="2" t="str">
        <f>IF(Source!$C7&gt;=COLUMNS($A7:AF7), Source!$G7, "")</f>
        <v/>
      </c>
      <c r="AG7" s="2" t="str">
        <f>IF(Source!$C7&gt;=COLUMNS($A7:AG7), Source!$G7, "")</f>
        <v/>
      </c>
      <c r="AH7" s="2" t="str">
        <f>IF(Source!$C7&gt;=COLUMNS($A7:AH7), Source!$G7, "")</f>
        <v/>
      </c>
      <c r="AI7" s="2" t="str">
        <f>IF(Source!$C7&gt;=COLUMNS($A7:AI7), Source!$G7, "")</f>
        <v/>
      </c>
      <c r="AJ7" s="2" t="str">
        <f>IF(Source!$C7&gt;=COLUMNS($A7:AJ7), Source!$G7, "")</f>
        <v/>
      </c>
      <c r="AK7" s="2" t="str">
        <f>IF(Source!$C7&gt;=COLUMNS($A7:AK7), Source!$G7, "")</f>
        <v/>
      </c>
      <c r="AL7" s="2" t="str">
        <f>IF(Source!$C7&gt;=COLUMNS($A7:AL7), Source!$G7, "")</f>
        <v/>
      </c>
      <c r="AM7" s="2" t="str">
        <f>IF(Source!$C7&gt;=COLUMNS($A7:AM7), Source!$G7, "")</f>
        <v/>
      </c>
      <c r="AN7" s="2" t="str">
        <f>IF(Source!$C7&gt;=COLUMNS($A7:AN7), Source!$G7, "")</f>
        <v/>
      </c>
      <c r="AO7" s="2" t="str">
        <f>IF(Source!$C7&gt;=COLUMNS($A7:AO7), Source!$G7, "")</f>
        <v/>
      </c>
      <c r="AP7" s="2" t="str">
        <f>IF(Source!$C7&gt;=COLUMNS($A7:AP7), Source!$G7, "")</f>
        <v/>
      </c>
      <c r="AQ7" s="2" t="str">
        <f>IF(Source!$C7&gt;=COLUMNS($A7:AQ7), Source!$G7, "")</f>
        <v/>
      </c>
      <c r="AR7" s="2" t="str">
        <f>IF(Source!$C7&gt;=COLUMNS($A7:AR7), Source!$G7, "")</f>
        <v/>
      </c>
    </row>
    <row r="8">
      <c r="A8" s="2">
        <f>IF(Source!$C8&gt;=COLUMNS($A8:A8), Source!$G8, "")</f>
        <v>9</v>
      </c>
      <c r="B8" s="2">
        <f>IF(Source!$C8&gt;=COLUMNS($A8:B8), Source!$G8, "")</f>
        <v>9</v>
      </c>
      <c r="C8" s="2">
        <f>IF(Source!$C8&gt;=COLUMNS($A8:C8), Source!$G8, "")</f>
        <v>9</v>
      </c>
      <c r="D8" s="2" t="str">
        <f>IF(Source!$C8&gt;=COLUMNS($A8:D8), Source!$G8, "")</f>
        <v/>
      </c>
      <c r="E8" s="2" t="str">
        <f>IF(Source!$C8&gt;=COLUMNS($A8:E8), Source!$G8, "")</f>
        <v/>
      </c>
      <c r="F8" s="2" t="str">
        <f>IF(Source!$C8&gt;=COLUMNS($A8:F8), Source!$G8, "")</f>
        <v/>
      </c>
      <c r="G8" s="2" t="str">
        <f>IF(Source!$C8&gt;=COLUMNS($A8:G8), Source!$G8, "")</f>
        <v/>
      </c>
      <c r="H8" s="2" t="str">
        <f>IF(Source!$C8&gt;=COLUMNS($A8:H8), Source!$G8, "")</f>
        <v/>
      </c>
      <c r="I8" s="2" t="str">
        <f>IF(Source!$C8&gt;=COLUMNS($A8:I8), Source!$G8, "")</f>
        <v/>
      </c>
      <c r="J8" s="2" t="str">
        <f>IF(Source!$C8&gt;=COLUMNS($A8:J8), Source!$G8, "")</f>
        <v/>
      </c>
      <c r="K8" s="2" t="str">
        <f>IF(Source!$C8&gt;=COLUMNS($A8:K8), Source!$G8, "")</f>
        <v/>
      </c>
      <c r="L8" s="2" t="str">
        <f>IF(Source!$C8&gt;=COLUMNS($A8:L8), Source!$G8, "")</f>
        <v/>
      </c>
      <c r="M8" s="2" t="str">
        <f>IF(Source!$C8&gt;=COLUMNS($A8:M8), Source!$G8, "")</f>
        <v/>
      </c>
      <c r="N8" s="2" t="str">
        <f>IF(Source!$C8&gt;=COLUMNS($A8:N8), Source!$G8, "")</f>
        <v/>
      </c>
      <c r="O8" s="2" t="str">
        <f>IF(Source!$C8&gt;=COLUMNS($A8:O8), Source!$G8, "")</f>
        <v/>
      </c>
      <c r="P8" s="2" t="str">
        <f>IF(Source!$C8&gt;=COLUMNS($A8:P8), Source!$G8, "")</f>
        <v/>
      </c>
      <c r="Q8" s="2" t="str">
        <f>IF(Source!$C8&gt;=COLUMNS($A8:Q8), Source!$G8, "")</f>
        <v/>
      </c>
      <c r="R8" s="2" t="str">
        <f>IF(Source!$C8&gt;=COLUMNS($A8:R8), Source!$G8, "")</f>
        <v/>
      </c>
      <c r="S8" s="2" t="str">
        <f>IF(Source!$C8&gt;=COLUMNS($A8:S8), Source!$G8, "")</f>
        <v/>
      </c>
      <c r="T8" s="2" t="str">
        <f>IF(Source!$C8&gt;=COLUMNS($A8:T8), Source!$G8, "")</f>
        <v/>
      </c>
      <c r="U8" s="2" t="str">
        <f>IF(Source!$C8&gt;=COLUMNS($A8:U8), Source!$G8, "")</f>
        <v/>
      </c>
      <c r="V8" s="2" t="str">
        <f>IF(Source!$C8&gt;=COLUMNS($A8:V8), Source!$G8, "")</f>
        <v/>
      </c>
      <c r="W8" s="2" t="str">
        <f>IF(Source!$C8&gt;=COLUMNS($A8:W8), Source!$G8, "")</f>
        <v/>
      </c>
      <c r="X8" s="2" t="str">
        <f>IF(Source!$C8&gt;=COLUMNS($A8:X8), Source!$G8, "")</f>
        <v/>
      </c>
      <c r="Y8" s="2" t="str">
        <f>IF(Source!$C8&gt;=COLUMNS($A8:Y8), Source!$G8, "")</f>
        <v/>
      </c>
      <c r="Z8" s="2" t="str">
        <f>IF(Source!$C8&gt;=COLUMNS($A8:Z8), Source!$G8, "")</f>
        <v/>
      </c>
      <c r="AA8" s="2" t="str">
        <f>IF(Source!$C8&gt;=COLUMNS($A8:AA8), Source!$G8, "")</f>
        <v/>
      </c>
      <c r="AB8" s="2" t="str">
        <f>IF(Source!$C8&gt;=COLUMNS($A8:AB8), Source!$G8, "")</f>
        <v/>
      </c>
      <c r="AC8" s="2" t="str">
        <f>IF(Source!$C8&gt;=COLUMNS($A8:AC8), Source!$G8, "")</f>
        <v/>
      </c>
      <c r="AD8" s="2" t="str">
        <f>IF(Source!$C8&gt;=COLUMNS($A8:AD8), Source!$G8, "")</f>
        <v/>
      </c>
      <c r="AE8" s="2" t="str">
        <f>IF(Source!$C8&gt;=COLUMNS($A8:AE8), Source!$G8, "")</f>
        <v/>
      </c>
      <c r="AF8" s="2" t="str">
        <f>IF(Source!$C8&gt;=COLUMNS($A8:AF8), Source!$G8, "")</f>
        <v/>
      </c>
      <c r="AG8" s="2" t="str">
        <f>IF(Source!$C8&gt;=COLUMNS($A8:AG8), Source!$G8, "")</f>
        <v/>
      </c>
      <c r="AH8" s="2" t="str">
        <f>IF(Source!$C8&gt;=COLUMNS($A8:AH8), Source!$G8, "")</f>
        <v/>
      </c>
      <c r="AI8" s="2" t="str">
        <f>IF(Source!$C8&gt;=COLUMNS($A8:AI8), Source!$G8, "")</f>
        <v/>
      </c>
      <c r="AJ8" s="2" t="str">
        <f>IF(Source!$C8&gt;=COLUMNS($A8:AJ8), Source!$G8, "")</f>
        <v/>
      </c>
      <c r="AK8" s="2" t="str">
        <f>IF(Source!$C8&gt;=COLUMNS($A8:AK8), Source!$G8, "")</f>
        <v/>
      </c>
      <c r="AL8" s="2" t="str">
        <f>IF(Source!$C8&gt;=COLUMNS($A8:AL8), Source!$G8, "")</f>
        <v/>
      </c>
      <c r="AM8" s="2" t="str">
        <f>IF(Source!$C8&gt;=COLUMNS($A8:AM8), Source!$G8, "")</f>
        <v/>
      </c>
      <c r="AN8" s="2" t="str">
        <f>IF(Source!$C8&gt;=COLUMNS($A8:AN8), Source!$G8, "")</f>
        <v/>
      </c>
      <c r="AO8" s="2" t="str">
        <f>IF(Source!$C8&gt;=COLUMNS($A8:AO8), Source!$G8, "")</f>
        <v/>
      </c>
      <c r="AP8" s="2" t="str">
        <f>IF(Source!$C8&gt;=COLUMNS($A8:AP8), Source!$G8, "")</f>
        <v/>
      </c>
      <c r="AQ8" s="2" t="str">
        <f>IF(Source!$C8&gt;=COLUMNS($A8:AQ8), Source!$G8, "")</f>
        <v/>
      </c>
      <c r="AR8" s="2" t="str">
        <f>IF(Source!$C8&gt;=COLUMNS($A8:AR8), Source!$G8, "")</f>
        <v/>
      </c>
    </row>
    <row r="9">
      <c r="A9" s="2">
        <f>IF(Source!$C9&gt;=COLUMNS($A9:A9), Source!$G9, "")</f>
        <v>5</v>
      </c>
      <c r="B9" s="2">
        <f>IF(Source!$C9&gt;=COLUMNS($A9:B9), Source!$G9, "")</f>
        <v>5</v>
      </c>
      <c r="C9" s="2" t="str">
        <f>IF(Source!$C9&gt;=COLUMNS($A9:C9), Source!$G9, "")</f>
        <v/>
      </c>
      <c r="D9" s="2" t="str">
        <f>IF(Source!$C9&gt;=COLUMNS($A9:D9), Source!$G9, "")</f>
        <v/>
      </c>
      <c r="E9" s="2" t="str">
        <f>IF(Source!$C9&gt;=COLUMNS($A9:E9), Source!$G9, "")</f>
        <v/>
      </c>
      <c r="F9" s="2" t="str">
        <f>IF(Source!$C9&gt;=COLUMNS($A9:F9), Source!$G9, "")</f>
        <v/>
      </c>
      <c r="G9" s="2" t="str">
        <f>IF(Source!$C9&gt;=COLUMNS($A9:G9), Source!$G9, "")</f>
        <v/>
      </c>
      <c r="H9" s="2" t="str">
        <f>IF(Source!$C9&gt;=COLUMNS($A9:H9), Source!$G9, "")</f>
        <v/>
      </c>
      <c r="I9" s="2" t="str">
        <f>IF(Source!$C9&gt;=COLUMNS($A9:I9), Source!$G9, "")</f>
        <v/>
      </c>
      <c r="J9" s="2" t="str">
        <f>IF(Source!$C9&gt;=COLUMNS($A9:J9), Source!$G9, "")</f>
        <v/>
      </c>
      <c r="K9" s="2" t="str">
        <f>IF(Source!$C9&gt;=COLUMNS($A9:K9), Source!$G9, "")</f>
        <v/>
      </c>
      <c r="L9" s="2" t="str">
        <f>IF(Source!$C9&gt;=COLUMNS($A9:L9), Source!$G9, "")</f>
        <v/>
      </c>
      <c r="M9" s="2" t="str">
        <f>IF(Source!$C9&gt;=COLUMNS($A9:M9), Source!$G9, "")</f>
        <v/>
      </c>
      <c r="N9" s="2" t="str">
        <f>IF(Source!$C9&gt;=COLUMNS($A9:N9), Source!$G9, "")</f>
        <v/>
      </c>
      <c r="O9" s="2" t="str">
        <f>IF(Source!$C9&gt;=COLUMNS($A9:O9), Source!$G9, "")</f>
        <v/>
      </c>
      <c r="P9" s="2" t="str">
        <f>IF(Source!$C9&gt;=COLUMNS($A9:P9), Source!$G9, "")</f>
        <v/>
      </c>
      <c r="Q9" s="2" t="str">
        <f>IF(Source!$C9&gt;=COLUMNS($A9:Q9), Source!$G9, "")</f>
        <v/>
      </c>
      <c r="R9" s="2" t="str">
        <f>IF(Source!$C9&gt;=COLUMNS($A9:R9), Source!$G9, "")</f>
        <v/>
      </c>
      <c r="S9" s="2" t="str">
        <f>IF(Source!$C9&gt;=COLUMNS($A9:S9), Source!$G9, "")</f>
        <v/>
      </c>
      <c r="T9" s="2" t="str">
        <f>IF(Source!$C9&gt;=COLUMNS($A9:T9), Source!$G9, "")</f>
        <v/>
      </c>
      <c r="U9" s="2" t="str">
        <f>IF(Source!$C9&gt;=COLUMNS($A9:U9), Source!$G9, "")</f>
        <v/>
      </c>
      <c r="V9" s="2" t="str">
        <f>IF(Source!$C9&gt;=COLUMNS($A9:V9), Source!$G9, "")</f>
        <v/>
      </c>
      <c r="W9" s="2" t="str">
        <f>IF(Source!$C9&gt;=COLUMNS($A9:W9), Source!$G9, "")</f>
        <v/>
      </c>
      <c r="X9" s="2" t="str">
        <f>IF(Source!$C9&gt;=COLUMNS($A9:X9), Source!$G9, "")</f>
        <v/>
      </c>
      <c r="Y9" s="2" t="str">
        <f>IF(Source!$C9&gt;=COLUMNS($A9:Y9), Source!$G9, "")</f>
        <v/>
      </c>
      <c r="Z9" s="2" t="str">
        <f>IF(Source!$C9&gt;=COLUMNS($A9:Z9), Source!$G9, "")</f>
        <v/>
      </c>
      <c r="AA9" s="2" t="str">
        <f>IF(Source!$C9&gt;=COLUMNS($A9:AA9), Source!$G9, "")</f>
        <v/>
      </c>
      <c r="AB9" s="2" t="str">
        <f>IF(Source!$C9&gt;=COLUMNS($A9:AB9), Source!$G9, "")</f>
        <v/>
      </c>
      <c r="AC9" s="2" t="str">
        <f>IF(Source!$C9&gt;=COLUMNS($A9:AC9), Source!$G9, "")</f>
        <v/>
      </c>
      <c r="AD9" s="2" t="str">
        <f>IF(Source!$C9&gt;=COLUMNS($A9:AD9), Source!$G9, "")</f>
        <v/>
      </c>
      <c r="AE9" s="2" t="str">
        <f>IF(Source!$C9&gt;=COLUMNS($A9:AE9), Source!$G9, "")</f>
        <v/>
      </c>
      <c r="AF9" s="2" t="str">
        <f>IF(Source!$C9&gt;=COLUMNS($A9:AF9), Source!$G9, "")</f>
        <v/>
      </c>
      <c r="AG9" s="2" t="str">
        <f>IF(Source!$C9&gt;=COLUMNS($A9:AG9), Source!$G9, "")</f>
        <v/>
      </c>
      <c r="AH9" s="2" t="str">
        <f>IF(Source!$C9&gt;=COLUMNS($A9:AH9), Source!$G9, "")</f>
        <v/>
      </c>
      <c r="AI9" s="2" t="str">
        <f>IF(Source!$C9&gt;=COLUMNS($A9:AI9), Source!$G9, "")</f>
        <v/>
      </c>
      <c r="AJ9" s="2" t="str">
        <f>IF(Source!$C9&gt;=COLUMNS($A9:AJ9), Source!$G9, "")</f>
        <v/>
      </c>
      <c r="AK9" s="2" t="str">
        <f>IF(Source!$C9&gt;=COLUMNS($A9:AK9), Source!$G9, "")</f>
        <v/>
      </c>
      <c r="AL9" s="2" t="str">
        <f>IF(Source!$C9&gt;=COLUMNS($A9:AL9), Source!$G9, "")</f>
        <v/>
      </c>
      <c r="AM9" s="2" t="str">
        <f>IF(Source!$C9&gt;=COLUMNS($A9:AM9), Source!$G9, "")</f>
        <v/>
      </c>
      <c r="AN9" s="2" t="str">
        <f>IF(Source!$C9&gt;=COLUMNS($A9:AN9), Source!$G9, "")</f>
        <v/>
      </c>
      <c r="AO9" s="2" t="str">
        <f>IF(Source!$C9&gt;=COLUMNS($A9:AO9), Source!$G9, "")</f>
        <v/>
      </c>
      <c r="AP9" s="2" t="str">
        <f>IF(Source!$C9&gt;=COLUMNS($A9:AP9), Source!$G9, "")</f>
        <v/>
      </c>
      <c r="AQ9" s="2" t="str">
        <f>IF(Source!$C9&gt;=COLUMNS($A9:AQ9), Source!$G9, "")</f>
        <v/>
      </c>
      <c r="AR9" s="2" t="str">
        <f>IF(Source!$C9&gt;=COLUMNS($A9:AR9), Source!$G9, "")</f>
        <v/>
      </c>
    </row>
    <row r="10">
      <c r="A10" s="2">
        <f>IF(Source!$C10&gt;=COLUMNS($A10:A10), Source!$G10, "")</f>
        <v>7</v>
      </c>
      <c r="B10" s="2" t="str">
        <f>IF(Source!$C10&gt;=COLUMNS($A10:B10), Source!$G10, "")</f>
        <v/>
      </c>
      <c r="C10" s="2" t="str">
        <f>IF(Source!$C10&gt;=COLUMNS($A10:C10), Source!$G10, "")</f>
        <v/>
      </c>
      <c r="D10" s="2" t="str">
        <f>IF(Source!$C10&gt;=COLUMNS($A10:D10), Source!$G10, "")</f>
        <v/>
      </c>
      <c r="E10" s="2" t="str">
        <f>IF(Source!$C10&gt;=COLUMNS($A10:E10), Source!$G10, "")</f>
        <v/>
      </c>
      <c r="F10" s="2" t="str">
        <f>IF(Source!$C10&gt;=COLUMNS($A10:F10), Source!$G10, "")</f>
        <v/>
      </c>
      <c r="G10" s="2" t="str">
        <f>IF(Source!$C10&gt;=COLUMNS($A10:G10), Source!$G10, "")</f>
        <v/>
      </c>
      <c r="H10" s="2" t="str">
        <f>IF(Source!$C10&gt;=COLUMNS($A10:H10), Source!$G10, "")</f>
        <v/>
      </c>
      <c r="I10" s="2" t="str">
        <f>IF(Source!$C10&gt;=COLUMNS($A10:I10), Source!$G10, "")</f>
        <v/>
      </c>
      <c r="J10" s="2" t="str">
        <f>IF(Source!$C10&gt;=COLUMNS($A10:J10), Source!$G10, "")</f>
        <v/>
      </c>
      <c r="K10" s="2" t="str">
        <f>IF(Source!$C10&gt;=COLUMNS($A10:K10), Source!$G10, "")</f>
        <v/>
      </c>
      <c r="L10" s="2" t="str">
        <f>IF(Source!$C10&gt;=COLUMNS($A10:L10), Source!$G10, "")</f>
        <v/>
      </c>
      <c r="M10" s="2" t="str">
        <f>IF(Source!$C10&gt;=COLUMNS($A10:M10), Source!$G10, "")</f>
        <v/>
      </c>
      <c r="N10" s="2" t="str">
        <f>IF(Source!$C10&gt;=COLUMNS($A10:N10), Source!$G10, "")</f>
        <v/>
      </c>
      <c r="O10" s="2" t="str">
        <f>IF(Source!$C10&gt;=COLUMNS($A10:O10), Source!$G10, "")</f>
        <v/>
      </c>
      <c r="P10" s="2" t="str">
        <f>IF(Source!$C10&gt;=COLUMNS($A10:P10), Source!$G10, "")</f>
        <v/>
      </c>
      <c r="Q10" s="2" t="str">
        <f>IF(Source!$C10&gt;=COLUMNS($A10:Q10), Source!$G10, "")</f>
        <v/>
      </c>
      <c r="R10" s="2" t="str">
        <f>IF(Source!$C10&gt;=COLUMNS($A10:R10), Source!$G10, "")</f>
        <v/>
      </c>
      <c r="S10" s="2" t="str">
        <f>IF(Source!$C10&gt;=COLUMNS($A10:S10), Source!$G10, "")</f>
        <v/>
      </c>
      <c r="T10" s="2" t="str">
        <f>IF(Source!$C10&gt;=COLUMNS($A10:T10), Source!$G10, "")</f>
        <v/>
      </c>
      <c r="U10" s="2" t="str">
        <f>IF(Source!$C10&gt;=COLUMNS($A10:U10), Source!$G10, "")</f>
        <v/>
      </c>
      <c r="V10" s="2" t="str">
        <f>IF(Source!$C10&gt;=COLUMNS($A10:V10), Source!$G10, "")</f>
        <v/>
      </c>
      <c r="W10" s="2" t="str">
        <f>IF(Source!$C10&gt;=COLUMNS($A10:W10), Source!$G10, "")</f>
        <v/>
      </c>
      <c r="X10" s="2" t="str">
        <f>IF(Source!$C10&gt;=COLUMNS($A10:X10), Source!$G10, "")</f>
        <v/>
      </c>
      <c r="Y10" s="2" t="str">
        <f>IF(Source!$C10&gt;=COLUMNS($A10:Y10), Source!$G10, "")</f>
        <v/>
      </c>
      <c r="Z10" s="2" t="str">
        <f>IF(Source!$C10&gt;=COLUMNS($A10:Z10), Source!$G10, "")</f>
        <v/>
      </c>
      <c r="AA10" s="2" t="str">
        <f>IF(Source!$C10&gt;=COLUMNS($A10:AA10), Source!$G10, "")</f>
        <v/>
      </c>
      <c r="AB10" s="2" t="str">
        <f>IF(Source!$C10&gt;=COLUMNS($A10:AB10), Source!$G10, "")</f>
        <v/>
      </c>
      <c r="AC10" s="2" t="str">
        <f>IF(Source!$C10&gt;=COLUMNS($A10:AC10), Source!$G10, "")</f>
        <v/>
      </c>
      <c r="AD10" s="2" t="str">
        <f>IF(Source!$C10&gt;=COLUMNS($A10:AD10), Source!$G10, "")</f>
        <v/>
      </c>
      <c r="AE10" s="2" t="str">
        <f>IF(Source!$C10&gt;=COLUMNS($A10:AE10), Source!$G10, "")</f>
        <v/>
      </c>
      <c r="AF10" s="2" t="str">
        <f>IF(Source!$C10&gt;=COLUMNS($A10:AF10), Source!$G10, "")</f>
        <v/>
      </c>
      <c r="AG10" s="2" t="str">
        <f>IF(Source!$C10&gt;=COLUMNS($A10:AG10), Source!$G10, "")</f>
        <v/>
      </c>
      <c r="AH10" s="2" t="str">
        <f>IF(Source!$C10&gt;=COLUMNS($A10:AH10), Source!$G10, "")</f>
        <v/>
      </c>
      <c r="AI10" s="2" t="str">
        <f>IF(Source!$C10&gt;=COLUMNS($A10:AI10), Source!$G10, "")</f>
        <v/>
      </c>
      <c r="AJ10" s="2" t="str">
        <f>IF(Source!$C10&gt;=COLUMNS($A10:AJ10), Source!$G10, "")</f>
        <v/>
      </c>
      <c r="AK10" s="2" t="str">
        <f>IF(Source!$C10&gt;=COLUMNS($A10:AK10), Source!$G10, "")</f>
        <v/>
      </c>
      <c r="AL10" s="2" t="str">
        <f>IF(Source!$C10&gt;=COLUMNS($A10:AL10), Source!$G10, "")</f>
        <v/>
      </c>
      <c r="AM10" s="2" t="str">
        <f>IF(Source!$C10&gt;=COLUMNS($A10:AM10), Source!$G10, "")</f>
        <v/>
      </c>
      <c r="AN10" s="2" t="str">
        <f>IF(Source!$C10&gt;=COLUMNS($A10:AN10), Source!$G10, "")</f>
        <v/>
      </c>
      <c r="AO10" s="2" t="str">
        <f>IF(Source!$C10&gt;=COLUMNS($A10:AO10), Source!$G10, "")</f>
        <v/>
      </c>
      <c r="AP10" s="2" t="str">
        <f>IF(Source!$C10&gt;=COLUMNS($A10:AP10), Source!$G10, "")</f>
        <v/>
      </c>
      <c r="AQ10" s="2" t="str">
        <f>IF(Source!$C10&gt;=COLUMNS($A10:AQ10), Source!$G10, "")</f>
        <v/>
      </c>
      <c r="AR10" s="2" t="str">
        <f>IF(Source!$C10&gt;=COLUMNS($A10:AR10), Source!$G10, "")</f>
        <v/>
      </c>
    </row>
    <row r="11">
      <c r="A11" s="2">
        <f>IF(Source!$C11&gt;=COLUMNS($A11:A11), Source!$G11, "")</f>
        <v>2</v>
      </c>
      <c r="B11" s="2" t="str">
        <f>IF(Source!$C11&gt;=COLUMNS($A11:B11), Source!$G11, "")</f>
        <v/>
      </c>
      <c r="C11" s="2" t="str">
        <f>IF(Source!$C11&gt;=COLUMNS($A11:C11), Source!$G11, "")</f>
        <v/>
      </c>
      <c r="D11" s="2" t="str">
        <f>IF(Source!$C11&gt;=COLUMNS($A11:D11), Source!$G11, "")</f>
        <v/>
      </c>
      <c r="E11" s="2" t="str">
        <f>IF(Source!$C11&gt;=COLUMNS($A11:E11), Source!$G11, "")</f>
        <v/>
      </c>
      <c r="F11" s="2" t="str">
        <f>IF(Source!$C11&gt;=COLUMNS($A11:F11), Source!$G11, "")</f>
        <v/>
      </c>
      <c r="G11" s="2" t="str">
        <f>IF(Source!$C11&gt;=COLUMNS($A11:G11), Source!$G11, "")</f>
        <v/>
      </c>
      <c r="H11" s="2" t="str">
        <f>IF(Source!$C11&gt;=COLUMNS($A11:H11), Source!$G11, "")</f>
        <v/>
      </c>
      <c r="I11" s="2" t="str">
        <f>IF(Source!$C11&gt;=COLUMNS($A11:I11), Source!$G11, "")</f>
        <v/>
      </c>
      <c r="J11" s="2" t="str">
        <f>IF(Source!$C11&gt;=COLUMNS($A11:J11), Source!$G11, "")</f>
        <v/>
      </c>
      <c r="K11" s="2" t="str">
        <f>IF(Source!$C11&gt;=COLUMNS($A11:K11), Source!$G11, "")</f>
        <v/>
      </c>
      <c r="L11" s="2" t="str">
        <f>IF(Source!$C11&gt;=COLUMNS($A11:L11), Source!$G11, "")</f>
        <v/>
      </c>
      <c r="M11" s="2" t="str">
        <f>IF(Source!$C11&gt;=COLUMNS($A11:M11), Source!$G11, "")</f>
        <v/>
      </c>
      <c r="N11" s="2" t="str">
        <f>IF(Source!$C11&gt;=COLUMNS($A11:N11), Source!$G11, "")</f>
        <v/>
      </c>
      <c r="O11" s="2" t="str">
        <f>IF(Source!$C11&gt;=COLUMNS($A11:O11), Source!$G11, "")</f>
        <v/>
      </c>
      <c r="P11" s="2" t="str">
        <f>IF(Source!$C11&gt;=COLUMNS($A11:P11), Source!$G11, "")</f>
        <v/>
      </c>
      <c r="Q11" s="2" t="str">
        <f>IF(Source!$C11&gt;=COLUMNS($A11:Q11), Source!$G11, "")</f>
        <v/>
      </c>
      <c r="R11" s="2" t="str">
        <f>IF(Source!$C11&gt;=COLUMNS($A11:R11), Source!$G11, "")</f>
        <v/>
      </c>
      <c r="S11" s="2" t="str">
        <f>IF(Source!$C11&gt;=COLUMNS($A11:S11), Source!$G11, "")</f>
        <v/>
      </c>
      <c r="T11" s="2" t="str">
        <f>IF(Source!$C11&gt;=COLUMNS($A11:T11), Source!$G11, "")</f>
        <v/>
      </c>
      <c r="U11" s="2" t="str">
        <f>IF(Source!$C11&gt;=COLUMNS($A11:U11), Source!$G11, "")</f>
        <v/>
      </c>
      <c r="V11" s="2" t="str">
        <f>IF(Source!$C11&gt;=COLUMNS($A11:V11), Source!$G11, "")</f>
        <v/>
      </c>
      <c r="W11" s="2" t="str">
        <f>IF(Source!$C11&gt;=COLUMNS($A11:W11), Source!$G11, "")</f>
        <v/>
      </c>
      <c r="X11" s="2" t="str">
        <f>IF(Source!$C11&gt;=COLUMNS($A11:X11), Source!$G11, "")</f>
        <v/>
      </c>
      <c r="Y11" s="2" t="str">
        <f>IF(Source!$C11&gt;=COLUMNS($A11:Y11), Source!$G11, "")</f>
        <v/>
      </c>
      <c r="Z11" s="2" t="str">
        <f>IF(Source!$C11&gt;=COLUMNS($A11:Z11), Source!$G11, "")</f>
        <v/>
      </c>
      <c r="AA11" s="2" t="str">
        <f>IF(Source!$C11&gt;=COLUMNS($A11:AA11), Source!$G11, "")</f>
        <v/>
      </c>
      <c r="AB11" s="2" t="str">
        <f>IF(Source!$C11&gt;=COLUMNS($A11:AB11), Source!$G11, "")</f>
        <v/>
      </c>
      <c r="AC11" s="2" t="str">
        <f>IF(Source!$C11&gt;=COLUMNS($A11:AC11), Source!$G11, "")</f>
        <v/>
      </c>
      <c r="AD11" s="2" t="str">
        <f>IF(Source!$C11&gt;=COLUMNS($A11:AD11), Source!$G11, "")</f>
        <v/>
      </c>
      <c r="AE11" s="2" t="str">
        <f>IF(Source!$C11&gt;=COLUMNS($A11:AE11), Source!$G11, "")</f>
        <v/>
      </c>
      <c r="AF11" s="2" t="str">
        <f>IF(Source!$C11&gt;=COLUMNS($A11:AF11), Source!$G11, "")</f>
        <v/>
      </c>
      <c r="AG11" s="2" t="str">
        <f>IF(Source!$C11&gt;=COLUMNS($A11:AG11), Source!$G11, "")</f>
        <v/>
      </c>
      <c r="AH11" s="2" t="str">
        <f>IF(Source!$C11&gt;=COLUMNS($A11:AH11), Source!$G11, "")</f>
        <v/>
      </c>
      <c r="AI11" s="2" t="str">
        <f>IF(Source!$C11&gt;=COLUMNS($A11:AI11), Source!$G11, "")</f>
        <v/>
      </c>
      <c r="AJ11" s="2" t="str">
        <f>IF(Source!$C11&gt;=COLUMNS($A11:AJ11), Source!$G11, "")</f>
        <v/>
      </c>
      <c r="AK11" s="2" t="str">
        <f>IF(Source!$C11&gt;=COLUMNS($A11:AK11), Source!$G11, "")</f>
        <v/>
      </c>
      <c r="AL11" s="2" t="str">
        <f>IF(Source!$C11&gt;=COLUMNS($A11:AL11), Source!$G11, "")</f>
        <v/>
      </c>
      <c r="AM11" s="2" t="str">
        <f>IF(Source!$C11&gt;=COLUMNS($A11:AM11), Source!$G11, "")</f>
        <v/>
      </c>
      <c r="AN11" s="2" t="str">
        <f>IF(Source!$C11&gt;=COLUMNS($A11:AN11), Source!$G11, "")</f>
        <v/>
      </c>
      <c r="AO11" s="2" t="str">
        <f>IF(Source!$C11&gt;=COLUMNS($A11:AO11), Source!$G11, "")</f>
        <v/>
      </c>
      <c r="AP11" s="2" t="str">
        <f>IF(Source!$C11&gt;=COLUMNS($A11:AP11), Source!$G11, "")</f>
        <v/>
      </c>
      <c r="AQ11" s="2" t="str">
        <f>IF(Source!$C11&gt;=COLUMNS($A11:AQ11), Source!$G11, "")</f>
        <v/>
      </c>
      <c r="AR11" s="2" t="str">
        <f>IF(Source!$C11&gt;=COLUMNS($A11:AR11), Source!$G11, "")</f>
        <v/>
      </c>
    </row>
    <row r="12">
      <c r="A12" s="2">
        <f>IF(Source!$C12&gt;=COLUMNS($A12:A12), Source!$G12, "")</f>
        <v>5</v>
      </c>
      <c r="B12" s="2">
        <f>IF(Source!$C12&gt;=COLUMNS($A12:B12), Source!$G12, "")</f>
        <v>5</v>
      </c>
      <c r="C12" s="2" t="str">
        <f>IF(Source!$C12&gt;=COLUMNS($A12:C12), Source!$G12, "")</f>
        <v/>
      </c>
      <c r="D12" s="2" t="str">
        <f>IF(Source!$C12&gt;=COLUMNS($A12:D12), Source!$G12, "")</f>
        <v/>
      </c>
      <c r="E12" s="2" t="str">
        <f>IF(Source!$C12&gt;=COLUMNS($A12:E12), Source!$G12, "")</f>
        <v/>
      </c>
      <c r="F12" s="2" t="str">
        <f>IF(Source!$C12&gt;=COLUMNS($A12:F12), Source!$G12, "")</f>
        <v/>
      </c>
      <c r="G12" s="2" t="str">
        <f>IF(Source!$C12&gt;=COLUMNS($A12:G12), Source!$G12, "")</f>
        <v/>
      </c>
      <c r="H12" s="2" t="str">
        <f>IF(Source!$C12&gt;=COLUMNS($A12:H12), Source!$G12, "")</f>
        <v/>
      </c>
      <c r="I12" s="2" t="str">
        <f>IF(Source!$C12&gt;=COLUMNS($A12:I12), Source!$G12, "")</f>
        <v/>
      </c>
      <c r="J12" s="2" t="str">
        <f>IF(Source!$C12&gt;=COLUMNS($A12:J12), Source!$G12, "")</f>
        <v/>
      </c>
      <c r="K12" s="2" t="str">
        <f>IF(Source!$C12&gt;=COLUMNS($A12:K12), Source!$G12, "")</f>
        <v/>
      </c>
      <c r="L12" s="2" t="str">
        <f>IF(Source!$C12&gt;=COLUMNS($A12:L12), Source!$G12, "")</f>
        <v/>
      </c>
      <c r="M12" s="2" t="str">
        <f>IF(Source!$C12&gt;=COLUMNS($A12:M12), Source!$G12, "")</f>
        <v/>
      </c>
      <c r="N12" s="2" t="str">
        <f>IF(Source!$C12&gt;=COLUMNS($A12:N12), Source!$G12, "")</f>
        <v/>
      </c>
      <c r="O12" s="2" t="str">
        <f>IF(Source!$C12&gt;=COLUMNS($A12:O12), Source!$G12, "")</f>
        <v/>
      </c>
      <c r="P12" s="2" t="str">
        <f>IF(Source!$C12&gt;=COLUMNS($A12:P12), Source!$G12, "")</f>
        <v/>
      </c>
      <c r="Q12" s="2" t="str">
        <f>IF(Source!$C12&gt;=COLUMNS($A12:Q12), Source!$G12, "")</f>
        <v/>
      </c>
      <c r="R12" s="2" t="str">
        <f>IF(Source!$C12&gt;=COLUMNS($A12:R12), Source!$G12, "")</f>
        <v/>
      </c>
      <c r="S12" s="2" t="str">
        <f>IF(Source!$C12&gt;=COLUMNS($A12:S12), Source!$G12, "")</f>
        <v/>
      </c>
      <c r="T12" s="2" t="str">
        <f>IF(Source!$C12&gt;=COLUMNS($A12:T12), Source!$G12, "")</f>
        <v/>
      </c>
      <c r="U12" s="2" t="str">
        <f>IF(Source!$C12&gt;=COLUMNS($A12:U12), Source!$G12, "")</f>
        <v/>
      </c>
      <c r="V12" s="2" t="str">
        <f>IF(Source!$C12&gt;=COLUMNS($A12:V12), Source!$G12, "")</f>
        <v/>
      </c>
      <c r="W12" s="2" t="str">
        <f>IF(Source!$C12&gt;=COLUMNS($A12:W12), Source!$G12, "")</f>
        <v/>
      </c>
      <c r="X12" s="2" t="str">
        <f>IF(Source!$C12&gt;=COLUMNS($A12:X12), Source!$G12, "")</f>
        <v/>
      </c>
      <c r="Y12" s="2" t="str">
        <f>IF(Source!$C12&gt;=COLUMNS($A12:Y12), Source!$G12, "")</f>
        <v/>
      </c>
      <c r="Z12" s="2" t="str">
        <f>IF(Source!$C12&gt;=COLUMNS($A12:Z12), Source!$G12, "")</f>
        <v/>
      </c>
      <c r="AA12" s="2" t="str">
        <f>IF(Source!$C12&gt;=COLUMNS($A12:AA12), Source!$G12, "")</f>
        <v/>
      </c>
      <c r="AB12" s="2" t="str">
        <f>IF(Source!$C12&gt;=COLUMNS($A12:AB12), Source!$G12, "")</f>
        <v/>
      </c>
      <c r="AC12" s="2" t="str">
        <f>IF(Source!$C12&gt;=COLUMNS($A12:AC12), Source!$G12, "")</f>
        <v/>
      </c>
      <c r="AD12" s="2" t="str">
        <f>IF(Source!$C12&gt;=COLUMNS($A12:AD12), Source!$G12, "")</f>
        <v/>
      </c>
      <c r="AE12" s="2" t="str">
        <f>IF(Source!$C12&gt;=COLUMNS($A12:AE12), Source!$G12, "")</f>
        <v/>
      </c>
      <c r="AF12" s="2" t="str">
        <f>IF(Source!$C12&gt;=COLUMNS($A12:AF12), Source!$G12, "")</f>
        <v/>
      </c>
      <c r="AG12" s="2" t="str">
        <f>IF(Source!$C12&gt;=COLUMNS($A12:AG12), Source!$G12, "")</f>
        <v/>
      </c>
      <c r="AH12" s="2" t="str">
        <f>IF(Source!$C12&gt;=COLUMNS($A12:AH12), Source!$G12, "")</f>
        <v/>
      </c>
      <c r="AI12" s="2" t="str">
        <f>IF(Source!$C12&gt;=COLUMNS($A12:AI12), Source!$G12, "")</f>
        <v/>
      </c>
      <c r="AJ12" s="2" t="str">
        <f>IF(Source!$C12&gt;=COLUMNS($A12:AJ12), Source!$G12, "")</f>
        <v/>
      </c>
      <c r="AK12" s="2" t="str">
        <f>IF(Source!$C12&gt;=COLUMNS($A12:AK12), Source!$G12, "")</f>
        <v/>
      </c>
      <c r="AL12" s="2" t="str">
        <f>IF(Source!$C12&gt;=COLUMNS($A12:AL12), Source!$G12, "")</f>
        <v/>
      </c>
      <c r="AM12" s="2" t="str">
        <f>IF(Source!$C12&gt;=COLUMNS($A12:AM12), Source!$G12, "")</f>
        <v/>
      </c>
      <c r="AN12" s="2" t="str">
        <f>IF(Source!$C12&gt;=COLUMNS($A12:AN12), Source!$G12, "")</f>
        <v/>
      </c>
      <c r="AO12" s="2" t="str">
        <f>IF(Source!$C12&gt;=COLUMNS($A12:AO12), Source!$G12, "")</f>
        <v/>
      </c>
      <c r="AP12" s="2" t="str">
        <f>IF(Source!$C12&gt;=COLUMNS($A12:AP12), Source!$G12, "")</f>
        <v/>
      </c>
      <c r="AQ12" s="2" t="str">
        <f>IF(Source!$C12&gt;=COLUMNS($A12:AQ12), Source!$G12, "")</f>
        <v/>
      </c>
      <c r="AR12" s="2" t="str">
        <f>IF(Source!$C12&gt;=COLUMNS($A12:AR12), Source!$G12, "")</f>
        <v/>
      </c>
    </row>
    <row r="13">
      <c r="A13" s="2">
        <f>IF(Source!$C13&gt;=COLUMNS($A13:A13), Source!$G13, "")</f>
        <v>3</v>
      </c>
      <c r="B13" s="2">
        <f>IF(Source!$C13&gt;=COLUMNS($A13:B13), Source!$G13, "")</f>
        <v>3</v>
      </c>
      <c r="C13" s="2" t="str">
        <f>IF(Source!$C13&gt;=COLUMNS($A13:C13), Source!$G13, "")</f>
        <v/>
      </c>
      <c r="D13" s="2" t="str">
        <f>IF(Source!$C13&gt;=COLUMNS($A13:D13), Source!$G13, "")</f>
        <v/>
      </c>
      <c r="E13" s="2" t="str">
        <f>IF(Source!$C13&gt;=COLUMNS($A13:E13), Source!$G13, "")</f>
        <v/>
      </c>
      <c r="F13" s="2" t="str">
        <f>IF(Source!$C13&gt;=COLUMNS($A13:F13), Source!$G13, "")</f>
        <v/>
      </c>
      <c r="G13" s="2" t="str">
        <f>IF(Source!$C13&gt;=COLUMNS($A13:G13), Source!$G13, "")</f>
        <v/>
      </c>
      <c r="H13" s="2" t="str">
        <f>IF(Source!$C13&gt;=COLUMNS($A13:H13), Source!$G13, "")</f>
        <v/>
      </c>
      <c r="I13" s="2" t="str">
        <f>IF(Source!$C13&gt;=COLUMNS($A13:I13), Source!$G13, "")</f>
        <v/>
      </c>
      <c r="J13" s="2" t="str">
        <f>IF(Source!$C13&gt;=COLUMNS($A13:J13), Source!$G13, "")</f>
        <v/>
      </c>
      <c r="K13" s="2" t="str">
        <f>IF(Source!$C13&gt;=COLUMNS($A13:K13), Source!$G13, "")</f>
        <v/>
      </c>
      <c r="L13" s="2" t="str">
        <f>IF(Source!$C13&gt;=COLUMNS($A13:L13), Source!$G13, "")</f>
        <v/>
      </c>
      <c r="M13" s="2" t="str">
        <f>IF(Source!$C13&gt;=COLUMNS($A13:M13), Source!$G13, "")</f>
        <v/>
      </c>
      <c r="N13" s="2" t="str">
        <f>IF(Source!$C13&gt;=COLUMNS($A13:N13), Source!$G13, "")</f>
        <v/>
      </c>
      <c r="O13" s="2" t="str">
        <f>IF(Source!$C13&gt;=COLUMNS($A13:O13), Source!$G13, "")</f>
        <v/>
      </c>
      <c r="P13" s="2" t="str">
        <f>IF(Source!$C13&gt;=COLUMNS($A13:P13), Source!$G13, "")</f>
        <v/>
      </c>
      <c r="Q13" s="2" t="str">
        <f>IF(Source!$C13&gt;=COLUMNS($A13:Q13), Source!$G13, "")</f>
        <v/>
      </c>
      <c r="R13" s="2" t="str">
        <f>IF(Source!$C13&gt;=COLUMNS($A13:R13), Source!$G13, "")</f>
        <v/>
      </c>
      <c r="S13" s="2" t="str">
        <f>IF(Source!$C13&gt;=COLUMNS($A13:S13), Source!$G13, "")</f>
        <v/>
      </c>
      <c r="T13" s="2" t="str">
        <f>IF(Source!$C13&gt;=COLUMNS($A13:T13), Source!$G13, "")</f>
        <v/>
      </c>
      <c r="U13" s="2" t="str">
        <f>IF(Source!$C13&gt;=COLUMNS($A13:U13), Source!$G13, "")</f>
        <v/>
      </c>
      <c r="V13" s="2" t="str">
        <f>IF(Source!$C13&gt;=COLUMNS($A13:V13), Source!$G13, "")</f>
        <v/>
      </c>
      <c r="W13" s="2" t="str">
        <f>IF(Source!$C13&gt;=COLUMNS($A13:W13), Source!$G13, "")</f>
        <v/>
      </c>
      <c r="X13" s="2" t="str">
        <f>IF(Source!$C13&gt;=COLUMNS($A13:X13), Source!$G13, "")</f>
        <v/>
      </c>
      <c r="Y13" s="2" t="str">
        <f>IF(Source!$C13&gt;=COLUMNS($A13:Y13), Source!$G13, "")</f>
        <v/>
      </c>
      <c r="Z13" s="2" t="str">
        <f>IF(Source!$C13&gt;=COLUMNS($A13:Z13), Source!$G13, "")</f>
        <v/>
      </c>
      <c r="AA13" s="2" t="str">
        <f>IF(Source!$C13&gt;=COLUMNS($A13:AA13), Source!$G13, "")</f>
        <v/>
      </c>
      <c r="AB13" s="2" t="str">
        <f>IF(Source!$C13&gt;=COLUMNS($A13:AB13), Source!$G13, "")</f>
        <v/>
      </c>
      <c r="AC13" s="2" t="str">
        <f>IF(Source!$C13&gt;=COLUMNS($A13:AC13), Source!$G13, "")</f>
        <v/>
      </c>
      <c r="AD13" s="2" t="str">
        <f>IF(Source!$C13&gt;=COLUMNS($A13:AD13), Source!$G13, "")</f>
        <v/>
      </c>
      <c r="AE13" s="2" t="str">
        <f>IF(Source!$C13&gt;=COLUMNS($A13:AE13), Source!$G13, "")</f>
        <v/>
      </c>
      <c r="AF13" s="2" t="str">
        <f>IF(Source!$C13&gt;=COLUMNS($A13:AF13), Source!$G13, "")</f>
        <v/>
      </c>
      <c r="AG13" s="2" t="str">
        <f>IF(Source!$C13&gt;=COLUMNS($A13:AG13), Source!$G13, "")</f>
        <v/>
      </c>
      <c r="AH13" s="2" t="str">
        <f>IF(Source!$C13&gt;=COLUMNS($A13:AH13), Source!$G13, "")</f>
        <v/>
      </c>
      <c r="AI13" s="2" t="str">
        <f>IF(Source!$C13&gt;=COLUMNS($A13:AI13), Source!$G13, "")</f>
        <v/>
      </c>
      <c r="AJ13" s="2" t="str">
        <f>IF(Source!$C13&gt;=COLUMNS($A13:AJ13), Source!$G13, "")</f>
        <v/>
      </c>
      <c r="AK13" s="2" t="str">
        <f>IF(Source!$C13&gt;=COLUMNS($A13:AK13), Source!$G13, "")</f>
        <v/>
      </c>
      <c r="AL13" s="2" t="str">
        <f>IF(Source!$C13&gt;=COLUMNS($A13:AL13), Source!$G13, "")</f>
        <v/>
      </c>
      <c r="AM13" s="2" t="str">
        <f>IF(Source!$C13&gt;=COLUMNS($A13:AM13), Source!$G13, "")</f>
        <v/>
      </c>
      <c r="AN13" s="2" t="str">
        <f>IF(Source!$C13&gt;=COLUMNS($A13:AN13), Source!$G13, "")</f>
        <v/>
      </c>
      <c r="AO13" s="2" t="str">
        <f>IF(Source!$C13&gt;=COLUMNS($A13:AO13), Source!$G13, "")</f>
        <v/>
      </c>
      <c r="AP13" s="2" t="str">
        <f>IF(Source!$C13&gt;=COLUMNS($A13:AP13), Source!$G13, "")</f>
        <v/>
      </c>
      <c r="AQ13" s="2" t="str">
        <f>IF(Source!$C13&gt;=COLUMNS($A13:AQ13), Source!$G13, "")</f>
        <v/>
      </c>
      <c r="AR13" s="2" t="str">
        <f>IF(Source!$C13&gt;=COLUMNS($A13:AR13), Source!$G13, "")</f>
        <v/>
      </c>
    </row>
    <row r="14">
      <c r="A14" s="2">
        <f>IF(Source!$C14&gt;=COLUMNS($A14:A14), Source!$G14, "")</f>
        <v>9</v>
      </c>
      <c r="B14" s="2">
        <f>IF(Source!$C14&gt;=COLUMNS($A14:B14), Source!$G14, "")</f>
        <v>9</v>
      </c>
      <c r="C14" s="2">
        <f>IF(Source!$C14&gt;=COLUMNS($A14:C14), Source!$G14, "")</f>
        <v>9</v>
      </c>
      <c r="D14" s="2">
        <f>IF(Source!$C14&gt;=COLUMNS($A14:D14), Source!$G14, "")</f>
        <v>9</v>
      </c>
      <c r="E14" s="2">
        <f>IF(Source!$C14&gt;=COLUMNS($A14:E14), Source!$G14, "")</f>
        <v>9</v>
      </c>
      <c r="F14" s="2">
        <f>IF(Source!$C14&gt;=COLUMNS($A14:F14), Source!$G14, "")</f>
        <v>9</v>
      </c>
      <c r="G14" s="2" t="str">
        <f>IF(Source!$C14&gt;=COLUMNS($A14:G14), Source!$G14, "")</f>
        <v/>
      </c>
      <c r="H14" s="2" t="str">
        <f>IF(Source!$C14&gt;=COLUMNS($A14:H14), Source!$G14, "")</f>
        <v/>
      </c>
      <c r="I14" s="2" t="str">
        <f>IF(Source!$C14&gt;=COLUMNS($A14:I14), Source!$G14, "")</f>
        <v/>
      </c>
      <c r="J14" s="2" t="str">
        <f>IF(Source!$C14&gt;=COLUMNS($A14:J14), Source!$G14, "")</f>
        <v/>
      </c>
      <c r="K14" s="2" t="str">
        <f>IF(Source!$C14&gt;=COLUMNS($A14:K14), Source!$G14, "")</f>
        <v/>
      </c>
      <c r="L14" s="2" t="str">
        <f>IF(Source!$C14&gt;=COLUMNS($A14:L14), Source!$G14, "")</f>
        <v/>
      </c>
      <c r="M14" s="2" t="str">
        <f>IF(Source!$C14&gt;=COLUMNS($A14:M14), Source!$G14, "")</f>
        <v/>
      </c>
      <c r="N14" s="2" t="str">
        <f>IF(Source!$C14&gt;=COLUMNS($A14:N14), Source!$G14, "")</f>
        <v/>
      </c>
      <c r="O14" s="2" t="str">
        <f>IF(Source!$C14&gt;=COLUMNS($A14:O14), Source!$G14, "")</f>
        <v/>
      </c>
      <c r="P14" s="2" t="str">
        <f>IF(Source!$C14&gt;=COLUMNS($A14:P14), Source!$G14, "")</f>
        <v/>
      </c>
      <c r="Q14" s="2" t="str">
        <f>IF(Source!$C14&gt;=COLUMNS($A14:Q14), Source!$G14, "")</f>
        <v/>
      </c>
      <c r="R14" s="2" t="str">
        <f>IF(Source!$C14&gt;=COLUMNS($A14:R14), Source!$G14, "")</f>
        <v/>
      </c>
      <c r="S14" s="2" t="str">
        <f>IF(Source!$C14&gt;=COLUMNS($A14:S14), Source!$G14, "")</f>
        <v/>
      </c>
      <c r="T14" s="2" t="str">
        <f>IF(Source!$C14&gt;=COLUMNS($A14:T14), Source!$G14, "")</f>
        <v/>
      </c>
      <c r="U14" s="2" t="str">
        <f>IF(Source!$C14&gt;=COLUMNS($A14:U14), Source!$G14, "")</f>
        <v/>
      </c>
      <c r="V14" s="2" t="str">
        <f>IF(Source!$C14&gt;=COLUMNS($A14:V14), Source!$G14, "")</f>
        <v/>
      </c>
      <c r="W14" s="2" t="str">
        <f>IF(Source!$C14&gt;=COLUMNS($A14:W14), Source!$G14, "")</f>
        <v/>
      </c>
      <c r="X14" s="2" t="str">
        <f>IF(Source!$C14&gt;=COLUMNS($A14:X14), Source!$G14, "")</f>
        <v/>
      </c>
      <c r="Y14" s="2" t="str">
        <f>IF(Source!$C14&gt;=COLUMNS($A14:Y14), Source!$G14, "")</f>
        <v/>
      </c>
      <c r="Z14" s="2" t="str">
        <f>IF(Source!$C14&gt;=COLUMNS($A14:Z14), Source!$G14, "")</f>
        <v/>
      </c>
      <c r="AA14" s="2" t="str">
        <f>IF(Source!$C14&gt;=COLUMNS($A14:AA14), Source!$G14, "")</f>
        <v/>
      </c>
      <c r="AB14" s="2" t="str">
        <f>IF(Source!$C14&gt;=COLUMNS($A14:AB14), Source!$G14, "")</f>
        <v/>
      </c>
      <c r="AC14" s="2" t="str">
        <f>IF(Source!$C14&gt;=COLUMNS($A14:AC14), Source!$G14, "")</f>
        <v/>
      </c>
      <c r="AD14" s="2" t="str">
        <f>IF(Source!$C14&gt;=COLUMNS($A14:AD14), Source!$G14, "")</f>
        <v/>
      </c>
      <c r="AE14" s="2" t="str">
        <f>IF(Source!$C14&gt;=COLUMNS($A14:AE14), Source!$G14, "")</f>
        <v/>
      </c>
      <c r="AF14" s="2" t="str">
        <f>IF(Source!$C14&gt;=COLUMNS($A14:AF14), Source!$G14, "")</f>
        <v/>
      </c>
      <c r="AG14" s="2" t="str">
        <f>IF(Source!$C14&gt;=COLUMNS($A14:AG14), Source!$G14, "")</f>
        <v/>
      </c>
      <c r="AH14" s="2" t="str">
        <f>IF(Source!$C14&gt;=COLUMNS($A14:AH14), Source!$G14, "")</f>
        <v/>
      </c>
      <c r="AI14" s="2" t="str">
        <f>IF(Source!$C14&gt;=COLUMNS($A14:AI14), Source!$G14, "")</f>
        <v/>
      </c>
      <c r="AJ14" s="2" t="str">
        <f>IF(Source!$C14&gt;=COLUMNS($A14:AJ14), Source!$G14, "")</f>
        <v/>
      </c>
      <c r="AK14" s="2" t="str">
        <f>IF(Source!$C14&gt;=COLUMNS($A14:AK14), Source!$G14, "")</f>
        <v/>
      </c>
      <c r="AL14" s="2" t="str">
        <f>IF(Source!$C14&gt;=COLUMNS($A14:AL14), Source!$G14, "")</f>
        <v/>
      </c>
      <c r="AM14" s="2" t="str">
        <f>IF(Source!$C14&gt;=COLUMNS($A14:AM14), Source!$G14, "")</f>
        <v/>
      </c>
      <c r="AN14" s="2" t="str">
        <f>IF(Source!$C14&gt;=COLUMNS($A14:AN14), Source!$G14, "")</f>
        <v/>
      </c>
      <c r="AO14" s="2" t="str">
        <f>IF(Source!$C14&gt;=COLUMNS($A14:AO14), Source!$G14, "")</f>
        <v/>
      </c>
      <c r="AP14" s="2" t="str">
        <f>IF(Source!$C14&gt;=COLUMNS($A14:AP14), Source!$G14, "")</f>
        <v/>
      </c>
      <c r="AQ14" s="2" t="str">
        <f>IF(Source!$C14&gt;=COLUMNS($A14:AQ14), Source!$G14, "")</f>
        <v/>
      </c>
      <c r="AR14" s="2" t="str">
        <f>IF(Source!$C14&gt;=COLUMNS($A14:AR14), Source!$G14, "")</f>
        <v/>
      </c>
    </row>
    <row r="15">
      <c r="A15" s="2">
        <f>IF(Source!$C15&gt;=COLUMNS($A15:A15), Source!$G15, "")</f>
        <v>9</v>
      </c>
      <c r="B15" s="2">
        <f>IF(Source!$C15&gt;=COLUMNS($A15:B15), Source!$G15, "")</f>
        <v>9</v>
      </c>
      <c r="C15" s="2">
        <f>IF(Source!$C15&gt;=COLUMNS($A15:C15), Source!$G15, "")</f>
        <v>9</v>
      </c>
      <c r="D15" s="2">
        <f>IF(Source!$C15&gt;=COLUMNS($A15:D15), Source!$G15, "")</f>
        <v>9</v>
      </c>
      <c r="E15" s="2">
        <f>IF(Source!$C15&gt;=COLUMNS($A15:E15), Source!$G15, "")</f>
        <v>9</v>
      </c>
      <c r="F15" s="2">
        <f>IF(Source!$C15&gt;=COLUMNS($A15:F15), Source!$G15, "")</f>
        <v>9</v>
      </c>
      <c r="G15" s="2">
        <f>IF(Source!$C15&gt;=COLUMNS($A15:G15), Source!$G15, "")</f>
        <v>9</v>
      </c>
      <c r="H15" s="2" t="str">
        <f>IF(Source!$C15&gt;=COLUMNS($A15:H15), Source!$G15, "")</f>
        <v/>
      </c>
      <c r="I15" s="2" t="str">
        <f>IF(Source!$C15&gt;=COLUMNS($A15:I15), Source!$G15, "")</f>
        <v/>
      </c>
      <c r="J15" s="2" t="str">
        <f>IF(Source!$C15&gt;=COLUMNS($A15:J15), Source!$G15, "")</f>
        <v/>
      </c>
      <c r="K15" s="2" t="str">
        <f>IF(Source!$C15&gt;=COLUMNS($A15:K15), Source!$G15, "")</f>
        <v/>
      </c>
      <c r="L15" s="2" t="str">
        <f>IF(Source!$C15&gt;=COLUMNS($A15:L15), Source!$G15, "")</f>
        <v/>
      </c>
      <c r="M15" s="2" t="str">
        <f>IF(Source!$C15&gt;=COLUMNS($A15:M15), Source!$G15, "")</f>
        <v/>
      </c>
      <c r="N15" s="2" t="str">
        <f>IF(Source!$C15&gt;=COLUMNS($A15:N15), Source!$G15, "")</f>
        <v/>
      </c>
      <c r="O15" s="2" t="str">
        <f>IF(Source!$C15&gt;=COLUMNS($A15:O15), Source!$G15, "")</f>
        <v/>
      </c>
      <c r="P15" s="2" t="str">
        <f>IF(Source!$C15&gt;=COLUMNS($A15:P15), Source!$G15, "")</f>
        <v/>
      </c>
      <c r="Q15" s="2" t="str">
        <f>IF(Source!$C15&gt;=COLUMNS($A15:Q15), Source!$G15, "")</f>
        <v/>
      </c>
      <c r="R15" s="2" t="str">
        <f>IF(Source!$C15&gt;=COLUMNS($A15:R15), Source!$G15, "")</f>
        <v/>
      </c>
      <c r="S15" s="2" t="str">
        <f>IF(Source!$C15&gt;=COLUMNS($A15:S15), Source!$G15, "")</f>
        <v/>
      </c>
      <c r="T15" s="2" t="str">
        <f>IF(Source!$C15&gt;=COLUMNS($A15:T15), Source!$G15, "")</f>
        <v/>
      </c>
      <c r="U15" s="2" t="str">
        <f>IF(Source!$C15&gt;=COLUMNS($A15:U15), Source!$G15, "")</f>
        <v/>
      </c>
      <c r="V15" s="2" t="str">
        <f>IF(Source!$C15&gt;=COLUMNS($A15:V15), Source!$G15, "")</f>
        <v/>
      </c>
      <c r="W15" s="2" t="str">
        <f>IF(Source!$C15&gt;=COLUMNS($A15:W15), Source!$G15, "")</f>
        <v/>
      </c>
      <c r="X15" s="2" t="str">
        <f>IF(Source!$C15&gt;=COLUMNS($A15:X15), Source!$G15, "")</f>
        <v/>
      </c>
      <c r="Y15" s="2" t="str">
        <f>IF(Source!$C15&gt;=COLUMNS($A15:Y15), Source!$G15, "")</f>
        <v/>
      </c>
      <c r="Z15" s="2" t="str">
        <f>IF(Source!$C15&gt;=COLUMNS($A15:Z15), Source!$G15, "")</f>
        <v/>
      </c>
      <c r="AA15" s="2" t="str">
        <f>IF(Source!$C15&gt;=COLUMNS($A15:AA15), Source!$G15, "")</f>
        <v/>
      </c>
      <c r="AB15" s="2" t="str">
        <f>IF(Source!$C15&gt;=COLUMNS($A15:AB15), Source!$G15, "")</f>
        <v/>
      </c>
      <c r="AC15" s="2" t="str">
        <f>IF(Source!$C15&gt;=COLUMNS($A15:AC15), Source!$G15, "")</f>
        <v/>
      </c>
      <c r="AD15" s="2" t="str">
        <f>IF(Source!$C15&gt;=COLUMNS($A15:AD15), Source!$G15, "")</f>
        <v/>
      </c>
      <c r="AE15" s="2" t="str">
        <f>IF(Source!$C15&gt;=COLUMNS($A15:AE15), Source!$G15, "")</f>
        <v/>
      </c>
      <c r="AF15" s="2" t="str">
        <f>IF(Source!$C15&gt;=COLUMNS($A15:AF15), Source!$G15, "")</f>
        <v/>
      </c>
      <c r="AG15" s="2" t="str">
        <f>IF(Source!$C15&gt;=COLUMNS($A15:AG15), Source!$G15, "")</f>
        <v/>
      </c>
      <c r="AH15" s="2" t="str">
        <f>IF(Source!$C15&gt;=COLUMNS($A15:AH15), Source!$G15, "")</f>
        <v/>
      </c>
      <c r="AI15" s="2" t="str">
        <f>IF(Source!$C15&gt;=COLUMNS($A15:AI15), Source!$G15, "")</f>
        <v/>
      </c>
      <c r="AJ15" s="2" t="str">
        <f>IF(Source!$C15&gt;=COLUMNS($A15:AJ15), Source!$G15, "")</f>
        <v/>
      </c>
      <c r="AK15" s="2" t="str">
        <f>IF(Source!$C15&gt;=COLUMNS($A15:AK15), Source!$G15, "")</f>
        <v/>
      </c>
      <c r="AL15" s="2" t="str">
        <f>IF(Source!$C15&gt;=COLUMNS($A15:AL15), Source!$G15, "")</f>
        <v/>
      </c>
      <c r="AM15" s="2" t="str">
        <f>IF(Source!$C15&gt;=COLUMNS($A15:AM15), Source!$G15, "")</f>
        <v/>
      </c>
      <c r="AN15" s="2" t="str">
        <f>IF(Source!$C15&gt;=COLUMNS($A15:AN15), Source!$G15, "")</f>
        <v/>
      </c>
      <c r="AO15" s="2" t="str">
        <f>IF(Source!$C15&gt;=COLUMNS($A15:AO15), Source!$G15, "")</f>
        <v/>
      </c>
      <c r="AP15" s="2" t="str">
        <f>IF(Source!$C15&gt;=COLUMNS($A15:AP15), Source!$G15, "")</f>
        <v/>
      </c>
      <c r="AQ15" s="2" t="str">
        <f>IF(Source!$C15&gt;=COLUMNS($A15:AQ15), Source!$G15, "")</f>
        <v/>
      </c>
      <c r="AR15" s="2" t="str">
        <f>IF(Source!$C15&gt;=COLUMNS($A15:AR15), Source!$G15, "")</f>
        <v/>
      </c>
    </row>
    <row r="16">
      <c r="A16" s="2">
        <f>IF(Source!$C16&gt;=COLUMNS($A16:A16), Source!$G16, "")</f>
        <v>7</v>
      </c>
      <c r="B16" s="2" t="str">
        <f>IF(Source!$C16&gt;=COLUMNS($A16:B16), Source!$G16, "")</f>
        <v/>
      </c>
      <c r="C16" s="2" t="str">
        <f>IF(Source!$C16&gt;=COLUMNS($A16:C16), Source!$G16, "")</f>
        <v/>
      </c>
      <c r="D16" s="2" t="str">
        <f>IF(Source!$C16&gt;=COLUMNS($A16:D16), Source!$G16, "")</f>
        <v/>
      </c>
      <c r="E16" s="2" t="str">
        <f>IF(Source!$C16&gt;=COLUMNS($A16:E16), Source!$G16, "")</f>
        <v/>
      </c>
      <c r="F16" s="2" t="str">
        <f>IF(Source!$C16&gt;=COLUMNS($A16:F16), Source!$G16, "")</f>
        <v/>
      </c>
      <c r="G16" s="2" t="str">
        <f>IF(Source!$C16&gt;=COLUMNS($A16:G16), Source!$G16, "")</f>
        <v/>
      </c>
      <c r="H16" s="2" t="str">
        <f>IF(Source!$C16&gt;=COLUMNS($A16:H16), Source!$G16, "")</f>
        <v/>
      </c>
      <c r="I16" s="2" t="str">
        <f>IF(Source!$C16&gt;=COLUMNS($A16:I16), Source!$G16, "")</f>
        <v/>
      </c>
      <c r="J16" s="2" t="str">
        <f>IF(Source!$C16&gt;=COLUMNS($A16:J16), Source!$G16, "")</f>
        <v/>
      </c>
      <c r="K16" s="2" t="str">
        <f>IF(Source!$C16&gt;=COLUMNS($A16:K16), Source!$G16, "")</f>
        <v/>
      </c>
      <c r="L16" s="2" t="str">
        <f>IF(Source!$C16&gt;=COLUMNS($A16:L16), Source!$G16, "")</f>
        <v/>
      </c>
      <c r="M16" s="2" t="str">
        <f>IF(Source!$C16&gt;=COLUMNS($A16:M16), Source!$G16, "")</f>
        <v/>
      </c>
      <c r="N16" s="2" t="str">
        <f>IF(Source!$C16&gt;=COLUMNS($A16:N16), Source!$G16, "")</f>
        <v/>
      </c>
      <c r="O16" s="2" t="str">
        <f>IF(Source!$C16&gt;=COLUMNS($A16:O16), Source!$G16, "")</f>
        <v/>
      </c>
      <c r="P16" s="2" t="str">
        <f>IF(Source!$C16&gt;=COLUMNS($A16:P16), Source!$G16, "")</f>
        <v/>
      </c>
      <c r="Q16" s="2" t="str">
        <f>IF(Source!$C16&gt;=COLUMNS($A16:Q16), Source!$G16, "")</f>
        <v/>
      </c>
      <c r="R16" s="2" t="str">
        <f>IF(Source!$C16&gt;=COLUMNS($A16:R16), Source!$G16, "")</f>
        <v/>
      </c>
      <c r="S16" s="2" t="str">
        <f>IF(Source!$C16&gt;=COLUMNS($A16:S16), Source!$G16, "")</f>
        <v/>
      </c>
      <c r="T16" s="2" t="str">
        <f>IF(Source!$C16&gt;=COLUMNS($A16:T16), Source!$G16, "")</f>
        <v/>
      </c>
      <c r="U16" s="2" t="str">
        <f>IF(Source!$C16&gt;=COLUMNS($A16:U16), Source!$G16, "")</f>
        <v/>
      </c>
      <c r="V16" s="2" t="str">
        <f>IF(Source!$C16&gt;=COLUMNS($A16:V16), Source!$G16, "")</f>
        <v/>
      </c>
      <c r="W16" s="2" t="str">
        <f>IF(Source!$C16&gt;=COLUMNS($A16:W16), Source!$G16, "")</f>
        <v/>
      </c>
      <c r="X16" s="2" t="str">
        <f>IF(Source!$C16&gt;=COLUMNS($A16:X16), Source!$G16, "")</f>
        <v/>
      </c>
      <c r="Y16" s="2" t="str">
        <f>IF(Source!$C16&gt;=COLUMNS($A16:Y16), Source!$G16, "")</f>
        <v/>
      </c>
      <c r="Z16" s="2" t="str">
        <f>IF(Source!$C16&gt;=COLUMNS($A16:Z16), Source!$G16, "")</f>
        <v/>
      </c>
      <c r="AA16" s="2" t="str">
        <f>IF(Source!$C16&gt;=COLUMNS($A16:AA16), Source!$G16, "")</f>
        <v/>
      </c>
      <c r="AB16" s="2" t="str">
        <f>IF(Source!$C16&gt;=COLUMNS($A16:AB16), Source!$G16, "")</f>
        <v/>
      </c>
      <c r="AC16" s="2" t="str">
        <f>IF(Source!$C16&gt;=COLUMNS($A16:AC16), Source!$G16, "")</f>
        <v/>
      </c>
      <c r="AD16" s="2" t="str">
        <f>IF(Source!$C16&gt;=COLUMNS($A16:AD16), Source!$G16, "")</f>
        <v/>
      </c>
      <c r="AE16" s="2" t="str">
        <f>IF(Source!$C16&gt;=COLUMNS($A16:AE16), Source!$G16, "")</f>
        <v/>
      </c>
      <c r="AF16" s="2" t="str">
        <f>IF(Source!$C16&gt;=COLUMNS($A16:AF16), Source!$G16, "")</f>
        <v/>
      </c>
      <c r="AG16" s="2" t="str">
        <f>IF(Source!$C16&gt;=COLUMNS($A16:AG16), Source!$G16, "")</f>
        <v/>
      </c>
      <c r="AH16" s="2" t="str">
        <f>IF(Source!$C16&gt;=COLUMNS($A16:AH16), Source!$G16, "")</f>
        <v/>
      </c>
      <c r="AI16" s="2" t="str">
        <f>IF(Source!$C16&gt;=COLUMNS($A16:AI16), Source!$G16, "")</f>
        <v/>
      </c>
      <c r="AJ16" s="2" t="str">
        <f>IF(Source!$C16&gt;=COLUMNS($A16:AJ16), Source!$G16, "")</f>
        <v/>
      </c>
      <c r="AK16" s="2" t="str">
        <f>IF(Source!$C16&gt;=COLUMNS($A16:AK16), Source!$G16, "")</f>
        <v/>
      </c>
      <c r="AL16" s="2" t="str">
        <f>IF(Source!$C16&gt;=COLUMNS($A16:AL16), Source!$G16, "")</f>
        <v/>
      </c>
      <c r="AM16" s="2" t="str">
        <f>IF(Source!$C16&gt;=COLUMNS($A16:AM16), Source!$G16, "")</f>
        <v/>
      </c>
      <c r="AN16" s="2" t="str">
        <f>IF(Source!$C16&gt;=COLUMNS($A16:AN16), Source!$G16, "")</f>
        <v/>
      </c>
      <c r="AO16" s="2" t="str">
        <f>IF(Source!$C16&gt;=COLUMNS($A16:AO16), Source!$G16, "")</f>
        <v/>
      </c>
      <c r="AP16" s="2" t="str">
        <f>IF(Source!$C16&gt;=COLUMNS($A16:AP16), Source!$G16, "")</f>
        <v/>
      </c>
      <c r="AQ16" s="2" t="str">
        <f>IF(Source!$C16&gt;=COLUMNS($A16:AQ16), Source!$G16, "")</f>
        <v/>
      </c>
      <c r="AR16" s="2" t="str">
        <f>IF(Source!$C16&gt;=COLUMNS($A16:AR16), Source!$G16, "")</f>
        <v/>
      </c>
    </row>
    <row r="17">
      <c r="A17" s="2">
        <f>IF(Source!$C17&gt;=COLUMNS($A17:A17), Source!$G17, "")</f>
        <v>7</v>
      </c>
      <c r="B17" s="2">
        <f>IF(Source!$C17&gt;=COLUMNS($A17:B17), Source!$G17, "")</f>
        <v>7</v>
      </c>
      <c r="C17" s="2">
        <f>IF(Source!$C17&gt;=COLUMNS($A17:C17), Source!$G17, "")</f>
        <v>7</v>
      </c>
      <c r="D17" s="2">
        <f>IF(Source!$C17&gt;=COLUMNS($A17:D17), Source!$G17, "")</f>
        <v>7</v>
      </c>
      <c r="E17" s="2">
        <f>IF(Source!$C17&gt;=COLUMNS($A17:E17), Source!$G17, "")</f>
        <v>7</v>
      </c>
      <c r="F17" s="2">
        <f>IF(Source!$C17&gt;=COLUMNS($A17:F17), Source!$G17, "")</f>
        <v>7</v>
      </c>
      <c r="G17" s="2">
        <f>IF(Source!$C17&gt;=COLUMNS($A17:G17), Source!$G17, "")</f>
        <v>7</v>
      </c>
      <c r="H17" s="2">
        <f>IF(Source!$C17&gt;=COLUMNS($A17:H17), Source!$G17, "")</f>
        <v>7</v>
      </c>
      <c r="I17" s="2" t="str">
        <f>IF(Source!$C17&gt;=COLUMNS($A17:I17), Source!$G17, "")</f>
        <v/>
      </c>
      <c r="J17" s="2" t="str">
        <f>IF(Source!$C17&gt;=COLUMNS($A17:J17), Source!$G17, "")</f>
        <v/>
      </c>
      <c r="K17" s="2" t="str">
        <f>IF(Source!$C17&gt;=COLUMNS($A17:K17), Source!$G17, "")</f>
        <v/>
      </c>
      <c r="L17" s="2" t="str">
        <f>IF(Source!$C17&gt;=COLUMNS($A17:L17), Source!$G17, "")</f>
        <v/>
      </c>
      <c r="M17" s="2" t="str">
        <f>IF(Source!$C17&gt;=COLUMNS($A17:M17), Source!$G17, "")</f>
        <v/>
      </c>
      <c r="N17" s="2" t="str">
        <f>IF(Source!$C17&gt;=COLUMNS($A17:N17), Source!$G17, "")</f>
        <v/>
      </c>
      <c r="O17" s="2" t="str">
        <f>IF(Source!$C17&gt;=COLUMNS($A17:O17), Source!$G17, "")</f>
        <v/>
      </c>
      <c r="P17" s="2" t="str">
        <f>IF(Source!$C17&gt;=COLUMNS($A17:P17), Source!$G17, "")</f>
        <v/>
      </c>
      <c r="Q17" s="2" t="str">
        <f>IF(Source!$C17&gt;=COLUMNS($A17:Q17), Source!$G17, "")</f>
        <v/>
      </c>
      <c r="R17" s="2" t="str">
        <f>IF(Source!$C17&gt;=COLUMNS($A17:R17), Source!$G17, "")</f>
        <v/>
      </c>
      <c r="S17" s="2" t="str">
        <f>IF(Source!$C17&gt;=COLUMNS($A17:S17), Source!$G17, "")</f>
        <v/>
      </c>
      <c r="T17" s="2" t="str">
        <f>IF(Source!$C17&gt;=COLUMNS($A17:T17), Source!$G17, "")</f>
        <v/>
      </c>
      <c r="U17" s="2" t="str">
        <f>IF(Source!$C17&gt;=COLUMNS($A17:U17), Source!$G17, "")</f>
        <v/>
      </c>
      <c r="V17" s="2" t="str">
        <f>IF(Source!$C17&gt;=COLUMNS($A17:V17), Source!$G17, "")</f>
        <v/>
      </c>
      <c r="W17" s="2" t="str">
        <f>IF(Source!$C17&gt;=COLUMNS($A17:W17), Source!$G17, "")</f>
        <v/>
      </c>
      <c r="X17" s="2" t="str">
        <f>IF(Source!$C17&gt;=COLUMNS($A17:X17), Source!$G17, "")</f>
        <v/>
      </c>
      <c r="Y17" s="2" t="str">
        <f>IF(Source!$C17&gt;=COLUMNS($A17:Y17), Source!$G17, "")</f>
        <v/>
      </c>
      <c r="Z17" s="2" t="str">
        <f>IF(Source!$C17&gt;=COLUMNS($A17:Z17), Source!$G17, "")</f>
        <v/>
      </c>
      <c r="AA17" s="2" t="str">
        <f>IF(Source!$C17&gt;=COLUMNS($A17:AA17), Source!$G17, "")</f>
        <v/>
      </c>
      <c r="AB17" s="2" t="str">
        <f>IF(Source!$C17&gt;=COLUMNS($A17:AB17), Source!$G17, "")</f>
        <v/>
      </c>
      <c r="AC17" s="2" t="str">
        <f>IF(Source!$C17&gt;=COLUMNS($A17:AC17), Source!$G17, "")</f>
        <v/>
      </c>
      <c r="AD17" s="2" t="str">
        <f>IF(Source!$C17&gt;=COLUMNS($A17:AD17), Source!$G17, "")</f>
        <v/>
      </c>
      <c r="AE17" s="2" t="str">
        <f>IF(Source!$C17&gt;=COLUMNS($A17:AE17), Source!$G17, "")</f>
        <v/>
      </c>
      <c r="AF17" s="2" t="str">
        <f>IF(Source!$C17&gt;=COLUMNS($A17:AF17), Source!$G17, "")</f>
        <v/>
      </c>
      <c r="AG17" s="2" t="str">
        <f>IF(Source!$C17&gt;=COLUMNS($A17:AG17), Source!$G17, "")</f>
        <v/>
      </c>
      <c r="AH17" s="2" t="str">
        <f>IF(Source!$C17&gt;=COLUMNS($A17:AH17), Source!$G17, "")</f>
        <v/>
      </c>
      <c r="AI17" s="2" t="str">
        <f>IF(Source!$C17&gt;=COLUMNS($A17:AI17), Source!$G17, "")</f>
        <v/>
      </c>
      <c r="AJ17" s="2" t="str">
        <f>IF(Source!$C17&gt;=COLUMNS($A17:AJ17), Source!$G17, "")</f>
        <v/>
      </c>
      <c r="AK17" s="2" t="str">
        <f>IF(Source!$C17&gt;=COLUMNS($A17:AK17), Source!$G17, "")</f>
        <v/>
      </c>
      <c r="AL17" s="2" t="str">
        <f>IF(Source!$C17&gt;=COLUMNS($A17:AL17), Source!$G17, "")</f>
        <v/>
      </c>
      <c r="AM17" s="2" t="str">
        <f>IF(Source!$C17&gt;=COLUMNS($A17:AM17), Source!$G17, "")</f>
        <v/>
      </c>
      <c r="AN17" s="2" t="str">
        <f>IF(Source!$C17&gt;=COLUMNS($A17:AN17), Source!$G17, "")</f>
        <v/>
      </c>
      <c r="AO17" s="2" t="str">
        <f>IF(Source!$C17&gt;=COLUMNS($A17:AO17), Source!$G17, "")</f>
        <v/>
      </c>
      <c r="AP17" s="2" t="str">
        <f>IF(Source!$C17&gt;=COLUMNS($A17:AP17), Source!$G17, "")</f>
        <v/>
      </c>
      <c r="AQ17" s="2" t="str">
        <f>IF(Source!$C17&gt;=COLUMNS($A17:AQ17), Source!$G17, "")</f>
        <v/>
      </c>
      <c r="AR17" s="2" t="str">
        <f>IF(Source!$C17&gt;=COLUMNS($A17:AR17), Source!$G17, "")</f>
        <v/>
      </c>
    </row>
    <row r="18">
      <c r="A18" s="2">
        <f>IF(Source!$C18&gt;=COLUMNS($A18:A18), Source!$G18, "")</f>
        <v>8</v>
      </c>
      <c r="B18" s="2">
        <f>IF(Source!$C18&gt;=COLUMNS($A18:B18), Source!$G18, "")</f>
        <v>8</v>
      </c>
      <c r="C18" s="2">
        <f>IF(Source!$C18&gt;=COLUMNS($A18:C18), Source!$G18, "")</f>
        <v>8</v>
      </c>
      <c r="D18" s="2">
        <f>IF(Source!$C18&gt;=COLUMNS($A18:D18), Source!$G18, "")</f>
        <v>8</v>
      </c>
      <c r="E18" s="2">
        <f>IF(Source!$C18&gt;=COLUMNS($A18:E18), Source!$G18, "")</f>
        <v>8</v>
      </c>
      <c r="F18" s="2" t="str">
        <f>IF(Source!$C18&gt;=COLUMNS($A18:F18), Source!$G18, "")</f>
        <v/>
      </c>
      <c r="G18" s="2" t="str">
        <f>IF(Source!$C18&gt;=COLUMNS($A18:G18), Source!$G18, "")</f>
        <v/>
      </c>
      <c r="H18" s="2" t="str">
        <f>IF(Source!$C18&gt;=COLUMNS($A18:H18), Source!$G18, "")</f>
        <v/>
      </c>
      <c r="I18" s="2" t="str">
        <f>IF(Source!$C18&gt;=COLUMNS($A18:I18), Source!$G18, "")</f>
        <v/>
      </c>
      <c r="J18" s="2" t="str">
        <f>IF(Source!$C18&gt;=COLUMNS($A18:J18), Source!$G18, "")</f>
        <v/>
      </c>
      <c r="K18" s="2" t="str">
        <f>IF(Source!$C18&gt;=COLUMNS($A18:K18), Source!$G18, "")</f>
        <v/>
      </c>
      <c r="L18" s="2" t="str">
        <f>IF(Source!$C18&gt;=COLUMNS($A18:L18), Source!$G18, "")</f>
        <v/>
      </c>
      <c r="M18" s="2" t="str">
        <f>IF(Source!$C18&gt;=COLUMNS($A18:M18), Source!$G18, "")</f>
        <v/>
      </c>
      <c r="N18" s="2" t="str">
        <f>IF(Source!$C18&gt;=COLUMNS($A18:N18), Source!$G18, "")</f>
        <v/>
      </c>
      <c r="O18" s="2" t="str">
        <f>IF(Source!$C18&gt;=COLUMNS($A18:O18), Source!$G18, "")</f>
        <v/>
      </c>
      <c r="P18" s="2" t="str">
        <f>IF(Source!$C18&gt;=COLUMNS($A18:P18), Source!$G18, "")</f>
        <v/>
      </c>
      <c r="Q18" s="2" t="str">
        <f>IF(Source!$C18&gt;=COLUMNS($A18:Q18), Source!$G18, "")</f>
        <v/>
      </c>
      <c r="R18" s="2" t="str">
        <f>IF(Source!$C18&gt;=COLUMNS($A18:R18), Source!$G18, "")</f>
        <v/>
      </c>
      <c r="S18" s="2" t="str">
        <f>IF(Source!$C18&gt;=COLUMNS($A18:S18), Source!$G18, "")</f>
        <v/>
      </c>
      <c r="T18" s="2" t="str">
        <f>IF(Source!$C18&gt;=COLUMNS($A18:T18), Source!$G18, "")</f>
        <v/>
      </c>
      <c r="U18" s="2" t="str">
        <f>IF(Source!$C18&gt;=COLUMNS($A18:U18), Source!$G18, "")</f>
        <v/>
      </c>
      <c r="V18" s="2" t="str">
        <f>IF(Source!$C18&gt;=COLUMNS($A18:V18), Source!$G18, "")</f>
        <v/>
      </c>
      <c r="W18" s="2" t="str">
        <f>IF(Source!$C18&gt;=COLUMNS($A18:W18), Source!$G18, "")</f>
        <v/>
      </c>
      <c r="X18" s="2" t="str">
        <f>IF(Source!$C18&gt;=COLUMNS($A18:X18), Source!$G18, "")</f>
        <v/>
      </c>
      <c r="Y18" s="2" t="str">
        <f>IF(Source!$C18&gt;=COLUMNS($A18:Y18), Source!$G18, "")</f>
        <v/>
      </c>
      <c r="Z18" s="2" t="str">
        <f>IF(Source!$C18&gt;=COLUMNS($A18:Z18), Source!$G18, "")</f>
        <v/>
      </c>
      <c r="AA18" s="2" t="str">
        <f>IF(Source!$C18&gt;=COLUMNS($A18:AA18), Source!$G18, "")</f>
        <v/>
      </c>
      <c r="AB18" s="2" t="str">
        <f>IF(Source!$C18&gt;=COLUMNS($A18:AB18), Source!$G18, "")</f>
        <v/>
      </c>
      <c r="AC18" s="2" t="str">
        <f>IF(Source!$C18&gt;=COLUMNS($A18:AC18), Source!$G18, "")</f>
        <v/>
      </c>
      <c r="AD18" s="2" t="str">
        <f>IF(Source!$C18&gt;=COLUMNS($A18:AD18), Source!$G18, "")</f>
        <v/>
      </c>
      <c r="AE18" s="2" t="str">
        <f>IF(Source!$C18&gt;=COLUMNS($A18:AE18), Source!$G18, "")</f>
        <v/>
      </c>
      <c r="AF18" s="2" t="str">
        <f>IF(Source!$C18&gt;=COLUMNS($A18:AF18), Source!$G18, "")</f>
        <v/>
      </c>
      <c r="AG18" s="2" t="str">
        <f>IF(Source!$C18&gt;=COLUMNS($A18:AG18), Source!$G18, "")</f>
        <v/>
      </c>
      <c r="AH18" s="2" t="str">
        <f>IF(Source!$C18&gt;=COLUMNS($A18:AH18), Source!$G18, "")</f>
        <v/>
      </c>
      <c r="AI18" s="2" t="str">
        <f>IF(Source!$C18&gt;=COLUMNS($A18:AI18), Source!$G18, "")</f>
        <v/>
      </c>
      <c r="AJ18" s="2" t="str">
        <f>IF(Source!$C18&gt;=COLUMNS($A18:AJ18), Source!$G18, "")</f>
        <v/>
      </c>
      <c r="AK18" s="2" t="str">
        <f>IF(Source!$C18&gt;=COLUMNS($A18:AK18), Source!$G18, "")</f>
        <v/>
      </c>
      <c r="AL18" s="2" t="str">
        <f>IF(Source!$C18&gt;=COLUMNS($A18:AL18), Source!$G18, "")</f>
        <v/>
      </c>
      <c r="AM18" s="2" t="str">
        <f>IF(Source!$C18&gt;=COLUMNS($A18:AM18), Source!$G18, "")</f>
        <v/>
      </c>
      <c r="AN18" s="2" t="str">
        <f>IF(Source!$C18&gt;=COLUMNS($A18:AN18), Source!$G18, "")</f>
        <v/>
      </c>
      <c r="AO18" s="2" t="str">
        <f>IF(Source!$C18&gt;=COLUMNS($A18:AO18), Source!$G18, "")</f>
        <v/>
      </c>
      <c r="AP18" s="2" t="str">
        <f>IF(Source!$C18&gt;=COLUMNS($A18:AP18), Source!$G18, "")</f>
        <v/>
      </c>
      <c r="AQ18" s="2" t="str">
        <f>IF(Source!$C18&gt;=COLUMNS($A18:AQ18), Source!$G18, "")</f>
        <v/>
      </c>
      <c r="AR18" s="2" t="str">
        <f>IF(Source!$C18&gt;=COLUMNS($A18:AR18), Source!$G18, "")</f>
        <v/>
      </c>
    </row>
    <row r="19">
      <c r="A19" s="2">
        <f>IF(Source!$C19&gt;=COLUMNS($A19:A19), Source!$G19, "")</f>
        <v>2</v>
      </c>
      <c r="B19" s="2" t="str">
        <f>IF(Source!$C19&gt;=COLUMNS($A19:B19), Source!$G19, "")</f>
        <v/>
      </c>
      <c r="C19" s="2" t="str">
        <f>IF(Source!$C19&gt;=COLUMNS($A19:C19), Source!$G19, "")</f>
        <v/>
      </c>
      <c r="D19" s="2" t="str">
        <f>IF(Source!$C19&gt;=COLUMNS($A19:D19), Source!$G19, "")</f>
        <v/>
      </c>
      <c r="E19" s="2" t="str">
        <f>IF(Source!$C19&gt;=COLUMNS($A19:E19), Source!$G19, "")</f>
        <v/>
      </c>
      <c r="F19" s="2" t="str">
        <f>IF(Source!$C19&gt;=COLUMNS($A19:F19), Source!$G19, "")</f>
        <v/>
      </c>
      <c r="G19" s="2" t="str">
        <f>IF(Source!$C19&gt;=COLUMNS($A19:G19), Source!$G19, "")</f>
        <v/>
      </c>
      <c r="H19" s="2" t="str">
        <f>IF(Source!$C19&gt;=COLUMNS($A19:H19), Source!$G19, "")</f>
        <v/>
      </c>
      <c r="I19" s="2" t="str">
        <f>IF(Source!$C19&gt;=COLUMNS($A19:I19), Source!$G19, "")</f>
        <v/>
      </c>
      <c r="J19" s="2" t="str">
        <f>IF(Source!$C19&gt;=COLUMNS($A19:J19), Source!$G19, "")</f>
        <v/>
      </c>
      <c r="K19" s="2" t="str">
        <f>IF(Source!$C19&gt;=COLUMNS($A19:K19), Source!$G19, "")</f>
        <v/>
      </c>
      <c r="L19" s="2" t="str">
        <f>IF(Source!$C19&gt;=COLUMNS($A19:L19), Source!$G19, "")</f>
        <v/>
      </c>
      <c r="M19" s="2" t="str">
        <f>IF(Source!$C19&gt;=COLUMNS($A19:M19), Source!$G19, "")</f>
        <v/>
      </c>
      <c r="N19" s="2" t="str">
        <f>IF(Source!$C19&gt;=COLUMNS($A19:N19), Source!$G19, "")</f>
        <v/>
      </c>
      <c r="O19" s="2" t="str">
        <f>IF(Source!$C19&gt;=COLUMNS($A19:O19), Source!$G19, "")</f>
        <v/>
      </c>
      <c r="P19" s="2" t="str">
        <f>IF(Source!$C19&gt;=COLUMNS($A19:P19), Source!$G19, "")</f>
        <v/>
      </c>
      <c r="Q19" s="2" t="str">
        <f>IF(Source!$C19&gt;=COLUMNS($A19:Q19), Source!$G19, "")</f>
        <v/>
      </c>
      <c r="R19" s="2" t="str">
        <f>IF(Source!$C19&gt;=COLUMNS($A19:R19), Source!$G19, "")</f>
        <v/>
      </c>
      <c r="S19" s="2" t="str">
        <f>IF(Source!$C19&gt;=COLUMNS($A19:S19), Source!$G19, "")</f>
        <v/>
      </c>
      <c r="T19" s="2" t="str">
        <f>IF(Source!$C19&gt;=COLUMNS($A19:T19), Source!$G19, "")</f>
        <v/>
      </c>
      <c r="U19" s="2" t="str">
        <f>IF(Source!$C19&gt;=COLUMNS($A19:U19), Source!$G19, "")</f>
        <v/>
      </c>
      <c r="V19" s="2" t="str">
        <f>IF(Source!$C19&gt;=COLUMNS($A19:V19), Source!$G19, "")</f>
        <v/>
      </c>
      <c r="W19" s="2" t="str">
        <f>IF(Source!$C19&gt;=COLUMNS($A19:W19), Source!$G19, "")</f>
        <v/>
      </c>
      <c r="X19" s="2" t="str">
        <f>IF(Source!$C19&gt;=COLUMNS($A19:X19), Source!$G19, "")</f>
        <v/>
      </c>
      <c r="Y19" s="2" t="str">
        <f>IF(Source!$C19&gt;=COLUMNS($A19:Y19), Source!$G19, "")</f>
        <v/>
      </c>
      <c r="Z19" s="2" t="str">
        <f>IF(Source!$C19&gt;=COLUMNS($A19:Z19), Source!$G19, "")</f>
        <v/>
      </c>
      <c r="AA19" s="2" t="str">
        <f>IF(Source!$C19&gt;=COLUMNS($A19:AA19), Source!$G19, "")</f>
        <v/>
      </c>
      <c r="AB19" s="2" t="str">
        <f>IF(Source!$C19&gt;=COLUMNS($A19:AB19), Source!$G19, "")</f>
        <v/>
      </c>
      <c r="AC19" s="2" t="str">
        <f>IF(Source!$C19&gt;=COLUMNS($A19:AC19), Source!$G19, "")</f>
        <v/>
      </c>
      <c r="AD19" s="2" t="str">
        <f>IF(Source!$C19&gt;=COLUMNS($A19:AD19), Source!$G19, "")</f>
        <v/>
      </c>
      <c r="AE19" s="2" t="str">
        <f>IF(Source!$C19&gt;=COLUMNS($A19:AE19), Source!$G19, "")</f>
        <v/>
      </c>
      <c r="AF19" s="2" t="str">
        <f>IF(Source!$C19&gt;=COLUMNS($A19:AF19), Source!$G19, "")</f>
        <v/>
      </c>
      <c r="AG19" s="2" t="str">
        <f>IF(Source!$C19&gt;=COLUMNS($A19:AG19), Source!$G19, "")</f>
        <v/>
      </c>
      <c r="AH19" s="2" t="str">
        <f>IF(Source!$C19&gt;=COLUMNS($A19:AH19), Source!$G19, "")</f>
        <v/>
      </c>
      <c r="AI19" s="2" t="str">
        <f>IF(Source!$C19&gt;=COLUMNS($A19:AI19), Source!$G19, "")</f>
        <v/>
      </c>
      <c r="AJ19" s="2" t="str">
        <f>IF(Source!$C19&gt;=COLUMNS($A19:AJ19), Source!$G19, "")</f>
        <v/>
      </c>
      <c r="AK19" s="2" t="str">
        <f>IF(Source!$C19&gt;=COLUMNS($A19:AK19), Source!$G19, "")</f>
        <v/>
      </c>
      <c r="AL19" s="2" t="str">
        <f>IF(Source!$C19&gt;=COLUMNS($A19:AL19), Source!$G19, "")</f>
        <v/>
      </c>
      <c r="AM19" s="2" t="str">
        <f>IF(Source!$C19&gt;=COLUMNS($A19:AM19), Source!$G19, "")</f>
        <v/>
      </c>
      <c r="AN19" s="2" t="str">
        <f>IF(Source!$C19&gt;=COLUMNS($A19:AN19), Source!$G19, "")</f>
        <v/>
      </c>
      <c r="AO19" s="2" t="str">
        <f>IF(Source!$C19&gt;=COLUMNS($A19:AO19), Source!$G19, "")</f>
        <v/>
      </c>
      <c r="AP19" s="2" t="str">
        <f>IF(Source!$C19&gt;=COLUMNS($A19:AP19), Source!$G19, "")</f>
        <v/>
      </c>
      <c r="AQ19" s="2" t="str">
        <f>IF(Source!$C19&gt;=COLUMNS($A19:AQ19), Source!$G19, "")</f>
        <v/>
      </c>
      <c r="AR19" s="2" t="str">
        <f>IF(Source!$C19&gt;=COLUMNS($A19:AR19), Source!$G19, "")</f>
        <v/>
      </c>
    </row>
    <row r="20">
      <c r="A20" s="2">
        <f>IF(Source!$C20&gt;=COLUMNS($A20:A20), Source!$G20, "")</f>
        <v>4</v>
      </c>
      <c r="B20" s="2">
        <f>IF(Source!$C20&gt;=COLUMNS($A20:B20), Source!$G20, "")</f>
        <v>4</v>
      </c>
      <c r="C20" s="2" t="str">
        <f>IF(Source!$C20&gt;=COLUMNS($A20:C20), Source!$G20, "")</f>
        <v/>
      </c>
      <c r="D20" s="2" t="str">
        <f>IF(Source!$C20&gt;=COLUMNS($A20:D20), Source!$G20, "")</f>
        <v/>
      </c>
      <c r="E20" s="2" t="str">
        <f>IF(Source!$C20&gt;=COLUMNS($A20:E20), Source!$G20, "")</f>
        <v/>
      </c>
      <c r="F20" s="2" t="str">
        <f>IF(Source!$C20&gt;=COLUMNS($A20:F20), Source!$G20, "")</f>
        <v/>
      </c>
      <c r="G20" s="2" t="str">
        <f>IF(Source!$C20&gt;=COLUMNS($A20:G20), Source!$G20, "")</f>
        <v/>
      </c>
      <c r="H20" s="2" t="str">
        <f>IF(Source!$C20&gt;=COLUMNS($A20:H20), Source!$G20, "")</f>
        <v/>
      </c>
      <c r="I20" s="2" t="str">
        <f>IF(Source!$C20&gt;=COLUMNS($A20:I20), Source!$G20, "")</f>
        <v/>
      </c>
      <c r="J20" s="2" t="str">
        <f>IF(Source!$C20&gt;=COLUMNS($A20:J20), Source!$G20, "")</f>
        <v/>
      </c>
      <c r="K20" s="2" t="str">
        <f>IF(Source!$C20&gt;=COLUMNS($A20:K20), Source!$G20, "")</f>
        <v/>
      </c>
      <c r="L20" s="2" t="str">
        <f>IF(Source!$C20&gt;=COLUMNS($A20:L20), Source!$G20, "")</f>
        <v/>
      </c>
      <c r="M20" s="2" t="str">
        <f>IF(Source!$C20&gt;=COLUMNS($A20:M20), Source!$G20, "")</f>
        <v/>
      </c>
      <c r="N20" s="2" t="str">
        <f>IF(Source!$C20&gt;=COLUMNS($A20:N20), Source!$G20, "")</f>
        <v/>
      </c>
      <c r="O20" s="2" t="str">
        <f>IF(Source!$C20&gt;=COLUMNS($A20:O20), Source!$G20, "")</f>
        <v/>
      </c>
      <c r="P20" s="2" t="str">
        <f>IF(Source!$C20&gt;=COLUMNS($A20:P20), Source!$G20, "")</f>
        <v/>
      </c>
      <c r="Q20" s="2" t="str">
        <f>IF(Source!$C20&gt;=COLUMNS($A20:Q20), Source!$G20, "")</f>
        <v/>
      </c>
      <c r="R20" s="2" t="str">
        <f>IF(Source!$C20&gt;=COLUMNS($A20:R20), Source!$G20, "")</f>
        <v/>
      </c>
      <c r="S20" s="2" t="str">
        <f>IF(Source!$C20&gt;=COLUMNS($A20:S20), Source!$G20, "")</f>
        <v/>
      </c>
      <c r="T20" s="2" t="str">
        <f>IF(Source!$C20&gt;=COLUMNS($A20:T20), Source!$G20, "")</f>
        <v/>
      </c>
      <c r="U20" s="2" t="str">
        <f>IF(Source!$C20&gt;=COLUMNS($A20:U20), Source!$G20, "")</f>
        <v/>
      </c>
      <c r="V20" s="2" t="str">
        <f>IF(Source!$C20&gt;=COLUMNS($A20:V20), Source!$G20, "")</f>
        <v/>
      </c>
      <c r="W20" s="2" t="str">
        <f>IF(Source!$C20&gt;=COLUMNS($A20:W20), Source!$G20, "")</f>
        <v/>
      </c>
      <c r="X20" s="2" t="str">
        <f>IF(Source!$C20&gt;=COLUMNS($A20:X20), Source!$G20, "")</f>
        <v/>
      </c>
      <c r="Y20" s="2" t="str">
        <f>IF(Source!$C20&gt;=COLUMNS($A20:Y20), Source!$G20, "")</f>
        <v/>
      </c>
      <c r="Z20" s="2" t="str">
        <f>IF(Source!$C20&gt;=COLUMNS($A20:Z20), Source!$G20, "")</f>
        <v/>
      </c>
      <c r="AA20" s="2" t="str">
        <f>IF(Source!$C20&gt;=COLUMNS($A20:AA20), Source!$G20, "")</f>
        <v/>
      </c>
      <c r="AB20" s="2" t="str">
        <f>IF(Source!$C20&gt;=COLUMNS($A20:AB20), Source!$G20, "")</f>
        <v/>
      </c>
      <c r="AC20" s="2" t="str">
        <f>IF(Source!$C20&gt;=COLUMNS($A20:AC20), Source!$G20, "")</f>
        <v/>
      </c>
      <c r="AD20" s="2" t="str">
        <f>IF(Source!$C20&gt;=COLUMNS($A20:AD20), Source!$G20, "")</f>
        <v/>
      </c>
      <c r="AE20" s="2" t="str">
        <f>IF(Source!$C20&gt;=COLUMNS($A20:AE20), Source!$G20, "")</f>
        <v/>
      </c>
      <c r="AF20" s="2" t="str">
        <f>IF(Source!$C20&gt;=COLUMNS($A20:AF20), Source!$G20, "")</f>
        <v/>
      </c>
      <c r="AG20" s="2" t="str">
        <f>IF(Source!$C20&gt;=COLUMNS($A20:AG20), Source!$G20, "")</f>
        <v/>
      </c>
      <c r="AH20" s="2" t="str">
        <f>IF(Source!$C20&gt;=COLUMNS($A20:AH20), Source!$G20, "")</f>
        <v/>
      </c>
      <c r="AI20" s="2" t="str">
        <f>IF(Source!$C20&gt;=COLUMNS($A20:AI20), Source!$G20, "")</f>
        <v/>
      </c>
      <c r="AJ20" s="2" t="str">
        <f>IF(Source!$C20&gt;=COLUMNS($A20:AJ20), Source!$G20, "")</f>
        <v/>
      </c>
      <c r="AK20" s="2" t="str">
        <f>IF(Source!$C20&gt;=COLUMNS($A20:AK20), Source!$G20, "")</f>
        <v/>
      </c>
      <c r="AL20" s="2" t="str">
        <f>IF(Source!$C20&gt;=COLUMNS($A20:AL20), Source!$G20, "")</f>
        <v/>
      </c>
      <c r="AM20" s="2" t="str">
        <f>IF(Source!$C20&gt;=COLUMNS($A20:AM20), Source!$G20, "")</f>
        <v/>
      </c>
      <c r="AN20" s="2" t="str">
        <f>IF(Source!$C20&gt;=COLUMNS($A20:AN20), Source!$G20, "")</f>
        <v/>
      </c>
      <c r="AO20" s="2" t="str">
        <f>IF(Source!$C20&gt;=COLUMNS($A20:AO20), Source!$G20, "")</f>
        <v/>
      </c>
      <c r="AP20" s="2" t="str">
        <f>IF(Source!$C20&gt;=COLUMNS($A20:AP20), Source!$G20, "")</f>
        <v/>
      </c>
      <c r="AQ20" s="2" t="str">
        <f>IF(Source!$C20&gt;=COLUMNS($A20:AQ20), Source!$G20, "")</f>
        <v/>
      </c>
      <c r="AR20" s="2" t="str">
        <f>IF(Source!$C20&gt;=COLUMNS($A20:AR20), Source!$G20, "")</f>
        <v/>
      </c>
    </row>
    <row r="21">
      <c r="A21" s="2">
        <f>IF(Source!$C21&gt;=COLUMNS($A21:A21), Source!$G21, "")</f>
        <v>1</v>
      </c>
      <c r="B21" s="2">
        <f>IF(Source!$C21&gt;=COLUMNS($A21:B21), Source!$G21, "")</f>
        <v>1</v>
      </c>
      <c r="C21" s="2">
        <f>IF(Source!$C21&gt;=COLUMNS($A21:C21), Source!$G21, "")</f>
        <v>1</v>
      </c>
      <c r="D21" s="2">
        <f>IF(Source!$C21&gt;=COLUMNS($A21:D21), Source!$G21, "")</f>
        <v>1</v>
      </c>
      <c r="E21" s="2">
        <f>IF(Source!$C21&gt;=COLUMNS($A21:E21), Source!$G21, "")</f>
        <v>1</v>
      </c>
      <c r="F21" s="2">
        <f>IF(Source!$C21&gt;=COLUMNS($A21:F21), Source!$G21, "")</f>
        <v>1</v>
      </c>
      <c r="G21" s="2">
        <f>IF(Source!$C21&gt;=COLUMNS($A21:G21), Source!$G21, "")</f>
        <v>1</v>
      </c>
      <c r="H21" s="2">
        <f>IF(Source!$C21&gt;=COLUMNS($A21:H21), Source!$G21, "")</f>
        <v>1</v>
      </c>
      <c r="I21" s="2">
        <f>IF(Source!$C21&gt;=COLUMNS($A21:I21), Source!$G21, "")</f>
        <v>1</v>
      </c>
      <c r="J21" s="2" t="str">
        <f>IF(Source!$C21&gt;=COLUMNS($A21:J21), Source!$G21, "")</f>
        <v/>
      </c>
      <c r="K21" s="2" t="str">
        <f>IF(Source!$C21&gt;=COLUMNS($A21:K21), Source!$G21, "")</f>
        <v/>
      </c>
      <c r="L21" s="2" t="str">
        <f>IF(Source!$C21&gt;=COLUMNS($A21:L21), Source!$G21, "")</f>
        <v/>
      </c>
      <c r="M21" s="2" t="str">
        <f>IF(Source!$C21&gt;=COLUMNS($A21:M21), Source!$G21, "")</f>
        <v/>
      </c>
      <c r="N21" s="2" t="str">
        <f>IF(Source!$C21&gt;=COLUMNS($A21:N21), Source!$G21, "")</f>
        <v/>
      </c>
      <c r="O21" s="2" t="str">
        <f>IF(Source!$C21&gt;=COLUMNS($A21:O21), Source!$G21, "")</f>
        <v/>
      </c>
      <c r="P21" s="2" t="str">
        <f>IF(Source!$C21&gt;=COLUMNS($A21:P21), Source!$G21, "")</f>
        <v/>
      </c>
      <c r="Q21" s="2" t="str">
        <f>IF(Source!$C21&gt;=COLUMNS($A21:Q21), Source!$G21, "")</f>
        <v/>
      </c>
      <c r="R21" s="2" t="str">
        <f>IF(Source!$C21&gt;=COLUMNS($A21:R21), Source!$G21, "")</f>
        <v/>
      </c>
      <c r="S21" s="2" t="str">
        <f>IF(Source!$C21&gt;=COLUMNS($A21:S21), Source!$G21, "")</f>
        <v/>
      </c>
      <c r="T21" s="2" t="str">
        <f>IF(Source!$C21&gt;=COLUMNS($A21:T21), Source!$G21, "")</f>
        <v/>
      </c>
      <c r="U21" s="2" t="str">
        <f>IF(Source!$C21&gt;=COLUMNS($A21:U21), Source!$G21, "")</f>
        <v/>
      </c>
      <c r="V21" s="2" t="str">
        <f>IF(Source!$C21&gt;=COLUMNS($A21:V21), Source!$G21, "")</f>
        <v/>
      </c>
      <c r="W21" s="2" t="str">
        <f>IF(Source!$C21&gt;=COLUMNS($A21:W21), Source!$G21, "")</f>
        <v/>
      </c>
      <c r="X21" s="2" t="str">
        <f>IF(Source!$C21&gt;=COLUMNS($A21:X21), Source!$G21, "")</f>
        <v/>
      </c>
      <c r="Y21" s="2" t="str">
        <f>IF(Source!$C21&gt;=COLUMNS($A21:Y21), Source!$G21, "")</f>
        <v/>
      </c>
      <c r="Z21" s="2" t="str">
        <f>IF(Source!$C21&gt;=COLUMNS($A21:Z21), Source!$G21, "")</f>
        <v/>
      </c>
      <c r="AA21" s="2" t="str">
        <f>IF(Source!$C21&gt;=COLUMNS($A21:AA21), Source!$G21, "")</f>
        <v/>
      </c>
      <c r="AB21" s="2" t="str">
        <f>IF(Source!$C21&gt;=COLUMNS($A21:AB21), Source!$G21, "")</f>
        <v/>
      </c>
      <c r="AC21" s="2" t="str">
        <f>IF(Source!$C21&gt;=COLUMNS($A21:AC21), Source!$G21, "")</f>
        <v/>
      </c>
      <c r="AD21" s="2" t="str">
        <f>IF(Source!$C21&gt;=COLUMNS($A21:AD21), Source!$G21, "")</f>
        <v/>
      </c>
      <c r="AE21" s="2" t="str">
        <f>IF(Source!$C21&gt;=COLUMNS($A21:AE21), Source!$G21, "")</f>
        <v/>
      </c>
      <c r="AF21" s="2" t="str">
        <f>IF(Source!$C21&gt;=COLUMNS($A21:AF21), Source!$G21, "")</f>
        <v/>
      </c>
      <c r="AG21" s="2" t="str">
        <f>IF(Source!$C21&gt;=COLUMNS($A21:AG21), Source!$G21, "")</f>
        <v/>
      </c>
      <c r="AH21" s="2" t="str">
        <f>IF(Source!$C21&gt;=COLUMNS($A21:AH21), Source!$G21, "")</f>
        <v/>
      </c>
      <c r="AI21" s="2" t="str">
        <f>IF(Source!$C21&gt;=COLUMNS($A21:AI21), Source!$G21, "")</f>
        <v/>
      </c>
      <c r="AJ21" s="2" t="str">
        <f>IF(Source!$C21&gt;=COLUMNS($A21:AJ21), Source!$G21, "")</f>
        <v/>
      </c>
      <c r="AK21" s="2" t="str">
        <f>IF(Source!$C21&gt;=COLUMNS($A21:AK21), Source!$G21, "")</f>
        <v/>
      </c>
      <c r="AL21" s="2" t="str">
        <f>IF(Source!$C21&gt;=COLUMNS($A21:AL21), Source!$G21, "")</f>
        <v/>
      </c>
      <c r="AM21" s="2" t="str">
        <f>IF(Source!$C21&gt;=COLUMNS($A21:AM21), Source!$G21, "")</f>
        <v/>
      </c>
      <c r="AN21" s="2" t="str">
        <f>IF(Source!$C21&gt;=COLUMNS($A21:AN21), Source!$G21, "")</f>
        <v/>
      </c>
      <c r="AO21" s="2" t="str">
        <f>IF(Source!$C21&gt;=COLUMNS($A21:AO21), Source!$G21, "")</f>
        <v/>
      </c>
      <c r="AP21" s="2" t="str">
        <f>IF(Source!$C21&gt;=COLUMNS($A21:AP21), Source!$G21, "")</f>
        <v/>
      </c>
      <c r="AQ21" s="2" t="str">
        <f>IF(Source!$C21&gt;=COLUMNS($A21:AQ21), Source!$G21, "")</f>
        <v/>
      </c>
      <c r="AR21" s="2" t="str">
        <f>IF(Source!$C21&gt;=COLUMNS($A21:AR21), Source!$G21, "")</f>
        <v/>
      </c>
    </row>
    <row r="22">
      <c r="A22" s="2">
        <f>IF(Source!$C22&gt;=COLUMNS($A22:A22), Source!$G22, "")</f>
        <v>5</v>
      </c>
      <c r="B22" s="2">
        <f>IF(Source!$C22&gt;=COLUMNS($A22:B22), Source!$G22, "")</f>
        <v>5</v>
      </c>
      <c r="C22" s="2" t="str">
        <f>IF(Source!$C22&gt;=COLUMNS($A22:C22), Source!$G22, "")</f>
        <v/>
      </c>
      <c r="D22" s="2" t="str">
        <f>IF(Source!$C22&gt;=COLUMNS($A22:D22), Source!$G22, "")</f>
        <v/>
      </c>
      <c r="E22" s="2" t="str">
        <f>IF(Source!$C22&gt;=COLUMNS($A22:E22), Source!$G22, "")</f>
        <v/>
      </c>
      <c r="F22" s="2" t="str">
        <f>IF(Source!$C22&gt;=COLUMNS($A22:F22), Source!$G22, "")</f>
        <v/>
      </c>
      <c r="G22" s="2" t="str">
        <f>IF(Source!$C22&gt;=COLUMNS($A22:G22), Source!$G22, "")</f>
        <v/>
      </c>
      <c r="H22" s="2" t="str">
        <f>IF(Source!$C22&gt;=COLUMNS($A22:H22), Source!$G22, "")</f>
        <v/>
      </c>
      <c r="I22" s="2" t="str">
        <f>IF(Source!$C22&gt;=COLUMNS($A22:I22), Source!$G22, "")</f>
        <v/>
      </c>
      <c r="J22" s="2" t="str">
        <f>IF(Source!$C22&gt;=COLUMNS($A22:J22), Source!$G22, "")</f>
        <v/>
      </c>
      <c r="K22" s="2" t="str">
        <f>IF(Source!$C22&gt;=COLUMNS($A22:K22), Source!$G22, "")</f>
        <v/>
      </c>
      <c r="L22" s="2" t="str">
        <f>IF(Source!$C22&gt;=COLUMNS($A22:L22), Source!$G22, "")</f>
        <v/>
      </c>
      <c r="M22" s="2" t="str">
        <f>IF(Source!$C22&gt;=COLUMNS($A22:M22), Source!$G22, "")</f>
        <v/>
      </c>
      <c r="N22" s="2" t="str">
        <f>IF(Source!$C22&gt;=COLUMNS($A22:N22), Source!$G22, "")</f>
        <v/>
      </c>
      <c r="O22" s="2" t="str">
        <f>IF(Source!$C22&gt;=COLUMNS($A22:O22), Source!$G22, "")</f>
        <v/>
      </c>
      <c r="P22" s="2" t="str">
        <f>IF(Source!$C22&gt;=COLUMNS($A22:P22), Source!$G22, "")</f>
        <v/>
      </c>
      <c r="Q22" s="2" t="str">
        <f>IF(Source!$C22&gt;=COLUMNS($A22:Q22), Source!$G22, "")</f>
        <v/>
      </c>
      <c r="R22" s="2" t="str">
        <f>IF(Source!$C22&gt;=COLUMNS($A22:R22), Source!$G22, "")</f>
        <v/>
      </c>
      <c r="S22" s="2" t="str">
        <f>IF(Source!$C22&gt;=COLUMNS($A22:S22), Source!$G22, "")</f>
        <v/>
      </c>
      <c r="T22" s="2" t="str">
        <f>IF(Source!$C22&gt;=COLUMNS($A22:T22), Source!$G22, "")</f>
        <v/>
      </c>
      <c r="U22" s="2" t="str">
        <f>IF(Source!$C22&gt;=COLUMNS($A22:U22), Source!$G22, "")</f>
        <v/>
      </c>
      <c r="V22" s="2" t="str">
        <f>IF(Source!$C22&gt;=COLUMNS($A22:V22), Source!$G22, "")</f>
        <v/>
      </c>
      <c r="W22" s="2" t="str">
        <f>IF(Source!$C22&gt;=COLUMNS($A22:W22), Source!$G22, "")</f>
        <v/>
      </c>
      <c r="X22" s="2" t="str">
        <f>IF(Source!$C22&gt;=COLUMNS($A22:X22), Source!$G22, "")</f>
        <v/>
      </c>
      <c r="Y22" s="2" t="str">
        <f>IF(Source!$C22&gt;=COLUMNS($A22:Y22), Source!$G22, "")</f>
        <v/>
      </c>
      <c r="Z22" s="2" t="str">
        <f>IF(Source!$C22&gt;=COLUMNS($A22:Z22), Source!$G22, "")</f>
        <v/>
      </c>
      <c r="AA22" s="2" t="str">
        <f>IF(Source!$C22&gt;=COLUMNS($A22:AA22), Source!$G22, "")</f>
        <v/>
      </c>
      <c r="AB22" s="2" t="str">
        <f>IF(Source!$C22&gt;=COLUMNS($A22:AB22), Source!$G22, "")</f>
        <v/>
      </c>
      <c r="AC22" s="2" t="str">
        <f>IF(Source!$C22&gt;=COLUMNS($A22:AC22), Source!$G22, "")</f>
        <v/>
      </c>
      <c r="AD22" s="2" t="str">
        <f>IF(Source!$C22&gt;=COLUMNS($A22:AD22), Source!$G22, "")</f>
        <v/>
      </c>
      <c r="AE22" s="2" t="str">
        <f>IF(Source!$C22&gt;=COLUMNS($A22:AE22), Source!$G22, "")</f>
        <v/>
      </c>
      <c r="AF22" s="2" t="str">
        <f>IF(Source!$C22&gt;=COLUMNS($A22:AF22), Source!$G22, "")</f>
        <v/>
      </c>
      <c r="AG22" s="2" t="str">
        <f>IF(Source!$C22&gt;=COLUMNS($A22:AG22), Source!$G22, "")</f>
        <v/>
      </c>
      <c r="AH22" s="2" t="str">
        <f>IF(Source!$C22&gt;=COLUMNS($A22:AH22), Source!$G22, "")</f>
        <v/>
      </c>
      <c r="AI22" s="2" t="str">
        <f>IF(Source!$C22&gt;=COLUMNS($A22:AI22), Source!$G22, "")</f>
        <v/>
      </c>
      <c r="AJ22" s="2" t="str">
        <f>IF(Source!$C22&gt;=COLUMNS($A22:AJ22), Source!$G22, "")</f>
        <v/>
      </c>
      <c r="AK22" s="2" t="str">
        <f>IF(Source!$C22&gt;=COLUMNS($A22:AK22), Source!$G22, "")</f>
        <v/>
      </c>
      <c r="AL22" s="2" t="str">
        <f>IF(Source!$C22&gt;=COLUMNS($A22:AL22), Source!$G22, "")</f>
        <v/>
      </c>
      <c r="AM22" s="2" t="str">
        <f>IF(Source!$C22&gt;=COLUMNS($A22:AM22), Source!$G22, "")</f>
        <v/>
      </c>
      <c r="AN22" s="2" t="str">
        <f>IF(Source!$C22&gt;=COLUMNS($A22:AN22), Source!$G22, "")</f>
        <v/>
      </c>
      <c r="AO22" s="2" t="str">
        <f>IF(Source!$C22&gt;=COLUMNS($A22:AO22), Source!$G22, "")</f>
        <v/>
      </c>
      <c r="AP22" s="2" t="str">
        <f>IF(Source!$C22&gt;=COLUMNS($A22:AP22), Source!$G22, "")</f>
        <v/>
      </c>
      <c r="AQ22" s="2" t="str">
        <f>IF(Source!$C22&gt;=COLUMNS($A22:AQ22), Source!$G22, "")</f>
        <v/>
      </c>
      <c r="AR22" s="2" t="str">
        <f>IF(Source!$C22&gt;=COLUMNS($A22:AR22), Source!$G22, "")</f>
        <v/>
      </c>
    </row>
    <row r="23">
      <c r="A23" s="2">
        <f>IF(Source!$C23&gt;=COLUMNS($A23:A23), Source!$G23, "")</f>
        <v>5</v>
      </c>
      <c r="B23" s="2" t="str">
        <f>IF(Source!$C23&gt;=COLUMNS($A23:B23), Source!$G23, "")</f>
        <v/>
      </c>
      <c r="C23" s="2" t="str">
        <f>IF(Source!$C23&gt;=COLUMNS($A23:C23), Source!$G23, "")</f>
        <v/>
      </c>
      <c r="D23" s="2" t="str">
        <f>IF(Source!$C23&gt;=COLUMNS($A23:D23), Source!$G23, "")</f>
        <v/>
      </c>
      <c r="E23" s="2" t="str">
        <f>IF(Source!$C23&gt;=COLUMNS($A23:E23), Source!$G23, "")</f>
        <v/>
      </c>
      <c r="F23" s="2" t="str">
        <f>IF(Source!$C23&gt;=COLUMNS($A23:F23), Source!$G23, "")</f>
        <v/>
      </c>
      <c r="G23" s="2" t="str">
        <f>IF(Source!$C23&gt;=COLUMNS($A23:G23), Source!$G23, "")</f>
        <v/>
      </c>
      <c r="H23" s="2" t="str">
        <f>IF(Source!$C23&gt;=COLUMNS($A23:H23), Source!$G23, "")</f>
        <v/>
      </c>
      <c r="I23" s="2" t="str">
        <f>IF(Source!$C23&gt;=COLUMNS($A23:I23), Source!$G23, "")</f>
        <v/>
      </c>
      <c r="J23" s="2" t="str">
        <f>IF(Source!$C23&gt;=COLUMNS($A23:J23), Source!$G23, "")</f>
        <v/>
      </c>
      <c r="K23" s="2" t="str">
        <f>IF(Source!$C23&gt;=COLUMNS($A23:K23), Source!$G23, "")</f>
        <v/>
      </c>
      <c r="L23" s="2" t="str">
        <f>IF(Source!$C23&gt;=COLUMNS($A23:L23), Source!$G23, "")</f>
        <v/>
      </c>
      <c r="M23" s="2" t="str">
        <f>IF(Source!$C23&gt;=COLUMNS($A23:M23), Source!$G23, "")</f>
        <v/>
      </c>
      <c r="N23" s="2" t="str">
        <f>IF(Source!$C23&gt;=COLUMNS($A23:N23), Source!$G23, "")</f>
        <v/>
      </c>
      <c r="O23" s="2" t="str">
        <f>IF(Source!$C23&gt;=COLUMNS($A23:O23), Source!$G23, "")</f>
        <v/>
      </c>
      <c r="P23" s="2" t="str">
        <f>IF(Source!$C23&gt;=COLUMNS($A23:P23), Source!$G23, "")</f>
        <v/>
      </c>
      <c r="Q23" s="2" t="str">
        <f>IF(Source!$C23&gt;=COLUMNS($A23:Q23), Source!$G23, "")</f>
        <v/>
      </c>
      <c r="R23" s="2" t="str">
        <f>IF(Source!$C23&gt;=COLUMNS($A23:R23), Source!$G23, "")</f>
        <v/>
      </c>
      <c r="S23" s="2" t="str">
        <f>IF(Source!$C23&gt;=COLUMNS($A23:S23), Source!$G23, "")</f>
        <v/>
      </c>
      <c r="T23" s="2" t="str">
        <f>IF(Source!$C23&gt;=COLUMNS($A23:T23), Source!$G23, "")</f>
        <v/>
      </c>
      <c r="U23" s="2" t="str">
        <f>IF(Source!$C23&gt;=COLUMNS($A23:U23), Source!$G23, "")</f>
        <v/>
      </c>
      <c r="V23" s="2" t="str">
        <f>IF(Source!$C23&gt;=COLUMNS($A23:V23), Source!$G23, "")</f>
        <v/>
      </c>
      <c r="W23" s="2" t="str">
        <f>IF(Source!$C23&gt;=COLUMNS($A23:W23), Source!$G23, "")</f>
        <v/>
      </c>
      <c r="X23" s="2" t="str">
        <f>IF(Source!$C23&gt;=COLUMNS($A23:X23), Source!$G23, "")</f>
        <v/>
      </c>
      <c r="Y23" s="2" t="str">
        <f>IF(Source!$C23&gt;=COLUMNS($A23:Y23), Source!$G23, "")</f>
        <v/>
      </c>
      <c r="Z23" s="2" t="str">
        <f>IF(Source!$C23&gt;=COLUMNS($A23:Z23), Source!$G23, "")</f>
        <v/>
      </c>
      <c r="AA23" s="2" t="str">
        <f>IF(Source!$C23&gt;=COLUMNS($A23:AA23), Source!$G23, "")</f>
        <v/>
      </c>
      <c r="AB23" s="2" t="str">
        <f>IF(Source!$C23&gt;=COLUMNS($A23:AB23), Source!$G23, "")</f>
        <v/>
      </c>
      <c r="AC23" s="2" t="str">
        <f>IF(Source!$C23&gt;=COLUMNS($A23:AC23), Source!$G23, "")</f>
        <v/>
      </c>
      <c r="AD23" s="2" t="str">
        <f>IF(Source!$C23&gt;=COLUMNS($A23:AD23), Source!$G23, "")</f>
        <v/>
      </c>
      <c r="AE23" s="2" t="str">
        <f>IF(Source!$C23&gt;=COLUMNS($A23:AE23), Source!$G23, "")</f>
        <v/>
      </c>
      <c r="AF23" s="2" t="str">
        <f>IF(Source!$C23&gt;=COLUMNS($A23:AF23), Source!$G23, "")</f>
        <v/>
      </c>
      <c r="AG23" s="2" t="str">
        <f>IF(Source!$C23&gt;=COLUMNS($A23:AG23), Source!$G23, "")</f>
        <v/>
      </c>
      <c r="AH23" s="2" t="str">
        <f>IF(Source!$C23&gt;=COLUMNS($A23:AH23), Source!$G23, "")</f>
        <v/>
      </c>
      <c r="AI23" s="2" t="str">
        <f>IF(Source!$C23&gt;=COLUMNS($A23:AI23), Source!$G23, "")</f>
        <v/>
      </c>
      <c r="AJ23" s="2" t="str">
        <f>IF(Source!$C23&gt;=COLUMNS($A23:AJ23), Source!$G23, "")</f>
        <v/>
      </c>
      <c r="AK23" s="2" t="str">
        <f>IF(Source!$C23&gt;=COLUMNS($A23:AK23), Source!$G23, "")</f>
        <v/>
      </c>
      <c r="AL23" s="2" t="str">
        <f>IF(Source!$C23&gt;=COLUMNS($A23:AL23), Source!$G23, "")</f>
        <v/>
      </c>
      <c r="AM23" s="2" t="str">
        <f>IF(Source!$C23&gt;=COLUMNS($A23:AM23), Source!$G23, "")</f>
        <v/>
      </c>
      <c r="AN23" s="2" t="str">
        <f>IF(Source!$C23&gt;=COLUMNS($A23:AN23), Source!$G23, "")</f>
        <v/>
      </c>
      <c r="AO23" s="2" t="str">
        <f>IF(Source!$C23&gt;=COLUMNS($A23:AO23), Source!$G23, "")</f>
        <v/>
      </c>
      <c r="AP23" s="2" t="str">
        <f>IF(Source!$C23&gt;=COLUMNS($A23:AP23), Source!$G23, "")</f>
        <v/>
      </c>
      <c r="AQ23" s="2" t="str">
        <f>IF(Source!$C23&gt;=COLUMNS($A23:AQ23), Source!$G23, "")</f>
        <v/>
      </c>
      <c r="AR23" s="2" t="str">
        <f>IF(Source!$C23&gt;=COLUMNS($A23:AR23), Source!$G23, "")</f>
        <v/>
      </c>
    </row>
    <row r="24">
      <c r="A24" s="2">
        <f>IF(Source!$C24&gt;=COLUMNS($A24:A24), Source!$G24, "")</f>
        <v>2</v>
      </c>
      <c r="B24" s="2">
        <f>IF(Source!$C24&gt;=COLUMNS($A24:B24), Source!$G24, "")</f>
        <v>2</v>
      </c>
      <c r="C24" s="2">
        <f>IF(Source!$C24&gt;=COLUMNS($A24:C24), Source!$G24, "")</f>
        <v>2</v>
      </c>
      <c r="D24" s="2">
        <f>IF(Source!$C24&gt;=COLUMNS($A24:D24), Source!$G24, "")</f>
        <v>2</v>
      </c>
      <c r="E24" s="2">
        <f>IF(Source!$C24&gt;=COLUMNS($A24:E24), Source!$G24, "")</f>
        <v>2</v>
      </c>
      <c r="F24" s="2" t="str">
        <f>IF(Source!$C24&gt;=COLUMNS($A24:F24), Source!$G24, "")</f>
        <v/>
      </c>
      <c r="G24" s="2" t="str">
        <f>IF(Source!$C24&gt;=COLUMNS($A24:G24), Source!$G24, "")</f>
        <v/>
      </c>
      <c r="H24" s="2" t="str">
        <f>IF(Source!$C24&gt;=COLUMNS($A24:H24), Source!$G24, "")</f>
        <v/>
      </c>
      <c r="I24" s="2" t="str">
        <f>IF(Source!$C24&gt;=COLUMNS($A24:I24), Source!$G24, "")</f>
        <v/>
      </c>
      <c r="J24" s="2" t="str">
        <f>IF(Source!$C24&gt;=COLUMNS($A24:J24), Source!$G24, "")</f>
        <v/>
      </c>
      <c r="K24" s="2" t="str">
        <f>IF(Source!$C24&gt;=COLUMNS($A24:K24), Source!$G24, "")</f>
        <v/>
      </c>
      <c r="L24" s="2" t="str">
        <f>IF(Source!$C24&gt;=COLUMNS($A24:L24), Source!$G24, "")</f>
        <v/>
      </c>
      <c r="M24" s="2" t="str">
        <f>IF(Source!$C24&gt;=COLUMNS($A24:M24), Source!$G24, "")</f>
        <v/>
      </c>
      <c r="N24" s="2" t="str">
        <f>IF(Source!$C24&gt;=COLUMNS($A24:N24), Source!$G24, "")</f>
        <v/>
      </c>
      <c r="O24" s="2" t="str">
        <f>IF(Source!$C24&gt;=COLUMNS($A24:O24), Source!$G24, "")</f>
        <v/>
      </c>
      <c r="P24" s="2" t="str">
        <f>IF(Source!$C24&gt;=COLUMNS($A24:P24), Source!$G24, "")</f>
        <v/>
      </c>
      <c r="Q24" s="2" t="str">
        <f>IF(Source!$C24&gt;=COLUMNS($A24:Q24), Source!$G24, "")</f>
        <v/>
      </c>
      <c r="R24" s="2" t="str">
        <f>IF(Source!$C24&gt;=COLUMNS($A24:R24), Source!$G24, "")</f>
        <v/>
      </c>
      <c r="S24" s="2" t="str">
        <f>IF(Source!$C24&gt;=COLUMNS($A24:S24), Source!$G24, "")</f>
        <v/>
      </c>
      <c r="T24" s="2" t="str">
        <f>IF(Source!$C24&gt;=COLUMNS($A24:T24), Source!$G24, "")</f>
        <v/>
      </c>
      <c r="U24" s="2" t="str">
        <f>IF(Source!$C24&gt;=COLUMNS($A24:U24), Source!$G24, "")</f>
        <v/>
      </c>
      <c r="V24" s="2" t="str">
        <f>IF(Source!$C24&gt;=COLUMNS($A24:V24), Source!$G24, "")</f>
        <v/>
      </c>
      <c r="W24" s="2" t="str">
        <f>IF(Source!$C24&gt;=COLUMNS($A24:W24), Source!$G24, "")</f>
        <v/>
      </c>
      <c r="X24" s="2" t="str">
        <f>IF(Source!$C24&gt;=COLUMNS($A24:X24), Source!$G24, "")</f>
        <v/>
      </c>
      <c r="Y24" s="2" t="str">
        <f>IF(Source!$C24&gt;=COLUMNS($A24:Y24), Source!$G24, "")</f>
        <v/>
      </c>
      <c r="Z24" s="2" t="str">
        <f>IF(Source!$C24&gt;=COLUMNS($A24:Z24), Source!$G24, "")</f>
        <v/>
      </c>
      <c r="AA24" s="2" t="str">
        <f>IF(Source!$C24&gt;=COLUMNS($A24:AA24), Source!$G24, "")</f>
        <v/>
      </c>
      <c r="AB24" s="2" t="str">
        <f>IF(Source!$C24&gt;=COLUMNS($A24:AB24), Source!$G24, "")</f>
        <v/>
      </c>
      <c r="AC24" s="2" t="str">
        <f>IF(Source!$C24&gt;=COLUMNS($A24:AC24), Source!$G24, "")</f>
        <v/>
      </c>
      <c r="AD24" s="2" t="str">
        <f>IF(Source!$C24&gt;=COLUMNS($A24:AD24), Source!$G24, "")</f>
        <v/>
      </c>
      <c r="AE24" s="2" t="str">
        <f>IF(Source!$C24&gt;=COLUMNS($A24:AE24), Source!$G24, "")</f>
        <v/>
      </c>
      <c r="AF24" s="2" t="str">
        <f>IF(Source!$C24&gt;=COLUMNS($A24:AF24), Source!$G24, "")</f>
        <v/>
      </c>
      <c r="AG24" s="2" t="str">
        <f>IF(Source!$C24&gt;=COLUMNS($A24:AG24), Source!$G24, "")</f>
        <v/>
      </c>
      <c r="AH24" s="2" t="str">
        <f>IF(Source!$C24&gt;=COLUMNS($A24:AH24), Source!$G24, "")</f>
        <v/>
      </c>
      <c r="AI24" s="2" t="str">
        <f>IF(Source!$C24&gt;=COLUMNS($A24:AI24), Source!$G24, "")</f>
        <v/>
      </c>
      <c r="AJ24" s="2" t="str">
        <f>IF(Source!$C24&gt;=COLUMNS($A24:AJ24), Source!$G24, "")</f>
        <v/>
      </c>
      <c r="AK24" s="2" t="str">
        <f>IF(Source!$C24&gt;=COLUMNS($A24:AK24), Source!$G24, "")</f>
        <v/>
      </c>
      <c r="AL24" s="2" t="str">
        <f>IF(Source!$C24&gt;=COLUMNS($A24:AL24), Source!$G24, "")</f>
        <v/>
      </c>
      <c r="AM24" s="2" t="str">
        <f>IF(Source!$C24&gt;=COLUMNS($A24:AM24), Source!$G24, "")</f>
        <v/>
      </c>
      <c r="AN24" s="2" t="str">
        <f>IF(Source!$C24&gt;=COLUMNS($A24:AN24), Source!$G24, "")</f>
        <v/>
      </c>
      <c r="AO24" s="2" t="str">
        <f>IF(Source!$C24&gt;=COLUMNS($A24:AO24), Source!$G24, "")</f>
        <v/>
      </c>
      <c r="AP24" s="2" t="str">
        <f>IF(Source!$C24&gt;=COLUMNS($A24:AP24), Source!$G24, "")</f>
        <v/>
      </c>
      <c r="AQ24" s="2" t="str">
        <f>IF(Source!$C24&gt;=COLUMNS($A24:AQ24), Source!$G24, "")</f>
        <v/>
      </c>
      <c r="AR24" s="2" t="str">
        <f>IF(Source!$C24&gt;=COLUMNS($A24:AR24), Source!$G24, "")</f>
        <v/>
      </c>
    </row>
    <row r="25">
      <c r="A25" s="2">
        <f>IF(Source!$C25&gt;=COLUMNS($A25:A25), Source!$G25, "")</f>
        <v>8</v>
      </c>
      <c r="B25" s="2" t="str">
        <f>IF(Source!$C25&gt;=COLUMNS($A25:B25), Source!$G25, "")</f>
        <v/>
      </c>
      <c r="C25" s="2" t="str">
        <f>IF(Source!$C25&gt;=COLUMNS($A25:C25), Source!$G25, "")</f>
        <v/>
      </c>
      <c r="D25" s="2" t="str">
        <f>IF(Source!$C25&gt;=COLUMNS($A25:D25), Source!$G25, "")</f>
        <v/>
      </c>
      <c r="E25" s="2" t="str">
        <f>IF(Source!$C25&gt;=COLUMNS($A25:E25), Source!$G25, "")</f>
        <v/>
      </c>
      <c r="F25" s="2" t="str">
        <f>IF(Source!$C25&gt;=COLUMNS($A25:F25), Source!$G25, "")</f>
        <v/>
      </c>
      <c r="G25" s="2" t="str">
        <f>IF(Source!$C25&gt;=COLUMNS($A25:G25), Source!$G25, "")</f>
        <v/>
      </c>
      <c r="H25" s="2" t="str">
        <f>IF(Source!$C25&gt;=COLUMNS($A25:H25), Source!$G25, "")</f>
        <v/>
      </c>
      <c r="I25" s="2" t="str">
        <f>IF(Source!$C25&gt;=COLUMNS($A25:I25), Source!$G25, "")</f>
        <v/>
      </c>
      <c r="J25" s="2" t="str">
        <f>IF(Source!$C25&gt;=COLUMNS($A25:J25), Source!$G25, "")</f>
        <v/>
      </c>
      <c r="K25" s="2" t="str">
        <f>IF(Source!$C25&gt;=COLUMNS($A25:K25), Source!$G25, "")</f>
        <v/>
      </c>
      <c r="L25" s="2" t="str">
        <f>IF(Source!$C25&gt;=COLUMNS($A25:L25), Source!$G25, "")</f>
        <v/>
      </c>
      <c r="M25" s="2" t="str">
        <f>IF(Source!$C25&gt;=COLUMNS($A25:M25), Source!$G25, "")</f>
        <v/>
      </c>
      <c r="N25" s="2" t="str">
        <f>IF(Source!$C25&gt;=COLUMNS($A25:N25), Source!$G25, "")</f>
        <v/>
      </c>
      <c r="O25" s="2" t="str">
        <f>IF(Source!$C25&gt;=COLUMNS($A25:O25), Source!$G25, "")</f>
        <v/>
      </c>
      <c r="P25" s="2" t="str">
        <f>IF(Source!$C25&gt;=COLUMNS($A25:P25), Source!$G25, "")</f>
        <v/>
      </c>
      <c r="Q25" s="2" t="str">
        <f>IF(Source!$C25&gt;=COLUMNS($A25:Q25), Source!$G25, "")</f>
        <v/>
      </c>
      <c r="R25" s="2" t="str">
        <f>IF(Source!$C25&gt;=COLUMNS($A25:R25), Source!$G25, "")</f>
        <v/>
      </c>
      <c r="S25" s="2" t="str">
        <f>IF(Source!$C25&gt;=COLUMNS($A25:S25), Source!$G25, "")</f>
        <v/>
      </c>
      <c r="T25" s="2" t="str">
        <f>IF(Source!$C25&gt;=COLUMNS($A25:T25), Source!$G25, "")</f>
        <v/>
      </c>
      <c r="U25" s="2" t="str">
        <f>IF(Source!$C25&gt;=COLUMNS($A25:U25), Source!$G25, "")</f>
        <v/>
      </c>
      <c r="V25" s="2" t="str">
        <f>IF(Source!$C25&gt;=COLUMNS($A25:V25), Source!$G25, "")</f>
        <v/>
      </c>
      <c r="W25" s="2" t="str">
        <f>IF(Source!$C25&gt;=COLUMNS($A25:W25), Source!$G25, "")</f>
        <v/>
      </c>
      <c r="X25" s="2" t="str">
        <f>IF(Source!$C25&gt;=COLUMNS($A25:X25), Source!$G25, "")</f>
        <v/>
      </c>
      <c r="Y25" s="2" t="str">
        <f>IF(Source!$C25&gt;=COLUMNS($A25:Y25), Source!$G25, "")</f>
        <v/>
      </c>
      <c r="Z25" s="2" t="str">
        <f>IF(Source!$C25&gt;=COLUMNS($A25:Z25), Source!$G25, "")</f>
        <v/>
      </c>
      <c r="AA25" s="2" t="str">
        <f>IF(Source!$C25&gt;=COLUMNS($A25:AA25), Source!$G25, "")</f>
        <v/>
      </c>
      <c r="AB25" s="2" t="str">
        <f>IF(Source!$C25&gt;=COLUMNS($A25:AB25), Source!$G25, "")</f>
        <v/>
      </c>
      <c r="AC25" s="2" t="str">
        <f>IF(Source!$C25&gt;=COLUMNS($A25:AC25), Source!$G25, "")</f>
        <v/>
      </c>
      <c r="AD25" s="2" t="str">
        <f>IF(Source!$C25&gt;=COLUMNS($A25:AD25), Source!$G25, "")</f>
        <v/>
      </c>
      <c r="AE25" s="2" t="str">
        <f>IF(Source!$C25&gt;=COLUMNS($A25:AE25), Source!$G25, "")</f>
        <v/>
      </c>
      <c r="AF25" s="2" t="str">
        <f>IF(Source!$C25&gt;=COLUMNS($A25:AF25), Source!$G25, "")</f>
        <v/>
      </c>
      <c r="AG25" s="2" t="str">
        <f>IF(Source!$C25&gt;=COLUMNS($A25:AG25), Source!$G25, "")</f>
        <v/>
      </c>
      <c r="AH25" s="2" t="str">
        <f>IF(Source!$C25&gt;=COLUMNS($A25:AH25), Source!$G25, "")</f>
        <v/>
      </c>
      <c r="AI25" s="2" t="str">
        <f>IF(Source!$C25&gt;=COLUMNS($A25:AI25), Source!$G25, "")</f>
        <v/>
      </c>
      <c r="AJ25" s="2" t="str">
        <f>IF(Source!$C25&gt;=COLUMNS($A25:AJ25), Source!$G25, "")</f>
        <v/>
      </c>
      <c r="AK25" s="2" t="str">
        <f>IF(Source!$C25&gt;=COLUMNS($A25:AK25), Source!$G25, "")</f>
        <v/>
      </c>
      <c r="AL25" s="2" t="str">
        <f>IF(Source!$C25&gt;=COLUMNS($A25:AL25), Source!$G25, "")</f>
        <v/>
      </c>
      <c r="AM25" s="2" t="str">
        <f>IF(Source!$C25&gt;=COLUMNS($A25:AM25), Source!$G25, "")</f>
        <v/>
      </c>
      <c r="AN25" s="2" t="str">
        <f>IF(Source!$C25&gt;=COLUMNS($A25:AN25), Source!$G25, "")</f>
        <v/>
      </c>
      <c r="AO25" s="2" t="str">
        <f>IF(Source!$C25&gt;=COLUMNS($A25:AO25), Source!$G25, "")</f>
        <v/>
      </c>
      <c r="AP25" s="2" t="str">
        <f>IF(Source!$C25&gt;=COLUMNS($A25:AP25), Source!$G25, "")</f>
        <v/>
      </c>
      <c r="AQ25" s="2" t="str">
        <f>IF(Source!$C25&gt;=COLUMNS($A25:AQ25), Source!$G25, "")</f>
        <v/>
      </c>
      <c r="AR25" s="2" t="str">
        <f>IF(Source!$C25&gt;=COLUMNS($A25:AR25), Source!$G25, "")</f>
        <v/>
      </c>
    </row>
    <row r="26">
      <c r="A26" s="2">
        <f>IF(Source!$C26&gt;=COLUMNS($A26:A26), Source!$G26, "")</f>
        <v>7</v>
      </c>
      <c r="B26" s="2">
        <f>IF(Source!$C26&gt;=COLUMNS($A26:B26), Source!$G26, "")</f>
        <v>7</v>
      </c>
      <c r="C26" s="2">
        <f>IF(Source!$C26&gt;=COLUMNS($A26:C26), Source!$G26, "")</f>
        <v>7</v>
      </c>
      <c r="D26" s="2">
        <f>IF(Source!$C26&gt;=COLUMNS($A26:D26), Source!$G26, "")</f>
        <v>7</v>
      </c>
      <c r="E26" s="2">
        <f>IF(Source!$C26&gt;=COLUMNS($A26:E26), Source!$G26, "")</f>
        <v>7</v>
      </c>
      <c r="F26" s="2" t="str">
        <f>IF(Source!$C26&gt;=COLUMNS($A26:F26), Source!$G26, "")</f>
        <v/>
      </c>
      <c r="G26" s="2" t="str">
        <f>IF(Source!$C26&gt;=COLUMNS($A26:G26), Source!$G26, "")</f>
        <v/>
      </c>
      <c r="H26" s="2" t="str">
        <f>IF(Source!$C26&gt;=COLUMNS($A26:H26), Source!$G26, "")</f>
        <v/>
      </c>
      <c r="I26" s="2" t="str">
        <f>IF(Source!$C26&gt;=COLUMNS($A26:I26), Source!$G26, "")</f>
        <v/>
      </c>
      <c r="J26" s="2" t="str">
        <f>IF(Source!$C26&gt;=COLUMNS($A26:J26), Source!$G26, "")</f>
        <v/>
      </c>
      <c r="K26" s="2" t="str">
        <f>IF(Source!$C26&gt;=COLUMNS($A26:K26), Source!$G26, "")</f>
        <v/>
      </c>
      <c r="L26" s="2" t="str">
        <f>IF(Source!$C26&gt;=COLUMNS($A26:L26), Source!$G26, "")</f>
        <v/>
      </c>
      <c r="M26" s="2" t="str">
        <f>IF(Source!$C26&gt;=COLUMNS($A26:M26), Source!$G26, "")</f>
        <v/>
      </c>
      <c r="N26" s="2" t="str">
        <f>IF(Source!$C26&gt;=COLUMNS($A26:N26), Source!$G26, "")</f>
        <v/>
      </c>
      <c r="O26" s="2" t="str">
        <f>IF(Source!$C26&gt;=COLUMNS($A26:O26), Source!$G26, "")</f>
        <v/>
      </c>
      <c r="P26" s="2" t="str">
        <f>IF(Source!$C26&gt;=COLUMNS($A26:P26), Source!$G26, "")</f>
        <v/>
      </c>
      <c r="Q26" s="2" t="str">
        <f>IF(Source!$C26&gt;=COLUMNS($A26:Q26), Source!$G26, "")</f>
        <v/>
      </c>
      <c r="R26" s="2" t="str">
        <f>IF(Source!$C26&gt;=COLUMNS($A26:R26), Source!$G26, "")</f>
        <v/>
      </c>
      <c r="S26" s="2" t="str">
        <f>IF(Source!$C26&gt;=COLUMNS($A26:S26), Source!$G26, "")</f>
        <v/>
      </c>
      <c r="T26" s="2" t="str">
        <f>IF(Source!$C26&gt;=COLUMNS($A26:T26), Source!$G26, "")</f>
        <v/>
      </c>
      <c r="U26" s="2" t="str">
        <f>IF(Source!$C26&gt;=COLUMNS($A26:U26), Source!$G26, "")</f>
        <v/>
      </c>
      <c r="V26" s="2" t="str">
        <f>IF(Source!$C26&gt;=COLUMNS($A26:V26), Source!$G26, "")</f>
        <v/>
      </c>
      <c r="W26" s="2" t="str">
        <f>IF(Source!$C26&gt;=COLUMNS($A26:W26), Source!$G26, "")</f>
        <v/>
      </c>
      <c r="X26" s="2" t="str">
        <f>IF(Source!$C26&gt;=COLUMNS($A26:X26), Source!$G26, "")</f>
        <v/>
      </c>
      <c r="Y26" s="2" t="str">
        <f>IF(Source!$C26&gt;=COLUMNS($A26:Y26), Source!$G26, "")</f>
        <v/>
      </c>
      <c r="Z26" s="2" t="str">
        <f>IF(Source!$C26&gt;=COLUMNS($A26:Z26), Source!$G26, "")</f>
        <v/>
      </c>
      <c r="AA26" s="2" t="str">
        <f>IF(Source!$C26&gt;=COLUMNS($A26:AA26), Source!$G26, "")</f>
        <v/>
      </c>
      <c r="AB26" s="2" t="str">
        <f>IF(Source!$C26&gt;=COLUMNS($A26:AB26), Source!$G26, "")</f>
        <v/>
      </c>
      <c r="AC26" s="2" t="str">
        <f>IF(Source!$C26&gt;=COLUMNS($A26:AC26), Source!$G26, "")</f>
        <v/>
      </c>
      <c r="AD26" s="2" t="str">
        <f>IF(Source!$C26&gt;=COLUMNS($A26:AD26), Source!$G26, "")</f>
        <v/>
      </c>
      <c r="AE26" s="2" t="str">
        <f>IF(Source!$C26&gt;=COLUMNS($A26:AE26), Source!$G26, "")</f>
        <v/>
      </c>
      <c r="AF26" s="2" t="str">
        <f>IF(Source!$C26&gt;=COLUMNS($A26:AF26), Source!$G26, "")</f>
        <v/>
      </c>
      <c r="AG26" s="2" t="str">
        <f>IF(Source!$C26&gt;=COLUMNS($A26:AG26), Source!$G26, "")</f>
        <v/>
      </c>
      <c r="AH26" s="2" t="str">
        <f>IF(Source!$C26&gt;=COLUMNS($A26:AH26), Source!$G26, "")</f>
        <v/>
      </c>
      <c r="AI26" s="2" t="str">
        <f>IF(Source!$C26&gt;=COLUMNS($A26:AI26), Source!$G26, "")</f>
        <v/>
      </c>
      <c r="AJ26" s="2" t="str">
        <f>IF(Source!$C26&gt;=COLUMNS($A26:AJ26), Source!$G26, "")</f>
        <v/>
      </c>
      <c r="AK26" s="2" t="str">
        <f>IF(Source!$C26&gt;=COLUMNS($A26:AK26), Source!$G26, "")</f>
        <v/>
      </c>
      <c r="AL26" s="2" t="str">
        <f>IF(Source!$C26&gt;=COLUMNS($A26:AL26), Source!$G26, "")</f>
        <v/>
      </c>
      <c r="AM26" s="2" t="str">
        <f>IF(Source!$C26&gt;=COLUMNS($A26:AM26), Source!$G26, "")</f>
        <v/>
      </c>
      <c r="AN26" s="2" t="str">
        <f>IF(Source!$C26&gt;=COLUMNS($A26:AN26), Source!$G26, "")</f>
        <v/>
      </c>
      <c r="AO26" s="2" t="str">
        <f>IF(Source!$C26&gt;=COLUMNS($A26:AO26), Source!$G26, "")</f>
        <v/>
      </c>
      <c r="AP26" s="2" t="str">
        <f>IF(Source!$C26&gt;=COLUMNS($A26:AP26), Source!$G26, "")</f>
        <v/>
      </c>
      <c r="AQ26" s="2" t="str">
        <f>IF(Source!$C26&gt;=COLUMNS($A26:AQ26), Source!$G26, "")</f>
        <v/>
      </c>
      <c r="AR26" s="2" t="str">
        <f>IF(Source!$C26&gt;=COLUMNS($A26:AR26), Source!$G26, "")</f>
        <v/>
      </c>
    </row>
    <row r="27">
      <c r="A27" s="2">
        <f>IF(Source!$C27&gt;=COLUMNS($A27:A27), Source!$G27, "")</f>
        <v>2</v>
      </c>
      <c r="B27" s="2" t="str">
        <f>IF(Source!$C27&gt;=COLUMNS($A27:B27), Source!$G27, "")</f>
        <v/>
      </c>
      <c r="C27" s="2" t="str">
        <f>IF(Source!$C27&gt;=COLUMNS($A27:C27), Source!$G27, "")</f>
        <v/>
      </c>
      <c r="D27" s="2" t="str">
        <f>IF(Source!$C27&gt;=COLUMNS($A27:D27), Source!$G27, "")</f>
        <v/>
      </c>
      <c r="E27" s="2" t="str">
        <f>IF(Source!$C27&gt;=COLUMNS($A27:E27), Source!$G27, "")</f>
        <v/>
      </c>
      <c r="F27" s="2" t="str">
        <f>IF(Source!$C27&gt;=COLUMNS($A27:F27), Source!$G27, "")</f>
        <v/>
      </c>
      <c r="G27" s="2" t="str">
        <f>IF(Source!$C27&gt;=COLUMNS($A27:G27), Source!$G27, "")</f>
        <v/>
      </c>
      <c r="H27" s="2" t="str">
        <f>IF(Source!$C27&gt;=COLUMNS($A27:H27), Source!$G27, "")</f>
        <v/>
      </c>
      <c r="I27" s="2" t="str">
        <f>IF(Source!$C27&gt;=COLUMNS($A27:I27), Source!$G27, "")</f>
        <v/>
      </c>
      <c r="J27" s="2" t="str">
        <f>IF(Source!$C27&gt;=COLUMNS($A27:J27), Source!$G27, "")</f>
        <v/>
      </c>
      <c r="K27" s="2" t="str">
        <f>IF(Source!$C27&gt;=COLUMNS($A27:K27), Source!$G27, "")</f>
        <v/>
      </c>
      <c r="L27" s="2" t="str">
        <f>IF(Source!$C27&gt;=COLUMNS($A27:L27), Source!$G27, "")</f>
        <v/>
      </c>
      <c r="M27" s="2" t="str">
        <f>IF(Source!$C27&gt;=COLUMNS($A27:M27), Source!$G27, "")</f>
        <v/>
      </c>
      <c r="N27" s="2" t="str">
        <f>IF(Source!$C27&gt;=COLUMNS($A27:N27), Source!$G27, "")</f>
        <v/>
      </c>
      <c r="O27" s="2" t="str">
        <f>IF(Source!$C27&gt;=COLUMNS($A27:O27), Source!$G27, "")</f>
        <v/>
      </c>
      <c r="P27" s="2" t="str">
        <f>IF(Source!$C27&gt;=COLUMNS($A27:P27), Source!$G27, "")</f>
        <v/>
      </c>
      <c r="Q27" s="2" t="str">
        <f>IF(Source!$C27&gt;=COLUMNS($A27:Q27), Source!$G27, "")</f>
        <v/>
      </c>
      <c r="R27" s="2" t="str">
        <f>IF(Source!$C27&gt;=COLUMNS($A27:R27), Source!$G27, "")</f>
        <v/>
      </c>
      <c r="S27" s="2" t="str">
        <f>IF(Source!$C27&gt;=COLUMNS($A27:S27), Source!$G27, "")</f>
        <v/>
      </c>
      <c r="T27" s="2" t="str">
        <f>IF(Source!$C27&gt;=COLUMNS($A27:T27), Source!$G27, "")</f>
        <v/>
      </c>
      <c r="U27" s="2" t="str">
        <f>IF(Source!$C27&gt;=COLUMNS($A27:U27), Source!$G27, "")</f>
        <v/>
      </c>
      <c r="V27" s="2" t="str">
        <f>IF(Source!$C27&gt;=COLUMNS($A27:V27), Source!$G27, "")</f>
        <v/>
      </c>
      <c r="W27" s="2" t="str">
        <f>IF(Source!$C27&gt;=COLUMNS($A27:W27), Source!$G27, "")</f>
        <v/>
      </c>
      <c r="X27" s="2" t="str">
        <f>IF(Source!$C27&gt;=COLUMNS($A27:X27), Source!$G27, "")</f>
        <v/>
      </c>
      <c r="Y27" s="2" t="str">
        <f>IF(Source!$C27&gt;=COLUMNS($A27:Y27), Source!$G27, "")</f>
        <v/>
      </c>
      <c r="Z27" s="2" t="str">
        <f>IF(Source!$C27&gt;=COLUMNS($A27:Z27), Source!$G27, "")</f>
        <v/>
      </c>
      <c r="AA27" s="2" t="str">
        <f>IF(Source!$C27&gt;=COLUMNS($A27:AA27), Source!$G27, "")</f>
        <v/>
      </c>
      <c r="AB27" s="2" t="str">
        <f>IF(Source!$C27&gt;=COLUMNS($A27:AB27), Source!$G27, "")</f>
        <v/>
      </c>
      <c r="AC27" s="2" t="str">
        <f>IF(Source!$C27&gt;=COLUMNS($A27:AC27), Source!$G27, "")</f>
        <v/>
      </c>
      <c r="AD27" s="2" t="str">
        <f>IF(Source!$C27&gt;=COLUMNS($A27:AD27), Source!$G27, "")</f>
        <v/>
      </c>
      <c r="AE27" s="2" t="str">
        <f>IF(Source!$C27&gt;=COLUMNS($A27:AE27), Source!$G27, "")</f>
        <v/>
      </c>
      <c r="AF27" s="2" t="str">
        <f>IF(Source!$C27&gt;=COLUMNS($A27:AF27), Source!$G27, "")</f>
        <v/>
      </c>
      <c r="AG27" s="2" t="str">
        <f>IF(Source!$C27&gt;=COLUMNS($A27:AG27), Source!$G27, "")</f>
        <v/>
      </c>
      <c r="AH27" s="2" t="str">
        <f>IF(Source!$C27&gt;=COLUMNS($A27:AH27), Source!$G27, "")</f>
        <v/>
      </c>
      <c r="AI27" s="2" t="str">
        <f>IF(Source!$C27&gt;=COLUMNS($A27:AI27), Source!$G27, "")</f>
        <v/>
      </c>
      <c r="AJ27" s="2" t="str">
        <f>IF(Source!$C27&gt;=COLUMNS($A27:AJ27), Source!$G27, "")</f>
        <v/>
      </c>
      <c r="AK27" s="2" t="str">
        <f>IF(Source!$C27&gt;=COLUMNS($A27:AK27), Source!$G27, "")</f>
        <v/>
      </c>
      <c r="AL27" s="2" t="str">
        <f>IF(Source!$C27&gt;=COLUMNS($A27:AL27), Source!$G27, "")</f>
        <v/>
      </c>
      <c r="AM27" s="2" t="str">
        <f>IF(Source!$C27&gt;=COLUMNS($A27:AM27), Source!$G27, "")</f>
        <v/>
      </c>
      <c r="AN27" s="2" t="str">
        <f>IF(Source!$C27&gt;=COLUMNS($A27:AN27), Source!$G27, "")</f>
        <v/>
      </c>
      <c r="AO27" s="2" t="str">
        <f>IF(Source!$C27&gt;=COLUMNS($A27:AO27), Source!$G27, "")</f>
        <v/>
      </c>
      <c r="AP27" s="2" t="str">
        <f>IF(Source!$C27&gt;=COLUMNS($A27:AP27), Source!$G27, "")</f>
        <v/>
      </c>
      <c r="AQ27" s="2" t="str">
        <f>IF(Source!$C27&gt;=COLUMNS($A27:AQ27), Source!$G27, "")</f>
        <v/>
      </c>
      <c r="AR27" s="2" t="str">
        <f>IF(Source!$C27&gt;=COLUMNS($A27:AR27), Source!$G27, "")</f>
        <v/>
      </c>
    </row>
    <row r="28">
      <c r="A28" s="2">
        <f>IF(Source!$C28&gt;=COLUMNS($A28:A28), Source!$G28, "")</f>
        <v>7</v>
      </c>
      <c r="B28" s="2">
        <f>IF(Source!$C28&gt;=COLUMNS($A28:B28), Source!$G28, "")</f>
        <v>7</v>
      </c>
      <c r="C28" s="2" t="str">
        <f>IF(Source!$C28&gt;=COLUMNS($A28:C28), Source!$G28, "")</f>
        <v/>
      </c>
      <c r="D28" s="2" t="str">
        <f>IF(Source!$C28&gt;=COLUMNS($A28:D28), Source!$G28, "")</f>
        <v/>
      </c>
      <c r="E28" s="2" t="str">
        <f>IF(Source!$C28&gt;=COLUMNS($A28:E28), Source!$G28, "")</f>
        <v/>
      </c>
      <c r="F28" s="2" t="str">
        <f>IF(Source!$C28&gt;=COLUMNS($A28:F28), Source!$G28, "")</f>
        <v/>
      </c>
      <c r="G28" s="2" t="str">
        <f>IF(Source!$C28&gt;=COLUMNS($A28:G28), Source!$G28, "")</f>
        <v/>
      </c>
      <c r="H28" s="2" t="str">
        <f>IF(Source!$C28&gt;=COLUMNS($A28:H28), Source!$G28, "")</f>
        <v/>
      </c>
      <c r="I28" s="2" t="str">
        <f>IF(Source!$C28&gt;=COLUMNS($A28:I28), Source!$G28, "")</f>
        <v/>
      </c>
      <c r="J28" s="2" t="str">
        <f>IF(Source!$C28&gt;=COLUMNS($A28:J28), Source!$G28, "")</f>
        <v/>
      </c>
      <c r="K28" s="2" t="str">
        <f>IF(Source!$C28&gt;=COLUMNS($A28:K28), Source!$G28, "")</f>
        <v/>
      </c>
      <c r="L28" s="2" t="str">
        <f>IF(Source!$C28&gt;=COLUMNS($A28:L28), Source!$G28, "")</f>
        <v/>
      </c>
      <c r="M28" s="2" t="str">
        <f>IF(Source!$C28&gt;=COLUMNS($A28:M28), Source!$G28, "")</f>
        <v/>
      </c>
      <c r="N28" s="2" t="str">
        <f>IF(Source!$C28&gt;=COLUMNS($A28:N28), Source!$G28, "")</f>
        <v/>
      </c>
      <c r="O28" s="2" t="str">
        <f>IF(Source!$C28&gt;=COLUMNS($A28:O28), Source!$G28, "")</f>
        <v/>
      </c>
      <c r="P28" s="2" t="str">
        <f>IF(Source!$C28&gt;=COLUMNS($A28:P28), Source!$G28, "")</f>
        <v/>
      </c>
      <c r="Q28" s="2" t="str">
        <f>IF(Source!$C28&gt;=COLUMNS($A28:Q28), Source!$G28, "")</f>
        <v/>
      </c>
      <c r="R28" s="2" t="str">
        <f>IF(Source!$C28&gt;=COLUMNS($A28:R28), Source!$G28, "")</f>
        <v/>
      </c>
      <c r="S28" s="2" t="str">
        <f>IF(Source!$C28&gt;=COLUMNS($A28:S28), Source!$G28, "")</f>
        <v/>
      </c>
      <c r="T28" s="2" t="str">
        <f>IF(Source!$C28&gt;=COLUMNS($A28:T28), Source!$G28, "")</f>
        <v/>
      </c>
      <c r="U28" s="2" t="str">
        <f>IF(Source!$C28&gt;=COLUMNS($A28:U28), Source!$G28, "")</f>
        <v/>
      </c>
      <c r="V28" s="2" t="str">
        <f>IF(Source!$C28&gt;=COLUMNS($A28:V28), Source!$G28, "")</f>
        <v/>
      </c>
      <c r="W28" s="2" t="str">
        <f>IF(Source!$C28&gt;=COLUMNS($A28:W28), Source!$G28, "")</f>
        <v/>
      </c>
      <c r="X28" s="2" t="str">
        <f>IF(Source!$C28&gt;=COLUMNS($A28:X28), Source!$G28, "")</f>
        <v/>
      </c>
      <c r="Y28" s="2" t="str">
        <f>IF(Source!$C28&gt;=COLUMNS($A28:Y28), Source!$G28, "")</f>
        <v/>
      </c>
      <c r="Z28" s="2" t="str">
        <f>IF(Source!$C28&gt;=COLUMNS($A28:Z28), Source!$G28, "")</f>
        <v/>
      </c>
      <c r="AA28" s="2" t="str">
        <f>IF(Source!$C28&gt;=COLUMNS($A28:AA28), Source!$G28, "")</f>
        <v/>
      </c>
      <c r="AB28" s="2" t="str">
        <f>IF(Source!$C28&gt;=COLUMNS($A28:AB28), Source!$G28, "")</f>
        <v/>
      </c>
      <c r="AC28" s="2" t="str">
        <f>IF(Source!$C28&gt;=COLUMNS($A28:AC28), Source!$G28, "")</f>
        <v/>
      </c>
      <c r="AD28" s="2" t="str">
        <f>IF(Source!$C28&gt;=COLUMNS($A28:AD28), Source!$G28, "")</f>
        <v/>
      </c>
      <c r="AE28" s="2" t="str">
        <f>IF(Source!$C28&gt;=COLUMNS($A28:AE28), Source!$G28, "")</f>
        <v/>
      </c>
      <c r="AF28" s="2" t="str">
        <f>IF(Source!$C28&gt;=COLUMNS($A28:AF28), Source!$G28, "")</f>
        <v/>
      </c>
      <c r="AG28" s="2" t="str">
        <f>IF(Source!$C28&gt;=COLUMNS($A28:AG28), Source!$G28, "")</f>
        <v/>
      </c>
      <c r="AH28" s="2" t="str">
        <f>IF(Source!$C28&gt;=COLUMNS($A28:AH28), Source!$G28, "")</f>
        <v/>
      </c>
      <c r="AI28" s="2" t="str">
        <f>IF(Source!$C28&gt;=COLUMNS($A28:AI28), Source!$G28, "")</f>
        <v/>
      </c>
      <c r="AJ28" s="2" t="str">
        <f>IF(Source!$C28&gt;=COLUMNS($A28:AJ28), Source!$G28, "")</f>
        <v/>
      </c>
      <c r="AK28" s="2" t="str">
        <f>IF(Source!$C28&gt;=COLUMNS($A28:AK28), Source!$G28, "")</f>
        <v/>
      </c>
      <c r="AL28" s="2" t="str">
        <f>IF(Source!$C28&gt;=COLUMNS($A28:AL28), Source!$G28, "")</f>
        <v/>
      </c>
      <c r="AM28" s="2" t="str">
        <f>IF(Source!$C28&gt;=COLUMNS($A28:AM28), Source!$G28, "")</f>
        <v/>
      </c>
      <c r="AN28" s="2" t="str">
        <f>IF(Source!$C28&gt;=COLUMNS($A28:AN28), Source!$G28, "")</f>
        <v/>
      </c>
      <c r="AO28" s="2" t="str">
        <f>IF(Source!$C28&gt;=COLUMNS($A28:AO28), Source!$G28, "")</f>
        <v/>
      </c>
      <c r="AP28" s="2" t="str">
        <f>IF(Source!$C28&gt;=COLUMNS($A28:AP28), Source!$G28, "")</f>
        <v/>
      </c>
      <c r="AQ28" s="2" t="str">
        <f>IF(Source!$C28&gt;=COLUMNS($A28:AQ28), Source!$G28, "")</f>
        <v/>
      </c>
      <c r="AR28" s="2" t="str">
        <f>IF(Source!$C28&gt;=COLUMNS($A28:AR28), Source!$G28, "")</f>
        <v/>
      </c>
    </row>
    <row r="29">
      <c r="A29" s="2">
        <f>IF(Source!$C29&gt;=COLUMNS($A29:A29), Source!$G29, "")</f>
        <v>6</v>
      </c>
      <c r="B29" s="2" t="str">
        <f>IF(Source!$C29&gt;=COLUMNS($A29:B29), Source!$G29, "")</f>
        <v/>
      </c>
      <c r="C29" s="2" t="str">
        <f>IF(Source!$C29&gt;=COLUMNS($A29:C29), Source!$G29, "")</f>
        <v/>
      </c>
      <c r="D29" s="2" t="str">
        <f>IF(Source!$C29&gt;=COLUMNS($A29:D29), Source!$G29, "")</f>
        <v/>
      </c>
      <c r="E29" s="2" t="str">
        <f>IF(Source!$C29&gt;=COLUMNS($A29:E29), Source!$G29, "")</f>
        <v/>
      </c>
      <c r="F29" s="2" t="str">
        <f>IF(Source!$C29&gt;=COLUMNS($A29:F29), Source!$G29, "")</f>
        <v/>
      </c>
      <c r="G29" s="2" t="str">
        <f>IF(Source!$C29&gt;=COLUMNS($A29:G29), Source!$G29, "")</f>
        <v/>
      </c>
      <c r="H29" s="2" t="str">
        <f>IF(Source!$C29&gt;=COLUMNS($A29:H29), Source!$G29, "")</f>
        <v/>
      </c>
      <c r="I29" s="2" t="str">
        <f>IF(Source!$C29&gt;=COLUMNS($A29:I29), Source!$G29, "")</f>
        <v/>
      </c>
      <c r="J29" s="2" t="str">
        <f>IF(Source!$C29&gt;=COLUMNS($A29:J29), Source!$G29, "")</f>
        <v/>
      </c>
      <c r="K29" s="2" t="str">
        <f>IF(Source!$C29&gt;=COLUMNS($A29:K29), Source!$G29, "")</f>
        <v/>
      </c>
      <c r="L29" s="2" t="str">
        <f>IF(Source!$C29&gt;=COLUMNS($A29:L29), Source!$G29, "")</f>
        <v/>
      </c>
      <c r="M29" s="2" t="str">
        <f>IF(Source!$C29&gt;=COLUMNS($A29:M29), Source!$G29, "")</f>
        <v/>
      </c>
      <c r="N29" s="2" t="str">
        <f>IF(Source!$C29&gt;=COLUMNS($A29:N29), Source!$G29, "")</f>
        <v/>
      </c>
      <c r="O29" s="2" t="str">
        <f>IF(Source!$C29&gt;=COLUMNS($A29:O29), Source!$G29, "")</f>
        <v/>
      </c>
      <c r="P29" s="2" t="str">
        <f>IF(Source!$C29&gt;=COLUMNS($A29:P29), Source!$G29, "")</f>
        <v/>
      </c>
      <c r="Q29" s="2" t="str">
        <f>IF(Source!$C29&gt;=COLUMNS($A29:Q29), Source!$G29, "")</f>
        <v/>
      </c>
      <c r="R29" s="2" t="str">
        <f>IF(Source!$C29&gt;=COLUMNS($A29:R29), Source!$G29, "")</f>
        <v/>
      </c>
      <c r="S29" s="2" t="str">
        <f>IF(Source!$C29&gt;=COLUMNS($A29:S29), Source!$G29, "")</f>
        <v/>
      </c>
      <c r="T29" s="2" t="str">
        <f>IF(Source!$C29&gt;=COLUMNS($A29:T29), Source!$G29, "")</f>
        <v/>
      </c>
      <c r="U29" s="2" t="str">
        <f>IF(Source!$C29&gt;=COLUMNS($A29:U29), Source!$G29, "")</f>
        <v/>
      </c>
      <c r="V29" s="2" t="str">
        <f>IF(Source!$C29&gt;=COLUMNS($A29:V29), Source!$G29, "")</f>
        <v/>
      </c>
      <c r="W29" s="2" t="str">
        <f>IF(Source!$C29&gt;=COLUMNS($A29:W29), Source!$G29, "")</f>
        <v/>
      </c>
      <c r="X29" s="2" t="str">
        <f>IF(Source!$C29&gt;=COLUMNS($A29:X29), Source!$G29, "")</f>
        <v/>
      </c>
      <c r="Y29" s="2" t="str">
        <f>IF(Source!$C29&gt;=COLUMNS($A29:Y29), Source!$G29, "")</f>
        <v/>
      </c>
      <c r="Z29" s="2" t="str">
        <f>IF(Source!$C29&gt;=COLUMNS($A29:Z29), Source!$G29, "")</f>
        <v/>
      </c>
      <c r="AA29" s="2" t="str">
        <f>IF(Source!$C29&gt;=COLUMNS($A29:AA29), Source!$G29, "")</f>
        <v/>
      </c>
      <c r="AB29" s="2" t="str">
        <f>IF(Source!$C29&gt;=COLUMNS($A29:AB29), Source!$G29, "")</f>
        <v/>
      </c>
      <c r="AC29" s="2" t="str">
        <f>IF(Source!$C29&gt;=COLUMNS($A29:AC29), Source!$G29, "")</f>
        <v/>
      </c>
      <c r="AD29" s="2" t="str">
        <f>IF(Source!$C29&gt;=COLUMNS($A29:AD29), Source!$G29, "")</f>
        <v/>
      </c>
      <c r="AE29" s="2" t="str">
        <f>IF(Source!$C29&gt;=COLUMNS($A29:AE29), Source!$G29, "")</f>
        <v/>
      </c>
      <c r="AF29" s="2" t="str">
        <f>IF(Source!$C29&gt;=COLUMNS($A29:AF29), Source!$G29, "")</f>
        <v/>
      </c>
      <c r="AG29" s="2" t="str">
        <f>IF(Source!$C29&gt;=COLUMNS($A29:AG29), Source!$G29, "")</f>
        <v/>
      </c>
      <c r="AH29" s="2" t="str">
        <f>IF(Source!$C29&gt;=COLUMNS($A29:AH29), Source!$G29, "")</f>
        <v/>
      </c>
      <c r="AI29" s="2" t="str">
        <f>IF(Source!$C29&gt;=COLUMNS($A29:AI29), Source!$G29, "")</f>
        <v/>
      </c>
      <c r="AJ29" s="2" t="str">
        <f>IF(Source!$C29&gt;=COLUMNS($A29:AJ29), Source!$G29, "")</f>
        <v/>
      </c>
      <c r="AK29" s="2" t="str">
        <f>IF(Source!$C29&gt;=COLUMNS($A29:AK29), Source!$G29, "")</f>
        <v/>
      </c>
      <c r="AL29" s="2" t="str">
        <f>IF(Source!$C29&gt;=COLUMNS($A29:AL29), Source!$G29, "")</f>
        <v/>
      </c>
      <c r="AM29" s="2" t="str">
        <f>IF(Source!$C29&gt;=COLUMNS($A29:AM29), Source!$G29, "")</f>
        <v/>
      </c>
      <c r="AN29" s="2" t="str">
        <f>IF(Source!$C29&gt;=COLUMNS($A29:AN29), Source!$G29, "")</f>
        <v/>
      </c>
      <c r="AO29" s="2" t="str">
        <f>IF(Source!$C29&gt;=COLUMNS($A29:AO29), Source!$G29, "")</f>
        <v/>
      </c>
      <c r="AP29" s="2" t="str">
        <f>IF(Source!$C29&gt;=COLUMNS($A29:AP29), Source!$G29, "")</f>
        <v/>
      </c>
      <c r="AQ29" s="2" t="str">
        <f>IF(Source!$C29&gt;=COLUMNS($A29:AQ29), Source!$G29, "")</f>
        <v/>
      </c>
      <c r="AR29" s="2" t="str">
        <f>IF(Source!$C29&gt;=COLUMNS($A29:AR29), Source!$G29, "")</f>
        <v/>
      </c>
    </row>
    <row r="30">
      <c r="A30" s="2">
        <f>IF(Source!$C30&gt;=COLUMNS($A30:A30), Source!$G30, "")</f>
        <v>4</v>
      </c>
      <c r="B30" s="2">
        <f>IF(Source!$C30&gt;=COLUMNS($A30:B30), Source!$G30, "")</f>
        <v>4</v>
      </c>
      <c r="C30" s="2">
        <f>IF(Source!$C30&gt;=COLUMNS($A30:C30), Source!$G30, "")</f>
        <v>4</v>
      </c>
      <c r="D30" s="2">
        <f>IF(Source!$C30&gt;=COLUMNS($A30:D30), Source!$G30, "")</f>
        <v>4</v>
      </c>
      <c r="E30" s="2" t="str">
        <f>IF(Source!$C30&gt;=COLUMNS($A30:E30), Source!$G30, "")</f>
        <v/>
      </c>
      <c r="F30" s="2" t="str">
        <f>IF(Source!$C30&gt;=COLUMNS($A30:F30), Source!$G30, "")</f>
        <v/>
      </c>
      <c r="G30" s="2" t="str">
        <f>IF(Source!$C30&gt;=COLUMNS($A30:G30), Source!$G30, "")</f>
        <v/>
      </c>
      <c r="H30" s="2" t="str">
        <f>IF(Source!$C30&gt;=COLUMNS($A30:H30), Source!$G30, "")</f>
        <v/>
      </c>
      <c r="I30" s="2" t="str">
        <f>IF(Source!$C30&gt;=COLUMNS($A30:I30), Source!$G30, "")</f>
        <v/>
      </c>
      <c r="J30" s="2" t="str">
        <f>IF(Source!$C30&gt;=COLUMNS($A30:J30), Source!$G30, "")</f>
        <v/>
      </c>
      <c r="K30" s="2" t="str">
        <f>IF(Source!$C30&gt;=COLUMNS($A30:K30), Source!$G30, "")</f>
        <v/>
      </c>
      <c r="L30" s="2" t="str">
        <f>IF(Source!$C30&gt;=COLUMNS($A30:L30), Source!$G30, "")</f>
        <v/>
      </c>
      <c r="M30" s="2" t="str">
        <f>IF(Source!$C30&gt;=COLUMNS($A30:M30), Source!$G30, "")</f>
        <v/>
      </c>
      <c r="N30" s="2" t="str">
        <f>IF(Source!$C30&gt;=COLUMNS($A30:N30), Source!$G30, "")</f>
        <v/>
      </c>
      <c r="O30" s="2" t="str">
        <f>IF(Source!$C30&gt;=COLUMNS($A30:O30), Source!$G30, "")</f>
        <v/>
      </c>
      <c r="P30" s="2" t="str">
        <f>IF(Source!$C30&gt;=COLUMNS($A30:P30), Source!$G30, "")</f>
        <v/>
      </c>
      <c r="Q30" s="2" t="str">
        <f>IF(Source!$C30&gt;=COLUMNS($A30:Q30), Source!$G30, "")</f>
        <v/>
      </c>
      <c r="R30" s="2" t="str">
        <f>IF(Source!$C30&gt;=COLUMNS($A30:R30), Source!$G30, "")</f>
        <v/>
      </c>
      <c r="S30" s="2" t="str">
        <f>IF(Source!$C30&gt;=COLUMNS($A30:S30), Source!$G30, "")</f>
        <v/>
      </c>
      <c r="T30" s="2" t="str">
        <f>IF(Source!$C30&gt;=COLUMNS($A30:T30), Source!$G30, "")</f>
        <v/>
      </c>
      <c r="U30" s="2" t="str">
        <f>IF(Source!$C30&gt;=COLUMNS($A30:U30), Source!$G30, "")</f>
        <v/>
      </c>
      <c r="V30" s="2" t="str">
        <f>IF(Source!$C30&gt;=COLUMNS($A30:V30), Source!$G30, "")</f>
        <v/>
      </c>
      <c r="W30" s="2" t="str">
        <f>IF(Source!$C30&gt;=COLUMNS($A30:W30), Source!$G30, "")</f>
        <v/>
      </c>
      <c r="X30" s="2" t="str">
        <f>IF(Source!$C30&gt;=COLUMNS($A30:X30), Source!$G30, "")</f>
        <v/>
      </c>
      <c r="Y30" s="2" t="str">
        <f>IF(Source!$C30&gt;=COLUMNS($A30:Y30), Source!$G30, "")</f>
        <v/>
      </c>
      <c r="Z30" s="2" t="str">
        <f>IF(Source!$C30&gt;=COLUMNS($A30:Z30), Source!$G30, "")</f>
        <v/>
      </c>
      <c r="AA30" s="2" t="str">
        <f>IF(Source!$C30&gt;=COLUMNS($A30:AA30), Source!$G30, "")</f>
        <v/>
      </c>
      <c r="AB30" s="2" t="str">
        <f>IF(Source!$C30&gt;=COLUMNS($A30:AB30), Source!$G30, "")</f>
        <v/>
      </c>
      <c r="AC30" s="2" t="str">
        <f>IF(Source!$C30&gt;=COLUMNS($A30:AC30), Source!$G30, "")</f>
        <v/>
      </c>
      <c r="AD30" s="2" t="str">
        <f>IF(Source!$C30&gt;=COLUMNS($A30:AD30), Source!$G30, "")</f>
        <v/>
      </c>
      <c r="AE30" s="2" t="str">
        <f>IF(Source!$C30&gt;=COLUMNS($A30:AE30), Source!$G30, "")</f>
        <v/>
      </c>
      <c r="AF30" s="2" t="str">
        <f>IF(Source!$C30&gt;=COLUMNS($A30:AF30), Source!$G30, "")</f>
        <v/>
      </c>
      <c r="AG30" s="2" t="str">
        <f>IF(Source!$C30&gt;=COLUMNS($A30:AG30), Source!$G30, "")</f>
        <v/>
      </c>
      <c r="AH30" s="2" t="str">
        <f>IF(Source!$C30&gt;=COLUMNS($A30:AH30), Source!$G30, "")</f>
        <v/>
      </c>
      <c r="AI30" s="2" t="str">
        <f>IF(Source!$C30&gt;=COLUMNS($A30:AI30), Source!$G30, "")</f>
        <v/>
      </c>
      <c r="AJ30" s="2" t="str">
        <f>IF(Source!$C30&gt;=COLUMNS($A30:AJ30), Source!$G30, "")</f>
        <v/>
      </c>
      <c r="AK30" s="2" t="str">
        <f>IF(Source!$C30&gt;=COLUMNS($A30:AK30), Source!$G30, "")</f>
        <v/>
      </c>
      <c r="AL30" s="2" t="str">
        <f>IF(Source!$C30&gt;=COLUMNS($A30:AL30), Source!$G30, "")</f>
        <v/>
      </c>
      <c r="AM30" s="2" t="str">
        <f>IF(Source!$C30&gt;=COLUMNS($A30:AM30), Source!$G30, "")</f>
        <v/>
      </c>
      <c r="AN30" s="2" t="str">
        <f>IF(Source!$C30&gt;=COLUMNS($A30:AN30), Source!$G30, "")</f>
        <v/>
      </c>
      <c r="AO30" s="2" t="str">
        <f>IF(Source!$C30&gt;=COLUMNS($A30:AO30), Source!$G30, "")</f>
        <v/>
      </c>
      <c r="AP30" s="2" t="str">
        <f>IF(Source!$C30&gt;=COLUMNS($A30:AP30), Source!$G30, "")</f>
        <v/>
      </c>
      <c r="AQ30" s="2" t="str">
        <f>IF(Source!$C30&gt;=COLUMNS($A30:AQ30), Source!$G30, "")</f>
        <v/>
      </c>
      <c r="AR30" s="2" t="str">
        <f>IF(Source!$C30&gt;=COLUMNS($A30:AR30), Source!$G30, "")</f>
        <v/>
      </c>
    </row>
    <row r="31">
      <c r="A31" s="2">
        <f>IF(Source!$C31&gt;=COLUMNS($A31:A31), Source!$G31, "")</f>
        <v>4</v>
      </c>
      <c r="B31" s="2">
        <f>IF(Source!$C31&gt;=COLUMNS($A31:B31), Source!$G31, "")</f>
        <v>4</v>
      </c>
      <c r="C31" s="2" t="str">
        <f>IF(Source!$C31&gt;=COLUMNS($A31:C31), Source!$G31, "")</f>
        <v/>
      </c>
      <c r="D31" s="2" t="str">
        <f>IF(Source!$C31&gt;=COLUMNS($A31:D31), Source!$G31, "")</f>
        <v/>
      </c>
      <c r="E31" s="2" t="str">
        <f>IF(Source!$C31&gt;=COLUMNS($A31:E31), Source!$G31, "")</f>
        <v/>
      </c>
      <c r="F31" s="2" t="str">
        <f>IF(Source!$C31&gt;=COLUMNS($A31:F31), Source!$G31, "")</f>
        <v/>
      </c>
      <c r="G31" s="2" t="str">
        <f>IF(Source!$C31&gt;=COLUMNS($A31:G31), Source!$G31, "")</f>
        <v/>
      </c>
      <c r="H31" s="2" t="str">
        <f>IF(Source!$C31&gt;=COLUMNS($A31:H31), Source!$G31, "")</f>
        <v/>
      </c>
      <c r="I31" s="2" t="str">
        <f>IF(Source!$C31&gt;=COLUMNS($A31:I31), Source!$G31, "")</f>
        <v/>
      </c>
      <c r="J31" s="2" t="str">
        <f>IF(Source!$C31&gt;=COLUMNS($A31:J31), Source!$G31, "")</f>
        <v/>
      </c>
      <c r="K31" s="2" t="str">
        <f>IF(Source!$C31&gt;=COLUMNS($A31:K31), Source!$G31, "")</f>
        <v/>
      </c>
      <c r="L31" s="2" t="str">
        <f>IF(Source!$C31&gt;=COLUMNS($A31:L31), Source!$G31, "")</f>
        <v/>
      </c>
      <c r="M31" s="2" t="str">
        <f>IF(Source!$C31&gt;=COLUMNS($A31:M31), Source!$G31, "")</f>
        <v/>
      </c>
      <c r="N31" s="2" t="str">
        <f>IF(Source!$C31&gt;=COLUMNS($A31:N31), Source!$G31, "")</f>
        <v/>
      </c>
      <c r="O31" s="2" t="str">
        <f>IF(Source!$C31&gt;=COLUMNS($A31:O31), Source!$G31, "")</f>
        <v/>
      </c>
      <c r="P31" s="2" t="str">
        <f>IF(Source!$C31&gt;=COLUMNS($A31:P31), Source!$G31, "")</f>
        <v/>
      </c>
      <c r="Q31" s="2" t="str">
        <f>IF(Source!$C31&gt;=COLUMNS($A31:Q31), Source!$G31, "")</f>
        <v/>
      </c>
      <c r="R31" s="2" t="str">
        <f>IF(Source!$C31&gt;=COLUMNS($A31:R31), Source!$G31, "")</f>
        <v/>
      </c>
      <c r="S31" s="2" t="str">
        <f>IF(Source!$C31&gt;=COLUMNS($A31:S31), Source!$G31, "")</f>
        <v/>
      </c>
      <c r="T31" s="2" t="str">
        <f>IF(Source!$C31&gt;=COLUMNS($A31:T31), Source!$G31, "")</f>
        <v/>
      </c>
      <c r="U31" s="2" t="str">
        <f>IF(Source!$C31&gt;=COLUMNS($A31:U31), Source!$G31, "")</f>
        <v/>
      </c>
      <c r="V31" s="2" t="str">
        <f>IF(Source!$C31&gt;=COLUMNS($A31:V31), Source!$G31, "")</f>
        <v/>
      </c>
      <c r="W31" s="2" t="str">
        <f>IF(Source!$C31&gt;=COLUMNS($A31:W31), Source!$G31, "")</f>
        <v/>
      </c>
      <c r="X31" s="2" t="str">
        <f>IF(Source!$C31&gt;=COLUMNS($A31:X31), Source!$G31, "")</f>
        <v/>
      </c>
      <c r="Y31" s="2" t="str">
        <f>IF(Source!$C31&gt;=COLUMNS($A31:Y31), Source!$G31, "")</f>
        <v/>
      </c>
      <c r="Z31" s="2" t="str">
        <f>IF(Source!$C31&gt;=COLUMNS($A31:Z31), Source!$G31, "")</f>
        <v/>
      </c>
      <c r="AA31" s="2" t="str">
        <f>IF(Source!$C31&gt;=COLUMNS($A31:AA31), Source!$G31, "")</f>
        <v/>
      </c>
      <c r="AB31" s="2" t="str">
        <f>IF(Source!$C31&gt;=COLUMNS($A31:AB31), Source!$G31, "")</f>
        <v/>
      </c>
      <c r="AC31" s="2" t="str">
        <f>IF(Source!$C31&gt;=COLUMNS($A31:AC31), Source!$G31, "")</f>
        <v/>
      </c>
      <c r="AD31" s="2" t="str">
        <f>IF(Source!$C31&gt;=COLUMNS($A31:AD31), Source!$G31, "")</f>
        <v/>
      </c>
      <c r="AE31" s="2" t="str">
        <f>IF(Source!$C31&gt;=COLUMNS($A31:AE31), Source!$G31, "")</f>
        <v/>
      </c>
      <c r="AF31" s="2" t="str">
        <f>IF(Source!$C31&gt;=COLUMNS($A31:AF31), Source!$G31, "")</f>
        <v/>
      </c>
      <c r="AG31" s="2" t="str">
        <f>IF(Source!$C31&gt;=COLUMNS($A31:AG31), Source!$G31, "")</f>
        <v/>
      </c>
      <c r="AH31" s="2" t="str">
        <f>IF(Source!$C31&gt;=COLUMNS($A31:AH31), Source!$G31, "")</f>
        <v/>
      </c>
      <c r="AI31" s="2" t="str">
        <f>IF(Source!$C31&gt;=COLUMNS($A31:AI31), Source!$G31, "")</f>
        <v/>
      </c>
      <c r="AJ31" s="2" t="str">
        <f>IF(Source!$C31&gt;=COLUMNS($A31:AJ31), Source!$G31, "")</f>
        <v/>
      </c>
      <c r="AK31" s="2" t="str">
        <f>IF(Source!$C31&gt;=COLUMNS($A31:AK31), Source!$G31, "")</f>
        <v/>
      </c>
      <c r="AL31" s="2" t="str">
        <f>IF(Source!$C31&gt;=COLUMNS($A31:AL31), Source!$G31, "")</f>
        <v/>
      </c>
      <c r="AM31" s="2" t="str">
        <f>IF(Source!$C31&gt;=COLUMNS($A31:AM31), Source!$G31, "")</f>
        <v/>
      </c>
      <c r="AN31" s="2" t="str">
        <f>IF(Source!$C31&gt;=COLUMNS($A31:AN31), Source!$G31, "")</f>
        <v/>
      </c>
      <c r="AO31" s="2" t="str">
        <f>IF(Source!$C31&gt;=COLUMNS($A31:AO31), Source!$G31, "")</f>
        <v/>
      </c>
      <c r="AP31" s="2" t="str">
        <f>IF(Source!$C31&gt;=COLUMNS($A31:AP31), Source!$G31, "")</f>
        <v/>
      </c>
      <c r="AQ31" s="2" t="str">
        <f>IF(Source!$C31&gt;=COLUMNS($A31:AQ31), Source!$G31, "")</f>
        <v/>
      </c>
      <c r="AR31" s="2" t="str">
        <f>IF(Source!$C31&gt;=COLUMNS($A31:AR31), Source!$G31, "")</f>
        <v/>
      </c>
    </row>
    <row r="32">
      <c r="A32" s="2">
        <f>IF(Source!$C32&gt;=COLUMNS($A32:A32), Source!$G32, "")</f>
        <v>8</v>
      </c>
      <c r="B32" s="2">
        <f>IF(Source!$C32&gt;=COLUMNS($A32:B32), Source!$G32, "")</f>
        <v>8</v>
      </c>
      <c r="C32" s="2">
        <f>IF(Source!$C32&gt;=COLUMNS($A32:C32), Source!$G32, "")</f>
        <v>8</v>
      </c>
      <c r="D32" s="2">
        <f>IF(Source!$C32&gt;=COLUMNS($A32:D32), Source!$G32, "")</f>
        <v>8</v>
      </c>
      <c r="E32" s="2">
        <f>IF(Source!$C32&gt;=COLUMNS($A32:E32), Source!$G32, "")</f>
        <v>8</v>
      </c>
      <c r="F32" s="2">
        <f>IF(Source!$C32&gt;=COLUMNS($A32:F32), Source!$G32, "")</f>
        <v>8</v>
      </c>
      <c r="G32" s="2">
        <f>IF(Source!$C32&gt;=COLUMNS($A32:G32), Source!$G32, "")</f>
        <v>8</v>
      </c>
      <c r="H32" s="2">
        <f>IF(Source!$C32&gt;=COLUMNS($A32:H32), Source!$G32, "")</f>
        <v>8</v>
      </c>
      <c r="I32" s="2">
        <f>IF(Source!$C32&gt;=COLUMNS($A32:I32), Source!$G32, "")</f>
        <v>8</v>
      </c>
      <c r="J32" s="2">
        <f>IF(Source!$C32&gt;=COLUMNS($A32:J32), Source!$G32, "")</f>
        <v>8</v>
      </c>
      <c r="K32" s="2">
        <f>IF(Source!$C32&gt;=COLUMNS($A32:K32), Source!$G32, "")</f>
        <v>8</v>
      </c>
      <c r="L32" s="2">
        <f>IF(Source!$C32&gt;=COLUMNS($A32:L32), Source!$G32, "")</f>
        <v>8</v>
      </c>
      <c r="M32" s="2">
        <f>IF(Source!$C32&gt;=COLUMNS($A32:M32), Source!$G32, "")</f>
        <v>8</v>
      </c>
      <c r="N32" s="2" t="str">
        <f>IF(Source!$C32&gt;=COLUMNS($A32:N32), Source!$G32, "")</f>
        <v/>
      </c>
      <c r="O32" s="2" t="str">
        <f>IF(Source!$C32&gt;=COLUMNS($A32:O32), Source!$G32, "")</f>
        <v/>
      </c>
      <c r="P32" s="2" t="str">
        <f>IF(Source!$C32&gt;=COLUMNS($A32:P32), Source!$G32, "")</f>
        <v/>
      </c>
      <c r="Q32" s="2" t="str">
        <f>IF(Source!$C32&gt;=COLUMNS($A32:Q32), Source!$G32, "")</f>
        <v/>
      </c>
      <c r="R32" s="2" t="str">
        <f>IF(Source!$C32&gt;=COLUMNS($A32:R32), Source!$G32, "")</f>
        <v/>
      </c>
      <c r="S32" s="2" t="str">
        <f>IF(Source!$C32&gt;=COLUMNS($A32:S32), Source!$G32, "")</f>
        <v/>
      </c>
      <c r="T32" s="2" t="str">
        <f>IF(Source!$C32&gt;=COLUMNS($A32:T32), Source!$G32, "")</f>
        <v/>
      </c>
      <c r="U32" s="2" t="str">
        <f>IF(Source!$C32&gt;=COLUMNS($A32:U32), Source!$G32, "")</f>
        <v/>
      </c>
      <c r="V32" s="2" t="str">
        <f>IF(Source!$C32&gt;=COLUMNS($A32:V32), Source!$G32, "")</f>
        <v/>
      </c>
      <c r="W32" s="2" t="str">
        <f>IF(Source!$C32&gt;=COLUMNS($A32:W32), Source!$G32, "")</f>
        <v/>
      </c>
      <c r="X32" s="2" t="str">
        <f>IF(Source!$C32&gt;=COLUMNS($A32:X32), Source!$G32, "")</f>
        <v/>
      </c>
      <c r="Y32" s="2" t="str">
        <f>IF(Source!$C32&gt;=COLUMNS($A32:Y32), Source!$G32, "")</f>
        <v/>
      </c>
      <c r="Z32" s="2" t="str">
        <f>IF(Source!$C32&gt;=COLUMNS($A32:Z32), Source!$G32, "")</f>
        <v/>
      </c>
      <c r="AA32" s="2" t="str">
        <f>IF(Source!$C32&gt;=COLUMNS($A32:AA32), Source!$G32, "")</f>
        <v/>
      </c>
      <c r="AB32" s="2" t="str">
        <f>IF(Source!$C32&gt;=COLUMNS($A32:AB32), Source!$G32, "")</f>
        <v/>
      </c>
      <c r="AC32" s="2" t="str">
        <f>IF(Source!$C32&gt;=COLUMNS($A32:AC32), Source!$G32, "")</f>
        <v/>
      </c>
      <c r="AD32" s="2" t="str">
        <f>IF(Source!$C32&gt;=COLUMNS($A32:AD32), Source!$G32, "")</f>
        <v/>
      </c>
      <c r="AE32" s="2" t="str">
        <f>IF(Source!$C32&gt;=COLUMNS($A32:AE32), Source!$G32, "")</f>
        <v/>
      </c>
      <c r="AF32" s="2" t="str">
        <f>IF(Source!$C32&gt;=COLUMNS($A32:AF32), Source!$G32, "")</f>
        <v/>
      </c>
      <c r="AG32" s="2" t="str">
        <f>IF(Source!$C32&gt;=COLUMNS($A32:AG32), Source!$G32, "")</f>
        <v/>
      </c>
      <c r="AH32" s="2" t="str">
        <f>IF(Source!$C32&gt;=COLUMNS($A32:AH32), Source!$G32, "")</f>
        <v/>
      </c>
      <c r="AI32" s="2" t="str">
        <f>IF(Source!$C32&gt;=COLUMNS($A32:AI32), Source!$G32, "")</f>
        <v/>
      </c>
      <c r="AJ32" s="2" t="str">
        <f>IF(Source!$C32&gt;=COLUMNS($A32:AJ32), Source!$G32, "")</f>
        <v/>
      </c>
      <c r="AK32" s="2" t="str">
        <f>IF(Source!$C32&gt;=COLUMNS($A32:AK32), Source!$G32, "")</f>
        <v/>
      </c>
      <c r="AL32" s="2" t="str">
        <f>IF(Source!$C32&gt;=COLUMNS($A32:AL32), Source!$G32, "")</f>
        <v/>
      </c>
      <c r="AM32" s="2" t="str">
        <f>IF(Source!$C32&gt;=COLUMNS($A32:AM32), Source!$G32, "")</f>
        <v/>
      </c>
      <c r="AN32" s="2" t="str">
        <f>IF(Source!$C32&gt;=COLUMNS($A32:AN32), Source!$G32, "")</f>
        <v/>
      </c>
      <c r="AO32" s="2" t="str">
        <f>IF(Source!$C32&gt;=COLUMNS($A32:AO32), Source!$G32, "")</f>
        <v/>
      </c>
      <c r="AP32" s="2" t="str">
        <f>IF(Source!$C32&gt;=COLUMNS($A32:AP32), Source!$G32, "")</f>
        <v/>
      </c>
      <c r="AQ32" s="2" t="str">
        <f>IF(Source!$C32&gt;=COLUMNS($A32:AQ32), Source!$G32, "")</f>
        <v/>
      </c>
      <c r="AR32" s="2" t="str">
        <f>IF(Source!$C32&gt;=COLUMNS($A32:AR32), Source!$G32, "")</f>
        <v/>
      </c>
    </row>
    <row r="33">
      <c r="A33" s="2">
        <f>IF(Source!$C33&gt;=COLUMNS($A33:A33), Source!$G33, "")</f>
        <v>6</v>
      </c>
      <c r="B33" s="2">
        <f>IF(Source!$C33&gt;=COLUMNS($A33:B33), Source!$G33, "")</f>
        <v>6</v>
      </c>
      <c r="C33" s="2">
        <f>IF(Source!$C33&gt;=COLUMNS($A33:C33), Source!$G33, "")</f>
        <v>6</v>
      </c>
      <c r="D33" s="2" t="str">
        <f>IF(Source!$C33&gt;=COLUMNS($A33:D33), Source!$G33, "")</f>
        <v/>
      </c>
      <c r="E33" s="2" t="str">
        <f>IF(Source!$C33&gt;=COLUMNS($A33:E33), Source!$G33, "")</f>
        <v/>
      </c>
      <c r="F33" s="2" t="str">
        <f>IF(Source!$C33&gt;=COLUMNS($A33:F33), Source!$G33, "")</f>
        <v/>
      </c>
      <c r="G33" s="2" t="str">
        <f>IF(Source!$C33&gt;=COLUMNS($A33:G33), Source!$G33, "")</f>
        <v/>
      </c>
      <c r="H33" s="2" t="str">
        <f>IF(Source!$C33&gt;=COLUMNS($A33:H33), Source!$G33, "")</f>
        <v/>
      </c>
      <c r="I33" s="2" t="str">
        <f>IF(Source!$C33&gt;=COLUMNS($A33:I33), Source!$G33, "")</f>
        <v/>
      </c>
      <c r="J33" s="2" t="str">
        <f>IF(Source!$C33&gt;=COLUMNS($A33:J33), Source!$G33, "")</f>
        <v/>
      </c>
      <c r="K33" s="2" t="str">
        <f>IF(Source!$C33&gt;=COLUMNS($A33:K33), Source!$G33, "")</f>
        <v/>
      </c>
      <c r="L33" s="2" t="str">
        <f>IF(Source!$C33&gt;=COLUMNS($A33:L33), Source!$G33, "")</f>
        <v/>
      </c>
      <c r="M33" s="2" t="str">
        <f>IF(Source!$C33&gt;=COLUMNS($A33:M33), Source!$G33, "")</f>
        <v/>
      </c>
      <c r="N33" s="2" t="str">
        <f>IF(Source!$C33&gt;=COLUMNS($A33:N33), Source!$G33, "")</f>
        <v/>
      </c>
      <c r="O33" s="2" t="str">
        <f>IF(Source!$C33&gt;=COLUMNS($A33:O33), Source!$G33, "")</f>
        <v/>
      </c>
      <c r="P33" s="2" t="str">
        <f>IF(Source!$C33&gt;=COLUMNS($A33:P33), Source!$G33, "")</f>
        <v/>
      </c>
      <c r="Q33" s="2" t="str">
        <f>IF(Source!$C33&gt;=COLUMNS($A33:Q33), Source!$G33, "")</f>
        <v/>
      </c>
      <c r="R33" s="2" t="str">
        <f>IF(Source!$C33&gt;=COLUMNS($A33:R33), Source!$G33, "")</f>
        <v/>
      </c>
      <c r="S33" s="2" t="str">
        <f>IF(Source!$C33&gt;=COLUMNS($A33:S33), Source!$G33, "")</f>
        <v/>
      </c>
      <c r="T33" s="2" t="str">
        <f>IF(Source!$C33&gt;=COLUMNS($A33:T33), Source!$G33, "")</f>
        <v/>
      </c>
      <c r="U33" s="2" t="str">
        <f>IF(Source!$C33&gt;=COLUMNS($A33:U33), Source!$G33, "")</f>
        <v/>
      </c>
      <c r="V33" s="2" t="str">
        <f>IF(Source!$C33&gt;=COLUMNS($A33:V33), Source!$G33, "")</f>
        <v/>
      </c>
      <c r="W33" s="2" t="str">
        <f>IF(Source!$C33&gt;=COLUMNS($A33:W33), Source!$G33, "")</f>
        <v/>
      </c>
      <c r="X33" s="2" t="str">
        <f>IF(Source!$C33&gt;=COLUMNS($A33:X33), Source!$G33, "")</f>
        <v/>
      </c>
      <c r="Y33" s="2" t="str">
        <f>IF(Source!$C33&gt;=COLUMNS($A33:Y33), Source!$G33, "")</f>
        <v/>
      </c>
      <c r="Z33" s="2" t="str">
        <f>IF(Source!$C33&gt;=COLUMNS($A33:Z33), Source!$G33, "")</f>
        <v/>
      </c>
      <c r="AA33" s="2" t="str">
        <f>IF(Source!$C33&gt;=COLUMNS($A33:AA33), Source!$G33, "")</f>
        <v/>
      </c>
      <c r="AB33" s="2" t="str">
        <f>IF(Source!$C33&gt;=COLUMNS($A33:AB33), Source!$G33, "")</f>
        <v/>
      </c>
      <c r="AC33" s="2" t="str">
        <f>IF(Source!$C33&gt;=COLUMNS($A33:AC33), Source!$G33, "")</f>
        <v/>
      </c>
      <c r="AD33" s="2" t="str">
        <f>IF(Source!$C33&gt;=COLUMNS($A33:AD33), Source!$G33, "")</f>
        <v/>
      </c>
      <c r="AE33" s="2" t="str">
        <f>IF(Source!$C33&gt;=COLUMNS($A33:AE33), Source!$G33, "")</f>
        <v/>
      </c>
      <c r="AF33" s="2" t="str">
        <f>IF(Source!$C33&gt;=COLUMNS($A33:AF33), Source!$G33, "")</f>
        <v/>
      </c>
      <c r="AG33" s="2" t="str">
        <f>IF(Source!$C33&gt;=COLUMNS($A33:AG33), Source!$G33, "")</f>
        <v/>
      </c>
      <c r="AH33" s="2" t="str">
        <f>IF(Source!$C33&gt;=COLUMNS($A33:AH33), Source!$G33, "")</f>
        <v/>
      </c>
      <c r="AI33" s="2" t="str">
        <f>IF(Source!$C33&gt;=COLUMNS($A33:AI33), Source!$G33, "")</f>
        <v/>
      </c>
      <c r="AJ33" s="2" t="str">
        <f>IF(Source!$C33&gt;=COLUMNS($A33:AJ33), Source!$G33, "")</f>
        <v/>
      </c>
      <c r="AK33" s="2" t="str">
        <f>IF(Source!$C33&gt;=COLUMNS($A33:AK33), Source!$G33, "")</f>
        <v/>
      </c>
      <c r="AL33" s="2" t="str">
        <f>IF(Source!$C33&gt;=COLUMNS($A33:AL33), Source!$G33, "")</f>
        <v/>
      </c>
      <c r="AM33" s="2" t="str">
        <f>IF(Source!$C33&gt;=COLUMNS($A33:AM33), Source!$G33, "")</f>
        <v/>
      </c>
      <c r="AN33" s="2" t="str">
        <f>IF(Source!$C33&gt;=COLUMNS($A33:AN33), Source!$G33, "")</f>
        <v/>
      </c>
      <c r="AO33" s="2" t="str">
        <f>IF(Source!$C33&gt;=COLUMNS($A33:AO33), Source!$G33, "")</f>
        <v/>
      </c>
      <c r="AP33" s="2" t="str">
        <f>IF(Source!$C33&gt;=COLUMNS($A33:AP33), Source!$G33, "")</f>
        <v/>
      </c>
      <c r="AQ33" s="2" t="str">
        <f>IF(Source!$C33&gt;=COLUMNS($A33:AQ33), Source!$G33, "")</f>
        <v/>
      </c>
      <c r="AR33" s="2" t="str">
        <f>IF(Source!$C33&gt;=COLUMNS($A33:AR33), Source!$G33, "")</f>
        <v/>
      </c>
    </row>
    <row r="34">
      <c r="A34" s="2">
        <f>IF(Source!$C34&gt;=COLUMNS($A34:A34), Source!$G34, "")</f>
        <v>8</v>
      </c>
      <c r="B34" s="2">
        <f>IF(Source!$C34&gt;=COLUMNS($A34:B34), Source!$G34, "")</f>
        <v>8</v>
      </c>
      <c r="C34" s="2" t="str">
        <f>IF(Source!$C34&gt;=COLUMNS($A34:C34), Source!$G34, "")</f>
        <v/>
      </c>
      <c r="D34" s="2" t="str">
        <f>IF(Source!$C34&gt;=COLUMNS($A34:D34), Source!$G34, "")</f>
        <v/>
      </c>
      <c r="E34" s="2" t="str">
        <f>IF(Source!$C34&gt;=COLUMNS($A34:E34), Source!$G34, "")</f>
        <v/>
      </c>
      <c r="F34" s="2" t="str">
        <f>IF(Source!$C34&gt;=COLUMNS($A34:F34), Source!$G34, "")</f>
        <v/>
      </c>
      <c r="G34" s="2" t="str">
        <f>IF(Source!$C34&gt;=COLUMNS($A34:G34), Source!$G34, "")</f>
        <v/>
      </c>
      <c r="H34" s="2" t="str">
        <f>IF(Source!$C34&gt;=COLUMNS($A34:H34), Source!$G34, "")</f>
        <v/>
      </c>
      <c r="I34" s="2" t="str">
        <f>IF(Source!$C34&gt;=COLUMNS($A34:I34), Source!$G34, "")</f>
        <v/>
      </c>
      <c r="J34" s="2" t="str">
        <f>IF(Source!$C34&gt;=COLUMNS($A34:J34), Source!$G34, "")</f>
        <v/>
      </c>
      <c r="K34" s="2" t="str">
        <f>IF(Source!$C34&gt;=COLUMNS($A34:K34), Source!$G34, "")</f>
        <v/>
      </c>
      <c r="L34" s="2" t="str">
        <f>IF(Source!$C34&gt;=COLUMNS($A34:L34), Source!$G34, "")</f>
        <v/>
      </c>
      <c r="M34" s="2" t="str">
        <f>IF(Source!$C34&gt;=COLUMNS($A34:M34), Source!$G34, "")</f>
        <v/>
      </c>
      <c r="N34" s="2" t="str">
        <f>IF(Source!$C34&gt;=COLUMNS($A34:N34), Source!$G34, "")</f>
        <v/>
      </c>
      <c r="O34" s="2" t="str">
        <f>IF(Source!$C34&gt;=COLUMNS($A34:O34), Source!$G34, "")</f>
        <v/>
      </c>
      <c r="P34" s="2" t="str">
        <f>IF(Source!$C34&gt;=COLUMNS($A34:P34), Source!$G34, "")</f>
        <v/>
      </c>
      <c r="Q34" s="2" t="str">
        <f>IF(Source!$C34&gt;=COLUMNS($A34:Q34), Source!$G34, "")</f>
        <v/>
      </c>
      <c r="R34" s="2" t="str">
        <f>IF(Source!$C34&gt;=COLUMNS($A34:R34), Source!$G34, "")</f>
        <v/>
      </c>
      <c r="S34" s="2" t="str">
        <f>IF(Source!$C34&gt;=COLUMNS($A34:S34), Source!$G34, "")</f>
        <v/>
      </c>
      <c r="T34" s="2" t="str">
        <f>IF(Source!$C34&gt;=COLUMNS($A34:T34), Source!$G34, "")</f>
        <v/>
      </c>
      <c r="U34" s="2" t="str">
        <f>IF(Source!$C34&gt;=COLUMNS($A34:U34), Source!$G34, "")</f>
        <v/>
      </c>
      <c r="V34" s="2" t="str">
        <f>IF(Source!$C34&gt;=COLUMNS($A34:V34), Source!$G34, "")</f>
        <v/>
      </c>
      <c r="W34" s="2" t="str">
        <f>IF(Source!$C34&gt;=COLUMNS($A34:W34), Source!$G34, "")</f>
        <v/>
      </c>
      <c r="X34" s="2" t="str">
        <f>IF(Source!$C34&gt;=COLUMNS($A34:X34), Source!$G34, "")</f>
        <v/>
      </c>
      <c r="Y34" s="2" t="str">
        <f>IF(Source!$C34&gt;=COLUMNS($A34:Y34), Source!$G34, "")</f>
        <v/>
      </c>
      <c r="Z34" s="2" t="str">
        <f>IF(Source!$C34&gt;=COLUMNS($A34:Z34), Source!$G34, "")</f>
        <v/>
      </c>
      <c r="AA34" s="2" t="str">
        <f>IF(Source!$C34&gt;=COLUMNS($A34:AA34), Source!$G34, "")</f>
        <v/>
      </c>
      <c r="AB34" s="2" t="str">
        <f>IF(Source!$C34&gt;=COLUMNS($A34:AB34), Source!$G34, "")</f>
        <v/>
      </c>
      <c r="AC34" s="2" t="str">
        <f>IF(Source!$C34&gt;=COLUMNS($A34:AC34), Source!$G34, "")</f>
        <v/>
      </c>
      <c r="AD34" s="2" t="str">
        <f>IF(Source!$C34&gt;=COLUMNS($A34:AD34), Source!$G34, "")</f>
        <v/>
      </c>
      <c r="AE34" s="2" t="str">
        <f>IF(Source!$C34&gt;=COLUMNS($A34:AE34), Source!$G34, "")</f>
        <v/>
      </c>
      <c r="AF34" s="2" t="str">
        <f>IF(Source!$C34&gt;=COLUMNS($A34:AF34), Source!$G34, "")</f>
        <v/>
      </c>
      <c r="AG34" s="2" t="str">
        <f>IF(Source!$C34&gt;=COLUMNS($A34:AG34), Source!$G34, "")</f>
        <v/>
      </c>
      <c r="AH34" s="2" t="str">
        <f>IF(Source!$C34&gt;=COLUMNS($A34:AH34), Source!$G34, "")</f>
        <v/>
      </c>
      <c r="AI34" s="2" t="str">
        <f>IF(Source!$C34&gt;=COLUMNS($A34:AI34), Source!$G34, "")</f>
        <v/>
      </c>
      <c r="AJ34" s="2" t="str">
        <f>IF(Source!$C34&gt;=COLUMNS($A34:AJ34), Source!$G34, "")</f>
        <v/>
      </c>
      <c r="AK34" s="2" t="str">
        <f>IF(Source!$C34&gt;=COLUMNS($A34:AK34), Source!$G34, "")</f>
        <v/>
      </c>
      <c r="AL34" s="2" t="str">
        <f>IF(Source!$C34&gt;=COLUMNS($A34:AL34), Source!$G34, "")</f>
        <v/>
      </c>
      <c r="AM34" s="2" t="str">
        <f>IF(Source!$C34&gt;=COLUMNS($A34:AM34), Source!$G34, "")</f>
        <v/>
      </c>
      <c r="AN34" s="2" t="str">
        <f>IF(Source!$C34&gt;=COLUMNS($A34:AN34), Source!$G34, "")</f>
        <v/>
      </c>
      <c r="AO34" s="2" t="str">
        <f>IF(Source!$C34&gt;=COLUMNS($A34:AO34), Source!$G34, "")</f>
        <v/>
      </c>
      <c r="AP34" s="2" t="str">
        <f>IF(Source!$C34&gt;=COLUMNS($A34:AP34), Source!$G34, "")</f>
        <v/>
      </c>
      <c r="AQ34" s="2" t="str">
        <f>IF(Source!$C34&gt;=COLUMNS($A34:AQ34), Source!$G34, "")</f>
        <v/>
      </c>
      <c r="AR34" s="2" t="str">
        <f>IF(Source!$C34&gt;=COLUMNS($A34:AR34), Source!$G34, "")</f>
        <v/>
      </c>
    </row>
    <row r="35">
      <c r="A35" s="2">
        <f>IF(Source!$C35&gt;=COLUMNS($A35:A35), Source!$G35, "")</f>
        <v>5</v>
      </c>
      <c r="B35" s="2">
        <f>IF(Source!$C35&gt;=COLUMNS($A35:B35), Source!$G35, "")</f>
        <v>5</v>
      </c>
      <c r="C35" s="2">
        <f>IF(Source!$C35&gt;=COLUMNS($A35:C35), Source!$G35, "")</f>
        <v>5</v>
      </c>
      <c r="D35" s="2">
        <f>IF(Source!$C35&gt;=COLUMNS($A35:D35), Source!$G35, "")</f>
        <v>5</v>
      </c>
      <c r="E35" s="2">
        <f>IF(Source!$C35&gt;=COLUMNS($A35:E35), Source!$G35, "")</f>
        <v>5</v>
      </c>
      <c r="F35" s="2">
        <f>IF(Source!$C35&gt;=COLUMNS($A35:F35), Source!$G35, "")</f>
        <v>5</v>
      </c>
      <c r="G35" s="2">
        <f>IF(Source!$C35&gt;=COLUMNS($A35:G35), Source!$G35, "")</f>
        <v>5</v>
      </c>
      <c r="H35" s="2">
        <f>IF(Source!$C35&gt;=COLUMNS($A35:H35), Source!$G35, "")</f>
        <v>5</v>
      </c>
      <c r="I35" s="2">
        <f>IF(Source!$C35&gt;=COLUMNS($A35:I35), Source!$G35, "")</f>
        <v>5</v>
      </c>
      <c r="J35" s="2">
        <f>IF(Source!$C35&gt;=COLUMNS($A35:J35), Source!$G35, "")</f>
        <v>5</v>
      </c>
      <c r="K35" s="2" t="str">
        <f>IF(Source!$C35&gt;=COLUMNS($A35:K35), Source!$G35, "")</f>
        <v/>
      </c>
      <c r="L35" s="2" t="str">
        <f>IF(Source!$C35&gt;=COLUMNS($A35:L35), Source!$G35, "")</f>
        <v/>
      </c>
      <c r="M35" s="2" t="str">
        <f>IF(Source!$C35&gt;=COLUMNS($A35:M35), Source!$G35, "")</f>
        <v/>
      </c>
      <c r="N35" s="2" t="str">
        <f>IF(Source!$C35&gt;=COLUMNS($A35:N35), Source!$G35, "")</f>
        <v/>
      </c>
      <c r="O35" s="2" t="str">
        <f>IF(Source!$C35&gt;=COLUMNS($A35:O35), Source!$G35, "")</f>
        <v/>
      </c>
      <c r="P35" s="2" t="str">
        <f>IF(Source!$C35&gt;=COLUMNS($A35:P35), Source!$G35, "")</f>
        <v/>
      </c>
      <c r="Q35" s="2" t="str">
        <f>IF(Source!$C35&gt;=COLUMNS($A35:Q35), Source!$G35, "")</f>
        <v/>
      </c>
      <c r="R35" s="2" t="str">
        <f>IF(Source!$C35&gt;=COLUMNS($A35:R35), Source!$G35, "")</f>
        <v/>
      </c>
      <c r="S35" s="2" t="str">
        <f>IF(Source!$C35&gt;=COLUMNS($A35:S35), Source!$G35, "")</f>
        <v/>
      </c>
      <c r="T35" s="2" t="str">
        <f>IF(Source!$C35&gt;=COLUMNS($A35:T35), Source!$G35, "")</f>
        <v/>
      </c>
      <c r="U35" s="2" t="str">
        <f>IF(Source!$C35&gt;=COLUMNS($A35:U35), Source!$G35, "")</f>
        <v/>
      </c>
      <c r="V35" s="2" t="str">
        <f>IF(Source!$C35&gt;=COLUMNS($A35:V35), Source!$G35, "")</f>
        <v/>
      </c>
      <c r="W35" s="2" t="str">
        <f>IF(Source!$C35&gt;=COLUMNS($A35:W35), Source!$G35, "")</f>
        <v/>
      </c>
      <c r="X35" s="2" t="str">
        <f>IF(Source!$C35&gt;=COLUMNS($A35:X35), Source!$G35, "")</f>
        <v/>
      </c>
      <c r="Y35" s="2" t="str">
        <f>IF(Source!$C35&gt;=COLUMNS($A35:Y35), Source!$G35, "")</f>
        <v/>
      </c>
      <c r="Z35" s="2" t="str">
        <f>IF(Source!$C35&gt;=COLUMNS($A35:Z35), Source!$G35, "")</f>
        <v/>
      </c>
      <c r="AA35" s="2" t="str">
        <f>IF(Source!$C35&gt;=COLUMNS($A35:AA35), Source!$G35, "")</f>
        <v/>
      </c>
      <c r="AB35" s="2" t="str">
        <f>IF(Source!$C35&gt;=COLUMNS($A35:AB35), Source!$G35, "")</f>
        <v/>
      </c>
      <c r="AC35" s="2" t="str">
        <f>IF(Source!$C35&gt;=COLUMNS($A35:AC35), Source!$G35, "")</f>
        <v/>
      </c>
      <c r="AD35" s="2" t="str">
        <f>IF(Source!$C35&gt;=COLUMNS($A35:AD35), Source!$G35, "")</f>
        <v/>
      </c>
      <c r="AE35" s="2" t="str">
        <f>IF(Source!$C35&gt;=COLUMNS($A35:AE35), Source!$G35, "")</f>
        <v/>
      </c>
      <c r="AF35" s="2" t="str">
        <f>IF(Source!$C35&gt;=COLUMNS($A35:AF35), Source!$G35, "")</f>
        <v/>
      </c>
      <c r="AG35" s="2" t="str">
        <f>IF(Source!$C35&gt;=COLUMNS($A35:AG35), Source!$G35, "")</f>
        <v/>
      </c>
      <c r="AH35" s="2" t="str">
        <f>IF(Source!$C35&gt;=COLUMNS($A35:AH35), Source!$G35, "")</f>
        <v/>
      </c>
      <c r="AI35" s="2" t="str">
        <f>IF(Source!$C35&gt;=COLUMNS($A35:AI35), Source!$G35, "")</f>
        <v/>
      </c>
      <c r="AJ35" s="2" t="str">
        <f>IF(Source!$C35&gt;=COLUMNS($A35:AJ35), Source!$G35, "")</f>
        <v/>
      </c>
      <c r="AK35" s="2" t="str">
        <f>IF(Source!$C35&gt;=COLUMNS($A35:AK35), Source!$G35, "")</f>
        <v/>
      </c>
      <c r="AL35" s="2" t="str">
        <f>IF(Source!$C35&gt;=COLUMNS($A35:AL35), Source!$G35, "")</f>
        <v/>
      </c>
      <c r="AM35" s="2" t="str">
        <f>IF(Source!$C35&gt;=COLUMNS($A35:AM35), Source!$G35, "")</f>
        <v/>
      </c>
      <c r="AN35" s="2" t="str">
        <f>IF(Source!$C35&gt;=COLUMNS($A35:AN35), Source!$G35, "")</f>
        <v/>
      </c>
      <c r="AO35" s="2" t="str">
        <f>IF(Source!$C35&gt;=COLUMNS($A35:AO35), Source!$G35, "")</f>
        <v/>
      </c>
      <c r="AP35" s="2" t="str">
        <f>IF(Source!$C35&gt;=COLUMNS($A35:AP35), Source!$G35, "")</f>
        <v/>
      </c>
      <c r="AQ35" s="2" t="str">
        <f>IF(Source!$C35&gt;=COLUMNS($A35:AQ35), Source!$G35, "")</f>
        <v/>
      </c>
      <c r="AR35" s="2" t="str">
        <f>IF(Source!$C35&gt;=COLUMNS($A35:AR35), Source!$G35, "")</f>
        <v/>
      </c>
    </row>
    <row r="36">
      <c r="A36" s="2">
        <f>IF(Source!$C36&gt;=COLUMNS($A36:A36), Source!$G36, "")</f>
        <v>6</v>
      </c>
      <c r="B36" s="2">
        <f>IF(Source!$C36&gt;=COLUMNS($A36:B36), Source!$G36, "")</f>
        <v>6</v>
      </c>
      <c r="C36" s="2" t="str">
        <f>IF(Source!$C36&gt;=COLUMNS($A36:C36), Source!$G36, "")</f>
        <v/>
      </c>
      <c r="D36" s="2" t="str">
        <f>IF(Source!$C36&gt;=COLUMNS($A36:D36), Source!$G36, "")</f>
        <v/>
      </c>
      <c r="E36" s="2" t="str">
        <f>IF(Source!$C36&gt;=COLUMNS($A36:E36), Source!$G36, "")</f>
        <v/>
      </c>
      <c r="F36" s="2" t="str">
        <f>IF(Source!$C36&gt;=COLUMNS($A36:F36), Source!$G36, "")</f>
        <v/>
      </c>
      <c r="G36" s="2" t="str">
        <f>IF(Source!$C36&gt;=COLUMNS($A36:G36), Source!$G36, "")</f>
        <v/>
      </c>
      <c r="H36" s="2" t="str">
        <f>IF(Source!$C36&gt;=COLUMNS($A36:H36), Source!$G36, "")</f>
        <v/>
      </c>
      <c r="I36" s="2" t="str">
        <f>IF(Source!$C36&gt;=COLUMNS($A36:I36), Source!$G36, "")</f>
        <v/>
      </c>
      <c r="J36" s="2" t="str">
        <f>IF(Source!$C36&gt;=COLUMNS($A36:J36), Source!$G36, "")</f>
        <v/>
      </c>
      <c r="K36" s="2" t="str">
        <f>IF(Source!$C36&gt;=COLUMNS($A36:K36), Source!$G36, "")</f>
        <v/>
      </c>
      <c r="L36" s="2" t="str">
        <f>IF(Source!$C36&gt;=COLUMNS($A36:L36), Source!$G36, "")</f>
        <v/>
      </c>
      <c r="M36" s="2" t="str">
        <f>IF(Source!$C36&gt;=COLUMNS($A36:M36), Source!$G36, "")</f>
        <v/>
      </c>
      <c r="N36" s="2" t="str">
        <f>IF(Source!$C36&gt;=COLUMNS($A36:N36), Source!$G36, "")</f>
        <v/>
      </c>
      <c r="O36" s="2" t="str">
        <f>IF(Source!$C36&gt;=COLUMNS($A36:O36), Source!$G36, "")</f>
        <v/>
      </c>
      <c r="P36" s="2" t="str">
        <f>IF(Source!$C36&gt;=COLUMNS($A36:P36), Source!$G36, "")</f>
        <v/>
      </c>
      <c r="Q36" s="2" t="str">
        <f>IF(Source!$C36&gt;=COLUMNS($A36:Q36), Source!$G36, "")</f>
        <v/>
      </c>
      <c r="R36" s="2" t="str">
        <f>IF(Source!$C36&gt;=COLUMNS($A36:R36), Source!$G36, "")</f>
        <v/>
      </c>
      <c r="S36" s="2" t="str">
        <f>IF(Source!$C36&gt;=COLUMNS($A36:S36), Source!$G36, "")</f>
        <v/>
      </c>
      <c r="T36" s="2" t="str">
        <f>IF(Source!$C36&gt;=COLUMNS($A36:T36), Source!$G36, "")</f>
        <v/>
      </c>
      <c r="U36" s="2" t="str">
        <f>IF(Source!$C36&gt;=COLUMNS($A36:U36), Source!$G36, "")</f>
        <v/>
      </c>
      <c r="V36" s="2" t="str">
        <f>IF(Source!$C36&gt;=COLUMNS($A36:V36), Source!$G36, "")</f>
        <v/>
      </c>
      <c r="W36" s="2" t="str">
        <f>IF(Source!$C36&gt;=COLUMNS($A36:W36), Source!$G36, "")</f>
        <v/>
      </c>
      <c r="X36" s="2" t="str">
        <f>IF(Source!$C36&gt;=COLUMNS($A36:X36), Source!$G36, "")</f>
        <v/>
      </c>
      <c r="Y36" s="2" t="str">
        <f>IF(Source!$C36&gt;=COLUMNS($A36:Y36), Source!$G36, "")</f>
        <v/>
      </c>
      <c r="Z36" s="2" t="str">
        <f>IF(Source!$C36&gt;=COLUMNS($A36:Z36), Source!$G36, "")</f>
        <v/>
      </c>
      <c r="AA36" s="2" t="str">
        <f>IF(Source!$C36&gt;=COLUMNS($A36:AA36), Source!$G36, "")</f>
        <v/>
      </c>
      <c r="AB36" s="2" t="str">
        <f>IF(Source!$C36&gt;=COLUMNS($A36:AB36), Source!$G36, "")</f>
        <v/>
      </c>
      <c r="AC36" s="2" t="str">
        <f>IF(Source!$C36&gt;=COLUMNS($A36:AC36), Source!$G36, "")</f>
        <v/>
      </c>
      <c r="AD36" s="2" t="str">
        <f>IF(Source!$C36&gt;=COLUMNS($A36:AD36), Source!$G36, "")</f>
        <v/>
      </c>
      <c r="AE36" s="2" t="str">
        <f>IF(Source!$C36&gt;=COLUMNS($A36:AE36), Source!$G36, "")</f>
        <v/>
      </c>
      <c r="AF36" s="2" t="str">
        <f>IF(Source!$C36&gt;=COLUMNS($A36:AF36), Source!$G36, "")</f>
        <v/>
      </c>
      <c r="AG36" s="2" t="str">
        <f>IF(Source!$C36&gt;=COLUMNS($A36:AG36), Source!$G36, "")</f>
        <v/>
      </c>
      <c r="AH36" s="2" t="str">
        <f>IF(Source!$C36&gt;=COLUMNS($A36:AH36), Source!$G36, "")</f>
        <v/>
      </c>
      <c r="AI36" s="2" t="str">
        <f>IF(Source!$C36&gt;=COLUMNS($A36:AI36), Source!$G36, "")</f>
        <v/>
      </c>
      <c r="AJ36" s="2" t="str">
        <f>IF(Source!$C36&gt;=COLUMNS($A36:AJ36), Source!$G36, "")</f>
        <v/>
      </c>
      <c r="AK36" s="2" t="str">
        <f>IF(Source!$C36&gt;=COLUMNS($A36:AK36), Source!$G36, "")</f>
        <v/>
      </c>
      <c r="AL36" s="2" t="str">
        <f>IF(Source!$C36&gt;=COLUMNS($A36:AL36), Source!$G36, "")</f>
        <v/>
      </c>
      <c r="AM36" s="2" t="str">
        <f>IF(Source!$C36&gt;=COLUMNS($A36:AM36), Source!$G36, "")</f>
        <v/>
      </c>
      <c r="AN36" s="2" t="str">
        <f>IF(Source!$C36&gt;=COLUMNS($A36:AN36), Source!$G36, "")</f>
        <v/>
      </c>
      <c r="AO36" s="2" t="str">
        <f>IF(Source!$C36&gt;=COLUMNS($A36:AO36), Source!$G36, "")</f>
        <v/>
      </c>
      <c r="AP36" s="2" t="str">
        <f>IF(Source!$C36&gt;=COLUMNS($A36:AP36), Source!$G36, "")</f>
        <v/>
      </c>
      <c r="AQ36" s="2" t="str">
        <f>IF(Source!$C36&gt;=COLUMNS($A36:AQ36), Source!$G36, "")</f>
        <v/>
      </c>
      <c r="AR36" s="2" t="str">
        <f>IF(Source!$C36&gt;=COLUMNS($A36:AR36), Source!$G36, "")</f>
        <v/>
      </c>
    </row>
    <row r="37">
      <c r="A37" s="2">
        <f>IF(Source!$C37&gt;=COLUMNS($A37:A37), Source!$G37, "")</f>
        <v>6</v>
      </c>
      <c r="B37" s="2">
        <f>IF(Source!$C37&gt;=COLUMNS($A37:B37), Source!$G37, "")</f>
        <v>6</v>
      </c>
      <c r="C37" s="2">
        <f>IF(Source!$C37&gt;=COLUMNS($A37:C37), Source!$G37, "")</f>
        <v>6</v>
      </c>
      <c r="D37" s="2" t="str">
        <f>IF(Source!$C37&gt;=COLUMNS($A37:D37), Source!$G37, "")</f>
        <v/>
      </c>
      <c r="E37" s="2" t="str">
        <f>IF(Source!$C37&gt;=COLUMNS($A37:E37), Source!$G37, "")</f>
        <v/>
      </c>
      <c r="F37" s="2" t="str">
        <f>IF(Source!$C37&gt;=COLUMNS($A37:F37), Source!$G37, "")</f>
        <v/>
      </c>
      <c r="G37" s="2" t="str">
        <f>IF(Source!$C37&gt;=COLUMNS($A37:G37), Source!$G37, "")</f>
        <v/>
      </c>
      <c r="H37" s="2" t="str">
        <f>IF(Source!$C37&gt;=COLUMNS($A37:H37), Source!$G37, "")</f>
        <v/>
      </c>
      <c r="I37" s="2" t="str">
        <f>IF(Source!$C37&gt;=COLUMNS($A37:I37), Source!$G37, "")</f>
        <v/>
      </c>
      <c r="J37" s="2" t="str">
        <f>IF(Source!$C37&gt;=COLUMNS($A37:J37), Source!$G37, "")</f>
        <v/>
      </c>
      <c r="K37" s="2" t="str">
        <f>IF(Source!$C37&gt;=COLUMNS($A37:K37), Source!$G37, "")</f>
        <v/>
      </c>
      <c r="L37" s="2" t="str">
        <f>IF(Source!$C37&gt;=COLUMNS($A37:L37), Source!$G37, "")</f>
        <v/>
      </c>
      <c r="M37" s="2" t="str">
        <f>IF(Source!$C37&gt;=COLUMNS($A37:M37), Source!$G37, "")</f>
        <v/>
      </c>
      <c r="N37" s="2" t="str">
        <f>IF(Source!$C37&gt;=COLUMNS($A37:N37), Source!$G37, "")</f>
        <v/>
      </c>
      <c r="O37" s="2" t="str">
        <f>IF(Source!$C37&gt;=COLUMNS($A37:O37), Source!$G37, "")</f>
        <v/>
      </c>
      <c r="P37" s="2" t="str">
        <f>IF(Source!$C37&gt;=COLUMNS($A37:P37), Source!$G37, "")</f>
        <v/>
      </c>
      <c r="Q37" s="2" t="str">
        <f>IF(Source!$C37&gt;=COLUMNS($A37:Q37), Source!$G37, "")</f>
        <v/>
      </c>
      <c r="R37" s="2" t="str">
        <f>IF(Source!$C37&gt;=COLUMNS($A37:R37), Source!$G37, "")</f>
        <v/>
      </c>
      <c r="S37" s="2" t="str">
        <f>IF(Source!$C37&gt;=COLUMNS($A37:S37), Source!$G37, "")</f>
        <v/>
      </c>
      <c r="T37" s="2" t="str">
        <f>IF(Source!$C37&gt;=COLUMNS($A37:T37), Source!$G37, "")</f>
        <v/>
      </c>
      <c r="U37" s="2" t="str">
        <f>IF(Source!$C37&gt;=COLUMNS($A37:U37), Source!$G37, "")</f>
        <v/>
      </c>
      <c r="V37" s="2" t="str">
        <f>IF(Source!$C37&gt;=COLUMNS($A37:V37), Source!$G37, "")</f>
        <v/>
      </c>
      <c r="W37" s="2" t="str">
        <f>IF(Source!$C37&gt;=COLUMNS($A37:W37), Source!$G37, "")</f>
        <v/>
      </c>
      <c r="X37" s="2" t="str">
        <f>IF(Source!$C37&gt;=COLUMNS($A37:X37), Source!$G37, "")</f>
        <v/>
      </c>
      <c r="Y37" s="2" t="str">
        <f>IF(Source!$C37&gt;=COLUMNS($A37:Y37), Source!$G37, "")</f>
        <v/>
      </c>
      <c r="Z37" s="2" t="str">
        <f>IF(Source!$C37&gt;=COLUMNS($A37:Z37), Source!$G37, "")</f>
        <v/>
      </c>
      <c r="AA37" s="2" t="str">
        <f>IF(Source!$C37&gt;=COLUMNS($A37:AA37), Source!$G37, "")</f>
        <v/>
      </c>
      <c r="AB37" s="2" t="str">
        <f>IF(Source!$C37&gt;=COLUMNS($A37:AB37), Source!$G37, "")</f>
        <v/>
      </c>
      <c r="AC37" s="2" t="str">
        <f>IF(Source!$C37&gt;=COLUMNS($A37:AC37), Source!$G37, "")</f>
        <v/>
      </c>
      <c r="AD37" s="2" t="str">
        <f>IF(Source!$C37&gt;=COLUMNS($A37:AD37), Source!$G37, "")</f>
        <v/>
      </c>
      <c r="AE37" s="2" t="str">
        <f>IF(Source!$C37&gt;=COLUMNS($A37:AE37), Source!$G37, "")</f>
        <v/>
      </c>
      <c r="AF37" s="2" t="str">
        <f>IF(Source!$C37&gt;=COLUMNS($A37:AF37), Source!$G37, "")</f>
        <v/>
      </c>
      <c r="AG37" s="2" t="str">
        <f>IF(Source!$C37&gt;=COLUMNS($A37:AG37), Source!$G37, "")</f>
        <v/>
      </c>
      <c r="AH37" s="2" t="str">
        <f>IF(Source!$C37&gt;=COLUMNS($A37:AH37), Source!$G37, "")</f>
        <v/>
      </c>
      <c r="AI37" s="2" t="str">
        <f>IF(Source!$C37&gt;=COLUMNS($A37:AI37), Source!$G37, "")</f>
        <v/>
      </c>
      <c r="AJ37" s="2" t="str">
        <f>IF(Source!$C37&gt;=COLUMNS($A37:AJ37), Source!$G37, "")</f>
        <v/>
      </c>
      <c r="AK37" s="2" t="str">
        <f>IF(Source!$C37&gt;=COLUMNS($A37:AK37), Source!$G37, "")</f>
        <v/>
      </c>
      <c r="AL37" s="2" t="str">
        <f>IF(Source!$C37&gt;=COLUMNS($A37:AL37), Source!$G37, "")</f>
        <v/>
      </c>
      <c r="AM37" s="2" t="str">
        <f>IF(Source!$C37&gt;=COLUMNS($A37:AM37), Source!$G37, "")</f>
        <v/>
      </c>
      <c r="AN37" s="2" t="str">
        <f>IF(Source!$C37&gt;=COLUMNS($A37:AN37), Source!$G37, "")</f>
        <v/>
      </c>
      <c r="AO37" s="2" t="str">
        <f>IF(Source!$C37&gt;=COLUMNS($A37:AO37), Source!$G37, "")</f>
        <v/>
      </c>
      <c r="AP37" s="2" t="str">
        <f>IF(Source!$C37&gt;=COLUMNS($A37:AP37), Source!$G37, "")</f>
        <v/>
      </c>
      <c r="AQ37" s="2" t="str">
        <f>IF(Source!$C37&gt;=COLUMNS($A37:AQ37), Source!$G37, "")</f>
        <v/>
      </c>
      <c r="AR37" s="2" t="str">
        <f>IF(Source!$C37&gt;=COLUMNS($A37:AR37), Source!$G37, "")</f>
        <v/>
      </c>
    </row>
    <row r="38">
      <c r="A38" s="2">
        <f>IF(Source!$C38&gt;=COLUMNS($A38:A38), Source!$G38, "")</f>
        <v>1</v>
      </c>
      <c r="B38" s="2">
        <f>IF(Source!$C38&gt;=COLUMNS($A38:B38), Source!$G38, "")</f>
        <v>1</v>
      </c>
      <c r="C38" s="2">
        <f>IF(Source!$C38&gt;=COLUMNS($A38:C38), Source!$G38, "")</f>
        <v>1</v>
      </c>
      <c r="D38" s="2">
        <f>IF(Source!$C38&gt;=COLUMNS($A38:D38), Source!$G38, "")</f>
        <v>1</v>
      </c>
      <c r="E38" s="2">
        <f>IF(Source!$C38&gt;=COLUMNS($A38:E38), Source!$G38, "")</f>
        <v>1</v>
      </c>
      <c r="F38" s="2">
        <f>IF(Source!$C38&gt;=COLUMNS($A38:F38), Source!$G38, "")</f>
        <v>1</v>
      </c>
      <c r="G38" s="2">
        <f>IF(Source!$C38&gt;=COLUMNS($A38:G38), Source!$G38, "")</f>
        <v>1</v>
      </c>
      <c r="H38" s="2">
        <f>IF(Source!$C38&gt;=COLUMNS($A38:H38), Source!$G38, "")</f>
        <v>1</v>
      </c>
      <c r="I38" s="2">
        <f>IF(Source!$C38&gt;=COLUMNS($A38:I38), Source!$G38, "")</f>
        <v>1</v>
      </c>
      <c r="J38" s="2">
        <f>IF(Source!$C38&gt;=COLUMNS($A38:J38), Source!$G38, "")</f>
        <v>1</v>
      </c>
      <c r="K38" s="2" t="str">
        <f>IF(Source!$C38&gt;=COLUMNS($A38:K38), Source!$G38, "")</f>
        <v/>
      </c>
      <c r="L38" s="2" t="str">
        <f>IF(Source!$C38&gt;=COLUMNS($A38:L38), Source!$G38, "")</f>
        <v/>
      </c>
      <c r="M38" s="2" t="str">
        <f>IF(Source!$C38&gt;=COLUMNS($A38:M38), Source!$G38, "")</f>
        <v/>
      </c>
      <c r="N38" s="2" t="str">
        <f>IF(Source!$C38&gt;=COLUMNS($A38:N38), Source!$G38, "")</f>
        <v/>
      </c>
      <c r="O38" s="2" t="str">
        <f>IF(Source!$C38&gt;=COLUMNS($A38:O38), Source!$G38, "")</f>
        <v/>
      </c>
      <c r="P38" s="2" t="str">
        <f>IF(Source!$C38&gt;=COLUMNS($A38:P38), Source!$G38, "")</f>
        <v/>
      </c>
      <c r="Q38" s="2" t="str">
        <f>IF(Source!$C38&gt;=COLUMNS($A38:Q38), Source!$G38, "")</f>
        <v/>
      </c>
      <c r="R38" s="2" t="str">
        <f>IF(Source!$C38&gt;=COLUMNS($A38:R38), Source!$G38, "")</f>
        <v/>
      </c>
      <c r="S38" s="2" t="str">
        <f>IF(Source!$C38&gt;=COLUMNS($A38:S38), Source!$G38, "")</f>
        <v/>
      </c>
      <c r="T38" s="2" t="str">
        <f>IF(Source!$C38&gt;=COLUMNS($A38:T38), Source!$G38, "")</f>
        <v/>
      </c>
      <c r="U38" s="2" t="str">
        <f>IF(Source!$C38&gt;=COLUMNS($A38:U38), Source!$G38, "")</f>
        <v/>
      </c>
      <c r="V38" s="2" t="str">
        <f>IF(Source!$C38&gt;=COLUMNS($A38:V38), Source!$G38, "")</f>
        <v/>
      </c>
      <c r="W38" s="2" t="str">
        <f>IF(Source!$C38&gt;=COLUMNS($A38:W38), Source!$G38, "")</f>
        <v/>
      </c>
      <c r="X38" s="2" t="str">
        <f>IF(Source!$C38&gt;=COLUMNS($A38:X38), Source!$G38, "")</f>
        <v/>
      </c>
      <c r="Y38" s="2" t="str">
        <f>IF(Source!$C38&gt;=COLUMNS($A38:Y38), Source!$G38, "")</f>
        <v/>
      </c>
      <c r="Z38" s="2" t="str">
        <f>IF(Source!$C38&gt;=COLUMNS($A38:Z38), Source!$G38, "")</f>
        <v/>
      </c>
      <c r="AA38" s="2" t="str">
        <f>IF(Source!$C38&gt;=COLUMNS($A38:AA38), Source!$G38, "")</f>
        <v/>
      </c>
      <c r="AB38" s="2" t="str">
        <f>IF(Source!$C38&gt;=COLUMNS($A38:AB38), Source!$G38, "")</f>
        <v/>
      </c>
      <c r="AC38" s="2" t="str">
        <f>IF(Source!$C38&gt;=COLUMNS($A38:AC38), Source!$G38, "")</f>
        <v/>
      </c>
      <c r="AD38" s="2" t="str">
        <f>IF(Source!$C38&gt;=COLUMNS($A38:AD38), Source!$G38, "")</f>
        <v/>
      </c>
      <c r="AE38" s="2" t="str">
        <f>IF(Source!$C38&gt;=COLUMNS($A38:AE38), Source!$G38, "")</f>
        <v/>
      </c>
      <c r="AF38" s="2" t="str">
        <f>IF(Source!$C38&gt;=COLUMNS($A38:AF38), Source!$G38, "")</f>
        <v/>
      </c>
      <c r="AG38" s="2" t="str">
        <f>IF(Source!$C38&gt;=COLUMNS($A38:AG38), Source!$G38, "")</f>
        <v/>
      </c>
      <c r="AH38" s="2" t="str">
        <f>IF(Source!$C38&gt;=COLUMNS($A38:AH38), Source!$G38, "")</f>
        <v/>
      </c>
      <c r="AI38" s="2" t="str">
        <f>IF(Source!$C38&gt;=COLUMNS($A38:AI38), Source!$G38, "")</f>
        <v/>
      </c>
      <c r="AJ38" s="2" t="str">
        <f>IF(Source!$C38&gt;=COLUMNS($A38:AJ38), Source!$G38, "")</f>
        <v/>
      </c>
      <c r="AK38" s="2" t="str">
        <f>IF(Source!$C38&gt;=COLUMNS($A38:AK38), Source!$G38, "")</f>
        <v/>
      </c>
      <c r="AL38" s="2" t="str">
        <f>IF(Source!$C38&gt;=COLUMNS($A38:AL38), Source!$G38, "")</f>
        <v/>
      </c>
      <c r="AM38" s="2" t="str">
        <f>IF(Source!$C38&gt;=COLUMNS($A38:AM38), Source!$G38, "")</f>
        <v/>
      </c>
      <c r="AN38" s="2" t="str">
        <f>IF(Source!$C38&gt;=COLUMNS($A38:AN38), Source!$G38, "")</f>
        <v/>
      </c>
      <c r="AO38" s="2" t="str">
        <f>IF(Source!$C38&gt;=COLUMNS($A38:AO38), Source!$G38, "")</f>
        <v/>
      </c>
      <c r="AP38" s="2" t="str">
        <f>IF(Source!$C38&gt;=COLUMNS($A38:AP38), Source!$G38, "")</f>
        <v/>
      </c>
      <c r="AQ38" s="2" t="str">
        <f>IF(Source!$C38&gt;=COLUMNS($A38:AQ38), Source!$G38, "")</f>
        <v/>
      </c>
      <c r="AR38" s="2" t="str">
        <f>IF(Source!$C38&gt;=COLUMNS($A38:AR38), Source!$G38, "")</f>
        <v/>
      </c>
    </row>
    <row r="39">
      <c r="A39" s="2">
        <f>IF(Source!$C39&gt;=COLUMNS($A39:A39), Source!$G39, "")</f>
        <v>6</v>
      </c>
      <c r="B39" s="2" t="str">
        <f>IF(Source!$C39&gt;=COLUMNS($A39:B39), Source!$G39, "")</f>
        <v/>
      </c>
      <c r="C39" s="2" t="str">
        <f>IF(Source!$C39&gt;=COLUMNS($A39:C39), Source!$G39, "")</f>
        <v/>
      </c>
      <c r="D39" s="2" t="str">
        <f>IF(Source!$C39&gt;=COLUMNS($A39:D39), Source!$G39, "")</f>
        <v/>
      </c>
      <c r="E39" s="2" t="str">
        <f>IF(Source!$C39&gt;=COLUMNS($A39:E39), Source!$G39, "")</f>
        <v/>
      </c>
      <c r="F39" s="2" t="str">
        <f>IF(Source!$C39&gt;=COLUMNS($A39:F39), Source!$G39, "")</f>
        <v/>
      </c>
      <c r="G39" s="2" t="str">
        <f>IF(Source!$C39&gt;=COLUMNS($A39:G39), Source!$G39, "")</f>
        <v/>
      </c>
      <c r="H39" s="2" t="str">
        <f>IF(Source!$C39&gt;=COLUMNS($A39:H39), Source!$G39, "")</f>
        <v/>
      </c>
      <c r="I39" s="2" t="str">
        <f>IF(Source!$C39&gt;=COLUMNS($A39:I39), Source!$G39, "")</f>
        <v/>
      </c>
      <c r="J39" s="2" t="str">
        <f>IF(Source!$C39&gt;=COLUMNS($A39:J39), Source!$G39, "")</f>
        <v/>
      </c>
      <c r="K39" s="2" t="str">
        <f>IF(Source!$C39&gt;=COLUMNS($A39:K39), Source!$G39, "")</f>
        <v/>
      </c>
      <c r="L39" s="2" t="str">
        <f>IF(Source!$C39&gt;=COLUMNS($A39:L39), Source!$G39, "")</f>
        <v/>
      </c>
      <c r="M39" s="2" t="str">
        <f>IF(Source!$C39&gt;=COLUMNS($A39:M39), Source!$G39, "")</f>
        <v/>
      </c>
      <c r="N39" s="2" t="str">
        <f>IF(Source!$C39&gt;=COLUMNS($A39:N39), Source!$G39, "")</f>
        <v/>
      </c>
      <c r="O39" s="2" t="str">
        <f>IF(Source!$C39&gt;=COLUMNS($A39:O39), Source!$G39, "")</f>
        <v/>
      </c>
      <c r="P39" s="2" t="str">
        <f>IF(Source!$C39&gt;=COLUMNS($A39:P39), Source!$G39, "")</f>
        <v/>
      </c>
      <c r="Q39" s="2" t="str">
        <f>IF(Source!$C39&gt;=COLUMNS($A39:Q39), Source!$G39, "")</f>
        <v/>
      </c>
      <c r="R39" s="2" t="str">
        <f>IF(Source!$C39&gt;=COLUMNS($A39:R39), Source!$G39, "")</f>
        <v/>
      </c>
      <c r="S39" s="2" t="str">
        <f>IF(Source!$C39&gt;=COLUMNS($A39:S39), Source!$G39, "")</f>
        <v/>
      </c>
      <c r="T39" s="2" t="str">
        <f>IF(Source!$C39&gt;=COLUMNS($A39:T39), Source!$G39, "")</f>
        <v/>
      </c>
      <c r="U39" s="2" t="str">
        <f>IF(Source!$C39&gt;=COLUMNS($A39:U39), Source!$G39, "")</f>
        <v/>
      </c>
      <c r="V39" s="2" t="str">
        <f>IF(Source!$C39&gt;=COLUMNS($A39:V39), Source!$G39, "")</f>
        <v/>
      </c>
      <c r="W39" s="2" t="str">
        <f>IF(Source!$C39&gt;=COLUMNS($A39:W39), Source!$G39, "")</f>
        <v/>
      </c>
      <c r="X39" s="2" t="str">
        <f>IF(Source!$C39&gt;=COLUMNS($A39:X39), Source!$G39, "")</f>
        <v/>
      </c>
      <c r="Y39" s="2" t="str">
        <f>IF(Source!$C39&gt;=COLUMNS($A39:Y39), Source!$G39, "")</f>
        <v/>
      </c>
      <c r="Z39" s="2" t="str">
        <f>IF(Source!$C39&gt;=COLUMNS($A39:Z39), Source!$G39, "")</f>
        <v/>
      </c>
      <c r="AA39" s="2" t="str">
        <f>IF(Source!$C39&gt;=COLUMNS($A39:AA39), Source!$G39, "")</f>
        <v/>
      </c>
      <c r="AB39" s="2" t="str">
        <f>IF(Source!$C39&gt;=COLUMNS($A39:AB39), Source!$G39, "")</f>
        <v/>
      </c>
      <c r="AC39" s="2" t="str">
        <f>IF(Source!$C39&gt;=COLUMNS($A39:AC39), Source!$G39, "")</f>
        <v/>
      </c>
      <c r="AD39" s="2" t="str">
        <f>IF(Source!$C39&gt;=COLUMNS($A39:AD39), Source!$G39, "")</f>
        <v/>
      </c>
      <c r="AE39" s="2" t="str">
        <f>IF(Source!$C39&gt;=COLUMNS($A39:AE39), Source!$G39, "")</f>
        <v/>
      </c>
      <c r="AF39" s="2" t="str">
        <f>IF(Source!$C39&gt;=COLUMNS($A39:AF39), Source!$G39, "")</f>
        <v/>
      </c>
      <c r="AG39" s="2" t="str">
        <f>IF(Source!$C39&gt;=COLUMNS($A39:AG39), Source!$G39, "")</f>
        <v/>
      </c>
      <c r="AH39" s="2" t="str">
        <f>IF(Source!$C39&gt;=COLUMNS($A39:AH39), Source!$G39, "")</f>
        <v/>
      </c>
      <c r="AI39" s="2" t="str">
        <f>IF(Source!$C39&gt;=COLUMNS($A39:AI39), Source!$G39, "")</f>
        <v/>
      </c>
      <c r="AJ39" s="2" t="str">
        <f>IF(Source!$C39&gt;=COLUMNS($A39:AJ39), Source!$G39, "")</f>
        <v/>
      </c>
      <c r="AK39" s="2" t="str">
        <f>IF(Source!$C39&gt;=COLUMNS($A39:AK39), Source!$G39, "")</f>
        <v/>
      </c>
      <c r="AL39" s="2" t="str">
        <f>IF(Source!$C39&gt;=COLUMNS($A39:AL39), Source!$G39, "")</f>
        <v/>
      </c>
      <c r="AM39" s="2" t="str">
        <f>IF(Source!$C39&gt;=COLUMNS($A39:AM39), Source!$G39, "")</f>
        <v/>
      </c>
      <c r="AN39" s="2" t="str">
        <f>IF(Source!$C39&gt;=COLUMNS($A39:AN39), Source!$G39, "")</f>
        <v/>
      </c>
      <c r="AO39" s="2" t="str">
        <f>IF(Source!$C39&gt;=COLUMNS($A39:AO39), Source!$G39, "")</f>
        <v/>
      </c>
      <c r="AP39" s="2" t="str">
        <f>IF(Source!$C39&gt;=COLUMNS($A39:AP39), Source!$G39, "")</f>
        <v/>
      </c>
      <c r="AQ39" s="2" t="str">
        <f>IF(Source!$C39&gt;=COLUMNS($A39:AQ39), Source!$G39, "")</f>
        <v/>
      </c>
      <c r="AR39" s="2" t="str">
        <f>IF(Source!$C39&gt;=COLUMNS($A39:AR39), Source!$G39, "")</f>
        <v/>
      </c>
    </row>
    <row r="40">
      <c r="A40" s="2">
        <f>IF(Source!$C40&gt;=COLUMNS($A40:A40), Source!$G40, "")</f>
        <v>4</v>
      </c>
      <c r="B40" s="2">
        <f>IF(Source!$C40&gt;=COLUMNS($A40:B40), Source!$G40, "")</f>
        <v>4</v>
      </c>
      <c r="C40" s="2">
        <f>IF(Source!$C40&gt;=COLUMNS($A40:C40), Source!$G40, "")</f>
        <v>4</v>
      </c>
      <c r="D40" s="2">
        <f>IF(Source!$C40&gt;=COLUMNS($A40:D40), Source!$G40, "")</f>
        <v>4</v>
      </c>
      <c r="E40" s="2">
        <f>IF(Source!$C40&gt;=COLUMNS($A40:E40), Source!$G40, "")</f>
        <v>4</v>
      </c>
      <c r="F40" s="2">
        <f>IF(Source!$C40&gt;=COLUMNS($A40:F40), Source!$G40, "")</f>
        <v>4</v>
      </c>
      <c r="G40" s="2" t="str">
        <f>IF(Source!$C40&gt;=COLUMNS($A40:G40), Source!$G40, "")</f>
        <v/>
      </c>
      <c r="H40" s="2" t="str">
        <f>IF(Source!$C40&gt;=COLUMNS($A40:H40), Source!$G40, "")</f>
        <v/>
      </c>
      <c r="I40" s="2" t="str">
        <f>IF(Source!$C40&gt;=COLUMNS($A40:I40), Source!$G40, "")</f>
        <v/>
      </c>
      <c r="J40" s="2" t="str">
        <f>IF(Source!$C40&gt;=COLUMNS($A40:J40), Source!$G40, "")</f>
        <v/>
      </c>
      <c r="K40" s="2" t="str">
        <f>IF(Source!$C40&gt;=COLUMNS($A40:K40), Source!$G40, "")</f>
        <v/>
      </c>
      <c r="L40" s="2" t="str">
        <f>IF(Source!$C40&gt;=COLUMNS($A40:L40), Source!$G40, "")</f>
        <v/>
      </c>
      <c r="M40" s="2" t="str">
        <f>IF(Source!$C40&gt;=COLUMNS($A40:M40), Source!$G40, "")</f>
        <v/>
      </c>
      <c r="N40" s="2" t="str">
        <f>IF(Source!$C40&gt;=COLUMNS($A40:N40), Source!$G40, "")</f>
        <v/>
      </c>
      <c r="O40" s="2" t="str">
        <f>IF(Source!$C40&gt;=COLUMNS($A40:O40), Source!$G40, "")</f>
        <v/>
      </c>
      <c r="P40" s="2" t="str">
        <f>IF(Source!$C40&gt;=COLUMNS($A40:P40), Source!$G40, "")</f>
        <v/>
      </c>
      <c r="Q40" s="2" t="str">
        <f>IF(Source!$C40&gt;=COLUMNS($A40:Q40), Source!$G40, "")</f>
        <v/>
      </c>
      <c r="R40" s="2" t="str">
        <f>IF(Source!$C40&gt;=COLUMNS($A40:R40), Source!$G40, "")</f>
        <v/>
      </c>
      <c r="S40" s="2" t="str">
        <f>IF(Source!$C40&gt;=COLUMNS($A40:S40), Source!$G40, "")</f>
        <v/>
      </c>
      <c r="T40" s="2" t="str">
        <f>IF(Source!$C40&gt;=COLUMNS($A40:T40), Source!$G40, "")</f>
        <v/>
      </c>
      <c r="U40" s="2" t="str">
        <f>IF(Source!$C40&gt;=COLUMNS($A40:U40), Source!$G40, "")</f>
        <v/>
      </c>
      <c r="V40" s="2" t="str">
        <f>IF(Source!$C40&gt;=COLUMNS($A40:V40), Source!$G40, "")</f>
        <v/>
      </c>
      <c r="W40" s="2" t="str">
        <f>IF(Source!$C40&gt;=COLUMNS($A40:W40), Source!$G40, "")</f>
        <v/>
      </c>
      <c r="X40" s="2" t="str">
        <f>IF(Source!$C40&gt;=COLUMNS($A40:X40), Source!$G40, "")</f>
        <v/>
      </c>
      <c r="Y40" s="2" t="str">
        <f>IF(Source!$C40&gt;=COLUMNS($A40:Y40), Source!$G40, "")</f>
        <v/>
      </c>
      <c r="Z40" s="2" t="str">
        <f>IF(Source!$C40&gt;=COLUMNS($A40:Z40), Source!$G40, "")</f>
        <v/>
      </c>
      <c r="AA40" s="2" t="str">
        <f>IF(Source!$C40&gt;=COLUMNS($A40:AA40), Source!$G40, "")</f>
        <v/>
      </c>
      <c r="AB40" s="2" t="str">
        <f>IF(Source!$C40&gt;=COLUMNS($A40:AB40), Source!$G40, "")</f>
        <v/>
      </c>
      <c r="AC40" s="2" t="str">
        <f>IF(Source!$C40&gt;=COLUMNS($A40:AC40), Source!$G40, "")</f>
        <v/>
      </c>
      <c r="AD40" s="2" t="str">
        <f>IF(Source!$C40&gt;=COLUMNS($A40:AD40), Source!$G40, "")</f>
        <v/>
      </c>
      <c r="AE40" s="2" t="str">
        <f>IF(Source!$C40&gt;=COLUMNS($A40:AE40), Source!$G40, "")</f>
        <v/>
      </c>
      <c r="AF40" s="2" t="str">
        <f>IF(Source!$C40&gt;=COLUMNS($A40:AF40), Source!$G40, "")</f>
        <v/>
      </c>
      <c r="AG40" s="2" t="str">
        <f>IF(Source!$C40&gt;=COLUMNS($A40:AG40), Source!$G40, "")</f>
        <v/>
      </c>
      <c r="AH40" s="2" t="str">
        <f>IF(Source!$C40&gt;=COLUMNS($A40:AH40), Source!$G40, "")</f>
        <v/>
      </c>
      <c r="AI40" s="2" t="str">
        <f>IF(Source!$C40&gt;=COLUMNS($A40:AI40), Source!$G40, "")</f>
        <v/>
      </c>
      <c r="AJ40" s="2" t="str">
        <f>IF(Source!$C40&gt;=COLUMNS($A40:AJ40), Source!$G40, "")</f>
        <v/>
      </c>
      <c r="AK40" s="2" t="str">
        <f>IF(Source!$C40&gt;=COLUMNS($A40:AK40), Source!$G40, "")</f>
        <v/>
      </c>
      <c r="AL40" s="2" t="str">
        <f>IF(Source!$C40&gt;=COLUMNS($A40:AL40), Source!$G40, "")</f>
        <v/>
      </c>
      <c r="AM40" s="2" t="str">
        <f>IF(Source!$C40&gt;=COLUMNS($A40:AM40), Source!$G40, "")</f>
        <v/>
      </c>
      <c r="AN40" s="2" t="str">
        <f>IF(Source!$C40&gt;=COLUMNS($A40:AN40), Source!$G40, "")</f>
        <v/>
      </c>
      <c r="AO40" s="2" t="str">
        <f>IF(Source!$C40&gt;=COLUMNS($A40:AO40), Source!$G40, "")</f>
        <v/>
      </c>
      <c r="AP40" s="2" t="str">
        <f>IF(Source!$C40&gt;=COLUMNS($A40:AP40), Source!$G40, "")</f>
        <v/>
      </c>
      <c r="AQ40" s="2" t="str">
        <f>IF(Source!$C40&gt;=COLUMNS($A40:AQ40), Source!$G40, "")</f>
        <v/>
      </c>
      <c r="AR40" s="2" t="str">
        <f>IF(Source!$C40&gt;=COLUMNS($A40:AR40), Source!$G40, "")</f>
        <v/>
      </c>
    </row>
    <row r="41">
      <c r="A41" s="2">
        <f>IF(Source!$C41&gt;=COLUMNS($A41:A41), Source!$G41, "")</f>
        <v>8</v>
      </c>
      <c r="B41" s="2" t="str">
        <f>IF(Source!$C41&gt;=COLUMNS($A41:B41), Source!$G41, "")</f>
        <v/>
      </c>
      <c r="C41" s="2" t="str">
        <f>IF(Source!$C41&gt;=COLUMNS($A41:C41), Source!$G41, "")</f>
        <v/>
      </c>
      <c r="D41" s="2" t="str">
        <f>IF(Source!$C41&gt;=COLUMNS($A41:D41), Source!$G41, "")</f>
        <v/>
      </c>
      <c r="E41" s="2" t="str">
        <f>IF(Source!$C41&gt;=COLUMNS($A41:E41), Source!$G41, "")</f>
        <v/>
      </c>
      <c r="F41" s="2" t="str">
        <f>IF(Source!$C41&gt;=COLUMNS($A41:F41), Source!$G41, "")</f>
        <v/>
      </c>
      <c r="G41" s="2" t="str">
        <f>IF(Source!$C41&gt;=COLUMNS($A41:G41), Source!$G41, "")</f>
        <v/>
      </c>
      <c r="H41" s="2" t="str">
        <f>IF(Source!$C41&gt;=COLUMNS($A41:H41), Source!$G41, "")</f>
        <v/>
      </c>
      <c r="I41" s="2" t="str">
        <f>IF(Source!$C41&gt;=COLUMNS($A41:I41), Source!$G41, "")</f>
        <v/>
      </c>
      <c r="J41" s="2" t="str">
        <f>IF(Source!$C41&gt;=COLUMNS($A41:J41), Source!$G41, "")</f>
        <v/>
      </c>
      <c r="K41" s="2" t="str">
        <f>IF(Source!$C41&gt;=COLUMNS($A41:K41), Source!$G41, "")</f>
        <v/>
      </c>
      <c r="L41" s="2" t="str">
        <f>IF(Source!$C41&gt;=COLUMNS($A41:L41), Source!$G41, "")</f>
        <v/>
      </c>
      <c r="M41" s="2" t="str">
        <f>IF(Source!$C41&gt;=COLUMNS($A41:M41), Source!$G41, "")</f>
        <v/>
      </c>
      <c r="N41" s="2" t="str">
        <f>IF(Source!$C41&gt;=COLUMNS($A41:N41), Source!$G41, "")</f>
        <v/>
      </c>
      <c r="O41" s="2" t="str">
        <f>IF(Source!$C41&gt;=COLUMNS($A41:O41), Source!$G41, "")</f>
        <v/>
      </c>
      <c r="P41" s="2" t="str">
        <f>IF(Source!$C41&gt;=COLUMNS($A41:P41), Source!$G41, "")</f>
        <v/>
      </c>
      <c r="Q41" s="2" t="str">
        <f>IF(Source!$C41&gt;=COLUMNS($A41:Q41), Source!$G41, "")</f>
        <v/>
      </c>
      <c r="R41" s="2" t="str">
        <f>IF(Source!$C41&gt;=COLUMNS($A41:R41), Source!$G41, "")</f>
        <v/>
      </c>
      <c r="S41" s="2" t="str">
        <f>IF(Source!$C41&gt;=COLUMNS($A41:S41), Source!$G41, "")</f>
        <v/>
      </c>
      <c r="T41" s="2" t="str">
        <f>IF(Source!$C41&gt;=COLUMNS($A41:T41), Source!$G41, "")</f>
        <v/>
      </c>
      <c r="U41" s="2" t="str">
        <f>IF(Source!$C41&gt;=COLUMNS($A41:U41), Source!$G41, "")</f>
        <v/>
      </c>
      <c r="V41" s="2" t="str">
        <f>IF(Source!$C41&gt;=COLUMNS($A41:V41), Source!$G41, "")</f>
        <v/>
      </c>
      <c r="W41" s="2" t="str">
        <f>IF(Source!$C41&gt;=COLUMNS($A41:W41), Source!$G41, "")</f>
        <v/>
      </c>
      <c r="X41" s="2" t="str">
        <f>IF(Source!$C41&gt;=COLUMNS($A41:X41), Source!$G41, "")</f>
        <v/>
      </c>
      <c r="Y41" s="2" t="str">
        <f>IF(Source!$C41&gt;=COLUMNS($A41:Y41), Source!$G41, "")</f>
        <v/>
      </c>
      <c r="Z41" s="2" t="str">
        <f>IF(Source!$C41&gt;=COLUMNS($A41:Z41), Source!$G41, "")</f>
        <v/>
      </c>
      <c r="AA41" s="2" t="str">
        <f>IF(Source!$C41&gt;=COLUMNS($A41:AA41), Source!$G41, "")</f>
        <v/>
      </c>
      <c r="AB41" s="2" t="str">
        <f>IF(Source!$C41&gt;=COLUMNS($A41:AB41), Source!$G41, "")</f>
        <v/>
      </c>
      <c r="AC41" s="2" t="str">
        <f>IF(Source!$C41&gt;=COLUMNS($A41:AC41), Source!$G41, "")</f>
        <v/>
      </c>
      <c r="AD41" s="2" t="str">
        <f>IF(Source!$C41&gt;=COLUMNS($A41:AD41), Source!$G41, "")</f>
        <v/>
      </c>
      <c r="AE41" s="2" t="str">
        <f>IF(Source!$C41&gt;=COLUMNS($A41:AE41), Source!$G41, "")</f>
        <v/>
      </c>
      <c r="AF41" s="2" t="str">
        <f>IF(Source!$C41&gt;=COLUMNS($A41:AF41), Source!$G41, "")</f>
        <v/>
      </c>
      <c r="AG41" s="2" t="str">
        <f>IF(Source!$C41&gt;=COLUMNS($A41:AG41), Source!$G41, "")</f>
        <v/>
      </c>
      <c r="AH41" s="2" t="str">
        <f>IF(Source!$C41&gt;=COLUMNS($A41:AH41), Source!$G41, "")</f>
        <v/>
      </c>
      <c r="AI41" s="2" t="str">
        <f>IF(Source!$C41&gt;=COLUMNS($A41:AI41), Source!$G41, "")</f>
        <v/>
      </c>
      <c r="AJ41" s="2" t="str">
        <f>IF(Source!$C41&gt;=COLUMNS($A41:AJ41), Source!$G41, "")</f>
        <v/>
      </c>
      <c r="AK41" s="2" t="str">
        <f>IF(Source!$C41&gt;=COLUMNS($A41:AK41), Source!$G41, "")</f>
        <v/>
      </c>
      <c r="AL41" s="2" t="str">
        <f>IF(Source!$C41&gt;=COLUMNS($A41:AL41), Source!$G41, "")</f>
        <v/>
      </c>
      <c r="AM41" s="2" t="str">
        <f>IF(Source!$C41&gt;=COLUMNS($A41:AM41), Source!$G41, "")</f>
        <v/>
      </c>
      <c r="AN41" s="2" t="str">
        <f>IF(Source!$C41&gt;=COLUMNS($A41:AN41), Source!$G41, "")</f>
        <v/>
      </c>
      <c r="AO41" s="2" t="str">
        <f>IF(Source!$C41&gt;=COLUMNS($A41:AO41), Source!$G41, "")</f>
        <v/>
      </c>
      <c r="AP41" s="2" t="str">
        <f>IF(Source!$C41&gt;=COLUMNS($A41:AP41), Source!$G41, "")</f>
        <v/>
      </c>
      <c r="AQ41" s="2" t="str">
        <f>IF(Source!$C41&gt;=COLUMNS($A41:AQ41), Source!$G41, "")</f>
        <v/>
      </c>
      <c r="AR41" s="2" t="str">
        <f>IF(Source!$C41&gt;=COLUMNS($A41:AR41), Source!$G41, "")</f>
        <v/>
      </c>
    </row>
    <row r="42">
      <c r="A42" s="2">
        <f>IF(Source!$C42&gt;=COLUMNS($A42:A42), Source!$G42, "")</f>
        <v>3</v>
      </c>
      <c r="B42" s="2">
        <f>IF(Source!$C42&gt;=COLUMNS($A42:B42), Source!$G42, "")</f>
        <v>3</v>
      </c>
      <c r="C42" s="2">
        <f>IF(Source!$C42&gt;=COLUMNS($A42:C42), Source!$G42, "")</f>
        <v>3</v>
      </c>
      <c r="D42" s="2">
        <f>IF(Source!$C42&gt;=COLUMNS($A42:D42), Source!$G42, "")</f>
        <v>3</v>
      </c>
      <c r="E42" s="2">
        <f>IF(Source!$C42&gt;=COLUMNS($A42:E42), Source!$G42, "")</f>
        <v>3</v>
      </c>
      <c r="F42" s="2" t="str">
        <f>IF(Source!$C42&gt;=COLUMNS($A42:F42), Source!$G42, "")</f>
        <v/>
      </c>
      <c r="G42" s="2" t="str">
        <f>IF(Source!$C42&gt;=COLUMNS($A42:G42), Source!$G42, "")</f>
        <v/>
      </c>
      <c r="H42" s="2" t="str">
        <f>IF(Source!$C42&gt;=COLUMNS($A42:H42), Source!$G42, "")</f>
        <v/>
      </c>
      <c r="I42" s="2" t="str">
        <f>IF(Source!$C42&gt;=COLUMNS($A42:I42), Source!$G42, "")</f>
        <v/>
      </c>
      <c r="J42" s="2" t="str">
        <f>IF(Source!$C42&gt;=COLUMNS($A42:J42), Source!$G42, "")</f>
        <v/>
      </c>
      <c r="K42" s="2" t="str">
        <f>IF(Source!$C42&gt;=COLUMNS($A42:K42), Source!$G42, "")</f>
        <v/>
      </c>
      <c r="L42" s="2" t="str">
        <f>IF(Source!$C42&gt;=COLUMNS($A42:L42), Source!$G42, "")</f>
        <v/>
      </c>
      <c r="M42" s="2" t="str">
        <f>IF(Source!$C42&gt;=COLUMNS($A42:M42), Source!$G42, "")</f>
        <v/>
      </c>
      <c r="N42" s="2" t="str">
        <f>IF(Source!$C42&gt;=COLUMNS($A42:N42), Source!$G42, "")</f>
        <v/>
      </c>
      <c r="O42" s="2" t="str">
        <f>IF(Source!$C42&gt;=COLUMNS($A42:O42), Source!$G42, "")</f>
        <v/>
      </c>
      <c r="P42" s="2" t="str">
        <f>IF(Source!$C42&gt;=COLUMNS($A42:P42), Source!$G42, "")</f>
        <v/>
      </c>
      <c r="Q42" s="2" t="str">
        <f>IF(Source!$C42&gt;=COLUMNS($A42:Q42), Source!$G42, "")</f>
        <v/>
      </c>
      <c r="R42" s="2" t="str">
        <f>IF(Source!$C42&gt;=COLUMNS($A42:R42), Source!$G42, "")</f>
        <v/>
      </c>
      <c r="S42" s="2" t="str">
        <f>IF(Source!$C42&gt;=COLUMNS($A42:S42), Source!$G42, "")</f>
        <v/>
      </c>
      <c r="T42" s="2" t="str">
        <f>IF(Source!$C42&gt;=COLUMNS($A42:T42), Source!$G42, "")</f>
        <v/>
      </c>
      <c r="U42" s="2" t="str">
        <f>IF(Source!$C42&gt;=COLUMNS($A42:U42), Source!$G42, "")</f>
        <v/>
      </c>
      <c r="V42" s="2" t="str">
        <f>IF(Source!$C42&gt;=COLUMNS($A42:V42), Source!$G42, "")</f>
        <v/>
      </c>
      <c r="W42" s="2" t="str">
        <f>IF(Source!$C42&gt;=COLUMNS($A42:W42), Source!$G42, "")</f>
        <v/>
      </c>
      <c r="X42" s="2" t="str">
        <f>IF(Source!$C42&gt;=COLUMNS($A42:X42), Source!$G42, "")</f>
        <v/>
      </c>
      <c r="Y42" s="2" t="str">
        <f>IF(Source!$C42&gt;=COLUMNS($A42:Y42), Source!$G42, "")</f>
        <v/>
      </c>
      <c r="Z42" s="2" t="str">
        <f>IF(Source!$C42&gt;=COLUMNS($A42:Z42), Source!$G42, "")</f>
        <v/>
      </c>
      <c r="AA42" s="2" t="str">
        <f>IF(Source!$C42&gt;=COLUMNS($A42:AA42), Source!$G42, "")</f>
        <v/>
      </c>
      <c r="AB42" s="2" t="str">
        <f>IF(Source!$C42&gt;=COLUMNS($A42:AB42), Source!$G42, "")</f>
        <v/>
      </c>
      <c r="AC42" s="2" t="str">
        <f>IF(Source!$C42&gt;=COLUMNS($A42:AC42), Source!$G42, "")</f>
        <v/>
      </c>
      <c r="AD42" s="2" t="str">
        <f>IF(Source!$C42&gt;=COLUMNS($A42:AD42), Source!$G42, "")</f>
        <v/>
      </c>
      <c r="AE42" s="2" t="str">
        <f>IF(Source!$C42&gt;=COLUMNS($A42:AE42), Source!$G42, "")</f>
        <v/>
      </c>
      <c r="AF42" s="2" t="str">
        <f>IF(Source!$C42&gt;=COLUMNS($A42:AF42), Source!$G42, "")</f>
        <v/>
      </c>
      <c r="AG42" s="2" t="str">
        <f>IF(Source!$C42&gt;=COLUMNS($A42:AG42), Source!$G42, "")</f>
        <v/>
      </c>
      <c r="AH42" s="2" t="str">
        <f>IF(Source!$C42&gt;=COLUMNS($A42:AH42), Source!$G42, "")</f>
        <v/>
      </c>
      <c r="AI42" s="2" t="str">
        <f>IF(Source!$C42&gt;=COLUMNS($A42:AI42), Source!$G42, "")</f>
        <v/>
      </c>
      <c r="AJ42" s="2" t="str">
        <f>IF(Source!$C42&gt;=COLUMNS($A42:AJ42), Source!$G42, "")</f>
        <v/>
      </c>
      <c r="AK42" s="2" t="str">
        <f>IF(Source!$C42&gt;=COLUMNS($A42:AK42), Source!$G42, "")</f>
        <v/>
      </c>
      <c r="AL42" s="2" t="str">
        <f>IF(Source!$C42&gt;=COLUMNS($A42:AL42), Source!$G42, "")</f>
        <v/>
      </c>
      <c r="AM42" s="2" t="str">
        <f>IF(Source!$C42&gt;=COLUMNS($A42:AM42), Source!$G42, "")</f>
        <v/>
      </c>
      <c r="AN42" s="2" t="str">
        <f>IF(Source!$C42&gt;=COLUMNS($A42:AN42), Source!$G42, "")</f>
        <v/>
      </c>
      <c r="AO42" s="2" t="str">
        <f>IF(Source!$C42&gt;=COLUMNS($A42:AO42), Source!$G42, "")</f>
        <v/>
      </c>
      <c r="AP42" s="2" t="str">
        <f>IF(Source!$C42&gt;=COLUMNS($A42:AP42), Source!$G42, "")</f>
        <v/>
      </c>
      <c r="AQ42" s="2" t="str">
        <f>IF(Source!$C42&gt;=COLUMNS($A42:AQ42), Source!$G42, "")</f>
        <v/>
      </c>
      <c r="AR42" s="2" t="str">
        <f>IF(Source!$C42&gt;=COLUMNS($A42:AR42), Source!$G42, "")</f>
        <v/>
      </c>
    </row>
    <row r="43">
      <c r="A43" s="2">
        <f>IF(Source!$C43&gt;=COLUMNS($A43:A43), Source!$G43, "")</f>
        <v>6</v>
      </c>
      <c r="B43" s="2">
        <f>IF(Source!$C43&gt;=COLUMNS($A43:B43), Source!$G43, "")</f>
        <v>6</v>
      </c>
      <c r="C43" s="2" t="str">
        <f>IF(Source!$C43&gt;=COLUMNS($A43:C43), Source!$G43, "")</f>
        <v/>
      </c>
      <c r="D43" s="2" t="str">
        <f>IF(Source!$C43&gt;=COLUMNS($A43:D43), Source!$G43, "")</f>
        <v/>
      </c>
      <c r="E43" s="2" t="str">
        <f>IF(Source!$C43&gt;=COLUMNS($A43:E43), Source!$G43, "")</f>
        <v/>
      </c>
      <c r="F43" s="2" t="str">
        <f>IF(Source!$C43&gt;=COLUMNS($A43:F43), Source!$G43, "")</f>
        <v/>
      </c>
      <c r="G43" s="2" t="str">
        <f>IF(Source!$C43&gt;=COLUMNS($A43:G43), Source!$G43, "")</f>
        <v/>
      </c>
      <c r="H43" s="2" t="str">
        <f>IF(Source!$C43&gt;=COLUMNS($A43:H43), Source!$G43, "")</f>
        <v/>
      </c>
      <c r="I43" s="2" t="str">
        <f>IF(Source!$C43&gt;=COLUMNS($A43:I43), Source!$G43, "")</f>
        <v/>
      </c>
      <c r="J43" s="2" t="str">
        <f>IF(Source!$C43&gt;=COLUMNS($A43:J43), Source!$G43, "")</f>
        <v/>
      </c>
      <c r="K43" s="2" t="str">
        <f>IF(Source!$C43&gt;=COLUMNS($A43:K43), Source!$G43, "")</f>
        <v/>
      </c>
      <c r="L43" s="2" t="str">
        <f>IF(Source!$C43&gt;=COLUMNS($A43:L43), Source!$G43, "")</f>
        <v/>
      </c>
      <c r="M43" s="2" t="str">
        <f>IF(Source!$C43&gt;=COLUMNS($A43:M43), Source!$G43, "")</f>
        <v/>
      </c>
      <c r="N43" s="2" t="str">
        <f>IF(Source!$C43&gt;=COLUMNS($A43:N43), Source!$G43, "")</f>
        <v/>
      </c>
      <c r="O43" s="2" t="str">
        <f>IF(Source!$C43&gt;=COLUMNS($A43:O43), Source!$G43, "")</f>
        <v/>
      </c>
      <c r="P43" s="2" t="str">
        <f>IF(Source!$C43&gt;=COLUMNS($A43:P43), Source!$G43, "")</f>
        <v/>
      </c>
      <c r="Q43" s="2" t="str">
        <f>IF(Source!$C43&gt;=COLUMNS($A43:Q43), Source!$G43, "")</f>
        <v/>
      </c>
      <c r="R43" s="2" t="str">
        <f>IF(Source!$C43&gt;=COLUMNS($A43:R43), Source!$G43, "")</f>
        <v/>
      </c>
      <c r="S43" s="2" t="str">
        <f>IF(Source!$C43&gt;=COLUMNS($A43:S43), Source!$G43, "")</f>
        <v/>
      </c>
      <c r="T43" s="2" t="str">
        <f>IF(Source!$C43&gt;=COLUMNS($A43:T43), Source!$G43, "")</f>
        <v/>
      </c>
      <c r="U43" s="2" t="str">
        <f>IF(Source!$C43&gt;=COLUMNS($A43:U43), Source!$G43, "")</f>
        <v/>
      </c>
      <c r="V43" s="2" t="str">
        <f>IF(Source!$C43&gt;=COLUMNS($A43:V43), Source!$G43, "")</f>
        <v/>
      </c>
      <c r="W43" s="2" t="str">
        <f>IF(Source!$C43&gt;=COLUMNS($A43:W43), Source!$G43, "")</f>
        <v/>
      </c>
      <c r="X43" s="2" t="str">
        <f>IF(Source!$C43&gt;=COLUMNS($A43:X43), Source!$G43, "")</f>
        <v/>
      </c>
      <c r="Y43" s="2" t="str">
        <f>IF(Source!$C43&gt;=COLUMNS($A43:Y43), Source!$G43, "")</f>
        <v/>
      </c>
      <c r="Z43" s="2" t="str">
        <f>IF(Source!$C43&gt;=COLUMNS($A43:Z43), Source!$G43, "")</f>
        <v/>
      </c>
      <c r="AA43" s="2" t="str">
        <f>IF(Source!$C43&gt;=COLUMNS($A43:AA43), Source!$G43, "")</f>
        <v/>
      </c>
      <c r="AB43" s="2" t="str">
        <f>IF(Source!$C43&gt;=COLUMNS($A43:AB43), Source!$G43, "")</f>
        <v/>
      </c>
      <c r="AC43" s="2" t="str">
        <f>IF(Source!$C43&gt;=COLUMNS($A43:AC43), Source!$G43, "")</f>
        <v/>
      </c>
      <c r="AD43" s="2" t="str">
        <f>IF(Source!$C43&gt;=COLUMNS($A43:AD43), Source!$G43, "")</f>
        <v/>
      </c>
      <c r="AE43" s="2" t="str">
        <f>IF(Source!$C43&gt;=COLUMNS($A43:AE43), Source!$G43, "")</f>
        <v/>
      </c>
      <c r="AF43" s="2" t="str">
        <f>IF(Source!$C43&gt;=COLUMNS($A43:AF43), Source!$G43, "")</f>
        <v/>
      </c>
      <c r="AG43" s="2" t="str">
        <f>IF(Source!$C43&gt;=COLUMNS($A43:AG43), Source!$G43, "")</f>
        <v/>
      </c>
      <c r="AH43" s="2" t="str">
        <f>IF(Source!$C43&gt;=COLUMNS($A43:AH43), Source!$G43, "")</f>
        <v/>
      </c>
      <c r="AI43" s="2" t="str">
        <f>IF(Source!$C43&gt;=COLUMNS($A43:AI43), Source!$G43, "")</f>
        <v/>
      </c>
      <c r="AJ43" s="2" t="str">
        <f>IF(Source!$C43&gt;=COLUMNS($A43:AJ43), Source!$G43, "")</f>
        <v/>
      </c>
      <c r="AK43" s="2" t="str">
        <f>IF(Source!$C43&gt;=COLUMNS($A43:AK43), Source!$G43, "")</f>
        <v/>
      </c>
      <c r="AL43" s="2" t="str">
        <f>IF(Source!$C43&gt;=COLUMNS($A43:AL43), Source!$G43, "")</f>
        <v/>
      </c>
      <c r="AM43" s="2" t="str">
        <f>IF(Source!$C43&gt;=COLUMNS($A43:AM43), Source!$G43, "")</f>
        <v/>
      </c>
      <c r="AN43" s="2" t="str">
        <f>IF(Source!$C43&gt;=COLUMNS($A43:AN43), Source!$G43, "")</f>
        <v/>
      </c>
      <c r="AO43" s="2" t="str">
        <f>IF(Source!$C43&gt;=COLUMNS($A43:AO43), Source!$G43, "")</f>
        <v/>
      </c>
      <c r="AP43" s="2" t="str">
        <f>IF(Source!$C43&gt;=COLUMNS($A43:AP43), Source!$G43, "")</f>
        <v/>
      </c>
      <c r="AQ43" s="2" t="str">
        <f>IF(Source!$C43&gt;=COLUMNS($A43:AQ43), Source!$G43, "")</f>
        <v/>
      </c>
      <c r="AR43" s="2" t="str">
        <f>IF(Source!$C43&gt;=COLUMNS($A43:AR43), Source!$G43, "")</f>
        <v/>
      </c>
    </row>
    <row r="44">
      <c r="A44" s="2">
        <f>IF(Source!$C44&gt;=COLUMNS($A44:A44), Source!$G44, "")</f>
        <v>9</v>
      </c>
      <c r="B44" s="2" t="str">
        <f>IF(Source!$C44&gt;=COLUMNS($A44:B44), Source!$G44, "")</f>
        <v/>
      </c>
      <c r="C44" s="2" t="str">
        <f>IF(Source!$C44&gt;=COLUMNS($A44:C44), Source!$G44, "")</f>
        <v/>
      </c>
      <c r="D44" s="2" t="str">
        <f>IF(Source!$C44&gt;=COLUMNS($A44:D44), Source!$G44, "")</f>
        <v/>
      </c>
      <c r="E44" s="2" t="str">
        <f>IF(Source!$C44&gt;=COLUMNS($A44:E44), Source!$G44, "")</f>
        <v/>
      </c>
      <c r="F44" s="2" t="str">
        <f>IF(Source!$C44&gt;=COLUMNS($A44:F44), Source!$G44, "")</f>
        <v/>
      </c>
      <c r="G44" s="2" t="str">
        <f>IF(Source!$C44&gt;=COLUMNS($A44:G44), Source!$G44, "")</f>
        <v/>
      </c>
      <c r="H44" s="2" t="str">
        <f>IF(Source!$C44&gt;=COLUMNS($A44:H44), Source!$G44, "")</f>
        <v/>
      </c>
      <c r="I44" s="2" t="str">
        <f>IF(Source!$C44&gt;=COLUMNS($A44:I44), Source!$G44, "")</f>
        <v/>
      </c>
      <c r="J44" s="2" t="str">
        <f>IF(Source!$C44&gt;=COLUMNS($A44:J44), Source!$G44, "")</f>
        <v/>
      </c>
      <c r="K44" s="2" t="str">
        <f>IF(Source!$C44&gt;=COLUMNS($A44:K44), Source!$G44, "")</f>
        <v/>
      </c>
      <c r="L44" s="2" t="str">
        <f>IF(Source!$C44&gt;=COLUMNS($A44:L44), Source!$G44, "")</f>
        <v/>
      </c>
      <c r="M44" s="2" t="str">
        <f>IF(Source!$C44&gt;=COLUMNS($A44:M44), Source!$G44, "")</f>
        <v/>
      </c>
      <c r="N44" s="2" t="str">
        <f>IF(Source!$C44&gt;=COLUMNS($A44:N44), Source!$G44, "")</f>
        <v/>
      </c>
      <c r="O44" s="2" t="str">
        <f>IF(Source!$C44&gt;=COLUMNS($A44:O44), Source!$G44, "")</f>
        <v/>
      </c>
      <c r="P44" s="2" t="str">
        <f>IF(Source!$C44&gt;=COLUMNS($A44:P44), Source!$G44, "")</f>
        <v/>
      </c>
      <c r="Q44" s="2" t="str">
        <f>IF(Source!$C44&gt;=COLUMNS($A44:Q44), Source!$G44, "")</f>
        <v/>
      </c>
      <c r="R44" s="2" t="str">
        <f>IF(Source!$C44&gt;=COLUMNS($A44:R44), Source!$G44, "")</f>
        <v/>
      </c>
      <c r="S44" s="2" t="str">
        <f>IF(Source!$C44&gt;=COLUMNS($A44:S44), Source!$G44, "")</f>
        <v/>
      </c>
      <c r="T44" s="2" t="str">
        <f>IF(Source!$C44&gt;=COLUMNS($A44:T44), Source!$G44, "")</f>
        <v/>
      </c>
      <c r="U44" s="2" t="str">
        <f>IF(Source!$C44&gt;=COLUMNS($A44:U44), Source!$G44, "")</f>
        <v/>
      </c>
      <c r="V44" s="2" t="str">
        <f>IF(Source!$C44&gt;=COLUMNS($A44:V44), Source!$G44, "")</f>
        <v/>
      </c>
      <c r="W44" s="2" t="str">
        <f>IF(Source!$C44&gt;=COLUMNS($A44:W44), Source!$G44, "")</f>
        <v/>
      </c>
      <c r="X44" s="2" t="str">
        <f>IF(Source!$C44&gt;=COLUMNS($A44:X44), Source!$G44, "")</f>
        <v/>
      </c>
      <c r="Y44" s="2" t="str">
        <f>IF(Source!$C44&gt;=COLUMNS($A44:Y44), Source!$G44, "")</f>
        <v/>
      </c>
      <c r="Z44" s="2" t="str">
        <f>IF(Source!$C44&gt;=COLUMNS($A44:Z44), Source!$G44, "")</f>
        <v/>
      </c>
      <c r="AA44" s="2" t="str">
        <f>IF(Source!$C44&gt;=COLUMNS($A44:AA44), Source!$G44, "")</f>
        <v/>
      </c>
      <c r="AB44" s="2" t="str">
        <f>IF(Source!$C44&gt;=COLUMNS($A44:AB44), Source!$G44, "")</f>
        <v/>
      </c>
      <c r="AC44" s="2" t="str">
        <f>IF(Source!$C44&gt;=COLUMNS($A44:AC44), Source!$G44, "")</f>
        <v/>
      </c>
      <c r="AD44" s="2" t="str">
        <f>IF(Source!$C44&gt;=COLUMNS($A44:AD44), Source!$G44, "")</f>
        <v/>
      </c>
      <c r="AE44" s="2" t="str">
        <f>IF(Source!$C44&gt;=COLUMNS($A44:AE44), Source!$G44, "")</f>
        <v/>
      </c>
      <c r="AF44" s="2" t="str">
        <f>IF(Source!$C44&gt;=COLUMNS($A44:AF44), Source!$G44, "")</f>
        <v/>
      </c>
      <c r="AG44" s="2" t="str">
        <f>IF(Source!$C44&gt;=COLUMNS($A44:AG44), Source!$G44, "")</f>
        <v/>
      </c>
      <c r="AH44" s="2" t="str">
        <f>IF(Source!$C44&gt;=COLUMNS($A44:AH44), Source!$G44, "")</f>
        <v/>
      </c>
      <c r="AI44" s="2" t="str">
        <f>IF(Source!$C44&gt;=COLUMNS($A44:AI44), Source!$G44, "")</f>
        <v/>
      </c>
      <c r="AJ44" s="2" t="str">
        <f>IF(Source!$C44&gt;=COLUMNS($A44:AJ44), Source!$G44, "")</f>
        <v/>
      </c>
      <c r="AK44" s="2" t="str">
        <f>IF(Source!$C44&gt;=COLUMNS($A44:AK44), Source!$G44, "")</f>
        <v/>
      </c>
      <c r="AL44" s="2" t="str">
        <f>IF(Source!$C44&gt;=COLUMNS($A44:AL44), Source!$G44, "")</f>
        <v/>
      </c>
      <c r="AM44" s="2" t="str">
        <f>IF(Source!$C44&gt;=COLUMNS($A44:AM44), Source!$G44, "")</f>
        <v/>
      </c>
      <c r="AN44" s="2" t="str">
        <f>IF(Source!$C44&gt;=COLUMNS($A44:AN44), Source!$G44, "")</f>
        <v/>
      </c>
      <c r="AO44" s="2" t="str">
        <f>IF(Source!$C44&gt;=COLUMNS($A44:AO44), Source!$G44, "")</f>
        <v/>
      </c>
      <c r="AP44" s="2" t="str">
        <f>IF(Source!$C44&gt;=COLUMNS($A44:AP44), Source!$G44, "")</f>
        <v/>
      </c>
      <c r="AQ44" s="2" t="str">
        <f>IF(Source!$C44&gt;=COLUMNS($A44:AQ44), Source!$G44, "")</f>
        <v/>
      </c>
      <c r="AR44" s="2" t="str">
        <f>IF(Source!$C44&gt;=COLUMNS($A44:AR44), Source!$G44, "")</f>
        <v/>
      </c>
    </row>
    <row r="45">
      <c r="A45" s="2">
        <f>IF(Source!$C45&gt;=COLUMNS($A45:A45), Source!$G45, "")</f>
        <v>7</v>
      </c>
      <c r="B45" s="2">
        <f>IF(Source!$C45&gt;=COLUMNS($A45:B45), Source!$G45, "")</f>
        <v>7</v>
      </c>
      <c r="C45" s="2" t="str">
        <f>IF(Source!$C45&gt;=COLUMNS($A45:C45), Source!$G45, "")</f>
        <v/>
      </c>
      <c r="D45" s="2" t="str">
        <f>IF(Source!$C45&gt;=COLUMNS($A45:D45), Source!$G45, "")</f>
        <v/>
      </c>
      <c r="E45" s="2" t="str">
        <f>IF(Source!$C45&gt;=COLUMNS($A45:E45), Source!$G45, "")</f>
        <v/>
      </c>
      <c r="F45" s="2" t="str">
        <f>IF(Source!$C45&gt;=COLUMNS($A45:F45), Source!$G45, "")</f>
        <v/>
      </c>
      <c r="G45" s="2" t="str">
        <f>IF(Source!$C45&gt;=COLUMNS($A45:G45), Source!$G45, "")</f>
        <v/>
      </c>
      <c r="H45" s="2" t="str">
        <f>IF(Source!$C45&gt;=COLUMNS($A45:H45), Source!$G45, "")</f>
        <v/>
      </c>
      <c r="I45" s="2" t="str">
        <f>IF(Source!$C45&gt;=COLUMNS($A45:I45), Source!$G45, "")</f>
        <v/>
      </c>
      <c r="J45" s="2" t="str">
        <f>IF(Source!$C45&gt;=COLUMNS($A45:J45), Source!$G45, "")</f>
        <v/>
      </c>
      <c r="K45" s="2" t="str">
        <f>IF(Source!$C45&gt;=COLUMNS($A45:K45), Source!$G45, "")</f>
        <v/>
      </c>
      <c r="L45" s="2" t="str">
        <f>IF(Source!$C45&gt;=COLUMNS($A45:L45), Source!$G45, "")</f>
        <v/>
      </c>
      <c r="M45" s="2" t="str">
        <f>IF(Source!$C45&gt;=COLUMNS($A45:M45), Source!$G45, "")</f>
        <v/>
      </c>
      <c r="N45" s="2" t="str">
        <f>IF(Source!$C45&gt;=COLUMNS($A45:N45), Source!$G45, "")</f>
        <v/>
      </c>
      <c r="O45" s="2" t="str">
        <f>IF(Source!$C45&gt;=COLUMNS($A45:O45), Source!$G45, "")</f>
        <v/>
      </c>
      <c r="P45" s="2" t="str">
        <f>IF(Source!$C45&gt;=COLUMNS($A45:P45), Source!$G45, "")</f>
        <v/>
      </c>
      <c r="Q45" s="2" t="str">
        <f>IF(Source!$C45&gt;=COLUMNS($A45:Q45), Source!$G45, "")</f>
        <v/>
      </c>
      <c r="R45" s="2" t="str">
        <f>IF(Source!$C45&gt;=COLUMNS($A45:R45), Source!$G45, "")</f>
        <v/>
      </c>
      <c r="S45" s="2" t="str">
        <f>IF(Source!$C45&gt;=COLUMNS($A45:S45), Source!$G45, "")</f>
        <v/>
      </c>
      <c r="T45" s="2" t="str">
        <f>IF(Source!$C45&gt;=COLUMNS($A45:T45), Source!$G45, "")</f>
        <v/>
      </c>
      <c r="U45" s="2" t="str">
        <f>IF(Source!$C45&gt;=COLUMNS($A45:U45), Source!$G45, "")</f>
        <v/>
      </c>
      <c r="V45" s="2" t="str">
        <f>IF(Source!$C45&gt;=COLUMNS($A45:V45), Source!$G45, "")</f>
        <v/>
      </c>
      <c r="W45" s="2" t="str">
        <f>IF(Source!$C45&gt;=COLUMNS($A45:W45), Source!$G45, "")</f>
        <v/>
      </c>
      <c r="X45" s="2" t="str">
        <f>IF(Source!$C45&gt;=COLUMNS($A45:X45), Source!$G45, "")</f>
        <v/>
      </c>
      <c r="Y45" s="2" t="str">
        <f>IF(Source!$C45&gt;=COLUMNS($A45:Y45), Source!$G45, "")</f>
        <v/>
      </c>
      <c r="Z45" s="2" t="str">
        <f>IF(Source!$C45&gt;=COLUMNS($A45:Z45), Source!$G45, "")</f>
        <v/>
      </c>
      <c r="AA45" s="2" t="str">
        <f>IF(Source!$C45&gt;=COLUMNS($A45:AA45), Source!$G45, "")</f>
        <v/>
      </c>
      <c r="AB45" s="2" t="str">
        <f>IF(Source!$C45&gt;=COLUMNS($A45:AB45), Source!$G45, "")</f>
        <v/>
      </c>
      <c r="AC45" s="2" t="str">
        <f>IF(Source!$C45&gt;=COLUMNS($A45:AC45), Source!$G45, "")</f>
        <v/>
      </c>
      <c r="AD45" s="2" t="str">
        <f>IF(Source!$C45&gt;=COLUMNS($A45:AD45), Source!$G45, "")</f>
        <v/>
      </c>
      <c r="AE45" s="2" t="str">
        <f>IF(Source!$C45&gt;=COLUMNS($A45:AE45), Source!$G45, "")</f>
        <v/>
      </c>
      <c r="AF45" s="2" t="str">
        <f>IF(Source!$C45&gt;=COLUMNS($A45:AF45), Source!$G45, "")</f>
        <v/>
      </c>
      <c r="AG45" s="2" t="str">
        <f>IF(Source!$C45&gt;=COLUMNS($A45:AG45), Source!$G45, "")</f>
        <v/>
      </c>
      <c r="AH45" s="2" t="str">
        <f>IF(Source!$C45&gt;=COLUMNS($A45:AH45), Source!$G45, "")</f>
        <v/>
      </c>
      <c r="AI45" s="2" t="str">
        <f>IF(Source!$C45&gt;=COLUMNS($A45:AI45), Source!$G45, "")</f>
        <v/>
      </c>
      <c r="AJ45" s="2" t="str">
        <f>IF(Source!$C45&gt;=COLUMNS($A45:AJ45), Source!$G45, "")</f>
        <v/>
      </c>
      <c r="AK45" s="2" t="str">
        <f>IF(Source!$C45&gt;=COLUMNS($A45:AK45), Source!$G45, "")</f>
        <v/>
      </c>
      <c r="AL45" s="2" t="str">
        <f>IF(Source!$C45&gt;=COLUMNS($A45:AL45), Source!$G45, "")</f>
        <v/>
      </c>
      <c r="AM45" s="2" t="str">
        <f>IF(Source!$C45&gt;=COLUMNS($A45:AM45), Source!$G45, "")</f>
        <v/>
      </c>
      <c r="AN45" s="2" t="str">
        <f>IF(Source!$C45&gt;=COLUMNS($A45:AN45), Source!$G45, "")</f>
        <v/>
      </c>
      <c r="AO45" s="2" t="str">
        <f>IF(Source!$C45&gt;=COLUMNS($A45:AO45), Source!$G45, "")</f>
        <v/>
      </c>
      <c r="AP45" s="2" t="str">
        <f>IF(Source!$C45&gt;=COLUMNS($A45:AP45), Source!$G45, "")</f>
        <v/>
      </c>
      <c r="AQ45" s="2" t="str">
        <f>IF(Source!$C45&gt;=COLUMNS($A45:AQ45), Source!$G45, "")</f>
        <v/>
      </c>
      <c r="AR45" s="2" t="str">
        <f>IF(Source!$C45&gt;=COLUMNS($A45:AR45), Source!$G45, "")</f>
        <v/>
      </c>
    </row>
    <row r="46">
      <c r="A46" s="2">
        <f>IF(Source!$C46&gt;=COLUMNS($A46:A46), Source!$G46, "")</f>
        <v>1</v>
      </c>
      <c r="B46" s="2">
        <f>IF(Source!$C46&gt;=COLUMNS($A46:B46), Source!$G46, "")</f>
        <v>1</v>
      </c>
      <c r="C46" s="2">
        <f>IF(Source!$C46&gt;=COLUMNS($A46:C46), Source!$G46, "")</f>
        <v>1</v>
      </c>
      <c r="D46" s="2" t="str">
        <f>IF(Source!$C46&gt;=COLUMNS($A46:D46), Source!$G46, "")</f>
        <v/>
      </c>
      <c r="E46" s="2" t="str">
        <f>IF(Source!$C46&gt;=COLUMNS($A46:E46), Source!$G46, "")</f>
        <v/>
      </c>
      <c r="F46" s="2" t="str">
        <f>IF(Source!$C46&gt;=COLUMNS($A46:F46), Source!$G46, "")</f>
        <v/>
      </c>
      <c r="G46" s="2" t="str">
        <f>IF(Source!$C46&gt;=COLUMNS($A46:G46), Source!$G46, "")</f>
        <v/>
      </c>
      <c r="H46" s="2" t="str">
        <f>IF(Source!$C46&gt;=COLUMNS($A46:H46), Source!$G46, "")</f>
        <v/>
      </c>
      <c r="I46" s="2" t="str">
        <f>IF(Source!$C46&gt;=COLUMNS($A46:I46), Source!$G46, "")</f>
        <v/>
      </c>
      <c r="J46" s="2" t="str">
        <f>IF(Source!$C46&gt;=COLUMNS($A46:J46), Source!$G46, "")</f>
        <v/>
      </c>
      <c r="K46" s="2" t="str">
        <f>IF(Source!$C46&gt;=COLUMNS($A46:K46), Source!$G46, "")</f>
        <v/>
      </c>
      <c r="L46" s="2" t="str">
        <f>IF(Source!$C46&gt;=COLUMNS($A46:L46), Source!$G46, "")</f>
        <v/>
      </c>
      <c r="M46" s="2" t="str">
        <f>IF(Source!$C46&gt;=COLUMNS($A46:M46), Source!$G46, "")</f>
        <v/>
      </c>
      <c r="N46" s="2" t="str">
        <f>IF(Source!$C46&gt;=COLUMNS($A46:N46), Source!$G46, "")</f>
        <v/>
      </c>
      <c r="O46" s="2" t="str">
        <f>IF(Source!$C46&gt;=COLUMNS($A46:O46), Source!$G46, "")</f>
        <v/>
      </c>
      <c r="P46" s="2" t="str">
        <f>IF(Source!$C46&gt;=COLUMNS($A46:P46), Source!$G46, "")</f>
        <v/>
      </c>
      <c r="Q46" s="2" t="str">
        <f>IF(Source!$C46&gt;=COLUMNS($A46:Q46), Source!$G46, "")</f>
        <v/>
      </c>
      <c r="R46" s="2" t="str">
        <f>IF(Source!$C46&gt;=COLUMNS($A46:R46), Source!$G46, "")</f>
        <v/>
      </c>
      <c r="S46" s="2" t="str">
        <f>IF(Source!$C46&gt;=COLUMNS($A46:S46), Source!$G46, "")</f>
        <v/>
      </c>
      <c r="T46" s="2" t="str">
        <f>IF(Source!$C46&gt;=COLUMNS($A46:T46), Source!$G46, "")</f>
        <v/>
      </c>
      <c r="U46" s="2" t="str">
        <f>IF(Source!$C46&gt;=COLUMNS($A46:U46), Source!$G46, "")</f>
        <v/>
      </c>
      <c r="V46" s="2" t="str">
        <f>IF(Source!$C46&gt;=COLUMNS($A46:V46), Source!$G46, "")</f>
        <v/>
      </c>
      <c r="W46" s="2" t="str">
        <f>IF(Source!$C46&gt;=COLUMNS($A46:W46), Source!$G46, "")</f>
        <v/>
      </c>
      <c r="X46" s="2" t="str">
        <f>IF(Source!$C46&gt;=COLUMNS($A46:X46), Source!$G46, "")</f>
        <v/>
      </c>
      <c r="Y46" s="2" t="str">
        <f>IF(Source!$C46&gt;=COLUMNS($A46:Y46), Source!$G46, "")</f>
        <v/>
      </c>
      <c r="Z46" s="2" t="str">
        <f>IF(Source!$C46&gt;=COLUMNS($A46:Z46), Source!$G46, "")</f>
        <v/>
      </c>
      <c r="AA46" s="2" t="str">
        <f>IF(Source!$C46&gt;=COLUMNS($A46:AA46), Source!$G46, "")</f>
        <v/>
      </c>
      <c r="AB46" s="2" t="str">
        <f>IF(Source!$C46&gt;=COLUMNS($A46:AB46), Source!$G46, "")</f>
        <v/>
      </c>
      <c r="AC46" s="2" t="str">
        <f>IF(Source!$C46&gt;=COLUMNS($A46:AC46), Source!$G46, "")</f>
        <v/>
      </c>
      <c r="AD46" s="2" t="str">
        <f>IF(Source!$C46&gt;=COLUMNS($A46:AD46), Source!$G46, "")</f>
        <v/>
      </c>
      <c r="AE46" s="2" t="str">
        <f>IF(Source!$C46&gt;=COLUMNS($A46:AE46), Source!$G46, "")</f>
        <v/>
      </c>
      <c r="AF46" s="2" t="str">
        <f>IF(Source!$C46&gt;=COLUMNS($A46:AF46), Source!$G46, "")</f>
        <v/>
      </c>
      <c r="AG46" s="2" t="str">
        <f>IF(Source!$C46&gt;=COLUMNS($A46:AG46), Source!$G46, "")</f>
        <v/>
      </c>
      <c r="AH46" s="2" t="str">
        <f>IF(Source!$C46&gt;=COLUMNS($A46:AH46), Source!$G46, "")</f>
        <v/>
      </c>
      <c r="AI46" s="2" t="str">
        <f>IF(Source!$C46&gt;=COLUMNS($A46:AI46), Source!$G46, "")</f>
        <v/>
      </c>
      <c r="AJ46" s="2" t="str">
        <f>IF(Source!$C46&gt;=COLUMNS($A46:AJ46), Source!$G46, "")</f>
        <v/>
      </c>
      <c r="AK46" s="2" t="str">
        <f>IF(Source!$C46&gt;=COLUMNS($A46:AK46), Source!$G46, "")</f>
        <v/>
      </c>
      <c r="AL46" s="2" t="str">
        <f>IF(Source!$C46&gt;=COLUMNS($A46:AL46), Source!$G46, "")</f>
        <v/>
      </c>
      <c r="AM46" s="2" t="str">
        <f>IF(Source!$C46&gt;=COLUMNS($A46:AM46), Source!$G46, "")</f>
        <v/>
      </c>
      <c r="AN46" s="2" t="str">
        <f>IF(Source!$C46&gt;=COLUMNS($A46:AN46), Source!$G46, "")</f>
        <v/>
      </c>
      <c r="AO46" s="2" t="str">
        <f>IF(Source!$C46&gt;=COLUMNS($A46:AO46), Source!$G46, "")</f>
        <v/>
      </c>
      <c r="AP46" s="2" t="str">
        <f>IF(Source!$C46&gt;=COLUMNS($A46:AP46), Source!$G46, "")</f>
        <v/>
      </c>
      <c r="AQ46" s="2" t="str">
        <f>IF(Source!$C46&gt;=COLUMNS($A46:AQ46), Source!$G46, "")</f>
        <v/>
      </c>
      <c r="AR46" s="2" t="str">
        <f>IF(Source!$C46&gt;=COLUMNS($A46:AR46), Source!$G46, "")</f>
        <v/>
      </c>
    </row>
    <row r="47">
      <c r="A47" s="2">
        <f>IF(Source!$C47&gt;=COLUMNS($A47:A47), Source!$G47, "")</f>
        <v>2</v>
      </c>
      <c r="B47" s="2">
        <f>IF(Source!$C47&gt;=COLUMNS($A47:B47), Source!$G47, "")</f>
        <v>2</v>
      </c>
      <c r="C47" s="2" t="str">
        <f>IF(Source!$C47&gt;=COLUMNS($A47:C47), Source!$G47, "")</f>
        <v/>
      </c>
      <c r="D47" s="2" t="str">
        <f>IF(Source!$C47&gt;=COLUMNS($A47:D47), Source!$G47, "")</f>
        <v/>
      </c>
      <c r="E47" s="2" t="str">
        <f>IF(Source!$C47&gt;=COLUMNS($A47:E47), Source!$G47, "")</f>
        <v/>
      </c>
      <c r="F47" s="2" t="str">
        <f>IF(Source!$C47&gt;=COLUMNS($A47:F47), Source!$G47, "")</f>
        <v/>
      </c>
      <c r="G47" s="2" t="str">
        <f>IF(Source!$C47&gt;=COLUMNS($A47:G47), Source!$G47, "")</f>
        <v/>
      </c>
      <c r="H47" s="2" t="str">
        <f>IF(Source!$C47&gt;=COLUMNS($A47:H47), Source!$G47, "")</f>
        <v/>
      </c>
      <c r="I47" s="2" t="str">
        <f>IF(Source!$C47&gt;=COLUMNS($A47:I47), Source!$G47, "")</f>
        <v/>
      </c>
      <c r="J47" s="2" t="str">
        <f>IF(Source!$C47&gt;=COLUMNS($A47:J47), Source!$G47, "")</f>
        <v/>
      </c>
      <c r="K47" s="2" t="str">
        <f>IF(Source!$C47&gt;=COLUMNS($A47:K47), Source!$G47, "")</f>
        <v/>
      </c>
      <c r="L47" s="2" t="str">
        <f>IF(Source!$C47&gt;=COLUMNS($A47:L47), Source!$G47, "")</f>
        <v/>
      </c>
      <c r="M47" s="2" t="str">
        <f>IF(Source!$C47&gt;=COLUMNS($A47:M47), Source!$G47, "")</f>
        <v/>
      </c>
      <c r="N47" s="2" t="str">
        <f>IF(Source!$C47&gt;=COLUMNS($A47:N47), Source!$G47, "")</f>
        <v/>
      </c>
      <c r="O47" s="2" t="str">
        <f>IF(Source!$C47&gt;=COLUMNS($A47:O47), Source!$G47, "")</f>
        <v/>
      </c>
      <c r="P47" s="2" t="str">
        <f>IF(Source!$C47&gt;=COLUMNS($A47:P47), Source!$G47, "")</f>
        <v/>
      </c>
      <c r="Q47" s="2" t="str">
        <f>IF(Source!$C47&gt;=COLUMNS($A47:Q47), Source!$G47, "")</f>
        <v/>
      </c>
      <c r="R47" s="2" t="str">
        <f>IF(Source!$C47&gt;=COLUMNS($A47:R47), Source!$G47, "")</f>
        <v/>
      </c>
      <c r="S47" s="2" t="str">
        <f>IF(Source!$C47&gt;=COLUMNS($A47:S47), Source!$G47, "")</f>
        <v/>
      </c>
      <c r="T47" s="2" t="str">
        <f>IF(Source!$C47&gt;=COLUMNS($A47:T47), Source!$G47, "")</f>
        <v/>
      </c>
      <c r="U47" s="2" t="str">
        <f>IF(Source!$C47&gt;=COLUMNS($A47:U47), Source!$G47, "")</f>
        <v/>
      </c>
      <c r="V47" s="2" t="str">
        <f>IF(Source!$C47&gt;=COLUMNS($A47:V47), Source!$G47, "")</f>
        <v/>
      </c>
      <c r="W47" s="2" t="str">
        <f>IF(Source!$C47&gt;=COLUMNS($A47:W47), Source!$G47, "")</f>
        <v/>
      </c>
      <c r="X47" s="2" t="str">
        <f>IF(Source!$C47&gt;=COLUMNS($A47:X47), Source!$G47, "")</f>
        <v/>
      </c>
      <c r="Y47" s="2" t="str">
        <f>IF(Source!$C47&gt;=COLUMNS($A47:Y47), Source!$G47, "")</f>
        <v/>
      </c>
      <c r="Z47" s="2" t="str">
        <f>IF(Source!$C47&gt;=COLUMNS($A47:Z47), Source!$G47, "")</f>
        <v/>
      </c>
      <c r="AA47" s="2" t="str">
        <f>IF(Source!$C47&gt;=COLUMNS($A47:AA47), Source!$G47, "")</f>
        <v/>
      </c>
      <c r="AB47" s="2" t="str">
        <f>IF(Source!$C47&gt;=COLUMNS($A47:AB47), Source!$G47, "")</f>
        <v/>
      </c>
      <c r="AC47" s="2" t="str">
        <f>IF(Source!$C47&gt;=COLUMNS($A47:AC47), Source!$G47, "")</f>
        <v/>
      </c>
      <c r="AD47" s="2" t="str">
        <f>IF(Source!$C47&gt;=COLUMNS($A47:AD47), Source!$G47, "")</f>
        <v/>
      </c>
      <c r="AE47" s="2" t="str">
        <f>IF(Source!$C47&gt;=COLUMNS($A47:AE47), Source!$G47, "")</f>
        <v/>
      </c>
      <c r="AF47" s="2" t="str">
        <f>IF(Source!$C47&gt;=COLUMNS($A47:AF47), Source!$G47, "")</f>
        <v/>
      </c>
      <c r="AG47" s="2" t="str">
        <f>IF(Source!$C47&gt;=COLUMNS($A47:AG47), Source!$G47, "")</f>
        <v/>
      </c>
      <c r="AH47" s="2" t="str">
        <f>IF(Source!$C47&gt;=COLUMNS($A47:AH47), Source!$G47, "")</f>
        <v/>
      </c>
      <c r="AI47" s="2" t="str">
        <f>IF(Source!$C47&gt;=COLUMNS($A47:AI47), Source!$G47, "")</f>
        <v/>
      </c>
      <c r="AJ47" s="2" t="str">
        <f>IF(Source!$C47&gt;=COLUMNS($A47:AJ47), Source!$G47, "")</f>
        <v/>
      </c>
      <c r="AK47" s="2" t="str">
        <f>IF(Source!$C47&gt;=COLUMNS($A47:AK47), Source!$G47, "")</f>
        <v/>
      </c>
      <c r="AL47" s="2" t="str">
        <f>IF(Source!$C47&gt;=COLUMNS($A47:AL47), Source!$G47, "")</f>
        <v/>
      </c>
      <c r="AM47" s="2" t="str">
        <f>IF(Source!$C47&gt;=COLUMNS($A47:AM47), Source!$G47, "")</f>
        <v/>
      </c>
      <c r="AN47" s="2" t="str">
        <f>IF(Source!$C47&gt;=COLUMNS($A47:AN47), Source!$G47, "")</f>
        <v/>
      </c>
      <c r="AO47" s="2" t="str">
        <f>IF(Source!$C47&gt;=COLUMNS($A47:AO47), Source!$G47, "")</f>
        <v/>
      </c>
      <c r="AP47" s="2" t="str">
        <f>IF(Source!$C47&gt;=COLUMNS($A47:AP47), Source!$G47, "")</f>
        <v/>
      </c>
      <c r="AQ47" s="2" t="str">
        <f>IF(Source!$C47&gt;=COLUMNS($A47:AQ47), Source!$G47, "")</f>
        <v/>
      </c>
      <c r="AR47" s="2" t="str">
        <f>IF(Source!$C47&gt;=COLUMNS($A47:AR47), Source!$G47, "")</f>
        <v/>
      </c>
    </row>
    <row r="48">
      <c r="A48" s="2">
        <f>IF(Source!$C48&gt;=COLUMNS($A48:A48), Source!$G48, "")</f>
        <v>3</v>
      </c>
      <c r="B48" s="2">
        <f>IF(Source!$C48&gt;=COLUMNS($A48:B48), Source!$G48, "")</f>
        <v>3</v>
      </c>
      <c r="C48" s="2">
        <f>IF(Source!$C48&gt;=COLUMNS($A48:C48), Source!$G48, "")</f>
        <v>3</v>
      </c>
      <c r="D48" s="2">
        <f>IF(Source!$C48&gt;=COLUMNS($A48:D48), Source!$G48, "")</f>
        <v>3</v>
      </c>
      <c r="E48" s="2">
        <f>IF(Source!$C48&gt;=COLUMNS($A48:E48), Source!$G48, "")</f>
        <v>3</v>
      </c>
      <c r="F48" s="2">
        <f>IF(Source!$C48&gt;=COLUMNS($A48:F48), Source!$G48, "")</f>
        <v>3</v>
      </c>
      <c r="G48" s="2" t="str">
        <f>IF(Source!$C48&gt;=COLUMNS($A48:G48), Source!$G48, "")</f>
        <v/>
      </c>
      <c r="H48" s="2" t="str">
        <f>IF(Source!$C48&gt;=COLUMNS($A48:H48), Source!$G48, "")</f>
        <v/>
      </c>
      <c r="I48" s="2" t="str">
        <f>IF(Source!$C48&gt;=COLUMNS($A48:I48), Source!$G48, "")</f>
        <v/>
      </c>
      <c r="J48" s="2" t="str">
        <f>IF(Source!$C48&gt;=COLUMNS($A48:J48), Source!$G48, "")</f>
        <v/>
      </c>
      <c r="K48" s="2" t="str">
        <f>IF(Source!$C48&gt;=COLUMNS($A48:K48), Source!$G48, "")</f>
        <v/>
      </c>
      <c r="L48" s="2" t="str">
        <f>IF(Source!$C48&gt;=COLUMNS($A48:L48), Source!$G48, "")</f>
        <v/>
      </c>
      <c r="M48" s="2" t="str">
        <f>IF(Source!$C48&gt;=COLUMNS($A48:M48), Source!$G48, "")</f>
        <v/>
      </c>
      <c r="N48" s="2" t="str">
        <f>IF(Source!$C48&gt;=COLUMNS($A48:N48), Source!$G48, "")</f>
        <v/>
      </c>
      <c r="O48" s="2" t="str">
        <f>IF(Source!$C48&gt;=COLUMNS($A48:O48), Source!$G48, "")</f>
        <v/>
      </c>
      <c r="P48" s="2" t="str">
        <f>IF(Source!$C48&gt;=COLUMNS($A48:P48), Source!$G48, "")</f>
        <v/>
      </c>
      <c r="Q48" s="2" t="str">
        <f>IF(Source!$C48&gt;=COLUMNS($A48:Q48), Source!$G48, "")</f>
        <v/>
      </c>
      <c r="R48" s="2" t="str">
        <f>IF(Source!$C48&gt;=COLUMNS($A48:R48), Source!$G48, "")</f>
        <v/>
      </c>
      <c r="S48" s="2" t="str">
        <f>IF(Source!$C48&gt;=COLUMNS($A48:S48), Source!$G48, "")</f>
        <v/>
      </c>
      <c r="T48" s="2" t="str">
        <f>IF(Source!$C48&gt;=COLUMNS($A48:T48), Source!$G48, "")</f>
        <v/>
      </c>
      <c r="U48" s="2" t="str">
        <f>IF(Source!$C48&gt;=COLUMNS($A48:U48), Source!$G48, "")</f>
        <v/>
      </c>
      <c r="V48" s="2" t="str">
        <f>IF(Source!$C48&gt;=COLUMNS($A48:V48), Source!$G48, "")</f>
        <v/>
      </c>
      <c r="W48" s="2" t="str">
        <f>IF(Source!$C48&gt;=COLUMNS($A48:W48), Source!$G48, "")</f>
        <v/>
      </c>
      <c r="X48" s="2" t="str">
        <f>IF(Source!$C48&gt;=COLUMNS($A48:X48), Source!$G48, "")</f>
        <v/>
      </c>
      <c r="Y48" s="2" t="str">
        <f>IF(Source!$C48&gt;=COLUMNS($A48:Y48), Source!$G48, "")</f>
        <v/>
      </c>
      <c r="Z48" s="2" t="str">
        <f>IF(Source!$C48&gt;=COLUMNS($A48:Z48), Source!$G48, "")</f>
        <v/>
      </c>
      <c r="AA48" s="2" t="str">
        <f>IF(Source!$C48&gt;=COLUMNS($A48:AA48), Source!$G48, "")</f>
        <v/>
      </c>
      <c r="AB48" s="2" t="str">
        <f>IF(Source!$C48&gt;=COLUMNS($A48:AB48), Source!$G48, "")</f>
        <v/>
      </c>
      <c r="AC48" s="2" t="str">
        <f>IF(Source!$C48&gt;=COLUMNS($A48:AC48), Source!$G48, "")</f>
        <v/>
      </c>
      <c r="AD48" s="2" t="str">
        <f>IF(Source!$C48&gt;=COLUMNS($A48:AD48), Source!$G48, "")</f>
        <v/>
      </c>
      <c r="AE48" s="2" t="str">
        <f>IF(Source!$C48&gt;=COLUMNS($A48:AE48), Source!$G48, "")</f>
        <v/>
      </c>
      <c r="AF48" s="2" t="str">
        <f>IF(Source!$C48&gt;=COLUMNS($A48:AF48), Source!$G48, "")</f>
        <v/>
      </c>
      <c r="AG48" s="2" t="str">
        <f>IF(Source!$C48&gt;=COLUMNS($A48:AG48), Source!$G48, "")</f>
        <v/>
      </c>
      <c r="AH48" s="2" t="str">
        <f>IF(Source!$C48&gt;=COLUMNS($A48:AH48), Source!$G48, "")</f>
        <v/>
      </c>
      <c r="AI48" s="2" t="str">
        <f>IF(Source!$C48&gt;=COLUMNS($A48:AI48), Source!$G48, "")</f>
        <v/>
      </c>
      <c r="AJ48" s="2" t="str">
        <f>IF(Source!$C48&gt;=COLUMNS($A48:AJ48), Source!$G48, "")</f>
        <v/>
      </c>
      <c r="AK48" s="2" t="str">
        <f>IF(Source!$C48&gt;=COLUMNS($A48:AK48), Source!$G48, "")</f>
        <v/>
      </c>
      <c r="AL48" s="2" t="str">
        <f>IF(Source!$C48&gt;=COLUMNS($A48:AL48), Source!$G48, "")</f>
        <v/>
      </c>
      <c r="AM48" s="2" t="str">
        <f>IF(Source!$C48&gt;=COLUMNS($A48:AM48), Source!$G48, "")</f>
        <v/>
      </c>
      <c r="AN48" s="2" t="str">
        <f>IF(Source!$C48&gt;=COLUMNS($A48:AN48), Source!$G48, "")</f>
        <v/>
      </c>
      <c r="AO48" s="2" t="str">
        <f>IF(Source!$C48&gt;=COLUMNS($A48:AO48), Source!$G48, "")</f>
        <v/>
      </c>
      <c r="AP48" s="2" t="str">
        <f>IF(Source!$C48&gt;=COLUMNS($A48:AP48), Source!$G48, "")</f>
        <v/>
      </c>
      <c r="AQ48" s="2" t="str">
        <f>IF(Source!$C48&gt;=COLUMNS($A48:AQ48), Source!$G48, "")</f>
        <v/>
      </c>
      <c r="AR48" s="2" t="str">
        <f>IF(Source!$C48&gt;=COLUMNS($A48:AR48), Source!$G48, "")</f>
        <v/>
      </c>
    </row>
    <row r="49">
      <c r="A49" s="2">
        <f>IF(Source!$C49&gt;=COLUMNS($A49:A49), Source!$G49, "")</f>
        <v>6</v>
      </c>
      <c r="B49" s="2">
        <f>IF(Source!$C49&gt;=COLUMNS($A49:B49), Source!$G49, "")</f>
        <v>6</v>
      </c>
      <c r="C49" s="2">
        <f>IF(Source!$C49&gt;=COLUMNS($A49:C49), Source!$G49, "")</f>
        <v>6</v>
      </c>
      <c r="D49" s="2">
        <f>IF(Source!$C49&gt;=COLUMNS($A49:D49), Source!$G49, "")</f>
        <v>6</v>
      </c>
      <c r="E49" s="2">
        <f>IF(Source!$C49&gt;=COLUMNS($A49:E49), Source!$G49, "")</f>
        <v>6</v>
      </c>
      <c r="F49" s="2">
        <f>IF(Source!$C49&gt;=COLUMNS($A49:F49), Source!$G49, "")</f>
        <v>6</v>
      </c>
      <c r="G49" s="2">
        <f>IF(Source!$C49&gt;=COLUMNS($A49:G49), Source!$G49, "")</f>
        <v>6</v>
      </c>
      <c r="H49" s="2" t="str">
        <f>IF(Source!$C49&gt;=COLUMNS($A49:H49), Source!$G49, "")</f>
        <v/>
      </c>
      <c r="I49" s="2" t="str">
        <f>IF(Source!$C49&gt;=COLUMNS($A49:I49), Source!$G49, "")</f>
        <v/>
      </c>
      <c r="J49" s="2" t="str">
        <f>IF(Source!$C49&gt;=COLUMNS($A49:J49), Source!$G49, "")</f>
        <v/>
      </c>
      <c r="K49" s="2" t="str">
        <f>IF(Source!$C49&gt;=COLUMNS($A49:K49), Source!$G49, "")</f>
        <v/>
      </c>
      <c r="L49" s="2" t="str">
        <f>IF(Source!$C49&gt;=COLUMNS($A49:L49), Source!$G49, "")</f>
        <v/>
      </c>
      <c r="M49" s="2" t="str">
        <f>IF(Source!$C49&gt;=COLUMNS($A49:M49), Source!$G49, "")</f>
        <v/>
      </c>
      <c r="N49" s="2" t="str">
        <f>IF(Source!$C49&gt;=COLUMNS($A49:N49), Source!$G49, "")</f>
        <v/>
      </c>
      <c r="O49" s="2" t="str">
        <f>IF(Source!$C49&gt;=COLUMNS($A49:O49), Source!$G49, "")</f>
        <v/>
      </c>
      <c r="P49" s="2" t="str">
        <f>IF(Source!$C49&gt;=COLUMNS($A49:P49), Source!$G49, "")</f>
        <v/>
      </c>
      <c r="Q49" s="2" t="str">
        <f>IF(Source!$C49&gt;=COLUMNS($A49:Q49), Source!$G49, "")</f>
        <v/>
      </c>
      <c r="R49" s="2" t="str">
        <f>IF(Source!$C49&gt;=COLUMNS($A49:R49), Source!$G49, "")</f>
        <v/>
      </c>
      <c r="S49" s="2" t="str">
        <f>IF(Source!$C49&gt;=COLUMNS($A49:S49), Source!$G49, "")</f>
        <v/>
      </c>
      <c r="T49" s="2" t="str">
        <f>IF(Source!$C49&gt;=COLUMNS($A49:T49), Source!$G49, "")</f>
        <v/>
      </c>
      <c r="U49" s="2" t="str">
        <f>IF(Source!$C49&gt;=COLUMNS($A49:U49), Source!$G49, "")</f>
        <v/>
      </c>
      <c r="V49" s="2" t="str">
        <f>IF(Source!$C49&gt;=COLUMNS($A49:V49), Source!$G49, "")</f>
        <v/>
      </c>
      <c r="W49" s="2" t="str">
        <f>IF(Source!$C49&gt;=COLUMNS($A49:W49), Source!$G49, "")</f>
        <v/>
      </c>
      <c r="X49" s="2" t="str">
        <f>IF(Source!$C49&gt;=COLUMNS($A49:X49), Source!$G49, "")</f>
        <v/>
      </c>
      <c r="Y49" s="2" t="str">
        <f>IF(Source!$C49&gt;=COLUMNS($A49:Y49), Source!$G49, "")</f>
        <v/>
      </c>
      <c r="Z49" s="2" t="str">
        <f>IF(Source!$C49&gt;=COLUMNS($A49:Z49), Source!$G49, "")</f>
        <v/>
      </c>
      <c r="AA49" s="2" t="str">
        <f>IF(Source!$C49&gt;=COLUMNS($A49:AA49), Source!$G49, "")</f>
        <v/>
      </c>
      <c r="AB49" s="2" t="str">
        <f>IF(Source!$C49&gt;=COLUMNS($A49:AB49), Source!$G49, "")</f>
        <v/>
      </c>
      <c r="AC49" s="2" t="str">
        <f>IF(Source!$C49&gt;=COLUMNS($A49:AC49), Source!$G49, "")</f>
        <v/>
      </c>
      <c r="AD49" s="2" t="str">
        <f>IF(Source!$C49&gt;=COLUMNS($A49:AD49), Source!$G49, "")</f>
        <v/>
      </c>
      <c r="AE49" s="2" t="str">
        <f>IF(Source!$C49&gt;=COLUMNS($A49:AE49), Source!$G49, "")</f>
        <v/>
      </c>
      <c r="AF49" s="2" t="str">
        <f>IF(Source!$C49&gt;=COLUMNS($A49:AF49), Source!$G49, "")</f>
        <v/>
      </c>
      <c r="AG49" s="2" t="str">
        <f>IF(Source!$C49&gt;=COLUMNS($A49:AG49), Source!$G49, "")</f>
        <v/>
      </c>
      <c r="AH49" s="2" t="str">
        <f>IF(Source!$C49&gt;=COLUMNS($A49:AH49), Source!$G49, "")</f>
        <v/>
      </c>
      <c r="AI49" s="2" t="str">
        <f>IF(Source!$C49&gt;=COLUMNS($A49:AI49), Source!$G49, "")</f>
        <v/>
      </c>
      <c r="AJ49" s="2" t="str">
        <f>IF(Source!$C49&gt;=COLUMNS($A49:AJ49), Source!$G49, "")</f>
        <v/>
      </c>
      <c r="AK49" s="2" t="str">
        <f>IF(Source!$C49&gt;=COLUMNS($A49:AK49), Source!$G49, "")</f>
        <v/>
      </c>
      <c r="AL49" s="2" t="str">
        <f>IF(Source!$C49&gt;=COLUMNS($A49:AL49), Source!$G49, "")</f>
        <v/>
      </c>
      <c r="AM49" s="2" t="str">
        <f>IF(Source!$C49&gt;=COLUMNS($A49:AM49), Source!$G49, "")</f>
        <v/>
      </c>
      <c r="AN49" s="2" t="str">
        <f>IF(Source!$C49&gt;=COLUMNS($A49:AN49), Source!$G49, "")</f>
        <v/>
      </c>
      <c r="AO49" s="2" t="str">
        <f>IF(Source!$C49&gt;=COLUMNS($A49:AO49), Source!$G49, "")</f>
        <v/>
      </c>
      <c r="AP49" s="2" t="str">
        <f>IF(Source!$C49&gt;=COLUMNS($A49:AP49), Source!$G49, "")</f>
        <v/>
      </c>
      <c r="AQ49" s="2" t="str">
        <f>IF(Source!$C49&gt;=COLUMNS($A49:AQ49), Source!$G49, "")</f>
        <v/>
      </c>
      <c r="AR49" s="2" t="str">
        <f>IF(Source!$C49&gt;=COLUMNS($A49:AR49), Source!$G49, "")</f>
        <v/>
      </c>
    </row>
    <row r="50">
      <c r="A50" s="2">
        <f>IF(Source!$C50&gt;=COLUMNS($A50:A50), Source!$G50, "")</f>
        <v>2</v>
      </c>
      <c r="B50" s="2">
        <f>IF(Source!$C50&gt;=COLUMNS($A50:B50), Source!$G50, "")</f>
        <v>2</v>
      </c>
      <c r="C50" s="2">
        <f>IF(Source!$C50&gt;=COLUMNS($A50:C50), Source!$G50, "")</f>
        <v>2</v>
      </c>
      <c r="D50" s="2">
        <f>IF(Source!$C50&gt;=COLUMNS($A50:D50), Source!$G50, "")</f>
        <v>2</v>
      </c>
      <c r="E50" s="2">
        <f>IF(Source!$C50&gt;=COLUMNS($A50:E50), Source!$G50, "")</f>
        <v>2</v>
      </c>
      <c r="F50" s="2" t="str">
        <f>IF(Source!$C50&gt;=COLUMNS($A50:F50), Source!$G50, "")</f>
        <v/>
      </c>
      <c r="G50" s="2" t="str">
        <f>IF(Source!$C50&gt;=COLUMNS($A50:G50), Source!$G50, "")</f>
        <v/>
      </c>
      <c r="H50" s="2" t="str">
        <f>IF(Source!$C50&gt;=COLUMNS($A50:H50), Source!$G50, "")</f>
        <v/>
      </c>
      <c r="I50" s="2" t="str">
        <f>IF(Source!$C50&gt;=COLUMNS($A50:I50), Source!$G50, "")</f>
        <v/>
      </c>
      <c r="J50" s="2" t="str">
        <f>IF(Source!$C50&gt;=COLUMNS($A50:J50), Source!$G50, "")</f>
        <v/>
      </c>
      <c r="K50" s="2" t="str">
        <f>IF(Source!$C50&gt;=COLUMNS($A50:K50), Source!$G50, "")</f>
        <v/>
      </c>
      <c r="L50" s="2" t="str">
        <f>IF(Source!$C50&gt;=COLUMNS($A50:L50), Source!$G50, "")</f>
        <v/>
      </c>
      <c r="M50" s="2" t="str">
        <f>IF(Source!$C50&gt;=COLUMNS($A50:M50), Source!$G50, "")</f>
        <v/>
      </c>
      <c r="N50" s="2" t="str">
        <f>IF(Source!$C50&gt;=COLUMNS($A50:N50), Source!$G50, "")</f>
        <v/>
      </c>
      <c r="O50" s="2" t="str">
        <f>IF(Source!$C50&gt;=COLUMNS($A50:O50), Source!$G50, "")</f>
        <v/>
      </c>
      <c r="P50" s="2" t="str">
        <f>IF(Source!$C50&gt;=COLUMNS($A50:P50), Source!$G50, "")</f>
        <v/>
      </c>
      <c r="Q50" s="2" t="str">
        <f>IF(Source!$C50&gt;=COLUMNS($A50:Q50), Source!$G50, "")</f>
        <v/>
      </c>
      <c r="R50" s="2" t="str">
        <f>IF(Source!$C50&gt;=COLUMNS($A50:R50), Source!$G50, "")</f>
        <v/>
      </c>
      <c r="S50" s="2" t="str">
        <f>IF(Source!$C50&gt;=COLUMNS($A50:S50), Source!$G50, "")</f>
        <v/>
      </c>
      <c r="T50" s="2" t="str">
        <f>IF(Source!$C50&gt;=COLUMNS($A50:T50), Source!$G50, "")</f>
        <v/>
      </c>
      <c r="U50" s="2" t="str">
        <f>IF(Source!$C50&gt;=COLUMNS($A50:U50), Source!$G50, "")</f>
        <v/>
      </c>
      <c r="V50" s="2" t="str">
        <f>IF(Source!$C50&gt;=COLUMNS($A50:V50), Source!$G50, "")</f>
        <v/>
      </c>
      <c r="W50" s="2" t="str">
        <f>IF(Source!$C50&gt;=COLUMNS($A50:W50), Source!$G50, "")</f>
        <v/>
      </c>
      <c r="X50" s="2" t="str">
        <f>IF(Source!$C50&gt;=COLUMNS($A50:X50), Source!$G50, "")</f>
        <v/>
      </c>
      <c r="Y50" s="2" t="str">
        <f>IF(Source!$C50&gt;=COLUMNS($A50:Y50), Source!$G50, "")</f>
        <v/>
      </c>
      <c r="Z50" s="2" t="str">
        <f>IF(Source!$C50&gt;=COLUMNS($A50:Z50), Source!$G50, "")</f>
        <v/>
      </c>
      <c r="AA50" s="2" t="str">
        <f>IF(Source!$C50&gt;=COLUMNS($A50:AA50), Source!$G50, "")</f>
        <v/>
      </c>
      <c r="AB50" s="2" t="str">
        <f>IF(Source!$C50&gt;=COLUMNS($A50:AB50), Source!$G50, "")</f>
        <v/>
      </c>
      <c r="AC50" s="2" t="str">
        <f>IF(Source!$C50&gt;=COLUMNS($A50:AC50), Source!$G50, "")</f>
        <v/>
      </c>
      <c r="AD50" s="2" t="str">
        <f>IF(Source!$C50&gt;=COLUMNS($A50:AD50), Source!$G50, "")</f>
        <v/>
      </c>
      <c r="AE50" s="2" t="str">
        <f>IF(Source!$C50&gt;=COLUMNS($A50:AE50), Source!$G50, "")</f>
        <v/>
      </c>
      <c r="AF50" s="2" t="str">
        <f>IF(Source!$C50&gt;=COLUMNS($A50:AF50), Source!$G50, "")</f>
        <v/>
      </c>
      <c r="AG50" s="2" t="str">
        <f>IF(Source!$C50&gt;=COLUMNS($A50:AG50), Source!$G50, "")</f>
        <v/>
      </c>
      <c r="AH50" s="2" t="str">
        <f>IF(Source!$C50&gt;=COLUMNS($A50:AH50), Source!$G50, "")</f>
        <v/>
      </c>
      <c r="AI50" s="2" t="str">
        <f>IF(Source!$C50&gt;=COLUMNS($A50:AI50), Source!$G50, "")</f>
        <v/>
      </c>
      <c r="AJ50" s="2" t="str">
        <f>IF(Source!$C50&gt;=COLUMNS($A50:AJ50), Source!$G50, "")</f>
        <v/>
      </c>
      <c r="AK50" s="2" t="str">
        <f>IF(Source!$C50&gt;=COLUMNS($A50:AK50), Source!$G50, "")</f>
        <v/>
      </c>
      <c r="AL50" s="2" t="str">
        <f>IF(Source!$C50&gt;=COLUMNS($A50:AL50), Source!$G50, "")</f>
        <v/>
      </c>
      <c r="AM50" s="2" t="str">
        <f>IF(Source!$C50&gt;=COLUMNS($A50:AM50), Source!$G50, "")</f>
        <v/>
      </c>
      <c r="AN50" s="2" t="str">
        <f>IF(Source!$C50&gt;=COLUMNS($A50:AN50), Source!$G50, "")</f>
        <v/>
      </c>
      <c r="AO50" s="2" t="str">
        <f>IF(Source!$C50&gt;=COLUMNS($A50:AO50), Source!$G50, "")</f>
        <v/>
      </c>
      <c r="AP50" s="2" t="str">
        <f>IF(Source!$C50&gt;=COLUMNS($A50:AP50), Source!$G50, "")</f>
        <v/>
      </c>
      <c r="AQ50" s="2" t="str">
        <f>IF(Source!$C50&gt;=COLUMNS($A50:AQ50), Source!$G50, "")</f>
        <v/>
      </c>
      <c r="AR50" s="2" t="str">
        <f>IF(Source!$C50&gt;=COLUMNS($A50:AR50), Source!$G50, "")</f>
        <v/>
      </c>
    </row>
    <row r="51">
      <c r="A51" s="2">
        <f>IF(Source!$C51&gt;=COLUMNS($A51:A51), Source!$G51, "")</f>
        <v>8</v>
      </c>
      <c r="B51" s="2">
        <f>IF(Source!$C51&gt;=COLUMNS($A51:B51), Source!$G51, "")</f>
        <v>8</v>
      </c>
      <c r="C51" s="2">
        <f>IF(Source!$C51&gt;=COLUMNS($A51:C51), Source!$G51, "")</f>
        <v>8</v>
      </c>
      <c r="D51" s="2">
        <f>IF(Source!$C51&gt;=COLUMNS($A51:D51), Source!$G51, "")</f>
        <v>8</v>
      </c>
      <c r="E51" s="2">
        <f>IF(Source!$C51&gt;=COLUMNS($A51:E51), Source!$G51, "")</f>
        <v>8</v>
      </c>
      <c r="F51" s="2">
        <f>IF(Source!$C51&gt;=COLUMNS($A51:F51), Source!$G51, "")</f>
        <v>8</v>
      </c>
      <c r="G51" s="2">
        <f>IF(Source!$C51&gt;=COLUMNS($A51:G51), Source!$G51, "")</f>
        <v>8</v>
      </c>
      <c r="H51" s="2">
        <f>IF(Source!$C51&gt;=COLUMNS($A51:H51), Source!$G51, "")</f>
        <v>8</v>
      </c>
      <c r="I51" s="2">
        <f>IF(Source!$C51&gt;=COLUMNS($A51:I51), Source!$G51, "")</f>
        <v>8</v>
      </c>
      <c r="J51" s="2">
        <f>IF(Source!$C51&gt;=COLUMNS($A51:J51), Source!$G51, "")</f>
        <v>8</v>
      </c>
      <c r="K51" s="2" t="str">
        <f>IF(Source!$C51&gt;=COLUMNS($A51:K51), Source!$G51, "")</f>
        <v/>
      </c>
      <c r="L51" s="2" t="str">
        <f>IF(Source!$C51&gt;=COLUMNS($A51:L51), Source!$G51, "")</f>
        <v/>
      </c>
      <c r="M51" s="2" t="str">
        <f>IF(Source!$C51&gt;=COLUMNS($A51:M51), Source!$G51, "")</f>
        <v/>
      </c>
      <c r="N51" s="2" t="str">
        <f>IF(Source!$C51&gt;=COLUMNS($A51:N51), Source!$G51, "")</f>
        <v/>
      </c>
      <c r="O51" s="2" t="str">
        <f>IF(Source!$C51&gt;=COLUMNS($A51:O51), Source!$G51, "")</f>
        <v/>
      </c>
      <c r="P51" s="2" t="str">
        <f>IF(Source!$C51&gt;=COLUMNS($A51:P51), Source!$G51, "")</f>
        <v/>
      </c>
      <c r="Q51" s="2" t="str">
        <f>IF(Source!$C51&gt;=COLUMNS($A51:Q51), Source!$G51, "")</f>
        <v/>
      </c>
      <c r="R51" s="2" t="str">
        <f>IF(Source!$C51&gt;=COLUMNS($A51:R51), Source!$G51, "")</f>
        <v/>
      </c>
      <c r="S51" s="2" t="str">
        <f>IF(Source!$C51&gt;=COLUMNS($A51:S51), Source!$G51, "")</f>
        <v/>
      </c>
      <c r="T51" s="2" t="str">
        <f>IF(Source!$C51&gt;=COLUMNS($A51:T51), Source!$G51, "")</f>
        <v/>
      </c>
      <c r="U51" s="2" t="str">
        <f>IF(Source!$C51&gt;=COLUMNS($A51:U51), Source!$G51, "")</f>
        <v/>
      </c>
      <c r="V51" s="2" t="str">
        <f>IF(Source!$C51&gt;=COLUMNS($A51:V51), Source!$G51, "")</f>
        <v/>
      </c>
      <c r="W51" s="2" t="str">
        <f>IF(Source!$C51&gt;=COLUMNS($A51:W51), Source!$G51, "")</f>
        <v/>
      </c>
      <c r="X51" s="2" t="str">
        <f>IF(Source!$C51&gt;=COLUMNS($A51:X51), Source!$G51, "")</f>
        <v/>
      </c>
      <c r="Y51" s="2" t="str">
        <f>IF(Source!$C51&gt;=COLUMNS($A51:Y51), Source!$G51, "")</f>
        <v/>
      </c>
      <c r="Z51" s="2" t="str">
        <f>IF(Source!$C51&gt;=COLUMNS($A51:Z51), Source!$G51, "")</f>
        <v/>
      </c>
      <c r="AA51" s="2" t="str">
        <f>IF(Source!$C51&gt;=COLUMNS($A51:AA51), Source!$G51, "")</f>
        <v/>
      </c>
      <c r="AB51" s="2" t="str">
        <f>IF(Source!$C51&gt;=COLUMNS($A51:AB51), Source!$G51, "")</f>
        <v/>
      </c>
      <c r="AC51" s="2" t="str">
        <f>IF(Source!$C51&gt;=COLUMNS($A51:AC51), Source!$G51, "")</f>
        <v/>
      </c>
      <c r="AD51" s="2" t="str">
        <f>IF(Source!$C51&gt;=COLUMNS($A51:AD51), Source!$G51, "")</f>
        <v/>
      </c>
      <c r="AE51" s="2" t="str">
        <f>IF(Source!$C51&gt;=COLUMNS($A51:AE51), Source!$G51, "")</f>
        <v/>
      </c>
      <c r="AF51" s="2" t="str">
        <f>IF(Source!$C51&gt;=COLUMNS($A51:AF51), Source!$G51, "")</f>
        <v/>
      </c>
      <c r="AG51" s="2" t="str">
        <f>IF(Source!$C51&gt;=COLUMNS($A51:AG51), Source!$G51, "")</f>
        <v/>
      </c>
      <c r="AH51" s="2" t="str">
        <f>IF(Source!$C51&gt;=COLUMNS($A51:AH51), Source!$G51, "")</f>
        <v/>
      </c>
      <c r="AI51" s="2" t="str">
        <f>IF(Source!$C51&gt;=COLUMNS($A51:AI51), Source!$G51, "")</f>
        <v/>
      </c>
      <c r="AJ51" s="2" t="str">
        <f>IF(Source!$C51&gt;=COLUMNS($A51:AJ51), Source!$G51, "")</f>
        <v/>
      </c>
      <c r="AK51" s="2" t="str">
        <f>IF(Source!$C51&gt;=COLUMNS($A51:AK51), Source!$G51, "")</f>
        <v/>
      </c>
      <c r="AL51" s="2" t="str">
        <f>IF(Source!$C51&gt;=COLUMNS($A51:AL51), Source!$G51, "")</f>
        <v/>
      </c>
      <c r="AM51" s="2" t="str">
        <f>IF(Source!$C51&gt;=COLUMNS($A51:AM51), Source!$G51, "")</f>
        <v/>
      </c>
      <c r="AN51" s="2" t="str">
        <f>IF(Source!$C51&gt;=COLUMNS($A51:AN51), Source!$G51, "")</f>
        <v/>
      </c>
      <c r="AO51" s="2" t="str">
        <f>IF(Source!$C51&gt;=COLUMNS($A51:AO51), Source!$G51, "")</f>
        <v/>
      </c>
      <c r="AP51" s="2" t="str">
        <f>IF(Source!$C51&gt;=COLUMNS($A51:AP51), Source!$G51, "")</f>
        <v/>
      </c>
      <c r="AQ51" s="2" t="str">
        <f>IF(Source!$C51&gt;=COLUMNS($A51:AQ51), Source!$G51, "")</f>
        <v/>
      </c>
      <c r="AR51" s="2" t="str">
        <f>IF(Source!$C51&gt;=COLUMNS($A51:AR51), Source!$G51, "")</f>
        <v/>
      </c>
    </row>
    <row r="52">
      <c r="A52" s="2">
        <f>IF(Source!$C52&gt;=COLUMNS($A52:A52), Source!$G52, "")</f>
        <v>3</v>
      </c>
      <c r="B52" s="2">
        <f>IF(Source!$C52&gt;=COLUMNS($A52:B52), Source!$G52, "")</f>
        <v>3</v>
      </c>
      <c r="C52" s="2" t="str">
        <f>IF(Source!$C52&gt;=COLUMNS($A52:C52), Source!$G52, "")</f>
        <v/>
      </c>
      <c r="D52" s="2" t="str">
        <f>IF(Source!$C52&gt;=COLUMNS($A52:D52), Source!$G52, "")</f>
        <v/>
      </c>
      <c r="E52" s="2" t="str">
        <f>IF(Source!$C52&gt;=COLUMNS($A52:E52), Source!$G52, "")</f>
        <v/>
      </c>
      <c r="F52" s="2" t="str">
        <f>IF(Source!$C52&gt;=COLUMNS($A52:F52), Source!$G52, "")</f>
        <v/>
      </c>
      <c r="G52" s="2" t="str">
        <f>IF(Source!$C52&gt;=COLUMNS($A52:G52), Source!$G52, "")</f>
        <v/>
      </c>
      <c r="H52" s="2" t="str">
        <f>IF(Source!$C52&gt;=COLUMNS($A52:H52), Source!$G52, "")</f>
        <v/>
      </c>
      <c r="I52" s="2" t="str">
        <f>IF(Source!$C52&gt;=COLUMNS($A52:I52), Source!$G52, "")</f>
        <v/>
      </c>
      <c r="J52" s="2" t="str">
        <f>IF(Source!$C52&gt;=COLUMNS($A52:J52), Source!$G52, "")</f>
        <v/>
      </c>
      <c r="K52" s="2" t="str">
        <f>IF(Source!$C52&gt;=COLUMNS($A52:K52), Source!$G52, "")</f>
        <v/>
      </c>
      <c r="L52" s="2" t="str">
        <f>IF(Source!$C52&gt;=COLUMNS($A52:L52), Source!$G52, "")</f>
        <v/>
      </c>
      <c r="M52" s="2" t="str">
        <f>IF(Source!$C52&gt;=COLUMNS($A52:M52), Source!$G52, "")</f>
        <v/>
      </c>
      <c r="N52" s="2" t="str">
        <f>IF(Source!$C52&gt;=COLUMNS($A52:N52), Source!$G52, "")</f>
        <v/>
      </c>
      <c r="O52" s="2" t="str">
        <f>IF(Source!$C52&gt;=COLUMNS($A52:O52), Source!$G52, "")</f>
        <v/>
      </c>
      <c r="P52" s="2" t="str">
        <f>IF(Source!$C52&gt;=COLUMNS($A52:P52), Source!$G52, "")</f>
        <v/>
      </c>
      <c r="Q52" s="2" t="str">
        <f>IF(Source!$C52&gt;=COLUMNS($A52:Q52), Source!$G52, "")</f>
        <v/>
      </c>
      <c r="R52" s="2" t="str">
        <f>IF(Source!$C52&gt;=COLUMNS($A52:R52), Source!$G52, "")</f>
        <v/>
      </c>
      <c r="S52" s="2" t="str">
        <f>IF(Source!$C52&gt;=COLUMNS($A52:S52), Source!$G52, "")</f>
        <v/>
      </c>
      <c r="T52" s="2" t="str">
        <f>IF(Source!$C52&gt;=COLUMNS($A52:T52), Source!$G52, "")</f>
        <v/>
      </c>
      <c r="U52" s="2" t="str">
        <f>IF(Source!$C52&gt;=COLUMNS($A52:U52), Source!$G52, "")</f>
        <v/>
      </c>
      <c r="V52" s="2" t="str">
        <f>IF(Source!$C52&gt;=COLUMNS($A52:V52), Source!$G52, "")</f>
        <v/>
      </c>
      <c r="W52" s="2" t="str">
        <f>IF(Source!$C52&gt;=COLUMNS($A52:W52), Source!$G52, "")</f>
        <v/>
      </c>
      <c r="X52" s="2" t="str">
        <f>IF(Source!$C52&gt;=COLUMNS($A52:X52), Source!$G52, "")</f>
        <v/>
      </c>
      <c r="Y52" s="2" t="str">
        <f>IF(Source!$C52&gt;=COLUMNS($A52:Y52), Source!$G52, "")</f>
        <v/>
      </c>
      <c r="Z52" s="2" t="str">
        <f>IF(Source!$C52&gt;=COLUMNS($A52:Z52), Source!$G52, "")</f>
        <v/>
      </c>
      <c r="AA52" s="2" t="str">
        <f>IF(Source!$C52&gt;=COLUMNS($A52:AA52), Source!$G52, "")</f>
        <v/>
      </c>
      <c r="AB52" s="2" t="str">
        <f>IF(Source!$C52&gt;=COLUMNS($A52:AB52), Source!$G52, "")</f>
        <v/>
      </c>
      <c r="AC52" s="2" t="str">
        <f>IF(Source!$C52&gt;=COLUMNS($A52:AC52), Source!$G52, "")</f>
        <v/>
      </c>
      <c r="AD52" s="2" t="str">
        <f>IF(Source!$C52&gt;=COLUMNS($A52:AD52), Source!$G52, "")</f>
        <v/>
      </c>
      <c r="AE52" s="2" t="str">
        <f>IF(Source!$C52&gt;=COLUMNS($A52:AE52), Source!$G52, "")</f>
        <v/>
      </c>
      <c r="AF52" s="2" t="str">
        <f>IF(Source!$C52&gt;=COLUMNS($A52:AF52), Source!$G52, "")</f>
        <v/>
      </c>
      <c r="AG52" s="2" t="str">
        <f>IF(Source!$C52&gt;=COLUMNS($A52:AG52), Source!$G52, "")</f>
        <v/>
      </c>
      <c r="AH52" s="2" t="str">
        <f>IF(Source!$C52&gt;=COLUMNS($A52:AH52), Source!$G52, "")</f>
        <v/>
      </c>
      <c r="AI52" s="2" t="str">
        <f>IF(Source!$C52&gt;=COLUMNS($A52:AI52), Source!$G52, "")</f>
        <v/>
      </c>
      <c r="AJ52" s="2" t="str">
        <f>IF(Source!$C52&gt;=COLUMNS($A52:AJ52), Source!$G52, "")</f>
        <v/>
      </c>
      <c r="AK52" s="2" t="str">
        <f>IF(Source!$C52&gt;=COLUMNS($A52:AK52), Source!$G52, "")</f>
        <v/>
      </c>
      <c r="AL52" s="2" t="str">
        <f>IF(Source!$C52&gt;=COLUMNS($A52:AL52), Source!$G52, "")</f>
        <v/>
      </c>
      <c r="AM52" s="2" t="str">
        <f>IF(Source!$C52&gt;=COLUMNS($A52:AM52), Source!$G52, "")</f>
        <v/>
      </c>
      <c r="AN52" s="2" t="str">
        <f>IF(Source!$C52&gt;=COLUMNS($A52:AN52), Source!$G52, "")</f>
        <v/>
      </c>
      <c r="AO52" s="2" t="str">
        <f>IF(Source!$C52&gt;=COLUMNS($A52:AO52), Source!$G52, "")</f>
        <v/>
      </c>
      <c r="AP52" s="2" t="str">
        <f>IF(Source!$C52&gt;=COLUMNS($A52:AP52), Source!$G52, "")</f>
        <v/>
      </c>
      <c r="AQ52" s="2" t="str">
        <f>IF(Source!$C52&gt;=COLUMNS($A52:AQ52), Source!$G52, "")</f>
        <v/>
      </c>
      <c r="AR52" s="2" t="str">
        <f>IF(Source!$C52&gt;=COLUMNS($A52:AR52), Source!$G52, "")</f>
        <v/>
      </c>
    </row>
    <row r="53">
      <c r="A53" s="2">
        <f>IF(Source!$C53&gt;=COLUMNS($A53:A53), Source!$G53, "")</f>
        <v>7</v>
      </c>
      <c r="B53" s="2">
        <f>IF(Source!$C53&gt;=COLUMNS($A53:B53), Source!$G53, "")</f>
        <v>7</v>
      </c>
      <c r="C53" s="2">
        <f>IF(Source!$C53&gt;=COLUMNS($A53:C53), Source!$G53, "")</f>
        <v>7</v>
      </c>
      <c r="D53" s="2">
        <f>IF(Source!$C53&gt;=COLUMNS($A53:D53), Source!$G53, "")</f>
        <v>7</v>
      </c>
      <c r="E53" s="2">
        <f>IF(Source!$C53&gt;=COLUMNS($A53:E53), Source!$G53, "")</f>
        <v>7</v>
      </c>
      <c r="F53" s="2">
        <f>IF(Source!$C53&gt;=COLUMNS($A53:F53), Source!$G53, "")</f>
        <v>7</v>
      </c>
      <c r="G53" s="2">
        <f>IF(Source!$C53&gt;=COLUMNS($A53:G53), Source!$G53, "")</f>
        <v>7</v>
      </c>
      <c r="H53" s="2">
        <f>IF(Source!$C53&gt;=COLUMNS($A53:H53), Source!$G53, "")</f>
        <v>7</v>
      </c>
      <c r="I53" s="2" t="str">
        <f>IF(Source!$C53&gt;=COLUMNS($A53:I53), Source!$G53, "")</f>
        <v/>
      </c>
      <c r="J53" s="2" t="str">
        <f>IF(Source!$C53&gt;=COLUMNS($A53:J53), Source!$G53, "")</f>
        <v/>
      </c>
      <c r="K53" s="2" t="str">
        <f>IF(Source!$C53&gt;=COLUMNS($A53:K53), Source!$G53, "")</f>
        <v/>
      </c>
      <c r="L53" s="2" t="str">
        <f>IF(Source!$C53&gt;=COLUMNS($A53:L53), Source!$G53, "")</f>
        <v/>
      </c>
      <c r="M53" s="2" t="str">
        <f>IF(Source!$C53&gt;=COLUMNS($A53:M53), Source!$G53, "")</f>
        <v/>
      </c>
      <c r="N53" s="2" t="str">
        <f>IF(Source!$C53&gt;=COLUMNS($A53:N53), Source!$G53, "")</f>
        <v/>
      </c>
      <c r="O53" s="2" t="str">
        <f>IF(Source!$C53&gt;=COLUMNS($A53:O53), Source!$G53, "")</f>
        <v/>
      </c>
      <c r="P53" s="2" t="str">
        <f>IF(Source!$C53&gt;=COLUMNS($A53:P53), Source!$G53, "")</f>
        <v/>
      </c>
      <c r="Q53" s="2" t="str">
        <f>IF(Source!$C53&gt;=COLUMNS($A53:Q53), Source!$G53, "")</f>
        <v/>
      </c>
      <c r="R53" s="2" t="str">
        <f>IF(Source!$C53&gt;=COLUMNS($A53:R53), Source!$G53, "")</f>
        <v/>
      </c>
      <c r="S53" s="2" t="str">
        <f>IF(Source!$C53&gt;=COLUMNS($A53:S53), Source!$G53, "")</f>
        <v/>
      </c>
      <c r="T53" s="2" t="str">
        <f>IF(Source!$C53&gt;=COLUMNS($A53:T53), Source!$G53, "")</f>
        <v/>
      </c>
      <c r="U53" s="2" t="str">
        <f>IF(Source!$C53&gt;=COLUMNS($A53:U53), Source!$G53, "")</f>
        <v/>
      </c>
      <c r="V53" s="2" t="str">
        <f>IF(Source!$C53&gt;=COLUMNS($A53:V53), Source!$G53, "")</f>
        <v/>
      </c>
      <c r="W53" s="2" t="str">
        <f>IF(Source!$C53&gt;=COLUMNS($A53:W53), Source!$G53, "")</f>
        <v/>
      </c>
      <c r="X53" s="2" t="str">
        <f>IF(Source!$C53&gt;=COLUMNS($A53:X53), Source!$G53, "")</f>
        <v/>
      </c>
      <c r="Y53" s="2" t="str">
        <f>IF(Source!$C53&gt;=COLUMNS($A53:Y53), Source!$G53, "")</f>
        <v/>
      </c>
      <c r="Z53" s="2" t="str">
        <f>IF(Source!$C53&gt;=COLUMNS($A53:Z53), Source!$G53, "")</f>
        <v/>
      </c>
      <c r="AA53" s="2" t="str">
        <f>IF(Source!$C53&gt;=COLUMNS($A53:AA53), Source!$G53, "")</f>
        <v/>
      </c>
      <c r="AB53" s="2" t="str">
        <f>IF(Source!$C53&gt;=COLUMNS($A53:AB53), Source!$G53, "")</f>
        <v/>
      </c>
      <c r="AC53" s="2" t="str">
        <f>IF(Source!$C53&gt;=COLUMNS($A53:AC53), Source!$G53, "")</f>
        <v/>
      </c>
      <c r="AD53" s="2" t="str">
        <f>IF(Source!$C53&gt;=COLUMNS($A53:AD53), Source!$G53, "")</f>
        <v/>
      </c>
      <c r="AE53" s="2" t="str">
        <f>IF(Source!$C53&gt;=COLUMNS($A53:AE53), Source!$G53, "")</f>
        <v/>
      </c>
      <c r="AF53" s="2" t="str">
        <f>IF(Source!$C53&gt;=COLUMNS($A53:AF53), Source!$G53, "")</f>
        <v/>
      </c>
      <c r="AG53" s="2" t="str">
        <f>IF(Source!$C53&gt;=COLUMNS($A53:AG53), Source!$G53, "")</f>
        <v/>
      </c>
      <c r="AH53" s="2" t="str">
        <f>IF(Source!$C53&gt;=COLUMNS($A53:AH53), Source!$G53, "")</f>
        <v/>
      </c>
      <c r="AI53" s="2" t="str">
        <f>IF(Source!$C53&gt;=COLUMNS($A53:AI53), Source!$G53, "")</f>
        <v/>
      </c>
      <c r="AJ53" s="2" t="str">
        <f>IF(Source!$C53&gt;=COLUMNS($A53:AJ53), Source!$G53, "")</f>
        <v/>
      </c>
      <c r="AK53" s="2" t="str">
        <f>IF(Source!$C53&gt;=COLUMNS($A53:AK53), Source!$G53, "")</f>
        <v/>
      </c>
      <c r="AL53" s="2" t="str">
        <f>IF(Source!$C53&gt;=COLUMNS($A53:AL53), Source!$G53, "")</f>
        <v/>
      </c>
      <c r="AM53" s="2" t="str">
        <f>IF(Source!$C53&gt;=COLUMNS($A53:AM53), Source!$G53, "")</f>
        <v/>
      </c>
      <c r="AN53" s="2" t="str">
        <f>IF(Source!$C53&gt;=COLUMNS($A53:AN53), Source!$G53, "")</f>
        <v/>
      </c>
      <c r="AO53" s="2" t="str">
        <f>IF(Source!$C53&gt;=COLUMNS($A53:AO53), Source!$G53, "")</f>
        <v/>
      </c>
      <c r="AP53" s="2" t="str">
        <f>IF(Source!$C53&gt;=COLUMNS($A53:AP53), Source!$G53, "")</f>
        <v/>
      </c>
      <c r="AQ53" s="2" t="str">
        <f>IF(Source!$C53&gt;=COLUMNS($A53:AQ53), Source!$G53, "")</f>
        <v/>
      </c>
      <c r="AR53" s="2" t="str">
        <f>IF(Source!$C53&gt;=COLUMNS($A53:AR53), Source!$G53, "")</f>
        <v/>
      </c>
    </row>
    <row r="54">
      <c r="A54" s="2">
        <f>IF(Source!$C54&gt;=COLUMNS($A54:A54), Source!$G54, "")</f>
        <v>8</v>
      </c>
      <c r="B54" s="2">
        <f>IF(Source!$C54&gt;=COLUMNS($A54:B54), Source!$G54, "")</f>
        <v>8</v>
      </c>
      <c r="C54" s="2">
        <f>IF(Source!$C54&gt;=COLUMNS($A54:C54), Source!$G54, "")</f>
        <v>8</v>
      </c>
      <c r="D54" s="2">
        <f>IF(Source!$C54&gt;=COLUMNS($A54:D54), Source!$G54, "")</f>
        <v>8</v>
      </c>
      <c r="E54" s="2">
        <f>IF(Source!$C54&gt;=COLUMNS($A54:E54), Source!$G54, "")</f>
        <v>8</v>
      </c>
      <c r="F54" s="2">
        <f>IF(Source!$C54&gt;=COLUMNS($A54:F54), Source!$G54, "")</f>
        <v>8</v>
      </c>
      <c r="G54" s="2">
        <f>IF(Source!$C54&gt;=COLUMNS($A54:G54), Source!$G54, "")</f>
        <v>8</v>
      </c>
      <c r="H54" s="2">
        <f>IF(Source!$C54&gt;=COLUMNS($A54:H54), Source!$G54, "")</f>
        <v>8</v>
      </c>
      <c r="I54" s="2">
        <f>IF(Source!$C54&gt;=COLUMNS($A54:I54), Source!$G54, "")</f>
        <v>8</v>
      </c>
      <c r="J54" s="2" t="str">
        <f>IF(Source!$C54&gt;=COLUMNS($A54:J54), Source!$G54, "")</f>
        <v/>
      </c>
      <c r="K54" s="2" t="str">
        <f>IF(Source!$C54&gt;=COLUMNS($A54:K54), Source!$G54, "")</f>
        <v/>
      </c>
      <c r="L54" s="2" t="str">
        <f>IF(Source!$C54&gt;=COLUMNS($A54:L54), Source!$G54, "")</f>
        <v/>
      </c>
      <c r="M54" s="2" t="str">
        <f>IF(Source!$C54&gt;=COLUMNS($A54:M54), Source!$G54, "")</f>
        <v/>
      </c>
      <c r="N54" s="2" t="str">
        <f>IF(Source!$C54&gt;=COLUMNS($A54:N54), Source!$G54, "")</f>
        <v/>
      </c>
      <c r="O54" s="2" t="str">
        <f>IF(Source!$C54&gt;=COLUMNS($A54:O54), Source!$G54, "")</f>
        <v/>
      </c>
      <c r="P54" s="2" t="str">
        <f>IF(Source!$C54&gt;=COLUMNS($A54:P54), Source!$G54, "")</f>
        <v/>
      </c>
      <c r="Q54" s="2" t="str">
        <f>IF(Source!$C54&gt;=COLUMNS($A54:Q54), Source!$G54, "")</f>
        <v/>
      </c>
      <c r="R54" s="2" t="str">
        <f>IF(Source!$C54&gt;=COLUMNS($A54:R54), Source!$G54, "")</f>
        <v/>
      </c>
      <c r="S54" s="2" t="str">
        <f>IF(Source!$C54&gt;=COLUMNS($A54:S54), Source!$G54, "")</f>
        <v/>
      </c>
      <c r="T54" s="2" t="str">
        <f>IF(Source!$C54&gt;=COLUMNS($A54:T54), Source!$G54, "")</f>
        <v/>
      </c>
      <c r="U54" s="2" t="str">
        <f>IF(Source!$C54&gt;=COLUMNS($A54:U54), Source!$G54, "")</f>
        <v/>
      </c>
      <c r="V54" s="2" t="str">
        <f>IF(Source!$C54&gt;=COLUMNS($A54:V54), Source!$G54, "")</f>
        <v/>
      </c>
      <c r="W54" s="2" t="str">
        <f>IF(Source!$C54&gt;=COLUMNS($A54:W54), Source!$G54, "")</f>
        <v/>
      </c>
      <c r="X54" s="2" t="str">
        <f>IF(Source!$C54&gt;=COLUMNS($A54:X54), Source!$G54, "")</f>
        <v/>
      </c>
      <c r="Y54" s="2" t="str">
        <f>IF(Source!$C54&gt;=COLUMNS($A54:Y54), Source!$G54, "")</f>
        <v/>
      </c>
      <c r="Z54" s="2" t="str">
        <f>IF(Source!$C54&gt;=COLUMNS($A54:Z54), Source!$G54, "")</f>
        <v/>
      </c>
      <c r="AA54" s="2" t="str">
        <f>IF(Source!$C54&gt;=COLUMNS($A54:AA54), Source!$G54, "")</f>
        <v/>
      </c>
      <c r="AB54" s="2" t="str">
        <f>IF(Source!$C54&gt;=COLUMNS($A54:AB54), Source!$G54, "")</f>
        <v/>
      </c>
      <c r="AC54" s="2" t="str">
        <f>IF(Source!$C54&gt;=COLUMNS($A54:AC54), Source!$G54, "")</f>
        <v/>
      </c>
      <c r="AD54" s="2" t="str">
        <f>IF(Source!$C54&gt;=COLUMNS($A54:AD54), Source!$G54, "")</f>
        <v/>
      </c>
      <c r="AE54" s="2" t="str">
        <f>IF(Source!$C54&gt;=COLUMNS($A54:AE54), Source!$G54, "")</f>
        <v/>
      </c>
      <c r="AF54" s="2" t="str">
        <f>IF(Source!$C54&gt;=COLUMNS($A54:AF54), Source!$G54, "")</f>
        <v/>
      </c>
      <c r="AG54" s="2" t="str">
        <f>IF(Source!$C54&gt;=COLUMNS($A54:AG54), Source!$G54, "")</f>
        <v/>
      </c>
      <c r="AH54" s="2" t="str">
        <f>IF(Source!$C54&gt;=COLUMNS($A54:AH54), Source!$G54, "")</f>
        <v/>
      </c>
      <c r="AI54" s="2" t="str">
        <f>IF(Source!$C54&gt;=COLUMNS($A54:AI54), Source!$G54, "")</f>
        <v/>
      </c>
      <c r="AJ54" s="2" t="str">
        <f>IF(Source!$C54&gt;=COLUMNS($A54:AJ54), Source!$G54, "")</f>
        <v/>
      </c>
      <c r="AK54" s="2" t="str">
        <f>IF(Source!$C54&gt;=COLUMNS($A54:AK54), Source!$G54, "")</f>
        <v/>
      </c>
      <c r="AL54" s="2" t="str">
        <f>IF(Source!$C54&gt;=COLUMNS($A54:AL54), Source!$G54, "")</f>
        <v/>
      </c>
      <c r="AM54" s="2" t="str">
        <f>IF(Source!$C54&gt;=COLUMNS($A54:AM54), Source!$G54, "")</f>
        <v/>
      </c>
      <c r="AN54" s="2" t="str">
        <f>IF(Source!$C54&gt;=COLUMNS($A54:AN54), Source!$G54, "")</f>
        <v/>
      </c>
      <c r="AO54" s="2" t="str">
        <f>IF(Source!$C54&gt;=COLUMNS($A54:AO54), Source!$G54, "")</f>
        <v/>
      </c>
      <c r="AP54" s="2" t="str">
        <f>IF(Source!$C54&gt;=COLUMNS($A54:AP54), Source!$G54, "")</f>
        <v/>
      </c>
      <c r="AQ54" s="2" t="str">
        <f>IF(Source!$C54&gt;=COLUMNS($A54:AQ54), Source!$G54, "")</f>
        <v/>
      </c>
      <c r="AR54" s="2" t="str">
        <f>IF(Source!$C54&gt;=COLUMNS($A54:AR54), Source!$G54, "")</f>
        <v/>
      </c>
    </row>
    <row r="55">
      <c r="A55" s="2">
        <f>IF(Source!$C55&gt;=COLUMNS($A55:A55), Source!$G55, "")</f>
        <v>2</v>
      </c>
      <c r="B55" s="2" t="str">
        <f>IF(Source!$C55&gt;=COLUMNS($A55:B55), Source!$G55, "")</f>
        <v/>
      </c>
      <c r="C55" s="2" t="str">
        <f>IF(Source!$C55&gt;=COLUMNS($A55:C55), Source!$G55, "")</f>
        <v/>
      </c>
      <c r="D55" s="2" t="str">
        <f>IF(Source!$C55&gt;=COLUMNS($A55:D55), Source!$G55, "")</f>
        <v/>
      </c>
      <c r="E55" s="2" t="str">
        <f>IF(Source!$C55&gt;=COLUMNS($A55:E55), Source!$G55, "")</f>
        <v/>
      </c>
      <c r="F55" s="2" t="str">
        <f>IF(Source!$C55&gt;=COLUMNS($A55:F55), Source!$G55, "")</f>
        <v/>
      </c>
      <c r="G55" s="2" t="str">
        <f>IF(Source!$C55&gt;=COLUMNS($A55:G55), Source!$G55, "")</f>
        <v/>
      </c>
      <c r="H55" s="2" t="str">
        <f>IF(Source!$C55&gt;=COLUMNS($A55:H55), Source!$G55, "")</f>
        <v/>
      </c>
      <c r="I55" s="2" t="str">
        <f>IF(Source!$C55&gt;=COLUMNS($A55:I55), Source!$G55, "")</f>
        <v/>
      </c>
      <c r="J55" s="2" t="str">
        <f>IF(Source!$C55&gt;=COLUMNS($A55:J55), Source!$G55, "")</f>
        <v/>
      </c>
      <c r="K55" s="2" t="str">
        <f>IF(Source!$C55&gt;=COLUMNS($A55:K55), Source!$G55, "")</f>
        <v/>
      </c>
      <c r="L55" s="2" t="str">
        <f>IF(Source!$C55&gt;=COLUMNS($A55:L55), Source!$G55, "")</f>
        <v/>
      </c>
      <c r="M55" s="2" t="str">
        <f>IF(Source!$C55&gt;=COLUMNS($A55:M55), Source!$G55, "")</f>
        <v/>
      </c>
      <c r="N55" s="2" t="str">
        <f>IF(Source!$C55&gt;=COLUMNS($A55:N55), Source!$G55, "")</f>
        <v/>
      </c>
      <c r="O55" s="2" t="str">
        <f>IF(Source!$C55&gt;=COLUMNS($A55:O55), Source!$G55, "")</f>
        <v/>
      </c>
      <c r="P55" s="2" t="str">
        <f>IF(Source!$C55&gt;=COLUMNS($A55:P55), Source!$G55, "")</f>
        <v/>
      </c>
      <c r="Q55" s="2" t="str">
        <f>IF(Source!$C55&gt;=COLUMNS($A55:Q55), Source!$G55, "")</f>
        <v/>
      </c>
      <c r="R55" s="2" t="str">
        <f>IF(Source!$C55&gt;=COLUMNS($A55:R55), Source!$G55, "")</f>
        <v/>
      </c>
      <c r="S55" s="2" t="str">
        <f>IF(Source!$C55&gt;=COLUMNS($A55:S55), Source!$G55, "")</f>
        <v/>
      </c>
      <c r="T55" s="2" t="str">
        <f>IF(Source!$C55&gt;=COLUMNS($A55:T55), Source!$G55, "")</f>
        <v/>
      </c>
      <c r="U55" s="2" t="str">
        <f>IF(Source!$C55&gt;=COLUMNS($A55:U55), Source!$G55, "")</f>
        <v/>
      </c>
      <c r="V55" s="2" t="str">
        <f>IF(Source!$C55&gt;=COLUMNS($A55:V55), Source!$G55, "")</f>
        <v/>
      </c>
      <c r="W55" s="2" t="str">
        <f>IF(Source!$C55&gt;=COLUMNS($A55:W55), Source!$G55, "")</f>
        <v/>
      </c>
      <c r="X55" s="2" t="str">
        <f>IF(Source!$C55&gt;=COLUMNS($A55:X55), Source!$G55, "")</f>
        <v/>
      </c>
      <c r="Y55" s="2" t="str">
        <f>IF(Source!$C55&gt;=COLUMNS($A55:Y55), Source!$G55, "")</f>
        <v/>
      </c>
      <c r="Z55" s="2" t="str">
        <f>IF(Source!$C55&gt;=COLUMNS($A55:Z55), Source!$G55, "")</f>
        <v/>
      </c>
      <c r="AA55" s="2" t="str">
        <f>IF(Source!$C55&gt;=COLUMNS($A55:AA55), Source!$G55, "")</f>
        <v/>
      </c>
      <c r="AB55" s="2" t="str">
        <f>IF(Source!$C55&gt;=COLUMNS($A55:AB55), Source!$G55, "")</f>
        <v/>
      </c>
      <c r="AC55" s="2" t="str">
        <f>IF(Source!$C55&gt;=COLUMNS($A55:AC55), Source!$G55, "")</f>
        <v/>
      </c>
      <c r="AD55" s="2" t="str">
        <f>IF(Source!$C55&gt;=COLUMNS($A55:AD55), Source!$G55, "")</f>
        <v/>
      </c>
      <c r="AE55" s="2" t="str">
        <f>IF(Source!$C55&gt;=COLUMNS($A55:AE55), Source!$G55, "")</f>
        <v/>
      </c>
      <c r="AF55" s="2" t="str">
        <f>IF(Source!$C55&gt;=COLUMNS($A55:AF55), Source!$G55, "")</f>
        <v/>
      </c>
      <c r="AG55" s="2" t="str">
        <f>IF(Source!$C55&gt;=COLUMNS($A55:AG55), Source!$G55, "")</f>
        <v/>
      </c>
      <c r="AH55" s="2" t="str">
        <f>IF(Source!$C55&gt;=COLUMNS($A55:AH55), Source!$G55, "")</f>
        <v/>
      </c>
      <c r="AI55" s="2" t="str">
        <f>IF(Source!$C55&gt;=COLUMNS($A55:AI55), Source!$G55, "")</f>
        <v/>
      </c>
      <c r="AJ55" s="2" t="str">
        <f>IF(Source!$C55&gt;=COLUMNS($A55:AJ55), Source!$G55, "")</f>
        <v/>
      </c>
      <c r="AK55" s="2" t="str">
        <f>IF(Source!$C55&gt;=COLUMNS($A55:AK55), Source!$G55, "")</f>
        <v/>
      </c>
      <c r="AL55" s="2" t="str">
        <f>IF(Source!$C55&gt;=COLUMNS($A55:AL55), Source!$G55, "")</f>
        <v/>
      </c>
      <c r="AM55" s="2" t="str">
        <f>IF(Source!$C55&gt;=COLUMNS($A55:AM55), Source!$G55, "")</f>
        <v/>
      </c>
      <c r="AN55" s="2" t="str">
        <f>IF(Source!$C55&gt;=COLUMNS($A55:AN55), Source!$G55, "")</f>
        <v/>
      </c>
      <c r="AO55" s="2" t="str">
        <f>IF(Source!$C55&gt;=COLUMNS($A55:AO55), Source!$G55, "")</f>
        <v/>
      </c>
      <c r="AP55" s="2" t="str">
        <f>IF(Source!$C55&gt;=COLUMNS($A55:AP55), Source!$G55, "")</f>
        <v/>
      </c>
      <c r="AQ55" s="2" t="str">
        <f>IF(Source!$C55&gt;=COLUMNS($A55:AQ55), Source!$G55, "")</f>
        <v/>
      </c>
      <c r="AR55" s="2" t="str">
        <f>IF(Source!$C55&gt;=COLUMNS($A55:AR55), Source!$G55, "")</f>
        <v/>
      </c>
    </row>
    <row r="56">
      <c r="A56" s="2">
        <f>IF(Source!$C56&gt;=COLUMNS($A56:A56), Source!$G56, "")</f>
        <v>8</v>
      </c>
      <c r="B56" s="2">
        <f>IF(Source!$C56&gt;=COLUMNS($A56:B56), Source!$G56, "")</f>
        <v>8</v>
      </c>
      <c r="C56" s="2" t="str">
        <f>IF(Source!$C56&gt;=COLUMNS($A56:C56), Source!$G56, "")</f>
        <v/>
      </c>
      <c r="D56" s="2" t="str">
        <f>IF(Source!$C56&gt;=COLUMNS($A56:D56), Source!$G56, "")</f>
        <v/>
      </c>
      <c r="E56" s="2" t="str">
        <f>IF(Source!$C56&gt;=COLUMNS($A56:E56), Source!$G56, "")</f>
        <v/>
      </c>
      <c r="F56" s="2" t="str">
        <f>IF(Source!$C56&gt;=COLUMNS($A56:F56), Source!$G56, "")</f>
        <v/>
      </c>
      <c r="G56" s="2" t="str">
        <f>IF(Source!$C56&gt;=COLUMNS($A56:G56), Source!$G56, "")</f>
        <v/>
      </c>
      <c r="H56" s="2" t="str">
        <f>IF(Source!$C56&gt;=COLUMNS($A56:H56), Source!$G56, "")</f>
        <v/>
      </c>
      <c r="I56" s="2" t="str">
        <f>IF(Source!$C56&gt;=COLUMNS($A56:I56), Source!$G56, "")</f>
        <v/>
      </c>
      <c r="J56" s="2" t="str">
        <f>IF(Source!$C56&gt;=COLUMNS($A56:J56), Source!$G56, "")</f>
        <v/>
      </c>
      <c r="K56" s="2" t="str">
        <f>IF(Source!$C56&gt;=COLUMNS($A56:K56), Source!$G56, "")</f>
        <v/>
      </c>
      <c r="L56" s="2" t="str">
        <f>IF(Source!$C56&gt;=COLUMNS($A56:L56), Source!$G56, "")</f>
        <v/>
      </c>
      <c r="M56" s="2" t="str">
        <f>IF(Source!$C56&gt;=COLUMNS($A56:M56), Source!$G56, "")</f>
        <v/>
      </c>
      <c r="N56" s="2" t="str">
        <f>IF(Source!$C56&gt;=COLUMNS($A56:N56), Source!$G56, "")</f>
        <v/>
      </c>
      <c r="O56" s="2" t="str">
        <f>IF(Source!$C56&gt;=COLUMNS($A56:O56), Source!$G56, "")</f>
        <v/>
      </c>
      <c r="P56" s="2" t="str">
        <f>IF(Source!$C56&gt;=COLUMNS($A56:P56), Source!$G56, "")</f>
        <v/>
      </c>
      <c r="Q56" s="2" t="str">
        <f>IF(Source!$C56&gt;=COLUMNS($A56:Q56), Source!$G56, "")</f>
        <v/>
      </c>
      <c r="R56" s="2" t="str">
        <f>IF(Source!$C56&gt;=COLUMNS($A56:R56), Source!$G56, "")</f>
        <v/>
      </c>
      <c r="S56" s="2" t="str">
        <f>IF(Source!$C56&gt;=COLUMNS($A56:S56), Source!$G56, "")</f>
        <v/>
      </c>
      <c r="T56" s="2" t="str">
        <f>IF(Source!$C56&gt;=COLUMNS($A56:T56), Source!$G56, "")</f>
        <v/>
      </c>
      <c r="U56" s="2" t="str">
        <f>IF(Source!$C56&gt;=COLUMNS($A56:U56), Source!$G56, "")</f>
        <v/>
      </c>
      <c r="V56" s="2" t="str">
        <f>IF(Source!$C56&gt;=COLUMNS($A56:V56), Source!$G56, "")</f>
        <v/>
      </c>
      <c r="W56" s="2" t="str">
        <f>IF(Source!$C56&gt;=COLUMNS($A56:W56), Source!$G56, "")</f>
        <v/>
      </c>
      <c r="X56" s="2" t="str">
        <f>IF(Source!$C56&gt;=COLUMNS($A56:X56), Source!$G56, "")</f>
        <v/>
      </c>
      <c r="Y56" s="2" t="str">
        <f>IF(Source!$C56&gt;=COLUMNS($A56:Y56), Source!$G56, "")</f>
        <v/>
      </c>
      <c r="Z56" s="2" t="str">
        <f>IF(Source!$C56&gt;=COLUMNS($A56:Z56), Source!$G56, "")</f>
        <v/>
      </c>
      <c r="AA56" s="2" t="str">
        <f>IF(Source!$C56&gt;=COLUMNS($A56:AA56), Source!$G56, "")</f>
        <v/>
      </c>
      <c r="AB56" s="2" t="str">
        <f>IF(Source!$C56&gt;=COLUMNS($A56:AB56), Source!$G56, "")</f>
        <v/>
      </c>
      <c r="AC56" s="2" t="str">
        <f>IF(Source!$C56&gt;=COLUMNS($A56:AC56), Source!$G56, "")</f>
        <v/>
      </c>
      <c r="AD56" s="2" t="str">
        <f>IF(Source!$C56&gt;=COLUMNS($A56:AD56), Source!$G56, "")</f>
        <v/>
      </c>
      <c r="AE56" s="2" t="str">
        <f>IF(Source!$C56&gt;=COLUMNS($A56:AE56), Source!$G56, "")</f>
        <v/>
      </c>
      <c r="AF56" s="2" t="str">
        <f>IF(Source!$C56&gt;=COLUMNS($A56:AF56), Source!$G56, "")</f>
        <v/>
      </c>
      <c r="AG56" s="2" t="str">
        <f>IF(Source!$C56&gt;=COLUMNS($A56:AG56), Source!$G56, "")</f>
        <v/>
      </c>
      <c r="AH56" s="2" t="str">
        <f>IF(Source!$C56&gt;=COLUMNS($A56:AH56), Source!$G56, "")</f>
        <v/>
      </c>
      <c r="AI56" s="2" t="str">
        <f>IF(Source!$C56&gt;=COLUMNS($A56:AI56), Source!$G56, "")</f>
        <v/>
      </c>
      <c r="AJ56" s="2" t="str">
        <f>IF(Source!$C56&gt;=COLUMNS($A56:AJ56), Source!$G56, "")</f>
        <v/>
      </c>
      <c r="AK56" s="2" t="str">
        <f>IF(Source!$C56&gt;=COLUMNS($A56:AK56), Source!$G56, "")</f>
        <v/>
      </c>
      <c r="AL56" s="2" t="str">
        <f>IF(Source!$C56&gt;=COLUMNS($A56:AL56), Source!$G56, "")</f>
        <v/>
      </c>
      <c r="AM56" s="2" t="str">
        <f>IF(Source!$C56&gt;=COLUMNS($A56:AM56), Source!$G56, "")</f>
        <v/>
      </c>
      <c r="AN56" s="2" t="str">
        <f>IF(Source!$C56&gt;=COLUMNS($A56:AN56), Source!$G56, "")</f>
        <v/>
      </c>
      <c r="AO56" s="2" t="str">
        <f>IF(Source!$C56&gt;=COLUMNS($A56:AO56), Source!$G56, "")</f>
        <v/>
      </c>
      <c r="AP56" s="2" t="str">
        <f>IF(Source!$C56&gt;=COLUMNS($A56:AP56), Source!$G56, "")</f>
        <v/>
      </c>
      <c r="AQ56" s="2" t="str">
        <f>IF(Source!$C56&gt;=COLUMNS($A56:AQ56), Source!$G56, "")</f>
        <v/>
      </c>
      <c r="AR56" s="2" t="str">
        <f>IF(Source!$C56&gt;=COLUMNS($A56:AR56), Source!$G56, "")</f>
        <v/>
      </c>
    </row>
    <row r="57">
      <c r="A57" s="2">
        <f>IF(Source!$C57&gt;=COLUMNS($A57:A57), Source!$G57, "")</f>
        <v>9</v>
      </c>
      <c r="B57" s="2">
        <f>IF(Source!$C57&gt;=COLUMNS($A57:B57), Source!$G57, "")</f>
        <v>9</v>
      </c>
      <c r="C57" s="2">
        <f>IF(Source!$C57&gt;=COLUMNS($A57:C57), Source!$G57, "")</f>
        <v>9</v>
      </c>
      <c r="D57" s="2">
        <f>IF(Source!$C57&gt;=COLUMNS($A57:D57), Source!$G57, "")</f>
        <v>9</v>
      </c>
      <c r="E57" s="2" t="str">
        <f>IF(Source!$C57&gt;=COLUMNS($A57:E57), Source!$G57, "")</f>
        <v/>
      </c>
      <c r="F57" s="2" t="str">
        <f>IF(Source!$C57&gt;=COLUMNS($A57:F57), Source!$G57, "")</f>
        <v/>
      </c>
      <c r="G57" s="2" t="str">
        <f>IF(Source!$C57&gt;=COLUMNS($A57:G57), Source!$G57, "")</f>
        <v/>
      </c>
      <c r="H57" s="2" t="str">
        <f>IF(Source!$C57&gt;=COLUMNS($A57:H57), Source!$G57, "")</f>
        <v/>
      </c>
      <c r="I57" s="2" t="str">
        <f>IF(Source!$C57&gt;=COLUMNS($A57:I57), Source!$G57, "")</f>
        <v/>
      </c>
      <c r="J57" s="2" t="str">
        <f>IF(Source!$C57&gt;=COLUMNS($A57:J57), Source!$G57, "")</f>
        <v/>
      </c>
      <c r="K57" s="2" t="str">
        <f>IF(Source!$C57&gt;=COLUMNS($A57:K57), Source!$G57, "")</f>
        <v/>
      </c>
      <c r="L57" s="2" t="str">
        <f>IF(Source!$C57&gt;=COLUMNS($A57:L57), Source!$G57, "")</f>
        <v/>
      </c>
      <c r="M57" s="2" t="str">
        <f>IF(Source!$C57&gt;=COLUMNS($A57:M57), Source!$G57, "")</f>
        <v/>
      </c>
      <c r="N57" s="2" t="str">
        <f>IF(Source!$C57&gt;=COLUMNS($A57:N57), Source!$G57, "")</f>
        <v/>
      </c>
      <c r="O57" s="2" t="str">
        <f>IF(Source!$C57&gt;=COLUMNS($A57:O57), Source!$G57, "")</f>
        <v/>
      </c>
      <c r="P57" s="2" t="str">
        <f>IF(Source!$C57&gt;=COLUMNS($A57:P57), Source!$G57, "")</f>
        <v/>
      </c>
      <c r="Q57" s="2" t="str">
        <f>IF(Source!$C57&gt;=COLUMNS($A57:Q57), Source!$G57, "")</f>
        <v/>
      </c>
      <c r="R57" s="2" t="str">
        <f>IF(Source!$C57&gt;=COLUMNS($A57:R57), Source!$G57, "")</f>
        <v/>
      </c>
      <c r="S57" s="2" t="str">
        <f>IF(Source!$C57&gt;=COLUMNS($A57:S57), Source!$G57, "")</f>
        <v/>
      </c>
      <c r="T57" s="2" t="str">
        <f>IF(Source!$C57&gt;=COLUMNS($A57:T57), Source!$G57, "")</f>
        <v/>
      </c>
      <c r="U57" s="2" t="str">
        <f>IF(Source!$C57&gt;=COLUMNS($A57:U57), Source!$G57, "")</f>
        <v/>
      </c>
      <c r="V57" s="2" t="str">
        <f>IF(Source!$C57&gt;=COLUMNS($A57:V57), Source!$G57, "")</f>
        <v/>
      </c>
      <c r="W57" s="2" t="str">
        <f>IF(Source!$C57&gt;=COLUMNS($A57:W57), Source!$G57, "")</f>
        <v/>
      </c>
      <c r="X57" s="2" t="str">
        <f>IF(Source!$C57&gt;=COLUMNS($A57:X57), Source!$G57, "")</f>
        <v/>
      </c>
      <c r="Y57" s="2" t="str">
        <f>IF(Source!$C57&gt;=COLUMNS($A57:Y57), Source!$G57, "")</f>
        <v/>
      </c>
      <c r="Z57" s="2" t="str">
        <f>IF(Source!$C57&gt;=COLUMNS($A57:Z57), Source!$G57, "")</f>
        <v/>
      </c>
      <c r="AA57" s="2" t="str">
        <f>IF(Source!$C57&gt;=COLUMNS($A57:AA57), Source!$G57, "")</f>
        <v/>
      </c>
      <c r="AB57" s="2" t="str">
        <f>IF(Source!$C57&gt;=COLUMNS($A57:AB57), Source!$G57, "")</f>
        <v/>
      </c>
      <c r="AC57" s="2" t="str">
        <f>IF(Source!$C57&gt;=COLUMNS($A57:AC57), Source!$G57, "")</f>
        <v/>
      </c>
      <c r="AD57" s="2" t="str">
        <f>IF(Source!$C57&gt;=COLUMNS($A57:AD57), Source!$G57, "")</f>
        <v/>
      </c>
      <c r="AE57" s="2" t="str">
        <f>IF(Source!$C57&gt;=COLUMNS($A57:AE57), Source!$G57, "")</f>
        <v/>
      </c>
      <c r="AF57" s="2" t="str">
        <f>IF(Source!$C57&gt;=COLUMNS($A57:AF57), Source!$G57, "")</f>
        <v/>
      </c>
      <c r="AG57" s="2" t="str">
        <f>IF(Source!$C57&gt;=COLUMNS($A57:AG57), Source!$G57, "")</f>
        <v/>
      </c>
      <c r="AH57" s="2" t="str">
        <f>IF(Source!$C57&gt;=COLUMNS($A57:AH57), Source!$G57, "")</f>
        <v/>
      </c>
      <c r="AI57" s="2" t="str">
        <f>IF(Source!$C57&gt;=COLUMNS($A57:AI57), Source!$G57, "")</f>
        <v/>
      </c>
      <c r="AJ57" s="2" t="str">
        <f>IF(Source!$C57&gt;=COLUMNS($A57:AJ57), Source!$G57, "")</f>
        <v/>
      </c>
      <c r="AK57" s="2" t="str">
        <f>IF(Source!$C57&gt;=COLUMNS($A57:AK57), Source!$G57, "")</f>
        <v/>
      </c>
      <c r="AL57" s="2" t="str">
        <f>IF(Source!$C57&gt;=COLUMNS($A57:AL57), Source!$G57, "")</f>
        <v/>
      </c>
      <c r="AM57" s="2" t="str">
        <f>IF(Source!$C57&gt;=COLUMNS($A57:AM57), Source!$G57, "")</f>
        <v/>
      </c>
      <c r="AN57" s="2" t="str">
        <f>IF(Source!$C57&gt;=COLUMNS($A57:AN57), Source!$G57, "")</f>
        <v/>
      </c>
      <c r="AO57" s="2" t="str">
        <f>IF(Source!$C57&gt;=COLUMNS($A57:AO57), Source!$G57, "")</f>
        <v/>
      </c>
      <c r="AP57" s="2" t="str">
        <f>IF(Source!$C57&gt;=COLUMNS($A57:AP57), Source!$G57, "")</f>
        <v/>
      </c>
      <c r="AQ57" s="2" t="str">
        <f>IF(Source!$C57&gt;=COLUMNS($A57:AQ57), Source!$G57, "")</f>
        <v/>
      </c>
      <c r="AR57" s="2" t="str">
        <f>IF(Source!$C57&gt;=COLUMNS($A57:AR57), Source!$G57, "")</f>
        <v/>
      </c>
    </row>
    <row r="58">
      <c r="A58" s="2">
        <f>IF(Source!$C58&gt;=COLUMNS($A58:A58), Source!$G58, "")</f>
        <v>9</v>
      </c>
      <c r="B58" s="2" t="str">
        <f>IF(Source!$C58&gt;=COLUMNS($A58:B58), Source!$G58, "")</f>
        <v/>
      </c>
      <c r="C58" s="2" t="str">
        <f>IF(Source!$C58&gt;=COLUMNS($A58:C58), Source!$G58, "")</f>
        <v/>
      </c>
      <c r="D58" s="2" t="str">
        <f>IF(Source!$C58&gt;=COLUMNS($A58:D58), Source!$G58, "")</f>
        <v/>
      </c>
      <c r="E58" s="2" t="str">
        <f>IF(Source!$C58&gt;=COLUMNS($A58:E58), Source!$G58, "")</f>
        <v/>
      </c>
      <c r="F58" s="2" t="str">
        <f>IF(Source!$C58&gt;=COLUMNS($A58:F58), Source!$G58, "")</f>
        <v/>
      </c>
      <c r="G58" s="2" t="str">
        <f>IF(Source!$C58&gt;=COLUMNS($A58:G58), Source!$G58, "")</f>
        <v/>
      </c>
      <c r="H58" s="2" t="str">
        <f>IF(Source!$C58&gt;=COLUMNS($A58:H58), Source!$G58, "")</f>
        <v/>
      </c>
      <c r="I58" s="2" t="str">
        <f>IF(Source!$C58&gt;=COLUMNS($A58:I58), Source!$G58, "")</f>
        <v/>
      </c>
      <c r="J58" s="2" t="str">
        <f>IF(Source!$C58&gt;=COLUMNS($A58:J58), Source!$G58, "")</f>
        <v/>
      </c>
      <c r="K58" s="2" t="str">
        <f>IF(Source!$C58&gt;=COLUMNS($A58:K58), Source!$G58, "")</f>
        <v/>
      </c>
      <c r="L58" s="2" t="str">
        <f>IF(Source!$C58&gt;=COLUMNS($A58:L58), Source!$G58, "")</f>
        <v/>
      </c>
      <c r="M58" s="2" t="str">
        <f>IF(Source!$C58&gt;=COLUMNS($A58:M58), Source!$G58, "")</f>
        <v/>
      </c>
      <c r="N58" s="2" t="str">
        <f>IF(Source!$C58&gt;=COLUMNS($A58:N58), Source!$G58, "")</f>
        <v/>
      </c>
      <c r="O58" s="2" t="str">
        <f>IF(Source!$C58&gt;=COLUMNS($A58:O58), Source!$G58, "")</f>
        <v/>
      </c>
      <c r="P58" s="2" t="str">
        <f>IF(Source!$C58&gt;=COLUMNS($A58:P58), Source!$G58, "")</f>
        <v/>
      </c>
      <c r="Q58" s="2" t="str">
        <f>IF(Source!$C58&gt;=COLUMNS($A58:Q58), Source!$G58, "")</f>
        <v/>
      </c>
      <c r="R58" s="2" t="str">
        <f>IF(Source!$C58&gt;=COLUMNS($A58:R58), Source!$G58, "")</f>
        <v/>
      </c>
      <c r="S58" s="2" t="str">
        <f>IF(Source!$C58&gt;=COLUMNS($A58:S58), Source!$G58, "")</f>
        <v/>
      </c>
      <c r="T58" s="2" t="str">
        <f>IF(Source!$C58&gt;=COLUMNS($A58:T58), Source!$G58, "")</f>
        <v/>
      </c>
      <c r="U58" s="2" t="str">
        <f>IF(Source!$C58&gt;=COLUMNS($A58:U58), Source!$G58, "")</f>
        <v/>
      </c>
      <c r="V58" s="2" t="str">
        <f>IF(Source!$C58&gt;=COLUMNS($A58:V58), Source!$G58, "")</f>
        <v/>
      </c>
      <c r="W58" s="2" t="str">
        <f>IF(Source!$C58&gt;=COLUMNS($A58:W58), Source!$G58, "")</f>
        <v/>
      </c>
      <c r="X58" s="2" t="str">
        <f>IF(Source!$C58&gt;=COLUMNS($A58:X58), Source!$G58, "")</f>
        <v/>
      </c>
      <c r="Y58" s="2" t="str">
        <f>IF(Source!$C58&gt;=COLUMNS($A58:Y58), Source!$G58, "")</f>
        <v/>
      </c>
      <c r="Z58" s="2" t="str">
        <f>IF(Source!$C58&gt;=COLUMNS($A58:Z58), Source!$G58, "")</f>
        <v/>
      </c>
      <c r="AA58" s="2" t="str">
        <f>IF(Source!$C58&gt;=COLUMNS($A58:AA58), Source!$G58, "")</f>
        <v/>
      </c>
      <c r="AB58" s="2" t="str">
        <f>IF(Source!$C58&gt;=COLUMNS($A58:AB58), Source!$G58, "")</f>
        <v/>
      </c>
      <c r="AC58" s="2" t="str">
        <f>IF(Source!$C58&gt;=COLUMNS($A58:AC58), Source!$G58, "")</f>
        <v/>
      </c>
      <c r="AD58" s="2" t="str">
        <f>IF(Source!$C58&gt;=COLUMNS($A58:AD58), Source!$G58, "")</f>
        <v/>
      </c>
      <c r="AE58" s="2" t="str">
        <f>IF(Source!$C58&gt;=COLUMNS($A58:AE58), Source!$G58, "")</f>
        <v/>
      </c>
      <c r="AF58" s="2" t="str">
        <f>IF(Source!$C58&gt;=COLUMNS($A58:AF58), Source!$G58, "")</f>
        <v/>
      </c>
      <c r="AG58" s="2" t="str">
        <f>IF(Source!$C58&gt;=COLUMNS($A58:AG58), Source!$G58, "")</f>
        <v/>
      </c>
      <c r="AH58" s="2" t="str">
        <f>IF(Source!$C58&gt;=COLUMNS($A58:AH58), Source!$G58, "")</f>
        <v/>
      </c>
      <c r="AI58" s="2" t="str">
        <f>IF(Source!$C58&gt;=COLUMNS($A58:AI58), Source!$G58, "")</f>
        <v/>
      </c>
      <c r="AJ58" s="2" t="str">
        <f>IF(Source!$C58&gt;=COLUMNS($A58:AJ58), Source!$G58, "")</f>
        <v/>
      </c>
      <c r="AK58" s="2" t="str">
        <f>IF(Source!$C58&gt;=COLUMNS($A58:AK58), Source!$G58, "")</f>
        <v/>
      </c>
      <c r="AL58" s="2" t="str">
        <f>IF(Source!$C58&gt;=COLUMNS($A58:AL58), Source!$G58, "")</f>
        <v/>
      </c>
      <c r="AM58" s="2" t="str">
        <f>IF(Source!$C58&gt;=COLUMNS($A58:AM58), Source!$G58, "")</f>
        <v/>
      </c>
      <c r="AN58" s="2" t="str">
        <f>IF(Source!$C58&gt;=COLUMNS($A58:AN58), Source!$G58, "")</f>
        <v/>
      </c>
      <c r="AO58" s="2" t="str">
        <f>IF(Source!$C58&gt;=COLUMNS($A58:AO58), Source!$G58, "")</f>
        <v/>
      </c>
      <c r="AP58" s="2" t="str">
        <f>IF(Source!$C58&gt;=COLUMNS($A58:AP58), Source!$G58, "")</f>
        <v/>
      </c>
      <c r="AQ58" s="2" t="str">
        <f>IF(Source!$C58&gt;=COLUMNS($A58:AQ58), Source!$G58, "")</f>
        <v/>
      </c>
      <c r="AR58" s="2" t="str">
        <f>IF(Source!$C58&gt;=COLUMNS($A58:AR58), Source!$G58, "")</f>
        <v/>
      </c>
    </row>
    <row r="59">
      <c r="A59" s="2">
        <f>IF(Source!$C59&gt;=COLUMNS($A59:A59), Source!$G59, "")</f>
        <v>4</v>
      </c>
      <c r="B59" s="2">
        <f>IF(Source!$C59&gt;=COLUMNS($A59:B59), Source!$G59, "")</f>
        <v>4</v>
      </c>
      <c r="C59" s="2">
        <f>IF(Source!$C59&gt;=COLUMNS($A59:C59), Source!$G59, "")</f>
        <v>4</v>
      </c>
      <c r="D59" s="2">
        <f>IF(Source!$C59&gt;=COLUMNS($A59:D59), Source!$G59, "")</f>
        <v>4</v>
      </c>
      <c r="E59" s="2">
        <f>IF(Source!$C59&gt;=COLUMNS($A59:E59), Source!$G59, "")</f>
        <v>4</v>
      </c>
      <c r="F59" s="2" t="str">
        <f>IF(Source!$C59&gt;=COLUMNS($A59:F59), Source!$G59, "")</f>
        <v/>
      </c>
      <c r="G59" s="2" t="str">
        <f>IF(Source!$C59&gt;=COLUMNS($A59:G59), Source!$G59, "")</f>
        <v/>
      </c>
      <c r="H59" s="2" t="str">
        <f>IF(Source!$C59&gt;=COLUMNS($A59:H59), Source!$G59, "")</f>
        <v/>
      </c>
      <c r="I59" s="2" t="str">
        <f>IF(Source!$C59&gt;=COLUMNS($A59:I59), Source!$G59, "")</f>
        <v/>
      </c>
      <c r="J59" s="2" t="str">
        <f>IF(Source!$C59&gt;=COLUMNS($A59:J59), Source!$G59, "")</f>
        <v/>
      </c>
      <c r="K59" s="2" t="str">
        <f>IF(Source!$C59&gt;=COLUMNS($A59:K59), Source!$G59, "")</f>
        <v/>
      </c>
      <c r="L59" s="2" t="str">
        <f>IF(Source!$C59&gt;=COLUMNS($A59:L59), Source!$G59, "")</f>
        <v/>
      </c>
      <c r="M59" s="2" t="str">
        <f>IF(Source!$C59&gt;=COLUMNS($A59:M59), Source!$G59, "")</f>
        <v/>
      </c>
      <c r="N59" s="2" t="str">
        <f>IF(Source!$C59&gt;=COLUMNS($A59:N59), Source!$G59, "")</f>
        <v/>
      </c>
      <c r="O59" s="2" t="str">
        <f>IF(Source!$C59&gt;=COLUMNS($A59:O59), Source!$G59, "")</f>
        <v/>
      </c>
      <c r="P59" s="2" t="str">
        <f>IF(Source!$C59&gt;=COLUMNS($A59:P59), Source!$G59, "")</f>
        <v/>
      </c>
      <c r="Q59" s="2" t="str">
        <f>IF(Source!$C59&gt;=COLUMNS($A59:Q59), Source!$G59, "")</f>
        <v/>
      </c>
      <c r="R59" s="2" t="str">
        <f>IF(Source!$C59&gt;=COLUMNS($A59:R59), Source!$G59, "")</f>
        <v/>
      </c>
      <c r="S59" s="2" t="str">
        <f>IF(Source!$C59&gt;=COLUMNS($A59:S59), Source!$G59, "")</f>
        <v/>
      </c>
      <c r="T59" s="2" t="str">
        <f>IF(Source!$C59&gt;=COLUMNS($A59:T59), Source!$G59, "")</f>
        <v/>
      </c>
      <c r="U59" s="2" t="str">
        <f>IF(Source!$C59&gt;=COLUMNS($A59:U59), Source!$G59, "")</f>
        <v/>
      </c>
      <c r="V59" s="2" t="str">
        <f>IF(Source!$C59&gt;=COLUMNS($A59:V59), Source!$G59, "")</f>
        <v/>
      </c>
      <c r="W59" s="2" t="str">
        <f>IF(Source!$C59&gt;=COLUMNS($A59:W59), Source!$G59, "")</f>
        <v/>
      </c>
      <c r="X59" s="2" t="str">
        <f>IF(Source!$C59&gt;=COLUMNS($A59:X59), Source!$G59, "")</f>
        <v/>
      </c>
      <c r="Y59" s="2" t="str">
        <f>IF(Source!$C59&gt;=COLUMNS($A59:Y59), Source!$G59, "")</f>
        <v/>
      </c>
      <c r="Z59" s="2" t="str">
        <f>IF(Source!$C59&gt;=COLUMNS($A59:Z59), Source!$G59, "")</f>
        <v/>
      </c>
      <c r="AA59" s="2" t="str">
        <f>IF(Source!$C59&gt;=COLUMNS($A59:AA59), Source!$G59, "")</f>
        <v/>
      </c>
      <c r="AB59" s="2" t="str">
        <f>IF(Source!$C59&gt;=COLUMNS($A59:AB59), Source!$G59, "")</f>
        <v/>
      </c>
      <c r="AC59" s="2" t="str">
        <f>IF(Source!$C59&gt;=COLUMNS($A59:AC59), Source!$G59, "")</f>
        <v/>
      </c>
      <c r="AD59" s="2" t="str">
        <f>IF(Source!$C59&gt;=COLUMNS($A59:AD59), Source!$G59, "")</f>
        <v/>
      </c>
      <c r="AE59" s="2" t="str">
        <f>IF(Source!$C59&gt;=COLUMNS($A59:AE59), Source!$G59, "")</f>
        <v/>
      </c>
      <c r="AF59" s="2" t="str">
        <f>IF(Source!$C59&gt;=COLUMNS($A59:AF59), Source!$G59, "")</f>
        <v/>
      </c>
      <c r="AG59" s="2" t="str">
        <f>IF(Source!$C59&gt;=COLUMNS($A59:AG59), Source!$G59, "")</f>
        <v/>
      </c>
      <c r="AH59" s="2" t="str">
        <f>IF(Source!$C59&gt;=COLUMNS($A59:AH59), Source!$G59, "")</f>
        <v/>
      </c>
      <c r="AI59" s="2" t="str">
        <f>IF(Source!$C59&gt;=COLUMNS($A59:AI59), Source!$G59, "")</f>
        <v/>
      </c>
      <c r="AJ59" s="2" t="str">
        <f>IF(Source!$C59&gt;=COLUMNS($A59:AJ59), Source!$G59, "")</f>
        <v/>
      </c>
      <c r="AK59" s="2" t="str">
        <f>IF(Source!$C59&gt;=COLUMNS($A59:AK59), Source!$G59, "")</f>
        <v/>
      </c>
      <c r="AL59" s="2" t="str">
        <f>IF(Source!$C59&gt;=COLUMNS($A59:AL59), Source!$G59, "")</f>
        <v/>
      </c>
      <c r="AM59" s="2" t="str">
        <f>IF(Source!$C59&gt;=COLUMNS($A59:AM59), Source!$G59, "")</f>
        <v/>
      </c>
      <c r="AN59" s="2" t="str">
        <f>IF(Source!$C59&gt;=COLUMNS($A59:AN59), Source!$G59, "")</f>
        <v/>
      </c>
      <c r="AO59" s="2" t="str">
        <f>IF(Source!$C59&gt;=COLUMNS($A59:AO59), Source!$G59, "")</f>
        <v/>
      </c>
      <c r="AP59" s="2" t="str">
        <f>IF(Source!$C59&gt;=COLUMNS($A59:AP59), Source!$G59, "")</f>
        <v/>
      </c>
      <c r="AQ59" s="2" t="str">
        <f>IF(Source!$C59&gt;=COLUMNS($A59:AQ59), Source!$G59, "")</f>
        <v/>
      </c>
      <c r="AR59" s="2" t="str">
        <f>IF(Source!$C59&gt;=COLUMNS($A59:AR59), Source!$G59, "")</f>
        <v/>
      </c>
    </row>
    <row r="60">
      <c r="A60" s="2">
        <f>IF(Source!$C60&gt;=COLUMNS($A60:A60), Source!$G60, "")</f>
        <v>5</v>
      </c>
      <c r="B60" s="2">
        <f>IF(Source!$C60&gt;=COLUMNS($A60:B60), Source!$G60, "")</f>
        <v>5</v>
      </c>
      <c r="C60" s="2">
        <f>IF(Source!$C60&gt;=COLUMNS($A60:C60), Source!$G60, "")</f>
        <v>5</v>
      </c>
      <c r="D60" s="2" t="str">
        <f>IF(Source!$C60&gt;=COLUMNS($A60:D60), Source!$G60, "")</f>
        <v/>
      </c>
      <c r="E60" s="2" t="str">
        <f>IF(Source!$C60&gt;=COLUMNS($A60:E60), Source!$G60, "")</f>
        <v/>
      </c>
      <c r="F60" s="2" t="str">
        <f>IF(Source!$C60&gt;=COLUMNS($A60:F60), Source!$G60, "")</f>
        <v/>
      </c>
      <c r="G60" s="2" t="str">
        <f>IF(Source!$C60&gt;=COLUMNS($A60:G60), Source!$G60, "")</f>
        <v/>
      </c>
      <c r="H60" s="2" t="str">
        <f>IF(Source!$C60&gt;=COLUMNS($A60:H60), Source!$G60, "")</f>
        <v/>
      </c>
      <c r="I60" s="2" t="str">
        <f>IF(Source!$C60&gt;=COLUMNS($A60:I60), Source!$G60, "")</f>
        <v/>
      </c>
      <c r="J60" s="2" t="str">
        <f>IF(Source!$C60&gt;=COLUMNS($A60:J60), Source!$G60, "")</f>
        <v/>
      </c>
      <c r="K60" s="2" t="str">
        <f>IF(Source!$C60&gt;=COLUMNS($A60:K60), Source!$G60, "")</f>
        <v/>
      </c>
      <c r="L60" s="2" t="str">
        <f>IF(Source!$C60&gt;=COLUMNS($A60:L60), Source!$G60, "")</f>
        <v/>
      </c>
      <c r="M60" s="2" t="str">
        <f>IF(Source!$C60&gt;=COLUMNS($A60:M60), Source!$G60, "")</f>
        <v/>
      </c>
      <c r="N60" s="2" t="str">
        <f>IF(Source!$C60&gt;=COLUMNS($A60:N60), Source!$G60, "")</f>
        <v/>
      </c>
      <c r="O60" s="2" t="str">
        <f>IF(Source!$C60&gt;=COLUMNS($A60:O60), Source!$G60, "")</f>
        <v/>
      </c>
      <c r="P60" s="2" t="str">
        <f>IF(Source!$C60&gt;=COLUMNS($A60:P60), Source!$G60, "")</f>
        <v/>
      </c>
      <c r="Q60" s="2" t="str">
        <f>IF(Source!$C60&gt;=COLUMNS($A60:Q60), Source!$G60, "")</f>
        <v/>
      </c>
      <c r="R60" s="2" t="str">
        <f>IF(Source!$C60&gt;=COLUMNS($A60:R60), Source!$G60, "")</f>
        <v/>
      </c>
      <c r="S60" s="2" t="str">
        <f>IF(Source!$C60&gt;=COLUMNS($A60:S60), Source!$G60, "")</f>
        <v/>
      </c>
      <c r="T60" s="2" t="str">
        <f>IF(Source!$C60&gt;=COLUMNS($A60:T60), Source!$G60, "")</f>
        <v/>
      </c>
      <c r="U60" s="2" t="str">
        <f>IF(Source!$C60&gt;=COLUMNS($A60:U60), Source!$G60, "")</f>
        <v/>
      </c>
      <c r="V60" s="2" t="str">
        <f>IF(Source!$C60&gt;=COLUMNS($A60:V60), Source!$G60, "")</f>
        <v/>
      </c>
      <c r="W60" s="2" t="str">
        <f>IF(Source!$C60&gt;=COLUMNS($A60:W60), Source!$G60, "")</f>
        <v/>
      </c>
      <c r="X60" s="2" t="str">
        <f>IF(Source!$C60&gt;=COLUMNS($A60:X60), Source!$G60, "")</f>
        <v/>
      </c>
      <c r="Y60" s="2" t="str">
        <f>IF(Source!$C60&gt;=COLUMNS($A60:Y60), Source!$G60, "")</f>
        <v/>
      </c>
      <c r="Z60" s="2" t="str">
        <f>IF(Source!$C60&gt;=COLUMNS($A60:Z60), Source!$G60, "")</f>
        <v/>
      </c>
      <c r="AA60" s="2" t="str">
        <f>IF(Source!$C60&gt;=COLUMNS($A60:AA60), Source!$G60, "")</f>
        <v/>
      </c>
      <c r="AB60" s="2" t="str">
        <f>IF(Source!$C60&gt;=COLUMNS($A60:AB60), Source!$G60, "")</f>
        <v/>
      </c>
      <c r="AC60" s="2" t="str">
        <f>IF(Source!$C60&gt;=COLUMNS($A60:AC60), Source!$G60, "")</f>
        <v/>
      </c>
      <c r="AD60" s="2" t="str">
        <f>IF(Source!$C60&gt;=COLUMNS($A60:AD60), Source!$G60, "")</f>
        <v/>
      </c>
      <c r="AE60" s="2" t="str">
        <f>IF(Source!$C60&gt;=COLUMNS($A60:AE60), Source!$G60, "")</f>
        <v/>
      </c>
      <c r="AF60" s="2" t="str">
        <f>IF(Source!$C60&gt;=COLUMNS($A60:AF60), Source!$G60, "")</f>
        <v/>
      </c>
      <c r="AG60" s="2" t="str">
        <f>IF(Source!$C60&gt;=COLUMNS($A60:AG60), Source!$G60, "")</f>
        <v/>
      </c>
      <c r="AH60" s="2" t="str">
        <f>IF(Source!$C60&gt;=COLUMNS($A60:AH60), Source!$G60, "")</f>
        <v/>
      </c>
      <c r="AI60" s="2" t="str">
        <f>IF(Source!$C60&gt;=COLUMNS($A60:AI60), Source!$G60, "")</f>
        <v/>
      </c>
      <c r="AJ60" s="2" t="str">
        <f>IF(Source!$C60&gt;=COLUMNS($A60:AJ60), Source!$G60, "")</f>
        <v/>
      </c>
      <c r="AK60" s="2" t="str">
        <f>IF(Source!$C60&gt;=COLUMNS($A60:AK60), Source!$G60, "")</f>
        <v/>
      </c>
      <c r="AL60" s="2" t="str">
        <f>IF(Source!$C60&gt;=COLUMNS($A60:AL60), Source!$G60, "")</f>
        <v/>
      </c>
      <c r="AM60" s="2" t="str">
        <f>IF(Source!$C60&gt;=COLUMNS($A60:AM60), Source!$G60, "")</f>
        <v/>
      </c>
      <c r="AN60" s="2" t="str">
        <f>IF(Source!$C60&gt;=COLUMNS($A60:AN60), Source!$G60, "")</f>
        <v/>
      </c>
      <c r="AO60" s="2" t="str">
        <f>IF(Source!$C60&gt;=COLUMNS($A60:AO60), Source!$G60, "")</f>
        <v/>
      </c>
      <c r="AP60" s="2" t="str">
        <f>IF(Source!$C60&gt;=COLUMNS($A60:AP60), Source!$G60, "")</f>
        <v/>
      </c>
      <c r="AQ60" s="2" t="str">
        <f>IF(Source!$C60&gt;=COLUMNS($A60:AQ60), Source!$G60, "")</f>
        <v/>
      </c>
      <c r="AR60" s="2" t="str">
        <f>IF(Source!$C60&gt;=COLUMNS($A60:AR60), Source!$G60, "")</f>
        <v/>
      </c>
    </row>
    <row r="61">
      <c r="A61" s="2">
        <f>IF(Source!$C61&gt;=COLUMNS($A61:A61), Source!$G61, "")</f>
        <v>5</v>
      </c>
      <c r="B61" s="2" t="str">
        <f>IF(Source!$C61&gt;=COLUMNS($A61:B61), Source!$G61, "")</f>
        <v/>
      </c>
      <c r="C61" s="2" t="str">
        <f>IF(Source!$C61&gt;=COLUMNS($A61:C61), Source!$G61, "")</f>
        <v/>
      </c>
      <c r="D61" s="2" t="str">
        <f>IF(Source!$C61&gt;=COLUMNS($A61:D61), Source!$G61, "")</f>
        <v/>
      </c>
      <c r="E61" s="2" t="str">
        <f>IF(Source!$C61&gt;=COLUMNS($A61:E61), Source!$G61, "")</f>
        <v/>
      </c>
      <c r="F61" s="2" t="str">
        <f>IF(Source!$C61&gt;=COLUMNS($A61:F61), Source!$G61, "")</f>
        <v/>
      </c>
      <c r="G61" s="2" t="str">
        <f>IF(Source!$C61&gt;=COLUMNS($A61:G61), Source!$G61, "")</f>
        <v/>
      </c>
      <c r="H61" s="2" t="str">
        <f>IF(Source!$C61&gt;=COLUMNS($A61:H61), Source!$G61, "")</f>
        <v/>
      </c>
      <c r="I61" s="2" t="str">
        <f>IF(Source!$C61&gt;=COLUMNS($A61:I61), Source!$G61, "")</f>
        <v/>
      </c>
      <c r="J61" s="2" t="str">
        <f>IF(Source!$C61&gt;=COLUMNS($A61:J61), Source!$G61, "")</f>
        <v/>
      </c>
      <c r="K61" s="2" t="str">
        <f>IF(Source!$C61&gt;=COLUMNS($A61:K61), Source!$G61, "")</f>
        <v/>
      </c>
      <c r="L61" s="2" t="str">
        <f>IF(Source!$C61&gt;=COLUMNS($A61:L61), Source!$G61, "")</f>
        <v/>
      </c>
      <c r="M61" s="2" t="str">
        <f>IF(Source!$C61&gt;=COLUMNS($A61:M61), Source!$G61, "")</f>
        <v/>
      </c>
      <c r="N61" s="2" t="str">
        <f>IF(Source!$C61&gt;=COLUMNS($A61:N61), Source!$G61, "")</f>
        <v/>
      </c>
      <c r="O61" s="2" t="str">
        <f>IF(Source!$C61&gt;=COLUMNS($A61:O61), Source!$G61, "")</f>
        <v/>
      </c>
      <c r="P61" s="2" t="str">
        <f>IF(Source!$C61&gt;=COLUMNS($A61:P61), Source!$G61, "")</f>
        <v/>
      </c>
      <c r="Q61" s="2" t="str">
        <f>IF(Source!$C61&gt;=COLUMNS($A61:Q61), Source!$G61, "")</f>
        <v/>
      </c>
      <c r="R61" s="2" t="str">
        <f>IF(Source!$C61&gt;=COLUMNS($A61:R61), Source!$G61, "")</f>
        <v/>
      </c>
      <c r="S61" s="2" t="str">
        <f>IF(Source!$C61&gt;=COLUMNS($A61:S61), Source!$G61, "")</f>
        <v/>
      </c>
      <c r="T61" s="2" t="str">
        <f>IF(Source!$C61&gt;=COLUMNS($A61:T61), Source!$G61, "")</f>
        <v/>
      </c>
      <c r="U61" s="2" t="str">
        <f>IF(Source!$C61&gt;=COLUMNS($A61:U61), Source!$G61, "")</f>
        <v/>
      </c>
      <c r="V61" s="2" t="str">
        <f>IF(Source!$C61&gt;=COLUMNS($A61:V61), Source!$G61, "")</f>
        <v/>
      </c>
      <c r="W61" s="2" t="str">
        <f>IF(Source!$C61&gt;=COLUMNS($A61:W61), Source!$G61, "")</f>
        <v/>
      </c>
      <c r="X61" s="2" t="str">
        <f>IF(Source!$C61&gt;=COLUMNS($A61:X61), Source!$G61, "")</f>
        <v/>
      </c>
      <c r="Y61" s="2" t="str">
        <f>IF(Source!$C61&gt;=COLUMNS($A61:Y61), Source!$G61, "")</f>
        <v/>
      </c>
      <c r="Z61" s="2" t="str">
        <f>IF(Source!$C61&gt;=COLUMNS($A61:Z61), Source!$G61, "")</f>
        <v/>
      </c>
      <c r="AA61" s="2" t="str">
        <f>IF(Source!$C61&gt;=COLUMNS($A61:AA61), Source!$G61, "")</f>
        <v/>
      </c>
      <c r="AB61" s="2" t="str">
        <f>IF(Source!$C61&gt;=COLUMNS($A61:AB61), Source!$G61, "")</f>
        <v/>
      </c>
      <c r="AC61" s="2" t="str">
        <f>IF(Source!$C61&gt;=COLUMNS($A61:AC61), Source!$G61, "")</f>
        <v/>
      </c>
      <c r="AD61" s="2" t="str">
        <f>IF(Source!$C61&gt;=COLUMNS($A61:AD61), Source!$G61, "")</f>
        <v/>
      </c>
      <c r="AE61" s="2" t="str">
        <f>IF(Source!$C61&gt;=COLUMNS($A61:AE61), Source!$G61, "")</f>
        <v/>
      </c>
      <c r="AF61" s="2" t="str">
        <f>IF(Source!$C61&gt;=COLUMNS($A61:AF61), Source!$G61, "")</f>
        <v/>
      </c>
      <c r="AG61" s="2" t="str">
        <f>IF(Source!$C61&gt;=COLUMNS($A61:AG61), Source!$G61, "")</f>
        <v/>
      </c>
      <c r="AH61" s="2" t="str">
        <f>IF(Source!$C61&gt;=COLUMNS($A61:AH61), Source!$G61, "")</f>
        <v/>
      </c>
      <c r="AI61" s="2" t="str">
        <f>IF(Source!$C61&gt;=COLUMNS($A61:AI61), Source!$G61, "")</f>
        <v/>
      </c>
      <c r="AJ61" s="2" t="str">
        <f>IF(Source!$C61&gt;=COLUMNS($A61:AJ61), Source!$G61, "")</f>
        <v/>
      </c>
      <c r="AK61" s="2" t="str">
        <f>IF(Source!$C61&gt;=COLUMNS($A61:AK61), Source!$G61, "")</f>
        <v/>
      </c>
      <c r="AL61" s="2" t="str">
        <f>IF(Source!$C61&gt;=COLUMNS($A61:AL61), Source!$G61, "")</f>
        <v/>
      </c>
      <c r="AM61" s="2" t="str">
        <f>IF(Source!$C61&gt;=COLUMNS($A61:AM61), Source!$G61, "")</f>
        <v/>
      </c>
      <c r="AN61" s="2" t="str">
        <f>IF(Source!$C61&gt;=COLUMNS($A61:AN61), Source!$G61, "")</f>
        <v/>
      </c>
      <c r="AO61" s="2" t="str">
        <f>IF(Source!$C61&gt;=COLUMNS($A61:AO61), Source!$G61, "")</f>
        <v/>
      </c>
      <c r="AP61" s="2" t="str">
        <f>IF(Source!$C61&gt;=COLUMNS($A61:AP61), Source!$G61, "")</f>
        <v/>
      </c>
      <c r="AQ61" s="2" t="str">
        <f>IF(Source!$C61&gt;=COLUMNS($A61:AQ61), Source!$G61, "")</f>
        <v/>
      </c>
      <c r="AR61" s="2" t="str">
        <f>IF(Source!$C61&gt;=COLUMNS($A61:AR61), Source!$G61, "")</f>
        <v/>
      </c>
    </row>
    <row r="62">
      <c r="A62" s="2">
        <f>IF(Source!$C62&gt;=COLUMNS($A62:A62), Source!$G62, "")</f>
        <v>8</v>
      </c>
      <c r="B62" s="2">
        <f>IF(Source!$C62&gt;=COLUMNS($A62:B62), Source!$G62, "")</f>
        <v>8</v>
      </c>
      <c r="C62" s="2">
        <f>IF(Source!$C62&gt;=COLUMNS($A62:C62), Source!$G62, "")</f>
        <v>8</v>
      </c>
      <c r="D62" s="2">
        <f>IF(Source!$C62&gt;=COLUMNS($A62:D62), Source!$G62, "")</f>
        <v>8</v>
      </c>
      <c r="E62" s="2">
        <f>IF(Source!$C62&gt;=COLUMNS($A62:E62), Source!$G62, "")</f>
        <v>8</v>
      </c>
      <c r="F62" s="2">
        <f>IF(Source!$C62&gt;=COLUMNS($A62:F62), Source!$G62, "")</f>
        <v>8</v>
      </c>
      <c r="G62" s="2">
        <f>IF(Source!$C62&gt;=COLUMNS($A62:G62), Source!$G62, "")</f>
        <v>8</v>
      </c>
      <c r="H62" s="2">
        <f>IF(Source!$C62&gt;=COLUMNS($A62:H62), Source!$G62, "")</f>
        <v>8</v>
      </c>
      <c r="I62" s="2">
        <f>IF(Source!$C62&gt;=COLUMNS($A62:I62), Source!$G62, "")</f>
        <v>8</v>
      </c>
      <c r="J62" s="2">
        <f>IF(Source!$C62&gt;=COLUMNS($A62:J62), Source!$G62, "")</f>
        <v>8</v>
      </c>
      <c r="K62" s="2">
        <f>IF(Source!$C62&gt;=COLUMNS($A62:K62), Source!$G62, "")</f>
        <v>8</v>
      </c>
      <c r="L62" s="2">
        <f>IF(Source!$C62&gt;=COLUMNS($A62:L62), Source!$G62, "")</f>
        <v>8</v>
      </c>
      <c r="M62" s="2">
        <f>IF(Source!$C62&gt;=COLUMNS($A62:M62), Source!$G62, "")</f>
        <v>8</v>
      </c>
      <c r="N62" s="2">
        <f>IF(Source!$C62&gt;=COLUMNS($A62:N62), Source!$G62, "")</f>
        <v>8</v>
      </c>
      <c r="O62" s="2" t="str">
        <f>IF(Source!$C62&gt;=COLUMNS($A62:O62), Source!$G62, "")</f>
        <v/>
      </c>
      <c r="P62" s="2" t="str">
        <f>IF(Source!$C62&gt;=COLUMNS($A62:P62), Source!$G62, "")</f>
        <v/>
      </c>
      <c r="Q62" s="2" t="str">
        <f>IF(Source!$C62&gt;=COLUMNS($A62:Q62), Source!$G62, "")</f>
        <v/>
      </c>
      <c r="R62" s="2" t="str">
        <f>IF(Source!$C62&gt;=COLUMNS($A62:R62), Source!$G62, "")</f>
        <v/>
      </c>
      <c r="S62" s="2" t="str">
        <f>IF(Source!$C62&gt;=COLUMNS($A62:S62), Source!$G62, "")</f>
        <v/>
      </c>
      <c r="T62" s="2" t="str">
        <f>IF(Source!$C62&gt;=COLUMNS($A62:T62), Source!$G62, "")</f>
        <v/>
      </c>
      <c r="U62" s="2" t="str">
        <f>IF(Source!$C62&gt;=COLUMNS($A62:U62), Source!$G62, "")</f>
        <v/>
      </c>
      <c r="V62" s="2" t="str">
        <f>IF(Source!$C62&gt;=COLUMNS($A62:V62), Source!$G62, "")</f>
        <v/>
      </c>
      <c r="W62" s="2" t="str">
        <f>IF(Source!$C62&gt;=COLUMNS($A62:W62), Source!$G62, "")</f>
        <v/>
      </c>
      <c r="X62" s="2" t="str">
        <f>IF(Source!$C62&gt;=COLUMNS($A62:X62), Source!$G62, "")</f>
        <v/>
      </c>
      <c r="Y62" s="2" t="str">
        <f>IF(Source!$C62&gt;=COLUMNS($A62:Y62), Source!$G62, "")</f>
        <v/>
      </c>
      <c r="Z62" s="2" t="str">
        <f>IF(Source!$C62&gt;=COLUMNS($A62:Z62), Source!$G62, "")</f>
        <v/>
      </c>
      <c r="AA62" s="2" t="str">
        <f>IF(Source!$C62&gt;=COLUMNS($A62:AA62), Source!$G62, "")</f>
        <v/>
      </c>
      <c r="AB62" s="2" t="str">
        <f>IF(Source!$C62&gt;=COLUMNS($A62:AB62), Source!$G62, "")</f>
        <v/>
      </c>
      <c r="AC62" s="2" t="str">
        <f>IF(Source!$C62&gt;=COLUMNS($A62:AC62), Source!$G62, "")</f>
        <v/>
      </c>
      <c r="AD62" s="2" t="str">
        <f>IF(Source!$C62&gt;=COLUMNS($A62:AD62), Source!$G62, "")</f>
        <v/>
      </c>
      <c r="AE62" s="2" t="str">
        <f>IF(Source!$C62&gt;=COLUMNS($A62:AE62), Source!$G62, "")</f>
        <v/>
      </c>
      <c r="AF62" s="2" t="str">
        <f>IF(Source!$C62&gt;=COLUMNS($A62:AF62), Source!$G62, "")</f>
        <v/>
      </c>
      <c r="AG62" s="2" t="str">
        <f>IF(Source!$C62&gt;=COLUMNS($A62:AG62), Source!$G62, "")</f>
        <v/>
      </c>
      <c r="AH62" s="2" t="str">
        <f>IF(Source!$C62&gt;=COLUMNS($A62:AH62), Source!$G62, "")</f>
        <v/>
      </c>
      <c r="AI62" s="2" t="str">
        <f>IF(Source!$C62&gt;=COLUMNS($A62:AI62), Source!$G62, "")</f>
        <v/>
      </c>
      <c r="AJ62" s="2" t="str">
        <f>IF(Source!$C62&gt;=COLUMNS($A62:AJ62), Source!$G62, "")</f>
        <v/>
      </c>
      <c r="AK62" s="2" t="str">
        <f>IF(Source!$C62&gt;=COLUMNS($A62:AK62), Source!$G62, "")</f>
        <v/>
      </c>
      <c r="AL62" s="2" t="str">
        <f>IF(Source!$C62&gt;=COLUMNS($A62:AL62), Source!$G62, "")</f>
        <v/>
      </c>
      <c r="AM62" s="2" t="str">
        <f>IF(Source!$C62&gt;=COLUMNS($A62:AM62), Source!$G62, "")</f>
        <v/>
      </c>
      <c r="AN62" s="2" t="str">
        <f>IF(Source!$C62&gt;=COLUMNS($A62:AN62), Source!$G62, "")</f>
        <v/>
      </c>
      <c r="AO62" s="2" t="str">
        <f>IF(Source!$C62&gt;=COLUMNS($A62:AO62), Source!$G62, "")</f>
        <v/>
      </c>
      <c r="AP62" s="2" t="str">
        <f>IF(Source!$C62&gt;=COLUMNS($A62:AP62), Source!$G62, "")</f>
        <v/>
      </c>
      <c r="AQ62" s="2" t="str">
        <f>IF(Source!$C62&gt;=COLUMNS($A62:AQ62), Source!$G62, "")</f>
        <v/>
      </c>
      <c r="AR62" s="2" t="str">
        <f>IF(Source!$C62&gt;=COLUMNS($A62:AR62), Source!$G62, "")</f>
        <v/>
      </c>
    </row>
    <row r="63">
      <c r="A63" s="2">
        <f>IF(Source!$C63&gt;=COLUMNS($A63:A63), Source!$G63, "")</f>
        <v>7</v>
      </c>
      <c r="B63" s="2">
        <f>IF(Source!$C63&gt;=COLUMNS($A63:B63), Source!$G63, "")</f>
        <v>7</v>
      </c>
      <c r="C63" s="2">
        <f>IF(Source!$C63&gt;=COLUMNS($A63:C63), Source!$G63, "")</f>
        <v>7</v>
      </c>
      <c r="D63" s="2" t="str">
        <f>IF(Source!$C63&gt;=COLUMNS($A63:D63), Source!$G63, "")</f>
        <v/>
      </c>
      <c r="E63" s="2" t="str">
        <f>IF(Source!$C63&gt;=COLUMNS($A63:E63), Source!$G63, "")</f>
        <v/>
      </c>
      <c r="F63" s="2" t="str">
        <f>IF(Source!$C63&gt;=COLUMNS($A63:F63), Source!$G63, "")</f>
        <v/>
      </c>
      <c r="G63" s="2" t="str">
        <f>IF(Source!$C63&gt;=COLUMNS($A63:G63), Source!$G63, "")</f>
        <v/>
      </c>
      <c r="H63" s="2" t="str">
        <f>IF(Source!$C63&gt;=COLUMNS($A63:H63), Source!$G63, "")</f>
        <v/>
      </c>
      <c r="I63" s="2" t="str">
        <f>IF(Source!$C63&gt;=COLUMNS($A63:I63), Source!$G63, "")</f>
        <v/>
      </c>
      <c r="J63" s="2" t="str">
        <f>IF(Source!$C63&gt;=COLUMNS($A63:J63), Source!$G63, "")</f>
        <v/>
      </c>
      <c r="K63" s="2" t="str">
        <f>IF(Source!$C63&gt;=COLUMNS($A63:K63), Source!$G63, "")</f>
        <v/>
      </c>
      <c r="L63" s="2" t="str">
        <f>IF(Source!$C63&gt;=COLUMNS($A63:L63), Source!$G63, "")</f>
        <v/>
      </c>
      <c r="M63" s="2" t="str">
        <f>IF(Source!$C63&gt;=COLUMNS($A63:M63), Source!$G63, "")</f>
        <v/>
      </c>
      <c r="N63" s="2" t="str">
        <f>IF(Source!$C63&gt;=COLUMNS($A63:N63), Source!$G63, "")</f>
        <v/>
      </c>
      <c r="O63" s="2" t="str">
        <f>IF(Source!$C63&gt;=COLUMNS($A63:O63), Source!$G63, "")</f>
        <v/>
      </c>
      <c r="P63" s="2" t="str">
        <f>IF(Source!$C63&gt;=COLUMNS($A63:P63), Source!$G63, "")</f>
        <v/>
      </c>
      <c r="Q63" s="2" t="str">
        <f>IF(Source!$C63&gt;=COLUMNS($A63:Q63), Source!$G63, "")</f>
        <v/>
      </c>
      <c r="R63" s="2" t="str">
        <f>IF(Source!$C63&gt;=COLUMNS($A63:R63), Source!$G63, "")</f>
        <v/>
      </c>
      <c r="S63" s="2" t="str">
        <f>IF(Source!$C63&gt;=COLUMNS($A63:S63), Source!$G63, "")</f>
        <v/>
      </c>
      <c r="T63" s="2" t="str">
        <f>IF(Source!$C63&gt;=COLUMNS($A63:T63), Source!$G63, "")</f>
        <v/>
      </c>
      <c r="U63" s="2" t="str">
        <f>IF(Source!$C63&gt;=COLUMNS($A63:U63), Source!$G63, "")</f>
        <v/>
      </c>
      <c r="V63" s="2" t="str">
        <f>IF(Source!$C63&gt;=COLUMNS($A63:V63), Source!$G63, "")</f>
        <v/>
      </c>
      <c r="W63" s="2" t="str">
        <f>IF(Source!$C63&gt;=COLUMNS($A63:W63), Source!$G63, "")</f>
        <v/>
      </c>
      <c r="X63" s="2" t="str">
        <f>IF(Source!$C63&gt;=COLUMNS($A63:X63), Source!$G63, "")</f>
        <v/>
      </c>
      <c r="Y63" s="2" t="str">
        <f>IF(Source!$C63&gt;=COLUMNS($A63:Y63), Source!$G63, "")</f>
        <v/>
      </c>
      <c r="Z63" s="2" t="str">
        <f>IF(Source!$C63&gt;=COLUMNS($A63:Z63), Source!$G63, "")</f>
        <v/>
      </c>
      <c r="AA63" s="2" t="str">
        <f>IF(Source!$C63&gt;=COLUMNS($A63:AA63), Source!$G63, "")</f>
        <v/>
      </c>
      <c r="AB63" s="2" t="str">
        <f>IF(Source!$C63&gt;=COLUMNS($A63:AB63), Source!$G63, "")</f>
        <v/>
      </c>
      <c r="AC63" s="2" t="str">
        <f>IF(Source!$C63&gt;=COLUMNS($A63:AC63), Source!$G63, "")</f>
        <v/>
      </c>
      <c r="AD63" s="2" t="str">
        <f>IF(Source!$C63&gt;=COLUMNS($A63:AD63), Source!$G63, "")</f>
        <v/>
      </c>
      <c r="AE63" s="2" t="str">
        <f>IF(Source!$C63&gt;=COLUMNS($A63:AE63), Source!$G63, "")</f>
        <v/>
      </c>
      <c r="AF63" s="2" t="str">
        <f>IF(Source!$C63&gt;=COLUMNS($A63:AF63), Source!$G63, "")</f>
        <v/>
      </c>
      <c r="AG63" s="2" t="str">
        <f>IF(Source!$C63&gt;=COLUMNS($A63:AG63), Source!$G63, "")</f>
        <v/>
      </c>
      <c r="AH63" s="2" t="str">
        <f>IF(Source!$C63&gt;=COLUMNS($A63:AH63), Source!$G63, "")</f>
        <v/>
      </c>
      <c r="AI63" s="2" t="str">
        <f>IF(Source!$C63&gt;=COLUMNS($A63:AI63), Source!$G63, "")</f>
        <v/>
      </c>
      <c r="AJ63" s="2" t="str">
        <f>IF(Source!$C63&gt;=COLUMNS($A63:AJ63), Source!$G63, "")</f>
        <v/>
      </c>
      <c r="AK63" s="2" t="str">
        <f>IF(Source!$C63&gt;=COLUMNS($A63:AK63), Source!$G63, "")</f>
        <v/>
      </c>
      <c r="AL63" s="2" t="str">
        <f>IF(Source!$C63&gt;=COLUMNS($A63:AL63), Source!$G63, "")</f>
        <v/>
      </c>
      <c r="AM63" s="2" t="str">
        <f>IF(Source!$C63&gt;=COLUMNS($A63:AM63), Source!$G63, "")</f>
        <v/>
      </c>
      <c r="AN63" s="2" t="str">
        <f>IF(Source!$C63&gt;=COLUMNS($A63:AN63), Source!$G63, "")</f>
        <v/>
      </c>
      <c r="AO63" s="2" t="str">
        <f>IF(Source!$C63&gt;=COLUMNS($A63:AO63), Source!$G63, "")</f>
        <v/>
      </c>
      <c r="AP63" s="2" t="str">
        <f>IF(Source!$C63&gt;=COLUMNS($A63:AP63), Source!$G63, "")</f>
        <v/>
      </c>
      <c r="AQ63" s="2" t="str">
        <f>IF(Source!$C63&gt;=COLUMNS($A63:AQ63), Source!$G63, "")</f>
        <v/>
      </c>
      <c r="AR63" s="2" t="str">
        <f>IF(Source!$C63&gt;=COLUMNS($A63:AR63), Source!$G63, "")</f>
        <v/>
      </c>
    </row>
    <row r="64">
      <c r="A64" s="2">
        <f>IF(Source!$C64&gt;=COLUMNS($A64:A64), Source!$G64, "")</f>
        <v>9</v>
      </c>
      <c r="B64" s="2">
        <f>IF(Source!$C64&gt;=COLUMNS($A64:B64), Source!$G64, "")</f>
        <v>9</v>
      </c>
      <c r="C64" s="2">
        <f>IF(Source!$C64&gt;=COLUMNS($A64:C64), Source!$G64, "")</f>
        <v>9</v>
      </c>
      <c r="D64" s="2">
        <f>IF(Source!$C64&gt;=COLUMNS($A64:D64), Source!$G64, "")</f>
        <v>9</v>
      </c>
      <c r="E64" s="2" t="str">
        <f>IF(Source!$C64&gt;=COLUMNS($A64:E64), Source!$G64, "")</f>
        <v/>
      </c>
      <c r="F64" s="2" t="str">
        <f>IF(Source!$C64&gt;=COLUMNS($A64:F64), Source!$G64, "")</f>
        <v/>
      </c>
      <c r="G64" s="2" t="str">
        <f>IF(Source!$C64&gt;=COLUMNS($A64:G64), Source!$G64, "")</f>
        <v/>
      </c>
      <c r="H64" s="2" t="str">
        <f>IF(Source!$C64&gt;=COLUMNS($A64:H64), Source!$G64, "")</f>
        <v/>
      </c>
      <c r="I64" s="2" t="str">
        <f>IF(Source!$C64&gt;=COLUMNS($A64:I64), Source!$G64, "")</f>
        <v/>
      </c>
      <c r="J64" s="2" t="str">
        <f>IF(Source!$C64&gt;=COLUMNS($A64:J64), Source!$G64, "")</f>
        <v/>
      </c>
      <c r="K64" s="2" t="str">
        <f>IF(Source!$C64&gt;=COLUMNS($A64:K64), Source!$G64, "")</f>
        <v/>
      </c>
      <c r="L64" s="2" t="str">
        <f>IF(Source!$C64&gt;=COLUMNS($A64:L64), Source!$G64, "")</f>
        <v/>
      </c>
      <c r="M64" s="2" t="str">
        <f>IF(Source!$C64&gt;=COLUMNS($A64:M64), Source!$G64, "")</f>
        <v/>
      </c>
      <c r="N64" s="2" t="str">
        <f>IF(Source!$C64&gt;=COLUMNS($A64:N64), Source!$G64, "")</f>
        <v/>
      </c>
      <c r="O64" s="2" t="str">
        <f>IF(Source!$C64&gt;=COLUMNS($A64:O64), Source!$G64, "")</f>
        <v/>
      </c>
      <c r="P64" s="2" t="str">
        <f>IF(Source!$C64&gt;=COLUMNS($A64:P64), Source!$G64, "")</f>
        <v/>
      </c>
      <c r="Q64" s="2" t="str">
        <f>IF(Source!$C64&gt;=COLUMNS($A64:Q64), Source!$G64, "")</f>
        <v/>
      </c>
      <c r="R64" s="2" t="str">
        <f>IF(Source!$C64&gt;=COLUMNS($A64:R64), Source!$G64, "")</f>
        <v/>
      </c>
      <c r="S64" s="2" t="str">
        <f>IF(Source!$C64&gt;=COLUMNS($A64:S64), Source!$G64, "")</f>
        <v/>
      </c>
      <c r="T64" s="2" t="str">
        <f>IF(Source!$C64&gt;=COLUMNS($A64:T64), Source!$G64, "")</f>
        <v/>
      </c>
      <c r="U64" s="2" t="str">
        <f>IF(Source!$C64&gt;=COLUMNS($A64:U64), Source!$G64, "")</f>
        <v/>
      </c>
      <c r="V64" s="2" t="str">
        <f>IF(Source!$C64&gt;=COLUMNS($A64:V64), Source!$G64, "")</f>
        <v/>
      </c>
      <c r="W64" s="2" t="str">
        <f>IF(Source!$C64&gt;=COLUMNS($A64:W64), Source!$G64, "")</f>
        <v/>
      </c>
      <c r="X64" s="2" t="str">
        <f>IF(Source!$C64&gt;=COLUMNS($A64:X64), Source!$G64, "")</f>
        <v/>
      </c>
      <c r="Y64" s="2" t="str">
        <f>IF(Source!$C64&gt;=COLUMNS($A64:Y64), Source!$G64, "")</f>
        <v/>
      </c>
      <c r="Z64" s="2" t="str">
        <f>IF(Source!$C64&gt;=COLUMNS($A64:Z64), Source!$G64, "")</f>
        <v/>
      </c>
      <c r="AA64" s="2" t="str">
        <f>IF(Source!$C64&gt;=COLUMNS($A64:AA64), Source!$G64, "")</f>
        <v/>
      </c>
      <c r="AB64" s="2" t="str">
        <f>IF(Source!$C64&gt;=COLUMNS($A64:AB64), Source!$G64, "")</f>
        <v/>
      </c>
      <c r="AC64" s="2" t="str">
        <f>IF(Source!$C64&gt;=COLUMNS($A64:AC64), Source!$G64, "")</f>
        <v/>
      </c>
      <c r="AD64" s="2" t="str">
        <f>IF(Source!$C64&gt;=COLUMNS($A64:AD64), Source!$G64, "")</f>
        <v/>
      </c>
      <c r="AE64" s="2" t="str">
        <f>IF(Source!$C64&gt;=COLUMNS($A64:AE64), Source!$G64, "")</f>
        <v/>
      </c>
      <c r="AF64" s="2" t="str">
        <f>IF(Source!$C64&gt;=COLUMNS($A64:AF64), Source!$G64, "")</f>
        <v/>
      </c>
      <c r="AG64" s="2" t="str">
        <f>IF(Source!$C64&gt;=COLUMNS($A64:AG64), Source!$G64, "")</f>
        <v/>
      </c>
      <c r="AH64" s="2" t="str">
        <f>IF(Source!$C64&gt;=COLUMNS($A64:AH64), Source!$G64, "")</f>
        <v/>
      </c>
      <c r="AI64" s="2" t="str">
        <f>IF(Source!$C64&gt;=COLUMNS($A64:AI64), Source!$G64, "")</f>
        <v/>
      </c>
      <c r="AJ64" s="2" t="str">
        <f>IF(Source!$C64&gt;=COLUMNS($A64:AJ64), Source!$G64, "")</f>
        <v/>
      </c>
      <c r="AK64" s="2" t="str">
        <f>IF(Source!$C64&gt;=COLUMNS($A64:AK64), Source!$G64, "")</f>
        <v/>
      </c>
      <c r="AL64" s="2" t="str">
        <f>IF(Source!$C64&gt;=COLUMNS($A64:AL64), Source!$G64, "")</f>
        <v/>
      </c>
      <c r="AM64" s="2" t="str">
        <f>IF(Source!$C64&gt;=COLUMNS($A64:AM64), Source!$G64, "")</f>
        <v/>
      </c>
      <c r="AN64" s="2" t="str">
        <f>IF(Source!$C64&gt;=COLUMNS($A64:AN64), Source!$G64, "")</f>
        <v/>
      </c>
      <c r="AO64" s="2" t="str">
        <f>IF(Source!$C64&gt;=COLUMNS($A64:AO64), Source!$G64, "")</f>
        <v/>
      </c>
      <c r="AP64" s="2" t="str">
        <f>IF(Source!$C64&gt;=COLUMNS($A64:AP64), Source!$G64, "")</f>
        <v/>
      </c>
      <c r="AQ64" s="2" t="str">
        <f>IF(Source!$C64&gt;=COLUMNS($A64:AQ64), Source!$G64, "")</f>
        <v/>
      </c>
      <c r="AR64" s="2" t="str">
        <f>IF(Source!$C64&gt;=COLUMNS($A64:AR64), Source!$G64, "")</f>
        <v/>
      </c>
    </row>
    <row r="65">
      <c r="A65" s="2">
        <f>IF(Source!$C65&gt;=COLUMNS($A65:A65), Source!$G65, "")</f>
        <v>1</v>
      </c>
      <c r="B65" s="2">
        <f>IF(Source!$C65&gt;=COLUMNS($A65:B65), Source!$G65, "")</f>
        <v>1</v>
      </c>
      <c r="C65" s="2" t="str">
        <f>IF(Source!$C65&gt;=COLUMNS($A65:C65), Source!$G65, "")</f>
        <v/>
      </c>
      <c r="D65" s="2" t="str">
        <f>IF(Source!$C65&gt;=COLUMNS($A65:D65), Source!$G65, "")</f>
        <v/>
      </c>
      <c r="E65" s="2" t="str">
        <f>IF(Source!$C65&gt;=COLUMNS($A65:E65), Source!$G65, "")</f>
        <v/>
      </c>
      <c r="F65" s="2" t="str">
        <f>IF(Source!$C65&gt;=COLUMNS($A65:F65), Source!$G65, "")</f>
        <v/>
      </c>
      <c r="G65" s="2" t="str">
        <f>IF(Source!$C65&gt;=COLUMNS($A65:G65), Source!$G65, "")</f>
        <v/>
      </c>
      <c r="H65" s="2" t="str">
        <f>IF(Source!$C65&gt;=COLUMNS($A65:H65), Source!$G65, "")</f>
        <v/>
      </c>
      <c r="I65" s="2" t="str">
        <f>IF(Source!$C65&gt;=COLUMNS($A65:I65), Source!$G65, "")</f>
        <v/>
      </c>
      <c r="J65" s="2" t="str">
        <f>IF(Source!$C65&gt;=COLUMNS($A65:J65), Source!$G65, "")</f>
        <v/>
      </c>
      <c r="K65" s="2" t="str">
        <f>IF(Source!$C65&gt;=COLUMNS($A65:K65), Source!$G65, "")</f>
        <v/>
      </c>
      <c r="L65" s="2" t="str">
        <f>IF(Source!$C65&gt;=COLUMNS($A65:L65), Source!$G65, "")</f>
        <v/>
      </c>
      <c r="M65" s="2" t="str">
        <f>IF(Source!$C65&gt;=COLUMNS($A65:M65), Source!$G65, "")</f>
        <v/>
      </c>
      <c r="N65" s="2" t="str">
        <f>IF(Source!$C65&gt;=COLUMNS($A65:N65), Source!$G65, "")</f>
        <v/>
      </c>
      <c r="O65" s="2" t="str">
        <f>IF(Source!$C65&gt;=COLUMNS($A65:O65), Source!$G65, "")</f>
        <v/>
      </c>
      <c r="P65" s="2" t="str">
        <f>IF(Source!$C65&gt;=COLUMNS($A65:P65), Source!$G65, "")</f>
        <v/>
      </c>
      <c r="Q65" s="2" t="str">
        <f>IF(Source!$C65&gt;=COLUMNS($A65:Q65), Source!$G65, "")</f>
        <v/>
      </c>
      <c r="R65" s="2" t="str">
        <f>IF(Source!$C65&gt;=COLUMNS($A65:R65), Source!$G65, "")</f>
        <v/>
      </c>
      <c r="S65" s="2" t="str">
        <f>IF(Source!$C65&gt;=COLUMNS($A65:S65), Source!$G65, "")</f>
        <v/>
      </c>
      <c r="T65" s="2" t="str">
        <f>IF(Source!$C65&gt;=COLUMNS($A65:T65), Source!$G65, "")</f>
        <v/>
      </c>
      <c r="U65" s="2" t="str">
        <f>IF(Source!$C65&gt;=COLUMNS($A65:U65), Source!$G65, "")</f>
        <v/>
      </c>
      <c r="V65" s="2" t="str">
        <f>IF(Source!$C65&gt;=COLUMNS($A65:V65), Source!$G65, "")</f>
        <v/>
      </c>
      <c r="W65" s="2" t="str">
        <f>IF(Source!$C65&gt;=COLUMNS($A65:W65), Source!$G65, "")</f>
        <v/>
      </c>
      <c r="X65" s="2" t="str">
        <f>IF(Source!$C65&gt;=COLUMNS($A65:X65), Source!$G65, "")</f>
        <v/>
      </c>
      <c r="Y65" s="2" t="str">
        <f>IF(Source!$C65&gt;=COLUMNS($A65:Y65), Source!$G65, "")</f>
        <v/>
      </c>
      <c r="Z65" s="2" t="str">
        <f>IF(Source!$C65&gt;=COLUMNS($A65:Z65), Source!$G65, "")</f>
        <v/>
      </c>
      <c r="AA65" s="2" t="str">
        <f>IF(Source!$C65&gt;=COLUMNS($A65:AA65), Source!$G65, "")</f>
        <v/>
      </c>
      <c r="AB65" s="2" t="str">
        <f>IF(Source!$C65&gt;=COLUMNS($A65:AB65), Source!$G65, "")</f>
        <v/>
      </c>
      <c r="AC65" s="2" t="str">
        <f>IF(Source!$C65&gt;=COLUMNS($A65:AC65), Source!$G65, "")</f>
        <v/>
      </c>
      <c r="AD65" s="2" t="str">
        <f>IF(Source!$C65&gt;=COLUMNS($A65:AD65), Source!$G65, "")</f>
        <v/>
      </c>
      <c r="AE65" s="2" t="str">
        <f>IF(Source!$C65&gt;=COLUMNS($A65:AE65), Source!$G65, "")</f>
        <v/>
      </c>
      <c r="AF65" s="2" t="str">
        <f>IF(Source!$C65&gt;=COLUMNS($A65:AF65), Source!$G65, "")</f>
        <v/>
      </c>
      <c r="AG65" s="2" t="str">
        <f>IF(Source!$C65&gt;=COLUMNS($A65:AG65), Source!$G65, "")</f>
        <v/>
      </c>
      <c r="AH65" s="2" t="str">
        <f>IF(Source!$C65&gt;=COLUMNS($A65:AH65), Source!$G65, "")</f>
        <v/>
      </c>
      <c r="AI65" s="2" t="str">
        <f>IF(Source!$C65&gt;=COLUMNS($A65:AI65), Source!$G65, "")</f>
        <v/>
      </c>
      <c r="AJ65" s="2" t="str">
        <f>IF(Source!$C65&gt;=COLUMNS($A65:AJ65), Source!$G65, "")</f>
        <v/>
      </c>
      <c r="AK65" s="2" t="str">
        <f>IF(Source!$C65&gt;=COLUMNS($A65:AK65), Source!$G65, "")</f>
        <v/>
      </c>
      <c r="AL65" s="2" t="str">
        <f>IF(Source!$C65&gt;=COLUMNS($A65:AL65), Source!$G65, "")</f>
        <v/>
      </c>
      <c r="AM65" s="2" t="str">
        <f>IF(Source!$C65&gt;=COLUMNS($A65:AM65), Source!$G65, "")</f>
        <v/>
      </c>
      <c r="AN65" s="2" t="str">
        <f>IF(Source!$C65&gt;=COLUMNS($A65:AN65), Source!$G65, "")</f>
        <v/>
      </c>
      <c r="AO65" s="2" t="str">
        <f>IF(Source!$C65&gt;=COLUMNS($A65:AO65), Source!$G65, "")</f>
        <v/>
      </c>
      <c r="AP65" s="2" t="str">
        <f>IF(Source!$C65&gt;=COLUMNS($A65:AP65), Source!$G65, "")</f>
        <v/>
      </c>
      <c r="AQ65" s="2" t="str">
        <f>IF(Source!$C65&gt;=COLUMNS($A65:AQ65), Source!$G65, "")</f>
        <v/>
      </c>
      <c r="AR65" s="2" t="str">
        <f>IF(Source!$C65&gt;=COLUMNS($A65:AR65), Source!$G65, "")</f>
        <v/>
      </c>
    </row>
    <row r="66">
      <c r="A66" s="2">
        <f>IF(Source!$C66&gt;=COLUMNS($A66:A66), Source!$G66, "")</f>
        <v>6</v>
      </c>
      <c r="B66" s="2">
        <f>IF(Source!$C66&gt;=COLUMNS($A66:B66), Source!$G66, "")</f>
        <v>6</v>
      </c>
      <c r="C66" s="2">
        <f>IF(Source!$C66&gt;=COLUMNS($A66:C66), Source!$G66, "")</f>
        <v>6</v>
      </c>
      <c r="D66" s="2">
        <f>IF(Source!$C66&gt;=COLUMNS($A66:D66), Source!$G66, "")</f>
        <v>6</v>
      </c>
      <c r="E66" s="2">
        <f>IF(Source!$C66&gt;=COLUMNS($A66:E66), Source!$G66, "")</f>
        <v>6</v>
      </c>
      <c r="F66" s="2">
        <f>IF(Source!$C66&gt;=COLUMNS($A66:F66), Source!$G66, "")</f>
        <v>6</v>
      </c>
      <c r="G66" s="2">
        <f>IF(Source!$C66&gt;=COLUMNS($A66:G66), Source!$G66, "")</f>
        <v>6</v>
      </c>
      <c r="H66" s="2">
        <f>IF(Source!$C66&gt;=COLUMNS($A66:H66), Source!$G66, "")</f>
        <v>6</v>
      </c>
      <c r="I66" s="2">
        <f>IF(Source!$C66&gt;=COLUMNS($A66:I66), Source!$G66, "")</f>
        <v>6</v>
      </c>
      <c r="J66" s="2">
        <f>IF(Source!$C66&gt;=COLUMNS($A66:J66), Source!$G66, "")</f>
        <v>6</v>
      </c>
      <c r="K66" s="2">
        <f>IF(Source!$C66&gt;=COLUMNS($A66:K66), Source!$G66, "")</f>
        <v>6</v>
      </c>
      <c r="L66" s="2">
        <f>IF(Source!$C66&gt;=COLUMNS($A66:L66), Source!$G66, "")</f>
        <v>6</v>
      </c>
      <c r="M66" s="2">
        <f>IF(Source!$C66&gt;=COLUMNS($A66:M66), Source!$G66, "")</f>
        <v>6</v>
      </c>
      <c r="N66" s="2">
        <f>IF(Source!$C66&gt;=COLUMNS($A66:N66), Source!$G66, "")</f>
        <v>6</v>
      </c>
      <c r="O66" s="2">
        <f>IF(Source!$C66&gt;=COLUMNS($A66:O66), Source!$G66, "")</f>
        <v>6</v>
      </c>
      <c r="P66" s="2">
        <f>IF(Source!$C66&gt;=COLUMNS($A66:P66), Source!$G66, "")</f>
        <v>6</v>
      </c>
      <c r="Q66" s="2">
        <f>IF(Source!$C66&gt;=COLUMNS($A66:Q66), Source!$G66, "")</f>
        <v>6</v>
      </c>
      <c r="R66" s="2">
        <f>IF(Source!$C66&gt;=COLUMNS($A66:R66), Source!$G66, "")</f>
        <v>6</v>
      </c>
      <c r="S66" s="2">
        <f>IF(Source!$C66&gt;=COLUMNS($A66:S66), Source!$G66, "")</f>
        <v>6</v>
      </c>
      <c r="T66" s="2">
        <f>IF(Source!$C66&gt;=COLUMNS($A66:T66), Source!$G66, "")</f>
        <v>6</v>
      </c>
      <c r="U66" s="2">
        <f>IF(Source!$C66&gt;=COLUMNS($A66:U66), Source!$G66, "")</f>
        <v>6</v>
      </c>
      <c r="V66" s="2">
        <f>IF(Source!$C66&gt;=COLUMNS($A66:V66), Source!$G66, "")</f>
        <v>6</v>
      </c>
      <c r="W66" s="2">
        <f>IF(Source!$C66&gt;=COLUMNS($A66:W66), Source!$G66, "")</f>
        <v>6</v>
      </c>
      <c r="X66" s="2">
        <f>IF(Source!$C66&gt;=COLUMNS($A66:X66), Source!$G66, "")</f>
        <v>6</v>
      </c>
      <c r="Y66" s="2">
        <f>IF(Source!$C66&gt;=COLUMNS($A66:Y66), Source!$G66, "")</f>
        <v>6</v>
      </c>
      <c r="Z66" s="2">
        <f>IF(Source!$C66&gt;=COLUMNS($A66:Z66), Source!$G66, "")</f>
        <v>6</v>
      </c>
      <c r="AA66" s="2">
        <f>IF(Source!$C66&gt;=COLUMNS($A66:AA66), Source!$G66, "")</f>
        <v>6</v>
      </c>
      <c r="AB66" s="2" t="str">
        <f>IF(Source!$C66&gt;=COLUMNS($A66:AB66), Source!$G66, "")</f>
        <v/>
      </c>
      <c r="AC66" s="2" t="str">
        <f>IF(Source!$C66&gt;=COLUMNS($A66:AC66), Source!$G66, "")</f>
        <v/>
      </c>
      <c r="AD66" s="2" t="str">
        <f>IF(Source!$C66&gt;=COLUMNS($A66:AD66), Source!$G66, "")</f>
        <v/>
      </c>
      <c r="AE66" s="2" t="str">
        <f>IF(Source!$C66&gt;=COLUMNS($A66:AE66), Source!$G66, "")</f>
        <v/>
      </c>
      <c r="AF66" s="2" t="str">
        <f>IF(Source!$C66&gt;=COLUMNS($A66:AF66), Source!$G66, "")</f>
        <v/>
      </c>
      <c r="AG66" s="2" t="str">
        <f>IF(Source!$C66&gt;=COLUMNS($A66:AG66), Source!$G66, "")</f>
        <v/>
      </c>
      <c r="AH66" s="2" t="str">
        <f>IF(Source!$C66&gt;=COLUMNS($A66:AH66), Source!$G66, "")</f>
        <v/>
      </c>
      <c r="AI66" s="2" t="str">
        <f>IF(Source!$C66&gt;=COLUMNS($A66:AI66), Source!$G66, "")</f>
        <v/>
      </c>
      <c r="AJ66" s="2" t="str">
        <f>IF(Source!$C66&gt;=COLUMNS($A66:AJ66), Source!$G66, "")</f>
        <v/>
      </c>
      <c r="AK66" s="2" t="str">
        <f>IF(Source!$C66&gt;=COLUMNS($A66:AK66), Source!$G66, "")</f>
        <v/>
      </c>
      <c r="AL66" s="2" t="str">
        <f>IF(Source!$C66&gt;=COLUMNS($A66:AL66), Source!$G66, "")</f>
        <v/>
      </c>
      <c r="AM66" s="2" t="str">
        <f>IF(Source!$C66&gt;=COLUMNS($A66:AM66), Source!$G66, "")</f>
        <v/>
      </c>
      <c r="AN66" s="2" t="str">
        <f>IF(Source!$C66&gt;=COLUMNS($A66:AN66), Source!$G66, "")</f>
        <v/>
      </c>
      <c r="AO66" s="2" t="str">
        <f>IF(Source!$C66&gt;=COLUMNS($A66:AO66), Source!$G66, "")</f>
        <v/>
      </c>
      <c r="AP66" s="2" t="str">
        <f>IF(Source!$C66&gt;=COLUMNS($A66:AP66), Source!$G66, "")</f>
        <v/>
      </c>
      <c r="AQ66" s="2" t="str">
        <f>IF(Source!$C66&gt;=COLUMNS($A66:AQ66), Source!$G66, "")</f>
        <v/>
      </c>
      <c r="AR66" s="2" t="str">
        <f>IF(Source!$C66&gt;=COLUMNS($A66:AR66), Source!$G66, "")</f>
        <v/>
      </c>
    </row>
    <row r="67">
      <c r="A67" s="2">
        <f>IF(Source!$C67&gt;=COLUMNS($A67:A67), Source!$G67, "")</f>
        <v>2</v>
      </c>
      <c r="B67" s="2">
        <f>IF(Source!$C67&gt;=COLUMNS($A67:B67), Source!$G67, "")</f>
        <v>2</v>
      </c>
      <c r="C67" s="2" t="str">
        <f>IF(Source!$C67&gt;=COLUMNS($A67:C67), Source!$G67, "")</f>
        <v/>
      </c>
      <c r="D67" s="2" t="str">
        <f>IF(Source!$C67&gt;=COLUMNS($A67:D67), Source!$G67, "")</f>
        <v/>
      </c>
      <c r="E67" s="2" t="str">
        <f>IF(Source!$C67&gt;=COLUMNS($A67:E67), Source!$G67, "")</f>
        <v/>
      </c>
      <c r="F67" s="2" t="str">
        <f>IF(Source!$C67&gt;=COLUMNS($A67:F67), Source!$G67, "")</f>
        <v/>
      </c>
      <c r="G67" s="2" t="str">
        <f>IF(Source!$C67&gt;=COLUMNS($A67:G67), Source!$G67, "")</f>
        <v/>
      </c>
      <c r="H67" s="2" t="str">
        <f>IF(Source!$C67&gt;=COLUMNS($A67:H67), Source!$G67, "")</f>
        <v/>
      </c>
      <c r="I67" s="2" t="str">
        <f>IF(Source!$C67&gt;=COLUMNS($A67:I67), Source!$G67, "")</f>
        <v/>
      </c>
      <c r="J67" s="2" t="str">
        <f>IF(Source!$C67&gt;=COLUMNS($A67:J67), Source!$G67, "")</f>
        <v/>
      </c>
      <c r="K67" s="2" t="str">
        <f>IF(Source!$C67&gt;=COLUMNS($A67:K67), Source!$G67, "")</f>
        <v/>
      </c>
      <c r="L67" s="2" t="str">
        <f>IF(Source!$C67&gt;=COLUMNS($A67:L67), Source!$G67, "")</f>
        <v/>
      </c>
      <c r="M67" s="2" t="str">
        <f>IF(Source!$C67&gt;=COLUMNS($A67:M67), Source!$G67, "")</f>
        <v/>
      </c>
      <c r="N67" s="2" t="str">
        <f>IF(Source!$C67&gt;=COLUMNS($A67:N67), Source!$G67, "")</f>
        <v/>
      </c>
      <c r="O67" s="2" t="str">
        <f>IF(Source!$C67&gt;=COLUMNS($A67:O67), Source!$G67, "")</f>
        <v/>
      </c>
      <c r="P67" s="2" t="str">
        <f>IF(Source!$C67&gt;=COLUMNS($A67:P67), Source!$G67, "")</f>
        <v/>
      </c>
      <c r="Q67" s="2" t="str">
        <f>IF(Source!$C67&gt;=COLUMNS($A67:Q67), Source!$G67, "")</f>
        <v/>
      </c>
      <c r="R67" s="2" t="str">
        <f>IF(Source!$C67&gt;=COLUMNS($A67:R67), Source!$G67, "")</f>
        <v/>
      </c>
      <c r="S67" s="2" t="str">
        <f>IF(Source!$C67&gt;=COLUMNS($A67:S67), Source!$G67, "")</f>
        <v/>
      </c>
      <c r="T67" s="2" t="str">
        <f>IF(Source!$C67&gt;=COLUMNS($A67:T67), Source!$G67, "")</f>
        <v/>
      </c>
      <c r="U67" s="2" t="str">
        <f>IF(Source!$C67&gt;=COLUMNS($A67:U67), Source!$G67, "")</f>
        <v/>
      </c>
      <c r="V67" s="2" t="str">
        <f>IF(Source!$C67&gt;=COLUMNS($A67:V67), Source!$G67, "")</f>
        <v/>
      </c>
      <c r="W67" s="2" t="str">
        <f>IF(Source!$C67&gt;=COLUMNS($A67:W67), Source!$G67, "")</f>
        <v/>
      </c>
      <c r="X67" s="2" t="str">
        <f>IF(Source!$C67&gt;=COLUMNS($A67:X67), Source!$G67, "")</f>
        <v/>
      </c>
      <c r="Y67" s="2" t="str">
        <f>IF(Source!$C67&gt;=COLUMNS($A67:Y67), Source!$G67, "")</f>
        <v/>
      </c>
      <c r="Z67" s="2" t="str">
        <f>IF(Source!$C67&gt;=COLUMNS($A67:Z67), Source!$G67, "")</f>
        <v/>
      </c>
      <c r="AA67" s="2" t="str">
        <f>IF(Source!$C67&gt;=COLUMNS($A67:AA67), Source!$G67, "")</f>
        <v/>
      </c>
      <c r="AB67" s="2" t="str">
        <f>IF(Source!$C67&gt;=COLUMNS($A67:AB67), Source!$G67, "")</f>
        <v/>
      </c>
      <c r="AC67" s="2" t="str">
        <f>IF(Source!$C67&gt;=COLUMNS($A67:AC67), Source!$G67, "")</f>
        <v/>
      </c>
      <c r="AD67" s="2" t="str">
        <f>IF(Source!$C67&gt;=COLUMNS($A67:AD67), Source!$G67, "")</f>
        <v/>
      </c>
      <c r="AE67" s="2" t="str">
        <f>IF(Source!$C67&gt;=COLUMNS($A67:AE67), Source!$G67, "")</f>
        <v/>
      </c>
      <c r="AF67" s="2" t="str">
        <f>IF(Source!$C67&gt;=COLUMNS($A67:AF67), Source!$G67, "")</f>
        <v/>
      </c>
      <c r="AG67" s="2" t="str">
        <f>IF(Source!$C67&gt;=COLUMNS($A67:AG67), Source!$G67, "")</f>
        <v/>
      </c>
      <c r="AH67" s="2" t="str">
        <f>IF(Source!$C67&gt;=COLUMNS($A67:AH67), Source!$G67, "")</f>
        <v/>
      </c>
      <c r="AI67" s="2" t="str">
        <f>IF(Source!$C67&gt;=COLUMNS($A67:AI67), Source!$G67, "")</f>
        <v/>
      </c>
      <c r="AJ67" s="2" t="str">
        <f>IF(Source!$C67&gt;=COLUMNS($A67:AJ67), Source!$G67, "")</f>
        <v/>
      </c>
      <c r="AK67" s="2" t="str">
        <f>IF(Source!$C67&gt;=COLUMNS($A67:AK67), Source!$G67, "")</f>
        <v/>
      </c>
      <c r="AL67" s="2" t="str">
        <f>IF(Source!$C67&gt;=COLUMNS($A67:AL67), Source!$G67, "")</f>
        <v/>
      </c>
      <c r="AM67" s="2" t="str">
        <f>IF(Source!$C67&gt;=COLUMNS($A67:AM67), Source!$G67, "")</f>
        <v/>
      </c>
      <c r="AN67" s="2" t="str">
        <f>IF(Source!$C67&gt;=COLUMNS($A67:AN67), Source!$G67, "")</f>
        <v/>
      </c>
      <c r="AO67" s="2" t="str">
        <f>IF(Source!$C67&gt;=COLUMNS($A67:AO67), Source!$G67, "")</f>
        <v/>
      </c>
      <c r="AP67" s="2" t="str">
        <f>IF(Source!$C67&gt;=COLUMNS($A67:AP67), Source!$G67, "")</f>
        <v/>
      </c>
      <c r="AQ67" s="2" t="str">
        <f>IF(Source!$C67&gt;=COLUMNS($A67:AQ67), Source!$G67, "")</f>
        <v/>
      </c>
      <c r="AR67" s="2" t="str">
        <f>IF(Source!$C67&gt;=COLUMNS($A67:AR67), Source!$G67, "")</f>
        <v/>
      </c>
    </row>
    <row r="68">
      <c r="A68" s="2">
        <f>IF(Source!$C68&gt;=COLUMNS($A68:A68), Source!$G68, "")</f>
        <v>4</v>
      </c>
      <c r="B68" s="2">
        <f>IF(Source!$C68&gt;=COLUMNS($A68:B68), Source!$G68, "")</f>
        <v>4</v>
      </c>
      <c r="C68" s="2" t="str">
        <f>IF(Source!$C68&gt;=COLUMNS($A68:C68), Source!$G68, "")</f>
        <v/>
      </c>
      <c r="D68" s="2" t="str">
        <f>IF(Source!$C68&gt;=COLUMNS($A68:D68), Source!$G68, "")</f>
        <v/>
      </c>
      <c r="E68" s="2" t="str">
        <f>IF(Source!$C68&gt;=COLUMNS($A68:E68), Source!$G68, "")</f>
        <v/>
      </c>
      <c r="F68" s="2" t="str">
        <f>IF(Source!$C68&gt;=COLUMNS($A68:F68), Source!$G68, "")</f>
        <v/>
      </c>
      <c r="G68" s="2" t="str">
        <f>IF(Source!$C68&gt;=COLUMNS($A68:G68), Source!$G68, "")</f>
        <v/>
      </c>
      <c r="H68" s="2" t="str">
        <f>IF(Source!$C68&gt;=COLUMNS($A68:H68), Source!$G68, "")</f>
        <v/>
      </c>
      <c r="I68" s="2" t="str">
        <f>IF(Source!$C68&gt;=COLUMNS($A68:I68), Source!$G68, "")</f>
        <v/>
      </c>
      <c r="J68" s="2" t="str">
        <f>IF(Source!$C68&gt;=COLUMNS($A68:J68), Source!$G68, "")</f>
        <v/>
      </c>
      <c r="K68" s="2" t="str">
        <f>IF(Source!$C68&gt;=COLUMNS($A68:K68), Source!$G68, "")</f>
        <v/>
      </c>
      <c r="L68" s="2" t="str">
        <f>IF(Source!$C68&gt;=COLUMNS($A68:L68), Source!$G68, "")</f>
        <v/>
      </c>
      <c r="M68" s="2" t="str">
        <f>IF(Source!$C68&gt;=COLUMNS($A68:M68), Source!$G68, "")</f>
        <v/>
      </c>
      <c r="N68" s="2" t="str">
        <f>IF(Source!$C68&gt;=COLUMNS($A68:N68), Source!$G68, "")</f>
        <v/>
      </c>
      <c r="O68" s="2" t="str">
        <f>IF(Source!$C68&gt;=COLUMNS($A68:O68), Source!$G68, "")</f>
        <v/>
      </c>
      <c r="P68" s="2" t="str">
        <f>IF(Source!$C68&gt;=COLUMNS($A68:P68), Source!$G68, "")</f>
        <v/>
      </c>
      <c r="Q68" s="2" t="str">
        <f>IF(Source!$C68&gt;=COLUMNS($A68:Q68), Source!$G68, "")</f>
        <v/>
      </c>
      <c r="R68" s="2" t="str">
        <f>IF(Source!$C68&gt;=COLUMNS($A68:R68), Source!$G68, "")</f>
        <v/>
      </c>
      <c r="S68" s="2" t="str">
        <f>IF(Source!$C68&gt;=COLUMNS($A68:S68), Source!$G68, "")</f>
        <v/>
      </c>
      <c r="T68" s="2" t="str">
        <f>IF(Source!$C68&gt;=COLUMNS($A68:T68), Source!$G68, "")</f>
        <v/>
      </c>
      <c r="U68" s="2" t="str">
        <f>IF(Source!$C68&gt;=COLUMNS($A68:U68), Source!$G68, "")</f>
        <v/>
      </c>
      <c r="V68" s="2" t="str">
        <f>IF(Source!$C68&gt;=COLUMNS($A68:V68), Source!$G68, "")</f>
        <v/>
      </c>
      <c r="W68" s="2" t="str">
        <f>IF(Source!$C68&gt;=COLUMNS($A68:W68), Source!$G68, "")</f>
        <v/>
      </c>
      <c r="X68" s="2" t="str">
        <f>IF(Source!$C68&gt;=COLUMNS($A68:X68), Source!$G68, "")</f>
        <v/>
      </c>
      <c r="Y68" s="2" t="str">
        <f>IF(Source!$C68&gt;=COLUMNS($A68:Y68), Source!$G68, "")</f>
        <v/>
      </c>
      <c r="Z68" s="2" t="str">
        <f>IF(Source!$C68&gt;=COLUMNS($A68:Z68), Source!$G68, "")</f>
        <v/>
      </c>
      <c r="AA68" s="2" t="str">
        <f>IF(Source!$C68&gt;=COLUMNS($A68:AA68), Source!$G68, "")</f>
        <v/>
      </c>
      <c r="AB68" s="2" t="str">
        <f>IF(Source!$C68&gt;=COLUMNS($A68:AB68), Source!$G68, "")</f>
        <v/>
      </c>
      <c r="AC68" s="2" t="str">
        <f>IF(Source!$C68&gt;=COLUMNS($A68:AC68), Source!$G68, "")</f>
        <v/>
      </c>
      <c r="AD68" s="2" t="str">
        <f>IF(Source!$C68&gt;=COLUMNS($A68:AD68), Source!$G68, "")</f>
        <v/>
      </c>
      <c r="AE68" s="2" t="str">
        <f>IF(Source!$C68&gt;=COLUMNS($A68:AE68), Source!$G68, "")</f>
        <v/>
      </c>
      <c r="AF68" s="2" t="str">
        <f>IF(Source!$C68&gt;=COLUMNS($A68:AF68), Source!$G68, "")</f>
        <v/>
      </c>
      <c r="AG68" s="2" t="str">
        <f>IF(Source!$C68&gt;=COLUMNS($A68:AG68), Source!$G68, "")</f>
        <v/>
      </c>
      <c r="AH68" s="2" t="str">
        <f>IF(Source!$C68&gt;=COLUMNS($A68:AH68), Source!$G68, "")</f>
        <v/>
      </c>
      <c r="AI68" s="2" t="str">
        <f>IF(Source!$C68&gt;=COLUMNS($A68:AI68), Source!$G68, "")</f>
        <v/>
      </c>
      <c r="AJ68" s="2" t="str">
        <f>IF(Source!$C68&gt;=COLUMNS($A68:AJ68), Source!$G68, "")</f>
        <v/>
      </c>
      <c r="AK68" s="2" t="str">
        <f>IF(Source!$C68&gt;=COLUMNS($A68:AK68), Source!$G68, "")</f>
        <v/>
      </c>
      <c r="AL68" s="2" t="str">
        <f>IF(Source!$C68&gt;=COLUMNS($A68:AL68), Source!$G68, "")</f>
        <v/>
      </c>
      <c r="AM68" s="2" t="str">
        <f>IF(Source!$C68&gt;=COLUMNS($A68:AM68), Source!$G68, "")</f>
        <v/>
      </c>
      <c r="AN68" s="2" t="str">
        <f>IF(Source!$C68&gt;=COLUMNS($A68:AN68), Source!$G68, "")</f>
        <v/>
      </c>
      <c r="AO68" s="2" t="str">
        <f>IF(Source!$C68&gt;=COLUMNS($A68:AO68), Source!$G68, "")</f>
        <v/>
      </c>
      <c r="AP68" s="2" t="str">
        <f>IF(Source!$C68&gt;=COLUMNS($A68:AP68), Source!$G68, "")</f>
        <v/>
      </c>
      <c r="AQ68" s="2" t="str">
        <f>IF(Source!$C68&gt;=COLUMNS($A68:AQ68), Source!$G68, "")</f>
        <v/>
      </c>
      <c r="AR68" s="2" t="str">
        <f>IF(Source!$C68&gt;=COLUMNS($A68:AR68), Source!$G68, "")</f>
        <v/>
      </c>
    </row>
    <row r="69">
      <c r="A69" s="2">
        <f>IF(Source!$C69&gt;=COLUMNS($A69:A69), Source!$G69, "")</f>
        <v>9</v>
      </c>
      <c r="B69" s="2">
        <f>IF(Source!$C69&gt;=COLUMNS($A69:B69), Source!$G69, "")</f>
        <v>9</v>
      </c>
      <c r="C69" s="2">
        <f>IF(Source!$C69&gt;=COLUMNS($A69:C69), Source!$G69, "")</f>
        <v>9</v>
      </c>
      <c r="D69" s="2">
        <f>IF(Source!$C69&gt;=COLUMNS($A69:D69), Source!$G69, "")</f>
        <v>9</v>
      </c>
      <c r="E69" s="2" t="str">
        <f>IF(Source!$C69&gt;=COLUMNS($A69:E69), Source!$G69, "")</f>
        <v/>
      </c>
      <c r="F69" s="2" t="str">
        <f>IF(Source!$C69&gt;=COLUMNS($A69:F69), Source!$G69, "")</f>
        <v/>
      </c>
      <c r="G69" s="2" t="str">
        <f>IF(Source!$C69&gt;=COLUMNS($A69:G69), Source!$G69, "")</f>
        <v/>
      </c>
      <c r="H69" s="2" t="str">
        <f>IF(Source!$C69&gt;=COLUMNS($A69:H69), Source!$G69, "")</f>
        <v/>
      </c>
      <c r="I69" s="2" t="str">
        <f>IF(Source!$C69&gt;=COLUMNS($A69:I69), Source!$G69, "")</f>
        <v/>
      </c>
      <c r="J69" s="2" t="str">
        <f>IF(Source!$C69&gt;=COLUMNS($A69:J69), Source!$G69, "")</f>
        <v/>
      </c>
      <c r="K69" s="2" t="str">
        <f>IF(Source!$C69&gt;=COLUMNS($A69:K69), Source!$G69, "")</f>
        <v/>
      </c>
      <c r="L69" s="2" t="str">
        <f>IF(Source!$C69&gt;=COLUMNS($A69:L69), Source!$G69, "")</f>
        <v/>
      </c>
      <c r="M69" s="2" t="str">
        <f>IF(Source!$C69&gt;=COLUMNS($A69:M69), Source!$G69, "")</f>
        <v/>
      </c>
      <c r="N69" s="2" t="str">
        <f>IF(Source!$C69&gt;=COLUMNS($A69:N69), Source!$G69, "")</f>
        <v/>
      </c>
      <c r="O69" s="2" t="str">
        <f>IF(Source!$C69&gt;=COLUMNS($A69:O69), Source!$G69, "")</f>
        <v/>
      </c>
      <c r="P69" s="2" t="str">
        <f>IF(Source!$C69&gt;=COLUMNS($A69:P69), Source!$G69, "")</f>
        <v/>
      </c>
      <c r="Q69" s="2" t="str">
        <f>IF(Source!$C69&gt;=COLUMNS($A69:Q69), Source!$G69, "")</f>
        <v/>
      </c>
      <c r="R69" s="2" t="str">
        <f>IF(Source!$C69&gt;=COLUMNS($A69:R69), Source!$G69, "")</f>
        <v/>
      </c>
      <c r="S69" s="2" t="str">
        <f>IF(Source!$C69&gt;=COLUMNS($A69:S69), Source!$G69, "")</f>
        <v/>
      </c>
      <c r="T69" s="2" t="str">
        <f>IF(Source!$C69&gt;=COLUMNS($A69:T69), Source!$G69, "")</f>
        <v/>
      </c>
      <c r="U69" s="2" t="str">
        <f>IF(Source!$C69&gt;=COLUMNS($A69:U69), Source!$G69, "")</f>
        <v/>
      </c>
      <c r="V69" s="2" t="str">
        <f>IF(Source!$C69&gt;=COLUMNS($A69:V69), Source!$G69, "")</f>
        <v/>
      </c>
      <c r="W69" s="2" t="str">
        <f>IF(Source!$C69&gt;=COLUMNS($A69:W69), Source!$G69, "")</f>
        <v/>
      </c>
      <c r="X69" s="2" t="str">
        <f>IF(Source!$C69&gt;=COLUMNS($A69:X69), Source!$G69, "")</f>
        <v/>
      </c>
      <c r="Y69" s="2" t="str">
        <f>IF(Source!$C69&gt;=COLUMNS($A69:Y69), Source!$G69, "")</f>
        <v/>
      </c>
      <c r="Z69" s="2" t="str">
        <f>IF(Source!$C69&gt;=COLUMNS($A69:Z69), Source!$G69, "")</f>
        <v/>
      </c>
      <c r="AA69" s="2" t="str">
        <f>IF(Source!$C69&gt;=COLUMNS($A69:AA69), Source!$G69, "")</f>
        <v/>
      </c>
      <c r="AB69" s="2" t="str">
        <f>IF(Source!$C69&gt;=COLUMNS($A69:AB69), Source!$G69, "")</f>
        <v/>
      </c>
      <c r="AC69" s="2" t="str">
        <f>IF(Source!$C69&gt;=COLUMNS($A69:AC69), Source!$G69, "")</f>
        <v/>
      </c>
      <c r="AD69" s="2" t="str">
        <f>IF(Source!$C69&gt;=COLUMNS($A69:AD69), Source!$G69, "")</f>
        <v/>
      </c>
      <c r="AE69" s="2" t="str">
        <f>IF(Source!$C69&gt;=COLUMNS($A69:AE69), Source!$G69, "")</f>
        <v/>
      </c>
      <c r="AF69" s="2" t="str">
        <f>IF(Source!$C69&gt;=COLUMNS($A69:AF69), Source!$G69, "")</f>
        <v/>
      </c>
      <c r="AG69" s="2" t="str">
        <f>IF(Source!$C69&gt;=COLUMNS($A69:AG69), Source!$G69, "")</f>
        <v/>
      </c>
      <c r="AH69" s="2" t="str">
        <f>IF(Source!$C69&gt;=COLUMNS($A69:AH69), Source!$G69, "")</f>
        <v/>
      </c>
      <c r="AI69" s="2" t="str">
        <f>IF(Source!$C69&gt;=COLUMNS($A69:AI69), Source!$G69, "")</f>
        <v/>
      </c>
      <c r="AJ69" s="2" t="str">
        <f>IF(Source!$C69&gt;=COLUMNS($A69:AJ69), Source!$G69, "")</f>
        <v/>
      </c>
      <c r="AK69" s="2" t="str">
        <f>IF(Source!$C69&gt;=COLUMNS($A69:AK69), Source!$G69, "")</f>
        <v/>
      </c>
      <c r="AL69" s="2" t="str">
        <f>IF(Source!$C69&gt;=COLUMNS($A69:AL69), Source!$G69, "")</f>
        <v/>
      </c>
      <c r="AM69" s="2" t="str">
        <f>IF(Source!$C69&gt;=COLUMNS($A69:AM69), Source!$G69, "")</f>
        <v/>
      </c>
      <c r="AN69" s="2" t="str">
        <f>IF(Source!$C69&gt;=COLUMNS($A69:AN69), Source!$G69, "")</f>
        <v/>
      </c>
      <c r="AO69" s="2" t="str">
        <f>IF(Source!$C69&gt;=COLUMNS($A69:AO69), Source!$G69, "")</f>
        <v/>
      </c>
      <c r="AP69" s="2" t="str">
        <f>IF(Source!$C69&gt;=COLUMNS($A69:AP69), Source!$G69, "")</f>
        <v/>
      </c>
      <c r="AQ69" s="2" t="str">
        <f>IF(Source!$C69&gt;=COLUMNS($A69:AQ69), Source!$G69, "")</f>
        <v/>
      </c>
      <c r="AR69" s="2" t="str">
        <f>IF(Source!$C69&gt;=COLUMNS($A69:AR69), Source!$G69, "")</f>
        <v/>
      </c>
    </row>
    <row r="70">
      <c r="A70" s="2">
        <f>IF(Source!$C70&gt;=COLUMNS($A70:A70), Source!$G70, "")</f>
        <v>4</v>
      </c>
      <c r="B70" s="2">
        <f>IF(Source!$C70&gt;=COLUMNS($A70:B70), Source!$G70, "")</f>
        <v>4</v>
      </c>
      <c r="C70" s="2">
        <f>IF(Source!$C70&gt;=COLUMNS($A70:C70), Source!$G70, "")</f>
        <v>4</v>
      </c>
      <c r="D70" s="2">
        <f>IF(Source!$C70&gt;=COLUMNS($A70:D70), Source!$G70, "")</f>
        <v>4</v>
      </c>
      <c r="E70" s="2">
        <f>IF(Source!$C70&gt;=COLUMNS($A70:E70), Source!$G70, "")</f>
        <v>4</v>
      </c>
      <c r="F70" s="2">
        <f>IF(Source!$C70&gt;=COLUMNS($A70:F70), Source!$G70, "")</f>
        <v>4</v>
      </c>
      <c r="G70" s="2">
        <f>IF(Source!$C70&gt;=COLUMNS($A70:G70), Source!$G70, "")</f>
        <v>4</v>
      </c>
      <c r="H70" s="2" t="str">
        <f>IF(Source!$C70&gt;=COLUMNS($A70:H70), Source!$G70, "")</f>
        <v/>
      </c>
      <c r="I70" s="2" t="str">
        <f>IF(Source!$C70&gt;=COLUMNS($A70:I70), Source!$G70, "")</f>
        <v/>
      </c>
      <c r="J70" s="2" t="str">
        <f>IF(Source!$C70&gt;=COLUMNS($A70:J70), Source!$G70, "")</f>
        <v/>
      </c>
      <c r="K70" s="2" t="str">
        <f>IF(Source!$C70&gt;=COLUMNS($A70:K70), Source!$G70, "")</f>
        <v/>
      </c>
      <c r="L70" s="2" t="str">
        <f>IF(Source!$C70&gt;=COLUMNS($A70:L70), Source!$G70, "")</f>
        <v/>
      </c>
      <c r="M70" s="2" t="str">
        <f>IF(Source!$C70&gt;=COLUMNS($A70:M70), Source!$G70, "")</f>
        <v/>
      </c>
      <c r="N70" s="2" t="str">
        <f>IF(Source!$C70&gt;=COLUMNS($A70:N70), Source!$G70, "")</f>
        <v/>
      </c>
      <c r="O70" s="2" t="str">
        <f>IF(Source!$C70&gt;=COLUMNS($A70:O70), Source!$G70, "")</f>
        <v/>
      </c>
      <c r="P70" s="2" t="str">
        <f>IF(Source!$C70&gt;=COLUMNS($A70:P70), Source!$G70, "")</f>
        <v/>
      </c>
      <c r="Q70" s="2" t="str">
        <f>IF(Source!$C70&gt;=COLUMNS($A70:Q70), Source!$G70, "")</f>
        <v/>
      </c>
      <c r="R70" s="2" t="str">
        <f>IF(Source!$C70&gt;=COLUMNS($A70:R70), Source!$G70, "")</f>
        <v/>
      </c>
      <c r="S70" s="2" t="str">
        <f>IF(Source!$C70&gt;=COLUMNS($A70:S70), Source!$G70, "")</f>
        <v/>
      </c>
      <c r="T70" s="2" t="str">
        <f>IF(Source!$C70&gt;=COLUMNS($A70:T70), Source!$G70, "")</f>
        <v/>
      </c>
      <c r="U70" s="2" t="str">
        <f>IF(Source!$C70&gt;=COLUMNS($A70:U70), Source!$G70, "")</f>
        <v/>
      </c>
      <c r="V70" s="2" t="str">
        <f>IF(Source!$C70&gt;=COLUMNS($A70:V70), Source!$G70, "")</f>
        <v/>
      </c>
      <c r="W70" s="2" t="str">
        <f>IF(Source!$C70&gt;=COLUMNS($A70:W70), Source!$G70, "")</f>
        <v/>
      </c>
      <c r="X70" s="2" t="str">
        <f>IF(Source!$C70&gt;=COLUMNS($A70:X70), Source!$G70, "")</f>
        <v/>
      </c>
      <c r="Y70" s="2" t="str">
        <f>IF(Source!$C70&gt;=COLUMNS($A70:Y70), Source!$G70, "")</f>
        <v/>
      </c>
      <c r="Z70" s="2" t="str">
        <f>IF(Source!$C70&gt;=COLUMNS($A70:Z70), Source!$G70, "")</f>
        <v/>
      </c>
      <c r="AA70" s="2" t="str">
        <f>IF(Source!$C70&gt;=COLUMNS($A70:AA70), Source!$G70, "")</f>
        <v/>
      </c>
      <c r="AB70" s="2" t="str">
        <f>IF(Source!$C70&gt;=COLUMNS($A70:AB70), Source!$G70, "")</f>
        <v/>
      </c>
      <c r="AC70" s="2" t="str">
        <f>IF(Source!$C70&gt;=COLUMNS($A70:AC70), Source!$G70, "")</f>
        <v/>
      </c>
      <c r="AD70" s="2" t="str">
        <f>IF(Source!$C70&gt;=COLUMNS($A70:AD70), Source!$G70, "")</f>
        <v/>
      </c>
      <c r="AE70" s="2" t="str">
        <f>IF(Source!$C70&gt;=COLUMNS($A70:AE70), Source!$G70, "")</f>
        <v/>
      </c>
      <c r="AF70" s="2" t="str">
        <f>IF(Source!$C70&gt;=COLUMNS($A70:AF70), Source!$G70, "")</f>
        <v/>
      </c>
      <c r="AG70" s="2" t="str">
        <f>IF(Source!$C70&gt;=COLUMNS($A70:AG70), Source!$G70, "")</f>
        <v/>
      </c>
      <c r="AH70" s="2" t="str">
        <f>IF(Source!$C70&gt;=COLUMNS($A70:AH70), Source!$G70, "")</f>
        <v/>
      </c>
      <c r="AI70" s="2" t="str">
        <f>IF(Source!$C70&gt;=COLUMNS($A70:AI70), Source!$G70, "")</f>
        <v/>
      </c>
      <c r="AJ70" s="2" t="str">
        <f>IF(Source!$C70&gt;=COLUMNS($A70:AJ70), Source!$G70, "")</f>
        <v/>
      </c>
      <c r="AK70" s="2" t="str">
        <f>IF(Source!$C70&gt;=COLUMNS($A70:AK70), Source!$G70, "")</f>
        <v/>
      </c>
      <c r="AL70" s="2" t="str">
        <f>IF(Source!$C70&gt;=COLUMNS($A70:AL70), Source!$G70, "")</f>
        <v/>
      </c>
      <c r="AM70" s="2" t="str">
        <f>IF(Source!$C70&gt;=COLUMNS($A70:AM70), Source!$G70, "")</f>
        <v/>
      </c>
      <c r="AN70" s="2" t="str">
        <f>IF(Source!$C70&gt;=COLUMNS($A70:AN70), Source!$G70, "")</f>
        <v/>
      </c>
      <c r="AO70" s="2" t="str">
        <f>IF(Source!$C70&gt;=COLUMNS($A70:AO70), Source!$G70, "")</f>
        <v/>
      </c>
      <c r="AP70" s="2" t="str">
        <f>IF(Source!$C70&gt;=COLUMNS($A70:AP70), Source!$G70, "")</f>
        <v/>
      </c>
      <c r="AQ70" s="2" t="str">
        <f>IF(Source!$C70&gt;=COLUMNS($A70:AQ70), Source!$G70, "")</f>
        <v/>
      </c>
      <c r="AR70" s="2" t="str">
        <f>IF(Source!$C70&gt;=COLUMNS($A70:AR70), Source!$G70, "")</f>
        <v/>
      </c>
    </row>
    <row r="71">
      <c r="A71" s="2">
        <f>IF(Source!$C71&gt;=COLUMNS($A71:A71), Source!$G71, "")</f>
        <v>1</v>
      </c>
      <c r="B71" s="2">
        <f>IF(Source!$C71&gt;=COLUMNS($A71:B71), Source!$G71, "")</f>
        <v>1</v>
      </c>
      <c r="C71" s="2">
        <f>IF(Source!$C71&gt;=COLUMNS($A71:C71), Source!$G71, "")</f>
        <v>1</v>
      </c>
      <c r="D71" s="2">
        <f>IF(Source!$C71&gt;=COLUMNS($A71:D71), Source!$G71, "")</f>
        <v>1</v>
      </c>
      <c r="E71" s="2">
        <f>IF(Source!$C71&gt;=COLUMNS($A71:E71), Source!$G71, "")</f>
        <v>1</v>
      </c>
      <c r="F71" s="2">
        <f>IF(Source!$C71&gt;=COLUMNS($A71:F71), Source!$G71, "")</f>
        <v>1</v>
      </c>
      <c r="G71" s="2">
        <f>IF(Source!$C71&gt;=COLUMNS($A71:G71), Source!$G71, "")</f>
        <v>1</v>
      </c>
      <c r="H71" s="2">
        <f>IF(Source!$C71&gt;=COLUMNS($A71:H71), Source!$G71, "")</f>
        <v>1</v>
      </c>
      <c r="I71" s="2">
        <f>IF(Source!$C71&gt;=COLUMNS($A71:I71), Source!$G71, "")</f>
        <v>1</v>
      </c>
      <c r="J71" s="2">
        <f>IF(Source!$C71&gt;=COLUMNS($A71:J71), Source!$G71, "")</f>
        <v>1</v>
      </c>
      <c r="K71" s="2" t="str">
        <f>IF(Source!$C71&gt;=COLUMNS($A71:K71), Source!$G71, "")</f>
        <v/>
      </c>
      <c r="L71" s="2" t="str">
        <f>IF(Source!$C71&gt;=COLUMNS($A71:L71), Source!$G71, "")</f>
        <v/>
      </c>
      <c r="M71" s="2" t="str">
        <f>IF(Source!$C71&gt;=COLUMNS($A71:M71), Source!$G71, "")</f>
        <v/>
      </c>
      <c r="N71" s="2" t="str">
        <f>IF(Source!$C71&gt;=COLUMNS($A71:N71), Source!$G71, "")</f>
        <v/>
      </c>
      <c r="O71" s="2" t="str">
        <f>IF(Source!$C71&gt;=COLUMNS($A71:O71), Source!$G71, "")</f>
        <v/>
      </c>
      <c r="P71" s="2" t="str">
        <f>IF(Source!$C71&gt;=COLUMNS($A71:P71), Source!$G71, "")</f>
        <v/>
      </c>
      <c r="Q71" s="2" t="str">
        <f>IF(Source!$C71&gt;=COLUMNS($A71:Q71), Source!$G71, "")</f>
        <v/>
      </c>
      <c r="R71" s="2" t="str">
        <f>IF(Source!$C71&gt;=COLUMNS($A71:R71), Source!$G71, "")</f>
        <v/>
      </c>
      <c r="S71" s="2" t="str">
        <f>IF(Source!$C71&gt;=COLUMNS($A71:S71), Source!$G71, "")</f>
        <v/>
      </c>
      <c r="T71" s="2" t="str">
        <f>IF(Source!$C71&gt;=COLUMNS($A71:T71), Source!$G71, "")</f>
        <v/>
      </c>
      <c r="U71" s="2" t="str">
        <f>IF(Source!$C71&gt;=COLUMNS($A71:U71), Source!$G71, "")</f>
        <v/>
      </c>
      <c r="V71" s="2" t="str">
        <f>IF(Source!$C71&gt;=COLUMNS($A71:V71), Source!$G71, "")</f>
        <v/>
      </c>
      <c r="W71" s="2" t="str">
        <f>IF(Source!$C71&gt;=COLUMNS($A71:W71), Source!$G71, "")</f>
        <v/>
      </c>
      <c r="X71" s="2" t="str">
        <f>IF(Source!$C71&gt;=COLUMNS($A71:X71), Source!$G71, "")</f>
        <v/>
      </c>
      <c r="Y71" s="2" t="str">
        <f>IF(Source!$C71&gt;=COLUMNS($A71:Y71), Source!$G71, "")</f>
        <v/>
      </c>
      <c r="Z71" s="2" t="str">
        <f>IF(Source!$C71&gt;=COLUMNS($A71:Z71), Source!$G71, "")</f>
        <v/>
      </c>
      <c r="AA71" s="2" t="str">
        <f>IF(Source!$C71&gt;=COLUMNS($A71:AA71), Source!$G71, "")</f>
        <v/>
      </c>
      <c r="AB71" s="2" t="str">
        <f>IF(Source!$C71&gt;=COLUMNS($A71:AB71), Source!$G71, "")</f>
        <v/>
      </c>
      <c r="AC71" s="2" t="str">
        <f>IF(Source!$C71&gt;=COLUMNS($A71:AC71), Source!$G71, "")</f>
        <v/>
      </c>
      <c r="AD71" s="2" t="str">
        <f>IF(Source!$C71&gt;=COLUMNS($A71:AD71), Source!$G71, "")</f>
        <v/>
      </c>
      <c r="AE71" s="2" t="str">
        <f>IF(Source!$C71&gt;=COLUMNS($A71:AE71), Source!$G71, "")</f>
        <v/>
      </c>
      <c r="AF71" s="2" t="str">
        <f>IF(Source!$C71&gt;=COLUMNS($A71:AF71), Source!$G71, "")</f>
        <v/>
      </c>
      <c r="AG71" s="2" t="str">
        <f>IF(Source!$C71&gt;=COLUMNS($A71:AG71), Source!$G71, "")</f>
        <v/>
      </c>
      <c r="AH71" s="2" t="str">
        <f>IF(Source!$C71&gt;=COLUMNS($A71:AH71), Source!$G71, "")</f>
        <v/>
      </c>
      <c r="AI71" s="2" t="str">
        <f>IF(Source!$C71&gt;=COLUMNS($A71:AI71), Source!$G71, "")</f>
        <v/>
      </c>
      <c r="AJ71" s="2" t="str">
        <f>IF(Source!$C71&gt;=COLUMNS($A71:AJ71), Source!$G71, "")</f>
        <v/>
      </c>
      <c r="AK71" s="2" t="str">
        <f>IF(Source!$C71&gt;=COLUMNS($A71:AK71), Source!$G71, "")</f>
        <v/>
      </c>
      <c r="AL71" s="2" t="str">
        <f>IF(Source!$C71&gt;=COLUMNS($A71:AL71), Source!$G71, "")</f>
        <v/>
      </c>
      <c r="AM71" s="2" t="str">
        <f>IF(Source!$C71&gt;=COLUMNS($A71:AM71), Source!$G71, "")</f>
        <v/>
      </c>
      <c r="AN71" s="2" t="str">
        <f>IF(Source!$C71&gt;=COLUMNS($A71:AN71), Source!$G71, "")</f>
        <v/>
      </c>
      <c r="AO71" s="2" t="str">
        <f>IF(Source!$C71&gt;=COLUMNS($A71:AO71), Source!$G71, "")</f>
        <v/>
      </c>
      <c r="AP71" s="2" t="str">
        <f>IF(Source!$C71&gt;=COLUMNS($A71:AP71), Source!$G71, "")</f>
        <v/>
      </c>
      <c r="AQ71" s="2" t="str">
        <f>IF(Source!$C71&gt;=COLUMNS($A71:AQ71), Source!$G71, "")</f>
        <v/>
      </c>
      <c r="AR71" s="2" t="str">
        <f>IF(Source!$C71&gt;=COLUMNS($A71:AR71), Source!$G71, "")</f>
        <v/>
      </c>
    </row>
    <row r="72">
      <c r="A72" s="2">
        <f>IF(Source!$C72&gt;=COLUMNS($A72:A72), Source!$G72, "")</f>
        <v>5</v>
      </c>
      <c r="B72" s="2">
        <f>IF(Source!$C72&gt;=COLUMNS($A72:B72), Source!$G72, "")</f>
        <v>5</v>
      </c>
      <c r="C72" s="2">
        <f>IF(Source!$C72&gt;=COLUMNS($A72:C72), Source!$G72, "")</f>
        <v>5</v>
      </c>
      <c r="D72" s="2">
        <f>IF(Source!$C72&gt;=COLUMNS($A72:D72), Source!$G72, "")</f>
        <v>5</v>
      </c>
      <c r="E72" s="2">
        <f>IF(Source!$C72&gt;=COLUMNS($A72:E72), Source!$G72, "")</f>
        <v>5</v>
      </c>
      <c r="F72" s="2">
        <f>IF(Source!$C72&gt;=COLUMNS($A72:F72), Source!$G72, "")</f>
        <v>5</v>
      </c>
      <c r="G72" s="2">
        <f>IF(Source!$C72&gt;=COLUMNS($A72:G72), Source!$G72, "")</f>
        <v>5</v>
      </c>
      <c r="H72" s="2">
        <f>IF(Source!$C72&gt;=COLUMNS($A72:H72), Source!$G72, "")</f>
        <v>5</v>
      </c>
      <c r="I72" s="2">
        <f>IF(Source!$C72&gt;=COLUMNS($A72:I72), Source!$G72, "")</f>
        <v>5</v>
      </c>
      <c r="J72" s="2">
        <f>IF(Source!$C72&gt;=COLUMNS($A72:J72), Source!$G72, "")</f>
        <v>5</v>
      </c>
      <c r="K72" s="2">
        <f>IF(Source!$C72&gt;=COLUMNS($A72:K72), Source!$G72, "")</f>
        <v>5</v>
      </c>
      <c r="L72" s="2">
        <f>IF(Source!$C72&gt;=COLUMNS($A72:L72), Source!$G72, "")</f>
        <v>5</v>
      </c>
      <c r="M72" s="2">
        <f>IF(Source!$C72&gt;=COLUMNS($A72:M72), Source!$G72, "")</f>
        <v>5</v>
      </c>
      <c r="N72" s="2">
        <f>IF(Source!$C72&gt;=COLUMNS($A72:N72), Source!$G72, "")</f>
        <v>5</v>
      </c>
      <c r="O72" s="2">
        <f>IF(Source!$C72&gt;=COLUMNS($A72:O72), Source!$G72, "")</f>
        <v>5</v>
      </c>
      <c r="P72" s="2">
        <f>IF(Source!$C72&gt;=COLUMNS($A72:P72), Source!$G72, "")</f>
        <v>5</v>
      </c>
      <c r="Q72" s="2">
        <f>IF(Source!$C72&gt;=COLUMNS($A72:Q72), Source!$G72, "")</f>
        <v>5</v>
      </c>
      <c r="R72" s="2">
        <f>IF(Source!$C72&gt;=COLUMNS($A72:R72), Source!$G72, "")</f>
        <v>5</v>
      </c>
      <c r="S72" s="2" t="str">
        <f>IF(Source!$C72&gt;=COLUMNS($A72:S72), Source!$G72, "")</f>
        <v/>
      </c>
      <c r="T72" s="2" t="str">
        <f>IF(Source!$C72&gt;=COLUMNS($A72:T72), Source!$G72, "")</f>
        <v/>
      </c>
      <c r="U72" s="2" t="str">
        <f>IF(Source!$C72&gt;=COLUMNS($A72:U72), Source!$G72, "")</f>
        <v/>
      </c>
      <c r="V72" s="2" t="str">
        <f>IF(Source!$C72&gt;=COLUMNS($A72:V72), Source!$G72, "")</f>
        <v/>
      </c>
      <c r="W72" s="2" t="str">
        <f>IF(Source!$C72&gt;=COLUMNS($A72:W72), Source!$G72, "")</f>
        <v/>
      </c>
      <c r="X72" s="2" t="str">
        <f>IF(Source!$C72&gt;=COLUMNS($A72:X72), Source!$G72, "")</f>
        <v/>
      </c>
      <c r="Y72" s="2" t="str">
        <f>IF(Source!$C72&gt;=COLUMNS($A72:Y72), Source!$G72, "")</f>
        <v/>
      </c>
      <c r="Z72" s="2" t="str">
        <f>IF(Source!$C72&gt;=COLUMNS($A72:Z72), Source!$G72, "")</f>
        <v/>
      </c>
      <c r="AA72" s="2" t="str">
        <f>IF(Source!$C72&gt;=COLUMNS($A72:AA72), Source!$G72, "")</f>
        <v/>
      </c>
      <c r="AB72" s="2" t="str">
        <f>IF(Source!$C72&gt;=COLUMNS($A72:AB72), Source!$G72, "")</f>
        <v/>
      </c>
      <c r="AC72" s="2" t="str">
        <f>IF(Source!$C72&gt;=COLUMNS($A72:AC72), Source!$G72, "")</f>
        <v/>
      </c>
      <c r="AD72" s="2" t="str">
        <f>IF(Source!$C72&gt;=COLUMNS($A72:AD72), Source!$G72, "")</f>
        <v/>
      </c>
      <c r="AE72" s="2" t="str">
        <f>IF(Source!$C72&gt;=COLUMNS($A72:AE72), Source!$G72, "")</f>
        <v/>
      </c>
      <c r="AF72" s="2" t="str">
        <f>IF(Source!$C72&gt;=COLUMNS($A72:AF72), Source!$G72, "")</f>
        <v/>
      </c>
      <c r="AG72" s="2" t="str">
        <f>IF(Source!$C72&gt;=COLUMNS($A72:AG72), Source!$G72, "")</f>
        <v/>
      </c>
      <c r="AH72" s="2" t="str">
        <f>IF(Source!$C72&gt;=COLUMNS($A72:AH72), Source!$G72, "")</f>
        <v/>
      </c>
      <c r="AI72" s="2" t="str">
        <f>IF(Source!$C72&gt;=COLUMNS($A72:AI72), Source!$G72, "")</f>
        <v/>
      </c>
      <c r="AJ72" s="2" t="str">
        <f>IF(Source!$C72&gt;=COLUMNS($A72:AJ72), Source!$G72, "")</f>
        <v/>
      </c>
      <c r="AK72" s="2" t="str">
        <f>IF(Source!$C72&gt;=COLUMNS($A72:AK72), Source!$G72, "")</f>
        <v/>
      </c>
      <c r="AL72" s="2" t="str">
        <f>IF(Source!$C72&gt;=COLUMNS($A72:AL72), Source!$G72, "")</f>
        <v/>
      </c>
      <c r="AM72" s="2" t="str">
        <f>IF(Source!$C72&gt;=COLUMNS($A72:AM72), Source!$G72, "")</f>
        <v/>
      </c>
      <c r="AN72" s="2" t="str">
        <f>IF(Source!$C72&gt;=COLUMNS($A72:AN72), Source!$G72, "")</f>
        <v/>
      </c>
      <c r="AO72" s="2" t="str">
        <f>IF(Source!$C72&gt;=COLUMNS($A72:AO72), Source!$G72, "")</f>
        <v/>
      </c>
      <c r="AP72" s="2" t="str">
        <f>IF(Source!$C72&gt;=COLUMNS($A72:AP72), Source!$G72, "")</f>
        <v/>
      </c>
      <c r="AQ72" s="2" t="str">
        <f>IF(Source!$C72&gt;=COLUMNS($A72:AQ72), Source!$G72, "")</f>
        <v/>
      </c>
      <c r="AR72" s="2" t="str">
        <f>IF(Source!$C72&gt;=COLUMNS($A72:AR72), Source!$G72, "")</f>
        <v/>
      </c>
    </row>
    <row r="73">
      <c r="A73" s="2">
        <f>IF(Source!$C73&gt;=COLUMNS($A73:A73), Source!$G73, "")</f>
        <v>2</v>
      </c>
      <c r="B73" s="2">
        <f>IF(Source!$C73&gt;=COLUMNS($A73:B73), Source!$G73, "")</f>
        <v>2</v>
      </c>
      <c r="C73" s="2">
        <f>IF(Source!$C73&gt;=COLUMNS($A73:C73), Source!$G73, "")</f>
        <v>2</v>
      </c>
      <c r="D73" s="2">
        <f>IF(Source!$C73&gt;=COLUMNS($A73:D73), Source!$G73, "")</f>
        <v>2</v>
      </c>
      <c r="E73" s="2">
        <f>IF(Source!$C73&gt;=COLUMNS($A73:E73), Source!$G73, "")</f>
        <v>2</v>
      </c>
      <c r="F73" s="2">
        <f>IF(Source!$C73&gt;=COLUMNS($A73:F73), Source!$G73, "")</f>
        <v>2</v>
      </c>
      <c r="G73" s="2" t="str">
        <f>IF(Source!$C73&gt;=COLUMNS($A73:G73), Source!$G73, "")</f>
        <v/>
      </c>
      <c r="H73" s="2" t="str">
        <f>IF(Source!$C73&gt;=COLUMNS($A73:H73), Source!$G73, "")</f>
        <v/>
      </c>
      <c r="I73" s="2" t="str">
        <f>IF(Source!$C73&gt;=COLUMNS($A73:I73), Source!$G73, "")</f>
        <v/>
      </c>
      <c r="J73" s="2" t="str">
        <f>IF(Source!$C73&gt;=COLUMNS($A73:J73), Source!$G73, "")</f>
        <v/>
      </c>
      <c r="K73" s="2" t="str">
        <f>IF(Source!$C73&gt;=COLUMNS($A73:K73), Source!$G73, "")</f>
        <v/>
      </c>
      <c r="L73" s="2" t="str">
        <f>IF(Source!$C73&gt;=COLUMNS($A73:L73), Source!$G73, "")</f>
        <v/>
      </c>
      <c r="M73" s="2" t="str">
        <f>IF(Source!$C73&gt;=COLUMNS($A73:M73), Source!$G73, "")</f>
        <v/>
      </c>
      <c r="N73" s="2" t="str">
        <f>IF(Source!$C73&gt;=COLUMNS($A73:N73), Source!$G73, "")</f>
        <v/>
      </c>
      <c r="O73" s="2" t="str">
        <f>IF(Source!$C73&gt;=COLUMNS($A73:O73), Source!$G73, "")</f>
        <v/>
      </c>
      <c r="P73" s="2" t="str">
        <f>IF(Source!$C73&gt;=COLUMNS($A73:P73), Source!$G73, "")</f>
        <v/>
      </c>
      <c r="Q73" s="2" t="str">
        <f>IF(Source!$C73&gt;=COLUMNS($A73:Q73), Source!$G73, "")</f>
        <v/>
      </c>
      <c r="R73" s="2" t="str">
        <f>IF(Source!$C73&gt;=COLUMNS($A73:R73), Source!$G73, "")</f>
        <v/>
      </c>
      <c r="S73" s="2" t="str">
        <f>IF(Source!$C73&gt;=COLUMNS($A73:S73), Source!$G73, "")</f>
        <v/>
      </c>
      <c r="T73" s="2" t="str">
        <f>IF(Source!$C73&gt;=COLUMNS($A73:T73), Source!$G73, "")</f>
        <v/>
      </c>
      <c r="U73" s="2" t="str">
        <f>IF(Source!$C73&gt;=COLUMNS($A73:U73), Source!$G73, "")</f>
        <v/>
      </c>
      <c r="V73" s="2" t="str">
        <f>IF(Source!$C73&gt;=COLUMNS($A73:V73), Source!$G73, "")</f>
        <v/>
      </c>
      <c r="W73" s="2" t="str">
        <f>IF(Source!$C73&gt;=COLUMNS($A73:W73), Source!$G73, "")</f>
        <v/>
      </c>
      <c r="X73" s="2" t="str">
        <f>IF(Source!$C73&gt;=COLUMNS($A73:X73), Source!$G73, "")</f>
        <v/>
      </c>
      <c r="Y73" s="2" t="str">
        <f>IF(Source!$C73&gt;=COLUMNS($A73:Y73), Source!$G73, "")</f>
        <v/>
      </c>
      <c r="Z73" s="2" t="str">
        <f>IF(Source!$C73&gt;=COLUMNS($A73:Z73), Source!$G73, "")</f>
        <v/>
      </c>
      <c r="AA73" s="2" t="str">
        <f>IF(Source!$C73&gt;=COLUMNS($A73:AA73), Source!$G73, "")</f>
        <v/>
      </c>
      <c r="AB73" s="2" t="str">
        <f>IF(Source!$C73&gt;=COLUMNS($A73:AB73), Source!$G73, "")</f>
        <v/>
      </c>
      <c r="AC73" s="2" t="str">
        <f>IF(Source!$C73&gt;=COLUMNS($A73:AC73), Source!$G73, "")</f>
        <v/>
      </c>
      <c r="AD73" s="2" t="str">
        <f>IF(Source!$C73&gt;=COLUMNS($A73:AD73), Source!$G73, "")</f>
        <v/>
      </c>
      <c r="AE73" s="2" t="str">
        <f>IF(Source!$C73&gt;=COLUMNS($A73:AE73), Source!$G73, "")</f>
        <v/>
      </c>
      <c r="AF73" s="2" t="str">
        <f>IF(Source!$C73&gt;=COLUMNS($A73:AF73), Source!$G73, "")</f>
        <v/>
      </c>
      <c r="AG73" s="2" t="str">
        <f>IF(Source!$C73&gt;=COLUMNS($A73:AG73), Source!$G73, "")</f>
        <v/>
      </c>
      <c r="AH73" s="2" t="str">
        <f>IF(Source!$C73&gt;=COLUMNS($A73:AH73), Source!$G73, "")</f>
        <v/>
      </c>
      <c r="AI73" s="2" t="str">
        <f>IF(Source!$C73&gt;=COLUMNS($A73:AI73), Source!$G73, "")</f>
        <v/>
      </c>
      <c r="AJ73" s="2" t="str">
        <f>IF(Source!$C73&gt;=COLUMNS($A73:AJ73), Source!$G73, "")</f>
        <v/>
      </c>
      <c r="AK73" s="2" t="str">
        <f>IF(Source!$C73&gt;=COLUMNS($A73:AK73), Source!$G73, "")</f>
        <v/>
      </c>
      <c r="AL73" s="2" t="str">
        <f>IF(Source!$C73&gt;=COLUMNS($A73:AL73), Source!$G73, "")</f>
        <v/>
      </c>
      <c r="AM73" s="2" t="str">
        <f>IF(Source!$C73&gt;=COLUMNS($A73:AM73), Source!$G73, "")</f>
        <v/>
      </c>
      <c r="AN73" s="2" t="str">
        <f>IF(Source!$C73&gt;=COLUMNS($A73:AN73), Source!$G73, "")</f>
        <v/>
      </c>
      <c r="AO73" s="2" t="str">
        <f>IF(Source!$C73&gt;=COLUMNS($A73:AO73), Source!$G73, "")</f>
        <v/>
      </c>
      <c r="AP73" s="2" t="str">
        <f>IF(Source!$C73&gt;=COLUMNS($A73:AP73), Source!$G73, "")</f>
        <v/>
      </c>
      <c r="AQ73" s="2" t="str">
        <f>IF(Source!$C73&gt;=COLUMNS($A73:AQ73), Source!$G73, "")</f>
        <v/>
      </c>
      <c r="AR73" s="2" t="str">
        <f>IF(Source!$C73&gt;=COLUMNS($A73:AR73), Source!$G73, "")</f>
        <v/>
      </c>
    </row>
    <row r="74">
      <c r="A74" s="2">
        <f>IF(Source!$C74&gt;=COLUMNS($A74:A74), Source!$G74, "")</f>
        <v>5</v>
      </c>
      <c r="B74" s="2" t="str">
        <f>IF(Source!$C74&gt;=COLUMNS($A74:B74), Source!$G74, "")</f>
        <v/>
      </c>
      <c r="C74" s="2" t="str">
        <f>IF(Source!$C74&gt;=COLUMNS($A74:C74), Source!$G74, "")</f>
        <v/>
      </c>
      <c r="D74" s="2" t="str">
        <f>IF(Source!$C74&gt;=COLUMNS($A74:D74), Source!$G74, "")</f>
        <v/>
      </c>
      <c r="E74" s="2" t="str">
        <f>IF(Source!$C74&gt;=COLUMNS($A74:E74), Source!$G74, "")</f>
        <v/>
      </c>
      <c r="F74" s="2" t="str">
        <f>IF(Source!$C74&gt;=COLUMNS($A74:F74), Source!$G74, "")</f>
        <v/>
      </c>
      <c r="G74" s="2" t="str">
        <f>IF(Source!$C74&gt;=COLUMNS($A74:G74), Source!$G74, "")</f>
        <v/>
      </c>
      <c r="H74" s="2" t="str">
        <f>IF(Source!$C74&gt;=COLUMNS($A74:H74), Source!$G74, "")</f>
        <v/>
      </c>
      <c r="I74" s="2" t="str">
        <f>IF(Source!$C74&gt;=COLUMNS($A74:I74), Source!$G74, "")</f>
        <v/>
      </c>
      <c r="J74" s="2" t="str">
        <f>IF(Source!$C74&gt;=COLUMNS($A74:J74), Source!$G74, "")</f>
        <v/>
      </c>
      <c r="K74" s="2" t="str">
        <f>IF(Source!$C74&gt;=COLUMNS($A74:K74), Source!$G74, "")</f>
        <v/>
      </c>
      <c r="L74" s="2" t="str">
        <f>IF(Source!$C74&gt;=COLUMNS($A74:L74), Source!$G74, "")</f>
        <v/>
      </c>
      <c r="M74" s="2" t="str">
        <f>IF(Source!$C74&gt;=COLUMNS($A74:M74), Source!$G74, "")</f>
        <v/>
      </c>
      <c r="N74" s="2" t="str">
        <f>IF(Source!$C74&gt;=COLUMNS($A74:N74), Source!$G74, "")</f>
        <v/>
      </c>
      <c r="O74" s="2" t="str">
        <f>IF(Source!$C74&gt;=COLUMNS($A74:O74), Source!$G74, "")</f>
        <v/>
      </c>
      <c r="P74" s="2" t="str">
        <f>IF(Source!$C74&gt;=COLUMNS($A74:P74), Source!$G74, "")</f>
        <v/>
      </c>
      <c r="Q74" s="2" t="str">
        <f>IF(Source!$C74&gt;=COLUMNS($A74:Q74), Source!$G74, "")</f>
        <v/>
      </c>
      <c r="R74" s="2" t="str">
        <f>IF(Source!$C74&gt;=COLUMNS($A74:R74), Source!$G74, "")</f>
        <v/>
      </c>
      <c r="S74" s="2" t="str">
        <f>IF(Source!$C74&gt;=COLUMNS($A74:S74), Source!$G74, "")</f>
        <v/>
      </c>
      <c r="T74" s="2" t="str">
        <f>IF(Source!$C74&gt;=COLUMNS($A74:T74), Source!$G74, "")</f>
        <v/>
      </c>
      <c r="U74" s="2" t="str">
        <f>IF(Source!$C74&gt;=COLUMNS($A74:U74), Source!$G74, "")</f>
        <v/>
      </c>
      <c r="V74" s="2" t="str">
        <f>IF(Source!$C74&gt;=COLUMNS($A74:V74), Source!$G74, "")</f>
        <v/>
      </c>
      <c r="W74" s="2" t="str">
        <f>IF(Source!$C74&gt;=COLUMNS($A74:W74), Source!$G74, "")</f>
        <v/>
      </c>
      <c r="X74" s="2" t="str">
        <f>IF(Source!$C74&gt;=COLUMNS($A74:X74), Source!$G74, "")</f>
        <v/>
      </c>
      <c r="Y74" s="2" t="str">
        <f>IF(Source!$C74&gt;=COLUMNS($A74:Y74), Source!$G74, "")</f>
        <v/>
      </c>
      <c r="Z74" s="2" t="str">
        <f>IF(Source!$C74&gt;=COLUMNS($A74:Z74), Source!$G74, "")</f>
        <v/>
      </c>
      <c r="AA74" s="2" t="str">
        <f>IF(Source!$C74&gt;=COLUMNS($A74:AA74), Source!$G74, "")</f>
        <v/>
      </c>
      <c r="AB74" s="2" t="str">
        <f>IF(Source!$C74&gt;=COLUMNS($A74:AB74), Source!$G74, "")</f>
        <v/>
      </c>
      <c r="AC74" s="2" t="str">
        <f>IF(Source!$C74&gt;=COLUMNS($A74:AC74), Source!$G74, "")</f>
        <v/>
      </c>
      <c r="AD74" s="2" t="str">
        <f>IF(Source!$C74&gt;=COLUMNS($A74:AD74), Source!$G74, "")</f>
        <v/>
      </c>
      <c r="AE74" s="2" t="str">
        <f>IF(Source!$C74&gt;=COLUMNS($A74:AE74), Source!$G74, "")</f>
        <v/>
      </c>
      <c r="AF74" s="2" t="str">
        <f>IF(Source!$C74&gt;=COLUMNS($A74:AF74), Source!$G74, "")</f>
        <v/>
      </c>
      <c r="AG74" s="2" t="str">
        <f>IF(Source!$C74&gt;=COLUMNS($A74:AG74), Source!$G74, "")</f>
        <v/>
      </c>
      <c r="AH74" s="2" t="str">
        <f>IF(Source!$C74&gt;=COLUMNS($A74:AH74), Source!$G74, "")</f>
        <v/>
      </c>
      <c r="AI74" s="2" t="str">
        <f>IF(Source!$C74&gt;=COLUMNS($A74:AI74), Source!$G74, "")</f>
        <v/>
      </c>
      <c r="AJ74" s="2" t="str">
        <f>IF(Source!$C74&gt;=COLUMNS($A74:AJ74), Source!$G74, "")</f>
        <v/>
      </c>
      <c r="AK74" s="2" t="str">
        <f>IF(Source!$C74&gt;=COLUMNS($A74:AK74), Source!$G74, "")</f>
        <v/>
      </c>
      <c r="AL74" s="2" t="str">
        <f>IF(Source!$C74&gt;=COLUMNS($A74:AL74), Source!$G74, "")</f>
        <v/>
      </c>
      <c r="AM74" s="2" t="str">
        <f>IF(Source!$C74&gt;=COLUMNS($A74:AM74), Source!$G74, "")</f>
        <v/>
      </c>
      <c r="AN74" s="2" t="str">
        <f>IF(Source!$C74&gt;=COLUMNS($A74:AN74), Source!$G74, "")</f>
        <v/>
      </c>
      <c r="AO74" s="2" t="str">
        <f>IF(Source!$C74&gt;=COLUMNS($A74:AO74), Source!$G74, "")</f>
        <v/>
      </c>
      <c r="AP74" s="2" t="str">
        <f>IF(Source!$C74&gt;=COLUMNS($A74:AP74), Source!$G74, "")</f>
        <v/>
      </c>
      <c r="AQ74" s="2" t="str">
        <f>IF(Source!$C74&gt;=COLUMNS($A74:AQ74), Source!$G74, "")</f>
        <v/>
      </c>
      <c r="AR74" s="2" t="str">
        <f>IF(Source!$C74&gt;=COLUMNS($A74:AR74), Source!$G74, "")</f>
        <v/>
      </c>
    </row>
    <row r="75">
      <c r="A75" s="2">
        <f>IF(Source!$C75&gt;=COLUMNS($A75:A75), Source!$G75, "")</f>
        <v>6</v>
      </c>
      <c r="B75" s="2">
        <f>IF(Source!$C75&gt;=COLUMNS($A75:B75), Source!$G75, "")</f>
        <v>6</v>
      </c>
      <c r="C75" s="2">
        <f>IF(Source!$C75&gt;=COLUMNS($A75:C75), Source!$G75, "")</f>
        <v>6</v>
      </c>
      <c r="D75" s="2">
        <f>IF(Source!$C75&gt;=COLUMNS($A75:D75), Source!$G75, "")</f>
        <v>6</v>
      </c>
      <c r="E75" s="2">
        <f>IF(Source!$C75&gt;=COLUMNS($A75:E75), Source!$G75, "")</f>
        <v>6</v>
      </c>
      <c r="F75" s="2">
        <f>IF(Source!$C75&gt;=COLUMNS($A75:F75), Source!$G75, "")</f>
        <v>6</v>
      </c>
      <c r="G75" s="2">
        <f>IF(Source!$C75&gt;=COLUMNS($A75:G75), Source!$G75, "")</f>
        <v>6</v>
      </c>
      <c r="H75" s="2">
        <f>IF(Source!$C75&gt;=COLUMNS($A75:H75), Source!$G75, "")</f>
        <v>6</v>
      </c>
      <c r="I75" s="2">
        <f>IF(Source!$C75&gt;=COLUMNS($A75:I75), Source!$G75, "")</f>
        <v>6</v>
      </c>
      <c r="J75" s="2">
        <f>IF(Source!$C75&gt;=COLUMNS($A75:J75), Source!$G75, "")</f>
        <v>6</v>
      </c>
      <c r="K75" s="2">
        <f>IF(Source!$C75&gt;=COLUMNS($A75:K75), Source!$G75, "")</f>
        <v>6</v>
      </c>
      <c r="L75" s="2" t="str">
        <f>IF(Source!$C75&gt;=COLUMNS($A75:L75), Source!$G75, "")</f>
        <v/>
      </c>
      <c r="M75" s="2" t="str">
        <f>IF(Source!$C75&gt;=COLUMNS($A75:M75), Source!$G75, "")</f>
        <v/>
      </c>
      <c r="N75" s="2" t="str">
        <f>IF(Source!$C75&gt;=COLUMNS($A75:N75), Source!$G75, "")</f>
        <v/>
      </c>
      <c r="O75" s="2" t="str">
        <f>IF(Source!$C75&gt;=COLUMNS($A75:O75), Source!$G75, "")</f>
        <v/>
      </c>
      <c r="P75" s="2" t="str">
        <f>IF(Source!$C75&gt;=COLUMNS($A75:P75), Source!$G75, "")</f>
        <v/>
      </c>
      <c r="Q75" s="2" t="str">
        <f>IF(Source!$C75&gt;=COLUMNS($A75:Q75), Source!$G75, "")</f>
        <v/>
      </c>
      <c r="R75" s="2" t="str">
        <f>IF(Source!$C75&gt;=COLUMNS($A75:R75), Source!$G75, "")</f>
        <v/>
      </c>
      <c r="S75" s="2" t="str">
        <f>IF(Source!$C75&gt;=COLUMNS($A75:S75), Source!$G75, "")</f>
        <v/>
      </c>
      <c r="T75" s="2" t="str">
        <f>IF(Source!$C75&gt;=COLUMNS($A75:T75), Source!$G75, "")</f>
        <v/>
      </c>
      <c r="U75" s="2" t="str">
        <f>IF(Source!$C75&gt;=COLUMNS($A75:U75), Source!$G75, "")</f>
        <v/>
      </c>
      <c r="V75" s="2" t="str">
        <f>IF(Source!$C75&gt;=COLUMNS($A75:V75), Source!$G75, "")</f>
        <v/>
      </c>
      <c r="W75" s="2" t="str">
        <f>IF(Source!$C75&gt;=COLUMNS($A75:W75), Source!$G75, "")</f>
        <v/>
      </c>
      <c r="X75" s="2" t="str">
        <f>IF(Source!$C75&gt;=COLUMNS($A75:X75), Source!$G75, "")</f>
        <v/>
      </c>
      <c r="Y75" s="2" t="str">
        <f>IF(Source!$C75&gt;=COLUMNS($A75:Y75), Source!$G75, "")</f>
        <v/>
      </c>
      <c r="Z75" s="2" t="str">
        <f>IF(Source!$C75&gt;=COLUMNS($A75:Z75), Source!$G75, "")</f>
        <v/>
      </c>
      <c r="AA75" s="2" t="str">
        <f>IF(Source!$C75&gt;=COLUMNS($A75:AA75), Source!$G75, "")</f>
        <v/>
      </c>
      <c r="AB75" s="2" t="str">
        <f>IF(Source!$C75&gt;=COLUMNS($A75:AB75), Source!$G75, "")</f>
        <v/>
      </c>
      <c r="AC75" s="2" t="str">
        <f>IF(Source!$C75&gt;=COLUMNS($A75:AC75), Source!$G75, "")</f>
        <v/>
      </c>
      <c r="AD75" s="2" t="str">
        <f>IF(Source!$C75&gt;=COLUMNS($A75:AD75), Source!$G75, "")</f>
        <v/>
      </c>
      <c r="AE75" s="2" t="str">
        <f>IF(Source!$C75&gt;=COLUMNS($A75:AE75), Source!$G75, "")</f>
        <v/>
      </c>
      <c r="AF75" s="2" t="str">
        <f>IF(Source!$C75&gt;=COLUMNS($A75:AF75), Source!$G75, "")</f>
        <v/>
      </c>
      <c r="AG75" s="2" t="str">
        <f>IF(Source!$C75&gt;=COLUMNS($A75:AG75), Source!$G75, "")</f>
        <v/>
      </c>
      <c r="AH75" s="2" t="str">
        <f>IF(Source!$C75&gt;=COLUMNS($A75:AH75), Source!$G75, "")</f>
        <v/>
      </c>
      <c r="AI75" s="2" t="str">
        <f>IF(Source!$C75&gt;=COLUMNS($A75:AI75), Source!$G75, "")</f>
        <v/>
      </c>
      <c r="AJ75" s="2" t="str">
        <f>IF(Source!$C75&gt;=COLUMNS($A75:AJ75), Source!$G75, "")</f>
        <v/>
      </c>
      <c r="AK75" s="2" t="str">
        <f>IF(Source!$C75&gt;=COLUMNS($A75:AK75), Source!$G75, "")</f>
        <v/>
      </c>
      <c r="AL75" s="2" t="str">
        <f>IF(Source!$C75&gt;=COLUMNS($A75:AL75), Source!$G75, "")</f>
        <v/>
      </c>
      <c r="AM75" s="2" t="str">
        <f>IF(Source!$C75&gt;=COLUMNS($A75:AM75), Source!$G75, "")</f>
        <v/>
      </c>
      <c r="AN75" s="2" t="str">
        <f>IF(Source!$C75&gt;=COLUMNS($A75:AN75), Source!$G75, "")</f>
        <v/>
      </c>
      <c r="AO75" s="2" t="str">
        <f>IF(Source!$C75&gt;=COLUMNS($A75:AO75), Source!$G75, "")</f>
        <v/>
      </c>
      <c r="AP75" s="2" t="str">
        <f>IF(Source!$C75&gt;=COLUMNS($A75:AP75), Source!$G75, "")</f>
        <v/>
      </c>
      <c r="AQ75" s="2" t="str">
        <f>IF(Source!$C75&gt;=COLUMNS($A75:AQ75), Source!$G75, "")</f>
        <v/>
      </c>
      <c r="AR75" s="2" t="str">
        <f>IF(Source!$C75&gt;=COLUMNS($A75:AR75), Source!$G75, "")</f>
        <v/>
      </c>
    </row>
    <row r="76">
      <c r="A76" s="2">
        <f>IF(Source!$C76&gt;=COLUMNS($A76:A76), Source!$G76, "")</f>
        <v>4</v>
      </c>
      <c r="B76" s="2">
        <f>IF(Source!$C76&gt;=COLUMNS($A76:B76), Source!$G76, "")</f>
        <v>4</v>
      </c>
      <c r="C76" s="2" t="str">
        <f>IF(Source!$C76&gt;=COLUMNS($A76:C76), Source!$G76, "")</f>
        <v/>
      </c>
      <c r="D76" s="2" t="str">
        <f>IF(Source!$C76&gt;=COLUMNS($A76:D76), Source!$G76, "")</f>
        <v/>
      </c>
      <c r="E76" s="2" t="str">
        <f>IF(Source!$C76&gt;=COLUMNS($A76:E76), Source!$G76, "")</f>
        <v/>
      </c>
      <c r="F76" s="2" t="str">
        <f>IF(Source!$C76&gt;=COLUMNS($A76:F76), Source!$G76, "")</f>
        <v/>
      </c>
      <c r="G76" s="2" t="str">
        <f>IF(Source!$C76&gt;=COLUMNS($A76:G76), Source!$G76, "")</f>
        <v/>
      </c>
      <c r="H76" s="2" t="str">
        <f>IF(Source!$C76&gt;=COLUMNS($A76:H76), Source!$G76, "")</f>
        <v/>
      </c>
      <c r="I76" s="2" t="str">
        <f>IF(Source!$C76&gt;=COLUMNS($A76:I76), Source!$G76, "")</f>
        <v/>
      </c>
      <c r="J76" s="2" t="str">
        <f>IF(Source!$C76&gt;=COLUMNS($A76:J76), Source!$G76, "")</f>
        <v/>
      </c>
      <c r="K76" s="2" t="str">
        <f>IF(Source!$C76&gt;=COLUMNS($A76:K76), Source!$G76, "")</f>
        <v/>
      </c>
      <c r="L76" s="2" t="str">
        <f>IF(Source!$C76&gt;=COLUMNS($A76:L76), Source!$G76, "")</f>
        <v/>
      </c>
      <c r="M76" s="2" t="str">
        <f>IF(Source!$C76&gt;=COLUMNS($A76:M76), Source!$G76, "")</f>
        <v/>
      </c>
      <c r="N76" s="2" t="str">
        <f>IF(Source!$C76&gt;=COLUMNS($A76:N76), Source!$G76, "")</f>
        <v/>
      </c>
      <c r="O76" s="2" t="str">
        <f>IF(Source!$C76&gt;=COLUMNS($A76:O76), Source!$G76, "")</f>
        <v/>
      </c>
      <c r="P76" s="2" t="str">
        <f>IF(Source!$C76&gt;=COLUMNS($A76:P76), Source!$G76, "")</f>
        <v/>
      </c>
      <c r="Q76" s="2" t="str">
        <f>IF(Source!$C76&gt;=COLUMNS($A76:Q76), Source!$G76, "")</f>
        <v/>
      </c>
      <c r="R76" s="2" t="str">
        <f>IF(Source!$C76&gt;=COLUMNS($A76:R76), Source!$G76, "")</f>
        <v/>
      </c>
      <c r="S76" s="2" t="str">
        <f>IF(Source!$C76&gt;=COLUMNS($A76:S76), Source!$G76, "")</f>
        <v/>
      </c>
      <c r="T76" s="2" t="str">
        <f>IF(Source!$C76&gt;=COLUMNS($A76:T76), Source!$G76, "")</f>
        <v/>
      </c>
      <c r="U76" s="2" t="str">
        <f>IF(Source!$C76&gt;=COLUMNS($A76:U76), Source!$G76, "")</f>
        <v/>
      </c>
      <c r="V76" s="2" t="str">
        <f>IF(Source!$C76&gt;=COLUMNS($A76:V76), Source!$G76, "")</f>
        <v/>
      </c>
      <c r="W76" s="2" t="str">
        <f>IF(Source!$C76&gt;=COLUMNS($A76:W76), Source!$G76, "")</f>
        <v/>
      </c>
      <c r="X76" s="2" t="str">
        <f>IF(Source!$C76&gt;=COLUMNS($A76:X76), Source!$G76, "")</f>
        <v/>
      </c>
      <c r="Y76" s="2" t="str">
        <f>IF(Source!$C76&gt;=COLUMNS($A76:Y76), Source!$G76, "")</f>
        <v/>
      </c>
      <c r="Z76" s="2" t="str">
        <f>IF(Source!$C76&gt;=COLUMNS($A76:Z76), Source!$G76, "")</f>
        <v/>
      </c>
      <c r="AA76" s="2" t="str">
        <f>IF(Source!$C76&gt;=COLUMNS($A76:AA76), Source!$G76, "")</f>
        <v/>
      </c>
      <c r="AB76" s="2" t="str">
        <f>IF(Source!$C76&gt;=COLUMNS($A76:AB76), Source!$G76, "")</f>
        <v/>
      </c>
      <c r="AC76" s="2" t="str">
        <f>IF(Source!$C76&gt;=COLUMNS($A76:AC76), Source!$G76, "")</f>
        <v/>
      </c>
      <c r="AD76" s="2" t="str">
        <f>IF(Source!$C76&gt;=COLUMNS($A76:AD76), Source!$G76, "")</f>
        <v/>
      </c>
      <c r="AE76" s="2" t="str">
        <f>IF(Source!$C76&gt;=COLUMNS($A76:AE76), Source!$G76, "")</f>
        <v/>
      </c>
      <c r="AF76" s="2" t="str">
        <f>IF(Source!$C76&gt;=COLUMNS($A76:AF76), Source!$G76, "")</f>
        <v/>
      </c>
      <c r="AG76" s="2" t="str">
        <f>IF(Source!$C76&gt;=COLUMNS($A76:AG76), Source!$G76, "")</f>
        <v/>
      </c>
      <c r="AH76" s="2" t="str">
        <f>IF(Source!$C76&gt;=COLUMNS($A76:AH76), Source!$G76, "")</f>
        <v/>
      </c>
      <c r="AI76" s="2" t="str">
        <f>IF(Source!$C76&gt;=COLUMNS($A76:AI76), Source!$G76, "")</f>
        <v/>
      </c>
      <c r="AJ76" s="2" t="str">
        <f>IF(Source!$C76&gt;=COLUMNS($A76:AJ76), Source!$G76, "")</f>
        <v/>
      </c>
      <c r="AK76" s="2" t="str">
        <f>IF(Source!$C76&gt;=COLUMNS($A76:AK76), Source!$G76, "")</f>
        <v/>
      </c>
      <c r="AL76" s="2" t="str">
        <f>IF(Source!$C76&gt;=COLUMNS($A76:AL76), Source!$G76, "")</f>
        <v/>
      </c>
      <c r="AM76" s="2" t="str">
        <f>IF(Source!$C76&gt;=COLUMNS($A76:AM76), Source!$G76, "")</f>
        <v/>
      </c>
      <c r="AN76" s="2" t="str">
        <f>IF(Source!$C76&gt;=COLUMNS($A76:AN76), Source!$G76, "")</f>
        <v/>
      </c>
      <c r="AO76" s="2" t="str">
        <f>IF(Source!$C76&gt;=COLUMNS($A76:AO76), Source!$G76, "")</f>
        <v/>
      </c>
      <c r="AP76" s="2" t="str">
        <f>IF(Source!$C76&gt;=COLUMNS($A76:AP76), Source!$G76, "")</f>
        <v/>
      </c>
      <c r="AQ76" s="2" t="str">
        <f>IF(Source!$C76&gt;=COLUMNS($A76:AQ76), Source!$G76, "")</f>
        <v/>
      </c>
      <c r="AR76" s="2" t="str">
        <f>IF(Source!$C76&gt;=COLUMNS($A76:AR76), Source!$G76, "")</f>
        <v/>
      </c>
    </row>
    <row r="77">
      <c r="A77" s="2">
        <f>IF(Source!$C77&gt;=COLUMNS($A77:A77), Source!$G77, "")</f>
        <v>8</v>
      </c>
      <c r="B77" s="2" t="str">
        <f>IF(Source!$C77&gt;=COLUMNS($A77:B77), Source!$G77, "")</f>
        <v/>
      </c>
      <c r="C77" s="2" t="str">
        <f>IF(Source!$C77&gt;=COLUMNS($A77:C77), Source!$G77, "")</f>
        <v/>
      </c>
      <c r="D77" s="2" t="str">
        <f>IF(Source!$C77&gt;=COLUMNS($A77:D77), Source!$G77, "")</f>
        <v/>
      </c>
      <c r="E77" s="2" t="str">
        <f>IF(Source!$C77&gt;=COLUMNS($A77:E77), Source!$G77, "")</f>
        <v/>
      </c>
      <c r="F77" s="2" t="str">
        <f>IF(Source!$C77&gt;=COLUMNS($A77:F77), Source!$G77, "")</f>
        <v/>
      </c>
      <c r="G77" s="2" t="str">
        <f>IF(Source!$C77&gt;=COLUMNS($A77:G77), Source!$G77, "")</f>
        <v/>
      </c>
      <c r="H77" s="2" t="str">
        <f>IF(Source!$C77&gt;=COLUMNS($A77:H77), Source!$G77, "")</f>
        <v/>
      </c>
      <c r="I77" s="2" t="str">
        <f>IF(Source!$C77&gt;=COLUMNS($A77:I77), Source!$G77, "")</f>
        <v/>
      </c>
      <c r="J77" s="2" t="str">
        <f>IF(Source!$C77&gt;=COLUMNS($A77:J77), Source!$G77, "")</f>
        <v/>
      </c>
      <c r="K77" s="2" t="str">
        <f>IF(Source!$C77&gt;=COLUMNS($A77:K77), Source!$G77, "")</f>
        <v/>
      </c>
      <c r="L77" s="2" t="str">
        <f>IF(Source!$C77&gt;=COLUMNS($A77:L77), Source!$G77, "")</f>
        <v/>
      </c>
      <c r="M77" s="2" t="str">
        <f>IF(Source!$C77&gt;=COLUMNS($A77:M77), Source!$G77, "")</f>
        <v/>
      </c>
      <c r="N77" s="2" t="str">
        <f>IF(Source!$C77&gt;=COLUMNS($A77:N77), Source!$G77, "")</f>
        <v/>
      </c>
      <c r="O77" s="2" t="str">
        <f>IF(Source!$C77&gt;=COLUMNS($A77:O77), Source!$G77, "")</f>
        <v/>
      </c>
      <c r="P77" s="2" t="str">
        <f>IF(Source!$C77&gt;=COLUMNS($A77:P77), Source!$G77, "")</f>
        <v/>
      </c>
      <c r="Q77" s="2" t="str">
        <f>IF(Source!$C77&gt;=COLUMNS($A77:Q77), Source!$G77, "")</f>
        <v/>
      </c>
      <c r="R77" s="2" t="str">
        <f>IF(Source!$C77&gt;=COLUMNS($A77:R77), Source!$G77, "")</f>
        <v/>
      </c>
      <c r="S77" s="2" t="str">
        <f>IF(Source!$C77&gt;=COLUMNS($A77:S77), Source!$G77, "")</f>
        <v/>
      </c>
      <c r="T77" s="2" t="str">
        <f>IF(Source!$C77&gt;=COLUMNS($A77:T77), Source!$G77, "")</f>
        <v/>
      </c>
      <c r="U77" s="2" t="str">
        <f>IF(Source!$C77&gt;=COLUMNS($A77:U77), Source!$G77, "")</f>
        <v/>
      </c>
      <c r="V77" s="2" t="str">
        <f>IF(Source!$C77&gt;=COLUMNS($A77:V77), Source!$G77, "")</f>
        <v/>
      </c>
      <c r="W77" s="2" t="str">
        <f>IF(Source!$C77&gt;=COLUMNS($A77:W77), Source!$G77, "")</f>
        <v/>
      </c>
      <c r="X77" s="2" t="str">
        <f>IF(Source!$C77&gt;=COLUMNS($A77:X77), Source!$G77, "")</f>
        <v/>
      </c>
      <c r="Y77" s="2" t="str">
        <f>IF(Source!$C77&gt;=COLUMNS($A77:Y77), Source!$G77, "")</f>
        <v/>
      </c>
      <c r="Z77" s="2" t="str">
        <f>IF(Source!$C77&gt;=COLUMNS($A77:Z77), Source!$G77, "")</f>
        <v/>
      </c>
      <c r="AA77" s="2" t="str">
        <f>IF(Source!$C77&gt;=COLUMNS($A77:AA77), Source!$G77, "")</f>
        <v/>
      </c>
      <c r="AB77" s="2" t="str">
        <f>IF(Source!$C77&gt;=COLUMNS($A77:AB77), Source!$G77, "")</f>
        <v/>
      </c>
      <c r="AC77" s="2" t="str">
        <f>IF(Source!$C77&gt;=COLUMNS($A77:AC77), Source!$G77, "")</f>
        <v/>
      </c>
      <c r="AD77" s="2" t="str">
        <f>IF(Source!$C77&gt;=COLUMNS($A77:AD77), Source!$G77, "")</f>
        <v/>
      </c>
      <c r="AE77" s="2" t="str">
        <f>IF(Source!$C77&gt;=COLUMNS($A77:AE77), Source!$G77, "")</f>
        <v/>
      </c>
      <c r="AF77" s="2" t="str">
        <f>IF(Source!$C77&gt;=COLUMNS($A77:AF77), Source!$G77, "")</f>
        <v/>
      </c>
      <c r="AG77" s="2" t="str">
        <f>IF(Source!$C77&gt;=COLUMNS($A77:AG77), Source!$G77, "")</f>
        <v/>
      </c>
      <c r="AH77" s="2" t="str">
        <f>IF(Source!$C77&gt;=COLUMNS($A77:AH77), Source!$G77, "")</f>
        <v/>
      </c>
      <c r="AI77" s="2" t="str">
        <f>IF(Source!$C77&gt;=COLUMNS($A77:AI77), Source!$G77, "")</f>
        <v/>
      </c>
      <c r="AJ77" s="2" t="str">
        <f>IF(Source!$C77&gt;=COLUMNS($A77:AJ77), Source!$G77, "")</f>
        <v/>
      </c>
      <c r="AK77" s="2" t="str">
        <f>IF(Source!$C77&gt;=COLUMNS($A77:AK77), Source!$G77, "")</f>
        <v/>
      </c>
      <c r="AL77" s="2" t="str">
        <f>IF(Source!$C77&gt;=COLUMNS($A77:AL77), Source!$G77, "")</f>
        <v/>
      </c>
      <c r="AM77" s="2" t="str">
        <f>IF(Source!$C77&gt;=COLUMNS($A77:AM77), Source!$G77, "")</f>
        <v/>
      </c>
      <c r="AN77" s="2" t="str">
        <f>IF(Source!$C77&gt;=COLUMNS($A77:AN77), Source!$G77, "")</f>
        <v/>
      </c>
      <c r="AO77" s="2" t="str">
        <f>IF(Source!$C77&gt;=COLUMNS($A77:AO77), Source!$G77, "")</f>
        <v/>
      </c>
      <c r="AP77" s="2" t="str">
        <f>IF(Source!$C77&gt;=COLUMNS($A77:AP77), Source!$G77, "")</f>
        <v/>
      </c>
      <c r="AQ77" s="2" t="str">
        <f>IF(Source!$C77&gt;=COLUMNS($A77:AQ77), Source!$G77, "")</f>
        <v/>
      </c>
      <c r="AR77" s="2" t="str">
        <f>IF(Source!$C77&gt;=COLUMNS($A77:AR77), Source!$G77, "")</f>
        <v/>
      </c>
    </row>
    <row r="78">
      <c r="A78" s="2">
        <f>IF(Source!$C78&gt;=COLUMNS($A78:A78), Source!$G78, "")</f>
        <v>9</v>
      </c>
      <c r="B78" s="2">
        <f>IF(Source!$C78&gt;=COLUMNS($A78:B78), Source!$G78, "")</f>
        <v>9</v>
      </c>
      <c r="C78" s="2" t="str">
        <f>IF(Source!$C78&gt;=COLUMNS($A78:C78), Source!$G78, "")</f>
        <v/>
      </c>
      <c r="D78" s="2" t="str">
        <f>IF(Source!$C78&gt;=COLUMNS($A78:D78), Source!$G78, "")</f>
        <v/>
      </c>
      <c r="E78" s="2" t="str">
        <f>IF(Source!$C78&gt;=COLUMNS($A78:E78), Source!$G78, "")</f>
        <v/>
      </c>
      <c r="F78" s="2" t="str">
        <f>IF(Source!$C78&gt;=COLUMNS($A78:F78), Source!$G78, "")</f>
        <v/>
      </c>
      <c r="G78" s="2" t="str">
        <f>IF(Source!$C78&gt;=COLUMNS($A78:G78), Source!$G78, "")</f>
        <v/>
      </c>
      <c r="H78" s="2" t="str">
        <f>IF(Source!$C78&gt;=COLUMNS($A78:H78), Source!$G78, "")</f>
        <v/>
      </c>
      <c r="I78" s="2" t="str">
        <f>IF(Source!$C78&gt;=COLUMNS($A78:I78), Source!$G78, "")</f>
        <v/>
      </c>
      <c r="J78" s="2" t="str">
        <f>IF(Source!$C78&gt;=COLUMNS($A78:J78), Source!$G78, "")</f>
        <v/>
      </c>
      <c r="K78" s="2" t="str">
        <f>IF(Source!$C78&gt;=COLUMNS($A78:K78), Source!$G78, "")</f>
        <v/>
      </c>
      <c r="L78" s="2" t="str">
        <f>IF(Source!$C78&gt;=COLUMNS($A78:L78), Source!$G78, "")</f>
        <v/>
      </c>
      <c r="M78" s="2" t="str">
        <f>IF(Source!$C78&gt;=COLUMNS($A78:M78), Source!$G78, "")</f>
        <v/>
      </c>
      <c r="N78" s="2" t="str">
        <f>IF(Source!$C78&gt;=COLUMNS($A78:N78), Source!$G78, "")</f>
        <v/>
      </c>
      <c r="O78" s="2" t="str">
        <f>IF(Source!$C78&gt;=COLUMNS($A78:O78), Source!$G78, "")</f>
        <v/>
      </c>
      <c r="P78" s="2" t="str">
        <f>IF(Source!$C78&gt;=COLUMNS($A78:P78), Source!$G78, "")</f>
        <v/>
      </c>
      <c r="Q78" s="2" t="str">
        <f>IF(Source!$C78&gt;=COLUMNS($A78:Q78), Source!$G78, "")</f>
        <v/>
      </c>
      <c r="R78" s="2" t="str">
        <f>IF(Source!$C78&gt;=COLUMNS($A78:R78), Source!$G78, "")</f>
        <v/>
      </c>
      <c r="S78" s="2" t="str">
        <f>IF(Source!$C78&gt;=COLUMNS($A78:S78), Source!$G78, "")</f>
        <v/>
      </c>
      <c r="T78" s="2" t="str">
        <f>IF(Source!$C78&gt;=COLUMNS($A78:T78), Source!$G78, "")</f>
        <v/>
      </c>
      <c r="U78" s="2" t="str">
        <f>IF(Source!$C78&gt;=COLUMNS($A78:U78), Source!$G78, "")</f>
        <v/>
      </c>
      <c r="V78" s="2" t="str">
        <f>IF(Source!$C78&gt;=COLUMNS($A78:V78), Source!$G78, "")</f>
        <v/>
      </c>
      <c r="W78" s="2" t="str">
        <f>IF(Source!$C78&gt;=COLUMNS($A78:W78), Source!$G78, "")</f>
        <v/>
      </c>
      <c r="X78" s="2" t="str">
        <f>IF(Source!$C78&gt;=COLUMNS($A78:X78), Source!$G78, "")</f>
        <v/>
      </c>
      <c r="Y78" s="2" t="str">
        <f>IF(Source!$C78&gt;=COLUMNS($A78:Y78), Source!$G78, "")</f>
        <v/>
      </c>
      <c r="Z78" s="2" t="str">
        <f>IF(Source!$C78&gt;=COLUMNS($A78:Z78), Source!$G78, "")</f>
        <v/>
      </c>
      <c r="AA78" s="2" t="str">
        <f>IF(Source!$C78&gt;=COLUMNS($A78:AA78), Source!$G78, "")</f>
        <v/>
      </c>
      <c r="AB78" s="2" t="str">
        <f>IF(Source!$C78&gt;=COLUMNS($A78:AB78), Source!$G78, "")</f>
        <v/>
      </c>
      <c r="AC78" s="2" t="str">
        <f>IF(Source!$C78&gt;=COLUMNS($A78:AC78), Source!$G78, "")</f>
        <v/>
      </c>
      <c r="AD78" s="2" t="str">
        <f>IF(Source!$C78&gt;=COLUMNS($A78:AD78), Source!$G78, "")</f>
        <v/>
      </c>
      <c r="AE78" s="2" t="str">
        <f>IF(Source!$C78&gt;=COLUMNS($A78:AE78), Source!$G78, "")</f>
        <v/>
      </c>
      <c r="AF78" s="2" t="str">
        <f>IF(Source!$C78&gt;=COLUMNS($A78:AF78), Source!$G78, "")</f>
        <v/>
      </c>
      <c r="AG78" s="2" t="str">
        <f>IF(Source!$C78&gt;=COLUMNS($A78:AG78), Source!$G78, "")</f>
        <v/>
      </c>
      <c r="AH78" s="2" t="str">
        <f>IF(Source!$C78&gt;=COLUMNS($A78:AH78), Source!$G78, "")</f>
        <v/>
      </c>
      <c r="AI78" s="2" t="str">
        <f>IF(Source!$C78&gt;=COLUMNS($A78:AI78), Source!$G78, "")</f>
        <v/>
      </c>
      <c r="AJ78" s="2" t="str">
        <f>IF(Source!$C78&gt;=COLUMNS($A78:AJ78), Source!$G78, "")</f>
        <v/>
      </c>
      <c r="AK78" s="2" t="str">
        <f>IF(Source!$C78&gt;=COLUMNS($A78:AK78), Source!$G78, "")</f>
        <v/>
      </c>
      <c r="AL78" s="2" t="str">
        <f>IF(Source!$C78&gt;=COLUMNS($A78:AL78), Source!$G78, "")</f>
        <v/>
      </c>
      <c r="AM78" s="2" t="str">
        <f>IF(Source!$C78&gt;=COLUMNS($A78:AM78), Source!$G78, "")</f>
        <v/>
      </c>
      <c r="AN78" s="2" t="str">
        <f>IF(Source!$C78&gt;=COLUMNS($A78:AN78), Source!$G78, "")</f>
        <v/>
      </c>
      <c r="AO78" s="2" t="str">
        <f>IF(Source!$C78&gt;=COLUMNS($A78:AO78), Source!$G78, "")</f>
        <v/>
      </c>
      <c r="AP78" s="2" t="str">
        <f>IF(Source!$C78&gt;=COLUMNS($A78:AP78), Source!$G78, "")</f>
        <v/>
      </c>
      <c r="AQ78" s="2" t="str">
        <f>IF(Source!$C78&gt;=COLUMNS($A78:AQ78), Source!$G78, "")</f>
        <v/>
      </c>
      <c r="AR78" s="2" t="str">
        <f>IF(Source!$C78&gt;=COLUMNS($A78:AR78), Source!$G78, "")</f>
        <v/>
      </c>
    </row>
    <row r="79">
      <c r="A79" s="2">
        <f>IF(Source!$C79&gt;=COLUMNS($A79:A79), Source!$G79, "")</f>
        <v>3</v>
      </c>
      <c r="B79" s="2">
        <f>IF(Source!$C79&gt;=COLUMNS($A79:B79), Source!$G79, "")</f>
        <v>3</v>
      </c>
      <c r="C79" s="2" t="str">
        <f>IF(Source!$C79&gt;=COLUMNS($A79:C79), Source!$G79, "")</f>
        <v/>
      </c>
      <c r="D79" s="2" t="str">
        <f>IF(Source!$C79&gt;=COLUMNS($A79:D79), Source!$G79, "")</f>
        <v/>
      </c>
      <c r="E79" s="2" t="str">
        <f>IF(Source!$C79&gt;=COLUMNS($A79:E79), Source!$G79, "")</f>
        <v/>
      </c>
      <c r="F79" s="2" t="str">
        <f>IF(Source!$C79&gt;=COLUMNS($A79:F79), Source!$G79, "")</f>
        <v/>
      </c>
      <c r="G79" s="2" t="str">
        <f>IF(Source!$C79&gt;=COLUMNS($A79:G79), Source!$G79, "")</f>
        <v/>
      </c>
      <c r="H79" s="2" t="str">
        <f>IF(Source!$C79&gt;=COLUMNS($A79:H79), Source!$G79, "")</f>
        <v/>
      </c>
      <c r="I79" s="2" t="str">
        <f>IF(Source!$C79&gt;=COLUMNS($A79:I79), Source!$G79, "")</f>
        <v/>
      </c>
      <c r="J79" s="2" t="str">
        <f>IF(Source!$C79&gt;=COLUMNS($A79:J79), Source!$G79, "")</f>
        <v/>
      </c>
      <c r="K79" s="2" t="str">
        <f>IF(Source!$C79&gt;=COLUMNS($A79:K79), Source!$G79, "")</f>
        <v/>
      </c>
      <c r="L79" s="2" t="str">
        <f>IF(Source!$C79&gt;=COLUMNS($A79:L79), Source!$G79, "")</f>
        <v/>
      </c>
      <c r="M79" s="2" t="str">
        <f>IF(Source!$C79&gt;=COLUMNS($A79:M79), Source!$G79, "")</f>
        <v/>
      </c>
      <c r="N79" s="2" t="str">
        <f>IF(Source!$C79&gt;=COLUMNS($A79:N79), Source!$G79, "")</f>
        <v/>
      </c>
      <c r="O79" s="2" t="str">
        <f>IF(Source!$C79&gt;=COLUMNS($A79:O79), Source!$G79, "")</f>
        <v/>
      </c>
      <c r="P79" s="2" t="str">
        <f>IF(Source!$C79&gt;=COLUMNS($A79:P79), Source!$G79, "")</f>
        <v/>
      </c>
      <c r="Q79" s="2" t="str">
        <f>IF(Source!$C79&gt;=COLUMNS($A79:Q79), Source!$G79, "")</f>
        <v/>
      </c>
      <c r="R79" s="2" t="str">
        <f>IF(Source!$C79&gt;=COLUMNS($A79:R79), Source!$G79, "")</f>
        <v/>
      </c>
      <c r="S79" s="2" t="str">
        <f>IF(Source!$C79&gt;=COLUMNS($A79:S79), Source!$G79, "")</f>
        <v/>
      </c>
      <c r="T79" s="2" t="str">
        <f>IF(Source!$C79&gt;=COLUMNS($A79:T79), Source!$G79, "")</f>
        <v/>
      </c>
      <c r="U79" s="2" t="str">
        <f>IF(Source!$C79&gt;=COLUMNS($A79:U79), Source!$G79, "")</f>
        <v/>
      </c>
      <c r="V79" s="2" t="str">
        <f>IF(Source!$C79&gt;=COLUMNS($A79:V79), Source!$G79, "")</f>
        <v/>
      </c>
      <c r="W79" s="2" t="str">
        <f>IF(Source!$C79&gt;=COLUMNS($A79:W79), Source!$G79, "")</f>
        <v/>
      </c>
      <c r="X79" s="2" t="str">
        <f>IF(Source!$C79&gt;=COLUMNS($A79:X79), Source!$G79, "")</f>
        <v/>
      </c>
      <c r="Y79" s="2" t="str">
        <f>IF(Source!$C79&gt;=COLUMNS($A79:Y79), Source!$G79, "")</f>
        <v/>
      </c>
      <c r="Z79" s="2" t="str">
        <f>IF(Source!$C79&gt;=COLUMNS($A79:Z79), Source!$G79, "")</f>
        <v/>
      </c>
      <c r="AA79" s="2" t="str">
        <f>IF(Source!$C79&gt;=COLUMNS($A79:AA79), Source!$G79, "")</f>
        <v/>
      </c>
      <c r="AB79" s="2" t="str">
        <f>IF(Source!$C79&gt;=COLUMNS($A79:AB79), Source!$G79, "")</f>
        <v/>
      </c>
      <c r="AC79" s="2" t="str">
        <f>IF(Source!$C79&gt;=COLUMNS($A79:AC79), Source!$G79, "")</f>
        <v/>
      </c>
      <c r="AD79" s="2" t="str">
        <f>IF(Source!$C79&gt;=COLUMNS($A79:AD79), Source!$G79, "")</f>
        <v/>
      </c>
      <c r="AE79" s="2" t="str">
        <f>IF(Source!$C79&gt;=COLUMNS($A79:AE79), Source!$G79, "")</f>
        <v/>
      </c>
      <c r="AF79" s="2" t="str">
        <f>IF(Source!$C79&gt;=COLUMNS($A79:AF79), Source!$G79, "")</f>
        <v/>
      </c>
      <c r="AG79" s="2" t="str">
        <f>IF(Source!$C79&gt;=COLUMNS($A79:AG79), Source!$G79, "")</f>
        <v/>
      </c>
      <c r="AH79" s="2" t="str">
        <f>IF(Source!$C79&gt;=COLUMNS($A79:AH79), Source!$G79, "")</f>
        <v/>
      </c>
      <c r="AI79" s="2" t="str">
        <f>IF(Source!$C79&gt;=COLUMNS($A79:AI79), Source!$G79, "")</f>
        <v/>
      </c>
      <c r="AJ79" s="2" t="str">
        <f>IF(Source!$C79&gt;=COLUMNS($A79:AJ79), Source!$G79, "")</f>
        <v/>
      </c>
      <c r="AK79" s="2" t="str">
        <f>IF(Source!$C79&gt;=COLUMNS($A79:AK79), Source!$G79, "")</f>
        <v/>
      </c>
      <c r="AL79" s="2" t="str">
        <f>IF(Source!$C79&gt;=COLUMNS($A79:AL79), Source!$G79, "")</f>
        <v/>
      </c>
      <c r="AM79" s="2" t="str">
        <f>IF(Source!$C79&gt;=COLUMNS($A79:AM79), Source!$G79, "")</f>
        <v/>
      </c>
      <c r="AN79" s="2" t="str">
        <f>IF(Source!$C79&gt;=COLUMNS($A79:AN79), Source!$G79, "")</f>
        <v/>
      </c>
      <c r="AO79" s="2" t="str">
        <f>IF(Source!$C79&gt;=COLUMNS($A79:AO79), Source!$G79, "")</f>
        <v/>
      </c>
      <c r="AP79" s="2" t="str">
        <f>IF(Source!$C79&gt;=COLUMNS($A79:AP79), Source!$G79, "")</f>
        <v/>
      </c>
      <c r="AQ79" s="2" t="str">
        <f>IF(Source!$C79&gt;=COLUMNS($A79:AQ79), Source!$G79, "")</f>
        <v/>
      </c>
      <c r="AR79" s="2" t="str">
        <f>IF(Source!$C79&gt;=COLUMNS($A79:AR79), Source!$G79, "")</f>
        <v/>
      </c>
    </row>
    <row r="80">
      <c r="A80" s="2">
        <f>IF(Source!$C80&gt;=COLUMNS($A80:A80), Source!$G80, "")</f>
        <v>8</v>
      </c>
      <c r="B80" s="2" t="str">
        <f>IF(Source!$C80&gt;=COLUMNS($A80:B80), Source!$G80, "")</f>
        <v/>
      </c>
      <c r="C80" s="2" t="str">
        <f>IF(Source!$C80&gt;=COLUMNS($A80:C80), Source!$G80, "")</f>
        <v/>
      </c>
      <c r="D80" s="2" t="str">
        <f>IF(Source!$C80&gt;=COLUMNS($A80:D80), Source!$G80, "")</f>
        <v/>
      </c>
      <c r="E80" s="2" t="str">
        <f>IF(Source!$C80&gt;=COLUMNS($A80:E80), Source!$G80, "")</f>
        <v/>
      </c>
      <c r="F80" s="2" t="str">
        <f>IF(Source!$C80&gt;=COLUMNS($A80:F80), Source!$G80, "")</f>
        <v/>
      </c>
      <c r="G80" s="2" t="str">
        <f>IF(Source!$C80&gt;=COLUMNS($A80:G80), Source!$G80, "")</f>
        <v/>
      </c>
      <c r="H80" s="2" t="str">
        <f>IF(Source!$C80&gt;=COLUMNS($A80:H80), Source!$G80, "")</f>
        <v/>
      </c>
      <c r="I80" s="2" t="str">
        <f>IF(Source!$C80&gt;=COLUMNS($A80:I80), Source!$G80, "")</f>
        <v/>
      </c>
      <c r="J80" s="2" t="str">
        <f>IF(Source!$C80&gt;=COLUMNS($A80:J80), Source!$G80, "")</f>
        <v/>
      </c>
      <c r="K80" s="2" t="str">
        <f>IF(Source!$C80&gt;=COLUMNS($A80:K80), Source!$G80, "")</f>
        <v/>
      </c>
      <c r="L80" s="2" t="str">
        <f>IF(Source!$C80&gt;=COLUMNS($A80:L80), Source!$G80, "")</f>
        <v/>
      </c>
      <c r="M80" s="2" t="str">
        <f>IF(Source!$C80&gt;=COLUMNS($A80:M80), Source!$G80, "")</f>
        <v/>
      </c>
      <c r="N80" s="2" t="str">
        <f>IF(Source!$C80&gt;=COLUMNS($A80:N80), Source!$G80, "")</f>
        <v/>
      </c>
      <c r="O80" s="2" t="str">
        <f>IF(Source!$C80&gt;=COLUMNS($A80:O80), Source!$G80, "")</f>
        <v/>
      </c>
      <c r="P80" s="2" t="str">
        <f>IF(Source!$C80&gt;=COLUMNS($A80:P80), Source!$G80, "")</f>
        <v/>
      </c>
      <c r="Q80" s="2" t="str">
        <f>IF(Source!$C80&gt;=COLUMNS($A80:Q80), Source!$G80, "")</f>
        <v/>
      </c>
      <c r="R80" s="2" t="str">
        <f>IF(Source!$C80&gt;=COLUMNS($A80:R80), Source!$G80, "")</f>
        <v/>
      </c>
      <c r="S80" s="2" t="str">
        <f>IF(Source!$C80&gt;=COLUMNS($A80:S80), Source!$G80, "")</f>
        <v/>
      </c>
      <c r="T80" s="2" t="str">
        <f>IF(Source!$C80&gt;=COLUMNS($A80:T80), Source!$G80, "")</f>
        <v/>
      </c>
      <c r="U80" s="2" t="str">
        <f>IF(Source!$C80&gt;=COLUMNS($A80:U80), Source!$G80, "")</f>
        <v/>
      </c>
      <c r="V80" s="2" t="str">
        <f>IF(Source!$C80&gt;=COLUMNS($A80:V80), Source!$G80, "")</f>
        <v/>
      </c>
      <c r="W80" s="2" t="str">
        <f>IF(Source!$C80&gt;=COLUMNS($A80:W80), Source!$G80, "")</f>
        <v/>
      </c>
      <c r="X80" s="2" t="str">
        <f>IF(Source!$C80&gt;=COLUMNS($A80:X80), Source!$G80, "")</f>
        <v/>
      </c>
      <c r="Y80" s="2" t="str">
        <f>IF(Source!$C80&gt;=COLUMNS($A80:Y80), Source!$G80, "")</f>
        <v/>
      </c>
      <c r="Z80" s="2" t="str">
        <f>IF(Source!$C80&gt;=COLUMNS($A80:Z80), Source!$G80, "")</f>
        <v/>
      </c>
      <c r="AA80" s="2" t="str">
        <f>IF(Source!$C80&gt;=COLUMNS($A80:AA80), Source!$G80, "")</f>
        <v/>
      </c>
      <c r="AB80" s="2" t="str">
        <f>IF(Source!$C80&gt;=COLUMNS($A80:AB80), Source!$G80, "")</f>
        <v/>
      </c>
      <c r="AC80" s="2" t="str">
        <f>IF(Source!$C80&gt;=COLUMNS($A80:AC80), Source!$G80, "")</f>
        <v/>
      </c>
      <c r="AD80" s="2" t="str">
        <f>IF(Source!$C80&gt;=COLUMNS($A80:AD80), Source!$G80, "")</f>
        <v/>
      </c>
      <c r="AE80" s="2" t="str">
        <f>IF(Source!$C80&gt;=COLUMNS($A80:AE80), Source!$G80, "")</f>
        <v/>
      </c>
      <c r="AF80" s="2" t="str">
        <f>IF(Source!$C80&gt;=COLUMNS($A80:AF80), Source!$G80, "")</f>
        <v/>
      </c>
      <c r="AG80" s="2" t="str">
        <f>IF(Source!$C80&gt;=COLUMNS($A80:AG80), Source!$G80, "")</f>
        <v/>
      </c>
      <c r="AH80" s="2" t="str">
        <f>IF(Source!$C80&gt;=COLUMNS($A80:AH80), Source!$G80, "")</f>
        <v/>
      </c>
      <c r="AI80" s="2" t="str">
        <f>IF(Source!$C80&gt;=COLUMNS($A80:AI80), Source!$G80, "")</f>
        <v/>
      </c>
      <c r="AJ80" s="2" t="str">
        <f>IF(Source!$C80&gt;=COLUMNS($A80:AJ80), Source!$G80, "")</f>
        <v/>
      </c>
      <c r="AK80" s="2" t="str">
        <f>IF(Source!$C80&gt;=COLUMNS($A80:AK80), Source!$G80, "")</f>
        <v/>
      </c>
      <c r="AL80" s="2" t="str">
        <f>IF(Source!$C80&gt;=COLUMNS($A80:AL80), Source!$G80, "")</f>
        <v/>
      </c>
      <c r="AM80" s="2" t="str">
        <f>IF(Source!$C80&gt;=COLUMNS($A80:AM80), Source!$G80, "")</f>
        <v/>
      </c>
      <c r="AN80" s="2" t="str">
        <f>IF(Source!$C80&gt;=COLUMNS($A80:AN80), Source!$G80, "")</f>
        <v/>
      </c>
      <c r="AO80" s="2" t="str">
        <f>IF(Source!$C80&gt;=COLUMNS($A80:AO80), Source!$G80, "")</f>
        <v/>
      </c>
      <c r="AP80" s="2" t="str">
        <f>IF(Source!$C80&gt;=COLUMNS($A80:AP80), Source!$G80, "")</f>
        <v/>
      </c>
      <c r="AQ80" s="2" t="str">
        <f>IF(Source!$C80&gt;=COLUMNS($A80:AQ80), Source!$G80, "")</f>
        <v/>
      </c>
      <c r="AR80" s="2" t="str">
        <f>IF(Source!$C80&gt;=COLUMNS($A80:AR80), Source!$G80, "")</f>
        <v/>
      </c>
    </row>
    <row r="81">
      <c r="A81" s="2">
        <f>IF(Source!$C81&gt;=COLUMNS($A81:A81), Source!$G81, "")</f>
        <v>7</v>
      </c>
      <c r="B81" s="2">
        <f>IF(Source!$C81&gt;=COLUMNS($A81:B81), Source!$G81, "")</f>
        <v>7</v>
      </c>
      <c r="C81" s="2">
        <f>IF(Source!$C81&gt;=COLUMNS($A81:C81), Source!$G81, "")</f>
        <v>7</v>
      </c>
      <c r="D81" s="2">
        <f>IF(Source!$C81&gt;=COLUMNS($A81:D81), Source!$G81, "")</f>
        <v>7</v>
      </c>
      <c r="E81" s="2" t="str">
        <f>IF(Source!$C81&gt;=COLUMNS($A81:E81), Source!$G81, "")</f>
        <v/>
      </c>
      <c r="F81" s="2" t="str">
        <f>IF(Source!$C81&gt;=COLUMNS($A81:F81), Source!$G81, "")</f>
        <v/>
      </c>
      <c r="G81" s="2" t="str">
        <f>IF(Source!$C81&gt;=COLUMNS($A81:G81), Source!$G81, "")</f>
        <v/>
      </c>
      <c r="H81" s="2" t="str">
        <f>IF(Source!$C81&gt;=COLUMNS($A81:H81), Source!$G81, "")</f>
        <v/>
      </c>
      <c r="I81" s="2" t="str">
        <f>IF(Source!$C81&gt;=COLUMNS($A81:I81), Source!$G81, "")</f>
        <v/>
      </c>
      <c r="J81" s="2" t="str">
        <f>IF(Source!$C81&gt;=COLUMNS($A81:J81), Source!$G81, "")</f>
        <v/>
      </c>
      <c r="K81" s="2" t="str">
        <f>IF(Source!$C81&gt;=COLUMNS($A81:K81), Source!$G81, "")</f>
        <v/>
      </c>
      <c r="L81" s="2" t="str">
        <f>IF(Source!$C81&gt;=COLUMNS($A81:L81), Source!$G81, "")</f>
        <v/>
      </c>
      <c r="M81" s="2" t="str">
        <f>IF(Source!$C81&gt;=COLUMNS($A81:M81), Source!$G81, "")</f>
        <v/>
      </c>
      <c r="N81" s="2" t="str">
        <f>IF(Source!$C81&gt;=COLUMNS($A81:N81), Source!$G81, "")</f>
        <v/>
      </c>
      <c r="O81" s="2" t="str">
        <f>IF(Source!$C81&gt;=COLUMNS($A81:O81), Source!$G81, "")</f>
        <v/>
      </c>
      <c r="P81" s="2" t="str">
        <f>IF(Source!$C81&gt;=COLUMNS($A81:P81), Source!$G81, "")</f>
        <v/>
      </c>
      <c r="Q81" s="2" t="str">
        <f>IF(Source!$C81&gt;=COLUMNS($A81:Q81), Source!$G81, "")</f>
        <v/>
      </c>
      <c r="R81" s="2" t="str">
        <f>IF(Source!$C81&gt;=COLUMNS($A81:R81), Source!$G81, "")</f>
        <v/>
      </c>
      <c r="S81" s="2" t="str">
        <f>IF(Source!$C81&gt;=COLUMNS($A81:S81), Source!$G81, "")</f>
        <v/>
      </c>
      <c r="T81" s="2" t="str">
        <f>IF(Source!$C81&gt;=COLUMNS($A81:T81), Source!$G81, "")</f>
        <v/>
      </c>
      <c r="U81" s="2" t="str">
        <f>IF(Source!$C81&gt;=COLUMNS($A81:U81), Source!$G81, "")</f>
        <v/>
      </c>
      <c r="V81" s="2" t="str">
        <f>IF(Source!$C81&gt;=COLUMNS($A81:V81), Source!$G81, "")</f>
        <v/>
      </c>
      <c r="W81" s="2" t="str">
        <f>IF(Source!$C81&gt;=COLUMNS($A81:W81), Source!$G81, "")</f>
        <v/>
      </c>
      <c r="X81" s="2" t="str">
        <f>IF(Source!$C81&gt;=COLUMNS($A81:X81), Source!$G81, "")</f>
        <v/>
      </c>
      <c r="Y81" s="2" t="str">
        <f>IF(Source!$C81&gt;=COLUMNS($A81:Y81), Source!$G81, "")</f>
        <v/>
      </c>
      <c r="Z81" s="2" t="str">
        <f>IF(Source!$C81&gt;=COLUMNS($A81:Z81), Source!$G81, "")</f>
        <v/>
      </c>
      <c r="AA81" s="2" t="str">
        <f>IF(Source!$C81&gt;=COLUMNS($A81:AA81), Source!$G81, "")</f>
        <v/>
      </c>
      <c r="AB81" s="2" t="str">
        <f>IF(Source!$C81&gt;=COLUMNS($A81:AB81), Source!$G81, "")</f>
        <v/>
      </c>
      <c r="AC81" s="2" t="str">
        <f>IF(Source!$C81&gt;=COLUMNS($A81:AC81), Source!$G81, "")</f>
        <v/>
      </c>
      <c r="AD81" s="2" t="str">
        <f>IF(Source!$C81&gt;=COLUMNS($A81:AD81), Source!$G81, "")</f>
        <v/>
      </c>
      <c r="AE81" s="2" t="str">
        <f>IF(Source!$C81&gt;=COLUMNS($A81:AE81), Source!$G81, "")</f>
        <v/>
      </c>
      <c r="AF81" s="2" t="str">
        <f>IF(Source!$C81&gt;=COLUMNS($A81:AF81), Source!$G81, "")</f>
        <v/>
      </c>
      <c r="AG81" s="2" t="str">
        <f>IF(Source!$C81&gt;=COLUMNS($A81:AG81), Source!$G81, "")</f>
        <v/>
      </c>
      <c r="AH81" s="2" t="str">
        <f>IF(Source!$C81&gt;=COLUMNS($A81:AH81), Source!$G81, "")</f>
        <v/>
      </c>
      <c r="AI81" s="2" t="str">
        <f>IF(Source!$C81&gt;=COLUMNS($A81:AI81), Source!$G81, "")</f>
        <v/>
      </c>
      <c r="AJ81" s="2" t="str">
        <f>IF(Source!$C81&gt;=COLUMNS($A81:AJ81), Source!$G81, "")</f>
        <v/>
      </c>
      <c r="AK81" s="2" t="str">
        <f>IF(Source!$C81&gt;=COLUMNS($A81:AK81), Source!$G81, "")</f>
        <v/>
      </c>
      <c r="AL81" s="2" t="str">
        <f>IF(Source!$C81&gt;=COLUMNS($A81:AL81), Source!$G81, "")</f>
        <v/>
      </c>
      <c r="AM81" s="2" t="str">
        <f>IF(Source!$C81&gt;=COLUMNS($A81:AM81), Source!$G81, "")</f>
        <v/>
      </c>
      <c r="AN81" s="2" t="str">
        <f>IF(Source!$C81&gt;=COLUMNS($A81:AN81), Source!$G81, "")</f>
        <v/>
      </c>
      <c r="AO81" s="2" t="str">
        <f>IF(Source!$C81&gt;=COLUMNS($A81:AO81), Source!$G81, "")</f>
        <v/>
      </c>
      <c r="AP81" s="2" t="str">
        <f>IF(Source!$C81&gt;=COLUMNS($A81:AP81), Source!$G81, "")</f>
        <v/>
      </c>
      <c r="AQ81" s="2" t="str">
        <f>IF(Source!$C81&gt;=COLUMNS($A81:AQ81), Source!$G81, "")</f>
        <v/>
      </c>
      <c r="AR81" s="2" t="str">
        <f>IF(Source!$C81&gt;=COLUMNS($A81:AR81), Source!$G81, "")</f>
        <v/>
      </c>
    </row>
    <row r="82">
      <c r="A82" s="2">
        <f>IF(Source!$C82&gt;=COLUMNS($A82:A82), Source!$G82, "")</f>
        <v>8</v>
      </c>
      <c r="B82" s="2">
        <f>IF(Source!$C82&gt;=COLUMNS($A82:B82), Source!$G82, "")</f>
        <v>8</v>
      </c>
      <c r="C82" s="2">
        <f>IF(Source!$C82&gt;=COLUMNS($A82:C82), Source!$G82, "")</f>
        <v>8</v>
      </c>
      <c r="D82" s="2">
        <f>IF(Source!$C82&gt;=COLUMNS($A82:D82), Source!$G82, "")</f>
        <v>8</v>
      </c>
      <c r="E82" s="2" t="str">
        <f>IF(Source!$C82&gt;=COLUMNS($A82:E82), Source!$G82, "")</f>
        <v/>
      </c>
      <c r="F82" s="2" t="str">
        <f>IF(Source!$C82&gt;=COLUMNS($A82:F82), Source!$G82, "")</f>
        <v/>
      </c>
      <c r="G82" s="2" t="str">
        <f>IF(Source!$C82&gt;=COLUMNS($A82:G82), Source!$G82, "")</f>
        <v/>
      </c>
      <c r="H82" s="2" t="str">
        <f>IF(Source!$C82&gt;=COLUMNS($A82:H82), Source!$G82, "")</f>
        <v/>
      </c>
      <c r="I82" s="2" t="str">
        <f>IF(Source!$C82&gt;=COLUMNS($A82:I82), Source!$G82, "")</f>
        <v/>
      </c>
      <c r="J82" s="2" t="str">
        <f>IF(Source!$C82&gt;=COLUMNS($A82:J82), Source!$G82, "")</f>
        <v/>
      </c>
      <c r="K82" s="2" t="str">
        <f>IF(Source!$C82&gt;=COLUMNS($A82:K82), Source!$G82, "")</f>
        <v/>
      </c>
      <c r="L82" s="2" t="str">
        <f>IF(Source!$C82&gt;=COLUMNS($A82:L82), Source!$G82, "")</f>
        <v/>
      </c>
      <c r="M82" s="2" t="str">
        <f>IF(Source!$C82&gt;=COLUMNS($A82:M82), Source!$G82, "")</f>
        <v/>
      </c>
      <c r="N82" s="2" t="str">
        <f>IF(Source!$C82&gt;=COLUMNS($A82:N82), Source!$G82, "")</f>
        <v/>
      </c>
      <c r="O82" s="2" t="str">
        <f>IF(Source!$C82&gt;=COLUMNS($A82:O82), Source!$G82, "")</f>
        <v/>
      </c>
      <c r="P82" s="2" t="str">
        <f>IF(Source!$C82&gt;=COLUMNS($A82:P82), Source!$G82, "")</f>
        <v/>
      </c>
      <c r="Q82" s="2" t="str">
        <f>IF(Source!$C82&gt;=COLUMNS($A82:Q82), Source!$G82, "")</f>
        <v/>
      </c>
      <c r="R82" s="2" t="str">
        <f>IF(Source!$C82&gt;=COLUMNS($A82:R82), Source!$G82, "")</f>
        <v/>
      </c>
      <c r="S82" s="2" t="str">
        <f>IF(Source!$C82&gt;=COLUMNS($A82:S82), Source!$G82, "")</f>
        <v/>
      </c>
      <c r="T82" s="2" t="str">
        <f>IF(Source!$C82&gt;=COLUMNS($A82:T82), Source!$G82, "")</f>
        <v/>
      </c>
      <c r="U82" s="2" t="str">
        <f>IF(Source!$C82&gt;=COLUMNS($A82:U82), Source!$G82, "")</f>
        <v/>
      </c>
      <c r="V82" s="2" t="str">
        <f>IF(Source!$C82&gt;=COLUMNS($A82:V82), Source!$G82, "")</f>
        <v/>
      </c>
      <c r="W82" s="2" t="str">
        <f>IF(Source!$C82&gt;=COLUMNS($A82:W82), Source!$G82, "")</f>
        <v/>
      </c>
      <c r="X82" s="2" t="str">
        <f>IF(Source!$C82&gt;=COLUMNS($A82:X82), Source!$G82, "")</f>
        <v/>
      </c>
      <c r="Y82" s="2" t="str">
        <f>IF(Source!$C82&gt;=COLUMNS($A82:Y82), Source!$G82, "")</f>
        <v/>
      </c>
      <c r="Z82" s="2" t="str">
        <f>IF(Source!$C82&gt;=COLUMNS($A82:Z82), Source!$G82, "")</f>
        <v/>
      </c>
      <c r="AA82" s="2" t="str">
        <f>IF(Source!$C82&gt;=COLUMNS($A82:AA82), Source!$G82, "")</f>
        <v/>
      </c>
      <c r="AB82" s="2" t="str">
        <f>IF(Source!$C82&gt;=COLUMNS($A82:AB82), Source!$G82, "")</f>
        <v/>
      </c>
      <c r="AC82" s="2" t="str">
        <f>IF(Source!$C82&gt;=COLUMNS($A82:AC82), Source!$G82, "")</f>
        <v/>
      </c>
      <c r="AD82" s="2" t="str">
        <f>IF(Source!$C82&gt;=COLUMNS($A82:AD82), Source!$G82, "")</f>
        <v/>
      </c>
      <c r="AE82" s="2" t="str">
        <f>IF(Source!$C82&gt;=COLUMNS($A82:AE82), Source!$G82, "")</f>
        <v/>
      </c>
      <c r="AF82" s="2" t="str">
        <f>IF(Source!$C82&gt;=COLUMNS($A82:AF82), Source!$G82, "")</f>
        <v/>
      </c>
      <c r="AG82" s="2" t="str">
        <f>IF(Source!$C82&gt;=COLUMNS($A82:AG82), Source!$G82, "")</f>
        <v/>
      </c>
      <c r="AH82" s="2" t="str">
        <f>IF(Source!$C82&gt;=COLUMNS($A82:AH82), Source!$G82, "")</f>
        <v/>
      </c>
      <c r="AI82" s="2" t="str">
        <f>IF(Source!$C82&gt;=COLUMNS($A82:AI82), Source!$G82, "")</f>
        <v/>
      </c>
      <c r="AJ82" s="2" t="str">
        <f>IF(Source!$C82&gt;=COLUMNS($A82:AJ82), Source!$G82, "")</f>
        <v/>
      </c>
      <c r="AK82" s="2" t="str">
        <f>IF(Source!$C82&gt;=COLUMNS($A82:AK82), Source!$G82, "")</f>
        <v/>
      </c>
      <c r="AL82" s="2" t="str">
        <f>IF(Source!$C82&gt;=COLUMNS($A82:AL82), Source!$G82, "")</f>
        <v/>
      </c>
      <c r="AM82" s="2" t="str">
        <f>IF(Source!$C82&gt;=COLUMNS($A82:AM82), Source!$G82, "")</f>
        <v/>
      </c>
      <c r="AN82" s="2" t="str">
        <f>IF(Source!$C82&gt;=COLUMNS($A82:AN82), Source!$G82, "")</f>
        <v/>
      </c>
      <c r="AO82" s="2" t="str">
        <f>IF(Source!$C82&gt;=COLUMNS($A82:AO82), Source!$G82, "")</f>
        <v/>
      </c>
      <c r="AP82" s="2" t="str">
        <f>IF(Source!$C82&gt;=COLUMNS($A82:AP82), Source!$G82, "")</f>
        <v/>
      </c>
      <c r="AQ82" s="2" t="str">
        <f>IF(Source!$C82&gt;=COLUMNS($A82:AQ82), Source!$G82, "")</f>
        <v/>
      </c>
      <c r="AR82" s="2" t="str">
        <f>IF(Source!$C82&gt;=COLUMNS($A82:AR82), Source!$G82, "")</f>
        <v/>
      </c>
    </row>
    <row r="83">
      <c r="A83" s="2">
        <f>IF(Source!$C83&gt;=COLUMNS($A83:A83), Source!$G83, "")</f>
        <v>1</v>
      </c>
      <c r="B83" s="2">
        <f>IF(Source!$C83&gt;=COLUMNS($A83:B83), Source!$G83, "")</f>
        <v>1</v>
      </c>
      <c r="C83" s="2">
        <f>IF(Source!$C83&gt;=COLUMNS($A83:C83), Source!$G83, "")</f>
        <v>1</v>
      </c>
      <c r="D83" s="2">
        <f>IF(Source!$C83&gt;=COLUMNS($A83:D83), Source!$G83, "")</f>
        <v>1</v>
      </c>
      <c r="E83" s="2">
        <f>IF(Source!$C83&gt;=COLUMNS($A83:E83), Source!$G83, "")</f>
        <v>1</v>
      </c>
      <c r="F83" s="2">
        <f>IF(Source!$C83&gt;=COLUMNS($A83:F83), Source!$G83, "")</f>
        <v>1</v>
      </c>
      <c r="G83" s="2">
        <f>IF(Source!$C83&gt;=COLUMNS($A83:G83), Source!$G83, "")</f>
        <v>1</v>
      </c>
      <c r="H83" s="2" t="str">
        <f>IF(Source!$C83&gt;=COLUMNS($A83:H83), Source!$G83, "")</f>
        <v/>
      </c>
      <c r="I83" s="2" t="str">
        <f>IF(Source!$C83&gt;=COLUMNS($A83:I83), Source!$G83, "")</f>
        <v/>
      </c>
      <c r="J83" s="2" t="str">
        <f>IF(Source!$C83&gt;=COLUMNS($A83:J83), Source!$G83, "")</f>
        <v/>
      </c>
      <c r="K83" s="2" t="str">
        <f>IF(Source!$C83&gt;=COLUMNS($A83:K83), Source!$G83, "")</f>
        <v/>
      </c>
      <c r="L83" s="2" t="str">
        <f>IF(Source!$C83&gt;=COLUMNS($A83:L83), Source!$G83, "")</f>
        <v/>
      </c>
      <c r="M83" s="2" t="str">
        <f>IF(Source!$C83&gt;=COLUMNS($A83:M83), Source!$G83, "")</f>
        <v/>
      </c>
      <c r="N83" s="2" t="str">
        <f>IF(Source!$C83&gt;=COLUMNS($A83:N83), Source!$G83, "")</f>
        <v/>
      </c>
      <c r="O83" s="2" t="str">
        <f>IF(Source!$C83&gt;=COLUMNS($A83:O83), Source!$G83, "")</f>
        <v/>
      </c>
      <c r="P83" s="2" t="str">
        <f>IF(Source!$C83&gt;=COLUMNS($A83:P83), Source!$G83, "")</f>
        <v/>
      </c>
      <c r="Q83" s="2" t="str">
        <f>IF(Source!$C83&gt;=COLUMNS($A83:Q83), Source!$G83, "")</f>
        <v/>
      </c>
      <c r="R83" s="2" t="str">
        <f>IF(Source!$C83&gt;=COLUMNS($A83:R83), Source!$G83, "")</f>
        <v/>
      </c>
      <c r="S83" s="2" t="str">
        <f>IF(Source!$C83&gt;=COLUMNS($A83:S83), Source!$G83, "")</f>
        <v/>
      </c>
      <c r="T83" s="2" t="str">
        <f>IF(Source!$C83&gt;=COLUMNS($A83:T83), Source!$G83, "")</f>
        <v/>
      </c>
      <c r="U83" s="2" t="str">
        <f>IF(Source!$C83&gt;=COLUMNS($A83:U83), Source!$G83, "")</f>
        <v/>
      </c>
      <c r="V83" s="2" t="str">
        <f>IF(Source!$C83&gt;=COLUMNS($A83:V83), Source!$G83, "")</f>
        <v/>
      </c>
      <c r="W83" s="2" t="str">
        <f>IF(Source!$C83&gt;=COLUMNS($A83:W83), Source!$G83, "")</f>
        <v/>
      </c>
      <c r="X83" s="2" t="str">
        <f>IF(Source!$C83&gt;=COLUMNS($A83:X83), Source!$G83, "")</f>
        <v/>
      </c>
      <c r="Y83" s="2" t="str">
        <f>IF(Source!$C83&gt;=COLUMNS($A83:Y83), Source!$G83, "")</f>
        <v/>
      </c>
      <c r="Z83" s="2" t="str">
        <f>IF(Source!$C83&gt;=COLUMNS($A83:Z83), Source!$G83, "")</f>
        <v/>
      </c>
      <c r="AA83" s="2" t="str">
        <f>IF(Source!$C83&gt;=COLUMNS($A83:AA83), Source!$G83, "")</f>
        <v/>
      </c>
      <c r="AB83" s="2" t="str">
        <f>IF(Source!$C83&gt;=COLUMNS($A83:AB83), Source!$G83, "")</f>
        <v/>
      </c>
      <c r="AC83" s="2" t="str">
        <f>IF(Source!$C83&gt;=COLUMNS($A83:AC83), Source!$G83, "")</f>
        <v/>
      </c>
      <c r="AD83" s="2" t="str">
        <f>IF(Source!$C83&gt;=COLUMNS($A83:AD83), Source!$G83, "")</f>
        <v/>
      </c>
      <c r="AE83" s="2" t="str">
        <f>IF(Source!$C83&gt;=COLUMNS($A83:AE83), Source!$G83, "")</f>
        <v/>
      </c>
      <c r="AF83" s="2" t="str">
        <f>IF(Source!$C83&gt;=COLUMNS($A83:AF83), Source!$G83, "")</f>
        <v/>
      </c>
      <c r="AG83" s="2" t="str">
        <f>IF(Source!$C83&gt;=COLUMNS($A83:AG83), Source!$G83, "")</f>
        <v/>
      </c>
      <c r="AH83" s="2" t="str">
        <f>IF(Source!$C83&gt;=COLUMNS($A83:AH83), Source!$G83, "")</f>
        <v/>
      </c>
      <c r="AI83" s="2" t="str">
        <f>IF(Source!$C83&gt;=COLUMNS($A83:AI83), Source!$G83, "")</f>
        <v/>
      </c>
      <c r="AJ83" s="2" t="str">
        <f>IF(Source!$C83&gt;=COLUMNS($A83:AJ83), Source!$G83, "")</f>
        <v/>
      </c>
      <c r="AK83" s="2" t="str">
        <f>IF(Source!$C83&gt;=COLUMNS($A83:AK83), Source!$G83, "")</f>
        <v/>
      </c>
      <c r="AL83" s="2" t="str">
        <f>IF(Source!$C83&gt;=COLUMNS($A83:AL83), Source!$G83, "")</f>
        <v/>
      </c>
      <c r="AM83" s="2" t="str">
        <f>IF(Source!$C83&gt;=COLUMNS($A83:AM83), Source!$G83, "")</f>
        <v/>
      </c>
      <c r="AN83" s="2" t="str">
        <f>IF(Source!$C83&gt;=COLUMNS($A83:AN83), Source!$G83, "")</f>
        <v/>
      </c>
      <c r="AO83" s="2" t="str">
        <f>IF(Source!$C83&gt;=COLUMNS($A83:AO83), Source!$G83, "")</f>
        <v/>
      </c>
      <c r="AP83" s="2" t="str">
        <f>IF(Source!$C83&gt;=COLUMNS($A83:AP83), Source!$G83, "")</f>
        <v/>
      </c>
      <c r="AQ83" s="2" t="str">
        <f>IF(Source!$C83&gt;=COLUMNS($A83:AQ83), Source!$G83, "")</f>
        <v/>
      </c>
      <c r="AR83" s="2" t="str">
        <f>IF(Source!$C83&gt;=COLUMNS($A83:AR83), Source!$G83, "")</f>
        <v/>
      </c>
    </row>
    <row r="84">
      <c r="A84" s="2">
        <f>IF(Source!$C84&gt;=COLUMNS($A84:A84), Source!$G84, "")</f>
        <v>3</v>
      </c>
      <c r="B84" s="2">
        <f>IF(Source!$C84&gt;=COLUMNS($A84:B84), Source!$G84, "")</f>
        <v>3</v>
      </c>
      <c r="C84" s="2">
        <f>IF(Source!$C84&gt;=COLUMNS($A84:C84), Source!$G84, "")</f>
        <v>3</v>
      </c>
      <c r="D84" s="2">
        <f>IF(Source!$C84&gt;=COLUMNS($A84:D84), Source!$G84, "")</f>
        <v>3</v>
      </c>
      <c r="E84" s="2" t="str">
        <f>IF(Source!$C84&gt;=COLUMNS($A84:E84), Source!$G84, "")</f>
        <v/>
      </c>
      <c r="F84" s="2" t="str">
        <f>IF(Source!$C84&gt;=COLUMNS($A84:F84), Source!$G84, "")</f>
        <v/>
      </c>
      <c r="G84" s="2" t="str">
        <f>IF(Source!$C84&gt;=COLUMNS($A84:G84), Source!$G84, "")</f>
        <v/>
      </c>
      <c r="H84" s="2" t="str">
        <f>IF(Source!$C84&gt;=COLUMNS($A84:H84), Source!$G84, "")</f>
        <v/>
      </c>
      <c r="I84" s="2" t="str">
        <f>IF(Source!$C84&gt;=COLUMNS($A84:I84), Source!$G84, "")</f>
        <v/>
      </c>
      <c r="J84" s="2" t="str">
        <f>IF(Source!$C84&gt;=COLUMNS($A84:J84), Source!$G84, "")</f>
        <v/>
      </c>
      <c r="K84" s="2" t="str">
        <f>IF(Source!$C84&gt;=COLUMNS($A84:K84), Source!$G84, "")</f>
        <v/>
      </c>
      <c r="L84" s="2" t="str">
        <f>IF(Source!$C84&gt;=COLUMNS($A84:L84), Source!$G84, "")</f>
        <v/>
      </c>
      <c r="M84" s="2" t="str">
        <f>IF(Source!$C84&gt;=COLUMNS($A84:M84), Source!$G84, "")</f>
        <v/>
      </c>
      <c r="N84" s="2" t="str">
        <f>IF(Source!$C84&gt;=COLUMNS($A84:N84), Source!$G84, "")</f>
        <v/>
      </c>
      <c r="O84" s="2" t="str">
        <f>IF(Source!$C84&gt;=COLUMNS($A84:O84), Source!$G84, "")</f>
        <v/>
      </c>
      <c r="P84" s="2" t="str">
        <f>IF(Source!$C84&gt;=COLUMNS($A84:P84), Source!$G84, "")</f>
        <v/>
      </c>
      <c r="Q84" s="2" t="str">
        <f>IF(Source!$C84&gt;=COLUMNS($A84:Q84), Source!$G84, "")</f>
        <v/>
      </c>
      <c r="R84" s="2" t="str">
        <f>IF(Source!$C84&gt;=COLUMNS($A84:R84), Source!$G84, "")</f>
        <v/>
      </c>
      <c r="S84" s="2" t="str">
        <f>IF(Source!$C84&gt;=COLUMNS($A84:S84), Source!$G84, "")</f>
        <v/>
      </c>
      <c r="T84" s="2" t="str">
        <f>IF(Source!$C84&gt;=COLUMNS($A84:T84), Source!$G84, "")</f>
        <v/>
      </c>
      <c r="U84" s="2" t="str">
        <f>IF(Source!$C84&gt;=COLUMNS($A84:U84), Source!$G84, "")</f>
        <v/>
      </c>
      <c r="V84" s="2" t="str">
        <f>IF(Source!$C84&gt;=COLUMNS($A84:V84), Source!$G84, "")</f>
        <v/>
      </c>
      <c r="W84" s="2" t="str">
        <f>IF(Source!$C84&gt;=COLUMNS($A84:W84), Source!$G84, "")</f>
        <v/>
      </c>
      <c r="X84" s="2" t="str">
        <f>IF(Source!$C84&gt;=COLUMNS($A84:X84), Source!$G84, "")</f>
        <v/>
      </c>
      <c r="Y84" s="2" t="str">
        <f>IF(Source!$C84&gt;=COLUMNS($A84:Y84), Source!$G84, "")</f>
        <v/>
      </c>
      <c r="Z84" s="2" t="str">
        <f>IF(Source!$C84&gt;=COLUMNS($A84:Z84), Source!$G84, "")</f>
        <v/>
      </c>
      <c r="AA84" s="2" t="str">
        <f>IF(Source!$C84&gt;=COLUMNS($A84:AA84), Source!$G84, "")</f>
        <v/>
      </c>
      <c r="AB84" s="2" t="str">
        <f>IF(Source!$C84&gt;=COLUMNS($A84:AB84), Source!$G84, "")</f>
        <v/>
      </c>
      <c r="AC84" s="2" t="str">
        <f>IF(Source!$C84&gt;=COLUMNS($A84:AC84), Source!$G84, "")</f>
        <v/>
      </c>
      <c r="AD84" s="2" t="str">
        <f>IF(Source!$C84&gt;=COLUMNS($A84:AD84), Source!$G84, "")</f>
        <v/>
      </c>
      <c r="AE84" s="2" t="str">
        <f>IF(Source!$C84&gt;=COLUMNS($A84:AE84), Source!$G84, "")</f>
        <v/>
      </c>
      <c r="AF84" s="2" t="str">
        <f>IF(Source!$C84&gt;=COLUMNS($A84:AF84), Source!$G84, "")</f>
        <v/>
      </c>
      <c r="AG84" s="2" t="str">
        <f>IF(Source!$C84&gt;=COLUMNS($A84:AG84), Source!$G84, "")</f>
        <v/>
      </c>
      <c r="AH84" s="2" t="str">
        <f>IF(Source!$C84&gt;=COLUMNS($A84:AH84), Source!$G84, "")</f>
        <v/>
      </c>
      <c r="AI84" s="2" t="str">
        <f>IF(Source!$C84&gt;=COLUMNS($A84:AI84), Source!$G84, "")</f>
        <v/>
      </c>
      <c r="AJ84" s="2" t="str">
        <f>IF(Source!$C84&gt;=COLUMNS($A84:AJ84), Source!$G84, "")</f>
        <v/>
      </c>
      <c r="AK84" s="2" t="str">
        <f>IF(Source!$C84&gt;=COLUMNS($A84:AK84), Source!$G84, "")</f>
        <v/>
      </c>
      <c r="AL84" s="2" t="str">
        <f>IF(Source!$C84&gt;=COLUMNS($A84:AL84), Source!$G84, "")</f>
        <v/>
      </c>
      <c r="AM84" s="2" t="str">
        <f>IF(Source!$C84&gt;=COLUMNS($A84:AM84), Source!$G84, "")</f>
        <v/>
      </c>
      <c r="AN84" s="2" t="str">
        <f>IF(Source!$C84&gt;=COLUMNS($A84:AN84), Source!$G84, "")</f>
        <v/>
      </c>
      <c r="AO84" s="2" t="str">
        <f>IF(Source!$C84&gt;=COLUMNS($A84:AO84), Source!$G84, "")</f>
        <v/>
      </c>
      <c r="AP84" s="2" t="str">
        <f>IF(Source!$C84&gt;=COLUMNS($A84:AP84), Source!$G84, "")</f>
        <v/>
      </c>
      <c r="AQ84" s="2" t="str">
        <f>IF(Source!$C84&gt;=COLUMNS($A84:AQ84), Source!$G84, "")</f>
        <v/>
      </c>
      <c r="AR84" s="2" t="str">
        <f>IF(Source!$C84&gt;=COLUMNS($A84:AR84), Source!$G84, "")</f>
        <v/>
      </c>
    </row>
    <row r="85">
      <c r="A85" s="2">
        <f>IF(Source!$C85&gt;=COLUMNS($A85:A85), Source!$G85, "")</f>
        <v>7</v>
      </c>
      <c r="B85" s="2">
        <f>IF(Source!$C85&gt;=COLUMNS($A85:B85), Source!$G85, "")</f>
        <v>7</v>
      </c>
      <c r="C85" s="2" t="str">
        <f>IF(Source!$C85&gt;=COLUMNS($A85:C85), Source!$G85, "")</f>
        <v/>
      </c>
      <c r="D85" s="2" t="str">
        <f>IF(Source!$C85&gt;=COLUMNS($A85:D85), Source!$G85, "")</f>
        <v/>
      </c>
      <c r="E85" s="2" t="str">
        <f>IF(Source!$C85&gt;=COLUMNS($A85:E85), Source!$G85, "")</f>
        <v/>
      </c>
      <c r="F85" s="2" t="str">
        <f>IF(Source!$C85&gt;=COLUMNS($A85:F85), Source!$G85, "")</f>
        <v/>
      </c>
      <c r="G85" s="2" t="str">
        <f>IF(Source!$C85&gt;=COLUMNS($A85:G85), Source!$G85, "")</f>
        <v/>
      </c>
      <c r="H85" s="2" t="str">
        <f>IF(Source!$C85&gt;=COLUMNS($A85:H85), Source!$G85, "")</f>
        <v/>
      </c>
      <c r="I85" s="2" t="str">
        <f>IF(Source!$C85&gt;=COLUMNS($A85:I85), Source!$G85, "")</f>
        <v/>
      </c>
      <c r="J85" s="2" t="str">
        <f>IF(Source!$C85&gt;=COLUMNS($A85:J85), Source!$G85, "")</f>
        <v/>
      </c>
      <c r="K85" s="2" t="str">
        <f>IF(Source!$C85&gt;=COLUMNS($A85:K85), Source!$G85, "")</f>
        <v/>
      </c>
      <c r="L85" s="2" t="str">
        <f>IF(Source!$C85&gt;=COLUMNS($A85:L85), Source!$G85, "")</f>
        <v/>
      </c>
      <c r="M85" s="2" t="str">
        <f>IF(Source!$C85&gt;=COLUMNS($A85:M85), Source!$G85, "")</f>
        <v/>
      </c>
      <c r="N85" s="2" t="str">
        <f>IF(Source!$C85&gt;=COLUMNS($A85:N85), Source!$G85, "")</f>
        <v/>
      </c>
      <c r="O85" s="2" t="str">
        <f>IF(Source!$C85&gt;=COLUMNS($A85:O85), Source!$G85, "")</f>
        <v/>
      </c>
      <c r="P85" s="2" t="str">
        <f>IF(Source!$C85&gt;=COLUMNS($A85:P85), Source!$G85, "")</f>
        <v/>
      </c>
      <c r="Q85" s="2" t="str">
        <f>IF(Source!$C85&gt;=COLUMNS($A85:Q85), Source!$G85, "")</f>
        <v/>
      </c>
      <c r="R85" s="2" t="str">
        <f>IF(Source!$C85&gt;=COLUMNS($A85:R85), Source!$G85, "")</f>
        <v/>
      </c>
      <c r="S85" s="2" t="str">
        <f>IF(Source!$C85&gt;=COLUMNS($A85:S85), Source!$G85, "")</f>
        <v/>
      </c>
      <c r="T85" s="2" t="str">
        <f>IF(Source!$C85&gt;=COLUMNS($A85:T85), Source!$G85, "")</f>
        <v/>
      </c>
      <c r="U85" s="2" t="str">
        <f>IF(Source!$C85&gt;=COLUMNS($A85:U85), Source!$G85, "")</f>
        <v/>
      </c>
      <c r="V85" s="2" t="str">
        <f>IF(Source!$C85&gt;=COLUMNS($A85:V85), Source!$G85, "")</f>
        <v/>
      </c>
      <c r="W85" s="2" t="str">
        <f>IF(Source!$C85&gt;=COLUMNS($A85:W85), Source!$G85, "")</f>
        <v/>
      </c>
      <c r="X85" s="2" t="str">
        <f>IF(Source!$C85&gt;=COLUMNS($A85:X85), Source!$G85, "")</f>
        <v/>
      </c>
      <c r="Y85" s="2" t="str">
        <f>IF(Source!$C85&gt;=COLUMNS($A85:Y85), Source!$G85, "")</f>
        <v/>
      </c>
      <c r="Z85" s="2" t="str">
        <f>IF(Source!$C85&gt;=COLUMNS($A85:Z85), Source!$G85, "")</f>
        <v/>
      </c>
      <c r="AA85" s="2" t="str">
        <f>IF(Source!$C85&gt;=COLUMNS($A85:AA85), Source!$G85, "")</f>
        <v/>
      </c>
      <c r="AB85" s="2" t="str">
        <f>IF(Source!$C85&gt;=COLUMNS($A85:AB85), Source!$G85, "")</f>
        <v/>
      </c>
      <c r="AC85" s="2" t="str">
        <f>IF(Source!$C85&gt;=COLUMNS($A85:AC85), Source!$G85, "")</f>
        <v/>
      </c>
      <c r="AD85" s="2" t="str">
        <f>IF(Source!$C85&gt;=COLUMNS($A85:AD85), Source!$G85, "")</f>
        <v/>
      </c>
      <c r="AE85" s="2" t="str">
        <f>IF(Source!$C85&gt;=COLUMNS($A85:AE85), Source!$G85, "")</f>
        <v/>
      </c>
      <c r="AF85" s="2" t="str">
        <f>IF(Source!$C85&gt;=COLUMNS($A85:AF85), Source!$G85, "")</f>
        <v/>
      </c>
      <c r="AG85" s="2" t="str">
        <f>IF(Source!$C85&gt;=COLUMNS($A85:AG85), Source!$G85, "")</f>
        <v/>
      </c>
      <c r="AH85" s="2" t="str">
        <f>IF(Source!$C85&gt;=COLUMNS($A85:AH85), Source!$G85, "")</f>
        <v/>
      </c>
      <c r="AI85" s="2" t="str">
        <f>IF(Source!$C85&gt;=COLUMNS($A85:AI85), Source!$G85, "")</f>
        <v/>
      </c>
      <c r="AJ85" s="2" t="str">
        <f>IF(Source!$C85&gt;=COLUMNS($A85:AJ85), Source!$G85, "")</f>
        <v/>
      </c>
      <c r="AK85" s="2" t="str">
        <f>IF(Source!$C85&gt;=COLUMNS($A85:AK85), Source!$G85, "")</f>
        <v/>
      </c>
      <c r="AL85" s="2" t="str">
        <f>IF(Source!$C85&gt;=COLUMNS($A85:AL85), Source!$G85, "")</f>
        <v/>
      </c>
      <c r="AM85" s="2" t="str">
        <f>IF(Source!$C85&gt;=COLUMNS($A85:AM85), Source!$G85, "")</f>
        <v/>
      </c>
      <c r="AN85" s="2" t="str">
        <f>IF(Source!$C85&gt;=COLUMNS($A85:AN85), Source!$G85, "")</f>
        <v/>
      </c>
      <c r="AO85" s="2" t="str">
        <f>IF(Source!$C85&gt;=COLUMNS($A85:AO85), Source!$G85, "")</f>
        <v/>
      </c>
      <c r="AP85" s="2" t="str">
        <f>IF(Source!$C85&gt;=COLUMNS($A85:AP85), Source!$G85, "")</f>
        <v/>
      </c>
      <c r="AQ85" s="2" t="str">
        <f>IF(Source!$C85&gt;=COLUMNS($A85:AQ85), Source!$G85, "")</f>
        <v/>
      </c>
      <c r="AR85" s="2" t="str">
        <f>IF(Source!$C85&gt;=COLUMNS($A85:AR85), Source!$G85, "")</f>
        <v/>
      </c>
    </row>
    <row r="86">
      <c r="A86" s="2">
        <f>IF(Source!$C86&gt;=COLUMNS($A86:A86), Source!$G86, "")</f>
        <v>3</v>
      </c>
      <c r="B86" s="2">
        <f>IF(Source!$C86&gt;=COLUMNS($A86:B86), Source!$G86, "")</f>
        <v>3</v>
      </c>
      <c r="C86" s="2">
        <f>IF(Source!$C86&gt;=COLUMNS($A86:C86), Source!$G86, "")</f>
        <v>3</v>
      </c>
      <c r="D86" s="2">
        <f>IF(Source!$C86&gt;=COLUMNS($A86:D86), Source!$G86, "")</f>
        <v>3</v>
      </c>
      <c r="E86" s="2">
        <f>IF(Source!$C86&gt;=COLUMNS($A86:E86), Source!$G86, "")</f>
        <v>3</v>
      </c>
      <c r="F86" s="2">
        <f>IF(Source!$C86&gt;=COLUMNS($A86:F86), Source!$G86, "")</f>
        <v>3</v>
      </c>
      <c r="G86" s="2" t="str">
        <f>IF(Source!$C86&gt;=COLUMNS($A86:G86), Source!$G86, "")</f>
        <v/>
      </c>
      <c r="H86" s="2" t="str">
        <f>IF(Source!$C86&gt;=COLUMNS($A86:H86), Source!$G86, "")</f>
        <v/>
      </c>
      <c r="I86" s="2" t="str">
        <f>IF(Source!$C86&gt;=COLUMNS($A86:I86), Source!$G86, "")</f>
        <v/>
      </c>
      <c r="J86" s="2" t="str">
        <f>IF(Source!$C86&gt;=COLUMNS($A86:J86), Source!$G86, "")</f>
        <v/>
      </c>
      <c r="K86" s="2" t="str">
        <f>IF(Source!$C86&gt;=COLUMNS($A86:K86), Source!$G86, "")</f>
        <v/>
      </c>
      <c r="L86" s="2" t="str">
        <f>IF(Source!$C86&gt;=COLUMNS($A86:L86), Source!$G86, "")</f>
        <v/>
      </c>
      <c r="M86" s="2" t="str">
        <f>IF(Source!$C86&gt;=COLUMNS($A86:M86), Source!$G86, "")</f>
        <v/>
      </c>
      <c r="N86" s="2" t="str">
        <f>IF(Source!$C86&gt;=COLUMNS($A86:N86), Source!$G86, "")</f>
        <v/>
      </c>
      <c r="O86" s="2" t="str">
        <f>IF(Source!$C86&gt;=COLUMNS($A86:O86), Source!$G86, "")</f>
        <v/>
      </c>
      <c r="P86" s="2" t="str">
        <f>IF(Source!$C86&gt;=COLUMNS($A86:P86), Source!$G86, "")</f>
        <v/>
      </c>
      <c r="Q86" s="2" t="str">
        <f>IF(Source!$C86&gt;=COLUMNS($A86:Q86), Source!$G86, "")</f>
        <v/>
      </c>
      <c r="R86" s="2" t="str">
        <f>IF(Source!$C86&gt;=COLUMNS($A86:R86), Source!$G86, "")</f>
        <v/>
      </c>
      <c r="S86" s="2" t="str">
        <f>IF(Source!$C86&gt;=COLUMNS($A86:S86), Source!$G86, "")</f>
        <v/>
      </c>
      <c r="T86" s="2" t="str">
        <f>IF(Source!$C86&gt;=COLUMNS($A86:T86), Source!$G86, "")</f>
        <v/>
      </c>
      <c r="U86" s="2" t="str">
        <f>IF(Source!$C86&gt;=COLUMNS($A86:U86), Source!$G86, "")</f>
        <v/>
      </c>
      <c r="V86" s="2" t="str">
        <f>IF(Source!$C86&gt;=COLUMNS($A86:V86), Source!$G86, "")</f>
        <v/>
      </c>
      <c r="W86" s="2" t="str">
        <f>IF(Source!$C86&gt;=COLUMNS($A86:W86), Source!$G86, "")</f>
        <v/>
      </c>
      <c r="X86" s="2" t="str">
        <f>IF(Source!$C86&gt;=COLUMNS($A86:X86), Source!$G86, "")</f>
        <v/>
      </c>
      <c r="Y86" s="2" t="str">
        <f>IF(Source!$C86&gt;=COLUMNS($A86:Y86), Source!$G86, "")</f>
        <v/>
      </c>
      <c r="Z86" s="2" t="str">
        <f>IF(Source!$C86&gt;=COLUMNS($A86:Z86), Source!$G86, "")</f>
        <v/>
      </c>
      <c r="AA86" s="2" t="str">
        <f>IF(Source!$C86&gt;=COLUMNS($A86:AA86), Source!$G86, "")</f>
        <v/>
      </c>
      <c r="AB86" s="2" t="str">
        <f>IF(Source!$C86&gt;=COLUMNS($A86:AB86), Source!$G86, "")</f>
        <v/>
      </c>
      <c r="AC86" s="2" t="str">
        <f>IF(Source!$C86&gt;=COLUMNS($A86:AC86), Source!$G86, "")</f>
        <v/>
      </c>
      <c r="AD86" s="2" t="str">
        <f>IF(Source!$C86&gt;=COLUMNS($A86:AD86), Source!$G86, "")</f>
        <v/>
      </c>
      <c r="AE86" s="2" t="str">
        <f>IF(Source!$C86&gt;=COLUMNS($A86:AE86), Source!$G86, "")</f>
        <v/>
      </c>
      <c r="AF86" s="2" t="str">
        <f>IF(Source!$C86&gt;=COLUMNS($A86:AF86), Source!$G86, "")</f>
        <v/>
      </c>
      <c r="AG86" s="2" t="str">
        <f>IF(Source!$C86&gt;=COLUMNS($A86:AG86), Source!$G86, "")</f>
        <v/>
      </c>
      <c r="AH86" s="2" t="str">
        <f>IF(Source!$C86&gt;=COLUMNS($A86:AH86), Source!$G86, "")</f>
        <v/>
      </c>
      <c r="AI86" s="2" t="str">
        <f>IF(Source!$C86&gt;=COLUMNS($A86:AI86), Source!$G86, "")</f>
        <v/>
      </c>
      <c r="AJ86" s="2" t="str">
        <f>IF(Source!$C86&gt;=COLUMNS($A86:AJ86), Source!$G86, "")</f>
        <v/>
      </c>
      <c r="AK86" s="2" t="str">
        <f>IF(Source!$C86&gt;=COLUMNS($A86:AK86), Source!$G86, "")</f>
        <v/>
      </c>
      <c r="AL86" s="2" t="str">
        <f>IF(Source!$C86&gt;=COLUMNS($A86:AL86), Source!$G86, "")</f>
        <v/>
      </c>
      <c r="AM86" s="2" t="str">
        <f>IF(Source!$C86&gt;=COLUMNS($A86:AM86), Source!$G86, "")</f>
        <v/>
      </c>
      <c r="AN86" s="2" t="str">
        <f>IF(Source!$C86&gt;=COLUMNS($A86:AN86), Source!$G86, "")</f>
        <v/>
      </c>
      <c r="AO86" s="2" t="str">
        <f>IF(Source!$C86&gt;=COLUMNS($A86:AO86), Source!$G86, "")</f>
        <v/>
      </c>
      <c r="AP86" s="2" t="str">
        <f>IF(Source!$C86&gt;=COLUMNS($A86:AP86), Source!$G86, "")</f>
        <v/>
      </c>
      <c r="AQ86" s="2" t="str">
        <f>IF(Source!$C86&gt;=COLUMNS($A86:AQ86), Source!$G86, "")</f>
        <v/>
      </c>
      <c r="AR86" s="2" t="str">
        <f>IF(Source!$C86&gt;=COLUMNS($A86:AR86), Source!$G86, "")</f>
        <v/>
      </c>
    </row>
    <row r="87">
      <c r="A87" s="2">
        <f>IF(Source!$C87&gt;=COLUMNS($A87:A87), Source!$G87, "")</f>
        <v>2</v>
      </c>
      <c r="B87" s="2">
        <f>IF(Source!$C87&gt;=COLUMNS($A87:B87), Source!$G87, "")</f>
        <v>2</v>
      </c>
      <c r="C87" s="2" t="str">
        <f>IF(Source!$C87&gt;=COLUMNS($A87:C87), Source!$G87, "")</f>
        <v/>
      </c>
      <c r="D87" s="2" t="str">
        <f>IF(Source!$C87&gt;=COLUMNS($A87:D87), Source!$G87, "")</f>
        <v/>
      </c>
      <c r="E87" s="2" t="str">
        <f>IF(Source!$C87&gt;=COLUMNS($A87:E87), Source!$G87, "")</f>
        <v/>
      </c>
      <c r="F87" s="2" t="str">
        <f>IF(Source!$C87&gt;=COLUMNS($A87:F87), Source!$G87, "")</f>
        <v/>
      </c>
      <c r="G87" s="2" t="str">
        <f>IF(Source!$C87&gt;=COLUMNS($A87:G87), Source!$G87, "")</f>
        <v/>
      </c>
      <c r="H87" s="2" t="str">
        <f>IF(Source!$C87&gt;=COLUMNS($A87:H87), Source!$G87, "")</f>
        <v/>
      </c>
      <c r="I87" s="2" t="str">
        <f>IF(Source!$C87&gt;=COLUMNS($A87:I87), Source!$G87, "")</f>
        <v/>
      </c>
      <c r="J87" s="2" t="str">
        <f>IF(Source!$C87&gt;=COLUMNS($A87:J87), Source!$G87, "")</f>
        <v/>
      </c>
      <c r="K87" s="2" t="str">
        <f>IF(Source!$C87&gt;=COLUMNS($A87:K87), Source!$G87, "")</f>
        <v/>
      </c>
      <c r="L87" s="2" t="str">
        <f>IF(Source!$C87&gt;=COLUMNS($A87:L87), Source!$G87, "")</f>
        <v/>
      </c>
      <c r="M87" s="2" t="str">
        <f>IF(Source!$C87&gt;=COLUMNS($A87:M87), Source!$G87, "")</f>
        <v/>
      </c>
      <c r="N87" s="2" t="str">
        <f>IF(Source!$C87&gt;=COLUMNS($A87:N87), Source!$G87, "")</f>
        <v/>
      </c>
      <c r="O87" s="2" t="str">
        <f>IF(Source!$C87&gt;=COLUMNS($A87:O87), Source!$G87, "")</f>
        <v/>
      </c>
      <c r="P87" s="2" t="str">
        <f>IF(Source!$C87&gt;=COLUMNS($A87:P87), Source!$G87, "")</f>
        <v/>
      </c>
      <c r="Q87" s="2" t="str">
        <f>IF(Source!$C87&gt;=COLUMNS($A87:Q87), Source!$G87, "")</f>
        <v/>
      </c>
      <c r="R87" s="2" t="str">
        <f>IF(Source!$C87&gt;=COLUMNS($A87:R87), Source!$G87, "")</f>
        <v/>
      </c>
      <c r="S87" s="2" t="str">
        <f>IF(Source!$C87&gt;=COLUMNS($A87:S87), Source!$G87, "")</f>
        <v/>
      </c>
      <c r="T87" s="2" t="str">
        <f>IF(Source!$C87&gt;=COLUMNS($A87:T87), Source!$G87, "")</f>
        <v/>
      </c>
      <c r="U87" s="2" t="str">
        <f>IF(Source!$C87&gt;=COLUMNS($A87:U87), Source!$G87, "")</f>
        <v/>
      </c>
      <c r="V87" s="2" t="str">
        <f>IF(Source!$C87&gt;=COLUMNS($A87:V87), Source!$G87, "")</f>
        <v/>
      </c>
      <c r="W87" s="2" t="str">
        <f>IF(Source!$C87&gt;=COLUMNS($A87:W87), Source!$G87, "")</f>
        <v/>
      </c>
      <c r="X87" s="2" t="str">
        <f>IF(Source!$C87&gt;=COLUMNS($A87:X87), Source!$G87, "")</f>
        <v/>
      </c>
      <c r="Y87" s="2" t="str">
        <f>IF(Source!$C87&gt;=COLUMNS($A87:Y87), Source!$G87, "")</f>
        <v/>
      </c>
      <c r="Z87" s="2" t="str">
        <f>IF(Source!$C87&gt;=COLUMNS($A87:Z87), Source!$G87, "")</f>
        <v/>
      </c>
      <c r="AA87" s="2" t="str">
        <f>IF(Source!$C87&gt;=COLUMNS($A87:AA87), Source!$G87, "")</f>
        <v/>
      </c>
      <c r="AB87" s="2" t="str">
        <f>IF(Source!$C87&gt;=COLUMNS($A87:AB87), Source!$G87, "")</f>
        <v/>
      </c>
      <c r="AC87" s="2" t="str">
        <f>IF(Source!$C87&gt;=COLUMNS($A87:AC87), Source!$G87, "")</f>
        <v/>
      </c>
      <c r="AD87" s="2" t="str">
        <f>IF(Source!$C87&gt;=COLUMNS($A87:AD87), Source!$G87, "")</f>
        <v/>
      </c>
      <c r="AE87" s="2" t="str">
        <f>IF(Source!$C87&gt;=COLUMNS($A87:AE87), Source!$G87, "")</f>
        <v/>
      </c>
      <c r="AF87" s="2" t="str">
        <f>IF(Source!$C87&gt;=COLUMNS($A87:AF87), Source!$G87, "")</f>
        <v/>
      </c>
      <c r="AG87" s="2" t="str">
        <f>IF(Source!$C87&gt;=COLUMNS($A87:AG87), Source!$G87, "")</f>
        <v/>
      </c>
      <c r="AH87" s="2" t="str">
        <f>IF(Source!$C87&gt;=COLUMNS($A87:AH87), Source!$G87, "")</f>
        <v/>
      </c>
      <c r="AI87" s="2" t="str">
        <f>IF(Source!$C87&gt;=COLUMNS($A87:AI87), Source!$G87, "")</f>
        <v/>
      </c>
      <c r="AJ87" s="2" t="str">
        <f>IF(Source!$C87&gt;=COLUMNS($A87:AJ87), Source!$G87, "")</f>
        <v/>
      </c>
      <c r="AK87" s="2" t="str">
        <f>IF(Source!$C87&gt;=COLUMNS($A87:AK87), Source!$G87, "")</f>
        <v/>
      </c>
      <c r="AL87" s="2" t="str">
        <f>IF(Source!$C87&gt;=COLUMNS($A87:AL87), Source!$G87, "")</f>
        <v/>
      </c>
      <c r="AM87" s="2" t="str">
        <f>IF(Source!$C87&gt;=COLUMNS($A87:AM87), Source!$G87, "")</f>
        <v/>
      </c>
      <c r="AN87" s="2" t="str">
        <f>IF(Source!$C87&gt;=COLUMNS($A87:AN87), Source!$G87, "")</f>
        <v/>
      </c>
      <c r="AO87" s="2" t="str">
        <f>IF(Source!$C87&gt;=COLUMNS($A87:AO87), Source!$G87, "")</f>
        <v/>
      </c>
      <c r="AP87" s="2" t="str">
        <f>IF(Source!$C87&gt;=COLUMNS($A87:AP87), Source!$G87, "")</f>
        <v/>
      </c>
      <c r="AQ87" s="2" t="str">
        <f>IF(Source!$C87&gt;=COLUMNS($A87:AQ87), Source!$G87, "")</f>
        <v/>
      </c>
      <c r="AR87" s="2" t="str">
        <f>IF(Source!$C87&gt;=COLUMNS($A87:AR87), Source!$G87, "")</f>
        <v/>
      </c>
    </row>
    <row r="88">
      <c r="A88" s="2">
        <f>IF(Source!$C88&gt;=COLUMNS($A88:A88), Source!$G88, "")</f>
        <v>2</v>
      </c>
      <c r="B88" s="2">
        <f>IF(Source!$C88&gt;=COLUMNS($A88:B88), Source!$G88, "")</f>
        <v>2</v>
      </c>
      <c r="C88" s="2">
        <f>IF(Source!$C88&gt;=COLUMNS($A88:C88), Source!$G88, "")</f>
        <v>2</v>
      </c>
      <c r="D88" s="2">
        <f>IF(Source!$C88&gt;=COLUMNS($A88:D88), Source!$G88, "")</f>
        <v>2</v>
      </c>
      <c r="E88" s="2">
        <f>IF(Source!$C88&gt;=COLUMNS($A88:E88), Source!$G88, "")</f>
        <v>2</v>
      </c>
      <c r="F88" s="2">
        <f>IF(Source!$C88&gt;=COLUMNS($A88:F88), Source!$G88, "")</f>
        <v>2</v>
      </c>
      <c r="G88" s="2">
        <f>IF(Source!$C88&gt;=COLUMNS($A88:G88), Source!$G88, "")</f>
        <v>2</v>
      </c>
      <c r="H88" s="2">
        <f>IF(Source!$C88&gt;=COLUMNS($A88:H88), Source!$G88, "")</f>
        <v>2</v>
      </c>
      <c r="I88" s="2">
        <f>IF(Source!$C88&gt;=COLUMNS($A88:I88), Source!$G88, "")</f>
        <v>2</v>
      </c>
      <c r="J88" s="2">
        <f>IF(Source!$C88&gt;=COLUMNS($A88:J88), Source!$G88, "")</f>
        <v>2</v>
      </c>
      <c r="K88" s="2">
        <f>IF(Source!$C88&gt;=COLUMNS($A88:K88), Source!$G88, "")</f>
        <v>2</v>
      </c>
      <c r="L88" s="2">
        <f>IF(Source!$C88&gt;=COLUMNS($A88:L88), Source!$G88, "")</f>
        <v>2</v>
      </c>
      <c r="M88" s="2">
        <f>IF(Source!$C88&gt;=COLUMNS($A88:M88), Source!$G88, "")</f>
        <v>2</v>
      </c>
      <c r="N88" s="2">
        <f>IF(Source!$C88&gt;=COLUMNS($A88:N88), Source!$G88, "")</f>
        <v>2</v>
      </c>
      <c r="O88" s="2" t="str">
        <f>IF(Source!$C88&gt;=COLUMNS($A88:O88), Source!$G88, "")</f>
        <v/>
      </c>
      <c r="P88" s="2" t="str">
        <f>IF(Source!$C88&gt;=COLUMNS($A88:P88), Source!$G88, "")</f>
        <v/>
      </c>
      <c r="Q88" s="2" t="str">
        <f>IF(Source!$C88&gt;=COLUMNS($A88:Q88), Source!$G88, "")</f>
        <v/>
      </c>
      <c r="R88" s="2" t="str">
        <f>IF(Source!$C88&gt;=COLUMNS($A88:R88), Source!$G88, "")</f>
        <v/>
      </c>
      <c r="S88" s="2" t="str">
        <f>IF(Source!$C88&gt;=COLUMNS($A88:S88), Source!$G88, "")</f>
        <v/>
      </c>
      <c r="T88" s="2" t="str">
        <f>IF(Source!$C88&gt;=COLUMNS($A88:T88), Source!$G88, "")</f>
        <v/>
      </c>
      <c r="U88" s="2" t="str">
        <f>IF(Source!$C88&gt;=COLUMNS($A88:U88), Source!$G88, "")</f>
        <v/>
      </c>
      <c r="V88" s="2" t="str">
        <f>IF(Source!$C88&gt;=COLUMNS($A88:V88), Source!$G88, "")</f>
        <v/>
      </c>
      <c r="W88" s="2" t="str">
        <f>IF(Source!$C88&gt;=COLUMNS($A88:W88), Source!$G88, "")</f>
        <v/>
      </c>
      <c r="X88" s="2" t="str">
        <f>IF(Source!$C88&gt;=COLUMNS($A88:X88), Source!$G88, "")</f>
        <v/>
      </c>
      <c r="Y88" s="2" t="str">
        <f>IF(Source!$C88&gt;=COLUMNS($A88:Y88), Source!$G88, "")</f>
        <v/>
      </c>
      <c r="Z88" s="2" t="str">
        <f>IF(Source!$C88&gt;=COLUMNS($A88:Z88), Source!$G88, "")</f>
        <v/>
      </c>
      <c r="AA88" s="2" t="str">
        <f>IF(Source!$C88&gt;=COLUMNS($A88:AA88), Source!$G88, "")</f>
        <v/>
      </c>
      <c r="AB88" s="2" t="str">
        <f>IF(Source!$C88&gt;=COLUMNS($A88:AB88), Source!$G88, "")</f>
        <v/>
      </c>
      <c r="AC88" s="2" t="str">
        <f>IF(Source!$C88&gt;=COLUMNS($A88:AC88), Source!$G88, "")</f>
        <v/>
      </c>
      <c r="AD88" s="2" t="str">
        <f>IF(Source!$C88&gt;=COLUMNS($A88:AD88), Source!$G88, "")</f>
        <v/>
      </c>
      <c r="AE88" s="2" t="str">
        <f>IF(Source!$C88&gt;=COLUMNS($A88:AE88), Source!$G88, "")</f>
        <v/>
      </c>
      <c r="AF88" s="2" t="str">
        <f>IF(Source!$C88&gt;=COLUMNS($A88:AF88), Source!$G88, "")</f>
        <v/>
      </c>
      <c r="AG88" s="2" t="str">
        <f>IF(Source!$C88&gt;=COLUMNS($A88:AG88), Source!$G88, "")</f>
        <v/>
      </c>
      <c r="AH88" s="2" t="str">
        <f>IF(Source!$C88&gt;=COLUMNS($A88:AH88), Source!$G88, "")</f>
        <v/>
      </c>
      <c r="AI88" s="2" t="str">
        <f>IF(Source!$C88&gt;=COLUMNS($A88:AI88), Source!$G88, "")</f>
        <v/>
      </c>
      <c r="AJ88" s="2" t="str">
        <f>IF(Source!$C88&gt;=COLUMNS($A88:AJ88), Source!$G88, "")</f>
        <v/>
      </c>
      <c r="AK88" s="2" t="str">
        <f>IF(Source!$C88&gt;=COLUMNS($A88:AK88), Source!$G88, "")</f>
        <v/>
      </c>
      <c r="AL88" s="2" t="str">
        <f>IF(Source!$C88&gt;=COLUMNS($A88:AL88), Source!$G88, "")</f>
        <v/>
      </c>
      <c r="AM88" s="2" t="str">
        <f>IF(Source!$C88&gt;=COLUMNS($A88:AM88), Source!$G88, "")</f>
        <v/>
      </c>
      <c r="AN88" s="2" t="str">
        <f>IF(Source!$C88&gt;=COLUMNS($A88:AN88), Source!$G88, "")</f>
        <v/>
      </c>
      <c r="AO88" s="2" t="str">
        <f>IF(Source!$C88&gt;=COLUMNS($A88:AO88), Source!$G88, "")</f>
        <v/>
      </c>
      <c r="AP88" s="2" t="str">
        <f>IF(Source!$C88&gt;=COLUMNS($A88:AP88), Source!$G88, "")</f>
        <v/>
      </c>
      <c r="AQ88" s="2" t="str">
        <f>IF(Source!$C88&gt;=COLUMNS($A88:AQ88), Source!$G88, "")</f>
        <v/>
      </c>
      <c r="AR88" s="2" t="str">
        <f>IF(Source!$C88&gt;=COLUMNS($A88:AR88), Source!$G88, "")</f>
        <v/>
      </c>
    </row>
    <row r="89">
      <c r="A89" s="2">
        <f>IF(Source!$C89&gt;=COLUMNS($A89:A89), Source!$G89, "")</f>
        <v>1</v>
      </c>
      <c r="B89" s="2">
        <f>IF(Source!$C89&gt;=COLUMNS($A89:B89), Source!$G89, "")</f>
        <v>1</v>
      </c>
      <c r="C89" s="2">
        <f>IF(Source!$C89&gt;=COLUMNS($A89:C89), Source!$G89, "")</f>
        <v>1</v>
      </c>
      <c r="D89" s="2" t="str">
        <f>IF(Source!$C89&gt;=COLUMNS($A89:D89), Source!$G89, "")</f>
        <v/>
      </c>
      <c r="E89" s="2" t="str">
        <f>IF(Source!$C89&gt;=COLUMNS($A89:E89), Source!$G89, "")</f>
        <v/>
      </c>
      <c r="F89" s="2" t="str">
        <f>IF(Source!$C89&gt;=COLUMNS($A89:F89), Source!$G89, "")</f>
        <v/>
      </c>
      <c r="G89" s="2" t="str">
        <f>IF(Source!$C89&gt;=COLUMNS($A89:G89), Source!$G89, "")</f>
        <v/>
      </c>
      <c r="H89" s="2" t="str">
        <f>IF(Source!$C89&gt;=COLUMNS($A89:H89), Source!$G89, "")</f>
        <v/>
      </c>
      <c r="I89" s="2" t="str">
        <f>IF(Source!$C89&gt;=COLUMNS($A89:I89), Source!$G89, "")</f>
        <v/>
      </c>
      <c r="J89" s="2" t="str">
        <f>IF(Source!$C89&gt;=COLUMNS($A89:J89), Source!$G89, "")</f>
        <v/>
      </c>
      <c r="K89" s="2" t="str">
        <f>IF(Source!$C89&gt;=COLUMNS($A89:K89), Source!$G89, "")</f>
        <v/>
      </c>
      <c r="L89" s="2" t="str">
        <f>IF(Source!$C89&gt;=COLUMNS($A89:L89), Source!$G89, "")</f>
        <v/>
      </c>
      <c r="M89" s="2" t="str">
        <f>IF(Source!$C89&gt;=COLUMNS($A89:M89), Source!$G89, "")</f>
        <v/>
      </c>
      <c r="N89" s="2" t="str">
        <f>IF(Source!$C89&gt;=COLUMNS($A89:N89), Source!$G89, "")</f>
        <v/>
      </c>
      <c r="O89" s="2" t="str">
        <f>IF(Source!$C89&gt;=COLUMNS($A89:O89), Source!$G89, "")</f>
        <v/>
      </c>
      <c r="P89" s="2" t="str">
        <f>IF(Source!$C89&gt;=COLUMNS($A89:P89), Source!$G89, "")</f>
        <v/>
      </c>
      <c r="Q89" s="2" t="str">
        <f>IF(Source!$C89&gt;=COLUMNS($A89:Q89), Source!$G89, "")</f>
        <v/>
      </c>
      <c r="R89" s="2" t="str">
        <f>IF(Source!$C89&gt;=COLUMNS($A89:R89), Source!$G89, "")</f>
        <v/>
      </c>
      <c r="S89" s="2" t="str">
        <f>IF(Source!$C89&gt;=COLUMNS($A89:S89), Source!$G89, "")</f>
        <v/>
      </c>
      <c r="T89" s="2" t="str">
        <f>IF(Source!$C89&gt;=COLUMNS($A89:T89), Source!$G89, "")</f>
        <v/>
      </c>
      <c r="U89" s="2" t="str">
        <f>IF(Source!$C89&gt;=COLUMNS($A89:U89), Source!$G89, "")</f>
        <v/>
      </c>
      <c r="V89" s="2" t="str">
        <f>IF(Source!$C89&gt;=COLUMNS($A89:V89), Source!$G89, "")</f>
        <v/>
      </c>
      <c r="W89" s="2" t="str">
        <f>IF(Source!$C89&gt;=COLUMNS($A89:W89), Source!$G89, "")</f>
        <v/>
      </c>
      <c r="X89" s="2" t="str">
        <f>IF(Source!$C89&gt;=COLUMNS($A89:X89), Source!$G89, "")</f>
        <v/>
      </c>
      <c r="Y89" s="2" t="str">
        <f>IF(Source!$C89&gt;=COLUMNS($A89:Y89), Source!$G89, "")</f>
        <v/>
      </c>
      <c r="Z89" s="2" t="str">
        <f>IF(Source!$C89&gt;=COLUMNS($A89:Z89), Source!$G89, "")</f>
        <v/>
      </c>
      <c r="AA89" s="2" t="str">
        <f>IF(Source!$C89&gt;=COLUMNS($A89:AA89), Source!$G89, "")</f>
        <v/>
      </c>
      <c r="AB89" s="2" t="str">
        <f>IF(Source!$C89&gt;=COLUMNS($A89:AB89), Source!$G89, "")</f>
        <v/>
      </c>
      <c r="AC89" s="2" t="str">
        <f>IF(Source!$C89&gt;=COLUMNS($A89:AC89), Source!$G89, "")</f>
        <v/>
      </c>
      <c r="AD89" s="2" t="str">
        <f>IF(Source!$C89&gt;=COLUMNS($A89:AD89), Source!$G89, "")</f>
        <v/>
      </c>
      <c r="AE89" s="2" t="str">
        <f>IF(Source!$C89&gt;=COLUMNS($A89:AE89), Source!$G89, "")</f>
        <v/>
      </c>
      <c r="AF89" s="2" t="str">
        <f>IF(Source!$C89&gt;=COLUMNS($A89:AF89), Source!$G89, "")</f>
        <v/>
      </c>
      <c r="AG89" s="2" t="str">
        <f>IF(Source!$C89&gt;=COLUMNS($A89:AG89), Source!$G89, "")</f>
        <v/>
      </c>
      <c r="AH89" s="2" t="str">
        <f>IF(Source!$C89&gt;=COLUMNS($A89:AH89), Source!$G89, "")</f>
        <v/>
      </c>
      <c r="AI89" s="2" t="str">
        <f>IF(Source!$C89&gt;=COLUMNS($A89:AI89), Source!$G89, "")</f>
        <v/>
      </c>
      <c r="AJ89" s="2" t="str">
        <f>IF(Source!$C89&gt;=COLUMNS($A89:AJ89), Source!$G89, "")</f>
        <v/>
      </c>
      <c r="AK89" s="2" t="str">
        <f>IF(Source!$C89&gt;=COLUMNS($A89:AK89), Source!$G89, "")</f>
        <v/>
      </c>
      <c r="AL89" s="2" t="str">
        <f>IF(Source!$C89&gt;=COLUMNS($A89:AL89), Source!$G89, "")</f>
        <v/>
      </c>
      <c r="AM89" s="2" t="str">
        <f>IF(Source!$C89&gt;=COLUMNS($A89:AM89), Source!$G89, "")</f>
        <v/>
      </c>
      <c r="AN89" s="2" t="str">
        <f>IF(Source!$C89&gt;=COLUMNS($A89:AN89), Source!$G89, "")</f>
        <v/>
      </c>
      <c r="AO89" s="2" t="str">
        <f>IF(Source!$C89&gt;=COLUMNS($A89:AO89), Source!$G89, "")</f>
        <v/>
      </c>
      <c r="AP89" s="2" t="str">
        <f>IF(Source!$C89&gt;=COLUMNS($A89:AP89), Source!$G89, "")</f>
        <v/>
      </c>
      <c r="AQ89" s="2" t="str">
        <f>IF(Source!$C89&gt;=COLUMNS($A89:AQ89), Source!$G89, "")</f>
        <v/>
      </c>
      <c r="AR89" s="2" t="str">
        <f>IF(Source!$C89&gt;=COLUMNS($A89:AR89), Source!$G89, "")</f>
        <v/>
      </c>
    </row>
    <row r="90">
      <c r="A90" s="2">
        <f>IF(Source!$C90&gt;=COLUMNS($A90:A90), Source!$G90, "")</f>
        <v>3</v>
      </c>
      <c r="B90" s="2">
        <f>IF(Source!$C90&gt;=COLUMNS($A90:B90), Source!$G90, "")</f>
        <v>3</v>
      </c>
      <c r="C90" s="2">
        <f>IF(Source!$C90&gt;=COLUMNS($A90:C90), Source!$G90, "")</f>
        <v>3</v>
      </c>
      <c r="D90" s="2">
        <f>IF(Source!$C90&gt;=COLUMNS($A90:D90), Source!$G90, "")</f>
        <v>3</v>
      </c>
      <c r="E90" s="2">
        <f>IF(Source!$C90&gt;=COLUMNS($A90:E90), Source!$G90, "")</f>
        <v>3</v>
      </c>
      <c r="F90" s="2">
        <f>IF(Source!$C90&gt;=COLUMNS($A90:F90), Source!$G90, "")</f>
        <v>3</v>
      </c>
      <c r="G90" s="2">
        <f>IF(Source!$C90&gt;=COLUMNS($A90:G90), Source!$G90, "")</f>
        <v>3</v>
      </c>
      <c r="H90" s="2">
        <f>IF(Source!$C90&gt;=COLUMNS($A90:H90), Source!$G90, "")</f>
        <v>3</v>
      </c>
      <c r="I90" s="2">
        <f>IF(Source!$C90&gt;=COLUMNS($A90:I90), Source!$G90, "")</f>
        <v>3</v>
      </c>
      <c r="J90" s="2">
        <f>IF(Source!$C90&gt;=COLUMNS($A90:J90), Source!$G90, "")</f>
        <v>3</v>
      </c>
      <c r="K90" s="2">
        <f>IF(Source!$C90&gt;=COLUMNS($A90:K90), Source!$G90, "")</f>
        <v>3</v>
      </c>
      <c r="L90" s="2">
        <f>IF(Source!$C90&gt;=COLUMNS($A90:L90), Source!$G90, "")</f>
        <v>3</v>
      </c>
      <c r="M90" s="2">
        <f>IF(Source!$C90&gt;=COLUMNS($A90:M90), Source!$G90, "")</f>
        <v>3</v>
      </c>
      <c r="N90" s="2">
        <f>IF(Source!$C90&gt;=COLUMNS($A90:N90), Source!$G90, "")</f>
        <v>3</v>
      </c>
      <c r="O90" s="2">
        <f>IF(Source!$C90&gt;=COLUMNS($A90:O90), Source!$G90, "")</f>
        <v>3</v>
      </c>
      <c r="P90" s="2" t="str">
        <f>IF(Source!$C90&gt;=COLUMNS($A90:P90), Source!$G90, "")</f>
        <v/>
      </c>
      <c r="Q90" s="2" t="str">
        <f>IF(Source!$C90&gt;=COLUMNS($A90:Q90), Source!$G90, "")</f>
        <v/>
      </c>
      <c r="R90" s="2" t="str">
        <f>IF(Source!$C90&gt;=COLUMNS($A90:R90), Source!$G90, "")</f>
        <v/>
      </c>
      <c r="S90" s="2" t="str">
        <f>IF(Source!$C90&gt;=COLUMNS($A90:S90), Source!$G90, "")</f>
        <v/>
      </c>
      <c r="T90" s="2" t="str">
        <f>IF(Source!$C90&gt;=COLUMNS($A90:T90), Source!$G90, "")</f>
        <v/>
      </c>
      <c r="U90" s="2" t="str">
        <f>IF(Source!$C90&gt;=COLUMNS($A90:U90), Source!$G90, "")</f>
        <v/>
      </c>
      <c r="V90" s="2" t="str">
        <f>IF(Source!$C90&gt;=COLUMNS($A90:V90), Source!$G90, "")</f>
        <v/>
      </c>
      <c r="W90" s="2" t="str">
        <f>IF(Source!$C90&gt;=COLUMNS($A90:W90), Source!$G90, "")</f>
        <v/>
      </c>
      <c r="X90" s="2" t="str">
        <f>IF(Source!$C90&gt;=COLUMNS($A90:X90), Source!$G90, "")</f>
        <v/>
      </c>
      <c r="Y90" s="2" t="str">
        <f>IF(Source!$C90&gt;=COLUMNS($A90:Y90), Source!$G90, "")</f>
        <v/>
      </c>
      <c r="Z90" s="2" t="str">
        <f>IF(Source!$C90&gt;=COLUMNS($A90:Z90), Source!$G90, "")</f>
        <v/>
      </c>
      <c r="AA90" s="2" t="str">
        <f>IF(Source!$C90&gt;=COLUMNS($A90:AA90), Source!$G90, "")</f>
        <v/>
      </c>
      <c r="AB90" s="2" t="str">
        <f>IF(Source!$C90&gt;=COLUMNS($A90:AB90), Source!$G90, "")</f>
        <v/>
      </c>
      <c r="AC90" s="2" t="str">
        <f>IF(Source!$C90&gt;=COLUMNS($A90:AC90), Source!$G90, "")</f>
        <v/>
      </c>
      <c r="AD90" s="2" t="str">
        <f>IF(Source!$C90&gt;=COLUMNS($A90:AD90), Source!$G90, "")</f>
        <v/>
      </c>
      <c r="AE90" s="2" t="str">
        <f>IF(Source!$C90&gt;=COLUMNS($A90:AE90), Source!$G90, "")</f>
        <v/>
      </c>
      <c r="AF90" s="2" t="str">
        <f>IF(Source!$C90&gt;=COLUMNS($A90:AF90), Source!$G90, "")</f>
        <v/>
      </c>
      <c r="AG90" s="2" t="str">
        <f>IF(Source!$C90&gt;=COLUMNS($A90:AG90), Source!$G90, "")</f>
        <v/>
      </c>
      <c r="AH90" s="2" t="str">
        <f>IF(Source!$C90&gt;=COLUMNS($A90:AH90), Source!$G90, "")</f>
        <v/>
      </c>
      <c r="AI90" s="2" t="str">
        <f>IF(Source!$C90&gt;=COLUMNS($A90:AI90), Source!$G90, "")</f>
        <v/>
      </c>
      <c r="AJ90" s="2" t="str">
        <f>IF(Source!$C90&gt;=COLUMNS($A90:AJ90), Source!$G90, "")</f>
        <v/>
      </c>
      <c r="AK90" s="2" t="str">
        <f>IF(Source!$C90&gt;=COLUMNS($A90:AK90), Source!$G90, "")</f>
        <v/>
      </c>
      <c r="AL90" s="2" t="str">
        <f>IF(Source!$C90&gt;=COLUMNS($A90:AL90), Source!$G90, "")</f>
        <v/>
      </c>
      <c r="AM90" s="2" t="str">
        <f>IF(Source!$C90&gt;=COLUMNS($A90:AM90), Source!$G90, "")</f>
        <v/>
      </c>
      <c r="AN90" s="2" t="str">
        <f>IF(Source!$C90&gt;=COLUMNS($A90:AN90), Source!$G90, "")</f>
        <v/>
      </c>
      <c r="AO90" s="2" t="str">
        <f>IF(Source!$C90&gt;=COLUMNS($A90:AO90), Source!$G90, "")</f>
        <v/>
      </c>
      <c r="AP90" s="2" t="str">
        <f>IF(Source!$C90&gt;=COLUMNS($A90:AP90), Source!$G90, "")</f>
        <v/>
      </c>
      <c r="AQ90" s="2" t="str">
        <f>IF(Source!$C90&gt;=COLUMNS($A90:AQ90), Source!$G90, "")</f>
        <v/>
      </c>
      <c r="AR90" s="2" t="str">
        <f>IF(Source!$C90&gt;=COLUMNS($A90:AR90), Source!$G90, "")</f>
        <v/>
      </c>
    </row>
    <row r="91">
      <c r="A91" s="2">
        <f>IF(Source!$C91&gt;=COLUMNS($A91:A91), Source!$G91, "")</f>
        <v>1</v>
      </c>
      <c r="B91" s="2" t="str">
        <f>IF(Source!$C91&gt;=COLUMNS($A91:B91), Source!$G91, "")</f>
        <v/>
      </c>
      <c r="C91" s="2" t="str">
        <f>IF(Source!$C91&gt;=COLUMNS($A91:C91), Source!$G91, "")</f>
        <v/>
      </c>
      <c r="D91" s="2" t="str">
        <f>IF(Source!$C91&gt;=COLUMNS($A91:D91), Source!$G91, "")</f>
        <v/>
      </c>
      <c r="E91" s="2" t="str">
        <f>IF(Source!$C91&gt;=COLUMNS($A91:E91), Source!$G91, "")</f>
        <v/>
      </c>
      <c r="F91" s="2" t="str">
        <f>IF(Source!$C91&gt;=COLUMNS($A91:F91), Source!$G91, "")</f>
        <v/>
      </c>
      <c r="G91" s="2" t="str">
        <f>IF(Source!$C91&gt;=COLUMNS($A91:G91), Source!$G91, "")</f>
        <v/>
      </c>
      <c r="H91" s="2" t="str">
        <f>IF(Source!$C91&gt;=COLUMNS($A91:H91), Source!$G91, "")</f>
        <v/>
      </c>
      <c r="I91" s="2" t="str">
        <f>IF(Source!$C91&gt;=COLUMNS($A91:I91), Source!$G91, "")</f>
        <v/>
      </c>
      <c r="J91" s="2" t="str">
        <f>IF(Source!$C91&gt;=COLUMNS($A91:J91), Source!$G91, "")</f>
        <v/>
      </c>
      <c r="K91" s="2" t="str">
        <f>IF(Source!$C91&gt;=COLUMNS($A91:K91), Source!$G91, "")</f>
        <v/>
      </c>
      <c r="L91" s="2" t="str">
        <f>IF(Source!$C91&gt;=COLUMNS($A91:L91), Source!$G91, "")</f>
        <v/>
      </c>
      <c r="M91" s="2" t="str">
        <f>IF(Source!$C91&gt;=COLUMNS($A91:M91), Source!$G91, "")</f>
        <v/>
      </c>
      <c r="N91" s="2" t="str">
        <f>IF(Source!$C91&gt;=COLUMNS($A91:N91), Source!$G91, "")</f>
        <v/>
      </c>
      <c r="O91" s="2" t="str">
        <f>IF(Source!$C91&gt;=COLUMNS($A91:O91), Source!$G91, "")</f>
        <v/>
      </c>
      <c r="P91" s="2" t="str">
        <f>IF(Source!$C91&gt;=COLUMNS($A91:P91), Source!$G91, "")</f>
        <v/>
      </c>
      <c r="Q91" s="2" t="str">
        <f>IF(Source!$C91&gt;=COLUMNS($A91:Q91), Source!$G91, "")</f>
        <v/>
      </c>
      <c r="R91" s="2" t="str">
        <f>IF(Source!$C91&gt;=COLUMNS($A91:R91), Source!$G91, "")</f>
        <v/>
      </c>
      <c r="S91" s="2" t="str">
        <f>IF(Source!$C91&gt;=COLUMNS($A91:S91), Source!$G91, "")</f>
        <v/>
      </c>
      <c r="T91" s="2" t="str">
        <f>IF(Source!$C91&gt;=COLUMNS($A91:T91), Source!$G91, "")</f>
        <v/>
      </c>
      <c r="U91" s="2" t="str">
        <f>IF(Source!$C91&gt;=COLUMNS($A91:U91), Source!$G91, "")</f>
        <v/>
      </c>
      <c r="V91" s="2" t="str">
        <f>IF(Source!$C91&gt;=COLUMNS($A91:V91), Source!$G91, "")</f>
        <v/>
      </c>
      <c r="W91" s="2" t="str">
        <f>IF(Source!$C91&gt;=COLUMNS($A91:W91), Source!$G91, "")</f>
        <v/>
      </c>
      <c r="X91" s="2" t="str">
        <f>IF(Source!$C91&gt;=COLUMNS($A91:X91), Source!$G91, "")</f>
        <v/>
      </c>
      <c r="Y91" s="2" t="str">
        <f>IF(Source!$C91&gt;=COLUMNS($A91:Y91), Source!$G91, "")</f>
        <v/>
      </c>
      <c r="Z91" s="2" t="str">
        <f>IF(Source!$C91&gt;=COLUMNS($A91:Z91), Source!$G91, "")</f>
        <v/>
      </c>
      <c r="AA91" s="2" t="str">
        <f>IF(Source!$C91&gt;=COLUMNS($A91:AA91), Source!$G91, "")</f>
        <v/>
      </c>
      <c r="AB91" s="2" t="str">
        <f>IF(Source!$C91&gt;=COLUMNS($A91:AB91), Source!$G91, "")</f>
        <v/>
      </c>
      <c r="AC91" s="2" t="str">
        <f>IF(Source!$C91&gt;=COLUMNS($A91:AC91), Source!$G91, "")</f>
        <v/>
      </c>
      <c r="AD91" s="2" t="str">
        <f>IF(Source!$C91&gt;=COLUMNS($A91:AD91), Source!$G91, "")</f>
        <v/>
      </c>
      <c r="AE91" s="2" t="str">
        <f>IF(Source!$C91&gt;=COLUMNS($A91:AE91), Source!$G91, "")</f>
        <v/>
      </c>
      <c r="AF91" s="2" t="str">
        <f>IF(Source!$C91&gt;=COLUMNS($A91:AF91), Source!$G91, "")</f>
        <v/>
      </c>
      <c r="AG91" s="2" t="str">
        <f>IF(Source!$C91&gt;=COLUMNS($A91:AG91), Source!$G91, "")</f>
        <v/>
      </c>
      <c r="AH91" s="2" t="str">
        <f>IF(Source!$C91&gt;=COLUMNS($A91:AH91), Source!$G91, "")</f>
        <v/>
      </c>
      <c r="AI91" s="2" t="str">
        <f>IF(Source!$C91&gt;=COLUMNS($A91:AI91), Source!$G91, "")</f>
        <v/>
      </c>
      <c r="AJ91" s="2" t="str">
        <f>IF(Source!$C91&gt;=COLUMNS($A91:AJ91), Source!$G91, "")</f>
        <v/>
      </c>
      <c r="AK91" s="2" t="str">
        <f>IF(Source!$C91&gt;=COLUMNS($A91:AK91), Source!$G91, "")</f>
        <v/>
      </c>
      <c r="AL91" s="2" t="str">
        <f>IF(Source!$C91&gt;=COLUMNS($A91:AL91), Source!$G91, "")</f>
        <v/>
      </c>
      <c r="AM91" s="2" t="str">
        <f>IF(Source!$C91&gt;=COLUMNS($A91:AM91), Source!$G91, "")</f>
        <v/>
      </c>
      <c r="AN91" s="2" t="str">
        <f>IF(Source!$C91&gt;=COLUMNS($A91:AN91), Source!$G91, "")</f>
        <v/>
      </c>
      <c r="AO91" s="2" t="str">
        <f>IF(Source!$C91&gt;=COLUMNS($A91:AO91), Source!$G91, "")</f>
        <v/>
      </c>
      <c r="AP91" s="2" t="str">
        <f>IF(Source!$C91&gt;=COLUMNS($A91:AP91), Source!$G91, "")</f>
        <v/>
      </c>
      <c r="AQ91" s="2" t="str">
        <f>IF(Source!$C91&gt;=COLUMNS($A91:AQ91), Source!$G91, "")</f>
        <v/>
      </c>
      <c r="AR91" s="2" t="str">
        <f>IF(Source!$C91&gt;=COLUMNS($A91:AR91), Source!$G91, "")</f>
        <v/>
      </c>
    </row>
    <row r="92">
      <c r="A92" s="2">
        <f>IF(Source!$C92&gt;=COLUMNS($A92:A92), Source!$G92, "")</f>
        <v>2</v>
      </c>
      <c r="B92" s="2">
        <f>IF(Source!$C92&gt;=COLUMNS($A92:B92), Source!$G92, "")</f>
        <v>2</v>
      </c>
      <c r="C92" s="2">
        <f>IF(Source!$C92&gt;=COLUMNS($A92:C92), Source!$G92, "")</f>
        <v>2</v>
      </c>
      <c r="D92" s="2">
        <f>IF(Source!$C92&gt;=COLUMNS($A92:D92), Source!$G92, "")</f>
        <v>2</v>
      </c>
      <c r="E92" s="2">
        <f>IF(Source!$C92&gt;=COLUMNS($A92:E92), Source!$G92, "")</f>
        <v>2</v>
      </c>
      <c r="F92" s="2">
        <f>IF(Source!$C92&gt;=COLUMNS($A92:F92), Source!$G92, "")</f>
        <v>2</v>
      </c>
      <c r="G92" s="2">
        <f>IF(Source!$C92&gt;=COLUMNS($A92:G92), Source!$G92, "")</f>
        <v>2</v>
      </c>
      <c r="H92" s="2">
        <f>IF(Source!$C92&gt;=COLUMNS($A92:H92), Source!$G92, "")</f>
        <v>2</v>
      </c>
      <c r="I92" s="2">
        <f>IF(Source!$C92&gt;=COLUMNS($A92:I92), Source!$G92, "")</f>
        <v>2</v>
      </c>
      <c r="J92" s="2">
        <f>IF(Source!$C92&gt;=COLUMNS($A92:J92), Source!$G92, "")</f>
        <v>2</v>
      </c>
      <c r="K92" s="2">
        <f>IF(Source!$C92&gt;=COLUMNS($A92:K92), Source!$G92, "")</f>
        <v>2</v>
      </c>
      <c r="L92" s="2">
        <f>IF(Source!$C92&gt;=COLUMNS($A92:L92), Source!$G92, "")</f>
        <v>2</v>
      </c>
      <c r="M92" s="2">
        <f>IF(Source!$C92&gt;=COLUMNS($A92:M92), Source!$G92, "")</f>
        <v>2</v>
      </c>
      <c r="N92" s="2">
        <f>IF(Source!$C92&gt;=COLUMNS($A92:N92), Source!$G92, "")</f>
        <v>2</v>
      </c>
      <c r="O92" s="2" t="str">
        <f>IF(Source!$C92&gt;=COLUMNS($A92:O92), Source!$G92, "")</f>
        <v/>
      </c>
      <c r="P92" s="2" t="str">
        <f>IF(Source!$C92&gt;=COLUMNS($A92:P92), Source!$G92, "")</f>
        <v/>
      </c>
      <c r="Q92" s="2" t="str">
        <f>IF(Source!$C92&gt;=COLUMNS($A92:Q92), Source!$G92, "")</f>
        <v/>
      </c>
      <c r="R92" s="2" t="str">
        <f>IF(Source!$C92&gt;=COLUMNS($A92:R92), Source!$G92, "")</f>
        <v/>
      </c>
      <c r="S92" s="2" t="str">
        <f>IF(Source!$C92&gt;=COLUMNS($A92:S92), Source!$G92, "")</f>
        <v/>
      </c>
      <c r="T92" s="2" t="str">
        <f>IF(Source!$C92&gt;=COLUMNS($A92:T92), Source!$G92, "")</f>
        <v/>
      </c>
      <c r="U92" s="2" t="str">
        <f>IF(Source!$C92&gt;=COLUMNS($A92:U92), Source!$G92, "")</f>
        <v/>
      </c>
      <c r="V92" s="2" t="str">
        <f>IF(Source!$C92&gt;=COLUMNS($A92:V92), Source!$G92, "")</f>
        <v/>
      </c>
      <c r="W92" s="2" t="str">
        <f>IF(Source!$C92&gt;=COLUMNS($A92:W92), Source!$G92, "")</f>
        <v/>
      </c>
      <c r="X92" s="2" t="str">
        <f>IF(Source!$C92&gt;=COLUMNS($A92:X92), Source!$G92, "")</f>
        <v/>
      </c>
      <c r="Y92" s="2" t="str">
        <f>IF(Source!$C92&gt;=COLUMNS($A92:Y92), Source!$G92, "")</f>
        <v/>
      </c>
      <c r="Z92" s="2" t="str">
        <f>IF(Source!$C92&gt;=COLUMNS($A92:Z92), Source!$G92, "")</f>
        <v/>
      </c>
      <c r="AA92" s="2" t="str">
        <f>IF(Source!$C92&gt;=COLUMNS($A92:AA92), Source!$G92, "")</f>
        <v/>
      </c>
      <c r="AB92" s="2" t="str">
        <f>IF(Source!$C92&gt;=COLUMNS($A92:AB92), Source!$G92, "")</f>
        <v/>
      </c>
      <c r="AC92" s="2" t="str">
        <f>IF(Source!$C92&gt;=COLUMNS($A92:AC92), Source!$G92, "")</f>
        <v/>
      </c>
      <c r="AD92" s="2" t="str">
        <f>IF(Source!$C92&gt;=COLUMNS($A92:AD92), Source!$G92, "")</f>
        <v/>
      </c>
      <c r="AE92" s="2" t="str">
        <f>IF(Source!$C92&gt;=COLUMNS($A92:AE92), Source!$G92, "")</f>
        <v/>
      </c>
      <c r="AF92" s="2" t="str">
        <f>IF(Source!$C92&gt;=COLUMNS($A92:AF92), Source!$G92, "")</f>
        <v/>
      </c>
      <c r="AG92" s="2" t="str">
        <f>IF(Source!$C92&gt;=COLUMNS($A92:AG92), Source!$G92, "")</f>
        <v/>
      </c>
      <c r="AH92" s="2" t="str">
        <f>IF(Source!$C92&gt;=COLUMNS($A92:AH92), Source!$G92, "")</f>
        <v/>
      </c>
      <c r="AI92" s="2" t="str">
        <f>IF(Source!$C92&gt;=COLUMNS($A92:AI92), Source!$G92, "")</f>
        <v/>
      </c>
      <c r="AJ92" s="2" t="str">
        <f>IF(Source!$C92&gt;=COLUMNS($A92:AJ92), Source!$G92, "")</f>
        <v/>
      </c>
      <c r="AK92" s="2" t="str">
        <f>IF(Source!$C92&gt;=COLUMNS($A92:AK92), Source!$G92, "")</f>
        <v/>
      </c>
      <c r="AL92" s="2" t="str">
        <f>IF(Source!$C92&gt;=COLUMNS($A92:AL92), Source!$G92, "")</f>
        <v/>
      </c>
      <c r="AM92" s="2" t="str">
        <f>IF(Source!$C92&gt;=COLUMNS($A92:AM92), Source!$G92, "")</f>
        <v/>
      </c>
      <c r="AN92" s="2" t="str">
        <f>IF(Source!$C92&gt;=COLUMNS($A92:AN92), Source!$G92, "")</f>
        <v/>
      </c>
      <c r="AO92" s="2" t="str">
        <f>IF(Source!$C92&gt;=COLUMNS($A92:AO92), Source!$G92, "")</f>
        <v/>
      </c>
      <c r="AP92" s="2" t="str">
        <f>IF(Source!$C92&gt;=COLUMNS($A92:AP92), Source!$G92, "")</f>
        <v/>
      </c>
      <c r="AQ92" s="2" t="str">
        <f>IF(Source!$C92&gt;=COLUMNS($A92:AQ92), Source!$G92, "")</f>
        <v/>
      </c>
      <c r="AR92" s="2" t="str">
        <f>IF(Source!$C92&gt;=COLUMNS($A92:AR92), Source!$G92, "")</f>
        <v/>
      </c>
    </row>
    <row r="93">
      <c r="A93" s="2">
        <f>IF(Source!$C93&gt;=COLUMNS($A93:A93), Source!$G93, "")</f>
        <v>5</v>
      </c>
      <c r="B93" s="2">
        <f>IF(Source!$C93&gt;=COLUMNS($A93:B93), Source!$G93, "")</f>
        <v>5</v>
      </c>
      <c r="C93" s="2" t="str">
        <f>IF(Source!$C93&gt;=COLUMNS($A93:C93), Source!$G93, "")</f>
        <v/>
      </c>
      <c r="D93" s="2" t="str">
        <f>IF(Source!$C93&gt;=COLUMNS($A93:D93), Source!$G93, "")</f>
        <v/>
      </c>
      <c r="E93" s="2" t="str">
        <f>IF(Source!$C93&gt;=COLUMNS($A93:E93), Source!$G93, "")</f>
        <v/>
      </c>
      <c r="F93" s="2" t="str">
        <f>IF(Source!$C93&gt;=COLUMNS($A93:F93), Source!$G93, "")</f>
        <v/>
      </c>
      <c r="G93" s="2" t="str">
        <f>IF(Source!$C93&gt;=COLUMNS($A93:G93), Source!$G93, "")</f>
        <v/>
      </c>
      <c r="H93" s="2" t="str">
        <f>IF(Source!$C93&gt;=COLUMNS($A93:H93), Source!$G93, "")</f>
        <v/>
      </c>
      <c r="I93" s="2" t="str">
        <f>IF(Source!$C93&gt;=COLUMNS($A93:I93), Source!$G93, "")</f>
        <v/>
      </c>
      <c r="J93" s="2" t="str">
        <f>IF(Source!$C93&gt;=COLUMNS($A93:J93), Source!$G93, "")</f>
        <v/>
      </c>
      <c r="K93" s="2" t="str">
        <f>IF(Source!$C93&gt;=COLUMNS($A93:K93), Source!$G93, "")</f>
        <v/>
      </c>
      <c r="L93" s="2" t="str">
        <f>IF(Source!$C93&gt;=COLUMNS($A93:L93), Source!$G93, "")</f>
        <v/>
      </c>
      <c r="M93" s="2" t="str">
        <f>IF(Source!$C93&gt;=COLUMNS($A93:M93), Source!$G93, "")</f>
        <v/>
      </c>
      <c r="N93" s="2" t="str">
        <f>IF(Source!$C93&gt;=COLUMNS($A93:N93), Source!$G93, "")</f>
        <v/>
      </c>
      <c r="O93" s="2" t="str">
        <f>IF(Source!$C93&gt;=COLUMNS($A93:O93), Source!$G93, "")</f>
        <v/>
      </c>
      <c r="P93" s="2" t="str">
        <f>IF(Source!$C93&gt;=COLUMNS($A93:P93), Source!$G93, "")</f>
        <v/>
      </c>
      <c r="Q93" s="2" t="str">
        <f>IF(Source!$C93&gt;=COLUMNS($A93:Q93), Source!$G93, "")</f>
        <v/>
      </c>
      <c r="R93" s="2" t="str">
        <f>IF(Source!$C93&gt;=COLUMNS($A93:R93), Source!$G93, "")</f>
        <v/>
      </c>
      <c r="S93" s="2" t="str">
        <f>IF(Source!$C93&gt;=COLUMNS($A93:S93), Source!$G93, "")</f>
        <v/>
      </c>
      <c r="T93" s="2" t="str">
        <f>IF(Source!$C93&gt;=COLUMNS($A93:T93), Source!$G93, "")</f>
        <v/>
      </c>
      <c r="U93" s="2" t="str">
        <f>IF(Source!$C93&gt;=COLUMNS($A93:U93), Source!$G93, "")</f>
        <v/>
      </c>
      <c r="V93" s="2" t="str">
        <f>IF(Source!$C93&gt;=COLUMNS($A93:V93), Source!$G93, "")</f>
        <v/>
      </c>
      <c r="W93" s="2" t="str">
        <f>IF(Source!$C93&gt;=COLUMNS($A93:W93), Source!$G93, "")</f>
        <v/>
      </c>
      <c r="X93" s="2" t="str">
        <f>IF(Source!$C93&gt;=COLUMNS($A93:X93), Source!$G93, "")</f>
        <v/>
      </c>
      <c r="Y93" s="2" t="str">
        <f>IF(Source!$C93&gt;=COLUMNS($A93:Y93), Source!$G93, "")</f>
        <v/>
      </c>
      <c r="Z93" s="2" t="str">
        <f>IF(Source!$C93&gt;=COLUMNS($A93:Z93), Source!$G93, "")</f>
        <v/>
      </c>
      <c r="AA93" s="2" t="str">
        <f>IF(Source!$C93&gt;=COLUMNS($A93:AA93), Source!$G93, "")</f>
        <v/>
      </c>
      <c r="AB93" s="2" t="str">
        <f>IF(Source!$C93&gt;=COLUMNS($A93:AB93), Source!$G93, "")</f>
        <v/>
      </c>
      <c r="AC93" s="2" t="str">
        <f>IF(Source!$C93&gt;=COLUMNS($A93:AC93), Source!$G93, "")</f>
        <v/>
      </c>
      <c r="AD93" s="2" t="str">
        <f>IF(Source!$C93&gt;=COLUMNS($A93:AD93), Source!$G93, "")</f>
        <v/>
      </c>
      <c r="AE93" s="2" t="str">
        <f>IF(Source!$C93&gt;=COLUMNS($A93:AE93), Source!$G93, "")</f>
        <v/>
      </c>
      <c r="AF93" s="2" t="str">
        <f>IF(Source!$C93&gt;=COLUMNS($A93:AF93), Source!$G93, "")</f>
        <v/>
      </c>
      <c r="AG93" s="2" t="str">
        <f>IF(Source!$C93&gt;=COLUMNS($A93:AG93), Source!$G93, "")</f>
        <v/>
      </c>
      <c r="AH93" s="2" t="str">
        <f>IF(Source!$C93&gt;=COLUMNS($A93:AH93), Source!$G93, "")</f>
        <v/>
      </c>
      <c r="AI93" s="2" t="str">
        <f>IF(Source!$C93&gt;=COLUMNS($A93:AI93), Source!$G93, "")</f>
        <v/>
      </c>
      <c r="AJ93" s="2" t="str">
        <f>IF(Source!$C93&gt;=COLUMNS($A93:AJ93), Source!$G93, "")</f>
        <v/>
      </c>
      <c r="AK93" s="2" t="str">
        <f>IF(Source!$C93&gt;=COLUMNS($A93:AK93), Source!$G93, "")</f>
        <v/>
      </c>
      <c r="AL93" s="2" t="str">
        <f>IF(Source!$C93&gt;=COLUMNS($A93:AL93), Source!$G93, "")</f>
        <v/>
      </c>
      <c r="AM93" s="2" t="str">
        <f>IF(Source!$C93&gt;=COLUMNS($A93:AM93), Source!$G93, "")</f>
        <v/>
      </c>
      <c r="AN93" s="2" t="str">
        <f>IF(Source!$C93&gt;=COLUMNS($A93:AN93), Source!$G93, "")</f>
        <v/>
      </c>
      <c r="AO93" s="2" t="str">
        <f>IF(Source!$C93&gt;=COLUMNS($A93:AO93), Source!$G93, "")</f>
        <v/>
      </c>
      <c r="AP93" s="2" t="str">
        <f>IF(Source!$C93&gt;=COLUMNS($A93:AP93), Source!$G93, "")</f>
        <v/>
      </c>
      <c r="AQ93" s="2" t="str">
        <f>IF(Source!$C93&gt;=COLUMNS($A93:AQ93), Source!$G93, "")</f>
        <v/>
      </c>
      <c r="AR93" s="2" t="str">
        <f>IF(Source!$C93&gt;=COLUMNS($A93:AR93), Source!$G93, "")</f>
        <v/>
      </c>
    </row>
    <row r="94">
      <c r="A94" s="2">
        <f>IF(Source!$C94&gt;=COLUMNS($A94:A94), Source!$G94, "")</f>
        <v>3</v>
      </c>
      <c r="B94" s="2" t="str">
        <f>IF(Source!$C94&gt;=COLUMNS($A94:B94), Source!$G94, "")</f>
        <v/>
      </c>
      <c r="C94" s="2" t="str">
        <f>IF(Source!$C94&gt;=COLUMNS($A94:C94), Source!$G94, "")</f>
        <v/>
      </c>
      <c r="D94" s="2" t="str">
        <f>IF(Source!$C94&gt;=COLUMNS($A94:D94), Source!$G94, "")</f>
        <v/>
      </c>
      <c r="E94" s="2" t="str">
        <f>IF(Source!$C94&gt;=COLUMNS($A94:E94), Source!$G94, "")</f>
        <v/>
      </c>
      <c r="F94" s="2" t="str">
        <f>IF(Source!$C94&gt;=COLUMNS($A94:F94), Source!$G94, "")</f>
        <v/>
      </c>
      <c r="G94" s="2" t="str">
        <f>IF(Source!$C94&gt;=COLUMNS($A94:G94), Source!$G94, "")</f>
        <v/>
      </c>
      <c r="H94" s="2" t="str">
        <f>IF(Source!$C94&gt;=COLUMNS($A94:H94), Source!$G94, "")</f>
        <v/>
      </c>
      <c r="I94" s="2" t="str">
        <f>IF(Source!$C94&gt;=COLUMNS($A94:I94), Source!$G94, "")</f>
        <v/>
      </c>
      <c r="J94" s="2" t="str">
        <f>IF(Source!$C94&gt;=COLUMNS($A94:J94), Source!$G94, "")</f>
        <v/>
      </c>
      <c r="K94" s="2" t="str">
        <f>IF(Source!$C94&gt;=COLUMNS($A94:K94), Source!$G94, "")</f>
        <v/>
      </c>
      <c r="L94" s="2" t="str">
        <f>IF(Source!$C94&gt;=COLUMNS($A94:L94), Source!$G94, "")</f>
        <v/>
      </c>
      <c r="M94" s="2" t="str">
        <f>IF(Source!$C94&gt;=COLUMNS($A94:M94), Source!$G94, "")</f>
        <v/>
      </c>
      <c r="N94" s="2" t="str">
        <f>IF(Source!$C94&gt;=COLUMNS($A94:N94), Source!$G94, "")</f>
        <v/>
      </c>
      <c r="O94" s="2" t="str">
        <f>IF(Source!$C94&gt;=COLUMNS($A94:O94), Source!$G94, "")</f>
        <v/>
      </c>
      <c r="P94" s="2" t="str">
        <f>IF(Source!$C94&gt;=COLUMNS($A94:P94), Source!$G94, "")</f>
        <v/>
      </c>
      <c r="Q94" s="2" t="str">
        <f>IF(Source!$C94&gt;=COLUMNS($A94:Q94), Source!$G94, "")</f>
        <v/>
      </c>
      <c r="R94" s="2" t="str">
        <f>IF(Source!$C94&gt;=COLUMNS($A94:R94), Source!$G94, "")</f>
        <v/>
      </c>
      <c r="S94" s="2" t="str">
        <f>IF(Source!$C94&gt;=COLUMNS($A94:S94), Source!$G94, "")</f>
        <v/>
      </c>
      <c r="T94" s="2" t="str">
        <f>IF(Source!$C94&gt;=COLUMNS($A94:T94), Source!$G94, "")</f>
        <v/>
      </c>
      <c r="U94" s="2" t="str">
        <f>IF(Source!$C94&gt;=COLUMNS($A94:U94), Source!$G94, "")</f>
        <v/>
      </c>
      <c r="V94" s="2" t="str">
        <f>IF(Source!$C94&gt;=COLUMNS($A94:V94), Source!$G94, "")</f>
        <v/>
      </c>
      <c r="W94" s="2" t="str">
        <f>IF(Source!$C94&gt;=COLUMNS($A94:W94), Source!$G94, "")</f>
        <v/>
      </c>
      <c r="X94" s="2" t="str">
        <f>IF(Source!$C94&gt;=COLUMNS($A94:X94), Source!$G94, "")</f>
        <v/>
      </c>
      <c r="Y94" s="2" t="str">
        <f>IF(Source!$C94&gt;=COLUMNS($A94:Y94), Source!$G94, "")</f>
        <v/>
      </c>
      <c r="Z94" s="2" t="str">
        <f>IF(Source!$C94&gt;=COLUMNS($A94:Z94), Source!$G94, "")</f>
        <v/>
      </c>
      <c r="AA94" s="2" t="str">
        <f>IF(Source!$C94&gt;=COLUMNS($A94:AA94), Source!$G94, "")</f>
        <v/>
      </c>
      <c r="AB94" s="2" t="str">
        <f>IF(Source!$C94&gt;=COLUMNS($A94:AB94), Source!$G94, "")</f>
        <v/>
      </c>
      <c r="AC94" s="2" t="str">
        <f>IF(Source!$C94&gt;=COLUMNS($A94:AC94), Source!$G94, "")</f>
        <v/>
      </c>
      <c r="AD94" s="2" t="str">
        <f>IF(Source!$C94&gt;=COLUMNS($A94:AD94), Source!$G94, "")</f>
        <v/>
      </c>
      <c r="AE94" s="2" t="str">
        <f>IF(Source!$C94&gt;=COLUMNS($A94:AE94), Source!$G94, "")</f>
        <v/>
      </c>
      <c r="AF94" s="2" t="str">
        <f>IF(Source!$C94&gt;=COLUMNS($A94:AF94), Source!$G94, "")</f>
        <v/>
      </c>
      <c r="AG94" s="2" t="str">
        <f>IF(Source!$C94&gt;=COLUMNS($A94:AG94), Source!$G94, "")</f>
        <v/>
      </c>
      <c r="AH94" s="2" t="str">
        <f>IF(Source!$C94&gt;=COLUMNS($A94:AH94), Source!$G94, "")</f>
        <v/>
      </c>
      <c r="AI94" s="2" t="str">
        <f>IF(Source!$C94&gt;=COLUMNS($A94:AI94), Source!$G94, "")</f>
        <v/>
      </c>
      <c r="AJ94" s="2" t="str">
        <f>IF(Source!$C94&gt;=COLUMNS($A94:AJ94), Source!$G94, "")</f>
        <v/>
      </c>
      <c r="AK94" s="2" t="str">
        <f>IF(Source!$C94&gt;=COLUMNS($A94:AK94), Source!$G94, "")</f>
        <v/>
      </c>
      <c r="AL94" s="2" t="str">
        <f>IF(Source!$C94&gt;=COLUMNS($A94:AL94), Source!$G94, "")</f>
        <v/>
      </c>
      <c r="AM94" s="2" t="str">
        <f>IF(Source!$C94&gt;=COLUMNS($A94:AM94), Source!$G94, "")</f>
        <v/>
      </c>
      <c r="AN94" s="2" t="str">
        <f>IF(Source!$C94&gt;=COLUMNS($A94:AN94), Source!$G94, "")</f>
        <v/>
      </c>
      <c r="AO94" s="2" t="str">
        <f>IF(Source!$C94&gt;=COLUMNS($A94:AO94), Source!$G94, "")</f>
        <v/>
      </c>
      <c r="AP94" s="2" t="str">
        <f>IF(Source!$C94&gt;=COLUMNS($A94:AP94), Source!$G94, "")</f>
        <v/>
      </c>
      <c r="AQ94" s="2" t="str">
        <f>IF(Source!$C94&gt;=COLUMNS($A94:AQ94), Source!$G94, "")</f>
        <v/>
      </c>
      <c r="AR94" s="2" t="str">
        <f>IF(Source!$C94&gt;=COLUMNS($A94:AR94), Source!$G94, "")</f>
        <v/>
      </c>
    </row>
    <row r="95">
      <c r="A95" s="2">
        <f>IF(Source!$C95&gt;=COLUMNS($A95:A95), Source!$G95, "")</f>
        <v>3</v>
      </c>
      <c r="B95" s="2">
        <f>IF(Source!$C95&gt;=COLUMNS($A95:B95), Source!$G95, "")</f>
        <v>3</v>
      </c>
      <c r="C95" s="2">
        <f>IF(Source!$C95&gt;=COLUMNS($A95:C95), Source!$G95, "")</f>
        <v>3</v>
      </c>
      <c r="D95" s="2">
        <f>IF(Source!$C95&gt;=COLUMNS($A95:D95), Source!$G95, "")</f>
        <v>3</v>
      </c>
      <c r="E95" s="2">
        <f>IF(Source!$C95&gt;=COLUMNS($A95:E95), Source!$G95, "")</f>
        <v>3</v>
      </c>
      <c r="F95" s="2">
        <f>IF(Source!$C95&gt;=COLUMNS($A95:F95), Source!$G95, "")</f>
        <v>3</v>
      </c>
      <c r="G95" s="2">
        <f>IF(Source!$C95&gt;=COLUMNS($A95:G95), Source!$G95, "")</f>
        <v>3</v>
      </c>
      <c r="H95" s="2">
        <f>IF(Source!$C95&gt;=COLUMNS($A95:H95), Source!$G95, "")</f>
        <v>3</v>
      </c>
      <c r="I95" s="2">
        <f>IF(Source!$C95&gt;=COLUMNS($A95:I95), Source!$G95, "")</f>
        <v>3</v>
      </c>
      <c r="J95" s="2">
        <f>IF(Source!$C95&gt;=COLUMNS($A95:J95), Source!$G95, "")</f>
        <v>3</v>
      </c>
      <c r="K95" s="2">
        <f>IF(Source!$C95&gt;=COLUMNS($A95:K95), Source!$G95, "")</f>
        <v>3</v>
      </c>
      <c r="L95" s="2">
        <f>IF(Source!$C95&gt;=COLUMNS($A95:L95), Source!$G95, "")</f>
        <v>3</v>
      </c>
      <c r="M95" s="2">
        <f>IF(Source!$C95&gt;=COLUMNS($A95:M95), Source!$G95, "")</f>
        <v>3</v>
      </c>
      <c r="N95" s="2" t="str">
        <f>IF(Source!$C95&gt;=COLUMNS($A95:N95), Source!$G95, "")</f>
        <v/>
      </c>
      <c r="O95" s="2" t="str">
        <f>IF(Source!$C95&gt;=COLUMNS($A95:O95), Source!$G95, "")</f>
        <v/>
      </c>
      <c r="P95" s="2" t="str">
        <f>IF(Source!$C95&gt;=COLUMNS($A95:P95), Source!$G95, "")</f>
        <v/>
      </c>
      <c r="Q95" s="2" t="str">
        <f>IF(Source!$C95&gt;=COLUMNS($A95:Q95), Source!$G95, "")</f>
        <v/>
      </c>
      <c r="R95" s="2" t="str">
        <f>IF(Source!$C95&gt;=COLUMNS($A95:R95), Source!$G95, "")</f>
        <v/>
      </c>
      <c r="S95" s="2" t="str">
        <f>IF(Source!$C95&gt;=COLUMNS($A95:S95), Source!$G95, "")</f>
        <v/>
      </c>
      <c r="T95" s="2" t="str">
        <f>IF(Source!$C95&gt;=COLUMNS($A95:T95), Source!$G95, "")</f>
        <v/>
      </c>
      <c r="U95" s="2" t="str">
        <f>IF(Source!$C95&gt;=COLUMNS($A95:U95), Source!$G95, "")</f>
        <v/>
      </c>
      <c r="V95" s="2" t="str">
        <f>IF(Source!$C95&gt;=COLUMNS($A95:V95), Source!$G95, "")</f>
        <v/>
      </c>
      <c r="W95" s="2" t="str">
        <f>IF(Source!$C95&gt;=COLUMNS($A95:W95), Source!$G95, "")</f>
        <v/>
      </c>
      <c r="X95" s="2" t="str">
        <f>IF(Source!$C95&gt;=COLUMNS($A95:X95), Source!$G95, "")</f>
        <v/>
      </c>
      <c r="Y95" s="2" t="str">
        <f>IF(Source!$C95&gt;=COLUMNS($A95:Y95), Source!$G95, "")</f>
        <v/>
      </c>
      <c r="Z95" s="2" t="str">
        <f>IF(Source!$C95&gt;=COLUMNS($A95:Z95), Source!$G95, "")</f>
        <v/>
      </c>
      <c r="AA95" s="2" t="str">
        <f>IF(Source!$C95&gt;=COLUMNS($A95:AA95), Source!$G95, "")</f>
        <v/>
      </c>
      <c r="AB95" s="2" t="str">
        <f>IF(Source!$C95&gt;=COLUMNS($A95:AB95), Source!$G95, "")</f>
        <v/>
      </c>
      <c r="AC95" s="2" t="str">
        <f>IF(Source!$C95&gt;=COLUMNS($A95:AC95), Source!$G95, "")</f>
        <v/>
      </c>
      <c r="AD95" s="2" t="str">
        <f>IF(Source!$C95&gt;=COLUMNS($A95:AD95), Source!$G95, "")</f>
        <v/>
      </c>
      <c r="AE95" s="2" t="str">
        <f>IF(Source!$C95&gt;=COLUMNS($A95:AE95), Source!$G95, "")</f>
        <v/>
      </c>
      <c r="AF95" s="2" t="str">
        <f>IF(Source!$C95&gt;=COLUMNS($A95:AF95), Source!$G95, "")</f>
        <v/>
      </c>
      <c r="AG95" s="2" t="str">
        <f>IF(Source!$C95&gt;=COLUMNS($A95:AG95), Source!$G95, "")</f>
        <v/>
      </c>
      <c r="AH95" s="2" t="str">
        <f>IF(Source!$C95&gt;=COLUMNS($A95:AH95), Source!$G95, "")</f>
        <v/>
      </c>
      <c r="AI95" s="2" t="str">
        <f>IF(Source!$C95&gt;=COLUMNS($A95:AI95), Source!$G95, "")</f>
        <v/>
      </c>
      <c r="AJ95" s="2" t="str">
        <f>IF(Source!$C95&gt;=COLUMNS($A95:AJ95), Source!$G95, "")</f>
        <v/>
      </c>
      <c r="AK95" s="2" t="str">
        <f>IF(Source!$C95&gt;=COLUMNS($A95:AK95), Source!$G95, "")</f>
        <v/>
      </c>
      <c r="AL95" s="2" t="str">
        <f>IF(Source!$C95&gt;=COLUMNS($A95:AL95), Source!$G95, "")</f>
        <v/>
      </c>
      <c r="AM95" s="2" t="str">
        <f>IF(Source!$C95&gt;=COLUMNS($A95:AM95), Source!$G95, "")</f>
        <v/>
      </c>
      <c r="AN95" s="2" t="str">
        <f>IF(Source!$C95&gt;=COLUMNS($A95:AN95), Source!$G95, "")</f>
        <v/>
      </c>
      <c r="AO95" s="2" t="str">
        <f>IF(Source!$C95&gt;=COLUMNS($A95:AO95), Source!$G95, "")</f>
        <v/>
      </c>
      <c r="AP95" s="2" t="str">
        <f>IF(Source!$C95&gt;=COLUMNS($A95:AP95), Source!$G95, "")</f>
        <v/>
      </c>
      <c r="AQ95" s="2" t="str">
        <f>IF(Source!$C95&gt;=COLUMNS($A95:AQ95), Source!$G95, "")</f>
        <v/>
      </c>
      <c r="AR95" s="2" t="str">
        <f>IF(Source!$C95&gt;=COLUMNS($A95:AR95), Source!$G95, "")</f>
        <v/>
      </c>
    </row>
    <row r="96">
      <c r="A96" s="2">
        <f>IF(Source!$C96&gt;=COLUMNS($A96:A96), Source!$G96, "")</f>
        <v>6</v>
      </c>
      <c r="B96" s="2">
        <f>IF(Source!$C96&gt;=COLUMNS($A96:B96), Source!$G96, "")</f>
        <v>6</v>
      </c>
      <c r="C96" s="2">
        <f>IF(Source!$C96&gt;=COLUMNS($A96:C96), Source!$G96, "")</f>
        <v>6</v>
      </c>
      <c r="D96" s="2">
        <f>IF(Source!$C96&gt;=COLUMNS($A96:D96), Source!$G96, "")</f>
        <v>6</v>
      </c>
      <c r="E96" s="2" t="str">
        <f>IF(Source!$C96&gt;=COLUMNS($A96:E96), Source!$G96, "")</f>
        <v/>
      </c>
      <c r="F96" s="2" t="str">
        <f>IF(Source!$C96&gt;=COLUMNS($A96:F96), Source!$G96, "")</f>
        <v/>
      </c>
      <c r="G96" s="2" t="str">
        <f>IF(Source!$C96&gt;=COLUMNS($A96:G96), Source!$G96, "")</f>
        <v/>
      </c>
      <c r="H96" s="2" t="str">
        <f>IF(Source!$C96&gt;=COLUMNS($A96:H96), Source!$G96, "")</f>
        <v/>
      </c>
      <c r="I96" s="2" t="str">
        <f>IF(Source!$C96&gt;=COLUMNS($A96:I96), Source!$G96, "")</f>
        <v/>
      </c>
      <c r="J96" s="2" t="str">
        <f>IF(Source!$C96&gt;=COLUMNS($A96:J96), Source!$G96, "")</f>
        <v/>
      </c>
      <c r="K96" s="2" t="str">
        <f>IF(Source!$C96&gt;=COLUMNS($A96:K96), Source!$G96, "")</f>
        <v/>
      </c>
      <c r="L96" s="2" t="str">
        <f>IF(Source!$C96&gt;=COLUMNS($A96:L96), Source!$G96, "")</f>
        <v/>
      </c>
      <c r="M96" s="2" t="str">
        <f>IF(Source!$C96&gt;=COLUMNS($A96:M96), Source!$G96, "")</f>
        <v/>
      </c>
      <c r="N96" s="2" t="str">
        <f>IF(Source!$C96&gt;=COLUMNS($A96:N96), Source!$G96, "")</f>
        <v/>
      </c>
      <c r="O96" s="2" t="str">
        <f>IF(Source!$C96&gt;=COLUMNS($A96:O96), Source!$G96, "")</f>
        <v/>
      </c>
      <c r="P96" s="2" t="str">
        <f>IF(Source!$C96&gt;=COLUMNS($A96:P96), Source!$G96, "")</f>
        <v/>
      </c>
      <c r="Q96" s="2" t="str">
        <f>IF(Source!$C96&gt;=COLUMNS($A96:Q96), Source!$G96, "")</f>
        <v/>
      </c>
      <c r="R96" s="2" t="str">
        <f>IF(Source!$C96&gt;=COLUMNS($A96:R96), Source!$G96, "")</f>
        <v/>
      </c>
      <c r="S96" s="2" t="str">
        <f>IF(Source!$C96&gt;=COLUMNS($A96:S96), Source!$G96, "")</f>
        <v/>
      </c>
      <c r="T96" s="2" t="str">
        <f>IF(Source!$C96&gt;=COLUMNS($A96:T96), Source!$G96, "")</f>
        <v/>
      </c>
      <c r="U96" s="2" t="str">
        <f>IF(Source!$C96&gt;=COLUMNS($A96:U96), Source!$G96, "")</f>
        <v/>
      </c>
      <c r="V96" s="2" t="str">
        <f>IF(Source!$C96&gt;=COLUMNS($A96:V96), Source!$G96, "")</f>
        <v/>
      </c>
      <c r="W96" s="2" t="str">
        <f>IF(Source!$C96&gt;=COLUMNS($A96:W96), Source!$G96, "")</f>
        <v/>
      </c>
      <c r="X96" s="2" t="str">
        <f>IF(Source!$C96&gt;=COLUMNS($A96:X96), Source!$G96, "")</f>
        <v/>
      </c>
      <c r="Y96" s="2" t="str">
        <f>IF(Source!$C96&gt;=COLUMNS($A96:Y96), Source!$G96, "")</f>
        <v/>
      </c>
      <c r="Z96" s="2" t="str">
        <f>IF(Source!$C96&gt;=COLUMNS($A96:Z96), Source!$G96, "")</f>
        <v/>
      </c>
      <c r="AA96" s="2" t="str">
        <f>IF(Source!$C96&gt;=COLUMNS($A96:AA96), Source!$G96, "")</f>
        <v/>
      </c>
      <c r="AB96" s="2" t="str">
        <f>IF(Source!$C96&gt;=COLUMNS($A96:AB96), Source!$G96, "")</f>
        <v/>
      </c>
      <c r="AC96" s="2" t="str">
        <f>IF(Source!$C96&gt;=COLUMNS($A96:AC96), Source!$G96, "")</f>
        <v/>
      </c>
      <c r="AD96" s="2" t="str">
        <f>IF(Source!$C96&gt;=COLUMNS($A96:AD96), Source!$G96, "")</f>
        <v/>
      </c>
      <c r="AE96" s="2" t="str">
        <f>IF(Source!$C96&gt;=COLUMNS($A96:AE96), Source!$G96, "")</f>
        <v/>
      </c>
      <c r="AF96" s="2" t="str">
        <f>IF(Source!$C96&gt;=COLUMNS($A96:AF96), Source!$G96, "")</f>
        <v/>
      </c>
      <c r="AG96" s="2" t="str">
        <f>IF(Source!$C96&gt;=COLUMNS($A96:AG96), Source!$G96, "")</f>
        <v/>
      </c>
      <c r="AH96" s="2" t="str">
        <f>IF(Source!$C96&gt;=COLUMNS($A96:AH96), Source!$G96, "")</f>
        <v/>
      </c>
      <c r="AI96" s="2" t="str">
        <f>IF(Source!$C96&gt;=COLUMNS($A96:AI96), Source!$G96, "")</f>
        <v/>
      </c>
      <c r="AJ96" s="2" t="str">
        <f>IF(Source!$C96&gt;=COLUMNS($A96:AJ96), Source!$G96, "")</f>
        <v/>
      </c>
      <c r="AK96" s="2" t="str">
        <f>IF(Source!$C96&gt;=COLUMNS($A96:AK96), Source!$G96, "")</f>
        <v/>
      </c>
      <c r="AL96" s="2" t="str">
        <f>IF(Source!$C96&gt;=COLUMNS($A96:AL96), Source!$G96, "")</f>
        <v/>
      </c>
      <c r="AM96" s="2" t="str">
        <f>IF(Source!$C96&gt;=COLUMNS($A96:AM96), Source!$G96, "")</f>
        <v/>
      </c>
      <c r="AN96" s="2" t="str">
        <f>IF(Source!$C96&gt;=COLUMNS($A96:AN96), Source!$G96, "")</f>
        <v/>
      </c>
      <c r="AO96" s="2" t="str">
        <f>IF(Source!$C96&gt;=COLUMNS($A96:AO96), Source!$G96, "")</f>
        <v/>
      </c>
      <c r="AP96" s="2" t="str">
        <f>IF(Source!$C96&gt;=COLUMNS($A96:AP96), Source!$G96, "")</f>
        <v/>
      </c>
      <c r="AQ96" s="2" t="str">
        <f>IF(Source!$C96&gt;=COLUMNS($A96:AQ96), Source!$G96, "")</f>
        <v/>
      </c>
      <c r="AR96" s="2" t="str">
        <f>IF(Source!$C96&gt;=COLUMNS($A96:AR96), Source!$G96, "")</f>
        <v/>
      </c>
    </row>
    <row r="97">
      <c r="A97" s="2">
        <f>IF(Source!$C97&gt;=COLUMNS($A97:A97), Source!$G97, "")</f>
        <v>3</v>
      </c>
      <c r="B97" s="2">
        <f>IF(Source!$C97&gt;=COLUMNS($A97:B97), Source!$G97, "")</f>
        <v>3</v>
      </c>
      <c r="C97" s="2">
        <f>IF(Source!$C97&gt;=COLUMNS($A97:C97), Source!$G97, "")</f>
        <v>3</v>
      </c>
      <c r="D97" s="2">
        <f>IF(Source!$C97&gt;=COLUMNS($A97:D97), Source!$G97, "")</f>
        <v>3</v>
      </c>
      <c r="E97" s="2">
        <f>IF(Source!$C97&gt;=COLUMNS($A97:E97), Source!$G97, "")</f>
        <v>3</v>
      </c>
      <c r="F97" s="2">
        <f>IF(Source!$C97&gt;=COLUMNS($A97:F97), Source!$G97, "")</f>
        <v>3</v>
      </c>
      <c r="G97" s="2">
        <f>IF(Source!$C97&gt;=COLUMNS($A97:G97), Source!$G97, "")</f>
        <v>3</v>
      </c>
      <c r="H97" s="2">
        <f>IF(Source!$C97&gt;=COLUMNS($A97:H97), Source!$G97, "")</f>
        <v>3</v>
      </c>
      <c r="I97" s="2">
        <f>IF(Source!$C97&gt;=COLUMNS($A97:I97), Source!$G97, "")</f>
        <v>3</v>
      </c>
      <c r="J97" s="2">
        <f>IF(Source!$C97&gt;=COLUMNS($A97:J97), Source!$G97, "")</f>
        <v>3</v>
      </c>
      <c r="K97" s="2" t="str">
        <f>IF(Source!$C97&gt;=COLUMNS($A97:K97), Source!$G97, "")</f>
        <v/>
      </c>
      <c r="L97" s="2" t="str">
        <f>IF(Source!$C97&gt;=COLUMNS($A97:L97), Source!$G97, "")</f>
        <v/>
      </c>
      <c r="M97" s="2" t="str">
        <f>IF(Source!$C97&gt;=COLUMNS($A97:M97), Source!$G97, "")</f>
        <v/>
      </c>
      <c r="N97" s="2" t="str">
        <f>IF(Source!$C97&gt;=COLUMNS($A97:N97), Source!$G97, "")</f>
        <v/>
      </c>
      <c r="O97" s="2" t="str">
        <f>IF(Source!$C97&gt;=COLUMNS($A97:O97), Source!$G97, "")</f>
        <v/>
      </c>
      <c r="P97" s="2" t="str">
        <f>IF(Source!$C97&gt;=COLUMNS($A97:P97), Source!$G97, "")</f>
        <v/>
      </c>
      <c r="Q97" s="2" t="str">
        <f>IF(Source!$C97&gt;=COLUMNS($A97:Q97), Source!$G97, "")</f>
        <v/>
      </c>
      <c r="R97" s="2" t="str">
        <f>IF(Source!$C97&gt;=COLUMNS($A97:R97), Source!$G97, "")</f>
        <v/>
      </c>
      <c r="S97" s="2" t="str">
        <f>IF(Source!$C97&gt;=COLUMNS($A97:S97), Source!$G97, "")</f>
        <v/>
      </c>
      <c r="T97" s="2" t="str">
        <f>IF(Source!$C97&gt;=COLUMNS($A97:T97), Source!$G97, "")</f>
        <v/>
      </c>
      <c r="U97" s="2" t="str">
        <f>IF(Source!$C97&gt;=COLUMNS($A97:U97), Source!$G97, "")</f>
        <v/>
      </c>
      <c r="V97" s="2" t="str">
        <f>IF(Source!$C97&gt;=COLUMNS($A97:V97), Source!$G97, "")</f>
        <v/>
      </c>
      <c r="W97" s="2" t="str">
        <f>IF(Source!$C97&gt;=COLUMNS($A97:W97), Source!$G97, "")</f>
        <v/>
      </c>
      <c r="X97" s="2" t="str">
        <f>IF(Source!$C97&gt;=COLUMNS($A97:X97), Source!$G97, "")</f>
        <v/>
      </c>
      <c r="Y97" s="2" t="str">
        <f>IF(Source!$C97&gt;=COLUMNS($A97:Y97), Source!$G97, "")</f>
        <v/>
      </c>
      <c r="Z97" s="2" t="str">
        <f>IF(Source!$C97&gt;=COLUMNS($A97:Z97), Source!$G97, "")</f>
        <v/>
      </c>
      <c r="AA97" s="2" t="str">
        <f>IF(Source!$C97&gt;=COLUMNS($A97:AA97), Source!$G97, "")</f>
        <v/>
      </c>
      <c r="AB97" s="2" t="str">
        <f>IF(Source!$C97&gt;=COLUMNS($A97:AB97), Source!$G97, "")</f>
        <v/>
      </c>
      <c r="AC97" s="2" t="str">
        <f>IF(Source!$C97&gt;=COLUMNS($A97:AC97), Source!$G97, "")</f>
        <v/>
      </c>
      <c r="AD97" s="2" t="str">
        <f>IF(Source!$C97&gt;=COLUMNS($A97:AD97), Source!$G97, "")</f>
        <v/>
      </c>
      <c r="AE97" s="2" t="str">
        <f>IF(Source!$C97&gt;=COLUMNS($A97:AE97), Source!$G97, "")</f>
        <v/>
      </c>
      <c r="AF97" s="2" t="str">
        <f>IF(Source!$C97&gt;=COLUMNS($A97:AF97), Source!$G97, "")</f>
        <v/>
      </c>
      <c r="AG97" s="2" t="str">
        <f>IF(Source!$C97&gt;=COLUMNS($A97:AG97), Source!$G97, "")</f>
        <v/>
      </c>
      <c r="AH97" s="2" t="str">
        <f>IF(Source!$C97&gt;=COLUMNS($A97:AH97), Source!$G97, "")</f>
        <v/>
      </c>
      <c r="AI97" s="2" t="str">
        <f>IF(Source!$C97&gt;=COLUMNS($A97:AI97), Source!$G97, "")</f>
        <v/>
      </c>
      <c r="AJ97" s="2" t="str">
        <f>IF(Source!$C97&gt;=COLUMNS($A97:AJ97), Source!$G97, "")</f>
        <v/>
      </c>
      <c r="AK97" s="2" t="str">
        <f>IF(Source!$C97&gt;=COLUMNS($A97:AK97), Source!$G97, "")</f>
        <v/>
      </c>
      <c r="AL97" s="2" t="str">
        <f>IF(Source!$C97&gt;=COLUMNS($A97:AL97), Source!$G97, "")</f>
        <v/>
      </c>
      <c r="AM97" s="2" t="str">
        <f>IF(Source!$C97&gt;=COLUMNS($A97:AM97), Source!$G97, "")</f>
        <v/>
      </c>
      <c r="AN97" s="2" t="str">
        <f>IF(Source!$C97&gt;=COLUMNS($A97:AN97), Source!$G97, "")</f>
        <v/>
      </c>
      <c r="AO97" s="2" t="str">
        <f>IF(Source!$C97&gt;=COLUMNS($A97:AO97), Source!$G97, "")</f>
        <v/>
      </c>
      <c r="AP97" s="2" t="str">
        <f>IF(Source!$C97&gt;=COLUMNS($A97:AP97), Source!$G97, "")</f>
        <v/>
      </c>
      <c r="AQ97" s="2" t="str">
        <f>IF(Source!$C97&gt;=COLUMNS($A97:AQ97), Source!$G97, "")</f>
        <v/>
      </c>
      <c r="AR97" s="2" t="str">
        <f>IF(Source!$C97&gt;=COLUMNS($A97:AR97), Source!$G97, "")</f>
        <v/>
      </c>
    </row>
    <row r="98">
      <c r="A98" s="2">
        <f>IF(Source!$C98&gt;=COLUMNS($A98:A98), Source!$G98, "")</f>
        <v>9</v>
      </c>
      <c r="B98" s="2">
        <f>IF(Source!$C98&gt;=COLUMNS($A98:B98), Source!$G98, "")</f>
        <v>9</v>
      </c>
      <c r="C98" s="2" t="str">
        <f>IF(Source!$C98&gt;=COLUMNS($A98:C98), Source!$G98, "")</f>
        <v/>
      </c>
      <c r="D98" s="2" t="str">
        <f>IF(Source!$C98&gt;=COLUMNS($A98:D98), Source!$G98, "")</f>
        <v/>
      </c>
      <c r="E98" s="2" t="str">
        <f>IF(Source!$C98&gt;=COLUMNS($A98:E98), Source!$G98, "")</f>
        <v/>
      </c>
      <c r="F98" s="2" t="str">
        <f>IF(Source!$C98&gt;=COLUMNS($A98:F98), Source!$G98, "")</f>
        <v/>
      </c>
      <c r="G98" s="2" t="str">
        <f>IF(Source!$C98&gt;=COLUMNS($A98:G98), Source!$G98, "")</f>
        <v/>
      </c>
      <c r="H98" s="2" t="str">
        <f>IF(Source!$C98&gt;=COLUMNS($A98:H98), Source!$G98, "")</f>
        <v/>
      </c>
      <c r="I98" s="2" t="str">
        <f>IF(Source!$C98&gt;=COLUMNS($A98:I98), Source!$G98, "")</f>
        <v/>
      </c>
      <c r="J98" s="2" t="str">
        <f>IF(Source!$C98&gt;=COLUMNS($A98:J98), Source!$G98, "")</f>
        <v/>
      </c>
      <c r="K98" s="2" t="str">
        <f>IF(Source!$C98&gt;=COLUMNS($A98:K98), Source!$G98, "")</f>
        <v/>
      </c>
      <c r="L98" s="2" t="str">
        <f>IF(Source!$C98&gt;=COLUMNS($A98:L98), Source!$G98, "")</f>
        <v/>
      </c>
      <c r="M98" s="2" t="str">
        <f>IF(Source!$C98&gt;=COLUMNS($A98:M98), Source!$G98, "")</f>
        <v/>
      </c>
      <c r="N98" s="2" t="str">
        <f>IF(Source!$C98&gt;=COLUMNS($A98:N98), Source!$G98, "")</f>
        <v/>
      </c>
      <c r="O98" s="2" t="str">
        <f>IF(Source!$C98&gt;=COLUMNS($A98:O98), Source!$G98, "")</f>
        <v/>
      </c>
      <c r="P98" s="2" t="str">
        <f>IF(Source!$C98&gt;=COLUMNS($A98:P98), Source!$G98, "")</f>
        <v/>
      </c>
      <c r="Q98" s="2" t="str">
        <f>IF(Source!$C98&gt;=COLUMNS($A98:Q98), Source!$G98, "")</f>
        <v/>
      </c>
      <c r="R98" s="2" t="str">
        <f>IF(Source!$C98&gt;=COLUMNS($A98:R98), Source!$G98, "")</f>
        <v/>
      </c>
      <c r="S98" s="2" t="str">
        <f>IF(Source!$C98&gt;=COLUMNS($A98:S98), Source!$G98, "")</f>
        <v/>
      </c>
      <c r="T98" s="2" t="str">
        <f>IF(Source!$C98&gt;=COLUMNS($A98:T98), Source!$G98, "")</f>
        <v/>
      </c>
      <c r="U98" s="2" t="str">
        <f>IF(Source!$C98&gt;=COLUMNS($A98:U98), Source!$G98, "")</f>
        <v/>
      </c>
      <c r="V98" s="2" t="str">
        <f>IF(Source!$C98&gt;=COLUMNS($A98:V98), Source!$G98, "")</f>
        <v/>
      </c>
      <c r="W98" s="2" t="str">
        <f>IF(Source!$C98&gt;=COLUMNS($A98:W98), Source!$G98, "")</f>
        <v/>
      </c>
      <c r="X98" s="2" t="str">
        <f>IF(Source!$C98&gt;=COLUMNS($A98:X98), Source!$G98, "")</f>
        <v/>
      </c>
      <c r="Y98" s="2" t="str">
        <f>IF(Source!$C98&gt;=COLUMNS($A98:Y98), Source!$G98, "")</f>
        <v/>
      </c>
      <c r="Z98" s="2" t="str">
        <f>IF(Source!$C98&gt;=COLUMNS($A98:Z98), Source!$G98, "")</f>
        <v/>
      </c>
      <c r="AA98" s="2" t="str">
        <f>IF(Source!$C98&gt;=COLUMNS($A98:AA98), Source!$G98, "")</f>
        <v/>
      </c>
      <c r="AB98" s="2" t="str">
        <f>IF(Source!$C98&gt;=COLUMNS($A98:AB98), Source!$G98, "")</f>
        <v/>
      </c>
      <c r="AC98" s="2" t="str">
        <f>IF(Source!$C98&gt;=COLUMNS($A98:AC98), Source!$G98, "")</f>
        <v/>
      </c>
      <c r="AD98" s="2" t="str">
        <f>IF(Source!$C98&gt;=COLUMNS($A98:AD98), Source!$G98, "")</f>
        <v/>
      </c>
      <c r="AE98" s="2" t="str">
        <f>IF(Source!$C98&gt;=COLUMNS($A98:AE98), Source!$G98, "")</f>
        <v/>
      </c>
      <c r="AF98" s="2" t="str">
        <f>IF(Source!$C98&gt;=COLUMNS($A98:AF98), Source!$G98, "")</f>
        <v/>
      </c>
      <c r="AG98" s="2" t="str">
        <f>IF(Source!$C98&gt;=COLUMNS($A98:AG98), Source!$G98, "")</f>
        <v/>
      </c>
      <c r="AH98" s="2" t="str">
        <f>IF(Source!$C98&gt;=COLUMNS($A98:AH98), Source!$G98, "")</f>
        <v/>
      </c>
      <c r="AI98" s="2" t="str">
        <f>IF(Source!$C98&gt;=COLUMNS($A98:AI98), Source!$G98, "")</f>
        <v/>
      </c>
      <c r="AJ98" s="2" t="str">
        <f>IF(Source!$C98&gt;=COLUMNS($A98:AJ98), Source!$G98, "")</f>
        <v/>
      </c>
      <c r="AK98" s="2" t="str">
        <f>IF(Source!$C98&gt;=COLUMNS($A98:AK98), Source!$G98, "")</f>
        <v/>
      </c>
      <c r="AL98" s="2" t="str">
        <f>IF(Source!$C98&gt;=COLUMNS($A98:AL98), Source!$G98, "")</f>
        <v/>
      </c>
      <c r="AM98" s="2" t="str">
        <f>IF(Source!$C98&gt;=COLUMNS($A98:AM98), Source!$G98, "")</f>
        <v/>
      </c>
      <c r="AN98" s="2" t="str">
        <f>IF(Source!$C98&gt;=COLUMNS($A98:AN98), Source!$G98, "")</f>
        <v/>
      </c>
      <c r="AO98" s="2" t="str">
        <f>IF(Source!$C98&gt;=COLUMNS($A98:AO98), Source!$G98, "")</f>
        <v/>
      </c>
      <c r="AP98" s="2" t="str">
        <f>IF(Source!$C98&gt;=COLUMNS($A98:AP98), Source!$G98, "")</f>
        <v/>
      </c>
      <c r="AQ98" s="2" t="str">
        <f>IF(Source!$C98&gt;=COLUMNS($A98:AQ98), Source!$G98, "")</f>
        <v/>
      </c>
      <c r="AR98" s="2" t="str">
        <f>IF(Source!$C98&gt;=COLUMNS($A98:AR98), Source!$G98, "")</f>
        <v/>
      </c>
    </row>
    <row r="99">
      <c r="A99" s="2">
        <f>IF(Source!$C99&gt;=COLUMNS($A99:A99), Source!$G99, "")</f>
        <v>9</v>
      </c>
      <c r="B99" s="2">
        <f>IF(Source!$C99&gt;=COLUMNS($A99:B99), Source!$G99, "")</f>
        <v>9</v>
      </c>
      <c r="C99" s="2">
        <f>IF(Source!$C99&gt;=COLUMNS($A99:C99), Source!$G99, "")</f>
        <v>9</v>
      </c>
      <c r="D99" s="2">
        <f>IF(Source!$C99&gt;=COLUMNS($A99:D99), Source!$G99, "")</f>
        <v>9</v>
      </c>
      <c r="E99" s="2">
        <f>IF(Source!$C99&gt;=COLUMNS($A99:E99), Source!$G99, "")</f>
        <v>9</v>
      </c>
      <c r="F99" s="2">
        <f>IF(Source!$C99&gt;=COLUMNS($A99:F99), Source!$G99, "")</f>
        <v>9</v>
      </c>
      <c r="G99" s="2" t="str">
        <f>IF(Source!$C99&gt;=COLUMNS($A99:G99), Source!$G99, "")</f>
        <v/>
      </c>
      <c r="H99" s="2" t="str">
        <f>IF(Source!$C99&gt;=COLUMNS($A99:H99), Source!$G99, "")</f>
        <v/>
      </c>
      <c r="I99" s="2" t="str">
        <f>IF(Source!$C99&gt;=COLUMNS($A99:I99), Source!$G99, "")</f>
        <v/>
      </c>
      <c r="J99" s="2" t="str">
        <f>IF(Source!$C99&gt;=COLUMNS($A99:J99), Source!$G99, "")</f>
        <v/>
      </c>
      <c r="K99" s="2" t="str">
        <f>IF(Source!$C99&gt;=COLUMNS($A99:K99), Source!$G99, "")</f>
        <v/>
      </c>
      <c r="L99" s="2" t="str">
        <f>IF(Source!$C99&gt;=COLUMNS($A99:L99), Source!$G99, "")</f>
        <v/>
      </c>
      <c r="M99" s="2" t="str">
        <f>IF(Source!$C99&gt;=COLUMNS($A99:M99), Source!$G99, "")</f>
        <v/>
      </c>
      <c r="N99" s="2" t="str">
        <f>IF(Source!$C99&gt;=COLUMNS($A99:N99), Source!$G99, "")</f>
        <v/>
      </c>
      <c r="O99" s="2" t="str">
        <f>IF(Source!$C99&gt;=COLUMNS($A99:O99), Source!$G99, "")</f>
        <v/>
      </c>
      <c r="P99" s="2" t="str">
        <f>IF(Source!$C99&gt;=COLUMNS($A99:P99), Source!$G99, "")</f>
        <v/>
      </c>
      <c r="Q99" s="2" t="str">
        <f>IF(Source!$C99&gt;=COLUMNS($A99:Q99), Source!$G99, "")</f>
        <v/>
      </c>
      <c r="R99" s="2" t="str">
        <f>IF(Source!$C99&gt;=COLUMNS($A99:R99), Source!$G99, "")</f>
        <v/>
      </c>
      <c r="S99" s="2" t="str">
        <f>IF(Source!$C99&gt;=COLUMNS($A99:S99), Source!$G99, "")</f>
        <v/>
      </c>
      <c r="T99" s="2" t="str">
        <f>IF(Source!$C99&gt;=COLUMNS($A99:T99), Source!$G99, "")</f>
        <v/>
      </c>
      <c r="U99" s="2" t="str">
        <f>IF(Source!$C99&gt;=COLUMNS($A99:U99), Source!$G99, "")</f>
        <v/>
      </c>
      <c r="V99" s="2" t="str">
        <f>IF(Source!$C99&gt;=COLUMNS($A99:V99), Source!$G99, "")</f>
        <v/>
      </c>
      <c r="W99" s="2" t="str">
        <f>IF(Source!$C99&gt;=COLUMNS($A99:W99), Source!$G99, "")</f>
        <v/>
      </c>
      <c r="X99" s="2" t="str">
        <f>IF(Source!$C99&gt;=COLUMNS($A99:X99), Source!$G99, "")</f>
        <v/>
      </c>
      <c r="Y99" s="2" t="str">
        <f>IF(Source!$C99&gt;=COLUMNS($A99:Y99), Source!$G99, "")</f>
        <v/>
      </c>
      <c r="Z99" s="2" t="str">
        <f>IF(Source!$C99&gt;=COLUMNS($A99:Z99), Source!$G99, "")</f>
        <v/>
      </c>
      <c r="AA99" s="2" t="str">
        <f>IF(Source!$C99&gt;=COLUMNS($A99:AA99), Source!$G99, "")</f>
        <v/>
      </c>
      <c r="AB99" s="2" t="str">
        <f>IF(Source!$C99&gt;=COLUMNS($A99:AB99), Source!$G99, "")</f>
        <v/>
      </c>
      <c r="AC99" s="2" t="str">
        <f>IF(Source!$C99&gt;=COLUMNS($A99:AC99), Source!$G99, "")</f>
        <v/>
      </c>
      <c r="AD99" s="2" t="str">
        <f>IF(Source!$C99&gt;=COLUMNS($A99:AD99), Source!$G99, "")</f>
        <v/>
      </c>
      <c r="AE99" s="2" t="str">
        <f>IF(Source!$C99&gt;=COLUMNS($A99:AE99), Source!$G99, "")</f>
        <v/>
      </c>
      <c r="AF99" s="2" t="str">
        <f>IF(Source!$C99&gt;=COLUMNS($A99:AF99), Source!$G99, "")</f>
        <v/>
      </c>
      <c r="AG99" s="2" t="str">
        <f>IF(Source!$C99&gt;=COLUMNS($A99:AG99), Source!$G99, "")</f>
        <v/>
      </c>
      <c r="AH99" s="2" t="str">
        <f>IF(Source!$C99&gt;=COLUMNS($A99:AH99), Source!$G99, "")</f>
        <v/>
      </c>
      <c r="AI99" s="2" t="str">
        <f>IF(Source!$C99&gt;=COLUMNS($A99:AI99), Source!$G99, "")</f>
        <v/>
      </c>
      <c r="AJ99" s="2" t="str">
        <f>IF(Source!$C99&gt;=COLUMNS($A99:AJ99), Source!$G99, "")</f>
        <v/>
      </c>
      <c r="AK99" s="2" t="str">
        <f>IF(Source!$C99&gt;=COLUMNS($A99:AK99), Source!$G99, "")</f>
        <v/>
      </c>
      <c r="AL99" s="2" t="str">
        <f>IF(Source!$C99&gt;=COLUMNS($A99:AL99), Source!$G99, "")</f>
        <v/>
      </c>
      <c r="AM99" s="2" t="str">
        <f>IF(Source!$C99&gt;=COLUMNS($A99:AM99), Source!$G99, "")</f>
        <v/>
      </c>
      <c r="AN99" s="2" t="str">
        <f>IF(Source!$C99&gt;=COLUMNS($A99:AN99), Source!$G99, "")</f>
        <v/>
      </c>
      <c r="AO99" s="2" t="str">
        <f>IF(Source!$C99&gt;=COLUMNS($A99:AO99), Source!$G99, "")</f>
        <v/>
      </c>
      <c r="AP99" s="2" t="str">
        <f>IF(Source!$C99&gt;=COLUMNS($A99:AP99), Source!$G99, "")</f>
        <v/>
      </c>
      <c r="AQ99" s="2" t="str">
        <f>IF(Source!$C99&gt;=COLUMNS($A99:AQ99), Source!$G99, "")</f>
        <v/>
      </c>
      <c r="AR99" s="2" t="str">
        <f>IF(Source!$C99&gt;=COLUMNS($A99:AR99), Source!$G99, "")</f>
        <v/>
      </c>
    </row>
    <row r="100">
      <c r="A100" s="2">
        <f>IF(Source!$C100&gt;=COLUMNS($A100:A100), Source!$G100, "")</f>
        <v>2</v>
      </c>
      <c r="B100" s="2">
        <f>IF(Source!$C100&gt;=COLUMNS($A100:B100), Source!$G100, "")</f>
        <v>2</v>
      </c>
      <c r="C100" s="2">
        <f>IF(Source!$C100&gt;=COLUMNS($A100:C100), Source!$G100, "")</f>
        <v>2</v>
      </c>
      <c r="D100" s="2">
        <f>IF(Source!$C100&gt;=COLUMNS($A100:D100), Source!$G100, "")</f>
        <v>2</v>
      </c>
      <c r="E100" s="2">
        <f>IF(Source!$C100&gt;=COLUMNS($A100:E100), Source!$G100, "")</f>
        <v>2</v>
      </c>
      <c r="F100" s="2">
        <f>IF(Source!$C100&gt;=COLUMNS($A100:F100), Source!$G100, "")</f>
        <v>2</v>
      </c>
      <c r="G100" s="2" t="str">
        <f>IF(Source!$C100&gt;=COLUMNS($A100:G100), Source!$G100, "")</f>
        <v/>
      </c>
      <c r="H100" s="2" t="str">
        <f>IF(Source!$C100&gt;=COLUMNS($A100:H100), Source!$G100, "")</f>
        <v/>
      </c>
      <c r="I100" s="2" t="str">
        <f>IF(Source!$C100&gt;=COLUMNS($A100:I100), Source!$G100, "")</f>
        <v/>
      </c>
      <c r="J100" s="2" t="str">
        <f>IF(Source!$C100&gt;=COLUMNS($A100:J100), Source!$G100, "")</f>
        <v/>
      </c>
      <c r="K100" s="2" t="str">
        <f>IF(Source!$C100&gt;=COLUMNS($A100:K100), Source!$G100, "")</f>
        <v/>
      </c>
      <c r="L100" s="2" t="str">
        <f>IF(Source!$C100&gt;=COLUMNS($A100:L100), Source!$G100, "")</f>
        <v/>
      </c>
      <c r="M100" s="2" t="str">
        <f>IF(Source!$C100&gt;=COLUMNS($A100:M100), Source!$G100, "")</f>
        <v/>
      </c>
      <c r="N100" s="2" t="str">
        <f>IF(Source!$C100&gt;=COLUMNS($A100:N100), Source!$G100, "")</f>
        <v/>
      </c>
      <c r="O100" s="2" t="str">
        <f>IF(Source!$C100&gt;=COLUMNS($A100:O100), Source!$G100, "")</f>
        <v/>
      </c>
      <c r="P100" s="2" t="str">
        <f>IF(Source!$C100&gt;=COLUMNS($A100:P100), Source!$G100, "")</f>
        <v/>
      </c>
      <c r="Q100" s="2" t="str">
        <f>IF(Source!$C100&gt;=COLUMNS($A100:Q100), Source!$G100, "")</f>
        <v/>
      </c>
      <c r="R100" s="2" t="str">
        <f>IF(Source!$C100&gt;=COLUMNS($A100:R100), Source!$G100, "")</f>
        <v/>
      </c>
      <c r="S100" s="2" t="str">
        <f>IF(Source!$C100&gt;=COLUMNS($A100:S100), Source!$G100, "")</f>
        <v/>
      </c>
      <c r="T100" s="2" t="str">
        <f>IF(Source!$C100&gt;=COLUMNS($A100:T100), Source!$G100, "")</f>
        <v/>
      </c>
      <c r="U100" s="2" t="str">
        <f>IF(Source!$C100&gt;=COLUMNS($A100:U100), Source!$G100, "")</f>
        <v/>
      </c>
      <c r="V100" s="2" t="str">
        <f>IF(Source!$C100&gt;=COLUMNS($A100:V100), Source!$G100, "")</f>
        <v/>
      </c>
      <c r="W100" s="2" t="str">
        <f>IF(Source!$C100&gt;=COLUMNS($A100:W100), Source!$G100, "")</f>
        <v/>
      </c>
      <c r="X100" s="2" t="str">
        <f>IF(Source!$C100&gt;=COLUMNS($A100:X100), Source!$G100, "")</f>
        <v/>
      </c>
      <c r="Y100" s="2" t="str">
        <f>IF(Source!$C100&gt;=COLUMNS($A100:Y100), Source!$G100, "")</f>
        <v/>
      </c>
      <c r="Z100" s="2" t="str">
        <f>IF(Source!$C100&gt;=COLUMNS($A100:Z100), Source!$G100, "")</f>
        <v/>
      </c>
      <c r="AA100" s="2" t="str">
        <f>IF(Source!$C100&gt;=COLUMNS($A100:AA100), Source!$G100, "")</f>
        <v/>
      </c>
      <c r="AB100" s="2" t="str">
        <f>IF(Source!$C100&gt;=COLUMNS($A100:AB100), Source!$G100, "")</f>
        <v/>
      </c>
      <c r="AC100" s="2" t="str">
        <f>IF(Source!$C100&gt;=COLUMNS($A100:AC100), Source!$G100, "")</f>
        <v/>
      </c>
      <c r="AD100" s="2" t="str">
        <f>IF(Source!$C100&gt;=COLUMNS($A100:AD100), Source!$G100, "")</f>
        <v/>
      </c>
      <c r="AE100" s="2" t="str">
        <f>IF(Source!$C100&gt;=COLUMNS($A100:AE100), Source!$G100, "")</f>
        <v/>
      </c>
      <c r="AF100" s="2" t="str">
        <f>IF(Source!$C100&gt;=COLUMNS($A100:AF100), Source!$G100, "")</f>
        <v/>
      </c>
      <c r="AG100" s="2" t="str">
        <f>IF(Source!$C100&gt;=COLUMNS($A100:AG100), Source!$G100, "")</f>
        <v/>
      </c>
      <c r="AH100" s="2" t="str">
        <f>IF(Source!$C100&gt;=COLUMNS($A100:AH100), Source!$G100, "")</f>
        <v/>
      </c>
      <c r="AI100" s="2" t="str">
        <f>IF(Source!$C100&gt;=COLUMNS($A100:AI100), Source!$G100, "")</f>
        <v/>
      </c>
      <c r="AJ100" s="2" t="str">
        <f>IF(Source!$C100&gt;=COLUMNS($A100:AJ100), Source!$G100, "")</f>
        <v/>
      </c>
      <c r="AK100" s="2" t="str">
        <f>IF(Source!$C100&gt;=COLUMNS($A100:AK100), Source!$G100, "")</f>
        <v/>
      </c>
      <c r="AL100" s="2" t="str">
        <f>IF(Source!$C100&gt;=COLUMNS($A100:AL100), Source!$G100, "")</f>
        <v/>
      </c>
      <c r="AM100" s="2" t="str">
        <f>IF(Source!$C100&gt;=COLUMNS($A100:AM100), Source!$G100, "")</f>
        <v/>
      </c>
      <c r="AN100" s="2" t="str">
        <f>IF(Source!$C100&gt;=COLUMNS($A100:AN100), Source!$G100, "")</f>
        <v/>
      </c>
      <c r="AO100" s="2" t="str">
        <f>IF(Source!$C100&gt;=COLUMNS($A100:AO100), Source!$G100, "")</f>
        <v/>
      </c>
      <c r="AP100" s="2" t="str">
        <f>IF(Source!$C100&gt;=COLUMNS($A100:AP100), Source!$G100, "")</f>
        <v/>
      </c>
      <c r="AQ100" s="2" t="str">
        <f>IF(Source!$C100&gt;=COLUMNS($A100:AQ100), Source!$G100, "")</f>
        <v/>
      </c>
      <c r="AR100" s="2" t="str">
        <f>IF(Source!$C100&gt;=COLUMNS($A100:AR100), Source!$G100, "")</f>
        <v/>
      </c>
    </row>
    <row r="101">
      <c r="A101" s="2">
        <f>IF(Source!$C101&gt;=COLUMNS($A101:A101), Source!$G101, "")</f>
        <v>8</v>
      </c>
      <c r="B101" s="2">
        <f>IF(Source!$C101&gt;=COLUMNS($A101:B101), Source!$G101, "")</f>
        <v>8</v>
      </c>
      <c r="C101" s="2" t="str">
        <f>IF(Source!$C101&gt;=COLUMNS($A101:C101), Source!$G101, "")</f>
        <v/>
      </c>
      <c r="D101" s="2" t="str">
        <f>IF(Source!$C101&gt;=COLUMNS($A101:D101), Source!$G101, "")</f>
        <v/>
      </c>
      <c r="E101" s="2" t="str">
        <f>IF(Source!$C101&gt;=COLUMNS($A101:E101), Source!$G101, "")</f>
        <v/>
      </c>
      <c r="F101" s="2" t="str">
        <f>IF(Source!$C101&gt;=COLUMNS($A101:F101), Source!$G101, "")</f>
        <v/>
      </c>
      <c r="G101" s="2" t="str">
        <f>IF(Source!$C101&gt;=COLUMNS($A101:G101), Source!$G101, "")</f>
        <v/>
      </c>
      <c r="H101" s="2" t="str">
        <f>IF(Source!$C101&gt;=COLUMNS($A101:H101), Source!$G101, "")</f>
        <v/>
      </c>
      <c r="I101" s="2" t="str">
        <f>IF(Source!$C101&gt;=COLUMNS($A101:I101), Source!$G101, "")</f>
        <v/>
      </c>
      <c r="J101" s="2" t="str">
        <f>IF(Source!$C101&gt;=COLUMNS($A101:J101), Source!$G101, "")</f>
        <v/>
      </c>
      <c r="K101" s="2" t="str">
        <f>IF(Source!$C101&gt;=COLUMNS($A101:K101), Source!$G101, "")</f>
        <v/>
      </c>
      <c r="L101" s="2" t="str">
        <f>IF(Source!$C101&gt;=COLUMNS($A101:L101), Source!$G101, "")</f>
        <v/>
      </c>
      <c r="M101" s="2" t="str">
        <f>IF(Source!$C101&gt;=COLUMNS($A101:M101), Source!$G101, "")</f>
        <v/>
      </c>
      <c r="N101" s="2" t="str">
        <f>IF(Source!$C101&gt;=COLUMNS($A101:N101), Source!$G101, "")</f>
        <v/>
      </c>
      <c r="O101" s="2" t="str">
        <f>IF(Source!$C101&gt;=COLUMNS($A101:O101), Source!$G101, "")</f>
        <v/>
      </c>
      <c r="P101" s="2" t="str">
        <f>IF(Source!$C101&gt;=COLUMNS($A101:P101), Source!$G101, "")</f>
        <v/>
      </c>
      <c r="Q101" s="2" t="str">
        <f>IF(Source!$C101&gt;=COLUMNS($A101:Q101), Source!$G101, "")</f>
        <v/>
      </c>
      <c r="R101" s="2" t="str">
        <f>IF(Source!$C101&gt;=COLUMNS($A101:R101), Source!$G101, "")</f>
        <v/>
      </c>
      <c r="S101" s="2" t="str">
        <f>IF(Source!$C101&gt;=COLUMNS($A101:S101), Source!$G101, "")</f>
        <v/>
      </c>
      <c r="T101" s="2" t="str">
        <f>IF(Source!$C101&gt;=COLUMNS($A101:T101), Source!$G101, "")</f>
        <v/>
      </c>
      <c r="U101" s="2" t="str">
        <f>IF(Source!$C101&gt;=COLUMNS($A101:U101), Source!$G101, "")</f>
        <v/>
      </c>
      <c r="V101" s="2" t="str">
        <f>IF(Source!$C101&gt;=COLUMNS($A101:V101), Source!$G101, "")</f>
        <v/>
      </c>
      <c r="W101" s="2" t="str">
        <f>IF(Source!$C101&gt;=COLUMNS($A101:W101), Source!$G101, "")</f>
        <v/>
      </c>
      <c r="X101" s="2" t="str">
        <f>IF(Source!$C101&gt;=COLUMNS($A101:X101), Source!$G101, "")</f>
        <v/>
      </c>
      <c r="Y101" s="2" t="str">
        <f>IF(Source!$C101&gt;=COLUMNS($A101:Y101), Source!$G101, "")</f>
        <v/>
      </c>
      <c r="Z101" s="2" t="str">
        <f>IF(Source!$C101&gt;=COLUMNS($A101:Z101), Source!$G101, "")</f>
        <v/>
      </c>
      <c r="AA101" s="2" t="str">
        <f>IF(Source!$C101&gt;=COLUMNS($A101:AA101), Source!$G101, "")</f>
        <v/>
      </c>
      <c r="AB101" s="2" t="str">
        <f>IF(Source!$C101&gt;=COLUMNS($A101:AB101), Source!$G101, "")</f>
        <v/>
      </c>
      <c r="AC101" s="2" t="str">
        <f>IF(Source!$C101&gt;=COLUMNS($A101:AC101), Source!$G101, "")</f>
        <v/>
      </c>
      <c r="AD101" s="2" t="str">
        <f>IF(Source!$C101&gt;=COLUMNS($A101:AD101), Source!$G101, "")</f>
        <v/>
      </c>
      <c r="AE101" s="2" t="str">
        <f>IF(Source!$C101&gt;=COLUMNS($A101:AE101), Source!$G101, "")</f>
        <v/>
      </c>
      <c r="AF101" s="2" t="str">
        <f>IF(Source!$C101&gt;=COLUMNS($A101:AF101), Source!$G101, "")</f>
        <v/>
      </c>
      <c r="AG101" s="2" t="str">
        <f>IF(Source!$C101&gt;=COLUMNS($A101:AG101), Source!$G101, "")</f>
        <v/>
      </c>
      <c r="AH101" s="2" t="str">
        <f>IF(Source!$C101&gt;=COLUMNS($A101:AH101), Source!$G101, "")</f>
        <v/>
      </c>
      <c r="AI101" s="2" t="str">
        <f>IF(Source!$C101&gt;=COLUMNS($A101:AI101), Source!$G101, "")</f>
        <v/>
      </c>
      <c r="AJ101" s="2" t="str">
        <f>IF(Source!$C101&gt;=COLUMNS($A101:AJ101), Source!$G101, "")</f>
        <v/>
      </c>
      <c r="AK101" s="2" t="str">
        <f>IF(Source!$C101&gt;=COLUMNS($A101:AK101), Source!$G101, "")</f>
        <v/>
      </c>
      <c r="AL101" s="2" t="str">
        <f>IF(Source!$C101&gt;=COLUMNS($A101:AL101), Source!$G101, "")</f>
        <v/>
      </c>
      <c r="AM101" s="2" t="str">
        <f>IF(Source!$C101&gt;=COLUMNS($A101:AM101), Source!$G101, "")</f>
        <v/>
      </c>
      <c r="AN101" s="2" t="str">
        <f>IF(Source!$C101&gt;=COLUMNS($A101:AN101), Source!$G101, "")</f>
        <v/>
      </c>
      <c r="AO101" s="2" t="str">
        <f>IF(Source!$C101&gt;=COLUMNS($A101:AO101), Source!$G101, "")</f>
        <v/>
      </c>
      <c r="AP101" s="2" t="str">
        <f>IF(Source!$C101&gt;=COLUMNS($A101:AP101), Source!$G101, "")</f>
        <v/>
      </c>
      <c r="AQ101" s="2" t="str">
        <f>IF(Source!$C101&gt;=COLUMNS($A101:AQ101), Source!$G101, "")</f>
        <v/>
      </c>
      <c r="AR101" s="2" t="str">
        <f>IF(Source!$C101&gt;=COLUMNS($A101:AR101), Source!$G101, "")</f>
        <v/>
      </c>
    </row>
    <row r="102">
      <c r="A102" s="2">
        <f>IF(Source!$C102&gt;=COLUMNS($A102:A102), Source!$G102, "")</f>
        <v>5</v>
      </c>
      <c r="B102" s="2">
        <f>IF(Source!$C102&gt;=COLUMNS($A102:B102), Source!$G102, "")</f>
        <v>5</v>
      </c>
      <c r="C102" s="2">
        <f>IF(Source!$C102&gt;=COLUMNS($A102:C102), Source!$G102, "")</f>
        <v>5</v>
      </c>
      <c r="D102" s="2">
        <f>IF(Source!$C102&gt;=COLUMNS($A102:D102), Source!$G102, "")</f>
        <v>5</v>
      </c>
      <c r="E102" s="2">
        <f>IF(Source!$C102&gt;=COLUMNS($A102:E102), Source!$G102, "")</f>
        <v>5</v>
      </c>
      <c r="F102" s="2">
        <f>IF(Source!$C102&gt;=COLUMNS($A102:F102), Source!$G102, "")</f>
        <v>5</v>
      </c>
      <c r="G102" s="2">
        <f>IF(Source!$C102&gt;=COLUMNS($A102:G102), Source!$G102, "")</f>
        <v>5</v>
      </c>
      <c r="H102" s="2" t="str">
        <f>IF(Source!$C102&gt;=COLUMNS($A102:H102), Source!$G102, "")</f>
        <v/>
      </c>
      <c r="I102" s="2" t="str">
        <f>IF(Source!$C102&gt;=COLUMNS($A102:I102), Source!$G102, "")</f>
        <v/>
      </c>
      <c r="J102" s="2" t="str">
        <f>IF(Source!$C102&gt;=COLUMNS($A102:J102), Source!$G102, "")</f>
        <v/>
      </c>
      <c r="K102" s="2" t="str">
        <f>IF(Source!$C102&gt;=COLUMNS($A102:K102), Source!$G102, "")</f>
        <v/>
      </c>
      <c r="L102" s="2" t="str">
        <f>IF(Source!$C102&gt;=COLUMNS($A102:L102), Source!$G102, "")</f>
        <v/>
      </c>
      <c r="M102" s="2" t="str">
        <f>IF(Source!$C102&gt;=COLUMNS($A102:M102), Source!$G102, "")</f>
        <v/>
      </c>
      <c r="N102" s="2" t="str">
        <f>IF(Source!$C102&gt;=COLUMNS($A102:N102), Source!$G102, "")</f>
        <v/>
      </c>
      <c r="O102" s="2" t="str">
        <f>IF(Source!$C102&gt;=COLUMNS($A102:O102), Source!$G102, "")</f>
        <v/>
      </c>
      <c r="P102" s="2" t="str">
        <f>IF(Source!$C102&gt;=COLUMNS($A102:P102), Source!$G102, "")</f>
        <v/>
      </c>
      <c r="Q102" s="2" t="str">
        <f>IF(Source!$C102&gt;=COLUMNS($A102:Q102), Source!$G102, "")</f>
        <v/>
      </c>
      <c r="R102" s="2" t="str">
        <f>IF(Source!$C102&gt;=COLUMNS($A102:R102), Source!$G102, "")</f>
        <v/>
      </c>
      <c r="S102" s="2" t="str">
        <f>IF(Source!$C102&gt;=COLUMNS($A102:S102), Source!$G102, "")</f>
        <v/>
      </c>
      <c r="T102" s="2" t="str">
        <f>IF(Source!$C102&gt;=COLUMNS($A102:T102), Source!$G102, "")</f>
        <v/>
      </c>
      <c r="U102" s="2" t="str">
        <f>IF(Source!$C102&gt;=COLUMNS($A102:U102), Source!$G102, "")</f>
        <v/>
      </c>
      <c r="V102" s="2" t="str">
        <f>IF(Source!$C102&gt;=COLUMNS($A102:V102), Source!$G102, "")</f>
        <v/>
      </c>
      <c r="W102" s="2" t="str">
        <f>IF(Source!$C102&gt;=COLUMNS($A102:W102), Source!$G102, "")</f>
        <v/>
      </c>
      <c r="X102" s="2" t="str">
        <f>IF(Source!$C102&gt;=COLUMNS($A102:X102), Source!$G102, "")</f>
        <v/>
      </c>
      <c r="Y102" s="2" t="str">
        <f>IF(Source!$C102&gt;=COLUMNS($A102:Y102), Source!$G102, "")</f>
        <v/>
      </c>
      <c r="Z102" s="2" t="str">
        <f>IF(Source!$C102&gt;=COLUMNS($A102:Z102), Source!$G102, "")</f>
        <v/>
      </c>
      <c r="AA102" s="2" t="str">
        <f>IF(Source!$C102&gt;=COLUMNS($A102:AA102), Source!$G102, "")</f>
        <v/>
      </c>
      <c r="AB102" s="2" t="str">
        <f>IF(Source!$C102&gt;=COLUMNS($A102:AB102), Source!$G102, "")</f>
        <v/>
      </c>
      <c r="AC102" s="2" t="str">
        <f>IF(Source!$C102&gt;=COLUMNS($A102:AC102), Source!$G102, "")</f>
        <v/>
      </c>
      <c r="AD102" s="2" t="str">
        <f>IF(Source!$C102&gt;=COLUMNS($A102:AD102), Source!$G102, "")</f>
        <v/>
      </c>
      <c r="AE102" s="2" t="str">
        <f>IF(Source!$C102&gt;=COLUMNS($A102:AE102), Source!$G102, "")</f>
        <v/>
      </c>
      <c r="AF102" s="2" t="str">
        <f>IF(Source!$C102&gt;=COLUMNS($A102:AF102), Source!$G102, "")</f>
        <v/>
      </c>
      <c r="AG102" s="2" t="str">
        <f>IF(Source!$C102&gt;=COLUMNS($A102:AG102), Source!$G102, "")</f>
        <v/>
      </c>
      <c r="AH102" s="2" t="str">
        <f>IF(Source!$C102&gt;=COLUMNS($A102:AH102), Source!$G102, "")</f>
        <v/>
      </c>
      <c r="AI102" s="2" t="str">
        <f>IF(Source!$C102&gt;=COLUMNS($A102:AI102), Source!$G102, "")</f>
        <v/>
      </c>
      <c r="AJ102" s="2" t="str">
        <f>IF(Source!$C102&gt;=COLUMNS($A102:AJ102), Source!$G102, "")</f>
        <v/>
      </c>
      <c r="AK102" s="2" t="str">
        <f>IF(Source!$C102&gt;=COLUMNS($A102:AK102), Source!$G102, "")</f>
        <v/>
      </c>
      <c r="AL102" s="2" t="str">
        <f>IF(Source!$C102&gt;=COLUMNS($A102:AL102), Source!$G102, "")</f>
        <v/>
      </c>
      <c r="AM102" s="2" t="str">
        <f>IF(Source!$C102&gt;=COLUMNS($A102:AM102), Source!$G102, "")</f>
        <v/>
      </c>
      <c r="AN102" s="2" t="str">
        <f>IF(Source!$C102&gt;=COLUMNS($A102:AN102), Source!$G102, "")</f>
        <v/>
      </c>
      <c r="AO102" s="2" t="str">
        <f>IF(Source!$C102&gt;=COLUMNS($A102:AO102), Source!$G102, "")</f>
        <v/>
      </c>
      <c r="AP102" s="2" t="str">
        <f>IF(Source!$C102&gt;=COLUMNS($A102:AP102), Source!$G102, "")</f>
        <v/>
      </c>
      <c r="AQ102" s="2" t="str">
        <f>IF(Source!$C102&gt;=COLUMNS($A102:AQ102), Source!$G102, "")</f>
        <v/>
      </c>
      <c r="AR102" s="2" t="str">
        <f>IF(Source!$C102&gt;=COLUMNS($A102:AR102), Source!$G102, "")</f>
        <v/>
      </c>
    </row>
    <row r="103">
      <c r="A103" s="2">
        <f>IF(Source!$C103&gt;=COLUMNS($A103:A103), Source!$G103, "")</f>
        <v>8</v>
      </c>
      <c r="B103" s="2" t="str">
        <f>IF(Source!$C103&gt;=COLUMNS($A103:B103), Source!$G103, "")</f>
        <v/>
      </c>
      <c r="C103" s="2" t="str">
        <f>IF(Source!$C103&gt;=COLUMNS($A103:C103), Source!$G103, "")</f>
        <v/>
      </c>
      <c r="D103" s="2" t="str">
        <f>IF(Source!$C103&gt;=COLUMNS($A103:D103), Source!$G103, "")</f>
        <v/>
      </c>
      <c r="E103" s="2" t="str">
        <f>IF(Source!$C103&gt;=COLUMNS($A103:E103), Source!$G103, "")</f>
        <v/>
      </c>
      <c r="F103" s="2" t="str">
        <f>IF(Source!$C103&gt;=COLUMNS($A103:F103), Source!$G103, "")</f>
        <v/>
      </c>
      <c r="G103" s="2" t="str">
        <f>IF(Source!$C103&gt;=COLUMNS($A103:G103), Source!$G103, "")</f>
        <v/>
      </c>
      <c r="H103" s="2" t="str">
        <f>IF(Source!$C103&gt;=COLUMNS($A103:H103), Source!$G103, "")</f>
        <v/>
      </c>
      <c r="I103" s="2" t="str">
        <f>IF(Source!$C103&gt;=COLUMNS($A103:I103), Source!$G103, "")</f>
        <v/>
      </c>
      <c r="J103" s="2" t="str">
        <f>IF(Source!$C103&gt;=COLUMNS($A103:J103), Source!$G103, "")</f>
        <v/>
      </c>
      <c r="K103" s="2" t="str">
        <f>IF(Source!$C103&gt;=COLUMNS($A103:K103), Source!$G103, "")</f>
        <v/>
      </c>
      <c r="L103" s="2" t="str">
        <f>IF(Source!$C103&gt;=COLUMNS($A103:L103), Source!$G103, "")</f>
        <v/>
      </c>
      <c r="M103" s="2" t="str">
        <f>IF(Source!$C103&gt;=COLUMNS($A103:M103), Source!$G103, "")</f>
        <v/>
      </c>
      <c r="N103" s="2" t="str">
        <f>IF(Source!$C103&gt;=COLUMNS($A103:N103), Source!$G103, "")</f>
        <v/>
      </c>
      <c r="O103" s="2" t="str">
        <f>IF(Source!$C103&gt;=COLUMNS($A103:O103), Source!$G103, "")</f>
        <v/>
      </c>
      <c r="P103" s="2" t="str">
        <f>IF(Source!$C103&gt;=COLUMNS($A103:P103), Source!$G103, "")</f>
        <v/>
      </c>
      <c r="Q103" s="2" t="str">
        <f>IF(Source!$C103&gt;=COLUMNS($A103:Q103), Source!$G103, "")</f>
        <v/>
      </c>
      <c r="R103" s="2" t="str">
        <f>IF(Source!$C103&gt;=COLUMNS($A103:R103), Source!$G103, "")</f>
        <v/>
      </c>
      <c r="S103" s="2" t="str">
        <f>IF(Source!$C103&gt;=COLUMNS($A103:S103), Source!$G103, "")</f>
        <v/>
      </c>
      <c r="T103" s="2" t="str">
        <f>IF(Source!$C103&gt;=COLUMNS($A103:T103), Source!$G103, "")</f>
        <v/>
      </c>
      <c r="U103" s="2" t="str">
        <f>IF(Source!$C103&gt;=COLUMNS($A103:U103), Source!$G103, "")</f>
        <v/>
      </c>
      <c r="V103" s="2" t="str">
        <f>IF(Source!$C103&gt;=COLUMNS($A103:V103), Source!$G103, "")</f>
        <v/>
      </c>
      <c r="W103" s="2" t="str">
        <f>IF(Source!$C103&gt;=COLUMNS($A103:W103), Source!$G103, "")</f>
        <v/>
      </c>
      <c r="X103" s="2" t="str">
        <f>IF(Source!$C103&gt;=COLUMNS($A103:X103), Source!$G103, "")</f>
        <v/>
      </c>
      <c r="Y103" s="2" t="str">
        <f>IF(Source!$C103&gt;=COLUMNS($A103:Y103), Source!$G103, "")</f>
        <v/>
      </c>
      <c r="Z103" s="2" t="str">
        <f>IF(Source!$C103&gt;=COLUMNS($A103:Z103), Source!$G103, "")</f>
        <v/>
      </c>
      <c r="AA103" s="2" t="str">
        <f>IF(Source!$C103&gt;=COLUMNS($A103:AA103), Source!$G103, "")</f>
        <v/>
      </c>
      <c r="AB103" s="2" t="str">
        <f>IF(Source!$C103&gt;=COLUMNS($A103:AB103), Source!$G103, "")</f>
        <v/>
      </c>
      <c r="AC103" s="2" t="str">
        <f>IF(Source!$C103&gt;=COLUMNS($A103:AC103), Source!$G103, "")</f>
        <v/>
      </c>
      <c r="AD103" s="2" t="str">
        <f>IF(Source!$C103&gt;=COLUMNS($A103:AD103), Source!$G103, "")</f>
        <v/>
      </c>
      <c r="AE103" s="2" t="str">
        <f>IF(Source!$C103&gt;=COLUMNS($A103:AE103), Source!$G103, "")</f>
        <v/>
      </c>
      <c r="AF103" s="2" t="str">
        <f>IF(Source!$C103&gt;=COLUMNS($A103:AF103), Source!$G103, "")</f>
        <v/>
      </c>
      <c r="AG103" s="2" t="str">
        <f>IF(Source!$C103&gt;=COLUMNS($A103:AG103), Source!$G103, "")</f>
        <v/>
      </c>
      <c r="AH103" s="2" t="str">
        <f>IF(Source!$C103&gt;=COLUMNS($A103:AH103), Source!$G103, "")</f>
        <v/>
      </c>
      <c r="AI103" s="2" t="str">
        <f>IF(Source!$C103&gt;=COLUMNS($A103:AI103), Source!$G103, "")</f>
        <v/>
      </c>
      <c r="AJ103" s="2" t="str">
        <f>IF(Source!$C103&gt;=COLUMNS($A103:AJ103), Source!$G103, "")</f>
        <v/>
      </c>
      <c r="AK103" s="2" t="str">
        <f>IF(Source!$C103&gt;=COLUMNS($A103:AK103), Source!$G103, "")</f>
        <v/>
      </c>
      <c r="AL103" s="2" t="str">
        <f>IF(Source!$C103&gt;=COLUMNS($A103:AL103), Source!$G103, "")</f>
        <v/>
      </c>
      <c r="AM103" s="2" t="str">
        <f>IF(Source!$C103&gt;=COLUMNS($A103:AM103), Source!$G103, "")</f>
        <v/>
      </c>
      <c r="AN103" s="2" t="str">
        <f>IF(Source!$C103&gt;=COLUMNS($A103:AN103), Source!$G103, "")</f>
        <v/>
      </c>
      <c r="AO103" s="2" t="str">
        <f>IF(Source!$C103&gt;=COLUMNS($A103:AO103), Source!$G103, "")</f>
        <v/>
      </c>
      <c r="AP103" s="2" t="str">
        <f>IF(Source!$C103&gt;=COLUMNS($A103:AP103), Source!$G103, "")</f>
        <v/>
      </c>
      <c r="AQ103" s="2" t="str">
        <f>IF(Source!$C103&gt;=COLUMNS($A103:AQ103), Source!$G103, "")</f>
        <v/>
      </c>
      <c r="AR103" s="2" t="str">
        <f>IF(Source!$C103&gt;=COLUMNS($A103:AR103), Source!$G103, "")</f>
        <v/>
      </c>
    </row>
    <row r="104">
      <c r="A104" s="2">
        <f>IF(Source!$C104&gt;=COLUMNS($A104:A104), Source!$G104, "")</f>
        <v>6</v>
      </c>
      <c r="B104" s="2">
        <f>IF(Source!$C104&gt;=COLUMNS($A104:B104), Source!$G104, "")</f>
        <v>6</v>
      </c>
      <c r="C104" s="2" t="str">
        <f>IF(Source!$C104&gt;=COLUMNS($A104:C104), Source!$G104, "")</f>
        <v/>
      </c>
      <c r="D104" s="2" t="str">
        <f>IF(Source!$C104&gt;=COLUMNS($A104:D104), Source!$G104, "")</f>
        <v/>
      </c>
      <c r="E104" s="2" t="str">
        <f>IF(Source!$C104&gt;=COLUMNS($A104:E104), Source!$G104, "")</f>
        <v/>
      </c>
      <c r="F104" s="2" t="str">
        <f>IF(Source!$C104&gt;=COLUMNS($A104:F104), Source!$G104, "")</f>
        <v/>
      </c>
      <c r="G104" s="2" t="str">
        <f>IF(Source!$C104&gt;=COLUMNS($A104:G104), Source!$G104, "")</f>
        <v/>
      </c>
      <c r="H104" s="2" t="str">
        <f>IF(Source!$C104&gt;=COLUMNS($A104:H104), Source!$G104, "")</f>
        <v/>
      </c>
      <c r="I104" s="2" t="str">
        <f>IF(Source!$C104&gt;=COLUMNS($A104:I104), Source!$G104, "")</f>
        <v/>
      </c>
      <c r="J104" s="2" t="str">
        <f>IF(Source!$C104&gt;=COLUMNS($A104:J104), Source!$G104, "")</f>
        <v/>
      </c>
      <c r="K104" s="2" t="str">
        <f>IF(Source!$C104&gt;=COLUMNS($A104:K104), Source!$G104, "")</f>
        <v/>
      </c>
      <c r="L104" s="2" t="str">
        <f>IF(Source!$C104&gt;=COLUMNS($A104:L104), Source!$G104, "")</f>
        <v/>
      </c>
      <c r="M104" s="2" t="str">
        <f>IF(Source!$C104&gt;=COLUMNS($A104:M104), Source!$G104, "")</f>
        <v/>
      </c>
      <c r="N104" s="2" t="str">
        <f>IF(Source!$C104&gt;=COLUMNS($A104:N104), Source!$G104, "")</f>
        <v/>
      </c>
      <c r="O104" s="2" t="str">
        <f>IF(Source!$C104&gt;=COLUMNS($A104:O104), Source!$G104, "")</f>
        <v/>
      </c>
      <c r="P104" s="2" t="str">
        <f>IF(Source!$C104&gt;=COLUMNS($A104:P104), Source!$G104, "")</f>
        <v/>
      </c>
      <c r="Q104" s="2" t="str">
        <f>IF(Source!$C104&gt;=COLUMNS($A104:Q104), Source!$G104, "")</f>
        <v/>
      </c>
      <c r="R104" s="2" t="str">
        <f>IF(Source!$C104&gt;=COLUMNS($A104:R104), Source!$G104, "")</f>
        <v/>
      </c>
      <c r="S104" s="2" t="str">
        <f>IF(Source!$C104&gt;=COLUMNS($A104:S104), Source!$G104, "")</f>
        <v/>
      </c>
      <c r="T104" s="2" t="str">
        <f>IF(Source!$C104&gt;=COLUMNS($A104:T104), Source!$G104, "")</f>
        <v/>
      </c>
      <c r="U104" s="2" t="str">
        <f>IF(Source!$C104&gt;=COLUMNS($A104:U104), Source!$G104, "")</f>
        <v/>
      </c>
      <c r="V104" s="2" t="str">
        <f>IF(Source!$C104&gt;=COLUMNS($A104:V104), Source!$G104, "")</f>
        <v/>
      </c>
      <c r="W104" s="2" t="str">
        <f>IF(Source!$C104&gt;=COLUMNS($A104:W104), Source!$G104, "")</f>
        <v/>
      </c>
      <c r="X104" s="2" t="str">
        <f>IF(Source!$C104&gt;=COLUMNS($A104:X104), Source!$G104, "")</f>
        <v/>
      </c>
      <c r="Y104" s="2" t="str">
        <f>IF(Source!$C104&gt;=COLUMNS($A104:Y104), Source!$G104, "")</f>
        <v/>
      </c>
      <c r="Z104" s="2" t="str">
        <f>IF(Source!$C104&gt;=COLUMNS($A104:Z104), Source!$G104, "")</f>
        <v/>
      </c>
      <c r="AA104" s="2" t="str">
        <f>IF(Source!$C104&gt;=COLUMNS($A104:AA104), Source!$G104, "")</f>
        <v/>
      </c>
      <c r="AB104" s="2" t="str">
        <f>IF(Source!$C104&gt;=COLUMNS($A104:AB104), Source!$G104, "")</f>
        <v/>
      </c>
      <c r="AC104" s="2" t="str">
        <f>IF(Source!$C104&gt;=COLUMNS($A104:AC104), Source!$G104, "")</f>
        <v/>
      </c>
      <c r="AD104" s="2" t="str">
        <f>IF(Source!$C104&gt;=COLUMNS($A104:AD104), Source!$G104, "")</f>
        <v/>
      </c>
      <c r="AE104" s="2" t="str">
        <f>IF(Source!$C104&gt;=COLUMNS($A104:AE104), Source!$G104, "")</f>
        <v/>
      </c>
      <c r="AF104" s="2" t="str">
        <f>IF(Source!$C104&gt;=COLUMNS($A104:AF104), Source!$G104, "")</f>
        <v/>
      </c>
      <c r="AG104" s="2" t="str">
        <f>IF(Source!$C104&gt;=COLUMNS($A104:AG104), Source!$G104, "")</f>
        <v/>
      </c>
      <c r="AH104" s="2" t="str">
        <f>IF(Source!$C104&gt;=COLUMNS($A104:AH104), Source!$G104, "")</f>
        <v/>
      </c>
      <c r="AI104" s="2" t="str">
        <f>IF(Source!$C104&gt;=COLUMNS($A104:AI104), Source!$G104, "")</f>
        <v/>
      </c>
      <c r="AJ104" s="2" t="str">
        <f>IF(Source!$C104&gt;=COLUMNS($A104:AJ104), Source!$G104, "")</f>
        <v/>
      </c>
      <c r="AK104" s="2" t="str">
        <f>IF(Source!$C104&gt;=COLUMNS($A104:AK104), Source!$G104, "")</f>
        <v/>
      </c>
      <c r="AL104" s="2" t="str">
        <f>IF(Source!$C104&gt;=COLUMNS($A104:AL104), Source!$G104, "")</f>
        <v/>
      </c>
      <c r="AM104" s="2" t="str">
        <f>IF(Source!$C104&gt;=COLUMNS($A104:AM104), Source!$G104, "")</f>
        <v/>
      </c>
      <c r="AN104" s="2" t="str">
        <f>IF(Source!$C104&gt;=COLUMNS($A104:AN104), Source!$G104, "")</f>
        <v/>
      </c>
      <c r="AO104" s="2" t="str">
        <f>IF(Source!$C104&gt;=COLUMNS($A104:AO104), Source!$G104, "")</f>
        <v/>
      </c>
      <c r="AP104" s="2" t="str">
        <f>IF(Source!$C104&gt;=COLUMNS($A104:AP104), Source!$G104, "")</f>
        <v/>
      </c>
      <c r="AQ104" s="2" t="str">
        <f>IF(Source!$C104&gt;=COLUMNS($A104:AQ104), Source!$G104, "")</f>
        <v/>
      </c>
      <c r="AR104" s="2" t="str">
        <f>IF(Source!$C104&gt;=COLUMNS($A104:AR104), Source!$G104, "")</f>
        <v/>
      </c>
    </row>
    <row r="105">
      <c r="A105" s="2">
        <f>IF(Source!$C105&gt;=COLUMNS($A105:A105), Source!$G105, "")</f>
        <v>6</v>
      </c>
      <c r="B105" s="2">
        <f>IF(Source!$C105&gt;=COLUMNS($A105:B105), Source!$G105, "")</f>
        <v>6</v>
      </c>
      <c r="C105" s="2">
        <f>IF(Source!$C105&gt;=COLUMNS($A105:C105), Source!$G105, "")</f>
        <v>6</v>
      </c>
      <c r="D105" s="2">
        <f>IF(Source!$C105&gt;=COLUMNS($A105:D105), Source!$G105, "")</f>
        <v>6</v>
      </c>
      <c r="E105" s="2">
        <f>IF(Source!$C105&gt;=COLUMNS($A105:E105), Source!$G105, "")</f>
        <v>6</v>
      </c>
      <c r="F105" s="2">
        <f>IF(Source!$C105&gt;=COLUMNS($A105:F105), Source!$G105, "")</f>
        <v>6</v>
      </c>
      <c r="G105" s="2">
        <f>IF(Source!$C105&gt;=COLUMNS($A105:G105), Source!$G105, "")</f>
        <v>6</v>
      </c>
      <c r="H105" s="2">
        <f>IF(Source!$C105&gt;=COLUMNS($A105:H105), Source!$G105, "")</f>
        <v>6</v>
      </c>
      <c r="I105" s="2">
        <f>IF(Source!$C105&gt;=COLUMNS($A105:I105), Source!$G105, "")</f>
        <v>6</v>
      </c>
      <c r="J105" s="2">
        <f>IF(Source!$C105&gt;=COLUMNS($A105:J105), Source!$G105, "")</f>
        <v>6</v>
      </c>
      <c r="K105" s="2">
        <f>IF(Source!$C105&gt;=COLUMNS($A105:K105), Source!$G105, "")</f>
        <v>6</v>
      </c>
      <c r="L105" s="2">
        <f>IF(Source!$C105&gt;=COLUMNS($A105:L105), Source!$G105, "")</f>
        <v>6</v>
      </c>
      <c r="M105" s="2">
        <f>IF(Source!$C105&gt;=COLUMNS($A105:M105), Source!$G105, "")</f>
        <v>6</v>
      </c>
      <c r="N105" s="2">
        <f>IF(Source!$C105&gt;=COLUMNS($A105:N105), Source!$G105, "")</f>
        <v>6</v>
      </c>
      <c r="O105" s="2">
        <f>IF(Source!$C105&gt;=COLUMNS($A105:O105), Source!$G105, "")</f>
        <v>6</v>
      </c>
      <c r="P105" s="2">
        <f>IF(Source!$C105&gt;=COLUMNS($A105:P105), Source!$G105, "")</f>
        <v>6</v>
      </c>
      <c r="Q105" s="2">
        <f>IF(Source!$C105&gt;=COLUMNS($A105:Q105), Source!$G105, "")</f>
        <v>6</v>
      </c>
      <c r="R105" s="2">
        <f>IF(Source!$C105&gt;=COLUMNS($A105:R105), Source!$G105, "")</f>
        <v>6</v>
      </c>
      <c r="S105" s="2">
        <f>IF(Source!$C105&gt;=COLUMNS($A105:S105), Source!$G105, "")</f>
        <v>6</v>
      </c>
      <c r="T105" s="2">
        <f>IF(Source!$C105&gt;=COLUMNS($A105:T105), Source!$G105, "")</f>
        <v>6</v>
      </c>
      <c r="U105" s="2">
        <f>IF(Source!$C105&gt;=COLUMNS($A105:U105), Source!$G105, "")</f>
        <v>6</v>
      </c>
      <c r="V105" s="2">
        <f>IF(Source!$C105&gt;=COLUMNS($A105:V105), Source!$G105, "")</f>
        <v>6</v>
      </c>
      <c r="W105" s="2">
        <f>IF(Source!$C105&gt;=COLUMNS($A105:W105), Source!$G105, "")</f>
        <v>6</v>
      </c>
      <c r="X105" s="2">
        <f>IF(Source!$C105&gt;=COLUMNS($A105:X105), Source!$G105, "")</f>
        <v>6</v>
      </c>
      <c r="Y105" s="2">
        <f>IF(Source!$C105&gt;=COLUMNS($A105:Y105), Source!$G105, "")</f>
        <v>6</v>
      </c>
      <c r="Z105" s="2">
        <f>IF(Source!$C105&gt;=COLUMNS($A105:Z105), Source!$G105, "")</f>
        <v>6</v>
      </c>
      <c r="AA105" s="2">
        <f>IF(Source!$C105&gt;=COLUMNS($A105:AA105), Source!$G105, "")</f>
        <v>6</v>
      </c>
      <c r="AB105" s="2">
        <f>IF(Source!$C105&gt;=COLUMNS($A105:AB105), Source!$G105, "")</f>
        <v>6</v>
      </c>
      <c r="AC105" s="2">
        <f>IF(Source!$C105&gt;=COLUMNS($A105:AC105), Source!$G105, "")</f>
        <v>6</v>
      </c>
      <c r="AD105" s="2">
        <f>IF(Source!$C105&gt;=COLUMNS($A105:AD105), Source!$G105, "")</f>
        <v>6</v>
      </c>
      <c r="AE105" s="2">
        <f>IF(Source!$C105&gt;=COLUMNS($A105:AE105), Source!$G105, "")</f>
        <v>6</v>
      </c>
      <c r="AF105" s="2">
        <f>IF(Source!$C105&gt;=COLUMNS($A105:AF105), Source!$G105, "")</f>
        <v>6</v>
      </c>
      <c r="AG105" s="2">
        <f>IF(Source!$C105&gt;=COLUMNS($A105:AG105), Source!$G105, "")</f>
        <v>6</v>
      </c>
      <c r="AH105" s="2">
        <f>IF(Source!$C105&gt;=COLUMNS($A105:AH105), Source!$G105, "")</f>
        <v>6</v>
      </c>
      <c r="AI105" s="2" t="str">
        <f>IF(Source!$C105&gt;=COLUMNS($A105:AI105), Source!$G105, "")</f>
        <v/>
      </c>
      <c r="AJ105" s="2" t="str">
        <f>IF(Source!$C105&gt;=COLUMNS($A105:AJ105), Source!$G105, "")</f>
        <v/>
      </c>
      <c r="AK105" s="2" t="str">
        <f>IF(Source!$C105&gt;=COLUMNS($A105:AK105), Source!$G105, "")</f>
        <v/>
      </c>
      <c r="AL105" s="2" t="str">
        <f>IF(Source!$C105&gt;=COLUMNS($A105:AL105), Source!$G105, "")</f>
        <v/>
      </c>
      <c r="AM105" s="2" t="str">
        <f>IF(Source!$C105&gt;=COLUMNS($A105:AM105), Source!$G105, "")</f>
        <v/>
      </c>
      <c r="AN105" s="2" t="str">
        <f>IF(Source!$C105&gt;=COLUMNS($A105:AN105), Source!$G105, "")</f>
        <v/>
      </c>
      <c r="AO105" s="2" t="str">
        <f>IF(Source!$C105&gt;=COLUMNS($A105:AO105), Source!$G105, "")</f>
        <v/>
      </c>
      <c r="AP105" s="2" t="str">
        <f>IF(Source!$C105&gt;=COLUMNS($A105:AP105), Source!$G105, "")</f>
        <v/>
      </c>
      <c r="AQ105" s="2" t="str">
        <f>IF(Source!$C105&gt;=COLUMNS($A105:AQ105), Source!$G105, "")</f>
        <v/>
      </c>
      <c r="AR105" s="2" t="str">
        <f>IF(Source!$C105&gt;=COLUMNS($A105:AR105), Source!$G105, "")</f>
        <v/>
      </c>
    </row>
    <row r="106">
      <c r="A106" s="2">
        <f>IF(Source!$C106&gt;=COLUMNS($A106:A106), Source!$G106, "")</f>
        <v>2</v>
      </c>
      <c r="B106" s="2">
        <f>IF(Source!$C106&gt;=COLUMNS($A106:B106), Source!$G106, "")</f>
        <v>2</v>
      </c>
      <c r="C106" s="2">
        <f>IF(Source!$C106&gt;=COLUMNS($A106:C106), Source!$G106, "")</f>
        <v>2</v>
      </c>
      <c r="D106" s="2">
        <f>IF(Source!$C106&gt;=COLUMNS($A106:D106), Source!$G106, "")</f>
        <v>2</v>
      </c>
      <c r="E106" s="2">
        <f>IF(Source!$C106&gt;=COLUMNS($A106:E106), Source!$G106, "")</f>
        <v>2</v>
      </c>
      <c r="F106" s="2">
        <f>IF(Source!$C106&gt;=COLUMNS($A106:F106), Source!$G106, "")</f>
        <v>2</v>
      </c>
      <c r="G106" s="2">
        <f>IF(Source!$C106&gt;=COLUMNS($A106:G106), Source!$G106, "")</f>
        <v>2</v>
      </c>
      <c r="H106" s="2">
        <f>IF(Source!$C106&gt;=COLUMNS($A106:H106), Source!$G106, "")</f>
        <v>2</v>
      </c>
      <c r="I106" s="2">
        <f>IF(Source!$C106&gt;=COLUMNS($A106:I106), Source!$G106, "")</f>
        <v>2</v>
      </c>
      <c r="J106" s="2">
        <f>IF(Source!$C106&gt;=COLUMNS($A106:J106), Source!$G106, "")</f>
        <v>2</v>
      </c>
      <c r="K106" s="2">
        <f>IF(Source!$C106&gt;=COLUMNS($A106:K106), Source!$G106, "")</f>
        <v>2</v>
      </c>
      <c r="L106" s="2">
        <f>IF(Source!$C106&gt;=COLUMNS($A106:L106), Source!$G106, "")</f>
        <v>2</v>
      </c>
      <c r="M106" s="2">
        <f>IF(Source!$C106&gt;=COLUMNS($A106:M106), Source!$G106, "")</f>
        <v>2</v>
      </c>
      <c r="N106" s="2">
        <f>IF(Source!$C106&gt;=COLUMNS($A106:N106), Source!$G106, "")</f>
        <v>2</v>
      </c>
      <c r="O106" s="2">
        <f>IF(Source!$C106&gt;=COLUMNS($A106:O106), Source!$G106, "")</f>
        <v>2</v>
      </c>
      <c r="P106" s="2">
        <f>IF(Source!$C106&gt;=COLUMNS($A106:P106), Source!$G106, "")</f>
        <v>2</v>
      </c>
      <c r="Q106" s="2">
        <f>IF(Source!$C106&gt;=COLUMNS($A106:Q106), Source!$G106, "")</f>
        <v>2</v>
      </c>
      <c r="R106" s="2">
        <f>IF(Source!$C106&gt;=COLUMNS($A106:R106), Source!$G106, "")</f>
        <v>2</v>
      </c>
      <c r="S106" s="2">
        <f>IF(Source!$C106&gt;=COLUMNS($A106:S106), Source!$G106, "")</f>
        <v>2</v>
      </c>
      <c r="T106" s="2" t="str">
        <f>IF(Source!$C106&gt;=COLUMNS($A106:T106), Source!$G106, "")</f>
        <v/>
      </c>
      <c r="U106" s="2" t="str">
        <f>IF(Source!$C106&gt;=COLUMNS($A106:U106), Source!$G106, "")</f>
        <v/>
      </c>
      <c r="V106" s="2" t="str">
        <f>IF(Source!$C106&gt;=COLUMNS($A106:V106), Source!$G106, "")</f>
        <v/>
      </c>
      <c r="W106" s="2" t="str">
        <f>IF(Source!$C106&gt;=COLUMNS($A106:W106), Source!$G106, "")</f>
        <v/>
      </c>
      <c r="X106" s="2" t="str">
        <f>IF(Source!$C106&gt;=COLUMNS($A106:X106), Source!$G106, "")</f>
        <v/>
      </c>
      <c r="Y106" s="2" t="str">
        <f>IF(Source!$C106&gt;=COLUMNS($A106:Y106), Source!$G106, "")</f>
        <v/>
      </c>
      <c r="Z106" s="2" t="str">
        <f>IF(Source!$C106&gt;=COLUMNS($A106:Z106), Source!$G106, "")</f>
        <v/>
      </c>
      <c r="AA106" s="2" t="str">
        <f>IF(Source!$C106&gt;=COLUMNS($A106:AA106), Source!$G106, "")</f>
        <v/>
      </c>
      <c r="AB106" s="2" t="str">
        <f>IF(Source!$C106&gt;=COLUMNS($A106:AB106), Source!$G106, "")</f>
        <v/>
      </c>
      <c r="AC106" s="2" t="str">
        <f>IF(Source!$C106&gt;=COLUMNS($A106:AC106), Source!$G106, "")</f>
        <v/>
      </c>
      <c r="AD106" s="2" t="str">
        <f>IF(Source!$C106&gt;=COLUMNS($A106:AD106), Source!$G106, "")</f>
        <v/>
      </c>
      <c r="AE106" s="2" t="str">
        <f>IF(Source!$C106&gt;=COLUMNS($A106:AE106), Source!$G106, "")</f>
        <v/>
      </c>
      <c r="AF106" s="2" t="str">
        <f>IF(Source!$C106&gt;=COLUMNS($A106:AF106), Source!$G106, "")</f>
        <v/>
      </c>
      <c r="AG106" s="2" t="str">
        <f>IF(Source!$C106&gt;=COLUMNS($A106:AG106), Source!$G106, "")</f>
        <v/>
      </c>
      <c r="AH106" s="2" t="str">
        <f>IF(Source!$C106&gt;=COLUMNS($A106:AH106), Source!$G106, "")</f>
        <v/>
      </c>
      <c r="AI106" s="2" t="str">
        <f>IF(Source!$C106&gt;=COLUMNS($A106:AI106), Source!$G106, "")</f>
        <v/>
      </c>
      <c r="AJ106" s="2" t="str">
        <f>IF(Source!$C106&gt;=COLUMNS($A106:AJ106), Source!$G106, "")</f>
        <v/>
      </c>
      <c r="AK106" s="2" t="str">
        <f>IF(Source!$C106&gt;=COLUMNS($A106:AK106), Source!$G106, "")</f>
        <v/>
      </c>
      <c r="AL106" s="2" t="str">
        <f>IF(Source!$C106&gt;=COLUMNS($A106:AL106), Source!$G106, "")</f>
        <v/>
      </c>
      <c r="AM106" s="2" t="str">
        <f>IF(Source!$C106&gt;=COLUMNS($A106:AM106), Source!$G106, "")</f>
        <v/>
      </c>
      <c r="AN106" s="2" t="str">
        <f>IF(Source!$C106&gt;=COLUMNS($A106:AN106), Source!$G106, "")</f>
        <v/>
      </c>
      <c r="AO106" s="2" t="str">
        <f>IF(Source!$C106&gt;=COLUMNS($A106:AO106), Source!$G106, "")</f>
        <v/>
      </c>
      <c r="AP106" s="2" t="str">
        <f>IF(Source!$C106&gt;=COLUMNS($A106:AP106), Source!$G106, "")</f>
        <v/>
      </c>
      <c r="AQ106" s="2" t="str">
        <f>IF(Source!$C106&gt;=COLUMNS($A106:AQ106), Source!$G106, "")</f>
        <v/>
      </c>
      <c r="AR106" s="2" t="str">
        <f>IF(Source!$C106&gt;=COLUMNS($A106:AR106), Source!$G106, "")</f>
        <v/>
      </c>
    </row>
    <row r="107">
      <c r="A107" s="2">
        <f>IF(Source!$C107&gt;=COLUMNS($A107:A107), Source!$G107, "")</f>
        <v>9</v>
      </c>
      <c r="B107" s="2">
        <f>IF(Source!$C107&gt;=COLUMNS($A107:B107), Source!$G107, "")</f>
        <v>9</v>
      </c>
      <c r="C107" s="2">
        <f>IF(Source!$C107&gt;=COLUMNS($A107:C107), Source!$G107, "")</f>
        <v>9</v>
      </c>
      <c r="D107" s="2">
        <f>IF(Source!$C107&gt;=COLUMNS($A107:D107), Source!$G107, "")</f>
        <v>9</v>
      </c>
      <c r="E107" s="2">
        <f>IF(Source!$C107&gt;=COLUMNS($A107:E107), Source!$G107, "")</f>
        <v>9</v>
      </c>
      <c r="F107" s="2">
        <f>IF(Source!$C107&gt;=COLUMNS($A107:F107), Source!$G107, "")</f>
        <v>9</v>
      </c>
      <c r="G107" s="2">
        <f>IF(Source!$C107&gt;=COLUMNS($A107:G107), Source!$G107, "")</f>
        <v>9</v>
      </c>
      <c r="H107" s="2">
        <f>IF(Source!$C107&gt;=COLUMNS($A107:H107), Source!$G107, "")</f>
        <v>9</v>
      </c>
      <c r="I107" s="2">
        <f>IF(Source!$C107&gt;=COLUMNS($A107:I107), Source!$G107, "")</f>
        <v>9</v>
      </c>
      <c r="J107" s="2">
        <f>IF(Source!$C107&gt;=COLUMNS($A107:J107), Source!$G107, "")</f>
        <v>9</v>
      </c>
      <c r="K107" s="2">
        <f>IF(Source!$C107&gt;=COLUMNS($A107:K107), Source!$G107, "")</f>
        <v>9</v>
      </c>
      <c r="L107" s="2">
        <f>IF(Source!$C107&gt;=COLUMNS($A107:L107), Source!$G107, "")</f>
        <v>9</v>
      </c>
      <c r="M107" s="2" t="str">
        <f>IF(Source!$C107&gt;=COLUMNS($A107:M107), Source!$G107, "")</f>
        <v/>
      </c>
      <c r="N107" s="2" t="str">
        <f>IF(Source!$C107&gt;=COLUMNS($A107:N107), Source!$G107, "")</f>
        <v/>
      </c>
      <c r="O107" s="2" t="str">
        <f>IF(Source!$C107&gt;=COLUMNS($A107:O107), Source!$G107, "")</f>
        <v/>
      </c>
      <c r="P107" s="2" t="str">
        <f>IF(Source!$C107&gt;=COLUMNS($A107:P107), Source!$G107, "")</f>
        <v/>
      </c>
      <c r="Q107" s="2" t="str">
        <f>IF(Source!$C107&gt;=COLUMNS($A107:Q107), Source!$G107, "")</f>
        <v/>
      </c>
      <c r="R107" s="2" t="str">
        <f>IF(Source!$C107&gt;=COLUMNS($A107:R107), Source!$G107, "")</f>
        <v/>
      </c>
      <c r="S107" s="2" t="str">
        <f>IF(Source!$C107&gt;=COLUMNS($A107:S107), Source!$G107, "")</f>
        <v/>
      </c>
      <c r="T107" s="2" t="str">
        <f>IF(Source!$C107&gt;=COLUMNS($A107:T107), Source!$G107, "")</f>
        <v/>
      </c>
      <c r="U107" s="2" t="str">
        <f>IF(Source!$C107&gt;=COLUMNS($A107:U107), Source!$G107, "")</f>
        <v/>
      </c>
      <c r="V107" s="2" t="str">
        <f>IF(Source!$C107&gt;=COLUMNS($A107:V107), Source!$G107, "")</f>
        <v/>
      </c>
      <c r="W107" s="2" t="str">
        <f>IF(Source!$C107&gt;=COLUMNS($A107:W107), Source!$G107, "")</f>
        <v/>
      </c>
      <c r="X107" s="2" t="str">
        <f>IF(Source!$C107&gt;=COLUMNS($A107:X107), Source!$G107, "")</f>
        <v/>
      </c>
      <c r="Y107" s="2" t="str">
        <f>IF(Source!$C107&gt;=COLUMNS($A107:Y107), Source!$G107, "")</f>
        <v/>
      </c>
      <c r="Z107" s="2" t="str">
        <f>IF(Source!$C107&gt;=COLUMNS($A107:Z107), Source!$G107, "")</f>
        <v/>
      </c>
      <c r="AA107" s="2" t="str">
        <f>IF(Source!$C107&gt;=COLUMNS($A107:AA107), Source!$G107, "")</f>
        <v/>
      </c>
      <c r="AB107" s="2" t="str">
        <f>IF(Source!$C107&gt;=COLUMNS($A107:AB107), Source!$G107, "")</f>
        <v/>
      </c>
      <c r="AC107" s="2" t="str">
        <f>IF(Source!$C107&gt;=COLUMNS($A107:AC107), Source!$G107, "")</f>
        <v/>
      </c>
      <c r="AD107" s="2" t="str">
        <f>IF(Source!$C107&gt;=COLUMNS($A107:AD107), Source!$G107, "")</f>
        <v/>
      </c>
      <c r="AE107" s="2" t="str">
        <f>IF(Source!$C107&gt;=COLUMNS($A107:AE107), Source!$G107, "")</f>
        <v/>
      </c>
      <c r="AF107" s="2" t="str">
        <f>IF(Source!$C107&gt;=COLUMNS($A107:AF107), Source!$G107, "")</f>
        <v/>
      </c>
      <c r="AG107" s="2" t="str">
        <f>IF(Source!$C107&gt;=COLUMNS($A107:AG107), Source!$G107, "")</f>
        <v/>
      </c>
      <c r="AH107" s="2" t="str">
        <f>IF(Source!$C107&gt;=COLUMNS($A107:AH107), Source!$G107, "")</f>
        <v/>
      </c>
      <c r="AI107" s="2" t="str">
        <f>IF(Source!$C107&gt;=COLUMNS($A107:AI107), Source!$G107, "")</f>
        <v/>
      </c>
      <c r="AJ107" s="2" t="str">
        <f>IF(Source!$C107&gt;=COLUMNS($A107:AJ107), Source!$G107, "")</f>
        <v/>
      </c>
      <c r="AK107" s="2" t="str">
        <f>IF(Source!$C107&gt;=COLUMNS($A107:AK107), Source!$G107, "")</f>
        <v/>
      </c>
      <c r="AL107" s="2" t="str">
        <f>IF(Source!$C107&gt;=COLUMNS($A107:AL107), Source!$G107, "")</f>
        <v/>
      </c>
      <c r="AM107" s="2" t="str">
        <f>IF(Source!$C107&gt;=COLUMNS($A107:AM107), Source!$G107, "")</f>
        <v/>
      </c>
      <c r="AN107" s="2" t="str">
        <f>IF(Source!$C107&gt;=COLUMNS($A107:AN107), Source!$G107, "")</f>
        <v/>
      </c>
      <c r="AO107" s="2" t="str">
        <f>IF(Source!$C107&gt;=COLUMNS($A107:AO107), Source!$G107, "")</f>
        <v/>
      </c>
      <c r="AP107" s="2" t="str">
        <f>IF(Source!$C107&gt;=COLUMNS($A107:AP107), Source!$G107, "")</f>
        <v/>
      </c>
      <c r="AQ107" s="2" t="str">
        <f>IF(Source!$C107&gt;=COLUMNS($A107:AQ107), Source!$G107, "")</f>
        <v/>
      </c>
      <c r="AR107" s="2" t="str">
        <f>IF(Source!$C107&gt;=COLUMNS($A107:AR107), Source!$G107, "")</f>
        <v/>
      </c>
    </row>
    <row r="108">
      <c r="A108" s="2">
        <f>IF(Source!$C108&gt;=COLUMNS($A108:A108), Source!$G108, "")</f>
        <v>3</v>
      </c>
      <c r="B108" s="2">
        <f>IF(Source!$C108&gt;=COLUMNS($A108:B108), Source!$G108, "")</f>
        <v>3</v>
      </c>
      <c r="C108" s="2">
        <f>IF(Source!$C108&gt;=COLUMNS($A108:C108), Source!$G108, "")</f>
        <v>3</v>
      </c>
      <c r="D108" s="2" t="str">
        <f>IF(Source!$C108&gt;=COLUMNS($A108:D108), Source!$G108, "")</f>
        <v/>
      </c>
      <c r="E108" s="2" t="str">
        <f>IF(Source!$C108&gt;=COLUMNS($A108:E108), Source!$G108, "")</f>
        <v/>
      </c>
      <c r="F108" s="2" t="str">
        <f>IF(Source!$C108&gt;=COLUMNS($A108:F108), Source!$G108, "")</f>
        <v/>
      </c>
      <c r="G108" s="2" t="str">
        <f>IF(Source!$C108&gt;=COLUMNS($A108:G108), Source!$G108, "")</f>
        <v/>
      </c>
      <c r="H108" s="2" t="str">
        <f>IF(Source!$C108&gt;=COLUMNS($A108:H108), Source!$G108, "")</f>
        <v/>
      </c>
      <c r="I108" s="2" t="str">
        <f>IF(Source!$C108&gt;=COLUMNS($A108:I108), Source!$G108, "")</f>
        <v/>
      </c>
      <c r="J108" s="2" t="str">
        <f>IF(Source!$C108&gt;=COLUMNS($A108:J108), Source!$G108, "")</f>
        <v/>
      </c>
      <c r="K108" s="2" t="str">
        <f>IF(Source!$C108&gt;=COLUMNS($A108:K108), Source!$G108, "")</f>
        <v/>
      </c>
      <c r="L108" s="2" t="str">
        <f>IF(Source!$C108&gt;=COLUMNS($A108:L108), Source!$G108, "")</f>
        <v/>
      </c>
      <c r="M108" s="2" t="str">
        <f>IF(Source!$C108&gt;=COLUMNS($A108:M108), Source!$G108, "")</f>
        <v/>
      </c>
      <c r="N108" s="2" t="str">
        <f>IF(Source!$C108&gt;=COLUMNS($A108:N108), Source!$G108, "")</f>
        <v/>
      </c>
      <c r="O108" s="2" t="str">
        <f>IF(Source!$C108&gt;=COLUMNS($A108:O108), Source!$G108, "")</f>
        <v/>
      </c>
      <c r="P108" s="2" t="str">
        <f>IF(Source!$C108&gt;=COLUMNS($A108:P108), Source!$G108, "")</f>
        <v/>
      </c>
      <c r="Q108" s="2" t="str">
        <f>IF(Source!$C108&gt;=COLUMNS($A108:Q108), Source!$G108, "")</f>
        <v/>
      </c>
      <c r="R108" s="2" t="str">
        <f>IF(Source!$C108&gt;=COLUMNS($A108:R108), Source!$G108, "")</f>
        <v/>
      </c>
      <c r="S108" s="2" t="str">
        <f>IF(Source!$C108&gt;=COLUMNS($A108:S108), Source!$G108, "")</f>
        <v/>
      </c>
      <c r="T108" s="2" t="str">
        <f>IF(Source!$C108&gt;=COLUMNS($A108:T108), Source!$G108, "")</f>
        <v/>
      </c>
      <c r="U108" s="2" t="str">
        <f>IF(Source!$C108&gt;=COLUMNS($A108:U108), Source!$G108, "")</f>
        <v/>
      </c>
      <c r="V108" s="2" t="str">
        <f>IF(Source!$C108&gt;=COLUMNS($A108:V108), Source!$G108, "")</f>
        <v/>
      </c>
      <c r="W108" s="2" t="str">
        <f>IF(Source!$C108&gt;=COLUMNS($A108:W108), Source!$G108, "")</f>
        <v/>
      </c>
      <c r="X108" s="2" t="str">
        <f>IF(Source!$C108&gt;=COLUMNS($A108:X108), Source!$G108, "")</f>
        <v/>
      </c>
      <c r="Y108" s="2" t="str">
        <f>IF(Source!$C108&gt;=COLUMNS($A108:Y108), Source!$G108, "")</f>
        <v/>
      </c>
      <c r="Z108" s="2" t="str">
        <f>IF(Source!$C108&gt;=COLUMNS($A108:Z108), Source!$G108, "")</f>
        <v/>
      </c>
      <c r="AA108" s="2" t="str">
        <f>IF(Source!$C108&gt;=COLUMNS($A108:AA108), Source!$G108, "")</f>
        <v/>
      </c>
      <c r="AB108" s="2" t="str">
        <f>IF(Source!$C108&gt;=COLUMNS($A108:AB108), Source!$G108, "")</f>
        <v/>
      </c>
      <c r="AC108" s="2" t="str">
        <f>IF(Source!$C108&gt;=COLUMNS($A108:AC108), Source!$G108, "")</f>
        <v/>
      </c>
      <c r="AD108" s="2" t="str">
        <f>IF(Source!$C108&gt;=COLUMNS($A108:AD108), Source!$G108, "")</f>
        <v/>
      </c>
      <c r="AE108" s="2" t="str">
        <f>IF(Source!$C108&gt;=COLUMNS($A108:AE108), Source!$G108, "")</f>
        <v/>
      </c>
      <c r="AF108" s="2" t="str">
        <f>IF(Source!$C108&gt;=COLUMNS($A108:AF108), Source!$G108, "")</f>
        <v/>
      </c>
      <c r="AG108" s="2" t="str">
        <f>IF(Source!$C108&gt;=COLUMNS($A108:AG108), Source!$G108, "")</f>
        <v/>
      </c>
      <c r="AH108" s="2" t="str">
        <f>IF(Source!$C108&gt;=COLUMNS($A108:AH108), Source!$G108, "")</f>
        <v/>
      </c>
      <c r="AI108" s="2" t="str">
        <f>IF(Source!$C108&gt;=COLUMNS($A108:AI108), Source!$G108, "")</f>
        <v/>
      </c>
      <c r="AJ108" s="2" t="str">
        <f>IF(Source!$C108&gt;=COLUMNS($A108:AJ108), Source!$G108, "")</f>
        <v/>
      </c>
      <c r="AK108" s="2" t="str">
        <f>IF(Source!$C108&gt;=COLUMNS($A108:AK108), Source!$G108, "")</f>
        <v/>
      </c>
      <c r="AL108" s="2" t="str">
        <f>IF(Source!$C108&gt;=COLUMNS($A108:AL108), Source!$G108, "")</f>
        <v/>
      </c>
      <c r="AM108" s="2" t="str">
        <f>IF(Source!$C108&gt;=COLUMNS($A108:AM108), Source!$G108, "")</f>
        <v/>
      </c>
      <c r="AN108" s="2" t="str">
        <f>IF(Source!$C108&gt;=COLUMNS($A108:AN108), Source!$G108, "")</f>
        <v/>
      </c>
      <c r="AO108" s="2" t="str">
        <f>IF(Source!$C108&gt;=COLUMNS($A108:AO108), Source!$G108, "")</f>
        <v/>
      </c>
      <c r="AP108" s="2" t="str">
        <f>IF(Source!$C108&gt;=COLUMNS($A108:AP108), Source!$G108, "")</f>
        <v/>
      </c>
      <c r="AQ108" s="2" t="str">
        <f>IF(Source!$C108&gt;=COLUMNS($A108:AQ108), Source!$G108, "")</f>
        <v/>
      </c>
      <c r="AR108" s="2" t="str">
        <f>IF(Source!$C108&gt;=COLUMNS($A108:AR108), Source!$G108, "")</f>
        <v/>
      </c>
    </row>
    <row r="109">
      <c r="A109" s="2">
        <f>IF(Source!$C109&gt;=COLUMNS($A109:A109), Source!$G109, "")</f>
        <v>2</v>
      </c>
      <c r="B109" s="2">
        <f>IF(Source!$C109&gt;=COLUMNS($A109:B109), Source!$G109, "")</f>
        <v>2</v>
      </c>
      <c r="C109" s="2" t="str">
        <f>IF(Source!$C109&gt;=COLUMNS($A109:C109), Source!$G109, "")</f>
        <v/>
      </c>
      <c r="D109" s="2" t="str">
        <f>IF(Source!$C109&gt;=COLUMNS($A109:D109), Source!$G109, "")</f>
        <v/>
      </c>
      <c r="E109" s="2" t="str">
        <f>IF(Source!$C109&gt;=COLUMNS($A109:E109), Source!$G109, "")</f>
        <v/>
      </c>
      <c r="F109" s="2" t="str">
        <f>IF(Source!$C109&gt;=COLUMNS($A109:F109), Source!$G109, "")</f>
        <v/>
      </c>
      <c r="G109" s="2" t="str">
        <f>IF(Source!$C109&gt;=COLUMNS($A109:G109), Source!$G109, "")</f>
        <v/>
      </c>
      <c r="H109" s="2" t="str">
        <f>IF(Source!$C109&gt;=COLUMNS($A109:H109), Source!$G109, "")</f>
        <v/>
      </c>
      <c r="I109" s="2" t="str">
        <f>IF(Source!$C109&gt;=COLUMNS($A109:I109), Source!$G109, "")</f>
        <v/>
      </c>
      <c r="J109" s="2" t="str">
        <f>IF(Source!$C109&gt;=COLUMNS($A109:J109), Source!$G109, "")</f>
        <v/>
      </c>
      <c r="K109" s="2" t="str">
        <f>IF(Source!$C109&gt;=COLUMNS($A109:K109), Source!$G109, "")</f>
        <v/>
      </c>
      <c r="L109" s="2" t="str">
        <f>IF(Source!$C109&gt;=COLUMNS($A109:L109), Source!$G109, "")</f>
        <v/>
      </c>
      <c r="M109" s="2" t="str">
        <f>IF(Source!$C109&gt;=COLUMNS($A109:M109), Source!$G109, "")</f>
        <v/>
      </c>
      <c r="N109" s="2" t="str">
        <f>IF(Source!$C109&gt;=COLUMNS($A109:N109), Source!$G109, "")</f>
        <v/>
      </c>
      <c r="O109" s="2" t="str">
        <f>IF(Source!$C109&gt;=COLUMNS($A109:O109), Source!$G109, "")</f>
        <v/>
      </c>
      <c r="P109" s="2" t="str">
        <f>IF(Source!$C109&gt;=COLUMNS($A109:P109), Source!$G109, "")</f>
        <v/>
      </c>
      <c r="Q109" s="2" t="str">
        <f>IF(Source!$C109&gt;=COLUMNS($A109:Q109), Source!$G109, "")</f>
        <v/>
      </c>
      <c r="R109" s="2" t="str">
        <f>IF(Source!$C109&gt;=COLUMNS($A109:R109), Source!$G109, "")</f>
        <v/>
      </c>
      <c r="S109" s="2" t="str">
        <f>IF(Source!$C109&gt;=COLUMNS($A109:S109), Source!$G109, "")</f>
        <v/>
      </c>
      <c r="T109" s="2" t="str">
        <f>IF(Source!$C109&gt;=COLUMNS($A109:T109), Source!$G109, "")</f>
        <v/>
      </c>
      <c r="U109" s="2" t="str">
        <f>IF(Source!$C109&gt;=COLUMNS($A109:U109), Source!$G109, "")</f>
        <v/>
      </c>
      <c r="V109" s="2" t="str">
        <f>IF(Source!$C109&gt;=COLUMNS($A109:V109), Source!$G109, "")</f>
        <v/>
      </c>
      <c r="W109" s="2" t="str">
        <f>IF(Source!$C109&gt;=COLUMNS($A109:W109), Source!$G109, "")</f>
        <v/>
      </c>
      <c r="X109" s="2" t="str">
        <f>IF(Source!$C109&gt;=COLUMNS($A109:X109), Source!$G109, "")</f>
        <v/>
      </c>
      <c r="Y109" s="2" t="str">
        <f>IF(Source!$C109&gt;=COLUMNS($A109:Y109), Source!$G109, "")</f>
        <v/>
      </c>
      <c r="Z109" s="2" t="str">
        <f>IF(Source!$C109&gt;=COLUMNS($A109:Z109), Source!$G109, "")</f>
        <v/>
      </c>
      <c r="AA109" s="2" t="str">
        <f>IF(Source!$C109&gt;=COLUMNS($A109:AA109), Source!$G109, "")</f>
        <v/>
      </c>
      <c r="AB109" s="2" t="str">
        <f>IF(Source!$C109&gt;=COLUMNS($A109:AB109), Source!$G109, "")</f>
        <v/>
      </c>
      <c r="AC109" s="2" t="str">
        <f>IF(Source!$C109&gt;=COLUMNS($A109:AC109), Source!$G109, "")</f>
        <v/>
      </c>
      <c r="AD109" s="2" t="str">
        <f>IF(Source!$C109&gt;=COLUMNS($A109:AD109), Source!$G109, "")</f>
        <v/>
      </c>
      <c r="AE109" s="2" t="str">
        <f>IF(Source!$C109&gt;=COLUMNS($A109:AE109), Source!$G109, "")</f>
        <v/>
      </c>
      <c r="AF109" s="2" t="str">
        <f>IF(Source!$C109&gt;=COLUMNS($A109:AF109), Source!$G109, "")</f>
        <v/>
      </c>
      <c r="AG109" s="2" t="str">
        <f>IF(Source!$C109&gt;=COLUMNS($A109:AG109), Source!$G109, "")</f>
        <v/>
      </c>
      <c r="AH109" s="2" t="str">
        <f>IF(Source!$C109&gt;=COLUMNS($A109:AH109), Source!$G109, "")</f>
        <v/>
      </c>
      <c r="AI109" s="2" t="str">
        <f>IF(Source!$C109&gt;=COLUMNS($A109:AI109), Source!$G109, "")</f>
        <v/>
      </c>
      <c r="AJ109" s="2" t="str">
        <f>IF(Source!$C109&gt;=COLUMNS($A109:AJ109), Source!$G109, "")</f>
        <v/>
      </c>
      <c r="AK109" s="2" t="str">
        <f>IF(Source!$C109&gt;=COLUMNS($A109:AK109), Source!$G109, "")</f>
        <v/>
      </c>
      <c r="AL109" s="2" t="str">
        <f>IF(Source!$C109&gt;=COLUMNS($A109:AL109), Source!$G109, "")</f>
        <v/>
      </c>
      <c r="AM109" s="2" t="str">
        <f>IF(Source!$C109&gt;=COLUMNS($A109:AM109), Source!$G109, "")</f>
        <v/>
      </c>
      <c r="AN109" s="2" t="str">
        <f>IF(Source!$C109&gt;=COLUMNS($A109:AN109), Source!$G109, "")</f>
        <v/>
      </c>
      <c r="AO109" s="2" t="str">
        <f>IF(Source!$C109&gt;=COLUMNS($A109:AO109), Source!$G109, "")</f>
        <v/>
      </c>
      <c r="AP109" s="2" t="str">
        <f>IF(Source!$C109&gt;=COLUMNS($A109:AP109), Source!$G109, "")</f>
        <v/>
      </c>
      <c r="AQ109" s="2" t="str">
        <f>IF(Source!$C109&gt;=COLUMNS($A109:AQ109), Source!$G109, "")</f>
        <v/>
      </c>
      <c r="AR109" s="2" t="str">
        <f>IF(Source!$C109&gt;=COLUMNS($A109:AR109), Source!$G109, "")</f>
        <v/>
      </c>
    </row>
    <row r="110">
      <c r="A110" s="2">
        <f>IF(Source!$C110&gt;=COLUMNS($A110:A110), Source!$G110, "")</f>
        <v>5</v>
      </c>
      <c r="B110" s="2" t="str">
        <f>IF(Source!$C110&gt;=COLUMNS($A110:B110), Source!$G110, "")</f>
        <v/>
      </c>
      <c r="C110" s="2" t="str">
        <f>IF(Source!$C110&gt;=COLUMNS($A110:C110), Source!$G110, "")</f>
        <v/>
      </c>
      <c r="D110" s="2" t="str">
        <f>IF(Source!$C110&gt;=COLUMNS($A110:D110), Source!$G110, "")</f>
        <v/>
      </c>
      <c r="E110" s="2" t="str">
        <f>IF(Source!$C110&gt;=COLUMNS($A110:E110), Source!$G110, "")</f>
        <v/>
      </c>
      <c r="F110" s="2" t="str">
        <f>IF(Source!$C110&gt;=COLUMNS($A110:F110), Source!$G110, "")</f>
        <v/>
      </c>
      <c r="G110" s="2" t="str">
        <f>IF(Source!$C110&gt;=COLUMNS($A110:G110), Source!$G110, "")</f>
        <v/>
      </c>
      <c r="H110" s="2" t="str">
        <f>IF(Source!$C110&gt;=COLUMNS($A110:H110), Source!$G110, "")</f>
        <v/>
      </c>
      <c r="I110" s="2" t="str">
        <f>IF(Source!$C110&gt;=COLUMNS($A110:I110), Source!$G110, "")</f>
        <v/>
      </c>
      <c r="J110" s="2" t="str">
        <f>IF(Source!$C110&gt;=COLUMNS($A110:J110), Source!$G110, "")</f>
        <v/>
      </c>
      <c r="K110" s="2" t="str">
        <f>IF(Source!$C110&gt;=COLUMNS($A110:K110), Source!$G110, "")</f>
        <v/>
      </c>
      <c r="L110" s="2" t="str">
        <f>IF(Source!$C110&gt;=COLUMNS($A110:L110), Source!$G110, "")</f>
        <v/>
      </c>
      <c r="M110" s="2" t="str">
        <f>IF(Source!$C110&gt;=COLUMNS($A110:M110), Source!$G110, "")</f>
        <v/>
      </c>
      <c r="N110" s="2" t="str">
        <f>IF(Source!$C110&gt;=COLUMNS($A110:N110), Source!$G110, "")</f>
        <v/>
      </c>
      <c r="O110" s="2" t="str">
        <f>IF(Source!$C110&gt;=COLUMNS($A110:O110), Source!$G110, "")</f>
        <v/>
      </c>
      <c r="P110" s="2" t="str">
        <f>IF(Source!$C110&gt;=COLUMNS($A110:P110), Source!$G110, "")</f>
        <v/>
      </c>
      <c r="Q110" s="2" t="str">
        <f>IF(Source!$C110&gt;=COLUMNS($A110:Q110), Source!$G110, "")</f>
        <v/>
      </c>
      <c r="R110" s="2" t="str">
        <f>IF(Source!$C110&gt;=COLUMNS($A110:R110), Source!$G110, "")</f>
        <v/>
      </c>
      <c r="S110" s="2" t="str">
        <f>IF(Source!$C110&gt;=COLUMNS($A110:S110), Source!$G110, "")</f>
        <v/>
      </c>
      <c r="T110" s="2" t="str">
        <f>IF(Source!$C110&gt;=COLUMNS($A110:T110), Source!$G110, "")</f>
        <v/>
      </c>
      <c r="U110" s="2" t="str">
        <f>IF(Source!$C110&gt;=COLUMNS($A110:U110), Source!$G110, "")</f>
        <v/>
      </c>
      <c r="V110" s="2" t="str">
        <f>IF(Source!$C110&gt;=COLUMNS($A110:V110), Source!$G110, "")</f>
        <v/>
      </c>
      <c r="W110" s="2" t="str">
        <f>IF(Source!$C110&gt;=COLUMNS($A110:W110), Source!$G110, "")</f>
        <v/>
      </c>
      <c r="X110" s="2" t="str">
        <f>IF(Source!$C110&gt;=COLUMNS($A110:X110), Source!$G110, "")</f>
        <v/>
      </c>
      <c r="Y110" s="2" t="str">
        <f>IF(Source!$C110&gt;=COLUMNS($A110:Y110), Source!$G110, "")</f>
        <v/>
      </c>
      <c r="Z110" s="2" t="str">
        <f>IF(Source!$C110&gt;=COLUMNS($A110:Z110), Source!$G110, "")</f>
        <v/>
      </c>
      <c r="AA110" s="2" t="str">
        <f>IF(Source!$C110&gt;=COLUMNS($A110:AA110), Source!$G110, "")</f>
        <v/>
      </c>
      <c r="AB110" s="2" t="str">
        <f>IF(Source!$C110&gt;=COLUMNS($A110:AB110), Source!$G110, "")</f>
        <v/>
      </c>
      <c r="AC110" s="2" t="str">
        <f>IF(Source!$C110&gt;=COLUMNS($A110:AC110), Source!$G110, "")</f>
        <v/>
      </c>
      <c r="AD110" s="2" t="str">
        <f>IF(Source!$C110&gt;=COLUMNS($A110:AD110), Source!$G110, "")</f>
        <v/>
      </c>
      <c r="AE110" s="2" t="str">
        <f>IF(Source!$C110&gt;=COLUMNS($A110:AE110), Source!$G110, "")</f>
        <v/>
      </c>
      <c r="AF110" s="2" t="str">
        <f>IF(Source!$C110&gt;=COLUMNS($A110:AF110), Source!$G110, "")</f>
        <v/>
      </c>
      <c r="AG110" s="2" t="str">
        <f>IF(Source!$C110&gt;=COLUMNS($A110:AG110), Source!$G110, "")</f>
        <v/>
      </c>
      <c r="AH110" s="2" t="str">
        <f>IF(Source!$C110&gt;=COLUMNS($A110:AH110), Source!$G110, "")</f>
        <v/>
      </c>
      <c r="AI110" s="2" t="str">
        <f>IF(Source!$C110&gt;=COLUMNS($A110:AI110), Source!$G110, "")</f>
        <v/>
      </c>
      <c r="AJ110" s="2" t="str">
        <f>IF(Source!$C110&gt;=COLUMNS($A110:AJ110), Source!$G110, "")</f>
        <v/>
      </c>
      <c r="AK110" s="2" t="str">
        <f>IF(Source!$C110&gt;=COLUMNS($A110:AK110), Source!$G110, "")</f>
        <v/>
      </c>
      <c r="AL110" s="2" t="str">
        <f>IF(Source!$C110&gt;=COLUMNS($A110:AL110), Source!$G110, "")</f>
        <v/>
      </c>
      <c r="AM110" s="2" t="str">
        <f>IF(Source!$C110&gt;=COLUMNS($A110:AM110), Source!$G110, "")</f>
        <v/>
      </c>
      <c r="AN110" s="2" t="str">
        <f>IF(Source!$C110&gt;=COLUMNS($A110:AN110), Source!$G110, "")</f>
        <v/>
      </c>
      <c r="AO110" s="2" t="str">
        <f>IF(Source!$C110&gt;=COLUMNS($A110:AO110), Source!$G110, "")</f>
        <v/>
      </c>
      <c r="AP110" s="2" t="str">
        <f>IF(Source!$C110&gt;=COLUMNS($A110:AP110), Source!$G110, "")</f>
        <v/>
      </c>
      <c r="AQ110" s="2" t="str">
        <f>IF(Source!$C110&gt;=COLUMNS($A110:AQ110), Source!$G110, "")</f>
        <v/>
      </c>
      <c r="AR110" s="2" t="str">
        <f>IF(Source!$C110&gt;=COLUMNS($A110:AR110), Source!$G110, "")</f>
        <v/>
      </c>
    </row>
    <row r="111">
      <c r="A111" s="2">
        <f>IF(Source!$C111&gt;=COLUMNS($A111:A111), Source!$G111, "")</f>
        <v>8</v>
      </c>
      <c r="B111" s="2">
        <f>IF(Source!$C111&gt;=COLUMNS($A111:B111), Source!$G111, "")</f>
        <v>8</v>
      </c>
      <c r="C111" s="2">
        <f>IF(Source!$C111&gt;=COLUMNS($A111:C111), Source!$G111, "")</f>
        <v>8</v>
      </c>
      <c r="D111" s="2">
        <f>IF(Source!$C111&gt;=COLUMNS($A111:D111), Source!$G111, "")</f>
        <v>8</v>
      </c>
      <c r="E111" s="2">
        <f>IF(Source!$C111&gt;=COLUMNS($A111:E111), Source!$G111, "")</f>
        <v>8</v>
      </c>
      <c r="F111" s="2">
        <f>IF(Source!$C111&gt;=COLUMNS($A111:F111), Source!$G111, "")</f>
        <v>8</v>
      </c>
      <c r="G111" s="2">
        <f>IF(Source!$C111&gt;=COLUMNS($A111:G111), Source!$G111, "")</f>
        <v>8</v>
      </c>
      <c r="H111" s="2">
        <f>IF(Source!$C111&gt;=COLUMNS($A111:H111), Source!$G111, "")</f>
        <v>8</v>
      </c>
      <c r="I111" s="2">
        <f>IF(Source!$C111&gt;=COLUMNS($A111:I111), Source!$G111, "")</f>
        <v>8</v>
      </c>
      <c r="J111" s="2">
        <f>IF(Source!$C111&gt;=COLUMNS($A111:J111), Source!$G111, "")</f>
        <v>8</v>
      </c>
      <c r="K111" s="2">
        <f>IF(Source!$C111&gt;=COLUMNS($A111:K111), Source!$G111, "")</f>
        <v>8</v>
      </c>
      <c r="L111" s="2">
        <f>IF(Source!$C111&gt;=COLUMNS($A111:L111), Source!$G111, "")</f>
        <v>8</v>
      </c>
      <c r="M111" s="2">
        <f>IF(Source!$C111&gt;=COLUMNS($A111:M111), Source!$G111, "")</f>
        <v>8</v>
      </c>
      <c r="N111" s="2">
        <f>IF(Source!$C111&gt;=COLUMNS($A111:N111), Source!$G111, "")</f>
        <v>8</v>
      </c>
      <c r="O111" s="2">
        <f>IF(Source!$C111&gt;=COLUMNS($A111:O111), Source!$G111, "")</f>
        <v>8</v>
      </c>
      <c r="P111" s="2">
        <f>IF(Source!$C111&gt;=COLUMNS($A111:P111), Source!$G111, "")</f>
        <v>8</v>
      </c>
      <c r="Q111" s="2">
        <f>IF(Source!$C111&gt;=COLUMNS($A111:Q111), Source!$G111, "")</f>
        <v>8</v>
      </c>
      <c r="R111" s="2" t="str">
        <f>IF(Source!$C111&gt;=COLUMNS($A111:R111), Source!$G111, "")</f>
        <v/>
      </c>
      <c r="S111" s="2" t="str">
        <f>IF(Source!$C111&gt;=COLUMNS($A111:S111), Source!$G111, "")</f>
        <v/>
      </c>
      <c r="T111" s="2" t="str">
        <f>IF(Source!$C111&gt;=COLUMNS($A111:T111), Source!$G111, "")</f>
        <v/>
      </c>
      <c r="U111" s="2" t="str">
        <f>IF(Source!$C111&gt;=COLUMNS($A111:U111), Source!$G111, "")</f>
        <v/>
      </c>
      <c r="V111" s="2" t="str">
        <f>IF(Source!$C111&gt;=COLUMNS($A111:V111), Source!$G111, "")</f>
        <v/>
      </c>
      <c r="W111" s="2" t="str">
        <f>IF(Source!$C111&gt;=COLUMNS($A111:W111), Source!$G111, "")</f>
        <v/>
      </c>
      <c r="X111" s="2" t="str">
        <f>IF(Source!$C111&gt;=COLUMNS($A111:X111), Source!$G111, "")</f>
        <v/>
      </c>
      <c r="Y111" s="2" t="str">
        <f>IF(Source!$C111&gt;=COLUMNS($A111:Y111), Source!$G111, "")</f>
        <v/>
      </c>
      <c r="Z111" s="2" t="str">
        <f>IF(Source!$C111&gt;=COLUMNS($A111:Z111), Source!$G111, "")</f>
        <v/>
      </c>
      <c r="AA111" s="2" t="str">
        <f>IF(Source!$C111&gt;=COLUMNS($A111:AA111), Source!$G111, "")</f>
        <v/>
      </c>
      <c r="AB111" s="2" t="str">
        <f>IF(Source!$C111&gt;=COLUMNS($A111:AB111), Source!$G111, "")</f>
        <v/>
      </c>
      <c r="AC111" s="2" t="str">
        <f>IF(Source!$C111&gt;=COLUMNS($A111:AC111), Source!$G111, "")</f>
        <v/>
      </c>
      <c r="AD111" s="2" t="str">
        <f>IF(Source!$C111&gt;=COLUMNS($A111:AD111), Source!$G111, "")</f>
        <v/>
      </c>
      <c r="AE111" s="2" t="str">
        <f>IF(Source!$C111&gt;=COLUMNS($A111:AE111), Source!$G111, "")</f>
        <v/>
      </c>
      <c r="AF111" s="2" t="str">
        <f>IF(Source!$C111&gt;=COLUMNS($A111:AF111), Source!$G111, "")</f>
        <v/>
      </c>
      <c r="AG111" s="2" t="str">
        <f>IF(Source!$C111&gt;=COLUMNS($A111:AG111), Source!$G111, "")</f>
        <v/>
      </c>
      <c r="AH111" s="2" t="str">
        <f>IF(Source!$C111&gt;=COLUMNS($A111:AH111), Source!$G111, "")</f>
        <v/>
      </c>
      <c r="AI111" s="2" t="str">
        <f>IF(Source!$C111&gt;=COLUMNS($A111:AI111), Source!$G111, "")</f>
        <v/>
      </c>
      <c r="AJ111" s="2" t="str">
        <f>IF(Source!$C111&gt;=COLUMNS($A111:AJ111), Source!$G111, "")</f>
        <v/>
      </c>
      <c r="AK111" s="2" t="str">
        <f>IF(Source!$C111&gt;=COLUMNS($A111:AK111), Source!$G111, "")</f>
        <v/>
      </c>
      <c r="AL111" s="2" t="str">
        <f>IF(Source!$C111&gt;=COLUMNS($A111:AL111), Source!$G111, "")</f>
        <v/>
      </c>
      <c r="AM111" s="2" t="str">
        <f>IF(Source!$C111&gt;=COLUMNS($A111:AM111), Source!$G111, "")</f>
        <v/>
      </c>
      <c r="AN111" s="2" t="str">
        <f>IF(Source!$C111&gt;=COLUMNS($A111:AN111), Source!$G111, "")</f>
        <v/>
      </c>
      <c r="AO111" s="2" t="str">
        <f>IF(Source!$C111&gt;=COLUMNS($A111:AO111), Source!$G111, "")</f>
        <v/>
      </c>
      <c r="AP111" s="2" t="str">
        <f>IF(Source!$C111&gt;=COLUMNS($A111:AP111), Source!$G111, "")</f>
        <v/>
      </c>
      <c r="AQ111" s="2" t="str">
        <f>IF(Source!$C111&gt;=COLUMNS($A111:AQ111), Source!$G111, "")</f>
        <v/>
      </c>
      <c r="AR111" s="2" t="str">
        <f>IF(Source!$C111&gt;=COLUMNS($A111:AR111), Source!$G111, "")</f>
        <v/>
      </c>
    </row>
    <row r="112">
      <c r="A112" s="2">
        <f>IF(Source!$C112&gt;=COLUMNS($A112:A112), Source!$G112, "")</f>
        <v>2</v>
      </c>
      <c r="B112" s="2">
        <f>IF(Source!$C112&gt;=COLUMNS($A112:B112), Source!$G112, "")</f>
        <v>2</v>
      </c>
      <c r="C112" s="2" t="str">
        <f>IF(Source!$C112&gt;=COLUMNS($A112:C112), Source!$G112, "")</f>
        <v/>
      </c>
      <c r="D112" s="2" t="str">
        <f>IF(Source!$C112&gt;=COLUMNS($A112:D112), Source!$G112, "")</f>
        <v/>
      </c>
      <c r="E112" s="2" t="str">
        <f>IF(Source!$C112&gt;=COLUMNS($A112:E112), Source!$G112, "")</f>
        <v/>
      </c>
      <c r="F112" s="2" t="str">
        <f>IF(Source!$C112&gt;=COLUMNS($A112:F112), Source!$G112, "")</f>
        <v/>
      </c>
      <c r="G112" s="2" t="str">
        <f>IF(Source!$C112&gt;=COLUMNS($A112:G112), Source!$G112, "")</f>
        <v/>
      </c>
      <c r="H112" s="2" t="str">
        <f>IF(Source!$C112&gt;=COLUMNS($A112:H112), Source!$G112, "")</f>
        <v/>
      </c>
      <c r="I112" s="2" t="str">
        <f>IF(Source!$C112&gt;=COLUMNS($A112:I112), Source!$G112, "")</f>
        <v/>
      </c>
      <c r="J112" s="2" t="str">
        <f>IF(Source!$C112&gt;=COLUMNS($A112:J112), Source!$G112, "")</f>
        <v/>
      </c>
      <c r="K112" s="2" t="str">
        <f>IF(Source!$C112&gt;=COLUMNS($A112:K112), Source!$G112, "")</f>
        <v/>
      </c>
      <c r="L112" s="2" t="str">
        <f>IF(Source!$C112&gt;=COLUMNS($A112:L112), Source!$G112, "")</f>
        <v/>
      </c>
      <c r="M112" s="2" t="str">
        <f>IF(Source!$C112&gt;=COLUMNS($A112:M112), Source!$G112, "")</f>
        <v/>
      </c>
      <c r="N112" s="2" t="str">
        <f>IF(Source!$C112&gt;=COLUMNS($A112:N112), Source!$G112, "")</f>
        <v/>
      </c>
      <c r="O112" s="2" t="str">
        <f>IF(Source!$C112&gt;=COLUMNS($A112:O112), Source!$G112, "")</f>
        <v/>
      </c>
      <c r="P112" s="2" t="str">
        <f>IF(Source!$C112&gt;=COLUMNS($A112:P112), Source!$G112, "")</f>
        <v/>
      </c>
      <c r="Q112" s="2" t="str">
        <f>IF(Source!$C112&gt;=COLUMNS($A112:Q112), Source!$G112, "")</f>
        <v/>
      </c>
      <c r="R112" s="2" t="str">
        <f>IF(Source!$C112&gt;=COLUMNS($A112:R112), Source!$G112, "")</f>
        <v/>
      </c>
      <c r="S112" s="2" t="str">
        <f>IF(Source!$C112&gt;=COLUMNS($A112:S112), Source!$G112, "")</f>
        <v/>
      </c>
      <c r="T112" s="2" t="str">
        <f>IF(Source!$C112&gt;=COLUMNS($A112:T112), Source!$G112, "")</f>
        <v/>
      </c>
      <c r="U112" s="2" t="str">
        <f>IF(Source!$C112&gt;=COLUMNS($A112:U112), Source!$G112, "")</f>
        <v/>
      </c>
      <c r="V112" s="2" t="str">
        <f>IF(Source!$C112&gt;=COLUMNS($A112:V112), Source!$G112, "")</f>
        <v/>
      </c>
      <c r="W112" s="2" t="str">
        <f>IF(Source!$C112&gt;=COLUMNS($A112:W112), Source!$G112, "")</f>
        <v/>
      </c>
      <c r="X112" s="2" t="str">
        <f>IF(Source!$C112&gt;=COLUMNS($A112:X112), Source!$G112, "")</f>
        <v/>
      </c>
      <c r="Y112" s="2" t="str">
        <f>IF(Source!$C112&gt;=COLUMNS($A112:Y112), Source!$G112, "")</f>
        <v/>
      </c>
      <c r="Z112" s="2" t="str">
        <f>IF(Source!$C112&gt;=COLUMNS($A112:Z112), Source!$G112, "")</f>
        <v/>
      </c>
      <c r="AA112" s="2" t="str">
        <f>IF(Source!$C112&gt;=COLUMNS($A112:AA112), Source!$G112, "")</f>
        <v/>
      </c>
      <c r="AB112" s="2" t="str">
        <f>IF(Source!$C112&gt;=COLUMNS($A112:AB112), Source!$G112, "")</f>
        <v/>
      </c>
      <c r="AC112" s="2" t="str">
        <f>IF(Source!$C112&gt;=COLUMNS($A112:AC112), Source!$G112, "")</f>
        <v/>
      </c>
      <c r="AD112" s="2" t="str">
        <f>IF(Source!$C112&gt;=COLUMNS($A112:AD112), Source!$G112, "")</f>
        <v/>
      </c>
      <c r="AE112" s="2" t="str">
        <f>IF(Source!$C112&gt;=COLUMNS($A112:AE112), Source!$G112, "")</f>
        <v/>
      </c>
      <c r="AF112" s="2" t="str">
        <f>IF(Source!$C112&gt;=COLUMNS($A112:AF112), Source!$G112, "")</f>
        <v/>
      </c>
      <c r="AG112" s="2" t="str">
        <f>IF(Source!$C112&gt;=COLUMNS($A112:AG112), Source!$G112, "")</f>
        <v/>
      </c>
      <c r="AH112" s="2" t="str">
        <f>IF(Source!$C112&gt;=COLUMNS($A112:AH112), Source!$G112, "")</f>
        <v/>
      </c>
      <c r="AI112" s="2" t="str">
        <f>IF(Source!$C112&gt;=COLUMNS($A112:AI112), Source!$G112, "")</f>
        <v/>
      </c>
      <c r="AJ112" s="2" t="str">
        <f>IF(Source!$C112&gt;=COLUMNS($A112:AJ112), Source!$G112, "")</f>
        <v/>
      </c>
      <c r="AK112" s="2" t="str">
        <f>IF(Source!$C112&gt;=COLUMNS($A112:AK112), Source!$G112, "")</f>
        <v/>
      </c>
      <c r="AL112" s="2" t="str">
        <f>IF(Source!$C112&gt;=COLUMNS($A112:AL112), Source!$G112, "")</f>
        <v/>
      </c>
      <c r="AM112" s="2" t="str">
        <f>IF(Source!$C112&gt;=COLUMNS($A112:AM112), Source!$G112, "")</f>
        <v/>
      </c>
      <c r="AN112" s="2" t="str">
        <f>IF(Source!$C112&gt;=COLUMNS($A112:AN112), Source!$G112, "")</f>
        <v/>
      </c>
      <c r="AO112" s="2" t="str">
        <f>IF(Source!$C112&gt;=COLUMNS($A112:AO112), Source!$G112, "")</f>
        <v/>
      </c>
      <c r="AP112" s="2" t="str">
        <f>IF(Source!$C112&gt;=COLUMNS($A112:AP112), Source!$G112, "")</f>
        <v/>
      </c>
      <c r="AQ112" s="2" t="str">
        <f>IF(Source!$C112&gt;=COLUMNS($A112:AQ112), Source!$G112, "")</f>
        <v/>
      </c>
      <c r="AR112" s="2" t="str">
        <f>IF(Source!$C112&gt;=COLUMNS($A112:AR112), Source!$G112, "")</f>
        <v/>
      </c>
    </row>
    <row r="113">
      <c r="A113" s="2">
        <f>IF(Source!$C113&gt;=COLUMNS($A113:A113), Source!$G113, "")</f>
        <v>4</v>
      </c>
      <c r="B113" s="2">
        <f>IF(Source!$C113&gt;=COLUMNS($A113:B113), Source!$G113, "")</f>
        <v>4</v>
      </c>
      <c r="C113" s="2">
        <f>IF(Source!$C113&gt;=COLUMNS($A113:C113), Source!$G113, "")</f>
        <v>4</v>
      </c>
      <c r="D113" s="2">
        <f>IF(Source!$C113&gt;=COLUMNS($A113:D113), Source!$G113, "")</f>
        <v>4</v>
      </c>
      <c r="E113" s="2">
        <f>IF(Source!$C113&gt;=COLUMNS($A113:E113), Source!$G113, "")</f>
        <v>4</v>
      </c>
      <c r="F113" s="2">
        <f>IF(Source!$C113&gt;=COLUMNS($A113:F113), Source!$G113, "")</f>
        <v>4</v>
      </c>
      <c r="G113" s="2">
        <f>IF(Source!$C113&gt;=COLUMNS($A113:G113), Source!$G113, "")</f>
        <v>4</v>
      </c>
      <c r="H113" s="2">
        <f>IF(Source!$C113&gt;=COLUMNS($A113:H113), Source!$G113, "")</f>
        <v>4</v>
      </c>
      <c r="I113" s="2" t="str">
        <f>IF(Source!$C113&gt;=COLUMNS($A113:I113), Source!$G113, "")</f>
        <v/>
      </c>
      <c r="J113" s="2" t="str">
        <f>IF(Source!$C113&gt;=COLUMNS($A113:J113), Source!$G113, "")</f>
        <v/>
      </c>
      <c r="K113" s="2" t="str">
        <f>IF(Source!$C113&gt;=COLUMNS($A113:K113), Source!$G113, "")</f>
        <v/>
      </c>
      <c r="L113" s="2" t="str">
        <f>IF(Source!$C113&gt;=COLUMNS($A113:L113), Source!$G113, "")</f>
        <v/>
      </c>
      <c r="M113" s="2" t="str">
        <f>IF(Source!$C113&gt;=COLUMNS($A113:M113), Source!$G113, "")</f>
        <v/>
      </c>
      <c r="N113" s="2" t="str">
        <f>IF(Source!$C113&gt;=COLUMNS($A113:N113), Source!$G113, "")</f>
        <v/>
      </c>
      <c r="O113" s="2" t="str">
        <f>IF(Source!$C113&gt;=COLUMNS($A113:O113), Source!$G113, "")</f>
        <v/>
      </c>
      <c r="P113" s="2" t="str">
        <f>IF(Source!$C113&gt;=COLUMNS($A113:P113), Source!$G113, "")</f>
        <v/>
      </c>
      <c r="Q113" s="2" t="str">
        <f>IF(Source!$C113&gt;=COLUMNS($A113:Q113), Source!$G113, "")</f>
        <v/>
      </c>
      <c r="R113" s="2" t="str">
        <f>IF(Source!$C113&gt;=COLUMNS($A113:R113), Source!$G113, "")</f>
        <v/>
      </c>
      <c r="S113" s="2" t="str">
        <f>IF(Source!$C113&gt;=COLUMNS($A113:S113), Source!$G113, "")</f>
        <v/>
      </c>
      <c r="T113" s="2" t="str">
        <f>IF(Source!$C113&gt;=COLUMNS($A113:T113), Source!$G113, "")</f>
        <v/>
      </c>
      <c r="U113" s="2" t="str">
        <f>IF(Source!$C113&gt;=COLUMNS($A113:U113), Source!$G113, "")</f>
        <v/>
      </c>
      <c r="V113" s="2" t="str">
        <f>IF(Source!$C113&gt;=COLUMNS($A113:V113), Source!$G113, "")</f>
        <v/>
      </c>
      <c r="W113" s="2" t="str">
        <f>IF(Source!$C113&gt;=COLUMNS($A113:W113), Source!$G113, "")</f>
        <v/>
      </c>
      <c r="X113" s="2" t="str">
        <f>IF(Source!$C113&gt;=COLUMNS($A113:X113), Source!$G113, "")</f>
        <v/>
      </c>
      <c r="Y113" s="2" t="str">
        <f>IF(Source!$C113&gt;=COLUMNS($A113:Y113), Source!$G113, "")</f>
        <v/>
      </c>
      <c r="Z113" s="2" t="str">
        <f>IF(Source!$C113&gt;=COLUMNS($A113:Z113), Source!$G113, "")</f>
        <v/>
      </c>
      <c r="AA113" s="2" t="str">
        <f>IF(Source!$C113&gt;=COLUMNS($A113:AA113), Source!$G113, "")</f>
        <v/>
      </c>
      <c r="AB113" s="2" t="str">
        <f>IF(Source!$C113&gt;=COLUMNS($A113:AB113), Source!$G113, "")</f>
        <v/>
      </c>
      <c r="AC113" s="2" t="str">
        <f>IF(Source!$C113&gt;=COLUMNS($A113:AC113), Source!$G113, "")</f>
        <v/>
      </c>
      <c r="AD113" s="2" t="str">
        <f>IF(Source!$C113&gt;=COLUMNS($A113:AD113), Source!$G113, "")</f>
        <v/>
      </c>
      <c r="AE113" s="2" t="str">
        <f>IF(Source!$C113&gt;=COLUMNS($A113:AE113), Source!$G113, "")</f>
        <v/>
      </c>
      <c r="AF113" s="2" t="str">
        <f>IF(Source!$C113&gt;=COLUMNS($A113:AF113), Source!$G113, "")</f>
        <v/>
      </c>
      <c r="AG113" s="2" t="str">
        <f>IF(Source!$C113&gt;=COLUMNS($A113:AG113), Source!$G113, "")</f>
        <v/>
      </c>
      <c r="AH113" s="2" t="str">
        <f>IF(Source!$C113&gt;=COLUMNS($A113:AH113), Source!$G113, "")</f>
        <v/>
      </c>
      <c r="AI113" s="2" t="str">
        <f>IF(Source!$C113&gt;=COLUMNS($A113:AI113), Source!$G113, "")</f>
        <v/>
      </c>
      <c r="AJ113" s="2" t="str">
        <f>IF(Source!$C113&gt;=COLUMNS($A113:AJ113), Source!$G113, "")</f>
        <v/>
      </c>
      <c r="AK113" s="2" t="str">
        <f>IF(Source!$C113&gt;=COLUMNS($A113:AK113), Source!$G113, "")</f>
        <v/>
      </c>
      <c r="AL113" s="2" t="str">
        <f>IF(Source!$C113&gt;=COLUMNS($A113:AL113), Source!$G113, "")</f>
        <v/>
      </c>
      <c r="AM113" s="2" t="str">
        <f>IF(Source!$C113&gt;=COLUMNS($A113:AM113), Source!$G113, "")</f>
        <v/>
      </c>
      <c r="AN113" s="2" t="str">
        <f>IF(Source!$C113&gt;=COLUMNS($A113:AN113), Source!$G113, "")</f>
        <v/>
      </c>
      <c r="AO113" s="2" t="str">
        <f>IF(Source!$C113&gt;=COLUMNS($A113:AO113), Source!$G113, "")</f>
        <v/>
      </c>
      <c r="AP113" s="2" t="str">
        <f>IF(Source!$C113&gt;=COLUMNS($A113:AP113), Source!$G113, "")</f>
        <v/>
      </c>
      <c r="AQ113" s="2" t="str">
        <f>IF(Source!$C113&gt;=COLUMNS($A113:AQ113), Source!$G113, "")</f>
        <v/>
      </c>
      <c r="AR113" s="2" t="str">
        <f>IF(Source!$C113&gt;=COLUMNS($A113:AR113), Source!$G113, "")</f>
        <v/>
      </c>
    </row>
    <row r="114">
      <c r="A114" s="2">
        <f>IF(Source!$C114&gt;=COLUMNS($A114:A114), Source!$G114, "")</f>
        <v>2</v>
      </c>
      <c r="B114" s="2">
        <f>IF(Source!$C114&gt;=COLUMNS($A114:B114), Source!$G114, "")</f>
        <v>2</v>
      </c>
      <c r="C114" s="2">
        <f>IF(Source!$C114&gt;=COLUMNS($A114:C114), Source!$G114, "")</f>
        <v>2</v>
      </c>
      <c r="D114" s="2">
        <f>IF(Source!$C114&gt;=COLUMNS($A114:D114), Source!$G114, "")</f>
        <v>2</v>
      </c>
      <c r="E114" s="2">
        <f>IF(Source!$C114&gt;=COLUMNS($A114:E114), Source!$G114, "")</f>
        <v>2</v>
      </c>
      <c r="F114" s="2">
        <f>IF(Source!$C114&gt;=COLUMNS($A114:F114), Source!$G114, "")</f>
        <v>2</v>
      </c>
      <c r="G114" s="2">
        <f>IF(Source!$C114&gt;=COLUMNS($A114:G114), Source!$G114, "")</f>
        <v>2</v>
      </c>
      <c r="H114" s="2" t="str">
        <f>IF(Source!$C114&gt;=COLUMNS($A114:H114), Source!$G114, "")</f>
        <v/>
      </c>
      <c r="I114" s="2" t="str">
        <f>IF(Source!$C114&gt;=COLUMNS($A114:I114), Source!$G114, "")</f>
        <v/>
      </c>
      <c r="J114" s="2" t="str">
        <f>IF(Source!$C114&gt;=COLUMNS($A114:J114), Source!$G114, "")</f>
        <v/>
      </c>
      <c r="K114" s="2" t="str">
        <f>IF(Source!$C114&gt;=COLUMNS($A114:K114), Source!$G114, "")</f>
        <v/>
      </c>
      <c r="L114" s="2" t="str">
        <f>IF(Source!$C114&gt;=COLUMNS($A114:L114), Source!$G114, "")</f>
        <v/>
      </c>
      <c r="M114" s="2" t="str">
        <f>IF(Source!$C114&gt;=COLUMNS($A114:M114), Source!$G114, "")</f>
        <v/>
      </c>
      <c r="N114" s="2" t="str">
        <f>IF(Source!$C114&gt;=COLUMNS($A114:N114), Source!$G114, "")</f>
        <v/>
      </c>
      <c r="O114" s="2" t="str">
        <f>IF(Source!$C114&gt;=COLUMNS($A114:O114), Source!$G114, "")</f>
        <v/>
      </c>
      <c r="P114" s="2" t="str">
        <f>IF(Source!$C114&gt;=COLUMNS($A114:P114), Source!$G114, "")</f>
        <v/>
      </c>
      <c r="Q114" s="2" t="str">
        <f>IF(Source!$C114&gt;=COLUMNS($A114:Q114), Source!$G114, "")</f>
        <v/>
      </c>
      <c r="R114" s="2" t="str">
        <f>IF(Source!$C114&gt;=COLUMNS($A114:R114), Source!$G114, "")</f>
        <v/>
      </c>
      <c r="S114" s="2" t="str">
        <f>IF(Source!$C114&gt;=COLUMNS($A114:S114), Source!$G114, "")</f>
        <v/>
      </c>
      <c r="T114" s="2" t="str">
        <f>IF(Source!$C114&gt;=COLUMNS($A114:T114), Source!$G114, "")</f>
        <v/>
      </c>
      <c r="U114" s="2" t="str">
        <f>IF(Source!$C114&gt;=COLUMNS($A114:U114), Source!$G114, "")</f>
        <v/>
      </c>
      <c r="V114" s="2" t="str">
        <f>IF(Source!$C114&gt;=COLUMNS($A114:V114), Source!$G114, "")</f>
        <v/>
      </c>
      <c r="W114" s="2" t="str">
        <f>IF(Source!$C114&gt;=COLUMNS($A114:W114), Source!$G114, "")</f>
        <v/>
      </c>
      <c r="X114" s="2" t="str">
        <f>IF(Source!$C114&gt;=COLUMNS($A114:X114), Source!$G114, "")</f>
        <v/>
      </c>
      <c r="Y114" s="2" t="str">
        <f>IF(Source!$C114&gt;=COLUMNS($A114:Y114), Source!$G114, "")</f>
        <v/>
      </c>
      <c r="Z114" s="2" t="str">
        <f>IF(Source!$C114&gt;=COLUMNS($A114:Z114), Source!$G114, "")</f>
        <v/>
      </c>
      <c r="AA114" s="2" t="str">
        <f>IF(Source!$C114&gt;=COLUMNS($A114:AA114), Source!$G114, "")</f>
        <v/>
      </c>
      <c r="AB114" s="2" t="str">
        <f>IF(Source!$C114&gt;=COLUMNS($A114:AB114), Source!$G114, "")</f>
        <v/>
      </c>
      <c r="AC114" s="2" t="str">
        <f>IF(Source!$C114&gt;=COLUMNS($A114:AC114), Source!$G114, "")</f>
        <v/>
      </c>
      <c r="AD114" s="2" t="str">
        <f>IF(Source!$C114&gt;=COLUMNS($A114:AD114), Source!$G114, "")</f>
        <v/>
      </c>
      <c r="AE114" s="2" t="str">
        <f>IF(Source!$C114&gt;=COLUMNS($A114:AE114), Source!$G114, "")</f>
        <v/>
      </c>
      <c r="AF114" s="2" t="str">
        <f>IF(Source!$C114&gt;=COLUMNS($A114:AF114), Source!$G114, "")</f>
        <v/>
      </c>
      <c r="AG114" s="2" t="str">
        <f>IF(Source!$C114&gt;=COLUMNS($A114:AG114), Source!$G114, "")</f>
        <v/>
      </c>
      <c r="AH114" s="2" t="str">
        <f>IF(Source!$C114&gt;=COLUMNS($A114:AH114), Source!$G114, "")</f>
        <v/>
      </c>
      <c r="AI114" s="2" t="str">
        <f>IF(Source!$C114&gt;=COLUMNS($A114:AI114), Source!$G114, "")</f>
        <v/>
      </c>
      <c r="AJ114" s="2" t="str">
        <f>IF(Source!$C114&gt;=COLUMNS($A114:AJ114), Source!$G114, "")</f>
        <v/>
      </c>
      <c r="AK114" s="2" t="str">
        <f>IF(Source!$C114&gt;=COLUMNS($A114:AK114), Source!$G114, "")</f>
        <v/>
      </c>
      <c r="AL114" s="2" t="str">
        <f>IF(Source!$C114&gt;=COLUMNS($A114:AL114), Source!$G114, "")</f>
        <v/>
      </c>
      <c r="AM114" s="2" t="str">
        <f>IF(Source!$C114&gt;=COLUMNS($A114:AM114), Source!$G114, "")</f>
        <v/>
      </c>
      <c r="AN114" s="2" t="str">
        <f>IF(Source!$C114&gt;=COLUMNS($A114:AN114), Source!$G114, "")</f>
        <v/>
      </c>
      <c r="AO114" s="2" t="str">
        <f>IF(Source!$C114&gt;=COLUMNS($A114:AO114), Source!$G114, "")</f>
        <v/>
      </c>
      <c r="AP114" s="2" t="str">
        <f>IF(Source!$C114&gt;=COLUMNS($A114:AP114), Source!$G114, "")</f>
        <v/>
      </c>
      <c r="AQ114" s="2" t="str">
        <f>IF(Source!$C114&gt;=COLUMNS($A114:AQ114), Source!$G114, "")</f>
        <v/>
      </c>
      <c r="AR114" s="2" t="str">
        <f>IF(Source!$C114&gt;=COLUMNS($A114:AR114), Source!$G114, "")</f>
        <v/>
      </c>
    </row>
    <row r="115">
      <c r="A115" s="2">
        <f>IF(Source!$C115&gt;=COLUMNS($A115:A115), Source!$G115, "")</f>
        <v>1</v>
      </c>
      <c r="B115" s="2">
        <f>IF(Source!$C115&gt;=COLUMNS($A115:B115), Source!$G115, "")</f>
        <v>1</v>
      </c>
      <c r="C115" s="2">
        <f>IF(Source!$C115&gt;=COLUMNS($A115:C115), Source!$G115, "")</f>
        <v>1</v>
      </c>
      <c r="D115" s="2">
        <f>IF(Source!$C115&gt;=COLUMNS($A115:D115), Source!$G115, "")</f>
        <v>1</v>
      </c>
      <c r="E115" s="2">
        <f>IF(Source!$C115&gt;=COLUMNS($A115:E115), Source!$G115, "")</f>
        <v>1</v>
      </c>
      <c r="F115" s="2" t="str">
        <f>IF(Source!$C115&gt;=COLUMNS($A115:F115), Source!$G115, "")</f>
        <v/>
      </c>
      <c r="G115" s="2" t="str">
        <f>IF(Source!$C115&gt;=COLUMNS($A115:G115), Source!$G115, "")</f>
        <v/>
      </c>
      <c r="H115" s="2" t="str">
        <f>IF(Source!$C115&gt;=COLUMNS($A115:H115), Source!$G115, "")</f>
        <v/>
      </c>
      <c r="I115" s="2" t="str">
        <f>IF(Source!$C115&gt;=COLUMNS($A115:I115), Source!$G115, "")</f>
        <v/>
      </c>
      <c r="J115" s="2" t="str">
        <f>IF(Source!$C115&gt;=COLUMNS($A115:J115), Source!$G115, "")</f>
        <v/>
      </c>
      <c r="K115" s="2" t="str">
        <f>IF(Source!$C115&gt;=COLUMNS($A115:K115), Source!$G115, "")</f>
        <v/>
      </c>
      <c r="L115" s="2" t="str">
        <f>IF(Source!$C115&gt;=COLUMNS($A115:L115), Source!$G115, "")</f>
        <v/>
      </c>
      <c r="M115" s="2" t="str">
        <f>IF(Source!$C115&gt;=COLUMNS($A115:M115), Source!$G115, "")</f>
        <v/>
      </c>
      <c r="N115" s="2" t="str">
        <f>IF(Source!$C115&gt;=COLUMNS($A115:N115), Source!$G115, "")</f>
        <v/>
      </c>
      <c r="O115" s="2" t="str">
        <f>IF(Source!$C115&gt;=COLUMNS($A115:O115), Source!$G115, "")</f>
        <v/>
      </c>
      <c r="P115" s="2" t="str">
        <f>IF(Source!$C115&gt;=COLUMNS($A115:P115), Source!$G115, "")</f>
        <v/>
      </c>
      <c r="Q115" s="2" t="str">
        <f>IF(Source!$C115&gt;=COLUMNS($A115:Q115), Source!$G115, "")</f>
        <v/>
      </c>
      <c r="R115" s="2" t="str">
        <f>IF(Source!$C115&gt;=COLUMNS($A115:R115), Source!$G115, "")</f>
        <v/>
      </c>
      <c r="S115" s="2" t="str">
        <f>IF(Source!$C115&gt;=COLUMNS($A115:S115), Source!$G115, "")</f>
        <v/>
      </c>
      <c r="T115" s="2" t="str">
        <f>IF(Source!$C115&gt;=COLUMNS($A115:T115), Source!$G115, "")</f>
        <v/>
      </c>
      <c r="U115" s="2" t="str">
        <f>IF(Source!$C115&gt;=COLUMNS($A115:U115), Source!$G115, "")</f>
        <v/>
      </c>
      <c r="V115" s="2" t="str">
        <f>IF(Source!$C115&gt;=COLUMNS($A115:V115), Source!$G115, "")</f>
        <v/>
      </c>
      <c r="W115" s="2" t="str">
        <f>IF(Source!$C115&gt;=COLUMNS($A115:W115), Source!$G115, "")</f>
        <v/>
      </c>
      <c r="X115" s="2" t="str">
        <f>IF(Source!$C115&gt;=COLUMNS($A115:X115), Source!$G115, "")</f>
        <v/>
      </c>
      <c r="Y115" s="2" t="str">
        <f>IF(Source!$C115&gt;=COLUMNS($A115:Y115), Source!$G115, "")</f>
        <v/>
      </c>
      <c r="Z115" s="2" t="str">
        <f>IF(Source!$C115&gt;=COLUMNS($A115:Z115), Source!$G115, "")</f>
        <v/>
      </c>
      <c r="AA115" s="2" t="str">
        <f>IF(Source!$C115&gt;=COLUMNS($A115:AA115), Source!$G115, "")</f>
        <v/>
      </c>
      <c r="AB115" s="2" t="str">
        <f>IF(Source!$C115&gt;=COLUMNS($A115:AB115), Source!$G115, "")</f>
        <v/>
      </c>
      <c r="AC115" s="2" t="str">
        <f>IF(Source!$C115&gt;=COLUMNS($A115:AC115), Source!$G115, "")</f>
        <v/>
      </c>
      <c r="AD115" s="2" t="str">
        <f>IF(Source!$C115&gt;=COLUMNS($A115:AD115), Source!$G115, "")</f>
        <v/>
      </c>
      <c r="AE115" s="2" t="str">
        <f>IF(Source!$C115&gt;=COLUMNS($A115:AE115), Source!$G115, "")</f>
        <v/>
      </c>
      <c r="AF115" s="2" t="str">
        <f>IF(Source!$C115&gt;=COLUMNS($A115:AF115), Source!$G115, "")</f>
        <v/>
      </c>
      <c r="AG115" s="2" t="str">
        <f>IF(Source!$C115&gt;=COLUMNS($A115:AG115), Source!$G115, "")</f>
        <v/>
      </c>
      <c r="AH115" s="2" t="str">
        <f>IF(Source!$C115&gt;=COLUMNS($A115:AH115), Source!$G115, "")</f>
        <v/>
      </c>
      <c r="AI115" s="2" t="str">
        <f>IF(Source!$C115&gt;=COLUMNS($A115:AI115), Source!$G115, "")</f>
        <v/>
      </c>
      <c r="AJ115" s="2" t="str">
        <f>IF(Source!$C115&gt;=COLUMNS($A115:AJ115), Source!$G115, "")</f>
        <v/>
      </c>
      <c r="AK115" s="2" t="str">
        <f>IF(Source!$C115&gt;=COLUMNS($A115:AK115), Source!$G115, "")</f>
        <v/>
      </c>
      <c r="AL115" s="2" t="str">
        <f>IF(Source!$C115&gt;=COLUMNS($A115:AL115), Source!$G115, "")</f>
        <v/>
      </c>
      <c r="AM115" s="2" t="str">
        <f>IF(Source!$C115&gt;=COLUMNS($A115:AM115), Source!$G115, "")</f>
        <v/>
      </c>
      <c r="AN115" s="2" t="str">
        <f>IF(Source!$C115&gt;=COLUMNS($A115:AN115), Source!$G115, "")</f>
        <v/>
      </c>
      <c r="AO115" s="2" t="str">
        <f>IF(Source!$C115&gt;=COLUMNS($A115:AO115), Source!$G115, "")</f>
        <v/>
      </c>
      <c r="AP115" s="2" t="str">
        <f>IF(Source!$C115&gt;=COLUMNS($A115:AP115), Source!$G115, "")</f>
        <v/>
      </c>
      <c r="AQ115" s="2" t="str">
        <f>IF(Source!$C115&gt;=COLUMNS($A115:AQ115), Source!$G115, "")</f>
        <v/>
      </c>
      <c r="AR115" s="2" t="str">
        <f>IF(Source!$C115&gt;=COLUMNS($A115:AR115), Source!$G115, "")</f>
        <v/>
      </c>
    </row>
    <row r="116">
      <c r="A116" s="2">
        <f>IF(Source!$C116&gt;=COLUMNS($A116:A116), Source!$G116, "")</f>
        <v>6</v>
      </c>
      <c r="B116" s="2">
        <f>IF(Source!$C116&gt;=COLUMNS($A116:B116), Source!$G116, "")</f>
        <v>6</v>
      </c>
      <c r="C116" s="2">
        <f>IF(Source!$C116&gt;=COLUMNS($A116:C116), Source!$G116, "")</f>
        <v>6</v>
      </c>
      <c r="D116" s="2">
        <f>IF(Source!$C116&gt;=COLUMNS($A116:D116), Source!$G116, "")</f>
        <v>6</v>
      </c>
      <c r="E116" s="2" t="str">
        <f>IF(Source!$C116&gt;=COLUMNS($A116:E116), Source!$G116, "")</f>
        <v/>
      </c>
      <c r="F116" s="2" t="str">
        <f>IF(Source!$C116&gt;=COLUMNS($A116:F116), Source!$G116, "")</f>
        <v/>
      </c>
      <c r="G116" s="2" t="str">
        <f>IF(Source!$C116&gt;=COLUMNS($A116:G116), Source!$G116, "")</f>
        <v/>
      </c>
      <c r="H116" s="2" t="str">
        <f>IF(Source!$C116&gt;=COLUMNS($A116:H116), Source!$G116, "")</f>
        <v/>
      </c>
      <c r="I116" s="2" t="str">
        <f>IF(Source!$C116&gt;=COLUMNS($A116:I116), Source!$G116, "")</f>
        <v/>
      </c>
      <c r="J116" s="2" t="str">
        <f>IF(Source!$C116&gt;=COLUMNS($A116:J116), Source!$G116, "")</f>
        <v/>
      </c>
      <c r="K116" s="2" t="str">
        <f>IF(Source!$C116&gt;=COLUMNS($A116:K116), Source!$G116, "")</f>
        <v/>
      </c>
      <c r="L116" s="2" t="str">
        <f>IF(Source!$C116&gt;=COLUMNS($A116:L116), Source!$G116, "")</f>
        <v/>
      </c>
      <c r="M116" s="2" t="str">
        <f>IF(Source!$C116&gt;=COLUMNS($A116:M116), Source!$G116, "")</f>
        <v/>
      </c>
      <c r="N116" s="2" t="str">
        <f>IF(Source!$C116&gt;=COLUMNS($A116:N116), Source!$G116, "")</f>
        <v/>
      </c>
      <c r="O116" s="2" t="str">
        <f>IF(Source!$C116&gt;=COLUMNS($A116:O116), Source!$G116, "")</f>
        <v/>
      </c>
      <c r="P116" s="2" t="str">
        <f>IF(Source!$C116&gt;=COLUMNS($A116:P116), Source!$G116, "")</f>
        <v/>
      </c>
      <c r="Q116" s="2" t="str">
        <f>IF(Source!$C116&gt;=COLUMNS($A116:Q116), Source!$G116, "")</f>
        <v/>
      </c>
      <c r="R116" s="2" t="str">
        <f>IF(Source!$C116&gt;=COLUMNS($A116:R116), Source!$G116, "")</f>
        <v/>
      </c>
      <c r="S116" s="2" t="str">
        <f>IF(Source!$C116&gt;=COLUMNS($A116:S116), Source!$G116, "")</f>
        <v/>
      </c>
      <c r="T116" s="2" t="str">
        <f>IF(Source!$C116&gt;=COLUMNS($A116:T116), Source!$G116, "")</f>
        <v/>
      </c>
      <c r="U116" s="2" t="str">
        <f>IF(Source!$C116&gt;=COLUMNS($A116:U116), Source!$G116, "")</f>
        <v/>
      </c>
      <c r="V116" s="2" t="str">
        <f>IF(Source!$C116&gt;=COLUMNS($A116:V116), Source!$G116, "")</f>
        <v/>
      </c>
      <c r="W116" s="2" t="str">
        <f>IF(Source!$C116&gt;=COLUMNS($A116:W116), Source!$G116, "")</f>
        <v/>
      </c>
      <c r="X116" s="2" t="str">
        <f>IF(Source!$C116&gt;=COLUMNS($A116:X116), Source!$G116, "")</f>
        <v/>
      </c>
      <c r="Y116" s="2" t="str">
        <f>IF(Source!$C116&gt;=COLUMNS($A116:Y116), Source!$G116, "")</f>
        <v/>
      </c>
      <c r="Z116" s="2" t="str">
        <f>IF(Source!$C116&gt;=COLUMNS($A116:Z116), Source!$G116, "")</f>
        <v/>
      </c>
      <c r="AA116" s="2" t="str">
        <f>IF(Source!$C116&gt;=COLUMNS($A116:AA116), Source!$G116, "")</f>
        <v/>
      </c>
      <c r="AB116" s="2" t="str">
        <f>IF(Source!$C116&gt;=COLUMNS($A116:AB116), Source!$G116, "")</f>
        <v/>
      </c>
      <c r="AC116" s="2" t="str">
        <f>IF(Source!$C116&gt;=COLUMNS($A116:AC116), Source!$G116, "")</f>
        <v/>
      </c>
      <c r="AD116" s="2" t="str">
        <f>IF(Source!$C116&gt;=COLUMNS($A116:AD116), Source!$G116, "")</f>
        <v/>
      </c>
      <c r="AE116" s="2" t="str">
        <f>IF(Source!$C116&gt;=COLUMNS($A116:AE116), Source!$G116, "")</f>
        <v/>
      </c>
      <c r="AF116" s="2" t="str">
        <f>IF(Source!$C116&gt;=COLUMNS($A116:AF116), Source!$G116, "")</f>
        <v/>
      </c>
      <c r="AG116" s="2" t="str">
        <f>IF(Source!$C116&gt;=COLUMNS($A116:AG116), Source!$G116, "")</f>
        <v/>
      </c>
      <c r="AH116" s="2" t="str">
        <f>IF(Source!$C116&gt;=COLUMNS($A116:AH116), Source!$G116, "")</f>
        <v/>
      </c>
      <c r="AI116" s="2" t="str">
        <f>IF(Source!$C116&gt;=COLUMNS($A116:AI116), Source!$G116, "")</f>
        <v/>
      </c>
      <c r="AJ116" s="2" t="str">
        <f>IF(Source!$C116&gt;=COLUMNS($A116:AJ116), Source!$G116, "")</f>
        <v/>
      </c>
      <c r="AK116" s="2" t="str">
        <f>IF(Source!$C116&gt;=COLUMNS($A116:AK116), Source!$G116, "")</f>
        <v/>
      </c>
      <c r="AL116" s="2" t="str">
        <f>IF(Source!$C116&gt;=COLUMNS($A116:AL116), Source!$G116, "")</f>
        <v/>
      </c>
      <c r="AM116" s="2" t="str">
        <f>IF(Source!$C116&gt;=COLUMNS($A116:AM116), Source!$G116, "")</f>
        <v/>
      </c>
      <c r="AN116" s="2" t="str">
        <f>IF(Source!$C116&gt;=COLUMNS($A116:AN116), Source!$G116, "")</f>
        <v/>
      </c>
      <c r="AO116" s="2" t="str">
        <f>IF(Source!$C116&gt;=COLUMNS($A116:AO116), Source!$G116, "")</f>
        <v/>
      </c>
      <c r="AP116" s="2" t="str">
        <f>IF(Source!$C116&gt;=COLUMNS($A116:AP116), Source!$G116, "")</f>
        <v/>
      </c>
      <c r="AQ116" s="2" t="str">
        <f>IF(Source!$C116&gt;=COLUMNS($A116:AQ116), Source!$G116, "")</f>
        <v/>
      </c>
      <c r="AR116" s="2" t="str">
        <f>IF(Source!$C116&gt;=COLUMNS($A116:AR116), Source!$G116, "")</f>
        <v/>
      </c>
    </row>
    <row r="117">
      <c r="A117" s="2">
        <f>IF(Source!$C117&gt;=COLUMNS($A117:A117), Source!$G117, "")</f>
        <v>6</v>
      </c>
      <c r="B117" s="2" t="str">
        <f>IF(Source!$C117&gt;=COLUMNS($A117:B117), Source!$G117, "")</f>
        <v/>
      </c>
      <c r="C117" s="2" t="str">
        <f>IF(Source!$C117&gt;=COLUMNS($A117:C117), Source!$G117, "")</f>
        <v/>
      </c>
      <c r="D117" s="2" t="str">
        <f>IF(Source!$C117&gt;=COLUMNS($A117:D117), Source!$G117, "")</f>
        <v/>
      </c>
      <c r="E117" s="2" t="str">
        <f>IF(Source!$C117&gt;=COLUMNS($A117:E117), Source!$G117, "")</f>
        <v/>
      </c>
      <c r="F117" s="2" t="str">
        <f>IF(Source!$C117&gt;=COLUMNS($A117:F117), Source!$G117, "")</f>
        <v/>
      </c>
      <c r="G117" s="2" t="str">
        <f>IF(Source!$C117&gt;=COLUMNS($A117:G117), Source!$G117, "")</f>
        <v/>
      </c>
      <c r="H117" s="2" t="str">
        <f>IF(Source!$C117&gt;=COLUMNS($A117:H117), Source!$G117, "")</f>
        <v/>
      </c>
      <c r="I117" s="2" t="str">
        <f>IF(Source!$C117&gt;=COLUMNS($A117:I117), Source!$G117, "")</f>
        <v/>
      </c>
      <c r="J117" s="2" t="str">
        <f>IF(Source!$C117&gt;=COLUMNS($A117:J117), Source!$G117, "")</f>
        <v/>
      </c>
      <c r="K117" s="2" t="str">
        <f>IF(Source!$C117&gt;=COLUMNS($A117:K117), Source!$G117, "")</f>
        <v/>
      </c>
      <c r="L117" s="2" t="str">
        <f>IF(Source!$C117&gt;=COLUMNS($A117:L117), Source!$G117, "")</f>
        <v/>
      </c>
      <c r="M117" s="2" t="str">
        <f>IF(Source!$C117&gt;=COLUMNS($A117:M117), Source!$G117, "")</f>
        <v/>
      </c>
      <c r="N117" s="2" t="str">
        <f>IF(Source!$C117&gt;=COLUMNS($A117:N117), Source!$G117, "")</f>
        <v/>
      </c>
      <c r="O117" s="2" t="str">
        <f>IF(Source!$C117&gt;=COLUMNS($A117:O117), Source!$G117, "")</f>
        <v/>
      </c>
      <c r="P117" s="2" t="str">
        <f>IF(Source!$C117&gt;=COLUMNS($A117:P117), Source!$G117, "")</f>
        <v/>
      </c>
      <c r="Q117" s="2" t="str">
        <f>IF(Source!$C117&gt;=COLUMNS($A117:Q117), Source!$G117, "")</f>
        <v/>
      </c>
      <c r="R117" s="2" t="str">
        <f>IF(Source!$C117&gt;=COLUMNS($A117:R117), Source!$G117, "")</f>
        <v/>
      </c>
      <c r="S117" s="2" t="str">
        <f>IF(Source!$C117&gt;=COLUMNS($A117:S117), Source!$G117, "")</f>
        <v/>
      </c>
      <c r="T117" s="2" t="str">
        <f>IF(Source!$C117&gt;=COLUMNS($A117:T117), Source!$G117, "")</f>
        <v/>
      </c>
      <c r="U117" s="2" t="str">
        <f>IF(Source!$C117&gt;=COLUMNS($A117:U117), Source!$G117, "")</f>
        <v/>
      </c>
      <c r="V117" s="2" t="str">
        <f>IF(Source!$C117&gt;=COLUMNS($A117:V117), Source!$G117, "")</f>
        <v/>
      </c>
      <c r="W117" s="2" t="str">
        <f>IF(Source!$C117&gt;=COLUMNS($A117:W117), Source!$G117, "")</f>
        <v/>
      </c>
      <c r="X117" s="2" t="str">
        <f>IF(Source!$C117&gt;=COLUMNS($A117:X117), Source!$G117, "")</f>
        <v/>
      </c>
      <c r="Y117" s="2" t="str">
        <f>IF(Source!$C117&gt;=COLUMNS($A117:Y117), Source!$G117, "")</f>
        <v/>
      </c>
      <c r="Z117" s="2" t="str">
        <f>IF(Source!$C117&gt;=COLUMNS($A117:Z117), Source!$G117, "")</f>
        <v/>
      </c>
      <c r="AA117" s="2" t="str">
        <f>IF(Source!$C117&gt;=COLUMNS($A117:AA117), Source!$G117, "")</f>
        <v/>
      </c>
      <c r="AB117" s="2" t="str">
        <f>IF(Source!$C117&gt;=COLUMNS($A117:AB117), Source!$G117, "")</f>
        <v/>
      </c>
      <c r="AC117" s="2" t="str">
        <f>IF(Source!$C117&gt;=COLUMNS($A117:AC117), Source!$G117, "")</f>
        <v/>
      </c>
      <c r="AD117" s="2" t="str">
        <f>IF(Source!$C117&gt;=COLUMNS($A117:AD117), Source!$G117, "")</f>
        <v/>
      </c>
      <c r="AE117" s="2" t="str">
        <f>IF(Source!$C117&gt;=COLUMNS($A117:AE117), Source!$G117, "")</f>
        <v/>
      </c>
      <c r="AF117" s="2" t="str">
        <f>IF(Source!$C117&gt;=COLUMNS($A117:AF117), Source!$G117, "")</f>
        <v/>
      </c>
      <c r="AG117" s="2" t="str">
        <f>IF(Source!$C117&gt;=COLUMNS($A117:AG117), Source!$G117, "")</f>
        <v/>
      </c>
      <c r="AH117" s="2" t="str">
        <f>IF(Source!$C117&gt;=COLUMNS($A117:AH117), Source!$G117, "")</f>
        <v/>
      </c>
      <c r="AI117" s="2" t="str">
        <f>IF(Source!$C117&gt;=COLUMNS($A117:AI117), Source!$G117, "")</f>
        <v/>
      </c>
      <c r="AJ117" s="2" t="str">
        <f>IF(Source!$C117&gt;=COLUMNS($A117:AJ117), Source!$G117, "")</f>
        <v/>
      </c>
      <c r="AK117" s="2" t="str">
        <f>IF(Source!$C117&gt;=COLUMNS($A117:AK117), Source!$G117, "")</f>
        <v/>
      </c>
      <c r="AL117" s="2" t="str">
        <f>IF(Source!$C117&gt;=COLUMNS($A117:AL117), Source!$G117, "")</f>
        <v/>
      </c>
      <c r="AM117" s="2" t="str">
        <f>IF(Source!$C117&gt;=COLUMNS($A117:AM117), Source!$G117, "")</f>
        <v/>
      </c>
      <c r="AN117" s="2" t="str">
        <f>IF(Source!$C117&gt;=COLUMNS($A117:AN117), Source!$G117, "")</f>
        <v/>
      </c>
      <c r="AO117" s="2" t="str">
        <f>IF(Source!$C117&gt;=COLUMNS($A117:AO117), Source!$G117, "")</f>
        <v/>
      </c>
      <c r="AP117" s="2" t="str">
        <f>IF(Source!$C117&gt;=COLUMNS($A117:AP117), Source!$G117, "")</f>
        <v/>
      </c>
      <c r="AQ117" s="2" t="str">
        <f>IF(Source!$C117&gt;=COLUMNS($A117:AQ117), Source!$G117, "")</f>
        <v/>
      </c>
      <c r="AR117" s="2" t="str">
        <f>IF(Source!$C117&gt;=COLUMNS($A117:AR117), Source!$G117, "")</f>
        <v/>
      </c>
    </row>
    <row r="118">
      <c r="A118" s="2">
        <f>IF(Source!$C118&gt;=COLUMNS($A118:A118), Source!$G118, "")</f>
        <v>8</v>
      </c>
      <c r="B118" s="2">
        <f>IF(Source!$C118&gt;=COLUMNS($A118:B118), Source!$G118, "")</f>
        <v>8</v>
      </c>
      <c r="C118" s="2">
        <f>IF(Source!$C118&gt;=COLUMNS($A118:C118), Source!$G118, "")</f>
        <v>8</v>
      </c>
      <c r="D118" s="2">
        <f>IF(Source!$C118&gt;=COLUMNS($A118:D118), Source!$G118, "")</f>
        <v>8</v>
      </c>
      <c r="E118" s="2">
        <f>IF(Source!$C118&gt;=COLUMNS($A118:E118), Source!$G118, "")</f>
        <v>8</v>
      </c>
      <c r="F118" s="2">
        <f>IF(Source!$C118&gt;=COLUMNS($A118:F118), Source!$G118, "")</f>
        <v>8</v>
      </c>
      <c r="G118" s="2" t="str">
        <f>IF(Source!$C118&gt;=COLUMNS($A118:G118), Source!$G118, "")</f>
        <v/>
      </c>
      <c r="H118" s="2" t="str">
        <f>IF(Source!$C118&gt;=COLUMNS($A118:H118), Source!$G118, "")</f>
        <v/>
      </c>
      <c r="I118" s="2" t="str">
        <f>IF(Source!$C118&gt;=COLUMNS($A118:I118), Source!$G118, "")</f>
        <v/>
      </c>
      <c r="J118" s="2" t="str">
        <f>IF(Source!$C118&gt;=COLUMNS($A118:J118), Source!$G118, "")</f>
        <v/>
      </c>
      <c r="K118" s="2" t="str">
        <f>IF(Source!$C118&gt;=COLUMNS($A118:K118), Source!$G118, "")</f>
        <v/>
      </c>
      <c r="L118" s="2" t="str">
        <f>IF(Source!$C118&gt;=COLUMNS($A118:L118), Source!$G118, "")</f>
        <v/>
      </c>
      <c r="M118" s="2" t="str">
        <f>IF(Source!$C118&gt;=COLUMNS($A118:M118), Source!$G118, "")</f>
        <v/>
      </c>
      <c r="N118" s="2" t="str">
        <f>IF(Source!$C118&gt;=COLUMNS($A118:N118), Source!$G118, "")</f>
        <v/>
      </c>
      <c r="O118" s="2" t="str">
        <f>IF(Source!$C118&gt;=COLUMNS($A118:O118), Source!$G118, "")</f>
        <v/>
      </c>
      <c r="P118" s="2" t="str">
        <f>IF(Source!$C118&gt;=COLUMNS($A118:P118), Source!$G118, "")</f>
        <v/>
      </c>
      <c r="Q118" s="2" t="str">
        <f>IF(Source!$C118&gt;=COLUMNS($A118:Q118), Source!$G118, "")</f>
        <v/>
      </c>
      <c r="R118" s="2" t="str">
        <f>IF(Source!$C118&gt;=COLUMNS($A118:R118), Source!$G118, "")</f>
        <v/>
      </c>
      <c r="S118" s="2" t="str">
        <f>IF(Source!$C118&gt;=COLUMNS($A118:S118), Source!$G118, "")</f>
        <v/>
      </c>
      <c r="T118" s="2" t="str">
        <f>IF(Source!$C118&gt;=COLUMNS($A118:T118), Source!$G118, "")</f>
        <v/>
      </c>
      <c r="U118" s="2" t="str">
        <f>IF(Source!$C118&gt;=COLUMNS($A118:U118), Source!$G118, "")</f>
        <v/>
      </c>
      <c r="V118" s="2" t="str">
        <f>IF(Source!$C118&gt;=COLUMNS($A118:V118), Source!$G118, "")</f>
        <v/>
      </c>
      <c r="W118" s="2" t="str">
        <f>IF(Source!$C118&gt;=COLUMNS($A118:W118), Source!$G118, "")</f>
        <v/>
      </c>
      <c r="X118" s="2" t="str">
        <f>IF(Source!$C118&gt;=COLUMNS($A118:X118), Source!$G118, "")</f>
        <v/>
      </c>
      <c r="Y118" s="2" t="str">
        <f>IF(Source!$C118&gt;=COLUMNS($A118:Y118), Source!$G118, "")</f>
        <v/>
      </c>
      <c r="Z118" s="2" t="str">
        <f>IF(Source!$C118&gt;=COLUMNS($A118:Z118), Source!$G118, "")</f>
        <v/>
      </c>
      <c r="AA118" s="2" t="str">
        <f>IF(Source!$C118&gt;=COLUMNS($A118:AA118), Source!$G118, "")</f>
        <v/>
      </c>
      <c r="AB118" s="2" t="str">
        <f>IF(Source!$C118&gt;=COLUMNS($A118:AB118), Source!$G118, "")</f>
        <v/>
      </c>
      <c r="AC118" s="2" t="str">
        <f>IF(Source!$C118&gt;=COLUMNS($A118:AC118), Source!$G118, "")</f>
        <v/>
      </c>
      <c r="AD118" s="2" t="str">
        <f>IF(Source!$C118&gt;=COLUMNS($A118:AD118), Source!$G118, "")</f>
        <v/>
      </c>
      <c r="AE118" s="2" t="str">
        <f>IF(Source!$C118&gt;=COLUMNS($A118:AE118), Source!$G118, "")</f>
        <v/>
      </c>
      <c r="AF118" s="2" t="str">
        <f>IF(Source!$C118&gt;=COLUMNS($A118:AF118), Source!$G118, "")</f>
        <v/>
      </c>
      <c r="AG118" s="2" t="str">
        <f>IF(Source!$C118&gt;=COLUMNS($A118:AG118), Source!$G118, "")</f>
        <v/>
      </c>
      <c r="AH118" s="2" t="str">
        <f>IF(Source!$C118&gt;=COLUMNS($A118:AH118), Source!$G118, "")</f>
        <v/>
      </c>
      <c r="AI118" s="2" t="str">
        <f>IF(Source!$C118&gt;=COLUMNS($A118:AI118), Source!$G118, "")</f>
        <v/>
      </c>
      <c r="AJ118" s="2" t="str">
        <f>IF(Source!$C118&gt;=COLUMNS($A118:AJ118), Source!$G118, "")</f>
        <v/>
      </c>
      <c r="AK118" s="2" t="str">
        <f>IF(Source!$C118&gt;=COLUMNS($A118:AK118), Source!$G118, "")</f>
        <v/>
      </c>
      <c r="AL118" s="2" t="str">
        <f>IF(Source!$C118&gt;=COLUMNS($A118:AL118), Source!$G118, "")</f>
        <v/>
      </c>
      <c r="AM118" s="2" t="str">
        <f>IF(Source!$C118&gt;=COLUMNS($A118:AM118), Source!$G118, "")</f>
        <v/>
      </c>
      <c r="AN118" s="2" t="str">
        <f>IF(Source!$C118&gt;=COLUMNS($A118:AN118), Source!$G118, "")</f>
        <v/>
      </c>
      <c r="AO118" s="2" t="str">
        <f>IF(Source!$C118&gt;=COLUMNS($A118:AO118), Source!$G118, "")</f>
        <v/>
      </c>
      <c r="AP118" s="2" t="str">
        <f>IF(Source!$C118&gt;=COLUMNS($A118:AP118), Source!$G118, "")</f>
        <v/>
      </c>
      <c r="AQ118" s="2" t="str">
        <f>IF(Source!$C118&gt;=COLUMNS($A118:AQ118), Source!$G118, "")</f>
        <v/>
      </c>
      <c r="AR118" s="2" t="str">
        <f>IF(Source!$C118&gt;=COLUMNS($A118:AR118), Source!$G118, "")</f>
        <v/>
      </c>
    </row>
    <row r="119">
      <c r="A119" s="2">
        <f>IF(Source!$C119&gt;=COLUMNS($A119:A119), Source!$G119, "")</f>
        <v>4</v>
      </c>
      <c r="B119" s="2">
        <f>IF(Source!$C119&gt;=COLUMNS($A119:B119), Source!$G119, "")</f>
        <v>4</v>
      </c>
      <c r="C119" s="2" t="str">
        <f>IF(Source!$C119&gt;=COLUMNS($A119:C119), Source!$G119, "")</f>
        <v/>
      </c>
      <c r="D119" s="2" t="str">
        <f>IF(Source!$C119&gt;=COLUMNS($A119:D119), Source!$G119, "")</f>
        <v/>
      </c>
      <c r="E119" s="2" t="str">
        <f>IF(Source!$C119&gt;=COLUMNS($A119:E119), Source!$G119, "")</f>
        <v/>
      </c>
      <c r="F119" s="2" t="str">
        <f>IF(Source!$C119&gt;=COLUMNS($A119:F119), Source!$G119, "")</f>
        <v/>
      </c>
      <c r="G119" s="2" t="str">
        <f>IF(Source!$C119&gt;=COLUMNS($A119:G119), Source!$G119, "")</f>
        <v/>
      </c>
      <c r="H119" s="2" t="str">
        <f>IF(Source!$C119&gt;=COLUMNS($A119:H119), Source!$G119, "")</f>
        <v/>
      </c>
      <c r="I119" s="2" t="str">
        <f>IF(Source!$C119&gt;=COLUMNS($A119:I119), Source!$G119, "")</f>
        <v/>
      </c>
      <c r="J119" s="2" t="str">
        <f>IF(Source!$C119&gt;=COLUMNS($A119:J119), Source!$G119, "")</f>
        <v/>
      </c>
      <c r="K119" s="2" t="str">
        <f>IF(Source!$C119&gt;=COLUMNS($A119:K119), Source!$G119, "")</f>
        <v/>
      </c>
      <c r="L119" s="2" t="str">
        <f>IF(Source!$C119&gt;=COLUMNS($A119:L119), Source!$G119, "")</f>
        <v/>
      </c>
      <c r="M119" s="2" t="str">
        <f>IF(Source!$C119&gt;=COLUMNS($A119:M119), Source!$G119, "")</f>
        <v/>
      </c>
      <c r="N119" s="2" t="str">
        <f>IF(Source!$C119&gt;=COLUMNS($A119:N119), Source!$G119, "")</f>
        <v/>
      </c>
      <c r="O119" s="2" t="str">
        <f>IF(Source!$C119&gt;=COLUMNS($A119:O119), Source!$G119, "")</f>
        <v/>
      </c>
      <c r="P119" s="2" t="str">
        <f>IF(Source!$C119&gt;=COLUMNS($A119:P119), Source!$G119, "")</f>
        <v/>
      </c>
      <c r="Q119" s="2" t="str">
        <f>IF(Source!$C119&gt;=COLUMNS($A119:Q119), Source!$G119, "")</f>
        <v/>
      </c>
      <c r="R119" s="2" t="str">
        <f>IF(Source!$C119&gt;=COLUMNS($A119:R119), Source!$G119, "")</f>
        <v/>
      </c>
      <c r="S119" s="2" t="str">
        <f>IF(Source!$C119&gt;=COLUMNS($A119:S119), Source!$G119, "")</f>
        <v/>
      </c>
      <c r="T119" s="2" t="str">
        <f>IF(Source!$C119&gt;=COLUMNS($A119:T119), Source!$G119, "")</f>
        <v/>
      </c>
      <c r="U119" s="2" t="str">
        <f>IF(Source!$C119&gt;=COLUMNS($A119:U119), Source!$G119, "")</f>
        <v/>
      </c>
      <c r="V119" s="2" t="str">
        <f>IF(Source!$C119&gt;=COLUMNS($A119:V119), Source!$G119, "")</f>
        <v/>
      </c>
      <c r="W119" s="2" t="str">
        <f>IF(Source!$C119&gt;=COLUMNS($A119:W119), Source!$G119, "")</f>
        <v/>
      </c>
      <c r="X119" s="2" t="str">
        <f>IF(Source!$C119&gt;=COLUMNS($A119:X119), Source!$G119, "")</f>
        <v/>
      </c>
      <c r="Y119" s="2" t="str">
        <f>IF(Source!$C119&gt;=COLUMNS($A119:Y119), Source!$G119, "")</f>
        <v/>
      </c>
      <c r="Z119" s="2" t="str">
        <f>IF(Source!$C119&gt;=COLUMNS($A119:Z119), Source!$G119, "")</f>
        <v/>
      </c>
      <c r="AA119" s="2" t="str">
        <f>IF(Source!$C119&gt;=COLUMNS($A119:AA119), Source!$G119, "")</f>
        <v/>
      </c>
      <c r="AB119" s="2" t="str">
        <f>IF(Source!$C119&gt;=COLUMNS($A119:AB119), Source!$G119, "")</f>
        <v/>
      </c>
      <c r="AC119" s="2" t="str">
        <f>IF(Source!$C119&gt;=COLUMNS($A119:AC119), Source!$G119, "")</f>
        <v/>
      </c>
      <c r="AD119" s="2" t="str">
        <f>IF(Source!$C119&gt;=COLUMNS($A119:AD119), Source!$G119, "")</f>
        <v/>
      </c>
      <c r="AE119" s="2" t="str">
        <f>IF(Source!$C119&gt;=COLUMNS($A119:AE119), Source!$G119, "")</f>
        <v/>
      </c>
      <c r="AF119" s="2" t="str">
        <f>IF(Source!$C119&gt;=COLUMNS($A119:AF119), Source!$G119, "")</f>
        <v/>
      </c>
      <c r="AG119" s="2" t="str">
        <f>IF(Source!$C119&gt;=COLUMNS($A119:AG119), Source!$G119, "")</f>
        <v/>
      </c>
      <c r="AH119" s="2" t="str">
        <f>IF(Source!$C119&gt;=COLUMNS($A119:AH119), Source!$G119, "")</f>
        <v/>
      </c>
      <c r="AI119" s="2" t="str">
        <f>IF(Source!$C119&gt;=COLUMNS($A119:AI119), Source!$G119, "")</f>
        <v/>
      </c>
      <c r="AJ119" s="2" t="str">
        <f>IF(Source!$C119&gt;=COLUMNS($A119:AJ119), Source!$G119, "")</f>
        <v/>
      </c>
      <c r="AK119" s="2" t="str">
        <f>IF(Source!$C119&gt;=COLUMNS($A119:AK119), Source!$G119, "")</f>
        <v/>
      </c>
      <c r="AL119" s="2" t="str">
        <f>IF(Source!$C119&gt;=COLUMNS($A119:AL119), Source!$G119, "")</f>
        <v/>
      </c>
      <c r="AM119" s="2" t="str">
        <f>IF(Source!$C119&gt;=COLUMNS($A119:AM119), Source!$G119, "")</f>
        <v/>
      </c>
      <c r="AN119" s="2" t="str">
        <f>IF(Source!$C119&gt;=COLUMNS($A119:AN119), Source!$G119, "")</f>
        <v/>
      </c>
      <c r="AO119" s="2" t="str">
        <f>IF(Source!$C119&gt;=COLUMNS($A119:AO119), Source!$G119, "")</f>
        <v/>
      </c>
      <c r="AP119" s="2" t="str">
        <f>IF(Source!$C119&gt;=COLUMNS($A119:AP119), Source!$G119, "")</f>
        <v/>
      </c>
      <c r="AQ119" s="2" t="str">
        <f>IF(Source!$C119&gt;=COLUMNS($A119:AQ119), Source!$G119, "")</f>
        <v/>
      </c>
      <c r="AR119" s="2" t="str">
        <f>IF(Source!$C119&gt;=COLUMNS($A119:AR119), Source!$G119, "")</f>
        <v/>
      </c>
    </row>
    <row r="120">
      <c r="A120" s="2">
        <f>IF(Source!$C120&gt;=COLUMNS($A120:A120), Source!$G120, "")</f>
        <v>6</v>
      </c>
      <c r="B120" s="2">
        <f>IF(Source!$C120&gt;=COLUMNS($A120:B120), Source!$G120, "")</f>
        <v>6</v>
      </c>
      <c r="C120" s="2">
        <f>IF(Source!$C120&gt;=COLUMNS($A120:C120), Source!$G120, "")</f>
        <v>6</v>
      </c>
      <c r="D120" s="2">
        <f>IF(Source!$C120&gt;=COLUMNS($A120:D120), Source!$G120, "")</f>
        <v>6</v>
      </c>
      <c r="E120" s="2">
        <f>IF(Source!$C120&gt;=COLUMNS($A120:E120), Source!$G120, "")</f>
        <v>6</v>
      </c>
      <c r="F120" s="2">
        <f>IF(Source!$C120&gt;=COLUMNS($A120:F120), Source!$G120, "")</f>
        <v>6</v>
      </c>
      <c r="G120" s="2">
        <f>IF(Source!$C120&gt;=COLUMNS($A120:G120), Source!$G120, "")</f>
        <v>6</v>
      </c>
      <c r="H120" s="2">
        <f>IF(Source!$C120&gt;=COLUMNS($A120:H120), Source!$G120, "")</f>
        <v>6</v>
      </c>
      <c r="I120" s="2">
        <f>IF(Source!$C120&gt;=COLUMNS($A120:I120), Source!$G120, "")</f>
        <v>6</v>
      </c>
      <c r="J120" s="2">
        <f>IF(Source!$C120&gt;=COLUMNS($A120:J120), Source!$G120, "")</f>
        <v>6</v>
      </c>
      <c r="K120" s="2">
        <f>IF(Source!$C120&gt;=COLUMNS($A120:K120), Source!$G120, "")</f>
        <v>6</v>
      </c>
      <c r="L120" s="2">
        <f>IF(Source!$C120&gt;=COLUMNS($A120:L120), Source!$G120, "")</f>
        <v>6</v>
      </c>
      <c r="M120" s="2">
        <f>IF(Source!$C120&gt;=COLUMNS($A120:M120), Source!$G120, "")</f>
        <v>6</v>
      </c>
      <c r="N120" s="2">
        <f>IF(Source!$C120&gt;=COLUMNS($A120:N120), Source!$G120, "")</f>
        <v>6</v>
      </c>
      <c r="O120" s="2">
        <f>IF(Source!$C120&gt;=COLUMNS($A120:O120), Source!$G120, "")</f>
        <v>6</v>
      </c>
      <c r="P120" s="2">
        <f>IF(Source!$C120&gt;=COLUMNS($A120:P120), Source!$G120, "")</f>
        <v>6</v>
      </c>
      <c r="Q120" s="2">
        <f>IF(Source!$C120&gt;=COLUMNS($A120:Q120), Source!$G120, "")</f>
        <v>6</v>
      </c>
      <c r="R120" s="2" t="str">
        <f>IF(Source!$C120&gt;=COLUMNS($A120:R120), Source!$G120, "")</f>
        <v/>
      </c>
      <c r="S120" s="2" t="str">
        <f>IF(Source!$C120&gt;=COLUMNS($A120:S120), Source!$G120, "")</f>
        <v/>
      </c>
      <c r="T120" s="2" t="str">
        <f>IF(Source!$C120&gt;=COLUMNS($A120:T120), Source!$G120, "")</f>
        <v/>
      </c>
      <c r="U120" s="2" t="str">
        <f>IF(Source!$C120&gt;=COLUMNS($A120:U120), Source!$G120, "")</f>
        <v/>
      </c>
      <c r="V120" s="2" t="str">
        <f>IF(Source!$C120&gt;=COLUMNS($A120:V120), Source!$G120, "")</f>
        <v/>
      </c>
      <c r="W120" s="2" t="str">
        <f>IF(Source!$C120&gt;=COLUMNS($A120:W120), Source!$G120, "")</f>
        <v/>
      </c>
      <c r="X120" s="2" t="str">
        <f>IF(Source!$C120&gt;=COLUMNS($A120:X120), Source!$G120, "")</f>
        <v/>
      </c>
      <c r="Y120" s="2" t="str">
        <f>IF(Source!$C120&gt;=COLUMNS($A120:Y120), Source!$G120, "")</f>
        <v/>
      </c>
      <c r="Z120" s="2" t="str">
        <f>IF(Source!$C120&gt;=COLUMNS($A120:Z120), Source!$G120, "")</f>
        <v/>
      </c>
      <c r="AA120" s="2" t="str">
        <f>IF(Source!$C120&gt;=COLUMNS($A120:AA120), Source!$G120, "")</f>
        <v/>
      </c>
      <c r="AB120" s="2" t="str">
        <f>IF(Source!$C120&gt;=COLUMNS($A120:AB120), Source!$G120, "")</f>
        <v/>
      </c>
      <c r="AC120" s="2" t="str">
        <f>IF(Source!$C120&gt;=COLUMNS($A120:AC120), Source!$G120, "")</f>
        <v/>
      </c>
      <c r="AD120" s="2" t="str">
        <f>IF(Source!$C120&gt;=COLUMNS($A120:AD120), Source!$G120, "")</f>
        <v/>
      </c>
      <c r="AE120" s="2" t="str">
        <f>IF(Source!$C120&gt;=COLUMNS($A120:AE120), Source!$G120, "")</f>
        <v/>
      </c>
      <c r="AF120" s="2" t="str">
        <f>IF(Source!$C120&gt;=COLUMNS($A120:AF120), Source!$G120, "")</f>
        <v/>
      </c>
      <c r="AG120" s="2" t="str">
        <f>IF(Source!$C120&gt;=COLUMNS($A120:AG120), Source!$G120, "")</f>
        <v/>
      </c>
      <c r="AH120" s="2" t="str">
        <f>IF(Source!$C120&gt;=COLUMNS($A120:AH120), Source!$G120, "")</f>
        <v/>
      </c>
      <c r="AI120" s="2" t="str">
        <f>IF(Source!$C120&gt;=COLUMNS($A120:AI120), Source!$G120, "")</f>
        <v/>
      </c>
      <c r="AJ120" s="2" t="str">
        <f>IF(Source!$C120&gt;=COLUMNS($A120:AJ120), Source!$G120, "")</f>
        <v/>
      </c>
      <c r="AK120" s="2" t="str">
        <f>IF(Source!$C120&gt;=COLUMNS($A120:AK120), Source!$G120, "")</f>
        <v/>
      </c>
      <c r="AL120" s="2" t="str">
        <f>IF(Source!$C120&gt;=COLUMNS($A120:AL120), Source!$G120, "")</f>
        <v/>
      </c>
      <c r="AM120" s="2" t="str">
        <f>IF(Source!$C120&gt;=COLUMNS($A120:AM120), Source!$G120, "")</f>
        <v/>
      </c>
      <c r="AN120" s="2" t="str">
        <f>IF(Source!$C120&gt;=COLUMNS($A120:AN120), Source!$G120, "")</f>
        <v/>
      </c>
      <c r="AO120" s="2" t="str">
        <f>IF(Source!$C120&gt;=COLUMNS($A120:AO120), Source!$G120, "")</f>
        <v/>
      </c>
      <c r="AP120" s="2" t="str">
        <f>IF(Source!$C120&gt;=COLUMNS($A120:AP120), Source!$G120, "")</f>
        <v/>
      </c>
      <c r="AQ120" s="2" t="str">
        <f>IF(Source!$C120&gt;=COLUMNS($A120:AQ120), Source!$G120, "")</f>
        <v/>
      </c>
      <c r="AR120" s="2" t="str">
        <f>IF(Source!$C120&gt;=COLUMNS($A120:AR120), Source!$G120, "")</f>
        <v/>
      </c>
    </row>
    <row r="121">
      <c r="A121" s="2">
        <f>IF(Source!$C121&gt;=COLUMNS($A121:A121), Source!$G121, "")</f>
        <v>5</v>
      </c>
      <c r="B121" s="2">
        <f>IF(Source!$C121&gt;=COLUMNS($A121:B121), Source!$G121, "")</f>
        <v>5</v>
      </c>
      <c r="C121" s="2" t="str">
        <f>IF(Source!$C121&gt;=COLUMNS($A121:C121), Source!$G121, "")</f>
        <v/>
      </c>
      <c r="D121" s="2" t="str">
        <f>IF(Source!$C121&gt;=COLUMNS($A121:D121), Source!$G121, "")</f>
        <v/>
      </c>
      <c r="E121" s="2" t="str">
        <f>IF(Source!$C121&gt;=COLUMNS($A121:E121), Source!$G121, "")</f>
        <v/>
      </c>
      <c r="F121" s="2" t="str">
        <f>IF(Source!$C121&gt;=COLUMNS($A121:F121), Source!$G121, "")</f>
        <v/>
      </c>
      <c r="G121" s="2" t="str">
        <f>IF(Source!$C121&gt;=COLUMNS($A121:G121), Source!$G121, "")</f>
        <v/>
      </c>
      <c r="H121" s="2" t="str">
        <f>IF(Source!$C121&gt;=COLUMNS($A121:H121), Source!$G121, "")</f>
        <v/>
      </c>
      <c r="I121" s="2" t="str">
        <f>IF(Source!$C121&gt;=COLUMNS($A121:I121), Source!$G121, "")</f>
        <v/>
      </c>
      <c r="J121" s="2" t="str">
        <f>IF(Source!$C121&gt;=COLUMNS($A121:J121), Source!$G121, "")</f>
        <v/>
      </c>
      <c r="K121" s="2" t="str">
        <f>IF(Source!$C121&gt;=COLUMNS($A121:K121), Source!$G121, "")</f>
        <v/>
      </c>
      <c r="L121" s="2" t="str">
        <f>IF(Source!$C121&gt;=COLUMNS($A121:L121), Source!$G121, "")</f>
        <v/>
      </c>
      <c r="M121" s="2" t="str">
        <f>IF(Source!$C121&gt;=COLUMNS($A121:M121), Source!$G121, "")</f>
        <v/>
      </c>
      <c r="N121" s="2" t="str">
        <f>IF(Source!$C121&gt;=COLUMNS($A121:N121), Source!$G121, "")</f>
        <v/>
      </c>
      <c r="O121" s="2" t="str">
        <f>IF(Source!$C121&gt;=COLUMNS($A121:O121), Source!$G121, "")</f>
        <v/>
      </c>
      <c r="P121" s="2" t="str">
        <f>IF(Source!$C121&gt;=COLUMNS($A121:P121), Source!$G121, "")</f>
        <v/>
      </c>
      <c r="Q121" s="2" t="str">
        <f>IF(Source!$C121&gt;=COLUMNS($A121:Q121), Source!$G121, "")</f>
        <v/>
      </c>
      <c r="R121" s="2" t="str">
        <f>IF(Source!$C121&gt;=COLUMNS($A121:R121), Source!$G121, "")</f>
        <v/>
      </c>
      <c r="S121" s="2" t="str">
        <f>IF(Source!$C121&gt;=COLUMNS($A121:S121), Source!$G121, "")</f>
        <v/>
      </c>
      <c r="T121" s="2" t="str">
        <f>IF(Source!$C121&gt;=COLUMNS($A121:T121), Source!$G121, "")</f>
        <v/>
      </c>
      <c r="U121" s="2" t="str">
        <f>IF(Source!$C121&gt;=COLUMNS($A121:U121), Source!$G121, "")</f>
        <v/>
      </c>
      <c r="V121" s="2" t="str">
        <f>IF(Source!$C121&gt;=COLUMNS($A121:V121), Source!$G121, "")</f>
        <v/>
      </c>
      <c r="W121" s="2" t="str">
        <f>IF(Source!$C121&gt;=COLUMNS($A121:W121), Source!$G121, "")</f>
        <v/>
      </c>
      <c r="X121" s="2" t="str">
        <f>IF(Source!$C121&gt;=COLUMNS($A121:X121), Source!$G121, "")</f>
        <v/>
      </c>
      <c r="Y121" s="2" t="str">
        <f>IF(Source!$C121&gt;=COLUMNS($A121:Y121), Source!$G121, "")</f>
        <v/>
      </c>
      <c r="Z121" s="2" t="str">
        <f>IF(Source!$C121&gt;=COLUMNS($A121:Z121), Source!$G121, "")</f>
        <v/>
      </c>
      <c r="AA121" s="2" t="str">
        <f>IF(Source!$C121&gt;=COLUMNS($A121:AA121), Source!$G121, "")</f>
        <v/>
      </c>
      <c r="AB121" s="2" t="str">
        <f>IF(Source!$C121&gt;=COLUMNS($A121:AB121), Source!$G121, "")</f>
        <v/>
      </c>
      <c r="AC121" s="2" t="str">
        <f>IF(Source!$C121&gt;=COLUMNS($A121:AC121), Source!$G121, "")</f>
        <v/>
      </c>
      <c r="AD121" s="2" t="str">
        <f>IF(Source!$C121&gt;=COLUMNS($A121:AD121), Source!$G121, "")</f>
        <v/>
      </c>
      <c r="AE121" s="2" t="str">
        <f>IF(Source!$C121&gt;=COLUMNS($A121:AE121), Source!$G121, "")</f>
        <v/>
      </c>
      <c r="AF121" s="2" t="str">
        <f>IF(Source!$C121&gt;=COLUMNS($A121:AF121), Source!$G121, "")</f>
        <v/>
      </c>
      <c r="AG121" s="2" t="str">
        <f>IF(Source!$C121&gt;=COLUMNS($A121:AG121), Source!$G121, "")</f>
        <v/>
      </c>
      <c r="AH121" s="2" t="str">
        <f>IF(Source!$C121&gt;=COLUMNS($A121:AH121), Source!$G121, "")</f>
        <v/>
      </c>
      <c r="AI121" s="2" t="str">
        <f>IF(Source!$C121&gt;=COLUMNS($A121:AI121), Source!$G121, "")</f>
        <v/>
      </c>
      <c r="AJ121" s="2" t="str">
        <f>IF(Source!$C121&gt;=COLUMNS($A121:AJ121), Source!$G121, "")</f>
        <v/>
      </c>
      <c r="AK121" s="2" t="str">
        <f>IF(Source!$C121&gt;=COLUMNS($A121:AK121), Source!$G121, "")</f>
        <v/>
      </c>
      <c r="AL121" s="2" t="str">
        <f>IF(Source!$C121&gt;=COLUMNS($A121:AL121), Source!$G121, "")</f>
        <v/>
      </c>
      <c r="AM121" s="2" t="str">
        <f>IF(Source!$C121&gt;=COLUMNS($A121:AM121), Source!$G121, "")</f>
        <v/>
      </c>
      <c r="AN121" s="2" t="str">
        <f>IF(Source!$C121&gt;=COLUMNS($A121:AN121), Source!$G121, "")</f>
        <v/>
      </c>
      <c r="AO121" s="2" t="str">
        <f>IF(Source!$C121&gt;=COLUMNS($A121:AO121), Source!$G121, "")</f>
        <v/>
      </c>
      <c r="AP121" s="2" t="str">
        <f>IF(Source!$C121&gt;=COLUMNS($A121:AP121), Source!$G121, "")</f>
        <v/>
      </c>
      <c r="AQ121" s="2" t="str">
        <f>IF(Source!$C121&gt;=COLUMNS($A121:AQ121), Source!$G121, "")</f>
        <v/>
      </c>
      <c r="AR121" s="2" t="str">
        <f>IF(Source!$C121&gt;=COLUMNS($A121:AR121), Source!$G121, "")</f>
        <v/>
      </c>
    </row>
    <row r="122">
      <c r="A122" s="2">
        <f>IF(Source!$C122&gt;=COLUMNS($A122:A122), Source!$G122, "")</f>
        <v>9</v>
      </c>
      <c r="B122" s="2">
        <f>IF(Source!$C122&gt;=COLUMNS($A122:B122), Source!$G122, "")</f>
        <v>9</v>
      </c>
      <c r="C122" s="2">
        <f>IF(Source!$C122&gt;=COLUMNS($A122:C122), Source!$G122, "")</f>
        <v>9</v>
      </c>
      <c r="D122" s="2">
        <f>IF(Source!$C122&gt;=COLUMNS($A122:D122), Source!$G122, "")</f>
        <v>9</v>
      </c>
      <c r="E122" s="2">
        <f>IF(Source!$C122&gt;=COLUMNS($A122:E122), Source!$G122, "")</f>
        <v>9</v>
      </c>
      <c r="F122" s="2">
        <f>IF(Source!$C122&gt;=COLUMNS($A122:F122), Source!$G122, "")</f>
        <v>9</v>
      </c>
      <c r="G122" s="2">
        <f>IF(Source!$C122&gt;=COLUMNS($A122:G122), Source!$G122, "")</f>
        <v>9</v>
      </c>
      <c r="H122" s="2">
        <f>IF(Source!$C122&gt;=COLUMNS($A122:H122), Source!$G122, "")</f>
        <v>9</v>
      </c>
      <c r="I122" s="2">
        <f>IF(Source!$C122&gt;=COLUMNS($A122:I122), Source!$G122, "")</f>
        <v>9</v>
      </c>
      <c r="J122" s="2">
        <f>IF(Source!$C122&gt;=COLUMNS($A122:J122), Source!$G122, "")</f>
        <v>9</v>
      </c>
      <c r="K122" s="2">
        <f>IF(Source!$C122&gt;=COLUMNS($A122:K122), Source!$G122, "")</f>
        <v>9</v>
      </c>
      <c r="L122" s="2">
        <f>IF(Source!$C122&gt;=COLUMNS($A122:L122), Source!$G122, "")</f>
        <v>9</v>
      </c>
      <c r="M122" s="2">
        <f>IF(Source!$C122&gt;=COLUMNS($A122:M122), Source!$G122, "")</f>
        <v>9</v>
      </c>
      <c r="N122" s="2">
        <f>IF(Source!$C122&gt;=COLUMNS($A122:N122), Source!$G122, "")</f>
        <v>9</v>
      </c>
      <c r="O122" s="2">
        <f>IF(Source!$C122&gt;=COLUMNS($A122:O122), Source!$G122, "")</f>
        <v>9</v>
      </c>
      <c r="P122" s="2">
        <f>IF(Source!$C122&gt;=COLUMNS($A122:P122), Source!$G122, "")</f>
        <v>9</v>
      </c>
      <c r="Q122" s="2">
        <f>IF(Source!$C122&gt;=COLUMNS($A122:Q122), Source!$G122, "")</f>
        <v>9</v>
      </c>
      <c r="R122" s="2" t="str">
        <f>IF(Source!$C122&gt;=COLUMNS($A122:R122), Source!$G122, "")</f>
        <v/>
      </c>
      <c r="S122" s="2" t="str">
        <f>IF(Source!$C122&gt;=COLUMNS($A122:S122), Source!$G122, "")</f>
        <v/>
      </c>
      <c r="T122" s="2" t="str">
        <f>IF(Source!$C122&gt;=COLUMNS($A122:T122), Source!$G122, "")</f>
        <v/>
      </c>
      <c r="U122" s="2" t="str">
        <f>IF(Source!$C122&gt;=COLUMNS($A122:U122), Source!$G122, "")</f>
        <v/>
      </c>
      <c r="V122" s="2" t="str">
        <f>IF(Source!$C122&gt;=COLUMNS($A122:V122), Source!$G122, "")</f>
        <v/>
      </c>
      <c r="W122" s="2" t="str">
        <f>IF(Source!$C122&gt;=COLUMNS($A122:W122), Source!$G122, "")</f>
        <v/>
      </c>
      <c r="X122" s="2" t="str">
        <f>IF(Source!$C122&gt;=COLUMNS($A122:X122), Source!$G122, "")</f>
        <v/>
      </c>
      <c r="Y122" s="2" t="str">
        <f>IF(Source!$C122&gt;=COLUMNS($A122:Y122), Source!$G122, "")</f>
        <v/>
      </c>
      <c r="Z122" s="2" t="str">
        <f>IF(Source!$C122&gt;=COLUMNS($A122:Z122), Source!$G122, "")</f>
        <v/>
      </c>
      <c r="AA122" s="2" t="str">
        <f>IF(Source!$C122&gt;=COLUMNS($A122:AA122), Source!$G122, "")</f>
        <v/>
      </c>
      <c r="AB122" s="2" t="str">
        <f>IF(Source!$C122&gt;=COLUMNS($A122:AB122), Source!$G122, "")</f>
        <v/>
      </c>
      <c r="AC122" s="2" t="str">
        <f>IF(Source!$C122&gt;=COLUMNS($A122:AC122), Source!$G122, "")</f>
        <v/>
      </c>
      <c r="AD122" s="2" t="str">
        <f>IF(Source!$C122&gt;=COLUMNS($A122:AD122), Source!$G122, "")</f>
        <v/>
      </c>
      <c r="AE122" s="2" t="str">
        <f>IF(Source!$C122&gt;=COLUMNS($A122:AE122), Source!$G122, "")</f>
        <v/>
      </c>
      <c r="AF122" s="2" t="str">
        <f>IF(Source!$C122&gt;=COLUMNS($A122:AF122), Source!$G122, "")</f>
        <v/>
      </c>
      <c r="AG122" s="2" t="str">
        <f>IF(Source!$C122&gt;=COLUMNS($A122:AG122), Source!$G122, "")</f>
        <v/>
      </c>
      <c r="AH122" s="2" t="str">
        <f>IF(Source!$C122&gt;=COLUMNS($A122:AH122), Source!$G122, "")</f>
        <v/>
      </c>
      <c r="AI122" s="2" t="str">
        <f>IF(Source!$C122&gt;=COLUMNS($A122:AI122), Source!$G122, "")</f>
        <v/>
      </c>
      <c r="AJ122" s="2" t="str">
        <f>IF(Source!$C122&gt;=COLUMNS($A122:AJ122), Source!$G122, "")</f>
        <v/>
      </c>
      <c r="AK122" s="2" t="str">
        <f>IF(Source!$C122&gt;=COLUMNS($A122:AK122), Source!$G122, "")</f>
        <v/>
      </c>
      <c r="AL122" s="2" t="str">
        <f>IF(Source!$C122&gt;=COLUMNS($A122:AL122), Source!$G122, "")</f>
        <v/>
      </c>
      <c r="AM122" s="2" t="str">
        <f>IF(Source!$C122&gt;=COLUMNS($A122:AM122), Source!$G122, "")</f>
        <v/>
      </c>
      <c r="AN122" s="2" t="str">
        <f>IF(Source!$C122&gt;=COLUMNS($A122:AN122), Source!$G122, "")</f>
        <v/>
      </c>
      <c r="AO122" s="2" t="str">
        <f>IF(Source!$C122&gt;=COLUMNS($A122:AO122), Source!$G122, "")</f>
        <v/>
      </c>
      <c r="AP122" s="2" t="str">
        <f>IF(Source!$C122&gt;=COLUMNS($A122:AP122), Source!$G122, "")</f>
        <v/>
      </c>
      <c r="AQ122" s="2" t="str">
        <f>IF(Source!$C122&gt;=COLUMNS($A122:AQ122), Source!$G122, "")</f>
        <v/>
      </c>
      <c r="AR122" s="2" t="str">
        <f>IF(Source!$C122&gt;=COLUMNS($A122:AR122), Source!$G122, "")</f>
        <v/>
      </c>
    </row>
    <row r="123">
      <c r="A123" s="2">
        <f>IF(Source!$C123&gt;=COLUMNS($A123:A123), Source!$G123, "")</f>
        <v>7</v>
      </c>
      <c r="B123" s="2">
        <f>IF(Source!$C123&gt;=COLUMNS($A123:B123), Source!$G123, "")</f>
        <v>7</v>
      </c>
      <c r="C123" s="2">
        <f>IF(Source!$C123&gt;=COLUMNS($A123:C123), Source!$G123, "")</f>
        <v>7</v>
      </c>
      <c r="D123" s="2">
        <f>IF(Source!$C123&gt;=COLUMNS($A123:D123), Source!$G123, "")</f>
        <v>7</v>
      </c>
      <c r="E123" s="2">
        <f>IF(Source!$C123&gt;=COLUMNS($A123:E123), Source!$G123, "")</f>
        <v>7</v>
      </c>
      <c r="F123" s="2">
        <f>IF(Source!$C123&gt;=COLUMNS($A123:F123), Source!$G123, "")</f>
        <v>7</v>
      </c>
      <c r="G123" s="2">
        <f>IF(Source!$C123&gt;=COLUMNS($A123:G123), Source!$G123, "")</f>
        <v>7</v>
      </c>
      <c r="H123" s="2">
        <f>IF(Source!$C123&gt;=COLUMNS($A123:H123), Source!$G123, "")</f>
        <v>7</v>
      </c>
      <c r="I123" s="2">
        <f>IF(Source!$C123&gt;=COLUMNS($A123:I123), Source!$G123, "")</f>
        <v>7</v>
      </c>
      <c r="J123" s="2">
        <f>IF(Source!$C123&gt;=COLUMNS($A123:J123), Source!$G123, "")</f>
        <v>7</v>
      </c>
      <c r="K123" s="2">
        <f>IF(Source!$C123&gt;=COLUMNS($A123:K123), Source!$G123, "")</f>
        <v>7</v>
      </c>
      <c r="L123" s="2">
        <f>IF(Source!$C123&gt;=COLUMNS($A123:L123), Source!$G123, "")</f>
        <v>7</v>
      </c>
      <c r="M123" s="2">
        <f>IF(Source!$C123&gt;=COLUMNS($A123:M123), Source!$G123, "")</f>
        <v>7</v>
      </c>
      <c r="N123" s="2">
        <f>IF(Source!$C123&gt;=COLUMNS($A123:N123), Source!$G123, "")</f>
        <v>7</v>
      </c>
      <c r="O123" s="2">
        <f>IF(Source!$C123&gt;=COLUMNS($A123:O123), Source!$G123, "")</f>
        <v>7</v>
      </c>
      <c r="P123" s="2">
        <f>IF(Source!$C123&gt;=COLUMNS($A123:P123), Source!$G123, "")</f>
        <v>7</v>
      </c>
      <c r="Q123" s="2">
        <f>IF(Source!$C123&gt;=COLUMNS($A123:Q123), Source!$G123, "")</f>
        <v>7</v>
      </c>
      <c r="R123" s="2">
        <f>IF(Source!$C123&gt;=COLUMNS($A123:R123), Source!$G123, "")</f>
        <v>7</v>
      </c>
      <c r="S123" s="2">
        <f>IF(Source!$C123&gt;=COLUMNS($A123:S123), Source!$G123, "")</f>
        <v>7</v>
      </c>
      <c r="T123" s="2">
        <f>IF(Source!$C123&gt;=COLUMNS($A123:T123), Source!$G123, "")</f>
        <v>7</v>
      </c>
      <c r="U123" s="2">
        <f>IF(Source!$C123&gt;=COLUMNS($A123:U123), Source!$G123, "")</f>
        <v>7</v>
      </c>
      <c r="V123" s="2">
        <f>IF(Source!$C123&gt;=COLUMNS($A123:V123), Source!$G123, "")</f>
        <v>7</v>
      </c>
      <c r="W123" s="2" t="str">
        <f>IF(Source!$C123&gt;=COLUMNS($A123:W123), Source!$G123, "")</f>
        <v/>
      </c>
      <c r="X123" s="2" t="str">
        <f>IF(Source!$C123&gt;=COLUMNS($A123:X123), Source!$G123, "")</f>
        <v/>
      </c>
      <c r="Y123" s="2" t="str">
        <f>IF(Source!$C123&gt;=COLUMNS($A123:Y123), Source!$G123, "")</f>
        <v/>
      </c>
      <c r="Z123" s="2" t="str">
        <f>IF(Source!$C123&gt;=COLUMNS($A123:Z123), Source!$G123, "")</f>
        <v/>
      </c>
      <c r="AA123" s="2" t="str">
        <f>IF(Source!$C123&gt;=COLUMNS($A123:AA123), Source!$G123, "")</f>
        <v/>
      </c>
      <c r="AB123" s="2" t="str">
        <f>IF(Source!$C123&gt;=COLUMNS($A123:AB123), Source!$G123, "")</f>
        <v/>
      </c>
      <c r="AC123" s="2" t="str">
        <f>IF(Source!$C123&gt;=COLUMNS($A123:AC123), Source!$G123, "")</f>
        <v/>
      </c>
      <c r="AD123" s="2" t="str">
        <f>IF(Source!$C123&gt;=COLUMNS($A123:AD123), Source!$G123, "")</f>
        <v/>
      </c>
      <c r="AE123" s="2" t="str">
        <f>IF(Source!$C123&gt;=COLUMNS($A123:AE123), Source!$G123, "")</f>
        <v/>
      </c>
      <c r="AF123" s="2" t="str">
        <f>IF(Source!$C123&gt;=COLUMNS($A123:AF123), Source!$G123, "")</f>
        <v/>
      </c>
      <c r="AG123" s="2" t="str">
        <f>IF(Source!$C123&gt;=COLUMNS($A123:AG123), Source!$G123, "")</f>
        <v/>
      </c>
      <c r="AH123" s="2" t="str">
        <f>IF(Source!$C123&gt;=COLUMNS($A123:AH123), Source!$G123, "")</f>
        <v/>
      </c>
      <c r="AI123" s="2" t="str">
        <f>IF(Source!$C123&gt;=COLUMNS($A123:AI123), Source!$G123, "")</f>
        <v/>
      </c>
      <c r="AJ123" s="2" t="str">
        <f>IF(Source!$C123&gt;=COLUMNS($A123:AJ123), Source!$G123, "")</f>
        <v/>
      </c>
      <c r="AK123" s="2" t="str">
        <f>IF(Source!$C123&gt;=COLUMNS($A123:AK123), Source!$G123, "")</f>
        <v/>
      </c>
      <c r="AL123" s="2" t="str">
        <f>IF(Source!$C123&gt;=COLUMNS($A123:AL123), Source!$G123, "")</f>
        <v/>
      </c>
      <c r="AM123" s="2" t="str">
        <f>IF(Source!$C123&gt;=COLUMNS($A123:AM123), Source!$G123, "")</f>
        <v/>
      </c>
      <c r="AN123" s="2" t="str">
        <f>IF(Source!$C123&gt;=COLUMNS($A123:AN123), Source!$G123, "")</f>
        <v/>
      </c>
      <c r="AO123" s="2" t="str">
        <f>IF(Source!$C123&gt;=COLUMNS($A123:AO123), Source!$G123, "")</f>
        <v/>
      </c>
      <c r="AP123" s="2" t="str">
        <f>IF(Source!$C123&gt;=COLUMNS($A123:AP123), Source!$G123, "")</f>
        <v/>
      </c>
      <c r="AQ123" s="2" t="str">
        <f>IF(Source!$C123&gt;=COLUMNS($A123:AQ123), Source!$G123, "")</f>
        <v/>
      </c>
      <c r="AR123" s="2" t="str">
        <f>IF(Source!$C123&gt;=COLUMNS($A123:AR123), Source!$G123, "")</f>
        <v/>
      </c>
    </row>
    <row r="124">
      <c r="A124" s="2">
        <f>IF(Source!$C124&gt;=COLUMNS($A124:A124), Source!$G124, "")</f>
        <v>2</v>
      </c>
      <c r="B124" s="2" t="str">
        <f>IF(Source!$C124&gt;=COLUMNS($A124:B124), Source!$G124, "")</f>
        <v/>
      </c>
      <c r="C124" s="2" t="str">
        <f>IF(Source!$C124&gt;=COLUMNS($A124:C124), Source!$G124, "")</f>
        <v/>
      </c>
      <c r="D124" s="2" t="str">
        <f>IF(Source!$C124&gt;=COLUMNS($A124:D124), Source!$G124, "")</f>
        <v/>
      </c>
      <c r="E124" s="2" t="str">
        <f>IF(Source!$C124&gt;=COLUMNS($A124:E124), Source!$G124, "")</f>
        <v/>
      </c>
      <c r="F124" s="2" t="str">
        <f>IF(Source!$C124&gt;=COLUMNS($A124:F124), Source!$G124, "")</f>
        <v/>
      </c>
      <c r="G124" s="2" t="str">
        <f>IF(Source!$C124&gt;=COLUMNS($A124:G124), Source!$G124, "")</f>
        <v/>
      </c>
      <c r="H124" s="2" t="str">
        <f>IF(Source!$C124&gt;=COLUMNS($A124:H124), Source!$G124, "")</f>
        <v/>
      </c>
      <c r="I124" s="2" t="str">
        <f>IF(Source!$C124&gt;=COLUMNS($A124:I124), Source!$G124, "")</f>
        <v/>
      </c>
      <c r="J124" s="2" t="str">
        <f>IF(Source!$C124&gt;=COLUMNS($A124:J124), Source!$G124, "")</f>
        <v/>
      </c>
      <c r="K124" s="2" t="str">
        <f>IF(Source!$C124&gt;=COLUMNS($A124:K124), Source!$G124, "")</f>
        <v/>
      </c>
      <c r="L124" s="2" t="str">
        <f>IF(Source!$C124&gt;=COLUMNS($A124:L124), Source!$G124, "")</f>
        <v/>
      </c>
      <c r="M124" s="2" t="str">
        <f>IF(Source!$C124&gt;=COLUMNS($A124:M124), Source!$G124, "")</f>
        <v/>
      </c>
      <c r="N124" s="2" t="str">
        <f>IF(Source!$C124&gt;=COLUMNS($A124:N124), Source!$G124, "")</f>
        <v/>
      </c>
      <c r="O124" s="2" t="str">
        <f>IF(Source!$C124&gt;=COLUMNS($A124:O124), Source!$G124, "")</f>
        <v/>
      </c>
      <c r="P124" s="2" t="str">
        <f>IF(Source!$C124&gt;=COLUMNS($A124:P124), Source!$G124, "")</f>
        <v/>
      </c>
      <c r="Q124" s="2" t="str">
        <f>IF(Source!$C124&gt;=COLUMNS($A124:Q124), Source!$G124, "")</f>
        <v/>
      </c>
      <c r="R124" s="2" t="str">
        <f>IF(Source!$C124&gt;=COLUMNS($A124:R124), Source!$G124, "")</f>
        <v/>
      </c>
      <c r="S124" s="2" t="str">
        <f>IF(Source!$C124&gt;=COLUMNS($A124:S124), Source!$G124, "")</f>
        <v/>
      </c>
      <c r="T124" s="2" t="str">
        <f>IF(Source!$C124&gt;=COLUMNS($A124:T124), Source!$G124, "")</f>
        <v/>
      </c>
      <c r="U124" s="2" t="str">
        <f>IF(Source!$C124&gt;=COLUMNS($A124:U124), Source!$G124, "")</f>
        <v/>
      </c>
      <c r="V124" s="2" t="str">
        <f>IF(Source!$C124&gt;=COLUMNS($A124:V124), Source!$G124, "")</f>
        <v/>
      </c>
      <c r="W124" s="2" t="str">
        <f>IF(Source!$C124&gt;=COLUMNS($A124:W124), Source!$G124, "")</f>
        <v/>
      </c>
      <c r="X124" s="2" t="str">
        <f>IF(Source!$C124&gt;=COLUMNS($A124:X124), Source!$G124, "")</f>
        <v/>
      </c>
      <c r="Y124" s="2" t="str">
        <f>IF(Source!$C124&gt;=COLUMNS($A124:Y124), Source!$G124, "")</f>
        <v/>
      </c>
      <c r="Z124" s="2" t="str">
        <f>IF(Source!$C124&gt;=COLUMNS($A124:Z124), Source!$G124, "")</f>
        <v/>
      </c>
      <c r="AA124" s="2" t="str">
        <f>IF(Source!$C124&gt;=COLUMNS($A124:AA124), Source!$G124, "")</f>
        <v/>
      </c>
      <c r="AB124" s="2" t="str">
        <f>IF(Source!$C124&gt;=COLUMNS($A124:AB124), Source!$G124, "")</f>
        <v/>
      </c>
      <c r="AC124" s="2" t="str">
        <f>IF(Source!$C124&gt;=COLUMNS($A124:AC124), Source!$G124, "")</f>
        <v/>
      </c>
      <c r="AD124" s="2" t="str">
        <f>IF(Source!$C124&gt;=COLUMNS($A124:AD124), Source!$G124, "")</f>
        <v/>
      </c>
      <c r="AE124" s="2" t="str">
        <f>IF(Source!$C124&gt;=COLUMNS($A124:AE124), Source!$G124, "")</f>
        <v/>
      </c>
      <c r="AF124" s="2" t="str">
        <f>IF(Source!$C124&gt;=COLUMNS($A124:AF124), Source!$G124, "")</f>
        <v/>
      </c>
      <c r="AG124" s="2" t="str">
        <f>IF(Source!$C124&gt;=COLUMNS($A124:AG124), Source!$G124, "")</f>
        <v/>
      </c>
      <c r="AH124" s="2" t="str">
        <f>IF(Source!$C124&gt;=COLUMNS($A124:AH124), Source!$G124, "")</f>
        <v/>
      </c>
      <c r="AI124" s="2" t="str">
        <f>IF(Source!$C124&gt;=COLUMNS($A124:AI124), Source!$G124, "")</f>
        <v/>
      </c>
      <c r="AJ124" s="2" t="str">
        <f>IF(Source!$C124&gt;=COLUMNS($A124:AJ124), Source!$G124, "")</f>
        <v/>
      </c>
      <c r="AK124" s="2" t="str">
        <f>IF(Source!$C124&gt;=COLUMNS($A124:AK124), Source!$G124, "")</f>
        <v/>
      </c>
      <c r="AL124" s="2" t="str">
        <f>IF(Source!$C124&gt;=COLUMNS($A124:AL124), Source!$G124, "")</f>
        <v/>
      </c>
      <c r="AM124" s="2" t="str">
        <f>IF(Source!$C124&gt;=COLUMNS($A124:AM124), Source!$G124, "")</f>
        <v/>
      </c>
      <c r="AN124" s="2" t="str">
        <f>IF(Source!$C124&gt;=COLUMNS($A124:AN124), Source!$G124, "")</f>
        <v/>
      </c>
      <c r="AO124" s="2" t="str">
        <f>IF(Source!$C124&gt;=COLUMNS($A124:AO124), Source!$G124, "")</f>
        <v/>
      </c>
      <c r="AP124" s="2" t="str">
        <f>IF(Source!$C124&gt;=COLUMNS($A124:AP124), Source!$G124, "")</f>
        <v/>
      </c>
      <c r="AQ124" s="2" t="str">
        <f>IF(Source!$C124&gt;=COLUMNS($A124:AQ124), Source!$G124, "")</f>
        <v/>
      </c>
      <c r="AR124" s="2" t="str">
        <f>IF(Source!$C124&gt;=COLUMNS($A124:AR124), Source!$G124, "")</f>
        <v/>
      </c>
    </row>
    <row r="125">
      <c r="A125" s="2">
        <f>IF(Source!$C125&gt;=COLUMNS($A125:A125), Source!$G125, "")</f>
        <v>7</v>
      </c>
      <c r="B125" s="2">
        <f>IF(Source!$C125&gt;=COLUMNS($A125:B125), Source!$G125, "")</f>
        <v>7</v>
      </c>
      <c r="C125" s="2">
        <f>IF(Source!$C125&gt;=COLUMNS($A125:C125), Source!$G125, "")</f>
        <v>7</v>
      </c>
      <c r="D125" s="2">
        <f>IF(Source!$C125&gt;=COLUMNS($A125:D125), Source!$G125, "")</f>
        <v>7</v>
      </c>
      <c r="E125" s="2">
        <f>IF(Source!$C125&gt;=COLUMNS($A125:E125), Source!$G125, "")</f>
        <v>7</v>
      </c>
      <c r="F125" s="2">
        <f>IF(Source!$C125&gt;=COLUMNS($A125:F125), Source!$G125, "")</f>
        <v>7</v>
      </c>
      <c r="G125" s="2">
        <f>IF(Source!$C125&gt;=COLUMNS($A125:G125), Source!$G125, "")</f>
        <v>7</v>
      </c>
      <c r="H125" s="2">
        <f>IF(Source!$C125&gt;=COLUMNS($A125:H125), Source!$G125, "")</f>
        <v>7</v>
      </c>
      <c r="I125" s="2">
        <f>IF(Source!$C125&gt;=COLUMNS($A125:I125), Source!$G125, "")</f>
        <v>7</v>
      </c>
      <c r="J125" s="2">
        <f>IF(Source!$C125&gt;=COLUMNS($A125:J125), Source!$G125, "")</f>
        <v>7</v>
      </c>
      <c r="K125" s="2">
        <f>IF(Source!$C125&gt;=COLUMNS($A125:K125), Source!$G125, "")</f>
        <v>7</v>
      </c>
      <c r="L125" s="2">
        <f>IF(Source!$C125&gt;=COLUMNS($A125:L125), Source!$G125, "")</f>
        <v>7</v>
      </c>
      <c r="M125" s="2">
        <f>IF(Source!$C125&gt;=COLUMNS($A125:M125), Source!$G125, "")</f>
        <v>7</v>
      </c>
      <c r="N125" s="2">
        <f>IF(Source!$C125&gt;=COLUMNS($A125:N125), Source!$G125, "")</f>
        <v>7</v>
      </c>
      <c r="O125" s="2">
        <f>IF(Source!$C125&gt;=COLUMNS($A125:O125), Source!$G125, "")</f>
        <v>7</v>
      </c>
      <c r="P125" s="2">
        <f>IF(Source!$C125&gt;=COLUMNS($A125:P125), Source!$G125, "")</f>
        <v>7</v>
      </c>
      <c r="Q125" s="2">
        <f>IF(Source!$C125&gt;=COLUMNS($A125:Q125), Source!$G125, "")</f>
        <v>7</v>
      </c>
      <c r="R125" s="2">
        <f>IF(Source!$C125&gt;=COLUMNS($A125:R125), Source!$G125, "")</f>
        <v>7</v>
      </c>
      <c r="S125" s="2">
        <f>IF(Source!$C125&gt;=COLUMNS($A125:S125), Source!$G125, "")</f>
        <v>7</v>
      </c>
      <c r="T125" s="2">
        <f>IF(Source!$C125&gt;=COLUMNS($A125:T125), Source!$G125, "")</f>
        <v>7</v>
      </c>
      <c r="U125" s="2" t="str">
        <f>IF(Source!$C125&gt;=COLUMNS($A125:U125), Source!$G125, "")</f>
        <v/>
      </c>
      <c r="V125" s="2" t="str">
        <f>IF(Source!$C125&gt;=COLUMNS($A125:V125), Source!$G125, "")</f>
        <v/>
      </c>
      <c r="W125" s="2" t="str">
        <f>IF(Source!$C125&gt;=COLUMNS($A125:W125), Source!$G125, "")</f>
        <v/>
      </c>
      <c r="X125" s="2" t="str">
        <f>IF(Source!$C125&gt;=COLUMNS($A125:X125), Source!$G125, "")</f>
        <v/>
      </c>
      <c r="Y125" s="2" t="str">
        <f>IF(Source!$C125&gt;=COLUMNS($A125:Y125), Source!$G125, "")</f>
        <v/>
      </c>
      <c r="Z125" s="2" t="str">
        <f>IF(Source!$C125&gt;=COLUMNS($A125:Z125), Source!$G125, "")</f>
        <v/>
      </c>
      <c r="AA125" s="2" t="str">
        <f>IF(Source!$C125&gt;=COLUMNS($A125:AA125), Source!$G125, "")</f>
        <v/>
      </c>
      <c r="AB125" s="2" t="str">
        <f>IF(Source!$C125&gt;=COLUMNS($A125:AB125), Source!$G125, "")</f>
        <v/>
      </c>
      <c r="AC125" s="2" t="str">
        <f>IF(Source!$C125&gt;=COLUMNS($A125:AC125), Source!$G125, "")</f>
        <v/>
      </c>
      <c r="AD125" s="2" t="str">
        <f>IF(Source!$C125&gt;=COLUMNS($A125:AD125), Source!$G125, "")</f>
        <v/>
      </c>
      <c r="AE125" s="2" t="str">
        <f>IF(Source!$C125&gt;=COLUMNS($A125:AE125), Source!$G125, "")</f>
        <v/>
      </c>
      <c r="AF125" s="2" t="str">
        <f>IF(Source!$C125&gt;=COLUMNS($A125:AF125), Source!$G125, "")</f>
        <v/>
      </c>
      <c r="AG125" s="2" t="str">
        <f>IF(Source!$C125&gt;=COLUMNS($A125:AG125), Source!$G125, "")</f>
        <v/>
      </c>
      <c r="AH125" s="2" t="str">
        <f>IF(Source!$C125&gt;=COLUMNS($A125:AH125), Source!$G125, "")</f>
        <v/>
      </c>
      <c r="AI125" s="2" t="str">
        <f>IF(Source!$C125&gt;=COLUMNS($A125:AI125), Source!$G125, "")</f>
        <v/>
      </c>
      <c r="AJ125" s="2" t="str">
        <f>IF(Source!$C125&gt;=COLUMNS($A125:AJ125), Source!$G125, "")</f>
        <v/>
      </c>
      <c r="AK125" s="2" t="str">
        <f>IF(Source!$C125&gt;=COLUMNS($A125:AK125), Source!$G125, "")</f>
        <v/>
      </c>
      <c r="AL125" s="2" t="str">
        <f>IF(Source!$C125&gt;=COLUMNS($A125:AL125), Source!$G125, "")</f>
        <v/>
      </c>
      <c r="AM125" s="2" t="str">
        <f>IF(Source!$C125&gt;=COLUMNS($A125:AM125), Source!$G125, "")</f>
        <v/>
      </c>
      <c r="AN125" s="2" t="str">
        <f>IF(Source!$C125&gt;=COLUMNS($A125:AN125), Source!$G125, "")</f>
        <v/>
      </c>
      <c r="AO125" s="2" t="str">
        <f>IF(Source!$C125&gt;=COLUMNS($A125:AO125), Source!$G125, "")</f>
        <v/>
      </c>
      <c r="AP125" s="2" t="str">
        <f>IF(Source!$C125&gt;=COLUMNS($A125:AP125), Source!$G125, "")</f>
        <v/>
      </c>
      <c r="AQ125" s="2" t="str">
        <f>IF(Source!$C125&gt;=COLUMNS($A125:AQ125), Source!$G125, "")</f>
        <v/>
      </c>
      <c r="AR125" s="2" t="str">
        <f>IF(Source!$C125&gt;=COLUMNS($A125:AR125), Source!$G125, "")</f>
        <v/>
      </c>
    </row>
    <row r="126">
      <c r="A126" s="2">
        <f>IF(Source!$C126&gt;=COLUMNS($A126:A126), Source!$G126, "")</f>
        <v>9</v>
      </c>
      <c r="B126" s="2">
        <f>IF(Source!$C126&gt;=COLUMNS($A126:B126), Source!$G126, "")</f>
        <v>9</v>
      </c>
      <c r="C126" s="2">
        <f>IF(Source!$C126&gt;=COLUMNS($A126:C126), Source!$G126, "")</f>
        <v>9</v>
      </c>
      <c r="D126" s="2">
        <f>IF(Source!$C126&gt;=COLUMNS($A126:D126), Source!$G126, "")</f>
        <v>9</v>
      </c>
      <c r="E126" s="2">
        <f>IF(Source!$C126&gt;=COLUMNS($A126:E126), Source!$G126, "")</f>
        <v>9</v>
      </c>
      <c r="F126" s="2">
        <f>IF(Source!$C126&gt;=COLUMNS($A126:F126), Source!$G126, "")</f>
        <v>9</v>
      </c>
      <c r="G126" s="2">
        <f>IF(Source!$C126&gt;=COLUMNS($A126:G126), Source!$G126, "")</f>
        <v>9</v>
      </c>
      <c r="H126" s="2">
        <f>IF(Source!$C126&gt;=COLUMNS($A126:H126), Source!$G126, "")</f>
        <v>9</v>
      </c>
      <c r="I126" s="2">
        <f>IF(Source!$C126&gt;=COLUMNS($A126:I126), Source!$G126, "")</f>
        <v>9</v>
      </c>
      <c r="J126" s="2">
        <f>IF(Source!$C126&gt;=COLUMNS($A126:J126), Source!$G126, "")</f>
        <v>9</v>
      </c>
      <c r="K126" s="2">
        <f>IF(Source!$C126&gt;=COLUMNS($A126:K126), Source!$G126, "")</f>
        <v>9</v>
      </c>
      <c r="L126" s="2">
        <f>IF(Source!$C126&gt;=COLUMNS($A126:L126), Source!$G126, "")</f>
        <v>9</v>
      </c>
      <c r="M126" s="2">
        <f>IF(Source!$C126&gt;=COLUMNS($A126:M126), Source!$G126, "")</f>
        <v>9</v>
      </c>
      <c r="N126" s="2">
        <f>IF(Source!$C126&gt;=COLUMNS($A126:N126), Source!$G126, "")</f>
        <v>9</v>
      </c>
      <c r="O126" s="2">
        <f>IF(Source!$C126&gt;=COLUMNS($A126:O126), Source!$G126, "")</f>
        <v>9</v>
      </c>
      <c r="P126" s="2">
        <f>IF(Source!$C126&gt;=COLUMNS($A126:P126), Source!$G126, "")</f>
        <v>9</v>
      </c>
      <c r="Q126" s="2">
        <f>IF(Source!$C126&gt;=COLUMNS($A126:Q126), Source!$G126, "")</f>
        <v>9</v>
      </c>
      <c r="R126" s="2">
        <f>IF(Source!$C126&gt;=COLUMNS($A126:R126), Source!$G126, "")</f>
        <v>9</v>
      </c>
      <c r="S126" s="2">
        <f>IF(Source!$C126&gt;=COLUMNS($A126:S126), Source!$G126, "")</f>
        <v>9</v>
      </c>
      <c r="T126" s="2">
        <f>IF(Source!$C126&gt;=COLUMNS($A126:T126), Source!$G126, "")</f>
        <v>9</v>
      </c>
      <c r="U126" s="2">
        <f>IF(Source!$C126&gt;=COLUMNS($A126:U126), Source!$G126, "")</f>
        <v>9</v>
      </c>
      <c r="V126" s="2">
        <f>IF(Source!$C126&gt;=COLUMNS($A126:V126), Source!$G126, "")</f>
        <v>9</v>
      </c>
      <c r="W126" s="2">
        <f>IF(Source!$C126&gt;=COLUMNS($A126:W126), Source!$G126, "")</f>
        <v>9</v>
      </c>
      <c r="X126" s="2">
        <f>IF(Source!$C126&gt;=COLUMNS($A126:X126), Source!$G126, "")</f>
        <v>9</v>
      </c>
      <c r="Y126" s="2">
        <f>IF(Source!$C126&gt;=COLUMNS($A126:Y126), Source!$G126, "")</f>
        <v>9</v>
      </c>
      <c r="Z126" s="2">
        <f>IF(Source!$C126&gt;=COLUMNS($A126:Z126), Source!$G126, "")</f>
        <v>9</v>
      </c>
      <c r="AA126" s="2">
        <f>IF(Source!$C126&gt;=COLUMNS($A126:AA126), Source!$G126, "")</f>
        <v>9</v>
      </c>
      <c r="AB126" s="2">
        <f>IF(Source!$C126&gt;=COLUMNS($A126:AB126), Source!$G126, "")</f>
        <v>9</v>
      </c>
      <c r="AC126" s="2">
        <f>IF(Source!$C126&gt;=COLUMNS($A126:AC126), Source!$G126, "")</f>
        <v>9</v>
      </c>
      <c r="AD126" s="2" t="str">
        <f>IF(Source!$C126&gt;=COLUMNS($A126:AD126), Source!$G126, "")</f>
        <v/>
      </c>
      <c r="AE126" s="2" t="str">
        <f>IF(Source!$C126&gt;=COLUMNS($A126:AE126), Source!$G126, "")</f>
        <v/>
      </c>
      <c r="AF126" s="2" t="str">
        <f>IF(Source!$C126&gt;=COLUMNS($A126:AF126), Source!$G126, "")</f>
        <v/>
      </c>
      <c r="AG126" s="2" t="str">
        <f>IF(Source!$C126&gt;=COLUMNS($A126:AG126), Source!$G126, "")</f>
        <v/>
      </c>
      <c r="AH126" s="2" t="str">
        <f>IF(Source!$C126&gt;=COLUMNS($A126:AH126), Source!$G126, "")</f>
        <v/>
      </c>
      <c r="AI126" s="2" t="str">
        <f>IF(Source!$C126&gt;=COLUMNS($A126:AI126), Source!$G126, "")</f>
        <v/>
      </c>
      <c r="AJ126" s="2" t="str">
        <f>IF(Source!$C126&gt;=COLUMNS($A126:AJ126), Source!$G126, "")</f>
        <v/>
      </c>
      <c r="AK126" s="2" t="str">
        <f>IF(Source!$C126&gt;=COLUMNS($A126:AK126), Source!$G126, "")</f>
        <v/>
      </c>
      <c r="AL126" s="2" t="str">
        <f>IF(Source!$C126&gt;=COLUMNS($A126:AL126), Source!$G126, "")</f>
        <v/>
      </c>
      <c r="AM126" s="2" t="str">
        <f>IF(Source!$C126&gt;=COLUMNS($A126:AM126), Source!$G126, "")</f>
        <v/>
      </c>
      <c r="AN126" s="2" t="str">
        <f>IF(Source!$C126&gt;=COLUMNS($A126:AN126), Source!$G126, "")</f>
        <v/>
      </c>
      <c r="AO126" s="2" t="str">
        <f>IF(Source!$C126&gt;=COLUMNS($A126:AO126), Source!$G126, "")</f>
        <v/>
      </c>
      <c r="AP126" s="2" t="str">
        <f>IF(Source!$C126&gt;=COLUMNS($A126:AP126), Source!$G126, "")</f>
        <v/>
      </c>
      <c r="AQ126" s="2" t="str">
        <f>IF(Source!$C126&gt;=COLUMNS($A126:AQ126), Source!$G126, "")</f>
        <v/>
      </c>
      <c r="AR126" s="2" t="str">
        <f>IF(Source!$C126&gt;=COLUMNS($A126:AR126), Source!$G126, "")</f>
        <v/>
      </c>
    </row>
    <row r="127">
      <c r="A127" s="2">
        <f>IF(Source!$C127&gt;=COLUMNS($A127:A127), Source!$G127, "")</f>
        <v>7</v>
      </c>
      <c r="B127" s="2" t="str">
        <f>IF(Source!$C127&gt;=COLUMNS($A127:B127), Source!$G127, "")</f>
        <v/>
      </c>
      <c r="C127" s="2" t="str">
        <f>IF(Source!$C127&gt;=COLUMNS($A127:C127), Source!$G127, "")</f>
        <v/>
      </c>
      <c r="D127" s="2" t="str">
        <f>IF(Source!$C127&gt;=COLUMNS($A127:D127), Source!$G127, "")</f>
        <v/>
      </c>
      <c r="E127" s="2" t="str">
        <f>IF(Source!$C127&gt;=COLUMNS($A127:E127), Source!$G127, "")</f>
        <v/>
      </c>
      <c r="F127" s="2" t="str">
        <f>IF(Source!$C127&gt;=COLUMNS($A127:F127), Source!$G127, "")</f>
        <v/>
      </c>
      <c r="G127" s="2" t="str">
        <f>IF(Source!$C127&gt;=COLUMNS($A127:G127), Source!$G127, "")</f>
        <v/>
      </c>
      <c r="H127" s="2" t="str">
        <f>IF(Source!$C127&gt;=COLUMNS($A127:H127), Source!$G127, "")</f>
        <v/>
      </c>
      <c r="I127" s="2" t="str">
        <f>IF(Source!$C127&gt;=COLUMNS($A127:I127), Source!$G127, "")</f>
        <v/>
      </c>
      <c r="J127" s="2" t="str">
        <f>IF(Source!$C127&gt;=COLUMNS($A127:J127), Source!$G127, "")</f>
        <v/>
      </c>
      <c r="K127" s="2" t="str">
        <f>IF(Source!$C127&gt;=COLUMNS($A127:K127), Source!$G127, "")</f>
        <v/>
      </c>
      <c r="L127" s="2" t="str">
        <f>IF(Source!$C127&gt;=COLUMNS($A127:L127), Source!$G127, "")</f>
        <v/>
      </c>
      <c r="M127" s="2" t="str">
        <f>IF(Source!$C127&gt;=COLUMNS($A127:M127), Source!$G127, "")</f>
        <v/>
      </c>
      <c r="N127" s="2" t="str">
        <f>IF(Source!$C127&gt;=COLUMNS($A127:N127), Source!$G127, "")</f>
        <v/>
      </c>
      <c r="O127" s="2" t="str">
        <f>IF(Source!$C127&gt;=COLUMNS($A127:O127), Source!$G127, "")</f>
        <v/>
      </c>
      <c r="P127" s="2" t="str">
        <f>IF(Source!$C127&gt;=COLUMNS($A127:P127), Source!$G127, "")</f>
        <v/>
      </c>
      <c r="Q127" s="2" t="str">
        <f>IF(Source!$C127&gt;=COLUMNS($A127:Q127), Source!$G127, "")</f>
        <v/>
      </c>
      <c r="R127" s="2" t="str">
        <f>IF(Source!$C127&gt;=COLUMNS($A127:R127), Source!$G127, "")</f>
        <v/>
      </c>
      <c r="S127" s="2" t="str">
        <f>IF(Source!$C127&gt;=COLUMNS($A127:S127), Source!$G127, "")</f>
        <v/>
      </c>
      <c r="T127" s="2" t="str">
        <f>IF(Source!$C127&gt;=COLUMNS($A127:T127), Source!$G127, "")</f>
        <v/>
      </c>
      <c r="U127" s="2" t="str">
        <f>IF(Source!$C127&gt;=COLUMNS($A127:U127), Source!$G127, "")</f>
        <v/>
      </c>
      <c r="V127" s="2" t="str">
        <f>IF(Source!$C127&gt;=COLUMNS($A127:V127), Source!$G127, "")</f>
        <v/>
      </c>
      <c r="W127" s="2" t="str">
        <f>IF(Source!$C127&gt;=COLUMNS($A127:W127), Source!$G127, "")</f>
        <v/>
      </c>
      <c r="X127" s="2" t="str">
        <f>IF(Source!$C127&gt;=COLUMNS($A127:X127), Source!$G127, "")</f>
        <v/>
      </c>
      <c r="Y127" s="2" t="str">
        <f>IF(Source!$C127&gt;=COLUMNS($A127:Y127), Source!$G127, "")</f>
        <v/>
      </c>
      <c r="Z127" s="2" t="str">
        <f>IF(Source!$C127&gt;=COLUMNS($A127:Z127), Source!$G127, "")</f>
        <v/>
      </c>
      <c r="AA127" s="2" t="str">
        <f>IF(Source!$C127&gt;=COLUMNS($A127:AA127), Source!$G127, "")</f>
        <v/>
      </c>
      <c r="AB127" s="2" t="str">
        <f>IF(Source!$C127&gt;=COLUMNS($A127:AB127), Source!$G127, "")</f>
        <v/>
      </c>
      <c r="AC127" s="2" t="str">
        <f>IF(Source!$C127&gt;=COLUMNS($A127:AC127), Source!$G127, "")</f>
        <v/>
      </c>
      <c r="AD127" s="2" t="str">
        <f>IF(Source!$C127&gt;=COLUMNS($A127:AD127), Source!$G127, "")</f>
        <v/>
      </c>
      <c r="AE127" s="2" t="str">
        <f>IF(Source!$C127&gt;=COLUMNS($A127:AE127), Source!$G127, "")</f>
        <v/>
      </c>
      <c r="AF127" s="2" t="str">
        <f>IF(Source!$C127&gt;=COLUMNS($A127:AF127), Source!$G127, "")</f>
        <v/>
      </c>
      <c r="AG127" s="2" t="str">
        <f>IF(Source!$C127&gt;=COLUMNS($A127:AG127), Source!$G127, "")</f>
        <v/>
      </c>
      <c r="AH127" s="2" t="str">
        <f>IF(Source!$C127&gt;=COLUMNS($A127:AH127), Source!$G127, "")</f>
        <v/>
      </c>
      <c r="AI127" s="2" t="str">
        <f>IF(Source!$C127&gt;=COLUMNS($A127:AI127), Source!$G127, "")</f>
        <v/>
      </c>
      <c r="AJ127" s="2" t="str">
        <f>IF(Source!$C127&gt;=COLUMNS($A127:AJ127), Source!$G127, "")</f>
        <v/>
      </c>
      <c r="AK127" s="2" t="str">
        <f>IF(Source!$C127&gt;=COLUMNS($A127:AK127), Source!$G127, "")</f>
        <v/>
      </c>
      <c r="AL127" s="2" t="str">
        <f>IF(Source!$C127&gt;=COLUMNS($A127:AL127), Source!$G127, "")</f>
        <v/>
      </c>
      <c r="AM127" s="2" t="str">
        <f>IF(Source!$C127&gt;=COLUMNS($A127:AM127), Source!$G127, "")</f>
        <v/>
      </c>
      <c r="AN127" s="2" t="str">
        <f>IF(Source!$C127&gt;=COLUMNS($A127:AN127), Source!$G127, "")</f>
        <v/>
      </c>
      <c r="AO127" s="2" t="str">
        <f>IF(Source!$C127&gt;=COLUMNS($A127:AO127), Source!$G127, "")</f>
        <v/>
      </c>
      <c r="AP127" s="2" t="str">
        <f>IF(Source!$C127&gt;=COLUMNS($A127:AP127), Source!$G127, "")</f>
        <v/>
      </c>
      <c r="AQ127" s="2" t="str">
        <f>IF(Source!$C127&gt;=COLUMNS($A127:AQ127), Source!$G127, "")</f>
        <v/>
      </c>
      <c r="AR127" s="2" t="str">
        <f>IF(Source!$C127&gt;=COLUMNS($A127:AR127), Source!$G127, "")</f>
        <v/>
      </c>
    </row>
    <row r="128">
      <c r="A128" s="2">
        <f>IF(Source!$C128&gt;=COLUMNS($A128:A128), Source!$G128, "")</f>
        <v>3</v>
      </c>
      <c r="B128" s="2">
        <f>IF(Source!$C128&gt;=COLUMNS($A128:B128), Source!$G128, "")</f>
        <v>3</v>
      </c>
      <c r="C128" s="2">
        <f>IF(Source!$C128&gt;=COLUMNS($A128:C128), Source!$G128, "")</f>
        <v>3</v>
      </c>
      <c r="D128" s="2" t="str">
        <f>IF(Source!$C128&gt;=COLUMNS($A128:D128), Source!$G128, "")</f>
        <v/>
      </c>
      <c r="E128" s="2" t="str">
        <f>IF(Source!$C128&gt;=COLUMNS($A128:E128), Source!$G128, "")</f>
        <v/>
      </c>
      <c r="F128" s="2" t="str">
        <f>IF(Source!$C128&gt;=COLUMNS($A128:F128), Source!$G128, "")</f>
        <v/>
      </c>
      <c r="G128" s="2" t="str">
        <f>IF(Source!$C128&gt;=COLUMNS($A128:G128), Source!$G128, "")</f>
        <v/>
      </c>
      <c r="H128" s="2" t="str">
        <f>IF(Source!$C128&gt;=COLUMNS($A128:H128), Source!$G128, "")</f>
        <v/>
      </c>
      <c r="I128" s="2" t="str">
        <f>IF(Source!$C128&gt;=COLUMNS($A128:I128), Source!$G128, "")</f>
        <v/>
      </c>
      <c r="J128" s="2" t="str">
        <f>IF(Source!$C128&gt;=COLUMNS($A128:J128), Source!$G128, "")</f>
        <v/>
      </c>
      <c r="K128" s="2" t="str">
        <f>IF(Source!$C128&gt;=COLUMNS($A128:K128), Source!$G128, "")</f>
        <v/>
      </c>
      <c r="L128" s="2" t="str">
        <f>IF(Source!$C128&gt;=COLUMNS($A128:L128), Source!$G128, "")</f>
        <v/>
      </c>
      <c r="M128" s="2" t="str">
        <f>IF(Source!$C128&gt;=COLUMNS($A128:M128), Source!$G128, "")</f>
        <v/>
      </c>
      <c r="N128" s="2" t="str">
        <f>IF(Source!$C128&gt;=COLUMNS($A128:N128), Source!$G128, "")</f>
        <v/>
      </c>
      <c r="O128" s="2" t="str">
        <f>IF(Source!$C128&gt;=COLUMNS($A128:O128), Source!$G128, "")</f>
        <v/>
      </c>
      <c r="P128" s="2" t="str">
        <f>IF(Source!$C128&gt;=COLUMNS($A128:P128), Source!$G128, "")</f>
        <v/>
      </c>
      <c r="Q128" s="2" t="str">
        <f>IF(Source!$C128&gt;=COLUMNS($A128:Q128), Source!$G128, "")</f>
        <v/>
      </c>
      <c r="R128" s="2" t="str">
        <f>IF(Source!$C128&gt;=COLUMNS($A128:R128), Source!$G128, "")</f>
        <v/>
      </c>
      <c r="S128" s="2" t="str">
        <f>IF(Source!$C128&gt;=COLUMNS($A128:S128), Source!$G128, "")</f>
        <v/>
      </c>
      <c r="T128" s="2" t="str">
        <f>IF(Source!$C128&gt;=COLUMNS($A128:T128), Source!$G128, "")</f>
        <v/>
      </c>
      <c r="U128" s="2" t="str">
        <f>IF(Source!$C128&gt;=COLUMNS($A128:U128), Source!$G128, "")</f>
        <v/>
      </c>
      <c r="V128" s="2" t="str">
        <f>IF(Source!$C128&gt;=COLUMNS($A128:V128), Source!$G128, "")</f>
        <v/>
      </c>
      <c r="W128" s="2" t="str">
        <f>IF(Source!$C128&gt;=COLUMNS($A128:W128), Source!$G128, "")</f>
        <v/>
      </c>
      <c r="X128" s="2" t="str">
        <f>IF(Source!$C128&gt;=COLUMNS($A128:X128), Source!$G128, "")</f>
        <v/>
      </c>
      <c r="Y128" s="2" t="str">
        <f>IF(Source!$C128&gt;=COLUMNS($A128:Y128), Source!$G128, "")</f>
        <v/>
      </c>
      <c r="Z128" s="2" t="str">
        <f>IF(Source!$C128&gt;=COLUMNS($A128:Z128), Source!$G128, "")</f>
        <v/>
      </c>
      <c r="AA128" s="2" t="str">
        <f>IF(Source!$C128&gt;=COLUMNS($A128:AA128), Source!$G128, "")</f>
        <v/>
      </c>
      <c r="AB128" s="2" t="str">
        <f>IF(Source!$C128&gt;=COLUMNS($A128:AB128), Source!$G128, "")</f>
        <v/>
      </c>
      <c r="AC128" s="2" t="str">
        <f>IF(Source!$C128&gt;=COLUMNS($A128:AC128), Source!$G128, "")</f>
        <v/>
      </c>
      <c r="AD128" s="2" t="str">
        <f>IF(Source!$C128&gt;=COLUMNS($A128:AD128), Source!$G128, "")</f>
        <v/>
      </c>
      <c r="AE128" s="2" t="str">
        <f>IF(Source!$C128&gt;=COLUMNS($A128:AE128), Source!$G128, "")</f>
        <v/>
      </c>
      <c r="AF128" s="2" t="str">
        <f>IF(Source!$C128&gt;=COLUMNS($A128:AF128), Source!$G128, "")</f>
        <v/>
      </c>
      <c r="AG128" s="2" t="str">
        <f>IF(Source!$C128&gt;=COLUMNS($A128:AG128), Source!$G128, "")</f>
        <v/>
      </c>
      <c r="AH128" s="2" t="str">
        <f>IF(Source!$C128&gt;=COLUMNS($A128:AH128), Source!$G128, "")</f>
        <v/>
      </c>
      <c r="AI128" s="2" t="str">
        <f>IF(Source!$C128&gt;=COLUMNS($A128:AI128), Source!$G128, "")</f>
        <v/>
      </c>
      <c r="AJ128" s="2" t="str">
        <f>IF(Source!$C128&gt;=COLUMNS($A128:AJ128), Source!$G128, "")</f>
        <v/>
      </c>
      <c r="AK128" s="2" t="str">
        <f>IF(Source!$C128&gt;=COLUMNS($A128:AK128), Source!$G128, "")</f>
        <v/>
      </c>
      <c r="AL128" s="2" t="str">
        <f>IF(Source!$C128&gt;=COLUMNS($A128:AL128), Source!$G128, "")</f>
        <v/>
      </c>
      <c r="AM128" s="2" t="str">
        <f>IF(Source!$C128&gt;=COLUMNS($A128:AM128), Source!$G128, "")</f>
        <v/>
      </c>
      <c r="AN128" s="2" t="str">
        <f>IF(Source!$C128&gt;=COLUMNS($A128:AN128), Source!$G128, "")</f>
        <v/>
      </c>
      <c r="AO128" s="2" t="str">
        <f>IF(Source!$C128&gt;=COLUMNS($A128:AO128), Source!$G128, "")</f>
        <v/>
      </c>
      <c r="AP128" s="2" t="str">
        <f>IF(Source!$C128&gt;=COLUMNS($A128:AP128), Source!$G128, "")</f>
        <v/>
      </c>
      <c r="AQ128" s="2" t="str">
        <f>IF(Source!$C128&gt;=COLUMNS($A128:AQ128), Source!$G128, "")</f>
        <v/>
      </c>
      <c r="AR128" s="2" t="str">
        <f>IF(Source!$C128&gt;=COLUMNS($A128:AR128), Source!$G128, "")</f>
        <v/>
      </c>
    </row>
    <row r="129">
      <c r="A129" s="2">
        <f>IF(Source!$C129&gt;=COLUMNS($A129:A129), Source!$G129, "")</f>
        <v>5</v>
      </c>
      <c r="B129" s="2" t="str">
        <f>IF(Source!$C129&gt;=COLUMNS($A129:B129), Source!$G129, "")</f>
        <v/>
      </c>
      <c r="C129" s="2" t="str">
        <f>IF(Source!$C129&gt;=COLUMNS($A129:C129), Source!$G129, "")</f>
        <v/>
      </c>
      <c r="D129" s="2" t="str">
        <f>IF(Source!$C129&gt;=COLUMNS($A129:D129), Source!$G129, "")</f>
        <v/>
      </c>
      <c r="E129" s="2" t="str">
        <f>IF(Source!$C129&gt;=COLUMNS($A129:E129), Source!$G129, "")</f>
        <v/>
      </c>
      <c r="F129" s="2" t="str">
        <f>IF(Source!$C129&gt;=COLUMNS($A129:F129), Source!$G129, "")</f>
        <v/>
      </c>
      <c r="G129" s="2" t="str">
        <f>IF(Source!$C129&gt;=COLUMNS($A129:G129), Source!$G129, "")</f>
        <v/>
      </c>
      <c r="H129" s="2" t="str">
        <f>IF(Source!$C129&gt;=COLUMNS($A129:H129), Source!$G129, "")</f>
        <v/>
      </c>
      <c r="I129" s="2" t="str">
        <f>IF(Source!$C129&gt;=COLUMNS($A129:I129), Source!$G129, "")</f>
        <v/>
      </c>
      <c r="J129" s="2" t="str">
        <f>IF(Source!$C129&gt;=COLUMNS($A129:J129), Source!$G129, "")</f>
        <v/>
      </c>
      <c r="K129" s="2" t="str">
        <f>IF(Source!$C129&gt;=COLUMNS($A129:K129), Source!$G129, "")</f>
        <v/>
      </c>
      <c r="L129" s="2" t="str">
        <f>IF(Source!$C129&gt;=COLUMNS($A129:L129), Source!$G129, "")</f>
        <v/>
      </c>
      <c r="M129" s="2" t="str">
        <f>IF(Source!$C129&gt;=COLUMNS($A129:M129), Source!$G129, "")</f>
        <v/>
      </c>
      <c r="N129" s="2" t="str">
        <f>IF(Source!$C129&gt;=COLUMNS($A129:N129), Source!$G129, "")</f>
        <v/>
      </c>
      <c r="O129" s="2" t="str">
        <f>IF(Source!$C129&gt;=COLUMNS($A129:O129), Source!$G129, "")</f>
        <v/>
      </c>
      <c r="P129" s="2" t="str">
        <f>IF(Source!$C129&gt;=COLUMNS($A129:P129), Source!$G129, "")</f>
        <v/>
      </c>
      <c r="Q129" s="2" t="str">
        <f>IF(Source!$C129&gt;=COLUMNS($A129:Q129), Source!$G129, "")</f>
        <v/>
      </c>
      <c r="R129" s="2" t="str">
        <f>IF(Source!$C129&gt;=COLUMNS($A129:R129), Source!$G129, "")</f>
        <v/>
      </c>
      <c r="S129" s="2" t="str">
        <f>IF(Source!$C129&gt;=COLUMNS($A129:S129), Source!$G129, "")</f>
        <v/>
      </c>
      <c r="T129" s="2" t="str">
        <f>IF(Source!$C129&gt;=COLUMNS($A129:T129), Source!$G129, "")</f>
        <v/>
      </c>
      <c r="U129" s="2" t="str">
        <f>IF(Source!$C129&gt;=COLUMNS($A129:U129), Source!$G129, "")</f>
        <v/>
      </c>
      <c r="V129" s="2" t="str">
        <f>IF(Source!$C129&gt;=COLUMNS($A129:V129), Source!$G129, "")</f>
        <v/>
      </c>
      <c r="W129" s="2" t="str">
        <f>IF(Source!$C129&gt;=COLUMNS($A129:W129), Source!$G129, "")</f>
        <v/>
      </c>
      <c r="X129" s="2" t="str">
        <f>IF(Source!$C129&gt;=COLUMNS($A129:X129), Source!$G129, "")</f>
        <v/>
      </c>
      <c r="Y129" s="2" t="str">
        <f>IF(Source!$C129&gt;=COLUMNS($A129:Y129), Source!$G129, "")</f>
        <v/>
      </c>
      <c r="Z129" s="2" t="str">
        <f>IF(Source!$C129&gt;=COLUMNS($A129:Z129), Source!$G129, "")</f>
        <v/>
      </c>
      <c r="AA129" s="2" t="str">
        <f>IF(Source!$C129&gt;=COLUMNS($A129:AA129), Source!$G129, "")</f>
        <v/>
      </c>
      <c r="AB129" s="2" t="str">
        <f>IF(Source!$C129&gt;=COLUMNS($A129:AB129), Source!$G129, "")</f>
        <v/>
      </c>
      <c r="AC129" s="2" t="str">
        <f>IF(Source!$C129&gt;=COLUMNS($A129:AC129), Source!$G129, "")</f>
        <v/>
      </c>
      <c r="AD129" s="2" t="str">
        <f>IF(Source!$C129&gt;=COLUMNS($A129:AD129), Source!$G129, "")</f>
        <v/>
      </c>
      <c r="AE129" s="2" t="str">
        <f>IF(Source!$C129&gt;=COLUMNS($A129:AE129), Source!$G129, "")</f>
        <v/>
      </c>
      <c r="AF129" s="2" t="str">
        <f>IF(Source!$C129&gt;=COLUMNS($A129:AF129), Source!$G129, "")</f>
        <v/>
      </c>
      <c r="AG129" s="2" t="str">
        <f>IF(Source!$C129&gt;=COLUMNS($A129:AG129), Source!$G129, "")</f>
        <v/>
      </c>
      <c r="AH129" s="2" t="str">
        <f>IF(Source!$C129&gt;=COLUMNS($A129:AH129), Source!$G129, "")</f>
        <v/>
      </c>
      <c r="AI129" s="2" t="str">
        <f>IF(Source!$C129&gt;=COLUMNS($A129:AI129), Source!$G129, "")</f>
        <v/>
      </c>
      <c r="AJ129" s="2" t="str">
        <f>IF(Source!$C129&gt;=COLUMNS($A129:AJ129), Source!$G129, "")</f>
        <v/>
      </c>
      <c r="AK129" s="2" t="str">
        <f>IF(Source!$C129&gt;=COLUMNS($A129:AK129), Source!$G129, "")</f>
        <v/>
      </c>
      <c r="AL129" s="2" t="str">
        <f>IF(Source!$C129&gt;=COLUMNS($A129:AL129), Source!$G129, "")</f>
        <v/>
      </c>
      <c r="AM129" s="2" t="str">
        <f>IF(Source!$C129&gt;=COLUMNS($A129:AM129), Source!$G129, "")</f>
        <v/>
      </c>
      <c r="AN129" s="2" t="str">
        <f>IF(Source!$C129&gt;=COLUMNS($A129:AN129), Source!$G129, "")</f>
        <v/>
      </c>
      <c r="AO129" s="2" t="str">
        <f>IF(Source!$C129&gt;=COLUMNS($A129:AO129), Source!$G129, "")</f>
        <v/>
      </c>
      <c r="AP129" s="2" t="str">
        <f>IF(Source!$C129&gt;=COLUMNS($A129:AP129), Source!$G129, "")</f>
        <v/>
      </c>
      <c r="AQ129" s="2" t="str">
        <f>IF(Source!$C129&gt;=COLUMNS($A129:AQ129), Source!$G129, "")</f>
        <v/>
      </c>
      <c r="AR129" s="2" t="str">
        <f>IF(Source!$C129&gt;=COLUMNS($A129:AR129), Source!$G129, "")</f>
        <v/>
      </c>
    </row>
    <row r="130">
      <c r="A130" s="2">
        <f>IF(Source!$C130&gt;=COLUMNS($A130:A130), Source!$G130, "")</f>
        <v>2</v>
      </c>
      <c r="B130" s="2">
        <f>IF(Source!$C130&gt;=COLUMNS($A130:B130), Source!$G130, "")</f>
        <v>2</v>
      </c>
      <c r="C130" s="2">
        <f>IF(Source!$C130&gt;=COLUMNS($A130:C130), Source!$G130, "")</f>
        <v>2</v>
      </c>
      <c r="D130" s="2" t="str">
        <f>IF(Source!$C130&gt;=COLUMNS($A130:D130), Source!$G130, "")</f>
        <v/>
      </c>
      <c r="E130" s="2" t="str">
        <f>IF(Source!$C130&gt;=COLUMNS($A130:E130), Source!$G130, "")</f>
        <v/>
      </c>
      <c r="F130" s="2" t="str">
        <f>IF(Source!$C130&gt;=COLUMNS($A130:F130), Source!$G130, "")</f>
        <v/>
      </c>
      <c r="G130" s="2" t="str">
        <f>IF(Source!$C130&gt;=COLUMNS($A130:G130), Source!$G130, "")</f>
        <v/>
      </c>
      <c r="H130" s="2" t="str">
        <f>IF(Source!$C130&gt;=COLUMNS($A130:H130), Source!$G130, "")</f>
        <v/>
      </c>
      <c r="I130" s="2" t="str">
        <f>IF(Source!$C130&gt;=COLUMNS($A130:I130), Source!$G130, "")</f>
        <v/>
      </c>
      <c r="J130" s="2" t="str">
        <f>IF(Source!$C130&gt;=COLUMNS($A130:J130), Source!$G130, "")</f>
        <v/>
      </c>
      <c r="K130" s="2" t="str">
        <f>IF(Source!$C130&gt;=COLUMNS($A130:K130), Source!$G130, "")</f>
        <v/>
      </c>
      <c r="L130" s="2" t="str">
        <f>IF(Source!$C130&gt;=COLUMNS($A130:L130), Source!$G130, "")</f>
        <v/>
      </c>
      <c r="M130" s="2" t="str">
        <f>IF(Source!$C130&gt;=COLUMNS($A130:M130), Source!$G130, "")</f>
        <v/>
      </c>
      <c r="N130" s="2" t="str">
        <f>IF(Source!$C130&gt;=COLUMNS($A130:N130), Source!$G130, "")</f>
        <v/>
      </c>
      <c r="O130" s="2" t="str">
        <f>IF(Source!$C130&gt;=COLUMNS($A130:O130), Source!$G130, "")</f>
        <v/>
      </c>
      <c r="P130" s="2" t="str">
        <f>IF(Source!$C130&gt;=COLUMNS($A130:P130), Source!$G130, "")</f>
        <v/>
      </c>
      <c r="Q130" s="2" t="str">
        <f>IF(Source!$C130&gt;=COLUMNS($A130:Q130), Source!$G130, "")</f>
        <v/>
      </c>
      <c r="R130" s="2" t="str">
        <f>IF(Source!$C130&gt;=COLUMNS($A130:R130), Source!$G130, "")</f>
        <v/>
      </c>
      <c r="S130" s="2" t="str">
        <f>IF(Source!$C130&gt;=COLUMNS($A130:S130), Source!$G130, "")</f>
        <v/>
      </c>
      <c r="T130" s="2" t="str">
        <f>IF(Source!$C130&gt;=COLUMNS($A130:T130), Source!$G130, "")</f>
        <v/>
      </c>
      <c r="U130" s="2" t="str">
        <f>IF(Source!$C130&gt;=COLUMNS($A130:U130), Source!$G130, "")</f>
        <v/>
      </c>
      <c r="V130" s="2" t="str">
        <f>IF(Source!$C130&gt;=COLUMNS($A130:V130), Source!$G130, "")</f>
        <v/>
      </c>
      <c r="W130" s="2" t="str">
        <f>IF(Source!$C130&gt;=COLUMNS($A130:W130), Source!$G130, "")</f>
        <v/>
      </c>
      <c r="X130" s="2" t="str">
        <f>IF(Source!$C130&gt;=COLUMNS($A130:X130), Source!$G130, "")</f>
        <v/>
      </c>
      <c r="Y130" s="2" t="str">
        <f>IF(Source!$C130&gt;=COLUMNS($A130:Y130), Source!$G130, "")</f>
        <v/>
      </c>
      <c r="Z130" s="2" t="str">
        <f>IF(Source!$C130&gt;=COLUMNS($A130:Z130), Source!$G130, "")</f>
        <v/>
      </c>
      <c r="AA130" s="2" t="str">
        <f>IF(Source!$C130&gt;=COLUMNS($A130:AA130), Source!$G130, "")</f>
        <v/>
      </c>
      <c r="AB130" s="2" t="str">
        <f>IF(Source!$C130&gt;=COLUMNS($A130:AB130), Source!$G130, "")</f>
        <v/>
      </c>
      <c r="AC130" s="2" t="str">
        <f>IF(Source!$C130&gt;=COLUMNS($A130:AC130), Source!$G130, "")</f>
        <v/>
      </c>
      <c r="AD130" s="2" t="str">
        <f>IF(Source!$C130&gt;=COLUMNS($A130:AD130), Source!$G130, "")</f>
        <v/>
      </c>
      <c r="AE130" s="2" t="str">
        <f>IF(Source!$C130&gt;=COLUMNS($A130:AE130), Source!$G130, "")</f>
        <v/>
      </c>
      <c r="AF130" s="2" t="str">
        <f>IF(Source!$C130&gt;=COLUMNS($A130:AF130), Source!$G130, "")</f>
        <v/>
      </c>
      <c r="AG130" s="2" t="str">
        <f>IF(Source!$C130&gt;=COLUMNS($A130:AG130), Source!$G130, "")</f>
        <v/>
      </c>
      <c r="AH130" s="2" t="str">
        <f>IF(Source!$C130&gt;=COLUMNS($A130:AH130), Source!$G130, "")</f>
        <v/>
      </c>
      <c r="AI130" s="2" t="str">
        <f>IF(Source!$C130&gt;=COLUMNS($A130:AI130), Source!$G130, "")</f>
        <v/>
      </c>
      <c r="AJ130" s="2" t="str">
        <f>IF(Source!$C130&gt;=COLUMNS($A130:AJ130), Source!$G130, "")</f>
        <v/>
      </c>
      <c r="AK130" s="2" t="str">
        <f>IF(Source!$C130&gt;=COLUMNS($A130:AK130), Source!$G130, "")</f>
        <v/>
      </c>
      <c r="AL130" s="2" t="str">
        <f>IF(Source!$C130&gt;=COLUMNS($A130:AL130), Source!$G130, "")</f>
        <v/>
      </c>
      <c r="AM130" s="2" t="str">
        <f>IF(Source!$C130&gt;=COLUMNS($A130:AM130), Source!$G130, "")</f>
        <v/>
      </c>
      <c r="AN130" s="2" t="str">
        <f>IF(Source!$C130&gt;=COLUMNS($A130:AN130), Source!$G130, "")</f>
        <v/>
      </c>
      <c r="AO130" s="2" t="str">
        <f>IF(Source!$C130&gt;=COLUMNS($A130:AO130), Source!$G130, "")</f>
        <v/>
      </c>
      <c r="AP130" s="2" t="str">
        <f>IF(Source!$C130&gt;=COLUMNS($A130:AP130), Source!$G130, "")</f>
        <v/>
      </c>
      <c r="AQ130" s="2" t="str">
        <f>IF(Source!$C130&gt;=COLUMNS($A130:AQ130), Source!$G130, "")</f>
        <v/>
      </c>
      <c r="AR130" s="2" t="str">
        <f>IF(Source!$C130&gt;=COLUMNS($A130:AR130), Source!$G130, "")</f>
        <v/>
      </c>
    </row>
    <row r="131">
      <c r="A131" s="2">
        <f>IF(Source!$C131&gt;=COLUMNS($A131:A131), Source!$G131, "")</f>
        <v>4</v>
      </c>
      <c r="B131" s="2">
        <f>IF(Source!$C131&gt;=COLUMNS($A131:B131), Source!$G131, "")</f>
        <v>4</v>
      </c>
      <c r="C131" s="2" t="str">
        <f>IF(Source!$C131&gt;=COLUMNS($A131:C131), Source!$G131, "")</f>
        <v/>
      </c>
      <c r="D131" s="2" t="str">
        <f>IF(Source!$C131&gt;=COLUMNS($A131:D131), Source!$G131, "")</f>
        <v/>
      </c>
      <c r="E131" s="2" t="str">
        <f>IF(Source!$C131&gt;=COLUMNS($A131:E131), Source!$G131, "")</f>
        <v/>
      </c>
      <c r="F131" s="2" t="str">
        <f>IF(Source!$C131&gt;=COLUMNS($A131:F131), Source!$G131, "")</f>
        <v/>
      </c>
      <c r="G131" s="2" t="str">
        <f>IF(Source!$C131&gt;=COLUMNS($A131:G131), Source!$G131, "")</f>
        <v/>
      </c>
      <c r="H131" s="2" t="str">
        <f>IF(Source!$C131&gt;=COLUMNS($A131:H131), Source!$G131, "")</f>
        <v/>
      </c>
      <c r="I131" s="2" t="str">
        <f>IF(Source!$C131&gt;=COLUMNS($A131:I131), Source!$G131, "")</f>
        <v/>
      </c>
      <c r="J131" s="2" t="str">
        <f>IF(Source!$C131&gt;=COLUMNS($A131:J131), Source!$G131, "")</f>
        <v/>
      </c>
      <c r="K131" s="2" t="str">
        <f>IF(Source!$C131&gt;=COLUMNS($A131:K131), Source!$G131, "")</f>
        <v/>
      </c>
      <c r="L131" s="2" t="str">
        <f>IF(Source!$C131&gt;=COLUMNS($A131:L131), Source!$G131, "")</f>
        <v/>
      </c>
      <c r="M131" s="2" t="str">
        <f>IF(Source!$C131&gt;=COLUMNS($A131:M131), Source!$G131, "")</f>
        <v/>
      </c>
      <c r="N131" s="2" t="str">
        <f>IF(Source!$C131&gt;=COLUMNS($A131:N131), Source!$G131, "")</f>
        <v/>
      </c>
      <c r="O131" s="2" t="str">
        <f>IF(Source!$C131&gt;=COLUMNS($A131:O131), Source!$G131, "")</f>
        <v/>
      </c>
      <c r="P131" s="2" t="str">
        <f>IF(Source!$C131&gt;=COLUMNS($A131:P131), Source!$G131, "")</f>
        <v/>
      </c>
      <c r="Q131" s="2" t="str">
        <f>IF(Source!$C131&gt;=COLUMNS($A131:Q131), Source!$G131, "")</f>
        <v/>
      </c>
      <c r="R131" s="2" t="str">
        <f>IF(Source!$C131&gt;=COLUMNS($A131:R131), Source!$G131, "")</f>
        <v/>
      </c>
      <c r="S131" s="2" t="str">
        <f>IF(Source!$C131&gt;=COLUMNS($A131:S131), Source!$G131, "")</f>
        <v/>
      </c>
      <c r="T131" s="2" t="str">
        <f>IF(Source!$C131&gt;=COLUMNS($A131:T131), Source!$G131, "")</f>
        <v/>
      </c>
      <c r="U131" s="2" t="str">
        <f>IF(Source!$C131&gt;=COLUMNS($A131:U131), Source!$G131, "")</f>
        <v/>
      </c>
      <c r="V131" s="2" t="str">
        <f>IF(Source!$C131&gt;=COLUMNS($A131:V131), Source!$G131, "")</f>
        <v/>
      </c>
      <c r="W131" s="2" t="str">
        <f>IF(Source!$C131&gt;=COLUMNS($A131:W131), Source!$G131, "")</f>
        <v/>
      </c>
      <c r="X131" s="2" t="str">
        <f>IF(Source!$C131&gt;=COLUMNS($A131:X131), Source!$G131, "")</f>
        <v/>
      </c>
      <c r="Y131" s="2" t="str">
        <f>IF(Source!$C131&gt;=COLUMNS($A131:Y131), Source!$G131, "")</f>
        <v/>
      </c>
      <c r="Z131" s="2" t="str">
        <f>IF(Source!$C131&gt;=COLUMNS($A131:Z131), Source!$G131, "")</f>
        <v/>
      </c>
      <c r="AA131" s="2" t="str">
        <f>IF(Source!$C131&gt;=COLUMNS($A131:AA131), Source!$G131, "")</f>
        <v/>
      </c>
      <c r="AB131" s="2" t="str">
        <f>IF(Source!$C131&gt;=COLUMNS($A131:AB131), Source!$G131, "")</f>
        <v/>
      </c>
      <c r="AC131" s="2" t="str">
        <f>IF(Source!$C131&gt;=COLUMNS($A131:AC131), Source!$G131, "")</f>
        <v/>
      </c>
      <c r="AD131" s="2" t="str">
        <f>IF(Source!$C131&gt;=COLUMNS($A131:AD131), Source!$G131, "")</f>
        <v/>
      </c>
      <c r="AE131" s="2" t="str">
        <f>IF(Source!$C131&gt;=COLUMNS($A131:AE131), Source!$G131, "")</f>
        <v/>
      </c>
      <c r="AF131" s="2" t="str">
        <f>IF(Source!$C131&gt;=COLUMNS($A131:AF131), Source!$G131, "")</f>
        <v/>
      </c>
      <c r="AG131" s="2" t="str">
        <f>IF(Source!$C131&gt;=COLUMNS($A131:AG131), Source!$G131, "")</f>
        <v/>
      </c>
      <c r="AH131" s="2" t="str">
        <f>IF(Source!$C131&gt;=COLUMNS($A131:AH131), Source!$G131, "")</f>
        <v/>
      </c>
      <c r="AI131" s="2" t="str">
        <f>IF(Source!$C131&gt;=COLUMNS($A131:AI131), Source!$G131, "")</f>
        <v/>
      </c>
      <c r="AJ131" s="2" t="str">
        <f>IF(Source!$C131&gt;=COLUMNS($A131:AJ131), Source!$G131, "")</f>
        <v/>
      </c>
      <c r="AK131" s="2" t="str">
        <f>IF(Source!$C131&gt;=COLUMNS($A131:AK131), Source!$G131, "")</f>
        <v/>
      </c>
      <c r="AL131" s="2" t="str">
        <f>IF(Source!$C131&gt;=COLUMNS($A131:AL131), Source!$G131, "")</f>
        <v/>
      </c>
      <c r="AM131" s="2" t="str">
        <f>IF(Source!$C131&gt;=COLUMNS($A131:AM131), Source!$G131, "")</f>
        <v/>
      </c>
      <c r="AN131" s="2" t="str">
        <f>IF(Source!$C131&gt;=COLUMNS($A131:AN131), Source!$G131, "")</f>
        <v/>
      </c>
      <c r="AO131" s="2" t="str">
        <f>IF(Source!$C131&gt;=COLUMNS($A131:AO131), Source!$G131, "")</f>
        <v/>
      </c>
      <c r="AP131" s="2" t="str">
        <f>IF(Source!$C131&gt;=COLUMNS($A131:AP131), Source!$G131, "")</f>
        <v/>
      </c>
      <c r="AQ131" s="2" t="str">
        <f>IF(Source!$C131&gt;=COLUMNS($A131:AQ131), Source!$G131, "")</f>
        <v/>
      </c>
      <c r="AR131" s="2" t="str">
        <f>IF(Source!$C131&gt;=COLUMNS($A131:AR131), Source!$G131, "")</f>
        <v/>
      </c>
    </row>
    <row r="132">
      <c r="A132" s="2">
        <f>IF(Source!$C132&gt;=COLUMNS($A132:A132), Source!$G132, "")</f>
        <v>7</v>
      </c>
      <c r="B132" s="2">
        <f>IF(Source!$C132&gt;=COLUMNS($A132:B132), Source!$G132, "")</f>
        <v>7</v>
      </c>
      <c r="C132" s="2">
        <f>IF(Source!$C132&gt;=COLUMNS($A132:C132), Source!$G132, "")</f>
        <v>7</v>
      </c>
      <c r="D132" s="2">
        <f>IF(Source!$C132&gt;=COLUMNS($A132:D132), Source!$G132, "")</f>
        <v>7</v>
      </c>
      <c r="E132" s="2">
        <f>IF(Source!$C132&gt;=COLUMNS($A132:E132), Source!$G132, "")</f>
        <v>7</v>
      </c>
      <c r="F132" s="2">
        <f>IF(Source!$C132&gt;=COLUMNS($A132:F132), Source!$G132, "")</f>
        <v>7</v>
      </c>
      <c r="G132" s="2">
        <f>IF(Source!$C132&gt;=COLUMNS($A132:G132), Source!$G132, "")</f>
        <v>7</v>
      </c>
      <c r="H132" s="2">
        <f>IF(Source!$C132&gt;=COLUMNS($A132:H132), Source!$G132, "")</f>
        <v>7</v>
      </c>
      <c r="I132" s="2">
        <f>IF(Source!$C132&gt;=COLUMNS($A132:I132), Source!$G132, "")</f>
        <v>7</v>
      </c>
      <c r="J132" s="2">
        <f>IF(Source!$C132&gt;=COLUMNS($A132:J132), Source!$G132, "")</f>
        <v>7</v>
      </c>
      <c r="K132" s="2">
        <f>IF(Source!$C132&gt;=COLUMNS($A132:K132), Source!$G132, "")</f>
        <v>7</v>
      </c>
      <c r="L132" s="2">
        <f>IF(Source!$C132&gt;=COLUMNS($A132:L132), Source!$G132, "")</f>
        <v>7</v>
      </c>
      <c r="M132" s="2">
        <f>IF(Source!$C132&gt;=COLUMNS($A132:M132), Source!$G132, "")</f>
        <v>7</v>
      </c>
      <c r="N132" s="2">
        <f>IF(Source!$C132&gt;=COLUMNS($A132:N132), Source!$G132, "")</f>
        <v>7</v>
      </c>
      <c r="O132" s="2">
        <f>IF(Source!$C132&gt;=COLUMNS($A132:O132), Source!$G132, "")</f>
        <v>7</v>
      </c>
      <c r="P132" s="2">
        <f>IF(Source!$C132&gt;=COLUMNS($A132:P132), Source!$G132, "")</f>
        <v>7</v>
      </c>
      <c r="Q132" s="2">
        <f>IF(Source!$C132&gt;=COLUMNS($A132:Q132), Source!$G132, "")</f>
        <v>7</v>
      </c>
      <c r="R132" s="2">
        <f>IF(Source!$C132&gt;=COLUMNS($A132:R132), Source!$G132, "")</f>
        <v>7</v>
      </c>
      <c r="S132" s="2">
        <f>IF(Source!$C132&gt;=COLUMNS($A132:S132), Source!$G132, "")</f>
        <v>7</v>
      </c>
      <c r="T132" s="2">
        <f>IF(Source!$C132&gt;=COLUMNS($A132:T132), Source!$G132, "")</f>
        <v>7</v>
      </c>
      <c r="U132" s="2">
        <f>IF(Source!$C132&gt;=COLUMNS($A132:U132), Source!$G132, "")</f>
        <v>7</v>
      </c>
      <c r="V132" s="2">
        <f>IF(Source!$C132&gt;=COLUMNS($A132:V132), Source!$G132, "")</f>
        <v>7</v>
      </c>
      <c r="W132" s="2">
        <f>IF(Source!$C132&gt;=COLUMNS($A132:W132), Source!$G132, "")</f>
        <v>7</v>
      </c>
      <c r="X132" s="2">
        <f>IF(Source!$C132&gt;=COLUMNS($A132:X132), Source!$G132, "")</f>
        <v>7</v>
      </c>
      <c r="Y132" s="2">
        <f>IF(Source!$C132&gt;=COLUMNS($A132:Y132), Source!$G132, "")</f>
        <v>7</v>
      </c>
      <c r="Z132" s="2">
        <f>IF(Source!$C132&gt;=COLUMNS($A132:Z132), Source!$G132, "")</f>
        <v>7</v>
      </c>
      <c r="AA132" s="2">
        <f>IF(Source!$C132&gt;=COLUMNS($A132:AA132), Source!$G132, "")</f>
        <v>7</v>
      </c>
      <c r="AB132" s="2" t="str">
        <f>IF(Source!$C132&gt;=COLUMNS($A132:AB132), Source!$G132, "")</f>
        <v/>
      </c>
      <c r="AC132" s="2" t="str">
        <f>IF(Source!$C132&gt;=COLUMNS($A132:AC132), Source!$G132, "")</f>
        <v/>
      </c>
      <c r="AD132" s="2" t="str">
        <f>IF(Source!$C132&gt;=COLUMNS($A132:AD132), Source!$G132, "")</f>
        <v/>
      </c>
      <c r="AE132" s="2" t="str">
        <f>IF(Source!$C132&gt;=COLUMNS($A132:AE132), Source!$G132, "")</f>
        <v/>
      </c>
      <c r="AF132" s="2" t="str">
        <f>IF(Source!$C132&gt;=COLUMNS($A132:AF132), Source!$G132, "")</f>
        <v/>
      </c>
      <c r="AG132" s="2" t="str">
        <f>IF(Source!$C132&gt;=COLUMNS($A132:AG132), Source!$G132, "")</f>
        <v/>
      </c>
      <c r="AH132" s="2" t="str">
        <f>IF(Source!$C132&gt;=COLUMNS($A132:AH132), Source!$G132, "")</f>
        <v/>
      </c>
      <c r="AI132" s="2" t="str">
        <f>IF(Source!$C132&gt;=COLUMNS($A132:AI132), Source!$G132, "")</f>
        <v/>
      </c>
      <c r="AJ132" s="2" t="str">
        <f>IF(Source!$C132&gt;=COLUMNS($A132:AJ132), Source!$G132, "")</f>
        <v/>
      </c>
      <c r="AK132" s="2" t="str">
        <f>IF(Source!$C132&gt;=COLUMNS($A132:AK132), Source!$G132, "")</f>
        <v/>
      </c>
      <c r="AL132" s="2" t="str">
        <f>IF(Source!$C132&gt;=COLUMNS($A132:AL132), Source!$G132, "")</f>
        <v/>
      </c>
      <c r="AM132" s="2" t="str">
        <f>IF(Source!$C132&gt;=COLUMNS($A132:AM132), Source!$G132, "")</f>
        <v/>
      </c>
      <c r="AN132" s="2" t="str">
        <f>IF(Source!$C132&gt;=COLUMNS($A132:AN132), Source!$G132, "")</f>
        <v/>
      </c>
      <c r="AO132" s="2" t="str">
        <f>IF(Source!$C132&gt;=COLUMNS($A132:AO132), Source!$G132, "")</f>
        <v/>
      </c>
      <c r="AP132" s="2" t="str">
        <f>IF(Source!$C132&gt;=COLUMNS($A132:AP132), Source!$G132, "")</f>
        <v/>
      </c>
      <c r="AQ132" s="2" t="str">
        <f>IF(Source!$C132&gt;=COLUMNS($A132:AQ132), Source!$G132, "")</f>
        <v/>
      </c>
      <c r="AR132" s="2" t="str">
        <f>IF(Source!$C132&gt;=COLUMNS($A132:AR132), Source!$G132, "")</f>
        <v/>
      </c>
    </row>
    <row r="133">
      <c r="A133" s="2">
        <f>IF(Source!$C133&gt;=COLUMNS($A133:A133), Source!$G133, "")</f>
        <v>2</v>
      </c>
      <c r="B133" s="2">
        <f>IF(Source!$C133&gt;=COLUMNS($A133:B133), Source!$G133, "")</f>
        <v>2</v>
      </c>
      <c r="C133" s="2" t="str">
        <f>IF(Source!$C133&gt;=COLUMNS($A133:C133), Source!$G133, "")</f>
        <v/>
      </c>
      <c r="D133" s="2" t="str">
        <f>IF(Source!$C133&gt;=COLUMNS($A133:D133), Source!$G133, "")</f>
        <v/>
      </c>
      <c r="E133" s="2" t="str">
        <f>IF(Source!$C133&gt;=COLUMNS($A133:E133), Source!$G133, "")</f>
        <v/>
      </c>
      <c r="F133" s="2" t="str">
        <f>IF(Source!$C133&gt;=COLUMNS($A133:F133), Source!$G133, "")</f>
        <v/>
      </c>
      <c r="G133" s="2" t="str">
        <f>IF(Source!$C133&gt;=COLUMNS($A133:G133), Source!$G133, "")</f>
        <v/>
      </c>
      <c r="H133" s="2" t="str">
        <f>IF(Source!$C133&gt;=COLUMNS($A133:H133), Source!$G133, "")</f>
        <v/>
      </c>
      <c r="I133" s="2" t="str">
        <f>IF(Source!$C133&gt;=COLUMNS($A133:I133), Source!$G133, "")</f>
        <v/>
      </c>
      <c r="J133" s="2" t="str">
        <f>IF(Source!$C133&gt;=COLUMNS($A133:J133), Source!$G133, "")</f>
        <v/>
      </c>
      <c r="K133" s="2" t="str">
        <f>IF(Source!$C133&gt;=COLUMNS($A133:K133), Source!$G133, "")</f>
        <v/>
      </c>
      <c r="L133" s="2" t="str">
        <f>IF(Source!$C133&gt;=COLUMNS($A133:L133), Source!$G133, "")</f>
        <v/>
      </c>
      <c r="M133" s="2" t="str">
        <f>IF(Source!$C133&gt;=COLUMNS($A133:M133), Source!$G133, "")</f>
        <v/>
      </c>
      <c r="N133" s="2" t="str">
        <f>IF(Source!$C133&gt;=COLUMNS($A133:N133), Source!$G133, "")</f>
        <v/>
      </c>
      <c r="O133" s="2" t="str">
        <f>IF(Source!$C133&gt;=COLUMNS($A133:O133), Source!$G133, "")</f>
        <v/>
      </c>
      <c r="P133" s="2" t="str">
        <f>IF(Source!$C133&gt;=COLUMNS($A133:P133), Source!$G133, "")</f>
        <v/>
      </c>
      <c r="Q133" s="2" t="str">
        <f>IF(Source!$C133&gt;=COLUMNS($A133:Q133), Source!$G133, "")</f>
        <v/>
      </c>
      <c r="R133" s="2" t="str">
        <f>IF(Source!$C133&gt;=COLUMNS($A133:R133), Source!$G133, "")</f>
        <v/>
      </c>
      <c r="S133" s="2" t="str">
        <f>IF(Source!$C133&gt;=COLUMNS($A133:S133), Source!$G133, "")</f>
        <v/>
      </c>
      <c r="T133" s="2" t="str">
        <f>IF(Source!$C133&gt;=COLUMNS($A133:T133), Source!$G133, "")</f>
        <v/>
      </c>
      <c r="U133" s="2" t="str">
        <f>IF(Source!$C133&gt;=COLUMNS($A133:U133), Source!$G133, "")</f>
        <v/>
      </c>
      <c r="V133" s="2" t="str">
        <f>IF(Source!$C133&gt;=COLUMNS($A133:V133), Source!$G133, "")</f>
        <v/>
      </c>
      <c r="W133" s="2" t="str">
        <f>IF(Source!$C133&gt;=COLUMNS($A133:W133), Source!$G133, "")</f>
        <v/>
      </c>
      <c r="X133" s="2" t="str">
        <f>IF(Source!$C133&gt;=COLUMNS($A133:X133), Source!$G133, "")</f>
        <v/>
      </c>
      <c r="Y133" s="2" t="str">
        <f>IF(Source!$C133&gt;=COLUMNS($A133:Y133), Source!$G133, "")</f>
        <v/>
      </c>
      <c r="Z133" s="2" t="str">
        <f>IF(Source!$C133&gt;=COLUMNS($A133:Z133), Source!$G133, "")</f>
        <v/>
      </c>
      <c r="AA133" s="2" t="str">
        <f>IF(Source!$C133&gt;=COLUMNS($A133:AA133), Source!$G133, "")</f>
        <v/>
      </c>
      <c r="AB133" s="2" t="str">
        <f>IF(Source!$C133&gt;=COLUMNS($A133:AB133), Source!$G133, "")</f>
        <v/>
      </c>
      <c r="AC133" s="2" t="str">
        <f>IF(Source!$C133&gt;=COLUMNS($A133:AC133), Source!$G133, "")</f>
        <v/>
      </c>
      <c r="AD133" s="2" t="str">
        <f>IF(Source!$C133&gt;=COLUMNS($A133:AD133), Source!$G133, "")</f>
        <v/>
      </c>
      <c r="AE133" s="2" t="str">
        <f>IF(Source!$C133&gt;=COLUMNS($A133:AE133), Source!$G133, "")</f>
        <v/>
      </c>
      <c r="AF133" s="2" t="str">
        <f>IF(Source!$C133&gt;=COLUMNS($A133:AF133), Source!$G133, "")</f>
        <v/>
      </c>
      <c r="AG133" s="2" t="str">
        <f>IF(Source!$C133&gt;=COLUMNS($A133:AG133), Source!$G133, "")</f>
        <v/>
      </c>
      <c r="AH133" s="2" t="str">
        <f>IF(Source!$C133&gt;=COLUMNS($A133:AH133), Source!$G133, "")</f>
        <v/>
      </c>
      <c r="AI133" s="2" t="str">
        <f>IF(Source!$C133&gt;=COLUMNS($A133:AI133), Source!$G133, "")</f>
        <v/>
      </c>
      <c r="AJ133" s="2" t="str">
        <f>IF(Source!$C133&gt;=COLUMNS($A133:AJ133), Source!$G133, "")</f>
        <v/>
      </c>
      <c r="AK133" s="2" t="str">
        <f>IF(Source!$C133&gt;=COLUMNS($A133:AK133), Source!$G133, "")</f>
        <v/>
      </c>
      <c r="AL133" s="2" t="str">
        <f>IF(Source!$C133&gt;=COLUMNS($A133:AL133), Source!$G133, "")</f>
        <v/>
      </c>
      <c r="AM133" s="2" t="str">
        <f>IF(Source!$C133&gt;=COLUMNS($A133:AM133), Source!$G133, "")</f>
        <v/>
      </c>
      <c r="AN133" s="2" t="str">
        <f>IF(Source!$C133&gt;=COLUMNS($A133:AN133), Source!$G133, "")</f>
        <v/>
      </c>
      <c r="AO133" s="2" t="str">
        <f>IF(Source!$C133&gt;=COLUMNS($A133:AO133), Source!$G133, "")</f>
        <v/>
      </c>
      <c r="AP133" s="2" t="str">
        <f>IF(Source!$C133&gt;=COLUMNS($A133:AP133), Source!$G133, "")</f>
        <v/>
      </c>
      <c r="AQ133" s="2" t="str">
        <f>IF(Source!$C133&gt;=COLUMNS($A133:AQ133), Source!$G133, "")</f>
        <v/>
      </c>
      <c r="AR133" s="2" t="str">
        <f>IF(Source!$C133&gt;=COLUMNS($A133:AR133), Source!$G133, "")</f>
        <v/>
      </c>
    </row>
    <row r="134">
      <c r="A134" s="2">
        <f>IF(Source!$C134&gt;=COLUMNS($A134:A134), Source!$G134, "")</f>
        <v>2</v>
      </c>
      <c r="B134" s="2" t="str">
        <f>IF(Source!$C134&gt;=COLUMNS($A134:B134), Source!$G134, "")</f>
        <v/>
      </c>
      <c r="C134" s="2" t="str">
        <f>IF(Source!$C134&gt;=COLUMNS($A134:C134), Source!$G134, "")</f>
        <v/>
      </c>
      <c r="D134" s="2" t="str">
        <f>IF(Source!$C134&gt;=COLUMNS($A134:D134), Source!$G134, "")</f>
        <v/>
      </c>
      <c r="E134" s="2" t="str">
        <f>IF(Source!$C134&gt;=COLUMNS($A134:E134), Source!$G134, "")</f>
        <v/>
      </c>
      <c r="F134" s="2" t="str">
        <f>IF(Source!$C134&gt;=COLUMNS($A134:F134), Source!$G134, "")</f>
        <v/>
      </c>
      <c r="G134" s="2" t="str">
        <f>IF(Source!$C134&gt;=COLUMNS($A134:G134), Source!$G134, "")</f>
        <v/>
      </c>
      <c r="H134" s="2" t="str">
        <f>IF(Source!$C134&gt;=COLUMNS($A134:H134), Source!$G134, "")</f>
        <v/>
      </c>
      <c r="I134" s="2" t="str">
        <f>IF(Source!$C134&gt;=COLUMNS($A134:I134), Source!$G134, "")</f>
        <v/>
      </c>
      <c r="J134" s="2" t="str">
        <f>IF(Source!$C134&gt;=COLUMNS($A134:J134), Source!$G134, "")</f>
        <v/>
      </c>
      <c r="K134" s="2" t="str">
        <f>IF(Source!$C134&gt;=COLUMNS($A134:K134), Source!$G134, "")</f>
        <v/>
      </c>
      <c r="L134" s="2" t="str">
        <f>IF(Source!$C134&gt;=COLUMNS($A134:L134), Source!$G134, "")</f>
        <v/>
      </c>
      <c r="M134" s="2" t="str">
        <f>IF(Source!$C134&gt;=COLUMNS($A134:M134), Source!$G134, "")</f>
        <v/>
      </c>
      <c r="N134" s="2" t="str">
        <f>IF(Source!$C134&gt;=COLUMNS($A134:N134), Source!$G134, "")</f>
        <v/>
      </c>
      <c r="O134" s="2" t="str">
        <f>IF(Source!$C134&gt;=COLUMNS($A134:O134), Source!$G134, "")</f>
        <v/>
      </c>
      <c r="P134" s="2" t="str">
        <f>IF(Source!$C134&gt;=COLUMNS($A134:P134), Source!$G134, "")</f>
        <v/>
      </c>
      <c r="Q134" s="2" t="str">
        <f>IF(Source!$C134&gt;=COLUMNS($A134:Q134), Source!$G134, "")</f>
        <v/>
      </c>
      <c r="R134" s="2" t="str">
        <f>IF(Source!$C134&gt;=COLUMNS($A134:R134), Source!$G134, "")</f>
        <v/>
      </c>
      <c r="S134" s="2" t="str">
        <f>IF(Source!$C134&gt;=COLUMNS($A134:S134), Source!$G134, "")</f>
        <v/>
      </c>
      <c r="T134" s="2" t="str">
        <f>IF(Source!$C134&gt;=COLUMNS($A134:T134), Source!$G134, "")</f>
        <v/>
      </c>
      <c r="U134" s="2" t="str">
        <f>IF(Source!$C134&gt;=COLUMNS($A134:U134), Source!$G134, "")</f>
        <v/>
      </c>
      <c r="V134" s="2" t="str">
        <f>IF(Source!$C134&gt;=COLUMNS($A134:V134), Source!$G134, "")</f>
        <v/>
      </c>
      <c r="W134" s="2" t="str">
        <f>IF(Source!$C134&gt;=COLUMNS($A134:W134), Source!$G134, "")</f>
        <v/>
      </c>
      <c r="X134" s="2" t="str">
        <f>IF(Source!$C134&gt;=COLUMNS($A134:X134), Source!$G134, "")</f>
        <v/>
      </c>
      <c r="Y134" s="2" t="str">
        <f>IF(Source!$C134&gt;=COLUMNS($A134:Y134), Source!$G134, "")</f>
        <v/>
      </c>
      <c r="Z134" s="2" t="str">
        <f>IF(Source!$C134&gt;=COLUMNS($A134:Z134), Source!$G134, "")</f>
        <v/>
      </c>
      <c r="AA134" s="2" t="str">
        <f>IF(Source!$C134&gt;=COLUMNS($A134:AA134), Source!$G134, "")</f>
        <v/>
      </c>
      <c r="AB134" s="2" t="str">
        <f>IF(Source!$C134&gt;=COLUMNS($A134:AB134), Source!$G134, "")</f>
        <v/>
      </c>
      <c r="AC134" s="2" t="str">
        <f>IF(Source!$C134&gt;=COLUMNS($A134:AC134), Source!$G134, "")</f>
        <v/>
      </c>
      <c r="AD134" s="2" t="str">
        <f>IF(Source!$C134&gt;=COLUMNS($A134:AD134), Source!$G134, "")</f>
        <v/>
      </c>
      <c r="AE134" s="2" t="str">
        <f>IF(Source!$C134&gt;=COLUMNS($A134:AE134), Source!$G134, "")</f>
        <v/>
      </c>
      <c r="AF134" s="2" t="str">
        <f>IF(Source!$C134&gt;=COLUMNS($A134:AF134), Source!$G134, "")</f>
        <v/>
      </c>
      <c r="AG134" s="2" t="str">
        <f>IF(Source!$C134&gt;=COLUMNS($A134:AG134), Source!$G134, "")</f>
        <v/>
      </c>
      <c r="AH134" s="2" t="str">
        <f>IF(Source!$C134&gt;=COLUMNS($A134:AH134), Source!$G134, "")</f>
        <v/>
      </c>
      <c r="AI134" s="2" t="str">
        <f>IF(Source!$C134&gt;=COLUMNS($A134:AI134), Source!$G134, "")</f>
        <v/>
      </c>
      <c r="AJ134" s="2" t="str">
        <f>IF(Source!$C134&gt;=COLUMNS($A134:AJ134), Source!$G134, "")</f>
        <v/>
      </c>
      <c r="AK134" s="2" t="str">
        <f>IF(Source!$C134&gt;=COLUMNS($A134:AK134), Source!$G134, "")</f>
        <v/>
      </c>
      <c r="AL134" s="2" t="str">
        <f>IF(Source!$C134&gt;=COLUMNS($A134:AL134), Source!$G134, "")</f>
        <v/>
      </c>
      <c r="AM134" s="2" t="str">
        <f>IF(Source!$C134&gt;=COLUMNS($A134:AM134), Source!$G134, "")</f>
        <v/>
      </c>
      <c r="AN134" s="2" t="str">
        <f>IF(Source!$C134&gt;=COLUMNS($A134:AN134), Source!$G134, "")</f>
        <v/>
      </c>
      <c r="AO134" s="2" t="str">
        <f>IF(Source!$C134&gt;=COLUMNS($A134:AO134), Source!$G134, "")</f>
        <v/>
      </c>
      <c r="AP134" s="2" t="str">
        <f>IF(Source!$C134&gt;=COLUMNS($A134:AP134), Source!$G134, "")</f>
        <v/>
      </c>
      <c r="AQ134" s="2" t="str">
        <f>IF(Source!$C134&gt;=COLUMNS($A134:AQ134), Source!$G134, "")</f>
        <v/>
      </c>
      <c r="AR134" s="2" t="str">
        <f>IF(Source!$C134&gt;=COLUMNS($A134:AR134), Source!$G134, "")</f>
        <v/>
      </c>
    </row>
    <row r="135">
      <c r="A135" s="2">
        <f>IF(Source!$C135&gt;=COLUMNS($A135:A135), Source!$G135, "")</f>
        <v>5</v>
      </c>
      <c r="B135" s="2">
        <f>IF(Source!$C135&gt;=COLUMNS($A135:B135), Source!$G135, "")</f>
        <v>5</v>
      </c>
      <c r="C135" s="2">
        <f>IF(Source!$C135&gt;=COLUMNS($A135:C135), Source!$G135, "")</f>
        <v>5</v>
      </c>
      <c r="D135" s="2">
        <f>IF(Source!$C135&gt;=COLUMNS($A135:D135), Source!$G135, "")</f>
        <v>5</v>
      </c>
      <c r="E135" s="2">
        <f>IF(Source!$C135&gt;=COLUMNS($A135:E135), Source!$G135, "")</f>
        <v>5</v>
      </c>
      <c r="F135" s="2">
        <f>IF(Source!$C135&gt;=COLUMNS($A135:F135), Source!$G135, "")</f>
        <v>5</v>
      </c>
      <c r="G135" s="2">
        <f>IF(Source!$C135&gt;=COLUMNS($A135:G135), Source!$G135, "")</f>
        <v>5</v>
      </c>
      <c r="H135" s="2">
        <f>IF(Source!$C135&gt;=COLUMNS($A135:H135), Source!$G135, "")</f>
        <v>5</v>
      </c>
      <c r="I135" s="2">
        <f>IF(Source!$C135&gt;=COLUMNS($A135:I135), Source!$G135, "")</f>
        <v>5</v>
      </c>
      <c r="J135" s="2">
        <f>IF(Source!$C135&gt;=COLUMNS($A135:J135), Source!$G135, "")</f>
        <v>5</v>
      </c>
      <c r="K135" s="2">
        <f>IF(Source!$C135&gt;=COLUMNS($A135:K135), Source!$G135, "")</f>
        <v>5</v>
      </c>
      <c r="L135" s="2">
        <f>IF(Source!$C135&gt;=COLUMNS($A135:L135), Source!$G135, "")</f>
        <v>5</v>
      </c>
      <c r="M135" s="2">
        <f>IF(Source!$C135&gt;=COLUMNS($A135:M135), Source!$G135, "")</f>
        <v>5</v>
      </c>
      <c r="N135" s="2">
        <f>IF(Source!$C135&gt;=COLUMNS($A135:N135), Source!$G135, "")</f>
        <v>5</v>
      </c>
      <c r="O135" s="2">
        <f>IF(Source!$C135&gt;=COLUMNS($A135:O135), Source!$G135, "")</f>
        <v>5</v>
      </c>
      <c r="P135" s="2">
        <f>IF(Source!$C135&gt;=COLUMNS($A135:P135), Source!$G135, "")</f>
        <v>5</v>
      </c>
      <c r="Q135" s="2">
        <f>IF(Source!$C135&gt;=COLUMNS($A135:Q135), Source!$G135, "")</f>
        <v>5</v>
      </c>
      <c r="R135" s="2">
        <f>IF(Source!$C135&gt;=COLUMNS($A135:R135), Source!$G135, "")</f>
        <v>5</v>
      </c>
      <c r="S135" s="2" t="str">
        <f>IF(Source!$C135&gt;=COLUMNS($A135:S135), Source!$G135, "")</f>
        <v/>
      </c>
      <c r="T135" s="2" t="str">
        <f>IF(Source!$C135&gt;=COLUMNS($A135:T135), Source!$G135, "")</f>
        <v/>
      </c>
      <c r="U135" s="2" t="str">
        <f>IF(Source!$C135&gt;=COLUMNS($A135:U135), Source!$G135, "")</f>
        <v/>
      </c>
      <c r="V135" s="2" t="str">
        <f>IF(Source!$C135&gt;=COLUMNS($A135:V135), Source!$G135, "")</f>
        <v/>
      </c>
      <c r="W135" s="2" t="str">
        <f>IF(Source!$C135&gt;=COLUMNS($A135:W135), Source!$G135, "")</f>
        <v/>
      </c>
      <c r="X135" s="2" t="str">
        <f>IF(Source!$C135&gt;=COLUMNS($A135:X135), Source!$G135, "")</f>
        <v/>
      </c>
      <c r="Y135" s="2" t="str">
        <f>IF(Source!$C135&gt;=COLUMNS($A135:Y135), Source!$G135, "")</f>
        <v/>
      </c>
      <c r="Z135" s="2" t="str">
        <f>IF(Source!$C135&gt;=COLUMNS($A135:Z135), Source!$G135, "")</f>
        <v/>
      </c>
      <c r="AA135" s="2" t="str">
        <f>IF(Source!$C135&gt;=COLUMNS($A135:AA135), Source!$G135, "")</f>
        <v/>
      </c>
      <c r="AB135" s="2" t="str">
        <f>IF(Source!$C135&gt;=COLUMNS($A135:AB135), Source!$G135, "")</f>
        <v/>
      </c>
      <c r="AC135" s="2" t="str">
        <f>IF(Source!$C135&gt;=COLUMNS($A135:AC135), Source!$G135, "")</f>
        <v/>
      </c>
      <c r="AD135" s="2" t="str">
        <f>IF(Source!$C135&gt;=COLUMNS($A135:AD135), Source!$G135, "")</f>
        <v/>
      </c>
      <c r="AE135" s="2" t="str">
        <f>IF(Source!$C135&gt;=COLUMNS($A135:AE135), Source!$G135, "")</f>
        <v/>
      </c>
      <c r="AF135" s="2" t="str">
        <f>IF(Source!$C135&gt;=COLUMNS($A135:AF135), Source!$G135, "")</f>
        <v/>
      </c>
      <c r="AG135" s="2" t="str">
        <f>IF(Source!$C135&gt;=COLUMNS($A135:AG135), Source!$G135, "")</f>
        <v/>
      </c>
      <c r="AH135" s="2" t="str">
        <f>IF(Source!$C135&gt;=COLUMNS($A135:AH135), Source!$G135, "")</f>
        <v/>
      </c>
      <c r="AI135" s="2" t="str">
        <f>IF(Source!$C135&gt;=COLUMNS($A135:AI135), Source!$G135, "")</f>
        <v/>
      </c>
      <c r="AJ135" s="2" t="str">
        <f>IF(Source!$C135&gt;=COLUMNS($A135:AJ135), Source!$G135, "")</f>
        <v/>
      </c>
      <c r="AK135" s="2" t="str">
        <f>IF(Source!$C135&gt;=COLUMNS($A135:AK135), Source!$G135, "")</f>
        <v/>
      </c>
      <c r="AL135" s="2" t="str">
        <f>IF(Source!$C135&gt;=COLUMNS($A135:AL135), Source!$G135, "")</f>
        <v/>
      </c>
      <c r="AM135" s="2" t="str">
        <f>IF(Source!$C135&gt;=COLUMNS($A135:AM135), Source!$G135, "")</f>
        <v/>
      </c>
      <c r="AN135" s="2" t="str">
        <f>IF(Source!$C135&gt;=COLUMNS($A135:AN135), Source!$G135, "")</f>
        <v/>
      </c>
      <c r="AO135" s="2" t="str">
        <f>IF(Source!$C135&gt;=COLUMNS($A135:AO135), Source!$G135, "")</f>
        <v/>
      </c>
      <c r="AP135" s="2" t="str">
        <f>IF(Source!$C135&gt;=COLUMNS($A135:AP135), Source!$G135, "")</f>
        <v/>
      </c>
      <c r="AQ135" s="2" t="str">
        <f>IF(Source!$C135&gt;=COLUMNS($A135:AQ135), Source!$G135, "")</f>
        <v/>
      </c>
      <c r="AR135" s="2" t="str">
        <f>IF(Source!$C135&gt;=COLUMNS($A135:AR135), Source!$G135, "")</f>
        <v/>
      </c>
    </row>
    <row r="136">
      <c r="A136" s="2">
        <f>IF(Source!$C136&gt;=COLUMNS($A136:A136), Source!$G136, "")</f>
        <v>2</v>
      </c>
      <c r="B136" s="2" t="str">
        <f>IF(Source!$C136&gt;=COLUMNS($A136:B136), Source!$G136, "")</f>
        <v/>
      </c>
      <c r="C136" s="2" t="str">
        <f>IF(Source!$C136&gt;=COLUMNS($A136:C136), Source!$G136, "")</f>
        <v/>
      </c>
      <c r="D136" s="2" t="str">
        <f>IF(Source!$C136&gt;=COLUMNS($A136:D136), Source!$G136, "")</f>
        <v/>
      </c>
      <c r="E136" s="2" t="str">
        <f>IF(Source!$C136&gt;=COLUMNS($A136:E136), Source!$G136, "")</f>
        <v/>
      </c>
      <c r="F136" s="2" t="str">
        <f>IF(Source!$C136&gt;=COLUMNS($A136:F136), Source!$G136, "")</f>
        <v/>
      </c>
      <c r="G136" s="2" t="str">
        <f>IF(Source!$C136&gt;=COLUMNS($A136:G136), Source!$G136, "")</f>
        <v/>
      </c>
      <c r="H136" s="2" t="str">
        <f>IF(Source!$C136&gt;=COLUMNS($A136:H136), Source!$G136, "")</f>
        <v/>
      </c>
      <c r="I136" s="2" t="str">
        <f>IF(Source!$C136&gt;=COLUMNS($A136:I136), Source!$G136, "")</f>
        <v/>
      </c>
      <c r="J136" s="2" t="str">
        <f>IF(Source!$C136&gt;=COLUMNS($A136:J136), Source!$G136, "")</f>
        <v/>
      </c>
      <c r="K136" s="2" t="str">
        <f>IF(Source!$C136&gt;=COLUMNS($A136:K136), Source!$G136, "")</f>
        <v/>
      </c>
      <c r="L136" s="2" t="str">
        <f>IF(Source!$C136&gt;=COLUMNS($A136:L136), Source!$G136, "")</f>
        <v/>
      </c>
      <c r="M136" s="2" t="str">
        <f>IF(Source!$C136&gt;=COLUMNS($A136:M136), Source!$G136, "")</f>
        <v/>
      </c>
      <c r="N136" s="2" t="str">
        <f>IF(Source!$C136&gt;=COLUMNS($A136:N136), Source!$G136, "")</f>
        <v/>
      </c>
      <c r="O136" s="2" t="str">
        <f>IF(Source!$C136&gt;=COLUMNS($A136:O136), Source!$G136, "")</f>
        <v/>
      </c>
      <c r="P136" s="2" t="str">
        <f>IF(Source!$C136&gt;=COLUMNS($A136:P136), Source!$G136, "")</f>
        <v/>
      </c>
      <c r="Q136" s="2" t="str">
        <f>IF(Source!$C136&gt;=COLUMNS($A136:Q136), Source!$G136, "")</f>
        <v/>
      </c>
      <c r="R136" s="2" t="str">
        <f>IF(Source!$C136&gt;=COLUMNS($A136:R136), Source!$G136, "")</f>
        <v/>
      </c>
      <c r="S136" s="2" t="str">
        <f>IF(Source!$C136&gt;=COLUMNS($A136:S136), Source!$G136, "")</f>
        <v/>
      </c>
      <c r="T136" s="2" t="str">
        <f>IF(Source!$C136&gt;=COLUMNS($A136:T136), Source!$G136, "")</f>
        <v/>
      </c>
      <c r="U136" s="2" t="str">
        <f>IF(Source!$C136&gt;=COLUMNS($A136:U136), Source!$G136, "")</f>
        <v/>
      </c>
      <c r="V136" s="2" t="str">
        <f>IF(Source!$C136&gt;=COLUMNS($A136:V136), Source!$G136, "")</f>
        <v/>
      </c>
      <c r="W136" s="2" t="str">
        <f>IF(Source!$C136&gt;=COLUMNS($A136:W136), Source!$G136, "")</f>
        <v/>
      </c>
      <c r="X136" s="2" t="str">
        <f>IF(Source!$C136&gt;=COLUMNS($A136:X136), Source!$G136, "")</f>
        <v/>
      </c>
      <c r="Y136" s="2" t="str">
        <f>IF(Source!$C136&gt;=COLUMNS($A136:Y136), Source!$G136, "")</f>
        <v/>
      </c>
      <c r="Z136" s="2" t="str">
        <f>IF(Source!$C136&gt;=COLUMNS($A136:Z136), Source!$G136, "")</f>
        <v/>
      </c>
      <c r="AA136" s="2" t="str">
        <f>IF(Source!$C136&gt;=COLUMNS($A136:AA136), Source!$G136, "")</f>
        <v/>
      </c>
      <c r="AB136" s="2" t="str">
        <f>IF(Source!$C136&gt;=COLUMNS($A136:AB136), Source!$G136, "")</f>
        <v/>
      </c>
      <c r="AC136" s="2" t="str">
        <f>IF(Source!$C136&gt;=COLUMNS($A136:AC136), Source!$G136, "")</f>
        <v/>
      </c>
      <c r="AD136" s="2" t="str">
        <f>IF(Source!$C136&gt;=COLUMNS($A136:AD136), Source!$G136, "")</f>
        <v/>
      </c>
      <c r="AE136" s="2" t="str">
        <f>IF(Source!$C136&gt;=COLUMNS($A136:AE136), Source!$G136, "")</f>
        <v/>
      </c>
      <c r="AF136" s="2" t="str">
        <f>IF(Source!$C136&gt;=COLUMNS($A136:AF136), Source!$G136, "")</f>
        <v/>
      </c>
      <c r="AG136" s="2" t="str">
        <f>IF(Source!$C136&gt;=COLUMNS($A136:AG136), Source!$G136, "")</f>
        <v/>
      </c>
      <c r="AH136" s="2" t="str">
        <f>IF(Source!$C136&gt;=COLUMNS($A136:AH136), Source!$G136, "")</f>
        <v/>
      </c>
      <c r="AI136" s="2" t="str">
        <f>IF(Source!$C136&gt;=COLUMNS($A136:AI136), Source!$G136, "")</f>
        <v/>
      </c>
      <c r="AJ136" s="2" t="str">
        <f>IF(Source!$C136&gt;=COLUMNS($A136:AJ136), Source!$G136, "")</f>
        <v/>
      </c>
      <c r="AK136" s="2" t="str">
        <f>IF(Source!$C136&gt;=COLUMNS($A136:AK136), Source!$G136, "")</f>
        <v/>
      </c>
      <c r="AL136" s="2" t="str">
        <f>IF(Source!$C136&gt;=COLUMNS($A136:AL136), Source!$G136, "")</f>
        <v/>
      </c>
      <c r="AM136" s="2" t="str">
        <f>IF(Source!$C136&gt;=COLUMNS($A136:AM136), Source!$G136, "")</f>
        <v/>
      </c>
      <c r="AN136" s="2" t="str">
        <f>IF(Source!$C136&gt;=COLUMNS($A136:AN136), Source!$G136, "")</f>
        <v/>
      </c>
      <c r="AO136" s="2" t="str">
        <f>IF(Source!$C136&gt;=COLUMNS($A136:AO136), Source!$G136, "")</f>
        <v/>
      </c>
      <c r="AP136" s="2" t="str">
        <f>IF(Source!$C136&gt;=COLUMNS($A136:AP136), Source!$G136, "")</f>
        <v/>
      </c>
      <c r="AQ136" s="2" t="str">
        <f>IF(Source!$C136&gt;=COLUMNS($A136:AQ136), Source!$G136, "")</f>
        <v/>
      </c>
      <c r="AR136" s="2" t="str">
        <f>IF(Source!$C136&gt;=COLUMNS($A136:AR136), Source!$G136, "")</f>
        <v/>
      </c>
    </row>
    <row r="137">
      <c r="A137" s="2">
        <f>IF(Source!$C137&gt;=COLUMNS($A137:A137), Source!$G137, "")</f>
        <v>6</v>
      </c>
      <c r="B137" s="2" t="str">
        <f>IF(Source!$C137&gt;=COLUMNS($A137:B137), Source!$G137, "")</f>
        <v/>
      </c>
      <c r="C137" s="2" t="str">
        <f>IF(Source!$C137&gt;=COLUMNS($A137:C137), Source!$G137, "")</f>
        <v/>
      </c>
      <c r="D137" s="2" t="str">
        <f>IF(Source!$C137&gt;=COLUMNS($A137:D137), Source!$G137, "")</f>
        <v/>
      </c>
      <c r="E137" s="2" t="str">
        <f>IF(Source!$C137&gt;=COLUMNS($A137:E137), Source!$G137, "")</f>
        <v/>
      </c>
      <c r="F137" s="2" t="str">
        <f>IF(Source!$C137&gt;=COLUMNS($A137:F137), Source!$G137, "")</f>
        <v/>
      </c>
      <c r="G137" s="2" t="str">
        <f>IF(Source!$C137&gt;=COLUMNS($A137:G137), Source!$G137, "")</f>
        <v/>
      </c>
      <c r="H137" s="2" t="str">
        <f>IF(Source!$C137&gt;=COLUMNS($A137:H137), Source!$G137, "")</f>
        <v/>
      </c>
      <c r="I137" s="2" t="str">
        <f>IF(Source!$C137&gt;=COLUMNS($A137:I137), Source!$G137, "")</f>
        <v/>
      </c>
      <c r="J137" s="2" t="str">
        <f>IF(Source!$C137&gt;=COLUMNS($A137:J137), Source!$G137, "")</f>
        <v/>
      </c>
      <c r="K137" s="2" t="str">
        <f>IF(Source!$C137&gt;=COLUMNS($A137:K137), Source!$G137, "")</f>
        <v/>
      </c>
      <c r="L137" s="2" t="str">
        <f>IF(Source!$C137&gt;=COLUMNS($A137:L137), Source!$G137, "")</f>
        <v/>
      </c>
      <c r="M137" s="2" t="str">
        <f>IF(Source!$C137&gt;=COLUMNS($A137:M137), Source!$G137, "")</f>
        <v/>
      </c>
      <c r="N137" s="2" t="str">
        <f>IF(Source!$C137&gt;=COLUMNS($A137:N137), Source!$G137, "")</f>
        <v/>
      </c>
      <c r="O137" s="2" t="str">
        <f>IF(Source!$C137&gt;=COLUMNS($A137:O137), Source!$G137, "")</f>
        <v/>
      </c>
      <c r="P137" s="2" t="str">
        <f>IF(Source!$C137&gt;=COLUMNS($A137:P137), Source!$G137, "")</f>
        <v/>
      </c>
      <c r="Q137" s="2" t="str">
        <f>IF(Source!$C137&gt;=COLUMNS($A137:Q137), Source!$G137, "")</f>
        <v/>
      </c>
      <c r="R137" s="2" t="str">
        <f>IF(Source!$C137&gt;=COLUMNS($A137:R137), Source!$G137, "")</f>
        <v/>
      </c>
      <c r="S137" s="2" t="str">
        <f>IF(Source!$C137&gt;=COLUMNS($A137:S137), Source!$G137, "")</f>
        <v/>
      </c>
      <c r="T137" s="2" t="str">
        <f>IF(Source!$C137&gt;=COLUMNS($A137:T137), Source!$G137, "")</f>
        <v/>
      </c>
      <c r="U137" s="2" t="str">
        <f>IF(Source!$C137&gt;=COLUMNS($A137:U137), Source!$G137, "")</f>
        <v/>
      </c>
      <c r="V137" s="2" t="str">
        <f>IF(Source!$C137&gt;=COLUMNS($A137:V137), Source!$G137, "")</f>
        <v/>
      </c>
      <c r="W137" s="2" t="str">
        <f>IF(Source!$C137&gt;=COLUMNS($A137:W137), Source!$G137, "")</f>
        <v/>
      </c>
      <c r="X137" s="2" t="str">
        <f>IF(Source!$C137&gt;=COLUMNS($A137:X137), Source!$G137, "")</f>
        <v/>
      </c>
      <c r="Y137" s="2" t="str">
        <f>IF(Source!$C137&gt;=COLUMNS($A137:Y137), Source!$G137, "")</f>
        <v/>
      </c>
      <c r="Z137" s="2" t="str">
        <f>IF(Source!$C137&gt;=COLUMNS($A137:Z137), Source!$G137, "")</f>
        <v/>
      </c>
      <c r="AA137" s="2" t="str">
        <f>IF(Source!$C137&gt;=COLUMNS($A137:AA137), Source!$G137, "")</f>
        <v/>
      </c>
      <c r="AB137" s="2" t="str">
        <f>IF(Source!$C137&gt;=COLUMNS($A137:AB137), Source!$G137, "")</f>
        <v/>
      </c>
      <c r="AC137" s="2" t="str">
        <f>IF(Source!$C137&gt;=COLUMNS($A137:AC137), Source!$G137, "")</f>
        <v/>
      </c>
      <c r="AD137" s="2" t="str">
        <f>IF(Source!$C137&gt;=COLUMNS($A137:AD137), Source!$G137, "")</f>
        <v/>
      </c>
      <c r="AE137" s="2" t="str">
        <f>IF(Source!$C137&gt;=COLUMNS($A137:AE137), Source!$G137, "")</f>
        <v/>
      </c>
      <c r="AF137" s="2" t="str">
        <f>IF(Source!$C137&gt;=COLUMNS($A137:AF137), Source!$G137, "")</f>
        <v/>
      </c>
      <c r="AG137" s="2" t="str">
        <f>IF(Source!$C137&gt;=COLUMNS($A137:AG137), Source!$G137, "")</f>
        <v/>
      </c>
      <c r="AH137" s="2" t="str">
        <f>IF(Source!$C137&gt;=COLUMNS($A137:AH137), Source!$G137, "")</f>
        <v/>
      </c>
      <c r="AI137" s="2" t="str">
        <f>IF(Source!$C137&gt;=COLUMNS($A137:AI137), Source!$G137, "")</f>
        <v/>
      </c>
      <c r="AJ137" s="2" t="str">
        <f>IF(Source!$C137&gt;=COLUMNS($A137:AJ137), Source!$G137, "")</f>
        <v/>
      </c>
      <c r="AK137" s="2" t="str">
        <f>IF(Source!$C137&gt;=COLUMNS($A137:AK137), Source!$G137, "")</f>
        <v/>
      </c>
      <c r="AL137" s="2" t="str">
        <f>IF(Source!$C137&gt;=COLUMNS($A137:AL137), Source!$G137, "")</f>
        <v/>
      </c>
      <c r="AM137" s="2" t="str">
        <f>IF(Source!$C137&gt;=COLUMNS($A137:AM137), Source!$G137, "")</f>
        <v/>
      </c>
      <c r="AN137" s="2" t="str">
        <f>IF(Source!$C137&gt;=COLUMNS($A137:AN137), Source!$G137, "")</f>
        <v/>
      </c>
      <c r="AO137" s="2" t="str">
        <f>IF(Source!$C137&gt;=COLUMNS($A137:AO137), Source!$G137, "")</f>
        <v/>
      </c>
      <c r="AP137" s="2" t="str">
        <f>IF(Source!$C137&gt;=COLUMNS($A137:AP137), Source!$G137, "")</f>
        <v/>
      </c>
      <c r="AQ137" s="2" t="str">
        <f>IF(Source!$C137&gt;=COLUMNS($A137:AQ137), Source!$G137, "")</f>
        <v/>
      </c>
      <c r="AR137" s="2" t="str">
        <f>IF(Source!$C137&gt;=COLUMNS($A137:AR137), Source!$G137, "")</f>
        <v/>
      </c>
    </row>
    <row r="138">
      <c r="A138" s="2">
        <f>IF(Source!$C138&gt;=COLUMNS($A138:A138), Source!$G138, "")</f>
        <v>3</v>
      </c>
      <c r="B138" s="2">
        <f>IF(Source!$C138&gt;=COLUMNS($A138:B138), Source!$G138, "")</f>
        <v>3</v>
      </c>
      <c r="C138" s="2">
        <f>IF(Source!$C138&gt;=COLUMNS($A138:C138), Source!$G138, "")</f>
        <v>3</v>
      </c>
      <c r="D138" s="2">
        <f>IF(Source!$C138&gt;=COLUMNS($A138:D138), Source!$G138, "")</f>
        <v>3</v>
      </c>
      <c r="E138" s="2">
        <f>IF(Source!$C138&gt;=COLUMNS($A138:E138), Source!$G138, "")</f>
        <v>3</v>
      </c>
      <c r="F138" s="2">
        <f>IF(Source!$C138&gt;=COLUMNS($A138:F138), Source!$G138, "")</f>
        <v>3</v>
      </c>
      <c r="G138" s="2">
        <f>IF(Source!$C138&gt;=COLUMNS($A138:G138), Source!$G138, "")</f>
        <v>3</v>
      </c>
      <c r="H138" s="2">
        <f>IF(Source!$C138&gt;=COLUMNS($A138:H138), Source!$G138, "")</f>
        <v>3</v>
      </c>
      <c r="I138" s="2">
        <f>IF(Source!$C138&gt;=COLUMNS($A138:I138), Source!$G138, "")</f>
        <v>3</v>
      </c>
      <c r="J138" s="2">
        <f>IF(Source!$C138&gt;=COLUMNS($A138:J138), Source!$G138, "")</f>
        <v>3</v>
      </c>
      <c r="K138" s="2">
        <f>IF(Source!$C138&gt;=COLUMNS($A138:K138), Source!$G138, "")</f>
        <v>3</v>
      </c>
      <c r="L138" s="2">
        <f>IF(Source!$C138&gt;=COLUMNS($A138:L138), Source!$G138, "")</f>
        <v>3</v>
      </c>
      <c r="M138" s="2">
        <f>IF(Source!$C138&gt;=COLUMNS($A138:M138), Source!$G138, "")</f>
        <v>3</v>
      </c>
      <c r="N138" s="2">
        <f>IF(Source!$C138&gt;=COLUMNS($A138:N138), Source!$G138, "")</f>
        <v>3</v>
      </c>
      <c r="O138" s="2">
        <f>IF(Source!$C138&gt;=COLUMNS($A138:O138), Source!$G138, "")</f>
        <v>3</v>
      </c>
      <c r="P138" s="2">
        <f>IF(Source!$C138&gt;=COLUMNS($A138:P138), Source!$G138, "")</f>
        <v>3</v>
      </c>
      <c r="Q138" s="2">
        <f>IF(Source!$C138&gt;=COLUMNS($A138:Q138), Source!$G138, "")</f>
        <v>3</v>
      </c>
      <c r="R138" s="2">
        <f>IF(Source!$C138&gt;=COLUMNS($A138:R138), Source!$G138, "")</f>
        <v>3</v>
      </c>
      <c r="S138" s="2" t="str">
        <f>IF(Source!$C138&gt;=COLUMNS($A138:S138), Source!$G138, "")</f>
        <v/>
      </c>
      <c r="T138" s="2" t="str">
        <f>IF(Source!$C138&gt;=COLUMNS($A138:T138), Source!$G138, "")</f>
        <v/>
      </c>
      <c r="U138" s="2" t="str">
        <f>IF(Source!$C138&gt;=COLUMNS($A138:U138), Source!$G138, "")</f>
        <v/>
      </c>
      <c r="V138" s="2" t="str">
        <f>IF(Source!$C138&gt;=COLUMNS($A138:V138), Source!$G138, "")</f>
        <v/>
      </c>
      <c r="W138" s="2" t="str">
        <f>IF(Source!$C138&gt;=COLUMNS($A138:W138), Source!$G138, "")</f>
        <v/>
      </c>
      <c r="X138" s="2" t="str">
        <f>IF(Source!$C138&gt;=COLUMNS($A138:X138), Source!$G138, "")</f>
        <v/>
      </c>
      <c r="Y138" s="2" t="str">
        <f>IF(Source!$C138&gt;=COLUMNS($A138:Y138), Source!$G138, "")</f>
        <v/>
      </c>
      <c r="Z138" s="2" t="str">
        <f>IF(Source!$C138&gt;=COLUMNS($A138:Z138), Source!$G138, "")</f>
        <v/>
      </c>
      <c r="AA138" s="2" t="str">
        <f>IF(Source!$C138&gt;=COLUMNS($A138:AA138), Source!$G138, "")</f>
        <v/>
      </c>
      <c r="AB138" s="2" t="str">
        <f>IF(Source!$C138&gt;=COLUMNS($A138:AB138), Source!$G138, "")</f>
        <v/>
      </c>
      <c r="AC138" s="2" t="str">
        <f>IF(Source!$C138&gt;=COLUMNS($A138:AC138), Source!$G138, "")</f>
        <v/>
      </c>
      <c r="AD138" s="2" t="str">
        <f>IF(Source!$C138&gt;=COLUMNS($A138:AD138), Source!$G138, "")</f>
        <v/>
      </c>
      <c r="AE138" s="2" t="str">
        <f>IF(Source!$C138&gt;=COLUMNS($A138:AE138), Source!$G138, "")</f>
        <v/>
      </c>
      <c r="AF138" s="2" t="str">
        <f>IF(Source!$C138&gt;=COLUMNS($A138:AF138), Source!$G138, "")</f>
        <v/>
      </c>
      <c r="AG138" s="2" t="str">
        <f>IF(Source!$C138&gt;=COLUMNS($A138:AG138), Source!$G138, "")</f>
        <v/>
      </c>
      <c r="AH138" s="2" t="str">
        <f>IF(Source!$C138&gt;=COLUMNS($A138:AH138), Source!$G138, "")</f>
        <v/>
      </c>
      <c r="AI138" s="2" t="str">
        <f>IF(Source!$C138&gt;=COLUMNS($A138:AI138), Source!$G138, "")</f>
        <v/>
      </c>
      <c r="AJ138" s="2" t="str">
        <f>IF(Source!$C138&gt;=COLUMNS($A138:AJ138), Source!$G138, "")</f>
        <v/>
      </c>
      <c r="AK138" s="2" t="str">
        <f>IF(Source!$C138&gt;=COLUMNS($A138:AK138), Source!$G138, "")</f>
        <v/>
      </c>
      <c r="AL138" s="2" t="str">
        <f>IF(Source!$C138&gt;=COLUMNS($A138:AL138), Source!$G138, "")</f>
        <v/>
      </c>
      <c r="AM138" s="2" t="str">
        <f>IF(Source!$C138&gt;=COLUMNS($A138:AM138), Source!$G138, "")</f>
        <v/>
      </c>
      <c r="AN138" s="2" t="str">
        <f>IF(Source!$C138&gt;=COLUMNS($A138:AN138), Source!$G138, "")</f>
        <v/>
      </c>
      <c r="AO138" s="2" t="str">
        <f>IF(Source!$C138&gt;=COLUMNS($A138:AO138), Source!$G138, "")</f>
        <v/>
      </c>
      <c r="AP138" s="2" t="str">
        <f>IF(Source!$C138&gt;=COLUMNS($A138:AP138), Source!$G138, "")</f>
        <v/>
      </c>
      <c r="AQ138" s="2" t="str">
        <f>IF(Source!$C138&gt;=COLUMNS($A138:AQ138), Source!$G138, "")</f>
        <v/>
      </c>
      <c r="AR138" s="2" t="str">
        <f>IF(Source!$C138&gt;=COLUMNS($A138:AR138), Source!$G138, "")</f>
        <v/>
      </c>
    </row>
    <row r="139">
      <c r="A139" s="2">
        <f>IF(Source!$C139&gt;=COLUMNS($A139:A139), Source!$G139, "")</f>
        <v>3</v>
      </c>
      <c r="B139" s="2" t="str">
        <f>IF(Source!$C139&gt;=COLUMNS($A139:B139), Source!$G139, "")</f>
        <v/>
      </c>
      <c r="C139" s="2" t="str">
        <f>IF(Source!$C139&gt;=COLUMNS($A139:C139), Source!$G139, "")</f>
        <v/>
      </c>
      <c r="D139" s="2" t="str">
        <f>IF(Source!$C139&gt;=COLUMNS($A139:D139), Source!$G139, "")</f>
        <v/>
      </c>
      <c r="E139" s="2" t="str">
        <f>IF(Source!$C139&gt;=COLUMNS($A139:E139), Source!$G139, "")</f>
        <v/>
      </c>
      <c r="F139" s="2" t="str">
        <f>IF(Source!$C139&gt;=COLUMNS($A139:F139), Source!$G139, "")</f>
        <v/>
      </c>
      <c r="G139" s="2" t="str">
        <f>IF(Source!$C139&gt;=COLUMNS($A139:G139), Source!$G139, "")</f>
        <v/>
      </c>
      <c r="H139" s="2" t="str">
        <f>IF(Source!$C139&gt;=COLUMNS($A139:H139), Source!$G139, "")</f>
        <v/>
      </c>
      <c r="I139" s="2" t="str">
        <f>IF(Source!$C139&gt;=COLUMNS($A139:I139), Source!$G139, "")</f>
        <v/>
      </c>
      <c r="J139" s="2" t="str">
        <f>IF(Source!$C139&gt;=COLUMNS($A139:J139), Source!$G139, "")</f>
        <v/>
      </c>
      <c r="K139" s="2" t="str">
        <f>IF(Source!$C139&gt;=COLUMNS($A139:K139), Source!$G139, "")</f>
        <v/>
      </c>
      <c r="L139" s="2" t="str">
        <f>IF(Source!$C139&gt;=COLUMNS($A139:L139), Source!$G139, "")</f>
        <v/>
      </c>
      <c r="M139" s="2" t="str">
        <f>IF(Source!$C139&gt;=COLUMNS($A139:M139), Source!$G139, "")</f>
        <v/>
      </c>
      <c r="N139" s="2" t="str">
        <f>IF(Source!$C139&gt;=COLUMNS($A139:N139), Source!$G139, "")</f>
        <v/>
      </c>
      <c r="O139" s="2" t="str">
        <f>IF(Source!$C139&gt;=COLUMNS($A139:O139), Source!$G139, "")</f>
        <v/>
      </c>
      <c r="P139" s="2" t="str">
        <f>IF(Source!$C139&gt;=COLUMNS($A139:P139), Source!$G139, "")</f>
        <v/>
      </c>
      <c r="Q139" s="2" t="str">
        <f>IF(Source!$C139&gt;=COLUMNS($A139:Q139), Source!$G139, "")</f>
        <v/>
      </c>
      <c r="R139" s="2" t="str">
        <f>IF(Source!$C139&gt;=COLUMNS($A139:R139), Source!$G139, "")</f>
        <v/>
      </c>
      <c r="S139" s="2" t="str">
        <f>IF(Source!$C139&gt;=COLUMNS($A139:S139), Source!$G139, "")</f>
        <v/>
      </c>
      <c r="T139" s="2" t="str">
        <f>IF(Source!$C139&gt;=COLUMNS($A139:T139), Source!$G139, "")</f>
        <v/>
      </c>
      <c r="U139" s="2" t="str">
        <f>IF(Source!$C139&gt;=COLUMNS($A139:U139), Source!$G139, "")</f>
        <v/>
      </c>
      <c r="V139" s="2" t="str">
        <f>IF(Source!$C139&gt;=COLUMNS($A139:V139), Source!$G139, "")</f>
        <v/>
      </c>
      <c r="W139" s="2" t="str">
        <f>IF(Source!$C139&gt;=COLUMNS($A139:W139), Source!$G139, "")</f>
        <v/>
      </c>
      <c r="X139" s="2" t="str">
        <f>IF(Source!$C139&gt;=COLUMNS($A139:X139), Source!$G139, "")</f>
        <v/>
      </c>
      <c r="Y139" s="2" t="str">
        <f>IF(Source!$C139&gt;=COLUMNS($A139:Y139), Source!$G139, "")</f>
        <v/>
      </c>
      <c r="Z139" s="2" t="str">
        <f>IF(Source!$C139&gt;=COLUMNS($A139:Z139), Source!$G139, "")</f>
        <v/>
      </c>
      <c r="AA139" s="2" t="str">
        <f>IF(Source!$C139&gt;=COLUMNS($A139:AA139), Source!$G139, "")</f>
        <v/>
      </c>
      <c r="AB139" s="2" t="str">
        <f>IF(Source!$C139&gt;=COLUMNS($A139:AB139), Source!$G139, "")</f>
        <v/>
      </c>
      <c r="AC139" s="2" t="str">
        <f>IF(Source!$C139&gt;=COLUMNS($A139:AC139), Source!$G139, "")</f>
        <v/>
      </c>
      <c r="AD139" s="2" t="str">
        <f>IF(Source!$C139&gt;=COLUMNS($A139:AD139), Source!$G139, "")</f>
        <v/>
      </c>
      <c r="AE139" s="2" t="str">
        <f>IF(Source!$C139&gt;=COLUMNS($A139:AE139), Source!$G139, "")</f>
        <v/>
      </c>
      <c r="AF139" s="2" t="str">
        <f>IF(Source!$C139&gt;=COLUMNS($A139:AF139), Source!$G139, "")</f>
        <v/>
      </c>
      <c r="AG139" s="2" t="str">
        <f>IF(Source!$C139&gt;=COLUMNS($A139:AG139), Source!$G139, "")</f>
        <v/>
      </c>
      <c r="AH139" s="2" t="str">
        <f>IF(Source!$C139&gt;=COLUMNS($A139:AH139), Source!$G139, "")</f>
        <v/>
      </c>
      <c r="AI139" s="2" t="str">
        <f>IF(Source!$C139&gt;=COLUMNS($A139:AI139), Source!$G139, "")</f>
        <v/>
      </c>
      <c r="AJ139" s="2" t="str">
        <f>IF(Source!$C139&gt;=COLUMNS($A139:AJ139), Source!$G139, "")</f>
        <v/>
      </c>
      <c r="AK139" s="2" t="str">
        <f>IF(Source!$C139&gt;=COLUMNS($A139:AK139), Source!$G139, "")</f>
        <v/>
      </c>
      <c r="AL139" s="2" t="str">
        <f>IF(Source!$C139&gt;=COLUMNS($A139:AL139), Source!$G139, "")</f>
        <v/>
      </c>
      <c r="AM139" s="2" t="str">
        <f>IF(Source!$C139&gt;=COLUMNS($A139:AM139), Source!$G139, "")</f>
        <v/>
      </c>
      <c r="AN139" s="2" t="str">
        <f>IF(Source!$C139&gt;=COLUMNS($A139:AN139), Source!$G139, "")</f>
        <v/>
      </c>
      <c r="AO139" s="2" t="str">
        <f>IF(Source!$C139&gt;=COLUMNS($A139:AO139), Source!$G139, "")</f>
        <v/>
      </c>
      <c r="AP139" s="2" t="str">
        <f>IF(Source!$C139&gt;=COLUMNS($A139:AP139), Source!$G139, "")</f>
        <v/>
      </c>
      <c r="AQ139" s="2" t="str">
        <f>IF(Source!$C139&gt;=COLUMNS($A139:AQ139), Source!$G139, "")</f>
        <v/>
      </c>
      <c r="AR139" s="2" t="str">
        <f>IF(Source!$C139&gt;=COLUMNS($A139:AR139), Source!$G139, "")</f>
        <v/>
      </c>
    </row>
    <row r="140">
      <c r="A140" s="2">
        <f>IF(Source!$C140&gt;=COLUMNS($A140:A140), Source!$G140, "")</f>
        <v>5</v>
      </c>
      <c r="B140" s="2">
        <f>IF(Source!$C140&gt;=COLUMNS($A140:B140), Source!$G140, "")</f>
        <v>5</v>
      </c>
      <c r="C140" s="2" t="str">
        <f>IF(Source!$C140&gt;=COLUMNS($A140:C140), Source!$G140, "")</f>
        <v/>
      </c>
      <c r="D140" s="2" t="str">
        <f>IF(Source!$C140&gt;=COLUMNS($A140:D140), Source!$G140, "")</f>
        <v/>
      </c>
      <c r="E140" s="2" t="str">
        <f>IF(Source!$C140&gt;=COLUMNS($A140:E140), Source!$G140, "")</f>
        <v/>
      </c>
      <c r="F140" s="2" t="str">
        <f>IF(Source!$C140&gt;=COLUMNS($A140:F140), Source!$G140, "")</f>
        <v/>
      </c>
      <c r="G140" s="2" t="str">
        <f>IF(Source!$C140&gt;=COLUMNS($A140:G140), Source!$G140, "")</f>
        <v/>
      </c>
      <c r="H140" s="2" t="str">
        <f>IF(Source!$C140&gt;=COLUMNS($A140:H140), Source!$G140, "")</f>
        <v/>
      </c>
      <c r="I140" s="2" t="str">
        <f>IF(Source!$C140&gt;=COLUMNS($A140:I140), Source!$G140, "")</f>
        <v/>
      </c>
      <c r="J140" s="2" t="str">
        <f>IF(Source!$C140&gt;=COLUMNS($A140:J140), Source!$G140, "")</f>
        <v/>
      </c>
      <c r="K140" s="2" t="str">
        <f>IF(Source!$C140&gt;=COLUMNS($A140:K140), Source!$G140, "")</f>
        <v/>
      </c>
      <c r="L140" s="2" t="str">
        <f>IF(Source!$C140&gt;=COLUMNS($A140:L140), Source!$G140, "")</f>
        <v/>
      </c>
      <c r="M140" s="2" t="str">
        <f>IF(Source!$C140&gt;=COLUMNS($A140:M140), Source!$G140, "")</f>
        <v/>
      </c>
      <c r="N140" s="2" t="str">
        <f>IF(Source!$C140&gt;=COLUMNS($A140:N140), Source!$G140, "")</f>
        <v/>
      </c>
      <c r="O140" s="2" t="str">
        <f>IF(Source!$C140&gt;=COLUMNS($A140:O140), Source!$G140, "")</f>
        <v/>
      </c>
      <c r="P140" s="2" t="str">
        <f>IF(Source!$C140&gt;=COLUMNS($A140:P140), Source!$G140, "")</f>
        <v/>
      </c>
      <c r="Q140" s="2" t="str">
        <f>IF(Source!$C140&gt;=COLUMNS($A140:Q140), Source!$G140, "")</f>
        <v/>
      </c>
      <c r="R140" s="2" t="str">
        <f>IF(Source!$C140&gt;=COLUMNS($A140:R140), Source!$G140, "")</f>
        <v/>
      </c>
      <c r="S140" s="2" t="str">
        <f>IF(Source!$C140&gt;=COLUMNS($A140:S140), Source!$G140, "")</f>
        <v/>
      </c>
      <c r="T140" s="2" t="str">
        <f>IF(Source!$C140&gt;=COLUMNS($A140:T140), Source!$G140, "")</f>
        <v/>
      </c>
      <c r="U140" s="2" t="str">
        <f>IF(Source!$C140&gt;=COLUMNS($A140:U140), Source!$G140, "")</f>
        <v/>
      </c>
      <c r="V140" s="2" t="str">
        <f>IF(Source!$C140&gt;=COLUMNS($A140:V140), Source!$G140, "")</f>
        <v/>
      </c>
      <c r="W140" s="2" t="str">
        <f>IF(Source!$C140&gt;=COLUMNS($A140:W140), Source!$G140, "")</f>
        <v/>
      </c>
      <c r="X140" s="2" t="str">
        <f>IF(Source!$C140&gt;=COLUMNS($A140:X140), Source!$G140, "")</f>
        <v/>
      </c>
      <c r="Y140" s="2" t="str">
        <f>IF(Source!$C140&gt;=COLUMNS($A140:Y140), Source!$G140, "")</f>
        <v/>
      </c>
      <c r="Z140" s="2" t="str">
        <f>IF(Source!$C140&gt;=COLUMNS($A140:Z140), Source!$G140, "")</f>
        <v/>
      </c>
      <c r="AA140" s="2" t="str">
        <f>IF(Source!$C140&gt;=COLUMNS($A140:AA140), Source!$G140, "")</f>
        <v/>
      </c>
      <c r="AB140" s="2" t="str">
        <f>IF(Source!$C140&gt;=COLUMNS($A140:AB140), Source!$G140, "")</f>
        <v/>
      </c>
      <c r="AC140" s="2" t="str">
        <f>IF(Source!$C140&gt;=COLUMNS($A140:AC140), Source!$G140, "")</f>
        <v/>
      </c>
      <c r="AD140" s="2" t="str">
        <f>IF(Source!$C140&gt;=COLUMNS($A140:AD140), Source!$G140, "")</f>
        <v/>
      </c>
      <c r="AE140" s="2" t="str">
        <f>IF(Source!$C140&gt;=COLUMNS($A140:AE140), Source!$G140, "")</f>
        <v/>
      </c>
      <c r="AF140" s="2" t="str">
        <f>IF(Source!$C140&gt;=COLUMNS($A140:AF140), Source!$G140, "")</f>
        <v/>
      </c>
      <c r="AG140" s="2" t="str">
        <f>IF(Source!$C140&gt;=COLUMNS($A140:AG140), Source!$G140, "")</f>
        <v/>
      </c>
      <c r="AH140" s="2" t="str">
        <f>IF(Source!$C140&gt;=COLUMNS($A140:AH140), Source!$G140, "")</f>
        <v/>
      </c>
      <c r="AI140" s="2" t="str">
        <f>IF(Source!$C140&gt;=COLUMNS($A140:AI140), Source!$G140, "")</f>
        <v/>
      </c>
      <c r="AJ140" s="2" t="str">
        <f>IF(Source!$C140&gt;=COLUMNS($A140:AJ140), Source!$G140, "")</f>
        <v/>
      </c>
      <c r="AK140" s="2" t="str">
        <f>IF(Source!$C140&gt;=COLUMNS($A140:AK140), Source!$G140, "")</f>
        <v/>
      </c>
      <c r="AL140" s="2" t="str">
        <f>IF(Source!$C140&gt;=COLUMNS($A140:AL140), Source!$G140, "")</f>
        <v/>
      </c>
      <c r="AM140" s="2" t="str">
        <f>IF(Source!$C140&gt;=COLUMNS($A140:AM140), Source!$G140, "")</f>
        <v/>
      </c>
      <c r="AN140" s="2" t="str">
        <f>IF(Source!$C140&gt;=COLUMNS($A140:AN140), Source!$G140, "")</f>
        <v/>
      </c>
      <c r="AO140" s="2" t="str">
        <f>IF(Source!$C140&gt;=COLUMNS($A140:AO140), Source!$G140, "")</f>
        <v/>
      </c>
      <c r="AP140" s="2" t="str">
        <f>IF(Source!$C140&gt;=COLUMNS($A140:AP140), Source!$G140, "")</f>
        <v/>
      </c>
      <c r="AQ140" s="2" t="str">
        <f>IF(Source!$C140&gt;=COLUMNS($A140:AQ140), Source!$G140, "")</f>
        <v/>
      </c>
      <c r="AR140" s="2" t="str">
        <f>IF(Source!$C140&gt;=COLUMNS($A140:AR140), Source!$G140, "")</f>
        <v/>
      </c>
    </row>
    <row r="141">
      <c r="A141" s="2">
        <f>IF(Source!$C141&gt;=COLUMNS($A141:A141), Source!$G141, "")</f>
        <v>5</v>
      </c>
      <c r="B141" s="2">
        <f>IF(Source!$C141&gt;=COLUMNS($A141:B141), Source!$G141, "")</f>
        <v>5</v>
      </c>
      <c r="C141" s="2">
        <f>IF(Source!$C141&gt;=COLUMNS($A141:C141), Source!$G141, "")</f>
        <v>5</v>
      </c>
      <c r="D141" s="2">
        <f>IF(Source!$C141&gt;=COLUMNS($A141:D141), Source!$G141, "")</f>
        <v>5</v>
      </c>
      <c r="E141" s="2">
        <f>IF(Source!$C141&gt;=COLUMNS($A141:E141), Source!$G141, "")</f>
        <v>5</v>
      </c>
      <c r="F141" s="2">
        <f>IF(Source!$C141&gt;=COLUMNS($A141:F141), Source!$G141, "")</f>
        <v>5</v>
      </c>
      <c r="G141" s="2">
        <f>IF(Source!$C141&gt;=COLUMNS($A141:G141), Source!$G141, "")</f>
        <v>5</v>
      </c>
      <c r="H141" s="2">
        <f>IF(Source!$C141&gt;=COLUMNS($A141:H141), Source!$G141, "")</f>
        <v>5</v>
      </c>
      <c r="I141" s="2">
        <f>IF(Source!$C141&gt;=COLUMNS($A141:I141), Source!$G141, "")</f>
        <v>5</v>
      </c>
      <c r="J141" s="2">
        <f>IF(Source!$C141&gt;=COLUMNS($A141:J141), Source!$G141, "")</f>
        <v>5</v>
      </c>
      <c r="K141" s="2" t="str">
        <f>IF(Source!$C141&gt;=COLUMNS($A141:K141), Source!$G141, "")</f>
        <v/>
      </c>
      <c r="L141" s="2" t="str">
        <f>IF(Source!$C141&gt;=COLUMNS($A141:L141), Source!$G141, "")</f>
        <v/>
      </c>
      <c r="M141" s="2" t="str">
        <f>IF(Source!$C141&gt;=COLUMNS($A141:M141), Source!$G141, "")</f>
        <v/>
      </c>
      <c r="N141" s="2" t="str">
        <f>IF(Source!$C141&gt;=COLUMNS($A141:N141), Source!$G141, "")</f>
        <v/>
      </c>
      <c r="O141" s="2" t="str">
        <f>IF(Source!$C141&gt;=COLUMNS($A141:O141), Source!$G141, "")</f>
        <v/>
      </c>
      <c r="P141" s="2" t="str">
        <f>IF(Source!$C141&gt;=COLUMNS($A141:P141), Source!$G141, "")</f>
        <v/>
      </c>
      <c r="Q141" s="2" t="str">
        <f>IF(Source!$C141&gt;=COLUMNS($A141:Q141), Source!$G141, "")</f>
        <v/>
      </c>
      <c r="R141" s="2" t="str">
        <f>IF(Source!$C141&gt;=COLUMNS($A141:R141), Source!$G141, "")</f>
        <v/>
      </c>
      <c r="S141" s="2" t="str">
        <f>IF(Source!$C141&gt;=COLUMNS($A141:S141), Source!$G141, "")</f>
        <v/>
      </c>
      <c r="T141" s="2" t="str">
        <f>IF(Source!$C141&gt;=COLUMNS($A141:T141), Source!$G141, "")</f>
        <v/>
      </c>
      <c r="U141" s="2" t="str">
        <f>IF(Source!$C141&gt;=COLUMNS($A141:U141), Source!$G141, "")</f>
        <v/>
      </c>
      <c r="V141" s="2" t="str">
        <f>IF(Source!$C141&gt;=COLUMNS($A141:V141), Source!$G141, "")</f>
        <v/>
      </c>
      <c r="W141" s="2" t="str">
        <f>IF(Source!$C141&gt;=COLUMNS($A141:W141), Source!$G141, "")</f>
        <v/>
      </c>
      <c r="X141" s="2" t="str">
        <f>IF(Source!$C141&gt;=COLUMNS($A141:X141), Source!$G141, "")</f>
        <v/>
      </c>
      <c r="Y141" s="2" t="str">
        <f>IF(Source!$C141&gt;=COLUMNS($A141:Y141), Source!$G141, "")</f>
        <v/>
      </c>
      <c r="Z141" s="2" t="str">
        <f>IF(Source!$C141&gt;=COLUMNS($A141:Z141), Source!$G141, "")</f>
        <v/>
      </c>
      <c r="AA141" s="2" t="str">
        <f>IF(Source!$C141&gt;=COLUMNS($A141:AA141), Source!$G141, "")</f>
        <v/>
      </c>
      <c r="AB141" s="2" t="str">
        <f>IF(Source!$C141&gt;=COLUMNS($A141:AB141), Source!$G141, "")</f>
        <v/>
      </c>
      <c r="AC141" s="2" t="str">
        <f>IF(Source!$C141&gt;=COLUMNS($A141:AC141), Source!$G141, "")</f>
        <v/>
      </c>
      <c r="AD141" s="2" t="str">
        <f>IF(Source!$C141&gt;=COLUMNS($A141:AD141), Source!$G141, "")</f>
        <v/>
      </c>
      <c r="AE141" s="2" t="str">
        <f>IF(Source!$C141&gt;=COLUMNS($A141:AE141), Source!$G141, "")</f>
        <v/>
      </c>
      <c r="AF141" s="2" t="str">
        <f>IF(Source!$C141&gt;=COLUMNS($A141:AF141), Source!$G141, "")</f>
        <v/>
      </c>
      <c r="AG141" s="2" t="str">
        <f>IF(Source!$C141&gt;=COLUMNS($A141:AG141), Source!$G141, "")</f>
        <v/>
      </c>
      <c r="AH141" s="2" t="str">
        <f>IF(Source!$C141&gt;=COLUMNS($A141:AH141), Source!$G141, "")</f>
        <v/>
      </c>
      <c r="AI141" s="2" t="str">
        <f>IF(Source!$C141&gt;=COLUMNS($A141:AI141), Source!$G141, "")</f>
        <v/>
      </c>
      <c r="AJ141" s="2" t="str">
        <f>IF(Source!$C141&gt;=COLUMNS($A141:AJ141), Source!$G141, "")</f>
        <v/>
      </c>
      <c r="AK141" s="2" t="str">
        <f>IF(Source!$C141&gt;=COLUMNS($A141:AK141), Source!$G141, "")</f>
        <v/>
      </c>
      <c r="AL141" s="2" t="str">
        <f>IF(Source!$C141&gt;=COLUMNS($A141:AL141), Source!$G141, "")</f>
        <v/>
      </c>
      <c r="AM141" s="2" t="str">
        <f>IF(Source!$C141&gt;=COLUMNS($A141:AM141), Source!$G141, "")</f>
        <v/>
      </c>
      <c r="AN141" s="2" t="str">
        <f>IF(Source!$C141&gt;=COLUMNS($A141:AN141), Source!$G141, "")</f>
        <v/>
      </c>
      <c r="AO141" s="2" t="str">
        <f>IF(Source!$C141&gt;=COLUMNS($A141:AO141), Source!$G141, "")</f>
        <v/>
      </c>
      <c r="AP141" s="2" t="str">
        <f>IF(Source!$C141&gt;=COLUMNS($A141:AP141), Source!$G141, "")</f>
        <v/>
      </c>
      <c r="AQ141" s="2" t="str">
        <f>IF(Source!$C141&gt;=COLUMNS($A141:AQ141), Source!$G141, "")</f>
        <v/>
      </c>
      <c r="AR141" s="2" t="str">
        <f>IF(Source!$C141&gt;=COLUMNS($A141:AR141), Source!$G141, "")</f>
        <v/>
      </c>
    </row>
    <row r="142">
      <c r="A142" s="2">
        <f>IF(Source!$C142&gt;=COLUMNS($A142:A142), Source!$G142, "")</f>
        <v>6</v>
      </c>
      <c r="B142" s="2">
        <f>IF(Source!$C142&gt;=COLUMNS($A142:B142), Source!$G142, "")</f>
        <v>6</v>
      </c>
      <c r="C142" s="2">
        <f>IF(Source!$C142&gt;=COLUMNS($A142:C142), Source!$G142, "")</f>
        <v>6</v>
      </c>
      <c r="D142" s="2">
        <f>IF(Source!$C142&gt;=COLUMNS($A142:D142), Source!$G142, "")</f>
        <v>6</v>
      </c>
      <c r="E142" s="2" t="str">
        <f>IF(Source!$C142&gt;=COLUMNS($A142:E142), Source!$G142, "")</f>
        <v/>
      </c>
      <c r="F142" s="2" t="str">
        <f>IF(Source!$C142&gt;=COLUMNS($A142:F142), Source!$G142, "")</f>
        <v/>
      </c>
      <c r="G142" s="2" t="str">
        <f>IF(Source!$C142&gt;=COLUMNS($A142:G142), Source!$G142, "")</f>
        <v/>
      </c>
      <c r="H142" s="2" t="str">
        <f>IF(Source!$C142&gt;=COLUMNS($A142:H142), Source!$G142, "")</f>
        <v/>
      </c>
      <c r="I142" s="2" t="str">
        <f>IF(Source!$C142&gt;=COLUMNS($A142:I142), Source!$G142, "")</f>
        <v/>
      </c>
      <c r="J142" s="2" t="str">
        <f>IF(Source!$C142&gt;=COLUMNS($A142:J142), Source!$G142, "")</f>
        <v/>
      </c>
      <c r="K142" s="2" t="str">
        <f>IF(Source!$C142&gt;=COLUMNS($A142:K142), Source!$G142, "")</f>
        <v/>
      </c>
      <c r="L142" s="2" t="str">
        <f>IF(Source!$C142&gt;=COLUMNS($A142:L142), Source!$G142, "")</f>
        <v/>
      </c>
      <c r="M142" s="2" t="str">
        <f>IF(Source!$C142&gt;=COLUMNS($A142:M142), Source!$G142, "")</f>
        <v/>
      </c>
      <c r="N142" s="2" t="str">
        <f>IF(Source!$C142&gt;=COLUMNS($A142:N142), Source!$G142, "")</f>
        <v/>
      </c>
      <c r="O142" s="2" t="str">
        <f>IF(Source!$C142&gt;=COLUMNS($A142:O142), Source!$G142, "")</f>
        <v/>
      </c>
      <c r="P142" s="2" t="str">
        <f>IF(Source!$C142&gt;=COLUMNS($A142:P142), Source!$G142, "")</f>
        <v/>
      </c>
      <c r="Q142" s="2" t="str">
        <f>IF(Source!$C142&gt;=COLUMNS($A142:Q142), Source!$G142, "")</f>
        <v/>
      </c>
      <c r="R142" s="2" t="str">
        <f>IF(Source!$C142&gt;=COLUMNS($A142:R142), Source!$G142, "")</f>
        <v/>
      </c>
      <c r="S142" s="2" t="str">
        <f>IF(Source!$C142&gt;=COLUMNS($A142:S142), Source!$G142, "")</f>
        <v/>
      </c>
      <c r="T142" s="2" t="str">
        <f>IF(Source!$C142&gt;=COLUMNS($A142:T142), Source!$G142, "")</f>
        <v/>
      </c>
      <c r="U142" s="2" t="str">
        <f>IF(Source!$C142&gt;=COLUMNS($A142:U142), Source!$G142, "")</f>
        <v/>
      </c>
      <c r="V142" s="2" t="str">
        <f>IF(Source!$C142&gt;=COLUMNS($A142:V142), Source!$G142, "")</f>
        <v/>
      </c>
      <c r="W142" s="2" t="str">
        <f>IF(Source!$C142&gt;=COLUMNS($A142:W142), Source!$G142, "")</f>
        <v/>
      </c>
      <c r="X142" s="2" t="str">
        <f>IF(Source!$C142&gt;=COLUMNS($A142:X142), Source!$G142, "")</f>
        <v/>
      </c>
      <c r="Y142" s="2" t="str">
        <f>IF(Source!$C142&gt;=COLUMNS($A142:Y142), Source!$G142, "")</f>
        <v/>
      </c>
      <c r="Z142" s="2" t="str">
        <f>IF(Source!$C142&gt;=COLUMNS($A142:Z142), Source!$G142, "")</f>
        <v/>
      </c>
      <c r="AA142" s="2" t="str">
        <f>IF(Source!$C142&gt;=COLUMNS($A142:AA142), Source!$G142, "")</f>
        <v/>
      </c>
      <c r="AB142" s="2" t="str">
        <f>IF(Source!$C142&gt;=COLUMNS($A142:AB142), Source!$G142, "")</f>
        <v/>
      </c>
      <c r="AC142" s="2" t="str">
        <f>IF(Source!$C142&gt;=COLUMNS($A142:AC142), Source!$G142, "")</f>
        <v/>
      </c>
      <c r="AD142" s="2" t="str">
        <f>IF(Source!$C142&gt;=COLUMNS($A142:AD142), Source!$G142, "")</f>
        <v/>
      </c>
      <c r="AE142" s="2" t="str">
        <f>IF(Source!$C142&gt;=COLUMNS($A142:AE142), Source!$G142, "")</f>
        <v/>
      </c>
      <c r="AF142" s="2" t="str">
        <f>IF(Source!$C142&gt;=COLUMNS($A142:AF142), Source!$G142, "")</f>
        <v/>
      </c>
      <c r="AG142" s="2" t="str">
        <f>IF(Source!$C142&gt;=COLUMNS($A142:AG142), Source!$G142, "")</f>
        <v/>
      </c>
      <c r="AH142" s="2" t="str">
        <f>IF(Source!$C142&gt;=COLUMNS($A142:AH142), Source!$G142, "")</f>
        <v/>
      </c>
      <c r="AI142" s="2" t="str">
        <f>IF(Source!$C142&gt;=COLUMNS($A142:AI142), Source!$G142, "")</f>
        <v/>
      </c>
      <c r="AJ142" s="2" t="str">
        <f>IF(Source!$C142&gt;=COLUMNS($A142:AJ142), Source!$G142, "")</f>
        <v/>
      </c>
      <c r="AK142" s="2" t="str">
        <f>IF(Source!$C142&gt;=COLUMNS($A142:AK142), Source!$G142, "")</f>
        <v/>
      </c>
      <c r="AL142" s="2" t="str">
        <f>IF(Source!$C142&gt;=COLUMNS($A142:AL142), Source!$G142, "")</f>
        <v/>
      </c>
      <c r="AM142" s="2" t="str">
        <f>IF(Source!$C142&gt;=COLUMNS($A142:AM142), Source!$G142, "")</f>
        <v/>
      </c>
      <c r="AN142" s="2" t="str">
        <f>IF(Source!$C142&gt;=COLUMNS($A142:AN142), Source!$G142, "")</f>
        <v/>
      </c>
      <c r="AO142" s="2" t="str">
        <f>IF(Source!$C142&gt;=COLUMNS($A142:AO142), Source!$G142, "")</f>
        <v/>
      </c>
      <c r="AP142" s="2" t="str">
        <f>IF(Source!$C142&gt;=COLUMNS($A142:AP142), Source!$G142, "")</f>
        <v/>
      </c>
      <c r="AQ142" s="2" t="str">
        <f>IF(Source!$C142&gt;=COLUMNS($A142:AQ142), Source!$G142, "")</f>
        <v/>
      </c>
      <c r="AR142" s="2" t="str">
        <f>IF(Source!$C142&gt;=COLUMNS($A142:AR142), Source!$G142, "")</f>
        <v/>
      </c>
    </row>
    <row r="143">
      <c r="A143" s="2">
        <f>IF(Source!$C143&gt;=COLUMNS($A143:A143), Source!$G143, "")</f>
        <v>1</v>
      </c>
      <c r="B143" s="2" t="str">
        <f>IF(Source!$C143&gt;=COLUMNS($A143:B143), Source!$G143, "")</f>
        <v/>
      </c>
      <c r="C143" s="2" t="str">
        <f>IF(Source!$C143&gt;=COLUMNS($A143:C143), Source!$G143, "")</f>
        <v/>
      </c>
      <c r="D143" s="2" t="str">
        <f>IF(Source!$C143&gt;=COLUMNS($A143:D143), Source!$G143, "")</f>
        <v/>
      </c>
      <c r="E143" s="2" t="str">
        <f>IF(Source!$C143&gt;=COLUMNS($A143:E143), Source!$G143, "")</f>
        <v/>
      </c>
      <c r="F143" s="2" t="str">
        <f>IF(Source!$C143&gt;=COLUMNS($A143:F143), Source!$G143, "")</f>
        <v/>
      </c>
      <c r="G143" s="2" t="str">
        <f>IF(Source!$C143&gt;=COLUMNS($A143:G143), Source!$G143, "")</f>
        <v/>
      </c>
      <c r="H143" s="2" t="str">
        <f>IF(Source!$C143&gt;=COLUMNS($A143:H143), Source!$G143, "")</f>
        <v/>
      </c>
      <c r="I143" s="2" t="str">
        <f>IF(Source!$C143&gt;=COLUMNS($A143:I143), Source!$G143, "")</f>
        <v/>
      </c>
      <c r="J143" s="2" t="str">
        <f>IF(Source!$C143&gt;=COLUMNS($A143:J143), Source!$G143, "")</f>
        <v/>
      </c>
      <c r="K143" s="2" t="str">
        <f>IF(Source!$C143&gt;=COLUMNS($A143:K143), Source!$G143, "")</f>
        <v/>
      </c>
      <c r="L143" s="2" t="str">
        <f>IF(Source!$C143&gt;=COLUMNS($A143:L143), Source!$G143, "")</f>
        <v/>
      </c>
      <c r="M143" s="2" t="str">
        <f>IF(Source!$C143&gt;=COLUMNS($A143:M143), Source!$G143, "")</f>
        <v/>
      </c>
      <c r="N143" s="2" t="str">
        <f>IF(Source!$C143&gt;=COLUMNS($A143:N143), Source!$G143, "")</f>
        <v/>
      </c>
      <c r="O143" s="2" t="str">
        <f>IF(Source!$C143&gt;=COLUMNS($A143:O143), Source!$G143, "")</f>
        <v/>
      </c>
      <c r="P143" s="2" t="str">
        <f>IF(Source!$C143&gt;=COLUMNS($A143:P143), Source!$G143, "")</f>
        <v/>
      </c>
      <c r="Q143" s="2" t="str">
        <f>IF(Source!$C143&gt;=COLUMNS($A143:Q143), Source!$G143, "")</f>
        <v/>
      </c>
      <c r="R143" s="2" t="str">
        <f>IF(Source!$C143&gt;=COLUMNS($A143:R143), Source!$G143, "")</f>
        <v/>
      </c>
      <c r="S143" s="2" t="str">
        <f>IF(Source!$C143&gt;=COLUMNS($A143:S143), Source!$G143, "")</f>
        <v/>
      </c>
      <c r="T143" s="2" t="str">
        <f>IF(Source!$C143&gt;=COLUMNS($A143:T143), Source!$G143, "")</f>
        <v/>
      </c>
      <c r="U143" s="2" t="str">
        <f>IF(Source!$C143&gt;=COLUMNS($A143:U143), Source!$G143, "")</f>
        <v/>
      </c>
      <c r="V143" s="2" t="str">
        <f>IF(Source!$C143&gt;=COLUMNS($A143:V143), Source!$G143, "")</f>
        <v/>
      </c>
      <c r="W143" s="2" t="str">
        <f>IF(Source!$C143&gt;=COLUMNS($A143:W143), Source!$G143, "")</f>
        <v/>
      </c>
      <c r="X143" s="2" t="str">
        <f>IF(Source!$C143&gt;=COLUMNS($A143:X143), Source!$G143, "")</f>
        <v/>
      </c>
      <c r="Y143" s="2" t="str">
        <f>IF(Source!$C143&gt;=COLUMNS($A143:Y143), Source!$G143, "")</f>
        <v/>
      </c>
      <c r="Z143" s="2" t="str">
        <f>IF(Source!$C143&gt;=COLUMNS($A143:Z143), Source!$G143, "")</f>
        <v/>
      </c>
      <c r="AA143" s="2" t="str">
        <f>IF(Source!$C143&gt;=COLUMNS($A143:AA143), Source!$G143, "")</f>
        <v/>
      </c>
      <c r="AB143" s="2" t="str">
        <f>IF(Source!$C143&gt;=COLUMNS($A143:AB143), Source!$G143, "")</f>
        <v/>
      </c>
      <c r="AC143" s="2" t="str">
        <f>IF(Source!$C143&gt;=COLUMNS($A143:AC143), Source!$G143, "")</f>
        <v/>
      </c>
      <c r="AD143" s="2" t="str">
        <f>IF(Source!$C143&gt;=COLUMNS($A143:AD143), Source!$G143, "")</f>
        <v/>
      </c>
      <c r="AE143" s="2" t="str">
        <f>IF(Source!$C143&gt;=COLUMNS($A143:AE143), Source!$G143, "")</f>
        <v/>
      </c>
      <c r="AF143" s="2" t="str">
        <f>IF(Source!$C143&gt;=COLUMNS($A143:AF143), Source!$G143, "")</f>
        <v/>
      </c>
      <c r="AG143" s="2" t="str">
        <f>IF(Source!$C143&gt;=COLUMNS($A143:AG143), Source!$G143, "")</f>
        <v/>
      </c>
      <c r="AH143" s="2" t="str">
        <f>IF(Source!$C143&gt;=COLUMNS($A143:AH143), Source!$G143, "")</f>
        <v/>
      </c>
      <c r="AI143" s="2" t="str">
        <f>IF(Source!$C143&gt;=COLUMNS($A143:AI143), Source!$G143, "")</f>
        <v/>
      </c>
      <c r="AJ143" s="2" t="str">
        <f>IF(Source!$C143&gt;=COLUMNS($A143:AJ143), Source!$G143, "")</f>
        <v/>
      </c>
      <c r="AK143" s="2" t="str">
        <f>IF(Source!$C143&gt;=COLUMNS($A143:AK143), Source!$G143, "")</f>
        <v/>
      </c>
      <c r="AL143" s="2" t="str">
        <f>IF(Source!$C143&gt;=COLUMNS($A143:AL143), Source!$G143, "")</f>
        <v/>
      </c>
      <c r="AM143" s="2" t="str">
        <f>IF(Source!$C143&gt;=COLUMNS($A143:AM143), Source!$G143, "")</f>
        <v/>
      </c>
      <c r="AN143" s="2" t="str">
        <f>IF(Source!$C143&gt;=COLUMNS($A143:AN143), Source!$G143, "")</f>
        <v/>
      </c>
      <c r="AO143" s="2" t="str">
        <f>IF(Source!$C143&gt;=COLUMNS($A143:AO143), Source!$G143, "")</f>
        <v/>
      </c>
      <c r="AP143" s="2" t="str">
        <f>IF(Source!$C143&gt;=COLUMNS($A143:AP143), Source!$G143, "")</f>
        <v/>
      </c>
      <c r="AQ143" s="2" t="str">
        <f>IF(Source!$C143&gt;=COLUMNS($A143:AQ143), Source!$G143, "")</f>
        <v/>
      </c>
      <c r="AR143" s="2" t="str">
        <f>IF(Source!$C143&gt;=COLUMNS($A143:AR143), Source!$G143, "")</f>
        <v/>
      </c>
    </row>
    <row r="144">
      <c r="A144" s="2">
        <f>IF(Source!$C144&gt;=COLUMNS($A144:A144), Source!$G144, "")</f>
        <v>1</v>
      </c>
      <c r="B144" s="2" t="str">
        <f>IF(Source!$C144&gt;=COLUMNS($A144:B144), Source!$G144, "")</f>
        <v/>
      </c>
      <c r="C144" s="2" t="str">
        <f>IF(Source!$C144&gt;=COLUMNS($A144:C144), Source!$G144, "")</f>
        <v/>
      </c>
      <c r="D144" s="2" t="str">
        <f>IF(Source!$C144&gt;=COLUMNS($A144:D144), Source!$G144, "")</f>
        <v/>
      </c>
      <c r="E144" s="2" t="str">
        <f>IF(Source!$C144&gt;=COLUMNS($A144:E144), Source!$G144, "")</f>
        <v/>
      </c>
      <c r="F144" s="2" t="str">
        <f>IF(Source!$C144&gt;=COLUMNS($A144:F144), Source!$G144, "")</f>
        <v/>
      </c>
      <c r="G144" s="2" t="str">
        <f>IF(Source!$C144&gt;=COLUMNS($A144:G144), Source!$G144, "")</f>
        <v/>
      </c>
      <c r="H144" s="2" t="str">
        <f>IF(Source!$C144&gt;=COLUMNS($A144:H144), Source!$G144, "")</f>
        <v/>
      </c>
      <c r="I144" s="2" t="str">
        <f>IF(Source!$C144&gt;=COLUMNS($A144:I144), Source!$G144, "")</f>
        <v/>
      </c>
      <c r="J144" s="2" t="str">
        <f>IF(Source!$C144&gt;=COLUMNS($A144:J144), Source!$G144, "")</f>
        <v/>
      </c>
      <c r="K144" s="2" t="str">
        <f>IF(Source!$C144&gt;=COLUMNS($A144:K144), Source!$G144, "")</f>
        <v/>
      </c>
      <c r="L144" s="2" t="str">
        <f>IF(Source!$C144&gt;=COLUMNS($A144:L144), Source!$G144, "")</f>
        <v/>
      </c>
      <c r="M144" s="2" t="str">
        <f>IF(Source!$C144&gt;=COLUMNS($A144:M144), Source!$G144, "")</f>
        <v/>
      </c>
      <c r="N144" s="2" t="str">
        <f>IF(Source!$C144&gt;=COLUMNS($A144:N144), Source!$G144, "")</f>
        <v/>
      </c>
      <c r="O144" s="2" t="str">
        <f>IF(Source!$C144&gt;=COLUMNS($A144:O144), Source!$G144, "")</f>
        <v/>
      </c>
      <c r="P144" s="2" t="str">
        <f>IF(Source!$C144&gt;=COLUMNS($A144:P144), Source!$G144, "")</f>
        <v/>
      </c>
      <c r="Q144" s="2" t="str">
        <f>IF(Source!$C144&gt;=COLUMNS($A144:Q144), Source!$G144, "")</f>
        <v/>
      </c>
      <c r="R144" s="2" t="str">
        <f>IF(Source!$C144&gt;=COLUMNS($A144:R144), Source!$G144, "")</f>
        <v/>
      </c>
      <c r="S144" s="2" t="str">
        <f>IF(Source!$C144&gt;=COLUMNS($A144:S144), Source!$G144, "")</f>
        <v/>
      </c>
      <c r="T144" s="2" t="str">
        <f>IF(Source!$C144&gt;=COLUMNS($A144:T144), Source!$G144, "")</f>
        <v/>
      </c>
      <c r="U144" s="2" t="str">
        <f>IF(Source!$C144&gt;=COLUMNS($A144:U144), Source!$G144, "")</f>
        <v/>
      </c>
      <c r="V144" s="2" t="str">
        <f>IF(Source!$C144&gt;=COLUMNS($A144:V144), Source!$G144, "")</f>
        <v/>
      </c>
      <c r="W144" s="2" t="str">
        <f>IF(Source!$C144&gt;=COLUMNS($A144:W144), Source!$G144, "")</f>
        <v/>
      </c>
      <c r="X144" s="2" t="str">
        <f>IF(Source!$C144&gt;=COLUMNS($A144:X144), Source!$G144, "")</f>
        <v/>
      </c>
      <c r="Y144" s="2" t="str">
        <f>IF(Source!$C144&gt;=COLUMNS($A144:Y144), Source!$G144, "")</f>
        <v/>
      </c>
      <c r="Z144" s="2" t="str">
        <f>IF(Source!$C144&gt;=COLUMNS($A144:Z144), Source!$G144, "")</f>
        <v/>
      </c>
      <c r="AA144" s="2" t="str">
        <f>IF(Source!$C144&gt;=COLUMNS($A144:AA144), Source!$G144, "")</f>
        <v/>
      </c>
      <c r="AB144" s="2" t="str">
        <f>IF(Source!$C144&gt;=COLUMNS($A144:AB144), Source!$G144, "")</f>
        <v/>
      </c>
      <c r="AC144" s="2" t="str">
        <f>IF(Source!$C144&gt;=COLUMNS($A144:AC144), Source!$G144, "")</f>
        <v/>
      </c>
      <c r="AD144" s="2" t="str">
        <f>IF(Source!$C144&gt;=COLUMNS($A144:AD144), Source!$G144, "")</f>
        <v/>
      </c>
      <c r="AE144" s="2" t="str">
        <f>IF(Source!$C144&gt;=COLUMNS($A144:AE144), Source!$G144, "")</f>
        <v/>
      </c>
      <c r="AF144" s="2" t="str">
        <f>IF(Source!$C144&gt;=COLUMNS($A144:AF144), Source!$G144, "")</f>
        <v/>
      </c>
      <c r="AG144" s="2" t="str">
        <f>IF(Source!$C144&gt;=COLUMNS($A144:AG144), Source!$G144, "")</f>
        <v/>
      </c>
      <c r="AH144" s="2" t="str">
        <f>IF(Source!$C144&gt;=COLUMNS($A144:AH144), Source!$G144, "")</f>
        <v/>
      </c>
      <c r="AI144" s="2" t="str">
        <f>IF(Source!$C144&gt;=COLUMNS($A144:AI144), Source!$G144, "")</f>
        <v/>
      </c>
      <c r="AJ144" s="2" t="str">
        <f>IF(Source!$C144&gt;=COLUMNS($A144:AJ144), Source!$G144, "")</f>
        <v/>
      </c>
      <c r="AK144" s="2" t="str">
        <f>IF(Source!$C144&gt;=COLUMNS($A144:AK144), Source!$G144, "")</f>
        <v/>
      </c>
      <c r="AL144" s="2" t="str">
        <f>IF(Source!$C144&gt;=COLUMNS($A144:AL144), Source!$G144, "")</f>
        <v/>
      </c>
      <c r="AM144" s="2" t="str">
        <f>IF(Source!$C144&gt;=COLUMNS($A144:AM144), Source!$G144, "")</f>
        <v/>
      </c>
      <c r="AN144" s="2" t="str">
        <f>IF(Source!$C144&gt;=COLUMNS($A144:AN144), Source!$G144, "")</f>
        <v/>
      </c>
      <c r="AO144" s="2" t="str">
        <f>IF(Source!$C144&gt;=COLUMNS($A144:AO144), Source!$G144, "")</f>
        <v/>
      </c>
      <c r="AP144" s="2" t="str">
        <f>IF(Source!$C144&gt;=COLUMNS($A144:AP144), Source!$G144, "")</f>
        <v/>
      </c>
      <c r="AQ144" s="2" t="str">
        <f>IF(Source!$C144&gt;=COLUMNS($A144:AQ144), Source!$G144, "")</f>
        <v/>
      </c>
      <c r="AR144" s="2" t="str">
        <f>IF(Source!$C144&gt;=COLUMNS($A144:AR144), Source!$G144, "")</f>
        <v/>
      </c>
    </row>
    <row r="145">
      <c r="A145" s="2">
        <f>IF(Source!$C145&gt;=COLUMNS($A145:A145), Source!$G145, "")</f>
        <v>6</v>
      </c>
      <c r="B145" s="2">
        <f>IF(Source!$C145&gt;=COLUMNS($A145:B145), Source!$G145, "")</f>
        <v>6</v>
      </c>
      <c r="C145" s="2">
        <f>IF(Source!$C145&gt;=COLUMNS($A145:C145), Source!$G145, "")</f>
        <v>6</v>
      </c>
      <c r="D145" s="2">
        <f>IF(Source!$C145&gt;=COLUMNS($A145:D145), Source!$G145, "")</f>
        <v>6</v>
      </c>
      <c r="E145" s="2">
        <f>IF(Source!$C145&gt;=COLUMNS($A145:E145), Source!$G145, "")</f>
        <v>6</v>
      </c>
      <c r="F145" s="2">
        <f>IF(Source!$C145&gt;=COLUMNS($A145:F145), Source!$G145, "")</f>
        <v>6</v>
      </c>
      <c r="G145" s="2" t="str">
        <f>IF(Source!$C145&gt;=COLUMNS($A145:G145), Source!$G145, "")</f>
        <v/>
      </c>
      <c r="H145" s="2" t="str">
        <f>IF(Source!$C145&gt;=COLUMNS($A145:H145), Source!$G145, "")</f>
        <v/>
      </c>
      <c r="I145" s="2" t="str">
        <f>IF(Source!$C145&gt;=COLUMNS($A145:I145), Source!$G145, "")</f>
        <v/>
      </c>
      <c r="J145" s="2" t="str">
        <f>IF(Source!$C145&gt;=COLUMNS($A145:J145), Source!$G145, "")</f>
        <v/>
      </c>
      <c r="K145" s="2" t="str">
        <f>IF(Source!$C145&gt;=COLUMNS($A145:K145), Source!$G145, "")</f>
        <v/>
      </c>
      <c r="L145" s="2" t="str">
        <f>IF(Source!$C145&gt;=COLUMNS($A145:L145), Source!$G145, "")</f>
        <v/>
      </c>
      <c r="M145" s="2" t="str">
        <f>IF(Source!$C145&gt;=COLUMNS($A145:M145), Source!$G145, "")</f>
        <v/>
      </c>
      <c r="N145" s="2" t="str">
        <f>IF(Source!$C145&gt;=COLUMNS($A145:N145), Source!$G145, "")</f>
        <v/>
      </c>
      <c r="O145" s="2" t="str">
        <f>IF(Source!$C145&gt;=COLUMNS($A145:O145), Source!$G145, "")</f>
        <v/>
      </c>
      <c r="P145" s="2" t="str">
        <f>IF(Source!$C145&gt;=COLUMNS($A145:P145), Source!$G145, "")</f>
        <v/>
      </c>
      <c r="Q145" s="2" t="str">
        <f>IF(Source!$C145&gt;=COLUMNS($A145:Q145), Source!$G145, "")</f>
        <v/>
      </c>
      <c r="R145" s="2" t="str">
        <f>IF(Source!$C145&gt;=COLUMNS($A145:R145), Source!$G145, "")</f>
        <v/>
      </c>
      <c r="S145" s="2" t="str">
        <f>IF(Source!$C145&gt;=COLUMNS($A145:S145), Source!$G145, "")</f>
        <v/>
      </c>
      <c r="T145" s="2" t="str">
        <f>IF(Source!$C145&gt;=COLUMNS($A145:T145), Source!$G145, "")</f>
        <v/>
      </c>
      <c r="U145" s="2" t="str">
        <f>IF(Source!$C145&gt;=COLUMNS($A145:U145), Source!$G145, "")</f>
        <v/>
      </c>
      <c r="V145" s="2" t="str">
        <f>IF(Source!$C145&gt;=COLUMNS($A145:V145), Source!$G145, "")</f>
        <v/>
      </c>
      <c r="W145" s="2" t="str">
        <f>IF(Source!$C145&gt;=COLUMNS($A145:W145), Source!$G145, "")</f>
        <v/>
      </c>
      <c r="X145" s="2" t="str">
        <f>IF(Source!$C145&gt;=COLUMNS($A145:X145), Source!$G145, "")</f>
        <v/>
      </c>
      <c r="Y145" s="2" t="str">
        <f>IF(Source!$C145&gt;=COLUMNS($A145:Y145), Source!$G145, "")</f>
        <v/>
      </c>
      <c r="Z145" s="2" t="str">
        <f>IF(Source!$C145&gt;=COLUMNS($A145:Z145), Source!$G145, "")</f>
        <v/>
      </c>
      <c r="AA145" s="2" t="str">
        <f>IF(Source!$C145&gt;=COLUMNS($A145:AA145), Source!$G145, "")</f>
        <v/>
      </c>
      <c r="AB145" s="2" t="str">
        <f>IF(Source!$C145&gt;=COLUMNS($A145:AB145), Source!$G145, "")</f>
        <v/>
      </c>
      <c r="AC145" s="2" t="str">
        <f>IF(Source!$C145&gt;=COLUMNS($A145:AC145), Source!$G145, "")</f>
        <v/>
      </c>
      <c r="AD145" s="2" t="str">
        <f>IF(Source!$C145&gt;=COLUMNS($A145:AD145), Source!$G145, "")</f>
        <v/>
      </c>
      <c r="AE145" s="2" t="str">
        <f>IF(Source!$C145&gt;=COLUMNS($A145:AE145), Source!$G145, "")</f>
        <v/>
      </c>
      <c r="AF145" s="2" t="str">
        <f>IF(Source!$C145&gt;=COLUMNS($A145:AF145), Source!$G145, "")</f>
        <v/>
      </c>
      <c r="AG145" s="2" t="str">
        <f>IF(Source!$C145&gt;=COLUMNS($A145:AG145), Source!$G145, "")</f>
        <v/>
      </c>
      <c r="AH145" s="2" t="str">
        <f>IF(Source!$C145&gt;=COLUMNS($A145:AH145), Source!$G145, "")</f>
        <v/>
      </c>
      <c r="AI145" s="2" t="str">
        <f>IF(Source!$C145&gt;=COLUMNS($A145:AI145), Source!$G145, "")</f>
        <v/>
      </c>
      <c r="AJ145" s="2" t="str">
        <f>IF(Source!$C145&gt;=COLUMNS($A145:AJ145), Source!$G145, "")</f>
        <v/>
      </c>
      <c r="AK145" s="2" t="str">
        <f>IF(Source!$C145&gt;=COLUMNS($A145:AK145), Source!$G145, "")</f>
        <v/>
      </c>
      <c r="AL145" s="2" t="str">
        <f>IF(Source!$C145&gt;=COLUMNS($A145:AL145), Source!$G145, "")</f>
        <v/>
      </c>
      <c r="AM145" s="2" t="str">
        <f>IF(Source!$C145&gt;=COLUMNS($A145:AM145), Source!$G145, "")</f>
        <v/>
      </c>
      <c r="AN145" s="2" t="str">
        <f>IF(Source!$C145&gt;=COLUMNS($A145:AN145), Source!$G145, "")</f>
        <v/>
      </c>
      <c r="AO145" s="2" t="str">
        <f>IF(Source!$C145&gt;=COLUMNS($A145:AO145), Source!$G145, "")</f>
        <v/>
      </c>
      <c r="AP145" s="2" t="str">
        <f>IF(Source!$C145&gt;=COLUMNS($A145:AP145), Source!$G145, "")</f>
        <v/>
      </c>
      <c r="AQ145" s="2" t="str">
        <f>IF(Source!$C145&gt;=COLUMNS($A145:AQ145), Source!$G145, "")</f>
        <v/>
      </c>
      <c r="AR145" s="2" t="str">
        <f>IF(Source!$C145&gt;=COLUMNS($A145:AR145), Source!$G145, "")</f>
        <v/>
      </c>
    </row>
    <row r="146">
      <c r="A146" s="2">
        <f>IF(Source!$C146&gt;=COLUMNS($A146:A146), Source!$G146, "")</f>
        <v>2</v>
      </c>
      <c r="B146" s="2" t="str">
        <f>IF(Source!$C146&gt;=COLUMNS($A146:B146), Source!$G146, "")</f>
        <v/>
      </c>
      <c r="C146" s="2" t="str">
        <f>IF(Source!$C146&gt;=COLUMNS($A146:C146), Source!$G146, "")</f>
        <v/>
      </c>
      <c r="D146" s="2" t="str">
        <f>IF(Source!$C146&gt;=COLUMNS($A146:D146), Source!$G146, "")</f>
        <v/>
      </c>
      <c r="E146" s="2" t="str">
        <f>IF(Source!$C146&gt;=COLUMNS($A146:E146), Source!$G146, "")</f>
        <v/>
      </c>
      <c r="F146" s="2" t="str">
        <f>IF(Source!$C146&gt;=COLUMNS($A146:F146), Source!$G146, "")</f>
        <v/>
      </c>
      <c r="G146" s="2" t="str">
        <f>IF(Source!$C146&gt;=COLUMNS($A146:G146), Source!$G146, "")</f>
        <v/>
      </c>
      <c r="H146" s="2" t="str">
        <f>IF(Source!$C146&gt;=COLUMNS($A146:H146), Source!$G146, "")</f>
        <v/>
      </c>
      <c r="I146" s="2" t="str">
        <f>IF(Source!$C146&gt;=COLUMNS($A146:I146), Source!$G146, "")</f>
        <v/>
      </c>
      <c r="J146" s="2" t="str">
        <f>IF(Source!$C146&gt;=COLUMNS($A146:J146), Source!$G146, "")</f>
        <v/>
      </c>
      <c r="K146" s="2" t="str">
        <f>IF(Source!$C146&gt;=COLUMNS($A146:K146), Source!$G146, "")</f>
        <v/>
      </c>
      <c r="L146" s="2" t="str">
        <f>IF(Source!$C146&gt;=COLUMNS($A146:L146), Source!$G146, "")</f>
        <v/>
      </c>
      <c r="M146" s="2" t="str">
        <f>IF(Source!$C146&gt;=COLUMNS($A146:M146), Source!$G146, "")</f>
        <v/>
      </c>
      <c r="N146" s="2" t="str">
        <f>IF(Source!$C146&gt;=COLUMNS($A146:N146), Source!$G146, "")</f>
        <v/>
      </c>
      <c r="O146" s="2" t="str">
        <f>IF(Source!$C146&gt;=COLUMNS($A146:O146), Source!$G146, "")</f>
        <v/>
      </c>
      <c r="P146" s="2" t="str">
        <f>IF(Source!$C146&gt;=COLUMNS($A146:P146), Source!$G146, "")</f>
        <v/>
      </c>
      <c r="Q146" s="2" t="str">
        <f>IF(Source!$C146&gt;=COLUMNS($A146:Q146), Source!$G146, "")</f>
        <v/>
      </c>
      <c r="R146" s="2" t="str">
        <f>IF(Source!$C146&gt;=COLUMNS($A146:R146), Source!$G146, "")</f>
        <v/>
      </c>
      <c r="S146" s="2" t="str">
        <f>IF(Source!$C146&gt;=COLUMNS($A146:S146), Source!$G146, "")</f>
        <v/>
      </c>
      <c r="T146" s="2" t="str">
        <f>IF(Source!$C146&gt;=COLUMNS($A146:T146), Source!$G146, "")</f>
        <v/>
      </c>
      <c r="U146" s="2" t="str">
        <f>IF(Source!$C146&gt;=COLUMNS($A146:U146), Source!$G146, "")</f>
        <v/>
      </c>
      <c r="V146" s="2" t="str">
        <f>IF(Source!$C146&gt;=COLUMNS($A146:V146), Source!$G146, "")</f>
        <v/>
      </c>
      <c r="W146" s="2" t="str">
        <f>IF(Source!$C146&gt;=COLUMNS($A146:W146), Source!$G146, "")</f>
        <v/>
      </c>
      <c r="X146" s="2" t="str">
        <f>IF(Source!$C146&gt;=COLUMNS($A146:X146), Source!$G146, "")</f>
        <v/>
      </c>
      <c r="Y146" s="2" t="str">
        <f>IF(Source!$C146&gt;=COLUMNS($A146:Y146), Source!$G146, "")</f>
        <v/>
      </c>
      <c r="Z146" s="2" t="str">
        <f>IF(Source!$C146&gt;=COLUMNS($A146:Z146), Source!$G146, "")</f>
        <v/>
      </c>
      <c r="AA146" s="2" t="str">
        <f>IF(Source!$C146&gt;=COLUMNS($A146:AA146), Source!$G146, "")</f>
        <v/>
      </c>
      <c r="AB146" s="2" t="str">
        <f>IF(Source!$C146&gt;=COLUMNS($A146:AB146), Source!$G146, "")</f>
        <v/>
      </c>
      <c r="AC146" s="2" t="str">
        <f>IF(Source!$C146&gt;=COLUMNS($A146:AC146), Source!$G146, "")</f>
        <v/>
      </c>
      <c r="AD146" s="2" t="str">
        <f>IF(Source!$C146&gt;=COLUMNS($A146:AD146), Source!$G146, "")</f>
        <v/>
      </c>
      <c r="AE146" s="2" t="str">
        <f>IF(Source!$C146&gt;=COLUMNS($A146:AE146), Source!$G146, "")</f>
        <v/>
      </c>
      <c r="AF146" s="2" t="str">
        <f>IF(Source!$C146&gt;=COLUMNS($A146:AF146), Source!$G146, "")</f>
        <v/>
      </c>
      <c r="AG146" s="2" t="str">
        <f>IF(Source!$C146&gt;=COLUMNS($A146:AG146), Source!$G146, "")</f>
        <v/>
      </c>
      <c r="AH146" s="2" t="str">
        <f>IF(Source!$C146&gt;=COLUMNS($A146:AH146), Source!$G146, "")</f>
        <v/>
      </c>
      <c r="AI146" s="2" t="str">
        <f>IF(Source!$C146&gt;=COLUMNS($A146:AI146), Source!$G146, "")</f>
        <v/>
      </c>
      <c r="AJ146" s="2" t="str">
        <f>IF(Source!$C146&gt;=COLUMNS($A146:AJ146), Source!$G146, "")</f>
        <v/>
      </c>
      <c r="AK146" s="2" t="str">
        <f>IF(Source!$C146&gt;=COLUMNS($A146:AK146), Source!$G146, "")</f>
        <v/>
      </c>
      <c r="AL146" s="2" t="str">
        <f>IF(Source!$C146&gt;=COLUMNS($A146:AL146), Source!$G146, "")</f>
        <v/>
      </c>
      <c r="AM146" s="2" t="str">
        <f>IF(Source!$C146&gt;=COLUMNS($A146:AM146), Source!$G146, "")</f>
        <v/>
      </c>
      <c r="AN146" s="2" t="str">
        <f>IF(Source!$C146&gt;=COLUMNS($A146:AN146), Source!$G146, "")</f>
        <v/>
      </c>
      <c r="AO146" s="2" t="str">
        <f>IF(Source!$C146&gt;=COLUMNS($A146:AO146), Source!$G146, "")</f>
        <v/>
      </c>
      <c r="AP146" s="2" t="str">
        <f>IF(Source!$C146&gt;=COLUMNS($A146:AP146), Source!$G146, "")</f>
        <v/>
      </c>
      <c r="AQ146" s="2" t="str">
        <f>IF(Source!$C146&gt;=COLUMNS($A146:AQ146), Source!$G146, "")</f>
        <v/>
      </c>
      <c r="AR146" s="2" t="str">
        <f>IF(Source!$C146&gt;=COLUMNS($A146:AR146), Source!$G146, "")</f>
        <v/>
      </c>
    </row>
    <row r="147">
      <c r="A147" s="2">
        <f>IF(Source!$C147&gt;=COLUMNS($A147:A147), Source!$G147, "")</f>
        <v>8</v>
      </c>
      <c r="B147" s="2">
        <f>IF(Source!$C147&gt;=COLUMNS($A147:B147), Source!$G147, "")</f>
        <v>8</v>
      </c>
      <c r="C147" s="2">
        <f>IF(Source!$C147&gt;=COLUMNS($A147:C147), Source!$G147, "")</f>
        <v>8</v>
      </c>
      <c r="D147" s="2">
        <f>IF(Source!$C147&gt;=COLUMNS($A147:D147), Source!$G147, "")</f>
        <v>8</v>
      </c>
      <c r="E147" s="2" t="str">
        <f>IF(Source!$C147&gt;=COLUMNS($A147:E147), Source!$G147, "")</f>
        <v/>
      </c>
      <c r="F147" s="2" t="str">
        <f>IF(Source!$C147&gt;=COLUMNS($A147:F147), Source!$G147, "")</f>
        <v/>
      </c>
      <c r="G147" s="2" t="str">
        <f>IF(Source!$C147&gt;=COLUMNS($A147:G147), Source!$G147, "")</f>
        <v/>
      </c>
      <c r="H147" s="2" t="str">
        <f>IF(Source!$C147&gt;=COLUMNS($A147:H147), Source!$G147, "")</f>
        <v/>
      </c>
      <c r="I147" s="2" t="str">
        <f>IF(Source!$C147&gt;=COLUMNS($A147:I147), Source!$G147, "")</f>
        <v/>
      </c>
      <c r="J147" s="2" t="str">
        <f>IF(Source!$C147&gt;=COLUMNS($A147:J147), Source!$G147, "")</f>
        <v/>
      </c>
      <c r="K147" s="2" t="str">
        <f>IF(Source!$C147&gt;=COLUMNS($A147:K147), Source!$G147, "")</f>
        <v/>
      </c>
      <c r="L147" s="2" t="str">
        <f>IF(Source!$C147&gt;=COLUMNS($A147:L147), Source!$G147, "")</f>
        <v/>
      </c>
      <c r="M147" s="2" t="str">
        <f>IF(Source!$C147&gt;=COLUMNS($A147:M147), Source!$G147, "")</f>
        <v/>
      </c>
      <c r="N147" s="2" t="str">
        <f>IF(Source!$C147&gt;=COLUMNS($A147:N147), Source!$G147, "")</f>
        <v/>
      </c>
      <c r="O147" s="2" t="str">
        <f>IF(Source!$C147&gt;=COLUMNS($A147:O147), Source!$G147, "")</f>
        <v/>
      </c>
      <c r="P147" s="2" t="str">
        <f>IF(Source!$C147&gt;=COLUMNS($A147:P147), Source!$G147, "")</f>
        <v/>
      </c>
      <c r="Q147" s="2" t="str">
        <f>IF(Source!$C147&gt;=COLUMNS($A147:Q147), Source!$G147, "")</f>
        <v/>
      </c>
      <c r="R147" s="2" t="str">
        <f>IF(Source!$C147&gt;=COLUMNS($A147:R147), Source!$G147, "")</f>
        <v/>
      </c>
      <c r="S147" s="2" t="str">
        <f>IF(Source!$C147&gt;=COLUMNS($A147:S147), Source!$G147, "")</f>
        <v/>
      </c>
      <c r="T147" s="2" t="str">
        <f>IF(Source!$C147&gt;=COLUMNS($A147:T147), Source!$G147, "")</f>
        <v/>
      </c>
      <c r="U147" s="2" t="str">
        <f>IF(Source!$C147&gt;=COLUMNS($A147:U147), Source!$G147, "")</f>
        <v/>
      </c>
      <c r="V147" s="2" t="str">
        <f>IF(Source!$C147&gt;=COLUMNS($A147:V147), Source!$G147, "")</f>
        <v/>
      </c>
      <c r="W147" s="2" t="str">
        <f>IF(Source!$C147&gt;=COLUMNS($A147:W147), Source!$G147, "")</f>
        <v/>
      </c>
      <c r="X147" s="2" t="str">
        <f>IF(Source!$C147&gt;=COLUMNS($A147:X147), Source!$G147, "")</f>
        <v/>
      </c>
      <c r="Y147" s="2" t="str">
        <f>IF(Source!$C147&gt;=COLUMNS($A147:Y147), Source!$G147, "")</f>
        <v/>
      </c>
      <c r="Z147" s="2" t="str">
        <f>IF(Source!$C147&gt;=COLUMNS($A147:Z147), Source!$G147, "")</f>
        <v/>
      </c>
      <c r="AA147" s="2" t="str">
        <f>IF(Source!$C147&gt;=COLUMNS($A147:AA147), Source!$G147, "")</f>
        <v/>
      </c>
      <c r="AB147" s="2" t="str">
        <f>IF(Source!$C147&gt;=COLUMNS($A147:AB147), Source!$G147, "")</f>
        <v/>
      </c>
      <c r="AC147" s="2" t="str">
        <f>IF(Source!$C147&gt;=COLUMNS($A147:AC147), Source!$G147, "")</f>
        <v/>
      </c>
      <c r="AD147" s="2" t="str">
        <f>IF(Source!$C147&gt;=COLUMNS($A147:AD147), Source!$G147, "")</f>
        <v/>
      </c>
      <c r="AE147" s="2" t="str">
        <f>IF(Source!$C147&gt;=COLUMNS($A147:AE147), Source!$G147, "")</f>
        <v/>
      </c>
      <c r="AF147" s="2" t="str">
        <f>IF(Source!$C147&gt;=COLUMNS($A147:AF147), Source!$G147, "")</f>
        <v/>
      </c>
      <c r="AG147" s="2" t="str">
        <f>IF(Source!$C147&gt;=COLUMNS($A147:AG147), Source!$G147, "")</f>
        <v/>
      </c>
      <c r="AH147" s="2" t="str">
        <f>IF(Source!$C147&gt;=COLUMNS($A147:AH147), Source!$G147, "")</f>
        <v/>
      </c>
      <c r="AI147" s="2" t="str">
        <f>IF(Source!$C147&gt;=COLUMNS($A147:AI147), Source!$G147, "")</f>
        <v/>
      </c>
      <c r="AJ147" s="2" t="str">
        <f>IF(Source!$C147&gt;=COLUMNS($A147:AJ147), Source!$G147, "")</f>
        <v/>
      </c>
      <c r="AK147" s="2" t="str">
        <f>IF(Source!$C147&gt;=COLUMNS($A147:AK147), Source!$G147, "")</f>
        <v/>
      </c>
      <c r="AL147" s="2" t="str">
        <f>IF(Source!$C147&gt;=COLUMNS($A147:AL147), Source!$G147, "")</f>
        <v/>
      </c>
      <c r="AM147" s="2" t="str">
        <f>IF(Source!$C147&gt;=COLUMNS($A147:AM147), Source!$G147, "")</f>
        <v/>
      </c>
      <c r="AN147" s="2" t="str">
        <f>IF(Source!$C147&gt;=COLUMNS($A147:AN147), Source!$G147, "")</f>
        <v/>
      </c>
      <c r="AO147" s="2" t="str">
        <f>IF(Source!$C147&gt;=COLUMNS($A147:AO147), Source!$G147, "")</f>
        <v/>
      </c>
      <c r="AP147" s="2" t="str">
        <f>IF(Source!$C147&gt;=COLUMNS($A147:AP147), Source!$G147, "")</f>
        <v/>
      </c>
      <c r="AQ147" s="2" t="str">
        <f>IF(Source!$C147&gt;=COLUMNS($A147:AQ147), Source!$G147, "")</f>
        <v/>
      </c>
      <c r="AR147" s="2" t="str">
        <f>IF(Source!$C147&gt;=COLUMNS($A147:AR147), Source!$G147, "")</f>
        <v/>
      </c>
    </row>
    <row r="148">
      <c r="A148" s="2">
        <f>IF(Source!$C148&gt;=COLUMNS($A148:A148), Source!$G148, "")</f>
        <v>4</v>
      </c>
      <c r="B148" s="2">
        <f>IF(Source!$C148&gt;=COLUMNS($A148:B148), Source!$G148, "")</f>
        <v>4</v>
      </c>
      <c r="C148" s="2">
        <f>IF(Source!$C148&gt;=COLUMNS($A148:C148), Source!$G148, "")</f>
        <v>4</v>
      </c>
      <c r="D148" s="2">
        <f>IF(Source!$C148&gt;=COLUMNS($A148:D148), Source!$G148, "")</f>
        <v>4</v>
      </c>
      <c r="E148" s="2">
        <f>IF(Source!$C148&gt;=COLUMNS($A148:E148), Source!$G148, "")</f>
        <v>4</v>
      </c>
      <c r="F148" s="2" t="str">
        <f>IF(Source!$C148&gt;=COLUMNS($A148:F148), Source!$G148, "")</f>
        <v/>
      </c>
      <c r="G148" s="2" t="str">
        <f>IF(Source!$C148&gt;=COLUMNS($A148:G148), Source!$G148, "")</f>
        <v/>
      </c>
      <c r="H148" s="2" t="str">
        <f>IF(Source!$C148&gt;=COLUMNS($A148:H148), Source!$G148, "")</f>
        <v/>
      </c>
      <c r="I148" s="2" t="str">
        <f>IF(Source!$C148&gt;=COLUMNS($A148:I148), Source!$G148, "")</f>
        <v/>
      </c>
      <c r="J148" s="2" t="str">
        <f>IF(Source!$C148&gt;=COLUMNS($A148:J148), Source!$G148, "")</f>
        <v/>
      </c>
      <c r="K148" s="2" t="str">
        <f>IF(Source!$C148&gt;=COLUMNS($A148:K148), Source!$G148, "")</f>
        <v/>
      </c>
      <c r="L148" s="2" t="str">
        <f>IF(Source!$C148&gt;=COLUMNS($A148:L148), Source!$G148, "")</f>
        <v/>
      </c>
      <c r="M148" s="2" t="str">
        <f>IF(Source!$C148&gt;=COLUMNS($A148:M148), Source!$G148, "")</f>
        <v/>
      </c>
      <c r="N148" s="2" t="str">
        <f>IF(Source!$C148&gt;=COLUMNS($A148:N148), Source!$G148, "")</f>
        <v/>
      </c>
      <c r="O148" s="2" t="str">
        <f>IF(Source!$C148&gt;=COLUMNS($A148:O148), Source!$G148, "")</f>
        <v/>
      </c>
      <c r="P148" s="2" t="str">
        <f>IF(Source!$C148&gt;=COLUMNS($A148:P148), Source!$G148, "")</f>
        <v/>
      </c>
      <c r="Q148" s="2" t="str">
        <f>IF(Source!$C148&gt;=COLUMNS($A148:Q148), Source!$G148, "")</f>
        <v/>
      </c>
      <c r="R148" s="2" t="str">
        <f>IF(Source!$C148&gt;=COLUMNS($A148:R148), Source!$G148, "")</f>
        <v/>
      </c>
      <c r="S148" s="2" t="str">
        <f>IF(Source!$C148&gt;=COLUMNS($A148:S148), Source!$G148, "")</f>
        <v/>
      </c>
      <c r="T148" s="2" t="str">
        <f>IF(Source!$C148&gt;=COLUMNS($A148:T148), Source!$G148, "")</f>
        <v/>
      </c>
      <c r="U148" s="2" t="str">
        <f>IF(Source!$C148&gt;=COLUMNS($A148:U148), Source!$G148, "")</f>
        <v/>
      </c>
      <c r="V148" s="2" t="str">
        <f>IF(Source!$C148&gt;=COLUMNS($A148:V148), Source!$G148, "")</f>
        <v/>
      </c>
      <c r="W148" s="2" t="str">
        <f>IF(Source!$C148&gt;=COLUMNS($A148:W148), Source!$G148, "")</f>
        <v/>
      </c>
      <c r="X148" s="2" t="str">
        <f>IF(Source!$C148&gt;=COLUMNS($A148:X148), Source!$G148, "")</f>
        <v/>
      </c>
      <c r="Y148" s="2" t="str">
        <f>IF(Source!$C148&gt;=COLUMNS($A148:Y148), Source!$G148, "")</f>
        <v/>
      </c>
      <c r="Z148" s="2" t="str">
        <f>IF(Source!$C148&gt;=COLUMNS($A148:Z148), Source!$G148, "")</f>
        <v/>
      </c>
      <c r="AA148" s="2" t="str">
        <f>IF(Source!$C148&gt;=COLUMNS($A148:AA148), Source!$G148, "")</f>
        <v/>
      </c>
      <c r="AB148" s="2" t="str">
        <f>IF(Source!$C148&gt;=COLUMNS($A148:AB148), Source!$G148, "")</f>
        <v/>
      </c>
      <c r="AC148" s="2" t="str">
        <f>IF(Source!$C148&gt;=COLUMNS($A148:AC148), Source!$G148, "")</f>
        <v/>
      </c>
      <c r="AD148" s="2" t="str">
        <f>IF(Source!$C148&gt;=COLUMNS($A148:AD148), Source!$G148, "")</f>
        <v/>
      </c>
      <c r="AE148" s="2" t="str">
        <f>IF(Source!$C148&gt;=COLUMNS($A148:AE148), Source!$G148, "")</f>
        <v/>
      </c>
      <c r="AF148" s="2" t="str">
        <f>IF(Source!$C148&gt;=COLUMNS($A148:AF148), Source!$G148, "")</f>
        <v/>
      </c>
      <c r="AG148" s="2" t="str">
        <f>IF(Source!$C148&gt;=COLUMNS($A148:AG148), Source!$G148, "")</f>
        <v/>
      </c>
      <c r="AH148" s="2" t="str">
        <f>IF(Source!$C148&gt;=COLUMNS($A148:AH148), Source!$G148, "")</f>
        <v/>
      </c>
      <c r="AI148" s="2" t="str">
        <f>IF(Source!$C148&gt;=COLUMNS($A148:AI148), Source!$G148, "")</f>
        <v/>
      </c>
      <c r="AJ148" s="2" t="str">
        <f>IF(Source!$C148&gt;=COLUMNS($A148:AJ148), Source!$G148, "")</f>
        <v/>
      </c>
      <c r="AK148" s="2" t="str">
        <f>IF(Source!$C148&gt;=COLUMNS($A148:AK148), Source!$G148, "")</f>
        <v/>
      </c>
      <c r="AL148" s="2" t="str">
        <f>IF(Source!$C148&gt;=COLUMNS($A148:AL148), Source!$G148, "")</f>
        <v/>
      </c>
      <c r="AM148" s="2" t="str">
        <f>IF(Source!$C148&gt;=COLUMNS($A148:AM148), Source!$G148, "")</f>
        <v/>
      </c>
      <c r="AN148" s="2" t="str">
        <f>IF(Source!$C148&gt;=COLUMNS($A148:AN148), Source!$G148, "")</f>
        <v/>
      </c>
      <c r="AO148" s="2" t="str">
        <f>IF(Source!$C148&gt;=COLUMNS($A148:AO148), Source!$G148, "")</f>
        <v/>
      </c>
      <c r="AP148" s="2" t="str">
        <f>IF(Source!$C148&gt;=COLUMNS($A148:AP148), Source!$G148, "")</f>
        <v/>
      </c>
      <c r="AQ148" s="2" t="str">
        <f>IF(Source!$C148&gt;=COLUMNS($A148:AQ148), Source!$G148, "")</f>
        <v/>
      </c>
      <c r="AR148" s="2" t="str">
        <f>IF(Source!$C148&gt;=COLUMNS($A148:AR148), Source!$G148, "")</f>
        <v/>
      </c>
    </row>
    <row r="149">
      <c r="A149" s="2">
        <f>IF(Source!$C149&gt;=COLUMNS($A149:A149), Source!$G149, "")</f>
        <v>8</v>
      </c>
      <c r="B149" s="2" t="str">
        <f>IF(Source!$C149&gt;=COLUMNS($A149:B149), Source!$G149, "")</f>
        <v/>
      </c>
      <c r="C149" s="2" t="str">
        <f>IF(Source!$C149&gt;=COLUMNS($A149:C149), Source!$G149, "")</f>
        <v/>
      </c>
      <c r="D149" s="2" t="str">
        <f>IF(Source!$C149&gt;=COLUMNS($A149:D149), Source!$G149, "")</f>
        <v/>
      </c>
      <c r="E149" s="2" t="str">
        <f>IF(Source!$C149&gt;=COLUMNS($A149:E149), Source!$G149, "")</f>
        <v/>
      </c>
      <c r="F149" s="2" t="str">
        <f>IF(Source!$C149&gt;=COLUMNS($A149:F149), Source!$G149, "")</f>
        <v/>
      </c>
      <c r="G149" s="2" t="str">
        <f>IF(Source!$C149&gt;=COLUMNS($A149:G149), Source!$G149, "")</f>
        <v/>
      </c>
      <c r="H149" s="2" t="str">
        <f>IF(Source!$C149&gt;=COLUMNS($A149:H149), Source!$G149, "")</f>
        <v/>
      </c>
      <c r="I149" s="2" t="str">
        <f>IF(Source!$C149&gt;=COLUMNS($A149:I149), Source!$G149, "")</f>
        <v/>
      </c>
      <c r="J149" s="2" t="str">
        <f>IF(Source!$C149&gt;=COLUMNS($A149:J149), Source!$G149, "")</f>
        <v/>
      </c>
      <c r="K149" s="2" t="str">
        <f>IF(Source!$C149&gt;=COLUMNS($A149:K149), Source!$G149, "")</f>
        <v/>
      </c>
      <c r="L149" s="2" t="str">
        <f>IF(Source!$C149&gt;=COLUMNS($A149:L149), Source!$G149, "")</f>
        <v/>
      </c>
      <c r="M149" s="2" t="str">
        <f>IF(Source!$C149&gt;=COLUMNS($A149:M149), Source!$G149, "")</f>
        <v/>
      </c>
      <c r="N149" s="2" t="str">
        <f>IF(Source!$C149&gt;=COLUMNS($A149:N149), Source!$G149, "")</f>
        <v/>
      </c>
      <c r="O149" s="2" t="str">
        <f>IF(Source!$C149&gt;=COLUMNS($A149:O149), Source!$G149, "")</f>
        <v/>
      </c>
      <c r="P149" s="2" t="str">
        <f>IF(Source!$C149&gt;=COLUMNS($A149:P149), Source!$G149, "")</f>
        <v/>
      </c>
      <c r="Q149" s="2" t="str">
        <f>IF(Source!$C149&gt;=COLUMNS($A149:Q149), Source!$G149, "")</f>
        <v/>
      </c>
      <c r="R149" s="2" t="str">
        <f>IF(Source!$C149&gt;=COLUMNS($A149:R149), Source!$G149, "")</f>
        <v/>
      </c>
      <c r="S149" s="2" t="str">
        <f>IF(Source!$C149&gt;=COLUMNS($A149:S149), Source!$G149, "")</f>
        <v/>
      </c>
      <c r="T149" s="2" t="str">
        <f>IF(Source!$C149&gt;=COLUMNS($A149:T149), Source!$G149, "")</f>
        <v/>
      </c>
      <c r="U149" s="2" t="str">
        <f>IF(Source!$C149&gt;=COLUMNS($A149:U149), Source!$G149, "")</f>
        <v/>
      </c>
      <c r="V149" s="2" t="str">
        <f>IF(Source!$C149&gt;=COLUMNS($A149:V149), Source!$G149, "")</f>
        <v/>
      </c>
      <c r="W149" s="2" t="str">
        <f>IF(Source!$C149&gt;=COLUMNS($A149:W149), Source!$G149, "")</f>
        <v/>
      </c>
      <c r="X149" s="2" t="str">
        <f>IF(Source!$C149&gt;=COLUMNS($A149:X149), Source!$G149, "")</f>
        <v/>
      </c>
      <c r="Y149" s="2" t="str">
        <f>IF(Source!$C149&gt;=COLUMNS($A149:Y149), Source!$G149, "")</f>
        <v/>
      </c>
      <c r="Z149" s="2" t="str">
        <f>IF(Source!$C149&gt;=COLUMNS($A149:Z149), Source!$G149, "")</f>
        <v/>
      </c>
      <c r="AA149" s="2" t="str">
        <f>IF(Source!$C149&gt;=COLUMNS($A149:AA149), Source!$G149, "")</f>
        <v/>
      </c>
      <c r="AB149" s="2" t="str">
        <f>IF(Source!$C149&gt;=COLUMNS($A149:AB149), Source!$G149, "")</f>
        <v/>
      </c>
      <c r="AC149" s="2" t="str">
        <f>IF(Source!$C149&gt;=COLUMNS($A149:AC149), Source!$G149, "")</f>
        <v/>
      </c>
      <c r="AD149" s="2" t="str">
        <f>IF(Source!$C149&gt;=COLUMNS($A149:AD149), Source!$G149, "")</f>
        <v/>
      </c>
      <c r="AE149" s="2" t="str">
        <f>IF(Source!$C149&gt;=COLUMNS($A149:AE149), Source!$G149, "")</f>
        <v/>
      </c>
      <c r="AF149" s="2" t="str">
        <f>IF(Source!$C149&gt;=COLUMNS($A149:AF149), Source!$G149, "")</f>
        <v/>
      </c>
      <c r="AG149" s="2" t="str">
        <f>IF(Source!$C149&gt;=COLUMNS($A149:AG149), Source!$G149, "")</f>
        <v/>
      </c>
      <c r="AH149" s="2" t="str">
        <f>IF(Source!$C149&gt;=COLUMNS($A149:AH149), Source!$G149, "")</f>
        <v/>
      </c>
      <c r="AI149" s="2" t="str">
        <f>IF(Source!$C149&gt;=COLUMNS($A149:AI149), Source!$G149, "")</f>
        <v/>
      </c>
      <c r="AJ149" s="2" t="str">
        <f>IF(Source!$C149&gt;=COLUMNS($A149:AJ149), Source!$G149, "")</f>
        <v/>
      </c>
      <c r="AK149" s="2" t="str">
        <f>IF(Source!$C149&gt;=COLUMNS($A149:AK149), Source!$G149, "")</f>
        <v/>
      </c>
      <c r="AL149" s="2" t="str">
        <f>IF(Source!$C149&gt;=COLUMNS($A149:AL149), Source!$G149, "")</f>
        <v/>
      </c>
      <c r="AM149" s="2" t="str">
        <f>IF(Source!$C149&gt;=COLUMNS($A149:AM149), Source!$G149, "")</f>
        <v/>
      </c>
      <c r="AN149" s="2" t="str">
        <f>IF(Source!$C149&gt;=COLUMNS($A149:AN149), Source!$G149, "")</f>
        <v/>
      </c>
      <c r="AO149" s="2" t="str">
        <f>IF(Source!$C149&gt;=COLUMNS($A149:AO149), Source!$G149, "")</f>
        <v/>
      </c>
      <c r="AP149" s="2" t="str">
        <f>IF(Source!$C149&gt;=COLUMNS($A149:AP149), Source!$G149, "")</f>
        <v/>
      </c>
      <c r="AQ149" s="2" t="str">
        <f>IF(Source!$C149&gt;=COLUMNS($A149:AQ149), Source!$G149, "")</f>
        <v/>
      </c>
      <c r="AR149" s="2" t="str">
        <f>IF(Source!$C149&gt;=COLUMNS($A149:AR149), Source!$G149, "")</f>
        <v/>
      </c>
    </row>
    <row r="150">
      <c r="A150" s="2">
        <f>IF(Source!$C150&gt;=COLUMNS($A150:A150), Source!$G150, "")</f>
        <v>8</v>
      </c>
      <c r="B150" s="2">
        <f>IF(Source!$C150&gt;=COLUMNS($A150:B150), Source!$G150, "")</f>
        <v>8</v>
      </c>
      <c r="C150" s="2" t="str">
        <f>IF(Source!$C150&gt;=COLUMNS($A150:C150), Source!$G150, "")</f>
        <v/>
      </c>
      <c r="D150" s="2" t="str">
        <f>IF(Source!$C150&gt;=COLUMNS($A150:D150), Source!$G150, "")</f>
        <v/>
      </c>
      <c r="E150" s="2" t="str">
        <f>IF(Source!$C150&gt;=COLUMNS($A150:E150), Source!$G150, "")</f>
        <v/>
      </c>
      <c r="F150" s="2" t="str">
        <f>IF(Source!$C150&gt;=COLUMNS($A150:F150), Source!$G150, "")</f>
        <v/>
      </c>
      <c r="G150" s="2" t="str">
        <f>IF(Source!$C150&gt;=COLUMNS($A150:G150), Source!$G150, "")</f>
        <v/>
      </c>
      <c r="H150" s="2" t="str">
        <f>IF(Source!$C150&gt;=COLUMNS($A150:H150), Source!$G150, "")</f>
        <v/>
      </c>
      <c r="I150" s="2" t="str">
        <f>IF(Source!$C150&gt;=COLUMNS($A150:I150), Source!$G150, "")</f>
        <v/>
      </c>
      <c r="J150" s="2" t="str">
        <f>IF(Source!$C150&gt;=COLUMNS($A150:J150), Source!$G150, "")</f>
        <v/>
      </c>
      <c r="K150" s="2" t="str">
        <f>IF(Source!$C150&gt;=COLUMNS($A150:K150), Source!$G150, "")</f>
        <v/>
      </c>
      <c r="L150" s="2" t="str">
        <f>IF(Source!$C150&gt;=COLUMNS($A150:L150), Source!$G150, "")</f>
        <v/>
      </c>
      <c r="M150" s="2" t="str">
        <f>IF(Source!$C150&gt;=COLUMNS($A150:M150), Source!$G150, "")</f>
        <v/>
      </c>
      <c r="N150" s="2" t="str">
        <f>IF(Source!$C150&gt;=COLUMNS($A150:N150), Source!$G150, "")</f>
        <v/>
      </c>
      <c r="O150" s="2" t="str">
        <f>IF(Source!$C150&gt;=COLUMNS($A150:O150), Source!$G150, "")</f>
        <v/>
      </c>
      <c r="P150" s="2" t="str">
        <f>IF(Source!$C150&gt;=COLUMNS($A150:P150), Source!$G150, "")</f>
        <v/>
      </c>
      <c r="Q150" s="2" t="str">
        <f>IF(Source!$C150&gt;=COLUMNS($A150:Q150), Source!$G150, "")</f>
        <v/>
      </c>
      <c r="R150" s="2" t="str">
        <f>IF(Source!$C150&gt;=COLUMNS($A150:R150), Source!$G150, "")</f>
        <v/>
      </c>
      <c r="S150" s="2" t="str">
        <f>IF(Source!$C150&gt;=COLUMNS($A150:S150), Source!$G150, "")</f>
        <v/>
      </c>
      <c r="T150" s="2" t="str">
        <f>IF(Source!$C150&gt;=COLUMNS($A150:T150), Source!$G150, "")</f>
        <v/>
      </c>
      <c r="U150" s="2" t="str">
        <f>IF(Source!$C150&gt;=COLUMNS($A150:U150), Source!$G150, "")</f>
        <v/>
      </c>
      <c r="V150" s="2" t="str">
        <f>IF(Source!$C150&gt;=COLUMNS($A150:V150), Source!$G150, "")</f>
        <v/>
      </c>
      <c r="W150" s="2" t="str">
        <f>IF(Source!$C150&gt;=COLUMNS($A150:W150), Source!$G150, "")</f>
        <v/>
      </c>
      <c r="X150" s="2" t="str">
        <f>IF(Source!$C150&gt;=COLUMNS($A150:X150), Source!$G150, "")</f>
        <v/>
      </c>
      <c r="Y150" s="2" t="str">
        <f>IF(Source!$C150&gt;=COLUMNS($A150:Y150), Source!$G150, "")</f>
        <v/>
      </c>
      <c r="Z150" s="2" t="str">
        <f>IF(Source!$C150&gt;=COLUMNS($A150:Z150), Source!$G150, "")</f>
        <v/>
      </c>
      <c r="AA150" s="2" t="str">
        <f>IF(Source!$C150&gt;=COLUMNS($A150:AA150), Source!$G150, "")</f>
        <v/>
      </c>
      <c r="AB150" s="2" t="str">
        <f>IF(Source!$C150&gt;=COLUMNS($A150:AB150), Source!$G150, "")</f>
        <v/>
      </c>
      <c r="AC150" s="2" t="str">
        <f>IF(Source!$C150&gt;=COLUMNS($A150:AC150), Source!$G150, "")</f>
        <v/>
      </c>
      <c r="AD150" s="2" t="str">
        <f>IF(Source!$C150&gt;=COLUMNS($A150:AD150), Source!$G150, "")</f>
        <v/>
      </c>
      <c r="AE150" s="2" t="str">
        <f>IF(Source!$C150&gt;=COLUMNS($A150:AE150), Source!$G150, "")</f>
        <v/>
      </c>
      <c r="AF150" s="2" t="str">
        <f>IF(Source!$C150&gt;=COLUMNS($A150:AF150), Source!$G150, "")</f>
        <v/>
      </c>
      <c r="AG150" s="2" t="str">
        <f>IF(Source!$C150&gt;=COLUMNS($A150:AG150), Source!$G150, "")</f>
        <v/>
      </c>
      <c r="AH150" s="2" t="str">
        <f>IF(Source!$C150&gt;=COLUMNS($A150:AH150), Source!$G150, "")</f>
        <v/>
      </c>
      <c r="AI150" s="2" t="str">
        <f>IF(Source!$C150&gt;=COLUMNS($A150:AI150), Source!$G150, "")</f>
        <v/>
      </c>
      <c r="AJ150" s="2" t="str">
        <f>IF(Source!$C150&gt;=COLUMNS($A150:AJ150), Source!$G150, "")</f>
        <v/>
      </c>
      <c r="AK150" s="2" t="str">
        <f>IF(Source!$C150&gt;=COLUMNS($A150:AK150), Source!$G150, "")</f>
        <v/>
      </c>
      <c r="AL150" s="2" t="str">
        <f>IF(Source!$C150&gt;=COLUMNS($A150:AL150), Source!$G150, "")</f>
        <v/>
      </c>
      <c r="AM150" s="2" t="str">
        <f>IF(Source!$C150&gt;=COLUMNS($A150:AM150), Source!$G150, "")</f>
        <v/>
      </c>
      <c r="AN150" s="2" t="str">
        <f>IF(Source!$C150&gt;=COLUMNS($A150:AN150), Source!$G150, "")</f>
        <v/>
      </c>
      <c r="AO150" s="2" t="str">
        <f>IF(Source!$C150&gt;=COLUMNS($A150:AO150), Source!$G150, "")</f>
        <v/>
      </c>
      <c r="AP150" s="2" t="str">
        <f>IF(Source!$C150&gt;=COLUMNS($A150:AP150), Source!$G150, "")</f>
        <v/>
      </c>
      <c r="AQ150" s="2" t="str">
        <f>IF(Source!$C150&gt;=COLUMNS($A150:AQ150), Source!$G150, "")</f>
        <v/>
      </c>
      <c r="AR150" s="2" t="str">
        <f>IF(Source!$C150&gt;=COLUMNS($A150:AR150), Source!$G150, "")</f>
        <v/>
      </c>
    </row>
    <row r="151">
      <c r="A151" s="2">
        <f>IF(Source!$C151&gt;=COLUMNS($A151:A151), Source!$G151, "")</f>
        <v>5</v>
      </c>
      <c r="B151" s="2">
        <f>IF(Source!$C151&gt;=COLUMNS($A151:B151), Source!$G151, "")</f>
        <v>5</v>
      </c>
      <c r="C151" s="2" t="str">
        <f>IF(Source!$C151&gt;=COLUMNS($A151:C151), Source!$G151, "")</f>
        <v/>
      </c>
      <c r="D151" s="2" t="str">
        <f>IF(Source!$C151&gt;=COLUMNS($A151:D151), Source!$G151, "")</f>
        <v/>
      </c>
      <c r="E151" s="2" t="str">
        <f>IF(Source!$C151&gt;=COLUMNS($A151:E151), Source!$G151, "")</f>
        <v/>
      </c>
      <c r="F151" s="2" t="str">
        <f>IF(Source!$C151&gt;=COLUMNS($A151:F151), Source!$G151, "")</f>
        <v/>
      </c>
      <c r="G151" s="2" t="str">
        <f>IF(Source!$C151&gt;=COLUMNS($A151:G151), Source!$G151, "")</f>
        <v/>
      </c>
      <c r="H151" s="2" t="str">
        <f>IF(Source!$C151&gt;=COLUMNS($A151:H151), Source!$G151, "")</f>
        <v/>
      </c>
      <c r="I151" s="2" t="str">
        <f>IF(Source!$C151&gt;=COLUMNS($A151:I151), Source!$G151, "")</f>
        <v/>
      </c>
      <c r="J151" s="2" t="str">
        <f>IF(Source!$C151&gt;=COLUMNS($A151:J151), Source!$G151, "")</f>
        <v/>
      </c>
      <c r="K151" s="2" t="str">
        <f>IF(Source!$C151&gt;=COLUMNS($A151:K151), Source!$G151, "")</f>
        <v/>
      </c>
      <c r="L151" s="2" t="str">
        <f>IF(Source!$C151&gt;=COLUMNS($A151:L151), Source!$G151, "")</f>
        <v/>
      </c>
      <c r="M151" s="2" t="str">
        <f>IF(Source!$C151&gt;=COLUMNS($A151:M151), Source!$G151, "")</f>
        <v/>
      </c>
      <c r="N151" s="2" t="str">
        <f>IF(Source!$C151&gt;=COLUMNS($A151:N151), Source!$G151, "")</f>
        <v/>
      </c>
      <c r="O151" s="2" t="str">
        <f>IF(Source!$C151&gt;=COLUMNS($A151:O151), Source!$G151, "")</f>
        <v/>
      </c>
      <c r="P151" s="2" t="str">
        <f>IF(Source!$C151&gt;=COLUMNS($A151:P151), Source!$G151, "")</f>
        <v/>
      </c>
      <c r="Q151" s="2" t="str">
        <f>IF(Source!$C151&gt;=COLUMNS($A151:Q151), Source!$G151, "")</f>
        <v/>
      </c>
      <c r="R151" s="2" t="str">
        <f>IF(Source!$C151&gt;=COLUMNS($A151:R151), Source!$G151, "")</f>
        <v/>
      </c>
      <c r="S151" s="2" t="str">
        <f>IF(Source!$C151&gt;=COLUMNS($A151:S151), Source!$G151, "")</f>
        <v/>
      </c>
      <c r="T151" s="2" t="str">
        <f>IF(Source!$C151&gt;=COLUMNS($A151:T151), Source!$G151, "")</f>
        <v/>
      </c>
      <c r="U151" s="2" t="str">
        <f>IF(Source!$C151&gt;=COLUMNS($A151:U151), Source!$G151, "")</f>
        <v/>
      </c>
      <c r="V151" s="2" t="str">
        <f>IF(Source!$C151&gt;=COLUMNS($A151:V151), Source!$G151, "")</f>
        <v/>
      </c>
      <c r="W151" s="2" t="str">
        <f>IF(Source!$C151&gt;=COLUMNS($A151:W151), Source!$G151, "")</f>
        <v/>
      </c>
      <c r="X151" s="2" t="str">
        <f>IF(Source!$C151&gt;=COLUMNS($A151:X151), Source!$G151, "")</f>
        <v/>
      </c>
      <c r="Y151" s="2" t="str">
        <f>IF(Source!$C151&gt;=COLUMNS($A151:Y151), Source!$G151, "")</f>
        <v/>
      </c>
      <c r="Z151" s="2" t="str">
        <f>IF(Source!$C151&gt;=COLUMNS($A151:Z151), Source!$G151, "")</f>
        <v/>
      </c>
      <c r="AA151" s="2" t="str">
        <f>IF(Source!$C151&gt;=COLUMNS($A151:AA151), Source!$G151, "")</f>
        <v/>
      </c>
      <c r="AB151" s="2" t="str">
        <f>IF(Source!$C151&gt;=COLUMNS($A151:AB151), Source!$G151, "")</f>
        <v/>
      </c>
      <c r="AC151" s="2" t="str">
        <f>IF(Source!$C151&gt;=COLUMNS($A151:AC151), Source!$G151, "")</f>
        <v/>
      </c>
      <c r="AD151" s="2" t="str">
        <f>IF(Source!$C151&gt;=COLUMNS($A151:AD151), Source!$G151, "")</f>
        <v/>
      </c>
      <c r="AE151" s="2" t="str">
        <f>IF(Source!$C151&gt;=COLUMNS($A151:AE151), Source!$G151, "")</f>
        <v/>
      </c>
      <c r="AF151" s="2" t="str">
        <f>IF(Source!$C151&gt;=COLUMNS($A151:AF151), Source!$G151, "")</f>
        <v/>
      </c>
      <c r="AG151" s="2" t="str">
        <f>IF(Source!$C151&gt;=COLUMNS($A151:AG151), Source!$G151, "")</f>
        <v/>
      </c>
      <c r="AH151" s="2" t="str">
        <f>IF(Source!$C151&gt;=COLUMNS($A151:AH151), Source!$G151, "")</f>
        <v/>
      </c>
      <c r="AI151" s="2" t="str">
        <f>IF(Source!$C151&gt;=COLUMNS($A151:AI151), Source!$G151, "")</f>
        <v/>
      </c>
      <c r="AJ151" s="2" t="str">
        <f>IF(Source!$C151&gt;=COLUMNS($A151:AJ151), Source!$G151, "")</f>
        <v/>
      </c>
      <c r="AK151" s="2" t="str">
        <f>IF(Source!$C151&gt;=COLUMNS($A151:AK151), Source!$G151, "")</f>
        <v/>
      </c>
      <c r="AL151" s="2" t="str">
        <f>IF(Source!$C151&gt;=COLUMNS($A151:AL151), Source!$G151, "")</f>
        <v/>
      </c>
      <c r="AM151" s="2" t="str">
        <f>IF(Source!$C151&gt;=COLUMNS($A151:AM151), Source!$G151, "")</f>
        <v/>
      </c>
      <c r="AN151" s="2" t="str">
        <f>IF(Source!$C151&gt;=COLUMNS($A151:AN151), Source!$G151, "")</f>
        <v/>
      </c>
      <c r="AO151" s="2" t="str">
        <f>IF(Source!$C151&gt;=COLUMNS($A151:AO151), Source!$G151, "")</f>
        <v/>
      </c>
      <c r="AP151" s="2" t="str">
        <f>IF(Source!$C151&gt;=COLUMNS($A151:AP151), Source!$G151, "")</f>
        <v/>
      </c>
      <c r="AQ151" s="2" t="str">
        <f>IF(Source!$C151&gt;=COLUMNS($A151:AQ151), Source!$G151, "")</f>
        <v/>
      </c>
      <c r="AR151" s="2" t="str">
        <f>IF(Source!$C151&gt;=COLUMNS($A151:AR151), Source!$G151, "")</f>
        <v/>
      </c>
    </row>
    <row r="152">
      <c r="A152" s="2">
        <f>IF(Source!$C152&gt;=COLUMNS($A152:A152), Source!$G152, "")</f>
        <v>8</v>
      </c>
      <c r="B152" s="2">
        <f>IF(Source!$C152&gt;=COLUMNS($A152:B152), Source!$G152, "")</f>
        <v>8</v>
      </c>
      <c r="C152" s="2">
        <f>IF(Source!$C152&gt;=COLUMNS($A152:C152), Source!$G152, "")</f>
        <v>8</v>
      </c>
      <c r="D152" s="2" t="str">
        <f>IF(Source!$C152&gt;=COLUMNS($A152:D152), Source!$G152, "")</f>
        <v/>
      </c>
      <c r="E152" s="2" t="str">
        <f>IF(Source!$C152&gt;=COLUMNS($A152:E152), Source!$G152, "")</f>
        <v/>
      </c>
      <c r="F152" s="2" t="str">
        <f>IF(Source!$C152&gt;=COLUMNS($A152:F152), Source!$G152, "")</f>
        <v/>
      </c>
      <c r="G152" s="2" t="str">
        <f>IF(Source!$C152&gt;=COLUMNS($A152:G152), Source!$G152, "")</f>
        <v/>
      </c>
      <c r="H152" s="2" t="str">
        <f>IF(Source!$C152&gt;=COLUMNS($A152:H152), Source!$G152, "")</f>
        <v/>
      </c>
      <c r="I152" s="2" t="str">
        <f>IF(Source!$C152&gt;=COLUMNS($A152:I152), Source!$G152, "")</f>
        <v/>
      </c>
      <c r="J152" s="2" t="str">
        <f>IF(Source!$C152&gt;=COLUMNS($A152:J152), Source!$G152, "")</f>
        <v/>
      </c>
      <c r="K152" s="2" t="str">
        <f>IF(Source!$C152&gt;=COLUMNS($A152:K152), Source!$G152, "")</f>
        <v/>
      </c>
      <c r="L152" s="2" t="str">
        <f>IF(Source!$C152&gt;=COLUMNS($A152:L152), Source!$G152, "")</f>
        <v/>
      </c>
      <c r="M152" s="2" t="str">
        <f>IF(Source!$C152&gt;=COLUMNS($A152:M152), Source!$G152, "")</f>
        <v/>
      </c>
      <c r="N152" s="2" t="str">
        <f>IF(Source!$C152&gt;=COLUMNS($A152:N152), Source!$G152, "")</f>
        <v/>
      </c>
      <c r="O152" s="2" t="str">
        <f>IF(Source!$C152&gt;=COLUMNS($A152:O152), Source!$G152, "")</f>
        <v/>
      </c>
      <c r="P152" s="2" t="str">
        <f>IF(Source!$C152&gt;=COLUMNS($A152:P152), Source!$G152, "")</f>
        <v/>
      </c>
      <c r="Q152" s="2" t="str">
        <f>IF(Source!$C152&gt;=COLUMNS($A152:Q152), Source!$G152, "")</f>
        <v/>
      </c>
      <c r="R152" s="2" t="str">
        <f>IF(Source!$C152&gt;=COLUMNS($A152:R152), Source!$G152, "")</f>
        <v/>
      </c>
      <c r="S152" s="2" t="str">
        <f>IF(Source!$C152&gt;=COLUMNS($A152:S152), Source!$G152, "")</f>
        <v/>
      </c>
      <c r="T152" s="2" t="str">
        <f>IF(Source!$C152&gt;=COLUMNS($A152:T152), Source!$G152, "")</f>
        <v/>
      </c>
      <c r="U152" s="2" t="str">
        <f>IF(Source!$C152&gt;=COLUMNS($A152:U152), Source!$G152, "")</f>
        <v/>
      </c>
      <c r="V152" s="2" t="str">
        <f>IF(Source!$C152&gt;=COLUMNS($A152:V152), Source!$G152, "")</f>
        <v/>
      </c>
      <c r="W152" s="2" t="str">
        <f>IF(Source!$C152&gt;=COLUMNS($A152:W152), Source!$G152, "")</f>
        <v/>
      </c>
      <c r="X152" s="2" t="str">
        <f>IF(Source!$C152&gt;=COLUMNS($A152:X152), Source!$G152, "")</f>
        <v/>
      </c>
      <c r="Y152" s="2" t="str">
        <f>IF(Source!$C152&gt;=COLUMNS($A152:Y152), Source!$G152, "")</f>
        <v/>
      </c>
      <c r="Z152" s="2" t="str">
        <f>IF(Source!$C152&gt;=COLUMNS($A152:Z152), Source!$G152, "")</f>
        <v/>
      </c>
      <c r="AA152" s="2" t="str">
        <f>IF(Source!$C152&gt;=COLUMNS($A152:AA152), Source!$G152, "")</f>
        <v/>
      </c>
      <c r="AB152" s="2" t="str">
        <f>IF(Source!$C152&gt;=COLUMNS($A152:AB152), Source!$G152, "")</f>
        <v/>
      </c>
      <c r="AC152" s="2" t="str">
        <f>IF(Source!$C152&gt;=COLUMNS($A152:AC152), Source!$G152, "")</f>
        <v/>
      </c>
      <c r="AD152" s="2" t="str">
        <f>IF(Source!$C152&gt;=COLUMNS($A152:AD152), Source!$G152, "")</f>
        <v/>
      </c>
      <c r="AE152" s="2" t="str">
        <f>IF(Source!$C152&gt;=COLUMNS($A152:AE152), Source!$G152, "")</f>
        <v/>
      </c>
      <c r="AF152" s="2" t="str">
        <f>IF(Source!$C152&gt;=COLUMNS($A152:AF152), Source!$G152, "")</f>
        <v/>
      </c>
      <c r="AG152" s="2" t="str">
        <f>IF(Source!$C152&gt;=COLUMNS($A152:AG152), Source!$G152, "")</f>
        <v/>
      </c>
      <c r="AH152" s="2" t="str">
        <f>IF(Source!$C152&gt;=COLUMNS($A152:AH152), Source!$G152, "")</f>
        <v/>
      </c>
      <c r="AI152" s="2" t="str">
        <f>IF(Source!$C152&gt;=COLUMNS($A152:AI152), Source!$G152, "")</f>
        <v/>
      </c>
      <c r="AJ152" s="2" t="str">
        <f>IF(Source!$C152&gt;=COLUMNS($A152:AJ152), Source!$G152, "")</f>
        <v/>
      </c>
      <c r="AK152" s="2" t="str">
        <f>IF(Source!$C152&gt;=COLUMNS($A152:AK152), Source!$G152, "")</f>
        <v/>
      </c>
      <c r="AL152" s="2" t="str">
        <f>IF(Source!$C152&gt;=COLUMNS($A152:AL152), Source!$G152, "")</f>
        <v/>
      </c>
      <c r="AM152" s="2" t="str">
        <f>IF(Source!$C152&gt;=COLUMNS($A152:AM152), Source!$G152, "")</f>
        <v/>
      </c>
      <c r="AN152" s="2" t="str">
        <f>IF(Source!$C152&gt;=COLUMNS($A152:AN152), Source!$G152, "")</f>
        <v/>
      </c>
      <c r="AO152" s="2" t="str">
        <f>IF(Source!$C152&gt;=COLUMNS($A152:AO152), Source!$G152, "")</f>
        <v/>
      </c>
      <c r="AP152" s="2" t="str">
        <f>IF(Source!$C152&gt;=COLUMNS($A152:AP152), Source!$G152, "")</f>
        <v/>
      </c>
      <c r="AQ152" s="2" t="str">
        <f>IF(Source!$C152&gt;=COLUMNS($A152:AQ152), Source!$G152, "")</f>
        <v/>
      </c>
      <c r="AR152" s="2" t="str">
        <f>IF(Source!$C152&gt;=COLUMNS($A152:AR152), Source!$G152, "")</f>
        <v/>
      </c>
    </row>
    <row r="153">
      <c r="A153" s="2">
        <f>IF(Source!$C153&gt;=COLUMNS($A153:A153), Source!$G153, "")</f>
        <v>2</v>
      </c>
      <c r="B153" s="2">
        <f>IF(Source!$C153&gt;=COLUMNS($A153:B153), Source!$G153, "")</f>
        <v>2</v>
      </c>
      <c r="C153" s="2">
        <f>IF(Source!$C153&gt;=COLUMNS($A153:C153), Source!$G153, "")</f>
        <v>2</v>
      </c>
      <c r="D153" s="2">
        <f>IF(Source!$C153&gt;=COLUMNS($A153:D153), Source!$G153, "")</f>
        <v>2</v>
      </c>
      <c r="E153" s="2">
        <f>IF(Source!$C153&gt;=COLUMNS($A153:E153), Source!$G153, "")</f>
        <v>2</v>
      </c>
      <c r="F153" s="2">
        <f>IF(Source!$C153&gt;=COLUMNS($A153:F153), Source!$G153, "")</f>
        <v>2</v>
      </c>
      <c r="G153" s="2" t="str">
        <f>IF(Source!$C153&gt;=COLUMNS($A153:G153), Source!$G153, "")</f>
        <v/>
      </c>
      <c r="H153" s="2" t="str">
        <f>IF(Source!$C153&gt;=COLUMNS($A153:H153), Source!$G153, "")</f>
        <v/>
      </c>
      <c r="I153" s="2" t="str">
        <f>IF(Source!$C153&gt;=COLUMNS($A153:I153), Source!$G153, "")</f>
        <v/>
      </c>
      <c r="J153" s="2" t="str">
        <f>IF(Source!$C153&gt;=COLUMNS($A153:J153), Source!$G153, "")</f>
        <v/>
      </c>
      <c r="K153" s="2" t="str">
        <f>IF(Source!$C153&gt;=COLUMNS($A153:K153), Source!$G153, "")</f>
        <v/>
      </c>
      <c r="L153" s="2" t="str">
        <f>IF(Source!$C153&gt;=COLUMNS($A153:L153), Source!$G153, "")</f>
        <v/>
      </c>
      <c r="M153" s="2" t="str">
        <f>IF(Source!$C153&gt;=COLUMNS($A153:M153), Source!$G153, "")</f>
        <v/>
      </c>
      <c r="N153" s="2" t="str">
        <f>IF(Source!$C153&gt;=COLUMNS($A153:N153), Source!$G153, "")</f>
        <v/>
      </c>
      <c r="O153" s="2" t="str">
        <f>IF(Source!$C153&gt;=COLUMNS($A153:O153), Source!$G153, "")</f>
        <v/>
      </c>
      <c r="P153" s="2" t="str">
        <f>IF(Source!$C153&gt;=COLUMNS($A153:P153), Source!$G153, "")</f>
        <v/>
      </c>
      <c r="Q153" s="2" t="str">
        <f>IF(Source!$C153&gt;=COLUMNS($A153:Q153), Source!$G153, "")</f>
        <v/>
      </c>
      <c r="R153" s="2" t="str">
        <f>IF(Source!$C153&gt;=COLUMNS($A153:R153), Source!$G153, "")</f>
        <v/>
      </c>
      <c r="S153" s="2" t="str">
        <f>IF(Source!$C153&gt;=COLUMNS($A153:S153), Source!$G153, "")</f>
        <v/>
      </c>
      <c r="T153" s="2" t="str">
        <f>IF(Source!$C153&gt;=COLUMNS($A153:T153), Source!$G153, "")</f>
        <v/>
      </c>
      <c r="U153" s="2" t="str">
        <f>IF(Source!$C153&gt;=COLUMNS($A153:U153), Source!$G153, "")</f>
        <v/>
      </c>
      <c r="V153" s="2" t="str">
        <f>IF(Source!$C153&gt;=COLUMNS($A153:V153), Source!$G153, "")</f>
        <v/>
      </c>
      <c r="W153" s="2" t="str">
        <f>IF(Source!$C153&gt;=COLUMNS($A153:W153), Source!$G153, "")</f>
        <v/>
      </c>
      <c r="X153" s="2" t="str">
        <f>IF(Source!$C153&gt;=COLUMNS($A153:X153), Source!$G153, "")</f>
        <v/>
      </c>
      <c r="Y153" s="2" t="str">
        <f>IF(Source!$C153&gt;=COLUMNS($A153:Y153), Source!$G153, "")</f>
        <v/>
      </c>
      <c r="Z153" s="2" t="str">
        <f>IF(Source!$C153&gt;=COLUMNS($A153:Z153), Source!$G153, "")</f>
        <v/>
      </c>
      <c r="AA153" s="2" t="str">
        <f>IF(Source!$C153&gt;=COLUMNS($A153:AA153), Source!$G153, "")</f>
        <v/>
      </c>
      <c r="AB153" s="2" t="str">
        <f>IF(Source!$C153&gt;=COLUMNS($A153:AB153), Source!$G153, "")</f>
        <v/>
      </c>
      <c r="AC153" s="2" t="str">
        <f>IF(Source!$C153&gt;=COLUMNS($A153:AC153), Source!$G153, "")</f>
        <v/>
      </c>
      <c r="AD153" s="2" t="str">
        <f>IF(Source!$C153&gt;=COLUMNS($A153:AD153), Source!$G153, "")</f>
        <v/>
      </c>
      <c r="AE153" s="2" t="str">
        <f>IF(Source!$C153&gt;=COLUMNS($A153:AE153), Source!$G153, "")</f>
        <v/>
      </c>
      <c r="AF153" s="2" t="str">
        <f>IF(Source!$C153&gt;=COLUMNS($A153:AF153), Source!$G153, "")</f>
        <v/>
      </c>
      <c r="AG153" s="2" t="str">
        <f>IF(Source!$C153&gt;=COLUMNS($A153:AG153), Source!$G153, "")</f>
        <v/>
      </c>
      <c r="AH153" s="2" t="str">
        <f>IF(Source!$C153&gt;=COLUMNS($A153:AH153), Source!$G153, "")</f>
        <v/>
      </c>
      <c r="AI153" s="2" t="str">
        <f>IF(Source!$C153&gt;=COLUMNS($A153:AI153), Source!$G153, "")</f>
        <v/>
      </c>
      <c r="AJ153" s="2" t="str">
        <f>IF(Source!$C153&gt;=COLUMNS($A153:AJ153), Source!$G153, "")</f>
        <v/>
      </c>
      <c r="AK153" s="2" t="str">
        <f>IF(Source!$C153&gt;=COLUMNS($A153:AK153), Source!$G153, "")</f>
        <v/>
      </c>
      <c r="AL153" s="2" t="str">
        <f>IF(Source!$C153&gt;=COLUMNS($A153:AL153), Source!$G153, "")</f>
        <v/>
      </c>
      <c r="AM153" s="2" t="str">
        <f>IF(Source!$C153&gt;=COLUMNS($A153:AM153), Source!$G153, "")</f>
        <v/>
      </c>
      <c r="AN153" s="2" t="str">
        <f>IF(Source!$C153&gt;=COLUMNS($A153:AN153), Source!$G153, "")</f>
        <v/>
      </c>
      <c r="AO153" s="2" t="str">
        <f>IF(Source!$C153&gt;=COLUMNS($A153:AO153), Source!$G153, "")</f>
        <v/>
      </c>
      <c r="AP153" s="2" t="str">
        <f>IF(Source!$C153&gt;=COLUMNS($A153:AP153), Source!$G153, "")</f>
        <v/>
      </c>
      <c r="AQ153" s="2" t="str">
        <f>IF(Source!$C153&gt;=COLUMNS($A153:AQ153), Source!$G153, "")</f>
        <v/>
      </c>
      <c r="AR153" s="2" t="str">
        <f>IF(Source!$C153&gt;=COLUMNS($A153:AR153), Source!$G153, "")</f>
        <v/>
      </c>
    </row>
    <row r="154">
      <c r="A154" s="2">
        <f>IF(Source!$C154&gt;=COLUMNS($A154:A154), Source!$G154, "")</f>
        <v>9</v>
      </c>
      <c r="B154" s="2" t="str">
        <f>IF(Source!$C154&gt;=COLUMNS($A154:B154), Source!$G154, "")</f>
        <v/>
      </c>
      <c r="C154" s="2" t="str">
        <f>IF(Source!$C154&gt;=COLUMNS($A154:C154), Source!$G154, "")</f>
        <v/>
      </c>
      <c r="D154" s="2" t="str">
        <f>IF(Source!$C154&gt;=COLUMNS($A154:D154), Source!$G154, "")</f>
        <v/>
      </c>
      <c r="E154" s="2" t="str">
        <f>IF(Source!$C154&gt;=COLUMNS($A154:E154), Source!$G154, "")</f>
        <v/>
      </c>
      <c r="F154" s="2" t="str">
        <f>IF(Source!$C154&gt;=COLUMNS($A154:F154), Source!$G154, "")</f>
        <v/>
      </c>
      <c r="G154" s="2" t="str">
        <f>IF(Source!$C154&gt;=COLUMNS($A154:G154), Source!$G154, "")</f>
        <v/>
      </c>
      <c r="H154" s="2" t="str">
        <f>IF(Source!$C154&gt;=COLUMNS($A154:H154), Source!$G154, "")</f>
        <v/>
      </c>
      <c r="I154" s="2" t="str">
        <f>IF(Source!$C154&gt;=COLUMNS($A154:I154), Source!$G154, "")</f>
        <v/>
      </c>
      <c r="J154" s="2" t="str">
        <f>IF(Source!$C154&gt;=COLUMNS($A154:J154), Source!$G154, "")</f>
        <v/>
      </c>
      <c r="K154" s="2" t="str">
        <f>IF(Source!$C154&gt;=COLUMNS($A154:K154), Source!$G154, "")</f>
        <v/>
      </c>
      <c r="L154" s="2" t="str">
        <f>IF(Source!$C154&gt;=COLUMNS($A154:L154), Source!$G154, "")</f>
        <v/>
      </c>
      <c r="M154" s="2" t="str">
        <f>IF(Source!$C154&gt;=COLUMNS($A154:M154), Source!$G154, "")</f>
        <v/>
      </c>
      <c r="N154" s="2" t="str">
        <f>IF(Source!$C154&gt;=COLUMNS($A154:N154), Source!$G154, "")</f>
        <v/>
      </c>
      <c r="O154" s="2" t="str">
        <f>IF(Source!$C154&gt;=COLUMNS($A154:O154), Source!$G154, "")</f>
        <v/>
      </c>
      <c r="P154" s="2" t="str">
        <f>IF(Source!$C154&gt;=COLUMNS($A154:P154), Source!$G154, "")</f>
        <v/>
      </c>
      <c r="Q154" s="2" t="str">
        <f>IF(Source!$C154&gt;=COLUMNS($A154:Q154), Source!$G154, "")</f>
        <v/>
      </c>
      <c r="R154" s="2" t="str">
        <f>IF(Source!$C154&gt;=COLUMNS($A154:R154), Source!$G154, "")</f>
        <v/>
      </c>
      <c r="S154" s="2" t="str">
        <f>IF(Source!$C154&gt;=COLUMNS($A154:S154), Source!$G154, "")</f>
        <v/>
      </c>
      <c r="T154" s="2" t="str">
        <f>IF(Source!$C154&gt;=COLUMNS($A154:T154), Source!$G154, "")</f>
        <v/>
      </c>
      <c r="U154" s="2" t="str">
        <f>IF(Source!$C154&gt;=COLUMNS($A154:U154), Source!$G154, "")</f>
        <v/>
      </c>
      <c r="V154" s="2" t="str">
        <f>IF(Source!$C154&gt;=COLUMNS($A154:V154), Source!$G154, "")</f>
        <v/>
      </c>
      <c r="W154" s="2" t="str">
        <f>IF(Source!$C154&gt;=COLUMNS($A154:W154), Source!$G154, "")</f>
        <v/>
      </c>
      <c r="X154" s="2" t="str">
        <f>IF(Source!$C154&gt;=COLUMNS($A154:X154), Source!$G154, "")</f>
        <v/>
      </c>
      <c r="Y154" s="2" t="str">
        <f>IF(Source!$C154&gt;=COLUMNS($A154:Y154), Source!$G154, "")</f>
        <v/>
      </c>
      <c r="Z154" s="2" t="str">
        <f>IF(Source!$C154&gt;=COLUMNS($A154:Z154), Source!$G154, "")</f>
        <v/>
      </c>
      <c r="AA154" s="2" t="str">
        <f>IF(Source!$C154&gt;=COLUMNS($A154:AA154), Source!$G154, "")</f>
        <v/>
      </c>
      <c r="AB154" s="2" t="str">
        <f>IF(Source!$C154&gt;=COLUMNS($A154:AB154), Source!$G154, "")</f>
        <v/>
      </c>
      <c r="AC154" s="2" t="str">
        <f>IF(Source!$C154&gt;=COLUMNS($A154:AC154), Source!$G154, "")</f>
        <v/>
      </c>
      <c r="AD154" s="2" t="str">
        <f>IF(Source!$C154&gt;=COLUMNS($A154:AD154), Source!$G154, "")</f>
        <v/>
      </c>
      <c r="AE154" s="2" t="str">
        <f>IF(Source!$C154&gt;=COLUMNS($A154:AE154), Source!$G154, "")</f>
        <v/>
      </c>
      <c r="AF154" s="2" t="str">
        <f>IF(Source!$C154&gt;=COLUMNS($A154:AF154), Source!$G154, "")</f>
        <v/>
      </c>
      <c r="AG154" s="2" t="str">
        <f>IF(Source!$C154&gt;=COLUMNS($A154:AG154), Source!$G154, "")</f>
        <v/>
      </c>
      <c r="AH154" s="2" t="str">
        <f>IF(Source!$C154&gt;=COLUMNS($A154:AH154), Source!$G154, "")</f>
        <v/>
      </c>
      <c r="AI154" s="2" t="str">
        <f>IF(Source!$C154&gt;=COLUMNS($A154:AI154), Source!$G154, "")</f>
        <v/>
      </c>
      <c r="AJ154" s="2" t="str">
        <f>IF(Source!$C154&gt;=COLUMNS($A154:AJ154), Source!$G154, "")</f>
        <v/>
      </c>
      <c r="AK154" s="2" t="str">
        <f>IF(Source!$C154&gt;=COLUMNS($A154:AK154), Source!$G154, "")</f>
        <v/>
      </c>
      <c r="AL154" s="2" t="str">
        <f>IF(Source!$C154&gt;=COLUMNS($A154:AL154), Source!$G154, "")</f>
        <v/>
      </c>
      <c r="AM154" s="2" t="str">
        <f>IF(Source!$C154&gt;=COLUMNS($A154:AM154), Source!$G154, "")</f>
        <v/>
      </c>
      <c r="AN154" s="2" t="str">
        <f>IF(Source!$C154&gt;=COLUMNS($A154:AN154), Source!$G154, "")</f>
        <v/>
      </c>
      <c r="AO154" s="2" t="str">
        <f>IF(Source!$C154&gt;=COLUMNS($A154:AO154), Source!$G154, "")</f>
        <v/>
      </c>
      <c r="AP154" s="2" t="str">
        <f>IF(Source!$C154&gt;=COLUMNS($A154:AP154), Source!$G154, "")</f>
        <v/>
      </c>
      <c r="AQ154" s="2" t="str">
        <f>IF(Source!$C154&gt;=COLUMNS($A154:AQ154), Source!$G154, "")</f>
        <v/>
      </c>
      <c r="AR154" s="2" t="str">
        <f>IF(Source!$C154&gt;=COLUMNS($A154:AR154), Source!$G154, "")</f>
        <v/>
      </c>
    </row>
    <row r="155">
      <c r="A155" s="2">
        <f>IF(Source!$C155&gt;=COLUMNS($A155:A155), Source!$G155, "")</f>
        <v>3</v>
      </c>
      <c r="B155" s="2" t="str">
        <f>IF(Source!$C155&gt;=COLUMNS($A155:B155), Source!$G155, "")</f>
        <v/>
      </c>
      <c r="C155" s="2" t="str">
        <f>IF(Source!$C155&gt;=COLUMNS($A155:C155), Source!$G155, "")</f>
        <v/>
      </c>
      <c r="D155" s="2" t="str">
        <f>IF(Source!$C155&gt;=COLUMNS($A155:D155), Source!$G155, "")</f>
        <v/>
      </c>
      <c r="E155" s="2" t="str">
        <f>IF(Source!$C155&gt;=COLUMNS($A155:E155), Source!$G155, "")</f>
        <v/>
      </c>
      <c r="F155" s="2" t="str">
        <f>IF(Source!$C155&gt;=COLUMNS($A155:F155), Source!$G155, "")</f>
        <v/>
      </c>
      <c r="G155" s="2" t="str">
        <f>IF(Source!$C155&gt;=COLUMNS($A155:G155), Source!$G155, "")</f>
        <v/>
      </c>
      <c r="H155" s="2" t="str">
        <f>IF(Source!$C155&gt;=COLUMNS($A155:H155), Source!$G155, "")</f>
        <v/>
      </c>
      <c r="I155" s="2" t="str">
        <f>IF(Source!$C155&gt;=COLUMNS($A155:I155), Source!$G155, "")</f>
        <v/>
      </c>
      <c r="J155" s="2" t="str">
        <f>IF(Source!$C155&gt;=COLUMNS($A155:J155), Source!$G155, "")</f>
        <v/>
      </c>
      <c r="K155" s="2" t="str">
        <f>IF(Source!$C155&gt;=COLUMNS($A155:K155), Source!$G155, "")</f>
        <v/>
      </c>
      <c r="L155" s="2" t="str">
        <f>IF(Source!$C155&gt;=COLUMNS($A155:L155), Source!$G155, "")</f>
        <v/>
      </c>
      <c r="M155" s="2" t="str">
        <f>IF(Source!$C155&gt;=COLUMNS($A155:M155), Source!$G155, "")</f>
        <v/>
      </c>
      <c r="N155" s="2" t="str">
        <f>IF(Source!$C155&gt;=COLUMNS($A155:N155), Source!$G155, "")</f>
        <v/>
      </c>
      <c r="O155" s="2" t="str">
        <f>IF(Source!$C155&gt;=COLUMNS($A155:O155), Source!$G155, "")</f>
        <v/>
      </c>
      <c r="P155" s="2" t="str">
        <f>IF(Source!$C155&gt;=COLUMNS($A155:P155), Source!$G155, "")</f>
        <v/>
      </c>
      <c r="Q155" s="2" t="str">
        <f>IF(Source!$C155&gt;=COLUMNS($A155:Q155), Source!$G155, "")</f>
        <v/>
      </c>
      <c r="R155" s="2" t="str">
        <f>IF(Source!$C155&gt;=COLUMNS($A155:R155), Source!$G155, "")</f>
        <v/>
      </c>
      <c r="S155" s="2" t="str">
        <f>IF(Source!$C155&gt;=COLUMNS($A155:S155), Source!$G155, "")</f>
        <v/>
      </c>
      <c r="T155" s="2" t="str">
        <f>IF(Source!$C155&gt;=COLUMNS($A155:T155), Source!$G155, "")</f>
        <v/>
      </c>
      <c r="U155" s="2" t="str">
        <f>IF(Source!$C155&gt;=COLUMNS($A155:U155), Source!$G155, "")</f>
        <v/>
      </c>
      <c r="V155" s="2" t="str">
        <f>IF(Source!$C155&gt;=COLUMNS($A155:V155), Source!$G155, "")</f>
        <v/>
      </c>
      <c r="W155" s="2" t="str">
        <f>IF(Source!$C155&gt;=COLUMNS($A155:W155), Source!$G155, "")</f>
        <v/>
      </c>
      <c r="X155" s="2" t="str">
        <f>IF(Source!$C155&gt;=COLUMNS($A155:X155), Source!$G155, "")</f>
        <v/>
      </c>
      <c r="Y155" s="2" t="str">
        <f>IF(Source!$C155&gt;=COLUMNS($A155:Y155), Source!$G155, "")</f>
        <v/>
      </c>
      <c r="Z155" s="2" t="str">
        <f>IF(Source!$C155&gt;=COLUMNS($A155:Z155), Source!$G155, "")</f>
        <v/>
      </c>
      <c r="AA155" s="2" t="str">
        <f>IF(Source!$C155&gt;=COLUMNS($A155:AA155), Source!$G155, "")</f>
        <v/>
      </c>
      <c r="AB155" s="2" t="str">
        <f>IF(Source!$C155&gt;=COLUMNS($A155:AB155), Source!$G155, "")</f>
        <v/>
      </c>
      <c r="AC155" s="2" t="str">
        <f>IF(Source!$C155&gt;=COLUMNS($A155:AC155), Source!$G155, "")</f>
        <v/>
      </c>
      <c r="AD155" s="2" t="str">
        <f>IF(Source!$C155&gt;=COLUMNS($A155:AD155), Source!$G155, "")</f>
        <v/>
      </c>
      <c r="AE155" s="2" t="str">
        <f>IF(Source!$C155&gt;=COLUMNS($A155:AE155), Source!$G155, "")</f>
        <v/>
      </c>
      <c r="AF155" s="2" t="str">
        <f>IF(Source!$C155&gt;=COLUMNS($A155:AF155), Source!$G155, "")</f>
        <v/>
      </c>
      <c r="AG155" s="2" t="str">
        <f>IF(Source!$C155&gt;=COLUMNS($A155:AG155), Source!$G155, "")</f>
        <v/>
      </c>
      <c r="AH155" s="2" t="str">
        <f>IF(Source!$C155&gt;=COLUMNS($A155:AH155), Source!$G155, "")</f>
        <v/>
      </c>
      <c r="AI155" s="2" t="str">
        <f>IF(Source!$C155&gt;=COLUMNS($A155:AI155), Source!$G155, "")</f>
        <v/>
      </c>
      <c r="AJ155" s="2" t="str">
        <f>IF(Source!$C155&gt;=COLUMNS($A155:AJ155), Source!$G155, "")</f>
        <v/>
      </c>
      <c r="AK155" s="2" t="str">
        <f>IF(Source!$C155&gt;=COLUMNS($A155:AK155), Source!$G155, "")</f>
        <v/>
      </c>
      <c r="AL155" s="2" t="str">
        <f>IF(Source!$C155&gt;=COLUMNS($A155:AL155), Source!$G155, "")</f>
        <v/>
      </c>
      <c r="AM155" s="2" t="str">
        <f>IF(Source!$C155&gt;=COLUMNS($A155:AM155), Source!$G155, "")</f>
        <v/>
      </c>
      <c r="AN155" s="2" t="str">
        <f>IF(Source!$C155&gt;=COLUMNS($A155:AN155), Source!$G155, "")</f>
        <v/>
      </c>
      <c r="AO155" s="2" t="str">
        <f>IF(Source!$C155&gt;=COLUMNS($A155:AO155), Source!$G155, "")</f>
        <v/>
      </c>
      <c r="AP155" s="2" t="str">
        <f>IF(Source!$C155&gt;=COLUMNS($A155:AP155), Source!$G155, "")</f>
        <v/>
      </c>
      <c r="AQ155" s="2" t="str">
        <f>IF(Source!$C155&gt;=COLUMNS($A155:AQ155), Source!$G155, "")</f>
        <v/>
      </c>
      <c r="AR155" s="2" t="str">
        <f>IF(Source!$C155&gt;=COLUMNS($A155:AR155), Source!$G155, "")</f>
        <v/>
      </c>
    </row>
    <row r="156">
      <c r="A156" s="2">
        <f>IF(Source!$C156&gt;=COLUMNS($A156:A156), Source!$G156, "")</f>
        <v>8</v>
      </c>
      <c r="B156" s="2">
        <f>IF(Source!$C156&gt;=COLUMNS($A156:B156), Source!$G156, "")</f>
        <v>8</v>
      </c>
      <c r="C156" s="2">
        <f>IF(Source!$C156&gt;=COLUMNS($A156:C156), Source!$G156, "")</f>
        <v>8</v>
      </c>
      <c r="D156" s="2">
        <f>IF(Source!$C156&gt;=COLUMNS($A156:D156), Source!$G156, "")</f>
        <v>8</v>
      </c>
      <c r="E156" s="2">
        <f>IF(Source!$C156&gt;=COLUMNS($A156:E156), Source!$G156, "")</f>
        <v>8</v>
      </c>
      <c r="F156" s="2">
        <f>IF(Source!$C156&gt;=COLUMNS($A156:F156), Source!$G156, "")</f>
        <v>8</v>
      </c>
      <c r="G156" s="2" t="str">
        <f>IF(Source!$C156&gt;=COLUMNS($A156:G156), Source!$G156, "")</f>
        <v/>
      </c>
      <c r="H156" s="2" t="str">
        <f>IF(Source!$C156&gt;=COLUMNS($A156:H156), Source!$G156, "")</f>
        <v/>
      </c>
      <c r="I156" s="2" t="str">
        <f>IF(Source!$C156&gt;=COLUMNS($A156:I156), Source!$G156, "")</f>
        <v/>
      </c>
      <c r="J156" s="2" t="str">
        <f>IF(Source!$C156&gt;=COLUMNS($A156:J156), Source!$G156, "")</f>
        <v/>
      </c>
      <c r="K156" s="2" t="str">
        <f>IF(Source!$C156&gt;=COLUMNS($A156:K156), Source!$G156, "")</f>
        <v/>
      </c>
      <c r="L156" s="2" t="str">
        <f>IF(Source!$C156&gt;=COLUMNS($A156:L156), Source!$G156, "")</f>
        <v/>
      </c>
      <c r="M156" s="2" t="str">
        <f>IF(Source!$C156&gt;=COLUMNS($A156:M156), Source!$G156, "")</f>
        <v/>
      </c>
      <c r="N156" s="2" t="str">
        <f>IF(Source!$C156&gt;=COLUMNS($A156:N156), Source!$G156, "")</f>
        <v/>
      </c>
      <c r="O156" s="2" t="str">
        <f>IF(Source!$C156&gt;=COLUMNS($A156:O156), Source!$G156, "")</f>
        <v/>
      </c>
      <c r="P156" s="2" t="str">
        <f>IF(Source!$C156&gt;=COLUMNS($A156:P156), Source!$G156, "")</f>
        <v/>
      </c>
      <c r="Q156" s="2" t="str">
        <f>IF(Source!$C156&gt;=COLUMNS($A156:Q156), Source!$G156, "")</f>
        <v/>
      </c>
      <c r="R156" s="2" t="str">
        <f>IF(Source!$C156&gt;=COLUMNS($A156:R156), Source!$G156, "")</f>
        <v/>
      </c>
      <c r="S156" s="2" t="str">
        <f>IF(Source!$C156&gt;=COLUMNS($A156:S156), Source!$G156, "")</f>
        <v/>
      </c>
      <c r="T156" s="2" t="str">
        <f>IF(Source!$C156&gt;=COLUMNS($A156:T156), Source!$G156, "")</f>
        <v/>
      </c>
      <c r="U156" s="2" t="str">
        <f>IF(Source!$C156&gt;=COLUMNS($A156:U156), Source!$G156, "")</f>
        <v/>
      </c>
      <c r="V156" s="2" t="str">
        <f>IF(Source!$C156&gt;=COLUMNS($A156:V156), Source!$G156, "")</f>
        <v/>
      </c>
      <c r="W156" s="2" t="str">
        <f>IF(Source!$C156&gt;=COLUMNS($A156:W156), Source!$G156, "")</f>
        <v/>
      </c>
      <c r="X156" s="2" t="str">
        <f>IF(Source!$C156&gt;=COLUMNS($A156:X156), Source!$G156, "")</f>
        <v/>
      </c>
      <c r="Y156" s="2" t="str">
        <f>IF(Source!$C156&gt;=COLUMNS($A156:Y156), Source!$G156, "")</f>
        <v/>
      </c>
      <c r="Z156" s="2" t="str">
        <f>IF(Source!$C156&gt;=COLUMNS($A156:Z156), Source!$G156, "")</f>
        <v/>
      </c>
      <c r="AA156" s="2" t="str">
        <f>IF(Source!$C156&gt;=COLUMNS($A156:AA156), Source!$G156, "")</f>
        <v/>
      </c>
      <c r="AB156" s="2" t="str">
        <f>IF(Source!$C156&gt;=COLUMNS($A156:AB156), Source!$G156, "")</f>
        <v/>
      </c>
      <c r="AC156" s="2" t="str">
        <f>IF(Source!$C156&gt;=COLUMNS($A156:AC156), Source!$G156, "")</f>
        <v/>
      </c>
      <c r="AD156" s="2" t="str">
        <f>IF(Source!$C156&gt;=COLUMNS($A156:AD156), Source!$G156, "")</f>
        <v/>
      </c>
      <c r="AE156" s="2" t="str">
        <f>IF(Source!$C156&gt;=COLUMNS($A156:AE156), Source!$G156, "")</f>
        <v/>
      </c>
      <c r="AF156" s="2" t="str">
        <f>IF(Source!$C156&gt;=COLUMNS($A156:AF156), Source!$G156, "")</f>
        <v/>
      </c>
      <c r="AG156" s="2" t="str">
        <f>IF(Source!$C156&gt;=COLUMNS($A156:AG156), Source!$G156, "")</f>
        <v/>
      </c>
      <c r="AH156" s="2" t="str">
        <f>IF(Source!$C156&gt;=COLUMNS($A156:AH156), Source!$G156, "")</f>
        <v/>
      </c>
      <c r="AI156" s="2" t="str">
        <f>IF(Source!$C156&gt;=COLUMNS($A156:AI156), Source!$G156, "")</f>
        <v/>
      </c>
      <c r="AJ156" s="2" t="str">
        <f>IF(Source!$C156&gt;=COLUMNS($A156:AJ156), Source!$G156, "")</f>
        <v/>
      </c>
      <c r="AK156" s="2" t="str">
        <f>IF(Source!$C156&gt;=COLUMNS($A156:AK156), Source!$G156, "")</f>
        <v/>
      </c>
      <c r="AL156" s="2" t="str">
        <f>IF(Source!$C156&gt;=COLUMNS($A156:AL156), Source!$G156, "")</f>
        <v/>
      </c>
      <c r="AM156" s="2" t="str">
        <f>IF(Source!$C156&gt;=COLUMNS($A156:AM156), Source!$G156, "")</f>
        <v/>
      </c>
      <c r="AN156" s="2" t="str">
        <f>IF(Source!$C156&gt;=COLUMNS($A156:AN156), Source!$G156, "")</f>
        <v/>
      </c>
      <c r="AO156" s="2" t="str">
        <f>IF(Source!$C156&gt;=COLUMNS($A156:AO156), Source!$G156, "")</f>
        <v/>
      </c>
      <c r="AP156" s="2" t="str">
        <f>IF(Source!$C156&gt;=COLUMNS($A156:AP156), Source!$G156, "")</f>
        <v/>
      </c>
      <c r="AQ156" s="2" t="str">
        <f>IF(Source!$C156&gt;=COLUMNS($A156:AQ156), Source!$G156, "")</f>
        <v/>
      </c>
      <c r="AR156" s="2" t="str">
        <f>IF(Source!$C156&gt;=COLUMNS($A156:AR156), Source!$G156, "")</f>
        <v/>
      </c>
    </row>
    <row r="157">
      <c r="A157" s="2">
        <f>IF(Source!$C157&gt;=COLUMNS($A157:A157), Source!$G157, "")</f>
        <v>4</v>
      </c>
      <c r="B157" s="2">
        <f>IF(Source!$C157&gt;=COLUMNS($A157:B157), Source!$G157, "")</f>
        <v>4</v>
      </c>
      <c r="C157" s="2">
        <f>IF(Source!$C157&gt;=COLUMNS($A157:C157), Source!$G157, "")</f>
        <v>4</v>
      </c>
      <c r="D157" s="2">
        <f>IF(Source!$C157&gt;=COLUMNS($A157:D157), Source!$G157, "")</f>
        <v>4</v>
      </c>
      <c r="E157" s="2">
        <f>IF(Source!$C157&gt;=COLUMNS($A157:E157), Source!$G157, "")</f>
        <v>4</v>
      </c>
      <c r="F157" s="2">
        <f>IF(Source!$C157&gt;=COLUMNS($A157:F157), Source!$G157, "")</f>
        <v>4</v>
      </c>
      <c r="G157" s="2">
        <f>IF(Source!$C157&gt;=COLUMNS($A157:G157), Source!$G157, "")</f>
        <v>4</v>
      </c>
      <c r="H157" s="2" t="str">
        <f>IF(Source!$C157&gt;=COLUMNS($A157:H157), Source!$G157, "")</f>
        <v/>
      </c>
      <c r="I157" s="2" t="str">
        <f>IF(Source!$C157&gt;=COLUMNS($A157:I157), Source!$G157, "")</f>
        <v/>
      </c>
      <c r="J157" s="2" t="str">
        <f>IF(Source!$C157&gt;=COLUMNS($A157:J157), Source!$G157, "")</f>
        <v/>
      </c>
      <c r="K157" s="2" t="str">
        <f>IF(Source!$C157&gt;=COLUMNS($A157:K157), Source!$G157, "")</f>
        <v/>
      </c>
      <c r="L157" s="2" t="str">
        <f>IF(Source!$C157&gt;=COLUMNS($A157:L157), Source!$G157, "")</f>
        <v/>
      </c>
      <c r="M157" s="2" t="str">
        <f>IF(Source!$C157&gt;=COLUMNS($A157:M157), Source!$G157, "")</f>
        <v/>
      </c>
      <c r="N157" s="2" t="str">
        <f>IF(Source!$C157&gt;=COLUMNS($A157:N157), Source!$G157, "")</f>
        <v/>
      </c>
      <c r="O157" s="2" t="str">
        <f>IF(Source!$C157&gt;=COLUMNS($A157:O157), Source!$G157, "")</f>
        <v/>
      </c>
      <c r="P157" s="2" t="str">
        <f>IF(Source!$C157&gt;=COLUMNS($A157:P157), Source!$G157, "")</f>
        <v/>
      </c>
      <c r="Q157" s="2" t="str">
        <f>IF(Source!$C157&gt;=COLUMNS($A157:Q157), Source!$G157, "")</f>
        <v/>
      </c>
      <c r="R157" s="2" t="str">
        <f>IF(Source!$C157&gt;=COLUMNS($A157:R157), Source!$G157, "")</f>
        <v/>
      </c>
      <c r="S157" s="2" t="str">
        <f>IF(Source!$C157&gt;=COLUMNS($A157:S157), Source!$G157, "")</f>
        <v/>
      </c>
      <c r="T157" s="2" t="str">
        <f>IF(Source!$C157&gt;=COLUMNS($A157:T157), Source!$G157, "")</f>
        <v/>
      </c>
      <c r="U157" s="2" t="str">
        <f>IF(Source!$C157&gt;=COLUMNS($A157:U157), Source!$G157, "")</f>
        <v/>
      </c>
      <c r="V157" s="2" t="str">
        <f>IF(Source!$C157&gt;=COLUMNS($A157:V157), Source!$G157, "")</f>
        <v/>
      </c>
      <c r="W157" s="2" t="str">
        <f>IF(Source!$C157&gt;=COLUMNS($A157:W157), Source!$G157, "")</f>
        <v/>
      </c>
      <c r="X157" s="2" t="str">
        <f>IF(Source!$C157&gt;=COLUMNS($A157:X157), Source!$G157, "")</f>
        <v/>
      </c>
      <c r="Y157" s="2" t="str">
        <f>IF(Source!$C157&gt;=COLUMNS($A157:Y157), Source!$G157, "")</f>
        <v/>
      </c>
      <c r="Z157" s="2" t="str">
        <f>IF(Source!$C157&gt;=COLUMNS($A157:Z157), Source!$G157, "")</f>
        <v/>
      </c>
      <c r="AA157" s="2" t="str">
        <f>IF(Source!$C157&gt;=COLUMNS($A157:AA157), Source!$G157, "")</f>
        <v/>
      </c>
      <c r="AB157" s="2" t="str">
        <f>IF(Source!$C157&gt;=COLUMNS($A157:AB157), Source!$G157, "")</f>
        <v/>
      </c>
      <c r="AC157" s="2" t="str">
        <f>IF(Source!$C157&gt;=COLUMNS($A157:AC157), Source!$G157, "")</f>
        <v/>
      </c>
      <c r="AD157" s="2" t="str">
        <f>IF(Source!$C157&gt;=COLUMNS($A157:AD157), Source!$G157, "")</f>
        <v/>
      </c>
      <c r="AE157" s="2" t="str">
        <f>IF(Source!$C157&gt;=COLUMNS($A157:AE157), Source!$G157, "")</f>
        <v/>
      </c>
      <c r="AF157" s="2" t="str">
        <f>IF(Source!$C157&gt;=COLUMNS($A157:AF157), Source!$G157, "")</f>
        <v/>
      </c>
      <c r="AG157" s="2" t="str">
        <f>IF(Source!$C157&gt;=COLUMNS($A157:AG157), Source!$G157, "")</f>
        <v/>
      </c>
      <c r="AH157" s="2" t="str">
        <f>IF(Source!$C157&gt;=COLUMNS($A157:AH157), Source!$G157, "")</f>
        <v/>
      </c>
      <c r="AI157" s="2" t="str">
        <f>IF(Source!$C157&gt;=COLUMNS($A157:AI157), Source!$G157, "")</f>
        <v/>
      </c>
      <c r="AJ157" s="2" t="str">
        <f>IF(Source!$C157&gt;=COLUMNS($A157:AJ157), Source!$G157, "")</f>
        <v/>
      </c>
      <c r="AK157" s="2" t="str">
        <f>IF(Source!$C157&gt;=COLUMNS($A157:AK157), Source!$G157, "")</f>
        <v/>
      </c>
      <c r="AL157" s="2" t="str">
        <f>IF(Source!$C157&gt;=COLUMNS($A157:AL157), Source!$G157, "")</f>
        <v/>
      </c>
      <c r="AM157" s="2" t="str">
        <f>IF(Source!$C157&gt;=COLUMNS($A157:AM157), Source!$G157, "")</f>
        <v/>
      </c>
      <c r="AN157" s="2" t="str">
        <f>IF(Source!$C157&gt;=COLUMNS($A157:AN157), Source!$G157, "")</f>
        <v/>
      </c>
      <c r="AO157" s="2" t="str">
        <f>IF(Source!$C157&gt;=COLUMNS($A157:AO157), Source!$G157, "")</f>
        <v/>
      </c>
      <c r="AP157" s="2" t="str">
        <f>IF(Source!$C157&gt;=COLUMNS($A157:AP157), Source!$G157, "")</f>
        <v/>
      </c>
      <c r="AQ157" s="2" t="str">
        <f>IF(Source!$C157&gt;=COLUMNS($A157:AQ157), Source!$G157, "")</f>
        <v/>
      </c>
      <c r="AR157" s="2" t="str">
        <f>IF(Source!$C157&gt;=COLUMNS($A157:AR157), Source!$G157, "")</f>
        <v/>
      </c>
    </row>
    <row r="158">
      <c r="A158" s="2">
        <f>IF(Source!$C158&gt;=COLUMNS($A158:A158), Source!$G158, "")</f>
        <v>2</v>
      </c>
      <c r="B158" s="2">
        <f>IF(Source!$C158&gt;=COLUMNS($A158:B158), Source!$G158, "")</f>
        <v>2</v>
      </c>
      <c r="C158" s="2">
        <f>IF(Source!$C158&gt;=COLUMNS($A158:C158), Source!$G158, "")</f>
        <v>2</v>
      </c>
      <c r="D158" s="2">
        <f>IF(Source!$C158&gt;=COLUMNS($A158:D158), Source!$G158, "")</f>
        <v>2</v>
      </c>
      <c r="E158" s="2">
        <f>IF(Source!$C158&gt;=COLUMNS($A158:E158), Source!$G158, "")</f>
        <v>2</v>
      </c>
      <c r="F158" s="2">
        <f>IF(Source!$C158&gt;=COLUMNS($A158:F158), Source!$G158, "")</f>
        <v>2</v>
      </c>
      <c r="G158" s="2">
        <f>IF(Source!$C158&gt;=COLUMNS($A158:G158), Source!$G158, "")</f>
        <v>2</v>
      </c>
      <c r="H158" s="2">
        <f>IF(Source!$C158&gt;=COLUMNS($A158:H158), Source!$G158, "")</f>
        <v>2</v>
      </c>
      <c r="I158" s="2" t="str">
        <f>IF(Source!$C158&gt;=COLUMNS($A158:I158), Source!$G158, "")</f>
        <v/>
      </c>
      <c r="J158" s="2" t="str">
        <f>IF(Source!$C158&gt;=COLUMNS($A158:J158), Source!$G158, "")</f>
        <v/>
      </c>
      <c r="K158" s="2" t="str">
        <f>IF(Source!$C158&gt;=COLUMNS($A158:K158), Source!$G158, "")</f>
        <v/>
      </c>
      <c r="L158" s="2" t="str">
        <f>IF(Source!$C158&gt;=COLUMNS($A158:L158), Source!$G158, "")</f>
        <v/>
      </c>
      <c r="M158" s="2" t="str">
        <f>IF(Source!$C158&gt;=COLUMNS($A158:M158), Source!$G158, "")</f>
        <v/>
      </c>
      <c r="N158" s="2" t="str">
        <f>IF(Source!$C158&gt;=COLUMNS($A158:N158), Source!$G158, "")</f>
        <v/>
      </c>
      <c r="O158" s="2" t="str">
        <f>IF(Source!$C158&gt;=COLUMNS($A158:O158), Source!$G158, "")</f>
        <v/>
      </c>
      <c r="P158" s="2" t="str">
        <f>IF(Source!$C158&gt;=COLUMNS($A158:P158), Source!$G158, "")</f>
        <v/>
      </c>
      <c r="Q158" s="2" t="str">
        <f>IF(Source!$C158&gt;=COLUMNS($A158:Q158), Source!$G158, "")</f>
        <v/>
      </c>
      <c r="R158" s="2" t="str">
        <f>IF(Source!$C158&gt;=COLUMNS($A158:R158), Source!$G158, "")</f>
        <v/>
      </c>
      <c r="S158" s="2" t="str">
        <f>IF(Source!$C158&gt;=COLUMNS($A158:S158), Source!$G158, "")</f>
        <v/>
      </c>
      <c r="T158" s="2" t="str">
        <f>IF(Source!$C158&gt;=COLUMNS($A158:T158), Source!$G158, "")</f>
        <v/>
      </c>
      <c r="U158" s="2" t="str">
        <f>IF(Source!$C158&gt;=COLUMNS($A158:U158), Source!$G158, "")</f>
        <v/>
      </c>
      <c r="V158" s="2" t="str">
        <f>IF(Source!$C158&gt;=COLUMNS($A158:V158), Source!$G158, "")</f>
        <v/>
      </c>
      <c r="W158" s="2" t="str">
        <f>IF(Source!$C158&gt;=COLUMNS($A158:W158), Source!$G158, "")</f>
        <v/>
      </c>
      <c r="X158" s="2" t="str">
        <f>IF(Source!$C158&gt;=COLUMNS($A158:X158), Source!$G158, "")</f>
        <v/>
      </c>
      <c r="Y158" s="2" t="str">
        <f>IF(Source!$C158&gt;=COLUMNS($A158:Y158), Source!$G158, "")</f>
        <v/>
      </c>
      <c r="Z158" s="2" t="str">
        <f>IF(Source!$C158&gt;=COLUMNS($A158:Z158), Source!$G158, "")</f>
        <v/>
      </c>
      <c r="AA158" s="2" t="str">
        <f>IF(Source!$C158&gt;=COLUMNS($A158:AA158), Source!$G158, "")</f>
        <v/>
      </c>
      <c r="AB158" s="2" t="str">
        <f>IF(Source!$C158&gt;=COLUMNS($A158:AB158), Source!$G158, "")</f>
        <v/>
      </c>
      <c r="AC158" s="2" t="str">
        <f>IF(Source!$C158&gt;=COLUMNS($A158:AC158), Source!$G158, "")</f>
        <v/>
      </c>
      <c r="AD158" s="2" t="str">
        <f>IF(Source!$C158&gt;=COLUMNS($A158:AD158), Source!$G158, "")</f>
        <v/>
      </c>
      <c r="AE158" s="2" t="str">
        <f>IF(Source!$C158&gt;=COLUMNS($A158:AE158), Source!$G158, "")</f>
        <v/>
      </c>
      <c r="AF158" s="2" t="str">
        <f>IF(Source!$C158&gt;=COLUMNS($A158:AF158), Source!$G158, "")</f>
        <v/>
      </c>
      <c r="AG158" s="2" t="str">
        <f>IF(Source!$C158&gt;=COLUMNS($A158:AG158), Source!$G158, "")</f>
        <v/>
      </c>
      <c r="AH158" s="2" t="str">
        <f>IF(Source!$C158&gt;=COLUMNS($A158:AH158), Source!$G158, "")</f>
        <v/>
      </c>
      <c r="AI158" s="2" t="str">
        <f>IF(Source!$C158&gt;=COLUMNS($A158:AI158), Source!$G158, "")</f>
        <v/>
      </c>
      <c r="AJ158" s="2" t="str">
        <f>IF(Source!$C158&gt;=COLUMNS($A158:AJ158), Source!$G158, "")</f>
        <v/>
      </c>
      <c r="AK158" s="2" t="str">
        <f>IF(Source!$C158&gt;=COLUMNS($A158:AK158), Source!$G158, "")</f>
        <v/>
      </c>
      <c r="AL158" s="2" t="str">
        <f>IF(Source!$C158&gt;=COLUMNS($A158:AL158), Source!$G158, "")</f>
        <v/>
      </c>
      <c r="AM158" s="2" t="str">
        <f>IF(Source!$C158&gt;=COLUMNS($A158:AM158), Source!$G158, "")</f>
        <v/>
      </c>
      <c r="AN158" s="2" t="str">
        <f>IF(Source!$C158&gt;=COLUMNS($A158:AN158), Source!$G158, "")</f>
        <v/>
      </c>
      <c r="AO158" s="2" t="str">
        <f>IF(Source!$C158&gt;=COLUMNS($A158:AO158), Source!$G158, "")</f>
        <v/>
      </c>
      <c r="AP158" s="2" t="str">
        <f>IF(Source!$C158&gt;=COLUMNS($A158:AP158), Source!$G158, "")</f>
        <v/>
      </c>
      <c r="AQ158" s="2" t="str">
        <f>IF(Source!$C158&gt;=COLUMNS($A158:AQ158), Source!$G158, "")</f>
        <v/>
      </c>
      <c r="AR158" s="2" t="str">
        <f>IF(Source!$C158&gt;=COLUMNS($A158:AR158), Source!$G158, "")</f>
        <v/>
      </c>
    </row>
    <row r="159">
      <c r="A159" s="2">
        <f>IF(Source!$C159&gt;=COLUMNS($A159:A159), Source!$G159, "")</f>
        <v>6</v>
      </c>
      <c r="B159" s="2">
        <f>IF(Source!$C159&gt;=COLUMNS($A159:B159), Source!$G159, "")</f>
        <v>6</v>
      </c>
      <c r="C159" s="2">
        <f>IF(Source!$C159&gt;=COLUMNS($A159:C159), Source!$G159, "")</f>
        <v>6</v>
      </c>
      <c r="D159" s="2">
        <f>IF(Source!$C159&gt;=COLUMNS($A159:D159), Source!$G159, "")</f>
        <v>6</v>
      </c>
      <c r="E159" s="2">
        <f>IF(Source!$C159&gt;=COLUMNS($A159:E159), Source!$G159, "")</f>
        <v>6</v>
      </c>
      <c r="F159" s="2" t="str">
        <f>IF(Source!$C159&gt;=COLUMNS($A159:F159), Source!$G159, "")</f>
        <v/>
      </c>
      <c r="G159" s="2" t="str">
        <f>IF(Source!$C159&gt;=COLUMNS($A159:G159), Source!$G159, "")</f>
        <v/>
      </c>
      <c r="H159" s="2" t="str">
        <f>IF(Source!$C159&gt;=COLUMNS($A159:H159), Source!$G159, "")</f>
        <v/>
      </c>
      <c r="I159" s="2" t="str">
        <f>IF(Source!$C159&gt;=COLUMNS($A159:I159), Source!$G159, "")</f>
        <v/>
      </c>
      <c r="J159" s="2" t="str">
        <f>IF(Source!$C159&gt;=COLUMNS($A159:J159), Source!$G159, "")</f>
        <v/>
      </c>
      <c r="K159" s="2" t="str">
        <f>IF(Source!$C159&gt;=COLUMNS($A159:K159), Source!$G159, "")</f>
        <v/>
      </c>
      <c r="L159" s="2" t="str">
        <f>IF(Source!$C159&gt;=COLUMNS($A159:L159), Source!$G159, "")</f>
        <v/>
      </c>
      <c r="M159" s="2" t="str">
        <f>IF(Source!$C159&gt;=COLUMNS($A159:M159), Source!$G159, "")</f>
        <v/>
      </c>
      <c r="N159" s="2" t="str">
        <f>IF(Source!$C159&gt;=COLUMNS($A159:N159), Source!$G159, "")</f>
        <v/>
      </c>
      <c r="O159" s="2" t="str">
        <f>IF(Source!$C159&gt;=COLUMNS($A159:O159), Source!$G159, "")</f>
        <v/>
      </c>
      <c r="P159" s="2" t="str">
        <f>IF(Source!$C159&gt;=COLUMNS($A159:P159), Source!$G159, "")</f>
        <v/>
      </c>
      <c r="Q159" s="2" t="str">
        <f>IF(Source!$C159&gt;=COLUMNS($A159:Q159), Source!$G159, "")</f>
        <v/>
      </c>
      <c r="R159" s="2" t="str">
        <f>IF(Source!$C159&gt;=COLUMNS($A159:R159), Source!$G159, "")</f>
        <v/>
      </c>
      <c r="S159" s="2" t="str">
        <f>IF(Source!$C159&gt;=COLUMNS($A159:S159), Source!$G159, "")</f>
        <v/>
      </c>
      <c r="T159" s="2" t="str">
        <f>IF(Source!$C159&gt;=COLUMNS($A159:T159), Source!$G159, "")</f>
        <v/>
      </c>
      <c r="U159" s="2" t="str">
        <f>IF(Source!$C159&gt;=COLUMNS($A159:U159), Source!$G159, "")</f>
        <v/>
      </c>
      <c r="V159" s="2" t="str">
        <f>IF(Source!$C159&gt;=COLUMNS($A159:V159), Source!$G159, "")</f>
        <v/>
      </c>
      <c r="W159" s="2" t="str">
        <f>IF(Source!$C159&gt;=COLUMNS($A159:W159), Source!$G159, "")</f>
        <v/>
      </c>
      <c r="X159" s="2" t="str">
        <f>IF(Source!$C159&gt;=COLUMNS($A159:X159), Source!$G159, "")</f>
        <v/>
      </c>
      <c r="Y159" s="2" t="str">
        <f>IF(Source!$C159&gt;=COLUMNS($A159:Y159), Source!$G159, "")</f>
        <v/>
      </c>
      <c r="Z159" s="2" t="str">
        <f>IF(Source!$C159&gt;=COLUMNS($A159:Z159), Source!$G159, "")</f>
        <v/>
      </c>
      <c r="AA159" s="2" t="str">
        <f>IF(Source!$C159&gt;=COLUMNS($A159:AA159), Source!$G159, "")</f>
        <v/>
      </c>
      <c r="AB159" s="2" t="str">
        <f>IF(Source!$C159&gt;=COLUMNS($A159:AB159), Source!$G159, "")</f>
        <v/>
      </c>
      <c r="AC159" s="2" t="str">
        <f>IF(Source!$C159&gt;=COLUMNS($A159:AC159), Source!$G159, "")</f>
        <v/>
      </c>
      <c r="AD159" s="2" t="str">
        <f>IF(Source!$C159&gt;=COLUMNS($A159:AD159), Source!$G159, "")</f>
        <v/>
      </c>
      <c r="AE159" s="2" t="str">
        <f>IF(Source!$C159&gt;=COLUMNS($A159:AE159), Source!$G159, "")</f>
        <v/>
      </c>
      <c r="AF159" s="2" t="str">
        <f>IF(Source!$C159&gt;=COLUMNS($A159:AF159), Source!$G159, "")</f>
        <v/>
      </c>
      <c r="AG159" s="2" t="str">
        <f>IF(Source!$C159&gt;=COLUMNS($A159:AG159), Source!$G159, "")</f>
        <v/>
      </c>
      <c r="AH159" s="2" t="str">
        <f>IF(Source!$C159&gt;=COLUMNS($A159:AH159), Source!$G159, "")</f>
        <v/>
      </c>
      <c r="AI159" s="2" t="str">
        <f>IF(Source!$C159&gt;=COLUMNS($A159:AI159), Source!$G159, "")</f>
        <v/>
      </c>
      <c r="AJ159" s="2" t="str">
        <f>IF(Source!$C159&gt;=COLUMNS($A159:AJ159), Source!$G159, "")</f>
        <v/>
      </c>
      <c r="AK159" s="2" t="str">
        <f>IF(Source!$C159&gt;=COLUMNS($A159:AK159), Source!$G159, "")</f>
        <v/>
      </c>
      <c r="AL159" s="2" t="str">
        <f>IF(Source!$C159&gt;=COLUMNS($A159:AL159), Source!$G159, "")</f>
        <v/>
      </c>
      <c r="AM159" s="2" t="str">
        <f>IF(Source!$C159&gt;=COLUMNS($A159:AM159), Source!$G159, "")</f>
        <v/>
      </c>
      <c r="AN159" s="2" t="str">
        <f>IF(Source!$C159&gt;=COLUMNS($A159:AN159), Source!$G159, "")</f>
        <v/>
      </c>
      <c r="AO159" s="2" t="str">
        <f>IF(Source!$C159&gt;=COLUMNS($A159:AO159), Source!$G159, "")</f>
        <v/>
      </c>
      <c r="AP159" s="2" t="str">
        <f>IF(Source!$C159&gt;=COLUMNS($A159:AP159), Source!$G159, "")</f>
        <v/>
      </c>
      <c r="AQ159" s="2" t="str">
        <f>IF(Source!$C159&gt;=COLUMNS($A159:AQ159), Source!$G159, "")</f>
        <v/>
      </c>
      <c r="AR159" s="2" t="str">
        <f>IF(Source!$C159&gt;=COLUMNS($A159:AR159), Source!$G159, "")</f>
        <v/>
      </c>
    </row>
    <row r="160">
      <c r="A160" s="2">
        <f>IF(Source!$C160&gt;=COLUMNS($A160:A160), Source!$G160, "")</f>
        <v>3</v>
      </c>
      <c r="B160" s="2">
        <f>IF(Source!$C160&gt;=COLUMNS($A160:B160), Source!$G160, "")</f>
        <v>3</v>
      </c>
      <c r="C160" s="2" t="str">
        <f>IF(Source!$C160&gt;=COLUMNS($A160:C160), Source!$G160, "")</f>
        <v/>
      </c>
      <c r="D160" s="2" t="str">
        <f>IF(Source!$C160&gt;=COLUMNS($A160:D160), Source!$G160, "")</f>
        <v/>
      </c>
      <c r="E160" s="2" t="str">
        <f>IF(Source!$C160&gt;=COLUMNS($A160:E160), Source!$G160, "")</f>
        <v/>
      </c>
      <c r="F160" s="2" t="str">
        <f>IF(Source!$C160&gt;=COLUMNS($A160:F160), Source!$G160, "")</f>
        <v/>
      </c>
      <c r="G160" s="2" t="str">
        <f>IF(Source!$C160&gt;=COLUMNS($A160:G160), Source!$G160, "")</f>
        <v/>
      </c>
      <c r="H160" s="2" t="str">
        <f>IF(Source!$C160&gt;=COLUMNS($A160:H160), Source!$G160, "")</f>
        <v/>
      </c>
      <c r="I160" s="2" t="str">
        <f>IF(Source!$C160&gt;=COLUMNS($A160:I160), Source!$G160, "")</f>
        <v/>
      </c>
      <c r="J160" s="2" t="str">
        <f>IF(Source!$C160&gt;=COLUMNS($A160:J160), Source!$G160, "")</f>
        <v/>
      </c>
      <c r="K160" s="2" t="str">
        <f>IF(Source!$C160&gt;=COLUMNS($A160:K160), Source!$G160, "")</f>
        <v/>
      </c>
      <c r="L160" s="2" t="str">
        <f>IF(Source!$C160&gt;=COLUMNS($A160:L160), Source!$G160, "")</f>
        <v/>
      </c>
      <c r="M160" s="2" t="str">
        <f>IF(Source!$C160&gt;=COLUMNS($A160:M160), Source!$G160, "")</f>
        <v/>
      </c>
      <c r="N160" s="2" t="str">
        <f>IF(Source!$C160&gt;=COLUMNS($A160:N160), Source!$G160, "")</f>
        <v/>
      </c>
      <c r="O160" s="2" t="str">
        <f>IF(Source!$C160&gt;=COLUMNS($A160:O160), Source!$G160, "")</f>
        <v/>
      </c>
      <c r="P160" s="2" t="str">
        <f>IF(Source!$C160&gt;=COLUMNS($A160:P160), Source!$G160, "")</f>
        <v/>
      </c>
      <c r="Q160" s="2" t="str">
        <f>IF(Source!$C160&gt;=COLUMNS($A160:Q160), Source!$G160, "")</f>
        <v/>
      </c>
      <c r="R160" s="2" t="str">
        <f>IF(Source!$C160&gt;=COLUMNS($A160:R160), Source!$G160, "")</f>
        <v/>
      </c>
      <c r="S160" s="2" t="str">
        <f>IF(Source!$C160&gt;=COLUMNS($A160:S160), Source!$G160, "")</f>
        <v/>
      </c>
      <c r="T160" s="2" t="str">
        <f>IF(Source!$C160&gt;=COLUMNS($A160:T160), Source!$G160, "")</f>
        <v/>
      </c>
      <c r="U160" s="2" t="str">
        <f>IF(Source!$C160&gt;=COLUMNS($A160:U160), Source!$G160, "")</f>
        <v/>
      </c>
      <c r="V160" s="2" t="str">
        <f>IF(Source!$C160&gt;=COLUMNS($A160:V160), Source!$G160, "")</f>
        <v/>
      </c>
      <c r="W160" s="2" t="str">
        <f>IF(Source!$C160&gt;=COLUMNS($A160:W160), Source!$G160, "")</f>
        <v/>
      </c>
      <c r="X160" s="2" t="str">
        <f>IF(Source!$C160&gt;=COLUMNS($A160:X160), Source!$G160, "")</f>
        <v/>
      </c>
      <c r="Y160" s="2" t="str">
        <f>IF(Source!$C160&gt;=COLUMNS($A160:Y160), Source!$G160, "")</f>
        <v/>
      </c>
      <c r="Z160" s="2" t="str">
        <f>IF(Source!$C160&gt;=COLUMNS($A160:Z160), Source!$G160, "")</f>
        <v/>
      </c>
      <c r="AA160" s="2" t="str">
        <f>IF(Source!$C160&gt;=COLUMNS($A160:AA160), Source!$G160, "")</f>
        <v/>
      </c>
      <c r="AB160" s="2" t="str">
        <f>IF(Source!$C160&gt;=COLUMNS($A160:AB160), Source!$G160, "")</f>
        <v/>
      </c>
      <c r="AC160" s="2" t="str">
        <f>IF(Source!$C160&gt;=COLUMNS($A160:AC160), Source!$G160, "")</f>
        <v/>
      </c>
      <c r="AD160" s="2" t="str">
        <f>IF(Source!$C160&gt;=COLUMNS($A160:AD160), Source!$G160, "")</f>
        <v/>
      </c>
      <c r="AE160" s="2" t="str">
        <f>IF(Source!$C160&gt;=COLUMNS($A160:AE160), Source!$G160, "")</f>
        <v/>
      </c>
      <c r="AF160" s="2" t="str">
        <f>IF(Source!$C160&gt;=COLUMNS($A160:AF160), Source!$G160, "")</f>
        <v/>
      </c>
      <c r="AG160" s="2" t="str">
        <f>IF(Source!$C160&gt;=COLUMNS($A160:AG160), Source!$G160, "")</f>
        <v/>
      </c>
      <c r="AH160" s="2" t="str">
        <f>IF(Source!$C160&gt;=COLUMNS($A160:AH160), Source!$G160, "")</f>
        <v/>
      </c>
      <c r="AI160" s="2" t="str">
        <f>IF(Source!$C160&gt;=COLUMNS($A160:AI160), Source!$G160, "")</f>
        <v/>
      </c>
      <c r="AJ160" s="2" t="str">
        <f>IF(Source!$C160&gt;=COLUMNS($A160:AJ160), Source!$G160, "")</f>
        <v/>
      </c>
      <c r="AK160" s="2" t="str">
        <f>IF(Source!$C160&gt;=COLUMNS($A160:AK160), Source!$G160, "")</f>
        <v/>
      </c>
      <c r="AL160" s="2" t="str">
        <f>IF(Source!$C160&gt;=COLUMNS($A160:AL160), Source!$G160, "")</f>
        <v/>
      </c>
      <c r="AM160" s="2" t="str">
        <f>IF(Source!$C160&gt;=COLUMNS($A160:AM160), Source!$G160, "")</f>
        <v/>
      </c>
      <c r="AN160" s="2" t="str">
        <f>IF(Source!$C160&gt;=COLUMNS($A160:AN160), Source!$G160, "")</f>
        <v/>
      </c>
      <c r="AO160" s="2" t="str">
        <f>IF(Source!$C160&gt;=COLUMNS($A160:AO160), Source!$G160, "")</f>
        <v/>
      </c>
      <c r="AP160" s="2" t="str">
        <f>IF(Source!$C160&gt;=COLUMNS($A160:AP160), Source!$G160, "")</f>
        <v/>
      </c>
      <c r="AQ160" s="2" t="str">
        <f>IF(Source!$C160&gt;=COLUMNS($A160:AQ160), Source!$G160, "")</f>
        <v/>
      </c>
      <c r="AR160" s="2" t="str">
        <f>IF(Source!$C160&gt;=COLUMNS($A160:AR160), Source!$G160, "")</f>
        <v/>
      </c>
    </row>
    <row r="161">
      <c r="A161" s="2">
        <f>IF(Source!$C161&gt;=COLUMNS($A161:A161), Source!$G161, "")</f>
        <v>9</v>
      </c>
      <c r="B161" s="2">
        <f>IF(Source!$C161&gt;=COLUMNS($A161:B161), Source!$G161, "")</f>
        <v>9</v>
      </c>
      <c r="C161" s="2" t="str">
        <f>IF(Source!$C161&gt;=COLUMNS($A161:C161), Source!$G161, "")</f>
        <v/>
      </c>
      <c r="D161" s="2" t="str">
        <f>IF(Source!$C161&gt;=COLUMNS($A161:D161), Source!$G161, "")</f>
        <v/>
      </c>
      <c r="E161" s="2" t="str">
        <f>IF(Source!$C161&gt;=COLUMNS($A161:E161), Source!$G161, "")</f>
        <v/>
      </c>
      <c r="F161" s="2" t="str">
        <f>IF(Source!$C161&gt;=COLUMNS($A161:F161), Source!$G161, "")</f>
        <v/>
      </c>
      <c r="G161" s="2" t="str">
        <f>IF(Source!$C161&gt;=COLUMNS($A161:G161), Source!$G161, "")</f>
        <v/>
      </c>
      <c r="H161" s="2" t="str">
        <f>IF(Source!$C161&gt;=COLUMNS($A161:H161), Source!$G161, "")</f>
        <v/>
      </c>
      <c r="I161" s="2" t="str">
        <f>IF(Source!$C161&gt;=COLUMNS($A161:I161), Source!$G161, "")</f>
        <v/>
      </c>
      <c r="J161" s="2" t="str">
        <f>IF(Source!$C161&gt;=COLUMNS($A161:J161), Source!$G161, "")</f>
        <v/>
      </c>
      <c r="K161" s="2" t="str">
        <f>IF(Source!$C161&gt;=COLUMNS($A161:K161), Source!$G161, "")</f>
        <v/>
      </c>
      <c r="L161" s="2" t="str">
        <f>IF(Source!$C161&gt;=COLUMNS($A161:L161), Source!$G161, "")</f>
        <v/>
      </c>
      <c r="M161" s="2" t="str">
        <f>IF(Source!$C161&gt;=COLUMNS($A161:M161), Source!$G161, "")</f>
        <v/>
      </c>
      <c r="N161" s="2" t="str">
        <f>IF(Source!$C161&gt;=COLUMNS($A161:N161), Source!$G161, "")</f>
        <v/>
      </c>
      <c r="O161" s="2" t="str">
        <f>IF(Source!$C161&gt;=COLUMNS($A161:O161), Source!$G161, "")</f>
        <v/>
      </c>
      <c r="P161" s="2" t="str">
        <f>IF(Source!$C161&gt;=COLUMNS($A161:P161), Source!$G161, "")</f>
        <v/>
      </c>
      <c r="Q161" s="2" t="str">
        <f>IF(Source!$C161&gt;=COLUMNS($A161:Q161), Source!$G161, "")</f>
        <v/>
      </c>
      <c r="R161" s="2" t="str">
        <f>IF(Source!$C161&gt;=COLUMNS($A161:R161), Source!$G161, "")</f>
        <v/>
      </c>
      <c r="S161" s="2" t="str">
        <f>IF(Source!$C161&gt;=COLUMNS($A161:S161), Source!$G161, "")</f>
        <v/>
      </c>
      <c r="T161" s="2" t="str">
        <f>IF(Source!$C161&gt;=COLUMNS($A161:T161), Source!$G161, "")</f>
        <v/>
      </c>
      <c r="U161" s="2" t="str">
        <f>IF(Source!$C161&gt;=COLUMNS($A161:U161), Source!$G161, "")</f>
        <v/>
      </c>
      <c r="V161" s="2" t="str">
        <f>IF(Source!$C161&gt;=COLUMNS($A161:V161), Source!$G161, "")</f>
        <v/>
      </c>
      <c r="W161" s="2" t="str">
        <f>IF(Source!$C161&gt;=COLUMNS($A161:W161), Source!$G161, "")</f>
        <v/>
      </c>
      <c r="X161" s="2" t="str">
        <f>IF(Source!$C161&gt;=COLUMNS($A161:X161), Source!$G161, "")</f>
        <v/>
      </c>
      <c r="Y161" s="2" t="str">
        <f>IF(Source!$C161&gt;=COLUMNS($A161:Y161), Source!$G161, "")</f>
        <v/>
      </c>
      <c r="Z161" s="2" t="str">
        <f>IF(Source!$C161&gt;=COLUMNS($A161:Z161), Source!$G161, "")</f>
        <v/>
      </c>
      <c r="AA161" s="2" t="str">
        <f>IF(Source!$C161&gt;=COLUMNS($A161:AA161), Source!$G161, "")</f>
        <v/>
      </c>
      <c r="AB161" s="2" t="str">
        <f>IF(Source!$C161&gt;=COLUMNS($A161:AB161), Source!$G161, "")</f>
        <v/>
      </c>
      <c r="AC161" s="2" t="str">
        <f>IF(Source!$C161&gt;=COLUMNS($A161:AC161), Source!$G161, "")</f>
        <v/>
      </c>
      <c r="AD161" s="2" t="str">
        <f>IF(Source!$C161&gt;=COLUMNS($A161:AD161), Source!$G161, "")</f>
        <v/>
      </c>
      <c r="AE161" s="2" t="str">
        <f>IF(Source!$C161&gt;=COLUMNS($A161:AE161), Source!$G161, "")</f>
        <v/>
      </c>
      <c r="AF161" s="2" t="str">
        <f>IF(Source!$C161&gt;=COLUMNS($A161:AF161), Source!$G161, "")</f>
        <v/>
      </c>
      <c r="AG161" s="2" t="str">
        <f>IF(Source!$C161&gt;=COLUMNS($A161:AG161), Source!$G161, "")</f>
        <v/>
      </c>
      <c r="AH161" s="2" t="str">
        <f>IF(Source!$C161&gt;=COLUMNS($A161:AH161), Source!$G161, "")</f>
        <v/>
      </c>
      <c r="AI161" s="2" t="str">
        <f>IF(Source!$C161&gt;=COLUMNS($A161:AI161), Source!$G161, "")</f>
        <v/>
      </c>
      <c r="AJ161" s="2" t="str">
        <f>IF(Source!$C161&gt;=COLUMNS($A161:AJ161), Source!$G161, "")</f>
        <v/>
      </c>
      <c r="AK161" s="2" t="str">
        <f>IF(Source!$C161&gt;=COLUMNS($A161:AK161), Source!$G161, "")</f>
        <v/>
      </c>
      <c r="AL161" s="2" t="str">
        <f>IF(Source!$C161&gt;=COLUMNS($A161:AL161), Source!$G161, "")</f>
        <v/>
      </c>
      <c r="AM161" s="2" t="str">
        <f>IF(Source!$C161&gt;=COLUMNS($A161:AM161), Source!$G161, "")</f>
        <v/>
      </c>
      <c r="AN161" s="2" t="str">
        <f>IF(Source!$C161&gt;=COLUMNS($A161:AN161), Source!$G161, "")</f>
        <v/>
      </c>
      <c r="AO161" s="2" t="str">
        <f>IF(Source!$C161&gt;=COLUMNS($A161:AO161), Source!$G161, "")</f>
        <v/>
      </c>
      <c r="AP161" s="2" t="str">
        <f>IF(Source!$C161&gt;=COLUMNS($A161:AP161), Source!$G161, "")</f>
        <v/>
      </c>
      <c r="AQ161" s="2" t="str">
        <f>IF(Source!$C161&gt;=COLUMNS($A161:AQ161), Source!$G161, "")</f>
        <v/>
      </c>
      <c r="AR161" s="2" t="str">
        <f>IF(Source!$C161&gt;=COLUMNS($A161:AR161), Source!$G161, "")</f>
        <v/>
      </c>
    </row>
    <row r="162">
      <c r="A162" s="2">
        <f>IF(Source!$C162&gt;=COLUMNS($A162:A162), Source!$G162, "")</f>
        <v>9</v>
      </c>
      <c r="B162" s="2" t="str">
        <f>IF(Source!$C162&gt;=COLUMNS($A162:B162), Source!$G162, "")</f>
        <v/>
      </c>
      <c r="C162" s="2" t="str">
        <f>IF(Source!$C162&gt;=COLUMNS($A162:C162), Source!$G162, "")</f>
        <v/>
      </c>
      <c r="D162" s="2" t="str">
        <f>IF(Source!$C162&gt;=COLUMNS($A162:D162), Source!$G162, "")</f>
        <v/>
      </c>
      <c r="E162" s="2" t="str">
        <f>IF(Source!$C162&gt;=COLUMNS($A162:E162), Source!$G162, "")</f>
        <v/>
      </c>
      <c r="F162" s="2" t="str">
        <f>IF(Source!$C162&gt;=COLUMNS($A162:F162), Source!$G162, "")</f>
        <v/>
      </c>
      <c r="G162" s="2" t="str">
        <f>IF(Source!$C162&gt;=COLUMNS($A162:G162), Source!$G162, "")</f>
        <v/>
      </c>
      <c r="H162" s="2" t="str">
        <f>IF(Source!$C162&gt;=COLUMNS($A162:H162), Source!$G162, "")</f>
        <v/>
      </c>
      <c r="I162" s="2" t="str">
        <f>IF(Source!$C162&gt;=COLUMNS($A162:I162), Source!$G162, "")</f>
        <v/>
      </c>
      <c r="J162" s="2" t="str">
        <f>IF(Source!$C162&gt;=COLUMNS($A162:J162), Source!$G162, "")</f>
        <v/>
      </c>
      <c r="K162" s="2" t="str">
        <f>IF(Source!$C162&gt;=COLUMNS($A162:K162), Source!$G162, "")</f>
        <v/>
      </c>
      <c r="L162" s="2" t="str">
        <f>IF(Source!$C162&gt;=COLUMNS($A162:L162), Source!$G162, "")</f>
        <v/>
      </c>
      <c r="M162" s="2" t="str">
        <f>IF(Source!$C162&gt;=COLUMNS($A162:M162), Source!$G162, "")</f>
        <v/>
      </c>
      <c r="N162" s="2" t="str">
        <f>IF(Source!$C162&gt;=COLUMNS($A162:N162), Source!$G162, "")</f>
        <v/>
      </c>
      <c r="O162" s="2" t="str">
        <f>IF(Source!$C162&gt;=COLUMNS($A162:O162), Source!$G162, "")</f>
        <v/>
      </c>
      <c r="P162" s="2" t="str">
        <f>IF(Source!$C162&gt;=COLUMNS($A162:P162), Source!$G162, "")</f>
        <v/>
      </c>
      <c r="Q162" s="2" t="str">
        <f>IF(Source!$C162&gt;=COLUMNS($A162:Q162), Source!$G162, "")</f>
        <v/>
      </c>
      <c r="R162" s="2" t="str">
        <f>IF(Source!$C162&gt;=COLUMNS($A162:R162), Source!$G162, "")</f>
        <v/>
      </c>
      <c r="S162" s="2" t="str">
        <f>IF(Source!$C162&gt;=COLUMNS($A162:S162), Source!$G162, "")</f>
        <v/>
      </c>
      <c r="T162" s="2" t="str">
        <f>IF(Source!$C162&gt;=COLUMNS($A162:T162), Source!$G162, "")</f>
        <v/>
      </c>
      <c r="U162" s="2" t="str">
        <f>IF(Source!$C162&gt;=COLUMNS($A162:U162), Source!$G162, "")</f>
        <v/>
      </c>
      <c r="V162" s="2" t="str">
        <f>IF(Source!$C162&gt;=COLUMNS($A162:V162), Source!$G162, "")</f>
        <v/>
      </c>
      <c r="W162" s="2" t="str">
        <f>IF(Source!$C162&gt;=COLUMNS($A162:W162), Source!$G162, "")</f>
        <v/>
      </c>
      <c r="X162" s="2" t="str">
        <f>IF(Source!$C162&gt;=COLUMNS($A162:X162), Source!$G162, "")</f>
        <v/>
      </c>
      <c r="Y162" s="2" t="str">
        <f>IF(Source!$C162&gt;=COLUMNS($A162:Y162), Source!$G162, "")</f>
        <v/>
      </c>
      <c r="Z162" s="2" t="str">
        <f>IF(Source!$C162&gt;=COLUMNS($A162:Z162), Source!$G162, "")</f>
        <v/>
      </c>
      <c r="AA162" s="2" t="str">
        <f>IF(Source!$C162&gt;=COLUMNS($A162:AA162), Source!$G162, "")</f>
        <v/>
      </c>
      <c r="AB162" s="2" t="str">
        <f>IF(Source!$C162&gt;=COLUMNS($A162:AB162), Source!$G162, "")</f>
        <v/>
      </c>
      <c r="AC162" s="2" t="str">
        <f>IF(Source!$C162&gt;=COLUMNS($A162:AC162), Source!$G162, "")</f>
        <v/>
      </c>
      <c r="AD162" s="2" t="str">
        <f>IF(Source!$C162&gt;=COLUMNS($A162:AD162), Source!$G162, "")</f>
        <v/>
      </c>
      <c r="AE162" s="2" t="str">
        <f>IF(Source!$C162&gt;=COLUMNS($A162:AE162), Source!$G162, "")</f>
        <v/>
      </c>
      <c r="AF162" s="2" t="str">
        <f>IF(Source!$C162&gt;=COLUMNS($A162:AF162), Source!$G162, "")</f>
        <v/>
      </c>
      <c r="AG162" s="2" t="str">
        <f>IF(Source!$C162&gt;=COLUMNS($A162:AG162), Source!$G162, "")</f>
        <v/>
      </c>
      <c r="AH162" s="2" t="str">
        <f>IF(Source!$C162&gt;=COLUMNS($A162:AH162), Source!$G162, "")</f>
        <v/>
      </c>
      <c r="AI162" s="2" t="str">
        <f>IF(Source!$C162&gt;=COLUMNS($A162:AI162), Source!$G162, "")</f>
        <v/>
      </c>
      <c r="AJ162" s="2" t="str">
        <f>IF(Source!$C162&gt;=COLUMNS($A162:AJ162), Source!$G162, "")</f>
        <v/>
      </c>
      <c r="AK162" s="2" t="str">
        <f>IF(Source!$C162&gt;=COLUMNS($A162:AK162), Source!$G162, "")</f>
        <v/>
      </c>
      <c r="AL162" s="2" t="str">
        <f>IF(Source!$C162&gt;=COLUMNS($A162:AL162), Source!$G162, "")</f>
        <v/>
      </c>
      <c r="AM162" s="2" t="str">
        <f>IF(Source!$C162&gt;=COLUMNS($A162:AM162), Source!$G162, "")</f>
        <v/>
      </c>
      <c r="AN162" s="2" t="str">
        <f>IF(Source!$C162&gt;=COLUMNS($A162:AN162), Source!$G162, "")</f>
        <v/>
      </c>
      <c r="AO162" s="2" t="str">
        <f>IF(Source!$C162&gt;=COLUMNS($A162:AO162), Source!$G162, "")</f>
        <v/>
      </c>
      <c r="AP162" s="2" t="str">
        <f>IF(Source!$C162&gt;=COLUMNS($A162:AP162), Source!$G162, "")</f>
        <v/>
      </c>
      <c r="AQ162" s="2" t="str">
        <f>IF(Source!$C162&gt;=COLUMNS($A162:AQ162), Source!$G162, "")</f>
        <v/>
      </c>
      <c r="AR162" s="2" t="str">
        <f>IF(Source!$C162&gt;=COLUMNS($A162:AR162), Source!$G162, "")</f>
        <v/>
      </c>
    </row>
    <row r="163">
      <c r="A163" s="2">
        <f>IF(Source!$C163&gt;=COLUMNS($A163:A163), Source!$G163, "")</f>
        <v>1</v>
      </c>
      <c r="B163" s="2">
        <f>IF(Source!$C163&gt;=COLUMNS($A163:B163), Source!$G163, "")</f>
        <v>1</v>
      </c>
      <c r="C163" s="2" t="str">
        <f>IF(Source!$C163&gt;=COLUMNS($A163:C163), Source!$G163, "")</f>
        <v/>
      </c>
      <c r="D163" s="2" t="str">
        <f>IF(Source!$C163&gt;=COLUMNS($A163:D163), Source!$G163, "")</f>
        <v/>
      </c>
      <c r="E163" s="2" t="str">
        <f>IF(Source!$C163&gt;=COLUMNS($A163:E163), Source!$G163, "")</f>
        <v/>
      </c>
      <c r="F163" s="2" t="str">
        <f>IF(Source!$C163&gt;=COLUMNS($A163:F163), Source!$G163, "")</f>
        <v/>
      </c>
      <c r="G163" s="2" t="str">
        <f>IF(Source!$C163&gt;=COLUMNS($A163:G163), Source!$G163, "")</f>
        <v/>
      </c>
      <c r="H163" s="2" t="str">
        <f>IF(Source!$C163&gt;=COLUMNS($A163:H163), Source!$G163, "")</f>
        <v/>
      </c>
      <c r="I163" s="2" t="str">
        <f>IF(Source!$C163&gt;=COLUMNS($A163:I163), Source!$G163, "")</f>
        <v/>
      </c>
      <c r="J163" s="2" t="str">
        <f>IF(Source!$C163&gt;=COLUMNS($A163:J163), Source!$G163, "")</f>
        <v/>
      </c>
      <c r="K163" s="2" t="str">
        <f>IF(Source!$C163&gt;=COLUMNS($A163:K163), Source!$G163, "")</f>
        <v/>
      </c>
      <c r="L163" s="2" t="str">
        <f>IF(Source!$C163&gt;=COLUMNS($A163:L163), Source!$G163, "")</f>
        <v/>
      </c>
      <c r="M163" s="2" t="str">
        <f>IF(Source!$C163&gt;=COLUMNS($A163:M163), Source!$G163, "")</f>
        <v/>
      </c>
      <c r="N163" s="2" t="str">
        <f>IF(Source!$C163&gt;=COLUMNS($A163:N163), Source!$G163, "")</f>
        <v/>
      </c>
      <c r="O163" s="2" t="str">
        <f>IF(Source!$C163&gt;=COLUMNS($A163:O163), Source!$G163, "")</f>
        <v/>
      </c>
      <c r="P163" s="2" t="str">
        <f>IF(Source!$C163&gt;=COLUMNS($A163:P163), Source!$G163, "")</f>
        <v/>
      </c>
      <c r="Q163" s="2" t="str">
        <f>IF(Source!$C163&gt;=COLUMNS($A163:Q163), Source!$G163, "")</f>
        <v/>
      </c>
      <c r="R163" s="2" t="str">
        <f>IF(Source!$C163&gt;=COLUMNS($A163:R163), Source!$G163, "")</f>
        <v/>
      </c>
      <c r="S163" s="2" t="str">
        <f>IF(Source!$C163&gt;=COLUMNS($A163:S163), Source!$G163, "")</f>
        <v/>
      </c>
      <c r="T163" s="2" t="str">
        <f>IF(Source!$C163&gt;=COLUMNS($A163:T163), Source!$G163, "")</f>
        <v/>
      </c>
      <c r="U163" s="2" t="str">
        <f>IF(Source!$C163&gt;=COLUMNS($A163:U163), Source!$G163, "")</f>
        <v/>
      </c>
      <c r="V163" s="2" t="str">
        <f>IF(Source!$C163&gt;=COLUMNS($A163:V163), Source!$G163, "")</f>
        <v/>
      </c>
      <c r="W163" s="2" t="str">
        <f>IF(Source!$C163&gt;=COLUMNS($A163:W163), Source!$G163, "")</f>
        <v/>
      </c>
      <c r="X163" s="2" t="str">
        <f>IF(Source!$C163&gt;=COLUMNS($A163:X163), Source!$G163, "")</f>
        <v/>
      </c>
      <c r="Y163" s="2" t="str">
        <f>IF(Source!$C163&gt;=COLUMNS($A163:Y163), Source!$G163, "")</f>
        <v/>
      </c>
      <c r="Z163" s="2" t="str">
        <f>IF(Source!$C163&gt;=COLUMNS($A163:Z163), Source!$G163, "")</f>
        <v/>
      </c>
      <c r="AA163" s="2" t="str">
        <f>IF(Source!$C163&gt;=COLUMNS($A163:AA163), Source!$G163, "")</f>
        <v/>
      </c>
      <c r="AB163" s="2" t="str">
        <f>IF(Source!$C163&gt;=COLUMNS($A163:AB163), Source!$G163, "")</f>
        <v/>
      </c>
      <c r="AC163" s="2" t="str">
        <f>IF(Source!$C163&gt;=COLUMNS($A163:AC163), Source!$G163, "")</f>
        <v/>
      </c>
      <c r="AD163" s="2" t="str">
        <f>IF(Source!$C163&gt;=COLUMNS($A163:AD163), Source!$G163, "")</f>
        <v/>
      </c>
      <c r="AE163" s="2" t="str">
        <f>IF(Source!$C163&gt;=COLUMNS($A163:AE163), Source!$G163, "")</f>
        <v/>
      </c>
      <c r="AF163" s="2" t="str">
        <f>IF(Source!$C163&gt;=COLUMNS($A163:AF163), Source!$G163, "")</f>
        <v/>
      </c>
      <c r="AG163" s="2" t="str">
        <f>IF(Source!$C163&gt;=COLUMNS($A163:AG163), Source!$G163, "")</f>
        <v/>
      </c>
      <c r="AH163" s="2" t="str">
        <f>IF(Source!$C163&gt;=COLUMNS($A163:AH163), Source!$G163, "")</f>
        <v/>
      </c>
      <c r="AI163" s="2" t="str">
        <f>IF(Source!$C163&gt;=COLUMNS($A163:AI163), Source!$G163, "")</f>
        <v/>
      </c>
      <c r="AJ163" s="2" t="str">
        <f>IF(Source!$C163&gt;=COLUMNS($A163:AJ163), Source!$G163, "")</f>
        <v/>
      </c>
      <c r="AK163" s="2" t="str">
        <f>IF(Source!$C163&gt;=COLUMNS($A163:AK163), Source!$G163, "")</f>
        <v/>
      </c>
      <c r="AL163" s="2" t="str">
        <f>IF(Source!$C163&gt;=COLUMNS($A163:AL163), Source!$G163, "")</f>
        <v/>
      </c>
      <c r="AM163" s="2" t="str">
        <f>IF(Source!$C163&gt;=COLUMNS($A163:AM163), Source!$G163, "")</f>
        <v/>
      </c>
      <c r="AN163" s="2" t="str">
        <f>IF(Source!$C163&gt;=COLUMNS($A163:AN163), Source!$G163, "")</f>
        <v/>
      </c>
      <c r="AO163" s="2" t="str">
        <f>IF(Source!$C163&gt;=COLUMNS($A163:AO163), Source!$G163, "")</f>
        <v/>
      </c>
      <c r="AP163" s="2" t="str">
        <f>IF(Source!$C163&gt;=COLUMNS($A163:AP163), Source!$G163, "")</f>
        <v/>
      </c>
      <c r="AQ163" s="2" t="str">
        <f>IF(Source!$C163&gt;=COLUMNS($A163:AQ163), Source!$G163, "")</f>
        <v/>
      </c>
      <c r="AR163" s="2" t="str">
        <f>IF(Source!$C163&gt;=COLUMNS($A163:AR163), Source!$G163, "")</f>
        <v/>
      </c>
    </row>
    <row r="164">
      <c r="A164" s="2">
        <f>IF(Source!$C164&gt;=COLUMNS($A164:A164), Source!$G164, "")</f>
        <v>2</v>
      </c>
      <c r="B164" s="2">
        <f>IF(Source!$C164&gt;=COLUMNS($A164:B164), Source!$G164, "")</f>
        <v>2</v>
      </c>
      <c r="C164" s="2" t="str">
        <f>IF(Source!$C164&gt;=COLUMNS($A164:C164), Source!$G164, "")</f>
        <v/>
      </c>
      <c r="D164" s="2" t="str">
        <f>IF(Source!$C164&gt;=COLUMNS($A164:D164), Source!$G164, "")</f>
        <v/>
      </c>
      <c r="E164" s="2" t="str">
        <f>IF(Source!$C164&gt;=COLUMNS($A164:E164), Source!$G164, "")</f>
        <v/>
      </c>
      <c r="F164" s="2" t="str">
        <f>IF(Source!$C164&gt;=COLUMNS($A164:F164), Source!$G164, "")</f>
        <v/>
      </c>
      <c r="G164" s="2" t="str">
        <f>IF(Source!$C164&gt;=COLUMNS($A164:G164), Source!$G164, "")</f>
        <v/>
      </c>
      <c r="H164" s="2" t="str">
        <f>IF(Source!$C164&gt;=COLUMNS($A164:H164), Source!$G164, "")</f>
        <v/>
      </c>
      <c r="I164" s="2" t="str">
        <f>IF(Source!$C164&gt;=COLUMNS($A164:I164), Source!$G164, "")</f>
        <v/>
      </c>
      <c r="J164" s="2" t="str">
        <f>IF(Source!$C164&gt;=COLUMNS($A164:J164), Source!$G164, "")</f>
        <v/>
      </c>
      <c r="K164" s="2" t="str">
        <f>IF(Source!$C164&gt;=COLUMNS($A164:K164), Source!$G164, "")</f>
        <v/>
      </c>
      <c r="L164" s="2" t="str">
        <f>IF(Source!$C164&gt;=COLUMNS($A164:L164), Source!$G164, "")</f>
        <v/>
      </c>
      <c r="M164" s="2" t="str">
        <f>IF(Source!$C164&gt;=COLUMNS($A164:M164), Source!$G164, "")</f>
        <v/>
      </c>
      <c r="N164" s="2" t="str">
        <f>IF(Source!$C164&gt;=COLUMNS($A164:N164), Source!$G164, "")</f>
        <v/>
      </c>
      <c r="O164" s="2" t="str">
        <f>IF(Source!$C164&gt;=COLUMNS($A164:O164), Source!$G164, "")</f>
        <v/>
      </c>
      <c r="P164" s="2" t="str">
        <f>IF(Source!$C164&gt;=COLUMNS($A164:P164), Source!$G164, "")</f>
        <v/>
      </c>
      <c r="Q164" s="2" t="str">
        <f>IF(Source!$C164&gt;=COLUMNS($A164:Q164), Source!$G164, "")</f>
        <v/>
      </c>
      <c r="R164" s="2" t="str">
        <f>IF(Source!$C164&gt;=COLUMNS($A164:R164), Source!$G164, "")</f>
        <v/>
      </c>
      <c r="S164" s="2" t="str">
        <f>IF(Source!$C164&gt;=COLUMNS($A164:S164), Source!$G164, "")</f>
        <v/>
      </c>
      <c r="T164" s="2" t="str">
        <f>IF(Source!$C164&gt;=COLUMNS($A164:T164), Source!$G164, "")</f>
        <v/>
      </c>
      <c r="U164" s="2" t="str">
        <f>IF(Source!$C164&gt;=COLUMNS($A164:U164), Source!$G164, "")</f>
        <v/>
      </c>
      <c r="V164" s="2" t="str">
        <f>IF(Source!$C164&gt;=COLUMNS($A164:V164), Source!$G164, "")</f>
        <v/>
      </c>
      <c r="W164" s="2" t="str">
        <f>IF(Source!$C164&gt;=COLUMNS($A164:W164), Source!$G164, "")</f>
        <v/>
      </c>
      <c r="X164" s="2" t="str">
        <f>IF(Source!$C164&gt;=COLUMNS($A164:X164), Source!$G164, "")</f>
        <v/>
      </c>
      <c r="Y164" s="2" t="str">
        <f>IF(Source!$C164&gt;=COLUMNS($A164:Y164), Source!$G164, "")</f>
        <v/>
      </c>
      <c r="Z164" s="2" t="str">
        <f>IF(Source!$C164&gt;=COLUMNS($A164:Z164), Source!$G164, "")</f>
        <v/>
      </c>
      <c r="AA164" s="2" t="str">
        <f>IF(Source!$C164&gt;=COLUMNS($A164:AA164), Source!$G164, "")</f>
        <v/>
      </c>
      <c r="AB164" s="2" t="str">
        <f>IF(Source!$C164&gt;=COLUMNS($A164:AB164), Source!$G164, "")</f>
        <v/>
      </c>
      <c r="AC164" s="2" t="str">
        <f>IF(Source!$C164&gt;=COLUMNS($A164:AC164), Source!$G164, "")</f>
        <v/>
      </c>
      <c r="AD164" s="2" t="str">
        <f>IF(Source!$C164&gt;=COLUMNS($A164:AD164), Source!$G164, "")</f>
        <v/>
      </c>
      <c r="AE164" s="2" t="str">
        <f>IF(Source!$C164&gt;=COLUMNS($A164:AE164), Source!$G164, "")</f>
        <v/>
      </c>
      <c r="AF164" s="2" t="str">
        <f>IF(Source!$C164&gt;=COLUMNS($A164:AF164), Source!$G164, "")</f>
        <v/>
      </c>
      <c r="AG164" s="2" t="str">
        <f>IF(Source!$C164&gt;=COLUMNS($A164:AG164), Source!$G164, "")</f>
        <v/>
      </c>
      <c r="AH164" s="2" t="str">
        <f>IF(Source!$C164&gt;=COLUMNS($A164:AH164), Source!$G164, "")</f>
        <v/>
      </c>
      <c r="AI164" s="2" t="str">
        <f>IF(Source!$C164&gt;=COLUMNS($A164:AI164), Source!$G164, "")</f>
        <v/>
      </c>
      <c r="AJ164" s="2" t="str">
        <f>IF(Source!$C164&gt;=COLUMNS($A164:AJ164), Source!$G164, "")</f>
        <v/>
      </c>
      <c r="AK164" s="2" t="str">
        <f>IF(Source!$C164&gt;=COLUMNS($A164:AK164), Source!$G164, "")</f>
        <v/>
      </c>
      <c r="AL164" s="2" t="str">
        <f>IF(Source!$C164&gt;=COLUMNS($A164:AL164), Source!$G164, "")</f>
        <v/>
      </c>
      <c r="AM164" s="2" t="str">
        <f>IF(Source!$C164&gt;=COLUMNS($A164:AM164), Source!$G164, "")</f>
        <v/>
      </c>
      <c r="AN164" s="2" t="str">
        <f>IF(Source!$C164&gt;=COLUMNS($A164:AN164), Source!$G164, "")</f>
        <v/>
      </c>
      <c r="AO164" s="2" t="str">
        <f>IF(Source!$C164&gt;=COLUMNS($A164:AO164), Source!$G164, "")</f>
        <v/>
      </c>
      <c r="AP164" s="2" t="str">
        <f>IF(Source!$C164&gt;=COLUMNS($A164:AP164), Source!$G164, "")</f>
        <v/>
      </c>
      <c r="AQ164" s="2" t="str">
        <f>IF(Source!$C164&gt;=COLUMNS($A164:AQ164), Source!$G164, "")</f>
        <v/>
      </c>
      <c r="AR164" s="2" t="str">
        <f>IF(Source!$C164&gt;=COLUMNS($A164:AR164), Source!$G164, "")</f>
        <v/>
      </c>
    </row>
    <row r="165">
      <c r="A165" s="2">
        <f>IF(Source!$C165&gt;=COLUMNS($A165:A165), Source!$G165, "")</f>
        <v>4</v>
      </c>
      <c r="B165" s="2">
        <f>IF(Source!$C165&gt;=COLUMNS($A165:B165), Source!$G165, "")</f>
        <v>4</v>
      </c>
      <c r="C165" s="2">
        <f>IF(Source!$C165&gt;=COLUMNS($A165:C165), Source!$G165, "")</f>
        <v>4</v>
      </c>
      <c r="D165" s="2">
        <f>IF(Source!$C165&gt;=COLUMNS($A165:D165), Source!$G165, "")</f>
        <v>4</v>
      </c>
      <c r="E165" s="2">
        <f>IF(Source!$C165&gt;=COLUMNS($A165:E165), Source!$G165, "")</f>
        <v>4</v>
      </c>
      <c r="F165" s="2">
        <f>IF(Source!$C165&gt;=COLUMNS($A165:F165), Source!$G165, "")</f>
        <v>4</v>
      </c>
      <c r="G165" s="2">
        <f>IF(Source!$C165&gt;=COLUMNS($A165:G165), Source!$G165, "")</f>
        <v>4</v>
      </c>
      <c r="H165" s="2">
        <f>IF(Source!$C165&gt;=COLUMNS($A165:H165), Source!$G165, "")</f>
        <v>4</v>
      </c>
      <c r="I165" s="2">
        <f>IF(Source!$C165&gt;=COLUMNS($A165:I165), Source!$G165, "")</f>
        <v>4</v>
      </c>
      <c r="J165" s="2">
        <f>IF(Source!$C165&gt;=COLUMNS($A165:J165), Source!$G165, "")</f>
        <v>4</v>
      </c>
      <c r="K165" s="2">
        <f>IF(Source!$C165&gt;=COLUMNS($A165:K165), Source!$G165, "")</f>
        <v>4</v>
      </c>
      <c r="L165" s="2">
        <f>IF(Source!$C165&gt;=COLUMNS($A165:L165), Source!$G165, "")</f>
        <v>4</v>
      </c>
      <c r="M165" s="2" t="str">
        <f>IF(Source!$C165&gt;=COLUMNS($A165:M165), Source!$G165, "")</f>
        <v/>
      </c>
      <c r="N165" s="2" t="str">
        <f>IF(Source!$C165&gt;=COLUMNS($A165:N165), Source!$G165, "")</f>
        <v/>
      </c>
      <c r="O165" s="2" t="str">
        <f>IF(Source!$C165&gt;=COLUMNS($A165:O165), Source!$G165, "")</f>
        <v/>
      </c>
      <c r="P165" s="2" t="str">
        <f>IF(Source!$C165&gt;=COLUMNS($A165:P165), Source!$G165, "")</f>
        <v/>
      </c>
      <c r="Q165" s="2" t="str">
        <f>IF(Source!$C165&gt;=COLUMNS($A165:Q165), Source!$G165, "")</f>
        <v/>
      </c>
      <c r="R165" s="2" t="str">
        <f>IF(Source!$C165&gt;=COLUMNS($A165:R165), Source!$G165, "")</f>
        <v/>
      </c>
      <c r="S165" s="2" t="str">
        <f>IF(Source!$C165&gt;=COLUMNS($A165:S165), Source!$G165, "")</f>
        <v/>
      </c>
      <c r="T165" s="2" t="str">
        <f>IF(Source!$C165&gt;=COLUMNS($A165:T165), Source!$G165, "")</f>
        <v/>
      </c>
      <c r="U165" s="2" t="str">
        <f>IF(Source!$C165&gt;=COLUMNS($A165:U165), Source!$G165, "")</f>
        <v/>
      </c>
      <c r="V165" s="2" t="str">
        <f>IF(Source!$C165&gt;=COLUMNS($A165:V165), Source!$G165, "")</f>
        <v/>
      </c>
      <c r="W165" s="2" t="str">
        <f>IF(Source!$C165&gt;=COLUMNS($A165:W165), Source!$G165, "")</f>
        <v/>
      </c>
      <c r="X165" s="2" t="str">
        <f>IF(Source!$C165&gt;=COLUMNS($A165:X165), Source!$G165, "")</f>
        <v/>
      </c>
      <c r="Y165" s="2" t="str">
        <f>IF(Source!$C165&gt;=COLUMNS($A165:Y165), Source!$G165, "")</f>
        <v/>
      </c>
      <c r="Z165" s="2" t="str">
        <f>IF(Source!$C165&gt;=COLUMNS($A165:Z165), Source!$G165, "")</f>
        <v/>
      </c>
      <c r="AA165" s="2" t="str">
        <f>IF(Source!$C165&gt;=COLUMNS($A165:AA165), Source!$G165, "")</f>
        <v/>
      </c>
      <c r="AB165" s="2" t="str">
        <f>IF(Source!$C165&gt;=COLUMNS($A165:AB165), Source!$G165, "")</f>
        <v/>
      </c>
      <c r="AC165" s="2" t="str">
        <f>IF(Source!$C165&gt;=COLUMNS($A165:AC165), Source!$G165, "")</f>
        <v/>
      </c>
      <c r="AD165" s="2" t="str">
        <f>IF(Source!$C165&gt;=COLUMNS($A165:AD165), Source!$G165, "")</f>
        <v/>
      </c>
      <c r="AE165" s="2" t="str">
        <f>IF(Source!$C165&gt;=COLUMNS($A165:AE165), Source!$G165, "")</f>
        <v/>
      </c>
      <c r="AF165" s="2" t="str">
        <f>IF(Source!$C165&gt;=COLUMNS($A165:AF165), Source!$G165, "")</f>
        <v/>
      </c>
      <c r="AG165" s="2" t="str">
        <f>IF(Source!$C165&gt;=COLUMNS($A165:AG165), Source!$G165, "")</f>
        <v/>
      </c>
      <c r="AH165" s="2" t="str">
        <f>IF(Source!$C165&gt;=COLUMNS($A165:AH165), Source!$G165, "")</f>
        <v/>
      </c>
      <c r="AI165" s="2" t="str">
        <f>IF(Source!$C165&gt;=COLUMNS($A165:AI165), Source!$G165, "")</f>
        <v/>
      </c>
      <c r="AJ165" s="2" t="str">
        <f>IF(Source!$C165&gt;=COLUMNS($A165:AJ165), Source!$G165, "")</f>
        <v/>
      </c>
      <c r="AK165" s="2" t="str">
        <f>IF(Source!$C165&gt;=COLUMNS($A165:AK165), Source!$G165, "")</f>
        <v/>
      </c>
      <c r="AL165" s="2" t="str">
        <f>IF(Source!$C165&gt;=COLUMNS($A165:AL165), Source!$G165, "")</f>
        <v/>
      </c>
      <c r="AM165" s="2" t="str">
        <f>IF(Source!$C165&gt;=COLUMNS($A165:AM165), Source!$G165, "")</f>
        <v/>
      </c>
      <c r="AN165" s="2" t="str">
        <f>IF(Source!$C165&gt;=COLUMNS($A165:AN165), Source!$G165, "")</f>
        <v/>
      </c>
      <c r="AO165" s="2" t="str">
        <f>IF(Source!$C165&gt;=COLUMNS($A165:AO165), Source!$G165, "")</f>
        <v/>
      </c>
      <c r="AP165" s="2" t="str">
        <f>IF(Source!$C165&gt;=COLUMNS($A165:AP165), Source!$G165, "")</f>
        <v/>
      </c>
      <c r="AQ165" s="2" t="str">
        <f>IF(Source!$C165&gt;=COLUMNS($A165:AQ165), Source!$G165, "")</f>
        <v/>
      </c>
      <c r="AR165" s="2" t="str">
        <f>IF(Source!$C165&gt;=COLUMNS($A165:AR165), Source!$G165, "")</f>
        <v/>
      </c>
    </row>
    <row r="166">
      <c r="A166" s="2">
        <f>IF(Source!$C166&gt;=COLUMNS($A166:A166), Source!$G166, "")</f>
        <v>7</v>
      </c>
      <c r="B166" s="2" t="str">
        <f>IF(Source!$C166&gt;=COLUMNS($A166:B166), Source!$G166, "")</f>
        <v/>
      </c>
      <c r="C166" s="2" t="str">
        <f>IF(Source!$C166&gt;=COLUMNS($A166:C166), Source!$G166, "")</f>
        <v/>
      </c>
      <c r="D166" s="2" t="str">
        <f>IF(Source!$C166&gt;=COLUMNS($A166:D166), Source!$G166, "")</f>
        <v/>
      </c>
      <c r="E166" s="2" t="str">
        <f>IF(Source!$C166&gt;=COLUMNS($A166:E166), Source!$G166, "")</f>
        <v/>
      </c>
      <c r="F166" s="2" t="str">
        <f>IF(Source!$C166&gt;=COLUMNS($A166:F166), Source!$G166, "")</f>
        <v/>
      </c>
      <c r="G166" s="2" t="str">
        <f>IF(Source!$C166&gt;=COLUMNS($A166:G166), Source!$G166, "")</f>
        <v/>
      </c>
      <c r="H166" s="2" t="str">
        <f>IF(Source!$C166&gt;=COLUMNS($A166:H166), Source!$G166, "")</f>
        <v/>
      </c>
      <c r="I166" s="2" t="str">
        <f>IF(Source!$C166&gt;=COLUMNS($A166:I166), Source!$G166, "")</f>
        <v/>
      </c>
      <c r="J166" s="2" t="str">
        <f>IF(Source!$C166&gt;=COLUMNS($A166:J166), Source!$G166, "")</f>
        <v/>
      </c>
      <c r="K166" s="2" t="str">
        <f>IF(Source!$C166&gt;=COLUMNS($A166:K166), Source!$G166, "")</f>
        <v/>
      </c>
      <c r="L166" s="2" t="str">
        <f>IF(Source!$C166&gt;=COLUMNS($A166:L166), Source!$G166, "")</f>
        <v/>
      </c>
      <c r="M166" s="2" t="str">
        <f>IF(Source!$C166&gt;=COLUMNS($A166:M166), Source!$G166, "")</f>
        <v/>
      </c>
      <c r="N166" s="2" t="str">
        <f>IF(Source!$C166&gt;=COLUMNS($A166:N166), Source!$G166, "")</f>
        <v/>
      </c>
      <c r="O166" s="2" t="str">
        <f>IF(Source!$C166&gt;=COLUMNS($A166:O166), Source!$G166, "")</f>
        <v/>
      </c>
      <c r="P166" s="2" t="str">
        <f>IF(Source!$C166&gt;=COLUMNS($A166:P166), Source!$G166, "")</f>
        <v/>
      </c>
      <c r="Q166" s="2" t="str">
        <f>IF(Source!$C166&gt;=COLUMNS($A166:Q166), Source!$G166, "")</f>
        <v/>
      </c>
      <c r="R166" s="2" t="str">
        <f>IF(Source!$C166&gt;=COLUMNS($A166:R166), Source!$G166, "")</f>
        <v/>
      </c>
      <c r="S166" s="2" t="str">
        <f>IF(Source!$C166&gt;=COLUMNS($A166:S166), Source!$G166, "")</f>
        <v/>
      </c>
      <c r="T166" s="2" t="str">
        <f>IF(Source!$C166&gt;=COLUMNS($A166:T166), Source!$G166, "")</f>
        <v/>
      </c>
      <c r="U166" s="2" t="str">
        <f>IF(Source!$C166&gt;=COLUMNS($A166:U166), Source!$G166, "")</f>
        <v/>
      </c>
      <c r="V166" s="2" t="str">
        <f>IF(Source!$C166&gt;=COLUMNS($A166:V166), Source!$G166, "")</f>
        <v/>
      </c>
      <c r="W166" s="2" t="str">
        <f>IF(Source!$C166&gt;=COLUMNS($A166:W166), Source!$G166, "")</f>
        <v/>
      </c>
      <c r="X166" s="2" t="str">
        <f>IF(Source!$C166&gt;=COLUMNS($A166:X166), Source!$G166, "")</f>
        <v/>
      </c>
      <c r="Y166" s="2" t="str">
        <f>IF(Source!$C166&gt;=COLUMNS($A166:Y166), Source!$G166, "")</f>
        <v/>
      </c>
      <c r="Z166" s="2" t="str">
        <f>IF(Source!$C166&gt;=COLUMNS($A166:Z166), Source!$G166, "")</f>
        <v/>
      </c>
      <c r="AA166" s="2" t="str">
        <f>IF(Source!$C166&gt;=COLUMNS($A166:AA166), Source!$G166, "")</f>
        <v/>
      </c>
      <c r="AB166" s="2" t="str">
        <f>IF(Source!$C166&gt;=COLUMNS($A166:AB166), Source!$G166, "")</f>
        <v/>
      </c>
      <c r="AC166" s="2" t="str">
        <f>IF(Source!$C166&gt;=COLUMNS($A166:AC166), Source!$G166, "")</f>
        <v/>
      </c>
      <c r="AD166" s="2" t="str">
        <f>IF(Source!$C166&gt;=COLUMNS($A166:AD166), Source!$G166, "")</f>
        <v/>
      </c>
      <c r="AE166" s="2" t="str">
        <f>IF(Source!$C166&gt;=COLUMNS($A166:AE166), Source!$G166, "")</f>
        <v/>
      </c>
      <c r="AF166" s="2" t="str">
        <f>IF(Source!$C166&gt;=COLUMNS($A166:AF166), Source!$G166, "")</f>
        <v/>
      </c>
      <c r="AG166" s="2" t="str">
        <f>IF(Source!$C166&gt;=COLUMNS($A166:AG166), Source!$G166, "")</f>
        <v/>
      </c>
      <c r="AH166" s="2" t="str">
        <f>IF(Source!$C166&gt;=COLUMNS($A166:AH166), Source!$G166, "")</f>
        <v/>
      </c>
      <c r="AI166" s="2" t="str">
        <f>IF(Source!$C166&gt;=COLUMNS($A166:AI166), Source!$G166, "")</f>
        <v/>
      </c>
      <c r="AJ166" s="2" t="str">
        <f>IF(Source!$C166&gt;=COLUMNS($A166:AJ166), Source!$G166, "")</f>
        <v/>
      </c>
      <c r="AK166" s="2" t="str">
        <f>IF(Source!$C166&gt;=COLUMNS($A166:AK166), Source!$G166, "")</f>
        <v/>
      </c>
      <c r="AL166" s="2" t="str">
        <f>IF(Source!$C166&gt;=COLUMNS($A166:AL166), Source!$G166, "")</f>
        <v/>
      </c>
      <c r="AM166" s="2" t="str">
        <f>IF(Source!$C166&gt;=COLUMNS($A166:AM166), Source!$G166, "")</f>
        <v/>
      </c>
      <c r="AN166" s="2" t="str">
        <f>IF(Source!$C166&gt;=COLUMNS($A166:AN166), Source!$G166, "")</f>
        <v/>
      </c>
      <c r="AO166" s="2" t="str">
        <f>IF(Source!$C166&gt;=COLUMNS($A166:AO166), Source!$G166, "")</f>
        <v/>
      </c>
      <c r="AP166" s="2" t="str">
        <f>IF(Source!$C166&gt;=COLUMNS($A166:AP166), Source!$G166, "")</f>
        <v/>
      </c>
      <c r="AQ166" s="2" t="str">
        <f>IF(Source!$C166&gt;=COLUMNS($A166:AQ166), Source!$G166, "")</f>
        <v/>
      </c>
      <c r="AR166" s="2" t="str">
        <f>IF(Source!$C166&gt;=COLUMNS($A166:AR166), Source!$G166, "")</f>
        <v/>
      </c>
    </row>
    <row r="167">
      <c r="A167" s="2">
        <f>IF(Source!$C167&gt;=COLUMNS($A167:A167), Source!$G167, "")</f>
        <v>2</v>
      </c>
      <c r="B167" s="2" t="str">
        <f>IF(Source!$C167&gt;=COLUMNS($A167:B167), Source!$G167, "")</f>
        <v/>
      </c>
      <c r="C167" s="2" t="str">
        <f>IF(Source!$C167&gt;=COLUMNS($A167:C167), Source!$G167, "")</f>
        <v/>
      </c>
      <c r="D167" s="2" t="str">
        <f>IF(Source!$C167&gt;=COLUMNS($A167:D167), Source!$G167, "")</f>
        <v/>
      </c>
      <c r="E167" s="2" t="str">
        <f>IF(Source!$C167&gt;=COLUMNS($A167:E167), Source!$G167, "")</f>
        <v/>
      </c>
      <c r="F167" s="2" t="str">
        <f>IF(Source!$C167&gt;=COLUMNS($A167:F167), Source!$G167, "")</f>
        <v/>
      </c>
      <c r="G167" s="2" t="str">
        <f>IF(Source!$C167&gt;=COLUMNS($A167:G167), Source!$G167, "")</f>
        <v/>
      </c>
      <c r="H167" s="2" t="str">
        <f>IF(Source!$C167&gt;=COLUMNS($A167:H167), Source!$G167, "")</f>
        <v/>
      </c>
      <c r="I167" s="2" t="str">
        <f>IF(Source!$C167&gt;=COLUMNS($A167:I167), Source!$G167, "")</f>
        <v/>
      </c>
      <c r="J167" s="2" t="str">
        <f>IF(Source!$C167&gt;=COLUMNS($A167:J167), Source!$G167, "")</f>
        <v/>
      </c>
      <c r="K167" s="2" t="str">
        <f>IF(Source!$C167&gt;=COLUMNS($A167:K167), Source!$G167, "")</f>
        <v/>
      </c>
      <c r="L167" s="2" t="str">
        <f>IF(Source!$C167&gt;=COLUMNS($A167:L167), Source!$G167, "")</f>
        <v/>
      </c>
      <c r="M167" s="2" t="str">
        <f>IF(Source!$C167&gt;=COLUMNS($A167:M167), Source!$G167, "")</f>
        <v/>
      </c>
      <c r="N167" s="2" t="str">
        <f>IF(Source!$C167&gt;=COLUMNS($A167:N167), Source!$G167, "")</f>
        <v/>
      </c>
      <c r="O167" s="2" t="str">
        <f>IF(Source!$C167&gt;=COLUMNS($A167:O167), Source!$G167, "")</f>
        <v/>
      </c>
      <c r="P167" s="2" t="str">
        <f>IF(Source!$C167&gt;=COLUMNS($A167:P167), Source!$G167, "")</f>
        <v/>
      </c>
      <c r="Q167" s="2" t="str">
        <f>IF(Source!$C167&gt;=COLUMNS($A167:Q167), Source!$G167, "")</f>
        <v/>
      </c>
      <c r="R167" s="2" t="str">
        <f>IF(Source!$C167&gt;=COLUMNS($A167:R167), Source!$G167, "")</f>
        <v/>
      </c>
      <c r="S167" s="2" t="str">
        <f>IF(Source!$C167&gt;=COLUMNS($A167:S167), Source!$G167, "")</f>
        <v/>
      </c>
      <c r="T167" s="2" t="str">
        <f>IF(Source!$C167&gt;=COLUMNS($A167:T167), Source!$G167, "")</f>
        <v/>
      </c>
      <c r="U167" s="2" t="str">
        <f>IF(Source!$C167&gt;=COLUMNS($A167:U167), Source!$G167, "")</f>
        <v/>
      </c>
      <c r="V167" s="2" t="str">
        <f>IF(Source!$C167&gt;=COLUMNS($A167:V167), Source!$G167, "")</f>
        <v/>
      </c>
      <c r="W167" s="2" t="str">
        <f>IF(Source!$C167&gt;=COLUMNS($A167:W167), Source!$G167, "")</f>
        <v/>
      </c>
      <c r="X167" s="2" t="str">
        <f>IF(Source!$C167&gt;=COLUMNS($A167:X167), Source!$G167, "")</f>
        <v/>
      </c>
      <c r="Y167" s="2" t="str">
        <f>IF(Source!$C167&gt;=COLUMNS($A167:Y167), Source!$G167, "")</f>
        <v/>
      </c>
      <c r="Z167" s="2" t="str">
        <f>IF(Source!$C167&gt;=COLUMNS($A167:Z167), Source!$G167, "")</f>
        <v/>
      </c>
      <c r="AA167" s="2" t="str">
        <f>IF(Source!$C167&gt;=COLUMNS($A167:AA167), Source!$G167, "")</f>
        <v/>
      </c>
      <c r="AB167" s="2" t="str">
        <f>IF(Source!$C167&gt;=COLUMNS($A167:AB167), Source!$G167, "")</f>
        <v/>
      </c>
      <c r="AC167" s="2" t="str">
        <f>IF(Source!$C167&gt;=COLUMNS($A167:AC167), Source!$G167, "")</f>
        <v/>
      </c>
      <c r="AD167" s="2" t="str">
        <f>IF(Source!$C167&gt;=COLUMNS($A167:AD167), Source!$G167, "")</f>
        <v/>
      </c>
      <c r="AE167" s="2" t="str">
        <f>IF(Source!$C167&gt;=COLUMNS($A167:AE167), Source!$G167, "")</f>
        <v/>
      </c>
      <c r="AF167" s="2" t="str">
        <f>IF(Source!$C167&gt;=COLUMNS($A167:AF167), Source!$G167, "")</f>
        <v/>
      </c>
      <c r="AG167" s="2" t="str">
        <f>IF(Source!$C167&gt;=COLUMNS($A167:AG167), Source!$G167, "")</f>
        <v/>
      </c>
      <c r="AH167" s="2" t="str">
        <f>IF(Source!$C167&gt;=COLUMNS($A167:AH167), Source!$G167, "")</f>
        <v/>
      </c>
      <c r="AI167" s="2" t="str">
        <f>IF(Source!$C167&gt;=COLUMNS($A167:AI167), Source!$G167, "")</f>
        <v/>
      </c>
      <c r="AJ167" s="2" t="str">
        <f>IF(Source!$C167&gt;=COLUMNS($A167:AJ167), Source!$G167, "")</f>
        <v/>
      </c>
      <c r="AK167" s="2" t="str">
        <f>IF(Source!$C167&gt;=COLUMNS($A167:AK167), Source!$G167, "")</f>
        <v/>
      </c>
      <c r="AL167" s="2" t="str">
        <f>IF(Source!$C167&gt;=COLUMNS($A167:AL167), Source!$G167, "")</f>
        <v/>
      </c>
      <c r="AM167" s="2" t="str">
        <f>IF(Source!$C167&gt;=COLUMNS($A167:AM167), Source!$G167, "")</f>
        <v/>
      </c>
      <c r="AN167" s="2" t="str">
        <f>IF(Source!$C167&gt;=COLUMNS($A167:AN167), Source!$G167, "")</f>
        <v/>
      </c>
      <c r="AO167" s="2" t="str">
        <f>IF(Source!$C167&gt;=COLUMNS($A167:AO167), Source!$G167, "")</f>
        <v/>
      </c>
      <c r="AP167" s="2" t="str">
        <f>IF(Source!$C167&gt;=COLUMNS($A167:AP167), Source!$G167, "")</f>
        <v/>
      </c>
      <c r="AQ167" s="2" t="str">
        <f>IF(Source!$C167&gt;=COLUMNS($A167:AQ167), Source!$G167, "")</f>
        <v/>
      </c>
      <c r="AR167" s="2" t="str">
        <f>IF(Source!$C167&gt;=COLUMNS($A167:AR167), Source!$G167, "")</f>
        <v/>
      </c>
    </row>
    <row r="168">
      <c r="A168" s="2">
        <f>IF(Source!$C168&gt;=COLUMNS($A168:A168), Source!$G168, "")</f>
        <v>9</v>
      </c>
      <c r="B168" s="2">
        <f>IF(Source!$C168&gt;=COLUMNS($A168:B168), Source!$G168, "")</f>
        <v>9</v>
      </c>
      <c r="C168" s="2">
        <f>IF(Source!$C168&gt;=COLUMNS($A168:C168), Source!$G168, "")</f>
        <v>9</v>
      </c>
      <c r="D168" s="2">
        <f>IF(Source!$C168&gt;=COLUMNS($A168:D168), Source!$G168, "")</f>
        <v>9</v>
      </c>
      <c r="E168" s="2">
        <f>IF(Source!$C168&gt;=COLUMNS($A168:E168), Source!$G168, "")</f>
        <v>9</v>
      </c>
      <c r="F168" s="2">
        <f>IF(Source!$C168&gt;=COLUMNS($A168:F168), Source!$G168, "")</f>
        <v>9</v>
      </c>
      <c r="G168" s="2">
        <f>IF(Source!$C168&gt;=COLUMNS($A168:G168), Source!$G168, "")</f>
        <v>9</v>
      </c>
      <c r="H168" s="2">
        <f>IF(Source!$C168&gt;=COLUMNS($A168:H168), Source!$G168, "")</f>
        <v>9</v>
      </c>
      <c r="I168" s="2">
        <f>IF(Source!$C168&gt;=COLUMNS($A168:I168), Source!$G168, "")</f>
        <v>9</v>
      </c>
      <c r="J168" s="2" t="str">
        <f>IF(Source!$C168&gt;=COLUMNS($A168:J168), Source!$G168, "")</f>
        <v/>
      </c>
      <c r="K168" s="2" t="str">
        <f>IF(Source!$C168&gt;=COLUMNS($A168:K168), Source!$G168, "")</f>
        <v/>
      </c>
      <c r="L168" s="2" t="str">
        <f>IF(Source!$C168&gt;=COLUMNS($A168:L168), Source!$G168, "")</f>
        <v/>
      </c>
      <c r="M168" s="2" t="str">
        <f>IF(Source!$C168&gt;=COLUMNS($A168:M168), Source!$G168, "")</f>
        <v/>
      </c>
      <c r="N168" s="2" t="str">
        <f>IF(Source!$C168&gt;=COLUMNS($A168:N168), Source!$G168, "")</f>
        <v/>
      </c>
      <c r="O168" s="2" t="str">
        <f>IF(Source!$C168&gt;=COLUMNS($A168:O168), Source!$G168, "")</f>
        <v/>
      </c>
      <c r="P168" s="2" t="str">
        <f>IF(Source!$C168&gt;=COLUMNS($A168:P168), Source!$G168, "")</f>
        <v/>
      </c>
      <c r="Q168" s="2" t="str">
        <f>IF(Source!$C168&gt;=COLUMNS($A168:Q168), Source!$G168, "")</f>
        <v/>
      </c>
      <c r="R168" s="2" t="str">
        <f>IF(Source!$C168&gt;=COLUMNS($A168:R168), Source!$G168, "")</f>
        <v/>
      </c>
      <c r="S168" s="2" t="str">
        <f>IF(Source!$C168&gt;=COLUMNS($A168:S168), Source!$G168, "")</f>
        <v/>
      </c>
      <c r="T168" s="2" t="str">
        <f>IF(Source!$C168&gt;=COLUMNS($A168:T168), Source!$G168, "")</f>
        <v/>
      </c>
      <c r="U168" s="2" t="str">
        <f>IF(Source!$C168&gt;=COLUMNS($A168:U168), Source!$G168, "")</f>
        <v/>
      </c>
      <c r="V168" s="2" t="str">
        <f>IF(Source!$C168&gt;=COLUMNS($A168:V168), Source!$G168, "")</f>
        <v/>
      </c>
      <c r="W168" s="2" t="str">
        <f>IF(Source!$C168&gt;=COLUMNS($A168:W168), Source!$G168, "")</f>
        <v/>
      </c>
      <c r="X168" s="2" t="str">
        <f>IF(Source!$C168&gt;=COLUMNS($A168:X168), Source!$G168, "")</f>
        <v/>
      </c>
      <c r="Y168" s="2" t="str">
        <f>IF(Source!$C168&gt;=COLUMNS($A168:Y168), Source!$G168, "")</f>
        <v/>
      </c>
      <c r="Z168" s="2" t="str">
        <f>IF(Source!$C168&gt;=COLUMNS($A168:Z168), Source!$G168, "")</f>
        <v/>
      </c>
      <c r="AA168" s="2" t="str">
        <f>IF(Source!$C168&gt;=COLUMNS($A168:AA168), Source!$G168, "")</f>
        <v/>
      </c>
      <c r="AB168" s="2" t="str">
        <f>IF(Source!$C168&gt;=COLUMNS($A168:AB168), Source!$G168, "")</f>
        <v/>
      </c>
      <c r="AC168" s="2" t="str">
        <f>IF(Source!$C168&gt;=COLUMNS($A168:AC168), Source!$G168, "")</f>
        <v/>
      </c>
      <c r="AD168" s="2" t="str">
        <f>IF(Source!$C168&gt;=COLUMNS($A168:AD168), Source!$G168, "")</f>
        <v/>
      </c>
      <c r="AE168" s="2" t="str">
        <f>IF(Source!$C168&gt;=COLUMNS($A168:AE168), Source!$G168, "")</f>
        <v/>
      </c>
      <c r="AF168" s="2" t="str">
        <f>IF(Source!$C168&gt;=COLUMNS($A168:AF168), Source!$G168, "")</f>
        <v/>
      </c>
      <c r="AG168" s="2" t="str">
        <f>IF(Source!$C168&gt;=COLUMNS($A168:AG168), Source!$G168, "")</f>
        <v/>
      </c>
      <c r="AH168" s="2" t="str">
        <f>IF(Source!$C168&gt;=COLUMNS($A168:AH168), Source!$G168, "")</f>
        <v/>
      </c>
      <c r="AI168" s="2" t="str">
        <f>IF(Source!$C168&gt;=COLUMNS($A168:AI168), Source!$G168, "")</f>
        <v/>
      </c>
      <c r="AJ168" s="2" t="str">
        <f>IF(Source!$C168&gt;=COLUMNS($A168:AJ168), Source!$G168, "")</f>
        <v/>
      </c>
      <c r="AK168" s="2" t="str">
        <f>IF(Source!$C168&gt;=COLUMNS($A168:AK168), Source!$G168, "")</f>
        <v/>
      </c>
      <c r="AL168" s="2" t="str">
        <f>IF(Source!$C168&gt;=COLUMNS($A168:AL168), Source!$G168, "")</f>
        <v/>
      </c>
      <c r="AM168" s="2" t="str">
        <f>IF(Source!$C168&gt;=COLUMNS($A168:AM168), Source!$G168, "")</f>
        <v/>
      </c>
      <c r="AN168" s="2" t="str">
        <f>IF(Source!$C168&gt;=COLUMNS($A168:AN168), Source!$G168, "")</f>
        <v/>
      </c>
      <c r="AO168" s="2" t="str">
        <f>IF(Source!$C168&gt;=COLUMNS($A168:AO168), Source!$G168, "")</f>
        <v/>
      </c>
      <c r="AP168" s="2" t="str">
        <f>IF(Source!$C168&gt;=COLUMNS($A168:AP168), Source!$G168, "")</f>
        <v/>
      </c>
      <c r="AQ168" s="2" t="str">
        <f>IF(Source!$C168&gt;=COLUMNS($A168:AQ168), Source!$G168, "")</f>
        <v/>
      </c>
      <c r="AR168" s="2" t="str">
        <f>IF(Source!$C168&gt;=COLUMNS($A168:AR168), Source!$G168, "")</f>
        <v/>
      </c>
    </row>
    <row r="169">
      <c r="A169" s="2">
        <f>IF(Source!$C169&gt;=COLUMNS($A169:A169), Source!$G169, "")</f>
        <v>2</v>
      </c>
      <c r="B169" s="2" t="str">
        <f>IF(Source!$C169&gt;=COLUMNS($A169:B169), Source!$G169, "")</f>
        <v/>
      </c>
      <c r="C169" s="2" t="str">
        <f>IF(Source!$C169&gt;=COLUMNS($A169:C169), Source!$G169, "")</f>
        <v/>
      </c>
      <c r="D169" s="2" t="str">
        <f>IF(Source!$C169&gt;=COLUMNS($A169:D169), Source!$G169, "")</f>
        <v/>
      </c>
      <c r="E169" s="2" t="str">
        <f>IF(Source!$C169&gt;=COLUMNS($A169:E169), Source!$G169, "")</f>
        <v/>
      </c>
      <c r="F169" s="2" t="str">
        <f>IF(Source!$C169&gt;=COLUMNS($A169:F169), Source!$G169, "")</f>
        <v/>
      </c>
      <c r="G169" s="2" t="str">
        <f>IF(Source!$C169&gt;=COLUMNS($A169:G169), Source!$G169, "")</f>
        <v/>
      </c>
      <c r="H169" s="2" t="str">
        <f>IF(Source!$C169&gt;=COLUMNS($A169:H169), Source!$G169, "")</f>
        <v/>
      </c>
      <c r="I169" s="2" t="str">
        <f>IF(Source!$C169&gt;=COLUMNS($A169:I169), Source!$G169, "")</f>
        <v/>
      </c>
      <c r="J169" s="2" t="str">
        <f>IF(Source!$C169&gt;=COLUMNS($A169:J169), Source!$G169, "")</f>
        <v/>
      </c>
      <c r="K169" s="2" t="str">
        <f>IF(Source!$C169&gt;=COLUMNS($A169:K169), Source!$G169, "")</f>
        <v/>
      </c>
      <c r="L169" s="2" t="str">
        <f>IF(Source!$C169&gt;=COLUMNS($A169:L169), Source!$G169, "")</f>
        <v/>
      </c>
      <c r="M169" s="2" t="str">
        <f>IF(Source!$C169&gt;=COLUMNS($A169:M169), Source!$G169, "")</f>
        <v/>
      </c>
      <c r="N169" s="2" t="str">
        <f>IF(Source!$C169&gt;=COLUMNS($A169:N169), Source!$G169, "")</f>
        <v/>
      </c>
      <c r="O169" s="2" t="str">
        <f>IF(Source!$C169&gt;=COLUMNS($A169:O169), Source!$G169, "")</f>
        <v/>
      </c>
      <c r="P169" s="2" t="str">
        <f>IF(Source!$C169&gt;=COLUMNS($A169:P169), Source!$G169, "")</f>
        <v/>
      </c>
      <c r="Q169" s="2" t="str">
        <f>IF(Source!$C169&gt;=COLUMNS($A169:Q169), Source!$G169, "")</f>
        <v/>
      </c>
      <c r="R169" s="2" t="str">
        <f>IF(Source!$C169&gt;=COLUMNS($A169:R169), Source!$G169, "")</f>
        <v/>
      </c>
      <c r="S169" s="2" t="str">
        <f>IF(Source!$C169&gt;=COLUMNS($A169:S169), Source!$G169, "")</f>
        <v/>
      </c>
      <c r="T169" s="2" t="str">
        <f>IF(Source!$C169&gt;=COLUMNS($A169:T169), Source!$G169, "")</f>
        <v/>
      </c>
      <c r="U169" s="2" t="str">
        <f>IF(Source!$C169&gt;=COLUMNS($A169:U169), Source!$G169, "")</f>
        <v/>
      </c>
      <c r="V169" s="2" t="str">
        <f>IF(Source!$C169&gt;=COLUMNS($A169:V169), Source!$G169, "")</f>
        <v/>
      </c>
      <c r="W169" s="2" t="str">
        <f>IF(Source!$C169&gt;=COLUMNS($A169:W169), Source!$G169, "")</f>
        <v/>
      </c>
      <c r="X169" s="2" t="str">
        <f>IF(Source!$C169&gt;=COLUMNS($A169:X169), Source!$G169, "")</f>
        <v/>
      </c>
      <c r="Y169" s="2" t="str">
        <f>IF(Source!$C169&gt;=COLUMNS($A169:Y169), Source!$G169, "")</f>
        <v/>
      </c>
      <c r="Z169" s="2" t="str">
        <f>IF(Source!$C169&gt;=COLUMNS($A169:Z169), Source!$G169, "")</f>
        <v/>
      </c>
      <c r="AA169" s="2" t="str">
        <f>IF(Source!$C169&gt;=COLUMNS($A169:AA169), Source!$G169, "")</f>
        <v/>
      </c>
      <c r="AB169" s="2" t="str">
        <f>IF(Source!$C169&gt;=COLUMNS($A169:AB169), Source!$G169, "")</f>
        <v/>
      </c>
      <c r="AC169" s="2" t="str">
        <f>IF(Source!$C169&gt;=COLUMNS($A169:AC169), Source!$G169, "")</f>
        <v/>
      </c>
      <c r="AD169" s="2" t="str">
        <f>IF(Source!$C169&gt;=COLUMNS($A169:AD169), Source!$G169, "")</f>
        <v/>
      </c>
      <c r="AE169" s="2" t="str">
        <f>IF(Source!$C169&gt;=COLUMNS($A169:AE169), Source!$G169, "")</f>
        <v/>
      </c>
      <c r="AF169" s="2" t="str">
        <f>IF(Source!$C169&gt;=COLUMNS($A169:AF169), Source!$G169, "")</f>
        <v/>
      </c>
      <c r="AG169" s="2" t="str">
        <f>IF(Source!$C169&gt;=COLUMNS($A169:AG169), Source!$G169, "")</f>
        <v/>
      </c>
      <c r="AH169" s="2" t="str">
        <f>IF(Source!$C169&gt;=COLUMNS($A169:AH169), Source!$G169, "")</f>
        <v/>
      </c>
      <c r="AI169" s="2" t="str">
        <f>IF(Source!$C169&gt;=COLUMNS($A169:AI169), Source!$G169, "")</f>
        <v/>
      </c>
      <c r="AJ169" s="2" t="str">
        <f>IF(Source!$C169&gt;=COLUMNS($A169:AJ169), Source!$G169, "")</f>
        <v/>
      </c>
      <c r="AK169" s="2" t="str">
        <f>IF(Source!$C169&gt;=COLUMNS($A169:AK169), Source!$G169, "")</f>
        <v/>
      </c>
      <c r="AL169" s="2" t="str">
        <f>IF(Source!$C169&gt;=COLUMNS($A169:AL169), Source!$G169, "")</f>
        <v/>
      </c>
      <c r="AM169" s="2" t="str">
        <f>IF(Source!$C169&gt;=COLUMNS($A169:AM169), Source!$G169, "")</f>
        <v/>
      </c>
      <c r="AN169" s="2" t="str">
        <f>IF(Source!$C169&gt;=COLUMNS($A169:AN169), Source!$G169, "")</f>
        <v/>
      </c>
      <c r="AO169" s="2" t="str">
        <f>IF(Source!$C169&gt;=COLUMNS($A169:AO169), Source!$G169, "")</f>
        <v/>
      </c>
      <c r="AP169" s="2" t="str">
        <f>IF(Source!$C169&gt;=COLUMNS($A169:AP169), Source!$G169, "")</f>
        <v/>
      </c>
      <c r="AQ169" s="2" t="str">
        <f>IF(Source!$C169&gt;=COLUMNS($A169:AQ169), Source!$G169, "")</f>
        <v/>
      </c>
      <c r="AR169" s="2" t="str">
        <f>IF(Source!$C169&gt;=COLUMNS($A169:AR169), Source!$G169, "")</f>
        <v/>
      </c>
    </row>
    <row r="170">
      <c r="A170" s="2">
        <f>IF(Source!$C170&gt;=COLUMNS($A170:A170), Source!$G170, "")</f>
        <v>8</v>
      </c>
      <c r="B170" s="2">
        <f>IF(Source!$C170&gt;=COLUMNS($A170:B170), Source!$G170, "")</f>
        <v>8</v>
      </c>
      <c r="C170" s="2">
        <f>IF(Source!$C170&gt;=COLUMNS($A170:C170), Source!$G170, "")</f>
        <v>8</v>
      </c>
      <c r="D170" s="2">
        <f>IF(Source!$C170&gt;=COLUMNS($A170:D170), Source!$G170, "")</f>
        <v>8</v>
      </c>
      <c r="E170" s="2">
        <f>IF(Source!$C170&gt;=COLUMNS($A170:E170), Source!$G170, "")</f>
        <v>8</v>
      </c>
      <c r="F170" s="2">
        <f>IF(Source!$C170&gt;=COLUMNS($A170:F170), Source!$G170, "")</f>
        <v>8</v>
      </c>
      <c r="G170" s="2">
        <f>IF(Source!$C170&gt;=COLUMNS($A170:G170), Source!$G170, "")</f>
        <v>8</v>
      </c>
      <c r="H170" s="2">
        <f>IF(Source!$C170&gt;=COLUMNS($A170:H170), Source!$G170, "")</f>
        <v>8</v>
      </c>
      <c r="I170" s="2">
        <f>IF(Source!$C170&gt;=COLUMNS($A170:I170), Source!$G170, "")</f>
        <v>8</v>
      </c>
      <c r="J170" s="2" t="str">
        <f>IF(Source!$C170&gt;=COLUMNS($A170:J170), Source!$G170, "")</f>
        <v/>
      </c>
      <c r="K170" s="2" t="str">
        <f>IF(Source!$C170&gt;=COLUMNS($A170:K170), Source!$G170, "")</f>
        <v/>
      </c>
      <c r="L170" s="2" t="str">
        <f>IF(Source!$C170&gt;=COLUMNS($A170:L170), Source!$G170, "")</f>
        <v/>
      </c>
      <c r="M170" s="2" t="str">
        <f>IF(Source!$C170&gt;=COLUMNS($A170:M170), Source!$G170, "")</f>
        <v/>
      </c>
      <c r="N170" s="2" t="str">
        <f>IF(Source!$C170&gt;=COLUMNS($A170:N170), Source!$G170, "")</f>
        <v/>
      </c>
      <c r="O170" s="2" t="str">
        <f>IF(Source!$C170&gt;=COLUMNS($A170:O170), Source!$G170, "")</f>
        <v/>
      </c>
      <c r="P170" s="2" t="str">
        <f>IF(Source!$C170&gt;=COLUMNS($A170:P170), Source!$G170, "")</f>
        <v/>
      </c>
      <c r="Q170" s="2" t="str">
        <f>IF(Source!$C170&gt;=COLUMNS($A170:Q170), Source!$G170, "")</f>
        <v/>
      </c>
      <c r="R170" s="2" t="str">
        <f>IF(Source!$C170&gt;=COLUMNS($A170:R170), Source!$G170, "")</f>
        <v/>
      </c>
      <c r="S170" s="2" t="str">
        <f>IF(Source!$C170&gt;=COLUMNS($A170:S170), Source!$G170, "")</f>
        <v/>
      </c>
      <c r="T170" s="2" t="str">
        <f>IF(Source!$C170&gt;=COLUMNS($A170:T170), Source!$G170, "")</f>
        <v/>
      </c>
      <c r="U170" s="2" t="str">
        <f>IF(Source!$C170&gt;=COLUMNS($A170:U170), Source!$G170, "")</f>
        <v/>
      </c>
      <c r="V170" s="2" t="str">
        <f>IF(Source!$C170&gt;=COLUMNS($A170:V170), Source!$G170, "")</f>
        <v/>
      </c>
      <c r="W170" s="2" t="str">
        <f>IF(Source!$C170&gt;=COLUMNS($A170:W170), Source!$G170, "")</f>
        <v/>
      </c>
      <c r="X170" s="2" t="str">
        <f>IF(Source!$C170&gt;=COLUMNS($A170:X170), Source!$G170, "")</f>
        <v/>
      </c>
      <c r="Y170" s="2" t="str">
        <f>IF(Source!$C170&gt;=COLUMNS($A170:Y170), Source!$G170, "")</f>
        <v/>
      </c>
      <c r="Z170" s="2" t="str">
        <f>IF(Source!$C170&gt;=COLUMNS($A170:Z170), Source!$G170, "")</f>
        <v/>
      </c>
      <c r="AA170" s="2" t="str">
        <f>IF(Source!$C170&gt;=COLUMNS($A170:AA170), Source!$G170, "")</f>
        <v/>
      </c>
      <c r="AB170" s="2" t="str">
        <f>IF(Source!$C170&gt;=COLUMNS($A170:AB170), Source!$G170, "")</f>
        <v/>
      </c>
      <c r="AC170" s="2" t="str">
        <f>IF(Source!$C170&gt;=COLUMNS($A170:AC170), Source!$G170, "")</f>
        <v/>
      </c>
      <c r="AD170" s="2" t="str">
        <f>IF(Source!$C170&gt;=COLUMNS($A170:AD170), Source!$G170, "")</f>
        <v/>
      </c>
      <c r="AE170" s="2" t="str">
        <f>IF(Source!$C170&gt;=COLUMNS($A170:AE170), Source!$G170, "")</f>
        <v/>
      </c>
      <c r="AF170" s="2" t="str">
        <f>IF(Source!$C170&gt;=COLUMNS($A170:AF170), Source!$G170, "")</f>
        <v/>
      </c>
      <c r="AG170" s="2" t="str">
        <f>IF(Source!$C170&gt;=COLUMNS($A170:AG170), Source!$G170, "")</f>
        <v/>
      </c>
      <c r="AH170" s="2" t="str">
        <f>IF(Source!$C170&gt;=COLUMNS($A170:AH170), Source!$G170, "")</f>
        <v/>
      </c>
      <c r="AI170" s="2" t="str">
        <f>IF(Source!$C170&gt;=COLUMNS($A170:AI170), Source!$G170, "")</f>
        <v/>
      </c>
      <c r="AJ170" s="2" t="str">
        <f>IF(Source!$C170&gt;=COLUMNS($A170:AJ170), Source!$G170, "")</f>
        <v/>
      </c>
      <c r="AK170" s="2" t="str">
        <f>IF(Source!$C170&gt;=COLUMNS($A170:AK170), Source!$G170, "")</f>
        <v/>
      </c>
      <c r="AL170" s="2" t="str">
        <f>IF(Source!$C170&gt;=COLUMNS($A170:AL170), Source!$G170, "")</f>
        <v/>
      </c>
      <c r="AM170" s="2" t="str">
        <f>IF(Source!$C170&gt;=COLUMNS($A170:AM170), Source!$G170, "")</f>
        <v/>
      </c>
      <c r="AN170" s="2" t="str">
        <f>IF(Source!$C170&gt;=COLUMNS($A170:AN170), Source!$G170, "")</f>
        <v/>
      </c>
      <c r="AO170" s="2" t="str">
        <f>IF(Source!$C170&gt;=COLUMNS($A170:AO170), Source!$G170, "")</f>
        <v/>
      </c>
      <c r="AP170" s="2" t="str">
        <f>IF(Source!$C170&gt;=COLUMNS($A170:AP170), Source!$G170, "")</f>
        <v/>
      </c>
      <c r="AQ170" s="2" t="str">
        <f>IF(Source!$C170&gt;=COLUMNS($A170:AQ170), Source!$G170, "")</f>
        <v/>
      </c>
      <c r="AR170" s="2" t="str">
        <f>IF(Source!$C170&gt;=COLUMNS($A170:AR170), Source!$G170, "")</f>
        <v/>
      </c>
    </row>
    <row r="171">
      <c r="A171" s="2">
        <f>IF(Source!$C171&gt;=COLUMNS($A171:A171), Source!$G171, "")</f>
        <v>8</v>
      </c>
      <c r="B171" s="2">
        <f>IF(Source!$C171&gt;=COLUMNS($A171:B171), Source!$G171, "")</f>
        <v>8</v>
      </c>
      <c r="C171" s="2">
        <f>IF(Source!$C171&gt;=COLUMNS($A171:C171), Source!$G171, "")</f>
        <v>8</v>
      </c>
      <c r="D171" s="2">
        <f>IF(Source!$C171&gt;=COLUMNS($A171:D171), Source!$G171, "")</f>
        <v>8</v>
      </c>
      <c r="E171" s="2">
        <f>IF(Source!$C171&gt;=COLUMNS($A171:E171), Source!$G171, "")</f>
        <v>8</v>
      </c>
      <c r="F171" s="2">
        <f>IF(Source!$C171&gt;=COLUMNS($A171:F171), Source!$G171, "")</f>
        <v>8</v>
      </c>
      <c r="G171" s="2" t="str">
        <f>IF(Source!$C171&gt;=COLUMNS($A171:G171), Source!$G171, "")</f>
        <v/>
      </c>
      <c r="H171" s="2" t="str">
        <f>IF(Source!$C171&gt;=COLUMNS($A171:H171), Source!$G171, "")</f>
        <v/>
      </c>
      <c r="I171" s="2" t="str">
        <f>IF(Source!$C171&gt;=COLUMNS($A171:I171), Source!$G171, "")</f>
        <v/>
      </c>
      <c r="J171" s="2" t="str">
        <f>IF(Source!$C171&gt;=COLUMNS($A171:J171), Source!$G171, "")</f>
        <v/>
      </c>
      <c r="K171" s="2" t="str">
        <f>IF(Source!$C171&gt;=COLUMNS($A171:K171), Source!$G171, "")</f>
        <v/>
      </c>
      <c r="L171" s="2" t="str">
        <f>IF(Source!$C171&gt;=COLUMNS($A171:L171), Source!$G171, "")</f>
        <v/>
      </c>
      <c r="M171" s="2" t="str">
        <f>IF(Source!$C171&gt;=COLUMNS($A171:M171), Source!$G171, "")</f>
        <v/>
      </c>
      <c r="N171" s="2" t="str">
        <f>IF(Source!$C171&gt;=COLUMNS($A171:N171), Source!$G171, "")</f>
        <v/>
      </c>
      <c r="O171" s="2" t="str">
        <f>IF(Source!$C171&gt;=COLUMNS($A171:O171), Source!$G171, "")</f>
        <v/>
      </c>
      <c r="P171" s="2" t="str">
        <f>IF(Source!$C171&gt;=COLUMNS($A171:P171), Source!$G171, "")</f>
        <v/>
      </c>
      <c r="Q171" s="2" t="str">
        <f>IF(Source!$C171&gt;=COLUMNS($A171:Q171), Source!$G171, "")</f>
        <v/>
      </c>
      <c r="R171" s="2" t="str">
        <f>IF(Source!$C171&gt;=COLUMNS($A171:R171), Source!$G171, "")</f>
        <v/>
      </c>
      <c r="S171" s="2" t="str">
        <f>IF(Source!$C171&gt;=COLUMNS($A171:S171), Source!$G171, "")</f>
        <v/>
      </c>
      <c r="T171" s="2" t="str">
        <f>IF(Source!$C171&gt;=COLUMNS($A171:T171), Source!$G171, "")</f>
        <v/>
      </c>
      <c r="U171" s="2" t="str">
        <f>IF(Source!$C171&gt;=COLUMNS($A171:U171), Source!$G171, "")</f>
        <v/>
      </c>
      <c r="V171" s="2" t="str">
        <f>IF(Source!$C171&gt;=COLUMNS($A171:V171), Source!$G171, "")</f>
        <v/>
      </c>
      <c r="W171" s="2" t="str">
        <f>IF(Source!$C171&gt;=COLUMNS($A171:W171), Source!$G171, "")</f>
        <v/>
      </c>
      <c r="X171" s="2" t="str">
        <f>IF(Source!$C171&gt;=COLUMNS($A171:X171), Source!$G171, "")</f>
        <v/>
      </c>
      <c r="Y171" s="2" t="str">
        <f>IF(Source!$C171&gt;=COLUMNS($A171:Y171), Source!$G171, "")</f>
        <v/>
      </c>
      <c r="Z171" s="2" t="str">
        <f>IF(Source!$C171&gt;=COLUMNS($A171:Z171), Source!$G171, "")</f>
        <v/>
      </c>
      <c r="AA171" s="2" t="str">
        <f>IF(Source!$C171&gt;=COLUMNS($A171:AA171), Source!$G171, "")</f>
        <v/>
      </c>
      <c r="AB171" s="2" t="str">
        <f>IF(Source!$C171&gt;=COLUMNS($A171:AB171), Source!$G171, "")</f>
        <v/>
      </c>
      <c r="AC171" s="2" t="str">
        <f>IF(Source!$C171&gt;=COLUMNS($A171:AC171), Source!$G171, "")</f>
        <v/>
      </c>
      <c r="AD171" s="2" t="str">
        <f>IF(Source!$C171&gt;=COLUMNS($A171:AD171), Source!$G171, "")</f>
        <v/>
      </c>
      <c r="AE171" s="2" t="str">
        <f>IF(Source!$C171&gt;=COLUMNS($A171:AE171), Source!$G171, "")</f>
        <v/>
      </c>
      <c r="AF171" s="2" t="str">
        <f>IF(Source!$C171&gt;=COLUMNS($A171:AF171), Source!$G171, "")</f>
        <v/>
      </c>
      <c r="AG171" s="2" t="str">
        <f>IF(Source!$C171&gt;=COLUMNS($A171:AG171), Source!$G171, "")</f>
        <v/>
      </c>
      <c r="AH171" s="2" t="str">
        <f>IF(Source!$C171&gt;=COLUMNS($A171:AH171), Source!$G171, "")</f>
        <v/>
      </c>
      <c r="AI171" s="2" t="str">
        <f>IF(Source!$C171&gt;=COLUMNS($A171:AI171), Source!$G171, "")</f>
        <v/>
      </c>
      <c r="AJ171" s="2" t="str">
        <f>IF(Source!$C171&gt;=COLUMNS($A171:AJ171), Source!$G171, "")</f>
        <v/>
      </c>
      <c r="AK171" s="2" t="str">
        <f>IF(Source!$C171&gt;=COLUMNS($A171:AK171), Source!$G171, "")</f>
        <v/>
      </c>
      <c r="AL171" s="2" t="str">
        <f>IF(Source!$C171&gt;=COLUMNS($A171:AL171), Source!$G171, "")</f>
        <v/>
      </c>
      <c r="AM171" s="2" t="str">
        <f>IF(Source!$C171&gt;=COLUMNS($A171:AM171), Source!$G171, "")</f>
        <v/>
      </c>
      <c r="AN171" s="2" t="str">
        <f>IF(Source!$C171&gt;=COLUMNS($A171:AN171), Source!$G171, "")</f>
        <v/>
      </c>
      <c r="AO171" s="2" t="str">
        <f>IF(Source!$C171&gt;=COLUMNS($A171:AO171), Source!$G171, "")</f>
        <v/>
      </c>
      <c r="AP171" s="2" t="str">
        <f>IF(Source!$C171&gt;=COLUMNS($A171:AP171), Source!$G171, "")</f>
        <v/>
      </c>
      <c r="AQ171" s="2" t="str">
        <f>IF(Source!$C171&gt;=COLUMNS($A171:AQ171), Source!$G171, "")</f>
        <v/>
      </c>
      <c r="AR171" s="2" t="str">
        <f>IF(Source!$C171&gt;=COLUMNS($A171:AR171), Source!$G171, "")</f>
        <v/>
      </c>
    </row>
    <row r="172">
      <c r="A172" s="2">
        <f>IF(Source!$C172&gt;=COLUMNS($A172:A172), Source!$G172, "")</f>
        <v>1</v>
      </c>
      <c r="B172" s="2">
        <f>IF(Source!$C172&gt;=COLUMNS($A172:B172), Source!$G172, "")</f>
        <v>1</v>
      </c>
      <c r="C172" s="2">
        <f>IF(Source!$C172&gt;=COLUMNS($A172:C172), Source!$G172, "")</f>
        <v>1</v>
      </c>
      <c r="D172" s="2">
        <f>IF(Source!$C172&gt;=COLUMNS($A172:D172), Source!$G172, "")</f>
        <v>1</v>
      </c>
      <c r="E172" s="2" t="str">
        <f>IF(Source!$C172&gt;=COLUMNS($A172:E172), Source!$G172, "")</f>
        <v/>
      </c>
      <c r="F172" s="2" t="str">
        <f>IF(Source!$C172&gt;=COLUMNS($A172:F172), Source!$G172, "")</f>
        <v/>
      </c>
      <c r="G172" s="2" t="str">
        <f>IF(Source!$C172&gt;=COLUMNS($A172:G172), Source!$G172, "")</f>
        <v/>
      </c>
      <c r="H172" s="2" t="str">
        <f>IF(Source!$C172&gt;=COLUMNS($A172:H172), Source!$G172, "")</f>
        <v/>
      </c>
      <c r="I172" s="2" t="str">
        <f>IF(Source!$C172&gt;=COLUMNS($A172:I172), Source!$G172, "")</f>
        <v/>
      </c>
      <c r="J172" s="2" t="str">
        <f>IF(Source!$C172&gt;=COLUMNS($A172:J172), Source!$G172, "")</f>
        <v/>
      </c>
      <c r="K172" s="2" t="str">
        <f>IF(Source!$C172&gt;=COLUMNS($A172:K172), Source!$G172, "")</f>
        <v/>
      </c>
      <c r="L172" s="2" t="str">
        <f>IF(Source!$C172&gt;=COLUMNS($A172:L172), Source!$G172, "")</f>
        <v/>
      </c>
      <c r="M172" s="2" t="str">
        <f>IF(Source!$C172&gt;=COLUMNS($A172:M172), Source!$G172, "")</f>
        <v/>
      </c>
      <c r="N172" s="2" t="str">
        <f>IF(Source!$C172&gt;=COLUMNS($A172:N172), Source!$G172, "")</f>
        <v/>
      </c>
      <c r="O172" s="2" t="str">
        <f>IF(Source!$C172&gt;=COLUMNS($A172:O172), Source!$G172, "")</f>
        <v/>
      </c>
      <c r="P172" s="2" t="str">
        <f>IF(Source!$C172&gt;=COLUMNS($A172:P172), Source!$G172, "")</f>
        <v/>
      </c>
      <c r="Q172" s="2" t="str">
        <f>IF(Source!$C172&gt;=COLUMNS($A172:Q172), Source!$G172, "")</f>
        <v/>
      </c>
      <c r="R172" s="2" t="str">
        <f>IF(Source!$C172&gt;=COLUMNS($A172:R172), Source!$G172, "")</f>
        <v/>
      </c>
      <c r="S172" s="2" t="str">
        <f>IF(Source!$C172&gt;=COLUMNS($A172:S172), Source!$G172, "")</f>
        <v/>
      </c>
      <c r="T172" s="2" t="str">
        <f>IF(Source!$C172&gt;=COLUMNS($A172:T172), Source!$G172, "")</f>
        <v/>
      </c>
      <c r="U172" s="2" t="str">
        <f>IF(Source!$C172&gt;=COLUMNS($A172:U172), Source!$G172, "")</f>
        <v/>
      </c>
      <c r="V172" s="2" t="str">
        <f>IF(Source!$C172&gt;=COLUMNS($A172:V172), Source!$G172, "")</f>
        <v/>
      </c>
      <c r="W172" s="2" t="str">
        <f>IF(Source!$C172&gt;=COLUMNS($A172:W172), Source!$G172, "")</f>
        <v/>
      </c>
      <c r="X172" s="2" t="str">
        <f>IF(Source!$C172&gt;=COLUMNS($A172:X172), Source!$G172, "")</f>
        <v/>
      </c>
      <c r="Y172" s="2" t="str">
        <f>IF(Source!$C172&gt;=COLUMNS($A172:Y172), Source!$G172, "")</f>
        <v/>
      </c>
      <c r="Z172" s="2" t="str">
        <f>IF(Source!$C172&gt;=COLUMNS($A172:Z172), Source!$G172, "")</f>
        <v/>
      </c>
      <c r="AA172" s="2" t="str">
        <f>IF(Source!$C172&gt;=COLUMNS($A172:AA172), Source!$G172, "")</f>
        <v/>
      </c>
      <c r="AB172" s="2" t="str">
        <f>IF(Source!$C172&gt;=COLUMNS($A172:AB172), Source!$G172, "")</f>
        <v/>
      </c>
      <c r="AC172" s="2" t="str">
        <f>IF(Source!$C172&gt;=COLUMNS($A172:AC172), Source!$G172, "")</f>
        <v/>
      </c>
      <c r="AD172" s="2" t="str">
        <f>IF(Source!$C172&gt;=COLUMNS($A172:AD172), Source!$G172, "")</f>
        <v/>
      </c>
      <c r="AE172" s="2" t="str">
        <f>IF(Source!$C172&gt;=COLUMNS($A172:AE172), Source!$G172, "")</f>
        <v/>
      </c>
      <c r="AF172" s="2" t="str">
        <f>IF(Source!$C172&gt;=COLUMNS($A172:AF172), Source!$G172, "")</f>
        <v/>
      </c>
      <c r="AG172" s="2" t="str">
        <f>IF(Source!$C172&gt;=COLUMNS($A172:AG172), Source!$G172, "")</f>
        <v/>
      </c>
      <c r="AH172" s="2" t="str">
        <f>IF(Source!$C172&gt;=COLUMNS($A172:AH172), Source!$G172, "")</f>
        <v/>
      </c>
      <c r="AI172" s="2" t="str">
        <f>IF(Source!$C172&gt;=COLUMNS($A172:AI172), Source!$G172, "")</f>
        <v/>
      </c>
      <c r="AJ172" s="2" t="str">
        <f>IF(Source!$C172&gt;=COLUMNS($A172:AJ172), Source!$G172, "")</f>
        <v/>
      </c>
      <c r="AK172" s="2" t="str">
        <f>IF(Source!$C172&gt;=COLUMNS($A172:AK172), Source!$G172, "")</f>
        <v/>
      </c>
      <c r="AL172" s="2" t="str">
        <f>IF(Source!$C172&gt;=COLUMNS($A172:AL172), Source!$G172, "")</f>
        <v/>
      </c>
      <c r="AM172" s="2" t="str">
        <f>IF(Source!$C172&gt;=COLUMNS($A172:AM172), Source!$G172, "")</f>
        <v/>
      </c>
      <c r="AN172" s="2" t="str">
        <f>IF(Source!$C172&gt;=COLUMNS($A172:AN172), Source!$G172, "")</f>
        <v/>
      </c>
      <c r="AO172" s="2" t="str">
        <f>IF(Source!$C172&gt;=COLUMNS($A172:AO172), Source!$G172, "")</f>
        <v/>
      </c>
      <c r="AP172" s="2" t="str">
        <f>IF(Source!$C172&gt;=COLUMNS($A172:AP172), Source!$G172, "")</f>
        <v/>
      </c>
      <c r="AQ172" s="2" t="str">
        <f>IF(Source!$C172&gt;=COLUMNS($A172:AQ172), Source!$G172, "")</f>
        <v/>
      </c>
      <c r="AR172" s="2" t="str">
        <f>IF(Source!$C172&gt;=COLUMNS($A172:AR172), Source!$G172, "")</f>
        <v/>
      </c>
    </row>
    <row r="173">
      <c r="A173" s="2">
        <f>IF(Source!$C173&gt;=COLUMNS($A173:A173), Source!$G173, "")</f>
        <v>5</v>
      </c>
      <c r="B173" s="2">
        <f>IF(Source!$C173&gt;=COLUMNS($A173:B173), Source!$G173, "")</f>
        <v>5</v>
      </c>
      <c r="C173" s="2">
        <f>IF(Source!$C173&gt;=COLUMNS($A173:C173), Source!$G173, "")</f>
        <v>5</v>
      </c>
      <c r="D173" s="2">
        <f>IF(Source!$C173&gt;=COLUMNS($A173:D173), Source!$G173, "")</f>
        <v>5</v>
      </c>
      <c r="E173" s="2">
        <f>IF(Source!$C173&gt;=COLUMNS($A173:E173), Source!$G173, "")</f>
        <v>5</v>
      </c>
      <c r="F173" s="2">
        <f>IF(Source!$C173&gt;=COLUMNS($A173:F173), Source!$G173, "")</f>
        <v>5</v>
      </c>
      <c r="G173" s="2" t="str">
        <f>IF(Source!$C173&gt;=COLUMNS($A173:G173), Source!$G173, "")</f>
        <v/>
      </c>
      <c r="H173" s="2" t="str">
        <f>IF(Source!$C173&gt;=COLUMNS($A173:H173), Source!$G173, "")</f>
        <v/>
      </c>
      <c r="I173" s="2" t="str">
        <f>IF(Source!$C173&gt;=COLUMNS($A173:I173), Source!$G173, "")</f>
        <v/>
      </c>
      <c r="J173" s="2" t="str">
        <f>IF(Source!$C173&gt;=COLUMNS($A173:J173), Source!$G173, "")</f>
        <v/>
      </c>
      <c r="K173" s="2" t="str">
        <f>IF(Source!$C173&gt;=COLUMNS($A173:K173), Source!$G173, "")</f>
        <v/>
      </c>
      <c r="L173" s="2" t="str">
        <f>IF(Source!$C173&gt;=COLUMNS($A173:L173), Source!$G173, "")</f>
        <v/>
      </c>
      <c r="M173" s="2" t="str">
        <f>IF(Source!$C173&gt;=COLUMNS($A173:M173), Source!$G173, "")</f>
        <v/>
      </c>
      <c r="N173" s="2" t="str">
        <f>IF(Source!$C173&gt;=COLUMNS($A173:N173), Source!$G173, "")</f>
        <v/>
      </c>
      <c r="O173" s="2" t="str">
        <f>IF(Source!$C173&gt;=COLUMNS($A173:O173), Source!$G173, "")</f>
        <v/>
      </c>
      <c r="P173" s="2" t="str">
        <f>IF(Source!$C173&gt;=COLUMNS($A173:P173), Source!$G173, "")</f>
        <v/>
      </c>
      <c r="Q173" s="2" t="str">
        <f>IF(Source!$C173&gt;=COLUMNS($A173:Q173), Source!$G173, "")</f>
        <v/>
      </c>
      <c r="R173" s="2" t="str">
        <f>IF(Source!$C173&gt;=COLUMNS($A173:R173), Source!$G173, "")</f>
        <v/>
      </c>
      <c r="S173" s="2" t="str">
        <f>IF(Source!$C173&gt;=COLUMNS($A173:S173), Source!$G173, "")</f>
        <v/>
      </c>
      <c r="T173" s="2" t="str">
        <f>IF(Source!$C173&gt;=COLUMNS($A173:T173), Source!$G173, "")</f>
        <v/>
      </c>
      <c r="U173" s="2" t="str">
        <f>IF(Source!$C173&gt;=COLUMNS($A173:U173), Source!$G173, "")</f>
        <v/>
      </c>
      <c r="V173" s="2" t="str">
        <f>IF(Source!$C173&gt;=COLUMNS($A173:V173), Source!$G173, "")</f>
        <v/>
      </c>
      <c r="W173" s="2" t="str">
        <f>IF(Source!$C173&gt;=COLUMNS($A173:W173), Source!$G173, "")</f>
        <v/>
      </c>
      <c r="X173" s="2" t="str">
        <f>IF(Source!$C173&gt;=COLUMNS($A173:X173), Source!$G173, "")</f>
        <v/>
      </c>
      <c r="Y173" s="2" t="str">
        <f>IF(Source!$C173&gt;=COLUMNS($A173:Y173), Source!$G173, "")</f>
        <v/>
      </c>
      <c r="Z173" s="2" t="str">
        <f>IF(Source!$C173&gt;=COLUMNS($A173:Z173), Source!$G173, "")</f>
        <v/>
      </c>
      <c r="AA173" s="2" t="str">
        <f>IF(Source!$C173&gt;=COLUMNS($A173:AA173), Source!$G173, "")</f>
        <v/>
      </c>
      <c r="AB173" s="2" t="str">
        <f>IF(Source!$C173&gt;=COLUMNS($A173:AB173), Source!$G173, "")</f>
        <v/>
      </c>
      <c r="AC173" s="2" t="str">
        <f>IF(Source!$C173&gt;=COLUMNS($A173:AC173), Source!$G173, "")</f>
        <v/>
      </c>
      <c r="AD173" s="2" t="str">
        <f>IF(Source!$C173&gt;=COLUMNS($A173:AD173), Source!$G173, "")</f>
        <v/>
      </c>
      <c r="AE173" s="2" t="str">
        <f>IF(Source!$C173&gt;=COLUMNS($A173:AE173), Source!$G173, "")</f>
        <v/>
      </c>
      <c r="AF173" s="2" t="str">
        <f>IF(Source!$C173&gt;=COLUMNS($A173:AF173), Source!$G173, "")</f>
        <v/>
      </c>
      <c r="AG173" s="2" t="str">
        <f>IF(Source!$C173&gt;=COLUMNS($A173:AG173), Source!$G173, "")</f>
        <v/>
      </c>
      <c r="AH173" s="2" t="str">
        <f>IF(Source!$C173&gt;=COLUMNS($A173:AH173), Source!$G173, "")</f>
        <v/>
      </c>
      <c r="AI173" s="2" t="str">
        <f>IF(Source!$C173&gt;=COLUMNS($A173:AI173), Source!$G173, "")</f>
        <v/>
      </c>
      <c r="AJ173" s="2" t="str">
        <f>IF(Source!$C173&gt;=COLUMNS($A173:AJ173), Source!$G173, "")</f>
        <v/>
      </c>
      <c r="AK173" s="2" t="str">
        <f>IF(Source!$C173&gt;=COLUMNS($A173:AK173), Source!$G173, "")</f>
        <v/>
      </c>
      <c r="AL173" s="2" t="str">
        <f>IF(Source!$C173&gt;=COLUMNS($A173:AL173), Source!$G173, "")</f>
        <v/>
      </c>
      <c r="AM173" s="2" t="str">
        <f>IF(Source!$C173&gt;=COLUMNS($A173:AM173), Source!$G173, "")</f>
        <v/>
      </c>
      <c r="AN173" s="2" t="str">
        <f>IF(Source!$C173&gt;=COLUMNS($A173:AN173), Source!$G173, "")</f>
        <v/>
      </c>
      <c r="AO173" s="2" t="str">
        <f>IF(Source!$C173&gt;=COLUMNS($A173:AO173), Source!$G173, "")</f>
        <v/>
      </c>
      <c r="AP173" s="2" t="str">
        <f>IF(Source!$C173&gt;=COLUMNS($A173:AP173), Source!$G173, "")</f>
        <v/>
      </c>
      <c r="AQ173" s="2" t="str">
        <f>IF(Source!$C173&gt;=COLUMNS($A173:AQ173), Source!$G173, "")</f>
        <v/>
      </c>
      <c r="AR173" s="2" t="str">
        <f>IF(Source!$C173&gt;=COLUMNS($A173:AR173), Source!$G173, "")</f>
        <v/>
      </c>
    </row>
    <row r="174">
      <c r="A174" s="2">
        <f>IF(Source!$C174&gt;=COLUMNS($A174:A174), Source!$G174, "")</f>
        <v>9</v>
      </c>
      <c r="B174" s="2" t="str">
        <f>IF(Source!$C174&gt;=COLUMNS($A174:B174), Source!$G174, "")</f>
        <v/>
      </c>
      <c r="C174" s="2" t="str">
        <f>IF(Source!$C174&gt;=COLUMNS($A174:C174), Source!$G174, "")</f>
        <v/>
      </c>
      <c r="D174" s="2" t="str">
        <f>IF(Source!$C174&gt;=COLUMNS($A174:D174), Source!$G174, "")</f>
        <v/>
      </c>
      <c r="E174" s="2" t="str">
        <f>IF(Source!$C174&gt;=COLUMNS($A174:E174), Source!$G174, "")</f>
        <v/>
      </c>
      <c r="F174" s="2" t="str">
        <f>IF(Source!$C174&gt;=COLUMNS($A174:F174), Source!$G174, "")</f>
        <v/>
      </c>
      <c r="G174" s="2" t="str">
        <f>IF(Source!$C174&gt;=COLUMNS($A174:G174), Source!$G174, "")</f>
        <v/>
      </c>
      <c r="H174" s="2" t="str">
        <f>IF(Source!$C174&gt;=COLUMNS($A174:H174), Source!$G174, "")</f>
        <v/>
      </c>
      <c r="I174" s="2" t="str">
        <f>IF(Source!$C174&gt;=COLUMNS($A174:I174), Source!$G174, "")</f>
        <v/>
      </c>
      <c r="J174" s="2" t="str">
        <f>IF(Source!$C174&gt;=COLUMNS($A174:J174), Source!$G174, "")</f>
        <v/>
      </c>
      <c r="K174" s="2" t="str">
        <f>IF(Source!$C174&gt;=COLUMNS($A174:K174), Source!$G174, "")</f>
        <v/>
      </c>
      <c r="L174" s="2" t="str">
        <f>IF(Source!$C174&gt;=COLUMNS($A174:L174), Source!$G174, "")</f>
        <v/>
      </c>
      <c r="M174" s="2" t="str">
        <f>IF(Source!$C174&gt;=COLUMNS($A174:M174), Source!$G174, "")</f>
        <v/>
      </c>
      <c r="N174" s="2" t="str">
        <f>IF(Source!$C174&gt;=COLUMNS($A174:N174), Source!$G174, "")</f>
        <v/>
      </c>
      <c r="O174" s="2" t="str">
        <f>IF(Source!$C174&gt;=COLUMNS($A174:O174), Source!$G174, "")</f>
        <v/>
      </c>
      <c r="P174" s="2" t="str">
        <f>IF(Source!$C174&gt;=COLUMNS($A174:P174), Source!$G174, "")</f>
        <v/>
      </c>
      <c r="Q174" s="2" t="str">
        <f>IF(Source!$C174&gt;=COLUMNS($A174:Q174), Source!$G174, "")</f>
        <v/>
      </c>
      <c r="R174" s="2" t="str">
        <f>IF(Source!$C174&gt;=COLUMNS($A174:R174), Source!$G174, "")</f>
        <v/>
      </c>
      <c r="S174" s="2" t="str">
        <f>IF(Source!$C174&gt;=COLUMNS($A174:S174), Source!$G174, "")</f>
        <v/>
      </c>
      <c r="T174" s="2" t="str">
        <f>IF(Source!$C174&gt;=COLUMNS($A174:T174), Source!$G174, "")</f>
        <v/>
      </c>
      <c r="U174" s="2" t="str">
        <f>IF(Source!$C174&gt;=COLUMNS($A174:U174), Source!$G174, "")</f>
        <v/>
      </c>
      <c r="V174" s="2" t="str">
        <f>IF(Source!$C174&gt;=COLUMNS($A174:V174), Source!$G174, "")</f>
        <v/>
      </c>
      <c r="W174" s="2" t="str">
        <f>IF(Source!$C174&gt;=COLUMNS($A174:W174), Source!$G174, "")</f>
        <v/>
      </c>
      <c r="X174" s="2" t="str">
        <f>IF(Source!$C174&gt;=COLUMNS($A174:X174), Source!$G174, "")</f>
        <v/>
      </c>
      <c r="Y174" s="2" t="str">
        <f>IF(Source!$C174&gt;=COLUMNS($A174:Y174), Source!$G174, "")</f>
        <v/>
      </c>
      <c r="Z174" s="2" t="str">
        <f>IF(Source!$C174&gt;=COLUMNS($A174:Z174), Source!$G174, "")</f>
        <v/>
      </c>
      <c r="AA174" s="2" t="str">
        <f>IF(Source!$C174&gt;=COLUMNS($A174:AA174), Source!$G174, "")</f>
        <v/>
      </c>
      <c r="AB174" s="2" t="str">
        <f>IF(Source!$C174&gt;=COLUMNS($A174:AB174), Source!$G174, "")</f>
        <v/>
      </c>
      <c r="AC174" s="2" t="str">
        <f>IF(Source!$C174&gt;=COLUMNS($A174:AC174), Source!$G174, "")</f>
        <v/>
      </c>
      <c r="AD174" s="2" t="str">
        <f>IF(Source!$C174&gt;=COLUMNS($A174:AD174), Source!$G174, "")</f>
        <v/>
      </c>
      <c r="AE174" s="2" t="str">
        <f>IF(Source!$C174&gt;=COLUMNS($A174:AE174), Source!$G174, "")</f>
        <v/>
      </c>
      <c r="AF174" s="2" t="str">
        <f>IF(Source!$C174&gt;=COLUMNS($A174:AF174), Source!$G174, "")</f>
        <v/>
      </c>
      <c r="AG174" s="2" t="str">
        <f>IF(Source!$C174&gt;=COLUMNS($A174:AG174), Source!$G174, "")</f>
        <v/>
      </c>
      <c r="AH174" s="2" t="str">
        <f>IF(Source!$C174&gt;=COLUMNS($A174:AH174), Source!$G174, "")</f>
        <v/>
      </c>
      <c r="AI174" s="2" t="str">
        <f>IF(Source!$C174&gt;=COLUMNS($A174:AI174), Source!$G174, "")</f>
        <v/>
      </c>
      <c r="AJ174" s="2" t="str">
        <f>IF(Source!$C174&gt;=COLUMNS($A174:AJ174), Source!$G174, "")</f>
        <v/>
      </c>
      <c r="AK174" s="2" t="str">
        <f>IF(Source!$C174&gt;=COLUMNS($A174:AK174), Source!$G174, "")</f>
        <v/>
      </c>
      <c r="AL174" s="2" t="str">
        <f>IF(Source!$C174&gt;=COLUMNS($A174:AL174), Source!$G174, "")</f>
        <v/>
      </c>
      <c r="AM174" s="2" t="str">
        <f>IF(Source!$C174&gt;=COLUMNS($A174:AM174), Source!$G174, "")</f>
        <v/>
      </c>
      <c r="AN174" s="2" t="str">
        <f>IF(Source!$C174&gt;=COLUMNS($A174:AN174), Source!$G174, "")</f>
        <v/>
      </c>
      <c r="AO174" s="2" t="str">
        <f>IF(Source!$C174&gt;=COLUMNS($A174:AO174), Source!$G174, "")</f>
        <v/>
      </c>
      <c r="AP174" s="2" t="str">
        <f>IF(Source!$C174&gt;=COLUMNS($A174:AP174), Source!$G174, "")</f>
        <v/>
      </c>
      <c r="AQ174" s="2" t="str">
        <f>IF(Source!$C174&gt;=COLUMNS($A174:AQ174), Source!$G174, "")</f>
        <v/>
      </c>
      <c r="AR174" s="2" t="str">
        <f>IF(Source!$C174&gt;=COLUMNS($A174:AR174), Source!$G174, "")</f>
        <v/>
      </c>
    </row>
    <row r="175">
      <c r="A175" s="2">
        <f>IF(Source!$C175&gt;=COLUMNS($A175:A175), Source!$G175, "")</f>
        <v>9</v>
      </c>
      <c r="B175" s="2">
        <f>IF(Source!$C175&gt;=COLUMNS($A175:B175), Source!$G175, "")</f>
        <v>9</v>
      </c>
      <c r="C175" s="2">
        <f>IF(Source!$C175&gt;=COLUMNS($A175:C175), Source!$G175, "")</f>
        <v>9</v>
      </c>
      <c r="D175" s="2" t="str">
        <f>IF(Source!$C175&gt;=COLUMNS($A175:D175), Source!$G175, "")</f>
        <v/>
      </c>
      <c r="E175" s="2" t="str">
        <f>IF(Source!$C175&gt;=COLUMNS($A175:E175), Source!$G175, "")</f>
        <v/>
      </c>
      <c r="F175" s="2" t="str">
        <f>IF(Source!$C175&gt;=COLUMNS($A175:F175), Source!$G175, "")</f>
        <v/>
      </c>
      <c r="G175" s="2" t="str">
        <f>IF(Source!$C175&gt;=COLUMNS($A175:G175), Source!$G175, "")</f>
        <v/>
      </c>
      <c r="H175" s="2" t="str">
        <f>IF(Source!$C175&gt;=COLUMNS($A175:H175), Source!$G175, "")</f>
        <v/>
      </c>
      <c r="I175" s="2" t="str">
        <f>IF(Source!$C175&gt;=COLUMNS($A175:I175), Source!$G175, "")</f>
        <v/>
      </c>
      <c r="J175" s="2" t="str">
        <f>IF(Source!$C175&gt;=COLUMNS($A175:J175), Source!$G175, "")</f>
        <v/>
      </c>
      <c r="K175" s="2" t="str">
        <f>IF(Source!$C175&gt;=COLUMNS($A175:K175), Source!$G175, "")</f>
        <v/>
      </c>
      <c r="L175" s="2" t="str">
        <f>IF(Source!$C175&gt;=COLUMNS($A175:L175), Source!$G175, "")</f>
        <v/>
      </c>
      <c r="M175" s="2" t="str">
        <f>IF(Source!$C175&gt;=COLUMNS($A175:M175), Source!$G175, "")</f>
        <v/>
      </c>
      <c r="N175" s="2" t="str">
        <f>IF(Source!$C175&gt;=COLUMNS($A175:N175), Source!$G175, "")</f>
        <v/>
      </c>
      <c r="O175" s="2" t="str">
        <f>IF(Source!$C175&gt;=COLUMNS($A175:O175), Source!$G175, "")</f>
        <v/>
      </c>
      <c r="P175" s="2" t="str">
        <f>IF(Source!$C175&gt;=COLUMNS($A175:P175), Source!$G175, "")</f>
        <v/>
      </c>
      <c r="Q175" s="2" t="str">
        <f>IF(Source!$C175&gt;=COLUMNS($A175:Q175), Source!$G175, "")</f>
        <v/>
      </c>
      <c r="R175" s="2" t="str">
        <f>IF(Source!$C175&gt;=COLUMNS($A175:R175), Source!$G175, "")</f>
        <v/>
      </c>
      <c r="S175" s="2" t="str">
        <f>IF(Source!$C175&gt;=COLUMNS($A175:S175), Source!$G175, "")</f>
        <v/>
      </c>
      <c r="T175" s="2" t="str">
        <f>IF(Source!$C175&gt;=COLUMNS($A175:T175), Source!$G175, "")</f>
        <v/>
      </c>
      <c r="U175" s="2" t="str">
        <f>IF(Source!$C175&gt;=COLUMNS($A175:U175), Source!$G175, "")</f>
        <v/>
      </c>
      <c r="V175" s="2" t="str">
        <f>IF(Source!$C175&gt;=COLUMNS($A175:V175), Source!$G175, "")</f>
        <v/>
      </c>
      <c r="W175" s="2" t="str">
        <f>IF(Source!$C175&gt;=COLUMNS($A175:W175), Source!$G175, "")</f>
        <v/>
      </c>
      <c r="X175" s="2" t="str">
        <f>IF(Source!$C175&gt;=COLUMNS($A175:X175), Source!$G175, "")</f>
        <v/>
      </c>
      <c r="Y175" s="2" t="str">
        <f>IF(Source!$C175&gt;=COLUMNS($A175:Y175), Source!$G175, "")</f>
        <v/>
      </c>
      <c r="Z175" s="2" t="str">
        <f>IF(Source!$C175&gt;=COLUMNS($A175:Z175), Source!$G175, "")</f>
        <v/>
      </c>
      <c r="AA175" s="2" t="str">
        <f>IF(Source!$C175&gt;=COLUMNS($A175:AA175), Source!$G175, "")</f>
        <v/>
      </c>
      <c r="AB175" s="2" t="str">
        <f>IF(Source!$C175&gt;=COLUMNS($A175:AB175), Source!$G175, "")</f>
        <v/>
      </c>
      <c r="AC175" s="2" t="str">
        <f>IF(Source!$C175&gt;=COLUMNS($A175:AC175), Source!$G175, "")</f>
        <v/>
      </c>
      <c r="AD175" s="2" t="str">
        <f>IF(Source!$C175&gt;=COLUMNS($A175:AD175), Source!$G175, "")</f>
        <v/>
      </c>
      <c r="AE175" s="2" t="str">
        <f>IF(Source!$C175&gt;=COLUMNS($A175:AE175), Source!$G175, "")</f>
        <v/>
      </c>
      <c r="AF175" s="2" t="str">
        <f>IF(Source!$C175&gt;=COLUMNS($A175:AF175), Source!$G175, "")</f>
        <v/>
      </c>
      <c r="AG175" s="2" t="str">
        <f>IF(Source!$C175&gt;=COLUMNS($A175:AG175), Source!$G175, "")</f>
        <v/>
      </c>
      <c r="AH175" s="2" t="str">
        <f>IF(Source!$C175&gt;=COLUMNS($A175:AH175), Source!$G175, "")</f>
        <v/>
      </c>
      <c r="AI175" s="2" t="str">
        <f>IF(Source!$C175&gt;=COLUMNS($A175:AI175), Source!$G175, "")</f>
        <v/>
      </c>
      <c r="AJ175" s="2" t="str">
        <f>IF(Source!$C175&gt;=COLUMNS($A175:AJ175), Source!$G175, "")</f>
        <v/>
      </c>
      <c r="AK175" s="2" t="str">
        <f>IF(Source!$C175&gt;=COLUMNS($A175:AK175), Source!$G175, "")</f>
        <v/>
      </c>
      <c r="AL175" s="2" t="str">
        <f>IF(Source!$C175&gt;=COLUMNS($A175:AL175), Source!$G175, "")</f>
        <v/>
      </c>
      <c r="AM175" s="2" t="str">
        <f>IF(Source!$C175&gt;=COLUMNS($A175:AM175), Source!$G175, "")</f>
        <v/>
      </c>
      <c r="AN175" s="2" t="str">
        <f>IF(Source!$C175&gt;=COLUMNS($A175:AN175), Source!$G175, "")</f>
        <v/>
      </c>
      <c r="AO175" s="2" t="str">
        <f>IF(Source!$C175&gt;=COLUMNS($A175:AO175), Source!$G175, "")</f>
        <v/>
      </c>
      <c r="AP175" s="2" t="str">
        <f>IF(Source!$C175&gt;=COLUMNS($A175:AP175), Source!$G175, "")</f>
        <v/>
      </c>
      <c r="AQ175" s="2" t="str">
        <f>IF(Source!$C175&gt;=COLUMNS($A175:AQ175), Source!$G175, "")</f>
        <v/>
      </c>
      <c r="AR175" s="2" t="str">
        <f>IF(Source!$C175&gt;=COLUMNS($A175:AR175), Source!$G175, "")</f>
        <v/>
      </c>
    </row>
    <row r="176">
      <c r="A176" s="2">
        <f>IF(Source!$C176&gt;=COLUMNS($A176:A176), Source!$G176, "")</f>
        <v>5</v>
      </c>
      <c r="B176" s="2">
        <f>IF(Source!$C176&gt;=COLUMNS($A176:B176), Source!$G176, "")</f>
        <v>5</v>
      </c>
      <c r="C176" s="2">
        <f>IF(Source!$C176&gt;=COLUMNS($A176:C176), Source!$G176, "")</f>
        <v>5</v>
      </c>
      <c r="D176" s="2">
        <f>IF(Source!$C176&gt;=COLUMNS($A176:D176), Source!$G176, "")</f>
        <v>5</v>
      </c>
      <c r="E176" s="2">
        <f>IF(Source!$C176&gt;=COLUMNS($A176:E176), Source!$G176, "")</f>
        <v>5</v>
      </c>
      <c r="F176" s="2">
        <f>IF(Source!$C176&gt;=COLUMNS($A176:F176), Source!$G176, "")</f>
        <v>5</v>
      </c>
      <c r="G176" s="2" t="str">
        <f>IF(Source!$C176&gt;=COLUMNS($A176:G176), Source!$G176, "")</f>
        <v/>
      </c>
      <c r="H176" s="2" t="str">
        <f>IF(Source!$C176&gt;=COLUMNS($A176:H176), Source!$G176, "")</f>
        <v/>
      </c>
      <c r="I176" s="2" t="str">
        <f>IF(Source!$C176&gt;=COLUMNS($A176:I176), Source!$G176, "")</f>
        <v/>
      </c>
      <c r="J176" s="2" t="str">
        <f>IF(Source!$C176&gt;=COLUMNS($A176:J176), Source!$G176, "")</f>
        <v/>
      </c>
      <c r="K176" s="2" t="str">
        <f>IF(Source!$C176&gt;=COLUMNS($A176:K176), Source!$G176, "")</f>
        <v/>
      </c>
      <c r="L176" s="2" t="str">
        <f>IF(Source!$C176&gt;=COLUMNS($A176:L176), Source!$G176, "")</f>
        <v/>
      </c>
      <c r="M176" s="2" t="str">
        <f>IF(Source!$C176&gt;=COLUMNS($A176:M176), Source!$G176, "")</f>
        <v/>
      </c>
      <c r="N176" s="2" t="str">
        <f>IF(Source!$C176&gt;=COLUMNS($A176:N176), Source!$G176, "")</f>
        <v/>
      </c>
      <c r="O176" s="2" t="str">
        <f>IF(Source!$C176&gt;=COLUMNS($A176:O176), Source!$G176, "")</f>
        <v/>
      </c>
      <c r="P176" s="2" t="str">
        <f>IF(Source!$C176&gt;=COLUMNS($A176:P176), Source!$G176, "")</f>
        <v/>
      </c>
      <c r="Q176" s="2" t="str">
        <f>IF(Source!$C176&gt;=COLUMNS($A176:Q176), Source!$G176, "")</f>
        <v/>
      </c>
      <c r="R176" s="2" t="str">
        <f>IF(Source!$C176&gt;=COLUMNS($A176:R176), Source!$G176, "")</f>
        <v/>
      </c>
      <c r="S176" s="2" t="str">
        <f>IF(Source!$C176&gt;=COLUMNS($A176:S176), Source!$G176, "")</f>
        <v/>
      </c>
      <c r="T176" s="2" t="str">
        <f>IF(Source!$C176&gt;=COLUMNS($A176:T176), Source!$G176, "")</f>
        <v/>
      </c>
      <c r="U176" s="2" t="str">
        <f>IF(Source!$C176&gt;=COLUMNS($A176:U176), Source!$G176, "")</f>
        <v/>
      </c>
      <c r="V176" s="2" t="str">
        <f>IF(Source!$C176&gt;=COLUMNS($A176:V176), Source!$G176, "")</f>
        <v/>
      </c>
      <c r="W176" s="2" t="str">
        <f>IF(Source!$C176&gt;=COLUMNS($A176:W176), Source!$G176, "")</f>
        <v/>
      </c>
      <c r="X176" s="2" t="str">
        <f>IF(Source!$C176&gt;=COLUMNS($A176:X176), Source!$G176, "")</f>
        <v/>
      </c>
      <c r="Y176" s="2" t="str">
        <f>IF(Source!$C176&gt;=COLUMNS($A176:Y176), Source!$G176, "")</f>
        <v/>
      </c>
      <c r="Z176" s="2" t="str">
        <f>IF(Source!$C176&gt;=COLUMNS($A176:Z176), Source!$G176, "")</f>
        <v/>
      </c>
      <c r="AA176" s="2" t="str">
        <f>IF(Source!$C176&gt;=COLUMNS($A176:AA176), Source!$G176, "")</f>
        <v/>
      </c>
      <c r="AB176" s="2" t="str">
        <f>IF(Source!$C176&gt;=COLUMNS($A176:AB176), Source!$G176, "")</f>
        <v/>
      </c>
      <c r="AC176" s="2" t="str">
        <f>IF(Source!$C176&gt;=COLUMNS($A176:AC176), Source!$G176, "")</f>
        <v/>
      </c>
      <c r="AD176" s="2" t="str">
        <f>IF(Source!$C176&gt;=COLUMNS($A176:AD176), Source!$G176, "")</f>
        <v/>
      </c>
      <c r="AE176" s="2" t="str">
        <f>IF(Source!$C176&gt;=COLUMNS($A176:AE176), Source!$G176, "")</f>
        <v/>
      </c>
      <c r="AF176" s="2" t="str">
        <f>IF(Source!$C176&gt;=COLUMNS($A176:AF176), Source!$G176, "")</f>
        <v/>
      </c>
      <c r="AG176" s="2" t="str">
        <f>IF(Source!$C176&gt;=COLUMNS($A176:AG176), Source!$G176, "")</f>
        <v/>
      </c>
      <c r="AH176" s="2" t="str">
        <f>IF(Source!$C176&gt;=COLUMNS($A176:AH176), Source!$G176, "")</f>
        <v/>
      </c>
      <c r="AI176" s="2" t="str">
        <f>IF(Source!$C176&gt;=COLUMNS($A176:AI176), Source!$G176, "")</f>
        <v/>
      </c>
      <c r="AJ176" s="2" t="str">
        <f>IF(Source!$C176&gt;=COLUMNS($A176:AJ176), Source!$G176, "")</f>
        <v/>
      </c>
      <c r="AK176" s="2" t="str">
        <f>IF(Source!$C176&gt;=COLUMNS($A176:AK176), Source!$G176, "")</f>
        <v/>
      </c>
      <c r="AL176" s="2" t="str">
        <f>IF(Source!$C176&gt;=COLUMNS($A176:AL176), Source!$G176, "")</f>
        <v/>
      </c>
      <c r="AM176" s="2" t="str">
        <f>IF(Source!$C176&gt;=COLUMNS($A176:AM176), Source!$G176, "")</f>
        <v/>
      </c>
      <c r="AN176" s="2" t="str">
        <f>IF(Source!$C176&gt;=COLUMNS($A176:AN176), Source!$G176, "")</f>
        <v/>
      </c>
      <c r="AO176" s="2" t="str">
        <f>IF(Source!$C176&gt;=COLUMNS($A176:AO176), Source!$G176, "")</f>
        <v/>
      </c>
      <c r="AP176" s="2" t="str">
        <f>IF(Source!$C176&gt;=COLUMNS($A176:AP176), Source!$G176, "")</f>
        <v/>
      </c>
      <c r="AQ176" s="2" t="str">
        <f>IF(Source!$C176&gt;=COLUMNS($A176:AQ176), Source!$G176, "")</f>
        <v/>
      </c>
      <c r="AR176" s="2" t="str">
        <f>IF(Source!$C176&gt;=COLUMNS($A176:AR176), Source!$G176, "")</f>
        <v/>
      </c>
    </row>
    <row r="177">
      <c r="A177" s="2">
        <f>IF(Source!$C177&gt;=COLUMNS($A177:A177), Source!$G177, "")</f>
        <v>9</v>
      </c>
      <c r="B177" s="2">
        <f>IF(Source!$C177&gt;=COLUMNS($A177:B177), Source!$G177, "")</f>
        <v>9</v>
      </c>
      <c r="C177" s="2">
        <f>IF(Source!$C177&gt;=COLUMNS($A177:C177), Source!$G177, "")</f>
        <v>9</v>
      </c>
      <c r="D177" s="2">
        <f>IF(Source!$C177&gt;=COLUMNS($A177:D177), Source!$G177, "")</f>
        <v>9</v>
      </c>
      <c r="E177" s="2">
        <f>IF(Source!$C177&gt;=COLUMNS($A177:E177), Source!$G177, "")</f>
        <v>9</v>
      </c>
      <c r="F177" s="2" t="str">
        <f>IF(Source!$C177&gt;=COLUMNS($A177:F177), Source!$G177, "")</f>
        <v/>
      </c>
      <c r="G177" s="2" t="str">
        <f>IF(Source!$C177&gt;=COLUMNS($A177:G177), Source!$G177, "")</f>
        <v/>
      </c>
      <c r="H177" s="2" t="str">
        <f>IF(Source!$C177&gt;=COLUMNS($A177:H177), Source!$G177, "")</f>
        <v/>
      </c>
      <c r="I177" s="2" t="str">
        <f>IF(Source!$C177&gt;=COLUMNS($A177:I177), Source!$G177, "")</f>
        <v/>
      </c>
      <c r="J177" s="2" t="str">
        <f>IF(Source!$C177&gt;=COLUMNS($A177:J177), Source!$G177, "")</f>
        <v/>
      </c>
      <c r="K177" s="2" t="str">
        <f>IF(Source!$C177&gt;=COLUMNS($A177:K177), Source!$G177, "")</f>
        <v/>
      </c>
      <c r="L177" s="2" t="str">
        <f>IF(Source!$C177&gt;=COLUMNS($A177:L177), Source!$G177, "")</f>
        <v/>
      </c>
      <c r="M177" s="2" t="str">
        <f>IF(Source!$C177&gt;=COLUMNS($A177:M177), Source!$G177, "")</f>
        <v/>
      </c>
      <c r="N177" s="2" t="str">
        <f>IF(Source!$C177&gt;=COLUMNS($A177:N177), Source!$G177, "")</f>
        <v/>
      </c>
      <c r="O177" s="2" t="str">
        <f>IF(Source!$C177&gt;=COLUMNS($A177:O177), Source!$G177, "")</f>
        <v/>
      </c>
      <c r="P177" s="2" t="str">
        <f>IF(Source!$C177&gt;=COLUMNS($A177:P177), Source!$G177, "")</f>
        <v/>
      </c>
      <c r="Q177" s="2" t="str">
        <f>IF(Source!$C177&gt;=COLUMNS($A177:Q177), Source!$G177, "")</f>
        <v/>
      </c>
      <c r="R177" s="2" t="str">
        <f>IF(Source!$C177&gt;=COLUMNS($A177:R177), Source!$G177, "")</f>
        <v/>
      </c>
      <c r="S177" s="2" t="str">
        <f>IF(Source!$C177&gt;=COLUMNS($A177:S177), Source!$G177, "")</f>
        <v/>
      </c>
      <c r="T177" s="2" t="str">
        <f>IF(Source!$C177&gt;=COLUMNS($A177:T177), Source!$G177, "")</f>
        <v/>
      </c>
      <c r="U177" s="2" t="str">
        <f>IF(Source!$C177&gt;=COLUMNS($A177:U177), Source!$G177, "")</f>
        <v/>
      </c>
      <c r="V177" s="2" t="str">
        <f>IF(Source!$C177&gt;=COLUMNS($A177:V177), Source!$G177, "")</f>
        <v/>
      </c>
      <c r="W177" s="2" t="str">
        <f>IF(Source!$C177&gt;=COLUMNS($A177:W177), Source!$G177, "")</f>
        <v/>
      </c>
      <c r="X177" s="2" t="str">
        <f>IF(Source!$C177&gt;=COLUMNS($A177:X177), Source!$G177, "")</f>
        <v/>
      </c>
      <c r="Y177" s="2" t="str">
        <f>IF(Source!$C177&gt;=COLUMNS($A177:Y177), Source!$G177, "")</f>
        <v/>
      </c>
      <c r="Z177" s="2" t="str">
        <f>IF(Source!$C177&gt;=COLUMNS($A177:Z177), Source!$G177, "")</f>
        <v/>
      </c>
      <c r="AA177" s="2" t="str">
        <f>IF(Source!$C177&gt;=COLUMNS($A177:AA177), Source!$G177, "")</f>
        <v/>
      </c>
      <c r="AB177" s="2" t="str">
        <f>IF(Source!$C177&gt;=COLUMNS($A177:AB177), Source!$G177, "")</f>
        <v/>
      </c>
      <c r="AC177" s="2" t="str">
        <f>IF(Source!$C177&gt;=COLUMNS($A177:AC177), Source!$G177, "")</f>
        <v/>
      </c>
      <c r="AD177" s="2" t="str">
        <f>IF(Source!$C177&gt;=COLUMNS($A177:AD177), Source!$G177, "")</f>
        <v/>
      </c>
      <c r="AE177" s="2" t="str">
        <f>IF(Source!$C177&gt;=COLUMNS($A177:AE177), Source!$G177, "")</f>
        <v/>
      </c>
      <c r="AF177" s="2" t="str">
        <f>IF(Source!$C177&gt;=COLUMNS($A177:AF177), Source!$G177, "")</f>
        <v/>
      </c>
      <c r="AG177" s="2" t="str">
        <f>IF(Source!$C177&gt;=COLUMNS($A177:AG177), Source!$G177, "")</f>
        <v/>
      </c>
      <c r="AH177" s="2" t="str">
        <f>IF(Source!$C177&gt;=COLUMNS($A177:AH177), Source!$G177, "")</f>
        <v/>
      </c>
      <c r="AI177" s="2" t="str">
        <f>IF(Source!$C177&gt;=COLUMNS($A177:AI177), Source!$G177, "")</f>
        <v/>
      </c>
      <c r="AJ177" s="2" t="str">
        <f>IF(Source!$C177&gt;=COLUMNS($A177:AJ177), Source!$G177, "")</f>
        <v/>
      </c>
      <c r="AK177" s="2" t="str">
        <f>IF(Source!$C177&gt;=COLUMNS($A177:AK177), Source!$G177, "")</f>
        <v/>
      </c>
      <c r="AL177" s="2" t="str">
        <f>IF(Source!$C177&gt;=COLUMNS($A177:AL177), Source!$G177, "")</f>
        <v/>
      </c>
      <c r="AM177" s="2" t="str">
        <f>IF(Source!$C177&gt;=COLUMNS($A177:AM177), Source!$G177, "")</f>
        <v/>
      </c>
      <c r="AN177" s="2" t="str">
        <f>IF(Source!$C177&gt;=COLUMNS($A177:AN177), Source!$G177, "")</f>
        <v/>
      </c>
      <c r="AO177" s="2" t="str">
        <f>IF(Source!$C177&gt;=COLUMNS($A177:AO177), Source!$G177, "")</f>
        <v/>
      </c>
      <c r="AP177" s="2" t="str">
        <f>IF(Source!$C177&gt;=COLUMNS($A177:AP177), Source!$G177, "")</f>
        <v/>
      </c>
      <c r="AQ177" s="2" t="str">
        <f>IF(Source!$C177&gt;=COLUMNS($A177:AQ177), Source!$G177, "")</f>
        <v/>
      </c>
      <c r="AR177" s="2" t="str">
        <f>IF(Source!$C177&gt;=COLUMNS($A177:AR177), Source!$G177, "")</f>
        <v/>
      </c>
    </row>
    <row r="178">
      <c r="A178" s="2">
        <f>IF(Source!$C178&gt;=COLUMNS($A178:A178), Source!$G178, "")</f>
        <v>6</v>
      </c>
      <c r="B178" s="2">
        <f>IF(Source!$C178&gt;=COLUMNS($A178:B178), Source!$G178, "")</f>
        <v>6</v>
      </c>
      <c r="C178" s="2">
        <f>IF(Source!$C178&gt;=COLUMNS($A178:C178), Source!$G178, "")</f>
        <v>6</v>
      </c>
      <c r="D178" s="2">
        <f>IF(Source!$C178&gt;=COLUMNS($A178:D178), Source!$G178, "")</f>
        <v>6</v>
      </c>
      <c r="E178" s="2">
        <f>IF(Source!$C178&gt;=COLUMNS($A178:E178), Source!$G178, "")</f>
        <v>6</v>
      </c>
      <c r="F178" s="2">
        <f>IF(Source!$C178&gt;=COLUMNS($A178:F178), Source!$G178, "")</f>
        <v>6</v>
      </c>
      <c r="G178" s="2">
        <f>IF(Source!$C178&gt;=COLUMNS($A178:G178), Source!$G178, "")</f>
        <v>6</v>
      </c>
      <c r="H178" s="2">
        <f>IF(Source!$C178&gt;=COLUMNS($A178:H178), Source!$G178, "")</f>
        <v>6</v>
      </c>
      <c r="I178" s="2" t="str">
        <f>IF(Source!$C178&gt;=COLUMNS($A178:I178), Source!$G178, "")</f>
        <v/>
      </c>
      <c r="J178" s="2" t="str">
        <f>IF(Source!$C178&gt;=COLUMNS($A178:J178), Source!$G178, "")</f>
        <v/>
      </c>
      <c r="K178" s="2" t="str">
        <f>IF(Source!$C178&gt;=COLUMNS($A178:K178), Source!$G178, "")</f>
        <v/>
      </c>
      <c r="L178" s="2" t="str">
        <f>IF(Source!$C178&gt;=COLUMNS($A178:L178), Source!$G178, "")</f>
        <v/>
      </c>
      <c r="M178" s="2" t="str">
        <f>IF(Source!$C178&gt;=COLUMNS($A178:M178), Source!$G178, "")</f>
        <v/>
      </c>
      <c r="N178" s="2" t="str">
        <f>IF(Source!$C178&gt;=COLUMNS($A178:N178), Source!$G178, "")</f>
        <v/>
      </c>
      <c r="O178" s="2" t="str">
        <f>IF(Source!$C178&gt;=COLUMNS($A178:O178), Source!$G178, "")</f>
        <v/>
      </c>
      <c r="P178" s="2" t="str">
        <f>IF(Source!$C178&gt;=COLUMNS($A178:P178), Source!$G178, "")</f>
        <v/>
      </c>
      <c r="Q178" s="2" t="str">
        <f>IF(Source!$C178&gt;=COLUMNS($A178:Q178), Source!$G178, "")</f>
        <v/>
      </c>
      <c r="R178" s="2" t="str">
        <f>IF(Source!$C178&gt;=COLUMNS($A178:R178), Source!$G178, "")</f>
        <v/>
      </c>
      <c r="S178" s="2" t="str">
        <f>IF(Source!$C178&gt;=COLUMNS($A178:S178), Source!$G178, "")</f>
        <v/>
      </c>
      <c r="T178" s="2" t="str">
        <f>IF(Source!$C178&gt;=COLUMNS($A178:T178), Source!$G178, "")</f>
        <v/>
      </c>
      <c r="U178" s="2" t="str">
        <f>IF(Source!$C178&gt;=COLUMNS($A178:U178), Source!$G178, "")</f>
        <v/>
      </c>
      <c r="V178" s="2" t="str">
        <f>IF(Source!$C178&gt;=COLUMNS($A178:V178), Source!$G178, "")</f>
        <v/>
      </c>
      <c r="W178" s="2" t="str">
        <f>IF(Source!$C178&gt;=COLUMNS($A178:W178), Source!$G178, "")</f>
        <v/>
      </c>
      <c r="X178" s="2" t="str">
        <f>IF(Source!$C178&gt;=COLUMNS($A178:X178), Source!$G178, "")</f>
        <v/>
      </c>
      <c r="Y178" s="2" t="str">
        <f>IF(Source!$C178&gt;=COLUMNS($A178:Y178), Source!$G178, "")</f>
        <v/>
      </c>
      <c r="Z178" s="2" t="str">
        <f>IF(Source!$C178&gt;=COLUMNS($A178:Z178), Source!$G178, "")</f>
        <v/>
      </c>
      <c r="AA178" s="2" t="str">
        <f>IF(Source!$C178&gt;=COLUMNS($A178:AA178), Source!$G178, "")</f>
        <v/>
      </c>
      <c r="AB178" s="2" t="str">
        <f>IF(Source!$C178&gt;=COLUMNS($A178:AB178), Source!$G178, "")</f>
        <v/>
      </c>
      <c r="AC178" s="2" t="str">
        <f>IF(Source!$C178&gt;=COLUMNS($A178:AC178), Source!$G178, "")</f>
        <v/>
      </c>
      <c r="AD178" s="2" t="str">
        <f>IF(Source!$C178&gt;=COLUMNS($A178:AD178), Source!$G178, "")</f>
        <v/>
      </c>
      <c r="AE178" s="2" t="str">
        <f>IF(Source!$C178&gt;=COLUMNS($A178:AE178), Source!$G178, "")</f>
        <v/>
      </c>
      <c r="AF178" s="2" t="str">
        <f>IF(Source!$C178&gt;=COLUMNS($A178:AF178), Source!$G178, "")</f>
        <v/>
      </c>
      <c r="AG178" s="2" t="str">
        <f>IF(Source!$C178&gt;=COLUMNS($A178:AG178), Source!$G178, "")</f>
        <v/>
      </c>
      <c r="AH178" s="2" t="str">
        <f>IF(Source!$C178&gt;=COLUMNS($A178:AH178), Source!$G178, "")</f>
        <v/>
      </c>
      <c r="AI178" s="2" t="str">
        <f>IF(Source!$C178&gt;=COLUMNS($A178:AI178), Source!$G178, "")</f>
        <v/>
      </c>
      <c r="AJ178" s="2" t="str">
        <f>IF(Source!$C178&gt;=COLUMNS($A178:AJ178), Source!$G178, "")</f>
        <v/>
      </c>
      <c r="AK178" s="2" t="str">
        <f>IF(Source!$C178&gt;=COLUMNS($A178:AK178), Source!$G178, "")</f>
        <v/>
      </c>
      <c r="AL178" s="2" t="str">
        <f>IF(Source!$C178&gt;=COLUMNS($A178:AL178), Source!$G178, "")</f>
        <v/>
      </c>
      <c r="AM178" s="2" t="str">
        <f>IF(Source!$C178&gt;=COLUMNS($A178:AM178), Source!$G178, "")</f>
        <v/>
      </c>
      <c r="AN178" s="2" t="str">
        <f>IF(Source!$C178&gt;=COLUMNS($A178:AN178), Source!$G178, "")</f>
        <v/>
      </c>
      <c r="AO178" s="2" t="str">
        <f>IF(Source!$C178&gt;=COLUMNS($A178:AO178), Source!$G178, "")</f>
        <v/>
      </c>
      <c r="AP178" s="2" t="str">
        <f>IF(Source!$C178&gt;=COLUMNS($A178:AP178), Source!$G178, "")</f>
        <v/>
      </c>
      <c r="AQ178" s="2" t="str">
        <f>IF(Source!$C178&gt;=COLUMNS($A178:AQ178), Source!$G178, "")</f>
        <v/>
      </c>
      <c r="AR178" s="2" t="str">
        <f>IF(Source!$C178&gt;=COLUMNS($A178:AR178), Source!$G178, "")</f>
        <v/>
      </c>
    </row>
    <row r="179">
      <c r="A179" s="2">
        <f>IF(Source!$C179&gt;=COLUMNS($A179:A179), Source!$G179, "")</f>
        <v>8</v>
      </c>
      <c r="B179" s="2">
        <f>IF(Source!$C179&gt;=COLUMNS($A179:B179), Source!$G179, "")</f>
        <v>8</v>
      </c>
      <c r="C179" s="2">
        <f>IF(Source!$C179&gt;=COLUMNS($A179:C179), Source!$G179, "")</f>
        <v>8</v>
      </c>
      <c r="D179" s="2" t="str">
        <f>IF(Source!$C179&gt;=COLUMNS($A179:D179), Source!$G179, "")</f>
        <v/>
      </c>
      <c r="E179" s="2" t="str">
        <f>IF(Source!$C179&gt;=COLUMNS($A179:E179), Source!$G179, "")</f>
        <v/>
      </c>
      <c r="F179" s="2" t="str">
        <f>IF(Source!$C179&gt;=COLUMNS($A179:F179), Source!$G179, "")</f>
        <v/>
      </c>
      <c r="G179" s="2" t="str">
        <f>IF(Source!$C179&gt;=COLUMNS($A179:G179), Source!$G179, "")</f>
        <v/>
      </c>
      <c r="H179" s="2" t="str">
        <f>IF(Source!$C179&gt;=COLUMNS($A179:H179), Source!$G179, "")</f>
        <v/>
      </c>
      <c r="I179" s="2" t="str">
        <f>IF(Source!$C179&gt;=COLUMNS($A179:I179), Source!$G179, "")</f>
        <v/>
      </c>
      <c r="J179" s="2" t="str">
        <f>IF(Source!$C179&gt;=COLUMNS($A179:J179), Source!$G179, "")</f>
        <v/>
      </c>
      <c r="K179" s="2" t="str">
        <f>IF(Source!$C179&gt;=COLUMNS($A179:K179), Source!$G179, "")</f>
        <v/>
      </c>
      <c r="L179" s="2" t="str">
        <f>IF(Source!$C179&gt;=COLUMNS($A179:L179), Source!$G179, "")</f>
        <v/>
      </c>
      <c r="M179" s="2" t="str">
        <f>IF(Source!$C179&gt;=COLUMNS($A179:M179), Source!$G179, "")</f>
        <v/>
      </c>
      <c r="N179" s="2" t="str">
        <f>IF(Source!$C179&gt;=COLUMNS($A179:N179), Source!$G179, "")</f>
        <v/>
      </c>
      <c r="O179" s="2" t="str">
        <f>IF(Source!$C179&gt;=COLUMNS($A179:O179), Source!$G179, "")</f>
        <v/>
      </c>
      <c r="P179" s="2" t="str">
        <f>IF(Source!$C179&gt;=COLUMNS($A179:P179), Source!$G179, "")</f>
        <v/>
      </c>
      <c r="Q179" s="2" t="str">
        <f>IF(Source!$C179&gt;=COLUMNS($A179:Q179), Source!$G179, "")</f>
        <v/>
      </c>
      <c r="R179" s="2" t="str">
        <f>IF(Source!$C179&gt;=COLUMNS($A179:R179), Source!$G179, "")</f>
        <v/>
      </c>
      <c r="S179" s="2" t="str">
        <f>IF(Source!$C179&gt;=COLUMNS($A179:S179), Source!$G179, "")</f>
        <v/>
      </c>
      <c r="T179" s="2" t="str">
        <f>IF(Source!$C179&gt;=COLUMNS($A179:T179), Source!$G179, "")</f>
        <v/>
      </c>
      <c r="U179" s="2" t="str">
        <f>IF(Source!$C179&gt;=COLUMNS($A179:U179), Source!$G179, "")</f>
        <v/>
      </c>
      <c r="V179" s="2" t="str">
        <f>IF(Source!$C179&gt;=COLUMNS($A179:V179), Source!$G179, "")</f>
        <v/>
      </c>
      <c r="W179" s="2" t="str">
        <f>IF(Source!$C179&gt;=COLUMNS($A179:W179), Source!$G179, "")</f>
        <v/>
      </c>
      <c r="X179" s="2" t="str">
        <f>IF(Source!$C179&gt;=COLUMNS($A179:X179), Source!$G179, "")</f>
        <v/>
      </c>
      <c r="Y179" s="2" t="str">
        <f>IF(Source!$C179&gt;=COLUMNS($A179:Y179), Source!$G179, "")</f>
        <v/>
      </c>
      <c r="Z179" s="2" t="str">
        <f>IF(Source!$C179&gt;=COLUMNS($A179:Z179), Source!$G179, "")</f>
        <v/>
      </c>
      <c r="AA179" s="2" t="str">
        <f>IF(Source!$C179&gt;=COLUMNS($A179:AA179), Source!$G179, "")</f>
        <v/>
      </c>
      <c r="AB179" s="2" t="str">
        <f>IF(Source!$C179&gt;=COLUMNS($A179:AB179), Source!$G179, "")</f>
        <v/>
      </c>
      <c r="AC179" s="2" t="str">
        <f>IF(Source!$C179&gt;=COLUMNS($A179:AC179), Source!$G179, "")</f>
        <v/>
      </c>
      <c r="AD179" s="2" t="str">
        <f>IF(Source!$C179&gt;=COLUMNS($A179:AD179), Source!$G179, "")</f>
        <v/>
      </c>
      <c r="AE179" s="2" t="str">
        <f>IF(Source!$C179&gt;=COLUMNS($A179:AE179), Source!$G179, "")</f>
        <v/>
      </c>
      <c r="AF179" s="2" t="str">
        <f>IF(Source!$C179&gt;=COLUMNS($A179:AF179), Source!$G179, "")</f>
        <v/>
      </c>
      <c r="AG179" s="2" t="str">
        <f>IF(Source!$C179&gt;=COLUMNS($A179:AG179), Source!$G179, "")</f>
        <v/>
      </c>
      <c r="AH179" s="2" t="str">
        <f>IF(Source!$C179&gt;=COLUMNS($A179:AH179), Source!$G179, "")</f>
        <v/>
      </c>
      <c r="AI179" s="2" t="str">
        <f>IF(Source!$C179&gt;=COLUMNS($A179:AI179), Source!$G179, "")</f>
        <v/>
      </c>
      <c r="AJ179" s="2" t="str">
        <f>IF(Source!$C179&gt;=COLUMNS($A179:AJ179), Source!$G179, "")</f>
        <v/>
      </c>
      <c r="AK179" s="2" t="str">
        <f>IF(Source!$C179&gt;=COLUMNS($A179:AK179), Source!$G179, "")</f>
        <v/>
      </c>
      <c r="AL179" s="2" t="str">
        <f>IF(Source!$C179&gt;=COLUMNS($A179:AL179), Source!$G179, "")</f>
        <v/>
      </c>
      <c r="AM179" s="2" t="str">
        <f>IF(Source!$C179&gt;=COLUMNS($A179:AM179), Source!$G179, "")</f>
        <v/>
      </c>
      <c r="AN179" s="2" t="str">
        <f>IF(Source!$C179&gt;=COLUMNS($A179:AN179), Source!$G179, "")</f>
        <v/>
      </c>
      <c r="AO179" s="2" t="str">
        <f>IF(Source!$C179&gt;=COLUMNS($A179:AO179), Source!$G179, "")</f>
        <v/>
      </c>
      <c r="AP179" s="2" t="str">
        <f>IF(Source!$C179&gt;=COLUMNS($A179:AP179), Source!$G179, "")</f>
        <v/>
      </c>
      <c r="AQ179" s="2" t="str">
        <f>IF(Source!$C179&gt;=COLUMNS($A179:AQ179), Source!$G179, "")</f>
        <v/>
      </c>
      <c r="AR179" s="2" t="str">
        <f>IF(Source!$C179&gt;=COLUMNS($A179:AR179), Source!$G179, "")</f>
        <v/>
      </c>
    </row>
    <row r="180">
      <c r="A180" s="2">
        <f>IF(Source!$C180&gt;=COLUMNS($A180:A180), Source!$G180, "")</f>
        <v>3</v>
      </c>
      <c r="B180" s="2" t="str">
        <f>IF(Source!$C180&gt;=COLUMNS($A180:B180), Source!$G180, "")</f>
        <v/>
      </c>
      <c r="C180" s="2" t="str">
        <f>IF(Source!$C180&gt;=COLUMNS($A180:C180), Source!$G180, "")</f>
        <v/>
      </c>
      <c r="D180" s="2" t="str">
        <f>IF(Source!$C180&gt;=COLUMNS($A180:D180), Source!$G180, "")</f>
        <v/>
      </c>
      <c r="E180" s="2" t="str">
        <f>IF(Source!$C180&gt;=COLUMNS($A180:E180), Source!$G180, "")</f>
        <v/>
      </c>
      <c r="F180" s="2" t="str">
        <f>IF(Source!$C180&gt;=COLUMNS($A180:F180), Source!$G180, "")</f>
        <v/>
      </c>
      <c r="G180" s="2" t="str">
        <f>IF(Source!$C180&gt;=COLUMNS($A180:G180), Source!$G180, "")</f>
        <v/>
      </c>
      <c r="H180" s="2" t="str">
        <f>IF(Source!$C180&gt;=COLUMNS($A180:H180), Source!$G180, "")</f>
        <v/>
      </c>
      <c r="I180" s="2" t="str">
        <f>IF(Source!$C180&gt;=COLUMNS($A180:I180), Source!$G180, "")</f>
        <v/>
      </c>
      <c r="J180" s="2" t="str">
        <f>IF(Source!$C180&gt;=COLUMNS($A180:J180), Source!$G180, "")</f>
        <v/>
      </c>
      <c r="K180" s="2" t="str">
        <f>IF(Source!$C180&gt;=COLUMNS($A180:K180), Source!$G180, "")</f>
        <v/>
      </c>
      <c r="L180" s="2" t="str">
        <f>IF(Source!$C180&gt;=COLUMNS($A180:L180), Source!$G180, "")</f>
        <v/>
      </c>
      <c r="M180" s="2" t="str">
        <f>IF(Source!$C180&gt;=COLUMNS($A180:M180), Source!$G180, "")</f>
        <v/>
      </c>
      <c r="N180" s="2" t="str">
        <f>IF(Source!$C180&gt;=COLUMNS($A180:N180), Source!$G180, "")</f>
        <v/>
      </c>
      <c r="O180" s="2" t="str">
        <f>IF(Source!$C180&gt;=COLUMNS($A180:O180), Source!$G180, "")</f>
        <v/>
      </c>
      <c r="P180" s="2" t="str">
        <f>IF(Source!$C180&gt;=COLUMNS($A180:P180), Source!$G180, "")</f>
        <v/>
      </c>
      <c r="Q180" s="2" t="str">
        <f>IF(Source!$C180&gt;=COLUMNS($A180:Q180), Source!$G180, "")</f>
        <v/>
      </c>
      <c r="R180" s="2" t="str">
        <f>IF(Source!$C180&gt;=COLUMNS($A180:R180), Source!$G180, "")</f>
        <v/>
      </c>
      <c r="S180" s="2" t="str">
        <f>IF(Source!$C180&gt;=COLUMNS($A180:S180), Source!$G180, "")</f>
        <v/>
      </c>
      <c r="T180" s="2" t="str">
        <f>IF(Source!$C180&gt;=COLUMNS($A180:T180), Source!$G180, "")</f>
        <v/>
      </c>
      <c r="U180" s="2" t="str">
        <f>IF(Source!$C180&gt;=COLUMNS($A180:U180), Source!$G180, "")</f>
        <v/>
      </c>
      <c r="V180" s="2" t="str">
        <f>IF(Source!$C180&gt;=COLUMNS($A180:V180), Source!$G180, "")</f>
        <v/>
      </c>
      <c r="W180" s="2" t="str">
        <f>IF(Source!$C180&gt;=COLUMNS($A180:W180), Source!$G180, "")</f>
        <v/>
      </c>
      <c r="X180" s="2" t="str">
        <f>IF(Source!$C180&gt;=COLUMNS($A180:X180), Source!$G180, "")</f>
        <v/>
      </c>
      <c r="Y180" s="2" t="str">
        <f>IF(Source!$C180&gt;=COLUMNS($A180:Y180), Source!$G180, "")</f>
        <v/>
      </c>
      <c r="Z180" s="2" t="str">
        <f>IF(Source!$C180&gt;=COLUMNS($A180:Z180), Source!$G180, "")</f>
        <v/>
      </c>
      <c r="AA180" s="2" t="str">
        <f>IF(Source!$C180&gt;=COLUMNS($A180:AA180), Source!$G180, "")</f>
        <v/>
      </c>
      <c r="AB180" s="2" t="str">
        <f>IF(Source!$C180&gt;=COLUMNS($A180:AB180), Source!$G180, "")</f>
        <v/>
      </c>
      <c r="AC180" s="2" t="str">
        <f>IF(Source!$C180&gt;=COLUMNS($A180:AC180), Source!$G180, "")</f>
        <v/>
      </c>
      <c r="AD180" s="2" t="str">
        <f>IF(Source!$C180&gt;=COLUMNS($A180:AD180), Source!$G180, "")</f>
        <v/>
      </c>
      <c r="AE180" s="2" t="str">
        <f>IF(Source!$C180&gt;=COLUMNS($A180:AE180), Source!$G180, "")</f>
        <v/>
      </c>
      <c r="AF180" s="2" t="str">
        <f>IF(Source!$C180&gt;=COLUMNS($A180:AF180), Source!$G180, "")</f>
        <v/>
      </c>
      <c r="AG180" s="2" t="str">
        <f>IF(Source!$C180&gt;=COLUMNS($A180:AG180), Source!$G180, "")</f>
        <v/>
      </c>
      <c r="AH180" s="2" t="str">
        <f>IF(Source!$C180&gt;=COLUMNS($A180:AH180), Source!$G180, "")</f>
        <v/>
      </c>
      <c r="AI180" s="2" t="str">
        <f>IF(Source!$C180&gt;=COLUMNS($A180:AI180), Source!$G180, "")</f>
        <v/>
      </c>
      <c r="AJ180" s="2" t="str">
        <f>IF(Source!$C180&gt;=COLUMNS($A180:AJ180), Source!$G180, "")</f>
        <v/>
      </c>
      <c r="AK180" s="2" t="str">
        <f>IF(Source!$C180&gt;=COLUMNS($A180:AK180), Source!$G180, "")</f>
        <v/>
      </c>
      <c r="AL180" s="2" t="str">
        <f>IF(Source!$C180&gt;=COLUMNS($A180:AL180), Source!$G180, "")</f>
        <v/>
      </c>
      <c r="AM180" s="2" t="str">
        <f>IF(Source!$C180&gt;=COLUMNS($A180:AM180), Source!$G180, "")</f>
        <v/>
      </c>
      <c r="AN180" s="2" t="str">
        <f>IF(Source!$C180&gt;=COLUMNS($A180:AN180), Source!$G180, "")</f>
        <v/>
      </c>
      <c r="AO180" s="2" t="str">
        <f>IF(Source!$C180&gt;=COLUMNS($A180:AO180), Source!$G180, "")</f>
        <v/>
      </c>
      <c r="AP180" s="2" t="str">
        <f>IF(Source!$C180&gt;=COLUMNS($A180:AP180), Source!$G180, "")</f>
        <v/>
      </c>
      <c r="AQ180" s="2" t="str">
        <f>IF(Source!$C180&gt;=COLUMNS($A180:AQ180), Source!$G180, "")</f>
        <v/>
      </c>
      <c r="AR180" s="2" t="str">
        <f>IF(Source!$C180&gt;=COLUMNS($A180:AR180), Source!$G180, "")</f>
        <v/>
      </c>
    </row>
    <row r="181">
      <c r="A181" s="2">
        <f>IF(Source!$C181&gt;=COLUMNS($A181:A181), Source!$G181, "")</f>
        <v>3</v>
      </c>
      <c r="B181" s="2">
        <f>IF(Source!$C181&gt;=COLUMNS($A181:B181), Source!$G181, "")</f>
        <v>3</v>
      </c>
      <c r="C181" s="2">
        <f>IF(Source!$C181&gt;=COLUMNS($A181:C181), Source!$G181, "")</f>
        <v>3</v>
      </c>
      <c r="D181" s="2" t="str">
        <f>IF(Source!$C181&gt;=COLUMNS($A181:D181), Source!$G181, "")</f>
        <v/>
      </c>
      <c r="E181" s="2" t="str">
        <f>IF(Source!$C181&gt;=COLUMNS($A181:E181), Source!$G181, "")</f>
        <v/>
      </c>
      <c r="F181" s="2" t="str">
        <f>IF(Source!$C181&gt;=COLUMNS($A181:F181), Source!$G181, "")</f>
        <v/>
      </c>
      <c r="G181" s="2" t="str">
        <f>IF(Source!$C181&gt;=COLUMNS($A181:G181), Source!$G181, "")</f>
        <v/>
      </c>
      <c r="H181" s="2" t="str">
        <f>IF(Source!$C181&gt;=COLUMNS($A181:H181), Source!$G181, "")</f>
        <v/>
      </c>
      <c r="I181" s="2" t="str">
        <f>IF(Source!$C181&gt;=COLUMNS($A181:I181), Source!$G181, "")</f>
        <v/>
      </c>
      <c r="J181" s="2" t="str">
        <f>IF(Source!$C181&gt;=COLUMNS($A181:J181), Source!$G181, "")</f>
        <v/>
      </c>
      <c r="K181" s="2" t="str">
        <f>IF(Source!$C181&gt;=COLUMNS($A181:K181), Source!$G181, "")</f>
        <v/>
      </c>
      <c r="L181" s="2" t="str">
        <f>IF(Source!$C181&gt;=COLUMNS($A181:L181), Source!$G181, "")</f>
        <v/>
      </c>
      <c r="M181" s="2" t="str">
        <f>IF(Source!$C181&gt;=COLUMNS($A181:M181), Source!$G181, "")</f>
        <v/>
      </c>
      <c r="N181" s="2" t="str">
        <f>IF(Source!$C181&gt;=COLUMNS($A181:N181), Source!$G181, "")</f>
        <v/>
      </c>
      <c r="O181" s="2" t="str">
        <f>IF(Source!$C181&gt;=COLUMNS($A181:O181), Source!$G181, "")</f>
        <v/>
      </c>
      <c r="P181" s="2" t="str">
        <f>IF(Source!$C181&gt;=COLUMNS($A181:P181), Source!$G181, "")</f>
        <v/>
      </c>
      <c r="Q181" s="2" t="str">
        <f>IF(Source!$C181&gt;=COLUMNS($A181:Q181), Source!$G181, "")</f>
        <v/>
      </c>
      <c r="R181" s="2" t="str">
        <f>IF(Source!$C181&gt;=COLUMNS($A181:R181), Source!$G181, "")</f>
        <v/>
      </c>
      <c r="S181" s="2" t="str">
        <f>IF(Source!$C181&gt;=COLUMNS($A181:S181), Source!$G181, "")</f>
        <v/>
      </c>
      <c r="T181" s="2" t="str">
        <f>IF(Source!$C181&gt;=COLUMNS($A181:T181), Source!$G181, "")</f>
        <v/>
      </c>
      <c r="U181" s="2" t="str">
        <f>IF(Source!$C181&gt;=COLUMNS($A181:U181), Source!$G181, "")</f>
        <v/>
      </c>
      <c r="V181" s="2" t="str">
        <f>IF(Source!$C181&gt;=COLUMNS($A181:V181), Source!$G181, "")</f>
        <v/>
      </c>
      <c r="W181" s="2" t="str">
        <f>IF(Source!$C181&gt;=COLUMNS($A181:W181), Source!$G181, "")</f>
        <v/>
      </c>
      <c r="X181" s="2" t="str">
        <f>IF(Source!$C181&gt;=COLUMNS($A181:X181), Source!$G181, "")</f>
        <v/>
      </c>
      <c r="Y181" s="2" t="str">
        <f>IF(Source!$C181&gt;=COLUMNS($A181:Y181), Source!$G181, "")</f>
        <v/>
      </c>
      <c r="Z181" s="2" t="str">
        <f>IF(Source!$C181&gt;=COLUMNS($A181:Z181), Source!$G181, "")</f>
        <v/>
      </c>
      <c r="AA181" s="2" t="str">
        <f>IF(Source!$C181&gt;=COLUMNS($A181:AA181), Source!$G181, "")</f>
        <v/>
      </c>
      <c r="AB181" s="2" t="str">
        <f>IF(Source!$C181&gt;=COLUMNS($A181:AB181), Source!$G181, "")</f>
        <v/>
      </c>
      <c r="AC181" s="2" t="str">
        <f>IF(Source!$C181&gt;=COLUMNS($A181:AC181), Source!$G181, "")</f>
        <v/>
      </c>
      <c r="AD181" s="2" t="str">
        <f>IF(Source!$C181&gt;=COLUMNS($A181:AD181), Source!$G181, "")</f>
        <v/>
      </c>
      <c r="AE181" s="2" t="str">
        <f>IF(Source!$C181&gt;=COLUMNS($A181:AE181), Source!$G181, "")</f>
        <v/>
      </c>
      <c r="AF181" s="2" t="str">
        <f>IF(Source!$C181&gt;=COLUMNS($A181:AF181), Source!$G181, "")</f>
        <v/>
      </c>
      <c r="AG181" s="2" t="str">
        <f>IF(Source!$C181&gt;=COLUMNS($A181:AG181), Source!$G181, "")</f>
        <v/>
      </c>
      <c r="AH181" s="2" t="str">
        <f>IF(Source!$C181&gt;=COLUMNS($A181:AH181), Source!$G181, "")</f>
        <v/>
      </c>
      <c r="AI181" s="2" t="str">
        <f>IF(Source!$C181&gt;=COLUMNS($A181:AI181), Source!$G181, "")</f>
        <v/>
      </c>
      <c r="AJ181" s="2" t="str">
        <f>IF(Source!$C181&gt;=COLUMNS($A181:AJ181), Source!$G181, "")</f>
        <v/>
      </c>
      <c r="AK181" s="2" t="str">
        <f>IF(Source!$C181&gt;=COLUMNS($A181:AK181), Source!$G181, "")</f>
        <v/>
      </c>
      <c r="AL181" s="2" t="str">
        <f>IF(Source!$C181&gt;=COLUMNS($A181:AL181), Source!$G181, "")</f>
        <v/>
      </c>
      <c r="AM181" s="2" t="str">
        <f>IF(Source!$C181&gt;=COLUMNS($A181:AM181), Source!$G181, "")</f>
        <v/>
      </c>
      <c r="AN181" s="2" t="str">
        <f>IF(Source!$C181&gt;=COLUMNS($A181:AN181), Source!$G181, "")</f>
        <v/>
      </c>
      <c r="AO181" s="2" t="str">
        <f>IF(Source!$C181&gt;=COLUMNS($A181:AO181), Source!$G181, "")</f>
        <v/>
      </c>
      <c r="AP181" s="2" t="str">
        <f>IF(Source!$C181&gt;=COLUMNS($A181:AP181), Source!$G181, "")</f>
        <v/>
      </c>
      <c r="AQ181" s="2" t="str">
        <f>IF(Source!$C181&gt;=COLUMNS($A181:AQ181), Source!$G181, "")</f>
        <v/>
      </c>
      <c r="AR181" s="2" t="str">
        <f>IF(Source!$C181&gt;=COLUMNS($A181:AR181), Source!$G181, "")</f>
        <v/>
      </c>
    </row>
    <row r="182">
      <c r="A182" s="2">
        <f>IF(Source!$C182&gt;=COLUMNS($A182:A182), Source!$G182, "")</f>
        <v>2</v>
      </c>
      <c r="B182" s="2">
        <f>IF(Source!$C182&gt;=COLUMNS($A182:B182), Source!$G182, "")</f>
        <v>2</v>
      </c>
      <c r="C182" s="2">
        <f>IF(Source!$C182&gt;=COLUMNS($A182:C182), Source!$G182, "")</f>
        <v>2</v>
      </c>
      <c r="D182" s="2">
        <f>IF(Source!$C182&gt;=COLUMNS($A182:D182), Source!$G182, "")</f>
        <v>2</v>
      </c>
      <c r="E182" s="2">
        <f>IF(Source!$C182&gt;=COLUMNS($A182:E182), Source!$G182, "")</f>
        <v>2</v>
      </c>
      <c r="F182" s="2" t="str">
        <f>IF(Source!$C182&gt;=COLUMNS($A182:F182), Source!$G182, "")</f>
        <v/>
      </c>
      <c r="G182" s="2" t="str">
        <f>IF(Source!$C182&gt;=COLUMNS($A182:G182), Source!$G182, "")</f>
        <v/>
      </c>
      <c r="H182" s="2" t="str">
        <f>IF(Source!$C182&gt;=COLUMNS($A182:H182), Source!$G182, "")</f>
        <v/>
      </c>
      <c r="I182" s="2" t="str">
        <f>IF(Source!$C182&gt;=COLUMNS($A182:I182), Source!$G182, "")</f>
        <v/>
      </c>
      <c r="J182" s="2" t="str">
        <f>IF(Source!$C182&gt;=COLUMNS($A182:J182), Source!$G182, "")</f>
        <v/>
      </c>
      <c r="K182" s="2" t="str">
        <f>IF(Source!$C182&gt;=COLUMNS($A182:K182), Source!$G182, "")</f>
        <v/>
      </c>
      <c r="L182" s="2" t="str">
        <f>IF(Source!$C182&gt;=COLUMNS($A182:L182), Source!$G182, "")</f>
        <v/>
      </c>
      <c r="M182" s="2" t="str">
        <f>IF(Source!$C182&gt;=COLUMNS($A182:M182), Source!$G182, "")</f>
        <v/>
      </c>
      <c r="N182" s="2" t="str">
        <f>IF(Source!$C182&gt;=COLUMNS($A182:N182), Source!$G182, "")</f>
        <v/>
      </c>
      <c r="O182" s="2" t="str">
        <f>IF(Source!$C182&gt;=COLUMNS($A182:O182), Source!$G182, "")</f>
        <v/>
      </c>
      <c r="P182" s="2" t="str">
        <f>IF(Source!$C182&gt;=COLUMNS($A182:P182), Source!$G182, "")</f>
        <v/>
      </c>
      <c r="Q182" s="2" t="str">
        <f>IF(Source!$C182&gt;=COLUMNS($A182:Q182), Source!$G182, "")</f>
        <v/>
      </c>
      <c r="R182" s="2" t="str">
        <f>IF(Source!$C182&gt;=COLUMNS($A182:R182), Source!$G182, "")</f>
        <v/>
      </c>
      <c r="S182" s="2" t="str">
        <f>IF(Source!$C182&gt;=COLUMNS($A182:S182), Source!$G182, "")</f>
        <v/>
      </c>
      <c r="T182" s="2" t="str">
        <f>IF(Source!$C182&gt;=COLUMNS($A182:T182), Source!$G182, "")</f>
        <v/>
      </c>
      <c r="U182" s="2" t="str">
        <f>IF(Source!$C182&gt;=COLUMNS($A182:U182), Source!$G182, "")</f>
        <v/>
      </c>
      <c r="V182" s="2" t="str">
        <f>IF(Source!$C182&gt;=COLUMNS($A182:V182), Source!$G182, "")</f>
        <v/>
      </c>
      <c r="W182" s="2" t="str">
        <f>IF(Source!$C182&gt;=COLUMNS($A182:W182), Source!$G182, "")</f>
        <v/>
      </c>
      <c r="X182" s="2" t="str">
        <f>IF(Source!$C182&gt;=COLUMNS($A182:X182), Source!$G182, "")</f>
        <v/>
      </c>
      <c r="Y182" s="2" t="str">
        <f>IF(Source!$C182&gt;=COLUMNS($A182:Y182), Source!$G182, "")</f>
        <v/>
      </c>
      <c r="Z182" s="2" t="str">
        <f>IF(Source!$C182&gt;=COLUMNS($A182:Z182), Source!$G182, "")</f>
        <v/>
      </c>
      <c r="AA182" s="2" t="str">
        <f>IF(Source!$C182&gt;=COLUMNS($A182:AA182), Source!$G182, "")</f>
        <v/>
      </c>
      <c r="AB182" s="2" t="str">
        <f>IF(Source!$C182&gt;=COLUMNS($A182:AB182), Source!$G182, "")</f>
        <v/>
      </c>
      <c r="AC182" s="2" t="str">
        <f>IF(Source!$C182&gt;=COLUMNS($A182:AC182), Source!$G182, "")</f>
        <v/>
      </c>
      <c r="AD182" s="2" t="str">
        <f>IF(Source!$C182&gt;=COLUMNS($A182:AD182), Source!$G182, "")</f>
        <v/>
      </c>
      <c r="AE182" s="2" t="str">
        <f>IF(Source!$C182&gt;=COLUMNS($A182:AE182), Source!$G182, "")</f>
        <v/>
      </c>
      <c r="AF182" s="2" t="str">
        <f>IF(Source!$C182&gt;=COLUMNS($A182:AF182), Source!$G182, "")</f>
        <v/>
      </c>
      <c r="AG182" s="2" t="str">
        <f>IF(Source!$C182&gt;=COLUMNS($A182:AG182), Source!$G182, "")</f>
        <v/>
      </c>
      <c r="AH182" s="2" t="str">
        <f>IF(Source!$C182&gt;=COLUMNS($A182:AH182), Source!$G182, "")</f>
        <v/>
      </c>
      <c r="AI182" s="2" t="str">
        <f>IF(Source!$C182&gt;=COLUMNS($A182:AI182), Source!$G182, "")</f>
        <v/>
      </c>
      <c r="AJ182" s="2" t="str">
        <f>IF(Source!$C182&gt;=COLUMNS($A182:AJ182), Source!$G182, "")</f>
        <v/>
      </c>
      <c r="AK182" s="2" t="str">
        <f>IF(Source!$C182&gt;=COLUMNS($A182:AK182), Source!$G182, "")</f>
        <v/>
      </c>
      <c r="AL182" s="2" t="str">
        <f>IF(Source!$C182&gt;=COLUMNS($A182:AL182), Source!$G182, "")</f>
        <v/>
      </c>
      <c r="AM182" s="2" t="str">
        <f>IF(Source!$C182&gt;=COLUMNS($A182:AM182), Source!$G182, "")</f>
        <v/>
      </c>
      <c r="AN182" s="2" t="str">
        <f>IF(Source!$C182&gt;=COLUMNS($A182:AN182), Source!$G182, "")</f>
        <v/>
      </c>
      <c r="AO182" s="2" t="str">
        <f>IF(Source!$C182&gt;=COLUMNS($A182:AO182), Source!$G182, "")</f>
        <v/>
      </c>
      <c r="AP182" s="2" t="str">
        <f>IF(Source!$C182&gt;=COLUMNS($A182:AP182), Source!$G182, "")</f>
        <v/>
      </c>
      <c r="AQ182" s="2" t="str">
        <f>IF(Source!$C182&gt;=COLUMNS($A182:AQ182), Source!$G182, "")</f>
        <v/>
      </c>
      <c r="AR182" s="2" t="str">
        <f>IF(Source!$C182&gt;=COLUMNS($A182:AR182), Source!$G182, "")</f>
        <v/>
      </c>
    </row>
    <row r="183">
      <c r="A183" s="2">
        <f>IF(Source!$C183&gt;=COLUMNS($A183:A183), Source!$G183, "")</f>
        <v>6</v>
      </c>
      <c r="B183" s="2">
        <f>IF(Source!$C183&gt;=COLUMNS($A183:B183), Source!$G183, "")</f>
        <v>6</v>
      </c>
      <c r="C183" s="2">
        <f>IF(Source!$C183&gt;=COLUMNS($A183:C183), Source!$G183, "")</f>
        <v>6</v>
      </c>
      <c r="D183" s="2" t="str">
        <f>IF(Source!$C183&gt;=COLUMNS($A183:D183), Source!$G183, "")</f>
        <v/>
      </c>
      <c r="E183" s="2" t="str">
        <f>IF(Source!$C183&gt;=COLUMNS($A183:E183), Source!$G183, "")</f>
        <v/>
      </c>
      <c r="F183" s="2" t="str">
        <f>IF(Source!$C183&gt;=COLUMNS($A183:F183), Source!$G183, "")</f>
        <v/>
      </c>
      <c r="G183" s="2" t="str">
        <f>IF(Source!$C183&gt;=COLUMNS($A183:G183), Source!$G183, "")</f>
        <v/>
      </c>
      <c r="H183" s="2" t="str">
        <f>IF(Source!$C183&gt;=COLUMNS($A183:H183), Source!$G183, "")</f>
        <v/>
      </c>
      <c r="I183" s="2" t="str">
        <f>IF(Source!$C183&gt;=COLUMNS($A183:I183), Source!$G183, "")</f>
        <v/>
      </c>
      <c r="J183" s="2" t="str">
        <f>IF(Source!$C183&gt;=COLUMNS($A183:J183), Source!$G183, "")</f>
        <v/>
      </c>
      <c r="K183" s="2" t="str">
        <f>IF(Source!$C183&gt;=COLUMNS($A183:K183), Source!$G183, "")</f>
        <v/>
      </c>
      <c r="L183" s="2" t="str">
        <f>IF(Source!$C183&gt;=COLUMNS($A183:L183), Source!$G183, "")</f>
        <v/>
      </c>
      <c r="M183" s="2" t="str">
        <f>IF(Source!$C183&gt;=COLUMNS($A183:M183), Source!$G183, "")</f>
        <v/>
      </c>
      <c r="N183" s="2" t="str">
        <f>IF(Source!$C183&gt;=COLUMNS($A183:N183), Source!$G183, "")</f>
        <v/>
      </c>
      <c r="O183" s="2" t="str">
        <f>IF(Source!$C183&gt;=COLUMNS($A183:O183), Source!$G183, "")</f>
        <v/>
      </c>
      <c r="P183" s="2" t="str">
        <f>IF(Source!$C183&gt;=COLUMNS($A183:P183), Source!$G183, "")</f>
        <v/>
      </c>
      <c r="Q183" s="2" t="str">
        <f>IF(Source!$C183&gt;=COLUMNS($A183:Q183), Source!$G183, "")</f>
        <v/>
      </c>
      <c r="R183" s="2" t="str">
        <f>IF(Source!$C183&gt;=COLUMNS($A183:R183), Source!$G183, "")</f>
        <v/>
      </c>
      <c r="S183" s="2" t="str">
        <f>IF(Source!$C183&gt;=COLUMNS($A183:S183), Source!$G183, "")</f>
        <v/>
      </c>
      <c r="T183" s="2" t="str">
        <f>IF(Source!$C183&gt;=COLUMNS($A183:T183), Source!$G183, "")</f>
        <v/>
      </c>
      <c r="U183" s="2" t="str">
        <f>IF(Source!$C183&gt;=COLUMNS($A183:U183), Source!$G183, "")</f>
        <v/>
      </c>
      <c r="V183" s="2" t="str">
        <f>IF(Source!$C183&gt;=COLUMNS($A183:V183), Source!$G183, "")</f>
        <v/>
      </c>
      <c r="W183" s="2" t="str">
        <f>IF(Source!$C183&gt;=COLUMNS($A183:W183), Source!$G183, "")</f>
        <v/>
      </c>
      <c r="X183" s="2" t="str">
        <f>IF(Source!$C183&gt;=COLUMNS($A183:X183), Source!$G183, "")</f>
        <v/>
      </c>
      <c r="Y183" s="2" t="str">
        <f>IF(Source!$C183&gt;=COLUMNS($A183:Y183), Source!$G183, "")</f>
        <v/>
      </c>
      <c r="Z183" s="2" t="str">
        <f>IF(Source!$C183&gt;=COLUMNS($A183:Z183), Source!$G183, "")</f>
        <v/>
      </c>
      <c r="AA183" s="2" t="str">
        <f>IF(Source!$C183&gt;=COLUMNS($A183:AA183), Source!$G183, "")</f>
        <v/>
      </c>
      <c r="AB183" s="2" t="str">
        <f>IF(Source!$C183&gt;=COLUMNS($A183:AB183), Source!$G183, "")</f>
        <v/>
      </c>
      <c r="AC183" s="2" t="str">
        <f>IF(Source!$C183&gt;=COLUMNS($A183:AC183), Source!$G183, "")</f>
        <v/>
      </c>
      <c r="AD183" s="2" t="str">
        <f>IF(Source!$C183&gt;=COLUMNS($A183:AD183), Source!$G183, "")</f>
        <v/>
      </c>
      <c r="AE183" s="2" t="str">
        <f>IF(Source!$C183&gt;=COLUMNS($A183:AE183), Source!$G183, "")</f>
        <v/>
      </c>
      <c r="AF183" s="2" t="str">
        <f>IF(Source!$C183&gt;=COLUMNS($A183:AF183), Source!$G183, "")</f>
        <v/>
      </c>
      <c r="AG183" s="2" t="str">
        <f>IF(Source!$C183&gt;=COLUMNS($A183:AG183), Source!$G183, "")</f>
        <v/>
      </c>
      <c r="AH183" s="2" t="str">
        <f>IF(Source!$C183&gt;=COLUMNS($A183:AH183), Source!$G183, "")</f>
        <v/>
      </c>
      <c r="AI183" s="2" t="str">
        <f>IF(Source!$C183&gt;=COLUMNS($A183:AI183), Source!$G183, "")</f>
        <v/>
      </c>
      <c r="AJ183" s="2" t="str">
        <f>IF(Source!$C183&gt;=COLUMNS($A183:AJ183), Source!$G183, "")</f>
        <v/>
      </c>
      <c r="AK183" s="2" t="str">
        <f>IF(Source!$C183&gt;=COLUMNS($A183:AK183), Source!$G183, "")</f>
        <v/>
      </c>
      <c r="AL183" s="2" t="str">
        <f>IF(Source!$C183&gt;=COLUMNS($A183:AL183), Source!$G183, "")</f>
        <v/>
      </c>
      <c r="AM183" s="2" t="str">
        <f>IF(Source!$C183&gt;=COLUMNS($A183:AM183), Source!$G183, "")</f>
        <v/>
      </c>
      <c r="AN183" s="2" t="str">
        <f>IF(Source!$C183&gt;=COLUMNS($A183:AN183), Source!$G183, "")</f>
        <v/>
      </c>
      <c r="AO183" s="2" t="str">
        <f>IF(Source!$C183&gt;=COLUMNS($A183:AO183), Source!$G183, "")</f>
        <v/>
      </c>
      <c r="AP183" s="2" t="str">
        <f>IF(Source!$C183&gt;=COLUMNS($A183:AP183), Source!$G183, "")</f>
        <v/>
      </c>
      <c r="AQ183" s="2" t="str">
        <f>IF(Source!$C183&gt;=COLUMNS($A183:AQ183), Source!$G183, "")</f>
        <v/>
      </c>
      <c r="AR183" s="2" t="str">
        <f>IF(Source!$C183&gt;=COLUMNS($A183:AR183), Source!$G183, "")</f>
        <v/>
      </c>
    </row>
    <row r="184">
      <c r="A184" s="2">
        <f>IF(Source!$C184&gt;=COLUMNS($A184:A184), Source!$G184, "")</f>
        <v>9</v>
      </c>
      <c r="B184" s="2">
        <f>IF(Source!$C184&gt;=COLUMNS($A184:B184), Source!$G184, "")</f>
        <v>9</v>
      </c>
      <c r="C184" s="2">
        <f>IF(Source!$C184&gt;=COLUMNS($A184:C184), Source!$G184, "")</f>
        <v>9</v>
      </c>
      <c r="D184" s="2" t="str">
        <f>IF(Source!$C184&gt;=COLUMNS($A184:D184), Source!$G184, "")</f>
        <v/>
      </c>
      <c r="E184" s="2" t="str">
        <f>IF(Source!$C184&gt;=COLUMNS($A184:E184), Source!$G184, "")</f>
        <v/>
      </c>
      <c r="F184" s="2" t="str">
        <f>IF(Source!$C184&gt;=COLUMNS($A184:F184), Source!$G184, "")</f>
        <v/>
      </c>
      <c r="G184" s="2" t="str">
        <f>IF(Source!$C184&gt;=COLUMNS($A184:G184), Source!$G184, "")</f>
        <v/>
      </c>
      <c r="H184" s="2" t="str">
        <f>IF(Source!$C184&gt;=COLUMNS($A184:H184), Source!$G184, "")</f>
        <v/>
      </c>
      <c r="I184" s="2" t="str">
        <f>IF(Source!$C184&gt;=COLUMNS($A184:I184), Source!$G184, "")</f>
        <v/>
      </c>
      <c r="J184" s="2" t="str">
        <f>IF(Source!$C184&gt;=COLUMNS($A184:J184), Source!$G184, "")</f>
        <v/>
      </c>
      <c r="K184" s="2" t="str">
        <f>IF(Source!$C184&gt;=COLUMNS($A184:K184), Source!$G184, "")</f>
        <v/>
      </c>
      <c r="L184" s="2" t="str">
        <f>IF(Source!$C184&gt;=COLUMNS($A184:L184), Source!$G184, "")</f>
        <v/>
      </c>
      <c r="M184" s="2" t="str">
        <f>IF(Source!$C184&gt;=COLUMNS($A184:M184), Source!$G184, "")</f>
        <v/>
      </c>
      <c r="N184" s="2" t="str">
        <f>IF(Source!$C184&gt;=COLUMNS($A184:N184), Source!$G184, "")</f>
        <v/>
      </c>
      <c r="O184" s="2" t="str">
        <f>IF(Source!$C184&gt;=COLUMNS($A184:O184), Source!$G184, "")</f>
        <v/>
      </c>
      <c r="P184" s="2" t="str">
        <f>IF(Source!$C184&gt;=COLUMNS($A184:P184), Source!$G184, "")</f>
        <v/>
      </c>
      <c r="Q184" s="2" t="str">
        <f>IF(Source!$C184&gt;=COLUMNS($A184:Q184), Source!$G184, "")</f>
        <v/>
      </c>
      <c r="R184" s="2" t="str">
        <f>IF(Source!$C184&gt;=COLUMNS($A184:R184), Source!$G184, "")</f>
        <v/>
      </c>
      <c r="S184" s="2" t="str">
        <f>IF(Source!$C184&gt;=COLUMNS($A184:S184), Source!$G184, "")</f>
        <v/>
      </c>
      <c r="T184" s="2" t="str">
        <f>IF(Source!$C184&gt;=COLUMNS($A184:T184), Source!$G184, "")</f>
        <v/>
      </c>
      <c r="U184" s="2" t="str">
        <f>IF(Source!$C184&gt;=COLUMNS($A184:U184), Source!$G184, "")</f>
        <v/>
      </c>
      <c r="V184" s="2" t="str">
        <f>IF(Source!$C184&gt;=COLUMNS($A184:V184), Source!$G184, "")</f>
        <v/>
      </c>
      <c r="W184" s="2" t="str">
        <f>IF(Source!$C184&gt;=COLUMNS($A184:W184), Source!$G184, "")</f>
        <v/>
      </c>
      <c r="X184" s="2" t="str">
        <f>IF(Source!$C184&gt;=COLUMNS($A184:X184), Source!$G184, "")</f>
        <v/>
      </c>
      <c r="Y184" s="2" t="str">
        <f>IF(Source!$C184&gt;=COLUMNS($A184:Y184), Source!$G184, "")</f>
        <v/>
      </c>
      <c r="Z184" s="2" t="str">
        <f>IF(Source!$C184&gt;=COLUMNS($A184:Z184), Source!$G184, "")</f>
        <v/>
      </c>
      <c r="AA184" s="2" t="str">
        <f>IF(Source!$C184&gt;=COLUMNS($A184:AA184), Source!$G184, "")</f>
        <v/>
      </c>
      <c r="AB184" s="2" t="str">
        <f>IF(Source!$C184&gt;=COLUMNS($A184:AB184), Source!$G184, "")</f>
        <v/>
      </c>
      <c r="AC184" s="2" t="str">
        <f>IF(Source!$C184&gt;=COLUMNS($A184:AC184), Source!$G184, "")</f>
        <v/>
      </c>
      <c r="AD184" s="2" t="str">
        <f>IF(Source!$C184&gt;=COLUMNS($A184:AD184), Source!$G184, "")</f>
        <v/>
      </c>
      <c r="AE184" s="2" t="str">
        <f>IF(Source!$C184&gt;=COLUMNS($A184:AE184), Source!$G184, "")</f>
        <v/>
      </c>
      <c r="AF184" s="2" t="str">
        <f>IF(Source!$C184&gt;=COLUMNS($A184:AF184), Source!$G184, "")</f>
        <v/>
      </c>
      <c r="AG184" s="2" t="str">
        <f>IF(Source!$C184&gt;=COLUMNS($A184:AG184), Source!$G184, "")</f>
        <v/>
      </c>
      <c r="AH184" s="2" t="str">
        <f>IF(Source!$C184&gt;=COLUMNS($A184:AH184), Source!$G184, "")</f>
        <v/>
      </c>
      <c r="AI184" s="2" t="str">
        <f>IF(Source!$C184&gt;=COLUMNS($A184:AI184), Source!$G184, "")</f>
        <v/>
      </c>
      <c r="AJ184" s="2" t="str">
        <f>IF(Source!$C184&gt;=COLUMNS($A184:AJ184), Source!$G184, "")</f>
        <v/>
      </c>
      <c r="AK184" s="2" t="str">
        <f>IF(Source!$C184&gt;=COLUMNS($A184:AK184), Source!$G184, "")</f>
        <v/>
      </c>
      <c r="AL184" s="2" t="str">
        <f>IF(Source!$C184&gt;=COLUMNS($A184:AL184), Source!$G184, "")</f>
        <v/>
      </c>
      <c r="AM184" s="2" t="str">
        <f>IF(Source!$C184&gt;=COLUMNS($A184:AM184), Source!$G184, "")</f>
        <v/>
      </c>
      <c r="AN184" s="2" t="str">
        <f>IF(Source!$C184&gt;=COLUMNS($A184:AN184), Source!$G184, "")</f>
        <v/>
      </c>
      <c r="AO184" s="2" t="str">
        <f>IF(Source!$C184&gt;=COLUMNS($A184:AO184), Source!$G184, "")</f>
        <v/>
      </c>
      <c r="AP184" s="2" t="str">
        <f>IF(Source!$C184&gt;=COLUMNS($A184:AP184), Source!$G184, "")</f>
        <v/>
      </c>
      <c r="AQ184" s="2" t="str">
        <f>IF(Source!$C184&gt;=COLUMNS($A184:AQ184), Source!$G184, "")</f>
        <v/>
      </c>
      <c r="AR184" s="2" t="str">
        <f>IF(Source!$C184&gt;=COLUMNS($A184:AR184), Source!$G184, "")</f>
        <v/>
      </c>
    </row>
    <row r="185">
      <c r="A185" s="2">
        <f>IF(Source!$C185&gt;=COLUMNS($A185:A185), Source!$G185, "")</f>
        <v>2</v>
      </c>
      <c r="B185" s="2">
        <f>IF(Source!$C185&gt;=COLUMNS($A185:B185), Source!$G185, "")</f>
        <v>2</v>
      </c>
      <c r="C185" s="2">
        <f>IF(Source!$C185&gt;=COLUMNS($A185:C185), Source!$G185, "")</f>
        <v>2</v>
      </c>
      <c r="D185" s="2" t="str">
        <f>IF(Source!$C185&gt;=COLUMNS($A185:D185), Source!$G185, "")</f>
        <v/>
      </c>
      <c r="E185" s="2" t="str">
        <f>IF(Source!$C185&gt;=COLUMNS($A185:E185), Source!$G185, "")</f>
        <v/>
      </c>
      <c r="F185" s="2" t="str">
        <f>IF(Source!$C185&gt;=COLUMNS($A185:F185), Source!$G185, "")</f>
        <v/>
      </c>
      <c r="G185" s="2" t="str">
        <f>IF(Source!$C185&gt;=COLUMNS($A185:G185), Source!$G185, "")</f>
        <v/>
      </c>
      <c r="H185" s="2" t="str">
        <f>IF(Source!$C185&gt;=COLUMNS($A185:H185), Source!$G185, "")</f>
        <v/>
      </c>
      <c r="I185" s="2" t="str">
        <f>IF(Source!$C185&gt;=COLUMNS($A185:I185), Source!$G185, "")</f>
        <v/>
      </c>
      <c r="J185" s="2" t="str">
        <f>IF(Source!$C185&gt;=COLUMNS($A185:J185), Source!$G185, "")</f>
        <v/>
      </c>
      <c r="K185" s="2" t="str">
        <f>IF(Source!$C185&gt;=COLUMNS($A185:K185), Source!$G185, "")</f>
        <v/>
      </c>
      <c r="L185" s="2" t="str">
        <f>IF(Source!$C185&gt;=COLUMNS($A185:L185), Source!$G185, "")</f>
        <v/>
      </c>
      <c r="M185" s="2" t="str">
        <f>IF(Source!$C185&gt;=COLUMNS($A185:M185), Source!$G185, "")</f>
        <v/>
      </c>
      <c r="N185" s="2" t="str">
        <f>IF(Source!$C185&gt;=COLUMNS($A185:N185), Source!$G185, "")</f>
        <v/>
      </c>
      <c r="O185" s="2" t="str">
        <f>IF(Source!$C185&gt;=COLUMNS($A185:O185), Source!$G185, "")</f>
        <v/>
      </c>
      <c r="P185" s="2" t="str">
        <f>IF(Source!$C185&gt;=COLUMNS($A185:P185), Source!$G185, "")</f>
        <v/>
      </c>
      <c r="Q185" s="2" t="str">
        <f>IF(Source!$C185&gt;=COLUMNS($A185:Q185), Source!$G185, "")</f>
        <v/>
      </c>
      <c r="R185" s="2" t="str">
        <f>IF(Source!$C185&gt;=COLUMNS($A185:R185), Source!$G185, "")</f>
        <v/>
      </c>
      <c r="S185" s="2" t="str">
        <f>IF(Source!$C185&gt;=COLUMNS($A185:S185), Source!$G185, "")</f>
        <v/>
      </c>
      <c r="T185" s="2" t="str">
        <f>IF(Source!$C185&gt;=COLUMNS($A185:T185), Source!$G185, "")</f>
        <v/>
      </c>
      <c r="U185" s="2" t="str">
        <f>IF(Source!$C185&gt;=COLUMNS($A185:U185), Source!$G185, "")</f>
        <v/>
      </c>
      <c r="V185" s="2" t="str">
        <f>IF(Source!$C185&gt;=COLUMNS($A185:V185), Source!$G185, "")</f>
        <v/>
      </c>
      <c r="W185" s="2" t="str">
        <f>IF(Source!$C185&gt;=COLUMNS($A185:W185), Source!$G185, "")</f>
        <v/>
      </c>
      <c r="X185" s="2" t="str">
        <f>IF(Source!$C185&gt;=COLUMNS($A185:X185), Source!$G185, "")</f>
        <v/>
      </c>
      <c r="Y185" s="2" t="str">
        <f>IF(Source!$C185&gt;=COLUMNS($A185:Y185), Source!$G185, "")</f>
        <v/>
      </c>
      <c r="Z185" s="2" t="str">
        <f>IF(Source!$C185&gt;=COLUMNS($A185:Z185), Source!$G185, "")</f>
        <v/>
      </c>
      <c r="AA185" s="2" t="str">
        <f>IF(Source!$C185&gt;=COLUMNS($A185:AA185), Source!$G185, "")</f>
        <v/>
      </c>
      <c r="AB185" s="2" t="str">
        <f>IF(Source!$C185&gt;=COLUMNS($A185:AB185), Source!$G185, "")</f>
        <v/>
      </c>
      <c r="AC185" s="2" t="str">
        <f>IF(Source!$C185&gt;=COLUMNS($A185:AC185), Source!$G185, "")</f>
        <v/>
      </c>
      <c r="AD185" s="2" t="str">
        <f>IF(Source!$C185&gt;=COLUMNS($A185:AD185), Source!$G185, "")</f>
        <v/>
      </c>
      <c r="AE185" s="2" t="str">
        <f>IF(Source!$C185&gt;=COLUMNS($A185:AE185), Source!$G185, "")</f>
        <v/>
      </c>
      <c r="AF185" s="2" t="str">
        <f>IF(Source!$C185&gt;=COLUMNS($A185:AF185), Source!$G185, "")</f>
        <v/>
      </c>
      <c r="AG185" s="2" t="str">
        <f>IF(Source!$C185&gt;=COLUMNS($A185:AG185), Source!$G185, "")</f>
        <v/>
      </c>
      <c r="AH185" s="2" t="str">
        <f>IF(Source!$C185&gt;=COLUMNS($A185:AH185), Source!$G185, "")</f>
        <v/>
      </c>
      <c r="AI185" s="2" t="str">
        <f>IF(Source!$C185&gt;=COLUMNS($A185:AI185), Source!$G185, "")</f>
        <v/>
      </c>
      <c r="AJ185" s="2" t="str">
        <f>IF(Source!$C185&gt;=COLUMNS($A185:AJ185), Source!$G185, "")</f>
        <v/>
      </c>
      <c r="AK185" s="2" t="str">
        <f>IF(Source!$C185&gt;=COLUMNS($A185:AK185), Source!$G185, "")</f>
        <v/>
      </c>
      <c r="AL185" s="2" t="str">
        <f>IF(Source!$C185&gt;=COLUMNS($A185:AL185), Source!$G185, "")</f>
        <v/>
      </c>
      <c r="AM185" s="2" t="str">
        <f>IF(Source!$C185&gt;=COLUMNS($A185:AM185), Source!$G185, "")</f>
        <v/>
      </c>
      <c r="AN185" s="2" t="str">
        <f>IF(Source!$C185&gt;=COLUMNS($A185:AN185), Source!$G185, "")</f>
        <v/>
      </c>
      <c r="AO185" s="2" t="str">
        <f>IF(Source!$C185&gt;=COLUMNS($A185:AO185), Source!$G185, "")</f>
        <v/>
      </c>
      <c r="AP185" s="2" t="str">
        <f>IF(Source!$C185&gt;=COLUMNS($A185:AP185), Source!$G185, "")</f>
        <v/>
      </c>
      <c r="AQ185" s="2" t="str">
        <f>IF(Source!$C185&gt;=COLUMNS($A185:AQ185), Source!$G185, "")</f>
        <v/>
      </c>
      <c r="AR185" s="2" t="str">
        <f>IF(Source!$C185&gt;=COLUMNS($A185:AR185), Source!$G185, "")</f>
        <v/>
      </c>
    </row>
    <row r="186">
      <c r="A186" s="2">
        <f>IF(Source!$C186&gt;=COLUMNS($A186:A186), Source!$G186, "")</f>
        <v>6</v>
      </c>
      <c r="B186" s="2">
        <f>IF(Source!$C186&gt;=COLUMNS($A186:B186), Source!$G186, "")</f>
        <v>6</v>
      </c>
      <c r="C186" s="2">
        <f>IF(Source!$C186&gt;=COLUMNS($A186:C186), Source!$G186, "")</f>
        <v>6</v>
      </c>
      <c r="D186" s="2">
        <f>IF(Source!$C186&gt;=COLUMNS($A186:D186), Source!$G186, "")</f>
        <v>6</v>
      </c>
      <c r="E186" s="2" t="str">
        <f>IF(Source!$C186&gt;=COLUMNS($A186:E186), Source!$G186, "")</f>
        <v/>
      </c>
      <c r="F186" s="2" t="str">
        <f>IF(Source!$C186&gt;=COLUMNS($A186:F186), Source!$G186, "")</f>
        <v/>
      </c>
      <c r="G186" s="2" t="str">
        <f>IF(Source!$C186&gt;=COLUMNS($A186:G186), Source!$G186, "")</f>
        <v/>
      </c>
      <c r="H186" s="2" t="str">
        <f>IF(Source!$C186&gt;=COLUMNS($A186:H186), Source!$G186, "")</f>
        <v/>
      </c>
      <c r="I186" s="2" t="str">
        <f>IF(Source!$C186&gt;=COLUMNS($A186:I186), Source!$G186, "")</f>
        <v/>
      </c>
      <c r="J186" s="2" t="str">
        <f>IF(Source!$C186&gt;=COLUMNS($A186:J186), Source!$G186, "")</f>
        <v/>
      </c>
      <c r="K186" s="2" t="str">
        <f>IF(Source!$C186&gt;=COLUMNS($A186:K186), Source!$G186, "")</f>
        <v/>
      </c>
      <c r="L186" s="2" t="str">
        <f>IF(Source!$C186&gt;=COLUMNS($A186:L186), Source!$G186, "")</f>
        <v/>
      </c>
      <c r="M186" s="2" t="str">
        <f>IF(Source!$C186&gt;=COLUMNS($A186:M186), Source!$G186, "")</f>
        <v/>
      </c>
      <c r="N186" s="2" t="str">
        <f>IF(Source!$C186&gt;=COLUMNS($A186:N186), Source!$G186, "")</f>
        <v/>
      </c>
      <c r="O186" s="2" t="str">
        <f>IF(Source!$C186&gt;=COLUMNS($A186:O186), Source!$G186, "")</f>
        <v/>
      </c>
      <c r="P186" s="2" t="str">
        <f>IF(Source!$C186&gt;=COLUMNS($A186:P186), Source!$G186, "")</f>
        <v/>
      </c>
      <c r="Q186" s="2" t="str">
        <f>IF(Source!$C186&gt;=COLUMNS($A186:Q186), Source!$G186, "")</f>
        <v/>
      </c>
      <c r="R186" s="2" t="str">
        <f>IF(Source!$C186&gt;=COLUMNS($A186:R186), Source!$G186, "")</f>
        <v/>
      </c>
      <c r="S186" s="2" t="str">
        <f>IF(Source!$C186&gt;=COLUMNS($A186:S186), Source!$G186, "")</f>
        <v/>
      </c>
      <c r="T186" s="2" t="str">
        <f>IF(Source!$C186&gt;=COLUMNS($A186:T186), Source!$G186, "")</f>
        <v/>
      </c>
      <c r="U186" s="2" t="str">
        <f>IF(Source!$C186&gt;=COLUMNS($A186:U186), Source!$G186, "")</f>
        <v/>
      </c>
      <c r="V186" s="2" t="str">
        <f>IF(Source!$C186&gt;=COLUMNS($A186:V186), Source!$G186, "")</f>
        <v/>
      </c>
      <c r="W186" s="2" t="str">
        <f>IF(Source!$C186&gt;=COLUMNS($A186:W186), Source!$G186, "")</f>
        <v/>
      </c>
      <c r="X186" s="2" t="str">
        <f>IF(Source!$C186&gt;=COLUMNS($A186:X186), Source!$G186, "")</f>
        <v/>
      </c>
      <c r="Y186" s="2" t="str">
        <f>IF(Source!$C186&gt;=COLUMNS($A186:Y186), Source!$G186, "")</f>
        <v/>
      </c>
      <c r="Z186" s="2" t="str">
        <f>IF(Source!$C186&gt;=COLUMNS($A186:Z186), Source!$G186, "")</f>
        <v/>
      </c>
      <c r="AA186" s="2" t="str">
        <f>IF(Source!$C186&gt;=COLUMNS($A186:AA186), Source!$G186, "")</f>
        <v/>
      </c>
      <c r="AB186" s="2" t="str">
        <f>IF(Source!$C186&gt;=COLUMNS($A186:AB186), Source!$G186, "")</f>
        <v/>
      </c>
      <c r="AC186" s="2" t="str">
        <f>IF(Source!$C186&gt;=COLUMNS($A186:AC186), Source!$G186, "")</f>
        <v/>
      </c>
      <c r="AD186" s="2" t="str">
        <f>IF(Source!$C186&gt;=COLUMNS($A186:AD186), Source!$G186, "")</f>
        <v/>
      </c>
      <c r="AE186" s="2" t="str">
        <f>IF(Source!$C186&gt;=COLUMNS($A186:AE186), Source!$G186, "")</f>
        <v/>
      </c>
      <c r="AF186" s="2" t="str">
        <f>IF(Source!$C186&gt;=COLUMNS($A186:AF186), Source!$G186, "")</f>
        <v/>
      </c>
      <c r="AG186" s="2" t="str">
        <f>IF(Source!$C186&gt;=COLUMNS($A186:AG186), Source!$G186, "")</f>
        <v/>
      </c>
      <c r="AH186" s="2" t="str">
        <f>IF(Source!$C186&gt;=COLUMNS($A186:AH186), Source!$G186, "")</f>
        <v/>
      </c>
      <c r="AI186" s="2" t="str">
        <f>IF(Source!$C186&gt;=COLUMNS($A186:AI186), Source!$G186, "")</f>
        <v/>
      </c>
      <c r="AJ186" s="2" t="str">
        <f>IF(Source!$C186&gt;=COLUMNS($A186:AJ186), Source!$G186, "")</f>
        <v/>
      </c>
      <c r="AK186" s="2" t="str">
        <f>IF(Source!$C186&gt;=COLUMNS($A186:AK186), Source!$G186, "")</f>
        <v/>
      </c>
      <c r="AL186" s="2" t="str">
        <f>IF(Source!$C186&gt;=COLUMNS($A186:AL186), Source!$G186, "")</f>
        <v/>
      </c>
      <c r="AM186" s="2" t="str">
        <f>IF(Source!$C186&gt;=COLUMNS($A186:AM186), Source!$G186, "")</f>
        <v/>
      </c>
      <c r="AN186" s="2" t="str">
        <f>IF(Source!$C186&gt;=COLUMNS($A186:AN186), Source!$G186, "")</f>
        <v/>
      </c>
      <c r="AO186" s="2" t="str">
        <f>IF(Source!$C186&gt;=COLUMNS($A186:AO186), Source!$G186, "")</f>
        <v/>
      </c>
      <c r="AP186" s="2" t="str">
        <f>IF(Source!$C186&gt;=COLUMNS($A186:AP186), Source!$G186, "")</f>
        <v/>
      </c>
      <c r="AQ186" s="2" t="str">
        <f>IF(Source!$C186&gt;=COLUMNS($A186:AQ186), Source!$G186, "")</f>
        <v/>
      </c>
      <c r="AR186" s="2" t="str">
        <f>IF(Source!$C186&gt;=COLUMNS($A186:AR186), Source!$G186, "")</f>
        <v/>
      </c>
    </row>
    <row r="187">
      <c r="A187" s="2">
        <f>IF(Source!$C187&gt;=COLUMNS($A187:A187), Source!$G187, "")</f>
        <v>7</v>
      </c>
      <c r="B187" s="2">
        <f>IF(Source!$C187&gt;=COLUMNS($A187:B187), Source!$G187, "")</f>
        <v>7</v>
      </c>
      <c r="C187" s="2">
        <f>IF(Source!$C187&gt;=COLUMNS($A187:C187), Source!$G187, "")</f>
        <v>7</v>
      </c>
      <c r="D187" s="2">
        <f>IF(Source!$C187&gt;=COLUMNS($A187:D187), Source!$G187, "")</f>
        <v>7</v>
      </c>
      <c r="E187" s="2">
        <f>IF(Source!$C187&gt;=COLUMNS($A187:E187), Source!$G187, "")</f>
        <v>7</v>
      </c>
      <c r="F187" s="2">
        <f>IF(Source!$C187&gt;=COLUMNS($A187:F187), Source!$G187, "")</f>
        <v>7</v>
      </c>
      <c r="G187" s="2" t="str">
        <f>IF(Source!$C187&gt;=COLUMNS($A187:G187), Source!$G187, "")</f>
        <v/>
      </c>
      <c r="H187" s="2" t="str">
        <f>IF(Source!$C187&gt;=COLUMNS($A187:H187), Source!$G187, "")</f>
        <v/>
      </c>
      <c r="I187" s="2" t="str">
        <f>IF(Source!$C187&gt;=COLUMNS($A187:I187), Source!$G187, "")</f>
        <v/>
      </c>
      <c r="J187" s="2" t="str">
        <f>IF(Source!$C187&gt;=COLUMNS($A187:J187), Source!$G187, "")</f>
        <v/>
      </c>
      <c r="K187" s="2" t="str">
        <f>IF(Source!$C187&gt;=COLUMNS($A187:K187), Source!$G187, "")</f>
        <v/>
      </c>
      <c r="L187" s="2" t="str">
        <f>IF(Source!$C187&gt;=COLUMNS($A187:L187), Source!$G187, "")</f>
        <v/>
      </c>
      <c r="M187" s="2" t="str">
        <f>IF(Source!$C187&gt;=COLUMNS($A187:M187), Source!$G187, "")</f>
        <v/>
      </c>
      <c r="N187" s="2" t="str">
        <f>IF(Source!$C187&gt;=COLUMNS($A187:N187), Source!$G187, "")</f>
        <v/>
      </c>
      <c r="O187" s="2" t="str">
        <f>IF(Source!$C187&gt;=COLUMNS($A187:O187), Source!$G187, "")</f>
        <v/>
      </c>
      <c r="P187" s="2" t="str">
        <f>IF(Source!$C187&gt;=COLUMNS($A187:P187), Source!$G187, "")</f>
        <v/>
      </c>
      <c r="Q187" s="2" t="str">
        <f>IF(Source!$C187&gt;=COLUMNS($A187:Q187), Source!$G187, "")</f>
        <v/>
      </c>
      <c r="R187" s="2" t="str">
        <f>IF(Source!$C187&gt;=COLUMNS($A187:R187), Source!$G187, "")</f>
        <v/>
      </c>
      <c r="S187" s="2" t="str">
        <f>IF(Source!$C187&gt;=COLUMNS($A187:S187), Source!$G187, "")</f>
        <v/>
      </c>
      <c r="T187" s="2" t="str">
        <f>IF(Source!$C187&gt;=COLUMNS($A187:T187), Source!$G187, "")</f>
        <v/>
      </c>
      <c r="U187" s="2" t="str">
        <f>IF(Source!$C187&gt;=COLUMNS($A187:U187), Source!$G187, "")</f>
        <v/>
      </c>
      <c r="V187" s="2" t="str">
        <f>IF(Source!$C187&gt;=COLUMNS($A187:V187), Source!$G187, "")</f>
        <v/>
      </c>
      <c r="W187" s="2" t="str">
        <f>IF(Source!$C187&gt;=COLUMNS($A187:W187), Source!$G187, "")</f>
        <v/>
      </c>
      <c r="X187" s="2" t="str">
        <f>IF(Source!$C187&gt;=COLUMNS($A187:X187), Source!$G187, "")</f>
        <v/>
      </c>
      <c r="Y187" s="2" t="str">
        <f>IF(Source!$C187&gt;=COLUMNS($A187:Y187), Source!$G187, "")</f>
        <v/>
      </c>
      <c r="Z187" s="2" t="str">
        <f>IF(Source!$C187&gt;=COLUMNS($A187:Z187), Source!$G187, "")</f>
        <v/>
      </c>
      <c r="AA187" s="2" t="str">
        <f>IF(Source!$C187&gt;=COLUMNS($A187:AA187), Source!$G187, "")</f>
        <v/>
      </c>
      <c r="AB187" s="2" t="str">
        <f>IF(Source!$C187&gt;=COLUMNS($A187:AB187), Source!$G187, "")</f>
        <v/>
      </c>
      <c r="AC187" s="2" t="str">
        <f>IF(Source!$C187&gt;=COLUMNS($A187:AC187), Source!$G187, "")</f>
        <v/>
      </c>
      <c r="AD187" s="2" t="str">
        <f>IF(Source!$C187&gt;=COLUMNS($A187:AD187), Source!$G187, "")</f>
        <v/>
      </c>
      <c r="AE187" s="2" t="str">
        <f>IF(Source!$C187&gt;=COLUMNS($A187:AE187), Source!$G187, "")</f>
        <v/>
      </c>
      <c r="AF187" s="2" t="str">
        <f>IF(Source!$C187&gt;=COLUMNS($A187:AF187), Source!$G187, "")</f>
        <v/>
      </c>
      <c r="AG187" s="2" t="str">
        <f>IF(Source!$C187&gt;=COLUMNS($A187:AG187), Source!$G187, "")</f>
        <v/>
      </c>
      <c r="AH187" s="2" t="str">
        <f>IF(Source!$C187&gt;=COLUMNS($A187:AH187), Source!$G187, "")</f>
        <v/>
      </c>
      <c r="AI187" s="2" t="str">
        <f>IF(Source!$C187&gt;=COLUMNS($A187:AI187), Source!$G187, "")</f>
        <v/>
      </c>
      <c r="AJ187" s="2" t="str">
        <f>IF(Source!$C187&gt;=COLUMNS($A187:AJ187), Source!$G187, "")</f>
        <v/>
      </c>
      <c r="AK187" s="2" t="str">
        <f>IF(Source!$C187&gt;=COLUMNS($A187:AK187), Source!$G187, "")</f>
        <v/>
      </c>
      <c r="AL187" s="2" t="str">
        <f>IF(Source!$C187&gt;=COLUMNS($A187:AL187), Source!$G187, "")</f>
        <v/>
      </c>
      <c r="AM187" s="2" t="str">
        <f>IF(Source!$C187&gt;=COLUMNS($A187:AM187), Source!$G187, "")</f>
        <v/>
      </c>
      <c r="AN187" s="2" t="str">
        <f>IF(Source!$C187&gt;=COLUMNS($A187:AN187), Source!$G187, "")</f>
        <v/>
      </c>
      <c r="AO187" s="2" t="str">
        <f>IF(Source!$C187&gt;=COLUMNS($A187:AO187), Source!$G187, "")</f>
        <v/>
      </c>
      <c r="AP187" s="2" t="str">
        <f>IF(Source!$C187&gt;=COLUMNS($A187:AP187), Source!$G187, "")</f>
        <v/>
      </c>
      <c r="AQ187" s="2" t="str">
        <f>IF(Source!$C187&gt;=COLUMNS($A187:AQ187), Source!$G187, "")</f>
        <v/>
      </c>
      <c r="AR187" s="2" t="str">
        <f>IF(Source!$C187&gt;=COLUMNS($A187:AR187), Source!$G187, "")</f>
        <v/>
      </c>
    </row>
    <row r="188">
      <c r="A188" s="2">
        <f>IF(Source!$C188&gt;=COLUMNS($A188:A188), Source!$G188, "")</f>
        <v>8</v>
      </c>
      <c r="B188" s="2" t="str">
        <f>IF(Source!$C188&gt;=COLUMNS($A188:B188), Source!$G188, "")</f>
        <v/>
      </c>
      <c r="C188" s="2" t="str">
        <f>IF(Source!$C188&gt;=COLUMNS($A188:C188), Source!$G188, "")</f>
        <v/>
      </c>
      <c r="D188" s="2" t="str">
        <f>IF(Source!$C188&gt;=COLUMNS($A188:D188), Source!$G188, "")</f>
        <v/>
      </c>
      <c r="E188" s="2" t="str">
        <f>IF(Source!$C188&gt;=COLUMNS($A188:E188), Source!$G188, "")</f>
        <v/>
      </c>
      <c r="F188" s="2" t="str">
        <f>IF(Source!$C188&gt;=COLUMNS($A188:F188), Source!$G188, "")</f>
        <v/>
      </c>
      <c r="G188" s="2" t="str">
        <f>IF(Source!$C188&gt;=COLUMNS($A188:G188), Source!$G188, "")</f>
        <v/>
      </c>
      <c r="H188" s="2" t="str">
        <f>IF(Source!$C188&gt;=COLUMNS($A188:H188), Source!$G188, "")</f>
        <v/>
      </c>
      <c r="I188" s="2" t="str">
        <f>IF(Source!$C188&gt;=COLUMNS($A188:I188), Source!$G188, "")</f>
        <v/>
      </c>
      <c r="J188" s="2" t="str">
        <f>IF(Source!$C188&gt;=COLUMNS($A188:J188), Source!$G188, "")</f>
        <v/>
      </c>
      <c r="K188" s="2" t="str">
        <f>IF(Source!$C188&gt;=COLUMNS($A188:K188), Source!$G188, "")</f>
        <v/>
      </c>
      <c r="L188" s="2" t="str">
        <f>IF(Source!$C188&gt;=COLUMNS($A188:L188), Source!$G188, "")</f>
        <v/>
      </c>
      <c r="M188" s="2" t="str">
        <f>IF(Source!$C188&gt;=COLUMNS($A188:M188), Source!$G188, "")</f>
        <v/>
      </c>
      <c r="N188" s="2" t="str">
        <f>IF(Source!$C188&gt;=COLUMNS($A188:N188), Source!$G188, "")</f>
        <v/>
      </c>
      <c r="O188" s="2" t="str">
        <f>IF(Source!$C188&gt;=COLUMNS($A188:O188), Source!$G188, "")</f>
        <v/>
      </c>
      <c r="P188" s="2" t="str">
        <f>IF(Source!$C188&gt;=COLUMNS($A188:P188), Source!$G188, "")</f>
        <v/>
      </c>
      <c r="Q188" s="2" t="str">
        <f>IF(Source!$C188&gt;=COLUMNS($A188:Q188), Source!$G188, "")</f>
        <v/>
      </c>
      <c r="R188" s="2" t="str">
        <f>IF(Source!$C188&gt;=COLUMNS($A188:R188), Source!$G188, "")</f>
        <v/>
      </c>
      <c r="S188" s="2" t="str">
        <f>IF(Source!$C188&gt;=COLUMNS($A188:S188), Source!$G188, "")</f>
        <v/>
      </c>
      <c r="T188" s="2" t="str">
        <f>IF(Source!$C188&gt;=COLUMNS($A188:T188), Source!$G188, "")</f>
        <v/>
      </c>
      <c r="U188" s="2" t="str">
        <f>IF(Source!$C188&gt;=COLUMNS($A188:U188), Source!$G188, "")</f>
        <v/>
      </c>
      <c r="V188" s="2" t="str">
        <f>IF(Source!$C188&gt;=COLUMNS($A188:V188), Source!$G188, "")</f>
        <v/>
      </c>
      <c r="W188" s="2" t="str">
        <f>IF(Source!$C188&gt;=COLUMNS($A188:W188), Source!$G188, "")</f>
        <v/>
      </c>
      <c r="X188" s="2" t="str">
        <f>IF(Source!$C188&gt;=COLUMNS($A188:X188), Source!$G188, "")</f>
        <v/>
      </c>
      <c r="Y188" s="2" t="str">
        <f>IF(Source!$C188&gt;=COLUMNS($A188:Y188), Source!$G188, "")</f>
        <v/>
      </c>
      <c r="Z188" s="2" t="str">
        <f>IF(Source!$C188&gt;=COLUMNS($A188:Z188), Source!$G188, "")</f>
        <v/>
      </c>
      <c r="AA188" s="2" t="str">
        <f>IF(Source!$C188&gt;=COLUMNS($A188:AA188), Source!$G188, "")</f>
        <v/>
      </c>
      <c r="AB188" s="2" t="str">
        <f>IF(Source!$C188&gt;=COLUMNS($A188:AB188), Source!$G188, "")</f>
        <v/>
      </c>
      <c r="AC188" s="2" t="str">
        <f>IF(Source!$C188&gt;=COLUMNS($A188:AC188), Source!$G188, "")</f>
        <v/>
      </c>
      <c r="AD188" s="2" t="str">
        <f>IF(Source!$C188&gt;=COLUMNS($A188:AD188), Source!$G188, "")</f>
        <v/>
      </c>
      <c r="AE188" s="2" t="str">
        <f>IF(Source!$C188&gt;=COLUMNS($A188:AE188), Source!$G188, "")</f>
        <v/>
      </c>
      <c r="AF188" s="2" t="str">
        <f>IF(Source!$C188&gt;=COLUMNS($A188:AF188), Source!$G188, "")</f>
        <v/>
      </c>
      <c r="AG188" s="2" t="str">
        <f>IF(Source!$C188&gt;=COLUMNS($A188:AG188), Source!$G188, "")</f>
        <v/>
      </c>
      <c r="AH188" s="2" t="str">
        <f>IF(Source!$C188&gt;=COLUMNS($A188:AH188), Source!$G188, "")</f>
        <v/>
      </c>
      <c r="AI188" s="2" t="str">
        <f>IF(Source!$C188&gt;=COLUMNS($A188:AI188), Source!$G188, "")</f>
        <v/>
      </c>
      <c r="AJ188" s="2" t="str">
        <f>IF(Source!$C188&gt;=COLUMNS($A188:AJ188), Source!$G188, "")</f>
        <v/>
      </c>
      <c r="AK188" s="2" t="str">
        <f>IF(Source!$C188&gt;=COLUMNS($A188:AK188), Source!$G188, "")</f>
        <v/>
      </c>
      <c r="AL188" s="2" t="str">
        <f>IF(Source!$C188&gt;=COLUMNS($A188:AL188), Source!$G188, "")</f>
        <v/>
      </c>
      <c r="AM188" s="2" t="str">
        <f>IF(Source!$C188&gt;=COLUMNS($A188:AM188), Source!$G188, "")</f>
        <v/>
      </c>
      <c r="AN188" s="2" t="str">
        <f>IF(Source!$C188&gt;=COLUMNS($A188:AN188), Source!$G188, "")</f>
        <v/>
      </c>
      <c r="AO188" s="2" t="str">
        <f>IF(Source!$C188&gt;=COLUMNS($A188:AO188), Source!$G188, "")</f>
        <v/>
      </c>
      <c r="AP188" s="2" t="str">
        <f>IF(Source!$C188&gt;=COLUMNS($A188:AP188), Source!$G188, "")</f>
        <v/>
      </c>
      <c r="AQ188" s="2" t="str">
        <f>IF(Source!$C188&gt;=COLUMNS($A188:AQ188), Source!$G188, "")</f>
        <v/>
      </c>
      <c r="AR188" s="2" t="str">
        <f>IF(Source!$C188&gt;=COLUMNS($A188:AR188), Source!$G188, "")</f>
        <v/>
      </c>
    </row>
    <row r="189">
      <c r="A189" s="2">
        <f>IF(Source!$C189&gt;=COLUMNS($A189:A189), Source!$G189, "")</f>
        <v>5</v>
      </c>
      <c r="B189" s="2">
        <f>IF(Source!$C189&gt;=COLUMNS($A189:B189), Source!$G189, "")</f>
        <v>5</v>
      </c>
      <c r="C189" s="2">
        <f>IF(Source!$C189&gt;=COLUMNS($A189:C189), Source!$G189, "")</f>
        <v>5</v>
      </c>
      <c r="D189" s="2">
        <f>IF(Source!$C189&gt;=COLUMNS($A189:D189), Source!$G189, "")</f>
        <v>5</v>
      </c>
      <c r="E189" s="2">
        <f>IF(Source!$C189&gt;=COLUMNS($A189:E189), Source!$G189, "")</f>
        <v>5</v>
      </c>
      <c r="F189" s="2">
        <f>IF(Source!$C189&gt;=COLUMNS($A189:F189), Source!$G189, "")</f>
        <v>5</v>
      </c>
      <c r="G189" s="2">
        <f>IF(Source!$C189&gt;=COLUMNS($A189:G189), Source!$G189, "")</f>
        <v>5</v>
      </c>
      <c r="H189" s="2">
        <f>IF(Source!$C189&gt;=COLUMNS($A189:H189), Source!$G189, "")</f>
        <v>5</v>
      </c>
      <c r="I189" s="2" t="str">
        <f>IF(Source!$C189&gt;=COLUMNS($A189:I189), Source!$G189, "")</f>
        <v/>
      </c>
      <c r="J189" s="2" t="str">
        <f>IF(Source!$C189&gt;=COLUMNS($A189:J189), Source!$G189, "")</f>
        <v/>
      </c>
      <c r="K189" s="2" t="str">
        <f>IF(Source!$C189&gt;=COLUMNS($A189:K189), Source!$G189, "")</f>
        <v/>
      </c>
      <c r="L189" s="2" t="str">
        <f>IF(Source!$C189&gt;=COLUMNS($A189:L189), Source!$G189, "")</f>
        <v/>
      </c>
      <c r="M189" s="2" t="str">
        <f>IF(Source!$C189&gt;=COLUMNS($A189:M189), Source!$G189, "")</f>
        <v/>
      </c>
      <c r="N189" s="2" t="str">
        <f>IF(Source!$C189&gt;=COLUMNS($A189:N189), Source!$G189, "")</f>
        <v/>
      </c>
      <c r="O189" s="2" t="str">
        <f>IF(Source!$C189&gt;=COLUMNS($A189:O189), Source!$G189, "")</f>
        <v/>
      </c>
      <c r="P189" s="2" t="str">
        <f>IF(Source!$C189&gt;=COLUMNS($A189:P189), Source!$G189, "")</f>
        <v/>
      </c>
      <c r="Q189" s="2" t="str">
        <f>IF(Source!$C189&gt;=COLUMNS($A189:Q189), Source!$G189, "")</f>
        <v/>
      </c>
      <c r="R189" s="2" t="str">
        <f>IF(Source!$C189&gt;=COLUMNS($A189:R189), Source!$G189, "")</f>
        <v/>
      </c>
      <c r="S189" s="2" t="str">
        <f>IF(Source!$C189&gt;=COLUMNS($A189:S189), Source!$G189, "")</f>
        <v/>
      </c>
      <c r="T189" s="2" t="str">
        <f>IF(Source!$C189&gt;=COLUMNS($A189:T189), Source!$G189, "")</f>
        <v/>
      </c>
      <c r="U189" s="2" t="str">
        <f>IF(Source!$C189&gt;=COLUMNS($A189:U189), Source!$G189, "")</f>
        <v/>
      </c>
      <c r="V189" s="2" t="str">
        <f>IF(Source!$C189&gt;=COLUMNS($A189:V189), Source!$G189, "")</f>
        <v/>
      </c>
      <c r="W189" s="2" t="str">
        <f>IF(Source!$C189&gt;=COLUMNS($A189:W189), Source!$G189, "")</f>
        <v/>
      </c>
      <c r="X189" s="2" t="str">
        <f>IF(Source!$C189&gt;=COLUMNS($A189:X189), Source!$G189, "")</f>
        <v/>
      </c>
      <c r="Y189" s="2" t="str">
        <f>IF(Source!$C189&gt;=COLUMNS($A189:Y189), Source!$G189, "")</f>
        <v/>
      </c>
      <c r="Z189" s="2" t="str">
        <f>IF(Source!$C189&gt;=COLUMNS($A189:Z189), Source!$G189, "")</f>
        <v/>
      </c>
      <c r="AA189" s="2" t="str">
        <f>IF(Source!$C189&gt;=COLUMNS($A189:AA189), Source!$G189, "")</f>
        <v/>
      </c>
      <c r="AB189" s="2" t="str">
        <f>IF(Source!$C189&gt;=COLUMNS($A189:AB189), Source!$G189, "")</f>
        <v/>
      </c>
      <c r="AC189" s="2" t="str">
        <f>IF(Source!$C189&gt;=COLUMNS($A189:AC189), Source!$G189, "")</f>
        <v/>
      </c>
      <c r="AD189" s="2" t="str">
        <f>IF(Source!$C189&gt;=COLUMNS($A189:AD189), Source!$G189, "")</f>
        <v/>
      </c>
      <c r="AE189" s="2" t="str">
        <f>IF(Source!$C189&gt;=COLUMNS($A189:AE189), Source!$G189, "")</f>
        <v/>
      </c>
      <c r="AF189" s="2" t="str">
        <f>IF(Source!$C189&gt;=COLUMNS($A189:AF189), Source!$G189, "")</f>
        <v/>
      </c>
      <c r="AG189" s="2" t="str">
        <f>IF(Source!$C189&gt;=COLUMNS($A189:AG189), Source!$G189, "")</f>
        <v/>
      </c>
      <c r="AH189" s="2" t="str">
        <f>IF(Source!$C189&gt;=COLUMNS($A189:AH189), Source!$G189, "")</f>
        <v/>
      </c>
      <c r="AI189" s="2" t="str">
        <f>IF(Source!$C189&gt;=COLUMNS($A189:AI189), Source!$G189, "")</f>
        <v/>
      </c>
      <c r="AJ189" s="2" t="str">
        <f>IF(Source!$C189&gt;=COLUMNS($A189:AJ189), Source!$G189, "")</f>
        <v/>
      </c>
      <c r="AK189" s="2" t="str">
        <f>IF(Source!$C189&gt;=COLUMNS($A189:AK189), Source!$G189, "")</f>
        <v/>
      </c>
      <c r="AL189" s="2" t="str">
        <f>IF(Source!$C189&gt;=COLUMNS($A189:AL189), Source!$G189, "")</f>
        <v/>
      </c>
      <c r="AM189" s="2" t="str">
        <f>IF(Source!$C189&gt;=COLUMNS($A189:AM189), Source!$G189, "")</f>
        <v/>
      </c>
      <c r="AN189" s="2" t="str">
        <f>IF(Source!$C189&gt;=COLUMNS($A189:AN189), Source!$G189, "")</f>
        <v/>
      </c>
      <c r="AO189" s="2" t="str">
        <f>IF(Source!$C189&gt;=COLUMNS($A189:AO189), Source!$G189, "")</f>
        <v/>
      </c>
      <c r="AP189" s="2" t="str">
        <f>IF(Source!$C189&gt;=COLUMNS($A189:AP189), Source!$G189, "")</f>
        <v/>
      </c>
      <c r="AQ189" s="2" t="str">
        <f>IF(Source!$C189&gt;=COLUMNS($A189:AQ189), Source!$G189, "")</f>
        <v/>
      </c>
      <c r="AR189" s="2" t="str">
        <f>IF(Source!$C189&gt;=COLUMNS($A189:AR189), Source!$G189, "")</f>
        <v/>
      </c>
    </row>
    <row r="190">
      <c r="A190" s="2">
        <f>IF(Source!$C190&gt;=COLUMNS($A190:A190), Source!$G190, "")</f>
        <v>3</v>
      </c>
      <c r="B190" s="2">
        <f>IF(Source!$C190&gt;=COLUMNS($A190:B190), Source!$G190, "")</f>
        <v>3</v>
      </c>
      <c r="C190" s="2">
        <f>IF(Source!$C190&gt;=COLUMNS($A190:C190), Source!$G190, "")</f>
        <v>3</v>
      </c>
      <c r="D190" s="2">
        <f>IF(Source!$C190&gt;=COLUMNS($A190:D190), Source!$G190, "")</f>
        <v>3</v>
      </c>
      <c r="E190" s="2">
        <f>IF(Source!$C190&gt;=COLUMNS($A190:E190), Source!$G190, "")</f>
        <v>3</v>
      </c>
      <c r="F190" s="2">
        <f>IF(Source!$C190&gt;=COLUMNS($A190:F190), Source!$G190, "")</f>
        <v>3</v>
      </c>
      <c r="G190" s="2">
        <f>IF(Source!$C190&gt;=COLUMNS($A190:G190), Source!$G190, "")</f>
        <v>3</v>
      </c>
      <c r="H190" s="2">
        <f>IF(Source!$C190&gt;=COLUMNS($A190:H190), Source!$G190, "")</f>
        <v>3</v>
      </c>
      <c r="I190" s="2">
        <f>IF(Source!$C190&gt;=COLUMNS($A190:I190), Source!$G190, "")</f>
        <v>3</v>
      </c>
      <c r="J190" s="2">
        <f>IF(Source!$C190&gt;=COLUMNS($A190:J190), Source!$G190, "")</f>
        <v>3</v>
      </c>
      <c r="K190" s="2">
        <f>IF(Source!$C190&gt;=COLUMNS($A190:K190), Source!$G190, "")</f>
        <v>3</v>
      </c>
      <c r="L190" s="2">
        <f>IF(Source!$C190&gt;=COLUMNS($A190:L190), Source!$G190, "")</f>
        <v>3</v>
      </c>
      <c r="M190" s="2">
        <f>IF(Source!$C190&gt;=COLUMNS($A190:M190), Source!$G190, "")</f>
        <v>3</v>
      </c>
      <c r="N190" s="2">
        <f>IF(Source!$C190&gt;=COLUMNS($A190:N190), Source!$G190, "")</f>
        <v>3</v>
      </c>
      <c r="O190" s="2">
        <f>IF(Source!$C190&gt;=COLUMNS($A190:O190), Source!$G190, "")</f>
        <v>3</v>
      </c>
      <c r="P190" s="2">
        <f>IF(Source!$C190&gt;=COLUMNS($A190:P190), Source!$G190, "")</f>
        <v>3</v>
      </c>
      <c r="Q190" s="2">
        <f>IF(Source!$C190&gt;=COLUMNS($A190:Q190), Source!$G190, "")</f>
        <v>3</v>
      </c>
      <c r="R190" s="2">
        <f>IF(Source!$C190&gt;=COLUMNS($A190:R190), Source!$G190, "")</f>
        <v>3</v>
      </c>
      <c r="S190" s="2">
        <f>IF(Source!$C190&gt;=COLUMNS($A190:S190), Source!$G190, "")</f>
        <v>3</v>
      </c>
      <c r="T190" s="2">
        <f>IF(Source!$C190&gt;=COLUMNS($A190:T190), Source!$G190, "")</f>
        <v>3</v>
      </c>
      <c r="U190" s="2" t="str">
        <f>IF(Source!$C190&gt;=COLUMNS($A190:U190), Source!$G190, "")</f>
        <v/>
      </c>
      <c r="V190" s="2" t="str">
        <f>IF(Source!$C190&gt;=COLUMNS($A190:V190), Source!$G190, "")</f>
        <v/>
      </c>
      <c r="W190" s="2" t="str">
        <f>IF(Source!$C190&gt;=COLUMNS($A190:W190), Source!$G190, "")</f>
        <v/>
      </c>
      <c r="X190" s="2" t="str">
        <f>IF(Source!$C190&gt;=COLUMNS($A190:X190), Source!$G190, "")</f>
        <v/>
      </c>
      <c r="Y190" s="2" t="str">
        <f>IF(Source!$C190&gt;=COLUMNS($A190:Y190), Source!$G190, "")</f>
        <v/>
      </c>
      <c r="Z190" s="2" t="str">
        <f>IF(Source!$C190&gt;=COLUMNS($A190:Z190), Source!$G190, "")</f>
        <v/>
      </c>
      <c r="AA190" s="2" t="str">
        <f>IF(Source!$C190&gt;=COLUMNS($A190:AA190), Source!$G190, "")</f>
        <v/>
      </c>
      <c r="AB190" s="2" t="str">
        <f>IF(Source!$C190&gt;=COLUMNS($A190:AB190), Source!$G190, "")</f>
        <v/>
      </c>
      <c r="AC190" s="2" t="str">
        <f>IF(Source!$C190&gt;=COLUMNS($A190:AC190), Source!$G190, "")</f>
        <v/>
      </c>
      <c r="AD190" s="2" t="str">
        <f>IF(Source!$C190&gt;=COLUMNS($A190:AD190), Source!$G190, "")</f>
        <v/>
      </c>
      <c r="AE190" s="2" t="str">
        <f>IF(Source!$C190&gt;=COLUMNS($A190:AE190), Source!$G190, "")</f>
        <v/>
      </c>
      <c r="AF190" s="2" t="str">
        <f>IF(Source!$C190&gt;=COLUMNS($A190:AF190), Source!$G190, "")</f>
        <v/>
      </c>
      <c r="AG190" s="2" t="str">
        <f>IF(Source!$C190&gt;=COLUMNS($A190:AG190), Source!$G190, "")</f>
        <v/>
      </c>
      <c r="AH190" s="2" t="str">
        <f>IF(Source!$C190&gt;=COLUMNS($A190:AH190), Source!$G190, "")</f>
        <v/>
      </c>
      <c r="AI190" s="2" t="str">
        <f>IF(Source!$C190&gt;=COLUMNS($A190:AI190), Source!$G190, "")</f>
        <v/>
      </c>
      <c r="AJ190" s="2" t="str">
        <f>IF(Source!$C190&gt;=COLUMNS($A190:AJ190), Source!$G190, "")</f>
        <v/>
      </c>
      <c r="AK190" s="2" t="str">
        <f>IF(Source!$C190&gt;=COLUMNS($A190:AK190), Source!$G190, "")</f>
        <v/>
      </c>
      <c r="AL190" s="2" t="str">
        <f>IF(Source!$C190&gt;=COLUMNS($A190:AL190), Source!$G190, "")</f>
        <v/>
      </c>
      <c r="AM190" s="2" t="str">
        <f>IF(Source!$C190&gt;=COLUMNS($A190:AM190), Source!$G190, "")</f>
        <v/>
      </c>
      <c r="AN190" s="2" t="str">
        <f>IF(Source!$C190&gt;=COLUMNS($A190:AN190), Source!$G190, "")</f>
        <v/>
      </c>
      <c r="AO190" s="2" t="str">
        <f>IF(Source!$C190&gt;=COLUMNS($A190:AO190), Source!$G190, "")</f>
        <v/>
      </c>
      <c r="AP190" s="2" t="str">
        <f>IF(Source!$C190&gt;=COLUMNS($A190:AP190), Source!$G190, "")</f>
        <v/>
      </c>
      <c r="AQ190" s="2" t="str">
        <f>IF(Source!$C190&gt;=COLUMNS($A190:AQ190), Source!$G190, "")</f>
        <v/>
      </c>
      <c r="AR190" s="2" t="str">
        <f>IF(Source!$C190&gt;=COLUMNS($A190:AR190), Source!$G190, "")</f>
        <v/>
      </c>
    </row>
    <row r="191">
      <c r="A191" s="2">
        <f>IF(Source!$C191&gt;=COLUMNS($A191:A191), Source!$G191, "")</f>
        <v>8</v>
      </c>
      <c r="B191" s="2">
        <f>IF(Source!$C191&gt;=COLUMNS($A191:B191), Source!$G191, "")</f>
        <v>8</v>
      </c>
      <c r="C191" s="2" t="str">
        <f>IF(Source!$C191&gt;=COLUMNS($A191:C191), Source!$G191, "")</f>
        <v/>
      </c>
      <c r="D191" s="2" t="str">
        <f>IF(Source!$C191&gt;=COLUMNS($A191:D191), Source!$G191, "")</f>
        <v/>
      </c>
      <c r="E191" s="2" t="str">
        <f>IF(Source!$C191&gt;=COLUMNS($A191:E191), Source!$G191, "")</f>
        <v/>
      </c>
      <c r="F191" s="2" t="str">
        <f>IF(Source!$C191&gt;=COLUMNS($A191:F191), Source!$G191, "")</f>
        <v/>
      </c>
      <c r="G191" s="2" t="str">
        <f>IF(Source!$C191&gt;=COLUMNS($A191:G191), Source!$G191, "")</f>
        <v/>
      </c>
      <c r="H191" s="2" t="str">
        <f>IF(Source!$C191&gt;=COLUMNS($A191:H191), Source!$G191, "")</f>
        <v/>
      </c>
      <c r="I191" s="2" t="str">
        <f>IF(Source!$C191&gt;=COLUMNS($A191:I191), Source!$G191, "")</f>
        <v/>
      </c>
      <c r="J191" s="2" t="str">
        <f>IF(Source!$C191&gt;=COLUMNS($A191:J191), Source!$G191, "")</f>
        <v/>
      </c>
      <c r="K191" s="2" t="str">
        <f>IF(Source!$C191&gt;=COLUMNS($A191:K191), Source!$G191, "")</f>
        <v/>
      </c>
      <c r="L191" s="2" t="str">
        <f>IF(Source!$C191&gt;=COLUMNS($A191:L191), Source!$G191, "")</f>
        <v/>
      </c>
      <c r="M191" s="2" t="str">
        <f>IF(Source!$C191&gt;=COLUMNS($A191:M191), Source!$G191, "")</f>
        <v/>
      </c>
      <c r="N191" s="2" t="str">
        <f>IF(Source!$C191&gt;=COLUMNS($A191:N191), Source!$G191, "")</f>
        <v/>
      </c>
      <c r="O191" s="2" t="str">
        <f>IF(Source!$C191&gt;=COLUMNS($A191:O191), Source!$G191, "")</f>
        <v/>
      </c>
      <c r="P191" s="2" t="str">
        <f>IF(Source!$C191&gt;=COLUMNS($A191:P191), Source!$G191, "")</f>
        <v/>
      </c>
      <c r="Q191" s="2" t="str">
        <f>IF(Source!$C191&gt;=COLUMNS($A191:Q191), Source!$G191, "")</f>
        <v/>
      </c>
      <c r="R191" s="2" t="str">
        <f>IF(Source!$C191&gt;=COLUMNS($A191:R191), Source!$G191, "")</f>
        <v/>
      </c>
      <c r="S191" s="2" t="str">
        <f>IF(Source!$C191&gt;=COLUMNS($A191:S191), Source!$G191, "")</f>
        <v/>
      </c>
      <c r="T191" s="2" t="str">
        <f>IF(Source!$C191&gt;=COLUMNS($A191:T191), Source!$G191, "")</f>
        <v/>
      </c>
      <c r="U191" s="2" t="str">
        <f>IF(Source!$C191&gt;=COLUMNS($A191:U191), Source!$G191, "")</f>
        <v/>
      </c>
      <c r="V191" s="2" t="str">
        <f>IF(Source!$C191&gt;=COLUMNS($A191:V191), Source!$G191, "")</f>
        <v/>
      </c>
      <c r="W191" s="2" t="str">
        <f>IF(Source!$C191&gt;=COLUMNS($A191:W191), Source!$G191, "")</f>
        <v/>
      </c>
      <c r="X191" s="2" t="str">
        <f>IF(Source!$C191&gt;=COLUMNS($A191:X191), Source!$G191, "")</f>
        <v/>
      </c>
      <c r="Y191" s="2" t="str">
        <f>IF(Source!$C191&gt;=COLUMNS($A191:Y191), Source!$G191, "")</f>
        <v/>
      </c>
      <c r="Z191" s="2" t="str">
        <f>IF(Source!$C191&gt;=COLUMNS($A191:Z191), Source!$G191, "")</f>
        <v/>
      </c>
      <c r="AA191" s="2" t="str">
        <f>IF(Source!$C191&gt;=COLUMNS($A191:AA191), Source!$G191, "")</f>
        <v/>
      </c>
      <c r="AB191" s="2" t="str">
        <f>IF(Source!$C191&gt;=COLUMNS($A191:AB191), Source!$G191, "")</f>
        <v/>
      </c>
      <c r="AC191" s="2" t="str">
        <f>IF(Source!$C191&gt;=COLUMNS($A191:AC191), Source!$G191, "")</f>
        <v/>
      </c>
      <c r="AD191" s="2" t="str">
        <f>IF(Source!$C191&gt;=COLUMNS($A191:AD191), Source!$G191, "")</f>
        <v/>
      </c>
      <c r="AE191" s="2" t="str">
        <f>IF(Source!$C191&gt;=COLUMNS($A191:AE191), Source!$G191, "")</f>
        <v/>
      </c>
      <c r="AF191" s="2" t="str">
        <f>IF(Source!$C191&gt;=COLUMNS($A191:AF191), Source!$G191, "")</f>
        <v/>
      </c>
      <c r="AG191" s="2" t="str">
        <f>IF(Source!$C191&gt;=COLUMNS($A191:AG191), Source!$G191, "")</f>
        <v/>
      </c>
      <c r="AH191" s="2" t="str">
        <f>IF(Source!$C191&gt;=COLUMNS($A191:AH191), Source!$G191, "")</f>
        <v/>
      </c>
      <c r="AI191" s="2" t="str">
        <f>IF(Source!$C191&gt;=COLUMNS($A191:AI191), Source!$G191, "")</f>
        <v/>
      </c>
      <c r="AJ191" s="2" t="str">
        <f>IF(Source!$C191&gt;=COLUMNS($A191:AJ191), Source!$G191, "")</f>
        <v/>
      </c>
      <c r="AK191" s="2" t="str">
        <f>IF(Source!$C191&gt;=COLUMNS($A191:AK191), Source!$G191, "")</f>
        <v/>
      </c>
      <c r="AL191" s="2" t="str">
        <f>IF(Source!$C191&gt;=COLUMNS($A191:AL191), Source!$G191, "")</f>
        <v/>
      </c>
      <c r="AM191" s="2" t="str">
        <f>IF(Source!$C191&gt;=COLUMNS($A191:AM191), Source!$G191, "")</f>
        <v/>
      </c>
      <c r="AN191" s="2" t="str">
        <f>IF(Source!$C191&gt;=COLUMNS($A191:AN191), Source!$G191, "")</f>
        <v/>
      </c>
      <c r="AO191" s="2" t="str">
        <f>IF(Source!$C191&gt;=COLUMNS($A191:AO191), Source!$G191, "")</f>
        <v/>
      </c>
      <c r="AP191" s="2" t="str">
        <f>IF(Source!$C191&gt;=COLUMNS($A191:AP191), Source!$G191, "")</f>
        <v/>
      </c>
      <c r="AQ191" s="2" t="str">
        <f>IF(Source!$C191&gt;=COLUMNS($A191:AQ191), Source!$G191, "")</f>
        <v/>
      </c>
      <c r="AR191" s="2" t="str">
        <f>IF(Source!$C191&gt;=COLUMNS($A191:AR191), Source!$G191, "")</f>
        <v/>
      </c>
    </row>
    <row r="192">
      <c r="A192" s="2">
        <f>IF(Source!$C192&gt;=COLUMNS($A192:A192), Source!$G192, "")</f>
        <v>1</v>
      </c>
      <c r="B192" s="2">
        <f>IF(Source!$C192&gt;=COLUMNS($A192:B192), Source!$G192, "")</f>
        <v>1</v>
      </c>
      <c r="C192" s="2">
        <f>IF(Source!$C192&gt;=COLUMNS($A192:C192), Source!$G192, "")</f>
        <v>1</v>
      </c>
      <c r="D192" s="2">
        <f>IF(Source!$C192&gt;=COLUMNS($A192:D192), Source!$G192, "")</f>
        <v>1</v>
      </c>
      <c r="E192" s="2">
        <f>IF(Source!$C192&gt;=COLUMNS($A192:E192), Source!$G192, "")</f>
        <v>1</v>
      </c>
      <c r="F192" s="2">
        <f>IF(Source!$C192&gt;=COLUMNS($A192:F192), Source!$G192, "")</f>
        <v>1</v>
      </c>
      <c r="G192" s="2" t="str">
        <f>IF(Source!$C192&gt;=COLUMNS($A192:G192), Source!$G192, "")</f>
        <v/>
      </c>
      <c r="H192" s="2" t="str">
        <f>IF(Source!$C192&gt;=COLUMNS($A192:H192), Source!$G192, "")</f>
        <v/>
      </c>
      <c r="I192" s="2" t="str">
        <f>IF(Source!$C192&gt;=COLUMNS($A192:I192), Source!$G192, "")</f>
        <v/>
      </c>
      <c r="J192" s="2" t="str">
        <f>IF(Source!$C192&gt;=COLUMNS($A192:J192), Source!$G192, "")</f>
        <v/>
      </c>
      <c r="K192" s="2" t="str">
        <f>IF(Source!$C192&gt;=COLUMNS($A192:K192), Source!$G192, "")</f>
        <v/>
      </c>
      <c r="L192" s="2" t="str">
        <f>IF(Source!$C192&gt;=COLUMNS($A192:L192), Source!$G192, "")</f>
        <v/>
      </c>
      <c r="M192" s="2" t="str">
        <f>IF(Source!$C192&gt;=COLUMNS($A192:M192), Source!$G192, "")</f>
        <v/>
      </c>
      <c r="N192" s="2" t="str">
        <f>IF(Source!$C192&gt;=COLUMNS($A192:N192), Source!$G192, "")</f>
        <v/>
      </c>
      <c r="O192" s="2" t="str">
        <f>IF(Source!$C192&gt;=COLUMNS($A192:O192), Source!$G192, "")</f>
        <v/>
      </c>
      <c r="P192" s="2" t="str">
        <f>IF(Source!$C192&gt;=COLUMNS($A192:P192), Source!$G192, "")</f>
        <v/>
      </c>
      <c r="Q192" s="2" t="str">
        <f>IF(Source!$C192&gt;=COLUMNS($A192:Q192), Source!$G192, "")</f>
        <v/>
      </c>
      <c r="R192" s="2" t="str">
        <f>IF(Source!$C192&gt;=COLUMNS($A192:R192), Source!$G192, "")</f>
        <v/>
      </c>
      <c r="S192" s="2" t="str">
        <f>IF(Source!$C192&gt;=COLUMNS($A192:S192), Source!$G192, "")</f>
        <v/>
      </c>
      <c r="T192" s="2" t="str">
        <f>IF(Source!$C192&gt;=COLUMNS($A192:T192), Source!$G192, "")</f>
        <v/>
      </c>
      <c r="U192" s="2" t="str">
        <f>IF(Source!$C192&gt;=COLUMNS($A192:U192), Source!$G192, "")</f>
        <v/>
      </c>
      <c r="V192" s="2" t="str">
        <f>IF(Source!$C192&gt;=COLUMNS($A192:V192), Source!$G192, "")</f>
        <v/>
      </c>
      <c r="W192" s="2" t="str">
        <f>IF(Source!$C192&gt;=COLUMNS($A192:W192), Source!$G192, "")</f>
        <v/>
      </c>
      <c r="X192" s="2" t="str">
        <f>IF(Source!$C192&gt;=COLUMNS($A192:X192), Source!$G192, "")</f>
        <v/>
      </c>
      <c r="Y192" s="2" t="str">
        <f>IF(Source!$C192&gt;=COLUMNS($A192:Y192), Source!$G192, "")</f>
        <v/>
      </c>
      <c r="Z192" s="2" t="str">
        <f>IF(Source!$C192&gt;=COLUMNS($A192:Z192), Source!$G192, "")</f>
        <v/>
      </c>
      <c r="AA192" s="2" t="str">
        <f>IF(Source!$C192&gt;=COLUMNS($A192:AA192), Source!$G192, "")</f>
        <v/>
      </c>
      <c r="AB192" s="2" t="str">
        <f>IF(Source!$C192&gt;=COLUMNS($A192:AB192), Source!$G192, "")</f>
        <v/>
      </c>
      <c r="AC192" s="2" t="str">
        <f>IF(Source!$C192&gt;=COLUMNS($A192:AC192), Source!$G192, "")</f>
        <v/>
      </c>
      <c r="AD192" s="2" t="str">
        <f>IF(Source!$C192&gt;=COLUMNS($A192:AD192), Source!$G192, "")</f>
        <v/>
      </c>
      <c r="AE192" s="2" t="str">
        <f>IF(Source!$C192&gt;=COLUMNS($A192:AE192), Source!$G192, "")</f>
        <v/>
      </c>
      <c r="AF192" s="2" t="str">
        <f>IF(Source!$C192&gt;=COLUMNS($A192:AF192), Source!$G192, "")</f>
        <v/>
      </c>
      <c r="AG192" s="2" t="str">
        <f>IF(Source!$C192&gt;=COLUMNS($A192:AG192), Source!$G192, "")</f>
        <v/>
      </c>
      <c r="AH192" s="2" t="str">
        <f>IF(Source!$C192&gt;=COLUMNS($A192:AH192), Source!$G192, "")</f>
        <v/>
      </c>
      <c r="AI192" s="2" t="str">
        <f>IF(Source!$C192&gt;=COLUMNS($A192:AI192), Source!$G192, "")</f>
        <v/>
      </c>
      <c r="AJ192" s="2" t="str">
        <f>IF(Source!$C192&gt;=COLUMNS($A192:AJ192), Source!$G192, "")</f>
        <v/>
      </c>
      <c r="AK192" s="2" t="str">
        <f>IF(Source!$C192&gt;=COLUMNS($A192:AK192), Source!$G192, "")</f>
        <v/>
      </c>
      <c r="AL192" s="2" t="str">
        <f>IF(Source!$C192&gt;=COLUMNS($A192:AL192), Source!$G192, "")</f>
        <v/>
      </c>
      <c r="AM192" s="2" t="str">
        <f>IF(Source!$C192&gt;=COLUMNS($A192:AM192), Source!$G192, "")</f>
        <v/>
      </c>
      <c r="AN192" s="2" t="str">
        <f>IF(Source!$C192&gt;=COLUMNS($A192:AN192), Source!$G192, "")</f>
        <v/>
      </c>
      <c r="AO192" s="2" t="str">
        <f>IF(Source!$C192&gt;=COLUMNS($A192:AO192), Source!$G192, "")</f>
        <v/>
      </c>
      <c r="AP192" s="2" t="str">
        <f>IF(Source!$C192&gt;=COLUMNS($A192:AP192), Source!$G192, "")</f>
        <v/>
      </c>
      <c r="AQ192" s="2" t="str">
        <f>IF(Source!$C192&gt;=COLUMNS($A192:AQ192), Source!$G192, "")</f>
        <v/>
      </c>
      <c r="AR192" s="2" t="str">
        <f>IF(Source!$C192&gt;=COLUMNS($A192:AR192), Source!$G192, "")</f>
        <v/>
      </c>
    </row>
    <row r="193">
      <c r="A193" s="2">
        <f>IF(Source!$C193&gt;=COLUMNS($A193:A193), Source!$G193, "")</f>
        <v>3</v>
      </c>
      <c r="B193" s="2">
        <f>IF(Source!$C193&gt;=COLUMNS($A193:B193), Source!$G193, "")</f>
        <v>3</v>
      </c>
      <c r="C193" s="2">
        <f>IF(Source!$C193&gt;=COLUMNS($A193:C193), Source!$G193, "")</f>
        <v>3</v>
      </c>
      <c r="D193" s="2">
        <f>IF(Source!$C193&gt;=COLUMNS($A193:D193), Source!$G193, "")</f>
        <v>3</v>
      </c>
      <c r="E193" s="2">
        <f>IF(Source!$C193&gt;=COLUMNS($A193:E193), Source!$G193, "")</f>
        <v>3</v>
      </c>
      <c r="F193" s="2">
        <f>IF(Source!$C193&gt;=COLUMNS($A193:F193), Source!$G193, "")</f>
        <v>3</v>
      </c>
      <c r="G193" s="2">
        <f>IF(Source!$C193&gt;=COLUMNS($A193:G193), Source!$G193, "")</f>
        <v>3</v>
      </c>
      <c r="H193" s="2">
        <f>IF(Source!$C193&gt;=COLUMNS($A193:H193), Source!$G193, "")</f>
        <v>3</v>
      </c>
      <c r="I193" s="2">
        <f>IF(Source!$C193&gt;=COLUMNS($A193:I193), Source!$G193, "")</f>
        <v>3</v>
      </c>
      <c r="J193" s="2">
        <f>IF(Source!$C193&gt;=COLUMNS($A193:J193), Source!$G193, "")</f>
        <v>3</v>
      </c>
      <c r="K193" s="2" t="str">
        <f>IF(Source!$C193&gt;=COLUMNS($A193:K193), Source!$G193, "")</f>
        <v/>
      </c>
      <c r="L193" s="2" t="str">
        <f>IF(Source!$C193&gt;=COLUMNS($A193:L193), Source!$G193, "")</f>
        <v/>
      </c>
      <c r="M193" s="2" t="str">
        <f>IF(Source!$C193&gt;=COLUMNS($A193:M193), Source!$G193, "")</f>
        <v/>
      </c>
      <c r="N193" s="2" t="str">
        <f>IF(Source!$C193&gt;=COLUMNS($A193:N193), Source!$G193, "")</f>
        <v/>
      </c>
      <c r="O193" s="2" t="str">
        <f>IF(Source!$C193&gt;=COLUMNS($A193:O193), Source!$G193, "")</f>
        <v/>
      </c>
      <c r="P193" s="2" t="str">
        <f>IF(Source!$C193&gt;=COLUMNS($A193:P193), Source!$G193, "")</f>
        <v/>
      </c>
      <c r="Q193" s="2" t="str">
        <f>IF(Source!$C193&gt;=COLUMNS($A193:Q193), Source!$G193, "")</f>
        <v/>
      </c>
      <c r="R193" s="2" t="str">
        <f>IF(Source!$C193&gt;=COLUMNS($A193:R193), Source!$G193, "")</f>
        <v/>
      </c>
      <c r="S193" s="2" t="str">
        <f>IF(Source!$C193&gt;=COLUMNS($A193:S193), Source!$G193, "")</f>
        <v/>
      </c>
      <c r="T193" s="2" t="str">
        <f>IF(Source!$C193&gt;=COLUMNS($A193:T193), Source!$G193, "")</f>
        <v/>
      </c>
      <c r="U193" s="2" t="str">
        <f>IF(Source!$C193&gt;=COLUMNS($A193:U193), Source!$G193, "")</f>
        <v/>
      </c>
      <c r="V193" s="2" t="str">
        <f>IF(Source!$C193&gt;=COLUMNS($A193:V193), Source!$G193, "")</f>
        <v/>
      </c>
      <c r="W193" s="2" t="str">
        <f>IF(Source!$C193&gt;=COLUMNS($A193:W193), Source!$G193, "")</f>
        <v/>
      </c>
      <c r="X193" s="2" t="str">
        <f>IF(Source!$C193&gt;=COLUMNS($A193:X193), Source!$G193, "")</f>
        <v/>
      </c>
      <c r="Y193" s="2" t="str">
        <f>IF(Source!$C193&gt;=COLUMNS($A193:Y193), Source!$G193, "")</f>
        <v/>
      </c>
      <c r="Z193" s="2" t="str">
        <f>IF(Source!$C193&gt;=COLUMNS($A193:Z193), Source!$G193, "")</f>
        <v/>
      </c>
      <c r="AA193" s="2" t="str">
        <f>IF(Source!$C193&gt;=COLUMNS($A193:AA193), Source!$G193, "")</f>
        <v/>
      </c>
      <c r="AB193" s="2" t="str">
        <f>IF(Source!$C193&gt;=COLUMNS($A193:AB193), Source!$G193, "")</f>
        <v/>
      </c>
      <c r="AC193" s="2" t="str">
        <f>IF(Source!$C193&gt;=COLUMNS($A193:AC193), Source!$G193, "")</f>
        <v/>
      </c>
      <c r="AD193" s="2" t="str">
        <f>IF(Source!$C193&gt;=COLUMNS($A193:AD193), Source!$G193, "")</f>
        <v/>
      </c>
      <c r="AE193" s="2" t="str">
        <f>IF(Source!$C193&gt;=COLUMNS($A193:AE193), Source!$G193, "")</f>
        <v/>
      </c>
      <c r="AF193" s="2" t="str">
        <f>IF(Source!$C193&gt;=COLUMNS($A193:AF193), Source!$G193, "")</f>
        <v/>
      </c>
      <c r="AG193" s="2" t="str">
        <f>IF(Source!$C193&gt;=COLUMNS($A193:AG193), Source!$G193, "")</f>
        <v/>
      </c>
      <c r="AH193" s="2" t="str">
        <f>IF(Source!$C193&gt;=COLUMNS($A193:AH193), Source!$G193, "")</f>
        <v/>
      </c>
      <c r="AI193" s="2" t="str">
        <f>IF(Source!$C193&gt;=COLUMNS($A193:AI193), Source!$G193, "")</f>
        <v/>
      </c>
      <c r="AJ193" s="2" t="str">
        <f>IF(Source!$C193&gt;=COLUMNS($A193:AJ193), Source!$G193, "")</f>
        <v/>
      </c>
      <c r="AK193" s="2" t="str">
        <f>IF(Source!$C193&gt;=COLUMNS($A193:AK193), Source!$G193, "")</f>
        <v/>
      </c>
      <c r="AL193" s="2" t="str">
        <f>IF(Source!$C193&gt;=COLUMNS($A193:AL193), Source!$G193, "")</f>
        <v/>
      </c>
      <c r="AM193" s="2" t="str">
        <f>IF(Source!$C193&gt;=COLUMNS($A193:AM193), Source!$G193, "")</f>
        <v/>
      </c>
      <c r="AN193" s="2" t="str">
        <f>IF(Source!$C193&gt;=COLUMNS($A193:AN193), Source!$G193, "")</f>
        <v/>
      </c>
      <c r="AO193" s="2" t="str">
        <f>IF(Source!$C193&gt;=COLUMNS($A193:AO193), Source!$G193, "")</f>
        <v/>
      </c>
      <c r="AP193" s="2" t="str">
        <f>IF(Source!$C193&gt;=COLUMNS($A193:AP193), Source!$G193, "")</f>
        <v/>
      </c>
      <c r="AQ193" s="2" t="str">
        <f>IF(Source!$C193&gt;=COLUMNS($A193:AQ193), Source!$G193, "")</f>
        <v/>
      </c>
      <c r="AR193" s="2" t="str">
        <f>IF(Source!$C193&gt;=COLUMNS($A193:AR193), Source!$G193, "")</f>
        <v/>
      </c>
    </row>
    <row r="194">
      <c r="A194" s="2">
        <f>IF(Source!$C194&gt;=COLUMNS($A194:A194), Source!$G194, "")</f>
        <v>7</v>
      </c>
      <c r="B194" s="2">
        <f>IF(Source!$C194&gt;=COLUMNS($A194:B194), Source!$G194, "")</f>
        <v>7</v>
      </c>
      <c r="C194" s="2">
        <f>IF(Source!$C194&gt;=COLUMNS($A194:C194), Source!$G194, "")</f>
        <v>7</v>
      </c>
      <c r="D194" s="2">
        <f>IF(Source!$C194&gt;=COLUMNS($A194:D194), Source!$G194, "")</f>
        <v>7</v>
      </c>
      <c r="E194" s="2" t="str">
        <f>IF(Source!$C194&gt;=COLUMNS($A194:E194), Source!$G194, "")</f>
        <v/>
      </c>
      <c r="F194" s="2" t="str">
        <f>IF(Source!$C194&gt;=COLUMNS($A194:F194), Source!$G194, "")</f>
        <v/>
      </c>
      <c r="G194" s="2" t="str">
        <f>IF(Source!$C194&gt;=COLUMNS($A194:G194), Source!$G194, "")</f>
        <v/>
      </c>
      <c r="H194" s="2" t="str">
        <f>IF(Source!$C194&gt;=COLUMNS($A194:H194), Source!$G194, "")</f>
        <v/>
      </c>
      <c r="I194" s="2" t="str">
        <f>IF(Source!$C194&gt;=COLUMNS($A194:I194), Source!$G194, "")</f>
        <v/>
      </c>
      <c r="J194" s="2" t="str">
        <f>IF(Source!$C194&gt;=COLUMNS($A194:J194), Source!$G194, "")</f>
        <v/>
      </c>
      <c r="K194" s="2" t="str">
        <f>IF(Source!$C194&gt;=COLUMNS($A194:K194), Source!$G194, "")</f>
        <v/>
      </c>
      <c r="L194" s="2" t="str">
        <f>IF(Source!$C194&gt;=COLUMNS($A194:L194), Source!$G194, "")</f>
        <v/>
      </c>
      <c r="M194" s="2" t="str">
        <f>IF(Source!$C194&gt;=COLUMNS($A194:M194), Source!$G194, "")</f>
        <v/>
      </c>
      <c r="N194" s="2" t="str">
        <f>IF(Source!$C194&gt;=COLUMNS($A194:N194), Source!$G194, "")</f>
        <v/>
      </c>
      <c r="O194" s="2" t="str">
        <f>IF(Source!$C194&gt;=COLUMNS($A194:O194), Source!$G194, "")</f>
        <v/>
      </c>
      <c r="P194" s="2" t="str">
        <f>IF(Source!$C194&gt;=COLUMNS($A194:P194), Source!$G194, "")</f>
        <v/>
      </c>
      <c r="Q194" s="2" t="str">
        <f>IF(Source!$C194&gt;=COLUMNS($A194:Q194), Source!$G194, "")</f>
        <v/>
      </c>
      <c r="R194" s="2" t="str">
        <f>IF(Source!$C194&gt;=COLUMNS($A194:R194), Source!$G194, "")</f>
        <v/>
      </c>
      <c r="S194" s="2" t="str">
        <f>IF(Source!$C194&gt;=COLUMNS($A194:S194), Source!$G194, "")</f>
        <v/>
      </c>
      <c r="T194" s="2" t="str">
        <f>IF(Source!$C194&gt;=COLUMNS($A194:T194), Source!$G194, "")</f>
        <v/>
      </c>
      <c r="U194" s="2" t="str">
        <f>IF(Source!$C194&gt;=COLUMNS($A194:U194), Source!$G194, "")</f>
        <v/>
      </c>
      <c r="V194" s="2" t="str">
        <f>IF(Source!$C194&gt;=COLUMNS($A194:V194), Source!$G194, "")</f>
        <v/>
      </c>
      <c r="W194" s="2" t="str">
        <f>IF(Source!$C194&gt;=COLUMNS($A194:W194), Source!$G194, "")</f>
        <v/>
      </c>
      <c r="X194" s="2" t="str">
        <f>IF(Source!$C194&gt;=COLUMNS($A194:X194), Source!$G194, "")</f>
        <v/>
      </c>
      <c r="Y194" s="2" t="str">
        <f>IF(Source!$C194&gt;=COLUMNS($A194:Y194), Source!$G194, "")</f>
        <v/>
      </c>
      <c r="Z194" s="2" t="str">
        <f>IF(Source!$C194&gt;=COLUMNS($A194:Z194), Source!$G194, "")</f>
        <v/>
      </c>
      <c r="AA194" s="2" t="str">
        <f>IF(Source!$C194&gt;=COLUMNS($A194:AA194), Source!$G194, "")</f>
        <v/>
      </c>
      <c r="AB194" s="2" t="str">
        <f>IF(Source!$C194&gt;=COLUMNS($A194:AB194), Source!$G194, "")</f>
        <v/>
      </c>
      <c r="AC194" s="2" t="str">
        <f>IF(Source!$C194&gt;=COLUMNS($A194:AC194), Source!$G194, "")</f>
        <v/>
      </c>
      <c r="AD194" s="2" t="str">
        <f>IF(Source!$C194&gt;=COLUMNS($A194:AD194), Source!$G194, "")</f>
        <v/>
      </c>
      <c r="AE194" s="2" t="str">
        <f>IF(Source!$C194&gt;=COLUMNS($A194:AE194), Source!$G194, "")</f>
        <v/>
      </c>
      <c r="AF194" s="2" t="str">
        <f>IF(Source!$C194&gt;=COLUMNS($A194:AF194), Source!$G194, "")</f>
        <v/>
      </c>
      <c r="AG194" s="2" t="str">
        <f>IF(Source!$C194&gt;=COLUMNS($A194:AG194), Source!$G194, "")</f>
        <v/>
      </c>
      <c r="AH194" s="2" t="str">
        <f>IF(Source!$C194&gt;=COLUMNS($A194:AH194), Source!$G194, "")</f>
        <v/>
      </c>
      <c r="AI194" s="2" t="str">
        <f>IF(Source!$C194&gt;=COLUMNS($A194:AI194), Source!$G194, "")</f>
        <v/>
      </c>
      <c r="AJ194" s="2" t="str">
        <f>IF(Source!$C194&gt;=COLUMNS($A194:AJ194), Source!$G194, "")</f>
        <v/>
      </c>
      <c r="AK194" s="2" t="str">
        <f>IF(Source!$C194&gt;=COLUMNS($A194:AK194), Source!$G194, "")</f>
        <v/>
      </c>
      <c r="AL194" s="2" t="str">
        <f>IF(Source!$C194&gt;=COLUMNS($A194:AL194), Source!$G194, "")</f>
        <v/>
      </c>
      <c r="AM194" s="2" t="str">
        <f>IF(Source!$C194&gt;=COLUMNS($A194:AM194), Source!$G194, "")</f>
        <v/>
      </c>
      <c r="AN194" s="2" t="str">
        <f>IF(Source!$C194&gt;=COLUMNS($A194:AN194), Source!$G194, "")</f>
        <v/>
      </c>
      <c r="AO194" s="2" t="str">
        <f>IF(Source!$C194&gt;=COLUMNS($A194:AO194), Source!$G194, "")</f>
        <v/>
      </c>
      <c r="AP194" s="2" t="str">
        <f>IF(Source!$C194&gt;=COLUMNS($A194:AP194), Source!$G194, "")</f>
        <v/>
      </c>
      <c r="AQ194" s="2" t="str">
        <f>IF(Source!$C194&gt;=COLUMNS($A194:AQ194), Source!$G194, "")</f>
        <v/>
      </c>
      <c r="AR194" s="2" t="str">
        <f>IF(Source!$C194&gt;=COLUMNS($A194:AR194), Source!$G194, "")</f>
        <v/>
      </c>
    </row>
    <row r="195">
      <c r="A195" s="2">
        <f>IF(Source!$C195&gt;=COLUMNS($A195:A195), Source!$G195, "")</f>
        <v>9</v>
      </c>
      <c r="B195" s="2">
        <f>IF(Source!$C195&gt;=COLUMNS($A195:B195), Source!$G195, "")</f>
        <v>9</v>
      </c>
      <c r="C195" s="2">
        <f>IF(Source!$C195&gt;=COLUMNS($A195:C195), Source!$G195, "")</f>
        <v>9</v>
      </c>
      <c r="D195" s="2">
        <f>IF(Source!$C195&gt;=COLUMNS($A195:D195), Source!$G195, "")</f>
        <v>9</v>
      </c>
      <c r="E195" s="2" t="str">
        <f>IF(Source!$C195&gt;=COLUMNS($A195:E195), Source!$G195, "")</f>
        <v/>
      </c>
      <c r="F195" s="2" t="str">
        <f>IF(Source!$C195&gt;=COLUMNS($A195:F195), Source!$G195, "")</f>
        <v/>
      </c>
      <c r="G195" s="2" t="str">
        <f>IF(Source!$C195&gt;=COLUMNS($A195:G195), Source!$G195, "")</f>
        <v/>
      </c>
      <c r="H195" s="2" t="str">
        <f>IF(Source!$C195&gt;=COLUMNS($A195:H195), Source!$G195, "")</f>
        <v/>
      </c>
      <c r="I195" s="2" t="str">
        <f>IF(Source!$C195&gt;=COLUMNS($A195:I195), Source!$G195, "")</f>
        <v/>
      </c>
      <c r="J195" s="2" t="str">
        <f>IF(Source!$C195&gt;=COLUMNS($A195:J195), Source!$G195, "")</f>
        <v/>
      </c>
      <c r="K195" s="2" t="str">
        <f>IF(Source!$C195&gt;=COLUMNS($A195:K195), Source!$G195, "")</f>
        <v/>
      </c>
      <c r="L195" s="2" t="str">
        <f>IF(Source!$C195&gt;=COLUMNS($A195:L195), Source!$G195, "")</f>
        <v/>
      </c>
      <c r="M195" s="2" t="str">
        <f>IF(Source!$C195&gt;=COLUMNS($A195:M195), Source!$G195, "")</f>
        <v/>
      </c>
      <c r="N195" s="2" t="str">
        <f>IF(Source!$C195&gt;=COLUMNS($A195:N195), Source!$G195, "")</f>
        <v/>
      </c>
      <c r="O195" s="2" t="str">
        <f>IF(Source!$C195&gt;=COLUMNS($A195:O195), Source!$G195, "")</f>
        <v/>
      </c>
      <c r="P195" s="2" t="str">
        <f>IF(Source!$C195&gt;=COLUMNS($A195:P195), Source!$G195, "")</f>
        <v/>
      </c>
      <c r="Q195" s="2" t="str">
        <f>IF(Source!$C195&gt;=COLUMNS($A195:Q195), Source!$G195, "")</f>
        <v/>
      </c>
      <c r="R195" s="2" t="str">
        <f>IF(Source!$C195&gt;=COLUMNS($A195:R195), Source!$G195, "")</f>
        <v/>
      </c>
      <c r="S195" s="2" t="str">
        <f>IF(Source!$C195&gt;=COLUMNS($A195:S195), Source!$G195, "")</f>
        <v/>
      </c>
      <c r="T195" s="2" t="str">
        <f>IF(Source!$C195&gt;=COLUMNS($A195:T195), Source!$G195, "")</f>
        <v/>
      </c>
      <c r="U195" s="2" t="str">
        <f>IF(Source!$C195&gt;=COLUMNS($A195:U195), Source!$G195, "")</f>
        <v/>
      </c>
      <c r="V195" s="2" t="str">
        <f>IF(Source!$C195&gt;=COLUMNS($A195:V195), Source!$G195, "")</f>
        <v/>
      </c>
      <c r="W195" s="2" t="str">
        <f>IF(Source!$C195&gt;=COLUMNS($A195:W195), Source!$G195, "")</f>
        <v/>
      </c>
      <c r="X195" s="2" t="str">
        <f>IF(Source!$C195&gt;=COLUMNS($A195:X195), Source!$G195, "")</f>
        <v/>
      </c>
      <c r="Y195" s="2" t="str">
        <f>IF(Source!$C195&gt;=COLUMNS($A195:Y195), Source!$G195, "")</f>
        <v/>
      </c>
      <c r="Z195" s="2" t="str">
        <f>IF(Source!$C195&gt;=COLUMNS($A195:Z195), Source!$G195, "")</f>
        <v/>
      </c>
      <c r="AA195" s="2" t="str">
        <f>IF(Source!$C195&gt;=COLUMNS($A195:AA195), Source!$G195, "")</f>
        <v/>
      </c>
      <c r="AB195" s="2" t="str">
        <f>IF(Source!$C195&gt;=COLUMNS($A195:AB195), Source!$G195, "")</f>
        <v/>
      </c>
      <c r="AC195" s="2" t="str">
        <f>IF(Source!$C195&gt;=COLUMNS($A195:AC195), Source!$G195, "")</f>
        <v/>
      </c>
      <c r="AD195" s="2" t="str">
        <f>IF(Source!$C195&gt;=COLUMNS($A195:AD195), Source!$G195, "")</f>
        <v/>
      </c>
      <c r="AE195" s="2" t="str">
        <f>IF(Source!$C195&gt;=COLUMNS($A195:AE195), Source!$G195, "")</f>
        <v/>
      </c>
      <c r="AF195" s="2" t="str">
        <f>IF(Source!$C195&gt;=COLUMNS($A195:AF195), Source!$G195, "")</f>
        <v/>
      </c>
      <c r="AG195" s="2" t="str">
        <f>IF(Source!$C195&gt;=COLUMNS($A195:AG195), Source!$G195, "")</f>
        <v/>
      </c>
      <c r="AH195" s="2" t="str">
        <f>IF(Source!$C195&gt;=COLUMNS($A195:AH195), Source!$G195, "")</f>
        <v/>
      </c>
      <c r="AI195" s="2" t="str">
        <f>IF(Source!$C195&gt;=COLUMNS($A195:AI195), Source!$G195, "")</f>
        <v/>
      </c>
      <c r="AJ195" s="2" t="str">
        <f>IF(Source!$C195&gt;=COLUMNS($A195:AJ195), Source!$G195, "")</f>
        <v/>
      </c>
      <c r="AK195" s="2" t="str">
        <f>IF(Source!$C195&gt;=COLUMNS($A195:AK195), Source!$G195, "")</f>
        <v/>
      </c>
      <c r="AL195" s="2" t="str">
        <f>IF(Source!$C195&gt;=COLUMNS($A195:AL195), Source!$G195, "")</f>
        <v/>
      </c>
      <c r="AM195" s="2" t="str">
        <f>IF(Source!$C195&gt;=COLUMNS($A195:AM195), Source!$G195, "")</f>
        <v/>
      </c>
      <c r="AN195" s="2" t="str">
        <f>IF(Source!$C195&gt;=COLUMNS($A195:AN195), Source!$G195, "")</f>
        <v/>
      </c>
      <c r="AO195" s="2" t="str">
        <f>IF(Source!$C195&gt;=COLUMNS($A195:AO195), Source!$G195, "")</f>
        <v/>
      </c>
      <c r="AP195" s="2" t="str">
        <f>IF(Source!$C195&gt;=COLUMNS($A195:AP195), Source!$G195, "")</f>
        <v/>
      </c>
      <c r="AQ195" s="2" t="str">
        <f>IF(Source!$C195&gt;=COLUMNS($A195:AQ195), Source!$G195, "")</f>
        <v/>
      </c>
      <c r="AR195" s="2" t="str">
        <f>IF(Source!$C195&gt;=COLUMNS($A195:AR195), Source!$G195, "")</f>
        <v/>
      </c>
    </row>
    <row r="196">
      <c r="A196" s="2">
        <f>IF(Source!$C196&gt;=COLUMNS($A196:A196), Source!$G196, "")</f>
        <v>2</v>
      </c>
      <c r="B196" s="2">
        <f>IF(Source!$C196&gt;=COLUMNS($A196:B196), Source!$G196, "")</f>
        <v>2</v>
      </c>
      <c r="C196" s="2" t="str">
        <f>IF(Source!$C196&gt;=COLUMNS($A196:C196), Source!$G196, "")</f>
        <v/>
      </c>
      <c r="D196" s="2" t="str">
        <f>IF(Source!$C196&gt;=COLUMNS($A196:D196), Source!$G196, "")</f>
        <v/>
      </c>
      <c r="E196" s="2" t="str">
        <f>IF(Source!$C196&gt;=COLUMNS($A196:E196), Source!$G196, "")</f>
        <v/>
      </c>
      <c r="F196" s="2" t="str">
        <f>IF(Source!$C196&gt;=COLUMNS($A196:F196), Source!$G196, "")</f>
        <v/>
      </c>
      <c r="G196" s="2" t="str">
        <f>IF(Source!$C196&gt;=COLUMNS($A196:G196), Source!$G196, "")</f>
        <v/>
      </c>
      <c r="H196" s="2" t="str">
        <f>IF(Source!$C196&gt;=COLUMNS($A196:H196), Source!$G196, "")</f>
        <v/>
      </c>
      <c r="I196" s="2" t="str">
        <f>IF(Source!$C196&gt;=COLUMNS($A196:I196), Source!$G196, "")</f>
        <v/>
      </c>
      <c r="J196" s="2" t="str">
        <f>IF(Source!$C196&gt;=COLUMNS($A196:J196), Source!$G196, "")</f>
        <v/>
      </c>
      <c r="K196" s="2" t="str">
        <f>IF(Source!$C196&gt;=COLUMNS($A196:K196), Source!$G196, "")</f>
        <v/>
      </c>
      <c r="L196" s="2" t="str">
        <f>IF(Source!$C196&gt;=COLUMNS($A196:L196), Source!$G196, "")</f>
        <v/>
      </c>
      <c r="M196" s="2" t="str">
        <f>IF(Source!$C196&gt;=COLUMNS($A196:M196), Source!$G196, "")</f>
        <v/>
      </c>
      <c r="N196" s="2" t="str">
        <f>IF(Source!$C196&gt;=COLUMNS($A196:N196), Source!$G196, "")</f>
        <v/>
      </c>
      <c r="O196" s="2" t="str">
        <f>IF(Source!$C196&gt;=COLUMNS($A196:O196), Source!$G196, "")</f>
        <v/>
      </c>
      <c r="P196" s="2" t="str">
        <f>IF(Source!$C196&gt;=COLUMNS($A196:P196), Source!$G196, "")</f>
        <v/>
      </c>
      <c r="Q196" s="2" t="str">
        <f>IF(Source!$C196&gt;=COLUMNS($A196:Q196), Source!$G196, "")</f>
        <v/>
      </c>
      <c r="R196" s="2" t="str">
        <f>IF(Source!$C196&gt;=COLUMNS($A196:R196), Source!$G196, "")</f>
        <v/>
      </c>
      <c r="S196" s="2" t="str">
        <f>IF(Source!$C196&gt;=COLUMNS($A196:S196), Source!$G196, "")</f>
        <v/>
      </c>
      <c r="T196" s="2" t="str">
        <f>IF(Source!$C196&gt;=COLUMNS($A196:T196), Source!$G196, "")</f>
        <v/>
      </c>
      <c r="U196" s="2" t="str">
        <f>IF(Source!$C196&gt;=COLUMNS($A196:U196), Source!$G196, "")</f>
        <v/>
      </c>
      <c r="V196" s="2" t="str">
        <f>IF(Source!$C196&gt;=COLUMNS($A196:V196), Source!$G196, "")</f>
        <v/>
      </c>
      <c r="W196" s="2" t="str">
        <f>IF(Source!$C196&gt;=COLUMNS($A196:W196), Source!$G196, "")</f>
        <v/>
      </c>
      <c r="X196" s="2" t="str">
        <f>IF(Source!$C196&gt;=COLUMNS($A196:X196), Source!$G196, "")</f>
        <v/>
      </c>
      <c r="Y196" s="2" t="str">
        <f>IF(Source!$C196&gt;=COLUMNS($A196:Y196), Source!$G196, "")</f>
        <v/>
      </c>
      <c r="Z196" s="2" t="str">
        <f>IF(Source!$C196&gt;=COLUMNS($A196:Z196), Source!$G196, "")</f>
        <v/>
      </c>
      <c r="AA196" s="2" t="str">
        <f>IF(Source!$C196&gt;=COLUMNS($A196:AA196), Source!$G196, "")</f>
        <v/>
      </c>
      <c r="AB196" s="2" t="str">
        <f>IF(Source!$C196&gt;=COLUMNS($A196:AB196), Source!$G196, "")</f>
        <v/>
      </c>
      <c r="AC196" s="2" t="str">
        <f>IF(Source!$C196&gt;=COLUMNS($A196:AC196), Source!$G196, "")</f>
        <v/>
      </c>
      <c r="AD196" s="2" t="str">
        <f>IF(Source!$C196&gt;=COLUMNS($A196:AD196), Source!$G196, "")</f>
        <v/>
      </c>
      <c r="AE196" s="2" t="str">
        <f>IF(Source!$C196&gt;=COLUMNS($A196:AE196), Source!$G196, "")</f>
        <v/>
      </c>
      <c r="AF196" s="2" t="str">
        <f>IF(Source!$C196&gt;=COLUMNS($A196:AF196), Source!$G196, "")</f>
        <v/>
      </c>
      <c r="AG196" s="2" t="str">
        <f>IF(Source!$C196&gt;=COLUMNS($A196:AG196), Source!$G196, "")</f>
        <v/>
      </c>
      <c r="AH196" s="2" t="str">
        <f>IF(Source!$C196&gt;=COLUMNS($A196:AH196), Source!$G196, "")</f>
        <v/>
      </c>
      <c r="AI196" s="2" t="str">
        <f>IF(Source!$C196&gt;=COLUMNS($A196:AI196), Source!$G196, "")</f>
        <v/>
      </c>
      <c r="AJ196" s="2" t="str">
        <f>IF(Source!$C196&gt;=COLUMNS($A196:AJ196), Source!$G196, "")</f>
        <v/>
      </c>
      <c r="AK196" s="2" t="str">
        <f>IF(Source!$C196&gt;=COLUMNS($A196:AK196), Source!$G196, "")</f>
        <v/>
      </c>
      <c r="AL196" s="2" t="str">
        <f>IF(Source!$C196&gt;=COLUMNS($A196:AL196), Source!$G196, "")</f>
        <v/>
      </c>
      <c r="AM196" s="2" t="str">
        <f>IF(Source!$C196&gt;=COLUMNS($A196:AM196), Source!$G196, "")</f>
        <v/>
      </c>
      <c r="AN196" s="2" t="str">
        <f>IF(Source!$C196&gt;=COLUMNS($A196:AN196), Source!$G196, "")</f>
        <v/>
      </c>
      <c r="AO196" s="2" t="str">
        <f>IF(Source!$C196&gt;=COLUMNS($A196:AO196), Source!$G196, "")</f>
        <v/>
      </c>
      <c r="AP196" s="2" t="str">
        <f>IF(Source!$C196&gt;=COLUMNS($A196:AP196), Source!$G196, "")</f>
        <v/>
      </c>
      <c r="AQ196" s="2" t="str">
        <f>IF(Source!$C196&gt;=COLUMNS($A196:AQ196), Source!$G196, "")</f>
        <v/>
      </c>
      <c r="AR196" s="2" t="str">
        <f>IF(Source!$C196&gt;=COLUMNS($A196:AR196), Source!$G196, "")</f>
        <v/>
      </c>
    </row>
    <row r="197">
      <c r="A197" s="2">
        <f>IF(Source!$C197&gt;=COLUMNS($A197:A197), Source!$G197, "")</f>
        <v>9</v>
      </c>
      <c r="B197" s="2">
        <f>IF(Source!$C197&gt;=COLUMNS($A197:B197), Source!$G197, "")</f>
        <v>9</v>
      </c>
      <c r="C197" s="2">
        <f>IF(Source!$C197&gt;=COLUMNS($A197:C197), Source!$G197, "")</f>
        <v>9</v>
      </c>
      <c r="D197" s="2" t="str">
        <f>IF(Source!$C197&gt;=COLUMNS($A197:D197), Source!$G197, "")</f>
        <v/>
      </c>
      <c r="E197" s="2" t="str">
        <f>IF(Source!$C197&gt;=COLUMNS($A197:E197), Source!$G197, "")</f>
        <v/>
      </c>
      <c r="F197" s="2" t="str">
        <f>IF(Source!$C197&gt;=COLUMNS($A197:F197), Source!$G197, "")</f>
        <v/>
      </c>
      <c r="G197" s="2" t="str">
        <f>IF(Source!$C197&gt;=COLUMNS($A197:G197), Source!$G197, "")</f>
        <v/>
      </c>
      <c r="H197" s="2" t="str">
        <f>IF(Source!$C197&gt;=COLUMNS($A197:H197), Source!$G197, "")</f>
        <v/>
      </c>
      <c r="I197" s="2" t="str">
        <f>IF(Source!$C197&gt;=COLUMNS($A197:I197), Source!$G197, "")</f>
        <v/>
      </c>
      <c r="J197" s="2" t="str">
        <f>IF(Source!$C197&gt;=COLUMNS($A197:J197), Source!$G197, "")</f>
        <v/>
      </c>
      <c r="K197" s="2" t="str">
        <f>IF(Source!$C197&gt;=COLUMNS($A197:K197), Source!$G197, "")</f>
        <v/>
      </c>
      <c r="L197" s="2" t="str">
        <f>IF(Source!$C197&gt;=COLUMNS($A197:L197), Source!$G197, "")</f>
        <v/>
      </c>
      <c r="M197" s="2" t="str">
        <f>IF(Source!$C197&gt;=COLUMNS($A197:M197), Source!$G197, "")</f>
        <v/>
      </c>
      <c r="N197" s="2" t="str">
        <f>IF(Source!$C197&gt;=COLUMNS($A197:N197), Source!$G197, "")</f>
        <v/>
      </c>
      <c r="O197" s="2" t="str">
        <f>IF(Source!$C197&gt;=COLUMNS($A197:O197), Source!$G197, "")</f>
        <v/>
      </c>
      <c r="P197" s="2" t="str">
        <f>IF(Source!$C197&gt;=COLUMNS($A197:P197), Source!$G197, "")</f>
        <v/>
      </c>
      <c r="Q197" s="2" t="str">
        <f>IF(Source!$C197&gt;=COLUMNS($A197:Q197), Source!$G197, "")</f>
        <v/>
      </c>
      <c r="R197" s="2" t="str">
        <f>IF(Source!$C197&gt;=COLUMNS($A197:R197), Source!$G197, "")</f>
        <v/>
      </c>
      <c r="S197" s="2" t="str">
        <f>IF(Source!$C197&gt;=COLUMNS($A197:S197), Source!$G197, "")</f>
        <v/>
      </c>
      <c r="T197" s="2" t="str">
        <f>IF(Source!$C197&gt;=COLUMNS($A197:T197), Source!$G197, "")</f>
        <v/>
      </c>
      <c r="U197" s="2" t="str">
        <f>IF(Source!$C197&gt;=COLUMNS($A197:U197), Source!$G197, "")</f>
        <v/>
      </c>
      <c r="V197" s="2" t="str">
        <f>IF(Source!$C197&gt;=COLUMNS($A197:V197), Source!$G197, "")</f>
        <v/>
      </c>
      <c r="W197" s="2" t="str">
        <f>IF(Source!$C197&gt;=COLUMNS($A197:W197), Source!$G197, "")</f>
        <v/>
      </c>
      <c r="X197" s="2" t="str">
        <f>IF(Source!$C197&gt;=COLUMNS($A197:X197), Source!$G197, "")</f>
        <v/>
      </c>
      <c r="Y197" s="2" t="str">
        <f>IF(Source!$C197&gt;=COLUMNS($A197:Y197), Source!$G197, "")</f>
        <v/>
      </c>
      <c r="Z197" s="2" t="str">
        <f>IF(Source!$C197&gt;=COLUMNS($A197:Z197), Source!$G197, "")</f>
        <v/>
      </c>
      <c r="AA197" s="2" t="str">
        <f>IF(Source!$C197&gt;=COLUMNS($A197:AA197), Source!$G197, "")</f>
        <v/>
      </c>
      <c r="AB197" s="2" t="str">
        <f>IF(Source!$C197&gt;=COLUMNS($A197:AB197), Source!$G197, "")</f>
        <v/>
      </c>
      <c r="AC197" s="2" t="str">
        <f>IF(Source!$C197&gt;=COLUMNS($A197:AC197), Source!$G197, "")</f>
        <v/>
      </c>
      <c r="AD197" s="2" t="str">
        <f>IF(Source!$C197&gt;=COLUMNS($A197:AD197), Source!$G197, "")</f>
        <v/>
      </c>
      <c r="AE197" s="2" t="str">
        <f>IF(Source!$C197&gt;=COLUMNS($A197:AE197), Source!$G197, "")</f>
        <v/>
      </c>
      <c r="AF197" s="2" t="str">
        <f>IF(Source!$C197&gt;=COLUMNS($A197:AF197), Source!$G197, "")</f>
        <v/>
      </c>
      <c r="AG197" s="2" t="str">
        <f>IF(Source!$C197&gt;=COLUMNS($A197:AG197), Source!$G197, "")</f>
        <v/>
      </c>
      <c r="AH197" s="2" t="str">
        <f>IF(Source!$C197&gt;=COLUMNS($A197:AH197), Source!$G197, "")</f>
        <v/>
      </c>
      <c r="AI197" s="2" t="str">
        <f>IF(Source!$C197&gt;=COLUMNS($A197:AI197), Source!$G197, "")</f>
        <v/>
      </c>
      <c r="AJ197" s="2" t="str">
        <f>IF(Source!$C197&gt;=COLUMNS($A197:AJ197), Source!$G197, "")</f>
        <v/>
      </c>
      <c r="AK197" s="2" t="str">
        <f>IF(Source!$C197&gt;=COLUMNS($A197:AK197), Source!$G197, "")</f>
        <v/>
      </c>
      <c r="AL197" s="2" t="str">
        <f>IF(Source!$C197&gt;=COLUMNS($A197:AL197), Source!$G197, "")</f>
        <v/>
      </c>
      <c r="AM197" s="2" t="str">
        <f>IF(Source!$C197&gt;=COLUMNS($A197:AM197), Source!$G197, "")</f>
        <v/>
      </c>
      <c r="AN197" s="2" t="str">
        <f>IF(Source!$C197&gt;=COLUMNS($A197:AN197), Source!$G197, "")</f>
        <v/>
      </c>
      <c r="AO197" s="2" t="str">
        <f>IF(Source!$C197&gt;=COLUMNS($A197:AO197), Source!$G197, "")</f>
        <v/>
      </c>
      <c r="AP197" s="2" t="str">
        <f>IF(Source!$C197&gt;=COLUMNS($A197:AP197), Source!$G197, "")</f>
        <v/>
      </c>
      <c r="AQ197" s="2" t="str">
        <f>IF(Source!$C197&gt;=COLUMNS($A197:AQ197), Source!$G197, "")</f>
        <v/>
      </c>
      <c r="AR197" s="2" t="str">
        <f>IF(Source!$C197&gt;=COLUMNS($A197:AR197), Source!$G197, "")</f>
        <v/>
      </c>
    </row>
    <row r="198">
      <c r="A198" s="2">
        <f>IF(Source!$C198&gt;=COLUMNS($A198:A198), Source!$G198, "")</f>
        <v>3</v>
      </c>
      <c r="B198" s="2">
        <f>IF(Source!$C198&gt;=COLUMNS($A198:B198), Source!$G198, "")</f>
        <v>3</v>
      </c>
      <c r="C198" s="2">
        <f>IF(Source!$C198&gt;=COLUMNS($A198:C198), Source!$G198, "")</f>
        <v>3</v>
      </c>
      <c r="D198" s="2">
        <f>IF(Source!$C198&gt;=COLUMNS($A198:D198), Source!$G198, "")</f>
        <v>3</v>
      </c>
      <c r="E198" s="2">
        <f>IF(Source!$C198&gt;=COLUMNS($A198:E198), Source!$G198, "")</f>
        <v>3</v>
      </c>
      <c r="F198" s="2" t="str">
        <f>IF(Source!$C198&gt;=COLUMNS($A198:F198), Source!$G198, "")</f>
        <v/>
      </c>
      <c r="G198" s="2" t="str">
        <f>IF(Source!$C198&gt;=COLUMNS($A198:G198), Source!$G198, "")</f>
        <v/>
      </c>
      <c r="H198" s="2" t="str">
        <f>IF(Source!$C198&gt;=COLUMNS($A198:H198), Source!$G198, "")</f>
        <v/>
      </c>
      <c r="I198" s="2" t="str">
        <f>IF(Source!$C198&gt;=COLUMNS($A198:I198), Source!$G198, "")</f>
        <v/>
      </c>
      <c r="J198" s="2" t="str">
        <f>IF(Source!$C198&gt;=COLUMNS($A198:J198), Source!$G198, "")</f>
        <v/>
      </c>
      <c r="K198" s="2" t="str">
        <f>IF(Source!$C198&gt;=COLUMNS($A198:K198), Source!$G198, "")</f>
        <v/>
      </c>
      <c r="L198" s="2" t="str">
        <f>IF(Source!$C198&gt;=COLUMNS($A198:L198), Source!$G198, "")</f>
        <v/>
      </c>
      <c r="M198" s="2" t="str">
        <f>IF(Source!$C198&gt;=COLUMNS($A198:M198), Source!$G198, "")</f>
        <v/>
      </c>
      <c r="N198" s="2" t="str">
        <f>IF(Source!$C198&gt;=COLUMNS($A198:N198), Source!$G198, "")</f>
        <v/>
      </c>
      <c r="O198" s="2" t="str">
        <f>IF(Source!$C198&gt;=COLUMNS($A198:O198), Source!$G198, "")</f>
        <v/>
      </c>
      <c r="P198" s="2" t="str">
        <f>IF(Source!$C198&gt;=COLUMNS($A198:P198), Source!$G198, "")</f>
        <v/>
      </c>
      <c r="Q198" s="2" t="str">
        <f>IF(Source!$C198&gt;=COLUMNS($A198:Q198), Source!$G198, "")</f>
        <v/>
      </c>
      <c r="R198" s="2" t="str">
        <f>IF(Source!$C198&gt;=COLUMNS($A198:R198), Source!$G198, "")</f>
        <v/>
      </c>
      <c r="S198" s="2" t="str">
        <f>IF(Source!$C198&gt;=COLUMNS($A198:S198), Source!$G198, "")</f>
        <v/>
      </c>
      <c r="T198" s="2" t="str">
        <f>IF(Source!$C198&gt;=COLUMNS($A198:T198), Source!$G198, "")</f>
        <v/>
      </c>
      <c r="U198" s="2" t="str">
        <f>IF(Source!$C198&gt;=COLUMNS($A198:U198), Source!$G198, "")</f>
        <v/>
      </c>
      <c r="V198" s="2" t="str">
        <f>IF(Source!$C198&gt;=COLUMNS($A198:V198), Source!$G198, "")</f>
        <v/>
      </c>
      <c r="W198" s="2" t="str">
        <f>IF(Source!$C198&gt;=COLUMNS($A198:W198), Source!$G198, "")</f>
        <v/>
      </c>
      <c r="X198" s="2" t="str">
        <f>IF(Source!$C198&gt;=COLUMNS($A198:X198), Source!$G198, "")</f>
        <v/>
      </c>
      <c r="Y198" s="2" t="str">
        <f>IF(Source!$C198&gt;=COLUMNS($A198:Y198), Source!$G198, "")</f>
        <v/>
      </c>
      <c r="Z198" s="2" t="str">
        <f>IF(Source!$C198&gt;=COLUMNS($A198:Z198), Source!$G198, "")</f>
        <v/>
      </c>
      <c r="AA198" s="2" t="str">
        <f>IF(Source!$C198&gt;=COLUMNS($A198:AA198), Source!$G198, "")</f>
        <v/>
      </c>
      <c r="AB198" s="2" t="str">
        <f>IF(Source!$C198&gt;=COLUMNS($A198:AB198), Source!$G198, "")</f>
        <v/>
      </c>
      <c r="AC198" s="2" t="str">
        <f>IF(Source!$C198&gt;=COLUMNS($A198:AC198), Source!$G198, "")</f>
        <v/>
      </c>
      <c r="AD198" s="2" t="str">
        <f>IF(Source!$C198&gt;=COLUMNS($A198:AD198), Source!$G198, "")</f>
        <v/>
      </c>
      <c r="AE198" s="2" t="str">
        <f>IF(Source!$C198&gt;=COLUMNS($A198:AE198), Source!$G198, "")</f>
        <v/>
      </c>
      <c r="AF198" s="2" t="str">
        <f>IF(Source!$C198&gt;=COLUMNS($A198:AF198), Source!$G198, "")</f>
        <v/>
      </c>
      <c r="AG198" s="2" t="str">
        <f>IF(Source!$C198&gt;=COLUMNS($A198:AG198), Source!$G198, "")</f>
        <v/>
      </c>
      <c r="AH198" s="2" t="str">
        <f>IF(Source!$C198&gt;=COLUMNS($A198:AH198), Source!$G198, "")</f>
        <v/>
      </c>
      <c r="AI198" s="2" t="str">
        <f>IF(Source!$C198&gt;=COLUMNS($A198:AI198), Source!$G198, "")</f>
        <v/>
      </c>
      <c r="AJ198" s="2" t="str">
        <f>IF(Source!$C198&gt;=COLUMNS($A198:AJ198), Source!$G198, "")</f>
        <v/>
      </c>
      <c r="AK198" s="2" t="str">
        <f>IF(Source!$C198&gt;=COLUMNS($A198:AK198), Source!$G198, "")</f>
        <v/>
      </c>
      <c r="AL198" s="2" t="str">
        <f>IF(Source!$C198&gt;=COLUMNS($A198:AL198), Source!$G198, "")</f>
        <v/>
      </c>
      <c r="AM198" s="2" t="str">
        <f>IF(Source!$C198&gt;=COLUMNS($A198:AM198), Source!$G198, "")</f>
        <v/>
      </c>
      <c r="AN198" s="2" t="str">
        <f>IF(Source!$C198&gt;=COLUMNS($A198:AN198), Source!$G198, "")</f>
        <v/>
      </c>
      <c r="AO198" s="2" t="str">
        <f>IF(Source!$C198&gt;=COLUMNS($A198:AO198), Source!$G198, "")</f>
        <v/>
      </c>
      <c r="AP198" s="2" t="str">
        <f>IF(Source!$C198&gt;=COLUMNS($A198:AP198), Source!$G198, "")</f>
        <v/>
      </c>
      <c r="AQ198" s="2" t="str">
        <f>IF(Source!$C198&gt;=COLUMNS($A198:AQ198), Source!$G198, "")</f>
        <v/>
      </c>
      <c r="AR198" s="2" t="str">
        <f>IF(Source!$C198&gt;=COLUMNS($A198:AR198), Source!$G198, "")</f>
        <v/>
      </c>
    </row>
    <row r="199">
      <c r="A199" s="2">
        <f>IF(Source!$C199&gt;=COLUMNS($A199:A199), Source!$G199, "")</f>
        <v>9</v>
      </c>
      <c r="B199" s="2">
        <f>IF(Source!$C199&gt;=COLUMNS($A199:B199), Source!$G199, "")</f>
        <v>9</v>
      </c>
      <c r="C199" s="2">
        <f>IF(Source!$C199&gt;=COLUMNS($A199:C199), Source!$G199, "")</f>
        <v>9</v>
      </c>
      <c r="D199" s="2" t="str">
        <f>IF(Source!$C199&gt;=COLUMNS($A199:D199), Source!$G199, "")</f>
        <v/>
      </c>
      <c r="E199" s="2" t="str">
        <f>IF(Source!$C199&gt;=COLUMNS($A199:E199), Source!$G199, "")</f>
        <v/>
      </c>
      <c r="F199" s="2" t="str">
        <f>IF(Source!$C199&gt;=COLUMNS($A199:F199), Source!$G199, "")</f>
        <v/>
      </c>
      <c r="G199" s="2" t="str">
        <f>IF(Source!$C199&gt;=COLUMNS($A199:G199), Source!$G199, "")</f>
        <v/>
      </c>
      <c r="H199" s="2" t="str">
        <f>IF(Source!$C199&gt;=COLUMNS($A199:H199), Source!$G199, "")</f>
        <v/>
      </c>
      <c r="I199" s="2" t="str">
        <f>IF(Source!$C199&gt;=COLUMNS($A199:I199), Source!$G199, "")</f>
        <v/>
      </c>
      <c r="J199" s="2" t="str">
        <f>IF(Source!$C199&gt;=COLUMNS($A199:J199), Source!$G199, "")</f>
        <v/>
      </c>
      <c r="K199" s="2" t="str">
        <f>IF(Source!$C199&gt;=COLUMNS($A199:K199), Source!$G199, "")</f>
        <v/>
      </c>
      <c r="L199" s="2" t="str">
        <f>IF(Source!$C199&gt;=COLUMNS($A199:L199), Source!$G199, "")</f>
        <v/>
      </c>
      <c r="M199" s="2" t="str">
        <f>IF(Source!$C199&gt;=COLUMNS($A199:M199), Source!$G199, "")</f>
        <v/>
      </c>
      <c r="N199" s="2" t="str">
        <f>IF(Source!$C199&gt;=COLUMNS($A199:N199), Source!$G199, "")</f>
        <v/>
      </c>
      <c r="O199" s="2" t="str">
        <f>IF(Source!$C199&gt;=COLUMNS($A199:O199), Source!$G199, "")</f>
        <v/>
      </c>
      <c r="P199" s="2" t="str">
        <f>IF(Source!$C199&gt;=COLUMNS($A199:P199), Source!$G199, "")</f>
        <v/>
      </c>
      <c r="Q199" s="2" t="str">
        <f>IF(Source!$C199&gt;=COLUMNS($A199:Q199), Source!$G199, "")</f>
        <v/>
      </c>
      <c r="R199" s="2" t="str">
        <f>IF(Source!$C199&gt;=COLUMNS($A199:R199), Source!$G199, "")</f>
        <v/>
      </c>
      <c r="S199" s="2" t="str">
        <f>IF(Source!$C199&gt;=COLUMNS($A199:S199), Source!$G199, "")</f>
        <v/>
      </c>
      <c r="T199" s="2" t="str">
        <f>IF(Source!$C199&gt;=COLUMNS($A199:T199), Source!$G199, "")</f>
        <v/>
      </c>
      <c r="U199" s="2" t="str">
        <f>IF(Source!$C199&gt;=COLUMNS($A199:U199), Source!$G199, "")</f>
        <v/>
      </c>
      <c r="V199" s="2" t="str">
        <f>IF(Source!$C199&gt;=COLUMNS($A199:V199), Source!$G199, "")</f>
        <v/>
      </c>
      <c r="W199" s="2" t="str">
        <f>IF(Source!$C199&gt;=COLUMNS($A199:W199), Source!$G199, "")</f>
        <v/>
      </c>
      <c r="X199" s="2" t="str">
        <f>IF(Source!$C199&gt;=COLUMNS($A199:X199), Source!$G199, "")</f>
        <v/>
      </c>
      <c r="Y199" s="2" t="str">
        <f>IF(Source!$C199&gt;=COLUMNS($A199:Y199), Source!$G199, "")</f>
        <v/>
      </c>
      <c r="Z199" s="2" t="str">
        <f>IF(Source!$C199&gt;=COLUMNS($A199:Z199), Source!$G199, "")</f>
        <v/>
      </c>
      <c r="AA199" s="2" t="str">
        <f>IF(Source!$C199&gt;=COLUMNS($A199:AA199), Source!$G199, "")</f>
        <v/>
      </c>
      <c r="AB199" s="2" t="str">
        <f>IF(Source!$C199&gt;=COLUMNS($A199:AB199), Source!$G199, "")</f>
        <v/>
      </c>
      <c r="AC199" s="2" t="str">
        <f>IF(Source!$C199&gt;=COLUMNS($A199:AC199), Source!$G199, "")</f>
        <v/>
      </c>
      <c r="AD199" s="2" t="str">
        <f>IF(Source!$C199&gt;=COLUMNS($A199:AD199), Source!$G199, "")</f>
        <v/>
      </c>
      <c r="AE199" s="2" t="str">
        <f>IF(Source!$C199&gt;=COLUMNS($A199:AE199), Source!$G199, "")</f>
        <v/>
      </c>
      <c r="AF199" s="2" t="str">
        <f>IF(Source!$C199&gt;=COLUMNS($A199:AF199), Source!$G199, "")</f>
        <v/>
      </c>
      <c r="AG199" s="2" t="str">
        <f>IF(Source!$C199&gt;=COLUMNS($A199:AG199), Source!$G199, "")</f>
        <v/>
      </c>
      <c r="AH199" s="2" t="str">
        <f>IF(Source!$C199&gt;=COLUMNS($A199:AH199), Source!$G199, "")</f>
        <v/>
      </c>
      <c r="AI199" s="2" t="str">
        <f>IF(Source!$C199&gt;=COLUMNS($A199:AI199), Source!$G199, "")</f>
        <v/>
      </c>
      <c r="AJ199" s="2" t="str">
        <f>IF(Source!$C199&gt;=COLUMNS($A199:AJ199), Source!$G199, "")</f>
        <v/>
      </c>
      <c r="AK199" s="2" t="str">
        <f>IF(Source!$C199&gt;=COLUMNS($A199:AK199), Source!$G199, "")</f>
        <v/>
      </c>
      <c r="AL199" s="2" t="str">
        <f>IF(Source!$C199&gt;=COLUMNS($A199:AL199), Source!$G199, "")</f>
        <v/>
      </c>
      <c r="AM199" s="2" t="str">
        <f>IF(Source!$C199&gt;=COLUMNS($A199:AM199), Source!$G199, "")</f>
        <v/>
      </c>
      <c r="AN199" s="2" t="str">
        <f>IF(Source!$C199&gt;=COLUMNS($A199:AN199), Source!$G199, "")</f>
        <v/>
      </c>
      <c r="AO199" s="2" t="str">
        <f>IF(Source!$C199&gt;=COLUMNS($A199:AO199), Source!$G199, "")</f>
        <v/>
      </c>
      <c r="AP199" s="2" t="str">
        <f>IF(Source!$C199&gt;=COLUMNS($A199:AP199), Source!$G199, "")</f>
        <v/>
      </c>
      <c r="AQ199" s="2" t="str">
        <f>IF(Source!$C199&gt;=COLUMNS($A199:AQ199), Source!$G199, "")</f>
        <v/>
      </c>
      <c r="AR199" s="2" t="str">
        <f>IF(Source!$C199&gt;=COLUMNS($A199:AR199), Source!$G199, "")</f>
        <v/>
      </c>
    </row>
    <row r="200">
      <c r="A200" s="2">
        <f>IF(Source!$C200&gt;=COLUMNS($A200:A200), Source!$G200, "")</f>
        <v>2</v>
      </c>
      <c r="B200" s="2">
        <f>IF(Source!$C200&gt;=COLUMNS($A200:B200), Source!$G200, "")</f>
        <v>2</v>
      </c>
      <c r="C200" s="2">
        <f>IF(Source!$C200&gt;=COLUMNS($A200:C200), Source!$G200, "")</f>
        <v>2</v>
      </c>
      <c r="D200" s="2">
        <f>IF(Source!$C200&gt;=COLUMNS($A200:D200), Source!$G200, "")</f>
        <v>2</v>
      </c>
      <c r="E200" s="2">
        <f>IF(Source!$C200&gt;=COLUMNS($A200:E200), Source!$G200, "")</f>
        <v>2</v>
      </c>
      <c r="F200" s="2">
        <f>IF(Source!$C200&gt;=COLUMNS($A200:F200), Source!$G200, "")</f>
        <v>2</v>
      </c>
      <c r="G200" s="2">
        <f>IF(Source!$C200&gt;=COLUMNS($A200:G200), Source!$G200, "")</f>
        <v>2</v>
      </c>
      <c r="H200" s="2">
        <f>IF(Source!$C200&gt;=COLUMNS($A200:H200), Source!$G200, "")</f>
        <v>2</v>
      </c>
      <c r="I200" s="2">
        <f>IF(Source!$C200&gt;=COLUMNS($A200:I200), Source!$G200, "")</f>
        <v>2</v>
      </c>
      <c r="J200" s="2">
        <f>IF(Source!$C200&gt;=COLUMNS($A200:J200), Source!$G200, "")</f>
        <v>2</v>
      </c>
      <c r="K200" s="2">
        <f>IF(Source!$C200&gt;=COLUMNS($A200:K200), Source!$G200, "")</f>
        <v>2</v>
      </c>
      <c r="L200" s="2">
        <f>IF(Source!$C200&gt;=COLUMNS($A200:L200), Source!$G200, "")</f>
        <v>2</v>
      </c>
      <c r="M200" s="2">
        <f>IF(Source!$C200&gt;=COLUMNS($A200:M200), Source!$G200, "")</f>
        <v>2</v>
      </c>
      <c r="N200" s="2">
        <f>IF(Source!$C200&gt;=COLUMNS($A200:N200), Source!$G200, "")</f>
        <v>2</v>
      </c>
      <c r="O200" s="2">
        <f>IF(Source!$C200&gt;=COLUMNS($A200:O200), Source!$G200, "")</f>
        <v>2</v>
      </c>
      <c r="P200" s="2">
        <f>IF(Source!$C200&gt;=COLUMNS($A200:P200), Source!$G200, "")</f>
        <v>2</v>
      </c>
      <c r="Q200" s="2">
        <f>IF(Source!$C200&gt;=COLUMNS($A200:Q200), Source!$G200, "")</f>
        <v>2</v>
      </c>
      <c r="R200" s="2" t="str">
        <f>IF(Source!$C200&gt;=COLUMNS($A200:R200), Source!$G200, "")</f>
        <v/>
      </c>
      <c r="S200" s="2" t="str">
        <f>IF(Source!$C200&gt;=COLUMNS($A200:S200), Source!$G200, "")</f>
        <v/>
      </c>
      <c r="T200" s="2" t="str">
        <f>IF(Source!$C200&gt;=COLUMNS($A200:T200), Source!$G200, "")</f>
        <v/>
      </c>
      <c r="U200" s="2" t="str">
        <f>IF(Source!$C200&gt;=COLUMNS($A200:U200), Source!$G200, "")</f>
        <v/>
      </c>
      <c r="V200" s="2" t="str">
        <f>IF(Source!$C200&gt;=COLUMNS($A200:V200), Source!$G200, "")</f>
        <v/>
      </c>
      <c r="W200" s="2" t="str">
        <f>IF(Source!$C200&gt;=COLUMNS($A200:W200), Source!$G200, "")</f>
        <v/>
      </c>
      <c r="X200" s="2" t="str">
        <f>IF(Source!$C200&gt;=COLUMNS($A200:X200), Source!$G200, "")</f>
        <v/>
      </c>
      <c r="Y200" s="2" t="str">
        <f>IF(Source!$C200&gt;=COLUMNS($A200:Y200), Source!$G200, "")</f>
        <v/>
      </c>
      <c r="Z200" s="2" t="str">
        <f>IF(Source!$C200&gt;=COLUMNS($A200:Z200), Source!$G200, "")</f>
        <v/>
      </c>
      <c r="AA200" s="2" t="str">
        <f>IF(Source!$C200&gt;=COLUMNS($A200:AA200), Source!$G200, "")</f>
        <v/>
      </c>
      <c r="AB200" s="2" t="str">
        <f>IF(Source!$C200&gt;=COLUMNS($A200:AB200), Source!$G200, "")</f>
        <v/>
      </c>
      <c r="AC200" s="2" t="str">
        <f>IF(Source!$C200&gt;=COLUMNS($A200:AC200), Source!$G200, "")</f>
        <v/>
      </c>
      <c r="AD200" s="2" t="str">
        <f>IF(Source!$C200&gt;=COLUMNS($A200:AD200), Source!$G200, "")</f>
        <v/>
      </c>
      <c r="AE200" s="2" t="str">
        <f>IF(Source!$C200&gt;=COLUMNS($A200:AE200), Source!$G200, "")</f>
        <v/>
      </c>
      <c r="AF200" s="2" t="str">
        <f>IF(Source!$C200&gt;=COLUMNS($A200:AF200), Source!$G200, "")</f>
        <v/>
      </c>
      <c r="AG200" s="2" t="str">
        <f>IF(Source!$C200&gt;=COLUMNS($A200:AG200), Source!$G200, "")</f>
        <v/>
      </c>
      <c r="AH200" s="2" t="str">
        <f>IF(Source!$C200&gt;=COLUMNS($A200:AH200), Source!$G200, "")</f>
        <v/>
      </c>
      <c r="AI200" s="2" t="str">
        <f>IF(Source!$C200&gt;=COLUMNS($A200:AI200), Source!$G200, "")</f>
        <v/>
      </c>
      <c r="AJ200" s="2" t="str">
        <f>IF(Source!$C200&gt;=COLUMNS($A200:AJ200), Source!$G200, "")</f>
        <v/>
      </c>
      <c r="AK200" s="2" t="str">
        <f>IF(Source!$C200&gt;=COLUMNS($A200:AK200), Source!$G200, "")</f>
        <v/>
      </c>
      <c r="AL200" s="2" t="str">
        <f>IF(Source!$C200&gt;=COLUMNS($A200:AL200), Source!$G200, "")</f>
        <v/>
      </c>
      <c r="AM200" s="2" t="str">
        <f>IF(Source!$C200&gt;=COLUMNS($A200:AM200), Source!$G200, "")</f>
        <v/>
      </c>
      <c r="AN200" s="2" t="str">
        <f>IF(Source!$C200&gt;=COLUMNS($A200:AN200), Source!$G200, "")</f>
        <v/>
      </c>
      <c r="AO200" s="2" t="str">
        <f>IF(Source!$C200&gt;=COLUMNS($A200:AO200), Source!$G200, "")</f>
        <v/>
      </c>
      <c r="AP200" s="2" t="str">
        <f>IF(Source!$C200&gt;=COLUMNS($A200:AP200), Source!$G200, "")</f>
        <v/>
      </c>
      <c r="AQ200" s="2" t="str">
        <f>IF(Source!$C200&gt;=COLUMNS($A200:AQ200), Source!$G200, "")</f>
        <v/>
      </c>
      <c r="AR200" s="2" t="str">
        <f>IF(Source!$C200&gt;=COLUMNS($A200:AR200), Source!$G200, "")</f>
        <v/>
      </c>
    </row>
    <row r="201">
      <c r="A201" s="2">
        <f>IF(Source!$C201&gt;=COLUMNS($A201:A201), Source!$G201, "")</f>
        <v>2</v>
      </c>
      <c r="B201" s="2" t="str">
        <f>IF(Source!$C201&gt;=COLUMNS($A201:B201), Source!$G201, "")</f>
        <v/>
      </c>
      <c r="C201" s="2" t="str">
        <f>IF(Source!$C201&gt;=COLUMNS($A201:C201), Source!$G201, "")</f>
        <v/>
      </c>
      <c r="D201" s="2" t="str">
        <f>IF(Source!$C201&gt;=COLUMNS($A201:D201), Source!$G201, "")</f>
        <v/>
      </c>
      <c r="E201" s="2" t="str">
        <f>IF(Source!$C201&gt;=COLUMNS($A201:E201), Source!$G201, "")</f>
        <v/>
      </c>
      <c r="F201" s="2" t="str">
        <f>IF(Source!$C201&gt;=COLUMNS($A201:F201), Source!$G201, "")</f>
        <v/>
      </c>
      <c r="G201" s="2" t="str">
        <f>IF(Source!$C201&gt;=COLUMNS($A201:G201), Source!$G201, "")</f>
        <v/>
      </c>
      <c r="H201" s="2" t="str">
        <f>IF(Source!$C201&gt;=COLUMNS($A201:H201), Source!$G201, "")</f>
        <v/>
      </c>
      <c r="I201" s="2" t="str">
        <f>IF(Source!$C201&gt;=COLUMNS($A201:I201), Source!$G201, "")</f>
        <v/>
      </c>
      <c r="J201" s="2" t="str">
        <f>IF(Source!$C201&gt;=COLUMNS($A201:J201), Source!$G201, "")</f>
        <v/>
      </c>
      <c r="K201" s="2" t="str">
        <f>IF(Source!$C201&gt;=COLUMNS($A201:K201), Source!$G201, "")</f>
        <v/>
      </c>
      <c r="L201" s="2" t="str">
        <f>IF(Source!$C201&gt;=COLUMNS($A201:L201), Source!$G201, "")</f>
        <v/>
      </c>
      <c r="M201" s="2" t="str">
        <f>IF(Source!$C201&gt;=COLUMNS($A201:M201), Source!$G201, "")</f>
        <v/>
      </c>
      <c r="N201" s="2" t="str">
        <f>IF(Source!$C201&gt;=COLUMNS($A201:N201), Source!$G201, "")</f>
        <v/>
      </c>
      <c r="O201" s="2" t="str">
        <f>IF(Source!$C201&gt;=COLUMNS($A201:O201), Source!$G201, "")</f>
        <v/>
      </c>
      <c r="P201" s="2" t="str">
        <f>IF(Source!$C201&gt;=COLUMNS($A201:P201), Source!$G201, "")</f>
        <v/>
      </c>
      <c r="Q201" s="2" t="str">
        <f>IF(Source!$C201&gt;=COLUMNS($A201:Q201), Source!$G201, "")</f>
        <v/>
      </c>
      <c r="R201" s="2" t="str">
        <f>IF(Source!$C201&gt;=COLUMNS($A201:R201), Source!$G201, "")</f>
        <v/>
      </c>
      <c r="S201" s="2" t="str">
        <f>IF(Source!$C201&gt;=COLUMNS($A201:S201), Source!$G201, "")</f>
        <v/>
      </c>
      <c r="T201" s="2" t="str">
        <f>IF(Source!$C201&gt;=COLUMNS($A201:T201), Source!$G201, "")</f>
        <v/>
      </c>
      <c r="U201" s="2" t="str">
        <f>IF(Source!$C201&gt;=COLUMNS($A201:U201), Source!$G201, "")</f>
        <v/>
      </c>
      <c r="V201" s="2" t="str">
        <f>IF(Source!$C201&gt;=COLUMNS($A201:V201), Source!$G201, "")</f>
        <v/>
      </c>
      <c r="W201" s="2" t="str">
        <f>IF(Source!$C201&gt;=COLUMNS($A201:W201), Source!$G201, "")</f>
        <v/>
      </c>
      <c r="X201" s="2" t="str">
        <f>IF(Source!$C201&gt;=COLUMNS($A201:X201), Source!$G201, "")</f>
        <v/>
      </c>
      <c r="Y201" s="2" t="str">
        <f>IF(Source!$C201&gt;=COLUMNS($A201:Y201), Source!$G201, "")</f>
        <v/>
      </c>
      <c r="Z201" s="2" t="str">
        <f>IF(Source!$C201&gt;=COLUMNS($A201:Z201), Source!$G201, "")</f>
        <v/>
      </c>
      <c r="AA201" s="2" t="str">
        <f>IF(Source!$C201&gt;=COLUMNS($A201:AA201), Source!$G201, "")</f>
        <v/>
      </c>
      <c r="AB201" s="2" t="str">
        <f>IF(Source!$C201&gt;=COLUMNS($A201:AB201), Source!$G201, "")</f>
        <v/>
      </c>
      <c r="AC201" s="2" t="str">
        <f>IF(Source!$C201&gt;=COLUMNS($A201:AC201), Source!$G201, "")</f>
        <v/>
      </c>
      <c r="AD201" s="2" t="str">
        <f>IF(Source!$C201&gt;=COLUMNS($A201:AD201), Source!$G201, "")</f>
        <v/>
      </c>
      <c r="AE201" s="2" t="str">
        <f>IF(Source!$C201&gt;=COLUMNS($A201:AE201), Source!$G201, "")</f>
        <v/>
      </c>
      <c r="AF201" s="2" t="str">
        <f>IF(Source!$C201&gt;=COLUMNS($A201:AF201), Source!$G201, "")</f>
        <v/>
      </c>
      <c r="AG201" s="2" t="str">
        <f>IF(Source!$C201&gt;=COLUMNS($A201:AG201), Source!$G201, "")</f>
        <v/>
      </c>
      <c r="AH201" s="2" t="str">
        <f>IF(Source!$C201&gt;=COLUMNS($A201:AH201), Source!$G201, "")</f>
        <v/>
      </c>
      <c r="AI201" s="2" t="str">
        <f>IF(Source!$C201&gt;=COLUMNS($A201:AI201), Source!$G201, "")</f>
        <v/>
      </c>
      <c r="AJ201" s="2" t="str">
        <f>IF(Source!$C201&gt;=COLUMNS($A201:AJ201), Source!$G201, "")</f>
        <v/>
      </c>
      <c r="AK201" s="2" t="str">
        <f>IF(Source!$C201&gt;=COLUMNS($A201:AK201), Source!$G201, "")</f>
        <v/>
      </c>
      <c r="AL201" s="2" t="str">
        <f>IF(Source!$C201&gt;=COLUMNS($A201:AL201), Source!$G201, "")</f>
        <v/>
      </c>
      <c r="AM201" s="2" t="str">
        <f>IF(Source!$C201&gt;=COLUMNS($A201:AM201), Source!$G201, "")</f>
        <v/>
      </c>
      <c r="AN201" s="2" t="str">
        <f>IF(Source!$C201&gt;=COLUMNS($A201:AN201), Source!$G201, "")</f>
        <v/>
      </c>
      <c r="AO201" s="2" t="str">
        <f>IF(Source!$C201&gt;=COLUMNS($A201:AO201), Source!$G201, "")</f>
        <v/>
      </c>
      <c r="AP201" s="2" t="str">
        <f>IF(Source!$C201&gt;=COLUMNS($A201:AP201), Source!$G201, "")</f>
        <v/>
      </c>
      <c r="AQ201" s="2" t="str">
        <f>IF(Source!$C201&gt;=COLUMNS($A201:AQ201), Source!$G201, "")</f>
        <v/>
      </c>
      <c r="AR201" s="2" t="str">
        <f>IF(Source!$C201&gt;=COLUMNS($A201:AR201), Source!$G201, "")</f>
        <v/>
      </c>
    </row>
    <row r="202">
      <c r="A202" s="2">
        <f>IF(Source!$C202&gt;=COLUMNS($A202:A202), Source!$G202, "")</f>
        <v>9</v>
      </c>
      <c r="B202" s="2">
        <f>IF(Source!$C202&gt;=COLUMNS($A202:B202), Source!$G202, "")</f>
        <v>9</v>
      </c>
      <c r="C202" s="2" t="str">
        <f>IF(Source!$C202&gt;=COLUMNS($A202:C202), Source!$G202, "")</f>
        <v/>
      </c>
      <c r="D202" s="2" t="str">
        <f>IF(Source!$C202&gt;=COLUMNS($A202:D202), Source!$G202, "")</f>
        <v/>
      </c>
      <c r="E202" s="2" t="str">
        <f>IF(Source!$C202&gt;=COLUMNS($A202:E202), Source!$G202, "")</f>
        <v/>
      </c>
      <c r="F202" s="2" t="str">
        <f>IF(Source!$C202&gt;=COLUMNS($A202:F202), Source!$G202, "")</f>
        <v/>
      </c>
      <c r="G202" s="2" t="str">
        <f>IF(Source!$C202&gt;=COLUMNS($A202:G202), Source!$G202, "")</f>
        <v/>
      </c>
      <c r="H202" s="2" t="str">
        <f>IF(Source!$C202&gt;=COLUMNS($A202:H202), Source!$G202, "")</f>
        <v/>
      </c>
      <c r="I202" s="2" t="str">
        <f>IF(Source!$C202&gt;=COLUMNS($A202:I202), Source!$G202, "")</f>
        <v/>
      </c>
      <c r="J202" s="2" t="str">
        <f>IF(Source!$C202&gt;=COLUMNS($A202:J202), Source!$G202, "")</f>
        <v/>
      </c>
      <c r="K202" s="2" t="str">
        <f>IF(Source!$C202&gt;=COLUMNS($A202:K202), Source!$G202, "")</f>
        <v/>
      </c>
      <c r="L202" s="2" t="str">
        <f>IF(Source!$C202&gt;=COLUMNS($A202:L202), Source!$G202, "")</f>
        <v/>
      </c>
      <c r="M202" s="2" t="str">
        <f>IF(Source!$C202&gt;=COLUMNS($A202:M202), Source!$G202, "")</f>
        <v/>
      </c>
      <c r="N202" s="2" t="str">
        <f>IF(Source!$C202&gt;=COLUMNS($A202:N202), Source!$G202, "")</f>
        <v/>
      </c>
      <c r="O202" s="2" t="str">
        <f>IF(Source!$C202&gt;=COLUMNS($A202:O202), Source!$G202, "")</f>
        <v/>
      </c>
      <c r="P202" s="2" t="str">
        <f>IF(Source!$C202&gt;=COLUMNS($A202:P202), Source!$G202, "")</f>
        <v/>
      </c>
      <c r="Q202" s="2" t="str">
        <f>IF(Source!$C202&gt;=COLUMNS($A202:Q202), Source!$G202, "")</f>
        <v/>
      </c>
      <c r="R202" s="2" t="str">
        <f>IF(Source!$C202&gt;=COLUMNS($A202:R202), Source!$G202, "")</f>
        <v/>
      </c>
      <c r="S202" s="2" t="str">
        <f>IF(Source!$C202&gt;=COLUMNS($A202:S202), Source!$G202, "")</f>
        <v/>
      </c>
      <c r="T202" s="2" t="str">
        <f>IF(Source!$C202&gt;=COLUMNS($A202:T202), Source!$G202, "")</f>
        <v/>
      </c>
      <c r="U202" s="2" t="str">
        <f>IF(Source!$C202&gt;=COLUMNS($A202:U202), Source!$G202, "")</f>
        <v/>
      </c>
      <c r="V202" s="2" t="str">
        <f>IF(Source!$C202&gt;=COLUMNS($A202:V202), Source!$G202, "")</f>
        <v/>
      </c>
      <c r="W202" s="2" t="str">
        <f>IF(Source!$C202&gt;=COLUMNS($A202:W202), Source!$G202, "")</f>
        <v/>
      </c>
      <c r="X202" s="2" t="str">
        <f>IF(Source!$C202&gt;=COLUMNS($A202:X202), Source!$G202, "")</f>
        <v/>
      </c>
      <c r="Y202" s="2" t="str">
        <f>IF(Source!$C202&gt;=COLUMNS($A202:Y202), Source!$G202, "")</f>
        <v/>
      </c>
      <c r="Z202" s="2" t="str">
        <f>IF(Source!$C202&gt;=COLUMNS($A202:Z202), Source!$G202, "")</f>
        <v/>
      </c>
      <c r="AA202" s="2" t="str">
        <f>IF(Source!$C202&gt;=COLUMNS($A202:AA202), Source!$G202, "")</f>
        <v/>
      </c>
      <c r="AB202" s="2" t="str">
        <f>IF(Source!$C202&gt;=COLUMNS($A202:AB202), Source!$G202, "")</f>
        <v/>
      </c>
      <c r="AC202" s="2" t="str">
        <f>IF(Source!$C202&gt;=COLUMNS($A202:AC202), Source!$G202, "")</f>
        <v/>
      </c>
      <c r="AD202" s="2" t="str">
        <f>IF(Source!$C202&gt;=COLUMNS($A202:AD202), Source!$G202, "")</f>
        <v/>
      </c>
      <c r="AE202" s="2" t="str">
        <f>IF(Source!$C202&gt;=COLUMNS($A202:AE202), Source!$G202, "")</f>
        <v/>
      </c>
      <c r="AF202" s="2" t="str">
        <f>IF(Source!$C202&gt;=COLUMNS($A202:AF202), Source!$G202, "")</f>
        <v/>
      </c>
      <c r="AG202" s="2" t="str">
        <f>IF(Source!$C202&gt;=COLUMNS($A202:AG202), Source!$G202, "")</f>
        <v/>
      </c>
      <c r="AH202" s="2" t="str">
        <f>IF(Source!$C202&gt;=COLUMNS($A202:AH202), Source!$G202, "")</f>
        <v/>
      </c>
      <c r="AI202" s="2" t="str">
        <f>IF(Source!$C202&gt;=COLUMNS($A202:AI202), Source!$G202, "")</f>
        <v/>
      </c>
      <c r="AJ202" s="2" t="str">
        <f>IF(Source!$C202&gt;=COLUMNS($A202:AJ202), Source!$G202, "")</f>
        <v/>
      </c>
      <c r="AK202" s="2" t="str">
        <f>IF(Source!$C202&gt;=COLUMNS($A202:AK202), Source!$G202, "")</f>
        <v/>
      </c>
      <c r="AL202" s="2" t="str">
        <f>IF(Source!$C202&gt;=COLUMNS($A202:AL202), Source!$G202, "")</f>
        <v/>
      </c>
      <c r="AM202" s="2" t="str">
        <f>IF(Source!$C202&gt;=COLUMNS($A202:AM202), Source!$G202, "")</f>
        <v/>
      </c>
      <c r="AN202" s="2" t="str">
        <f>IF(Source!$C202&gt;=COLUMNS($A202:AN202), Source!$G202, "")</f>
        <v/>
      </c>
      <c r="AO202" s="2" t="str">
        <f>IF(Source!$C202&gt;=COLUMNS($A202:AO202), Source!$G202, "")</f>
        <v/>
      </c>
      <c r="AP202" s="2" t="str">
        <f>IF(Source!$C202&gt;=COLUMNS($A202:AP202), Source!$G202, "")</f>
        <v/>
      </c>
      <c r="AQ202" s="2" t="str">
        <f>IF(Source!$C202&gt;=COLUMNS($A202:AQ202), Source!$G202, "")</f>
        <v/>
      </c>
      <c r="AR202" s="2" t="str">
        <f>IF(Source!$C202&gt;=COLUMNS($A202:AR202), Source!$G202, "")</f>
        <v/>
      </c>
    </row>
    <row r="203">
      <c r="A203" s="2">
        <f>IF(Source!$C203&gt;=COLUMNS($A203:A203), Source!$G203, "")</f>
        <v>4</v>
      </c>
      <c r="B203" s="2" t="str">
        <f>IF(Source!$C203&gt;=COLUMNS($A203:B203), Source!$G203, "")</f>
        <v/>
      </c>
      <c r="C203" s="2" t="str">
        <f>IF(Source!$C203&gt;=COLUMNS($A203:C203), Source!$G203, "")</f>
        <v/>
      </c>
      <c r="D203" s="2" t="str">
        <f>IF(Source!$C203&gt;=COLUMNS($A203:D203), Source!$G203, "")</f>
        <v/>
      </c>
      <c r="E203" s="2" t="str">
        <f>IF(Source!$C203&gt;=COLUMNS($A203:E203), Source!$G203, "")</f>
        <v/>
      </c>
      <c r="F203" s="2" t="str">
        <f>IF(Source!$C203&gt;=COLUMNS($A203:F203), Source!$G203, "")</f>
        <v/>
      </c>
      <c r="G203" s="2" t="str">
        <f>IF(Source!$C203&gt;=COLUMNS($A203:G203), Source!$G203, "")</f>
        <v/>
      </c>
      <c r="H203" s="2" t="str">
        <f>IF(Source!$C203&gt;=COLUMNS($A203:H203), Source!$G203, "")</f>
        <v/>
      </c>
      <c r="I203" s="2" t="str">
        <f>IF(Source!$C203&gt;=COLUMNS($A203:I203), Source!$G203, "")</f>
        <v/>
      </c>
      <c r="J203" s="2" t="str">
        <f>IF(Source!$C203&gt;=COLUMNS($A203:J203), Source!$G203, "")</f>
        <v/>
      </c>
      <c r="K203" s="2" t="str">
        <f>IF(Source!$C203&gt;=COLUMNS($A203:K203), Source!$G203, "")</f>
        <v/>
      </c>
      <c r="L203" s="2" t="str">
        <f>IF(Source!$C203&gt;=COLUMNS($A203:L203), Source!$G203, "")</f>
        <v/>
      </c>
      <c r="M203" s="2" t="str">
        <f>IF(Source!$C203&gt;=COLUMNS($A203:M203), Source!$G203, "")</f>
        <v/>
      </c>
      <c r="N203" s="2" t="str">
        <f>IF(Source!$C203&gt;=COLUMNS($A203:N203), Source!$G203, "")</f>
        <v/>
      </c>
      <c r="O203" s="2" t="str">
        <f>IF(Source!$C203&gt;=COLUMNS($A203:O203), Source!$G203, "")</f>
        <v/>
      </c>
      <c r="P203" s="2" t="str">
        <f>IF(Source!$C203&gt;=COLUMNS($A203:P203), Source!$G203, "")</f>
        <v/>
      </c>
      <c r="Q203" s="2" t="str">
        <f>IF(Source!$C203&gt;=COLUMNS($A203:Q203), Source!$G203, "")</f>
        <v/>
      </c>
      <c r="R203" s="2" t="str">
        <f>IF(Source!$C203&gt;=COLUMNS($A203:R203), Source!$G203, "")</f>
        <v/>
      </c>
      <c r="S203" s="2" t="str">
        <f>IF(Source!$C203&gt;=COLUMNS($A203:S203), Source!$G203, "")</f>
        <v/>
      </c>
      <c r="T203" s="2" t="str">
        <f>IF(Source!$C203&gt;=COLUMNS($A203:T203), Source!$G203, "")</f>
        <v/>
      </c>
      <c r="U203" s="2" t="str">
        <f>IF(Source!$C203&gt;=COLUMNS($A203:U203), Source!$G203, "")</f>
        <v/>
      </c>
      <c r="V203" s="2" t="str">
        <f>IF(Source!$C203&gt;=COLUMNS($A203:V203), Source!$G203, "")</f>
        <v/>
      </c>
      <c r="W203" s="2" t="str">
        <f>IF(Source!$C203&gt;=COLUMNS($A203:W203), Source!$G203, "")</f>
        <v/>
      </c>
      <c r="X203" s="2" t="str">
        <f>IF(Source!$C203&gt;=COLUMNS($A203:X203), Source!$G203, "")</f>
        <v/>
      </c>
      <c r="Y203" s="2" t="str">
        <f>IF(Source!$C203&gt;=COLUMNS($A203:Y203), Source!$G203, "")</f>
        <v/>
      </c>
      <c r="Z203" s="2" t="str">
        <f>IF(Source!$C203&gt;=COLUMNS($A203:Z203), Source!$G203, "")</f>
        <v/>
      </c>
      <c r="AA203" s="2" t="str">
        <f>IF(Source!$C203&gt;=COLUMNS($A203:AA203), Source!$G203, "")</f>
        <v/>
      </c>
      <c r="AB203" s="2" t="str">
        <f>IF(Source!$C203&gt;=COLUMNS($A203:AB203), Source!$G203, "")</f>
        <v/>
      </c>
      <c r="AC203" s="2" t="str">
        <f>IF(Source!$C203&gt;=COLUMNS($A203:AC203), Source!$G203, "")</f>
        <v/>
      </c>
      <c r="AD203" s="2" t="str">
        <f>IF(Source!$C203&gt;=COLUMNS($A203:AD203), Source!$G203, "")</f>
        <v/>
      </c>
      <c r="AE203" s="2" t="str">
        <f>IF(Source!$C203&gt;=COLUMNS($A203:AE203), Source!$G203, "")</f>
        <v/>
      </c>
      <c r="AF203" s="2" t="str">
        <f>IF(Source!$C203&gt;=COLUMNS($A203:AF203), Source!$G203, "")</f>
        <v/>
      </c>
      <c r="AG203" s="2" t="str">
        <f>IF(Source!$C203&gt;=COLUMNS($A203:AG203), Source!$G203, "")</f>
        <v/>
      </c>
      <c r="AH203" s="2" t="str">
        <f>IF(Source!$C203&gt;=COLUMNS($A203:AH203), Source!$G203, "")</f>
        <v/>
      </c>
      <c r="AI203" s="2" t="str">
        <f>IF(Source!$C203&gt;=COLUMNS($A203:AI203), Source!$G203, "")</f>
        <v/>
      </c>
      <c r="AJ203" s="2" t="str">
        <f>IF(Source!$C203&gt;=COLUMNS($A203:AJ203), Source!$G203, "")</f>
        <v/>
      </c>
      <c r="AK203" s="2" t="str">
        <f>IF(Source!$C203&gt;=COLUMNS($A203:AK203), Source!$G203, "")</f>
        <v/>
      </c>
      <c r="AL203" s="2" t="str">
        <f>IF(Source!$C203&gt;=COLUMNS($A203:AL203), Source!$G203, "")</f>
        <v/>
      </c>
      <c r="AM203" s="2" t="str">
        <f>IF(Source!$C203&gt;=COLUMNS($A203:AM203), Source!$G203, "")</f>
        <v/>
      </c>
      <c r="AN203" s="2" t="str">
        <f>IF(Source!$C203&gt;=COLUMNS($A203:AN203), Source!$G203, "")</f>
        <v/>
      </c>
      <c r="AO203" s="2" t="str">
        <f>IF(Source!$C203&gt;=COLUMNS($A203:AO203), Source!$G203, "")</f>
        <v/>
      </c>
      <c r="AP203" s="2" t="str">
        <f>IF(Source!$C203&gt;=COLUMNS($A203:AP203), Source!$G203, "")</f>
        <v/>
      </c>
      <c r="AQ203" s="2" t="str">
        <f>IF(Source!$C203&gt;=COLUMNS($A203:AQ203), Source!$G203, "")</f>
        <v/>
      </c>
      <c r="AR203" s="2" t="str">
        <f>IF(Source!$C203&gt;=COLUMNS($A203:AR203), Source!$G203, "")</f>
        <v/>
      </c>
    </row>
    <row r="204">
      <c r="A204" s="2">
        <f>IF(Source!$C204&gt;=COLUMNS($A204:A204), Source!$G204, "")</f>
        <v>2</v>
      </c>
      <c r="B204" s="2">
        <f>IF(Source!$C204&gt;=COLUMNS($A204:B204), Source!$G204, "")</f>
        <v>2</v>
      </c>
      <c r="C204" s="2">
        <f>IF(Source!$C204&gt;=COLUMNS($A204:C204), Source!$G204, "")</f>
        <v>2</v>
      </c>
      <c r="D204" s="2">
        <f>IF(Source!$C204&gt;=COLUMNS($A204:D204), Source!$G204, "")</f>
        <v>2</v>
      </c>
      <c r="E204" s="2">
        <f>IF(Source!$C204&gt;=COLUMNS($A204:E204), Source!$G204, "")</f>
        <v>2</v>
      </c>
      <c r="F204" s="2">
        <f>IF(Source!$C204&gt;=COLUMNS($A204:F204), Source!$G204, "")</f>
        <v>2</v>
      </c>
      <c r="G204" s="2">
        <f>IF(Source!$C204&gt;=COLUMNS($A204:G204), Source!$G204, "")</f>
        <v>2</v>
      </c>
      <c r="H204" s="2">
        <f>IF(Source!$C204&gt;=COLUMNS($A204:H204), Source!$G204, "")</f>
        <v>2</v>
      </c>
      <c r="I204" s="2">
        <f>IF(Source!$C204&gt;=COLUMNS($A204:I204), Source!$G204, "")</f>
        <v>2</v>
      </c>
      <c r="J204" s="2">
        <f>IF(Source!$C204&gt;=COLUMNS($A204:J204), Source!$G204, "")</f>
        <v>2</v>
      </c>
      <c r="K204" s="2">
        <f>IF(Source!$C204&gt;=COLUMNS($A204:K204), Source!$G204, "")</f>
        <v>2</v>
      </c>
      <c r="L204" s="2">
        <f>IF(Source!$C204&gt;=COLUMNS($A204:L204), Source!$G204, "")</f>
        <v>2</v>
      </c>
      <c r="M204" s="2" t="str">
        <f>IF(Source!$C204&gt;=COLUMNS($A204:M204), Source!$G204, "")</f>
        <v/>
      </c>
      <c r="N204" s="2" t="str">
        <f>IF(Source!$C204&gt;=COLUMNS($A204:N204), Source!$G204, "")</f>
        <v/>
      </c>
      <c r="O204" s="2" t="str">
        <f>IF(Source!$C204&gt;=COLUMNS($A204:O204), Source!$G204, "")</f>
        <v/>
      </c>
      <c r="P204" s="2" t="str">
        <f>IF(Source!$C204&gt;=COLUMNS($A204:P204), Source!$G204, "")</f>
        <v/>
      </c>
      <c r="Q204" s="2" t="str">
        <f>IF(Source!$C204&gt;=COLUMNS($A204:Q204), Source!$G204, "")</f>
        <v/>
      </c>
      <c r="R204" s="2" t="str">
        <f>IF(Source!$C204&gt;=COLUMNS($A204:R204), Source!$G204, "")</f>
        <v/>
      </c>
      <c r="S204" s="2" t="str">
        <f>IF(Source!$C204&gt;=COLUMNS($A204:S204), Source!$G204, "")</f>
        <v/>
      </c>
      <c r="T204" s="2" t="str">
        <f>IF(Source!$C204&gt;=COLUMNS($A204:T204), Source!$G204, "")</f>
        <v/>
      </c>
      <c r="U204" s="2" t="str">
        <f>IF(Source!$C204&gt;=COLUMNS($A204:U204), Source!$G204, "")</f>
        <v/>
      </c>
      <c r="V204" s="2" t="str">
        <f>IF(Source!$C204&gt;=COLUMNS($A204:V204), Source!$G204, "")</f>
        <v/>
      </c>
      <c r="W204" s="2" t="str">
        <f>IF(Source!$C204&gt;=COLUMNS($A204:W204), Source!$G204, "")</f>
        <v/>
      </c>
      <c r="X204" s="2" t="str">
        <f>IF(Source!$C204&gt;=COLUMNS($A204:X204), Source!$G204, "")</f>
        <v/>
      </c>
      <c r="Y204" s="2" t="str">
        <f>IF(Source!$C204&gt;=COLUMNS($A204:Y204), Source!$G204, "")</f>
        <v/>
      </c>
      <c r="Z204" s="2" t="str">
        <f>IF(Source!$C204&gt;=COLUMNS($A204:Z204), Source!$G204, "")</f>
        <v/>
      </c>
      <c r="AA204" s="2" t="str">
        <f>IF(Source!$C204&gt;=COLUMNS($A204:AA204), Source!$G204, "")</f>
        <v/>
      </c>
      <c r="AB204" s="2" t="str">
        <f>IF(Source!$C204&gt;=COLUMNS($A204:AB204), Source!$G204, "")</f>
        <v/>
      </c>
      <c r="AC204" s="2" t="str">
        <f>IF(Source!$C204&gt;=COLUMNS($A204:AC204), Source!$G204, "")</f>
        <v/>
      </c>
      <c r="AD204" s="2" t="str">
        <f>IF(Source!$C204&gt;=COLUMNS($A204:AD204), Source!$G204, "")</f>
        <v/>
      </c>
      <c r="AE204" s="2" t="str">
        <f>IF(Source!$C204&gt;=COLUMNS($A204:AE204), Source!$G204, "")</f>
        <v/>
      </c>
      <c r="AF204" s="2" t="str">
        <f>IF(Source!$C204&gt;=COLUMNS($A204:AF204), Source!$G204, "")</f>
        <v/>
      </c>
      <c r="AG204" s="2" t="str">
        <f>IF(Source!$C204&gt;=COLUMNS($A204:AG204), Source!$G204, "")</f>
        <v/>
      </c>
      <c r="AH204" s="2" t="str">
        <f>IF(Source!$C204&gt;=COLUMNS($A204:AH204), Source!$G204, "")</f>
        <v/>
      </c>
      <c r="AI204" s="2" t="str">
        <f>IF(Source!$C204&gt;=COLUMNS($A204:AI204), Source!$G204, "")</f>
        <v/>
      </c>
      <c r="AJ204" s="2" t="str">
        <f>IF(Source!$C204&gt;=COLUMNS($A204:AJ204), Source!$G204, "")</f>
        <v/>
      </c>
      <c r="AK204" s="2" t="str">
        <f>IF(Source!$C204&gt;=COLUMNS($A204:AK204), Source!$G204, "")</f>
        <v/>
      </c>
      <c r="AL204" s="2" t="str">
        <f>IF(Source!$C204&gt;=COLUMNS($A204:AL204), Source!$G204, "")</f>
        <v/>
      </c>
      <c r="AM204" s="2" t="str">
        <f>IF(Source!$C204&gt;=COLUMNS($A204:AM204), Source!$G204, "")</f>
        <v/>
      </c>
      <c r="AN204" s="2" t="str">
        <f>IF(Source!$C204&gt;=COLUMNS($A204:AN204), Source!$G204, "")</f>
        <v/>
      </c>
      <c r="AO204" s="2" t="str">
        <f>IF(Source!$C204&gt;=COLUMNS($A204:AO204), Source!$G204, "")</f>
        <v/>
      </c>
      <c r="AP204" s="2" t="str">
        <f>IF(Source!$C204&gt;=COLUMNS($A204:AP204), Source!$G204, "")</f>
        <v/>
      </c>
      <c r="AQ204" s="2" t="str">
        <f>IF(Source!$C204&gt;=COLUMNS($A204:AQ204), Source!$G204, "")</f>
        <v/>
      </c>
      <c r="AR204" s="2" t="str">
        <f>IF(Source!$C204&gt;=COLUMNS($A204:AR204), Source!$G204, "")</f>
        <v/>
      </c>
    </row>
    <row r="205">
      <c r="A205" s="2">
        <f>IF(Source!$C205&gt;=COLUMNS($A205:A205), Source!$G205, "")</f>
        <v>7</v>
      </c>
      <c r="B205" s="2" t="str">
        <f>IF(Source!$C205&gt;=COLUMNS($A205:B205), Source!$G205, "")</f>
        <v/>
      </c>
      <c r="C205" s="2" t="str">
        <f>IF(Source!$C205&gt;=COLUMNS($A205:C205), Source!$G205, "")</f>
        <v/>
      </c>
      <c r="D205" s="2" t="str">
        <f>IF(Source!$C205&gt;=COLUMNS($A205:D205), Source!$G205, "")</f>
        <v/>
      </c>
      <c r="E205" s="2" t="str">
        <f>IF(Source!$C205&gt;=COLUMNS($A205:E205), Source!$G205, "")</f>
        <v/>
      </c>
      <c r="F205" s="2" t="str">
        <f>IF(Source!$C205&gt;=COLUMNS($A205:F205), Source!$G205, "")</f>
        <v/>
      </c>
      <c r="G205" s="2" t="str">
        <f>IF(Source!$C205&gt;=COLUMNS($A205:G205), Source!$G205, "")</f>
        <v/>
      </c>
      <c r="H205" s="2" t="str">
        <f>IF(Source!$C205&gt;=COLUMNS($A205:H205), Source!$G205, "")</f>
        <v/>
      </c>
      <c r="I205" s="2" t="str">
        <f>IF(Source!$C205&gt;=COLUMNS($A205:I205), Source!$G205, "")</f>
        <v/>
      </c>
      <c r="J205" s="2" t="str">
        <f>IF(Source!$C205&gt;=COLUMNS($A205:J205), Source!$G205, "")</f>
        <v/>
      </c>
      <c r="K205" s="2" t="str">
        <f>IF(Source!$C205&gt;=COLUMNS($A205:K205), Source!$G205, "")</f>
        <v/>
      </c>
      <c r="L205" s="2" t="str">
        <f>IF(Source!$C205&gt;=COLUMNS($A205:L205), Source!$G205, "")</f>
        <v/>
      </c>
      <c r="M205" s="2" t="str">
        <f>IF(Source!$C205&gt;=COLUMNS($A205:M205), Source!$G205, "")</f>
        <v/>
      </c>
      <c r="N205" s="2" t="str">
        <f>IF(Source!$C205&gt;=COLUMNS($A205:N205), Source!$G205, "")</f>
        <v/>
      </c>
      <c r="O205" s="2" t="str">
        <f>IF(Source!$C205&gt;=COLUMNS($A205:O205), Source!$G205, "")</f>
        <v/>
      </c>
      <c r="P205" s="2" t="str">
        <f>IF(Source!$C205&gt;=COLUMNS($A205:P205), Source!$G205, "")</f>
        <v/>
      </c>
      <c r="Q205" s="2" t="str">
        <f>IF(Source!$C205&gt;=COLUMNS($A205:Q205), Source!$G205, "")</f>
        <v/>
      </c>
      <c r="R205" s="2" t="str">
        <f>IF(Source!$C205&gt;=COLUMNS($A205:R205), Source!$G205, "")</f>
        <v/>
      </c>
      <c r="S205" s="2" t="str">
        <f>IF(Source!$C205&gt;=COLUMNS($A205:S205), Source!$G205, "")</f>
        <v/>
      </c>
      <c r="T205" s="2" t="str">
        <f>IF(Source!$C205&gt;=COLUMNS($A205:T205), Source!$G205, "")</f>
        <v/>
      </c>
      <c r="U205" s="2" t="str">
        <f>IF(Source!$C205&gt;=COLUMNS($A205:U205), Source!$G205, "")</f>
        <v/>
      </c>
      <c r="V205" s="2" t="str">
        <f>IF(Source!$C205&gt;=COLUMNS($A205:V205), Source!$G205, "")</f>
        <v/>
      </c>
      <c r="W205" s="2" t="str">
        <f>IF(Source!$C205&gt;=COLUMNS($A205:W205), Source!$G205, "")</f>
        <v/>
      </c>
      <c r="X205" s="2" t="str">
        <f>IF(Source!$C205&gt;=COLUMNS($A205:X205), Source!$G205, "")</f>
        <v/>
      </c>
      <c r="Y205" s="2" t="str">
        <f>IF(Source!$C205&gt;=COLUMNS($A205:Y205), Source!$G205, "")</f>
        <v/>
      </c>
      <c r="Z205" s="2" t="str">
        <f>IF(Source!$C205&gt;=COLUMNS($A205:Z205), Source!$G205, "")</f>
        <v/>
      </c>
      <c r="AA205" s="2" t="str">
        <f>IF(Source!$C205&gt;=COLUMNS($A205:AA205), Source!$G205, "")</f>
        <v/>
      </c>
      <c r="AB205" s="2" t="str">
        <f>IF(Source!$C205&gt;=COLUMNS($A205:AB205), Source!$G205, "")</f>
        <v/>
      </c>
      <c r="AC205" s="2" t="str">
        <f>IF(Source!$C205&gt;=COLUMNS($A205:AC205), Source!$G205, "")</f>
        <v/>
      </c>
      <c r="AD205" s="2" t="str">
        <f>IF(Source!$C205&gt;=COLUMNS($A205:AD205), Source!$G205, "")</f>
        <v/>
      </c>
      <c r="AE205" s="2" t="str">
        <f>IF(Source!$C205&gt;=COLUMNS($A205:AE205), Source!$G205, "")</f>
        <v/>
      </c>
      <c r="AF205" s="2" t="str">
        <f>IF(Source!$C205&gt;=COLUMNS($A205:AF205), Source!$G205, "")</f>
        <v/>
      </c>
      <c r="AG205" s="2" t="str">
        <f>IF(Source!$C205&gt;=COLUMNS($A205:AG205), Source!$G205, "")</f>
        <v/>
      </c>
      <c r="AH205" s="2" t="str">
        <f>IF(Source!$C205&gt;=COLUMNS($A205:AH205), Source!$G205, "")</f>
        <v/>
      </c>
      <c r="AI205" s="2" t="str">
        <f>IF(Source!$C205&gt;=COLUMNS($A205:AI205), Source!$G205, "")</f>
        <v/>
      </c>
      <c r="AJ205" s="2" t="str">
        <f>IF(Source!$C205&gt;=COLUMNS($A205:AJ205), Source!$G205, "")</f>
        <v/>
      </c>
      <c r="AK205" s="2" t="str">
        <f>IF(Source!$C205&gt;=COLUMNS($A205:AK205), Source!$G205, "")</f>
        <v/>
      </c>
      <c r="AL205" s="2" t="str">
        <f>IF(Source!$C205&gt;=COLUMNS($A205:AL205), Source!$G205, "")</f>
        <v/>
      </c>
      <c r="AM205" s="2" t="str">
        <f>IF(Source!$C205&gt;=COLUMNS($A205:AM205), Source!$G205, "")</f>
        <v/>
      </c>
      <c r="AN205" s="2" t="str">
        <f>IF(Source!$C205&gt;=COLUMNS($A205:AN205), Source!$G205, "")</f>
        <v/>
      </c>
      <c r="AO205" s="2" t="str">
        <f>IF(Source!$C205&gt;=COLUMNS($A205:AO205), Source!$G205, "")</f>
        <v/>
      </c>
      <c r="AP205" s="2" t="str">
        <f>IF(Source!$C205&gt;=COLUMNS($A205:AP205), Source!$G205, "")</f>
        <v/>
      </c>
      <c r="AQ205" s="2" t="str">
        <f>IF(Source!$C205&gt;=COLUMNS($A205:AQ205), Source!$G205, "")</f>
        <v/>
      </c>
      <c r="AR205" s="2" t="str">
        <f>IF(Source!$C205&gt;=COLUMNS($A205:AR205), Source!$G205, "")</f>
        <v/>
      </c>
    </row>
    <row r="206">
      <c r="A206" s="2">
        <f>IF(Source!$C206&gt;=COLUMNS($A206:A206), Source!$G206, "")</f>
        <v>8</v>
      </c>
      <c r="B206" s="2">
        <f>IF(Source!$C206&gt;=COLUMNS($A206:B206), Source!$G206, "")</f>
        <v>8</v>
      </c>
      <c r="C206" s="2">
        <f>IF(Source!$C206&gt;=COLUMNS($A206:C206), Source!$G206, "")</f>
        <v>8</v>
      </c>
      <c r="D206" s="2">
        <f>IF(Source!$C206&gt;=COLUMNS($A206:D206), Source!$G206, "")</f>
        <v>8</v>
      </c>
      <c r="E206" s="2">
        <f>IF(Source!$C206&gt;=COLUMNS($A206:E206), Source!$G206, "")</f>
        <v>8</v>
      </c>
      <c r="F206" s="2">
        <f>IF(Source!$C206&gt;=COLUMNS($A206:F206), Source!$G206, "")</f>
        <v>8</v>
      </c>
      <c r="G206" s="2">
        <f>IF(Source!$C206&gt;=COLUMNS($A206:G206), Source!$G206, "")</f>
        <v>8</v>
      </c>
      <c r="H206" s="2">
        <f>IF(Source!$C206&gt;=COLUMNS($A206:H206), Source!$G206, "")</f>
        <v>8</v>
      </c>
      <c r="I206" s="2" t="str">
        <f>IF(Source!$C206&gt;=COLUMNS($A206:I206), Source!$G206, "")</f>
        <v/>
      </c>
      <c r="J206" s="2" t="str">
        <f>IF(Source!$C206&gt;=COLUMNS($A206:J206), Source!$G206, "")</f>
        <v/>
      </c>
      <c r="K206" s="2" t="str">
        <f>IF(Source!$C206&gt;=COLUMNS($A206:K206), Source!$G206, "")</f>
        <v/>
      </c>
      <c r="L206" s="2" t="str">
        <f>IF(Source!$C206&gt;=COLUMNS($A206:L206), Source!$G206, "")</f>
        <v/>
      </c>
      <c r="M206" s="2" t="str">
        <f>IF(Source!$C206&gt;=COLUMNS($A206:M206), Source!$G206, "")</f>
        <v/>
      </c>
      <c r="N206" s="2" t="str">
        <f>IF(Source!$C206&gt;=COLUMNS($A206:N206), Source!$G206, "")</f>
        <v/>
      </c>
      <c r="O206" s="2" t="str">
        <f>IF(Source!$C206&gt;=COLUMNS($A206:O206), Source!$G206, "")</f>
        <v/>
      </c>
      <c r="P206" s="2" t="str">
        <f>IF(Source!$C206&gt;=COLUMNS($A206:P206), Source!$G206, "")</f>
        <v/>
      </c>
      <c r="Q206" s="2" t="str">
        <f>IF(Source!$C206&gt;=COLUMNS($A206:Q206), Source!$G206, "")</f>
        <v/>
      </c>
      <c r="R206" s="2" t="str">
        <f>IF(Source!$C206&gt;=COLUMNS($A206:R206), Source!$G206, "")</f>
        <v/>
      </c>
      <c r="S206" s="2" t="str">
        <f>IF(Source!$C206&gt;=COLUMNS($A206:S206), Source!$G206, "")</f>
        <v/>
      </c>
      <c r="T206" s="2" t="str">
        <f>IF(Source!$C206&gt;=COLUMNS($A206:T206), Source!$G206, "")</f>
        <v/>
      </c>
      <c r="U206" s="2" t="str">
        <f>IF(Source!$C206&gt;=COLUMNS($A206:U206), Source!$G206, "")</f>
        <v/>
      </c>
      <c r="V206" s="2" t="str">
        <f>IF(Source!$C206&gt;=COLUMNS($A206:V206), Source!$G206, "")</f>
        <v/>
      </c>
      <c r="W206" s="2" t="str">
        <f>IF(Source!$C206&gt;=COLUMNS($A206:W206), Source!$G206, "")</f>
        <v/>
      </c>
      <c r="X206" s="2" t="str">
        <f>IF(Source!$C206&gt;=COLUMNS($A206:X206), Source!$G206, "")</f>
        <v/>
      </c>
      <c r="Y206" s="2" t="str">
        <f>IF(Source!$C206&gt;=COLUMNS($A206:Y206), Source!$G206, "")</f>
        <v/>
      </c>
      <c r="Z206" s="2" t="str">
        <f>IF(Source!$C206&gt;=COLUMNS($A206:Z206), Source!$G206, "")</f>
        <v/>
      </c>
      <c r="AA206" s="2" t="str">
        <f>IF(Source!$C206&gt;=COLUMNS($A206:AA206), Source!$G206, "")</f>
        <v/>
      </c>
      <c r="AB206" s="2" t="str">
        <f>IF(Source!$C206&gt;=COLUMNS($A206:AB206), Source!$G206, "")</f>
        <v/>
      </c>
      <c r="AC206" s="2" t="str">
        <f>IF(Source!$C206&gt;=COLUMNS($A206:AC206), Source!$G206, "")</f>
        <v/>
      </c>
      <c r="AD206" s="2" t="str">
        <f>IF(Source!$C206&gt;=COLUMNS($A206:AD206), Source!$G206, "")</f>
        <v/>
      </c>
      <c r="AE206" s="2" t="str">
        <f>IF(Source!$C206&gt;=COLUMNS($A206:AE206), Source!$G206, "")</f>
        <v/>
      </c>
      <c r="AF206" s="2" t="str">
        <f>IF(Source!$C206&gt;=COLUMNS($A206:AF206), Source!$G206, "")</f>
        <v/>
      </c>
      <c r="AG206" s="2" t="str">
        <f>IF(Source!$C206&gt;=COLUMNS($A206:AG206), Source!$G206, "")</f>
        <v/>
      </c>
      <c r="AH206" s="2" t="str">
        <f>IF(Source!$C206&gt;=COLUMNS($A206:AH206), Source!$G206, "")</f>
        <v/>
      </c>
      <c r="AI206" s="2" t="str">
        <f>IF(Source!$C206&gt;=COLUMNS($A206:AI206), Source!$G206, "")</f>
        <v/>
      </c>
      <c r="AJ206" s="2" t="str">
        <f>IF(Source!$C206&gt;=COLUMNS($A206:AJ206), Source!$G206, "")</f>
        <v/>
      </c>
      <c r="AK206" s="2" t="str">
        <f>IF(Source!$C206&gt;=COLUMNS($A206:AK206), Source!$G206, "")</f>
        <v/>
      </c>
      <c r="AL206" s="2" t="str">
        <f>IF(Source!$C206&gt;=COLUMNS($A206:AL206), Source!$G206, "")</f>
        <v/>
      </c>
      <c r="AM206" s="2" t="str">
        <f>IF(Source!$C206&gt;=COLUMNS($A206:AM206), Source!$G206, "")</f>
        <v/>
      </c>
      <c r="AN206" s="2" t="str">
        <f>IF(Source!$C206&gt;=COLUMNS($A206:AN206), Source!$G206, "")</f>
        <v/>
      </c>
      <c r="AO206" s="2" t="str">
        <f>IF(Source!$C206&gt;=COLUMNS($A206:AO206), Source!$G206, "")</f>
        <v/>
      </c>
      <c r="AP206" s="2" t="str">
        <f>IF(Source!$C206&gt;=COLUMNS($A206:AP206), Source!$G206, "")</f>
        <v/>
      </c>
      <c r="AQ206" s="2" t="str">
        <f>IF(Source!$C206&gt;=COLUMNS($A206:AQ206), Source!$G206, "")</f>
        <v/>
      </c>
      <c r="AR206" s="2" t="str">
        <f>IF(Source!$C206&gt;=COLUMNS($A206:AR206), Source!$G206, "")</f>
        <v/>
      </c>
    </row>
    <row r="207">
      <c r="A207" s="2">
        <f>IF(Source!$C207&gt;=COLUMNS($A207:A207), Source!$G207, "")</f>
        <v>9</v>
      </c>
      <c r="B207" s="2">
        <f>IF(Source!$C207&gt;=COLUMNS($A207:B207), Source!$G207, "")</f>
        <v>9</v>
      </c>
      <c r="C207" s="2">
        <f>IF(Source!$C207&gt;=COLUMNS($A207:C207), Source!$G207, "")</f>
        <v>9</v>
      </c>
      <c r="D207" s="2">
        <f>IF(Source!$C207&gt;=COLUMNS($A207:D207), Source!$G207, "")</f>
        <v>9</v>
      </c>
      <c r="E207" s="2">
        <f>IF(Source!$C207&gt;=COLUMNS($A207:E207), Source!$G207, "")</f>
        <v>9</v>
      </c>
      <c r="F207" s="2">
        <f>IF(Source!$C207&gt;=COLUMNS($A207:F207), Source!$G207, "")</f>
        <v>9</v>
      </c>
      <c r="G207" s="2">
        <f>IF(Source!$C207&gt;=COLUMNS($A207:G207), Source!$G207, "")</f>
        <v>9</v>
      </c>
      <c r="H207" s="2">
        <f>IF(Source!$C207&gt;=COLUMNS($A207:H207), Source!$G207, "")</f>
        <v>9</v>
      </c>
      <c r="I207" s="2" t="str">
        <f>IF(Source!$C207&gt;=COLUMNS($A207:I207), Source!$G207, "")</f>
        <v/>
      </c>
      <c r="J207" s="2" t="str">
        <f>IF(Source!$C207&gt;=COLUMNS($A207:J207), Source!$G207, "")</f>
        <v/>
      </c>
      <c r="K207" s="2" t="str">
        <f>IF(Source!$C207&gt;=COLUMNS($A207:K207), Source!$G207, "")</f>
        <v/>
      </c>
      <c r="L207" s="2" t="str">
        <f>IF(Source!$C207&gt;=COLUMNS($A207:L207), Source!$G207, "")</f>
        <v/>
      </c>
      <c r="M207" s="2" t="str">
        <f>IF(Source!$C207&gt;=COLUMNS($A207:M207), Source!$G207, "")</f>
        <v/>
      </c>
      <c r="N207" s="2" t="str">
        <f>IF(Source!$C207&gt;=COLUMNS($A207:N207), Source!$G207, "")</f>
        <v/>
      </c>
      <c r="O207" s="2" t="str">
        <f>IF(Source!$C207&gt;=COLUMNS($A207:O207), Source!$G207, "")</f>
        <v/>
      </c>
      <c r="P207" s="2" t="str">
        <f>IF(Source!$C207&gt;=COLUMNS($A207:P207), Source!$G207, "")</f>
        <v/>
      </c>
      <c r="Q207" s="2" t="str">
        <f>IF(Source!$C207&gt;=COLUMNS($A207:Q207), Source!$G207, "")</f>
        <v/>
      </c>
      <c r="R207" s="2" t="str">
        <f>IF(Source!$C207&gt;=COLUMNS($A207:R207), Source!$G207, "")</f>
        <v/>
      </c>
      <c r="S207" s="2" t="str">
        <f>IF(Source!$C207&gt;=COLUMNS($A207:S207), Source!$G207, "")</f>
        <v/>
      </c>
      <c r="T207" s="2" t="str">
        <f>IF(Source!$C207&gt;=COLUMNS($A207:T207), Source!$G207, "")</f>
        <v/>
      </c>
      <c r="U207" s="2" t="str">
        <f>IF(Source!$C207&gt;=COLUMNS($A207:U207), Source!$G207, "")</f>
        <v/>
      </c>
      <c r="V207" s="2" t="str">
        <f>IF(Source!$C207&gt;=COLUMNS($A207:V207), Source!$G207, "")</f>
        <v/>
      </c>
      <c r="W207" s="2" t="str">
        <f>IF(Source!$C207&gt;=COLUMNS($A207:W207), Source!$G207, "")</f>
        <v/>
      </c>
      <c r="X207" s="2" t="str">
        <f>IF(Source!$C207&gt;=COLUMNS($A207:X207), Source!$G207, "")</f>
        <v/>
      </c>
      <c r="Y207" s="2" t="str">
        <f>IF(Source!$C207&gt;=COLUMNS($A207:Y207), Source!$G207, "")</f>
        <v/>
      </c>
      <c r="Z207" s="2" t="str">
        <f>IF(Source!$C207&gt;=COLUMNS($A207:Z207), Source!$G207, "")</f>
        <v/>
      </c>
      <c r="AA207" s="2" t="str">
        <f>IF(Source!$C207&gt;=COLUMNS($A207:AA207), Source!$G207, "")</f>
        <v/>
      </c>
      <c r="AB207" s="2" t="str">
        <f>IF(Source!$C207&gt;=COLUMNS($A207:AB207), Source!$G207, "")</f>
        <v/>
      </c>
      <c r="AC207" s="2" t="str">
        <f>IF(Source!$C207&gt;=COLUMNS($A207:AC207), Source!$G207, "")</f>
        <v/>
      </c>
      <c r="AD207" s="2" t="str">
        <f>IF(Source!$C207&gt;=COLUMNS($A207:AD207), Source!$G207, "")</f>
        <v/>
      </c>
      <c r="AE207" s="2" t="str">
        <f>IF(Source!$C207&gt;=COLUMNS($A207:AE207), Source!$G207, "")</f>
        <v/>
      </c>
      <c r="AF207" s="2" t="str">
        <f>IF(Source!$C207&gt;=COLUMNS($A207:AF207), Source!$G207, "")</f>
        <v/>
      </c>
      <c r="AG207" s="2" t="str">
        <f>IF(Source!$C207&gt;=COLUMNS($A207:AG207), Source!$G207, "")</f>
        <v/>
      </c>
      <c r="AH207" s="2" t="str">
        <f>IF(Source!$C207&gt;=COLUMNS($A207:AH207), Source!$G207, "")</f>
        <v/>
      </c>
      <c r="AI207" s="2" t="str">
        <f>IF(Source!$C207&gt;=COLUMNS($A207:AI207), Source!$G207, "")</f>
        <v/>
      </c>
      <c r="AJ207" s="2" t="str">
        <f>IF(Source!$C207&gt;=COLUMNS($A207:AJ207), Source!$G207, "")</f>
        <v/>
      </c>
      <c r="AK207" s="2" t="str">
        <f>IF(Source!$C207&gt;=COLUMNS($A207:AK207), Source!$G207, "")</f>
        <v/>
      </c>
      <c r="AL207" s="2" t="str">
        <f>IF(Source!$C207&gt;=COLUMNS($A207:AL207), Source!$G207, "")</f>
        <v/>
      </c>
      <c r="AM207" s="2" t="str">
        <f>IF(Source!$C207&gt;=COLUMNS($A207:AM207), Source!$G207, "")</f>
        <v/>
      </c>
      <c r="AN207" s="2" t="str">
        <f>IF(Source!$C207&gt;=COLUMNS($A207:AN207), Source!$G207, "")</f>
        <v/>
      </c>
      <c r="AO207" s="2" t="str">
        <f>IF(Source!$C207&gt;=COLUMNS($A207:AO207), Source!$G207, "")</f>
        <v/>
      </c>
      <c r="AP207" s="2" t="str">
        <f>IF(Source!$C207&gt;=COLUMNS($A207:AP207), Source!$G207, "")</f>
        <v/>
      </c>
      <c r="AQ207" s="2" t="str">
        <f>IF(Source!$C207&gt;=COLUMNS($A207:AQ207), Source!$G207, "")</f>
        <v/>
      </c>
      <c r="AR207" s="2" t="str">
        <f>IF(Source!$C207&gt;=COLUMNS($A207:AR207), Source!$G207, "")</f>
        <v/>
      </c>
    </row>
    <row r="208">
      <c r="A208" s="2">
        <f>IF(Source!$C208&gt;=COLUMNS($A208:A208), Source!$G208, "")</f>
        <v>2</v>
      </c>
      <c r="B208" s="2">
        <f>IF(Source!$C208&gt;=COLUMNS($A208:B208), Source!$G208, "")</f>
        <v>2</v>
      </c>
      <c r="C208" s="2">
        <f>IF(Source!$C208&gt;=COLUMNS($A208:C208), Source!$G208, "")</f>
        <v>2</v>
      </c>
      <c r="D208" s="2">
        <f>IF(Source!$C208&gt;=COLUMNS($A208:D208), Source!$G208, "")</f>
        <v>2</v>
      </c>
      <c r="E208" s="2">
        <f>IF(Source!$C208&gt;=COLUMNS($A208:E208), Source!$G208, "")</f>
        <v>2</v>
      </c>
      <c r="F208" s="2">
        <f>IF(Source!$C208&gt;=COLUMNS($A208:F208), Source!$G208, "")</f>
        <v>2</v>
      </c>
      <c r="G208" s="2">
        <f>IF(Source!$C208&gt;=COLUMNS($A208:G208), Source!$G208, "")</f>
        <v>2</v>
      </c>
      <c r="H208" s="2" t="str">
        <f>IF(Source!$C208&gt;=COLUMNS($A208:H208), Source!$G208, "")</f>
        <v/>
      </c>
      <c r="I208" s="2" t="str">
        <f>IF(Source!$C208&gt;=COLUMNS($A208:I208), Source!$G208, "")</f>
        <v/>
      </c>
      <c r="J208" s="2" t="str">
        <f>IF(Source!$C208&gt;=COLUMNS($A208:J208), Source!$G208, "")</f>
        <v/>
      </c>
      <c r="K208" s="2" t="str">
        <f>IF(Source!$C208&gt;=COLUMNS($A208:K208), Source!$G208, "")</f>
        <v/>
      </c>
      <c r="L208" s="2" t="str">
        <f>IF(Source!$C208&gt;=COLUMNS($A208:L208), Source!$G208, "")</f>
        <v/>
      </c>
      <c r="M208" s="2" t="str">
        <f>IF(Source!$C208&gt;=COLUMNS($A208:M208), Source!$G208, "")</f>
        <v/>
      </c>
      <c r="N208" s="2" t="str">
        <f>IF(Source!$C208&gt;=COLUMNS($A208:N208), Source!$G208, "")</f>
        <v/>
      </c>
      <c r="O208" s="2" t="str">
        <f>IF(Source!$C208&gt;=COLUMNS($A208:O208), Source!$G208, "")</f>
        <v/>
      </c>
      <c r="P208" s="2" t="str">
        <f>IF(Source!$C208&gt;=COLUMNS($A208:P208), Source!$G208, "")</f>
        <v/>
      </c>
      <c r="Q208" s="2" t="str">
        <f>IF(Source!$C208&gt;=COLUMNS($A208:Q208), Source!$G208, "")</f>
        <v/>
      </c>
      <c r="R208" s="2" t="str">
        <f>IF(Source!$C208&gt;=COLUMNS($A208:R208), Source!$G208, "")</f>
        <v/>
      </c>
      <c r="S208" s="2" t="str">
        <f>IF(Source!$C208&gt;=COLUMNS($A208:S208), Source!$G208, "")</f>
        <v/>
      </c>
      <c r="T208" s="2" t="str">
        <f>IF(Source!$C208&gt;=COLUMNS($A208:T208), Source!$G208, "")</f>
        <v/>
      </c>
      <c r="U208" s="2" t="str">
        <f>IF(Source!$C208&gt;=COLUMNS($A208:U208), Source!$G208, "")</f>
        <v/>
      </c>
      <c r="V208" s="2" t="str">
        <f>IF(Source!$C208&gt;=COLUMNS($A208:V208), Source!$G208, "")</f>
        <v/>
      </c>
      <c r="W208" s="2" t="str">
        <f>IF(Source!$C208&gt;=COLUMNS($A208:W208), Source!$G208, "")</f>
        <v/>
      </c>
      <c r="X208" s="2" t="str">
        <f>IF(Source!$C208&gt;=COLUMNS($A208:X208), Source!$G208, "")</f>
        <v/>
      </c>
      <c r="Y208" s="2" t="str">
        <f>IF(Source!$C208&gt;=COLUMNS($A208:Y208), Source!$G208, "")</f>
        <v/>
      </c>
      <c r="Z208" s="2" t="str">
        <f>IF(Source!$C208&gt;=COLUMNS($A208:Z208), Source!$G208, "")</f>
        <v/>
      </c>
      <c r="AA208" s="2" t="str">
        <f>IF(Source!$C208&gt;=COLUMNS($A208:AA208), Source!$G208, "")</f>
        <v/>
      </c>
      <c r="AB208" s="2" t="str">
        <f>IF(Source!$C208&gt;=COLUMNS($A208:AB208), Source!$G208, "")</f>
        <v/>
      </c>
      <c r="AC208" s="2" t="str">
        <f>IF(Source!$C208&gt;=COLUMNS($A208:AC208), Source!$G208, "")</f>
        <v/>
      </c>
      <c r="AD208" s="2" t="str">
        <f>IF(Source!$C208&gt;=COLUMNS($A208:AD208), Source!$G208, "")</f>
        <v/>
      </c>
      <c r="AE208" s="2" t="str">
        <f>IF(Source!$C208&gt;=COLUMNS($A208:AE208), Source!$G208, "")</f>
        <v/>
      </c>
      <c r="AF208" s="2" t="str">
        <f>IF(Source!$C208&gt;=COLUMNS($A208:AF208), Source!$G208, "")</f>
        <v/>
      </c>
      <c r="AG208" s="2" t="str">
        <f>IF(Source!$C208&gt;=COLUMNS($A208:AG208), Source!$G208, "")</f>
        <v/>
      </c>
      <c r="AH208" s="2" t="str">
        <f>IF(Source!$C208&gt;=COLUMNS($A208:AH208), Source!$G208, "")</f>
        <v/>
      </c>
      <c r="AI208" s="2" t="str">
        <f>IF(Source!$C208&gt;=COLUMNS($A208:AI208), Source!$G208, "")</f>
        <v/>
      </c>
      <c r="AJ208" s="2" t="str">
        <f>IF(Source!$C208&gt;=COLUMNS($A208:AJ208), Source!$G208, "")</f>
        <v/>
      </c>
      <c r="AK208" s="2" t="str">
        <f>IF(Source!$C208&gt;=COLUMNS($A208:AK208), Source!$G208, "")</f>
        <v/>
      </c>
      <c r="AL208" s="2" t="str">
        <f>IF(Source!$C208&gt;=COLUMNS($A208:AL208), Source!$G208, "")</f>
        <v/>
      </c>
      <c r="AM208" s="2" t="str">
        <f>IF(Source!$C208&gt;=COLUMNS($A208:AM208), Source!$G208, "")</f>
        <v/>
      </c>
      <c r="AN208" s="2" t="str">
        <f>IF(Source!$C208&gt;=COLUMNS($A208:AN208), Source!$G208, "")</f>
        <v/>
      </c>
      <c r="AO208" s="2" t="str">
        <f>IF(Source!$C208&gt;=COLUMNS($A208:AO208), Source!$G208, "")</f>
        <v/>
      </c>
      <c r="AP208" s="2" t="str">
        <f>IF(Source!$C208&gt;=COLUMNS($A208:AP208), Source!$G208, "")</f>
        <v/>
      </c>
      <c r="AQ208" s="2" t="str">
        <f>IF(Source!$C208&gt;=COLUMNS($A208:AQ208), Source!$G208, "")</f>
        <v/>
      </c>
      <c r="AR208" s="2" t="str">
        <f>IF(Source!$C208&gt;=COLUMNS($A208:AR208), Source!$G208, "")</f>
        <v/>
      </c>
    </row>
    <row r="209">
      <c r="A209" s="2">
        <f>IF(Source!$C209&gt;=COLUMNS($A209:A209), Source!$G209, "")</f>
        <v>7</v>
      </c>
      <c r="B209" s="2" t="str">
        <f>IF(Source!$C209&gt;=COLUMNS($A209:B209), Source!$G209, "")</f>
        <v/>
      </c>
      <c r="C209" s="2" t="str">
        <f>IF(Source!$C209&gt;=COLUMNS($A209:C209), Source!$G209, "")</f>
        <v/>
      </c>
      <c r="D209" s="2" t="str">
        <f>IF(Source!$C209&gt;=COLUMNS($A209:D209), Source!$G209, "")</f>
        <v/>
      </c>
      <c r="E209" s="2" t="str">
        <f>IF(Source!$C209&gt;=COLUMNS($A209:E209), Source!$G209, "")</f>
        <v/>
      </c>
      <c r="F209" s="2" t="str">
        <f>IF(Source!$C209&gt;=COLUMNS($A209:F209), Source!$G209, "")</f>
        <v/>
      </c>
      <c r="G209" s="2" t="str">
        <f>IF(Source!$C209&gt;=COLUMNS($A209:G209), Source!$G209, "")</f>
        <v/>
      </c>
      <c r="H209" s="2" t="str">
        <f>IF(Source!$C209&gt;=COLUMNS($A209:H209), Source!$G209, "")</f>
        <v/>
      </c>
      <c r="I209" s="2" t="str">
        <f>IF(Source!$C209&gt;=COLUMNS($A209:I209), Source!$G209, "")</f>
        <v/>
      </c>
      <c r="J209" s="2" t="str">
        <f>IF(Source!$C209&gt;=COLUMNS($A209:J209), Source!$G209, "")</f>
        <v/>
      </c>
      <c r="K209" s="2" t="str">
        <f>IF(Source!$C209&gt;=COLUMNS($A209:K209), Source!$G209, "")</f>
        <v/>
      </c>
      <c r="L209" s="2" t="str">
        <f>IF(Source!$C209&gt;=COLUMNS($A209:L209), Source!$G209, "")</f>
        <v/>
      </c>
      <c r="M209" s="2" t="str">
        <f>IF(Source!$C209&gt;=COLUMNS($A209:M209), Source!$G209, "")</f>
        <v/>
      </c>
      <c r="N209" s="2" t="str">
        <f>IF(Source!$C209&gt;=COLUMNS($A209:N209), Source!$G209, "")</f>
        <v/>
      </c>
      <c r="O209" s="2" t="str">
        <f>IF(Source!$C209&gt;=COLUMNS($A209:O209), Source!$G209, "")</f>
        <v/>
      </c>
      <c r="P209" s="2" t="str">
        <f>IF(Source!$C209&gt;=COLUMNS($A209:P209), Source!$G209, "")</f>
        <v/>
      </c>
      <c r="Q209" s="2" t="str">
        <f>IF(Source!$C209&gt;=COLUMNS($A209:Q209), Source!$G209, "")</f>
        <v/>
      </c>
      <c r="R209" s="2" t="str">
        <f>IF(Source!$C209&gt;=COLUMNS($A209:R209), Source!$G209, "")</f>
        <v/>
      </c>
      <c r="S209" s="2" t="str">
        <f>IF(Source!$C209&gt;=COLUMNS($A209:S209), Source!$G209, "")</f>
        <v/>
      </c>
      <c r="T209" s="2" t="str">
        <f>IF(Source!$C209&gt;=COLUMNS($A209:T209), Source!$G209, "")</f>
        <v/>
      </c>
      <c r="U209" s="2" t="str">
        <f>IF(Source!$C209&gt;=COLUMNS($A209:U209), Source!$G209, "")</f>
        <v/>
      </c>
      <c r="V209" s="2" t="str">
        <f>IF(Source!$C209&gt;=COLUMNS($A209:V209), Source!$G209, "")</f>
        <v/>
      </c>
      <c r="W209" s="2" t="str">
        <f>IF(Source!$C209&gt;=COLUMNS($A209:W209), Source!$G209, "")</f>
        <v/>
      </c>
      <c r="X209" s="2" t="str">
        <f>IF(Source!$C209&gt;=COLUMNS($A209:X209), Source!$G209, "")</f>
        <v/>
      </c>
      <c r="Y209" s="2" t="str">
        <f>IF(Source!$C209&gt;=COLUMNS($A209:Y209), Source!$G209, "")</f>
        <v/>
      </c>
      <c r="Z209" s="2" t="str">
        <f>IF(Source!$C209&gt;=COLUMNS($A209:Z209), Source!$G209, "")</f>
        <v/>
      </c>
      <c r="AA209" s="2" t="str">
        <f>IF(Source!$C209&gt;=COLUMNS($A209:AA209), Source!$G209, "")</f>
        <v/>
      </c>
      <c r="AB209" s="2" t="str">
        <f>IF(Source!$C209&gt;=COLUMNS($A209:AB209), Source!$G209, "")</f>
        <v/>
      </c>
      <c r="AC209" s="2" t="str">
        <f>IF(Source!$C209&gt;=COLUMNS($A209:AC209), Source!$G209, "")</f>
        <v/>
      </c>
      <c r="AD209" s="2" t="str">
        <f>IF(Source!$C209&gt;=COLUMNS($A209:AD209), Source!$G209, "")</f>
        <v/>
      </c>
      <c r="AE209" s="2" t="str">
        <f>IF(Source!$C209&gt;=COLUMNS($A209:AE209), Source!$G209, "")</f>
        <v/>
      </c>
      <c r="AF209" s="2" t="str">
        <f>IF(Source!$C209&gt;=COLUMNS($A209:AF209), Source!$G209, "")</f>
        <v/>
      </c>
      <c r="AG209" s="2" t="str">
        <f>IF(Source!$C209&gt;=COLUMNS($A209:AG209), Source!$G209, "")</f>
        <v/>
      </c>
      <c r="AH209" s="2" t="str">
        <f>IF(Source!$C209&gt;=COLUMNS($A209:AH209), Source!$G209, "")</f>
        <v/>
      </c>
      <c r="AI209" s="2" t="str">
        <f>IF(Source!$C209&gt;=COLUMNS($A209:AI209), Source!$G209, "")</f>
        <v/>
      </c>
      <c r="AJ209" s="2" t="str">
        <f>IF(Source!$C209&gt;=COLUMNS($A209:AJ209), Source!$G209, "")</f>
        <v/>
      </c>
      <c r="AK209" s="2" t="str">
        <f>IF(Source!$C209&gt;=COLUMNS($A209:AK209), Source!$G209, "")</f>
        <v/>
      </c>
      <c r="AL209" s="2" t="str">
        <f>IF(Source!$C209&gt;=COLUMNS($A209:AL209), Source!$G209, "")</f>
        <v/>
      </c>
      <c r="AM209" s="2" t="str">
        <f>IF(Source!$C209&gt;=COLUMNS($A209:AM209), Source!$G209, "")</f>
        <v/>
      </c>
      <c r="AN209" s="2" t="str">
        <f>IF(Source!$C209&gt;=COLUMNS($A209:AN209), Source!$G209, "")</f>
        <v/>
      </c>
      <c r="AO209" s="2" t="str">
        <f>IF(Source!$C209&gt;=COLUMNS($A209:AO209), Source!$G209, "")</f>
        <v/>
      </c>
      <c r="AP209" s="2" t="str">
        <f>IF(Source!$C209&gt;=COLUMNS($A209:AP209), Source!$G209, "")</f>
        <v/>
      </c>
      <c r="AQ209" s="2" t="str">
        <f>IF(Source!$C209&gt;=COLUMNS($A209:AQ209), Source!$G209, "")</f>
        <v/>
      </c>
      <c r="AR209" s="2" t="str">
        <f>IF(Source!$C209&gt;=COLUMNS($A209:AR209), Source!$G209, "")</f>
        <v/>
      </c>
    </row>
    <row r="210">
      <c r="A210" s="2">
        <f>IF(Source!$C210&gt;=COLUMNS($A210:A210), Source!$G210, "")</f>
        <v>9</v>
      </c>
      <c r="B210" s="2">
        <f>IF(Source!$C210&gt;=COLUMNS($A210:B210), Source!$G210, "")</f>
        <v>9</v>
      </c>
      <c r="C210" s="2">
        <f>IF(Source!$C210&gt;=COLUMNS($A210:C210), Source!$G210, "")</f>
        <v>9</v>
      </c>
      <c r="D210" s="2">
        <f>IF(Source!$C210&gt;=COLUMNS($A210:D210), Source!$G210, "")</f>
        <v>9</v>
      </c>
      <c r="E210" s="2">
        <f>IF(Source!$C210&gt;=COLUMNS($A210:E210), Source!$G210, "")</f>
        <v>9</v>
      </c>
      <c r="F210" s="2">
        <f>IF(Source!$C210&gt;=COLUMNS($A210:F210), Source!$G210, "")</f>
        <v>9</v>
      </c>
      <c r="G210" s="2">
        <f>IF(Source!$C210&gt;=COLUMNS($A210:G210), Source!$G210, "")</f>
        <v>9</v>
      </c>
      <c r="H210" s="2">
        <f>IF(Source!$C210&gt;=COLUMNS($A210:H210), Source!$G210, "")</f>
        <v>9</v>
      </c>
      <c r="I210" s="2">
        <f>IF(Source!$C210&gt;=COLUMNS($A210:I210), Source!$G210, "")</f>
        <v>9</v>
      </c>
      <c r="J210" s="2">
        <f>IF(Source!$C210&gt;=COLUMNS($A210:J210), Source!$G210, "")</f>
        <v>9</v>
      </c>
      <c r="K210" s="2">
        <f>IF(Source!$C210&gt;=COLUMNS($A210:K210), Source!$G210, "")</f>
        <v>9</v>
      </c>
      <c r="L210" s="2">
        <f>IF(Source!$C210&gt;=COLUMNS($A210:L210), Source!$G210, "")</f>
        <v>9</v>
      </c>
      <c r="M210" s="2">
        <f>IF(Source!$C210&gt;=COLUMNS($A210:M210), Source!$G210, "")</f>
        <v>9</v>
      </c>
      <c r="N210" s="2">
        <f>IF(Source!$C210&gt;=COLUMNS($A210:N210), Source!$G210, "")</f>
        <v>9</v>
      </c>
      <c r="O210" s="2">
        <f>IF(Source!$C210&gt;=COLUMNS($A210:O210), Source!$G210, "")</f>
        <v>9</v>
      </c>
      <c r="P210" s="2">
        <f>IF(Source!$C210&gt;=COLUMNS($A210:P210), Source!$G210, "")</f>
        <v>9</v>
      </c>
      <c r="Q210" s="2">
        <f>IF(Source!$C210&gt;=COLUMNS($A210:Q210), Source!$G210, "")</f>
        <v>9</v>
      </c>
      <c r="R210" s="2">
        <f>IF(Source!$C210&gt;=COLUMNS($A210:R210), Source!$G210, "")</f>
        <v>9</v>
      </c>
      <c r="S210" s="2" t="str">
        <f>IF(Source!$C210&gt;=COLUMNS($A210:S210), Source!$G210, "")</f>
        <v/>
      </c>
      <c r="T210" s="2" t="str">
        <f>IF(Source!$C210&gt;=COLUMNS($A210:T210), Source!$G210, "")</f>
        <v/>
      </c>
      <c r="U210" s="2" t="str">
        <f>IF(Source!$C210&gt;=COLUMNS($A210:U210), Source!$G210, "")</f>
        <v/>
      </c>
      <c r="V210" s="2" t="str">
        <f>IF(Source!$C210&gt;=COLUMNS($A210:V210), Source!$G210, "")</f>
        <v/>
      </c>
      <c r="W210" s="2" t="str">
        <f>IF(Source!$C210&gt;=COLUMNS($A210:W210), Source!$G210, "")</f>
        <v/>
      </c>
      <c r="X210" s="2" t="str">
        <f>IF(Source!$C210&gt;=COLUMNS($A210:X210), Source!$G210, "")</f>
        <v/>
      </c>
      <c r="Y210" s="2" t="str">
        <f>IF(Source!$C210&gt;=COLUMNS($A210:Y210), Source!$G210, "")</f>
        <v/>
      </c>
      <c r="Z210" s="2" t="str">
        <f>IF(Source!$C210&gt;=COLUMNS($A210:Z210), Source!$G210, "")</f>
        <v/>
      </c>
      <c r="AA210" s="2" t="str">
        <f>IF(Source!$C210&gt;=COLUMNS($A210:AA210), Source!$G210, "")</f>
        <v/>
      </c>
      <c r="AB210" s="2" t="str">
        <f>IF(Source!$C210&gt;=COLUMNS($A210:AB210), Source!$G210, "")</f>
        <v/>
      </c>
      <c r="AC210" s="2" t="str">
        <f>IF(Source!$C210&gt;=COLUMNS($A210:AC210), Source!$G210, "")</f>
        <v/>
      </c>
      <c r="AD210" s="2" t="str">
        <f>IF(Source!$C210&gt;=COLUMNS($A210:AD210), Source!$G210, "")</f>
        <v/>
      </c>
      <c r="AE210" s="2" t="str">
        <f>IF(Source!$C210&gt;=COLUMNS($A210:AE210), Source!$G210, "")</f>
        <v/>
      </c>
      <c r="AF210" s="2" t="str">
        <f>IF(Source!$C210&gt;=COLUMNS($A210:AF210), Source!$G210, "")</f>
        <v/>
      </c>
      <c r="AG210" s="2" t="str">
        <f>IF(Source!$C210&gt;=COLUMNS($A210:AG210), Source!$G210, "")</f>
        <v/>
      </c>
      <c r="AH210" s="2" t="str">
        <f>IF(Source!$C210&gt;=COLUMNS($A210:AH210), Source!$G210, "")</f>
        <v/>
      </c>
      <c r="AI210" s="2" t="str">
        <f>IF(Source!$C210&gt;=COLUMNS($A210:AI210), Source!$G210, "")</f>
        <v/>
      </c>
      <c r="AJ210" s="2" t="str">
        <f>IF(Source!$C210&gt;=COLUMNS($A210:AJ210), Source!$G210, "")</f>
        <v/>
      </c>
      <c r="AK210" s="2" t="str">
        <f>IF(Source!$C210&gt;=COLUMNS($A210:AK210), Source!$G210, "")</f>
        <v/>
      </c>
      <c r="AL210" s="2" t="str">
        <f>IF(Source!$C210&gt;=COLUMNS($A210:AL210), Source!$G210, "")</f>
        <v/>
      </c>
      <c r="AM210" s="2" t="str">
        <f>IF(Source!$C210&gt;=COLUMNS($A210:AM210), Source!$G210, "")</f>
        <v/>
      </c>
      <c r="AN210" s="2" t="str">
        <f>IF(Source!$C210&gt;=COLUMNS($A210:AN210), Source!$G210, "")</f>
        <v/>
      </c>
      <c r="AO210" s="2" t="str">
        <f>IF(Source!$C210&gt;=COLUMNS($A210:AO210), Source!$G210, "")</f>
        <v/>
      </c>
      <c r="AP210" s="2" t="str">
        <f>IF(Source!$C210&gt;=COLUMNS($A210:AP210), Source!$G210, "")</f>
        <v/>
      </c>
      <c r="AQ210" s="2" t="str">
        <f>IF(Source!$C210&gt;=COLUMNS($A210:AQ210), Source!$G210, "")</f>
        <v/>
      </c>
      <c r="AR210" s="2" t="str">
        <f>IF(Source!$C210&gt;=COLUMNS($A210:AR210), Source!$G210, "")</f>
        <v/>
      </c>
    </row>
    <row r="211">
      <c r="A211" s="2">
        <f>IF(Source!$C211&gt;=COLUMNS($A211:A211), Source!$G211, "")</f>
        <v>2</v>
      </c>
      <c r="B211" s="2" t="str">
        <f>IF(Source!$C211&gt;=COLUMNS($A211:B211), Source!$G211, "")</f>
        <v/>
      </c>
      <c r="C211" s="2" t="str">
        <f>IF(Source!$C211&gt;=COLUMNS($A211:C211), Source!$G211, "")</f>
        <v/>
      </c>
      <c r="D211" s="2" t="str">
        <f>IF(Source!$C211&gt;=COLUMNS($A211:D211), Source!$G211, "")</f>
        <v/>
      </c>
      <c r="E211" s="2" t="str">
        <f>IF(Source!$C211&gt;=COLUMNS($A211:E211), Source!$G211, "")</f>
        <v/>
      </c>
      <c r="F211" s="2" t="str">
        <f>IF(Source!$C211&gt;=COLUMNS($A211:F211), Source!$G211, "")</f>
        <v/>
      </c>
      <c r="G211" s="2" t="str">
        <f>IF(Source!$C211&gt;=COLUMNS($A211:G211), Source!$G211, "")</f>
        <v/>
      </c>
      <c r="H211" s="2" t="str">
        <f>IF(Source!$C211&gt;=COLUMNS($A211:H211), Source!$G211, "")</f>
        <v/>
      </c>
      <c r="I211" s="2" t="str">
        <f>IF(Source!$C211&gt;=COLUMNS($A211:I211), Source!$G211, "")</f>
        <v/>
      </c>
      <c r="J211" s="2" t="str">
        <f>IF(Source!$C211&gt;=COLUMNS($A211:J211), Source!$G211, "")</f>
        <v/>
      </c>
      <c r="K211" s="2" t="str">
        <f>IF(Source!$C211&gt;=COLUMNS($A211:K211), Source!$G211, "")</f>
        <v/>
      </c>
      <c r="L211" s="2" t="str">
        <f>IF(Source!$C211&gt;=COLUMNS($A211:L211), Source!$G211, "")</f>
        <v/>
      </c>
      <c r="M211" s="2" t="str">
        <f>IF(Source!$C211&gt;=COLUMNS($A211:M211), Source!$G211, "")</f>
        <v/>
      </c>
      <c r="N211" s="2" t="str">
        <f>IF(Source!$C211&gt;=COLUMNS($A211:N211), Source!$G211, "")</f>
        <v/>
      </c>
      <c r="O211" s="2" t="str">
        <f>IF(Source!$C211&gt;=COLUMNS($A211:O211), Source!$G211, "")</f>
        <v/>
      </c>
      <c r="P211" s="2" t="str">
        <f>IF(Source!$C211&gt;=COLUMNS($A211:P211), Source!$G211, "")</f>
        <v/>
      </c>
      <c r="Q211" s="2" t="str">
        <f>IF(Source!$C211&gt;=COLUMNS($A211:Q211), Source!$G211, "")</f>
        <v/>
      </c>
      <c r="R211" s="2" t="str">
        <f>IF(Source!$C211&gt;=COLUMNS($A211:R211), Source!$G211, "")</f>
        <v/>
      </c>
      <c r="S211" s="2" t="str">
        <f>IF(Source!$C211&gt;=COLUMNS($A211:S211), Source!$G211, "")</f>
        <v/>
      </c>
      <c r="T211" s="2" t="str">
        <f>IF(Source!$C211&gt;=COLUMNS($A211:T211), Source!$G211, "")</f>
        <v/>
      </c>
      <c r="U211" s="2" t="str">
        <f>IF(Source!$C211&gt;=COLUMNS($A211:U211), Source!$G211, "")</f>
        <v/>
      </c>
      <c r="V211" s="2" t="str">
        <f>IF(Source!$C211&gt;=COLUMNS($A211:V211), Source!$G211, "")</f>
        <v/>
      </c>
      <c r="W211" s="2" t="str">
        <f>IF(Source!$C211&gt;=COLUMNS($A211:W211), Source!$G211, "")</f>
        <v/>
      </c>
      <c r="X211" s="2" t="str">
        <f>IF(Source!$C211&gt;=COLUMNS($A211:X211), Source!$G211, "")</f>
        <v/>
      </c>
      <c r="Y211" s="2" t="str">
        <f>IF(Source!$C211&gt;=COLUMNS($A211:Y211), Source!$G211, "")</f>
        <v/>
      </c>
      <c r="Z211" s="2" t="str">
        <f>IF(Source!$C211&gt;=COLUMNS($A211:Z211), Source!$G211, "")</f>
        <v/>
      </c>
      <c r="AA211" s="2" t="str">
        <f>IF(Source!$C211&gt;=COLUMNS($A211:AA211), Source!$G211, "")</f>
        <v/>
      </c>
      <c r="AB211" s="2" t="str">
        <f>IF(Source!$C211&gt;=COLUMNS($A211:AB211), Source!$G211, "")</f>
        <v/>
      </c>
      <c r="AC211" s="2" t="str">
        <f>IF(Source!$C211&gt;=COLUMNS($A211:AC211), Source!$G211, "")</f>
        <v/>
      </c>
      <c r="AD211" s="2" t="str">
        <f>IF(Source!$C211&gt;=COLUMNS($A211:AD211), Source!$G211, "")</f>
        <v/>
      </c>
      <c r="AE211" s="2" t="str">
        <f>IF(Source!$C211&gt;=COLUMNS($A211:AE211), Source!$G211, "")</f>
        <v/>
      </c>
      <c r="AF211" s="2" t="str">
        <f>IF(Source!$C211&gt;=COLUMNS($A211:AF211), Source!$G211, "")</f>
        <v/>
      </c>
      <c r="AG211" s="2" t="str">
        <f>IF(Source!$C211&gt;=COLUMNS($A211:AG211), Source!$G211, "")</f>
        <v/>
      </c>
      <c r="AH211" s="2" t="str">
        <f>IF(Source!$C211&gt;=COLUMNS($A211:AH211), Source!$G211, "")</f>
        <v/>
      </c>
      <c r="AI211" s="2" t="str">
        <f>IF(Source!$C211&gt;=COLUMNS($A211:AI211), Source!$G211, "")</f>
        <v/>
      </c>
      <c r="AJ211" s="2" t="str">
        <f>IF(Source!$C211&gt;=COLUMNS($A211:AJ211), Source!$G211, "")</f>
        <v/>
      </c>
      <c r="AK211" s="2" t="str">
        <f>IF(Source!$C211&gt;=COLUMNS($A211:AK211), Source!$G211, "")</f>
        <v/>
      </c>
      <c r="AL211" s="2" t="str">
        <f>IF(Source!$C211&gt;=COLUMNS($A211:AL211), Source!$G211, "")</f>
        <v/>
      </c>
      <c r="AM211" s="2" t="str">
        <f>IF(Source!$C211&gt;=COLUMNS($A211:AM211), Source!$G211, "")</f>
        <v/>
      </c>
      <c r="AN211" s="2" t="str">
        <f>IF(Source!$C211&gt;=COLUMNS($A211:AN211), Source!$G211, "")</f>
        <v/>
      </c>
      <c r="AO211" s="2" t="str">
        <f>IF(Source!$C211&gt;=COLUMNS($A211:AO211), Source!$G211, "")</f>
        <v/>
      </c>
      <c r="AP211" s="2" t="str">
        <f>IF(Source!$C211&gt;=COLUMNS($A211:AP211), Source!$G211, "")</f>
        <v/>
      </c>
      <c r="AQ211" s="2" t="str">
        <f>IF(Source!$C211&gt;=COLUMNS($A211:AQ211), Source!$G211, "")</f>
        <v/>
      </c>
      <c r="AR211" s="2" t="str">
        <f>IF(Source!$C211&gt;=COLUMNS($A211:AR211), Source!$G211, "")</f>
        <v/>
      </c>
    </row>
    <row r="212">
      <c r="A212" s="2">
        <f>IF(Source!$C212&gt;=COLUMNS($A212:A212), Source!$G212, "")</f>
        <v>1</v>
      </c>
      <c r="B212" s="2">
        <f>IF(Source!$C212&gt;=COLUMNS($A212:B212), Source!$G212, "")</f>
        <v>1</v>
      </c>
      <c r="C212" s="2" t="str">
        <f>IF(Source!$C212&gt;=COLUMNS($A212:C212), Source!$G212, "")</f>
        <v/>
      </c>
      <c r="D212" s="2" t="str">
        <f>IF(Source!$C212&gt;=COLUMNS($A212:D212), Source!$G212, "")</f>
        <v/>
      </c>
      <c r="E212" s="2" t="str">
        <f>IF(Source!$C212&gt;=COLUMNS($A212:E212), Source!$G212, "")</f>
        <v/>
      </c>
      <c r="F212" s="2" t="str">
        <f>IF(Source!$C212&gt;=COLUMNS($A212:F212), Source!$G212, "")</f>
        <v/>
      </c>
      <c r="G212" s="2" t="str">
        <f>IF(Source!$C212&gt;=COLUMNS($A212:G212), Source!$G212, "")</f>
        <v/>
      </c>
      <c r="H212" s="2" t="str">
        <f>IF(Source!$C212&gt;=COLUMNS($A212:H212), Source!$G212, "")</f>
        <v/>
      </c>
      <c r="I212" s="2" t="str">
        <f>IF(Source!$C212&gt;=COLUMNS($A212:I212), Source!$G212, "")</f>
        <v/>
      </c>
      <c r="J212" s="2" t="str">
        <f>IF(Source!$C212&gt;=COLUMNS($A212:J212), Source!$G212, "")</f>
        <v/>
      </c>
      <c r="K212" s="2" t="str">
        <f>IF(Source!$C212&gt;=COLUMNS($A212:K212), Source!$G212, "")</f>
        <v/>
      </c>
      <c r="L212" s="2" t="str">
        <f>IF(Source!$C212&gt;=COLUMNS($A212:L212), Source!$G212, "")</f>
        <v/>
      </c>
      <c r="M212" s="2" t="str">
        <f>IF(Source!$C212&gt;=COLUMNS($A212:M212), Source!$G212, "")</f>
        <v/>
      </c>
      <c r="N212" s="2" t="str">
        <f>IF(Source!$C212&gt;=COLUMNS($A212:N212), Source!$G212, "")</f>
        <v/>
      </c>
      <c r="O212" s="2" t="str">
        <f>IF(Source!$C212&gt;=COLUMNS($A212:O212), Source!$G212, "")</f>
        <v/>
      </c>
      <c r="P212" s="2" t="str">
        <f>IF(Source!$C212&gt;=COLUMNS($A212:P212), Source!$G212, "")</f>
        <v/>
      </c>
      <c r="Q212" s="2" t="str">
        <f>IF(Source!$C212&gt;=COLUMNS($A212:Q212), Source!$G212, "")</f>
        <v/>
      </c>
      <c r="R212" s="2" t="str">
        <f>IF(Source!$C212&gt;=COLUMNS($A212:R212), Source!$G212, "")</f>
        <v/>
      </c>
      <c r="S212" s="2" t="str">
        <f>IF(Source!$C212&gt;=COLUMNS($A212:S212), Source!$G212, "")</f>
        <v/>
      </c>
      <c r="T212" s="2" t="str">
        <f>IF(Source!$C212&gt;=COLUMNS($A212:T212), Source!$G212, "")</f>
        <v/>
      </c>
      <c r="U212" s="2" t="str">
        <f>IF(Source!$C212&gt;=COLUMNS($A212:U212), Source!$G212, "")</f>
        <v/>
      </c>
      <c r="V212" s="2" t="str">
        <f>IF(Source!$C212&gt;=COLUMNS($A212:V212), Source!$G212, "")</f>
        <v/>
      </c>
      <c r="W212" s="2" t="str">
        <f>IF(Source!$C212&gt;=COLUMNS($A212:W212), Source!$G212, "")</f>
        <v/>
      </c>
      <c r="X212" s="2" t="str">
        <f>IF(Source!$C212&gt;=COLUMNS($A212:X212), Source!$G212, "")</f>
        <v/>
      </c>
      <c r="Y212" s="2" t="str">
        <f>IF(Source!$C212&gt;=COLUMNS($A212:Y212), Source!$G212, "")</f>
        <v/>
      </c>
      <c r="Z212" s="2" t="str">
        <f>IF(Source!$C212&gt;=COLUMNS($A212:Z212), Source!$G212, "")</f>
        <v/>
      </c>
      <c r="AA212" s="2" t="str">
        <f>IF(Source!$C212&gt;=COLUMNS($A212:AA212), Source!$G212, "")</f>
        <v/>
      </c>
      <c r="AB212" s="2" t="str">
        <f>IF(Source!$C212&gt;=COLUMNS($A212:AB212), Source!$G212, "")</f>
        <v/>
      </c>
      <c r="AC212" s="2" t="str">
        <f>IF(Source!$C212&gt;=COLUMNS($A212:AC212), Source!$G212, "")</f>
        <v/>
      </c>
      <c r="AD212" s="2" t="str">
        <f>IF(Source!$C212&gt;=COLUMNS($A212:AD212), Source!$G212, "")</f>
        <v/>
      </c>
      <c r="AE212" s="2" t="str">
        <f>IF(Source!$C212&gt;=COLUMNS($A212:AE212), Source!$G212, "")</f>
        <v/>
      </c>
      <c r="AF212" s="2" t="str">
        <f>IF(Source!$C212&gt;=COLUMNS($A212:AF212), Source!$G212, "")</f>
        <v/>
      </c>
      <c r="AG212" s="2" t="str">
        <f>IF(Source!$C212&gt;=COLUMNS($A212:AG212), Source!$G212, "")</f>
        <v/>
      </c>
      <c r="AH212" s="2" t="str">
        <f>IF(Source!$C212&gt;=COLUMNS($A212:AH212), Source!$G212, "")</f>
        <v/>
      </c>
      <c r="AI212" s="2" t="str">
        <f>IF(Source!$C212&gt;=COLUMNS($A212:AI212), Source!$G212, "")</f>
        <v/>
      </c>
      <c r="AJ212" s="2" t="str">
        <f>IF(Source!$C212&gt;=COLUMNS($A212:AJ212), Source!$G212, "")</f>
        <v/>
      </c>
      <c r="AK212" s="2" t="str">
        <f>IF(Source!$C212&gt;=COLUMNS($A212:AK212), Source!$G212, "")</f>
        <v/>
      </c>
      <c r="AL212" s="2" t="str">
        <f>IF(Source!$C212&gt;=COLUMNS($A212:AL212), Source!$G212, "")</f>
        <v/>
      </c>
      <c r="AM212" s="2" t="str">
        <f>IF(Source!$C212&gt;=COLUMNS($A212:AM212), Source!$G212, "")</f>
        <v/>
      </c>
      <c r="AN212" s="2" t="str">
        <f>IF(Source!$C212&gt;=COLUMNS($A212:AN212), Source!$G212, "")</f>
        <v/>
      </c>
      <c r="AO212" s="2" t="str">
        <f>IF(Source!$C212&gt;=COLUMNS($A212:AO212), Source!$G212, "")</f>
        <v/>
      </c>
      <c r="AP212" s="2" t="str">
        <f>IF(Source!$C212&gt;=COLUMNS($A212:AP212), Source!$G212, "")</f>
        <v/>
      </c>
      <c r="AQ212" s="2" t="str">
        <f>IF(Source!$C212&gt;=COLUMNS($A212:AQ212), Source!$G212, "")</f>
        <v/>
      </c>
      <c r="AR212" s="2" t="str">
        <f>IF(Source!$C212&gt;=COLUMNS($A212:AR212), Source!$G212, "")</f>
        <v/>
      </c>
    </row>
    <row r="213">
      <c r="A213" s="2">
        <f>IF(Source!$C213&gt;=COLUMNS($A213:A213), Source!$G213, "")</f>
        <v>2</v>
      </c>
      <c r="B213" s="2" t="str">
        <f>IF(Source!$C213&gt;=COLUMNS($A213:B213), Source!$G213, "")</f>
        <v/>
      </c>
      <c r="C213" s="2" t="str">
        <f>IF(Source!$C213&gt;=COLUMNS($A213:C213), Source!$G213, "")</f>
        <v/>
      </c>
      <c r="D213" s="2" t="str">
        <f>IF(Source!$C213&gt;=COLUMNS($A213:D213), Source!$G213, "")</f>
        <v/>
      </c>
      <c r="E213" s="2" t="str">
        <f>IF(Source!$C213&gt;=COLUMNS($A213:E213), Source!$G213, "")</f>
        <v/>
      </c>
      <c r="F213" s="2" t="str">
        <f>IF(Source!$C213&gt;=COLUMNS($A213:F213), Source!$G213, "")</f>
        <v/>
      </c>
      <c r="G213" s="2" t="str">
        <f>IF(Source!$C213&gt;=COLUMNS($A213:G213), Source!$G213, "")</f>
        <v/>
      </c>
      <c r="H213" s="2" t="str">
        <f>IF(Source!$C213&gt;=COLUMNS($A213:H213), Source!$G213, "")</f>
        <v/>
      </c>
      <c r="I213" s="2" t="str">
        <f>IF(Source!$C213&gt;=COLUMNS($A213:I213), Source!$G213, "")</f>
        <v/>
      </c>
      <c r="J213" s="2" t="str">
        <f>IF(Source!$C213&gt;=COLUMNS($A213:J213), Source!$G213, "")</f>
        <v/>
      </c>
      <c r="K213" s="2" t="str">
        <f>IF(Source!$C213&gt;=COLUMNS($A213:K213), Source!$G213, "")</f>
        <v/>
      </c>
      <c r="L213" s="2" t="str">
        <f>IF(Source!$C213&gt;=COLUMNS($A213:L213), Source!$G213, "")</f>
        <v/>
      </c>
      <c r="M213" s="2" t="str">
        <f>IF(Source!$C213&gt;=COLUMNS($A213:M213), Source!$G213, "")</f>
        <v/>
      </c>
      <c r="N213" s="2" t="str">
        <f>IF(Source!$C213&gt;=COLUMNS($A213:N213), Source!$G213, "")</f>
        <v/>
      </c>
      <c r="O213" s="2" t="str">
        <f>IF(Source!$C213&gt;=COLUMNS($A213:O213), Source!$G213, "")</f>
        <v/>
      </c>
      <c r="P213" s="2" t="str">
        <f>IF(Source!$C213&gt;=COLUMNS($A213:P213), Source!$G213, "")</f>
        <v/>
      </c>
      <c r="Q213" s="2" t="str">
        <f>IF(Source!$C213&gt;=COLUMNS($A213:Q213), Source!$G213, "")</f>
        <v/>
      </c>
      <c r="R213" s="2" t="str">
        <f>IF(Source!$C213&gt;=COLUMNS($A213:R213), Source!$G213, "")</f>
        <v/>
      </c>
      <c r="S213" s="2" t="str">
        <f>IF(Source!$C213&gt;=COLUMNS($A213:S213), Source!$G213, "")</f>
        <v/>
      </c>
      <c r="T213" s="2" t="str">
        <f>IF(Source!$C213&gt;=COLUMNS($A213:T213), Source!$G213, "")</f>
        <v/>
      </c>
      <c r="U213" s="2" t="str">
        <f>IF(Source!$C213&gt;=COLUMNS($A213:U213), Source!$G213, "")</f>
        <v/>
      </c>
      <c r="V213" s="2" t="str">
        <f>IF(Source!$C213&gt;=COLUMNS($A213:V213), Source!$G213, "")</f>
        <v/>
      </c>
      <c r="W213" s="2" t="str">
        <f>IF(Source!$C213&gt;=COLUMNS($A213:W213), Source!$G213, "")</f>
        <v/>
      </c>
      <c r="X213" s="2" t="str">
        <f>IF(Source!$C213&gt;=COLUMNS($A213:X213), Source!$G213, "")</f>
        <v/>
      </c>
      <c r="Y213" s="2" t="str">
        <f>IF(Source!$C213&gt;=COLUMNS($A213:Y213), Source!$G213, "")</f>
        <v/>
      </c>
      <c r="Z213" s="2" t="str">
        <f>IF(Source!$C213&gt;=COLUMNS($A213:Z213), Source!$G213, "")</f>
        <v/>
      </c>
      <c r="AA213" s="2" t="str">
        <f>IF(Source!$C213&gt;=COLUMNS($A213:AA213), Source!$G213, "")</f>
        <v/>
      </c>
      <c r="AB213" s="2" t="str">
        <f>IF(Source!$C213&gt;=COLUMNS($A213:AB213), Source!$G213, "")</f>
        <v/>
      </c>
      <c r="AC213" s="2" t="str">
        <f>IF(Source!$C213&gt;=COLUMNS($A213:AC213), Source!$G213, "")</f>
        <v/>
      </c>
      <c r="AD213" s="2" t="str">
        <f>IF(Source!$C213&gt;=COLUMNS($A213:AD213), Source!$G213, "")</f>
        <v/>
      </c>
      <c r="AE213" s="2" t="str">
        <f>IF(Source!$C213&gt;=COLUMNS($A213:AE213), Source!$G213, "")</f>
        <v/>
      </c>
      <c r="AF213" s="2" t="str">
        <f>IF(Source!$C213&gt;=COLUMNS($A213:AF213), Source!$G213, "")</f>
        <v/>
      </c>
      <c r="AG213" s="2" t="str">
        <f>IF(Source!$C213&gt;=COLUMNS($A213:AG213), Source!$G213, "")</f>
        <v/>
      </c>
      <c r="AH213" s="2" t="str">
        <f>IF(Source!$C213&gt;=COLUMNS($A213:AH213), Source!$G213, "")</f>
        <v/>
      </c>
      <c r="AI213" s="2" t="str">
        <f>IF(Source!$C213&gt;=COLUMNS($A213:AI213), Source!$G213, "")</f>
        <v/>
      </c>
      <c r="AJ213" s="2" t="str">
        <f>IF(Source!$C213&gt;=COLUMNS($A213:AJ213), Source!$G213, "")</f>
        <v/>
      </c>
      <c r="AK213" s="2" t="str">
        <f>IF(Source!$C213&gt;=COLUMNS($A213:AK213), Source!$G213, "")</f>
        <v/>
      </c>
      <c r="AL213" s="2" t="str">
        <f>IF(Source!$C213&gt;=COLUMNS($A213:AL213), Source!$G213, "")</f>
        <v/>
      </c>
      <c r="AM213" s="2" t="str">
        <f>IF(Source!$C213&gt;=COLUMNS($A213:AM213), Source!$G213, "")</f>
        <v/>
      </c>
      <c r="AN213" s="2" t="str">
        <f>IF(Source!$C213&gt;=COLUMNS($A213:AN213), Source!$G213, "")</f>
        <v/>
      </c>
      <c r="AO213" s="2" t="str">
        <f>IF(Source!$C213&gt;=COLUMNS($A213:AO213), Source!$G213, "")</f>
        <v/>
      </c>
      <c r="AP213" s="2" t="str">
        <f>IF(Source!$C213&gt;=COLUMNS($A213:AP213), Source!$G213, "")</f>
        <v/>
      </c>
      <c r="AQ213" s="2" t="str">
        <f>IF(Source!$C213&gt;=COLUMNS($A213:AQ213), Source!$G213, "")</f>
        <v/>
      </c>
      <c r="AR213" s="2" t="str">
        <f>IF(Source!$C213&gt;=COLUMNS($A213:AR213), Source!$G213, "")</f>
        <v/>
      </c>
    </row>
    <row r="214">
      <c r="A214" s="2">
        <f>IF(Source!$C214&gt;=COLUMNS($A214:A214), Source!$G214, "")</f>
        <v>7</v>
      </c>
      <c r="B214" s="2">
        <f>IF(Source!$C214&gt;=COLUMNS($A214:B214), Source!$G214, "")</f>
        <v>7</v>
      </c>
      <c r="C214" s="2">
        <f>IF(Source!$C214&gt;=COLUMNS($A214:C214), Source!$G214, "")</f>
        <v>7</v>
      </c>
      <c r="D214" s="2">
        <f>IF(Source!$C214&gt;=COLUMNS($A214:D214), Source!$G214, "")</f>
        <v>7</v>
      </c>
      <c r="E214" s="2" t="str">
        <f>IF(Source!$C214&gt;=COLUMNS($A214:E214), Source!$G214, "")</f>
        <v/>
      </c>
      <c r="F214" s="2" t="str">
        <f>IF(Source!$C214&gt;=COLUMNS($A214:F214), Source!$G214, "")</f>
        <v/>
      </c>
      <c r="G214" s="2" t="str">
        <f>IF(Source!$C214&gt;=COLUMNS($A214:G214), Source!$G214, "")</f>
        <v/>
      </c>
      <c r="H214" s="2" t="str">
        <f>IF(Source!$C214&gt;=COLUMNS($A214:H214), Source!$G214, "")</f>
        <v/>
      </c>
      <c r="I214" s="2" t="str">
        <f>IF(Source!$C214&gt;=COLUMNS($A214:I214), Source!$G214, "")</f>
        <v/>
      </c>
      <c r="J214" s="2" t="str">
        <f>IF(Source!$C214&gt;=COLUMNS($A214:J214), Source!$G214, "")</f>
        <v/>
      </c>
      <c r="K214" s="2" t="str">
        <f>IF(Source!$C214&gt;=COLUMNS($A214:K214), Source!$G214, "")</f>
        <v/>
      </c>
      <c r="L214" s="2" t="str">
        <f>IF(Source!$C214&gt;=COLUMNS($A214:L214), Source!$G214, "")</f>
        <v/>
      </c>
      <c r="M214" s="2" t="str">
        <f>IF(Source!$C214&gt;=COLUMNS($A214:M214), Source!$G214, "")</f>
        <v/>
      </c>
      <c r="N214" s="2" t="str">
        <f>IF(Source!$C214&gt;=COLUMNS($A214:N214), Source!$G214, "")</f>
        <v/>
      </c>
      <c r="O214" s="2" t="str">
        <f>IF(Source!$C214&gt;=COLUMNS($A214:O214), Source!$G214, "")</f>
        <v/>
      </c>
      <c r="P214" s="2" t="str">
        <f>IF(Source!$C214&gt;=COLUMNS($A214:P214), Source!$G214, "")</f>
        <v/>
      </c>
      <c r="Q214" s="2" t="str">
        <f>IF(Source!$C214&gt;=COLUMNS($A214:Q214), Source!$G214, "")</f>
        <v/>
      </c>
      <c r="R214" s="2" t="str">
        <f>IF(Source!$C214&gt;=COLUMNS($A214:R214), Source!$G214, "")</f>
        <v/>
      </c>
      <c r="S214" s="2" t="str">
        <f>IF(Source!$C214&gt;=COLUMNS($A214:S214), Source!$G214, "")</f>
        <v/>
      </c>
      <c r="T214" s="2" t="str">
        <f>IF(Source!$C214&gt;=COLUMNS($A214:T214), Source!$G214, "")</f>
        <v/>
      </c>
      <c r="U214" s="2" t="str">
        <f>IF(Source!$C214&gt;=COLUMNS($A214:U214), Source!$G214, "")</f>
        <v/>
      </c>
      <c r="V214" s="2" t="str">
        <f>IF(Source!$C214&gt;=COLUMNS($A214:V214), Source!$G214, "")</f>
        <v/>
      </c>
      <c r="W214" s="2" t="str">
        <f>IF(Source!$C214&gt;=COLUMNS($A214:W214), Source!$G214, "")</f>
        <v/>
      </c>
      <c r="X214" s="2" t="str">
        <f>IF(Source!$C214&gt;=COLUMNS($A214:X214), Source!$G214, "")</f>
        <v/>
      </c>
      <c r="Y214" s="2" t="str">
        <f>IF(Source!$C214&gt;=COLUMNS($A214:Y214), Source!$G214, "")</f>
        <v/>
      </c>
      <c r="Z214" s="2" t="str">
        <f>IF(Source!$C214&gt;=COLUMNS($A214:Z214), Source!$G214, "")</f>
        <v/>
      </c>
      <c r="AA214" s="2" t="str">
        <f>IF(Source!$C214&gt;=COLUMNS($A214:AA214), Source!$G214, "")</f>
        <v/>
      </c>
      <c r="AB214" s="2" t="str">
        <f>IF(Source!$C214&gt;=COLUMNS($A214:AB214), Source!$G214, "")</f>
        <v/>
      </c>
      <c r="AC214" s="2" t="str">
        <f>IF(Source!$C214&gt;=COLUMNS($A214:AC214), Source!$G214, "")</f>
        <v/>
      </c>
      <c r="AD214" s="2" t="str">
        <f>IF(Source!$C214&gt;=COLUMNS($A214:AD214), Source!$G214, "")</f>
        <v/>
      </c>
      <c r="AE214" s="2" t="str">
        <f>IF(Source!$C214&gt;=COLUMNS($A214:AE214), Source!$G214, "")</f>
        <v/>
      </c>
      <c r="AF214" s="2" t="str">
        <f>IF(Source!$C214&gt;=COLUMNS($A214:AF214), Source!$G214, "")</f>
        <v/>
      </c>
      <c r="AG214" s="2" t="str">
        <f>IF(Source!$C214&gt;=COLUMNS($A214:AG214), Source!$G214, "")</f>
        <v/>
      </c>
      <c r="AH214" s="2" t="str">
        <f>IF(Source!$C214&gt;=COLUMNS($A214:AH214), Source!$G214, "")</f>
        <v/>
      </c>
      <c r="AI214" s="2" t="str">
        <f>IF(Source!$C214&gt;=COLUMNS($A214:AI214), Source!$G214, "")</f>
        <v/>
      </c>
      <c r="AJ214" s="2" t="str">
        <f>IF(Source!$C214&gt;=COLUMNS($A214:AJ214), Source!$G214, "")</f>
        <v/>
      </c>
      <c r="AK214" s="2" t="str">
        <f>IF(Source!$C214&gt;=COLUMNS($A214:AK214), Source!$G214, "")</f>
        <v/>
      </c>
      <c r="AL214" s="2" t="str">
        <f>IF(Source!$C214&gt;=COLUMNS($A214:AL214), Source!$G214, "")</f>
        <v/>
      </c>
      <c r="AM214" s="2" t="str">
        <f>IF(Source!$C214&gt;=COLUMNS($A214:AM214), Source!$G214, "")</f>
        <v/>
      </c>
      <c r="AN214" s="2" t="str">
        <f>IF(Source!$C214&gt;=COLUMNS($A214:AN214), Source!$G214, "")</f>
        <v/>
      </c>
      <c r="AO214" s="2" t="str">
        <f>IF(Source!$C214&gt;=COLUMNS($A214:AO214), Source!$G214, "")</f>
        <v/>
      </c>
      <c r="AP214" s="2" t="str">
        <f>IF(Source!$C214&gt;=COLUMNS($A214:AP214), Source!$G214, "")</f>
        <v/>
      </c>
      <c r="AQ214" s="2" t="str">
        <f>IF(Source!$C214&gt;=COLUMNS($A214:AQ214), Source!$G214, "")</f>
        <v/>
      </c>
      <c r="AR214" s="2" t="str">
        <f>IF(Source!$C214&gt;=COLUMNS($A214:AR214), Source!$G214, "")</f>
        <v/>
      </c>
    </row>
    <row r="215">
      <c r="A215" s="2">
        <f>IF(Source!$C215&gt;=COLUMNS($A215:A215), Source!$G215, "")</f>
        <v>3</v>
      </c>
      <c r="B215" s="2">
        <f>IF(Source!$C215&gt;=COLUMNS($A215:B215), Source!$G215, "")</f>
        <v>3</v>
      </c>
      <c r="C215" s="2">
        <f>IF(Source!$C215&gt;=COLUMNS($A215:C215), Source!$G215, "")</f>
        <v>3</v>
      </c>
      <c r="D215" s="2">
        <f>IF(Source!$C215&gt;=COLUMNS($A215:D215), Source!$G215, "")</f>
        <v>3</v>
      </c>
      <c r="E215" s="2">
        <f>IF(Source!$C215&gt;=COLUMNS($A215:E215), Source!$G215, "")</f>
        <v>3</v>
      </c>
      <c r="F215" s="2">
        <f>IF(Source!$C215&gt;=COLUMNS($A215:F215), Source!$G215, "")</f>
        <v>3</v>
      </c>
      <c r="G215" s="2">
        <f>IF(Source!$C215&gt;=COLUMNS($A215:G215), Source!$G215, "")</f>
        <v>3</v>
      </c>
      <c r="H215" s="2">
        <f>IF(Source!$C215&gt;=COLUMNS($A215:H215), Source!$G215, "")</f>
        <v>3</v>
      </c>
      <c r="I215" s="2">
        <f>IF(Source!$C215&gt;=COLUMNS($A215:I215), Source!$G215, "")</f>
        <v>3</v>
      </c>
      <c r="J215" s="2">
        <f>IF(Source!$C215&gt;=COLUMNS($A215:J215), Source!$G215, "")</f>
        <v>3</v>
      </c>
      <c r="K215" s="2">
        <f>IF(Source!$C215&gt;=COLUMNS($A215:K215), Source!$G215, "")</f>
        <v>3</v>
      </c>
      <c r="L215" s="2">
        <f>IF(Source!$C215&gt;=COLUMNS($A215:L215), Source!$G215, "")</f>
        <v>3</v>
      </c>
      <c r="M215" s="2">
        <f>IF(Source!$C215&gt;=COLUMNS($A215:M215), Source!$G215, "")</f>
        <v>3</v>
      </c>
      <c r="N215" s="2">
        <f>IF(Source!$C215&gt;=COLUMNS($A215:N215), Source!$G215, "")</f>
        <v>3</v>
      </c>
      <c r="O215" s="2">
        <f>IF(Source!$C215&gt;=COLUMNS($A215:O215), Source!$G215, "")</f>
        <v>3</v>
      </c>
      <c r="P215" s="2" t="str">
        <f>IF(Source!$C215&gt;=COLUMNS($A215:P215), Source!$G215, "")</f>
        <v/>
      </c>
      <c r="Q215" s="2" t="str">
        <f>IF(Source!$C215&gt;=COLUMNS($A215:Q215), Source!$G215, "")</f>
        <v/>
      </c>
      <c r="R215" s="2" t="str">
        <f>IF(Source!$C215&gt;=COLUMNS($A215:R215), Source!$G215, "")</f>
        <v/>
      </c>
      <c r="S215" s="2" t="str">
        <f>IF(Source!$C215&gt;=COLUMNS($A215:S215), Source!$G215, "")</f>
        <v/>
      </c>
      <c r="T215" s="2" t="str">
        <f>IF(Source!$C215&gt;=COLUMNS($A215:T215), Source!$G215, "")</f>
        <v/>
      </c>
      <c r="U215" s="2" t="str">
        <f>IF(Source!$C215&gt;=COLUMNS($A215:U215), Source!$G215, "")</f>
        <v/>
      </c>
      <c r="V215" s="2" t="str">
        <f>IF(Source!$C215&gt;=COLUMNS($A215:V215), Source!$G215, "")</f>
        <v/>
      </c>
      <c r="W215" s="2" t="str">
        <f>IF(Source!$C215&gt;=COLUMNS($A215:W215), Source!$G215, "")</f>
        <v/>
      </c>
      <c r="X215" s="2" t="str">
        <f>IF(Source!$C215&gt;=COLUMNS($A215:X215), Source!$G215, "")</f>
        <v/>
      </c>
      <c r="Y215" s="2" t="str">
        <f>IF(Source!$C215&gt;=COLUMNS($A215:Y215), Source!$G215, "")</f>
        <v/>
      </c>
      <c r="Z215" s="2" t="str">
        <f>IF(Source!$C215&gt;=COLUMNS($A215:Z215), Source!$G215, "")</f>
        <v/>
      </c>
      <c r="AA215" s="2" t="str">
        <f>IF(Source!$C215&gt;=COLUMNS($A215:AA215), Source!$G215, "")</f>
        <v/>
      </c>
      <c r="AB215" s="2" t="str">
        <f>IF(Source!$C215&gt;=COLUMNS($A215:AB215), Source!$G215, "")</f>
        <v/>
      </c>
      <c r="AC215" s="2" t="str">
        <f>IF(Source!$C215&gt;=COLUMNS($A215:AC215), Source!$G215, "")</f>
        <v/>
      </c>
      <c r="AD215" s="2" t="str">
        <f>IF(Source!$C215&gt;=COLUMNS($A215:AD215), Source!$G215, "")</f>
        <v/>
      </c>
      <c r="AE215" s="2" t="str">
        <f>IF(Source!$C215&gt;=COLUMNS($A215:AE215), Source!$G215, "")</f>
        <v/>
      </c>
      <c r="AF215" s="2" t="str">
        <f>IF(Source!$C215&gt;=COLUMNS($A215:AF215), Source!$G215, "")</f>
        <v/>
      </c>
      <c r="AG215" s="2" t="str">
        <f>IF(Source!$C215&gt;=COLUMNS($A215:AG215), Source!$G215, "")</f>
        <v/>
      </c>
      <c r="AH215" s="2" t="str">
        <f>IF(Source!$C215&gt;=COLUMNS($A215:AH215), Source!$G215, "")</f>
        <v/>
      </c>
      <c r="AI215" s="2" t="str">
        <f>IF(Source!$C215&gt;=COLUMNS($A215:AI215), Source!$G215, "")</f>
        <v/>
      </c>
      <c r="AJ215" s="2" t="str">
        <f>IF(Source!$C215&gt;=COLUMNS($A215:AJ215), Source!$G215, "")</f>
        <v/>
      </c>
      <c r="AK215" s="2" t="str">
        <f>IF(Source!$C215&gt;=COLUMNS($A215:AK215), Source!$G215, "")</f>
        <v/>
      </c>
      <c r="AL215" s="2" t="str">
        <f>IF(Source!$C215&gt;=COLUMNS($A215:AL215), Source!$G215, "")</f>
        <v/>
      </c>
      <c r="AM215" s="2" t="str">
        <f>IF(Source!$C215&gt;=COLUMNS($A215:AM215), Source!$G215, "")</f>
        <v/>
      </c>
      <c r="AN215" s="2" t="str">
        <f>IF(Source!$C215&gt;=COLUMNS($A215:AN215), Source!$G215, "")</f>
        <v/>
      </c>
      <c r="AO215" s="2" t="str">
        <f>IF(Source!$C215&gt;=COLUMNS($A215:AO215), Source!$G215, "")</f>
        <v/>
      </c>
      <c r="AP215" s="2" t="str">
        <f>IF(Source!$C215&gt;=COLUMNS($A215:AP215), Source!$G215, "")</f>
        <v/>
      </c>
      <c r="AQ215" s="2" t="str">
        <f>IF(Source!$C215&gt;=COLUMNS($A215:AQ215), Source!$G215, "")</f>
        <v/>
      </c>
      <c r="AR215" s="2" t="str">
        <f>IF(Source!$C215&gt;=COLUMNS($A215:AR215), Source!$G215, "")</f>
        <v/>
      </c>
    </row>
    <row r="216">
      <c r="A216" s="2">
        <f>IF(Source!$C216&gt;=COLUMNS($A216:A216), Source!$G216, "")</f>
        <v>1</v>
      </c>
      <c r="B216" s="2" t="str">
        <f>IF(Source!$C216&gt;=COLUMNS($A216:B216), Source!$G216, "")</f>
        <v/>
      </c>
      <c r="C216" s="2" t="str">
        <f>IF(Source!$C216&gt;=COLUMNS($A216:C216), Source!$G216, "")</f>
        <v/>
      </c>
      <c r="D216" s="2" t="str">
        <f>IF(Source!$C216&gt;=COLUMNS($A216:D216), Source!$G216, "")</f>
        <v/>
      </c>
      <c r="E216" s="2" t="str">
        <f>IF(Source!$C216&gt;=COLUMNS($A216:E216), Source!$G216, "")</f>
        <v/>
      </c>
      <c r="F216" s="2" t="str">
        <f>IF(Source!$C216&gt;=COLUMNS($A216:F216), Source!$G216, "")</f>
        <v/>
      </c>
      <c r="G216" s="2" t="str">
        <f>IF(Source!$C216&gt;=COLUMNS($A216:G216), Source!$G216, "")</f>
        <v/>
      </c>
      <c r="H216" s="2" t="str">
        <f>IF(Source!$C216&gt;=COLUMNS($A216:H216), Source!$G216, "")</f>
        <v/>
      </c>
      <c r="I216" s="2" t="str">
        <f>IF(Source!$C216&gt;=COLUMNS($A216:I216), Source!$G216, "")</f>
        <v/>
      </c>
      <c r="J216" s="2" t="str">
        <f>IF(Source!$C216&gt;=COLUMNS($A216:J216), Source!$G216, "")</f>
        <v/>
      </c>
      <c r="K216" s="2" t="str">
        <f>IF(Source!$C216&gt;=COLUMNS($A216:K216), Source!$G216, "")</f>
        <v/>
      </c>
      <c r="L216" s="2" t="str">
        <f>IF(Source!$C216&gt;=COLUMNS($A216:L216), Source!$G216, "")</f>
        <v/>
      </c>
      <c r="M216" s="2" t="str">
        <f>IF(Source!$C216&gt;=COLUMNS($A216:M216), Source!$G216, "")</f>
        <v/>
      </c>
      <c r="N216" s="2" t="str">
        <f>IF(Source!$C216&gt;=COLUMNS($A216:N216), Source!$G216, "")</f>
        <v/>
      </c>
      <c r="O216" s="2" t="str">
        <f>IF(Source!$C216&gt;=COLUMNS($A216:O216), Source!$G216, "")</f>
        <v/>
      </c>
      <c r="P216" s="2" t="str">
        <f>IF(Source!$C216&gt;=COLUMNS($A216:P216), Source!$G216, "")</f>
        <v/>
      </c>
      <c r="Q216" s="2" t="str">
        <f>IF(Source!$C216&gt;=COLUMNS($A216:Q216), Source!$G216, "")</f>
        <v/>
      </c>
      <c r="R216" s="2" t="str">
        <f>IF(Source!$C216&gt;=COLUMNS($A216:R216), Source!$G216, "")</f>
        <v/>
      </c>
      <c r="S216" s="2" t="str">
        <f>IF(Source!$C216&gt;=COLUMNS($A216:S216), Source!$G216, "")</f>
        <v/>
      </c>
      <c r="T216" s="2" t="str">
        <f>IF(Source!$C216&gt;=COLUMNS($A216:T216), Source!$G216, "")</f>
        <v/>
      </c>
      <c r="U216" s="2" t="str">
        <f>IF(Source!$C216&gt;=COLUMNS($A216:U216), Source!$G216, "")</f>
        <v/>
      </c>
      <c r="V216" s="2" t="str">
        <f>IF(Source!$C216&gt;=COLUMNS($A216:V216), Source!$G216, "")</f>
        <v/>
      </c>
      <c r="W216" s="2" t="str">
        <f>IF(Source!$C216&gt;=COLUMNS($A216:W216), Source!$G216, "")</f>
        <v/>
      </c>
      <c r="X216" s="2" t="str">
        <f>IF(Source!$C216&gt;=COLUMNS($A216:X216), Source!$G216, "")</f>
        <v/>
      </c>
      <c r="Y216" s="2" t="str">
        <f>IF(Source!$C216&gt;=COLUMNS($A216:Y216), Source!$G216, "")</f>
        <v/>
      </c>
      <c r="Z216" s="2" t="str">
        <f>IF(Source!$C216&gt;=COLUMNS($A216:Z216), Source!$G216, "")</f>
        <v/>
      </c>
      <c r="AA216" s="2" t="str">
        <f>IF(Source!$C216&gt;=COLUMNS($A216:AA216), Source!$G216, "")</f>
        <v/>
      </c>
      <c r="AB216" s="2" t="str">
        <f>IF(Source!$C216&gt;=COLUMNS($A216:AB216), Source!$G216, "")</f>
        <v/>
      </c>
      <c r="AC216" s="2" t="str">
        <f>IF(Source!$C216&gt;=COLUMNS($A216:AC216), Source!$G216, "")</f>
        <v/>
      </c>
      <c r="AD216" s="2" t="str">
        <f>IF(Source!$C216&gt;=COLUMNS($A216:AD216), Source!$G216, "")</f>
        <v/>
      </c>
      <c r="AE216" s="2" t="str">
        <f>IF(Source!$C216&gt;=COLUMNS($A216:AE216), Source!$G216, "")</f>
        <v/>
      </c>
      <c r="AF216" s="2" t="str">
        <f>IF(Source!$C216&gt;=COLUMNS($A216:AF216), Source!$G216, "")</f>
        <v/>
      </c>
      <c r="AG216" s="2" t="str">
        <f>IF(Source!$C216&gt;=COLUMNS($A216:AG216), Source!$G216, "")</f>
        <v/>
      </c>
      <c r="AH216" s="2" t="str">
        <f>IF(Source!$C216&gt;=COLUMNS($A216:AH216), Source!$G216, "")</f>
        <v/>
      </c>
      <c r="AI216" s="2" t="str">
        <f>IF(Source!$C216&gt;=COLUMNS($A216:AI216), Source!$G216, "")</f>
        <v/>
      </c>
      <c r="AJ216" s="2" t="str">
        <f>IF(Source!$C216&gt;=COLUMNS($A216:AJ216), Source!$G216, "")</f>
        <v/>
      </c>
      <c r="AK216" s="2" t="str">
        <f>IF(Source!$C216&gt;=COLUMNS($A216:AK216), Source!$G216, "")</f>
        <v/>
      </c>
      <c r="AL216" s="2" t="str">
        <f>IF(Source!$C216&gt;=COLUMNS($A216:AL216), Source!$G216, "")</f>
        <v/>
      </c>
      <c r="AM216" s="2" t="str">
        <f>IF(Source!$C216&gt;=COLUMNS($A216:AM216), Source!$G216, "")</f>
        <v/>
      </c>
      <c r="AN216" s="2" t="str">
        <f>IF(Source!$C216&gt;=COLUMNS($A216:AN216), Source!$G216, "")</f>
        <v/>
      </c>
      <c r="AO216" s="2" t="str">
        <f>IF(Source!$C216&gt;=COLUMNS($A216:AO216), Source!$G216, "")</f>
        <v/>
      </c>
      <c r="AP216" s="2" t="str">
        <f>IF(Source!$C216&gt;=COLUMNS($A216:AP216), Source!$G216, "")</f>
        <v/>
      </c>
      <c r="AQ216" s="2" t="str">
        <f>IF(Source!$C216&gt;=COLUMNS($A216:AQ216), Source!$G216, "")</f>
        <v/>
      </c>
      <c r="AR216" s="2" t="str">
        <f>IF(Source!$C216&gt;=COLUMNS($A216:AR216), Source!$G216, "")</f>
        <v/>
      </c>
    </row>
    <row r="217">
      <c r="A217" s="2">
        <f>IF(Source!$C217&gt;=COLUMNS($A217:A217), Source!$G217, "")</f>
        <v>8</v>
      </c>
      <c r="B217" s="2">
        <f>IF(Source!$C217&gt;=COLUMNS($A217:B217), Source!$G217, "")</f>
        <v>8</v>
      </c>
      <c r="C217" s="2" t="str">
        <f>IF(Source!$C217&gt;=COLUMNS($A217:C217), Source!$G217, "")</f>
        <v/>
      </c>
      <c r="D217" s="2" t="str">
        <f>IF(Source!$C217&gt;=COLUMNS($A217:D217), Source!$G217, "")</f>
        <v/>
      </c>
      <c r="E217" s="2" t="str">
        <f>IF(Source!$C217&gt;=COLUMNS($A217:E217), Source!$G217, "")</f>
        <v/>
      </c>
      <c r="F217" s="2" t="str">
        <f>IF(Source!$C217&gt;=COLUMNS($A217:F217), Source!$G217, "")</f>
        <v/>
      </c>
      <c r="G217" s="2" t="str">
        <f>IF(Source!$C217&gt;=COLUMNS($A217:G217), Source!$G217, "")</f>
        <v/>
      </c>
      <c r="H217" s="2" t="str">
        <f>IF(Source!$C217&gt;=COLUMNS($A217:H217), Source!$G217, "")</f>
        <v/>
      </c>
      <c r="I217" s="2" t="str">
        <f>IF(Source!$C217&gt;=COLUMNS($A217:I217), Source!$G217, "")</f>
        <v/>
      </c>
      <c r="J217" s="2" t="str">
        <f>IF(Source!$C217&gt;=COLUMNS($A217:J217), Source!$G217, "")</f>
        <v/>
      </c>
      <c r="K217" s="2" t="str">
        <f>IF(Source!$C217&gt;=COLUMNS($A217:K217), Source!$G217, "")</f>
        <v/>
      </c>
      <c r="L217" s="2" t="str">
        <f>IF(Source!$C217&gt;=COLUMNS($A217:L217), Source!$G217, "")</f>
        <v/>
      </c>
      <c r="M217" s="2" t="str">
        <f>IF(Source!$C217&gt;=COLUMNS($A217:M217), Source!$G217, "")</f>
        <v/>
      </c>
      <c r="N217" s="2" t="str">
        <f>IF(Source!$C217&gt;=COLUMNS($A217:N217), Source!$G217, "")</f>
        <v/>
      </c>
      <c r="O217" s="2" t="str">
        <f>IF(Source!$C217&gt;=COLUMNS($A217:O217), Source!$G217, "")</f>
        <v/>
      </c>
      <c r="P217" s="2" t="str">
        <f>IF(Source!$C217&gt;=COLUMNS($A217:P217), Source!$G217, "")</f>
        <v/>
      </c>
      <c r="Q217" s="2" t="str">
        <f>IF(Source!$C217&gt;=COLUMNS($A217:Q217), Source!$G217, "")</f>
        <v/>
      </c>
      <c r="R217" s="2" t="str">
        <f>IF(Source!$C217&gt;=COLUMNS($A217:R217), Source!$G217, "")</f>
        <v/>
      </c>
      <c r="S217" s="2" t="str">
        <f>IF(Source!$C217&gt;=COLUMNS($A217:S217), Source!$G217, "")</f>
        <v/>
      </c>
      <c r="T217" s="2" t="str">
        <f>IF(Source!$C217&gt;=COLUMNS($A217:T217), Source!$G217, "")</f>
        <v/>
      </c>
      <c r="U217" s="2" t="str">
        <f>IF(Source!$C217&gt;=COLUMNS($A217:U217), Source!$G217, "")</f>
        <v/>
      </c>
      <c r="V217" s="2" t="str">
        <f>IF(Source!$C217&gt;=COLUMNS($A217:V217), Source!$G217, "")</f>
        <v/>
      </c>
      <c r="W217" s="2" t="str">
        <f>IF(Source!$C217&gt;=COLUMNS($A217:W217), Source!$G217, "")</f>
        <v/>
      </c>
      <c r="X217" s="2" t="str">
        <f>IF(Source!$C217&gt;=COLUMNS($A217:X217), Source!$G217, "")</f>
        <v/>
      </c>
      <c r="Y217" s="2" t="str">
        <f>IF(Source!$C217&gt;=COLUMNS($A217:Y217), Source!$G217, "")</f>
        <v/>
      </c>
      <c r="Z217" s="2" t="str">
        <f>IF(Source!$C217&gt;=COLUMNS($A217:Z217), Source!$G217, "")</f>
        <v/>
      </c>
      <c r="AA217" s="2" t="str">
        <f>IF(Source!$C217&gt;=COLUMNS($A217:AA217), Source!$G217, "")</f>
        <v/>
      </c>
      <c r="AB217" s="2" t="str">
        <f>IF(Source!$C217&gt;=COLUMNS($A217:AB217), Source!$G217, "")</f>
        <v/>
      </c>
      <c r="AC217" s="2" t="str">
        <f>IF(Source!$C217&gt;=COLUMNS($A217:AC217), Source!$G217, "")</f>
        <v/>
      </c>
      <c r="AD217" s="2" t="str">
        <f>IF(Source!$C217&gt;=COLUMNS($A217:AD217), Source!$G217, "")</f>
        <v/>
      </c>
      <c r="AE217" s="2" t="str">
        <f>IF(Source!$C217&gt;=COLUMNS($A217:AE217), Source!$G217, "")</f>
        <v/>
      </c>
      <c r="AF217" s="2" t="str">
        <f>IF(Source!$C217&gt;=COLUMNS($A217:AF217), Source!$G217, "")</f>
        <v/>
      </c>
      <c r="AG217" s="2" t="str">
        <f>IF(Source!$C217&gt;=COLUMNS($A217:AG217), Source!$G217, "")</f>
        <v/>
      </c>
      <c r="AH217" s="2" t="str">
        <f>IF(Source!$C217&gt;=COLUMNS($A217:AH217), Source!$G217, "")</f>
        <v/>
      </c>
      <c r="AI217" s="2" t="str">
        <f>IF(Source!$C217&gt;=COLUMNS($A217:AI217), Source!$G217, "")</f>
        <v/>
      </c>
      <c r="AJ217" s="2" t="str">
        <f>IF(Source!$C217&gt;=COLUMNS($A217:AJ217), Source!$G217, "")</f>
        <v/>
      </c>
      <c r="AK217" s="2" t="str">
        <f>IF(Source!$C217&gt;=COLUMNS($A217:AK217), Source!$G217, "")</f>
        <v/>
      </c>
      <c r="AL217" s="2" t="str">
        <f>IF(Source!$C217&gt;=COLUMNS($A217:AL217), Source!$G217, "")</f>
        <v/>
      </c>
      <c r="AM217" s="2" t="str">
        <f>IF(Source!$C217&gt;=COLUMNS($A217:AM217), Source!$G217, "")</f>
        <v/>
      </c>
      <c r="AN217" s="2" t="str">
        <f>IF(Source!$C217&gt;=COLUMNS($A217:AN217), Source!$G217, "")</f>
        <v/>
      </c>
      <c r="AO217" s="2" t="str">
        <f>IF(Source!$C217&gt;=COLUMNS($A217:AO217), Source!$G217, "")</f>
        <v/>
      </c>
      <c r="AP217" s="2" t="str">
        <f>IF(Source!$C217&gt;=COLUMNS($A217:AP217), Source!$G217, "")</f>
        <v/>
      </c>
      <c r="AQ217" s="2" t="str">
        <f>IF(Source!$C217&gt;=COLUMNS($A217:AQ217), Source!$G217, "")</f>
        <v/>
      </c>
      <c r="AR217" s="2" t="str">
        <f>IF(Source!$C217&gt;=COLUMNS($A217:AR217), Source!$G217, "")</f>
        <v/>
      </c>
    </row>
    <row r="218">
      <c r="A218" s="2">
        <f>IF(Source!$C218&gt;=COLUMNS($A218:A218), Source!$G218, "")</f>
        <v>4</v>
      </c>
      <c r="B218" s="2">
        <f>IF(Source!$C218&gt;=COLUMNS($A218:B218), Source!$G218, "")</f>
        <v>4</v>
      </c>
      <c r="C218" s="2">
        <f>IF(Source!$C218&gt;=COLUMNS($A218:C218), Source!$G218, "")</f>
        <v>4</v>
      </c>
      <c r="D218" s="2">
        <f>IF(Source!$C218&gt;=COLUMNS($A218:D218), Source!$G218, "")</f>
        <v>4</v>
      </c>
      <c r="E218" s="2">
        <f>IF(Source!$C218&gt;=COLUMNS($A218:E218), Source!$G218, "")</f>
        <v>4</v>
      </c>
      <c r="F218" s="2">
        <f>IF(Source!$C218&gt;=COLUMNS($A218:F218), Source!$G218, "")</f>
        <v>4</v>
      </c>
      <c r="G218" s="2" t="str">
        <f>IF(Source!$C218&gt;=COLUMNS($A218:G218), Source!$G218, "")</f>
        <v/>
      </c>
      <c r="H218" s="2" t="str">
        <f>IF(Source!$C218&gt;=COLUMNS($A218:H218), Source!$G218, "")</f>
        <v/>
      </c>
      <c r="I218" s="2" t="str">
        <f>IF(Source!$C218&gt;=COLUMNS($A218:I218), Source!$G218, "")</f>
        <v/>
      </c>
      <c r="J218" s="2" t="str">
        <f>IF(Source!$C218&gt;=COLUMNS($A218:J218), Source!$G218, "")</f>
        <v/>
      </c>
      <c r="K218" s="2" t="str">
        <f>IF(Source!$C218&gt;=COLUMNS($A218:K218), Source!$G218, "")</f>
        <v/>
      </c>
      <c r="L218" s="2" t="str">
        <f>IF(Source!$C218&gt;=COLUMNS($A218:L218), Source!$G218, "")</f>
        <v/>
      </c>
      <c r="M218" s="2" t="str">
        <f>IF(Source!$C218&gt;=COLUMNS($A218:M218), Source!$G218, "")</f>
        <v/>
      </c>
      <c r="N218" s="2" t="str">
        <f>IF(Source!$C218&gt;=COLUMNS($A218:N218), Source!$G218, "")</f>
        <v/>
      </c>
      <c r="O218" s="2" t="str">
        <f>IF(Source!$C218&gt;=COLUMNS($A218:O218), Source!$G218, "")</f>
        <v/>
      </c>
      <c r="P218" s="2" t="str">
        <f>IF(Source!$C218&gt;=COLUMNS($A218:P218), Source!$G218, "")</f>
        <v/>
      </c>
      <c r="Q218" s="2" t="str">
        <f>IF(Source!$C218&gt;=COLUMNS($A218:Q218), Source!$G218, "")</f>
        <v/>
      </c>
      <c r="R218" s="2" t="str">
        <f>IF(Source!$C218&gt;=COLUMNS($A218:R218), Source!$G218, "")</f>
        <v/>
      </c>
      <c r="S218" s="2" t="str">
        <f>IF(Source!$C218&gt;=COLUMNS($A218:S218), Source!$G218, "")</f>
        <v/>
      </c>
      <c r="T218" s="2" t="str">
        <f>IF(Source!$C218&gt;=COLUMNS($A218:T218), Source!$G218, "")</f>
        <v/>
      </c>
      <c r="U218" s="2" t="str">
        <f>IF(Source!$C218&gt;=COLUMNS($A218:U218), Source!$G218, "")</f>
        <v/>
      </c>
      <c r="V218" s="2" t="str">
        <f>IF(Source!$C218&gt;=COLUMNS($A218:V218), Source!$G218, "")</f>
        <v/>
      </c>
      <c r="W218" s="2" t="str">
        <f>IF(Source!$C218&gt;=COLUMNS($A218:W218), Source!$G218, "")</f>
        <v/>
      </c>
      <c r="X218" s="2" t="str">
        <f>IF(Source!$C218&gt;=COLUMNS($A218:X218), Source!$G218, "")</f>
        <v/>
      </c>
      <c r="Y218" s="2" t="str">
        <f>IF(Source!$C218&gt;=COLUMNS($A218:Y218), Source!$G218, "")</f>
        <v/>
      </c>
      <c r="Z218" s="2" t="str">
        <f>IF(Source!$C218&gt;=COLUMNS($A218:Z218), Source!$G218, "")</f>
        <v/>
      </c>
      <c r="AA218" s="2" t="str">
        <f>IF(Source!$C218&gt;=COLUMNS($A218:AA218), Source!$G218, "")</f>
        <v/>
      </c>
      <c r="AB218" s="2" t="str">
        <f>IF(Source!$C218&gt;=COLUMNS($A218:AB218), Source!$G218, "")</f>
        <v/>
      </c>
      <c r="AC218" s="2" t="str">
        <f>IF(Source!$C218&gt;=COLUMNS($A218:AC218), Source!$G218, "")</f>
        <v/>
      </c>
      <c r="AD218" s="2" t="str">
        <f>IF(Source!$C218&gt;=COLUMNS($A218:AD218), Source!$G218, "")</f>
        <v/>
      </c>
      <c r="AE218" s="2" t="str">
        <f>IF(Source!$C218&gt;=COLUMNS($A218:AE218), Source!$G218, "")</f>
        <v/>
      </c>
      <c r="AF218" s="2" t="str">
        <f>IF(Source!$C218&gt;=COLUMNS($A218:AF218), Source!$G218, "")</f>
        <v/>
      </c>
      <c r="AG218" s="2" t="str">
        <f>IF(Source!$C218&gt;=COLUMNS($A218:AG218), Source!$G218, "")</f>
        <v/>
      </c>
      <c r="AH218" s="2" t="str">
        <f>IF(Source!$C218&gt;=COLUMNS($A218:AH218), Source!$G218, "")</f>
        <v/>
      </c>
      <c r="AI218" s="2" t="str">
        <f>IF(Source!$C218&gt;=COLUMNS($A218:AI218), Source!$G218, "")</f>
        <v/>
      </c>
      <c r="AJ218" s="2" t="str">
        <f>IF(Source!$C218&gt;=COLUMNS($A218:AJ218), Source!$G218, "")</f>
        <v/>
      </c>
      <c r="AK218" s="2" t="str">
        <f>IF(Source!$C218&gt;=COLUMNS($A218:AK218), Source!$G218, "")</f>
        <v/>
      </c>
      <c r="AL218" s="2" t="str">
        <f>IF(Source!$C218&gt;=COLUMNS($A218:AL218), Source!$G218, "")</f>
        <v/>
      </c>
      <c r="AM218" s="2" t="str">
        <f>IF(Source!$C218&gt;=COLUMNS($A218:AM218), Source!$G218, "")</f>
        <v/>
      </c>
      <c r="AN218" s="2" t="str">
        <f>IF(Source!$C218&gt;=COLUMNS($A218:AN218), Source!$G218, "")</f>
        <v/>
      </c>
      <c r="AO218" s="2" t="str">
        <f>IF(Source!$C218&gt;=COLUMNS($A218:AO218), Source!$G218, "")</f>
        <v/>
      </c>
      <c r="AP218" s="2" t="str">
        <f>IF(Source!$C218&gt;=COLUMNS($A218:AP218), Source!$G218, "")</f>
        <v/>
      </c>
      <c r="AQ218" s="2" t="str">
        <f>IF(Source!$C218&gt;=COLUMNS($A218:AQ218), Source!$G218, "")</f>
        <v/>
      </c>
      <c r="AR218" s="2" t="str">
        <f>IF(Source!$C218&gt;=COLUMNS($A218:AR218), Source!$G218, "")</f>
        <v/>
      </c>
    </row>
    <row r="219">
      <c r="A219" s="2">
        <f>IF(Source!$C219&gt;=COLUMNS($A219:A219), Source!$G219, "")</f>
        <v>1</v>
      </c>
      <c r="B219" s="2">
        <f>IF(Source!$C219&gt;=COLUMNS($A219:B219), Source!$G219, "")</f>
        <v>1</v>
      </c>
      <c r="C219" s="2">
        <f>IF(Source!$C219&gt;=COLUMNS($A219:C219), Source!$G219, "")</f>
        <v>1</v>
      </c>
      <c r="D219" s="2">
        <f>IF(Source!$C219&gt;=COLUMNS($A219:D219), Source!$G219, "")</f>
        <v>1</v>
      </c>
      <c r="E219" s="2">
        <f>IF(Source!$C219&gt;=COLUMNS($A219:E219), Source!$G219, "")</f>
        <v>1</v>
      </c>
      <c r="F219" s="2">
        <f>IF(Source!$C219&gt;=COLUMNS($A219:F219), Source!$G219, "")</f>
        <v>1</v>
      </c>
      <c r="G219" s="2">
        <f>IF(Source!$C219&gt;=COLUMNS($A219:G219), Source!$G219, "")</f>
        <v>1</v>
      </c>
      <c r="H219" s="2">
        <f>IF(Source!$C219&gt;=COLUMNS($A219:H219), Source!$G219, "")</f>
        <v>1</v>
      </c>
      <c r="I219" s="2" t="str">
        <f>IF(Source!$C219&gt;=COLUMNS($A219:I219), Source!$G219, "")</f>
        <v/>
      </c>
      <c r="J219" s="2" t="str">
        <f>IF(Source!$C219&gt;=COLUMNS($A219:J219), Source!$G219, "")</f>
        <v/>
      </c>
      <c r="K219" s="2" t="str">
        <f>IF(Source!$C219&gt;=COLUMNS($A219:K219), Source!$G219, "")</f>
        <v/>
      </c>
      <c r="L219" s="2" t="str">
        <f>IF(Source!$C219&gt;=COLUMNS($A219:L219), Source!$G219, "")</f>
        <v/>
      </c>
      <c r="M219" s="2" t="str">
        <f>IF(Source!$C219&gt;=COLUMNS($A219:M219), Source!$G219, "")</f>
        <v/>
      </c>
      <c r="N219" s="2" t="str">
        <f>IF(Source!$C219&gt;=COLUMNS($A219:N219), Source!$G219, "")</f>
        <v/>
      </c>
      <c r="O219" s="2" t="str">
        <f>IF(Source!$C219&gt;=COLUMNS($A219:O219), Source!$G219, "")</f>
        <v/>
      </c>
      <c r="P219" s="2" t="str">
        <f>IF(Source!$C219&gt;=COLUMNS($A219:P219), Source!$G219, "")</f>
        <v/>
      </c>
      <c r="Q219" s="2" t="str">
        <f>IF(Source!$C219&gt;=COLUMNS($A219:Q219), Source!$G219, "")</f>
        <v/>
      </c>
      <c r="R219" s="2" t="str">
        <f>IF(Source!$C219&gt;=COLUMNS($A219:R219), Source!$G219, "")</f>
        <v/>
      </c>
      <c r="S219" s="2" t="str">
        <f>IF(Source!$C219&gt;=COLUMNS($A219:S219), Source!$G219, "")</f>
        <v/>
      </c>
      <c r="T219" s="2" t="str">
        <f>IF(Source!$C219&gt;=COLUMNS($A219:T219), Source!$G219, "")</f>
        <v/>
      </c>
      <c r="U219" s="2" t="str">
        <f>IF(Source!$C219&gt;=COLUMNS($A219:U219), Source!$G219, "")</f>
        <v/>
      </c>
      <c r="V219" s="2" t="str">
        <f>IF(Source!$C219&gt;=COLUMNS($A219:V219), Source!$G219, "")</f>
        <v/>
      </c>
      <c r="W219" s="2" t="str">
        <f>IF(Source!$C219&gt;=COLUMNS($A219:W219), Source!$G219, "")</f>
        <v/>
      </c>
      <c r="X219" s="2" t="str">
        <f>IF(Source!$C219&gt;=COLUMNS($A219:X219), Source!$G219, "")</f>
        <v/>
      </c>
      <c r="Y219" s="2" t="str">
        <f>IF(Source!$C219&gt;=COLUMNS($A219:Y219), Source!$G219, "")</f>
        <v/>
      </c>
      <c r="Z219" s="2" t="str">
        <f>IF(Source!$C219&gt;=COLUMNS($A219:Z219), Source!$G219, "")</f>
        <v/>
      </c>
      <c r="AA219" s="2" t="str">
        <f>IF(Source!$C219&gt;=COLUMNS($A219:AA219), Source!$G219, "")</f>
        <v/>
      </c>
      <c r="AB219" s="2" t="str">
        <f>IF(Source!$C219&gt;=COLUMNS($A219:AB219), Source!$G219, "")</f>
        <v/>
      </c>
      <c r="AC219" s="2" t="str">
        <f>IF(Source!$C219&gt;=COLUMNS($A219:AC219), Source!$G219, "")</f>
        <v/>
      </c>
      <c r="AD219" s="2" t="str">
        <f>IF(Source!$C219&gt;=COLUMNS($A219:AD219), Source!$G219, "")</f>
        <v/>
      </c>
      <c r="AE219" s="2" t="str">
        <f>IF(Source!$C219&gt;=COLUMNS($A219:AE219), Source!$G219, "")</f>
        <v/>
      </c>
      <c r="AF219" s="2" t="str">
        <f>IF(Source!$C219&gt;=COLUMNS($A219:AF219), Source!$G219, "")</f>
        <v/>
      </c>
      <c r="AG219" s="2" t="str">
        <f>IF(Source!$C219&gt;=COLUMNS($A219:AG219), Source!$G219, "")</f>
        <v/>
      </c>
      <c r="AH219" s="2" t="str">
        <f>IF(Source!$C219&gt;=COLUMNS($A219:AH219), Source!$G219, "")</f>
        <v/>
      </c>
      <c r="AI219" s="2" t="str">
        <f>IF(Source!$C219&gt;=COLUMNS($A219:AI219), Source!$G219, "")</f>
        <v/>
      </c>
      <c r="AJ219" s="2" t="str">
        <f>IF(Source!$C219&gt;=COLUMNS($A219:AJ219), Source!$G219, "")</f>
        <v/>
      </c>
      <c r="AK219" s="2" t="str">
        <f>IF(Source!$C219&gt;=COLUMNS($A219:AK219), Source!$G219, "")</f>
        <v/>
      </c>
      <c r="AL219" s="2" t="str">
        <f>IF(Source!$C219&gt;=COLUMNS($A219:AL219), Source!$G219, "")</f>
        <v/>
      </c>
      <c r="AM219" s="2" t="str">
        <f>IF(Source!$C219&gt;=COLUMNS($A219:AM219), Source!$G219, "")</f>
        <v/>
      </c>
      <c r="AN219" s="2" t="str">
        <f>IF(Source!$C219&gt;=COLUMNS($A219:AN219), Source!$G219, "")</f>
        <v/>
      </c>
      <c r="AO219" s="2" t="str">
        <f>IF(Source!$C219&gt;=COLUMNS($A219:AO219), Source!$G219, "")</f>
        <v/>
      </c>
      <c r="AP219" s="2" t="str">
        <f>IF(Source!$C219&gt;=COLUMNS($A219:AP219), Source!$G219, "")</f>
        <v/>
      </c>
      <c r="AQ219" s="2" t="str">
        <f>IF(Source!$C219&gt;=COLUMNS($A219:AQ219), Source!$G219, "")</f>
        <v/>
      </c>
      <c r="AR219" s="2" t="str">
        <f>IF(Source!$C219&gt;=COLUMNS($A219:AR219), Source!$G219, "")</f>
        <v/>
      </c>
    </row>
    <row r="220">
      <c r="A220" s="2">
        <f>IF(Source!$C220&gt;=COLUMNS($A220:A220), Source!$G220, "")</f>
        <v>5</v>
      </c>
      <c r="B220" s="2">
        <f>IF(Source!$C220&gt;=COLUMNS($A220:B220), Source!$G220, "")</f>
        <v>5</v>
      </c>
      <c r="C220" s="2" t="str">
        <f>IF(Source!$C220&gt;=COLUMNS($A220:C220), Source!$G220, "")</f>
        <v/>
      </c>
      <c r="D220" s="2" t="str">
        <f>IF(Source!$C220&gt;=COLUMNS($A220:D220), Source!$G220, "")</f>
        <v/>
      </c>
      <c r="E220" s="2" t="str">
        <f>IF(Source!$C220&gt;=COLUMNS($A220:E220), Source!$G220, "")</f>
        <v/>
      </c>
      <c r="F220" s="2" t="str">
        <f>IF(Source!$C220&gt;=COLUMNS($A220:F220), Source!$G220, "")</f>
        <v/>
      </c>
      <c r="G220" s="2" t="str">
        <f>IF(Source!$C220&gt;=COLUMNS($A220:G220), Source!$G220, "")</f>
        <v/>
      </c>
      <c r="H220" s="2" t="str">
        <f>IF(Source!$C220&gt;=COLUMNS($A220:H220), Source!$G220, "")</f>
        <v/>
      </c>
      <c r="I220" s="2" t="str">
        <f>IF(Source!$C220&gt;=COLUMNS($A220:I220), Source!$G220, "")</f>
        <v/>
      </c>
      <c r="J220" s="2" t="str">
        <f>IF(Source!$C220&gt;=COLUMNS($A220:J220), Source!$G220, "")</f>
        <v/>
      </c>
      <c r="K220" s="2" t="str">
        <f>IF(Source!$C220&gt;=COLUMNS($A220:K220), Source!$G220, "")</f>
        <v/>
      </c>
      <c r="L220" s="2" t="str">
        <f>IF(Source!$C220&gt;=COLUMNS($A220:L220), Source!$G220, "")</f>
        <v/>
      </c>
      <c r="M220" s="2" t="str">
        <f>IF(Source!$C220&gt;=COLUMNS($A220:M220), Source!$G220, "")</f>
        <v/>
      </c>
      <c r="N220" s="2" t="str">
        <f>IF(Source!$C220&gt;=COLUMNS($A220:N220), Source!$G220, "")</f>
        <v/>
      </c>
      <c r="O220" s="2" t="str">
        <f>IF(Source!$C220&gt;=COLUMNS($A220:O220), Source!$G220, "")</f>
        <v/>
      </c>
      <c r="P220" s="2" t="str">
        <f>IF(Source!$C220&gt;=COLUMNS($A220:P220), Source!$G220, "")</f>
        <v/>
      </c>
      <c r="Q220" s="2" t="str">
        <f>IF(Source!$C220&gt;=COLUMNS($A220:Q220), Source!$G220, "")</f>
        <v/>
      </c>
      <c r="R220" s="2" t="str">
        <f>IF(Source!$C220&gt;=COLUMNS($A220:R220), Source!$G220, "")</f>
        <v/>
      </c>
      <c r="S220" s="2" t="str">
        <f>IF(Source!$C220&gt;=COLUMNS($A220:S220), Source!$G220, "")</f>
        <v/>
      </c>
      <c r="T220" s="2" t="str">
        <f>IF(Source!$C220&gt;=COLUMNS($A220:T220), Source!$G220, "")</f>
        <v/>
      </c>
      <c r="U220" s="2" t="str">
        <f>IF(Source!$C220&gt;=COLUMNS($A220:U220), Source!$G220, "")</f>
        <v/>
      </c>
      <c r="V220" s="2" t="str">
        <f>IF(Source!$C220&gt;=COLUMNS($A220:V220), Source!$G220, "")</f>
        <v/>
      </c>
      <c r="W220" s="2" t="str">
        <f>IF(Source!$C220&gt;=COLUMNS($A220:W220), Source!$G220, "")</f>
        <v/>
      </c>
      <c r="X220" s="2" t="str">
        <f>IF(Source!$C220&gt;=COLUMNS($A220:X220), Source!$G220, "")</f>
        <v/>
      </c>
      <c r="Y220" s="2" t="str">
        <f>IF(Source!$C220&gt;=COLUMNS($A220:Y220), Source!$G220, "")</f>
        <v/>
      </c>
      <c r="Z220" s="2" t="str">
        <f>IF(Source!$C220&gt;=COLUMNS($A220:Z220), Source!$G220, "")</f>
        <v/>
      </c>
      <c r="AA220" s="2" t="str">
        <f>IF(Source!$C220&gt;=COLUMNS($A220:AA220), Source!$G220, "")</f>
        <v/>
      </c>
      <c r="AB220" s="2" t="str">
        <f>IF(Source!$C220&gt;=COLUMNS($A220:AB220), Source!$G220, "")</f>
        <v/>
      </c>
      <c r="AC220" s="2" t="str">
        <f>IF(Source!$C220&gt;=COLUMNS($A220:AC220), Source!$G220, "")</f>
        <v/>
      </c>
      <c r="AD220" s="2" t="str">
        <f>IF(Source!$C220&gt;=COLUMNS($A220:AD220), Source!$G220, "")</f>
        <v/>
      </c>
      <c r="AE220" s="2" t="str">
        <f>IF(Source!$C220&gt;=COLUMNS($A220:AE220), Source!$G220, "")</f>
        <v/>
      </c>
      <c r="AF220" s="2" t="str">
        <f>IF(Source!$C220&gt;=COLUMNS($A220:AF220), Source!$G220, "")</f>
        <v/>
      </c>
      <c r="AG220" s="2" t="str">
        <f>IF(Source!$C220&gt;=COLUMNS($A220:AG220), Source!$G220, "")</f>
        <v/>
      </c>
      <c r="AH220" s="2" t="str">
        <f>IF(Source!$C220&gt;=COLUMNS($A220:AH220), Source!$G220, "")</f>
        <v/>
      </c>
      <c r="AI220" s="2" t="str">
        <f>IF(Source!$C220&gt;=COLUMNS($A220:AI220), Source!$G220, "")</f>
        <v/>
      </c>
      <c r="AJ220" s="2" t="str">
        <f>IF(Source!$C220&gt;=COLUMNS($A220:AJ220), Source!$G220, "")</f>
        <v/>
      </c>
      <c r="AK220" s="2" t="str">
        <f>IF(Source!$C220&gt;=COLUMNS($A220:AK220), Source!$G220, "")</f>
        <v/>
      </c>
      <c r="AL220" s="2" t="str">
        <f>IF(Source!$C220&gt;=COLUMNS($A220:AL220), Source!$G220, "")</f>
        <v/>
      </c>
      <c r="AM220" s="2" t="str">
        <f>IF(Source!$C220&gt;=COLUMNS($A220:AM220), Source!$G220, "")</f>
        <v/>
      </c>
      <c r="AN220" s="2" t="str">
        <f>IF(Source!$C220&gt;=COLUMNS($A220:AN220), Source!$G220, "")</f>
        <v/>
      </c>
      <c r="AO220" s="2" t="str">
        <f>IF(Source!$C220&gt;=COLUMNS($A220:AO220), Source!$G220, "")</f>
        <v/>
      </c>
      <c r="AP220" s="2" t="str">
        <f>IF(Source!$C220&gt;=COLUMNS($A220:AP220), Source!$G220, "")</f>
        <v/>
      </c>
      <c r="AQ220" s="2" t="str">
        <f>IF(Source!$C220&gt;=COLUMNS($A220:AQ220), Source!$G220, "")</f>
        <v/>
      </c>
      <c r="AR220" s="2" t="str">
        <f>IF(Source!$C220&gt;=COLUMNS($A220:AR220), Source!$G220, "")</f>
        <v/>
      </c>
    </row>
    <row r="221">
      <c r="A221" s="2">
        <f>IF(Source!$C221&gt;=COLUMNS($A221:A221), Source!$G221, "")</f>
        <v>3</v>
      </c>
      <c r="B221" s="2">
        <f>IF(Source!$C221&gt;=COLUMNS($A221:B221), Source!$G221, "")</f>
        <v>3</v>
      </c>
      <c r="C221" s="2" t="str">
        <f>IF(Source!$C221&gt;=COLUMNS($A221:C221), Source!$G221, "")</f>
        <v/>
      </c>
      <c r="D221" s="2" t="str">
        <f>IF(Source!$C221&gt;=COLUMNS($A221:D221), Source!$G221, "")</f>
        <v/>
      </c>
      <c r="E221" s="2" t="str">
        <f>IF(Source!$C221&gt;=COLUMNS($A221:E221), Source!$G221, "")</f>
        <v/>
      </c>
      <c r="F221" s="2" t="str">
        <f>IF(Source!$C221&gt;=COLUMNS($A221:F221), Source!$G221, "")</f>
        <v/>
      </c>
      <c r="G221" s="2" t="str">
        <f>IF(Source!$C221&gt;=COLUMNS($A221:G221), Source!$G221, "")</f>
        <v/>
      </c>
      <c r="H221" s="2" t="str">
        <f>IF(Source!$C221&gt;=COLUMNS($A221:H221), Source!$G221, "")</f>
        <v/>
      </c>
      <c r="I221" s="2" t="str">
        <f>IF(Source!$C221&gt;=COLUMNS($A221:I221), Source!$G221, "")</f>
        <v/>
      </c>
      <c r="J221" s="2" t="str">
        <f>IF(Source!$C221&gt;=COLUMNS($A221:J221), Source!$G221, "")</f>
        <v/>
      </c>
      <c r="K221" s="2" t="str">
        <f>IF(Source!$C221&gt;=COLUMNS($A221:K221), Source!$G221, "")</f>
        <v/>
      </c>
      <c r="L221" s="2" t="str">
        <f>IF(Source!$C221&gt;=COLUMNS($A221:L221), Source!$G221, "")</f>
        <v/>
      </c>
      <c r="M221" s="2" t="str">
        <f>IF(Source!$C221&gt;=COLUMNS($A221:M221), Source!$G221, "")</f>
        <v/>
      </c>
      <c r="N221" s="2" t="str">
        <f>IF(Source!$C221&gt;=COLUMNS($A221:N221), Source!$G221, "")</f>
        <v/>
      </c>
      <c r="O221" s="2" t="str">
        <f>IF(Source!$C221&gt;=COLUMNS($A221:O221), Source!$G221, "")</f>
        <v/>
      </c>
      <c r="P221" s="2" t="str">
        <f>IF(Source!$C221&gt;=COLUMNS($A221:P221), Source!$G221, "")</f>
        <v/>
      </c>
      <c r="Q221" s="2" t="str">
        <f>IF(Source!$C221&gt;=COLUMNS($A221:Q221), Source!$G221, "")</f>
        <v/>
      </c>
      <c r="R221" s="2" t="str">
        <f>IF(Source!$C221&gt;=COLUMNS($A221:R221), Source!$G221, "")</f>
        <v/>
      </c>
      <c r="S221" s="2" t="str">
        <f>IF(Source!$C221&gt;=COLUMNS($A221:S221), Source!$G221, "")</f>
        <v/>
      </c>
      <c r="T221" s="2" t="str">
        <f>IF(Source!$C221&gt;=COLUMNS($A221:T221), Source!$G221, "")</f>
        <v/>
      </c>
      <c r="U221" s="2" t="str">
        <f>IF(Source!$C221&gt;=COLUMNS($A221:U221), Source!$G221, "")</f>
        <v/>
      </c>
      <c r="V221" s="2" t="str">
        <f>IF(Source!$C221&gt;=COLUMNS($A221:V221), Source!$G221, "")</f>
        <v/>
      </c>
      <c r="W221" s="2" t="str">
        <f>IF(Source!$C221&gt;=COLUMNS($A221:W221), Source!$G221, "")</f>
        <v/>
      </c>
      <c r="X221" s="2" t="str">
        <f>IF(Source!$C221&gt;=COLUMNS($A221:X221), Source!$G221, "")</f>
        <v/>
      </c>
      <c r="Y221" s="2" t="str">
        <f>IF(Source!$C221&gt;=COLUMNS($A221:Y221), Source!$G221, "")</f>
        <v/>
      </c>
      <c r="Z221" s="2" t="str">
        <f>IF(Source!$C221&gt;=COLUMNS($A221:Z221), Source!$G221, "")</f>
        <v/>
      </c>
      <c r="AA221" s="2" t="str">
        <f>IF(Source!$C221&gt;=COLUMNS($A221:AA221), Source!$G221, "")</f>
        <v/>
      </c>
      <c r="AB221" s="2" t="str">
        <f>IF(Source!$C221&gt;=COLUMNS($A221:AB221), Source!$G221, "")</f>
        <v/>
      </c>
      <c r="AC221" s="2" t="str">
        <f>IF(Source!$C221&gt;=COLUMNS($A221:AC221), Source!$G221, "")</f>
        <v/>
      </c>
      <c r="AD221" s="2" t="str">
        <f>IF(Source!$C221&gt;=COLUMNS($A221:AD221), Source!$G221, "")</f>
        <v/>
      </c>
      <c r="AE221" s="2" t="str">
        <f>IF(Source!$C221&gt;=COLUMNS($A221:AE221), Source!$G221, "")</f>
        <v/>
      </c>
      <c r="AF221" s="2" t="str">
        <f>IF(Source!$C221&gt;=COLUMNS($A221:AF221), Source!$G221, "")</f>
        <v/>
      </c>
      <c r="AG221" s="2" t="str">
        <f>IF(Source!$C221&gt;=COLUMNS($A221:AG221), Source!$G221, "")</f>
        <v/>
      </c>
      <c r="AH221" s="2" t="str">
        <f>IF(Source!$C221&gt;=COLUMNS($A221:AH221), Source!$G221, "")</f>
        <v/>
      </c>
      <c r="AI221" s="2" t="str">
        <f>IF(Source!$C221&gt;=COLUMNS($A221:AI221), Source!$G221, "")</f>
        <v/>
      </c>
      <c r="AJ221" s="2" t="str">
        <f>IF(Source!$C221&gt;=COLUMNS($A221:AJ221), Source!$G221, "")</f>
        <v/>
      </c>
      <c r="AK221" s="2" t="str">
        <f>IF(Source!$C221&gt;=COLUMNS($A221:AK221), Source!$G221, "")</f>
        <v/>
      </c>
      <c r="AL221" s="2" t="str">
        <f>IF(Source!$C221&gt;=COLUMNS($A221:AL221), Source!$G221, "")</f>
        <v/>
      </c>
      <c r="AM221" s="2" t="str">
        <f>IF(Source!$C221&gt;=COLUMNS($A221:AM221), Source!$G221, "")</f>
        <v/>
      </c>
      <c r="AN221" s="2" t="str">
        <f>IF(Source!$C221&gt;=COLUMNS($A221:AN221), Source!$G221, "")</f>
        <v/>
      </c>
      <c r="AO221" s="2" t="str">
        <f>IF(Source!$C221&gt;=COLUMNS($A221:AO221), Source!$G221, "")</f>
        <v/>
      </c>
      <c r="AP221" s="2" t="str">
        <f>IF(Source!$C221&gt;=COLUMNS($A221:AP221), Source!$G221, "")</f>
        <v/>
      </c>
      <c r="AQ221" s="2" t="str">
        <f>IF(Source!$C221&gt;=COLUMNS($A221:AQ221), Source!$G221, "")</f>
        <v/>
      </c>
      <c r="AR221" s="2" t="str">
        <f>IF(Source!$C221&gt;=COLUMNS($A221:AR221), Source!$G221, "")</f>
        <v/>
      </c>
    </row>
    <row r="222">
      <c r="A222" s="2">
        <f>IF(Source!$C222&gt;=COLUMNS($A222:A222), Source!$G222, "")</f>
        <v>1</v>
      </c>
      <c r="B222" s="2">
        <f>IF(Source!$C222&gt;=COLUMNS($A222:B222), Source!$G222, "")</f>
        <v>1</v>
      </c>
      <c r="C222" s="2">
        <f>IF(Source!$C222&gt;=COLUMNS($A222:C222), Source!$G222, "")</f>
        <v>1</v>
      </c>
      <c r="D222" s="2">
        <f>IF(Source!$C222&gt;=COLUMNS($A222:D222), Source!$G222, "")</f>
        <v>1</v>
      </c>
      <c r="E222" s="2" t="str">
        <f>IF(Source!$C222&gt;=COLUMNS($A222:E222), Source!$G222, "")</f>
        <v/>
      </c>
      <c r="F222" s="2" t="str">
        <f>IF(Source!$C222&gt;=COLUMNS($A222:F222), Source!$G222, "")</f>
        <v/>
      </c>
      <c r="G222" s="2" t="str">
        <f>IF(Source!$C222&gt;=COLUMNS($A222:G222), Source!$G222, "")</f>
        <v/>
      </c>
      <c r="H222" s="2" t="str">
        <f>IF(Source!$C222&gt;=COLUMNS($A222:H222), Source!$G222, "")</f>
        <v/>
      </c>
      <c r="I222" s="2" t="str">
        <f>IF(Source!$C222&gt;=COLUMNS($A222:I222), Source!$G222, "")</f>
        <v/>
      </c>
      <c r="J222" s="2" t="str">
        <f>IF(Source!$C222&gt;=COLUMNS($A222:J222), Source!$G222, "")</f>
        <v/>
      </c>
      <c r="K222" s="2" t="str">
        <f>IF(Source!$C222&gt;=COLUMNS($A222:K222), Source!$G222, "")</f>
        <v/>
      </c>
      <c r="L222" s="2" t="str">
        <f>IF(Source!$C222&gt;=COLUMNS($A222:L222), Source!$G222, "")</f>
        <v/>
      </c>
      <c r="M222" s="2" t="str">
        <f>IF(Source!$C222&gt;=COLUMNS($A222:M222), Source!$G222, "")</f>
        <v/>
      </c>
      <c r="N222" s="2" t="str">
        <f>IF(Source!$C222&gt;=COLUMNS($A222:N222), Source!$G222, "")</f>
        <v/>
      </c>
      <c r="O222" s="2" t="str">
        <f>IF(Source!$C222&gt;=COLUMNS($A222:O222), Source!$G222, "")</f>
        <v/>
      </c>
      <c r="P222" s="2" t="str">
        <f>IF(Source!$C222&gt;=COLUMNS($A222:P222), Source!$G222, "")</f>
        <v/>
      </c>
      <c r="Q222" s="2" t="str">
        <f>IF(Source!$C222&gt;=COLUMNS($A222:Q222), Source!$G222, "")</f>
        <v/>
      </c>
      <c r="R222" s="2" t="str">
        <f>IF(Source!$C222&gt;=COLUMNS($A222:R222), Source!$G222, "")</f>
        <v/>
      </c>
      <c r="S222" s="2" t="str">
        <f>IF(Source!$C222&gt;=COLUMNS($A222:S222), Source!$G222, "")</f>
        <v/>
      </c>
      <c r="T222" s="2" t="str">
        <f>IF(Source!$C222&gt;=COLUMNS($A222:T222), Source!$G222, "")</f>
        <v/>
      </c>
      <c r="U222" s="2" t="str">
        <f>IF(Source!$C222&gt;=COLUMNS($A222:U222), Source!$G222, "")</f>
        <v/>
      </c>
      <c r="V222" s="2" t="str">
        <f>IF(Source!$C222&gt;=COLUMNS($A222:V222), Source!$G222, "")</f>
        <v/>
      </c>
      <c r="W222" s="2" t="str">
        <f>IF(Source!$C222&gt;=COLUMNS($A222:W222), Source!$G222, "")</f>
        <v/>
      </c>
      <c r="X222" s="2" t="str">
        <f>IF(Source!$C222&gt;=COLUMNS($A222:X222), Source!$G222, "")</f>
        <v/>
      </c>
      <c r="Y222" s="2" t="str">
        <f>IF(Source!$C222&gt;=COLUMNS($A222:Y222), Source!$G222, "")</f>
        <v/>
      </c>
      <c r="Z222" s="2" t="str">
        <f>IF(Source!$C222&gt;=COLUMNS($A222:Z222), Source!$G222, "")</f>
        <v/>
      </c>
      <c r="AA222" s="2" t="str">
        <f>IF(Source!$C222&gt;=COLUMNS($A222:AA222), Source!$G222, "")</f>
        <v/>
      </c>
      <c r="AB222" s="2" t="str">
        <f>IF(Source!$C222&gt;=COLUMNS($A222:AB222), Source!$G222, "")</f>
        <v/>
      </c>
      <c r="AC222" s="2" t="str">
        <f>IF(Source!$C222&gt;=COLUMNS($A222:AC222), Source!$G222, "")</f>
        <v/>
      </c>
      <c r="AD222" s="2" t="str">
        <f>IF(Source!$C222&gt;=COLUMNS($A222:AD222), Source!$G222, "")</f>
        <v/>
      </c>
      <c r="AE222" s="2" t="str">
        <f>IF(Source!$C222&gt;=COLUMNS($A222:AE222), Source!$G222, "")</f>
        <v/>
      </c>
      <c r="AF222" s="2" t="str">
        <f>IF(Source!$C222&gt;=COLUMNS($A222:AF222), Source!$G222, "")</f>
        <v/>
      </c>
      <c r="AG222" s="2" t="str">
        <f>IF(Source!$C222&gt;=COLUMNS($A222:AG222), Source!$G222, "")</f>
        <v/>
      </c>
      <c r="AH222" s="2" t="str">
        <f>IF(Source!$C222&gt;=COLUMNS($A222:AH222), Source!$G222, "")</f>
        <v/>
      </c>
      <c r="AI222" s="2" t="str">
        <f>IF(Source!$C222&gt;=COLUMNS($A222:AI222), Source!$G222, "")</f>
        <v/>
      </c>
      <c r="AJ222" s="2" t="str">
        <f>IF(Source!$C222&gt;=COLUMNS($A222:AJ222), Source!$G222, "")</f>
        <v/>
      </c>
      <c r="AK222" s="2" t="str">
        <f>IF(Source!$C222&gt;=COLUMNS($A222:AK222), Source!$G222, "")</f>
        <v/>
      </c>
      <c r="AL222" s="2" t="str">
        <f>IF(Source!$C222&gt;=COLUMNS($A222:AL222), Source!$G222, "")</f>
        <v/>
      </c>
      <c r="AM222" s="2" t="str">
        <f>IF(Source!$C222&gt;=COLUMNS($A222:AM222), Source!$G222, "")</f>
        <v/>
      </c>
      <c r="AN222" s="2" t="str">
        <f>IF(Source!$C222&gt;=COLUMNS($A222:AN222), Source!$G222, "")</f>
        <v/>
      </c>
      <c r="AO222" s="2" t="str">
        <f>IF(Source!$C222&gt;=COLUMNS($A222:AO222), Source!$G222, "")</f>
        <v/>
      </c>
      <c r="AP222" s="2" t="str">
        <f>IF(Source!$C222&gt;=COLUMNS($A222:AP222), Source!$G222, "")</f>
        <v/>
      </c>
      <c r="AQ222" s="2" t="str">
        <f>IF(Source!$C222&gt;=COLUMNS($A222:AQ222), Source!$G222, "")</f>
        <v/>
      </c>
      <c r="AR222" s="2" t="str">
        <f>IF(Source!$C222&gt;=COLUMNS($A222:AR222), Source!$G222, "")</f>
        <v/>
      </c>
    </row>
    <row r="223">
      <c r="A223" s="2">
        <f>IF(Source!$C223&gt;=COLUMNS($A223:A223), Source!$G223, "")</f>
        <v>8</v>
      </c>
      <c r="B223" s="2">
        <f>IF(Source!$C223&gt;=COLUMNS($A223:B223), Source!$G223, "")</f>
        <v>8</v>
      </c>
      <c r="C223" s="2" t="str">
        <f>IF(Source!$C223&gt;=COLUMNS($A223:C223), Source!$G223, "")</f>
        <v/>
      </c>
      <c r="D223" s="2" t="str">
        <f>IF(Source!$C223&gt;=COLUMNS($A223:D223), Source!$G223, "")</f>
        <v/>
      </c>
      <c r="E223" s="2" t="str">
        <f>IF(Source!$C223&gt;=COLUMNS($A223:E223), Source!$G223, "")</f>
        <v/>
      </c>
      <c r="F223" s="2" t="str">
        <f>IF(Source!$C223&gt;=COLUMNS($A223:F223), Source!$G223, "")</f>
        <v/>
      </c>
      <c r="G223" s="2" t="str">
        <f>IF(Source!$C223&gt;=COLUMNS($A223:G223), Source!$G223, "")</f>
        <v/>
      </c>
      <c r="H223" s="2" t="str">
        <f>IF(Source!$C223&gt;=COLUMNS($A223:H223), Source!$G223, "")</f>
        <v/>
      </c>
      <c r="I223" s="2" t="str">
        <f>IF(Source!$C223&gt;=COLUMNS($A223:I223), Source!$G223, "")</f>
        <v/>
      </c>
      <c r="J223" s="2" t="str">
        <f>IF(Source!$C223&gt;=COLUMNS($A223:J223), Source!$G223, "")</f>
        <v/>
      </c>
      <c r="K223" s="2" t="str">
        <f>IF(Source!$C223&gt;=COLUMNS($A223:K223), Source!$G223, "")</f>
        <v/>
      </c>
      <c r="L223" s="2" t="str">
        <f>IF(Source!$C223&gt;=COLUMNS($A223:L223), Source!$G223, "")</f>
        <v/>
      </c>
      <c r="M223" s="2" t="str">
        <f>IF(Source!$C223&gt;=COLUMNS($A223:M223), Source!$G223, "")</f>
        <v/>
      </c>
      <c r="N223" s="2" t="str">
        <f>IF(Source!$C223&gt;=COLUMNS($A223:N223), Source!$G223, "")</f>
        <v/>
      </c>
      <c r="O223" s="2" t="str">
        <f>IF(Source!$C223&gt;=COLUMNS($A223:O223), Source!$G223, "")</f>
        <v/>
      </c>
      <c r="P223" s="2" t="str">
        <f>IF(Source!$C223&gt;=COLUMNS($A223:P223), Source!$G223, "")</f>
        <v/>
      </c>
      <c r="Q223" s="2" t="str">
        <f>IF(Source!$C223&gt;=COLUMNS($A223:Q223), Source!$G223, "")</f>
        <v/>
      </c>
      <c r="R223" s="2" t="str">
        <f>IF(Source!$C223&gt;=COLUMNS($A223:R223), Source!$G223, "")</f>
        <v/>
      </c>
      <c r="S223" s="2" t="str">
        <f>IF(Source!$C223&gt;=COLUMNS($A223:S223), Source!$G223, "")</f>
        <v/>
      </c>
      <c r="T223" s="2" t="str">
        <f>IF(Source!$C223&gt;=COLUMNS($A223:T223), Source!$G223, "")</f>
        <v/>
      </c>
      <c r="U223" s="2" t="str">
        <f>IF(Source!$C223&gt;=COLUMNS($A223:U223), Source!$G223, "")</f>
        <v/>
      </c>
      <c r="V223" s="2" t="str">
        <f>IF(Source!$C223&gt;=COLUMNS($A223:V223), Source!$G223, "")</f>
        <v/>
      </c>
      <c r="W223" s="2" t="str">
        <f>IF(Source!$C223&gt;=COLUMNS($A223:W223), Source!$G223, "")</f>
        <v/>
      </c>
      <c r="X223" s="2" t="str">
        <f>IF(Source!$C223&gt;=COLUMNS($A223:X223), Source!$G223, "")</f>
        <v/>
      </c>
      <c r="Y223" s="2" t="str">
        <f>IF(Source!$C223&gt;=COLUMNS($A223:Y223), Source!$G223, "")</f>
        <v/>
      </c>
      <c r="Z223" s="2" t="str">
        <f>IF(Source!$C223&gt;=COLUMNS($A223:Z223), Source!$G223, "")</f>
        <v/>
      </c>
      <c r="AA223" s="2" t="str">
        <f>IF(Source!$C223&gt;=COLUMNS($A223:AA223), Source!$G223, "")</f>
        <v/>
      </c>
      <c r="AB223" s="2" t="str">
        <f>IF(Source!$C223&gt;=COLUMNS($A223:AB223), Source!$G223, "")</f>
        <v/>
      </c>
      <c r="AC223" s="2" t="str">
        <f>IF(Source!$C223&gt;=COLUMNS($A223:AC223), Source!$G223, "")</f>
        <v/>
      </c>
      <c r="AD223" s="2" t="str">
        <f>IF(Source!$C223&gt;=COLUMNS($A223:AD223), Source!$G223, "")</f>
        <v/>
      </c>
      <c r="AE223" s="2" t="str">
        <f>IF(Source!$C223&gt;=COLUMNS($A223:AE223), Source!$G223, "")</f>
        <v/>
      </c>
      <c r="AF223" s="2" t="str">
        <f>IF(Source!$C223&gt;=COLUMNS($A223:AF223), Source!$G223, "")</f>
        <v/>
      </c>
      <c r="AG223" s="2" t="str">
        <f>IF(Source!$C223&gt;=COLUMNS($A223:AG223), Source!$G223, "")</f>
        <v/>
      </c>
      <c r="AH223" s="2" t="str">
        <f>IF(Source!$C223&gt;=COLUMNS($A223:AH223), Source!$G223, "")</f>
        <v/>
      </c>
      <c r="AI223" s="2" t="str">
        <f>IF(Source!$C223&gt;=COLUMNS($A223:AI223), Source!$G223, "")</f>
        <v/>
      </c>
      <c r="AJ223" s="2" t="str">
        <f>IF(Source!$C223&gt;=COLUMNS($A223:AJ223), Source!$G223, "")</f>
        <v/>
      </c>
      <c r="AK223" s="2" t="str">
        <f>IF(Source!$C223&gt;=COLUMNS($A223:AK223), Source!$G223, "")</f>
        <v/>
      </c>
      <c r="AL223" s="2" t="str">
        <f>IF(Source!$C223&gt;=COLUMNS($A223:AL223), Source!$G223, "")</f>
        <v/>
      </c>
      <c r="AM223" s="2" t="str">
        <f>IF(Source!$C223&gt;=COLUMNS($A223:AM223), Source!$G223, "")</f>
        <v/>
      </c>
      <c r="AN223" s="2" t="str">
        <f>IF(Source!$C223&gt;=COLUMNS($A223:AN223), Source!$G223, "")</f>
        <v/>
      </c>
      <c r="AO223" s="2" t="str">
        <f>IF(Source!$C223&gt;=COLUMNS($A223:AO223), Source!$G223, "")</f>
        <v/>
      </c>
      <c r="AP223" s="2" t="str">
        <f>IF(Source!$C223&gt;=COLUMNS($A223:AP223), Source!$G223, "")</f>
        <v/>
      </c>
      <c r="AQ223" s="2" t="str">
        <f>IF(Source!$C223&gt;=COLUMNS($A223:AQ223), Source!$G223, "")</f>
        <v/>
      </c>
      <c r="AR223" s="2" t="str">
        <f>IF(Source!$C223&gt;=COLUMNS($A223:AR223), Source!$G223, "")</f>
        <v/>
      </c>
    </row>
    <row r="224">
      <c r="A224" s="2">
        <f>IF(Source!$C224&gt;=COLUMNS($A224:A224), Source!$G224, "")</f>
        <v>9</v>
      </c>
      <c r="B224" s="2">
        <f>IF(Source!$C224&gt;=COLUMNS($A224:B224), Source!$G224, "")</f>
        <v>9</v>
      </c>
      <c r="C224" s="2" t="str">
        <f>IF(Source!$C224&gt;=COLUMNS($A224:C224), Source!$G224, "")</f>
        <v/>
      </c>
      <c r="D224" s="2" t="str">
        <f>IF(Source!$C224&gt;=COLUMNS($A224:D224), Source!$G224, "")</f>
        <v/>
      </c>
      <c r="E224" s="2" t="str">
        <f>IF(Source!$C224&gt;=COLUMNS($A224:E224), Source!$G224, "")</f>
        <v/>
      </c>
      <c r="F224" s="2" t="str">
        <f>IF(Source!$C224&gt;=COLUMNS($A224:F224), Source!$G224, "")</f>
        <v/>
      </c>
      <c r="G224" s="2" t="str">
        <f>IF(Source!$C224&gt;=COLUMNS($A224:G224), Source!$G224, "")</f>
        <v/>
      </c>
      <c r="H224" s="2" t="str">
        <f>IF(Source!$C224&gt;=COLUMNS($A224:H224), Source!$G224, "")</f>
        <v/>
      </c>
      <c r="I224" s="2" t="str">
        <f>IF(Source!$C224&gt;=COLUMNS($A224:I224), Source!$G224, "")</f>
        <v/>
      </c>
      <c r="J224" s="2" t="str">
        <f>IF(Source!$C224&gt;=COLUMNS($A224:J224), Source!$G224, "")</f>
        <v/>
      </c>
      <c r="K224" s="2" t="str">
        <f>IF(Source!$C224&gt;=COLUMNS($A224:K224), Source!$G224, "")</f>
        <v/>
      </c>
      <c r="L224" s="2" t="str">
        <f>IF(Source!$C224&gt;=COLUMNS($A224:L224), Source!$G224, "")</f>
        <v/>
      </c>
      <c r="M224" s="2" t="str">
        <f>IF(Source!$C224&gt;=COLUMNS($A224:M224), Source!$G224, "")</f>
        <v/>
      </c>
      <c r="N224" s="2" t="str">
        <f>IF(Source!$C224&gt;=COLUMNS($A224:N224), Source!$G224, "")</f>
        <v/>
      </c>
      <c r="O224" s="2" t="str">
        <f>IF(Source!$C224&gt;=COLUMNS($A224:O224), Source!$G224, "")</f>
        <v/>
      </c>
      <c r="P224" s="2" t="str">
        <f>IF(Source!$C224&gt;=COLUMNS($A224:P224), Source!$G224, "")</f>
        <v/>
      </c>
      <c r="Q224" s="2" t="str">
        <f>IF(Source!$C224&gt;=COLUMNS($A224:Q224), Source!$G224, "")</f>
        <v/>
      </c>
      <c r="R224" s="2" t="str">
        <f>IF(Source!$C224&gt;=COLUMNS($A224:R224), Source!$G224, "")</f>
        <v/>
      </c>
      <c r="S224" s="2" t="str">
        <f>IF(Source!$C224&gt;=COLUMNS($A224:S224), Source!$G224, "")</f>
        <v/>
      </c>
      <c r="T224" s="2" t="str">
        <f>IF(Source!$C224&gt;=COLUMNS($A224:T224), Source!$G224, "")</f>
        <v/>
      </c>
      <c r="U224" s="2" t="str">
        <f>IF(Source!$C224&gt;=COLUMNS($A224:U224), Source!$G224, "")</f>
        <v/>
      </c>
      <c r="V224" s="2" t="str">
        <f>IF(Source!$C224&gt;=COLUMNS($A224:V224), Source!$G224, "")</f>
        <v/>
      </c>
      <c r="W224" s="2" t="str">
        <f>IF(Source!$C224&gt;=COLUMNS($A224:W224), Source!$G224, "")</f>
        <v/>
      </c>
      <c r="X224" s="2" t="str">
        <f>IF(Source!$C224&gt;=COLUMNS($A224:X224), Source!$G224, "")</f>
        <v/>
      </c>
      <c r="Y224" s="2" t="str">
        <f>IF(Source!$C224&gt;=COLUMNS($A224:Y224), Source!$G224, "")</f>
        <v/>
      </c>
      <c r="Z224" s="2" t="str">
        <f>IF(Source!$C224&gt;=COLUMNS($A224:Z224), Source!$G224, "")</f>
        <v/>
      </c>
      <c r="AA224" s="2" t="str">
        <f>IF(Source!$C224&gt;=COLUMNS($A224:AA224), Source!$G224, "")</f>
        <v/>
      </c>
      <c r="AB224" s="2" t="str">
        <f>IF(Source!$C224&gt;=COLUMNS($A224:AB224), Source!$G224, "")</f>
        <v/>
      </c>
      <c r="AC224" s="2" t="str">
        <f>IF(Source!$C224&gt;=COLUMNS($A224:AC224), Source!$G224, "")</f>
        <v/>
      </c>
      <c r="AD224" s="2" t="str">
        <f>IF(Source!$C224&gt;=COLUMNS($A224:AD224), Source!$G224, "")</f>
        <v/>
      </c>
      <c r="AE224" s="2" t="str">
        <f>IF(Source!$C224&gt;=COLUMNS($A224:AE224), Source!$G224, "")</f>
        <v/>
      </c>
      <c r="AF224" s="2" t="str">
        <f>IF(Source!$C224&gt;=COLUMNS($A224:AF224), Source!$G224, "")</f>
        <v/>
      </c>
      <c r="AG224" s="2" t="str">
        <f>IF(Source!$C224&gt;=COLUMNS($A224:AG224), Source!$G224, "")</f>
        <v/>
      </c>
      <c r="AH224" s="2" t="str">
        <f>IF(Source!$C224&gt;=COLUMNS($A224:AH224), Source!$G224, "")</f>
        <v/>
      </c>
      <c r="AI224" s="2" t="str">
        <f>IF(Source!$C224&gt;=COLUMNS($A224:AI224), Source!$G224, "")</f>
        <v/>
      </c>
      <c r="AJ224" s="2" t="str">
        <f>IF(Source!$C224&gt;=COLUMNS($A224:AJ224), Source!$G224, "")</f>
        <v/>
      </c>
      <c r="AK224" s="2" t="str">
        <f>IF(Source!$C224&gt;=COLUMNS($A224:AK224), Source!$G224, "")</f>
        <v/>
      </c>
      <c r="AL224" s="2" t="str">
        <f>IF(Source!$C224&gt;=COLUMNS($A224:AL224), Source!$G224, "")</f>
        <v/>
      </c>
      <c r="AM224" s="2" t="str">
        <f>IF(Source!$C224&gt;=COLUMNS($A224:AM224), Source!$G224, "")</f>
        <v/>
      </c>
      <c r="AN224" s="2" t="str">
        <f>IF(Source!$C224&gt;=COLUMNS($A224:AN224), Source!$G224, "")</f>
        <v/>
      </c>
      <c r="AO224" s="2" t="str">
        <f>IF(Source!$C224&gt;=COLUMNS($A224:AO224), Source!$G224, "")</f>
        <v/>
      </c>
      <c r="AP224" s="2" t="str">
        <f>IF(Source!$C224&gt;=COLUMNS($A224:AP224), Source!$G224, "")</f>
        <v/>
      </c>
      <c r="AQ224" s="2" t="str">
        <f>IF(Source!$C224&gt;=COLUMNS($A224:AQ224), Source!$G224, "")</f>
        <v/>
      </c>
      <c r="AR224" s="2" t="str">
        <f>IF(Source!$C224&gt;=COLUMNS($A224:AR224), Source!$G224, "")</f>
        <v/>
      </c>
    </row>
    <row r="225">
      <c r="A225" s="2">
        <f>IF(Source!$C225&gt;=COLUMNS($A225:A225), Source!$G225, "")</f>
        <v>1</v>
      </c>
      <c r="B225" s="2">
        <f>IF(Source!$C225&gt;=COLUMNS($A225:B225), Source!$G225, "")</f>
        <v>1</v>
      </c>
      <c r="C225" s="2">
        <f>IF(Source!$C225&gt;=COLUMNS($A225:C225), Source!$G225, "")</f>
        <v>1</v>
      </c>
      <c r="D225" s="2">
        <f>IF(Source!$C225&gt;=COLUMNS($A225:D225), Source!$G225, "")</f>
        <v>1</v>
      </c>
      <c r="E225" s="2">
        <f>IF(Source!$C225&gt;=COLUMNS($A225:E225), Source!$G225, "")</f>
        <v>1</v>
      </c>
      <c r="F225" s="2">
        <f>IF(Source!$C225&gt;=COLUMNS($A225:F225), Source!$G225, "")</f>
        <v>1</v>
      </c>
      <c r="G225" s="2">
        <f>IF(Source!$C225&gt;=COLUMNS($A225:G225), Source!$G225, "")</f>
        <v>1</v>
      </c>
      <c r="H225" s="2">
        <f>IF(Source!$C225&gt;=COLUMNS($A225:H225), Source!$G225, "")</f>
        <v>1</v>
      </c>
      <c r="I225" s="2">
        <f>IF(Source!$C225&gt;=COLUMNS($A225:I225), Source!$G225, "")</f>
        <v>1</v>
      </c>
      <c r="J225" s="2">
        <f>IF(Source!$C225&gt;=COLUMNS($A225:J225), Source!$G225, "")</f>
        <v>1</v>
      </c>
      <c r="K225" s="2">
        <f>IF(Source!$C225&gt;=COLUMNS($A225:K225), Source!$G225, "")</f>
        <v>1</v>
      </c>
      <c r="L225" s="2">
        <f>IF(Source!$C225&gt;=COLUMNS($A225:L225), Source!$G225, "")</f>
        <v>1</v>
      </c>
      <c r="M225" s="2">
        <f>IF(Source!$C225&gt;=COLUMNS($A225:M225), Source!$G225, "")</f>
        <v>1</v>
      </c>
      <c r="N225" s="2">
        <f>IF(Source!$C225&gt;=COLUMNS($A225:N225), Source!$G225, "")</f>
        <v>1</v>
      </c>
      <c r="O225" s="2" t="str">
        <f>IF(Source!$C225&gt;=COLUMNS($A225:O225), Source!$G225, "")</f>
        <v/>
      </c>
      <c r="P225" s="2" t="str">
        <f>IF(Source!$C225&gt;=COLUMNS($A225:P225), Source!$G225, "")</f>
        <v/>
      </c>
      <c r="Q225" s="2" t="str">
        <f>IF(Source!$C225&gt;=COLUMNS($A225:Q225), Source!$G225, "")</f>
        <v/>
      </c>
      <c r="R225" s="2" t="str">
        <f>IF(Source!$C225&gt;=COLUMNS($A225:R225), Source!$G225, "")</f>
        <v/>
      </c>
      <c r="S225" s="2" t="str">
        <f>IF(Source!$C225&gt;=COLUMNS($A225:S225), Source!$G225, "")</f>
        <v/>
      </c>
      <c r="T225" s="2" t="str">
        <f>IF(Source!$C225&gt;=COLUMNS($A225:T225), Source!$G225, "")</f>
        <v/>
      </c>
      <c r="U225" s="2" t="str">
        <f>IF(Source!$C225&gt;=COLUMNS($A225:U225), Source!$G225, "")</f>
        <v/>
      </c>
      <c r="V225" s="2" t="str">
        <f>IF(Source!$C225&gt;=COLUMNS($A225:V225), Source!$G225, "")</f>
        <v/>
      </c>
      <c r="W225" s="2" t="str">
        <f>IF(Source!$C225&gt;=COLUMNS($A225:W225), Source!$G225, "")</f>
        <v/>
      </c>
      <c r="X225" s="2" t="str">
        <f>IF(Source!$C225&gt;=COLUMNS($A225:X225), Source!$G225, "")</f>
        <v/>
      </c>
      <c r="Y225" s="2" t="str">
        <f>IF(Source!$C225&gt;=COLUMNS($A225:Y225), Source!$G225, "")</f>
        <v/>
      </c>
      <c r="Z225" s="2" t="str">
        <f>IF(Source!$C225&gt;=COLUMNS($A225:Z225), Source!$G225, "")</f>
        <v/>
      </c>
      <c r="AA225" s="2" t="str">
        <f>IF(Source!$C225&gt;=COLUMNS($A225:AA225), Source!$G225, "")</f>
        <v/>
      </c>
      <c r="AB225" s="2" t="str">
        <f>IF(Source!$C225&gt;=COLUMNS($A225:AB225), Source!$G225, "")</f>
        <v/>
      </c>
      <c r="AC225" s="2" t="str">
        <f>IF(Source!$C225&gt;=COLUMNS($A225:AC225), Source!$G225, "")</f>
        <v/>
      </c>
      <c r="AD225" s="2" t="str">
        <f>IF(Source!$C225&gt;=COLUMNS($A225:AD225), Source!$G225, "")</f>
        <v/>
      </c>
      <c r="AE225" s="2" t="str">
        <f>IF(Source!$C225&gt;=COLUMNS($A225:AE225), Source!$G225, "")</f>
        <v/>
      </c>
      <c r="AF225" s="2" t="str">
        <f>IF(Source!$C225&gt;=COLUMNS($A225:AF225), Source!$G225, "")</f>
        <v/>
      </c>
      <c r="AG225" s="2" t="str">
        <f>IF(Source!$C225&gt;=COLUMNS($A225:AG225), Source!$G225, "")</f>
        <v/>
      </c>
      <c r="AH225" s="2" t="str">
        <f>IF(Source!$C225&gt;=COLUMNS($A225:AH225), Source!$G225, "")</f>
        <v/>
      </c>
      <c r="AI225" s="2" t="str">
        <f>IF(Source!$C225&gt;=COLUMNS($A225:AI225), Source!$G225, "")</f>
        <v/>
      </c>
      <c r="AJ225" s="2" t="str">
        <f>IF(Source!$C225&gt;=COLUMNS($A225:AJ225), Source!$G225, "")</f>
        <v/>
      </c>
      <c r="AK225" s="2" t="str">
        <f>IF(Source!$C225&gt;=COLUMNS($A225:AK225), Source!$G225, "")</f>
        <v/>
      </c>
      <c r="AL225" s="2" t="str">
        <f>IF(Source!$C225&gt;=COLUMNS($A225:AL225), Source!$G225, "")</f>
        <v/>
      </c>
      <c r="AM225" s="2" t="str">
        <f>IF(Source!$C225&gt;=COLUMNS($A225:AM225), Source!$G225, "")</f>
        <v/>
      </c>
      <c r="AN225" s="2" t="str">
        <f>IF(Source!$C225&gt;=COLUMNS($A225:AN225), Source!$G225, "")</f>
        <v/>
      </c>
      <c r="AO225" s="2" t="str">
        <f>IF(Source!$C225&gt;=COLUMNS($A225:AO225), Source!$G225, "")</f>
        <v/>
      </c>
      <c r="AP225" s="2" t="str">
        <f>IF(Source!$C225&gt;=COLUMNS($A225:AP225), Source!$G225, "")</f>
        <v/>
      </c>
      <c r="AQ225" s="2" t="str">
        <f>IF(Source!$C225&gt;=COLUMNS($A225:AQ225), Source!$G225, "")</f>
        <v/>
      </c>
      <c r="AR225" s="2" t="str">
        <f>IF(Source!$C225&gt;=COLUMNS($A225:AR225), Source!$G225, "")</f>
        <v/>
      </c>
    </row>
    <row r="226">
      <c r="A226" s="2">
        <f>IF(Source!$C226&gt;=COLUMNS($A226:A226), Source!$G226, "")</f>
        <v>7</v>
      </c>
      <c r="B226" s="2">
        <f>IF(Source!$C226&gt;=COLUMNS($A226:B226), Source!$G226, "")</f>
        <v>7</v>
      </c>
      <c r="C226" s="2" t="str">
        <f>IF(Source!$C226&gt;=COLUMNS($A226:C226), Source!$G226, "")</f>
        <v/>
      </c>
      <c r="D226" s="2" t="str">
        <f>IF(Source!$C226&gt;=COLUMNS($A226:D226), Source!$G226, "")</f>
        <v/>
      </c>
      <c r="E226" s="2" t="str">
        <f>IF(Source!$C226&gt;=COLUMNS($A226:E226), Source!$G226, "")</f>
        <v/>
      </c>
      <c r="F226" s="2" t="str">
        <f>IF(Source!$C226&gt;=COLUMNS($A226:F226), Source!$G226, "")</f>
        <v/>
      </c>
      <c r="G226" s="2" t="str">
        <f>IF(Source!$C226&gt;=COLUMNS($A226:G226), Source!$G226, "")</f>
        <v/>
      </c>
      <c r="H226" s="2" t="str">
        <f>IF(Source!$C226&gt;=COLUMNS($A226:H226), Source!$G226, "")</f>
        <v/>
      </c>
      <c r="I226" s="2" t="str">
        <f>IF(Source!$C226&gt;=COLUMNS($A226:I226), Source!$G226, "")</f>
        <v/>
      </c>
      <c r="J226" s="2" t="str">
        <f>IF(Source!$C226&gt;=COLUMNS($A226:J226), Source!$G226, "")</f>
        <v/>
      </c>
      <c r="K226" s="2" t="str">
        <f>IF(Source!$C226&gt;=COLUMNS($A226:K226), Source!$G226, "")</f>
        <v/>
      </c>
      <c r="L226" s="2" t="str">
        <f>IF(Source!$C226&gt;=COLUMNS($A226:L226), Source!$G226, "")</f>
        <v/>
      </c>
      <c r="M226" s="2" t="str">
        <f>IF(Source!$C226&gt;=COLUMNS($A226:M226), Source!$G226, "")</f>
        <v/>
      </c>
      <c r="N226" s="2" t="str">
        <f>IF(Source!$C226&gt;=COLUMNS($A226:N226), Source!$G226, "")</f>
        <v/>
      </c>
      <c r="O226" s="2" t="str">
        <f>IF(Source!$C226&gt;=COLUMNS($A226:O226), Source!$G226, "")</f>
        <v/>
      </c>
      <c r="P226" s="2" t="str">
        <f>IF(Source!$C226&gt;=COLUMNS($A226:P226), Source!$G226, "")</f>
        <v/>
      </c>
      <c r="Q226" s="2" t="str">
        <f>IF(Source!$C226&gt;=COLUMNS($A226:Q226), Source!$G226, "")</f>
        <v/>
      </c>
      <c r="R226" s="2" t="str">
        <f>IF(Source!$C226&gt;=COLUMNS($A226:R226), Source!$G226, "")</f>
        <v/>
      </c>
      <c r="S226" s="2" t="str">
        <f>IF(Source!$C226&gt;=COLUMNS($A226:S226), Source!$G226, "")</f>
        <v/>
      </c>
      <c r="T226" s="2" t="str">
        <f>IF(Source!$C226&gt;=COLUMNS($A226:T226), Source!$G226, "")</f>
        <v/>
      </c>
      <c r="U226" s="2" t="str">
        <f>IF(Source!$C226&gt;=COLUMNS($A226:U226), Source!$G226, "")</f>
        <v/>
      </c>
      <c r="V226" s="2" t="str">
        <f>IF(Source!$C226&gt;=COLUMNS($A226:V226), Source!$G226, "")</f>
        <v/>
      </c>
      <c r="W226" s="2" t="str">
        <f>IF(Source!$C226&gt;=COLUMNS($A226:W226), Source!$G226, "")</f>
        <v/>
      </c>
      <c r="X226" s="2" t="str">
        <f>IF(Source!$C226&gt;=COLUMNS($A226:X226), Source!$G226, "")</f>
        <v/>
      </c>
      <c r="Y226" s="2" t="str">
        <f>IF(Source!$C226&gt;=COLUMNS($A226:Y226), Source!$G226, "")</f>
        <v/>
      </c>
      <c r="Z226" s="2" t="str">
        <f>IF(Source!$C226&gt;=COLUMNS($A226:Z226), Source!$G226, "")</f>
        <v/>
      </c>
      <c r="AA226" s="2" t="str">
        <f>IF(Source!$C226&gt;=COLUMNS($A226:AA226), Source!$G226, "")</f>
        <v/>
      </c>
      <c r="AB226" s="2" t="str">
        <f>IF(Source!$C226&gt;=COLUMNS($A226:AB226), Source!$G226, "")</f>
        <v/>
      </c>
      <c r="AC226" s="2" t="str">
        <f>IF(Source!$C226&gt;=COLUMNS($A226:AC226), Source!$G226, "")</f>
        <v/>
      </c>
      <c r="AD226" s="2" t="str">
        <f>IF(Source!$C226&gt;=COLUMNS($A226:AD226), Source!$G226, "")</f>
        <v/>
      </c>
      <c r="AE226" s="2" t="str">
        <f>IF(Source!$C226&gt;=COLUMNS($A226:AE226), Source!$G226, "")</f>
        <v/>
      </c>
      <c r="AF226" s="2" t="str">
        <f>IF(Source!$C226&gt;=COLUMNS($A226:AF226), Source!$G226, "")</f>
        <v/>
      </c>
      <c r="AG226" s="2" t="str">
        <f>IF(Source!$C226&gt;=COLUMNS($A226:AG226), Source!$G226, "")</f>
        <v/>
      </c>
      <c r="AH226" s="2" t="str">
        <f>IF(Source!$C226&gt;=COLUMNS($A226:AH226), Source!$G226, "")</f>
        <v/>
      </c>
      <c r="AI226" s="2" t="str">
        <f>IF(Source!$C226&gt;=COLUMNS($A226:AI226), Source!$G226, "")</f>
        <v/>
      </c>
      <c r="AJ226" s="2" t="str">
        <f>IF(Source!$C226&gt;=COLUMNS($A226:AJ226), Source!$G226, "")</f>
        <v/>
      </c>
      <c r="AK226" s="2" t="str">
        <f>IF(Source!$C226&gt;=COLUMNS($A226:AK226), Source!$G226, "")</f>
        <v/>
      </c>
      <c r="AL226" s="2" t="str">
        <f>IF(Source!$C226&gt;=COLUMNS($A226:AL226), Source!$G226, "")</f>
        <v/>
      </c>
      <c r="AM226" s="2" t="str">
        <f>IF(Source!$C226&gt;=COLUMNS($A226:AM226), Source!$G226, "")</f>
        <v/>
      </c>
      <c r="AN226" s="2" t="str">
        <f>IF(Source!$C226&gt;=COLUMNS($A226:AN226), Source!$G226, "")</f>
        <v/>
      </c>
      <c r="AO226" s="2" t="str">
        <f>IF(Source!$C226&gt;=COLUMNS($A226:AO226), Source!$G226, "")</f>
        <v/>
      </c>
      <c r="AP226" s="2" t="str">
        <f>IF(Source!$C226&gt;=COLUMNS($A226:AP226), Source!$G226, "")</f>
        <v/>
      </c>
      <c r="AQ226" s="2" t="str">
        <f>IF(Source!$C226&gt;=COLUMNS($A226:AQ226), Source!$G226, "")</f>
        <v/>
      </c>
      <c r="AR226" s="2" t="str">
        <f>IF(Source!$C226&gt;=COLUMNS($A226:AR226), Source!$G226, "")</f>
        <v/>
      </c>
    </row>
    <row r="227">
      <c r="A227" s="2">
        <f>IF(Source!$C227&gt;=COLUMNS($A227:A227), Source!$G227, "")</f>
        <v>3</v>
      </c>
      <c r="B227" s="2">
        <f>IF(Source!$C227&gt;=COLUMNS($A227:B227), Source!$G227, "")</f>
        <v>3</v>
      </c>
      <c r="C227" s="2" t="str">
        <f>IF(Source!$C227&gt;=COLUMNS($A227:C227), Source!$G227, "")</f>
        <v/>
      </c>
      <c r="D227" s="2" t="str">
        <f>IF(Source!$C227&gt;=COLUMNS($A227:D227), Source!$G227, "")</f>
        <v/>
      </c>
      <c r="E227" s="2" t="str">
        <f>IF(Source!$C227&gt;=COLUMNS($A227:E227), Source!$G227, "")</f>
        <v/>
      </c>
      <c r="F227" s="2" t="str">
        <f>IF(Source!$C227&gt;=COLUMNS($A227:F227), Source!$G227, "")</f>
        <v/>
      </c>
      <c r="G227" s="2" t="str">
        <f>IF(Source!$C227&gt;=COLUMNS($A227:G227), Source!$G227, "")</f>
        <v/>
      </c>
      <c r="H227" s="2" t="str">
        <f>IF(Source!$C227&gt;=COLUMNS($A227:H227), Source!$G227, "")</f>
        <v/>
      </c>
      <c r="I227" s="2" t="str">
        <f>IF(Source!$C227&gt;=COLUMNS($A227:I227), Source!$G227, "")</f>
        <v/>
      </c>
      <c r="J227" s="2" t="str">
        <f>IF(Source!$C227&gt;=COLUMNS($A227:J227), Source!$G227, "")</f>
        <v/>
      </c>
      <c r="K227" s="2" t="str">
        <f>IF(Source!$C227&gt;=COLUMNS($A227:K227), Source!$G227, "")</f>
        <v/>
      </c>
      <c r="L227" s="2" t="str">
        <f>IF(Source!$C227&gt;=COLUMNS($A227:L227), Source!$G227, "")</f>
        <v/>
      </c>
      <c r="M227" s="2" t="str">
        <f>IF(Source!$C227&gt;=COLUMNS($A227:M227), Source!$G227, "")</f>
        <v/>
      </c>
      <c r="N227" s="2" t="str">
        <f>IF(Source!$C227&gt;=COLUMNS($A227:N227), Source!$G227, "")</f>
        <v/>
      </c>
      <c r="O227" s="2" t="str">
        <f>IF(Source!$C227&gt;=COLUMNS($A227:O227), Source!$G227, "")</f>
        <v/>
      </c>
      <c r="P227" s="2" t="str">
        <f>IF(Source!$C227&gt;=COLUMNS($A227:P227), Source!$G227, "")</f>
        <v/>
      </c>
      <c r="Q227" s="2" t="str">
        <f>IF(Source!$C227&gt;=COLUMNS($A227:Q227), Source!$G227, "")</f>
        <v/>
      </c>
      <c r="R227" s="2" t="str">
        <f>IF(Source!$C227&gt;=COLUMNS($A227:R227), Source!$G227, "")</f>
        <v/>
      </c>
      <c r="S227" s="2" t="str">
        <f>IF(Source!$C227&gt;=COLUMNS($A227:S227), Source!$G227, "")</f>
        <v/>
      </c>
      <c r="T227" s="2" t="str">
        <f>IF(Source!$C227&gt;=COLUMNS($A227:T227), Source!$G227, "")</f>
        <v/>
      </c>
      <c r="U227" s="2" t="str">
        <f>IF(Source!$C227&gt;=COLUMNS($A227:U227), Source!$G227, "")</f>
        <v/>
      </c>
      <c r="V227" s="2" t="str">
        <f>IF(Source!$C227&gt;=COLUMNS($A227:V227), Source!$G227, "")</f>
        <v/>
      </c>
      <c r="W227" s="2" t="str">
        <f>IF(Source!$C227&gt;=COLUMNS($A227:W227), Source!$G227, "")</f>
        <v/>
      </c>
      <c r="X227" s="2" t="str">
        <f>IF(Source!$C227&gt;=COLUMNS($A227:X227), Source!$G227, "")</f>
        <v/>
      </c>
      <c r="Y227" s="2" t="str">
        <f>IF(Source!$C227&gt;=COLUMNS($A227:Y227), Source!$G227, "")</f>
        <v/>
      </c>
      <c r="Z227" s="2" t="str">
        <f>IF(Source!$C227&gt;=COLUMNS($A227:Z227), Source!$G227, "")</f>
        <v/>
      </c>
      <c r="AA227" s="2" t="str">
        <f>IF(Source!$C227&gt;=COLUMNS($A227:AA227), Source!$G227, "")</f>
        <v/>
      </c>
      <c r="AB227" s="2" t="str">
        <f>IF(Source!$C227&gt;=COLUMNS($A227:AB227), Source!$G227, "")</f>
        <v/>
      </c>
      <c r="AC227" s="2" t="str">
        <f>IF(Source!$C227&gt;=COLUMNS($A227:AC227), Source!$G227, "")</f>
        <v/>
      </c>
      <c r="AD227" s="2" t="str">
        <f>IF(Source!$C227&gt;=COLUMNS($A227:AD227), Source!$G227, "")</f>
        <v/>
      </c>
      <c r="AE227" s="2" t="str">
        <f>IF(Source!$C227&gt;=COLUMNS($A227:AE227), Source!$G227, "")</f>
        <v/>
      </c>
      <c r="AF227" s="2" t="str">
        <f>IF(Source!$C227&gt;=COLUMNS($A227:AF227), Source!$G227, "")</f>
        <v/>
      </c>
      <c r="AG227" s="2" t="str">
        <f>IF(Source!$C227&gt;=COLUMNS($A227:AG227), Source!$G227, "")</f>
        <v/>
      </c>
      <c r="AH227" s="2" t="str">
        <f>IF(Source!$C227&gt;=COLUMNS($A227:AH227), Source!$G227, "")</f>
        <v/>
      </c>
      <c r="AI227" s="2" t="str">
        <f>IF(Source!$C227&gt;=COLUMNS($A227:AI227), Source!$G227, "")</f>
        <v/>
      </c>
      <c r="AJ227" s="2" t="str">
        <f>IF(Source!$C227&gt;=COLUMNS($A227:AJ227), Source!$G227, "")</f>
        <v/>
      </c>
      <c r="AK227" s="2" t="str">
        <f>IF(Source!$C227&gt;=COLUMNS($A227:AK227), Source!$G227, "")</f>
        <v/>
      </c>
      <c r="AL227" s="2" t="str">
        <f>IF(Source!$C227&gt;=COLUMNS($A227:AL227), Source!$G227, "")</f>
        <v/>
      </c>
      <c r="AM227" s="2" t="str">
        <f>IF(Source!$C227&gt;=COLUMNS($A227:AM227), Source!$G227, "")</f>
        <v/>
      </c>
      <c r="AN227" s="2" t="str">
        <f>IF(Source!$C227&gt;=COLUMNS($A227:AN227), Source!$G227, "")</f>
        <v/>
      </c>
      <c r="AO227" s="2" t="str">
        <f>IF(Source!$C227&gt;=COLUMNS($A227:AO227), Source!$G227, "")</f>
        <v/>
      </c>
      <c r="AP227" s="2" t="str">
        <f>IF(Source!$C227&gt;=COLUMNS($A227:AP227), Source!$G227, "")</f>
        <v/>
      </c>
      <c r="AQ227" s="2" t="str">
        <f>IF(Source!$C227&gt;=COLUMNS($A227:AQ227), Source!$G227, "")</f>
        <v/>
      </c>
      <c r="AR227" s="2" t="str">
        <f>IF(Source!$C227&gt;=COLUMNS($A227:AR227), Source!$G227, "")</f>
        <v/>
      </c>
    </row>
    <row r="228">
      <c r="A228" s="2">
        <f>IF(Source!$C228&gt;=COLUMNS($A228:A228), Source!$G228, "")</f>
        <v>9</v>
      </c>
      <c r="B228" s="2" t="str">
        <f>IF(Source!$C228&gt;=COLUMNS($A228:B228), Source!$G228, "")</f>
        <v/>
      </c>
      <c r="C228" s="2" t="str">
        <f>IF(Source!$C228&gt;=COLUMNS($A228:C228), Source!$G228, "")</f>
        <v/>
      </c>
      <c r="D228" s="2" t="str">
        <f>IF(Source!$C228&gt;=COLUMNS($A228:D228), Source!$G228, "")</f>
        <v/>
      </c>
      <c r="E228" s="2" t="str">
        <f>IF(Source!$C228&gt;=COLUMNS($A228:E228), Source!$G228, "")</f>
        <v/>
      </c>
      <c r="F228" s="2" t="str">
        <f>IF(Source!$C228&gt;=COLUMNS($A228:F228), Source!$G228, "")</f>
        <v/>
      </c>
      <c r="G228" s="2" t="str">
        <f>IF(Source!$C228&gt;=COLUMNS($A228:G228), Source!$G228, "")</f>
        <v/>
      </c>
      <c r="H228" s="2" t="str">
        <f>IF(Source!$C228&gt;=COLUMNS($A228:H228), Source!$G228, "")</f>
        <v/>
      </c>
      <c r="I228" s="2" t="str">
        <f>IF(Source!$C228&gt;=COLUMNS($A228:I228), Source!$G228, "")</f>
        <v/>
      </c>
      <c r="J228" s="2" t="str">
        <f>IF(Source!$C228&gt;=COLUMNS($A228:J228), Source!$G228, "")</f>
        <v/>
      </c>
      <c r="K228" s="2" t="str">
        <f>IF(Source!$C228&gt;=COLUMNS($A228:K228), Source!$G228, "")</f>
        <v/>
      </c>
      <c r="L228" s="2" t="str">
        <f>IF(Source!$C228&gt;=COLUMNS($A228:L228), Source!$G228, "")</f>
        <v/>
      </c>
      <c r="M228" s="2" t="str">
        <f>IF(Source!$C228&gt;=COLUMNS($A228:M228), Source!$G228, "")</f>
        <v/>
      </c>
      <c r="N228" s="2" t="str">
        <f>IF(Source!$C228&gt;=COLUMNS($A228:N228), Source!$G228, "")</f>
        <v/>
      </c>
      <c r="O228" s="2" t="str">
        <f>IF(Source!$C228&gt;=COLUMNS($A228:O228), Source!$G228, "")</f>
        <v/>
      </c>
      <c r="P228" s="2" t="str">
        <f>IF(Source!$C228&gt;=COLUMNS($A228:P228), Source!$G228, "")</f>
        <v/>
      </c>
      <c r="Q228" s="2" t="str">
        <f>IF(Source!$C228&gt;=COLUMNS($A228:Q228), Source!$G228, "")</f>
        <v/>
      </c>
      <c r="R228" s="2" t="str">
        <f>IF(Source!$C228&gt;=COLUMNS($A228:R228), Source!$G228, "")</f>
        <v/>
      </c>
      <c r="S228" s="2" t="str">
        <f>IF(Source!$C228&gt;=COLUMNS($A228:S228), Source!$G228, "")</f>
        <v/>
      </c>
      <c r="T228" s="2" t="str">
        <f>IF(Source!$C228&gt;=COLUMNS($A228:T228), Source!$G228, "")</f>
        <v/>
      </c>
      <c r="U228" s="2" t="str">
        <f>IF(Source!$C228&gt;=COLUMNS($A228:U228), Source!$G228, "")</f>
        <v/>
      </c>
      <c r="V228" s="2" t="str">
        <f>IF(Source!$C228&gt;=COLUMNS($A228:V228), Source!$G228, "")</f>
        <v/>
      </c>
      <c r="W228" s="2" t="str">
        <f>IF(Source!$C228&gt;=COLUMNS($A228:W228), Source!$G228, "")</f>
        <v/>
      </c>
      <c r="X228" s="2" t="str">
        <f>IF(Source!$C228&gt;=COLUMNS($A228:X228), Source!$G228, "")</f>
        <v/>
      </c>
      <c r="Y228" s="2" t="str">
        <f>IF(Source!$C228&gt;=COLUMNS($A228:Y228), Source!$G228, "")</f>
        <v/>
      </c>
      <c r="Z228" s="2" t="str">
        <f>IF(Source!$C228&gt;=COLUMNS($A228:Z228), Source!$G228, "")</f>
        <v/>
      </c>
      <c r="AA228" s="2" t="str">
        <f>IF(Source!$C228&gt;=COLUMNS($A228:AA228), Source!$G228, "")</f>
        <v/>
      </c>
      <c r="AB228" s="2" t="str">
        <f>IF(Source!$C228&gt;=COLUMNS($A228:AB228), Source!$G228, "")</f>
        <v/>
      </c>
      <c r="AC228" s="2" t="str">
        <f>IF(Source!$C228&gt;=COLUMNS($A228:AC228), Source!$G228, "")</f>
        <v/>
      </c>
      <c r="AD228" s="2" t="str">
        <f>IF(Source!$C228&gt;=COLUMNS($A228:AD228), Source!$G228, "")</f>
        <v/>
      </c>
      <c r="AE228" s="2" t="str">
        <f>IF(Source!$C228&gt;=COLUMNS($A228:AE228), Source!$G228, "")</f>
        <v/>
      </c>
      <c r="AF228" s="2" t="str">
        <f>IF(Source!$C228&gt;=COLUMNS($A228:AF228), Source!$G228, "")</f>
        <v/>
      </c>
      <c r="AG228" s="2" t="str">
        <f>IF(Source!$C228&gt;=COLUMNS($A228:AG228), Source!$G228, "")</f>
        <v/>
      </c>
      <c r="AH228" s="2" t="str">
        <f>IF(Source!$C228&gt;=COLUMNS($A228:AH228), Source!$G228, "")</f>
        <v/>
      </c>
      <c r="AI228" s="2" t="str">
        <f>IF(Source!$C228&gt;=COLUMNS($A228:AI228), Source!$G228, "")</f>
        <v/>
      </c>
      <c r="AJ228" s="2" t="str">
        <f>IF(Source!$C228&gt;=COLUMNS($A228:AJ228), Source!$G228, "")</f>
        <v/>
      </c>
      <c r="AK228" s="2" t="str">
        <f>IF(Source!$C228&gt;=COLUMNS($A228:AK228), Source!$G228, "")</f>
        <v/>
      </c>
      <c r="AL228" s="2" t="str">
        <f>IF(Source!$C228&gt;=COLUMNS($A228:AL228), Source!$G228, "")</f>
        <v/>
      </c>
      <c r="AM228" s="2" t="str">
        <f>IF(Source!$C228&gt;=COLUMNS($A228:AM228), Source!$G228, "")</f>
        <v/>
      </c>
      <c r="AN228" s="2" t="str">
        <f>IF(Source!$C228&gt;=COLUMNS($A228:AN228), Source!$G228, "")</f>
        <v/>
      </c>
      <c r="AO228" s="2" t="str">
        <f>IF(Source!$C228&gt;=COLUMNS($A228:AO228), Source!$G228, "")</f>
        <v/>
      </c>
      <c r="AP228" s="2" t="str">
        <f>IF(Source!$C228&gt;=COLUMNS($A228:AP228), Source!$G228, "")</f>
        <v/>
      </c>
      <c r="AQ228" s="2" t="str">
        <f>IF(Source!$C228&gt;=COLUMNS($A228:AQ228), Source!$G228, "")</f>
        <v/>
      </c>
      <c r="AR228" s="2" t="str">
        <f>IF(Source!$C228&gt;=COLUMNS($A228:AR228), Source!$G228, "")</f>
        <v/>
      </c>
    </row>
    <row r="229">
      <c r="A229" s="2">
        <f>IF(Source!$C229&gt;=COLUMNS($A229:A229), Source!$G229, "")</f>
        <v>9</v>
      </c>
      <c r="B229" s="2">
        <f>IF(Source!$C229&gt;=COLUMNS($A229:B229), Source!$G229, "")</f>
        <v>9</v>
      </c>
      <c r="C229" s="2">
        <f>IF(Source!$C229&gt;=COLUMNS($A229:C229), Source!$G229, "")</f>
        <v>9</v>
      </c>
      <c r="D229" s="2">
        <f>IF(Source!$C229&gt;=COLUMNS($A229:D229), Source!$G229, "")</f>
        <v>9</v>
      </c>
      <c r="E229" s="2">
        <f>IF(Source!$C229&gt;=COLUMNS($A229:E229), Source!$G229, "")</f>
        <v>9</v>
      </c>
      <c r="F229" s="2" t="str">
        <f>IF(Source!$C229&gt;=COLUMNS($A229:F229), Source!$G229, "")</f>
        <v/>
      </c>
      <c r="G229" s="2" t="str">
        <f>IF(Source!$C229&gt;=COLUMNS($A229:G229), Source!$G229, "")</f>
        <v/>
      </c>
      <c r="H229" s="2" t="str">
        <f>IF(Source!$C229&gt;=COLUMNS($A229:H229), Source!$G229, "")</f>
        <v/>
      </c>
      <c r="I229" s="2" t="str">
        <f>IF(Source!$C229&gt;=COLUMNS($A229:I229), Source!$G229, "")</f>
        <v/>
      </c>
      <c r="J229" s="2" t="str">
        <f>IF(Source!$C229&gt;=COLUMNS($A229:J229), Source!$G229, "")</f>
        <v/>
      </c>
      <c r="K229" s="2" t="str">
        <f>IF(Source!$C229&gt;=COLUMNS($A229:K229), Source!$G229, "")</f>
        <v/>
      </c>
      <c r="L229" s="2" t="str">
        <f>IF(Source!$C229&gt;=COLUMNS($A229:L229), Source!$G229, "")</f>
        <v/>
      </c>
      <c r="M229" s="2" t="str">
        <f>IF(Source!$C229&gt;=COLUMNS($A229:M229), Source!$G229, "")</f>
        <v/>
      </c>
      <c r="N229" s="2" t="str">
        <f>IF(Source!$C229&gt;=COLUMNS($A229:N229), Source!$G229, "")</f>
        <v/>
      </c>
      <c r="O229" s="2" t="str">
        <f>IF(Source!$C229&gt;=COLUMNS($A229:O229), Source!$G229, "")</f>
        <v/>
      </c>
      <c r="P229" s="2" t="str">
        <f>IF(Source!$C229&gt;=COLUMNS($A229:P229), Source!$G229, "")</f>
        <v/>
      </c>
      <c r="Q229" s="2" t="str">
        <f>IF(Source!$C229&gt;=COLUMNS($A229:Q229), Source!$G229, "")</f>
        <v/>
      </c>
      <c r="R229" s="2" t="str">
        <f>IF(Source!$C229&gt;=COLUMNS($A229:R229), Source!$G229, "")</f>
        <v/>
      </c>
      <c r="S229" s="2" t="str">
        <f>IF(Source!$C229&gt;=COLUMNS($A229:S229), Source!$G229, "")</f>
        <v/>
      </c>
      <c r="T229" s="2" t="str">
        <f>IF(Source!$C229&gt;=COLUMNS($A229:T229), Source!$G229, "")</f>
        <v/>
      </c>
      <c r="U229" s="2" t="str">
        <f>IF(Source!$C229&gt;=COLUMNS($A229:U229), Source!$G229, "")</f>
        <v/>
      </c>
      <c r="V229" s="2" t="str">
        <f>IF(Source!$C229&gt;=COLUMNS($A229:V229), Source!$G229, "")</f>
        <v/>
      </c>
      <c r="W229" s="2" t="str">
        <f>IF(Source!$C229&gt;=COLUMNS($A229:W229), Source!$G229, "")</f>
        <v/>
      </c>
      <c r="X229" s="2" t="str">
        <f>IF(Source!$C229&gt;=COLUMNS($A229:X229), Source!$G229, "")</f>
        <v/>
      </c>
      <c r="Y229" s="2" t="str">
        <f>IF(Source!$C229&gt;=COLUMNS($A229:Y229), Source!$G229, "")</f>
        <v/>
      </c>
      <c r="Z229" s="2" t="str">
        <f>IF(Source!$C229&gt;=COLUMNS($A229:Z229), Source!$G229, "")</f>
        <v/>
      </c>
      <c r="AA229" s="2" t="str">
        <f>IF(Source!$C229&gt;=COLUMNS($A229:AA229), Source!$G229, "")</f>
        <v/>
      </c>
      <c r="AB229" s="2" t="str">
        <f>IF(Source!$C229&gt;=COLUMNS($A229:AB229), Source!$G229, "")</f>
        <v/>
      </c>
      <c r="AC229" s="2" t="str">
        <f>IF(Source!$C229&gt;=COLUMNS($A229:AC229), Source!$G229, "")</f>
        <v/>
      </c>
      <c r="AD229" s="2" t="str">
        <f>IF(Source!$C229&gt;=COLUMNS($A229:AD229), Source!$G229, "")</f>
        <v/>
      </c>
      <c r="AE229" s="2" t="str">
        <f>IF(Source!$C229&gt;=COLUMNS($A229:AE229), Source!$G229, "")</f>
        <v/>
      </c>
      <c r="AF229" s="2" t="str">
        <f>IF(Source!$C229&gt;=COLUMNS($A229:AF229), Source!$G229, "")</f>
        <v/>
      </c>
      <c r="AG229" s="2" t="str">
        <f>IF(Source!$C229&gt;=COLUMNS($A229:AG229), Source!$G229, "")</f>
        <v/>
      </c>
      <c r="AH229" s="2" t="str">
        <f>IF(Source!$C229&gt;=COLUMNS($A229:AH229), Source!$G229, "")</f>
        <v/>
      </c>
      <c r="AI229" s="2" t="str">
        <f>IF(Source!$C229&gt;=COLUMNS($A229:AI229), Source!$G229, "")</f>
        <v/>
      </c>
      <c r="AJ229" s="2" t="str">
        <f>IF(Source!$C229&gt;=COLUMNS($A229:AJ229), Source!$G229, "")</f>
        <v/>
      </c>
      <c r="AK229" s="2" t="str">
        <f>IF(Source!$C229&gt;=COLUMNS($A229:AK229), Source!$G229, "")</f>
        <v/>
      </c>
      <c r="AL229" s="2" t="str">
        <f>IF(Source!$C229&gt;=COLUMNS($A229:AL229), Source!$G229, "")</f>
        <v/>
      </c>
      <c r="AM229" s="2" t="str">
        <f>IF(Source!$C229&gt;=COLUMNS($A229:AM229), Source!$G229, "")</f>
        <v/>
      </c>
      <c r="AN229" s="2" t="str">
        <f>IF(Source!$C229&gt;=COLUMNS($A229:AN229), Source!$G229, "")</f>
        <v/>
      </c>
      <c r="AO229" s="2" t="str">
        <f>IF(Source!$C229&gt;=COLUMNS($A229:AO229), Source!$G229, "")</f>
        <v/>
      </c>
      <c r="AP229" s="2" t="str">
        <f>IF(Source!$C229&gt;=COLUMNS($A229:AP229), Source!$G229, "")</f>
        <v/>
      </c>
      <c r="AQ229" s="2" t="str">
        <f>IF(Source!$C229&gt;=COLUMNS($A229:AQ229), Source!$G229, "")</f>
        <v/>
      </c>
      <c r="AR229" s="2" t="str">
        <f>IF(Source!$C229&gt;=COLUMNS($A229:AR229), Source!$G229, "")</f>
        <v/>
      </c>
    </row>
    <row r="230">
      <c r="A230" s="2">
        <f>IF(Source!$C230&gt;=COLUMNS($A230:A230), Source!$G230, "")</f>
        <v>9</v>
      </c>
      <c r="B230" s="2">
        <f>IF(Source!$C230&gt;=COLUMNS($A230:B230), Source!$G230, "")</f>
        <v>9</v>
      </c>
      <c r="C230" s="2">
        <f>IF(Source!$C230&gt;=COLUMNS($A230:C230), Source!$G230, "")</f>
        <v>9</v>
      </c>
      <c r="D230" s="2">
        <f>IF(Source!$C230&gt;=COLUMNS($A230:D230), Source!$G230, "")</f>
        <v>9</v>
      </c>
      <c r="E230" s="2">
        <f>IF(Source!$C230&gt;=COLUMNS($A230:E230), Source!$G230, "")</f>
        <v>9</v>
      </c>
      <c r="F230" s="2">
        <f>IF(Source!$C230&gt;=COLUMNS($A230:F230), Source!$G230, "")</f>
        <v>9</v>
      </c>
      <c r="G230" s="2">
        <f>IF(Source!$C230&gt;=COLUMNS($A230:G230), Source!$G230, "")</f>
        <v>9</v>
      </c>
      <c r="H230" s="2">
        <f>IF(Source!$C230&gt;=COLUMNS($A230:H230), Source!$G230, "")</f>
        <v>9</v>
      </c>
      <c r="I230" s="2">
        <f>IF(Source!$C230&gt;=COLUMNS($A230:I230), Source!$G230, "")</f>
        <v>9</v>
      </c>
      <c r="J230" s="2">
        <f>IF(Source!$C230&gt;=COLUMNS($A230:J230), Source!$G230, "")</f>
        <v>9</v>
      </c>
      <c r="K230" s="2">
        <f>IF(Source!$C230&gt;=COLUMNS($A230:K230), Source!$G230, "")</f>
        <v>9</v>
      </c>
      <c r="L230" s="2">
        <f>IF(Source!$C230&gt;=COLUMNS($A230:L230), Source!$G230, "")</f>
        <v>9</v>
      </c>
      <c r="M230" s="2">
        <f>IF(Source!$C230&gt;=COLUMNS($A230:M230), Source!$G230, "")</f>
        <v>9</v>
      </c>
      <c r="N230" s="2">
        <f>IF(Source!$C230&gt;=COLUMNS($A230:N230), Source!$G230, "")</f>
        <v>9</v>
      </c>
      <c r="O230" s="2">
        <f>IF(Source!$C230&gt;=COLUMNS($A230:O230), Source!$G230, "")</f>
        <v>9</v>
      </c>
      <c r="P230" s="2">
        <f>IF(Source!$C230&gt;=COLUMNS($A230:P230), Source!$G230, "")</f>
        <v>9</v>
      </c>
      <c r="Q230" s="2">
        <f>IF(Source!$C230&gt;=COLUMNS($A230:Q230), Source!$G230, "")</f>
        <v>9</v>
      </c>
      <c r="R230" s="2">
        <f>IF(Source!$C230&gt;=COLUMNS($A230:R230), Source!$G230, "")</f>
        <v>9</v>
      </c>
      <c r="S230" s="2">
        <f>IF(Source!$C230&gt;=COLUMNS($A230:S230), Source!$G230, "")</f>
        <v>9</v>
      </c>
      <c r="T230" s="2">
        <f>IF(Source!$C230&gt;=COLUMNS($A230:T230), Source!$G230, "")</f>
        <v>9</v>
      </c>
      <c r="U230" s="2">
        <f>IF(Source!$C230&gt;=COLUMNS($A230:U230), Source!$G230, "")</f>
        <v>9</v>
      </c>
      <c r="V230" s="2" t="str">
        <f>IF(Source!$C230&gt;=COLUMNS($A230:V230), Source!$G230, "")</f>
        <v/>
      </c>
      <c r="W230" s="2" t="str">
        <f>IF(Source!$C230&gt;=COLUMNS($A230:W230), Source!$G230, "")</f>
        <v/>
      </c>
      <c r="X230" s="2" t="str">
        <f>IF(Source!$C230&gt;=COLUMNS($A230:X230), Source!$G230, "")</f>
        <v/>
      </c>
      <c r="Y230" s="2" t="str">
        <f>IF(Source!$C230&gt;=COLUMNS($A230:Y230), Source!$G230, "")</f>
        <v/>
      </c>
      <c r="Z230" s="2" t="str">
        <f>IF(Source!$C230&gt;=COLUMNS($A230:Z230), Source!$G230, "")</f>
        <v/>
      </c>
      <c r="AA230" s="2" t="str">
        <f>IF(Source!$C230&gt;=COLUMNS($A230:AA230), Source!$G230, "")</f>
        <v/>
      </c>
      <c r="AB230" s="2" t="str">
        <f>IF(Source!$C230&gt;=COLUMNS($A230:AB230), Source!$G230, "")</f>
        <v/>
      </c>
      <c r="AC230" s="2" t="str">
        <f>IF(Source!$C230&gt;=COLUMNS($A230:AC230), Source!$G230, "")</f>
        <v/>
      </c>
      <c r="AD230" s="2" t="str">
        <f>IF(Source!$C230&gt;=COLUMNS($A230:AD230), Source!$G230, "")</f>
        <v/>
      </c>
      <c r="AE230" s="2" t="str">
        <f>IF(Source!$C230&gt;=COLUMNS($A230:AE230), Source!$G230, "")</f>
        <v/>
      </c>
      <c r="AF230" s="2" t="str">
        <f>IF(Source!$C230&gt;=COLUMNS($A230:AF230), Source!$G230, "")</f>
        <v/>
      </c>
      <c r="AG230" s="2" t="str">
        <f>IF(Source!$C230&gt;=COLUMNS($A230:AG230), Source!$G230, "")</f>
        <v/>
      </c>
      <c r="AH230" s="2" t="str">
        <f>IF(Source!$C230&gt;=COLUMNS($A230:AH230), Source!$G230, "")</f>
        <v/>
      </c>
      <c r="AI230" s="2" t="str">
        <f>IF(Source!$C230&gt;=COLUMNS($A230:AI230), Source!$G230, "")</f>
        <v/>
      </c>
      <c r="AJ230" s="2" t="str">
        <f>IF(Source!$C230&gt;=COLUMNS($A230:AJ230), Source!$G230, "")</f>
        <v/>
      </c>
      <c r="AK230" s="2" t="str">
        <f>IF(Source!$C230&gt;=COLUMNS($A230:AK230), Source!$G230, "")</f>
        <v/>
      </c>
      <c r="AL230" s="2" t="str">
        <f>IF(Source!$C230&gt;=COLUMNS($A230:AL230), Source!$G230, "")</f>
        <v/>
      </c>
      <c r="AM230" s="2" t="str">
        <f>IF(Source!$C230&gt;=COLUMNS($A230:AM230), Source!$G230, "")</f>
        <v/>
      </c>
      <c r="AN230" s="2" t="str">
        <f>IF(Source!$C230&gt;=COLUMNS($A230:AN230), Source!$G230, "")</f>
        <v/>
      </c>
      <c r="AO230" s="2" t="str">
        <f>IF(Source!$C230&gt;=COLUMNS($A230:AO230), Source!$G230, "")</f>
        <v/>
      </c>
      <c r="AP230" s="2" t="str">
        <f>IF(Source!$C230&gt;=COLUMNS($A230:AP230), Source!$G230, "")</f>
        <v/>
      </c>
      <c r="AQ230" s="2" t="str">
        <f>IF(Source!$C230&gt;=COLUMNS($A230:AQ230), Source!$G230, "")</f>
        <v/>
      </c>
      <c r="AR230" s="2" t="str">
        <f>IF(Source!$C230&gt;=COLUMNS($A230:AR230), Source!$G230, "")</f>
        <v/>
      </c>
    </row>
    <row r="231">
      <c r="A231" s="2">
        <f>IF(Source!$C231&gt;=COLUMNS($A231:A231), Source!$G231, "")</f>
        <v>6</v>
      </c>
      <c r="B231" s="2">
        <f>IF(Source!$C231&gt;=COLUMNS($A231:B231), Source!$G231, "")</f>
        <v>6</v>
      </c>
      <c r="C231" s="2" t="str">
        <f>IF(Source!$C231&gt;=COLUMNS($A231:C231), Source!$G231, "")</f>
        <v/>
      </c>
      <c r="D231" s="2" t="str">
        <f>IF(Source!$C231&gt;=COLUMNS($A231:D231), Source!$G231, "")</f>
        <v/>
      </c>
      <c r="E231" s="2" t="str">
        <f>IF(Source!$C231&gt;=COLUMNS($A231:E231), Source!$G231, "")</f>
        <v/>
      </c>
      <c r="F231" s="2" t="str">
        <f>IF(Source!$C231&gt;=COLUMNS($A231:F231), Source!$G231, "")</f>
        <v/>
      </c>
      <c r="G231" s="2" t="str">
        <f>IF(Source!$C231&gt;=COLUMNS($A231:G231), Source!$G231, "")</f>
        <v/>
      </c>
      <c r="H231" s="2" t="str">
        <f>IF(Source!$C231&gt;=COLUMNS($A231:H231), Source!$G231, "")</f>
        <v/>
      </c>
      <c r="I231" s="2" t="str">
        <f>IF(Source!$C231&gt;=COLUMNS($A231:I231), Source!$G231, "")</f>
        <v/>
      </c>
      <c r="J231" s="2" t="str">
        <f>IF(Source!$C231&gt;=COLUMNS($A231:J231), Source!$G231, "")</f>
        <v/>
      </c>
      <c r="K231" s="2" t="str">
        <f>IF(Source!$C231&gt;=COLUMNS($A231:K231), Source!$G231, "")</f>
        <v/>
      </c>
      <c r="L231" s="2" t="str">
        <f>IF(Source!$C231&gt;=COLUMNS($A231:L231), Source!$G231, "")</f>
        <v/>
      </c>
      <c r="M231" s="2" t="str">
        <f>IF(Source!$C231&gt;=COLUMNS($A231:M231), Source!$G231, "")</f>
        <v/>
      </c>
      <c r="N231" s="2" t="str">
        <f>IF(Source!$C231&gt;=COLUMNS($A231:N231), Source!$G231, "")</f>
        <v/>
      </c>
      <c r="O231" s="2" t="str">
        <f>IF(Source!$C231&gt;=COLUMNS($A231:O231), Source!$G231, "")</f>
        <v/>
      </c>
      <c r="P231" s="2" t="str">
        <f>IF(Source!$C231&gt;=COLUMNS($A231:P231), Source!$G231, "")</f>
        <v/>
      </c>
      <c r="Q231" s="2" t="str">
        <f>IF(Source!$C231&gt;=COLUMNS($A231:Q231), Source!$G231, "")</f>
        <v/>
      </c>
      <c r="R231" s="2" t="str">
        <f>IF(Source!$C231&gt;=COLUMNS($A231:R231), Source!$G231, "")</f>
        <v/>
      </c>
      <c r="S231" s="2" t="str">
        <f>IF(Source!$C231&gt;=COLUMNS($A231:S231), Source!$G231, "")</f>
        <v/>
      </c>
      <c r="T231" s="2" t="str">
        <f>IF(Source!$C231&gt;=COLUMNS($A231:T231), Source!$G231, "")</f>
        <v/>
      </c>
      <c r="U231" s="2" t="str">
        <f>IF(Source!$C231&gt;=COLUMNS($A231:U231), Source!$G231, "")</f>
        <v/>
      </c>
      <c r="V231" s="2" t="str">
        <f>IF(Source!$C231&gt;=COLUMNS($A231:V231), Source!$G231, "")</f>
        <v/>
      </c>
      <c r="W231" s="2" t="str">
        <f>IF(Source!$C231&gt;=COLUMNS($A231:W231), Source!$G231, "")</f>
        <v/>
      </c>
      <c r="X231" s="2" t="str">
        <f>IF(Source!$C231&gt;=COLUMNS($A231:X231), Source!$G231, "")</f>
        <v/>
      </c>
      <c r="Y231" s="2" t="str">
        <f>IF(Source!$C231&gt;=COLUMNS($A231:Y231), Source!$G231, "")</f>
        <v/>
      </c>
      <c r="Z231" s="2" t="str">
        <f>IF(Source!$C231&gt;=COLUMNS($A231:Z231), Source!$G231, "")</f>
        <v/>
      </c>
      <c r="AA231" s="2" t="str">
        <f>IF(Source!$C231&gt;=COLUMNS($A231:AA231), Source!$G231, "")</f>
        <v/>
      </c>
      <c r="AB231" s="2" t="str">
        <f>IF(Source!$C231&gt;=COLUMNS($A231:AB231), Source!$G231, "")</f>
        <v/>
      </c>
      <c r="AC231" s="2" t="str">
        <f>IF(Source!$C231&gt;=COLUMNS($A231:AC231), Source!$G231, "")</f>
        <v/>
      </c>
      <c r="AD231" s="2" t="str">
        <f>IF(Source!$C231&gt;=COLUMNS($A231:AD231), Source!$G231, "")</f>
        <v/>
      </c>
      <c r="AE231" s="2" t="str">
        <f>IF(Source!$C231&gt;=COLUMNS($A231:AE231), Source!$G231, "")</f>
        <v/>
      </c>
      <c r="AF231" s="2" t="str">
        <f>IF(Source!$C231&gt;=COLUMNS($A231:AF231), Source!$G231, "")</f>
        <v/>
      </c>
      <c r="AG231" s="2" t="str">
        <f>IF(Source!$C231&gt;=COLUMNS($A231:AG231), Source!$G231, "")</f>
        <v/>
      </c>
      <c r="AH231" s="2" t="str">
        <f>IF(Source!$C231&gt;=COLUMNS($A231:AH231), Source!$G231, "")</f>
        <v/>
      </c>
      <c r="AI231" s="2" t="str">
        <f>IF(Source!$C231&gt;=COLUMNS($A231:AI231), Source!$G231, "")</f>
        <v/>
      </c>
      <c r="AJ231" s="2" t="str">
        <f>IF(Source!$C231&gt;=COLUMNS($A231:AJ231), Source!$G231, "")</f>
        <v/>
      </c>
      <c r="AK231" s="2" t="str">
        <f>IF(Source!$C231&gt;=COLUMNS($A231:AK231), Source!$G231, "")</f>
        <v/>
      </c>
      <c r="AL231" s="2" t="str">
        <f>IF(Source!$C231&gt;=COLUMNS($A231:AL231), Source!$G231, "")</f>
        <v/>
      </c>
      <c r="AM231" s="2" t="str">
        <f>IF(Source!$C231&gt;=COLUMNS($A231:AM231), Source!$G231, "")</f>
        <v/>
      </c>
      <c r="AN231" s="2" t="str">
        <f>IF(Source!$C231&gt;=COLUMNS($A231:AN231), Source!$G231, "")</f>
        <v/>
      </c>
      <c r="AO231" s="2" t="str">
        <f>IF(Source!$C231&gt;=COLUMNS($A231:AO231), Source!$G231, "")</f>
        <v/>
      </c>
      <c r="AP231" s="2" t="str">
        <f>IF(Source!$C231&gt;=COLUMNS($A231:AP231), Source!$G231, "")</f>
        <v/>
      </c>
      <c r="AQ231" s="2" t="str">
        <f>IF(Source!$C231&gt;=COLUMNS($A231:AQ231), Source!$G231, "")</f>
        <v/>
      </c>
      <c r="AR231" s="2" t="str">
        <f>IF(Source!$C231&gt;=COLUMNS($A231:AR231), Source!$G231, "")</f>
        <v/>
      </c>
    </row>
    <row r="232">
      <c r="A232" s="2">
        <f>IF(Source!$C232&gt;=COLUMNS($A232:A232), Source!$G232, "")</f>
        <v>4</v>
      </c>
      <c r="B232" s="2">
        <f>IF(Source!$C232&gt;=COLUMNS($A232:B232), Source!$G232, "")</f>
        <v>4</v>
      </c>
      <c r="C232" s="2">
        <f>IF(Source!$C232&gt;=COLUMNS($A232:C232), Source!$G232, "")</f>
        <v>4</v>
      </c>
      <c r="D232" s="2" t="str">
        <f>IF(Source!$C232&gt;=COLUMNS($A232:D232), Source!$G232, "")</f>
        <v/>
      </c>
      <c r="E232" s="2" t="str">
        <f>IF(Source!$C232&gt;=COLUMNS($A232:E232), Source!$G232, "")</f>
        <v/>
      </c>
      <c r="F232" s="2" t="str">
        <f>IF(Source!$C232&gt;=COLUMNS($A232:F232), Source!$G232, "")</f>
        <v/>
      </c>
      <c r="G232" s="2" t="str">
        <f>IF(Source!$C232&gt;=COLUMNS($A232:G232), Source!$G232, "")</f>
        <v/>
      </c>
      <c r="H232" s="2" t="str">
        <f>IF(Source!$C232&gt;=COLUMNS($A232:H232), Source!$G232, "")</f>
        <v/>
      </c>
      <c r="I232" s="2" t="str">
        <f>IF(Source!$C232&gt;=COLUMNS($A232:I232), Source!$G232, "")</f>
        <v/>
      </c>
      <c r="J232" s="2" t="str">
        <f>IF(Source!$C232&gt;=COLUMNS($A232:J232), Source!$G232, "")</f>
        <v/>
      </c>
      <c r="K232" s="2" t="str">
        <f>IF(Source!$C232&gt;=COLUMNS($A232:K232), Source!$G232, "")</f>
        <v/>
      </c>
      <c r="L232" s="2" t="str">
        <f>IF(Source!$C232&gt;=COLUMNS($A232:L232), Source!$G232, "")</f>
        <v/>
      </c>
      <c r="M232" s="2" t="str">
        <f>IF(Source!$C232&gt;=COLUMNS($A232:M232), Source!$G232, "")</f>
        <v/>
      </c>
      <c r="N232" s="2" t="str">
        <f>IF(Source!$C232&gt;=COLUMNS($A232:N232), Source!$G232, "")</f>
        <v/>
      </c>
      <c r="O232" s="2" t="str">
        <f>IF(Source!$C232&gt;=COLUMNS($A232:O232), Source!$G232, "")</f>
        <v/>
      </c>
      <c r="P232" s="2" t="str">
        <f>IF(Source!$C232&gt;=COLUMNS($A232:P232), Source!$G232, "")</f>
        <v/>
      </c>
      <c r="Q232" s="2" t="str">
        <f>IF(Source!$C232&gt;=COLUMNS($A232:Q232), Source!$G232, "")</f>
        <v/>
      </c>
      <c r="R232" s="2" t="str">
        <f>IF(Source!$C232&gt;=COLUMNS($A232:R232), Source!$G232, "")</f>
        <v/>
      </c>
      <c r="S232" s="2" t="str">
        <f>IF(Source!$C232&gt;=COLUMNS($A232:S232), Source!$G232, "")</f>
        <v/>
      </c>
      <c r="T232" s="2" t="str">
        <f>IF(Source!$C232&gt;=COLUMNS($A232:T232), Source!$G232, "")</f>
        <v/>
      </c>
      <c r="U232" s="2" t="str">
        <f>IF(Source!$C232&gt;=COLUMNS($A232:U232), Source!$G232, "")</f>
        <v/>
      </c>
      <c r="V232" s="2" t="str">
        <f>IF(Source!$C232&gt;=COLUMNS($A232:V232), Source!$G232, "")</f>
        <v/>
      </c>
      <c r="W232" s="2" t="str">
        <f>IF(Source!$C232&gt;=COLUMNS($A232:W232), Source!$G232, "")</f>
        <v/>
      </c>
      <c r="X232" s="2" t="str">
        <f>IF(Source!$C232&gt;=COLUMNS($A232:X232), Source!$G232, "")</f>
        <v/>
      </c>
      <c r="Y232" s="2" t="str">
        <f>IF(Source!$C232&gt;=COLUMNS($A232:Y232), Source!$G232, "")</f>
        <v/>
      </c>
      <c r="Z232" s="2" t="str">
        <f>IF(Source!$C232&gt;=COLUMNS($A232:Z232), Source!$G232, "")</f>
        <v/>
      </c>
      <c r="AA232" s="2" t="str">
        <f>IF(Source!$C232&gt;=COLUMNS($A232:AA232), Source!$G232, "")</f>
        <v/>
      </c>
      <c r="AB232" s="2" t="str">
        <f>IF(Source!$C232&gt;=COLUMNS($A232:AB232), Source!$G232, "")</f>
        <v/>
      </c>
      <c r="AC232" s="2" t="str">
        <f>IF(Source!$C232&gt;=COLUMNS($A232:AC232), Source!$G232, "")</f>
        <v/>
      </c>
      <c r="AD232" s="2" t="str">
        <f>IF(Source!$C232&gt;=COLUMNS($A232:AD232), Source!$G232, "")</f>
        <v/>
      </c>
      <c r="AE232" s="2" t="str">
        <f>IF(Source!$C232&gt;=COLUMNS($A232:AE232), Source!$G232, "")</f>
        <v/>
      </c>
      <c r="AF232" s="2" t="str">
        <f>IF(Source!$C232&gt;=COLUMNS($A232:AF232), Source!$G232, "")</f>
        <v/>
      </c>
      <c r="AG232" s="2" t="str">
        <f>IF(Source!$C232&gt;=COLUMNS($A232:AG232), Source!$G232, "")</f>
        <v/>
      </c>
      <c r="AH232" s="2" t="str">
        <f>IF(Source!$C232&gt;=COLUMNS($A232:AH232), Source!$G232, "")</f>
        <v/>
      </c>
      <c r="AI232" s="2" t="str">
        <f>IF(Source!$C232&gt;=COLUMNS($A232:AI232), Source!$G232, "")</f>
        <v/>
      </c>
      <c r="AJ232" s="2" t="str">
        <f>IF(Source!$C232&gt;=COLUMNS($A232:AJ232), Source!$G232, "")</f>
        <v/>
      </c>
      <c r="AK232" s="2" t="str">
        <f>IF(Source!$C232&gt;=COLUMNS($A232:AK232), Source!$G232, "")</f>
        <v/>
      </c>
      <c r="AL232" s="2" t="str">
        <f>IF(Source!$C232&gt;=COLUMNS($A232:AL232), Source!$G232, "")</f>
        <v/>
      </c>
      <c r="AM232" s="2" t="str">
        <f>IF(Source!$C232&gt;=COLUMNS($A232:AM232), Source!$G232, "")</f>
        <v/>
      </c>
      <c r="AN232" s="2" t="str">
        <f>IF(Source!$C232&gt;=COLUMNS($A232:AN232), Source!$G232, "")</f>
        <v/>
      </c>
      <c r="AO232" s="2" t="str">
        <f>IF(Source!$C232&gt;=COLUMNS($A232:AO232), Source!$G232, "")</f>
        <v/>
      </c>
      <c r="AP232" s="2" t="str">
        <f>IF(Source!$C232&gt;=COLUMNS($A232:AP232), Source!$G232, "")</f>
        <v/>
      </c>
      <c r="AQ232" s="2" t="str">
        <f>IF(Source!$C232&gt;=COLUMNS($A232:AQ232), Source!$G232, "")</f>
        <v/>
      </c>
      <c r="AR232" s="2" t="str">
        <f>IF(Source!$C232&gt;=COLUMNS($A232:AR232), Source!$G232, "")</f>
        <v/>
      </c>
    </row>
    <row r="233">
      <c r="A233" s="2">
        <f>IF(Source!$C233&gt;=COLUMNS($A233:A233), Source!$G233, "")</f>
        <v>3</v>
      </c>
      <c r="B233" s="2" t="str">
        <f>IF(Source!$C233&gt;=COLUMNS($A233:B233), Source!$G233, "")</f>
        <v/>
      </c>
      <c r="C233" s="2" t="str">
        <f>IF(Source!$C233&gt;=COLUMNS($A233:C233), Source!$G233, "")</f>
        <v/>
      </c>
      <c r="D233" s="2" t="str">
        <f>IF(Source!$C233&gt;=COLUMNS($A233:D233), Source!$G233, "")</f>
        <v/>
      </c>
      <c r="E233" s="2" t="str">
        <f>IF(Source!$C233&gt;=COLUMNS($A233:E233), Source!$G233, "")</f>
        <v/>
      </c>
      <c r="F233" s="2" t="str">
        <f>IF(Source!$C233&gt;=COLUMNS($A233:F233), Source!$G233, "")</f>
        <v/>
      </c>
      <c r="G233" s="2" t="str">
        <f>IF(Source!$C233&gt;=COLUMNS($A233:G233), Source!$G233, "")</f>
        <v/>
      </c>
      <c r="H233" s="2" t="str">
        <f>IF(Source!$C233&gt;=COLUMNS($A233:H233), Source!$G233, "")</f>
        <v/>
      </c>
      <c r="I233" s="2" t="str">
        <f>IF(Source!$C233&gt;=COLUMNS($A233:I233), Source!$G233, "")</f>
        <v/>
      </c>
      <c r="J233" s="2" t="str">
        <f>IF(Source!$C233&gt;=COLUMNS($A233:J233), Source!$G233, "")</f>
        <v/>
      </c>
      <c r="K233" s="2" t="str">
        <f>IF(Source!$C233&gt;=COLUMNS($A233:K233), Source!$G233, "")</f>
        <v/>
      </c>
      <c r="L233" s="2" t="str">
        <f>IF(Source!$C233&gt;=COLUMNS($A233:L233), Source!$G233, "")</f>
        <v/>
      </c>
      <c r="M233" s="2" t="str">
        <f>IF(Source!$C233&gt;=COLUMNS($A233:M233), Source!$G233, "")</f>
        <v/>
      </c>
      <c r="N233" s="2" t="str">
        <f>IF(Source!$C233&gt;=COLUMNS($A233:N233), Source!$G233, "")</f>
        <v/>
      </c>
      <c r="O233" s="2" t="str">
        <f>IF(Source!$C233&gt;=COLUMNS($A233:O233), Source!$G233, "")</f>
        <v/>
      </c>
      <c r="P233" s="2" t="str">
        <f>IF(Source!$C233&gt;=COLUMNS($A233:P233), Source!$G233, "")</f>
        <v/>
      </c>
      <c r="Q233" s="2" t="str">
        <f>IF(Source!$C233&gt;=COLUMNS($A233:Q233), Source!$G233, "")</f>
        <v/>
      </c>
      <c r="R233" s="2" t="str">
        <f>IF(Source!$C233&gt;=COLUMNS($A233:R233), Source!$G233, "")</f>
        <v/>
      </c>
      <c r="S233" s="2" t="str">
        <f>IF(Source!$C233&gt;=COLUMNS($A233:S233), Source!$G233, "")</f>
        <v/>
      </c>
      <c r="T233" s="2" t="str">
        <f>IF(Source!$C233&gt;=COLUMNS($A233:T233), Source!$G233, "")</f>
        <v/>
      </c>
      <c r="U233" s="2" t="str">
        <f>IF(Source!$C233&gt;=COLUMNS($A233:U233), Source!$G233, "")</f>
        <v/>
      </c>
      <c r="V233" s="2" t="str">
        <f>IF(Source!$C233&gt;=COLUMNS($A233:V233), Source!$G233, "")</f>
        <v/>
      </c>
      <c r="W233" s="2" t="str">
        <f>IF(Source!$C233&gt;=COLUMNS($A233:W233), Source!$G233, "")</f>
        <v/>
      </c>
      <c r="X233" s="2" t="str">
        <f>IF(Source!$C233&gt;=COLUMNS($A233:X233), Source!$G233, "")</f>
        <v/>
      </c>
      <c r="Y233" s="2" t="str">
        <f>IF(Source!$C233&gt;=COLUMNS($A233:Y233), Source!$G233, "")</f>
        <v/>
      </c>
      <c r="Z233" s="2" t="str">
        <f>IF(Source!$C233&gt;=COLUMNS($A233:Z233), Source!$G233, "")</f>
        <v/>
      </c>
      <c r="AA233" s="2" t="str">
        <f>IF(Source!$C233&gt;=COLUMNS($A233:AA233), Source!$G233, "")</f>
        <v/>
      </c>
      <c r="AB233" s="2" t="str">
        <f>IF(Source!$C233&gt;=COLUMNS($A233:AB233), Source!$G233, "")</f>
        <v/>
      </c>
      <c r="AC233" s="2" t="str">
        <f>IF(Source!$C233&gt;=COLUMNS($A233:AC233), Source!$G233, "")</f>
        <v/>
      </c>
      <c r="AD233" s="2" t="str">
        <f>IF(Source!$C233&gt;=COLUMNS($A233:AD233), Source!$G233, "")</f>
        <v/>
      </c>
      <c r="AE233" s="2" t="str">
        <f>IF(Source!$C233&gt;=COLUMNS($A233:AE233), Source!$G233, "")</f>
        <v/>
      </c>
      <c r="AF233" s="2" t="str">
        <f>IF(Source!$C233&gt;=COLUMNS($A233:AF233), Source!$G233, "")</f>
        <v/>
      </c>
      <c r="AG233" s="2" t="str">
        <f>IF(Source!$C233&gt;=COLUMNS($A233:AG233), Source!$G233, "")</f>
        <v/>
      </c>
      <c r="AH233" s="2" t="str">
        <f>IF(Source!$C233&gt;=COLUMNS($A233:AH233), Source!$G233, "")</f>
        <v/>
      </c>
      <c r="AI233" s="2" t="str">
        <f>IF(Source!$C233&gt;=COLUMNS($A233:AI233), Source!$G233, "")</f>
        <v/>
      </c>
      <c r="AJ233" s="2" t="str">
        <f>IF(Source!$C233&gt;=COLUMNS($A233:AJ233), Source!$G233, "")</f>
        <v/>
      </c>
      <c r="AK233" s="2" t="str">
        <f>IF(Source!$C233&gt;=COLUMNS($A233:AK233), Source!$G233, "")</f>
        <v/>
      </c>
      <c r="AL233" s="2" t="str">
        <f>IF(Source!$C233&gt;=COLUMNS($A233:AL233), Source!$G233, "")</f>
        <v/>
      </c>
      <c r="AM233" s="2" t="str">
        <f>IF(Source!$C233&gt;=COLUMNS($A233:AM233), Source!$G233, "")</f>
        <v/>
      </c>
      <c r="AN233" s="2" t="str">
        <f>IF(Source!$C233&gt;=COLUMNS($A233:AN233), Source!$G233, "")</f>
        <v/>
      </c>
      <c r="AO233" s="2" t="str">
        <f>IF(Source!$C233&gt;=COLUMNS($A233:AO233), Source!$G233, "")</f>
        <v/>
      </c>
      <c r="AP233" s="2" t="str">
        <f>IF(Source!$C233&gt;=COLUMNS($A233:AP233), Source!$G233, "")</f>
        <v/>
      </c>
      <c r="AQ233" s="2" t="str">
        <f>IF(Source!$C233&gt;=COLUMNS($A233:AQ233), Source!$G233, "")</f>
        <v/>
      </c>
      <c r="AR233" s="2" t="str">
        <f>IF(Source!$C233&gt;=COLUMNS($A233:AR233), Source!$G233, "")</f>
        <v/>
      </c>
    </row>
    <row r="234">
      <c r="A234" s="2">
        <f>IF(Source!$C234&gt;=COLUMNS($A234:A234), Source!$G234, "")</f>
        <v>5</v>
      </c>
      <c r="B234" s="2">
        <f>IF(Source!$C234&gt;=COLUMNS($A234:B234), Source!$G234, "")</f>
        <v>5</v>
      </c>
      <c r="C234" s="2">
        <f>IF(Source!$C234&gt;=COLUMNS($A234:C234), Source!$G234, "")</f>
        <v>5</v>
      </c>
      <c r="D234" s="2">
        <f>IF(Source!$C234&gt;=COLUMNS($A234:D234), Source!$G234, "")</f>
        <v>5</v>
      </c>
      <c r="E234" s="2">
        <f>IF(Source!$C234&gt;=COLUMNS($A234:E234), Source!$G234, "")</f>
        <v>5</v>
      </c>
      <c r="F234" s="2">
        <f>IF(Source!$C234&gt;=COLUMNS($A234:F234), Source!$G234, "")</f>
        <v>5</v>
      </c>
      <c r="G234" s="2">
        <f>IF(Source!$C234&gt;=COLUMNS($A234:G234), Source!$G234, "")</f>
        <v>5</v>
      </c>
      <c r="H234" s="2">
        <f>IF(Source!$C234&gt;=COLUMNS($A234:H234), Source!$G234, "")</f>
        <v>5</v>
      </c>
      <c r="I234" s="2">
        <f>IF(Source!$C234&gt;=COLUMNS($A234:I234), Source!$G234, "")</f>
        <v>5</v>
      </c>
      <c r="J234" s="2">
        <f>IF(Source!$C234&gt;=COLUMNS($A234:J234), Source!$G234, "")</f>
        <v>5</v>
      </c>
      <c r="K234" s="2">
        <f>IF(Source!$C234&gt;=COLUMNS($A234:K234), Source!$G234, "")</f>
        <v>5</v>
      </c>
      <c r="L234" s="2">
        <f>IF(Source!$C234&gt;=COLUMNS($A234:L234), Source!$G234, "")</f>
        <v>5</v>
      </c>
      <c r="M234" s="2">
        <f>IF(Source!$C234&gt;=COLUMNS($A234:M234), Source!$G234, "")</f>
        <v>5</v>
      </c>
      <c r="N234" s="2">
        <f>IF(Source!$C234&gt;=COLUMNS($A234:N234), Source!$G234, "")</f>
        <v>5</v>
      </c>
      <c r="O234" s="2">
        <f>IF(Source!$C234&gt;=COLUMNS($A234:O234), Source!$G234, "")</f>
        <v>5</v>
      </c>
      <c r="P234" s="2">
        <f>IF(Source!$C234&gt;=COLUMNS($A234:P234), Source!$G234, "")</f>
        <v>5</v>
      </c>
      <c r="Q234" s="2">
        <f>IF(Source!$C234&gt;=COLUMNS($A234:Q234), Source!$G234, "")</f>
        <v>5</v>
      </c>
      <c r="R234" s="2">
        <f>IF(Source!$C234&gt;=COLUMNS($A234:R234), Source!$G234, "")</f>
        <v>5</v>
      </c>
      <c r="S234" s="2">
        <f>IF(Source!$C234&gt;=COLUMNS($A234:S234), Source!$G234, "")</f>
        <v>5</v>
      </c>
      <c r="T234" s="2" t="str">
        <f>IF(Source!$C234&gt;=COLUMNS($A234:T234), Source!$G234, "")</f>
        <v/>
      </c>
      <c r="U234" s="2" t="str">
        <f>IF(Source!$C234&gt;=COLUMNS($A234:U234), Source!$G234, "")</f>
        <v/>
      </c>
      <c r="V234" s="2" t="str">
        <f>IF(Source!$C234&gt;=COLUMNS($A234:V234), Source!$G234, "")</f>
        <v/>
      </c>
      <c r="W234" s="2" t="str">
        <f>IF(Source!$C234&gt;=COLUMNS($A234:W234), Source!$G234, "")</f>
        <v/>
      </c>
      <c r="X234" s="2" t="str">
        <f>IF(Source!$C234&gt;=COLUMNS($A234:X234), Source!$G234, "")</f>
        <v/>
      </c>
      <c r="Y234" s="2" t="str">
        <f>IF(Source!$C234&gt;=COLUMNS($A234:Y234), Source!$G234, "")</f>
        <v/>
      </c>
      <c r="Z234" s="2" t="str">
        <f>IF(Source!$C234&gt;=COLUMNS($A234:Z234), Source!$G234, "")</f>
        <v/>
      </c>
      <c r="AA234" s="2" t="str">
        <f>IF(Source!$C234&gt;=COLUMNS($A234:AA234), Source!$G234, "")</f>
        <v/>
      </c>
      <c r="AB234" s="2" t="str">
        <f>IF(Source!$C234&gt;=COLUMNS($A234:AB234), Source!$G234, "")</f>
        <v/>
      </c>
      <c r="AC234" s="2" t="str">
        <f>IF(Source!$C234&gt;=COLUMNS($A234:AC234), Source!$G234, "")</f>
        <v/>
      </c>
      <c r="AD234" s="2" t="str">
        <f>IF(Source!$C234&gt;=COLUMNS($A234:AD234), Source!$G234, "")</f>
        <v/>
      </c>
      <c r="AE234" s="2" t="str">
        <f>IF(Source!$C234&gt;=COLUMNS($A234:AE234), Source!$G234, "")</f>
        <v/>
      </c>
      <c r="AF234" s="2" t="str">
        <f>IF(Source!$C234&gt;=COLUMNS($A234:AF234), Source!$G234, "")</f>
        <v/>
      </c>
      <c r="AG234" s="2" t="str">
        <f>IF(Source!$C234&gt;=COLUMNS($A234:AG234), Source!$G234, "")</f>
        <v/>
      </c>
      <c r="AH234" s="2" t="str">
        <f>IF(Source!$C234&gt;=COLUMNS($A234:AH234), Source!$G234, "")</f>
        <v/>
      </c>
      <c r="AI234" s="2" t="str">
        <f>IF(Source!$C234&gt;=COLUMNS($A234:AI234), Source!$G234, "")</f>
        <v/>
      </c>
      <c r="AJ234" s="2" t="str">
        <f>IF(Source!$C234&gt;=COLUMNS($A234:AJ234), Source!$G234, "")</f>
        <v/>
      </c>
      <c r="AK234" s="2" t="str">
        <f>IF(Source!$C234&gt;=COLUMNS($A234:AK234), Source!$G234, "")</f>
        <v/>
      </c>
      <c r="AL234" s="2" t="str">
        <f>IF(Source!$C234&gt;=COLUMNS($A234:AL234), Source!$G234, "")</f>
        <v/>
      </c>
      <c r="AM234" s="2" t="str">
        <f>IF(Source!$C234&gt;=COLUMNS($A234:AM234), Source!$G234, "")</f>
        <v/>
      </c>
      <c r="AN234" s="2" t="str">
        <f>IF(Source!$C234&gt;=COLUMNS($A234:AN234), Source!$G234, "")</f>
        <v/>
      </c>
      <c r="AO234" s="2" t="str">
        <f>IF(Source!$C234&gt;=COLUMNS($A234:AO234), Source!$G234, "")</f>
        <v/>
      </c>
      <c r="AP234" s="2" t="str">
        <f>IF(Source!$C234&gt;=COLUMNS($A234:AP234), Source!$G234, "")</f>
        <v/>
      </c>
      <c r="AQ234" s="2" t="str">
        <f>IF(Source!$C234&gt;=COLUMNS($A234:AQ234), Source!$G234, "")</f>
        <v/>
      </c>
      <c r="AR234" s="2" t="str">
        <f>IF(Source!$C234&gt;=COLUMNS($A234:AR234), Source!$G234, "")</f>
        <v/>
      </c>
    </row>
    <row r="235">
      <c r="A235" s="2">
        <f>IF(Source!$C235&gt;=COLUMNS($A235:A235), Source!$G235, "")</f>
        <v>7</v>
      </c>
      <c r="B235" s="2" t="str">
        <f>IF(Source!$C235&gt;=COLUMNS($A235:B235), Source!$G235, "")</f>
        <v/>
      </c>
      <c r="C235" s="2" t="str">
        <f>IF(Source!$C235&gt;=COLUMNS($A235:C235), Source!$G235, "")</f>
        <v/>
      </c>
      <c r="D235" s="2" t="str">
        <f>IF(Source!$C235&gt;=COLUMNS($A235:D235), Source!$G235, "")</f>
        <v/>
      </c>
      <c r="E235" s="2" t="str">
        <f>IF(Source!$C235&gt;=COLUMNS($A235:E235), Source!$G235, "")</f>
        <v/>
      </c>
      <c r="F235" s="2" t="str">
        <f>IF(Source!$C235&gt;=COLUMNS($A235:F235), Source!$G235, "")</f>
        <v/>
      </c>
      <c r="G235" s="2" t="str">
        <f>IF(Source!$C235&gt;=COLUMNS($A235:G235), Source!$G235, "")</f>
        <v/>
      </c>
      <c r="H235" s="2" t="str">
        <f>IF(Source!$C235&gt;=COLUMNS($A235:H235), Source!$G235, "")</f>
        <v/>
      </c>
      <c r="I235" s="2" t="str">
        <f>IF(Source!$C235&gt;=COLUMNS($A235:I235), Source!$G235, "")</f>
        <v/>
      </c>
      <c r="J235" s="2" t="str">
        <f>IF(Source!$C235&gt;=COLUMNS($A235:J235), Source!$G235, "")</f>
        <v/>
      </c>
      <c r="K235" s="2" t="str">
        <f>IF(Source!$C235&gt;=COLUMNS($A235:K235), Source!$G235, "")</f>
        <v/>
      </c>
      <c r="L235" s="2" t="str">
        <f>IF(Source!$C235&gt;=COLUMNS($A235:L235), Source!$G235, "")</f>
        <v/>
      </c>
      <c r="M235" s="2" t="str">
        <f>IF(Source!$C235&gt;=COLUMNS($A235:M235), Source!$G235, "")</f>
        <v/>
      </c>
      <c r="N235" s="2" t="str">
        <f>IF(Source!$C235&gt;=COLUMNS($A235:N235), Source!$G235, "")</f>
        <v/>
      </c>
      <c r="O235" s="2" t="str">
        <f>IF(Source!$C235&gt;=COLUMNS($A235:O235), Source!$G235, "")</f>
        <v/>
      </c>
      <c r="P235" s="2" t="str">
        <f>IF(Source!$C235&gt;=COLUMNS($A235:P235), Source!$G235, "")</f>
        <v/>
      </c>
      <c r="Q235" s="2" t="str">
        <f>IF(Source!$C235&gt;=COLUMNS($A235:Q235), Source!$G235, "")</f>
        <v/>
      </c>
      <c r="R235" s="2" t="str">
        <f>IF(Source!$C235&gt;=COLUMNS($A235:R235), Source!$G235, "")</f>
        <v/>
      </c>
      <c r="S235" s="2" t="str">
        <f>IF(Source!$C235&gt;=COLUMNS($A235:S235), Source!$G235, "")</f>
        <v/>
      </c>
      <c r="T235" s="2" t="str">
        <f>IF(Source!$C235&gt;=COLUMNS($A235:T235), Source!$G235, "")</f>
        <v/>
      </c>
      <c r="U235" s="2" t="str">
        <f>IF(Source!$C235&gt;=COLUMNS($A235:U235), Source!$G235, "")</f>
        <v/>
      </c>
      <c r="V235" s="2" t="str">
        <f>IF(Source!$C235&gt;=COLUMNS($A235:V235), Source!$G235, "")</f>
        <v/>
      </c>
      <c r="W235" s="2" t="str">
        <f>IF(Source!$C235&gt;=COLUMNS($A235:W235), Source!$G235, "")</f>
        <v/>
      </c>
      <c r="X235" s="2" t="str">
        <f>IF(Source!$C235&gt;=COLUMNS($A235:X235), Source!$G235, "")</f>
        <v/>
      </c>
      <c r="Y235" s="2" t="str">
        <f>IF(Source!$C235&gt;=COLUMNS($A235:Y235), Source!$G235, "")</f>
        <v/>
      </c>
      <c r="Z235" s="2" t="str">
        <f>IF(Source!$C235&gt;=COLUMNS($A235:Z235), Source!$G235, "")</f>
        <v/>
      </c>
      <c r="AA235" s="2" t="str">
        <f>IF(Source!$C235&gt;=COLUMNS($A235:AA235), Source!$G235, "")</f>
        <v/>
      </c>
      <c r="AB235" s="2" t="str">
        <f>IF(Source!$C235&gt;=COLUMNS($A235:AB235), Source!$G235, "")</f>
        <v/>
      </c>
      <c r="AC235" s="2" t="str">
        <f>IF(Source!$C235&gt;=COLUMNS($A235:AC235), Source!$G235, "")</f>
        <v/>
      </c>
      <c r="AD235" s="2" t="str">
        <f>IF(Source!$C235&gt;=COLUMNS($A235:AD235), Source!$G235, "")</f>
        <v/>
      </c>
      <c r="AE235" s="2" t="str">
        <f>IF(Source!$C235&gt;=COLUMNS($A235:AE235), Source!$G235, "")</f>
        <v/>
      </c>
      <c r="AF235" s="2" t="str">
        <f>IF(Source!$C235&gt;=COLUMNS($A235:AF235), Source!$G235, "")</f>
        <v/>
      </c>
      <c r="AG235" s="2" t="str">
        <f>IF(Source!$C235&gt;=COLUMNS($A235:AG235), Source!$G235, "")</f>
        <v/>
      </c>
      <c r="AH235" s="2" t="str">
        <f>IF(Source!$C235&gt;=COLUMNS($A235:AH235), Source!$G235, "")</f>
        <v/>
      </c>
      <c r="AI235" s="2" t="str">
        <f>IF(Source!$C235&gt;=COLUMNS($A235:AI235), Source!$G235, "")</f>
        <v/>
      </c>
      <c r="AJ235" s="2" t="str">
        <f>IF(Source!$C235&gt;=COLUMNS($A235:AJ235), Source!$G235, "")</f>
        <v/>
      </c>
      <c r="AK235" s="2" t="str">
        <f>IF(Source!$C235&gt;=COLUMNS($A235:AK235), Source!$G235, "")</f>
        <v/>
      </c>
      <c r="AL235" s="2" t="str">
        <f>IF(Source!$C235&gt;=COLUMNS($A235:AL235), Source!$G235, "")</f>
        <v/>
      </c>
      <c r="AM235" s="2" t="str">
        <f>IF(Source!$C235&gt;=COLUMNS($A235:AM235), Source!$G235, "")</f>
        <v/>
      </c>
      <c r="AN235" s="2" t="str">
        <f>IF(Source!$C235&gt;=COLUMNS($A235:AN235), Source!$G235, "")</f>
        <v/>
      </c>
      <c r="AO235" s="2" t="str">
        <f>IF(Source!$C235&gt;=COLUMNS($A235:AO235), Source!$G235, "")</f>
        <v/>
      </c>
      <c r="AP235" s="2" t="str">
        <f>IF(Source!$C235&gt;=COLUMNS($A235:AP235), Source!$G235, "")</f>
        <v/>
      </c>
      <c r="AQ235" s="2" t="str">
        <f>IF(Source!$C235&gt;=COLUMNS($A235:AQ235), Source!$G235, "")</f>
        <v/>
      </c>
      <c r="AR235" s="2" t="str">
        <f>IF(Source!$C235&gt;=COLUMNS($A235:AR235), Source!$G235, "")</f>
        <v/>
      </c>
    </row>
    <row r="236">
      <c r="A236" s="2">
        <f>IF(Source!$C236&gt;=COLUMNS($A236:A236), Source!$G236, "")</f>
        <v>2</v>
      </c>
      <c r="B236" s="2" t="str">
        <f>IF(Source!$C236&gt;=COLUMNS($A236:B236), Source!$G236, "")</f>
        <v/>
      </c>
      <c r="C236" s="2" t="str">
        <f>IF(Source!$C236&gt;=COLUMNS($A236:C236), Source!$G236, "")</f>
        <v/>
      </c>
      <c r="D236" s="2" t="str">
        <f>IF(Source!$C236&gt;=COLUMNS($A236:D236), Source!$G236, "")</f>
        <v/>
      </c>
      <c r="E236" s="2" t="str">
        <f>IF(Source!$C236&gt;=COLUMNS($A236:E236), Source!$G236, "")</f>
        <v/>
      </c>
      <c r="F236" s="2" t="str">
        <f>IF(Source!$C236&gt;=COLUMNS($A236:F236), Source!$G236, "")</f>
        <v/>
      </c>
      <c r="G236" s="2" t="str">
        <f>IF(Source!$C236&gt;=COLUMNS($A236:G236), Source!$G236, "")</f>
        <v/>
      </c>
      <c r="H236" s="2" t="str">
        <f>IF(Source!$C236&gt;=COLUMNS($A236:H236), Source!$G236, "")</f>
        <v/>
      </c>
      <c r="I236" s="2" t="str">
        <f>IF(Source!$C236&gt;=COLUMNS($A236:I236), Source!$G236, "")</f>
        <v/>
      </c>
      <c r="J236" s="2" t="str">
        <f>IF(Source!$C236&gt;=COLUMNS($A236:J236), Source!$G236, "")</f>
        <v/>
      </c>
      <c r="K236" s="2" t="str">
        <f>IF(Source!$C236&gt;=COLUMNS($A236:K236), Source!$G236, "")</f>
        <v/>
      </c>
      <c r="L236" s="2" t="str">
        <f>IF(Source!$C236&gt;=COLUMNS($A236:L236), Source!$G236, "")</f>
        <v/>
      </c>
      <c r="M236" s="2" t="str">
        <f>IF(Source!$C236&gt;=COLUMNS($A236:M236), Source!$G236, "")</f>
        <v/>
      </c>
      <c r="N236" s="2" t="str">
        <f>IF(Source!$C236&gt;=COLUMNS($A236:N236), Source!$G236, "")</f>
        <v/>
      </c>
      <c r="O236" s="2" t="str">
        <f>IF(Source!$C236&gt;=COLUMNS($A236:O236), Source!$G236, "")</f>
        <v/>
      </c>
      <c r="P236" s="2" t="str">
        <f>IF(Source!$C236&gt;=COLUMNS($A236:P236), Source!$G236, "")</f>
        <v/>
      </c>
      <c r="Q236" s="2" t="str">
        <f>IF(Source!$C236&gt;=COLUMNS($A236:Q236), Source!$G236, "")</f>
        <v/>
      </c>
      <c r="R236" s="2" t="str">
        <f>IF(Source!$C236&gt;=COLUMNS($A236:R236), Source!$G236, "")</f>
        <v/>
      </c>
      <c r="S236" s="2" t="str">
        <f>IF(Source!$C236&gt;=COLUMNS($A236:S236), Source!$G236, "")</f>
        <v/>
      </c>
      <c r="T236" s="2" t="str">
        <f>IF(Source!$C236&gt;=COLUMNS($A236:T236), Source!$G236, "")</f>
        <v/>
      </c>
      <c r="U236" s="2" t="str">
        <f>IF(Source!$C236&gt;=COLUMNS($A236:U236), Source!$G236, "")</f>
        <v/>
      </c>
      <c r="V236" s="2" t="str">
        <f>IF(Source!$C236&gt;=COLUMNS($A236:V236), Source!$G236, "")</f>
        <v/>
      </c>
      <c r="W236" s="2" t="str">
        <f>IF(Source!$C236&gt;=COLUMNS($A236:W236), Source!$G236, "")</f>
        <v/>
      </c>
      <c r="X236" s="2" t="str">
        <f>IF(Source!$C236&gt;=COLUMNS($A236:X236), Source!$G236, "")</f>
        <v/>
      </c>
      <c r="Y236" s="2" t="str">
        <f>IF(Source!$C236&gt;=COLUMNS($A236:Y236), Source!$G236, "")</f>
        <v/>
      </c>
      <c r="Z236" s="2" t="str">
        <f>IF(Source!$C236&gt;=COLUMNS($A236:Z236), Source!$G236, "")</f>
        <v/>
      </c>
      <c r="AA236" s="2" t="str">
        <f>IF(Source!$C236&gt;=COLUMNS($A236:AA236), Source!$G236, "")</f>
        <v/>
      </c>
      <c r="AB236" s="2" t="str">
        <f>IF(Source!$C236&gt;=COLUMNS($A236:AB236), Source!$G236, "")</f>
        <v/>
      </c>
      <c r="AC236" s="2" t="str">
        <f>IF(Source!$C236&gt;=COLUMNS($A236:AC236), Source!$G236, "")</f>
        <v/>
      </c>
      <c r="AD236" s="2" t="str">
        <f>IF(Source!$C236&gt;=COLUMNS($A236:AD236), Source!$G236, "")</f>
        <v/>
      </c>
      <c r="AE236" s="2" t="str">
        <f>IF(Source!$C236&gt;=COLUMNS($A236:AE236), Source!$G236, "")</f>
        <v/>
      </c>
      <c r="AF236" s="2" t="str">
        <f>IF(Source!$C236&gt;=COLUMNS($A236:AF236), Source!$G236, "")</f>
        <v/>
      </c>
      <c r="AG236" s="2" t="str">
        <f>IF(Source!$C236&gt;=COLUMNS($A236:AG236), Source!$G236, "")</f>
        <v/>
      </c>
      <c r="AH236" s="2" t="str">
        <f>IF(Source!$C236&gt;=COLUMNS($A236:AH236), Source!$G236, "")</f>
        <v/>
      </c>
      <c r="AI236" s="2" t="str">
        <f>IF(Source!$C236&gt;=COLUMNS($A236:AI236), Source!$G236, "")</f>
        <v/>
      </c>
      <c r="AJ236" s="2" t="str">
        <f>IF(Source!$C236&gt;=COLUMNS($A236:AJ236), Source!$G236, "")</f>
        <v/>
      </c>
      <c r="AK236" s="2" t="str">
        <f>IF(Source!$C236&gt;=COLUMNS($A236:AK236), Source!$G236, "")</f>
        <v/>
      </c>
      <c r="AL236" s="2" t="str">
        <f>IF(Source!$C236&gt;=COLUMNS($A236:AL236), Source!$G236, "")</f>
        <v/>
      </c>
      <c r="AM236" s="2" t="str">
        <f>IF(Source!$C236&gt;=COLUMNS($A236:AM236), Source!$G236, "")</f>
        <v/>
      </c>
      <c r="AN236" s="2" t="str">
        <f>IF(Source!$C236&gt;=COLUMNS($A236:AN236), Source!$G236, "")</f>
        <v/>
      </c>
      <c r="AO236" s="2" t="str">
        <f>IF(Source!$C236&gt;=COLUMNS($A236:AO236), Source!$G236, "")</f>
        <v/>
      </c>
      <c r="AP236" s="2" t="str">
        <f>IF(Source!$C236&gt;=COLUMNS($A236:AP236), Source!$G236, "")</f>
        <v/>
      </c>
      <c r="AQ236" s="2" t="str">
        <f>IF(Source!$C236&gt;=COLUMNS($A236:AQ236), Source!$G236, "")</f>
        <v/>
      </c>
      <c r="AR236" s="2" t="str">
        <f>IF(Source!$C236&gt;=COLUMNS($A236:AR236), Source!$G236, "")</f>
        <v/>
      </c>
    </row>
    <row r="237">
      <c r="A237" s="2">
        <f>IF(Source!$C237&gt;=COLUMNS($A237:A237), Source!$G237, "")</f>
        <v>2</v>
      </c>
      <c r="B237" s="2">
        <f>IF(Source!$C237&gt;=COLUMNS($A237:B237), Source!$G237, "")</f>
        <v>2</v>
      </c>
      <c r="C237" s="2">
        <f>IF(Source!$C237&gt;=COLUMNS($A237:C237), Source!$G237, "")</f>
        <v>2</v>
      </c>
      <c r="D237" s="2" t="str">
        <f>IF(Source!$C237&gt;=COLUMNS($A237:D237), Source!$G237, "")</f>
        <v/>
      </c>
      <c r="E237" s="2" t="str">
        <f>IF(Source!$C237&gt;=COLUMNS($A237:E237), Source!$G237, "")</f>
        <v/>
      </c>
      <c r="F237" s="2" t="str">
        <f>IF(Source!$C237&gt;=COLUMNS($A237:F237), Source!$G237, "")</f>
        <v/>
      </c>
      <c r="G237" s="2" t="str">
        <f>IF(Source!$C237&gt;=COLUMNS($A237:G237), Source!$G237, "")</f>
        <v/>
      </c>
      <c r="H237" s="2" t="str">
        <f>IF(Source!$C237&gt;=COLUMNS($A237:H237), Source!$G237, "")</f>
        <v/>
      </c>
      <c r="I237" s="2" t="str">
        <f>IF(Source!$C237&gt;=COLUMNS($A237:I237), Source!$G237, "")</f>
        <v/>
      </c>
      <c r="J237" s="2" t="str">
        <f>IF(Source!$C237&gt;=COLUMNS($A237:J237), Source!$G237, "")</f>
        <v/>
      </c>
      <c r="K237" s="2" t="str">
        <f>IF(Source!$C237&gt;=COLUMNS($A237:K237), Source!$G237, "")</f>
        <v/>
      </c>
      <c r="L237" s="2" t="str">
        <f>IF(Source!$C237&gt;=COLUMNS($A237:L237), Source!$G237, "")</f>
        <v/>
      </c>
      <c r="M237" s="2" t="str">
        <f>IF(Source!$C237&gt;=COLUMNS($A237:M237), Source!$G237, "")</f>
        <v/>
      </c>
      <c r="N237" s="2" t="str">
        <f>IF(Source!$C237&gt;=COLUMNS($A237:N237), Source!$G237, "")</f>
        <v/>
      </c>
      <c r="O237" s="2" t="str">
        <f>IF(Source!$C237&gt;=COLUMNS($A237:O237), Source!$G237, "")</f>
        <v/>
      </c>
      <c r="P237" s="2" t="str">
        <f>IF(Source!$C237&gt;=COLUMNS($A237:P237), Source!$G237, "")</f>
        <v/>
      </c>
      <c r="Q237" s="2" t="str">
        <f>IF(Source!$C237&gt;=COLUMNS($A237:Q237), Source!$G237, "")</f>
        <v/>
      </c>
      <c r="R237" s="2" t="str">
        <f>IF(Source!$C237&gt;=COLUMNS($A237:R237), Source!$G237, "")</f>
        <v/>
      </c>
      <c r="S237" s="2" t="str">
        <f>IF(Source!$C237&gt;=COLUMNS($A237:S237), Source!$G237, "")</f>
        <v/>
      </c>
      <c r="T237" s="2" t="str">
        <f>IF(Source!$C237&gt;=COLUMNS($A237:T237), Source!$G237, "")</f>
        <v/>
      </c>
      <c r="U237" s="2" t="str">
        <f>IF(Source!$C237&gt;=COLUMNS($A237:U237), Source!$G237, "")</f>
        <v/>
      </c>
      <c r="V237" s="2" t="str">
        <f>IF(Source!$C237&gt;=COLUMNS($A237:V237), Source!$G237, "")</f>
        <v/>
      </c>
      <c r="W237" s="2" t="str">
        <f>IF(Source!$C237&gt;=COLUMNS($A237:W237), Source!$G237, "")</f>
        <v/>
      </c>
      <c r="X237" s="2" t="str">
        <f>IF(Source!$C237&gt;=COLUMNS($A237:X237), Source!$G237, "")</f>
        <v/>
      </c>
      <c r="Y237" s="2" t="str">
        <f>IF(Source!$C237&gt;=COLUMNS($A237:Y237), Source!$G237, "")</f>
        <v/>
      </c>
      <c r="Z237" s="2" t="str">
        <f>IF(Source!$C237&gt;=COLUMNS($A237:Z237), Source!$G237, "")</f>
        <v/>
      </c>
      <c r="AA237" s="2" t="str">
        <f>IF(Source!$C237&gt;=COLUMNS($A237:AA237), Source!$G237, "")</f>
        <v/>
      </c>
      <c r="AB237" s="2" t="str">
        <f>IF(Source!$C237&gt;=COLUMNS($A237:AB237), Source!$G237, "")</f>
        <v/>
      </c>
      <c r="AC237" s="2" t="str">
        <f>IF(Source!$C237&gt;=COLUMNS($A237:AC237), Source!$G237, "")</f>
        <v/>
      </c>
      <c r="AD237" s="2" t="str">
        <f>IF(Source!$C237&gt;=COLUMNS($A237:AD237), Source!$G237, "")</f>
        <v/>
      </c>
      <c r="AE237" s="2" t="str">
        <f>IF(Source!$C237&gt;=COLUMNS($A237:AE237), Source!$G237, "")</f>
        <v/>
      </c>
      <c r="AF237" s="2" t="str">
        <f>IF(Source!$C237&gt;=COLUMNS($A237:AF237), Source!$G237, "")</f>
        <v/>
      </c>
      <c r="AG237" s="2" t="str">
        <f>IF(Source!$C237&gt;=COLUMNS($A237:AG237), Source!$G237, "")</f>
        <v/>
      </c>
      <c r="AH237" s="2" t="str">
        <f>IF(Source!$C237&gt;=COLUMNS($A237:AH237), Source!$G237, "")</f>
        <v/>
      </c>
      <c r="AI237" s="2" t="str">
        <f>IF(Source!$C237&gt;=COLUMNS($A237:AI237), Source!$G237, "")</f>
        <v/>
      </c>
      <c r="AJ237" s="2" t="str">
        <f>IF(Source!$C237&gt;=COLUMNS($A237:AJ237), Source!$G237, "")</f>
        <v/>
      </c>
      <c r="AK237" s="2" t="str">
        <f>IF(Source!$C237&gt;=COLUMNS($A237:AK237), Source!$G237, "")</f>
        <v/>
      </c>
      <c r="AL237" s="2" t="str">
        <f>IF(Source!$C237&gt;=COLUMNS($A237:AL237), Source!$G237, "")</f>
        <v/>
      </c>
      <c r="AM237" s="2" t="str">
        <f>IF(Source!$C237&gt;=COLUMNS($A237:AM237), Source!$G237, "")</f>
        <v/>
      </c>
      <c r="AN237" s="2" t="str">
        <f>IF(Source!$C237&gt;=COLUMNS($A237:AN237), Source!$G237, "")</f>
        <v/>
      </c>
      <c r="AO237" s="2" t="str">
        <f>IF(Source!$C237&gt;=COLUMNS($A237:AO237), Source!$G237, "")</f>
        <v/>
      </c>
      <c r="AP237" s="2" t="str">
        <f>IF(Source!$C237&gt;=COLUMNS($A237:AP237), Source!$G237, "")</f>
        <v/>
      </c>
      <c r="AQ237" s="2" t="str">
        <f>IF(Source!$C237&gt;=COLUMNS($A237:AQ237), Source!$G237, "")</f>
        <v/>
      </c>
      <c r="AR237" s="2" t="str">
        <f>IF(Source!$C237&gt;=COLUMNS($A237:AR237), Source!$G237, "")</f>
        <v/>
      </c>
    </row>
    <row r="238">
      <c r="A238" s="2">
        <f>IF(Source!$C238&gt;=COLUMNS($A238:A238), Source!$G238, "")</f>
        <v>7</v>
      </c>
      <c r="B238" s="2">
        <f>IF(Source!$C238&gt;=COLUMNS($A238:B238), Source!$G238, "")</f>
        <v>7</v>
      </c>
      <c r="C238" s="2">
        <f>IF(Source!$C238&gt;=COLUMNS($A238:C238), Source!$G238, "")</f>
        <v>7</v>
      </c>
      <c r="D238" s="2">
        <f>IF(Source!$C238&gt;=COLUMNS($A238:D238), Source!$G238, "")</f>
        <v>7</v>
      </c>
      <c r="E238" s="2">
        <f>IF(Source!$C238&gt;=COLUMNS($A238:E238), Source!$G238, "")</f>
        <v>7</v>
      </c>
      <c r="F238" s="2">
        <f>IF(Source!$C238&gt;=COLUMNS($A238:F238), Source!$G238, "")</f>
        <v>7</v>
      </c>
      <c r="G238" s="2">
        <f>IF(Source!$C238&gt;=COLUMNS($A238:G238), Source!$G238, "")</f>
        <v>7</v>
      </c>
      <c r="H238" s="2">
        <f>IF(Source!$C238&gt;=COLUMNS($A238:H238), Source!$G238, "")</f>
        <v>7</v>
      </c>
      <c r="I238" s="2">
        <f>IF(Source!$C238&gt;=COLUMNS($A238:I238), Source!$G238, "")</f>
        <v>7</v>
      </c>
      <c r="J238" s="2">
        <f>IF(Source!$C238&gt;=COLUMNS($A238:J238), Source!$G238, "")</f>
        <v>7</v>
      </c>
      <c r="K238" s="2">
        <f>IF(Source!$C238&gt;=COLUMNS($A238:K238), Source!$G238, "")</f>
        <v>7</v>
      </c>
      <c r="L238" s="2">
        <f>IF(Source!$C238&gt;=COLUMNS($A238:L238), Source!$G238, "")</f>
        <v>7</v>
      </c>
      <c r="M238" s="2">
        <f>IF(Source!$C238&gt;=COLUMNS($A238:M238), Source!$G238, "")</f>
        <v>7</v>
      </c>
      <c r="N238" s="2">
        <f>IF(Source!$C238&gt;=COLUMNS($A238:N238), Source!$G238, "")</f>
        <v>7</v>
      </c>
      <c r="O238" s="2">
        <f>IF(Source!$C238&gt;=COLUMNS($A238:O238), Source!$G238, "")</f>
        <v>7</v>
      </c>
      <c r="P238" s="2">
        <f>IF(Source!$C238&gt;=COLUMNS($A238:P238), Source!$G238, "")</f>
        <v>7</v>
      </c>
      <c r="Q238" s="2">
        <f>IF(Source!$C238&gt;=COLUMNS($A238:Q238), Source!$G238, "")</f>
        <v>7</v>
      </c>
      <c r="R238" s="2">
        <f>IF(Source!$C238&gt;=COLUMNS($A238:R238), Source!$G238, "")</f>
        <v>7</v>
      </c>
      <c r="S238" s="2">
        <f>IF(Source!$C238&gt;=COLUMNS($A238:S238), Source!$G238, "")</f>
        <v>7</v>
      </c>
      <c r="T238" s="2" t="str">
        <f>IF(Source!$C238&gt;=COLUMNS($A238:T238), Source!$G238, "")</f>
        <v/>
      </c>
      <c r="U238" s="2" t="str">
        <f>IF(Source!$C238&gt;=COLUMNS($A238:U238), Source!$G238, "")</f>
        <v/>
      </c>
      <c r="V238" s="2" t="str">
        <f>IF(Source!$C238&gt;=COLUMNS($A238:V238), Source!$G238, "")</f>
        <v/>
      </c>
      <c r="W238" s="2" t="str">
        <f>IF(Source!$C238&gt;=COLUMNS($A238:W238), Source!$G238, "")</f>
        <v/>
      </c>
      <c r="X238" s="2" t="str">
        <f>IF(Source!$C238&gt;=COLUMNS($A238:X238), Source!$G238, "")</f>
        <v/>
      </c>
      <c r="Y238" s="2" t="str">
        <f>IF(Source!$C238&gt;=COLUMNS($A238:Y238), Source!$G238, "")</f>
        <v/>
      </c>
      <c r="Z238" s="2" t="str">
        <f>IF(Source!$C238&gt;=COLUMNS($A238:Z238), Source!$G238, "")</f>
        <v/>
      </c>
      <c r="AA238" s="2" t="str">
        <f>IF(Source!$C238&gt;=COLUMNS($A238:AA238), Source!$G238, "")</f>
        <v/>
      </c>
      <c r="AB238" s="2" t="str">
        <f>IF(Source!$C238&gt;=COLUMNS($A238:AB238), Source!$G238, "")</f>
        <v/>
      </c>
      <c r="AC238" s="2" t="str">
        <f>IF(Source!$C238&gt;=COLUMNS($A238:AC238), Source!$G238, "")</f>
        <v/>
      </c>
      <c r="AD238" s="2" t="str">
        <f>IF(Source!$C238&gt;=COLUMNS($A238:AD238), Source!$G238, "")</f>
        <v/>
      </c>
      <c r="AE238" s="2" t="str">
        <f>IF(Source!$C238&gt;=COLUMNS($A238:AE238), Source!$G238, "")</f>
        <v/>
      </c>
      <c r="AF238" s="2" t="str">
        <f>IF(Source!$C238&gt;=COLUMNS($A238:AF238), Source!$G238, "")</f>
        <v/>
      </c>
      <c r="AG238" s="2" t="str">
        <f>IF(Source!$C238&gt;=COLUMNS($A238:AG238), Source!$G238, "")</f>
        <v/>
      </c>
      <c r="AH238" s="2" t="str">
        <f>IF(Source!$C238&gt;=COLUMNS($A238:AH238), Source!$G238, "")</f>
        <v/>
      </c>
      <c r="AI238" s="2" t="str">
        <f>IF(Source!$C238&gt;=COLUMNS($A238:AI238), Source!$G238, "")</f>
        <v/>
      </c>
      <c r="AJ238" s="2" t="str">
        <f>IF(Source!$C238&gt;=COLUMNS($A238:AJ238), Source!$G238, "")</f>
        <v/>
      </c>
      <c r="AK238" s="2" t="str">
        <f>IF(Source!$C238&gt;=COLUMNS($A238:AK238), Source!$G238, "")</f>
        <v/>
      </c>
      <c r="AL238" s="2" t="str">
        <f>IF(Source!$C238&gt;=COLUMNS($A238:AL238), Source!$G238, "")</f>
        <v/>
      </c>
      <c r="AM238" s="2" t="str">
        <f>IF(Source!$C238&gt;=COLUMNS($A238:AM238), Source!$G238, "")</f>
        <v/>
      </c>
      <c r="AN238" s="2" t="str">
        <f>IF(Source!$C238&gt;=COLUMNS($A238:AN238), Source!$G238, "")</f>
        <v/>
      </c>
      <c r="AO238" s="2" t="str">
        <f>IF(Source!$C238&gt;=COLUMNS($A238:AO238), Source!$G238, "")</f>
        <v/>
      </c>
      <c r="AP238" s="2" t="str">
        <f>IF(Source!$C238&gt;=COLUMNS($A238:AP238), Source!$G238, "")</f>
        <v/>
      </c>
      <c r="AQ238" s="2" t="str">
        <f>IF(Source!$C238&gt;=COLUMNS($A238:AQ238), Source!$G238, "")</f>
        <v/>
      </c>
      <c r="AR238" s="2" t="str">
        <f>IF(Source!$C238&gt;=COLUMNS($A238:AR238), Source!$G238, "")</f>
        <v/>
      </c>
    </row>
    <row r="239">
      <c r="A239" s="2">
        <f>IF(Source!$C239&gt;=COLUMNS($A239:A239), Source!$G239, "")</f>
        <v>5</v>
      </c>
      <c r="B239" s="2">
        <f>IF(Source!$C239&gt;=COLUMNS($A239:B239), Source!$G239, "")</f>
        <v>5</v>
      </c>
      <c r="C239" s="2" t="str">
        <f>IF(Source!$C239&gt;=COLUMNS($A239:C239), Source!$G239, "")</f>
        <v/>
      </c>
      <c r="D239" s="2" t="str">
        <f>IF(Source!$C239&gt;=COLUMNS($A239:D239), Source!$G239, "")</f>
        <v/>
      </c>
      <c r="E239" s="2" t="str">
        <f>IF(Source!$C239&gt;=COLUMNS($A239:E239), Source!$G239, "")</f>
        <v/>
      </c>
      <c r="F239" s="2" t="str">
        <f>IF(Source!$C239&gt;=COLUMNS($A239:F239), Source!$G239, "")</f>
        <v/>
      </c>
      <c r="G239" s="2" t="str">
        <f>IF(Source!$C239&gt;=COLUMNS($A239:G239), Source!$G239, "")</f>
        <v/>
      </c>
      <c r="H239" s="2" t="str">
        <f>IF(Source!$C239&gt;=COLUMNS($A239:H239), Source!$G239, "")</f>
        <v/>
      </c>
      <c r="I239" s="2" t="str">
        <f>IF(Source!$C239&gt;=COLUMNS($A239:I239), Source!$G239, "")</f>
        <v/>
      </c>
      <c r="J239" s="2" t="str">
        <f>IF(Source!$C239&gt;=COLUMNS($A239:J239), Source!$G239, "")</f>
        <v/>
      </c>
      <c r="K239" s="2" t="str">
        <f>IF(Source!$C239&gt;=COLUMNS($A239:K239), Source!$G239, "")</f>
        <v/>
      </c>
      <c r="L239" s="2" t="str">
        <f>IF(Source!$C239&gt;=COLUMNS($A239:L239), Source!$G239, "")</f>
        <v/>
      </c>
      <c r="M239" s="2" t="str">
        <f>IF(Source!$C239&gt;=COLUMNS($A239:M239), Source!$G239, "")</f>
        <v/>
      </c>
      <c r="N239" s="2" t="str">
        <f>IF(Source!$C239&gt;=COLUMNS($A239:N239), Source!$G239, "")</f>
        <v/>
      </c>
      <c r="O239" s="2" t="str">
        <f>IF(Source!$C239&gt;=COLUMNS($A239:O239), Source!$G239, "")</f>
        <v/>
      </c>
      <c r="P239" s="2" t="str">
        <f>IF(Source!$C239&gt;=COLUMNS($A239:P239), Source!$G239, "")</f>
        <v/>
      </c>
      <c r="Q239" s="2" t="str">
        <f>IF(Source!$C239&gt;=COLUMNS($A239:Q239), Source!$G239, "")</f>
        <v/>
      </c>
      <c r="R239" s="2" t="str">
        <f>IF(Source!$C239&gt;=COLUMNS($A239:R239), Source!$G239, "")</f>
        <v/>
      </c>
      <c r="S239" s="2" t="str">
        <f>IF(Source!$C239&gt;=COLUMNS($A239:S239), Source!$G239, "")</f>
        <v/>
      </c>
      <c r="T239" s="2" t="str">
        <f>IF(Source!$C239&gt;=COLUMNS($A239:T239), Source!$G239, "")</f>
        <v/>
      </c>
      <c r="U239" s="2" t="str">
        <f>IF(Source!$C239&gt;=COLUMNS($A239:U239), Source!$G239, "")</f>
        <v/>
      </c>
      <c r="V239" s="2" t="str">
        <f>IF(Source!$C239&gt;=COLUMNS($A239:V239), Source!$G239, "")</f>
        <v/>
      </c>
      <c r="W239" s="2" t="str">
        <f>IF(Source!$C239&gt;=COLUMNS($A239:W239), Source!$G239, "")</f>
        <v/>
      </c>
      <c r="X239" s="2" t="str">
        <f>IF(Source!$C239&gt;=COLUMNS($A239:X239), Source!$G239, "")</f>
        <v/>
      </c>
      <c r="Y239" s="2" t="str">
        <f>IF(Source!$C239&gt;=COLUMNS($A239:Y239), Source!$G239, "")</f>
        <v/>
      </c>
      <c r="Z239" s="2" t="str">
        <f>IF(Source!$C239&gt;=COLUMNS($A239:Z239), Source!$G239, "")</f>
        <v/>
      </c>
      <c r="AA239" s="2" t="str">
        <f>IF(Source!$C239&gt;=COLUMNS($A239:AA239), Source!$G239, "")</f>
        <v/>
      </c>
      <c r="AB239" s="2" t="str">
        <f>IF(Source!$C239&gt;=COLUMNS($A239:AB239), Source!$G239, "")</f>
        <v/>
      </c>
      <c r="AC239" s="2" t="str">
        <f>IF(Source!$C239&gt;=COLUMNS($A239:AC239), Source!$G239, "")</f>
        <v/>
      </c>
      <c r="AD239" s="2" t="str">
        <f>IF(Source!$C239&gt;=COLUMNS($A239:AD239), Source!$G239, "")</f>
        <v/>
      </c>
      <c r="AE239" s="2" t="str">
        <f>IF(Source!$C239&gt;=COLUMNS($A239:AE239), Source!$G239, "")</f>
        <v/>
      </c>
      <c r="AF239" s="2" t="str">
        <f>IF(Source!$C239&gt;=COLUMNS($A239:AF239), Source!$G239, "")</f>
        <v/>
      </c>
      <c r="AG239" s="2" t="str">
        <f>IF(Source!$C239&gt;=COLUMNS($A239:AG239), Source!$G239, "")</f>
        <v/>
      </c>
      <c r="AH239" s="2" t="str">
        <f>IF(Source!$C239&gt;=COLUMNS($A239:AH239), Source!$G239, "")</f>
        <v/>
      </c>
      <c r="AI239" s="2" t="str">
        <f>IF(Source!$C239&gt;=COLUMNS($A239:AI239), Source!$G239, "")</f>
        <v/>
      </c>
      <c r="AJ239" s="2" t="str">
        <f>IF(Source!$C239&gt;=COLUMNS($A239:AJ239), Source!$G239, "")</f>
        <v/>
      </c>
      <c r="AK239" s="2" t="str">
        <f>IF(Source!$C239&gt;=COLUMNS($A239:AK239), Source!$G239, "")</f>
        <v/>
      </c>
      <c r="AL239" s="2" t="str">
        <f>IF(Source!$C239&gt;=COLUMNS($A239:AL239), Source!$G239, "")</f>
        <v/>
      </c>
      <c r="AM239" s="2" t="str">
        <f>IF(Source!$C239&gt;=COLUMNS($A239:AM239), Source!$G239, "")</f>
        <v/>
      </c>
      <c r="AN239" s="2" t="str">
        <f>IF(Source!$C239&gt;=COLUMNS($A239:AN239), Source!$G239, "")</f>
        <v/>
      </c>
      <c r="AO239" s="2" t="str">
        <f>IF(Source!$C239&gt;=COLUMNS($A239:AO239), Source!$G239, "")</f>
        <v/>
      </c>
      <c r="AP239" s="2" t="str">
        <f>IF(Source!$C239&gt;=COLUMNS($A239:AP239), Source!$G239, "")</f>
        <v/>
      </c>
      <c r="AQ239" s="2" t="str">
        <f>IF(Source!$C239&gt;=COLUMNS($A239:AQ239), Source!$G239, "")</f>
        <v/>
      </c>
      <c r="AR239" s="2" t="str">
        <f>IF(Source!$C239&gt;=COLUMNS($A239:AR239), Source!$G239, "")</f>
        <v/>
      </c>
    </row>
    <row r="240">
      <c r="A240" s="2">
        <f>IF(Source!$C240&gt;=COLUMNS($A240:A240), Source!$G240, "")</f>
        <v>3</v>
      </c>
      <c r="B240" s="2" t="str">
        <f>IF(Source!$C240&gt;=COLUMNS($A240:B240), Source!$G240, "")</f>
        <v/>
      </c>
      <c r="C240" s="2" t="str">
        <f>IF(Source!$C240&gt;=COLUMNS($A240:C240), Source!$G240, "")</f>
        <v/>
      </c>
      <c r="D240" s="2" t="str">
        <f>IF(Source!$C240&gt;=COLUMNS($A240:D240), Source!$G240, "")</f>
        <v/>
      </c>
      <c r="E240" s="2" t="str">
        <f>IF(Source!$C240&gt;=COLUMNS($A240:E240), Source!$G240, "")</f>
        <v/>
      </c>
      <c r="F240" s="2" t="str">
        <f>IF(Source!$C240&gt;=COLUMNS($A240:F240), Source!$G240, "")</f>
        <v/>
      </c>
      <c r="G240" s="2" t="str">
        <f>IF(Source!$C240&gt;=COLUMNS($A240:G240), Source!$G240, "")</f>
        <v/>
      </c>
      <c r="H240" s="2" t="str">
        <f>IF(Source!$C240&gt;=COLUMNS($A240:H240), Source!$G240, "")</f>
        <v/>
      </c>
      <c r="I240" s="2" t="str">
        <f>IF(Source!$C240&gt;=COLUMNS($A240:I240), Source!$G240, "")</f>
        <v/>
      </c>
      <c r="J240" s="2" t="str">
        <f>IF(Source!$C240&gt;=COLUMNS($A240:J240), Source!$G240, "")</f>
        <v/>
      </c>
      <c r="K240" s="2" t="str">
        <f>IF(Source!$C240&gt;=COLUMNS($A240:K240), Source!$G240, "")</f>
        <v/>
      </c>
      <c r="L240" s="2" t="str">
        <f>IF(Source!$C240&gt;=COLUMNS($A240:L240), Source!$G240, "")</f>
        <v/>
      </c>
      <c r="M240" s="2" t="str">
        <f>IF(Source!$C240&gt;=COLUMNS($A240:M240), Source!$G240, "")</f>
        <v/>
      </c>
      <c r="N240" s="2" t="str">
        <f>IF(Source!$C240&gt;=COLUMNS($A240:N240), Source!$G240, "")</f>
        <v/>
      </c>
      <c r="O240" s="2" t="str">
        <f>IF(Source!$C240&gt;=COLUMNS($A240:O240), Source!$G240, "")</f>
        <v/>
      </c>
      <c r="P240" s="2" t="str">
        <f>IF(Source!$C240&gt;=COLUMNS($A240:P240), Source!$G240, "")</f>
        <v/>
      </c>
      <c r="Q240" s="2" t="str">
        <f>IF(Source!$C240&gt;=COLUMNS($A240:Q240), Source!$G240, "")</f>
        <v/>
      </c>
      <c r="R240" s="2" t="str">
        <f>IF(Source!$C240&gt;=COLUMNS($A240:R240), Source!$G240, "")</f>
        <v/>
      </c>
      <c r="S240" s="2" t="str">
        <f>IF(Source!$C240&gt;=COLUMNS($A240:S240), Source!$G240, "")</f>
        <v/>
      </c>
      <c r="T240" s="2" t="str">
        <f>IF(Source!$C240&gt;=COLUMNS($A240:T240), Source!$G240, "")</f>
        <v/>
      </c>
      <c r="U240" s="2" t="str">
        <f>IF(Source!$C240&gt;=COLUMNS($A240:U240), Source!$G240, "")</f>
        <v/>
      </c>
      <c r="V240" s="2" t="str">
        <f>IF(Source!$C240&gt;=COLUMNS($A240:V240), Source!$G240, "")</f>
        <v/>
      </c>
      <c r="W240" s="2" t="str">
        <f>IF(Source!$C240&gt;=COLUMNS($A240:W240), Source!$G240, "")</f>
        <v/>
      </c>
      <c r="X240" s="2" t="str">
        <f>IF(Source!$C240&gt;=COLUMNS($A240:X240), Source!$G240, "")</f>
        <v/>
      </c>
      <c r="Y240" s="2" t="str">
        <f>IF(Source!$C240&gt;=COLUMNS($A240:Y240), Source!$G240, "")</f>
        <v/>
      </c>
      <c r="Z240" s="2" t="str">
        <f>IF(Source!$C240&gt;=COLUMNS($A240:Z240), Source!$G240, "")</f>
        <v/>
      </c>
      <c r="AA240" s="2" t="str">
        <f>IF(Source!$C240&gt;=COLUMNS($A240:AA240), Source!$G240, "")</f>
        <v/>
      </c>
      <c r="AB240" s="2" t="str">
        <f>IF(Source!$C240&gt;=COLUMNS($A240:AB240), Source!$G240, "")</f>
        <v/>
      </c>
      <c r="AC240" s="2" t="str">
        <f>IF(Source!$C240&gt;=COLUMNS($A240:AC240), Source!$G240, "")</f>
        <v/>
      </c>
      <c r="AD240" s="2" t="str">
        <f>IF(Source!$C240&gt;=COLUMNS($A240:AD240), Source!$G240, "")</f>
        <v/>
      </c>
      <c r="AE240" s="2" t="str">
        <f>IF(Source!$C240&gt;=COLUMNS($A240:AE240), Source!$G240, "")</f>
        <v/>
      </c>
      <c r="AF240" s="2" t="str">
        <f>IF(Source!$C240&gt;=COLUMNS($A240:AF240), Source!$G240, "")</f>
        <v/>
      </c>
      <c r="AG240" s="2" t="str">
        <f>IF(Source!$C240&gt;=COLUMNS($A240:AG240), Source!$G240, "")</f>
        <v/>
      </c>
      <c r="AH240" s="2" t="str">
        <f>IF(Source!$C240&gt;=COLUMNS($A240:AH240), Source!$G240, "")</f>
        <v/>
      </c>
      <c r="AI240" s="2" t="str">
        <f>IF(Source!$C240&gt;=COLUMNS($A240:AI240), Source!$G240, "")</f>
        <v/>
      </c>
      <c r="AJ240" s="2" t="str">
        <f>IF(Source!$C240&gt;=COLUMNS($A240:AJ240), Source!$G240, "")</f>
        <v/>
      </c>
      <c r="AK240" s="2" t="str">
        <f>IF(Source!$C240&gt;=COLUMNS($A240:AK240), Source!$G240, "")</f>
        <v/>
      </c>
      <c r="AL240" s="2" t="str">
        <f>IF(Source!$C240&gt;=COLUMNS($A240:AL240), Source!$G240, "")</f>
        <v/>
      </c>
      <c r="AM240" s="2" t="str">
        <f>IF(Source!$C240&gt;=COLUMNS($A240:AM240), Source!$G240, "")</f>
        <v/>
      </c>
      <c r="AN240" s="2" t="str">
        <f>IF(Source!$C240&gt;=COLUMNS($A240:AN240), Source!$G240, "")</f>
        <v/>
      </c>
      <c r="AO240" s="2" t="str">
        <f>IF(Source!$C240&gt;=COLUMNS($A240:AO240), Source!$G240, "")</f>
        <v/>
      </c>
      <c r="AP240" s="2" t="str">
        <f>IF(Source!$C240&gt;=COLUMNS($A240:AP240), Source!$G240, "")</f>
        <v/>
      </c>
      <c r="AQ240" s="2" t="str">
        <f>IF(Source!$C240&gt;=COLUMNS($A240:AQ240), Source!$G240, "")</f>
        <v/>
      </c>
      <c r="AR240" s="2" t="str">
        <f>IF(Source!$C240&gt;=COLUMNS($A240:AR240), Source!$G240, "")</f>
        <v/>
      </c>
    </row>
    <row r="241">
      <c r="A241" s="2">
        <f>IF(Source!$C241&gt;=COLUMNS($A241:A241), Source!$G241, "")</f>
        <v>4</v>
      </c>
      <c r="B241" s="2" t="str">
        <f>IF(Source!$C241&gt;=COLUMNS($A241:B241), Source!$G241, "")</f>
        <v/>
      </c>
      <c r="C241" s="2" t="str">
        <f>IF(Source!$C241&gt;=COLUMNS($A241:C241), Source!$G241, "")</f>
        <v/>
      </c>
      <c r="D241" s="2" t="str">
        <f>IF(Source!$C241&gt;=COLUMNS($A241:D241), Source!$G241, "")</f>
        <v/>
      </c>
      <c r="E241" s="2" t="str">
        <f>IF(Source!$C241&gt;=COLUMNS($A241:E241), Source!$G241, "")</f>
        <v/>
      </c>
      <c r="F241" s="2" t="str">
        <f>IF(Source!$C241&gt;=COLUMNS($A241:F241), Source!$G241, "")</f>
        <v/>
      </c>
      <c r="G241" s="2" t="str">
        <f>IF(Source!$C241&gt;=COLUMNS($A241:G241), Source!$G241, "")</f>
        <v/>
      </c>
      <c r="H241" s="2" t="str">
        <f>IF(Source!$C241&gt;=COLUMNS($A241:H241), Source!$G241, "")</f>
        <v/>
      </c>
      <c r="I241" s="2" t="str">
        <f>IF(Source!$C241&gt;=COLUMNS($A241:I241), Source!$G241, "")</f>
        <v/>
      </c>
      <c r="J241" s="2" t="str">
        <f>IF(Source!$C241&gt;=COLUMNS($A241:J241), Source!$G241, "")</f>
        <v/>
      </c>
      <c r="K241" s="2" t="str">
        <f>IF(Source!$C241&gt;=COLUMNS($A241:K241), Source!$G241, "")</f>
        <v/>
      </c>
      <c r="L241" s="2" t="str">
        <f>IF(Source!$C241&gt;=COLUMNS($A241:L241), Source!$G241, "")</f>
        <v/>
      </c>
      <c r="M241" s="2" t="str">
        <f>IF(Source!$C241&gt;=COLUMNS($A241:M241), Source!$G241, "")</f>
        <v/>
      </c>
      <c r="N241" s="2" t="str">
        <f>IF(Source!$C241&gt;=COLUMNS($A241:N241), Source!$G241, "")</f>
        <v/>
      </c>
      <c r="O241" s="2" t="str">
        <f>IF(Source!$C241&gt;=COLUMNS($A241:O241), Source!$G241, "")</f>
        <v/>
      </c>
      <c r="P241" s="2" t="str">
        <f>IF(Source!$C241&gt;=COLUMNS($A241:P241), Source!$G241, "")</f>
        <v/>
      </c>
      <c r="Q241" s="2" t="str">
        <f>IF(Source!$C241&gt;=COLUMNS($A241:Q241), Source!$G241, "")</f>
        <v/>
      </c>
      <c r="R241" s="2" t="str">
        <f>IF(Source!$C241&gt;=COLUMNS($A241:R241), Source!$G241, "")</f>
        <v/>
      </c>
      <c r="S241" s="2" t="str">
        <f>IF(Source!$C241&gt;=COLUMNS($A241:S241), Source!$G241, "")</f>
        <v/>
      </c>
      <c r="T241" s="2" t="str">
        <f>IF(Source!$C241&gt;=COLUMNS($A241:T241), Source!$G241, "")</f>
        <v/>
      </c>
      <c r="U241" s="2" t="str">
        <f>IF(Source!$C241&gt;=COLUMNS($A241:U241), Source!$G241, "")</f>
        <v/>
      </c>
      <c r="V241" s="2" t="str">
        <f>IF(Source!$C241&gt;=COLUMNS($A241:V241), Source!$G241, "")</f>
        <v/>
      </c>
      <c r="W241" s="2" t="str">
        <f>IF(Source!$C241&gt;=COLUMNS($A241:W241), Source!$G241, "")</f>
        <v/>
      </c>
      <c r="X241" s="2" t="str">
        <f>IF(Source!$C241&gt;=COLUMNS($A241:X241), Source!$G241, "")</f>
        <v/>
      </c>
      <c r="Y241" s="2" t="str">
        <f>IF(Source!$C241&gt;=COLUMNS($A241:Y241), Source!$G241, "")</f>
        <v/>
      </c>
      <c r="Z241" s="2" t="str">
        <f>IF(Source!$C241&gt;=COLUMNS($A241:Z241), Source!$G241, "")</f>
        <v/>
      </c>
      <c r="AA241" s="2" t="str">
        <f>IF(Source!$C241&gt;=COLUMNS($A241:AA241), Source!$G241, "")</f>
        <v/>
      </c>
      <c r="AB241" s="2" t="str">
        <f>IF(Source!$C241&gt;=COLUMNS($A241:AB241), Source!$G241, "")</f>
        <v/>
      </c>
      <c r="AC241" s="2" t="str">
        <f>IF(Source!$C241&gt;=COLUMNS($A241:AC241), Source!$G241, "")</f>
        <v/>
      </c>
      <c r="AD241" s="2" t="str">
        <f>IF(Source!$C241&gt;=COLUMNS($A241:AD241), Source!$G241, "")</f>
        <v/>
      </c>
      <c r="AE241" s="2" t="str">
        <f>IF(Source!$C241&gt;=COLUMNS($A241:AE241), Source!$G241, "")</f>
        <v/>
      </c>
      <c r="AF241" s="2" t="str">
        <f>IF(Source!$C241&gt;=COLUMNS($A241:AF241), Source!$G241, "")</f>
        <v/>
      </c>
      <c r="AG241" s="2" t="str">
        <f>IF(Source!$C241&gt;=COLUMNS($A241:AG241), Source!$G241, "")</f>
        <v/>
      </c>
      <c r="AH241" s="2" t="str">
        <f>IF(Source!$C241&gt;=COLUMNS($A241:AH241), Source!$G241, "")</f>
        <v/>
      </c>
      <c r="AI241" s="2" t="str">
        <f>IF(Source!$C241&gt;=COLUMNS($A241:AI241), Source!$G241, "")</f>
        <v/>
      </c>
      <c r="AJ241" s="2" t="str">
        <f>IF(Source!$C241&gt;=COLUMNS($A241:AJ241), Source!$G241, "")</f>
        <v/>
      </c>
      <c r="AK241" s="2" t="str">
        <f>IF(Source!$C241&gt;=COLUMNS($A241:AK241), Source!$G241, "")</f>
        <v/>
      </c>
      <c r="AL241" s="2" t="str">
        <f>IF(Source!$C241&gt;=COLUMNS($A241:AL241), Source!$G241, "")</f>
        <v/>
      </c>
      <c r="AM241" s="2" t="str">
        <f>IF(Source!$C241&gt;=COLUMNS($A241:AM241), Source!$G241, "")</f>
        <v/>
      </c>
      <c r="AN241" s="2" t="str">
        <f>IF(Source!$C241&gt;=COLUMNS($A241:AN241), Source!$G241, "")</f>
        <v/>
      </c>
      <c r="AO241" s="2" t="str">
        <f>IF(Source!$C241&gt;=COLUMNS($A241:AO241), Source!$G241, "")</f>
        <v/>
      </c>
      <c r="AP241" s="2" t="str">
        <f>IF(Source!$C241&gt;=COLUMNS($A241:AP241), Source!$G241, "")</f>
        <v/>
      </c>
      <c r="AQ241" s="2" t="str">
        <f>IF(Source!$C241&gt;=COLUMNS($A241:AQ241), Source!$G241, "")</f>
        <v/>
      </c>
      <c r="AR241" s="2" t="str">
        <f>IF(Source!$C241&gt;=COLUMNS($A241:AR241), Source!$G241, "")</f>
        <v/>
      </c>
    </row>
    <row r="242">
      <c r="A242" s="2">
        <f>IF(Source!$C242&gt;=COLUMNS($A242:A242), Source!$G242, "")</f>
        <v>4</v>
      </c>
      <c r="B242" s="2">
        <f>IF(Source!$C242&gt;=COLUMNS($A242:B242), Source!$G242, "")</f>
        <v>4</v>
      </c>
      <c r="C242" s="2">
        <f>IF(Source!$C242&gt;=COLUMNS($A242:C242), Source!$G242, "")</f>
        <v>4</v>
      </c>
      <c r="D242" s="2">
        <f>IF(Source!$C242&gt;=COLUMNS($A242:D242), Source!$G242, "")</f>
        <v>4</v>
      </c>
      <c r="E242" s="2">
        <f>IF(Source!$C242&gt;=COLUMNS($A242:E242), Source!$G242, "")</f>
        <v>4</v>
      </c>
      <c r="F242" s="2">
        <f>IF(Source!$C242&gt;=COLUMNS($A242:F242), Source!$G242, "")</f>
        <v>4</v>
      </c>
      <c r="G242" s="2">
        <f>IF(Source!$C242&gt;=COLUMNS($A242:G242), Source!$G242, "")</f>
        <v>4</v>
      </c>
      <c r="H242" s="2">
        <f>IF(Source!$C242&gt;=COLUMNS($A242:H242), Source!$G242, "")</f>
        <v>4</v>
      </c>
      <c r="I242" s="2" t="str">
        <f>IF(Source!$C242&gt;=COLUMNS($A242:I242), Source!$G242, "")</f>
        <v/>
      </c>
      <c r="J242" s="2" t="str">
        <f>IF(Source!$C242&gt;=COLUMNS($A242:J242), Source!$G242, "")</f>
        <v/>
      </c>
      <c r="K242" s="2" t="str">
        <f>IF(Source!$C242&gt;=COLUMNS($A242:K242), Source!$G242, "")</f>
        <v/>
      </c>
      <c r="L242" s="2" t="str">
        <f>IF(Source!$C242&gt;=COLUMNS($A242:L242), Source!$G242, "")</f>
        <v/>
      </c>
      <c r="M242" s="2" t="str">
        <f>IF(Source!$C242&gt;=COLUMNS($A242:M242), Source!$G242, "")</f>
        <v/>
      </c>
      <c r="N242" s="2" t="str">
        <f>IF(Source!$C242&gt;=COLUMNS($A242:N242), Source!$G242, "")</f>
        <v/>
      </c>
      <c r="O242" s="2" t="str">
        <f>IF(Source!$C242&gt;=COLUMNS($A242:O242), Source!$G242, "")</f>
        <v/>
      </c>
      <c r="P242" s="2" t="str">
        <f>IF(Source!$C242&gt;=COLUMNS($A242:P242), Source!$G242, "")</f>
        <v/>
      </c>
      <c r="Q242" s="2" t="str">
        <f>IF(Source!$C242&gt;=COLUMNS($A242:Q242), Source!$G242, "")</f>
        <v/>
      </c>
      <c r="R242" s="2" t="str">
        <f>IF(Source!$C242&gt;=COLUMNS($A242:R242), Source!$G242, "")</f>
        <v/>
      </c>
      <c r="S242" s="2" t="str">
        <f>IF(Source!$C242&gt;=COLUMNS($A242:S242), Source!$G242, "")</f>
        <v/>
      </c>
      <c r="T242" s="2" t="str">
        <f>IF(Source!$C242&gt;=COLUMNS($A242:T242), Source!$G242, "")</f>
        <v/>
      </c>
      <c r="U242" s="2" t="str">
        <f>IF(Source!$C242&gt;=COLUMNS($A242:U242), Source!$G242, "")</f>
        <v/>
      </c>
      <c r="V242" s="2" t="str">
        <f>IF(Source!$C242&gt;=COLUMNS($A242:V242), Source!$G242, "")</f>
        <v/>
      </c>
      <c r="W242" s="2" t="str">
        <f>IF(Source!$C242&gt;=COLUMNS($A242:W242), Source!$G242, "")</f>
        <v/>
      </c>
      <c r="X242" s="2" t="str">
        <f>IF(Source!$C242&gt;=COLUMNS($A242:X242), Source!$G242, "")</f>
        <v/>
      </c>
      <c r="Y242" s="2" t="str">
        <f>IF(Source!$C242&gt;=COLUMNS($A242:Y242), Source!$G242, "")</f>
        <v/>
      </c>
      <c r="Z242" s="2" t="str">
        <f>IF(Source!$C242&gt;=COLUMNS($A242:Z242), Source!$G242, "")</f>
        <v/>
      </c>
      <c r="AA242" s="2" t="str">
        <f>IF(Source!$C242&gt;=COLUMNS($A242:AA242), Source!$G242, "")</f>
        <v/>
      </c>
      <c r="AB242" s="2" t="str">
        <f>IF(Source!$C242&gt;=COLUMNS($A242:AB242), Source!$G242, "")</f>
        <v/>
      </c>
      <c r="AC242" s="2" t="str">
        <f>IF(Source!$C242&gt;=COLUMNS($A242:AC242), Source!$G242, "")</f>
        <v/>
      </c>
      <c r="AD242" s="2" t="str">
        <f>IF(Source!$C242&gt;=COLUMNS($A242:AD242), Source!$G242, "")</f>
        <v/>
      </c>
      <c r="AE242" s="2" t="str">
        <f>IF(Source!$C242&gt;=COLUMNS($A242:AE242), Source!$G242, "")</f>
        <v/>
      </c>
      <c r="AF242" s="2" t="str">
        <f>IF(Source!$C242&gt;=COLUMNS($A242:AF242), Source!$G242, "")</f>
        <v/>
      </c>
      <c r="AG242" s="2" t="str">
        <f>IF(Source!$C242&gt;=COLUMNS($A242:AG242), Source!$G242, "")</f>
        <v/>
      </c>
      <c r="AH242" s="2" t="str">
        <f>IF(Source!$C242&gt;=COLUMNS($A242:AH242), Source!$G242, "")</f>
        <v/>
      </c>
      <c r="AI242" s="2" t="str">
        <f>IF(Source!$C242&gt;=COLUMNS($A242:AI242), Source!$G242, "")</f>
        <v/>
      </c>
      <c r="AJ242" s="2" t="str">
        <f>IF(Source!$C242&gt;=COLUMNS($A242:AJ242), Source!$G242, "")</f>
        <v/>
      </c>
      <c r="AK242" s="2" t="str">
        <f>IF(Source!$C242&gt;=COLUMNS($A242:AK242), Source!$G242, "")</f>
        <v/>
      </c>
      <c r="AL242" s="2" t="str">
        <f>IF(Source!$C242&gt;=COLUMNS($A242:AL242), Source!$G242, "")</f>
        <v/>
      </c>
      <c r="AM242" s="2" t="str">
        <f>IF(Source!$C242&gt;=COLUMNS($A242:AM242), Source!$G242, "")</f>
        <v/>
      </c>
      <c r="AN242" s="2" t="str">
        <f>IF(Source!$C242&gt;=COLUMNS($A242:AN242), Source!$G242, "")</f>
        <v/>
      </c>
      <c r="AO242" s="2" t="str">
        <f>IF(Source!$C242&gt;=COLUMNS($A242:AO242), Source!$G242, "")</f>
        <v/>
      </c>
      <c r="AP242" s="2" t="str">
        <f>IF(Source!$C242&gt;=COLUMNS($A242:AP242), Source!$G242, "")</f>
        <v/>
      </c>
      <c r="AQ242" s="2" t="str">
        <f>IF(Source!$C242&gt;=COLUMNS($A242:AQ242), Source!$G242, "")</f>
        <v/>
      </c>
      <c r="AR242" s="2" t="str">
        <f>IF(Source!$C242&gt;=COLUMNS($A242:AR242), Source!$G242, "")</f>
        <v/>
      </c>
    </row>
    <row r="243">
      <c r="A243" s="2">
        <f>IF(Source!$C243&gt;=COLUMNS($A243:A243), Source!$G243, "")</f>
        <v>3</v>
      </c>
      <c r="B243" s="2" t="str">
        <f>IF(Source!$C243&gt;=COLUMNS($A243:B243), Source!$G243, "")</f>
        <v/>
      </c>
      <c r="C243" s="2" t="str">
        <f>IF(Source!$C243&gt;=COLUMNS($A243:C243), Source!$G243, "")</f>
        <v/>
      </c>
      <c r="D243" s="2" t="str">
        <f>IF(Source!$C243&gt;=COLUMNS($A243:D243), Source!$G243, "")</f>
        <v/>
      </c>
      <c r="E243" s="2" t="str">
        <f>IF(Source!$C243&gt;=COLUMNS($A243:E243), Source!$G243, "")</f>
        <v/>
      </c>
      <c r="F243" s="2" t="str">
        <f>IF(Source!$C243&gt;=COLUMNS($A243:F243), Source!$G243, "")</f>
        <v/>
      </c>
      <c r="G243" s="2" t="str">
        <f>IF(Source!$C243&gt;=COLUMNS($A243:G243), Source!$G243, "")</f>
        <v/>
      </c>
      <c r="H243" s="2" t="str">
        <f>IF(Source!$C243&gt;=COLUMNS($A243:H243), Source!$G243, "")</f>
        <v/>
      </c>
      <c r="I243" s="2" t="str">
        <f>IF(Source!$C243&gt;=COLUMNS($A243:I243), Source!$G243, "")</f>
        <v/>
      </c>
      <c r="J243" s="2" t="str">
        <f>IF(Source!$C243&gt;=COLUMNS($A243:J243), Source!$G243, "")</f>
        <v/>
      </c>
      <c r="K243" s="2" t="str">
        <f>IF(Source!$C243&gt;=COLUMNS($A243:K243), Source!$G243, "")</f>
        <v/>
      </c>
      <c r="L243" s="2" t="str">
        <f>IF(Source!$C243&gt;=COLUMNS($A243:L243), Source!$G243, "")</f>
        <v/>
      </c>
      <c r="M243" s="2" t="str">
        <f>IF(Source!$C243&gt;=COLUMNS($A243:M243), Source!$G243, "")</f>
        <v/>
      </c>
      <c r="N243" s="2" t="str">
        <f>IF(Source!$C243&gt;=COLUMNS($A243:N243), Source!$G243, "")</f>
        <v/>
      </c>
      <c r="O243" s="2" t="str">
        <f>IF(Source!$C243&gt;=COLUMNS($A243:O243), Source!$G243, "")</f>
        <v/>
      </c>
      <c r="P243" s="2" t="str">
        <f>IF(Source!$C243&gt;=COLUMNS($A243:P243), Source!$G243, "")</f>
        <v/>
      </c>
      <c r="Q243" s="2" t="str">
        <f>IF(Source!$C243&gt;=COLUMNS($A243:Q243), Source!$G243, "")</f>
        <v/>
      </c>
      <c r="R243" s="2" t="str">
        <f>IF(Source!$C243&gt;=COLUMNS($A243:R243), Source!$G243, "")</f>
        <v/>
      </c>
      <c r="S243" s="2" t="str">
        <f>IF(Source!$C243&gt;=COLUMNS($A243:S243), Source!$G243, "")</f>
        <v/>
      </c>
      <c r="T243" s="2" t="str">
        <f>IF(Source!$C243&gt;=COLUMNS($A243:T243), Source!$G243, "")</f>
        <v/>
      </c>
      <c r="U243" s="2" t="str">
        <f>IF(Source!$C243&gt;=COLUMNS($A243:U243), Source!$G243, "")</f>
        <v/>
      </c>
      <c r="V243" s="2" t="str">
        <f>IF(Source!$C243&gt;=COLUMNS($A243:V243), Source!$G243, "")</f>
        <v/>
      </c>
      <c r="W243" s="2" t="str">
        <f>IF(Source!$C243&gt;=COLUMNS($A243:W243), Source!$G243, "")</f>
        <v/>
      </c>
      <c r="X243" s="2" t="str">
        <f>IF(Source!$C243&gt;=COLUMNS($A243:X243), Source!$G243, "")</f>
        <v/>
      </c>
      <c r="Y243" s="2" t="str">
        <f>IF(Source!$C243&gt;=COLUMNS($A243:Y243), Source!$G243, "")</f>
        <v/>
      </c>
      <c r="Z243" s="2" t="str">
        <f>IF(Source!$C243&gt;=COLUMNS($A243:Z243), Source!$G243, "")</f>
        <v/>
      </c>
      <c r="AA243" s="2" t="str">
        <f>IF(Source!$C243&gt;=COLUMNS($A243:AA243), Source!$G243, "")</f>
        <v/>
      </c>
      <c r="AB243" s="2" t="str">
        <f>IF(Source!$C243&gt;=COLUMNS($A243:AB243), Source!$G243, "")</f>
        <v/>
      </c>
      <c r="AC243" s="2" t="str">
        <f>IF(Source!$C243&gt;=COLUMNS($A243:AC243), Source!$G243, "")</f>
        <v/>
      </c>
      <c r="AD243" s="2" t="str">
        <f>IF(Source!$C243&gt;=COLUMNS($A243:AD243), Source!$G243, "")</f>
        <v/>
      </c>
      <c r="AE243" s="2" t="str">
        <f>IF(Source!$C243&gt;=COLUMNS($A243:AE243), Source!$G243, "")</f>
        <v/>
      </c>
      <c r="AF243" s="2" t="str">
        <f>IF(Source!$C243&gt;=COLUMNS($A243:AF243), Source!$G243, "")</f>
        <v/>
      </c>
      <c r="AG243" s="2" t="str">
        <f>IF(Source!$C243&gt;=COLUMNS($A243:AG243), Source!$G243, "")</f>
        <v/>
      </c>
      <c r="AH243" s="2" t="str">
        <f>IF(Source!$C243&gt;=COLUMNS($A243:AH243), Source!$G243, "")</f>
        <v/>
      </c>
      <c r="AI243" s="2" t="str">
        <f>IF(Source!$C243&gt;=COLUMNS($A243:AI243), Source!$G243, "")</f>
        <v/>
      </c>
      <c r="AJ243" s="2" t="str">
        <f>IF(Source!$C243&gt;=COLUMNS($A243:AJ243), Source!$G243, "")</f>
        <v/>
      </c>
      <c r="AK243" s="2" t="str">
        <f>IF(Source!$C243&gt;=COLUMNS($A243:AK243), Source!$G243, "")</f>
        <v/>
      </c>
      <c r="AL243" s="2" t="str">
        <f>IF(Source!$C243&gt;=COLUMNS($A243:AL243), Source!$G243, "")</f>
        <v/>
      </c>
      <c r="AM243" s="2" t="str">
        <f>IF(Source!$C243&gt;=COLUMNS($A243:AM243), Source!$G243, "")</f>
        <v/>
      </c>
      <c r="AN243" s="2" t="str">
        <f>IF(Source!$C243&gt;=COLUMNS($A243:AN243), Source!$G243, "")</f>
        <v/>
      </c>
      <c r="AO243" s="2" t="str">
        <f>IF(Source!$C243&gt;=COLUMNS($A243:AO243), Source!$G243, "")</f>
        <v/>
      </c>
      <c r="AP243" s="2" t="str">
        <f>IF(Source!$C243&gt;=COLUMNS($A243:AP243), Source!$G243, "")</f>
        <v/>
      </c>
      <c r="AQ243" s="2" t="str">
        <f>IF(Source!$C243&gt;=COLUMNS($A243:AQ243), Source!$G243, "")</f>
        <v/>
      </c>
      <c r="AR243" s="2" t="str">
        <f>IF(Source!$C243&gt;=COLUMNS($A243:AR243), Source!$G243, "")</f>
        <v/>
      </c>
    </row>
    <row r="244">
      <c r="A244" s="2">
        <f>IF(Source!$C244&gt;=COLUMNS($A244:A244), Source!$G244, "")</f>
        <v>6</v>
      </c>
      <c r="B244" s="2" t="str">
        <f>IF(Source!$C244&gt;=COLUMNS($A244:B244), Source!$G244, "")</f>
        <v/>
      </c>
      <c r="C244" s="2" t="str">
        <f>IF(Source!$C244&gt;=COLUMNS($A244:C244), Source!$G244, "")</f>
        <v/>
      </c>
      <c r="D244" s="2" t="str">
        <f>IF(Source!$C244&gt;=COLUMNS($A244:D244), Source!$G244, "")</f>
        <v/>
      </c>
      <c r="E244" s="2" t="str">
        <f>IF(Source!$C244&gt;=COLUMNS($A244:E244), Source!$G244, "")</f>
        <v/>
      </c>
      <c r="F244" s="2" t="str">
        <f>IF(Source!$C244&gt;=COLUMNS($A244:F244), Source!$G244, "")</f>
        <v/>
      </c>
      <c r="G244" s="2" t="str">
        <f>IF(Source!$C244&gt;=COLUMNS($A244:G244), Source!$G244, "")</f>
        <v/>
      </c>
      <c r="H244" s="2" t="str">
        <f>IF(Source!$C244&gt;=COLUMNS($A244:H244), Source!$G244, "")</f>
        <v/>
      </c>
      <c r="I244" s="2" t="str">
        <f>IF(Source!$C244&gt;=COLUMNS($A244:I244), Source!$G244, "")</f>
        <v/>
      </c>
      <c r="J244" s="2" t="str">
        <f>IF(Source!$C244&gt;=COLUMNS($A244:J244), Source!$G244, "")</f>
        <v/>
      </c>
      <c r="K244" s="2" t="str">
        <f>IF(Source!$C244&gt;=COLUMNS($A244:K244), Source!$G244, "")</f>
        <v/>
      </c>
      <c r="L244" s="2" t="str">
        <f>IF(Source!$C244&gt;=COLUMNS($A244:L244), Source!$G244, "")</f>
        <v/>
      </c>
      <c r="M244" s="2" t="str">
        <f>IF(Source!$C244&gt;=COLUMNS($A244:M244), Source!$G244, "")</f>
        <v/>
      </c>
      <c r="N244" s="2" t="str">
        <f>IF(Source!$C244&gt;=COLUMNS($A244:N244), Source!$G244, "")</f>
        <v/>
      </c>
      <c r="O244" s="2" t="str">
        <f>IF(Source!$C244&gt;=COLUMNS($A244:O244), Source!$G244, "")</f>
        <v/>
      </c>
      <c r="P244" s="2" t="str">
        <f>IF(Source!$C244&gt;=COLUMNS($A244:P244), Source!$G244, "")</f>
        <v/>
      </c>
      <c r="Q244" s="2" t="str">
        <f>IF(Source!$C244&gt;=COLUMNS($A244:Q244), Source!$G244, "")</f>
        <v/>
      </c>
      <c r="R244" s="2" t="str">
        <f>IF(Source!$C244&gt;=COLUMNS($A244:R244), Source!$G244, "")</f>
        <v/>
      </c>
      <c r="S244" s="2" t="str">
        <f>IF(Source!$C244&gt;=COLUMNS($A244:S244), Source!$G244, "")</f>
        <v/>
      </c>
      <c r="T244" s="2" t="str">
        <f>IF(Source!$C244&gt;=COLUMNS($A244:T244), Source!$G244, "")</f>
        <v/>
      </c>
      <c r="U244" s="2" t="str">
        <f>IF(Source!$C244&gt;=COLUMNS($A244:U244), Source!$G244, "")</f>
        <v/>
      </c>
      <c r="V244" s="2" t="str">
        <f>IF(Source!$C244&gt;=COLUMNS($A244:V244), Source!$G244, "")</f>
        <v/>
      </c>
      <c r="W244" s="2" t="str">
        <f>IF(Source!$C244&gt;=COLUMNS($A244:W244), Source!$G244, "")</f>
        <v/>
      </c>
      <c r="X244" s="2" t="str">
        <f>IF(Source!$C244&gt;=COLUMNS($A244:X244), Source!$G244, "")</f>
        <v/>
      </c>
      <c r="Y244" s="2" t="str">
        <f>IF(Source!$C244&gt;=COLUMNS($A244:Y244), Source!$G244, "")</f>
        <v/>
      </c>
      <c r="Z244" s="2" t="str">
        <f>IF(Source!$C244&gt;=COLUMNS($A244:Z244), Source!$G244, "")</f>
        <v/>
      </c>
      <c r="AA244" s="2" t="str">
        <f>IF(Source!$C244&gt;=COLUMNS($A244:AA244), Source!$G244, "")</f>
        <v/>
      </c>
      <c r="AB244" s="2" t="str">
        <f>IF(Source!$C244&gt;=COLUMNS($A244:AB244), Source!$G244, "")</f>
        <v/>
      </c>
      <c r="AC244" s="2" t="str">
        <f>IF(Source!$C244&gt;=COLUMNS($A244:AC244), Source!$G244, "")</f>
        <v/>
      </c>
      <c r="AD244" s="2" t="str">
        <f>IF(Source!$C244&gt;=COLUMNS($A244:AD244), Source!$G244, "")</f>
        <v/>
      </c>
      <c r="AE244" s="2" t="str">
        <f>IF(Source!$C244&gt;=COLUMNS($A244:AE244), Source!$G244, "")</f>
        <v/>
      </c>
      <c r="AF244" s="2" t="str">
        <f>IF(Source!$C244&gt;=COLUMNS($A244:AF244), Source!$G244, "")</f>
        <v/>
      </c>
      <c r="AG244" s="2" t="str">
        <f>IF(Source!$C244&gt;=COLUMNS($A244:AG244), Source!$G244, "")</f>
        <v/>
      </c>
      <c r="AH244" s="2" t="str">
        <f>IF(Source!$C244&gt;=COLUMNS($A244:AH244), Source!$G244, "")</f>
        <v/>
      </c>
      <c r="AI244" s="2" t="str">
        <f>IF(Source!$C244&gt;=COLUMNS($A244:AI244), Source!$G244, "")</f>
        <v/>
      </c>
      <c r="AJ244" s="2" t="str">
        <f>IF(Source!$C244&gt;=COLUMNS($A244:AJ244), Source!$G244, "")</f>
        <v/>
      </c>
      <c r="AK244" s="2" t="str">
        <f>IF(Source!$C244&gt;=COLUMNS($A244:AK244), Source!$G244, "")</f>
        <v/>
      </c>
      <c r="AL244" s="2" t="str">
        <f>IF(Source!$C244&gt;=COLUMNS($A244:AL244), Source!$G244, "")</f>
        <v/>
      </c>
      <c r="AM244" s="2" t="str">
        <f>IF(Source!$C244&gt;=COLUMNS($A244:AM244), Source!$G244, "")</f>
        <v/>
      </c>
      <c r="AN244" s="2" t="str">
        <f>IF(Source!$C244&gt;=COLUMNS($A244:AN244), Source!$G244, "")</f>
        <v/>
      </c>
      <c r="AO244" s="2" t="str">
        <f>IF(Source!$C244&gt;=COLUMNS($A244:AO244), Source!$G244, "")</f>
        <v/>
      </c>
      <c r="AP244" s="2" t="str">
        <f>IF(Source!$C244&gt;=COLUMNS($A244:AP244), Source!$G244, "")</f>
        <v/>
      </c>
      <c r="AQ244" s="2" t="str">
        <f>IF(Source!$C244&gt;=COLUMNS($A244:AQ244), Source!$G244, "")</f>
        <v/>
      </c>
      <c r="AR244" s="2" t="str">
        <f>IF(Source!$C244&gt;=COLUMNS($A244:AR244), Source!$G244, "")</f>
        <v/>
      </c>
    </row>
    <row r="245">
      <c r="A245" s="2">
        <f>IF(Source!$C245&gt;=COLUMNS($A245:A245), Source!$G245, "")</f>
        <v>1</v>
      </c>
      <c r="B245" s="2" t="str">
        <f>IF(Source!$C245&gt;=COLUMNS($A245:B245), Source!$G245, "")</f>
        <v/>
      </c>
      <c r="C245" s="2" t="str">
        <f>IF(Source!$C245&gt;=COLUMNS($A245:C245), Source!$G245, "")</f>
        <v/>
      </c>
      <c r="D245" s="2" t="str">
        <f>IF(Source!$C245&gt;=COLUMNS($A245:D245), Source!$G245, "")</f>
        <v/>
      </c>
      <c r="E245" s="2" t="str">
        <f>IF(Source!$C245&gt;=COLUMNS($A245:E245), Source!$G245, "")</f>
        <v/>
      </c>
      <c r="F245" s="2" t="str">
        <f>IF(Source!$C245&gt;=COLUMNS($A245:F245), Source!$G245, "")</f>
        <v/>
      </c>
      <c r="G245" s="2" t="str">
        <f>IF(Source!$C245&gt;=COLUMNS($A245:G245), Source!$G245, "")</f>
        <v/>
      </c>
      <c r="H245" s="2" t="str">
        <f>IF(Source!$C245&gt;=COLUMNS($A245:H245), Source!$G245, "")</f>
        <v/>
      </c>
      <c r="I245" s="2" t="str">
        <f>IF(Source!$C245&gt;=COLUMNS($A245:I245), Source!$G245, "")</f>
        <v/>
      </c>
      <c r="J245" s="2" t="str">
        <f>IF(Source!$C245&gt;=COLUMNS($A245:J245), Source!$G245, "")</f>
        <v/>
      </c>
      <c r="K245" s="2" t="str">
        <f>IF(Source!$C245&gt;=COLUMNS($A245:K245), Source!$G245, "")</f>
        <v/>
      </c>
      <c r="L245" s="2" t="str">
        <f>IF(Source!$C245&gt;=COLUMNS($A245:L245), Source!$G245, "")</f>
        <v/>
      </c>
      <c r="M245" s="2" t="str">
        <f>IF(Source!$C245&gt;=COLUMNS($A245:M245), Source!$G245, "")</f>
        <v/>
      </c>
      <c r="N245" s="2" t="str">
        <f>IF(Source!$C245&gt;=COLUMNS($A245:N245), Source!$G245, "")</f>
        <v/>
      </c>
      <c r="O245" s="2" t="str">
        <f>IF(Source!$C245&gt;=COLUMNS($A245:O245), Source!$G245, "")</f>
        <v/>
      </c>
      <c r="P245" s="2" t="str">
        <f>IF(Source!$C245&gt;=COLUMNS($A245:P245), Source!$G245, "")</f>
        <v/>
      </c>
      <c r="Q245" s="2" t="str">
        <f>IF(Source!$C245&gt;=COLUMNS($A245:Q245), Source!$G245, "")</f>
        <v/>
      </c>
      <c r="R245" s="2" t="str">
        <f>IF(Source!$C245&gt;=COLUMNS($A245:R245), Source!$G245, "")</f>
        <v/>
      </c>
      <c r="S245" s="2" t="str">
        <f>IF(Source!$C245&gt;=COLUMNS($A245:S245), Source!$G245, "")</f>
        <v/>
      </c>
      <c r="T245" s="2" t="str">
        <f>IF(Source!$C245&gt;=COLUMNS($A245:T245), Source!$G245, "")</f>
        <v/>
      </c>
      <c r="U245" s="2" t="str">
        <f>IF(Source!$C245&gt;=COLUMNS($A245:U245), Source!$G245, "")</f>
        <v/>
      </c>
      <c r="V245" s="2" t="str">
        <f>IF(Source!$C245&gt;=COLUMNS($A245:V245), Source!$G245, "")</f>
        <v/>
      </c>
      <c r="W245" s="2" t="str">
        <f>IF(Source!$C245&gt;=COLUMNS($A245:W245), Source!$G245, "")</f>
        <v/>
      </c>
      <c r="X245" s="2" t="str">
        <f>IF(Source!$C245&gt;=COLUMNS($A245:X245), Source!$G245, "")</f>
        <v/>
      </c>
      <c r="Y245" s="2" t="str">
        <f>IF(Source!$C245&gt;=COLUMNS($A245:Y245), Source!$G245, "")</f>
        <v/>
      </c>
      <c r="Z245" s="2" t="str">
        <f>IF(Source!$C245&gt;=COLUMNS($A245:Z245), Source!$G245, "")</f>
        <v/>
      </c>
      <c r="AA245" s="2" t="str">
        <f>IF(Source!$C245&gt;=COLUMNS($A245:AA245), Source!$G245, "")</f>
        <v/>
      </c>
      <c r="AB245" s="2" t="str">
        <f>IF(Source!$C245&gt;=COLUMNS($A245:AB245), Source!$G245, "")</f>
        <v/>
      </c>
      <c r="AC245" s="2" t="str">
        <f>IF(Source!$C245&gt;=COLUMNS($A245:AC245), Source!$G245, "")</f>
        <v/>
      </c>
      <c r="AD245" s="2" t="str">
        <f>IF(Source!$C245&gt;=COLUMNS($A245:AD245), Source!$G245, "")</f>
        <v/>
      </c>
      <c r="AE245" s="2" t="str">
        <f>IF(Source!$C245&gt;=COLUMNS($A245:AE245), Source!$G245, "")</f>
        <v/>
      </c>
      <c r="AF245" s="2" t="str">
        <f>IF(Source!$C245&gt;=COLUMNS($A245:AF245), Source!$G245, "")</f>
        <v/>
      </c>
      <c r="AG245" s="2" t="str">
        <f>IF(Source!$C245&gt;=COLUMNS($A245:AG245), Source!$G245, "")</f>
        <v/>
      </c>
      <c r="AH245" s="2" t="str">
        <f>IF(Source!$C245&gt;=COLUMNS($A245:AH245), Source!$G245, "")</f>
        <v/>
      </c>
      <c r="AI245" s="2" t="str">
        <f>IF(Source!$C245&gt;=COLUMNS($A245:AI245), Source!$G245, "")</f>
        <v/>
      </c>
      <c r="AJ245" s="2" t="str">
        <f>IF(Source!$C245&gt;=COLUMNS($A245:AJ245), Source!$G245, "")</f>
        <v/>
      </c>
      <c r="AK245" s="2" t="str">
        <f>IF(Source!$C245&gt;=COLUMNS($A245:AK245), Source!$G245, "")</f>
        <v/>
      </c>
      <c r="AL245" s="2" t="str">
        <f>IF(Source!$C245&gt;=COLUMNS($A245:AL245), Source!$G245, "")</f>
        <v/>
      </c>
      <c r="AM245" s="2" t="str">
        <f>IF(Source!$C245&gt;=COLUMNS($A245:AM245), Source!$G245, "")</f>
        <v/>
      </c>
      <c r="AN245" s="2" t="str">
        <f>IF(Source!$C245&gt;=COLUMNS($A245:AN245), Source!$G245, "")</f>
        <v/>
      </c>
      <c r="AO245" s="2" t="str">
        <f>IF(Source!$C245&gt;=COLUMNS($A245:AO245), Source!$G245, "")</f>
        <v/>
      </c>
      <c r="AP245" s="2" t="str">
        <f>IF(Source!$C245&gt;=COLUMNS($A245:AP245), Source!$G245, "")</f>
        <v/>
      </c>
      <c r="AQ245" s="2" t="str">
        <f>IF(Source!$C245&gt;=COLUMNS($A245:AQ245), Source!$G245, "")</f>
        <v/>
      </c>
      <c r="AR245" s="2" t="str">
        <f>IF(Source!$C245&gt;=COLUMNS($A245:AR245), Source!$G245, "")</f>
        <v/>
      </c>
    </row>
    <row r="246">
      <c r="A246" s="2">
        <f>IF(Source!$C246&gt;=COLUMNS($A246:A246), Source!$G246, "")</f>
        <v>3</v>
      </c>
      <c r="B246" s="2">
        <f>IF(Source!$C246&gt;=COLUMNS($A246:B246), Source!$G246, "")</f>
        <v>3</v>
      </c>
      <c r="C246" s="2">
        <f>IF(Source!$C246&gt;=COLUMNS($A246:C246), Source!$G246, "")</f>
        <v>3</v>
      </c>
      <c r="D246" s="2">
        <f>IF(Source!$C246&gt;=COLUMNS($A246:D246), Source!$G246, "")</f>
        <v>3</v>
      </c>
      <c r="E246" s="2">
        <f>IF(Source!$C246&gt;=COLUMNS($A246:E246), Source!$G246, "")</f>
        <v>3</v>
      </c>
      <c r="F246" s="2">
        <f>IF(Source!$C246&gt;=COLUMNS($A246:F246), Source!$G246, "")</f>
        <v>3</v>
      </c>
      <c r="G246" s="2">
        <f>IF(Source!$C246&gt;=COLUMNS($A246:G246), Source!$G246, "")</f>
        <v>3</v>
      </c>
      <c r="H246" s="2">
        <f>IF(Source!$C246&gt;=COLUMNS($A246:H246), Source!$G246, "")</f>
        <v>3</v>
      </c>
      <c r="I246" s="2" t="str">
        <f>IF(Source!$C246&gt;=COLUMNS($A246:I246), Source!$G246, "")</f>
        <v/>
      </c>
      <c r="J246" s="2" t="str">
        <f>IF(Source!$C246&gt;=COLUMNS($A246:J246), Source!$G246, "")</f>
        <v/>
      </c>
      <c r="K246" s="2" t="str">
        <f>IF(Source!$C246&gt;=COLUMNS($A246:K246), Source!$G246, "")</f>
        <v/>
      </c>
      <c r="L246" s="2" t="str">
        <f>IF(Source!$C246&gt;=COLUMNS($A246:L246), Source!$G246, "")</f>
        <v/>
      </c>
      <c r="M246" s="2" t="str">
        <f>IF(Source!$C246&gt;=COLUMNS($A246:M246), Source!$G246, "")</f>
        <v/>
      </c>
      <c r="N246" s="2" t="str">
        <f>IF(Source!$C246&gt;=COLUMNS($A246:N246), Source!$G246, "")</f>
        <v/>
      </c>
      <c r="O246" s="2" t="str">
        <f>IF(Source!$C246&gt;=COLUMNS($A246:O246), Source!$G246, "")</f>
        <v/>
      </c>
      <c r="P246" s="2" t="str">
        <f>IF(Source!$C246&gt;=COLUMNS($A246:P246), Source!$G246, "")</f>
        <v/>
      </c>
      <c r="Q246" s="2" t="str">
        <f>IF(Source!$C246&gt;=COLUMNS($A246:Q246), Source!$G246, "")</f>
        <v/>
      </c>
      <c r="R246" s="2" t="str">
        <f>IF(Source!$C246&gt;=COLUMNS($A246:R246), Source!$G246, "")</f>
        <v/>
      </c>
      <c r="S246" s="2" t="str">
        <f>IF(Source!$C246&gt;=COLUMNS($A246:S246), Source!$G246, "")</f>
        <v/>
      </c>
      <c r="T246" s="2" t="str">
        <f>IF(Source!$C246&gt;=COLUMNS($A246:T246), Source!$G246, "")</f>
        <v/>
      </c>
      <c r="U246" s="2" t="str">
        <f>IF(Source!$C246&gt;=COLUMNS($A246:U246), Source!$G246, "")</f>
        <v/>
      </c>
      <c r="V246" s="2" t="str">
        <f>IF(Source!$C246&gt;=COLUMNS($A246:V246), Source!$G246, "")</f>
        <v/>
      </c>
      <c r="W246" s="2" t="str">
        <f>IF(Source!$C246&gt;=COLUMNS($A246:W246), Source!$G246, "")</f>
        <v/>
      </c>
      <c r="X246" s="2" t="str">
        <f>IF(Source!$C246&gt;=COLUMNS($A246:X246), Source!$G246, "")</f>
        <v/>
      </c>
      <c r="Y246" s="2" t="str">
        <f>IF(Source!$C246&gt;=COLUMNS($A246:Y246), Source!$G246, "")</f>
        <v/>
      </c>
      <c r="Z246" s="2" t="str">
        <f>IF(Source!$C246&gt;=COLUMNS($A246:Z246), Source!$G246, "")</f>
        <v/>
      </c>
      <c r="AA246" s="2" t="str">
        <f>IF(Source!$C246&gt;=COLUMNS($A246:AA246), Source!$G246, "")</f>
        <v/>
      </c>
      <c r="AB246" s="2" t="str">
        <f>IF(Source!$C246&gt;=COLUMNS($A246:AB246), Source!$G246, "")</f>
        <v/>
      </c>
      <c r="AC246" s="2" t="str">
        <f>IF(Source!$C246&gt;=COLUMNS($A246:AC246), Source!$G246, "")</f>
        <v/>
      </c>
      <c r="AD246" s="2" t="str">
        <f>IF(Source!$C246&gt;=COLUMNS($A246:AD246), Source!$G246, "")</f>
        <v/>
      </c>
      <c r="AE246" s="2" t="str">
        <f>IF(Source!$C246&gt;=COLUMNS($A246:AE246), Source!$G246, "")</f>
        <v/>
      </c>
      <c r="AF246" s="2" t="str">
        <f>IF(Source!$C246&gt;=COLUMNS($A246:AF246), Source!$G246, "")</f>
        <v/>
      </c>
      <c r="AG246" s="2" t="str">
        <f>IF(Source!$C246&gt;=COLUMNS($A246:AG246), Source!$G246, "")</f>
        <v/>
      </c>
      <c r="AH246" s="2" t="str">
        <f>IF(Source!$C246&gt;=COLUMNS($A246:AH246), Source!$G246, "")</f>
        <v/>
      </c>
      <c r="AI246" s="2" t="str">
        <f>IF(Source!$C246&gt;=COLUMNS($A246:AI246), Source!$G246, "")</f>
        <v/>
      </c>
      <c r="AJ246" s="2" t="str">
        <f>IF(Source!$C246&gt;=COLUMNS($A246:AJ246), Source!$G246, "")</f>
        <v/>
      </c>
      <c r="AK246" s="2" t="str">
        <f>IF(Source!$C246&gt;=COLUMNS($A246:AK246), Source!$G246, "")</f>
        <v/>
      </c>
      <c r="AL246" s="2" t="str">
        <f>IF(Source!$C246&gt;=COLUMNS($A246:AL246), Source!$G246, "")</f>
        <v/>
      </c>
      <c r="AM246" s="2" t="str">
        <f>IF(Source!$C246&gt;=COLUMNS($A246:AM246), Source!$G246, "")</f>
        <v/>
      </c>
      <c r="AN246" s="2" t="str">
        <f>IF(Source!$C246&gt;=COLUMNS($A246:AN246), Source!$G246, "")</f>
        <v/>
      </c>
      <c r="AO246" s="2" t="str">
        <f>IF(Source!$C246&gt;=COLUMNS($A246:AO246), Source!$G246, "")</f>
        <v/>
      </c>
      <c r="AP246" s="2" t="str">
        <f>IF(Source!$C246&gt;=COLUMNS($A246:AP246), Source!$G246, "")</f>
        <v/>
      </c>
      <c r="AQ246" s="2" t="str">
        <f>IF(Source!$C246&gt;=COLUMNS($A246:AQ246), Source!$G246, "")</f>
        <v/>
      </c>
      <c r="AR246" s="2" t="str">
        <f>IF(Source!$C246&gt;=COLUMNS($A246:AR246), Source!$G246, "")</f>
        <v/>
      </c>
    </row>
    <row r="247">
      <c r="A247" s="2">
        <f>IF(Source!$C247&gt;=COLUMNS($A247:A247), Source!$G247, "")</f>
        <v>7</v>
      </c>
      <c r="B247" s="2">
        <f>IF(Source!$C247&gt;=COLUMNS($A247:B247), Source!$G247, "")</f>
        <v>7</v>
      </c>
      <c r="C247" s="2">
        <f>IF(Source!$C247&gt;=COLUMNS($A247:C247), Source!$G247, "")</f>
        <v>7</v>
      </c>
      <c r="D247" s="2">
        <f>IF(Source!$C247&gt;=COLUMNS($A247:D247), Source!$G247, "")</f>
        <v>7</v>
      </c>
      <c r="E247" s="2">
        <f>IF(Source!$C247&gt;=COLUMNS($A247:E247), Source!$G247, "")</f>
        <v>7</v>
      </c>
      <c r="F247" s="2" t="str">
        <f>IF(Source!$C247&gt;=COLUMNS($A247:F247), Source!$G247, "")</f>
        <v/>
      </c>
      <c r="G247" s="2" t="str">
        <f>IF(Source!$C247&gt;=COLUMNS($A247:G247), Source!$G247, "")</f>
        <v/>
      </c>
      <c r="H247" s="2" t="str">
        <f>IF(Source!$C247&gt;=COLUMNS($A247:H247), Source!$G247, "")</f>
        <v/>
      </c>
      <c r="I247" s="2" t="str">
        <f>IF(Source!$C247&gt;=COLUMNS($A247:I247), Source!$G247, "")</f>
        <v/>
      </c>
      <c r="J247" s="2" t="str">
        <f>IF(Source!$C247&gt;=COLUMNS($A247:J247), Source!$G247, "")</f>
        <v/>
      </c>
      <c r="K247" s="2" t="str">
        <f>IF(Source!$C247&gt;=COLUMNS($A247:K247), Source!$G247, "")</f>
        <v/>
      </c>
      <c r="L247" s="2" t="str">
        <f>IF(Source!$C247&gt;=COLUMNS($A247:L247), Source!$G247, "")</f>
        <v/>
      </c>
      <c r="M247" s="2" t="str">
        <f>IF(Source!$C247&gt;=COLUMNS($A247:M247), Source!$G247, "")</f>
        <v/>
      </c>
      <c r="N247" s="2" t="str">
        <f>IF(Source!$C247&gt;=COLUMNS($A247:N247), Source!$G247, "")</f>
        <v/>
      </c>
      <c r="O247" s="2" t="str">
        <f>IF(Source!$C247&gt;=COLUMNS($A247:O247), Source!$G247, "")</f>
        <v/>
      </c>
      <c r="P247" s="2" t="str">
        <f>IF(Source!$C247&gt;=COLUMNS($A247:P247), Source!$G247, "")</f>
        <v/>
      </c>
      <c r="Q247" s="2" t="str">
        <f>IF(Source!$C247&gt;=COLUMNS($A247:Q247), Source!$G247, "")</f>
        <v/>
      </c>
      <c r="R247" s="2" t="str">
        <f>IF(Source!$C247&gt;=COLUMNS($A247:R247), Source!$G247, "")</f>
        <v/>
      </c>
      <c r="S247" s="2" t="str">
        <f>IF(Source!$C247&gt;=COLUMNS($A247:S247), Source!$G247, "")</f>
        <v/>
      </c>
      <c r="T247" s="2" t="str">
        <f>IF(Source!$C247&gt;=COLUMNS($A247:T247), Source!$G247, "")</f>
        <v/>
      </c>
      <c r="U247" s="2" t="str">
        <f>IF(Source!$C247&gt;=COLUMNS($A247:U247), Source!$G247, "")</f>
        <v/>
      </c>
      <c r="V247" s="2" t="str">
        <f>IF(Source!$C247&gt;=COLUMNS($A247:V247), Source!$G247, "")</f>
        <v/>
      </c>
      <c r="W247" s="2" t="str">
        <f>IF(Source!$C247&gt;=COLUMNS($A247:W247), Source!$G247, "")</f>
        <v/>
      </c>
      <c r="X247" s="2" t="str">
        <f>IF(Source!$C247&gt;=COLUMNS($A247:X247), Source!$G247, "")</f>
        <v/>
      </c>
      <c r="Y247" s="2" t="str">
        <f>IF(Source!$C247&gt;=COLUMNS($A247:Y247), Source!$G247, "")</f>
        <v/>
      </c>
      <c r="Z247" s="2" t="str">
        <f>IF(Source!$C247&gt;=COLUMNS($A247:Z247), Source!$G247, "")</f>
        <v/>
      </c>
      <c r="AA247" s="2" t="str">
        <f>IF(Source!$C247&gt;=COLUMNS($A247:AA247), Source!$G247, "")</f>
        <v/>
      </c>
      <c r="AB247" s="2" t="str">
        <f>IF(Source!$C247&gt;=COLUMNS($A247:AB247), Source!$G247, "")</f>
        <v/>
      </c>
      <c r="AC247" s="2" t="str">
        <f>IF(Source!$C247&gt;=COLUMNS($A247:AC247), Source!$G247, "")</f>
        <v/>
      </c>
      <c r="AD247" s="2" t="str">
        <f>IF(Source!$C247&gt;=COLUMNS($A247:AD247), Source!$G247, "")</f>
        <v/>
      </c>
      <c r="AE247" s="2" t="str">
        <f>IF(Source!$C247&gt;=COLUMNS($A247:AE247), Source!$G247, "")</f>
        <v/>
      </c>
      <c r="AF247" s="2" t="str">
        <f>IF(Source!$C247&gt;=COLUMNS($A247:AF247), Source!$G247, "")</f>
        <v/>
      </c>
      <c r="AG247" s="2" t="str">
        <f>IF(Source!$C247&gt;=COLUMNS($A247:AG247), Source!$G247, "")</f>
        <v/>
      </c>
      <c r="AH247" s="2" t="str">
        <f>IF(Source!$C247&gt;=COLUMNS($A247:AH247), Source!$G247, "")</f>
        <v/>
      </c>
      <c r="AI247" s="2" t="str">
        <f>IF(Source!$C247&gt;=COLUMNS($A247:AI247), Source!$G247, "")</f>
        <v/>
      </c>
      <c r="AJ247" s="2" t="str">
        <f>IF(Source!$C247&gt;=COLUMNS($A247:AJ247), Source!$G247, "")</f>
        <v/>
      </c>
      <c r="AK247" s="2" t="str">
        <f>IF(Source!$C247&gt;=COLUMNS($A247:AK247), Source!$G247, "")</f>
        <v/>
      </c>
      <c r="AL247" s="2" t="str">
        <f>IF(Source!$C247&gt;=COLUMNS($A247:AL247), Source!$G247, "")</f>
        <v/>
      </c>
      <c r="AM247" s="2" t="str">
        <f>IF(Source!$C247&gt;=COLUMNS($A247:AM247), Source!$G247, "")</f>
        <v/>
      </c>
      <c r="AN247" s="2" t="str">
        <f>IF(Source!$C247&gt;=COLUMNS($A247:AN247), Source!$G247, "")</f>
        <v/>
      </c>
      <c r="AO247" s="2" t="str">
        <f>IF(Source!$C247&gt;=COLUMNS($A247:AO247), Source!$G247, "")</f>
        <v/>
      </c>
      <c r="AP247" s="2" t="str">
        <f>IF(Source!$C247&gt;=COLUMNS($A247:AP247), Source!$G247, "")</f>
        <v/>
      </c>
      <c r="AQ247" s="2" t="str">
        <f>IF(Source!$C247&gt;=COLUMNS($A247:AQ247), Source!$G247, "")</f>
        <v/>
      </c>
      <c r="AR247" s="2" t="str">
        <f>IF(Source!$C247&gt;=COLUMNS($A247:AR247), Source!$G247, "")</f>
        <v/>
      </c>
    </row>
    <row r="248">
      <c r="A248" s="2">
        <f>IF(Source!$C248&gt;=COLUMNS($A248:A248), Source!$G248, "")</f>
        <v>4</v>
      </c>
      <c r="B248" s="2">
        <f>IF(Source!$C248&gt;=COLUMNS($A248:B248), Source!$G248, "")</f>
        <v>4</v>
      </c>
      <c r="C248" s="2" t="str">
        <f>IF(Source!$C248&gt;=COLUMNS($A248:C248), Source!$G248, "")</f>
        <v/>
      </c>
      <c r="D248" s="2" t="str">
        <f>IF(Source!$C248&gt;=COLUMNS($A248:D248), Source!$G248, "")</f>
        <v/>
      </c>
      <c r="E248" s="2" t="str">
        <f>IF(Source!$C248&gt;=COLUMNS($A248:E248), Source!$G248, "")</f>
        <v/>
      </c>
      <c r="F248" s="2" t="str">
        <f>IF(Source!$C248&gt;=COLUMNS($A248:F248), Source!$G248, "")</f>
        <v/>
      </c>
      <c r="G248" s="2" t="str">
        <f>IF(Source!$C248&gt;=COLUMNS($A248:G248), Source!$G248, "")</f>
        <v/>
      </c>
      <c r="H248" s="2" t="str">
        <f>IF(Source!$C248&gt;=COLUMNS($A248:H248), Source!$G248, "")</f>
        <v/>
      </c>
      <c r="I248" s="2" t="str">
        <f>IF(Source!$C248&gt;=COLUMNS($A248:I248), Source!$G248, "")</f>
        <v/>
      </c>
      <c r="J248" s="2" t="str">
        <f>IF(Source!$C248&gt;=COLUMNS($A248:J248), Source!$G248, "")</f>
        <v/>
      </c>
      <c r="K248" s="2" t="str">
        <f>IF(Source!$C248&gt;=COLUMNS($A248:K248), Source!$G248, "")</f>
        <v/>
      </c>
      <c r="L248" s="2" t="str">
        <f>IF(Source!$C248&gt;=COLUMNS($A248:L248), Source!$G248, "")</f>
        <v/>
      </c>
      <c r="M248" s="2" t="str">
        <f>IF(Source!$C248&gt;=COLUMNS($A248:M248), Source!$G248, "")</f>
        <v/>
      </c>
      <c r="N248" s="2" t="str">
        <f>IF(Source!$C248&gt;=COLUMNS($A248:N248), Source!$G248, "")</f>
        <v/>
      </c>
      <c r="O248" s="2" t="str">
        <f>IF(Source!$C248&gt;=COLUMNS($A248:O248), Source!$G248, "")</f>
        <v/>
      </c>
      <c r="P248" s="2" t="str">
        <f>IF(Source!$C248&gt;=COLUMNS($A248:P248), Source!$G248, "")</f>
        <v/>
      </c>
      <c r="Q248" s="2" t="str">
        <f>IF(Source!$C248&gt;=COLUMNS($A248:Q248), Source!$G248, "")</f>
        <v/>
      </c>
      <c r="R248" s="2" t="str">
        <f>IF(Source!$C248&gt;=COLUMNS($A248:R248), Source!$G248, "")</f>
        <v/>
      </c>
      <c r="S248" s="2" t="str">
        <f>IF(Source!$C248&gt;=COLUMNS($A248:S248), Source!$G248, "")</f>
        <v/>
      </c>
      <c r="T248" s="2" t="str">
        <f>IF(Source!$C248&gt;=COLUMNS($A248:T248), Source!$G248, "")</f>
        <v/>
      </c>
      <c r="U248" s="2" t="str">
        <f>IF(Source!$C248&gt;=COLUMNS($A248:U248), Source!$G248, "")</f>
        <v/>
      </c>
      <c r="V248" s="2" t="str">
        <f>IF(Source!$C248&gt;=COLUMNS($A248:V248), Source!$G248, "")</f>
        <v/>
      </c>
      <c r="W248" s="2" t="str">
        <f>IF(Source!$C248&gt;=COLUMNS($A248:W248), Source!$G248, "")</f>
        <v/>
      </c>
      <c r="X248" s="2" t="str">
        <f>IF(Source!$C248&gt;=COLUMNS($A248:X248), Source!$G248, "")</f>
        <v/>
      </c>
      <c r="Y248" s="2" t="str">
        <f>IF(Source!$C248&gt;=COLUMNS($A248:Y248), Source!$G248, "")</f>
        <v/>
      </c>
      <c r="Z248" s="2" t="str">
        <f>IF(Source!$C248&gt;=COLUMNS($A248:Z248), Source!$G248, "")</f>
        <v/>
      </c>
      <c r="AA248" s="2" t="str">
        <f>IF(Source!$C248&gt;=COLUMNS($A248:AA248), Source!$G248, "")</f>
        <v/>
      </c>
      <c r="AB248" s="2" t="str">
        <f>IF(Source!$C248&gt;=COLUMNS($A248:AB248), Source!$G248, "")</f>
        <v/>
      </c>
      <c r="AC248" s="2" t="str">
        <f>IF(Source!$C248&gt;=COLUMNS($A248:AC248), Source!$G248, "")</f>
        <v/>
      </c>
      <c r="AD248" s="2" t="str">
        <f>IF(Source!$C248&gt;=COLUMNS($A248:AD248), Source!$G248, "")</f>
        <v/>
      </c>
      <c r="AE248" s="2" t="str">
        <f>IF(Source!$C248&gt;=COLUMNS($A248:AE248), Source!$G248, "")</f>
        <v/>
      </c>
      <c r="AF248" s="2" t="str">
        <f>IF(Source!$C248&gt;=COLUMNS($A248:AF248), Source!$G248, "")</f>
        <v/>
      </c>
      <c r="AG248" s="2" t="str">
        <f>IF(Source!$C248&gt;=COLUMNS($A248:AG248), Source!$G248, "")</f>
        <v/>
      </c>
      <c r="AH248" s="2" t="str">
        <f>IF(Source!$C248&gt;=COLUMNS($A248:AH248), Source!$G248, "")</f>
        <v/>
      </c>
      <c r="AI248" s="2" t="str">
        <f>IF(Source!$C248&gt;=COLUMNS($A248:AI248), Source!$G248, "")</f>
        <v/>
      </c>
      <c r="AJ248" s="2" t="str">
        <f>IF(Source!$C248&gt;=COLUMNS($A248:AJ248), Source!$G248, "")</f>
        <v/>
      </c>
      <c r="AK248" s="2" t="str">
        <f>IF(Source!$C248&gt;=COLUMNS($A248:AK248), Source!$G248, "")</f>
        <v/>
      </c>
      <c r="AL248" s="2" t="str">
        <f>IF(Source!$C248&gt;=COLUMNS($A248:AL248), Source!$G248, "")</f>
        <v/>
      </c>
      <c r="AM248" s="2" t="str">
        <f>IF(Source!$C248&gt;=COLUMNS($A248:AM248), Source!$G248, "")</f>
        <v/>
      </c>
      <c r="AN248" s="2" t="str">
        <f>IF(Source!$C248&gt;=COLUMNS($A248:AN248), Source!$G248, "")</f>
        <v/>
      </c>
      <c r="AO248" s="2" t="str">
        <f>IF(Source!$C248&gt;=COLUMNS($A248:AO248), Source!$G248, "")</f>
        <v/>
      </c>
      <c r="AP248" s="2" t="str">
        <f>IF(Source!$C248&gt;=COLUMNS($A248:AP248), Source!$G248, "")</f>
        <v/>
      </c>
      <c r="AQ248" s="2" t="str">
        <f>IF(Source!$C248&gt;=COLUMNS($A248:AQ248), Source!$G248, "")</f>
        <v/>
      </c>
      <c r="AR248" s="2" t="str">
        <f>IF(Source!$C248&gt;=COLUMNS($A248:AR248), Source!$G248, "")</f>
        <v/>
      </c>
    </row>
    <row r="249">
      <c r="A249" s="2">
        <f>IF(Source!$C249&gt;=COLUMNS($A249:A249), Source!$G249, "")</f>
        <v>9</v>
      </c>
      <c r="B249" s="2" t="str">
        <f>IF(Source!$C249&gt;=COLUMNS($A249:B249), Source!$G249, "")</f>
        <v/>
      </c>
      <c r="C249" s="2" t="str">
        <f>IF(Source!$C249&gt;=COLUMNS($A249:C249), Source!$G249, "")</f>
        <v/>
      </c>
      <c r="D249" s="2" t="str">
        <f>IF(Source!$C249&gt;=COLUMNS($A249:D249), Source!$G249, "")</f>
        <v/>
      </c>
      <c r="E249" s="2" t="str">
        <f>IF(Source!$C249&gt;=COLUMNS($A249:E249), Source!$G249, "")</f>
        <v/>
      </c>
      <c r="F249" s="2" t="str">
        <f>IF(Source!$C249&gt;=COLUMNS($A249:F249), Source!$G249, "")</f>
        <v/>
      </c>
      <c r="G249" s="2" t="str">
        <f>IF(Source!$C249&gt;=COLUMNS($A249:G249), Source!$G249, "")</f>
        <v/>
      </c>
      <c r="H249" s="2" t="str">
        <f>IF(Source!$C249&gt;=COLUMNS($A249:H249), Source!$G249, "")</f>
        <v/>
      </c>
      <c r="I249" s="2" t="str">
        <f>IF(Source!$C249&gt;=COLUMNS($A249:I249), Source!$G249, "")</f>
        <v/>
      </c>
      <c r="J249" s="2" t="str">
        <f>IF(Source!$C249&gt;=COLUMNS($A249:J249), Source!$G249, "")</f>
        <v/>
      </c>
      <c r="K249" s="2" t="str">
        <f>IF(Source!$C249&gt;=COLUMNS($A249:K249), Source!$G249, "")</f>
        <v/>
      </c>
      <c r="L249" s="2" t="str">
        <f>IF(Source!$C249&gt;=COLUMNS($A249:L249), Source!$G249, "")</f>
        <v/>
      </c>
      <c r="M249" s="2" t="str">
        <f>IF(Source!$C249&gt;=COLUMNS($A249:M249), Source!$G249, "")</f>
        <v/>
      </c>
      <c r="N249" s="2" t="str">
        <f>IF(Source!$C249&gt;=COLUMNS($A249:N249), Source!$G249, "")</f>
        <v/>
      </c>
      <c r="O249" s="2" t="str">
        <f>IF(Source!$C249&gt;=COLUMNS($A249:O249), Source!$G249, "")</f>
        <v/>
      </c>
      <c r="P249" s="2" t="str">
        <f>IF(Source!$C249&gt;=COLUMNS($A249:P249), Source!$G249, "")</f>
        <v/>
      </c>
      <c r="Q249" s="2" t="str">
        <f>IF(Source!$C249&gt;=COLUMNS($A249:Q249), Source!$G249, "")</f>
        <v/>
      </c>
      <c r="R249" s="2" t="str">
        <f>IF(Source!$C249&gt;=COLUMNS($A249:R249), Source!$G249, "")</f>
        <v/>
      </c>
      <c r="S249" s="2" t="str">
        <f>IF(Source!$C249&gt;=COLUMNS($A249:S249), Source!$G249, "")</f>
        <v/>
      </c>
      <c r="T249" s="2" t="str">
        <f>IF(Source!$C249&gt;=COLUMNS($A249:T249), Source!$G249, "")</f>
        <v/>
      </c>
      <c r="U249" s="2" t="str">
        <f>IF(Source!$C249&gt;=COLUMNS($A249:U249), Source!$G249, "")</f>
        <v/>
      </c>
      <c r="V249" s="2" t="str">
        <f>IF(Source!$C249&gt;=COLUMNS($A249:V249), Source!$G249, "")</f>
        <v/>
      </c>
      <c r="W249" s="2" t="str">
        <f>IF(Source!$C249&gt;=COLUMNS($A249:W249), Source!$G249, "")</f>
        <v/>
      </c>
      <c r="X249" s="2" t="str">
        <f>IF(Source!$C249&gt;=COLUMNS($A249:X249), Source!$G249, "")</f>
        <v/>
      </c>
      <c r="Y249" s="2" t="str">
        <f>IF(Source!$C249&gt;=COLUMNS($A249:Y249), Source!$G249, "")</f>
        <v/>
      </c>
      <c r="Z249" s="2" t="str">
        <f>IF(Source!$C249&gt;=COLUMNS($A249:Z249), Source!$G249, "")</f>
        <v/>
      </c>
      <c r="AA249" s="2" t="str">
        <f>IF(Source!$C249&gt;=COLUMNS($A249:AA249), Source!$G249, "")</f>
        <v/>
      </c>
      <c r="AB249" s="2" t="str">
        <f>IF(Source!$C249&gt;=COLUMNS($A249:AB249), Source!$G249, "")</f>
        <v/>
      </c>
      <c r="AC249" s="2" t="str">
        <f>IF(Source!$C249&gt;=COLUMNS($A249:AC249), Source!$G249, "")</f>
        <v/>
      </c>
      <c r="AD249" s="2" t="str">
        <f>IF(Source!$C249&gt;=COLUMNS($A249:AD249), Source!$G249, "")</f>
        <v/>
      </c>
      <c r="AE249" s="2" t="str">
        <f>IF(Source!$C249&gt;=COLUMNS($A249:AE249), Source!$G249, "")</f>
        <v/>
      </c>
      <c r="AF249" s="2" t="str">
        <f>IF(Source!$C249&gt;=COLUMNS($A249:AF249), Source!$G249, "")</f>
        <v/>
      </c>
      <c r="AG249" s="2" t="str">
        <f>IF(Source!$C249&gt;=COLUMNS($A249:AG249), Source!$G249, "")</f>
        <v/>
      </c>
      <c r="AH249" s="2" t="str">
        <f>IF(Source!$C249&gt;=COLUMNS($A249:AH249), Source!$G249, "")</f>
        <v/>
      </c>
      <c r="AI249" s="2" t="str">
        <f>IF(Source!$C249&gt;=COLUMNS($A249:AI249), Source!$G249, "")</f>
        <v/>
      </c>
      <c r="AJ249" s="2" t="str">
        <f>IF(Source!$C249&gt;=COLUMNS($A249:AJ249), Source!$G249, "")</f>
        <v/>
      </c>
      <c r="AK249" s="2" t="str">
        <f>IF(Source!$C249&gt;=COLUMNS($A249:AK249), Source!$G249, "")</f>
        <v/>
      </c>
      <c r="AL249" s="2" t="str">
        <f>IF(Source!$C249&gt;=COLUMNS($A249:AL249), Source!$G249, "")</f>
        <v/>
      </c>
      <c r="AM249" s="2" t="str">
        <f>IF(Source!$C249&gt;=COLUMNS($A249:AM249), Source!$G249, "")</f>
        <v/>
      </c>
      <c r="AN249" s="2" t="str">
        <f>IF(Source!$C249&gt;=COLUMNS($A249:AN249), Source!$G249, "")</f>
        <v/>
      </c>
      <c r="AO249" s="2" t="str">
        <f>IF(Source!$C249&gt;=COLUMNS($A249:AO249), Source!$G249, "")</f>
        <v/>
      </c>
      <c r="AP249" s="2" t="str">
        <f>IF(Source!$C249&gt;=COLUMNS($A249:AP249), Source!$G249, "")</f>
        <v/>
      </c>
      <c r="AQ249" s="2" t="str">
        <f>IF(Source!$C249&gt;=COLUMNS($A249:AQ249), Source!$G249, "")</f>
        <v/>
      </c>
      <c r="AR249" s="2" t="str">
        <f>IF(Source!$C249&gt;=COLUMNS($A249:AR249), Source!$G249, "")</f>
        <v/>
      </c>
    </row>
    <row r="250">
      <c r="A250" s="2">
        <f>IF(Source!$C250&gt;=COLUMNS($A250:A250), Source!$G250, "")</f>
        <v>6</v>
      </c>
      <c r="B250" s="2" t="str">
        <f>IF(Source!$C250&gt;=COLUMNS($A250:B250), Source!$G250, "")</f>
        <v/>
      </c>
      <c r="C250" s="2" t="str">
        <f>IF(Source!$C250&gt;=COLUMNS($A250:C250), Source!$G250, "")</f>
        <v/>
      </c>
      <c r="D250" s="2" t="str">
        <f>IF(Source!$C250&gt;=COLUMNS($A250:D250), Source!$G250, "")</f>
        <v/>
      </c>
      <c r="E250" s="2" t="str">
        <f>IF(Source!$C250&gt;=COLUMNS($A250:E250), Source!$G250, "")</f>
        <v/>
      </c>
      <c r="F250" s="2" t="str">
        <f>IF(Source!$C250&gt;=COLUMNS($A250:F250), Source!$G250, "")</f>
        <v/>
      </c>
      <c r="G250" s="2" t="str">
        <f>IF(Source!$C250&gt;=COLUMNS($A250:G250), Source!$G250, "")</f>
        <v/>
      </c>
      <c r="H250" s="2" t="str">
        <f>IF(Source!$C250&gt;=COLUMNS($A250:H250), Source!$G250, "")</f>
        <v/>
      </c>
      <c r="I250" s="2" t="str">
        <f>IF(Source!$C250&gt;=COLUMNS($A250:I250), Source!$G250, "")</f>
        <v/>
      </c>
      <c r="J250" s="2" t="str">
        <f>IF(Source!$C250&gt;=COLUMNS($A250:J250), Source!$G250, "")</f>
        <v/>
      </c>
      <c r="K250" s="2" t="str">
        <f>IF(Source!$C250&gt;=COLUMNS($A250:K250), Source!$G250, "")</f>
        <v/>
      </c>
      <c r="L250" s="2" t="str">
        <f>IF(Source!$C250&gt;=COLUMNS($A250:L250), Source!$G250, "")</f>
        <v/>
      </c>
      <c r="M250" s="2" t="str">
        <f>IF(Source!$C250&gt;=COLUMNS($A250:M250), Source!$G250, "")</f>
        <v/>
      </c>
      <c r="N250" s="2" t="str">
        <f>IF(Source!$C250&gt;=COLUMNS($A250:N250), Source!$G250, "")</f>
        <v/>
      </c>
      <c r="O250" s="2" t="str">
        <f>IF(Source!$C250&gt;=COLUMNS($A250:O250), Source!$G250, "")</f>
        <v/>
      </c>
      <c r="P250" s="2" t="str">
        <f>IF(Source!$C250&gt;=COLUMNS($A250:P250), Source!$G250, "")</f>
        <v/>
      </c>
      <c r="Q250" s="2" t="str">
        <f>IF(Source!$C250&gt;=COLUMNS($A250:Q250), Source!$G250, "")</f>
        <v/>
      </c>
      <c r="R250" s="2" t="str">
        <f>IF(Source!$C250&gt;=COLUMNS($A250:R250), Source!$G250, "")</f>
        <v/>
      </c>
      <c r="S250" s="2" t="str">
        <f>IF(Source!$C250&gt;=COLUMNS($A250:S250), Source!$G250, "")</f>
        <v/>
      </c>
      <c r="T250" s="2" t="str">
        <f>IF(Source!$C250&gt;=COLUMNS($A250:T250), Source!$G250, "")</f>
        <v/>
      </c>
      <c r="U250" s="2" t="str">
        <f>IF(Source!$C250&gt;=COLUMNS($A250:U250), Source!$G250, "")</f>
        <v/>
      </c>
      <c r="V250" s="2" t="str">
        <f>IF(Source!$C250&gt;=COLUMNS($A250:V250), Source!$G250, "")</f>
        <v/>
      </c>
      <c r="W250" s="2" t="str">
        <f>IF(Source!$C250&gt;=COLUMNS($A250:W250), Source!$G250, "")</f>
        <v/>
      </c>
      <c r="X250" s="2" t="str">
        <f>IF(Source!$C250&gt;=COLUMNS($A250:X250), Source!$G250, "")</f>
        <v/>
      </c>
      <c r="Y250" s="2" t="str">
        <f>IF(Source!$C250&gt;=COLUMNS($A250:Y250), Source!$G250, "")</f>
        <v/>
      </c>
      <c r="Z250" s="2" t="str">
        <f>IF(Source!$C250&gt;=COLUMNS($A250:Z250), Source!$G250, "")</f>
        <v/>
      </c>
      <c r="AA250" s="2" t="str">
        <f>IF(Source!$C250&gt;=COLUMNS($A250:AA250), Source!$G250, "")</f>
        <v/>
      </c>
      <c r="AB250" s="2" t="str">
        <f>IF(Source!$C250&gt;=COLUMNS($A250:AB250), Source!$G250, "")</f>
        <v/>
      </c>
      <c r="AC250" s="2" t="str">
        <f>IF(Source!$C250&gt;=COLUMNS($A250:AC250), Source!$G250, "")</f>
        <v/>
      </c>
      <c r="AD250" s="2" t="str">
        <f>IF(Source!$C250&gt;=COLUMNS($A250:AD250), Source!$G250, "")</f>
        <v/>
      </c>
      <c r="AE250" s="2" t="str">
        <f>IF(Source!$C250&gt;=COLUMNS($A250:AE250), Source!$G250, "")</f>
        <v/>
      </c>
      <c r="AF250" s="2" t="str">
        <f>IF(Source!$C250&gt;=COLUMNS($A250:AF250), Source!$G250, "")</f>
        <v/>
      </c>
      <c r="AG250" s="2" t="str">
        <f>IF(Source!$C250&gt;=COLUMNS($A250:AG250), Source!$G250, "")</f>
        <v/>
      </c>
      <c r="AH250" s="2" t="str">
        <f>IF(Source!$C250&gt;=COLUMNS($A250:AH250), Source!$G250, "")</f>
        <v/>
      </c>
      <c r="AI250" s="2" t="str">
        <f>IF(Source!$C250&gt;=COLUMNS($A250:AI250), Source!$G250, "")</f>
        <v/>
      </c>
      <c r="AJ250" s="2" t="str">
        <f>IF(Source!$C250&gt;=COLUMNS($A250:AJ250), Source!$G250, "")</f>
        <v/>
      </c>
      <c r="AK250" s="2" t="str">
        <f>IF(Source!$C250&gt;=COLUMNS($A250:AK250), Source!$G250, "")</f>
        <v/>
      </c>
      <c r="AL250" s="2" t="str">
        <f>IF(Source!$C250&gt;=COLUMNS($A250:AL250), Source!$G250, "")</f>
        <v/>
      </c>
      <c r="AM250" s="2" t="str">
        <f>IF(Source!$C250&gt;=COLUMNS($A250:AM250), Source!$G250, "")</f>
        <v/>
      </c>
      <c r="AN250" s="2" t="str">
        <f>IF(Source!$C250&gt;=COLUMNS($A250:AN250), Source!$G250, "")</f>
        <v/>
      </c>
      <c r="AO250" s="2" t="str">
        <f>IF(Source!$C250&gt;=COLUMNS($A250:AO250), Source!$G250, "")</f>
        <v/>
      </c>
      <c r="AP250" s="2" t="str">
        <f>IF(Source!$C250&gt;=COLUMNS($A250:AP250), Source!$G250, "")</f>
        <v/>
      </c>
      <c r="AQ250" s="2" t="str">
        <f>IF(Source!$C250&gt;=COLUMNS($A250:AQ250), Source!$G250, "")</f>
        <v/>
      </c>
      <c r="AR250" s="2" t="str">
        <f>IF(Source!$C250&gt;=COLUMNS($A250:AR250), Source!$G250, "")</f>
        <v/>
      </c>
    </row>
    <row r="251">
      <c r="A251" s="2">
        <f>IF(Source!$C251&gt;=COLUMNS($A251:A251), Source!$G251, "")</f>
        <v>2</v>
      </c>
      <c r="B251" s="2" t="str">
        <f>IF(Source!$C251&gt;=COLUMNS($A251:B251), Source!$G251, "")</f>
        <v/>
      </c>
      <c r="C251" s="2" t="str">
        <f>IF(Source!$C251&gt;=COLUMNS($A251:C251), Source!$G251, "")</f>
        <v/>
      </c>
      <c r="D251" s="2" t="str">
        <f>IF(Source!$C251&gt;=COLUMNS($A251:D251), Source!$G251, "")</f>
        <v/>
      </c>
      <c r="E251" s="2" t="str">
        <f>IF(Source!$C251&gt;=COLUMNS($A251:E251), Source!$G251, "")</f>
        <v/>
      </c>
      <c r="F251" s="2" t="str">
        <f>IF(Source!$C251&gt;=COLUMNS($A251:F251), Source!$G251, "")</f>
        <v/>
      </c>
      <c r="G251" s="2" t="str">
        <f>IF(Source!$C251&gt;=COLUMNS($A251:G251), Source!$G251, "")</f>
        <v/>
      </c>
      <c r="H251" s="2" t="str">
        <f>IF(Source!$C251&gt;=COLUMNS($A251:H251), Source!$G251, "")</f>
        <v/>
      </c>
      <c r="I251" s="2" t="str">
        <f>IF(Source!$C251&gt;=COLUMNS($A251:I251), Source!$G251, "")</f>
        <v/>
      </c>
      <c r="J251" s="2" t="str">
        <f>IF(Source!$C251&gt;=COLUMNS($A251:J251), Source!$G251, "")</f>
        <v/>
      </c>
      <c r="K251" s="2" t="str">
        <f>IF(Source!$C251&gt;=COLUMNS($A251:K251), Source!$G251, "")</f>
        <v/>
      </c>
      <c r="L251" s="2" t="str">
        <f>IF(Source!$C251&gt;=COLUMNS($A251:L251), Source!$G251, "")</f>
        <v/>
      </c>
      <c r="M251" s="2" t="str">
        <f>IF(Source!$C251&gt;=COLUMNS($A251:M251), Source!$G251, "")</f>
        <v/>
      </c>
      <c r="N251" s="2" t="str">
        <f>IF(Source!$C251&gt;=COLUMNS($A251:N251), Source!$G251, "")</f>
        <v/>
      </c>
      <c r="O251" s="2" t="str">
        <f>IF(Source!$C251&gt;=COLUMNS($A251:O251), Source!$G251, "")</f>
        <v/>
      </c>
      <c r="P251" s="2" t="str">
        <f>IF(Source!$C251&gt;=COLUMNS($A251:P251), Source!$G251, "")</f>
        <v/>
      </c>
      <c r="Q251" s="2" t="str">
        <f>IF(Source!$C251&gt;=COLUMNS($A251:Q251), Source!$G251, "")</f>
        <v/>
      </c>
      <c r="R251" s="2" t="str">
        <f>IF(Source!$C251&gt;=COLUMNS($A251:R251), Source!$G251, "")</f>
        <v/>
      </c>
      <c r="S251" s="2" t="str">
        <f>IF(Source!$C251&gt;=COLUMNS($A251:S251), Source!$G251, "")</f>
        <v/>
      </c>
      <c r="T251" s="2" t="str">
        <f>IF(Source!$C251&gt;=COLUMNS($A251:T251), Source!$G251, "")</f>
        <v/>
      </c>
      <c r="U251" s="2" t="str">
        <f>IF(Source!$C251&gt;=COLUMNS($A251:U251), Source!$G251, "")</f>
        <v/>
      </c>
      <c r="V251" s="2" t="str">
        <f>IF(Source!$C251&gt;=COLUMNS($A251:V251), Source!$G251, "")</f>
        <v/>
      </c>
      <c r="W251" s="2" t="str">
        <f>IF(Source!$C251&gt;=COLUMNS($A251:W251), Source!$G251, "")</f>
        <v/>
      </c>
      <c r="X251" s="2" t="str">
        <f>IF(Source!$C251&gt;=COLUMNS($A251:X251), Source!$G251, "")</f>
        <v/>
      </c>
      <c r="Y251" s="2" t="str">
        <f>IF(Source!$C251&gt;=COLUMNS($A251:Y251), Source!$G251, "")</f>
        <v/>
      </c>
      <c r="Z251" s="2" t="str">
        <f>IF(Source!$C251&gt;=COLUMNS($A251:Z251), Source!$G251, "")</f>
        <v/>
      </c>
      <c r="AA251" s="2" t="str">
        <f>IF(Source!$C251&gt;=COLUMNS($A251:AA251), Source!$G251, "")</f>
        <v/>
      </c>
      <c r="AB251" s="2" t="str">
        <f>IF(Source!$C251&gt;=COLUMNS($A251:AB251), Source!$G251, "")</f>
        <v/>
      </c>
      <c r="AC251" s="2" t="str">
        <f>IF(Source!$C251&gt;=COLUMNS($A251:AC251), Source!$G251, "")</f>
        <v/>
      </c>
      <c r="AD251" s="2" t="str">
        <f>IF(Source!$C251&gt;=COLUMNS($A251:AD251), Source!$G251, "")</f>
        <v/>
      </c>
      <c r="AE251" s="2" t="str">
        <f>IF(Source!$C251&gt;=COLUMNS($A251:AE251), Source!$G251, "")</f>
        <v/>
      </c>
      <c r="AF251" s="2" t="str">
        <f>IF(Source!$C251&gt;=COLUMNS($A251:AF251), Source!$G251, "")</f>
        <v/>
      </c>
      <c r="AG251" s="2" t="str">
        <f>IF(Source!$C251&gt;=COLUMNS($A251:AG251), Source!$G251, "")</f>
        <v/>
      </c>
      <c r="AH251" s="2" t="str">
        <f>IF(Source!$C251&gt;=COLUMNS($A251:AH251), Source!$G251, "")</f>
        <v/>
      </c>
      <c r="AI251" s="2" t="str">
        <f>IF(Source!$C251&gt;=COLUMNS($A251:AI251), Source!$G251, "")</f>
        <v/>
      </c>
      <c r="AJ251" s="2" t="str">
        <f>IF(Source!$C251&gt;=COLUMNS($A251:AJ251), Source!$G251, "")</f>
        <v/>
      </c>
      <c r="AK251" s="2" t="str">
        <f>IF(Source!$C251&gt;=COLUMNS($A251:AK251), Source!$G251, "")</f>
        <v/>
      </c>
      <c r="AL251" s="2" t="str">
        <f>IF(Source!$C251&gt;=COLUMNS($A251:AL251), Source!$G251, "")</f>
        <v/>
      </c>
      <c r="AM251" s="2" t="str">
        <f>IF(Source!$C251&gt;=COLUMNS($A251:AM251), Source!$G251, "")</f>
        <v/>
      </c>
      <c r="AN251" s="2" t="str">
        <f>IF(Source!$C251&gt;=COLUMNS($A251:AN251), Source!$G251, "")</f>
        <v/>
      </c>
      <c r="AO251" s="2" t="str">
        <f>IF(Source!$C251&gt;=COLUMNS($A251:AO251), Source!$G251, "")</f>
        <v/>
      </c>
      <c r="AP251" s="2" t="str">
        <f>IF(Source!$C251&gt;=COLUMNS($A251:AP251), Source!$G251, "")</f>
        <v/>
      </c>
      <c r="AQ251" s="2" t="str">
        <f>IF(Source!$C251&gt;=COLUMNS($A251:AQ251), Source!$G251, "")</f>
        <v/>
      </c>
      <c r="AR251" s="2" t="str">
        <f>IF(Source!$C251&gt;=COLUMNS($A251:AR251), Source!$G251, "")</f>
        <v/>
      </c>
    </row>
    <row r="252">
      <c r="A252" s="2">
        <f>IF(Source!$C252&gt;=COLUMNS($A252:A252), Source!$G252, "")</f>
        <v>7</v>
      </c>
      <c r="B252" s="2">
        <f>IF(Source!$C252&gt;=COLUMNS($A252:B252), Source!$G252, "")</f>
        <v>7</v>
      </c>
      <c r="C252" s="2" t="str">
        <f>IF(Source!$C252&gt;=COLUMNS($A252:C252), Source!$G252, "")</f>
        <v/>
      </c>
      <c r="D252" s="2" t="str">
        <f>IF(Source!$C252&gt;=COLUMNS($A252:D252), Source!$G252, "")</f>
        <v/>
      </c>
      <c r="E252" s="2" t="str">
        <f>IF(Source!$C252&gt;=COLUMNS($A252:E252), Source!$G252, "")</f>
        <v/>
      </c>
      <c r="F252" s="2" t="str">
        <f>IF(Source!$C252&gt;=COLUMNS($A252:F252), Source!$G252, "")</f>
        <v/>
      </c>
      <c r="G252" s="2" t="str">
        <f>IF(Source!$C252&gt;=COLUMNS($A252:G252), Source!$G252, "")</f>
        <v/>
      </c>
      <c r="H252" s="2" t="str">
        <f>IF(Source!$C252&gt;=COLUMNS($A252:H252), Source!$G252, "")</f>
        <v/>
      </c>
      <c r="I252" s="2" t="str">
        <f>IF(Source!$C252&gt;=COLUMNS($A252:I252), Source!$G252, "")</f>
        <v/>
      </c>
      <c r="J252" s="2" t="str">
        <f>IF(Source!$C252&gt;=COLUMNS($A252:J252), Source!$G252, "")</f>
        <v/>
      </c>
      <c r="K252" s="2" t="str">
        <f>IF(Source!$C252&gt;=COLUMNS($A252:K252), Source!$G252, "")</f>
        <v/>
      </c>
      <c r="L252" s="2" t="str">
        <f>IF(Source!$C252&gt;=COLUMNS($A252:L252), Source!$G252, "")</f>
        <v/>
      </c>
      <c r="M252" s="2" t="str">
        <f>IF(Source!$C252&gt;=COLUMNS($A252:M252), Source!$G252, "")</f>
        <v/>
      </c>
      <c r="N252" s="2" t="str">
        <f>IF(Source!$C252&gt;=COLUMNS($A252:N252), Source!$G252, "")</f>
        <v/>
      </c>
      <c r="O252" s="2" t="str">
        <f>IF(Source!$C252&gt;=COLUMNS($A252:O252), Source!$G252, "")</f>
        <v/>
      </c>
      <c r="P252" s="2" t="str">
        <f>IF(Source!$C252&gt;=COLUMNS($A252:P252), Source!$G252, "")</f>
        <v/>
      </c>
      <c r="Q252" s="2" t="str">
        <f>IF(Source!$C252&gt;=COLUMNS($A252:Q252), Source!$G252, "")</f>
        <v/>
      </c>
      <c r="R252" s="2" t="str">
        <f>IF(Source!$C252&gt;=COLUMNS($A252:R252), Source!$G252, "")</f>
        <v/>
      </c>
      <c r="S252" s="2" t="str">
        <f>IF(Source!$C252&gt;=COLUMNS($A252:S252), Source!$G252, "")</f>
        <v/>
      </c>
      <c r="T252" s="2" t="str">
        <f>IF(Source!$C252&gt;=COLUMNS($A252:T252), Source!$G252, "")</f>
        <v/>
      </c>
      <c r="U252" s="2" t="str">
        <f>IF(Source!$C252&gt;=COLUMNS($A252:U252), Source!$G252, "")</f>
        <v/>
      </c>
      <c r="V252" s="2" t="str">
        <f>IF(Source!$C252&gt;=COLUMNS($A252:V252), Source!$G252, "")</f>
        <v/>
      </c>
      <c r="W252" s="2" t="str">
        <f>IF(Source!$C252&gt;=COLUMNS($A252:W252), Source!$G252, "")</f>
        <v/>
      </c>
      <c r="X252" s="2" t="str">
        <f>IF(Source!$C252&gt;=COLUMNS($A252:X252), Source!$G252, "")</f>
        <v/>
      </c>
      <c r="Y252" s="2" t="str">
        <f>IF(Source!$C252&gt;=COLUMNS($A252:Y252), Source!$G252, "")</f>
        <v/>
      </c>
      <c r="Z252" s="2" t="str">
        <f>IF(Source!$C252&gt;=COLUMNS($A252:Z252), Source!$G252, "")</f>
        <v/>
      </c>
      <c r="AA252" s="2" t="str">
        <f>IF(Source!$C252&gt;=COLUMNS($A252:AA252), Source!$G252, "")</f>
        <v/>
      </c>
      <c r="AB252" s="2" t="str">
        <f>IF(Source!$C252&gt;=COLUMNS($A252:AB252), Source!$G252, "")</f>
        <v/>
      </c>
      <c r="AC252" s="2" t="str">
        <f>IF(Source!$C252&gt;=COLUMNS($A252:AC252), Source!$G252, "")</f>
        <v/>
      </c>
      <c r="AD252" s="2" t="str">
        <f>IF(Source!$C252&gt;=COLUMNS($A252:AD252), Source!$G252, "")</f>
        <v/>
      </c>
      <c r="AE252" s="2" t="str">
        <f>IF(Source!$C252&gt;=COLUMNS($A252:AE252), Source!$G252, "")</f>
        <v/>
      </c>
      <c r="AF252" s="2" t="str">
        <f>IF(Source!$C252&gt;=COLUMNS($A252:AF252), Source!$G252, "")</f>
        <v/>
      </c>
      <c r="AG252" s="2" t="str">
        <f>IF(Source!$C252&gt;=COLUMNS($A252:AG252), Source!$G252, "")</f>
        <v/>
      </c>
      <c r="AH252" s="2" t="str">
        <f>IF(Source!$C252&gt;=COLUMNS($A252:AH252), Source!$G252, "")</f>
        <v/>
      </c>
      <c r="AI252" s="2" t="str">
        <f>IF(Source!$C252&gt;=COLUMNS($A252:AI252), Source!$G252, "")</f>
        <v/>
      </c>
      <c r="AJ252" s="2" t="str">
        <f>IF(Source!$C252&gt;=COLUMNS($A252:AJ252), Source!$G252, "")</f>
        <v/>
      </c>
      <c r="AK252" s="2" t="str">
        <f>IF(Source!$C252&gt;=COLUMNS($A252:AK252), Source!$G252, "")</f>
        <v/>
      </c>
      <c r="AL252" s="2" t="str">
        <f>IF(Source!$C252&gt;=COLUMNS($A252:AL252), Source!$G252, "")</f>
        <v/>
      </c>
      <c r="AM252" s="2" t="str">
        <f>IF(Source!$C252&gt;=COLUMNS($A252:AM252), Source!$G252, "")</f>
        <v/>
      </c>
      <c r="AN252" s="2" t="str">
        <f>IF(Source!$C252&gt;=COLUMNS($A252:AN252), Source!$G252, "")</f>
        <v/>
      </c>
      <c r="AO252" s="2" t="str">
        <f>IF(Source!$C252&gt;=COLUMNS($A252:AO252), Source!$G252, "")</f>
        <v/>
      </c>
      <c r="AP252" s="2" t="str">
        <f>IF(Source!$C252&gt;=COLUMNS($A252:AP252), Source!$G252, "")</f>
        <v/>
      </c>
      <c r="AQ252" s="2" t="str">
        <f>IF(Source!$C252&gt;=COLUMNS($A252:AQ252), Source!$G252, "")</f>
        <v/>
      </c>
      <c r="AR252" s="2" t="str">
        <f>IF(Source!$C252&gt;=COLUMNS($A252:AR252), Source!$G252, "")</f>
        <v/>
      </c>
    </row>
    <row r="253">
      <c r="A253" s="2">
        <f>IF(Source!$C253&gt;=COLUMNS($A253:A253), Source!$G253, "")</f>
        <v>2</v>
      </c>
      <c r="B253" s="2" t="str">
        <f>IF(Source!$C253&gt;=COLUMNS($A253:B253), Source!$G253, "")</f>
        <v/>
      </c>
      <c r="C253" s="2" t="str">
        <f>IF(Source!$C253&gt;=COLUMNS($A253:C253), Source!$G253, "")</f>
        <v/>
      </c>
      <c r="D253" s="2" t="str">
        <f>IF(Source!$C253&gt;=COLUMNS($A253:D253), Source!$G253, "")</f>
        <v/>
      </c>
      <c r="E253" s="2" t="str">
        <f>IF(Source!$C253&gt;=COLUMNS($A253:E253), Source!$G253, "")</f>
        <v/>
      </c>
      <c r="F253" s="2" t="str">
        <f>IF(Source!$C253&gt;=COLUMNS($A253:F253), Source!$G253, "")</f>
        <v/>
      </c>
      <c r="G253" s="2" t="str">
        <f>IF(Source!$C253&gt;=COLUMNS($A253:G253), Source!$G253, "")</f>
        <v/>
      </c>
      <c r="H253" s="2" t="str">
        <f>IF(Source!$C253&gt;=COLUMNS($A253:H253), Source!$G253, "")</f>
        <v/>
      </c>
      <c r="I253" s="2" t="str">
        <f>IF(Source!$C253&gt;=COLUMNS($A253:I253), Source!$G253, "")</f>
        <v/>
      </c>
      <c r="J253" s="2" t="str">
        <f>IF(Source!$C253&gt;=COLUMNS($A253:J253), Source!$G253, "")</f>
        <v/>
      </c>
      <c r="K253" s="2" t="str">
        <f>IF(Source!$C253&gt;=COLUMNS($A253:K253), Source!$G253, "")</f>
        <v/>
      </c>
      <c r="L253" s="2" t="str">
        <f>IF(Source!$C253&gt;=COLUMNS($A253:L253), Source!$G253, "")</f>
        <v/>
      </c>
      <c r="M253" s="2" t="str">
        <f>IF(Source!$C253&gt;=COLUMNS($A253:M253), Source!$G253, "")</f>
        <v/>
      </c>
      <c r="N253" s="2" t="str">
        <f>IF(Source!$C253&gt;=COLUMNS($A253:N253), Source!$G253, "")</f>
        <v/>
      </c>
      <c r="O253" s="2" t="str">
        <f>IF(Source!$C253&gt;=COLUMNS($A253:O253), Source!$G253, "")</f>
        <v/>
      </c>
      <c r="P253" s="2" t="str">
        <f>IF(Source!$C253&gt;=COLUMNS($A253:P253), Source!$G253, "")</f>
        <v/>
      </c>
      <c r="Q253" s="2" t="str">
        <f>IF(Source!$C253&gt;=COLUMNS($A253:Q253), Source!$G253, "")</f>
        <v/>
      </c>
      <c r="R253" s="2" t="str">
        <f>IF(Source!$C253&gt;=COLUMNS($A253:R253), Source!$G253, "")</f>
        <v/>
      </c>
      <c r="S253" s="2" t="str">
        <f>IF(Source!$C253&gt;=COLUMNS($A253:S253), Source!$G253, "")</f>
        <v/>
      </c>
      <c r="T253" s="2" t="str">
        <f>IF(Source!$C253&gt;=COLUMNS($A253:T253), Source!$G253, "")</f>
        <v/>
      </c>
      <c r="U253" s="2" t="str">
        <f>IF(Source!$C253&gt;=COLUMNS($A253:U253), Source!$G253, "")</f>
        <v/>
      </c>
      <c r="V253" s="2" t="str">
        <f>IF(Source!$C253&gt;=COLUMNS($A253:V253), Source!$G253, "")</f>
        <v/>
      </c>
      <c r="W253" s="2" t="str">
        <f>IF(Source!$C253&gt;=COLUMNS($A253:W253), Source!$G253, "")</f>
        <v/>
      </c>
      <c r="X253" s="2" t="str">
        <f>IF(Source!$C253&gt;=COLUMNS($A253:X253), Source!$G253, "")</f>
        <v/>
      </c>
      <c r="Y253" s="2" t="str">
        <f>IF(Source!$C253&gt;=COLUMNS($A253:Y253), Source!$G253, "")</f>
        <v/>
      </c>
      <c r="Z253" s="2" t="str">
        <f>IF(Source!$C253&gt;=COLUMNS($A253:Z253), Source!$G253, "")</f>
        <v/>
      </c>
      <c r="AA253" s="2" t="str">
        <f>IF(Source!$C253&gt;=COLUMNS($A253:AA253), Source!$G253, "")</f>
        <v/>
      </c>
      <c r="AB253" s="2" t="str">
        <f>IF(Source!$C253&gt;=COLUMNS($A253:AB253), Source!$G253, "")</f>
        <v/>
      </c>
      <c r="AC253" s="2" t="str">
        <f>IF(Source!$C253&gt;=COLUMNS($A253:AC253), Source!$G253, "")</f>
        <v/>
      </c>
      <c r="AD253" s="2" t="str">
        <f>IF(Source!$C253&gt;=COLUMNS($A253:AD253), Source!$G253, "")</f>
        <v/>
      </c>
      <c r="AE253" s="2" t="str">
        <f>IF(Source!$C253&gt;=COLUMNS($A253:AE253), Source!$G253, "")</f>
        <v/>
      </c>
      <c r="AF253" s="2" t="str">
        <f>IF(Source!$C253&gt;=COLUMNS($A253:AF253), Source!$G253, "")</f>
        <v/>
      </c>
      <c r="AG253" s="2" t="str">
        <f>IF(Source!$C253&gt;=COLUMNS($A253:AG253), Source!$G253, "")</f>
        <v/>
      </c>
      <c r="AH253" s="2" t="str">
        <f>IF(Source!$C253&gt;=COLUMNS($A253:AH253), Source!$G253, "")</f>
        <v/>
      </c>
      <c r="AI253" s="2" t="str">
        <f>IF(Source!$C253&gt;=COLUMNS($A253:AI253), Source!$G253, "")</f>
        <v/>
      </c>
      <c r="AJ253" s="2" t="str">
        <f>IF(Source!$C253&gt;=COLUMNS($A253:AJ253), Source!$G253, "")</f>
        <v/>
      </c>
      <c r="AK253" s="2" t="str">
        <f>IF(Source!$C253&gt;=COLUMNS($A253:AK253), Source!$G253, "")</f>
        <v/>
      </c>
      <c r="AL253" s="2" t="str">
        <f>IF(Source!$C253&gt;=COLUMNS($A253:AL253), Source!$G253, "")</f>
        <v/>
      </c>
      <c r="AM253" s="2" t="str">
        <f>IF(Source!$C253&gt;=COLUMNS($A253:AM253), Source!$G253, "")</f>
        <v/>
      </c>
      <c r="AN253" s="2" t="str">
        <f>IF(Source!$C253&gt;=COLUMNS($A253:AN253), Source!$G253, "")</f>
        <v/>
      </c>
      <c r="AO253" s="2" t="str">
        <f>IF(Source!$C253&gt;=COLUMNS($A253:AO253), Source!$G253, "")</f>
        <v/>
      </c>
      <c r="AP253" s="2" t="str">
        <f>IF(Source!$C253&gt;=COLUMNS($A253:AP253), Source!$G253, "")</f>
        <v/>
      </c>
      <c r="AQ253" s="2" t="str">
        <f>IF(Source!$C253&gt;=COLUMNS($A253:AQ253), Source!$G253, "")</f>
        <v/>
      </c>
      <c r="AR253" s="2" t="str">
        <f>IF(Source!$C253&gt;=COLUMNS($A253:AR253), Source!$G253, "")</f>
        <v/>
      </c>
    </row>
    <row r="254">
      <c r="A254" s="2">
        <f>IF(Source!$C254&gt;=COLUMNS($A254:A254), Source!$G254, "")</f>
        <v>9</v>
      </c>
      <c r="B254" s="2">
        <f>IF(Source!$C254&gt;=COLUMNS($A254:B254), Source!$G254, "")</f>
        <v>9</v>
      </c>
      <c r="C254" s="2" t="str">
        <f>IF(Source!$C254&gt;=COLUMNS($A254:C254), Source!$G254, "")</f>
        <v/>
      </c>
      <c r="D254" s="2" t="str">
        <f>IF(Source!$C254&gt;=COLUMNS($A254:D254), Source!$G254, "")</f>
        <v/>
      </c>
      <c r="E254" s="2" t="str">
        <f>IF(Source!$C254&gt;=COLUMNS($A254:E254), Source!$G254, "")</f>
        <v/>
      </c>
      <c r="F254" s="2" t="str">
        <f>IF(Source!$C254&gt;=COLUMNS($A254:F254), Source!$G254, "")</f>
        <v/>
      </c>
      <c r="G254" s="2" t="str">
        <f>IF(Source!$C254&gt;=COLUMNS($A254:G254), Source!$G254, "")</f>
        <v/>
      </c>
      <c r="H254" s="2" t="str">
        <f>IF(Source!$C254&gt;=COLUMNS($A254:H254), Source!$G254, "")</f>
        <v/>
      </c>
      <c r="I254" s="2" t="str">
        <f>IF(Source!$C254&gt;=COLUMNS($A254:I254), Source!$G254, "")</f>
        <v/>
      </c>
      <c r="J254" s="2" t="str">
        <f>IF(Source!$C254&gt;=COLUMNS($A254:J254), Source!$G254, "")</f>
        <v/>
      </c>
      <c r="K254" s="2" t="str">
        <f>IF(Source!$C254&gt;=COLUMNS($A254:K254), Source!$G254, "")</f>
        <v/>
      </c>
      <c r="L254" s="2" t="str">
        <f>IF(Source!$C254&gt;=COLUMNS($A254:L254), Source!$G254, "")</f>
        <v/>
      </c>
      <c r="M254" s="2" t="str">
        <f>IF(Source!$C254&gt;=COLUMNS($A254:M254), Source!$G254, "")</f>
        <v/>
      </c>
      <c r="N254" s="2" t="str">
        <f>IF(Source!$C254&gt;=COLUMNS($A254:N254), Source!$G254, "")</f>
        <v/>
      </c>
      <c r="O254" s="2" t="str">
        <f>IF(Source!$C254&gt;=COLUMNS($A254:O254), Source!$G254, "")</f>
        <v/>
      </c>
      <c r="P254" s="2" t="str">
        <f>IF(Source!$C254&gt;=COLUMNS($A254:P254), Source!$G254, "")</f>
        <v/>
      </c>
      <c r="Q254" s="2" t="str">
        <f>IF(Source!$C254&gt;=COLUMNS($A254:Q254), Source!$G254, "")</f>
        <v/>
      </c>
      <c r="R254" s="2" t="str">
        <f>IF(Source!$C254&gt;=COLUMNS($A254:R254), Source!$G254, "")</f>
        <v/>
      </c>
      <c r="S254" s="2" t="str">
        <f>IF(Source!$C254&gt;=COLUMNS($A254:S254), Source!$G254, "")</f>
        <v/>
      </c>
      <c r="T254" s="2" t="str">
        <f>IF(Source!$C254&gt;=COLUMNS($A254:T254), Source!$G254, "")</f>
        <v/>
      </c>
      <c r="U254" s="2" t="str">
        <f>IF(Source!$C254&gt;=COLUMNS($A254:U254), Source!$G254, "")</f>
        <v/>
      </c>
      <c r="V254" s="2" t="str">
        <f>IF(Source!$C254&gt;=COLUMNS($A254:V254), Source!$G254, "")</f>
        <v/>
      </c>
      <c r="W254" s="2" t="str">
        <f>IF(Source!$C254&gt;=COLUMNS($A254:W254), Source!$G254, "")</f>
        <v/>
      </c>
      <c r="X254" s="2" t="str">
        <f>IF(Source!$C254&gt;=COLUMNS($A254:X254), Source!$G254, "")</f>
        <v/>
      </c>
      <c r="Y254" s="2" t="str">
        <f>IF(Source!$C254&gt;=COLUMNS($A254:Y254), Source!$G254, "")</f>
        <v/>
      </c>
      <c r="Z254" s="2" t="str">
        <f>IF(Source!$C254&gt;=COLUMNS($A254:Z254), Source!$G254, "")</f>
        <v/>
      </c>
      <c r="AA254" s="2" t="str">
        <f>IF(Source!$C254&gt;=COLUMNS($A254:AA254), Source!$G254, "")</f>
        <v/>
      </c>
      <c r="AB254" s="2" t="str">
        <f>IF(Source!$C254&gt;=COLUMNS($A254:AB254), Source!$G254, "")</f>
        <v/>
      </c>
      <c r="AC254" s="2" t="str">
        <f>IF(Source!$C254&gt;=COLUMNS($A254:AC254), Source!$G254, "")</f>
        <v/>
      </c>
      <c r="AD254" s="2" t="str">
        <f>IF(Source!$C254&gt;=COLUMNS($A254:AD254), Source!$G254, "")</f>
        <v/>
      </c>
      <c r="AE254" s="2" t="str">
        <f>IF(Source!$C254&gt;=COLUMNS($A254:AE254), Source!$G254, "")</f>
        <v/>
      </c>
      <c r="AF254" s="2" t="str">
        <f>IF(Source!$C254&gt;=COLUMNS($A254:AF254), Source!$G254, "")</f>
        <v/>
      </c>
      <c r="AG254" s="2" t="str">
        <f>IF(Source!$C254&gt;=COLUMNS($A254:AG254), Source!$G254, "")</f>
        <v/>
      </c>
      <c r="AH254" s="2" t="str">
        <f>IF(Source!$C254&gt;=COLUMNS($A254:AH254), Source!$G254, "")</f>
        <v/>
      </c>
      <c r="AI254" s="2" t="str">
        <f>IF(Source!$C254&gt;=COLUMNS($A254:AI254), Source!$G254, "")</f>
        <v/>
      </c>
      <c r="AJ254" s="2" t="str">
        <f>IF(Source!$C254&gt;=COLUMNS($A254:AJ254), Source!$G254, "")</f>
        <v/>
      </c>
      <c r="AK254" s="2" t="str">
        <f>IF(Source!$C254&gt;=COLUMNS($A254:AK254), Source!$G254, "")</f>
        <v/>
      </c>
      <c r="AL254" s="2" t="str">
        <f>IF(Source!$C254&gt;=COLUMNS($A254:AL254), Source!$G254, "")</f>
        <v/>
      </c>
      <c r="AM254" s="2" t="str">
        <f>IF(Source!$C254&gt;=COLUMNS($A254:AM254), Source!$G254, "")</f>
        <v/>
      </c>
      <c r="AN254" s="2" t="str">
        <f>IF(Source!$C254&gt;=COLUMNS($A254:AN254), Source!$G254, "")</f>
        <v/>
      </c>
      <c r="AO254" s="2" t="str">
        <f>IF(Source!$C254&gt;=COLUMNS($A254:AO254), Source!$G254, "")</f>
        <v/>
      </c>
      <c r="AP254" s="2" t="str">
        <f>IF(Source!$C254&gt;=COLUMNS($A254:AP254), Source!$G254, "")</f>
        <v/>
      </c>
      <c r="AQ254" s="2" t="str">
        <f>IF(Source!$C254&gt;=COLUMNS($A254:AQ254), Source!$G254, "")</f>
        <v/>
      </c>
      <c r="AR254" s="2" t="str">
        <f>IF(Source!$C254&gt;=COLUMNS($A254:AR254), Source!$G254, "")</f>
        <v/>
      </c>
    </row>
    <row r="255">
      <c r="A255" s="2">
        <f>IF(Source!$C255&gt;=COLUMNS($A255:A255), Source!$G255, "")</f>
        <v>8</v>
      </c>
      <c r="B255" s="2" t="str">
        <f>IF(Source!$C255&gt;=COLUMNS($A255:B255), Source!$G255, "")</f>
        <v/>
      </c>
      <c r="C255" s="2" t="str">
        <f>IF(Source!$C255&gt;=COLUMNS($A255:C255), Source!$G255, "")</f>
        <v/>
      </c>
      <c r="D255" s="2" t="str">
        <f>IF(Source!$C255&gt;=COLUMNS($A255:D255), Source!$G255, "")</f>
        <v/>
      </c>
      <c r="E255" s="2" t="str">
        <f>IF(Source!$C255&gt;=COLUMNS($A255:E255), Source!$G255, "")</f>
        <v/>
      </c>
      <c r="F255" s="2" t="str">
        <f>IF(Source!$C255&gt;=COLUMNS($A255:F255), Source!$G255, "")</f>
        <v/>
      </c>
      <c r="G255" s="2" t="str">
        <f>IF(Source!$C255&gt;=COLUMNS($A255:G255), Source!$G255, "")</f>
        <v/>
      </c>
      <c r="H255" s="2" t="str">
        <f>IF(Source!$C255&gt;=COLUMNS($A255:H255), Source!$G255, "")</f>
        <v/>
      </c>
      <c r="I255" s="2" t="str">
        <f>IF(Source!$C255&gt;=COLUMNS($A255:I255), Source!$G255, "")</f>
        <v/>
      </c>
      <c r="J255" s="2" t="str">
        <f>IF(Source!$C255&gt;=COLUMNS($A255:J255), Source!$G255, "")</f>
        <v/>
      </c>
      <c r="K255" s="2" t="str">
        <f>IF(Source!$C255&gt;=COLUMNS($A255:K255), Source!$G255, "")</f>
        <v/>
      </c>
      <c r="L255" s="2" t="str">
        <f>IF(Source!$C255&gt;=COLUMNS($A255:L255), Source!$G255, "")</f>
        <v/>
      </c>
      <c r="M255" s="2" t="str">
        <f>IF(Source!$C255&gt;=COLUMNS($A255:M255), Source!$G255, "")</f>
        <v/>
      </c>
      <c r="N255" s="2" t="str">
        <f>IF(Source!$C255&gt;=COLUMNS($A255:N255), Source!$G255, "")</f>
        <v/>
      </c>
      <c r="O255" s="2" t="str">
        <f>IF(Source!$C255&gt;=COLUMNS($A255:O255), Source!$G255, "")</f>
        <v/>
      </c>
      <c r="P255" s="2" t="str">
        <f>IF(Source!$C255&gt;=COLUMNS($A255:P255), Source!$G255, "")</f>
        <v/>
      </c>
      <c r="Q255" s="2" t="str">
        <f>IF(Source!$C255&gt;=COLUMNS($A255:Q255), Source!$G255, "")</f>
        <v/>
      </c>
      <c r="R255" s="2" t="str">
        <f>IF(Source!$C255&gt;=COLUMNS($A255:R255), Source!$G255, "")</f>
        <v/>
      </c>
      <c r="S255" s="2" t="str">
        <f>IF(Source!$C255&gt;=COLUMNS($A255:S255), Source!$G255, "")</f>
        <v/>
      </c>
      <c r="T255" s="2" t="str">
        <f>IF(Source!$C255&gt;=COLUMNS($A255:T255), Source!$G255, "")</f>
        <v/>
      </c>
      <c r="U255" s="2" t="str">
        <f>IF(Source!$C255&gt;=COLUMNS($A255:U255), Source!$G255, "")</f>
        <v/>
      </c>
      <c r="V255" s="2" t="str">
        <f>IF(Source!$C255&gt;=COLUMNS($A255:V255), Source!$G255, "")</f>
        <v/>
      </c>
      <c r="W255" s="2" t="str">
        <f>IF(Source!$C255&gt;=COLUMNS($A255:W255), Source!$G255, "")</f>
        <v/>
      </c>
      <c r="X255" s="2" t="str">
        <f>IF(Source!$C255&gt;=COLUMNS($A255:X255), Source!$G255, "")</f>
        <v/>
      </c>
      <c r="Y255" s="2" t="str">
        <f>IF(Source!$C255&gt;=COLUMNS($A255:Y255), Source!$G255, "")</f>
        <v/>
      </c>
      <c r="Z255" s="2" t="str">
        <f>IF(Source!$C255&gt;=COLUMNS($A255:Z255), Source!$G255, "")</f>
        <v/>
      </c>
      <c r="AA255" s="2" t="str">
        <f>IF(Source!$C255&gt;=COLUMNS($A255:AA255), Source!$G255, "")</f>
        <v/>
      </c>
      <c r="AB255" s="2" t="str">
        <f>IF(Source!$C255&gt;=COLUMNS($A255:AB255), Source!$G255, "")</f>
        <v/>
      </c>
      <c r="AC255" s="2" t="str">
        <f>IF(Source!$C255&gt;=COLUMNS($A255:AC255), Source!$G255, "")</f>
        <v/>
      </c>
      <c r="AD255" s="2" t="str">
        <f>IF(Source!$C255&gt;=COLUMNS($A255:AD255), Source!$G255, "")</f>
        <v/>
      </c>
      <c r="AE255" s="2" t="str">
        <f>IF(Source!$C255&gt;=COLUMNS($A255:AE255), Source!$G255, "")</f>
        <v/>
      </c>
      <c r="AF255" s="2" t="str">
        <f>IF(Source!$C255&gt;=COLUMNS($A255:AF255), Source!$G255, "")</f>
        <v/>
      </c>
      <c r="AG255" s="2" t="str">
        <f>IF(Source!$C255&gt;=COLUMNS($A255:AG255), Source!$G255, "")</f>
        <v/>
      </c>
      <c r="AH255" s="2" t="str">
        <f>IF(Source!$C255&gt;=COLUMNS($A255:AH255), Source!$G255, "")</f>
        <v/>
      </c>
      <c r="AI255" s="2" t="str">
        <f>IF(Source!$C255&gt;=COLUMNS($A255:AI255), Source!$G255, "")</f>
        <v/>
      </c>
      <c r="AJ255" s="2" t="str">
        <f>IF(Source!$C255&gt;=COLUMNS($A255:AJ255), Source!$G255, "")</f>
        <v/>
      </c>
      <c r="AK255" s="2" t="str">
        <f>IF(Source!$C255&gt;=COLUMNS($A255:AK255), Source!$G255, "")</f>
        <v/>
      </c>
      <c r="AL255" s="2" t="str">
        <f>IF(Source!$C255&gt;=COLUMNS($A255:AL255), Source!$G255, "")</f>
        <v/>
      </c>
      <c r="AM255" s="2" t="str">
        <f>IF(Source!$C255&gt;=COLUMNS($A255:AM255), Source!$G255, "")</f>
        <v/>
      </c>
      <c r="AN255" s="2" t="str">
        <f>IF(Source!$C255&gt;=COLUMNS($A255:AN255), Source!$G255, "")</f>
        <v/>
      </c>
      <c r="AO255" s="2" t="str">
        <f>IF(Source!$C255&gt;=COLUMNS($A255:AO255), Source!$G255, "")</f>
        <v/>
      </c>
      <c r="AP255" s="2" t="str">
        <f>IF(Source!$C255&gt;=COLUMNS($A255:AP255), Source!$G255, "")</f>
        <v/>
      </c>
      <c r="AQ255" s="2" t="str">
        <f>IF(Source!$C255&gt;=COLUMNS($A255:AQ255), Source!$G255, "")</f>
        <v/>
      </c>
      <c r="AR255" s="2" t="str">
        <f>IF(Source!$C255&gt;=COLUMNS($A255:AR255), Source!$G255, "")</f>
        <v/>
      </c>
    </row>
    <row r="256">
      <c r="A256" s="2">
        <f>IF(Source!$C256&gt;=COLUMNS($A256:A256), Source!$G256, "")</f>
        <v>5</v>
      </c>
      <c r="B256" s="2" t="str">
        <f>IF(Source!$C256&gt;=COLUMNS($A256:B256), Source!$G256, "")</f>
        <v/>
      </c>
      <c r="C256" s="2" t="str">
        <f>IF(Source!$C256&gt;=COLUMNS($A256:C256), Source!$G256, "")</f>
        <v/>
      </c>
      <c r="D256" s="2" t="str">
        <f>IF(Source!$C256&gt;=COLUMNS($A256:D256), Source!$G256, "")</f>
        <v/>
      </c>
      <c r="E256" s="2" t="str">
        <f>IF(Source!$C256&gt;=COLUMNS($A256:E256), Source!$G256, "")</f>
        <v/>
      </c>
      <c r="F256" s="2" t="str">
        <f>IF(Source!$C256&gt;=COLUMNS($A256:F256), Source!$G256, "")</f>
        <v/>
      </c>
      <c r="G256" s="2" t="str">
        <f>IF(Source!$C256&gt;=COLUMNS($A256:G256), Source!$G256, "")</f>
        <v/>
      </c>
      <c r="H256" s="2" t="str">
        <f>IF(Source!$C256&gt;=COLUMNS($A256:H256), Source!$G256, "")</f>
        <v/>
      </c>
      <c r="I256" s="2" t="str">
        <f>IF(Source!$C256&gt;=COLUMNS($A256:I256), Source!$G256, "")</f>
        <v/>
      </c>
      <c r="J256" s="2" t="str">
        <f>IF(Source!$C256&gt;=COLUMNS($A256:J256), Source!$G256, "")</f>
        <v/>
      </c>
      <c r="K256" s="2" t="str">
        <f>IF(Source!$C256&gt;=COLUMNS($A256:K256), Source!$G256, "")</f>
        <v/>
      </c>
      <c r="L256" s="2" t="str">
        <f>IF(Source!$C256&gt;=COLUMNS($A256:L256), Source!$G256, "")</f>
        <v/>
      </c>
      <c r="M256" s="2" t="str">
        <f>IF(Source!$C256&gt;=COLUMNS($A256:M256), Source!$G256, "")</f>
        <v/>
      </c>
      <c r="N256" s="2" t="str">
        <f>IF(Source!$C256&gt;=COLUMNS($A256:N256), Source!$G256, "")</f>
        <v/>
      </c>
      <c r="O256" s="2" t="str">
        <f>IF(Source!$C256&gt;=COLUMNS($A256:O256), Source!$G256, "")</f>
        <v/>
      </c>
      <c r="P256" s="2" t="str">
        <f>IF(Source!$C256&gt;=COLUMNS($A256:P256), Source!$G256, "")</f>
        <v/>
      </c>
      <c r="Q256" s="2" t="str">
        <f>IF(Source!$C256&gt;=COLUMNS($A256:Q256), Source!$G256, "")</f>
        <v/>
      </c>
      <c r="R256" s="2" t="str">
        <f>IF(Source!$C256&gt;=COLUMNS($A256:R256), Source!$G256, "")</f>
        <v/>
      </c>
      <c r="S256" s="2" t="str">
        <f>IF(Source!$C256&gt;=COLUMNS($A256:S256), Source!$G256, "")</f>
        <v/>
      </c>
      <c r="T256" s="2" t="str">
        <f>IF(Source!$C256&gt;=COLUMNS($A256:T256), Source!$G256, "")</f>
        <v/>
      </c>
      <c r="U256" s="2" t="str">
        <f>IF(Source!$C256&gt;=COLUMNS($A256:U256), Source!$G256, "")</f>
        <v/>
      </c>
      <c r="V256" s="2" t="str">
        <f>IF(Source!$C256&gt;=COLUMNS($A256:V256), Source!$G256, "")</f>
        <v/>
      </c>
      <c r="W256" s="2" t="str">
        <f>IF(Source!$C256&gt;=COLUMNS($A256:W256), Source!$G256, "")</f>
        <v/>
      </c>
      <c r="X256" s="2" t="str">
        <f>IF(Source!$C256&gt;=COLUMNS($A256:X256), Source!$G256, "")</f>
        <v/>
      </c>
      <c r="Y256" s="2" t="str">
        <f>IF(Source!$C256&gt;=COLUMNS($A256:Y256), Source!$G256, "")</f>
        <v/>
      </c>
      <c r="Z256" s="2" t="str">
        <f>IF(Source!$C256&gt;=COLUMNS($A256:Z256), Source!$G256, "")</f>
        <v/>
      </c>
      <c r="AA256" s="2" t="str">
        <f>IF(Source!$C256&gt;=COLUMNS($A256:AA256), Source!$G256, "")</f>
        <v/>
      </c>
      <c r="AB256" s="2" t="str">
        <f>IF(Source!$C256&gt;=COLUMNS($A256:AB256), Source!$G256, "")</f>
        <v/>
      </c>
      <c r="AC256" s="2" t="str">
        <f>IF(Source!$C256&gt;=COLUMNS($A256:AC256), Source!$G256, "")</f>
        <v/>
      </c>
      <c r="AD256" s="2" t="str">
        <f>IF(Source!$C256&gt;=COLUMNS($A256:AD256), Source!$G256, "")</f>
        <v/>
      </c>
      <c r="AE256" s="2" t="str">
        <f>IF(Source!$C256&gt;=COLUMNS($A256:AE256), Source!$G256, "")</f>
        <v/>
      </c>
      <c r="AF256" s="2" t="str">
        <f>IF(Source!$C256&gt;=COLUMNS($A256:AF256), Source!$G256, "")</f>
        <v/>
      </c>
      <c r="AG256" s="2" t="str">
        <f>IF(Source!$C256&gt;=COLUMNS($A256:AG256), Source!$G256, "")</f>
        <v/>
      </c>
      <c r="AH256" s="2" t="str">
        <f>IF(Source!$C256&gt;=COLUMNS($A256:AH256), Source!$G256, "")</f>
        <v/>
      </c>
      <c r="AI256" s="2" t="str">
        <f>IF(Source!$C256&gt;=COLUMNS($A256:AI256), Source!$G256, "")</f>
        <v/>
      </c>
      <c r="AJ256" s="2" t="str">
        <f>IF(Source!$C256&gt;=COLUMNS($A256:AJ256), Source!$G256, "")</f>
        <v/>
      </c>
      <c r="AK256" s="2" t="str">
        <f>IF(Source!$C256&gt;=COLUMNS($A256:AK256), Source!$G256, "")</f>
        <v/>
      </c>
      <c r="AL256" s="2" t="str">
        <f>IF(Source!$C256&gt;=COLUMNS($A256:AL256), Source!$G256, "")</f>
        <v/>
      </c>
      <c r="AM256" s="2" t="str">
        <f>IF(Source!$C256&gt;=COLUMNS($A256:AM256), Source!$G256, "")</f>
        <v/>
      </c>
      <c r="AN256" s="2" t="str">
        <f>IF(Source!$C256&gt;=COLUMNS($A256:AN256), Source!$G256, "")</f>
        <v/>
      </c>
      <c r="AO256" s="2" t="str">
        <f>IF(Source!$C256&gt;=COLUMNS($A256:AO256), Source!$G256, "")</f>
        <v/>
      </c>
      <c r="AP256" s="2" t="str">
        <f>IF(Source!$C256&gt;=COLUMNS($A256:AP256), Source!$G256, "")</f>
        <v/>
      </c>
      <c r="AQ256" s="2" t="str">
        <f>IF(Source!$C256&gt;=COLUMNS($A256:AQ256), Source!$G256, "")</f>
        <v/>
      </c>
      <c r="AR256" s="2" t="str">
        <f>IF(Source!$C256&gt;=COLUMNS($A256:AR256), Source!$G256, "")</f>
        <v/>
      </c>
    </row>
    <row r="257">
      <c r="A257" s="2">
        <f>IF(Source!$C257&gt;=COLUMNS($A257:A257), Source!$G257, "")</f>
        <v>6</v>
      </c>
      <c r="B257" s="2" t="str">
        <f>IF(Source!$C257&gt;=COLUMNS($A257:B257), Source!$G257, "")</f>
        <v/>
      </c>
      <c r="C257" s="2" t="str">
        <f>IF(Source!$C257&gt;=COLUMNS($A257:C257), Source!$G257, "")</f>
        <v/>
      </c>
      <c r="D257" s="2" t="str">
        <f>IF(Source!$C257&gt;=COLUMNS($A257:D257), Source!$G257, "")</f>
        <v/>
      </c>
      <c r="E257" s="2" t="str">
        <f>IF(Source!$C257&gt;=COLUMNS($A257:E257), Source!$G257, "")</f>
        <v/>
      </c>
      <c r="F257" s="2" t="str">
        <f>IF(Source!$C257&gt;=COLUMNS($A257:F257), Source!$G257, "")</f>
        <v/>
      </c>
      <c r="G257" s="2" t="str">
        <f>IF(Source!$C257&gt;=COLUMNS($A257:G257), Source!$G257, "")</f>
        <v/>
      </c>
      <c r="H257" s="2" t="str">
        <f>IF(Source!$C257&gt;=COLUMNS($A257:H257), Source!$G257, "")</f>
        <v/>
      </c>
      <c r="I257" s="2" t="str">
        <f>IF(Source!$C257&gt;=COLUMNS($A257:I257), Source!$G257, "")</f>
        <v/>
      </c>
      <c r="J257" s="2" t="str">
        <f>IF(Source!$C257&gt;=COLUMNS($A257:J257), Source!$G257, "")</f>
        <v/>
      </c>
      <c r="K257" s="2" t="str">
        <f>IF(Source!$C257&gt;=COLUMNS($A257:K257), Source!$G257, "")</f>
        <v/>
      </c>
      <c r="L257" s="2" t="str">
        <f>IF(Source!$C257&gt;=COLUMNS($A257:L257), Source!$G257, "")</f>
        <v/>
      </c>
      <c r="M257" s="2" t="str">
        <f>IF(Source!$C257&gt;=COLUMNS($A257:M257), Source!$G257, "")</f>
        <v/>
      </c>
      <c r="N257" s="2" t="str">
        <f>IF(Source!$C257&gt;=COLUMNS($A257:N257), Source!$G257, "")</f>
        <v/>
      </c>
      <c r="O257" s="2" t="str">
        <f>IF(Source!$C257&gt;=COLUMNS($A257:O257), Source!$G257, "")</f>
        <v/>
      </c>
      <c r="P257" s="2" t="str">
        <f>IF(Source!$C257&gt;=COLUMNS($A257:P257), Source!$G257, "")</f>
        <v/>
      </c>
      <c r="Q257" s="2" t="str">
        <f>IF(Source!$C257&gt;=COLUMNS($A257:Q257), Source!$G257, "")</f>
        <v/>
      </c>
      <c r="R257" s="2" t="str">
        <f>IF(Source!$C257&gt;=COLUMNS($A257:R257), Source!$G257, "")</f>
        <v/>
      </c>
      <c r="S257" s="2" t="str">
        <f>IF(Source!$C257&gt;=COLUMNS($A257:S257), Source!$G257, "")</f>
        <v/>
      </c>
      <c r="T257" s="2" t="str">
        <f>IF(Source!$C257&gt;=COLUMNS($A257:T257), Source!$G257, "")</f>
        <v/>
      </c>
      <c r="U257" s="2" t="str">
        <f>IF(Source!$C257&gt;=COLUMNS($A257:U257), Source!$G257, "")</f>
        <v/>
      </c>
      <c r="V257" s="2" t="str">
        <f>IF(Source!$C257&gt;=COLUMNS($A257:V257), Source!$G257, "")</f>
        <v/>
      </c>
      <c r="W257" s="2" t="str">
        <f>IF(Source!$C257&gt;=COLUMNS($A257:W257), Source!$G257, "")</f>
        <v/>
      </c>
      <c r="X257" s="2" t="str">
        <f>IF(Source!$C257&gt;=COLUMNS($A257:X257), Source!$G257, "")</f>
        <v/>
      </c>
      <c r="Y257" s="2" t="str">
        <f>IF(Source!$C257&gt;=COLUMNS($A257:Y257), Source!$G257, "")</f>
        <v/>
      </c>
      <c r="Z257" s="2" t="str">
        <f>IF(Source!$C257&gt;=COLUMNS($A257:Z257), Source!$G257, "")</f>
        <v/>
      </c>
      <c r="AA257" s="2" t="str">
        <f>IF(Source!$C257&gt;=COLUMNS($A257:AA257), Source!$G257, "")</f>
        <v/>
      </c>
      <c r="AB257" s="2" t="str">
        <f>IF(Source!$C257&gt;=COLUMNS($A257:AB257), Source!$G257, "")</f>
        <v/>
      </c>
      <c r="AC257" s="2" t="str">
        <f>IF(Source!$C257&gt;=COLUMNS($A257:AC257), Source!$G257, "")</f>
        <v/>
      </c>
      <c r="AD257" s="2" t="str">
        <f>IF(Source!$C257&gt;=COLUMNS($A257:AD257), Source!$G257, "")</f>
        <v/>
      </c>
      <c r="AE257" s="2" t="str">
        <f>IF(Source!$C257&gt;=COLUMNS($A257:AE257), Source!$G257, "")</f>
        <v/>
      </c>
      <c r="AF257" s="2" t="str">
        <f>IF(Source!$C257&gt;=COLUMNS($A257:AF257), Source!$G257, "")</f>
        <v/>
      </c>
      <c r="AG257" s="2" t="str">
        <f>IF(Source!$C257&gt;=COLUMNS($A257:AG257), Source!$G257, "")</f>
        <v/>
      </c>
      <c r="AH257" s="2" t="str">
        <f>IF(Source!$C257&gt;=COLUMNS($A257:AH257), Source!$G257, "")</f>
        <v/>
      </c>
      <c r="AI257" s="2" t="str">
        <f>IF(Source!$C257&gt;=COLUMNS($A257:AI257), Source!$G257, "")</f>
        <v/>
      </c>
      <c r="AJ257" s="2" t="str">
        <f>IF(Source!$C257&gt;=COLUMNS($A257:AJ257), Source!$G257, "")</f>
        <v/>
      </c>
      <c r="AK257" s="2" t="str">
        <f>IF(Source!$C257&gt;=COLUMNS($A257:AK257), Source!$G257, "")</f>
        <v/>
      </c>
      <c r="AL257" s="2" t="str">
        <f>IF(Source!$C257&gt;=COLUMNS($A257:AL257), Source!$G257, "")</f>
        <v/>
      </c>
      <c r="AM257" s="2" t="str">
        <f>IF(Source!$C257&gt;=COLUMNS($A257:AM257), Source!$G257, "")</f>
        <v/>
      </c>
      <c r="AN257" s="2" t="str">
        <f>IF(Source!$C257&gt;=COLUMNS($A257:AN257), Source!$G257, "")</f>
        <v/>
      </c>
      <c r="AO257" s="2" t="str">
        <f>IF(Source!$C257&gt;=COLUMNS($A257:AO257), Source!$G257, "")</f>
        <v/>
      </c>
      <c r="AP257" s="2" t="str">
        <f>IF(Source!$C257&gt;=COLUMNS($A257:AP257), Source!$G257, "")</f>
        <v/>
      </c>
      <c r="AQ257" s="2" t="str">
        <f>IF(Source!$C257&gt;=COLUMNS($A257:AQ257), Source!$G257, "")</f>
        <v/>
      </c>
      <c r="AR257" s="2" t="str">
        <f>IF(Source!$C257&gt;=COLUMNS($A257:AR257), Source!$G257, "")</f>
        <v/>
      </c>
    </row>
    <row r="258">
      <c r="A258" s="2">
        <f>IF(Source!$C258&gt;=COLUMNS($A258:A258), Source!$G258, "")</f>
        <v>4</v>
      </c>
      <c r="B258" s="2" t="str">
        <f>IF(Source!$C258&gt;=COLUMNS($A258:B258), Source!$G258, "")</f>
        <v/>
      </c>
      <c r="C258" s="2" t="str">
        <f>IF(Source!$C258&gt;=COLUMNS($A258:C258), Source!$G258, "")</f>
        <v/>
      </c>
      <c r="D258" s="2" t="str">
        <f>IF(Source!$C258&gt;=COLUMNS($A258:D258), Source!$G258, "")</f>
        <v/>
      </c>
      <c r="E258" s="2" t="str">
        <f>IF(Source!$C258&gt;=COLUMNS($A258:E258), Source!$G258, "")</f>
        <v/>
      </c>
      <c r="F258" s="2" t="str">
        <f>IF(Source!$C258&gt;=COLUMNS($A258:F258), Source!$G258, "")</f>
        <v/>
      </c>
      <c r="G258" s="2" t="str">
        <f>IF(Source!$C258&gt;=COLUMNS($A258:G258), Source!$G258, "")</f>
        <v/>
      </c>
      <c r="H258" s="2" t="str">
        <f>IF(Source!$C258&gt;=COLUMNS($A258:H258), Source!$G258, "")</f>
        <v/>
      </c>
      <c r="I258" s="2" t="str">
        <f>IF(Source!$C258&gt;=COLUMNS($A258:I258), Source!$G258, "")</f>
        <v/>
      </c>
      <c r="J258" s="2" t="str">
        <f>IF(Source!$C258&gt;=COLUMNS($A258:J258), Source!$G258, "")</f>
        <v/>
      </c>
      <c r="K258" s="2" t="str">
        <f>IF(Source!$C258&gt;=COLUMNS($A258:K258), Source!$G258, "")</f>
        <v/>
      </c>
      <c r="L258" s="2" t="str">
        <f>IF(Source!$C258&gt;=COLUMNS($A258:L258), Source!$G258, "")</f>
        <v/>
      </c>
      <c r="M258" s="2" t="str">
        <f>IF(Source!$C258&gt;=COLUMNS($A258:M258), Source!$G258, "")</f>
        <v/>
      </c>
      <c r="N258" s="2" t="str">
        <f>IF(Source!$C258&gt;=COLUMNS($A258:N258), Source!$G258, "")</f>
        <v/>
      </c>
      <c r="O258" s="2" t="str">
        <f>IF(Source!$C258&gt;=COLUMNS($A258:O258), Source!$G258, "")</f>
        <v/>
      </c>
      <c r="P258" s="2" t="str">
        <f>IF(Source!$C258&gt;=COLUMNS($A258:P258), Source!$G258, "")</f>
        <v/>
      </c>
      <c r="Q258" s="2" t="str">
        <f>IF(Source!$C258&gt;=COLUMNS($A258:Q258), Source!$G258, "")</f>
        <v/>
      </c>
      <c r="R258" s="2" t="str">
        <f>IF(Source!$C258&gt;=COLUMNS($A258:R258), Source!$G258, "")</f>
        <v/>
      </c>
      <c r="S258" s="2" t="str">
        <f>IF(Source!$C258&gt;=COLUMNS($A258:S258), Source!$G258, "")</f>
        <v/>
      </c>
      <c r="T258" s="2" t="str">
        <f>IF(Source!$C258&gt;=COLUMNS($A258:T258), Source!$G258, "")</f>
        <v/>
      </c>
      <c r="U258" s="2" t="str">
        <f>IF(Source!$C258&gt;=COLUMNS($A258:U258), Source!$G258, "")</f>
        <v/>
      </c>
      <c r="V258" s="2" t="str">
        <f>IF(Source!$C258&gt;=COLUMNS($A258:V258), Source!$G258, "")</f>
        <v/>
      </c>
      <c r="W258" s="2" t="str">
        <f>IF(Source!$C258&gt;=COLUMNS($A258:W258), Source!$G258, "")</f>
        <v/>
      </c>
      <c r="X258" s="2" t="str">
        <f>IF(Source!$C258&gt;=COLUMNS($A258:X258), Source!$G258, "")</f>
        <v/>
      </c>
      <c r="Y258" s="2" t="str">
        <f>IF(Source!$C258&gt;=COLUMNS($A258:Y258), Source!$G258, "")</f>
        <v/>
      </c>
      <c r="Z258" s="2" t="str">
        <f>IF(Source!$C258&gt;=COLUMNS($A258:Z258), Source!$G258, "")</f>
        <v/>
      </c>
      <c r="AA258" s="2" t="str">
        <f>IF(Source!$C258&gt;=COLUMNS($A258:AA258), Source!$G258, "")</f>
        <v/>
      </c>
      <c r="AB258" s="2" t="str">
        <f>IF(Source!$C258&gt;=COLUMNS($A258:AB258), Source!$G258, "")</f>
        <v/>
      </c>
      <c r="AC258" s="2" t="str">
        <f>IF(Source!$C258&gt;=COLUMNS($A258:AC258), Source!$G258, "")</f>
        <v/>
      </c>
      <c r="AD258" s="2" t="str">
        <f>IF(Source!$C258&gt;=COLUMNS($A258:AD258), Source!$G258, "")</f>
        <v/>
      </c>
      <c r="AE258" s="2" t="str">
        <f>IF(Source!$C258&gt;=COLUMNS($A258:AE258), Source!$G258, "")</f>
        <v/>
      </c>
      <c r="AF258" s="2" t="str">
        <f>IF(Source!$C258&gt;=COLUMNS($A258:AF258), Source!$G258, "")</f>
        <v/>
      </c>
      <c r="AG258" s="2" t="str">
        <f>IF(Source!$C258&gt;=COLUMNS($A258:AG258), Source!$G258, "")</f>
        <v/>
      </c>
      <c r="AH258" s="2" t="str">
        <f>IF(Source!$C258&gt;=COLUMNS($A258:AH258), Source!$G258, "")</f>
        <v/>
      </c>
      <c r="AI258" s="2" t="str">
        <f>IF(Source!$C258&gt;=COLUMNS($A258:AI258), Source!$G258, "")</f>
        <v/>
      </c>
      <c r="AJ258" s="2" t="str">
        <f>IF(Source!$C258&gt;=COLUMNS($A258:AJ258), Source!$G258, "")</f>
        <v/>
      </c>
      <c r="AK258" s="2" t="str">
        <f>IF(Source!$C258&gt;=COLUMNS($A258:AK258), Source!$G258, "")</f>
        <v/>
      </c>
      <c r="AL258" s="2" t="str">
        <f>IF(Source!$C258&gt;=COLUMNS($A258:AL258), Source!$G258, "")</f>
        <v/>
      </c>
      <c r="AM258" s="2" t="str">
        <f>IF(Source!$C258&gt;=COLUMNS($A258:AM258), Source!$G258, "")</f>
        <v/>
      </c>
      <c r="AN258" s="2" t="str">
        <f>IF(Source!$C258&gt;=COLUMNS($A258:AN258), Source!$G258, "")</f>
        <v/>
      </c>
      <c r="AO258" s="2" t="str">
        <f>IF(Source!$C258&gt;=COLUMNS($A258:AO258), Source!$G258, "")</f>
        <v/>
      </c>
      <c r="AP258" s="2" t="str">
        <f>IF(Source!$C258&gt;=COLUMNS($A258:AP258), Source!$G258, "")</f>
        <v/>
      </c>
      <c r="AQ258" s="2" t="str">
        <f>IF(Source!$C258&gt;=COLUMNS($A258:AQ258), Source!$G258, "")</f>
        <v/>
      </c>
      <c r="AR258" s="2" t="str">
        <f>IF(Source!$C258&gt;=COLUMNS($A258:AR258), Source!$G258, "")</f>
        <v/>
      </c>
    </row>
    <row r="259">
      <c r="A259" s="2">
        <f>IF(Source!$C259&gt;=COLUMNS($A259:A259), Source!$G259, "")</f>
        <v>1</v>
      </c>
      <c r="B259" s="2">
        <f>IF(Source!$C259&gt;=COLUMNS($A259:B259), Source!$G259, "")</f>
        <v>1</v>
      </c>
      <c r="C259" s="2">
        <f>IF(Source!$C259&gt;=COLUMNS($A259:C259), Source!$G259, "")</f>
        <v>1</v>
      </c>
      <c r="D259" s="2">
        <f>IF(Source!$C259&gt;=COLUMNS($A259:D259), Source!$G259, "")</f>
        <v>1</v>
      </c>
      <c r="E259" s="2">
        <f>IF(Source!$C259&gt;=COLUMNS($A259:E259), Source!$G259, "")</f>
        <v>1</v>
      </c>
      <c r="F259" s="2">
        <f>IF(Source!$C259&gt;=COLUMNS($A259:F259), Source!$G259, "")</f>
        <v>1</v>
      </c>
      <c r="G259" s="2">
        <f>IF(Source!$C259&gt;=COLUMNS($A259:G259), Source!$G259, "")</f>
        <v>1</v>
      </c>
      <c r="H259" s="2">
        <f>IF(Source!$C259&gt;=COLUMNS($A259:H259), Source!$G259, "")</f>
        <v>1</v>
      </c>
      <c r="I259" s="2">
        <f>IF(Source!$C259&gt;=COLUMNS($A259:I259), Source!$G259, "")</f>
        <v>1</v>
      </c>
      <c r="J259" s="2">
        <f>IF(Source!$C259&gt;=COLUMNS($A259:J259), Source!$G259, "")</f>
        <v>1</v>
      </c>
      <c r="K259" s="2">
        <f>IF(Source!$C259&gt;=COLUMNS($A259:K259), Source!$G259, "")</f>
        <v>1</v>
      </c>
      <c r="L259" s="2">
        <f>IF(Source!$C259&gt;=COLUMNS($A259:L259), Source!$G259, "")</f>
        <v>1</v>
      </c>
      <c r="M259" s="2">
        <f>IF(Source!$C259&gt;=COLUMNS($A259:M259), Source!$G259, "")</f>
        <v>1</v>
      </c>
      <c r="N259" s="2">
        <f>IF(Source!$C259&gt;=COLUMNS($A259:N259), Source!$G259, "")</f>
        <v>1</v>
      </c>
      <c r="O259" s="2">
        <f>IF(Source!$C259&gt;=COLUMNS($A259:O259), Source!$G259, "")</f>
        <v>1</v>
      </c>
      <c r="P259" s="2">
        <f>IF(Source!$C259&gt;=COLUMNS($A259:P259), Source!$G259, "")</f>
        <v>1</v>
      </c>
      <c r="Q259" s="2">
        <f>IF(Source!$C259&gt;=COLUMNS($A259:Q259), Source!$G259, "")</f>
        <v>1</v>
      </c>
      <c r="R259" s="2">
        <f>IF(Source!$C259&gt;=COLUMNS($A259:R259), Source!$G259, "")</f>
        <v>1</v>
      </c>
      <c r="S259" s="2">
        <f>IF(Source!$C259&gt;=COLUMNS($A259:S259), Source!$G259, "")</f>
        <v>1</v>
      </c>
      <c r="T259" s="2">
        <f>IF(Source!$C259&gt;=COLUMNS($A259:T259), Source!$G259, "")</f>
        <v>1</v>
      </c>
      <c r="U259" s="2">
        <f>IF(Source!$C259&gt;=COLUMNS($A259:U259), Source!$G259, "")</f>
        <v>1</v>
      </c>
      <c r="V259" s="2">
        <f>IF(Source!$C259&gt;=COLUMNS($A259:V259), Source!$G259, "")</f>
        <v>1</v>
      </c>
      <c r="W259" s="2">
        <f>IF(Source!$C259&gt;=COLUMNS($A259:W259), Source!$G259, "")</f>
        <v>1</v>
      </c>
      <c r="X259" s="2">
        <f>IF(Source!$C259&gt;=COLUMNS($A259:X259), Source!$G259, "")</f>
        <v>1</v>
      </c>
      <c r="Y259" s="2">
        <f>IF(Source!$C259&gt;=COLUMNS($A259:Y259), Source!$G259, "")</f>
        <v>1</v>
      </c>
      <c r="Z259" s="2" t="str">
        <f>IF(Source!$C259&gt;=COLUMNS($A259:Z259), Source!$G259, "")</f>
        <v/>
      </c>
      <c r="AA259" s="2" t="str">
        <f>IF(Source!$C259&gt;=COLUMNS($A259:AA259), Source!$G259, "")</f>
        <v/>
      </c>
      <c r="AB259" s="2" t="str">
        <f>IF(Source!$C259&gt;=COLUMNS($A259:AB259), Source!$G259, "")</f>
        <v/>
      </c>
      <c r="AC259" s="2" t="str">
        <f>IF(Source!$C259&gt;=COLUMNS($A259:AC259), Source!$G259, "")</f>
        <v/>
      </c>
      <c r="AD259" s="2" t="str">
        <f>IF(Source!$C259&gt;=COLUMNS($A259:AD259), Source!$G259, "")</f>
        <v/>
      </c>
      <c r="AE259" s="2" t="str">
        <f>IF(Source!$C259&gt;=COLUMNS($A259:AE259), Source!$G259, "")</f>
        <v/>
      </c>
      <c r="AF259" s="2" t="str">
        <f>IF(Source!$C259&gt;=COLUMNS($A259:AF259), Source!$G259, "")</f>
        <v/>
      </c>
      <c r="AG259" s="2" t="str">
        <f>IF(Source!$C259&gt;=COLUMNS($A259:AG259), Source!$G259, "")</f>
        <v/>
      </c>
      <c r="AH259" s="2" t="str">
        <f>IF(Source!$C259&gt;=COLUMNS($A259:AH259), Source!$G259, "")</f>
        <v/>
      </c>
      <c r="AI259" s="2" t="str">
        <f>IF(Source!$C259&gt;=COLUMNS($A259:AI259), Source!$G259, "")</f>
        <v/>
      </c>
      <c r="AJ259" s="2" t="str">
        <f>IF(Source!$C259&gt;=COLUMNS($A259:AJ259), Source!$G259, "")</f>
        <v/>
      </c>
      <c r="AK259" s="2" t="str">
        <f>IF(Source!$C259&gt;=COLUMNS($A259:AK259), Source!$G259, "")</f>
        <v/>
      </c>
      <c r="AL259" s="2" t="str">
        <f>IF(Source!$C259&gt;=COLUMNS($A259:AL259), Source!$G259, "")</f>
        <v/>
      </c>
      <c r="AM259" s="2" t="str">
        <f>IF(Source!$C259&gt;=COLUMNS($A259:AM259), Source!$G259, "")</f>
        <v/>
      </c>
      <c r="AN259" s="2" t="str">
        <f>IF(Source!$C259&gt;=COLUMNS($A259:AN259), Source!$G259, "")</f>
        <v/>
      </c>
      <c r="AO259" s="2" t="str">
        <f>IF(Source!$C259&gt;=COLUMNS($A259:AO259), Source!$G259, "")</f>
        <v/>
      </c>
      <c r="AP259" s="2" t="str">
        <f>IF(Source!$C259&gt;=COLUMNS($A259:AP259), Source!$G259, "")</f>
        <v/>
      </c>
      <c r="AQ259" s="2" t="str">
        <f>IF(Source!$C259&gt;=COLUMNS($A259:AQ259), Source!$G259, "")</f>
        <v/>
      </c>
      <c r="AR259" s="2" t="str">
        <f>IF(Source!$C259&gt;=COLUMNS($A259:AR259), Source!$G259, "")</f>
        <v/>
      </c>
    </row>
    <row r="260">
      <c r="A260" s="2">
        <f>IF(Source!$C260&gt;=COLUMNS($A260:A260), Source!$G260, "")</f>
        <v>2</v>
      </c>
      <c r="B260" s="2" t="str">
        <f>IF(Source!$C260&gt;=COLUMNS($A260:B260), Source!$G260, "")</f>
        <v/>
      </c>
      <c r="C260" s="2" t="str">
        <f>IF(Source!$C260&gt;=COLUMNS($A260:C260), Source!$G260, "")</f>
        <v/>
      </c>
      <c r="D260" s="2" t="str">
        <f>IF(Source!$C260&gt;=COLUMNS($A260:D260), Source!$G260, "")</f>
        <v/>
      </c>
      <c r="E260" s="2" t="str">
        <f>IF(Source!$C260&gt;=COLUMNS($A260:E260), Source!$G260, "")</f>
        <v/>
      </c>
      <c r="F260" s="2" t="str">
        <f>IF(Source!$C260&gt;=COLUMNS($A260:F260), Source!$G260, "")</f>
        <v/>
      </c>
      <c r="G260" s="2" t="str">
        <f>IF(Source!$C260&gt;=COLUMNS($A260:G260), Source!$G260, "")</f>
        <v/>
      </c>
      <c r="H260" s="2" t="str">
        <f>IF(Source!$C260&gt;=COLUMNS($A260:H260), Source!$G260, "")</f>
        <v/>
      </c>
      <c r="I260" s="2" t="str">
        <f>IF(Source!$C260&gt;=COLUMNS($A260:I260), Source!$G260, "")</f>
        <v/>
      </c>
      <c r="J260" s="2" t="str">
        <f>IF(Source!$C260&gt;=COLUMNS($A260:J260), Source!$G260, "")</f>
        <v/>
      </c>
      <c r="K260" s="2" t="str">
        <f>IF(Source!$C260&gt;=COLUMNS($A260:K260), Source!$G260, "")</f>
        <v/>
      </c>
      <c r="L260" s="2" t="str">
        <f>IF(Source!$C260&gt;=COLUMNS($A260:L260), Source!$G260, "")</f>
        <v/>
      </c>
      <c r="M260" s="2" t="str">
        <f>IF(Source!$C260&gt;=COLUMNS($A260:M260), Source!$G260, "")</f>
        <v/>
      </c>
      <c r="N260" s="2" t="str">
        <f>IF(Source!$C260&gt;=COLUMNS($A260:N260), Source!$G260, "")</f>
        <v/>
      </c>
      <c r="O260" s="2" t="str">
        <f>IF(Source!$C260&gt;=COLUMNS($A260:O260), Source!$G260, "")</f>
        <v/>
      </c>
      <c r="P260" s="2" t="str">
        <f>IF(Source!$C260&gt;=COLUMNS($A260:P260), Source!$G260, "")</f>
        <v/>
      </c>
      <c r="Q260" s="2" t="str">
        <f>IF(Source!$C260&gt;=COLUMNS($A260:Q260), Source!$G260, "")</f>
        <v/>
      </c>
      <c r="R260" s="2" t="str">
        <f>IF(Source!$C260&gt;=COLUMNS($A260:R260), Source!$G260, "")</f>
        <v/>
      </c>
      <c r="S260" s="2" t="str">
        <f>IF(Source!$C260&gt;=COLUMNS($A260:S260), Source!$G260, "")</f>
        <v/>
      </c>
      <c r="T260" s="2" t="str">
        <f>IF(Source!$C260&gt;=COLUMNS($A260:T260), Source!$G260, "")</f>
        <v/>
      </c>
      <c r="U260" s="2" t="str">
        <f>IF(Source!$C260&gt;=COLUMNS($A260:U260), Source!$G260, "")</f>
        <v/>
      </c>
      <c r="V260" s="2" t="str">
        <f>IF(Source!$C260&gt;=COLUMNS($A260:V260), Source!$G260, "")</f>
        <v/>
      </c>
      <c r="W260" s="2" t="str">
        <f>IF(Source!$C260&gt;=COLUMNS($A260:W260), Source!$G260, "")</f>
        <v/>
      </c>
      <c r="X260" s="2" t="str">
        <f>IF(Source!$C260&gt;=COLUMNS($A260:X260), Source!$G260, "")</f>
        <v/>
      </c>
      <c r="Y260" s="2" t="str">
        <f>IF(Source!$C260&gt;=COLUMNS($A260:Y260), Source!$G260, "")</f>
        <v/>
      </c>
      <c r="Z260" s="2" t="str">
        <f>IF(Source!$C260&gt;=COLUMNS($A260:Z260), Source!$G260, "")</f>
        <v/>
      </c>
      <c r="AA260" s="2" t="str">
        <f>IF(Source!$C260&gt;=COLUMNS($A260:AA260), Source!$G260, "")</f>
        <v/>
      </c>
      <c r="AB260" s="2" t="str">
        <f>IF(Source!$C260&gt;=COLUMNS($A260:AB260), Source!$G260, "")</f>
        <v/>
      </c>
      <c r="AC260" s="2" t="str">
        <f>IF(Source!$C260&gt;=COLUMNS($A260:AC260), Source!$G260, "")</f>
        <v/>
      </c>
      <c r="AD260" s="2" t="str">
        <f>IF(Source!$C260&gt;=COLUMNS($A260:AD260), Source!$G260, "")</f>
        <v/>
      </c>
      <c r="AE260" s="2" t="str">
        <f>IF(Source!$C260&gt;=COLUMNS($A260:AE260), Source!$G260, "")</f>
        <v/>
      </c>
      <c r="AF260" s="2" t="str">
        <f>IF(Source!$C260&gt;=COLUMNS($A260:AF260), Source!$G260, "")</f>
        <v/>
      </c>
      <c r="AG260" s="2" t="str">
        <f>IF(Source!$C260&gt;=COLUMNS($A260:AG260), Source!$G260, "")</f>
        <v/>
      </c>
      <c r="AH260" s="2" t="str">
        <f>IF(Source!$C260&gt;=COLUMNS($A260:AH260), Source!$G260, "")</f>
        <v/>
      </c>
      <c r="AI260" s="2" t="str">
        <f>IF(Source!$C260&gt;=COLUMNS($A260:AI260), Source!$G260, "")</f>
        <v/>
      </c>
      <c r="AJ260" s="2" t="str">
        <f>IF(Source!$C260&gt;=COLUMNS($A260:AJ260), Source!$G260, "")</f>
        <v/>
      </c>
      <c r="AK260" s="2" t="str">
        <f>IF(Source!$C260&gt;=COLUMNS($A260:AK260), Source!$G260, "")</f>
        <v/>
      </c>
      <c r="AL260" s="2" t="str">
        <f>IF(Source!$C260&gt;=COLUMNS($A260:AL260), Source!$G260, "")</f>
        <v/>
      </c>
      <c r="AM260" s="2" t="str">
        <f>IF(Source!$C260&gt;=COLUMNS($A260:AM260), Source!$G260, "")</f>
        <v/>
      </c>
      <c r="AN260" s="2" t="str">
        <f>IF(Source!$C260&gt;=COLUMNS($A260:AN260), Source!$G260, "")</f>
        <v/>
      </c>
      <c r="AO260" s="2" t="str">
        <f>IF(Source!$C260&gt;=COLUMNS($A260:AO260), Source!$G260, "")</f>
        <v/>
      </c>
      <c r="AP260" s="2" t="str">
        <f>IF(Source!$C260&gt;=COLUMNS($A260:AP260), Source!$G260, "")</f>
        <v/>
      </c>
      <c r="AQ260" s="2" t="str">
        <f>IF(Source!$C260&gt;=COLUMNS($A260:AQ260), Source!$G260, "")</f>
        <v/>
      </c>
      <c r="AR260" s="2" t="str">
        <f>IF(Source!$C260&gt;=COLUMNS($A260:AR260), Source!$G260, "")</f>
        <v/>
      </c>
    </row>
    <row r="261">
      <c r="A261" s="2">
        <f>IF(Source!$C261&gt;=COLUMNS($A261:A261), Source!$G261, "")</f>
        <v>6</v>
      </c>
      <c r="B261" s="2">
        <f>IF(Source!$C261&gt;=COLUMNS($A261:B261), Source!$G261, "")</f>
        <v>6</v>
      </c>
      <c r="C261" s="2" t="str">
        <f>IF(Source!$C261&gt;=COLUMNS($A261:C261), Source!$G261, "")</f>
        <v/>
      </c>
      <c r="D261" s="2" t="str">
        <f>IF(Source!$C261&gt;=COLUMNS($A261:D261), Source!$G261, "")</f>
        <v/>
      </c>
      <c r="E261" s="2" t="str">
        <f>IF(Source!$C261&gt;=COLUMNS($A261:E261), Source!$G261, "")</f>
        <v/>
      </c>
      <c r="F261" s="2" t="str">
        <f>IF(Source!$C261&gt;=COLUMNS($A261:F261), Source!$G261, "")</f>
        <v/>
      </c>
      <c r="G261" s="2" t="str">
        <f>IF(Source!$C261&gt;=COLUMNS($A261:G261), Source!$G261, "")</f>
        <v/>
      </c>
      <c r="H261" s="2" t="str">
        <f>IF(Source!$C261&gt;=COLUMNS($A261:H261), Source!$G261, "")</f>
        <v/>
      </c>
      <c r="I261" s="2" t="str">
        <f>IF(Source!$C261&gt;=COLUMNS($A261:I261), Source!$G261, "")</f>
        <v/>
      </c>
      <c r="J261" s="2" t="str">
        <f>IF(Source!$C261&gt;=COLUMNS($A261:J261), Source!$G261, "")</f>
        <v/>
      </c>
      <c r="K261" s="2" t="str">
        <f>IF(Source!$C261&gt;=COLUMNS($A261:K261), Source!$G261, "")</f>
        <v/>
      </c>
      <c r="L261" s="2" t="str">
        <f>IF(Source!$C261&gt;=COLUMNS($A261:L261), Source!$G261, "")</f>
        <v/>
      </c>
      <c r="M261" s="2" t="str">
        <f>IF(Source!$C261&gt;=COLUMNS($A261:M261), Source!$G261, "")</f>
        <v/>
      </c>
      <c r="N261" s="2" t="str">
        <f>IF(Source!$C261&gt;=COLUMNS($A261:N261), Source!$G261, "")</f>
        <v/>
      </c>
      <c r="O261" s="2" t="str">
        <f>IF(Source!$C261&gt;=COLUMNS($A261:O261), Source!$G261, "")</f>
        <v/>
      </c>
      <c r="P261" s="2" t="str">
        <f>IF(Source!$C261&gt;=COLUMNS($A261:P261), Source!$G261, "")</f>
        <v/>
      </c>
      <c r="Q261" s="2" t="str">
        <f>IF(Source!$C261&gt;=COLUMNS($A261:Q261), Source!$G261, "")</f>
        <v/>
      </c>
      <c r="R261" s="2" t="str">
        <f>IF(Source!$C261&gt;=COLUMNS($A261:R261), Source!$G261, "")</f>
        <v/>
      </c>
      <c r="S261" s="2" t="str">
        <f>IF(Source!$C261&gt;=COLUMNS($A261:S261), Source!$G261, "")</f>
        <v/>
      </c>
      <c r="T261" s="2" t="str">
        <f>IF(Source!$C261&gt;=COLUMNS($A261:T261), Source!$G261, "")</f>
        <v/>
      </c>
      <c r="U261" s="2" t="str">
        <f>IF(Source!$C261&gt;=COLUMNS($A261:U261), Source!$G261, "")</f>
        <v/>
      </c>
      <c r="V261" s="2" t="str">
        <f>IF(Source!$C261&gt;=COLUMNS($A261:V261), Source!$G261, "")</f>
        <v/>
      </c>
      <c r="W261" s="2" t="str">
        <f>IF(Source!$C261&gt;=COLUMNS($A261:W261), Source!$G261, "")</f>
        <v/>
      </c>
      <c r="X261" s="2" t="str">
        <f>IF(Source!$C261&gt;=COLUMNS($A261:X261), Source!$G261, "")</f>
        <v/>
      </c>
      <c r="Y261" s="2" t="str">
        <f>IF(Source!$C261&gt;=COLUMNS($A261:Y261), Source!$G261, "")</f>
        <v/>
      </c>
      <c r="Z261" s="2" t="str">
        <f>IF(Source!$C261&gt;=COLUMNS($A261:Z261), Source!$G261, "")</f>
        <v/>
      </c>
      <c r="AA261" s="2" t="str">
        <f>IF(Source!$C261&gt;=COLUMNS($A261:AA261), Source!$G261, "")</f>
        <v/>
      </c>
      <c r="AB261" s="2" t="str">
        <f>IF(Source!$C261&gt;=COLUMNS($A261:AB261), Source!$G261, "")</f>
        <v/>
      </c>
      <c r="AC261" s="2" t="str">
        <f>IF(Source!$C261&gt;=COLUMNS($A261:AC261), Source!$G261, "")</f>
        <v/>
      </c>
      <c r="AD261" s="2" t="str">
        <f>IF(Source!$C261&gt;=COLUMNS($A261:AD261), Source!$G261, "")</f>
        <v/>
      </c>
      <c r="AE261" s="2" t="str">
        <f>IF(Source!$C261&gt;=COLUMNS($A261:AE261), Source!$G261, "")</f>
        <v/>
      </c>
      <c r="AF261" s="2" t="str">
        <f>IF(Source!$C261&gt;=COLUMNS($A261:AF261), Source!$G261, "")</f>
        <v/>
      </c>
      <c r="AG261" s="2" t="str">
        <f>IF(Source!$C261&gt;=COLUMNS($A261:AG261), Source!$G261, "")</f>
        <v/>
      </c>
      <c r="AH261" s="2" t="str">
        <f>IF(Source!$C261&gt;=COLUMNS($A261:AH261), Source!$G261, "")</f>
        <v/>
      </c>
      <c r="AI261" s="2" t="str">
        <f>IF(Source!$C261&gt;=COLUMNS($A261:AI261), Source!$G261, "")</f>
        <v/>
      </c>
      <c r="AJ261" s="2" t="str">
        <f>IF(Source!$C261&gt;=COLUMNS($A261:AJ261), Source!$G261, "")</f>
        <v/>
      </c>
      <c r="AK261" s="2" t="str">
        <f>IF(Source!$C261&gt;=COLUMNS($A261:AK261), Source!$G261, "")</f>
        <v/>
      </c>
      <c r="AL261" s="2" t="str">
        <f>IF(Source!$C261&gt;=COLUMNS($A261:AL261), Source!$G261, "")</f>
        <v/>
      </c>
      <c r="AM261" s="2" t="str">
        <f>IF(Source!$C261&gt;=COLUMNS($A261:AM261), Source!$G261, "")</f>
        <v/>
      </c>
      <c r="AN261" s="2" t="str">
        <f>IF(Source!$C261&gt;=COLUMNS($A261:AN261), Source!$G261, "")</f>
        <v/>
      </c>
      <c r="AO261" s="2" t="str">
        <f>IF(Source!$C261&gt;=COLUMNS($A261:AO261), Source!$G261, "")</f>
        <v/>
      </c>
      <c r="AP261" s="2" t="str">
        <f>IF(Source!$C261&gt;=COLUMNS($A261:AP261), Source!$G261, "")</f>
        <v/>
      </c>
      <c r="AQ261" s="2" t="str">
        <f>IF(Source!$C261&gt;=COLUMNS($A261:AQ261), Source!$G261, "")</f>
        <v/>
      </c>
      <c r="AR261" s="2" t="str">
        <f>IF(Source!$C261&gt;=COLUMNS($A261:AR261), Source!$G261, "")</f>
        <v/>
      </c>
    </row>
    <row r="262">
      <c r="A262" s="2">
        <f>IF(Source!$C262&gt;=COLUMNS($A262:A262), Source!$G262, "")</f>
        <v>9</v>
      </c>
      <c r="B262" s="2">
        <f>IF(Source!$C262&gt;=COLUMNS($A262:B262), Source!$G262, "")</f>
        <v>9</v>
      </c>
      <c r="C262" s="2">
        <f>IF(Source!$C262&gt;=COLUMNS($A262:C262), Source!$G262, "")</f>
        <v>9</v>
      </c>
      <c r="D262" s="2" t="str">
        <f>IF(Source!$C262&gt;=COLUMNS($A262:D262), Source!$G262, "")</f>
        <v/>
      </c>
      <c r="E262" s="2" t="str">
        <f>IF(Source!$C262&gt;=COLUMNS($A262:E262), Source!$G262, "")</f>
        <v/>
      </c>
      <c r="F262" s="2" t="str">
        <f>IF(Source!$C262&gt;=COLUMNS($A262:F262), Source!$G262, "")</f>
        <v/>
      </c>
      <c r="G262" s="2" t="str">
        <f>IF(Source!$C262&gt;=COLUMNS($A262:G262), Source!$G262, "")</f>
        <v/>
      </c>
      <c r="H262" s="2" t="str">
        <f>IF(Source!$C262&gt;=COLUMNS($A262:H262), Source!$G262, "")</f>
        <v/>
      </c>
      <c r="I262" s="2" t="str">
        <f>IF(Source!$C262&gt;=COLUMNS($A262:I262), Source!$G262, "")</f>
        <v/>
      </c>
      <c r="J262" s="2" t="str">
        <f>IF(Source!$C262&gt;=COLUMNS($A262:J262), Source!$G262, "")</f>
        <v/>
      </c>
      <c r="K262" s="2" t="str">
        <f>IF(Source!$C262&gt;=COLUMNS($A262:K262), Source!$G262, "")</f>
        <v/>
      </c>
      <c r="L262" s="2" t="str">
        <f>IF(Source!$C262&gt;=COLUMNS($A262:L262), Source!$G262, "")</f>
        <v/>
      </c>
      <c r="M262" s="2" t="str">
        <f>IF(Source!$C262&gt;=COLUMNS($A262:M262), Source!$G262, "")</f>
        <v/>
      </c>
      <c r="N262" s="2" t="str">
        <f>IF(Source!$C262&gt;=COLUMNS($A262:N262), Source!$G262, "")</f>
        <v/>
      </c>
      <c r="O262" s="2" t="str">
        <f>IF(Source!$C262&gt;=COLUMNS($A262:O262), Source!$G262, "")</f>
        <v/>
      </c>
      <c r="P262" s="2" t="str">
        <f>IF(Source!$C262&gt;=COLUMNS($A262:P262), Source!$G262, "")</f>
        <v/>
      </c>
      <c r="Q262" s="2" t="str">
        <f>IF(Source!$C262&gt;=COLUMNS($A262:Q262), Source!$G262, "")</f>
        <v/>
      </c>
      <c r="R262" s="2" t="str">
        <f>IF(Source!$C262&gt;=COLUMNS($A262:R262), Source!$G262, "")</f>
        <v/>
      </c>
      <c r="S262" s="2" t="str">
        <f>IF(Source!$C262&gt;=COLUMNS($A262:S262), Source!$G262, "")</f>
        <v/>
      </c>
      <c r="T262" s="2" t="str">
        <f>IF(Source!$C262&gt;=COLUMNS($A262:T262), Source!$G262, "")</f>
        <v/>
      </c>
      <c r="U262" s="2" t="str">
        <f>IF(Source!$C262&gt;=COLUMNS($A262:U262), Source!$G262, "")</f>
        <v/>
      </c>
      <c r="V262" s="2" t="str">
        <f>IF(Source!$C262&gt;=COLUMNS($A262:V262), Source!$G262, "")</f>
        <v/>
      </c>
      <c r="W262" s="2" t="str">
        <f>IF(Source!$C262&gt;=COLUMNS($A262:W262), Source!$G262, "")</f>
        <v/>
      </c>
      <c r="X262" s="2" t="str">
        <f>IF(Source!$C262&gt;=COLUMNS($A262:X262), Source!$G262, "")</f>
        <v/>
      </c>
      <c r="Y262" s="2" t="str">
        <f>IF(Source!$C262&gt;=COLUMNS($A262:Y262), Source!$G262, "")</f>
        <v/>
      </c>
      <c r="Z262" s="2" t="str">
        <f>IF(Source!$C262&gt;=COLUMNS($A262:Z262), Source!$G262, "")</f>
        <v/>
      </c>
      <c r="AA262" s="2" t="str">
        <f>IF(Source!$C262&gt;=COLUMNS($A262:AA262), Source!$G262, "")</f>
        <v/>
      </c>
      <c r="AB262" s="2" t="str">
        <f>IF(Source!$C262&gt;=COLUMNS($A262:AB262), Source!$G262, "")</f>
        <v/>
      </c>
      <c r="AC262" s="2" t="str">
        <f>IF(Source!$C262&gt;=COLUMNS($A262:AC262), Source!$G262, "")</f>
        <v/>
      </c>
      <c r="AD262" s="2" t="str">
        <f>IF(Source!$C262&gt;=COLUMNS($A262:AD262), Source!$G262, "")</f>
        <v/>
      </c>
      <c r="AE262" s="2" t="str">
        <f>IF(Source!$C262&gt;=COLUMNS($A262:AE262), Source!$G262, "")</f>
        <v/>
      </c>
      <c r="AF262" s="2" t="str">
        <f>IF(Source!$C262&gt;=COLUMNS($A262:AF262), Source!$G262, "")</f>
        <v/>
      </c>
      <c r="AG262" s="2" t="str">
        <f>IF(Source!$C262&gt;=COLUMNS($A262:AG262), Source!$G262, "")</f>
        <v/>
      </c>
      <c r="AH262" s="2" t="str">
        <f>IF(Source!$C262&gt;=COLUMNS($A262:AH262), Source!$G262, "")</f>
        <v/>
      </c>
      <c r="AI262" s="2" t="str">
        <f>IF(Source!$C262&gt;=COLUMNS($A262:AI262), Source!$G262, "")</f>
        <v/>
      </c>
      <c r="AJ262" s="2" t="str">
        <f>IF(Source!$C262&gt;=COLUMNS($A262:AJ262), Source!$G262, "")</f>
        <v/>
      </c>
      <c r="AK262" s="2" t="str">
        <f>IF(Source!$C262&gt;=COLUMNS($A262:AK262), Source!$G262, "")</f>
        <v/>
      </c>
      <c r="AL262" s="2" t="str">
        <f>IF(Source!$C262&gt;=COLUMNS($A262:AL262), Source!$G262, "")</f>
        <v/>
      </c>
      <c r="AM262" s="2" t="str">
        <f>IF(Source!$C262&gt;=COLUMNS($A262:AM262), Source!$G262, "")</f>
        <v/>
      </c>
      <c r="AN262" s="2" t="str">
        <f>IF(Source!$C262&gt;=COLUMNS($A262:AN262), Source!$G262, "")</f>
        <v/>
      </c>
      <c r="AO262" s="2" t="str">
        <f>IF(Source!$C262&gt;=COLUMNS($A262:AO262), Source!$G262, "")</f>
        <v/>
      </c>
      <c r="AP262" s="2" t="str">
        <f>IF(Source!$C262&gt;=COLUMNS($A262:AP262), Source!$G262, "")</f>
        <v/>
      </c>
      <c r="AQ262" s="2" t="str">
        <f>IF(Source!$C262&gt;=COLUMNS($A262:AQ262), Source!$G262, "")</f>
        <v/>
      </c>
      <c r="AR262" s="2" t="str">
        <f>IF(Source!$C262&gt;=COLUMNS($A262:AR262), Source!$G262, "")</f>
        <v/>
      </c>
    </row>
    <row r="263">
      <c r="A263" s="2">
        <f>IF(Source!$C263&gt;=COLUMNS($A263:A263), Source!$G263, "")</f>
        <v>8</v>
      </c>
      <c r="B263" s="2">
        <f>IF(Source!$C263&gt;=COLUMNS($A263:B263), Source!$G263, "")</f>
        <v>8</v>
      </c>
      <c r="C263" s="2">
        <f>IF(Source!$C263&gt;=COLUMNS($A263:C263), Source!$G263, "")</f>
        <v>8</v>
      </c>
      <c r="D263" s="2">
        <f>IF(Source!$C263&gt;=COLUMNS($A263:D263), Source!$G263, "")</f>
        <v>8</v>
      </c>
      <c r="E263" s="2">
        <f>IF(Source!$C263&gt;=COLUMNS($A263:E263), Source!$G263, "")</f>
        <v>8</v>
      </c>
      <c r="F263" s="2">
        <f>IF(Source!$C263&gt;=COLUMNS($A263:F263), Source!$G263, "")</f>
        <v>8</v>
      </c>
      <c r="G263" s="2" t="str">
        <f>IF(Source!$C263&gt;=COLUMNS($A263:G263), Source!$G263, "")</f>
        <v/>
      </c>
      <c r="H263" s="2" t="str">
        <f>IF(Source!$C263&gt;=COLUMNS($A263:H263), Source!$G263, "")</f>
        <v/>
      </c>
      <c r="I263" s="2" t="str">
        <f>IF(Source!$C263&gt;=COLUMNS($A263:I263), Source!$G263, "")</f>
        <v/>
      </c>
      <c r="J263" s="2" t="str">
        <f>IF(Source!$C263&gt;=COLUMNS($A263:J263), Source!$G263, "")</f>
        <v/>
      </c>
      <c r="K263" s="2" t="str">
        <f>IF(Source!$C263&gt;=COLUMNS($A263:K263), Source!$G263, "")</f>
        <v/>
      </c>
      <c r="L263" s="2" t="str">
        <f>IF(Source!$C263&gt;=COLUMNS($A263:L263), Source!$G263, "")</f>
        <v/>
      </c>
      <c r="M263" s="2" t="str">
        <f>IF(Source!$C263&gt;=COLUMNS($A263:M263), Source!$G263, "")</f>
        <v/>
      </c>
      <c r="N263" s="2" t="str">
        <f>IF(Source!$C263&gt;=COLUMNS($A263:N263), Source!$G263, "")</f>
        <v/>
      </c>
      <c r="O263" s="2" t="str">
        <f>IF(Source!$C263&gt;=COLUMNS($A263:O263), Source!$G263, "")</f>
        <v/>
      </c>
      <c r="P263" s="2" t="str">
        <f>IF(Source!$C263&gt;=COLUMNS($A263:P263), Source!$G263, "")</f>
        <v/>
      </c>
      <c r="Q263" s="2" t="str">
        <f>IF(Source!$C263&gt;=COLUMNS($A263:Q263), Source!$G263, "")</f>
        <v/>
      </c>
      <c r="R263" s="2" t="str">
        <f>IF(Source!$C263&gt;=COLUMNS($A263:R263), Source!$G263, "")</f>
        <v/>
      </c>
      <c r="S263" s="2" t="str">
        <f>IF(Source!$C263&gt;=COLUMNS($A263:S263), Source!$G263, "")</f>
        <v/>
      </c>
      <c r="T263" s="2" t="str">
        <f>IF(Source!$C263&gt;=COLUMNS($A263:T263), Source!$G263, "")</f>
        <v/>
      </c>
      <c r="U263" s="2" t="str">
        <f>IF(Source!$C263&gt;=COLUMNS($A263:U263), Source!$G263, "")</f>
        <v/>
      </c>
      <c r="V263" s="2" t="str">
        <f>IF(Source!$C263&gt;=COLUMNS($A263:V263), Source!$G263, "")</f>
        <v/>
      </c>
      <c r="W263" s="2" t="str">
        <f>IF(Source!$C263&gt;=COLUMNS($A263:W263), Source!$G263, "")</f>
        <v/>
      </c>
      <c r="X263" s="2" t="str">
        <f>IF(Source!$C263&gt;=COLUMNS($A263:X263), Source!$G263, "")</f>
        <v/>
      </c>
      <c r="Y263" s="2" t="str">
        <f>IF(Source!$C263&gt;=COLUMNS($A263:Y263), Source!$G263, "")</f>
        <v/>
      </c>
      <c r="Z263" s="2" t="str">
        <f>IF(Source!$C263&gt;=COLUMNS($A263:Z263), Source!$G263, "")</f>
        <v/>
      </c>
      <c r="AA263" s="2" t="str">
        <f>IF(Source!$C263&gt;=COLUMNS($A263:AA263), Source!$G263, "")</f>
        <v/>
      </c>
      <c r="AB263" s="2" t="str">
        <f>IF(Source!$C263&gt;=COLUMNS($A263:AB263), Source!$G263, "")</f>
        <v/>
      </c>
      <c r="AC263" s="2" t="str">
        <f>IF(Source!$C263&gt;=COLUMNS($A263:AC263), Source!$G263, "")</f>
        <v/>
      </c>
      <c r="AD263" s="2" t="str">
        <f>IF(Source!$C263&gt;=COLUMNS($A263:AD263), Source!$G263, "")</f>
        <v/>
      </c>
      <c r="AE263" s="2" t="str">
        <f>IF(Source!$C263&gt;=COLUMNS($A263:AE263), Source!$G263, "")</f>
        <v/>
      </c>
      <c r="AF263" s="2" t="str">
        <f>IF(Source!$C263&gt;=COLUMNS($A263:AF263), Source!$G263, "")</f>
        <v/>
      </c>
      <c r="AG263" s="2" t="str">
        <f>IF(Source!$C263&gt;=COLUMNS($A263:AG263), Source!$G263, "")</f>
        <v/>
      </c>
      <c r="AH263" s="2" t="str">
        <f>IF(Source!$C263&gt;=COLUMNS($A263:AH263), Source!$G263, "")</f>
        <v/>
      </c>
      <c r="AI263" s="2" t="str">
        <f>IF(Source!$C263&gt;=COLUMNS($A263:AI263), Source!$G263, "")</f>
        <v/>
      </c>
      <c r="AJ263" s="2" t="str">
        <f>IF(Source!$C263&gt;=COLUMNS($A263:AJ263), Source!$G263, "")</f>
        <v/>
      </c>
      <c r="AK263" s="2" t="str">
        <f>IF(Source!$C263&gt;=COLUMNS($A263:AK263), Source!$G263, "")</f>
        <v/>
      </c>
      <c r="AL263" s="2" t="str">
        <f>IF(Source!$C263&gt;=COLUMNS($A263:AL263), Source!$G263, "")</f>
        <v/>
      </c>
      <c r="AM263" s="2" t="str">
        <f>IF(Source!$C263&gt;=COLUMNS($A263:AM263), Source!$G263, "")</f>
        <v/>
      </c>
      <c r="AN263" s="2" t="str">
        <f>IF(Source!$C263&gt;=COLUMNS($A263:AN263), Source!$G263, "")</f>
        <v/>
      </c>
      <c r="AO263" s="2" t="str">
        <f>IF(Source!$C263&gt;=COLUMNS($A263:AO263), Source!$G263, "")</f>
        <v/>
      </c>
      <c r="AP263" s="2" t="str">
        <f>IF(Source!$C263&gt;=COLUMNS($A263:AP263), Source!$G263, "")</f>
        <v/>
      </c>
      <c r="AQ263" s="2" t="str">
        <f>IF(Source!$C263&gt;=COLUMNS($A263:AQ263), Source!$G263, "")</f>
        <v/>
      </c>
      <c r="AR263" s="2" t="str">
        <f>IF(Source!$C263&gt;=COLUMNS($A263:AR263), Source!$G263, "")</f>
        <v/>
      </c>
    </row>
    <row r="264">
      <c r="A264" s="2">
        <f>IF(Source!$C264&gt;=COLUMNS($A264:A264), Source!$G264, "")</f>
        <v>3</v>
      </c>
      <c r="B264" s="2" t="str">
        <f>IF(Source!$C264&gt;=COLUMNS($A264:B264), Source!$G264, "")</f>
        <v/>
      </c>
      <c r="C264" s="2" t="str">
        <f>IF(Source!$C264&gt;=COLUMNS($A264:C264), Source!$G264, "")</f>
        <v/>
      </c>
      <c r="D264" s="2" t="str">
        <f>IF(Source!$C264&gt;=COLUMNS($A264:D264), Source!$G264, "")</f>
        <v/>
      </c>
      <c r="E264" s="2" t="str">
        <f>IF(Source!$C264&gt;=COLUMNS($A264:E264), Source!$G264, "")</f>
        <v/>
      </c>
      <c r="F264" s="2" t="str">
        <f>IF(Source!$C264&gt;=COLUMNS($A264:F264), Source!$G264, "")</f>
        <v/>
      </c>
      <c r="G264" s="2" t="str">
        <f>IF(Source!$C264&gt;=COLUMNS($A264:G264), Source!$G264, "")</f>
        <v/>
      </c>
      <c r="H264" s="2" t="str">
        <f>IF(Source!$C264&gt;=COLUMNS($A264:H264), Source!$G264, "")</f>
        <v/>
      </c>
      <c r="I264" s="2" t="str">
        <f>IF(Source!$C264&gt;=COLUMNS($A264:I264), Source!$G264, "")</f>
        <v/>
      </c>
      <c r="J264" s="2" t="str">
        <f>IF(Source!$C264&gt;=COLUMNS($A264:J264), Source!$G264, "")</f>
        <v/>
      </c>
      <c r="K264" s="2" t="str">
        <f>IF(Source!$C264&gt;=COLUMNS($A264:K264), Source!$G264, "")</f>
        <v/>
      </c>
      <c r="L264" s="2" t="str">
        <f>IF(Source!$C264&gt;=COLUMNS($A264:L264), Source!$G264, "")</f>
        <v/>
      </c>
      <c r="M264" s="2" t="str">
        <f>IF(Source!$C264&gt;=COLUMNS($A264:M264), Source!$G264, "")</f>
        <v/>
      </c>
      <c r="N264" s="2" t="str">
        <f>IF(Source!$C264&gt;=COLUMNS($A264:N264), Source!$G264, "")</f>
        <v/>
      </c>
      <c r="O264" s="2" t="str">
        <f>IF(Source!$C264&gt;=COLUMNS($A264:O264), Source!$G264, "")</f>
        <v/>
      </c>
      <c r="P264" s="2" t="str">
        <f>IF(Source!$C264&gt;=COLUMNS($A264:P264), Source!$G264, "")</f>
        <v/>
      </c>
      <c r="Q264" s="2" t="str">
        <f>IF(Source!$C264&gt;=COLUMNS($A264:Q264), Source!$G264, "")</f>
        <v/>
      </c>
      <c r="R264" s="2" t="str">
        <f>IF(Source!$C264&gt;=COLUMNS($A264:R264), Source!$G264, "")</f>
        <v/>
      </c>
      <c r="S264" s="2" t="str">
        <f>IF(Source!$C264&gt;=COLUMNS($A264:S264), Source!$G264, "")</f>
        <v/>
      </c>
      <c r="T264" s="2" t="str">
        <f>IF(Source!$C264&gt;=COLUMNS($A264:T264), Source!$G264, "")</f>
        <v/>
      </c>
      <c r="U264" s="2" t="str">
        <f>IF(Source!$C264&gt;=COLUMNS($A264:U264), Source!$G264, "")</f>
        <v/>
      </c>
      <c r="V264" s="2" t="str">
        <f>IF(Source!$C264&gt;=COLUMNS($A264:V264), Source!$G264, "")</f>
        <v/>
      </c>
      <c r="W264" s="2" t="str">
        <f>IF(Source!$C264&gt;=COLUMNS($A264:W264), Source!$G264, "")</f>
        <v/>
      </c>
      <c r="X264" s="2" t="str">
        <f>IF(Source!$C264&gt;=COLUMNS($A264:X264), Source!$G264, "")</f>
        <v/>
      </c>
      <c r="Y264" s="2" t="str">
        <f>IF(Source!$C264&gt;=COLUMNS($A264:Y264), Source!$G264, "")</f>
        <v/>
      </c>
      <c r="Z264" s="2" t="str">
        <f>IF(Source!$C264&gt;=COLUMNS($A264:Z264), Source!$G264, "")</f>
        <v/>
      </c>
      <c r="AA264" s="2" t="str">
        <f>IF(Source!$C264&gt;=COLUMNS($A264:AA264), Source!$G264, "")</f>
        <v/>
      </c>
      <c r="AB264" s="2" t="str">
        <f>IF(Source!$C264&gt;=COLUMNS($A264:AB264), Source!$G264, "")</f>
        <v/>
      </c>
      <c r="AC264" s="2" t="str">
        <f>IF(Source!$C264&gt;=COLUMNS($A264:AC264), Source!$G264, "")</f>
        <v/>
      </c>
      <c r="AD264" s="2" t="str">
        <f>IF(Source!$C264&gt;=COLUMNS($A264:AD264), Source!$G264, "")</f>
        <v/>
      </c>
      <c r="AE264" s="2" t="str">
        <f>IF(Source!$C264&gt;=COLUMNS($A264:AE264), Source!$G264, "")</f>
        <v/>
      </c>
      <c r="AF264" s="2" t="str">
        <f>IF(Source!$C264&gt;=COLUMNS($A264:AF264), Source!$G264, "")</f>
        <v/>
      </c>
      <c r="AG264" s="2" t="str">
        <f>IF(Source!$C264&gt;=COLUMNS($A264:AG264), Source!$G264, "")</f>
        <v/>
      </c>
      <c r="AH264" s="2" t="str">
        <f>IF(Source!$C264&gt;=COLUMNS($A264:AH264), Source!$G264, "")</f>
        <v/>
      </c>
      <c r="AI264" s="2" t="str">
        <f>IF(Source!$C264&gt;=COLUMNS($A264:AI264), Source!$G264, "")</f>
        <v/>
      </c>
      <c r="AJ264" s="2" t="str">
        <f>IF(Source!$C264&gt;=COLUMNS($A264:AJ264), Source!$G264, "")</f>
        <v/>
      </c>
      <c r="AK264" s="2" t="str">
        <f>IF(Source!$C264&gt;=COLUMNS($A264:AK264), Source!$G264, "")</f>
        <v/>
      </c>
      <c r="AL264" s="2" t="str">
        <f>IF(Source!$C264&gt;=COLUMNS($A264:AL264), Source!$G264, "")</f>
        <v/>
      </c>
      <c r="AM264" s="2" t="str">
        <f>IF(Source!$C264&gt;=COLUMNS($A264:AM264), Source!$G264, "")</f>
        <v/>
      </c>
      <c r="AN264" s="2" t="str">
        <f>IF(Source!$C264&gt;=COLUMNS($A264:AN264), Source!$G264, "")</f>
        <v/>
      </c>
      <c r="AO264" s="2" t="str">
        <f>IF(Source!$C264&gt;=COLUMNS($A264:AO264), Source!$G264, "")</f>
        <v/>
      </c>
      <c r="AP264" s="2" t="str">
        <f>IF(Source!$C264&gt;=COLUMNS($A264:AP264), Source!$G264, "")</f>
        <v/>
      </c>
      <c r="AQ264" s="2" t="str">
        <f>IF(Source!$C264&gt;=COLUMNS($A264:AQ264), Source!$G264, "")</f>
        <v/>
      </c>
      <c r="AR264" s="2" t="str">
        <f>IF(Source!$C264&gt;=COLUMNS($A264:AR264), Source!$G264, "")</f>
        <v/>
      </c>
    </row>
    <row r="265">
      <c r="A265" s="2">
        <f>IF(Source!$C265&gt;=COLUMNS($A265:A265), Source!$G265, "")</f>
        <v>9</v>
      </c>
      <c r="B265" s="2" t="str">
        <f>IF(Source!$C265&gt;=COLUMNS($A265:B265), Source!$G265, "")</f>
        <v/>
      </c>
      <c r="C265" s="2" t="str">
        <f>IF(Source!$C265&gt;=COLUMNS($A265:C265), Source!$G265, "")</f>
        <v/>
      </c>
      <c r="D265" s="2" t="str">
        <f>IF(Source!$C265&gt;=COLUMNS($A265:D265), Source!$G265, "")</f>
        <v/>
      </c>
      <c r="E265" s="2" t="str">
        <f>IF(Source!$C265&gt;=COLUMNS($A265:E265), Source!$G265, "")</f>
        <v/>
      </c>
      <c r="F265" s="2" t="str">
        <f>IF(Source!$C265&gt;=COLUMNS($A265:F265), Source!$G265, "")</f>
        <v/>
      </c>
      <c r="G265" s="2" t="str">
        <f>IF(Source!$C265&gt;=COLUMNS($A265:G265), Source!$G265, "")</f>
        <v/>
      </c>
      <c r="H265" s="2" t="str">
        <f>IF(Source!$C265&gt;=COLUMNS($A265:H265), Source!$G265, "")</f>
        <v/>
      </c>
      <c r="I265" s="2" t="str">
        <f>IF(Source!$C265&gt;=COLUMNS($A265:I265), Source!$G265, "")</f>
        <v/>
      </c>
      <c r="J265" s="2" t="str">
        <f>IF(Source!$C265&gt;=COLUMNS($A265:J265), Source!$G265, "")</f>
        <v/>
      </c>
      <c r="K265" s="2" t="str">
        <f>IF(Source!$C265&gt;=COLUMNS($A265:K265), Source!$G265, "")</f>
        <v/>
      </c>
      <c r="L265" s="2" t="str">
        <f>IF(Source!$C265&gt;=COLUMNS($A265:L265), Source!$G265, "")</f>
        <v/>
      </c>
      <c r="M265" s="2" t="str">
        <f>IF(Source!$C265&gt;=COLUMNS($A265:M265), Source!$G265, "")</f>
        <v/>
      </c>
      <c r="N265" s="2" t="str">
        <f>IF(Source!$C265&gt;=COLUMNS($A265:N265), Source!$G265, "")</f>
        <v/>
      </c>
      <c r="O265" s="2" t="str">
        <f>IF(Source!$C265&gt;=COLUMNS($A265:O265), Source!$G265, "")</f>
        <v/>
      </c>
      <c r="P265" s="2" t="str">
        <f>IF(Source!$C265&gt;=COLUMNS($A265:P265), Source!$G265, "")</f>
        <v/>
      </c>
      <c r="Q265" s="2" t="str">
        <f>IF(Source!$C265&gt;=COLUMNS($A265:Q265), Source!$G265, "")</f>
        <v/>
      </c>
      <c r="R265" s="2" t="str">
        <f>IF(Source!$C265&gt;=COLUMNS($A265:R265), Source!$G265, "")</f>
        <v/>
      </c>
      <c r="S265" s="2" t="str">
        <f>IF(Source!$C265&gt;=COLUMNS($A265:S265), Source!$G265, "")</f>
        <v/>
      </c>
      <c r="T265" s="2" t="str">
        <f>IF(Source!$C265&gt;=COLUMNS($A265:T265), Source!$G265, "")</f>
        <v/>
      </c>
      <c r="U265" s="2" t="str">
        <f>IF(Source!$C265&gt;=COLUMNS($A265:U265), Source!$G265, "")</f>
        <v/>
      </c>
      <c r="V265" s="2" t="str">
        <f>IF(Source!$C265&gt;=COLUMNS($A265:V265), Source!$G265, "")</f>
        <v/>
      </c>
      <c r="W265" s="2" t="str">
        <f>IF(Source!$C265&gt;=COLUMNS($A265:W265), Source!$G265, "")</f>
        <v/>
      </c>
      <c r="X265" s="2" t="str">
        <f>IF(Source!$C265&gt;=COLUMNS($A265:X265), Source!$G265, "")</f>
        <v/>
      </c>
      <c r="Y265" s="2" t="str">
        <f>IF(Source!$C265&gt;=COLUMNS($A265:Y265), Source!$G265, "")</f>
        <v/>
      </c>
      <c r="Z265" s="2" t="str">
        <f>IF(Source!$C265&gt;=COLUMNS($A265:Z265), Source!$G265, "")</f>
        <v/>
      </c>
      <c r="AA265" s="2" t="str">
        <f>IF(Source!$C265&gt;=COLUMNS($A265:AA265), Source!$G265, "")</f>
        <v/>
      </c>
      <c r="AB265" s="2" t="str">
        <f>IF(Source!$C265&gt;=COLUMNS($A265:AB265), Source!$G265, "")</f>
        <v/>
      </c>
      <c r="AC265" s="2" t="str">
        <f>IF(Source!$C265&gt;=COLUMNS($A265:AC265), Source!$G265, "")</f>
        <v/>
      </c>
      <c r="AD265" s="2" t="str">
        <f>IF(Source!$C265&gt;=COLUMNS($A265:AD265), Source!$G265, "")</f>
        <v/>
      </c>
      <c r="AE265" s="2" t="str">
        <f>IF(Source!$C265&gt;=COLUMNS($A265:AE265), Source!$G265, "")</f>
        <v/>
      </c>
      <c r="AF265" s="2" t="str">
        <f>IF(Source!$C265&gt;=COLUMNS($A265:AF265), Source!$G265, "")</f>
        <v/>
      </c>
      <c r="AG265" s="2" t="str">
        <f>IF(Source!$C265&gt;=COLUMNS($A265:AG265), Source!$G265, "")</f>
        <v/>
      </c>
      <c r="AH265" s="2" t="str">
        <f>IF(Source!$C265&gt;=COLUMNS($A265:AH265), Source!$G265, "")</f>
        <v/>
      </c>
      <c r="AI265" s="2" t="str">
        <f>IF(Source!$C265&gt;=COLUMNS($A265:AI265), Source!$G265, "")</f>
        <v/>
      </c>
      <c r="AJ265" s="2" t="str">
        <f>IF(Source!$C265&gt;=COLUMNS($A265:AJ265), Source!$G265, "")</f>
        <v/>
      </c>
      <c r="AK265" s="2" t="str">
        <f>IF(Source!$C265&gt;=COLUMNS($A265:AK265), Source!$G265, "")</f>
        <v/>
      </c>
      <c r="AL265" s="2" t="str">
        <f>IF(Source!$C265&gt;=COLUMNS($A265:AL265), Source!$G265, "")</f>
        <v/>
      </c>
      <c r="AM265" s="2" t="str">
        <f>IF(Source!$C265&gt;=COLUMNS($A265:AM265), Source!$G265, "")</f>
        <v/>
      </c>
      <c r="AN265" s="2" t="str">
        <f>IF(Source!$C265&gt;=COLUMNS($A265:AN265), Source!$G265, "")</f>
        <v/>
      </c>
      <c r="AO265" s="2" t="str">
        <f>IF(Source!$C265&gt;=COLUMNS($A265:AO265), Source!$G265, "")</f>
        <v/>
      </c>
      <c r="AP265" s="2" t="str">
        <f>IF(Source!$C265&gt;=COLUMNS($A265:AP265), Source!$G265, "")</f>
        <v/>
      </c>
      <c r="AQ265" s="2" t="str">
        <f>IF(Source!$C265&gt;=COLUMNS($A265:AQ265), Source!$G265, "")</f>
        <v/>
      </c>
      <c r="AR265" s="2" t="str">
        <f>IF(Source!$C265&gt;=COLUMNS($A265:AR265), Source!$G265, "")</f>
        <v/>
      </c>
    </row>
    <row r="266">
      <c r="A266" s="2">
        <f>IF(Source!$C266&gt;=COLUMNS($A266:A266), Source!$G266, "")</f>
        <v>6</v>
      </c>
      <c r="B266" s="2">
        <f>IF(Source!$C266&gt;=COLUMNS($A266:B266), Source!$G266, "")</f>
        <v>6</v>
      </c>
      <c r="C266" s="2">
        <f>IF(Source!$C266&gt;=COLUMNS($A266:C266), Source!$G266, "")</f>
        <v>6</v>
      </c>
      <c r="D266" s="2">
        <f>IF(Source!$C266&gt;=COLUMNS($A266:D266), Source!$G266, "")</f>
        <v>6</v>
      </c>
      <c r="E266" s="2">
        <f>IF(Source!$C266&gt;=COLUMNS($A266:E266), Source!$G266, "")</f>
        <v>6</v>
      </c>
      <c r="F266" s="2">
        <f>IF(Source!$C266&gt;=COLUMNS($A266:F266), Source!$G266, "")</f>
        <v>6</v>
      </c>
      <c r="G266" s="2">
        <f>IF(Source!$C266&gt;=COLUMNS($A266:G266), Source!$G266, "")</f>
        <v>6</v>
      </c>
      <c r="H266" s="2">
        <f>IF(Source!$C266&gt;=COLUMNS($A266:H266), Source!$G266, "")</f>
        <v>6</v>
      </c>
      <c r="I266" s="2">
        <f>IF(Source!$C266&gt;=COLUMNS($A266:I266), Source!$G266, "")</f>
        <v>6</v>
      </c>
      <c r="J266" s="2">
        <f>IF(Source!$C266&gt;=COLUMNS($A266:J266), Source!$G266, "")</f>
        <v>6</v>
      </c>
      <c r="K266" s="2">
        <f>IF(Source!$C266&gt;=COLUMNS($A266:K266), Source!$G266, "")</f>
        <v>6</v>
      </c>
      <c r="L266" s="2">
        <f>IF(Source!$C266&gt;=COLUMNS($A266:L266), Source!$G266, "")</f>
        <v>6</v>
      </c>
      <c r="M266" s="2">
        <f>IF(Source!$C266&gt;=COLUMNS($A266:M266), Source!$G266, "")</f>
        <v>6</v>
      </c>
      <c r="N266" s="2">
        <f>IF(Source!$C266&gt;=COLUMNS($A266:N266), Source!$G266, "")</f>
        <v>6</v>
      </c>
      <c r="O266" s="2">
        <f>IF(Source!$C266&gt;=COLUMNS($A266:O266), Source!$G266, "")</f>
        <v>6</v>
      </c>
      <c r="P266" s="2" t="str">
        <f>IF(Source!$C266&gt;=COLUMNS($A266:P266), Source!$G266, "")</f>
        <v/>
      </c>
      <c r="Q266" s="2" t="str">
        <f>IF(Source!$C266&gt;=COLUMNS($A266:Q266), Source!$G266, "")</f>
        <v/>
      </c>
      <c r="R266" s="2" t="str">
        <f>IF(Source!$C266&gt;=COLUMNS($A266:R266), Source!$G266, "")</f>
        <v/>
      </c>
      <c r="S266" s="2" t="str">
        <f>IF(Source!$C266&gt;=COLUMNS($A266:S266), Source!$G266, "")</f>
        <v/>
      </c>
      <c r="T266" s="2" t="str">
        <f>IF(Source!$C266&gt;=COLUMNS($A266:T266), Source!$G266, "")</f>
        <v/>
      </c>
      <c r="U266" s="2" t="str">
        <f>IF(Source!$C266&gt;=COLUMNS($A266:U266), Source!$G266, "")</f>
        <v/>
      </c>
      <c r="V266" s="2" t="str">
        <f>IF(Source!$C266&gt;=COLUMNS($A266:V266), Source!$G266, "")</f>
        <v/>
      </c>
      <c r="W266" s="2" t="str">
        <f>IF(Source!$C266&gt;=COLUMNS($A266:W266), Source!$G266, "")</f>
        <v/>
      </c>
      <c r="X266" s="2" t="str">
        <f>IF(Source!$C266&gt;=COLUMNS($A266:X266), Source!$G266, "")</f>
        <v/>
      </c>
      <c r="Y266" s="2" t="str">
        <f>IF(Source!$C266&gt;=COLUMNS($A266:Y266), Source!$G266, "")</f>
        <v/>
      </c>
      <c r="Z266" s="2" t="str">
        <f>IF(Source!$C266&gt;=COLUMNS($A266:Z266), Source!$G266, "")</f>
        <v/>
      </c>
      <c r="AA266" s="2" t="str">
        <f>IF(Source!$C266&gt;=COLUMNS($A266:AA266), Source!$G266, "")</f>
        <v/>
      </c>
      <c r="AB266" s="2" t="str">
        <f>IF(Source!$C266&gt;=COLUMNS($A266:AB266), Source!$G266, "")</f>
        <v/>
      </c>
      <c r="AC266" s="2" t="str">
        <f>IF(Source!$C266&gt;=COLUMNS($A266:AC266), Source!$G266, "")</f>
        <v/>
      </c>
      <c r="AD266" s="2" t="str">
        <f>IF(Source!$C266&gt;=COLUMNS($A266:AD266), Source!$G266, "")</f>
        <v/>
      </c>
      <c r="AE266" s="2" t="str">
        <f>IF(Source!$C266&gt;=COLUMNS($A266:AE266), Source!$G266, "")</f>
        <v/>
      </c>
      <c r="AF266" s="2" t="str">
        <f>IF(Source!$C266&gt;=COLUMNS($A266:AF266), Source!$G266, "")</f>
        <v/>
      </c>
      <c r="AG266" s="2" t="str">
        <f>IF(Source!$C266&gt;=COLUMNS($A266:AG266), Source!$G266, "")</f>
        <v/>
      </c>
      <c r="AH266" s="2" t="str">
        <f>IF(Source!$C266&gt;=COLUMNS($A266:AH266), Source!$G266, "")</f>
        <v/>
      </c>
      <c r="AI266" s="2" t="str">
        <f>IF(Source!$C266&gt;=COLUMNS($A266:AI266), Source!$G266, "")</f>
        <v/>
      </c>
      <c r="AJ266" s="2" t="str">
        <f>IF(Source!$C266&gt;=COLUMNS($A266:AJ266), Source!$G266, "")</f>
        <v/>
      </c>
      <c r="AK266" s="2" t="str">
        <f>IF(Source!$C266&gt;=COLUMNS($A266:AK266), Source!$G266, "")</f>
        <v/>
      </c>
      <c r="AL266" s="2" t="str">
        <f>IF(Source!$C266&gt;=COLUMNS($A266:AL266), Source!$G266, "")</f>
        <v/>
      </c>
      <c r="AM266" s="2" t="str">
        <f>IF(Source!$C266&gt;=COLUMNS($A266:AM266), Source!$G266, "")</f>
        <v/>
      </c>
      <c r="AN266" s="2" t="str">
        <f>IF(Source!$C266&gt;=COLUMNS($A266:AN266), Source!$G266, "")</f>
        <v/>
      </c>
      <c r="AO266" s="2" t="str">
        <f>IF(Source!$C266&gt;=COLUMNS($A266:AO266), Source!$G266, "")</f>
        <v/>
      </c>
      <c r="AP266" s="2" t="str">
        <f>IF(Source!$C266&gt;=COLUMNS($A266:AP266), Source!$G266, "")</f>
        <v/>
      </c>
      <c r="AQ266" s="2" t="str">
        <f>IF(Source!$C266&gt;=COLUMNS($A266:AQ266), Source!$G266, "")</f>
        <v/>
      </c>
      <c r="AR266" s="2" t="str">
        <f>IF(Source!$C266&gt;=COLUMNS($A266:AR266), Source!$G266, "")</f>
        <v/>
      </c>
    </row>
    <row r="267">
      <c r="A267" s="2">
        <f>IF(Source!$C267&gt;=COLUMNS($A267:A267), Source!$G267, "")</f>
        <v>6</v>
      </c>
      <c r="B267" s="2">
        <f>IF(Source!$C267&gt;=COLUMNS($A267:B267), Source!$G267, "")</f>
        <v>6</v>
      </c>
      <c r="C267" s="2" t="str">
        <f>IF(Source!$C267&gt;=COLUMNS($A267:C267), Source!$G267, "")</f>
        <v/>
      </c>
      <c r="D267" s="2" t="str">
        <f>IF(Source!$C267&gt;=COLUMNS($A267:D267), Source!$G267, "")</f>
        <v/>
      </c>
      <c r="E267" s="2" t="str">
        <f>IF(Source!$C267&gt;=COLUMNS($A267:E267), Source!$G267, "")</f>
        <v/>
      </c>
      <c r="F267" s="2" t="str">
        <f>IF(Source!$C267&gt;=COLUMNS($A267:F267), Source!$G267, "")</f>
        <v/>
      </c>
      <c r="G267" s="2" t="str">
        <f>IF(Source!$C267&gt;=COLUMNS($A267:G267), Source!$G267, "")</f>
        <v/>
      </c>
      <c r="H267" s="2" t="str">
        <f>IF(Source!$C267&gt;=COLUMNS($A267:H267), Source!$G267, "")</f>
        <v/>
      </c>
      <c r="I267" s="2" t="str">
        <f>IF(Source!$C267&gt;=COLUMNS($A267:I267), Source!$G267, "")</f>
        <v/>
      </c>
      <c r="J267" s="2" t="str">
        <f>IF(Source!$C267&gt;=COLUMNS($A267:J267), Source!$G267, "")</f>
        <v/>
      </c>
      <c r="K267" s="2" t="str">
        <f>IF(Source!$C267&gt;=COLUMNS($A267:K267), Source!$G267, "")</f>
        <v/>
      </c>
      <c r="L267" s="2" t="str">
        <f>IF(Source!$C267&gt;=COLUMNS($A267:L267), Source!$G267, "")</f>
        <v/>
      </c>
      <c r="M267" s="2" t="str">
        <f>IF(Source!$C267&gt;=COLUMNS($A267:M267), Source!$G267, "")</f>
        <v/>
      </c>
      <c r="N267" s="2" t="str">
        <f>IF(Source!$C267&gt;=COLUMNS($A267:N267), Source!$G267, "")</f>
        <v/>
      </c>
      <c r="O267" s="2" t="str">
        <f>IF(Source!$C267&gt;=COLUMNS($A267:O267), Source!$G267, "")</f>
        <v/>
      </c>
      <c r="P267" s="2" t="str">
        <f>IF(Source!$C267&gt;=COLUMNS($A267:P267), Source!$G267, "")</f>
        <v/>
      </c>
      <c r="Q267" s="2" t="str">
        <f>IF(Source!$C267&gt;=COLUMNS($A267:Q267), Source!$G267, "")</f>
        <v/>
      </c>
      <c r="R267" s="2" t="str">
        <f>IF(Source!$C267&gt;=COLUMNS($A267:R267), Source!$G267, "")</f>
        <v/>
      </c>
      <c r="S267" s="2" t="str">
        <f>IF(Source!$C267&gt;=COLUMNS($A267:S267), Source!$G267, "")</f>
        <v/>
      </c>
      <c r="T267" s="2" t="str">
        <f>IF(Source!$C267&gt;=COLUMNS($A267:T267), Source!$G267, "")</f>
        <v/>
      </c>
      <c r="U267" s="2" t="str">
        <f>IF(Source!$C267&gt;=COLUMNS($A267:U267), Source!$G267, "")</f>
        <v/>
      </c>
      <c r="V267" s="2" t="str">
        <f>IF(Source!$C267&gt;=COLUMNS($A267:V267), Source!$G267, "")</f>
        <v/>
      </c>
      <c r="W267" s="2" t="str">
        <f>IF(Source!$C267&gt;=COLUMNS($A267:W267), Source!$G267, "")</f>
        <v/>
      </c>
      <c r="X267" s="2" t="str">
        <f>IF(Source!$C267&gt;=COLUMNS($A267:X267), Source!$G267, "")</f>
        <v/>
      </c>
      <c r="Y267" s="2" t="str">
        <f>IF(Source!$C267&gt;=COLUMNS($A267:Y267), Source!$G267, "")</f>
        <v/>
      </c>
      <c r="Z267" s="2" t="str">
        <f>IF(Source!$C267&gt;=COLUMNS($A267:Z267), Source!$G267, "")</f>
        <v/>
      </c>
      <c r="AA267" s="2" t="str">
        <f>IF(Source!$C267&gt;=COLUMNS($A267:AA267), Source!$G267, "")</f>
        <v/>
      </c>
      <c r="AB267" s="2" t="str">
        <f>IF(Source!$C267&gt;=COLUMNS($A267:AB267), Source!$G267, "")</f>
        <v/>
      </c>
      <c r="AC267" s="2" t="str">
        <f>IF(Source!$C267&gt;=COLUMNS($A267:AC267), Source!$G267, "")</f>
        <v/>
      </c>
      <c r="AD267" s="2" t="str">
        <f>IF(Source!$C267&gt;=COLUMNS($A267:AD267), Source!$G267, "")</f>
        <v/>
      </c>
      <c r="AE267" s="2" t="str">
        <f>IF(Source!$C267&gt;=COLUMNS($A267:AE267), Source!$G267, "")</f>
        <v/>
      </c>
      <c r="AF267" s="2" t="str">
        <f>IF(Source!$C267&gt;=COLUMNS($A267:AF267), Source!$G267, "")</f>
        <v/>
      </c>
      <c r="AG267" s="2" t="str">
        <f>IF(Source!$C267&gt;=COLUMNS($A267:AG267), Source!$G267, "")</f>
        <v/>
      </c>
      <c r="AH267" s="2" t="str">
        <f>IF(Source!$C267&gt;=COLUMNS($A267:AH267), Source!$G267, "")</f>
        <v/>
      </c>
      <c r="AI267" s="2" t="str">
        <f>IF(Source!$C267&gt;=COLUMNS($A267:AI267), Source!$G267, "")</f>
        <v/>
      </c>
      <c r="AJ267" s="2" t="str">
        <f>IF(Source!$C267&gt;=COLUMNS($A267:AJ267), Source!$G267, "")</f>
        <v/>
      </c>
      <c r="AK267" s="2" t="str">
        <f>IF(Source!$C267&gt;=COLUMNS($A267:AK267), Source!$G267, "")</f>
        <v/>
      </c>
      <c r="AL267" s="2" t="str">
        <f>IF(Source!$C267&gt;=COLUMNS($A267:AL267), Source!$G267, "")</f>
        <v/>
      </c>
      <c r="AM267" s="2" t="str">
        <f>IF(Source!$C267&gt;=COLUMNS($A267:AM267), Source!$G267, "")</f>
        <v/>
      </c>
      <c r="AN267" s="2" t="str">
        <f>IF(Source!$C267&gt;=COLUMNS($A267:AN267), Source!$G267, "")</f>
        <v/>
      </c>
      <c r="AO267" s="2" t="str">
        <f>IF(Source!$C267&gt;=COLUMNS($A267:AO267), Source!$G267, "")</f>
        <v/>
      </c>
      <c r="AP267" s="2" t="str">
        <f>IF(Source!$C267&gt;=COLUMNS($A267:AP267), Source!$G267, "")</f>
        <v/>
      </c>
      <c r="AQ267" s="2" t="str">
        <f>IF(Source!$C267&gt;=COLUMNS($A267:AQ267), Source!$G267, "")</f>
        <v/>
      </c>
      <c r="AR267" s="2" t="str">
        <f>IF(Source!$C267&gt;=COLUMNS($A267:AR267), Source!$G267, "")</f>
        <v/>
      </c>
    </row>
    <row r="268">
      <c r="A268" s="2">
        <f>IF(Source!$C268&gt;=COLUMNS($A268:A268), Source!$G268, "")</f>
        <v>8</v>
      </c>
      <c r="B268" s="2" t="str">
        <f>IF(Source!$C268&gt;=COLUMNS($A268:B268), Source!$G268, "")</f>
        <v/>
      </c>
      <c r="C268" s="2" t="str">
        <f>IF(Source!$C268&gt;=COLUMNS($A268:C268), Source!$G268, "")</f>
        <v/>
      </c>
      <c r="D268" s="2" t="str">
        <f>IF(Source!$C268&gt;=COLUMNS($A268:D268), Source!$G268, "")</f>
        <v/>
      </c>
      <c r="E268" s="2" t="str">
        <f>IF(Source!$C268&gt;=COLUMNS($A268:E268), Source!$G268, "")</f>
        <v/>
      </c>
      <c r="F268" s="2" t="str">
        <f>IF(Source!$C268&gt;=COLUMNS($A268:F268), Source!$G268, "")</f>
        <v/>
      </c>
      <c r="G268" s="2" t="str">
        <f>IF(Source!$C268&gt;=COLUMNS($A268:G268), Source!$G268, "")</f>
        <v/>
      </c>
      <c r="H268" s="2" t="str">
        <f>IF(Source!$C268&gt;=COLUMNS($A268:H268), Source!$G268, "")</f>
        <v/>
      </c>
      <c r="I268" s="2" t="str">
        <f>IF(Source!$C268&gt;=COLUMNS($A268:I268), Source!$G268, "")</f>
        <v/>
      </c>
      <c r="J268" s="2" t="str">
        <f>IF(Source!$C268&gt;=COLUMNS($A268:J268), Source!$G268, "")</f>
        <v/>
      </c>
      <c r="K268" s="2" t="str">
        <f>IF(Source!$C268&gt;=COLUMNS($A268:K268), Source!$G268, "")</f>
        <v/>
      </c>
      <c r="L268" s="2" t="str">
        <f>IF(Source!$C268&gt;=COLUMNS($A268:L268), Source!$G268, "")</f>
        <v/>
      </c>
      <c r="M268" s="2" t="str">
        <f>IF(Source!$C268&gt;=COLUMNS($A268:M268), Source!$G268, "")</f>
        <v/>
      </c>
      <c r="N268" s="2" t="str">
        <f>IF(Source!$C268&gt;=COLUMNS($A268:N268), Source!$G268, "")</f>
        <v/>
      </c>
      <c r="O268" s="2" t="str">
        <f>IF(Source!$C268&gt;=COLUMNS($A268:O268), Source!$G268, "")</f>
        <v/>
      </c>
      <c r="P268" s="2" t="str">
        <f>IF(Source!$C268&gt;=COLUMNS($A268:P268), Source!$G268, "")</f>
        <v/>
      </c>
      <c r="Q268" s="2" t="str">
        <f>IF(Source!$C268&gt;=COLUMNS($A268:Q268), Source!$G268, "")</f>
        <v/>
      </c>
      <c r="R268" s="2" t="str">
        <f>IF(Source!$C268&gt;=COLUMNS($A268:R268), Source!$G268, "")</f>
        <v/>
      </c>
      <c r="S268" s="2" t="str">
        <f>IF(Source!$C268&gt;=COLUMNS($A268:S268), Source!$G268, "")</f>
        <v/>
      </c>
      <c r="T268" s="2" t="str">
        <f>IF(Source!$C268&gt;=COLUMNS($A268:T268), Source!$G268, "")</f>
        <v/>
      </c>
      <c r="U268" s="2" t="str">
        <f>IF(Source!$C268&gt;=COLUMNS($A268:U268), Source!$G268, "")</f>
        <v/>
      </c>
      <c r="V268" s="2" t="str">
        <f>IF(Source!$C268&gt;=COLUMNS($A268:V268), Source!$G268, "")</f>
        <v/>
      </c>
      <c r="W268" s="2" t="str">
        <f>IF(Source!$C268&gt;=COLUMNS($A268:W268), Source!$G268, "")</f>
        <v/>
      </c>
      <c r="X268" s="2" t="str">
        <f>IF(Source!$C268&gt;=COLUMNS($A268:X268), Source!$G268, "")</f>
        <v/>
      </c>
      <c r="Y268" s="2" t="str">
        <f>IF(Source!$C268&gt;=COLUMNS($A268:Y268), Source!$G268, "")</f>
        <v/>
      </c>
      <c r="Z268" s="2" t="str">
        <f>IF(Source!$C268&gt;=COLUMNS($A268:Z268), Source!$G268, "")</f>
        <v/>
      </c>
      <c r="AA268" s="2" t="str">
        <f>IF(Source!$C268&gt;=COLUMNS($A268:AA268), Source!$G268, "")</f>
        <v/>
      </c>
      <c r="AB268" s="2" t="str">
        <f>IF(Source!$C268&gt;=COLUMNS($A268:AB268), Source!$G268, "")</f>
        <v/>
      </c>
      <c r="AC268" s="2" t="str">
        <f>IF(Source!$C268&gt;=COLUMNS($A268:AC268), Source!$G268, "")</f>
        <v/>
      </c>
      <c r="AD268" s="2" t="str">
        <f>IF(Source!$C268&gt;=COLUMNS($A268:AD268), Source!$G268, "")</f>
        <v/>
      </c>
      <c r="AE268" s="2" t="str">
        <f>IF(Source!$C268&gt;=COLUMNS($A268:AE268), Source!$G268, "")</f>
        <v/>
      </c>
      <c r="AF268" s="2" t="str">
        <f>IF(Source!$C268&gt;=COLUMNS($A268:AF268), Source!$G268, "")</f>
        <v/>
      </c>
      <c r="AG268" s="2" t="str">
        <f>IF(Source!$C268&gt;=COLUMNS($A268:AG268), Source!$G268, "")</f>
        <v/>
      </c>
      <c r="AH268" s="2" t="str">
        <f>IF(Source!$C268&gt;=COLUMNS($A268:AH268), Source!$G268, "")</f>
        <v/>
      </c>
      <c r="AI268" s="2" t="str">
        <f>IF(Source!$C268&gt;=COLUMNS($A268:AI268), Source!$G268, "")</f>
        <v/>
      </c>
      <c r="AJ268" s="2" t="str">
        <f>IF(Source!$C268&gt;=COLUMNS($A268:AJ268), Source!$G268, "")</f>
        <v/>
      </c>
      <c r="AK268" s="2" t="str">
        <f>IF(Source!$C268&gt;=COLUMNS($A268:AK268), Source!$G268, "")</f>
        <v/>
      </c>
      <c r="AL268" s="2" t="str">
        <f>IF(Source!$C268&gt;=COLUMNS($A268:AL268), Source!$G268, "")</f>
        <v/>
      </c>
      <c r="AM268" s="2" t="str">
        <f>IF(Source!$C268&gt;=COLUMNS($A268:AM268), Source!$G268, "")</f>
        <v/>
      </c>
      <c r="AN268" s="2" t="str">
        <f>IF(Source!$C268&gt;=COLUMNS($A268:AN268), Source!$G268, "")</f>
        <v/>
      </c>
      <c r="AO268" s="2" t="str">
        <f>IF(Source!$C268&gt;=COLUMNS($A268:AO268), Source!$G268, "")</f>
        <v/>
      </c>
      <c r="AP268" s="2" t="str">
        <f>IF(Source!$C268&gt;=COLUMNS($A268:AP268), Source!$G268, "")</f>
        <v/>
      </c>
      <c r="AQ268" s="2" t="str">
        <f>IF(Source!$C268&gt;=COLUMNS($A268:AQ268), Source!$G268, "")</f>
        <v/>
      </c>
      <c r="AR268" s="2" t="str">
        <f>IF(Source!$C268&gt;=COLUMNS($A268:AR268), Source!$G268, "")</f>
        <v/>
      </c>
    </row>
    <row r="269">
      <c r="A269" s="2">
        <f>IF(Source!$C269&gt;=COLUMNS($A269:A269), Source!$G269, "")</f>
        <v>4</v>
      </c>
      <c r="B269" s="2" t="str">
        <f>IF(Source!$C269&gt;=COLUMNS($A269:B269), Source!$G269, "")</f>
        <v/>
      </c>
      <c r="C269" s="2" t="str">
        <f>IF(Source!$C269&gt;=COLUMNS($A269:C269), Source!$G269, "")</f>
        <v/>
      </c>
      <c r="D269" s="2" t="str">
        <f>IF(Source!$C269&gt;=COLUMNS($A269:D269), Source!$G269, "")</f>
        <v/>
      </c>
      <c r="E269" s="2" t="str">
        <f>IF(Source!$C269&gt;=COLUMNS($A269:E269), Source!$G269, "")</f>
        <v/>
      </c>
      <c r="F269" s="2" t="str">
        <f>IF(Source!$C269&gt;=COLUMNS($A269:F269), Source!$G269, "")</f>
        <v/>
      </c>
      <c r="G269" s="2" t="str">
        <f>IF(Source!$C269&gt;=COLUMNS($A269:G269), Source!$G269, "")</f>
        <v/>
      </c>
      <c r="H269" s="2" t="str">
        <f>IF(Source!$C269&gt;=COLUMNS($A269:H269), Source!$G269, "")</f>
        <v/>
      </c>
      <c r="I269" s="2" t="str">
        <f>IF(Source!$C269&gt;=COLUMNS($A269:I269), Source!$G269, "")</f>
        <v/>
      </c>
      <c r="J269" s="2" t="str">
        <f>IF(Source!$C269&gt;=COLUMNS($A269:J269), Source!$G269, "")</f>
        <v/>
      </c>
      <c r="K269" s="2" t="str">
        <f>IF(Source!$C269&gt;=COLUMNS($A269:K269), Source!$G269, "")</f>
        <v/>
      </c>
      <c r="L269" s="2" t="str">
        <f>IF(Source!$C269&gt;=COLUMNS($A269:L269), Source!$G269, "")</f>
        <v/>
      </c>
      <c r="M269" s="2" t="str">
        <f>IF(Source!$C269&gt;=COLUMNS($A269:M269), Source!$G269, "")</f>
        <v/>
      </c>
      <c r="N269" s="2" t="str">
        <f>IF(Source!$C269&gt;=COLUMNS($A269:N269), Source!$G269, "")</f>
        <v/>
      </c>
      <c r="O269" s="2" t="str">
        <f>IF(Source!$C269&gt;=COLUMNS($A269:O269), Source!$G269, "")</f>
        <v/>
      </c>
      <c r="P269" s="2" t="str">
        <f>IF(Source!$C269&gt;=COLUMNS($A269:P269), Source!$G269, "")</f>
        <v/>
      </c>
      <c r="Q269" s="2" t="str">
        <f>IF(Source!$C269&gt;=COLUMNS($A269:Q269), Source!$G269, "")</f>
        <v/>
      </c>
      <c r="R269" s="2" t="str">
        <f>IF(Source!$C269&gt;=COLUMNS($A269:R269), Source!$G269, "")</f>
        <v/>
      </c>
      <c r="S269" s="2" t="str">
        <f>IF(Source!$C269&gt;=COLUMNS($A269:S269), Source!$G269, "")</f>
        <v/>
      </c>
      <c r="T269" s="2" t="str">
        <f>IF(Source!$C269&gt;=COLUMNS($A269:T269), Source!$G269, "")</f>
        <v/>
      </c>
      <c r="U269" s="2" t="str">
        <f>IF(Source!$C269&gt;=COLUMNS($A269:U269), Source!$G269, "")</f>
        <v/>
      </c>
      <c r="V269" s="2" t="str">
        <f>IF(Source!$C269&gt;=COLUMNS($A269:V269), Source!$G269, "")</f>
        <v/>
      </c>
      <c r="W269" s="2" t="str">
        <f>IF(Source!$C269&gt;=COLUMNS($A269:W269), Source!$G269, "")</f>
        <v/>
      </c>
      <c r="X269" s="2" t="str">
        <f>IF(Source!$C269&gt;=COLUMNS($A269:X269), Source!$G269, "")</f>
        <v/>
      </c>
      <c r="Y269" s="2" t="str">
        <f>IF(Source!$C269&gt;=COLUMNS($A269:Y269), Source!$G269, "")</f>
        <v/>
      </c>
      <c r="Z269" s="2" t="str">
        <f>IF(Source!$C269&gt;=COLUMNS($A269:Z269), Source!$G269, "")</f>
        <v/>
      </c>
      <c r="AA269" s="2" t="str">
        <f>IF(Source!$C269&gt;=COLUMNS($A269:AA269), Source!$G269, "")</f>
        <v/>
      </c>
      <c r="AB269" s="2" t="str">
        <f>IF(Source!$C269&gt;=COLUMNS($A269:AB269), Source!$G269, "")</f>
        <v/>
      </c>
      <c r="AC269" s="2" t="str">
        <f>IF(Source!$C269&gt;=COLUMNS($A269:AC269), Source!$G269, "")</f>
        <v/>
      </c>
      <c r="AD269" s="2" t="str">
        <f>IF(Source!$C269&gt;=COLUMNS($A269:AD269), Source!$G269, "")</f>
        <v/>
      </c>
      <c r="AE269" s="2" t="str">
        <f>IF(Source!$C269&gt;=COLUMNS($A269:AE269), Source!$G269, "")</f>
        <v/>
      </c>
      <c r="AF269" s="2" t="str">
        <f>IF(Source!$C269&gt;=COLUMNS($A269:AF269), Source!$G269, "")</f>
        <v/>
      </c>
      <c r="AG269" s="2" t="str">
        <f>IF(Source!$C269&gt;=COLUMNS($A269:AG269), Source!$G269, "")</f>
        <v/>
      </c>
      <c r="AH269" s="2" t="str">
        <f>IF(Source!$C269&gt;=COLUMNS($A269:AH269), Source!$G269, "")</f>
        <v/>
      </c>
      <c r="AI269" s="2" t="str">
        <f>IF(Source!$C269&gt;=COLUMNS($A269:AI269), Source!$G269, "")</f>
        <v/>
      </c>
      <c r="AJ269" s="2" t="str">
        <f>IF(Source!$C269&gt;=COLUMNS($A269:AJ269), Source!$G269, "")</f>
        <v/>
      </c>
      <c r="AK269" s="2" t="str">
        <f>IF(Source!$C269&gt;=COLUMNS($A269:AK269), Source!$G269, "")</f>
        <v/>
      </c>
      <c r="AL269" s="2" t="str">
        <f>IF(Source!$C269&gt;=COLUMNS($A269:AL269), Source!$G269, "")</f>
        <v/>
      </c>
      <c r="AM269" s="2" t="str">
        <f>IF(Source!$C269&gt;=COLUMNS($A269:AM269), Source!$G269, "")</f>
        <v/>
      </c>
      <c r="AN269" s="2" t="str">
        <f>IF(Source!$C269&gt;=COLUMNS($A269:AN269), Source!$G269, "")</f>
        <v/>
      </c>
      <c r="AO269" s="2" t="str">
        <f>IF(Source!$C269&gt;=COLUMNS($A269:AO269), Source!$G269, "")</f>
        <v/>
      </c>
      <c r="AP269" s="2" t="str">
        <f>IF(Source!$C269&gt;=COLUMNS($A269:AP269), Source!$G269, "")</f>
        <v/>
      </c>
      <c r="AQ269" s="2" t="str">
        <f>IF(Source!$C269&gt;=COLUMNS($A269:AQ269), Source!$G269, "")</f>
        <v/>
      </c>
      <c r="AR269" s="2" t="str">
        <f>IF(Source!$C269&gt;=COLUMNS($A269:AR269), Source!$G269, "")</f>
        <v/>
      </c>
    </row>
    <row r="270">
      <c r="A270" s="2">
        <f>IF(Source!$C270&gt;=COLUMNS($A270:A270), Source!$G270, "")</f>
        <v>4</v>
      </c>
      <c r="B270" s="2">
        <f>IF(Source!$C270&gt;=COLUMNS($A270:B270), Source!$G270, "")</f>
        <v>4</v>
      </c>
      <c r="C270" s="2">
        <f>IF(Source!$C270&gt;=COLUMNS($A270:C270), Source!$G270, "")</f>
        <v>4</v>
      </c>
      <c r="D270" s="2">
        <f>IF(Source!$C270&gt;=COLUMNS($A270:D270), Source!$G270, "")</f>
        <v>4</v>
      </c>
      <c r="E270" s="2">
        <f>IF(Source!$C270&gt;=COLUMNS($A270:E270), Source!$G270, "")</f>
        <v>4</v>
      </c>
      <c r="F270" s="2">
        <f>IF(Source!$C270&gt;=COLUMNS($A270:F270), Source!$G270, "")</f>
        <v>4</v>
      </c>
      <c r="G270" s="2" t="str">
        <f>IF(Source!$C270&gt;=COLUMNS($A270:G270), Source!$G270, "")</f>
        <v/>
      </c>
      <c r="H270" s="2" t="str">
        <f>IF(Source!$C270&gt;=COLUMNS($A270:H270), Source!$G270, "")</f>
        <v/>
      </c>
      <c r="I270" s="2" t="str">
        <f>IF(Source!$C270&gt;=COLUMNS($A270:I270), Source!$G270, "")</f>
        <v/>
      </c>
      <c r="J270" s="2" t="str">
        <f>IF(Source!$C270&gt;=COLUMNS($A270:J270), Source!$G270, "")</f>
        <v/>
      </c>
      <c r="K270" s="2" t="str">
        <f>IF(Source!$C270&gt;=COLUMNS($A270:K270), Source!$G270, "")</f>
        <v/>
      </c>
      <c r="L270" s="2" t="str">
        <f>IF(Source!$C270&gt;=COLUMNS($A270:L270), Source!$G270, "")</f>
        <v/>
      </c>
      <c r="M270" s="2" t="str">
        <f>IF(Source!$C270&gt;=COLUMNS($A270:M270), Source!$G270, "")</f>
        <v/>
      </c>
      <c r="N270" s="2" t="str">
        <f>IF(Source!$C270&gt;=COLUMNS($A270:N270), Source!$G270, "")</f>
        <v/>
      </c>
      <c r="O270" s="2" t="str">
        <f>IF(Source!$C270&gt;=COLUMNS($A270:O270), Source!$G270, "")</f>
        <v/>
      </c>
      <c r="P270" s="2" t="str">
        <f>IF(Source!$C270&gt;=COLUMNS($A270:P270), Source!$G270, "")</f>
        <v/>
      </c>
      <c r="Q270" s="2" t="str">
        <f>IF(Source!$C270&gt;=COLUMNS($A270:Q270), Source!$G270, "")</f>
        <v/>
      </c>
      <c r="R270" s="2" t="str">
        <f>IF(Source!$C270&gt;=COLUMNS($A270:R270), Source!$G270, "")</f>
        <v/>
      </c>
      <c r="S270" s="2" t="str">
        <f>IF(Source!$C270&gt;=COLUMNS($A270:S270), Source!$G270, "")</f>
        <v/>
      </c>
      <c r="T270" s="2" t="str">
        <f>IF(Source!$C270&gt;=COLUMNS($A270:T270), Source!$G270, "")</f>
        <v/>
      </c>
      <c r="U270" s="2" t="str">
        <f>IF(Source!$C270&gt;=COLUMNS($A270:U270), Source!$G270, "")</f>
        <v/>
      </c>
      <c r="V270" s="2" t="str">
        <f>IF(Source!$C270&gt;=COLUMNS($A270:V270), Source!$G270, "")</f>
        <v/>
      </c>
      <c r="W270" s="2" t="str">
        <f>IF(Source!$C270&gt;=COLUMNS($A270:W270), Source!$G270, "")</f>
        <v/>
      </c>
      <c r="X270" s="2" t="str">
        <f>IF(Source!$C270&gt;=COLUMNS($A270:X270), Source!$G270, "")</f>
        <v/>
      </c>
      <c r="Y270" s="2" t="str">
        <f>IF(Source!$C270&gt;=COLUMNS($A270:Y270), Source!$G270, "")</f>
        <v/>
      </c>
      <c r="Z270" s="2" t="str">
        <f>IF(Source!$C270&gt;=COLUMNS($A270:Z270), Source!$G270, "")</f>
        <v/>
      </c>
      <c r="AA270" s="2" t="str">
        <f>IF(Source!$C270&gt;=COLUMNS($A270:AA270), Source!$G270, "")</f>
        <v/>
      </c>
      <c r="AB270" s="2" t="str">
        <f>IF(Source!$C270&gt;=COLUMNS($A270:AB270), Source!$G270, "")</f>
        <v/>
      </c>
      <c r="AC270" s="2" t="str">
        <f>IF(Source!$C270&gt;=COLUMNS($A270:AC270), Source!$G270, "")</f>
        <v/>
      </c>
      <c r="AD270" s="2" t="str">
        <f>IF(Source!$C270&gt;=COLUMNS($A270:AD270), Source!$G270, "")</f>
        <v/>
      </c>
      <c r="AE270" s="2" t="str">
        <f>IF(Source!$C270&gt;=COLUMNS($A270:AE270), Source!$G270, "")</f>
        <v/>
      </c>
      <c r="AF270" s="2" t="str">
        <f>IF(Source!$C270&gt;=COLUMNS($A270:AF270), Source!$G270, "")</f>
        <v/>
      </c>
      <c r="AG270" s="2" t="str">
        <f>IF(Source!$C270&gt;=COLUMNS($A270:AG270), Source!$G270, "")</f>
        <v/>
      </c>
      <c r="AH270" s="2" t="str">
        <f>IF(Source!$C270&gt;=COLUMNS($A270:AH270), Source!$G270, "")</f>
        <v/>
      </c>
      <c r="AI270" s="2" t="str">
        <f>IF(Source!$C270&gt;=COLUMNS($A270:AI270), Source!$G270, "")</f>
        <v/>
      </c>
      <c r="AJ270" s="2" t="str">
        <f>IF(Source!$C270&gt;=COLUMNS($A270:AJ270), Source!$G270, "")</f>
        <v/>
      </c>
      <c r="AK270" s="2" t="str">
        <f>IF(Source!$C270&gt;=COLUMNS($A270:AK270), Source!$G270, "")</f>
        <v/>
      </c>
      <c r="AL270" s="2" t="str">
        <f>IF(Source!$C270&gt;=COLUMNS($A270:AL270), Source!$G270, "")</f>
        <v/>
      </c>
      <c r="AM270" s="2" t="str">
        <f>IF(Source!$C270&gt;=COLUMNS($A270:AM270), Source!$G270, "")</f>
        <v/>
      </c>
      <c r="AN270" s="2" t="str">
        <f>IF(Source!$C270&gt;=COLUMNS($A270:AN270), Source!$G270, "")</f>
        <v/>
      </c>
      <c r="AO270" s="2" t="str">
        <f>IF(Source!$C270&gt;=COLUMNS($A270:AO270), Source!$G270, "")</f>
        <v/>
      </c>
      <c r="AP270" s="2" t="str">
        <f>IF(Source!$C270&gt;=COLUMNS($A270:AP270), Source!$G270, "")</f>
        <v/>
      </c>
      <c r="AQ270" s="2" t="str">
        <f>IF(Source!$C270&gt;=COLUMNS($A270:AQ270), Source!$G270, "")</f>
        <v/>
      </c>
      <c r="AR270" s="2" t="str">
        <f>IF(Source!$C270&gt;=COLUMNS($A270:AR270), Source!$G270, "")</f>
        <v/>
      </c>
    </row>
    <row r="271">
      <c r="A271" s="2">
        <f>IF(Source!$C271&gt;=COLUMNS($A271:A271), Source!$G271, "")</f>
        <v>8</v>
      </c>
      <c r="B271" s="2" t="str">
        <f>IF(Source!$C271&gt;=COLUMNS($A271:B271), Source!$G271, "")</f>
        <v/>
      </c>
      <c r="C271" s="2" t="str">
        <f>IF(Source!$C271&gt;=COLUMNS($A271:C271), Source!$G271, "")</f>
        <v/>
      </c>
      <c r="D271" s="2" t="str">
        <f>IF(Source!$C271&gt;=COLUMNS($A271:D271), Source!$G271, "")</f>
        <v/>
      </c>
      <c r="E271" s="2" t="str">
        <f>IF(Source!$C271&gt;=COLUMNS($A271:E271), Source!$G271, "")</f>
        <v/>
      </c>
      <c r="F271" s="2" t="str">
        <f>IF(Source!$C271&gt;=COLUMNS($A271:F271), Source!$G271, "")</f>
        <v/>
      </c>
      <c r="G271" s="2" t="str">
        <f>IF(Source!$C271&gt;=COLUMNS($A271:G271), Source!$G271, "")</f>
        <v/>
      </c>
      <c r="H271" s="2" t="str">
        <f>IF(Source!$C271&gt;=COLUMNS($A271:H271), Source!$G271, "")</f>
        <v/>
      </c>
      <c r="I271" s="2" t="str">
        <f>IF(Source!$C271&gt;=COLUMNS($A271:I271), Source!$G271, "")</f>
        <v/>
      </c>
      <c r="J271" s="2" t="str">
        <f>IF(Source!$C271&gt;=COLUMNS($A271:J271), Source!$G271, "")</f>
        <v/>
      </c>
      <c r="K271" s="2" t="str">
        <f>IF(Source!$C271&gt;=COLUMNS($A271:K271), Source!$G271, "")</f>
        <v/>
      </c>
      <c r="L271" s="2" t="str">
        <f>IF(Source!$C271&gt;=COLUMNS($A271:L271), Source!$G271, "")</f>
        <v/>
      </c>
      <c r="M271" s="2" t="str">
        <f>IF(Source!$C271&gt;=COLUMNS($A271:M271), Source!$G271, "")</f>
        <v/>
      </c>
      <c r="N271" s="2" t="str">
        <f>IF(Source!$C271&gt;=COLUMNS($A271:N271), Source!$G271, "")</f>
        <v/>
      </c>
      <c r="O271" s="2" t="str">
        <f>IF(Source!$C271&gt;=COLUMNS($A271:O271), Source!$G271, "")</f>
        <v/>
      </c>
      <c r="P271" s="2" t="str">
        <f>IF(Source!$C271&gt;=COLUMNS($A271:P271), Source!$G271, "")</f>
        <v/>
      </c>
      <c r="Q271" s="2" t="str">
        <f>IF(Source!$C271&gt;=COLUMNS($A271:Q271), Source!$G271, "")</f>
        <v/>
      </c>
      <c r="R271" s="2" t="str">
        <f>IF(Source!$C271&gt;=COLUMNS($A271:R271), Source!$G271, "")</f>
        <v/>
      </c>
      <c r="S271" s="2" t="str">
        <f>IF(Source!$C271&gt;=COLUMNS($A271:S271), Source!$G271, "")</f>
        <v/>
      </c>
      <c r="T271" s="2" t="str">
        <f>IF(Source!$C271&gt;=COLUMNS($A271:T271), Source!$G271, "")</f>
        <v/>
      </c>
      <c r="U271" s="2" t="str">
        <f>IF(Source!$C271&gt;=COLUMNS($A271:U271), Source!$G271, "")</f>
        <v/>
      </c>
      <c r="V271" s="2" t="str">
        <f>IF(Source!$C271&gt;=COLUMNS($A271:V271), Source!$G271, "")</f>
        <v/>
      </c>
      <c r="W271" s="2" t="str">
        <f>IF(Source!$C271&gt;=COLUMNS($A271:W271), Source!$G271, "")</f>
        <v/>
      </c>
      <c r="X271" s="2" t="str">
        <f>IF(Source!$C271&gt;=COLUMNS($A271:X271), Source!$G271, "")</f>
        <v/>
      </c>
      <c r="Y271" s="2" t="str">
        <f>IF(Source!$C271&gt;=COLUMNS($A271:Y271), Source!$G271, "")</f>
        <v/>
      </c>
      <c r="Z271" s="2" t="str">
        <f>IF(Source!$C271&gt;=COLUMNS($A271:Z271), Source!$G271, "")</f>
        <v/>
      </c>
      <c r="AA271" s="2" t="str">
        <f>IF(Source!$C271&gt;=COLUMNS($A271:AA271), Source!$G271, "")</f>
        <v/>
      </c>
      <c r="AB271" s="2" t="str">
        <f>IF(Source!$C271&gt;=COLUMNS($A271:AB271), Source!$G271, "")</f>
        <v/>
      </c>
      <c r="AC271" s="2" t="str">
        <f>IF(Source!$C271&gt;=COLUMNS($A271:AC271), Source!$G271, "")</f>
        <v/>
      </c>
      <c r="AD271" s="2" t="str">
        <f>IF(Source!$C271&gt;=COLUMNS($A271:AD271), Source!$G271, "")</f>
        <v/>
      </c>
      <c r="AE271" s="2" t="str">
        <f>IF(Source!$C271&gt;=COLUMNS($A271:AE271), Source!$G271, "")</f>
        <v/>
      </c>
      <c r="AF271" s="2" t="str">
        <f>IF(Source!$C271&gt;=COLUMNS($A271:AF271), Source!$G271, "")</f>
        <v/>
      </c>
      <c r="AG271" s="2" t="str">
        <f>IF(Source!$C271&gt;=COLUMNS($A271:AG271), Source!$G271, "")</f>
        <v/>
      </c>
      <c r="AH271" s="2" t="str">
        <f>IF(Source!$C271&gt;=COLUMNS($A271:AH271), Source!$G271, "")</f>
        <v/>
      </c>
      <c r="AI271" s="2" t="str">
        <f>IF(Source!$C271&gt;=COLUMNS($A271:AI271), Source!$G271, "")</f>
        <v/>
      </c>
      <c r="AJ271" s="2" t="str">
        <f>IF(Source!$C271&gt;=COLUMNS($A271:AJ271), Source!$G271, "")</f>
        <v/>
      </c>
      <c r="AK271" s="2" t="str">
        <f>IF(Source!$C271&gt;=COLUMNS($A271:AK271), Source!$G271, "")</f>
        <v/>
      </c>
      <c r="AL271" s="2" t="str">
        <f>IF(Source!$C271&gt;=COLUMNS($A271:AL271), Source!$G271, "")</f>
        <v/>
      </c>
      <c r="AM271" s="2" t="str">
        <f>IF(Source!$C271&gt;=COLUMNS($A271:AM271), Source!$G271, "")</f>
        <v/>
      </c>
      <c r="AN271" s="2" t="str">
        <f>IF(Source!$C271&gt;=COLUMNS($A271:AN271), Source!$G271, "")</f>
        <v/>
      </c>
      <c r="AO271" s="2" t="str">
        <f>IF(Source!$C271&gt;=COLUMNS($A271:AO271), Source!$G271, "")</f>
        <v/>
      </c>
      <c r="AP271" s="2" t="str">
        <f>IF(Source!$C271&gt;=COLUMNS($A271:AP271), Source!$G271, "")</f>
        <v/>
      </c>
      <c r="AQ271" s="2" t="str">
        <f>IF(Source!$C271&gt;=COLUMNS($A271:AQ271), Source!$G271, "")</f>
        <v/>
      </c>
      <c r="AR271" s="2" t="str">
        <f>IF(Source!$C271&gt;=COLUMNS($A271:AR271), Source!$G271, "")</f>
        <v/>
      </c>
    </row>
    <row r="272">
      <c r="A272" s="2">
        <f>IF(Source!$C272&gt;=COLUMNS($A272:A272), Source!$G272, "")</f>
        <v>5</v>
      </c>
      <c r="B272" s="2" t="str">
        <f>IF(Source!$C272&gt;=COLUMNS($A272:B272), Source!$G272, "")</f>
        <v/>
      </c>
      <c r="C272" s="2" t="str">
        <f>IF(Source!$C272&gt;=COLUMNS($A272:C272), Source!$G272, "")</f>
        <v/>
      </c>
      <c r="D272" s="2" t="str">
        <f>IF(Source!$C272&gt;=COLUMNS($A272:D272), Source!$G272, "")</f>
        <v/>
      </c>
      <c r="E272" s="2" t="str">
        <f>IF(Source!$C272&gt;=COLUMNS($A272:E272), Source!$G272, "")</f>
        <v/>
      </c>
      <c r="F272" s="2" t="str">
        <f>IF(Source!$C272&gt;=COLUMNS($A272:F272), Source!$G272, "")</f>
        <v/>
      </c>
      <c r="G272" s="2" t="str">
        <f>IF(Source!$C272&gt;=COLUMNS($A272:G272), Source!$G272, "")</f>
        <v/>
      </c>
      <c r="H272" s="2" t="str">
        <f>IF(Source!$C272&gt;=COLUMNS($A272:H272), Source!$G272, "")</f>
        <v/>
      </c>
      <c r="I272" s="2" t="str">
        <f>IF(Source!$C272&gt;=COLUMNS($A272:I272), Source!$G272, "")</f>
        <v/>
      </c>
      <c r="J272" s="2" t="str">
        <f>IF(Source!$C272&gt;=COLUMNS($A272:J272), Source!$G272, "")</f>
        <v/>
      </c>
      <c r="K272" s="2" t="str">
        <f>IF(Source!$C272&gt;=COLUMNS($A272:K272), Source!$G272, "")</f>
        <v/>
      </c>
      <c r="L272" s="2" t="str">
        <f>IF(Source!$C272&gt;=COLUMNS($A272:L272), Source!$G272, "")</f>
        <v/>
      </c>
      <c r="M272" s="2" t="str">
        <f>IF(Source!$C272&gt;=COLUMNS($A272:M272), Source!$G272, "")</f>
        <v/>
      </c>
      <c r="N272" s="2" t="str">
        <f>IF(Source!$C272&gt;=COLUMNS($A272:N272), Source!$G272, "")</f>
        <v/>
      </c>
      <c r="O272" s="2" t="str">
        <f>IF(Source!$C272&gt;=COLUMNS($A272:O272), Source!$G272, "")</f>
        <v/>
      </c>
      <c r="P272" s="2" t="str">
        <f>IF(Source!$C272&gt;=COLUMNS($A272:P272), Source!$G272, "")</f>
        <v/>
      </c>
      <c r="Q272" s="2" t="str">
        <f>IF(Source!$C272&gt;=COLUMNS($A272:Q272), Source!$G272, "")</f>
        <v/>
      </c>
      <c r="R272" s="2" t="str">
        <f>IF(Source!$C272&gt;=COLUMNS($A272:R272), Source!$G272, "")</f>
        <v/>
      </c>
      <c r="S272" s="2" t="str">
        <f>IF(Source!$C272&gt;=COLUMNS($A272:S272), Source!$G272, "")</f>
        <v/>
      </c>
      <c r="T272" s="2" t="str">
        <f>IF(Source!$C272&gt;=COLUMNS($A272:T272), Source!$G272, "")</f>
        <v/>
      </c>
      <c r="U272" s="2" t="str">
        <f>IF(Source!$C272&gt;=COLUMNS($A272:U272), Source!$G272, "")</f>
        <v/>
      </c>
      <c r="V272" s="2" t="str">
        <f>IF(Source!$C272&gt;=COLUMNS($A272:V272), Source!$G272, "")</f>
        <v/>
      </c>
      <c r="W272" s="2" t="str">
        <f>IF(Source!$C272&gt;=COLUMNS($A272:W272), Source!$G272, "")</f>
        <v/>
      </c>
      <c r="X272" s="2" t="str">
        <f>IF(Source!$C272&gt;=COLUMNS($A272:X272), Source!$G272, "")</f>
        <v/>
      </c>
      <c r="Y272" s="2" t="str">
        <f>IF(Source!$C272&gt;=COLUMNS($A272:Y272), Source!$G272, "")</f>
        <v/>
      </c>
      <c r="Z272" s="2" t="str">
        <f>IF(Source!$C272&gt;=COLUMNS($A272:Z272), Source!$G272, "")</f>
        <v/>
      </c>
      <c r="AA272" s="2" t="str">
        <f>IF(Source!$C272&gt;=COLUMNS($A272:AA272), Source!$G272, "")</f>
        <v/>
      </c>
      <c r="AB272" s="2" t="str">
        <f>IF(Source!$C272&gt;=COLUMNS($A272:AB272), Source!$G272, "")</f>
        <v/>
      </c>
      <c r="AC272" s="2" t="str">
        <f>IF(Source!$C272&gt;=COLUMNS($A272:AC272), Source!$G272, "")</f>
        <v/>
      </c>
      <c r="AD272" s="2" t="str">
        <f>IF(Source!$C272&gt;=COLUMNS($A272:AD272), Source!$G272, "")</f>
        <v/>
      </c>
      <c r="AE272" s="2" t="str">
        <f>IF(Source!$C272&gt;=COLUMNS($A272:AE272), Source!$G272, "")</f>
        <v/>
      </c>
      <c r="AF272" s="2" t="str">
        <f>IF(Source!$C272&gt;=COLUMNS($A272:AF272), Source!$G272, "")</f>
        <v/>
      </c>
      <c r="AG272" s="2" t="str">
        <f>IF(Source!$C272&gt;=COLUMNS($A272:AG272), Source!$G272, "")</f>
        <v/>
      </c>
      <c r="AH272" s="2" t="str">
        <f>IF(Source!$C272&gt;=COLUMNS($A272:AH272), Source!$G272, "")</f>
        <v/>
      </c>
      <c r="AI272" s="2" t="str">
        <f>IF(Source!$C272&gt;=COLUMNS($A272:AI272), Source!$G272, "")</f>
        <v/>
      </c>
      <c r="AJ272" s="2" t="str">
        <f>IF(Source!$C272&gt;=COLUMNS($A272:AJ272), Source!$G272, "")</f>
        <v/>
      </c>
      <c r="AK272" s="2" t="str">
        <f>IF(Source!$C272&gt;=COLUMNS($A272:AK272), Source!$G272, "")</f>
        <v/>
      </c>
      <c r="AL272" s="2" t="str">
        <f>IF(Source!$C272&gt;=COLUMNS($A272:AL272), Source!$G272, "")</f>
        <v/>
      </c>
      <c r="AM272" s="2" t="str">
        <f>IF(Source!$C272&gt;=COLUMNS($A272:AM272), Source!$G272, "")</f>
        <v/>
      </c>
      <c r="AN272" s="2" t="str">
        <f>IF(Source!$C272&gt;=COLUMNS($A272:AN272), Source!$G272, "")</f>
        <v/>
      </c>
      <c r="AO272" s="2" t="str">
        <f>IF(Source!$C272&gt;=COLUMNS($A272:AO272), Source!$G272, "")</f>
        <v/>
      </c>
      <c r="AP272" s="2" t="str">
        <f>IF(Source!$C272&gt;=COLUMNS($A272:AP272), Source!$G272, "")</f>
        <v/>
      </c>
      <c r="AQ272" s="2" t="str">
        <f>IF(Source!$C272&gt;=COLUMNS($A272:AQ272), Source!$G272, "")</f>
        <v/>
      </c>
      <c r="AR272" s="2" t="str">
        <f>IF(Source!$C272&gt;=COLUMNS($A272:AR272), Source!$G272, "")</f>
        <v/>
      </c>
    </row>
    <row r="273">
      <c r="A273" s="2">
        <f>IF(Source!$C273&gt;=COLUMNS($A273:A273), Source!$G273, "")</f>
        <v>2</v>
      </c>
      <c r="B273" s="2">
        <f>IF(Source!$C273&gt;=COLUMNS($A273:B273), Source!$G273, "")</f>
        <v>2</v>
      </c>
      <c r="C273" s="2" t="str">
        <f>IF(Source!$C273&gt;=COLUMNS($A273:C273), Source!$G273, "")</f>
        <v/>
      </c>
      <c r="D273" s="2" t="str">
        <f>IF(Source!$C273&gt;=COLUMNS($A273:D273), Source!$G273, "")</f>
        <v/>
      </c>
      <c r="E273" s="2" t="str">
        <f>IF(Source!$C273&gt;=COLUMNS($A273:E273), Source!$G273, "")</f>
        <v/>
      </c>
      <c r="F273" s="2" t="str">
        <f>IF(Source!$C273&gt;=COLUMNS($A273:F273), Source!$G273, "")</f>
        <v/>
      </c>
      <c r="G273" s="2" t="str">
        <f>IF(Source!$C273&gt;=COLUMNS($A273:G273), Source!$G273, "")</f>
        <v/>
      </c>
      <c r="H273" s="2" t="str">
        <f>IF(Source!$C273&gt;=COLUMNS($A273:H273), Source!$G273, "")</f>
        <v/>
      </c>
      <c r="I273" s="2" t="str">
        <f>IF(Source!$C273&gt;=COLUMNS($A273:I273), Source!$G273, "")</f>
        <v/>
      </c>
      <c r="J273" s="2" t="str">
        <f>IF(Source!$C273&gt;=COLUMNS($A273:J273), Source!$G273, "")</f>
        <v/>
      </c>
      <c r="K273" s="2" t="str">
        <f>IF(Source!$C273&gt;=COLUMNS($A273:K273), Source!$G273, "")</f>
        <v/>
      </c>
      <c r="L273" s="2" t="str">
        <f>IF(Source!$C273&gt;=COLUMNS($A273:L273), Source!$G273, "")</f>
        <v/>
      </c>
      <c r="M273" s="2" t="str">
        <f>IF(Source!$C273&gt;=COLUMNS($A273:M273), Source!$G273, "")</f>
        <v/>
      </c>
      <c r="N273" s="2" t="str">
        <f>IF(Source!$C273&gt;=COLUMNS($A273:N273), Source!$G273, "")</f>
        <v/>
      </c>
      <c r="O273" s="2" t="str">
        <f>IF(Source!$C273&gt;=COLUMNS($A273:O273), Source!$G273, "")</f>
        <v/>
      </c>
      <c r="P273" s="2" t="str">
        <f>IF(Source!$C273&gt;=COLUMNS($A273:P273), Source!$G273, "")</f>
        <v/>
      </c>
      <c r="Q273" s="2" t="str">
        <f>IF(Source!$C273&gt;=COLUMNS($A273:Q273), Source!$G273, "")</f>
        <v/>
      </c>
      <c r="R273" s="2" t="str">
        <f>IF(Source!$C273&gt;=COLUMNS($A273:R273), Source!$G273, "")</f>
        <v/>
      </c>
      <c r="S273" s="2" t="str">
        <f>IF(Source!$C273&gt;=COLUMNS($A273:S273), Source!$G273, "")</f>
        <v/>
      </c>
      <c r="T273" s="2" t="str">
        <f>IF(Source!$C273&gt;=COLUMNS($A273:T273), Source!$G273, "")</f>
        <v/>
      </c>
      <c r="U273" s="2" t="str">
        <f>IF(Source!$C273&gt;=COLUMNS($A273:U273), Source!$G273, "")</f>
        <v/>
      </c>
      <c r="V273" s="2" t="str">
        <f>IF(Source!$C273&gt;=COLUMNS($A273:V273), Source!$G273, "")</f>
        <v/>
      </c>
      <c r="W273" s="2" t="str">
        <f>IF(Source!$C273&gt;=COLUMNS($A273:W273), Source!$G273, "")</f>
        <v/>
      </c>
      <c r="X273" s="2" t="str">
        <f>IF(Source!$C273&gt;=COLUMNS($A273:X273), Source!$G273, "")</f>
        <v/>
      </c>
      <c r="Y273" s="2" t="str">
        <f>IF(Source!$C273&gt;=COLUMNS($A273:Y273), Source!$G273, "")</f>
        <v/>
      </c>
      <c r="Z273" s="2" t="str">
        <f>IF(Source!$C273&gt;=COLUMNS($A273:Z273), Source!$G273, "")</f>
        <v/>
      </c>
      <c r="AA273" s="2" t="str">
        <f>IF(Source!$C273&gt;=COLUMNS($A273:AA273), Source!$G273, "")</f>
        <v/>
      </c>
      <c r="AB273" s="2" t="str">
        <f>IF(Source!$C273&gt;=COLUMNS($A273:AB273), Source!$G273, "")</f>
        <v/>
      </c>
      <c r="AC273" s="2" t="str">
        <f>IF(Source!$C273&gt;=COLUMNS($A273:AC273), Source!$G273, "")</f>
        <v/>
      </c>
      <c r="AD273" s="2" t="str">
        <f>IF(Source!$C273&gt;=COLUMNS($A273:AD273), Source!$G273, "")</f>
        <v/>
      </c>
      <c r="AE273" s="2" t="str">
        <f>IF(Source!$C273&gt;=COLUMNS($A273:AE273), Source!$G273, "")</f>
        <v/>
      </c>
      <c r="AF273" s="2" t="str">
        <f>IF(Source!$C273&gt;=COLUMNS($A273:AF273), Source!$G273, "")</f>
        <v/>
      </c>
      <c r="AG273" s="2" t="str">
        <f>IF(Source!$C273&gt;=COLUMNS($A273:AG273), Source!$G273, "")</f>
        <v/>
      </c>
      <c r="AH273" s="2" t="str">
        <f>IF(Source!$C273&gt;=COLUMNS($A273:AH273), Source!$G273, "")</f>
        <v/>
      </c>
      <c r="AI273" s="2" t="str">
        <f>IF(Source!$C273&gt;=COLUMNS($A273:AI273), Source!$G273, "")</f>
        <v/>
      </c>
      <c r="AJ273" s="2" t="str">
        <f>IF(Source!$C273&gt;=COLUMNS($A273:AJ273), Source!$G273, "")</f>
        <v/>
      </c>
      <c r="AK273" s="2" t="str">
        <f>IF(Source!$C273&gt;=COLUMNS($A273:AK273), Source!$G273, "")</f>
        <v/>
      </c>
      <c r="AL273" s="2" t="str">
        <f>IF(Source!$C273&gt;=COLUMNS($A273:AL273), Source!$G273, "")</f>
        <v/>
      </c>
      <c r="AM273" s="2" t="str">
        <f>IF(Source!$C273&gt;=COLUMNS($A273:AM273), Source!$G273, "")</f>
        <v/>
      </c>
      <c r="AN273" s="2" t="str">
        <f>IF(Source!$C273&gt;=COLUMNS($A273:AN273), Source!$G273, "")</f>
        <v/>
      </c>
      <c r="AO273" s="2" t="str">
        <f>IF(Source!$C273&gt;=COLUMNS($A273:AO273), Source!$G273, "")</f>
        <v/>
      </c>
      <c r="AP273" s="2" t="str">
        <f>IF(Source!$C273&gt;=COLUMNS($A273:AP273), Source!$G273, "")</f>
        <v/>
      </c>
      <c r="AQ273" s="2" t="str">
        <f>IF(Source!$C273&gt;=COLUMNS($A273:AQ273), Source!$G273, "")</f>
        <v/>
      </c>
      <c r="AR273" s="2" t="str">
        <f>IF(Source!$C273&gt;=COLUMNS($A273:AR273), Source!$G273, "")</f>
        <v/>
      </c>
    </row>
    <row r="274">
      <c r="A274" s="2">
        <f>IF(Source!$C274&gt;=COLUMNS($A274:A274), Source!$G274, "")</f>
        <v>7</v>
      </c>
      <c r="B274" s="2">
        <f>IF(Source!$C274&gt;=COLUMNS($A274:B274), Source!$G274, "")</f>
        <v>7</v>
      </c>
      <c r="C274" s="2">
        <f>IF(Source!$C274&gt;=COLUMNS($A274:C274), Source!$G274, "")</f>
        <v>7</v>
      </c>
      <c r="D274" s="2">
        <f>IF(Source!$C274&gt;=COLUMNS($A274:D274), Source!$G274, "")</f>
        <v>7</v>
      </c>
      <c r="E274" s="2">
        <f>IF(Source!$C274&gt;=COLUMNS($A274:E274), Source!$G274, "")</f>
        <v>7</v>
      </c>
      <c r="F274" s="2">
        <f>IF(Source!$C274&gt;=COLUMNS($A274:F274), Source!$G274, "")</f>
        <v>7</v>
      </c>
      <c r="G274" s="2">
        <f>IF(Source!$C274&gt;=COLUMNS($A274:G274), Source!$G274, "")</f>
        <v>7</v>
      </c>
      <c r="H274" s="2">
        <f>IF(Source!$C274&gt;=COLUMNS($A274:H274), Source!$G274, "")</f>
        <v>7</v>
      </c>
      <c r="I274" s="2" t="str">
        <f>IF(Source!$C274&gt;=COLUMNS($A274:I274), Source!$G274, "")</f>
        <v/>
      </c>
      <c r="J274" s="2" t="str">
        <f>IF(Source!$C274&gt;=COLUMNS($A274:J274), Source!$G274, "")</f>
        <v/>
      </c>
      <c r="K274" s="2" t="str">
        <f>IF(Source!$C274&gt;=COLUMNS($A274:K274), Source!$G274, "")</f>
        <v/>
      </c>
      <c r="L274" s="2" t="str">
        <f>IF(Source!$C274&gt;=COLUMNS($A274:L274), Source!$G274, "")</f>
        <v/>
      </c>
      <c r="M274" s="2" t="str">
        <f>IF(Source!$C274&gt;=COLUMNS($A274:M274), Source!$G274, "")</f>
        <v/>
      </c>
      <c r="N274" s="2" t="str">
        <f>IF(Source!$C274&gt;=COLUMNS($A274:N274), Source!$G274, "")</f>
        <v/>
      </c>
      <c r="O274" s="2" t="str">
        <f>IF(Source!$C274&gt;=COLUMNS($A274:O274), Source!$G274, "")</f>
        <v/>
      </c>
      <c r="P274" s="2" t="str">
        <f>IF(Source!$C274&gt;=COLUMNS($A274:P274), Source!$G274, "")</f>
        <v/>
      </c>
      <c r="Q274" s="2" t="str">
        <f>IF(Source!$C274&gt;=COLUMNS($A274:Q274), Source!$G274, "")</f>
        <v/>
      </c>
      <c r="R274" s="2" t="str">
        <f>IF(Source!$C274&gt;=COLUMNS($A274:R274), Source!$G274, "")</f>
        <v/>
      </c>
      <c r="S274" s="2" t="str">
        <f>IF(Source!$C274&gt;=COLUMNS($A274:S274), Source!$G274, "")</f>
        <v/>
      </c>
      <c r="T274" s="2" t="str">
        <f>IF(Source!$C274&gt;=COLUMNS($A274:T274), Source!$G274, "")</f>
        <v/>
      </c>
      <c r="U274" s="2" t="str">
        <f>IF(Source!$C274&gt;=COLUMNS($A274:U274), Source!$G274, "")</f>
        <v/>
      </c>
      <c r="V274" s="2" t="str">
        <f>IF(Source!$C274&gt;=COLUMNS($A274:V274), Source!$G274, "")</f>
        <v/>
      </c>
      <c r="W274" s="2" t="str">
        <f>IF(Source!$C274&gt;=COLUMNS($A274:W274), Source!$G274, "")</f>
        <v/>
      </c>
      <c r="X274" s="2" t="str">
        <f>IF(Source!$C274&gt;=COLUMNS($A274:X274), Source!$G274, "")</f>
        <v/>
      </c>
      <c r="Y274" s="2" t="str">
        <f>IF(Source!$C274&gt;=COLUMNS($A274:Y274), Source!$G274, "")</f>
        <v/>
      </c>
      <c r="Z274" s="2" t="str">
        <f>IF(Source!$C274&gt;=COLUMNS($A274:Z274), Source!$G274, "")</f>
        <v/>
      </c>
      <c r="AA274" s="2" t="str">
        <f>IF(Source!$C274&gt;=COLUMNS($A274:AA274), Source!$G274, "")</f>
        <v/>
      </c>
      <c r="AB274" s="2" t="str">
        <f>IF(Source!$C274&gt;=COLUMNS($A274:AB274), Source!$G274, "")</f>
        <v/>
      </c>
      <c r="AC274" s="2" t="str">
        <f>IF(Source!$C274&gt;=COLUMNS($A274:AC274), Source!$G274, "")</f>
        <v/>
      </c>
      <c r="AD274" s="2" t="str">
        <f>IF(Source!$C274&gt;=COLUMNS($A274:AD274), Source!$G274, "")</f>
        <v/>
      </c>
      <c r="AE274" s="2" t="str">
        <f>IF(Source!$C274&gt;=COLUMNS($A274:AE274), Source!$G274, "")</f>
        <v/>
      </c>
      <c r="AF274" s="2" t="str">
        <f>IF(Source!$C274&gt;=COLUMNS($A274:AF274), Source!$G274, "")</f>
        <v/>
      </c>
      <c r="AG274" s="2" t="str">
        <f>IF(Source!$C274&gt;=COLUMNS($A274:AG274), Source!$G274, "")</f>
        <v/>
      </c>
      <c r="AH274" s="2" t="str">
        <f>IF(Source!$C274&gt;=COLUMNS($A274:AH274), Source!$G274, "")</f>
        <v/>
      </c>
      <c r="AI274" s="2" t="str">
        <f>IF(Source!$C274&gt;=COLUMNS($A274:AI274), Source!$G274, "")</f>
        <v/>
      </c>
      <c r="AJ274" s="2" t="str">
        <f>IF(Source!$C274&gt;=COLUMNS($A274:AJ274), Source!$G274, "")</f>
        <v/>
      </c>
      <c r="AK274" s="2" t="str">
        <f>IF(Source!$C274&gt;=COLUMNS($A274:AK274), Source!$G274, "")</f>
        <v/>
      </c>
      <c r="AL274" s="2" t="str">
        <f>IF(Source!$C274&gt;=COLUMNS($A274:AL274), Source!$G274, "")</f>
        <v/>
      </c>
      <c r="AM274" s="2" t="str">
        <f>IF(Source!$C274&gt;=COLUMNS($A274:AM274), Source!$G274, "")</f>
        <v/>
      </c>
      <c r="AN274" s="2" t="str">
        <f>IF(Source!$C274&gt;=COLUMNS($A274:AN274), Source!$G274, "")</f>
        <v/>
      </c>
      <c r="AO274" s="2" t="str">
        <f>IF(Source!$C274&gt;=COLUMNS($A274:AO274), Source!$G274, "")</f>
        <v/>
      </c>
      <c r="AP274" s="2" t="str">
        <f>IF(Source!$C274&gt;=COLUMNS($A274:AP274), Source!$G274, "")</f>
        <v/>
      </c>
      <c r="AQ274" s="2" t="str">
        <f>IF(Source!$C274&gt;=COLUMNS($A274:AQ274), Source!$G274, "")</f>
        <v/>
      </c>
      <c r="AR274" s="2" t="str">
        <f>IF(Source!$C274&gt;=COLUMNS($A274:AR274), Source!$G274, "")</f>
        <v/>
      </c>
    </row>
    <row r="275">
      <c r="A275" s="2">
        <f>IF(Source!$C275&gt;=COLUMNS($A275:A275), Source!$G275, "")</f>
        <v>7</v>
      </c>
      <c r="B275" s="2" t="str">
        <f>IF(Source!$C275&gt;=COLUMNS($A275:B275), Source!$G275, "")</f>
        <v/>
      </c>
      <c r="C275" s="2" t="str">
        <f>IF(Source!$C275&gt;=COLUMNS($A275:C275), Source!$G275, "")</f>
        <v/>
      </c>
      <c r="D275" s="2" t="str">
        <f>IF(Source!$C275&gt;=COLUMNS($A275:D275), Source!$G275, "")</f>
        <v/>
      </c>
      <c r="E275" s="2" t="str">
        <f>IF(Source!$C275&gt;=COLUMNS($A275:E275), Source!$G275, "")</f>
        <v/>
      </c>
      <c r="F275" s="2" t="str">
        <f>IF(Source!$C275&gt;=COLUMNS($A275:F275), Source!$G275, "")</f>
        <v/>
      </c>
      <c r="G275" s="2" t="str">
        <f>IF(Source!$C275&gt;=COLUMNS($A275:G275), Source!$G275, "")</f>
        <v/>
      </c>
      <c r="H275" s="2" t="str">
        <f>IF(Source!$C275&gt;=COLUMNS($A275:H275), Source!$G275, "")</f>
        <v/>
      </c>
      <c r="I275" s="2" t="str">
        <f>IF(Source!$C275&gt;=COLUMNS($A275:I275), Source!$G275, "")</f>
        <v/>
      </c>
      <c r="J275" s="2" t="str">
        <f>IF(Source!$C275&gt;=COLUMNS($A275:J275), Source!$G275, "")</f>
        <v/>
      </c>
      <c r="K275" s="2" t="str">
        <f>IF(Source!$C275&gt;=COLUMNS($A275:K275), Source!$G275, "")</f>
        <v/>
      </c>
      <c r="L275" s="2" t="str">
        <f>IF(Source!$C275&gt;=COLUMNS($A275:L275), Source!$G275, "")</f>
        <v/>
      </c>
      <c r="M275" s="2" t="str">
        <f>IF(Source!$C275&gt;=COLUMNS($A275:M275), Source!$G275, "")</f>
        <v/>
      </c>
      <c r="N275" s="2" t="str">
        <f>IF(Source!$C275&gt;=COLUMNS($A275:N275), Source!$G275, "")</f>
        <v/>
      </c>
      <c r="O275" s="2" t="str">
        <f>IF(Source!$C275&gt;=COLUMNS($A275:O275), Source!$G275, "")</f>
        <v/>
      </c>
      <c r="P275" s="2" t="str">
        <f>IF(Source!$C275&gt;=COLUMNS($A275:P275), Source!$G275, "")</f>
        <v/>
      </c>
      <c r="Q275" s="2" t="str">
        <f>IF(Source!$C275&gt;=COLUMNS($A275:Q275), Source!$G275, "")</f>
        <v/>
      </c>
      <c r="R275" s="2" t="str">
        <f>IF(Source!$C275&gt;=COLUMNS($A275:R275), Source!$G275, "")</f>
        <v/>
      </c>
      <c r="S275" s="2" t="str">
        <f>IF(Source!$C275&gt;=COLUMNS($A275:S275), Source!$G275, "")</f>
        <v/>
      </c>
      <c r="T275" s="2" t="str">
        <f>IF(Source!$C275&gt;=COLUMNS($A275:T275), Source!$G275, "")</f>
        <v/>
      </c>
      <c r="U275" s="2" t="str">
        <f>IF(Source!$C275&gt;=COLUMNS($A275:U275), Source!$G275, "")</f>
        <v/>
      </c>
      <c r="V275" s="2" t="str">
        <f>IF(Source!$C275&gt;=COLUMNS($A275:V275), Source!$G275, "")</f>
        <v/>
      </c>
      <c r="W275" s="2" t="str">
        <f>IF(Source!$C275&gt;=COLUMNS($A275:W275), Source!$G275, "")</f>
        <v/>
      </c>
      <c r="X275" s="2" t="str">
        <f>IF(Source!$C275&gt;=COLUMNS($A275:X275), Source!$G275, "")</f>
        <v/>
      </c>
      <c r="Y275" s="2" t="str">
        <f>IF(Source!$C275&gt;=COLUMNS($A275:Y275), Source!$G275, "")</f>
        <v/>
      </c>
      <c r="Z275" s="2" t="str">
        <f>IF(Source!$C275&gt;=COLUMNS($A275:Z275), Source!$G275, "")</f>
        <v/>
      </c>
      <c r="AA275" s="2" t="str">
        <f>IF(Source!$C275&gt;=COLUMNS($A275:AA275), Source!$G275, "")</f>
        <v/>
      </c>
      <c r="AB275" s="2" t="str">
        <f>IF(Source!$C275&gt;=COLUMNS($A275:AB275), Source!$G275, "")</f>
        <v/>
      </c>
      <c r="AC275" s="2" t="str">
        <f>IF(Source!$C275&gt;=COLUMNS($A275:AC275), Source!$G275, "")</f>
        <v/>
      </c>
      <c r="AD275" s="2" t="str">
        <f>IF(Source!$C275&gt;=COLUMNS($A275:AD275), Source!$G275, "")</f>
        <v/>
      </c>
      <c r="AE275" s="2" t="str">
        <f>IF(Source!$C275&gt;=COLUMNS($A275:AE275), Source!$G275, "")</f>
        <v/>
      </c>
      <c r="AF275" s="2" t="str">
        <f>IF(Source!$C275&gt;=COLUMNS($A275:AF275), Source!$G275, "")</f>
        <v/>
      </c>
      <c r="AG275" s="2" t="str">
        <f>IF(Source!$C275&gt;=COLUMNS($A275:AG275), Source!$G275, "")</f>
        <v/>
      </c>
      <c r="AH275" s="2" t="str">
        <f>IF(Source!$C275&gt;=COLUMNS($A275:AH275), Source!$G275, "")</f>
        <v/>
      </c>
      <c r="AI275" s="2" t="str">
        <f>IF(Source!$C275&gt;=COLUMNS($A275:AI275), Source!$G275, "")</f>
        <v/>
      </c>
      <c r="AJ275" s="2" t="str">
        <f>IF(Source!$C275&gt;=COLUMNS($A275:AJ275), Source!$G275, "")</f>
        <v/>
      </c>
      <c r="AK275" s="2" t="str">
        <f>IF(Source!$C275&gt;=COLUMNS($A275:AK275), Source!$G275, "")</f>
        <v/>
      </c>
      <c r="AL275" s="2" t="str">
        <f>IF(Source!$C275&gt;=COLUMNS($A275:AL275), Source!$G275, "")</f>
        <v/>
      </c>
      <c r="AM275" s="2" t="str">
        <f>IF(Source!$C275&gt;=COLUMNS($A275:AM275), Source!$G275, "")</f>
        <v/>
      </c>
      <c r="AN275" s="2" t="str">
        <f>IF(Source!$C275&gt;=COLUMNS($A275:AN275), Source!$G275, "")</f>
        <v/>
      </c>
      <c r="AO275" s="2" t="str">
        <f>IF(Source!$C275&gt;=COLUMNS($A275:AO275), Source!$G275, "")</f>
        <v/>
      </c>
      <c r="AP275" s="2" t="str">
        <f>IF(Source!$C275&gt;=COLUMNS($A275:AP275), Source!$G275, "")</f>
        <v/>
      </c>
      <c r="AQ275" s="2" t="str">
        <f>IF(Source!$C275&gt;=COLUMNS($A275:AQ275), Source!$G275, "")</f>
        <v/>
      </c>
      <c r="AR275" s="2" t="str">
        <f>IF(Source!$C275&gt;=COLUMNS($A275:AR275), Source!$G275, "")</f>
        <v/>
      </c>
    </row>
    <row r="276">
      <c r="A276" s="2">
        <f>IF(Source!$C276&gt;=COLUMNS($A276:A276), Source!$G276, "")</f>
        <v>4</v>
      </c>
      <c r="B276" s="2" t="str">
        <f>IF(Source!$C276&gt;=COLUMNS($A276:B276), Source!$G276, "")</f>
        <v/>
      </c>
      <c r="C276" s="2" t="str">
        <f>IF(Source!$C276&gt;=COLUMNS($A276:C276), Source!$G276, "")</f>
        <v/>
      </c>
      <c r="D276" s="2" t="str">
        <f>IF(Source!$C276&gt;=COLUMNS($A276:D276), Source!$G276, "")</f>
        <v/>
      </c>
      <c r="E276" s="2" t="str">
        <f>IF(Source!$C276&gt;=COLUMNS($A276:E276), Source!$G276, "")</f>
        <v/>
      </c>
      <c r="F276" s="2" t="str">
        <f>IF(Source!$C276&gt;=COLUMNS($A276:F276), Source!$G276, "")</f>
        <v/>
      </c>
      <c r="G276" s="2" t="str">
        <f>IF(Source!$C276&gt;=COLUMNS($A276:G276), Source!$G276, "")</f>
        <v/>
      </c>
      <c r="H276" s="2" t="str">
        <f>IF(Source!$C276&gt;=COLUMNS($A276:H276), Source!$G276, "")</f>
        <v/>
      </c>
      <c r="I276" s="2" t="str">
        <f>IF(Source!$C276&gt;=COLUMNS($A276:I276), Source!$G276, "")</f>
        <v/>
      </c>
      <c r="J276" s="2" t="str">
        <f>IF(Source!$C276&gt;=COLUMNS($A276:J276), Source!$G276, "")</f>
        <v/>
      </c>
      <c r="K276" s="2" t="str">
        <f>IF(Source!$C276&gt;=COLUMNS($A276:K276), Source!$G276, "")</f>
        <v/>
      </c>
      <c r="L276" s="2" t="str">
        <f>IF(Source!$C276&gt;=COLUMNS($A276:L276), Source!$G276, "")</f>
        <v/>
      </c>
      <c r="M276" s="2" t="str">
        <f>IF(Source!$C276&gt;=COLUMNS($A276:M276), Source!$G276, "")</f>
        <v/>
      </c>
      <c r="N276" s="2" t="str">
        <f>IF(Source!$C276&gt;=COLUMNS($A276:N276), Source!$G276, "")</f>
        <v/>
      </c>
      <c r="O276" s="2" t="str">
        <f>IF(Source!$C276&gt;=COLUMNS($A276:O276), Source!$G276, "")</f>
        <v/>
      </c>
      <c r="P276" s="2" t="str">
        <f>IF(Source!$C276&gt;=COLUMNS($A276:P276), Source!$G276, "")</f>
        <v/>
      </c>
      <c r="Q276" s="2" t="str">
        <f>IF(Source!$C276&gt;=COLUMNS($A276:Q276), Source!$G276, "")</f>
        <v/>
      </c>
      <c r="R276" s="2" t="str">
        <f>IF(Source!$C276&gt;=COLUMNS($A276:R276), Source!$G276, "")</f>
        <v/>
      </c>
      <c r="S276" s="2" t="str">
        <f>IF(Source!$C276&gt;=COLUMNS($A276:S276), Source!$G276, "")</f>
        <v/>
      </c>
      <c r="T276" s="2" t="str">
        <f>IF(Source!$C276&gt;=COLUMNS($A276:T276), Source!$G276, "")</f>
        <v/>
      </c>
      <c r="U276" s="2" t="str">
        <f>IF(Source!$C276&gt;=COLUMNS($A276:U276), Source!$G276, "")</f>
        <v/>
      </c>
      <c r="V276" s="2" t="str">
        <f>IF(Source!$C276&gt;=COLUMNS($A276:V276), Source!$G276, "")</f>
        <v/>
      </c>
      <c r="W276" s="2" t="str">
        <f>IF(Source!$C276&gt;=COLUMNS($A276:W276), Source!$G276, "")</f>
        <v/>
      </c>
      <c r="X276" s="2" t="str">
        <f>IF(Source!$C276&gt;=COLUMNS($A276:X276), Source!$G276, "")</f>
        <v/>
      </c>
      <c r="Y276" s="2" t="str">
        <f>IF(Source!$C276&gt;=COLUMNS($A276:Y276), Source!$G276, "")</f>
        <v/>
      </c>
      <c r="Z276" s="2" t="str">
        <f>IF(Source!$C276&gt;=COLUMNS($A276:Z276), Source!$G276, "")</f>
        <v/>
      </c>
      <c r="AA276" s="2" t="str">
        <f>IF(Source!$C276&gt;=COLUMNS($A276:AA276), Source!$G276, "")</f>
        <v/>
      </c>
      <c r="AB276" s="2" t="str">
        <f>IF(Source!$C276&gt;=COLUMNS($A276:AB276), Source!$G276, "")</f>
        <v/>
      </c>
      <c r="AC276" s="2" t="str">
        <f>IF(Source!$C276&gt;=COLUMNS($A276:AC276), Source!$G276, "")</f>
        <v/>
      </c>
      <c r="AD276" s="2" t="str">
        <f>IF(Source!$C276&gt;=COLUMNS($A276:AD276), Source!$G276, "")</f>
        <v/>
      </c>
      <c r="AE276" s="2" t="str">
        <f>IF(Source!$C276&gt;=COLUMNS($A276:AE276), Source!$G276, "")</f>
        <v/>
      </c>
      <c r="AF276" s="2" t="str">
        <f>IF(Source!$C276&gt;=COLUMNS($A276:AF276), Source!$G276, "")</f>
        <v/>
      </c>
      <c r="AG276" s="2" t="str">
        <f>IF(Source!$C276&gt;=COLUMNS($A276:AG276), Source!$G276, "")</f>
        <v/>
      </c>
      <c r="AH276" s="2" t="str">
        <f>IF(Source!$C276&gt;=COLUMNS($A276:AH276), Source!$G276, "")</f>
        <v/>
      </c>
      <c r="AI276" s="2" t="str">
        <f>IF(Source!$C276&gt;=COLUMNS($A276:AI276), Source!$G276, "")</f>
        <v/>
      </c>
      <c r="AJ276" s="2" t="str">
        <f>IF(Source!$C276&gt;=COLUMNS($A276:AJ276), Source!$G276, "")</f>
        <v/>
      </c>
      <c r="AK276" s="2" t="str">
        <f>IF(Source!$C276&gt;=COLUMNS($A276:AK276), Source!$G276, "")</f>
        <v/>
      </c>
      <c r="AL276" s="2" t="str">
        <f>IF(Source!$C276&gt;=COLUMNS($A276:AL276), Source!$G276, "")</f>
        <v/>
      </c>
      <c r="AM276" s="2" t="str">
        <f>IF(Source!$C276&gt;=COLUMNS($A276:AM276), Source!$G276, "")</f>
        <v/>
      </c>
      <c r="AN276" s="2" t="str">
        <f>IF(Source!$C276&gt;=COLUMNS($A276:AN276), Source!$G276, "")</f>
        <v/>
      </c>
      <c r="AO276" s="2" t="str">
        <f>IF(Source!$C276&gt;=COLUMNS($A276:AO276), Source!$G276, "")</f>
        <v/>
      </c>
      <c r="AP276" s="2" t="str">
        <f>IF(Source!$C276&gt;=COLUMNS($A276:AP276), Source!$G276, "")</f>
        <v/>
      </c>
      <c r="AQ276" s="2" t="str">
        <f>IF(Source!$C276&gt;=COLUMNS($A276:AQ276), Source!$G276, "")</f>
        <v/>
      </c>
      <c r="AR276" s="2" t="str">
        <f>IF(Source!$C276&gt;=COLUMNS($A276:AR276), Source!$G276, "")</f>
        <v/>
      </c>
    </row>
    <row r="277">
      <c r="A277" s="2">
        <f>IF(Source!$C277&gt;=COLUMNS($A277:A277), Source!$G277, "")</f>
        <v>5</v>
      </c>
      <c r="B277" s="2">
        <f>IF(Source!$C277&gt;=COLUMNS($A277:B277), Source!$G277, "")</f>
        <v>5</v>
      </c>
      <c r="C277" s="2">
        <f>IF(Source!$C277&gt;=COLUMNS($A277:C277), Source!$G277, "")</f>
        <v>5</v>
      </c>
      <c r="D277" s="2">
        <f>IF(Source!$C277&gt;=COLUMNS($A277:D277), Source!$G277, "")</f>
        <v>5</v>
      </c>
      <c r="E277" s="2">
        <f>IF(Source!$C277&gt;=COLUMNS($A277:E277), Source!$G277, "")</f>
        <v>5</v>
      </c>
      <c r="F277" s="2">
        <f>IF(Source!$C277&gt;=COLUMNS($A277:F277), Source!$G277, "")</f>
        <v>5</v>
      </c>
      <c r="G277" s="2">
        <f>IF(Source!$C277&gt;=COLUMNS($A277:G277), Source!$G277, "")</f>
        <v>5</v>
      </c>
      <c r="H277" s="2">
        <f>IF(Source!$C277&gt;=COLUMNS($A277:H277), Source!$G277, "")</f>
        <v>5</v>
      </c>
      <c r="I277" s="2">
        <f>IF(Source!$C277&gt;=COLUMNS($A277:I277), Source!$G277, "")</f>
        <v>5</v>
      </c>
      <c r="J277" s="2" t="str">
        <f>IF(Source!$C277&gt;=COLUMNS($A277:J277), Source!$G277, "")</f>
        <v/>
      </c>
      <c r="K277" s="2" t="str">
        <f>IF(Source!$C277&gt;=COLUMNS($A277:K277), Source!$G277, "")</f>
        <v/>
      </c>
      <c r="L277" s="2" t="str">
        <f>IF(Source!$C277&gt;=COLUMNS($A277:L277), Source!$G277, "")</f>
        <v/>
      </c>
      <c r="M277" s="2" t="str">
        <f>IF(Source!$C277&gt;=COLUMNS($A277:M277), Source!$G277, "")</f>
        <v/>
      </c>
      <c r="N277" s="2" t="str">
        <f>IF(Source!$C277&gt;=COLUMNS($A277:N277), Source!$G277, "")</f>
        <v/>
      </c>
      <c r="O277" s="2" t="str">
        <f>IF(Source!$C277&gt;=COLUMNS($A277:O277), Source!$G277, "")</f>
        <v/>
      </c>
      <c r="P277" s="2" t="str">
        <f>IF(Source!$C277&gt;=COLUMNS($A277:P277), Source!$G277, "")</f>
        <v/>
      </c>
      <c r="Q277" s="2" t="str">
        <f>IF(Source!$C277&gt;=COLUMNS($A277:Q277), Source!$G277, "")</f>
        <v/>
      </c>
      <c r="R277" s="2" t="str">
        <f>IF(Source!$C277&gt;=COLUMNS($A277:R277), Source!$G277, "")</f>
        <v/>
      </c>
      <c r="S277" s="2" t="str">
        <f>IF(Source!$C277&gt;=COLUMNS($A277:S277), Source!$G277, "")</f>
        <v/>
      </c>
      <c r="T277" s="2" t="str">
        <f>IF(Source!$C277&gt;=COLUMNS($A277:T277), Source!$G277, "")</f>
        <v/>
      </c>
      <c r="U277" s="2" t="str">
        <f>IF(Source!$C277&gt;=COLUMNS($A277:U277), Source!$G277, "")</f>
        <v/>
      </c>
      <c r="V277" s="2" t="str">
        <f>IF(Source!$C277&gt;=COLUMNS($A277:V277), Source!$G277, "")</f>
        <v/>
      </c>
      <c r="W277" s="2" t="str">
        <f>IF(Source!$C277&gt;=COLUMNS($A277:W277), Source!$G277, "")</f>
        <v/>
      </c>
      <c r="X277" s="2" t="str">
        <f>IF(Source!$C277&gt;=COLUMNS($A277:X277), Source!$G277, "")</f>
        <v/>
      </c>
      <c r="Y277" s="2" t="str">
        <f>IF(Source!$C277&gt;=COLUMNS($A277:Y277), Source!$G277, "")</f>
        <v/>
      </c>
      <c r="Z277" s="2" t="str">
        <f>IF(Source!$C277&gt;=COLUMNS($A277:Z277), Source!$G277, "")</f>
        <v/>
      </c>
      <c r="AA277" s="2" t="str">
        <f>IF(Source!$C277&gt;=COLUMNS($A277:AA277), Source!$G277, "")</f>
        <v/>
      </c>
      <c r="AB277" s="2" t="str">
        <f>IF(Source!$C277&gt;=COLUMNS($A277:AB277), Source!$G277, "")</f>
        <v/>
      </c>
      <c r="AC277" s="2" t="str">
        <f>IF(Source!$C277&gt;=COLUMNS($A277:AC277), Source!$G277, "")</f>
        <v/>
      </c>
      <c r="AD277" s="2" t="str">
        <f>IF(Source!$C277&gt;=COLUMNS($A277:AD277), Source!$G277, "")</f>
        <v/>
      </c>
      <c r="AE277" s="2" t="str">
        <f>IF(Source!$C277&gt;=COLUMNS($A277:AE277), Source!$G277, "")</f>
        <v/>
      </c>
      <c r="AF277" s="2" t="str">
        <f>IF(Source!$C277&gt;=COLUMNS($A277:AF277), Source!$G277, "")</f>
        <v/>
      </c>
      <c r="AG277" s="2" t="str">
        <f>IF(Source!$C277&gt;=COLUMNS($A277:AG277), Source!$G277, "")</f>
        <v/>
      </c>
      <c r="AH277" s="2" t="str">
        <f>IF(Source!$C277&gt;=COLUMNS($A277:AH277), Source!$G277, "")</f>
        <v/>
      </c>
      <c r="AI277" s="2" t="str">
        <f>IF(Source!$C277&gt;=COLUMNS($A277:AI277), Source!$G277, "")</f>
        <v/>
      </c>
      <c r="AJ277" s="2" t="str">
        <f>IF(Source!$C277&gt;=COLUMNS($A277:AJ277), Source!$G277, "")</f>
        <v/>
      </c>
      <c r="AK277" s="2" t="str">
        <f>IF(Source!$C277&gt;=COLUMNS($A277:AK277), Source!$G277, "")</f>
        <v/>
      </c>
      <c r="AL277" s="2" t="str">
        <f>IF(Source!$C277&gt;=COLUMNS($A277:AL277), Source!$G277, "")</f>
        <v/>
      </c>
      <c r="AM277" s="2" t="str">
        <f>IF(Source!$C277&gt;=COLUMNS($A277:AM277), Source!$G277, "")</f>
        <v/>
      </c>
      <c r="AN277" s="2" t="str">
        <f>IF(Source!$C277&gt;=COLUMNS($A277:AN277), Source!$G277, "")</f>
        <v/>
      </c>
      <c r="AO277" s="2" t="str">
        <f>IF(Source!$C277&gt;=COLUMNS($A277:AO277), Source!$G277, "")</f>
        <v/>
      </c>
      <c r="AP277" s="2" t="str">
        <f>IF(Source!$C277&gt;=COLUMNS($A277:AP277), Source!$G277, "")</f>
        <v/>
      </c>
      <c r="AQ277" s="2" t="str">
        <f>IF(Source!$C277&gt;=COLUMNS($A277:AQ277), Source!$G277, "")</f>
        <v/>
      </c>
      <c r="AR277" s="2" t="str">
        <f>IF(Source!$C277&gt;=COLUMNS($A277:AR277), Source!$G277, "")</f>
        <v/>
      </c>
    </row>
    <row r="278">
      <c r="A278" s="2">
        <f>IF(Source!$C278&gt;=COLUMNS($A278:A278), Source!$G278, "")</f>
        <v>3</v>
      </c>
      <c r="B278" s="2">
        <f>IF(Source!$C278&gt;=COLUMNS($A278:B278), Source!$G278, "")</f>
        <v>3</v>
      </c>
      <c r="C278" s="2">
        <f>IF(Source!$C278&gt;=COLUMNS($A278:C278), Source!$G278, "")</f>
        <v>3</v>
      </c>
      <c r="D278" s="2">
        <f>IF(Source!$C278&gt;=COLUMNS($A278:D278), Source!$G278, "")</f>
        <v>3</v>
      </c>
      <c r="E278" s="2">
        <f>IF(Source!$C278&gt;=COLUMNS($A278:E278), Source!$G278, "")</f>
        <v>3</v>
      </c>
      <c r="F278" s="2">
        <f>IF(Source!$C278&gt;=COLUMNS($A278:F278), Source!$G278, "")</f>
        <v>3</v>
      </c>
      <c r="G278" s="2">
        <f>IF(Source!$C278&gt;=COLUMNS($A278:G278), Source!$G278, "")</f>
        <v>3</v>
      </c>
      <c r="H278" s="2">
        <f>IF(Source!$C278&gt;=COLUMNS($A278:H278), Source!$G278, "")</f>
        <v>3</v>
      </c>
      <c r="I278" s="2">
        <f>IF(Source!$C278&gt;=COLUMNS($A278:I278), Source!$G278, "")</f>
        <v>3</v>
      </c>
      <c r="J278" s="2">
        <f>IF(Source!$C278&gt;=COLUMNS($A278:J278), Source!$G278, "")</f>
        <v>3</v>
      </c>
      <c r="K278" s="2">
        <f>IF(Source!$C278&gt;=COLUMNS($A278:K278), Source!$G278, "")</f>
        <v>3</v>
      </c>
      <c r="L278" s="2">
        <f>IF(Source!$C278&gt;=COLUMNS($A278:L278), Source!$G278, "")</f>
        <v>3</v>
      </c>
      <c r="M278" s="2">
        <f>IF(Source!$C278&gt;=COLUMNS($A278:M278), Source!$G278, "")</f>
        <v>3</v>
      </c>
      <c r="N278" s="2">
        <f>IF(Source!$C278&gt;=COLUMNS($A278:N278), Source!$G278, "")</f>
        <v>3</v>
      </c>
      <c r="O278" s="2">
        <f>IF(Source!$C278&gt;=COLUMNS($A278:O278), Source!$G278, "")</f>
        <v>3</v>
      </c>
      <c r="P278" s="2">
        <f>IF(Source!$C278&gt;=COLUMNS($A278:P278), Source!$G278, "")</f>
        <v>3</v>
      </c>
      <c r="Q278" s="2">
        <f>IF(Source!$C278&gt;=COLUMNS($A278:Q278), Source!$G278, "")</f>
        <v>3</v>
      </c>
      <c r="R278" s="2">
        <f>IF(Source!$C278&gt;=COLUMNS($A278:R278), Source!$G278, "")</f>
        <v>3</v>
      </c>
      <c r="S278" s="2">
        <f>IF(Source!$C278&gt;=COLUMNS($A278:S278), Source!$G278, "")</f>
        <v>3</v>
      </c>
      <c r="T278" s="2" t="str">
        <f>IF(Source!$C278&gt;=COLUMNS($A278:T278), Source!$G278, "")</f>
        <v/>
      </c>
      <c r="U278" s="2" t="str">
        <f>IF(Source!$C278&gt;=COLUMNS($A278:U278), Source!$G278, "")</f>
        <v/>
      </c>
      <c r="V278" s="2" t="str">
        <f>IF(Source!$C278&gt;=COLUMNS($A278:V278), Source!$G278, "")</f>
        <v/>
      </c>
      <c r="W278" s="2" t="str">
        <f>IF(Source!$C278&gt;=COLUMNS($A278:W278), Source!$G278, "")</f>
        <v/>
      </c>
      <c r="X278" s="2" t="str">
        <f>IF(Source!$C278&gt;=COLUMNS($A278:X278), Source!$G278, "")</f>
        <v/>
      </c>
      <c r="Y278" s="2" t="str">
        <f>IF(Source!$C278&gt;=COLUMNS($A278:Y278), Source!$G278, "")</f>
        <v/>
      </c>
      <c r="Z278" s="2" t="str">
        <f>IF(Source!$C278&gt;=COLUMNS($A278:Z278), Source!$G278, "")</f>
        <v/>
      </c>
      <c r="AA278" s="2" t="str">
        <f>IF(Source!$C278&gt;=COLUMNS($A278:AA278), Source!$G278, "")</f>
        <v/>
      </c>
      <c r="AB278" s="2" t="str">
        <f>IF(Source!$C278&gt;=COLUMNS($A278:AB278), Source!$G278, "")</f>
        <v/>
      </c>
      <c r="AC278" s="2" t="str">
        <f>IF(Source!$C278&gt;=COLUMNS($A278:AC278), Source!$G278, "")</f>
        <v/>
      </c>
      <c r="AD278" s="2" t="str">
        <f>IF(Source!$C278&gt;=COLUMNS($A278:AD278), Source!$G278, "")</f>
        <v/>
      </c>
      <c r="AE278" s="2" t="str">
        <f>IF(Source!$C278&gt;=COLUMNS($A278:AE278), Source!$G278, "")</f>
        <v/>
      </c>
      <c r="AF278" s="2" t="str">
        <f>IF(Source!$C278&gt;=COLUMNS($A278:AF278), Source!$G278, "")</f>
        <v/>
      </c>
      <c r="AG278" s="2" t="str">
        <f>IF(Source!$C278&gt;=COLUMNS($A278:AG278), Source!$G278, "")</f>
        <v/>
      </c>
      <c r="AH278" s="2" t="str">
        <f>IF(Source!$C278&gt;=COLUMNS($A278:AH278), Source!$G278, "")</f>
        <v/>
      </c>
      <c r="AI278" s="2" t="str">
        <f>IF(Source!$C278&gt;=COLUMNS($A278:AI278), Source!$G278, "")</f>
        <v/>
      </c>
      <c r="AJ278" s="2" t="str">
        <f>IF(Source!$C278&gt;=COLUMNS($A278:AJ278), Source!$G278, "")</f>
        <v/>
      </c>
      <c r="AK278" s="2" t="str">
        <f>IF(Source!$C278&gt;=COLUMNS($A278:AK278), Source!$G278, "")</f>
        <v/>
      </c>
      <c r="AL278" s="2" t="str">
        <f>IF(Source!$C278&gt;=COLUMNS($A278:AL278), Source!$G278, "")</f>
        <v/>
      </c>
      <c r="AM278" s="2" t="str">
        <f>IF(Source!$C278&gt;=COLUMNS($A278:AM278), Source!$G278, "")</f>
        <v/>
      </c>
      <c r="AN278" s="2" t="str">
        <f>IF(Source!$C278&gt;=COLUMNS($A278:AN278), Source!$G278, "")</f>
        <v/>
      </c>
      <c r="AO278" s="2" t="str">
        <f>IF(Source!$C278&gt;=COLUMNS($A278:AO278), Source!$G278, "")</f>
        <v/>
      </c>
      <c r="AP278" s="2" t="str">
        <f>IF(Source!$C278&gt;=COLUMNS($A278:AP278), Source!$G278, "")</f>
        <v/>
      </c>
      <c r="AQ278" s="2" t="str">
        <f>IF(Source!$C278&gt;=COLUMNS($A278:AQ278), Source!$G278, "")</f>
        <v/>
      </c>
      <c r="AR278" s="2" t="str">
        <f>IF(Source!$C278&gt;=COLUMNS($A278:AR278), Source!$G278, "")</f>
        <v/>
      </c>
    </row>
    <row r="279">
      <c r="A279" s="2">
        <f>IF(Source!$C279&gt;=COLUMNS($A279:A279), Source!$G279, "")</f>
        <v>5</v>
      </c>
      <c r="B279" s="2">
        <f>IF(Source!$C279&gt;=COLUMNS($A279:B279), Source!$G279, "")</f>
        <v>5</v>
      </c>
      <c r="C279" s="2">
        <f>IF(Source!$C279&gt;=COLUMNS($A279:C279), Source!$G279, "")</f>
        <v>5</v>
      </c>
      <c r="D279" s="2">
        <f>IF(Source!$C279&gt;=COLUMNS($A279:D279), Source!$G279, "")</f>
        <v>5</v>
      </c>
      <c r="E279" s="2">
        <f>IF(Source!$C279&gt;=COLUMNS($A279:E279), Source!$G279, "")</f>
        <v>5</v>
      </c>
      <c r="F279" s="2">
        <f>IF(Source!$C279&gt;=COLUMNS($A279:F279), Source!$G279, "")</f>
        <v>5</v>
      </c>
      <c r="G279" s="2">
        <f>IF(Source!$C279&gt;=COLUMNS($A279:G279), Source!$G279, "")</f>
        <v>5</v>
      </c>
      <c r="H279" s="2">
        <f>IF(Source!$C279&gt;=COLUMNS($A279:H279), Source!$G279, "")</f>
        <v>5</v>
      </c>
      <c r="I279" s="2">
        <f>IF(Source!$C279&gt;=COLUMNS($A279:I279), Source!$G279, "")</f>
        <v>5</v>
      </c>
      <c r="J279" s="2" t="str">
        <f>IF(Source!$C279&gt;=COLUMNS($A279:J279), Source!$G279, "")</f>
        <v/>
      </c>
      <c r="K279" s="2" t="str">
        <f>IF(Source!$C279&gt;=COLUMNS($A279:K279), Source!$G279, "")</f>
        <v/>
      </c>
      <c r="L279" s="2" t="str">
        <f>IF(Source!$C279&gt;=COLUMNS($A279:L279), Source!$G279, "")</f>
        <v/>
      </c>
      <c r="M279" s="2" t="str">
        <f>IF(Source!$C279&gt;=COLUMNS($A279:M279), Source!$G279, "")</f>
        <v/>
      </c>
      <c r="N279" s="2" t="str">
        <f>IF(Source!$C279&gt;=COLUMNS($A279:N279), Source!$G279, "")</f>
        <v/>
      </c>
      <c r="O279" s="2" t="str">
        <f>IF(Source!$C279&gt;=COLUMNS($A279:O279), Source!$G279, "")</f>
        <v/>
      </c>
      <c r="P279" s="2" t="str">
        <f>IF(Source!$C279&gt;=COLUMNS($A279:P279), Source!$G279, "")</f>
        <v/>
      </c>
      <c r="Q279" s="2" t="str">
        <f>IF(Source!$C279&gt;=COLUMNS($A279:Q279), Source!$G279, "")</f>
        <v/>
      </c>
      <c r="R279" s="2" t="str">
        <f>IF(Source!$C279&gt;=COLUMNS($A279:R279), Source!$G279, "")</f>
        <v/>
      </c>
      <c r="S279" s="2" t="str">
        <f>IF(Source!$C279&gt;=COLUMNS($A279:S279), Source!$G279, "")</f>
        <v/>
      </c>
      <c r="T279" s="2" t="str">
        <f>IF(Source!$C279&gt;=COLUMNS($A279:T279), Source!$G279, "")</f>
        <v/>
      </c>
      <c r="U279" s="2" t="str">
        <f>IF(Source!$C279&gt;=COLUMNS($A279:U279), Source!$G279, "")</f>
        <v/>
      </c>
      <c r="V279" s="2" t="str">
        <f>IF(Source!$C279&gt;=COLUMNS($A279:V279), Source!$G279, "")</f>
        <v/>
      </c>
      <c r="W279" s="2" t="str">
        <f>IF(Source!$C279&gt;=COLUMNS($A279:W279), Source!$G279, "")</f>
        <v/>
      </c>
      <c r="X279" s="2" t="str">
        <f>IF(Source!$C279&gt;=COLUMNS($A279:X279), Source!$G279, "")</f>
        <v/>
      </c>
      <c r="Y279" s="2" t="str">
        <f>IF(Source!$C279&gt;=COLUMNS($A279:Y279), Source!$G279, "")</f>
        <v/>
      </c>
      <c r="Z279" s="2" t="str">
        <f>IF(Source!$C279&gt;=COLUMNS($A279:Z279), Source!$G279, "")</f>
        <v/>
      </c>
      <c r="AA279" s="2" t="str">
        <f>IF(Source!$C279&gt;=COLUMNS($A279:AA279), Source!$G279, "")</f>
        <v/>
      </c>
      <c r="AB279" s="2" t="str">
        <f>IF(Source!$C279&gt;=COLUMNS($A279:AB279), Source!$G279, "")</f>
        <v/>
      </c>
      <c r="AC279" s="2" t="str">
        <f>IF(Source!$C279&gt;=COLUMNS($A279:AC279), Source!$G279, "")</f>
        <v/>
      </c>
      <c r="AD279" s="2" t="str">
        <f>IF(Source!$C279&gt;=COLUMNS($A279:AD279), Source!$G279, "")</f>
        <v/>
      </c>
      <c r="AE279" s="2" t="str">
        <f>IF(Source!$C279&gt;=COLUMNS($A279:AE279), Source!$G279, "")</f>
        <v/>
      </c>
      <c r="AF279" s="2" t="str">
        <f>IF(Source!$C279&gt;=COLUMNS($A279:AF279), Source!$G279, "")</f>
        <v/>
      </c>
      <c r="AG279" s="2" t="str">
        <f>IF(Source!$C279&gt;=COLUMNS($A279:AG279), Source!$G279, "")</f>
        <v/>
      </c>
      <c r="AH279" s="2" t="str">
        <f>IF(Source!$C279&gt;=COLUMNS($A279:AH279), Source!$G279, "")</f>
        <v/>
      </c>
      <c r="AI279" s="2" t="str">
        <f>IF(Source!$C279&gt;=COLUMNS($A279:AI279), Source!$G279, "")</f>
        <v/>
      </c>
      <c r="AJ279" s="2" t="str">
        <f>IF(Source!$C279&gt;=COLUMNS($A279:AJ279), Source!$G279, "")</f>
        <v/>
      </c>
      <c r="AK279" s="2" t="str">
        <f>IF(Source!$C279&gt;=COLUMNS($A279:AK279), Source!$G279, "")</f>
        <v/>
      </c>
      <c r="AL279" s="2" t="str">
        <f>IF(Source!$C279&gt;=COLUMNS($A279:AL279), Source!$G279, "")</f>
        <v/>
      </c>
      <c r="AM279" s="2" t="str">
        <f>IF(Source!$C279&gt;=COLUMNS($A279:AM279), Source!$G279, "")</f>
        <v/>
      </c>
      <c r="AN279" s="2" t="str">
        <f>IF(Source!$C279&gt;=COLUMNS($A279:AN279), Source!$G279, "")</f>
        <v/>
      </c>
      <c r="AO279" s="2" t="str">
        <f>IF(Source!$C279&gt;=COLUMNS($A279:AO279), Source!$G279, "")</f>
        <v/>
      </c>
      <c r="AP279" s="2" t="str">
        <f>IF(Source!$C279&gt;=COLUMNS($A279:AP279), Source!$G279, "")</f>
        <v/>
      </c>
      <c r="AQ279" s="2" t="str">
        <f>IF(Source!$C279&gt;=COLUMNS($A279:AQ279), Source!$G279, "")</f>
        <v/>
      </c>
      <c r="AR279" s="2" t="str">
        <f>IF(Source!$C279&gt;=COLUMNS($A279:AR279), Source!$G279, "")</f>
        <v/>
      </c>
    </row>
    <row r="280">
      <c r="A280" s="2">
        <f>IF(Source!$C280&gt;=COLUMNS($A280:A280), Source!$G280, "")</f>
        <v>2</v>
      </c>
      <c r="B280" s="2">
        <f>IF(Source!$C280&gt;=COLUMNS($A280:B280), Source!$G280, "")</f>
        <v>2</v>
      </c>
      <c r="C280" s="2">
        <f>IF(Source!$C280&gt;=COLUMNS($A280:C280), Source!$G280, "")</f>
        <v>2</v>
      </c>
      <c r="D280" s="2">
        <f>IF(Source!$C280&gt;=COLUMNS($A280:D280), Source!$G280, "")</f>
        <v>2</v>
      </c>
      <c r="E280" s="2">
        <f>IF(Source!$C280&gt;=COLUMNS($A280:E280), Source!$G280, "")</f>
        <v>2</v>
      </c>
      <c r="F280" s="2">
        <f>IF(Source!$C280&gt;=COLUMNS($A280:F280), Source!$G280, "")</f>
        <v>2</v>
      </c>
      <c r="G280" s="2" t="str">
        <f>IF(Source!$C280&gt;=COLUMNS($A280:G280), Source!$G280, "")</f>
        <v/>
      </c>
      <c r="H280" s="2" t="str">
        <f>IF(Source!$C280&gt;=COLUMNS($A280:H280), Source!$G280, "")</f>
        <v/>
      </c>
      <c r="I280" s="2" t="str">
        <f>IF(Source!$C280&gt;=COLUMNS($A280:I280), Source!$G280, "")</f>
        <v/>
      </c>
      <c r="J280" s="2" t="str">
        <f>IF(Source!$C280&gt;=COLUMNS($A280:J280), Source!$G280, "")</f>
        <v/>
      </c>
      <c r="K280" s="2" t="str">
        <f>IF(Source!$C280&gt;=COLUMNS($A280:K280), Source!$G280, "")</f>
        <v/>
      </c>
      <c r="L280" s="2" t="str">
        <f>IF(Source!$C280&gt;=COLUMNS($A280:L280), Source!$G280, "")</f>
        <v/>
      </c>
      <c r="M280" s="2" t="str">
        <f>IF(Source!$C280&gt;=COLUMNS($A280:M280), Source!$G280, "")</f>
        <v/>
      </c>
      <c r="N280" s="2" t="str">
        <f>IF(Source!$C280&gt;=COLUMNS($A280:N280), Source!$G280, "")</f>
        <v/>
      </c>
      <c r="O280" s="2" t="str">
        <f>IF(Source!$C280&gt;=COLUMNS($A280:O280), Source!$G280, "")</f>
        <v/>
      </c>
      <c r="P280" s="2" t="str">
        <f>IF(Source!$C280&gt;=COLUMNS($A280:P280), Source!$G280, "")</f>
        <v/>
      </c>
      <c r="Q280" s="2" t="str">
        <f>IF(Source!$C280&gt;=COLUMNS($A280:Q280), Source!$G280, "")</f>
        <v/>
      </c>
      <c r="R280" s="2" t="str">
        <f>IF(Source!$C280&gt;=COLUMNS($A280:R280), Source!$G280, "")</f>
        <v/>
      </c>
      <c r="S280" s="2" t="str">
        <f>IF(Source!$C280&gt;=COLUMNS($A280:S280), Source!$G280, "")</f>
        <v/>
      </c>
      <c r="T280" s="2" t="str">
        <f>IF(Source!$C280&gt;=COLUMNS($A280:T280), Source!$G280, "")</f>
        <v/>
      </c>
      <c r="U280" s="2" t="str">
        <f>IF(Source!$C280&gt;=COLUMNS($A280:U280), Source!$G280, "")</f>
        <v/>
      </c>
      <c r="V280" s="2" t="str">
        <f>IF(Source!$C280&gt;=COLUMNS($A280:V280), Source!$G280, "")</f>
        <v/>
      </c>
      <c r="W280" s="2" t="str">
        <f>IF(Source!$C280&gt;=COLUMNS($A280:W280), Source!$G280, "")</f>
        <v/>
      </c>
      <c r="X280" s="2" t="str">
        <f>IF(Source!$C280&gt;=COLUMNS($A280:X280), Source!$G280, "")</f>
        <v/>
      </c>
      <c r="Y280" s="2" t="str">
        <f>IF(Source!$C280&gt;=COLUMNS($A280:Y280), Source!$G280, "")</f>
        <v/>
      </c>
      <c r="Z280" s="2" t="str">
        <f>IF(Source!$C280&gt;=COLUMNS($A280:Z280), Source!$G280, "")</f>
        <v/>
      </c>
      <c r="AA280" s="2" t="str">
        <f>IF(Source!$C280&gt;=COLUMNS($A280:AA280), Source!$G280, "")</f>
        <v/>
      </c>
      <c r="AB280" s="2" t="str">
        <f>IF(Source!$C280&gt;=COLUMNS($A280:AB280), Source!$G280, "")</f>
        <v/>
      </c>
      <c r="AC280" s="2" t="str">
        <f>IF(Source!$C280&gt;=COLUMNS($A280:AC280), Source!$G280, "")</f>
        <v/>
      </c>
      <c r="AD280" s="2" t="str">
        <f>IF(Source!$C280&gt;=COLUMNS($A280:AD280), Source!$G280, "")</f>
        <v/>
      </c>
      <c r="AE280" s="2" t="str">
        <f>IF(Source!$C280&gt;=COLUMNS($A280:AE280), Source!$G280, "")</f>
        <v/>
      </c>
      <c r="AF280" s="2" t="str">
        <f>IF(Source!$C280&gt;=COLUMNS($A280:AF280), Source!$G280, "")</f>
        <v/>
      </c>
      <c r="AG280" s="2" t="str">
        <f>IF(Source!$C280&gt;=COLUMNS($A280:AG280), Source!$G280, "")</f>
        <v/>
      </c>
      <c r="AH280" s="2" t="str">
        <f>IF(Source!$C280&gt;=COLUMNS($A280:AH280), Source!$G280, "")</f>
        <v/>
      </c>
      <c r="AI280" s="2" t="str">
        <f>IF(Source!$C280&gt;=COLUMNS($A280:AI280), Source!$G280, "")</f>
        <v/>
      </c>
      <c r="AJ280" s="2" t="str">
        <f>IF(Source!$C280&gt;=COLUMNS($A280:AJ280), Source!$G280, "")</f>
        <v/>
      </c>
      <c r="AK280" s="2" t="str">
        <f>IF(Source!$C280&gt;=COLUMNS($A280:AK280), Source!$G280, "")</f>
        <v/>
      </c>
      <c r="AL280" s="2" t="str">
        <f>IF(Source!$C280&gt;=COLUMNS($A280:AL280), Source!$G280, "")</f>
        <v/>
      </c>
      <c r="AM280" s="2" t="str">
        <f>IF(Source!$C280&gt;=COLUMNS($A280:AM280), Source!$G280, "")</f>
        <v/>
      </c>
      <c r="AN280" s="2" t="str">
        <f>IF(Source!$C280&gt;=COLUMNS($A280:AN280), Source!$G280, "")</f>
        <v/>
      </c>
      <c r="AO280" s="2" t="str">
        <f>IF(Source!$C280&gt;=COLUMNS($A280:AO280), Source!$G280, "")</f>
        <v/>
      </c>
      <c r="AP280" s="2" t="str">
        <f>IF(Source!$C280&gt;=COLUMNS($A280:AP280), Source!$G280, "")</f>
        <v/>
      </c>
      <c r="AQ280" s="2" t="str">
        <f>IF(Source!$C280&gt;=COLUMNS($A280:AQ280), Source!$G280, "")</f>
        <v/>
      </c>
      <c r="AR280" s="2" t="str">
        <f>IF(Source!$C280&gt;=COLUMNS($A280:AR280), Source!$G280, "")</f>
        <v/>
      </c>
    </row>
    <row r="281">
      <c r="A281" s="2">
        <f>IF(Source!$C281&gt;=COLUMNS($A281:A281), Source!$G281, "")</f>
        <v>7</v>
      </c>
      <c r="B281" s="2">
        <f>IF(Source!$C281&gt;=COLUMNS($A281:B281), Source!$G281, "")</f>
        <v>7</v>
      </c>
      <c r="C281" s="2" t="str">
        <f>IF(Source!$C281&gt;=COLUMNS($A281:C281), Source!$G281, "")</f>
        <v/>
      </c>
      <c r="D281" s="2" t="str">
        <f>IF(Source!$C281&gt;=COLUMNS($A281:D281), Source!$G281, "")</f>
        <v/>
      </c>
      <c r="E281" s="2" t="str">
        <f>IF(Source!$C281&gt;=COLUMNS($A281:E281), Source!$G281, "")</f>
        <v/>
      </c>
      <c r="F281" s="2" t="str">
        <f>IF(Source!$C281&gt;=COLUMNS($A281:F281), Source!$G281, "")</f>
        <v/>
      </c>
      <c r="G281" s="2" t="str">
        <f>IF(Source!$C281&gt;=COLUMNS($A281:G281), Source!$G281, "")</f>
        <v/>
      </c>
      <c r="H281" s="2" t="str">
        <f>IF(Source!$C281&gt;=COLUMNS($A281:H281), Source!$G281, "")</f>
        <v/>
      </c>
      <c r="I281" s="2" t="str">
        <f>IF(Source!$C281&gt;=COLUMNS($A281:I281), Source!$G281, "")</f>
        <v/>
      </c>
      <c r="J281" s="2" t="str">
        <f>IF(Source!$C281&gt;=COLUMNS($A281:J281), Source!$G281, "")</f>
        <v/>
      </c>
      <c r="K281" s="2" t="str">
        <f>IF(Source!$C281&gt;=COLUMNS($A281:K281), Source!$G281, "")</f>
        <v/>
      </c>
      <c r="L281" s="2" t="str">
        <f>IF(Source!$C281&gt;=COLUMNS($A281:L281), Source!$G281, "")</f>
        <v/>
      </c>
      <c r="M281" s="2" t="str">
        <f>IF(Source!$C281&gt;=COLUMNS($A281:M281), Source!$G281, "")</f>
        <v/>
      </c>
      <c r="N281" s="2" t="str">
        <f>IF(Source!$C281&gt;=COLUMNS($A281:N281), Source!$G281, "")</f>
        <v/>
      </c>
      <c r="O281" s="2" t="str">
        <f>IF(Source!$C281&gt;=COLUMNS($A281:O281), Source!$G281, "")</f>
        <v/>
      </c>
      <c r="P281" s="2" t="str">
        <f>IF(Source!$C281&gt;=COLUMNS($A281:P281), Source!$G281, "")</f>
        <v/>
      </c>
      <c r="Q281" s="2" t="str">
        <f>IF(Source!$C281&gt;=COLUMNS($A281:Q281), Source!$G281, "")</f>
        <v/>
      </c>
      <c r="R281" s="2" t="str">
        <f>IF(Source!$C281&gt;=COLUMNS($A281:R281), Source!$G281, "")</f>
        <v/>
      </c>
      <c r="S281" s="2" t="str">
        <f>IF(Source!$C281&gt;=COLUMNS($A281:S281), Source!$G281, "")</f>
        <v/>
      </c>
      <c r="T281" s="2" t="str">
        <f>IF(Source!$C281&gt;=COLUMNS($A281:T281), Source!$G281, "")</f>
        <v/>
      </c>
      <c r="U281" s="2" t="str">
        <f>IF(Source!$C281&gt;=COLUMNS($A281:U281), Source!$G281, "")</f>
        <v/>
      </c>
      <c r="V281" s="2" t="str">
        <f>IF(Source!$C281&gt;=COLUMNS($A281:V281), Source!$G281, "")</f>
        <v/>
      </c>
      <c r="W281" s="2" t="str">
        <f>IF(Source!$C281&gt;=COLUMNS($A281:W281), Source!$G281, "")</f>
        <v/>
      </c>
      <c r="X281" s="2" t="str">
        <f>IF(Source!$C281&gt;=COLUMNS($A281:X281), Source!$G281, "")</f>
        <v/>
      </c>
      <c r="Y281" s="2" t="str">
        <f>IF(Source!$C281&gt;=COLUMNS($A281:Y281), Source!$G281, "")</f>
        <v/>
      </c>
      <c r="Z281" s="2" t="str">
        <f>IF(Source!$C281&gt;=COLUMNS($A281:Z281), Source!$G281, "")</f>
        <v/>
      </c>
      <c r="AA281" s="2" t="str">
        <f>IF(Source!$C281&gt;=COLUMNS($A281:AA281), Source!$G281, "")</f>
        <v/>
      </c>
      <c r="AB281" s="2" t="str">
        <f>IF(Source!$C281&gt;=COLUMNS($A281:AB281), Source!$G281, "")</f>
        <v/>
      </c>
      <c r="AC281" s="2" t="str">
        <f>IF(Source!$C281&gt;=COLUMNS($A281:AC281), Source!$G281, "")</f>
        <v/>
      </c>
      <c r="AD281" s="2" t="str">
        <f>IF(Source!$C281&gt;=COLUMNS($A281:AD281), Source!$G281, "")</f>
        <v/>
      </c>
      <c r="AE281" s="2" t="str">
        <f>IF(Source!$C281&gt;=COLUMNS($A281:AE281), Source!$G281, "")</f>
        <v/>
      </c>
      <c r="AF281" s="2" t="str">
        <f>IF(Source!$C281&gt;=COLUMNS($A281:AF281), Source!$G281, "")</f>
        <v/>
      </c>
      <c r="AG281" s="2" t="str">
        <f>IF(Source!$C281&gt;=COLUMNS($A281:AG281), Source!$G281, "")</f>
        <v/>
      </c>
      <c r="AH281" s="2" t="str">
        <f>IF(Source!$C281&gt;=COLUMNS($A281:AH281), Source!$G281, "")</f>
        <v/>
      </c>
      <c r="AI281" s="2" t="str">
        <f>IF(Source!$C281&gt;=COLUMNS($A281:AI281), Source!$G281, "")</f>
        <v/>
      </c>
      <c r="AJ281" s="2" t="str">
        <f>IF(Source!$C281&gt;=COLUMNS($A281:AJ281), Source!$G281, "")</f>
        <v/>
      </c>
      <c r="AK281" s="2" t="str">
        <f>IF(Source!$C281&gt;=COLUMNS($A281:AK281), Source!$G281, "")</f>
        <v/>
      </c>
      <c r="AL281" s="2" t="str">
        <f>IF(Source!$C281&gt;=COLUMNS($A281:AL281), Source!$G281, "")</f>
        <v/>
      </c>
      <c r="AM281" s="2" t="str">
        <f>IF(Source!$C281&gt;=COLUMNS($A281:AM281), Source!$G281, "")</f>
        <v/>
      </c>
      <c r="AN281" s="2" t="str">
        <f>IF(Source!$C281&gt;=COLUMNS($A281:AN281), Source!$G281, "")</f>
        <v/>
      </c>
      <c r="AO281" s="2" t="str">
        <f>IF(Source!$C281&gt;=COLUMNS($A281:AO281), Source!$G281, "")</f>
        <v/>
      </c>
      <c r="AP281" s="2" t="str">
        <f>IF(Source!$C281&gt;=COLUMNS($A281:AP281), Source!$G281, "")</f>
        <v/>
      </c>
      <c r="AQ281" s="2" t="str">
        <f>IF(Source!$C281&gt;=COLUMNS($A281:AQ281), Source!$G281, "")</f>
        <v/>
      </c>
      <c r="AR281" s="2" t="str">
        <f>IF(Source!$C281&gt;=COLUMNS($A281:AR281), Source!$G281, "")</f>
        <v/>
      </c>
    </row>
    <row r="282">
      <c r="A282" s="2">
        <f>IF(Source!$C282&gt;=COLUMNS($A282:A282), Source!$G282, "")</f>
        <v>4</v>
      </c>
      <c r="B282" s="2">
        <f>IF(Source!$C282&gt;=COLUMNS($A282:B282), Source!$G282, "")</f>
        <v>4</v>
      </c>
      <c r="C282" s="2">
        <f>IF(Source!$C282&gt;=COLUMNS($A282:C282), Source!$G282, "")</f>
        <v>4</v>
      </c>
      <c r="D282" s="2">
        <f>IF(Source!$C282&gt;=COLUMNS($A282:D282), Source!$G282, "")</f>
        <v>4</v>
      </c>
      <c r="E282" s="2">
        <f>IF(Source!$C282&gt;=COLUMNS($A282:E282), Source!$G282, "")</f>
        <v>4</v>
      </c>
      <c r="F282" s="2">
        <f>IF(Source!$C282&gt;=COLUMNS($A282:F282), Source!$G282, "")</f>
        <v>4</v>
      </c>
      <c r="G282" s="2">
        <f>IF(Source!$C282&gt;=COLUMNS($A282:G282), Source!$G282, "")</f>
        <v>4</v>
      </c>
      <c r="H282" s="2" t="str">
        <f>IF(Source!$C282&gt;=COLUMNS($A282:H282), Source!$G282, "")</f>
        <v/>
      </c>
      <c r="I282" s="2" t="str">
        <f>IF(Source!$C282&gt;=COLUMNS($A282:I282), Source!$G282, "")</f>
        <v/>
      </c>
      <c r="J282" s="2" t="str">
        <f>IF(Source!$C282&gt;=COLUMNS($A282:J282), Source!$G282, "")</f>
        <v/>
      </c>
      <c r="K282" s="2" t="str">
        <f>IF(Source!$C282&gt;=COLUMNS($A282:K282), Source!$G282, "")</f>
        <v/>
      </c>
      <c r="L282" s="2" t="str">
        <f>IF(Source!$C282&gt;=COLUMNS($A282:L282), Source!$G282, "")</f>
        <v/>
      </c>
      <c r="M282" s="2" t="str">
        <f>IF(Source!$C282&gt;=COLUMNS($A282:M282), Source!$G282, "")</f>
        <v/>
      </c>
      <c r="N282" s="2" t="str">
        <f>IF(Source!$C282&gt;=COLUMNS($A282:N282), Source!$G282, "")</f>
        <v/>
      </c>
      <c r="O282" s="2" t="str">
        <f>IF(Source!$C282&gt;=COLUMNS($A282:O282), Source!$G282, "")</f>
        <v/>
      </c>
      <c r="P282" s="2" t="str">
        <f>IF(Source!$C282&gt;=COLUMNS($A282:P282), Source!$G282, "")</f>
        <v/>
      </c>
      <c r="Q282" s="2" t="str">
        <f>IF(Source!$C282&gt;=COLUMNS($A282:Q282), Source!$G282, "")</f>
        <v/>
      </c>
      <c r="R282" s="2" t="str">
        <f>IF(Source!$C282&gt;=COLUMNS($A282:R282), Source!$G282, "")</f>
        <v/>
      </c>
      <c r="S282" s="2" t="str">
        <f>IF(Source!$C282&gt;=COLUMNS($A282:S282), Source!$G282, "")</f>
        <v/>
      </c>
      <c r="T282" s="2" t="str">
        <f>IF(Source!$C282&gt;=COLUMNS($A282:T282), Source!$G282, "")</f>
        <v/>
      </c>
      <c r="U282" s="2" t="str">
        <f>IF(Source!$C282&gt;=COLUMNS($A282:U282), Source!$G282, "")</f>
        <v/>
      </c>
      <c r="V282" s="2" t="str">
        <f>IF(Source!$C282&gt;=COLUMNS($A282:V282), Source!$G282, "")</f>
        <v/>
      </c>
      <c r="W282" s="2" t="str">
        <f>IF(Source!$C282&gt;=COLUMNS($A282:W282), Source!$G282, "")</f>
        <v/>
      </c>
      <c r="X282" s="2" t="str">
        <f>IF(Source!$C282&gt;=COLUMNS($A282:X282), Source!$G282, "")</f>
        <v/>
      </c>
      <c r="Y282" s="2" t="str">
        <f>IF(Source!$C282&gt;=COLUMNS($A282:Y282), Source!$G282, "")</f>
        <v/>
      </c>
      <c r="Z282" s="2" t="str">
        <f>IF(Source!$C282&gt;=COLUMNS($A282:Z282), Source!$G282, "")</f>
        <v/>
      </c>
      <c r="AA282" s="2" t="str">
        <f>IF(Source!$C282&gt;=COLUMNS($A282:AA282), Source!$G282, "")</f>
        <v/>
      </c>
      <c r="AB282" s="2" t="str">
        <f>IF(Source!$C282&gt;=COLUMNS($A282:AB282), Source!$G282, "")</f>
        <v/>
      </c>
      <c r="AC282" s="2" t="str">
        <f>IF(Source!$C282&gt;=COLUMNS($A282:AC282), Source!$G282, "")</f>
        <v/>
      </c>
      <c r="AD282" s="2" t="str">
        <f>IF(Source!$C282&gt;=COLUMNS($A282:AD282), Source!$G282, "")</f>
        <v/>
      </c>
      <c r="AE282" s="2" t="str">
        <f>IF(Source!$C282&gt;=COLUMNS($A282:AE282), Source!$G282, "")</f>
        <v/>
      </c>
      <c r="AF282" s="2" t="str">
        <f>IF(Source!$C282&gt;=COLUMNS($A282:AF282), Source!$G282, "")</f>
        <v/>
      </c>
      <c r="AG282" s="2" t="str">
        <f>IF(Source!$C282&gt;=COLUMNS($A282:AG282), Source!$G282, "")</f>
        <v/>
      </c>
      <c r="AH282" s="2" t="str">
        <f>IF(Source!$C282&gt;=COLUMNS($A282:AH282), Source!$G282, "")</f>
        <v/>
      </c>
      <c r="AI282" s="2" t="str">
        <f>IF(Source!$C282&gt;=COLUMNS($A282:AI282), Source!$G282, "")</f>
        <v/>
      </c>
      <c r="AJ282" s="2" t="str">
        <f>IF(Source!$C282&gt;=COLUMNS($A282:AJ282), Source!$G282, "")</f>
        <v/>
      </c>
      <c r="AK282" s="2" t="str">
        <f>IF(Source!$C282&gt;=COLUMNS($A282:AK282), Source!$G282, "")</f>
        <v/>
      </c>
      <c r="AL282" s="2" t="str">
        <f>IF(Source!$C282&gt;=COLUMNS($A282:AL282), Source!$G282, "")</f>
        <v/>
      </c>
      <c r="AM282" s="2" t="str">
        <f>IF(Source!$C282&gt;=COLUMNS($A282:AM282), Source!$G282, "")</f>
        <v/>
      </c>
      <c r="AN282" s="2" t="str">
        <f>IF(Source!$C282&gt;=COLUMNS($A282:AN282), Source!$G282, "")</f>
        <v/>
      </c>
      <c r="AO282" s="2" t="str">
        <f>IF(Source!$C282&gt;=COLUMNS($A282:AO282), Source!$G282, "")</f>
        <v/>
      </c>
      <c r="AP282" s="2" t="str">
        <f>IF(Source!$C282&gt;=COLUMNS($A282:AP282), Source!$G282, "")</f>
        <v/>
      </c>
      <c r="AQ282" s="2" t="str">
        <f>IF(Source!$C282&gt;=COLUMNS($A282:AQ282), Source!$G282, "")</f>
        <v/>
      </c>
      <c r="AR282" s="2" t="str">
        <f>IF(Source!$C282&gt;=COLUMNS($A282:AR282), Source!$G282, "")</f>
        <v/>
      </c>
    </row>
    <row r="283">
      <c r="A283" s="2">
        <f>IF(Source!$C283&gt;=COLUMNS($A283:A283), Source!$G283, "")</f>
        <v>6</v>
      </c>
      <c r="B283" s="2">
        <f>IF(Source!$C283&gt;=COLUMNS($A283:B283), Source!$G283, "")</f>
        <v>6</v>
      </c>
      <c r="C283" s="2">
        <f>IF(Source!$C283&gt;=COLUMNS($A283:C283), Source!$G283, "")</f>
        <v>6</v>
      </c>
      <c r="D283" s="2">
        <f>IF(Source!$C283&gt;=COLUMNS($A283:D283), Source!$G283, "")</f>
        <v>6</v>
      </c>
      <c r="E283" s="2">
        <f>IF(Source!$C283&gt;=COLUMNS($A283:E283), Source!$G283, "")</f>
        <v>6</v>
      </c>
      <c r="F283" s="2">
        <f>IF(Source!$C283&gt;=COLUMNS($A283:F283), Source!$G283, "")</f>
        <v>6</v>
      </c>
      <c r="G283" s="2">
        <f>IF(Source!$C283&gt;=COLUMNS($A283:G283), Source!$G283, "")</f>
        <v>6</v>
      </c>
      <c r="H283" s="2" t="str">
        <f>IF(Source!$C283&gt;=COLUMNS($A283:H283), Source!$G283, "")</f>
        <v/>
      </c>
      <c r="I283" s="2" t="str">
        <f>IF(Source!$C283&gt;=COLUMNS($A283:I283), Source!$G283, "")</f>
        <v/>
      </c>
      <c r="J283" s="2" t="str">
        <f>IF(Source!$C283&gt;=COLUMNS($A283:J283), Source!$G283, "")</f>
        <v/>
      </c>
      <c r="K283" s="2" t="str">
        <f>IF(Source!$C283&gt;=COLUMNS($A283:K283), Source!$G283, "")</f>
        <v/>
      </c>
      <c r="L283" s="2" t="str">
        <f>IF(Source!$C283&gt;=COLUMNS($A283:L283), Source!$G283, "")</f>
        <v/>
      </c>
      <c r="M283" s="2" t="str">
        <f>IF(Source!$C283&gt;=COLUMNS($A283:M283), Source!$G283, "")</f>
        <v/>
      </c>
      <c r="N283" s="2" t="str">
        <f>IF(Source!$C283&gt;=COLUMNS($A283:N283), Source!$G283, "")</f>
        <v/>
      </c>
      <c r="O283" s="2" t="str">
        <f>IF(Source!$C283&gt;=COLUMNS($A283:O283), Source!$G283, "")</f>
        <v/>
      </c>
      <c r="P283" s="2" t="str">
        <f>IF(Source!$C283&gt;=COLUMNS($A283:P283), Source!$G283, "")</f>
        <v/>
      </c>
      <c r="Q283" s="2" t="str">
        <f>IF(Source!$C283&gt;=COLUMNS($A283:Q283), Source!$G283, "")</f>
        <v/>
      </c>
      <c r="R283" s="2" t="str">
        <f>IF(Source!$C283&gt;=COLUMNS($A283:R283), Source!$G283, "")</f>
        <v/>
      </c>
      <c r="S283" s="2" t="str">
        <f>IF(Source!$C283&gt;=COLUMNS($A283:S283), Source!$G283, "")</f>
        <v/>
      </c>
      <c r="T283" s="2" t="str">
        <f>IF(Source!$C283&gt;=COLUMNS($A283:T283), Source!$G283, "")</f>
        <v/>
      </c>
      <c r="U283" s="2" t="str">
        <f>IF(Source!$C283&gt;=COLUMNS($A283:U283), Source!$G283, "")</f>
        <v/>
      </c>
      <c r="V283" s="2" t="str">
        <f>IF(Source!$C283&gt;=COLUMNS($A283:V283), Source!$G283, "")</f>
        <v/>
      </c>
      <c r="W283" s="2" t="str">
        <f>IF(Source!$C283&gt;=COLUMNS($A283:W283), Source!$G283, "")</f>
        <v/>
      </c>
      <c r="X283" s="2" t="str">
        <f>IF(Source!$C283&gt;=COLUMNS($A283:X283), Source!$G283, "")</f>
        <v/>
      </c>
      <c r="Y283" s="2" t="str">
        <f>IF(Source!$C283&gt;=COLUMNS($A283:Y283), Source!$G283, "")</f>
        <v/>
      </c>
      <c r="Z283" s="2" t="str">
        <f>IF(Source!$C283&gt;=COLUMNS($A283:Z283), Source!$G283, "")</f>
        <v/>
      </c>
      <c r="AA283" s="2" t="str">
        <f>IF(Source!$C283&gt;=COLUMNS($A283:AA283), Source!$G283, "")</f>
        <v/>
      </c>
      <c r="AB283" s="2" t="str">
        <f>IF(Source!$C283&gt;=COLUMNS($A283:AB283), Source!$G283, "")</f>
        <v/>
      </c>
      <c r="AC283" s="2" t="str">
        <f>IF(Source!$C283&gt;=COLUMNS($A283:AC283), Source!$G283, "")</f>
        <v/>
      </c>
      <c r="AD283" s="2" t="str">
        <f>IF(Source!$C283&gt;=COLUMNS($A283:AD283), Source!$G283, "")</f>
        <v/>
      </c>
      <c r="AE283" s="2" t="str">
        <f>IF(Source!$C283&gt;=COLUMNS($A283:AE283), Source!$G283, "")</f>
        <v/>
      </c>
      <c r="AF283" s="2" t="str">
        <f>IF(Source!$C283&gt;=COLUMNS($A283:AF283), Source!$G283, "")</f>
        <v/>
      </c>
      <c r="AG283" s="2" t="str">
        <f>IF(Source!$C283&gt;=COLUMNS($A283:AG283), Source!$G283, "")</f>
        <v/>
      </c>
      <c r="AH283" s="2" t="str">
        <f>IF(Source!$C283&gt;=COLUMNS($A283:AH283), Source!$G283, "")</f>
        <v/>
      </c>
      <c r="AI283" s="2" t="str">
        <f>IF(Source!$C283&gt;=COLUMNS($A283:AI283), Source!$G283, "")</f>
        <v/>
      </c>
      <c r="AJ283" s="2" t="str">
        <f>IF(Source!$C283&gt;=COLUMNS($A283:AJ283), Source!$G283, "")</f>
        <v/>
      </c>
      <c r="AK283" s="2" t="str">
        <f>IF(Source!$C283&gt;=COLUMNS($A283:AK283), Source!$G283, "")</f>
        <v/>
      </c>
      <c r="AL283" s="2" t="str">
        <f>IF(Source!$C283&gt;=COLUMNS($A283:AL283), Source!$G283, "")</f>
        <v/>
      </c>
      <c r="AM283" s="2" t="str">
        <f>IF(Source!$C283&gt;=COLUMNS($A283:AM283), Source!$G283, "")</f>
        <v/>
      </c>
      <c r="AN283" s="2" t="str">
        <f>IF(Source!$C283&gt;=COLUMNS($A283:AN283), Source!$G283, "")</f>
        <v/>
      </c>
      <c r="AO283" s="2" t="str">
        <f>IF(Source!$C283&gt;=COLUMNS($A283:AO283), Source!$G283, "")</f>
        <v/>
      </c>
      <c r="AP283" s="2" t="str">
        <f>IF(Source!$C283&gt;=COLUMNS($A283:AP283), Source!$G283, "")</f>
        <v/>
      </c>
      <c r="AQ283" s="2" t="str">
        <f>IF(Source!$C283&gt;=COLUMNS($A283:AQ283), Source!$G283, "")</f>
        <v/>
      </c>
      <c r="AR283" s="2" t="str">
        <f>IF(Source!$C283&gt;=COLUMNS($A283:AR283), Source!$G283, "")</f>
        <v/>
      </c>
    </row>
    <row r="284">
      <c r="A284" s="2">
        <f>IF(Source!$C284&gt;=COLUMNS($A284:A284), Source!$G284, "")</f>
        <v>3</v>
      </c>
      <c r="B284" s="2">
        <f>IF(Source!$C284&gt;=COLUMNS($A284:B284), Source!$G284, "")</f>
        <v>3</v>
      </c>
      <c r="C284" s="2">
        <f>IF(Source!$C284&gt;=COLUMNS($A284:C284), Source!$G284, "")</f>
        <v>3</v>
      </c>
      <c r="D284" s="2">
        <f>IF(Source!$C284&gt;=COLUMNS($A284:D284), Source!$G284, "")</f>
        <v>3</v>
      </c>
      <c r="E284" s="2">
        <f>IF(Source!$C284&gt;=COLUMNS($A284:E284), Source!$G284, "")</f>
        <v>3</v>
      </c>
      <c r="F284" s="2" t="str">
        <f>IF(Source!$C284&gt;=COLUMNS($A284:F284), Source!$G284, "")</f>
        <v/>
      </c>
      <c r="G284" s="2" t="str">
        <f>IF(Source!$C284&gt;=COLUMNS($A284:G284), Source!$G284, "")</f>
        <v/>
      </c>
      <c r="H284" s="2" t="str">
        <f>IF(Source!$C284&gt;=COLUMNS($A284:H284), Source!$G284, "")</f>
        <v/>
      </c>
      <c r="I284" s="2" t="str">
        <f>IF(Source!$C284&gt;=COLUMNS($A284:I284), Source!$G284, "")</f>
        <v/>
      </c>
      <c r="J284" s="2" t="str">
        <f>IF(Source!$C284&gt;=COLUMNS($A284:J284), Source!$G284, "")</f>
        <v/>
      </c>
      <c r="K284" s="2" t="str">
        <f>IF(Source!$C284&gt;=COLUMNS($A284:K284), Source!$G284, "")</f>
        <v/>
      </c>
      <c r="L284" s="2" t="str">
        <f>IF(Source!$C284&gt;=COLUMNS($A284:L284), Source!$G284, "")</f>
        <v/>
      </c>
      <c r="M284" s="2" t="str">
        <f>IF(Source!$C284&gt;=COLUMNS($A284:M284), Source!$G284, "")</f>
        <v/>
      </c>
      <c r="N284" s="2" t="str">
        <f>IF(Source!$C284&gt;=COLUMNS($A284:N284), Source!$G284, "")</f>
        <v/>
      </c>
      <c r="O284" s="2" t="str">
        <f>IF(Source!$C284&gt;=COLUMNS($A284:O284), Source!$G284, "")</f>
        <v/>
      </c>
      <c r="P284" s="2" t="str">
        <f>IF(Source!$C284&gt;=COLUMNS($A284:P284), Source!$G284, "")</f>
        <v/>
      </c>
      <c r="Q284" s="2" t="str">
        <f>IF(Source!$C284&gt;=COLUMNS($A284:Q284), Source!$G284, "")</f>
        <v/>
      </c>
      <c r="R284" s="2" t="str">
        <f>IF(Source!$C284&gt;=COLUMNS($A284:R284), Source!$G284, "")</f>
        <v/>
      </c>
      <c r="S284" s="2" t="str">
        <f>IF(Source!$C284&gt;=COLUMNS($A284:S284), Source!$G284, "")</f>
        <v/>
      </c>
      <c r="T284" s="2" t="str">
        <f>IF(Source!$C284&gt;=COLUMNS($A284:T284), Source!$G284, "")</f>
        <v/>
      </c>
      <c r="U284" s="2" t="str">
        <f>IF(Source!$C284&gt;=COLUMNS($A284:U284), Source!$G284, "")</f>
        <v/>
      </c>
      <c r="V284" s="2" t="str">
        <f>IF(Source!$C284&gt;=COLUMNS($A284:V284), Source!$G284, "")</f>
        <v/>
      </c>
      <c r="W284" s="2" t="str">
        <f>IF(Source!$C284&gt;=COLUMNS($A284:W284), Source!$G284, "")</f>
        <v/>
      </c>
      <c r="X284" s="2" t="str">
        <f>IF(Source!$C284&gt;=COLUMNS($A284:X284), Source!$G284, "")</f>
        <v/>
      </c>
      <c r="Y284" s="2" t="str">
        <f>IF(Source!$C284&gt;=COLUMNS($A284:Y284), Source!$G284, "")</f>
        <v/>
      </c>
      <c r="Z284" s="2" t="str">
        <f>IF(Source!$C284&gt;=COLUMNS($A284:Z284), Source!$G284, "")</f>
        <v/>
      </c>
      <c r="AA284" s="2" t="str">
        <f>IF(Source!$C284&gt;=COLUMNS($A284:AA284), Source!$G284, "")</f>
        <v/>
      </c>
      <c r="AB284" s="2" t="str">
        <f>IF(Source!$C284&gt;=COLUMNS($A284:AB284), Source!$G284, "")</f>
        <v/>
      </c>
      <c r="AC284" s="2" t="str">
        <f>IF(Source!$C284&gt;=COLUMNS($A284:AC284), Source!$G284, "")</f>
        <v/>
      </c>
      <c r="AD284" s="2" t="str">
        <f>IF(Source!$C284&gt;=COLUMNS($A284:AD284), Source!$G284, "")</f>
        <v/>
      </c>
      <c r="AE284" s="2" t="str">
        <f>IF(Source!$C284&gt;=COLUMNS($A284:AE284), Source!$G284, "")</f>
        <v/>
      </c>
      <c r="AF284" s="2" t="str">
        <f>IF(Source!$C284&gt;=COLUMNS($A284:AF284), Source!$G284, "")</f>
        <v/>
      </c>
      <c r="AG284" s="2" t="str">
        <f>IF(Source!$C284&gt;=COLUMNS($A284:AG284), Source!$G284, "")</f>
        <v/>
      </c>
      <c r="AH284" s="2" t="str">
        <f>IF(Source!$C284&gt;=COLUMNS($A284:AH284), Source!$G284, "")</f>
        <v/>
      </c>
      <c r="AI284" s="2" t="str">
        <f>IF(Source!$C284&gt;=COLUMNS($A284:AI284), Source!$G284, "")</f>
        <v/>
      </c>
      <c r="AJ284" s="2" t="str">
        <f>IF(Source!$C284&gt;=COLUMNS($A284:AJ284), Source!$G284, "")</f>
        <v/>
      </c>
      <c r="AK284" s="2" t="str">
        <f>IF(Source!$C284&gt;=COLUMNS($A284:AK284), Source!$G284, "")</f>
        <v/>
      </c>
      <c r="AL284" s="2" t="str">
        <f>IF(Source!$C284&gt;=COLUMNS($A284:AL284), Source!$G284, "")</f>
        <v/>
      </c>
      <c r="AM284" s="2" t="str">
        <f>IF(Source!$C284&gt;=COLUMNS($A284:AM284), Source!$G284, "")</f>
        <v/>
      </c>
      <c r="AN284" s="2" t="str">
        <f>IF(Source!$C284&gt;=COLUMNS($A284:AN284), Source!$G284, "")</f>
        <v/>
      </c>
      <c r="AO284" s="2" t="str">
        <f>IF(Source!$C284&gt;=COLUMNS($A284:AO284), Source!$G284, "")</f>
        <v/>
      </c>
      <c r="AP284" s="2" t="str">
        <f>IF(Source!$C284&gt;=COLUMNS($A284:AP284), Source!$G284, "")</f>
        <v/>
      </c>
      <c r="AQ284" s="2" t="str">
        <f>IF(Source!$C284&gt;=COLUMNS($A284:AQ284), Source!$G284, "")</f>
        <v/>
      </c>
      <c r="AR284" s="2" t="str">
        <f>IF(Source!$C284&gt;=COLUMNS($A284:AR284), Source!$G284, "")</f>
        <v/>
      </c>
    </row>
    <row r="285">
      <c r="A285" s="2">
        <f>IF(Source!$C285&gt;=COLUMNS($A285:A285), Source!$G285, "")</f>
        <v>8</v>
      </c>
      <c r="B285" s="2">
        <f>IF(Source!$C285&gt;=COLUMNS($A285:B285), Source!$G285, "")</f>
        <v>8</v>
      </c>
      <c r="C285" s="2">
        <f>IF(Source!$C285&gt;=COLUMNS($A285:C285), Source!$G285, "")</f>
        <v>8</v>
      </c>
      <c r="D285" s="2" t="str">
        <f>IF(Source!$C285&gt;=COLUMNS($A285:D285), Source!$G285, "")</f>
        <v/>
      </c>
      <c r="E285" s="2" t="str">
        <f>IF(Source!$C285&gt;=COLUMNS($A285:E285), Source!$G285, "")</f>
        <v/>
      </c>
      <c r="F285" s="2" t="str">
        <f>IF(Source!$C285&gt;=COLUMNS($A285:F285), Source!$G285, "")</f>
        <v/>
      </c>
      <c r="G285" s="2" t="str">
        <f>IF(Source!$C285&gt;=COLUMNS($A285:G285), Source!$G285, "")</f>
        <v/>
      </c>
      <c r="H285" s="2" t="str">
        <f>IF(Source!$C285&gt;=COLUMNS($A285:H285), Source!$G285, "")</f>
        <v/>
      </c>
      <c r="I285" s="2" t="str">
        <f>IF(Source!$C285&gt;=COLUMNS($A285:I285), Source!$G285, "")</f>
        <v/>
      </c>
      <c r="J285" s="2" t="str">
        <f>IF(Source!$C285&gt;=COLUMNS($A285:J285), Source!$G285, "")</f>
        <v/>
      </c>
      <c r="K285" s="2" t="str">
        <f>IF(Source!$C285&gt;=COLUMNS($A285:K285), Source!$G285, "")</f>
        <v/>
      </c>
      <c r="L285" s="2" t="str">
        <f>IF(Source!$C285&gt;=COLUMNS($A285:L285), Source!$G285, "")</f>
        <v/>
      </c>
      <c r="M285" s="2" t="str">
        <f>IF(Source!$C285&gt;=COLUMNS($A285:M285), Source!$G285, "")</f>
        <v/>
      </c>
      <c r="N285" s="2" t="str">
        <f>IF(Source!$C285&gt;=COLUMNS($A285:N285), Source!$G285, "")</f>
        <v/>
      </c>
      <c r="O285" s="2" t="str">
        <f>IF(Source!$C285&gt;=COLUMNS($A285:O285), Source!$G285, "")</f>
        <v/>
      </c>
      <c r="P285" s="2" t="str">
        <f>IF(Source!$C285&gt;=COLUMNS($A285:P285), Source!$G285, "")</f>
        <v/>
      </c>
      <c r="Q285" s="2" t="str">
        <f>IF(Source!$C285&gt;=COLUMNS($A285:Q285), Source!$G285, "")</f>
        <v/>
      </c>
      <c r="R285" s="2" t="str">
        <f>IF(Source!$C285&gt;=COLUMNS($A285:R285), Source!$G285, "")</f>
        <v/>
      </c>
      <c r="S285" s="2" t="str">
        <f>IF(Source!$C285&gt;=COLUMNS($A285:S285), Source!$G285, "")</f>
        <v/>
      </c>
      <c r="T285" s="2" t="str">
        <f>IF(Source!$C285&gt;=COLUMNS($A285:T285), Source!$G285, "")</f>
        <v/>
      </c>
      <c r="U285" s="2" t="str">
        <f>IF(Source!$C285&gt;=COLUMNS($A285:U285), Source!$G285, "")</f>
        <v/>
      </c>
      <c r="V285" s="2" t="str">
        <f>IF(Source!$C285&gt;=COLUMNS($A285:V285), Source!$G285, "")</f>
        <v/>
      </c>
      <c r="W285" s="2" t="str">
        <f>IF(Source!$C285&gt;=COLUMNS($A285:W285), Source!$G285, "")</f>
        <v/>
      </c>
      <c r="X285" s="2" t="str">
        <f>IF(Source!$C285&gt;=COLUMNS($A285:X285), Source!$G285, "")</f>
        <v/>
      </c>
      <c r="Y285" s="2" t="str">
        <f>IF(Source!$C285&gt;=COLUMNS($A285:Y285), Source!$G285, "")</f>
        <v/>
      </c>
      <c r="Z285" s="2" t="str">
        <f>IF(Source!$C285&gt;=COLUMNS($A285:Z285), Source!$G285, "")</f>
        <v/>
      </c>
      <c r="AA285" s="2" t="str">
        <f>IF(Source!$C285&gt;=COLUMNS($A285:AA285), Source!$G285, "")</f>
        <v/>
      </c>
      <c r="AB285" s="2" t="str">
        <f>IF(Source!$C285&gt;=COLUMNS($A285:AB285), Source!$G285, "")</f>
        <v/>
      </c>
      <c r="AC285" s="2" t="str">
        <f>IF(Source!$C285&gt;=COLUMNS($A285:AC285), Source!$G285, "")</f>
        <v/>
      </c>
      <c r="AD285" s="2" t="str">
        <f>IF(Source!$C285&gt;=COLUMNS($A285:AD285), Source!$G285, "")</f>
        <v/>
      </c>
      <c r="AE285" s="2" t="str">
        <f>IF(Source!$C285&gt;=COLUMNS($A285:AE285), Source!$G285, "")</f>
        <v/>
      </c>
      <c r="AF285" s="2" t="str">
        <f>IF(Source!$C285&gt;=COLUMNS($A285:AF285), Source!$G285, "")</f>
        <v/>
      </c>
      <c r="AG285" s="2" t="str">
        <f>IF(Source!$C285&gt;=COLUMNS($A285:AG285), Source!$G285, "")</f>
        <v/>
      </c>
      <c r="AH285" s="2" t="str">
        <f>IF(Source!$C285&gt;=COLUMNS($A285:AH285), Source!$G285, "")</f>
        <v/>
      </c>
      <c r="AI285" s="2" t="str">
        <f>IF(Source!$C285&gt;=COLUMNS($A285:AI285), Source!$G285, "")</f>
        <v/>
      </c>
      <c r="AJ285" s="2" t="str">
        <f>IF(Source!$C285&gt;=COLUMNS($A285:AJ285), Source!$G285, "")</f>
        <v/>
      </c>
      <c r="AK285" s="2" t="str">
        <f>IF(Source!$C285&gt;=COLUMNS($A285:AK285), Source!$G285, "")</f>
        <v/>
      </c>
      <c r="AL285" s="2" t="str">
        <f>IF(Source!$C285&gt;=COLUMNS($A285:AL285), Source!$G285, "")</f>
        <v/>
      </c>
      <c r="AM285" s="2" t="str">
        <f>IF(Source!$C285&gt;=COLUMNS($A285:AM285), Source!$G285, "")</f>
        <v/>
      </c>
      <c r="AN285" s="2" t="str">
        <f>IF(Source!$C285&gt;=COLUMNS($A285:AN285), Source!$G285, "")</f>
        <v/>
      </c>
      <c r="AO285" s="2" t="str">
        <f>IF(Source!$C285&gt;=COLUMNS($A285:AO285), Source!$G285, "")</f>
        <v/>
      </c>
      <c r="AP285" s="2" t="str">
        <f>IF(Source!$C285&gt;=COLUMNS($A285:AP285), Source!$G285, "")</f>
        <v/>
      </c>
      <c r="AQ285" s="2" t="str">
        <f>IF(Source!$C285&gt;=COLUMNS($A285:AQ285), Source!$G285, "")</f>
        <v/>
      </c>
      <c r="AR285" s="2" t="str">
        <f>IF(Source!$C285&gt;=COLUMNS($A285:AR285), Source!$G285, "")</f>
        <v/>
      </c>
    </row>
    <row r="286">
      <c r="A286" s="2">
        <f>IF(Source!$C286&gt;=COLUMNS($A286:A286), Source!$G286, "")</f>
        <v>4</v>
      </c>
      <c r="B286" s="2" t="str">
        <f>IF(Source!$C286&gt;=COLUMNS($A286:B286), Source!$G286, "")</f>
        <v/>
      </c>
      <c r="C286" s="2" t="str">
        <f>IF(Source!$C286&gt;=COLUMNS($A286:C286), Source!$G286, "")</f>
        <v/>
      </c>
      <c r="D286" s="2" t="str">
        <f>IF(Source!$C286&gt;=COLUMNS($A286:D286), Source!$G286, "")</f>
        <v/>
      </c>
      <c r="E286" s="2" t="str">
        <f>IF(Source!$C286&gt;=COLUMNS($A286:E286), Source!$G286, "")</f>
        <v/>
      </c>
      <c r="F286" s="2" t="str">
        <f>IF(Source!$C286&gt;=COLUMNS($A286:F286), Source!$G286, "")</f>
        <v/>
      </c>
      <c r="G286" s="2" t="str">
        <f>IF(Source!$C286&gt;=COLUMNS($A286:G286), Source!$G286, "")</f>
        <v/>
      </c>
      <c r="H286" s="2" t="str">
        <f>IF(Source!$C286&gt;=COLUMNS($A286:H286), Source!$G286, "")</f>
        <v/>
      </c>
      <c r="I286" s="2" t="str">
        <f>IF(Source!$C286&gt;=COLUMNS($A286:I286), Source!$G286, "")</f>
        <v/>
      </c>
      <c r="J286" s="2" t="str">
        <f>IF(Source!$C286&gt;=COLUMNS($A286:J286), Source!$G286, "")</f>
        <v/>
      </c>
      <c r="K286" s="2" t="str">
        <f>IF(Source!$C286&gt;=COLUMNS($A286:K286), Source!$G286, "")</f>
        <v/>
      </c>
      <c r="L286" s="2" t="str">
        <f>IF(Source!$C286&gt;=COLUMNS($A286:L286), Source!$G286, "")</f>
        <v/>
      </c>
      <c r="M286" s="2" t="str">
        <f>IF(Source!$C286&gt;=COLUMNS($A286:M286), Source!$G286, "")</f>
        <v/>
      </c>
      <c r="N286" s="2" t="str">
        <f>IF(Source!$C286&gt;=COLUMNS($A286:N286), Source!$G286, "")</f>
        <v/>
      </c>
      <c r="O286" s="2" t="str">
        <f>IF(Source!$C286&gt;=COLUMNS($A286:O286), Source!$G286, "")</f>
        <v/>
      </c>
      <c r="P286" s="2" t="str">
        <f>IF(Source!$C286&gt;=COLUMNS($A286:P286), Source!$G286, "")</f>
        <v/>
      </c>
      <c r="Q286" s="2" t="str">
        <f>IF(Source!$C286&gt;=COLUMNS($A286:Q286), Source!$G286, "")</f>
        <v/>
      </c>
      <c r="R286" s="2" t="str">
        <f>IF(Source!$C286&gt;=COLUMNS($A286:R286), Source!$G286, "")</f>
        <v/>
      </c>
      <c r="S286" s="2" t="str">
        <f>IF(Source!$C286&gt;=COLUMNS($A286:S286), Source!$G286, "")</f>
        <v/>
      </c>
      <c r="T286" s="2" t="str">
        <f>IF(Source!$C286&gt;=COLUMNS($A286:T286), Source!$G286, "")</f>
        <v/>
      </c>
      <c r="U286" s="2" t="str">
        <f>IF(Source!$C286&gt;=COLUMNS($A286:U286), Source!$G286, "")</f>
        <v/>
      </c>
      <c r="V286" s="2" t="str">
        <f>IF(Source!$C286&gt;=COLUMNS($A286:V286), Source!$G286, "")</f>
        <v/>
      </c>
      <c r="W286" s="2" t="str">
        <f>IF(Source!$C286&gt;=COLUMNS($A286:W286), Source!$G286, "")</f>
        <v/>
      </c>
      <c r="X286" s="2" t="str">
        <f>IF(Source!$C286&gt;=COLUMNS($A286:X286), Source!$G286, "")</f>
        <v/>
      </c>
      <c r="Y286" s="2" t="str">
        <f>IF(Source!$C286&gt;=COLUMNS($A286:Y286), Source!$G286, "")</f>
        <v/>
      </c>
      <c r="Z286" s="2" t="str">
        <f>IF(Source!$C286&gt;=COLUMNS($A286:Z286), Source!$G286, "")</f>
        <v/>
      </c>
      <c r="AA286" s="2" t="str">
        <f>IF(Source!$C286&gt;=COLUMNS($A286:AA286), Source!$G286, "")</f>
        <v/>
      </c>
      <c r="AB286" s="2" t="str">
        <f>IF(Source!$C286&gt;=COLUMNS($A286:AB286), Source!$G286, "")</f>
        <v/>
      </c>
      <c r="AC286" s="2" t="str">
        <f>IF(Source!$C286&gt;=COLUMNS($A286:AC286), Source!$G286, "")</f>
        <v/>
      </c>
      <c r="AD286" s="2" t="str">
        <f>IF(Source!$C286&gt;=COLUMNS($A286:AD286), Source!$G286, "")</f>
        <v/>
      </c>
      <c r="AE286" s="2" t="str">
        <f>IF(Source!$C286&gt;=COLUMNS($A286:AE286), Source!$G286, "")</f>
        <v/>
      </c>
      <c r="AF286" s="2" t="str">
        <f>IF(Source!$C286&gt;=COLUMNS($A286:AF286), Source!$G286, "")</f>
        <v/>
      </c>
      <c r="AG286" s="2" t="str">
        <f>IF(Source!$C286&gt;=COLUMNS($A286:AG286), Source!$G286, "")</f>
        <v/>
      </c>
      <c r="AH286" s="2" t="str">
        <f>IF(Source!$C286&gt;=COLUMNS($A286:AH286), Source!$G286, "")</f>
        <v/>
      </c>
      <c r="AI286" s="2" t="str">
        <f>IF(Source!$C286&gt;=COLUMNS($A286:AI286), Source!$G286, "")</f>
        <v/>
      </c>
      <c r="AJ286" s="2" t="str">
        <f>IF(Source!$C286&gt;=COLUMNS($A286:AJ286), Source!$G286, "")</f>
        <v/>
      </c>
      <c r="AK286" s="2" t="str">
        <f>IF(Source!$C286&gt;=COLUMNS($A286:AK286), Source!$G286, "")</f>
        <v/>
      </c>
      <c r="AL286" s="2" t="str">
        <f>IF(Source!$C286&gt;=COLUMNS($A286:AL286), Source!$G286, "")</f>
        <v/>
      </c>
      <c r="AM286" s="2" t="str">
        <f>IF(Source!$C286&gt;=COLUMNS($A286:AM286), Source!$G286, "")</f>
        <v/>
      </c>
      <c r="AN286" s="2" t="str">
        <f>IF(Source!$C286&gt;=COLUMNS($A286:AN286), Source!$G286, "")</f>
        <v/>
      </c>
      <c r="AO286" s="2" t="str">
        <f>IF(Source!$C286&gt;=COLUMNS($A286:AO286), Source!$G286, "")</f>
        <v/>
      </c>
      <c r="AP286" s="2" t="str">
        <f>IF(Source!$C286&gt;=COLUMNS($A286:AP286), Source!$G286, "")</f>
        <v/>
      </c>
      <c r="AQ286" s="2" t="str">
        <f>IF(Source!$C286&gt;=COLUMNS($A286:AQ286), Source!$G286, "")</f>
        <v/>
      </c>
      <c r="AR286" s="2" t="str">
        <f>IF(Source!$C286&gt;=COLUMNS($A286:AR286), Source!$G286, "")</f>
        <v/>
      </c>
    </row>
    <row r="287">
      <c r="A287" s="2">
        <f>IF(Source!$C287&gt;=COLUMNS($A287:A287), Source!$G287, "")</f>
        <v>8</v>
      </c>
      <c r="B287" s="2">
        <f>IF(Source!$C287&gt;=COLUMNS($A287:B287), Source!$G287, "")</f>
        <v>8</v>
      </c>
      <c r="C287" s="2" t="str">
        <f>IF(Source!$C287&gt;=COLUMNS($A287:C287), Source!$G287, "")</f>
        <v/>
      </c>
      <c r="D287" s="2" t="str">
        <f>IF(Source!$C287&gt;=COLUMNS($A287:D287), Source!$G287, "")</f>
        <v/>
      </c>
      <c r="E287" s="2" t="str">
        <f>IF(Source!$C287&gt;=COLUMNS($A287:E287), Source!$G287, "")</f>
        <v/>
      </c>
      <c r="F287" s="2" t="str">
        <f>IF(Source!$C287&gt;=COLUMNS($A287:F287), Source!$G287, "")</f>
        <v/>
      </c>
      <c r="G287" s="2" t="str">
        <f>IF(Source!$C287&gt;=COLUMNS($A287:G287), Source!$G287, "")</f>
        <v/>
      </c>
      <c r="H287" s="2" t="str">
        <f>IF(Source!$C287&gt;=COLUMNS($A287:H287), Source!$G287, "")</f>
        <v/>
      </c>
      <c r="I287" s="2" t="str">
        <f>IF(Source!$C287&gt;=COLUMNS($A287:I287), Source!$G287, "")</f>
        <v/>
      </c>
      <c r="J287" s="2" t="str">
        <f>IF(Source!$C287&gt;=COLUMNS($A287:J287), Source!$G287, "")</f>
        <v/>
      </c>
      <c r="K287" s="2" t="str">
        <f>IF(Source!$C287&gt;=COLUMNS($A287:K287), Source!$G287, "")</f>
        <v/>
      </c>
      <c r="L287" s="2" t="str">
        <f>IF(Source!$C287&gt;=COLUMNS($A287:L287), Source!$G287, "")</f>
        <v/>
      </c>
      <c r="M287" s="2" t="str">
        <f>IF(Source!$C287&gt;=COLUMNS($A287:M287), Source!$G287, "")</f>
        <v/>
      </c>
      <c r="N287" s="2" t="str">
        <f>IF(Source!$C287&gt;=COLUMNS($A287:N287), Source!$G287, "")</f>
        <v/>
      </c>
      <c r="O287" s="2" t="str">
        <f>IF(Source!$C287&gt;=COLUMNS($A287:O287), Source!$G287, "")</f>
        <v/>
      </c>
      <c r="P287" s="2" t="str">
        <f>IF(Source!$C287&gt;=COLUMNS($A287:P287), Source!$G287, "")</f>
        <v/>
      </c>
      <c r="Q287" s="2" t="str">
        <f>IF(Source!$C287&gt;=COLUMNS($A287:Q287), Source!$G287, "")</f>
        <v/>
      </c>
      <c r="R287" s="2" t="str">
        <f>IF(Source!$C287&gt;=COLUMNS($A287:R287), Source!$G287, "")</f>
        <v/>
      </c>
      <c r="S287" s="2" t="str">
        <f>IF(Source!$C287&gt;=COLUMNS($A287:S287), Source!$G287, "")</f>
        <v/>
      </c>
      <c r="T287" s="2" t="str">
        <f>IF(Source!$C287&gt;=COLUMNS($A287:T287), Source!$G287, "")</f>
        <v/>
      </c>
      <c r="U287" s="2" t="str">
        <f>IF(Source!$C287&gt;=COLUMNS($A287:U287), Source!$G287, "")</f>
        <v/>
      </c>
      <c r="V287" s="2" t="str">
        <f>IF(Source!$C287&gt;=COLUMNS($A287:V287), Source!$G287, "")</f>
        <v/>
      </c>
      <c r="W287" s="2" t="str">
        <f>IF(Source!$C287&gt;=COLUMNS($A287:W287), Source!$G287, "")</f>
        <v/>
      </c>
      <c r="X287" s="2" t="str">
        <f>IF(Source!$C287&gt;=COLUMNS($A287:X287), Source!$G287, "")</f>
        <v/>
      </c>
      <c r="Y287" s="2" t="str">
        <f>IF(Source!$C287&gt;=COLUMNS($A287:Y287), Source!$G287, "")</f>
        <v/>
      </c>
      <c r="Z287" s="2" t="str">
        <f>IF(Source!$C287&gt;=COLUMNS($A287:Z287), Source!$G287, "")</f>
        <v/>
      </c>
      <c r="AA287" s="2" t="str">
        <f>IF(Source!$C287&gt;=COLUMNS($A287:AA287), Source!$G287, "")</f>
        <v/>
      </c>
      <c r="AB287" s="2" t="str">
        <f>IF(Source!$C287&gt;=COLUMNS($A287:AB287), Source!$G287, "")</f>
        <v/>
      </c>
      <c r="AC287" s="2" t="str">
        <f>IF(Source!$C287&gt;=COLUMNS($A287:AC287), Source!$G287, "")</f>
        <v/>
      </c>
      <c r="AD287" s="2" t="str">
        <f>IF(Source!$C287&gt;=COLUMNS($A287:AD287), Source!$G287, "")</f>
        <v/>
      </c>
      <c r="AE287" s="2" t="str">
        <f>IF(Source!$C287&gt;=COLUMNS($A287:AE287), Source!$G287, "")</f>
        <v/>
      </c>
      <c r="AF287" s="2" t="str">
        <f>IF(Source!$C287&gt;=COLUMNS($A287:AF287), Source!$G287, "")</f>
        <v/>
      </c>
      <c r="AG287" s="2" t="str">
        <f>IF(Source!$C287&gt;=COLUMNS($A287:AG287), Source!$G287, "")</f>
        <v/>
      </c>
      <c r="AH287" s="2" t="str">
        <f>IF(Source!$C287&gt;=COLUMNS($A287:AH287), Source!$G287, "")</f>
        <v/>
      </c>
      <c r="AI287" s="2" t="str">
        <f>IF(Source!$C287&gt;=COLUMNS($A287:AI287), Source!$G287, "")</f>
        <v/>
      </c>
      <c r="AJ287" s="2" t="str">
        <f>IF(Source!$C287&gt;=COLUMNS($A287:AJ287), Source!$G287, "")</f>
        <v/>
      </c>
      <c r="AK287" s="2" t="str">
        <f>IF(Source!$C287&gt;=COLUMNS($A287:AK287), Source!$G287, "")</f>
        <v/>
      </c>
      <c r="AL287" s="2" t="str">
        <f>IF(Source!$C287&gt;=COLUMNS($A287:AL287), Source!$G287, "")</f>
        <v/>
      </c>
      <c r="AM287" s="2" t="str">
        <f>IF(Source!$C287&gt;=COLUMNS($A287:AM287), Source!$G287, "")</f>
        <v/>
      </c>
      <c r="AN287" s="2" t="str">
        <f>IF(Source!$C287&gt;=COLUMNS($A287:AN287), Source!$G287, "")</f>
        <v/>
      </c>
      <c r="AO287" s="2" t="str">
        <f>IF(Source!$C287&gt;=COLUMNS($A287:AO287), Source!$G287, "")</f>
        <v/>
      </c>
      <c r="AP287" s="2" t="str">
        <f>IF(Source!$C287&gt;=COLUMNS($A287:AP287), Source!$G287, "")</f>
        <v/>
      </c>
      <c r="AQ287" s="2" t="str">
        <f>IF(Source!$C287&gt;=COLUMNS($A287:AQ287), Source!$G287, "")</f>
        <v/>
      </c>
      <c r="AR287" s="2" t="str">
        <f>IF(Source!$C287&gt;=COLUMNS($A287:AR287), Source!$G287, "")</f>
        <v/>
      </c>
    </row>
    <row r="288">
      <c r="A288" s="2">
        <f>IF(Source!$C288&gt;=COLUMNS($A288:A288), Source!$G288, "")</f>
        <v>1</v>
      </c>
      <c r="B288" s="2">
        <f>IF(Source!$C288&gt;=COLUMNS($A288:B288), Source!$G288, "")</f>
        <v>1</v>
      </c>
      <c r="C288" s="2">
        <f>IF(Source!$C288&gt;=COLUMNS($A288:C288), Source!$G288, "")</f>
        <v>1</v>
      </c>
      <c r="D288" s="2">
        <f>IF(Source!$C288&gt;=COLUMNS($A288:D288), Source!$G288, "")</f>
        <v>1</v>
      </c>
      <c r="E288" s="2">
        <f>IF(Source!$C288&gt;=COLUMNS($A288:E288), Source!$G288, "")</f>
        <v>1</v>
      </c>
      <c r="F288" s="2">
        <f>IF(Source!$C288&gt;=COLUMNS($A288:F288), Source!$G288, "")</f>
        <v>1</v>
      </c>
      <c r="G288" s="2">
        <f>IF(Source!$C288&gt;=COLUMNS($A288:G288), Source!$G288, "")</f>
        <v>1</v>
      </c>
      <c r="H288" s="2">
        <f>IF(Source!$C288&gt;=COLUMNS($A288:H288), Source!$G288, "")</f>
        <v>1</v>
      </c>
      <c r="I288" s="2">
        <f>IF(Source!$C288&gt;=COLUMNS($A288:I288), Source!$G288, "")</f>
        <v>1</v>
      </c>
      <c r="J288" s="2">
        <f>IF(Source!$C288&gt;=COLUMNS($A288:J288), Source!$G288, "")</f>
        <v>1</v>
      </c>
      <c r="K288" s="2">
        <f>IF(Source!$C288&gt;=COLUMNS($A288:K288), Source!$G288, "")</f>
        <v>1</v>
      </c>
      <c r="L288" s="2">
        <f>IF(Source!$C288&gt;=COLUMNS($A288:L288), Source!$G288, "")</f>
        <v>1</v>
      </c>
      <c r="M288" s="2">
        <f>IF(Source!$C288&gt;=COLUMNS($A288:M288), Source!$G288, "")</f>
        <v>1</v>
      </c>
      <c r="N288" s="2">
        <f>IF(Source!$C288&gt;=COLUMNS($A288:N288), Source!$G288, "")</f>
        <v>1</v>
      </c>
      <c r="O288" s="2" t="str">
        <f>IF(Source!$C288&gt;=COLUMNS($A288:O288), Source!$G288, "")</f>
        <v/>
      </c>
      <c r="P288" s="2" t="str">
        <f>IF(Source!$C288&gt;=COLUMNS($A288:P288), Source!$G288, "")</f>
        <v/>
      </c>
      <c r="Q288" s="2" t="str">
        <f>IF(Source!$C288&gt;=COLUMNS($A288:Q288), Source!$G288, "")</f>
        <v/>
      </c>
      <c r="R288" s="2" t="str">
        <f>IF(Source!$C288&gt;=COLUMNS($A288:R288), Source!$G288, "")</f>
        <v/>
      </c>
      <c r="S288" s="2" t="str">
        <f>IF(Source!$C288&gt;=COLUMNS($A288:S288), Source!$G288, "")</f>
        <v/>
      </c>
      <c r="T288" s="2" t="str">
        <f>IF(Source!$C288&gt;=COLUMNS($A288:T288), Source!$G288, "")</f>
        <v/>
      </c>
      <c r="U288" s="2" t="str">
        <f>IF(Source!$C288&gt;=COLUMNS($A288:U288), Source!$G288, "")</f>
        <v/>
      </c>
      <c r="V288" s="2" t="str">
        <f>IF(Source!$C288&gt;=COLUMNS($A288:V288), Source!$G288, "")</f>
        <v/>
      </c>
      <c r="W288" s="2" t="str">
        <f>IF(Source!$C288&gt;=COLUMNS($A288:W288), Source!$G288, "")</f>
        <v/>
      </c>
      <c r="X288" s="2" t="str">
        <f>IF(Source!$C288&gt;=COLUMNS($A288:X288), Source!$G288, "")</f>
        <v/>
      </c>
      <c r="Y288" s="2" t="str">
        <f>IF(Source!$C288&gt;=COLUMNS($A288:Y288), Source!$G288, "")</f>
        <v/>
      </c>
      <c r="Z288" s="2" t="str">
        <f>IF(Source!$C288&gt;=COLUMNS($A288:Z288), Source!$G288, "")</f>
        <v/>
      </c>
      <c r="AA288" s="2" t="str">
        <f>IF(Source!$C288&gt;=COLUMNS($A288:AA288), Source!$G288, "")</f>
        <v/>
      </c>
      <c r="AB288" s="2" t="str">
        <f>IF(Source!$C288&gt;=COLUMNS($A288:AB288), Source!$G288, "")</f>
        <v/>
      </c>
      <c r="AC288" s="2" t="str">
        <f>IF(Source!$C288&gt;=COLUMNS($A288:AC288), Source!$G288, "")</f>
        <v/>
      </c>
      <c r="AD288" s="2" t="str">
        <f>IF(Source!$C288&gt;=COLUMNS($A288:AD288), Source!$G288, "")</f>
        <v/>
      </c>
      <c r="AE288" s="2" t="str">
        <f>IF(Source!$C288&gt;=COLUMNS($A288:AE288), Source!$G288, "")</f>
        <v/>
      </c>
      <c r="AF288" s="2" t="str">
        <f>IF(Source!$C288&gt;=COLUMNS($A288:AF288), Source!$G288, "")</f>
        <v/>
      </c>
      <c r="AG288" s="2" t="str">
        <f>IF(Source!$C288&gt;=COLUMNS($A288:AG288), Source!$G288, "")</f>
        <v/>
      </c>
      <c r="AH288" s="2" t="str">
        <f>IF(Source!$C288&gt;=COLUMNS($A288:AH288), Source!$G288, "")</f>
        <v/>
      </c>
      <c r="AI288" s="2" t="str">
        <f>IF(Source!$C288&gt;=COLUMNS($A288:AI288), Source!$G288, "")</f>
        <v/>
      </c>
      <c r="AJ288" s="2" t="str">
        <f>IF(Source!$C288&gt;=COLUMNS($A288:AJ288), Source!$G288, "")</f>
        <v/>
      </c>
      <c r="AK288" s="2" t="str">
        <f>IF(Source!$C288&gt;=COLUMNS($A288:AK288), Source!$G288, "")</f>
        <v/>
      </c>
      <c r="AL288" s="2" t="str">
        <f>IF(Source!$C288&gt;=COLUMNS($A288:AL288), Source!$G288, "")</f>
        <v/>
      </c>
      <c r="AM288" s="2" t="str">
        <f>IF(Source!$C288&gt;=COLUMNS($A288:AM288), Source!$G288, "")</f>
        <v/>
      </c>
      <c r="AN288" s="2" t="str">
        <f>IF(Source!$C288&gt;=COLUMNS($A288:AN288), Source!$G288, "")</f>
        <v/>
      </c>
      <c r="AO288" s="2" t="str">
        <f>IF(Source!$C288&gt;=COLUMNS($A288:AO288), Source!$G288, "")</f>
        <v/>
      </c>
      <c r="AP288" s="2" t="str">
        <f>IF(Source!$C288&gt;=COLUMNS($A288:AP288), Source!$G288, "")</f>
        <v/>
      </c>
      <c r="AQ288" s="2" t="str">
        <f>IF(Source!$C288&gt;=COLUMNS($A288:AQ288), Source!$G288, "")</f>
        <v/>
      </c>
      <c r="AR288" s="2" t="str">
        <f>IF(Source!$C288&gt;=COLUMNS($A288:AR288), Source!$G288, "")</f>
        <v/>
      </c>
    </row>
    <row r="289">
      <c r="A289" s="2">
        <f>IF(Source!$C289&gt;=COLUMNS($A289:A289), Source!$G289, "")</f>
        <v>6</v>
      </c>
      <c r="B289" s="2">
        <f>IF(Source!$C289&gt;=COLUMNS($A289:B289), Source!$G289, "")</f>
        <v>6</v>
      </c>
      <c r="C289" s="2">
        <f>IF(Source!$C289&gt;=COLUMNS($A289:C289), Source!$G289, "")</f>
        <v>6</v>
      </c>
      <c r="D289" s="2">
        <f>IF(Source!$C289&gt;=COLUMNS($A289:D289), Source!$G289, "")</f>
        <v>6</v>
      </c>
      <c r="E289" s="2">
        <f>IF(Source!$C289&gt;=COLUMNS($A289:E289), Source!$G289, "")</f>
        <v>6</v>
      </c>
      <c r="F289" s="2">
        <f>IF(Source!$C289&gt;=COLUMNS($A289:F289), Source!$G289, "")</f>
        <v>6</v>
      </c>
      <c r="G289" s="2" t="str">
        <f>IF(Source!$C289&gt;=COLUMNS($A289:G289), Source!$G289, "")</f>
        <v/>
      </c>
      <c r="H289" s="2" t="str">
        <f>IF(Source!$C289&gt;=COLUMNS($A289:H289), Source!$G289, "")</f>
        <v/>
      </c>
      <c r="I289" s="2" t="str">
        <f>IF(Source!$C289&gt;=COLUMNS($A289:I289), Source!$G289, "")</f>
        <v/>
      </c>
      <c r="J289" s="2" t="str">
        <f>IF(Source!$C289&gt;=COLUMNS($A289:J289), Source!$G289, "")</f>
        <v/>
      </c>
      <c r="K289" s="2" t="str">
        <f>IF(Source!$C289&gt;=COLUMNS($A289:K289), Source!$G289, "")</f>
        <v/>
      </c>
      <c r="L289" s="2" t="str">
        <f>IF(Source!$C289&gt;=COLUMNS($A289:L289), Source!$G289, "")</f>
        <v/>
      </c>
      <c r="M289" s="2" t="str">
        <f>IF(Source!$C289&gt;=COLUMNS($A289:M289), Source!$G289, "")</f>
        <v/>
      </c>
      <c r="N289" s="2" t="str">
        <f>IF(Source!$C289&gt;=COLUMNS($A289:N289), Source!$G289, "")</f>
        <v/>
      </c>
      <c r="O289" s="2" t="str">
        <f>IF(Source!$C289&gt;=COLUMNS($A289:O289), Source!$G289, "")</f>
        <v/>
      </c>
      <c r="P289" s="2" t="str">
        <f>IF(Source!$C289&gt;=COLUMNS($A289:P289), Source!$G289, "")</f>
        <v/>
      </c>
      <c r="Q289" s="2" t="str">
        <f>IF(Source!$C289&gt;=COLUMNS($A289:Q289), Source!$G289, "")</f>
        <v/>
      </c>
      <c r="R289" s="2" t="str">
        <f>IF(Source!$C289&gt;=COLUMNS($A289:R289), Source!$G289, "")</f>
        <v/>
      </c>
      <c r="S289" s="2" t="str">
        <f>IF(Source!$C289&gt;=COLUMNS($A289:S289), Source!$G289, "")</f>
        <v/>
      </c>
      <c r="T289" s="2" t="str">
        <f>IF(Source!$C289&gt;=COLUMNS($A289:T289), Source!$G289, "")</f>
        <v/>
      </c>
      <c r="U289" s="2" t="str">
        <f>IF(Source!$C289&gt;=COLUMNS($A289:U289), Source!$G289, "")</f>
        <v/>
      </c>
      <c r="V289" s="2" t="str">
        <f>IF(Source!$C289&gt;=COLUMNS($A289:V289), Source!$G289, "")</f>
        <v/>
      </c>
      <c r="W289" s="2" t="str">
        <f>IF(Source!$C289&gt;=COLUMNS($A289:W289), Source!$G289, "")</f>
        <v/>
      </c>
      <c r="X289" s="2" t="str">
        <f>IF(Source!$C289&gt;=COLUMNS($A289:X289), Source!$G289, "")</f>
        <v/>
      </c>
      <c r="Y289" s="2" t="str">
        <f>IF(Source!$C289&gt;=COLUMNS($A289:Y289), Source!$G289, "")</f>
        <v/>
      </c>
      <c r="Z289" s="2" t="str">
        <f>IF(Source!$C289&gt;=COLUMNS($A289:Z289), Source!$G289, "")</f>
        <v/>
      </c>
      <c r="AA289" s="2" t="str">
        <f>IF(Source!$C289&gt;=COLUMNS($A289:AA289), Source!$G289, "")</f>
        <v/>
      </c>
      <c r="AB289" s="2" t="str">
        <f>IF(Source!$C289&gt;=COLUMNS($A289:AB289), Source!$G289, "")</f>
        <v/>
      </c>
      <c r="AC289" s="2" t="str">
        <f>IF(Source!$C289&gt;=COLUMNS($A289:AC289), Source!$G289, "")</f>
        <v/>
      </c>
      <c r="AD289" s="2" t="str">
        <f>IF(Source!$C289&gt;=COLUMNS($A289:AD289), Source!$G289, "")</f>
        <v/>
      </c>
      <c r="AE289" s="2" t="str">
        <f>IF(Source!$C289&gt;=COLUMNS($A289:AE289), Source!$G289, "")</f>
        <v/>
      </c>
      <c r="AF289" s="2" t="str">
        <f>IF(Source!$C289&gt;=COLUMNS($A289:AF289), Source!$G289, "")</f>
        <v/>
      </c>
      <c r="AG289" s="2" t="str">
        <f>IF(Source!$C289&gt;=COLUMNS($A289:AG289), Source!$G289, "")</f>
        <v/>
      </c>
      <c r="AH289" s="2" t="str">
        <f>IF(Source!$C289&gt;=COLUMNS($A289:AH289), Source!$G289, "")</f>
        <v/>
      </c>
      <c r="AI289" s="2" t="str">
        <f>IF(Source!$C289&gt;=COLUMNS($A289:AI289), Source!$G289, "")</f>
        <v/>
      </c>
      <c r="AJ289" s="2" t="str">
        <f>IF(Source!$C289&gt;=COLUMNS($A289:AJ289), Source!$G289, "")</f>
        <v/>
      </c>
      <c r="AK289" s="2" t="str">
        <f>IF(Source!$C289&gt;=COLUMNS($A289:AK289), Source!$G289, "")</f>
        <v/>
      </c>
      <c r="AL289" s="2" t="str">
        <f>IF(Source!$C289&gt;=COLUMNS($A289:AL289), Source!$G289, "")</f>
        <v/>
      </c>
      <c r="AM289" s="2" t="str">
        <f>IF(Source!$C289&gt;=COLUMNS($A289:AM289), Source!$G289, "")</f>
        <v/>
      </c>
      <c r="AN289" s="2" t="str">
        <f>IF(Source!$C289&gt;=COLUMNS($A289:AN289), Source!$G289, "")</f>
        <v/>
      </c>
      <c r="AO289" s="2" t="str">
        <f>IF(Source!$C289&gt;=COLUMNS($A289:AO289), Source!$G289, "")</f>
        <v/>
      </c>
      <c r="AP289" s="2" t="str">
        <f>IF(Source!$C289&gt;=COLUMNS($A289:AP289), Source!$G289, "")</f>
        <v/>
      </c>
      <c r="AQ289" s="2" t="str">
        <f>IF(Source!$C289&gt;=COLUMNS($A289:AQ289), Source!$G289, "")</f>
        <v/>
      </c>
      <c r="AR289" s="2" t="str">
        <f>IF(Source!$C289&gt;=COLUMNS($A289:AR289), Source!$G289, "")</f>
        <v/>
      </c>
    </row>
    <row r="290">
      <c r="A290" s="2">
        <f>IF(Source!$C290&gt;=COLUMNS($A290:A290), Source!$G290, "")</f>
        <v>2</v>
      </c>
      <c r="B290" s="2" t="str">
        <f>IF(Source!$C290&gt;=COLUMNS($A290:B290), Source!$G290, "")</f>
        <v/>
      </c>
      <c r="C290" s="2" t="str">
        <f>IF(Source!$C290&gt;=COLUMNS($A290:C290), Source!$G290, "")</f>
        <v/>
      </c>
      <c r="D290" s="2" t="str">
        <f>IF(Source!$C290&gt;=COLUMNS($A290:D290), Source!$G290, "")</f>
        <v/>
      </c>
      <c r="E290" s="2" t="str">
        <f>IF(Source!$C290&gt;=COLUMNS($A290:E290), Source!$G290, "")</f>
        <v/>
      </c>
      <c r="F290" s="2" t="str">
        <f>IF(Source!$C290&gt;=COLUMNS($A290:F290), Source!$G290, "")</f>
        <v/>
      </c>
      <c r="G290" s="2" t="str">
        <f>IF(Source!$C290&gt;=COLUMNS($A290:G290), Source!$G290, "")</f>
        <v/>
      </c>
      <c r="H290" s="2" t="str">
        <f>IF(Source!$C290&gt;=COLUMNS($A290:H290), Source!$G290, "")</f>
        <v/>
      </c>
      <c r="I290" s="2" t="str">
        <f>IF(Source!$C290&gt;=COLUMNS($A290:I290), Source!$G290, "")</f>
        <v/>
      </c>
      <c r="J290" s="2" t="str">
        <f>IF(Source!$C290&gt;=COLUMNS($A290:J290), Source!$G290, "")</f>
        <v/>
      </c>
      <c r="K290" s="2" t="str">
        <f>IF(Source!$C290&gt;=COLUMNS($A290:K290), Source!$G290, "")</f>
        <v/>
      </c>
      <c r="L290" s="2" t="str">
        <f>IF(Source!$C290&gt;=COLUMNS($A290:L290), Source!$G290, "")</f>
        <v/>
      </c>
      <c r="M290" s="2" t="str">
        <f>IF(Source!$C290&gt;=COLUMNS($A290:M290), Source!$G290, "")</f>
        <v/>
      </c>
      <c r="N290" s="2" t="str">
        <f>IF(Source!$C290&gt;=COLUMNS($A290:N290), Source!$G290, "")</f>
        <v/>
      </c>
      <c r="O290" s="2" t="str">
        <f>IF(Source!$C290&gt;=COLUMNS($A290:O290), Source!$G290, "")</f>
        <v/>
      </c>
      <c r="P290" s="2" t="str">
        <f>IF(Source!$C290&gt;=COLUMNS($A290:P290), Source!$G290, "")</f>
        <v/>
      </c>
      <c r="Q290" s="2" t="str">
        <f>IF(Source!$C290&gt;=COLUMNS($A290:Q290), Source!$G290, "")</f>
        <v/>
      </c>
      <c r="R290" s="2" t="str">
        <f>IF(Source!$C290&gt;=COLUMNS($A290:R290), Source!$G290, "")</f>
        <v/>
      </c>
      <c r="S290" s="2" t="str">
        <f>IF(Source!$C290&gt;=COLUMNS($A290:S290), Source!$G290, "")</f>
        <v/>
      </c>
      <c r="T290" s="2" t="str">
        <f>IF(Source!$C290&gt;=COLUMNS($A290:T290), Source!$G290, "")</f>
        <v/>
      </c>
      <c r="U290" s="2" t="str">
        <f>IF(Source!$C290&gt;=COLUMNS($A290:U290), Source!$G290, "")</f>
        <v/>
      </c>
      <c r="V290" s="2" t="str">
        <f>IF(Source!$C290&gt;=COLUMNS($A290:V290), Source!$G290, "")</f>
        <v/>
      </c>
      <c r="W290" s="2" t="str">
        <f>IF(Source!$C290&gt;=COLUMNS($A290:W290), Source!$G290, "")</f>
        <v/>
      </c>
      <c r="X290" s="2" t="str">
        <f>IF(Source!$C290&gt;=COLUMNS($A290:X290), Source!$G290, "")</f>
        <v/>
      </c>
      <c r="Y290" s="2" t="str">
        <f>IF(Source!$C290&gt;=COLUMNS($A290:Y290), Source!$G290, "")</f>
        <v/>
      </c>
      <c r="Z290" s="2" t="str">
        <f>IF(Source!$C290&gt;=COLUMNS($A290:Z290), Source!$G290, "")</f>
        <v/>
      </c>
      <c r="AA290" s="2" t="str">
        <f>IF(Source!$C290&gt;=COLUMNS($A290:AA290), Source!$G290, "")</f>
        <v/>
      </c>
      <c r="AB290" s="2" t="str">
        <f>IF(Source!$C290&gt;=COLUMNS($A290:AB290), Source!$G290, "")</f>
        <v/>
      </c>
      <c r="AC290" s="2" t="str">
        <f>IF(Source!$C290&gt;=COLUMNS($A290:AC290), Source!$G290, "")</f>
        <v/>
      </c>
      <c r="AD290" s="2" t="str">
        <f>IF(Source!$C290&gt;=COLUMNS($A290:AD290), Source!$G290, "")</f>
        <v/>
      </c>
      <c r="AE290" s="2" t="str">
        <f>IF(Source!$C290&gt;=COLUMNS($A290:AE290), Source!$G290, "")</f>
        <v/>
      </c>
      <c r="AF290" s="2" t="str">
        <f>IF(Source!$C290&gt;=COLUMNS($A290:AF290), Source!$G290, "")</f>
        <v/>
      </c>
      <c r="AG290" s="2" t="str">
        <f>IF(Source!$C290&gt;=COLUMNS($A290:AG290), Source!$G290, "")</f>
        <v/>
      </c>
      <c r="AH290" s="2" t="str">
        <f>IF(Source!$C290&gt;=COLUMNS($A290:AH290), Source!$G290, "")</f>
        <v/>
      </c>
      <c r="AI290" s="2" t="str">
        <f>IF(Source!$C290&gt;=COLUMNS($A290:AI290), Source!$G290, "")</f>
        <v/>
      </c>
      <c r="AJ290" s="2" t="str">
        <f>IF(Source!$C290&gt;=COLUMNS($A290:AJ290), Source!$G290, "")</f>
        <v/>
      </c>
      <c r="AK290" s="2" t="str">
        <f>IF(Source!$C290&gt;=COLUMNS($A290:AK290), Source!$G290, "")</f>
        <v/>
      </c>
      <c r="AL290" s="2" t="str">
        <f>IF(Source!$C290&gt;=COLUMNS($A290:AL290), Source!$G290, "")</f>
        <v/>
      </c>
      <c r="AM290" s="2" t="str">
        <f>IF(Source!$C290&gt;=COLUMNS($A290:AM290), Source!$G290, "")</f>
        <v/>
      </c>
      <c r="AN290" s="2" t="str">
        <f>IF(Source!$C290&gt;=COLUMNS($A290:AN290), Source!$G290, "")</f>
        <v/>
      </c>
      <c r="AO290" s="2" t="str">
        <f>IF(Source!$C290&gt;=COLUMNS($A290:AO290), Source!$G290, "")</f>
        <v/>
      </c>
      <c r="AP290" s="2" t="str">
        <f>IF(Source!$C290&gt;=COLUMNS($A290:AP290), Source!$G290, "")</f>
        <v/>
      </c>
      <c r="AQ290" s="2" t="str">
        <f>IF(Source!$C290&gt;=COLUMNS($A290:AQ290), Source!$G290, "")</f>
        <v/>
      </c>
      <c r="AR290" s="2" t="str">
        <f>IF(Source!$C290&gt;=COLUMNS($A290:AR290), Source!$G290, "")</f>
        <v/>
      </c>
    </row>
    <row r="291">
      <c r="A291" s="2">
        <f>IF(Source!$C291&gt;=COLUMNS($A291:A291), Source!$G291, "")</f>
        <v>6</v>
      </c>
      <c r="B291" s="2">
        <f>IF(Source!$C291&gt;=COLUMNS($A291:B291), Source!$G291, "")</f>
        <v>6</v>
      </c>
      <c r="C291" s="2">
        <f>IF(Source!$C291&gt;=COLUMNS($A291:C291), Source!$G291, "")</f>
        <v>6</v>
      </c>
      <c r="D291" s="2">
        <f>IF(Source!$C291&gt;=COLUMNS($A291:D291), Source!$G291, "")</f>
        <v>6</v>
      </c>
      <c r="E291" s="2">
        <f>IF(Source!$C291&gt;=COLUMNS($A291:E291), Source!$G291, "")</f>
        <v>6</v>
      </c>
      <c r="F291" s="2">
        <f>IF(Source!$C291&gt;=COLUMNS($A291:F291), Source!$G291, "")</f>
        <v>6</v>
      </c>
      <c r="G291" s="2">
        <f>IF(Source!$C291&gt;=COLUMNS($A291:G291), Source!$G291, "")</f>
        <v>6</v>
      </c>
      <c r="H291" s="2" t="str">
        <f>IF(Source!$C291&gt;=COLUMNS($A291:H291), Source!$G291, "")</f>
        <v/>
      </c>
      <c r="I291" s="2" t="str">
        <f>IF(Source!$C291&gt;=COLUMNS($A291:I291), Source!$G291, "")</f>
        <v/>
      </c>
      <c r="J291" s="2" t="str">
        <f>IF(Source!$C291&gt;=COLUMNS($A291:J291), Source!$G291, "")</f>
        <v/>
      </c>
      <c r="K291" s="2" t="str">
        <f>IF(Source!$C291&gt;=COLUMNS($A291:K291), Source!$G291, "")</f>
        <v/>
      </c>
      <c r="L291" s="2" t="str">
        <f>IF(Source!$C291&gt;=COLUMNS($A291:L291), Source!$G291, "")</f>
        <v/>
      </c>
      <c r="M291" s="2" t="str">
        <f>IF(Source!$C291&gt;=COLUMNS($A291:M291), Source!$G291, "")</f>
        <v/>
      </c>
      <c r="N291" s="2" t="str">
        <f>IF(Source!$C291&gt;=COLUMNS($A291:N291), Source!$G291, "")</f>
        <v/>
      </c>
      <c r="O291" s="2" t="str">
        <f>IF(Source!$C291&gt;=COLUMNS($A291:O291), Source!$G291, "")</f>
        <v/>
      </c>
      <c r="P291" s="2" t="str">
        <f>IF(Source!$C291&gt;=COLUMNS($A291:P291), Source!$G291, "")</f>
        <v/>
      </c>
      <c r="Q291" s="2" t="str">
        <f>IF(Source!$C291&gt;=COLUMNS($A291:Q291), Source!$G291, "")</f>
        <v/>
      </c>
      <c r="R291" s="2" t="str">
        <f>IF(Source!$C291&gt;=COLUMNS($A291:R291), Source!$G291, "")</f>
        <v/>
      </c>
      <c r="S291" s="2" t="str">
        <f>IF(Source!$C291&gt;=COLUMNS($A291:S291), Source!$G291, "")</f>
        <v/>
      </c>
      <c r="T291" s="2" t="str">
        <f>IF(Source!$C291&gt;=COLUMNS($A291:T291), Source!$G291, "")</f>
        <v/>
      </c>
      <c r="U291" s="2" t="str">
        <f>IF(Source!$C291&gt;=COLUMNS($A291:U291), Source!$G291, "")</f>
        <v/>
      </c>
      <c r="V291" s="2" t="str">
        <f>IF(Source!$C291&gt;=COLUMNS($A291:V291), Source!$G291, "")</f>
        <v/>
      </c>
      <c r="W291" s="2" t="str">
        <f>IF(Source!$C291&gt;=COLUMNS($A291:W291), Source!$G291, "")</f>
        <v/>
      </c>
      <c r="X291" s="2" t="str">
        <f>IF(Source!$C291&gt;=COLUMNS($A291:X291), Source!$G291, "")</f>
        <v/>
      </c>
      <c r="Y291" s="2" t="str">
        <f>IF(Source!$C291&gt;=COLUMNS($A291:Y291), Source!$G291, "")</f>
        <v/>
      </c>
      <c r="Z291" s="2" t="str">
        <f>IF(Source!$C291&gt;=COLUMNS($A291:Z291), Source!$G291, "")</f>
        <v/>
      </c>
      <c r="AA291" s="2" t="str">
        <f>IF(Source!$C291&gt;=COLUMNS($A291:AA291), Source!$G291, "")</f>
        <v/>
      </c>
      <c r="AB291" s="2" t="str">
        <f>IF(Source!$C291&gt;=COLUMNS($A291:AB291), Source!$G291, "")</f>
        <v/>
      </c>
      <c r="AC291" s="2" t="str">
        <f>IF(Source!$C291&gt;=COLUMNS($A291:AC291), Source!$G291, "")</f>
        <v/>
      </c>
      <c r="AD291" s="2" t="str">
        <f>IF(Source!$C291&gt;=COLUMNS($A291:AD291), Source!$G291, "")</f>
        <v/>
      </c>
      <c r="AE291" s="2" t="str">
        <f>IF(Source!$C291&gt;=COLUMNS($A291:AE291), Source!$G291, "")</f>
        <v/>
      </c>
      <c r="AF291" s="2" t="str">
        <f>IF(Source!$C291&gt;=COLUMNS($A291:AF291), Source!$G291, "")</f>
        <v/>
      </c>
      <c r="AG291" s="2" t="str">
        <f>IF(Source!$C291&gt;=COLUMNS($A291:AG291), Source!$G291, "")</f>
        <v/>
      </c>
      <c r="AH291" s="2" t="str">
        <f>IF(Source!$C291&gt;=COLUMNS($A291:AH291), Source!$G291, "")</f>
        <v/>
      </c>
      <c r="AI291" s="2" t="str">
        <f>IF(Source!$C291&gt;=COLUMNS($A291:AI291), Source!$G291, "")</f>
        <v/>
      </c>
      <c r="AJ291" s="2" t="str">
        <f>IF(Source!$C291&gt;=COLUMNS($A291:AJ291), Source!$G291, "")</f>
        <v/>
      </c>
      <c r="AK291" s="2" t="str">
        <f>IF(Source!$C291&gt;=COLUMNS($A291:AK291), Source!$G291, "")</f>
        <v/>
      </c>
      <c r="AL291" s="2" t="str">
        <f>IF(Source!$C291&gt;=COLUMNS($A291:AL291), Source!$G291, "")</f>
        <v/>
      </c>
      <c r="AM291" s="2" t="str">
        <f>IF(Source!$C291&gt;=COLUMNS($A291:AM291), Source!$G291, "")</f>
        <v/>
      </c>
      <c r="AN291" s="2" t="str">
        <f>IF(Source!$C291&gt;=COLUMNS($A291:AN291), Source!$G291, "")</f>
        <v/>
      </c>
      <c r="AO291" s="2" t="str">
        <f>IF(Source!$C291&gt;=COLUMNS($A291:AO291), Source!$G291, "")</f>
        <v/>
      </c>
      <c r="AP291" s="2" t="str">
        <f>IF(Source!$C291&gt;=COLUMNS($A291:AP291), Source!$G291, "")</f>
        <v/>
      </c>
      <c r="AQ291" s="2" t="str">
        <f>IF(Source!$C291&gt;=COLUMNS($A291:AQ291), Source!$G291, "")</f>
        <v/>
      </c>
      <c r="AR291" s="2" t="str">
        <f>IF(Source!$C291&gt;=COLUMNS($A291:AR291), Source!$G291, "")</f>
        <v/>
      </c>
    </row>
    <row r="292">
      <c r="A292" s="2">
        <f>IF(Source!$C292&gt;=COLUMNS($A292:A292), Source!$G292, "")</f>
        <v>4</v>
      </c>
      <c r="B292" s="2" t="str">
        <f>IF(Source!$C292&gt;=COLUMNS($A292:B292), Source!$G292, "")</f>
        <v/>
      </c>
      <c r="C292" s="2" t="str">
        <f>IF(Source!$C292&gt;=COLUMNS($A292:C292), Source!$G292, "")</f>
        <v/>
      </c>
      <c r="D292" s="2" t="str">
        <f>IF(Source!$C292&gt;=COLUMNS($A292:D292), Source!$G292, "")</f>
        <v/>
      </c>
      <c r="E292" s="2" t="str">
        <f>IF(Source!$C292&gt;=COLUMNS($A292:E292), Source!$G292, "")</f>
        <v/>
      </c>
      <c r="F292" s="2" t="str">
        <f>IF(Source!$C292&gt;=COLUMNS($A292:F292), Source!$G292, "")</f>
        <v/>
      </c>
      <c r="G292" s="2" t="str">
        <f>IF(Source!$C292&gt;=COLUMNS($A292:G292), Source!$G292, "")</f>
        <v/>
      </c>
      <c r="H292" s="2" t="str">
        <f>IF(Source!$C292&gt;=COLUMNS($A292:H292), Source!$G292, "")</f>
        <v/>
      </c>
      <c r="I292" s="2" t="str">
        <f>IF(Source!$C292&gt;=COLUMNS($A292:I292), Source!$G292, "")</f>
        <v/>
      </c>
      <c r="J292" s="2" t="str">
        <f>IF(Source!$C292&gt;=COLUMNS($A292:J292), Source!$G292, "")</f>
        <v/>
      </c>
      <c r="K292" s="2" t="str">
        <f>IF(Source!$C292&gt;=COLUMNS($A292:K292), Source!$G292, "")</f>
        <v/>
      </c>
      <c r="L292" s="2" t="str">
        <f>IF(Source!$C292&gt;=COLUMNS($A292:L292), Source!$G292, "")</f>
        <v/>
      </c>
      <c r="M292" s="2" t="str">
        <f>IF(Source!$C292&gt;=COLUMNS($A292:M292), Source!$G292, "")</f>
        <v/>
      </c>
      <c r="N292" s="2" t="str">
        <f>IF(Source!$C292&gt;=COLUMNS($A292:N292), Source!$G292, "")</f>
        <v/>
      </c>
      <c r="O292" s="2" t="str">
        <f>IF(Source!$C292&gt;=COLUMNS($A292:O292), Source!$G292, "")</f>
        <v/>
      </c>
      <c r="P292" s="2" t="str">
        <f>IF(Source!$C292&gt;=COLUMNS($A292:P292), Source!$G292, "")</f>
        <v/>
      </c>
      <c r="Q292" s="2" t="str">
        <f>IF(Source!$C292&gt;=COLUMNS($A292:Q292), Source!$G292, "")</f>
        <v/>
      </c>
      <c r="R292" s="2" t="str">
        <f>IF(Source!$C292&gt;=COLUMNS($A292:R292), Source!$G292, "")</f>
        <v/>
      </c>
      <c r="S292" s="2" t="str">
        <f>IF(Source!$C292&gt;=COLUMNS($A292:S292), Source!$G292, "")</f>
        <v/>
      </c>
      <c r="T292" s="2" t="str">
        <f>IF(Source!$C292&gt;=COLUMNS($A292:T292), Source!$G292, "")</f>
        <v/>
      </c>
      <c r="U292" s="2" t="str">
        <f>IF(Source!$C292&gt;=COLUMNS($A292:U292), Source!$G292, "")</f>
        <v/>
      </c>
      <c r="V292" s="2" t="str">
        <f>IF(Source!$C292&gt;=COLUMNS($A292:V292), Source!$G292, "")</f>
        <v/>
      </c>
      <c r="W292" s="2" t="str">
        <f>IF(Source!$C292&gt;=COLUMNS($A292:W292), Source!$G292, "")</f>
        <v/>
      </c>
      <c r="X292" s="2" t="str">
        <f>IF(Source!$C292&gt;=COLUMNS($A292:X292), Source!$G292, "")</f>
        <v/>
      </c>
      <c r="Y292" s="2" t="str">
        <f>IF(Source!$C292&gt;=COLUMNS($A292:Y292), Source!$G292, "")</f>
        <v/>
      </c>
      <c r="Z292" s="2" t="str">
        <f>IF(Source!$C292&gt;=COLUMNS($A292:Z292), Source!$G292, "")</f>
        <v/>
      </c>
      <c r="AA292" s="2" t="str">
        <f>IF(Source!$C292&gt;=COLUMNS($A292:AA292), Source!$G292, "")</f>
        <v/>
      </c>
      <c r="AB292" s="2" t="str">
        <f>IF(Source!$C292&gt;=COLUMNS($A292:AB292), Source!$G292, "")</f>
        <v/>
      </c>
      <c r="AC292" s="2" t="str">
        <f>IF(Source!$C292&gt;=COLUMNS($A292:AC292), Source!$G292, "")</f>
        <v/>
      </c>
      <c r="AD292" s="2" t="str">
        <f>IF(Source!$C292&gt;=COLUMNS($A292:AD292), Source!$G292, "")</f>
        <v/>
      </c>
      <c r="AE292" s="2" t="str">
        <f>IF(Source!$C292&gt;=COLUMNS($A292:AE292), Source!$G292, "")</f>
        <v/>
      </c>
      <c r="AF292" s="2" t="str">
        <f>IF(Source!$C292&gt;=COLUMNS($A292:AF292), Source!$G292, "")</f>
        <v/>
      </c>
      <c r="AG292" s="2" t="str">
        <f>IF(Source!$C292&gt;=COLUMNS($A292:AG292), Source!$G292, "")</f>
        <v/>
      </c>
      <c r="AH292" s="2" t="str">
        <f>IF(Source!$C292&gt;=COLUMNS($A292:AH292), Source!$G292, "")</f>
        <v/>
      </c>
      <c r="AI292" s="2" t="str">
        <f>IF(Source!$C292&gt;=COLUMNS($A292:AI292), Source!$G292, "")</f>
        <v/>
      </c>
      <c r="AJ292" s="2" t="str">
        <f>IF(Source!$C292&gt;=COLUMNS($A292:AJ292), Source!$G292, "")</f>
        <v/>
      </c>
      <c r="AK292" s="2" t="str">
        <f>IF(Source!$C292&gt;=COLUMNS($A292:AK292), Source!$G292, "")</f>
        <v/>
      </c>
      <c r="AL292" s="2" t="str">
        <f>IF(Source!$C292&gt;=COLUMNS($A292:AL292), Source!$G292, "")</f>
        <v/>
      </c>
      <c r="AM292" s="2" t="str">
        <f>IF(Source!$C292&gt;=COLUMNS($A292:AM292), Source!$G292, "")</f>
        <v/>
      </c>
      <c r="AN292" s="2" t="str">
        <f>IF(Source!$C292&gt;=COLUMNS($A292:AN292), Source!$G292, "")</f>
        <v/>
      </c>
      <c r="AO292" s="2" t="str">
        <f>IF(Source!$C292&gt;=COLUMNS($A292:AO292), Source!$G292, "")</f>
        <v/>
      </c>
      <c r="AP292" s="2" t="str">
        <f>IF(Source!$C292&gt;=COLUMNS($A292:AP292), Source!$G292, "")</f>
        <v/>
      </c>
      <c r="AQ292" s="2" t="str">
        <f>IF(Source!$C292&gt;=COLUMNS($A292:AQ292), Source!$G292, "")</f>
        <v/>
      </c>
      <c r="AR292" s="2" t="str">
        <f>IF(Source!$C292&gt;=COLUMNS($A292:AR292), Source!$G292, "")</f>
        <v/>
      </c>
    </row>
    <row r="293">
      <c r="A293" s="2">
        <f>IF(Source!$C293&gt;=COLUMNS($A293:A293), Source!$G293, "")</f>
        <v>4</v>
      </c>
      <c r="B293" s="2">
        <f>IF(Source!$C293&gt;=COLUMNS($A293:B293), Source!$G293, "")</f>
        <v>4</v>
      </c>
      <c r="C293" s="2">
        <f>IF(Source!$C293&gt;=COLUMNS($A293:C293), Source!$G293, "")</f>
        <v>4</v>
      </c>
      <c r="D293" s="2">
        <f>IF(Source!$C293&gt;=COLUMNS($A293:D293), Source!$G293, "")</f>
        <v>4</v>
      </c>
      <c r="E293" s="2" t="str">
        <f>IF(Source!$C293&gt;=COLUMNS($A293:E293), Source!$G293, "")</f>
        <v/>
      </c>
      <c r="F293" s="2" t="str">
        <f>IF(Source!$C293&gt;=COLUMNS($A293:F293), Source!$G293, "")</f>
        <v/>
      </c>
      <c r="G293" s="2" t="str">
        <f>IF(Source!$C293&gt;=COLUMNS($A293:G293), Source!$G293, "")</f>
        <v/>
      </c>
      <c r="H293" s="2" t="str">
        <f>IF(Source!$C293&gt;=COLUMNS($A293:H293), Source!$G293, "")</f>
        <v/>
      </c>
      <c r="I293" s="2" t="str">
        <f>IF(Source!$C293&gt;=COLUMNS($A293:I293), Source!$G293, "")</f>
        <v/>
      </c>
      <c r="J293" s="2" t="str">
        <f>IF(Source!$C293&gt;=COLUMNS($A293:J293), Source!$G293, "")</f>
        <v/>
      </c>
      <c r="K293" s="2" t="str">
        <f>IF(Source!$C293&gt;=COLUMNS($A293:K293), Source!$G293, "")</f>
        <v/>
      </c>
      <c r="L293" s="2" t="str">
        <f>IF(Source!$C293&gt;=COLUMNS($A293:L293), Source!$G293, "")</f>
        <v/>
      </c>
      <c r="M293" s="2" t="str">
        <f>IF(Source!$C293&gt;=COLUMNS($A293:M293), Source!$G293, "")</f>
        <v/>
      </c>
      <c r="N293" s="2" t="str">
        <f>IF(Source!$C293&gt;=COLUMNS($A293:N293), Source!$G293, "")</f>
        <v/>
      </c>
      <c r="O293" s="2" t="str">
        <f>IF(Source!$C293&gt;=COLUMNS($A293:O293), Source!$G293, "")</f>
        <v/>
      </c>
      <c r="P293" s="2" t="str">
        <f>IF(Source!$C293&gt;=COLUMNS($A293:P293), Source!$G293, "")</f>
        <v/>
      </c>
      <c r="Q293" s="2" t="str">
        <f>IF(Source!$C293&gt;=COLUMNS($A293:Q293), Source!$G293, "")</f>
        <v/>
      </c>
      <c r="R293" s="2" t="str">
        <f>IF(Source!$C293&gt;=COLUMNS($A293:R293), Source!$G293, "")</f>
        <v/>
      </c>
      <c r="S293" s="2" t="str">
        <f>IF(Source!$C293&gt;=COLUMNS($A293:S293), Source!$G293, "")</f>
        <v/>
      </c>
      <c r="T293" s="2" t="str">
        <f>IF(Source!$C293&gt;=COLUMNS($A293:T293), Source!$G293, "")</f>
        <v/>
      </c>
      <c r="U293" s="2" t="str">
        <f>IF(Source!$C293&gt;=COLUMNS($A293:U293), Source!$G293, "")</f>
        <v/>
      </c>
      <c r="V293" s="2" t="str">
        <f>IF(Source!$C293&gt;=COLUMNS($A293:V293), Source!$G293, "")</f>
        <v/>
      </c>
      <c r="W293" s="2" t="str">
        <f>IF(Source!$C293&gt;=COLUMNS($A293:W293), Source!$G293, "")</f>
        <v/>
      </c>
      <c r="X293" s="2" t="str">
        <f>IF(Source!$C293&gt;=COLUMNS($A293:X293), Source!$G293, "")</f>
        <v/>
      </c>
      <c r="Y293" s="2" t="str">
        <f>IF(Source!$C293&gt;=COLUMNS($A293:Y293), Source!$G293, "")</f>
        <v/>
      </c>
      <c r="Z293" s="2" t="str">
        <f>IF(Source!$C293&gt;=COLUMNS($A293:Z293), Source!$G293, "")</f>
        <v/>
      </c>
      <c r="AA293" s="2" t="str">
        <f>IF(Source!$C293&gt;=COLUMNS($A293:AA293), Source!$G293, "")</f>
        <v/>
      </c>
      <c r="AB293" s="2" t="str">
        <f>IF(Source!$C293&gt;=COLUMNS($A293:AB293), Source!$G293, "")</f>
        <v/>
      </c>
      <c r="AC293" s="2" t="str">
        <f>IF(Source!$C293&gt;=COLUMNS($A293:AC293), Source!$G293, "")</f>
        <v/>
      </c>
      <c r="AD293" s="2" t="str">
        <f>IF(Source!$C293&gt;=COLUMNS($A293:AD293), Source!$G293, "")</f>
        <v/>
      </c>
      <c r="AE293" s="2" t="str">
        <f>IF(Source!$C293&gt;=COLUMNS($A293:AE293), Source!$G293, "")</f>
        <v/>
      </c>
      <c r="AF293" s="2" t="str">
        <f>IF(Source!$C293&gt;=COLUMNS($A293:AF293), Source!$G293, "")</f>
        <v/>
      </c>
      <c r="AG293" s="2" t="str">
        <f>IF(Source!$C293&gt;=COLUMNS($A293:AG293), Source!$G293, "")</f>
        <v/>
      </c>
      <c r="AH293" s="2" t="str">
        <f>IF(Source!$C293&gt;=COLUMNS($A293:AH293), Source!$G293, "")</f>
        <v/>
      </c>
      <c r="AI293" s="2" t="str">
        <f>IF(Source!$C293&gt;=COLUMNS($A293:AI293), Source!$G293, "")</f>
        <v/>
      </c>
      <c r="AJ293" s="2" t="str">
        <f>IF(Source!$C293&gt;=COLUMNS($A293:AJ293), Source!$G293, "")</f>
        <v/>
      </c>
      <c r="AK293" s="2" t="str">
        <f>IF(Source!$C293&gt;=COLUMNS($A293:AK293), Source!$G293, "")</f>
        <v/>
      </c>
      <c r="AL293" s="2" t="str">
        <f>IF(Source!$C293&gt;=COLUMNS($A293:AL293), Source!$G293, "")</f>
        <v/>
      </c>
      <c r="AM293" s="2" t="str">
        <f>IF(Source!$C293&gt;=COLUMNS($A293:AM293), Source!$G293, "")</f>
        <v/>
      </c>
      <c r="AN293" s="2" t="str">
        <f>IF(Source!$C293&gt;=COLUMNS($A293:AN293), Source!$G293, "")</f>
        <v/>
      </c>
      <c r="AO293" s="2" t="str">
        <f>IF(Source!$C293&gt;=COLUMNS($A293:AO293), Source!$G293, "")</f>
        <v/>
      </c>
      <c r="AP293" s="2" t="str">
        <f>IF(Source!$C293&gt;=COLUMNS($A293:AP293), Source!$G293, "")</f>
        <v/>
      </c>
      <c r="AQ293" s="2" t="str">
        <f>IF(Source!$C293&gt;=COLUMNS($A293:AQ293), Source!$G293, "")</f>
        <v/>
      </c>
      <c r="AR293" s="2" t="str">
        <f>IF(Source!$C293&gt;=COLUMNS($A293:AR293), Source!$G293, "")</f>
        <v/>
      </c>
    </row>
    <row r="294">
      <c r="A294" s="2">
        <f>IF(Source!$C294&gt;=COLUMNS($A294:A294), Source!$G294, "")</f>
        <v>4</v>
      </c>
      <c r="B294" s="2" t="str">
        <f>IF(Source!$C294&gt;=COLUMNS($A294:B294), Source!$G294, "")</f>
        <v/>
      </c>
      <c r="C294" s="2" t="str">
        <f>IF(Source!$C294&gt;=COLUMNS($A294:C294), Source!$G294, "")</f>
        <v/>
      </c>
      <c r="D294" s="2" t="str">
        <f>IF(Source!$C294&gt;=COLUMNS($A294:D294), Source!$G294, "")</f>
        <v/>
      </c>
      <c r="E294" s="2" t="str">
        <f>IF(Source!$C294&gt;=COLUMNS($A294:E294), Source!$G294, "")</f>
        <v/>
      </c>
      <c r="F294" s="2" t="str">
        <f>IF(Source!$C294&gt;=COLUMNS($A294:F294), Source!$G294, "")</f>
        <v/>
      </c>
      <c r="G294" s="2" t="str">
        <f>IF(Source!$C294&gt;=COLUMNS($A294:G294), Source!$G294, "")</f>
        <v/>
      </c>
      <c r="H294" s="2" t="str">
        <f>IF(Source!$C294&gt;=COLUMNS($A294:H294), Source!$G294, "")</f>
        <v/>
      </c>
      <c r="I294" s="2" t="str">
        <f>IF(Source!$C294&gt;=COLUMNS($A294:I294), Source!$G294, "")</f>
        <v/>
      </c>
      <c r="J294" s="2" t="str">
        <f>IF(Source!$C294&gt;=COLUMNS($A294:J294), Source!$G294, "")</f>
        <v/>
      </c>
      <c r="K294" s="2" t="str">
        <f>IF(Source!$C294&gt;=COLUMNS($A294:K294), Source!$G294, "")</f>
        <v/>
      </c>
      <c r="L294" s="2" t="str">
        <f>IF(Source!$C294&gt;=COLUMNS($A294:L294), Source!$G294, "")</f>
        <v/>
      </c>
      <c r="M294" s="2" t="str">
        <f>IF(Source!$C294&gt;=COLUMNS($A294:M294), Source!$G294, "")</f>
        <v/>
      </c>
      <c r="N294" s="2" t="str">
        <f>IF(Source!$C294&gt;=COLUMNS($A294:N294), Source!$G294, "")</f>
        <v/>
      </c>
      <c r="O294" s="2" t="str">
        <f>IF(Source!$C294&gt;=COLUMNS($A294:O294), Source!$G294, "")</f>
        <v/>
      </c>
      <c r="P294" s="2" t="str">
        <f>IF(Source!$C294&gt;=COLUMNS($A294:P294), Source!$G294, "")</f>
        <v/>
      </c>
      <c r="Q294" s="2" t="str">
        <f>IF(Source!$C294&gt;=COLUMNS($A294:Q294), Source!$G294, "")</f>
        <v/>
      </c>
      <c r="R294" s="2" t="str">
        <f>IF(Source!$C294&gt;=COLUMNS($A294:R294), Source!$G294, "")</f>
        <v/>
      </c>
      <c r="S294" s="2" t="str">
        <f>IF(Source!$C294&gt;=COLUMNS($A294:S294), Source!$G294, "")</f>
        <v/>
      </c>
      <c r="T294" s="2" t="str">
        <f>IF(Source!$C294&gt;=COLUMNS($A294:T294), Source!$G294, "")</f>
        <v/>
      </c>
      <c r="U294" s="2" t="str">
        <f>IF(Source!$C294&gt;=COLUMNS($A294:U294), Source!$G294, "")</f>
        <v/>
      </c>
      <c r="V294" s="2" t="str">
        <f>IF(Source!$C294&gt;=COLUMNS($A294:V294), Source!$G294, "")</f>
        <v/>
      </c>
      <c r="W294" s="2" t="str">
        <f>IF(Source!$C294&gt;=COLUMNS($A294:W294), Source!$G294, "")</f>
        <v/>
      </c>
      <c r="X294" s="2" t="str">
        <f>IF(Source!$C294&gt;=COLUMNS($A294:X294), Source!$G294, "")</f>
        <v/>
      </c>
      <c r="Y294" s="2" t="str">
        <f>IF(Source!$C294&gt;=COLUMNS($A294:Y294), Source!$G294, "")</f>
        <v/>
      </c>
      <c r="Z294" s="2" t="str">
        <f>IF(Source!$C294&gt;=COLUMNS($A294:Z294), Source!$G294, "")</f>
        <v/>
      </c>
      <c r="AA294" s="2" t="str">
        <f>IF(Source!$C294&gt;=COLUMNS($A294:AA294), Source!$G294, "")</f>
        <v/>
      </c>
      <c r="AB294" s="2" t="str">
        <f>IF(Source!$C294&gt;=COLUMNS($A294:AB294), Source!$G294, "")</f>
        <v/>
      </c>
      <c r="AC294" s="2" t="str">
        <f>IF(Source!$C294&gt;=COLUMNS($A294:AC294), Source!$G294, "")</f>
        <v/>
      </c>
      <c r="AD294" s="2" t="str">
        <f>IF(Source!$C294&gt;=COLUMNS($A294:AD294), Source!$G294, "")</f>
        <v/>
      </c>
      <c r="AE294" s="2" t="str">
        <f>IF(Source!$C294&gt;=COLUMNS($A294:AE294), Source!$G294, "")</f>
        <v/>
      </c>
      <c r="AF294" s="2" t="str">
        <f>IF(Source!$C294&gt;=COLUMNS($A294:AF294), Source!$G294, "")</f>
        <v/>
      </c>
      <c r="AG294" s="2" t="str">
        <f>IF(Source!$C294&gt;=COLUMNS($A294:AG294), Source!$G294, "")</f>
        <v/>
      </c>
      <c r="AH294" s="2" t="str">
        <f>IF(Source!$C294&gt;=COLUMNS($A294:AH294), Source!$G294, "")</f>
        <v/>
      </c>
      <c r="AI294" s="2" t="str">
        <f>IF(Source!$C294&gt;=COLUMNS($A294:AI294), Source!$G294, "")</f>
        <v/>
      </c>
      <c r="AJ294" s="2" t="str">
        <f>IF(Source!$C294&gt;=COLUMNS($A294:AJ294), Source!$G294, "")</f>
        <v/>
      </c>
      <c r="AK294" s="2" t="str">
        <f>IF(Source!$C294&gt;=COLUMNS($A294:AK294), Source!$G294, "")</f>
        <v/>
      </c>
      <c r="AL294" s="2" t="str">
        <f>IF(Source!$C294&gt;=COLUMNS($A294:AL294), Source!$G294, "")</f>
        <v/>
      </c>
      <c r="AM294" s="2" t="str">
        <f>IF(Source!$C294&gt;=COLUMNS($A294:AM294), Source!$G294, "")</f>
        <v/>
      </c>
      <c r="AN294" s="2" t="str">
        <f>IF(Source!$C294&gt;=COLUMNS($A294:AN294), Source!$G294, "")</f>
        <v/>
      </c>
      <c r="AO294" s="2" t="str">
        <f>IF(Source!$C294&gt;=COLUMNS($A294:AO294), Source!$G294, "")</f>
        <v/>
      </c>
      <c r="AP294" s="2" t="str">
        <f>IF(Source!$C294&gt;=COLUMNS($A294:AP294), Source!$G294, "")</f>
        <v/>
      </c>
      <c r="AQ294" s="2" t="str">
        <f>IF(Source!$C294&gt;=COLUMNS($A294:AQ294), Source!$G294, "")</f>
        <v/>
      </c>
      <c r="AR294" s="2" t="str">
        <f>IF(Source!$C294&gt;=COLUMNS($A294:AR294), Source!$G294, "")</f>
        <v/>
      </c>
    </row>
    <row r="295">
      <c r="A295" s="2">
        <f>IF(Source!$C295&gt;=COLUMNS($A295:A295), Source!$G295, "")</f>
        <v>9</v>
      </c>
      <c r="B295" s="2">
        <f>IF(Source!$C295&gt;=COLUMNS($A295:B295), Source!$G295, "")</f>
        <v>9</v>
      </c>
      <c r="C295" s="2" t="str">
        <f>IF(Source!$C295&gt;=COLUMNS($A295:C295), Source!$G295, "")</f>
        <v/>
      </c>
      <c r="D295" s="2" t="str">
        <f>IF(Source!$C295&gt;=COLUMNS($A295:D295), Source!$G295, "")</f>
        <v/>
      </c>
      <c r="E295" s="2" t="str">
        <f>IF(Source!$C295&gt;=COLUMNS($A295:E295), Source!$G295, "")</f>
        <v/>
      </c>
      <c r="F295" s="2" t="str">
        <f>IF(Source!$C295&gt;=COLUMNS($A295:F295), Source!$G295, "")</f>
        <v/>
      </c>
      <c r="G295" s="2" t="str">
        <f>IF(Source!$C295&gt;=COLUMNS($A295:G295), Source!$G295, "")</f>
        <v/>
      </c>
      <c r="H295" s="2" t="str">
        <f>IF(Source!$C295&gt;=COLUMNS($A295:H295), Source!$G295, "")</f>
        <v/>
      </c>
      <c r="I295" s="2" t="str">
        <f>IF(Source!$C295&gt;=COLUMNS($A295:I295), Source!$G295, "")</f>
        <v/>
      </c>
      <c r="J295" s="2" t="str">
        <f>IF(Source!$C295&gt;=COLUMNS($A295:J295), Source!$G295, "")</f>
        <v/>
      </c>
      <c r="K295" s="2" t="str">
        <f>IF(Source!$C295&gt;=COLUMNS($A295:K295), Source!$G295, "")</f>
        <v/>
      </c>
      <c r="L295" s="2" t="str">
        <f>IF(Source!$C295&gt;=COLUMNS($A295:L295), Source!$G295, "")</f>
        <v/>
      </c>
      <c r="M295" s="2" t="str">
        <f>IF(Source!$C295&gt;=COLUMNS($A295:M295), Source!$G295, "")</f>
        <v/>
      </c>
      <c r="N295" s="2" t="str">
        <f>IF(Source!$C295&gt;=COLUMNS($A295:N295), Source!$G295, "")</f>
        <v/>
      </c>
      <c r="O295" s="2" t="str">
        <f>IF(Source!$C295&gt;=COLUMNS($A295:O295), Source!$G295, "")</f>
        <v/>
      </c>
      <c r="P295" s="2" t="str">
        <f>IF(Source!$C295&gt;=COLUMNS($A295:P295), Source!$G295, "")</f>
        <v/>
      </c>
      <c r="Q295" s="2" t="str">
        <f>IF(Source!$C295&gt;=COLUMNS($A295:Q295), Source!$G295, "")</f>
        <v/>
      </c>
      <c r="R295" s="2" t="str">
        <f>IF(Source!$C295&gt;=COLUMNS($A295:R295), Source!$G295, "")</f>
        <v/>
      </c>
      <c r="S295" s="2" t="str">
        <f>IF(Source!$C295&gt;=COLUMNS($A295:S295), Source!$G295, "")</f>
        <v/>
      </c>
      <c r="T295" s="2" t="str">
        <f>IF(Source!$C295&gt;=COLUMNS($A295:T295), Source!$G295, "")</f>
        <v/>
      </c>
      <c r="U295" s="2" t="str">
        <f>IF(Source!$C295&gt;=COLUMNS($A295:U295), Source!$G295, "")</f>
        <v/>
      </c>
      <c r="V295" s="2" t="str">
        <f>IF(Source!$C295&gt;=COLUMNS($A295:V295), Source!$G295, "")</f>
        <v/>
      </c>
      <c r="W295" s="2" t="str">
        <f>IF(Source!$C295&gt;=COLUMNS($A295:W295), Source!$G295, "")</f>
        <v/>
      </c>
      <c r="X295" s="2" t="str">
        <f>IF(Source!$C295&gt;=COLUMNS($A295:X295), Source!$G295, "")</f>
        <v/>
      </c>
      <c r="Y295" s="2" t="str">
        <f>IF(Source!$C295&gt;=COLUMNS($A295:Y295), Source!$G295, "")</f>
        <v/>
      </c>
      <c r="Z295" s="2" t="str">
        <f>IF(Source!$C295&gt;=COLUMNS($A295:Z295), Source!$G295, "")</f>
        <v/>
      </c>
      <c r="AA295" s="2" t="str">
        <f>IF(Source!$C295&gt;=COLUMNS($A295:AA295), Source!$G295, "")</f>
        <v/>
      </c>
      <c r="AB295" s="2" t="str">
        <f>IF(Source!$C295&gt;=COLUMNS($A295:AB295), Source!$G295, "")</f>
        <v/>
      </c>
      <c r="AC295" s="2" t="str">
        <f>IF(Source!$C295&gt;=COLUMNS($A295:AC295), Source!$G295, "")</f>
        <v/>
      </c>
      <c r="AD295" s="2" t="str">
        <f>IF(Source!$C295&gt;=COLUMNS($A295:AD295), Source!$G295, "")</f>
        <v/>
      </c>
      <c r="AE295" s="2" t="str">
        <f>IF(Source!$C295&gt;=COLUMNS($A295:AE295), Source!$G295, "")</f>
        <v/>
      </c>
      <c r="AF295" s="2" t="str">
        <f>IF(Source!$C295&gt;=COLUMNS($A295:AF295), Source!$G295, "")</f>
        <v/>
      </c>
      <c r="AG295" s="2" t="str">
        <f>IF(Source!$C295&gt;=COLUMNS($A295:AG295), Source!$G295, "")</f>
        <v/>
      </c>
      <c r="AH295" s="2" t="str">
        <f>IF(Source!$C295&gt;=COLUMNS($A295:AH295), Source!$G295, "")</f>
        <v/>
      </c>
      <c r="AI295" s="2" t="str">
        <f>IF(Source!$C295&gt;=COLUMNS($A295:AI295), Source!$G295, "")</f>
        <v/>
      </c>
      <c r="AJ295" s="2" t="str">
        <f>IF(Source!$C295&gt;=COLUMNS($A295:AJ295), Source!$G295, "")</f>
        <v/>
      </c>
      <c r="AK295" s="2" t="str">
        <f>IF(Source!$C295&gt;=COLUMNS($A295:AK295), Source!$G295, "")</f>
        <v/>
      </c>
      <c r="AL295" s="2" t="str">
        <f>IF(Source!$C295&gt;=COLUMNS($A295:AL295), Source!$G295, "")</f>
        <v/>
      </c>
      <c r="AM295" s="2" t="str">
        <f>IF(Source!$C295&gt;=COLUMNS($A295:AM295), Source!$G295, "")</f>
        <v/>
      </c>
      <c r="AN295" s="2" t="str">
        <f>IF(Source!$C295&gt;=COLUMNS($A295:AN295), Source!$G295, "")</f>
        <v/>
      </c>
      <c r="AO295" s="2" t="str">
        <f>IF(Source!$C295&gt;=COLUMNS($A295:AO295), Source!$G295, "")</f>
        <v/>
      </c>
      <c r="AP295" s="2" t="str">
        <f>IF(Source!$C295&gt;=COLUMNS($A295:AP295), Source!$G295, "")</f>
        <v/>
      </c>
      <c r="AQ295" s="2" t="str">
        <f>IF(Source!$C295&gt;=COLUMNS($A295:AQ295), Source!$G295, "")</f>
        <v/>
      </c>
      <c r="AR295" s="2" t="str">
        <f>IF(Source!$C295&gt;=COLUMNS($A295:AR295), Source!$G295, "")</f>
        <v/>
      </c>
    </row>
    <row r="296">
      <c r="A296" s="2">
        <f>IF(Source!$C296&gt;=COLUMNS($A296:A296), Source!$G296, "")</f>
        <v>4</v>
      </c>
      <c r="B296" s="2">
        <f>IF(Source!$C296&gt;=COLUMNS($A296:B296), Source!$G296, "")</f>
        <v>4</v>
      </c>
      <c r="C296" s="2" t="str">
        <f>IF(Source!$C296&gt;=COLUMNS($A296:C296), Source!$G296, "")</f>
        <v/>
      </c>
      <c r="D296" s="2" t="str">
        <f>IF(Source!$C296&gt;=COLUMNS($A296:D296), Source!$G296, "")</f>
        <v/>
      </c>
      <c r="E296" s="2" t="str">
        <f>IF(Source!$C296&gt;=COLUMNS($A296:E296), Source!$G296, "")</f>
        <v/>
      </c>
      <c r="F296" s="2" t="str">
        <f>IF(Source!$C296&gt;=COLUMNS($A296:F296), Source!$G296, "")</f>
        <v/>
      </c>
      <c r="G296" s="2" t="str">
        <f>IF(Source!$C296&gt;=COLUMNS($A296:G296), Source!$G296, "")</f>
        <v/>
      </c>
      <c r="H296" s="2" t="str">
        <f>IF(Source!$C296&gt;=COLUMNS($A296:H296), Source!$G296, "")</f>
        <v/>
      </c>
      <c r="I296" s="2" t="str">
        <f>IF(Source!$C296&gt;=COLUMNS($A296:I296), Source!$G296, "")</f>
        <v/>
      </c>
      <c r="J296" s="2" t="str">
        <f>IF(Source!$C296&gt;=COLUMNS($A296:J296), Source!$G296, "")</f>
        <v/>
      </c>
      <c r="K296" s="2" t="str">
        <f>IF(Source!$C296&gt;=COLUMNS($A296:K296), Source!$G296, "")</f>
        <v/>
      </c>
      <c r="L296" s="2" t="str">
        <f>IF(Source!$C296&gt;=COLUMNS($A296:L296), Source!$G296, "")</f>
        <v/>
      </c>
      <c r="M296" s="2" t="str">
        <f>IF(Source!$C296&gt;=COLUMNS($A296:M296), Source!$G296, "")</f>
        <v/>
      </c>
      <c r="N296" s="2" t="str">
        <f>IF(Source!$C296&gt;=COLUMNS($A296:N296), Source!$G296, "")</f>
        <v/>
      </c>
      <c r="O296" s="2" t="str">
        <f>IF(Source!$C296&gt;=COLUMNS($A296:O296), Source!$G296, "")</f>
        <v/>
      </c>
      <c r="P296" s="2" t="str">
        <f>IF(Source!$C296&gt;=COLUMNS($A296:P296), Source!$G296, "")</f>
        <v/>
      </c>
      <c r="Q296" s="2" t="str">
        <f>IF(Source!$C296&gt;=COLUMNS($A296:Q296), Source!$G296, "")</f>
        <v/>
      </c>
      <c r="R296" s="2" t="str">
        <f>IF(Source!$C296&gt;=COLUMNS($A296:R296), Source!$G296, "")</f>
        <v/>
      </c>
      <c r="S296" s="2" t="str">
        <f>IF(Source!$C296&gt;=COLUMNS($A296:S296), Source!$G296, "")</f>
        <v/>
      </c>
      <c r="T296" s="2" t="str">
        <f>IF(Source!$C296&gt;=COLUMNS($A296:T296), Source!$G296, "")</f>
        <v/>
      </c>
      <c r="U296" s="2" t="str">
        <f>IF(Source!$C296&gt;=COLUMNS($A296:U296), Source!$G296, "")</f>
        <v/>
      </c>
      <c r="V296" s="2" t="str">
        <f>IF(Source!$C296&gt;=COLUMNS($A296:V296), Source!$G296, "")</f>
        <v/>
      </c>
      <c r="W296" s="2" t="str">
        <f>IF(Source!$C296&gt;=COLUMNS($A296:W296), Source!$G296, "")</f>
        <v/>
      </c>
      <c r="X296" s="2" t="str">
        <f>IF(Source!$C296&gt;=COLUMNS($A296:X296), Source!$G296, "")</f>
        <v/>
      </c>
      <c r="Y296" s="2" t="str">
        <f>IF(Source!$C296&gt;=COLUMNS($A296:Y296), Source!$G296, "")</f>
        <v/>
      </c>
      <c r="Z296" s="2" t="str">
        <f>IF(Source!$C296&gt;=COLUMNS($A296:Z296), Source!$G296, "")</f>
        <v/>
      </c>
      <c r="AA296" s="2" t="str">
        <f>IF(Source!$C296&gt;=COLUMNS($A296:AA296), Source!$G296, "")</f>
        <v/>
      </c>
      <c r="AB296" s="2" t="str">
        <f>IF(Source!$C296&gt;=COLUMNS($A296:AB296), Source!$G296, "")</f>
        <v/>
      </c>
      <c r="AC296" s="2" t="str">
        <f>IF(Source!$C296&gt;=COLUMNS($A296:AC296), Source!$G296, "")</f>
        <v/>
      </c>
      <c r="AD296" s="2" t="str">
        <f>IF(Source!$C296&gt;=COLUMNS($A296:AD296), Source!$G296, "")</f>
        <v/>
      </c>
      <c r="AE296" s="2" t="str">
        <f>IF(Source!$C296&gt;=COLUMNS($A296:AE296), Source!$G296, "")</f>
        <v/>
      </c>
      <c r="AF296" s="2" t="str">
        <f>IF(Source!$C296&gt;=COLUMNS($A296:AF296), Source!$G296, "")</f>
        <v/>
      </c>
      <c r="AG296" s="2" t="str">
        <f>IF(Source!$C296&gt;=COLUMNS($A296:AG296), Source!$G296, "")</f>
        <v/>
      </c>
      <c r="AH296" s="2" t="str">
        <f>IF(Source!$C296&gt;=COLUMNS($A296:AH296), Source!$G296, "")</f>
        <v/>
      </c>
      <c r="AI296" s="2" t="str">
        <f>IF(Source!$C296&gt;=COLUMNS($A296:AI296), Source!$G296, "")</f>
        <v/>
      </c>
      <c r="AJ296" s="2" t="str">
        <f>IF(Source!$C296&gt;=COLUMNS($A296:AJ296), Source!$G296, "")</f>
        <v/>
      </c>
      <c r="AK296" s="2" t="str">
        <f>IF(Source!$C296&gt;=COLUMNS($A296:AK296), Source!$G296, "")</f>
        <v/>
      </c>
      <c r="AL296" s="2" t="str">
        <f>IF(Source!$C296&gt;=COLUMNS($A296:AL296), Source!$G296, "")</f>
        <v/>
      </c>
      <c r="AM296" s="2" t="str">
        <f>IF(Source!$C296&gt;=COLUMNS($A296:AM296), Source!$G296, "")</f>
        <v/>
      </c>
      <c r="AN296" s="2" t="str">
        <f>IF(Source!$C296&gt;=COLUMNS($A296:AN296), Source!$G296, "")</f>
        <v/>
      </c>
      <c r="AO296" s="2" t="str">
        <f>IF(Source!$C296&gt;=COLUMNS($A296:AO296), Source!$G296, "")</f>
        <v/>
      </c>
      <c r="AP296" s="2" t="str">
        <f>IF(Source!$C296&gt;=COLUMNS($A296:AP296), Source!$G296, "")</f>
        <v/>
      </c>
      <c r="AQ296" s="2" t="str">
        <f>IF(Source!$C296&gt;=COLUMNS($A296:AQ296), Source!$G296, "")</f>
        <v/>
      </c>
      <c r="AR296" s="2" t="str">
        <f>IF(Source!$C296&gt;=COLUMNS($A296:AR296), Source!$G296, "")</f>
        <v/>
      </c>
    </row>
    <row r="297">
      <c r="A297" s="2">
        <f>IF(Source!$C297&gt;=COLUMNS($A297:A297), Source!$G297, "")</f>
        <v>8</v>
      </c>
      <c r="B297" s="2">
        <f>IF(Source!$C297&gt;=COLUMNS($A297:B297), Source!$G297, "")</f>
        <v>8</v>
      </c>
      <c r="C297" s="2" t="str">
        <f>IF(Source!$C297&gt;=COLUMNS($A297:C297), Source!$G297, "")</f>
        <v/>
      </c>
      <c r="D297" s="2" t="str">
        <f>IF(Source!$C297&gt;=COLUMNS($A297:D297), Source!$G297, "")</f>
        <v/>
      </c>
      <c r="E297" s="2" t="str">
        <f>IF(Source!$C297&gt;=COLUMNS($A297:E297), Source!$G297, "")</f>
        <v/>
      </c>
      <c r="F297" s="2" t="str">
        <f>IF(Source!$C297&gt;=COLUMNS($A297:F297), Source!$G297, "")</f>
        <v/>
      </c>
      <c r="G297" s="2" t="str">
        <f>IF(Source!$C297&gt;=COLUMNS($A297:G297), Source!$G297, "")</f>
        <v/>
      </c>
      <c r="H297" s="2" t="str">
        <f>IF(Source!$C297&gt;=COLUMNS($A297:H297), Source!$G297, "")</f>
        <v/>
      </c>
      <c r="I297" s="2" t="str">
        <f>IF(Source!$C297&gt;=COLUMNS($A297:I297), Source!$G297, "")</f>
        <v/>
      </c>
      <c r="J297" s="2" t="str">
        <f>IF(Source!$C297&gt;=COLUMNS($A297:J297), Source!$G297, "")</f>
        <v/>
      </c>
      <c r="K297" s="2" t="str">
        <f>IF(Source!$C297&gt;=COLUMNS($A297:K297), Source!$G297, "")</f>
        <v/>
      </c>
      <c r="L297" s="2" t="str">
        <f>IF(Source!$C297&gt;=COLUMNS($A297:L297), Source!$G297, "")</f>
        <v/>
      </c>
      <c r="M297" s="2" t="str">
        <f>IF(Source!$C297&gt;=COLUMNS($A297:M297), Source!$G297, "")</f>
        <v/>
      </c>
      <c r="N297" s="2" t="str">
        <f>IF(Source!$C297&gt;=COLUMNS($A297:N297), Source!$G297, "")</f>
        <v/>
      </c>
      <c r="O297" s="2" t="str">
        <f>IF(Source!$C297&gt;=COLUMNS($A297:O297), Source!$G297, "")</f>
        <v/>
      </c>
      <c r="P297" s="2" t="str">
        <f>IF(Source!$C297&gt;=COLUMNS($A297:P297), Source!$G297, "")</f>
        <v/>
      </c>
      <c r="Q297" s="2" t="str">
        <f>IF(Source!$C297&gt;=COLUMNS($A297:Q297), Source!$G297, "")</f>
        <v/>
      </c>
      <c r="R297" s="2" t="str">
        <f>IF(Source!$C297&gt;=COLUMNS($A297:R297), Source!$G297, "")</f>
        <v/>
      </c>
      <c r="S297" s="2" t="str">
        <f>IF(Source!$C297&gt;=COLUMNS($A297:S297), Source!$G297, "")</f>
        <v/>
      </c>
      <c r="T297" s="2" t="str">
        <f>IF(Source!$C297&gt;=COLUMNS($A297:T297), Source!$G297, "")</f>
        <v/>
      </c>
      <c r="U297" s="2" t="str">
        <f>IF(Source!$C297&gt;=COLUMNS($A297:U297), Source!$G297, "")</f>
        <v/>
      </c>
      <c r="V297" s="2" t="str">
        <f>IF(Source!$C297&gt;=COLUMNS($A297:V297), Source!$G297, "")</f>
        <v/>
      </c>
      <c r="W297" s="2" t="str">
        <f>IF(Source!$C297&gt;=COLUMNS($A297:W297), Source!$G297, "")</f>
        <v/>
      </c>
      <c r="X297" s="2" t="str">
        <f>IF(Source!$C297&gt;=COLUMNS($A297:X297), Source!$G297, "")</f>
        <v/>
      </c>
      <c r="Y297" s="2" t="str">
        <f>IF(Source!$C297&gt;=COLUMNS($A297:Y297), Source!$G297, "")</f>
        <v/>
      </c>
      <c r="Z297" s="2" t="str">
        <f>IF(Source!$C297&gt;=COLUMNS($A297:Z297), Source!$G297, "")</f>
        <v/>
      </c>
      <c r="AA297" s="2" t="str">
        <f>IF(Source!$C297&gt;=COLUMNS($A297:AA297), Source!$G297, "")</f>
        <v/>
      </c>
      <c r="AB297" s="2" t="str">
        <f>IF(Source!$C297&gt;=COLUMNS($A297:AB297), Source!$G297, "")</f>
        <v/>
      </c>
      <c r="AC297" s="2" t="str">
        <f>IF(Source!$C297&gt;=COLUMNS($A297:AC297), Source!$G297, "")</f>
        <v/>
      </c>
      <c r="AD297" s="2" t="str">
        <f>IF(Source!$C297&gt;=COLUMNS($A297:AD297), Source!$G297, "")</f>
        <v/>
      </c>
      <c r="AE297" s="2" t="str">
        <f>IF(Source!$C297&gt;=COLUMNS($A297:AE297), Source!$G297, "")</f>
        <v/>
      </c>
      <c r="AF297" s="2" t="str">
        <f>IF(Source!$C297&gt;=COLUMNS($A297:AF297), Source!$G297, "")</f>
        <v/>
      </c>
      <c r="AG297" s="2" t="str">
        <f>IF(Source!$C297&gt;=COLUMNS($A297:AG297), Source!$G297, "")</f>
        <v/>
      </c>
      <c r="AH297" s="2" t="str">
        <f>IF(Source!$C297&gt;=COLUMNS($A297:AH297), Source!$G297, "")</f>
        <v/>
      </c>
      <c r="AI297" s="2" t="str">
        <f>IF(Source!$C297&gt;=COLUMNS($A297:AI297), Source!$G297, "")</f>
        <v/>
      </c>
      <c r="AJ297" s="2" t="str">
        <f>IF(Source!$C297&gt;=COLUMNS($A297:AJ297), Source!$G297, "")</f>
        <v/>
      </c>
      <c r="AK297" s="2" t="str">
        <f>IF(Source!$C297&gt;=COLUMNS($A297:AK297), Source!$G297, "")</f>
        <v/>
      </c>
      <c r="AL297" s="2" t="str">
        <f>IF(Source!$C297&gt;=COLUMNS($A297:AL297), Source!$G297, "")</f>
        <v/>
      </c>
      <c r="AM297" s="2" t="str">
        <f>IF(Source!$C297&gt;=COLUMNS($A297:AM297), Source!$G297, "")</f>
        <v/>
      </c>
      <c r="AN297" s="2" t="str">
        <f>IF(Source!$C297&gt;=COLUMNS($A297:AN297), Source!$G297, "")</f>
        <v/>
      </c>
      <c r="AO297" s="2" t="str">
        <f>IF(Source!$C297&gt;=COLUMNS($A297:AO297), Source!$G297, "")</f>
        <v/>
      </c>
      <c r="AP297" s="2" t="str">
        <f>IF(Source!$C297&gt;=COLUMNS($A297:AP297), Source!$G297, "")</f>
        <v/>
      </c>
      <c r="AQ297" s="2" t="str">
        <f>IF(Source!$C297&gt;=COLUMNS($A297:AQ297), Source!$G297, "")</f>
        <v/>
      </c>
      <c r="AR297" s="2" t="str">
        <f>IF(Source!$C297&gt;=COLUMNS($A297:AR297), Source!$G297, "")</f>
        <v/>
      </c>
    </row>
    <row r="298">
      <c r="A298" s="2">
        <f>IF(Source!$C298&gt;=COLUMNS($A298:A298), Source!$G298, "")</f>
        <v>6</v>
      </c>
      <c r="B298" s="2">
        <f>IF(Source!$C298&gt;=COLUMNS($A298:B298), Source!$G298, "")</f>
        <v>6</v>
      </c>
      <c r="C298" s="2">
        <f>IF(Source!$C298&gt;=COLUMNS($A298:C298), Source!$G298, "")</f>
        <v>6</v>
      </c>
      <c r="D298" s="2">
        <f>IF(Source!$C298&gt;=COLUMNS($A298:D298), Source!$G298, "")</f>
        <v>6</v>
      </c>
      <c r="E298" s="2">
        <f>IF(Source!$C298&gt;=COLUMNS($A298:E298), Source!$G298, "")</f>
        <v>6</v>
      </c>
      <c r="F298" s="2">
        <f>IF(Source!$C298&gt;=COLUMNS($A298:F298), Source!$G298, "")</f>
        <v>6</v>
      </c>
      <c r="G298" s="2">
        <f>IF(Source!$C298&gt;=COLUMNS($A298:G298), Source!$G298, "")</f>
        <v>6</v>
      </c>
      <c r="H298" s="2">
        <f>IF(Source!$C298&gt;=COLUMNS($A298:H298), Source!$G298, "")</f>
        <v>6</v>
      </c>
      <c r="I298" s="2">
        <f>IF(Source!$C298&gt;=COLUMNS($A298:I298), Source!$G298, "")</f>
        <v>6</v>
      </c>
      <c r="J298" s="2" t="str">
        <f>IF(Source!$C298&gt;=COLUMNS($A298:J298), Source!$G298, "")</f>
        <v/>
      </c>
      <c r="K298" s="2" t="str">
        <f>IF(Source!$C298&gt;=COLUMNS($A298:K298), Source!$G298, "")</f>
        <v/>
      </c>
      <c r="L298" s="2" t="str">
        <f>IF(Source!$C298&gt;=COLUMNS($A298:L298), Source!$G298, "")</f>
        <v/>
      </c>
      <c r="M298" s="2" t="str">
        <f>IF(Source!$C298&gt;=COLUMNS($A298:M298), Source!$G298, "")</f>
        <v/>
      </c>
      <c r="N298" s="2" t="str">
        <f>IF(Source!$C298&gt;=COLUMNS($A298:N298), Source!$G298, "")</f>
        <v/>
      </c>
      <c r="O298" s="2" t="str">
        <f>IF(Source!$C298&gt;=COLUMNS($A298:O298), Source!$G298, "")</f>
        <v/>
      </c>
      <c r="P298" s="2" t="str">
        <f>IF(Source!$C298&gt;=COLUMNS($A298:P298), Source!$G298, "")</f>
        <v/>
      </c>
      <c r="Q298" s="2" t="str">
        <f>IF(Source!$C298&gt;=COLUMNS($A298:Q298), Source!$G298, "")</f>
        <v/>
      </c>
      <c r="R298" s="2" t="str">
        <f>IF(Source!$C298&gt;=COLUMNS($A298:R298), Source!$G298, "")</f>
        <v/>
      </c>
      <c r="S298" s="2" t="str">
        <f>IF(Source!$C298&gt;=COLUMNS($A298:S298), Source!$G298, "")</f>
        <v/>
      </c>
      <c r="T298" s="2" t="str">
        <f>IF(Source!$C298&gt;=COLUMNS($A298:T298), Source!$G298, "")</f>
        <v/>
      </c>
      <c r="U298" s="2" t="str">
        <f>IF(Source!$C298&gt;=COLUMNS($A298:U298), Source!$G298, "")</f>
        <v/>
      </c>
      <c r="V298" s="2" t="str">
        <f>IF(Source!$C298&gt;=COLUMNS($A298:V298), Source!$G298, "")</f>
        <v/>
      </c>
      <c r="W298" s="2" t="str">
        <f>IF(Source!$C298&gt;=COLUMNS($A298:W298), Source!$G298, "")</f>
        <v/>
      </c>
      <c r="X298" s="2" t="str">
        <f>IF(Source!$C298&gt;=COLUMNS($A298:X298), Source!$G298, "")</f>
        <v/>
      </c>
      <c r="Y298" s="2" t="str">
        <f>IF(Source!$C298&gt;=COLUMNS($A298:Y298), Source!$G298, "")</f>
        <v/>
      </c>
      <c r="Z298" s="2" t="str">
        <f>IF(Source!$C298&gt;=COLUMNS($A298:Z298), Source!$G298, "")</f>
        <v/>
      </c>
      <c r="AA298" s="2" t="str">
        <f>IF(Source!$C298&gt;=COLUMNS($A298:AA298), Source!$G298, "")</f>
        <v/>
      </c>
      <c r="AB298" s="2" t="str">
        <f>IF(Source!$C298&gt;=COLUMNS($A298:AB298), Source!$G298, "")</f>
        <v/>
      </c>
      <c r="AC298" s="2" t="str">
        <f>IF(Source!$C298&gt;=COLUMNS($A298:AC298), Source!$G298, "")</f>
        <v/>
      </c>
      <c r="AD298" s="2" t="str">
        <f>IF(Source!$C298&gt;=COLUMNS($A298:AD298), Source!$G298, "")</f>
        <v/>
      </c>
      <c r="AE298" s="2" t="str">
        <f>IF(Source!$C298&gt;=COLUMNS($A298:AE298), Source!$G298, "")</f>
        <v/>
      </c>
      <c r="AF298" s="2" t="str">
        <f>IF(Source!$C298&gt;=COLUMNS($A298:AF298), Source!$G298, "")</f>
        <v/>
      </c>
      <c r="AG298" s="2" t="str">
        <f>IF(Source!$C298&gt;=COLUMNS($A298:AG298), Source!$G298, "")</f>
        <v/>
      </c>
      <c r="AH298" s="2" t="str">
        <f>IF(Source!$C298&gt;=COLUMNS($A298:AH298), Source!$G298, "")</f>
        <v/>
      </c>
      <c r="AI298" s="2" t="str">
        <f>IF(Source!$C298&gt;=COLUMNS($A298:AI298), Source!$G298, "")</f>
        <v/>
      </c>
      <c r="AJ298" s="2" t="str">
        <f>IF(Source!$C298&gt;=COLUMNS($A298:AJ298), Source!$G298, "")</f>
        <v/>
      </c>
      <c r="AK298" s="2" t="str">
        <f>IF(Source!$C298&gt;=COLUMNS($A298:AK298), Source!$G298, "")</f>
        <v/>
      </c>
      <c r="AL298" s="2" t="str">
        <f>IF(Source!$C298&gt;=COLUMNS($A298:AL298), Source!$G298, "")</f>
        <v/>
      </c>
      <c r="AM298" s="2" t="str">
        <f>IF(Source!$C298&gt;=COLUMNS($A298:AM298), Source!$G298, "")</f>
        <v/>
      </c>
      <c r="AN298" s="2" t="str">
        <f>IF(Source!$C298&gt;=COLUMNS($A298:AN298), Source!$G298, "")</f>
        <v/>
      </c>
      <c r="AO298" s="2" t="str">
        <f>IF(Source!$C298&gt;=COLUMNS($A298:AO298), Source!$G298, "")</f>
        <v/>
      </c>
      <c r="AP298" s="2" t="str">
        <f>IF(Source!$C298&gt;=COLUMNS($A298:AP298), Source!$G298, "")</f>
        <v/>
      </c>
      <c r="AQ298" s="2" t="str">
        <f>IF(Source!$C298&gt;=COLUMNS($A298:AQ298), Source!$G298, "")</f>
        <v/>
      </c>
      <c r="AR298" s="2" t="str">
        <f>IF(Source!$C298&gt;=COLUMNS($A298:AR298), Source!$G298, "")</f>
        <v/>
      </c>
    </row>
    <row r="299">
      <c r="A299" s="2">
        <f>IF(Source!$C299&gt;=COLUMNS($A299:A299), Source!$G299, "")</f>
        <v>4</v>
      </c>
      <c r="B299" s="2">
        <f>IF(Source!$C299&gt;=COLUMNS($A299:B299), Source!$G299, "")</f>
        <v>4</v>
      </c>
      <c r="C299" s="2">
        <f>IF(Source!$C299&gt;=COLUMNS($A299:C299), Source!$G299, "")</f>
        <v>4</v>
      </c>
      <c r="D299" s="2" t="str">
        <f>IF(Source!$C299&gt;=COLUMNS($A299:D299), Source!$G299, "")</f>
        <v/>
      </c>
      <c r="E299" s="2" t="str">
        <f>IF(Source!$C299&gt;=COLUMNS($A299:E299), Source!$G299, "")</f>
        <v/>
      </c>
      <c r="F299" s="2" t="str">
        <f>IF(Source!$C299&gt;=COLUMNS($A299:F299), Source!$G299, "")</f>
        <v/>
      </c>
      <c r="G299" s="2" t="str">
        <f>IF(Source!$C299&gt;=COLUMNS($A299:G299), Source!$G299, "")</f>
        <v/>
      </c>
      <c r="H299" s="2" t="str">
        <f>IF(Source!$C299&gt;=COLUMNS($A299:H299), Source!$G299, "")</f>
        <v/>
      </c>
      <c r="I299" s="2" t="str">
        <f>IF(Source!$C299&gt;=COLUMNS($A299:I299), Source!$G299, "")</f>
        <v/>
      </c>
      <c r="J299" s="2" t="str">
        <f>IF(Source!$C299&gt;=COLUMNS($A299:J299), Source!$G299, "")</f>
        <v/>
      </c>
      <c r="K299" s="2" t="str">
        <f>IF(Source!$C299&gt;=COLUMNS($A299:K299), Source!$G299, "")</f>
        <v/>
      </c>
      <c r="L299" s="2" t="str">
        <f>IF(Source!$C299&gt;=COLUMNS($A299:L299), Source!$G299, "")</f>
        <v/>
      </c>
      <c r="M299" s="2" t="str">
        <f>IF(Source!$C299&gt;=COLUMNS($A299:M299), Source!$G299, "")</f>
        <v/>
      </c>
      <c r="N299" s="2" t="str">
        <f>IF(Source!$C299&gt;=COLUMNS($A299:N299), Source!$G299, "")</f>
        <v/>
      </c>
      <c r="O299" s="2" t="str">
        <f>IF(Source!$C299&gt;=COLUMNS($A299:O299), Source!$G299, "")</f>
        <v/>
      </c>
      <c r="P299" s="2" t="str">
        <f>IF(Source!$C299&gt;=COLUMNS($A299:P299), Source!$G299, "")</f>
        <v/>
      </c>
      <c r="Q299" s="2" t="str">
        <f>IF(Source!$C299&gt;=COLUMNS($A299:Q299), Source!$G299, "")</f>
        <v/>
      </c>
      <c r="R299" s="2" t="str">
        <f>IF(Source!$C299&gt;=COLUMNS($A299:R299), Source!$G299, "")</f>
        <v/>
      </c>
      <c r="S299" s="2" t="str">
        <f>IF(Source!$C299&gt;=COLUMNS($A299:S299), Source!$G299, "")</f>
        <v/>
      </c>
      <c r="T299" s="2" t="str">
        <f>IF(Source!$C299&gt;=COLUMNS($A299:T299), Source!$G299, "")</f>
        <v/>
      </c>
      <c r="U299" s="2" t="str">
        <f>IF(Source!$C299&gt;=COLUMNS($A299:U299), Source!$G299, "")</f>
        <v/>
      </c>
      <c r="V299" s="2" t="str">
        <f>IF(Source!$C299&gt;=COLUMNS($A299:V299), Source!$G299, "")</f>
        <v/>
      </c>
      <c r="W299" s="2" t="str">
        <f>IF(Source!$C299&gt;=COLUMNS($A299:W299), Source!$G299, "")</f>
        <v/>
      </c>
      <c r="X299" s="2" t="str">
        <f>IF(Source!$C299&gt;=COLUMNS($A299:X299), Source!$G299, "")</f>
        <v/>
      </c>
      <c r="Y299" s="2" t="str">
        <f>IF(Source!$C299&gt;=COLUMNS($A299:Y299), Source!$G299, "")</f>
        <v/>
      </c>
      <c r="Z299" s="2" t="str">
        <f>IF(Source!$C299&gt;=COLUMNS($A299:Z299), Source!$G299, "")</f>
        <v/>
      </c>
      <c r="AA299" s="2" t="str">
        <f>IF(Source!$C299&gt;=COLUMNS($A299:AA299), Source!$G299, "")</f>
        <v/>
      </c>
      <c r="AB299" s="2" t="str">
        <f>IF(Source!$C299&gt;=COLUMNS($A299:AB299), Source!$G299, "")</f>
        <v/>
      </c>
      <c r="AC299" s="2" t="str">
        <f>IF(Source!$C299&gt;=COLUMNS($A299:AC299), Source!$G299, "")</f>
        <v/>
      </c>
      <c r="AD299" s="2" t="str">
        <f>IF(Source!$C299&gt;=COLUMNS($A299:AD299), Source!$G299, "")</f>
        <v/>
      </c>
      <c r="AE299" s="2" t="str">
        <f>IF(Source!$C299&gt;=COLUMNS($A299:AE299), Source!$G299, "")</f>
        <v/>
      </c>
      <c r="AF299" s="2" t="str">
        <f>IF(Source!$C299&gt;=COLUMNS($A299:AF299), Source!$G299, "")</f>
        <v/>
      </c>
      <c r="AG299" s="2" t="str">
        <f>IF(Source!$C299&gt;=COLUMNS($A299:AG299), Source!$G299, "")</f>
        <v/>
      </c>
      <c r="AH299" s="2" t="str">
        <f>IF(Source!$C299&gt;=COLUMNS($A299:AH299), Source!$G299, "")</f>
        <v/>
      </c>
      <c r="AI299" s="2" t="str">
        <f>IF(Source!$C299&gt;=COLUMNS($A299:AI299), Source!$G299, "")</f>
        <v/>
      </c>
      <c r="AJ299" s="2" t="str">
        <f>IF(Source!$C299&gt;=COLUMNS($A299:AJ299), Source!$G299, "")</f>
        <v/>
      </c>
      <c r="AK299" s="2" t="str">
        <f>IF(Source!$C299&gt;=COLUMNS($A299:AK299), Source!$G299, "")</f>
        <v/>
      </c>
      <c r="AL299" s="2" t="str">
        <f>IF(Source!$C299&gt;=COLUMNS($A299:AL299), Source!$G299, "")</f>
        <v/>
      </c>
      <c r="AM299" s="2" t="str">
        <f>IF(Source!$C299&gt;=COLUMNS($A299:AM299), Source!$G299, "")</f>
        <v/>
      </c>
      <c r="AN299" s="2" t="str">
        <f>IF(Source!$C299&gt;=COLUMNS($A299:AN299), Source!$G299, "")</f>
        <v/>
      </c>
      <c r="AO299" s="2" t="str">
        <f>IF(Source!$C299&gt;=COLUMNS($A299:AO299), Source!$G299, "")</f>
        <v/>
      </c>
      <c r="AP299" s="2" t="str">
        <f>IF(Source!$C299&gt;=COLUMNS($A299:AP299), Source!$G299, "")</f>
        <v/>
      </c>
      <c r="AQ299" s="2" t="str">
        <f>IF(Source!$C299&gt;=COLUMNS($A299:AQ299), Source!$G299, "")</f>
        <v/>
      </c>
      <c r="AR299" s="2" t="str">
        <f>IF(Source!$C299&gt;=COLUMNS($A299:AR299), Source!$G299, "")</f>
        <v/>
      </c>
    </row>
    <row r="300">
      <c r="A300" s="2">
        <f>IF(Source!$C300&gt;=COLUMNS($A300:A300), Source!$G300, "")</f>
        <v>6</v>
      </c>
      <c r="B300" s="2">
        <f>IF(Source!$C300&gt;=COLUMNS($A300:B300), Source!$G300, "")</f>
        <v>6</v>
      </c>
      <c r="C300" s="2">
        <f>IF(Source!$C300&gt;=COLUMNS($A300:C300), Source!$G300, "")</f>
        <v>6</v>
      </c>
      <c r="D300" s="2">
        <f>IF(Source!$C300&gt;=COLUMNS($A300:D300), Source!$G300, "")</f>
        <v>6</v>
      </c>
      <c r="E300" s="2" t="str">
        <f>IF(Source!$C300&gt;=COLUMNS($A300:E300), Source!$G300, "")</f>
        <v/>
      </c>
      <c r="F300" s="2" t="str">
        <f>IF(Source!$C300&gt;=COLUMNS($A300:F300), Source!$G300, "")</f>
        <v/>
      </c>
      <c r="G300" s="2" t="str">
        <f>IF(Source!$C300&gt;=COLUMNS($A300:G300), Source!$G300, "")</f>
        <v/>
      </c>
      <c r="H300" s="2" t="str">
        <f>IF(Source!$C300&gt;=COLUMNS($A300:H300), Source!$G300, "")</f>
        <v/>
      </c>
      <c r="I300" s="2" t="str">
        <f>IF(Source!$C300&gt;=COLUMNS($A300:I300), Source!$G300, "")</f>
        <v/>
      </c>
      <c r="J300" s="2" t="str">
        <f>IF(Source!$C300&gt;=COLUMNS($A300:J300), Source!$G300, "")</f>
        <v/>
      </c>
      <c r="K300" s="2" t="str">
        <f>IF(Source!$C300&gt;=COLUMNS($A300:K300), Source!$G300, "")</f>
        <v/>
      </c>
      <c r="L300" s="2" t="str">
        <f>IF(Source!$C300&gt;=COLUMNS($A300:L300), Source!$G300, "")</f>
        <v/>
      </c>
      <c r="M300" s="2" t="str">
        <f>IF(Source!$C300&gt;=COLUMNS($A300:M300), Source!$G300, "")</f>
        <v/>
      </c>
      <c r="N300" s="2" t="str">
        <f>IF(Source!$C300&gt;=COLUMNS($A300:N300), Source!$G300, "")</f>
        <v/>
      </c>
      <c r="O300" s="2" t="str">
        <f>IF(Source!$C300&gt;=COLUMNS($A300:O300), Source!$G300, "")</f>
        <v/>
      </c>
      <c r="P300" s="2" t="str">
        <f>IF(Source!$C300&gt;=COLUMNS($A300:P300), Source!$G300, "")</f>
        <v/>
      </c>
      <c r="Q300" s="2" t="str">
        <f>IF(Source!$C300&gt;=COLUMNS($A300:Q300), Source!$G300, "")</f>
        <v/>
      </c>
      <c r="R300" s="2" t="str">
        <f>IF(Source!$C300&gt;=COLUMNS($A300:R300), Source!$G300, "")</f>
        <v/>
      </c>
      <c r="S300" s="2" t="str">
        <f>IF(Source!$C300&gt;=COLUMNS($A300:S300), Source!$G300, "")</f>
        <v/>
      </c>
      <c r="T300" s="2" t="str">
        <f>IF(Source!$C300&gt;=COLUMNS($A300:T300), Source!$G300, "")</f>
        <v/>
      </c>
      <c r="U300" s="2" t="str">
        <f>IF(Source!$C300&gt;=COLUMNS($A300:U300), Source!$G300, "")</f>
        <v/>
      </c>
      <c r="V300" s="2" t="str">
        <f>IF(Source!$C300&gt;=COLUMNS($A300:V300), Source!$G300, "")</f>
        <v/>
      </c>
      <c r="W300" s="2" t="str">
        <f>IF(Source!$C300&gt;=COLUMNS($A300:W300), Source!$G300, "")</f>
        <v/>
      </c>
      <c r="X300" s="2" t="str">
        <f>IF(Source!$C300&gt;=COLUMNS($A300:X300), Source!$G300, "")</f>
        <v/>
      </c>
      <c r="Y300" s="2" t="str">
        <f>IF(Source!$C300&gt;=COLUMNS($A300:Y300), Source!$G300, "")</f>
        <v/>
      </c>
      <c r="Z300" s="2" t="str">
        <f>IF(Source!$C300&gt;=COLUMNS($A300:Z300), Source!$G300, "")</f>
        <v/>
      </c>
      <c r="AA300" s="2" t="str">
        <f>IF(Source!$C300&gt;=COLUMNS($A300:AA300), Source!$G300, "")</f>
        <v/>
      </c>
      <c r="AB300" s="2" t="str">
        <f>IF(Source!$C300&gt;=COLUMNS($A300:AB300), Source!$G300, "")</f>
        <v/>
      </c>
      <c r="AC300" s="2" t="str">
        <f>IF(Source!$C300&gt;=COLUMNS($A300:AC300), Source!$G300, "")</f>
        <v/>
      </c>
      <c r="AD300" s="2" t="str">
        <f>IF(Source!$C300&gt;=COLUMNS($A300:AD300), Source!$G300, "")</f>
        <v/>
      </c>
      <c r="AE300" s="2" t="str">
        <f>IF(Source!$C300&gt;=COLUMNS($A300:AE300), Source!$G300, "")</f>
        <v/>
      </c>
      <c r="AF300" s="2" t="str">
        <f>IF(Source!$C300&gt;=COLUMNS($A300:AF300), Source!$G300, "")</f>
        <v/>
      </c>
      <c r="AG300" s="2" t="str">
        <f>IF(Source!$C300&gt;=COLUMNS($A300:AG300), Source!$G300, "")</f>
        <v/>
      </c>
      <c r="AH300" s="2" t="str">
        <f>IF(Source!$C300&gt;=COLUMNS($A300:AH300), Source!$G300, "")</f>
        <v/>
      </c>
      <c r="AI300" s="2" t="str">
        <f>IF(Source!$C300&gt;=COLUMNS($A300:AI300), Source!$G300, "")</f>
        <v/>
      </c>
      <c r="AJ300" s="2" t="str">
        <f>IF(Source!$C300&gt;=COLUMNS($A300:AJ300), Source!$G300, "")</f>
        <v/>
      </c>
      <c r="AK300" s="2" t="str">
        <f>IF(Source!$C300&gt;=COLUMNS($A300:AK300), Source!$G300, "")</f>
        <v/>
      </c>
      <c r="AL300" s="2" t="str">
        <f>IF(Source!$C300&gt;=COLUMNS($A300:AL300), Source!$G300, "")</f>
        <v/>
      </c>
      <c r="AM300" s="2" t="str">
        <f>IF(Source!$C300&gt;=COLUMNS($A300:AM300), Source!$G300, "")</f>
        <v/>
      </c>
      <c r="AN300" s="2" t="str">
        <f>IF(Source!$C300&gt;=COLUMNS($A300:AN300), Source!$G300, "")</f>
        <v/>
      </c>
      <c r="AO300" s="2" t="str">
        <f>IF(Source!$C300&gt;=COLUMNS($A300:AO300), Source!$G300, "")</f>
        <v/>
      </c>
      <c r="AP300" s="2" t="str">
        <f>IF(Source!$C300&gt;=COLUMNS($A300:AP300), Source!$G300, "")</f>
        <v/>
      </c>
      <c r="AQ300" s="2" t="str">
        <f>IF(Source!$C300&gt;=COLUMNS($A300:AQ300), Source!$G300, "")</f>
        <v/>
      </c>
      <c r="AR300" s="2" t="str">
        <f>IF(Source!$C300&gt;=COLUMNS($A300:AR300), Source!$G300, "")</f>
        <v/>
      </c>
    </row>
    <row r="301">
      <c r="A301" s="2">
        <f>IF(Source!$C301&gt;=COLUMNS($A301:A301), Source!$G301, "")</f>
        <v>6</v>
      </c>
      <c r="B301" s="2">
        <f>IF(Source!$C301&gt;=COLUMNS($A301:B301), Source!$G301, "")</f>
        <v>6</v>
      </c>
      <c r="C301" s="2">
        <f>IF(Source!$C301&gt;=COLUMNS($A301:C301), Source!$G301, "")</f>
        <v>6</v>
      </c>
      <c r="D301" s="2" t="str">
        <f>IF(Source!$C301&gt;=COLUMNS($A301:D301), Source!$G301, "")</f>
        <v/>
      </c>
      <c r="E301" s="2" t="str">
        <f>IF(Source!$C301&gt;=COLUMNS($A301:E301), Source!$G301, "")</f>
        <v/>
      </c>
      <c r="F301" s="2" t="str">
        <f>IF(Source!$C301&gt;=COLUMNS($A301:F301), Source!$G301, "")</f>
        <v/>
      </c>
      <c r="G301" s="2" t="str">
        <f>IF(Source!$C301&gt;=COLUMNS($A301:G301), Source!$G301, "")</f>
        <v/>
      </c>
      <c r="H301" s="2" t="str">
        <f>IF(Source!$C301&gt;=COLUMNS($A301:H301), Source!$G301, "")</f>
        <v/>
      </c>
      <c r="I301" s="2" t="str">
        <f>IF(Source!$C301&gt;=COLUMNS($A301:I301), Source!$G301, "")</f>
        <v/>
      </c>
      <c r="J301" s="2" t="str">
        <f>IF(Source!$C301&gt;=COLUMNS($A301:J301), Source!$G301, "")</f>
        <v/>
      </c>
      <c r="K301" s="2" t="str">
        <f>IF(Source!$C301&gt;=COLUMNS($A301:K301), Source!$G301, "")</f>
        <v/>
      </c>
      <c r="L301" s="2" t="str">
        <f>IF(Source!$C301&gt;=COLUMNS($A301:L301), Source!$G301, "")</f>
        <v/>
      </c>
      <c r="M301" s="2" t="str">
        <f>IF(Source!$C301&gt;=COLUMNS($A301:M301), Source!$G301, "")</f>
        <v/>
      </c>
      <c r="N301" s="2" t="str">
        <f>IF(Source!$C301&gt;=COLUMNS($A301:N301), Source!$G301, "")</f>
        <v/>
      </c>
      <c r="O301" s="2" t="str">
        <f>IF(Source!$C301&gt;=COLUMNS($A301:O301), Source!$G301, "")</f>
        <v/>
      </c>
      <c r="P301" s="2" t="str">
        <f>IF(Source!$C301&gt;=COLUMNS($A301:P301), Source!$G301, "")</f>
        <v/>
      </c>
      <c r="Q301" s="2" t="str">
        <f>IF(Source!$C301&gt;=COLUMNS($A301:Q301), Source!$G301, "")</f>
        <v/>
      </c>
      <c r="R301" s="2" t="str">
        <f>IF(Source!$C301&gt;=COLUMNS($A301:R301), Source!$G301, "")</f>
        <v/>
      </c>
      <c r="S301" s="2" t="str">
        <f>IF(Source!$C301&gt;=COLUMNS($A301:S301), Source!$G301, "")</f>
        <v/>
      </c>
      <c r="T301" s="2" t="str">
        <f>IF(Source!$C301&gt;=COLUMNS($A301:T301), Source!$G301, "")</f>
        <v/>
      </c>
      <c r="U301" s="2" t="str">
        <f>IF(Source!$C301&gt;=COLUMNS($A301:U301), Source!$G301, "")</f>
        <v/>
      </c>
      <c r="V301" s="2" t="str">
        <f>IF(Source!$C301&gt;=COLUMNS($A301:V301), Source!$G301, "")</f>
        <v/>
      </c>
      <c r="W301" s="2" t="str">
        <f>IF(Source!$C301&gt;=COLUMNS($A301:W301), Source!$G301, "")</f>
        <v/>
      </c>
      <c r="X301" s="2" t="str">
        <f>IF(Source!$C301&gt;=COLUMNS($A301:X301), Source!$G301, "")</f>
        <v/>
      </c>
      <c r="Y301" s="2" t="str">
        <f>IF(Source!$C301&gt;=COLUMNS($A301:Y301), Source!$G301, "")</f>
        <v/>
      </c>
      <c r="Z301" s="2" t="str">
        <f>IF(Source!$C301&gt;=COLUMNS($A301:Z301), Source!$G301, "")</f>
        <v/>
      </c>
      <c r="AA301" s="2" t="str">
        <f>IF(Source!$C301&gt;=COLUMNS($A301:AA301), Source!$G301, "")</f>
        <v/>
      </c>
      <c r="AB301" s="2" t="str">
        <f>IF(Source!$C301&gt;=COLUMNS($A301:AB301), Source!$G301, "")</f>
        <v/>
      </c>
      <c r="AC301" s="2" t="str">
        <f>IF(Source!$C301&gt;=COLUMNS($A301:AC301), Source!$G301, "")</f>
        <v/>
      </c>
      <c r="AD301" s="2" t="str">
        <f>IF(Source!$C301&gt;=COLUMNS($A301:AD301), Source!$G301, "")</f>
        <v/>
      </c>
      <c r="AE301" s="2" t="str">
        <f>IF(Source!$C301&gt;=COLUMNS($A301:AE301), Source!$G301, "")</f>
        <v/>
      </c>
      <c r="AF301" s="2" t="str">
        <f>IF(Source!$C301&gt;=COLUMNS($A301:AF301), Source!$G301, "")</f>
        <v/>
      </c>
      <c r="AG301" s="2" t="str">
        <f>IF(Source!$C301&gt;=COLUMNS($A301:AG301), Source!$G301, "")</f>
        <v/>
      </c>
      <c r="AH301" s="2" t="str">
        <f>IF(Source!$C301&gt;=COLUMNS($A301:AH301), Source!$G301, "")</f>
        <v/>
      </c>
      <c r="AI301" s="2" t="str">
        <f>IF(Source!$C301&gt;=COLUMNS($A301:AI301), Source!$G301, "")</f>
        <v/>
      </c>
      <c r="AJ301" s="2" t="str">
        <f>IF(Source!$C301&gt;=COLUMNS($A301:AJ301), Source!$G301, "")</f>
        <v/>
      </c>
      <c r="AK301" s="2" t="str">
        <f>IF(Source!$C301&gt;=COLUMNS($A301:AK301), Source!$G301, "")</f>
        <v/>
      </c>
      <c r="AL301" s="2" t="str">
        <f>IF(Source!$C301&gt;=COLUMNS($A301:AL301), Source!$G301, "")</f>
        <v/>
      </c>
      <c r="AM301" s="2" t="str">
        <f>IF(Source!$C301&gt;=COLUMNS($A301:AM301), Source!$G301, "")</f>
        <v/>
      </c>
      <c r="AN301" s="2" t="str">
        <f>IF(Source!$C301&gt;=COLUMNS($A301:AN301), Source!$G301, "")</f>
        <v/>
      </c>
      <c r="AO301" s="2" t="str">
        <f>IF(Source!$C301&gt;=COLUMNS($A301:AO301), Source!$G301, "")</f>
        <v/>
      </c>
      <c r="AP301" s="2" t="str">
        <f>IF(Source!$C301&gt;=COLUMNS($A301:AP301), Source!$G301, "")</f>
        <v/>
      </c>
      <c r="AQ301" s="2" t="str">
        <f>IF(Source!$C301&gt;=COLUMNS($A301:AQ301), Source!$G301, "")</f>
        <v/>
      </c>
      <c r="AR301" s="2" t="str">
        <f>IF(Source!$C301&gt;=COLUMNS($A301:AR301), Source!$G301, "")</f>
        <v/>
      </c>
    </row>
    <row r="302">
      <c r="A302" s="2">
        <f>IF(Source!$C302&gt;=COLUMNS($A302:A302), Source!$G302, "")</f>
        <v>2</v>
      </c>
      <c r="B302" s="2" t="str">
        <f>IF(Source!$C302&gt;=COLUMNS($A302:B302), Source!$G302, "")</f>
        <v/>
      </c>
      <c r="C302" s="2" t="str">
        <f>IF(Source!$C302&gt;=COLUMNS($A302:C302), Source!$G302, "")</f>
        <v/>
      </c>
      <c r="D302" s="2" t="str">
        <f>IF(Source!$C302&gt;=COLUMNS($A302:D302), Source!$G302, "")</f>
        <v/>
      </c>
      <c r="E302" s="2" t="str">
        <f>IF(Source!$C302&gt;=COLUMNS($A302:E302), Source!$G302, "")</f>
        <v/>
      </c>
      <c r="F302" s="2" t="str">
        <f>IF(Source!$C302&gt;=COLUMNS($A302:F302), Source!$G302, "")</f>
        <v/>
      </c>
      <c r="G302" s="2" t="str">
        <f>IF(Source!$C302&gt;=COLUMNS($A302:G302), Source!$G302, "")</f>
        <v/>
      </c>
      <c r="H302" s="2" t="str">
        <f>IF(Source!$C302&gt;=COLUMNS($A302:H302), Source!$G302, "")</f>
        <v/>
      </c>
      <c r="I302" s="2" t="str">
        <f>IF(Source!$C302&gt;=COLUMNS($A302:I302), Source!$G302, "")</f>
        <v/>
      </c>
      <c r="J302" s="2" t="str">
        <f>IF(Source!$C302&gt;=COLUMNS($A302:J302), Source!$G302, "")</f>
        <v/>
      </c>
      <c r="K302" s="2" t="str">
        <f>IF(Source!$C302&gt;=COLUMNS($A302:K302), Source!$G302, "")</f>
        <v/>
      </c>
      <c r="L302" s="2" t="str">
        <f>IF(Source!$C302&gt;=COLUMNS($A302:L302), Source!$G302, "")</f>
        <v/>
      </c>
      <c r="M302" s="2" t="str">
        <f>IF(Source!$C302&gt;=COLUMNS($A302:M302), Source!$G302, "")</f>
        <v/>
      </c>
      <c r="N302" s="2" t="str">
        <f>IF(Source!$C302&gt;=COLUMNS($A302:N302), Source!$G302, "")</f>
        <v/>
      </c>
      <c r="O302" s="2" t="str">
        <f>IF(Source!$C302&gt;=COLUMNS($A302:O302), Source!$G302, "")</f>
        <v/>
      </c>
      <c r="P302" s="2" t="str">
        <f>IF(Source!$C302&gt;=COLUMNS($A302:P302), Source!$G302, "")</f>
        <v/>
      </c>
      <c r="Q302" s="2" t="str">
        <f>IF(Source!$C302&gt;=COLUMNS($A302:Q302), Source!$G302, "")</f>
        <v/>
      </c>
      <c r="R302" s="2" t="str">
        <f>IF(Source!$C302&gt;=COLUMNS($A302:R302), Source!$G302, "")</f>
        <v/>
      </c>
      <c r="S302" s="2" t="str">
        <f>IF(Source!$C302&gt;=COLUMNS($A302:S302), Source!$G302, "")</f>
        <v/>
      </c>
      <c r="T302" s="2" t="str">
        <f>IF(Source!$C302&gt;=COLUMNS($A302:T302), Source!$G302, "")</f>
        <v/>
      </c>
      <c r="U302" s="2" t="str">
        <f>IF(Source!$C302&gt;=COLUMNS($A302:U302), Source!$G302, "")</f>
        <v/>
      </c>
      <c r="V302" s="2" t="str">
        <f>IF(Source!$C302&gt;=COLUMNS($A302:V302), Source!$G302, "")</f>
        <v/>
      </c>
      <c r="W302" s="2" t="str">
        <f>IF(Source!$C302&gt;=COLUMNS($A302:W302), Source!$G302, "")</f>
        <v/>
      </c>
      <c r="X302" s="2" t="str">
        <f>IF(Source!$C302&gt;=COLUMNS($A302:X302), Source!$G302, "")</f>
        <v/>
      </c>
      <c r="Y302" s="2" t="str">
        <f>IF(Source!$C302&gt;=COLUMNS($A302:Y302), Source!$G302, "")</f>
        <v/>
      </c>
      <c r="Z302" s="2" t="str">
        <f>IF(Source!$C302&gt;=COLUMNS($A302:Z302), Source!$G302, "")</f>
        <v/>
      </c>
      <c r="AA302" s="2" t="str">
        <f>IF(Source!$C302&gt;=COLUMNS($A302:AA302), Source!$G302, "")</f>
        <v/>
      </c>
      <c r="AB302" s="2" t="str">
        <f>IF(Source!$C302&gt;=COLUMNS($A302:AB302), Source!$G302, "")</f>
        <v/>
      </c>
      <c r="AC302" s="2" t="str">
        <f>IF(Source!$C302&gt;=COLUMNS($A302:AC302), Source!$G302, "")</f>
        <v/>
      </c>
      <c r="AD302" s="2" t="str">
        <f>IF(Source!$C302&gt;=COLUMNS($A302:AD302), Source!$G302, "")</f>
        <v/>
      </c>
      <c r="AE302" s="2" t="str">
        <f>IF(Source!$C302&gt;=COLUMNS($A302:AE302), Source!$G302, "")</f>
        <v/>
      </c>
      <c r="AF302" s="2" t="str">
        <f>IF(Source!$C302&gt;=COLUMNS($A302:AF302), Source!$G302, "")</f>
        <v/>
      </c>
      <c r="AG302" s="2" t="str">
        <f>IF(Source!$C302&gt;=COLUMNS($A302:AG302), Source!$G302, "")</f>
        <v/>
      </c>
      <c r="AH302" s="2" t="str">
        <f>IF(Source!$C302&gt;=COLUMNS($A302:AH302), Source!$G302, "")</f>
        <v/>
      </c>
      <c r="AI302" s="2" t="str">
        <f>IF(Source!$C302&gt;=COLUMNS($A302:AI302), Source!$G302, "")</f>
        <v/>
      </c>
      <c r="AJ302" s="2" t="str">
        <f>IF(Source!$C302&gt;=COLUMNS($A302:AJ302), Source!$G302, "")</f>
        <v/>
      </c>
      <c r="AK302" s="2" t="str">
        <f>IF(Source!$C302&gt;=COLUMNS($A302:AK302), Source!$G302, "")</f>
        <v/>
      </c>
      <c r="AL302" s="2" t="str">
        <f>IF(Source!$C302&gt;=COLUMNS($A302:AL302), Source!$G302, "")</f>
        <v/>
      </c>
      <c r="AM302" s="2" t="str">
        <f>IF(Source!$C302&gt;=COLUMNS($A302:AM302), Source!$G302, "")</f>
        <v/>
      </c>
      <c r="AN302" s="2" t="str">
        <f>IF(Source!$C302&gt;=COLUMNS($A302:AN302), Source!$G302, "")</f>
        <v/>
      </c>
      <c r="AO302" s="2" t="str">
        <f>IF(Source!$C302&gt;=COLUMNS($A302:AO302), Source!$G302, "")</f>
        <v/>
      </c>
      <c r="AP302" s="2" t="str">
        <f>IF(Source!$C302&gt;=COLUMNS($A302:AP302), Source!$G302, "")</f>
        <v/>
      </c>
      <c r="AQ302" s="2" t="str">
        <f>IF(Source!$C302&gt;=COLUMNS($A302:AQ302), Source!$G302, "")</f>
        <v/>
      </c>
      <c r="AR302" s="2" t="str">
        <f>IF(Source!$C302&gt;=COLUMNS($A302:AR302), Source!$G302, "")</f>
        <v/>
      </c>
    </row>
    <row r="303">
      <c r="A303" s="2">
        <f>IF(Source!$C303&gt;=COLUMNS($A303:A303), Source!$G303, "")</f>
        <v>5</v>
      </c>
      <c r="B303" s="2" t="str">
        <f>IF(Source!$C303&gt;=COLUMNS($A303:B303), Source!$G303, "")</f>
        <v/>
      </c>
      <c r="C303" s="2" t="str">
        <f>IF(Source!$C303&gt;=COLUMNS($A303:C303), Source!$G303, "")</f>
        <v/>
      </c>
      <c r="D303" s="2" t="str">
        <f>IF(Source!$C303&gt;=COLUMNS($A303:D303), Source!$G303, "")</f>
        <v/>
      </c>
      <c r="E303" s="2" t="str">
        <f>IF(Source!$C303&gt;=COLUMNS($A303:E303), Source!$G303, "")</f>
        <v/>
      </c>
      <c r="F303" s="2" t="str">
        <f>IF(Source!$C303&gt;=COLUMNS($A303:F303), Source!$G303, "")</f>
        <v/>
      </c>
      <c r="G303" s="2" t="str">
        <f>IF(Source!$C303&gt;=COLUMNS($A303:G303), Source!$G303, "")</f>
        <v/>
      </c>
      <c r="H303" s="2" t="str">
        <f>IF(Source!$C303&gt;=COLUMNS($A303:H303), Source!$G303, "")</f>
        <v/>
      </c>
      <c r="I303" s="2" t="str">
        <f>IF(Source!$C303&gt;=COLUMNS($A303:I303), Source!$G303, "")</f>
        <v/>
      </c>
      <c r="J303" s="2" t="str">
        <f>IF(Source!$C303&gt;=COLUMNS($A303:J303), Source!$G303, "")</f>
        <v/>
      </c>
      <c r="K303" s="2" t="str">
        <f>IF(Source!$C303&gt;=COLUMNS($A303:K303), Source!$G303, "")</f>
        <v/>
      </c>
      <c r="L303" s="2" t="str">
        <f>IF(Source!$C303&gt;=COLUMNS($A303:L303), Source!$G303, "")</f>
        <v/>
      </c>
      <c r="M303" s="2" t="str">
        <f>IF(Source!$C303&gt;=COLUMNS($A303:M303), Source!$G303, "")</f>
        <v/>
      </c>
      <c r="N303" s="2" t="str">
        <f>IF(Source!$C303&gt;=COLUMNS($A303:N303), Source!$G303, "")</f>
        <v/>
      </c>
      <c r="O303" s="2" t="str">
        <f>IF(Source!$C303&gt;=COLUMNS($A303:O303), Source!$G303, "")</f>
        <v/>
      </c>
      <c r="P303" s="2" t="str">
        <f>IF(Source!$C303&gt;=COLUMNS($A303:P303), Source!$G303, "")</f>
        <v/>
      </c>
      <c r="Q303" s="2" t="str">
        <f>IF(Source!$C303&gt;=COLUMNS($A303:Q303), Source!$G303, "")</f>
        <v/>
      </c>
      <c r="R303" s="2" t="str">
        <f>IF(Source!$C303&gt;=COLUMNS($A303:R303), Source!$G303, "")</f>
        <v/>
      </c>
      <c r="S303" s="2" t="str">
        <f>IF(Source!$C303&gt;=COLUMNS($A303:S303), Source!$G303, "")</f>
        <v/>
      </c>
      <c r="T303" s="2" t="str">
        <f>IF(Source!$C303&gt;=COLUMNS($A303:T303), Source!$G303, "")</f>
        <v/>
      </c>
      <c r="U303" s="2" t="str">
        <f>IF(Source!$C303&gt;=COLUMNS($A303:U303), Source!$G303, "")</f>
        <v/>
      </c>
      <c r="V303" s="2" t="str">
        <f>IF(Source!$C303&gt;=COLUMNS($A303:V303), Source!$G303, "")</f>
        <v/>
      </c>
      <c r="W303" s="2" t="str">
        <f>IF(Source!$C303&gt;=COLUMNS($A303:W303), Source!$G303, "")</f>
        <v/>
      </c>
      <c r="X303" s="2" t="str">
        <f>IF(Source!$C303&gt;=COLUMNS($A303:X303), Source!$G303, "")</f>
        <v/>
      </c>
      <c r="Y303" s="2" t="str">
        <f>IF(Source!$C303&gt;=COLUMNS($A303:Y303), Source!$G303, "")</f>
        <v/>
      </c>
      <c r="Z303" s="2" t="str">
        <f>IF(Source!$C303&gt;=COLUMNS($A303:Z303), Source!$G303, "")</f>
        <v/>
      </c>
      <c r="AA303" s="2" t="str">
        <f>IF(Source!$C303&gt;=COLUMNS($A303:AA303), Source!$G303, "")</f>
        <v/>
      </c>
      <c r="AB303" s="2" t="str">
        <f>IF(Source!$C303&gt;=COLUMNS($A303:AB303), Source!$G303, "")</f>
        <v/>
      </c>
      <c r="AC303" s="2" t="str">
        <f>IF(Source!$C303&gt;=COLUMNS($A303:AC303), Source!$G303, "")</f>
        <v/>
      </c>
      <c r="AD303" s="2" t="str">
        <f>IF(Source!$C303&gt;=COLUMNS($A303:AD303), Source!$G303, "")</f>
        <v/>
      </c>
      <c r="AE303" s="2" t="str">
        <f>IF(Source!$C303&gt;=COLUMNS($A303:AE303), Source!$G303, "")</f>
        <v/>
      </c>
      <c r="AF303" s="2" t="str">
        <f>IF(Source!$C303&gt;=COLUMNS($A303:AF303), Source!$G303, "")</f>
        <v/>
      </c>
      <c r="AG303" s="2" t="str">
        <f>IF(Source!$C303&gt;=COLUMNS($A303:AG303), Source!$G303, "")</f>
        <v/>
      </c>
      <c r="AH303" s="2" t="str">
        <f>IF(Source!$C303&gt;=COLUMNS($A303:AH303), Source!$G303, "")</f>
        <v/>
      </c>
      <c r="AI303" s="2" t="str">
        <f>IF(Source!$C303&gt;=COLUMNS($A303:AI303), Source!$G303, "")</f>
        <v/>
      </c>
      <c r="AJ303" s="2" t="str">
        <f>IF(Source!$C303&gt;=COLUMNS($A303:AJ303), Source!$G303, "")</f>
        <v/>
      </c>
      <c r="AK303" s="2" t="str">
        <f>IF(Source!$C303&gt;=COLUMNS($A303:AK303), Source!$G303, "")</f>
        <v/>
      </c>
      <c r="AL303" s="2" t="str">
        <f>IF(Source!$C303&gt;=COLUMNS($A303:AL303), Source!$G303, "")</f>
        <v/>
      </c>
      <c r="AM303" s="2" t="str">
        <f>IF(Source!$C303&gt;=COLUMNS($A303:AM303), Source!$G303, "")</f>
        <v/>
      </c>
      <c r="AN303" s="2" t="str">
        <f>IF(Source!$C303&gt;=COLUMNS($A303:AN303), Source!$G303, "")</f>
        <v/>
      </c>
      <c r="AO303" s="2" t="str">
        <f>IF(Source!$C303&gt;=COLUMNS($A303:AO303), Source!$G303, "")</f>
        <v/>
      </c>
      <c r="AP303" s="2" t="str">
        <f>IF(Source!$C303&gt;=COLUMNS($A303:AP303), Source!$G303, "")</f>
        <v/>
      </c>
      <c r="AQ303" s="2" t="str">
        <f>IF(Source!$C303&gt;=COLUMNS($A303:AQ303), Source!$G303, "")</f>
        <v/>
      </c>
      <c r="AR303" s="2" t="str">
        <f>IF(Source!$C303&gt;=COLUMNS($A303:AR303), Source!$G303, "")</f>
        <v/>
      </c>
    </row>
    <row r="304">
      <c r="A304" s="2">
        <f>IF(Source!$C304&gt;=COLUMNS($A304:A304), Source!$G304, "")</f>
        <v>4</v>
      </c>
      <c r="B304" s="2">
        <f>IF(Source!$C304&gt;=COLUMNS($A304:B304), Source!$G304, "")</f>
        <v>4</v>
      </c>
      <c r="C304" s="2">
        <f>IF(Source!$C304&gt;=COLUMNS($A304:C304), Source!$G304, "")</f>
        <v>4</v>
      </c>
      <c r="D304" s="2" t="str">
        <f>IF(Source!$C304&gt;=COLUMNS($A304:D304), Source!$G304, "")</f>
        <v/>
      </c>
      <c r="E304" s="2" t="str">
        <f>IF(Source!$C304&gt;=COLUMNS($A304:E304), Source!$G304, "")</f>
        <v/>
      </c>
      <c r="F304" s="2" t="str">
        <f>IF(Source!$C304&gt;=COLUMNS($A304:F304), Source!$G304, "")</f>
        <v/>
      </c>
      <c r="G304" s="2" t="str">
        <f>IF(Source!$C304&gt;=COLUMNS($A304:G304), Source!$G304, "")</f>
        <v/>
      </c>
      <c r="H304" s="2" t="str">
        <f>IF(Source!$C304&gt;=COLUMNS($A304:H304), Source!$G304, "")</f>
        <v/>
      </c>
      <c r="I304" s="2" t="str">
        <f>IF(Source!$C304&gt;=COLUMNS($A304:I304), Source!$G304, "")</f>
        <v/>
      </c>
      <c r="J304" s="2" t="str">
        <f>IF(Source!$C304&gt;=COLUMNS($A304:J304), Source!$G304, "")</f>
        <v/>
      </c>
      <c r="K304" s="2" t="str">
        <f>IF(Source!$C304&gt;=COLUMNS($A304:K304), Source!$G304, "")</f>
        <v/>
      </c>
      <c r="L304" s="2" t="str">
        <f>IF(Source!$C304&gt;=COLUMNS($A304:L304), Source!$G304, "")</f>
        <v/>
      </c>
      <c r="M304" s="2" t="str">
        <f>IF(Source!$C304&gt;=COLUMNS($A304:M304), Source!$G304, "")</f>
        <v/>
      </c>
      <c r="N304" s="2" t="str">
        <f>IF(Source!$C304&gt;=COLUMNS($A304:N304), Source!$G304, "")</f>
        <v/>
      </c>
      <c r="O304" s="2" t="str">
        <f>IF(Source!$C304&gt;=COLUMNS($A304:O304), Source!$G304, "")</f>
        <v/>
      </c>
      <c r="P304" s="2" t="str">
        <f>IF(Source!$C304&gt;=COLUMNS($A304:P304), Source!$G304, "")</f>
        <v/>
      </c>
      <c r="Q304" s="2" t="str">
        <f>IF(Source!$C304&gt;=COLUMNS($A304:Q304), Source!$G304, "")</f>
        <v/>
      </c>
      <c r="R304" s="2" t="str">
        <f>IF(Source!$C304&gt;=COLUMNS($A304:R304), Source!$G304, "")</f>
        <v/>
      </c>
      <c r="S304" s="2" t="str">
        <f>IF(Source!$C304&gt;=COLUMNS($A304:S304), Source!$G304, "")</f>
        <v/>
      </c>
      <c r="T304" s="2" t="str">
        <f>IF(Source!$C304&gt;=COLUMNS($A304:T304), Source!$G304, "")</f>
        <v/>
      </c>
      <c r="U304" s="2" t="str">
        <f>IF(Source!$C304&gt;=COLUMNS($A304:U304), Source!$G304, "")</f>
        <v/>
      </c>
      <c r="V304" s="2" t="str">
        <f>IF(Source!$C304&gt;=COLUMNS($A304:V304), Source!$G304, "")</f>
        <v/>
      </c>
      <c r="W304" s="2" t="str">
        <f>IF(Source!$C304&gt;=COLUMNS($A304:W304), Source!$G304, "")</f>
        <v/>
      </c>
      <c r="X304" s="2" t="str">
        <f>IF(Source!$C304&gt;=COLUMNS($A304:X304), Source!$G304, "")</f>
        <v/>
      </c>
      <c r="Y304" s="2" t="str">
        <f>IF(Source!$C304&gt;=COLUMNS($A304:Y304), Source!$G304, "")</f>
        <v/>
      </c>
      <c r="Z304" s="2" t="str">
        <f>IF(Source!$C304&gt;=COLUMNS($A304:Z304), Source!$G304, "")</f>
        <v/>
      </c>
      <c r="AA304" s="2" t="str">
        <f>IF(Source!$C304&gt;=COLUMNS($A304:AA304), Source!$G304, "")</f>
        <v/>
      </c>
      <c r="AB304" s="2" t="str">
        <f>IF(Source!$C304&gt;=COLUMNS($A304:AB304), Source!$G304, "")</f>
        <v/>
      </c>
      <c r="AC304" s="2" t="str">
        <f>IF(Source!$C304&gt;=COLUMNS($A304:AC304), Source!$G304, "")</f>
        <v/>
      </c>
      <c r="AD304" s="2" t="str">
        <f>IF(Source!$C304&gt;=COLUMNS($A304:AD304), Source!$G304, "")</f>
        <v/>
      </c>
      <c r="AE304" s="2" t="str">
        <f>IF(Source!$C304&gt;=COLUMNS($A304:AE304), Source!$G304, "")</f>
        <v/>
      </c>
      <c r="AF304" s="2" t="str">
        <f>IF(Source!$C304&gt;=COLUMNS($A304:AF304), Source!$G304, "")</f>
        <v/>
      </c>
      <c r="AG304" s="2" t="str">
        <f>IF(Source!$C304&gt;=COLUMNS($A304:AG304), Source!$G304, "")</f>
        <v/>
      </c>
      <c r="AH304" s="2" t="str">
        <f>IF(Source!$C304&gt;=COLUMNS($A304:AH304), Source!$G304, "")</f>
        <v/>
      </c>
      <c r="AI304" s="2" t="str">
        <f>IF(Source!$C304&gt;=COLUMNS($A304:AI304), Source!$G304, "")</f>
        <v/>
      </c>
      <c r="AJ304" s="2" t="str">
        <f>IF(Source!$C304&gt;=COLUMNS($A304:AJ304), Source!$G304, "")</f>
        <v/>
      </c>
      <c r="AK304" s="2" t="str">
        <f>IF(Source!$C304&gt;=COLUMNS($A304:AK304), Source!$G304, "")</f>
        <v/>
      </c>
      <c r="AL304" s="2" t="str">
        <f>IF(Source!$C304&gt;=COLUMNS($A304:AL304), Source!$G304, "")</f>
        <v/>
      </c>
      <c r="AM304" s="2" t="str">
        <f>IF(Source!$C304&gt;=COLUMNS($A304:AM304), Source!$G304, "")</f>
        <v/>
      </c>
      <c r="AN304" s="2" t="str">
        <f>IF(Source!$C304&gt;=COLUMNS($A304:AN304), Source!$G304, "")</f>
        <v/>
      </c>
      <c r="AO304" s="2" t="str">
        <f>IF(Source!$C304&gt;=COLUMNS($A304:AO304), Source!$G304, "")</f>
        <v/>
      </c>
      <c r="AP304" s="2" t="str">
        <f>IF(Source!$C304&gt;=COLUMNS($A304:AP304), Source!$G304, "")</f>
        <v/>
      </c>
      <c r="AQ304" s="2" t="str">
        <f>IF(Source!$C304&gt;=COLUMNS($A304:AQ304), Source!$G304, "")</f>
        <v/>
      </c>
      <c r="AR304" s="2" t="str">
        <f>IF(Source!$C304&gt;=COLUMNS($A304:AR304), Source!$G304, "")</f>
        <v/>
      </c>
    </row>
    <row r="305">
      <c r="A305" s="2">
        <f>IF(Source!$C305&gt;=COLUMNS($A305:A305), Source!$G305, "")</f>
        <v>1</v>
      </c>
      <c r="B305" s="2">
        <f>IF(Source!$C305&gt;=COLUMNS($A305:B305), Source!$G305, "")</f>
        <v>1</v>
      </c>
      <c r="C305" s="2">
        <f>IF(Source!$C305&gt;=COLUMNS($A305:C305), Source!$G305, "")</f>
        <v>1</v>
      </c>
      <c r="D305" s="2">
        <f>IF(Source!$C305&gt;=COLUMNS($A305:D305), Source!$G305, "")</f>
        <v>1</v>
      </c>
      <c r="E305" s="2">
        <f>IF(Source!$C305&gt;=COLUMNS($A305:E305), Source!$G305, "")</f>
        <v>1</v>
      </c>
      <c r="F305" s="2">
        <f>IF(Source!$C305&gt;=COLUMNS($A305:F305), Source!$G305, "")</f>
        <v>1</v>
      </c>
      <c r="G305" s="2">
        <f>IF(Source!$C305&gt;=COLUMNS($A305:G305), Source!$G305, "")</f>
        <v>1</v>
      </c>
      <c r="H305" s="2">
        <f>IF(Source!$C305&gt;=COLUMNS($A305:H305), Source!$G305, "")</f>
        <v>1</v>
      </c>
      <c r="I305" s="2">
        <f>IF(Source!$C305&gt;=COLUMNS($A305:I305), Source!$G305, "")</f>
        <v>1</v>
      </c>
      <c r="J305" s="2">
        <f>IF(Source!$C305&gt;=COLUMNS($A305:J305), Source!$G305, "")</f>
        <v>1</v>
      </c>
      <c r="K305" s="2">
        <f>IF(Source!$C305&gt;=COLUMNS($A305:K305), Source!$G305, "")</f>
        <v>1</v>
      </c>
      <c r="L305" s="2">
        <f>IF(Source!$C305&gt;=COLUMNS($A305:L305), Source!$G305, "")</f>
        <v>1</v>
      </c>
      <c r="M305" s="2">
        <f>IF(Source!$C305&gt;=COLUMNS($A305:M305), Source!$G305, "")</f>
        <v>1</v>
      </c>
      <c r="N305" s="2">
        <f>IF(Source!$C305&gt;=COLUMNS($A305:N305), Source!$G305, "")</f>
        <v>1</v>
      </c>
      <c r="O305" s="2">
        <f>IF(Source!$C305&gt;=COLUMNS($A305:O305), Source!$G305, "")</f>
        <v>1</v>
      </c>
      <c r="P305" s="2">
        <f>IF(Source!$C305&gt;=COLUMNS($A305:P305), Source!$G305, "")</f>
        <v>1</v>
      </c>
      <c r="Q305" s="2">
        <f>IF(Source!$C305&gt;=COLUMNS($A305:Q305), Source!$G305, "")</f>
        <v>1</v>
      </c>
      <c r="R305" s="2">
        <f>IF(Source!$C305&gt;=COLUMNS($A305:R305), Source!$G305, "")</f>
        <v>1</v>
      </c>
      <c r="S305" s="2">
        <f>IF(Source!$C305&gt;=COLUMNS($A305:S305), Source!$G305, "")</f>
        <v>1</v>
      </c>
      <c r="T305" s="2">
        <f>IF(Source!$C305&gt;=COLUMNS($A305:T305), Source!$G305, "")</f>
        <v>1</v>
      </c>
      <c r="U305" s="2">
        <f>IF(Source!$C305&gt;=COLUMNS($A305:U305), Source!$G305, "")</f>
        <v>1</v>
      </c>
      <c r="V305" s="2">
        <f>IF(Source!$C305&gt;=COLUMNS($A305:V305), Source!$G305, "")</f>
        <v>1</v>
      </c>
      <c r="W305" s="2">
        <f>IF(Source!$C305&gt;=COLUMNS($A305:W305), Source!$G305, "")</f>
        <v>1</v>
      </c>
      <c r="X305" s="2">
        <f>IF(Source!$C305&gt;=COLUMNS($A305:X305), Source!$G305, "")</f>
        <v>1</v>
      </c>
      <c r="Y305" s="2">
        <f>IF(Source!$C305&gt;=COLUMNS($A305:Y305), Source!$G305, "")</f>
        <v>1</v>
      </c>
      <c r="Z305" s="2">
        <f>IF(Source!$C305&gt;=COLUMNS($A305:Z305), Source!$G305, "")</f>
        <v>1</v>
      </c>
      <c r="AA305" s="2" t="str">
        <f>IF(Source!$C305&gt;=COLUMNS($A305:AA305), Source!$G305, "")</f>
        <v/>
      </c>
      <c r="AB305" s="2" t="str">
        <f>IF(Source!$C305&gt;=COLUMNS($A305:AB305), Source!$G305, "")</f>
        <v/>
      </c>
      <c r="AC305" s="2" t="str">
        <f>IF(Source!$C305&gt;=COLUMNS($A305:AC305), Source!$G305, "")</f>
        <v/>
      </c>
      <c r="AD305" s="2" t="str">
        <f>IF(Source!$C305&gt;=COLUMNS($A305:AD305), Source!$G305, "")</f>
        <v/>
      </c>
      <c r="AE305" s="2" t="str">
        <f>IF(Source!$C305&gt;=COLUMNS($A305:AE305), Source!$G305, "")</f>
        <v/>
      </c>
      <c r="AF305" s="2" t="str">
        <f>IF(Source!$C305&gt;=COLUMNS($A305:AF305), Source!$G305, "")</f>
        <v/>
      </c>
      <c r="AG305" s="2" t="str">
        <f>IF(Source!$C305&gt;=COLUMNS($A305:AG305), Source!$G305, "")</f>
        <v/>
      </c>
      <c r="AH305" s="2" t="str">
        <f>IF(Source!$C305&gt;=COLUMNS($A305:AH305), Source!$G305, "")</f>
        <v/>
      </c>
      <c r="AI305" s="2" t="str">
        <f>IF(Source!$C305&gt;=COLUMNS($A305:AI305), Source!$G305, "")</f>
        <v/>
      </c>
      <c r="AJ305" s="2" t="str">
        <f>IF(Source!$C305&gt;=COLUMNS($A305:AJ305), Source!$G305, "")</f>
        <v/>
      </c>
      <c r="AK305" s="2" t="str">
        <f>IF(Source!$C305&gt;=COLUMNS($A305:AK305), Source!$G305, "")</f>
        <v/>
      </c>
      <c r="AL305" s="2" t="str">
        <f>IF(Source!$C305&gt;=COLUMNS($A305:AL305), Source!$G305, "")</f>
        <v/>
      </c>
      <c r="AM305" s="2" t="str">
        <f>IF(Source!$C305&gt;=COLUMNS($A305:AM305), Source!$G305, "")</f>
        <v/>
      </c>
      <c r="AN305" s="2" t="str">
        <f>IF(Source!$C305&gt;=COLUMNS($A305:AN305), Source!$G305, "")</f>
        <v/>
      </c>
      <c r="AO305" s="2" t="str">
        <f>IF(Source!$C305&gt;=COLUMNS($A305:AO305), Source!$G305, "")</f>
        <v/>
      </c>
      <c r="AP305" s="2" t="str">
        <f>IF(Source!$C305&gt;=COLUMNS($A305:AP305), Source!$G305, "")</f>
        <v/>
      </c>
      <c r="AQ305" s="2" t="str">
        <f>IF(Source!$C305&gt;=COLUMNS($A305:AQ305), Source!$G305, "")</f>
        <v/>
      </c>
      <c r="AR305" s="2" t="str">
        <f>IF(Source!$C305&gt;=COLUMNS($A305:AR305), Source!$G305, "")</f>
        <v/>
      </c>
    </row>
    <row r="306">
      <c r="A306" s="2">
        <f>IF(Source!$C306&gt;=COLUMNS($A306:A306), Source!$G306, "")</f>
        <v>2</v>
      </c>
      <c r="B306" s="2">
        <f>IF(Source!$C306&gt;=COLUMNS($A306:B306), Source!$G306, "")</f>
        <v>2</v>
      </c>
      <c r="C306" s="2">
        <f>IF(Source!$C306&gt;=COLUMNS($A306:C306), Source!$G306, "")</f>
        <v>2</v>
      </c>
      <c r="D306" s="2">
        <f>IF(Source!$C306&gt;=COLUMNS($A306:D306), Source!$G306, "")</f>
        <v>2</v>
      </c>
      <c r="E306" s="2">
        <f>IF(Source!$C306&gt;=COLUMNS($A306:E306), Source!$G306, "")</f>
        <v>2</v>
      </c>
      <c r="F306" s="2">
        <f>IF(Source!$C306&gt;=COLUMNS($A306:F306), Source!$G306, "")</f>
        <v>2</v>
      </c>
      <c r="G306" s="2">
        <f>IF(Source!$C306&gt;=COLUMNS($A306:G306), Source!$G306, "")</f>
        <v>2</v>
      </c>
      <c r="H306" s="2">
        <f>IF(Source!$C306&gt;=COLUMNS($A306:H306), Source!$G306, "")</f>
        <v>2</v>
      </c>
      <c r="I306" s="2" t="str">
        <f>IF(Source!$C306&gt;=COLUMNS($A306:I306), Source!$G306, "")</f>
        <v/>
      </c>
      <c r="J306" s="2" t="str">
        <f>IF(Source!$C306&gt;=COLUMNS($A306:J306), Source!$G306, "")</f>
        <v/>
      </c>
      <c r="K306" s="2" t="str">
        <f>IF(Source!$C306&gt;=COLUMNS($A306:K306), Source!$G306, "")</f>
        <v/>
      </c>
      <c r="L306" s="2" t="str">
        <f>IF(Source!$C306&gt;=COLUMNS($A306:L306), Source!$G306, "")</f>
        <v/>
      </c>
      <c r="M306" s="2" t="str">
        <f>IF(Source!$C306&gt;=COLUMNS($A306:M306), Source!$G306, "")</f>
        <v/>
      </c>
      <c r="N306" s="2" t="str">
        <f>IF(Source!$C306&gt;=COLUMNS($A306:N306), Source!$G306, "")</f>
        <v/>
      </c>
      <c r="O306" s="2" t="str">
        <f>IF(Source!$C306&gt;=COLUMNS($A306:O306), Source!$G306, "")</f>
        <v/>
      </c>
      <c r="P306" s="2" t="str">
        <f>IF(Source!$C306&gt;=COLUMNS($A306:P306), Source!$G306, "")</f>
        <v/>
      </c>
      <c r="Q306" s="2" t="str">
        <f>IF(Source!$C306&gt;=COLUMNS($A306:Q306), Source!$G306, "")</f>
        <v/>
      </c>
      <c r="R306" s="2" t="str">
        <f>IF(Source!$C306&gt;=COLUMNS($A306:R306), Source!$G306, "")</f>
        <v/>
      </c>
      <c r="S306" s="2" t="str">
        <f>IF(Source!$C306&gt;=COLUMNS($A306:S306), Source!$G306, "")</f>
        <v/>
      </c>
      <c r="T306" s="2" t="str">
        <f>IF(Source!$C306&gt;=COLUMNS($A306:T306), Source!$G306, "")</f>
        <v/>
      </c>
      <c r="U306" s="2" t="str">
        <f>IF(Source!$C306&gt;=COLUMNS($A306:U306), Source!$G306, "")</f>
        <v/>
      </c>
      <c r="V306" s="2" t="str">
        <f>IF(Source!$C306&gt;=COLUMNS($A306:V306), Source!$G306, "")</f>
        <v/>
      </c>
      <c r="W306" s="2" t="str">
        <f>IF(Source!$C306&gt;=COLUMNS($A306:W306), Source!$G306, "")</f>
        <v/>
      </c>
      <c r="X306" s="2" t="str">
        <f>IF(Source!$C306&gt;=COLUMNS($A306:X306), Source!$G306, "")</f>
        <v/>
      </c>
      <c r="Y306" s="2" t="str">
        <f>IF(Source!$C306&gt;=COLUMNS($A306:Y306), Source!$G306, "")</f>
        <v/>
      </c>
      <c r="Z306" s="2" t="str">
        <f>IF(Source!$C306&gt;=COLUMNS($A306:Z306), Source!$G306, "")</f>
        <v/>
      </c>
      <c r="AA306" s="2" t="str">
        <f>IF(Source!$C306&gt;=COLUMNS($A306:AA306), Source!$G306, "")</f>
        <v/>
      </c>
      <c r="AB306" s="2" t="str">
        <f>IF(Source!$C306&gt;=COLUMNS($A306:AB306), Source!$G306, "")</f>
        <v/>
      </c>
      <c r="AC306" s="2" t="str">
        <f>IF(Source!$C306&gt;=COLUMNS($A306:AC306), Source!$G306, "")</f>
        <v/>
      </c>
      <c r="AD306" s="2" t="str">
        <f>IF(Source!$C306&gt;=COLUMNS($A306:AD306), Source!$G306, "")</f>
        <v/>
      </c>
      <c r="AE306" s="2" t="str">
        <f>IF(Source!$C306&gt;=COLUMNS($A306:AE306), Source!$G306, "")</f>
        <v/>
      </c>
      <c r="AF306" s="2" t="str">
        <f>IF(Source!$C306&gt;=COLUMNS($A306:AF306), Source!$G306, "")</f>
        <v/>
      </c>
      <c r="AG306" s="2" t="str">
        <f>IF(Source!$C306&gt;=COLUMNS($A306:AG306), Source!$G306, "")</f>
        <v/>
      </c>
      <c r="AH306" s="2" t="str">
        <f>IF(Source!$C306&gt;=COLUMNS($A306:AH306), Source!$G306, "")</f>
        <v/>
      </c>
      <c r="AI306" s="2" t="str">
        <f>IF(Source!$C306&gt;=COLUMNS($A306:AI306), Source!$G306, "")</f>
        <v/>
      </c>
      <c r="AJ306" s="2" t="str">
        <f>IF(Source!$C306&gt;=COLUMNS($A306:AJ306), Source!$G306, "")</f>
        <v/>
      </c>
      <c r="AK306" s="2" t="str">
        <f>IF(Source!$C306&gt;=COLUMNS($A306:AK306), Source!$G306, "")</f>
        <v/>
      </c>
      <c r="AL306" s="2" t="str">
        <f>IF(Source!$C306&gt;=COLUMNS($A306:AL306), Source!$G306, "")</f>
        <v/>
      </c>
      <c r="AM306" s="2" t="str">
        <f>IF(Source!$C306&gt;=COLUMNS($A306:AM306), Source!$G306, "")</f>
        <v/>
      </c>
      <c r="AN306" s="2" t="str">
        <f>IF(Source!$C306&gt;=COLUMNS($A306:AN306), Source!$G306, "")</f>
        <v/>
      </c>
      <c r="AO306" s="2" t="str">
        <f>IF(Source!$C306&gt;=COLUMNS($A306:AO306), Source!$G306, "")</f>
        <v/>
      </c>
      <c r="AP306" s="2" t="str">
        <f>IF(Source!$C306&gt;=COLUMNS($A306:AP306), Source!$G306, "")</f>
        <v/>
      </c>
      <c r="AQ306" s="2" t="str">
        <f>IF(Source!$C306&gt;=COLUMNS($A306:AQ306), Source!$G306, "")</f>
        <v/>
      </c>
      <c r="AR306" s="2" t="str">
        <f>IF(Source!$C306&gt;=COLUMNS($A306:AR306), Source!$G306, "")</f>
        <v/>
      </c>
    </row>
    <row r="307">
      <c r="A307" s="2">
        <f>IF(Source!$C307&gt;=COLUMNS($A307:A307), Source!$G307, "")</f>
        <v>4</v>
      </c>
      <c r="B307" s="2" t="str">
        <f>IF(Source!$C307&gt;=COLUMNS($A307:B307), Source!$G307, "")</f>
        <v/>
      </c>
      <c r="C307" s="2" t="str">
        <f>IF(Source!$C307&gt;=COLUMNS($A307:C307), Source!$G307, "")</f>
        <v/>
      </c>
      <c r="D307" s="2" t="str">
        <f>IF(Source!$C307&gt;=COLUMNS($A307:D307), Source!$G307, "")</f>
        <v/>
      </c>
      <c r="E307" s="2" t="str">
        <f>IF(Source!$C307&gt;=COLUMNS($A307:E307), Source!$G307, "")</f>
        <v/>
      </c>
      <c r="F307" s="2" t="str">
        <f>IF(Source!$C307&gt;=COLUMNS($A307:F307), Source!$G307, "")</f>
        <v/>
      </c>
      <c r="G307" s="2" t="str">
        <f>IF(Source!$C307&gt;=COLUMNS($A307:G307), Source!$G307, "")</f>
        <v/>
      </c>
      <c r="H307" s="2" t="str">
        <f>IF(Source!$C307&gt;=COLUMNS($A307:H307), Source!$G307, "")</f>
        <v/>
      </c>
      <c r="I307" s="2" t="str">
        <f>IF(Source!$C307&gt;=COLUMNS($A307:I307), Source!$G307, "")</f>
        <v/>
      </c>
      <c r="J307" s="2" t="str">
        <f>IF(Source!$C307&gt;=COLUMNS($A307:J307), Source!$G307, "")</f>
        <v/>
      </c>
      <c r="K307" s="2" t="str">
        <f>IF(Source!$C307&gt;=COLUMNS($A307:K307), Source!$G307, "")</f>
        <v/>
      </c>
      <c r="L307" s="2" t="str">
        <f>IF(Source!$C307&gt;=COLUMNS($A307:L307), Source!$G307, "")</f>
        <v/>
      </c>
      <c r="M307" s="2" t="str">
        <f>IF(Source!$C307&gt;=COLUMNS($A307:M307), Source!$G307, "")</f>
        <v/>
      </c>
      <c r="N307" s="2" t="str">
        <f>IF(Source!$C307&gt;=COLUMNS($A307:N307), Source!$G307, "")</f>
        <v/>
      </c>
      <c r="O307" s="2" t="str">
        <f>IF(Source!$C307&gt;=COLUMNS($A307:O307), Source!$G307, "")</f>
        <v/>
      </c>
      <c r="P307" s="2" t="str">
        <f>IF(Source!$C307&gt;=COLUMNS($A307:P307), Source!$G307, "")</f>
        <v/>
      </c>
      <c r="Q307" s="2" t="str">
        <f>IF(Source!$C307&gt;=COLUMNS($A307:Q307), Source!$G307, "")</f>
        <v/>
      </c>
      <c r="R307" s="2" t="str">
        <f>IF(Source!$C307&gt;=COLUMNS($A307:R307), Source!$G307, "")</f>
        <v/>
      </c>
      <c r="S307" s="2" t="str">
        <f>IF(Source!$C307&gt;=COLUMNS($A307:S307), Source!$G307, "")</f>
        <v/>
      </c>
      <c r="T307" s="2" t="str">
        <f>IF(Source!$C307&gt;=COLUMNS($A307:T307), Source!$G307, "")</f>
        <v/>
      </c>
      <c r="U307" s="2" t="str">
        <f>IF(Source!$C307&gt;=COLUMNS($A307:U307), Source!$G307, "")</f>
        <v/>
      </c>
      <c r="V307" s="2" t="str">
        <f>IF(Source!$C307&gt;=COLUMNS($A307:V307), Source!$G307, "")</f>
        <v/>
      </c>
      <c r="W307" s="2" t="str">
        <f>IF(Source!$C307&gt;=COLUMNS($A307:W307), Source!$G307, "")</f>
        <v/>
      </c>
      <c r="X307" s="2" t="str">
        <f>IF(Source!$C307&gt;=COLUMNS($A307:X307), Source!$G307, "")</f>
        <v/>
      </c>
      <c r="Y307" s="2" t="str">
        <f>IF(Source!$C307&gt;=COLUMNS($A307:Y307), Source!$G307, "")</f>
        <v/>
      </c>
      <c r="Z307" s="2" t="str">
        <f>IF(Source!$C307&gt;=COLUMNS($A307:Z307), Source!$G307, "")</f>
        <v/>
      </c>
      <c r="AA307" s="2" t="str">
        <f>IF(Source!$C307&gt;=COLUMNS($A307:AA307), Source!$G307, "")</f>
        <v/>
      </c>
      <c r="AB307" s="2" t="str">
        <f>IF(Source!$C307&gt;=COLUMNS($A307:AB307), Source!$G307, "")</f>
        <v/>
      </c>
      <c r="AC307" s="2" t="str">
        <f>IF(Source!$C307&gt;=COLUMNS($A307:AC307), Source!$G307, "")</f>
        <v/>
      </c>
      <c r="AD307" s="2" t="str">
        <f>IF(Source!$C307&gt;=COLUMNS($A307:AD307), Source!$G307, "")</f>
        <v/>
      </c>
      <c r="AE307" s="2" t="str">
        <f>IF(Source!$C307&gt;=COLUMNS($A307:AE307), Source!$G307, "")</f>
        <v/>
      </c>
      <c r="AF307" s="2" t="str">
        <f>IF(Source!$C307&gt;=COLUMNS($A307:AF307), Source!$G307, "")</f>
        <v/>
      </c>
      <c r="AG307" s="2" t="str">
        <f>IF(Source!$C307&gt;=COLUMNS($A307:AG307), Source!$G307, "")</f>
        <v/>
      </c>
      <c r="AH307" s="2" t="str">
        <f>IF(Source!$C307&gt;=COLUMNS($A307:AH307), Source!$G307, "")</f>
        <v/>
      </c>
      <c r="AI307" s="2" t="str">
        <f>IF(Source!$C307&gt;=COLUMNS($A307:AI307), Source!$G307, "")</f>
        <v/>
      </c>
      <c r="AJ307" s="2" t="str">
        <f>IF(Source!$C307&gt;=COLUMNS($A307:AJ307), Source!$G307, "")</f>
        <v/>
      </c>
      <c r="AK307" s="2" t="str">
        <f>IF(Source!$C307&gt;=COLUMNS($A307:AK307), Source!$G307, "")</f>
        <v/>
      </c>
      <c r="AL307" s="2" t="str">
        <f>IF(Source!$C307&gt;=COLUMNS($A307:AL307), Source!$G307, "")</f>
        <v/>
      </c>
      <c r="AM307" s="2" t="str">
        <f>IF(Source!$C307&gt;=COLUMNS($A307:AM307), Source!$G307, "")</f>
        <v/>
      </c>
      <c r="AN307" s="2" t="str">
        <f>IF(Source!$C307&gt;=COLUMNS($A307:AN307), Source!$G307, "")</f>
        <v/>
      </c>
      <c r="AO307" s="2" t="str">
        <f>IF(Source!$C307&gt;=COLUMNS($A307:AO307), Source!$G307, "")</f>
        <v/>
      </c>
      <c r="AP307" s="2" t="str">
        <f>IF(Source!$C307&gt;=COLUMNS($A307:AP307), Source!$G307, "")</f>
        <v/>
      </c>
      <c r="AQ307" s="2" t="str">
        <f>IF(Source!$C307&gt;=COLUMNS($A307:AQ307), Source!$G307, "")</f>
        <v/>
      </c>
      <c r="AR307" s="2" t="str">
        <f>IF(Source!$C307&gt;=COLUMNS($A307:AR307), Source!$G307, "")</f>
        <v/>
      </c>
    </row>
    <row r="308">
      <c r="A308" s="2">
        <f>IF(Source!$C308&gt;=COLUMNS($A308:A308), Source!$G308, "")</f>
        <v>7</v>
      </c>
      <c r="B308" s="2">
        <f>IF(Source!$C308&gt;=COLUMNS($A308:B308), Source!$G308, "")</f>
        <v>7</v>
      </c>
      <c r="C308" s="2">
        <f>IF(Source!$C308&gt;=COLUMNS($A308:C308), Source!$G308, "")</f>
        <v>7</v>
      </c>
      <c r="D308" s="2">
        <f>IF(Source!$C308&gt;=COLUMNS($A308:D308), Source!$G308, "")</f>
        <v>7</v>
      </c>
      <c r="E308" s="2">
        <f>IF(Source!$C308&gt;=COLUMNS($A308:E308), Source!$G308, "")</f>
        <v>7</v>
      </c>
      <c r="F308" s="2" t="str">
        <f>IF(Source!$C308&gt;=COLUMNS($A308:F308), Source!$G308, "")</f>
        <v/>
      </c>
      <c r="G308" s="2" t="str">
        <f>IF(Source!$C308&gt;=COLUMNS($A308:G308), Source!$G308, "")</f>
        <v/>
      </c>
      <c r="H308" s="2" t="str">
        <f>IF(Source!$C308&gt;=COLUMNS($A308:H308), Source!$G308, "")</f>
        <v/>
      </c>
      <c r="I308" s="2" t="str">
        <f>IF(Source!$C308&gt;=COLUMNS($A308:I308), Source!$G308, "")</f>
        <v/>
      </c>
      <c r="J308" s="2" t="str">
        <f>IF(Source!$C308&gt;=COLUMNS($A308:J308), Source!$G308, "")</f>
        <v/>
      </c>
      <c r="K308" s="2" t="str">
        <f>IF(Source!$C308&gt;=COLUMNS($A308:K308), Source!$G308, "")</f>
        <v/>
      </c>
      <c r="L308" s="2" t="str">
        <f>IF(Source!$C308&gt;=COLUMNS($A308:L308), Source!$G308, "")</f>
        <v/>
      </c>
      <c r="M308" s="2" t="str">
        <f>IF(Source!$C308&gt;=COLUMNS($A308:M308), Source!$G308, "")</f>
        <v/>
      </c>
      <c r="N308" s="2" t="str">
        <f>IF(Source!$C308&gt;=COLUMNS($A308:N308), Source!$G308, "")</f>
        <v/>
      </c>
      <c r="O308" s="2" t="str">
        <f>IF(Source!$C308&gt;=COLUMNS($A308:O308), Source!$G308, "")</f>
        <v/>
      </c>
      <c r="P308" s="2" t="str">
        <f>IF(Source!$C308&gt;=COLUMNS($A308:P308), Source!$G308, "")</f>
        <v/>
      </c>
      <c r="Q308" s="2" t="str">
        <f>IF(Source!$C308&gt;=COLUMNS($A308:Q308), Source!$G308, "")</f>
        <v/>
      </c>
      <c r="R308" s="2" t="str">
        <f>IF(Source!$C308&gt;=COLUMNS($A308:R308), Source!$G308, "")</f>
        <v/>
      </c>
      <c r="S308" s="2" t="str">
        <f>IF(Source!$C308&gt;=COLUMNS($A308:S308), Source!$G308, "")</f>
        <v/>
      </c>
      <c r="T308" s="2" t="str">
        <f>IF(Source!$C308&gt;=COLUMNS($A308:T308), Source!$G308, "")</f>
        <v/>
      </c>
      <c r="U308" s="2" t="str">
        <f>IF(Source!$C308&gt;=COLUMNS($A308:U308), Source!$G308, "")</f>
        <v/>
      </c>
      <c r="V308" s="2" t="str">
        <f>IF(Source!$C308&gt;=COLUMNS($A308:V308), Source!$G308, "")</f>
        <v/>
      </c>
      <c r="W308" s="2" t="str">
        <f>IF(Source!$C308&gt;=COLUMNS($A308:W308), Source!$G308, "")</f>
        <v/>
      </c>
      <c r="X308" s="2" t="str">
        <f>IF(Source!$C308&gt;=COLUMNS($A308:X308), Source!$G308, "")</f>
        <v/>
      </c>
      <c r="Y308" s="2" t="str">
        <f>IF(Source!$C308&gt;=COLUMNS($A308:Y308), Source!$G308, "")</f>
        <v/>
      </c>
      <c r="Z308" s="2" t="str">
        <f>IF(Source!$C308&gt;=COLUMNS($A308:Z308), Source!$G308, "")</f>
        <v/>
      </c>
      <c r="AA308" s="2" t="str">
        <f>IF(Source!$C308&gt;=COLUMNS($A308:AA308), Source!$G308, "")</f>
        <v/>
      </c>
      <c r="AB308" s="2" t="str">
        <f>IF(Source!$C308&gt;=COLUMNS($A308:AB308), Source!$G308, "")</f>
        <v/>
      </c>
      <c r="AC308" s="2" t="str">
        <f>IF(Source!$C308&gt;=COLUMNS($A308:AC308), Source!$G308, "")</f>
        <v/>
      </c>
      <c r="AD308" s="2" t="str">
        <f>IF(Source!$C308&gt;=COLUMNS($A308:AD308), Source!$G308, "")</f>
        <v/>
      </c>
      <c r="AE308" s="2" t="str">
        <f>IF(Source!$C308&gt;=COLUMNS($A308:AE308), Source!$G308, "")</f>
        <v/>
      </c>
      <c r="AF308" s="2" t="str">
        <f>IF(Source!$C308&gt;=COLUMNS($A308:AF308), Source!$G308, "")</f>
        <v/>
      </c>
      <c r="AG308" s="2" t="str">
        <f>IF(Source!$C308&gt;=COLUMNS($A308:AG308), Source!$G308, "")</f>
        <v/>
      </c>
      <c r="AH308" s="2" t="str">
        <f>IF(Source!$C308&gt;=COLUMNS($A308:AH308), Source!$G308, "")</f>
        <v/>
      </c>
      <c r="AI308" s="2" t="str">
        <f>IF(Source!$C308&gt;=COLUMNS($A308:AI308), Source!$G308, "")</f>
        <v/>
      </c>
      <c r="AJ308" s="2" t="str">
        <f>IF(Source!$C308&gt;=COLUMNS($A308:AJ308), Source!$G308, "")</f>
        <v/>
      </c>
      <c r="AK308" s="2" t="str">
        <f>IF(Source!$C308&gt;=COLUMNS($A308:AK308), Source!$G308, "")</f>
        <v/>
      </c>
      <c r="AL308" s="2" t="str">
        <f>IF(Source!$C308&gt;=COLUMNS($A308:AL308), Source!$G308, "")</f>
        <v/>
      </c>
      <c r="AM308" s="2" t="str">
        <f>IF(Source!$C308&gt;=COLUMNS($A308:AM308), Source!$G308, "")</f>
        <v/>
      </c>
      <c r="AN308" s="2" t="str">
        <f>IF(Source!$C308&gt;=COLUMNS($A308:AN308), Source!$G308, "")</f>
        <v/>
      </c>
      <c r="AO308" s="2" t="str">
        <f>IF(Source!$C308&gt;=COLUMNS($A308:AO308), Source!$G308, "")</f>
        <v/>
      </c>
      <c r="AP308" s="2" t="str">
        <f>IF(Source!$C308&gt;=COLUMNS($A308:AP308), Source!$G308, "")</f>
        <v/>
      </c>
      <c r="AQ308" s="2" t="str">
        <f>IF(Source!$C308&gt;=COLUMNS($A308:AQ308), Source!$G308, "")</f>
        <v/>
      </c>
      <c r="AR308" s="2" t="str">
        <f>IF(Source!$C308&gt;=COLUMNS($A308:AR308), Source!$G308, "")</f>
        <v/>
      </c>
    </row>
    <row r="309">
      <c r="A309" s="2">
        <f>IF(Source!$C309&gt;=COLUMNS($A309:A309), Source!$G309, "")</f>
        <v>4</v>
      </c>
      <c r="B309" s="2">
        <f>IF(Source!$C309&gt;=COLUMNS($A309:B309), Source!$G309, "")</f>
        <v>4</v>
      </c>
      <c r="C309" s="2" t="str">
        <f>IF(Source!$C309&gt;=COLUMNS($A309:C309), Source!$G309, "")</f>
        <v/>
      </c>
      <c r="D309" s="2" t="str">
        <f>IF(Source!$C309&gt;=COLUMNS($A309:D309), Source!$G309, "")</f>
        <v/>
      </c>
      <c r="E309" s="2" t="str">
        <f>IF(Source!$C309&gt;=COLUMNS($A309:E309), Source!$G309, "")</f>
        <v/>
      </c>
      <c r="F309" s="2" t="str">
        <f>IF(Source!$C309&gt;=COLUMNS($A309:F309), Source!$G309, "")</f>
        <v/>
      </c>
      <c r="G309" s="2" t="str">
        <f>IF(Source!$C309&gt;=COLUMNS($A309:G309), Source!$G309, "")</f>
        <v/>
      </c>
      <c r="H309" s="2" t="str">
        <f>IF(Source!$C309&gt;=COLUMNS($A309:H309), Source!$G309, "")</f>
        <v/>
      </c>
      <c r="I309" s="2" t="str">
        <f>IF(Source!$C309&gt;=COLUMNS($A309:I309), Source!$G309, "")</f>
        <v/>
      </c>
      <c r="J309" s="2" t="str">
        <f>IF(Source!$C309&gt;=COLUMNS($A309:J309), Source!$G309, "")</f>
        <v/>
      </c>
      <c r="K309" s="2" t="str">
        <f>IF(Source!$C309&gt;=COLUMNS($A309:K309), Source!$G309, "")</f>
        <v/>
      </c>
      <c r="L309" s="2" t="str">
        <f>IF(Source!$C309&gt;=COLUMNS($A309:L309), Source!$G309, "")</f>
        <v/>
      </c>
      <c r="M309" s="2" t="str">
        <f>IF(Source!$C309&gt;=COLUMNS($A309:M309), Source!$G309, "")</f>
        <v/>
      </c>
      <c r="N309" s="2" t="str">
        <f>IF(Source!$C309&gt;=COLUMNS($A309:N309), Source!$G309, "")</f>
        <v/>
      </c>
      <c r="O309" s="2" t="str">
        <f>IF(Source!$C309&gt;=COLUMNS($A309:O309), Source!$G309, "")</f>
        <v/>
      </c>
      <c r="P309" s="2" t="str">
        <f>IF(Source!$C309&gt;=COLUMNS($A309:P309), Source!$G309, "")</f>
        <v/>
      </c>
      <c r="Q309" s="2" t="str">
        <f>IF(Source!$C309&gt;=COLUMNS($A309:Q309), Source!$G309, "")</f>
        <v/>
      </c>
      <c r="R309" s="2" t="str">
        <f>IF(Source!$C309&gt;=COLUMNS($A309:R309), Source!$G309, "")</f>
        <v/>
      </c>
      <c r="S309" s="2" t="str">
        <f>IF(Source!$C309&gt;=COLUMNS($A309:S309), Source!$G309, "")</f>
        <v/>
      </c>
      <c r="T309" s="2" t="str">
        <f>IF(Source!$C309&gt;=COLUMNS($A309:T309), Source!$G309, "")</f>
        <v/>
      </c>
      <c r="U309" s="2" t="str">
        <f>IF(Source!$C309&gt;=COLUMNS($A309:U309), Source!$G309, "")</f>
        <v/>
      </c>
      <c r="V309" s="2" t="str">
        <f>IF(Source!$C309&gt;=COLUMNS($A309:V309), Source!$G309, "")</f>
        <v/>
      </c>
      <c r="W309" s="2" t="str">
        <f>IF(Source!$C309&gt;=COLUMNS($A309:W309), Source!$G309, "")</f>
        <v/>
      </c>
      <c r="X309" s="2" t="str">
        <f>IF(Source!$C309&gt;=COLUMNS($A309:X309), Source!$G309, "")</f>
        <v/>
      </c>
      <c r="Y309" s="2" t="str">
        <f>IF(Source!$C309&gt;=COLUMNS($A309:Y309), Source!$G309, "")</f>
        <v/>
      </c>
      <c r="Z309" s="2" t="str">
        <f>IF(Source!$C309&gt;=COLUMNS($A309:Z309), Source!$G309, "")</f>
        <v/>
      </c>
      <c r="AA309" s="2" t="str">
        <f>IF(Source!$C309&gt;=COLUMNS($A309:AA309), Source!$G309, "")</f>
        <v/>
      </c>
      <c r="AB309" s="2" t="str">
        <f>IF(Source!$C309&gt;=COLUMNS($A309:AB309), Source!$G309, "")</f>
        <v/>
      </c>
      <c r="AC309" s="2" t="str">
        <f>IF(Source!$C309&gt;=COLUMNS($A309:AC309), Source!$G309, "")</f>
        <v/>
      </c>
      <c r="AD309" s="2" t="str">
        <f>IF(Source!$C309&gt;=COLUMNS($A309:AD309), Source!$G309, "")</f>
        <v/>
      </c>
      <c r="AE309" s="2" t="str">
        <f>IF(Source!$C309&gt;=COLUMNS($A309:AE309), Source!$G309, "")</f>
        <v/>
      </c>
      <c r="AF309" s="2" t="str">
        <f>IF(Source!$C309&gt;=COLUMNS($A309:AF309), Source!$G309, "")</f>
        <v/>
      </c>
      <c r="AG309" s="2" t="str">
        <f>IF(Source!$C309&gt;=COLUMNS($A309:AG309), Source!$G309, "")</f>
        <v/>
      </c>
      <c r="AH309" s="2" t="str">
        <f>IF(Source!$C309&gt;=COLUMNS($A309:AH309), Source!$G309, "")</f>
        <v/>
      </c>
      <c r="AI309" s="2" t="str">
        <f>IF(Source!$C309&gt;=COLUMNS($A309:AI309), Source!$G309, "")</f>
        <v/>
      </c>
      <c r="AJ309" s="2" t="str">
        <f>IF(Source!$C309&gt;=COLUMNS($A309:AJ309), Source!$G309, "")</f>
        <v/>
      </c>
      <c r="AK309" s="2" t="str">
        <f>IF(Source!$C309&gt;=COLUMNS($A309:AK309), Source!$G309, "")</f>
        <v/>
      </c>
      <c r="AL309" s="2" t="str">
        <f>IF(Source!$C309&gt;=COLUMNS($A309:AL309), Source!$G309, "")</f>
        <v/>
      </c>
      <c r="AM309" s="2" t="str">
        <f>IF(Source!$C309&gt;=COLUMNS($A309:AM309), Source!$G309, "")</f>
        <v/>
      </c>
      <c r="AN309" s="2" t="str">
        <f>IF(Source!$C309&gt;=COLUMNS($A309:AN309), Source!$G309, "")</f>
        <v/>
      </c>
      <c r="AO309" s="2" t="str">
        <f>IF(Source!$C309&gt;=COLUMNS($A309:AO309), Source!$G309, "")</f>
        <v/>
      </c>
      <c r="AP309" s="2" t="str">
        <f>IF(Source!$C309&gt;=COLUMNS($A309:AP309), Source!$G309, "")</f>
        <v/>
      </c>
      <c r="AQ309" s="2" t="str">
        <f>IF(Source!$C309&gt;=COLUMNS($A309:AQ309), Source!$G309, "")</f>
        <v/>
      </c>
      <c r="AR309" s="2" t="str">
        <f>IF(Source!$C309&gt;=COLUMNS($A309:AR309), Source!$G309, "")</f>
        <v/>
      </c>
    </row>
    <row r="310">
      <c r="A310" s="2">
        <f>IF(Source!$C310&gt;=COLUMNS($A310:A310), Source!$G310, "")</f>
        <v>7</v>
      </c>
      <c r="B310" s="2">
        <f>IF(Source!$C310&gt;=COLUMNS($A310:B310), Source!$G310, "")</f>
        <v>7</v>
      </c>
      <c r="C310" s="2">
        <f>IF(Source!$C310&gt;=COLUMNS($A310:C310), Source!$G310, "")</f>
        <v>7</v>
      </c>
      <c r="D310" s="2">
        <f>IF(Source!$C310&gt;=COLUMNS($A310:D310), Source!$G310, "")</f>
        <v>7</v>
      </c>
      <c r="E310" s="2">
        <f>IF(Source!$C310&gt;=COLUMNS($A310:E310), Source!$G310, "")</f>
        <v>7</v>
      </c>
      <c r="F310" s="2">
        <f>IF(Source!$C310&gt;=COLUMNS($A310:F310), Source!$G310, "")</f>
        <v>7</v>
      </c>
      <c r="G310" s="2">
        <f>IF(Source!$C310&gt;=COLUMNS($A310:G310), Source!$G310, "")</f>
        <v>7</v>
      </c>
      <c r="H310" s="2">
        <f>IF(Source!$C310&gt;=COLUMNS($A310:H310), Source!$G310, "")</f>
        <v>7</v>
      </c>
      <c r="I310" s="2">
        <f>IF(Source!$C310&gt;=COLUMNS($A310:I310), Source!$G310, "")</f>
        <v>7</v>
      </c>
      <c r="J310" s="2">
        <f>IF(Source!$C310&gt;=COLUMNS($A310:J310), Source!$G310, "")</f>
        <v>7</v>
      </c>
      <c r="K310" s="2" t="str">
        <f>IF(Source!$C310&gt;=COLUMNS($A310:K310), Source!$G310, "")</f>
        <v/>
      </c>
      <c r="L310" s="2" t="str">
        <f>IF(Source!$C310&gt;=COLUMNS($A310:L310), Source!$G310, "")</f>
        <v/>
      </c>
      <c r="M310" s="2" t="str">
        <f>IF(Source!$C310&gt;=COLUMNS($A310:M310), Source!$G310, "")</f>
        <v/>
      </c>
      <c r="N310" s="2" t="str">
        <f>IF(Source!$C310&gt;=COLUMNS($A310:N310), Source!$G310, "")</f>
        <v/>
      </c>
      <c r="O310" s="2" t="str">
        <f>IF(Source!$C310&gt;=COLUMNS($A310:O310), Source!$G310, "")</f>
        <v/>
      </c>
      <c r="P310" s="2" t="str">
        <f>IF(Source!$C310&gt;=COLUMNS($A310:P310), Source!$G310, "")</f>
        <v/>
      </c>
      <c r="Q310" s="2" t="str">
        <f>IF(Source!$C310&gt;=COLUMNS($A310:Q310), Source!$G310, "")</f>
        <v/>
      </c>
      <c r="R310" s="2" t="str">
        <f>IF(Source!$C310&gt;=COLUMNS($A310:R310), Source!$G310, "")</f>
        <v/>
      </c>
      <c r="S310" s="2" t="str">
        <f>IF(Source!$C310&gt;=COLUMNS($A310:S310), Source!$G310, "")</f>
        <v/>
      </c>
      <c r="T310" s="2" t="str">
        <f>IF(Source!$C310&gt;=COLUMNS($A310:T310), Source!$G310, "")</f>
        <v/>
      </c>
      <c r="U310" s="2" t="str">
        <f>IF(Source!$C310&gt;=COLUMNS($A310:U310), Source!$G310, "")</f>
        <v/>
      </c>
      <c r="V310" s="2" t="str">
        <f>IF(Source!$C310&gt;=COLUMNS($A310:V310), Source!$G310, "")</f>
        <v/>
      </c>
      <c r="W310" s="2" t="str">
        <f>IF(Source!$C310&gt;=COLUMNS($A310:W310), Source!$G310, "")</f>
        <v/>
      </c>
      <c r="X310" s="2" t="str">
        <f>IF(Source!$C310&gt;=COLUMNS($A310:X310), Source!$G310, "")</f>
        <v/>
      </c>
      <c r="Y310" s="2" t="str">
        <f>IF(Source!$C310&gt;=COLUMNS($A310:Y310), Source!$G310, "")</f>
        <v/>
      </c>
      <c r="Z310" s="2" t="str">
        <f>IF(Source!$C310&gt;=COLUMNS($A310:Z310), Source!$G310, "")</f>
        <v/>
      </c>
      <c r="AA310" s="2" t="str">
        <f>IF(Source!$C310&gt;=COLUMNS($A310:AA310), Source!$G310, "")</f>
        <v/>
      </c>
      <c r="AB310" s="2" t="str">
        <f>IF(Source!$C310&gt;=COLUMNS($A310:AB310), Source!$G310, "")</f>
        <v/>
      </c>
      <c r="AC310" s="2" t="str">
        <f>IF(Source!$C310&gt;=COLUMNS($A310:AC310), Source!$G310, "")</f>
        <v/>
      </c>
      <c r="AD310" s="2" t="str">
        <f>IF(Source!$C310&gt;=COLUMNS($A310:AD310), Source!$G310, "")</f>
        <v/>
      </c>
      <c r="AE310" s="2" t="str">
        <f>IF(Source!$C310&gt;=COLUMNS($A310:AE310), Source!$G310, "")</f>
        <v/>
      </c>
      <c r="AF310" s="2" t="str">
        <f>IF(Source!$C310&gt;=COLUMNS($A310:AF310), Source!$G310, "")</f>
        <v/>
      </c>
      <c r="AG310" s="2" t="str">
        <f>IF(Source!$C310&gt;=COLUMNS($A310:AG310), Source!$G310, "")</f>
        <v/>
      </c>
      <c r="AH310" s="2" t="str">
        <f>IF(Source!$C310&gt;=COLUMNS($A310:AH310), Source!$G310, "")</f>
        <v/>
      </c>
      <c r="AI310" s="2" t="str">
        <f>IF(Source!$C310&gt;=COLUMNS($A310:AI310), Source!$G310, "")</f>
        <v/>
      </c>
      <c r="AJ310" s="2" t="str">
        <f>IF(Source!$C310&gt;=COLUMNS($A310:AJ310), Source!$G310, "")</f>
        <v/>
      </c>
      <c r="AK310" s="2" t="str">
        <f>IF(Source!$C310&gt;=COLUMNS($A310:AK310), Source!$G310, "")</f>
        <v/>
      </c>
      <c r="AL310" s="2" t="str">
        <f>IF(Source!$C310&gt;=COLUMNS($A310:AL310), Source!$G310, "")</f>
        <v/>
      </c>
      <c r="AM310" s="2" t="str">
        <f>IF(Source!$C310&gt;=COLUMNS($A310:AM310), Source!$G310, "")</f>
        <v/>
      </c>
      <c r="AN310" s="2" t="str">
        <f>IF(Source!$C310&gt;=COLUMNS($A310:AN310), Source!$G310, "")</f>
        <v/>
      </c>
      <c r="AO310" s="2" t="str">
        <f>IF(Source!$C310&gt;=COLUMNS($A310:AO310), Source!$G310, "")</f>
        <v/>
      </c>
      <c r="AP310" s="2" t="str">
        <f>IF(Source!$C310&gt;=COLUMNS($A310:AP310), Source!$G310, "")</f>
        <v/>
      </c>
      <c r="AQ310" s="2" t="str">
        <f>IF(Source!$C310&gt;=COLUMNS($A310:AQ310), Source!$G310, "")</f>
        <v/>
      </c>
      <c r="AR310" s="2" t="str">
        <f>IF(Source!$C310&gt;=COLUMNS($A310:AR310), Source!$G310, "")</f>
        <v/>
      </c>
    </row>
    <row r="311">
      <c r="A311" s="2">
        <f>IF(Source!$C311&gt;=COLUMNS($A311:A311), Source!$G311, "")</f>
        <v>1</v>
      </c>
      <c r="B311" s="2" t="str">
        <f>IF(Source!$C311&gt;=COLUMNS($A311:B311), Source!$G311, "")</f>
        <v/>
      </c>
      <c r="C311" s="2" t="str">
        <f>IF(Source!$C311&gt;=COLUMNS($A311:C311), Source!$G311, "")</f>
        <v/>
      </c>
      <c r="D311" s="2" t="str">
        <f>IF(Source!$C311&gt;=COLUMNS($A311:D311), Source!$G311, "")</f>
        <v/>
      </c>
      <c r="E311" s="2" t="str">
        <f>IF(Source!$C311&gt;=COLUMNS($A311:E311), Source!$G311, "")</f>
        <v/>
      </c>
      <c r="F311" s="2" t="str">
        <f>IF(Source!$C311&gt;=COLUMNS($A311:F311), Source!$G311, "")</f>
        <v/>
      </c>
      <c r="G311" s="2" t="str">
        <f>IF(Source!$C311&gt;=COLUMNS($A311:G311), Source!$G311, "")</f>
        <v/>
      </c>
      <c r="H311" s="2" t="str">
        <f>IF(Source!$C311&gt;=COLUMNS($A311:H311), Source!$G311, "")</f>
        <v/>
      </c>
      <c r="I311" s="2" t="str">
        <f>IF(Source!$C311&gt;=COLUMNS($A311:I311), Source!$G311, "")</f>
        <v/>
      </c>
      <c r="J311" s="2" t="str">
        <f>IF(Source!$C311&gt;=COLUMNS($A311:J311), Source!$G311, "")</f>
        <v/>
      </c>
      <c r="K311" s="2" t="str">
        <f>IF(Source!$C311&gt;=COLUMNS($A311:K311), Source!$G311, "")</f>
        <v/>
      </c>
      <c r="L311" s="2" t="str">
        <f>IF(Source!$C311&gt;=COLUMNS($A311:L311), Source!$G311, "")</f>
        <v/>
      </c>
      <c r="M311" s="2" t="str">
        <f>IF(Source!$C311&gt;=COLUMNS($A311:M311), Source!$G311, "")</f>
        <v/>
      </c>
      <c r="N311" s="2" t="str">
        <f>IF(Source!$C311&gt;=COLUMNS($A311:N311), Source!$G311, "")</f>
        <v/>
      </c>
      <c r="O311" s="2" t="str">
        <f>IF(Source!$C311&gt;=COLUMNS($A311:O311), Source!$G311, "")</f>
        <v/>
      </c>
      <c r="P311" s="2" t="str">
        <f>IF(Source!$C311&gt;=COLUMNS($A311:P311), Source!$G311, "")</f>
        <v/>
      </c>
      <c r="Q311" s="2" t="str">
        <f>IF(Source!$C311&gt;=COLUMNS($A311:Q311), Source!$G311, "")</f>
        <v/>
      </c>
      <c r="R311" s="2" t="str">
        <f>IF(Source!$C311&gt;=COLUMNS($A311:R311), Source!$G311, "")</f>
        <v/>
      </c>
      <c r="S311" s="2" t="str">
        <f>IF(Source!$C311&gt;=COLUMNS($A311:S311), Source!$G311, "")</f>
        <v/>
      </c>
      <c r="T311" s="2" t="str">
        <f>IF(Source!$C311&gt;=COLUMNS($A311:T311), Source!$G311, "")</f>
        <v/>
      </c>
      <c r="U311" s="2" t="str">
        <f>IF(Source!$C311&gt;=COLUMNS($A311:U311), Source!$G311, "")</f>
        <v/>
      </c>
      <c r="V311" s="2" t="str">
        <f>IF(Source!$C311&gt;=COLUMNS($A311:V311), Source!$G311, "")</f>
        <v/>
      </c>
      <c r="W311" s="2" t="str">
        <f>IF(Source!$C311&gt;=COLUMNS($A311:W311), Source!$G311, "")</f>
        <v/>
      </c>
      <c r="X311" s="2" t="str">
        <f>IF(Source!$C311&gt;=COLUMNS($A311:X311), Source!$G311, "")</f>
        <v/>
      </c>
      <c r="Y311" s="2" t="str">
        <f>IF(Source!$C311&gt;=COLUMNS($A311:Y311), Source!$G311, "")</f>
        <v/>
      </c>
      <c r="Z311" s="2" t="str">
        <f>IF(Source!$C311&gt;=COLUMNS($A311:Z311), Source!$G311, "")</f>
        <v/>
      </c>
      <c r="AA311" s="2" t="str">
        <f>IF(Source!$C311&gt;=COLUMNS($A311:AA311), Source!$G311, "")</f>
        <v/>
      </c>
      <c r="AB311" s="2" t="str">
        <f>IF(Source!$C311&gt;=COLUMNS($A311:AB311), Source!$G311, "")</f>
        <v/>
      </c>
      <c r="AC311" s="2" t="str">
        <f>IF(Source!$C311&gt;=COLUMNS($A311:AC311), Source!$G311, "")</f>
        <v/>
      </c>
      <c r="AD311" s="2" t="str">
        <f>IF(Source!$C311&gt;=COLUMNS($A311:AD311), Source!$G311, "")</f>
        <v/>
      </c>
      <c r="AE311" s="2" t="str">
        <f>IF(Source!$C311&gt;=COLUMNS($A311:AE311), Source!$G311, "")</f>
        <v/>
      </c>
      <c r="AF311" s="2" t="str">
        <f>IF(Source!$C311&gt;=COLUMNS($A311:AF311), Source!$G311, "")</f>
        <v/>
      </c>
      <c r="AG311" s="2" t="str">
        <f>IF(Source!$C311&gt;=COLUMNS($A311:AG311), Source!$G311, "")</f>
        <v/>
      </c>
      <c r="AH311" s="2" t="str">
        <f>IF(Source!$C311&gt;=COLUMNS($A311:AH311), Source!$G311, "")</f>
        <v/>
      </c>
      <c r="AI311" s="2" t="str">
        <f>IF(Source!$C311&gt;=COLUMNS($A311:AI311), Source!$G311, "")</f>
        <v/>
      </c>
      <c r="AJ311" s="2" t="str">
        <f>IF(Source!$C311&gt;=COLUMNS($A311:AJ311), Source!$G311, "")</f>
        <v/>
      </c>
      <c r="AK311" s="2" t="str">
        <f>IF(Source!$C311&gt;=COLUMNS($A311:AK311), Source!$G311, "")</f>
        <v/>
      </c>
      <c r="AL311" s="2" t="str">
        <f>IF(Source!$C311&gt;=COLUMNS($A311:AL311), Source!$G311, "")</f>
        <v/>
      </c>
      <c r="AM311" s="2" t="str">
        <f>IF(Source!$C311&gt;=COLUMNS($A311:AM311), Source!$G311, "")</f>
        <v/>
      </c>
      <c r="AN311" s="2" t="str">
        <f>IF(Source!$C311&gt;=COLUMNS($A311:AN311), Source!$G311, "")</f>
        <v/>
      </c>
      <c r="AO311" s="2" t="str">
        <f>IF(Source!$C311&gt;=COLUMNS($A311:AO311), Source!$G311, "")</f>
        <v/>
      </c>
      <c r="AP311" s="2" t="str">
        <f>IF(Source!$C311&gt;=COLUMNS($A311:AP311), Source!$G311, "")</f>
        <v/>
      </c>
      <c r="AQ311" s="2" t="str">
        <f>IF(Source!$C311&gt;=COLUMNS($A311:AQ311), Source!$G311, "")</f>
        <v/>
      </c>
      <c r="AR311" s="2" t="str">
        <f>IF(Source!$C311&gt;=COLUMNS($A311:AR311), Source!$G311, "")</f>
        <v/>
      </c>
    </row>
    <row r="312">
      <c r="A312" s="2">
        <f>IF(Source!$C312&gt;=COLUMNS($A312:A312), Source!$G312, "")</f>
        <v>2</v>
      </c>
      <c r="B312" s="2">
        <f>IF(Source!$C312&gt;=COLUMNS($A312:B312), Source!$G312, "")</f>
        <v>2</v>
      </c>
      <c r="C312" s="2">
        <f>IF(Source!$C312&gt;=COLUMNS($A312:C312), Source!$G312, "")</f>
        <v>2</v>
      </c>
      <c r="D312" s="2">
        <f>IF(Source!$C312&gt;=COLUMNS($A312:D312), Source!$G312, "")</f>
        <v>2</v>
      </c>
      <c r="E312" s="2">
        <f>IF(Source!$C312&gt;=COLUMNS($A312:E312), Source!$G312, "")</f>
        <v>2</v>
      </c>
      <c r="F312" s="2">
        <f>IF(Source!$C312&gt;=COLUMNS($A312:F312), Source!$G312, "")</f>
        <v>2</v>
      </c>
      <c r="G312" s="2">
        <f>IF(Source!$C312&gt;=COLUMNS($A312:G312), Source!$G312, "")</f>
        <v>2</v>
      </c>
      <c r="H312" s="2">
        <f>IF(Source!$C312&gt;=COLUMNS($A312:H312), Source!$G312, "")</f>
        <v>2</v>
      </c>
      <c r="I312" s="2">
        <f>IF(Source!$C312&gt;=COLUMNS($A312:I312), Source!$G312, "")</f>
        <v>2</v>
      </c>
      <c r="J312" s="2">
        <f>IF(Source!$C312&gt;=COLUMNS($A312:J312), Source!$G312, "")</f>
        <v>2</v>
      </c>
      <c r="K312" s="2">
        <f>IF(Source!$C312&gt;=COLUMNS($A312:K312), Source!$G312, "")</f>
        <v>2</v>
      </c>
      <c r="L312" s="2">
        <f>IF(Source!$C312&gt;=COLUMNS($A312:L312), Source!$G312, "")</f>
        <v>2</v>
      </c>
      <c r="M312" s="2">
        <f>IF(Source!$C312&gt;=COLUMNS($A312:M312), Source!$G312, "")</f>
        <v>2</v>
      </c>
      <c r="N312" s="2">
        <f>IF(Source!$C312&gt;=COLUMNS($A312:N312), Source!$G312, "")</f>
        <v>2</v>
      </c>
      <c r="O312" s="2">
        <f>IF(Source!$C312&gt;=COLUMNS($A312:O312), Source!$G312, "")</f>
        <v>2</v>
      </c>
      <c r="P312" s="2">
        <f>IF(Source!$C312&gt;=COLUMNS($A312:P312), Source!$G312, "")</f>
        <v>2</v>
      </c>
      <c r="Q312" s="2">
        <f>IF(Source!$C312&gt;=COLUMNS($A312:Q312), Source!$G312, "")</f>
        <v>2</v>
      </c>
      <c r="R312" s="2">
        <f>IF(Source!$C312&gt;=COLUMNS($A312:R312), Source!$G312, "")</f>
        <v>2</v>
      </c>
      <c r="S312" s="2">
        <f>IF(Source!$C312&gt;=COLUMNS($A312:S312), Source!$G312, "")</f>
        <v>2</v>
      </c>
      <c r="T312" s="2">
        <f>IF(Source!$C312&gt;=COLUMNS($A312:T312), Source!$G312, "")</f>
        <v>2</v>
      </c>
      <c r="U312" s="2">
        <f>IF(Source!$C312&gt;=COLUMNS($A312:U312), Source!$G312, "")</f>
        <v>2</v>
      </c>
      <c r="V312" s="2">
        <f>IF(Source!$C312&gt;=COLUMNS($A312:V312), Source!$G312, "")</f>
        <v>2</v>
      </c>
      <c r="W312" s="2" t="str">
        <f>IF(Source!$C312&gt;=COLUMNS($A312:W312), Source!$G312, "")</f>
        <v/>
      </c>
      <c r="X312" s="2" t="str">
        <f>IF(Source!$C312&gt;=COLUMNS($A312:X312), Source!$G312, "")</f>
        <v/>
      </c>
      <c r="Y312" s="2" t="str">
        <f>IF(Source!$C312&gt;=COLUMNS($A312:Y312), Source!$G312, "")</f>
        <v/>
      </c>
      <c r="Z312" s="2" t="str">
        <f>IF(Source!$C312&gt;=COLUMNS($A312:Z312), Source!$G312, "")</f>
        <v/>
      </c>
      <c r="AA312" s="2" t="str">
        <f>IF(Source!$C312&gt;=COLUMNS($A312:AA312), Source!$G312, "")</f>
        <v/>
      </c>
      <c r="AB312" s="2" t="str">
        <f>IF(Source!$C312&gt;=COLUMNS($A312:AB312), Source!$G312, "")</f>
        <v/>
      </c>
      <c r="AC312" s="2" t="str">
        <f>IF(Source!$C312&gt;=COLUMNS($A312:AC312), Source!$G312, "")</f>
        <v/>
      </c>
      <c r="AD312" s="2" t="str">
        <f>IF(Source!$C312&gt;=COLUMNS($A312:AD312), Source!$G312, "")</f>
        <v/>
      </c>
      <c r="AE312" s="2" t="str">
        <f>IF(Source!$C312&gt;=COLUMNS($A312:AE312), Source!$G312, "")</f>
        <v/>
      </c>
      <c r="AF312" s="2" t="str">
        <f>IF(Source!$C312&gt;=COLUMNS($A312:AF312), Source!$G312, "")</f>
        <v/>
      </c>
      <c r="AG312" s="2" t="str">
        <f>IF(Source!$C312&gt;=COLUMNS($A312:AG312), Source!$G312, "")</f>
        <v/>
      </c>
      <c r="AH312" s="2" t="str">
        <f>IF(Source!$C312&gt;=COLUMNS($A312:AH312), Source!$G312, "")</f>
        <v/>
      </c>
      <c r="AI312" s="2" t="str">
        <f>IF(Source!$C312&gt;=COLUMNS($A312:AI312), Source!$G312, "")</f>
        <v/>
      </c>
      <c r="AJ312" s="2" t="str">
        <f>IF(Source!$C312&gt;=COLUMNS($A312:AJ312), Source!$G312, "")</f>
        <v/>
      </c>
      <c r="AK312" s="2" t="str">
        <f>IF(Source!$C312&gt;=COLUMNS($A312:AK312), Source!$G312, "")</f>
        <v/>
      </c>
      <c r="AL312" s="2" t="str">
        <f>IF(Source!$C312&gt;=COLUMNS($A312:AL312), Source!$G312, "")</f>
        <v/>
      </c>
      <c r="AM312" s="2" t="str">
        <f>IF(Source!$C312&gt;=COLUMNS($A312:AM312), Source!$G312, "")</f>
        <v/>
      </c>
      <c r="AN312" s="2" t="str">
        <f>IF(Source!$C312&gt;=COLUMNS($A312:AN312), Source!$G312, "")</f>
        <v/>
      </c>
      <c r="AO312" s="2" t="str">
        <f>IF(Source!$C312&gt;=COLUMNS($A312:AO312), Source!$G312, "")</f>
        <v/>
      </c>
      <c r="AP312" s="2" t="str">
        <f>IF(Source!$C312&gt;=COLUMNS($A312:AP312), Source!$G312, "")</f>
        <v/>
      </c>
      <c r="AQ312" s="2" t="str">
        <f>IF(Source!$C312&gt;=COLUMNS($A312:AQ312), Source!$G312, "")</f>
        <v/>
      </c>
      <c r="AR312" s="2" t="str">
        <f>IF(Source!$C312&gt;=COLUMNS($A312:AR312), Source!$G312, "")</f>
        <v/>
      </c>
    </row>
    <row r="313">
      <c r="A313" s="2">
        <f>IF(Source!$C313&gt;=COLUMNS($A313:A313), Source!$G313, "")</f>
        <v>1</v>
      </c>
      <c r="B313" s="2" t="str">
        <f>IF(Source!$C313&gt;=COLUMNS($A313:B313), Source!$G313, "")</f>
        <v/>
      </c>
      <c r="C313" s="2" t="str">
        <f>IF(Source!$C313&gt;=COLUMNS($A313:C313), Source!$G313, "")</f>
        <v/>
      </c>
      <c r="D313" s="2" t="str">
        <f>IF(Source!$C313&gt;=COLUMNS($A313:D313), Source!$G313, "")</f>
        <v/>
      </c>
      <c r="E313" s="2" t="str">
        <f>IF(Source!$C313&gt;=COLUMNS($A313:E313), Source!$G313, "")</f>
        <v/>
      </c>
      <c r="F313" s="2" t="str">
        <f>IF(Source!$C313&gt;=COLUMNS($A313:F313), Source!$G313, "")</f>
        <v/>
      </c>
      <c r="G313" s="2" t="str">
        <f>IF(Source!$C313&gt;=COLUMNS($A313:G313), Source!$G313, "")</f>
        <v/>
      </c>
      <c r="H313" s="2" t="str">
        <f>IF(Source!$C313&gt;=COLUMNS($A313:H313), Source!$G313, "")</f>
        <v/>
      </c>
      <c r="I313" s="2" t="str">
        <f>IF(Source!$C313&gt;=COLUMNS($A313:I313), Source!$G313, "")</f>
        <v/>
      </c>
      <c r="J313" s="2" t="str">
        <f>IF(Source!$C313&gt;=COLUMNS($A313:J313), Source!$G313, "")</f>
        <v/>
      </c>
      <c r="K313" s="2" t="str">
        <f>IF(Source!$C313&gt;=COLUMNS($A313:K313), Source!$G313, "")</f>
        <v/>
      </c>
      <c r="L313" s="2" t="str">
        <f>IF(Source!$C313&gt;=COLUMNS($A313:L313), Source!$G313, "")</f>
        <v/>
      </c>
      <c r="M313" s="2" t="str">
        <f>IF(Source!$C313&gt;=COLUMNS($A313:M313), Source!$G313, "")</f>
        <v/>
      </c>
      <c r="N313" s="2" t="str">
        <f>IF(Source!$C313&gt;=COLUMNS($A313:N313), Source!$G313, "")</f>
        <v/>
      </c>
      <c r="O313" s="2" t="str">
        <f>IF(Source!$C313&gt;=COLUMNS($A313:O313), Source!$G313, "")</f>
        <v/>
      </c>
      <c r="P313" s="2" t="str">
        <f>IF(Source!$C313&gt;=COLUMNS($A313:P313), Source!$G313, "")</f>
        <v/>
      </c>
      <c r="Q313" s="2" t="str">
        <f>IF(Source!$C313&gt;=COLUMNS($A313:Q313), Source!$G313, "")</f>
        <v/>
      </c>
      <c r="R313" s="2" t="str">
        <f>IF(Source!$C313&gt;=COLUMNS($A313:R313), Source!$G313, "")</f>
        <v/>
      </c>
      <c r="S313" s="2" t="str">
        <f>IF(Source!$C313&gt;=COLUMNS($A313:S313), Source!$G313, "")</f>
        <v/>
      </c>
      <c r="T313" s="2" t="str">
        <f>IF(Source!$C313&gt;=COLUMNS($A313:T313), Source!$G313, "")</f>
        <v/>
      </c>
      <c r="U313" s="2" t="str">
        <f>IF(Source!$C313&gt;=COLUMNS($A313:U313), Source!$G313, "")</f>
        <v/>
      </c>
      <c r="V313" s="2" t="str">
        <f>IF(Source!$C313&gt;=COLUMNS($A313:V313), Source!$G313, "")</f>
        <v/>
      </c>
      <c r="W313" s="2" t="str">
        <f>IF(Source!$C313&gt;=COLUMNS($A313:W313), Source!$G313, "")</f>
        <v/>
      </c>
      <c r="X313" s="2" t="str">
        <f>IF(Source!$C313&gt;=COLUMNS($A313:X313), Source!$G313, "")</f>
        <v/>
      </c>
      <c r="Y313" s="2" t="str">
        <f>IF(Source!$C313&gt;=COLUMNS($A313:Y313), Source!$G313, "")</f>
        <v/>
      </c>
      <c r="Z313" s="2" t="str">
        <f>IF(Source!$C313&gt;=COLUMNS($A313:Z313), Source!$G313, "")</f>
        <v/>
      </c>
      <c r="AA313" s="2" t="str">
        <f>IF(Source!$C313&gt;=COLUMNS($A313:AA313), Source!$G313, "")</f>
        <v/>
      </c>
      <c r="AB313" s="2" t="str">
        <f>IF(Source!$C313&gt;=COLUMNS($A313:AB313), Source!$G313, "")</f>
        <v/>
      </c>
      <c r="AC313" s="2" t="str">
        <f>IF(Source!$C313&gt;=COLUMNS($A313:AC313), Source!$G313, "")</f>
        <v/>
      </c>
      <c r="AD313" s="2" t="str">
        <f>IF(Source!$C313&gt;=COLUMNS($A313:AD313), Source!$G313, "")</f>
        <v/>
      </c>
      <c r="AE313" s="2" t="str">
        <f>IF(Source!$C313&gt;=COLUMNS($A313:AE313), Source!$G313, "")</f>
        <v/>
      </c>
      <c r="AF313" s="2" t="str">
        <f>IF(Source!$C313&gt;=COLUMNS($A313:AF313), Source!$G313, "")</f>
        <v/>
      </c>
      <c r="AG313" s="2" t="str">
        <f>IF(Source!$C313&gt;=COLUMNS($A313:AG313), Source!$G313, "")</f>
        <v/>
      </c>
      <c r="AH313" s="2" t="str">
        <f>IF(Source!$C313&gt;=COLUMNS($A313:AH313), Source!$G313, "")</f>
        <v/>
      </c>
      <c r="AI313" s="2" t="str">
        <f>IF(Source!$C313&gt;=COLUMNS($A313:AI313), Source!$G313, "")</f>
        <v/>
      </c>
      <c r="AJ313" s="2" t="str">
        <f>IF(Source!$C313&gt;=COLUMNS($A313:AJ313), Source!$G313, "")</f>
        <v/>
      </c>
      <c r="AK313" s="2" t="str">
        <f>IF(Source!$C313&gt;=COLUMNS($A313:AK313), Source!$G313, "")</f>
        <v/>
      </c>
      <c r="AL313" s="2" t="str">
        <f>IF(Source!$C313&gt;=COLUMNS($A313:AL313), Source!$G313, "")</f>
        <v/>
      </c>
      <c r="AM313" s="2" t="str">
        <f>IF(Source!$C313&gt;=COLUMNS($A313:AM313), Source!$G313, "")</f>
        <v/>
      </c>
      <c r="AN313" s="2" t="str">
        <f>IF(Source!$C313&gt;=COLUMNS($A313:AN313), Source!$G313, "")</f>
        <v/>
      </c>
      <c r="AO313" s="2" t="str">
        <f>IF(Source!$C313&gt;=COLUMNS($A313:AO313), Source!$G313, "")</f>
        <v/>
      </c>
      <c r="AP313" s="2" t="str">
        <f>IF(Source!$C313&gt;=COLUMNS($A313:AP313), Source!$G313, "")</f>
        <v/>
      </c>
      <c r="AQ313" s="2" t="str">
        <f>IF(Source!$C313&gt;=COLUMNS($A313:AQ313), Source!$G313, "")</f>
        <v/>
      </c>
      <c r="AR313" s="2" t="str">
        <f>IF(Source!$C313&gt;=COLUMNS($A313:AR313), Source!$G313, "")</f>
        <v/>
      </c>
    </row>
    <row r="314">
      <c r="A314" s="2">
        <f>IF(Source!$C314&gt;=COLUMNS($A314:A314), Source!$G314, "")</f>
        <v>7</v>
      </c>
      <c r="B314" s="2">
        <f>IF(Source!$C314&gt;=COLUMNS($A314:B314), Source!$G314, "")</f>
        <v>7</v>
      </c>
      <c r="C314" s="2">
        <f>IF(Source!$C314&gt;=COLUMNS($A314:C314), Source!$G314, "")</f>
        <v>7</v>
      </c>
      <c r="D314" s="2">
        <f>IF(Source!$C314&gt;=COLUMNS($A314:D314), Source!$G314, "")</f>
        <v>7</v>
      </c>
      <c r="E314" s="2">
        <f>IF(Source!$C314&gt;=COLUMNS($A314:E314), Source!$G314, "")</f>
        <v>7</v>
      </c>
      <c r="F314" s="2">
        <f>IF(Source!$C314&gt;=COLUMNS($A314:F314), Source!$G314, "")</f>
        <v>7</v>
      </c>
      <c r="G314" s="2" t="str">
        <f>IF(Source!$C314&gt;=COLUMNS($A314:G314), Source!$G314, "")</f>
        <v/>
      </c>
      <c r="H314" s="2" t="str">
        <f>IF(Source!$C314&gt;=COLUMNS($A314:H314), Source!$G314, "")</f>
        <v/>
      </c>
      <c r="I314" s="2" t="str">
        <f>IF(Source!$C314&gt;=COLUMNS($A314:I314), Source!$G314, "")</f>
        <v/>
      </c>
      <c r="J314" s="2" t="str">
        <f>IF(Source!$C314&gt;=COLUMNS($A314:J314), Source!$G314, "")</f>
        <v/>
      </c>
      <c r="K314" s="2" t="str">
        <f>IF(Source!$C314&gt;=COLUMNS($A314:K314), Source!$G314, "")</f>
        <v/>
      </c>
      <c r="L314" s="2" t="str">
        <f>IF(Source!$C314&gt;=COLUMNS($A314:L314), Source!$G314, "")</f>
        <v/>
      </c>
      <c r="M314" s="2" t="str">
        <f>IF(Source!$C314&gt;=COLUMNS($A314:M314), Source!$G314, "")</f>
        <v/>
      </c>
      <c r="N314" s="2" t="str">
        <f>IF(Source!$C314&gt;=COLUMNS($A314:N314), Source!$G314, "")</f>
        <v/>
      </c>
      <c r="O314" s="2" t="str">
        <f>IF(Source!$C314&gt;=COLUMNS($A314:O314), Source!$G314, "")</f>
        <v/>
      </c>
      <c r="P314" s="2" t="str">
        <f>IF(Source!$C314&gt;=COLUMNS($A314:P314), Source!$G314, "")</f>
        <v/>
      </c>
      <c r="Q314" s="2" t="str">
        <f>IF(Source!$C314&gt;=COLUMNS($A314:Q314), Source!$G314, "")</f>
        <v/>
      </c>
      <c r="R314" s="2" t="str">
        <f>IF(Source!$C314&gt;=COLUMNS($A314:R314), Source!$G314, "")</f>
        <v/>
      </c>
      <c r="S314" s="2" t="str">
        <f>IF(Source!$C314&gt;=COLUMNS($A314:S314), Source!$G314, "")</f>
        <v/>
      </c>
      <c r="T314" s="2" t="str">
        <f>IF(Source!$C314&gt;=COLUMNS($A314:T314), Source!$G314, "")</f>
        <v/>
      </c>
      <c r="U314" s="2" t="str">
        <f>IF(Source!$C314&gt;=COLUMNS($A314:U314), Source!$G314, "")</f>
        <v/>
      </c>
      <c r="V314" s="2" t="str">
        <f>IF(Source!$C314&gt;=COLUMNS($A314:V314), Source!$G314, "")</f>
        <v/>
      </c>
      <c r="W314" s="2" t="str">
        <f>IF(Source!$C314&gt;=COLUMNS($A314:W314), Source!$G314, "")</f>
        <v/>
      </c>
      <c r="X314" s="2" t="str">
        <f>IF(Source!$C314&gt;=COLUMNS($A314:X314), Source!$G314, "")</f>
        <v/>
      </c>
      <c r="Y314" s="2" t="str">
        <f>IF(Source!$C314&gt;=COLUMNS($A314:Y314), Source!$G314, "")</f>
        <v/>
      </c>
      <c r="Z314" s="2" t="str">
        <f>IF(Source!$C314&gt;=COLUMNS($A314:Z314), Source!$G314, "")</f>
        <v/>
      </c>
      <c r="AA314" s="2" t="str">
        <f>IF(Source!$C314&gt;=COLUMNS($A314:AA314), Source!$G314, "")</f>
        <v/>
      </c>
      <c r="AB314" s="2" t="str">
        <f>IF(Source!$C314&gt;=COLUMNS($A314:AB314), Source!$G314, "")</f>
        <v/>
      </c>
      <c r="AC314" s="2" t="str">
        <f>IF(Source!$C314&gt;=COLUMNS($A314:AC314), Source!$G314, "")</f>
        <v/>
      </c>
      <c r="AD314" s="2" t="str">
        <f>IF(Source!$C314&gt;=COLUMNS($A314:AD314), Source!$G314, "")</f>
        <v/>
      </c>
      <c r="AE314" s="2" t="str">
        <f>IF(Source!$C314&gt;=COLUMNS($A314:AE314), Source!$G314, "")</f>
        <v/>
      </c>
      <c r="AF314" s="2" t="str">
        <f>IF(Source!$C314&gt;=COLUMNS($A314:AF314), Source!$G314, "")</f>
        <v/>
      </c>
      <c r="AG314" s="2" t="str">
        <f>IF(Source!$C314&gt;=COLUMNS($A314:AG314), Source!$G314, "")</f>
        <v/>
      </c>
      <c r="AH314" s="2" t="str">
        <f>IF(Source!$C314&gt;=COLUMNS($A314:AH314), Source!$G314, "")</f>
        <v/>
      </c>
      <c r="AI314" s="2" t="str">
        <f>IF(Source!$C314&gt;=COLUMNS($A314:AI314), Source!$G314, "")</f>
        <v/>
      </c>
      <c r="AJ314" s="2" t="str">
        <f>IF(Source!$C314&gt;=COLUMNS($A314:AJ314), Source!$G314, "")</f>
        <v/>
      </c>
      <c r="AK314" s="2" t="str">
        <f>IF(Source!$C314&gt;=COLUMNS($A314:AK314), Source!$G314, "")</f>
        <v/>
      </c>
      <c r="AL314" s="2" t="str">
        <f>IF(Source!$C314&gt;=COLUMNS($A314:AL314), Source!$G314, "")</f>
        <v/>
      </c>
      <c r="AM314" s="2" t="str">
        <f>IF(Source!$C314&gt;=COLUMNS($A314:AM314), Source!$G314, "")</f>
        <v/>
      </c>
      <c r="AN314" s="2" t="str">
        <f>IF(Source!$C314&gt;=COLUMNS($A314:AN314), Source!$G314, "")</f>
        <v/>
      </c>
      <c r="AO314" s="2" t="str">
        <f>IF(Source!$C314&gt;=COLUMNS($A314:AO314), Source!$G314, "")</f>
        <v/>
      </c>
      <c r="AP314" s="2" t="str">
        <f>IF(Source!$C314&gt;=COLUMNS($A314:AP314), Source!$G314, "")</f>
        <v/>
      </c>
      <c r="AQ314" s="2" t="str">
        <f>IF(Source!$C314&gt;=COLUMNS($A314:AQ314), Source!$G314, "")</f>
        <v/>
      </c>
      <c r="AR314" s="2" t="str">
        <f>IF(Source!$C314&gt;=COLUMNS($A314:AR314), Source!$G314, "")</f>
        <v/>
      </c>
    </row>
    <row r="315">
      <c r="A315" s="2">
        <f>IF(Source!$C315&gt;=COLUMNS($A315:A315), Source!$G315, "")</f>
        <v>1</v>
      </c>
      <c r="B315" s="2" t="str">
        <f>IF(Source!$C315&gt;=COLUMNS($A315:B315), Source!$G315, "")</f>
        <v/>
      </c>
      <c r="C315" s="2" t="str">
        <f>IF(Source!$C315&gt;=COLUMNS($A315:C315), Source!$G315, "")</f>
        <v/>
      </c>
      <c r="D315" s="2" t="str">
        <f>IF(Source!$C315&gt;=COLUMNS($A315:D315), Source!$G315, "")</f>
        <v/>
      </c>
      <c r="E315" s="2" t="str">
        <f>IF(Source!$C315&gt;=COLUMNS($A315:E315), Source!$G315, "")</f>
        <v/>
      </c>
      <c r="F315" s="2" t="str">
        <f>IF(Source!$C315&gt;=COLUMNS($A315:F315), Source!$G315, "")</f>
        <v/>
      </c>
      <c r="G315" s="2" t="str">
        <f>IF(Source!$C315&gt;=COLUMNS($A315:G315), Source!$G315, "")</f>
        <v/>
      </c>
      <c r="H315" s="2" t="str">
        <f>IF(Source!$C315&gt;=COLUMNS($A315:H315), Source!$G315, "")</f>
        <v/>
      </c>
      <c r="I315" s="2" t="str">
        <f>IF(Source!$C315&gt;=COLUMNS($A315:I315), Source!$G315, "")</f>
        <v/>
      </c>
      <c r="J315" s="2" t="str">
        <f>IF(Source!$C315&gt;=COLUMNS($A315:J315), Source!$G315, "")</f>
        <v/>
      </c>
      <c r="K315" s="2" t="str">
        <f>IF(Source!$C315&gt;=COLUMNS($A315:K315), Source!$G315, "")</f>
        <v/>
      </c>
      <c r="L315" s="2" t="str">
        <f>IF(Source!$C315&gt;=COLUMNS($A315:L315), Source!$G315, "")</f>
        <v/>
      </c>
      <c r="M315" s="2" t="str">
        <f>IF(Source!$C315&gt;=COLUMNS($A315:M315), Source!$G315, "")</f>
        <v/>
      </c>
      <c r="N315" s="2" t="str">
        <f>IF(Source!$C315&gt;=COLUMNS($A315:N315), Source!$G315, "")</f>
        <v/>
      </c>
      <c r="O315" s="2" t="str">
        <f>IF(Source!$C315&gt;=COLUMNS($A315:O315), Source!$G315, "")</f>
        <v/>
      </c>
      <c r="P315" s="2" t="str">
        <f>IF(Source!$C315&gt;=COLUMNS($A315:P315), Source!$G315, "")</f>
        <v/>
      </c>
      <c r="Q315" s="2" t="str">
        <f>IF(Source!$C315&gt;=COLUMNS($A315:Q315), Source!$G315, "")</f>
        <v/>
      </c>
      <c r="R315" s="2" t="str">
        <f>IF(Source!$C315&gt;=COLUMNS($A315:R315), Source!$G315, "")</f>
        <v/>
      </c>
      <c r="S315" s="2" t="str">
        <f>IF(Source!$C315&gt;=COLUMNS($A315:S315), Source!$G315, "")</f>
        <v/>
      </c>
      <c r="T315" s="2" t="str">
        <f>IF(Source!$C315&gt;=COLUMNS($A315:T315), Source!$G315, "")</f>
        <v/>
      </c>
      <c r="U315" s="2" t="str">
        <f>IF(Source!$C315&gt;=COLUMNS($A315:U315), Source!$G315, "")</f>
        <v/>
      </c>
      <c r="V315" s="2" t="str">
        <f>IF(Source!$C315&gt;=COLUMNS($A315:V315), Source!$G315, "")</f>
        <v/>
      </c>
      <c r="W315" s="2" t="str">
        <f>IF(Source!$C315&gt;=COLUMNS($A315:W315), Source!$G315, "")</f>
        <v/>
      </c>
      <c r="X315" s="2" t="str">
        <f>IF(Source!$C315&gt;=COLUMNS($A315:X315), Source!$G315, "")</f>
        <v/>
      </c>
      <c r="Y315" s="2" t="str">
        <f>IF(Source!$C315&gt;=COLUMNS($A315:Y315), Source!$G315, "")</f>
        <v/>
      </c>
      <c r="Z315" s="2" t="str">
        <f>IF(Source!$C315&gt;=COLUMNS($A315:Z315), Source!$G315, "")</f>
        <v/>
      </c>
      <c r="AA315" s="2" t="str">
        <f>IF(Source!$C315&gt;=COLUMNS($A315:AA315), Source!$G315, "")</f>
        <v/>
      </c>
      <c r="AB315" s="2" t="str">
        <f>IF(Source!$C315&gt;=COLUMNS($A315:AB315), Source!$G315, "")</f>
        <v/>
      </c>
      <c r="AC315" s="2" t="str">
        <f>IF(Source!$C315&gt;=COLUMNS($A315:AC315), Source!$G315, "")</f>
        <v/>
      </c>
      <c r="AD315" s="2" t="str">
        <f>IF(Source!$C315&gt;=COLUMNS($A315:AD315), Source!$G315, "")</f>
        <v/>
      </c>
      <c r="AE315" s="2" t="str">
        <f>IF(Source!$C315&gt;=COLUMNS($A315:AE315), Source!$G315, "")</f>
        <v/>
      </c>
      <c r="AF315" s="2" t="str">
        <f>IF(Source!$C315&gt;=COLUMNS($A315:AF315), Source!$G315, "")</f>
        <v/>
      </c>
      <c r="AG315" s="2" t="str">
        <f>IF(Source!$C315&gt;=COLUMNS($A315:AG315), Source!$G315, "")</f>
        <v/>
      </c>
      <c r="AH315" s="2" t="str">
        <f>IF(Source!$C315&gt;=COLUMNS($A315:AH315), Source!$G315, "")</f>
        <v/>
      </c>
      <c r="AI315" s="2" t="str">
        <f>IF(Source!$C315&gt;=COLUMNS($A315:AI315), Source!$G315, "")</f>
        <v/>
      </c>
      <c r="AJ315" s="2" t="str">
        <f>IF(Source!$C315&gt;=COLUMNS($A315:AJ315), Source!$G315, "")</f>
        <v/>
      </c>
      <c r="AK315" s="2" t="str">
        <f>IF(Source!$C315&gt;=COLUMNS($A315:AK315), Source!$G315, "")</f>
        <v/>
      </c>
      <c r="AL315" s="2" t="str">
        <f>IF(Source!$C315&gt;=COLUMNS($A315:AL315), Source!$G315, "")</f>
        <v/>
      </c>
      <c r="AM315" s="2" t="str">
        <f>IF(Source!$C315&gt;=COLUMNS($A315:AM315), Source!$G315, "")</f>
        <v/>
      </c>
      <c r="AN315" s="2" t="str">
        <f>IF(Source!$C315&gt;=COLUMNS($A315:AN315), Source!$G315, "")</f>
        <v/>
      </c>
      <c r="AO315" s="2" t="str">
        <f>IF(Source!$C315&gt;=COLUMNS($A315:AO315), Source!$G315, "")</f>
        <v/>
      </c>
      <c r="AP315" s="2" t="str">
        <f>IF(Source!$C315&gt;=COLUMNS($A315:AP315), Source!$G315, "")</f>
        <v/>
      </c>
      <c r="AQ315" s="2" t="str">
        <f>IF(Source!$C315&gt;=COLUMNS($A315:AQ315), Source!$G315, "")</f>
        <v/>
      </c>
      <c r="AR315" s="2" t="str">
        <f>IF(Source!$C315&gt;=COLUMNS($A315:AR315), Source!$G315, "")</f>
        <v/>
      </c>
    </row>
    <row r="316">
      <c r="A316" s="2">
        <f>IF(Source!$C316&gt;=COLUMNS($A316:A316), Source!$G316, "")</f>
        <v>2</v>
      </c>
      <c r="B316" s="2" t="str">
        <f>IF(Source!$C316&gt;=COLUMNS($A316:B316), Source!$G316, "")</f>
        <v/>
      </c>
      <c r="C316" s="2" t="str">
        <f>IF(Source!$C316&gt;=COLUMNS($A316:C316), Source!$G316, "")</f>
        <v/>
      </c>
      <c r="D316" s="2" t="str">
        <f>IF(Source!$C316&gt;=COLUMNS($A316:D316), Source!$G316, "")</f>
        <v/>
      </c>
      <c r="E316" s="2" t="str">
        <f>IF(Source!$C316&gt;=COLUMNS($A316:E316), Source!$G316, "")</f>
        <v/>
      </c>
      <c r="F316" s="2" t="str">
        <f>IF(Source!$C316&gt;=COLUMNS($A316:F316), Source!$G316, "")</f>
        <v/>
      </c>
      <c r="G316" s="2" t="str">
        <f>IF(Source!$C316&gt;=COLUMNS($A316:G316), Source!$G316, "")</f>
        <v/>
      </c>
      <c r="H316" s="2" t="str">
        <f>IF(Source!$C316&gt;=COLUMNS($A316:H316), Source!$G316, "")</f>
        <v/>
      </c>
      <c r="I316" s="2" t="str">
        <f>IF(Source!$C316&gt;=COLUMNS($A316:I316), Source!$G316, "")</f>
        <v/>
      </c>
      <c r="J316" s="2" t="str">
        <f>IF(Source!$C316&gt;=COLUMNS($A316:J316), Source!$G316, "")</f>
        <v/>
      </c>
      <c r="K316" s="2" t="str">
        <f>IF(Source!$C316&gt;=COLUMNS($A316:K316), Source!$G316, "")</f>
        <v/>
      </c>
      <c r="L316" s="2" t="str">
        <f>IF(Source!$C316&gt;=COLUMNS($A316:L316), Source!$G316, "")</f>
        <v/>
      </c>
      <c r="M316" s="2" t="str">
        <f>IF(Source!$C316&gt;=COLUMNS($A316:M316), Source!$G316, "")</f>
        <v/>
      </c>
      <c r="N316" s="2" t="str">
        <f>IF(Source!$C316&gt;=COLUMNS($A316:N316), Source!$G316, "")</f>
        <v/>
      </c>
      <c r="O316" s="2" t="str">
        <f>IF(Source!$C316&gt;=COLUMNS($A316:O316), Source!$G316, "")</f>
        <v/>
      </c>
      <c r="P316" s="2" t="str">
        <f>IF(Source!$C316&gt;=COLUMNS($A316:P316), Source!$G316, "")</f>
        <v/>
      </c>
      <c r="Q316" s="2" t="str">
        <f>IF(Source!$C316&gt;=COLUMNS($A316:Q316), Source!$G316, "")</f>
        <v/>
      </c>
      <c r="R316" s="2" t="str">
        <f>IF(Source!$C316&gt;=COLUMNS($A316:R316), Source!$G316, "")</f>
        <v/>
      </c>
      <c r="S316" s="2" t="str">
        <f>IF(Source!$C316&gt;=COLUMNS($A316:S316), Source!$G316, "")</f>
        <v/>
      </c>
      <c r="T316" s="2" t="str">
        <f>IF(Source!$C316&gt;=COLUMNS($A316:T316), Source!$G316, "")</f>
        <v/>
      </c>
      <c r="U316" s="2" t="str">
        <f>IF(Source!$C316&gt;=COLUMNS($A316:U316), Source!$G316, "")</f>
        <v/>
      </c>
      <c r="V316" s="2" t="str">
        <f>IF(Source!$C316&gt;=COLUMNS($A316:V316), Source!$G316, "")</f>
        <v/>
      </c>
      <c r="W316" s="2" t="str">
        <f>IF(Source!$C316&gt;=COLUMNS($A316:W316), Source!$G316, "")</f>
        <v/>
      </c>
      <c r="X316" s="2" t="str">
        <f>IF(Source!$C316&gt;=COLUMNS($A316:X316), Source!$G316, "")</f>
        <v/>
      </c>
      <c r="Y316" s="2" t="str">
        <f>IF(Source!$C316&gt;=COLUMNS($A316:Y316), Source!$G316, "")</f>
        <v/>
      </c>
      <c r="Z316" s="2" t="str">
        <f>IF(Source!$C316&gt;=COLUMNS($A316:Z316), Source!$G316, "")</f>
        <v/>
      </c>
      <c r="AA316" s="2" t="str">
        <f>IF(Source!$C316&gt;=COLUMNS($A316:AA316), Source!$G316, "")</f>
        <v/>
      </c>
      <c r="AB316" s="2" t="str">
        <f>IF(Source!$C316&gt;=COLUMNS($A316:AB316), Source!$G316, "")</f>
        <v/>
      </c>
      <c r="AC316" s="2" t="str">
        <f>IF(Source!$C316&gt;=COLUMNS($A316:AC316), Source!$G316, "")</f>
        <v/>
      </c>
      <c r="AD316" s="2" t="str">
        <f>IF(Source!$C316&gt;=COLUMNS($A316:AD316), Source!$G316, "")</f>
        <v/>
      </c>
      <c r="AE316" s="2" t="str">
        <f>IF(Source!$C316&gt;=COLUMNS($A316:AE316), Source!$G316, "")</f>
        <v/>
      </c>
      <c r="AF316" s="2" t="str">
        <f>IF(Source!$C316&gt;=COLUMNS($A316:AF316), Source!$G316, "")</f>
        <v/>
      </c>
      <c r="AG316" s="2" t="str">
        <f>IF(Source!$C316&gt;=COLUMNS($A316:AG316), Source!$G316, "")</f>
        <v/>
      </c>
      <c r="AH316" s="2" t="str">
        <f>IF(Source!$C316&gt;=COLUMNS($A316:AH316), Source!$G316, "")</f>
        <v/>
      </c>
      <c r="AI316" s="2" t="str">
        <f>IF(Source!$C316&gt;=COLUMNS($A316:AI316), Source!$G316, "")</f>
        <v/>
      </c>
      <c r="AJ316" s="2" t="str">
        <f>IF(Source!$C316&gt;=COLUMNS($A316:AJ316), Source!$G316, "")</f>
        <v/>
      </c>
      <c r="AK316" s="2" t="str">
        <f>IF(Source!$C316&gt;=COLUMNS($A316:AK316), Source!$G316, "")</f>
        <v/>
      </c>
      <c r="AL316" s="2" t="str">
        <f>IF(Source!$C316&gt;=COLUMNS($A316:AL316), Source!$G316, "")</f>
        <v/>
      </c>
      <c r="AM316" s="2" t="str">
        <f>IF(Source!$C316&gt;=COLUMNS($A316:AM316), Source!$G316, "")</f>
        <v/>
      </c>
      <c r="AN316" s="2" t="str">
        <f>IF(Source!$C316&gt;=COLUMNS($A316:AN316), Source!$G316, "")</f>
        <v/>
      </c>
      <c r="AO316" s="2" t="str">
        <f>IF(Source!$C316&gt;=COLUMNS($A316:AO316), Source!$G316, "")</f>
        <v/>
      </c>
      <c r="AP316" s="2" t="str">
        <f>IF(Source!$C316&gt;=COLUMNS($A316:AP316), Source!$G316, "")</f>
        <v/>
      </c>
      <c r="AQ316" s="2" t="str">
        <f>IF(Source!$C316&gt;=COLUMNS($A316:AQ316), Source!$G316, "")</f>
        <v/>
      </c>
      <c r="AR316" s="2" t="str">
        <f>IF(Source!$C316&gt;=COLUMNS($A316:AR316), Source!$G316, "")</f>
        <v/>
      </c>
    </row>
    <row r="317">
      <c r="A317" s="2">
        <f>IF(Source!$C317&gt;=COLUMNS($A317:A317), Source!$G317, "")</f>
        <v>2</v>
      </c>
      <c r="B317" s="2">
        <f>IF(Source!$C317&gt;=COLUMNS($A317:B317), Source!$G317, "")</f>
        <v>2</v>
      </c>
      <c r="C317" s="2">
        <f>IF(Source!$C317&gt;=COLUMNS($A317:C317), Source!$G317, "")</f>
        <v>2</v>
      </c>
      <c r="D317" s="2">
        <f>IF(Source!$C317&gt;=COLUMNS($A317:D317), Source!$G317, "")</f>
        <v>2</v>
      </c>
      <c r="E317" s="2">
        <f>IF(Source!$C317&gt;=COLUMNS($A317:E317), Source!$G317, "")</f>
        <v>2</v>
      </c>
      <c r="F317" s="2">
        <f>IF(Source!$C317&gt;=COLUMNS($A317:F317), Source!$G317, "")</f>
        <v>2</v>
      </c>
      <c r="G317" s="2">
        <f>IF(Source!$C317&gt;=COLUMNS($A317:G317), Source!$G317, "")</f>
        <v>2</v>
      </c>
      <c r="H317" s="2">
        <f>IF(Source!$C317&gt;=COLUMNS($A317:H317), Source!$G317, "")</f>
        <v>2</v>
      </c>
      <c r="I317" s="2">
        <f>IF(Source!$C317&gt;=COLUMNS($A317:I317), Source!$G317, "")</f>
        <v>2</v>
      </c>
      <c r="J317" s="2">
        <f>IF(Source!$C317&gt;=COLUMNS($A317:J317), Source!$G317, "")</f>
        <v>2</v>
      </c>
      <c r="K317" s="2">
        <f>IF(Source!$C317&gt;=COLUMNS($A317:K317), Source!$G317, "")</f>
        <v>2</v>
      </c>
      <c r="L317" s="2">
        <f>IF(Source!$C317&gt;=COLUMNS($A317:L317), Source!$G317, "")</f>
        <v>2</v>
      </c>
      <c r="M317" s="2">
        <f>IF(Source!$C317&gt;=COLUMNS($A317:M317), Source!$G317, "")</f>
        <v>2</v>
      </c>
      <c r="N317" s="2">
        <f>IF(Source!$C317&gt;=COLUMNS($A317:N317), Source!$G317, "")</f>
        <v>2</v>
      </c>
      <c r="O317" s="2">
        <f>IF(Source!$C317&gt;=COLUMNS($A317:O317), Source!$G317, "")</f>
        <v>2</v>
      </c>
      <c r="P317" s="2">
        <f>IF(Source!$C317&gt;=COLUMNS($A317:P317), Source!$G317, "")</f>
        <v>2</v>
      </c>
      <c r="Q317" s="2">
        <f>IF(Source!$C317&gt;=COLUMNS($A317:Q317), Source!$G317, "")</f>
        <v>2</v>
      </c>
      <c r="R317" s="2">
        <f>IF(Source!$C317&gt;=COLUMNS($A317:R317), Source!$G317, "")</f>
        <v>2</v>
      </c>
      <c r="S317" s="2">
        <f>IF(Source!$C317&gt;=COLUMNS($A317:S317), Source!$G317, "")</f>
        <v>2</v>
      </c>
      <c r="T317" s="2">
        <f>IF(Source!$C317&gt;=COLUMNS($A317:T317), Source!$G317, "")</f>
        <v>2</v>
      </c>
      <c r="U317" s="2">
        <f>IF(Source!$C317&gt;=COLUMNS($A317:U317), Source!$G317, "")</f>
        <v>2</v>
      </c>
      <c r="V317" s="2" t="str">
        <f>IF(Source!$C317&gt;=COLUMNS($A317:V317), Source!$G317, "")</f>
        <v/>
      </c>
      <c r="W317" s="2" t="str">
        <f>IF(Source!$C317&gt;=COLUMNS($A317:W317), Source!$G317, "")</f>
        <v/>
      </c>
      <c r="X317" s="2" t="str">
        <f>IF(Source!$C317&gt;=COLUMNS($A317:X317), Source!$G317, "")</f>
        <v/>
      </c>
      <c r="Y317" s="2" t="str">
        <f>IF(Source!$C317&gt;=COLUMNS($A317:Y317), Source!$G317, "")</f>
        <v/>
      </c>
      <c r="Z317" s="2" t="str">
        <f>IF(Source!$C317&gt;=COLUMNS($A317:Z317), Source!$G317, "")</f>
        <v/>
      </c>
      <c r="AA317" s="2" t="str">
        <f>IF(Source!$C317&gt;=COLUMNS($A317:AA317), Source!$G317, "")</f>
        <v/>
      </c>
      <c r="AB317" s="2" t="str">
        <f>IF(Source!$C317&gt;=COLUMNS($A317:AB317), Source!$G317, "")</f>
        <v/>
      </c>
      <c r="AC317" s="2" t="str">
        <f>IF(Source!$C317&gt;=COLUMNS($A317:AC317), Source!$G317, "")</f>
        <v/>
      </c>
      <c r="AD317" s="2" t="str">
        <f>IF(Source!$C317&gt;=COLUMNS($A317:AD317), Source!$G317, "")</f>
        <v/>
      </c>
      <c r="AE317" s="2" t="str">
        <f>IF(Source!$C317&gt;=COLUMNS($A317:AE317), Source!$G317, "")</f>
        <v/>
      </c>
      <c r="AF317" s="2" t="str">
        <f>IF(Source!$C317&gt;=COLUMNS($A317:AF317), Source!$G317, "")</f>
        <v/>
      </c>
      <c r="AG317" s="2" t="str">
        <f>IF(Source!$C317&gt;=COLUMNS($A317:AG317), Source!$G317, "")</f>
        <v/>
      </c>
      <c r="AH317" s="2" t="str">
        <f>IF(Source!$C317&gt;=COLUMNS($A317:AH317), Source!$G317, "")</f>
        <v/>
      </c>
      <c r="AI317" s="2" t="str">
        <f>IF(Source!$C317&gt;=COLUMNS($A317:AI317), Source!$G317, "")</f>
        <v/>
      </c>
      <c r="AJ317" s="2" t="str">
        <f>IF(Source!$C317&gt;=COLUMNS($A317:AJ317), Source!$G317, "")</f>
        <v/>
      </c>
      <c r="AK317" s="2" t="str">
        <f>IF(Source!$C317&gt;=COLUMNS($A317:AK317), Source!$G317, "")</f>
        <v/>
      </c>
      <c r="AL317" s="2" t="str">
        <f>IF(Source!$C317&gt;=COLUMNS($A317:AL317), Source!$G317, "")</f>
        <v/>
      </c>
      <c r="AM317" s="2" t="str">
        <f>IF(Source!$C317&gt;=COLUMNS($A317:AM317), Source!$G317, "")</f>
        <v/>
      </c>
      <c r="AN317" s="2" t="str">
        <f>IF(Source!$C317&gt;=COLUMNS($A317:AN317), Source!$G317, "")</f>
        <v/>
      </c>
      <c r="AO317" s="2" t="str">
        <f>IF(Source!$C317&gt;=COLUMNS($A317:AO317), Source!$G317, "")</f>
        <v/>
      </c>
      <c r="AP317" s="2" t="str">
        <f>IF(Source!$C317&gt;=COLUMNS($A317:AP317), Source!$G317, "")</f>
        <v/>
      </c>
      <c r="AQ317" s="2" t="str">
        <f>IF(Source!$C317&gt;=COLUMNS($A317:AQ317), Source!$G317, "")</f>
        <v/>
      </c>
      <c r="AR317" s="2" t="str">
        <f>IF(Source!$C317&gt;=COLUMNS($A317:AR317), Source!$G317, "")</f>
        <v/>
      </c>
    </row>
    <row r="318">
      <c r="A318" s="2">
        <f>IF(Source!$C318&gt;=COLUMNS($A318:A318), Source!$G318, "")</f>
        <v>3</v>
      </c>
      <c r="B318" s="2">
        <f>IF(Source!$C318&gt;=COLUMNS($A318:B318), Source!$G318, "")</f>
        <v>3</v>
      </c>
      <c r="C318" s="2">
        <f>IF(Source!$C318&gt;=COLUMNS($A318:C318), Source!$G318, "")</f>
        <v>3</v>
      </c>
      <c r="D318" s="2">
        <f>IF(Source!$C318&gt;=COLUMNS($A318:D318), Source!$G318, "")</f>
        <v>3</v>
      </c>
      <c r="E318" s="2">
        <f>IF(Source!$C318&gt;=COLUMNS($A318:E318), Source!$G318, "")</f>
        <v>3</v>
      </c>
      <c r="F318" s="2">
        <f>IF(Source!$C318&gt;=COLUMNS($A318:F318), Source!$G318, "")</f>
        <v>3</v>
      </c>
      <c r="G318" s="2">
        <f>IF(Source!$C318&gt;=COLUMNS($A318:G318), Source!$G318, "")</f>
        <v>3</v>
      </c>
      <c r="H318" s="2">
        <f>IF(Source!$C318&gt;=COLUMNS($A318:H318), Source!$G318, "")</f>
        <v>3</v>
      </c>
      <c r="I318" s="2">
        <f>IF(Source!$C318&gt;=COLUMNS($A318:I318), Source!$G318, "")</f>
        <v>3</v>
      </c>
      <c r="J318" s="2">
        <f>IF(Source!$C318&gt;=COLUMNS($A318:J318), Source!$G318, "")</f>
        <v>3</v>
      </c>
      <c r="K318" s="2">
        <f>IF(Source!$C318&gt;=COLUMNS($A318:K318), Source!$G318, "")</f>
        <v>3</v>
      </c>
      <c r="L318" s="2">
        <f>IF(Source!$C318&gt;=COLUMNS($A318:L318), Source!$G318, "")</f>
        <v>3</v>
      </c>
      <c r="M318" s="2">
        <f>IF(Source!$C318&gt;=COLUMNS($A318:M318), Source!$G318, "")</f>
        <v>3</v>
      </c>
      <c r="N318" s="2">
        <f>IF(Source!$C318&gt;=COLUMNS($A318:N318), Source!$G318, "")</f>
        <v>3</v>
      </c>
      <c r="O318" s="2">
        <f>IF(Source!$C318&gt;=COLUMNS($A318:O318), Source!$G318, "")</f>
        <v>3</v>
      </c>
      <c r="P318" s="2">
        <f>IF(Source!$C318&gt;=COLUMNS($A318:P318), Source!$G318, "")</f>
        <v>3</v>
      </c>
      <c r="Q318" s="2">
        <f>IF(Source!$C318&gt;=COLUMNS($A318:Q318), Source!$G318, "")</f>
        <v>3</v>
      </c>
      <c r="R318" s="2">
        <f>IF(Source!$C318&gt;=COLUMNS($A318:R318), Source!$G318, "")</f>
        <v>3</v>
      </c>
      <c r="S318" s="2">
        <f>IF(Source!$C318&gt;=COLUMNS($A318:S318), Source!$G318, "")</f>
        <v>3</v>
      </c>
      <c r="T318" s="2">
        <f>IF(Source!$C318&gt;=COLUMNS($A318:T318), Source!$G318, "")</f>
        <v>3</v>
      </c>
      <c r="U318" s="2">
        <f>IF(Source!$C318&gt;=COLUMNS($A318:U318), Source!$G318, "")</f>
        <v>3</v>
      </c>
      <c r="V318" s="2">
        <f>IF(Source!$C318&gt;=COLUMNS($A318:V318), Source!$G318, "")</f>
        <v>3</v>
      </c>
      <c r="W318" s="2">
        <f>IF(Source!$C318&gt;=COLUMNS($A318:W318), Source!$G318, "")</f>
        <v>3</v>
      </c>
      <c r="X318" s="2">
        <f>IF(Source!$C318&gt;=COLUMNS($A318:X318), Source!$G318, "")</f>
        <v>3</v>
      </c>
      <c r="Y318" s="2">
        <f>IF(Source!$C318&gt;=COLUMNS($A318:Y318), Source!$G318, "")</f>
        <v>3</v>
      </c>
      <c r="Z318" s="2">
        <f>IF(Source!$C318&gt;=COLUMNS($A318:Z318), Source!$G318, "")</f>
        <v>3</v>
      </c>
      <c r="AA318" s="2">
        <f>IF(Source!$C318&gt;=COLUMNS($A318:AA318), Source!$G318, "")</f>
        <v>3</v>
      </c>
      <c r="AB318" s="2">
        <f>IF(Source!$C318&gt;=COLUMNS($A318:AB318), Source!$G318, "")</f>
        <v>3</v>
      </c>
      <c r="AC318" s="2">
        <f>IF(Source!$C318&gt;=COLUMNS($A318:AC318), Source!$G318, "")</f>
        <v>3</v>
      </c>
      <c r="AD318" s="2">
        <f>IF(Source!$C318&gt;=COLUMNS($A318:AD318), Source!$G318, "")</f>
        <v>3</v>
      </c>
      <c r="AE318" s="2">
        <f>IF(Source!$C318&gt;=COLUMNS($A318:AE318), Source!$G318, "")</f>
        <v>3</v>
      </c>
      <c r="AF318" s="2">
        <f>IF(Source!$C318&gt;=COLUMNS($A318:AF318), Source!$G318, "")</f>
        <v>3</v>
      </c>
      <c r="AG318" s="2">
        <f>IF(Source!$C318&gt;=COLUMNS($A318:AG318), Source!$G318, "")</f>
        <v>3</v>
      </c>
      <c r="AH318" s="2">
        <f>IF(Source!$C318&gt;=COLUMNS($A318:AH318), Source!$G318, "")</f>
        <v>3</v>
      </c>
      <c r="AI318" s="2">
        <f>IF(Source!$C318&gt;=COLUMNS($A318:AI318), Source!$G318, "")</f>
        <v>3</v>
      </c>
      <c r="AJ318" s="2">
        <f>IF(Source!$C318&gt;=COLUMNS($A318:AJ318), Source!$G318, "")</f>
        <v>3</v>
      </c>
      <c r="AK318" s="2">
        <f>IF(Source!$C318&gt;=COLUMNS($A318:AK318), Source!$G318, "")</f>
        <v>3</v>
      </c>
      <c r="AL318" s="2">
        <f>IF(Source!$C318&gt;=COLUMNS($A318:AL318), Source!$G318, "")</f>
        <v>3</v>
      </c>
      <c r="AM318" s="2" t="str">
        <f>IF(Source!$C318&gt;=COLUMNS($A318:AM318), Source!$G318, "")</f>
        <v/>
      </c>
      <c r="AN318" s="2" t="str">
        <f>IF(Source!$C318&gt;=COLUMNS($A318:AN318), Source!$G318, "")</f>
        <v/>
      </c>
      <c r="AO318" s="2" t="str">
        <f>IF(Source!$C318&gt;=COLUMNS($A318:AO318), Source!$G318, "")</f>
        <v/>
      </c>
      <c r="AP318" s="2" t="str">
        <f>IF(Source!$C318&gt;=COLUMNS($A318:AP318), Source!$G318, "")</f>
        <v/>
      </c>
      <c r="AQ318" s="2" t="str">
        <f>IF(Source!$C318&gt;=COLUMNS($A318:AQ318), Source!$G318, "")</f>
        <v/>
      </c>
      <c r="AR318" s="2" t="str">
        <f>IF(Source!$C318&gt;=COLUMNS($A318:AR318), Source!$G318, "")</f>
        <v/>
      </c>
    </row>
    <row r="319">
      <c r="A319" s="2">
        <f>IF(Source!$C319&gt;=COLUMNS($A319:A319), Source!$G319, "")</f>
        <v>6</v>
      </c>
      <c r="B319" s="2">
        <f>IF(Source!$C319&gt;=COLUMNS($A319:B319), Source!$G319, "")</f>
        <v>6</v>
      </c>
      <c r="C319" s="2">
        <f>IF(Source!$C319&gt;=COLUMNS($A319:C319), Source!$G319, "")</f>
        <v>6</v>
      </c>
      <c r="D319" s="2">
        <f>IF(Source!$C319&gt;=COLUMNS($A319:D319), Source!$G319, "")</f>
        <v>6</v>
      </c>
      <c r="E319" s="2">
        <f>IF(Source!$C319&gt;=COLUMNS($A319:E319), Source!$G319, "")</f>
        <v>6</v>
      </c>
      <c r="F319" s="2">
        <f>IF(Source!$C319&gt;=COLUMNS($A319:F319), Source!$G319, "")</f>
        <v>6</v>
      </c>
      <c r="G319" s="2">
        <f>IF(Source!$C319&gt;=COLUMNS($A319:G319), Source!$G319, "")</f>
        <v>6</v>
      </c>
      <c r="H319" s="2">
        <f>IF(Source!$C319&gt;=COLUMNS($A319:H319), Source!$G319, "")</f>
        <v>6</v>
      </c>
      <c r="I319" s="2" t="str">
        <f>IF(Source!$C319&gt;=COLUMNS($A319:I319), Source!$G319, "")</f>
        <v/>
      </c>
      <c r="J319" s="2" t="str">
        <f>IF(Source!$C319&gt;=COLUMNS($A319:J319), Source!$G319, "")</f>
        <v/>
      </c>
      <c r="K319" s="2" t="str">
        <f>IF(Source!$C319&gt;=COLUMNS($A319:K319), Source!$G319, "")</f>
        <v/>
      </c>
      <c r="L319" s="2" t="str">
        <f>IF(Source!$C319&gt;=COLUMNS($A319:L319), Source!$G319, "")</f>
        <v/>
      </c>
      <c r="M319" s="2" t="str">
        <f>IF(Source!$C319&gt;=COLUMNS($A319:M319), Source!$G319, "")</f>
        <v/>
      </c>
      <c r="N319" s="2" t="str">
        <f>IF(Source!$C319&gt;=COLUMNS($A319:N319), Source!$G319, "")</f>
        <v/>
      </c>
      <c r="O319" s="2" t="str">
        <f>IF(Source!$C319&gt;=COLUMNS($A319:O319), Source!$G319, "")</f>
        <v/>
      </c>
      <c r="P319" s="2" t="str">
        <f>IF(Source!$C319&gt;=COLUMNS($A319:P319), Source!$G319, "")</f>
        <v/>
      </c>
      <c r="Q319" s="2" t="str">
        <f>IF(Source!$C319&gt;=COLUMNS($A319:Q319), Source!$G319, "")</f>
        <v/>
      </c>
      <c r="R319" s="2" t="str">
        <f>IF(Source!$C319&gt;=COLUMNS($A319:R319), Source!$G319, "")</f>
        <v/>
      </c>
      <c r="S319" s="2" t="str">
        <f>IF(Source!$C319&gt;=COLUMNS($A319:S319), Source!$G319, "")</f>
        <v/>
      </c>
      <c r="T319" s="2" t="str">
        <f>IF(Source!$C319&gt;=COLUMNS($A319:T319), Source!$G319, "")</f>
        <v/>
      </c>
      <c r="U319" s="2" t="str">
        <f>IF(Source!$C319&gt;=COLUMNS($A319:U319), Source!$G319, "")</f>
        <v/>
      </c>
      <c r="V319" s="2" t="str">
        <f>IF(Source!$C319&gt;=COLUMNS($A319:V319), Source!$G319, "")</f>
        <v/>
      </c>
      <c r="W319" s="2" t="str">
        <f>IF(Source!$C319&gt;=COLUMNS($A319:W319), Source!$G319, "")</f>
        <v/>
      </c>
      <c r="X319" s="2" t="str">
        <f>IF(Source!$C319&gt;=COLUMNS($A319:X319), Source!$G319, "")</f>
        <v/>
      </c>
      <c r="Y319" s="2" t="str">
        <f>IF(Source!$C319&gt;=COLUMNS($A319:Y319), Source!$G319, "")</f>
        <v/>
      </c>
      <c r="Z319" s="2" t="str">
        <f>IF(Source!$C319&gt;=COLUMNS($A319:Z319), Source!$G319, "")</f>
        <v/>
      </c>
      <c r="AA319" s="2" t="str">
        <f>IF(Source!$C319&gt;=COLUMNS($A319:AA319), Source!$G319, "")</f>
        <v/>
      </c>
      <c r="AB319" s="2" t="str">
        <f>IF(Source!$C319&gt;=COLUMNS($A319:AB319), Source!$G319, "")</f>
        <v/>
      </c>
      <c r="AC319" s="2" t="str">
        <f>IF(Source!$C319&gt;=COLUMNS($A319:AC319), Source!$G319, "")</f>
        <v/>
      </c>
      <c r="AD319" s="2" t="str">
        <f>IF(Source!$C319&gt;=COLUMNS($A319:AD319), Source!$G319, "")</f>
        <v/>
      </c>
      <c r="AE319" s="2" t="str">
        <f>IF(Source!$C319&gt;=COLUMNS($A319:AE319), Source!$G319, "")</f>
        <v/>
      </c>
      <c r="AF319" s="2" t="str">
        <f>IF(Source!$C319&gt;=COLUMNS($A319:AF319), Source!$G319, "")</f>
        <v/>
      </c>
      <c r="AG319" s="2" t="str">
        <f>IF(Source!$C319&gt;=COLUMNS($A319:AG319), Source!$G319, "")</f>
        <v/>
      </c>
      <c r="AH319" s="2" t="str">
        <f>IF(Source!$C319&gt;=COLUMNS($A319:AH319), Source!$G319, "")</f>
        <v/>
      </c>
      <c r="AI319" s="2" t="str">
        <f>IF(Source!$C319&gt;=COLUMNS($A319:AI319), Source!$G319, "")</f>
        <v/>
      </c>
      <c r="AJ319" s="2" t="str">
        <f>IF(Source!$C319&gt;=COLUMNS($A319:AJ319), Source!$G319, "")</f>
        <v/>
      </c>
      <c r="AK319" s="2" t="str">
        <f>IF(Source!$C319&gt;=COLUMNS($A319:AK319), Source!$G319, "")</f>
        <v/>
      </c>
      <c r="AL319" s="2" t="str">
        <f>IF(Source!$C319&gt;=COLUMNS($A319:AL319), Source!$G319, "")</f>
        <v/>
      </c>
      <c r="AM319" s="2" t="str">
        <f>IF(Source!$C319&gt;=COLUMNS($A319:AM319), Source!$G319, "")</f>
        <v/>
      </c>
      <c r="AN319" s="2" t="str">
        <f>IF(Source!$C319&gt;=COLUMNS($A319:AN319), Source!$G319, "")</f>
        <v/>
      </c>
      <c r="AO319" s="2" t="str">
        <f>IF(Source!$C319&gt;=COLUMNS($A319:AO319), Source!$G319, "")</f>
        <v/>
      </c>
      <c r="AP319" s="2" t="str">
        <f>IF(Source!$C319&gt;=COLUMNS($A319:AP319), Source!$G319, "")</f>
        <v/>
      </c>
      <c r="AQ319" s="2" t="str">
        <f>IF(Source!$C319&gt;=COLUMNS($A319:AQ319), Source!$G319, "")</f>
        <v/>
      </c>
      <c r="AR319" s="2" t="str">
        <f>IF(Source!$C319&gt;=COLUMNS($A319:AR319), Source!$G319, "")</f>
        <v/>
      </c>
    </row>
    <row r="320">
      <c r="A320" s="2">
        <f>IF(Source!$C320&gt;=COLUMNS($A320:A320), Source!$G320, "")</f>
        <v>8</v>
      </c>
      <c r="B320" s="2">
        <f>IF(Source!$C320&gt;=COLUMNS($A320:B320), Source!$G320, "")</f>
        <v>8</v>
      </c>
      <c r="C320" s="2" t="str">
        <f>IF(Source!$C320&gt;=COLUMNS($A320:C320), Source!$G320, "")</f>
        <v/>
      </c>
      <c r="D320" s="2" t="str">
        <f>IF(Source!$C320&gt;=COLUMNS($A320:D320), Source!$G320, "")</f>
        <v/>
      </c>
      <c r="E320" s="2" t="str">
        <f>IF(Source!$C320&gt;=COLUMNS($A320:E320), Source!$G320, "")</f>
        <v/>
      </c>
      <c r="F320" s="2" t="str">
        <f>IF(Source!$C320&gt;=COLUMNS($A320:F320), Source!$G320, "")</f>
        <v/>
      </c>
      <c r="G320" s="2" t="str">
        <f>IF(Source!$C320&gt;=COLUMNS($A320:G320), Source!$G320, "")</f>
        <v/>
      </c>
      <c r="H320" s="2" t="str">
        <f>IF(Source!$C320&gt;=COLUMNS($A320:H320), Source!$G320, "")</f>
        <v/>
      </c>
      <c r="I320" s="2" t="str">
        <f>IF(Source!$C320&gt;=COLUMNS($A320:I320), Source!$G320, "")</f>
        <v/>
      </c>
      <c r="J320" s="2" t="str">
        <f>IF(Source!$C320&gt;=COLUMNS($A320:J320), Source!$G320, "")</f>
        <v/>
      </c>
      <c r="K320" s="2" t="str">
        <f>IF(Source!$C320&gt;=COLUMNS($A320:K320), Source!$G320, "")</f>
        <v/>
      </c>
      <c r="L320" s="2" t="str">
        <f>IF(Source!$C320&gt;=COLUMNS($A320:L320), Source!$G320, "")</f>
        <v/>
      </c>
      <c r="M320" s="2" t="str">
        <f>IF(Source!$C320&gt;=COLUMNS($A320:M320), Source!$G320, "")</f>
        <v/>
      </c>
      <c r="N320" s="2" t="str">
        <f>IF(Source!$C320&gt;=COLUMNS($A320:N320), Source!$G320, "")</f>
        <v/>
      </c>
      <c r="O320" s="2" t="str">
        <f>IF(Source!$C320&gt;=COLUMNS($A320:O320), Source!$G320, "")</f>
        <v/>
      </c>
      <c r="P320" s="2" t="str">
        <f>IF(Source!$C320&gt;=COLUMNS($A320:P320), Source!$G320, "")</f>
        <v/>
      </c>
      <c r="Q320" s="2" t="str">
        <f>IF(Source!$C320&gt;=COLUMNS($A320:Q320), Source!$G320, "")</f>
        <v/>
      </c>
      <c r="R320" s="2" t="str">
        <f>IF(Source!$C320&gt;=COLUMNS($A320:R320), Source!$G320, "")</f>
        <v/>
      </c>
      <c r="S320" s="2" t="str">
        <f>IF(Source!$C320&gt;=COLUMNS($A320:S320), Source!$G320, "")</f>
        <v/>
      </c>
      <c r="T320" s="2" t="str">
        <f>IF(Source!$C320&gt;=COLUMNS($A320:T320), Source!$G320, "")</f>
        <v/>
      </c>
      <c r="U320" s="2" t="str">
        <f>IF(Source!$C320&gt;=COLUMNS($A320:U320), Source!$G320, "")</f>
        <v/>
      </c>
      <c r="V320" s="2" t="str">
        <f>IF(Source!$C320&gt;=COLUMNS($A320:V320), Source!$G320, "")</f>
        <v/>
      </c>
      <c r="W320" s="2" t="str">
        <f>IF(Source!$C320&gt;=COLUMNS($A320:W320), Source!$G320, "")</f>
        <v/>
      </c>
      <c r="X320" s="2" t="str">
        <f>IF(Source!$C320&gt;=COLUMNS($A320:X320), Source!$G320, "")</f>
        <v/>
      </c>
      <c r="Y320" s="2" t="str">
        <f>IF(Source!$C320&gt;=COLUMNS($A320:Y320), Source!$G320, "")</f>
        <v/>
      </c>
      <c r="Z320" s="2" t="str">
        <f>IF(Source!$C320&gt;=COLUMNS($A320:Z320), Source!$G320, "")</f>
        <v/>
      </c>
      <c r="AA320" s="2" t="str">
        <f>IF(Source!$C320&gt;=COLUMNS($A320:AA320), Source!$G320, "")</f>
        <v/>
      </c>
      <c r="AB320" s="2" t="str">
        <f>IF(Source!$C320&gt;=COLUMNS($A320:AB320), Source!$G320, "")</f>
        <v/>
      </c>
      <c r="AC320" s="2" t="str">
        <f>IF(Source!$C320&gt;=COLUMNS($A320:AC320), Source!$G320, "")</f>
        <v/>
      </c>
      <c r="AD320" s="2" t="str">
        <f>IF(Source!$C320&gt;=COLUMNS($A320:AD320), Source!$G320, "")</f>
        <v/>
      </c>
      <c r="AE320" s="2" t="str">
        <f>IF(Source!$C320&gt;=COLUMNS($A320:AE320), Source!$G320, "")</f>
        <v/>
      </c>
      <c r="AF320" s="2" t="str">
        <f>IF(Source!$C320&gt;=COLUMNS($A320:AF320), Source!$G320, "")</f>
        <v/>
      </c>
      <c r="AG320" s="2" t="str">
        <f>IF(Source!$C320&gt;=COLUMNS($A320:AG320), Source!$G320, "")</f>
        <v/>
      </c>
      <c r="AH320" s="2" t="str">
        <f>IF(Source!$C320&gt;=COLUMNS($A320:AH320), Source!$G320, "")</f>
        <v/>
      </c>
      <c r="AI320" s="2" t="str">
        <f>IF(Source!$C320&gt;=COLUMNS($A320:AI320), Source!$G320, "")</f>
        <v/>
      </c>
      <c r="AJ320" s="2" t="str">
        <f>IF(Source!$C320&gt;=COLUMNS($A320:AJ320), Source!$G320, "")</f>
        <v/>
      </c>
      <c r="AK320" s="2" t="str">
        <f>IF(Source!$C320&gt;=COLUMNS($A320:AK320), Source!$G320, "")</f>
        <v/>
      </c>
      <c r="AL320" s="2" t="str">
        <f>IF(Source!$C320&gt;=COLUMNS($A320:AL320), Source!$G320, "")</f>
        <v/>
      </c>
      <c r="AM320" s="2" t="str">
        <f>IF(Source!$C320&gt;=COLUMNS($A320:AM320), Source!$G320, "")</f>
        <v/>
      </c>
      <c r="AN320" s="2" t="str">
        <f>IF(Source!$C320&gt;=COLUMNS($A320:AN320), Source!$G320, "")</f>
        <v/>
      </c>
      <c r="AO320" s="2" t="str">
        <f>IF(Source!$C320&gt;=COLUMNS($A320:AO320), Source!$G320, "")</f>
        <v/>
      </c>
      <c r="AP320" s="2" t="str">
        <f>IF(Source!$C320&gt;=COLUMNS($A320:AP320), Source!$G320, "")</f>
        <v/>
      </c>
      <c r="AQ320" s="2" t="str">
        <f>IF(Source!$C320&gt;=COLUMNS($A320:AQ320), Source!$G320, "")</f>
        <v/>
      </c>
      <c r="AR320" s="2" t="str">
        <f>IF(Source!$C320&gt;=COLUMNS($A320:AR320), Source!$G320, "")</f>
        <v/>
      </c>
    </row>
    <row r="321">
      <c r="A321" s="2">
        <f>IF(Source!$C321&gt;=COLUMNS($A321:A321), Source!$G321, "")</f>
        <v>2</v>
      </c>
      <c r="B321" s="2">
        <f>IF(Source!$C321&gt;=COLUMNS($A321:B321), Source!$G321, "")</f>
        <v>2</v>
      </c>
      <c r="C321" s="2" t="str">
        <f>IF(Source!$C321&gt;=COLUMNS($A321:C321), Source!$G321, "")</f>
        <v/>
      </c>
      <c r="D321" s="2" t="str">
        <f>IF(Source!$C321&gt;=COLUMNS($A321:D321), Source!$G321, "")</f>
        <v/>
      </c>
      <c r="E321" s="2" t="str">
        <f>IF(Source!$C321&gt;=COLUMNS($A321:E321), Source!$G321, "")</f>
        <v/>
      </c>
      <c r="F321" s="2" t="str">
        <f>IF(Source!$C321&gt;=COLUMNS($A321:F321), Source!$G321, "")</f>
        <v/>
      </c>
      <c r="G321" s="2" t="str">
        <f>IF(Source!$C321&gt;=COLUMNS($A321:G321), Source!$G321, "")</f>
        <v/>
      </c>
      <c r="H321" s="2" t="str">
        <f>IF(Source!$C321&gt;=COLUMNS($A321:H321), Source!$G321, "")</f>
        <v/>
      </c>
      <c r="I321" s="2" t="str">
        <f>IF(Source!$C321&gt;=COLUMNS($A321:I321), Source!$G321, "")</f>
        <v/>
      </c>
      <c r="J321" s="2" t="str">
        <f>IF(Source!$C321&gt;=COLUMNS($A321:J321), Source!$G321, "")</f>
        <v/>
      </c>
      <c r="K321" s="2" t="str">
        <f>IF(Source!$C321&gt;=COLUMNS($A321:K321), Source!$G321, "")</f>
        <v/>
      </c>
      <c r="L321" s="2" t="str">
        <f>IF(Source!$C321&gt;=COLUMNS($A321:L321), Source!$G321, "")</f>
        <v/>
      </c>
      <c r="M321" s="2" t="str">
        <f>IF(Source!$C321&gt;=COLUMNS($A321:M321), Source!$G321, "")</f>
        <v/>
      </c>
      <c r="N321" s="2" t="str">
        <f>IF(Source!$C321&gt;=COLUMNS($A321:N321), Source!$G321, "")</f>
        <v/>
      </c>
      <c r="O321" s="2" t="str">
        <f>IF(Source!$C321&gt;=COLUMNS($A321:O321), Source!$G321, "")</f>
        <v/>
      </c>
      <c r="P321" s="2" t="str">
        <f>IF(Source!$C321&gt;=COLUMNS($A321:P321), Source!$G321, "")</f>
        <v/>
      </c>
      <c r="Q321" s="2" t="str">
        <f>IF(Source!$C321&gt;=COLUMNS($A321:Q321), Source!$G321, "")</f>
        <v/>
      </c>
      <c r="R321" s="2" t="str">
        <f>IF(Source!$C321&gt;=COLUMNS($A321:R321), Source!$G321, "")</f>
        <v/>
      </c>
      <c r="S321" s="2" t="str">
        <f>IF(Source!$C321&gt;=COLUMNS($A321:S321), Source!$G321, "")</f>
        <v/>
      </c>
      <c r="T321" s="2" t="str">
        <f>IF(Source!$C321&gt;=COLUMNS($A321:T321), Source!$G321, "")</f>
        <v/>
      </c>
      <c r="U321" s="2" t="str">
        <f>IF(Source!$C321&gt;=COLUMNS($A321:U321), Source!$G321, "")</f>
        <v/>
      </c>
      <c r="V321" s="2" t="str">
        <f>IF(Source!$C321&gt;=COLUMNS($A321:V321), Source!$G321, "")</f>
        <v/>
      </c>
      <c r="W321" s="2" t="str">
        <f>IF(Source!$C321&gt;=COLUMNS($A321:W321), Source!$G321, "")</f>
        <v/>
      </c>
      <c r="X321" s="2" t="str">
        <f>IF(Source!$C321&gt;=COLUMNS($A321:X321), Source!$G321, "")</f>
        <v/>
      </c>
      <c r="Y321" s="2" t="str">
        <f>IF(Source!$C321&gt;=COLUMNS($A321:Y321), Source!$G321, "")</f>
        <v/>
      </c>
      <c r="Z321" s="2" t="str">
        <f>IF(Source!$C321&gt;=COLUMNS($A321:Z321), Source!$G321, "")</f>
        <v/>
      </c>
      <c r="AA321" s="2" t="str">
        <f>IF(Source!$C321&gt;=COLUMNS($A321:AA321), Source!$G321, "")</f>
        <v/>
      </c>
      <c r="AB321" s="2" t="str">
        <f>IF(Source!$C321&gt;=COLUMNS($A321:AB321), Source!$G321, "")</f>
        <v/>
      </c>
      <c r="AC321" s="2" t="str">
        <f>IF(Source!$C321&gt;=COLUMNS($A321:AC321), Source!$G321, "")</f>
        <v/>
      </c>
      <c r="AD321" s="2" t="str">
        <f>IF(Source!$C321&gt;=COLUMNS($A321:AD321), Source!$G321, "")</f>
        <v/>
      </c>
      <c r="AE321" s="2" t="str">
        <f>IF(Source!$C321&gt;=COLUMNS($A321:AE321), Source!$G321, "")</f>
        <v/>
      </c>
      <c r="AF321" s="2" t="str">
        <f>IF(Source!$C321&gt;=COLUMNS($A321:AF321), Source!$G321, "")</f>
        <v/>
      </c>
      <c r="AG321" s="2" t="str">
        <f>IF(Source!$C321&gt;=COLUMNS($A321:AG321), Source!$G321, "")</f>
        <v/>
      </c>
      <c r="AH321" s="2" t="str">
        <f>IF(Source!$C321&gt;=COLUMNS($A321:AH321), Source!$G321, "")</f>
        <v/>
      </c>
      <c r="AI321" s="2" t="str">
        <f>IF(Source!$C321&gt;=COLUMNS($A321:AI321), Source!$G321, "")</f>
        <v/>
      </c>
      <c r="AJ321" s="2" t="str">
        <f>IF(Source!$C321&gt;=COLUMNS($A321:AJ321), Source!$G321, "")</f>
        <v/>
      </c>
      <c r="AK321" s="2" t="str">
        <f>IF(Source!$C321&gt;=COLUMNS($A321:AK321), Source!$G321, "")</f>
        <v/>
      </c>
      <c r="AL321" s="2" t="str">
        <f>IF(Source!$C321&gt;=COLUMNS($A321:AL321), Source!$G321, "")</f>
        <v/>
      </c>
      <c r="AM321" s="2" t="str">
        <f>IF(Source!$C321&gt;=COLUMNS($A321:AM321), Source!$G321, "")</f>
        <v/>
      </c>
      <c r="AN321" s="2" t="str">
        <f>IF(Source!$C321&gt;=COLUMNS($A321:AN321), Source!$G321, "")</f>
        <v/>
      </c>
      <c r="AO321" s="2" t="str">
        <f>IF(Source!$C321&gt;=COLUMNS($A321:AO321), Source!$G321, "")</f>
        <v/>
      </c>
      <c r="AP321" s="2" t="str">
        <f>IF(Source!$C321&gt;=COLUMNS($A321:AP321), Source!$G321, "")</f>
        <v/>
      </c>
      <c r="AQ321" s="2" t="str">
        <f>IF(Source!$C321&gt;=COLUMNS($A321:AQ321), Source!$G321, "")</f>
        <v/>
      </c>
      <c r="AR321" s="2" t="str">
        <f>IF(Source!$C321&gt;=COLUMNS($A321:AR321), Source!$G321, "")</f>
        <v/>
      </c>
    </row>
    <row r="322">
      <c r="A322" s="2">
        <f>IF(Source!$C322&gt;=COLUMNS($A322:A322), Source!$G322, "")</f>
        <v>3</v>
      </c>
      <c r="B322" s="2" t="str">
        <f>IF(Source!$C322&gt;=COLUMNS($A322:B322), Source!$G322, "")</f>
        <v/>
      </c>
      <c r="C322" s="2" t="str">
        <f>IF(Source!$C322&gt;=COLUMNS($A322:C322), Source!$G322, "")</f>
        <v/>
      </c>
      <c r="D322" s="2" t="str">
        <f>IF(Source!$C322&gt;=COLUMNS($A322:D322), Source!$G322, "")</f>
        <v/>
      </c>
      <c r="E322" s="2" t="str">
        <f>IF(Source!$C322&gt;=COLUMNS($A322:E322), Source!$G322, "")</f>
        <v/>
      </c>
      <c r="F322" s="2" t="str">
        <f>IF(Source!$C322&gt;=COLUMNS($A322:F322), Source!$G322, "")</f>
        <v/>
      </c>
      <c r="G322" s="2" t="str">
        <f>IF(Source!$C322&gt;=COLUMNS($A322:G322), Source!$G322, "")</f>
        <v/>
      </c>
      <c r="H322" s="2" t="str">
        <f>IF(Source!$C322&gt;=COLUMNS($A322:H322), Source!$G322, "")</f>
        <v/>
      </c>
      <c r="I322" s="2" t="str">
        <f>IF(Source!$C322&gt;=COLUMNS($A322:I322), Source!$G322, "")</f>
        <v/>
      </c>
      <c r="J322" s="2" t="str">
        <f>IF(Source!$C322&gt;=COLUMNS($A322:J322), Source!$G322, "")</f>
        <v/>
      </c>
      <c r="K322" s="2" t="str">
        <f>IF(Source!$C322&gt;=COLUMNS($A322:K322), Source!$G322, "")</f>
        <v/>
      </c>
      <c r="L322" s="2" t="str">
        <f>IF(Source!$C322&gt;=COLUMNS($A322:L322), Source!$G322, "")</f>
        <v/>
      </c>
      <c r="M322" s="2" t="str">
        <f>IF(Source!$C322&gt;=COLUMNS($A322:M322), Source!$G322, "")</f>
        <v/>
      </c>
      <c r="N322" s="2" t="str">
        <f>IF(Source!$C322&gt;=COLUMNS($A322:N322), Source!$G322, "")</f>
        <v/>
      </c>
      <c r="O322" s="2" t="str">
        <f>IF(Source!$C322&gt;=COLUMNS($A322:O322), Source!$G322, "")</f>
        <v/>
      </c>
      <c r="P322" s="2" t="str">
        <f>IF(Source!$C322&gt;=COLUMNS($A322:P322), Source!$G322, "")</f>
        <v/>
      </c>
      <c r="Q322" s="2" t="str">
        <f>IF(Source!$C322&gt;=COLUMNS($A322:Q322), Source!$G322, "")</f>
        <v/>
      </c>
      <c r="R322" s="2" t="str">
        <f>IF(Source!$C322&gt;=COLUMNS($A322:R322), Source!$G322, "")</f>
        <v/>
      </c>
      <c r="S322" s="2" t="str">
        <f>IF(Source!$C322&gt;=COLUMNS($A322:S322), Source!$G322, "")</f>
        <v/>
      </c>
      <c r="T322" s="2" t="str">
        <f>IF(Source!$C322&gt;=COLUMNS($A322:T322), Source!$G322, "")</f>
        <v/>
      </c>
      <c r="U322" s="2" t="str">
        <f>IF(Source!$C322&gt;=COLUMNS($A322:U322), Source!$G322, "")</f>
        <v/>
      </c>
      <c r="V322" s="2" t="str">
        <f>IF(Source!$C322&gt;=COLUMNS($A322:V322), Source!$G322, "")</f>
        <v/>
      </c>
      <c r="W322" s="2" t="str">
        <f>IF(Source!$C322&gt;=COLUMNS($A322:W322), Source!$G322, "")</f>
        <v/>
      </c>
      <c r="X322" s="2" t="str">
        <f>IF(Source!$C322&gt;=COLUMNS($A322:X322), Source!$G322, "")</f>
        <v/>
      </c>
      <c r="Y322" s="2" t="str">
        <f>IF(Source!$C322&gt;=COLUMNS($A322:Y322), Source!$G322, "")</f>
        <v/>
      </c>
      <c r="Z322" s="2" t="str">
        <f>IF(Source!$C322&gt;=COLUMNS($A322:Z322), Source!$G322, "")</f>
        <v/>
      </c>
      <c r="AA322" s="2" t="str">
        <f>IF(Source!$C322&gt;=COLUMNS($A322:AA322), Source!$G322, "")</f>
        <v/>
      </c>
      <c r="AB322" s="2" t="str">
        <f>IF(Source!$C322&gt;=COLUMNS($A322:AB322), Source!$G322, "")</f>
        <v/>
      </c>
      <c r="AC322" s="2" t="str">
        <f>IF(Source!$C322&gt;=COLUMNS($A322:AC322), Source!$G322, "")</f>
        <v/>
      </c>
      <c r="AD322" s="2" t="str">
        <f>IF(Source!$C322&gt;=COLUMNS($A322:AD322), Source!$G322, "")</f>
        <v/>
      </c>
      <c r="AE322" s="2" t="str">
        <f>IF(Source!$C322&gt;=COLUMNS($A322:AE322), Source!$G322, "")</f>
        <v/>
      </c>
      <c r="AF322" s="2" t="str">
        <f>IF(Source!$C322&gt;=COLUMNS($A322:AF322), Source!$G322, "")</f>
        <v/>
      </c>
      <c r="AG322" s="2" t="str">
        <f>IF(Source!$C322&gt;=COLUMNS($A322:AG322), Source!$G322, "")</f>
        <v/>
      </c>
      <c r="AH322" s="2" t="str">
        <f>IF(Source!$C322&gt;=COLUMNS($A322:AH322), Source!$G322, "")</f>
        <v/>
      </c>
      <c r="AI322" s="2" t="str">
        <f>IF(Source!$C322&gt;=COLUMNS($A322:AI322), Source!$G322, "")</f>
        <v/>
      </c>
      <c r="AJ322" s="2" t="str">
        <f>IF(Source!$C322&gt;=COLUMNS($A322:AJ322), Source!$G322, "")</f>
        <v/>
      </c>
      <c r="AK322" s="2" t="str">
        <f>IF(Source!$C322&gt;=COLUMNS($A322:AK322), Source!$G322, "")</f>
        <v/>
      </c>
      <c r="AL322" s="2" t="str">
        <f>IF(Source!$C322&gt;=COLUMNS($A322:AL322), Source!$G322, "")</f>
        <v/>
      </c>
      <c r="AM322" s="2" t="str">
        <f>IF(Source!$C322&gt;=COLUMNS($A322:AM322), Source!$G322, "")</f>
        <v/>
      </c>
      <c r="AN322" s="2" t="str">
        <f>IF(Source!$C322&gt;=COLUMNS($A322:AN322), Source!$G322, "")</f>
        <v/>
      </c>
      <c r="AO322" s="2" t="str">
        <f>IF(Source!$C322&gt;=COLUMNS($A322:AO322), Source!$G322, "")</f>
        <v/>
      </c>
      <c r="AP322" s="2" t="str">
        <f>IF(Source!$C322&gt;=COLUMNS($A322:AP322), Source!$G322, "")</f>
        <v/>
      </c>
      <c r="AQ322" s="2" t="str">
        <f>IF(Source!$C322&gt;=COLUMNS($A322:AQ322), Source!$G322, "")</f>
        <v/>
      </c>
      <c r="AR322" s="2" t="str">
        <f>IF(Source!$C322&gt;=COLUMNS($A322:AR322), Source!$G322, "")</f>
        <v/>
      </c>
    </row>
    <row r="323">
      <c r="A323" s="2">
        <f>IF(Source!$C323&gt;=COLUMNS($A323:A323), Source!$G323, "")</f>
        <v>8</v>
      </c>
      <c r="B323" s="2" t="str">
        <f>IF(Source!$C323&gt;=COLUMNS($A323:B323), Source!$G323, "")</f>
        <v/>
      </c>
      <c r="C323" s="2" t="str">
        <f>IF(Source!$C323&gt;=COLUMNS($A323:C323), Source!$G323, "")</f>
        <v/>
      </c>
      <c r="D323" s="2" t="str">
        <f>IF(Source!$C323&gt;=COLUMNS($A323:D323), Source!$G323, "")</f>
        <v/>
      </c>
      <c r="E323" s="2" t="str">
        <f>IF(Source!$C323&gt;=COLUMNS($A323:E323), Source!$G323, "")</f>
        <v/>
      </c>
      <c r="F323" s="2" t="str">
        <f>IF(Source!$C323&gt;=COLUMNS($A323:F323), Source!$G323, "")</f>
        <v/>
      </c>
      <c r="G323" s="2" t="str">
        <f>IF(Source!$C323&gt;=COLUMNS($A323:G323), Source!$G323, "")</f>
        <v/>
      </c>
      <c r="H323" s="2" t="str">
        <f>IF(Source!$C323&gt;=COLUMNS($A323:H323), Source!$G323, "")</f>
        <v/>
      </c>
      <c r="I323" s="2" t="str">
        <f>IF(Source!$C323&gt;=COLUMNS($A323:I323), Source!$G323, "")</f>
        <v/>
      </c>
      <c r="J323" s="2" t="str">
        <f>IF(Source!$C323&gt;=COLUMNS($A323:J323), Source!$G323, "")</f>
        <v/>
      </c>
      <c r="K323" s="2" t="str">
        <f>IF(Source!$C323&gt;=COLUMNS($A323:K323), Source!$G323, "")</f>
        <v/>
      </c>
      <c r="L323" s="2" t="str">
        <f>IF(Source!$C323&gt;=COLUMNS($A323:L323), Source!$G323, "")</f>
        <v/>
      </c>
      <c r="M323" s="2" t="str">
        <f>IF(Source!$C323&gt;=COLUMNS($A323:M323), Source!$G323, "")</f>
        <v/>
      </c>
      <c r="N323" s="2" t="str">
        <f>IF(Source!$C323&gt;=COLUMNS($A323:N323), Source!$G323, "")</f>
        <v/>
      </c>
      <c r="O323" s="2" t="str">
        <f>IF(Source!$C323&gt;=COLUMNS($A323:O323), Source!$G323, "")</f>
        <v/>
      </c>
      <c r="P323" s="2" t="str">
        <f>IF(Source!$C323&gt;=COLUMNS($A323:P323), Source!$G323, "")</f>
        <v/>
      </c>
      <c r="Q323" s="2" t="str">
        <f>IF(Source!$C323&gt;=COLUMNS($A323:Q323), Source!$G323, "")</f>
        <v/>
      </c>
      <c r="R323" s="2" t="str">
        <f>IF(Source!$C323&gt;=COLUMNS($A323:R323), Source!$G323, "")</f>
        <v/>
      </c>
      <c r="S323" s="2" t="str">
        <f>IF(Source!$C323&gt;=COLUMNS($A323:S323), Source!$G323, "")</f>
        <v/>
      </c>
      <c r="T323" s="2" t="str">
        <f>IF(Source!$C323&gt;=COLUMNS($A323:T323), Source!$G323, "")</f>
        <v/>
      </c>
      <c r="U323" s="2" t="str">
        <f>IF(Source!$C323&gt;=COLUMNS($A323:U323), Source!$G323, "")</f>
        <v/>
      </c>
      <c r="V323" s="2" t="str">
        <f>IF(Source!$C323&gt;=COLUMNS($A323:V323), Source!$G323, "")</f>
        <v/>
      </c>
      <c r="W323" s="2" t="str">
        <f>IF(Source!$C323&gt;=COLUMNS($A323:W323), Source!$G323, "")</f>
        <v/>
      </c>
      <c r="X323" s="2" t="str">
        <f>IF(Source!$C323&gt;=COLUMNS($A323:X323), Source!$G323, "")</f>
        <v/>
      </c>
      <c r="Y323" s="2" t="str">
        <f>IF(Source!$C323&gt;=COLUMNS($A323:Y323), Source!$G323, "")</f>
        <v/>
      </c>
      <c r="Z323" s="2" t="str">
        <f>IF(Source!$C323&gt;=COLUMNS($A323:Z323), Source!$G323, "")</f>
        <v/>
      </c>
      <c r="AA323" s="2" t="str">
        <f>IF(Source!$C323&gt;=COLUMNS($A323:AA323), Source!$G323, "")</f>
        <v/>
      </c>
      <c r="AB323" s="2" t="str">
        <f>IF(Source!$C323&gt;=COLUMNS($A323:AB323), Source!$G323, "")</f>
        <v/>
      </c>
      <c r="AC323" s="2" t="str">
        <f>IF(Source!$C323&gt;=COLUMNS($A323:AC323), Source!$G323, "")</f>
        <v/>
      </c>
      <c r="AD323" s="2" t="str">
        <f>IF(Source!$C323&gt;=COLUMNS($A323:AD323), Source!$G323, "")</f>
        <v/>
      </c>
      <c r="AE323" s="2" t="str">
        <f>IF(Source!$C323&gt;=COLUMNS($A323:AE323), Source!$G323, "")</f>
        <v/>
      </c>
      <c r="AF323" s="2" t="str">
        <f>IF(Source!$C323&gt;=COLUMNS($A323:AF323), Source!$G323, "")</f>
        <v/>
      </c>
      <c r="AG323" s="2" t="str">
        <f>IF(Source!$C323&gt;=COLUMNS($A323:AG323), Source!$G323, "")</f>
        <v/>
      </c>
      <c r="AH323" s="2" t="str">
        <f>IF(Source!$C323&gt;=COLUMNS($A323:AH323), Source!$G323, "")</f>
        <v/>
      </c>
      <c r="AI323" s="2" t="str">
        <f>IF(Source!$C323&gt;=COLUMNS($A323:AI323), Source!$G323, "")</f>
        <v/>
      </c>
      <c r="AJ323" s="2" t="str">
        <f>IF(Source!$C323&gt;=COLUMNS($A323:AJ323), Source!$G323, "")</f>
        <v/>
      </c>
      <c r="AK323" s="2" t="str">
        <f>IF(Source!$C323&gt;=COLUMNS($A323:AK323), Source!$G323, "")</f>
        <v/>
      </c>
      <c r="AL323" s="2" t="str">
        <f>IF(Source!$C323&gt;=COLUMNS($A323:AL323), Source!$G323, "")</f>
        <v/>
      </c>
      <c r="AM323" s="2" t="str">
        <f>IF(Source!$C323&gt;=COLUMNS($A323:AM323), Source!$G323, "")</f>
        <v/>
      </c>
      <c r="AN323" s="2" t="str">
        <f>IF(Source!$C323&gt;=COLUMNS($A323:AN323), Source!$G323, "")</f>
        <v/>
      </c>
      <c r="AO323" s="2" t="str">
        <f>IF(Source!$C323&gt;=COLUMNS($A323:AO323), Source!$G323, "")</f>
        <v/>
      </c>
      <c r="AP323" s="2" t="str">
        <f>IF(Source!$C323&gt;=COLUMNS($A323:AP323), Source!$G323, "")</f>
        <v/>
      </c>
      <c r="AQ323" s="2" t="str">
        <f>IF(Source!$C323&gt;=COLUMNS($A323:AQ323), Source!$G323, "")</f>
        <v/>
      </c>
      <c r="AR323" s="2" t="str">
        <f>IF(Source!$C323&gt;=COLUMNS($A323:AR323), Source!$G323, "")</f>
        <v/>
      </c>
    </row>
    <row r="324">
      <c r="A324" s="2">
        <f>IF(Source!$C324&gt;=COLUMNS($A324:A324), Source!$G324, "")</f>
        <v>5</v>
      </c>
      <c r="B324" s="2" t="str">
        <f>IF(Source!$C324&gt;=COLUMNS($A324:B324), Source!$G324, "")</f>
        <v/>
      </c>
      <c r="C324" s="2" t="str">
        <f>IF(Source!$C324&gt;=COLUMNS($A324:C324), Source!$G324, "")</f>
        <v/>
      </c>
      <c r="D324" s="2" t="str">
        <f>IF(Source!$C324&gt;=COLUMNS($A324:D324), Source!$G324, "")</f>
        <v/>
      </c>
      <c r="E324" s="2" t="str">
        <f>IF(Source!$C324&gt;=COLUMNS($A324:E324), Source!$G324, "")</f>
        <v/>
      </c>
      <c r="F324" s="2" t="str">
        <f>IF(Source!$C324&gt;=COLUMNS($A324:F324), Source!$G324, "")</f>
        <v/>
      </c>
      <c r="G324" s="2" t="str">
        <f>IF(Source!$C324&gt;=COLUMNS($A324:G324), Source!$G324, "")</f>
        <v/>
      </c>
      <c r="H324" s="2" t="str">
        <f>IF(Source!$C324&gt;=COLUMNS($A324:H324), Source!$G324, "")</f>
        <v/>
      </c>
      <c r="I324" s="2" t="str">
        <f>IF(Source!$C324&gt;=COLUMNS($A324:I324), Source!$G324, "")</f>
        <v/>
      </c>
      <c r="J324" s="2" t="str">
        <f>IF(Source!$C324&gt;=COLUMNS($A324:J324), Source!$G324, "")</f>
        <v/>
      </c>
      <c r="K324" s="2" t="str">
        <f>IF(Source!$C324&gt;=COLUMNS($A324:K324), Source!$G324, "")</f>
        <v/>
      </c>
      <c r="L324" s="2" t="str">
        <f>IF(Source!$C324&gt;=COLUMNS($A324:L324), Source!$G324, "")</f>
        <v/>
      </c>
      <c r="M324" s="2" t="str">
        <f>IF(Source!$C324&gt;=COLUMNS($A324:M324), Source!$G324, "")</f>
        <v/>
      </c>
      <c r="N324" s="2" t="str">
        <f>IF(Source!$C324&gt;=COLUMNS($A324:N324), Source!$G324, "")</f>
        <v/>
      </c>
      <c r="O324" s="2" t="str">
        <f>IF(Source!$C324&gt;=COLUMNS($A324:O324), Source!$G324, "")</f>
        <v/>
      </c>
      <c r="P324" s="2" t="str">
        <f>IF(Source!$C324&gt;=COLUMNS($A324:P324), Source!$G324, "")</f>
        <v/>
      </c>
      <c r="Q324" s="2" t="str">
        <f>IF(Source!$C324&gt;=COLUMNS($A324:Q324), Source!$G324, "")</f>
        <v/>
      </c>
      <c r="R324" s="2" t="str">
        <f>IF(Source!$C324&gt;=COLUMNS($A324:R324), Source!$G324, "")</f>
        <v/>
      </c>
      <c r="S324" s="2" t="str">
        <f>IF(Source!$C324&gt;=COLUMNS($A324:S324), Source!$G324, "")</f>
        <v/>
      </c>
      <c r="T324" s="2" t="str">
        <f>IF(Source!$C324&gt;=COLUMNS($A324:T324), Source!$G324, "")</f>
        <v/>
      </c>
      <c r="U324" s="2" t="str">
        <f>IF(Source!$C324&gt;=COLUMNS($A324:U324), Source!$G324, "")</f>
        <v/>
      </c>
      <c r="V324" s="2" t="str">
        <f>IF(Source!$C324&gt;=COLUMNS($A324:V324), Source!$G324, "")</f>
        <v/>
      </c>
      <c r="W324" s="2" t="str">
        <f>IF(Source!$C324&gt;=COLUMNS($A324:W324), Source!$G324, "")</f>
        <v/>
      </c>
      <c r="X324" s="2" t="str">
        <f>IF(Source!$C324&gt;=COLUMNS($A324:X324), Source!$G324, "")</f>
        <v/>
      </c>
      <c r="Y324" s="2" t="str">
        <f>IF(Source!$C324&gt;=COLUMNS($A324:Y324), Source!$G324, "")</f>
        <v/>
      </c>
      <c r="Z324" s="2" t="str">
        <f>IF(Source!$C324&gt;=COLUMNS($A324:Z324), Source!$G324, "")</f>
        <v/>
      </c>
      <c r="AA324" s="2" t="str">
        <f>IF(Source!$C324&gt;=COLUMNS($A324:AA324), Source!$G324, "")</f>
        <v/>
      </c>
      <c r="AB324" s="2" t="str">
        <f>IF(Source!$C324&gt;=COLUMNS($A324:AB324), Source!$G324, "")</f>
        <v/>
      </c>
      <c r="AC324" s="2" t="str">
        <f>IF(Source!$C324&gt;=COLUMNS($A324:AC324), Source!$G324, "")</f>
        <v/>
      </c>
      <c r="AD324" s="2" t="str">
        <f>IF(Source!$C324&gt;=COLUMNS($A324:AD324), Source!$G324, "")</f>
        <v/>
      </c>
      <c r="AE324" s="2" t="str">
        <f>IF(Source!$C324&gt;=COLUMNS($A324:AE324), Source!$G324, "")</f>
        <v/>
      </c>
      <c r="AF324" s="2" t="str">
        <f>IF(Source!$C324&gt;=COLUMNS($A324:AF324), Source!$G324, "")</f>
        <v/>
      </c>
      <c r="AG324" s="2" t="str">
        <f>IF(Source!$C324&gt;=COLUMNS($A324:AG324), Source!$G324, "")</f>
        <v/>
      </c>
      <c r="AH324" s="2" t="str">
        <f>IF(Source!$C324&gt;=COLUMNS($A324:AH324), Source!$G324, "")</f>
        <v/>
      </c>
      <c r="AI324" s="2" t="str">
        <f>IF(Source!$C324&gt;=COLUMNS($A324:AI324), Source!$G324, "")</f>
        <v/>
      </c>
      <c r="AJ324" s="2" t="str">
        <f>IF(Source!$C324&gt;=COLUMNS($A324:AJ324), Source!$G324, "")</f>
        <v/>
      </c>
      <c r="AK324" s="2" t="str">
        <f>IF(Source!$C324&gt;=COLUMNS($A324:AK324), Source!$G324, "")</f>
        <v/>
      </c>
      <c r="AL324" s="2" t="str">
        <f>IF(Source!$C324&gt;=COLUMNS($A324:AL324), Source!$G324, "")</f>
        <v/>
      </c>
      <c r="AM324" s="2" t="str">
        <f>IF(Source!$C324&gt;=COLUMNS($A324:AM324), Source!$G324, "")</f>
        <v/>
      </c>
      <c r="AN324" s="2" t="str">
        <f>IF(Source!$C324&gt;=COLUMNS($A324:AN324), Source!$G324, "")</f>
        <v/>
      </c>
      <c r="AO324" s="2" t="str">
        <f>IF(Source!$C324&gt;=COLUMNS($A324:AO324), Source!$G324, "")</f>
        <v/>
      </c>
      <c r="AP324" s="2" t="str">
        <f>IF(Source!$C324&gt;=COLUMNS($A324:AP324), Source!$G324, "")</f>
        <v/>
      </c>
      <c r="AQ324" s="2" t="str">
        <f>IF(Source!$C324&gt;=COLUMNS($A324:AQ324), Source!$G324, "")</f>
        <v/>
      </c>
      <c r="AR324" s="2" t="str">
        <f>IF(Source!$C324&gt;=COLUMNS($A324:AR324), Source!$G324, "")</f>
        <v/>
      </c>
    </row>
    <row r="325">
      <c r="A325" s="2">
        <f>IF(Source!$C325&gt;=COLUMNS($A325:A325), Source!$G325, "")</f>
        <v>4</v>
      </c>
      <c r="B325" s="2">
        <f>IF(Source!$C325&gt;=COLUMNS($A325:B325), Source!$G325, "")</f>
        <v>4</v>
      </c>
      <c r="C325" s="2">
        <f>IF(Source!$C325&gt;=COLUMNS($A325:C325), Source!$G325, "")</f>
        <v>4</v>
      </c>
      <c r="D325" s="2">
        <f>IF(Source!$C325&gt;=COLUMNS($A325:D325), Source!$G325, "")</f>
        <v>4</v>
      </c>
      <c r="E325" s="2">
        <f>IF(Source!$C325&gt;=COLUMNS($A325:E325), Source!$G325, "")</f>
        <v>4</v>
      </c>
      <c r="F325" s="2">
        <f>IF(Source!$C325&gt;=COLUMNS($A325:F325), Source!$G325, "")</f>
        <v>4</v>
      </c>
      <c r="G325" s="2" t="str">
        <f>IF(Source!$C325&gt;=COLUMNS($A325:G325), Source!$G325, "")</f>
        <v/>
      </c>
      <c r="H325" s="2" t="str">
        <f>IF(Source!$C325&gt;=COLUMNS($A325:H325), Source!$G325, "")</f>
        <v/>
      </c>
      <c r="I325" s="2" t="str">
        <f>IF(Source!$C325&gt;=COLUMNS($A325:I325), Source!$G325, "")</f>
        <v/>
      </c>
      <c r="J325" s="2" t="str">
        <f>IF(Source!$C325&gt;=COLUMNS($A325:J325), Source!$G325, "")</f>
        <v/>
      </c>
      <c r="K325" s="2" t="str">
        <f>IF(Source!$C325&gt;=COLUMNS($A325:K325), Source!$G325, "")</f>
        <v/>
      </c>
      <c r="L325" s="2" t="str">
        <f>IF(Source!$C325&gt;=COLUMNS($A325:L325), Source!$G325, "")</f>
        <v/>
      </c>
      <c r="M325" s="2" t="str">
        <f>IF(Source!$C325&gt;=COLUMNS($A325:M325), Source!$G325, "")</f>
        <v/>
      </c>
      <c r="N325" s="2" t="str">
        <f>IF(Source!$C325&gt;=COLUMNS($A325:N325), Source!$G325, "")</f>
        <v/>
      </c>
      <c r="O325" s="2" t="str">
        <f>IF(Source!$C325&gt;=COLUMNS($A325:O325), Source!$G325, "")</f>
        <v/>
      </c>
      <c r="P325" s="2" t="str">
        <f>IF(Source!$C325&gt;=COLUMNS($A325:P325), Source!$G325, "")</f>
        <v/>
      </c>
      <c r="Q325" s="2" t="str">
        <f>IF(Source!$C325&gt;=COLUMNS($A325:Q325), Source!$G325, "")</f>
        <v/>
      </c>
      <c r="R325" s="2" t="str">
        <f>IF(Source!$C325&gt;=COLUMNS($A325:R325), Source!$G325, "")</f>
        <v/>
      </c>
      <c r="S325" s="2" t="str">
        <f>IF(Source!$C325&gt;=COLUMNS($A325:S325), Source!$G325, "")</f>
        <v/>
      </c>
      <c r="T325" s="2" t="str">
        <f>IF(Source!$C325&gt;=COLUMNS($A325:T325), Source!$G325, "")</f>
        <v/>
      </c>
      <c r="U325" s="2" t="str">
        <f>IF(Source!$C325&gt;=COLUMNS($A325:U325), Source!$G325, "")</f>
        <v/>
      </c>
      <c r="V325" s="2" t="str">
        <f>IF(Source!$C325&gt;=COLUMNS($A325:V325), Source!$G325, "")</f>
        <v/>
      </c>
      <c r="W325" s="2" t="str">
        <f>IF(Source!$C325&gt;=COLUMNS($A325:W325), Source!$G325, "")</f>
        <v/>
      </c>
      <c r="X325" s="2" t="str">
        <f>IF(Source!$C325&gt;=COLUMNS($A325:X325), Source!$G325, "")</f>
        <v/>
      </c>
      <c r="Y325" s="2" t="str">
        <f>IF(Source!$C325&gt;=COLUMNS($A325:Y325), Source!$G325, "")</f>
        <v/>
      </c>
      <c r="Z325" s="2" t="str">
        <f>IF(Source!$C325&gt;=COLUMNS($A325:Z325), Source!$G325, "")</f>
        <v/>
      </c>
      <c r="AA325" s="2" t="str">
        <f>IF(Source!$C325&gt;=COLUMNS($A325:AA325), Source!$G325, "")</f>
        <v/>
      </c>
      <c r="AB325" s="2" t="str">
        <f>IF(Source!$C325&gt;=COLUMNS($A325:AB325), Source!$G325, "")</f>
        <v/>
      </c>
      <c r="AC325" s="2" t="str">
        <f>IF(Source!$C325&gt;=COLUMNS($A325:AC325), Source!$G325, "")</f>
        <v/>
      </c>
      <c r="AD325" s="2" t="str">
        <f>IF(Source!$C325&gt;=COLUMNS($A325:AD325), Source!$G325, "")</f>
        <v/>
      </c>
      <c r="AE325" s="2" t="str">
        <f>IF(Source!$C325&gt;=COLUMNS($A325:AE325), Source!$G325, "")</f>
        <v/>
      </c>
      <c r="AF325" s="2" t="str">
        <f>IF(Source!$C325&gt;=COLUMNS($A325:AF325), Source!$G325, "")</f>
        <v/>
      </c>
      <c r="AG325" s="2" t="str">
        <f>IF(Source!$C325&gt;=COLUMNS($A325:AG325), Source!$G325, "")</f>
        <v/>
      </c>
      <c r="AH325" s="2" t="str">
        <f>IF(Source!$C325&gt;=COLUMNS($A325:AH325), Source!$G325, "")</f>
        <v/>
      </c>
      <c r="AI325" s="2" t="str">
        <f>IF(Source!$C325&gt;=COLUMNS($A325:AI325), Source!$G325, "")</f>
        <v/>
      </c>
      <c r="AJ325" s="2" t="str">
        <f>IF(Source!$C325&gt;=COLUMNS($A325:AJ325), Source!$G325, "")</f>
        <v/>
      </c>
      <c r="AK325" s="2" t="str">
        <f>IF(Source!$C325&gt;=COLUMNS($A325:AK325), Source!$G325, "")</f>
        <v/>
      </c>
      <c r="AL325" s="2" t="str">
        <f>IF(Source!$C325&gt;=COLUMNS($A325:AL325), Source!$G325, "")</f>
        <v/>
      </c>
      <c r="AM325" s="2" t="str">
        <f>IF(Source!$C325&gt;=COLUMNS($A325:AM325), Source!$G325, "")</f>
        <v/>
      </c>
      <c r="AN325" s="2" t="str">
        <f>IF(Source!$C325&gt;=COLUMNS($A325:AN325), Source!$G325, "")</f>
        <v/>
      </c>
      <c r="AO325" s="2" t="str">
        <f>IF(Source!$C325&gt;=COLUMNS($A325:AO325), Source!$G325, "")</f>
        <v/>
      </c>
      <c r="AP325" s="2" t="str">
        <f>IF(Source!$C325&gt;=COLUMNS($A325:AP325), Source!$G325, "")</f>
        <v/>
      </c>
      <c r="AQ325" s="2" t="str">
        <f>IF(Source!$C325&gt;=COLUMNS($A325:AQ325), Source!$G325, "")</f>
        <v/>
      </c>
      <c r="AR325" s="2" t="str">
        <f>IF(Source!$C325&gt;=COLUMNS($A325:AR325), Source!$G325, "")</f>
        <v/>
      </c>
    </row>
    <row r="326">
      <c r="A326" s="2">
        <f>IF(Source!$C326&gt;=COLUMNS($A326:A326), Source!$G326, "")</f>
        <v>2</v>
      </c>
      <c r="B326" s="2">
        <f>IF(Source!$C326&gt;=COLUMNS($A326:B326), Source!$G326, "")</f>
        <v>2</v>
      </c>
      <c r="C326" s="2" t="str">
        <f>IF(Source!$C326&gt;=COLUMNS($A326:C326), Source!$G326, "")</f>
        <v/>
      </c>
      <c r="D326" s="2" t="str">
        <f>IF(Source!$C326&gt;=COLUMNS($A326:D326), Source!$G326, "")</f>
        <v/>
      </c>
      <c r="E326" s="2" t="str">
        <f>IF(Source!$C326&gt;=COLUMNS($A326:E326), Source!$G326, "")</f>
        <v/>
      </c>
      <c r="F326" s="2" t="str">
        <f>IF(Source!$C326&gt;=COLUMNS($A326:F326), Source!$G326, "")</f>
        <v/>
      </c>
      <c r="G326" s="2" t="str">
        <f>IF(Source!$C326&gt;=COLUMNS($A326:G326), Source!$G326, "")</f>
        <v/>
      </c>
      <c r="H326" s="2" t="str">
        <f>IF(Source!$C326&gt;=COLUMNS($A326:H326), Source!$G326, "")</f>
        <v/>
      </c>
      <c r="I326" s="2" t="str">
        <f>IF(Source!$C326&gt;=COLUMNS($A326:I326), Source!$G326, "")</f>
        <v/>
      </c>
      <c r="J326" s="2" t="str">
        <f>IF(Source!$C326&gt;=COLUMNS($A326:J326), Source!$G326, "")</f>
        <v/>
      </c>
      <c r="K326" s="2" t="str">
        <f>IF(Source!$C326&gt;=COLUMNS($A326:K326), Source!$G326, "")</f>
        <v/>
      </c>
      <c r="L326" s="2" t="str">
        <f>IF(Source!$C326&gt;=COLUMNS($A326:L326), Source!$G326, "")</f>
        <v/>
      </c>
      <c r="M326" s="2" t="str">
        <f>IF(Source!$C326&gt;=COLUMNS($A326:M326), Source!$G326, "")</f>
        <v/>
      </c>
      <c r="N326" s="2" t="str">
        <f>IF(Source!$C326&gt;=COLUMNS($A326:N326), Source!$G326, "")</f>
        <v/>
      </c>
      <c r="O326" s="2" t="str">
        <f>IF(Source!$C326&gt;=COLUMNS($A326:O326), Source!$G326, "")</f>
        <v/>
      </c>
      <c r="P326" s="2" t="str">
        <f>IF(Source!$C326&gt;=COLUMNS($A326:P326), Source!$G326, "")</f>
        <v/>
      </c>
      <c r="Q326" s="2" t="str">
        <f>IF(Source!$C326&gt;=COLUMNS($A326:Q326), Source!$G326, "")</f>
        <v/>
      </c>
      <c r="R326" s="2" t="str">
        <f>IF(Source!$C326&gt;=COLUMNS($A326:R326), Source!$G326, "")</f>
        <v/>
      </c>
      <c r="S326" s="2" t="str">
        <f>IF(Source!$C326&gt;=COLUMNS($A326:S326), Source!$G326, "")</f>
        <v/>
      </c>
      <c r="T326" s="2" t="str">
        <f>IF(Source!$C326&gt;=COLUMNS($A326:T326), Source!$G326, "")</f>
        <v/>
      </c>
      <c r="U326" s="2" t="str">
        <f>IF(Source!$C326&gt;=COLUMNS($A326:U326), Source!$G326, "")</f>
        <v/>
      </c>
      <c r="V326" s="2" t="str">
        <f>IF(Source!$C326&gt;=COLUMNS($A326:V326), Source!$G326, "")</f>
        <v/>
      </c>
      <c r="W326" s="2" t="str">
        <f>IF(Source!$C326&gt;=COLUMNS($A326:W326), Source!$G326, "")</f>
        <v/>
      </c>
      <c r="X326" s="2" t="str">
        <f>IF(Source!$C326&gt;=COLUMNS($A326:X326), Source!$G326, "")</f>
        <v/>
      </c>
      <c r="Y326" s="2" t="str">
        <f>IF(Source!$C326&gt;=COLUMNS($A326:Y326), Source!$G326, "")</f>
        <v/>
      </c>
      <c r="Z326" s="2" t="str">
        <f>IF(Source!$C326&gt;=COLUMNS($A326:Z326), Source!$G326, "")</f>
        <v/>
      </c>
      <c r="AA326" s="2" t="str">
        <f>IF(Source!$C326&gt;=COLUMNS($A326:AA326), Source!$G326, "")</f>
        <v/>
      </c>
      <c r="AB326" s="2" t="str">
        <f>IF(Source!$C326&gt;=COLUMNS($A326:AB326), Source!$G326, "")</f>
        <v/>
      </c>
      <c r="AC326" s="2" t="str">
        <f>IF(Source!$C326&gt;=COLUMNS($A326:AC326), Source!$G326, "")</f>
        <v/>
      </c>
      <c r="AD326" s="2" t="str">
        <f>IF(Source!$C326&gt;=COLUMNS($A326:AD326), Source!$G326, "")</f>
        <v/>
      </c>
      <c r="AE326" s="2" t="str">
        <f>IF(Source!$C326&gt;=COLUMNS($A326:AE326), Source!$G326, "")</f>
        <v/>
      </c>
      <c r="AF326" s="2" t="str">
        <f>IF(Source!$C326&gt;=COLUMNS($A326:AF326), Source!$G326, "")</f>
        <v/>
      </c>
      <c r="AG326" s="2" t="str">
        <f>IF(Source!$C326&gt;=COLUMNS($A326:AG326), Source!$G326, "")</f>
        <v/>
      </c>
      <c r="AH326" s="2" t="str">
        <f>IF(Source!$C326&gt;=COLUMNS($A326:AH326), Source!$G326, "")</f>
        <v/>
      </c>
      <c r="AI326" s="2" t="str">
        <f>IF(Source!$C326&gt;=COLUMNS($A326:AI326), Source!$G326, "")</f>
        <v/>
      </c>
      <c r="AJ326" s="2" t="str">
        <f>IF(Source!$C326&gt;=COLUMNS($A326:AJ326), Source!$G326, "")</f>
        <v/>
      </c>
      <c r="AK326" s="2" t="str">
        <f>IF(Source!$C326&gt;=COLUMNS($A326:AK326), Source!$G326, "")</f>
        <v/>
      </c>
      <c r="AL326" s="2" t="str">
        <f>IF(Source!$C326&gt;=COLUMNS($A326:AL326), Source!$G326, "")</f>
        <v/>
      </c>
      <c r="AM326" s="2" t="str">
        <f>IF(Source!$C326&gt;=COLUMNS($A326:AM326), Source!$G326, "")</f>
        <v/>
      </c>
      <c r="AN326" s="2" t="str">
        <f>IF(Source!$C326&gt;=COLUMNS($A326:AN326), Source!$G326, "")</f>
        <v/>
      </c>
      <c r="AO326" s="2" t="str">
        <f>IF(Source!$C326&gt;=COLUMNS($A326:AO326), Source!$G326, "")</f>
        <v/>
      </c>
      <c r="AP326" s="2" t="str">
        <f>IF(Source!$C326&gt;=COLUMNS($A326:AP326), Source!$G326, "")</f>
        <v/>
      </c>
      <c r="AQ326" s="2" t="str">
        <f>IF(Source!$C326&gt;=COLUMNS($A326:AQ326), Source!$G326, "")</f>
        <v/>
      </c>
      <c r="AR326" s="2" t="str">
        <f>IF(Source!$C326&gt;=COLUMNS($A326:AR326), Source!$G326, "")</f>
        <v/>
      </c>
    </row>
    <row r="327">
      <c r="A327" s="2">
        <f>IF(Source!$C327&gt;=COLUMNS($A327:A327), Source!$G327, "")</f>
        <v>6</v>
      </c>
      <c r="B327" s="2">
        <f>IF(Source!$C327&gt;=COLUMNS($A327:B327), Source!$G327, "")</f>
        <v>6</v>
      </c>
      <c r="C327" s="2" t="str">
        <f>IF(Source!$C327&gt;=COLUMNS($A327:C327), Source!$G327, "")</f>
        <v/>
      </c>
      <c r="D327" s="2" t="str">
        <f>IF(Source!$C327&gt;=COLUMNS($A327:D327), Source!$G327, "")</f>
        <v/>
      </c>
      <c r="E327" s="2" t="str">
        <f>IF(Source!$C327&gt;=COLUMNS($A327:E327), Source!$G327, "")</f>
        <v/>
      </c>
      <c r="F327" s="2" t="str">
        <f>IF(Source!$C327&gt;=COLUMNS($A327:F327), Source!$G327, "")</f>
        <v/>
      </c>
      <c r="G327" s="2" t="str">
        <f>IF(Source!$C327&gt;=COLUMNS($A327:G327), Source!$G327, "")</f>
        <v/>
      </c>
      <c r="H327" s="2" t="str">
        <f>IF(Source!$C327&gt;=COLUMNS($A327:H327), Source!$G327, "")</f>
        <v/>
      </c>
      <c r="I327" s="2" t="str">
        <f>IF(Source!$C327&gt;=COLUMNS($A327:I327), Source!$G327, "")</f>
        <v/>
      </c>
      <c r="J327" s="2" t="str">
        <f>IF(Source!$C327&gt;=COLUMNS($A327:J327), Source!$G327, "")</f>
        <v/>
      </c>
      <c r="K327" s="2" t="str">
        <f>IF(Source!$C327&gt;=COLUMNS($A327:K327), Source!$G327, "")</f>
        <v/>
      </c>
      <c r="L327" s="2" t="str">
        <f>IF(Source!$C327&gt;=COLUMNS($A327:L327), Source!$G327, "")</f>
        <v/>
      </c>
      <c r="M327" s="2" t="str">
        <f>IF(Source!$C327&gt;=COLUMNS($A327:M327), Source!$G327, "")</f>
        <v/>
      </c>
      <c r="N327" s="2" t="str">
        <f>IF(Source!$C327&gt;=COLUMNS($A327:N327), Source!$G327, "")</f>
        <v/>
      </c>
      <c r="O327" s="2" t="str">
        <f>IF(Source!$C327&gt;=COLUMNS($A327:O327), Source!$G327, "")</f>
        <v/>
      </c>
      <c r="P327" s="2" t="str">
        <f>IF(Source!$C327&gt;=COLUMNS($A327:P327), Source!$G327, "")</f>
        <v/>
      </c>
      <c r="Q327" s="2" t="str">
        <f>IF(Source!$C327&gt;=COLUMNS($A327:Q327), Source!$G327, "")</f>
        <v/>
      </c>
      <c r="R327" s="2" t="str">
        <f>IF(Source!$C327&gt;=COLUMNS($A327:R327), Source!$G327, "")</f>
        <v/>
      </c>
      <c r="S327" s="2" t="str">
        <f>IF(Source!$C327&gt;=COLUMNS($A327:S327), Source!$G327, "")</f>
        <v/>
      </c>
      <c r="T327" s="2" t="str">
        <f>IF(Source!$C327&gt;=COLUMNS($A327:T327), Source!$G327, "")</f>
        <v/>
      </c>
      <c r="U327" s="2" t="str">
        <f>IF(Source!$C327&gt;=COLUMNS($A327:U327), Source!$G327, "")</f>
        <v/>
      </c>
      <c r="V327" s="2" t="str">
        <f>IF(Source!$C327&gt;=COLUMNS($A327:V327), Source!$G327, "")</f>
        <v/>
      </c>
      <c r="W327" s="2" t="str">
        <f>IF(Source!$C327&gt;=COLUMNS($A327:W327), Source!$G327, "")</f>
        <v/>
      </c>
      <c r="X327" s="2" t="str">
        <f>IF(Source!$C327&gt;=COLUMNS($A327:X327), Source!$G327, "")</f>
        <v/>
      </c>
      <c r="Y327" s="2" t="str">
        <f>IF(Source!$C327&gt;=COLUMNS($A327:Y327), Source!$G327, "")</f>
        <v/>
      </c>
      <c r="Z327" s="2" t="str">
        <f>IF(Source!$C327&gt;=COLUMNS($A327:Z327), Source!$G327, "")</f>
        <v/>
      </c>
      <c r="AA327" s="2" t="str">
        <f>IF(Source!$C327&gt;=COLUMNS($A327:AA327), Source!$G327, "")</f>
        <v/>
      </c>
      <c r="AB327" s="2" t="str">
        <f>IF(Source!$C327&gt;=COLUMNS($A327:AB327), Source!$G327, "")</f>
        <v/>
      </c>
      <c r="AC327" s="2" t="str">
        <f>IF(Source!$C327&gt;=COLUMNS($A327:AC327), Source!$G327, "")</f>
        <v/>
      </c>
      <c r="AD327" s="2" t="str">
        <f>IF(Source!$C327&gt;=COLUMNS($A327:AD327), Source!$G327, "")</f>
        <v/>
      </c>
      <c r="AE327" s="2" t="str">
        <f>IF(Source!$C327&gt;=COLUMNS($A327:AE327), Source!$G327, "")</f>
        <v/>
      </c>
      <c r="AF327" s="2" t="str">
        <f>IF(Source!$C327&gt;=COLUMNS($A327:AF327), Source!$G327, "")</f>
        <v/>
      </c>
      <c r="AG327" s="2" t="str">
        <f>IF(Source!$C327&gt;=COLUMNS($A327:AG327), Source!$G327, "")</f>
        <v/>
      </c>
      <c r="AH327" s="2" t="str">
        <f>IF(Source!$C327&gt;=COLUMNS($A327:AH327), Source!$G327, "")</f>
        <v/>
      </c>
      <c r="AI327" s="2" t="str">
        <f>IF(Source!$C327&gt;=COLUMNS($A327:AI327), Source!$G327, "")</f>
        <v/>
      </c>
      <c r="AJ327" s="2" t="str">
        <f>IF(Source!$C327&gt;=COLUMNS($A327:AJ327), Source!$G327, "")</f>
        <v/>
      </c>
      <c r="AK327" s="2" t="str">
        <f>IF(Source!$C327&gt;=COLUMNS($A327:AK327), Source!$G327, "")</f>
        <v/>
      </c>
      <c r="AL327" s="2" t="str">
        <f>IF(Source!$C327&gt;=COLUMNS($A327:AL327), Source!$G327, "")</f>
        <v/>
      </c>
      <c r="AM327" s="2" t="str">
        <f>IF(Source!$C327&gt;=COLUMNS($A327:AM327), Source!$G327, "")</f>
        <v/>
      </c>
      <c r="AN327" s="2" t="str">
        <f>IF(Source!$C327&gt;=COLUMNS($A327:AN327), Source!$G327, "")</f>
        <v/>
      </c>
      <c r="AO327" s="2" t="str">
        <f>IF(Source!$C327&gt;=COLUMNS($A327:AO327), Source!$G327, "")</f>
        <v/>
      </c>
      <c r="AP327" s="2" t="str">
        <f>IF(Source!$C327&gt;=COLUMNS($A327:AP327), Source!$G327, "")</f>
        <v/>
      </c>
      <c r="AQ327" s="2" t="str">
        <f>IF(Source!$C327&gt;=COLUMNS($A327:AQ327), Source!$G327, "")</f>
        <v/>
      </c>
      <c r="AR327" s="2" t="str">
        <f>IF(Source!$C327&gt;=COLUMNS($A327:AR327), Source!$G327, "")</f>
        <v/>
      </c>
    </row>
    <row r="328">
      <c r="A328" s="2">
        <f>IF(Source!$C328&gt;=COLUMNS($A328:A328), Source!$G328, "")</f>
        <v>2</v>
      </c>
      <c r="B328" s="2" t="str">
        <f>IF(Source!$C328&gt;=COLUMNS($A328:B328), Source!$G328, "")</f>
        <v/>
      </c>
      <c r="C328" s="2" t="str">
        <f>IF(Source!$C328&gt;=COLUMNS($A328:C328), Source!$G328, "")</f>
        <v/>
      </c>
      <c r="D328" s="2" t="str">
        <f>IF(Source!$C328&gt;=COLUMNS($A328:D328), Source!$G328, "")</f>
        <v/>
      </c>
      <c r="E328" s="2" t="str">
        <f>IF(Source!$C328&gt;=COLUMNS($A328:E328), Source!$G328, "")</f>
        <v/>
      </c>
      <c r="F328" s="2" t="str">
        <f>IF(Source!$C328&gt;=COLUMNS($A328:F328), Source!$G328, "")</f>
        <v/>
      </c>
      <c r="G328" s="2" t="str">
        <f>IF(Source!$C328&gt;=COLUMNS($A328:G328), Source!$G328, "")</f>
        <v/>
      </c>
      <c r="H328" s="2" t="str">
        <f>IF(Source!$C328&gt;=COLUMNS($A328:H328), Source!$G328, "")</f>
        <v/>
      </c>
      <c r="I328" s="2" t="str">
        <f>IF(Source!$C328&gt;=COLUMNS($A328:I328), Source!$G328, "")</f>
        <v/>
      </c>
      <c r="J328" s="2" t="str">
        <f>IF(Source!$C328&gt;=COLUMNS($A328:J328), Source!$G328, "")</f>
        <v/>
      </c>
      <c r="K328" s="2" t="str">
        <f>IF(Source!$C328&gt;=COLUMNS($A328:K328), Source!$G328, "")</f>
        <v/>
      </c>
      <c r="L328" s="2" t="str">
        <f>IF(Source!$C328&gt;=COLUMNS($A328:L328), Source!$G328, "")</f>
        <v/>
      </c>
      <c r="M328" s="2" t="str">
        <f>IF(Source!$C328&gt;=COLUMNS($A328:M328), Source!$G328, "")</f>
        <v/>
      </c>
      <c r="N328" s="2" t="str">
        <f>IF(Source!$C328&gt;=COLUMNS($A328:N328), Source!$G328, "")</f>
        <v/>
      </c>
      <c r="O328" s="2" t="str">
        <f>IF(Source!$C328&gt;=COLUMNS($A328:O328), Source!$G328, "")</f>
        <v/>
      </c>
      <c r="P328" s="2" t="str">
        <f>IF(Source!$C328&gt;=COLUMNS($A328:P328), Source!$G328, "")</f>
        <v/>
      </c>
      <c r="Q328" s="2" t="str">
        <f>IF(Source!$C328&gt;=COLUMNS($A328:Q328), Source!$G328, "")</f>
        <v/>
      </c>
      <c r="R328" s="2" t="str">
        <f>IF(Source!$C328&gt;=COLUMNS($A328:R328), Source!$G328, "")</f>
        <v/>
      </c>
      <c r="S328" s="2" t="str">
        <f>IF(Source!$C328&gt;=COLUMNS($A328:S328), Source!$G328, "")</f>
        <v/>
      </c>
      <c r="T328" s="2" t="str">
        <f>IF(Source!$C328&gt;=COLUMNS($A328:T328), Source!$G328, "")</f>
        <v/>
      </c>
      <c r="U328" s="2" t="str">
        <f>IF(Source!$C328&gt;=COLUMNS($A328:U328), Source!$G328, "")</f>
        <v/>
      </c>
      <c r="V328" s="2" t="str">
        <f>IF(Source!$C328&gt;=COLUMNS($A328:V328), Source!$G328, "")</f>
        <v/>
      </c>
      <c r="W328" s="2" t="str">
        <f>IF(Source!$C328&gt;=COLUMNS($A328:W328), Source!$G328, "")</f>
        <v/>
      </c>
      <c r="X328" s="2" t="str">
        <f>IF(Source!$C328&gt;=COLUMNS($A328:X328), Source!$G328, "")</f>
        <v/>
      </c>
      <c r="Y328" s="2" t="str">
        <f>IF(Source!$C328&gt;=COLUMNS($A328:Y328), Source!$G328, "")</f>
        <v/>
      </c>
      <c r="Z328" s="2" t="str">
        <f>IF(Source!$C328&gt;=COLUMNS($A328:Z328), Source!$G328, "")</f>
        <v/>
      </c>
      <c r="AA328" s="2" t="str">
        <f>IF(Source!$C328&gt;=COLUMNS($A328:AA328), Source!$G328, "")</f>
        <v/>
      </c>
      <c r="AB328" s="2" t="str">
        <f>IF(Source!$C328&gt;=COLUMNS($A328:AB328), Source!$G328, "")</f>
        <v/>
      </c>
      <c r="AC328" s="2" t="str">
        <f>IF(Source!$C328&gt;=COLUMNS($A328:AC328), Source!$G328, "")</f>
        <v/>
      </c>
      <c r="AD328" s="2" t="str">
        <f>IF(Source!$C328&gt;=COLUMNS($A328:AD328), Source!$G328, "")</f>
        <v/>
      </c>
      <c r="AE328" s="2" t="str">
        <f>IF(Source!$C328&gt;=COLUMNS($A328:AE328), Source!$G328, "")</f>
        <v/>
      </c>
      <c r="AF328" s="2" t="str">
        <f>IF(Source!$C328&gt;=COLUMNS($A328:AF328), Source!$G328, "")</f>
        <v/>
      </c>
      <c r="AG328" s="2" t="str">
        <f>IF(Source!$C328&gt;=COLUMNS($A328:AG328), Source!$G328, "")</f>
        <v/>
      </c>
      <c r="AH328" s="2" t="str">
        <f>IF(Source!$C328&gt;=COLUMNS($A328:AH328), Source!$G328, "")</f>
        <v/>
      </c>
      <c r="AI328" s="2" t="str">
        <f>IF(Source!$C328&gt;=COLUMNS($A328:AI328), Source!$G328, "")</f>
        <v/>
      </c>
      <c r="AJ328" s="2" t="str">
        <f>IF(Source!$C328&gt;=COLUMNS($A328:AJ328), Source!$G328, "")</f>
        <v/>
      </c>
      <c r="AK328" s="2" t="str">
        <f>IF(Source!$C328&gt;=COLUMNS($A328:AK328), Source!$G328, "")</f>
        <v/>
      </c>
      <c r="AL328" s="2" t="str">
        <f>IF(Source!$C328&gt;=COLUMNS($A328:AL328), Source!$G328, "")</f>
        <v/>
      </c>
      <c r="AM328" s="2" t="str">
        <f>IF(Source!$C328&gt;=COLUMNS($A328:AM328), Source!$G328, "")</f>
        <v/>
      </c>
      <c r="AN328" s="2" t="str">
        <f>IF(Source!$C328&gt;=COLUMNS($A328:AN328), Source!$G328, "")</f>
        <v/>
      </c>
      <c r="AO328" s="2" t="str">
        <f>IF(Source!$C328&gt;=COLUMNS($A328:AO328), Source!$G328, "")</f>
        <v/>
      </c>
      <c r="AP328" s="2" t="str">
        <f>IF(Source!$C328&gt;=COLUMNS($A328:AP328), Source!$G328, "")</f>
        <v/>
      </c>
      <c r="AQ328" s="2" t="str">
        <f>IF(Source!$C328&gt;=COLUMNS($A328:AQ328), Source!$G328, "")</f>
        <v/>
      </c>
      <c r="AR328" s="2" t="str">
        <f>IF(Source!$C328&gt;=COLUMNS($A328:AR328), Source!$G328, "")</f>
        <v/>
      </c>
    </row>
    <row r="329">
      <c r="A329" s="2">
        <f>IF(Source!$C329&gt;=COLUMNS($A329:A329), Source!$G329, "")</f>
        <v>1</v>
      </c>
      <c r="B329" s="2">
        <f>IF(Source!$C329&gt;=COLUMNS($A329:B329), Source!$G329, "")</f>
        <v>1</v>
      </c>
      <c r="C329" s="2">
        <f>IF(Source!$C329&gt;=COLUMNS($A329:C329), Source!$G329, "")</f>
        <v>1</v>
      </c>
      <c r="D329" s="2">
        <f>IF(Source!$C329&gt;=COLUMNS($A329:D329), Source!$G329, "")</f>
        <v>1</v>
      </c>
      <c r="E329" s="2">
        <f>IF(Source!$C329&gt;=COLUMNS($A329:E329), Source!$G329, "")</f>
        <v>1</v>
      </c>
      <c r="F329" s="2">
        <f>IF(Source!$C329&gt;=COLUMNS($A329:F329), Source!$G329, "")</f>
        <v>1</v>
      </c>
      <c r="G329" s="2">
        <f>IF(Source!$C329&gt;=COLUMNS($A329:G329), Source!$G329, "")</f>
        <v>1</v>
      </c>
      <c r="H329" s="2">
        <f>IF(Source!$C329&gt;=COLUMNS($A329:H329), Source!$G329, "")</f>
        <v>1</v>
      </c>
      <c r="I329" s="2">
        <f>IF(Source!$C329&gt;=COLUMNS($A329:I329), Source!$G329, "")</f>
        <v>1</v>
      </c>
      <c r="J329" s="2">
        <f>IF(Source!$C329&gt;=COLUMNS($A329:J329), Source!$G329, "")</f>
        <v>1</v>
      </c>
      <c r="K329" s="2">
        <f>IF(Source!$C329&gt;=COLUMNS($A329:K329), Source!$G329, "")</f>
        <v>1</v>
      </c>
      <c r="L329" s="2">
        <f>IF(Source!$C329&gt;=COLUMNS($A329:L329), Source!$G329, "")</f>
        <v>1</v>
      </c>
      <c r="M329" s="2">
        <f>IF(Source!$C329&gt;=COLUMNS($A329:M329), Source!$G329, "")</f>
        <v>1</v>
      </c>
      <c r="N329" s="2">
        <f>IF(Source!$C329&gt;=COLUMNS($A329:N329), Source!$G329, "")</f>
        <v>1</v>
      </c>
      <c r="O329" s="2">
        <f>IF(Source!$C329&gt;=COLUMNS($A329:O329), Source!$G329, "")</f>
        <v>1</v>
      </c>
      <c r="P329" s="2">
        <f>IF(Source!$C329&gt;=COLUMNS($A329:P329), Source!$G329, "")</f>
        <v>1</v>
      </c>
      <c r="Q329" s="2">
        <f>IF(Source!$C329&gt;=COLUMNS($A329:Q329), Source!$G329, "")</f>
        <v>1</v>
      </c>
      <c r="R329" s="2">
        <f>IF(Source!$C329&gt;=COLUMNS($A329:R329), Source!$G329, "")</f>
        <v>1</v>
      </c>
      <c r="S329" s="2">
        <f>IF(Source!$C329&gt;=COLUMNS($A329:S329), Source!$G329, "")</f>
        <v>1</v>
      </c>
      <c r="T329" s="2">
        <f>IF(Source!$C329&gt;=COLUMNS($A329:T329), Source!$G329, "")</f>
        <v>1</v>
      </c>
      <c r="U329" s="2">
        <f>IF(Source!$C329&gt;=COLUMNS($A329:U329), Source!$G329, "")</f>
        <v>1</v>
      </c>
      <c r="V329" s="2">
        <f>IF(Source!$C329&gt;=COLUMNS($A329:V329), Source!$G329, "")</f>
        <v>1</v>
      </c>
      <c r="W329" s="2">
        <f>IF(Source!$C329&gt;=COLUMNS($A329:W329), Source!$G329, "")</f>
        <v>1</v>
      </c>
      <c r="X329" s="2">
        <f>IF(Source!$C329&gt;=COLUMNS($A329:X329), Source!$G329, "")</f>
        <v>1</v>
      </c>
      <c r="Y329" s="2">
        <f>IF(Source!$C329&gt;=COLUMNS($A329:Y329), Source!$G329, "")</f>
        <v>1</v>
      </c>
      <c r="Z329" s="2">
        <f>IF(Source!$C329&gt;=COLUMNS($A329:Z329), Source!$G329, "")</f>
        <v>1</v>
      </c>
      <c r="AA329" s="2">
        <f>IF(Source!$C329&gt;=COLUMNS($A329:AA329), Source!$G329, "")</f>
        <v>1</v>
      </c>
      <c r="AB329" s="2">
        <f>IF(Source!$C329&gt;=COLUMNS($A329:AB329), Source!$G329, "")</f>
        <v>1</v>
      </c>
      <c r="AC329" s="2" t="str">
        <f>IF(Source!$C329&gt;=COLUMNS($A329:AC329), Source!$G329, "")</f>
        <v/>
      </c>
      <c r="AD329" s="2" t="str">
        <f>IF(Source!$C329&gt;=COLUMNS($A329:AD329), Source!$G329, "")</f>
        <v/>
      </c>
      <c r="AE329" s="2" t="str">
        <f>IF(Source!$C329&gt;=COLUMNS($A329:AE329), Source!$G329, "")</f>
        <v/>
      </c>
      <c r="AF329" s="2" t="str">
        <f>IF(Source!$C329&gt;=COLUMNS($A329:AF329), Source!$G329, "")</f>
        <v/>
      </c>
      <c r="AG329" s="2" t="str">
        <f>IF(Source!$C329&gt;=COLUMNS($A329:AG329), Source!$G329, "")</f>
        <v/>
      </c>
      <c r="AH329" s="2" t="str">
        <f>IF(Source!$C329&gt;=COLUMNS($A329:AH329), Source!$G329, "")</f>
        <v/>
      </c>
      <c r="AI329" s="2" t="str">
        <f>IF(Source!$C329&gt;=COLUMNS($A329:AI329), Source!$G329, "")</f>
        <v/>
      </c>
      <c r="AJ329" s="2" t="str">
        <f>IF(Source!$C329&gt;=COLUMNS($A329:AJ329), Source!$G329, "")</f>
        <v/>
      </c>
      <c r="AK329" s="2" t="str">
        <f>IF(Source!$C329&gt;=COLUMNS($A329:AK329), Source!$G329, "")</f>
        <v/>
      </c>
      <c r="AL329" s="2" t="str">
        <f>IF(Source!$C329&gt;=COLUMNS($A329:AL329), Source!$G329, "")</f>
        <v/>
      </c>
      <c r="AM329" s="2" t="str">
        <f>IF(Source!$C329&gt;=COLUMNS($A329:AM329), Source!$G329, "")</f>
        <v/>
      </c>
      <c r="AN329" s="2" t="str">
        <f>IF(Source!$C329&gt;=COLUMNS($A329:AN329), Source!$G329, "")</f>
        <v/>
      </c>
      <c r="AO329" s="2" t="str">
        <f>IF(Source!$C329&gt;=COLUMNS($A329:AO329), Source!$G329, "")</f>
        <v/>
      </c>
      <c r="AP329" s="2" t="str">
        <f>IF(Source!$C329&gt;=COLUMNS($A329:AP329), Source!$G329, "")</f>
        <v/>
      </c>
      <c r="AQ329" s="2" t="str">
        <f>IF(Source!$C329&gt;=COLUMNS($A329:AQ329), Source!$G329, "")</f>
        <v/>
      </c>
      <c r="AR329" s="2" t="str">
        <f>IF(Source!$C329&gt;=COLUMNS($A329:AR329), Source!$G329, "")</f>
        <v/>
      </c>
    </row>
    <row r="330">
      <c r="A330" s="2">
        <f>IF(Source!$C330&gt;=COLUMNS($A330:A330), Source!$G330, "")</f>
        <v>2</v>
      </c>
      <c r="B330" s="2">
        <f>IF(Source!$C330&gt;=COLUMNS($A330:B330), Source!$G330, "")</f>
        <v>2</v>
      </c>
      <c r="C330" s="2">
        <f>IF(Source!$C330&gt;=COLUMNS($A330:C330), Source!$G330, "")</f>
        <v>2</v>
      </c>
      <c r="D330" s="2">
        <f>IF(Source!$C330&gt;=COLUMNS($A330:D330), Source!$G330, "")</f>
        <v>2</v>
      </c>
      <c r="E330" s="2">
        <f>IF(Source!$C330&gt;=COLUMNS($A330:E330), Source!$G330, "")</f>
        <v>2</v>
      </c>
      <c r="F330" s="2">
        <f>IF(Source!$C330&gt;=COLUMNS($A330:F330), Source!$G330, "")</f>
        <v>2</v>
      </c>
      <c r="G330" s="2">
        <f>IF(Source!$C330&gt;=COLUMNS($A330:G330), Source!$G330, "")</f>
        <v>2</v>
      </c>
      <c r="H330" s="2">
        <f>IF(Source!$C330&gt;=COLUMNS($A330:H330), Source!$G330, "")</f>
        <v>2</v>
      </c>
      <c r="I330" s="2">
        <f>IF(Source!$C330&gt;=COLUMNS($A330:I330), Source!$G330, "")</f>
        <v>2</v>
      </c>
      <c r="J330" s="2">
        <f>IF(Source!$C330&gt;=COLUMNS($A330:J330), Source!$G330, "")</f>
        <v>2</v>
      </c>
      <c r="K330" s="2">
        <f>IF(Source!$C330&gt;=COLUMNS($A330:K330), Source!$G330, "")</f>
        <v>2</v>
      </c>
      <c r="L330" s="2" t="str">
        <f>IF(Source!$C330&gt;=COLUMNS($A330:L330), Source!$G330, "")</f>
        <v/>
      </c>
      <c r="M330" s="2" t="str">
        <f>IF(Source!$C330&gt;=COLUMNS($A330:M330), Source!$G330, "")</f>
        <v/>
      </c>
      <c r="N330" s="2" t="str">
        <f>IF(Source!$C330&gt;=COLUMNS($A330:N330), Source!$G330, "")</f>
        <v/>
      </c>
      <c r="O330" s="2" t="str">
        <f>IF(Source!$C330&gt;=COLUMNS($A330:O330), Source!$G330, "")</f>
        <v/>
      </c>
      <c r="P330" s="2" t="str">
        <f>IF(Source!$C330&gt;=COLUMNS($A330:P330), Source!$G330, "")</f>
        <v/>
      </c>
      <c r="Q330" s="2" t="str">
        <f>IF(Source!$C330&gt;=COLUMNS($A330:Q330), Source!$G330, "")</f>
        <v/>
      </c>
      <c r="R330" s="2" t="str">
        <f>IF(Source!$C330&gt;=COLUMNS($A330:R330), Source!$G330, "")</f>
        <v/>
      </c>
      <c r="S330" s="2" t="str">
        <f>IF(Source!$C330&gt;=COLUMNS($A330:S330), Source!$G330, "")</f>
        <v/>
      </c>
      <c r="T330" s="2" t="str">
        <f>IF(Source!$C330&gt;=COLUMNS($A330:T330), Source!$G330, "")</f>
        <v/>
      </c>
      <c r="U330" s="2" t="str">
        <f>IF(Source!$C330&gt;=COLUMNS($A330:U330), Source!$G330, "")</f>
        <v/>
      </c>
      <c r="V330" s="2" t="str">
        <f>IF(Source!$C330&gt;=COLUMNS($A330:V330), Source!$G330, "")</f>
        <v/>
      </c>
      <c r="W330" s="2" t="str">
        <f>IF(Source!$C330&gt;=COLUMNS($A330:W330), Source!$G330, "")</f>
        <v/>
      </c>
      <c r="X330" s="2" t="str">
        <f>IF(Source!$C330&gt;=COLUMNS($A330:X330), Source!$G330, "")</f>
        <v/>
      </c>
      <c r="Y330" s="2" t="str">
        <f>IF(Source!$C330&gt;=COLUMNS($A330:Y330), Source!$G330, "")</f>
        <v/>
      </c>
      <c r="Z330" s="2" t="str">
        <f>IF(Source!$C330&gt;=COLUMNS($A330:Z330), Source!$G330, "")</f>
        <v/>
      </c>
      <c r="AA330" s="2" t="str">
        <f>IF(Source!$C330&gt;=COLUMNS($A330:AA330), Source!$G330, "")</f>
        <v/>
      </c>
      <c r="AB330" s="2" t="str">
        <f>IF(Source!$C330&gt;=COLUMNS($A330:AB330), Source!$G330, "")</f>
        <v/>
      </c>
      <c r="AC330" s="2" t="str">
        <f>IF(Source!$C330&gt;=COLUMNS($A330:AC330), Source!$G330, "")</f>
        <v/>
      </c>
      <c r="AD330" s="2" t="str">
        <f>IF(Source!$C330&gt;=COLUMNS($A330:AD330), Source!$G330, "")</f>
        <v/>
      </c>
      <c r="AE330" s="2" t="str">
        <f>IF(Source!$C330&gt;=COLUMNS($A330:AE330), Source!$G330, "")</f>
        <v/>
      </c>
      <c r="AF330" s="2" t="str">
        <f>IF(Source!$C330&gt;=COLUMNS($A330:AF330), Source!$G330, "")</f>
        <v/>
      </c>
      <c r="AG330" s="2" t="str">
        <f>IF(Source!$C330&gt;=COLUMNS($A330:AG330), Source!$G330, "")</f>
        <v/>
      </c>
      <c r="AH330" s="2" t="str">
        <f>IF(Source!$C330&gt;=COLUMNS($A330:AH330), Source!$G330, "")</f>
        <v/>
      </c>
      <c r="AI330" s="2" t="str">
        <f>IF(Source!$C330&gt;=COLUMNS($A330:AI330), Source!$G330, "")</f>
        <v/>
      </c>
      <c r="AJ330" s="2" t="str">
        <f>IF(Source!$C330&gt;=COLUMNS($A330:AJ330), Source!$G330, "")</f>
        <v/>
      </c>
      <c r="AK330" s="2" t="str">
        <f>IF(Source!$C330&gt;=COLUMNS($A330:AK330), Source!$G330, "")</f>
        <v/>
      </c>
      <c r="AL330" s="2" t="str">
        <f>IF(Source!$C330&gt;=COLUMNS($A330:AL330), Source!$G330, "")</f>
        <v/>
      </c>
      <c r="AM330" s="2" t="str">
        <f>IF(Source!$C330&gt;=COLUMNS($A330:AM330), Source!$G330, "")</f>
        <v/>
      </c>
      <c r="AN330" s="2" t="str">
        <f>IF(Source!$C330&gt;=COLUMNS($A330:AN330), Source!$G330, "")</f>
        <v/>
      </c>
      <c r="AO330" s="2" t="str">
        <f>IF(Source!$C330&gt;=COLUMNS($A330:AO330), Source!$G330, "")</f>
        <v/>
      </c>
      <c r="AP330" s="2" t="str">
        <f>IF(Source!$C330&gt;=COLUMNS($A330:AP330), Source!$G330, "")</f>
        <v/>
      </c>
      <c r="AQ330" s="2" t="str">
        <f>IF(Source!$C330&gt;=COLUMNS($A330:AQ330), Source!$G330, "")</f>
        <v/>
      </c>
      <c r="AR330" s="2" t="str">
        <f>IF(Source!$C330&gt;=COLUMNS($A330:AR330), Source!$G330, "")</f>
        <v/>
      </c>
    </row>
    <row r="331">
      <c r="A331" s="2">
        <f>IF(Source!$C331&gt;=COLUMNS($A331:A331), Source!$G331, "")</f>
        <v>7</v>
      </c>
      <c r="B331" s="2">
        <f>IF(Source!$C331&gt;=COLUMNS($A331:B331), Source!$G331, "")</f>
        <v>7</v>
      </c>
      <c r="C331" s="2">
        <f>IF(Source!$C331&gt;=COLUMNS($A331:C331), Source!$G331, "")</f>
        <v>7</v>
      </c>
      <c r="D331" s="2">
        <f>IF(Source!$C331&gt;=COLUMNS($A331:D331), Source!$G331, "")</f>
        <v>7</v>
      </c>
      <c r="E331" s="2">
        <f>IF(Source!$C331&gt;=COLUMNS($A331:E331), Source!$G331, "")</f>
        <v>7</v>
      </c>
      <c r="F331" s="2">
        <f>IF(Source!$C331&gt;=COLUMNS($A331:F331), Source!$G331, "")</f>
        <v>7</v>
      </c>
      <c r="G331" s="2">
        <f>IF(Source!$C331&gt;=COLUMNS($A331:G331), Source!$G331, "")</f>
        <v>7</v>
      </c>
      <c r="H331" s="2">
        <f>IF(Source!$C331&gt;=COLUMNS($A331:H331), Source!$G331, "")</f>
        <v>7</v>
      </c>
      <c r="I331" s="2" t="str">
        <f>IF(Source!$C331&gt;=COLUMNS($A331:I331), Source!$G331, "")</f>
        <v/>
      </c>
      <c r="J331" s="2" t="str">
        <f>IF(Source!$C331&gt;=COLUMNS($A331:J331), Source!$G331, "")</f>
        <v/>
      </c>
      <c r="K331" s="2" t="str">
        <f>IF(Source!$C331&gt;=COLUMNS($A331:K331), Source!$G331, "")</f>
        <v/>
      </c>
      <c r="L331" s="2" t="str">
        <f>IF(Source!$C331&gt;=COLUMNS($A331:L331), Source!$G331, "")</f>
        <v/>
      </c>
      <c r="M331" s="2" t="str">
        <f>IF(Source!$C331&gt;=COLUMNS($A331:M331), Source!$G331, "")</f>
        <v/>
      </c>
      <c r="N331" s="2" t="str">
        <f>IF(Source!$C331&gt;=COLUMNS($A331:N331), Source!$G331, "")</f>
        <v/>
      </c>
      <c r="O331" s="2" t="str">
        <f>IF(Source!$C331&gt;=COLUMNS($A331:O331), Source!$G331, "")</f>
        <v/>
      </c>
      <c r="P331" s="2" t="str">
        <f>IF(Source!$C331&gt;=COLUMNS($A331:P331), Source!$G331, "")</f>
        <v/>
      </c>
      <c r="Q331" s="2" t="str">
        <f>IF(Source!$C331&gt;=COLUMNS($A331:Q331), Source!$G331, "")</f>
        <v/>
      </c>
      <c r="R331" s="2" t="str">
        <f>IF(Source!$C331&gt;=COLUMNS($A331:R331), Source!$G331, "")</f>
        <v/>
      </c>
      <c r="S331" s="2" t="str">
        <f>IF(Source!$C331&gt;=COLUMNS($A331:S331), Source!$G331, "")</f>
        <v/>
      </c>
      <c r="T331" s="2" t="str">
        <f>IF(Source!$C331&gt;=COLUMNS($A331:T331), Source!$G331, "")</f>
        <v/>
      </c>
      <c r="U331" s="2" t="str">
        <f>IF(Source!$C331&gt;=COLUMNS($A331:U331), Source!$G331, "")</f>
        <v/>
      </c>
      <c r="V331" s="2" t="str">
        <f>IF(Source!$C331&gt;=COLUMNS($A331:V331), Source!$G331, "")</f>
        <v/>
      </c>
      <c r="W331" s="2" t="str">
        <f>IF(Source!$C331&gt;=COLUMNS($A331:W331), Source!$G331, "")</f>
        <v/>
      </c>
      <c r="X331" s="2" t="str">
        <f>IF(Source!$C331&gt;=COLUMNS($A331:X331), Source!$G331, "")</f>
        <v/>
      </c>
      <c r="Y331" s="2" t="str">
        <f>IF(Source!$C331&gt;=COLUMNS($A331:Y331), Source!$G331, "")</f>
        <v/>
      </c>
      <c r="Z331" s="2" t="str">
        <f>IF(Source!$C331&gt;=COLUMNS($A331:Z331), Source!$G331, "")</f>
        <v/>
      </c>
      <c r="AA331" s="2" t="str">
        <f>IF(Source!$C331&gt;=COLUMNS($A331:AA331), Source!$G331, "")</f>
        <v/>
      </c>
      <c r="AB331" s="2" t="str">
        <f>IF(Source!$C331&gt;=COLUMNS($A331:AB331), Source!$G331, "")</f>
        <v/>
      </c>
      <c r="AC331" s="2" t="str">
        <f>IF(Source!$C331&gt;=COLUMNS($A331:AC331), Source!$G331, "")</f>
        <v/>
      </c>
      <c r="AD331" s="2" t="str">
        <f>IF(Source!$C331&gt;=COLUMNS($A331:AD331), Source!$G331, "")</f>
        <v/>
      </c>
      <c r="AE331" s="2" t="str">
        <f>IF(Source!$C331&gt;=COLUMNS($A331:AE331), Source!$G331, "")</f>
        <v/>
      </c>
      <c r="AF331" s="2" t="str">
        <f>IF(Source!$C331&gt;=COLUMNS($A331:AF331), Source!$G331, "")</f>
        <v/>
      </c>
      <c r="AG331" s="2" t="str">
        <f>IF(Source!$C331&gt;=COLUMNS($A331:AG331), Source!$G331, "")</f>
        <v/>
      </c>
      <c r="AH331" s="2" t="str">
        <f>IF(Source!$C331&gt;=COLUMNS($A331:AH331), Source!$G331, "")</f>
        <v/>
      </c>
      <c r="AI331" s="2" t="str">
        <f>IF(Source!$C331&gt;=COLUMNS($A331:AI331), Source!$G331, "")</f>
        <v/>
      </c>
      <c r="AJ331" s="2" t="str">
        <f>IF(Source!$C331&gt;=COLUMNS($A331:AJ331), Source!$G331, "")</f>
        <v/>
      </c>
      <c r="AK331" s="2" t="str">
        <f>IF(Source!$C331&gt;=COLUMNS($A331:AK331), Source!$G331, "")</f>
        <v/>
      </c>
      <c r="AL331" s="2" t="str">
        <f>IF(Source!$C331&gt;=COLUMNS($A331:AL331), Source!$G331, "")</f>
        <v/>
      </c>
      <c r="AM331" s="2" t="str">
        <f>IF(Source!$C331&gt;=COLUMNS($A331:AM331), Source!$G331, "")</f>
        <v/>
      </c>
      <c r="AN331" s="2" t="str">
        <f>IF(Source!$C331&gt;=COLUMNS($A331:AN331), Source!$G331, "")</f>
        <v/>
      </c>
      <c r="AO331" s="2" t="str">
        <f>IF(Source!$C331&gt;=COLUMNS($A331:AO331), Source!$G331, "")</f>
        <v/>
      </c>
      <c r="AP331" s="2" t="str">
        <f>IF(Source!$C331&gt;=COLUMNS($A331:AP331), Source!$G331, "")</f>
        <v/>
      </c>
      <c r="AQ331" s="2" t="str">
        <f>IF(Source!$C331&gt;=COLUMNS($A331:AQ331), Source!$G331, "")</f>
        <v/>
      </c>
      <c r="AR331" s="2" t="str">
        <f>IF(Source!$C331&gt;=COLUMNS($A331:AR331), Source!$G331, "")</f>
        <v/>
      </c>
    </row>
    <row r="332">
      <c r="A332" s="2">
        <f>IF(Source!$C332&gt;=COLUMNS($A332:A332), Source!$G332, "")</f>
        <v>4</v>
      </c>
      <c r="B332" s="2">
        <f>IF(Source!$C332&gt;=COLUMNS($A332:B332), Source!$G332, "")</f>
        <v>4</v>
      </c>
      <c r="C332" s="2">
        <f>IF(Source!$C332&gt;=COLUMNS($A332:C332), Source!$G332, "")</f>
        <v>4</v>
      </c>
      <c r="D332" s="2">
        <f>IF(Source!$C332&gt;=COLUMNS($A332:D332), Source!$G332, "")</f>
        <v>4</v>
      </c>
      <c r="E332" s="2" t="str">
        <f>IF(Source!$C332&gt;=COLUMNS($A332:E332), Source!$G332, "")</f>
        <v/>
      </c>
      <c r="F332" s="2" t="str">
        <f>IF(Source!$C332&gt;=COLUMNS($A332:F332), Source!$G332, "")</f>
        <v/>
      </c>
      <c r="G332" s="2" t="str">
        <f>IF(Source!$C332&gt;=COLUMNS($A332:G332), Source!$G332, "")</f>
        <v/>
      </c>
      <c r="H332" s="2" t="str">
        <f>IF(Source!$C332&gt;=COLUMNS($A332:H332), Source!$G332, "")</f>
        <v/>
      </c>
      <c r="I332" s="2" t="str">
        <f>IF(Source!$C332&gt;=COLUMNS($A332:I332), Source!$G332, "")</f>
        <v/>
      </c>
      <c r="J332" s="2" t="str">
        <f>IF(Source!$C332&gt;=COLUMNS($A332:J332), Source!$G332, "")</f>
        <v/>
      </c>
      <c r="K332" s="2" t="str">
        <f>IF(Source!$C332&gt;=COLUMNS($A332:K332), Source!$G332, "")</f>
        <v/>
      </c>
      <c r="L332" s="2" t="str">
        <f>IF(Source!$C332&gt;=COLUMNS($A332:L332), Source!$G332, "")</f>
        <v/>
      </c>
      <c r="M332" s="2" t="str">
        <f>IF(Source!$C332&gt;=COLUMNS($A332:M332), Source!$G332, "")</f>
        <v/>
      </c>
      <c r="N332" s="2" t="str">
        <f>IF(Source!$C332&gt;=COLUMNS($A332:N332), Source!$G332, "")</f>
        <v/>
      </c>
      <c r="O332" s="2" t="str">
        <f>IF(Source!$C332&gt;=COLUMNS($A332:O332), Source!$G332, "")</f>
        <v/>
      </c>
      <c r="P332" s="2" t="str">
        <f>IF(Source!$C332&gt;=COLUMNS($A332:P332), Source!$G332, "")</f>
        <v/>
      </c>
      <c r="Q332" s="2" t="str">
        <f>IF(Source!$C332&gt;=COLUMNS($A332:Q332), Source!$G332, "")</f>
        <v/>
      </c>
      <c r="R332" s="2" t="str">
        <f>IF(Source!$C332&gt;=COLUMNS($A332:R332), Source!$G332, "")</f>
        <v/>
      </c>
      <c r="S332" s="2" t="str">
        <f>IF(Source!$C332&gt;=COLUMNS($A332:S332), Source!$G332, "")</f>
        <v/>
      </c>
      <c r="T332" s="2" t="str">
        <f>IF(Source!$C332&gt;=COLUMNS($A332:T332), Source!$G332, "")</f>
        <v/>
      </c>
      <c r="U332" s="2" t="str">
        <f>IF(Source!$C332&gt;=COLUMNS($A332:U332), Source!$G332, "")</f>
        <v/>
      </c>
      <c r="V332" s="2" t="str">
        <f>IF(Source!$C332&gt;=COLUMNS($A332:V332), Source!$G332, "")</f>
        <v/>
      </c>
      <c r="W332" s="2" t="str">
        <f>IF(Source!$C332&gt;=COLUMNS($A332:W332), Source!$G332, "")</f>
        <v/>
      </c>
      <c r="X332" s="2" t="str">
        <f>IF(Source!$C332&gt;=COLUMNS($A332:X332), Source!$G332, "")</f>
        <v/>
      </c>
      <c r="Y332" s="2" t="str">
        <f>IF(Source!$C332&gt;=COLUMNS($A332:Y332), Source!$G332, "")</f>
        <v/>
      </c>
      <c r="Z332" s="2" t="str">
        <f>IF(Source!$C332&gt;=COLUMNS($A332:Z332), Source!$G332, "")</f>
        <v/>
      </c>
      <c r="AA332" s="2" t="str">
        <f>IF(Source!$C332&gt;=COLUMNS($A332:AA332), Source!$G332, "")</f>
        <v/>
      </c>
      <c r="AB332" s="2" t="str">
        <f>IF(Source!$C332&gt;=COLUMNS($A332:AB332), Source!$G332, "")</f>
        <v/>
      </c>
      <c r="AC332" s="2" t="str">
        <f>IF(Source!$C332&gt;=COLUMNS($A332:AC332), Source!$G332, "")</f>
        <v/>
      </c>
      <c r="AD332" s="2" t="str">
        <f>IF(Source!$C332&gt;=COLUMNS($A332:AD332), Source!$G332, "")</f>
        <v/>
      </c>
      <c r="AE332" s="2" t="str">
        <f>IF(Source!$C332&gt;=COLUMNS($A332:AE332), Source!$G332, "")</f>
        <v/>
      </c>
      <c r="AF332" s="2" t="str">
        <f>IF(Source!$C332&gt;=COLUMNS($A332:AF332), Source!$G332, "")</f>
        <v/>
      </c>
      <c r="AG332" s="2" t="str">
        <f>IF(Source!$C332&gt;=COLUMNS($A332:AG332), Source!$G332, "")</f>
        <v/>
      </c>
      <c r="AH332" s="2" t="str">
        <f>IF(Source!$C332&gt;=COLUMNS($A332:AH332), Source!$G332, "")</f>
        <v/>
      </c>
      <c r="AI332" s="2" t="str">
        <f>IF(Source!$C332&gt;=COLUMNS($A332:AI332), Source!$G332, "")</f>
        <v/>
      </c>
      <c r="AJ332" s="2" t="str">
        <f>IF(Source!$C332&gt;=COLUMNS($A332:AJ332), Source!$G332, "")</f>
        <v/>
      </c>
      <c r="AK332" s="2" t="str">
        <f>IF(Source!$C332&gt;=COLUMNS($A332:AK332), Source!$G332, "")</f>
        <v/>
      </c>
      <c r="AL332" s="2" t="str">
        <f>IF(Source!$C332&gt;=COLUMNS($A332:AL332), Source!$G332, "")</f>
        <v/>
      </c>
      <c r="AM332" s="2" t="str">
        <f>IF(Source!$C332&gt;=COLUMNS($A332:AM332), Source!$G332, "")</f>
        <v/>
      </c>
      <c r="AN332" s="2" t="str">
        <f>IF(Source!$C332&gt;=COLUMNS($A332:AN332), Source!$G332, "")</f>
        <v/>
      </c>
      <c r="AO332" s="2" t="str">
        <f>IF(Source!$C332&gt;=COLUMNS($A332:AO332), Source!$G332, "")</f>
        <v/>
      </c>
      <c r="AP332" s="2" t="str">
        <f>IF(Source!$C332&gt;=COLUMNS($A332:AP332), Source!$G332, "")</f>
        <v/>
      </c>
      <c r="AQ332" s="2" t="str">
        <f>IF(Source!$C332&gt;=COLUMNS($A332:AQ332), Source!$G332, "")</f>
        <v/>
      </c>
      <c r="AR332" s="2" t="str">
        <f>IF(Source!$C332&gt;=COLUMNS($A332:AR332), Source!$G332, "")</f>
        <v/>
      </c>
    </row>
    <row r="333">
      <c r="A333" s="2">
        <f>IF(Source!$C333&gt;=COLUMNS($A333:A333), Source!$G333, "")</f>
        <v>1</v>
      </c>
      <c r="B333" s="2">
        <f>IF(Source!$C333&gt;=COLUMNS($A333:B333), Source!$G333, "")</f>
        <v>1</v>
      </c>
      <c r="C333" s="2">
        <f>IF(Source!$C333&gt;=COLUMNS($A333:C333), Source!$G333, "")</f>
        <v>1</v>
      </c>
      <c r="D333" s="2">
        <f>IF(Source!$C333&gt;=COLUMNS($A333:D333), Source!$G333, "")</f>
        <v>1</v>
      </c>
      <c r="E333" s="2">
        <f>IF(Source!$C333&gt;=COLUMNS($A333:E333), Source!$G333, "")</f>
        <v>1</v>
      </c>
      <c r="F333" s="2">
        <f>IF(Source!$C333&gt;=COLUMNS($A333:F333), Source!$G333, "")</f>
        <v>1</v>
      </c>
      <c r="G333" s="2">
        <f>IF(Source!$C333&gt;=COLUMNS($A333:G333), Source!$G333, "")</f>
        <v>1</v>
      </c>
      <c r="H333" s="2">
        <f>IF(Source!$C333&gt;=COLUMNS($A333:H333), Source!$G333, "")</f>
        <v>1</v>
      </c>
      <c r="I333" s="2" t="str">
        <f>IF(Source!$C333&gt;=COLUMNS($A333:I333), Source!$G333, "")</f>
        <v/>
      </c>
      <c r="J333" s="2" t="str">
        <f>IF(Source!$C333&gt;=COLUMNS($A333:J333), Source!$G333, "")</f>
        <v/>
      </c>
      <c r="K333" s="2" t="str">
        <f>IF(Source!$C333&gt;=COLUMNS($A333:K333), Source!$G333, "")</f>
        <v/>
      </c>
      <c r="L333" s="2" t="str">
        <f>IF(Source!$C333&gt;=COLUMNS($A333:L333), Source!$G333, "")</f>
        <v/>
      </c>
      <c r="M333" s="2" t="str">
        <f>IF(Source!$C333&gt;=COLUMNS($A333:M333), Source!$G333, "")</f>
        <v/>
      </c>
      <c r="N333" s="2" t="str">
        <f>IF(Source!$C333&gt;=COLUMNS($A333:N333), Source!$G333, "")</f>
        <v/>
      </c>
      <c r="O333" s="2" t="str">
        <f>IF(Source!$C333&gt;=COLUMNS($A333:O333), Source!$G333, "")</f>
        <v/>
      </c>
      <c r="P333" s="2" t="str">
        <f>IF(Source!$C333&gt;=COLUMNS($A333:P333), Source!$G333, "")</f>
        <v/>
      </c>
      <c r="Q333" s="2" t="str">
        <f>IF(Source!$C333&gt;=COLUMNS($A333:Q333), Source!$G333, "")</f>
        <v/>
      </c>
      <c r="R333" s="2" t="str">
        <f>IF(Source!$C333&gt;=COLUMNS($A333:R333), Source!$G333, "")</f>
        <v/>
      </c>
      <c r="S333" s="2" t="str">
        <f>IF(Source!$C333&gt;=COLUMNS($A333:S333), Source!$G333, "")</f>
        <v/>
      </c>
      <c r="T333" s="2" t="str">
        <f>IF(Source!$C333&gt;=COLUMNS($A333:T333), Source!$G333, "")</f>
        <v/>
      </c>
      <c r="U333" s="2" t="str">
        <f>IF(Source!$C333&gt;=COLUMNS($A333:U333), Source!$G333, "")</f>
        <v/>
      </c>
      <c r="V333" s="2" t="str">
        <f>IF(Source!$C333&gt;=COLUMNS($A333:V333), Source!$G333, "")</f>
        <v/>
      </c>
      <c r="W333" s="2" t="str">
        <f>IF(Source!$C333&gt;=COLUMNS($A333:W333), Source!$G333, "")</f>
        <v/>
      </c>
      <c r="X333" s="2" t="str">
        <f>IF(Source!$C333&gt;=COLUMNS($A333:X333), Source!$G333, "")</f>
        <v/>
      </c>
      <c r="Y333" s="2" t="str">
        <f>IF(Source!$C333&gt;=COLUMNS($A333:Y333), Source!$G333, "")</f>
        <v/>
      </c>
      <c r="Z333" s="2" t="str">
        <f>IF(Source!$C333&gt;=COLUMNS($A333:Z333), Source!$G333, "")</f>
        <v/>
      </c>
      <c r="AA333" s="2" t="str">
        <f>IF(Source!$C333&gt;=COLUMNS($A333:AA333), Source!$G333, "")</f>
        <v/>
      </c>
      <c r="AB333" s="2" t="str">
        <f>IF(Source!$C333&gt;=COLUMNS($A333:AB333), Source!$G333, "")</f>
        <v/>
      </c>
      <c r="AC333" s="2" t="str">
        <f>IF(Source!$C333&gt;=COLUMNS($A333:AC333), Source!$G333, "")</f>
        <v/>
      </c>
      <c r="AD333" s="2" t="str">
        <f>IF(Source!$C333&gt;=COLUMNS($A333:AD333), Source!$G333, "")</f>
        <v/>
      </c>
      <c r="AE333" s="2" t="str">
        <f>IF(Source!$C333&gt;=COLUMNS($A333:AE333), Source!$G333, "")</f>
        <v/>
      </c>
      <c r="AF333" s="2" t="str">
        <f>IF(Source!$C333&gt;=COLUMNS($A333:AF333), Source!$G333, "")</f>
        <v/>
      </c>
      <c r="AG333" s="2" t="str">
        <f>IF(Source!$C333&gt;=COLUMNS($A333:AG333), Source!$G333, "")</f>
        <v/>
      </c>
      <c r="AH333" s="2" t="str">
        <f>IF(Source!$C333&gt;=COLUMNS($A333:AH333), Source!$G333, "")</f>
        <v/>
      </c>
      <c r="AI333" s="2" t="str">
        <f>IF(Source!$C333&gt;=COLUMNS($A333:AI333), Source!$G333, "")</f>
        <v/>
      </c>
      <c r="AJ333" s="2" t="str">
        <f>IF(Source!$C333&gt;=COLUMNS($A333:AJ333), Source!$G333, "")</f>
        <v/>
      </c>
      <c r="AK333" s="2" t="str">
        <f>IF(Source!$C333&gt;=COLUMNS($A333:AK333), Source!$G333, "")</f>
        <v/>
      </c>
      <c r="AL333" s="2" t="str">
        <f>IF(Source!$C333&gt;=COLUMNS($A333:AL333), Source!$G333, "")</f>
        <v/>
      </c>
      <c r="AM333" s="2" t="str">
        <f>IF(Source!$C333&gt;=COLUMNS($A333:AM333), Source!$G333, "")</f>
        <v/>
      </c>
      <c r="AN333" s="2" t="str">
        <f>IF(Source!$C333&gt;=COLUMNS($A333:AN333), Source!$G333, "")</f>
        <v/>
      </c>
      <c r="AO333" s="2" t="str">
        <f>IF(Source!$C333&gt;=COLUMNS($A333:AO333), Source!$G333, "")</f>
        <v/>
      </c>
      <c r="AP333" s="2" t="str">
        <f>IF(Source!$C333&gt;=COLUMNS($A333:AP333), Source!$G333, "")</f>
        <v/>
      </c>
      <c r="AQ333" s="2" t="str">
        <f>IF(Source!$C333&gt;=COLUMNS($A333:AQ333), Source!$G333, "")</f>
        <v/>
      </c>
      <c r="AR333" s="2" t="str">
        <f>IF(Source!$C333&gt;=COLUMNS($A333:AR333), Source!$G333, "")</f>
        <v/>
      </c>
    </row>
    <row r="334">
      <c r="A334" s="2">
        <f>IF(Source!$C334&gt;=COLUMNS($A334:A334), Source!$G334, "")</f>
        <v>5</v>
      </c>
      <c r="B334" s="2">
        <f>IF(Source!$C334&gt;=COLUMNS($A334:B334), Source!$G334, "")</f>
        <v>5</v>
      </c>
      <c r="C334" s="2">
        <f>IF(Source!$C334&gt;=COLUMNS($A334:C334), Source!$G334, "")</f>
        <v>5</v>
      </c>
      <c r="D334" s="2">
        <f>IF(Source!$C334&gt;=COLUMNS($A334:D334), Source!$G334, "")</f>
        <v>5</v>
      </c>
      <c r="E334" s="2">
        <f>IF(Source!$C334&gt;=COLUMNS($A334:E334), Source!$G334, "")</f>
        <v>5</v>
      </c>
      <c r="F334" s="2">
        <f>IF(Source!$C334&gt;=COLUMNS($A334:F334), Source!$G334, "")</f>
        <v>5</v>
      </c>
      <c r="G334" s="2">
        <f>IF(Source!$C334&gt;=COLUMNS($A334:G334), Source!$G334, "")</f>
        <v>5</v>
      </c>
      <c r="H334" s="2">
        <f>IF(Source!$C334&gt;=COLUMNS($A334:H334), Source!$G334, "")</f>
        <v>5</v>
      </c>
      <c r="I334" s="2" t="str">
        <f>IF(Source!$C334&gt;=COLUMNS($A334:I334), Source!$G334, "")</f>
        <v/>
      </c>
      <c r="J334" s="2" t="str">
        <f>IF(Source!$C334&gt;=COLUMNS($A334:J334), Source!$G334, "")</f>
        <v/>
      </c>
      <c r="K334" s="2" t="str">
        <f>IF(Source!$C334&gt;=COLUMNS($A334:K334), Source!$G334, "")</f>
        <v/>
      </c>
      <c r="L334" s="2" t="str">
        <f>IF(Source!$C334&gt;=COLUMNS($A334:L334), Source!$G334, "")</f>
        <v/>
      </c>
      <c r="M334" s="2" t="str">
        <f>IF(Source!$C334&gt;=COLUMNS($A334:M334), Source!$G334, "")</f>
        <v/>
      </c>
      <c r="N334" s="2" t="str">
        <f>IF(Source!$C334&gt;=COLUMNS($A334:N334), Source!$G334, "")</f>
        <v/>
      </c>
      <c r="O334" s="2" t="str">
        <f>IF(Source!$C334&gt;=COLUMNS($A334:O334), Source!$G334, "")</f>
        <v/>
      </c>
      <c r="P334" s="2" t="str">
        <f>IF(Source!$C334&gt;=COLUMNS($A334:P334), Source!$G334, "")</f>
        <v/>
      </c>
      <c r="Q334" s="2" t="str">
        <f>IF(Source!$C334&gt;=COLUMNS($A334:Q334), Source!$G334, "")</f>
        <v/>
      </c>
      <c r="R334" s="2" t="str">
        <f>IF(Source!$C334&gt;=COLUMNS($A334:R334), Source!$G334, "")</f>
        <v/>
      </c>
      <c r="S334" s="2" t="str">
        <f>IF(Source!$C334&gt;=COLUMNS($A334:S334), Source!$G334, "")</f>
        <v/>
      </c>
      <c r="T334" s="2" t="str">
        <f>IF(Source!$C334&gt;=COLUMNS($A334:T334), Source!$G334, "")</f>
        <v/>
      </c>
      <c r="U334" s="2" t="str">
        <f>IF(Source!$C334&gt;=COLUMNS($A334:U334), Source!$G334, "")</f>
        <v/>
      </c>
      <c r="V334" s="2" t="str">
        <f>IF(Source!$C334&gt;=COLUMNS($A334:V334), Source!$G334, "")</f>
        <v/>
      </c>
      <c r="W334" s="2" t="str">
        <f>IF(Source!$C334&gt;=COLUMNS($A334:W334), Source!$G334, "")</f>
        <v/>
      </c>
      <c r="X334" s="2" t="str">
        <f>IF(Source!$C334&gt;=COLUMNS($A334:X334), Source!$G334, "")</f>
        <v/>
      </c>
      <c r="Y334" s="2" t="str">
        <f>IF(Source!$C334&gt;=COLUMNS($A334:Y334), Source!$G334, "")</f>
        <v/>
      </c>
      <c r="Z334" s="2" t="str">
        <f>IF(Source!$C334&gt;=COLUMNS($A334:Z334), Source!$G334, "")</f>
        <v/>
      </c>
      <c r="AA334" s="2" t="str">
        <f>IF(Source!$C334&gt;=COLUMNS($A334:AA334), Source!$G334, "")</f>
        <v/>
      </c>
      <c r="AB334" s="2" t="str">
        <f>IF(Source!$C334&gt;=COLUMNS($A334:AB334), Source!$G334, "")</f>
        <v/>
      </c>
      <c r="AC334" s="2" t="str">
        <f>IF(Source!$C334&gt;=COLUMNS($A334:AC334), Source!$G334, "")</f>
        <v/>
      </c>
      <c r="AD334" s="2" t="str">
        <f>IF(Source!$C334&gt;=COLUMNS($A334:AD334), Source!$G334, "")</f>
        <v/>
      </c>
      <c r="AE334" s="2" t="str">
        <f>IF(Source!$C334&gt;=COLUMNS($A334:AE334), Source!$G334, "")</f>
        <v/>
      </c>
      <c r="AF334" s="2" t="str">
        <f>IF(Source!$C334&gt;=COLUMNS($A334:AF334), Source!$G334, "")</f>
        <v/>
      </c>
      <c r="AG334" s="2" t="str">
        <f>IF(Source!$C334&gt;=COLUMNS($A334:AG334), Source!$G334, "")</f>
        <v/>
      </c>
      <c r="AH334" s="2" t="str">
        <f>IF(Source!$C334&gt;=COLUMNS($A334:AH334), Source!$G334, "")</f>
        <v/>
      </c>
      <c r="AI334" s="2" t="str">
        <f>IF(Source!$C334&gt;=COLUMNS($A334:AI334), Source!$G334, "")</f>
        <v/>
      </c>
      <c r="AJ334" s="2" t="str">
        <f>IF(Source!$C334&gt;=COLUMNS($A334:AJ334), Source!$G334, "")</f>
        <v/>
      </c>
      <c r="AK334" s="2" t="str">
        <f>IF(Source!$C334&gt;=COLUMNS($A334:AK334), Source!$G334, "")</f>
        <v/>
      </c>
      <c r="AL334" s="2" t="str">
        <f>IF(Source!$C334&gt;=COLUMNS($A334:AL334), Source!$G334, "")</f>
        <v/>
      </c>
      <c r="AM334" s="2" t="str">
        <f>IF(Source!$C334&gt;=COLUMNS($A334:AM334), Source!$G334, "")</f>
        <v/>
      </c>
      <c r="AN334" s="2" t="str">
        <f>IF(Source!$C334&gt;=COLUMNS($A334:AN334), Source!$G334, "")</f>
        <v/>
      </c>
      <c r="AO334" s="2" t="str">
        <f>IF(Source!$C334&gt;=COLUMNS($A334:AO334), Source!$G334, "")</f>
        <v/>
      </c>
      <c r="AP334" s="2" t="str">
        <f>IF(Source!$C334&gt;=COLUMNS($A334:AP334), Source!$G334, "")</f>
        <v/>
      </c>
      <c r="AQ334" s="2" t="str">
        <f>IF(Source!$C334&gt;=COLUMNS($A334:AQ334), Source!$G334, "")</f>
        <v/>
      </c>
      <c r="AR334" s="2" t="str">
        <f>IF(Source!$C334&gt;=COLUMNS($A334:AR334), Source!$G334, "")</f>
        <v/>
      </c>
    </row>
    <row r="335">
      <c r="A335" s="2">
        <f>IF(Source!$C335&gt;=COLUMNS($A335:A335), Source!$G335, "")</f>
        <v>4</v>
      </c>
      <c r="B335" s="2">
        <f>IF(Source!$C335&gt;=COLUMNS($A335:B335), Source!$G335, "")</f>
        <v>4</v>
      </c>
      <c r="C335" s="2">
        <f>IF(Source!$C335&gt;=COLUMNS($A335:C335), Source!$G335, "")</f>
        <v>4</v>
      </c>
      <c r="D335" s="2">
        <f>IF(Source!$C335&gt;=COLUMNS($A335:D335), Source!$G335, "")</f>
        <v>4</v>
      </c>
      <c r="E335" s="2">
        <f>IF(Source!$C335&gt;=COLUMNS($A335:E335), Source!$G335, "")</f>
        <v>4</v>
      </c>
      <c r="F335" s="2">
        <f>IF(Source!$C335&gt;=COLUMNS($A335:F335), Source!$G335, "")</f>
        <v>4</v>
      </c>
      <c r="G335" s="2" t="str">
        <f>IF(Source!$C335&gt;=COLUMNS($A335:G335), Source!$G335, "")</f>
        <v/>
      </c>
      <c r="H335" s="2" t="str">
        <f>IF(Source!$C335&gt;=COLUMNS($A335:H335), Source!$G335, "")</f>
        <v/>
      </c>
      <c r="I335" s="2" t="str">
        <f>IF(Source!$C335&gt;=COLUMNS($A335:I335), Source!$G335, "")</f>
        <v/>
      </c>
      <c r="J335" s="2" t="str">
        <f>IF(Source!$C335&gt;=COLUMNS($A335:J335), Source!$G335, "")</f>
        <v/>
      </c>
      <c r="K335" s="2" t="str">
        <f>IF(Source!$C335&gt;=COLUMNS($A335:K335), Source!$G335, "")</f>
        <v/>
      </c>
      <c r="L335" s="2" t="str">
        <f>IF(Source!$C335&gt;=COLUMNS($A335:L335), Source!$G335, "")</f>
        <v/>
      </c>
      <c r="M335" s="2" t="str">
        <f>IF(Source!$C335&gt;=COLUMNS($A335:M335), Source!$G335, "")</f>
        <v/>
      </c>
      <c r="N335" s="2" t="str">
        <f>IF(Source!$C335&gt;=COLUMNS($A335:N335), Source!$G335, "")</f>
        <v/>
      </c>
      <c r="O335" s="2" t="str">
        <f>IF(Source!$C335&gt;=COLUMNS($A335:O335), Source!$G335, "")</f>
        <v/>
      </c>
      <c r="P335" s="2" t="str">
        <f>IF(Source!$C335&gt;=COLUMNS($A335:P335), Source!$G335, "")</f>
        <v/>
      </c>
      <c r="Q335" s="2" t="str">
        <f>IF(Source!$C335&gt;=COLUMNS($A335:Q335), Source!$G335, "")</f>
        <v/>
      </c>
      <c r="R335" s="2" t="str">
        <f>IF(Source!$C335&gt;=COLUMNS($A335:R335), Source!$G335, "")</f>
        <v/>
      </c>
      <c r="S335" s="2" t="str">
        <f>IF(Source!$C335&gt;=COLUMNS($A335:S335), Source!$G335, "")</f>
        <v/>
      </c>
      <c r="T335" s="2" t="str">
        <f>IF(Source!$C335&gt;=COLUMNS($A335:T335), Source!$G335, "")</f>
        <v/>
      </c>
      <c r="U335" s="2" t="str">
        <f>IF(Source!$C335&gt;=COLUMNS($A335:U335), Source!$G335, "")</f>
        <v/>
      </c>
      <c r="V335" s="2" t="str">
        <f>IF(Source!$C335&gt;=COLUMNS($A335:V335), Source!$G335, "")</f>
        <v/>
      </c>
      <c r="W335" s="2" t="str">
        <f>IF(Source!$C335&gt;=COLUMNS($A335:W335), Source!$G335, "")</f>
        <v/>
      </c>
      <c r="X335" s="2" t="str">
        <f>IF(Source!$C335&gt;=COLUMNS($A335:X335), Source!$G335, "")</f>
        <v/>
      </c>
      <c r="Y335" s="2" t="str">
        <f>IF(Source!$C335&gt;=COLUMNS($A335:Y335), Source!$G335, "")</f>
        <v/>
      </c>
      <c r="Z335" s="2" t="str">
        <f>IF(Source!$C335&gt;=COLUMNS($A335:Z335), Source!$G335, "")</f>
        <v/>
      </c>
      <c r="AA335" s="2" t="str">
        <f>IF(Source!$C335&gt;=COLUMNS($A335:AA335), Source!$G335, "")</f>
        <v/>
      </c>
      <c r="AB335" s="2" t="str">
        <f>IF(Source!$C335&gt;=COLUMNS($A335:AB335), Source!$G335, "")</f>
        <v/>
      </c>
      <c r="AC335" s="2" t="str">
        <f>IF(Source!$C335&gt;=COLUMNS($A335:AC335), Source!$G335, "")</f>
        <v/>
      </c>
      <c r="AD335" s="2" t="str">
        <f>IF(Source!$C335&gt;=COLUMNS($A335:AD335), Source!$G335, "")</f>
        <v/>
      </c>
      <c r="AE335" s="2" t="str">
        <f>IF(Source!$C335&gt;=COLUMNS($A335:AE335), Source!$G335, "")</f>
        <v/>
      </c>
      <c r="AF335" s="2" t="str">
        <f>IF(Source!$C335&gt;=COLUMNS($A335:AF335), Source!$G335, "")</f>
        <v/>
      </c>
      <c r="AG335" s="2" t="str">
        <f>IF(Source!$C335&gt;=COLUMNS($A335:AG335), Source!$G335, "")</f>
        <v/>
      </c>
      <c r="AH335" s="2" t="str">
        <f>IF(Source!$C335&gt;=COLUMNS($A335:AH335), Source!$G335, "")</f>
        <v/>
      </c>
      <c r="AI335" s="2" t="str">
        <f>IF(Source!$C335&gt;=COLUMNS($A335:AI335), Source!$G335, "")</f>
        <v/>
      </c>
      <c r="AJ335" s="2" t="str">
        <f>IF(Source!$C335&gt;=COLUMNS($A335:AJ335), Source!$G335, "")</f>
        <v/>
      </c>
      <c r="AK335" s="2" t="str">
        <f>IF(Source!$C335&gt;=COLUMNS($A335:AK335), Source!$G335, "")</f>
        <v/>
      </c>
      <c r="AL335" s="2" t="str">
        <f>IF(Source!$C335&gt;=COLUMNS($A335:AL335), Source!$G335, "")</f>
        <v/>
      </c>
      <c r="AM335" s="2" t="str">
        <f>IF(Source!$C335&gt;=COLUMNS($A335:AM335), Source!$G335, "")</f>
        <v/>
      </c>
      <c r="AN335" s="2" t="str">
        <f>IF(Source!$C335&gt;=COLUMNS($A335:AN335), Source!$G335, "")</f>
        <v/>
      </c>
      <c r="AO335" s="2" t="str">
        <f>IF(Source!$C335&gt;=COLUMNS($A335:AO335), Source!$G335, "")</f>
        <v/>
      </c>
      <c r="AP335" s="2" t="str">
        <f>IF(Source!$C335&gt;=COLUMNS($A335:AP335), Source!$G335, "")</f>
        <v/>
      </c>
      <c r="AQ335" s="2" t="str">
        <f>IF(Source!$C335&gt;=COLUMNS($A335:AQ335), Source!$G335, "")</f>
        <v/>
      </c>
      <c r="AR335" s="2" t="str">
        <f>IF(Source!$C335&gt;=COLUMNS($A335:AR335), Source!$G335, "")</f>
        <v/>
      </c>
    </row>
    <row r="336">
      <c r="A336" s="2">
        <f>IF(Source!$C336&gt;=COLUMNS($A336:A336), Source!$G336, "")</f>
        <v>4</v>
      </c>
      <c r="B336" s="2">
        <f>IF(Source!$C336&gt;=COLUMNS($A336:B336), Source!$G336, "")</f>
        <v>4</v>
      </c>
      <c r="C336" s="2" t="str">
        <f>IF(Source!$C336&gt;=COLUMNS($A336:C336), Source!$G336, "")</f>
        <v/>
      </c>
      <c r="D336" s="2" t="str">
        <f>IF(Source!$C336&gt;=COLUMNS($A336:D336), Source!$G336, "")</f>
        <v/>
      </c>
      <c r="E336" s="2" t="str">
        <f>IF(Source!$C336&gt;=COLUMNS($A336:E336), Source!$G336, "")</f>
        <v/>
      </c>
      <c r="F336" s="2" t="str">
        <f>IF(Source!$C336&gt;=COLUMNS($A336:F336), Source!$G336, "")</f>
        <v/>
      </c>
      <c r="G336" s="2" t="str">
        <f>IF(Source!$C336&gt;=COLUMNS($A336:G336), Source!$G336, "")</f>
        <v/>
      </c>
      <c r="H336" s="2" t="str">
        <f>IF(Source!$C336&gt;=COLUMNS($A336:H336), Source!$G336, "")</f>
        <v/>
      </c>
      <c r="I336" s="2" t="str">
        <f>IF(Source!$C336&gt;=COLUMNS($A336:I336), Source!$G336, "")</f>
        <v/>
      </c>
      <c r="J336" s="2" t="str">
        <f>IF(Source!$C336&gt;=COLUMNS($A336:J336), Source!$G336, "")</f>
        <v/>
      </c>
      <c r="K336" s="2" t="str">
        <f>IF(Source!$C336&gt;=COLUMNS($A336:K336), Source!$G336, "")</f>
        <v/>
      </c>
      <c r="L336" s="2" t="str">
        <f>IF(Source!$C336&gt;=COLUMNS($A336:L336), Source!$G336, "")</f>
        <v/>
      </c>
      <c r="M336" s="2" t="str">
        <f>IF(Source!$C336&gt;=COLUMNS($A336:M336), Source!$G336, "")</f>
        <v/>
      </c>
      <c r="N336" s="2" t="str">
        <f>IF(Source!$C336&gt;=COLUMNS($A336:N336), Source!$G336, "")</f>
        <v/>
      </c>
      <c r="O336" s="2" t="str">
        <f>IF(Source!$C336&gt;=COLUMNS($A336:O336), Source!$G336, "")</f>
        <v/>
      </c>
      <c r="P336" s="2" t="str">
        <f>IF(Source!$C336&gt;=COLUMNS($A336:P336), Source!$G336, "")</f>
        <v/>
      </c>
      <c r="Q336" s="2" t="str">
        <f>IF(Source!$C336&gt;=COLUMNS($A336:Q336), Source!$G336, "")</f>
        <v/>
      </c>
      <c r="R336" s="2" t="str">
        <f>IF(Source!$C336&gt;=COLUMNS($A336:R336), Source!$G336, "")</f>
        <v/>
      </c>
      <c r="S336" s="2" t="str">
        <f>IF(Source!$C336&gt;=COLUMNS($A336:S336), Source!$G336, "")</f>
        <v/>
      </c>
      <c r="T336" s="2" t="str">
        <f>IF(Source!$C336&gt;=COLUMNS($A336:T336), Source!$G336, "")</f>
        <v/>
      </c>
      <c r="U336" s="2" t="str">
        <f>IF(Source!$C336&gt;=COLUMNS($A336:U336), Source!$G336, "")</f>
        <v/>
      </c>
      <c r="V336" s="2" t="str">
        <f>IF(Source!$C336&gt;=COLUMNS($A336:V336), Source!$G336, "")</f>
        <v/>
      </c>
      <c r="W336" s="2" t="str">
        <f>IF(Source!$C336&gt;=COLUMNS($A336:W336), Source!$G336, "")</f>
        <v/>
      </c>
      <c r="X336" s="2" t="str">
        <f>IF(Source!$C336&gt;=COLUMNS($A336:X336), Source!$G336, "")</f>
        <v/>
      </c>
      <c r="Y336" s="2" t="str">
        <f>IF(Source!$C336&gt;=COLUMNS($A336:Y336), Source!$G336, "")</f>
        <v/>
      </c>
      <c r="Z336" s="2" t="str">
        <f>IF(Source!$C336&gt;=COLUMNS($A336:Z336), Source!$G336, "")</f>
        <v/>
      </c>
      <c r="AA336" s="2" t="str">
        <f>IF(Source!$C336&gt;=COLUMNS($A336:AA336), Source!$G336, "")</f>
        <v/>
      </c>
      <c r="AB336" s="2" t="str">
        <f>IF(Source!$C336&gt;=COLUMNS($A336:AB336), Source!$G336, "")</f>
        <v/>
      </c>
      <c r="AC336" s="2" t="str">
        <f>IF(Source!$C336&gt;=COLUMNS($A336:AC336), Source!$G336, "")</f>
        <v/>
      </c>
      <c r="AD336" s="2" t="str">
        <f>IF(Source!$C336&gt;=COLUMNS($A336:AD336), Source!$G336, "")</f>
        <v/>
      </c>
      <c r="AE336" s="2" t="str">
        <f>IF(Source!$C336&gt;=COLUMNS($A336:AE336), Source!$G336, "")</f>
        <v/>
      </c>
      <c r="AF336" s="2" t="str">
        <f>IF(Source!$C336&gt;=COLUMNS($A336:AF336), Source!$G336, "")</f>
        <v/>
      </c>
      <c r="AG336" s="2" t="str">
        <f>IF(Source!$C336&gt;=COLUMNS($A336:AG336), Source!$G336, "")</f>
        <v/>
      </c>
      <c r="AH336" s="2" t="str">
        <f>IF(Source!$C336&gt;=COLUMNS($A336:AH336), Source!$G336, "")</f>
        <v/>
      </c>
      <c r="AI336" s="2" t="str">
        <f>IF(Source!$C336&gt;=COLUMNS($A336:AI336), Source!$G336, "")</f>
        <v/>
      </c>
      <c r="AJ336" s="2" t="str">
        <f>IF(Source!$C336&gt;=COLUMNS($A336:AJ336), Source!$G336, "")</f>
        <v/>
      </c>
      <c r="AK336" s="2" t="str">
        <f>IF(Source!$C336&gt;=COLUMNS($A336:AK336), Source!$G336, "")</f>
        <v/>
      </c>
      <c r="AL336" s="2" t="str">
        <f>IF(Source!$C336&gt;=COLUMNS($A336:AL336), Source!$G336, "")</f>
        <v/>
      </c>
      <c r="AM336" s="2" t="str">
        <f>IF(Source!$C336&gt;=COLUMNS($A336:AM336), Source!$G336, "")</f>
        <v/>
      </c>
      <c r="AN336" s="2" t="str">
        <f>IF(Source!$C336&gt;=COLUMNS($A336:AN336), Source!$G336, "")</f>
        <v/>
      </c>
      <c r="AO336" s="2" t="str">
        <f>IF(Source!$C336&gt;=COLUMNS($A336:AO336), Source!$G336, "")</f>
        <v/>
      </c>
      <c r="AP336" s="2" t="str">
        <f>IF(Source!$C336&gt;=COLUMNS($A336:AP336), Source!$G336, "")</f>
        <v/>
      </c>
      <c r="AQ336" s="2" t="str">
        <f>IF(Source!$C336&gt;=COLUMNS($A336:AQ336), Source!$G336, "")</f>
        <v/>
      </c>
      <c r="AR336" s="2" t="str">
        <f>IF(Source!$C336&gt;=COLUMNS($A336:AR336), Source!$G336, "")</f>
        <v/>
      </c>
    </row>
    <row r="337">
      <c r="A337" s="2">
        <f>IF(Source!$C337&gt;=COLUMNS($A337:A337), Source!$G337, "")</f>
        <v>4</v>
      </c>
      <c r="B337" s="2">
        <f>IF(Source!$C337&gt;=COLUMNS($A337:B337), Source!$G337, "")</f>
        <v>4</v>
      </c>
      <c r="C337" s="2">
        <f>IF(Source!$C337&gt;=COLUMNS($A337:C337), Source!$G337, "")</f>
        <v>4</v>
      </c>
      <c r="D337" s="2">
        <f>IF(Source!$C337&gt;=COLUMNS($A337:D337), Source!$G337, "")</f>
        <v>4</v>
      </c>
      <c r="E337" s="2">
        <f>IF(Source!$C337&gt;=COLUMNS($A337:E337), Source!$G337, "")</f>
        <v>4</v>
      </c>
      <c r="F337" s="2">
        <f>IF(Source!$C337&gt;=COLUMNS($A337:F337), Source!$G337, "")</f>
        <v>4</v>
      </c>
      <c r="G337" s="2">
        <f>IF(Source!$C337&gt;=COLUMNS($A337:G337), Source!$G337, "")</f>
        <v>4</v>
      </c>
      <c r="H337" s="2">
        <f>IF(Source!$C337&gt;=COLUMNS($A337:H337), Source!$G337, "")</f>
        <v>4</v>
      </c>
      <c r="I337" s="2" t="str">
        <f>IF(Source!$C337&gt;=COLUMNS($A337:I337), Source!$G337, "")</f>
        <v/>
      </c>
      <c r="J337" s="2" t="str">
        <f>IF(Source!$C337&gt;=COLUMNS($A337:J337), Source!$G337, "")</f>
        <v/>
      </c>
      <c r="K337" s="2" t="str">
        <f>IF(Source!$C337&gt;=COLUMNS($A337:K337), Source!$G337, "")</f>
        <v/>
      </c>
      <c r="L337" s="2" t="str">
        <f>IF(Source!$C337&gt;=COLUMNS($A337:L337), Source!$G337, "")</f>
        <v/>
      </c>
      <c r="M337" s="2" t="str">
        <f>IF(Source!$C337&gt;=COLUMNS($A337:M337), Source!$G337, "")</f>
        <v/>
      </c>
      <c r="N337" s="2" t="str">
        <f>IF(Source!$C337&gt;=COLUMNS($A337:N337), Source!$G337, "")</f>
        <v/>
      </c>
      <c r="O337" s="2" t="str">
        <f>IF(Source!$C337&gt;=COLUMNS($A337:O337), Source!$G337, "")</f>
        <v/>
      </c>
      <c r="P337" s="2" t="str">
        <f>IF(Source!$C337&gt;=COLUMNS($A337:P337), Source!$G337, "")</f>
        <v/>
      </c>
      <c r="Q337" s="2" t="str">
        <f>IF(Source!$C337&gt;=COLUMNS($A337:Q337), Source!$G337, "")</f>
        <v/>
      </c>
      <c r="R337" s="2" t="str">
        <f>IF(Source!$C337&gt;=COLUMNS($A337:R337), Source!$G337, "")</f>
        <v/>
      </c>
      <c r="S337" s="2" t="str">
        <f>IF(Source!$C337&gt;=COLUMNS($A337:S337), Source!$G337, "")</f>
        <v/>
      </c>
      <c r="T337" s="2" t="str">
        <f>IF(Source!$C337&gt;=COLUMNS($A337:T337), Source!$G337, "")</f>
        <v/>
      </c>
      <c r="U337" s="2" t="str">
        <f>IF(Source!$C337&gt;=COLUMNS($A337:U337), Source!$G337, "")</f>
        <v/>
      </c>
      <c r="V337" s="2" t="str">
        <f>IF(Source!$C337&gt;=COLUMNS($A337:V337), Source!$G337, "")</f>
        <v/>
      </c>
      <c r="W337" s="2" t="str">
        <f>IF(Source!$C337&gt;=COLUMNS($A337:W337), Source!$G337, "")</f>
        <v/>
      </c>
      <c r="X337" s="2" t="str">
        <f>IF(Source!$C337&gt;=COLUMNS($A337:X337), Source!$G337, "")</f>
        <v/>
      </c>
      <c r="Y337" s="2" t="str">
        <f>IF(Source!$C337&gt;=COLUMNS($A337:Y337), Source!$G337, "")</f>
        <v/>
      </c>
      <c r="Z337" s="2" t="str">
        <f>IF(Source!$C337&gt;=COLUMNS($A337:Z337), Source!$G337, "")</f>
        <v/>
      </c>
      <c r="AA337" s="2" t="str">
        <f>IF(Source!$C337&gt;=COLUMNS($A337:AA337), Source!$G337, "")</f>
        <v/>
      </c>
      <c r="AB337" s="2" t="str">
        <f>IF(Source!$C337&gt;=COLUMNS($A337:AB337), Source!$G337, "")</f>
        <v/>
      </c>
      <c r="AC337" s="2" t="str">
        <f>IF(Source!$C337&gt;=COLUMNS($A337:AC337), Source!$G337, "")</f>
        <v/>
      </c>
      <c r="AD337" s="2" t="str">
        <f>IF(Source!$C337&gt;=COLUMNS($A337:AD337), Source!$G337, "")</f>
        <v/>
      </c>
      <c r="AE337" s="2" t="str">
        <f>IF(Source!$C337&gt;=COLUMNS($A337:AE337), Source!$G337, "")</f>
        <v/>
      </c>
      <c r="AF337" s="2" t="str">
        <f>IF(Source!$C337&gt;=COLUMNS($A337:AF337), Source!$G337, "")</f>
        <v/>
      </c>
      <c r="AG337" s="2" t="str">
        <f>IF(Source!$C337&gt;=COLUMNS($A337:AG337), Source!$G337, "")</f>
        <v/>
      </c>
      <c r="AH337" s="2" t="str">
        <f>IF(Source!$C337&gt;=COLUMNS($A337:AH337), Source!$G337, "")</f>
        <v/>
      </c>
      <c r="AI337" s="2" t="str">
        <f>IF(Source!$C337&gt;=COLUMNS($A337:AI337), Source!$G337, "")</f>
        <v/>
      </c>
      <c r="AJ337" s="2" t="str">
        <f>IF(Source!$C337&gt;=COLUMNS($A337:AJ337), Source!$G337, "")</f>
        <v/>
      </c>
      <c r="AK337" s="2" t="str">
        <f>IF(Source!$C337&gt;=COLUMNS($A337:AK337), Source!$G337, "")</f>
        <v/>
      </c>
      <c r="AL337" s="2" t="str">
        <f>IF(Source!$C337&gt;=COLUMNS($A337:AL337), Source!$G337, "")</f>
        <v/>
      </c>
      <c r="AM337" s="2" t="str">
        <f>IF(Source!$C337&gt;=COLUMNS($A337:AM337), Source!$G337, "")</f>
        <v/>
      </c>
      <c r="AN337" s="2" t="str">
        <f>IF(Source!$C337&gt;=COLUMNS($A337:AN337), Source!$G337, "")</f>
        <v/>
      </c>
      <c r="AO337" s="2" t="str">
        <f>IF(Source!$C337&gt;=COLUMNS($A337:AO337), Source!$G337, "")</f>
        <v/>
      </c>
      <c r="AP337" s="2" t="str">
        <f>IF(Source!$C337&gt;=COLUMNS($A337:AP337), Source!$G337, "")</f>
        <v/>
      </c>
      <c r="AQ337" s="2" t="str">
        <f>IF(Source!$C337&gt;=COLUMNS($A337:AQ337), Source!$G337, "")</f>
        <v/>
      </c>
      <c r="AR337" s="2" t="str">
        <f>IF(Source!$C337&gt;=COLUMNS($A337:AR337), Source!$G337, "")</f>
        <v/>
      </c>
    </row>
    <row r="338">
      <c r="A338" s="2">
        <f>IF(Source!$C338&gt;=COLUMNS($A338:A338), Source!$G338, "")</f>
        <v>1</v>
      </c>
      <c r="B338" s="2">
        <f>IF(Source!$C338&gt;=COLUMNS($A338:B338), Source!$G338, "")</f>
        <v>1</v>
      </c>
      <c r="C338" s="2">
        <f>IF(Source!$C338&gt;=COLUMNS($A338:C338), Source!$G338, "")</f>
        <v>1</v>
      </c>
      <c r="D338" s="2">
        <f>IF(Source!$C338&gt;=COLUMNS($A338:D338), Source!$G338, "")</f>
        <v>1</v>
      </c>
      <c r="E338" s="2">
        <f>IF(Source!$C338&gt;=COLUMNS($A338:E338), Source!$G338, "")</f>
        <v>1</v>
      </c>
      <c r="F338" s="2">
        <f>IF(Source!$C338&gt;=COLUMNS($A338:F338), Source!$G338, "")</f>
        <v>1</v>
      </c>
      <c r="G338" s="2">
        <f>IF(Source!$C338&gt;=COLUMNS($A338:G338), Source!$G338, "")</f>
        <v>1</v>
      </c>
      <c r="H338" s="2">
        <f>IF(Source!$C338&gt;=COLUMNS($A338:H338), Source!$G338, "")</f>
        <v>1</v>
      </c>
      <c r="I338" s="2">
        <f>IF(Source!$C338&gt;=COLUMNS($A338:I338), Source!$G338, "")</f>
        <v>1</v>
      </c>
      <c r="J338" s="2">
        <f>IF(Source!$C338&gt;=COLUMNS($A338:J338), Source!$G338, "")</f>
        <v>1</v>
      </c>
      <c r="K338" s="2">
        <f>IF(Source!$C338&gt;=COLUMNS($A338:K338), Source!$G338, "")</f>
        <v>1</v>
      </c>
      <c r="L338" s="2">
        <f>IF(Source!$C338&gt;=COLUMNS($A338:L338), Source!$G338, "")</f>
        <v>1</v>
      </c>
      <c r="M338" s="2">
        <f>IF(Source!$C338&gt;=COLUMNS($A338:M338), Source!$G338, "")</f>
        <v>1</v>
      </c>
      <c r="N338" s="2">
        <f>IF(Source!$C338&gt;=COLUMNS($A338:N338), Source!$G338, "")</f>
        <v>1</v>
      </c>
      <c r="O338" s="2">
        <f>IF(Source!$C338&gt;=COLUMNS($A338:O338), Source!$G338, "")</f>
        <v>1</v>
      </c>
      <c r="P338" s="2">
        <f>IF(Source!$C338&gt;=COLUMNS($A338:P338), Source!$G338, "")</f>
        <v>1</v>
      </c>
      <c r="Q338" s="2">
        <f>IF(Source!$C338&gt;=COLUMNS($A338:Q338), Source!$G338, "")</f>
        <v>1</v>
      </c>
      <c r="R338" s="2">
        <f>IF(Source!$C338&gt;=COLUMNS($A338:R338), Source!$G338, "")</f>
        <v>1</v>
      </c>
      <c r="S338" s="2">
        <f>IF(Source!$C338&gt;=COLUMNS($A338:S338), Source!$G338, "")</f>
        <v>1</v>
      </c>
      <c r="T338" s="2">
        <f>IF(Source!$C338&gt;=COLUMNS($A338:T338), Source!$G338, "")</f>
        <v>1</v>
      </c>
      <c r="U338" s="2">
        <f>IF(Source!$C338&gt;=COLUMNS($A338:U338), Source!$G338, "")</f>
        <v>1</v>
      </c>
      <c r="V338" s="2">
        <f>IF(Source!$C338&gt;=COLUMNS($A338:V338), Source!$G338, "")</f>
        <v>1</v>
      </c>
      <c r="W338" s="2" t="str">
        <f>IF(Source!$C338&gt;=COLUMNS($A338:W338), Source!$G338, "")</f>
        <v/>
      </c>
      <c r="X338" s="2" t="str">
        <f>IF(Source!$C338&gt;=COLUMNS($A338:X338), Source!$G338, "")</f>
        <v/>
      </c>
      <c r="Y338" s="2" t="str">
        <f>IF(Source!$C338&gt;=COLUMNS($A338:Y338), Source!$G338, "")</f>
        <v/>
      </c>
      <c r="Z338" s="2" t="str">
        <f>IF(Source!$C338&gt;=COLUMNS($A338:Z338), Source!$G338, "")</f>
        <v/>
      </c>
      <c r="AA338" s="2" t="str">
        <f>IF(Source!$C338&gt;=COLUMNS($A338:AA338), Source!$G338, "")</f>
        <v/>
      </c>
      <c r="AB338" s="2" t="str">
        <f>IF(Source!$C338&gt;=COLUMNS($A338:AB338), Source!$G338, "")</f>
        <v/>
      </c>
      <c r="AC338" s="2" t="str">
        <f>IF(Source!$C338&gt;=COLUMNS($A338:AC338), Source!$G338, "")</f>
        <v/>
      </c>
      <c r="AD338" s="2" t="str">
        <f>IF(Source!$C338&gt;=COLUMNS($A338:AD338), Source!$G338, "")</f>
        <v/>
      </c>
      <c r="AE338" s="2" t="str">
        <f>IF(Source!$C338&gt;=COLUMNS($A338:AE338), Source!$G338, "")</f>
        <v/>
      </c>
      <c r="AF338" s="2" t="str">
        <f>IF(Source!$C338&gt;=COLUMNS($A338:AF338), Source!$G338, "")</f>
        <v/>
      </c>
      <c r="AG338" s="2" t="str">
        <f>IF(Source!$C338&gt;=COLUMNS($A338:AG338), Source!$G338, "")</f>
        <v/>
      </c>
      <c r="AH338" s="2" t="str">
        <f>IF(Source!$C338&gt;=COLUMNS($A338:AH338), Source!$G338, "")</f>
        <v/>
      </c>
      <c r="AI338" s="2" t="str">
        <f>IF(Source!$C338&gt;=COLUMNS($A338:AI338), Source!$G338, "")</f>
        <v/>
      </c>
      <c r="AJ338" s="2" t="str">
        <f>IF(Source!$C338&gt;=COLUMNS($A338:AJ338), Source!$G338, "")</f>
        <v/>
      </c>
      <c r="AK338" s="2" t="str">
        <f>IF(Source!$C338&gt;=COLUMNS($A338:AK338), Source!$G338, "")</f>
        <v/>
      </c>
      <c r="AL338" s="2" t="str">
        <f>IF(Source!$C338&gt;=COLUMNS($A338:AL338), Source!$G338, "")</f>
        <v/>
      </c>
      <c r="AM338" s="2" t="str">
        <f>IF(Source!$C338&gt;=COLUMNS($A338:AM338), Source!$G338, "")</f>
        <v/>
      </c>
      <c r="AN338" s="2" t="str">
        <f>IF(Source!$C338&gt;=COLUMNS($A338:AN338), Source!$G338, "")</f>
        <v/>
      </c>
      <c r="AO338" s="2" t="str">
        <f>IF(Source!$C338&gt;=COLUMNS($A338:AO338), Source!$G338, "")</f>
        <v/>
      </c>
      <c r="AP338" s="2" t="str">
        <f>IF(Source!$C338&gt;=COLUMNS($A338:AP338), Source!$G338, "")</f>
        <v/>
      </c>
      <c r="AQ338" s="2" t="str">
        <f>IF(Source!$C338&gt;=COLUMNS($A338:AQ338), Source!$G338, "")</f>
        <v/>
      </c>
      <c r="AR338" s="2" t="str">
        <f>IF(Source!$C338&gt;=COLUMNS($A338:AR338), Source!$G338, "")</f>
        <v/>
      </c>
    </row>
    <row r="339">
      <c r="A339" s="2">
        <f>IF(Source!$C339&gt;=COLUMNS($A339:A339), Source!$G339, "")</f>
        <v>5</v>
      </c>
      <c r="B339" s="2">
        <f>IF(Source!$C339&gt;=COLUMNS($A339:B339), Source!$G339, "")</f>
        <v>5</v>
      </c>
      <c r="C339" s="2" t="str">
        <f>IF(Source!$C339&gt;=COLUMNS($A339:C339), Source!$G339, "")</f>
        <v/>
      </c>
      <c r="D339" s="2" t="str">
        <f>IF(Source!$C339&gt;=COLUMNS($A339:D339), Source!$G339, "")</f>
        <v/>
      </c>
      <c r="E339" s="2" t="str">
        <f>IF(Source!$C339&gt;=COLUMNS($A339:E339), Source!$G339, "")</f>
        <v/>
      </c>
      <c r="F339" s="2" t="str">
        <f>IF(Source!$C339&gt;=COLUMNS($A339:F339), Source!$G339, "")</f>
        <v/>
      </c>
      <c r="G339" s="2" t="str">
        <f>IF(Source!$C339&gt;=COLUMNS($A339:G339), Source!$G339, "")</f>
        <v/>
      </c>
      <c r="H339" s="2" t="str">
        <f>IF(Source!$C339&gt;=COLUMNS($A339:H339), Source!$G339, "")</f>
        <v/>
      </c>
      <c r="I339" s="2" t="str">
        <f>IF(Source!$C339&gt;=COLUMNS($A339:I339), Source!$G339, "")</f>
        <v/>
      </c>
      <c r="J339" s="2" t="str">
        <f>IF(Source!$C339&gt;=COLUMNS($A339:J339), Source!$G339, "")</f>
        <v/>
      </c>
      <c r="K339" s="2" t="str">
        <f>IF(Source!$C339&gt;=COLUMNS($A339:K339), Source!$G339, "")</f>
        <v/>
      </c>
      <c r="L339" s="2" t="str">
        <f>IF(Source!$C339&gt;=COLUMNS($A339:L339), Source!$G339, "")</f>
        <v/>
      </c>
      <c r="M339" s="2" t="str">
        <f>IF(Source!$C339&gt;=COLUMNS($A339:M339), Source!$G339, "")</f>
        <v/>
      </c>
      <c r="N339" s="2" t="str">
        <f>IF(Source!$C339&gt;=COLUMNS($A339:N339), Source!$G339, "")</f>
        <v/>
      </c>
      <c r="O339" s="2" t="str">
        <f>IF(Source!$C339&gt;=COLUMNS($A339:O339), Source!$G339, "")</f>
        <v/>
      </c>
      <c r="P339" s="2" t="str">
        <f>IF(Source!$C339&gt;=COLUMNS($A339:P339), Source!$G339, "")</f>
        <v/>
      </c>
      <c r="Q339" s="2" t="str">
        <f>IF(Source!$C339&gt;=COLUMNS($A339:Q339), Source!$G339, "")</f>
        <v/>
      </c>
      <c r="R339" s="2" t="str">
        <f>IF(Source!$C339&gt;=COLUMNS($A339:R339), Source!$G339, "")</f>
        <v/>
      </c>
      <c r="S339" s="2" t="str">
        <f>IF(Source!$C339&gt;=COLUMNS($A339:S339), Source!$G339, "")</f>
        <v/>
      </c>
      <c r="T339" s="2" t="str">
        <f>IF(Source!$C339&gt;=COLUMNS($A339:T339), Source!$G339, "")</f>
        <v/>
      </c>
      <c r="U339" s="2" t="str">
        <f>IF(Source!$C339&gt;=COLUMNS($A339:U339), Source!$G339, "")</f>
        <v/>
      </c>
      <c r="V339" s="2" t="str">
        <f>IF(Source!$C339&gt;=COLUMNS($A339:V339), Source!$G339, "")</f>
        <v/>
      </c>
      <c r="W339" s="2" t="str">
        <f>IF(Source!$C339&gt;=COLUMNS($A339:W339), Source!$G339, "")</f>
        <v/>
      </c>
      <c r="X339" s="2" t="str">
        <f>IF(Source!$C339&gt;=COLUMNS($A339:X339), Source!$G339, "")</f>
        <v/>
      </c>
      <c r="Y339" s="2" t="str">
        <f>IF(Source!$C339&gt;=COLUMNS($A339:Y339), Source!$G339, "")</f>
        <v/>
      </c>
      <c r="Z339" s="2" t="str">
        <f>IF(Source!$C339&gt;=COLUMNS($A339:Z339), Source!$G339, "")</f>
        <v/>
      </c>
      <c r="AA339" s="2" t="str">
        <f>IF(Source!$C339&gt;=COLUMNS($A339:AA339), Source!$G339, "")</f>
        <v/>
      </c>
      <c r="AB339" s="2" t="str">
        <f>IF(Source!$C339&gt;=COLUMNS($A339:AB339), Source!$G339, "")</f>
        <v/>
      </c>
      <c r="AC339" s="2" t="str">
        <f>IF(Source!$C339&gt;=COLUMNS($A339:AC339), Source!$G339, "")</f>
        <v/>
      </c>
      <c r="AD339" s="2" t="str">
        <f>IF(Source!$C339&gt;=COLUMNS($A339:AD339), Source!$G339, "")</f>
        <v/>
      </c>
      <c r="AE339" s="2" t="str">
        <f>IF(Source!$C339&gt;=COLUMNS($A339:AE339), Source!$G339, "")</f>
        <v/>
      </c>
      <c r="AF339" s="2" t="str">
        <f>IF(Source!$C339&gt;=COLUMNS($A339:AF339), Source!$G339, "")</f>
        <v/>
      </c>
      <c r="AG339" s="2" t="str">
        <f>IF(Source!$C339&gt;=COLUMNS($A339:AG339), Source!$G339, "")</f>
        <v/>
      </c>
      <c r="AH339" s="2" t="str">
        <f>IF(Source!$C339&gt;=COLUMNS($A339:AH339), Source!$G339, "")</f>
        <v/>
      </c>
      <c r="AI339" s="2" t="str">
        <f>IF(Source!$C339&gt;=COLUMNS($A339:AI339), Source!$G339, "")</f>
        <v/>
      </c>
      <c r="AJ339" s="2" t="str">
        <f>IF(Source!$C339&gt;=COLUMNS($A339:AJ339), Source!$G339, "")</f>
        <v/>
      </c>
      <c r="AK339" s="2" t="str">
        <f>IF(Source!$C339&gt;=COLUMNS($A339:AK339), Source!$G339, "")</f>
        <v/>
      </c>
      <c r="AL339" s="2" t="str">
        <f>IF(Source!$C339&gt;=COLUMNS($A339:AL339), Source!$G339, "")</f>
        <v/>
      </c>
      <c r="AM339" s="2" t="str">
        <f>IF(Source!$C339&gt;=COLUMNS($A339:AM339), Source!$G339, "")</f>
        <v/>
      </c>
      <c r="AN339" s="2" t="str">
        <f>IF(Source!$C339&gt;=COLUMNS($A339:AN339), Source!$G339, "")</f>
        <v/>
      </c>
      <c r="AO339" s="2" t="str">
        <f>IF(Source!$C339&gt;=COLUMNS($A339:AO339), Source!$G339, "")</f>
        <v/>
      </c>
      <c r="AP339" s="2" t="str">
        <f>IF(Source!$C339&gt;=COLUMNS($A339:AP339), Source!$G339, "")</f>
        <v/>
      </c>
      <c r="AQ339" s="2" t="str">
        <f>IF(Source!$C339&gt;=COLUMNS($A339:AQ339), Source!$G339, "")</f>
        <v/>
      </c>
      <c r="AR339" s="2" t="str">
        <f>IF(Source!$C339&gt;=COLUMNS($A339:AR339), Source!$G339, "")</f>
        <v/>
      </c>
    </row>
    <row r="340">
      <c r="A340" s="2">
        <f>IF(Source!$C340&gt;=COLUMNS($A340:A340), Source!$G340, "")</f>
        <v>5</v>
      </c>
      <c r="B340" s="2">
        <f>IF(Source!$C340&gt;=COLUMNS($A340:B340), Source!$G340, "")</f>
        <v>5</v>
      </c>
      <c r="C340" s="2">
        <f>IF(Source!$C340&gt;=COLUMNS($A340:C340), Source!$G340, "")</f>
        <v>5</v>
      </c>
      <c r="D340" s="2">
        <f>IF(Source!$C340&gt;=COLUMNS($A340:D340), Source!$G340, "")</f>
        <v>5</v>
      </c>
      <c r="E340" s="2">
        <f>IF(Source!$C340&gt;=COLUMNS($A340:E340), Source!$G340, "")</f>
        <v>5</v>
      </c>
      <c r="F340" s="2">
        <f>IF(Source!$C340&gt;=COLUMNS($A340:F340), Source!$G340, "")</f>
        <v>5</v>
      </c>
      <c r="G340" s="2">
        <f>IF(Source!$C340&gt;=COLUMNS($A340:G340), Source!$G340, "")</f>
        <v>5</v>
      </c>
      <c r="H340" s="2">
        <f>IF(Source!$C340&gt;=COLUMNS($A340:H340), Source!$G340, "")</f>
        <v>5</v>
      </c>
      <c r="I340" s="2">
        <f>IF(Source!$C340&gt;=COLUMNS($A340:I340), Source!$G340, "")</f>
        <v>5</v>
      </c>
      <c r="J340" s="2">
        <f>IF(Source!$C340&gt;=COLUMNS($A340:J340), Source!$G340, "")</f>
        <v>5</v>
      </c>
      <c r="K340" s="2">
        <f>IF(Source!$C340&gt;=COLUMNS($A340:K340), Source!$G340, "")</f>
        <v>5</v>
      </c>
      <c r="L340" s="2">
        <f>IF(Source!$C340&gt;=COLUMNS($A340:L340), Source!$G340, "")</f>
        <v>5</v>
      </c>
      <c r="M340" s="2">
        <f>IF(Source!$C340&gt;=COLUMNS($A340:M340), Source!$G340, "")</f>
        <v>5</v>
      </c>
      <c r="N340" s="2">
        <f>IF(Source!$C340&gt;=COLUMNS($A340:N340), Source!$G340, "")</f>
        <v>5</v>
      </c>
      <c r="O340" s="2">
        <f>IF(Source!$C340&gt;=COLUMNS($A340:O340), Source!$G340, "")</f>
        <v>5</v>
      </c>
      <c r="P340" s="2">
        <f>IF(Source!$C340&gt;=COLUMNS($A340:P340), Source!$G340, "")</f>
        <v>5</v>
      </c>
      <c r="Q340" s="2">
        <f>IF(Source!$C340&gt;=COLUMNS($A340:Q340), Source!$G340, "")</f>
        <v>5</v>
      </c>
      <c r="R340" s="2">
        <f>IF(Source!$C340&gt;=COLUMNS($A340:R340), Source!$G340, "")</f>
        <v>5</v>
      </c>
      <c r="S340" s="2">
        <f>IF(Source!$C340&gt;=COLUMNS($A340:S340), Source!$G340, "")</f>
        <v>5</v>
      </c>
      <c r="T340" s="2">
        <f>IF(Source!$C340&gt;=COLUMNS($A340:T340), Source!$G340, "")</f>
        <v>5</v>
      </c>
      <c r="U340" s="2">
        <f>IF(Source!$C340&gt;=COLUMNS($A340:U340), Source!$G340, "")</f>
        <v>5</v>
      </c>
      <c r="V340" s="2">
        <f>IF(Source!$C340&gt;=COLUMNS($A340:V340), Source!$G340, "")</f>
        <v>5</v>
      </c>
      <c r="W340" s="2">
        <f>IF(Source!$C340&gt;=COLUMNS($A340:W340), Source!$G340, "")</f>
        <v>5</v>
      </c>
      <c r="X340" s="2">
        <f>IF(Source!$C340&gt;=COLUMNS($A340:X340), Source!$G340, "")</f>
        <v>5</v>
      </c>
      <c r="Y340" s="2">
        <f>IF(Source!$C340&gt;=COLUMNS($A340:Y340), Source!$G340, "")</f>
        <v>5</v>
      </c>
      <c r="Z340" s="2">
        <f>IF(Source!$C340&gt;=COLUMNS($A340:Z340), Source!$G340, "")</f>
        <v>5</v>
      </c>
      <c r="AA340" s="2">
        <f>IF(Source!$C340&gt;=COLUMNS($A340:AA340), Source!$G340, "")</f>
        <v>5</v>
      </c>
      <c r="AB340" s="2">
        <f>IF(Source!$C340&gt;=COLUMNS($A340:AB340), Source!$G340, "")</f>
        <v>5</v>
      </c>
      <c r="AC340" s="2">
        <f>IF(Source!$C340&gt;=COLUMNS($A340:AC340), Source!$G340, "")</f>
        <v>5</v>
      </c>
      <c r="AD340" s="2">
        <f>IF(Source!$C340&gt;=COLUMNS($A340:AD340), Source!$G340, "")</f>
        <v>5</v>
      </c>
      <c r="AE340" s="2">
        <f>IF(Source!$C340&gt;=COLUMNS($A340:AE340), Source!$G340, "")</f>
        <v>5</v>
      </c>
      <c r="AF340" s="2">
        <f>IF(Source!$C340&gt;=COLUMNS($A340:AF340), Source!$G340, "")</f>
        <v>5</v>
      </c>
      <c r="AG340" s="2">
        <f>IF(Source!$C340&gt;=COLUMNS($A340:AG340), Source!$G340, "")</f>
        <v>5</v>
      </c>
      <c r="AH340" s="2" t="str">
        <f>IF(Source!$C340&gt;=COLUMNS($A340:AH340), Source!$G340, "")</f>
        <v/>
      </c>
      <c r="AI340" s="2" t="str">
        <f>IF(Source!$C340&gt;=COLUMNS($A340:AI340), Source!$G340, "")</f>
        <v/>
      </c>
      <c r="AJ340" s="2" t="str">
        <f>IF(Source!$C340&gt;=COLUMNS($A340:AJ340), Source!$G340, "")</f>
        <v/>
      </c>
      <c r="AK340" s="2" t="str">
        <f>IF(Source!$C340&gt;=COLUMNS($A340:AK340), Source!$G340, "")</f>
        <v/>
      </c>
      <c r="AL340" s="2" t="str">
        <f>IF(Source!$C340&gt;=COLUMNS($A340:AL340), Source!$G340, "")</f>
        <v/>
      </c>
      <c r="AM340" s="2" t="str">
        <f>IF(Source!$C340&gt;=COLUMNS($A340:AM340), Source!$G340, "")</f>
        <v/>
      </c>
      <c r="AN340" s="2" t="str">
        <f>IF(Source!$C340&gt;=COLUMNS($A340:AN340), Source!$G340, "")</f>
        <v/>
      </c>
      <c r="AO340" s="2" t="str">
        <f>IF(Source!$C340&gt;=COLUMNS($A340:AO340), Source!$G340, "")</f>
        <v/>
      </c>
      <c r="AP340" s="2" t="str">
        <f>IF(Source!$C340&gt;=COLUMNS($A340:AP340), Source!$G340, "")</f>
        <v/>
      </c>
      <c r="AQ340" s="2" t="str">
        <f>IF(Source!$C340&gt;=COLUMNS($A340:AQ340), Source!$G340, "")</f>
        <v/>
      </c>
      <c r="AR340" s="2" t="str">
        <f>IF(Source!$C340&gt;=COLUMNS($A340:AR340), Source!$G340, "")</f>
        <v/>
      </c>
    </row>
    <row r="341">
      <c r="A341" s="2">
        <f>IF(Source!$C341&gt;=COLUMNS($A341:A341), Source!$G341, "")</f>
        <v>6</v>
      </c>
      <c r="B341" s="2">
        <f>IF(Source!$C341&gt;=COLUMNS($A341:B341), Source!$G341, "")</f>
        <v>6</v>
      </c>
      <c r="C341" s="2">
        <f>IF(Source!$C341&gt;=COLUMNS($A341:C341), Source!$G341, "")</f>
        <v>6</v>
      </c>
      <c r="D341" s="2">
        <f>IF(Source!$C341&gt;=COLUMNS($A341:D341), Source!$G341, "")</f>
        <v>6</v>
      </c>
      <c r="E341" s="2">
        <f>IF(Source!$C341&gt;=COLUMNS($A341:E341), Source!$G341, "")</f>
        <v>6</v>
      </c>
      <c r="F341" s="2">
        <f>IF(Source!$C341&gt;=COLUMNS($A341:F341), Source!$G341, "")</f>
        <v>6</v>
      </c>
      <c r="G341" s="2">
        <f>IF(Source!$C341&gt;=COLUMNS($A341:G341), Source!$G341, "")</f>
        <v>6</v>
      </c>
      <c r="H341" s="2">
        <f>IF(Source!$C341&gt;=COLUMNS($A341:H341), Source!$G341, "")</f>
        <v>6</v>
      </c>
      <c r="I341" s="2">
        <f>IF(Source!$C341&gt;=COLUMNS($A341:I341), Source!$G341, "")</f>
        <v>6</v>
      </c>
      <c r="J341" s="2">
        <f>IF(Source!$C341&gt;=COLUMNS($A341:J341), Source!$G341, "")</f>
        <v>6</v>
      </c>
      <c r="K341" s="2">
        <f>IF(Source!$C341&gt;=COLUMNS($A341:K341), Source!$G341, "")</f>
        <v>6</v>
      </c>
      <c r="L341" s="2">
        <f>IF(Source!$C341&gt;=COLUMNS($A341:L341), Source!$G341, "")</f>
        <v>6</v>
      </c>
      <c r="M341" s="2">
        <f>IF(Source!$C341&gt;=COLUMNS($A341:M341), Source!$G341, "")</f>
        <v>6</v>
      </c>
      <c r="N341" s="2">
        <f>IF(Source!$C341&gt;=COLUMNS($A341:N341), Source!$G341, "")</f>
        <v>6</v>
      </c>
      <c r="O341" s="2">
        <f>IF(Source!$C341&gt;=COLUMNS($A341:O341), Source!$G341, "")</f>
        <v>6</v>
      </c>
      <c r="P341" s="2">
        <f>IF(Source!$C341&gt;=COLUMNS($A341:P341), Source!$G341, "")</f>
        <v>6</v>
      </c>
      <c r="Q341" s="2">
        <f>IF(Source!$C341&gt;=COLUMNS($A341:Q341), Source!$G341, "")</f>
        <v>6</v>
      </c>
      <c r="R341" s="2">
        <f>IF(Source!$C341&gt;=COLUMNS($A341:R341), Source!$G341, "")</f>
        <v>6</v>
      </c>
      <c r="S341" s="2">
        <f>IF(Source!$C341&gt;=COLUMNS($A341:S341), Source!$G341, "")</f>
        <v>6</v>
      </c>
      <c r="T341" s="2">
        <f>IF(Source!$C341&gt;=COLUMNS($A341:T341), Source!$G341, "")</f>
        <v>6</v>
      </c>
      <c r="U341" s="2">
        <f>IF(Source!$C341&gt;=COLUMNS($A341:U341), Source!$G341, "")</f>
        <v>6</v>
      </c>
      <c r="V341" s="2">
        <f>IF(Source!$C341&gt;=COLUMNS($A341:V341), Source!$G341, "")</f>
        <v>6</v>
      </c>
      <c r="W341" s="2">
        <f>IF(Source!$C341&gt;=COLUMNS($A341:W341), Source!$G341, "")</f>
        <v>6</v>
      </c>
      <c r="X341" s="2">
        <f>IF(Source!$C341&gt;=COLUMNS($A341:X341), Source!$G341, "")</f>
        <v>6</v>
      </c>
      <c r="Y341" s="2">
        <f>IF(Source!$C341&gt;=COLUMNS($A341:Y341), Source!$G341, "")</f>
        <v>6</v>
      </c>
      <c r="Z341" s="2">
        <f>IF(Source!$C341&gt;=COLUMNS($A341:Z341), Source!$G341, "")</f>
        <v>6</v>
      </c>
      <c r="AA341" s="2" t="str">
        <f>IF(Source!$C341&gt;=COLUMNS($A341:AA341), Source!$G341, "")</f>
        <v/>
      </c>
      <c r="AB341" s="2" t="str">
        <f>IF(Source!$C341&gt;=COLUMNS($A341:AB341), Source!$G341, "")</f>
        <v/>
      </c>
      <c r="AC341" s="2" t="str">
        <f>IF(Source!$C341&gt;=COLUMNS($A341:AC341), Source!$G341, "")</f>
        <v/>
      </c>
      <c r="AD341" s="2" t="str">
        <f>IF(Source!$C341&gt;=COLUMNS($A341:AD341), Source!$G341, "")</f>
        <v/>
      </c>
      <c r="AE341" s="2" t="str">
        <f>IF(Source!$C341&gt;=COLUMNS($A341:AE341), Source!$G341, "")</f>
        <v/>
      </c>
      <c r="AF341" s="2" t="str">
        <f>IF(Source!$C341&gt;=COLUMNS($A341:AF341), Source!$G341, "")</f>
        <v/>
      </c>
      <c r="AG341" s="2" t="str">
        <f>IF(Source!$C341&gt;=COLUMNS($A341:AG341), Source!$G341, "")</f>
        <v/>
      </c>
      <c r="AH341" s="2" t="str">
        <f>IF(Source!$C341&gt;=COLUMNS($A341:AH341), Source!$G341, "")</f>
        <v/>
      </c>
      <c r="AI341" s="2" t="str">
        <f>IF(Source!$C341&gt;=COLUMNS($A341:AI341), Source!$G341, "")</f>
        <v/>
      </c>
      <c r="AJ341" s="2" t="str">
        <f>IF(Source!$C341&gt;=COLUMNS($A341:AJ341), Source!$G341, "")</f>
        <v/>
      </c>
      <c r="AK341" s="2" t="str">
        <f>IF(Source!$C341&gt;=COLUMNS($A341:AK341), Source!$G341, "")</f>
        <v/>
      </c>
      <c r="AL341" s="2" t="str">
        <f>IF(Source!$C341&gt;=COLUMNS($A341:AL341), Source!$G341, "")</f>
        <v/>
      </c>
      <c r="AM341" s="2" t="str">
        <f>IF(Source!$C341&gt;=COLUMNS($A341:AM341), Source!$G341, "")</f>
        <v/>
      </c>
      <c r="AN341" s="2" t="str">
        <f>IF(Source!$C341&gt;=COLUMNS($A341:AN341), Source!$G341, "")</f>
        <v/>
      </c>
      <c r="AO341" s="2" t="str">
        <f>IF(Source!$C341&gt;=COLUMNS($A341:AO341), Source!$G341, "")</f>
        <v/>
      </c>
      <c r="AP341" s="2" t="str">
        <f>IF(Source!$C341&gt;=COLUMNS($A341:AP341), Source!$G341, "")</f>
        <v/>
      </c>
      <c r="AQ341" s="2" t="str">
        <f>IF(Source!$C341&gt;=COLUMNS($A341:AQ341), Source!$G341, "")</f>
        <v/>
      </c>
      <c r="AR341" s="2" t="str">
        <f>IF(Source!$C341&gt;=COLUMNS($A341:AR341), Source!$G341, "")</f>
        <v/>
      </c>
    </row>
    <row r="342">
      <c r="A342" s="2">
        <f>IF(Source!$C342&gt;=COLUMNS($A342:A342), Source!$G342, "")</f>
        <v>7</v>
      </c>
      <c r="B342" s="2">
        <f>IF(Source!$C342&gt;=COLUMNS($A342:B342), Source!$G342, "")</f>
        <v>7</v>
      </c>
      <c r="C342" s="2">
        <f>IF(Source!$C342&gt;=COLUMNS($A342:C342), Source!$G342, "")</f>
        <v>7</v>
      </c>
      <c r="D342" s="2">
        <f>IF(Source!$C342&gt;=COLUMNS($A342:D342), Source!$G342, "")</f>
        <v>7</v>
      </c>
      <c r="E342" s="2" t="str">
        <f>IF(Source!$C342&gt;=COLUMNS($A342:E342), Source!$G342, "")</f>
        <v/>
      </c>
      <c r="F342" s="2" t="str">
        <f>IF(Source!$C342&gt;=COLUMNS($A342:F342), Source!$G342, "")</f>
        <v/>
      </c>
      <c r="G342" s="2" t="str">
        <f>IF(Source!$C342&gt;=COLUMNS($A342:G342), Source!$G342, "")</f>
        <v/>
      </c>
      <c r="H342" s="2" t="str">
        <f>IF(Source!$C342&gt;=COLUMNS($A342:H342), Source!$G342, "")</f>
        <v/>
      </c>
      <c r="I342" s="2" t="str">
        <f>IF(Source!$C342&gt;=COLUMNS($A342:I342), Source!$G342, "")</f>
        <v/>
      </c>
      <c r="J342" s="2" t="str">
        <f>IF(Source!$C342&gt;=COLUMNS($A342:J342), Source!$G342, "")</f>
        <v/>
      </c>
      <c r="K342" s="2" t="str">
        <f>IF(Source!$C342&gt;=COLUMNS($A342:K342), Source!$G342, "")</f>
        <v/>
      </c>
      <c r="L342" s="2" t="str">
        <f>IF(Source!$C342&gt;=COLUMNS($A342:L342), Source!$G342, "")</f>
        <v/>
      </c>
      <c r="M342" s="2" t="str">
        <f>IF(Source!$C342&gt;=COLUMNS($A342:M342), Source!$G342, "")</f>
        <v/>
      </c>
      <c r="N342" s="2" t="str">
        <f>IF(Source!$C342&gt;=COLUMNS($A342:N342), Source!$G342, "")</f>
        <v/>
      </c>
      <c r="O342" s="2" t="str">
        <f>IF(Source!$C342&gt;=COLUMNS($A342:O342), Source!$G342, "")</f>
        <v/>
      </c>
      <c r="P342" s="2" t="str">
        <f>IF(Source!$C342&gt;=COLUMNS($A342:P342), Source!$G342, "")</f>
        <v/>
      </c>
      <c r="Q342" s="2" t="str">
        <f>IF(Source!$C342&gt;=COLUMNS($A342:Q342), Source!$G342, "")</f>
        <v/>
      </c>
      <c r="R342" s="2" t="str">
        <f>IF(Source!$C342&gt;=COLUMNS($A342:R342), Source!$G342, "")</f>
        <v/>
      </c>
      <c r="S342" s="2" t="str">
        <f>IF(Source!$C342&gt;=COLUMNS($A342:S342), Source!$G342, "")</f>
        <v/>
      </c>
      <c r="T342" s="2" t="str">
        <f>IF(Source!$C342&gt;=COLUMNS($A342:T342), Source!$G342, "")</f>
        <v/>
      </c>
      <c r="U342" s="2" t="str">
        <f>IF(Source!$C342&gt;=COLUMNS($A342:U342), Source!$G342, "")</f>
        <v/>
      </c>
      <c r="V342" s="2" t="str">
        <f>IF(Source!$C342&gt;=COLUMNS($A342:V342), Source!$G342, "")</f>
        <v/>
      </c>
      <c r="W342" s="2" t="str">
        <f>IF(Source!$C342&gt;=COLUMNS($A342:W342), Source!$G342, "")</f>
        <v/>
      </c>
      <c r="X342" s="2" t="str">
        <f>IF(Source!$C342&gt;=COLUMNS($A342:X342), Source!$G342, "")</f>
        <v/>
      </c>
      <c r="Y342" s="2" t="str">
        <f>IF(Source!$C342&gt;=COLUMNS($A342:Y342), Source!$G342, "")</f>
        <v/>
      </c>
      <c r="Z342" s="2" t="str">
        <f>IF(Source!$C342&gt;=COLUMNS($A342:Z342), Source!$G342, "")</f>
        <v/>
      </c>
      <c r="AA342" s="2" t="str">
        <f>IF(Source!$C342&gt;=COLUMNS($A342:AA342), Source!$G342, "")</f>
        <v/>
      </c>
      <c r="AB342" s="2" t="str">
        <f>IF(Source!$C342&gt;=COLUMNS($A342:AB342), Source!$G342, "")</f>
        <v/>
      </c>
      <c r="AC342" s="2" t="str">
        <f>IF(Source!$C342&gt;=COLUMNS($A342:AC342), Source!$G342, "")</f>
        <v/>
      </c>
      <c r="AD342" s="2" t="str">
        <f>IF(Source!$C342&gt;=COLUMNS($A342:AD342), Source!$G342, "")</f>
        <v/>
      </c>
      <c r="AE342" s="2" t="str">
        <f>IF(Source!$C342&gt;=COLUMNS($A342:AE342), Source!$G342, "")</f>
        <v/>
      </c>
      <c r="AF342" s="2" t="str">
        <f>IF(Source!$C342&gt;=COLUMNS($A342:AF342), Source!$G342, "")</f>
        <v/>
      </c>
      <c r="AG342" s="2" t="str">
        <f>IF(Source!$C342&gt;=COLUMNS($A342:AG342), Source!$G342, "")</f>
        <v/>
      </c>
      <c r="AH342" s="2" t="str">
        <f>IF(Source!$C342&gt;=COLUMNS($A342:AH342), Source!$G342, "")</f>
        <v/>
      </c>
      <c r="AI342" s="2" t="str">
        <f>IF(Source!$C342&gt;=COLUMNS($A342:AI342), Source!$G342, "")</f>
        <v/>
      </c>
      <c r="AJ342" s="2" t="str">
        <f>IF(Source!$C342&gt;=COLUMNS($A342:AJ342), Source!$G342, "")</f>
        <v/>
      </c>
      <c r="AK342" s="2" t="str">
        <f>IF(Source!$C342&gt;=COLUMNS($A342:AK342), Source!$G342, "")</f>
        <v/>
      </c>
      <c r="AL342" s="2" t="str">
        <f>IF(Source!$C342&gt;=COLUMNS($A342:AL342), Source!$G342, "")</f>
        <v/>
      </c>
      <c r="AM342" s="2" t="str">
        <f>IF(Source!$C342&gt;=COLUMNS($A342:AM342), Source!$G342, "")</f>
        <v/>
      </c>
      <c r="AN342" s="2" t="str">
        <f>IF(Source!$C342&gt;=COLUMNS($A342:AN342), Source!$G342, "")</f>
        <v/>
      </c>
      <c r="AO342" s="2" t="str">
        <f>IF(Source!$C342&gt;=COLUMNS($A342:AO342), Source!$G342, "")</f>
        <v/>
      </c>
      <c r="AP342" s="2" t="str">
        <f>IF(Source!$C342&gt;=COLUMNS($A342:AP342), Source!$G342, "")</f>
        <v/>
      </c>
      <c r="AQ342" s="2" t="str">
        <f>IF(Source!$C342&gt;=COLUMNS($A342:AQ342), Source!$G342, "")</f>
        <v/>
      </c>
      <c r="AR342" s="2" t="str">
        <f>IF(Source!$C342&gt;=COLUMNS($A342:AR342), Source!$G342, "")</f>
        <v/>
      </c>
    </row>
    <row r="343">
      <c r="A343" s="2">
        <f>IF(Source!$C343&gt;=COLUMNS($A343:A343), Source!$G343, "")</f>
        <v>7</v>
      </c>
      <c r="B343" s="2">
        <f>IF(Source!$C343&gt;=COLUMNS($A343:B343), Source!$G343, "")</f>
        <v>7</v>
      </c>
      <c r="C343" s="2" t="str">
        <f>IF(Source!$C343&gt;=COLUMNS($A343:C343), Source!$G343, "")</f>
        <v/>
      </c>
      <c r="D343" s="2" t="str">
        <f>IF(Source!$C343&gt;=COLUMNS($A343:D343), Source!$G343, "")</f>
        <v/>
      </c>
      <c r="E343" s="2" t="str">
        <f>IF(Source!$C343&gt;=COLUMNS($A343:E343), Source!$G343, "")</f>
        <v/>
      </c>
      <c r="F343" s="2" t="str">
        <f>IF(Source!$C343&gt;=COLUMNS($A343:F343), Source!$G343, "")</f>
        <v/>
      </c>
      <c r="G343" s="2" t="str">
        <f>IF(Source!$C343&gt;=COLUMNS($A343:G343), Source!$G343, "")</f>
        <v/>
      </c>
      <c r="H343" s="2" t="str">
        <f>IF(Source!$C343&gt;=COLUMNS($A343:H343), Source!$G343, "")</f>
        <v/>
      </c>
      <c r="I343" s="2" t="str">
        <f>IF(Source!$C343&gt;=COLUMNS($A343:I343), Source!$G343, "")</f>
        <v/>
      </c>
      <c r="J343" s="2" t="str">
        <f>IF(Source!$C343&gt;=COLUMNS($A343:J343), Source!$G343, "")</f>
        <v/>
      </c>
      <c r="K343" s="2" t="str">
        <f>IF(Source!$C343&gt;=COLUMNS($A343:K343), Source!$G343, "")</f>
        <v/>
      </c>
      <c r="L343" s="2" t="str">
        <f>IF(Source!$C343&gt;=COLUMNS($A343:L343), Source!$G343, "")</f>
        <v/>
      </c>
      <c r="M343" s="2" t="str">
        <f>IF(Source!$C343&gt;=COLUMNS($A343:M343), Source!$G343, "")</f>
        <v/>
      </c>
      <c r="N343" s="2" t="str">
        <f>IF(Source!$C343&gt;=COLUMNS($A343:N343), Source!$G343, "")</f>
        <v/>
      </c>
      <c r="O343" s="2" t="str">
        <f>IF(Source!$C343&gt;=COLUMNS($A343:O343), Source!$G343, "")</f>
        <v/>
      </c>
      <c r="P343" s="2" t="str">
        <f>IF(Source!$C343&gt;=COLUMNS($A343:P343), Source!$G343, "")</f>
        <v/>
      </c>
      <c r="Q343" s="2" t="str">
        <f>IF(Source!$C343&gt;=COLUMNS($A343:Q343), Source!$G343, "")</f>
        <v/>
      </c>
      <c r="R343" s="2" t="str">
        <f>IF(Source!$C343&gt;=COLUMNS($A343:R343), Source!$G343, "")</f>
        <v/>
      </c>
      <c r="S343" s="2" t="str">
        <f>IF(Source!$C343&gt;=COLUMNS($A343:S343), Source!$G343, "")</f>
        <v/>
      </c>
      <c r="T343" s="2" t="str">
        <f>IF(Source!$C343&gt;=COLUMNS($A343:T343), Source!$G343, "")</f>
        <v/>
      </c>
      <c r="U343" s="2" t="str">
        <f>IF(Source!$C343&gt;=COLUMNS($A343:U343), Source!$G343, "")</f>
        <v/>
      </c>
      <c r="V343" s="2" t="str">
        <f>IF(Source!$C343&gt;=COLUMNS($A343:V343), Source!$G343, "")</f>
        <v/>
      </c>
      <c r="W343" s="2" t="str">
        <f>IF(Source!$C343&gt;=COLUMNS($A343:W343), Source!$G343, "")</f>
        <v/>
      </c>
      <c r="X343" s="2" t="str">
        <f>IF(Source!$C343&gt;=COLUMNS($A343:X343), Source!$G343, "")</f>
        <v/>
      </c>
      <c r="Y343" s="2" t="str">
        <f>IF(Source!$C343&gt;=COLUMNS($A343:Y343), Source!$G343, "")</f>
        <v/>
      </c>
      <c r="Z343" s="2" t="str">
        <f>IF(Source!$C343&gt;=COLUMNS($A343:Z343), Source!$G343, "")</f>
        <v/>
      </c>
      <c r="AA343" s="2" t="str">
        <f>IF(Source!$C343&gt;=COLUMNS($A343:AA343), Source!$G343, "")</f>
        <v/>
      </c>
      <c r="AB343" s="2" t="str">
        <f>IF(Source!$C343&gt;=COLUMNS($A343:AB343), Source!$G343, "")</f>
        <v/>
      </c>
      <c r="AC343" s="2" t="str">
        <f>IF(Source!$C343&gt;=COLUMNS($A343:AC343), Source!$G343, "")</f>
        <v/>
      </c>
      <c r="AD343" s="2" t="str">
        <f>IF(Source!$C343&gt;=COLUMNS($A343:AD343), Source!$G343, "")</f>
        <v/>
      </c>
      <c r="AE343" s="2" t="str">
        <f>IF(Source!$C343&gt;=COLUMNS($A343:AE343), Source!$G343, "")</f>
        <v/>
      </c>
      <c r="AF343" s="2" t="str">
        <f>IF(Source!$C343&gt;=COLUMNS($A343:AF343), Source!$G343, "")</f>
        <v/>
      </c>
      <c r="AG343" s="2" t="str">
        <f>IF(Source!$C343&gt;=COLUMNS($A343:AG343), Source!$G343, "")</f>
        <v/>
      </c>
      <c r="AH343" s="2" t="str">
        <f>IF(Source!$C343&gt;=COLUMNS($A343:AH343), Source!$G343, "")</f>
        <v/>
      </c>
      <c r="AI343" s="2" t="str">
        <f>IF(Source!$C343&gt;=COLUMNS($A343:AI343), Source!$G343, "")</f>
        <v/>
      </c>
      <c r="AJ343" s="2" t="str">
        <f>IF(Source!$C343&gt;=COLUMNS($A343:AJ343), Source!$G343, "")</f>
        <v/>
      </c>
      <c r="AK343" s="2" t="str">
        <f>IF(Source!$C343&gt;=COLUMNS($A343:AK343), Source!$G343, "")</f>
        <v/>
      </c>
      <c r="AL343" s="2" t="str">
        <f>IF(Source!$C343&gt;=COLUMNS($A343:AL343), Source!$G343, "")</f>
        <v/>
      </c>
      <c r="AM343" s="2" t="str">
        <f>IF(Source!$C343&gt;=COLUMNS($A343:AM343), Source!$G343, "")</f>
        <v/>
      </c>
      <c r="AN343" s="2" t="str">
        <f>IF(Source!$C343&gt;=COLUMNS($A343:AN343), Source!$G343, "")</f>
        <v/>
      </c>
      <c r="AO343" s="2" t="str">
        <f>IF(Source!$C343&gt;=COLUMNS($A343:AO343), Source!$G343, "")</f>
        <v/>
      </c>
      <c r="AP343" s="2" t="str">
        <f>IF(Source!$C343&gt;=COLUMNS($A343:AP343), Source!$G343, "")</f>
        <v/>
      </c>
      <c r="AQ343" s="2" t="str">
        <f>IF(Source!$C343&gt;=COLUMNS($A343:AQ343), Source!$G343, "")</f>
        <v/>
      </c>
      <c r="AR343" s="2" t="str">
        <f>IF(Source!$C343&gt;=COLUMNS($A343:AR343), Source!$G343, "")</f>
        <v/>
      </c>
    </row>
    <row r="344">
      <c r="A344" s="2">
        <f>IF(Source!$C344&gt;=COLUMNS($A344:A344), Source!$G344, "")</f>
        <v>2</v>
      </c>
      <c r="B344" s="2">
        <f>IF(Source!$C344&gt;=COLUMNS($A344:B344), Source!$G344, "")</f>
        <v>2</v>
      </c>
      <c r="C344" s="2" t="str">
        <f>IF(Source!$C344&gt;=COLUMNS($A344:C344), Source!$G344, "")</f>
        <v/>
      </c>
      <c r="D344" s="2" t="str">
        <f>IF(Source!$C344&gt;=COLUMNS($A344:D344), Source!$G344, "")</f>
        <v/>
      </c>
      <c r="E344" s="2" t="str">
        <f>IF(Source!$C344&gt;=COLUMNS($A344:E344), Source!$G344, "")</f>
        <v/>
      </c>
      <c r="F344" s="2" t="str">
        <f>IF(Source!$C344&gt;=COLUMNS($A344:F344), Source!$G344, "")</f>
        <v/>
      </c>
      <c r="G344" s="2" t="str">
        <f>IF(Source!$C344&gt;=COLUMNS($A344:G344), Source!$G344, "")</f>
        <v/>
      </c>
      <c r="H344" s="2" t="str">
        <f>IF(Source!$C344&gt;=COLUMNS($A344:H344), Source!$G344, "")</f>
        <v/>
      </c>
      <c r="I344" s="2" t="str">
        <f>IF(Source!$C344&gt;=COLUMNS($A344:I344), Source!$G344, "")</f>
        <v/>
      </c>
      <c r="J344" s="2" t="str">
        <f>IF(Source!$C344&gt;=COLUMNS($A344:J344), Source!$G344, "")</f>
        <v/>
      </c>
      <c r="K344" s="2" t="str">
        <f>IF(Source!$C344&gt;=COLUMNS($A344:K344), Source!$G344, "")</f>
        <v/>
      </c>
      <c r="L344" s="2" t="str">
        <f>IF(Source!$C344&gt;=COLUMNS($A344:L344), Source!$G344, "")</f>
        <v/>
      </c>
      <c r="M344" s="2" t="str">
        <f>IF(Source!$C344&gt;=COLUMNS($A344:M344), Source!$G344, "")</f>
        <v/>
      </c>
      <c r="N344" s="2" t="str">
        <f>IF(Source!$C344&gt;=COLUMNS($A344:N344), Source!$G344, "")</f>
        <v/>
      </c>
      <c r="O344" s="2" t="str">
        <f>IF(Source!$C344&gt;=COLUMNS($A344:O344), Source!$G344, "")</f>
        <v/>
      </c>
      <c r="P344" s="2" t="str">
        <f>IF(Source!$C344&gt;=COLUMNS($A344:P344), Source!$G344, "")</f>
        <v/>
      </c>
      <c r="Q344" s="2" t="str">
        <f>IF(Source!$C344&gt;=COLUMNS($A344:Q344), Source!$G344, "")</f>
        <v/>
      </c>
      <c r="R344" s="2" t="str">
        <f>IF(Source!$C344&gt;=COLUMNS($A344:R344), Source!$G344, "")</f>
        <v/>
      </c>
      <c r="S344" s="2" t="str">
        <f>IF(Source!$C344&gt;=COLUMNS($A344:S344), Source!$G344, "")</f>
        <v/>
      </c>
      <c r="T344" s="2" t="str">
        <f>IF(Source!$C344&gt;=COLUMNS($A344:T344), Source!$G344, "")</f>
        <v/>
      </c>
      <c r="U344" s="2" t="str">
        <f>IF(Source!$C344&gt;=COLUMNS($A344:U344), Source!$G344, "")</f>
        <v/>
      </c>
      <c r="V344" s="2" t="str">
        <f>IF(Source!$C344&gt;=COLUMNS($A344:V344), Source!$G344, "")</f>
        <v/>
      </c>
      <c r="W344" s="2" t="str">
        <f>IF(Source!$C344&gt;=COLUMNS($A344:W344), Source!$G344, "")</f>
        <v/>
      </c>
      <c r="X344" s="2" t="str">
        <f>IF(Source!$C344&gt;=COLUMNS($A344:X344), Source!$G344, "")</f>
        <v/>
      </c>
      <c r="Y344" s="2" t="str">
        <f>IF(Source!$C344&gt;=COLUMNS($A344:Y344), Source!$G344, "")</f>
        <v/>
      </c>
      <c r="Z344" s="2" t="str">
        <f>IF(Source!$C344&gt;=COLUMNS($A344:Z344), Source!$G344, "")</f>
        <v/>
      </c>
      <c r="AA344" s="2" t="str">
        <f>IF(Source!$C344&gt;=COLUMNS($A344:AA344), Source!$G344, "")</f>
        <v/>
      </c>
      <c r="AB344" s="2" t="str">
        <f>IF(Source!$C344&gt;=COLUMNS($A344:AB344), Source!$G344, "")</f>
        <v/>
      </c>
      <c r="AC344" s="2" t="str">
        <f>IF(Source!$C344&gt;=COLUMNS($A344:AC344), Source!$G344, "")</f>
        <v/>
      </c>
      <c r="AD344" s="2" t="str">
        <f>IF(Source!$C344&gt;=COLUMNS($A344:AD344), Source!$G344, "")</f>
        <v/>
      </c>
      <c r="AE344" s="2" t="str">
        <f>IF(Source!$C344&gt;=COLUMNS($A344:AE344), Source!$G344, "")</f>
        <v/>
      </c>
      <c r="AF344" s="2" t="str">
        <f>IF(Source!$C344&gt;=COLUMNS($A344:AF344), Source!$G344, "")</f>
        <v/>
      </c>
      <c r="AG344" s="2" t="str">
        <f>IF(Source!$C344&gt;=COLUMNS($A344:AG344), Source!$G344, "")</f>
        <v/>
      </c>
      <c r="AH344" s="2" t="str">
        <f>IF(Source!$C344&gt;=COLUMNS($A344:AH344), Source!$G344, "")</f>
        <v/>
      </c>
      <c r="AI344" s="2" t="str">
        <f>IF(Source!$C344&gt;=COLUMNS($A344:AI344), Source!$G344, "")</f>
        <v/>
      </c>
      <c r="AJ344" s="2" t="str">
        <f>IF(Source!$C344&gt;=COLUMNS($A344:AJ344), Source!$G344, "")</f>
        <v/>
      </c>
      <c r="AK344" s="2" t="str">
        <f>IF(Source!$C344&gt;=COLUMNS($A344:AK344), Source!$G344, "")</f>
        <v/>
      </c>
      <c r="AL344" s="2" t="str">
        <f>IF(Source!$C344&gt;=COLUMNS($A344:AL344), Source!$G344, "")</f>
        <v/>
      </c>
      <c r="AM344" s="2" t="str">
        <f>IF(Source!$C344&gt;=COLUMNS($A344:AM344), Source!$G344, "")</f>
        <v/>
      </c>
      <c r="AN344" s="2" t="str">
        <f>IF(Source!$C344&gt;=COLUMNS($A344:AN344), Source!$G344, "")</f>
        <v/>
      </c>
      <c r="AO344" s="2" t="str">
        <f>IF(Source!$C344&gt;=COLUMNS($A344:AO344), Source!$G344, "")</f>
        <v/>
      </c>
      <c r="AP344" s="2" t="str">
        <f>IF(Source!$C344&gt;=COLUMNS($A344:AP344), Source!$G344, "")</f>
        <v/>
      </c>
      <c r="AQ344" s="2" t="str">
        <f>IF(Source!$C344&gt;=COLUMNS($A344:AQ344), Source!$G344, "")</f>
        <v/>
      </c>
      <c r="AR344" s="2" t="str">
        <f>IF(Source!$C344&gt;=COLUMNS($A344:AR344), Source!$G344, "")</f>
        <v/>
      </c>
    </row>
    <row r="345">
      <c r="A345" s="2">
        <f>IF(Source!$C345&gt;=COLUMNS($A345:A345), Source!$G345, "")</f>
        <v>8</v>
      </c>
      <c r="B345" s="2">
        <f>IF(Source!$C345&gt;=COLUMNS($A345:B345), Source!$G345, "")</f>
        <v>8</v>
      </c>
      <c r="C345" s="2" t="str">
        <f>IF(Source!$C345&gt;=COLUMNS($A345:C345), Source!$G345, "")</f>
        <v/>
      </c>
      <c r="D345" s="2" t="str">
        <f>IF(Source!$C345&gt;=COLUMNS($A345:D345), Source!$G345, "")</f>
        <v/>
      </c>
      <c r="E345" s="2" t="str">
        <f>IF(Source!$C345&gt;=COLUMNS($A345:E345), Source!$G345, "")</f>
        <v/>
      </c>
      <c r="F345" s="2" t="str">
        <f>IF(Source!$C345&gt;=COLUMNS($A345:F345), Source!$G345, "")</f>
        <v/>
      </c>
      <c r="G345" s="2" t="str">
        <f>IF(Source!$C345&gt;=COLUMNS($A345:G345), Source!$G345, "")</f>
        <v/>
      </c>
      <c r="H345" s="2" t="str">
        <f>IF(Source!$C345&gt;=COLUMNS($A345:H345), Source!$G345, "")</f>
        <v/>
      </c>
      <c r="I345" s="2" t="str">
        <f>IF(Source!$C345&gt;=COLUMNS($A345:I345), Source!$G345, "")</f>
        <v/>
      </c>
      <c r="J345" s="2" t="str">
        <f>IF(Source!$C345&gt;=COLUMNS($A345:J345), Source!$G345, "")</f>
        <v/>
      </c>
      <c r="K345" s="2" t="str">
        <f>IF(Source!$C345&gt;=COLUMNS($A345:K345), Source!$G345, "")</f>
        <v/>
      </c>
      <c r="L345" s="2" t="str">
        <f>IF(Source!$C345&gt;=COLUMNS($A345:L345), Source!$G345, "")</f>
        <v/>
      </c>
      <c r="M345" s="2" t="str">
        <f>IF(Source!$C345&gt;=COLUMNS($A345:M345), Source!$G345, "")</f>
        <v/>
      </c>
      <c r="N345" s="2" t="str">
        <f>IF(Source!$C345&gt;=COLUMNS($A345:N345), Source!$G345, "")</f>
        <v/>
      </c>
      <c r="O345" s="2" t="str">
        <f>IF(Source!$C345&gt;=COLUMNS($A345:O345), Source!$G345, "")</f>
        <v/>
      </c>
      <c r="P345" s="2" t="str">
        <f>IF(Source!$C345&gt;=COLUMNS($A345:P345), Source!$G345, "")</f>
        <v/>
      </c>
      <c r="Q345" s="2" t="str">
        <f>IF(Source!$C345&gt;=COLUMNS($A345:Q345), Source!$G345, "")</f>
        <v/>
      </c>
      <c r="R345" s="2" t="str">
        <f>IF(Source!$C345&gt;=COLUMNS($A345:R345), Source!$G345, "")</f>
        <v/>
      </c>
      <c r="S345" s="2" t="str">
        <f>IF(Source!$C345&gt;=COLUMNS($A345:S345), Source!$G345, "")</f>
        <v/>
      </c>
      <c r="T345" s="2" t="str">
        <f>IF(Source!$C345&gt;=COLUMNS($A345:T345), Source!$G345, "")</f>
        <v/>
      </c>
      <c r="U345" s="2" t="str">
        <f>IF(Source!$C345&gt;=COLUMNS($A345:U345), Source!$G345, "")</f>
        <v/>
      </c>
      <c r="V345" s="2" t="str">
        <f>IF(Source!$C345&gt;=COLUMNS($A345:V345), Source!$G345, "")</f>
        <v/>
      </c>
      <c r="W345" s="2" t="str">
        <f>IF(Source!$C345&gt;=COLUMNS($A345:W345), Source!$G345, "")</f>
        <v/>
      </c>
      <c r="X345" s="2" t="str">
        <f>IF(Source!$C345&gt;=COLUMNS($A345:X345), Source!$G345, "")</f>
        <v/>
      </c>
      <c r="Y345" s="2" t="str">
        <f>IF(Source!$C345&gt;=COLUMNS($A345:Y345), Source!$G345, "")</f>
        <v/>
      </c>
      <c r="Z345" s="2" t="str">
        <f>IF(Source!$C345&gt;=COLUMNS($A345:Z345), Source!$G345, "")</f>
        <v/>
      </c>
      <c r="AA345" s="2" t="str">
        <f>IF(Source!$C345&gt;=COLUMNS($A345:AA345), Source!$G345, "")</f>
        <v/>
      </c>
      <c r="AB345" s="2" t="str">
        <f>IF(Source!$C345&gt;=COLUMNS($A345:AB345), Source!$G345, "")</f>
        <v/>
      </c>
      <c r="AC345" s="2" t="str">
        <f>IF(Source!$C345&gt;=COLUMNS($A345:AC345), Source!$G345, "")</f>
        <v/>
      </c>
      <c r="AD345" s="2" t="str">
        <f>IF(Source!$C345&gt;=COLUMNS($A345:AD345), Source!$G345, "")</f>
        <v/>
      </c>
      <c r="AE345" s="2" t="str">
        <f>IF(Source!$C345&gt;=COLUMNS($A345:AE345), Source!$G345, "")</f>
        <v/>
      </c>
      <c r="AF345" s="2" t="str">
        <f>IF(Source!$C345&gt;=COLUMNS($A345:AF345), Source!$G345, "")</f>
        <v/>
      </c>
      <c r="AG345" s="2" t="str">
        <f>IF(Source!$C345&gt;=COLUMNS($A345:AG345), Source!$G345, "")</f>
        <v/>
      </c>
      <c r="AH345" s="2" t="str">
        <f>IF(Source!$C345&gt;=COLUMNS($A345:AH345), Source!$G345, "")</f>
        <v/>
      </c>
      <c r="AI345" s="2" t="str">
        <f>IF(Source!$C345&gt;=COLUMNS($A345:AI345), Source!$G345, "")</f>
        <v/>
      </c>
      <c r="AJ345" s="2" t="str">
        <f>IF(Source!$C345&gt;=COLUMNS($A345:AJ345), Source!$G345, "")</f>
        <v/>
      </c>
      <c r="AK345" s="2" t="str">
        <f>IF(Source!$C345&gt;=COLUMNS($A345:AK345), Source!$G345, "")</f>
        <v/>
      </c>
      <c r="AL345" s="2" t="str">
        <f>IF(Source!$C345&gt;=COLUMNS($A345:AL345), Source!$G345, "")</f>
        <v/>
      </c>
      <c r="AM345" s="2" t="str">
        <f>IF(Source!$C345&gt;=COLUMNS($A345:AM345), Source!$G345, "")</f>
        <v/>
      </c>
      <c r="AN345" s="2" t="str">
        <f>IF(Source!$C345&gt;=COLUMNS($A345:AN345), Source!$G345, "")</f>
        <v/>
      </c>
      <c r="AO345" s="2" t="str">
        <f>IF(Source!$C345&gt;=COLUMNS($A345:AO345), Source!$G345, "")</f>
        <v/>
      </c>
      <c r="AP345" s="2" t="str">
        <f>IF(Source!$C345&gt;=COLUMNS($A345:AP345), Source!$G345, "")</f>
        <v/>
      </c>
      <c r="AQ345" s="2" t="str">
        <f>IF(Source!$C345&gt;=COLUMNS($A345:AQ345), Source!$G345, "")</f>
        <v/>
      </c>
      <c r="AR345" s="2" t="str">
        <f>IF(Source!$C345&gt;=COLUMNS($A345:AR345), Source!$G345, "")</f>
        <v/>
      </c>
    </row>
    <row r="346">
      <c r="A346" s="2">
        <f>IF(Source!$C346&gt;=COLUMNS($A346:A346), Source!$G346, "")</f>
        <v>3</v>
      </c>
      <c r="B346" s="2">
        <f>IF(Source!$C346&gt;=COLUMNS($A346:B346), Source!$G346, "")</f>
        <v>3</v>
      </c>
      <c r="C346" s="2" t="str">
        <f>IF(Source!$C346&gt;=COLUMNS($A346:C346), Source!$G346, "")</f>
        <v/>
      </c>
      <c r="D346" s="2" t="str">
        <f>IF(Source!$C346&gt;=COLUMNS($A346:D346), Source!$G346, "")</f>
        <v/>
      </c>
      <c r="E346" s="2" t="str">
        <f>IF(Source!$C346&gt;=COLUMNS($A346:E346), Source!$G346, "")</f>
        <v/>
      </c>
      <c r="F346" s="2" t="str">
        <f>IF(Source!$C346&gt;=COLUMNS($A346:F346), Source!$G346, "")</f>
        <v/>
      </c>
      <c r="G346" s="2" t="str">
        <f>IF(Source!$C346&gt;=COLUMNS($A346:G346), Source!$G346, "")</f>
        <v/>
      </c>
      <c r="H346" s="2" t="str">
        <f>IF(Source!$C346&gt;=COLUMNS($A346:H346), Source!$G346, "")</f>
        <v/>
      </c>
      <c r="I346" s="2" t="str">
        <f>IF(Source!$C346&gt;=COLUMNS($A346:I346), Source!$G346, "")</f>
        <v/>
      </c>
      <c r="J346" s="2" t="str">
        <f>IF(Source!$C346&gt;=COLUMNS($A346:J346), Source!$G346, "")</f>
        <v/>
      </c>
      <c r="K346" s="2" t="str">
        <f>IF(Source!$C346&gt;=COLUMNS($A346:K346), Source!$G346, "")</f>
        <v/>
      </c>
      <c r="L346" s="2" t="str">
        <f>IF(Source!$C346&gt;=COLUMNS($A346:L346), Source!$G346, "")</f>
        <v/>
      </c>
      <c r="M346" s="2" t="str">
        <f>IF(Source!$C346&gt;=COLUMNS($A346:M346), Source!$G346, "")</f>
        <v/>
      </c>
      <c r="N346" s="2" t="str">
        <f>IF(Source!$C346&gt;=COLUMNS($A346:N346), Source!$G346, "")</f>
        <v/>
      </c>
      <c r="O346" s="2" t="str">
        <f>IF(Source!$C346&gt;=COLUMNS($A346:O346), Source!$G346, "")</f>
        <v/>
      </c>
      <c r="P346" s="2" t="str">
        <f>IF(Source!$C346&gt;=COLUMNS($A346:P346), Source!$G346, "")</f>
        <v/>
      </c>
      <c r="Q346" s="2" t="str">
        <f>IF(Source!$C346&gt;=COLUMNS($A346:Q346), Source!$G346, "")</f>
        <v/>
      </c>
      <c r="R346" s="2" t="str">
        <f>IF(Source!$C346&gt;=COLUMNS($A346:R346), Source!$G346, "")</f>
        <v/>
      </c>
      <c r="S346" s="2" t="str">
        <f>IF(Source!$C346&gt;=COLUMNS($A346:S346), Source!$G346, "")</f>
        <v/>
      </c>
      <c r="T346" s="2" t="str">
        <f>IF(Source!$C346&gt;=COLUMNS($A346:T346), Source!$G346, "")</f>
        <v/>
      </c>
      <c r="U346" s="2" t="str">
        <f>IF(Source!$C346&gt;=COLUMNS($A346:U346), Source!$G346, "")</f>
        <v/>
      </c>
      <c r="V346" s="2" t="str">
        <f>IF(Source!$C346&gt;=COLUMNS($A346:V346), Source!$G346, "")</f>
        <v/>
      </c>
      <c r="W346" s="2" t="str">
        <f>IF(Source!$C346&gt;=COLUMNS($A346:W346), Source!$G346, "")</f>
        <v/>
      </c>
      <c r="X346" s="2" t="str">
        <f>IF(Source!$C346&gt;=COLUMNS($A346:X346), Source!$G346, "")</f>
        <v/>
      </c>
      <c r="Y346" s="2" t="str">
        <f>IF(Source!$C346&gt;=COLUMNS($A346:Y346), Source!$G346, "")</f>
        <v/>
      </c>
      <c r="Z346" s="2" t="str">
        <f>IF(Source!$C346&gt;=COLUMNS($A346:Z346), Source!$G346, "")</f>
        <v/>
      </c>
      <c r="AA346" s="2" t="str">
        <f>IF(Source!$C346&gt;=COLUMNS($A346:AA346), Source!$G346, "")</f>
        <v/>
      </c>
      <c r="AB346" s="2" t="str">
        <f>IF(Source!$C346&gt;=COLUMNS($A346:AB346), Source!$G346, "")</f>
        <v/>
      </c>
      <c r="AC346" s="2" t="str">
        <f>IF(Source!$C346&gt;=COLUMNS($A346:AC346), Source!$G346, "")</f>
        <v/>
      </c>
      <c r="AD346" s="2" t="str">
        <f>IF(Source!$C346&gt;=COLUMNS($A346:AD346), Source!$G346, "")</f>
        <v/>
      </c>
      <c r="AE346" s="2" t="str">
        <f>IF(Source!$C346&gt;=COLUMNS($A346:AE346), Source!$G346, "")</f>
        <v/>
      </c>
      <c r="AF346" s="2" t="str">
        <f>IF(Source!$C346&gt;=COLUMNS($A346:AF346), Source!$G346, "")</f>
        <v/>
      </c>
      <c r="AG346" s="2" t="str">
        <f>IF(Source!$C346&gt;=COLUMNS($A346:AG346), Source!$G346, "")</f>
        <v/>
      </c>
      <c r="AH346" s="2" t="str">
        <f>IF(Source!$C346&gt;=COLUMNS($A346:AH346), Source!$G346, "")</f>
        <v/>
      </c>
      <c r="AI346" s="2" t="str">
        <f>IF(Source!$C346&gt;=COLUMNS($A346:AI346), Source!$G346, "")</f>
        <v/>
      </c>
      <c r="AJ346" s="2" t="str">
        <f>IF(Source!$C346&gt;=COLUMNS($A346:AJ346), Source!$G346, "")</f>
        <v/>
      </c>
      <c r="AK346" s="2" t="str">
        <f>IF(Source!$C346&gt;=COLUMNS($A346:AK346), Source!$G346, "")</f>
        <v/>
      </c>
      <c r="AL346" s="2" t="str">
        <f>IF(Source!$C346&gt;=COLUMNS($A346:AL346), Source!$G346, "")</f>
        <v/>
      </c>
      <c r="AM346" s="2" t="str">
        <f>IF(Source!$C346&gt;=COLUMNS($A346:AM346), Source!$G346, "")</f>
        <v/>
      </c>
      <c r="AN346" s="2" t="str">
        <f>IF(Source!$C346&gt;=COLUMNS($A346:AN346), Source!$G346, "")</f>
        <v/>
      </c>
      <c r="AO346" s="2" t="str">
        <f>IF(Source!$C346&gt;=COLUMNS($A346:AO346), Source!$G346, "")</f>
        <v/>
      </c>
      <c r="AP346" s="2" t="str">
        <f>IF(Source!$C346&gt;=COLUMNS($A346:AP346), Source!$G346, "")</f>
        <v/>
      </c>
      <c r="AQ346" s="2" t="str">
        <f>IF(Source!$C346&gt;=COLUMNS($A346:AQ346), Source!$G346, "")</f>
        <v/>
      </c>
      <c r="AR346" s="2" t="str">
        <f>IF(Source!$C346&gt;=COLUMNS($A346:AR346), Source!$G346, "")</f>
        <v/>
      </c>
    </row>
    <row r="347">
      <c r="A347" s="2">
        <f>IF(Source!$C347&gt;=COLUMNS($A347:A347), Source!$G347, "")</f>
        <v>3</v>
      </c>
      <c r="B347" s="2">
        <f>IF(Source!$C347&gt;=COLUMNS($A347:B347), Source!$G347, "")</f>
        <v>3</v>
      </c>
      <c r="C347" s="2">
        <f>IF(Source!$C347&gt;=COLUMNS($A347:C347), Source!$G347, "")</f>
        <v>3</v>
      </c>
      <c r="D347" s="2">
        <f>IF(Source!$C347&gt;=COLUMNS($A347:D347), Source!$G347, "")</f>
        <v>3</v>
      </c>
      <c r="E347" s="2">
        <f>IF(Source!$C347&gt;=COLUMNS($A347:E347), Source!$G347, "")</f>
        <v>3</v>
      </c>
      <c r="F347" s="2">
        <f>IF(Source!$C347&gt;=COLUMNS($A347:F347), Source!$G347, "")</f>
        <v>3</v>
      </c>
      <c r="G347" s="2" t="str">
        <f>IF(Source!$C347&gt;=COLUMNS($A347:G347), Source!$G347, "")</f>
        <v/>
      </c>
      <c r="H347" s="2" t="str">
        <f>IF(Source!$C347&gt;=COLUMNS($A347:H347), Source!$G347, "")</f>
        <v/>
      </c>
      <c r="I347" s="2" t="str">
        <f>IF(Source!$C347&gt;=COLUMNS($A347:I347), Source!$G347, "")</f>
        <v/>
      </c>
      <c r="J347" s="2" t="str">
        <f>IF(Source!$C347&gt;=COLUMNS($A347:J347), Source!$G347, "")</f>
        <v/>
      </c>
      <c r="K347" s="2" t="str">
        <f>IF(Source!$C347&gt;=COLUMNS($A347:K347), Source!$G347, "")</f>
        <v/>
      </c>
      <c r="L347" s="2" t="str">
        <f>IF(Source!$C347&gt;=COLUMNS($A347:L347), Source!$G347, "")</f>
        <v/>
      </c>
      <c r="M347" s="2" t="str">
        <f>IF(Source!$C347&gt;=COLUMNS($A347:M347), Source!$G347, "")</f>
        <v/>
      </c>
      <c r="N347" s="2" t="str">
        <f>IF(Source!$C347&gt;=COLUMNS($A347:N347), Source!$G347, "")</f>
        <v/>
      </c>
      <c r="O347" s="2" t="str">
        <f>IF(Source!$C347&gt;=COLUMNS($A347:O347), Source!$G347, "")</f>
        <v/>
      </c>
      <c r="P347" s="2" t="str">
        <f>IF(Source!$C347&gt;=COLUMNS($A347:P347), Source!$G347, "")</f>
        <v/>
      </c>
      <c r="Q347" s="2" t="str">
        <f>IF(Source!$C347&gt;=COLUMNS($A347:Q347), Source!$G347, "")</f>
        <v/>
      </c>
      <c r="R347" s="2" t="str">
        <f>IF(Source!$C347&gt;=COLUMNS($A347:R347), Source!$G347, "")</f>
        <v/>
      </c>
      <c r="S347" s="2" t="str">
        <f>IF(Source!$C347&gt;=COLUMNS($A347:S347), Source!$G347, "")</f>
        <v/>
      </c>
      <c r="T347" s="2" t="str">
        <f>IF(Source!$C347&gt;=COLUMNS($A347:T347), Source!$G347, "")</f>
        <v/>
      </c>
      <c r="U347" s="2" t="str">
        <f>IF(Source!$C347&gt;=COLUMNS($A347:U347), Source!$G347, "")</f>
        <v/>
      </c>
      <c r="V347" s="2" t="str">
        <f>IF(Source!$C347&gt;=COLUMNS($A347:V347), Source!$G347, "")</f>
        <v/>
      </c>
      <c r="W347" s="2" t="str">
        <f>IF(Source!$C347&gt;=COLUMNS($A347:W347), Source!$G347, "")</f>
        <v/>
      </c>
      <c r="X347" s="2" t="str">
        <f>IF(Source!$C347&gt;=COLUMNS($A347:X347), Source!$G347, "")</f>
        <v/>
      </c>
      <c r="Y347" s="2" t="str">
        <f>IF(Source!$C347&gt;=COLUMNS($A347:Y347), Source!$G347, "")</f>
        <v/>
      </c>
      <c r="Z347" s="2" t="str">
        <f>IF(Source!$C347&gt;=COLUMNS($A347:Z347), Source!$G347, "")</f>
        <v/>
      </c>
      <c r="AA347" s="2" t="str">
        <f>IF(Source!$C347&gt;=COLUMNS($A347:AA347), Source!$G347, "")</f>
        <v/>
      </c>
      <c r="AB347" s="2" t="str">
        <f>IF(Source!$C347&gt;=COLUMNS($A347:AB347), Source!$G347, "")</f>
        <v/>
      </c>
      <c r="AC347" s="2" t="str">
        <f>IF(Source!$C347&gt;=COLUMNS($A347:AC347), Source!$G347, "")</f>
        <v/>
      </c>
      <c r="AD347" s="2" t="str">
        <f>IF(Source!$C347&gt;=COLUMNS($A347:AD347), Source!$G347, "")</f>
        <v/>
      </c>
      <c r="AE347" s="2" t="str">
        <f>IF(Source!$C347&gt;=COLUMNS($A347:AE347), Source!$G347, "")</f>
        <v/>
      </c>
      <c r="AF347" s="2" t="str">
        <f>IF(Source!$C347&gt;=COLUMNS($A347:AF347), Source!$G347, "")</f>
        <v/>
      </c>
      <c r="AG347" s="2" t="str">
        <f>IF(Source!$C347&gt;=COLUMNS($A347:AG347), Source!$G347, "")</f>
        <v/>
      </c>
      <c r="AH347" s="2" t="str">
        <f>IF(Source!$C347&gt;=COLUMNS($A347:AH347), Source!$G347, "")</f>
        <v/>
      </c>
      <c r="AI347" s="2" t="str">
        <f>IF(Source!$C347&gt;=COLUMNS($A347:AI347), Source!$G347, "")</f>
        <v/>
      </c>
      <c r="AJ347" s="2" t="str">
        <f>IF(Source!$C347&gt;=COLUMNS($A347:AJ347), Source!$G347, "")</f>
        <v/>
      </c>
      <c r="AK347" s="2" t="str">
        <f>IF(Source!$C347&gt;=COLUMNS($A347:AK347), Source!$G347, "")</f>
        <v/>
      </c>
      <c r="AL347" s="2" t="str">
        <f>IF(Source!$C347&gt;=COLUMNS($A347:AL347), Source!$G347, "")</f>
        <v/>
      </c>
      <c r="AM347" s="2" t="str">
        <f>IF(Source!$C347&gt;=COLUMNS($A347:AM347), Source!$G347, "")</f>
        <v/>
      </c>
      <c r="AN347" s="2" t="str">
        <f>IF(Source!$C347&gt;=COLUMNS($A347:AN347), Source!$G347, "")</f>
        <v/>
      </c>
      <c r="AO347" s="2" t="str">
        <f>IF(Source!$C347&gt;=COLUMNS($A347:AO347), Source!$G347, "")</f>
        <v/>
      </c>
      <c r="AP347" s="2" t="str">
        <f>IF(Source!$C347&gt;=COLUMNS($A347:AP347), Source!$G347, "")</f>
        <v/>
      </c>
      <c r="AQ347" s="2" t="str">
        <f>IF(Source!$C347&gt;=COLUMNS($A347:AQ347), Source!$G347, "")</f>
        <v/>
      </c>
      <c r="AR347" s="2" t="str">
        <f>IF(Source!$C347&gt;=COLUMNS($A347:AR347), Source!$G347, "")</f>
        <v/>
      </c>
    </row>
    <row r="348">
      <c r="A348" s="2">
        <f>IF(Source!$C348&gt;=COLUMNS($A348:A348), Source!$G348, "")</f>
        <v>1</v>
      </c>
      <c r="B348" s="2">
        <f>IF(Source!$C348&gt;=COLUMNS($A348:B348), Source!$G348, "")</f>
        <v>1</v>
      </c>
      <c r="C348" s="2">
        <f>IF(Source!$C348&gt;=COLUMNS($A348:C348), Source!$G348, "")</f>
        <v>1</v>
      </c>
      <c r="D348" s="2">
        <f>IF(Source!$C348&gt;=COLUMNS($A348:D348), Source!$G348, "")</f>
        <v>1</v>
      </c>
      <c r="E348" s="2">
        <f>IF(Source!$C348&gt;=COLUMNS($A348:E348), Source!$G348, "")</f>
        <v>1</v>
      </c>
      <c r="F348" s="2" t="str">
        <f>IF(Source!$C348&gt;=COLUMNS($A348:F348), Source!$G348, "")</f>
        <v/>
      </c>
      <c r="G348" s="2" t="str">
        <f>IF(Source!$C348&gt;=COLUMNS($A348:G348), Source!$G348, "")</f>
        <v/>
      </c>
      <c r="H348" s="2" t="str">
        <f>IF(Source!$C348&gt;=COLUMNS($A348:H348), Source!$G348, "")</f>
        <v/>
      </c>
      <c r="I348" s="2" t="str">
        <f>IF(Source!$C348&gt;=COLUMNS($A348:I348), Source!$G348, "")</f>
        <v/>
      </c>
      <c r="J348" s="2" t="str">
        <f>IF(Source!$C348&gt;=COLUMNS($A348:J348), Source!$G348, "")</f>
        <v/>
      </c>
      <c r="K348" s="2" t="str">
        <f>IF(Source!$C348&gt;=COLUMNS($A348:K348), Source!$G348, "")</f>
        <v/>
      </c>
      <c r="L348" s="2" t="str">
        <f>IF(Source!$C348&gt;=COLUMNS($A348:L348), Source!$G348, "")</f>
        <v/>
      </c>
      <c r="M348" s="2" t="str">
        <f>IF(Source!$C348&gt;=COLUMNS($A348:M348), Source!$G348, "")</f>
        <v/>
      </c>
      <c r="N348" s="2" t="str">
        <f>IF(Source!$C348&gt;=COLUMNS($A348:N348), Source!$G348, "")</f>
        <v/>
      </c>
      <c r="O348" s="2" t="str">
        <f>IF(Source!$C348&gt;=COLUMNS($A348:O348), Source!$G348, "")</f>
        <v/>
      </c>
      <c r="P348" s="2" t="str">
        <f>IF(Source!$C348&gt;=COLUMNS($A348:P348), Source!$G348, "")</f>
        <v/>
      </c>
      <c r="Q348" s="2" t="str">
        <f>IF(Source!$C348&gt;=COLUMNS($A348:Q348), Source!$G348, "")</f>
        <v/>
      </c>
      <c r="R348" s="2" t="str">
        <f>IF(Source!$C348&gt;=COLUMNS($A348:R348), Source!$G348, "")</f>
        <v/>
      </c>
      <c r="S348" s="2" t="str">
        <f>IF(Source!$C348&gt;=COLUMNS($A348:S348), Source!$G348, "")</f>
        <v/>
      </c>
      <c r="T348" s="2" t="str">
        <f>IF(Source!$C348&gt;=COLUMNS($A348:T348), Source!$G348, "")</f>
        <v/>
      </c>
      <c r="U348" s="2" t="str">
        <f>IF(Source!$C348&gt;=COLUMNS($A348:U348), Source!$G348, "")</f>
        <v/>
      </c>
      <c r="V348" s="2" t="str">
        <f>IF(Source!$C348&gt;=COLUMNS($A348:V348), Source!$G348, "")</f>
        <v/>
      </c>
      <c r="W348" s="2" t="str">
        <f>IF(Source!$C348&gt;=COLUMNS($A348:W348), Source!$G348, "")</f>
        <v/>
      </c>
      <c r="X348" s="2" t="str">
        <f>IF(Source!$C348&gt;=COLUMNS($A348:X348), Source!$G348, "")</f>
        <v/>
      </c>
      <c r="Y348" s="2" t="str">
        <f>IF(Source!$C348&gt;=COLUMNS($A348:Y348), Source!$G348, "")</f>
        <v/>
      </c>
      <c r="Z348" s="2" t="str">
        <f>IF(Source!$C348&gt;=COLUMNS($A348:Z348), Source!$G348, "")</f>
        <v/>
      </c>
      <c r="AA348" s="2" t="str">
        <f>IF(Source!$C348&gt;=COLUMNS($A348:AA348), Source!$G348, "")</f>
        <v/>
      </c>
      <c r="AB348" s="2" t="str">
        <f>IF(Source!$C348&gt;=COLUMNS($A348:AB348), Source!$G348, "")</f>
        <v/>
      </c>
      <c r="AC348" s="2" t="str">
        <f>IF(Source!$C348&gt;=COLUMNS($A348:AC348), Source!$G348, "")</f>
        <v/>
      </c>
      <c r="AD348" s="2" t="str">
        <f>IF(Source!$C348&gt;=COLUMNS($A348:AD348), Source!$G348, "")</f>
        <v/>
      </c>
      <c r="AE348" s="2" t="str">
        <f>IF(Source!$C348&gt;=COLUMNS($A348:AE348), Source!$G348, "")</f>
        <v/>
      </c>
      <c r="AF348" s="2" t="str">
        <f>IF(Source!$C348&gt;=COLUMNS($A348:AF348), Source!$G348, "")</f>
        <v/>
      </c>
      <c r="AG348" s="2" t="str">
        <f>IF(Source!$C348&gt;=COLUMNS($A348:AG348), Source!$G348, "")</f>
        <v/>
      </c>
      <c r="AH348" s="2" t="str">
        <f>IF(Source!$C348&gt;=COLUMNS($A348:AH348), Source!$G348, "")</f>
        <v/>
      </c>
      <c r="AI348" s="2" t="str">
        <f>IF(Source!$C348&gt;=COLUMNS($A348:AI348), Source!$G348, "")</f>
        <v/>
      </c>
      <c r="AJ348" s="2" t="str">
        <f>IF(Source!$C348&gt;=COLUMNS($A348:AJ348), Source!$G348, "")</f>
        <v/>
      </c>
      <c r="AK348" s="2" t="str">
        <f>IF(Source!$C348&gt;=COLUMNS($A348:AK348), Source!$G348, "")</f>
        <v/>
      </c>
      <c r="AL348" s="2" t="str">
        <f>IF(Source!$C348&gt;=COLUMNS($A348:AL348), Source!$G348, "")</f>
        <v/>
      </c>
      <c r="AM348" s="2" t="str">
        <f>IF(Source!$C348&gt;=COLUMNS($A348:AM348), Source!$G348, "")</f>
        <v/>
      </c>
      <c r="AN348" s="2" t="str">
        <f>IF(Source!$C348&gt;=COLUMNS($A348:AN348), Source!$G348, "")</f>
        <v/>
      </c>
      <c r="AO348" s="2" t="str">
        <f>IF(Source!$C348&gt;=COLUMNS($A348:AO348), Source!$G348, "")</f>
        <v/>
      </c>
      <c r="AP348" s="2" t="str">
        <f>IF(Source!$C348&gt;=COLUMNS($A348:AP348), Source!$G348, "")</f>
        <v/>
      </c>
      <c r="AQ348" s="2" t="str">
        <f>IF(Source!$C348&gt;=COLUMNS($A348:AQ348), Source!$G348, "")</f>
        <v/>
      </c>
      <c r="AR348" s="2" t="str">
        <f>IF(Source!$C348&gt;=COLUMNS($A348:AR348), Source!$G348, "")</f>
        <v/>
      </c>
    </row>
    <row r="349">
      <c r="A349" s="2">
        <f>IF(Source!$C349&gt;=COLUMNS($A349:A349), Source!$G349, "")</f>
        <v>7</v>
      </c>
      <c r="B349" s="2" t="str">
        <f>IF(Source!$C349&gt;=COLUMNS($A349:B349), Source!$G349, "")</f>
        <v/>
      </c>
      <c r="C349" s="2" t="str">
        <f>IF(Source!$C349&gt;=COLUMNS($A349:C349), Source!$G349, "")</f>
        <v/>
      </c>
      <c r="D349" s="2" t="str">
        <f>IF(Source!$C349&gt;=COLUMNS($A349:D349), Source!$G349, "")</f>
        <v/>
      </c>
      <c r="E349" s="2" t="str">
        <f>IF(Source!$C349&gt;=COLUMNS($A349:E349), Source!$G349, "")</f>
        <v/>
      </c>
      <c r="F349" s="2" t="str">
        <f>IF(Source!$C349&gt;=COLUMNS($A349:F349), Source!$G349, "")</f>
        <v/>
      </c>
      <c r="G349" s="2" t="str">
        <f>IF(Source!$C349&gt;=COLUMNS($A349:G349), Source!$G349, "")</f>
        <v/>
      </c>
      <c r="H349" s="2" t="str">
        <f>IF(Source!$C349&gt;=COLUMNS($A349:H349), Source!$G349, "")</f>
        <v/>
      </c>
      <c r="I349" s="2" t="str">
        <f>IF(Source!$C349&gt;=COLUMNS($A349:I349), Source!$G349, "")</f>
        <v/>
      </c>
      <c r="J349" s="2" t="str">
        <f>IF(Source!$C349&gt;=COLUMNS($A349:J349), Source!$G349, "")</f>
        <v/>
      </c>
      <c r="K349" s="2" t="str">
        <f>IF(Source!$C349&gt;=COLUMNS($A349:K349), Source!$G349, "")</f>
        <v/>
      </c>
      <c r="L349" s="2" t="str">
        <f>IF(Source!$C349&gt;=COLUMNS($A349:L349), Source!$G349, "")</f>
        <v/>
      </c>
      <c r="M349" s="2" t="str">
        <f>IF(Source!$C349&gt;=COLUMNS($A349:M349), Source!$G349, "")</f>
        <v/>
      </c>
      <c r="N349" s="2" t="str">
        <f>IF(Source!$C349&gt;=COLUMNS($A349:N349), Source!$G349, "")</f>
        <v/>
      </c>
      <c r="O349" s="2" t="str">
        <f>IF(Source!$C349&gt;=COLUMNS($A349:O349), Source!$G349, "")</f>
        <v/>
      </c>
      <c r="P349" s="2" t="str">
        <f>IF(Source!$C349&gt;=COLUMNS($A349:P349), Source!$G349, "")</f>
        <v/>
      </c>
      <c r="Q349" s="2" t="str">
        <f>IF(Source!$C349&gt;=COLUMNS($A349:Q349), Source!$G349, "")</f>
        <v/>
      </c>
      <c r="R349" s="2" t="str">
        <f>IF(Source!$C349&gt;=COLUMNS($A349:R349), Source!$G349, "")</f>
        <v/>
      </c>
      <c r="S349" s="2" t="str">
        <f>IF(Source!$C349&gt;=COLUMNS($A349:S349), Source!$G349, "")</f>
        <v/>
      </c>
      <c r="T349" s="2" t="str">
        <f>IF(Source!$C349&gt;=COLUMNS($A349:T349), Source!$G349, "")</f>
        <v/>
      </c>
      <c r="U349" s="2" t="str">
        <f>IF(Source!$C349&gt;=COLUMNS($A349:U349), Source!$G349, "")</f>
        <v/>
      </c>
      <c r="V349" s="2" t="str">
        <f>IF(Source!$C349&gt;=COLUMNS($A349:V349), Source!$G349, "")</f>
        <v/>
      </c>
      <c r="W349" s="2" t="str">
        <f>IF(Source!$C349&gt;=COLUMNS($A349:W349), Source!$G349, "")</f>
        <v/>
      </c>
      <c r="X349" s="2" t="str">
        <f>IF(Source!$C349&gt;=COLUMNS($A349:X349), Source!$G349, "")</f>
        <v/>
      </c>
      <c r="Y349" s="2" t="str">
        <f>IF(Source!$C349&gt;=COLUMNS($A349:Y349), Source!$G349, "")</f>
        <v/>
      </c>
      <c r="Z349" s="2" t="str">
        <f>IF(Source!$C349&gt;=COLUMNS($A349:Z349), Source!$G349, "")</f>
        <v/>
      </c>
      <c r="AA349" s="2" t="str">
        <f>IF(Source!$C349&gt;=COLUMNS($A349:AA349), Source!$G349, "")</f>
        <v/>
      </c>
      <c r="AB349" s="2" t="str">
        <f>IF(Source!$C349&gt;=COLUMNS($A349:AB349), Source!$G349, "")</f>
        <v/>
      </c>
      <c r="AC349" s="2" t="str">
        <f>IF(Source!$C349&gt;=COLUMNS($A349:AC349), Source!$G349, "")</f>
        <v/>
      </c>
      <c r="AD349" s="2" t="str">
        <f>IF(Source!$C349&gt;=COLUMNS($A349:AD349), Source!$G349, "")</f>
        <v/>
      </c>
      <c r="AE349" s="2" t="str">
        <f>IF(Source!$C349&gt;=COLUMNS($A349:AE349), Source!$G349, "")</f>
        <v/>
      </c>
      <c r="AF349" s="2" t="str">
        <f>IF(Source!$C349&gt;=COLUMNS($A349:AF349), Source!$G349, "")</f>
        <v/>
      </c>
      <c r="AG349" s="2" t="str">
        <f>IF(Source!$C349&gt;=COLUMNS($A349:AG349), Source!$G349, "")</f>
        <v/>
      </c>
      <c r="AH349" s="2" t="str">
        <f>IF(Source!$C349&gt;=COLUMNS($A349:AH349), Source!$G349, "")</f>
        <v/>
      </c>
      <c r="AI349" s="2" t="str">
        <f>IF(Source!$C349&gt;=COLUMNS($A349:AI349), Source!$G349, "")</f>
        <v/>
      </c>
      <c r="AJ349" s="2" t="str">
        <f>IF(Source!$C349&gt;=COLUMNS($A349:AJ349), Source!$G349, "")</f>
        <v/>
      </c>
      <c r="AK349" s="2" t="str">
        <f>IF(Source!$C349&gt;=COLUMNS($A349:AK349), Source!$G349, "")</f>
        <v/>
      </c>
      <c r="AL349" s="2" t="str">
        <f>IF(Source!$C349&gt;=COLUMNS($A349:AL349), Source!$G349, "")</f>
        <v/>
      </c>
      <c r="AM349" s="2" t="str">
        <f>IF(Source!$C349&gt;=COLUMNS($A349:AM349), Source!$G349, "")</f>
        <v/>
      </c>
      <c r="AN349" s="2" t="str">
        <f>IF(Source!$C349&gt;=COLUMNS($A349:AN349), Source!$G349, "")</f>
        <v/>
      </c>
      <c r="AO349" s="2" t="str">
        <f>IF(Source!$C349&gt;=COLUMNS($A349:AO349), Source!$G349, "")</f>
        <v/>
      </c>
      <c r="AP349" s="2" t="str">
        <f>IF(Source!$C349&gt;=COLUMNS($A349:AP349), Source!$G349, "")</f>
        <v/>
      </c>
      <c r="AQ349" s="2" t="str">
        <f>IF(Source!$C349&gt;=COLUMNS($A349:AQ349), Source!$G349, "")</f>
        <v/>
      </c>
      <c r="AR349" s="2" t="str">
        <f>IF(Source!$C349&gt;=COLUMNS($A349:AR349), Source!$G349, "")</f>
        <v/>
      </c>
    </row>
    <row r="350">
      <c r="A350" s="2">
        <f>IF(Source!$C350&gt;=COLUMNS($A350:A350), Source!$G350, "")</f>
        <v>5</v>
      </c>
      <c r="B350" s="2">
        <f>IF(Source!$C350&gt;=COLUMNS($A350:B350), Source!$G350, "")</f>
        <v>5</v>
      </c>
      <c r="C350" s="2">
        <f>IF(Source!$C350&gt;=COLUMNS($A350:C350), Source!$G350, "")</f>
        <v>5</v>
      </c>
      <c r="D350" s="2">
        <f>IF(Source!$C350&gt;=COLUMNS($A350:D350), Source!$G350, "")</f>
        <v>5</v>
      </c>
      <c r="E350" s="2">
        <f>IF(Source!$C350&gt;=COLUMNS($A350:E350), Source!$G350, "")</f>
        <v>5</v>
      </c>
      <c r="F350" s="2">
        <f>IF(Source!$C350&gt;=COLUMNS($A350:F350), Source!$G350, "")</f>
        <v>5</v>
      </c>
      <c r="G350" s="2">
        <f>IF(Source!$C350&gt;=COLUMNS($A350:G350), Source!$G350, "")</f>
        <v>5</v>
      </c>
      <c r="H350" s="2" t="str">
        <f>IF(Source!$C350&gt;=COLUMNS($A350:H350), Source!$G350, "")</f>
        <v/>
      </c>
      <c r="I350" s="2" t="str">
        <f>IF(Source!$C350&gt;=COLUMNS($A350:I350), Source!$G350, "")</f>
        <v/>
      </c>
      <c r="J350" s="2" t="str">
        <f>IF(Source!$C350&gt;=COLUMNS($A350:J350), Source!$G350, "")</f>
        <v/>
      </c>
      <c r="K350" s="2" t="str">
        <f>IF(Source!$C350&gt;=COLUMNS($A350:K350), Source!$G350, "")</f>
        <v/>
      </c>
      <c r="L350" s="2" t="str">
        <f>IF(Source!$C350&gt;=COLUMNS($A350:L350), Source!$G350, "")</f>
        <v/>
      </c>
      <c r="M350" s="2" t="str">
        <f>IF(Source!$C350&gt;=COLUMNS($A350:M350), Source!$G350, "")</f>
        <v/>
      </c>
      <c r="N350" s="2" t="str">
        <f>IF(Source!$C350&gt;=COLUMNS($A350:N350), Source!$G350, "")</f>
        <v/>
      </c>
      <c r="O350" s="2" t="str">
        <f>IF(Source!$C350&gt;=COLUMNS($A350:O350), Source!$G350, "")</f>
        <v/>
      </c>
      <c r="P350" s="2" t="str">
        <f>IF(Source!$C350&gt;=COLUMNS($A350:P350), Source!$G350, "")</f>
        <v/>
      </c>
      <c r="Q350" s="2" t="str">
        <f>IF(Source!$C350&gt;=COLUMNS($A350:Q350), Source!$G350, "")</f>
        <v/>
      </c>
      <c r="R350" s="2" t="str">
        <f>IF(Source!$C350&gt;=COLUMNS($A350:R350), Source!$G350, "")</f>
        <v/>
      </c>
      <c r="S350" s="2" t="str">
        <f>IF(Source!$C350&gt;=COLUMNS($A350:S350), Source!$G350, "")</f>
        <v/>
      </c>
      <c r="T350" s="2" t="str">
        <f>IF(Source!$C350&gt;=COLUMNS($A350:T350), Source!$G350, "")</f>
        <v/>
      </c>
      <c r="U350" s="2" t="str">
        <f>IF(Source!$C350&gt;=COLUMNS($A350:U350), Source!$G350, "")</f>
        <v/>
      </c>
      <c r="V350" s="2" t="str">
        <f>IF(Source!$C350&gt;=COLUMNS($A350:V350), Source!$G350, "")</f>
        <v/>
      </c>
      <c r="W350" s="2" t="str">
        <f>IF(Source!$C350&gt;=COLUMNS($A350:W350), Source!$G350, "")</f>
        <v/>
      </c>
      <c r="X350" s="2" t="str">
        <f>IF(Source!$C350&gt;=COLUMNS($A350:X350), Source!$G350, "")</f>
        <v/>
      </c>
      <c r="Y350" s="2" t="str">
        <f>IF(Source!$C350&gt;=COLUMNS($A350:Y350), Source!$G350, "")</f>
        <v/>
      </c>
      <c r="Z350" s="2" t="str">
        <f>IF(Source!$C350&gt;=COLUMNS($A350:Z350), Source!$G350, "")</f>
        <v/>
      </c>
      <c r="AA350" s="2" t="str">
        <f>IF(Source!$C350&gt;=COLUMNS($A350:AA350), Source!$G350, "")</f>
        <v/>
      </c>
      <c r="AB350" s="2" t="str">
        <f>IF(Source!$C350&gt;=COLUMNS($A350:AB350), Source!$G350, "")</f>
        <v/>
      </c>
      <c r="AC350" s="2" t="str">
        <f>IF(Source!$C350&gt;=COLUMNS($A350:AC350), Source!$G350, "")</f>
        <v/>
      </c>
      <c r="AD350" s="2" t="str">
        <f>IF(Source!$C350&gt;=COLUMNS($A350:AD350), Source!$G350, "")</f>
        <v/>
      </c>
      <c r="AE350" s="2" t="str">
        <f>IF(Source!$C350&gt;=COLUMNS($A350:AE350), Source!$G350, "")</f>
        <v/>
      </c>
      <c r="AF350" s="2" t="str">
        <f>IF(Source!$C350&gt;=COLUMNS($A350:AF350), Source!$G350, "")</f>
        <v/>
      </c>
      <c r="AG350" s="2" t="str">
        <f>IF(Source!$C350&gt;=COLUMNS($A350:AG350), Source!$G350, "")</f>
        <v/>
      </c>
      <c r="AH350" s="2" t="str">
        <f>IF(Source!$C350&gt;=COLUMNS($A350:AH350), Source!$G350, "")</f>
        <v/>
      </c>
      <c r="AI350" s="2" t="str">
        <f>IF(Source!$C350&gt;=COLUMNS($A350:AI350), Source!$G350, "")</f>
        <v/>
      </c>
      <c r="AJ350" s="2" t="str">
        <f>IF(Source!$C350&gt;=COLUMNS($A350:AJ350), Source!$G350, "")</f>
        <v/>
      </c>
      <c r="AK350" s="2" t="str">
        <f>IF(Source!$C350&gt;=COLUMNS($A350:AK350), Source!$G350, "")</f>
        <v/>
      </c>
      <c r="AL350" s="2" t="str">
        <f>IF(Source!$C350&gt;=COLUMNS($A350:AL350), Source!$G350, "")</f>
        <v/>
      </c>
      <c r="AM350" s="2" t="str">
        <f>IF(Source!$C350&gt;=COLUMNS($A350:AM350), Source!$G350, "")</f>
        <v/>
      </c>
      <c r="AN350" s="2" t="str">
        <f>IF(Source!$C350&gt;=COLUMNS($A350:AN350), Source!$G350, "")</f>
        <v/>
      </c>
      <c r="AO350" s="2" t="str">
        <f>IF(Source!$C350&gt;=COLUMNS($A350:AO350), Source!$G350, "")</f>
        <v/>
      </c>
      <c r="AP350" s="2" t="str">
        <f>IF(Source!$C350&gt;=COLUMNS($A350:AP350), Source!$G350, "")</f>
        <v/>
      </c>
      <c r="AQ350" s="2" t="str">
        <f>IF(Source!$C350&gt;=COLUMNS($A350:AQ350), Source!$G350, "")</f>
        <v/>
      </c>
      <c r="AR350" s="2" t="str">
        <f>IF(Source!$C350&gt;=COLUMNS($A350:AR350), Source!$G350, "")</f>
        <v/>
      </c>
    </row>
    <row r="351">
      <c r="A351" s="2">
        <f>IF(Source!$C351&gt;=COLUMNS($A351:A351), Source!$G351, "")</f>
        <v>6</v>
      </c>
      <c r="B351" s="2">
        <f>IF(Source!$C351&gt;=COLUMNS($A351:B351), Source!$G351, "")</f>
        <v>6</v>
      </c>
      <c r="C351" s="2">
        <f>IF(Source!$C351&gt;=COLUMNS($A351:C351), Source!$G351, "")</f>
        <v>6</v>
      </c>
      <c r="D351" s="2">
        <f>IF(Source!$C351&gt;=COLUMNS($A351:D351), Source!$G351, "")</f>
        <v>6</v>
      </c>
      <c r="E351" s="2" t="str">
        <f>IF(Source!$C351&gt;=COLUMNS($A351:E351), Source!$G351, "")</f>
        <v/>
      </c>
      <c r="F351" s="2" t="str">
        <f>IF(Source!$C351&gt;=COLUMNS($A351:F351), Source!$G351, "")</f>
        <v/>
      </c>
      <c r="G351" s="2" t="str">
        <f>IF(Source!$C351&gt;=COLUMNS($A351:G351), Source!$G351, "")</f>
        <v/>
      </c>
      <c r="H351" s="2" t="str">
        <f>IF(Source!$C351&gt;=COLUMNS($A351:H351), Source!$G351, "")</f>
        <v/>
      </c>
      <c r="I351" s="2" t="str">
        <f>IF(Source!$C351&gt;=COLUMNS($A351:I351), Source!$G351, "")</f>
        <v/>
      </c>
      <c r="J351" s="2" t="str">
        <f>IF(Source!$C351&gt;=COLUMNS($A351:J351), Source!$G351, "")</f>
        <v/>
      </c>
      <c r="K351" s="2" t="str">
        <f>IF(Source!$C351&gt;=COLUMNS($A351:K351), Source!$G351, "")</f>
        <v/>
      </c>
      <c r="L351" s="2" t="str">
        <f>IF(Source!$C351&gt;=COLUMNS($A351:L351), Source!$G351, "")</f>
        <v/>
      </c>
      <c r="M351" s="2" t="str">
        <f>IF(Source!$C351&gt;=COLUMNS($A351:M351), Source!$G351, "")</f>
        <v/>
      </c>
      <c r="N351" s="2" t="str">
        <f>IF(Source!$C351&gt;=COLUMNS($A351:N351), Source!$G351, "")</f>
        <v/>
      </c>
      <c r="O351" s="2" t="str">
        <f>IF(Source!$C351&gt;=COLUMNS($A351:O351), Source!$G351, "")</f>
        <v/>
      </c>
      <c r="P351" s="2" t="str">
        <f>IF(Source!$C351&gt;=COLUMNS($A351:P351), Source!$G351, "")</f>
        <v/>
      </c>
      <c r="Q351" s="2" t="str">
        <f>IF(Source!$C351&gt;=COLUMNS($A351:Q351), Source!$G351, "")</f>
        <v/>
      </c>
      <c r="R351" s="2" t="str">
        <f>IF(Source!$C351&gt;=COLUMNS($A351:R351), Source!$G351, "")</f>
        <v/>
      </c>
      <c r="S351" s="2" t="str">
        <f>IF(Source!$C351&gt;=COLUMNS($A351:S351), Source!$G351, "")</f>
        <v/>
      </c>
      <c r="T351" s="2" t="str">
        <f>IF(Source!$C351&gt;=COLUMNS($A351:T351), Source!$G351, "")</f>
        <v/>
      </c>
      <c r="U351" s="2" t="str">
        <f>IF(Source!$C351&gt;=COLUMNS($A351:U351), Source!$G351, "")</f>
        <v/>
      </c>
      <c r="V351" s="2" t="str">
        <f>IF(Source!$C351&gt;=COLUMNS($A351:V351), Source!$G351, "")</f>
        <v/>
      </c>
      <c r="W351" s="2" t="str">
        <f>IF(Source!$C351&gt;=COLUMNS($A351:W351), Source!$G351, "")</f>
        <v/>
      </c>
      <c r="X351" s="2" t="str">
        <f>IF(Source!$C351&gt;=COLUMNS($A351:X351), Source!$G351, "")</f>
        <v/>
      </c>
      <c r="Y351" s="2" t="str">
        <f>IF(Source!$C351&gt;=COLUMNS($A351:Y351), Source!$G351, "")</f>
        <v/>
      </c>
      <c r="Z351" s="2" t="str">
        <f>IF(Source!$C351&gt;=COLUMNS($A351:Z351), Source!$G351, "")</f>
        <v/>
      </c>
      <c r="AA351" s="2" t="str">
        <f>IF(Source!$C351&gt;=COLUMNS($A351:AA351), Source!$G351, "")</f>
        <v/>
      </c>
      <c r="AB351" s="2" t="str">
        <f>IF(Source!$C351&gt;=COLUMNS($A351:AB351), Source!$G351, "")</f>
        <v/>
      </c>
      <c r="AC351" s="2" t="str">
        <f>IF(Source!$C351&gt;=COLUMNS($A351:AC351), Source!$G351, "")</f>
        <v/>
      </c>
      <c r="AD351" s="2" t="str">
        <f>IF(Source!$C351&gt;=COLUMNS($A351:AD351), Source!$G351, "")</f>
        <v/>
      </c>
      <c r="AE351" s="2" t="str">
        <f>IF(Source!$C351&gt;=COLUMNS($A351:AE351), Source!$G351, "")</f>
        <v/>
      </c>
      <c r="AF351" s="2" t="str">
        <f>IF(Source!$C351&gt;=COLUMNS($A351:AF351), Source!$G351, "")</f>
        <v/>
      </c>
      <c r="AG351" s="2" t="str">
        <f>IF(Source!$C351&gt;=COLUMNS($A351:AG351), Source!$G351, "")</f>
        <v/>
      </c>
      <c r="AH351" s="2" t="str">
        <f>IF(Source!$C351&gt;=COLUMNS($A351:AH351), Source!$G351, "")</f>
        <v/>
      </c>
      <c r="AI351" s="2" t="str">
        <f>IF(Source!$C351&gt;=COLUMNS($A351:AI351), Source!$G351, "")</f>
        <v/>
      </c>
      <c r="AJ351" s="2" t="str">
        <f>IF(Source!$C351&gt;=COLUMNS($A351:AJ351), Source!$G351, "")</f>
        <v/>
      </c>
      <c r="AK351" s="2" t="str">
        <f>IF(Source!$C351&gt;=COLUMNS($A351:AK351), Source!$G351, "")</f>
        <v/>
      </c>
      <c r="AL351" s="2" t="str">
        <f>IF(Source!$C351&gt;=COLUMNS($A351:AL351), Source!$G351, "")</f>
        <v/>
      </c>
      <c r="AM351" s="2" t="str">
        <f>IF(Source!$C351&gt;=COLUMNS($A351:AM351), Source!$G351, "")</f>
        <v/>
      </c>
      <c r="AN351" s="2" t="str">
        <f>IF(Source!$C351&gt;=COLUMNS($A351:AN351), Source!$G351, "")</f>
        <v/>
      </c>
      <c r="AO351" s="2" t="str">
        <f>IF(Source!$C351&gt;=COLUMNS($A351:AO351), Source!$G351, "")</f>
        <v/>
      </c>
      <c r="AP351" s="2" t="str">
        <f>IF(Source!$C351&gt;=COLUMNS($A351:AP351), Source!$G351, "")</f>
        <v/>
      </c>
      <c r="AQ351" s="2" t="str">
        <f>IF(Source!$C351&gt;=COLUMNS($A351:AQ351), Source!$G351, "")</f>
        <v/>
      </c>
      <c r="AR351" s="2" t="str">
        <f>IF(Source!$C351&gt;=COLUMNS($A351:AR351), Source!$G351, "")</f>
        <v/>
      </c>
    </row>
    <row r="352">
      <c r="A352" s="2">
        <f>IF(Source!$C352&gt;=COLUMNS($A352:A352), Source!$G352, "")</f>
        <v>8</v>
      </c>
      <c r="B352" s="2">
        <f>IF(Source!$C352&gt;=COLUMNS($A352:B352), Source!$G352, "")</f>
        <v>8</v>
      </c>
      <c r="C352" s="2">
        <f>IF(Source!$C352&gt;=COLUMNS($A352:C352), Source!$G352, "")</f>
        <v>8</v>
      </c>
      <c r="D352" s="2">
        <f>IF(Source!$C352&gt;=COLUMNS($A352:D352), Source!$G352, "")</f>
        <v>8</v>
      </c>
      <c r="E352" s="2">
        <f>IF(Source!$C352&gt;=COLUMNS($A352:E352), Source!$G352, "")</f>
        <v>8</v>
      </c>
      <c r="F352" s="2" t="str">
        <f>IF(Source!$C352&gt;=COLUMNS($A352:F352), Source!$G352, "")</f>
        <v/>
      </c>
      <c r="G352" s="2" t="str">
        <f>IF(Source!$C352&gt;=COLUMNS($A352:G352), Source!$G352, "")</f>
        <v/>
      </c>
      <c r="H352" s="2" t="str">
        <f>IF(Source!$C352&gt;=COLUMNS($A352:H352), Source!$G352, "")</f>
        <v/>
      </c>
      <c r="I352" s="2" t="str">
        <f>IF(Source!$C352&gt;=COLUMNS($A352:I352), Source!$G352, "")</f>
        <v/>
      </c>
      <c r="J352" s="2" t="str">
        <f>IF(Source!$C352&gt;=COLUMNS($A352:J352), Source!$G352, "")</f>
        <v/>
      </c>
      <c r="K352" s="2" t="str">
        <f>IF(Source!$C352&gt;=COLUMNS($A352:K352), Source!$G352, "")</f>
        <v/>
      </c>
      <c r="L352" s="2" t="str">
        <f>IF(Source!$C352&gt;=COLUMNS($A352:L352), Source!$G352, "")</f>
        <v/>
      </c>
      <c r="M352" s="2" t="str">
        <f>IF(Source!$C352&gt;=COLUMNS($A352:M352), Source!$G352, "")</f>
        <v/>
      </c>
      <c r="N352" s="2" t="str">
        <f>IF(Source!$C352&gt;=COLUMNS($A352:N352), Source!$G352, "")</f>
        <v/>
      </c>
      <c r="O352" s="2" t="str">
        <f>IF(Source!$C352&gt;=COLUMNS($A352:O352), Source!$G352, "")</f>
        <v/>
      </c>
      <c r="P352" s="2" t="str">
        <f>IF(Source!$C352&gt;=COLUMNS($A352:P352), Source!$G352, "")</f>
        <v/>
      </c>
      <c r="Q352" s="2" t="str">
        <f>IF(Source!$C352&gt;=COLUMNS($A352:Q352), Source!$G352, "")</f>
        <v/>
      </c>
      <c r="R352" s="2" t="str">
        <f>IF(Source!$C352&gt;=COLUMNS($A352:R352), Source!$G352, "")</f>
        <v/>
      </c>
      <c r="S352" s="2" t="str">
        <f>IF(Source!$C352&gt;=COLUMNS($A352:S352), Source!$G352, "")</f>
        <v/>
      </c>
      <c r="T352" s="2" t="str">
        <f>IF(Source!$C352&gt;=COLUMNS($A352:T352), Source!$G352, "")</f>
        <v/>
      </c>
      <c r="U352" s="2" t="str">
        <f>IF(Source!$C352&gt;=COLUMNS($A352:U352), Source!$G352, "")</f>
        <v/>
      </c>
      <c r="V352" s="2" t="str">
        <f>IF(Source!$C352&gt;=COLUMNS($A352:V352), Source!$G352, "")</f>
        <v/>
      </c>
      <c r="W352" s="2" t="str">
        <f>IF(Source!$C352&gt;=COLUMNS($A352:W352), Source!$G352, "")</f>
        <v/>
      </c>
      <c r="X352" s="2" t="str">
        <f>IF(Source!$C352&gt;=COLUMNS($A352:X352), Source!$G352, "")</f>
        <v/>
      </c>
      <c r="Y352" s="2" t="str">
        <f>IF(Source!$C352&gt;=COLUMNS($A352:Y352), Source!$G352, "")</f>
        <v/>
      </c>
      <c r="Z352" s="2" t="str">
        <f>IF(Source!$C352&gt;=COLUMNS($A352:Z352), Source!$G352, "")</f>
        <v/>
      </c>
      <c r="AA352" s="2" t="str">
        <f>IF(Source!$C352&gt;=COLUMNS($A352:AA352), Source!$G352, "")</f>
        <v/>
      </c>
      <c r="AB352" s="2" t="str">
        <f>IF(Source!$C352&gt;=COLUMNS($A352:AB352), Source!$G352, "")</f>
        <v/>
      </c>
      <c r="AC352" s="2" t="str">
        <f>IF(Source!$C352&gt;=COLUMNS($A352:AC352), Source!$G352, "")</f>
        <v/>
      </c>
      <c r="AD352" s="2" t="str">
        <f>IF(Source!$C352&gt;=COLUMNS($A352:AD352), Source!$G352, "")</f>
        <v/>
      </c>
      <c r="AE352" s="2" t="str">
        <f>IF(Source!$C352&gt;=COLUMNS($A352:AE352), Source!$G352, "")</f>
        <v/>
      </c>
      <c r="AF352" s="2" t="str">
        <f>IF(Source!$C352&gt;=COLUMNS($A352:AF352), Source!$G352, "")</f>
        <v/>
      </c>
      <c r="AG352" s="2" t="str">
        <f>IF(Source!$C352&gt;=COLUMNS($A352:AG352), Source!$G352, "")</f>
        <v/>
      </c>
      <c r="AH352" s="2" t="str">
        <f>IF(Source!$C352&gt;=COLUMNS($A352:AH352), Source!$G352, "")</f>
        <v/>
      </c>
      <c r="AI352" s="2" t="str">
        <f>IF(Source!$C352&gt;=COLUMNS($A352:AI352), Source!$G352, "")</f>
        <v/>
      </c>
      <c r="AJ352" s="2" t="str">
        <f>IF(Source!$C352&gt;=COLUMNS($A352:AJ352), Source!$G352, "")</f>
        <v/>
      </c>
      <c r="AK352" s="2" t="str">
        <f>IF(Source!$C352&gt;=COLUMNS($A352:AK352), Source!$G352, "")</f>
        <v/>
      </c>
      <c r="AL352" s="2" t="str">
        <f>IF(Source!$C352&gt;=COLUMNS($A352:AL352), Source!$G352, "")</f>
        <v/>
      </c>
      <c r="AM352" s="2" t="str">
        <f>IF(Source!$C352&gt;=COLUMNS($A352:AM352), Source!$G352, "")</f>
        <v/>
      </c>
      <c r="AN352" s="2" t="str">
        <f>IF(Source!$C352&gt;=COLUMNS($A352:AN352), Source!$G352, "")</f>
        <v/>
      </c>
      <c r="AO352" s="2" t="str">
        <f>IF(Source!$C352&gt;=COLUMNS($A352:AO352), Source!$G352, "")</f>
        <v/>
      </c>
      <c r="AP352" s="2" t="str">
        <f>IF(Source!$C352&gt;=COLUMNS($A352:AP352), Source!$G352, "")</f>
        <v/>
      </c>
      <c r="AQ352" s="2" t="str">
        <f>IF(Source!$C352&gt;=COLUMNS($A352:AQ352), Source!$G352, "")</f>
        <v/>
      </c>
      <c r="AR352" s="2" t="str">
        <f>IF(Source!$C352&gt;=COLUMNS($A352:AR352), Source!$G352, "")</f>
        <v/>
      </c>
    </row>
    <row r="353">
      <c r="A353" s="2">
        <f>IF(Source!$C353&gt;=COLUMNS($A353:A353), Source!$G353, "")</f>
        <v>4</v>
      </c>
      <c r="B353" s="2">
        <f>IF(Source!$C353&gt;=COLUMNS($A353:B353), Source!$G353, "")</f>
        <v>4</v>
      </c>
      <c r="C353" s="2">
        <f>IF(Source!$C353&gt;=COLUMNS($A353:C353), Source!$G353, "")</f>
        <v>4</v>
      </c>
      <c r="D353" s="2">
        <f>IF(Source!$C353&gt;=COLUMNS($A353:D353), Source!$G353, "")</f>
        <v>4</v>
      </c>
      <c r="E353" s="2" t="str">
        <f>IF(Source!$C353&gt;=COLUMNS($A353:E353), Source!$G353, "")</f>
        <v/>
      </c>
      <c r="F353" s="2" t="str">
        <f>IF(Source!$C353&gt;=COLUMNS($A353:F353), Source!$G353, "")</f>
        <v/>
      </c>
      <c r="G353" s="2" t="str">
        <f>IF(Source!$C353&gt;=COLUMNS($A353:G353), Source!$G353, "")</f>
        <v/>
      </c>
      <c r="H353" s="2" t="str">
        <f>IF(Source!$C353&gt;=COLUMNS($A353:H353), Source!$G353, "")</f>
        <v/>
      </c>
      <c r="I353" s="2" t="str">
        <f>IF(Source!$C353&gt;=COLUMNS($A353:I353), Source!$G353, "")</f>
        <v/>
      </c>
      <c r="J353" s="2" t="str">
        <f>IF(Source!$C353&gt;=COLUMNS($A353:J353), Source!$G353, "")</f>
        <v/>
      </c>
      <c r="K353" s="2" t="str">
        <f>IF(Source!$C353&gt;=COLUMNS($A353:K353), Source!$G353, "")</f>
        <v/>
      </c>
      <c r="L353" s="2" t="str">
        <f>IF(Source!$C353&gt;=COLUMNS($A353:L353), Source!$G353, "")</f>
        <v/>
      </c>
      <c r="M353" s="2" t="str">
        <f>IF(Source!$C353&gt;=COLUMNS($A353:M353), Source!$G353, "")</f>
        <v/>
      </c>
      <c r="N353" s="2" t="str">
        <f>IF(Source!$C353&gt;=COLUMNS($A353:N353), Source!$G353, "")</f>
        <v/>
      </c>
      <c r="O353" s="2" t="str">
        <f>IF(Source!$C353&gt;=COLUMNS($A353:O353), Source!$G353, "")</f>
        <v/>
      </c>
      <c r="P353" s="2" t="str">
        <f>IF(Source!$C353&gt;=COLUMNS($A353:P353), Source!$G353, "")</f>
        <v/>
      </c>
      <c r="Q353" s="2" t="str">
        <f>IF(Source!$C353&gt;=COLUMNS($A353:Q353), Source!$G353, "")</f>
        <v/>
      </c>
      <c r="R353" s="2" t="str">
        <f>IF(Source!$C353&gt;=COLUMNS($A353:R353), Source!$G353, "")</f>
        <v/>
      </c>
      <c r="S353" s="2" t="str">
        <f>IF(Source!$C353&gt;=COLUMNS($A353:S353), Source!$G353, "")</f>
        <v/>
      </c>
      <c r="T353" s="2" t="str">
        <f>IF(Source!$C353&gt;=COLUMNS($A353:T353), Source!$G353, "")</f>
        <v/>
      </c>
      <c r="U353" s="2" t="str">
        <f>IF(Source!$C353&gt;=COLUMNS($A353:U353), Source!$G353, "")</f>
        <v/>
      </c>
      <c r="V353" s="2" t="str">
        <f>IF(Source!$C353&gt;=COLUMNS($A353:V353), Source!$G353, "")</f>
        <v/>
      </c>
      <c r="W353" s="2" t="str">
        <f>IF(Source!$C353&gt;=COLUMNS($A353:W353), Source!$G353, "")</f>
        <v/>
      </c>
      <c r="X353" s="2" t="str">
        <f>IF(Source!$C353&gt;=COLUMNS($A353:X353), Source!$G353, "")</f>
        <v/>
      </c>
      <c r="Y353" s="2" t="str">
        <f>IF(Source!$C353&gt;=COLUMNS($A353:Y353), Source!$G353, "")</f>
        <v/>
      </c>
      <c r="Z353" s="2" t="str">
        <f>IF(Source!$C353&gt;=COLUMNS($A353:Z353), Source!$G353, "")</f>
        <v/>
      </c>
      <c r="AA353" s="2" t="str">
        <f>IF(Source!$C353&gt;=COLUMNS($A353:AA353), Source!$G353, "")</f>
        <v/>
      </c>
      <c r="AB353" s="2" t="str">
        <f>IF(Source!$C353&gt;=COLUMNS($A353:AB353), Source!$G353, "")</f>
        <v/>
      </c>
      <c r="AC353" s="2" t="str">
        <f>IF(Source!$C353&gt;=COLUMNS($A353:AC353), Source!$G353, "")</f>
        <v/>
      </c>
      <c r="AD353" s="2" t="str">
        <f>IF(Source!$C353&gt;=COLUMNS($A353:AD353), Source!$G353, "")</f>
        <v/>
      </c>
      <c r="AE353" s="2" t="str">
        <f>IF(Source!$C353&gt;=COLUMNS($A353:AE353), Source!$G353, "")</f>
        <v/>
      </c>
      <c r="AF353" s="2" t="str">
        <f>IF(Source!$C353&gt;=COLUMNS($A353:AF353), Source!$G353, "")</f>
        <v/>
      </c>
      <c r="AG353" s="2" t="str">
        <f>IF(Source!$C353&gt;=COLUMNS($A353:AG353), Source!$G353, "")</f>
        <v/>
      </c>
      <c r="AH353" s="2" t="str">
        <f>IF(Source!$C353&gt;=COLUMNS($A353:AH353), Source!$G353, "")</f>
        <v/>
      </c>
      <c r="AI353" s="2" t="str">
        <f>IF(Source!$C353&gt;=COLUMNS($A353:AI353), Source!$G353, "")</f>
        <v/>
      </c>
      <c r="AJ353" s="2" t="str">
        <f>IF(Source!$C353&gt;=COLUMNS($A353:AJ353), Source!$G353, "")</f>
        <v/>
      </c>
      <c r="AK353" s="2" t="str">
        <f>IF(Source!$C353&gt;=COLUMNS($A353:AK353), Source!$G353, "")</f>
        <v/>
      </c>
      <c r="AL353" s="2" t="str">
        <f>IF(Source!$C353&gt;=COLUMNS($A353:AL353), Source!$G353, "")</f>
        <v/>
      </c>
      <c r="AM353" s="2" t="str">
        <f>IF(Source!$C353&gt;=COLUMNS($A353:AM353), Source!$G353, "")</f>
        <v/>
      </c>
      <c r="AN353" s="2" t="str">
        <f>IF(Source!$C353&gt;=COLUMNS($A353:AN353), Source!$G353, "")</f>
        <v/>
      </c>
      <c r="AO353" s="2" t="str">
        <f>IF(Source!$C353&gt;=COLUMNS($A353:AO353), Source!$G353, "")</f>
        <v/>
      </c>
      <c r="AP353" s="2" t="str">
        <f>IF(Source!$C353&gt;=COLUMNS($A353:AP353), Source!$G353, "")</f>
        <v/>
      </c>
      <c r="AQ353" s="2" t="str">
        <f>IF(Source!$C353&gt;=COLUMNS($A353:AQ353), Source!$G353, "")</f>
        <v/>
      </c>
      <c r="AR353" s="2" t="str">
        <f>IF(Source!$C353&gt;=COLUMNS($A353:AR353), Source!$G353, "")</f>
        <v/>
      </c>
    </row>
    <row r="354">
      <c r="A354" s="2">
        <f>IF(Source!$C354&gt;=COLUMNS($A354:A354), Source!$G354, "")</f>
        <v>4</v>
      </c>
      <c r="B354" s="2">
        <f>IF(Source!$C354&gt;=COLUMNS($A354:B354), Source!$G354, "")</f>
        <v>4</v>
      </c>
      <c r="C354" s="2" t="str">
        <f>IF(Source!$C354&gt;=COLUMNS($A354:C354), Source!$G354, "")</f>
        <v/>
      </c>
      <c r="D354" s="2" t="str">
        <f>IF(Source!$C354&gt;=COLUMNS($A354:D354), Source!$G354, "")</f>
        <v/>
      </c>
      <c r="E354" s="2" t="str">
        <f>IF(Source!$C354&gt;=COLUMNS($A354:E354), Source!$G354, "")</f>
        <v/>
      </c>
      <c r="F354" s="2" t="str">
        <f>IF(Source!$C354&gt;=COLUMNS($A354:F354), Source!$G354, "")</f>
        <v/>
      </c>
      <c r="G354" s="2" t="str">
        <f>IF(Source!$C354&gt;=COLUMNS($A354:G354), Source!$G354, "")</f>
        <v/>
      </c>
      <c r="H354" s="2" t="str">
        <f>IF(Source!$C354&gt;=COLUMNS($A354:H354), Source!$G354, "")</f>
        <v/>
      </c>
      <c r="I354" s="2" t="str">
        <f>IF(Source!$C354&gt;=COLUMNS($A354:I354), Source!$G354, "")</f>
        <v/>
      </c>
      <c r="J354" s="2" t="str">
        <f>IF(Source!$C354&gt;=COLUMNS($A354:J354), Source!$G354, "")</f>
        <v/>
      </c>
      <c r="K354" s="2" t="str">
        <f>IF(Source!$C354&gt;=COLUMNS($A354:K354), Source!$G354, "")</f>
        <v/>
      </c>
      <c r="L354" s="2" t="str">
        <f>IF(Source!$C354&gt;=COLUMNS($A354:L354), Source!$G354, "")</f>
        <v/>
      </c>
      <c r="M354" s="2" t="str">
        <f>IF(Source!$C354&gt;=COLUMNS($A354:M354), Source!$G354, "")</f>
        <v/>
      </c>
      <c r="N354" s="2" t="str">
        <f>IF(Source!$C354&gt;=COLUMNS($A354:N354), Source!$G354, "")</f>
        <v/>
      </c>
      <c r="O354" s="2" t="str">
        <f>IF(Source!$C354&gt;=COLUMNS($A354:O354), Source!$G354, "")</f>
        <v/>
      </c>
      <c r="P354" s="2" t="str">
        <f>IF(Source!$C354&gt;=COLUMNS($A354:P354), Source!$G354, "")</f>
        <v/>
      </c>
      <c r="Q354" s="2" t="str">
        <f>IF(Source!$C354&gt;=COLUMNS($A354:Q354), Source!$G354, "")</f>
        <v/>
      </c>
      <c r="R354" s="2" t="str">
        <f>IF(Source!$C354&gt;=COLUMNS($A354:R354), Source!$G354, "")</f>
        <v/>
      </c>
      <c r="S354" s="2" t="str">
        <f>IF(Source!$C354&gt;=COLUMNS($A354:S354), Source!$G354, "")</f>
        <v/>
      </c>
      <c r="T354" s="2" t="str">
        <f>IF(Source!$C354&gt;=COLUMNS($A354:T354), Source!$G354, "")</f>
        <v/>
      </c>
      <c r="U354" s="2" t="str">
        <f>IF(Source!$C354&gt;=COLUMNS($A354:U354), Source!$G354, "")</f>
        <v/>
      </c>
      <c r="V354" s="2" t="str">
        <f>IF(Source!$C354&gt;=COLUMNS($A354:V354), Source!$G354, "")</f>
        <v/>
      </c>
      <c r="W354" s="2" t="str">
        <f>IF(Source!$C354&gt;=COLUMNS($A354:W354), Source!$G354, "")</f>
        <v/>
      </c>
      <c r="X354" s="2" t="str">
        <f>IF(Source!$C354&gt;=COLUMNS($A354:X354), Source!$G354, "")</f>
        <v/>
      </c>
      <c r="Y354" s="2" t="str">
        <f>IF(Source!$C354&gt;=COLUMNS($A354:Y354), Source!$G354, "")</f>
        <v/>
      </c>
      <c r="Z354" s="2" t="str">
        <f>IF(Source!$C354&gt;=COLUMNS($A354:Z354), Source!$G354, "")</f>
        <v/>
      </c>
      <c r="AA354" s="2" t="str">
        <f>IF(Source!$C354&gt;=COLUMNS($A354:AA354), Source!$G354, "")</f>
        <v/>
      </c>
      <c r="AB354" s="2" t="str">
        <f>IF(Source!$C354&gt;=COLUMNS($A354:AB354), Source!$G354, "")</f>
        <v/>
      </c>
      <c r="AC354" s="2" t="str">
        <f>IF(Source!$C354&gt;=COLUMNS($A354:AC354), Source!$G354, "")</f>
        <v/>
      </c>
      <c r="AD354" s="2" t="str">
        <f>IF(Source!$C354&gt;=COLUMNS($A354:AD354), Source!$G354, "")</f>
        <v/>
      </c>
      <c r="AE354" s="2" t="str">
        <f>IF(Source!$C354&gt;=COLUMNS($A354:AE354), Source!$G354, "")</f>
        <v/>
      </c>
      <c r="AF354" s="2" t="str">
        <f>IF(Source!$C354&gt;=COLUMNS($A354:AF354), Source!$G354, "")</f>
        <v/>
      </c>
      <c r="AG354" s="2" t="str">
        <f>IF(Source!$C354&gt;=COLUMNS($A354:AG354), Source!$G354, "")</f>
        <v/>
      </c>
      <c r="AH354" s="2" t="str">
        <f>IF(Source!$C354&gt;=COLUMNS($A354:AH354), Source!$G354, "")</f>
        <v/>
      </c>
      <c r="AI354" s="2" t="str">
        <f>IF(Source!$C354&gt;=COLUMNS($A354:AI354), Source!$G354, "")</f>
        <v/>
      </c>
      <c r="AJ354" s="2" t="str">
        <f>IF(Source!$C354&gt;=COLUMNS($A354:AJ354), Source!$G354, "")</f>
        <v/>
      </c>
      <c r="AK354" s="2" t="str">
        <f>IF(Source!$C354&gt;=COLUMNS($A354:AK354), Source!$G354, "")</f>
        <v/>
      </c>
      <c r="AL354" s="2" t="str">
        <f>IF(Source!$C354&gt;=COLUMNS($A354:AL354), Source!$G354, "")</f>
        <v/>
      </c>
      <c r="AM354" s="2" t="str">
        <f>IF(Source!$C354&gt;=COLUMNS($A354:AM354), Source!$G354, "")</f>
        <v/>
      </c>
      <c r="AN354" s="2" t="str">
        <f>IF(Source!$C354&gt;=COLUMNS($A354:AN354), Source!$G354, "")</f>
        <v/>
      </c>
      <c r="AO354" s="2" t="str">
        <f>IF(Source!$C354&gt;=COLUMNS($A354:AO354), Source!$G354, "")</f>
        <v/>
      </c>
      <c r="AP354" s="2" t="str">
        <f>IF(Source!$C354&gt;=COLUMNS($A354:AP354), Source!$G354, "")</f>
        <v/>
      </c>
      <c r="AQ354" s="2" t="str">
        <f>IF(Source!$C354&gt;=COLUMNS($A354:AQ354), Source!$G354, "")</f>
        <v/>
      </c>
      <c r="AR354" s="2" t="str">
        <f>IF(Source!$C354&gt;=COLUMNS($A354:AR354), Source!$G354, "")</f>
        <v/>
      </c>
    </row>
    <row r="355">
      <c r="A355" s="2">
        <f>IF(Source!$C355&gt;=COLUMNS($A355:A355), Source!$G355, "")</f>
        <v>3</v>
      </c>
      <c r="B355" s="2">
        <f>IF(Source!$C355&gt;=COLUMNS($A355:B355), Source!$G355, "")</f>
        <v>3</v>
      </c>
      <c r="C355" s="2" t="str">
        <f>IF(Source!$C355&gt;=COLUMNS($A355:C355), Source!$G355, "")</f>
        <v/>
      </c>
      <c r="D355" s="2" t="str">
        <f>IF(Source!$C355&gt;=COLUMNS($A355:D355), Source!$G355, "")</f>
        <v/>
      </c>
      <c r="E355" s="2" t="str">
        <f>IF(Source!$C355&gt;=COLUMNS($A355:E355), Source!$G355, "")</f>
        <v/>
      </c>
      <c r="F355" s="2" t="str">
        <f>IF(Source!$C355&gt;=COLUMNS($A355:F355), Source!$G355, "")</f>
        <v/>
      </c>
      <c r="G355" s="2" t="str">
        <f>IF(Source!$C355&gt;=COLUMNS($A355:G355), Source!$G355, "")</f>
        <v/>
      </c>
      <c r="H355" s="2" t="str">
        <f>IF(Source!$C355&gt;=COLUMNS($A355:H355), Source!$G355, "")</f>
        <v/>
      </c>
      <c r="I355" s="2" t="str">
        <f>IF(Source!$C355&gt;=COLUMNS($A355:I355), Source!$G355, "")</f>
        <v/>
      </c>
      <c r="J355" s="2" t="str">
        <f>IF(Source!$C355&gt;=COLUMNS($A355:J355), Source!$G355, "")</f>
        <v/>
      </c>
      <c r="K355" s="2" t="str">
        <f>IF(Source!$C355&gt;=COLUMNS($A355:K355), Source!$G355, "")</f>
        <v/>
      </c>
      <c r="L355" s="2" t="str">
        <f>IF(Source!$C355&gt;=COLUMNS($A355:L355), Source!$G355, "")</f>
        <v/>
      </c>
      <c r="M355" s="2" t="str">
        <f>IF(Source!$C355&gt;=COLUMNS($A355:M355), Source!$G355, "")</f>
        <v/>
      </c>
      <c r="N355" s="2" t="str">
        <f>IF(Source!$C355&gt;=COLUMNS($A355:N355), Source!$G355, "")</f>
        <v/>
      </c>
      <c r="O355" s="2" t="str">
        <f>IF(Source!$C355&gt;=COLUMNS($A355:O355), Source!$G355, "")</f>
        <v/>
      </c>
      <c r="P355" s="2" t="str">
        <f>IF(Source!$C355&gt;=COLUMNS($A355:P355), Source!$G355, "")</f>
        <v/>
      </c>
      <c r="Q355" s="2" t="str">
        <f>IF(Source!$C355&gt;=COLUMNS($A355:Q355), Source!$G355, "")</f>
        <v/>
      </c>
      <c r="R355" s="2" t="str">
        <f>IF(Source!$C355&gt;=COLUMNS($A355:R355), Source!$G355, "")</f>
        <v/>
      </c>
      <c r="S355" s="2" t="str">
        <f>IF(Source!$C355&gt;=COLUMNS($A355:S355), Source!$G355, "")</f>
        <v/>
      </c>
      <c r="T355" s="2" t="str">
        <f>IF(Source!$C355&gt;=COLUMNS($A355:T355), Source!$G355, "")</f>
        <v/>
      </c>
      <c r="U355" s="2" t="str">
        <f>IF(Source!$C355&gt;=COLUMNS($A355:U355), Source!$G355, "")</f>
        <v/>
      </c>
      <c r="V355" s="2" t="str">
        <f>IF(Source!$C355&gt;=COLUMNS($A355:V355), Source!$G355, "")</f>
        <v/>
      </c>
      <c r="W355" s="2" t="str">
        <f>IF(Source!$C355&gt;=COLUMNS($A355:W355), Source!$G355, "")</f>
        <v/>
      </c>
      <c r="X355" s="2" t="str">
        <f>IF(Source!$C355&gt;=COLUMNS($A355:X355), Source!$G355, "")</f>
        <v/>
      </c>
      <c r="Y355" s="2" t="str">
        <f>IF(Source!$C355&gt;=COLUMNS($A355:Y355), Source!$G355, "")</f>
        <v/>
      </c>
      <c r="Z355" s="2" t="str">
        <f>IF(Source!$C355&gt;=COLUMNS($A355:Z355), Source!$G355, "")</f>
        <v/>
      </c>
      <c r="AA355" s="2" t="str">
        <f>IF(Source!$C355&gt;=COLUMNS($A355:AA355), Source!$G355, "")</f>
        <v/>
      </c>
      <c r="AB355" s="2" t="str">
        <f>IF(Source!$C355&gt;=COLUMNS($A355:AB355), Source!$G355, "")</f>
        <v/>
      </c>
      <c r="AC355" s="2" t="str">
        <f>IF(Source!$C355&gt;=COLUMNS($A355:AC355), Source!$G355, "")</f>
        <v/>
      </c>
      <c r="AD355" s="2" t="str">
        <f>IF(Source!$C355&gt;=COLUMNS($A355:AD355), Source!$G355, "")</f>
        <v/>
      </c>
      <c r="AE355" s="2" t="str">
        <f>IF(Source!$C355&gt;=COLUMNS($A355:AE355), Source!$G355, "")</f>
        <v/>
      </c>
      <c r="AF355" s="2" t="str">
        <f>IF(Source!$C355&gt;=COLUMNS($A355:AF355), Source!$G355, "")</f>
        <v/>
      </c>
      <c r="AG355" s="2" t="str">
        <f>IF(Source!$C355&gt;=COLUMNS($A355:AG355), Source!$G355, "")</f>
        <v/>
      </c>
      <c r="AH355" s="2" t="str">
        <f>IF(Source!$C355&gt;=COLUMNS($A355:AH355), Source!$G355, "")</f>
        <v/>
      </c>
      <c r="AI355" s="2" t="str">
        <f>IF(Source!$C355&gt;=COLUMNS($A355:AI355), Source!$G355, "")</f>
        <v/>
      </c>
      <c r="AJ355" s="2" t="str">
        <f>IF(Source!$C355&gt;=COLUMNS($A355:AJ355), Source!$G355, "")</f>
        <v/>
      </c>
      <c r="AK355" s="2" t="str">
        <f>IF(Source!$C355&gt;=COLUMNS($A355:AK355), Source!$G355, "")</f>
        <v/>
      </c>
      <c r="AL355" s="2" t="str">
        <f>IF(Source!$C355&gt;=COLUMNS($A355:AL355), Source!$G355, "")</f>
        <v/>
      </c>
      <c r="AM355" s="2" t="str">
        <f>IF(Source!$C355&gt;=COLUMNS($A355:AM355), Source!$G355, "")</f>
        <v/>
      </c>
      <c r="AN355" s="2" t="str">
        <f>IF(Source!$C355&gt;=COLUMNS($A355:AN355), Source!$G355, "")</f>
        <v/>
      </c>
      <c r="AO355" s="2" t="str">
        <f>IF(Source!$C355&gt;=COLUMNS($A355:AO355), Source!$G355, "")</f>
        <v/>
      </c>
      <c r="AP355" s="2" t="str">
        <f>IF(Source!$C355&gt;=COLUMNS($A355:AP355), Source!$G355, "")</f>
        <v/>
      </c>
      <c r="AQ355" s="2" t="str">
        <f>IF(Source!$C355&gt;=COLUMNS($A355:AQ355), Source!$G355, "")</f>
        <v/>
      </c>
      <c r="AR355" s="2" t="str">
        <f>IF(Source!$C355&gt;=COLUMNS($A355:AR355), Source!$G355, "")</f>
        <v/>
      </c>
    </row>
    <row r="356">
      <c r="A356" s="2">
        <f>IF(Source!$C356&gt;=COLUMNS($A356:A356), Source!$G356, "")</f>
        <v>6</v>
      </c>
      <c r="B356" s="2">
        <f>IF(Source!$C356&gt;=COLUMNS($A356:B356), Source!$G356, "")</f>
        <v>6</v>
      </c>
      <c r="C356" s="2">
        <f>IF(Source!$C356&gt;=COLUMNS($A356:C356), Source!$G356, "")</f>
        <v>6</v>
      </c>
      <c r="D356" s="2">
        <f>IF(Source!$C356&gt;=COLUMNS($A356:D356), Source!$G356, "")</f>
        <v>6</v>
      </c>
      <c r="E356" s="2">
        <f>IF(Source!$C356&gt;=COLUMNS($A356:E356), Source!$G356, "")</f>
        <v>6</v>
      </c>
      <c r="F356" s="2" t="str">
        <f>IF(Source!$C356&gt;=COLUMNS($A356:F356), Source!$G356, "")</f>
        <v/>
      </c>
      <c r="G356" s="2" t="str">
        <f>IF(Source!$C356&gt;=COLUMNS($A356:G356), Source!$G356, "")</f>
        <v/>
      </c>
      <c r="H356" s="2" t="str">
        <f>IF(Source!$C356&gt;=COLUMNS($A356:H356), Source!$G356, "")</f>
        <v/>
      </c>
      <c r="I356" s="2" t="str">
        <f>IF(Source!$C356&gt;=COLUMNS($A356:I356), Source!$G356, "")</f>
        <v/>
      </c>
      <c r="J356" s="2" t="str">
        <f>IF(Source!$C356&gt;=COLUMNS($A356:J356), Source!$G356, "")</f>
        <v/>
      </c>
      <c r="K356" s="2" t="str">
        <f>IF(Source!$C356&gt;=COLUMNS($A356:K356), Source!$G356, "")</f>
        <v/>
      </c>
      <c r="L356" s="2" t="str">
        <f>IF(Source!$C356&gt;=COLUMNS($A356:L356), Source!$G356, "")</f>
        <v/>
      </c>
      <c r="M356" s="2" t="str">
        <f>IF(Source!$C356&gt;=COLUMNS($A356:M356), Source!$G356, "")</f>
        <v/>
      </c>
      <c r="N356" s="2" t="str">
        <f>IF(Source!$C356&gt;=COLUMNS($A356:N356), Source!$G356, "")</f>
        <v/>
      </c>
      <c r="O356" s="2" t="str">
        <f>IF(Source!$C356&gt;=COLUMNS($A356:O356), Source!$G356, "")</f>
        <v/>
      </c>
      <c r="P356" s="2" t="str">
        <f>IF(Source!$C356&gt;=COLUMNS($A356:P356), Source!$G356, "")</f>
        <v/>
      </c>
      <c r="Q356" s="2" t="str">
        <f>IF(Source!$C356&gt;=COLUMNS($A356:Q356), Source!$G356, "")</f>
        <v/>
      </c>
      <c r="R356" s="2" t="str">
        <f>IF(Source!$C356&gt;=COLUMNS($A356:R356), Source!$G356, "")</f>
        <v/>
      </c>
      <c r="S356" s="2" t="str">
        <f>IF(Source!$C356&gt;=COLUMNS($A356:S356), Source!$G356, "")</f>
        <v/>
      </c>
      <c r="T356" s="2" t="str">
        <f>IF(Source!$C356&gt;=COLUMNS($A356:T356), Source!$G356, "")</f>
        <v/>
      </c>
      <c r="U356" s="2" t="str">
        <f>IF(Source!$C356&gt;=COLUMNS($A356:U356), Source!$G356, "")</f>
        <v/>
      </c>
      <c r="V356" s="2" t="str">
        <f>IF(Source!$C356&gt;=COLUMNS($A356:V356), Source!$G356, "")</f>
        <v/>
      </c>
      <c r="W356" s="2" t="str">
        <f>IF(Source!$C356&gt;=COLUMNS($A356:W356), Source!$G356, "")</f>
        <v/>
      </c>
      <c r="X356" s="2" t="str">
        <f>IF(Source!$C356&gt;=COLUMNS($A356:X356), Source!$G356, "")</f>
        <v/>
      </c>
      <c r="Y356" s="2" t="str">
        <f>IF(Source!$C356&gt;=COLUMNS($A356:Y356), Source!$G356, "")</f>
        <v/>
      </c>
      <c r="Z356" s="2" t="str">
        <f>IF(Source!$C356&gt;=COLUMNS($A356:Z356), Source!$G356, "")</f>
        <v/>
      </c>
      <c r="AA356" s="2" t="str">
        <f>IF(Source!$C356&gt;=COLUMNS($A356:AA356), Source!$G356, "")</f>
        <v/>
      </c>
      <c r="AB356" s="2" t="str">
        <f>IF(Source!$C356&gt;=COLUMNS($A356:AB356), Source!$G356, "")</f>
        <v/>
      </c>
      <c r="AC356" s="2" t="str">
        <f>IF(Source!$C356&gt;=COLUMNS($A356:AC356), Source!$G356, "")</f>
        <v/>
      </c>
      <c r="AD356" s="2" t="str">
        <f>IF(Source!$C356&gt;=COLUMNS($A356:AD356), Source!$G356, "")</f>
        <v/>
      </c>
      <c r="AE356" s="2" t="str">
        <f>IF(Source!$C356&gt;=COLUMNS($A356:AE356), Source!$G356, "")</f>
        <v/>
      </c>
      <c r="AF356" s="2" t="str">
        <f>IF(Source!$C356&gt;=COLUMNS($A356:AF356), Source!$G356, "")</f>
        <v/>
      </c>
      <c r="AG356" s="2" t="str">
        <f>IF(Source!$C356&gt;=COLUMNS($A356:AG356), Source!$G356, "")</f>
        <v/>
      </c>
      <c r="AH356" s="2" t="str">
        <f>IF(Source!$C356&gt;=COLUMNS($A356:AH356), Source!$G356, "")</f>
        <v/>
      </c>
      <c r="AI356" s="2" t="str">
        <f>IF(Source!$C356&gt;=COLUMNS($A356:AI356), Source!$G356, "")</f>
        <v/>
      </c>
      <c r="AJ356" s="2" t="str">
        <f>IF(Source!$C356&gt;=COLUMNS($A356:AJ356), Source!$G356, "")</f>
        <v/>
      </c>
      <c r="AK356" s="2" t="str">
        <f>IF(Source!$C356&gt;=COLUMNS($A356:AK356), Source!$G356, "")</f>
        <v/>
      </c>
      <c r="AL356" s="2" t="str">
        <f>IF(Source!$C356&gt;=COLUMNS($A356:AL356), Source!$G356, "")</f>
        <v/>
      </c>
      <c r="AM356" s="2" t="str">
        <f>IF(Source!$C356&gt;=COLUMNS($A356:AM356), Source!$G356, "")</f>
        <v/>
      </c>
      <c r="AN356" s="2" t="str">
        <f>IF(Source!$C356&gt;=COLUMNS($A356:AN356), Source!$G356, "")</f>
        <v/>
      </c>
      <c r="AO356" s="2" t="str">
        <f>IF(Source!$C356&gt;=COLUMNS($A356:AO356), Source!$G356, "")</f>
        <v/>
      </c>
      <c r="AP356" s="2" t="str">
        <f>IF(Source!$C356&gt;=COLUMNS($A356:AP356), Source!$G356, "")</f>
        <v/>
      </c>
      <c r="AQ356" s="2" t="str">
        <f>IF(Source!$C356&gt;=COLUMNS($A356:AQ356), Source!$G356, "")</f>
        <v/>
      </c>
      <c r="AR356" s="2" t="str">
        <f>IF(Source!$C356&gt;=COLUMNS($A356:AR356), Source!$G356, "")</f>
        <v/>
      </c>
    </row>
    <row r="357">
      <c r="A357" s="2">
        <f>IF(Source!$C357&gt;=COLUMNS($A357:A357), Source!$G357, "")</f>
        <v>2</v>
      </c>
      <c r="B357" s="2" t="str">
        <f>IF(Source!$C357&gt;=COLUMNS($A357:B357), Source!$G357, "")</f>
        <v/>
      </c>
      <c r="C357" s="2" t="str">
        <f>IF(Source!$C357&gt;=COLUMNS($A357:C357), Source!$G357, "")</f>
        <v/>
      </c>
      <c r="D357" s="2" t="str">
        <f>IF(Source!$C357&gt;=COLUMNS($A357:D357), Source!$G357, "")</f>
        <v/>
      </c>
      <c r="E357" s="2" t="str">
        <f>IF(Source!$C357&gt;=COLUMNS($A357:E357), Source!$G357, "")</f>
        <v/>
      </c>
      <c r="F357" s="2" t="str">
        <f>IF(Source!$C357&gt;=COLUMNS($A357:F357), Source!$G357, "")</f>
        <v/>
      </c>
      <c r="G357" s="2" t="str">
        <f>IF(Source!$C357&gt;=COLUMNS($A357:G357), Source!$G357, "")</f>
        <v/>
      </c>
      <c r="H357" s="2" t="str">
        <f>IF(Source!$C357&gt;=COLUMNS($A357:H357), Source!$G357, "")</f>
        <v/>
      </c>
      <c r="I357" s="2" t="str">
        <f>IF(Source!$C357&gt;=COLUMNS($A357:I357), Source!$G357, "")</f>
        <v/>
      </c>
      <c r="J357" s="2" t="str">
        <f>IF(Source!$C357&gt;=COLUMNS($A357:J357), Source!$G357, "")</f>
        <v/>
      </c>
      <c r="K357" s="2" t="str">
        <f>IF(Source!$C357&gt;=COLUMNS($A357:K357), Source!$G357, "")</f>
        <v/>
      </c>
      <c r="L357" s="2" t="str">
        <f>IF(Source!$C357&gt;=COLUMNS($A357:L357), Source!$G357, "")</f>
        <v/>
      </c>
      <c r="M357" s="2" t="str">
        <f>IF(Source!$C357&gt;=COLUMNS($A357:M357), Source!$G357, "")</f>
        <v/>
      </c>
      <c r="N357" s="2" t="str">
        <f>IF(Source!$C357&gt;=COLUMNS($A357:N357), Source!$G357, "")</f>
        <v/>
      </c>
      <c r="O357" s="2" t="str">
        <f>IF(Source!$C357&gt;=COLUMNS($A357:O357), Source!$G357, "")</f>
        <v/>
      </c>
      <c r="P357" s="2" t="str">
        <f>IF(Source!$C357&gt;=COLUMNS($A357:P357), Source!$G357, "")</f>
        <v/>
      </c>
      <c r="Q357" s="2" t="str">
        <f>IF(Source!$C357&gt;=COLUMNS($A357:Q357), Source!$G357, "")</f>
        <v/>
      </c>
      <c r="R357" s="2" t="str">
        <f>IF(Source!$C357&gt;=COLUMNS($A357:R357), Source!$G357, "")</f>
        <v/>
      </c>
      <c r="S357" s="2" t="str">
        <f>IF(Source!$C357&gt;=COLUMNS($A357:S357), Source!$G357, "")</f>
        <v/>
      </c>
      <c r="T357" s="2" t="str">
        <f>IF(Source!$C357&gt;=COLUMNS($A357:T357), Source!$G357, "")</f>
        <v/>
      </c>
      <c r="U357" s="2" t="str">
        <f>IF(Source!$C357&gt;=COLUMNS($A357:U357), Source!$G357, "")</f>
        <v/>
      </c>
      <c r="V357" s="2" t="str">
        <f>IF(Source!$C357&gt;=COLUMNS($A357:V357), Source!$G357, "")</f>
        <v/>
      </c>
      <c r="W357" s="2" t="str">
        <f>IF(Source!$C357&gt;=COLUMNS($A357:W357), Source!$G357, "")</f>
        <v/>
      </c>
      <c r="X357" s="2" t="str">
        <f>IF(Source!$C357&gt;=COLUMNS($A357:X357), Source!$G357, "")</f>
        <v/>
      </c>
      <c r="Y357" s="2" t="str">
        <f>IF(Source!$C357&gt;=COLUMNS($A357:Y357), Source!$G357, "")</f>
        <v/>
      </c>
      <c r="Z357" s="2" t="str">
        <f>IF(Source!$C357&gt;=COLUMNS($A357:Z357), Source!$G357, "")</f>
        <v/>
      </c>
      <c r="AA357" s="2" t="str">
        <f>IF(Source!$C357&gt;=COLUMNS($A357:AA357), Source!$G357, "")</f>
        <v/>
      </c>
      <c r="AB357" s="2" t="str">
        <f>IF(Source!$C357&gt;=COLUMNS($A357:AB357), Source!$G357, "")</f>
        <v/>
      </c>
      <c r="AC357" s="2" t="str">
        <f>IF(Source!$C357&gt;=COLUMNS($A357:AC357), Source!$G357, "")</f>
        <v/>
      </c>
      <c r="AD357" s="2" t="str">
        <f>IF(Source!$C357&gt;=COLUMNS($A357:AD357), Source!$G357, "")</f>
        <v/>
      </c>
      <c r="AE357" s="2" t="str">
        <f>IF(Source!$C357&gt;=COLUMNS($A357:AE357), Source!$G357, "")</f>
        <v/>
      </c>
      <c r="AF357" s="2" t="str">
        <f>IF(Source!$C357&gt;=COLUMNS($A357:AF357), Source!$G357, "")</f>
        <v/>
      </c>
      <c r="AG357" s="2" t="str">
        <f>IF(Source!$C357&gt;=COLUMNS($A357:AG357), Source!$G357, "")</f>
        <v/>
      </c>
      <c r="AH357" s="2" t="str">
        <f>IF(Source!$C357&gt;=COLUMNS($A357:AH357), Source!$G357, "")</f>
        <v/>
      </c>
      <c r="AI357" s="2" t="str">
        <f>IF(Source!$C357&gt;=COLUMNS($A357:AI357), Source!$G357, "")</f>
        <v/>
      </c>
      <c r="AJ357" s="2" t="str">
        <f>IF(Source!$C357&gt;=COLUMNS($A357:AJ357), Source!$G357, "")</f>
        <v/>
      </c>
      <c r="AK357" s="2" t="str">
        <f>IF(Source!$C357&gt;=COLUMNS($A357:AK357), Source!$G357, "")</f>
        <v/>
      </c>
      <c r="AL357" s="2" t="str">
        <f>IF(Source!$C357&gt;=COLUMNS($A357:AL357), Source!$G357, "")</f>
        <v/>
      </c>
      <c r="AM357" s="2" t="str">
        <f>IF(Source!$C357&gt;=COLUMNS($A357:AM357), Source!$G357, "")</f>
        <v/>
      </c>
      <c r="AN357" s="2" t="str">
        <f>IF(Source!$C357&gt;=COLUMNS($A357:AN357), Source!$G357, "")</f>
        <v/>
      </c>
      <c r="AO357" s="2" t="str">
        <f>IF(Source!$C357&gt;=COLUMNS($A357:AO357), Source!$G357, "")</f>
        <v/>
      </c>
      <c r="AP357" s="2" t="str">
        <f>IF(Source!$C357&gt;=COLUMNS($A357:AP357), Source!$G357, "")</f>
        <v/>
      </c>
      <c r="AQ357" s="2" t="str">
        <f>IF(Source!$C357&gt;=COLUMNS($A357:AQ357), Source!$G357, "")</f>
        <v/>
      </c>
      <c r="AR357" s="2" t="str">
        <f>IF(Source!$C357&gt;=COLUMNS($A357:AR357), Source!$G357, "")</f>
        <v/>
      </c>
    </row>
    <row r="358">
      <c r="A358" s="2">
        <f>IF(Source!$C358&gt;=COLUMNS($A358:A358), Source!$G358, "")</f>
        <v>4</v>
      </c>
      <c r="B358" s="2" t="str">
        <f>IF(Source!$C358&gt;=COLUMNS($A358:B358), Source!$G358, "")</f>
        <v/>
      </c>
      <c r="C358" s="2" t="str">
        <f>IF(Source!$C358&gt;=COLUMNS($A358:C358), Source!$G358, "")</f>
        <v/>
      </c>
      <c r="D358" s="2" t="str">
        <f>IF(Source!$C358&gt;=COLUMNS($A358:D358), Source!$G358, "")</f>
        <v/>
      </c>
      <c r="E358" s="2" t="str">
        <f>IF(Source!$C358&gt;=COLUMNS($A358:E358), Source!$G358, "")</f>
        <v/>
      </c>
      <c r="F358" s="2" t="str">
        <f>IF(Source!$C358&gt;=COLUMNS($A358:F358), Source!$G358, "")</f>
        <v/>
      </c>
      <c r="G358" s="2" t="str">
        <f>IF(Source!$C358&gt;=COLUMNS($A358:G358), Source!$G358, "")</f>
        <v/>
      </c>
      <c r="H358" s="2" t="str">
        <f>IF(Source!$C358&gt;=COLUMNS($A358:H358), Source!$G358, "")</f>
        <v/>
      </c>
      <c r="I358" s="2" t="str">
        <f>IF(Source!$C358&gt;=COLUMNS($A358:I358), Source!$G358, "")</f>
        <v/>
      </c>
      <c r="J358" s="2" t="str">
        <f>IF(Source!$C358&gt;=COLUMNS($A358:J358), Source!$G358, "")</f>
        <v/>
      </c>
      <c r="K358" s="2" t="str">
        <f>IF(Source!$C358&gt;=COLUMNS($A358:K358), Source!$G358, "")</f>
        <v/>
      </c>
      <c r="L358" s="2" t="str">
        <f>IF(Source!$C358&gt;=COLUMNS($A358:L358), Source!$G358, "")</f>
        <v/>
      </c>
      <c r="M358" s="2" t="str">
        <f>IF(Source!$C358&gt;=COLUMNS($A358:M358), Source!$G358, "")</f>
        <v/>
      </c>
      <c r="N358" s="2" t="str">
        <f>IF(Source!$C358&gt;=COLUMNS($A358:N358), Source!$G358, "")</f>
        <v/>
      </c>
      <c r="O358" s="2" t="str">
        <f>IF(Source!$C358&gt;=COLUMNS($A358:O358), Source!$G358, "")</f>
        <v/>
      </c>
      <c r="P358" s="2" t="str">
        <f>IF(Source!$C358&gt;=COLUMNS($A358:P358), Source!$G358, "")</f>
        <v/>
      </c>
      <c r="Q358" s="2" t="str">
        <f>IF(Source!$C358&gt;=COLUMNS($A358:Q358), Source!$G358, "")</f>
        <v/>
      </c>
      <c r="R358" s="2" t="str">
        <f>IF(Source!$C358&gt;=COLUMNS($A358:R358), Source!$G358, "")</f>
        <v/>
      </c>
      <c r="S358" s="2" t="str">
        <f>IF(Source!$C358&gt;=COLUMNS($A358:S358), Source!$G358, "")</f>
        <v/>
      </c>
      <c r="T358" s="2" t="str">
        <f>IF(Source!$C358&gt;=COLUMNS($A358:T358), Source!$G358, "")</f>
        <v/>
      </c>
      <c r="U358" s="2" t="str">
        <f>IF(Source!$C358&gt;=COLUMNS($A358:U358), Source!$G358, "")</f>
        <v/>
      </c>
      <c r="V358" s="2" t="str">
        <f>IF(Source!$C358&gt;=COLUMNS($A358:V358), Source!$G358, "")</f>
        <v/>
      </c>
      <c r="W358" s="2" t="str">
        <f>IF(Source!$C358&gt;=COLUMNS($A358:W358), Source!$G358, "")</f>
        <v/>
      </c>
      <c r="X358" s="2" t="str">
        <f>IF(Source!$C358&gt;=COLUMNS($A358:X358), Source!$G358, "")</f>
        <v/>
      </c>
      <c r="Y358" s="2" t="str">
        <f>IF(Source!$C358&gt;=COLUMNS($A358:Y358), Source!$G358, "")</f>
        <v/>
      </c>
      <c r="Z358" s="2" t="str">
        <f>IF(Source!$C358&gt;=COLUMNS($A358:Z358), Source!$G358, "")</f>
        <v/>
      </c>
      <c r="AA358" s="2" t="str">
        <f>IF(Source!$C358&gt;=COLUMNS($A358:AA358), Source!$G358, "")</f>
        <v/>
      </c>
      <c r="AB358" s="2" t="str">
        <f>IF(Source!$C358&gt;=COLUMNS($A358:AB358), Source!$G358, "")</f>
        <v/>
      </c>
      <c r="AC358" s="2" t="str">
        <f>IF(Source!$C358&gt;=COLUMNS($A358:AC358), Source!$G358, "")</f>
        <v/>
      </c>
      <c r="AD358" s="2" t="str">
        <f>IF(Source!$C358&gt;=COLUMNS($A358:AD358), Source!$G358, "")</f>
        <v/>
      </c>
      <c r="AE358" s="2" t="str">
        <f>IF(Source!$C358&gt;=COLUMNS($A358:AE358), Source!$G358, "")</f>
        <v/>
      </c>
      <c r="AF358" s="2" t="str">
        <f>IF(Source!$C358&gt;=COLUMNS($A358:AF358), Source!$G358, "")</f>
        <v/>
      </c>
      <c r="AG358" s="2" t="str">
        <f>IF(Source!$C358&gt;=COLUMNS($A358:AG358), Source!$G358, "")</f>
        <v/>
      </c>
      <c r="AH358" s="2" t="str">
        <f>IF(Source!$C358&gt;=COLUMNS($A358:AH358), Source!$G358, "")</f>
        <v/>
      </c>
      <c r="AI358" s="2" t="str">
        <f>IF(Source!$C358&gt;=COLUMNS($A358:AI358), Source!$G358, "")</f>
        <v/>
      </c>
      <c r="AJ358" s="2" t="str">
        <f>IF(Source!$C358&gt;=COLUMNS($A358:AJ358), Source!$G358, "")</f>
        <v/>
      </c>
      <c r="AK358" s="2" t="str">
        <f>IF(Source!$C358&gt;=COLUMNS($A358:AK358), Source!$G358, "")</f>
        <v/>
      </c>
      <c r="AL358" s="2" t="str">
        <f>IF(Source!$C358&gt;=COLUMNS($A358:AL358), Source!$G358, "")</f>
        <v/>
      </c>
      <c r="AM358" s="2" t="str">
        <f>IF(Source!$C358&gt;=COLUMNS($A358:AM358), Source!$G358, "")</f>
        <v/>
      </c>
      <c r="AN358" s="2" t="str">
        <f>IF(Source!$C358&gt;=COLUMNS($A358:AN358), Source!$G358, "")</f>
        <v/>
      </c>
      <c r="AO358" s="2" t="str">
        <f>IF(Source!$C358&gt;=COLUMNS($A358:AO358), Source!$G358, "")</f>
        <v/>
      </c>
      <c r="AP358" s="2" t="str">
        <f>IF(Source!$C358&gt;=COLUMNS($A358:AP358), Source!$G358, "")</f>
        <v/>
      </c>
      <c r="AQ358" s="2" t="str">
        <f>IF(Source!$C358&gt;=COLUMNS($A358:AQ358), Source!$G358, "")</f>
        <v/>
      </c>
      <c r="AR358" s="2" t="str">
        <f>IF(Source!$C358&gt;=COLUMNS($A358:AR358), Source!$G358, "")</f>
        <v/>
      </c>
    </row>
    <row r="359">
      <c r="A359" s="2">
        <f>IF(Source!$C359&gt;=COLUMNS($A359:A359), Source!$G359, "")</f>
        <v>6</v>
      </c>
      <c r="B359" s="2">
        <f>IF(Source!$C359&gt;=COLUMNS($A359:B359), Source!$G359, "")</f>
        <v>6</v>
      </c>
      <c r="C359" s="2">
        <f>IF(Source!$C359&gt;=COLUMNS($A359:C359), Source!$G359, "")</f>
        <v>6</v>
      </c>
      <c r="D359" s="2">
        <f>IF(Source!$C359&gt;=COLUMNS($A359:D359), Source!$G359, "")</f>
        <v>6</v>
      </c>
      <c r="E359" s="2">
        <f>IF(Source!$C359&gt;=COLUMNS($A359:E359), Source!$G359, "")</f>
        <v>6</v>
      </c>
      <c r="F359" s="2">
        <f>IF(Source!$C359&gt;=COLUMNS($A359:F359), Source!$G359, "")</f>
        <v>6</v>
      </c>
      <c r="G359" s="2">
        <f>IF(Source!$C359&gt;=COLUMNS($A359:G359), Source!$G359, "")</f>
        <v>6</v>
      </c>
      <c r="H359" s="2">
        <f>IF(Source!$C359&gt;=COLUMNS($A359:H359), Source!$G359, "")</f>
        <v>6</v>
      </c>
      <c r="I359" s="2">
        <f>IF(Source!$C359&gt;=COLUMNS($A359:I359), Source!$G359, "")</f>
        <v>6</v>
      </c>
      <c r="J359" s="2">
        <f>IF(Source!$C359&gt;=COLUMNS($A359:J359), Source!$G359, "")</f>
        <v>6</v>
      </c>
      <c r="K359" s="2" t="str">
        <f>IF(Source!$C359&gt;=COLUMNS($A359:K359), Source!$G359, "")</f>
        <v/>
      </c>
      <c r="L359" s="2" t="str">
        <f>IF(Source!$C359&gt;=COLUMNS($A359:L359), Source!$G359, "")</f>
        <v/>
      </c>
      <c r="M359" s="2" t="str">
        <f>IF(Source!$C359&gt;=COLUMNS($A359:M359), Source!$G359, "")</f>
        <v/>
      </c>
      <c r="N359" s="2" t="str">
        <f>IF(Source!$C359&gt;=COLUMNS($A359:N359), Source!$G359, "")</f>
        <v/>
      </c>
      <c r="O359" s="2" t="str">
        <f>IF(Source!$C359&gt;=COLUMNS($A359:O359), Source!$G359, "")</f>
        <v/>
      </c>
      <c r="P359" s="2" t="str">
        <f>IF(Source!$C359&gt;=COLUMNS($A359:P359), Source!$G359, "")</f>
        <v/>
      </c>
      <c r="Q359" s="2" t="str">
        <f>IF(Source!$C359&gt;=COLUMNS($A359:Q359), Source!$G359, "")</f>
        <v/>
      </c>
      <c r="R359" s="2" t="str">
        <f>IF(Source!$C359&gt;=COLUMNS($A359:R359), Source!$G359, "")</f>
        <v/>
      </c>
      <c r="S359" s="2" t="str">
        <f>IF(Source!$C359&gt;=COLUMNS($A359:S359), Source!$G359, "")</f>
        <v/>
      </c>
      <c r="T359" s="2" t="str">
        <f>IF(Source!$C359&gt;=COLUMNS($A359:T359), Source!$G359, "")</f>
        <v/>
      </c>
      <c r="U359" s="2" t="str">
        <f>IF(Source!$C359&gt;=COLUMNS($A359:U359), Source!$G359, "")</f>
        <v/>
      </c>
      <c r="V359" s="2" t="str">
        <f>IF(Source!$C359&gt;=COLUMNS($A359:V359), Source!$G359, "")</f>
        <v/>
      </c>
      <c r="W359" s="2" t="str">
        <f>IF(Source!$C359&gt;=COLUMNS($A359:W359), Source!$G359, "")</f>
        <v/>
      </c>
      <c r="X359" s="2" t="str">
        <f>IF(Source!$C359&gt;=COLUMNS($A359:X359), Source!$G359, "")</f>
        <v/>
      </c>
      <c r="Y359" s="2" t="str">
        <f>IF(Source!$C359&gt;=COLUMNS($A359:Y359), Source!$G359, "")</f>
        <v/>
      </c>
      <c r="Z359" s="2" t="str">
        <f>IF(Source!$C359&gt;=COLUMNS($A359:Z359), Source!$G359, "")</f>
        <v/>
      </c>
      <c r="AA359" s="2" t="str">
        <f>IF(Source!$C359&gt;=COLUMNS($A359:AA359), Source!$G359, "")</f>
        <v/>
      </c>
      <c r="AB359" s="2" t="str">
        <f>IF(Source!$C359&gt;=COLUMNS($A359:AB359), Source!$G359, "")</f>
        <v/>
      </c>
      <c r="AC359" s="2" t="str">
        <f>IF(Source!$C359&gt;=COLUMNS($A359:AC359), Source!$G359, "")</f>
        <v/>
      </c>
      <c r="AD359" s="2" t="str">
        <f>IF(Source!$C359&gt;=COLUMNS($A359:AD359), Source!$G359, "")</f>
        <v/>
      </c>
      <c r="AE359" s="2" t="str">
        <f>IF(Source!$C359&gt;=COLUMNS($A359:AE359), Source!$G359, "")</f>
        <v/>
      </c>
      <c r="AF359" s="2" t="str">
        <f>IF(Source!$C359&gt;=COLUMNS($A359:AF359), Source!$G359, "")</f>
        <v/>
      </c>
      <c r="AG359" s="2" t="str">
        <f>IF(Source!$C359&gt;=COLUMNS($A359:AG359), Source!$G359, "")</f>
        <v/>
      </c>
      <c r="AH359" s="2" t="str">
        <f>IF(Source!$C359&gt;=COLUMNS($A359:AH359), Source!$G359, "")</f>
        <v/>
      </c>
      <c r="AI359" s="2" t="str">
        <f>IF(Source!$C359&gt;=COLUMNS($A359:AI359), Source!$G359, "")</f>
        <v/>
      </c>
      <c r="AJ359" s="2" t="str">
        <f>IF(Source!$C359&gt;=COLUMNS($A359:AJ359), Source!$G359, "")</f>
        <v/>
      </c>
      <c r="AK359" s="2" t="str">
        <f>IF(Source!$C359&gt;=COLUMNS($A359:AK359), Source!$G359, "")</f>
        <v/>
      </c>
      <c r="AL359" s="2" t="str">
        <f>IF(Source!$C359&gt;=COLUMNS($A359:AL359), Source!$G359, "")</f>
        <v/>
      </c>
      <c r="AM359" s="2" t="str">
        <f>IF(Source!$C359&gt;=COLUMNS($A359:AM359), Source!$G359, "")</f>
        <v/>
      </c>
      <c r="AN359" s="2" t="str">
        <f>IF(Source!$C359&gt;=COLUMNS($A359:AN359), Source!$G359, "")</f>
        <v/>
      </c>
      <c r="AO359" s="2" t="str">
        <f>IF(Source!$C359&gt;=COLUMNS($A359:AO359), Source!$G359, "")</f>
        <v/>
      </c>
      <c r="AP359" s="2" t="str">
        <f>IF(Source!$C359&gt;=COLUMNS($A359:AP359), Source!$G359, "")</f>
        <v/>
      </c>
      <c r="AQ359" s="2" t="str">
        <f>IF(Source!$C359&gt;=COLUMNS($A359:AQ359), Source!$G359, "")</f>
        <v/>
      </c>
      <c r="AR359" s="2" t="str">
        <f>IF(Source!$C359&gt;=COLUMNS($A359:AR359), Source!$G359, "")</f>
        <v/>
      </c>
    </row>
    <row r="360">
      <c r="A360" s="2">
        <f>IF(Source!$C360&gt;=COLUMNS($A360:A360), Source!$G360, "")</f>
        <v>9</v>
      </c>
      <c r="B360" s="2">
        <f>IF(Source!$C360&gt;=COLUMNS($A360:B360), Source!$G360, "")</f>
        <v>9</v>
      </c>
      <c r="C360" s="2">
        <f>IF(Source!$C360&gt;=COLUMNS($A360:C360), Source!$G360, "")</f>
        <v>9</v>
      </c>
      <c r="D360" s="2">
        <f>IF(Source!$C360&gt;=COLUMNS($A360:D360), Source!$G360, "")</f>
        <v>9</v>
      </c>
      <c r="E360" s="2">
        <f>IF(Source!$C360&gt;=COLUMNS($A360:E360), Source!$G360, "")</f>
        <v>9</v>
      </c>
      <c r="F360" s="2">
        <f>IF(Source!$C360&gt;=COLUMNS($A360:F360), Source!$G360, "")</f>
        <v>9</v>
      </c>
      <c r="G360" s="2">
        <f>IF(Source!$C360&gt;=COLUMNS($A360:G360), Source!$G360, "")</f>
        <v>9</v>
      </c>
      <c r="H360" s="2">
        <f>IF(Source!$C360&gt;=COLUMNS($A360:H360), Source!$G360, "")</f>
        <v>9</v>
      </c>
      <c r="I360" s="2">
        <f>IF(Source!$C360&gt;=COLUMNS($A360:I360), Source!$G360, "")</f>
        <v>9</v>
      </c>
      <c r="J360" s="2">
        <f>IF(Source!$C360&gt;=COLUMNS($A360:J360), Source!$G360, "")</f>
        <v>9</v>
      </c>
      <c r="K360" s="2">
        <f>IF(Source!$C360&gt;=COLUMNS($A360:K360), Source!$G360, "")</f>
        <v>9</v>
      </c>
      <c r="L360" s="2">
        <f>IF(Source!$C360&gt;=COLUMNS($A360:L360), Source!$G360, "")</f>
        <v>9</v>
      </c>
      <c r="M360" s="2">
        <f>IF(Source!$C360&gt;=COLUMNS($A360:M360), Source!$G360, "")</f>
        <v>9</v>
      </c>
      <c r="N360" s="2">
        <f>IF(Source!$C360&gt;=COLUMNS($A360:N360), Source!$G360, "")</f>
        <v>9</v>
      </c>
      <c r="O360" s="2">
        <f>IF(Source!$C360&gt;=COLUMNS($A360:O360), Source!$G360, "")</f>
        <v>9</v>
      </c>
      <c r="P360" s="2">
        <f>IF(Source!$C360&gt;=COLUMNS($A360:P360), Source!$G360, "")</f>
        <v>9</v>
      </c>
      <c r="Q360" s="2">
        <f>IF(Source!$C360&gt;=COLUMNS($A360:Q360), Source!$G360, "")</f>
        <v>9</v>
      </c>
      <c r="R360" s="2">
        <f>IF(Source!$C360&gt;=COLUMNS($A360:R360), Source!$G360, "")</f>
        <v>9</v>
      </c>
      <c r="S360" s="2">
        <f>IF(Source!$C360&gt;=COLUMNS($A360:S360), Source!$G360, "")</f>
        <v>9</v>
      </c>
      <c r="T360" s="2">
        <f>IF(Source!$C360&gt;=COLUMNS($A360:T360), Source!$G360, "")</f>
        <v>9</v>
      </c>
      <c r="U360" s="2">
        <f>IF(Source!$C360&gt;=COLUMNS($A360:U360), Source!$G360, "")</f>
        <v>9</v>
      </c>
      <c r="V360" s="2">
        <f>IF(Source!$C360&gt;=COLUMNS($A360:V360), Source!$G360, "")</f>
        <v>9</v>
      </c>
      <c r="W360" s="2">
        <f>IF(Source!$C360&gt;=COLUMNS($A360:W360), Source!$G360, "")</f>
        <v>9</v>
      </c>
      <c r="X360" s="2">
        <f>IF(Source!$C360&gt;=COLUMNS($A360:X360), Source!$G360, "")</f>
        <v>9</v>
      </c>
      <c r="Y360" s="2">
        <f>IF(Source!$C360&gt;=COLUMNS($A360:Y360), Source!$G360, "")</f>
        <v>9</v>
      </c>
      <c r="Z360" s="2">
        <f>IF(Source!$C360&gt;=COLUMNS($A360:Z360), Source!$G360, "")</f>
        <v>9</v>
      </c>
      <c r="AA360" s="2">
        <f>IF(Source!$C360&gt;=COLUMNS($A360:AA360), Source!$G360, "")</f>
        <v>9</v>
      </c>
      <c r="AB360" s="2">
        <f>IF(Source!$C360&gt;=COLUMNS($A360:AB360), Source!$G360, "")</f>
        <v>9</v>
      </c>
      <c r="AC360" s="2">
        <f>IF(Source!$C360&gt;=COLUMNS($A360:AC360), Source!$G360, "")</f>
        <v>9</v>
      </c>
      <c r="AD360" s="2">
        <f>IF(Source!$C360&gt;=COLUMNS($A360:AD360), Source!$G360, "")</f>
        <v>9</v>
      </c>
      <c r="AE360" s="2">
        <f>IF(Source!$C360&gt;=COLUMNS($A360:AE360), Source!$G360, "")</f>
        <v>9</v>
      </c>
      <c r="AF360" s="2">
        <f>IF(Source!$C360&gt;=COLUMNS($A360:AF360), Source!$G360, "")</f>
        <v>9</v>
      </c>
      <c r="AG360" s="2">
        <f>IF(Source!$C360&gt;=COLUMNS($A360:AG360), Source!$G360, "")</f>
        <v>9</v>
      </c>
      <c r="AH360" s="2">
        <f>IF(Source!$C360&gt;=COLUMNS($A360:AH360), Source!$G360, "")</f>
        <v>9</v>
      </c>
      <c r="AI360" s="2">
        <f>IF(Source!$C360&gt;=COLUMNS($A360:AI360), Source!$G360, "")</f>
        <v>9</v>
      </c>
      <c r="AJ360" s="2">
        <f>IF(Source!$C360&gt;=COLUMNS($A360:AJ360), Source!$G360, "")</f>
        <v>9</v>
      </c>
      <c r="AK360" s="2">
        <f>IF(Source!$C360&gt;=COLUMNS($A360:AK360), Source!$G360, "")</f>
        <v>9</v>
      </c>
      <c r="AL360" s="2">
        <f>IF(Source!$C360&gt;=COLUMNS($A360:AL360), Source!$G360, "")</f>
        <v>9</v>
      </c>
      <c r="AM360" s="2">
        <f>IF(Source!$C360&gt;=COLUMNS($A360:AM360), Source!$G360, "")</f>
        <v>9</v>
      </c>
      <c r="AN360" s="2">
        <f>IF(Source!$C360&gt;=COLUMNS($A360:AN360), Source!$G360, "")</f>
        <v>9</v>
      </c>
      <c r="AO360" s="2">
        <f>IF(Source!$C360&gt;=COLUMNS($A360:AO360), Source!$G360, "")</f>
        <v>9</v>
      </c>
      <c r="AP360" s="2">
        <f>IF(Source!$C360&gt;=COLUMNS($A360:AP360), Source!$G360, "")</f>
        <v>9</v>
      </c>
      <c r="AQ360" s="2">
        <f>IF(Source!$C360&gt;=COLUMNS($A360:AQ360), Source!$G360, "")</f>
        <v>9</v>
      </c>
      <c r="AR360" s="2">
        <f>IF(Source!$C360&gt;=COLUMNS($A360:AR360), Source!$G360, "")</f>
        <v>9</v>
      </c>
    </row>
    <row r="361">
      <c r="A361" s="2">
        <f>IF(Source!$C361&gt;=COLUMNS($A361:A361), Source!$G361, "")</f>
        <v>7</v>
      </c>
      <c r="B361" s="2">
        <f>IF(Source!$C361&gt;=COLUMNS($A361:B361), Source!$G361, "")</f>
        <v>7</v>
      </c>
      <c r="C361" s="2" t="str">
        <f>IF(Source!$C361&gt;=COLUMNS($A361:C361), Source!$G361, "")</f>
        <v/>
      </c>
      <c r="D361" s="2" t="str">
        <f>IF(Source!$C361&gt;=COLUMNS($A361:D361), Source!$G361, "")</f>
        <v/>
      </c>
      <c r="E361" s="2" t="str">
        <f>IF(Source!$C361&gt;=COLUMNS($A361:E361), Source!$G361, "")</f>
        <v/>
      </c>
      <c r="F361" s="2" t="str">
        <f>IF(Source!$C361&gt;=COLUMNS($A361:F361), Source!$G361, "")</f>
        <v/>
      </c>
      <c r="G361" s="2" t="str">
        <f>IF(Source!$C361&gt;=COLUMNS($A361:G361), Source!$G361, "")</f>
        <v/>
      </c>
      <c r="H361" s="2" t="str">
        <f>IF(Source!$C361&gt;=COLUMNS($A361:H361), Source!$G361, "")</f>
        <v/>
      </c>
      <c r="I361" s="2" t="str">
        <f>IF(Source!$C361&gt;=COLUMNS($A361:I361), Source!$G361, "")</f>
        <v/>
      </c>
      <c r="J361" s="2" t="str">
        <f>IF(Source!$C361&gt;=COLUMNS($A361:J361), Source!$G361, "")</f>
        <v/>
      </c>
      <c r="K361" s="2" t="str">
        <f>IF(Source!$C361&gt;=COLUMNS($A361:K361), Source!$G361, "")</f>
        <v/>
      </c>
      <c r="L361" s="2" t="str">
        <f>IF(Source!$C361&gt;=COLUMNS($A361:L361), Source!$G361, "")</f>
        <v/>
      </c>
      <c r="M361" s="2" t="str">
        <f>IF(Source!$C361&gt;=COLUMNS($A361:M361), Source!$G361, "")</f>
        <v/>
      </c>
      <c r="N361" s="2" t="str">
        <f>IF(Source!$C361&gt;=COLUMNS($A361:N361), Source!$G361, "")</f>
        <v/>
      </c>
      <c r="O361" s="2" t="str">
        <f>IF(Source!$C361&gt;=COLUMNS($A361:O361), Source!$G361, "")</f>
        <v/>
      </c>
      <c r="P361" s="2" t="str">
        <f>IF(Source!$C361&gt;=COLUMNS($A361:P361), Source!$G361, "")</f>
        <v/>
      </c>
      <c r="Q361" s="2" t="str">
        <f>IF(Source!$C361&gt;=COLUMNS($A361:Q361), Source!$G361, "")</f>
        <v/>
      </c>
      <c r="R361" s="2" t="str">
        <f>IF(Source!$C361&gt;=COLUMNS($A361:R361), Source!$G361, "")</f>
        <v/>
      </c>
      <c r="S361" s="2" t="str">
        <f>IF(Source!$C361&gt;=COLUMNS($A361:S361), Source!$G361, "")</f>
        <v/>
      </c>
      <c r="T361" s="2" t="str">
        <f>IF(Source!$C361&gt;=COLUMNS($A361:T361), Source!$G361, "")</f>
        <v/>
      </c>
      <c r="U361" s="2" t="str">
        <f>IF(Source!$C361&gt;=COLUMNS($A361:U361), Source!$G361, "")</f>
        <v/>
      </c>
      <c r="V361" s="2" t="str">
        <f>IF(Source!$C361&gt;=COLUMNS($A361:V361), Source!$G361, "")</f>
        <v/>
      </c>
      <c r="W361" s="2" t="str">
        <f>IF(Source!$C361&gt;=COLUMNS($A361:W361), Source!$G361, "")</f>
        <v/>
      </c>
      <c r="X361" s="2" t="str">
        <f>IF(Source!$C361&gt;=COLUMNS($A361:X361), Source!$G361, "")</f>
        <v/>
      </c>
      <c r="Y361" s="2" t="str">
        <f>IF(Source!$C361&gt;=COLUMNS($A361:Y361), Source!$G361, "")</f>
        <v/>
      </c>
      <c r="Z361" s="2" t="str">
        <f>IF(Source!$C361&gt;=COLUMNS($A361:Z361), Source!$G361, "")</f>
        <v/>
      </c>
      <c r="AA361" s="2" t="str">
        <f>IF(Source!$C361&gt;=COLUMNS($A361:AA361), Source!$G361, "")</f>
        <v/>
      </c>
      <c r="AB361" s="2" t="str">
        <f>IF(Source!$C361&gt;=COLUMNS($A361:AB361), Source!$G361, "")</f>
        <v/>
      </c>
      <c r="AC361" s="2" t="str">
        <f>IF(Source!$C361&gt;=COLUMNS($A361:AC361), Source!$G361, "")</f>
        <v/>
      </c>
      <c r="AD361" s="2" t="str">
        <f>IF(Source!$C361&gt;=COLUMNS($A361:AD361), Source!$G361, "")</f>
        <v/>
      </c>
      <c r="AE361" s="2" t="str">
        <f>IF(Source!$C361&gt;=COLUMNS($A361:AE361), Source!$G361, "")</f>
        <v/>
      </c>
      <c r="AF361" s="2" t="str">
        <f>IF(Source!$C361&gt;=COLUMNS($A361:AF361), Source!$G361, "")</f>
        <v/>
      </c>
      <c r="AG361" s="2" t="str">
        <f>IF(Source!$C361&gt;=COLUMNS($A361:AG361), Source!$G361, "")</f>
        <v/>
      </c>
      <c r="AH361" s="2" t="str">
        <f>IF(Source!$C361&gt;=COLUMNS($A361:AH361), Source!$G361, "")</f>
        <v/>
      </c>
      <c r="AI361" s="2" t="str">
        <f>IF(Source!$C361&gt;=COLUMNS($A361:AI361), Source!$G361, "")</f>
        <v/>
      </c>
      <c r="AJ361" s="2" t="str">
        <f>IF(Source!$C361&gt;=COLUMNS($A361:AJ361), Source!$G361, "")</f>
        <v/>
      </c>
      <c r="AK361" s="2" t="str">
        <f>IF(Source!$C361&gt;=COLUMNS($A361:AK361), Source!$G361, "")</f>
        <v/>
      </c>
      <c r="AL361" s="2" t="str">
        <f>IF(Source!$C361&gt;=COLUMNS($A361:AL361), Source!$G361, "")</f>
        <v/>
      </c>
      <c r="AM361" s="2" t="str">
        <f>IF(Source!$C361&gt;=COLUMNS($A361:AM361), Source!$G361, "")</f>
        <v/>
      </c>
      <c r="AN361" s="2" t="str">
        <f>IF(Source!$C361&gt;=COLUMNS($A361:AN361), Source!$G361, "")</f>
        <v/>
      </c>
      <c r="AO361" s="2" t="str">
        <f>IF(Source!$C361&gt;=COLUMNS($A361:AO361), Source!$G361, "")</f>
        <v/>
      </c>
      <c r="AP361" s="2" t="str">
        <f>IF(Source!$C361&gt;=COLUMNS($A361:AP361), Source!$G361, "")</f>
        <v/>
      </c>
      <c r="AQ361" s="2" t="str">
        <f>IF(Source!$C361&gt;=COLUMNS($A361:AQ361), Source!$G361, "")</f>
        <v/>
      </c>
      <c r="AR361" s="2" t="str">
        <f>IF(Source!$C361&gt;=COLUMNS($A361:AR361), Source!$G361, "")</f>
        <v/>
      </c>
    </row>
    <row r="362">
      <c r="A362" s="2">
        <f>IF(Source!$C362&gt;=COLUMNS($A362:A362), Source!$G362, "")</f>
        <v>8</v>
      </c>
      <c r="B362" s="2" t="str">
        <f>IF(Source!$C362&gt;=COLUMNS($A362:B362), Source!$G362, "")</f>
        <v/>
      </c>
      <c r="C362" s="2" t="str">
        <f>IF(Source!$C362&gt;=COLUMNS($A362:C362), Source!$G362, "")</f>
        <v/>
      </c>
      <c r="D362" s="2" t="str">
        <f>IF(Source!$C362&gt;=COLUMNS($A362:D362), Source!$G362, "")</f>
        <v/>
      </c>
      <c r="E362" s="2" t="str">
        <f>IF(Source!$C362&gt;=COLUMNS($A362:E362), Source!$G362, "")</f>
        <v/>
      </c>
      <c r="F362" s="2" t="str">
        <f>IF(Source!$C362&gt;=COLUMNS($A362:F362), Source!$G362, "")</f>
        <v/>
      </c>
      <c r="G362" s="2" t="str">
        <f>IF(Source!$C362&gt;=COLUMNS($A362:G362), Source!$G362, "")</f>
        <v/>
      </c>
      <c r="H362" s="2" t="str">
        <f>IF(Source!$C362&gt;=COLUMNS($A362:H362), Source!$G362, "")</f>
        <v/>
      </c>
      <c r="I362" s="2" t="str">
        <f>IF(Source!$C362&gt;=COLUMNS($A362:I362), Source!$G362, "")</f>
        <v/>
      </c>
      <c r="J362" s="2" t="str">
        <f>IF(Source!$C362&gt;=COLUMNS($A362:J362), Source!$G362, "")</f>
        <v/>
      </c>
      <c r="K362" s="2" t="str">
        <f>IF(Source!$C362&gt;=COLUMNS($A362:K362), Source!$G362, "")</f>
        <v/>
      </c>
      <c r="L362" s="2" t="str">
        <f>IF(Source!$C362&gt;=COLUMNS($A362:L362), Source!$G362, "")</f>
        <v/>
      </c>
      <c r="M362" s="2" t="str">
        <f>IF(Source!$C362&gt;=COLUMNS($A362:M362), Source!$G362, "")</f>
        <v/>
      </c>
      <c r="N362" s="2" t="str">
        <f>IF(Source!$C362&gt;=COLUMNS($A362:N362), Source!$G362, "")</f>
        <v/>
      </c>
      <c r="O362" s="2" t="str">
        <f>IF(Source!$C362&gt;=COLUMNS($A362:O362), Source!$G362, "")</f>
        <v/>
      </c>
      <c r="P362" s="2" t="str">
        <f>IF(Source!$C362&gt;=COLUMNS($A362:P362), Source!$G362, "")</f>
        <v/>
      </c>
      <c r="Q362" s="2" t="str">
        <f>IF(Source!$C362&gt;=COLUMNS($A362:Q362), Source!$G362, "")</f>
        <v/>
      </c>
      <c r="R362" s="2" t="str">
        <f>IF(Source!$C362&gt;=COLUMNS($A362:R362), Source!$G362, "")</f>
        <v/>
      </c>
      <c r="S362" s="2" t="str">
        <f>IF(Source!$C362&gt;=COLUMNS($A362:S362), Source!$G362, "")</f>
        <v/>
      </c>
      <c r="T362" s="2" t="str">
        <f>IF(Source!$C362&gt;=COLUMNS($A362:T362), Source!$G362, "")</f>
        <v/>
      </c>
      <c r="U362" s="2" t="str">
        <f>IF(Source!$C362&gt;=COLUMNS($A362:U362), Source!$G362, "")</f>
        <v/>
      </c>
      <c r="V362" s="2" t="str">
        <f>IF(Source!$C362&gt;=COLUMNS($A362:V362), Source!$G362, "")</f>
        <v/>
      </c>
      <c r="W362" s="2" t="str">
        <f>IF(Source!$C362&gt;=COLUMNS($A362:W362), Source!$G362, "")</f>
        <v/>
      </c>
      <c r="X362" s="2" t="str">
        <f>IF(Source!$C362&gt;=COLUMNS($A362:X362), Source!$G362, "")</f>
        <v/>
      </c>
      <c r="Y362" s="2" t="str">
        <f>IF(Source!$C362&gt;=COLUMNS($A362:Y362), Source!$G362, "")</f>
        <v/>
      </c>
      <c r="Z362" s="2" t="str">
        <f>IF(Source!$C362&gt;=COLUMNS($A362:Z362), Source!$G362, "")</f>
        <v/>
      </c>
      <c r="AA362" s="2" t="str">
        <f>IF(Source!$C362&gt;=COLUMNS($A362:AA362), Source!$G362, "")</f>
        <v/>
      </c>
      <c r="AB362" s="2" t="str">
        <f>IF(Source!$C362&gt;=COLUMNS($A362:AB362), Source!$G362, "")</f>
        <v/>
      </c>
      <c r="AC362" s="2" t="str">
        <f>IF(Source!$C362&gt;=COLUMNS($A362:AC362), Source!$G362, "")</f>
        <v/>
      </c>
      <c r="AD362" s="2" t="str">
        <f>IF(Source!$C362&gt;=COLUMNS($A362:AD362), Source!$G362, "")</f>
        <v/>
      </c>
      <c r="AE362" s="2" t="str">
        <f>IF(Source!$C362&gt;=COLUMNS($A362:AE362), Source!$G362, "")</f>
        <v/>
      </c>
      <c r="AF362" s="2" t="str">
        <f>IF(Source!$C362&gt;=COLUMNS($A362:AF362), Source!$G362, "")</f>
        <v/>
      </c>
      <c r="AG362" s="2" t="str">
        <f>IF(Source!$C362&gt;=COLUMNS($A362:AG362), Source!$G362, "")</f>
        <v/>
      </c>
      <c r="AH362" s="2" t="str">
        <f>IF(Source!$C362&gt;=COLUMNS($A362:AH362), Source!$G362, "")</f>
        <v/>
      </c>
      <c r="AI362" s="2" t="str">
        <f>IF(Source!$C362&gt;=COLUMNS($A362:AI362), Source!$G362, "")</f>
        <v/>
      </c>
      <c r="AJ362" s="2" t="str">
        <f>IF(Source!$C362&gt;=COLUMNS($A362:AJ362), Source!$G362, "")</f>
        <v/>
      </c>
      <c r="AK362" s="2" t="str">
        <f>IF(Source!$C362&gt;=COLUMNS($A362:AK362), Source!$G362, "")</f>
        <v/>
      </c>
      <c r="AL362" s="2" t="str">
        <f>IF(Source!$C362&gt;=COLUMNS($A362:AL362), Source!$G362, "")</f>
        <v/>
      </c>
      <c r="AM362" s="2" t="str">
        <f>IF(Source!$C362&gt;=COLUMNS($A362:AM362), Source!$G362, "")</f>
        <v/>
      </c>
      <c r="AN362" s="2" t="str">
        <f>IF(Source!$C362&gt;=COLUMNS($A362:AN362), Source!$G362, "")</f>
        <v/>
      </c>
      <c r="AO362" s="2" t="str">
        <f>IF(Source!$C362&gt;=COLUMNS($A362:AO362), Source!$G362, "")</f>
        <v/>
      </c>
      <c r="AP362" s="2" t="str">
        <f>IF(Source!$C362&gt;=COLUMNS($A362:AP362), Source!$G362, "")</f>
        <v/>
      </c>
      <c r="AQ362" s="2" t="str">
        <f>IF(Source!$C362&gt;=COLUMNS($A362:AQ362), Source!$G362, "")</f>
        <v/>
      </c>
      <c r="AR362" s="2" t="str">
        <f>IF(Source!$C362&gt;=COLUMNS($A362:AR362), Source!$G362, "")</f>
        <v/>
      </c>
    </row>
    <row r="363">
      <c r="A363" s="2">
        <f>IF(Source!$C363&gt;=COLUMNS($A363:A363), Source!$G363, "")</f>
        <v>1</v>
      </c>
      <c r="B363" s="2">
        <f>IF(Source!$C363&gt;=COLUMNS($A363:B363), Source!$G363, "")</f>
        <v>1</v>
      </c>
      <c r="C363" s="2">
        <f>IF(Source!$C363&gt;=COLUMNS($A363:C363), Source!$G363, "")</f>
        <v>1</v>
      </c>
      <c r="D363" s="2">
        <f>IF(Source!$C363&gt;=COLUMNS($A363:D363), Source!$G363, "")</f>
        <v>1</v>
      </c>
      <c r="E363" s="2">
        <f>IF(Source!$C363&gt;=COLUMNS($A363:E363), Source!$G363, "")</f>
        <v>1</v>
      </c>
      <c r="F363" s="2">
        <f>IF(Source!$C363&gt;=COLUMNS($A363:F363), Source!$G363, "")</f>
        <v>1</v>
      </c>
      <c r="G363" s="2">
        <f>IF(Source!$C363&gt;=COLUMNS($A363:G363), Source!$G363, "")</f>
        <v>1</v>
      </c>
      <c r="H363" s="2">
        <f>IF(Source!$C363&gt;=COLUMNS($A363:H363), Source!$G363, "")</f>
        <v>1</v>
      </c>
      <c r="I363" s="2">
        <f>IF(Source!$C363&gt;=COLUMNS($A363:I363), Source!$G363, "")</f>
        <v>1</v>
      </c>
      <c r="J363" s="2">
        <f>IF(Source!$C363&gt;=COLUMNS($A363:J363), Source!$G363, "")</f>
        <v>1</v>
      </c>
      <c r="K363" s="2">
        <f>IF(Source!$C363&gt;=COLUMNS($A363:K363), Source!$G363, "")</f>
        <v>1</v>
      </c>
      <c r="L363" s="2">
        <f>IF(Source!$C363&gt;=COLUMNS($A363:L363), Source!$G363, "")</f>
        <v>1</v>
      </c>
      <c r="M363" s="2">
        <f>IF(Source!$C363&gt;=COLUMNS($A363:M363), Source!$G363, "")</f>
        <v>1</v>
      </c>
      <c r="N363" s="2">
        <f>IF(Source!$C363&gt;=COLUMNS($A363:N363), Source!$G363, "")</f>
        <v>1</v>
      </c>
      <c r="O363" s="2">
        <f>IF(Source!$C363&gt;=COLUMNS($A363:O363), Source!$G363, "")</f>
        <v>1</v>
      </c>
      <c r="P363" s="2">
        <f>IF(Source!$C363&gt;=COLUMNS($A363:P363), Source!$G363, "")</f>
        <v>1</v>
      </c>
      <c r="Q363" s="2">
        <f>IF(Source!$C363&gt;=COLUMNS($A363:Q363), Source!$G363, "")</f>
        <v>1</v>
      </c>
      <c r="R363" s="2">
        <f>IF(Source!$C363&gt;=COLUMNS($A363:R363), Source!$G363, "")</f>
        <v>1</v>
      </c>
      <c r="S363" s="2">
        <f>IF(Source!$C363&gt;=COLUMNS($A363:S363), Source!$G363, "")</f>
        <v>1</v>
      </c>
      <c r="T363" s="2">
        <f>IF(Source!$C363&gt;=COLUMNS($A363:T363), Source!$G363, "")</f>
        <v>1</v>
      </c>
      <c r="U363" s="2">
        <f>IF(Source!$C363&gt;=COLUMNS($A363:U363), Source!$G363, "")</f>
        <v>1</v>
      </c>
      <c r="V363" s="2">
        <f>IF(Source!$C363&gt;=COLUMNS($A363:V363), Source!$G363, "")</f>
        <v>1</v>
      </c>
      <c r="W363" s="2">
        <f>IF(Source!$C363&gt;=COLUMNS($A363:W363), Source!$G363, "")</f>
        <v>1</v>
      </c>
      <c r="X363" s="2">
        <f>IF(Source!$C363&gt;=COLUMNS($A363:X363), Source!$G363, "")</f>
        <v>1</v>
      </c>
      <c r="Y363" s="2">
        <f>IF(Source!$C363&gt;=COLUMNS($A363:Y363), Source!$G363, "")</f>
        <v>1</v>
      </c>
      <c r="Z363" s="2">
        <f>IF(Source!$C363&gt;=COLUMNS($A363:Z363), Source!$G363, "")</f>
        <v>1</v>
      </c>
      <c r="AA363" s="2">
        <f>IF(Source!$C363&gt;=COLUMNS($A363:AA363), Source!$G363, "")</f>
        <v>1</v>
      </c>
      <c r="AB363" s="2">
        <f>IF(Source!$C363&gt;=COLUMNS($A363:AB363), Source!$G363, "")</f>
        <v>1</v>
      </c>
      <c r="AC363" s="2">
        <f>IF(Source!$C363&gt;=COLUMNS($A363:AC363), Source!$G363, "")</f>
        <v>1</v>
      </c>
      <c r="AD363" s="2">
        <f>IF(Source!$C363&gt;=COLUMNS($A363:AD363), Source!$G363, "")</f>
        <v>1</v>
      </c>
      <c r="AE363" s="2">
        <f>IF(Source!$C363&gt;=COLUMNS($A363:AE363), Source!$G363, "")</f>
        <v>1</v>
      </c>
      <c r="AF363" s="2">
        <f>IF(Source!$C363&gt;=COLUMNS($A363:AF363), Source!$G363, "")</f>
        <v>1</v>
      </c>
      <c r="AG363" s="2">
        <f>IF(Source!$C363&gt;=COLUMNS($A363:AG363), Source!$G363, "")</f>
        <v>1</v>
      </c>
      <c r="AH363" s="2">
        <f>IF(Source!$C363&gt;=COLUMNS($A363:AH363), Source!$G363, "")</f>
        <v>1</v>
      </c>
      <c r="AI363" s="2">
        <f>IF(Source!$C363&gt;=COLUMNS($A363:AI363), Source!$G363, "")</f>
        <v>1</v>
      </c>
      <c r="AJ363" s="2">
        <f>IF(Source!$C363&gt;=COLUMNS($A363:AJ363), Source!$G363, "")</f>
        <v>1</v>
      </c>
      <c r="AK363" s="2">
        <f>IF(Source!$C363&gt;=COLUMNS($A363:AK363), Source!$G363, "")</f>
        <v>1</v>
      </c>
      <c r="AL363" s="2">
        <f>IF(Source!$C363&gt;=COLUMNS($A363:AL363), Source!$G363, "")</f>
        <v>1</v>
      </c>
      <c r="AM363" s="2">
        <f>IF(Source!$C363&gt;=COLUMNS($A363:AM363), Source!$G363, "")</f>
        <v>1</v>
      </c>
      <c r="AN363" s="2">
        <f>IF(Source!$C363&gt;=COLUMNS($A363:AN363), Source!$G363, "")</f>
        <v>1</v>
      </c>
      <c r="AO363" s="2">
        <f>IF(Source!$C363&gt;=COLUMNS($A363:AO363), Source!$G363, "")</f>
        <v>1</v>
      </c>
      <c r="AP363" s="2" t="str">
        <f>IF(Source!$C363&gt;=COLUMNS($A363:AP363), Source!$G363, "")</f>
        <v/>
      </c>
      <c r="AQ363" s="2" t="str">
        <f>IF(Source!$C363&gt;=COLUMNS($A363:AQ363), Source!$G363, "")</f>
        <v/>
      </c>
      <c r="AR363" s="2" t="str">
        <f>IF(Source!$C363&gt;=COLUMNS($A363:AR363), Source!$G363, "")</f>
        <v/>
      </c>
    </row>
    <row r="364">
      <c r="A364" s="2">
        <f>IF(Source!$C364&gt;=COLUMNS($A364:A364), Source!$G364, "")</f>
        <v>4</v>
      </c>
      <c r="B364" s="2" t="str">
        <f>IF(Source!$C364&gt;=COLUMNS($A364:B364), Source!$G364, "")</f>
        <v/>
      </c>
      <c r="C364" s="2" t="str">
        <f>IF(Source!$C364&gt;=COLUMNS($A364:C364), Source!$G364, "")</f>
        <v/>
      </c>
      <c r="D364" s="2" t="str">
        <f>IF(Source!$C364&gt;=COLUMNS($A364:D364), Source!$G364, "")</f>
        <v/>
      </c>
      <c r="E364" s="2" t="str">
        <f>IF(Source!$C364&gt;=COLUMNS($A364:E364), Source!$G364, "")</f>
        <v/>
      </c>
      <c r="F364" s="2" t="str">
        <f>IF(Source!$C364&gt;=COLUMNS($A364:F364), Source!$G364, "")</f>
        <v/>
      </c>
      <c r="G364" s="2" t="str">
        <f>IF(Source!$C364&gt;=COLUMNS($A364:G364), Source!$G364, "")</f>
        <v/>
      </c>
      <c r="H364" s="2" t="str">
        <f>IF(Source!$C364&gt;=COLUMNS($A364:H364), Source!$G364, "")</f>
        <v/>
      </c>
      <c r="I364" s="2" t="str">
        <f>IF(Source!$C364&gt;=COLUMNS($A364:I364), Source!$G364, "")</f>
        <v/>
      </c>
      <c r="J364" s="2" t="str">
        <f>IF(Source!$C364&gt;=COLUMNS($A364:J364), Source!$G364, "")</f>
        <v/>
      </c>
      <c r="K364" s="2" t="str">
        <f>IF(Source!$C364&gt;=COLUMNS($A364:K364), Source!$G364, "")</f>
        <v/>
      </c>
      <c r="L364" s="2" t="str">
        <f>IF(Source!$C364&gt;=COLUMNS($A364:L364), Source!$G364, "")</f>
        <v/>
      </c>
      <c r="M364" s="2" t="str">
        <f>IF(Source!$C364&gt;=COLUMNS($A364:M364), Source!$G364, "")</f>
        <v/>
      </c>
      <c r="N364" s="2" t="str">
        <f>IF(Source!$C364&gt;=COLUMNS($A364:N364), Source!$G364, "")</f>
        <v/>
      </c>
      <c r="O364" s="2" t="str">
        <f>IF(Source!$C364&gt;=COLUMNS($A364:O364), Source!$G364, "")</f>
        <v/>
      </c>
      <c r="P364" s="2" t="str">
        <f>IF(Source!$C364&gt;=COLUMNS($A364:P364), Source!$G364, "")</f>
        <v/>
      </c>
      <c r="Q364" s="2" t="str">
        <f>IF(Source!$C364&gt;=COLUMNS($A364:Q364), Source!$G364, "")</f>
        <v/>
      </c>
      <c r="R364" s="2" t="str">
        <f>IF(Source!$C364&gt;=COLUMNS($A364:R364), Source!$G364, "")</f>
        <v/>
      </c>
      <c r="S364" s="2" t="str">
        <f>IF(Source!$C364&gt;=COLUMNS($A364:S364), Source!$G364, "")</f>
        <v/>
      </c>
      <c r="T364" s="2" t="str">
        <f>IF(Source!$C364&gt;=COLUMNS($A364:T364), Source!$G364, "")</f>
        <v/>
      </c>
      <c r="U364" s="2" t="str">
        <f>IF(Source!$C364&gt;=COLUMNS($A364:U364), Source!$G364, "")</f>
        <v/>
      </c>
      <c r="V364" s="2" t="str">
        <f>IF(Source!$C364&gt;=COLUMNS($A364:V364), Source!$G364, "")</f>
        <v/>
      </c>
      <c r="W364" s="2" t="str">
        <f>IF(Source!$C364&gt;=COLUMNS($A364:W364), Source!$G364, "")</f>
        <v/>
      </c>
      <c r="X364" s="2" t="str">
        <f>IF(Source!$C364&gt;=COLUMNS($A364:X364), Source!$G364, "")</f>
        <v/>
      </c>
      <c r="Y364" s="2" t="str">
        <f>IF(Source!$C364&gt;=COLUMNS($A364:Y364), Source!$G364, "")</f>
        <v/>
      </c>
      <c r="Z364" s="2" t="str">
        <f>IF(Source!$C364&gt;=COLUMNS($A364:Z364), Source!$G364, "")</f>
        <v/>
      </c>
      <c r="AA364" s="2" t="str">
        <f>IF(Source!$C364&gt;=COLUMNS($A364:AA364), Source!$G364, "")</f>
        <v/>
      </c>
      <c r="AB364" s="2" t="str">
        <f>IF(Source!$C364&gt;=COLUMNS($A364:AB364), Source!$G364, "")</f>
        <v/>
      </c>
      <c r="AC364" s="2" t="str">
        <f>IF(Source!$C364&gt;=COLUMNS($A364:AC364), Source!$G364, "")</f>
        <v/>
      </c>
      <c r="AD364" s="2" t="str">
        <f>IF(Source!$C364&gt;=COLUMNS($A364:AD364), Source!$G364, "")</f>
        <v/>
      </c>
      <c r="AE364" s="2" t="str">
        <f>IF(Source!$C364&gt;=COLUMNS($A364:AE364), Source!$G364, "")</f>
        <v/>
      </c>
      <c r="AF364" s="2" t="str">
        <f>IF(Source!$C364&gt;=COLUMNS($A364:AF364), Source!$G364, "")</f>
        <v/>
      </c>
      <c r="AG364" s="2" t="str">
        <f>IF(Source!$C364&gt;=COLUMNS($A364:AG364), Source!$G364, "")</f>
        <v/>
      </c>
      <c r="AH364" s="2" t="str">
        <f>IF(Source!$C364&gt;=COLUMNS($A364:AH364), Source!$G364, "")</f>
        <v/>
      </c>
      <c r="AI364" s="2" t="str">
        <f>IF(Source!$C364&gt;=COLUMNS($A364:AI364), Source!$G364, "")</f>
        <v/>
      </c>
      <c r="AJ364" s="2" t="str">
        <f>IF(Source!$C364&gt;=COLUMNS($A364:AJ364), Source!$G364, "")</f>
        <v/>
      </c>
      <c r="AK364" s="2" t="str">
        <f>IF(Source!$C364&gt;=COLUMNS($A364:AK364), Source!$G364, "")</f>
        <v/>
      </c>
      <c r="AL364" s="2" t="str">
        <f>IF(Source!$C364&gt;=COLUMNS($A364:AL364), Source!$G364, "")</f>
        <v/>
      </c>
      <c r="AM364" s="2" t="str">
        <f>IF(Source!$C364&gt;=COLUMNS($A364:AM364), Source!$G364, "")</f>
        <v/>
      </c>
      <c r="AN364" s="2" t="str">
        <f>IF(Source!$C364&gt;=COLUMNS($A364:AN364), Source!$G364, "")</f>
        <v/>
      </c>
      <c r="AO364" s="2" t="str">
        <f>IF(Source!$C364&gt;=COLUMNS($A364:AO364), Source!$G364, "")</f>
        <v/>
      </c>
      <c r="AP364" s="2" t="str">
        <f>IF(Source!$C364&gt;=COLUMNS($A364:AP364), Source!$G364, "")</f>
        <v/>
      </c>
      <c r="AQ364" s="2" t="str">
        <f>IF(Source!$C364&gt;=COLUMNS($A364:AQ364), Source!$G364, "")</f>
        <v/>
      </c>
      <c r="AR364" s="2" t="str">
        <f>IF(Source!$C364&gt;=COLUMNS($A364:AR364), Source!$G364, "")</f>
        <v/>
      </c>
    </row>
    <row r="365">
      <c r="A365" s="2">
        <f>IF(Source!$C365&gt;=COLUMNS($A365:A365), Source!$G365, "")</f>
        <v>1</v>
      </c>
      <c r="B365" s="2">
        <f>IF(Source!$C365&gt;=COLUMNS($A365:B365), Source!$G365, "")</f>
        <v>1</v>
      </c>
      <c r="C365" s="2" t="str">
        <f>IF(Source!$C365&gt;=COLUMNS($A365:C365), Source!$G365, "")</f>
        <v/>
      </c>
      <c r="D365" s="2" t="str">
        <f>IF(Source!$C365&gt;=COLUMNS($A365:D365), Source!$G365, "")</f>
        <v/>
      </c>
      <c r="E365" s="2" t="str">
        <f>IF(Source!$C365&gt;=COLUMNS($A365:E365), Source!$G365, "")</f>
        <v/>
      </c>
      <c r="F365" s="2" t="str">
        <f>IF(Source!$C365&gt;=COLUMNS($A365:F365), Source!$G365, "")</f>
        <v/>
      </c>
      <c r="G365" s="2" t="str">
        <f>IF(Source!$C365&gt;=COLUMNS($A365:G365), Source!$G365, "")</f>
        <v/>
      </c>
      <c r="H365" s="2" t="str">
        <f>IF(Source!$C365&gt;=COLUMNS($A365:H365), Source!$G365, "")</f>
        <v/>
      </c>
      <c r="I365" s="2" t="str">
        <f>IF(Source!$C365&gt;=COLUMNS($A365:I365), Source!$G365, "")</f>
        <v/>
      </c>
      <c r="J365" s="2" t="str">
        <f>IF(Source!$C365&gt;=COLUMNS($A365:J365), Source!$G365, "")</f>
        <v/>
      </c>
      <c r="K365" s="2" t="str">
        <f>IF(Source!$C365&gt;=COLUMNS($A365:K365), Source!$G365, "")</f>
        <v/>
      </c>
      <c r="L365" s="2" t="str">
        <f>IF(Source!$C365&gt;=COLUMNS($A365:L365), Source!$G365, "")</f>
        <v/>
      </c>
      <c r="M365" s="2" t="str">
        <f>IF(Source!$C365&gt;=COLUMNS($A365:M365), Source!$G365, "")</f>
        <v/>
      </c>
      <c r="N365" s="2" t="str">
        <f>IF(Source!$C365&gt;=COLUMNS($A365:N365), Source!$G365, "")</f>
        <v/>
      </c>
      <c r="O365" s="2" t="str">
        <f>IF(Source!$C365&gt;=COLUMNS($A365:O365), Source!$G365, "")</f>
        <v/>
      </c>
      <c r="P365" s="2" t="str">
        <f>IF(Source!$C365&gt;=COLUMNS($A365:P365), Source!$G365, "")</f>
        <v/>
      </c>
      <c r="Q365" s="2" t="str">
        <f>IF(Source!$C365&gt;=COLUMNS($A365:Q365), Source!$G365, "")</f>
        <v/>
      </c>
      <c r="R365" s="2" t="str">
        <f>IF(Source!$C365&gt;=COLUMNS($A365:R365), Source!$G365, "")</f>
        <v/>
      </c>
      <c r="S365" s="2" t="str">
        <f>IF(Source!$C365&gt;=COLUMNS($A365:S365), Source!$G365, "")</f>
        <v/>
      </c>
      <c r="T365" s="2" t="str">
        <f>IF(Source!$C365&gt;=COLUMNS($A365:T365), Source!$G365, "")</f>
        <v/>
      </c>
      <c r="U365" s="2" t="str">
        <f>IF(Source!$C365&gt;=COLUMNS($A365:U365), Source!$G365, "")</f>
        <v/>
      </c>
      <c r="V365" s="2" t="str">
        <f>IF(Source!$C365&gt;=COLUMNS($A365:V365), Source!$G365, "")</f>
        <v/>
      </c>
      <c r="W365" s="2" t="str">
        <f>IF(Source!$C365&gt;=COLUMNS($A365:W365), Source!$G365, "")</f>
        <v/>
      </c>
      <c r="X365" s="2" t="str">
        <f>IF(Source!$C365&gt;=COLUMNS($A365:X365), Source!$G365, "")</f>
        <v/>
      </c>
      <c r="Y365" s="2" t="str">
        <f>IF(Source!$C365&gt;=COLUMNS($A365:Y365), Source!$G365, "")</f>
        <v/>
      </c>
      <c r="Z365" s="2" t="str">
        <f>IF(Source!$C365&gt;=COLUMNS($A365:Z365), Source!$G365, "")</f>
        <v/>
      </c>
      <c r="AA365" s="2" t="str">
        <f>IF(Source!$C365&gt;=COLUMNS($A365:AA365), Source!$G365, "")</f>
        <v/>
      </c>
      <c r="AB365" s="2" t="str">
        <f>IF(Source!$C365&gt;=COLUMNS($A365:AB365), Source!$G365, "")</f>
        <v/>
      </c>
      <c r="AC365" s="2" t="str">
        <f>IF(Source!$C365&gt;=COLUMNS($A365:AC365), Source!$G365, "")</f>
        <v/>
      </c>
      <c r="AD365" s="2" t="str">
        <f>IF(Source!$C365&gt;=COLUMNS($A365:AD365), Source!$G365, "")</f>
        <v/>
      </c>
      <c r="AE365" s="2" t="str">
        <f>IF(Source!$C365&gt;=COLUMNS($A365:AE365), Source!$G365, "")</f>
        <v/>
      </c>
      <c r="AF365" s="2" t="str">
        <f>IF(Source!$C365&gt;=COLUMNS($A365:AF365), Source!$G365, "")</f>
        <v/>
      </c>
      <c r="AG365" s="2" t="str">
        <f>IF(Source!$C365&gt;=COLUMNS($A365:AG365), Source!$G365, "")</f>
        <v/>
      </c>
      <c r="AH365" s="2" t="str">
        <f>IF(Source!$C365&gt;=COLUMNS($A365:AH365), Source!$G365, "")</f>
        <v/>
      </c>
      <c r="AI365" s="2" t="str">
        <f>IF(Source!$C365&gt;=COLUMNS($A365:AI365), Source!$G365, "")</f>
        <v/>
      </c>
      <c r="AJ365" s="2" t="str">
        <f>IF(Source!$C365&gt;=COLUMNS($A365:AJ365), Source!$G365, "")</f>
        <v/>
      </c>
      <c r="AK365" s="2" t="str">
        <f>IF(Source!$C365&gt;=COLUMNS($A365:AK365), Source!$G365, "")</f>
        <v/>
      </c>
      <c r="AL365" s="2" t="str">
        <f>IF(Source!$C365&gt;=COLUMNS($A365:AL365), Source!$G365, "")</f>
        <v/>
      </c>
      <c r="AM365" s="2" t="str">
        <f>IF(Source!$C365&gt;=COLUMNS($A365:AM365), Source!$G365, "")</f>
        <v/>
      </c>
      <c r="AN365" s="2" t="str">
        <f>IF(Source!$C365&gt;=COLUMNS($A365:AN365), Source!$G365, "")</f>
        <v/>
      </c>
      <c r="AO365" s="2" t="str">
        <f>IF(Source!$C365&gt;=COLUMNS($A365:AO365), Source!$G365, "")</f>
        <v/>
      </c>
      <c r="AP365" s="2" t="str">
        <f>IF(Source!$C365&gt;=COLUMNS($A365:AP365), Source!$G365, "")</f>
        <v/>
      </c>
      <c r="AQ365" s="2" t="str">
        <f>IF(Source!$C365&gt;=COLUMNS($A365:AQ365), Source!$G365, "")</f>
        <v/>
      </c>
      <c r="AR365" s="2" t="str">
        <f>IF(Source!$C365&gt;=COLUMNS($A365:AR365), Source!$G365, "")</f>
        <v/>
      </c>
    </row>
    <row r="366">
      <c r="A366" s="2">
        <f>IF(Source!$C366&gt;=COLUMNS($A366:A366), Source!$G366, "")</f>
        <v>3</v>
      </c>
      <c r="B366" s="2" t="str">
        <f>IF(Source!$C366&gt;=COLUMNS($A366:B366), Source!$G366, "")</f>
        <v/>
      </c>
      <c r="C366" s="2" t="str">
        <f>IF(Source!$C366&gt;=COLUMNS($A366:C366), Source!$G366, "")</f>
        <v/>
      </c>
      <c r="D366" s="2" t="str">
        <f>IF(Source!$C366&gt;=COLUMNS($A366:D366), Source!$G366, "")</f>
        <v/>
      </c>
      <c r="E366" s="2" t="str">
        <f>IF(Source!$C366&gt;=COLUMNS($A366:E366), Source!$G366, "")</f>
        <v/>
      </c>
      <c r="F366" s="2" t="str">
        <f>IF(Source!$C366&gt;=COLUMNS($A366:F366), Source!$G366, "")</f>
        <v/>
      </c>
      <c r="G366" s="2" t="str">
        <f>IF(Source!$C366&gt;=COLUMNS($A366:G366), Source!$G366, "")</f>
        <v/>
      </c>
      <c r="H366" s="2" t="str">
        <f>IF(Source!$C366&gt;=COLUMNS($A366:H366), Source!$G366, "")</f>
        <v/>
      </c>
      <c r="I366" s="2" t="str">
        <f>IF(Source!$C366&gt;=COLUMNS($A366:I366), Source!$G366, "")</f>
        <v/>
      </c>
      <c r="J366" s="2" t="str">
        <f>IF(Source!$C366&gt;=COLUMNS($A366:J366), Source!$G366, "")</f>
        <v/>
      </c>
      <c r="K366" s="2" t="str">
        <f>IF(Source!$C366&gt;=COLUMNS($A366:K366), Source!$G366, "")</f>
        <v/>
      </c>
      <c r="L366" s="2" t="str">
        <f>IF(Source!$C366&gt;=COLUMNS($A366:L366), Source!$G366, "")</f>
        <v/>
      </c>
      <c r="M366" s="2" t="str">
        <f>IF(Source!$C366&gt;=COLUMNS($A366:M366), Source!$G366, "")</f>
        <v/>
      </c>
      <c r="N366" s="2" t="str">
        <f>IF(Source!$C366&gt;=COLUMNS($A366:N366), Source!$G366, "")</f>
        <v/>
      </c>
      <c r="O366" s="2" t="str">
        <f>IF(Source!$C366&gt;=COLUMNS($A366:O366), Source!$G366, "")</f>
        <v/>
      </c>
      <c r="P366" s="2" t="str">
        <f>IF(Source!$C366&gt;=COLUMNS($A366:P366), Source!$G366, "")</f>
        <v/>
      </c>
      <c r="Q366" s="2" t="str">
        <f>IF(Source!$C366&gt;=COLUMNS($A366:Q366), Source!$G366, "")</f>
        <v/>
      </c>
      <c r="R366" s="2" t="str">
        <f>IF(Source!$C366&gt;=COLUMNS($A366:R366), Source!$G366, "")</f>
        <v/>
      </c>
      <c r="S366" s="2" t="str">
        <f>IF(Source!$C366&gt;=COLUMNS($A366:S366), Source!$G366, "")</f>
        <v/>
      </c>
      <c r="T366" s="2" t="str">
        <f>IF(Source!$C366&gt;=COLUMNS($A366:T366), Source!$G366, "")</f>
        <v/>
      </c>
      <c r="U366" s="2" t="str">
        <f>IF(Source!$C366&gt;=COLUMNS($A366:U366), Source!$G366, "")</f>
        <v/>
      </c>
      <c r="V366" s="2" t="str">
        <f>IF(Source!$C366&gt;=COLUMNS($A366:V366), Source!$G366, "")</f>
        <v/>
      </c>
      <c r="W366" s="2" t="str">
        <f>IF(Source!$C366&gt;=COLUMNS($A366:W366), Source!$G366, "")</f>
        <v/>
      </c>
      <c r="X366" s="2" t="str">
        <f>IF(Source!$C366&gt;=COLUMNS($A366:X366), Source!$G366, "")</f>
        <v/>
      </c>
      <c r="Y366" s="2" t="str">
        <f>IF(Source!$C366&gt;=COLUMNS($A366:Y366), Source!$G366, "")</f>
        <v/>
      </c>
      <c r="Z366" s="2" t="str">
        <f>IF(Source!$C366&gt;=COLUMNS($A366:Z366), Source!$G366, "")</f>
        <v/>
      </c>
      <c r="AA366" s="2" t="str">
        <f>IF(Source!$C366&gt;=COLUMNS($A366:AA366), Source!$G366, "")</f>
        <v/>
      </c>
      <c r="AB366" s="2" t="str">
        <f>IF(Source!$C366&gt;=COLUMNS($A366:AB366), Source!$G366, "")</f>
        <v/>
      </c>
      <c r="AC366" s="2" t="str">
        <f>IF(Source!$C366&gt;=COLUMNS($A366:AC366), Source!$G366, "")</f>
        <v/>
      </c>
      <c r="AD366" s="2" t="str">
        <f>IF(Source!$C366&gt;=COLUMNS($A366:AD366), Source!$G366, "")</f>
        <v/>
      </c>
      <c r="AE366" s="2" t="str">
        <f>IF(Source!$C366&gt;=COLUMNS($A366:AE366), Source!$G366, "")</f>
        <v/>
      </c>
      <c r="AF366" s="2" t="str">
        <f>IF(Source!$C366&gt;=COLUMNS($A366:AF366), Source!$G366, "")</f>
        <v/>
      </c>
      <c r="AG366" s="2" t="str">
        <f>IF(Source!$C366&gt;=COLUMNS($A366:AG366), Source!$G366, "")</f>
        <v/>
      </c>
      <c r="AH366" s="2" t="str">
        <f>IF(Source!$C366&gt;=COLUMNS($A366:AH366), Source!$G366, "")</f>
        <v/>
      </c>
      <c r="AI366" s="2" t="str">
        <f>IF(Source!$C366&gt;=COLUMNS($A366:AI366), Source!$G366, "")</f>
        <v/>
      </c>
      <c r="AJ366" s="2" t="str">
        <f>IF(Source!$C366&gt;=COLUMNS($A366:AJ366), Source!$G366, "")</f>
        <v/>
      </c>
      <c r="AK366" s="2" t="str">
        <f>IF(Source!$C366&gt;=COLUMNS($A366:AK366), Source!$G366, "")</f>
        <v/>
      </c>
      <c r="AL366" s="2" t="str">
        <f>IF(Source!$C366&gt;=COLUMNS($A366:AL366), Source!$G366, "")</f>
        <v/>
      </c>
      <c r="AM366" s="2" t="str">
        <f>IF(Source!$C366&gt;=COLUMNS($A366:AM366), Source!$G366, "")</f>
        <v/>
      </c>
      <c r="AN366" s="2" t="str">
        <f>IF(Source!$C366&gt;=COLUMNS($A366:AN366), Source!$G366, "")</f>
        <v/>
      </c>
      <c r="AO366" s="2" t="str">
        <f>IF(Source!$C366&gt;=COLUMNS($A366:AO366), Source!$G366, "")</f>
        <v/>
      </c>
      <c r="AP366" s="2" t="str">
        <f>IF(Source!$C366&gt;=COLUMNS($A366:AP366), Source!$G366, "")</f>
        <v/>
      </c>
      <c r="AQ366" s="2" t="str">
        <f>IF(Source!$C366&gt;=COLUMNS($A366:AQ366), Source!$G366, "")</f>
        <v/>
      </c>
      <c r="AR366" s="2" t="str">
        <f>IF(Source!$C366&gt;=COLUMNS($A366:AR366), Source!$G366, "")</f>
        <v/>
      </c>
    </row>
    <row r="367">
      <c r="A367" s="2">
        <f>IF(Source!$C367&gt;=COLUMNS($A367:A367), Source!$G367, "")</f>
        <v>8</v>
      </c>
      <c r="B367" s="2" t="str">
        <f>IF(Source!$C367&gt;=COLUMNS($A367:B367), Source!$G367, "")</f>
        <v/>
      </c>
      <c r="C367" s="2" t="str">
        <f>IF(Source!$C367&gt;=COLUMNS($A367:C367), Source!$G367, "")</f>
        <v/>
      </c>
      <c r="D367" s="2" t="str">
        <f>IF(Source!$C367&gt;=COLUMNS($A367:D367), Source!$G367, "")</f>
        <v/>
      </c>
      <c r="E367" s="2" t="str">
        <f>IF(Source!$C367&gt;=COLUMNS($A367:E367), Source!$G367, "")</f>
        <v/>
      </c>
      <c r="F367" s="2" t="str">
        <f>IF(Source!$C367&gt;=COLUMNS($A367:F367), Source!$G367, "")</f>
        <v/>
      </c>
      <c r="G367" s="2" t="str">
        <f>IF(Source!$C367&gt;=COLUMNS($A367:G367), Source!$G367, "")</f>
        <v/>
      </c>
      <c r="H367" s="2" t="str">
        <f>IF(Source!$C367&gt;=COLUMNS($A367:H367), Source!$G367, "")</f>
        <v/>
      </c>
      <c r="I367" s="2" t="str">
        <f>IF(Source!$C367&gt;=COLUMNS($A367:I367), Source!$G367, "")</f>
        <v/>
      </c>
      <c r="J367" s="2" t="str">
        <f>IF(Source!$C367&gt;=COLUMNS($A367:J367), Source!$G367, "")</f>
        <v/>
      </c>
      <c r="K367" s="2" t="str">
        <f>IF(Source!$C367&gt;=COLUMNS($A367:K367), Source!$G367, "")</f>
        <v/>
      </c>
      <c r="L367" s="2" t="str">
        <f>IF(Source!$C367&gt;=COLUMNS($A367:L367), Source!$G367, "")</f>
        <v/>
      </c>
      <c r="M367" s="2" t="str">
        <f>IF(Source!$C367&gt;=COLUMNS($A367:M367), Source!$G367, "")</f>
        <v/>
      </c>
      <c r="N367" s="2" t="str">
        <f>IF(Source!$C367&gt;=COLUMNS($A367:N367), Source!$G367, "")</f>
        <v/>
      </c>
      <c r="O367" s="2" t="str">
        <f>IF(Source!$C367&gt;=COLUMNS($A367:O367), Source!$G367, "")</f>
        <v/>
      </c>
      <c r="P367" s="2" t="str">
        <f>IF(Source!$C367&gt;=COLUMNS($A367:P367), Source!$G367, "")</f>
        <v/>
      </c>
      <c r="Q367" s="2" t="str">
        <f>IF(Source!$C367&gt;=COLUMNS($A367:Q367), Source!$G367, "")</f>
        <v/>
      </c>
      <c r="R367" s="2" t="str">
        <f>IF(Source!$C367&gt;=COLUMNS($A367:R367), Source!$G367, "")</f>
        <v/>
      </c>
      <c r="S367" s="2" t="str">
        <f>IF(Source!$C367&gt;=COLUMNS($A367:S367), Source!$G367, "")</f>
        <v/>
      </c>
      <c r="T367" s="2" t="str">
        <f>IF(Source!$C367&gt;=COLUMNS($A367:T367), Source!$G367, "")</f>
        <v/>
      </c>
      <c r="U367" s="2" t="str">
        <f>IF(Source!$C367&gt;=COLUMNS($A367:U367), Source!$G367, "")</f>
        <v/>
      </c>
      <c r="V367" s="2" t="str">
        <f>IF(Source!$C367&gt;=COLUMNS($A367:V367), Source!$G367, "")</f>
        <v/>
      </c>
      <c r="W367" s="2" t="str">
        <f>IF(Source!$C367&gt;=COLUMNS($A367:W367), Source!$G367, "")</f>
        <v/>
      </c>
      <c r="X367" s="2" t="str">
        <f>IF(Source!$C367&gt;=COLUMNS($A367:X367), Source!$G367, "")</f>
        <v/>
      </c>
      <c r="Y367" s="2" t="str">
        <f>IF(Source!$C367&gt;=COLUMNS($A367:Y367), Source!$G367, "")</f>
        <v/>
      </c>
      <c r="Z367" s="2" t="str">
        <f>IF(Source!$C367&gt;=COLUMNS($A367:Z367), Source!$G367, "")</f>
        <v/>
      </c>
      <c r="AA367" s="2" t="str">
        <f>IF(Source!$C367&gt;=COLUMNS($A367:AA367), Source!$G367, "")</f>
        <v/>
      </c>
      <c r="AB367" s="2" t="str">
        <f>IF(Source!$C367&gt;=COLUMNS($A367:AB367), Source!$G367, "")</f>
        <v/>
      </c>
      <c r="AC367" s="2" t="str">
        <f>IF(Source!$C367&gt;=COLUMNS($A367:AC367), Source!$G367, "")</f>
        <v/>
      </c>
      <c r="AD367" s="2" t="str">
        <f>IF(Source!$C367&gt;=COLUMNS($A367:AD367), Source!$G367, "")</f>
        <v/>
      </c>
      <c r="AE367" s="2" t="str">
        <f>IF(Source!$C367&gt;=COLUMNS($A367:AE367), Source!$G367, "")</f>
        <v/>
      </c>
      <c r="AF367" s="2" t="str">
        <f>IF(Source!$C367&gt;=COLUMNS($A367:AF367), Source!$G367, "")</f>
        <v/>
      </c>
      <c r="AG367" s="2" t="str">
        <f>IF(Source!$C367&gt;=COLUMNS($A367:AG367), Source!$G367, "")</f>
        <v/>
      </c>
      <c r="AH367" s="2" t="str">
        <f>IF(Source!$C367&gt;=COLUMNS($A367:AH367), Source!$G367, "")</f>
        <v/>
      </c>
      <c r="AI367" s="2" t="str">
        <f>IF(Source!$C367&gt;=COLUMNS($A367:AI367), Source!$G367, "")</f>
        <v/>
      </c>
      <c r="AJ367" s="2" t="str">
        <f>IF(Source!$C367&gt;=COLUMNS($A367:AJ367), Source!$G367, "")</f>
        <v/>
      </c>
      <c r="AK367" s="2" t="str">
        <f>IF(Source!$C367&gt;=COLUMNS($A367:AK367), Source!$G367, "")</f>
        <v/>
      </c>
      <c r="AL367" s="2" t="str">
        <f>IF(Source!$C367&gt;=COLUMNS($A367:AL367), Source!$G367, "")</f>
        <v/>
      </c>
      <c r="AM367" s="2" t="str">
        <f>IF(Source!$C367&gt;=COLUMNS($A367:AM367), Source!$G367, "")</f>
        <v/>
      </c>
      <c r="AN367" s="2" t="str">
        <f>IF(Source!$C367&gt;=COLUMNS($A367:AN367), Source!$G367, "")</f>
        <v/>
      </c>
      <c r="AO367" s="2" t="str">
        <f>IF(Source!$C367&gt;=COLUMNS($A367:AO367), Source!$G367, "")</f>
        <v/>
      </c>
      <c r="AP367" s="2" t="str">
        <f>IF(Source!$C367&gt;=COLUMNS($A367:AP367), Source!$G367, "")</f>
        <v/>
      </c>
      <c r="AQ367" s="2" t="str">
        <f>IF(Source!$C367&gt;=COLUMNS($A367:AQ367), Source!$G367, "")</f>
        <v/>
      </c>
      <c r="AR367" s="2" t="str">
        <f>IF(Source!$C367&gt;=COLUMNS($A367:AR367), Source!$G367, "")</f>
        <v/>
      </c>
    </row>
    <row r="368">
      <c r="A368" s="2">
        <f>IF(Source!$C368&gt;=COLUMNS($A368:A368), Source!$G368, "")</f>
        <v>8</v>
      </c>
      <c r="B368" s="2">
        <f>IF(Source!$C368&gt;=COLUMNS($A368:B368), Source!$G368, "")</f>
        <v>8</v>
      </c>
      <c r="C368" s="2" t="str">
        <f>IF(Source!$C368&gt;=COLUMNS($A368:C368), Source!$G368, "")</f>
        <v/>
      </c>
      <c r="D368" s="2" t="str">
        <f>IF(Source!$C368&gt;=COLUMNS($A368:D368), Source!$G368, "")</f>
        <v/>
      </c>
      <c r="E368" s="2" t="str">
        <f>IF(Source!$C368&gt;=COLUMNS($A368:E368), Source!$G368, "")</f>
        <v/>
      </c>
      <c r="F368" s="2" t="str">
        <f>IF(Source!$C368&gt;=COLUMNS($A368:F368), Source!$G368, "")</f>
        <v/>
      </c>
      <c r="G368" s="2" t="str">
        <f>IF(Source!$C368&gt;=COLUMNS($A368:G368), Source!$G368, "")</f>
        <v/>
      </c>
      <c r="H368" s="2" t="str">
        <f>IF(Source!$C368&gt;=COLUMNS($A368:H368), Source!$G368, "")</f>
        <v/>
      </c>
      <c r="I368" s="2" t="str">
        <f>IF(Source!$C368&gt;=COLUMNS($A368:I368), Source!$G368, "")</f>
        <v/>
      </c>
      <c r="J368" s="2" t="str">
        <f>IF(Source!$C368&gt;=COLUMNS($A368:J368), Source!$G368, "")</f>
        <v/>
      </c>
      <c r="K368" s="2" t="str">
        <f>IF(Source!$C368&gt;=COLUMNS($A368:K368), Source!$G368, "")</f>
        <v/>
      </c>
      <c r="L368" s="2" t="str">
        <f>IF(Source!$C368&gt;=COLUMNS($A368:L368), Source!$G368, "")</f>
        <v/>
      </c>
      <c r="M368" s="2" t="str">
        <f>IF(Source!$C368&gt;=COLUMNS($A368:M368), Source!$G368, "")</f>
        <v/>
      </c>
      <c r="N368" s="2" t="str">
        <f>IF(Source!$C368&gt;=COLUMNS($A368:N368), Source!$G368, "")</f>
        <v/>
      </c>
      <c r="O368" s="2" t="str">
        <f>IF(Source!$C368&gt;=COLUMNS($A368:O368), Source!$G368, "")</f>
        <v/>
      </c>
      <c r="P368" s="2" t="str">
        <f>IF(Source!$C368&gt;=COLUMNS($A368:P368), Source!$G368, "")</f>
        <v/>
      </c>
      <c r="Q368" s="2" t="str">
        <f>IF(Source!$C368&gt;=COLUMNS($A368:Q368), Source!$G368, "")</f>
        <v/>
      </c>
      <c r="R368" s="2" t="str">
        <f>IF(Source!$C368&gt;=COLUMNS($A368:R368), Source!$G368, "")</f>
        <v/>
      </c>
      <c r="S368" s="2" t="str">
        <f>IF(Source!$C368&gt;=COLUMNS($A368:S368), Source!$G368, "")</f>
        <v/>
      </c>
      <c r="T368" s="2" t="str">
        <f>IF(Source!$C368&gt;=COLUMNS($A368:T368), Source!$G368, "")</f>
        <v/>
      </c>
      <c r="U368" s="2" t="str">
        <f>IF(Source!$C368&gt;=COLUMNS($A368:U368), Source!$G368, "")</f>
        <v/>
      </c>
      <c r="V368" s="2" t="str">
        <f>IF(Source!$C368&gt;=COLUMNS($A368:V368), Source!$G368, "")</f>
        <v/>
      </c>
      <c r="W368" s="2" t="str">
        <f>IF(Source!$C368&gt;=COLUMNS($A368:W368), Source!$G368, "")</f>
        <v/>
      </c>
      <c r="X368" s="2" t="str">
        <f>IF(Source!$C368&gt;=COLUMNS($A368:X368), Source!$G368, "")</f>
        <v/>
      </c>
      <c r="Y368" s="2" t="str">
        <f>IF(Source!$C368&gt;=COLUMNS($A368:Y368), Source!$G368, "")</f>
        <v/>
      </c>
      <c r="Z368" s="2" t="str">
        <f>IF(Source!$C368&gt;=COLUMNS($A368:Z368), Source!$G368, "")</f>
        <v/>
      </c>
      <c r="AA368" s="2" t="str">
        <f>IF(Source!$C368&gt;=COLUMNS($A368:AA368), Source!$G368, "")</f>
        <v/>
      </c>
      <c r="AB368" s="2" t="str">
        <f>IF(Source!$C368&gt;=COLUMNS($A368:AB368), Source!$G368, "")</f>
        <v/>
      </c>
      <c r="AC368" s="2" t="str">
        <f>IF(Source!$C368&gt;=COLUMNS($A368:AC368), Source!$G368, "")</f>
        <v/>
      </c>
      <c r="AD368" s="2" t="str">
        <f>IF(Source!$C368&gt;=COLUMNS($A368:AD368), Source!$G368, "")</f>
        <v/>
      </c>
      <c r="AE368" s="2" t="str">
        <f>IF(Source!$C368&gt;=COLUMNS($A368:AE368), Source!$G368, "")</f>
        <v/>
      </c>
      <c r="AF368" s="2" t="str">
        <f>IF(Source!$C368&gt;=COLUMNS($A368:AF368), Source!$G368, "")</f>
        <v/>
      </c>
      <c r="AG368" s="2" t="str">
        <f>IF(Source!$C368&gt;=COLUMNS($A368:AG368), Source!$G368, "")</f>
        <v/>
      </c>
      <c r="AH368" s="2" t="str">
        <f>IF(Source!$C368&gt;=COLUMNS($A368:AH368), Source!$G368, "")</f>
        <v/>
      </c>
      <c r="AI368" s="2" t="str">
        <f>IF(Source!$C368&gt;=COLUMNS($A368:AI368), Source!$G368, "")</f>
        <v/>
      </c>
      <c r="AJ368" s="2" t="str">
        <f>IF(Source!$C368&gt;=COLUMNS($A368:AJ368), Source!$G368, "")</f>
        <v/>
      </c>
      <c r="AK368" s="2" t="str">
        <f>IF(Source!$C368&gt;=COLUMNS($A368:AK368), Source!$G368, "")</f>
        <v/>
      </c>
      <c r="AL368" s="2" t="str">
        <f>IF(Source!$C368&gt;=COLUMNS($A368:AL368), Source!$G368, "")</f>
        <v/>
      </c>
      <c r="AM368" s="2" t="str">
        <f>IF(Source!$C368&gt;=COLUMNS($A368:AM368), Source!$G368, "")</f>
        <v/>
      </c>
      <c r="AN368" s="2" t="str">
        <f>IF(Source!$C368&gt;=COLUMNS($A368:AN368), Source!$G368, "")</f>
        <v/>
      </c>
      <c r="AO368" s="2" t="str">
        <f>IF(Source!$C368&gt;=COLUMNS($A368:AO368), Source!$G368, "")</f>
        <v/>
      </c>
      <c r="AP368" s="2" t="str">
        <f>IF(Source!$C368&gt;=COLUMNS($A368:AP368), Source!$G368, "")</f>
        <v/>
      </c>
      <c r="AQ368" s="2" t="str">
        <f>IF(Source!$C368&gt;=COLUMNS($A368:AQ368), Source!$G368, "")</f>
        <v/>
      </c>
      <c r="AR368" s="2" t="str">
        <f>IF(Source!$C368&gt;=COLUMNS($A368:AR368), Source!$G368, "")</f>
        <v/>
      </c>
    </row>
    <row r="369">
      <c r="A369" s="2">
        <f>IF(Source!$C369&gt;=COLUMNS($A369:A369), Source!$G369, "")</f>
        <v>9</v>
      </c>
      <c r="B369" s="2">
        <f>IF(Source!$C369&gt;=COLUMNS($A369:B369), Source!$G369, "")</f>
        <v>9</v>
      </c>
      <c r="C369" s="2">
        <f>IF(Source!$C369&gt;=COLUMNS($A369:C369), Source!$G369, "")</f>
        <v>9</v>
      </c>
      <c r="D369" s="2">
        <f>IF(Source!$C369&gt;=COLUMNS($A369:D369), Source!$G369, "")</f>
        <v>9</v>
      </c>
      <c r="E369" s="2">
        <f>IF(Source!$C369&gt;=COLUMNS($A369:E369), Source!$G369, "")</f>
        <v>9</v>
      </c>
      <c r="F369" s="2">
        <f>IF(Source!$C369&gt;=COLUMNS($A369:F369), Source!$G369, "")</f>
        <v>9</v>
      </c>
      <c r="G369" s="2">
        <f>IF(Source!$C369&gt;=COLUMNS($A369:G369), Source!$G369, "")</f>
        <v>9</v>
      </c>
      <c r="H369" s="2">
        <f>IF(Source!$C369&gt;=COLUMNS($A369:H369), Source!$G369, "")</f>
        <v>9</v>
      </c>
      <c r="I369" s="2">
        <f>IF(Source!$C369&gt;=COLUMNS($A369:I369), Source!$G369, "")</f>
        <v>9</v>
      </c>
      <c r="J369" s="2">
        <f>IF(Source!$C369&gt;=COLUMNS($A369:J369), Source!$G369, "")</f>
        <v>9</v>
      </c>
      <c r="K369" s="2">
        <f>IF(Source!$C369&gt;=COLUMNS($A369:K369), Source!$G369, "")</f>
        <v>9</v>
      </c>
      <c r="L369" s="2">
        <f>IF(Source!$C369&gt;=COLUMNS($A369:L369), Source!$G369, "")</f>
        <v>9</v>
      </c>
      <c r="M369" s="2">
        <f>IF(Source!$C369&gt;=COLUMNS($A369:M369), Source!$G369, "")</f>
        <v>9</v>
      </c>
      <c r="N369" s="2">
        <f>IF(Source!$C369&gt;=COLUMNS($A369:N369), Source!$G369, "")</f>
        <v>9</v>
      </c>
      <c r="O369" s="2">
        <f>IF(Source!$C369&gt;=COLUMNS($A369:O369), Source!$G369, "")</f>
        <v>9</v>
      </c>
      <c r="P369" s="2">
        <f>IF(Source!$C369&gt;=COLUMNS($A369:P369), Source!$G369, "")</f>
        <v>9</v>
      </c>
      <c r="Q369" s="2">
        <f>IF(Source!$C369&gt;=COLUMNS($A369:Q369), Source!$G369, "")</f>
        <v>9</v>
      </c>
      <c r="R369" s="2">
        <f>IF(Source!$C369&gt;=COLUMNS($A369:R369), Source!$G369, "")</f>
        <v>9</v>
      </c>
      <c r="S369" s="2">
        <f>IF(Source!$C369&gt;=COLUMNS($A369:S369), Source!$G369, "")</f>
        <v>9</v>
      </c>
      <c r="T369" s="2">
        <f>IF(Source!$C369&gt;=COLUMNS($A369:T369), Source!$G369, "")</f>
        <v>9</v>
      </c>
      <c r="U369" s="2">
        <f>IF(Source!$C369&gt;=COLUMNS($A369:U369), Source!$G369, "")</f>
        <v>9</v>
      </c>
      <c r="V369" s="2">
        <f>IF(Source!$C369&gt;=COLUMNS($A369:V369), Source!$G369, "")</f>
        <v>9</v>
      </c>
      <c r="W369" s="2">
        <f>IF(Source!$C369&gt;=COLUMNS($A369:W369), Source!$G369, "")</f>
        <v>9</v>
      </c>
      <c r="X369" s="2">
        <f>IF(Source!$C369&gt;=COLUMNS($A369:X369), Source!$G369, "")</f>
        <v>9</v>
      </c>
      <c r="Y369" s="2">
        <f>IF(Source!$C369&gt;=COLUMNS($A369:Y369), Source!$G369, "")</f>
        <v>9</v>
      </c>
      <c r="Z369" s="2">
        <f>IF(Source!$C369&gt;=COLUMNS($A369:Z369), Source!$G369, "")</f>
        <v>9</v>
      </c>
      <c r="AA369" s="2">
        <f>IF(Source!$C369&gt;=COLUMNS($A369:AA369), Source!$G369, "")</f>
        <v>9</v>
      </c>
      <c r="AB369" s="2">
        <f>IF(Source!$C369&gt;=COLUMNS($A369:AB369), Source!$G369, "")</f>
        <v>9</v>
      </c>
      <c r="AC369" s="2">
        <f>IF(Source!$C369&gt;=COLUMNS($A369:AC369), Source!$G369, "")</f>
        <v>9</v>
      </c>
      <c r="AD369" s="2" t="str">
        <f>IF(Source!$C369&gt;=COLUMNS($A369:AD369), Source!$G369, "")</f>
        <v/>
      </c>
      <c r="AE369" s="2" t="str">
        <f>IF(Source!$C369&gt;=COLUMNS($A369:AE369), Source!$G369, "")</f>
        <v/>
      </c>
      <c r="AF369" s="2" t="str">
        <f>IF(Source!$C369&gt;=COLUMNS($A369:AF369), Source!$G369, "")</f>
        <v/>
      </c>
      <c r="AG369" s="2" t="str">
        <f>IF(Source!$C369&gt;=COLUMNS($A369:AG369), Source!$G369, "")</f>
        <v/>
      </c>
      <c r="AH369" s="2" t="str">
        <f>IF(Source!$C369&gt;=COLUMNS($A369:AH369), Source!$G369, "")</f>
        <v/>
      </c>
      <c r="AI369" s="2" t="str">
        <f>IF(Source!$C369&gt;=COLUMNS($A369:AI369), Source!$G369, "")</f>
        <v/>
      </c>
      <c r="AJ369" s="2" t="str">
        <f>IF(Source!$C369&gt;=COLUMNS($A369:AJ369), Source!$G369, "")</f>
        <v/>
      </c>
      <c r="AK369" s="2" t="str">
        <f>IF(Source!$C369&gt;=COLUMNS($A369:AK369), Source!$G369, "")</f>
        <v/>
      </c>
      <c r="AL369" s="2" t="str">
        <f>IF(Source!$C369&gt;=COLUMNS($A369:AL369), Source!$G369, "")</f>
        <v/>
      </c>
      <c r="AM369" s="2" t="str">
        <f>IF(Source!$C369&gt;=COLUMNS($A369:AM369), Source!$G369, "")</f>
        <v/>
      </c>
      <c r="AN369" s="2" t="str">
        <f>IF(Source!$C369&gt;=COLUMNS($A369:AN369), Source!$G369, "")</f>
        <v/>
      </c>
      <c r="AO369" s="2" t="str">
        <f>IF(Source!$C369&gt;=COLUMNS($A369:AO369), Source!$G369, "")</f>
        <v/>
      </c>
      <c r="AP369" s="2" t="str">
        <f>IF(Source!$C369&gt;=COLUMNS($A369:AP369), Source!$G369, "")</f>
        <v/>
      </c>
      <c r="AQ369" s="2" t="str">
        <f>IF(Source!$C369&gt;=COLUMNS($A369:AQ369), Source!$G369, "")</f>
        <v/>
      </c>
      <c r="AR369" s="2" t="str">
        <f>IF(Source!$C369&gt;=COLUMNS($A369:AR369), Source!$G369, "")</f>
        <v/>
      </c>
    </row>
    <row r="370">
      <c r="A370" s="2">
        <f>IF(Source!$C370&gt;=COLUMNS($A370:A370), Source!$G370, "")</f>
        <v>5</v>
      </c>
      <c r="B370" s="2">
        <f>IF(Source!$C370&gt;=COLUMNS($A370:B370), Source!$G370, "")</f>
        <v>5</v>
      </c>
      <c r="C370" s="2" t="str">
        <f>IF(Source!$C370&gt;=COLUMNS($A370:C370), Source!$G370, "")</f>
        <v/>
      </c>
      <c r="D370" s="2" t="str">
        <f>IF(Source!$C370&gt;=COLUMNS($A370:D370), Source!$G370, "")</f>
        <v/>
      </c>
      <c r="E370" s="2" t="str">
        <f>IF(Source!$C370&gt;=COLUMNS($A370:E370), Source!$G370, "")</f>
        <v/>
      </c>
      <c r="F370" s="2" t="str">
        <f>IF(Source!$C370&gt;=COLUMNS($A370:F370), Source!$G370, "")</f>
        <v/>
      </c>
      <c r="G370" s="2" t="str">
        <f>IF(Source!$C370&gt;=COLUMNS($A370:G370), Source!$G370, "")</f>
        <v/>
      </c>
      <c r="H370" s="2" t="str">
        <f>IF(Source!$C370&gt;=COLUMNS($A370:H370), Source!$G370, "")</f>
        <v/>
      </c>
      <c r="I370" s="2" t="str">
        <f>IF(Source!$C370&gt;=COLUMNS($A370:I370), Source!$G370, "")</f>
        <v/>
      </c>
      <c r="J370" s="2" t="str">
        <f>IF(Source!$C370&gt;=COLUMNS($A370:J370), Source!$G370, "")</f>
        <v/>
      </c>
      <c r="K370" s="2" t="str">
        <f>IF(Source!$C370&gt;=COLUMNS($A370:K370), Source!$G370, "")</f>
        <v/>
      </c>
      <c r="L370" s="2" t="str">
        <f>IF(Source!$C370&gt;=COLUMNS($A370:L370), Source!$G370, "")</f>
        <v/>
      </c>
      <c r="M370" s="2" t="str">
        <f>IF(Source!$C370&gt;=COLUMNS($A370:M370), Source!$G370, "")</f>
        <v/>
      </c>
      <c r="N370" s="2" t="str">
        <f>IF(Source!$C370&gt;=COLUMNS($A370:N370), Source!$G370, "")</f>
        <v/>
      </c>
      <c r="O370" s="2" t="str">
        <f>IF(Source!$C370&gt;=COLUMNS($A370:O370), Source!$G370, "")</f>
        <v/>
      </c>
      <c r="P370" s="2" t="str">
        <f>IF(Source!$C370&gt;=COLUMNS($A370:P370), Source!$G370, "")</f>
        <v/>
      </c>
      <c r="Q370" s="2" t="str">
        <f>IF(Source!$C370&gt;=COLUMNS($A370:Q370), Source!$G370, "")</f>
        <v/>
      </c>
      <c r="R370" s="2" t="str">
        <f>IF(Source!$C370&gt;=COLUMNS($A370:R370), Source!$G370, "")</f>
        <v/>
      </c>
      <c r="S370" s="2" t="str">
        <f>IF(Source!$C370&gt;=COLUMNS($A370:S370), Source!$G370, "")</f>
        <v/>
      </c>
      <c r="T370" s="2" t="str">
        <f>IF(Source!$C370&gt;=COLUMNS($A370:T370), Source!$G370, "")</f>
        <v/>
      </c>
      <c r="U370" s="2" t="str">
        <f>IF(Source!$C370&gt;=COLUMNS($A370:U370), Source!$G370, "")</f>
        <v/>
      </c>
      <c r="V370" s="2" t="str">
        <f>IF(Source!$C370&gt;=COLUMNS($A370:V370), Source!$G370, "")</f>
        <v/>
      </c>
      <c r="W370" s="2" t="str">
        <f>IF(Source!$C370&gt;=COLUMNS($A370:W370), Source!$G370, "")</f>
        <v/>
      </c>
      <c r="X370" s="2" t="str">
        <f>IF(Source!$C370&gt;=COLUMNS($A370:X370), Source!$G370, "")</f>
        <v/>
      </c>
      <c r="Y370" s="2" t="str">
        <f>IF(Source!$C370&gt;=COLUMNS($A370:Y370), Source!$G370, "")</f>
        <v/>
      </c>
      <c r="Z370" s="2" t="str">
        <f>IF(Source!$C370&gt;=COLUMNS($A370:Z370), Source!$G370, "")</f>
        <v/>
      </c>
      <c r="AA370" s="2" t="str">
        <f>IF(Source!$C370&gt;=COLUMNS($A370:AA370), Source!$G370, "")</f>
        <v/>
      </c>
      <c r="AB370" s="2" t="str">
        <f>IF(Source!$C370&gt;=COLUMNS($A370:AB370), Source!$G370, "")</f>
        <v/>
      </c>
      <c r="AC370" s="2" t="str">
        <f>IF(Source!$C370&gt;=COLUMNS($A370:AC370), Source!$G370, "")</f>
        <v/>
      </c>
      <c r="AD370" s="2" t="str">
        <f>IF(Source!$C370&gt;=COLUMNS($A370:AD370), Source!$G370, "")</f>
        <v/>
      </c>
      <c r="AE370" s="2" t="str">
        <f>IF(Source!$C370&gt;=COLUMNS($A370:AE370), Source!$G370, "")</f>
        <v/>
      </c>
      <c r="AF370" s="2" t="str">
        <f>IF(Source!$C370&gt;=COLUMNS($A370:AF370), Source!$G370, "")</f>
        <v/>
      </c>
      <c r="AG370" s="2" t="str">
        <f>IF(Source!$C370&gt;=COLUMNS($A370:AG370), Source!$G370, "")</f>
        <v/>
      </c>
      <c r="AH370" s="2" t="str">
        <f>IF(Source!$C370&gt;=COLUMNS($A370:AH370), Source!$G370, "")</f>
        <v/>
      </c>
      <c r="AI370" s="2" t="str">
        <f>IF(Source!$C370&gt;=COLUMNS($A370:AI370), Source!$G370, "")</f>
        <v/>
      </c>
      <c r="AJ370" s="2" t="str">
        <f>IF(Source!$C370&gt;=COLUMNS($A370:AJ370), Source!$G370, "")</f>
        <v/>
      </c>
      <c r="AK370" s="2" t="str">
        <f>IF(Source!$C370&gt;=COLUMNS($A370:AK370), Source!$G370, "")</f>
        <v/>
      </c>
      <c r="AL370" s="2" t="str">
        <f>IF(Source!$C370&gt;=COLUMNS($A370:AL370), Source!$G370, "")</f>
        <v/>
      </c>
      <c r="AM370" s="2" t="str">
        <f>IF(Source!$C370&gt;=COLUMNS($A370:AM370), Source!$G370, "")</f>
        <v/>
      </c>
      <c r="AN370" s="2" t="str">
        <f>IF(Source!$C370&gt;=COLUMNS($A370:AN370), Source!$G370, "")</f>
        <v/>
      </c>
      <c r="AO370" s="2" t="str">
        <f>IF(Source!$C370&gt;=COLUMNS($A370:AO370), Source!$G370, "")</f>
        <v/>
      </c>
      <c r="AP370" s="2" t="str">
        <f>IF(Source!$C370&gt;=COLUMNS($A370:AP370), Source!$G370, "")</f>
        <v/>
      </c>
      <c r="AQ370" s="2" t="str">
        <f>IF(Source!$C370&gt;=COLUMNS($A370:AQ370), Source!$G370, "")</f>
        <v/>
      </c>
      <c r="AR370" s="2" t="str">
        <f>IF(Source!$C370&gt;=COLUMNS($A370:AR370), Source!$G370, "")</f>
        <v/>
      </c>
    </row>
    <row r="371">
      <c r="A371" s="2">
        <f>IF(Source!$C371&gt;=COLUMNS($A371:A371), Source!$G371, "")</f>
        <v>3</v>
      </c>
      <c r="B371" s="2">
        <f>IF(Source!$C371&gt;=COLUMNS($A371:B371), Source!$G371, "")</f>
        <v>3</v>
      </c>
      <c r="C371" s="2" t="str">
        <f>IF(Source!$C371&gt;=COLUMNS($A371:C371), Source!$G371, "")</f>
        <v/>
      </c>
      <c r="D371" s="2" t="str">
        <f>IF(Source!$C371&gt;=COLUMNS($A371:D371), Source!$G371, "")</f>
        <v/>
      </c>
      <c r="E371" s="2" t="str">
        <f>IF(Source!$C371&gt;=COLUMNS($A371:E371), Source!$G371, "")</f>
        <v/>
      </c>
      <c r="F371" s="2" t="str">
        <f>IF(Source!$C371&gt;=COLUMNS($A371:F371), Source!$G371, "")</f>
        <v/>
      </c>
      <c r="G371" s="2" t="str">
        <f>IF(Source!$C371&gt;=COLUMNS($A371:G371), Source!$G371, "")</f>
        <v/>
      </c>
      <c r="H371" s="2" t="str">
        <f>IF(Source!$C371&gt;=COLUMNS($A371:H371), Source!$G371, "")</f>
        <v/>
      </c>
      <c r="I371" s="2" t="str">
        <f>IF(Source!$C371&gt;=COLUMNS($A371:I371), Source!$G371, "")</f>
        <v/>
      </c>
      <c r="J371" s="2" t="str">
        <f>IF(Source!$C371&gt;=COLUMNS($A371:J371), Source!$G371, "")</f>
        <v/>
      </c>
      <c r="K371" s="2" t="str">
        <f>IF(Source!$C371&gt;=COLUMNS($A371:K371), Source!$G371, "")</f>
        <v/>
      </c>
      <c r="L371" s="2" t="str">
        <f>IF(Source!$C371&gt;=COLUMNS($A371:L371), Source!$G371, "")</f>
        <v/>
      </c>
      <c r="M371" s="2" t="str">
        <f>IF(Source!$C371&gt;=COLUMNS($A371:M371), Source!$G371, "")</f>
        <v/>
      </c>
      <c r="N371" s="2" t="str">
        <f>IF(Source!$C371&gt;=COLUMNS($A371:N371), Source!$G371, "")</f>
        <v/>
      </c>
      <c r="O371" s="2" t="str">
        <f>IF(Source!$C371&gt;=COLUMNS($A371:O371), Source!$G371, "")</f>
        <v/>
      </c>
      <c r="P371" s="2" t="str">
        <f>IF(Source!$C371&gt;=COLUMNS($A371:P371), Source!$G371, "")</f>
        <v/>
      </c>
      <c r="Q371" s="2" t="str">
        <f>IF(Source!$C371&gt;=COLUMNS($A371:Q371), Source!$G371, "")</f>
        <v/>
      </c>
      <c r="R371" s="2" t="str">
        <f>IF(Source!$C371&gt;=COLUMNS($A371:R371), Source!$G371, "")</f>
        <v/>
      </c>
      <c r="S371" s="2" t="str">
        <f>IF(Source!$C371&gt;=COLUMNS($A371:S371), Source!$G371, "")</f>
        <v/>
      </c>
      <c r="T371" s="2" t="str">
        <f>IF(Source!$C371&gt;=COLUMNS($A371:T371), Source!$G371, "")</f>
        <v/>
      </c>
      <c r="U371" s="2" t="str">
        <f>IF(Source!$C371&gt;=COLUMNS($A371:U371), Source!$G371, "")</f>
        <v/>
      </c>
      <c r="V371" s="2" t="str">
        <f>IF(Source!$C371&gt;=COLUMNS($A371:V371), Source!$G371, "")</f>
        <v/>
      </c>
      <c r="W371" s="2" t="str">
        <f>IF(Source!$C371&gt;=COLUMNS($A371:W371), Source!$G371, "")</f>
        <v/>
      </c>
      <c r="X371" s="2" t="str">
        <f>IF(Source!$C371&gt;=COLUMNS($A371:X371), Source!$G371, "")</f>
        <v/>
      </c>
      <c r="Y371" s="2" t="str">
        <f>IF(Source!$C371&gt;=COLUMNS($A371:Y371), Source!$G371, "")</f>
        <v/>
      </c>
      <c r="Z371" s="2" t="str">
        <f>IF(Source!$C371&gt;=COLUMNS($A371:Z371), Source!$G371, "")</f>
        <v/>
      </c>
      <c r="AA371" s="2" t="str">
        <f>IF(Source!$C371&gt;=COLUMNS($A371:AA371), Source!$G371, "")</f>
        <v/>
      </c>
      <c r="AB371" s="2" t="str">
        <f>IF(Source!$C371&gt;=COLUMNS($A371:AB371), Source!$G371, "")</f>
        <v/>
      </c>
      <c r="AC371" s="2" t="str">
        <f>IF(Source!$C371&gt;=COLUMNS($A371:AC371), Source!$G371, "")</f>
        <v/>
      </c>
      <c r="AD371" s="2" t="str">
        <f>IF(Source!$C371&gt;=COLUMNS($A371:AD371), Source!$G371, "")</f>
        <v/>
      </c>
      <c r="AE371" s="2" t="str">
        <f>IF(Source!$C371&gt;=COLUMNS($A371:AE371), Source!$G371, "")</f>
        <v/>
      </c>
      <c r="AF371" s="2" t="str">
        <f>IF(Source!$C371&gt;=COLUMNS($A371:AF371), Source!$G371, "")</f>
        <v/>
      </c>
      <c r="AG371" s="2" t="str">
        <f>IF(Source!$C371&gt;=COLUMNS($A371:AG371), Source!$G371, "")</f>
        <v/>
      </c>
      <c r="AH371" s="2" t="str">
        <f>IF(Source!$C371&gt;=COLUMNS($A371:AH371), Source!$G371, "")</f>
        <v/>
      </c>
      <c r="AI371" s="2" t="str">
        <f>IF(Source!$C371&gt;=COLUMNS($A371:AI371), Source!$G371, "")</f>
        <v/>
      </c>
      <c r="AJ371" s="2" t="str">
        <f>IF(Source!$C371&gt;=COLUMNS($A371:AJ371), Source!$G371, "")</f>
        <v/>
      </c>
      <c r="AK371" s="2" t="str">
        <f>IF(Source!$C371&gt;=COLUMNS($A371:AK371), Source!$G371, "")</f>
        <v/>
      </c>
      <c r="AL371" s="2" t="str">
        <f>IF(Source!$C371&gt;=COLUMNS($A371:AL371), Source!$G371, "")</f>
        <v/>
      </c>
      <c r="AM371" s="2" t="str">
        <f>IF(Source!$C371&gt;=COLUMNS($A371:AM371), Source!$G371, "")</f>
        <v/>
      </c>
      <c r="AN371" s="2" t="str">
        <f>IF(Source!$C371&gt;=COLUMNS($A371:AN371), Source!$G371, "")</f>
        <v/>
      </c>
      <c r="AO371" s="2" t="str">
        <f>IF(Source!$C371&gt;=COLUMNS($A371:AO371), Source!$G371, "")</f>
        <v/>
      </c>
      <c r="AP371" s="2" t="str">
        <f>IF(Source!$C371&gt;=COLUMNS($A371:AP371), Source!$G371, "")</f>
        <v/>
      </c>
      <c r="AQ371" s="2" t="str">
        <f>IF(Source!$C371&gt;=COLUMNS($A371:AQ371), Source!$G371, "")</f>
        <v/>
      </c>
      <c r="AR371" s="2" t="str">
        <f>IF(Source!$C371&gt;=COLUMNS($A371:AR371), Source!$G371, "")</f>
        <v/>
      </c>
    </row>
    <row r="372">
      <c r="A372" s="2">
        <f>IF(Source!$C372&gt;=COLUMNS($A372:A372), Source!$G372, "")</f>
        <v>5</v>
      </c>
      <c r="B372" s="2" t="str">
        <f>IF(Source!$C372&gt;=COLUMNS($A372:B372), Source!$G372, "")</f>
        <v/>
      </c>
      <c r="C372" s="2" t="str">
        <f>IF(Source!$C372&gt;=COLUMNS($A372:C372), Source!$G372, "")</f>
        <v/>
      </c>
      <c r="D372" s="2" t="str">
        <f>IF(Source!$C372&gt;=COLUMNS($A372:D372), Source!$G372, "")</f>
        <v/>
      </c>
      <c r="E372" s="2" t="str">
        <f>IF(Source!$C372&gt;=COLUMNS($A372:E372), Source!$G372, "")</f>
        <v/>
      </c>
      <c r="F372" s="2" t="str">
        <f>IF(Source!$C372&gt;=COLUMNS($A372:F372), Source!$G372, "")</f>
        <v/>
      </c>
      <c r="G372" s="2" t="str">
        <f>IF(Source!$C372&gt;=COLUMNS($A372:G372), Source!$G372, "")</f>
        <v/>
      </c>
      <c r="H372" s="2" t="str">
        <f>IF(Source!$C372&gt;=COLUMNS($A372:H372), Source!$G372, "")</f>
        <v/>
      </c>
      <c r="I372" s="2" t="str">
        <f>IF(Source!$C372&gt;=COLUMNS($A372:I372), Source!$G372, "")</f>
        <v/>
      </c>
      <c r="J372" s="2" t="str">
        <f>IF(Source!$C372&gt;=COLUMNS($A372:J372), Source!$G372, "")</f>
        <v/>
      </c>
      <c r="K372" s="2" t="str">
        <f>IF(Source!$C372&gt;=COLUMNS($A372:K372), Source!$G372, "")</f>
        <v/>
      </c>
      <c r="L372" s="2" t="str">
        <f>IF(Source!$C372&gt;=COLUMNS($A372:L372), Source!$G372, "")</f>
        <v/>
      </c>
      <c r="M372" s="2" t="str">
        <f>IF(Source!$C372&gt;=COLUMNS($A372:M372), Source!$G372, "")</f>
        <v/>
      </c>
      <c r="N372" s="2" t="str">
        <f>IF(Source!$C372&gt;=COLUMNS($A372:N372), Source!$G372, "")</f>
        <v/>
      </c>
      <c r="O372" s="2" t="str">
        <f>IF(Source!$C372&gt;=COLUMNS($A372:O372), Source!$G372, "")</f>
        <v/>
      </c>
      <c r="P372" s="2" t="str">
        <f>IF(Source!$C372&gt;=COLUMNS($A372:P372), Source!$G372, "")</f>
        <v/>
      </c>
      <c r="Q372" s="2" t="str">
        <f>IF(Source!$C372&gt;=COLUMNS($A372:Q372), Source!$G372, "")</f>
        <v/>
      </c>
      <c r="R372" s="2" t="str">
        <f>IF(Source!$C372&gt;=COLUMNS($A372:R372), Source!$G372, "")</f>
        <v/>
      </c>
      <c r="S372" s="2" t="str">
        <f>IF(Source!$C372&gt;=COLUMNS($A372:S372), Source!$G372, "")</f>
        <v/>
      </c>
      <c r="T372" s="2" t="str">
        <f>IF(Source!$C372&gt;=COLUMNS($A372:T372), Source!$G372, "")</f>
        <v/>
      </c>
      <c r="U372" s="2" t="str">
        <f>IF(Source!$C372&gt;=COLUMNS($A372:U372), Source!$G372, "")</f>
        <v/>
      </c>
      <c r="V372" s="2" t="str">
        <f>IF(Source!$C372&gt;=COLUMNS($A372:V372), Source!$G372, "")</f>
        <v/>
      </c>
      <c r="W372" s="2" t="str">
        <f>IF(Source!$C372&gt;=COLUMNS($A372:W372), Source!$G372, "")</f>
        <v/>
      </c>
      <c r="X372" s="2" t="str">
        <f>IF(Source!$C372&gt;=COLUMNS($A372:X372), Source!$G372, "")</f>
        <v/>
      </c>
      <c r="Y372" s="2" t="str">
        <f>IF(Source!$C372&gt;=COLUMNS($A372:Y372), Source!$G372, "")</f>
        <v/>
      </c>
      <c r="Z372" s="2" t="str">
        <f>IF(Source!$C372&gt;=COLUMNS($A372:Z372), Source!$G372, "")</f>
        <v/>
      </c>
      <c r="AA372" s="2" t="str">
        <f>IF(Source!$C372&gt;=COLUMNS($A372:AA372), Source!$G372, "")</f>
        <v/>
      </c>
      <c r="AB372" s="2" t="str">
        <f>IF(Source!$C372&gt;=COLUMNS($A372:AB372), Source!$G372, "")</f>
        <v/>
      </c>
      <c r="AC372" s="2" t="str">
        <f>IF(Source!$C372&gt;=COLUMNS($A372:AC372), Source!$G372, "")</f>
        <v/>
      </c>
      <c r="AD372" s="2" t="str">
        <f>IF(Source!$C372&gt;=COLUMNS($A372:AD372), Source!$G372, "")</f>
        <v/>
      </c>
      <c r="AE372" s="2" t="str">
        <f>IF(Source!$C372&gt;=COLUMNS($A372:AE372), Source!$G372, "")</f>
        <v/>
      </c>
      <c r="AF372" s="2" t="str">
        <f>IF(Source!$C372&gt;=COLUMNS($A372:AF372), Source!$G372, "")</f>
        <v/>
      </c>
      <c r="AG372" s="2" t="str">
        <f>IF(Source!$C372&gt;=COLUMNS($A372:AG372), Source!$G372, "")</f>
        <v/>
      </c>
      <c r="AH372" s="2" t="str">
        <f>IF(Source!$C372&gt;=COLUMNS($A372:AH372), Source!$G372, "")</f>
        <v/>
      </c>
      <c r="AI372" s="2" t="str">
        <f>IF(Source!$C372&gt;=COLUMNS($A372:AI372), Source!$G372, "")</f>
        <v/>
      </c>
      <c r="AJ372" s="2" t="str">
        <f>IF(Source!$C372&gt;=COLUMNS($A372:AJ372), Source!$G372, "")</f>
        <v/>
      </c>
      <c r="AK372" s="2" t="str">
        <f>IF(Source!$C372&gt;=COLUMNS($A372:AK372), Source!$G372, "")</f>
        <v/>
      </c>
      <c r="AL372" s="2" t="str">
        <f>IF(Source!$C372&gt;=COLUMNS($A372:AL372), Source!$G372, "")</f>
        <v/>
      </c>
      <c r="AM372" s="2" t="str">
        <f>IF(Source!$C372&gt;=COLUMNS($A372:AM372), Source!$G372, "")</f>
        <v/>
      </c>
      <c r="AN372" s="2" t="str">
        <f>IF(Source!$C372&gt;=COLUMNS($A372:AN372), Source!$G372, "")</f>
        <v/>
      </c>
      <c r="AO372" s="2" t="str">
        <f>IF(Source!$C372&gt;=COLUMNS($A372:AO372), Source!$G372, "")</f>
        <v/>
      </c>
      <c r="AP372" s="2" t="str">
        <f>IF(Source!$C372&gt;=COLUMNS($A372:AP372), Source!$G372, "")</f>
        <v/>
      </c>
      <c r="AQ372" s="2" t="str">
        <f>IF(Source!$C372&gt;=COLUMNS($A372:AQ372), Source!$G372, "")</f>
        <v/>
      </c>
      <c r="AR372" s="2" t="str">
        <f>IF(Source!$C372&gt;=COLUMNS($A372:AR372), Source!$G372, "")</f>
        <v/>
      </c>
    </row>
    <row r="373">
      <c r="A373" s="2">
        <f>IF(Source!$C373&gt;=COLUMNS($A373:A373), Source!$G373, "")</f>
        <v>9</v>
      </c>
      <c r="B373" s="2">
        <f>IF(Source!$C373&gt;=COLUMNS($A373:B373), Source!$G373, "")</f>
        <v>9</v>
      </c>
      <c r="C373" s="2" t="str">
        <f>IF(Source!$C373&gt;=COLUMNS($A373:C373), Source!$G373, "")</f>
        <v/>
      </c>
      <c r="D373" s="2" t="str">
        <f>IF(Source!$C373&gt;=COLUMNS($A373:D373), Source!$G373, "")</f>
        <v/>
      </c>
      <c r="E373" s="2" t="str">
        <f>IF(Source!$C373&gt;=COLUMNS($A373:E373), Source!$G373, "")</f>
        <v/>
      </c>
      <c r="F373" s="2" t="str">
        <f>IF(Source!$C373&gt;=COLUMNS($A373:F373), Source!$G373, "")</f>
        <v/>
      </c>
      <c r="G373" s="2" t="str">
        <f>IF(Source!$C373&gt;=COLUMNS($A373:G373), Source!$G373, "")</f>
        <v/>
      </c>
      <c r="H373" s="2" t="str">
        <f>IF(Source!$C373&gt;=COLUMNS($A373:H373), Source!$G373, "")</f>
        <v/>
      </c>
      <c r="I373" s="2" t="str">
        <f>IF(Source!$C373&gt;=COLUMNS($A373:I373), Source!$G373, "")</f>
        <v/>
      </c>
      <c r="J373" s="2" t="str">
        <f>IF(Source!$C373&gt;=COLUMNS($A373:J373), Source!$G373, "")</f>
        <v/>
      </c>
      <c r="K373" s="2" t="str">
        <f>IF(Source!$C373&gt;=COLUMNS($A373:K373), Source!$G373, "")</f>
        <v/>
      </c>
      <c r="L373" s="2" t="str">
        <f>IF(Source!$C373&gt;=COLUMNS($A373:L373), Source!$G373, "")</f>
        <v/>
      </c>
      <c r="M373" s="2" t="str">
        <f>IF(Source!$C373&gt;=COLUMNS($A373:M373), Source!$G373, "")</f>
        <v/>
      </c>
      <c r="N373" s="2" t="str">
        <f>IF(Source!$C373&gt;=COLUMNS($A373:N373), Source!$G373, "")</f>
        <v/>
      </c>
      <c r="O373" s="2" t="str">
        <f>IF(Source!$C373&gt;=COLUMNS($A373:O373), Source!$G373, "")</f>
        <v/>
      </c>
      <c r="P373" s="2" t="str">
        <f>IF(Source!$C373&gt;=COLUMNS($A373:P373), Source!$G373, "")</f>
        <v/>
      </c>
      <c r="Q373" s="2" t="str">
        <f>IF(Source!$C373&gt;=COLUMNS($A373:Q373), Source!$G373, "")</f>
        <v/>
      </c>
      <c r="R373" s="2" t="str">
        <f>IF(Source!$C373&gt;=COLUMNS($A373:R373), Source!$G373, "")</f>
        <v/>
      </c>
      <c r="S373" s="2" t="str">
        <f>IF(Source!$C373&gt;=COLUMNS($A373:S373), Source!$G373, "")</f>
        <v/>
      </c>
      <c r="T373" s="2" t="str">
        <f>IF(Source!$C373&gt;=COLUMNS($A373:T373), Source!$G373, "")</f>
        <v/>
      </c>
      <c r="U373" s="2" t="str">
        <f>IF(Source!$C373&gt;=COLUMNS($A373:U373), Source!$G373, "")</f>
        <v/>
      </c>
      <c r="V373" s="2" t="str">
        <f>IF(Source!$C373&gt;=COLUMNS($A373:V373), Source!$G373, "")</f>
        <v/>
      </c>
      <c r="W373" s="2" t="str">
        <f>IF(Source!$C373&gt;=COLUMNS($A373:W373), Source!$G373, "")</f>
        <v/>
      </c>
      <c r="X373" s="2" t="str">
        <f>IF(Source!$C373&gt;=COLUMNS($A373:X373), Source!$G373, "")</f>
        <v/>
      </c>
      <c r="Y373" s="2" t="str">
        <f>IF(Source!$C373&gt;=COLUMNS($A373:Y373), Source!$G373, "")</f>
        <v/>
      </c>
      <c r="Z373" s="2" t="str">
        <f>IF(Source!$C373&gt;=COLUMNS($A373:Z373), Source!$G373, "")</f>
        <v/>
      </c>
      <c r="AA373" s="2" t="str">
        <f>IF(Source!$C373&gt;=COLUMNS($A373:AA373), Source!$G373, "")</f>
        <v/>
      </c>
      <c r="AB373" s="2" t="str">
        <f>IF(Source!$C373&gt;=COLUMNS($A373:AB373), Source!$G373, "")</f>
        <v/>
      </c>
      <c r="AC373" s="2" t="str">
        <f>IF(Source!$C373&gt;=COLUMNS($A373:AC373), Source!$G373, "")</f>
        <v/>
      </c>
      <c r="AD373" s="2" t="str">
        <f>IF(Source!$C373&gt;=COLUMNS($A373:AD373), Source!$G373, "")</f>
        <v/>
      </c>
      <c r="AE373" s="2" t="str">
        <f>IF(Source!$C373&gt;=COLUMNS($A373:AE373), Source!$G373, "")</f>
        <v/>
      </c>
      <c r="AF373" s="2" t="str">
        <f>IF(Source!$C373&gt;=COLUMNS($A373:AF373), Source!$G373, "")</f>
        <v/>
      </c>
      <c r="AG373" s="2" t="str">
        <f>IF(Source!$C373&gt;=COLUMNS($A373:AG373), Source!$G373, "")</f>
        <v/>
      </c>
      <c r="AH373" s="2" t="str">
        <f>IF(Source!$C373&gt;=COLUMNS($A373:AH373), Source!$G373, "")</f>
        <v/>
      </c>
      <c r="AI373" s="2" t="str">
        <f>IF(Source!$C373&gt;=COLUMNS($A373:AI373), Source!$G373, "")</f>
        <v/>
      </c>
      <c r="AJ373" s="2" t="str">
        <f>IF(Source!$C373&gt;=COLUMNS($A373:AJ373), Source!$G373, "")</f>
        <v/>
      </c>
      <c r="AK373" s="2" t="str">
        <f>IF(Source!$C373&gt;=COLUMNS($A373:AK373), Source!$G373, "")</f>
        <v/>
      </c>
      <c r="AL373" s="2" t="str">
        <f>IF(Source!$C373&gt;=COLUMNS($A373:AL373), Source!$G373, "")</f>
        <v/>
      </c>
      <c r="AM373" s="2" t="str">
        <f>IF(Source!$C373&gt;=COLUMNS($A373:AM373), Source!$G373, "")</f>
        <v/>
      </c>
      <c r="AN373" s="2" t="str">
        <f>IF(Source!$C373&gt;=COLUMNS($A373:AN373), Source!$G373, "")</f>
        <v/>
      </c>
      <c r="AO373" s="2" t="str">
        <f>IF(Source!$C373&gt;=COLUMNS($A373:AO373), Source!$G373, "")</f>
        <v/>
      </c>
      <c r="AP373" s="2" t="str">
        <f>IF(Source!$C373&gt;=COLUMNS($A373:AP373), Source!$G373, "")</f>
        <v/>
      </c>
      <c r="AQ373" s="2" t="str">
        <f>IF(Source!$C373&gt;=COLUMNS($A373:AQ373), Source!$G373, "")</f>
        <v/>
      </c>
      <c r="AR373" s="2" t="str">
        <f>IF(Source!$C373&gt;=COLUMNS($A373:AR373), Source!$G373, "")</f>
        <v/>
      </c>
    </row>
    <row r="374">
      <c r="A374" s="2">
        <f>IF(Source!$C374&gt;=COLUMNS($A374:A374), Source!$G374, "")</f>
        <v>7</v>
      </c>
      <c r="B374" s="2" t="str">
        <f>IF(Source!$C374&gt;=COLUMNS($A374:B374), Source!$G374, "")</f>
        <v/>
      </c>
      <c r="C374" s="2" t="str">
        <f>IF(Source!$C374&gt;=COLUMNS($A374:C374), Source!$G374, "")</f>
        <v/>
      </c>
      <c r="D374" s="2" t="str">
        <f>IF(Source!$C374&gt;=COLUMNS($A374:D374), Source!$G374, "")</f>
        <v/>
      </c>
      <c r="E374" s="2" t="str">
        <f>IF(Source!$C374&gt;=COLUMNS($A374:E374), Source!$G374, "")</f>
        <v/>
      </c>
      <c r="F374" s="2" t="str">
        <f>IF(Source!$C374&gt;=COLUMNS($A374:F374), Source!$G374, "")</f>
        <v/>
      </c>
      <c r="G374" s="2" t="str">
        <f>IF(Source!$C374&gt;=COLUMNS($A374:G374), Source!$G374, "")</f>
        <v/>
      </c>
      <c r="H374" s="2" t="str">
        <f>IF(Source!$C374&gt;=COLUMNS($A374:H374), Source!$G374, "")</f>
        <v/>
      </c>
      <c r="I374" s="2" t="str">
        <f>IF(Source!$C374&gt;=COLUMNS($A374:I374), Source!$G374, "")</f>
        <v/>
      </c>
      <c r="J374" s="2" t="str">
        <f>IF(Source!$C374&gt;=COLUMNS($A374:J374), Source!$G374, "")</f>
        <v/>
      </c>
      <c r="K374" s="2" t="str">
        <f>IF(Source!$C374&gt;=COLUMNS($A374:K374), Source!$G374, "")</f>
        <v/>
      </c>
      <c r="L374" s="2" t="str">
        <f>IF(Source!$C374&gt;=COLUMNS($A374:L374), Source!$G374, "")</f>
        <v/>
      </c>
      <c r="M374" s="2" t="str">
        <f>IF(Source!$C374&gt;=COLUMNS($A374:M374), Source!$G374, "")</f>
        <v/>
      </c>
      <c r="N374" s="2" t="str">
        <f>IF(Source!$C374&gt;=COLUMNS($A374:N374), Source!$G374, "")</f>
        <v/>
      </c>
      <c r="O374" s="2" t="str">
        <f>IF(Source!$C374&gt;=COLUMNS($A374:O374), Source!$G374, "")</f>
        <v/>
      </c>
      <c r="P374" s="2" t="str">
        <f>IF(Source!$C374&gt;=COLUMNS($A374:P374), Source!$G374, "")</f>
        <v/>
      </c>
      <c r="Q374" s="2" t="str">
        <f>IF(Source!$C374&gt;=COLUMNS($A374:Q374), Source!$G374, "")</f>
        <v/>
      </c>
      <c r="R374" s="2" t="str">
        <f>IF(Source!$C374&gt;=COLUMNS($A374:R374), Source!$G374, "")</f>
        <v/>
      </c>
      <c r="S374" s="2" t="str">
        <f>IF(Source!$C374&gt;=COLUMNS($A374:S374), Source!$G374, "")</f>
        <v/>
      </c>
      <c r="T374" s="2" t="str">
        <f>IF(Source!$C374&gt;=COLUMNS($A374:T374), Source!$G374, "")</f>
        <v/>
      </c>
      <c r="U374" s="2" t="str">
        <f>IF(Source!$C374&gt;=COLUMNS($A374:U374), Source!$G374, "")</f>
        <v/>
      </c>
      <c r="V374" s="2" t="str">
        <f>IF(Source!$C374&gt;=COLUMNS($A374:V374), Source!$G374, "")</f>
        <v/>
      </c>
      <c r="W374" s="2" t="str">
        <f>IF(Source!$C374&gt;=COLUMNS($A374:W374), Source!$G374, "")</f>
        <v/>
      </c>
      <c r="X374" s="2" t="str">
        <f>IF(Source!$C374&gt;=COLUMNS($A374:X374), Source!$G374, "")</f>
        <v/>
      </c>
      <c r="Y374" s="2" t="str">
        <f>IF(Source!$C374&gt;=COLUMNS($A374:Y374), Source!$G374, "")</f>
        <v/>
      </c>
      <c r="Z374" s="2" t="str">
        <f>IF(Source!$C374&gt;=COLUMNS($A374:Z374), Source!$G374, "")</f>
        <v/>
      </c>
      <c r="AA374" s="2" t="str">
        <f>IF(Source!$C374&gt;=COLUMNS($A374:AA374), Source!$G374, "")</f>
        <v/>
      </c>
      <c r="AB374" s="2" t="str">
        <f>IF(Source!$C374&gt;=COLUMNS($A374:AB374), Source!$G374, "")</f>
        <v/>
      </c>
      <c r="AC374" s="2" t="str">
        <f>IF(Source!$C374&gt;=COLUMNS($A374:AC374), Source!$G374, "")</f>
        <v/>
      </c>
      <c r="AD374" s="2" t="str">
        <f>IF(Source!$C374&gt;=COLUMNS($A374:AD374), Source!$G374, "")</f>
        <v/>
      </c>
      <c r="AE374" s="2" t="str">
        <f>IF(Source!$C374&gt;=COLUMNS($A374:AE374), Source!$G374, "")</f>
        <v/>
      </c>
      <c r="AF374" s="2" t="str">
        <f>IF(Source!$C374&gt;=COLUMNS($A374:AF374), Source!$G374, "")</f>
        <v/>
      </c>
      <c r="AG374" s="2" t="str">
        <f>IF(Source!$C374&gt;=COLUMNS($A374:AG374), Source!$G374, "")</f>
        <v/>
      </c>
      <c r="AH374" s="2" t="str">
        <f>IF(Source!$C374&gt;=COLUMNS($A374:AH374), Source!$G374, "")</f>
        <v/>
      </c>
      <c r="AI374" s="2" t="str">
        <f>IF(Source!$C374&gt;=COLUMNS($A374:AI374), Source!$G374, "")</f>
        <v/>
      </c>
      <c r="AJ374" s="2" t="str">
        <f>IF(Source!$C374&gt;=COLUMNS($A374:AJ374), Source!$G374, "")</f>
        <v/>
      </c>
      <c r="AK374" s="2" t="str">
        <f>IF(Source!$C374&gt;=COLUMNS($A374:AK374), Source!$G374, "")</f>
        <v/>
      </c>
      <c r="AL374" s="2" t="str">
        <f>IF(Source!$C374&gt;=COLUMNS($A374:AL374), Source!$G374, "")</f>
        <v/>
      </c>
      <c r="AM374" s="2" t="str">
        <f>IF(Source!$C374&gt;=COLUMNS($A374:AM374), Source!$G374, "")</f>
        <v/>
      </c>
      <c r="AN374" s="2" t="str">
        <f>IF(Source!$C374&gt;=COLUMNS($A374:AN374), Source!$G374, "")</f>
        <v/>
      </c>
      <c r="AO374" s="2" t="str">
        <f>IF(Source!$C374&gt;=COLUMNS($A374:AO374), Source!$G374, "")</f>
        <v/>
      </c>
      <c r="AP374" s="2" t="str">
        <f>IF(Source!$C374&gt;=COLUMNS($A374:AP374), Source!$G374, "")</f>
        <v/>
      </c>
      <c r="AQ374" s="2" t="str">
        <f>IF(Source!$C374&gt;=COLUMNS($A374:AQ374), Source!$G374, "")</f>
        <v/>
      </c>
      <c r="AR374" s="2" t="str">
        <f>IF(Source!$C374&gt;=COLUMNS($A374:AR374), Source!$G374, "")</f>
        <v/>
      </c>
    </row>
    <row r="375">
      <c r="A375" s="2">
        <f>IF(Source!$C375&gt;=COLUMNS($A375:A375), Source!$G375, "")</f>
        <v>2</v>
      </c>
      <c r="B375" s="2">
        <f>IF(Source!$C375&gt;=COLUMNS($A375:B375), Source!$G375, "")</f>
        <v>2</v>
      </c>
      <c r="C375" s="2">
        <f>IF(Source!$C375&gt;=COLUMNS($A375:C375), Source!$G375, "")</f>
        <v>2</v>
      </c>
      <c r="D375" s="2">
        <f>IF(Source!$C375&gt;=COLUMNS($A375:D375), Source!$G375, "")</f>
        <v>2</v>
      </c>
      <c r="E375" s="2">
        <f>IF(Source!$C375&gt;=COLUMNS($A375:E375), Source!$G375, "")</f>
        <v>2</v>
      </c>
      <c r="F375" s="2">
        <f>IF(Source!$C375&gt;=COLUMNS($A375:F375), Source!$G375, "")</f>
        <v>2</v>
      </c>
      <c r="G375" s="2">
        <f>IF(Source!$C375&gt;=COLUMNS($A375:G375), Source!$G375, "")</f>
        <v>2</v>
      </c>
      <c r="H375" s="2">
        <f>IF(Source!$C375&gt;=COLUMNS($A375:H375), Source!$G375, "")</f>
        <v>2</v>
      </c>
      <c r="I375" s="2">
        <f>IF(Source!$C375&gt;=COLUMNS($A375:I375), Source!$G375, "")</f>
        <v>2</v>
      </c>
      <c r="J375" s="2">
        <f>IF(Source!$C375&gt;=COLUMNS($A375:J375), Source!$G375, "")</f>
        <v>2</v>
      </c>
      <c r="K375" s="2">
        <f>IF(Source!$C375&gt;=COLUMNS($A375:K375), Source!$G375, "")</f>
        <v>2</v>
      </c>
      <c r="L375" s="2">
        <f>IF(Source!$C375&gt;=COLUMNS($A375:L375), Source!$G375, "")</f>
        <v>2</v>
      </c>
      <c r="M375" s="2">
        <f>IF(Source!$C375&gt;=COLUMNS($A375:M375), Source!$G375, "")</f>
        <v>2</v>
      </c>
      <c r="N375" s="2">
        <f>IF(Source!$C375&gt;=COLUMNS($A375:N375), Source!$G375, "")</f>
        <v>2</v>
      </c>
      <c r="O375" s="2">
        <f>IF(Source!$C375&gt;=COLUMNS($A375:O375), Source!$G375, "")</f>
        <v>2</v>
      </c>
      <c r="P375" s="2">
        <f>IF(Source!$C375&gt;=COLUMNS($A375:P375), Source!$G375, "")</f>
        <v>2</v>
      </c>
      <c r="Q375" s="2">
        <f>IF(Source!$C375&gt;=COLUMNS($A375:Q375), Source!$G375, "")</f>
        <v>2</v>
      </c>
      <c r="R375" s="2">
        <f>IF(Source!$C375&gt;=COLUMNS($A375:R375), Source!$G375, "")</f>
        <v>2</v>
      </c>
      <c r="S375" s="2">
        <f>IF(Source!$C375&gt;=COLUMNS($A375:S375), Source!$G375, "")</f>
        <v>2</v>
      </c>
      <c r="T375" s="2">
        <f>IF(Source!$C375&gt;=COLUMNS($A375:T375), Source!$G375, "")</f>
        <v>2</v>
      </c>
      <c r="U375" s="2">
        <f>IF(Source!$C375&gt;=COLUMNS($A375:U375), Source!$G375, "")</f>
        <v>2</v>
      </c>
      <c r="V375" s="2">
        <f>IF(Source!$C375&gt;=COLUMNS($A375:V375), Source!$G375, "")</f>
        <v>2</v>
      </c>
      <c r="W375" s="2">
        <f>IF(Source!$C375&gt;=COLUMNS($A375:W375), Source!$G375, "")</f>
        <v>2</v>
      </c>
      <c r="X375" s="2">
        <f>IF(Source!$C375&gt;=COLUMNS($A375:X375), Source!$G375, "")</f>
        <v>2</v>
      </c>
      <c r="Y375" s="2">
        <f>IF(Source!$C375&gt;=COLUMNS($A375:Y375), Source!$G375, "")</f>
        <v>2</v>
      </c>
      <c r="Z375" s="2" t="str">
        <f>IF(Source!$C375&gt;=COLUMNS($A375:Z375), Source!$G375, "")</f>
        <v/>
      </c>
      <c r="AA375" s="2" t="str">
        <f>IF(Source!$C375&gt;=COLUMNS($A375:AA375), Source!$G375, "")</f>
        <v/>
      </c>
      <c r="AB375" s="2" t="str">
        <f>IF(Source!$C375&gt;=COLUMNS($A375:AB375), Source!$G375, "")</f>
        <v/>
      </c>
      <c r="AC375" s="2" t="str">
        <f>IF(Source!$C375&gt;=COLUMNS($A375:AC375), Source!$G375, "")</f>
        <v/>
      </c>
      <c r="AD375" s="2" t="str">
        <f>IF(Source!$C375&gt;=COLUMNS($A375:AD375), Source!$G375, "")</f>
        <v/>
      </c>
      <c r="AE375" s="2" t="str">
        <f>IF(Source!$C375&gt;=COLUMNS($A375:AE375), Source!$G375, "")</f>
        <v/>
      </c>
      <c r="AF375" s="2" t="str">
        <f>IF(Source!$C375&gt;=COLUMNS($A375:AF375), Source!$G375, "")</f>
        <v/>
      </c>
      <c r="AG375" s="2" t="str">
        <f>IF(Source!$C375&gt;=COLUMNS($A375:AG375), Source!$G375, "")</f>
        <v/>
      </c>
      <c r="AH375" s="2" t="str">
        <f>IF(Source!$C375&gt;=COLUMNS($A375:AH375), Source!$G375, "")</f>
        <v/>
      </c>
      <c r="AI375" s="2" t="str">
        <f>IF(Source!$C375&gt;=COLUMNS($A375:AI375), Source!$G375, "")</f>
        <v/>
      </c>
      <c r="AJ375" s="2" t="str">
        <f>IF(Source!$C375&gt;=COLUMNS($A375:AJ375), Source!$G375, "")</f>
        <v/>
      </c>
      <c r="AK375" s="2" t="str">
        <f>IF(Source!$C375&gt;=COLUMNS($A375:AK375), Source!$G375, "")</f>
        <v/>
      </c>
      <c r="AL375" s="2" t="str">
        <f>IF(Source!$C375&gt;=COLUMNS($A375:AL375), Source!$G375, "")</f>
        <v/>
      </c>
      <c r="AM375" s="2" t="str">
        <f>IF(Source!$C375&gt;=COLUMNS($A375:AM375), Source!$G375, "")</f>
        <v/>
      </c>
      <c r="AN375" s="2" t="str">
        <f>IF(Source!$C375&gt;=COLUMNS($A375:AN375), Source!$G375, "")</f>
        <v/>
      </c>
      <c r="AO375" s="2" t="str">
        <f>IF(Source!$C375&gt;=COLUMNS($A375:AO375), Source!$G375, "")</f>
        <v/>
      </c>
      <c r="AP375" s="2" t="str">
        <f>IF(Source!$C375&gt;=COLUMNS($A375:AP375), Source!$G375, "")</f>
        <v/>
      </c>
      <c r="AQ375" s="2" t="str">
        <f>IF(Source!$C375&gt;=COLUMNS($A375:AQ375), Source!$G375, "")</f>
        <v/>
      </c>
      <c r="AR375" s="2" t="str">
        <f>IF(Source!$C375&gt;=COLUMNS($A375:AR375), Source!$G375, "")</f>
        <v/>
      </c>
    </row>
    <row r="376">
      <c r="A376" s="2">
        <f>IF(Source!$C376&gt;=COLUMNS($A376:A376), Source!$G376, "")</f>
        <v>1</v>
      </c>
      <c r="B376" s="2">
        <f>IF(Source!$C376&gt;=COLUMNS($A376:B376), Source!$G376, "")</f>
        <v>1</v>
      </c>
      <c r="C376" s="2">
        <f>IF(Source!$C376&gt;=COLUMNS($A376:C376), Source!$G376, "")</f>
        <v>1</v>
      </c>
      <c r="D376" s="2">
        <f>IF(Source!$C376&gt;=COLUMNS($A376:D376), Source!$G376, "")</f>
        <v>1</v>
      </c>
      <c r="E376" s="2">
        <f>IF(Source!$C376&gt;=COLUMNS($A376:E376), Source!$G376, "")</f>
        <v>1</v>
      </c>
      <c r="F376" s="2">
        <f>IF(Source!$C376&gt;=COLUMNS($A376:F376), Source!$G376, "")</f>
        <v>1</v>
      </c>
      <c r="G376" s="2">
        <f>IF(Source!$C376&gt;=COLUMNS($A376:G376), Source!$G376, "")</f>
        <v>1</v>
      </c>
      <c r="H376" s="2">
        <f>IF(Source!$C376&gt;=COLUMNS($A376:H376), Source!$G376, "")</f>
        <v>1</v>
      </c>
      <c r="I376" s="2">
        <f>IF(Source!$C376&gt;=COLUMNS($A376:I376), Source!$G376, "")</f>
        <v>1</v>
      </c>
      <c r="J376" s="2">
        <f>IF(Source!$C376&gt;=COLUMNS($A376:J376), Source!$G376, "")</f>
        <v>1</v>
      </c>
      <c r="K376" s="2" t="str">
        <f>IF(Source!$C376&gt;=COLUMNS($A376:K376), Source!$G376, "")</f>
        <v/>
      </c>
      <c r="L376" s="2" t="str">
        <f>IF(Source!$C376&gt;=COLUMNS($A376:L376), Source!$G376, "")</f>
        <v/>
      </c>
      <c r="M376" s="2" t="str">
        <f>IF(Source!$C376&gt;=COLUMNS($A376:M376), Source!$G376, "")</f>
        <v/>
      </c>
      <c r="N376" s="2" t="str">
        <f>IF(Source!$C376&gt;=COLUMNS($A376:N376), Source!$G376, "")</f>
        <v/>
      </c>
      <c r="O376" s="2" t="str">
        <f>IF(Source!$C376&gt;=COLUMNS($A376:O376), Source!$G376, "")</f>
        <v/>
      </c>
      <c r="P376" s="2" t="str">
        <f>IF(Source!$C376&gt;=COLUMNS($A376:P376), Source!$G376, "")</f>
        <v/>
      </c>
      <c r="Q376" s="2" t="str">
        <f>IF(Source!$C376&gt;=COLUMNS($A376:Q376), Source!$G376, "")</f>
        <v/>
      </c>
      <c r="R376" s="2" t="str">
        <f>IF(Source!$C376&gt;=COLUMNS($A376:R376), Source!$G376, "")</f>
        <v/>
      </c>
      <c r="S376" s="2" t="str">
        <f>IF(Source!$C376&gt;=COLUMNS($A376:S376), Source!$G376, "")</f>
        <v/>
      </c>
      <c r="T376" s="2" t="str">
        <f>IF(Source!$C376&gt;=COLUMNS($A376:T376), Source!$G376, "")</f>
        <v/>
      </c>
      <c r="U376" s="2" t="str">
        <f>IF(Source!$C376&gt;=COLUMNS($A376:U376), Source!$G376, "")</f>
        <v/>
      </c>
      <c r="V376" s="2" t="str">
        <f>IF(Source!$C376&gt;=COLUMNS($A376:V376), Source!$G376, "")</f>
        <v/>
      </c>
      <c r="W376" s="2" t="str">
        <f>IF(Source!$C376&gt;=COLUMNS($A376:W376), Source!$G376, "")</f>
        <v/>
      </c>
      <c r="X376" s="2" t="str">
        <f>IF(Source!$C376&gt;=COLUMNS($A376:X376), Source!$G376, "")</f>
        <v/>
      </c>
      <c r="Y376" s="2" t="str">
        <f>IF(Source!$C376&gt;=COLUMNS($A376:Y376), Source!$G376, "")</f>
        <v/>
      </c>
      <c r="Z376" s="2" t="str">
        <f>IF(Source!$C376&gt;=COLUMNS($A376:Z376), Source!$G376, "")</f>
        <v/>
      </c>
      <c r="AA376" s="2" t="str">
        <f>IF(Source!$C376&gt;=COLUMNS($A376:AA376), Source!$G376, "")</f>
        <v/>
      </c>
      <c r="AB376" s="2" t="str">
        <f>IF(Source!$C376&gt;=COLUMNS($A376:AB376), Source!$G376, "")</f>
        <v/>
      </c>
      <c r="AC376" s="2" t="str">
        <f>IF(Source!$C376&gt;=COLUMNS($A376:AC376), Source!$G376, "")</f>
        <v/>
      </c>
      <c r="AD376" s="2" t="str">
        <f>IF(Source!$C376&gt;=COLUMNS($A376:AD376), Source!$G376, "")</f>
        <v/>
      </c>
      <c r="AE376" s="2" t="str">
        <f>IF(Source!$C376&gt;=COLUMNS($A376:AE376), Source!$G376, "")</f>
        <v/>
      </c>
      <c r="AF376" s="2" t="str">
        <f>IF(Source!$C376&gt;=COLUMNS($A376:AF376), Source!$G376, "")</f>
        <v/>
      </c>
      <c r="AG376" s="2" t="str">
        <f>IF(Source!$C376&gt;=COLUMNS($A376:AG376), Source!$G376, "")</f>
        <v/>
      </c>
      <c r="AH376" s="2" t="str">
        <f>IF(Source!$C376&gt;=COLUMNS($A376:AH376), Source!$G376, "")</f>
        <v/>
      </c>
      <c r="AI376" s="2" t="str">
        <f>IF(Source!$C376&gt;=COLUMNS($A376:AI376), Source!$G376, "")</f>
        <v/>
      </c>
      <c r="AJ376" s="2" t="str">
        <f>IF(Source!$C376&gt;=COLUMNS($A376:AJ376), Source!$G376, "")</f>
        <v/>
      </c>
      <c r="AK376" s="2" t="str">
        <f>IF(Source!$C376&gt;=COLUMNS($A376:AK376), Source!$G376, "")</f>
        <v/>
      </c>
      <c r="AL376" s="2" t="str">
        <f>IF(Source!$C376&gt;=COLUMNS($A376:AL376), Source!$G376, "")</f>
        <v/>
      </c>
      <c r="AM376" s="2" t="str">
        <f>IF(Source!$C376&gt;=COLUMNS($A376:AM376), Source!$G376, "")</f>
        <v/>
      </c>
      <c r="AN376" s="2" t="str">
        <f>IF(Source!$C376&gt;=COLUMNS($A376:AN376), Source!$G376, "")</f>
        <v/>
      </c>
      <c r="AO376" s="2" t="str">
        <f>IF(Source!$C376&gt;=COLUMNS($A376:AO376), Source!$G376, "")</f>
        <v/>
      </c>
      <c r="AP376" s="2" t="str">
        <f>IF(Source!$C376&gt;=COLUMNS($A376:AP376), Source!$G376, "")</f>
        <v/>
      </c>
      <c r="AQ376" s="2" t="str">
        <f>IF(Source!$C376&gt;=COLUMNS($A376:AQ376), Source!$G376, "")</f>
        <v/>
      </c>
      <c r="AR376" s="2" t="str">
        <f>IF(Source!$C376&gt;=COLUMNS($A376:AR376), Source!$G376, "")</f>
        <v/>
      </c>
    </row>
    <row r="377">
      <c r="A377" s="2">
        <f>IF(Source!$C377&gt;=COLUMNS($A377:A377), Source!$G377, "")</f>
        <v>8</v>
      </c>
      <c r="B377" s="2" t="str">
        <f>IF(Source!$C377&gt;=COLUMNS($A377:B377), Source!$G377, "")</f>
        <v/>
      </c>
      <c r="C377" s="2" t="str">
        <f>IF(Source!$C377&gt;=COLUMNS($A377:C377), Source!$G377, "")</f>
        <v/>
      </c>
      <c r="D377" s="2" t="str">
        <f>IF(Source!$C377&gt;=COLUMNS($A377:D377), Source!$G377, "")</f>
        <v/>
      </c>
      <c r="E377" s="2" t="str">
        <f>IF(Source!$C377&gt;=COLUMNS($A377:E377), Source!$G377, "")</f>
        <v/>
      </c>
      <c r="F377" s="2" t="str">
        <f>IF(Source!$C377&gt;=COLUMNS($A377:F377), Source!$G377, "")</f>
        <v/>
      </c>
      <c r="G377" s="2" t="str">
        <f>IF(Source!$C377&gt;=COLUMNS($A377:G377), Source!$G377, "")</f>
        <v/>
      </c>
      <c r="H377" s="2" t="str">
        <f>IF(Source!$C377&gt;=COLUMNS($A377:H377), Source!$G377, "")</f>
        <v/>
      </c>
      <c r="I377" s="2" t="str">
        <f>IF(Source!$C377&gt;=COLUMNS($A377:I377), Source!$G377, "")</f>
        <v/>
      </c>
      <c r="J377" s="2" t="str">
        <f>IF(Source!$C377&gt;=COLUMNS($A377:J377), Source!$G377, "")</f>
        <v/>
      </c>
      <c r="K377" s="2" t="str">
        <f>IF(Source!$C377&gt;=COLUMNS($A377:K377), Source!$G377, "")</f>
        <v/>
      </c>
      <c r="L377" s="2" t="str">
        <f>IF(Source!$C377&gt;=COLUMNS($A377:L377), Source!$G377, "")</f>
        <v/>
      </c>
      <c r="M377" s="2" t="str">
        <f>IF(Source!$C377&gt;=COLUMNS($A377:M377), Source!$G377, "")</f>
        <v/>
      </c>
      <c r="N377" s="2" t="str">
        <f>IF(Source!$C377&gt;=COLUMNS($A377:N377), Source!$G377, "")</f>
        <v/>
      </c>
      <c r="O377" s="2" t="str">
        <f>IF(Source!$C377&gt;=COLUMNS($A377:O377), Source!$G377, "")</f>
        <v/>
      </c>
      <c r="P377" s="2" t="str">
        <f>IF(Source!$C377&gt;=COLUMNS($A377:P377), Source!$G377, "")</f>
        <v/>
      </c>
      <c r="Q377" s="2" t="str">
        <f>IF(Source!$C377&gt;=COLUMNS($A377:Q377), Source!$G377, "")</f>
        <v/>
      </c>
      <c r="R377" s="2" t="str">
        <f>IF(Source!$C377&gt;=COLUMNS($A377:R377), Source!$G377, "")</f>
        <v/>
      </c>
      <c r="S377" s="2" t="str">
        <f>IF(Source!$C377&gt;=COLUMNS($A377:S377), Source!$G377, "")</f>
        <v/>
      </c>
      <c r="T377" s="2" t="str">
        <f>IF(Source!$C377&gt;=COLUMNS($A377:T377), Source!$G377, "")</f>
        <v/>
      </c>
      <c r="U377" s="2" t="str">
        <f>IF(Source!$C377&gt;=COLUMNS($A377:U377), Source!$G377, "")</f>
        <v/>
      </c>
      <c r="V377" s="2" t="str">
        <f>IF(Source!$C377&gt;=COLUMNS($A377:V377), Source!$G377, "")</f>
        <v/>
      </c>
      <c r="W377" s="2" t="str">
        <f>IF(Source!$C377&gt;=COLUMNS($A377:W377), Source!$G377, "")</f>
        <v/>
      </c>
      <c r="X377" s="2" t="str">
        <f>IF(Source!$C377&gt;=COLUMNS($A377:X377), Source!$G377, "")</f>
        <v/>
      </c>
      <c r="Y377" s="2" t="str">
        <f>IF(Source!$C377&gt;=COLUMNS($A377:Y377), Source!$G377, "")</f>
        <v/>
      </c>
      <c r="Z377" s="2" t="str">
        <f>IF(Source!$C377&gt;=COLUMNS($A377:Z377), Source!$G377, "")</f>
        <v/>
      </c>
      <c r="AA377" s="2" t="str">
        <f>IF(Source!$C377&gt;=COLUMNS($A377:AA377), Source!$G377, "")</f>
        <v/>
      </c>
      <c r="AB377" s="2" t="str">
        <f>IF(Source!$C377&gt;=COLUMNS($A377:AB377), Source!$G377, "")</f>
        <v/>
      </c>
      <c r="AC377" s="2" t="str">
        <f>IF(Source!$C377&gt;=COLUMNS($A377:AC377), Source!$G377, "")</f>
        <v/>
      </c>
      <c r="AD377" s="2" t="str">
        <f>IF(Source!$C377&gt;=COLUMNS($A377:AD377), Source!$G377, "")</f>
        <v/>
      </c>
      <c r="AE377" s="2" t="str">
        <f>IF(Source!$C377&gt;=COLUMNS($A377:AE377), Source!$G377, "")</f>
        <v/>
      </c>
      <c r="AF377" s="2" t="str">
        <f>IF(Source!$C377&gt;=COLUMNS($A377:AF377), Source!$G377, "")</f>
        <v/>
      </c>
      <c r="AG377" s="2" t="str">
        <f>IF(Source!$C377&gt;=COLUMNS($A377:AG377), Source!$G377, "")</f>
        <v/>
      </c>
      <c r="AH377" s="2" t="str">
        <f>IF(Source!$C377&gt;=COLUMNS($A377:AH377), Source!$G377, "")</f>
        <v/>
      </c>
      <c r="AI377" s="2" t="str">
        <f>IF(Source!$C377&gt;=COLUMNS($A377:AI377), Source!$G377, "")</f>
        <v/>
      </c>
      <c r="AJ377" s="2" t="str">
        <f>IF(Source!$C377&gt;=COLUMNS($A377:AJ377), Source!$G377, "")</f>
        <v/>
      </c>
      <c r="AK377" s="2" t="str">
        <f>IF(Source!$C377&gt;=COLUMNS($A377:AK377), Source!$G377, "")</f>
        <v/>
      </c>
      <c r="AL377" s="2" t="str">
        <f>IF(Source!$C377&gt;=COLUMNS($A377:AL377), Source!$G377, "")</f>
        <v/>
      </c>
      <c r="AM377" s="2" t="str">
        <f>IF(Source!$C377&gt;=COLUMNS($A377:AM377), Source!$G377, "")</f>
        <v/>
      </c>
      <c r="AN377" s="2" t="str">
        <f>IF(Source!$C377&gt;=COLUMNS($A377:AN377), Source!$G377, "")</f>
        <v/>
      </c>
      <c r="AO377" s="2" t="str">
        <f>IF(Source!$C377&gt;=COLUMNS($A377:AO377), Source!$G377, "")</f>
        <v/>
      </c>
      <c r="AP377" s="2" t="str">
        <f>IF(Source!$C377&gt;=COLUMNS($A377:AP377), Source!$G377, "")</f>
        <v/>
      </c>
      <c r="AQ377" s="2" t="str">
        <f>IF(Source!$C377&gt;=COLUMNS($A377:AQ377), Source!$G377, "")</f>
        <v/>
      </c>
      <c r="AR377" s="2" t="str">
        <f>IF(Source!$C377&gt;=COLUMNS($A377:AR377), Source!$G377, "")</f>
        <v/>
      </c>
    </row>
    <row r="378">
      <c r="A378" s="2">
        <f>IF(Source!$C378&gt;=COLUMNS($A378:A378), Source!$G378, "")</f>
        <v>1</v>
      </c>
      <c r="B378" s="2">
        <f>IF(Source!$C378&gt;=COLUMNS($A378:B378), Source!$G378, "")</f>
        <v>1</v>
      </c>
      <c r="C378" s="2" t="str">
        <f>IF(Source!$C378&gt;=COLUMNS($A378:C378), Source!$G378, "")</f>
        <v/>
      </c>
      <c r="D378" s="2" t="str">
        <f>IF(Source!$C378&gt;=COLUMNS($A378:D378), Source!$G378, "")</f>
        <v/>
      </c>
      <c r="E378" s="2" t="str">
        <f>IF(Source!$C378&gt;=COLUMNS($A378:E378), Source!$G378, "")</f>
        <v/>
      </c>
      <c r="F378" s="2" t="str">
        <f>IF(Source!$C378&gt;=COLUMNS($A378:F378), Source!$G378, "")</f>
        <v/>
      </c>
      <c r="G378" s="2" t="str">
        <f>IF(Source!$C378&gt;=COLUMNS($A378:G378), Source!$G378, "")</f>
        <v/>
      </c>
      <c r="H378" s="2" t="str">
        <f>IF(Source!$C378&gt;=COLUMNS($A378:H378), Source!$G378, "")</f>
        <v/>
      </c>
      <c r="I378" s="2" t="str">
        <f>IF(Source!$C378&gt;=COLUMNS($A378:I378), Source!$G378, "")</f>
        <v/>
      </c>
      <c r="J378" s="2" t="str">
        <f>IF(Source!$C378&gt;=COLUMNS($A378:J378), Source!$G378, "")</f>
        <v/>
      </c>
      <c r="K378" s="2" t="str">
        <f>IF(Source!$C378&gt;=COLUMNS($A378:K378), Source!$G378, "")</f>
        <v/>
      </c>
      <c r="L378" s="2" t="str">
        <f>IF(Source!$C378&gt;=COLUMNS($A378:L378), Source!$G378, "")</f>
        <v/>
      </c>
      <c r="M378" s="2" t="str">
        <f>IF(Source!$C378&gt;=COLUMNS($A378:M378), Source!$G378, "")</f>
        <v/>
      </c>
      <c r="N378" s="2" t="str">
        <f>IF(Source!$C378&gt;=COLUMNS($A378:N378), Source!$G378, "")</f>
        <v/>
      </c>
      <c r="O378" s="2" t="str">
        <f>IF(Source!$C378&gt;=COLUMNS($A378:O378), Source!$G378, "")</f>
        <v/>
      </c>
      <c r="P378" s="2" t="str">
        <f>IF(Source!$C378&gt;=COLUMNS($A378:P378), Source!$G378, "")</f>
        <v/>
      </c>
      <c r="Q378" s="2" t="str">
        <f>IF(Source!$C378&gt;=COLUMNS($A378:Q378), Source!$G378, "")</f>
        <v/>
      </c>
      <c r="R378" s="2" t="str">
        <f>IF(Source!$C378&gt;=COLUMNS($A378:R378), Source!$G378, "")</f>
        <v/>
      </c>
      <c r="S378" s="2" t="str">
        <f>IF(Source!$C378&gt;=COLUMNS($A378:S378), Source!$G378, "")</f>
        <v/>
      </c>
      <c r="T378" s="2" t="str">
        <f>IF(Source!$C378&gt;=COLUMNS($A378:T378), Source!$G378, "")</f>
        <v/>
      </c>
      <c r="U378" s="2" t="str">
        <f>IF(Source!$C378&gt;=COLUMNS($A378:U378), Source!$G378, "")</f>
        <v/>
      </c>
      <c r="V378" s="2" t="str">
        <f>IF(Source!$C378&gt;=COLUMNS($A378:V378), Source!$G378, "")</f>
        <v/>
      </c>
      <c r="W378" s="2" t="str">
        <f>IF(Source!$C378&gt;=COLUMNS($A378:W378), Source!$G378, "")</f>
        <v/>
      </c>
      <c r="X378" s="2" t="str">
        <f>IF(Source!$C378&gt;=COLUMNS($A378:X378), Source!$G378, "")</f>
        <v/>
      </c>
      <c r="Y378" s="2" t="str">
        <f>IF(Source!$C378&gt;=COLUMNS($A378:Y378), Source!$G378, "")</f>
        <v/>
      </c>
      <c r="Z378" s="2" t="str">
        <f>IF(Source!$C378&gt;=COLUMNS($A378:Z378), Source!$G378, "")</f>
        <v/>
      </c>
      <c r="AA378" s="2" t="str">
        <f>IF(Source!$C378&gt;=COLUMNS($A378:AA378), Source!$G378, "")</f>
        <v/>
      </c>
      <c r="AB378" s="2" t="str">
        <f>IF(Source!$C378&gt;=COLUMNS($A378:AB378), Source!$G378, "")</f>
        <v/>
      </c>
      <c r="AC378" s="2" t="str">
        <f>IF(Source!$C378&gt;=COLUMNS($A378:AC378), Source!$G378, "")</f>
        <v/>
      </c>
      <c r="AD378" s="2" t="str">
        <f>IF(Source!$C378&gt;=COLUMNS($A378:AD378), Source!$G378, "")</f>
        <v/>
      </c>
      <c r="AE378" s="2" t="str">
        <f>IF(Source!$C378&gt;=COLUMNS($A378:AE378), Source!$G378, "")</f>
        <v/>
      </c>
      <c r="AF378" s="2" t="str">
        <f>IF(Source!$C378&gt;=COLUMNS($A378:AF378), Source!$G378, "")</f>
        <v/>
      </c>
      <c r="AG378" s="2" t="str">
        <f>IF(Source!$C378&gt;=COLUMNS($A378:AG378), Source!$G378, "")</f>
        <v/>
      </c>
      <c r="AH378" s="2" t="str">
        <f>IF(Source!$C378&gt;=COLUMNS($A378:AH378), Source!$G378, "")</f>
        <v/>
      </c>
      <c r="AI378" s="2" t="str">
        <f>IF(Source!$C378&gt;=COLUMNS($A378:AI378), Source!$G378, "")</f>
        <v/>
      </c>
      <c r="AJ378" s="2" t="str">
        <f>IF(Source!$C378&gt;=COLUMNS($A378:AJ378), Source!$G378, "")</f>
        <v/>
      </c>
      <c r="AK378" s="2" t="str">
        <f>IF(Source!$C378&gt;=COLUMNS($A378:AK378), Source!$G378, "")</f>
        <v/>
      </c>
      <c r="AL378" s="2" t="str">
        <f>IF(Source!$C378&gt;=COLUMNS($A378:AL378), Source!$G378, "")</f>
        <v/>
      </c>
      <c r="AM378" s="2" t="str">
        <f>IF(Source!$C378&gt;=COLUMNS($A378:AM378), Source!$G378, "")</f>
        <v/>
      </c>
      <c r="AN378" s="2" t="str">
        <f>IF(Source!$C378&gt;=COLUMNS($A378:AN378), Source!$G378, "")</f>
        <v/>
      </c>
      <c r="AO378" s="2" t="str">
        <f>IF(Source!$C378&gt;=COLUMNS($A378:AO378), Source!$G378, "")</f>
        <v/>
      </c>
      <c r="AP378" s="2" t="str">
        <f>IF(Source!$C378&gt;=COLUMNS($A378:AP378), Source!$G378, "")</f>
        <v/>
      </c>
      <c r="AQ378" s="2" t="str">
        <f>IF(Source!$C378&gt;=COLUMNS($A378:AQ378), Source!$G378, "")</f>
        <v/>
      </c>
      <c r="AR378" s="2" t="str">
        <f>IF(Source!$C378&gt;=COLUMNS($A378:AR378), Source!$G378, "")</f>
        <v/>
      </c>
    </row>
    <row r="379">
      <c r="A379" s="2">
        <f>IF(Source!$C379&gt;=COLUMNS($A379:A379), Source!$G379, "")</f>
        <v>9</v>
      </c>
      <c r="B379" s="2">
        <f>IF(Source!$C379&gt;=COLUMNS($A379:B379), Source!$G379, "")</f>
        <v>9</v>
      </c>
      <c r="C379" s="2" t="str">
        <f>IF(Source!$C379&gt;=COLUMNS($A379:C379), Source!$G379, "")</f>
        <v/>
      </c>
      <c r="D379" s="2" t="str">
        <f>IF(Source!$C379&gt;=COLUMNS($A379:D379), Source!$G379, "")</f>
        <v/>
      </c>
      <c r="E379" s="2" t="str">
        <f>IF(Source!$C379&gt;=COLUMNS($A379:E379), Source!$G379, "")</f>
        <v/>
      </c>
      <c r="F379" s="2" t="str">
        <f>IF(Source!$C379&gt;=COLUMNS($A379:F379), Source!$G379, "")</f>
        <v/>
      </c>
      <c r="G379" s="2" t="str">
        <f>IF(Source!$C379&gt;=COLUMNS($A379:G379), Source!$G379, "")</f>
        <v/>
      </c>
      <c r="H379" s="2" t="str">
        <f>IF(Source!$C379&gt;=COLUMNS($A379:H379), Source!$G379, "")</f>
        <v/>
      </c>
      <c r="I379" s="2" t="str">
        <f>IF(Source!$C379&gt;=COLUMNS($A379:I379), Source!$G379, "")</f>
        <v/>
      </c>
      <c r="J379" s="2" t="str">
        <f>IF(Source!$C379&gt;=COLUMNS($A379:J379), Source!$G379, "")</f>
        <v/>
      </c>
      <c r="K379" s="2" t="str">
        <f>IF(Source!$C379&gt;=COLUMNS($A379:K379), Source!$G379, "")</f>
        <v/>
      </c>
      <c r="L379" s="2" t="str">
        <f>IF(Source!$C379&gt;=COLUMNS($A379:L379), Source!$G379, "")</f>
        <v/>
      </c>
      <c r="M379" s="2" t="str">
        <f>IF(Source!$C379&gt;=COLUMNS($A379:M379), Source!$G379, "")</f>
        <v/>
      </c>
      <c r="N379" s="2" t="str">
        <f>IF(Source!$C379&gt;=COLUMNS($A379:N379), Source!$G379, "")</f>
        <v/>
      </c>
      <c r="O379" s="2" t="str">
        <f>IF(Source!$C379&gt;=COLUMNS($A379:O379), Source!$G379, "")</f>
        <v/>
      </c>
      <c r="P379" s="2" t="str">
        <f>IF(Source!$C379&gt;=COLUMNS($A379:P379), Source!$G379, "")</f>
        <v/>
      </c>
      <c r="Q379" s="2" t="str">
        <f>IF(Source!$C379&gt;=COLUMNS($A379:Q379), Source!$G379, "")</f>
        <v/>
      </c>
      <c r="R379" s="2" t="str">
        <f>IF(Source!$C379&gt;=COLUMNS($A379:R379), Source!$G379, "")</f>
        <v/>
      </c>
      <c r="S379" s="2" t="str">
        <f>IF(Source!$C379&gt;=COLUMNS($A379:S379), Source!$G379, "")</f>
        <v/>
      </c>
      <c r="T379" s="2" t="str">
        <f>IF(Source!$C379&gt;=COLUMNS($A379:T379), Source!$G379, "")</f>
        <v/>
      </c>
      <c r="U379" s="2" t="str">
        <f>IF(Source!$C379&gt;=COLUMNS($A379:U379), Source!$G379, "")</f>
        <v/>
      </c>
      <c r="V379" s="2" t="str">
        <f>IF(Source!$C379&gt;=COLUMNS($A379:V379), Source!$G379, "")</f>
        <v/>
      </c>
      <c r="W379" s="2" t="str">
        <f>IF(Source!$C379&gt;=COLUMNS($A379:W379), Source!$G379, "")</f>
        <v/>
      </c>
      <c r="X379" s="2" t="str">
        <f>IF(Source!$C379&gt;=COLUMNS($A379:X379), Source!$G379, "")</f>
        <v/>
      </c>
      <c r="Y379" s="2" t="str">
        <f>IF(Source!$C379&gt;=COLUMNS($A379:Y379), Source!$G379, "")</f>
        <v/>
      </c>
      <c r="Z379" s="2" t="str">
        <f>IF(Source!$C379&gt;=COLUMNS($A379:Z379), Source!$G379, "")</f>
        <v/>
      </c>
      <c r="AA379" s="2" t="str">
        <f>IF(Source!$C379&gt;=COLUMNS($A379:AA379), Source!$G379, "")</f>
        <v/>
      </c>
      <c r="AB379" s="2" t="str">
        <f>IF(Source!$C379&gt;=COLUMNS($A379:AB379), Source!$G379, "")</f>
        <v/>
      </c>
      <c r="AC379" s="2" t="str">
        <f>IF(Source!$C379&gt;=COLUMNS($A379:AC379), Source!$G379, "")</f>
        <v/>
      </c>
      <c r="AD379" s="2" t="str">
        <f>IF(Source!$C379&gt;=COLUMNS($A379:AD379), Source!$G379, "")</f>
        <v/>
      </c>
      <c r="AE379" s="2" t="str">
        <f>IF(Source!$C379&gt;=COLUMNS($A379:AE379), Source!$G379, "")</f>
        <v/>
      </c>
      <c r="AF379" s="2" t="str">
        <f>IF(Source!$C379&gt;=COLUMNS($A379:AF379), Source!$G379, "")</f>
        <v/>
      </c>
      <c r="AG379" s="2" t="str">
        <f>IF(Source!$C379&gt;=COLUMNS($A379:AG379), Source!$G379, "")</f>
        <v/>
      </c>
      <c r="AH379" s="2" t="str">
        <f>IF(Source!$C379&gt;=COLUMNS($A379:AH379), Source!$G379, "")</f>
        <v/>
      </c>
      <c r="AI379" s="2" t="str">
        <f>IF(Source!$C379&gt;=COLUMNS($A379:AI379), Source!$G379, "")</f>
        <v/>
      </c>
      <c r="AJ379" s="2" t="str">
        <f>IF(Source!$C379&gt;=COLUMNS($A379:AJ379), Source!$G379, "")</f>
        <v/>
      </c>
      <c r="AK379" s="2" t="str">
        <f>IF(Source!$C379&gt;=COLUMNS($A379:AK379), Source!$G379, "")</f>
        <v/>
      </c>
      <c r="AL379" s="2" t="str">
        <f>IF(Source!$C379&gt;=COLUMNS($A379:AL379), Source!$G379, "")</f>
        <v/>
      </c>
      <c r="AM379" s="2" t="str">
        <f>IF(Source!$C379&gt;=COLUMNS($A379:AM379), Source!$G379, "")</f>
        <v/>
      </c>
      <c r="AN379" s="2" t="str">
        <f>IF(Source!$C379&gt;=COLUMNS($A379:AN379), Source!$G379, "")</f>
        <v/>
      </c>
      <c r="AO379" s="2" t="str">
        <f>IF(Source!$C379&gt;=COLUMNS($A379:AO379), Source!$G379, "")</f>
        <v/>
      </c>
      <c r="AP379" s="2" t="str">
        <f>IF(Source!$C379&gt;=COLUMNS($A379:AP379), Source!$G379, "")</f>
        <v/>
      </c>
      <c r="AQ379" s="2" t="str">
        <f>IF(Source!$C379&gt;=COLUMNS($A379:AQ379), Source!$G379, "")</f>
        <v/>
      </c>
      <c r="AR379" s="2" t="str">
        <f>IF(Source!$C379&gt;=COLUMNS($A379:AR379), Source!$G379, "")</f>
        <v/>
      </c>
    </row>
    <row r="380">
      <c r="A380" s="2">
        <f>IF(Source!$C380&gt;=COLUMNS($A380:A380), Source!$G380, "")</f>
        <v>6</v>
      </c>
      <c r="B380" s="2" t="str">
        <f>IF(Source!$C380&gt;=COLUMNS($A380:B380), Source!$G380, "")</f>
        <v/>
      </c>
      <c r="C380" s="2" t="str">
        <f>IF(Source!$C380&gt;=COLUMNS($A380:C380), Source!$G380, "")</f>
        <v/>
      </c>
      <c r="D380" s="2" t="str">
        <f>IF(Source!$C380&gt;=COLUMNS($A380:D380), Source!$G380, "")</f>
        <v/>
      </c>
      <c r="E380" s="2" t="str">
        <f>IF(Source!$C380&gt;=COLUMNS($A380:E380), Source!$G380, "")</f>
        <v/>
      </c>
      <c r="F380" s="2" t="str">
        <f>IF(Source!$C380&gt;=COLUMNS($A380:F380), Source!$G380, "")</f>
        <v/>
      </c>
      <c r="G380" s="2" t="str">
        <f>IF(Source!$C380&gt;=COLUMNS($A380:G380), Source!$G380, "")</f>
        <v/>
      </c>
      <c r="H380" s="2" t="str">
        <f>IF(Source!$C380&gt;=COLUMNS($A380:H380), Source!$G380, "")</f>
        <v/>
      </c>
      <c r="I380" s="2" t="str">
        <f>IF(Source!$C380&gt;=COLUMNS($A380:I380), Source!$G380, "")</f>
        <v/>
      </c>
      <c r="J380" s="2" t="str">
        <f>IF(Source!$C380&gt;=COLUMNS($A380:J380), Source!$G380, "")</f>
        <v/>
      </c>
      <c r="K380" s="2" t="str">
        <f>IF(Source!$C380&gt;=COLUMNS($A380:K380), Source!$G380, "")</f>
        <v/>
      </c>
      <c r="L380" s="2" t="str">
        <f>IF(Source!$C380&gt;=COLUMNS($A380:L380), Source!$G380, "")</f>
        <v/>
      </c>
      <c r="M380" s="2" t="str">
        <f>IF(Source!$C380&gt;=COLUMNS($A380:M380), Source!$G380, "")</f>
        <v/>
      </c>
      <c r="N380" s="2" t="str">
        <f>IF(Source!$C380&gt;=COLUMNS($A380:N380), Source!$G380, "")</f>
        <v/>
      </c>
      <c r="O380" s="2" t="str">
        <f>IF(Source!$C380&gt;=COLUMNS($A380:O380), Source!$G380, "")</f>
        <v/>
      </c>
      <c r="P380" s="2" t="str">
        <f>IF(Source!$C380&gt;=COLUMNS($A380:P380), Source!$G380, "")</f>
        <v/>
      </c>
      <c r="Q380" s="2" t="str">
        <f>IF(Source!$C380&gt;=COLUMNS($A380:Q380), Source!$G380, "")</f>
        <v/>
      </c>
      <c r="R380" s="2" t="str">
        <f>IF(Source!$C380&gt;=COLUMNS($A380:R380), Source!$G380, "")</f>
        <v/>
      </c>
      <c r="S380" s="2" t="str">
        <f>IF(Source!$C380&gt;=COLUMNS($A380:S380), Source!$G380, "")</f>
        <v/>
      </c>
      <c r="T380" s="2" t="str">
        <f>IF(Source!$C380&gt;=COLUMNS($A380:T380), Source!$G380, "")</f>
        <v/>
      </c>
      <c r="U380" s="2" t="str">
        <f>IF(Source!$C380&gt;=COLUMNS($A380:U380), Source!$G380, "")</f>
        <v/>
      </c>
      <c r="V380" s="2" t="str">
        <f>IF(Source!$C380&gt;=COLUMNS($A380:V380), Source!$G380, "")</f>
        <v/>
      </c>
      <c r="W380" s="2" t="str">
        <f>IF(Source!$C380&gt;=COLUMNS($A380:W380), Source!$G380, "")</f>
        <v/>
      </c>
      <c r="X380" s="2" t="str">
        <f>IF(Source!$C380&gt;=COLUMNS($A380:X380), Source!$G380, "")</f>
        <v/>
      </c>
      <c r="Y380" s="2" t="str">
        <f>IF(Source!$C380&gt;=COLUMNS($A380:Y380), Source!$G380, "")</f>
        <v/>
      </c>
      <c r="Z380" s="2" t="str">
        <f>IF(Source!$C380&gt;=COLUMNS($A380:Z380), Source!$G380, "")</f>
        <v/>
      </c>
      <c r="AA380" s="2" t="str">
        <f>IF(Source!$C380&gt;=COLUMNS($A380:AA380), Source!$G380, "")</f>
        <v/>
      </c>
      <c r="AB380" s="2" t="str">
        <f>IF(Source!$C380&gt;=COLUMNS($A380:AB380), Source!$G380, "")</f>
        <v/>
      </c>
      <c r="AC380" s="2" t="str">
        <f>IF(Source!$C380&gt;=COLUMNS($A380:AC380), Source!$G380, "")</f>
        <v/>
      </c>
      <c r="AD380" s="2" t="str">
        <f>IF(Source!$C380&gt;=COLUMNS($A380:AD380), Source!$G380, "")</f>
        <v/>
      </c>
      <c r="AE380" s="2" t="str">
        <f>IF(Source!$C380&gt;=COLUMNS($A380:AE380), Source!$G380, "")</f>
        <v/>
      </c>
      <c r="AF380" s="2" t="str">
        <f>IF(Source!$C380&gt;=COLUMNS($A380:AF380), Source!$G380, "")</f>
        <v/>
      </c>
      <c r="AG380" s="2" t="str">
        <f>IF(Source!$C380&gt;=COLUMNS($A380:AG380), Source!$G380, "")</f>
        <v/>
      </c>
      <c r="AH380" s="2" t="str">
        <f>IF(Source!$C380&gt;=COLUMNS($A380:AH380), Source!$G380, "")</f>
        <v/>
      </c>
      <c r="AI380" s="2" t="str">
        <f>IF(Source!$C380&gt;=COLUMNS($A380:AI380), Source!$G380, "")</f>
        <v/>
      </c>
      <c r="AJ380" s="2" t="str">
        <f>IF(Source!$C380&gt;=COLUMNS($A380:AJ380), Source!$G380, "")</f>
        <v/>
      </c>
      <c r="AK380" s="2" t="str">
        <f>IF(Source!$C380&gt;=COLUMNS($A380:AK380), Source!$G380, "")</f>
        <v/>
      </c>
      <c r="AL380" s="2" t="str">
        <f>IF(Source!$C380&gt;=COLUMNS($A380:AL380), Source!$G380, "")</f>
        <v/>
      </c>
      <c r="AM380" s="2" t="str">
        <f>IF(Source!$C380&gt;=COLUMNS($A380:AM380), Source!$G380, "")</f>
        <v/>
      </c>
      <c r="AN380" s="2" t="str">
        <f>IF(Source!$C380&gt;=COLUMNS($A380:AN380), Source!$G380, "")</f>
        <v/>
      </c>
      <c r="AO380" s="2" t="str">
        <f>IF(Source!$C380&gt;=COLUMNS($A380:AO380), Source!$G380, "")</f>
        <v/>
      </c>
      <c r="AP380" s="2" t="str">
        <f>IF(Source!$C380&gt;=COLUMNS($A380:AP380), Source!$G380, "")</f>
        <v/>
      </c>
      <c r="AQ380" s="2" t="str">
        <f>IF(Source!$C380&gt;=COLUMNS($A380:AQ380), Source!$G380, "")</f>
        <v/>
      </c>
      <c r="AR380" s="2" t="str">
        <f>IF(Source!$C380&gt;=COLUMNS($A380:AR380), Source!$G380, "")</f>
        <v/>
      </c>
    </row>
    <row r="381">
      <c r="A381" s="2">
        <f>IF(Source!$C381&gt;=COLUMNS($A381:A381), Source!$G381, "")</f>
        <v>4</v>
      </c>
      <c r="B381" s="2">
        <f>IF(Source!$C381&gt;=COLUMNS($A381:B381), Source!$G381, "")</f>
        <v>4</v>
      </c>
      <c r="C381" s="2">
        <f>IF(Source!$C381&gt;=COLUMNS($A381:C381), Source!$G381, "")</f>
        <v>4</v>
      </c>
      <c r="D381" s="2">
        <f>IF(Source!$C381&gt;=COLUMNS($A381:D381), Source!$G381, "")</f>
        <v>4</v>
      </c>
      <c r="E381" s="2" t="str">
        <f>IF(Source!$C381&gt;=COLUMNS($A381:E381), Source!$G381, "")</f>
        <v/>
      </c>
      <c r="F381" s="2" t="str">
        <f>IF(Source!$C381&gt;=COLUMNS($A381:F381), Source!$G381, "")</f>
        <v/>
      </c>
      <c r="G381" s="2" t="str">
        <f>IF(Source!$C381&gt;=COLUMNS($A381:G381), Source!$G381, "")</f>
        <v/>
      </c>
      <c r="H381" s="2" t="str">
        <f>IF(Source!$C381&gt;=COLUMNS($A381:H381), Source!$G381, "")</f>
        <v/>
      </c>
      <c r="I381" s="2" t="str">
        <f>IF(Source!$C381&gt;=COLUMNS($A381:I381), Source!$G381, "")</f>
        <v/>
      </c>
      <c r="J381" s="2" t="str">
        <f>IF(Source!$C381&gt;=COLUMNS($A381:J381), Source!$G381, "")</f>
        <v/>
      </c>
      <c r="K381" s="2" t="str">
        <f>IF(Source!$C381&gt;=COLUMNS($A381:K381), Source!$G381, "")</f>
        <v/>
      </c>
      <c r="L381" s="2" t="str">
        <f>IF(Source!$C381&gt;=COLUMNS($A381:L381), Source!$G381, "")</f>
        <v/>
      </c>
      <c r="M381" s="2" t="str">
        <f>IF(Source!$C381&gt;=COLUMNS($A381:M381), Source!$G381, "")</f>
        <v/>
      </c>
      <c r="N381" s="2" t="str">
        <f>IF(Source!$C381&gt;=COLUMNS($A381:N381), Source!$G381, "")</f>
        <v/>
      </c>
      <c r="O381" s="2" t="str">
        <f>IF(Source!$C381&gt;=COLUMNS($A381:O381), Source!$G381, "")</f>
        <v/>
      </c>
      <c r="P381" s="2" t="str">
        <f>IF(Source!$C381&gt;=COLUMNS($A381:P381), Source!$G381, "")</f>
        <v/>
      </c>
      <c r="Q381" s="2" t="str">
        <f>IF(Source!$C381&gt;=COLUMNS($A381:Q381), Source!$G381, "")</f>
        <v/>
      </c>
      <c r="R381" s="2" t="str">
        <f>IF(Source!$C381&gt;=COLUMNS($A381:R381), Source!$G381, "")</f>
        <v/>
      </c>
      <c r="S381" s="2" t="str">
        <f>IF(Source!$C381&gt;=COLUMNS($A381:S381), Source!$G381, "")</f>
        <v/>
      </c>
      <c r="T381" s="2" t="str">
        <f>IF(Source!$C381&gt;=COLUMNS($A381:T381), Source!$G381, "")</f>
        <v/>
      </c>
      <c r="U381" s="2" t="str">
        <f>IF(Source!$C381&gt;=COLUMNS($A381:U381), Source!$G381, "")</f>
        <v/>
      </c>
      <c r="V381" s="2" t="str">
        <f>IF(Source!$C381&gt;=COLUMNS($A381:V381), Source!$G381, "")</f>
        <v/>
      </c>
      <c r="W381" s="2" t="str">
        <f>IF(Source!$C381&gt;=COLUMNS($A381:W381), Source!$G381, "")</f>
        <v/>
      </c>
      <c r="X381" s="2" t="str">
        <f>IF(Source!$C381&gt;=COLUMNS($A381:X381), Source!$G381, "")</f>
        <v/>
      </c>
      <c r="Y381" s="2" t="str">
        <f>IF(Source!$C381&gt;=COLUMNS($A381:Y381), Source!$G381, "")</f>
        <v/>
      </c>
      <c r="Z381" s="2" t="str">
        <f>IF(Source!$C381&gt;=COLUMNS($A381:Z381), Source!$G381, "")</f>
        <v/>
      </c>
      <c r="AA381" s="2" t="str">
        <f>IF(Source!$C381&gt;=COLUMNS($A381:AA381), Source!$G381, "")</f>
        <v/>
      </c>
      <c r="AB381" s="2" t="str">
        <f>IF(Source!$C381&gt;=COLUMNS($A381:AB381), Source!$G381, "")</f>
        <v/>
      </c>
      <c r="AC381" s="2" t="str">
        <f>IF(Source!$C381&gt;=COLUMNS($A381:AC381), Source!$G381, "")</f>
        <v/>
      </c>
      <c r="AD381" s="2" t="str">
        <f>IF(Source!$C381&gt;=COLUMNS($A381:AD381), Source!$G381, "")</f>
        <v/>
      </c>
      <c r="AE381" s="2" t="str">
        <f>IF(Source!$C381&gt;=COLUMNS($A381:AE381), Source!$G381, "")</f>
        <v/>
      </c>
      <c r="AF381" s="2" t="str">
        <f>IF(Source!$C381&gt;=COLUMNS($A381:AF381), Source!$G381, "")</f>
        <v/>
      </c>
      <c r="AG381" s="2" t="str">
        <f>IF(Source!$C381&gt;=COLUMNS($A381:AG381), Source!$G381, "")</f>
        <v/>
      </c>
      <c r="AH381" s="2" t="str">
        <f>IF(Source!$C381&gt;=COLUMNS($A381:AH381), Source!$G381, "")</f>
        <v/>
      </c>
      <c r="AI381" s="2" t="str">
        <f>IF(Source!$C381&gt;=COLUMNS($A381:AI381), Source!$G381, "")</f>
        <v/>
      </c>
      <c r="AJ381" s="2" t="str">
        <f>IF(Source!$C381&gt;=COLUMNS($A381:AJ381), Source!$G381, "")</f>
        <v/>
      </c>
      <c r="AK381" s="2" t="str">
        <f>IF(Source!$C381&gt;=COLUMNS($A381:AK381), Source!$G381, "")</f>
        <v/>
      </c>
      <c r="AL381" s="2" t="str">
        <f>IF(Source!$C381&gt;=COLUMNS($A381:AL381), Source!$G381, "")</f>
        <v/>
      </c>
      <c r="AM381" s="2" t="str">
        <f>IF(Source!$C381&gt;=COLUMNS($A381:AM381), Source!$G381, "")</f>
        <v/>
      </c>
      <c r="AN381" s="2" t="str">
        <f>IF(Source!$C381&gt;=COLUMNS($A381:AN381), Source!$G381, "")</f>
        <v/>
      </c>
      <c r="AO381" s="2" t="str">
        <f>IF(Source!$C381&gt;=COLUMNS($A381:AO381), Source!$G381, "")</f>
        <v/>
      </c>
      <c r="AP381" s="2" t="str">
        <f>IF(Source!$C381&gt;=COLUMNS($A381:AP381), Source!$G381, "")</f>
        <v/>
      </c>
      <c r="AQ381" s="2" t="str">
        <f>IF(Source!$C381&gt;=COLUMNS($A381:AQ381), Source!$G381, "")</f>
        <v/>
      </c>
      <c r="AR381" s="2" t="str">
        <f>IF(Source!$C381&gt;=COLUMNS($A381:AR381), Source!$G381, "")</f>
        <v/>
      </c>
    </row>
    <row r="382">
      <c r="A382" s="2">
        <f>IF(Source!$C382&gt;=COLUMNS($A382:A382), Source!$G382, "")</f>
        <v>5</v>
      </c>
      <c r="B382" s="2">
        <f>IF(Source!$C382&gt;=COLUMNS($A382:B382), Source!$G382, "")</f>
        <v>5</v>
      </c>
      <c r="C382" s="2">
        <f>IF(Source!$C382&gt;=COLUMNS($A382:C382), Source!$G382, "")</f>
        <v>5</v>
      </c>
      <c r="D382" s="2">
        <f>IF(Source!$C382&gt;=COLUMNS($A382:D382), Source!$G382, "")</f>
        <v>5</v>
      </c>
      <c r="E382" s="2" t="str">
        <f>IF(Source!$C382&gt;=COLUMNS($A382:E382), Source!$G382, "")</f>
        <v/>
      </c>
      <c r="F382" s="2" t="str">
        <f>IF(Source!$C382&gt;=COLUMNS($A382:F382), Source!$G382, "")</f>
        <v/>
      </c>
      <c r="G382" s="2" t="str">
        <f>IF(Source!$C382&gt;=COLUMNS($A382:G382), Source!$G382, "")</f>
        <v/>
      </c>
      <c r="H382" s="2" t="str">
        <f>IF(Source!$C382&gt;=COLUMNS($A382:H382), Source!$G382, "")</f>
        <v/>
      </c>
      <c r="I382" s="2" t="str">
        <f>IF(Source!$C382&gt;=COLUMNS($A382:I382), Source!$G382, "")</f>
        <v/>
      </c>
      <c r="J382" s="2" t="str">
        <f>IF(Source!$C382&gt;=COLUMNS($A382:J382), Source!$G382, "")</f>
        <v/>
      </c>
      <c r="K382" s="2" t="str">
        <f>IF(Source!$C382&gt;=COLUMNS($A382:K382), Source!$G382, "")</f>
        <v/>
      </c>
      <c r="L382" s="2" t="str">
        <f>IF(Source!$C382&gt;=COLUMNS($A382:L382), Source!$G382, "")</f>
        <v/>
      </c>
      <c r="M382" s="2" t="str">
        <f>IF(Source!$C382&gt;=COLUMNS($A382:M382), Source!$G382, "")</f>
        <v/>
      </c>
      <c r="N382" s="2" t="str">
        <f>IF(Source!$C382&gt;=COLUMNS($A382:N382), Source!$G382, "")</f>
        <v/>
      </c>
      <c r="O382" s="2" t="str">
        <f>IF(Source!$C382&gt;=COLUMNS($A382:O382), Source!$G382, "")</f>
        <v/>
      </c>
      <c r="P382" s="2" t="str">
        <f>IF(Source!$C382&gt;=COLUMNS($A382:P382), Source!$G382, "")</f>
        <v/>
      </c>
      <c r="Q382" s="2" t="str">
        <f>IF(Source!$C382&gt;=COLUMNS($A382:Q382), Source!$G382, "")</f>
        <v/>
      </c>
      <c r="R382" s="2" t="str">
        <f>IF(Source!$C382&gt;=COLUMNS($A382:R382), Source!$G382, "")</f>
        <v/>
      </c>
      <c r="S382" s="2" t="str">
        <f>IF(Source!$C382&gt;=COLUMNS($A382:S382), Source!$G382, "")</f>
        <v/>
      </c>
      <c r="T382" s="2" t="str">
        <f>IF(Source!$C382&gt;=COLUMNS($A382:T382), Source!$G382, "")</f>
        <v/>
      </c>
      <c r="U382" s="2" t="str">
        <f>IF(Source!$C382&gt;=COLUMNS($A382:U382), Source!$G382, "")</f>
        <v/>
      </c>
      <c r="V382" s="2" t="str">
        <f>IF(Source!$C382&gt;=COLUMNS($A382:V382), Source!$G382, "")</f>
        <v/>
      </c>
      <c r="W382" s="2" t="str">
        <f>IF(Source!$C382&gt;=COLUMNS($A382:W382), Source!$G382, "")</f>
        <v/>
      </c>
      <c r="X382" s="2" t="str">
        <f>IF(Source!$C382&gt;=COLUMNS($A382:X382), Source!$G382, "")</f>
        <v/>
      </c>
      <c r="Y382" s="2" t="str">
        <f>IF(Source!$C382&gt;=COLUMNS($A382:Y382), Source!$G382, "")</f>
        <v/>
      </c>
      <c r="Z382" s="2" t="str">
        <f>IF(Source!$C382&gt;=COLUMNS($A382:Z382), Source!$G382, "")</f>
        <v/>
      </c>
      <c r="AA382" s="2" t="str">
        <f>IF(Source!$C382&gt;=COLUMNS($A382:AA382), Source!$G382, "")</f>
        <v/>
      </c>
      <c r="AB382" s="2" t="str">
        <f>IF(Source!$C382&gt;=COLUMNS($A382:AB382), Source!$G382, "")</f>
        <v/>
      </c>
      <c r="AC382" s="2" t="str">
        <f>IF(Source!$C382&gt;=COLUMNS($A382:AC382), Source!$G382, "")</f>
        <v/>
      </c>
      <c r="AD382" s="2" t="str">
        <f>IF(Source!$C382&gt;=COLUMNS($A382:AD382), Source!$G382, "")</f>
        <v/>
      </c>
      <c r="AE382" s="2" t="str">
        <f>IF(Source!$C382&gt;=COLUMNS($A382:AE382), Source!$G382, "")</f>
        <v/>
      </c>
      <c r="AF382" s="2" t="str">
        <f>IF(Source!$C382&gt;=COLUMNS($A382:AF382), Source!$G382, "")</f>
        <v/>
      </c>
      <c r="AG382" s="2" t="str">
        <f>IF(Source!$C382&gt;=COLUMNS($A382:AG382), Source!$G382, "")</f>
        <v/>
      </c>
      <c r="AH382" s="2" t="str">
        <f>IF(Source!$C382&gt;=COLUMNS($A382:AH382), Source!$G382, "")</f>
        <v/>
      </c>
      <c r="AI382" s="2" t="str">
        <f>IF(Source!$C382&gt;=COLUMNS($A382:AI382), Source!$G382, "")</f>
        <v/>
      </c>
      <c r="AJ382" s="2" t="str">
        <f>IF(Source!$C382&gt;=COLUMNS($A382:AJ382), Source!$G382, "")</f>
        <v/>
      </c>
      <c r="AK382" s="2" t="str">
        <f>IF(Source!$C382&gt;=COLUMNS($A382:AK382), Source!$G382, "")</f>
        <v/>
      </c>
      <c r="AL382" s="2" t="str">
        <f>IF(Source!$C382&gt;=COLUMNS($A382:AL382), Source!$G382, "")</f>
        <v/>
      </c>
      <c r="AM382" s="2" t="str">
        <f>IF(Source!$C382&gt;=COLUMNS($A382:AM382), Source!$G382, "")</f>
        <v/>
      </c>
      <c r="AN382" s="2" t="str">
        <f>IF(Source!$C382&gt;=COLUMNS($A382:AN382), Source!$G382, "")</f>
        <v/>
      </c>
      <c r="AO382" s="2" t="str">
        <f>IF(Source!$C382&gt;=COLUMNS($A382:AO382), Source!$G382, "")</f>
        <v/>
      </c>
      <c r="AP382" s="2" t="str">
        <f>IF(Source!$C382&gt;=COLUMNS($A382:AP382), Source!$G382, "")</f>
        <v/>
      </c>
      <c r="AQ382" s="2" t="str">
        <f>IF(Source!$C382&gt;=COLUMNS($A382:AQ382), Source!$G382, "")</f>
        <v/>
      </c>
      <c r="AR382" s="2" t="str">
        <f>IF(Source!$C382&gt;=COLUMNS($A382:AR382), Source!$G382, "")</f>
        <v/>
      </c>
    </row>
    <row r="383">
      <c r="A383" s="2">
        <f>IF(Source!$C383&gt;=COLUMNS($A383:A383), Source!$G383, "")</f>
        <v>5</v>
      </c>
      <c r="B383" s="2" t="str">
        <f>IF(Source!$C383&gt;=COLUMNS($A383:B383), Source!$G383, "")</f>
        <v/>
      </c>
      <c r="C383" s="2" t="str">
        <f>IF(Source!$C383&gt;=COLUMNS($A383:C383), Source!$G383, "")</f>
        <v/>
      </c>
      <c r="D383" s="2" t="str">
        <f>IF(Source!$C383&gt;=COLUMNS($A383:D383), Source!$G383, "")</f>
        <v/>
      </c>
      <c r="E383" s="2" t="str">
        <f>IF(Source!$C383&gt;=COLUMNS($A383:E383), Source!$G383, "")</f>
        <v/>
      </c>
      <c r="F383" s="2" t="str">
        <f>IF(Source!$C383&gt;=COLUMNS($A383:F383), Source!$G383, "")</f>
        <v/>
      </c>
      <c r="G383" s="2" t="str">
        <f>IF(Source!$C383&gt;=COLUMNS($A383:G383), Source!$G383, "")</f>
        <v/>
      </c>
      <c r="H383" s="2" t="str">
        <f>IF(Source!$C383&gt;=COLUMNS($A383:H383), Source!$G383, "")</f>
        <v/>
      </c>
      <c r="I383" s="2" t="str">
        <f>IF(Source!$C383&gt;=COLUMNS($A383:I383), Source!$G383, "")</f>
        <v/>
      </c>
      <c r="J383" s="2" t="str">
        <f>IF(Source!$C383&gt;=COLUMNS($A383:J383), Source!$G383, "")</f>
        <v/>
      </c>
      <c r="K383" s="2" t="str">
        <f>IF(Source!$C383&gt;=COLUMNS($A383:K383), Source!$G383, "")</f>
        <v/>
      </c>
      <c r="L383" s="2" t="str">
        <f>IF(Source!$C383&gt;=COLUMNS($A383:L383), Source!$G383, "")</f>
        <v/>
      </c>
      <c r="M383" s="2" t="str">
        <f>IF(Source!$C383&gt;=COLUMNS($A383:M383), Source!$G383, "")</f>
        <v/>
      </c>
      <c r="N383" s="2" t="str">
        <f>IF(Source!$C383&gt;=COLUMNS($A383:N383), Source!$G383, "")</f>
        <v/>
      </c>
      <c r="O383" s="2" t="str">
        <f>IF(Source!$C383&gt;=COLUMNS($A383:O383), Source!$G383, "")</f>
        <v/>
      </c>
      <c r="P383" s="2" t="str">
        <f>IF(Source!$C383&gt;=COLUMNS($A383:P383), Source!$G383, "")</f>
        <v/>
      </c>
      <c r="Q383" s="2" t="str">
        <f>IF(Source!$C383&gt;=COLUMNS($A383:Q383), Source!$G383, "")</f>
        <v/>
      </c>
      <c r="R383" s="2" t="str">
        <f>IF(Source!$C383&gt;=COLUMNS($A383:R383), Source!$G383, "")</f>
        <v/>
      </c>
      <c r="S383" s="2" t="str">
        <f>IF(Source!$C383&gt;=COLUMNS($A383:S383), Source!$G383, "")</f>
        <v/>
      </c>
      <c r="T383" s="2" t="str">
        <f>IF(Source!$C383&gt;=COLUMNS($A383:T383), Source!$G383, "")</f>
        <v/>
      </c>
      <c r="U383" s="2" t="str">
        <f>IF(Source!$C383&gt;=COLUMNS($A383:U383), Source!$G383, "")</f>
        <v/>
      </c>
      <c r="V383" s="2" t="str">
        <f>IF(Source!$C383&gt;=COLUMNS($A383:V383), Source!$G383, "")</f>
        <v/>
      </c>
      <c r="W383" s="2" t="str">
        <f>IF(Source!$C383&gt;=COLUMNS($A383:W383), Source!$G383, "")</f>
        <v/>
      </c>
      <c r="X383" s="2" t="str">
        <f>IF(Source!$C383&gt;=COLUMNS($A383:X383), Source!$G383, "")</f>
        <v/>
      </c>
      <c r="Y383" s="2" t="str">
        <f>IF(Source!$C383&gt;=COLUMNS($A383:Y383), Source!$G383, "")</f>
        <v/>
      </c>
      <c r="Z383" s="2" t="str">
        <f>IF(Source!$C383&gt;=COLUMNS($A383:Z383), Source!$G383, "")</f>
        <v/>
      </c>
      <c r="AA383" s="2" t="str">
        <f>IF(Source!$C383&gt;=COLUMNS($A383:AA383), Source!$G383, "")</f>
        <v/>
      </c>
      <c r="AB383" s="2" t="str">
        <f>IF(Source!$C383&gt;=COLUMNS($A383:AB383), Source!$G383, "")</f>
        <v/>
      </c>
      <c r="AC383" s="2" t="str">
        <f>IF(Source!$C383&gt;=COLUMNS($A383:AC383), Source!$G383, "")</f>
        <v/>
      </c>
      <c r="AD383" s="2" t="str">
        <f>IF(Source!$C383&gt;=COLUMNS($A383:AD383), Source!$G383, "")</f>
        <v/>
      </c>
      <c r="AE383" s="2" t="str">
        <f>IF(Source!$C383&gt;=COLUMNS($A383:AE383), Source!$G383, "")</f>
        <v/>
      </c>
      <c r="AF383" s="2" t="str">
        <f>IF(Source!$C383&gt;=COLUMNS($A383:AF383), Source!$G383, "")</f>
        <v/>
      </c>
      <c r="AG383" s="2" t="str">
        <f>IF(Source!$C383&gt;=COLUMNS($A383:AG383), Source!$G383, "")</f>
        <v/>
      </c>
      <c r="AH383" s="2" t="str">
        <f>IF(Source!$C383&gt;=COLUMNS($A383:AH383), Source!$G383, "")</f>
        <v/>
      </c>
      <c r="AI383" s="2" t="str">
        <f>IF(Source!$C383&gt;=COLUMNS($A383:AI383), Source!$G383, "")</f>
        <v/>
      </c>
      <c r="AJ383" s="2" t="str">
        <f>IF(Source!$C383&gt;=COLUMNS($A383:AJ383), Source!$G383, "")</f>
        <v/>
      </c>
      <c r="AK383" s="2" t="str">
        <f>IF(Source!$C383&gt;=COLUMNS($A383:AK383), Source!$G383, "")</f>
        <v/>
      </c>
      <c r="AL383" s="2" t="str">
        <f>IF(Source!$C383&gt;=COLUMNS($A383:AL383), Source!$G383, "")</f>
        <v/>
      </c>
      <c r="AM383" s="2" t="str">
        <f>IF(Source!$C383&gt;=COLUMNS($A383:AM383), Source!$G383, "")</f>
        <v/>
      </c>
      <c r="AN383" s="2" t="str">
        <f>IF(Source!$C383&gt;=COLUMNS($A383:AN383), Source!$G383, "")</f>
        <v/>
      </c>
      <c r="AO383" s="2" t="str">
        <f>IF(Source!$C383&gt;=COLUMNS($A383:AO383), Source!$G383, "")</f>
        <v/>
      </c>
      <c r="AP383" s="2" t="str">
        <f>IF(Source!$C383&gt;=COLUMNS($A383:AP383), Source!$G383, "")</f>
        <v/>
      </c>
      <c r="AQ383" s="2" t="str">
        <f>IF(Source!$C383&gt;=COLUMNS($A383:AQ383), Source!$G383, "")</f>
        <v/>
      </c>
      <c r="AR383" s="2" t="str">
        <f>IF(Source!$C383&gt;=COLUMNS($A383:AR383), Source!$G383, "")</f>
        <v/>
      </c>
    </row>
    <row r="384">
      <c r="A384" s="2">
        <f>IF(Source!$C384&gt;=COLUMNS($A384:A384), Source!$G384, "")</f>
        <v>7</v>
      </c>
      <c r="B384" s="2" t="str">
        <f>IF(Source!$C384&gt;=COLUMNS($A384:B384), Source!$G384, "")</f>
        <v/>
      </c>
      <c r="C384" s="2" t="str">
        <f>IF(Source!$C384&gt;=COLUMNS($A384:C384), Source!$G384, "")</f>
        <v/>
      </c>
      <c r="D384" s="2" t="str">
        <f>IF(Source!$C384&gt;=COLUMNS($A384:D384), Source!$G384, "")</f>
        <v/>
      </c>
      <c r="E384" s="2" t="str">
        <f>IF(Source!$C384&gt;=COLUMNS($A384:E384), Source!$G384, "")</f>
        <v/>
      </c>
      <c r="F384" s="2" t="str">
        <f>IF(Source!$C384&gt;=COLUMNS($A384:F384), Source!$G384, "")</f>
        <v/>
      </c>
      <c r="G384" s="2" t="str">
        <f>IF(Source!$C384&gt;=COLUMNS($A384:G384), Source!$G384, "")</f>
        <v/>
      </c>
      <c r="H384" s="2" t="str">
        <f>IF(Source!$C384&gt;=COLUMNS($A384:H384), Source!$G384, "")</f>
        <v/>
      </c>
      <c r="I384" s="2" t="str">
        <f>IF(Source!$C384&gt;=COLUMNS($A384:I384), Source!$G384, "")</f>
        <v/>
      </c>
      <c r="J384" s="2" t="str">
        <f>IF(Source!$C384&gt;=COLUMNS($A384:J384), Source!$G384, "")</f>
        <v/>
      </c>
      <c r="K384" s="2" t="str">
        <f>IF(Source!$C384&gt;=COLUMNS($A384:K384), Source!$G384, "")</f>
        <v/>
      </c>
      <c r="L384" s="2" t="str">
        <f>IF(Source!$C384&gt;=COLUMNS($A384:L384), Source!$G384, "")</f>
        <v/>
      </c>
      <c r="M384" s="2" t="str">
        <f>IF(Source!$C384&gt;=COLUMNS($A384:M384), Source!$G384, "")</f>
        <v/>
      </c>
      <c r="N384" s="2" t="str">
        <f>IF(Source!$C384&gt;=COLUMNS($A384:N384), Source!$G384, "")</f>
        <v/>
      </c>
      <c r="O384" s="2" t="str">
        <f>IF(Source!$C384&gt;=COLUMNS($A384:O384), Source!$G384, "")</f>
        <v/>
      </c>
      <c r="P384" s="2" t="str">
        <f>IF(Source!$C384&gt;=COLUMNS($A384:P384), Source!$G384, "")</f>
        <v/>
      </c>
      <c r="Q384" s="2" t="str">
        <f>IF(Source!$C384&gt;=COLUMNS($A384:Q384), Source!$G384, "")</f>
        <v/>
      </c>
      <c r="R384" s="2" t="str">
        <f>IF(Source!$C384&gt;=COLUMNS($A384:R384), Source!$G384, "")</f>
        <v/>
      </c>
      <c r="S384" s="2" t="str">
        <f>IF(Source!$C384&gt;=COLUMNS($A384:S384), Source!$G384, "")</f>
        <v/>
      </c>
      <c r="T384" s="2" t="str">
        <f>IF(Source!$C384&gt;=COLUMNS($A384:T384), Source!$G384, "")</f>
        <v/>
      </c>
      <c r="U384" s="2" t="str">
        <f>IF(Source!$C384&gt;=COLUMNS($A384:U384), Source!$G384, "")</f>
        <v/>
      </c>
      <c r="V384" s="2" t="str">
        <f>IF(Source!$C384&gt;=COLUMNS($A384:V384), Source!$G384, "")</f>
        <v/>
      </c>
      <c r="W384" s="2" t="str">
        <f>IF(Source!$C384&gt;=COLUMNS($A384:W384), Source!$G384, "")</f>
        <v/>
      </c>
      <c r="X384" s="2" t="str">
        <f>IF(Source!$C384&gt;=COLUMNS($A384:X384), Source!$G384, "")</f>
        <v/>
      </c>
      <c r="Y384" s="2" t="str">
        <f>IF(Source!$C384&gt;=COLUMNS($A384:Y384), Source!$G384, "")</f>
        <v/>
      </c>
      <c r="Z384" s="2" t="str">
        <f>IF(Source!$C384&gt;=COLUMNS($A384:Z384), Source!$G384, "")</f>
        <v/>
      </c>
      <c r="AA384" s="2" t="str">
        <f>IF(Source!$C384&gt;=COLUMNS($A384:AA384), Source!$G384, "")</f>
        <v/>
      </c>
      <c r="AB384" s="2" t="str">
        <f>IF(Source!$C384&gt;=COLUMNS($A384:AB384), Source!$G384, "")</f>
        <v/>
      </c>
      <c r="AC384" s="2" t="str">
        <f>IF(Source!$C384&gt;=COLUMNS($A384:AC384), Source!$G384, "")</f>
        <v/>
      </c>
      <c r="AD384" s="2" t="str">
        <f>IF(Source!$C384&gt;=COLUMNS($A384:AD384), Source!$G384, "")</f>
        <v/>
      </c>
      <c r="AE384" s="2" t="str">
        <f>IF(Source!$C384&gt;=COLUMNS($A384:AE384), Source!$G384, "")</f>
        <v/>
      </c>
      <c r="AF384" s="2" t="str">
        <f>IF(Source!$C384&gt;=COLUMNS($A384:AF384), Source!$G384, "")</f>
        <v/>
      </c>
      <c r="AG384" s="2" t="str">
        <f>IF(Source!$C384&gt;=COLUMNS($A384:AG384), Source!$G384, "")</f>
        <v/>
      </c>
      <c r="AH384" s="2" t="str">
        <f>IF(Source!$C384&gt;=COLUMNS($A384:AH384), Source!$G384, "")</f>
        <v/>
      </c>
      <c r="AI384" s="2" t="str">
        <f>IF(Source!$C384&gt;=COLUMNS($A384:AI384), Source!$G384, "")</f>
        <v/>
      </c>
      <c r="AJ384" s="2" t="str">
        <f>IF(Source!$C384&gt;=COLUMNS($A384:AJ384), Source!$G384, "")</f>
        <v/>
      </c>
      <c r="AK384" s="2" t="str">
        <f>IF(Source!$C384&gt;=COLUMNS($A384:AK384), Source!$G384, "")</f>
        <v/>
      </c>
      <c r="AL384" s="2" t="str">
        <f>IF(Source!$C384&gt;=COLUMNS($A384:AL384), Source!$G384, "")</f>
        <v/>
      </c>
      <c r="AM384" s="2" t="str">
        <f>IF(Source!$C384&gt;=COLUMNS($A384:AM384), Source!$G384, "")</f>
        <v/>
      </c>
      <c r="AN384" s="2" t="str">
        <f>IF(Source!$C384&gt;=COLUMNS($A384:AN384), Source!$G384, "")</f>
        <v/>
      </c>
      <c r="AO384" s="2" t="str">
        <f>IF(Source!$C384&gt;=COLUMNS($A384:AO384), Source!$G384, "")</f>
        <v/>
      </c>
      <c r="AP384" s="2" t="str">
        <f>IF(Source!$C384&gt;=COLUMNS($A384:AP384), Source!$G384, "")</f>
        <v/>
      </c>
      <c r="AQ384" s="2" t="str">
        <f>IF(Source!$C384&gt;=COLUMNS($A384:AQ384), Source!$G384, "")</f>
        <v/>
      </c>
      <c r="AR384" s="2" t="str">
        <f>IF(Source!$C384&gt;=COLUMNS($A384:AR384), Source!$G384, "")</f>
        <v/>
      </c>
    </row>
    <row r="385">
      <c r="A385" s="2">
        <f>IF(Source!$C385&gt;=COLUMNS($A385:A385), Source!$G385, "")</f>
        <v>1</v>
      </c>
      <c r="B385" s="2">
        <f>IF(Source!$C385&gt;=COLUMNS($A385:B385), Source!$G385, "")</f>
        <v>1</v>
      </c>
      <c r="C385" s="2" t="str">
        <f>IF(Source!$C385&gt;=COLUMNS($A385:C385), Source!$G385, "")</f>
        <v/>
      </c>
      <c r="D385" s="2" t="str">
        <f>IF(Source!$C385&gt;=COLUMNS($A385:D385), Source!$G385, "")</f>
        <v/>
      </c>
      <c r="E385" s="2" t="str">
        <f>IF(Source!$C385&gt;=COLUMNS($A385:E385), Source!$G385, "")</f>
        <v/>
      </c>
      <c r="F385" s="2" t="str">
        <f>IF(Source!$C385&gt;=COLUMNS($A385:F385), Source!$G385, "")</f>
        <v/>
      </c>
      <c r="G385" s="2" t="str">
        <f>IF(Source!$C385&gt;=COLUMNS($A385:G385), Source!$G385, "")</f>
        <v/>
      </c>
      <c r="H385" s="2" t="str">
        <f>IF(Source!$C385&gt;=COLUMNS($A385:H385), Source!$G385, "")</f>
        <v/>
      </c>
      <c r="I385" s="2" t="str">
        <f>IF(Source!$C385&gt;=COLUMNS($A385:I385), Source!$G385, "")</f>
        <v/>
      </c>
      <c r="J385" s="2" t="str">
        <f>IF(Source!$C385&gt;=COLUMNS($A385:J385), Source!$G385, "")</f>
        <v/>
      </c>
      <c r="K385" s="2" t="str">
        <f>IF(Source!$C385&gt;=COLUMNS($A385:K385), Source!$G385, "")</f>
        <v/>
      </c>
      <c r="L385" s="2" t="str">
        <f>IF(Source!$C385&gt;=COLUMNS($A385:L385), Source!$G385, "")</f>
        <v/>
      </c>
      <c r="M385" s="2" t="str">
        <f>IF(Source!$C385&gt;=COLUMNS($A385:M385), Source!$G385, "")</f>
        <v/>
      </c>
      <c r="N385" s="2" t="str">
        <f>IF(Source!$C385&gt;=COLUMNS($A385:N385), Source!$G385, "")</f>
        <v/>
      </c>
      <c r="O385" s="2" t="str">
        <f>IF(Source!$C385&gt;=COLUMNS($A385:O385), Source!$G385, "")</f>
        <v/>
      </c>
      <c r="P385" s="2" t="str">
        <f>IF(Source!$C385&gt;=COLUMNS($A385:P385), Source!$G385, "")</f>
        <v/>
      </c>
      <c r="Q385" s="2" t="str">
        <f>IF(Source!$C385&gt;=COLUMNS($A385:Q385), Source!$G385, "")</f>
        <v/>
      </c>
      <c r="R385" s="2" t="str">
        <f>IF(Source!$C385&gt;=COLUMNS($A385:R385), Source!$G385, "")</f>
        <v/>
      </c>
      <c r="S385" s="2" t="str">
        <f>IF(Source!$C385&gt;=COLUMNS($A385:S385), Source!$G385, "")</f>
        <v/>
      </c>
      <c r="T385" s="2" t="str">
        <f>IF(Source!$C385&gt;=COLUMNS($A385:T385), Source!$G385, "")</f>
        <v/>
      </c>
      <c r="U385" s="2" t="str">
        <f>IF(Source!$C385&gt;=COLUMNS($A385:U385), Source!$G385, "")</f>
        <v/>
      </c>
      <c r="V385" s="2" t="str">
        <f>IF(Source!$C385&gt;=COLUMNS($A385:V385), Source!$G385, "")</f>
        <v/>
      </c>
      <c r="W385" s="2" t="str">
        <f>IF(Source!$C385&gt;=COLUMNS($A385:W385), Source!$G385, "")</f>
        <v/>
      </c>
      <c r="X385" s="2" t="str">
        <f>IF(Source!$C385&gt;=COLUMNS($A385:X385), Source!$G385, "")</f>
        <v/>
      </c>
      <c r="Y385" s="2" t="str">
        <f>IF(Source!$C385&gt;=COLUMNS($A385:Y385), Source!$G385, "")</f>
        <v/>
      </c>
      <c r="Z385" s="2" t="str">
        <f>IF(Source!$C385&gt;=COLUMNS($A385:Z385), Source!$G385, "")</f>
        <v/>
      </c>
      <c r="AA385" s="2" t="str">
        <f>IF(Source!$C385&gt;=COLUMNS($A385:AA385), Source!$G385, "")</f>
        <v/>
      </c>
      <c r="AB385" s="2" t="str">
        <f>IF(Source!$C385&gt;=COLUMNS($A385:AB385), Source!$G385, "")</f>
        <v/>
      </c>
      <c r="AC385" s="2" t="str">
        <f>IF(Source!$C385&gt;=COLUMNS($A385:AC385), Source!$G385, "")</f>
        <v/>
      </c>
      <c r="AD385" s="2" t="str">
        <f>IF(Source!$C385&gt;=COLUMNS($A385:AD385), Source!$G385, "")</f>
        <v/>
      </c>
      <c r="AE385" s="2" t="str">
        <f>IF(Source!$C385&gt;=COLUMNS($A385:AE385), Source!$G385, "")</f>
        <v/>
      </c>
      <c r="AF385" s="2" t="str">
        <f>IF(Source!$C385&gt;=COLUMNS($A385:AF385), Source!$G385, "")</f>
        <v/>
      </c>
      <c r="AG385" s="2" t="str">
        <f>IF(Source!$C385&gt;=COLUMNS($A385:AG385), Source!$G385, "")</f>
        <v/>
      </c>
      <c r="AH385" s="2" t="str">
        <f>IF(Source!$C385&gt;=COLUMNS($A385:AH385), Source!$G385, "")</f>
        <v/>
      </c>
      <c r="AI385" s="2" t="str">
        <f>IF(Source!$C385&gt;=COLUMNS($A385:AI385), Source!$G385, "")</f>
        <v/>
      </c>
      <c r="AJ385" s="2" t="str">
        <f>IF(Source!$C385&gt;=COLUMNS($A385:AJ385), Source!$G385, "")</f>
        <v/>
      </c>
      <c r="AK385" s="2" t="str">
        <f>IF(Source!$C385&gt;=COLUMNS($A385:AK385), Source!$G385, "")</f>
        <v/>
      </c>
      <c r="AL385" s="2" t="str">
        <f>IF(Source!$C385&gt;=COLUMNS($A385:AL385), Source!$G385, "")</f>
        <v/>
      </c>
      <c r="AM385" s="2" t="str">
        <f>IF(Source!$C385&gt;=COLUMNS($A385:AM385), Source!$G385, "")</f>
        <v/>
      </c>
      <c r="AN385" s="2" t="str">
        <f>IF(Source!$C385&gt;=COLUMNS($A385:AN385), Source!$G385, "")</f>
        <v/>
      </c>
      <c r="AO385" s="2" t="str">
        <f>IF(Source!$C385&gt;=COLUMNS($A385:AO385), Source!$G385, "")</f>
        <v/>
      </c>
      <c r="AP385" s="2" t="str">
        <f>IF(Source!$C385&gt;=COLUMNS($A385:AP385), Source!$G385, "")</f>
        <v/>
      </c>
      <c r="AQ385" s="2" t="str">
        <f>IF(Source!$C385&gt;=COLUMNS($A385:AQ385), Source!$G385, "")</f>
        <v/>
      </c>
      <c r="AR385" s="2" t="str">
        <f>IF(Source!$C385&gt;=COLUMNS($A385:AR385), Source!$G385, "")</f>
        <v/>
      </c>
    </row>
    <row r="386">
      <c r="A386" s="2">
        <f>IF(Source!$C386&gt;=COLUMNS($A386:A386), Source!$G386, "")</f>
        <v>3</v>
      </c>
      <c r="B386" s="2">
        <f>IF(Source!$C386&gt;=COLUMNS($A386:B386), Source!$G386, "")</f>
        <v>3</v>
      </c>
      <c r="C386" s="2">
        <f>IF(Source!$C386&gt;=COLUMNS($A386:C386), Source!$G386, "")</f>
        <v>3</v>
      </c>
      <c r="D386" s="2">
        <f>IF(Source!$C386&gt;=COLUMNS($A386:D386), Source!$G386, "")</f>
        <v>3</v>
      </c>
      <c r="E386" s="2">
        <f>IF(Source!$C386&gt;=COLUMNS($A386:E386), Source!$G386, "")</f>
        <v>3</v>
      </c>
      <c r="F386" s="2">
        <f>IF(Source!$C386&gt;=COLUMNS($A386:F386), Source!$G386, "")</f>
        <v>3</v>
      </c>
      <c r="G386" s="2">
        <f>IF(Source!$C386&gt;=COLUMNS($A386:G386), Source!$G386, "")</f>
        <v>3</v>
      </c>
      <c r="H386" s="2">
        <f>IF(Source!$C386&gt;=COLUMNS($A386:H386), Source!$G386, "")</f>
        <v>3</v>
      </c>
      <c r="I386" s="2">
        <f>IF(Source!$C386&gt;=COLUMNS($A386:I386), Source!$G386, "")</f>
        <v>3</v>
      </c>
      <c r="J386" s="2">
        <f>IF(Source!$C386&gt;=COLUMNS($A386:J386), Source!$G386, "")</f>
        <v>3</v>
      </c>
      <c r="K386" s="2">
        <f>IF(Source!$C386&gt;=COLUMNS($A386:K386), Source!$G386, "")</f>
        <v>3</v>
      </c>
      <c r="L386" s="2">
        <f>IF(Source!$C386&gt;=COLUMNS($A386:L386), Source!$G386, "")</f>
        <v>3</v>
      </c>
      <c r="M386" s="2">
        <f>IF(Source!$C386&gt;=COLUMNS($A386:M386), Source!$G386, "")</f>
        <v>3</v>
      </c>
      <c r="N386" s="2">
        <f>IF(Source!$C386&gt;=COLUMNS($A386:N386), Source!$G386, "")</f>
        <v>3</v>
      </c>
      <c r="O386" s="2">
        <f>IF(Source!$C386&gt;=COLUMNS($A386:O386), Source!$G386, "")</f>
        <v>3</v>
      </c>
      <c r="P386" s="2">
        <f>IF(Source!$C386&gt;=COLUMNS($A386:P386), Source!$G386, "")</f>
        <v>3</v>
      </c>
      <c r="Q386" s="2">
        <f>IF(Source!$C386&gt;=COLUMNS($A386:Q386), Source!$G386, "")</f>
        <v>3</v>
      </c>
      <c r="R386" s="2">
        <f>IF(Source!$C386&gt;=COLUMNS($A386:R386), Source!$G386, "")</f>
        <v>3</v>
      </c>
      <c r="S386" s="2" t="str">
        <f>IF(Source!$C386&gt;=COLUMNS($A386:S386), Source!$G386, "")</f>
        <v/>
      </c>
      <c r="T386" s="2" t="str">
        <f>IF(Source!$C386&gt;=COLUMNS($A386:T386), Source!$G386, "")</f>
        <v/>
      </c>
      <c r="U386" s="2" t="str">
        <f>IF(Source!$C386&gt;=COLUMNS($A386:U386), Source!$G386, "")</f>
        <v/>
      </c>
      <c r="V386" s="2" t="str">
        <f>IF(Source!$C386&gt;=COLUMNS($A386:V386), Source!$G386, "")</f>
        <v/>
      </c>
      <c r="W386" s="2" t="str">
        <f>IF(Source!$C386&gt;=COLUMNS($A386:W386), Source!$G386, "")</f>
        <v/>
      </c>
      <c r="X386" s="2" t="str">
        <f>IF(Source!$C386&gt;=COLUMNS($A386:X386), Source!$G386, "")</f>
        <v/>
      </c>
      <c r="Y386" s="2" t="str">
        <f>IF(Source!$C386&gt;=COLUMNS($A386:Y386), Source!$G386, "")</f>
        <v/>
      </c>
      <c r="Z386" s="2" t="str">
        <f>IF(Source!$C386&gt;=COLUMNS($A386:Z386), Source!$G386, "")</f>
        <v/>
      </c>
      <c r="AA386" s="2" t="str">
        <f>IF(Source!$C386&gt;=COLUMNS($A386:AA386), Source!$G386, "")</f>
        <v/>
      </c>
      <c r="AB386" s="2" t="str">
        <f>IF(Source!$C386&gt;=COLUMNS($A386:AB386), Source!$G386, "")</f>
        <v/>
      </c>
      <c r="AC386" s="2" t="str">
        <f>IF(Source!$C386&gt;=COLUMNS($A386:AC386), Source!$G386, "")</f>
        <v/>
      </c>
      <c r="AD386" s="2" t="str">
        <f>IF(Source!$C386&gt;=COLUMNS($A386:AD386), Source!$G386, "")</f>
        <v/>
      </c>
      <c r="AE386" s="2" t="str">
        <f>IF(Source!$C386&gt;=COLUMNS($A386:AE386), Source!$G386, "")</f>
        <v/>
      </c>
      <c r="AF386" s="2" t="str">
        <f>IF(Source!$C386&gt;=COLUMNS($A386:AF386), Source!$G386, "")</f>
        <v/>
      </c>
      <c r="AG386" s="2" t="str">
        <f>IF(Source!$C386&gt;=COLUMNS($A386:AG386), Source!$G386, "")</f>
        <v/>
      </c>
      <c r="AH386" s="2" t="str">
        <f>IF(Source!$C386&gt;=COLUMNS($A386:AH386), Source!$G386, "")</f>
        <v/>
      </c>
      <c r="AI386" s="2" t="str">
        <f>IF(Source!$C386&gt;=COLUMNS($A386:AI386), Source!$G386, "")</f>
        <v/>
      </c>
      <c r="AJ386" s="2" t="str">
        <f>IF(Source!$C386&gt;=COLUMNS($A386:AJ386), Source!$G386, "")</f>
        <v/>
      </c>
      <c r="AK386" s="2" t="str">
        <f>IF(Source!$C386&gt;=COLUMNS($A386:AK386), Source!$G386, "")</f>
        <v/>
      </c>
      <c r="AL386" s="2" t="str">
        <f>IF(Source!$C386&gt;=COLUMNS($A386:AL386), Source!$G386, "")</f>
        <v/>
      </c>
      <c r="AM386" s="2" t="str">
        <f>IF(Source!$C386&gt;=COLUMNS($A386:AM386), Source!$G386, "")</f>
        <v/>
      </c>
      <c r="AN386" s="2" t="str">
        <f>IF(Source!$C386&gt;=COLUMNS($A386:AN386), Source!$G386, "")</f>
        <v/>
      </c>
      <c r="AO386" s="2" t="str">
        <f>IF(Source!$C386&gt;=COLUMNS($A386:AO386), Source!$G386, "")</f>
        <v/>
      </c>
      <c r="AP386" s="2" t="str">
        <f>IF(Source!$C386&gt;=COLUMNS($A386:AP386), Source!$G386, "")</f>
        <v/>
      </c>
      <c r="AQ386" s="2" t="str">
        <f>IF(Source!$C386&gt;=COLUMNS($A386:AQ386), Source!$G386, "")</f>
        <v/>
      </c>
      <c r="AR386" s="2" t="str">
        <f>IF(Source!$C386&gt;=COLUMNS($A386:AR386), Source!$G386, "")</f>
        <v/>
      </c>
    </row>
    <row r="387">
      <c r="A387" s="2">
        <f>IF(Source!$C387&gt;=COLUMNS($A387:A387), Source!$G387, "")</f>
        <v>4</v>
      </c>
      <c r="B387" s="2">
        <f>IF(Source!$C387&gt;=COLUMNS($A387:B387), Source!$G387, "")</f>
        <v>4</v>
      </c>
      <c r="C387" s="2">
        <f>IF(Source!$C387&gt;=COLUMNS($A387:C387), Source!$G387, "")</f>
        <v>4</v>
      </c>
      <c r="D387" s="2">
        <f>IF(Source!$C387&gt;=COLUMNS($A387:D387), Source!$G387, "")</f>
        <v>4</v>
      </c>
      <c r="E387" s="2">
        <f>IF(Source!$C387&gt;=COLUMNS($A387:E387), Source!$G387, "")</f>
        <v>4</v>
      </c>
      <c r="F387" s="2">
        <f>IF(Source!$C387&gt;=COLUMNS($A387:F387), Source!$G387, "")</f>
        <v>4</v>
      </c>
      <c r="G387" s="2">
        <f>IF(Source!$C387&gt;=COLUMNS($A387:G387), Source!$G387, "")</f>
        <v>4</v>
      </c>
      <c r="H387" s="2">
        <f>IF(Source!$C387&gt;=COLUMNS($A387:H387), Source!$G387, "")</f>
        <v>4</v>
      </c>
      <c r="I387" s="2" t="str">
        <f>IF(Source!$C387&gt;=COLUMNS($A387:I387), Source!$G387, "")</f>
        <v/>
      </c>
      <c r="J387" s="2" t="str">
        <f>IF(Source!$C387&gt;=COLUMNS($A387:J387), Source!$G387, "")</f>
        <v/>
      </c>
      <c r="K387" s="2" t="str">
        <f>IF(Source!$C387&gt;=COLUMNS($A387:K387), Source!$G387, "")</f>
        <v/>
      </c>
      <c r="L387" s="2" t="str">
        <f>IF(Source!$C387&gt;=COLUMNS($A387:L387), Source!$G387, "")</f>
        <v/>
      </c>
      <c r="M387" s="2" t="str">
        <f>IF(Source!$C387&gt;=COLUMNS($A387:M387), Source!$G387, "")</f>
        <v/>
      </c>
      <c r="N387" s="2" t="str">
        <f>IF(Source!$C387&gt;=COLUMNS($A387:N387), Source!$G387, "")</f>
        <v/>
      </c>
      <c r="O387" s="2" t="str">
        <f>IF(Source!$C387&gt;=COLUMNS($A387:O387), Source!$G387, "")</f>
        <v/>
      </c>
      <c r="P387" s="2" t="str">
        <f>IF(Source!$C387&gt;=COLUMNS($A387:P387), Source!$G387, "")</f>
        <v/>
      </c>
      <c r="Q387" s="2" t="str">
        <f>IF(Source!$C387&gt;=COLUMNS($A387:Q387), Source!$G387, "")</f>
        <v/>
      </c>
      <c r="R387" s="2" t="str">
        <f>IF(Source!$C387&gt;=COLUMNS($A387:R387), Source!$G387, "")</f>
        <v/>
      </c>
      <c r="S387" s="2" t="str">
        <f>IF(Source!$C387&gt;=COLUMNS($A387:S387), Source!$G387, "")</f>
        <v/>
      </c>
      <c r="T387" s="2" t="str">
        <f>IF(Source!$C387&gt;=COLUMNS($A387:T387), Source!$G387, "")</f>
        <v/>
      </c>
      <c r="U387" s="2" t="str">
        <f>IF(Source!$C387&gt;=COLUMNS($A387:U387), Source!$G387, "")</f>
        <v/>
      </c>
      <c r="V387" s="2" t="str">
        <f>IF(Source!$C387&gt;=COLUMNS($A387:V387), Source!$G387, "")</f>
        <v/>
      </c>
      <c r="W387" s="2" t="str">
        <f>IF(Source!$C387&gt;=COLUMNS($A387:W387), Source!$G387, "")</f>
        <v/>
      </c>
      <c r="X387" s="2" t="str">
        <f>IF(Source!$C387&gt;=COLUMNS($A387:X387), Source!$G387, "")</f>
        <v/>
      </c>
      <c r="Y387" s="2" t="str">
        <f>IF(Source!$C387&gt;=COLUMNS($A387:Y387), Source!$G387, "")</f>
        <v/>
      </c>
      <c r="Z387" s="2" t="str">
        <f>IF(Source!$C387&gt;=COLUMNS($A387:Z387), Source!$G387, "")</f>
        <v/>
      </c>
      <c r="AA387" s="2" t="str">
        <f>IF(Source!$C387&gt;=COLUMNS($A387:AA387), Source!$G387, "")</f>
        <v/>
      </c>
      <c r="AB387" s="2" t="str">
        <f>IF(Source!$C387&gt;=COLUMNS($A387:AB387), Source!$G387, "")</f>
        <v/>
      </c>
      <c r="AC387" s="2" t="str">
        <f>IF(Source!$C387&gt;=COLUMNS($A387:AC387), Source!$G387, "")</f>
        <v/>
      </c>
      <c r="AD387" s="2" t="str">
        <f>IF(Source!$C387&gt;=COLUMNS($A387:AD387), Source!$G387, "")</f>
        <v/>
      </c>
      <c r="AE387" s="2" t="str">
        <f>IF(Source!$C387&gt;=COLUMNS($A387:AE387), Source!$G387, "")</f>
        <v/>
      </c>
      <c r="AF387" s="2" t="str">
        <f>IF(Source!$C387&gt;=COLUMNS($A387:AF387), Source!$G387, "")</f>
        <v/>
      </c>
      <c r="AG387" s="2" t="str">
        <f>IF(Source!$C387&gt;=COLUMNS($A387:AG387), Source!$G387, "")</f>
        <v/>
      </c>
      <c r="AH387" s="2" t="str">
        <f>IF(Source!$C387&gt;=COLUMNS($A387:AH387), Source!$G387, "")</f>
        <v/>
      </c>
      <c r="AI387" s="2" t="str">
        <f>IF(Source!$C387&gt;=COLUMNS($A387:AI387), Source!$G387, "")</f>
        <v/>
      </c>
      <c r="AJ387" s="2" t="str">
        <f>IF(Source!$C387&gt;=COLUMNS($A387:AJ387), Source!$G387, "")</f>
        <v/>
      </c>
      <c r="AK387" s="2" t="str">
        <f>IF(Source!$C387&gt;=COLUMNS($A387:AK387), Source!$G387, "")</f>
        <v/>
      </c>
      <c r="AL387" s="2" t="str">
        <f>IF(Source!$C387&gt;=COLUMNS($A387:AL387), Source!$G387, "")</f>
        <v/>
      </c>
      <c r="AM387" s="2" t="str">
        <f>IF(Source!$C387&gt;=COLUMNS($A387:AM387), Source!$G387, "")</f>
        <v/>
      </c>
      <c r="AN387" s="2" t="str">
        <f>IF(Source!$C387&gt;=COLUMNS($A387:AN387), Source!$G387, "")</f>
        <v/>
      </c>
      <c r="AO387" s="2" t="str">
        <f>IF(Source!$C387&gt;=COLUMNS($A387:AO387), Source!$G387, "")</f>
        <v/>
      </c>
      <c r="AP387" s="2" t="str">
        <f>IF(Source!$C387&gt;=COLUMNS($A387:AP387), Source!$G387, "")</f>
        <v/>
      </c>
      <c r="AQ387" s="2" t="str">
        <f>IF(Source!$C387&gt;=COLUMNS($A387:AQ387), Source!$G387, "")</f>
        <v/>
      </c>
      <c r="AR387" s="2" t="str">
        <f>IF(Source!$C387&gt;=COLUMNS($A387:AR387), Source!$G387, "")</f>
        <v/>
      </c>
    </row>
    <row r="388">
      <c r="A388" s="2">
        <f>IF(Source!$C388&gt;=COLUMNS($A388:A388), Source!$G388, "")</f>
        <v>9</v>
      </c>
      <c r="B388" s="2">
        <f>IF(Source!$C388&gt;=COLUMNS($A388:B388), Source!$G388, "")</f>
        <v>9</v>
      </c>
      <c r="C388" s="2">
        <f>IF(Source!$C388&gt;=COLUMNS($A388:C388), Source!$G388, "")</f>
        <v>9</v>
      </c>
      <c r="D388" s="2">
        <f>IF(Source!$C388&gt;=COLUMNS($A388:D388), Source!$G388, "")</f>
        <v>9</v>
      </c>
      <c r="E388" s="2">
        <f>IF(Source!$C388&gt;=COLUMNS($A388:E388), Source!$G388, "")</f>
        <v>9</v>
      </c>
      <c r="F388" s="2">
        <f>IF(Source!$C388&gt;=COLUMNS($A388:F388), Source!$G388, "")</f>
        <v>9</v>
      </c>
      <c r="G388" s="2">
        <f>IF(Source!$C388&gt;=COLUMNS($A388:G388), Source!$G388, "")</f>
        <v>9</v>
      </c>
      <c r="H388" s="2">
        <f>IF(Source!$C388&gt;=COLUMNS($A388:H388), Source!$G388, "")</f>
        <v>9</v>
      </c>
      <c r="I388" s="2">
        <f>IF(Source!$C388&gt;=COLUMNS($A388:I388), Source!$G388, "")</f>
        <v>9</v>
      </c>
      <c r="J388" s="2">
        <f>IF(Source!$C388&gt;=COLUMNS($A388:J388), Source!$G388, "")</f>
        <v>9</v>
      </c>
      <c r="K388" s="2">
        <f>IF(Source!$C388&gt;=COLUMNS($A388:K388), Source!$G388, "")</f>
        <v>9</v>
      </c>
      <c r="L388" s="2">
        <f>IF(Source!$C388&gt;=COLUMNS($A388:L388), Source!$G388, "")</f>
        <v>9</v>
      </c>
      <c r="M388" s="2">
        <f>IF(Source!$C388&gt;=COLUMNS($A388:M388), Source!$G388, "")</f>
        <v>9</v>
      </c>
      <c r="N388" s="2">
        <f>IF(Source!$C388&gt;=COLUMNS($A388:N388), Source!$G388, "")</f>
        <v>9</v>
      </c>
      <c r="O388" s="2">
        <f>IF(Source!$C388&gt;=COLUMNS($A388:O388), Source!$G388, "")</f>
        <v>9</v>
      </c>
      <c r="P388" s="2" t="str">
        <f>IF(Source!$C388&gt;=COLUMNS($A388:P388), Source!$G388, "")</f>
        <v/>
      </c>
      <c r="Q388" s="2" t="str">
        <f>IF(Source!$C388&gt;=COLUMNS($A388:Q388), Source!$G388, "")</f>
        <v/>
      </c>
      <c r="R388" s="2" t="str">
        <f>IF(Source!$C388&gt;=COLUMNS($A388:R388), Source!$G388, "")</f>
        <v/>
      </c>
      <c r="S388" s="2" t="str">
        <f>IF(Source!$C388&gt;=COLUMNS($A388:S388), Source!$G388, "")</f>
        <v/>
      </c>
      <c r="T388" s="2" t="str">
        <f>IF(Source!$C388&gt;=COLUMNS($A388:T388), Source!$G388, "")</f>
        <v/>
      </c>
      <c r="U388" s="2" t="str">
        <f>IF(Source!$C388&gt;=COLUMNS($A388:U388), Source!$G388, "")</f>
        <v/>
      </c>
      <c r="V388" s="2" t="str">
        <f>IF(Source!$C388&gt;=COLUMNS($A388:V388), Source!$G388, "")</f>
        <v/>
      </c>
      <c r="W388" s="2" t="str">
        <f>IF(Source!$C388&gt;=COLUMNS($A388:W388), Source!$G388, "")</f>
        <v/>
      </c>
      <c r="X388" s="2" t="str">
        <f>IF(Source!$C388&gt;=COLUMNS($A388:X388), Source!$G388, "")</f>
        <v/>
      </c>
      <c r="Y388" s="2" t="str">
        <f>IF(Source!$C388&gt;=COLUMNS($A388:Y388), Source!$G388, "")</f>
        <v/>
      </c>
      <c r="Z388" s="2" t="str">
        <f>IF(Source!$C388&gt;=COLUMNS($A388:Z388), Source!$G388, "")</f>
        <v/>
      </c>
      <c r="AA388" s="2" t="str">
        <f>IF(Source!$C388&gt;=COLUMNS($A388:AA388), Source!$G388, "")</f>
        <v/>
      </c>
      <c r="AB388" s="2" t="str">
        <f>IF(Source!$C388&gt;=COLUMNS($A388:AB388), Source!$G388, "")</f>
        <v/>
      </c>
      <c r="AC388" s="2" t="str">
        <f>IF(Source!$C388&gt;=COLUMNS($A388:AC388), Source!$G388, "")</f>
        <v/>
      </c>
      <c r="AD388" s="2" t="str">
        <f>IF(Source!$C388&gt;=COLUMNS($A388:AD388), Source!$G388, "")</f>
        <v/>
      </c>
      <c r="AE388" s="2" t="str">
        <f>IF(Source!$C388&gt;=COLUMNS($A388:AE388), Source!$G388, "")</f>
        <v/>
      </c>
      <c r="AF388" s="2" t="str">
        <f>IF(Source!$C388&gt;=COLUMNS($A388:AF388), Source!$G388, "")</f>
        <v/>
      </c>
      <c r="AG388" s="2" t="str">
        <f>IF(Source!$C388&gt;=COLUMNS($A388:AG388), Source!$G388, "")</f>
        <v/>
      </c>
      <c r="AH388" s="2" t="str">
        <f>IF(Source!$C388&gt;=COLUMNS($A388:AH388), Source!$G388, "")</f>
        <v/>
      </c>
      <c r="AI388" s="2" t="str">
        <f>IF(Source!$C388&gt;=COLUMNS($A388:AI388), Source!$G388, "")</f>
        <v/>
      </c>
      <c r="AJ388" s="2" t="str">
        <f>IF(Source!$C388&gt;=COLUMNS($A388:AJ388), Source!$G388, "")</f>
        <v/>
      </c>
      <c r="AK388" s="2" t="str">
        <f>IF(Source!$C388&gt;=COLUMNS($A388:AK388), Source!$G388, "")</f>
        <v/>
      </c>
      <c r="AL388" s="2" t="str">
        <f>IF(Source!$C388&gt;=COLUMNS($A388:AL388), Source!$G388, "")</f>
        <v/>
      </c>
      <c r="AM388" s="2" t="str">
        <f>IF(Source!$C388&gt;=COLUMNS($A388:AM388), Source!$G388, "")</f>
        <v/>
      </c>
      <c r="AN388" s="2" t="str">
        <f>IF(Source!$C388&gt;=COLUMNS($A388:AN388), Source!$G388, "")</f>
        <v/>
      </c>
      <c r="AO388" s="2" t="str">
        <f>IF(Source!$C388&gt;=COLUMNS($A388:AO388), Source!$G388, "")</f>
        <v/>
      </c>
      <c r="AP388" s="2" t="str">
        <f>IF(Source!$C388&gt;=COLUMNS($A388:AP388), Source!$G388, "")</f>
        <v/>
      </c>
      <c r="AQ388" s="2" t="str">
        <f>IF(Source!$C388&gt;=COLUMNS($A388:AQ388), Source!$G388, "")</f>
        <v/>
      </c>
      <c r="AR388" s="2" t="str">
        <f>IF(Source!$C388&gt;=COLUMNS($A388:AR388), Source!$G388, "")</f>
        <v/>
      </c>
    </row>
    <row r="389">
      <c r="A389" s="2">
        <f>IF(Source!$C389&gt;=COLUMNS($A389:A389), Source!$G389, "")</f>
        <v>8</v>
      </c>
      <c r="B389" s="2">
        <f>IF(Source!$C389&gt;=COLUMNS($A389:B389), Source!$G389, "")</f>
        <v>8</v>
      </c>
      <c r="C389" s="2">
        <f>IF(Source!$C389&gt;=COLUMNS($A389:C389), Source!$G389, "")</f>
        <v>8</v>
      </c>
      <c r="D389" s="2" t="str">
        <f>IF(Source!$C389&gt;=COLUMNS($A389:D389), Source!$G389, "")</f>
        <v/>
      </c>
      <c r="E389" s="2" t="str">
        <f>IF(Source!$C389&gt;=COLUMNS($A389:E389), Source!$G389, "")</f>
        <v/>
      </c>
      <c r="F389" s="2" t="str">
        <f>IF(Source!$C389&gt;=COLUMNS($A389:F389), Source!$G389, "")</f>
        <v/>
      </c>
      <c r="G389" s="2" t="str">
        <f>IF(Source!$C389&gt;=COLUMNS($A389:G389), Source!$G389, "")</f>
        <v/>
      </c>
      <c r="H389" s="2" t="str">
        <f>IF(Source!$C389&gt;=COLUMNS($A389:H389), Source!$G389, "")</f>
        <v/>
      </c>
      <c r="I389" s="2" t="str">
        <f>IF(Source!$C389&gt;=COLUMNS($A389:I389), Source!$G389, "")</f>
        <v/>
      </c>
      <c r="J389" s="2" t="str">
        <f>IF(Source!$C389&gt;=COLUMNS($A389:J389), Source!$G389, "")</f>
        <v/>
      </c>
      <c r="K389" s="2" t="str">
        <f>IF(Source!$C389&gt;=COLUMNS($A389:K389), Source!$G389, "")</f>
        <v/>
      </c>
      <c r="L389" s="2" t="str">
        <f>IF(Source!$C389&gt;=COLUMNS($A389:L389), Source!$G389, "")</f>
        <v/>
      </c>
      <c r="M389" s="2" t="str">
        <f>IF(Source!$C389&gt;=COLUMNS($A389:M389), Source!$G389, "")</f>
        <v/>
      </c>
      <c r="N389" s="2" t="str">
        <f>IF(Source!$C389&gt;=COLUMNS($A389:N389), Source!$G389, "")</f>
        <v/>
      </c>
      <c r="O389" s="2" t="str">
        <f>IF(Source!$C389&gt;=COLUMNS($A389:O389), Source!$G389, "")</f>
        <v/>
      </c>
      <c r="P389" s="2" t="str">
        <f>IF(Source!$C389&gt;=COLUMNS($A389:P389), Source!$G389, "")</f>
        <v/>
      </c>
      <c r="Q389" s="2" t="str">
        <f>IF(Source!$C389&gt;=COLUMNS($A389:Q389), Source!$G389, "")</f>
        <v/>
      </c>
      <c r="R389" s="2" t="str">
        <f>IF(Source!$C389&gt;=COLUMNS($A389:R389), Source!$G389, "")</f>
        <v/>
      </c>
      <c r="S389" s="2" t="str">
        <f>IF(Source!$C389&gt;=COLUMNS($A389:S389), Source!$G389, "")</f>
        <v/>
      </c>
      <c r="T389" s="2" t="str">
        <f>IF(Source!$C389&gt;=COLUMNS($A389:T389), Source!$G389, "")</f>
        <v/>
      </c>
      <c r="U389" s="2" t="str">
        <f>IF(Source!$C389&gt;=COLUMNS($A389:U389), Source!$G389, "")</f>
        <v/>
      </c>
      <c r="V389" s="2" t="str">
        <f>IF(Source!$C389&gt;=COLUMNS($A389:V389), Source!$G389, "")</f>
        <v/>
      </c>
      <c r="W389" s="2" t="str">
        <f>IF(Source!$C389&gt;=COLUMNS($A389:W389), Source!$G389, "")</f>
        <v/>
      </c>
      <c r="X389" s="2" t="str">
        <f>IF(Source!$C389&gt;=COLUMNS($A389:X389), Source!$G389, "")</f>
        <v/>
      </c>
      <c r="Y389" s="2" t="str">
        <f>IF(Source!$C389&gt;=COLUMNS($A389:Y389), Source!$G389, "")</f>
        <v/>
      </c>
      <c r="Z389" s="2" t="str">
        <f>IF(Source!$C389&gt;=COLUMNS($A389:Z389), Source!$G389, "")</f>
        <v/>
      </c>
      <c r="AA389" s="2" t="str">
        <f>IF(Source!$C389&gt;=COLUMNS($A389:AA389), Source!$G389, "")</f>
        <v/>
      </c>
      <c r="AB389" s="2" t="str">
        <f>IF(Source!$C389&gt;=COLUMNS($A389:AB389), Source!$G389, "")</f>
        <v/>
      </c>
      <c r="AC389" s="2" t="str">
        <f>IF(Source!$C389&gt;=COLUMNS($A389:AC389), Source!$G389, "")</f>
        <v/>
      </c>
      <c r="AD389" s="2" t="str">
        <f>IF(Source!$C389&gt;=COLUMNS($A389:AD389), Source!$G389, "")</f>
        <v/>
      </c>
      <c r="AE389" s="2" t="str">
        <f>IF(Source!$C389&gt;=COLUMNS($A389:AE389), Source!$G389, "")</f>
        <v/>
      </c>
      <c r="AF389" s="2" t="str">
        <f>IF(Source!$C389&gt;=COLUMNS($A389:AF389), Source!$G389, "")</f>
        <v/>
      </c>
      <c r="AG389" s="2" t="str">
        <f>IF(Source!$C389&gt;=COLUMNS($A389:AG389), Source!$G389, "")</f>
        <v/>
      </c>
      <c r="AH389" s="2" t="str">
        <f>IF(Source!$C389&gt;=COLUMNS($A389:AH389), Source!$G389, "")</f>
        <v/>
      </c>
      <c r="AI389" s="2" t="str">
        <f>IF(Source!$C389&gt;=COLUMNS($A389:AI389), Source!$G389, "")</f>
        <v/>
      </c>
      <c r="AJ389" s="2" t="str">
        <f>IF(Source!$C389&gt;=COLUMNS($A389:AJ389), Source!$G389, "")</f>
        <v/>
      </c>
      <c r="AK389" s="2" t="str">
        <f>IF(Source!$C389&gt;=COLUMNS($A389:AK389), Source!$G389, "")</f>
        <v/>
      </c>
      <c r="AL389" s="2" t="str">
        <f>IF(Source!$C389&gt;=COLUMNS($A389:AL389), Source!$G389, "")</f>
        <v/>
      </c>
      <c r="AM389" s="2" t="str">
        <f>IF(Source!$C389&gt;=COLUMNS($A389:AM389), Source!$G389, "")</f>
        <v/>
      </c>
      <c r="AN389" s="2" t="str">
        <f>IF(Source!$C389&gt;=COLUMNS($A389:AN389), Source!$G389, "")</f>
        <v/>
      </c>
      <c r="AO389" s="2" t="str">
        <f>IF(Source!$C389&gt;=COLUMNS($A389:AO389), Source!$G389, "")</f>
        <v/>
      </c>
      <c r="AP389" s="2" t="str">
        <f>IF(Source!$C389&gt;=COLUMNS($A389:AP389), Source!$G389, "")</f>
        <v/>
      </c>
      <c r="AQ389" s="2" t="str">
        <f>IF(Source!$C389&gt;=COLUMNS($A389:AQ389), Source!$G389, "")</f>
        <v/>
      </c>
      <c r="AR389" s="2" t="str">
        <f>IF(Source!$C389&gt;=COLUMNS($A389:AR389), Source!$G389, "")</f>
        <v/>
      </c>
    </row>
    <row r="390">
      <c r="A390" s="2">
        <f>IF(Source!$C390&gt;=COLUMNS($A390:A390), Source!$G390, "")</f>
        <v>8</v>
      </c>
      <c r="B390" s="2">
        <f>IF(Source!$C390&gt;=COLUMNS($A390:B390), Source!$G390, "")</f>
        <v>8</v>
      </c>
      <c r="C390" s="2">
        <f>IF(Source!$C390&gt;=COLUMNS($A390:C390), Source!$G390, "")</f>
        <v>8</v>
      </c>
      <c r="D390" s="2">
        <f>IF(Source!$C390&gt;=COLUMNS($A390:D390), Source!$G390, "")</f>
        <v>8</v>
      </c>
      <c r="E390" s="2" t="str">
        <f>IF(Source!$C390&gt;=COLUMNS($A390:E390), Source!$G390, "")</f>
        <v/>
      </c>
      <c r="F390" s="2" t="str">
        <f>IF(Source!$C390&gt;=COLUMNS($A390:F390), Source!$G390, "")</f>
        <v/>
      </c>
      <c r="G390" s="2" t="str">
        <f>IF(Source!$C390&gt;=COLUMNS($A390:G390), Source!$G390, "")</f>
        <v/>
      </c>
      <c r="H390" s="2" t="str">
        <f>IF(Source!$C390&gt;=COLUMNS($A390:H390), Source!$G390, "")</f>
        <v/>
      </c>
      <c r="I390" s="2" t="str">
        <f>IF(Source!$C390&gt;=COLUMNS($A390:I390), Source!$G390, "")</f>
        <v/>
      </c>
      <c r="J390" s="2" t="str">
        <f>IF(Source!$C390&gt;=COLUMNS($A390:J390), Source!$G390, "")</f>
        <v/>
      </c>
      <c r="K390" s="2" t="str">
        <f>IF(Source!$C390&gt;=COLUMNS($A390:K390), Source!$G390, "")</f>
        <v/>
      </c>
      <c r="L390" s="2" t="str">
        <f>IF(Source!$C390&gt;=COLUMNS($A390:L390), Source!$G390, "")</f>
        <v/>
      </c>
      <c r="M390" s="2" t="str">
        <f>IF(Source!$C390&gt;=COLUMNS($A390:M390), Source!$G390, "")</f>
        <v/>
      </c>
      <c r="N390" s="2" t="str">
        <f>IF(Source!$C390&gt;=COLUMNS($A390:N390), Source!$G390, "")</f>
        <v/>
      </c>
      <c r="O390" s="2" t="str">
        <f>IF(Source!$C390&gt;=COLUMNS($A390:O390), Source!$G390, "")</f>
        <v/>
      </c>
      <c r="P390" s="2" t="str">
        <f>IF(Source!$C390&gt;=COLUMNS($A390:P390), Source!$G390, "")</f>
        <v/>
      </c>
      <c r="Q390" s="2" t="str">
        <f>IF(Source!$C390&gt;=COLUMNS($A390:Q390), Source!$G390, "")</f>
        <v/>
      </c>
      <c r="R390" s="2" t="str">
        <f>IF(Source!$C390&gt;=COLUMNS($A390:R390), Source!$G390, "")</f>
        <v/>
      </c>
      <c r="S390" s="2" t="str">
        <f>IF(Source!$C390&gt;=COLUMNS($A390:S390), Source!$G390, "")</f>
        <v/>
      </c>
      <c r="T390" s="2" t="str">
        <f>IF(Source!$C390&gt;=COLUMNS($A390:T390), Source!$G390, "")</f>
        <v/>
      </c>
      <c r="U390" s="2" t="str">
        <f>IF(Source!$C390&gt;=COLUMNS($A390:U390), Source!$G390, "")</f>
        <v/>
      </c>
      <c r="V390" s="2" t="str">
        <f>IF(Source!$C390&gt;=COLUMNS($A390:V390), Source!$G390, "")</f>
        <v/>
      </c>
      <c r="W390" s="2" t="str">
        <f>IF(Source!$C390&gt;=COLUMNS($A390:W390), Source!$G390, "")</f>
        <v/>
      </c>
      <c r="X390" s="2" t="str">
        <f>IF(Source!$C390&gt;=COLUMNS($A390:X390), Source!$G390, "")</f>
        <v/>
      </c>
      <c r="Y390" s="2" t="str">
        <f>IF(Source!$C390&gt;=COLUMNS($A390:Y390), Source!$G390, "")</f>
        <v/>
      </c>
      <c r="Z390" s="2" t="str">
        <f>IF(Source!$C390&gt;=COLUMNS($A390:Z390), Source!$G390, "")</f>
        <v/>
      </c>
      <c r="AA390" s="2" t="str">
        <f>IF(Source!$C390&gt;=COLUMNS($A390:AA390), Source!$G390, "")</f>
        <v/>
      </c>
      <c r="AB390" s="2" t="str">
        <f>IF(Source!$C390&gt;=COLUMNS($A390:AB390), Source!$G390, "")</f>
        <v/>
      </c>
      <c r="AC390" s="2" t="str">
        <f>IF(Source!$C390&gt;=COLUMNS($A390:AC390), Source!$G390, "")</f>
        <v/>
      </c>
      <c r="AD390" s="2" t="str">
        <f>IF(Source!$C390&gt;=COLUMNS($A390:AD390), Source!$G390, "")</f>
        <v/>
      </c>
      <c r="AE390" s="2" t="str">
        <f>IF(Source!$C390&gt;=COLUMNS($A390:AE390), Source!$G390, "")</f>
        <v/>
      </c>
      <c r="AF390" s="2" t="str">
        <f>IF(Source!$C390&gt;=COLUMNS($A390:AF390), Source!$G390, "")</f>
        <v/>
      </c>
      <c r="AG390" s="2" t="str">
        <f>IF(Source!$C390&gt;=COLUMNS($A390:AG390), Source!$G390, "")</f>
        <v/>
      </c>
      <c r="AH390" s="2" t="str">
        <f>IF(Source!$C390&gt;=COLUMNS($A390:AH390), Source!$G390, "")</f>
        <v/>
      </c>
      <c r="AI390" s="2" t="str">
        <f>IF(Source!$C390&gt;=COLUMNS($A390:AI390), Source!$G390, "")</f>
        <v/>
      </c>
      <c r="AJ390" s="2" t="str">
        <f>IF(Source!$C390&gt;=COLUMNS($A390:AJ390), Source!$G390, "")</f>
        <v/>
      </c>
      <c r="AK390" s="2" t="str">
        <f>IF(Source!$C390&gt;=COLUMNS($A390:AK390), Source!$G390, "")</f>
        <v/>
      </c>
      <c r="AL390" s="2" t="str">
        <f>IF(Source!$C390&gt;=COLUMNS($A390:AL390), Source!$G390, "")</f>
        <v/>
      </c>
      <c r="AM390" s="2" t="str">
        <f>IF(Source!$C390&gt;=COLUMNS($A390:AM390), Source!$G390, "")</f>
        <v/>
      </c>
      <c r="AN390" s="2" t="str">
        <f>IF(Source!$C390&gt;=COLUMNS($A390:AN390), Source!$G390, "")</f>
        <v/>
      </c>
      <c r="AO390" s="2" t="str">
        <f>IF(Source!$C390&gt;=COLUMNS($A390:AO390), Source!$G390, "")</f>
        <v/>
      </c>
      <c r="AP390" s="2" t="str">
        <f>IF(Source!$C390&gt;=COLUMNS($A390:AP390), Source!$G390, "")</f>
        <v/>
      </c>
      <c r="AQ390" s="2" t="str">
        <f>IF(Source!$C390&gt;=COLUMNS($A390:AQ390), Source!$G390, "")</f>
        <v/>
      </c>
      <c r="AR390" s="2" t="str">
        <f>IF(Source!$C390&gt;=COLUMNS($A390:AR390), Source!$G390, "")</f>
        <v/>
      </c>
    </row>
    <row r="391">
      <c r="A391" s="2">
        <f>IF(Source!$C391&gt;=COLUMNS($A391:A391), Source!$G391, "")</f>
        <v>4</v>
      </c>
      <c r="B391" s="2">
        <f>IF(Source!$C391&gt;=COLUMNS($A391:B391), Source!$G391, "")</f>
        <v>4</v>
      </c>
      <c r="C391" s="2">
        <f>IF(Source!$C391&gt;=COLUMNS($A391:C391), Source!$G391, "")</f>
        <v>4</v>
      </c>
      <c r="D391" s="2">
        <f>IF(Source!$C391&gt;=COLUMNS($A391:D391), Source!$G391, "")</f>
        <v>4</v>
      </c>
      <c r="E391" s="2" t="str">
        <f>IF(Source!$C391&gt;=COLUMNS($A391:E391), Source!$G391, "")</f>
        <v/>
      </c>
      <c r="F391" s="2" t="str">
        <f>IF(Source!$C391&gt;=COLUMNS($A391:F391), Source!$G391, "")</f>
        <v/>
      </c>
      <c r="G391" s="2" t="str">
        <f>IF(Source!$C391&gt;=COLUMNS($A391:G391), Source!$G391, "")</f>
        <v/>
      </c>
      <c r="H391" s="2" t="str">
        <f>IF(Source!$C391&gt;=COLUMNS($A391:H391), Source!$G391, "")</f>
        <v/>
      </c>
      <c r="I391" s="2" t="str">
        <f>IF(Source!$C391&gt;=COLUMNS($A391:I391), Source!$G391, "")</f>
        <v/>
      </c>
      <c r="J391" s="2" t="str">
        <f>IF(Source!$C391&gt;=COLUMNS($A391:J391), Source!$G391, "")</f>
        <v/>
      </c>
      <c r="K391" s="2" t="str">
        <f>IF(Source!$C391&gt;=COLUMNS($A391:K391), Source!$G391, "")</f>
        <v/>
      </c>
      <c r="L391" s="2" t="str">
        <f>IF(Source!$C391&gt;=COLUMNS($A391:L391), Source!$G391, "")</f>
        <v/>
      </c>
      <c r="M391" s="2" t="str">
        <f>IF(Source!$C391&gt;=COLUMNS($A391:M391), Source!$G391, "")</f>
        <v/>
      </c>
      <c r="N391" s="2" t="str">
        <f>IF(Source!$C391&gt;=COLUMNS($A391:N391), Source!$G391, "")</f>
        <v/>
      </c>
      <c r="O391" s="2" t="str">
        <f>IF(Source!$C391&gt;=COLUMNS($A391:O391), Source!$G391, "")</f>
        <v/>
      </c>
      <c r="P391" s="2" t="str">
        <f>IF(Source!$C391&gt;=COLUMNS($A391:P391), Source!$G391, "")</f>
        <v/>
      </c>
      <c r="Q391" s="2" t="str">
        <f>IF(Source!$C391&gt;=COLUMNS($A391:Q391), Source!$G391, "")</f>
        <v/>
      </c>
      <c r="R391" s="2" t="str">
        <f>IF(Source!$C391&gt;=COLUMNS($A391:R391), Source!$G391, "")</f>
        <v/>
      </c>
      <c r="S391" s="2" t="str">
        <f>IF(Source!$C391&gt;=COLUMNS($A391:S391), Source!$G391, "")</f>
        <v/>
      </c>
      <c r="T391" s="2" t="str">
        <f>IF(Source!$C391&gt;=COLUMNS($A391:T391), Source!$G391, "")</f>
        <v/>
      </c>
      <c r="U391" s="2" t="str">
        <f>IF(Source!$C391&gt;=COLUMNS($A391:U391), Source!$G391, "")</f>
        <v/>
      </c>
      <c r="V391" s="2" t="str">
        <f>IF(Source!$C391&gt;=COLUMNS($A391:V391), Source!$G391, "")</f>
        <v/>
      </c>
      <c r="W391" s="2" t="str">
        <f>IF(Source!$C391&gt;=COLUMNS($A391:W391), Source!$G391, "")</f>
        <v/>
      </c>
      <c r="X391" s="2" t="str">
        <f>IF(Source!$C391&gt;=COLUMNS($A391:X391), Source!$G391, "")</f>
        <v/>
      </c>
      <c r="Y391" s="2" t="str">
        <f>IF(Source!$C391&gt;=COLUMNS($A391:Y391), Source!$G391, "")</f>
        <v/>
      </c>
      <c r="Z391" s="2" t="str">
        <f>IF(Source!$C391&gt;=COLUMNS($A391:Z391), Source!$G391, "")</f>
        <v/>
      </c>
      <c r="AA391" s="2" t="str">
        <f>IF(Source!$C391&gt;=COLUMNS($A391:AA391), Source!$G391, "")</f>
        <v/>
      </c>
      <c r="AB391" s="2" t="str">
        <f>IF(Source!$C391&gt;=COLUMNS($A391:AB391), Source!$G391, "")</f>
        <v/>
      </c>
      <c r="AC391" s="2" t="str">
        <f>IF(Source!$C391&gt;=COLUMNS($A391:AC391), Source!$G391, "")</f>
        <v/>
      </c>
      <c r="AD391" s="2" t="str">
        <f>IF(Source!$C391&gt;=COLUMNS($A391:AD391), Source!$G391, "")</f>
        <v/>
      </c>
      <c r="AE391" s="2" t="str">
        <f>IF(Source!$C391&gt;=COLUMNS($A391:AE391), Source!$G391, "")</f>
        <v/>
      </c>
      <c r="AF391" s="2" t="str">
        <f>IF(Source!$C391&gt;=COLUMNS($A391:AF391), Source!$G391, "")</f>
        <v/>
      </c>
      <c r="AG391" s="2" t="str">
        <f>IF(Source!$C391&gt;=COLUMNS($A391:AG391), Source!$G391, "")</f>
        <v/>
      </c>
      <c r="AH391" s="2" t="str">
        <f>IF(Source!$C391&gt;=COLUMNS($A391:AH391), Source!$G391, "")</f>
        <v/>
      </c>
      <c r="AI391" s="2" t="str">
        <f>IF(Source!$C391&gt;=COLUMNS($A391:AI391), Source!$G391, "")</f>
        <v/>
      </c>
      <c r="AJ391" s="2" t="str">
        <f>IF(Source!$C391&gt;=COLUMNS($A391:AJ391), Source!$G391, "")</f>
        <v/>
      </c>
      <c r="AK391" s="2" t="str">
        <f>IF(Source!$C391&gt;=COLUMNS($A391:AK391), Source!$G391, "")</f>
        <v/>
      </c>
      <c r="AL391" s="2" t="str">
        <f>IF(Source!$C391&gt;=COLUMNS($A391:AL391), Source!$G391, "")</f>
        <v/>
      </c>
      <c r="AM391" s="2" t="str">
        <f>IF(Source!$C391&gt;=COLUMNS($A391:AM391), Source!$G391, "")</f>
        <v/>
      </c>
      <c r="AN391" s="2" t="str">
        <f>IF(Source!$C391&gt;=COLUMNS($A391:AN391), Source!$G391, "")</f>
        <v/>
      </c>
      <c r="AO391" s="2" t="str">
        <f>IF(Source!$C391&gt;=COLUMNS($A391:AO391), Source!$G391, "")</f>
        <v/>
      </c>
      <c r="AP391" s="2" t="str">
        <f>IF(Source!$C391&gt;=COLUMNS($A391:AP391), Source!$G391, "")</f>
        <v/>
      </c>
      <c r="AQ391" s="2" t="str">
        <f>IF(Source!$C391&gt;=COLUMNS($A391:AQ391), Source!$G391, "")</f>
        <v/>
      </c>
      <c r="AR391" s="2" t="str">
        <f>IF(Source!$C391&gt;=COLUMNS($A391:AR391), Source!$G391, "")</f>
        <v/>
      </c>
    </row>
    <row r="392">
      <c r="A392" s="2">
        <f>IF(Source!$C392&gt;=COLUMNS($A392:A392), Source!$G392, "")</f>
        <v>4</v>
      </c>
      <c r="B392" s="2">
        <f>IF(Source!$C392&gt;=COLUMNS($A392:B392), Source!$G392, "")</f>
        <v>4</v>
      </c>
      <c r="C392" s="2">
        <f>IF(Source!$C392&gt;=COLUMNS($A392:C392), Source!$G392, "")</f>
        <v>4</v>
      </c>
      <c r="D392" s="2">
        <f>IF(Source!$C392&gt;=COLUMNS($A392:D392), Source!$G392, "")</f>
        <v>4</v>
      </c>
      <c r="E392" s="2">
        <f>IF(Source!$C392&gt;=COLUMNS($A392:E392), Source!$G392, "")</f>
        <v>4</v>
      </c>
      <c r="F392" s="2">
        <f>IF(Source!$C392&gt;=COLUMNS($A392:F392), Source!$G392, "")</f>
        <v>4</v>
      </c>
      <c r="G392" s="2">
        <f>IF(Source!$C392&gt;=COLUMNS($A392:G392), Source!$G392, "")</f>
        <v>4</v>
      </c>
      <c r="H392" s="2">
        <f>IF(Source!$C392&gt;=COLUMNS($A392:H392), Source!$G392, "")</f>
        <v>4</v>
      </c>
      <c r="I392" s="2">
        <f>IF(Source!$C392&gt;=COLUMNS($A392:I392), Source!$G392, "")</f>
        <v>4</v>
      </c>
      <c r="J392" s="2">
        <f>IF(Source!$C392&gt;=COLUMNS($A392:J392), Source!$G392, "")</f>
        <v>4</v>
      </c>
      <c r="K392" s="2" t="str">
        <f>IF(Source!$C392&gt;=COLUMNS($A392:K392), Source!$G392, "")</f>
        <v/>
      </c>
      <c r="L392" s="2" t="str">
        <f>IF(Source!$C392&gt;=COLUMNS($A392:L392), Source!$G392, "")</f>
        <v/>
      </c>
      <c r="M392" s="2" t="str">
        <f>IF(Source!$C392&gt;=COLUMNS($A392:M392), Source!$G392, "")</f>
        <v/>
      </c>
      <c r="N392" s="2" t="str">
        <f>IF(Source!$C392&gt;=COLUMNS($A392:N392), Source!$G392, "")</f>
        <v/>
      </c>
      <c r="O392" s="2" t="str">
        <f>IF(Source!$C392&gt;=COLUMNS($A392:O392), Source!$G392, "")</f>
        <v/>
      </c>
      <c r="P392" s="2" t="str">
        <f>IF(Source!$C392&gt;=COLUMNS($A392:P392), Source!$G392, "")</f>
        <v/>
      </c>
      <c r="Q392" s="2" t="str">
        <f>IF(Source!$C392&gt;=COLUMNS($A392:Q392), Source!$G392, "")</f>
        <v/>
      </c>
      <c r="R392" s="2" t="str">
        <f>IF(Source!$C392&gt;=COLUMNS($A392:R392), Source!$G392, "")</f>
        <v/>
      </c>
      <c r="S392" s="2" t="str">
        <f>IF(Source!$C392&gt;=COLUMNS($A392:S392), Source!$G392, "")</f>
        <v/>
      </c>
      <c r="T392" s="2" t="str">
        <f>IF(Source!$C392&gt;=COLUMNS($A392:T392), Source!$G392, "")</f>
        <v/>
      </c>
      <c r="U392" s="2" t="str">
        <f>IF(Source!$C392&gt;=COLUMNS($A392:U392), Source!$G392, "")</f>
        <v/>
      </c>
      <c r="V392" s="2" t="str">
        <f>IF(Source!$C392&gt;=COLUMNS($A392:V392), Source!$G392, "")</f>
        <v/>
      </c>
      <c r="W392" s="2" t="str">
        <f>IF(Source!$C392&gt;=COLUMNS($A392:W392), Source!$G392, "")</f>
        <v/>
      </c>
      <c r="X392" s="2" t="str">
        <f>IF(Source!$C392&gt;=COLUMNS($A392:X392), Source!$G392, "")</f>
        <v/>
      </c>
      <c r="Y392" s="2" t="str">
        <f>IF(Source!$C392&gt;=COLUMNS($A392:Y392), Source!$G392, "")</f>
        <v/>
      </c>
      <c r="Z392" s="2" t="str">
        <f>IF(Source!$C392&gt;=COLUMNS($A392:Z392), Source!$G392, "")</f>
        <v/>
      </c>
      <c r="AA392" s="2" t="str">
        <f>IF(Source!$C392&gt;=COLUMNS($A392:AA392), Source!$G392, "")</f>
        <v/>
      </c>
      <c r="AB392" s="2" t="str">
        <f>IF(Source!$C392&gt;=COLUMNS($A392:AB392), Source!$G392, "")</f>
        <v/>
      </c>
      <c r="AC392" s="2" t="str">
        <f>IF(Source!$C392&gt;=COLUMNS($A392:AC392), Source!$G392, "")</f>
        <v/>
      </c>
      <c r="AD392" s="2" t="str">
        <f>IF(Source!$C392&gt;=COLUMNS($A392:AD392), Source!$G392, "")</f>
        <v/>
      </c>
      <c r="AE392" s="2" t="str">
        <f>IF(Source!$C392&gt;=COLUMNS($A392:AE392), Source!$G392, "")</f>
        <v/>
      </c>
      <c r="AF392" s="2" t="str">
        <f>IF(Source!$C392&gt;=COLUMNS($A392:AF392), Source!$G392, "")</f>
        <v/>
      </c>
      <c r="AG392" s="2" t="str">
        <f>IF(Source!$C392&gt;=COLUMNS($A392:AG392), Source!$G392, "")</f>
        <v/>
      </c>
      <c r="AH392" s="2" t="str">
        <f>IF(Source!$C392&gt;=COLUMNS($A392:AH392), Source!$G392, "")</f>
        <v/>
      </c>
      <c r="AI392" s="2" t="str">
        <f>IF(Source!$C392&gt;=COLUMNS($A392:AI392), Source!$G392, "")</f>
        <v/>
      </c>
      <c r="AJ392" s="2" t="str">
        <f>IF(Source!$C392&gt;=COLUMNS($A392:AJ392), Source!$G392, "")</f>
        <v/>
      </c>
      <c r="AK392" s="2" t="str">
        <f>IF(Source!$C392&gt;=COLUMNS($A392:AK392), Source!$G392, "")</f>
        <v/>
      </c>
      <c r="AL392" s="2" t="str">
        <f>IF(Source!$C392&gt;=COLUMNS($A392:AL392), Source!$G392, "")</f>
        <v/>
      </c>
      <c r="AM392" s="2" t="str">
        <f>IF(Source!$C392&gt;=COLUMNS($A392:AM392), Source!$G392, "")</f>
        <v/>
      </c>
      <c r="AN392" s="2" t="str">
        <f>IF(Source!$C392&gt;=COLUMNS($A392:AN392), Source!$G392, "")</f>
        <v/>
      </c>
      <c r="AO392" s="2" t="str">
        <f>IF(Source!$C392&gt;=COLUMNS($A392:AO392), Source!$G392, "")</f>
        <v/>
      </c>
      <c r="AP392" s="2" t="str">
        <f>IF(Source!$C392&gt;=COLUMNS($A392:AP392), Source!$G392, "")</f>
        <v/>
      </c>
      <c r="AQ392" s="2" t="str">
        <f>IF(Source!$C392&gt;=COLUMNS($A392:AQ392), Source!$G392, "")</f>
        <v/>
      </c>
      <c r="AR392" s="2" t="str">
        <f>IF(Source!$C392&gt;=COLUMNS($A392:AR392), Source!$G392, "")</f>
        <v/>
      </c>
    </row>
    <row r="393">
      <c r="A393" s="2">
        <f>IF(Source!$C393&gt;=COLUMNS($A393:A393), Source!$G393, "")</f>
        <v>5</v>
      </c>
      <c r="B393" s="2">
        <f>IF(Source!$C393&gt;=COLUMNS($A393:B393), Source!$G393, "")</f>
        <v>5</v>
      </c>
      <c r="C393" s="2">
        <f>IF(Source!$C393&gt;=COLUMNS($A393:C393), Source!$G393, "")</f>
        <v>5</v>
      </c>
      <c r="D393" s="2">
        <f>IF(Source!$C393&gt;=COLUMNS($A393:D393), Source!$G393, "")</f>
        <v>5</v>
      </c>
      <c r="E393" s="2" t="str">
        <f>IF(Source!$C393&gt;=COLUMNS($A393:E393), Source!$G393, "")</f>
        <v/>
      </c>
      <c r="F393" s="2" t="str">
        <f>IF(Source!$C393&gt;=COLUMNS($A393:F393), Source!$G393, "")</f>
        <v/>
      </c>
      <c r="G393" s="2" t="str">
        <f>IF(Source!$C393&gt;=COLUMNS($A393:G393), Source!$G393, "")</f>
        <v/>
      </c>
      <c r="H393" s="2" t="str">
        <f>IF(Source!$C393&gt;=COLUMNS($A393:H393), Source!$G393, "")</f>
        <v/>
      </c>
      <c r="I393" s="2" t="str">
        <f>IF(Source!$C393&gt;=COLUMNS($A393:I393), Source!$G393, "")</f>
        <v/>
      </c>
      <c r="J393" s="2" t="str">
        <f>IF(Source!$C393&gt;=COLUMNS($A393:J393), Source!$G393, "")</f>
        <v/>
      </c>
      <c r="K393" s="2" t="str">
        <f>IF(Source!$C393&gt;=COLUMNS($A393:K393), Source!$G393, "")</f>
        <v/>
      </c>
      <c r="L393" s="2" t="str">
        <f>IF(Source!$C393&gt;=COLUMNS($A393:L393), Source!$G393, "")</f>
        <v/>
      </c>
      <c r="M393" s="2" t="str">
        <f>IF(Source!$C393&gt;=COLUMNS($A393:M393), Source!$G393, "")</f>
        <v/>
      </c>
      <c r="N393" s="2" t="str">
        <f>IF(Source!$C393&gt;=COLUMNS($A393:N393), Source!$G393, "")</f>
        <v/>
      </c>
      <c r="O393" s="2" t="str">
        <f>IF(Source!$C393&gt;=COLUMNS($A393:O393), Source!$G393, "")</f>
        <v/>
      </c>
      <c r="P393" s="2" t="str">
        <f>IF(Source!$C393&gt;=COLUMNS($A393:P393), Source!$G393, "")</f>
        <v/>
      </c>
      <c r="Q393" s="2" t="str">
        <f>IF(Source!$C393&gt;=COLUMNS($A393:Q393), Source!$G393, "")</f>
        <v/>
      </c>
      <c r="R393" s="2" t="str">
        <f>IF(Source!$C393&gt;=COLUMNS($A393:R393), Source!$G393, "")</f>
        <v/>
      </c>
      <c r="S393" s="2" t="str">
        <f>IF(Source!$C393&gt;=COLUMNS($A393:S393), Source!$G393, "")</f>
        <v/>
      </c>
      <c r="T393" s="2" t="str">
        <f>IF(Source!$C393&gt;=COLUMNS($A393:T393), Source!$G393, "")</f>
        <v/>
      </c>
      <c r="U393" s="2" t="str">
        <f>IF(Source!$C393&gt;=COLUMNS($A393:U393), Source!$G393, "")</f>
        <v/>
      </c>
      <c r="V393" s="2" t="str">
        <f>IF(Source!$C393&gt;=COLUMNS($A393:V393), Source!$G393, "")</f>
        <v/>
      </c>
      <c r="W393" s="2" t="str">
        <f>IF(Source!$C393&gt;=COLUMNS($A393:W393), Source!$G393, "")</f>
        <v/>
      </c>
      <c r="X393" s="2" t="str">
        <f>IF(Source!$C393&gt;=COLUMNS($A393:X393), Source!$G393, "")</f>
        <v/>
      </c>
      <c r="Y393" s="2" t="str">
        <f>IF(Source!$C393&gt;=COLUMNS($A393:Y393), Source!$G393, "")</f>
        <v/>
      </c>
      <c r="Z393" s="2" t="str">
        <f>IF(Source!$C393&gt;=COLUMNS($A393:Z393), Source!$G393, "")</f>
        <v/>
      </c>
      <c r="AA393" s="2" t="str">
        <f>IF(Source!$C393&gt;=COLUMNS($A393:AA393), Source!$G393, "")</f>
        <v/>
      </c>
      <c r="AB393" s="2" t="str">
        <f>IF(Source!$C393&gt;=COLUMNS($A393:AB393), Source!$G393, "")</f>
        <v/>
      </c>
      <c r="AC393" s="2" t="str">
        <f>IF(Source!$C393&gt;=COLUMNS($A393:AC393), Source!$G393, "")</f>
        <v/>
      </c>
      <c r="AD393" s="2" t="str">
        <f>IF(Source!$C393&gt;=COLUMNS($A393:AD393), Source!$G393, "")</f>
        <v/>
      </c>
      <c r="AE393" s="2" t="str">
        <f>IF(Source!$C393&gt;=COLUMNS($A393:AE393), Source!$G393, "")</f>
        <v/>
      </c>
      <c r="AF393" s="2" t="str">
        <f>IF(Source!$C393&gt;=COLUMNS($A393:AF393), Source!$G393, "")</f>
        <v/>
      </c>
      <c r="AG393" s="2" t="str">
        <f>IF(Source!$C393&gt;=COLUMNS($A393:AG393), Source!$G393, "")</f>
        <v/>
      </c>
      <c r="AH393" s="2" t="str">
        <f>IF(Source!$C393&gt;=COLUMNS($A393:AH393), Source!$G393, "")</f>
        <v/>
      </c>
      <c r="AI393" s="2" t="str">
        <f>IF(Source!$C393&gt;=COLUMNS($A393:AI393), Source!$G393, "")</f>
        <v/>
      </c>
      <c r="AJ393" s="2" t="str">
        <f>IF(Source!$C393&gt;=COLUMNS($A393:AJ393), Source!$G393, "")</f>
        <v/>
      </c>
      <c r="AK393" s="2" t="str">
        <f>IF(Source!$C393&gt;=COLUMNS($A393:AK393), Source!$G393, "")</f>
        <v/>
      </c>
      <c r="AL393" s="2" t="str">
        <f>IF(Source!$C393&gt;=COLUMNS($A393:AL393), Source!$G393, "")</f>
        <v/>
      </c>
      <c r="AM393" s="2" t="str">
        <f>IF(Source!$C393&gt;=COLUMNS($A393:AM393), Source!$G393, "")</f>
        <v/>
      </c>
      <c r="AN393" s="2" t="str">
        <f>IF(Source!$C393&gt;=COLUMNS($A393:AN393), Source!$G393, "")</f>
        <v/>
      </c>
      <c r="AO393" s="2" t="str">
        <f>IF(Source!$C393&gt;=COLUMNS($A393:AO393), Source!$G393, "")</f>
        <v/>
      </c>
      <c r="AP393" s="2" t="str">
        <f>IF(Source!$C393&gt;=COLUMNS($A393:AP393), Source!$G393, "")</f>
        <v/>
      </c>
      <c r="AQ393" s="2" t="str">
        <f>IF(Source!$C393&gt;=COLUMNS($A393:AQ393), Source!$G393, "")</f>
        <v/>
      </c>
      <c r="AR393" s="2" t="str">
        <f>IF(Source!$C393&gt;=COLUMNS($A393:AR393), Source!$G393, "")</f>
        <v/>
      </c>
    </row>
    <row r="394">
      <c r="A394" s="2">
        <f>IF(Source!$C394&gt;=COLUMNS($A394:A394), Source!$G394, "")</f>
        <v>2</v>
      </c>
      <c r="B394" s="2">
        <f>IF(Source!$C394&gt;=COLUMNS($A394:B394), Source!$G394, "")</f>
        <v>2</v>
      </c>
      <c r="C394" s="2" t="str">
        <f>IF(Source!$C394&gt;=COLUMNS($A394:C394), Source!$G394, "")</f>
        <v/>
      </c>
      <c r="D394" s="2" t="str">
        <f>IF(Source!$C394&gt;=COLUMNS($A394:D394), Source!$G394, "")</f>
        <v/>
      </c>
      <c r="E394" s="2" t="str">
        <f>IF(Source!$C394&gt;=COLUMNS($A394:E394), Source!$G394, "")</f>
        <v/>
      </c>
      <c r="F394" s="2" t="str">
        <f>IF(Source!$C394&gt;=COLUMNS($A394:F394), Source!$G394, "")</f>
        <v/>
      </c>
      <c r="G394" s="2" t="str">
        <f>IF(Source!$C394&gt;=COLUMNS($A394:G394), Source!$G394, "")</f>
        <v/>
      </c>
      <c r="H394" s="2" t="str">
        <f>IF(Source!$C394&gt;=COLUMNS($A394:H394), Source!$G394, "")</f>
        <v/>
      </c>
      <c r="I394" s="2" t="str">
        <f>IF(Source!$C394&gt;=COLUMNS($A394:I394), Source!$G394, "")</f>
        <v/>
      </c>
      <c r="J394" s="2" t="str">
        <f>IF(Source!$C394&gt;=COLUMNS($A394:J394), Source!$G394, "")</f>
        <v/>
      </c>
      <c r="K394" s="2" t="str">
        <f>IF(Source!$C394&gt;=COLUMNS($A394:K394), Source!$G394, "")</f>
        <v/>
      </c>
      <c r="L394" s="2" t="str">
        <f>IF(Source!$C394&gt;=COLUMNS($A394:L394), Source!$G394, "")</f>
        <v/>
      </c>
      <c r="M394" s="2" t="str">
        <f>IF(Source!$C394&gt;=COLUMNS($A394:M394), Source!$G394, "")</f>
        <v/>
      </c>
      <c r="N394" s="2" t="str">
        <f>IF(Source!$C394&gt;=COLUMNS($A394:N394), Source!$G394, "")</f>
        <v/>
      </c>
      <c r="O394" s="2" t="str">
        <f>IF(Source!$C394&gt;=COLUMNS($A394:O394), Source!$G394, "")</f>
        <v/>
      </c>
      <c r="P394" s="2" t="str">
        <f>IF(Source!$C394&gt;=COLUMNS($A394:P394), Source!$G394, "")</f>
        <v/>
      </c>
      <c r="Q394" s="2" t="str">
        <f>IF(Source!$C394&gt;=COLUMNS($A394:Q394), Source!$G394, "")</f>
        <v/>
      </c>
      <c r="R394" s="2" t="str">
        <f>IF(Source!$C394&gt;=COLUMNS($A394:R394), Source!$G394, "")</f>
        <v/>
      </c>
      <c r="S394" s="2" t="str">
        <f>IF(Source!$C394&gt;=COLUMNS($A394:S394), Source!$G394, "")</f>
        <v/>
      </c>
      <c r="T394" s="2" t="str">
        <f>IF(Source!$C394&gt;=COLUMNS($A394:T394), Source!$G394, "")</f>
        <v/>
      </c>
      <c r="U394" s="2" t="str">
        <f>IF(Source!$C394&gt;=COLUMNS($A394:U394), Source!$G394, "")</f>
        <v/>
      </c>
      <c r="V394" s="2" t="str">
        <f>IF(Source!$C394&gt;=COLUMNS($A394:V394), Source!$G394, "")</f>
        <v/>
      </c>
      <c r="W394" s="2" t="str">
        <f>IF(Source!$C394&gt;=COLUMNS($A394:W394), Source!$G394, "")</f>
        <v/>
      </c>
      <c r="X394" s="2" t="str">
        <f>IF(Source!$C394&gt;=COLUMNS($A394:X394), Source!$G394, "")</f>
        <v/>
      </c>
      <c r="Y394" s="2" t="str">
        <f>IF(Source!$C394&gt;=COLUMNS($A394:Y394), Source!$G394, "")</f>
        <v/>
      </c>
      <c r="Z394" s="2" t="str">
        <f>IF(Source!$C394&gt;=COLUMNS($A394:Z394), Source!$G394, "")</f>
        <v/>
      </c>
      <c r="AA394" s="2" t="str">
        <f>IF(Source!$C394&gt;=COLUMNS($A394:AA394), Source!$G394, "")</f>
        <v/>
      </c>
      <c r="AB394" s="2" t="str">
        <f>IF(Source!$C394&gt;=COLUMNS($A394:AB394), Source!$G394, "")</f>
        <v/>
      </c>
      <c r="AC394" s="2" t="str">
        <f>IF(Source!$C394&gt;=COLUMNS($A394:AC394), Source!$G394, "")</f>
        <v/>
      </c>
      <c r="AD394" s="2" t="str">
        <f>IF(Source!$C394&gt;=COLUMNS($A394:AD394), Source!$G394, "")</f>
        <v/>
      </c>
      <c r="AE394" s="2" t="str">
        <f>IF(Source!$C394&gt;=COLUMNS($A394:AE394), Source!$G394, "")</f>
        <v/>
      </c>
      <c r="AF394" s="2" t="str">
        <f>IF(Source!$C394&gt;=COLUMNS($A394:AF394), Source!$G394, "")</f>
        <v/>
      </c>
      <c r="AG394" s="2" t="str">
        <f>IF(Source!$C394&gt;=COLUMNS($A394:AG394), Source!$G394, "")</f>
        <v/>
      </c>
      <c r="AH394" s="2" t="str">
        <f>IF(Source!$C394&gt;=COLUMNS($A394:AH394), Source!$G394, "")</f>
        <v/>
      </c>
      <c r="AI394" s="2" t="str">
        <f>IF(Source!$C394&gt;=COLUMNS($A394:AI394), Source!$G394, "")</f>
        <v/>
      </c>
      <c r="AJ394" s="2" t="str">
        <f>IF(Source!$C394&gt;=COLUMNS($A394:AJ394), Source!$G394, "")</f>
        <v/>
      </c>
      <c r="AK394" s="2" t="str">
        <f>IF(Source!$C394&gt;=COLUMNS($A394:AK394), Source!$G394, "")</f>
        <v/>
      </c>
      <c r="AL394" s="2" t="str">
        <f>IF(Source!$C394&gt;=COLUMNS($A394:AL394), Source!$G394, "")</f>
        <v/>
      </c>
      <c r="AM394" s="2" t="str">
        <f>IF(Source!$C394&gt;=COLUMNS($A394:AM394), Source!$G394, "")</f>
        <v/>
      </c>
      <c r="AN394" s="2" t="str">
        <f>IF(Source!$C394&gt;=COLUMNS($A394:AN394), Source!$G394, "")</f>
        <v/>
      </c>
      <c r="AO394" s="2" t="str">
        <f>IF(Source!$C394&gt;=COLUMNS($A394:AO394), Source!$G394, "")</f>
        <v/>
      </c>
      <c r="AP394" s="2" t="str">
        <f>IF(Source!$C394&gt;=COLUMNS($A394:AP394), Source!$G394, "")</f>
        <v/>
      </c>
      <c r="AQ394" s="2" t="str">
        <f>IF(Source!$C394&gt;=COLUMNS($A394:AQ394), Source!$G394, "")</f>
        <v/>
      </c>
      <c r="AR394" s="2" t="str">
        <f>IF(Source!$C394&gt;=COLUMNS($A394:AR394), Source!$G394, "")</f>
        <v/>
      </c>
    </row>
    <row r="395">
      <c r="A395" s="2">
        <f>IF(Source!$C395&gt;=COLUMNS($A395:A395), Source!$G395, "")</f>
        <v>9</v>
      </c>
      <c r="B395" s="2">
        <f>IF(Source!$C395&gt;=COLUMNS($A395:B395), Source!$G395, "")</f>
        <v>9</v>
      </c>
      <c r="C395" s="2">
        <f>IF(Source!$C395&gt;=COLUMNS($A395:C395), Source!$G395, "")</f>
        <v>9</v>
      </c>
      <c r="D395" s="2">
        <f>IF(Source!$C395&gt;=COLUMNS($A395:D395), Source!$G395, "")</f>
        <v>9</v>
      </c>
      <c r="E395" s="2">
        <f>IF(Source!$C395&gt;=COLUMNS($A395:E395), Source!$G395, "")</f>
        <v>9</v>
      </c>
      <c r="F395" s="2">
        <f>IF(Source!$C395&gt;=COLUMNS($A395:F395), Source!$G395, "")</f>
        <v>9</v>
      </c>
      <c r="G395" s="2">
        <f>IF(Source!$C395&gt;=COLUMNS($A395:G395), Source!$G395, "")</f>
        <v>9</v>
      </c>
      <c r="H395" s="2">
        <f>IF(Source!$C395&gt;=COLUMNS($A395:H395), Source!$G395, "")</f>
        <v>9</v>
      </c>
      <c r="I395" s="2">
        <f>IF(Source!$C395&gt;=COLUMNS($A395:I395), Source!$G395, "")</f>
        <v>9</v>
      </c>
      <c r="J395" s="2">
        <f>IF(Source!$C395&gt;=COLUMNS($A395:J395), Source!$G395, "")</f>
        <v>9</v>
      </c>
      <c r="K395" s="2">
        <f>IF(Source!$C395&gt;=COLUMNS($A395:K395), Source!$G395, "")</f>
        <v>9</v>
      </c>
      <c r="L395" s="2" t="str">
        <f>IF(Source!$C395&gt;=COLUMNS($A395:L395), Source!$G395, "")</f>
        <v/>
      </c>
      <c r="M395" s="2" t="str">
        <f>IF(Source!$C395&gt;=COLUMNS($A395:M395), Source!$G395, "")</f>
        <v/>
      </c>
      <c r="N395" s="2" t="str">
        <f>IF(Source!$C395&gt;=COLUMNS($A395:N395), Source!$G395, "")</f>
        <v/>
      </c>
      <c r="O395" s="2" t="str">
        <f>IF(Source!$C395&gt;=COLUMNS($A395:O395), Source!$G395, "")</f>
        <v/>
      </c>
      <c r="P395" s="2" t="str">
        <f>IF(Source!$C395&gt;=COLUMNS($A395:P395), Source!$G395, "")</f>
        <v/>
      </c>
      <c r="Q395" s="2" t="str">
        <f>IF(Source!$C395&gt;=COLUMNS($A395:Q395), Source!$G395, "")</f>
        <v/>
      </c>
      <c r="R395" s="2" t="str">
        <f>IF(Source!$C395&gt;=COLUMNS($A395:R395), Source!$G395, "")</f>
        <v/>
      </c>
      <c r="S395" s="2" t="str">
        <f>IF(Source!$C395&gt;=COLUMNS($A395:S395), Source!$G395, "")</f>
        <v/>
      </c>
      <c r="T395" s="2" t="str">
        <f>IF(Source!$C395&gt;=COLUMNS($A395:T395), Source!$G395, "")</f>
        <v/>
      </c>
      <c r="U395" s="2" t="str">
        <f>IF(Source!$C395&gt;=COLUMNS($A395:U395), Source!$G395, "")</f>
        <v/>
      </c>
      <c r="V395" s="2" t="str">
        <f>IF(Source!$C395&gt;=COLUMNS($A395:V395), Source!$G395, "")</f>
        <v/>
      </c>
      <c r="W395" s="2" t="str">
        <f>IF(Source!$C395&gt;=COLUMNS($A395:W395), Source!$G395, "")</f>
        <v/>
      </c>
      <c r="X395" s="2" t="str">
        <f>IF(Source!$C395&gt;=COLUMNS($A395:X395), Source!$G395, "")</f>
        <v/>
      </c>
      <c r="Y395" s="2" t="str">
        <f>IF(Source!$C395&gt;=COLUMNS($A395:Y395), Source!$G395, "")</f>
        <v/>
      </c>
      <c r="Z395" s="2" t="str">
        <f>IF(Source!$C395&gt;=COLUMNS($A395:Z395), Source!$G395, "")</f>
        <v/>
      </c>
      <c r="AA395" s="2" t="str">
        <f>IF(Source!$C395&gt;=COLUMNS($A395:AA395), Source!$G395, "")</f>
        <v/>
      </c>
      <c r="AB395" s="2" t="str">
        <f>IF(Source!$C395&gt;=COLUMNS($A395:AB395), Source!$G395, "")</f>
        <v/>
      </c>
      <c r="AC395" s="2" t="str">
        <f>IF(Source!$C395&gt;=COLUMNS($A395:AC395), Source!$G395, "")</f>
        <v/>
      </c>
      <c r="AD395" s="2" t="str">
        <f>IF(Source!$C395&gt;=COLUMNS($A395:AD395), Source!$G395, "")</f>
        <v/>
      </c>
      <c r="AE395" s="2" t="str">
        <f>IF(Source!$C395&gt;=COLUMNS($A395:AE395), Source!$G395, "")</f>
        <v/>
      </c>
      <c r="AF395" s="2" t="str">
        <f>IF(Source!$C395&gt;=COLUMNS($A395:AF395), Source!$G395, "")</f>
        <v/>
      </c>
      <c r="AG395" s="2" t="str">
        <f>IF(Source!$C395&gt;=COLUMNS($A395:AG395), Source!$G395, "")</f>
        <v/>
      </c>
      <c r="AH395" s="2" t="str">
        <f>IF(Source!$C395&gt;=COLUMNS($A395:AH395), Source!$G395, "")</f>
        <v/>
      </c>
      <c r="AI395" s="2" t="str">
        <f>IF(Source!$C395&gt;=COLUMNS($A395:AI395), Source!$G395, "")</f>
        <v/>
      </c>
      <c r="AJ395" s="2" t="str">
        <f>IF(Source!$C395&gt;=COLUMNS($A395:AJ395), Source!$G395, "")</f>
        <v/>
      </c>
      <c r="AK395" s="2" t="str">
        <f>IF(Source!$C395&gt;=COLUMNS($A395:AK395), Source!$G395, "")</f>
        <v/>
      </c>
      <c r="AL395" s="2" t="str">
        <f>IF(Source!$C395&gt;=COLUMNS($A395:AL395), Source!$G395, "")</f>
        <v/>
      </c>
      <c r="AM395" s="2" t="str">
        <f>IF(Source!$C395&gt;=COLUMNS($A395:AM395), Source!$G395, "")</f>
        <v/>
      </c>
      <c r="AN395" s="2" t="str">
        <f>IF(Source!$C395&gt;=COLUMNS($A395:AN395), Source!$G395, "")</f>
        <v/>
      </c>
      <c r="AO395" s="2" t="str">
        <f>IF(Source!$C395&gt;=COLUMNS($A395:AO395), Source!$G395, "")</f>
        <v/>
      </c>
      <c r="AP395" s="2" t="str">
        <f>IF(Source!$C395&gt;=COLUMNS($A395:AP395), Source!$G395, "")</f>
        <v/>
      </c>
      <c r="AQ395" s="2" t="str">
        <f>IF(Source!$C395&gt;=COLUMNS($A395:AQ395), Source!$G395, "")</f>
        <v/>
      </c>
      <c r="AR395" s="2" t="str">
        <f>IF(Source!$C395&gt;=COLUMNS($A395:AR395), Source!$G395, "")</f>
        <v/>
      </c>
    </row>
    <row r="396">
      <c r="A396" s="2">
        <f>IF(Source!$C396&gt;=COLUMNS($A396:A396), Source!$G396, "")</f>
        <v>9</v>
      </c>
      <c r="B396" s="2">
        <f>IF(Source!$C396&gt;=COLUMNS($A396:B396), Source!$G396, "")</f>
        <v>9</v>
      </c>
      <c r="C396" s="2">
        <f>IF(Source!$C396&gt;=COLUMNS($A396:C396), Source!$G396, "")</f>
        <v>9</v>
      </c>
      <c r="D396" s="2">
        <f>IF(Source!$C396&gt;=COLUMNS($A396:D396), Source!$G396, "")</f>
        <v>9</v>
      </c>
      <c r="E396" s="2">
        <f>IF(Source!$C396&gt;=COLUMNS($A396:E396), Source!$G396, "")</f>
        <v>9</v>
      </c>
      <c r="F396" s="2">
        <f>IF(Source!$C396&gt;=COLUMNS($A396:F396), Source!$G396, "")</f>
        <v>9</v>
      </c>
      <c r="G396" s="2">
        <f>IF(Source!$C396&gt;=COLUMNS($A396:G396), Source!$G396, "")</f>
        <v>9</v>
      </c>
      <c r="H396" s="2">
        <f>IF(Source!$C396&gt;=COLUMNS($A396:H396), Source!$G396, "")</f>
        <v>9</v>
      </c>
      <c r="I396" s="2">
        <f>IF(Source!$C396&gt;=COLUMNS($A396:I396), Source!$G396, "")</f>
        <v>9</v>
      </c>
      <c r="J396" s="2">
        <f>IF(Source!$C396&gt;=COLUMNS($A396:J396), Source!$G396, "")</f>
        <v>9</v>
      </c>
      <c r="K396" s="2">
        <f>IF(Source!$C396&gt;=COLUMNS($A396:K396), Source!$G396, "")</f>
        <v>9</v>
      </c>
      <c r="L396" s="2">
        <f>IF(Source!$C396&gt;=COLUMNS($A396:L396), Source!$G396, "")</f>
        <v>9</v>
      </c>
      <c r="M396" s="2" t="str">
        <f>IF(Source!$C396&gt;=COLUMNS($A396:M396), Source!$G396, "")</f>
        <v/>
      </c>
      <c r="N396" s="2" t="str">
        <f>IF(Source!$C396&gt;=COLUMNS($A396:N396), Source!$G396, "")</f>
        <v/>
      </c>
      <c r="O396" s="2" t="str">
        <f>IF(Source!$C396&gt;=COLUMNS($A396:O396), Source!$G396, "")</f>
        <v/>
      </c>
      <c r="P396" s="2" t="str">
        <f>IF(Source!$C396&gt;=COLUMNS($A396:P396), Source!$G396, "")</f>
        <v/>
      </c>
      <c r="Q396" s="2" t="str">
        <f>IF(Source!$C396&gt;=COLUMNS($A396:Q396), Source!$G396, "")</f>
        <v/>
      </c>
      <c r="R396" s="2" t="str">
        <f>IF(Source!$C396&gt;=COLUMNS($A396:R396), Source!$G396, "")</f>
        <v/>
      </c>
      <c r="S396" s="2" t="str">
        <f>IF(Source!$C396&gt;=COLUMNS($A396:S396), Source!$G396, "")</f>
        <v/>
      </c>
      <c r="T396" s="2" t="str">
        <f>IF(Source!$C396&gt;=COLUMNS($A396:T396), Source!$G396, "")</f>
        <v/>
      </c>
      <c r="U396" s="2" t="str">
        <f>IF(Source!$C396&gt;=COLUMNS($A396:U396), Source!$G396, "")</f>
        <v/>
      </c>
      <c r="V396" s="2" t="str">
        <f>IF(Source!$C396&gt;=COLUMNS($A396:V396), Source!$G396, "")</f>
        <v/>
      </c>
      <c r="W396" s="2" t="str">
        <f>IF(Source!$C396&gt;=COLUMNS($A396:W396), Source!$G396, "")</f>
        <v/>
      </c>
      <c r="X396" s="2" t="str">
        <f>IF(Source!$C396&gt;=COLUMNS($A396:X396), Source!$G396, "")</f>
        <v/>
      </c>
      <c r="Y396" s="2" t="str">
        <f>IF(Source!$C396&gt;=COLUMNS($A396:Y396), Source!$G396, "")</f>
        <v/>
      </c>
      <c r="Z396" s="2" t="str">
        <f>IF(Source!$C396&gt;=COLUMNS($A396:Z396), Source!$G396, "")</f>
        <v/>
      </c>
      <c r="AA396" s="2" t="str">
        <f>IF(Source!$C396&gt;=COLUMNS($A396:AA396), Source!$G396, "")</f>
        <v/>
      </c>
      <c r="AB396" s="2" t="str">
        <f>IF(Source!$C396&gt;=COLUMNS($A396:AB396), Source!$G396, "")</f>
        <v/>
      </c>
      <c r="AC396" s="2" t="str">
        <f>IF(Source!$C396&gt;=COLUMNS($A396:AC396), Source!$G396, "")</f>
        <v/>
      </c>
      <c r="AD396" s="2" t="str">
        <f>IF(Source!$C396&gt;=COLUMNS($A396:AD396), Source!$G396, "")</f>
        <v/>
      </c>
      <c r="AE396" s="2" t="str">
        <f>IF(Source!$C396&gt;=COLUMNS($A396:AE396), Source!$G396, "")</f>
        <v/>
      </c>
      <c r="AF396" s="2" t="str">
        <f>IF(Source!$C396&gt;=COLUMNS($A396:AF396), Source!$G396, "")</f>
        <v/>
      </c>
      <c r="AG396" s="2" t="str">
        <f>IF(Source!$C396&gt;=COLUMNS($A396:AG396), Source!$G396, "")</f>
        <v/>
      </c>
      <c r="AH396" s="2" t="str">
        <f>IF(Source!$C396&gt;=COLUMNS($A396:AH396), Source!$G396, "")</f>
        <v/>
      </c>
      <c r="AI396" s="2" t="str">
        <f>IF(Source!$C396&gt;=COLUMNS($A396:AI396), Source!$G396, "")</f>
        <v/>
      </c>
      <c r="AJ396" s="2" t="str">
        <f>IF(Source!$C396&gt;=COLUMNS($A396:AJ396), Source!$G396, "")</f>
        <v/>
      </c>
      <c r="AK396" s="2" t="str">
        <f>IF(Source!$C396&gt;=COLUMNS($A396:AK396), Source!$G396, "")</f>
        <v/>
      </c>
      <c r="AL396" s="2" t="str">
        <f>IF(Source!$C396&gt;=COLUMNS($A396:AL396), Source!$G396, "")</f>
        <v/>
      </c>
      <c r="AM396" s="2" t="str">
        <f>IF(Source!$C396&gt;=COLUMNS($A396:AM396), Source!$G396, "")</f>
        <v/>
      </c>
      <c r="AN396" s="2" t="str">
        <f>IF(Source!$C396&gt;=COLUMNS($A396:AN396), Source!$G396, "")</f>
        <v/>
      </c>
      <c r="AO396" s="2" t="str">
        <f>IF(Source!$C396&gt;=COLUMNS($A396:AO396), Source!$G396, "")</f>
        <v/>
      </c>
      <c r="AP396" s="2" t="str">
        <f>IF(Source!$C396&gt;=COLUMNS($A396:AP396), Source!$G396, "")</f>
        <v/>
      </c>
      <c r="AQ396" s="2" t="str">
        <f>IF(Source!$C396&gt;=COLUMNS($A396:AQ396), Source!$G396, "")</f>
        <v/>
      </c>
      <c r="AR396" s="2" t="str">
        <f>IF(Source!$C396&gt;=COLUMNS($A396:AR396), Source!$G396, "")</f>
        <v/>
      </c>
    </row>
    <row r="397">
      <c r="A397" s="2">
        <f>IF(Source!$C397&gt;=COLUMNS($A397:A397), Source!$G397, "")</f>
        <v>7</v>
      </c>
      <c r="B397" s="2">
        <f>IF(Source!$C397&gt;=COLUMNS($A397:B397), Source!$G397, "")</f>
        <v>7</v>
      </c>
      <c r="C397" s="2" t="str">
        <f>IF(Source!$C397&gt;=COLUMNS($A397:C397), Source!$G397, "")</f>
        <v/>
      </c>
      <c r="D397" s="2" t="str">
        <f>IF(Source!$C397&gt;=COLUMNS($A397:D397), Source!$G397, "")</f>
        <v/>
      </c>
      <c r="E397" s="2" t="str">
        <f>IF(Source!$C397&gt;=COLUMNS($A397:E397), Source!$G397, "")</f>
        <v/>
      </c>
      <c r="F397" s="2" t="str">
        <f>IF(Source!$C397&gt;=COLUMNS($A397:F397), Source!$G397, "")</f>
        <v/>
      </c>
      <c r="G397" s="2" t="str">
        <f>IF(Source!$C397&gt;=COLUMNS($A397:G397), Source!$G397, "")</f>
        <v/>
      </c>
      <c r="H397" s="2" t="str">
        <f>IF(Source!$C397&gt;=COLUMNS($A397:H397), Source!$G397, "")</f>
        <v/>
      </c>
      <c r="I397" s="2" t="str">
        <f>IF(Source!$C397&gt;=COLUMNS($A397:I397), Source!$G397, "")</f>
        <v/>
      </c>
      <c r="J397" s="2" t="str">
        <f>IF(Source!$C397&gt;=COLUMNS($A397:J397), Source!$G397, "")</f>
        <v/>
      </c>
      <c r="K397" s="2" t="str">
        <f>IF(Source!$C397&gt;=COLUMNS($A397:K397), Source!$G397, "")</f>
        <v/>
      </c>
      <c r="L397" s="2" t="str">
        <f>IF(Source!$C397&gt;=COLUMNS($A397:L397), Source!$G397, "")</f>
        <v/>
      </c>
      <c r="M397" s="2" t="str">
        <f>IF(Source!$C397&gt;=COLUMNS($A397:M397), Source!$G397, "")</f>
        <v/>
      </c>
      <c r="N397" s="2" t="str">
        <f>IF(Source!$C397&gt;=COLUMNS($A397:N397), Source!$G397, "")</f>
        <v/>
      </c>
      <c r="O397" s="2" t="str">
        <f>IF(Source!$C397&gt;=COLUMNS($A397:O397), Source!$G397, "")</f>
        <v/>
      </c>
      <c r="P397" s="2" t="str">
        <f>IF(Source!$C397&gt;=COLUMNS($A397:P397), Source!$G397, "")</f>
        <v/>
      </c>
      <c r="Q397" s="2" t="str">
        <f>IF(Source!$C397&gt;=COLUMNS($A397:Q397), Source!$G397, "")</f>
        <v/>
      </c>
      <c r="R397" s="2" t="str">
        <f>IF(Source!$C397&gt;=COLUMNS($A397:R397), Source!$G397, "")</f>
        <v/>
      </c>
      <c r="S397" s="2" t="str">
        <f>IF(Source!$C397&gt;=COLUMNS($A397:S397), Source!$G397, "")</f>
        <v/>
      </c>
      <c r="T397" s="2" t="str">
        <f>IF(Source!$C397&gt;=COLUMNS($A397:T397), Source!$G397, "")</f>
        <v/>
      </c>
      <c r="U397" s="2" t="str">
        <f>IF(Source!$C397&gt;=COLUMNS($A397:U397), Source!$G397, "")</f>
        <v/>
      </c>
      <c r="V397" s="2" t="str">
        <f>IF(Source!$C397&gt;=COLUMNS($A397:V397), Source!$G397, "")</f>
        <v/>
      </c>
      <c r="W397" s="2" t="str">
        <f>IF(Source!$C397&gt;=COLUMNS($A397:W397), Source!$G397, "")</f>
        <v/>
      </c>
      <c r="X397" s="2" t="str">
        <f>IF(Source!$C397&gt;=COLUMNS($A397:X397), Source!$G397, "")</f>
        <v/>
      </c>
      <c r="Y397" s="2" t="str">
        <f>IF(Source!$C397&gt;=COLUMNS($A397:Y397), Source!$G397, "")</f>
        <v/>
      </c>
      <c r="Z397" s="2" t="str">
        <f>IF(Source!$C397&gt;=COLUMNS($A397:Z397), Source!$G397, "")</f>
        <v/>
      </c>
      <c r="AA397" s="2" t="str">
        <f>IF(Source!$C397&gt;=COLUMNS($A397:AA397), Source!$G397, "")</f>
        <v/>
      </c>
      <c r="AB397" s="2" t="str">
        <f>IF(Source!$C397&gt;=COLUMNS($A397:AB397), Source!$G397, "")</f>
        <v/>
      </c>
      <c r="AC397" s="2" t="str">
        <f>IF(Source!$C397&gt;=COLUMNS($A397:AC397), Source!$G397, "")</f>
        <v/>
      </c>
      <c r="AD397" s="2" t="str">
        <f>IF(Source!$C397&gt;=COLUMNS($A397:AD397), Source!$G397, "")</f>
        <v/>
      </c>
      <c r="AE397" s="2" t="str">
        <f>IF(Source!$C397&gt;=COLUMNS($A397:AE397), Source!$G397, "")</f>
        <v/>
      </c>
      <c r="AF397" s="2" t="str">
        <f>IF(Source!$C397&gt;=COLUMNS($A397:AF397), Source!$G397, "")</f>
        <v/>
      </c>
      <c r="AG397" s="2" t="str">
        <f>IF(Source!$C397&gt;=COLUMNS($A397:AG397), Source!$G397, "")</f>
        <v/>
      </c>
      <c r="AH397" s="2" t="str">
        <f>IF(Source!$C397&gt;=COLUMNS($A397:AH397), Source!$G397, "")</f>
        <v/>
      </c>
      <c r="AI397" s="2" t="str">
        <f>IF(Source!$C397&gt;=COLUMNS($A397:AI397), Source!$G397, "")</f>
        <v/>
      </c>
      <c r="AJ397" s="2" t="str">
        <f>IF(Source!$C397&gt;=COLUMNS($A397:AJ397), Source!$G397, "")</f>
        <v/>
      </c>
      <c r="AK397" s="2" t="str">
        <f>IF(Source!$C397&gt;=COLUMNS($A397:AK397), Source!$G397, "")</f>
        <v/>
      </c>
      <c r="AL397" s="2" t="str">
        <f>IF(Source!$C397&gt;=COLUMNS($A397:AL397), Source!$G397, "")</f>
        <v/>
      </c>
      <c r="AM397" s="2" t="str">
        <f>IF(Source!$C397&gt;=COLUMNS($A397:AM397), Source!$G397, "")</f>
        <v/>
      </c>
      <c r="AN397" s="2" t="str">
        <f>IF(Source!$C397&gt;=COLUMNS($A397:AN397), Source!$G397, "")</f>
        <v/>
      </c>
      <c r="AO397" s="2" t="str">
        <f>IF(Source!$C397&gt;=COLUMNS($A397:AO397), Source!$G397, "")</f>
        <v/>
      </c>
      <c r="AP397" s="2" t="str">
        <f>IF(Source!$C397&gt;=COLUMNS($A397:AP397), Source!$G397, "")</f>
        <v/>
      </c>
      <c r="AQ397" s="2" t="str">
        <f>IF(Source!$C397&gt;=COLUMNS($A397:AQ397), Source!$G397, "")</f>
        <v/>
      </c>
      <c r="AR397" s="2" t="str">
        <f>IF(Source!$C397&gt;=COLUMNS($A397:AR397), Source!$G397, "")</f>
        <v/>
      </c>
    </row>
    <row r="398">
      <c r="A398" s="2">
        <f>IF(Source!$C398&gt;=COLUMNS($A398:A398), Source!$G398, "")</f>
        <v>4</v>
      </c>
      <c r="B398" s="2">
        <f>IF(Source!$C398&gt;=COLUMNS($A398:B398), Source!$G398, "")</f>
        <v>4</v>
      </c>
      <c r="C398" s="2">
        <f>IF(Source!$C398&gt;=COLUMNS($A398:C398), Source!$G398, "")</f>
        <v>4</v>
      </c>
      <c r="D398" s="2">
        <f>IF(Source!$C398&gt;=COLUMNS($A398:D398), Source!$G398, "")</f>
        <v>4</v>
      </c>
      <c r="E398" s="2" t="str">
        <f>IF(Source!$C398&gt;=COLUMNS($A398:E398), Source!$G398, "")</f>
        <v/>
      </c>
      <c r="F398" s="2" t="str">
        <f>IF(Source!$C398&gt;=COLUMNS($A398:F398), Source!$G398, "")</f>
        <v/>
      </c>
      <c r="G398" s="2" t="str">
        <f>IF(Source!$C398&gt;=COLUMNS($A398:G398), Source!$G398, "")</f>
        <v/>
      </c>
      <c r="H398" s="2" t="str">
        <f>IF(Source!$C398&gt;=COLUMNS($A398:H398), Source!$G398, "")</f>
        <v/>
      </c>
      <c r="I398" s="2" t="str">
        <f>IF(Source!$C398&gt;=COLUMNS($A398:I398), Source!$G398, "")</f>
        <v/>
      </c>
      <c r="J398" s="2" t="str">
        <f>IF(Source!$C398&gt;=COLUMNS($A398:J398), Source!$G398, "")</f>
        <v/>
      </c>
      <c r="K398" s="2" t="str">
        <f>IF(Source!$C398&gt;=COLUMNS($A398:K398), Source!$G398, "")</f>
        <v/>
      </c>
      <c r="L398" s="2" t="str">
        <f>IF(Source!$C398&gt;=COLUMNS($A398:L398), Source!$G398, "")</f>
        <v/>
      </c>
      <c r="M398" s="2" t="str">
        <f>IF(Source!$C398&gt;=COLUMNS($A398:M398), Source!$G398, "")</f>
        <v/>
      </c>
      <c r="N398" s="2" t="str">
        <f>IF(Source!$C398&gt;=COLUMNS($A398:N398), Source!$G398, "")</f>
        <v/>
      </c>
      <c r="O398" s="2" t="str">
        <f>IF(Source!$C398&gt;=COLUMNS($A398:O398), Source!$G398, "")</f>
        <v/>
      </c>
      <c r="P398" s="2" t="str">
        <f>IF(Source!$C398&gt;=COLUMNS($A398:P398), Source!$G398, "")</f>
        <v/>
      </c>
      <c r="Q398" s="2" t="str">
        <f>IF(Source!$C398&gt;=COLUMNS($A398:Q398), Source!$G398, "")</f>
        <v/>
      </c>
      <c r="R398" s="2" t="str">
        <f>IF(Source!$C398&gt;=COLUMNS($A398:R398), Source!$G398, "")</f>
        <v/>
      </c>
      <c r="S398" s="2" t="str">
        <f>IF(Source!$C398&gt;=COLUMNS($A398:S398), Source!$G398, "")</f>
        <v/>
      </c>
      <c r="T398" s="2" t="str">
        <f>IF(Source!$C398&gt;=COLUMNS($A398:T398), Source!$G398, "")</f>
        <v/>
      </c>
      <c r="U398" s="2" t="str">
        <f>IF(Source!$C398&gt;=COLUMNS($A398:U398), Source!$G398, "")</f>
        <v/>
      </c>
      <c r="V398" s="2" t="str">
        <f>IF(Source!$C398&gt;=COLUMNS($A398:V398), Source!$G398, "")</f>
        <v/>
      </c>
      <c r="W398" s="2" t="str">
        <f>IF(Source!$C398&gt;=COLUMNS($A398:W398), Source!$G398, "")</f>
        <v/>
      </c>
      <c r="X398" s="2" t="str">
        <f>IF(Source!$C398&gt;=COLUMNS($A398:X398), Source!$G398, "")</f>
        <v/>
      </c>
      <c r="Y398" s="2" t="str">
        <f>IF(Source!$C398&gt;=COLUMNS($A398:Y398), Source!$G398, "")</f>
        <v/>
      </c>
      <c r="Z398" s="2" t="str">
        <f>IF(Source!$C398&gt;=COLUMNS($A398:Z398), Source!$G398, "")</f>
        <v/>
      </c>
      <c r="AA398" s="2" t="str">
        <f>IF(Source!$C398&gt;=COLUMNS($A398:AA398), Source!$G398, "")</f>
        <v/>
      </c>
      <c r="AB398" s="2" t="str">
        <f>IF(Source!$C398&gt;=COLUMNS($A398:AB398), Source!$G398, "")</f>
        <v/>
      </c>
      <c r="AC398" s="2" t="str">
        <f>IF(Source!$C398&gt;=COLUMNS($A398:AC398), Source!$G398, "")</f>
        <v/>
      </c>
      <c r="AD398" s="2" t="str">
        <f>IF(Source!$C398&gt;=COLUMNS($A398:AD398), Source!$G398, "")</f>
        <v/>
      </c>
      <c r="AE398" s="2" t="str">
        <f>IF(Source!$C398&gt;=COLUMNS($A398:AE398), Source!$G398, "")</f>
        <v/>
      </c>
      <c r="AF398" s="2" t="str">
        <f>IF(Source!$C398&gt;=COLUMNS($A398:AF398), Source!$G398, "")</f>
        <v/>
      </c>
      <c r="AG398" s="2" t="str">
        <f>IF(Source!$C398&gt;=COLUMNS($A398:AG398), Source!$G398, "")</f>
        <v/>
      </c>
      <c r="AH398" s="2" t="str">
        <f>IF(Source!$C398&gt;=COLUMNS($A398:AH398), Source!$G398, "")</f>
        <v/>
      </c>
      <c r="AI398" s="2" t="str">
        <f>IF(Source!$C398&gt;=COLUMNS($A398:AI398), Source!$G398, "")</f>
        <v/>
      </c>
      <c r="AJ398" s="2" t="str">
        <f>IF(Source!$C398&gt;=COLUMNS($A398:AJ398), Source!$G398, "")</f>
        <v/>
      </c>
      <c r="AK398" s="2" t="str">
        <f>IF(Source!$C398&gt;=COLUMNS($A398:AK398), Source!$G398, "")</f>
        <v/>
      </c>
      <c r="AL398" s="2" t="str">
        <f>IF(Source!$C398&gt;=COLUMNS($A398:AL398), Source!$G398, "")</f>
        <v/>
      </c>
      <c r="AM398" s="2" t="str">
        <f>IF(Source!$C398&gt;=COLUMNS($A398:AM398), Source!$G398, "")</f>
        <v/>
      </c>
      <c r="AN398" s="2" t="str">
        <f>IF(Source!$C398&gt;=COLUMNS($A398:AN398), Source!$G398, "")</f>
        <v/>
      </c>
      <c r="AO398" s="2" t="str">
        <f>IF(Source!$C398&gt;=COLUMNS($A398:AO398), Source!$G398, "")</f>
        <v/>
      </c>
      <c r="AP398" s="2" t="str">
        <f>IF(Source!$C398&gt;=COLUMNS($A398:AP398), Source!$G398, "")</f>
        <v/>
      </c>
      <c r="AQ398" s="2" t="str">
        <f>IF(Source!$C398&gt;=COLUMNS($A398:AQ398), Source!$G398, "")</f>
        <v/>
      </c>
      <c r="AR398" s="2" t="str">
        <f>IF(Source!$C398&gt;=COLUMNS($A398:AR398), Source!$G398, "")</f>
        <v/>
      </c>
    </row>
    <row r="399">
      <c r="A399" s="2">
        <f>IF(Source!$C399&gt;=COLUMNS($A399:A399), Source!$G399, "")</f>
        <v>1</v>
      </c>
      <c r="B399" s="2">
        <f>IF(Source!$C399&gt;=COLUMNS($A399:B399), Source!$G399, "")</f>
        <v>1</v>
      </c>
      <c r="C399" s="2">
        <f>IF(Source!$C399&gt;=COLUMNS($A399:C399), Source!$G399, "")</f>
        <v>1</v>
      </c>
      <c r="D399" s="2">
        <f>IF(Source!$C399&gt;=COLUMNS($A399:D399), Source!$G399, "")</f>
        <v>1</v>
      </c>
      <c r="E399" s="2">
        <f>IF(Source!$C399&gt;=COLUMNS($A399:E399), Source!$G399, "")</f>
        <v>1</v>
      </c>
      <c r="F399" s="2" t="str">
        <f>IF(Source!$C399&gt;=COLUMNS($A399:F399), Source!$G399, "")</f>
        <v/>
      </c>
      <c r="G399" s="2" t="str">
        <f>IF(Source!$C399&gt;=COLUMNS($A399:G399), Source!$G399, "")</f>
        <v/>
      </c>
      <c r="H399" s="2" t="str">
        <f>IF(Source!$C399&gt;=COLUMNS($A399:H399), Source!$G399, "")</f>
        <v/>
      </c>
      <c r="I399" s="2" t="str">
        <f>IF(Source!$C399&gt;=COLUMNS($A399:I399), Source!$G399, "")</f>
        <v/>
      </c>
      <c r="J399" s="2" t="str">
        <f>IF(Source!$C399&gt;=COLUMNS($A399:J399), Source!$G399, "")</f>
        <v/>
      </c>
      <c r="K399" s="2" t="str">
        <f>IF(Source!$C399&gt;=COLUMNS($A399:K399), Source!$G399, "")</f>
        <v/>
      </c>
      <c r="L399" s="2" t="str">
        <f>IF(Source!$C399&gt;=COLUMNS($A399:L399), Source!$G399, "")</f>
        <v/>
      </c>
      <c r="M399" s="2" t="str">
        <f>IF(Source!$C399&gt;=COLUMNS($A399:M399), Source!$G399, "")</f>
        <v/>
      </c>
      <c r="N399" s="2" t="str">
        <f>IF(Source!$C399&gt;=COLUMNS($A399:N399), Source!$G399, "")</f>
        <v/>
      </c>
      <c r="O399" s="2" t="str">
        <f>IF(Source!$C399&gt;=COLUMNS($A399:O399), Source!$G399, "")</f>
        <v/>
      </c>
      <c r="P399" s="2" t="str">
        <f>IF(Source!$C399&gt;=COLUMNS($A399:P399), Source!$G399, "")</f>
        <v/>
      </c>
      <c r="Q399" s="2" t="str">
        <f>IF(Source!$C399&gt;=COLUMNS($A399:Q399), Source!$G399, "")</f>
        <v/>
      </c>
      <c r="R399" s="2" t="str">
        <f>IF(Source!$C399&gt;=COLUMNS($A399:R399), Source!$G399, "")</f>
        <v/>
      </c>
      <c r="S399" s="2" t="str">
        <f>IF(Source!$C399&gt;=COLUMNS($A399:S399), Source!$G399, "")</f>
        <v/>
      </c>
      <c r="T399" s="2" t="str">
        <f>IF(Source!$C399&gt;=COLUMNS($A399:T399), Source!$G399, "")</f>
        <v/>
      </c>
      <c r="U399" s="2" t="str">
        <f>IF(Source!$C399&gt;=COLUMNS($A399:U399), Source!$G399, "")</f>
        <v/>
      </c>
      <c r="V399" s="2" t="str">
        <f>IF(Source!$C399&gt;=COLUMNS($A399:V399), Source!$G399, "")</f>
        <v/>
      </c>
      <c r="W399" s="2" t="str">
        <f>IF(Source!$C399&gt;=COLUMNS($A399:W399), Source!$G399, "")</f>
        <v/>
      </c>
      <c r="X399" s="2" t="str">
        <f>IF(Source!$C399&gt;=COLUMNS($A399:X399), Source!$G399, "")</f>
        <v/>
      </c>
      <c r="Y399" s="2" t="str">
        <f>IF(Source!$C399&gt;=COLUMNS($A399:Y399), Source!$G399, "")</f>
        <v/>
      </c>
      <c r="Z399" s="2" t="str">
        <f>IF(Source!$C399&gt;=COLUMNS($A399:Z399), Source!$G399, "")</f>
        <v/>
      </c>
      <c r="AA399" s="2" t="str">
        <f>IF(Source!$C399&gt;=COLUMNS($A399:AA399), Source!$G399, "")</f>
        <v/>
      </c>
      <c r="AB399" s="2" t="str">
        <f>IF(Source!$C399&gt;=COLUMNS($A399:AB399), Source!$G399, "")</f>
        <v/>
      </c>
      <c r="AC399" s="2" t="str">
        <f>IF(Source!$C399&gt;=COLUMNS($A399:AC399), Source!$G399, "")</f>
        <v/>
      </c>
      <c r="AD399" s="2" t="str">
        <f>IF(Source!$C399&gt;=COLUMNS($A399:AD399), Source!$G399, "")</f>
        <v/>
      </c>
      <c r="AE399" s="2" t="str">
        <f>IF(Source!$C399&gt;=COLUMNS($A399:AE399), Source!$G399, "")</f>
        <v/>
      </c>
      <c r="AF399" s="2" t="str">
        <f>IF(Source!$C399&gt;=COLUMNS($A399:AF399), Source!$G399, "")</f>
        <v/>
      </c>
      <c r="AG399" s="2" t="str">
        <f>IF(Source!$C399&gt;=COLUMNS($A399:AG399), Source!$G399, "")</f>
        <v/>
      </c>
      <c r="AH399" s="2" t="str">
        <f>IF(Source!$C399&gt;=COLUMNS($A399:AH399), Source!$G399, "")</f>
        <v/>
      </c>
      <c r="AI399" s="2" t="str">
        <f>IF(Source!$C399&gt;=COLUMNS($A399:AI399), Source!$G399, "")</f>
        <v/>
      </c>
      <c r="AJ399" s="2" t="str">
        <f>IF(Source!$C399&gt;=COLUMNS($A399:AJ399), Source!$G399, "")</f>
        <v/>
      </c>
      <c r="AK399" s="2" t="str">
        <f>IF(Source!$C399&gt;=COLUMNS($A399:AK399), Source!$G399, "")</f>
        <v/>
      </c>
      <c r="AL399" s="2" t="str">
        <f>IF(Source!$C399&gt;=COLUMNS($A399:AL399), Source!$G399, "")</f>
        <v/>
      </c>
      <c r="AM399" s="2" t="str">
        <f>IF(Source!$C399&gt;=COLUMNS($A399:AM399), Source!$G399, "")</f>
        <v/>
      </c>
      <c r="AN399" s="2" t="str">
        <f>IF(Source!$C399&gt;=COLUMNS($A399:AN399), Source!$G399, "")</f>
        <v/>
      </c>
      <c r="AO399" s="2" t="str">
        <f>IF(Source!$C399&gt;=COLUMNS($A399:AO399), Source!$G399, "")</f>
        <v/>
      </c>
      <c r="AP399" s="2" t="str">
        <f>IF(Source!$C399&gt;=COLUMNS($A399:AP399), Source!$G399, "")</f>
        <v/>
      </c>
      <c r="AQ399" s="2" t="str">
        <f>IF(Source!$C399&gt;=COLUMNS($A399:AQ399), Source!$G399, "")</f>
        <v/>
      </c>
      <c r="AR399" s="2" t="str">
        <f>IF(Source!$C399&gt;=COLUMNS($A399:AR399), Source!$G399, "")</f>
        <v/>
      </c>
    </row>
    <row r="400">
      <c r="A400" s="2">
        <f>IF(Source!$C400&gt;=COLUMNS($A400:A400), Source!$G400, "")</f>
        <v>6</v>
      </c>
      <c r="B400" s="2" t="str">
        <f>IF(Source!$C400&gt;=COLUMNS($A400:B400), Source!$G400, "")</f>
        <v/>
      </c>
      <c r="C400" s="2" t="str">
        <f>IF(Source!$C400&gt;=COLUMNS($A400:C400), Source!$G400, "")</f>
        <v/>
      </c>
      <c r="D400" s="2" t="str">
        <f>IF(Source!$C400&gt;=COLUMNS($A400:D400), Source!$G400, "")</f>
        <v/>
      </c>
      <c r="E400" s="2" t="str">
        <f>IF(Source!$C400&gt;=COLUMNS($A400:E400), Source!$G400, "")</f>
        <v/>
      </c>
      <c r="F400" s="2" t="str">
        <f>IF(Source!$C400&gt;=COLUMNS($A400:F400), Source!$G400, "")</f>
        <v/>
      </c>
      <c r="G400" s="2" t="str">
        <f>IF(Source!$C400&gt;=COLUMNS($A400:G400), Source!$G400, "")</f>
        <v/>
      </c>
      <c r="H400" s="2" t="str">
        <f>IF(Source!$C400&gt;=COLUMNS($A400:H400), Source!$G400, "")</f>
        <v/>
      </c>
      <c r="I400" s="2" t="str">
        <f>IF(Source!$C400&gt;=COLUMNS($A400:I400), Source!$G400, "")</f>
        <v/>
      </c>
      <c r="J400" s="2" t="str">
        <f>IF(Source!$C400&gt;=COLUMNS($A400:J400), Source!$G400, "")</f>
        <v/>
      </c>
      <c r="K400" s="2" t="str">
        <f>IF(Source!$C400&gt;=COLUMNS($A400:K400), Source!$G400, "")</f>
        <v/>
      </c>
      <c r="L400" s="2" t="str">
        <f>IF(Source!$C400&gt;=COLUMNS($A400:L400), Source!$G400, "")</f>
        <v/>
      </c>
      <c r="M400" s="2" t="str">
        <f>IF(Source!$C400&gt;=COLUMNS($A400:M400), Source!$G400, "")</f>
        <v/>
      </c>
      <c r="N400" s="2" t="str">
        <f>IF(Source!$C400&gt;=COLUMNS($A400:N400), Source!$G400, "")</f>
        <v/>
      </c>
      <c r="O400" s="2" t="str">
        <f>IF(Source!$C400&gt;=COLUMNS($A400:O400), Source!$G400, "")</f>
        <v/>
      </c>
      <c r="P400" s="2" t="str">
        <f>IF(Source!$C400&gt;=COLUMNS($A400:P400), Source!$G400, "")</f>
        <v/>
      </c>
      <c r="Q400" s="2" t="str">
        <f>IF(Source!$C400&gt;=COLUMNS($A400:Q400), Source!$G400, "")</f>
        <v/>
      </c>
      <c r="R400" s="2" t="str">
        <f>IF(Source!$C400&gt;=COLUMNS($A400:R400), Source!$G400, "")</f>
        <v/>
      </c>
      <c r="S400" s="2" t="str">
        <f>IF(Source!$C400&gt;=COLUMNS($A400:S400), Source!$G400, "")</f>
        <v/>
      </c>
      <c r="T400" s="2" t="str">
        <f>IF(Source!$C400&gt;=COLUMNS($A400:T400), Source!$G400, "")</f>
        <v/>
      </c>
      <c r="U400" s="2" t="str">
        <f>IF(Source!$C400&gt;=COLUMNS($A400:U400), Source!$G400, "")</f>
        <v/>
      </c>
      <c r="V400" s="2" t="str">
        <f>IF(Source!$C400&gt;=COLUMNS($A400:V400), Source!$G400, "")</f>
        <v/>
      </c>
      <c r="W400" s="2" t="str">
        <f>IF(Source!$C400&gt;=COLUMNS($A400:W400), Source!$G400, "")</f>
        <v/>
      </c>
      <c r="X400" s="2" t="str">
        <f>IF(Source!$C400&gt;=COLUMNS($A400:X400), Source!$G400, "")</f>
        <v/>
      </c>
      <c r="Y400" s="2" t="str">
        <f>IF(Source!$C400&gt;=COLUMNS($A400:Y400), Source!$G400, "")</f>
        <v/>
      </c>
      <c r="Z400" s="2" t="str">
        <f>IF(Source!$C400&gt;=COLUMNS($A400:Z400), Source!$G400, "")</f>
        <v/>
      </c>
      <c r="AA400" s="2" t="str">
        <f>IF(Source!$C400&gt;=COLUMNS($A400:AA400), Source!$G400, "")</f>
        <v/>
      </c>
      <c r="AB400" s="2" t="str">
        <f>IF(Source!$C400&gt;=COLUMNS($A400:AB400), Source!$G400, "")</f>
        <v/>
      </c>
      <c r="AC400" s="2" t="str">
        <f>IF(Source!$C400&gt;=COLUMNS($A400:AC400), Source!$G400, "")</f>
        <v/>
      </c>
      <c r="AD400" s="2" t="str">
        <f>IF(Source!$C400&gt;=COLUMNS($A400:AD400), Source!$G400, "")</f>
        <v/>
      </c>
      <c r="AE400" s="2" t="str">
        <f>IF(Source!$C400&gt;=COLUMNS($A400:AE400), Source!$G400, "")</f>
        <v/>
      </c>
      <c r="AF400" s="2" t="str">
        <f>IF(Source!$C400&gt;=COLUMNS($A400:AF400), Source!$G400, "")</f>
        <v/>
      </c>
      <c r="AG400" s="2" t="str">
        <f>IF(Source!$C400&gt;=COLUMNS($A400:AG400), Source!$G400, "")</f>
        <v/>
      </c>
      <c r="AH400" s="2" t="str">
        <f>IF(Source!$C400&gt;=COLUMNS($A400:AH400), Source!$G400, "")</f>
        <v/>
      </c>
      <c r="AI400" s="2" t="str">
        <f>IF(Source!$C400&gt;=COLUMNS($A400:AI400), Source!$G400, "")</f>
        <v/>
      </c>
      <c r="AJ400" s="2" t="str">
        <f>IF(Source!$C400&gt;=COLUMNS($A400:AJ400), Source!$G400, "")</f>
        <v/>
      </c>
      <c r="AK400" s="2" t="str">
        <f>IF(Source!$C400&gt;=COLUMNS($A400:AK400), Source!$G400, "")</f>
        <v/>
      </c>
      <c r="AL400" s="2" t="str">
        <f>IF(Source!$C400&gt;=COLUMNS($A400:AL400), Source!$G400, "")</f>
        <v/>
      </c>
      <c r="AM400" s="2" t="str">
        <f>IF(Source!$C400&gt;=COLUMNS($A400:AM400), Source!$G400, "")</f>
        <v/>
      </c>
      <c r="AN400" s="2" t="str">
        <f>IF(Source!$C400&gt;=COLUMNS($A400:AN400), Source!$G400, "")</f>
        <v/>
      </c>
      <c r="AO400" s="2" t="str">
        <f>IF(Source!$C400&gt;=COLUMNS($A400:AO400), Source!$G400, "")</f>
        <v/>
      </c>
      <c r="AP400" s="2" t="str">
        <f>IF(Source!$C400&gt;=COLUMNS($A400:AP400), Source!$G400, "")</f>
        <v/>
      </c>
      <c r="AQ400" s="2" t="str">
        <f>IF(Source!$C400&gt;=COLUMNS($A400:AQ400), Source!$G400, "")</f>
        <v/>
      </c>
      <c r="AR400" s="2" t="str">
        <f>IF(Source!$C400&gt;=COLUMNS($A400:AR400), Source!$G400, "")</f>
        <v/>
      </c>
    </row>
    <row r="401">
      <c r="A401" s="2">
        <f>IF(Source!$C401&gt;=COLUMNS($A401:A401), Source!$G401, "")</f>
        <v>6</v>
      </c>
      <c r="B401" s="2" t="str">
        <f>IF(Source!$C401&gt;=COLUMNS($A401:B401), Source!$G401, "")</f>
        <v/>
      </c>
      <c r="C401" s="2" t="str">
        <f>IF(Source!$C401&gt;=COLUMNS($A401:C401), Source!$G401, "")</f>
        <v/>
      </c>
      <c r="D401" s="2" t="str">
        <f>IF(Source!$C401&gt;=COLUMNS($A401:D401), Source!$G401, "")</f>
        <v/>
      </c>
      <c r="E401" s="2" t="str">
        <f>IF(Source!$C401&gt;=COLUMNS($A401:E401), Source!$G401, "")</f>
        <v/>
      </c>
      <c r="F401" s="2" t="str">
        <f>IF(Source!$C401&gt;=COLUMNS($A401:F401), Source!$G401, "")</f>
        <v/>
      </c>
      <c r="G401" s="2" t="str">
        <f>IF(Source!$C401&gt;=COLUMNS($A401:G401), Source!$G401, "")</f>
        <v/>
      </c>
      <c r="H401" s="2" t="str">
        <f>IF(Source!$C401&gt;=COLUMNS($A401:H401), Source!$G401, "")</f>
        <v/>
      </c>
      <c r="I401" s="2" t="str">
        <f>IF(Source!$C401&gt;=COLUMNS($A401:I401), Source!$G401, "")</f>
        <v/>
      </c>
      <c r="J401" s="2" t="str">
        <f>IF(Source!$C401&gt;=COLUMNS($A401:J401), Source!$G401, "")</f>
        <v/>
      </c>
      <c r="K401" s="2" t="str">
        <f>IF(Source!$C401&gt;=COLUMNS($A401:K401), Source!$G401, "")</f>
        <v/>
      </c>
      <c r="L401" s="2" t="str">
        <f>IF(Source!$C401&gt;=COLUMNS($A401:L401), Source!$G401, "")</f>
        <v/>
      </c>
      <c r="M401" s="2" t="str">
        <f>IF(Source!$C401&gt;=COLUMNS($A401:M401), Source!$G401, "")</f>
        <v/>
      </c>
      <c r="N401" s="2" t="str">
        <f>IF(Source!$C401&gt;=COLUMNS($A401:N401), Source!$G401, "")</f>
        <v/>
      </c>
      <c r="O401" s="2" t="str">
        <f>IF(Source!$C401&gt;=COLUMNS($A401:O401), Source!$G401, "")</f>
        <v/>
      </c>
      <c r="P401" s="2" t="str">
        <f>IF(Source!$C401&gt;=COLUMNS($A401:P401), Source!$G401, "")</f>
        <v/>
      </c>
      <c r="Q401" s="2" t="str">
        <f>IF(Source!$C401&gt;=COLUMNS($A401:Q401), Source!$G401, "")</f>
        <v/>
      </c>
      <c r="R401" s="2" t="str">
        <f>IF(Source!$C401&gt;=COLUMNS($A401:R401), Source!$G401, "")</f>
        <v/>
      </c>
      <c r="S401" s="2" t="str">
        <f>IF(Source!$C401&gt;=COLUMNS($A401:S401), Source!$G401, "")</f>
        <v/>
      </c>
      <c r="T401" s="2" t="str">
        <f>IF(Source!$C401&gt;=COLUMNS($A401:T401), Source!$G401, "")</f>
        <v/>
      </c>
      <c r="U401" s="2" t="str">
        <f>IF(Source!$C401&gt;=COLUMNS($A401:U401), Source!$G401, "")</f>
        <v/>
      </c>
      <c r="V401" s="2" t="str">
        <f>IF(Source!$C401&gt;=COLUMNS($A401:V401), Source!$G401, "")</f>
        <v/>
      </c>
      <c r="W401" s="2" t="str">
        <f>IF(Source!$C401&gt;=COLUMNS($A401:W401), Source!$G401, "")</f>
        <v/>
      </c>
      <c r="X401" s="2" t="str">
        <f>IF(Source!$C401&gt;=COLUMNS($A401:X401), Source!$G401, "")</f>
        <v/>
      </c>
      <c r="Y401" s="2" t="str">
        <f>IF(Source!$C401&gt;=COLUMNS($A401:Y401), Source!$G401, "")</f>
        <v/>
      </c>
      <c r="Z401" s="2" t="str">
        <f>IF(Source!$C401&gt;=COLUMNS($A401:Z401), Source!$G401, "")</f>
        <v/>
      </c>
      <c r="AA401" s="2" t="str">
        <f>IF(Source!$C401&gt;=COLUMNS($A401:AA401), Source!$G401, "")</f>
        <v/>
      </c>
      <c r="AB401" s="2" t="str">
        <f>IF(Source!$C401&gt;=COLUMNS($A401:AB401), Source!$G401, "")</f>
        <v/>
      </c>
      <c r="AC401" s="2" t="str">
        <f>IF(Source!$C401&gt;=COLUMNS($A401:AC401), Source!$G401, "")</f>
        <v/>
      </c>
      <c r="AD401" s="2" t="str">
        <f>IF(Source!$C401&gt;=COLUMNS($A401:AD401), Source!$G401, "")</f>
        <v/>
      </c>
      <c r="AE401" s="2" t="str">
        <f>IF(Source!$C401&gt;=COLUMNS($A401:AE401), Source!$G401, "")</f>
        <v/>
      </c>
      <c r="AF401" s="2" t="str">
        <f>IF(Source!$C401&gt;=COLUMNS($A401:AF401), Source!$G401, "")</f>
        <v/>
      </c>
      <c r="AG401" s="2" t="str">
        <f>IF(Source!$C401&gt;=COLUMNS($A401:AG401), Source!$G401, "")</f>
        <v/>
      </c>
      <c r="AH401" s="2" t="str">
        <f>IF(Source!$C401&gt;=COLUMNS($A401:AH401), Source!$G401, "")</f>
        <v/>
      </c>
      <c r="AI401" s="2" t="str">
        <f>IF(Source!$C401&gt;=COLUMNS($A401:AI401), Source!$G401, "")</f>
        <v/>
      </c>
      <c r="AJ401" s="2" t="str">
        <f>IF(Source!$C401&gt;=COLUMNS($A401:AJ401), Source!$G401, "")</f>
        <v/>
      </c>
      <c r="AK401" s="2" t="str">
        <f>IF(Source!$C401&gt;=COLUMNS($A401:AK401), Source!$G401, "")</f>
        <v/>
      </c>
      <c r="AL401" s="2" t="str">
        <f>IF(Source!$C401&gt;=COLUMNS($A401:AL401), Source!$G401, "")</f>
        <v/>
      </c>
      <c r="AM401" s="2" t="str">
        <f>IF(Source!$C401&gt;=COLUMNS($A401:AM401), Source!$G401, "")</f>
        <v/>
      </c>
      <c r="AN401" s="2" t="str">
        <f>IF(Source!$C401&gt;=COLUMNS($A401:AN401), Source!$G401, "")</f>
        <v/>
      </c>
      <c r="AO401" s="2" t="str">
        <f>IF(Source!$C401&gt;=COLUMNS($A401:AO401), Source!$G401, "")</f>
        <v/>
      </c>
      <c r="AP401" s="2" t="str">
        <f>IF(Source!$C401&gt;=COLUMNS($A401:AP401), Source!$G401, "")</f>
        <v/>
      </c>
      <c r="AQ401" s="2" t="str">
        <f>IF(Source!$C401&gt;=COLUMNS($A401:AQ401), Source!$G401, "")</f>
        <v/>
      </c>
      <c r="AR401" s="2" t="str">
        <f>IF(Source!$C401&gt;=COLUMNS($A401:AR401), Source!$G401, "")</f>
        <v/>
      </c>
    </row>
    <row r="402">
      <c r="A402" s="2">
        <f>IF(Source!$C402&gt;=COLUMNS($A402:A402), Source!$G402, "")</f>
        <v>9</v>
      </c>
      <c r="B402" s="2" t="str">
        <f>IF(Source!$C402&gt;=COLUMNS($A402:B402), Source!$G402, "")</f>
        <v/>
      </c>
      <c r="C402" s="2" t="str">
        <f>IF(Source!$C402&gt;=COLUMNS($A402:C402), Source!$G402, "")</f>
        <v/>
      </c>
      <c r="D402" s="2" t="str">
        <f>IF(Source!$C402&gt;=COLUMNS($A402:D402), Source!$G402, "")</f>
        <v/>
      </c>
      <c r="E402" s="2" t="str">
        <f>IF(Source!$C402&gt;=COLUMNS($A402:E402), Source!$G402, "")</f>
        <v/>
      </c>
      <c r="F402" s="2" t="str">
        <f>IF(Source!$C402&gt;=COLUMNS($A402:F402), Source!$G402, "")</f>
        <v/>
      </c>
      <c r="G402" s="2" t="str">
        <f>IF(Source!$C402&gt;=COLUMNS($A402:G402), Source!$G402, "")</f>
        <v/>
      </c>
      <c r="H402" s="2" t="str">
        <f>IF(Source!$C402&gt;=COLUMNS($A402:H402), Source!$G402, "")</f>
        <v/>
      </c>
      <c r="I402" s="2" t="str">
        <f>IF(Source!$C402&gt;=COLUMNS($A402:I402), Source!$G402, "")</f>
        <v/>
      </c>
      <c r="J402" s="2" t="str">
        <f>IF(Source!$C402&gt;=COLUMNS($A402:J402), Source!$G402, "")</f>
        <v/>
      </c>
      <c r="K402" s="2" t="str">
        <f>IF(Source!$C402&gt;=COLUMNS($A402:K402), Source!$G402, "")</f>
        <v/>
      </c>
      <c r="L402" s="2" t="str">
        <f>IF(Source!$C402&gt;=COLUMNS($A402:L402), Source!$G402, "")</f>
        <v/>
      </c>
      <c r="M402" s="2" t="str">
        <f>IF(Source!$C402&gt;=COLUMNS($A402:M402), Source!$G402, "")</f>
        <v/>
      </c>
      <c r="N402" s="2" t="str">
        <f>IF(Source!$C402&gt;=COLUMNS($A402:N402), Source!$G402, "")</f>
        <v/>
      </c>
      <c r="O402" s="2" t="str">
        <f>IF(Source!$C402&gt;=COLUMNS($A402:O402), Source!$G402, "")</f>
        <v/>
      </c>
      <c r="P402" s="2" t="str">
        <f>IF(Source!$C402&gt;=COLUMNS($A402:P402), Source!$G402, "")</f>
        <v/>
      </c>
      <c r="Q402" s="2" t="str">
        <f>IF(Source!$C402&gt;=COLUMNS($A402:Q402), Source!$G402, "")</f>
        <v/>
      </c>
      <c r="R402" s="2" t="str">
        <f>IF(Source!$C402&gt;=COLUMNS($A402:R402), Source!$G402, "")</f>
        <v/>
      </c>
      <c r="S402" s="2" t="str">
        <f>IF(Source!$C402&gt;=COLUMNS($A402:S402), Source!$G402, "")</f>
        <v/>
      </c>
      <c r="T402" s="2" t="str">
        <f>IF(Source!$C402&gt;=COLUMNS($A402:T402), Source!$G402, "")</f>
        <v/>
      </c>
      <c r="U402" s="2" t="str">
        <f>IF(Source!$C402&gt;=COLUMNS($A402:U402), Source!$G402, "")</f>
        <v/>
      </c>
      <c r="V402" s="2" t="str">
        <f>IF(Source!$C402&gt;=COLUMNS($A402:V402), Source!$G402, "")</f>
        <v/>
      </c>
      <c r="W402" s="2" t="str">
        <f>IF(Source!$C402&gt;=COLUMNS($A402:W402), Source!$G402, "")</f>
        <v/>
      </c>
      <c r="X402" s="2" t="str">
        <f>IF(Source!$C402&gt;=COLUMNS($A402:X402), Source!$G402, "")</f>
        <v/>
      </c>
      <c r="Y402" s="2" t="str">
        <f>IF(Source!$C402&gt;=COLUMNS($A402:Y402), Source!$G402, "")</f>
        <v/>
      </c>
      <c r="Z402" s="2" t="str">
        <f>IF(Source!$C402&gt;=COLUMNS($A402:Z402), Source!$G402, "")</f>
        <v/>
      </c>
      <c r="AA402" s="2" t="str">
        <f>IF(Source!$C402&gt;=COLUMNS($A402:AA402), Source!$G402, "")</f>
        <v/>
      </c>
      <c r="AB402" s="2" t="str">
        <f>IF(Source!$C402&gt;=COLUMNS($A402:AB402), Source!$G402, "")</f>
        <v/>
      </c>
      <c r="AC402" s="2" t="str">
        <f>IF(Source!$C402&gt;=COLUMNS($A402:AC402), Source!$G402, "")</f>
        <v/>
      </c>
      <c r="AD402" s="2" t="str">
        <f>IF(Source!$C402&gt;=COLUMNS($A402:AD402), Source!$G402, "")</f>
        <v/>
      </c>
      <c r="AE402" s="2" t="str">
        <f>IF(Source!$C402&gt;=COLUMNS($A402:AE402), Source!$G402, "")</f>
        <v/>
      </c>
      <c r="AF402" s="2" t="str">
        <f>IF(Source!$C402&gt;=COLUMNS($A402:AF402), Source!$G402, "")</f>
        <v/>
      </c>
      <c r="AG402" s="2" t="str">
        <f>IF(Source!$C402&gt;=COLUMNS($A402:AG402), Source!$G402, "")</f>
        <v/>
      </c>
      <c r="AH402" s="2" t="str">
        <f>IF(Source!$C402&gt;=COLUMNS($A402:AH402), Source!$G402, "")</f>
        <v/>
      </c>
      <c r="AI402" s="2" t="str">
        <f>IF(Source!$C402&gt;=COLUMNS($A402:AI402), Source!$G402, "")</f>
        <v/>
      </c>
      <c r="AJ402" s="2" t="str">
        <f>IF(Source!$C402&gt;=COLUMNS($A402:AJ402), Source!$G402, "")</f>
        <v/>
      </c>
      <c r="AK402" s="2" t="str">
        <f>IF(Source!$C402&gt;=COLUMNS($A402:AK402), Source!$G402, "")</f>
        <v/>
      </c>
      <c r="AL402" s="2" t="str">
        <f>IF(Source!$C402&gt;=COLUMNS($A402:AL402), Source!$G402, "")</f>
        <v/>
      </c>
      <c r="AM402" s="2" t="str">
        <f>IF(Source!$C402&gt;=COLUMNS($A402:AM402), Source!$G402, "")</f>
        <v/>
      </c>
      <c r="AN402" s="2" t="str">
        <f>IF(Source!$C402&gt;=COLUMNS($A402:AN402), Source!$G402, "")</f>
        <v/>
      </c>
      <c r="AO402" s="2" t="str">
        <f>IF(Source!$C402&gt;=COLUMNS($A402:AO402), Source!$G402, "")</f>
        <v/>
      </c>
      <c r="AP402" s="2" t="str">
        <f>IF(Source!$C402&gt;=COLUMNS($A402:AP402), Source!$G402, "")</f>
        <v/>
      </c>
      <c r="AQ402" s="2" t="str">
        <f>IF(Source!$C402&gt;=COLUMNS($A402:AQ402), Source!$G402, "")</f>
        <v/>
      </c>
      <c r="AR402" s="2" t="str">
        <f>IF(Source!$C402&gt;=COLUMNS($A402:AR402), Source!$G402, "")</f>
        <v/>
      </c>
    </row>
    <row r="403">
      <c r="A403" s="2">
        <f>IF(Source!$C403&gt;=COLUMNS($A403:A403), Source!$G403, "")</f>
        <v>7</v>
      </c>
      <c r="B403" s="2" t="str">
        <f>IF(Source!$C403&gt;=COLUMNS($A403:B403), Source!$G403, "")</f>
        <v/>
      </c>
      <c r="C403" s="2" t="str">
        <f>IF(Source!$C403&gt;=COLUMNS($A403:C403), Source!$G403, "")</f>
        <v/>
      </c>
      <c r="D403" s="2" t="str">
        <f>IF(Source!$C403&gt;=COLUMNS($A403:D403), Source!$G403, "")</f>
        <v/>
      </c>
      <c r="E403" s="2" t="str">
        <f>IF(Source!$C403&gt;=COLUMNS($A403:E403), Source!$G403, "")</f>
        <v/>
      </c>
      <c r="F403" s="2" t="str">
        <f>IF(Source!$C403&gt;=COLUMNS($A403:F403), Source!$G403, "")</f>
        <v/>
      </c>
      <c r="G403" s="2" t="str">
        <f>IF(Source!$C403&gt;=COLUMNS($A403:G403), Source!$G403, "")</f>
        <v/>
      </c>
      <c r="H403" s="2" t="str">
        <f>IF(Source!$C403&gt;=COLUMNS($A403:H403), Source!$G403, "")</f>
        <v/>
      </c>
      <c r="I403" s="2" t="str">
        <f>IF(Source!$C403&gt;=COLUMNS($A403:I403), Source!$G403, "")</f>
        <v/>
      </c>
      <c r="J403" s="2" t="str">
        <f>IF(Source!$C403&gt;=COLUMNS($A403:J403), Source!$G403, "")</f>
        <v/>
      </c>
      <c r="K403" s="2" t="str">
        <f>IF(Source!$C403&gt;=COLUMNS($A403:K403), Source!$G403, "")</f>
        <v/>
      </c>
      <c r="L403" s="2" t="str">
        <f>IF(Source!$C403&gt;=COLUMNS($A403:L403), Source!$G403, "")</f>
        <v/>
      </c>
      <c r="M403" s="2" t="str">
        <f>IF(Source!$C403&gt;=COLUMNS($A403:M403), Source!$G403, "")</f>
        <v/>
      </c>
      <c r="N403" s="2" t="str">
        <f>IF(Source!$C403&gt;=COLUMNS($A403:N403), Source!$G403, "")</f>
        <v/>
      </c>
      <c r="O403" s="2" t="str">
        <f>IF(Source!$C403&gt;=COLUMNS($A403:O403), Source!$G403, "")</f>
        <v/>
      </c>
      <c r="P403" s="2" t="str">
        <f>IF(Source!$C403&gt;=COLUMNS($A403:P403), Source!$G403, "")</f>
        <v/>
      </c>
      <c r="Q403" s="2" t="str">
        <f>IF(Source!$C403&gt;=COLUMNS($A403:Q403), Source!$G403, "")</f>
        <v/>
      </c>
      <c r="R403" s="2" t="str">
        <f>IF(Source!$C403&gt;=COLUMNS($A403:R403), Source!$G403, "")</f>
        <v/>
      </c>
      <c r="S403" s="2" t="str">
        <f>IF(Source!$C403&gt;=COLUMNS($A403:S403), Source!$G403, "")</f>
        <v/>
      </c>
      <c r="T403" s="2" t="str">
        <f>IF(Source!$C403&gt;=COLUMNS($A403:T403), Source!$G403, "")</f>
        <v/>
      </c>
      <c r="U403" s="2" t="str">
        <f>IF(Source!$C403&gt;=COLUMNS($A403:U403), Source!$G403, "")</f>
        <v/>
      </c>
      <c r="V403" s="2" t="str">
        <f>IF(Source!$C403&gt;=COLUMNS($A403:V403), Source!$G403, "")</f>
        <v/>
      </c>
      <c r="W403" s="2" t="str">
        <f>IF(Source!$C403&gt;=COLUMNS($A403:W403), Source!$G403, "")</f>
        <v/>
      </c>
      <c r="X403" s="2" t="str">
        <f>IF(Source!$C403&gt;=COLUMNS($A403:X403), Source!$G403, "")</f>
        <v/>
      </c>
      <c r="Y403" s="2" t="str">
        <f>IF(Source!$C403&gt;=COLUMNS($A403:Y403), Source!$G403, "")</f>
        <v/>
      </c>
      <c r="Z403" s="2" t="str">
        <f>IF(Source!$C403&gt;=COLUMNS($A403:Z403), Source!$G403, "")</f>
        <v/>
      </c>
      <c r="AA403" s="2" t="str">
        <f>IF(Source!$C403&gt;=COLUMNS($A403:AA403), Source!$G403, "")</f>
        <v/>
      </c>
      <c r="AB403" s="2" t="str">
        <f>IF(Source!$C403&gt;=COLUMNS($A403:AB403), Source!$G403, "")</f>
        <v/>
      </c>
      <c r="AC403" s="2" t="str">
        <f>IF(Source!$C403&gt;=COLUMNS($A403:AC403), Source!$G403, "")</f>
        <v/>
      </c>
      <c r="AD403" s="2" t="str">
        <f>IF(Source!$C403&gt;=COLUMNS($A403:AD403), Source!$G403, "")</f>
        <v/>
      </c>
      <c r="AE403" s="2" t="str">
        <f>IF(Source!$C403&gt;=COLUMNS($A403:AE403), Source!$G403, "")</f>
        <v/>
      </c>
      <c r="AF403" s="2" t="str">
        <f>IF(Source!$C403&gt;=COLUMNS($A403:AF403), Source!$G403, "")</f>
        <v/>
      </c>
      <c r="AG403" s="2" t="str">
        <f>IF(Source!$C403&gt;=COLUMNS($A403:AG403), Source!$G403, "")</f>
        <v/>
      </c>
      <c r="AH403" s="2" t="str">
        <f>IF(Source!$C403&gt;=COLUMNS($A403:AH403), Source!$G403, "")</f>
        <v/>
      </c>
      <c r="AI403" s="2" t="str">
        <f>IF(Source!$C403&gt;=COLUMNS($A403:AI403), Source!$G403, "")</f>
        <v/>
      </c>
      <c r="AJ403" s="2" t="str">
        <f>IF(Source!$C403&gt;=COLUMNS($A403:AJ403), Source!$G403, "")</f>
        <v/>
      </c>
      <c r="AK403" s="2" t="str">
        <f>IF(Source!$C403&gt;=COLUMNS($A403:AK403), Source!$G403, "")</f>
        <v/>
      </c>
      <c r="AL403" s="2" t="str">
        <f>IF(Source!$C403&gt;=COLUMNS($A403:AL403), Source!$G403, "")</f>
        <v/>
      </c>
      <c r="AM403" s="2" t="str">
        <f>IF(Source!$C403&gt;=COLUMNS($A403:AM403), Source!$G403, "")</f>
        <v/>
      </c>
      <c r="AN403" s="2" t="str">
        <f>IF(Source!$C403&gt;=COLUMNS($A403:AN403), Source!$G403, "")</f>
        <v/>
      </c>
      <c r="AO403" s="2" t="str">
        <f>IF(Source!$C403&gt;=COLUMNS($A403:AO403), Source!$G403, "")</f>
        <v/>
      </c>
      <c r="AP403" s="2" t="str">
        <f>IF(Source!$C403&gt;=COLUMNS($A403:AP403), Source!$G403, "")</f>
        <v/>
      </c>
      <c r="AQ403" s="2" t="str">
        <f>IF(Source!$C403&gt;=COLUMNS($A403:AQ403), Source!$G403, "")</f>
        <v/>
      </c>
      <c r="AR403" s="2" t="str">
        <f>IF(Source!$C403&gt;=COLUMNS($A403:AR403), Source!$G403, "")</f>
        <v/>
      </c>
    </row>
    <row r="404">
      <c r="A404" s="2">
        <f>IF(Source!$C404&gt;=COLUMNS($A404:A404), Source!$G404, "")</f>
        <v>6</v>
      </c>
      <c r="B404" s="2">
        <f>IF(Source!$C404&gt;=COLUMNS($A404:B404), Source!$G404, "")</f>
        <v>6</v>
      </c>
      <c r="C404" s="2">
        <f>IF(Source!$C404&gt;=COLUMNS($A404:C404), Source!$G404, "")</f>
        <v>6</v>
      </c>
      <c r="D404" s="2">
        <f>IF(Source!$C404&gt;=COLUMNS($A404:D404), Source!$G404, "")</f>
        <v>6</v>
      </c>
      <c r="E404" s="2" t="str">
        <f>IF(Source!$C404&gt;=COLUMNS($A404:E404), Source!$G404, "")</f>
        <v/>
      </c>
      <c r="F404" s="2" t="str">
        <f>IF(Source!$C404&gt;=COLUMNS($A404:F404), Source!$G404, "")</f>
        <v/>
      </c>
      <c r="G404" s="2" t="str">
        <f>IF(Source!$C404&gt;=COLUMNS($A404:G404), Source!$G404, "")</f>
        <v/>
      </c>
      <c r="H404" s="2" t="str">
        <f>IF(Source!$C404&gt;=COLUMNS($A404:H404), Source!$G404, "")</f>
        <v/>
      </c>
      <c r="I404" s="2" t="str">
        <f>IF(Source!$C404&gt;=COLUMNS($A404:I404), Source!$G404, "")</f>
        <v/>
      </c>
      <c r="J404" s="2" t="str">
        <f>IF(Source!$C404&gt;=COLUMNS($A404:J404), Source!$G404, "")</f>
        <v/>
      </c>
      <c r="K404" s="2" t="str">
        <f>IF(Source!$C404&gt;=COLUMNS($A404:K404), Source!$G404, "")</f>
        <v/>
      </c>
      <c r="L404" s="2" t="str">
        <f>IF(Source!$C404&gt;=COLUMNS($A404:L404), Source!$G404, "")</f>
        <v/>
      </c>
      <c r="M404" s="2" t="str">
        <f>IF(Source!$C404&gt;=COLUMNS($A404:M404), Source!$G404, "")</f>
        <v/>
      </c>
      <c r="N404" s="2" t="str">
        <f>IF(Source!$C404&gt;=COLUMNS($A404:N404), Source!$G404, "")</f>
        <v/>
      </c>
      <c r="O404" s="2" t="str">
        <f>IF(Source!$C404&gt;=COLUMNS($A404:O404), Source!$G404, "")</f>
        <v/>
      </c>
      <c r="P404" s="2" t="str">
        <f>IF(Source!$C404&gt;=COLUMNS($A404:P404), Source!$G404, "")</f>
        <v/>
      </c>
      <c r="Q404" s="2" t="str">
        <f>IF(Source!$C404&gt;=COLUMNS($A404:Q404), Source!$G404, "")</f>
        <v/>
      </c>
      <c r="R404" s="2" t="str">
        <f>IF(Source!$C404&gt;=COLUMNS($A404:R404), Source!$G404, "")</f>
        <v/>
      </c>
      <c r="S404" s="2" t="str">
        <f>IF(Source!$C404&gt;=COLUMNS($A404:S404), Source!$G404, "")</f>
        <v/>
      </c>
      <c r="T404" s="2" t="str">
        <f>IF(Source!$C404&gt;=COLUMNS($A404:T404), Source!$G404, "")</f>
        <v/>
      </c>
      <c r="U404" s="2" t="str">
        <f>IF(Source!$C404&gt;=COLUMNS($A404:U404), Source!$G404, "")</f>
        <v/>
      </c>
      <c r="V404" s="2" t="str">
        <f>IF(Source!$C404&gt;=COLUMNS($A404:V404), Source!$G404, "")</f>
        <v/>
      </c>
      <c r="W404" s="2" t="str">
        <f>IF(Source!$C404&gt;=COLUMNS($A404:W404), Source!$G404, "")</f>
        <v/>
      </c>
      <c r="X404" s="2" t="str">
        <f>IF(Source!$C404&gt;=COLUMNS($A404:X404), Source!$G404, "")</f>
        <v/>
      </c>
      <c r="Y404" s="2" t="str">
        <f>IF(Source!$C404&gt;=COLUMNS($A404:Y404), Source!$G404, "")</f>
        <v/>
      </c>
      <c r="Z404" s="2" t="str">
        <f>IF(Source!$C404&gt;=COLUMNS($A404:Z404), Source!$G404, "")</f>
        <v/>
      </c>
      <c r="AA404" s="2" t="str">
        <f>IF(Source!$C404&gt;=COLUMNS($A404:AA404), Source!$G404, "")</f>
        <v/>
      </c>
      <c r="AB404" s="2" t="str">
        <f>IF(Source!$C404&gt;=COLUMNS($A404:AB404), Source!$G404, "")</f>
        <v/>
      </c>
      <c r="AC404" s="2" t="str">
        <f>IF(Source!$C404&gt;=COLUMNS($A404:AC404), Source!$G404, "")</f>
        <v/>
      </c>
      <c r="AD404" s="2" t="str">
        <f>IF(Source!$C404&gt;=COLUMNS($A404:AD404), Source!$G404, "")</f>
        <v/>
      </c>
      <c r="AE404" s="2" t="str">
        <f>IF(Source!$C404&gt;=COLUMNS($A404:AE404), Source!$G404, "")</f>
        <v/>
      </c>
      <c r="AF404" s="2" t="str">
        <f>IF(Source!$C404&gt;=COLUMNS($A404:AF404), Source!$G404, "")</f>
        <v/>
      </c>
      <c r="AG404" s="2" t="str">
        <f>IF(Source!$C404&gt;=COLUMNS($A404:AG404), Source!$G404, "")</f>
        <v/>
      </c>
      <c r="AH404" s="2" t="str">
        <f>IF(Source!$C404&gt;=COLUMNS($A404:AH404), Source!$G404, "")</f>
        <v/>
      </c>
      <c r="AI404" s="2" t="str">
        <f>IF(Source!$C404&gt;=COLUMNS($A404:AI404), Source!$G404, "")</f>
        <v/>
      </c>
      <c r="AJ404" s="2" t="str">
        <f>IF(Source!$C404&gt;=COLUMNS($A404:AJ404), Source!$G404, "")</f>
        <v/>
      </c>
      <c r="AK404" s="2" t="str">
        <f>IF(Source!$C404&gt;=COLUMNS($A404:AK404), Source!$G404, "")</f>
        <v/>
      </c>
      <c r="AL404" s="2" t="str">
        <f>IF(Source!$C404&gt;=COLUMNS($A404:AL404), Source!$G404, "")</f>
        <v/>
      </c>
      <c r="AM404" s="2" t="str">
        <f>IF(Source!$C404&gt;=COLUMNS($A404:AM404), Source!$G404, "")</f>
        <v/>
      </c>
      <c r="AN404" s="2" t="str">
        <f>IF(Source!$C404&gt;=COLUMNS($A404:AN404), Source!$G404, "")</f>
        <v/>
      </c>
      <c r="AO404" s="2" t="str">
        <f>IF(Source!$C404&gt;=COLUMNS($A404:AO404), Source!$G404, "")</f>
        <v/>
      </c>
      <c r="AP404" s="2" t="str">
        <f>IF(Source!$C404&gt;=COLUMNS($A404:AP404), Source!$G404, "")</f>
        <v/>
      </c>
      <c r="AQ404" s="2" t="str">
        <f>IF(Source!$C404&gt;=COLUMNS($A404:AQ404), Source!$G404, "")</f>
        <v/>
      </c>
      <c r="AR404" s="2" t="str">
        <f>IF(Source!$C404&gt;=COLUMNS($A404:AR404), Source!$G404, "")</f>
        <v/>
      </c>
    </row>
    <row r="405">
      <c r="A405" s="2">
        <f>IF(Source!$C405&gt;=COLUMNS($A405:A405), Source!$G405, "")</f>
        <v>5</v>
      </c>
      <c r="B405" s="2">
        <f>IF(Source!$C405&gt;=COLUMNS($A405:B405), Source!$G405, "")</f>
        <v>5</v>
      </c>
      <c r="C405" s="2">
        <f>IF(Source!$C405&gt;=COLUMNS($A405:C405), Source!$G405, "")</f>
        <v>5</v>
      </c>
      <c r="D405" s="2">
        <f>IF(Source!$C405&gt;=COLUMNS($A405:D405), Source!$G405, "")</f>
        <v>5</v>
      </c>
      <c r="E405" s="2">
        <f>IF(Source!$C405&gt;=COLUMNS($A405:E405), Source!$G405, "")</f>
        <v>5</v>
      </c>
      <c r="F405" s="2">
        <f>IF(Source!$C405&gt;=COLUMNS($A405:F405), Source!$G405, "")</f>
        <v>5</v>
      </c>
      <c r="G405" s="2" t="str">
        <f>IF(Source!$C405&gt;=COLUMNS($A405:G405), Source!$G405, "")</f>
        <v/>
      </c>
      <c r="H405" s="2" t="str">
        <f>IF(Source!$C405&gt;=COLUMNS($A405:H405), Source!$G405, "")</f>
        <v/>
      </c>
      <c r="I405" s="2" t="str">
        <f>IF(Source!$C405&gt;=COLUMNS($A405:I405), Source!$G405, "")</f>
        <v/>
      </c>
      <c r="J405" s="2" t="str">
        <f>IF(Source!$C405&gt;=COLUMNS($A405:J405), Source!$G405, "")</f>
        <v/>
      </c>
      <c r="K405" s="2" t="str">
        <f>IF(Source!$C405&gt;=COLUMNS($A405:K405), Source!$G405, "")</f>
        <v/>
      </c>
      <c r="L405" s="2" t="str">
        <f>IF(Source!$C405&gt;=COLUMNS($A405:L405), Source!$G405, "")</f>
        <v/>
      </c>
      <c r="M405" s="2" t="str">
        <f>IF(Source!$C405&gt;=COLUMNS($A405:M405), Source!$G405, "")</f>
        <v/>
      </c>
      <c r="N405" s="2" t="str">
        <f>IF(Source!$C405&gt;=COLUMNS($A405:N405), Source!$G405, "")</f>
        <v/>
      </c>
      <c r="O405" s="2" t="str">
        <f>IF(Source!$C405&gt;=COLUMNS($A405:O405), Source!$G405, "")</f>
        <v/>
      </c>
      <c r="P405" s="2" t="str">
        <f>IF(Source!$C405&gt;=COLUMNS($A405:P405), Source!$G405, "")</f>
        <v/>
      </c>
      <c r="Q405" s="2" t="str">
        <f>IF(Source!$C405&gt;=COLUMNS($A405:Q405), Source!$G405, "")</f>
        <v/>
      </c>
      <c r="R405" s="2" t="str">
        <f>IF(Source!$C405&gt;=COLUMNS($A405:R405), Source!$G405, "")</f>
        <v/>
      </c>
      <c r="S405" s="2" t="str">
        <f>IF(Source!$C405&gt;=COLUMNS($A405:S405), Source!$G405, "")</f>
        <v/>
      </c>
      <c r="T405" s="2" t="str">
        <f>IF(Source!$C405&gt;=COLUMNS($A405:T405), Source!$G405, "")</f>
        <v/>
      </c>
      <c r="U405" s="2" t="str">
        <f>IF(Source!$C405&gt;=COLUMNS($A405:U405), Source!$G405, "")</f>
        <v/>
      </c>
      <c r="V405" s="2" t="str">
        <f>IF(Source!$C405&gt;=COLUMNS($A405:V405), Source!$G405, "")</f>
        <v/>
      </c>
      <c r="W405" s="2" t="str">
        <f>IF(Source!$C405&gt;=COLUMNS($A405:W405), Source!$G405, "")</f>
        <v/>
      </c>
      <c r="X405" s="2" t="str">
        <f>IF(Source!$C405&gt;=COLUMNS($A405:X405), Source!$G405, "")</f>
        <v/>
      </c>
      <c r="Y405" s="2" t="str">
        <f>IF(Source!$C405&gt;=COLUMNS($A405:Y405), Source!$G405, "")</f>
        <v/>
      </c>
      <c r="Z405" s="2" t="str">
        <f>IF(Source!$C405&gt;=COLUMNS($A405:Z405), Source!$G405, "")</f>
        <v/>
      </c>
      <c r="AA405" s="2" t="str">
        <f>IF(Source!$C405&gt;=COLUMNS($A405:AA405), Source!$G405, "")</f>
        <v/>
      </c>
      <c r="AB405" s="2" t="str">
        <f>IF(Source!$C405&gt;=COLUMNS($A405:AB405), Source!$G405, "")</f>
        <v/>
      </c>
      <c r="AC405" s="2" t="str">
        <f>IF(Source!$C405&gt;=COLUMNS($A405:AC405), Source!$G405, "")</f>
        <v/>
      </c>
      <c r="AD405" s="2" t="str">
        <f>IF(Source!$C405&gt;=COLUMNS($A405:AD405), Source!$G405, "")</f>
        <v/>
      </c>
      <c r="AE405" s="2" t="str">
        <f>IF(Source!$C405&gt;=COLUMNS($A405:AE405), Source!$G405, "")</f>
        <v/>
      </c>
      <c r="AF405" s="2" t="str">
        <f>IF(Source!$C405&gt;=COLUMNS($A405:AF405), Source!$G405, "")</f>
        <v/>
      </c>
      <c r="AG405" s="2" t="str">
        <f>IF(Source!$C405&gt;=COLUMNS($A405:AG405), Source!$G405, "")</f>
        <v/>
      </c>
      <c r="AH405" s="2" t="str">
        <f>IF(Source!$C405&gt;=COLUMNS($A405:AH405), Source!$G405, "")</f>
        <v/>
      </c>
      <c r="AI405" s="2" t="str">
        <f>IF(Source!$C405&gt;=COLUMNS($A405:AI405), Source!$G405, "")</f>
        <v/>
      </c>
      <c r="AJ405" s="2" t="str">
        <f>IF(Source!$C405&gt;=COLUMNS($A405:AJ405), Source!$G405, "")</f>
        <v/>
      </c>
      <c r="AK405" s="2" t="str">
        <f>IF(Source!$C405&gt;=COLUMNS($A405:AK405), Source!$G405, "")</f>
        <v/>
      </c>
      <c r="AL405" s="2" t="str">
        <f>IF(Source!$C405&gt;=COLUMNS($A405:AL405), Source!$G405, "")</f>
        <v/>
      </c>
      <c r="AM405" s="2" t="str">
        <f>IF(Source!$C405&gt;=COLUMNS($A405:AM405), Source!$G405, "")</f>
        <v/>
      </c>
      <c r="AN405" s="2" t="str">
        <f>IF(Source!$C405&gt;=COLUMNS($A405:AN405), Source!$G405, "")</f>
        <v/>
      </c>
      <c r="AO405" s="2" t="str">
        <f>IF(Source!$C405&gt;=COLUMNS($A405:AO405), Source!$G405, "")</f>
        <v/>
      </c>
      <c r="AP405" s="2" t="str">
        <f>IF(Source!$C405&gt;=COLUMNS($A405:AP405), Source!$G405, "")</f>
        <v/>
      </c>
      <c r="AQ405" s="2" t="str">
        <f>IF(Source!$C405&gt;=COLUMNS($A405:AQ405), Source!$G405, "")</f>
        <v/>
      </c>
      <c r="AR405" s="2" t="str">
        <f>IF(Source!$C405&gt;=COLUMNS($A405:AR405), Source!$G405, "")</f>
        <v/>
      </c>
    </row>
    <row r="406">
      <c r="A406" s="2">
        <f>IF(Source!$C406&gt;=COLUMNS($A406:A406), Source!$G406, "")</f>
        <v>9</v>
      </c>
      <c r="B406" s="2">
        <f>IF(Source!$C406&gt;=COLUMNS($A406:B406), Source!$G406, "")</f>
        <v>9</v>
      </c>
      <c r="C406" s="2">
        <f>IF(Source!$C406&gt;=COLUMNS($A406:C406), Source!$G406, "")</f>
        <v>9</v>
      </c>
      <c r="D406" s="2">
        <f>IF(Source!$C406&gt;=COLUMNS($A406:D406), Source!$G406, "")</f>
        <v>9</v>
      </c>
      <c r="E406" s="2">
        <f>IF(Source!$C406&gt;=COLUMNS($A406:E406), Source!$G406, "")</f>
        <v>9</v>
      </c>
      <c r="F406" s="2">
        <f>IF(Source!$C406&gt;=COLUMNS($A406:F406), Source!$G406, "")</f>
        <v>9</v>
      </c>
      <c r="G406" s="2" t="str">
        <f>IF(Source!$C406&gt;=COLUMNS($A406:G406), Source!$G406, "")</f>
        <v/>
      </c>
      <c r="H406" s="2" t="str">
        <f>IF(Source!$C406&gt;=COLUMNS($A406:H406), Source!$G406, "")</f>
        <v/>
      </c>
      <c r="I406" s="2" t="str">
        <f>IF(Source!$C406&gt;=COLUMNS($A406:I406), Source!$G406, "")</f>
        <v/>
      </c>
      <c r="J406" s="2" t="str">
        <f>IF(Source!$C406&gt;=COLUMNS($A406:J406), Source!$G406, "")</f>
        <v/>
      </c>
      <c r="K406" s="2" t="str">
        <f>IF(Source!$C406&gt;=COLUMNS($A406:K406), Source!$G406, "")</f>
        <v/>
      </c>
      <c r="L406" s="2" t="str">
        <f>IF(Source!$C406&gt;=COLUMNS($A406:L406), Source!$G406, "")</f>
        <v/>
      </c>
      <c r="M406" s="2" t="str">
        <f>IF(Source!$C406&gt;=COLUMNS($A406:M406), Source!$G406, "")</f>
        <v/>
      </c>
      <c r="N406" s="2" t="str">
        <f>IF(Source!$C406&gt;=COLUMNS($A406:N406), Source!$G406, "")</f>
        <v/>
      </c>
      <c r="O406" s="2" t="str">
        <f>IF(Source!$C406&gt;=COLUMNS($A406:O406), Source!$G406, "")</f>
        <v/>
      </c>
      <c r="P406" s="2" t="str">
        <f>IF(Source!$C406&gt;=COLUMNS($A406:P406), Source!$G406, "")</f>
        <v/>
      </c>
      <c r="Q406" s="2" t="str">
        <f>IF(Source!$C406&gt;=COLUMNS($A406:Q406), Source!$G406, "")</f>
        <v/>
      </c>
      <c r="R406" s="2" t="str">
        <f>IF(Source!$C406&gt;=COLUMNS($A406:R406), Source!$G406, "")</f>
        <v/>
      </c>
      <c r="S406" s="2" t="str">
        <f>IF(Source!$C406&gt;=COLUMNS($A406:S406), Source!$G406, "")</f>
        <v/>
      </c>
      <c r="T406" s="2" t="str">
        <f>IF(Source!$C406&gt;=COLUMNS($A406:T406), Source!$G406, "")</f>
        <v/>
      </c>
      <c r="U406" s="2" t="str">
        <f>IF(Source!$C406&gt;=COLUMNS($A406:U406), Source!$G406, "")</f>
        <v/>
      </c>
      <c r="V406" s="2" t="str">
        <f>IF(Source!$C406&gt;=COLUMNS($A406:V406), Source!$G406, "")</f>
        <v/>
      </c>
      <c r="W406" s="2" t="str">
        <f>IF(Source!$C406&gt;=COLUMNS($A406:W406), Source!$G406, "")</f>
        <v/>
      </c>
      <c r="X406" s="2" t="str">
        <f>IF(Source!$C406&gt;=COLUMNS($A406:X406), Source!$G406, "")</f>
        <v/>
      </c>
      <c r="Y406" s="2" t="str">
        <f>IF(Source!$C406&gt;=COLUMNS($A406:Y406), Source!$G406, "")</f>
        <v/>
      </c>
      <c r="Z406" s="2" t="str">
        <f>IF(Source!$C406&gt;=COLUMNS($A406:Z406), Source!$G406, "")</f>
        <v/>
      </c>
      <c r="AA406" s="2" t="str">
        <f>IF(Source!$C406&gt;=COLUMNS($A406:AA406), Source!$G406, "")</f>
        <v/>
      </c>
      <c r="AB406" s="2" t="str">
        <f>IF(Source!$C406&gt;=COLUMNS($A406:AB406), Source!$G406, "")</f>
        <v/>
      </c>
      <c r="AC406" s="2" t="str">
        <f>IF(Source!$C406&gt;=COLUMNS($A406:AC406), Source!$G406, "")</f>
        <v/>
      </c>
      <c r="AD406" s="2" t="str">
        <f>IF(Source!$C406&gt;=COLUMNS($A406:AD406), Source!$G406, "")</f>
        <v/>
      </c>
      <c r="AE406" s="2" t="str">
        <f>IF(Source!$C406&gt;=COLUMNS($A406:AE406), Source!$G406, "")</f>
        <v/>
      </c>
      <c r="AF406" s="2" t="str">
        <f>IF(Source!$C406&gt;=COLUMNS($A406:AF406), Source!$G406, "")</f>
        <v/>
      </c>
      <c r="AG406" s="2" t="str">
        <f>IF(Source!$C406&gt;=COLUMNS($A406:AG406), Source!$G406, "")</f>
        <v/>
      </c>
      <c r="AH406" s="2" t="str">
        <f>IF(Source!$C406&gt;=COLUMNS($A406:AH406), Source!$G406, "")</f>
        <v/>
      </c>
      <c r="AI406" s="2" t="str">
        <f>IF(Source!$C406&gt;=COLUMNS($A406:AI406), Source!$G406, "")</f>
        <v/>
      </c>
      <c r="AJ406" s="2" t="str">
        <f>IF(Source!$C406&gt;=COLUMNS($A406:AJ406), Source!$G406, "")</f>
        <v/>
      </c>
      <c r="AK406" s="2" t="str">
        <f>IF(Source!$C406&gt;=COLUMNS($A406:AK406), Source!$G406, "")</f>
        <v/>
      </c>
      <c r="AL406" s="2" t="str">
        <f>IF(Source!$C406&gt;=COLUMNS($A406:AL406), Source!$G406, "")</f>
        <v/>
      </c>
      <c r="AM406" s="2" t="str">
        <f>IF(Source!$C406&gt;=COLUMNS($A406:AM406), Source!$G406, "")</f>
        <v/>
      </c>
      <c r="AN406" s="2" t="str">
        <f>IF(Source!$C406&gt;=COLUMNS($A406:AN406), Source!$G406, "")</f>
        <v/>
      </c>
      <c r="AO406" s="2" t="str">
        <f>IF(Source!$C406&gt;=COLUMNS($A406:AO406), Source!$G406, "")</f>
        <v/>
      </c>
      <c r="AP406" s="2" t="str">
        <f>IF(Source!$C406&gt;=COLUMNS($A406:AP406), Source!$G406, "")</f>
        <v/>
      </c>
      <c r="AQ406" s="2" t="str">
        <f>IF(Source!$C406&gt;=COLUMNS($A406:AQ406), Source!$G406, "")</f>
        <v/>
      </c>
      <c r="AR406" s="2" t="str">
        <f>IF(Source!$C406&gt;=COLUMNS($A406:AR406), Source!$G406, "")</f>
        <v/>
      </c>
    </row>
    <row r="407">
      <c r="A407" s="2">
        <f>IF(Source!$C407&gt;=COLUMNS($A407:A407), Source!$G407, "")</f>
        <v>6</v>
      </c>
      <c r="B407" s="2">
        <f>IF(Source!$C407&gt;=COLUMNS($A407:B407), Source!$G407, "")</f>
        <v>6</v>
      </c>
      <c r="C407" s="2">
        <f>IF(Source!$C407&gt;=COLUMNS($A407:C407), Source!$G407, "")</f>
        <v>6</v>
      </c>
      <c r="D407" s="2" t="str">
        <f>IF(Source!$C407&gt;=COLUMNS($A407:D407), Source!$G407, "")</f>
        <v/>
      </c>
      <c r="E407" s="2" t="str">
        <f>IF(Source!$C407&gt;=COLUMNS($A407:E407), Source!$G407, "")</f>
        <v/>
      </c>
      <c r="F407" s="2" t="str">
        <f>IF(Source!$C407&gt;=COLUMNS($A407:F407), Source!$G407, "")</f>
        <v/>
      </c>
      <c r="G407" s="2" t="str">
        <f>IF(Source!$C407&gt;=COLUMNS($A407:G407), Source!$G407, "")</f>
        <v/>
      </c>
      <c r="H407" s="2" t="str">
        <f>IF(Source!$C407&gt;=COLUMNS($A407:H407), Source!$G407, "")</f>
        <v/>
      </c>
      <c r="I407" s="2" t="str">
        <f>IF(Source!$C407&gt;=COLUMNS($A407:I407), Source!$G407, "")</f>
        <v/>
      </c>
      <c r="J407" s="2" t="str">
        <f>IF(Source!$C407&gt;=COLUMNS($A407:J407), Source!$G407, "")</f>
        <v/>
      </c>
      <c r="K407" s="2" t="str">
        <f>IF(Source!$C407&gt;=COLUMNS($A407:K407), Source!$G407, "")</f>
        <v/>
      </c>
      <c r="L407" s="2" t="str">
        <f>IF(Source!$C407&gt;=COLUMNS($A407:L407), Source!$G407, "")</f>
        <v/>
      </c>
      <c r="M407" s="2" t="str">
        <f>IF(Source!$C407&gt;=COLUMNS($A407:M407), Source!$G407, "")</f>
        <v/>
      </c>
      <c r="N407" s="2" t="str">
        <f>IF(Source!$C407&gt;=COLUMNS($A407:N407), Source!$G407, "")</f>
        <v/>
      </c>
      <c r="O407" s="2" t="str">
        <f>IF(Source!$C407&gt;=COLUMNS($A407:O407), Source!$G407, "")</f>
        <v/>
      </c>
      <c r="P407" s="2" t="str">
        <f>IF(Source!$C407&gt;=COLUMNS($A407:P407), Source!$G407, "")</f>
        <v/>
      </c>
      <c r="Q407" s="2" t="str">
        <f>IF(Source!$C407&gt;=COLUMNS($A407:Q407), Source!$G407, "")</f>
        <v/>
      </c>
      <c r="R407" s="2" t="str">
        <f>IF(Source!$C407&gt;=COLUMNS($A407:R407), Source!$G407, "")</f>
        <v/>
      </c>
      <c r="S407" s="2" t="str">
        <f>IF(Source!$C407&gt;=COLUMNS($A407:S407), Source!$G407, "")</f>
        <v/>
      </c>
      <c r="T407" s="2" t="str">
        <f>IF(Source!$C407&gt;=COLUMNS($A407:T407), Source!$G407, "")</f>
        <v/>
      </c>
      <c r="U407" s="2" t="str">
        <f>IF(Source!$C407&gt;=COLUMNS($A407:U407), Source!$G407, "")</f>
        <v/>
      </c>
      <c r="V407" s="2" t="str">
        <f>IF(Source!$C407&gt;=COLUMNS($A407:V407), Source!$G407, "")</f>
        <v/>
      </c>
      <c r="W407" s="2" t="str">
        <f>IF(Source!$C407&gt;=COLUMNS($A407:W407), Source!$G407, "")</f>
        <v/>
      </c>
      <c r="X407" s="2" t="str">
        <f>IF(Source!$C407&gt;=COLUMNS($A407:X407), Source!$G407, "")</f>
        <v/>
      </c>
      <c r="Y407" s="2" t="str">
        <f>IF(Source!$C407&gt;=COLUMNS($A407:Y407), Source!$G407, "")</f>
        <v/>
      </c>
      <c r="Z407" s="2" t="str">
        <f>IF(Source!$C407&gt;=COLUMNS($A407:Z407), Source!$G407, "")</f>
        <v/>
      </c>
      <c r="AA407" s="2" t="str">
        <f>IF(Source!$C407&gt;=COLUMNS($A407:AA407), Source!$G407, "")</f>
        <v/>
      </c>
      <c r="AB407" s="2" t="str">
        <f>IF(Source!$C407&gt;=COLUMNS($A407:AB407), Source!$G407, "")</f>
        <v/>
      </c>
      <c r="AC407" s="2" t="str">
        <f>IF(Source!$C407&gt;=COLUMNS($A407:AC407), Source!$G407, "")</f>
        <v/>
      </c>
      <c r="AD407" s="2" t="str">
        <f>IF(Source!$C407&gt;=COLUMNS($A407:AD407), Source!$G407, "")</f>
        <v/>
      </c>
      <c r="AE407" s="2" t="str">
        <f>IF(Source!$C407&gt;=COLUMNS($A407:AE407), Source!$G407, "")</f>
        <v/>
      </c>
      <c r="AF407" s="2" t="str">
        <f>IF(Source!$C407&gt;=COLUMNS($A407:AF407), Source!$G407, "")</f>
        <v/>
      </c>
      <c r="AG407" s="2" t="str">
        <f>IF(Source!$C407&gt;=COLUMNS($A407:AG407), Source!$G407, "")</f>
        <v/>
      </c>
      <c r="AH407" s="2" t="str">
        <f>IF(Source!$C407&gt;=COLUMNS($A407:AH407), Source!$G407, "")</f>
        <v/>
      </c>
      <c r="AI407" s="2" t="str">
        <f>IF(Source!$C407&gt;=COLUMNS($A407:AI407), Source!$G407, "")</f>
        <v/>
      </c>
      <c r="AJ407" s="2" t="str">
        <f>IF(Source!$C407&gt;=COLUMNS($A407:AJ407), Source!$G407, "")</f>
        <v/>
      </c>
      <c r="AK407" s="2" t="str">
        <f>IF(Source!$C407&gt;=COLUMNS($A407:AK407), Source!$G407, "")</f>
        <v/>
      </c>
      <c r="AL407" s="2" t="str">
        <f>IF(Source!$C407&gt;=COLUMNS($A407:AL407), Source!$G407, "")</f>
        <v/>
      </c>
      <c r="AM407" s="2" t="str">
        <f>IF(Source!$C407&gt;=COLUMNS($A407:AM407), Source!$G407, "")</f>
        <v/>
      </c>
      <c r="AN407" s="2" t="str">
        <f>IF(Source!$C407&gt;=COLUMNS($A407:AN407), Source!$G407, "")</f>
        <v/>
      </c>
      <c r="AO407" s="2" t="str">
        <f>IF(Source!$C407&gt;=COLUMNS($A407:AO407), Source!$G407, "")</f>
        <v/>
      </c>
      <c r="AP407" s="2" t="str">
        <f>IF(Source!$C407&gt;=COLUMNS($A407:AP407), Source!$G407, "")</f>
        <v/>
      </c>
      <c r="AQ407" s="2" t="str">
        <f>IF(Source!$C407&gt;=COLUMNS($A407:AQ407), Source!$G407, "")</f>
        <v/>
      </c>
      <c r="AR407" s="2" t="str">
        <f>IF(Source!$C407&gt;=COLUMNS($A407:AR407), Source!$G407, "")</f>
        <v/>
      </c>
    </row>
    <row r="408">
      <c r="A408" s="2">
        <f>IF(Source!$C408&gt;=COLUMNS($A408:A408), Source!$G408, "")</f>
        <v>5</v>
      </c>
      <c r="B408" s="2">
        <f>IF(Source!$C408&gt;=COLUMNS($A408:B408), Source!$G408, "")</f>
        <v>5</v>
      </c>
      <c r="C408" s="2">
        <f>IF(Source!$C408&gt;=COLUMNS($A408:C408), Source!$G408, "")</f>
        <v>5</v>
      </c>
      <c r="D408" s="2">
        <f>IF(Source!$C408&gt;=COLUMNS($A408:D408), Source!$G408, "")</f>
        <v>5</v>
      </c>
      <c r="E408" s="2">
        <f>IF(Source!$C408&gt;=COLUMNS($A408:E408), Source!$G408, "")</f>
        <v>5</v>
      </c>
      <c r="F408" s="2">
        <f>IF(Source!$C408&gt;=COLUMNS($A408:F408), Source!$G408, "")</f>
        <v>5</v>
      </c>
      <c r="G408" s="2">
        <f>IF(Source!$C408&gt;=COLUMNS($A408:G408), Source!$G408, "")</f>
        <v>5</v>
      </c>
      <c r="H408" s="2">
        <f>IF(Source!$C408&gt;=COLUMNS($A408:H408), Source!$G408, "")</f>
        <v>5</v>
      </c>
      <c r="I408" s="2">
        <f>IF(Source!$C408&gt;=COLUMNS($A408:I408), Source!$G408, "")</f>
        <v>5</v>
      </c>
      <c r="J408" s="2" t="str">
        <f>IF(Source!$C408&gt;=COLUMNS($A408:J408), Source!$G408, "")</f>
        <v/>
      </c>
      <c r="K408" s="2" t="str">
        <f>IF(Source!$C408&gt;=COLUMNS($A408:K408), Source!$G408, "")</f>
        <v/>
      </c>
      <c r="L408" s="2" t="str">
        <f>IF(Source!$C408&gt;=COLUMNS($A408:L408), Source!$G408, "")</f>
        <v/>
      </c>
      <c r="M408" s="2" t="str">
        <f>IF(Source!$C408&gt;=COLUMNS($A408:M408), Source!$G408, "")</f>
        <v/>
      </c>
      <c r="N408" s="2" t="str">
        <f>IF(Source!$C408&gt;=COLUMNS($A408:N408), Source!$G408, "")</f>
        <v/>
      </c>
      <c r="O408" s="2" t="str">
        <f>IF(Source!$C408&gt;=COLUMNS($A408:O408), Source!$G408, "")</f>
        <v/>
      </c>
      <c r="P408" s="2" t="str">
        <f>IF(Source!$C408&gt;=COLUMNS($A408:P408), Source!$G408, "")</f>
        <v/>
      </c>
      <c r="Q408" s="2" t="str">
        <f>IF(Source!$C408&gt;=COLUMNS($A408:Q408), Source!$G408, "")</f>
        <v/>
      </c>
      <c r="R408" s="2" t="str">
        <f>IF(Source!$C408&gt;=COLUMNS($A408:R408), Source!$G408, "")</f>
        <v/>
      </c>
      <c r="S408" s="2" t="str">
        <f>IF(Source!$C408&gt;=COLUMNS($A408:S408), Source!$G408, "")</f>
        <v/>
      </c>
      <c r="T408" s="2" t="str">
        <f>IF(Source!$C408&gt;=COLUMNS($A408:T408), Source!$G408, "")</f>
        <v/>
      </c>
      <c r="U408" s="2" t="str">
        <f>IF(Source!$C408&gt;=COLUMNS($A408:U408), Source!$G408, "")</f>
        <v/>
      </c>
      <c r="V408" s="2" t="str">
        <f>IF(Source!$C408&gt;=COLUMNS($A408:V408), Source!$G408, "")</f>
        <v/>
      </c>
      <c r="W408" s="2" t="str">
        <f>IF(Source!$C408&gt;=COLUMNS($A408:W408), Source!$G408, "")</f>
        <v/>
      </c>
      <c r="X408" s="2" t="str">
        <f>IF(Source!$C408&gt;=COLUMNS($A408:X408), Source!$G408, "")</f>
        <v/>
      </c>
      <c r="Y408" s="2" t="str">
        <f>IF(Source!$C408&gt;=COLUMNS($A408:Y408), Source!$G408, "")</f>
        <v/>
      </c>
      <c r="Z408" s="2" t="str">
        <f>IF(Source!$C408&gt;=COLUMNS($A408:Z408), Source!$G408, "")</f>
        <v/>
      </c>
      <c r="AA408" s="2" t="str">
        <f>IF(Source!$C408&gt;=COLUMNS($A408:AA408), Source!$G408, "")</f>
        <v/>
      </c>
      <c r="AB408" s="2" t="str">
        <f>IF(Source!$C408&gt;=COLUMNS($A408:AB408), Source!$G408, "")</f>
        <v/>
      </c>
      <c r="AC408" s="2" t="str">
        <f>IF(Source!$C408&gt;=COLUMNS($A408:AC408), Source!$G408, "")</f>
        <v/>
      </c>
      <c r="AD408" s="2" t="str">
        <f>IF(Source!$C408&gt;=COLUMNS($A408:AD408), Source!$G408, "")</f>
        <v/>
      </c>
      <c r="AE408" s="2" t="str">
        <f>IF(Source!$C408&gt;=COLUMNS($A408:AE408), Source!$G408, "")</f>
        <v/>
      </c>
      <c r="AF408" s="2" t="str">
        <f>IF(Source!$C408&gt;=COLUMNS($A408:AF408), Source!$G408, "")</f>
        <v/>
      </c>
      <c r="AG408" s="2" t="str">
        <f>IF(Source!$C408&gt;=COLUMNS($A408:AG408), Source!$G408, "")</f>
        <v/>
      </c>
      <c r="AH408" s="2" t="str">
        <f>IF(Source!$C408&gt;=COLUMNS($A408:AH408), Source!$G408, "")</f>
        <v/>
      </c>
      <c r="AI408" s="2" t="str">
        <f>IF(Source!$C408&gt;=COLUMNS($A408:AI408), Source!$G408, "")</f>
        <v/>
      </c>
      <c r="AJ408" s="2" t="str">
        <f>IF(Source!$C408&gt;=COLUMNS($A408:AJ408), Source!$G408, "")</f>
        <v/>
      </c>
      <c r="AK408" s="2" t="str">
        <f>IF(Source!$C408&gt;=COLUMNS($A408:AK408), Source!$G408, "")</f>
        <v/>
      </c>
      <c r="AL408" s="2" t="str">
        <f>IF(Source!$C408&gt;=COLUMNS($A408:AL408), Source!$G408, "")</f>
        <v/>
      </c>
      <c r="AM408" s="2" t="str">
        <f>IF(Source!$C408&gt;=COLUMNS($A408:AM408), Source!$G408, "")</f>
        <v/>
      </c>
      <c r="AN408" s="2" t="str">
        <f>IF(Source!$C408&gt;=COLUMNS($A408:AN408), Source!$G408, "")</f>
        <v/>
      </c>
      <c r="AO408" s="2" t="str">
        <f>IF(Source!$C408&gt;=COLUMNS($A408:AO408), Source!$G408, "")</f>
        <v/>
      </c>
      <c r="AP408" s="2" t="str">
        <f>IF(Source!$C408&gt;=COLUMNS($A408:AP408), Source!$G408, "")</f>
        <v/>
      </c>
      <c r="AQ408" s="2" t="str">
        <f>IF(Source!$C408&gt;=COLUMNS($A408:AQ408), Source!$G408, "")</f>
        <v/>
      </c>
      <c r="AR408" s="2" t="str">
        <f>IF(Source!$C408&gt;=COLUMNS($A408:AR408), Source!$G408, "")</f>
        <v/>
      </c>
    </row>
    <row r="409">
      <c r="A409" s="2">
        <f>IF(Source!$C409&gt;=COLUMNS($A409:A409), Source!$G409, "")</f>
        <v>2</v>
      </c>
      <c r="B409" s="2">
        <f>IF(Source!$C409&gt;=COLUMNS($A409:B409), Source!$G409, "")</f>
        <v>2</v>
      </c>
      <c r="C409" s="2">
        <f>IF(Source!$C409&gt;=COLUMNS($A409:C409), Source!$G409, "")</f>
        <v>2</v>
      </c>
      <c r="D409" s="2">
        <f>IF(Source!$C409&gt;=COLUMNS($A409:D409), Source!$G409, "")</f>
        <v>2</v>
      </c>
      <c r="E409" s="2">
        <f>IF(Source!$C409&gt;=COLUMNS($A409:E409), Source!$G409, "")</f>
        <v>2</v>
      </c>
      <c r="F409" s="2">
        <f>IF(Source!$C409&gt;=COLUMNS($A409:F409), Source!$G409, "")</f>
        <v>2</v>
      </c>
      <c r="G409" s="2">
        <f>IF(Source!$C409&gt;=COLUMNS($A409:G409), Source!$G409, "")</f>
        <v>2</v>
      </c>
      <c r="H409" s="2">
        <f>IF(Source!$C409&gt;=COLUMNS($A409:H409), Source!$G409, "")</f>
        <v>2</v>
      </c>
      <c r="I409" s="2" t="str">
        <f>IF(Source!$C409&gt;=COLUMNS($A409:I409), Source!$G409, "")</f>
        <v/>
      </c>
      <c r="J409" s="2" t="str">
        <f>IF(Source!$C409&gt;=COLUMNS($A409:J409), Source!$G409, "")</f>
        <v/>
      </c>
      <c r="K409" s="2" t="str">
        <f>IF(Source!$C409&gt;=COLUMNS($A409:K409), Source!$G409, "")</f>
        <v/>
      </c>
      <c r="L409" s="2" t="str">
        <f>IF(Source!$C409&gt;=COLUMNS($A409:L409), Source!$G409, "")</f>
        <v/>
      </c>
      <c r="M409" s="2" t="str">
        <f>IF(Source!$C409&gt;=COLUMNS($A409:M409), Source!$G409, "")</f>
        <v/>
      </c>
      <c r="N409" s="2" t="str">
        <f>IF(Source!$C409&gt;=COLUMNS($A409:N409), Source!$G409, "")</f>
        <v/>
      </c>
      <c r="O409" s="2" t="str">
        <f>IF(Source!$C409&gt;=COLUMNS($A409:O409), Source!$G409, "")</f>
        <v/>
      </c>
      <c r="P409" s="2" t="str">
        <f>IF(Source!$C409&gt;=COLUMNS($A409:P409), Source!$G409, "")</f>
        <v/>
      </c>
      <c r="Q409" s="2" t="str">
        <f>IF(Source!$C409&gt;=COLUMNS($A409:Q409), Source!$G409, "")</f>
        <v/>
      </c>
      <c r="R409" s="2" t="str">
        <f>IF(Source!$C409&gt;=COLUMNS($A409:R409), Source!$G409, "")</f>
        <v/>
      </c>
      <c r="S409" s="2" t="str">
        <f>IF(Source!$C409&gt;=COLUMNS($A409:S409), Source!$G409, "")</f>
        <v/>
      </c>
      <c r="T409" s="2" t="str">
        <f>IF(Source!$C409&gt;=COLUMNS($A409:T409), Source!$G409, "")</f>
        <v/>
      </c>
      <c r="U409" s="2" t="str">
        <f>IF(Source!$C409&gt;=COLUMNS($A409:U409), Source!$G409, "")</f>
        <v/>
      </c>
      <c r="V409" s="2" t="str">
        <f>IF(Source!$C409&gt;=COLUMNS($A409:V409), Source!$G409, "")</f>
        <v/>
      </c>
      <c r="W409" s="2" t="str">
        <f>IF(Source!$C409&gt;=COLUMNS($A409:W409), Source!$G409, "")</f>
        <v/>
      </c>
      <c r="X409" s="2" t="str">
        <f>IF(Source!$C409&gt;=COLUMNS($A409:X409), Source!$G409, "")</f>
        <v/>
      </c>
      <c r="Y409" s="2" t="str">
        <f>IF(Source!$C409&gt;=COLUMNS($A409:Y409), Source!$G409, "")</f>
        <v/>
      </c>
      <c r="Z409" s="2" t="str">
        <f>IF(Source!$C409&gt;=COLUMNS($A409:Z409), Source!$G409, "")</f>
        <v/>
      </c>
      <c r="AA409" s="2" t="str">
        <f>IF(Source!$C409&gt;=COLUMNS($A409:AA409), Source!$G409, "")</f>
        <v/>
      </c>
      <c r="AB409" s="2" t="str">
        <f>IF(Source!$C409&gt;=COLUMNS($A409:AB409), Source!$G409, "")</f>
        <v/>
      </c>
      <c r="AC409" s="2" t="str">
        <f>IF(Source!$C409&gt;=COLUMNS($A409:AC409), Source!$G409, "")</f>
        <v/>
      </c>
      <c r="AD409" s="2" t="str">
        <f>IF(Source!$C409&gt;=COLUMNS($A409:AD409), Source!$G409, "")</f>
        <v/>
      </c>
      <c r="AE409" s="2" t="str">
        <f>IF(Source!$C409&gt;=COLUMNS($A409:AE409), Source!$G409, "")</f>
        <v/>
      </c>
      <c r="AF409" s="2" t="str">
        <f>IF(Source!$C409&gt;=COLUMNS($A409:AF409), Source!$G409, "")</f>
        <v/>
      </c>
      <c r="AG409" s="2" t="str">
        <f>IF(Source!$C409&gt;=COLUMNS($A409:AG409), Source!$G409, "")</f>
        <v/>
      </c>
      <c r="AH409" s="2" t="str">
        <f>IF(Source!$C409&gt;=COLUMNS($A409:AH409), Source!$G409, "")</f>
        <v/>
      </c>
      <c r="AI409" s="2" t="str">
        <f>IF(Source!$C409&gt;=COLUMNS($A409:AI409), Source!$G409, "")</f>
        <v/>
      </c>
      <c r="AJ409" s="2" t="str">
        <f>IF(Source!$C409&gt;=COLUMNS($A409:AJ409), Source!$G409, "")</f>
        <v/>
      </c>
      <c r="AK409" s="2" t="str">
        <f>IF(Source!$C409&gt;=COLUMNS($A409:AK409), Source!$G409, "")</f>
        <v/>
      </c>
      <c r="AL409" s="2" t="str">
        <f>IF(Source!$C409&gt;=COLUMNS($A409:AL409), Source!$G409, "")</f>
        <v/>
      </c>
      <c r="AM409" s="2" t="str">
        <f>IF(Source!$C409&gt;=COLUMNS($A409:AM409), Source!$G409, "")</f>
        <v/>
      </c>
      <c r="AN409" s="2" t="str">
        <f>IF(Source!$C409&gt;=COLUMNS($A409:AN409), Source!$G409, "")</f>
        <v/>
      </c>
      <c r="AO409" s="2" t="str">
        <f>IF(Source!$C409&gt;=COLUMNS($A409:AO409), Source!$G409, "")</f>
        <v/>
      </c>
      <c r="AP409" s="2" t="str">
        <f>IF(Source!$C409&gt;=COLUMNS($A409:AP409), Source!$G409, "")</f>
        <v/>
      </c>
      <c r="AQ409" s="2" t="str">
        <f>IF(Source!$C409&gt;=COLUMNS($A409:AQ409), Source!$G409, "")</f>
        <v/>
      </c>
      <c r="AR409" s="2" t="str">
        <f>IF(Source!$C409&gt;=COLUMNS($A409:AR409), Source!$G409, "")</f>
        <v/>
      </c>
    </row>
    <row r="410">
      <c r="A410" s="2">
        <f>IF(Source!$C410&gt;=COLUMNS($A410:A410), Source!$G410, "")</f>
        <v>3</v>
      </c>
      <c r="B410" s="2">
        <f>IF(Source!$C410&gt;=COLUMNS($A410:B410), Source!$G410, "")</f>
        <v>3</v>
      </c>
      <c r="C410" s="2">
        <f>IF(Source!$C410&gt;=COLUMNS($A410:C410), Source!$G410, "")</f>
        <v>3</v>
      </c>
      <c r="D410" s="2">
        <f>IF(Source!$C410&gt;=COLUMNS($A410:D410), Source!$G410, "")</f>
        <v>3</v>
      </c>
      <c r="E410" s="2">
        <f>IF(Source!$C410&gt;=COLUMNS($A410:E410), Source!$G410, "")</f>
        <v>3</v>
      </c>
      <c r="F410" s="2">
        <f>IF(Source!$C410&gt;=COLUMNS($A410:F410), Source!$G410, "")</f>
        <v>3</v>
      </c>
      <c r="G410" s="2">
        <f>IF(Source!$C410&gt;=COLUMNS($A410:G410), Source!$G410, "")</f>
        <v>3</v>
      </c>
      <c r="H410" s="2" t="str">
        <f>IF(Source!$C410&gt;=COLUMNS($A410:H410), Source!$G410, "")</f>
        <v/>
      </c>
      <c r="I410" s="2" t="str">
        <f>IF(Source!$C410&gt;=COLUMNS($A410:I410), Source!$G410, "")</f>
        <v/>
      </c>
      <c r="J410" s="2" t="str">
        <f>IF(Source!$C410&gt;=COLUMNS($A410:J410), Source!$G410, "")</f>
        <v/>
      </c>
      <c r="K410" s="2" t="str">
        <f>IF(Source!$C410&gt;=COLUMNS($A410:K410), Source!$G410, "")</f>
        <v/>
      </c>
      <c r="L410" s="2" t="str">
        <f>IF(Source!$C410&gt;=COLUMNS($A410:L410), Source!$G410, "")</f>
        <v/>
      </c>
      <c r="M410" s="2" t="str">
        <f>IF(Source!$C410&gt;=COLUMNS($A410:M410), Source!$G410, "")</f>
        <v/>
      </c>
      <c r="N410" s="2" t="str">
        <f>IF(Source!$C410&gt;=COLUMNS($A410:N410), Source!$G410, "")</f>
        <v/>
      </c>
      <c r="O410" s="2" t="str">
        <f>IF(Source!$C410&gt;=COLUMNS($A410:O410), Source!$G410, "")</f>
        <v/>
      </c>
      <c r="P410" s="2" t="str">
        <f>IF(Source!$C410&gt;=COLUMNS($A410:P410), Source!$G410, "")</f>
        <v/>
      </c>
      <c r="Q410" s="2" t="str">
        <f>IF(Source!$C410&gt;=COLUMNS($A410:Q410), Source!$G410, "")</f>
        <v/>
      </c>
      <c r="R410" s="2" t="str">
        <f>IF(Source!$C410&gt;=COLUMNS($A410:R410), Source!$G410, "")</f>
        <v/>
      </c>
      <c r="S410" s="2" t="str">
        <f>IF(Source!$C410&gt;=COLUMNS($A410:S410), Source!$G410, "")</f>
        <v/>
      </c>
      <c r="T410" s="2" t="str">
        <f>IF(Source!$C410&gt;=COLUMNS($A410:T410), Source!$G410, "")</f>
        <v/>
      </c>
      <c r="U410" s="2" t="str">
        <f>IF(Source!$C410&gt;=COLUMNS($A410:U410), Source!$G410, "")</f>
        <v/>
      </c>
      <c r="V410" s="2" t="str">
        <f>IF(Source!$C410&gt;=COLUMNS($A410:V410), Source!$G410, "")</f>
        <v/>
      </c>
      <c r="W410" s="2" t="str">
        <f>IF(Source!$C410&gt;=COLUMNS($A410:W410), Source!$G410, "")</f>
        <v/>
      </c>
      <c r="X410" s="2" t="str">
        <f>IF(Source!$C410&gt;=COLUMNS($A410:X410), Source!$G410, "")</f>
        <v/>
      </c>
      <c r="Y410" s="2" t="str">
        <f>IF(Source!$C410&gt;=COLUMNS($A410:Y410), Source!$G410, "")</f>
        <v/>
      </c>
      <c r="Z410" s="2" t="str">
        <f>IF(Source!$C410&gt;=COLUMNS($A410:Z410), Source!$G410, "")</f>
        <v/>
      </c>
      <c r="AA410" s="2" t="str">
        <f>IF(Source!$C410&gt;=COLUMNS($A410:AA410), Source!$G410, "")</f>
        <v/>
      </c>
      <c r="AB410" s="2" t="str">
        <f>IF(Source!$C410&gt;=COLUMNS($A410:AB410), Source!$G410, "")</f>
        <v/>
      </c>
      <c r="AC410" s="2" t="str">
        <f>IF(Source!$C410&gt;=COLUMNS($A410:AC410), Source!$G410, "")</f>
        <v/>
      </c>
      <c r="AD410" s="2" t="str">
        <f>IF(Source!$C410&gt;=COLUMNS($A410:AD410), Source!$G410, "")</f>
        <v/>
      </c>
      <c r="AE410" s="2" t="str">
        <f>IF(Source!$C410&gt;=COLUMNS($A410:AE410), Source!$G410, "")</f>
        <v/>
      </c>
      <c r="AF410" s="2" t="str">
        <f>IF(Source!$C410&gt;=COLUMNS($A410:AF410), Source!$G410, "")</f>
        <v/>
      </c>
      <c r="AG410" s="2" t="str">
        <f>IF(Source!$C410&gt;=COLUMNS($A410:AG410), Source!$G410, "")</f>
        <v/>
      </c>
      <c r="AH410" s="2" t="str">
        <f>IF(Source!$C410&gt;=COLUMNS($A410:AH410), Source!$G410, "")</f>
        <v/>
      </c>
      <c r="AI410" s="2" t="str">
        <f>IF(Source!$C410&gt;=COLUMNS($A410:AI410), Source!$G410, "")</f>
        <v/>
      </c>
      <c r="AJ410" s="2" t="str">
        <f>IF(Source!$C410&gt;=COLUMNS($A410:AJ410), Source!$G410, "")</f>
        <v/>
      </c>
      <c r="AK410" s="2" t="str">
        <f>IF(Source!$C410&gt;=COLUMNS($A410:AK410), Source!$G410, "")</f>
        <v/>
      </c>
      <c r="AL410" s="2" t="str">
        <f>IF(Source!$C410&gt;=COLUMNS($A410:AL410), Source!$G410, "")</f>
        <v/>
      </c>
      <c r="AM410" s="2" t="str">
        <f>IF(Source!$C410&gt;=COLUMNS($A410:AM410), Source!$G410, "")</f>
        <v/>
      </c>
      <c r="AN410" s="2" t="str">
        <f>IF(Source!$C410&gt;=COLUMNS($A410:AN410), Source!$G410, "")</f>
        <v/>
      </c>
      <c r="AO410" s="2" t="str">
        <f>IF(Source!$C410&gt;=COLUMNS($A410:AO410), Source!$G410, "")</f>
        <v/>
      </c>
      <c r="AP410" s="2" t="str">
        <f>IF(Source!$C410&gt;=COLUMNS($A410:AP410), Source!$G410, "")</f>
        <v/>
      </c>
      <c r="AQ410" s="2" t="str">
        <f>IF(Source!$C410&gt;=COLUMNS($A410:AQ410), Source!$G410, "")</f>
        <v/>
      </c>
      <c r="AR410" s="2" t="str">
        <f>IF(Source!$C410&gt;=COLUMNS($A410:AR410), Source!$G410, "")</f>
        <v/>
      </c>
    </row>
    <row r="411">
      <c r="A411" s="2">
        <f>IF(Source!$C411&gt;=COLUMNS($A411:A411), Source!$G411, "")</f>
        <v>1</v>
      </c>
      <c r="B411" s="2" t="str">
        <f>IF(Source!$C411&gt;=COLUMNS($A411:B411), Source!$G411, "")</f>
        <v/>
      </c>
      <c r="C411" s="2" t="str">
        <f>IF(Source!$C411&gt;=COLUMNS($A411:C411), Source!$G411, "")</f>
        <v/>
      </c>
      <c r="D411" s="2" t="str">
        <f>IF(Source!$C411&gt;=COLUMNS($A411:D411), Source!$G411, "")</f>
        <v/>
      </c>
      <c r="E411" s="2" t="str">
        <f>IF(Source!$C411&gt;=COLUMNS($A411:E411), Source!$G411, "")</f>
        <v/>
      </c>
      <c r="F411" s="2" t="str">
        <f>IF(Source!$C411&gt;=COLUMNS($A411:F411), Source!$G411, "")</f>
        <v/>
      </c>
      <c r="G411" s="2" t="str">
        <f>IF(Source!$C411&gt;=COLUMNS($A411:G411), Source!$G411, "")</f>
        <v/>
      </c>
      <c r="H411" s="2" t="str">
        <f>IF(Source!$C411&gt;=COLUMNS($A411:H411), Source!$G411, "")</f>
        <v/>
      </c>
      <c r="I411" s="2" t="str">
        <f>IF(Source!$C411&gt;=COLUMNS($A411:I411), Source!$G411, "")</f>
        <v/>
      </c>
      <c r="J411" s="2" t="str">
        <f>IF(Source!$C411&gt;=COLUMNS($A411:J411), Source!$G411, "")</f>
        <v/>
      </c>
      <c r="K411" s="2" t="str">
        <f>IF(Source!$C411&gt;=COLUMNS($A411:K411), Source!$G411, "")</f>
        <v/>
      </c>
      <c r="L411" s="2" t="str">
        <f>IF(Source!$C411&gt;=COLUMNS($A411:L411), Source!$G411, "")</f>
        <v/>
      </c>
      <c r="M411" s="2" t="str">
        <f>IF(Source!$C411&gt;=COLUMNS($A411:M411), Source!$G411, "")</f>
        <v/>
      </c>
      <c r="N411" s="2" t="str">
        <f>IF(Source!$C411&gt;=COLUMNS($A411:N411), Source!$G411, "")</f>
        <v/>
      </c>
      <c r="O411" s="2" t="str">
        <f>IF(Source!$C411&gt;=COLUMNS($A411:O411), Source!$G411, "")</f>
        <v/>
      </c>
      <c r="P411" s="2" t="str">
        <f>IF(Source!$C411&gt;=COLUMNS($A411:P411), Source!$G411, "")</f>
        <v/>
      </c>
      <c r="Q411" s="2" t="str">
        <f>IF(Source!$C411&gt;=COLUMNS($A411:Q411), Source!$G411, "")</f>
        <v/>
      </c>
      <c r="R411" s="2" t="str">
        <f>IF(Source!$C411&gt;=COLUMNS($A411:R411), Source!$G411, "")</f>
        <v/>
      </c>
      <c r="S411" s="2" t="str">
        <f>IF(Source!$C411&gt;=COLUMNS($A411:S411), Source!$G411, "")</f>
        <v/>
      </c>
      <c r="T411" s="2" t="str">
        <f>IF(Source!$C411&gt;=COLUMNS($A411:T411), Source!$G411, "")</f>
        <v/>
      </c>
      <c r="U411" s="2" t="str">
        <f>IF(Source!$C411&gt;=COLUMNS($A411:U411), Source!$G411, "")</f>
        <v/>
      </c>
      <c r="V411" s="2" t="str">
        <f>IF(Source!$C411&gt;=COLUMNS($A411:V411), Source!$G411, "")</f>
        <v/>
      </c>
      <c r="W411" s="2" t="str">
        <f>IF(Source!$C411&gt;=COLUMNS($A411:W411), Source!$G411, "")</f>
        <v/>
      </c>
      <c r="X411" s="2" t="str">
        <f>IF(Source!$C411&gt;=COLUMNS($A411:X411), Source!$G411, "")</f>
        <v/>
      </c>
      <c r="Y411" s="2" t="str">
        <f>IF(Source!$C411&gt;=COLUMNS($A411:Y411), Source!$G411, "")</f>
        <v/>
      </c>
      <c r="Z411" s="2" t="str">
        <f>IF(Source!$C411&gt;=COLUMNS($A411:Z411), Source!$G411, "")</f>
        <v/>
      </c>
      <c r="AA411" s="2" t="str">
        <f>IF(Source!$C411&gt;=COLUMNS($A411:AA411), Source!$G411, "")</f>
        <v/>
      </c>
      <c r="AB411" s="2" t="str">
        <f>IF(Source!$C411&gt;=COLUMNS($A411:AB411), Source!$G411, "")</f>
        <v/>
      </c>
      <c r="AC411" s="2" t="str">
        <f>IF(Source!$C411&gt;=COLUMNS($A411:AC411), Source!$G411, "")</f>
        <v/>
      </c>
      <c r="AD411" s="2" t="str">
        <f>IF(Source!$C411&gt;=COLUMNS($A411:AD411), Source!$G411, "")</f>
        <v/>
      </c>
      <c r="AE411" s="2" t="str">
        <f>IF(Source!$C411&gt;=COLUMNS($A411:AE411), Source!$G411, "")</f>
        <v/>
      </c>
      <c r="AF411" s="2" t="str">
        <f>IF(Source!$C411&gt;=COLUMNS($A411:AF411), Source!$G411, "")</f>
        <v/>
      </c>
      <c r="AG411" s="2" t="str">
        <f>IF(Source!$C411&gt;=COLUMNS($A411:AG411), Source!$G411, "")</f>
        <v/>
      </c>
      <c r="AH411" s="2" t="str">
        <f>IF(Source!$C411&gt;=COLUMNS($A411:AH411), Source!$G411, "")</f>
        <v/>
      </c>
      <c r="AI411" s="2" t="str">
        <f>IF(Source!$C411&gt;=COLUMNS($A411:AI411), Source!$G411, "")</f>
        <v/>
      </c>
      <c r="AJ411" s="2" t="str">
        <f>IF(Source!$C411&gt;=COLUMNS($A411:AJ411), Source!$G411, "")</f>
        <v/>
      </c>
      <c r="AK411" s="2" t="str">
        <f>IF(Source!$C411&gt;=COLUMNS($A411:AK411), Source!$G411, "")</f>
        <v/>
      </c>
      <c r="AL411" s="2" t="str">
        <f>IF(Source!$C411&gt;=COLUMNS($A411:AL411), Source!$G411, "")</f>
        <v/>
      </c>
      <c r="AM411" s="2" t="str">
        <f>IF(Source!$C411&gt;=COLUMNS($A411:AM411), Source!$G411, "")</f>
        <v/>
      </c>
      <c r="AN411" s="2" t="str">
        <f>IF(Source!$C411&gt;=COLUMNS($A411:AN411), Source!$G411, "")</f>
        <v/>
      </c>
      <c r="AO411" s="2" t="str">
        <f>IF(Source!$C411&gt;=COLUMNS($A411:AO411), Source!$G411, "")</f>
        <v/>
      </c>
      <c r="AP411" s="2" t="str">
        <f>IF(Source!$C411&gt;=COLUMNS($A411:AP411), Source!$G411, "")</f>
        <v/>
      </c>
      <c r="AQ411" s="2" t="str">
        <f>IF(Source!$C411&gt;=COLUMNS($A411:AQ411), Source!$G411, "")</f>
        <v/>
      </c>
      <c r="AR411" s="2" t="str">
        <f>IF(Source!$C411&gt;=COLUMNS($A411:AR411), Source!$G411, "")</f>
        <v/>
      </c>
    </row>
    <row r="412">
      <c r="A412" s="2">
        <f>IF(Source!$C412&gt;=COLUMNS($A412:A412), Source!$G412, "")</f>
        <v>5</v>
      </c>
      <c r="B412" s="2">
        <f>IF(Source!$C412&gt;=COLUMNS($A412:B412), Source!$G412, "")</f>
        <v>5</v>
      </c>
      <c r="C412" s="2">
        <f>IF(Source!$C412&gt;=COLUMNS($A412:C412), Source!$G412, "")</f>
        <v>5</v>
      </c>
      <c r="D412" s="2">
        <f>IF(Source!$C412&gt;=COLUMNS($A412:D412), Source!$G412, "")</f>
        <v>5</v>
      </c>
      <c r="E412" s="2">
        <f>IF(Source!$C412&gt;=COLUMNS($A412:E412), Source!$G412, "")</f>
        <v>5</v>
      </c>
      <c r="F412" s="2">
        <f>IF(Source!$C412&gt;=COLUMNS($A412:F412), Source!$G412, "")</f>
        <v>5</v>
      </c>
      <c r="G412" s="2">
        <f>IF(Source!$C412&gt;=COLUMNS($A412:G412), Source!$G412, "")</f>
        <v>5</v>
      </c>
      <c r="H412" s="2" t="str">
        <f>IF(Source!$C412&gt;=COLUMNS($A412:H412), Source!$G412, "")</f>
        <v/>
      </c>
      <c r="I412" s="2" t="str">
        <f>IF(Source!$C412&gt;=COLUMNS($A412:I412), Source!$G412, "")</f>
        <v/>
      </c>
      <c r="J412" s="2" t="str">
        <f>IF(Source!$C412&gt;=COLUMNS($A412:J412), Source!$G412, "")</f>
        <v/>
      </c>
      <c r="K412" s="2" t="str">
        <f>IF(Source!$C412&gt;=COLUMNS($A412:K412), Source!$G412, "")</f>
        <v/>
      </c>
      <c r="L412" s="2" t="str">
        <f>IF(Source!$C412&gt;=COLUMNS($A412:L412), Source!$G412, "")</f>
        <v/>
      </c>
      <c r="M412" s="2" t="str">
        <f>IF(Source!$C412&gt;=COLUMNS($A412:M412), Source!$G412, "")</f>
        <v/>
      </c>
      <c r="N412" s="2" t="str">
        <f>IF(Source!$C412&gt;=COLUMNS($A412:N412), Source!$G412, "")</f>
        <v/>
      </c>
      <c r="O412" s="2" t="str">
        <f>IF(Source!$C412&gt;=COLUMNS($A412:O412), Source!$G412, "")</f>
        <v/>
      </c>
      <c r="P412" s="2" t="str">
        <f>IF(Source!$C412&gt;=COLUMNS($A412:P412), Source!$G412, "")</f>
        <v/>
      </c>
      <c r="Q412" s="2" t="str">
        <f>IF(Source!$C412&gt;=COLUMNS($A412:Q412), Source!$G412, "")</f>
        <v/>
      </c>
      <c r="R412" s="2" t="str">
        <f>IF(Source!$C412&gt;=COLUMNS($A412:R412), Source!$G412, "")</f>
        <v/>
      </c>
      <c r="S412" s="2" t="str">
        <f>IF(Source!$C412&gt;=COLUMNS($A412:S412), Source!$G412, "")</f>
        <v/>
      </c>
      <c r="T412" s="2" t="str">
        <f>IF(Source!$C412&gt;=COLUMNS($A412:T412), Source!$G412, "")</f>
        <v/>
      </c>
      <c r="U412" s="2" t="str">
        <f>IF(Source!$C412&gt;=COLUMNS($A412:U412), Source!$G412, "")</f>
        <v/>
      </c>
      <c r="V412" s="2" t="str">
        <f>IF(Source!$C412&gt;=COLUMNS($A412:V412), Source!$G412, "")</f>
        <v/>
      </c>
      <c r="W412" s="2" t="str">
        <f>IF(Source!$C412&gt;=COLUMNS($A412:W412), Source!$G412, "")</f>
        <v/>
      </c>
      <c r="X412" s="2" t="str">
        <f>IF(Source!$C412&gt;=COLUMNS($A412:X412), Source!$G412, "")</f>
        <v/>
      </c>
      <c r="Y412" s="2" t="str">
        <f>IF(Source!$C412&gt;=COLUMNS($A412:Y412), Source!$G412, "")</f>
        <v/>
      </c>
      <c r="Z412" s="2" t="str">
        <f>IF(Source!$C412&gt;=COLUMNS($A412:Z412), Source!$G412, "")</f>
        <v/>
      </c>
      <c r="AA412" s="2" t="str">
        <f>IF(Source!$C412&gt;=COLUMNS($A412:AA412), Source!$G412, "")</f>
        <v/>
      </c>
      <c r="AB412" s="2" t="str">
        <f>IF(Source!$C412&gt;=COLUMNS($A412:AB412), Source!$G412, "")</f>
        <v/>
      </c>
      <c r="AC412" s="2" t="str">
        <f>IF(Source!$C412&gt;=COLUMNS($A412:AC412), Source!$G412, "")</f>
        <v/>
      </c>
      <c r="AD412" s="2" t="str">
        <f>IF(Source!$C412&gt;=COLUMNS($A412:AD412), Source!$G412, "")</f>
        <v/>
      </c>
      <c r="AE412" s="2" t="str">
        <f>IF(Source!$C412&gt;=COLUMNS($A412:AE412), Source!$G412, "")</f>
        <v/>
      </c>
      <c r="AF412" s="2" t="str">
        <f>IF(Source!$C412&gt;=COLUMNS($A412:AF412), Source!$G412, "")</f>
        <v/>
      </c>
      <c r="AG412" s="2" t="str">
        <f>IF(Source!$C412&gt;=COLUMNS($A412:AG412), Source!$G412, "")</f>
        <v/>
      </c>
      <c r="AH412" s="2" t="str">
        <f>IF(Source!$C412&gt;=COLUMNS($A412:AH412), Source!$G412, "")</f>
        <v/>
      </c>
      <c r="AI412" s="2" t="str">
        <f>IF(Source!$C412&gt;=COLUMNS($A412:AI412), Source!$G412, "")</f>
        <v/>
      </c>
      <c r="AJ412" s="2" t="str">
        <f>IF(Source!$C412&gt;=COLUMNS($A412:AJ412), Source!$G412, "")</f>
        <v/>
      </c>
      <c r="AK412" s="2" t="str">
        <f>IF(Source!$C412&gt;=COLUMNS($A412:AK412), Source!$G412, "")</f>
        <v/>
      </c>
      <c r="AL412" s="2" t="str">
        <f>IF(Source!$C412&gt;=COLUMNS($A412:AL412), Source!$G412, "")</f>
        <v/>
      </c>
      <c r="AM412" s="2" t="str">
        <f>IF(Source!$C412&gt;=COLUMNS($A412:AM412), Source!$G412, "")</f>
        <v/>
      </c>
      <c r="AN412" s="2" t="str">
        <f>IF(Source!$C412&gt;=COLUMNS($A412:AN412), Source!$G412, "")</f>
        <v/>
      </c>
      <c r="AO412" s="2" t="str">
        <f>IF(Source!$C412&gt;=COLUMNS($A412:AO412), Source!$G412, "")</f>
        <v/>
      </c>
      <c r="AP412" s="2" t="str">
        <f>IF(Source!$C412&gt;=COLUMNS($A412:AP412), Source!$G412, "")</f>
        <v/>
      </c>
      <c r="AQ412" s="2" t="str">
        <f>IF(Source!$C412&gt;=COLUMNS($A412:AQ412), Source!$G412, "")</f>
        <v/>
      </c>
      <c r="AR412" s="2" t="str">
        <f>IF(Source!$C412&gt;=COLUMNS($A412:AR412), Source!$G412, "")</f>
        <v/>
      </c>
    </row>
    <row r="413">
      <c r="A413" s="2">
        <f>IF(Source!$C413&gt;=COLUMNS($A413:A413), Source!$G413, "")</f>
        <v>1</v>
      </c>
      <c r="B413" s="2">
        <f>IF(Source!$C413&gt;=COLUMNS($A413:B413), Source!$G413, "")</f>
        <v>1</v>
      </c>
      <c r="C413" s="2" t="str">
        <f>IF(Source!$C413&gt;=COLUMNS($A413:C413), Source!$G413, "")</f>
        <v/>
      </c>
      <c r="D413" s="2" t="str">
        <f>IF(Source!$C413&gt;=COLUMNS($A413:D413), Source!$G413, "")</f>
        <v/>
      </c>
      <c r="E413" s="2" t="str">
        <f>IF(Source!$C413&gt;=COLUMNS($A413:E413), Source!$G413, "")</f>
        <v/>
      </c>
      <c r="F413" s="2" t="str">
        <f>IF(Source!$C413&gt;=COLUMNS($A413:F413), Source!$G413, "")</f>
        <v/>
      </c>
      <c r="G413" s="2" t="str">
        <f>IF(Source!$C413&gt;=COLUMNS($A413:G413), Source!$G413, "")</f>
        <v/>
      </c>
      <c r="H413" s="2" t="str">
        <f>IF(Source!$C413&gt;=COLUMNS($A413:H413), Source!$G413, "")</f>
        <v/>
      </c>
      <c r="I413" s="2" t="str">
        <f>IF(Source!$C413&gt;=COLUMNS($A413:I413), Source!$G413, "")</f>
        <v/>
      </c>
      <c r="J413" s="2" t="str">
        <f>IF(Source!$C413&gt;=COLUMNS($A413:J413), Source!$G413, "")</f>
        <v/>
      </c>
      <c r="K413" s="2" t="str">
        <f>IF(Source!$C413&gt;=COLUMNS($A413:K413), Source!$G413, "")</f>
        <v/>
      </c>
      <c r="L413" s="2" t="str">
        <f>IF(Source!$C413&gt;=COLUMNS($A413:L413), Source!$G413, "")</f>
        <v/>
      </c>
      <c r="M413" s="2" t="str">
        <f>IF(Source!$C413&gt;=COLUMNS($A413:M413), Source!$G413, "")</f>
        <v/>
      </c>
      <c r="N413" s="2" t="str">
        <f>IF(Source!$C413&gt;=COLUMNS($A413:N413), Source!$G413, "")</f>
        <v/>
      </c>
      <c r="O413" s="2" t="str">
        <f>IF(Source!$C413&gt;=COLUMNS($A413:O413), Source!$G413, "")</f>
        <v/>
      </c>
      <c r="P413" s="2" t="str">
        <f>IF(Source!$C413&gt;=COLUMNS($A413:P413), Source!$G413, "")</f>
        <v/>
      </c>
      <c r="Q413" s="2" t="str">
        <f>IF(Source!$C413&gt;=COLUMNS($A413:Q413), Source!$G413, "")</f>
        <v/>
      </c>
      <c r="R413" s="2" t="str">
        <f>IF(Source!$C413&gt;=COLUMNS($A413:R413), Source!$G413, "")</f>
        <v/>
      </c>
      <c r="S413" s="2" t="str">
        <f>IF(Source!$C413&gt;=COLUMNS($A413:S413), Source!$G413, "")</f>
        <v/>
      </c>
      <c r="T413" s="2" t="str">
        <f>IF(Source!$C413&gt;=COLUMNS($A413:T413), Source!$G413, "")</f>
        <v/>
      </c>
      <c r="U413" s="2" t="str">
        <f>IF(Source!$C413&gt;=COLUMNS($A413:U413), Source!$G413, "")</f>
        <v/>
      </c>
      <c r="V413" s="2" t="str">
        <f>IF(Source!$C413&gt;=COLUMNS($A413:V413), Source!$G413, "")</f>
        <v/>
      </c>
      <c r="W413" s="2" t="str">
        <f>IF(Source!$C413&gt;=COLUMNS($A413:W413), Source!$G413, "")</f>
        <v/>
      </c>
      <c r="X413" s="2" t="str">
        <f>IF(Source!$C413&gt;=COLUMNS($A413:X413), Source!$G413, "")</f>
        <v/>
      </c>
      <c r="Y413" s="2" t="str">
        <f>IF(Source!$C413&gt;=COLUMNS($A413:Y413), Source!$G413, "")</f>
        <v/>
      </c>
      <c r="Z413" s="2" t="str">
        <f>IF(Source!$C413&gt;=COLUMNS($A413:Z413), Source!$G413, "")</f>
        <v/>
      </c>
      <c r="AA413" s="2" t="str">
        <f>IF(Source!$C413&gt;=COLUMNS($A413:AA413), Source!$G413, "")</f>
        <v/>
      </c>
      <c r="AB413" s="2" t="str">
        <f>IF(Source!$C413&gt;=COLUMNS($A413:AB413), Source!$G413, "")</f>
        <v/>
      </c>
      <c r="AC413" s="2" t="str">
        <f>IF(Source!$C413&gt;=COLUMNS($A413:AC413), Source!$G413, "")</f>
        <v/>
      </c>
      <c r="AD413" s="2" t="str">
        <f>IF(Source!$C413&gt;=COLUMNS($A413:AD413), Source!$G413, "")</f>
        <v/>
      </c>
      <c r="AE413" s="2" t="str">
        <f>IF(Source!$C413&gt;=COLUMNS($A413:AE413), Source!$G413, "")</f>
        <v/>
      </c>
      <c r="AF413" s="2" t="str">
        <f>IF(Source!$C413&gt;=COLUMNS($A413:AF413), Source!$G413, "")</f>
        <v/>
      </c>
      <c r="AG413" s="2" t="str">
        <f>IF(Source!$C413&gt;=COLUMNS($A413:AG413), Source!$G413, "")</f>
        <v/>
      </c>
      <c r="AH413" s="2" t="str">
        <f>IF(Source!$C413&gt;=COLUMNS($A413:AH413), Source!$G413, "")</f>
        <v/>
      </c>
      <c r="AI413" s="2" t="str">
        <f>IF(Source!$C413&gt;=COLUMNS($A413:AI413), Source!$G413, "")</f>
        <v/>
      </c>
      <c r="AJ413" s="2" t="str">
        <f>IF(Source!$C413&gt;=COLUMNS($A413:AJ413), Source!$G413, "")</f>
        <v/>
      </c>
      <c r="AK413" s="2" t="str">
        <f>IF(Source!$C413&gt;=COLUMNS($A413:AK413), Source!$G413, "")</f>
        <v/>
      </c>
      <c r="AL413" s="2" t="str">
        <f>IF(Source!$C413&gt;=COLUMNS($A413:AL413), Source!$G413, "")</f>
        <v/>
      </c>
      <c r="AM413" s="2" t="str">
        <f>IF(Source!$C413&gt;=COLUMNS($A413:AM413), Source!$G413, "")</f>
        <v/>
      </c>
      <c r="AN413" s="2" t="str">
        <f>IF(Source!$C413&gt;=COLUMNS($A413:AN413), Source!$G413, "")</f>
        <v/>
      </c>
      <c r="AO413" s="2" t="str">
        <f>IF(Source!$C413&gt;=COLUMNS($A413:AO413), Source!$G413, "")</f>
        <v/>
      </c>
      <c r="AP413" s="2" t="str">
        <f>IF(Source!$C413&gt;=COLUMNS($A413:AP413), Source!$G413, "")</f>
        <v/>
      </c>
      <c r="AQ413" s="2" t="str">
        <f>IF(Source!$C413&gt;=COLUMNS($A413:AQ413), Source!$G413, "")</f>
        <v/>
      </c>
      <c r="AR413" s="2" t="str">
        <f>IF(Source!$C413&gt;=COLUMNS($A413:AR413), Source!$G413, "")</f>
        <v/>
      </c>
    </row>
    <row r="414">
      <c r="A414" s="2">
        <f>IF(Source!$C414&gt;=COLUMNS($A414:A414), Source!$G414, "")</f>
        <v>6</v>
      </c>
      <c r="B414" s="2" t="str">
        <f>IF(Source!$C414&gt;=COLUMNS($A414:B414), Source!$G414, "")</f>
        <v/>
      </c>
      <c r="C414" s="2" t="str">
        <f>IF(Source!$C414&gt;=COLUMNS($A414:C414), Source!$G414, "")</f>
        <v/>
      </c>
      <c r="D414" s="2" t="str">
        <f>IF(Source!$C414&gt;=COLUMNS($A414:D414), Source!$G414, "")</f>
        <v/>
      </c>
      <c r="E414" s="2" t="str">
        <f>IF(Source!$C414&gt;=COLUMNS($A414:E414), Source!$G414, "")</f>
        <v/>
      </c>
      <c r="F414" s="2" t="str">
        <f>IF(Source!$C414&gt;=COLUMNS($A414:F414), Source!$G414, "")</f>
        <v/>
      </c>
      <c r="G414" s="2" t="str">
        <f>IF(Source!$C414&gt;=COLUMNS($A414:G414), Source!$G414, "")</f>
        <v/>
      </c>
      <c r="H414" s="2" t="str">
        <f>IF(Source!$C414&gt;=COLUMNS($A414:H414), Source!$G414, "")</f>
        <v/>
      </c>
      <c r="I414" s="2" t="str">
        <f>IF(Source!$C414&gt;=COLUMNS($A414:I414), Source!$G414, "")</f>
        <v/>
      </c>
      <c r="J414" s="2" t="str">
        <f>IF(Source!$C414&gt;=COLUMNS($A414:J414), Source!$G414, "")</f>
        <v/>
      </c>
      <c r="K414" s="2" t="str">
        <f>IF(Source!$C414&gt;=COLUMNS($A414:K414), Source!$G414, "")</f>
        <v/>
      </c>
      <c r="L414" s="2" t="str">
        <f>IF(Source!$C414&gt;=COLUMNS($A414:L414), Source!$G414, "")</f>
        <v/>
      </c>
      <c r="M414" s="2" t="str">
        <f>IF(Source!$C414&gt;=COLUMNS($A414:M414), Source!$G414, "")</f>
        <v/>
      </c>
      <c r="N414" s="2" t="str">
        <f>IF(Source!$C414&gt;=COLUMNS($A414:N414), Source!$G414, "")</f>
        <v/>
      </c>
      <c r="O414" s="2" t="str">
        <f>IF(Source!$C414&gt;=COLUMNS($A414:O414), Source!$G414, "")</f>
        <v/>
      </c>
      <c r="P414" s="2" t="str">
        <f>IF(Source!$C414&gt;=COLUMNS($A414:P414), Source!$G414, "")</f>
        <v/>
      </c>
      <c r="Q414" s="2" t="str">
        <f>IF(Source!$C414&gt;=COLUMNS($A414:Q414), Source!$G414, "")</f>
        <v/>
      </c>
      <c r="R414" s="2" t="str">
        <f>IF(Source!$C414&gt;=COLUMNS($A414:R414), Source!$G414, "")</f>
        <v/>
      </c>
      <c r="S414" s="2" t="str">
        <f>IF(Source!$C414&gt;=COLUMNS($A414:S414), Source!$G414, "")</f>
        <v/>
      </c>
      <c r="T414" s="2" t="str">
        <f>IF(Source!$C414&gt;=COLUMNS($A414:T414), Source!$G414, "")</f>
        <v/>
      </c>
      <c r="U414" s="2" t="str">
        <f>IF(Source!$C414&gt;=COLUMNS($A414:U414), Source!$G414, "")</f>
        <v/>
      </c>
      <c r="V414" s="2" t="str">
        <f>IF(Source!$C414&gt;=COLUMNS($A414:V414), Source!$G414, "")</f>
        <v/>
      </c>
      <c r="W414" s="2" t="str">
        <f>IF(Source!$C414&gt;=COLUMNS($A414:W414), Source!$G414, "")</f>
        <v/>
      </c>
      <c r="X414" s="2" t="str">
        <f>IF(Source!$C414&gt;=COLUMNS($A414:X414), Source!$G414, "")</f>
        <v/>
      </c>
      <c r="Y414" s="2" t="str">
        <f>IF(Source!$C414&gt;=COLUMNS($A414:Y414), Source!$G414, "")</f>
        <v/>
      </c>
      <c r="Z414" s="2" t="str">
        <f>IF(Source!$C414&gt;=COLUMNS($A414:Z414), Source!$G414, "")</f>
        <v/>
      </c>
      <c r="AA414" s="2" t="str">
        <f>IF(Source!$C414&gt;=COLUMNS($A414:AA414), Source!$G414, "")</f>
        <v/>
      </c>
      <c r="AB414" s="2" t="str">
        <f>IF(Source!$C414&gt;=COLUMNS($A414:AB414), Source!$G414, "")</f>
        <v/>
      </c>
      <c r="AC414" s="2" t="str">
        <f>IF(Source!$C414&gt;=COLUMNS($A414:AC414), Source!$G414, "")</f>
        <v/>
      </c>
      <c r="AD414" s="2" t="str">
        <f>IF(Source!$C414&gt;=COLUMNS($A414:AD414), Source!$G414, "")</f>
        <v/>
      </c>
      <c r="AE414" s="2" t="str">
        <f>IF(Source!$C414&gt;=COLUMNS($A414:AE414), Source!$G414, "")</f>
        <v/>
      </c>
      <c r="AF414" s="2" t="str">
        <f>IF(Source!$C414&gt;=COLUMNS($A414:AF414), Source!$G414, "")</f>
        <v/>
      </c>
      <c r="AG414" s="2" t="str">
        <f>IF(Source!$C414&gt;=COLUMNS($A414:AG414), Source!$G414, "")</f>
        <v/>
      </c>
      <c r="AH414" s="2" t="str">
        <f>IF(Source!$C414&gt;=COLUMNS($A414:AH414), Source!$G414, "")</f>
        <v/>
      </c>
      <c r="AI414" s="2" t="str">
        <f>IF(Source!$C414&gt;=COLUMNS($A414:AI414), Source!$G414, "")</f>
        <v/>
      </c>
      <c r="AJ414" s="2" t="str">
        <f>IF(Source!$C414&gt;=COLUMNS($A414:AJ414), Source!$G414, "")</f>
        <v/>
      </c>
      <c r="AK414" s="2" t="str">
        <f>IF(Source!$C414&gt;=COLUMNS($A414:AK414), Source!$G414, "")</f>
        <v/>
      </c>
      <c r="AL414" s="2" t="str">
        <f>IF(Source!$C414&gt;=COLUMNS($A414:AL414), Source!$G414, "")</f>
        <v/>
      </c>
      <c r="AM414" s="2" t="str">
        <f>IF(Source!$C414&gt;=COLUMNS($A414:AM414), Source!$G414, "")</f>
        <v/>
      </c>
      <c r="AN414" s="2" t="str">
        <f>IF(Source!$C414&gt;=COLUMNS($A414:AN414), Source!$G414, "")</f>
        <v/>
      </c>
      <c r="AO414" s="2" t="str">
        <f>IF(Source!$C414&gt;=COLUMNS($A414:AO414), Source!$G414, "")</f>
        <v/>
      </c>
      <c r="AP414" s="2" t="str">
        <f>IF(Source!$C414&gt;=COLUMNS($A414:AP414), Source!$G414, "")</f>
        <v/>
      </c>
      <c r="AQ414" s="2" t="str">
        <f>IF(Source!$C414&gt;=COLUMNS($A414:AQ414), Source!$G414, "")</f>
        <v/>
      </c>
      <c r="AR414" s="2" t="str">
        <f>IF(Source!$C414&gt;=COLUMNS($A414:AR414), Source!$G414, "")</f>
        <v/>
      </c>
    </row>
    <row r="415">
      <c r="A415" s="2">
        <f>IF(Source!$C415&gt;=COLUMNS($A415:A415), Source!$G415, "")</f>
        <v>3</v>
      </c>
      <c r="B415" s="2">
        <f>IF(Source!$C415&gt;=COLUMNS($A415:B415), Source!$G415, "")</f>
        <v>3</v>
      </c>
      <c r="C415" s="2" t="str">
        <f>IF(Source!$C415&gt;=COLUMNS($A415:C415), Source!$G415, "")</f>
        <v/>
      </c>
      <c r="D415" s="2" t="str">
        <f>IF(Source!$C415&gt;=COLUMNS($A415:D415), Source!$G415, "")</f>
        <v/>
      </c>
      <c r="E415" s="2" t="str">
        <f>IF(Source!$C415&gt;=COLUMNS($A415:E415), Source!$G415, "")</f>
        <v/>
      </c>
      <c r="F415" s="2" t="str">
        <f>IF(Source!$C415&gt;=COLUMNS($A415:F415), Source!$G415, "")</f>
        <v/>
      </c>
      <c r="G415" s="2" t="str">
        <f>IF(Source!$C415&gt;=COLUMNS($A415:G415), Source!$G415, "")</f>
        <v/>
      </c>
      <c r="H415" s="2" t="str">
        <f>IF(Source!$C415&gt;=COLUMNS($A415:H415), Source!$G415, "")</f>
        <v/>
      </c>
      <c r="I415" s="2" t="str">
        <f>IF(Source!$C415&gt;=COLUMNS($A415:I415), Source!$G415, "")</f>
        <v/>
      </c>
      <c r="J415" s="2" t="str">
        <f>IF(Source!$C415&gt;=COLUMNS($A415:J415), Source!$G415, "")</f>
        <v/>
      </c>
      <c r="K415" s="2" t="str">
        <f>IF(Source!$C415&gt;=COLUMNS($A415:K415), Source!$G415, "")</f>
        <v/>
      </c>
      <c r="L415" s="2" t="str">
        <f>IF(Source!$C415&gt;=COLUMNS($A415:L415), Source!$G415, "")</f>
        <v/>
      </c>
      <c r="M415" s="2" t="str">
        <f>IF(Source!$C415&gt;=COLUMNS($A415:M415), Source!$G415, "")</f>
        <v/>
      </c>
      <c r="N415" s="2" t="str">
        <f>IF(Source!$C415&gt;=COLUMNS($A415:N415), Source!$G415, "")</f>
        <v/>
      </c>
      <c r="O415" s="2" t="str">
        <f>IF(Source!$C415&gt;=COLUMNS($A415:O415), Source!$G415, "")</f>
        <v/>
      </c>
      <c r="P415" s="2" t="str">
        <f>IF(Source!$C415&gt;=COLUMNS($A415:P415), Source!$G415, "")</f>
        <v/>
      </c>
      <c r="Q415" s="2" t="str">
        <f>IF(Source!$C415&gt;=COLUMNS($A415:Q415), Source!$G415, "")</f>
        <v/>
      </c>
      <c r="R415" s="2" t="str">
        <f>IF(Source!$C415&gt;=COLUMNS($A415:R415), Source!$G415, "")</f>
        <v/>
      </c>
      <c r="S415" s="2" t="str">
        <f>IF(Source!$C415&gt;=COLUMNS($A415:S415), Source!$G415, "")</f>
        <v/>
      </c>
      <c r="T415" s="2" t="str">
        <f>IF(Source!$C415&gt;=COLUMNS($A415:T415), Source!$G415, "")</f>
        <v/>
      </c>
      <c r="U415" s="2" t="str">
        <f>IF(Source!$C415&gt;=COLUMNS($A415:U415), Source!$G415, "")</f>
        <v/>
      </c>
      <c r="V415" s="2" t="str">
        <f>IF(Source!$C415&gt;=COLUMNS($A415:V415), Source!$G415, "")</f>
        <v/>
      </c>
      <c r="W415" s="2" t="str">
        <f>IF(Source!$C415&gt;=COLUMNS($A415:W415), Source!$G415, "")</f>
        <v/>
      </c>
      <c r="X415" s="2" t="str">
        <f>IF(Source!$C415&gt;=COLUMNS($A415:X415), Source!$G415, "")</f>
        <v/>
      </c>
      <c r="Y415" s="2" t="str">
        <f>IF(Source!$C415&gt;=COLUMNS($A415:Y415), Source!$G415, "")</f>
        <v/>
      </c>
      <c r="Z415" s="2" t="str">
        <f>IF(Source!$C415&gt;=COLUMNS($A415:Z415), Source!$G415, "")</f>
        <v/>
      </c>
      <c r="AA415" s="2" t="str">
        <f>IF(Source!$C415&gt;=COLUMNS($A415:AA415), Source!$G415, "")</f>
        <v/>
      </c>
      <c r="AB415" s="2" t="str">
        <f>IF(Source!$C415&gt;=COLUMNS($A415:AB415), Source!$G415, "")</f>
        <v/>
      </c>
      <c r="AC415" s="2" t="str">
        <f>IF(Source!$C415&gt;=COLUMNS($A415:AC415), Source!$G415, "")</f>
        <v/>
      </c>
      <c r="AD415" s="2" t="str">
        <f>IF(Source!$C415&gt;=COLUMNS($A415:AD415), Source!$G415, "")</f>
        <v/>
      </c>
      <c r="AE415" s="2" t="str">
        <f>IF(Source!$C415&gt;=COLUMNS($A415:AE415), Source!$G415, "")</f>
        <v/>
      </c>
      <c r="AF415" s="2" t="str">
        <f>IF(Source!$C415&gt;=COLUMNS($A415:AF415), Source!$G415, "")</f>
        <v/>
      </c>
      <c r="AG415" s="2" t="str">
        <f>IF(Source!$C415&gt;=COLUMNS($A415:AG415), Source!$G415, "")</f>
        <v/>
      </c>
      <c r="AH415" s="2" t="str">
        <f>IF(Source!$C415&gt;=COLUMNS($A415:AH415), Source!$G415, "")</f>
        <v/>
      </c>
      <c r="AI415" s="2" t="str">
        <f>IF(Source!$C415&gt;=COLUMNS($A415:AI415), Source!$G415, "")</f>
        <v/>
      </c>
      <c r="AJ415" s="2" t="str">
        <f>IF(Source!$C415&gt;=COLUMNS($A415:AJ415), Source!$G415, "")</f>
        <v/>
      </c>
      <c r="AK415" s="2" t="str">
        <f>IF(Source!$C415&gt;=COLUMNS($A415:AK415), Source!$G415, "")</f>
        <v/>
      </c>
      <c r="AL415" s="2" t="str">
        <f>IF(Source!$C415&gt;=COLUMNS($A415:AL415), Source!$G415, "")</f>
        <v/>
      </c>
      <c r="AM415" s="2" t="str">
        <f>IF(Source!$C415&gt;=COLUMNS($A415:AM415), Source!$G415, "")</f>
        <v/>
      </c>
      <c r="AN415" s="2" t="str">
        <f>IF(Source!$C415&gt;=COLUMNS($A415:AN415), Source!$G415, "")</f>
        <v/>
      </c>
      <c r="AO415" s="2" t="str">
        <f>IF(Source!$C415&gt;=COLUMNS($A415:AO415), Source!$G415, "")</f>
        <v/>
      </c>
      <c r="AP415" s="2" t="str">
        <f>IF(Source!$C415&gt;=COLUMNS($A415:AP415), Source!$G415, "")</f>
        <v/>
      </c>
      <c r="AQ415" s="2" t="str">
        <f>IF(Source!$C415&gt;=COLUMNS($A415:AQ415), Source!$G415, "")</f>
        <v/>
      </c>
      <c r="AR415" s="2" t="str">
        <f>IF(Source!$C415&gt;=COLUMNS($A415:AR415), Source!$G415, "")</f>
        <v/>
      </c>
    </row>
    <row r="416">
      <c r="A416" s="2">
        <f>IF(Source!$C416&gt;=COLUMNS($A416:A416), Source!$G416, "")</f>
        <v>9</v>
      </c>
      <c r="B416" s="2">
        <f>IF(Source!$C416&gt;=COLUMNS($A416:B416), Source!$G416, "")</f>
        <v>9</v>
      </c>
      <c r="C416" s="2">
        <f>IF(Source!$C416&gt;=COLUMNS($A416:C416), Source!$G416, "")</f>
        <v>9</v>
      </c>
      <c r="D416" s="2">
        <f>IF(Source!$C416&gt;=COLUMNS($A416:D416), Source!$G416, "")</f>
        <v>9</v>
      </c>
      <c r="E416" s="2">
        <f>IF(Source!$C416&gt;=COLUMNS($A416:E416), Source!$G416, "")</f>
        <v>9</v>
      </c>
      <c r="F416" s="2">
        <f>IF(Source!$C416&gt;=COLUMNS($A416:F416), Source!$G416, "")</f>
        <v>9</v>
      </c>
      <c r="G416" s="2">
        <f>IF(Source!$C416&gt;=COLUMNS($A416:G416), Source!$G416, "")</f>
        <v>9</v>
      </c>
      <c r="H416" s="2">
        <f>IF(Source!$C416&gt;=COLUMNS($A416:H416), Source!$G416, "")</f>
        <v>9</v>
      </c>
      <c r="I416" s="2" t="str">
        <f>IF(Source!$C416&gt;=COLUMNS($A416:I416), Source!$G416, "")</f>
        <v/>
      </c>
      <c r="J416" s="2" t="str">
        <f>IF(Source!$C416&gt;=COLUMNS($A416:J416), Source!$G416, "")</f>
        <v/>
      </c>
      <c r="K416" s="2" t="str">
        <f>IF(Source!$C416&gt;=COLUMNS($A416:K416), Source!$G416, "")</f>
        <v/>
      </c>
      <c r="L416" s="2" t="str">
        <f>IF(Source!$C416&gt;=COLUMNS($A416:L416), Source!$G416, "")</f>
        <v/>
      </c>
      <c r="M416" s="2" t="str">
        <f>IF(Source!$C416&gt;=COLUMNS($A416:M416), Source!$G416, "")</f>
        <v/>
      </c>
      <c r="N416" s="2" t="str">
        <f>IF(Source!$C416&gt;=COLUMNS($A416:N416), Source!$G416, "")</f>
        <v/>
      </c>
      <c r="O416" s="2" t="str">
        <f>IF(Source!$C416&gt;=COLUMNS($A416:O416), Source!$G416, "")</f>
        <v/>
      </c>
      <c r="P416" s="2" t="str">
        <f>IF(Source!$C416&gt;=COLUMNS($A416:P416), Source!$G416, "")</f>
        <v/>
      </c>
      <c r="Q416" s="2" t="str">
        <f>IF(Source!$C416&gt;=COLUMNS($A416:Q416), Source!$G416, "")</f>
        <v/>
      </c>
      <c r="R416" s="2" t="str">
        <f>IF(Source!$C416&gt;=COLUMNS($A416:R416), Source!$G416, "")</f>
        <v/>
      </c>
      <c r="S416" s="2" t="str">
        <f>IF(Source!$C416&gt;=COLUMNS($A416:S416), Source!$G416, "")</f>
        <v/>
      </c>
      <c r="T416" s="2" t="str">
        <f>IF(Source!$C416&gt;=COLUMNS($A416:T416), Source!$G416, "")</f>
        <v/>
      </c>
      <c r="U416" s="2" t="str">
        <f>IF(Source!$C416&gt;=COLUMNS($A416:U416), Source!$G416, "")</f>
        <v/>
      </c>
      <c r="V416" s="2" t="str">
        <f>IF(Source!$C416&gt;=COLUMNS($A416:V416), Source!$G416, "")</f>
        <v/>
      </c>
      <c r="W416" s="2" t="str">
        <f>IF(Source!$C416&gt;=COLUMNS($A416:W416), Source!$G416, "")</f>
        <v/>
      </c>
      <c r="X416" s="2" t="str">
        <f>IF(Source!$C416&gt;=COLUMNS($A416:X416), Source!$G416, "")</f>
        <v/>
      </c>
      <c r="Y416" s="2" t="str">
        <f>IF(Source!$C416&gt;=COLUMNS($A416:Y416), Source!$G416, "")</f>
        <v/>
      </c>
      <c r="Z416" s="2" t="str">
        <f>IF(Source!$C416&gt;=COLUMNS($A416:Z416), Source!$G416, "")</f>
        <v/>
      </c>
      <c r="AA416" s="2" t="str">
        <f>IF(Source!$C416&gt;=COLUMNS($A416:AA416), Source!$G416, "")</f>
        <v/>
      </c>
      <c r="AB416" s="2" t="str">
        <f>IF(Source!$C416&gt;=COLUMNS($A416:AB416), Source!$G416, "")</f>
        <v/>
      </c>
      <c r="AC416" s="2" t="str">
        <f>IF(Source!$C416&gt;=COLUMNS($A416:AC416), Source!$G416, "")</f>
        <v/>
      </c>
      <c r="AD416" s="2" t="str">
        <f>IF(Source!$C416&gt;=COLUMNS($A416:AD416), Source!$G416, "")</f>
        <v/>
      </c>
      <c r="AE416" s="2" t="str">
        <f>IF(Source!$C416&gt;=COLUMNS($A416:AE416), Source!$G416, "")</f>
        <v/>
      </c>
      <c r="AF416" s="2" t="str">
        <f>IF(Source!$C416&gt;=COLUMNS($A416:AF416), Source!$G416, "")</f>
        <v/>
      </c>
      <c r="AG416" s="2" t="str">
        <f>IF(Source!$C416&gt;=COLUMNS($A416:AG416), Source!$G416, "")</f>
        <v/>
      </c>
      <c r="AH416" s="2" t="str">
        <f>IF(Source!$C416&gt;=COLUMNS($A416:AH416), Source!$G416, "")</f>
        <v/>
      </c>
      <c r="AI416" s="2" t="str">
        <f>IF(Source!$C416&gt;=COLUMNS($A416:AI416), Source!$G416, "")</f>
        <v/>
      </c>
      <c r="AJ416" s="2" t="str">
        <f>IF(Source!$C416&gt;=COLUMNS($A416:AJ416), Source!$G416, "")</f>
        <v/>
      </c>
      <c r="AK416" s="2" t="str">
        <f>IF(Source!$C416&gt;=COLUMNS($A416:AK416), Source!$G416, "")</f>
        <v/>
      </c>
      <c r="AL416" s="2" t="str">
        <f>IF(Source!$C416&gt;=COLUMNS($A416:AL416), Source!$G416, "")</f>
        <v/>
      </c>
      <c r="AM416" s="2" t="str">
        <f>IF(Source!$C416&gt;=COLUMNS($A416:AM416), Source!$G416, "")</f>
        <v/>
      </c>
      <c r="AN416" s="2" t="str">
        <f>IF(Source!$C416&gt;=COLUMNS($A416:AN416), Source!$G416, "")</f>
        <v/>
      </c>
      <c r="AO416" s="2" t="str">
        <f>IF(Source!$C416&gt;=COLUMNS($A416:AO416), Source!$G416, "")</f>
        <v/>
      </c>
      <c r="AP416" s="2" t="str">
        <f>IF(Source!$C416&gt;=COLUMNS($A416:AP416), Source!$G416, "")</f>
        <v/>
      </c>
      <c r="AQ416" s="2" t="str">
        <f>IF(Source!$C416&gt;=COLUMNS($A416:AQ416), Source!$G416, "")</f>
        <v/>
      </c>
      <c r="AR416" s="2" t="str">
        <f>IF(Source!$C416&gt;=COLUMNS($A416:AR416), Source!$G416, "")</f>
        <v/>
      </c>
    </row>
    <row r="417">
      <c r="A417" s="2">
        <f>IF(Source!$C417&gt;=COLUMNS($A417:A417), Source!$G417, "")</f>
        <v>3</v>
      </c>
      <c r="B417" s="2">
        <f>IF(Source!$C417&gt;=COLUMNS($A417:B417), Source!$G417, "")</f>
        <v>3</v>
      </c>
      <c r="C417" s="2">
        <f>IF(Source!$C417&gt;=COLUMNS($A417:C417), Source!$G417, "")</f>
        <v>3</v>
      </c>
      <c r="D417" s="2" t="str">
        <f>IF(Source!$C417&gt;=COLUMNS($A417:D417), Source!$G417, "")</f>
        <v/>
      </c>
      <c r="E417" s="2" t="str">
        <f>IF(Source!$C417&gt;=COLUMNS($A417:E417), Source!$G417, "")</f>
        <v/>
      </c>
      <c r="F417" s="2" t="str">
        <f>IF(Source!$C417&gt;=COLUMNS($A417:F417), Source!$G417, "")</f>
        <v/>
      </c>
      <c r="G417" s="2" t="str">
        <f>IF(Source!$C417&gt;=COLUMNS($A417:G417), Source!$G417, "")</f>
        <v/>
      </c>
      <c r="H417" s="2" t="str">
        <f>IF(Source!$C417&gt;=COLUMNS($A417:H417), Source!$G417, "")</f>
        <v/>
      </c>
      <c r="I417" s="2" t="str">
        <f>IF(Source!$C417&gt;=COLUMNS($A417:I417), Source!$G417, "")</f>
        <v/>
      </c>
      <c r="J417" s="2" t="str">
        <f>IF(Source!$C417&gt;=COLUMNS($A417:J417), Source!$G417, "")</f>
        <v/>
      </c>
      <c r="K417" s="2" t="str">
        <f>IF(Source!$C417&gt;=COLUMNS($A417:K417), Source!$G417, "")</f>
        <v/>
      </c>
      <c r="L417" s="2" t="str">
        <f>IF(Source!$C417&gt;=COLUMNS($A417:L417), Source!$G417, "")</f>
        <v/>
      </c>
      <c r="M417" s="2" t="str">
        <f>IF(Source!$C417&gt;=COLUMNS($A417:M417), Source!$G417, "")</f>
        <v/>
      </c>
      <c r="N417" s="2" t="str">
        <f>IF(Source!$C417&gt;=COLUMNS($A417:N417), Source!$G417, "")</f>
        <v/>
      </c>
      <c r="O417" s="2" t="str">
        <f>IF(Source!$C417&gt;=COLUMNS($A417:O417), Source!$G417, "")</f>
        <v/>
      </c>
      <c r="P417" s="2" t="str">
        <f>IF(Source!$C417&gt;=COLUMNS($A417:P417), Source!$G417, "")</f>
        <v/>
      </c>
      <c r="Q417" s="2" t="str">
        <f>IF(Source!$C417&gt;=COLUMNS($A417:Q417), Source!$G417, "")</f>
        <v/>
      </c>
      <c r="R417" s="2" t="str">
        <f>IF(Source!$C417&gt;=COLUMNS($A417:R417), Source!$G417, "")</f>
        <v/>
      </c>
      <c r="S417" s="2" t="str">
        <f>IF(Source!$C417&gt;=COLUMNS($A417:S417), Source!$G417, "")</f>
        <v/>
      </c>
      <c r="T417" s="2" t="str">
        <f>IF(Source!$C417&gt;=COLUMNS($A417:T417), Source!$G417, "")</f>
        <v/>
      </c>
      <c r="U417" s="2" t="str">
        <f>IF(Source!$C417&gt;=COLUMNS($A417:U417), Source!$G417, "")</f>
        <v/>
      </c>
      <c r="V417" s="2" t="str">
        <f>IF(Source!$C417&gt;=COLUMNS($A417:V417), Source!$G417, "")</f>
        <v/>
      </c>
      <c r="W417" s="2" t="str">
        <f>IF(Source!$C417&gt;=COLUMNS($A417:W417), Source!$G417, "")</f>
        <v/>
      </c>
      <c r="X417" s="2" t="str">
        <f>IF(Source!$C417&gt;=COLUMNS($A417:X417), Source!$G417, "")</f>
        <v/>
      </c>
      <c r="Y417" s="2" t="str">
        <f>IF(Source!$C417&gt;=COLUMNS($A417:Y417), Source!$G417, "")</f>
        <v/>
      </c>
      <c r="Z417" s="2" t="str">
        <f>IF(Source!$C417&gt;=COLUMNS($A417:Z417), Source!$G417, "")</f>
        <v/>
      </c>
      <c r="AA417" s="2" t="str">
        <f>IF(Source!$C417&gt;=COLUMNS($A417:AA417), Source!$G417, "")</f>
        <v/>
      </c>
      <c r="AB417" s="2" t="str">
        <f>IF(Source!$C417&gt;=COLUMNS($A417:AB417), Source!$G417, "")</f>
        <v/>
      </c>
      <c r="AC417" s="2" t="str">
        <f>IF(Source!$C417&gt;=COLUMNS($A417:AC417), Source!$G417, "")</f>
        <v/>
      </c>
      <c r="AD417" s="2" t="str">
        <f>IF(Source!$C417&gt;=COLUMNS($A417:AD417), Source!$G417, "")</f>
        <v/>
      </c>
      <c r="AE417" s="2" t="str">
        <f>IF(Source!$C417&gt;=COLUMNS($A417:AE417), Source!$G417, "")</f>
        <v/>
      </c>
      <c r="AF417" s="2" t="str">
        <f>IF(Source!$C417&gt;=COLUMNS($A417:AF417), Source!$G417, "")</f>
        <v/>
      </c>
      <c r="AG417" s="2" t="str">
        <f>IF(Source!$C417&gt;=COLUMNS($A417:AG417), Source!$G417, "")</f>
        <v/>
      </c>
      <c r="AH417" s="2" t="str">
        <f>IF(Source!$C417&gt;=COLUMNS($A417:AH417), Source!$G417, "")</f>
        <v/>
      </c>
      <c r="AI417" s="2" t="str">
        <f>IF(Source!$C417&gt;=COLUMNS($A417:AI417), Source!$G417, "")</f>
        <v/>
      </c>
      <c r="AJ417" s="2" t="str">
        <f>IF(Source!$C417&gt;=COLUMNS($A417:AJ417), Source!$G417, "")</f>
        <v/>
      </c>
      <c r="AK417" s="2" t="str">
        <f>IF(Source!$C417&gt;=COLUMNS($A417:AK417), Source!$G417, "")</f>
        <v/>
      </c>
      <c r="AL417" s="2" t="str">
        <f>IF(Source!$C417&gt;=COLUMNS($A417:AL417), Source!$G417, "")</f>
        <v/>
      </c>
      <c r="AM417" s="2" t="str">
        <f>IF(Source!$C417&gt;=COLUMNS($A417:AM417), Source!$G417, "")</f>
        <v/>
      </c>
      <c r="AN417" s="2" t="str">
        <f>IF(Source!$C417&gt;=COLUMNS($A417:AN417), Source!$G417, "")</f>
        <v/>
      </c>
      <c r="AO417" s="2" t="str">
        <f>IF(Source!$C417&gt;=COLUMNS($A417:AO417), Source!$G417, "")</f>
        <v/>
      </c>
      <c r="AP417" s="2" t="str">
        <f>IF(Source!$C417&gt;=COLUMNS($A417:AP417), Source!$G417, "")</f>
        <v/>
      </c>
      <c r="AQ417" s="2" t="str">
        <f>IF(Source!$C417&gt;=COLUMNS($A417:AQ417), Source!$G417, "")</f>
        <v/>
      </c>
      <c r="AR417" s="2" t="str">
        <f>IF(Source!$C417&gt;=COLUMNS($A417:AR417), Source!$G417, "")</f>
        <v/>
      </c>
    </row>
    <row r="418">
      <c r="A418" s="2">
        <f>IF(Source!$C418&gt;=COLUMNS($A418:A418), Source!$G418, "")</f>
        <v>1</v>
      </c>
      <c r="B418" s="2" t="str">
        <f>IF(Source!$C418&gt;=COLUMNS($A418:B418), Source!$G418, "")</f>
        <v/>
      </c>
      <c r="C418" s="2" t="str">
        <f>IF(Source!$C418&gt;=COLUMNS($A418:C418), Source!$G418, "")</f>
        <v/>
      </c>
      <c r="D418" s="2" t="str">
        <f>IF(Source!$C418&gt;=COLUMNS($A418:D418), Source!$G418, "")</f>
        <v/>
      </c>
      <c r="E418" s="2" t="str">
        <f>IF(Source!$C418&gt;=COLUMNS($A418:E418), Source!$G418, "")</f>
        <v/>
      </c>
      <c r="F418" s="2" t="str">
        <f>IF(Source!$C418&gt;=COLUMNS($A418:F418), Source!$G418, "")</f>
        <v/>
      </c>
      <c r="G418" s="2" t="str">
        <f>IF(Source!$C418&gt;=COLUMNS($A418:G418), Source!$G418, "")</f>
        <v/>
      </c>
      <c r="H418" s="2" t="str">
        <f>IF(Source!$C418&gt;=COLUMNS($A418:H418), Source!$G418, "")</f>
        <v/>
      </c>
      <c r="I418" s="2" t="str">
        <f>IF(Source!$C418&gt;=COLUMNS($A418:I418), Source!$G418, "")</f>
        <v/>
      </c>
      <c r="J418" s="2" t="str">
        <f>IF(Source!$C418&gt;=COLUMNS($A418:J418), Source!$G418, "")</f>
        <v/>
      </c>
      <c r="K418" s="2" t="str">
        <f>IF(Source!$C418&gt;=COLUMNS($A418:K418), Source!$G418, "")</f>
        <v/>
      </c>
      <c r="L418" s="2" t="str">
        <f>IF(Source!$C418&gt;=COLUMNS($A418:L418), Source!$G418, "")</f>
        <v/>
      </c>
      <c r="M418" s="2" t="str">
        <f>IF(Source!$C418&gt;=COLUMNS($A418:M418), Source!$G418, "")</f>
        <v/>
      </c>
      <c r="N418" s="2" t="str">
        <f>IF(Source!$C418&gt;=COLUMNS($A418:N418), Source!$G418, "")</f>
        <v/>
      </c>
      <c r="O418" s="2" t="str">
        <f>IF(Source!$C418&gt;=COLUMNS($A418:O418), Source!$G418, "")</f>
        <v/>
      </c>
      <c r="P418" s="2" t="str">
        <f>IF(Source!$C418&gt;=COLUMNS($A418:P418), Source!$G418, "")</f>
        <v/>
      </c>
      <c r="Q418" s="2" t="str">
        <f>IF(Source!$C418&gt;=COLUMNS($A418:Q418), Source!$G418, "")</f>
        <v/>
      </c>
      <c r="R418" s="2" t="str">
        <f>IF(Source!$C418&gt;=COLUMNS($A418:R418), Source!$G418, "")</f>
        <v/>
      </c>
      <c r="S418" s="2" t="str">
        <f>IF(Source!$C418&gt;=COLUMNS($A418:S418), Source!$G418, "")</f>
        <v/>
      </c>
      <c r="T418" s="2" t="str">
        <f>IF(Source!$C418&gt;=COLUMNS($A418:T418), Source!$G418, "")</f>
        <v/>
      </c>
      <c r="U418" s="2" t="str">
        <f>IF(Source!$C418&gt;=COLUMNS($A418:U418), Source!$G418, "")</f>
        <v/>
      </c>
      <c r="V418" s="2" t="str">
        <f>IF(Source!$C418&gt;=COLUMNS($A418:V418), Source!$G418, "")</f>
        <v/>
      </c>
      <c r="W418" s="2" t="str">
        <f>IF(Source!$C418&gt;=COLUMNS($A418:W418), Source!$G418, "")</f>
        <v/>
      </c>
      <c r="X418" s="2" t="str">
        <f>IF(Source!$C418&gt;=COLUMNS($A418:X418), Source!$G418, "")</f>
        <v/>
      </c>
      <c r="Y418" s="2" t="str">
        <f>IF(Source!$C418&gt;=COLUMNS($A418:Y418), Source!$G418, "")</f>
        <v/>
      </c>
      <c r="Z418" s="2" t="str">
        <f>IF(Source!$C418&gt;=COLUMNS($A418:Z418), Source!$G418, "")</f>
        <v/>
      </c>
      <c r="AA418" s="2" t="str">
        <f>IF(Source!$C418&gt;=COLUMNS($A418:AA418), Source!$G418, "")</f>
        <v/>
      </c>
      <c r="AB418" s="2" t="str">
        <f>IF(Source!$C418&gt;=COLUMNS($A418:AB418), Source!$G418, "")</f>
        <v/>
      </c>
      <c r="AC418" s="2" t="str">
        <f>IF(Source!$C418&gt;=COLUMNS($A418:AC418), Source!$G418, "")</f>
        <v/>
      </c>
      <c r="AD418" s="2" t="str">
        <f>IF(Source!$C418&gt;=COLUMNS($A418:AD418), Source!$G418, "")</f>
        <v/>
      </c>
      <c r="AE418" s="2" t="str">
        <f>IF(Source!$C418&gt;=COLUMNS($A418:AE418), Source!$G418, "")</f>
        <v/>
      </c>
      <c r="AF418" s="2" t="str">
        <f>IF(Source!$C418&gt;=COLUMNS($A418:AF418), Source!$G418, "")</f>
        <v/>
      </c>
      <c r="AG418" s="2" t="str">
        <f>IF(Source!$C418&gt;=COLUMNS($A418:AG418), Source!$G418, "")</f>
        <v/>
      </c>
      <c r="AH418" s="2" t="str">
        <f>IF(Source!$C418&gt;=COLUMNS($A418:AH418), Source!$G418, "")</f>
        <v/>
      </c>
      <c r="AI418" s="2" t="str">
        <f>IF(Source!$C418&gt;=COLUMNS($A418:AI418), Source!$G418, "")</f>
        <v/>
      </c>
      <c r="AJ418" s="2" t="str">
        <f>IF(Source!$C418&gt;=COLUMNS($A418:AJ418), Source!$G418, "")</f>
        <v/>
      </c>
      <c r="AK418" s="2" t="str">
        <f>IF(Source!$C418&gt;=COLUMNS($A418:AK418), Source!$G418, "")</f>
        <v/>
      </c>
      <c r="AL418" s="2" t="str">
        <f>IF(Source!$C418&gt;=COLUMNS($A418:AL418), Source!$G418, "")</f>
        <v/>
      </c>
      <c r="AM418" s="2" t="str">
        <f>IF(Source!$C418&gt;=COLUMNS($A418:AM418), Source!$G418, "")</f>
        <v/>
      </c>
      <c r="AN418" s="2" t="str">
        <f>IF(Source!$C418&gt;=COLUMNS($A418:AN418), Source!$G418, "")</f>
        <v/>
      </c>
      <c r="AO418" s="2" t="str">
        <f>IF(Source!$C418&gt;=COLUMNS($A418:AO418), Source!$G418, "")</f>
        <v/>
      </c>
      <c r="AP418" s="2" t="str">
        <f>IF(Source!$C418&gt;=COLUMNS($A418:AP418), Source!$G418, "")</f>
        <v/>
      </c>
      <c r="AQ418" s="2" t="str">
        <f>IF(Source!$C418&gt;=COLUMNS($A418:AQ418), Source!$G418, "")</f>
        <v/>
      </c>
      <c r="AR418" s="2" t="str">
        <f>IF(Source!$C418&gt;=COLUMNS($A418:AR418), Source!$G418, "")</f>
        <v/>
      </c>
    </row>
    <row r="419">
      <c r="A419" s="2">
        <f>IF(Source!$C419&gt;=COLUMNS($A419:A419), Source!$G419, "")</f>
        <v>1</v>
      </c>
      <c r="B419" s="2">
        <f>IF(Source!$C419&gt;=COLUMNS($A419:B419), Source!$G419, "")</f>
        <v>1</v>
      </c>
      <c r="C419" s="2" t="str">
        <f>IF(Source!$C419&gt;=COLUMNS($A419:C419), Source!$G419, "")</f>
        <v/>
      </c>
      <c r="D419" s="2" t="str">
        <f>IF(Source!$C419&gt;=COLUMNS($A419:D419), Source!$G419, "")</f>
        <v/>
      </c>
      <c r="E419" s="2" t="str">
        <f>IF(Source!$C419&gt;=COLUMNS($A419:E419), Source!$G419, "")</f>
        <v/>
      </c>
      <c r="F419" s="2" t="str">
        <f>IF(Source!$C419&gt;=COLUMNS($A419:F419), Source!$G419, "")</f>
        <v/>
      </c>
      <c r="G419" s="2" t="str">
        <f>IF(Source!$C419&gt;=COLUMNS($A419:G419), Source!$G419, "")</f>
        <v/>
      </c>
      <c r="H419" s="2" t="str">
        <f>IF(Source!$C419&gt;=COLUMNS($A419:H419), Source!$G419, "")</f>
        <v/>
      </c>
      <c r="I419" s="2" t="str">
        <f>IF(Source!$C419&gt;=COLUMNS($A419:I419), Source!$G419, "")</f>
        <v/>
      </c>
      <c r="J419" s="2" t="str">
        <f>IF(Source!$C419&gt;=COLUMNS($A419:J419), Source!$G419, "")</f>
        <v/>
      </c>
      <c r="K419" s="2" t="str">
        <f>IF(Source!$C419&gt;=COLUMNS($A419:K419), Source!$G419, "")</f>
        <v/>
      </c>
      <c r="L419" s="2" t="str">
        <f>IF(Source!$C419&gt;=COLUMNS($A419:L419), Source!$G419, "")</f>
        <v/>
      </c>
      <c r="M419" s="2" t="str">
        <f>IF(Source!$C419&gt;=COLUMNS($A419:M419), Source!$G419, "")</f>
        <v/>
      </c>
      <c r="N419" s="2" t="str">
        <f>IF(Source!$C419&gt;=COLUMNS($A419:N419), Source!$G419, "")</f>
        <v/>
      </c>
      <c r="O419" s="2" t="str">
        <f>IF(Source!$C419&gt;=COLUMNS($A419:O419), Source!$G419, "")</f>
        <v/>
      </c>
      <c r="P419" s="2" t="str">
        <f>IF(Source!$C419&gt;=COLUMNS($A419:P419), Source!$G419, "")</f>
        <v/>
      </c>
      <c r="Q419" s="2" t="str">
        <f>IF(Source!$C419&gt;=COLUMNS($A419:Q419), Source!$G419, "")</f>
        <v/>
      </c>
      <c r="R419" s="2" t="str">
        <f>IF(Source!$C419&gt;=COLUMNS($A419:R419), Source!$G419, "")</f>
        <v/>
      </c>
      <c r="S419" s="2" t="str">
        <f>IF(Source!$C419&gt;=COLUMNS($A419:S419), Source!$G419, "")</f>
        <v/>
      </c>
      <c r="T419" s="2" t="str">
        <f>IF(Source!$C419&gt;=COLUMNS($A419:T419), Source!$G419, "")</f>
        <v/>
      </c>
      <c r="U419" s="2" t="str">
        <f>IF(Source!$C419&gt;=COLUMNS($A419:U419), Source!$G419, "")</f>
        <v/>
      </c>
      <c r="V419" s="2" t="str">
        <f>IF(Source!$C419&gt;=COLUMNS($A419:V419), Source!$G419, "")</f>
        <v/>
      </c>
      <c r="W419" s="2" t="str">
        <f>IF(Source!$C419&gt;=COLUMNS($A419:W419), Source!$G419, "")</f>
        <v/>
      </c>
      <c r="X419" s="2" t="str">
        <f>IF(Source!$C419&gt;=COLUMNS($A419:X419), Source!$G419, "")</f>
        <v/>
      </c>
      <c r="Y419" s="2" t="str">
        <f>IF(Source!$C419&gt;=COLUMNS($A419:Y419), Source!$G419, "")</f>
        <v/>
      </c>
      <c r="Z419" s="2" t="str">
        <f>IF(Source!$C419&gt;=COLUMNS($A419:Z419), Source!$G419, "")</f>
        <v/>
      </c>
      <c r="AA419" s="2" t="str">
        <f>IF(Source!$C419&gt;=COLUMNS($A419:AA419), Source!$G419, "")</f>
        <v/>
      </c>
      <c r="AB419" s="2" t="str">
        <f>IF(Source!$C419&gt;=COLUMNS($A419:AB419), Source!$G419, "")</f>
        <v/>
      </c>
      <c r="AC419" s="2" t="str">
        <f>IF(Source!$C419&gt;=COLUMNS($A419:AC419), Source!$G419, "")</f>
        <v/>
      </c>
      <c r="AD419" s="2" t="str">
        <f>IF(Source!$C419&gt;=COLUMNS($A419:AD419), Source!$G419, "")</f>
        <v/>
      </c>
      <c r="AE419" s="2" t="str">
        <f>IF(Source!$C419&gt;=COLUMNS($A419:AE419), Source!$G419, "")</f>
        <v/>
      </c>
      <c r="AF419" s="2" t="str">
        <f>IF(Source!$C419&gt;=COLUMNS($A419:AF419), Source!$G419, "")</f>
        <v/>
      </c>
      <c r="AG419" s="2" t="str">
        <f>IF(Source!$C419&gt;=COLUMNS($A419:AG419), Source!$G419, "")</f>
        <v/>
      </c>
      <c r="AH419" s="2" t="str">
        <f>IF(Source!$C419&gt;=COLUMNS($A419:AH419), Source!$G419, "")</f>
        <v/>
      </c>
      <c r="AI419" s="2" t="str">
        <f>IF(Source!$C419&gt;=COLUMNS($A419:AI419), Source!$G419, "")</f>
        <v/>
      </c>
      <c r="AJ419" s="2" t="str">
        <f>IF(Source!$C419&gt;=COLUMNS($A419:AJ419), Source!$G419, "")</f>
        <v/>
      </c>
      <c r="AK419" s="2" t="str">
        <f>IF(Source!$C419&gt;=COLUMNS($A419:AK419), Source!$G419, "")</f>
        <v/>
      </c>
      <c r="AL419" s="2" t="str">
        <f>IF(Source!$C419&gt;=COLUMNS($A419:AL419), Source!$G419, "")</f>
        <v/>
      </c>
      <c r="AM419" s="2" t="str">
        <f>IF(Source!$C419&gt;=COLUMNS($A419:AM419), Source!$G419, "")</f>
        <v/>
      </c>
      <c r="AN419" s="2" t="str">
        <f>IF(Source!$C419&gt;=COLUMNS($A419:AN419), Source!$G419, "")</f>
        <v/>
      </c>
      <c r="AO419" s="2" t="str">
        <f>IF(Source!$C419&gt;=COLUMNS($A419:AO419), Source!$G419, "")</f>
        <v/>
      </c>
      <c r="AP419" s="2" t="str">
        <f>IF(Source!$C419&gt;=COLUMNS($A419:AP419), Source!$G419, "")</f>
        <v/>
      </c>
      <c r="AQ419" s="2" t="str">
        <f>IF(Source!$C419&gt;=COLUMNS($A419:AQ419), Source!$G419, "")</f>
        <v/>
      </c>
      <c r="AR419" s="2" t="str">
        <f>IF(Source!$C419&gt;=COLUMNS($A419:AR419), Source!$G419, "")</f>
        <v/>
      </c>
    </row>
    <row r="420">
      <c r="A420" s="2">
        <f>IF(Source!$C420&gt;=COLUMNS($A420:A420), Source!$G420, "")</f>
        <v>2</v>
      </c>
      <c r="B420" s="2" t="str">
        <f>IF(Source!$C420&gt;=COLUMNS($A420:B420), Source!$G420, "")</f>
        <v/>
      </c>
      <c r="C420" s="2" t="str">
        <f>IF(Source!$C420&gt;=COLUMNS($A420:C420), Source!$G420, "")</f>
        <v/>
      </c>
      <c r="D420" s="2" t="str">
        <f>IF(Source!$C420&gt;=COLUMNS($A420:D420), Source!$G420, "")</f>
        <v/>
      </c>
      <c r="E420" s="2" t="str">
        <f>IF(Source!$C420&gt;=COLUMNS($A420:E420), Source!$G420, "")</f>
        <v/>
      </c>
      <c r="F420" s="2" t="str">
        <f>IF(Source!$C420&gt;=COLUMNS($A420:F420), Source!$G420, "")</f>
        <v/>
      </c>
      <c r="G420" s="2" t="str">
        <f>IF(Source!$C420&gt;=COLUMNS($A420:G420), Source!$G420, "")</f>
        <v/>
      </c>
      <c r="H420" s="2" t="str">
        <f>IF(Source!$C420&gt;=COLUMNS($A420:H420), Source!$G420, "")</f>
        <v/>
      </c>
      <c r="I420" s="2" t="str">
        <f>IF(Source!$C420&gt;=COLUMNS($A420:I420), Source!$G420, "")</f>
        <v/>
      </c>
      <c r="J420" s="2" t="str">
        <f>IF(Source!$C420&gt;=COLUMNS($A420:J420), Source!$G420, "")</f>
        <v/>
      </c>
      <c r="K420" s="2" t="str">
        <f>IF(Source!$C420&gt;=COLUMNS($A420:K420), Source!$G420, "")</f>
        <v/>
      </c>
      <c r="L420" s="2" t="str">
        <f>IF(Source!$C420&gt;=COLUMNS($A420:L420), Source!$G420, "")</f>
        <v/>
      </c>
      <c r="M420" s="2" t="str">
        <f>IF(Source!$C420&gt;=COLUMNS($A420:M420), Source!$G420, "")</f>
        <v/>
      </c>
      <c r="N420" s="2" t="str">
        <f>IF(Source!$C420&gt;=COLUMNS($A420:N420), Source!$G420, "")</f>
        <v/>
      </c>
      <c r="O420" s="2" t="str">
        <f>IF(Source!$C420&gt;=COLUMNS($A420:O420), Source!$G420, "")</f>
        <v/>
      </c>
      <c r="P420" s="2" t="str">
        <f>IF(Source!$C420&gt;=COLUMNS($A420:P420), Source!$G420, "")</f>
        <v/>
      </c>
      <c r="Q420" s="2" t="str">
        <f>IF(Source!$C420&gt;=COLUMNS($A420:Q420), Source!$G420, "")</f>
        <v/>
      </c>
      <c r="R420" s="2" t="str">
        <f>IF(Source!$C420&gt;=COLUMNS($A420:R420), Source!$G420, "")</f>
        <v/>
      </c>
      <c r="S420" s="2" t="str">
        <f>IF(Source!$C420&gt;=COLUMNS($A420:S420), Source!$G420, "")</f>
        <v/>
      </c>
      <c r="T420" s="2" t="str">
        <f>IF(Source!$C420&gt;=COLUMNS($A420:T420), Source!$G420, "")</f>
        <v/>
      </c>
      <c r="U420" s="2" t="str">
        <f>IF(Source!$C420&gt;=COLUMNS($A420:U420), Source!$G420, "")</f>
        <v/>
      </c>
      <c r="V420" s="2" t="str">
        <f>IF(Source!$C420&gt;=COLUMNS($A420:V420), Source!$G420, "")</f>
        <v/>
      </c>
      <c r="W420" s="2" t="str">
        <f>IF(Source!$C420&gt;=COLUMNS($A420:W420), Source!$G420, "")</f>
        <v/>
      </c>
      <c r="X420" s="2" t="str">
        <f>IF(Source!$C420&gt;=COLUMNS($A420:X420), Source!$G420, "")</f>
        <v/>
      </c>
      <c r="Y420" s="2" t="str">
        <f>IF(Source!$C420&gt;=COLUMNS($A420:Y420), Source!$G420, "")</f>
        <v/>
      </c>
      <c r="Z420" s="2" t="str">
        <f>IF(Source!$C420&gt;=COLUMNS($A420:Z420), Source!$G420, "")</f>
        <v/>
      </c>
      <c r="AA420" s="2" t="str">
        <f>IF(Source!$C420&gt;=COLUMNS($A420:AA420), Source!$G420, "")</f>
        <v/>
      </c>
      <c r="AB420" s="2" t="str">
        <f>IF(Source!$C420&gt;=COLUMNS($A420:AB420), Source!$G420, "")</f>
        <v/>
      </c>
      <c r="AC420" s="2" t="str">
        <f>IF(Source!$C420&gt;=COLUMNS($A420:AC420), Source!$G420, "")</f>
        <v/>
      </c>
      <c r="AD420" s="2" t="str">
        <f>IF(Source!$C420&gt;=COLUMNS($A420:AD420), Source!$G420, "")</f>
        <v/>
      </c>
      <c r="AE420" s="2" t="str">
        <f>IF(Source!$C420&gt;=COLUMNS($A420:AE420), Source!$G420, "")</f>
        <v/>
      </c>
      <c r="AF420" s="2" t="str">
        <f>IF(Source!$C420&gt;=COLUMNS($A420:AF420), Source!$G420, "")</f>
        <v/>
      </c>
      <c r="AG420" s="2" t="str">
        <f>IF(Source!$C420&gt;=COLUMNS($A420:AG420), Source!$G420, "")</f>
        <v/>
      </c>
      <c r="AH420" s="2" t="str">
        <f>IF(Source!$C420&gt;=COLUMNS($A420:AH420), Source!$G420, "")</f>
        <v/>
      </c>
      <c r="AI420" s="2" t="str">
        <f>IF(Source!$C420&gt;=COLUMNS($A420:AI420), Source!$G420, "")</f>
        <v/>
      </c>
      <c r="AJ420" s="2" t="str">
        <f>IF(Source!$C420&gt;=COLUMNS($A420:AJ420), Source!$G420, "")</f>
        <v/>
      </c>
      <c r="AK420" s="2" t="str">
        <f>IF(Source!$C420&gt;=COLUMNS($A420:AK420), Source!$G420, "")</f>
        <v/>
      </c>
      <c r="AL420" s="2" t="str">
        <f>IF(Source!$C420&gt;=COLUMNS($A420:AL420), Source!$G420, "")</f>
        <v/>
      </c>
      <c r="AM420" s="2" t="str">
        <f>IF(Source!$C420&gt;=COLUMNS($A420:AM420), Source!$G420, "")</f>
        <v/>
      </c>
      <c r="AN420" s="2" t="str">
        <f>IF(Source!$C420&gt;=COLUMNS($A420:AN420), Source!$G420, "")</f>
        <v/>
      </c>
      <c r="AO420" s="2" t="str">
        <f>IF(Source!$C420&gt;=COLUMNS($A420:AO420), Source!$G420, "")</f>
        <v/>
      </c>
      <c r="AP420" s="2" t="str">
        <f>IF(Source!$C420&gt;=COLUMNS($A420:AP420), Source!$G420, "")</f>
        <v/>
      </c>
      <c r="AQ420" s="2" t="str">
        <f>IF(Source!$C420&gt;=COLUMNS($A420:AQ420), Source!$G420, "")</f>
        <v/>
      </c>
      <c r="AR420" s="2" t="str">
        <f>IF(Source!$C420&gt;=COLUMNS($A420:AR420), Source!$G420, "")</f>
        <v/>
      </c>
    </row>
    <row r="421">
      <c r="A421" s="2">
        <f>IF(Source!$C421&gt;=COLUMNS($A421:A421), Source!$G421, "")</f>
        <v>6</v>
      </c>
      <c r="B421" s="2">
        <f>IF(Source!$C421&gt;=COLUMNS($A421:B421), Source!$G421, "")</f>
        <v>6</v>
      </c>
      <c r="C421" s="2" t="str">
        <f>IF(Source!$C421&gt;=COLUMNS($A421:C421), Source!$G421, "")</f>
        <v/>
      </c>
      <c r="D421" s="2" t="str">
        <f>IF(Source!$C421&gt;=COLUMNS($A421:D421), Source!$G421, "")</f>
        <v/>
      </c>
      <c r="E421" s="2" t="str">
        <f>IF(Source!$C421&gt;=COLUMNS($A421:E421), Source!$G421, "")</f>
        <v/>
      </c>
      <c r="F421" s="2" t="str">
        <f>IF(Source!$C421&gt;=COLUMNS($A421:F421), Source!$G421, "")</f>
        <v/>
      </c>
      <c r="G421" s="2" t="str">
        <f>IF(Source!$C421&gt;=COLUMNS($A421:G421), Source!$G421, "")</f>
        <v/>
      </c>
      <c r="H421" s="2" t="str">
        <f>IF(Source!$C421&gt;=COLUMNS($A421:H421), Source!$G421, "")</f>
        <v/>
      </c>
      <c r="I421" s="2" t="str">
        <f>IF(Source!$C421&gt;=COLUMNS($A421:I421), Source!$G421, "")</f>
        <v/>
      </c>
      <c r="J421" s="2" t="str">
        <f>IF(Source!$C421&gt;=COLUMNS($A421:J421), Source!$G421, "")</f>
        <v/>
      </c>
      <c r="K421" s="2" t="str">
        <f>IF(Source!$C421&gt;=COLUMNS($A421:K421), Source!$G421, "")</f>
        <v/>
      </c>
      <c r="L421" s="2" t="str">
        <f>IF(Source!$C421&gt;=COLUMNS($A421:L421), Source!$G421, "")</f>
        <v/>
      </c>
      <c r="M421" s="2" t="str">
        <f>IF(Source!$C421&gt;=COLUMNS($A421:M421), Source!$G421, "")</f>
        <v/>
      </c>
      <c r="N421" s="2" t="str">
        <f>IF(Source!$C421&gt;=COLUMNS($A421:N421), Source!$G421, "")</f>
        <v/>
      </c>
      <c r="O421" s="2" t="str">
        <f>IF(Source!$C421&gt;=COLUMNS($A421:O421), Source!$G421, "")</f>
        <v/>
      </c>
      <c r="P421" s="2" t="str">
        <f>IF(Source!$C421&gt;=COLUMNS($A421:P421), Source!$G421, "")</f>
        <v/>
      </c>
      <c r="Q421" s="2" t="str">
        <f>IF(Source!$C421&gt;=COLUMNS($A421:Q421), Source!$G421, "")</f>
        <v/>
      </c>
      <c r="R421" s="2" t="str">
        <f>IF(Source!$C421&gt;=COLUMNS($A421:R421), Source!$G421, "")</f>
        <v/>
      </c>
      <c r="S421" s="2" t="str">
        <f>IF(Source!$C421&gt;=COLUMNS($A421:S421), Source!$G421, "")</f>
        <v/>
      </c>
      <c r="T421" s="2" t="str">
        <f>IF(Source!$C421&gt;=COLUMNS($A421:T421), Source!$G421, "")</f>
        <v/>
      </c>
      <c r="U421" s="2" t="str">
        <f>IF(Source!$C421&gt;=COLUMNS($A421:U421), Source!$G421, "")</f>
        <v/>
      </c>
      <c r="V421" s="2" t="str">
        <f>IF(Source!$C421&gt;=COLUMNS($A421:V421), Source!$G421, "")</f>
        <v/>
      </c>
      <c r="W421" s="2" t="str">
        <f>IF(Source!$C421&gt;=COLUMNS($A421:W421), Source!$G421, "")</f>
        <v/>
      </c>
      <c r="X421" s="2" t="str">
        <f>IF(Source!$C421&gt;=COLUMNS($A421:X421), Source!$G421, "")</f>
        <v/>
      </c>
      <c r="Y421" s="2" t="str">
        <f>IF(Source!$C421&gt;=COLUMNS($A421:Y421), Source!$G421, "")</f>
        <v/>
      </c>
      <c r="Z421" s="2" t="str">
        <f>IF(Source!$C421&gt;=COLUMNS($A421:Z421), Source!$G421, "")</f>
        <v/>
      </c>
      <c r="AA421" s="2" t="str">
        <f>IF(Source!$C421&gt;=COLUMNS($A421:AA421), Source!$G421, "")</f>
        <v/>
      </c>
      <c r="AB421" s="2" t="str">
        <f>IF(Source!$C421&gt;=COLUMNS($A421:AB421), Source!$G421, "")</f>
        <v/>
      </c>
      <c r="AC421" s="2" t="str">
        <f>IF(Source!$C421&gt;=COLUMNS($A421:AC421), Source!$G421, "")</f>
        <v/>
      </c>
      <c r="AD421" s="2" t="str">
        <f>IF(Source!$C421&gt;=COLUMNS($A421:AD421), Source!$G421, "")</f>
        <v/>
      </c>
      <c r="AE421" s="2" t="str">
        <f>IF(Source!$C421&gt;=COLUMNS($A421:AE421), Source!$G421, "")</f>
        <v/>
      </c>
      <c r="AF421" s="2" t="str">
        <f>IF(Source!$C421&gt;=COLUMNS($A421:AF421), Source!$G421, "")</f>
        <v/>
      </c>
      <c r="AG421" s="2" t="str">
        <f>IF(Source!$C421&gt;=COLUMNS($A421:AG421), Source!$G421, "")</f>
        <v/>
      </c>
      <c r="AH421" s="2" t="str">
        <f>IF(Source!$C421&gt;=COLUMNS($A421:AH421), Source!$G421, "")</f>
        <v/>
      </c>
      <c r="AI421" s="2" t="str">
        <f>IF(Source!$C421&gt;=COLUMNS($A421:AI421), Source!$G421, "")</f>
        <v/>
      </c>
      <c r="AJ421" s="2" t="str">
        <f>IF(Source!$C421&gt;=COLUMNS($A421:AJ421), Source!$G421, "")</f>
        <v/>
      </c>
      <c r="AK421" s="2" t="str">
        <f>IF(Source!$C421&gt;=COLUMNS($A421:AK421), Source!$G421, "")</f>
        <v/>
      </c>
      <c r="AL421" s="2" t="str">
        <f>IF(Source!$C421&gt;=COLUMNS($A421:AL421), Source!$G421, "")</f>
        <v/>
      </c>
      <c r="AM421" s="2" t="str">
        <f>IF(Source!$C421&gt;=COLUMNS($A421:AM421), Source!$G421, "")</f>
        <v/>
      </c>
      <c r="AN421" s="2" t="str">
        <f>IF(Source!$C421&gt;=COLUMNS($A421:AN421), Source!$G421, "")</f>
        <v/>
      </c>
      <c r="AO421" s="2" t="str">
        <f>IF(Source!$C421&gt;=COLUMNS($A421:AO421), Source!$G421, "")</f>
        <v/>
      </c>
      <c r="AP421" s="2" t="str">
        <f>IF(Source!$C421&gt;=COLUMNS($A421:AP421), Source!$G421, "")</f>
        <v/>
      </c>
      <c r="AQ421" s="2" t="str">
        <f>IF(Source!$C421&gt;=COLUMNS($A421:AQ421), Source!$G421, "")</f>
        <v/>
      </c>
      <c r="AR421" s="2" t="str">
        <f>IF(Source!$C421&gt;=COLUMNS($A421:AR421), Source!$G421, "")</f>
        <v/>
      </c>
    </row>
    <row r="422">
      <c r="A422" s="2">
        <f>IF(Source!$C422&gt;=COLUMNS($A422:A422), Source!$G422, "")</f>
        <v>3</v>
      </c>
      <c r="B422" s="2">
        <f>IF(Source!$C422&gt;=COLUMNS($A422:B422), Source!$G422, "")</f>
        <v>3</v>
      </c>
      <c r="C422" s="2" t="str">
        <f>IF(Source!$C422&gt;=COLUMNS($A422:C422), Source!$G422, "")</f>
        <v/>
      </c>
      <c r="D422" s="2" t="str">
        <f>IF(Source!$C422&gt;=COLUMNS($A422:D422), Source!$G422, "")</f>
        <v/>
      </c>
      <c r="E422" s="2" t="str">
        <f>IF(Source!$C422&gt;=COLUMNS($A422:E422), Source!$G422, "")</f>
        <v/>
      </c>
      <c r="F422" s="2" t="str">
        <f>IF(Source!$C422&gt;=COLUMNS($A422:F422), Source!$G422, "")</f>
        <v/>
      </c>
      <c r="G422" s="2" t="str">
        <f>IF(Source!$C422&gt;=COLUMNS($A422:G422), Source!$G422, "")</f>
        <v/>
      </c>
      <c r="H422" s="2" t="str">
        <f>IF(Source!$C422&gt;=COLUMNS($A422:H422), Source!$G422, "")</f>
        <v/>
      </c>
      <c r="I422" s="2" t="str">
        <f>IF(Source!$C422&gt;=COLUMNS($A422:I422), Source!$G422, "")</f>
        <v/>
      </c>
      <c r="J422" s="2" t="str">
        <f>IF(Source!$C422&gt;=COLUMNS($A422:J422), Source!$G422, "")</f>
        <v/>
      </c>
      <c r="K422" s="2" t="str">
        <f>IF(Source!$C422&gt;=COLUMNS($A422:K422), Source!$G422, "")</f>
        <v/>
      </c>
      <c r="L422" s="2" t="str">
        <f>IF(Source!$C422&gt;=COLUMNS($A422:L422), Source!$G422, "")</f>
        <v/>
      </c>
      <c r="M422" s="2" t="str">
        <f>IF(Source!$C422&gt;=COLUMNS($A422:M422), Source!$G422, "")</f>
        <v/>
      </c>
      <c r="N422" s="2" t="str">
        <f>IF(Source!$C422&gt;=COLUMNS($A422:N422), Source!$G422, "")</f>
        <v/>
      </c>
      <c r="O422" s="2" t="str">
        <f>IF(Source!$C422&gt;=COLUMNS($A422:O422), Source!$G422, "")</f>
        <v/>
      </c>
      <c r="P422" s="2" t="str">
        <f>IF(Source!$C422&gt;=COLUMNS($A422:P422), Source!$G422, "")</f>
        <v/>
      </c>
      <c r="Q422" s="2" t="str">
        <f>IF(Source!$C422&gt;=COLUMNS($A422:Q422), Source!$G422, "")</f>
        <v/>
      </c>
      <c r="R422" s="2" t="str">
        <f>IF(Source!$C422&gt;=COLUMNS($A422:R422), Source!$G422, "")</f>
        <v/>
      </c>
      <c r="S422" s="2" t="str">
        <f>IF(Source!$C422&gt;=COLUMNS($A422:S422), Source!$G422, "")</f>
        <v/>
      </c>
      <c r="T422" s="2" t="str">
        <f>IF(Source!$C422&gt;=COLUMNS($A422:T422), Source!$G422, "")</f>
        <v/>
      </c>
      <c r="U422" s="2" t="str">
        <f>IF(Source!$C422&gt;=COLUMNS($A422:U422), Source!$G422, "")</f>
        <v/>
      </c>
      <c r="V422" s="2" t="str">
        <f>IF(Source!$C422&gt;=COLUMNS($A422:V422), Source!$G422, "")</f>
        <v/>
      </c>
      <c r="W422" s="2" t="str">
        <f>IF(Source!$C422&gt;=COLUMNS($A422:W422), Source!$G422, "")</f>
        <v/>
      </c>
      <c r="X422" s="2" t="str">
        <f>IF(Source!$C422&gt;=COLUMNS($A422:X422), Source!$G422, "")</f>
        <v/>
      </c>
      <c r="Y422" s="2" t="str">
        <f>IF(Source!$C422&gt;=COLUMNS($A422:Y422), Source!$G422, "")</f>
        <v/>
      </c>
      <c r="Z422" s="2" t="str">
        <f>IF(Source!$C422&gt;=COLUMNS($A422:Z422), Source!$G422, "")</f>
        <v/>
      </c>
      <c r="AA422" s="2" t="str">
        <f>IF(Source!$C422&gt;=COLUMNS($A422:AA422), Source!$G422, "")</f>
        <v/>
      </c>
      <c r="AB422" s="2" t="str">
        <f>IF(Source!$C422&gt;=COLUMNS($A422:AB422), Source!$G422, "")</f>
        <v/>
      </c>
      <c r="AC422" s="2" t="str">
        <f>IF(Source!$C422&gt;=COLUMNS($A422:AC422), Source!$G422, "")</f>
        <v/>
      </c>
      <c r="AD422" s="2" t="str">
        <f>IF(Source!$C422&gt;=COLUMNS($A422:AD422), Source!$G422, "")</f>
        <v/>
      </c>
      <c r="AE422" s="2" t="str">
        <f>IF(Source!$C422&gt;=COLUMNS($A422:AE422), Source!$G422, "")</f>
        <v/>
      </c>
      <c r="AF422" s="2" t="str">
        <f>IF(Source!$C422&gt;=COLUMNS($A422:AF422), Source!$G422, "")</f>
        <v/>
      </c>
      <c r="AG422" s="2" t="str">
        <f>IF(Source!$C422&gt;=COLUMNS($A422:AG422), Source!$G422, "")</f>
        <v/>
      </c>
      <c r="AH422" s="2" t="str">
        <f>IF(Source!$C422&gt;=COLUMNS($A422:AH422), Source!$G422, "")</f>
        <v/>
      </c>
      <c r="AI422" s="2" t="str">
        <f>IF(Source!$C422&gt;=COLUMNS($A422:AI422), Source!$G422, "")</f>
        <v/>
      </c>
      <c r="AJ422" s="2" t="str">
        <f>IF(Source!$C422&gt;=COLUMNS($A422:AJ422), Source!$G422, "")</f>
        <v/>
      </c>
      <c r="AK422" s="2" t="str">
        <f>IF(Source!$C422&gt;=COLUMNS($A422:AK422), Source!$G422, "")</f>
        <v/>
      </c>
      <c r="AL422" s="2" t="str">
        <f>IF(Source!$C422&gt;=COLUMNS($A422:AL422), Source!$G422, "")</f>
        <v/>
      </c>
      <c r="AM422" s="2" t="str">
        <f>IF(Source!$C422&gt;=COLUMNS($A422:AM422), Source!$G422, "")</f>
        <v/>
      </c>
      <c r="AN422" s="2" t="str">
        <f>IF(Source!$C422&gt;=COLUMNS($A422:AN422), Source!$G422, "")</f>
        <v/>
      </c>
      <c r="AO422" s="2" t="str">
        <f>IF(Source!$C422&gt;=COLUMNS($A422:AO422), Source!$G422, "")</f>
        <v/>
      </c>
      <c r="AP422" s="2" t="str">
        <f>IF(Source!$C422&gt;=COLUMNS($A422:AP422), Source!$G422, "")</f>
        <v/>
      </c>
      <c r="AQ422" s="2" t="str">
        <f>IF(Source!$C422&gt;=COLUMNS($A422:AQ422), Source!$G422, "")</f>
        <v/>
      </c>
      <c r="AR422" s="2" t="str">
        <f>IF(Source!$C422&gt;=COLUMNS($A422:AR422), Source!$G422, "")</f>
        <v/>
      </c>
    </row>
    <row r="423">
      <c r="A423" s="2">
        <f>IF(Source!$C423&gt;=COLUMNS($A423:A423), Source!$G423, "")</f>
        <v>2</v>
      </c>
      <c r="B423" s="2">
        <f>IF(Source!$C423&gt;=COLUMNS($A423:B423), Source!$G423, "")</f>
        <v>2</v>
      </c>
      <c r="C423" s="2" t="str">
        <f>IF(Source!$C423&gt;=COLUMNS($A423:C423), Source!$G423, "")</f>
        <v/>
      </c>
      <c r="D423" s="2" t="str">
        <f>IF(Source!$C423&gt;=COLUMNS($A423:D423), Source!$G423, "")</f>
        <v/>
      </c>
      <c r="E423" s="2" t="str">
        <f>IF(Source!$C423&gt;=COLUMNS($A423:E423), Source!$G423, "")</f>
        <v/>
      </c>
      <c r="F423" s="2" t="str">
        <f>IF(Source!$C423&gt;=COLUMNS($A423:F423), Source!$G423, "")</f>
        <v/>
      </c>
      <c r="G423" s="2" t="str">
        <f>IF(Source!$C423&gt;=COLUMNS($A423:G423), Source!$G423, "")</f>
        <v/>
      </c>
      <c r="H423" s="2" t="str">
        <f>IF(Source!$C423&gt;=COLUMNS($A423:H423), Source!$G423, "")</f>
        <v/>
      </c>
      <c r="I423" s="2" t="str">
        <f>IF(Source!$C423&gt;=COLUMNS($A423:I423), Source!$G423, "")</f>
        <v/>
      </c>
      <c r="J423" s="2" t="str">
        <f>IF(Source!$C423&gt;=COLUMNS($A423:J423), Source!$G423, "")</f>
        <v/>
      </c>
      <c r="K423" s="2" t="str">
        <f>IF(Source!$C423&gt;=COLUMNS($A423:K423), Source!$G423, "")</f>
        <v/>
      </c>
      <c r="L423" s="2" t="str">
        <f>IF(Source!$C423&gt;=COLUMNS($A423:L423), Source!$G423, "")</f>
        <v/>
      </c>
      <c r="M423" s="2" t="str">
        <f>IF(Source!$C423&gt;=COLUMNS($A423:M423), Source!$G423, "")</f>
        <v/>
      </c>
      <c r="N423" s="2" t="str">
        <f>IF(Source!$C423&gt;=COLUMNS($A423:N423), Source!$G423, "")</f>
        <v/>
      </c>
      <c r="O423" s="2" t="str">
        <f>IF(Source!$C423&gt;=COLUMNS($A423:O423), Source!$G423, "")</f>
        <v/>
      </c>
      <c r="P423" s="2" t="str">
        <f>IF(Source!$C423&gt;=COLUMNS($A423:P423), Source!$G423, "")</f>
        <v/>
      </c>
      <c r="Q423" s="2" t="str">
        <f>IF(Source!$C423&gt;=COLUMNS($A423:Q423), Source!$G423, "")</f>
        <v/>
      </c>
      <c r="R423" s="2" t="str">
        <f>IF(Source!$C423&gt;=COLUMNS($A423:R423), Source!$G423, "")</f>
        <v/>
      </c>
      <c r="S423" s="2" t="str">
        <f>IF(Source!$C423&gt;=COLUMNS($A423:S423), Source!$G423, "")</f>
        <v/>
      </c>
      <c r="T423" s="2" t="str">
        <f>IF(Source!$C423&gt;=COLUMNS($A423:T423), Source!$G423, "")</f>
        <v/>
      </c>
      <c r="U423" s="2" t="str">
        <f>IF(Source!$C423&gt;=COLUMNS($A423:U423), Source!$G423, "")</f>
        <v/>
      </c>
      <c r="V423" s="2" t="str">
        <f>IF(Source!$C423&gt;=COLUMNS($A423:V423), Source!$G423, "")</f>
        <v/>
      </c>
      <c r="W423" s="2" t="str">
        <f>IF(Source!$C423&gt;=COLUMNS($A423:W423), Source!$G423, "")</f>
        <v/>
      </c>
      <c r="X423" s="2" t="str">
        <f>IF(Source!$C423&gt;=COLUMNS($A423:X423), Source!$G423, "")</f>
        <v/>
      </c>
      <c r="Y423" s="2" t="str">
        <f>IF(Source!$C423&gt;=COLUMNS($A423:Y423), Source!$G423, "")</f>
        <v/>
      </c>
      <c r="Z423" s="2" t="str">
        <f>IF(Source!$C423&gt;=COLUMNS($A423:Z423), Source!$G423, "")</f>
        <v/>
      </c>
      <c r="AA423" s="2" t="str">
        <f>IF(Source!$C423&gt;=COLUMNS($A423:AA423), Source!$G423, "")</f>
        <v/>
      </c>
      <c r="AB423" s="2" t="str">
        <f>IF(Source!$C423&gt;=COLUMNS($A423:AB423), Source!$G423, "")</f>
        <v/>
      </c>
      <c r="AC423" s="2" t="str">
        <f>IF(Source!$C423&gt;=COLUMNS($A423:AC423), Source!$G423, "")</f>
        <v/>
      </c>
      <c r="AD423" s="2" t="str">
        <f>IF(Source!$C423&gt;=COLUMNS($A423:AD423), Source!$G423, "")</f>
        <v/>
      </c>
      <c r="AE423" s="2" t="str">
        <f>IF(Source!$C423&gt;=COLUMNS($A423:AE423), Source!$G423, "")</f>
        <v/>
      </c>
      <c r="AF423" s="2" t="str">
        <f>IF(Source!$C423&gt;=COLUMNS($A423:AF423), Source!$G423, "")</f>
        <v/>
      </c>
      <c r="AG423" s="2" t="str">
        <f>IF(Source!$C423&gt;=COLUMNS($A423:AG423), Source!$G423, "")</f>
        <v/>
      </c>
      <c r="AH423" s="2" t="str">
        <f>IF(Source!$C423&gt;=COLUMNS($A423:AH423), Source!$G423, "")</f>
        <v/>
      </c>
      <c r="AI423" s="2" t="str">
        <f>IF(Source!$C423&gt;=COLUMNS($A423:AI423), Source!$G423, "")</f>
        <v/>
      </c>
      <c r="AJ423" s="2" t="str">
        <f>IF(Source!$C423&gt;=COLUMNS($A423:AJ423), Source!$G423, "")</f>
        <v/>
      </c>
      <c r="AK423" s="2" t="str">
        <f>IF(Source!$C423&gt;=COLUMNS($A423:AK423), Source!$G423, "")</f>
        <v/>
      </c>
      <c r="AL423" s="2" t="str">
        <f>IF(Source!$C423&gt;=COLUMNS($A423:AL423), Source!$G423, "")</f>
        <v/>
      </c>
      <c r="AM423" s="2" t="str">
        <f>IF(Source!$C423&gt;=COLUMNS($A423:AM423), Source!$G423, "")</f>
        <v/>
      </c>
      <c r="AN423" s="2" t="str">
        <f>IF(Source!$C423&gt;=COLUMNS($A423:AN423), Source!$G423, "")</f>
        <v/>
      </c>
      <c r="AO423" s="2" t="str">
        <f>IF(Source!$C423&gt;=COLUMNS($A423:AO423), Source!$G423, "")</f>
        <v/>
      </c>
      <c r="AP423" s="2" t="str">
        <f>IF(Source!$C423&gt;=COLUMNS($A423:AP423), Source!$G423, "")</f>
        <v/>
      </c>
      <c r="AQ423" s="2" t="str">
        <f>IF(Source!$C423&gt;=COLUMNS($A423:AQ423), Source!$G423, "")</f>
        <v/>
      </c>
      <c r="AR423" s="2" t="str">
        <f>IF(Source!$C423&gt;=COLUMNS($A423:AR423), Source!$G423, "")</f>
        <v/>
      </c>
    </row>
    <row r="424">
      <c r="A424" s="2">
        <f>IF(Source!$C424&gt;=COLUMNS($A424:A424), Source!$G424, "")</f>
        <v>4</v>
      </c>
      <c r="B424" s="2">
        <f>IF(Source!$C424&gt;=COLUMNS($A424:B424), Source!$G424, "")</f>
        <v>4</v>
      </c>
      <c r="C424" s="2" t="str">
        <f>IF(Source!$C424&gt;=COLUMNS($A424:C424), Source!$G424, "")</f>
        <v/>
      </c>
      <c r="D424" s="2" t="str">
        <f>IF(Source!$C424&gt;=COLUMNS($A424:D424), Source!$G424, "")</f>
        <v/>
      </c>
      <c r="E424" s="2" t="str">
        <f>IF(Source!$C424&gt;=COLUMNS($A424:E424), Source!$G424, "")</f>
        <v/>
      </c>
      <c r="F424" s="2" t="str">
        <f>IF(Source!$C424&gt;=COLUMNS($A424:F424), Source!$G424, "")</f>
        <v/>
      </c>
      <c r="G424" s="2" t="str">
        <f>IF(Source!$C424&gt;=COLUMNS($A424:G424), Source!$G424, "")</f>
        <v/>
      </c>
      <c r="H424" s="2" t="str">
        <f>IF(Source!$C424&gt;=COLUMNS($A424:H424), Source!$G424, "")</f>
        <v/>
      </c>
      <c r="I424" s="2" t="str">
        <f>IF(Source!$C424&gt;=COLUMNS($A424:I424), Source!$G424, "")</f>
        <v/>
      </c>
      <c r="J424" s="2" t="str">
        <f>IF(Source!$C424&gt;=COLUMNS($A424:J424), Source!$G424, "")</f>
        <v/>
      </c>
      <c r="K424" s="2" t="str">
        <f>IF(Source!$C424&gt;=COLUMNS($A424:K424), Source!$G424, "")</f>
        <v/>
      </c>
      <c r="L424" s="2" t="str">
        <f>IF(Source!$C424&gt;=COLUMNS($A424:L424), Source!$G424, "")</f>
        <v/>
      </c>
      <c r="M424" s="2" t="str">
        <f>IF(Source!$C424&gt;=COLUMNS($A424:M424), Source!$G424, "")</f>
        <v/>
      </c>
      <c r="N424" s="2" t="str">
        <f>IF(Source!$C424&gt;=COLUMNS($A424:N424), Source!$G424, "")</f>
        <v/>
      </c>
      <c r="O424" s="2" t="str">
        <f>IF(Source!$C424&gt;=COLUMNS($A424:O424), Source!$G424, "")</f>
        <v/>
      </c>
      <c r="P424" s="2" t="str">
        <f>IF(Source!$C424&gt;=COLUMNS($A424:P424), Source!$G424, "")</f>
        <v/>
      </c>
      <c r="Q424" s="2" t="str">
        <f>IF(Source!$C424&gt;=COLUMNS($A424:Q424), Source!$G424, "")</f>
        <v/>
      </c>
      <c r="R424" s="2" t="str">
        <f>IF(Source!$C424&gt;=COLUMNS($A424:R424), Source!$G424, "")</f>
        <v/>
      </c>
      <c r="S424" s="2" t="str">
        <f>IF(Source!$C424&gt;=COLUMNS($A424:S424), Source!$G424, "")</f>
        <v/>
      </c>
      <c r="T424" s="2" t="str">
        <f>IF(Source!$C424&gt;=COLUMNS($A424:T424), Source!$G424, "")</f>
        <v/>
      </c>
      <c r="U424" s="2" t="str">
        <f>IF(Source!$C424&gt;=COLUMNS($A424:U424), Source!$G424, "")</f>
        <v/>
      </c>
      <c r="V424" s="2" t="str">
        <f>IF(Source!$C424&gt;=COLUMNS($A424:V424), Source!$G424, "")</f>
        <v/>
      </c>
      <c r="W424" s="2" t="str">
        <f>IF(Source!$C424&gt;=COLUMNS($A424:W424), Source!$G424, "")</f>
        <v/>
      </c>
      <c r="X424" s="2" t="str">
        <f>IF(Source!$C424&gt;=COLUMNS($A424:X424), Source!$G424, "")</f>
        <v/>
      </c>
      <c r="Y424" s="2" t="str">
        <f>IF(Source!$C424&gt;=COLUMNS($A424:Y424), Source!$G424, "")</f>
        <v/>
      </c>
      <c r="Z424" s="2" t="str">
        <f>IF(Source!$C424&gt;=COLUMNS($A424:Z424), Source!$G424, "")</f>
        <v/>
      </c>
      <c r="AA424" s="2" t="str">
        <f>IF(Source!$C424&gt;=COLUMNS($A424:AA424), Source!$G424, "")</f>
        <v/>
      </c>
      <c r="AB424" s="2" t="str">
        <f>IF(Source!$C424&gt;=COLUMNS($A424:AB424), Source!$G424, "")</f>
        <v/>
      </c>
      <c r="AC424" s="2" t="str">
        <f>IF(Source!$C424&gt;=COLUMNS($A424:AC424), Source!$G424, "")</f>
        <v/>
      </c>
      <c r="AD424" s="2" t="str">
        <f>IF(Source!$C424&gt;=COLUMNS($A424:AD424), Source!$G424, "")</f>
        <v/>
      </c>
      <c r="AE424" s="2" t="str">
        <f>IF(Source!$C424&gt;=COLUMNS($A424:AE424), Source!$G424, "")</f>
        <v/>
      </c>
      <c r="AF424" s="2" t="str">
        <f>IF(Source!$C424&gt;=COLUMNS($A424:AF424), Source!$G424, "")</f>
        <v/>
      </c>
      <c r="AG424" s="2" t="str">
        <f>IF(Source!$C424&gt;=COLUMNS($A424:AG424), Source!$G424, "")</f>
        <v/>
      </c>
      <c r="AH424" s="2" t="str">
        <f>IF(Source!$C424&gt;=COLUMNS($A424:AH424), Source!$G424, "")</f>
        <v/>
      </c>
      <c r="AI424" s="2" t="str">
        <f>IF(Source!$C424&gt;=COLUMNS($A424:AI424), Source!$G424, "")</f>
        <v/>
      </c>
      <c r="AJ424" s="2" t="str">
        <f>IF(Source!$C424&gt;=COLUMNS($A424:AJ424), Source!$G424, "")</f>
        <v/>
      </c>
      <c r="AK424" s="2" t="str">
        <f>IF(Source!$C424&gt;=COLUMNS($A424:AK424), Source!$G424, "")</f>
        <v/>
      </c>
      <c r="AL424" s="2" t="str">
        <f>IF(Source!$C424&gt;=COLUMNS($A424:AL424), Source!$G424, "")</f>
        <v/>
      </c>
      <c r="AM424" s="2" t="str">
        <f>IF(Source!$C424&gt;=COLUMNS($A424:AM424), Source!$G424, "")</f>
        <v/>
      </c>
      <c r="AN424" s="2" t="str">
        <f>IF(Source!$C424&gt;=COLUMNS($A424:AN424), Source!$G424, "")</f>
        <v/>
      </c>
      <c r="AO424" s="2" t="str">
        <f>IF(Source!$C424&gt;=COLUMNS($A424:AO424), Source!$G424, "")</f>
        <v/>
      </c>
      <c r="AP424" s="2" t="str">
        <f>IF(Source!$C424&gt;=COLUMNS($A424:AP424), Source!$G424, "")</f>
        <v/>
      </c>
      <c r="AQ424" s="2" t="str">
        <f>IF(Source!$C424&gt;=COLUMNS($A424:AQ424), Source!$G424, "")</f>
        <v/>
      </c>
      <c r="AR424" s="2" t="str">
        <f>IF(Source!$C424&gt;=COLUMNS($A424:AR424), Source!$G424, "")</f>
        <v/>
      </c>
    </row>
    <row r="425">
      <c r="A425" s="2">
        <f>IF(Source!$C425&gt;=COLUMNS($A425:A425), Source!$G425, "")</f>
        <v>6</v>
      </c>
      <c r="B425" s="2" t="str">
        <f>IF(Source!$C425&gt;=COLUMNS($A425:B425), Source!$G425, "")</f>
        <v/>
      </c>
      <c r="C425" s="2" t="str">
        <f>IF(Source!$C425&gt;=COLUMNS($A425:C425), Source!$G425, "")</f>
        <v/>
      </c>
      <c r="D425" s="2" t="str">
        <f>IF(Source!$C425&gt;=COLUMNS($A425:D425), Source!$G425, "")</f>
        <v/>
      </c>
      <c r="E425" s="2" t="str">
        <f>IF(Source!$C425&gt;=COLUMNS($A425:E425), Source!$G425, "")</f>
        <v/>
      </c>
      <c r="F425" s="2" t="str">
        <f>IF(Source!$C425&gt;=COLUMNS($A425:F425), Source!$G425, "")</f>
        <v/>
      </c>
      <c r="G425" s="2" t="str">
        <f>IF(Source!$C425&gt;=COLUMNS($A425:G425), Source!$G425, "")</f>
        <v/>
      </c>
      <c r="H425" s="2" t="str">
        <f>IF(Source!$C425&gt;=COLUMNS($A425:H425), Source!$G425, "")</f>
        <v/>
      </c>
      <c r="I425" s="2" t="str">
        <f>IF(Source!$C425&gt;=COLUMNS($A425:I425), Source!$G425, "")</f>
        <v/>
      </c>
      <c r="J425" s="2" t="str">
        <f>IF(Source!$C425&gt;=COLUMNS($A425:J425), Source!$G425, "")</f>
        <v/>
      </c>
      <c r="K425" s="2" t="str">
        <f>IF(Source!$C425&gt;=COLUMNS($A425:K425), Source!$G425, "")</f>
        <v/>
      </c>
      <c r="L425" s="2" t="str">
        <f>IF(Source!$C425&gt;=COLUMNS($A425:L425), Source!$G425, "")</f>
        <v/>
      </c>
      <c r="M425" s="2" t="str">
        <f>IF(Source!$C425&gt;=COLUMNS($A425:M425), Source!$G425, "")</f>
        <v/>
      </c>
      <c r="N425" s="2" t="str">
        <f>IF(Source!$C425&gt;=COLUMNS($A425:N425), Source!$G425, "")</f>
        <v/>
      </c>
      <c r="O425" s="2" t="str">
        <f>IF(Source!$C425&gt;=COLUMNS($A425:O425), Source!$G425, "")</f>
        <v/>
      </c>
      <c r="P425" s="2" t="str">
        <f>IF(Source!$C425&gt;=COLUMNS($A425:P425), Source!$G425, "")</f>
        <v/>
      </c>
      <c r="Q425" s="2" t="str">
        <f>IF(Source!$C425&gt;=COLUMNS($A425:Q425), Source!$G425, "")</f>
        <v/>
      </c>
      <c r="R425" s="2" t="str">
        <f>IF(Source!$C425&gt;=COLUMNS($A425:R425), Source!$G425, "")</f>
        <v/>
      </c>
      <c r="S425" s="2" t="str">
        <f>IF(Source!$C425&gt;=COLUMNS($A425:S425), Source!$G425, "")</f>
        <v/>
      </c>
      <c r="T425" s="2" t="str">
        <f>IF(Source!$C425&gt;=COLUMNS($A425:T425), Source!$G425, "")</f>
        <v/>
      </c>
      <c r="U425" s="2" t="str">
        <f>IF(Source!$C425&gt;=COLUMNS($A425:U425), Source!$G425, "")</f>
        <v/>
      </c>
      <c r="V425" s="2" t="str">
        <f>IF(Source!$C425&gt;=COLUMNS($A425:V425), Source!$G425, "")</f>
        <v/>
      </c>
      <c r="W425" s="2" t="str">
        <f>IF(Source!$C425&gt;=COLUMNS($A425:W425), Source!$G425, "")</f>
        <v/>
      </c>
      <c r="X425" s="2" t="str">
        <f>IF(Source!$C425&gt;=COLUMNS($A425:X425), Source!$G425, "")</f>
        <v/>
      </c>
      <c r="Y425" s="2" t="str">
        <f>IF(Source!$C425&gt;=COLUMNS($A425:Y425), Source!$G425, "")</f>
        <v/>
      </c>
      <c r="Z425" s="2" t="str">
        <f>IF(Source!$C425&gt;=COLUMNS($A425:Z425), Source!$G425, "")</f>
        <v/>
      </c>
      <c r="AA425" s="2" t="str">
        <f>IF(Source!$C425&gt;=COLUMNS($A425:AA425), Source!$G425, "")</f>
        <v/>
      </c>
      <c r="AB425" s="2" t="str">
        <f>IF(Source!$C425&gt;=COLUMNS($A425:AB425), Source!$G425, "")</f>
        <v/>
      </c>
      <c r="AC425" s="2" t="str">
        <f>IF(Source!$C425&gt;=COLUMNS($A425:AC425), Source!$G425, "")</f>
        <v/>
      </c>
      <c r="AD425" s="2" t="str">
        <f>IF(Source!$C425&gt;=COLUMNS($A425:AD425), Source!$G425, "")</f>
        <v/>
      </c>
      <c r="AE425" s="2" t="str">
        <f>IF(Source!$C425&gt;=COLUMNS($A425:AE425), Source!$G425, "")</f>
        <v/>
      </c>
      <c r="AF425" s="2" t="str">
        <f>IF(Source!$C425&gt;=COLUMNS($A425:AF425), Source!$G425, "")</f>
        <v/>
      </c>
      <c r="AG425" s="2" t="str">
        <f>IF(Source!$C425&gt;=COLUMNS($A425:AG425), Source!$G425, "")</f>
        <v/>
      </c>
      <c r="AH425" s="2" t="str">
        <f>IF(Source!$C425&gt;=COLUMNS($A425:AH425), Source!$G425, "")</f>
        <v/>
      </c>
      <c r="AI425" s="2" t="str">
        <f>IF(Source!$C425&gt;=COLUMNS($A425:AI425), Source!$G425, "")</f>
        <v/>
      </c>
      <c r="AJ425" s="2" t="str">
        <f>IF(Source!$C425&gt;=COLUMNS($A425:AJ425), Source!$G425, "")</f>
        <v/>
      </c>
      <c r="AK425" s="2" t="str">
        <f>IF(Source!$C425&gt;=COLUMNS($A425:AK425), Source!$G425, "")</f>
        <v/>
      </c>
      <c r="AL425" s="2" t="str">
        <f>IF(Source!$C425&gt;=COLUMNS($A425:AL425), Source!$G425, "")</f>
        <v/>
      </c>
      <c r="AM425" s="2" t="str">
        <f>IF(Source!$C425&gt;=COLUMNS($A425:AM425), Source!$G425, "")</f>
        <v/>
      </c>
      <c r="AN425" s="2" t="str">
        <f>IF(Source!$C425&gt;=COLUMNS($A425:AN425), Source!$G425, "")</f>
        <v/>
      </c>
      <c r="AO425" s="2" t="str">
        <f>IF(Source!$C425&gt;=COLUMNS($A425:AO425), Source!$G425, "")</f>
        <v/>
      </c>
      <c r="AP425" s="2" t="str">
        <f>IF(Source!$C425&gt;=COLUMNS($A425:AP425), Source!$G425, "")</f>
        <v/>
      </c>
      <c r="AQ425" s="2" t="str">
        <f>IF(Source!$C425&gt;=COLUMNS($A425:AQ425), Source!$G425, "")</f>
        <v/>
      </c>
      <c r="AR425" s="2" t="str">
        <f>IF(Source!$C425&gt;=COLUMNS($A425:AR425), Source!$G425, "")</f>
        <v/>
      </c>
    </row>
    <row r="426">
      <c r="A426" s="2">
        <f>IF(Source!$C426&gt;=COLUMNS($A426:A426), Source!$G426, "")</f>
        <v>9</v>
      </c>
      <c r="B426" s="2">
        <f>IF(Source!$C426&gt;=COLUMNS($A426:B426), Source!$G426, "")</f>
        <v>9</v>
      </c>
      <c r="C426" s="2">
        <f>IF(Source!$C426&gt;=COLUMNS($A426:C426), Source!$G426, "")</f>
        <v>9</v>
      </c>
      <c r="D426" s="2" t="str">
        <f>IF(Source!$C426&gt;=COLUMNS($A426:D426), Source!$G426, "")</f>
        <v/>
      </c>
      <c r="E426" s="2" t="str">
        <f>IF(Source!$C426&gt;=COLUMNS($A426:E426), Source!$G426, "")</f>
        <v/>
      </c>
      <c r="F426" s="2" t="str">
        <f>IF(Source!$C426&gt;=COLUMNS($A426:F426), Source!$G426, "")</f>
        <v/>
      </c>
      <c r="G426" s="2" t="str">
        <f>IF(Source!$C426&gt;=COLUMNS($A426:G426), Source!$G426, "")</f>
        <v/>
      </c>
      <c r="H426" s="2" t="str">
        <f>IF(Source!$C426&gt;=COLUMNS($A426:H426), Source!$G426, "")</f>
        <v/>
      </c>
      <c r="I426" s="2" t="str">
        <f>IF(Source!$C426&gt;=COLUMNS($A426:I426), Source!$G426, "")</f>
        <v/>
      </c>
      <c r="J426" s="2" t="str">
        <f>IF(Source!$C426&gt;=COLUMNS($A426:J426), Source!$G426, "")</f>
        <v/>
      </c>
      <c r="K426" s="2" t="str">
        <f>IF(Source!$C426&gt;=COLUMNS($A426:K426), Source!$G426, "")</f>
        <v/>
      </c>
      <c r="L426" s="2" t="str">
        <f>IF(Source!$C426&gt;=COLUMNS($A426:L426), Source!$G426, "")</f>
        <v/>
      </c>
      <c r="M426" s="2" t="str">
        <f>IF(Source!$C426&gt;=COLUMNS($A426:M426), Source!$G426, "")</f>
        <v/>
      </c>
      <c r="N426" s="2" t="str">
        <f>IF(Source!$C426&gt;=COLUMNS($A426:N426), Source!$G426, "")</f>
        <v/>
      </c>
      <c r="O426" s="2" t="str">
        <f>IF(Source!$C426&gt;=COLUMNS($A426:O426), Source!$G426, "")</f>
        <v/>
      </c>
      <c r="P426" s="2" t="str">
        <f>IF(Source!$C426&gt;=COLUMNS($A426:P426), Source!$G426, "")</f>
        <v/>
      </c>
      <c r="Q426" s="2" t="str">
        <f>IF(Source!$C426&gt;=COLUMNS($A426:Q426), Source!$G426, "")</f>
        <v/>
      </c>
      <c r="R426" s="2" t="str">
        <f>IF(Source!$C426&gt;=COLUMNS($A426:R426), Source!$G426, "")</f>
        <v/>
      </c>
      <c r="S426" s="2" t="str">
        <f>IF(Source!$C426&gt;=COLUMNS($A426:S426), Source!$G426, "")</f>
        <v/>
      </c>
      <c r="T426" s="2" t="str">
        <f>IF(Source!$C426&gt;=COLUMNS($A426:T426), Source!$G426, "")</f>
        <v/>
      </c>
      <c r="U426" s="2" t="str">
        <f>IF(Source!$C426&gt;=COLUMNS($A426:U426), Source!$G426, "")</f>
        <v/>
      </c>
      <c r="V426" s="2" t="str">
        <f>IF(Source!$C426&gt;=COLUMNS($A426:V426), Source!$G426, "")</f>
        <v/>
      </c>
      <c r="W426" s="2" t="str">
        <f>IF(Source!$C426&gt;=COLUMNS($A426:W426), Source!$G426, "")</f>
        <v/>
      </c>
      <c r="X426" s="2" t="str">
        <f>IF(Source!$C426&gt;=COLUMNS($A426:X426), Source!$G426, "")</f>
        <v/>
      </c>
      <c r="Y426" s="2" t="str">
        <f>IF(Source!$C426&gt;=COLUMNS($A426:Y426), Source!$G426, "")</f>
        <v/>
      </c>
      <c r="Z426" s="2" t="str">
        <f>IF(Source!$C426&gt;=COLUMNS($A426:Z426), Source!$G426, "")</f>
        <v/>
      </c>
      <c r="AA426" s="2" t="str">
        <f>IF(Source!$C426&gt;=COLUMNS($A426:AA426), Source!$G426, "")</f>
        <v/>
      </c>
      <c r="AB426" s="2" t="str">
        <f>IF(Source!$C426&gt;=COLUMNS($A426:AB426), Source!$G426, "")</f>
        <v/>
      </c>
      <c r="AC426" s="2" t="str">
        <f>IF(Source!$C426&gt;=COLUMNS($A426:AC426), Source!$G426, "")</f>
        <v/>
      </c>
      <c r="AD426" s="2" t="str">
        <f>IF(Source!$C426&gt;=COLUMNS($A426:AD426), Source!$G426, "")</f>
        <v/>
      </c>
      <c r="AE426" s="2" t="str">
        <f>IF(Source!$C426&gt;=COLUMNS($A426:AE426), Source!$G426, "")</f>
        <v/>
      </c>
      <c r="AF426" s="2" t="str">
        <f>IF(Source!$C426&gt;=COLUMNS($A426:AF426), Source!$G426, "")</f>
        <v/>
      </c>
      <c r="AG426" s="2" t="str">
        <f>IF(Source!$C426&gt;=COLUMNS($A426:AG426), Source!$G426, "")</f>
        <v/>
      </c>
      <c r="AH426" s="2" t="str">
        <f>IF(Source!$C426&gt;=COLUMNS($A426:AH426), Source!$G426, "")</f>
        <v/>
      </c>
      <c r="AI426" s="2" t="str">
        <f>IF(Source!$C426&gt;=COLUMNS($A426:AI426), Source!$G426, "")</f>
        <v/>
      </c>
      <c r="AJ426" s="2" t="str">
        <f>IF(Source!$C426&gt;=COLUMNS($A426:AJ426), Source!$G426, "")</f>
        <v/>
      </c>
      <c r="AK426" s="2" t="str">
        <f>IF(Source!$C426&gt;=COLUMNS($A426:AK426), Source!$G426, "")</f>
        <v/>
      </c>
      <c r="AL426" s="2" t="str">
        <f>IF(Source!$C426&gt;=COLUMNS($A426:AL426), Source!$G426, "")</f>
        <v/>
      </c>
      <c r="AM426" s="2" t="str">
        <f>IF(Source!$C426&gt;=COLUMNS($A426:AM426), Source!$G426, "")</f>
        <v/>
      </c>
      <c r="AN426" s="2" t="str">
        <f>IF(Source!$C426&gt;=COLUMNS($A426:AN426), Source!$G426, "")</f>
        <v/>
      </c>
      <c r="AO426" s="2" t="str">
        <f>IF(Source!$C426&gt;=COLUMNS($A426:AO426), Source!$G426, "")</f>
        <v/>
      </c>
      <c r="AP426" s="2" t="str">
        <f>IF(Source!$C426&gt;=COLUMNS($A426:AP426), Source!$G426, "")</f>
        <v/>
      </c>
      <c r="AQ426" s="2" t="str">
        <f>IF(Source!$C426&gt;=COLUMNS($A426:AQ426), Source!$G426, "")</f>
        <v/>
      </c>
      <c r="AR426" s="2" t="str">
        <f>IF(Source!$C426&gt;=COLUMNS($A426:AR426), Source!$G426, "")</f>
        <v/>
      </c>
    </row>
    <row r="427">
      <c r="A427" s="2">
        <f>IF(Source!$C427&gt;=COLUMNS($A427:A427), Source!$G427, "")</f>
        <v>8</v>
      </c>
      <c r="B427" s="2">
        <f>IF(Source!$C427&gt;=COLUMNS($A427:B427), Source!$G427, "")</f>
        <v>8</v>
      </c>
      <c r="C427" s="2" t="str">
        <f>IF(Source!$C427&gt;=COLUMNS($A427:C427), Source!$G427, "")</f>
        <v/>
      </c>
      <c r="D427" s="2" t="str">
        <f>IF(Source!$C427&gt;=COLUMNS($A427:D427), Source!$G427, "")</f>
        <v/>
      </c>
      <c r="E427" s="2" t="str">
        <f>IF(Source!$C427&gt;=COLUMNS($A427:E427), Source!$G427, "")</f>
        <v/>
      </c>
      <c r="F427" s="2" t="str">
        <f>IF(Source!$C427&gt;=COLUMNS($A427:F427), Source!$G427, "")</f>
        <v/>
      </c>
      <c r="G427" s="2" t="str">
        <f>IF(Source!$C427&gt;=COLUMNS($A427:G427), Source!$G427, "")</f>
        <v/>
      </c>
      <c r="H427" s="2" t="str">
        <f>IF(Source!$C427&gt;=COLUMNS($A427:H427), Source!$G427, "")</f>
        <v/>
      </c>
      <c r="I427" s="2" t="str">
        <f>IF(Source!$C427&gt;=COLUMNS($A427:I427), Source!$G427, "")</f>
        <v/>
      </c>
      <c r="J427" s="2" t="str">
        <f>IF(Source!$C427&gt;=COLUMNS($A427:J427), Source!$G427, "")</f>
        <v/>
      </c>
      <c r="K427" s="2" t="str">
        <f>IF(Source!$C427&gt;=COLUMNS($A427:K427), Source!$G427, "")</f>
        <v/>
      </c>
      <c r="L427" s="2" t="str">
        <f>IF(Source!$C427&gt;=COLUMNS($A427:L427), Source!$G427, "")</f>
        <v/>
      </c>
      <c r="M427" s="2" t="str">
        <f>IF(Source!$C427&gt;=COLUMNS($A427:M427), Source!$G427, "")</f>
        <v/>
      </c>
      <c r="N427" s="2" t="str">
        <f>IF(Source!$C427&gt;=COLUMNS($A427:N427), Source!$G427, "")</f>
        <v/>
      </c>
      <c r="O427" s="2" t="str">
        <f>IF(Source!$C427&gt;=COLUMNS($A427:O427), Source!$G427, "")</f>
        <v/>
      </c>
      <c r="P427" s="2" t="str">
        <f>IF(Source!$C427&gt;=COLUMNS($A427:P427), Source!$G427, "")</f>
        <v/>
      </c>
      <c r="Q427" s="2" t="str">
        <f>IF(Source!$C427&gt;=COLUMNS($A427:Q427), Source!$G427, "")</f>
        <v/>
      </c>
      <c r="R427" s="2" t="str">
        <f>IF(Source!$C427&gt;=COLUMNS($A427:R427), Source!$G427, "")</f>
        <v/>
      </c>
      <c r="S427" s="2" t="str">
        <f>IF(Source!$C427&gt;=COLUMNS($A427:S427), Source!$G427, "")</f>
        <v/>
      </c>
      <c r="T427" s="2" t="str">
        <f>IF(Source!$C427&gt;=COLUMNS($A427:T427), Source!$G427, "")</f>
        <v/>
      </c>
      <c r="U427" s="2" t="str">
        <f>IF(Source!$C427&gt;=COLUMNS($A427:U427), Source!$G427, "")</f>
        <v/>
      </c>
      <c r="V427" s="2" t="str">
        <f>IF(Source!$C427&gt;=COLUMNS($A427:V427), Source!$G427, "")</f>
        <v/>
      </c>
      <c r="W427" s="2" t="str">
        <f>IF(Source!$C427&gt;=COLUMNS($A427:W427), Source!$G427, "")</f>
        <v/>
      </c>
      <c r="X427" s="2" t="str">
        <f>IF(Source!$C427&gt;=COLUMNS($A427:X427), Source!$G427, "")</f>
        <v/>
      </c>
      <c r="Y427" s="2" t="str">
        <f>IF(Source!$C427&gt;=COLUMNS($A427:Y427), Source!$G427, "")</f>
        <v/>
      </c>
      <c r="Z427" s="2" t="str">
        <f>IF(Source!$C427&gt;=COLUMNS($A427:Z427), Source!$G427, "")</f>
        <v/>
      </c>
      <c r="AA427" s="2" t="str">
        <f>IF(Source!$C427&gt;=COLUMNS($A427:AA427), Source!$G427, "")</f>
        <v/>
      </c>
      <c r="AB427" s="2" t="str">
        <f>IF(Source!$C427&gt;=COLUMNS($A427:AB427), Source!$G427, "")</f>
        <v/>
      </c>
      <c r="AC427" s="2" t="str">
        <f>IF(Source!$C427&gt;=COLUMNS($A427:AC427), Source!$G427, "")</f>
        <v/>
      </c>
      <c r="AD427" s="2" t="str">
        <f>IF(Source!$C427&gt;=COLUMNS($A427:AD427), Source!$G427, "")</f>
        <v/>
      </c>
      <c r="AE427" s="2" t="str">
        <f>IF(Source!$C427&gt;=COLUMNS($A427:AE427), Source!$G427, "")</f>
        <v/>
      </c>
      <c r="AF427" s="2" t="str">
        <f>IF(Source!$C427&gt;=COLUMNS($A427:AF427), Source!$G427, "")</f>
        <v/>
      </c>
      <c r="AG427" s="2" t="str">
        <f>IF(Source!$C427&gt;=COLUMNS($A427:AG427), Source!$G427, "")</f>
        <v/>
      </c>
      <c r="AH427" s="2" t="str">
        <f>IF(Source!$C427&gt;=COLUMNS($A427:AH427), Source!$G427, "")</f>
        <v/>
      </c>
      <c r="AI427" s="2" t="str">
        <f>IF(Source!$C427&gt;=COLUMNS($A427:AI427), Source!$G427, "")</f>
        <v/>
      </c>
      <c r="AJ427" s="2" t="str">
        <f>IF(Source!$C427&gt;=COLUMNS($A427:AJ427), Source!$G427, "")</f>
        <v/>
      </c>
      <c r="AK427" s="2" t="str">
        <f>IF(Source!$C427&gt;=COLUMNS($A427:AK427), Source!$G427, "")</f>
        <v/>
      </c>
      <c r="AL427" s="2" t="str">
        <f>IF(Source!$C427&gt;=COLUMNS($A427:AL427), Source!$G427, "")</f>
        <v/>
      </c>
      <c r="AM427" s="2" t="str">
        <f>IF(Source!$C427&gt;=COLUMNS($A427:AM427), Source!$G427, "")</f>
        <v/>
      </c>
      <c r="AN427" s="2" t="str">
        <f>IF(Source!$C427&gt;=COLUMNS($A427:AN427), Source!$G427, "")</f>
        <v/>
      </c>
      <c r="AO427" s="2" t="str">
        <f>IF(Source!$C427&gt;=COLUMNS($A427:AO427), Source!$G427, "")</f>
        <v/>
      </c>
      <c r="AP427" s="2" t="str">
        <f>IF(Source!$C427&gt;=COLUMNS($A427:AP427), Source!$G427, "")</f>
        <v/>
      </c>
      <c r="AQ427" s="2" t="str">
        <f>IF(Source!$C427&gt;=COLUMNS($A427:AQ427), Source!$G427, "")</f>
        <v/>
      </c>
      <c r="AR427" s="2" t="str">
        <f>IF(Source!$C427&gt;=COLUMNS($A427:AR427), Source!$G427, "")</f>
        <v/>
      </c>
    </row>
    <row r="428">
      <c r="A428" s="2">
        <f>IF(Source!$C428&gt;=COLUMNS($A428:A428), Source!$G428, "")</f>
        <v>1</v>
      </c>
      <c r="B428" s="2">
        <f>IF(Source!$C428&gt;=COLUMNS($A428:B428), Source!$G428, "")</f>
        <v>1</v>
      </c>
      <c r="C428" s="2">
        <f>IF(Source!$C428&gt;=COLUMNS($A428:C428), Source!$G428, "")</f>
        <v>1</v>
      </c>
      <c r="D428" s="2" t="str">
        <f>IF(Source!$C428&gt;=COLUMNS($A428:D428), Source!$G428, "")</f>
        <v/>
      </c>
      <c r="E428" s="2" t="str">
        <f>IF(Source!$C428&gt;=COLUMNS($A428:E428), Source!$G428, "")</f>
        <v/>
      </c>
      <c r="F428" s="2" t="str">
        <f>IF(Source!$C428&gt;=COLUMNS($A428:F428), Source!$G428, "")</f>
        <v/>
      </c>
      <c r="G428" s="2" t="str">
        <f>IF(Source!$C428&gt;=COLUMNS($A428:G428), Source!$G428, "")</f>
        <v/>
      </c>
      <c r="H428" s="2" t="str">
        <f>IF(Source!$C428&gt;=COLUMNS($A428:H428), Source!$G428, "")</f>
        <v/>
      </c>
      <c r="I428" s="2" t="str">
        <f>IF(Source!$C428&gt;=COLUMNS($A428:I428), Source!$G428, "")</f>
        <v/>
      </c>
      <c r="J428" s="2" t="str">
        <f>IF(Source!$C428&gt;=COLUMNS($A428:J428), Source!$G428, "")</f>
        <v/>
      </c>
      <c r="K428" s="2" t="str">
        <f>IF(Source!$C428&gt;=COLUMNS($A428:K428), Source!$G428, "")</f>
        <v/>
      </c>
      <c r="L428" s="2" t="str">
        <f>IF(Source!$C428&gt;=COLUMNS($A428:L428), Source!$G428, "")</f>
        <v/>
      </c>
      <c r="M428" s="2" t="str">
        <f>IF(Source!$C428&gt;=COLUMNS($A428:M428), Source!$G428, "")</f>
        <v/>
      </c>
      <c r="N428" s="2" t="str">
        <f>IF(Source!$C428&gt;=COLUMNS($A428:N428), Source!$G428, "")</f>
        <v/>
      </c>
      <c r="O428" s="2" t="str">
        <f>IF(Source!$C428&gt;=COLUMNS($A428:O428), Source!$G428, "")</f>
        <v/>
      </c>
      <c r="P428" s="2" t="str">
        <f>IF(Source!$C428&gt;=COLUMNS($A428:P428), Source!$G428, "")</f>
        <v/>
      </c>
      <c r="Q428" s="2" t="str">
        <f>IF(Source!$C428&gt;=COLUMNS($A428:Q428), Source!$G428, "")</f>
        <v/>
      </c>
      <c r="R428" s="2" t="str">
        <f>IF(Source!$C428&gt;=COLUMNS($A428:R428), Source!$G428, "")</f>
        <v/>
      </c>
      <c r="S428" s="2" t="str">
        <f>IF(Source!$C428&gt;=COLUMNS($A428:S428), Source!$G428, "")</f>
        <v/>
      </c>
      <c r="T428" s="2" t="str">
        <f>IF(Source!$C428&gt;=COLUMNS($A428:T428), Source!$G428, "")</f>
        <v/>
      </c>
      <c r="U428" s="2" t="str">
        <f>IF(Source!$C428&gt;=COLUMNS($A428:U428), Source!$G428, "")</f>
        <v/>
      </c>
      <c r="V428" s="2" t="str">
        <f>IF(Source!$C428&gt;=COLUMNS($A428:V428), Source!$G428, "")</f>
        <v/>
      </c>
      <c r="W428" s="2" t="str">
        <f>IF(Source!$C428&gt;=COLUMNS($A428:W428), Source!$G428, "")</f>
        <v/>
      </c>
      <c r="X428" s="2" t="str">
        <f>IF(Source!$C428&gt;=COLUMNS($A428:X428), Source!$G428, "")</f>
        <v/>
      </c>
      <c r="Y428" s="2" t="str">
        <f>IF(Source!$C428&gt;=COLUMNS($A428:Y428), Source!$G428, "")</f>
        <v/>
      </c>
      <c r="Z428" s="2" t="str">
        <f>IF(Source!$C428&gt;=COLUMNS($A428:Z428), Source!$G428, "")</f>
        <v/>
      </c>
      <c r="AA428" s="2" t="str">
        <f>IF(Source!$C428&gt;=COLUMNS($A428:AA428), Source!$G428, "")</f>
        <v/>
      </c>
      <c r="AB428" s="2" t="str">
        <f>IF(Source!$C428&gt;=COLUMNS($A428:AB428), Source!$G428, "")</f>
        <v/>
      </c>
      <c r="AC428" s="2" t="str">
        <f>IF(Source!$C428&gt;=COLUMNS($A428:AC428), Source!$G428, "")</f>
        <v/>
      </c>
      <c r="AD428" s="2" t="str">
        <f>IF(Source!$C428&gt;=COLUMNS($A428:AD428), Source!$G428, "")</f>
        <v/>
      </c>
      <c r="AE428" s="2" t="str">
        <f>IF(Source!$C428&gt;=COLUMNS($A428:AE428), Source!$G428, "")</f>
        <v/>
      </c>
      <c r="AF428" s="2" t="str">
        <f>IF(Source!$C428&gt;=COLUMNS($A428:AF428), Source!$G428, "")</f>
        <v/>
      </c>
      <c r="AG428" s="2" t="str">
        <f>IF(Source!$C428&gt;=COLUMNS($A428:AG428), Source!$G428, "")</f>
        <v/>
      </c>
      <c r="AH428" s="2" t="str">
        <f>IF(Source!$C428&gt;=COLUMNS($A428:AH428), Source!$G428, "")</f>
        <v/>
      </c>
      <c r="AI428" s="2" t="str">
        <f>IF(Source!$C428&gt;=COLUMNS($A428:AI428), Source!$G428, "")</f>
        <v/>
      </c>
      <c r="AJ428" s="2" t="str">
        <f>IF(Source!$C428&gt;=COLUMNS($A428:AJ428), Source!$G428, "")</f>
        <v/>
      </c>
      <c r="AK428" s="2" t="str">
        <f>IF(Source!$C428&gt;=COLUMNS($A428:AK428), Source!$G428, "")</f>
        <v/>
      </c>
      <c r="AL428" s="2" t="str">
        <f>IF(Source!$C428&gt;=COLUMNS($A428:AL428), Source!$G428, "")</f>
        <v/>
      </c>
      <c r="AM428" s="2" t="str">
        <f>IF(Source!$C428&gt;=COLUMNS($A428:AM428), Source!$G428, "")</f>
        <v/>
      </c>
      <c r="AN428" s="2" t="str">
        <f>IF(Source!$C428&gt;=COLUMNS($A428:AN428), Source!$G428, "")</f>
        <v/>
      </c>
      <c r="AO428" s="2" t="str">
        <f>IF(Source!$C428&gt;=COLUMNS($A428:AO428), Source!$G428, "")</f>
        <v/>
      </c>
      <c r="AP428" s="2" t="str">
        <f>IF(Source!$C428&gt;=COLUMNS($A428:AP428), Source!$G428, "")</f>
        <v/>
      </c>
      <c r="AQ428" s="2" t="str">
        <f>IF(Source!$C428&gt;=COLUMNS($A428:AQ428), Source!$G428, "")</f>
        <v/>
      </c>
      <c r="AR428" s="2" t="str">
        <f>IF(Source!$C428&gt;=COLUMNS($A428:AR428), Source!$G428, "")</f>
        <v/>
      </c>
    </row>
    <row r="429">
      <c r="A429" s="2">
        <f>IF(Source!$C429&gt;=COLUMNS($A429:A429), Source!$G429, "")</f>
        <v>7</v>
      </c>
      <c r="B429" s="2">
        <f>IF(Source!$C429&gt;=COLUMNS($A429:B429), Source!$G429, "")</f>
        <v>7</v>
      </c>
      <c r="C429" s="2">
        <f>IF(Source!$C429&gt;=COLUMNS($A429:C429), Source!$G429, "")</f>
        <v>7</v>
      </c>
      <c r="D429" s="2">
        <f>IF(Source!$C429&gt;=COLUMNS($A429:D429), Source!$G429, "")</f>
        <v>7</v>
      </c>
      <c r="E429" s="2" t="str">
        <f>IF(Source!$C429&gt;=COLUMNS($A429:E429), Source!$G429, "")</f>
        <v/>
      </c>
      <c r="F429" s="2" t="str">
        <f>IF(Source!$C429&gt;=COLUMNS($A429:F429), Source!$G429, "")</f>
        <v/>
      </c>
      <c r="G429" s="2" t="str">
        <f>IF(Source!$C429&gt;=COLUMNS($A429:G429), Source!$G429, "")</f>
        <v/>
      </c>
      <c r="H429" s="2" t="str">
        <f>IF(Source!$C429&gt;=COLUMNS($A429:H429), Source!$G429, "")</f>
        <v/>
      </c>
      <c r="I429" s="2" t="str">
        <f>IF(Source!$C429&gt;=COLUMNS($A429:I429), Source!$G429, "")</f>
        <v/>
      </c>
      <c r="J429" s="2" t="str">
        <f>IF(Source!$C429&gt;=COLUMNS($A429:J429), Source!$G429, "")</f>
        <v/>
      </c>
      <c r="K429" s="2" t="str">
        <f>IF(Source!$C429&gt;=COLUMNS($A429:K429), Source!$G429, "")</f>
        <v/>
      </c>
      <c r="L429" s="2" t="str">
        <f>IF(Source!$C429&gt;=COLUMNS($A429:L429), Source!$G429, "")</f>
        <v/>
      </c>
      <c r="M429" s="2" t="str">
        <f>IF(Source!$C429&gt;=COLUMNS($A429:M429), Source!$G429, "")</f>
        <v/>
      </c>
      <c r="N429" s="2" t="str">
        <f>IF(Source!$C429&gt;=COLUMNS($A429:N429), Source!$G429, "")</f>
        <v/>
      </c>
      <c r="O429" s="2" t="str">
        <f>IF(Source!$C429&gt;=COLUMNS($A429:O429), Source!$G429, "")</f>
        <v/>
      </c>
      <c r="P429" s="2" t="str">
        <f>IF(Source!$C429&gt;=COLUMNS($A429:P429), Source!$G429, "")</f>
        <v/>
      </c>
      <c r="Q429" s="2" t="str">
        <f>IF(Source!$C429&gt;=COLUMNS($A429:Q429), Source!$G429, "")</f>
        <v/>
      </c>
      <c r="R429" s="2" t="str">
        <f>IF(Source!$C429&gt;=COLUMNS($A429:R429), Source!$G429, "")</f>
        <v/>
      </c>
      <c r="S429" s="2" t="str">
        <f>IF(Source!$C429&gt;=COLUMNS($A429:S429), Source!$G429, "")</f>
        <v/>
      </c>
      <c r="T429" s="2" t="str">
        <f>IF(Source!$C429&gt;=COLUMNS($A429:T429), Source!$G429, "")</f>
        <v/>
      </c>
      <c r="U429" s="2" t="str">
        <f>IF(Source!$C429&gt;=COLUMNS($A429:U429), Source!$G429, "")</f>
        <v/>
      </c>
      <c r="V429" s="2" t="str">
        <f>IF(Source!$C429&gt;=COLUMNS($A429:V429), Source!$G429, "")</f>
        <v/>
      </c>
      <c r="W429" s="2" t="str">
        <f>IF(Source!$C429&gt;=COLUMNS($A429:W429), Source!$G429, "")</f>
        <v/>
      </c>
      <c r="X429" s="2" t="str">
        <f>IF(Source!$C429&gt;=COLUMNS($A429:X429), Source!$G429, "")</f>
        <v/>
      </c>
      <c r="Y429" s="2" t="str">
        <f>IF(Source!$C429&gt;=COLUMNS($A429:Y429), Source!$G429, "")</f>
        <v/>
      </c>
      <c r="Z429" s="2" t="str">
        <f>IF(Source!$C429&gt;=COLUMNS($A429:Z429), Source!$G429, "")</f>
        <v/>
      </c>
      <c r="AA429" s="2" t="str">
        <f>IF(Source!$C429&gt;=COLUMNS($A429:AA429), Source!$G429, "")</f>
        <v/>
      </c>
      <c r="AB429" s="2" t="str">
        <f>IF(Source!$C429&gt;=COLUMNS($A429:AB429), Source!$G429, "")</f>
        <v/>
      </c>
      <c r="AC429" s="2" t="str">
        <f>IF(Source!$C429&gt;=COLUMNS($A429:AC429), Source!$G429, "")</f>
        <v/>
      </c>
      <c r="AD429" s="2" t="str">
        <f>IF(Source!$C429&gt;=COLUMNS($A429:AD429), Source!$G429, "")</f>
        <v/>
      </c>
      <c r="AE429" s="2" t="str">
        <f>IF(Source!$C429&gt;=COLUMNS($A429:AE429), Source!$G429, "")</f>
        <v/>
      </c>
      <c r="AF429" s="2" t="str">
        <f>IF(Source!$C429&gt;=COLUMNS($A429:AF429), Source!$G429, "")</f>
        <v/>
      </c>
      <c r="AG429" s="2" t="str">
        <f>IF(Source!$C429&gt;=COLUMNS($A429:AG429), Source!$G429, "")</f>
        <v/>
      </c>
      <c r="AH429" s="2" t="str">
        <f>IF(Source!$C429&gt;=COLUMNS($A429:AH429), Source!$G429, "")</f>
        <v/>
      </c>
      <c r="AI429" s="2" t="str">
        <f>IF(Source!$C429&gt;=COLUMNS($A429:AI429), Source!$G429, "")</f>
        <v/>
      </c>
      <c r="AJ429" s="2" t="str">
        <f>IF(Source!$C429&gt;=COLUMNS($A429:AJ429), Source!$G429, "")</f>
        <v/>
      </c>
      <c r="AK429" s="2" t="str">
        <f>IF(Source!$C429&gt;=COLUMNS($A429:AK429), Source!$G429, "")</f>
        <v/>
      </c>
      <c r="AL429" s="2" t="str">
        <f>IF(Source!$C429&gt;=COLUMNS($A429:AL429), Source!$G429, "")</f>
        <v/>
      </c>
      <c r="AM429" s="2" t="str">
        <f>IF(Source!$C429&gt;=COLUMNS($A429:AM429), Source!$G429, "")</f>
        <v/>
      </c>
      <c r="AN429" s="2" t="str">
        <f>IF(Source!$C429&gt;=COLUMNS($A429:AN429), Source!$G429, "")</f>
        <v/>
      </c>
      <c r="AO429" s="2" t="str">
        <f>IF(Source!$C429&gt;=COLUMNS($A429:AO429), Source!$G429, "")</f>
        <v/>
      </c>
      <c r="AP429" s="2" t="str">
        <f>IF(Source!$C429&gt;=COLUMNS($A429:AP429), Source!$G429, "")</f>
        <v/>
      </c>
      <c r="AQ429" s="2" t="str">
        <f>IF(Source!$C429&gt;=COLUMNS($A429:AQ429), Source!$G429, "")</f>
        <v/>
      </c>
      <c r="AR429" s="2" t="str">
        <f>IF(Source!$C429&gt;=COLUMNS($A429:AR429), Source!$G429, "")</f>
        <v/>
      </c>
    </row>
    <row r="430">
      <c r="A430" s="2">
        <f>IF(Source!$C430&gt;=COLUMNS($A430:A430), Source!$G430, "")</f>
        <v>4</v>
      </c>
      <c r="B430" s="2">
        <f>IF(Source!$C430&gt;=COLUMNS($A430:B430), Source!$G430, "")</f>
        <v>4</v>
      </c>
      <c r="C430" s="2" t="str">
        <f>IF(Source!$C430&gt;=COLUMNS($A430:C430), Source!$G430, "")</f>
        <v/>
      </c>
      <c r="D430" s="2" t="str">
        <f>IF(Source!$C430&gt;=COLUMNS($A430:D430), Source!$G430, "")</f>
        <v/>
      </c>
      <c r="E430" s="2" t="str">
        <f>IF(Source!$C430&gt;=COLUMNS($A430:E430), Source!$G430, "")</f>
        <v/>
      </c>
      <c r="F430" s="2" t="str">
        <f>IF(Source!$C430&gt;=COLUMNS($A430:F430), Source!$G430, "")</f>
        <v/>
      </c>
      <c r="G430" s="2" t="str">
        <f>IF(Source!$C430&gt;=COLUMNS($A430:G430), Source!$G430, "")</f>
        <v/>
      </c>
      <c r="H430" s="2" t="str">
        <f>IF(Source!$C430&gt;=COLUMNS($A430:H430), Source!$G430, "")</f>
        <v/>
      </c>
      <c r="I430" s="2" t="str">
        <f>IF(Source!$C430&gt;=COLUMNS($A430:I430), Source!$G430, "")</f>
        <v/>
      </c>
      <c r="J430" s="2" t="str">
        <f>IF(Source!$C430&gt;=COLUMNS($A430:J430), Source!$G430, "")</f>
        <v/>
      </c>
      <c r="K430" s="2" t="str">
        <f>IF(Source!$C430&gt;=COLUMNS($A430:K430), Source!$G430, "")</f>
        <v/>
      </c>
      <c r="L430" s="2" t="str">
        <f>IF(Source!$C430&gt;=COLUMNS($A430:L430), Source!$G430, "")</f>
        <v/>
      </c>
      <c r="M430" s="2" t="str">
        <f>IF(Source!$C430&gt;=COLUMNS($A430:M430), Source!$G430, "")</f>
        <v/>
      </c>
      <c r="N430" s="2" t="str">
        <f>IF(Source!$C430&gt;=COLUMNS($A430:N430), Source!$G430, "")</f>
        <v/>
      </c>
      <c r="O430" s="2" t="str">
        <f>IF(Source!$C430&gt;=COLUMNS($A430:O430), Source!$G430, "")</f>
        <v/>
      </c>
      <c r="P430" s="2" t="str">
        <f>IF(Source!$C430&gt;=COLUMNS($A430:P430), Source!$G430, "")</f>
        <v/>
      </c>
      <c r="Q430" s="2" t="str">
        <f>IF(Source!$C430&gt;=COLUMNS($A430:Q430), Source!$G430, "")</f>
        <v/>
      </c>
      <c r="R430" s="2" t="str">
        <f>IF(Source!$C430&gt;=COLUMNS($A430:R430), Source!$G430, "")</f>
        <v/>
      </c>
      <c r="S430" s="2" t="str">
        <f>IF(Source!$C430&gt;=COLUMNS($A430:S430), Source!$G430, "")</f>
        <v/>
      </c>
      <c r="T430" s="2" t="str">
        <f>IF(Source!$C430&gt;=COLUMNS($A430:T430), Source!$G430, "")</f>
        <v/>
      </c>
      <c r="U430" s="2" t="str">
        <f>IF(Source!$C430&gt;=COLUMNS($A430:U430), Source!$G430, "")</f>
        <v/>
      </c>
      <c r="V430" s="2" t="str">
        <f>IF(Source!$C430&gt;=COLUMNS($A430:V430), Source!$G430, "")</f>
        <v/>
      </c>
      <c r="W430" s="2" t="str">
        <f>IF(Source!$C430&gt;=COLUMNS($A430:W430), Source!$G430, "")</f>
        <v/>
      </c>
      <c r="X430" s="2" t="str">
        <f>IF(Source!$C430&gt;=COLUMNS($A430:X430), Source!$G430, "")</f>
        <v/>
      </c>
      <c r="Y430" s="2" t="str">
        <f>IF(Source!$C430&gt;=COLUMNS($A430:Y430), Source!$G430, "")</f>
        <v/>
      </c>
      <c r="Z430" s="2" t="str">
        <f>IF(Source!$C430&gt;=COLUMNS($A430:Z430), Source!$G430, "")</f>
        <v/>
      </c>
      <c r="AA430" s="2" t="str">
        <f>IF(Source!$C430&gt;=COLUMNS($A430:AA430), Source!$G430, "")</f>
        <v/>
      </c>
      <c r="AB430" s="2" t="str">
        <f>IF(Source!$C430&gt;=COLUMNS($A430:AB430), Source!$G430, "")</f>
        <v/>
      </c>
      <c r="AC430" s="2" t="str">
        <f>IF(Source!$C430&gt;=COLUMNS($A430:AC430), Source!$G430, "")</f>
        <v/>
      </c>
      <c r="AD430" s="2" t="str">
        <f>IF(Source!$C430&gt;=COLUMNS($A430:AD430), Source!$G430, "")</f>
        <v/>
      </c>
      <c r="AE430" s="2" t="str">
        <f>IF(Source!$C430&gt;=COLUMNS($A430:AE430), Source!$G430, "")</f>
        <v/>
      </c>
      <c r="AF430" s="2" t="str">
        <f>IF(Source!$C430&gt;=COLUMNS($A430:AF430), Source!$G430, "")</f>
        <v/>
      </c>
      <c r="AG430" s="2" t="str">
        <f>IF(Source!$C430&gt;=COLUMNS($A430:AG430), Source!$G430, "")</f>
        <v/>
      </c>
      <c r="AH430" s="2" t="str">
        <f>IF(Source!$C430&gt;=COLUMNS($A430:AH430), Source!$G430, "")</f>
        <v/>
      </c>
      <c r="AI430" s="2" t="str">
        <f>IF(Source!$C430&gt;=COLUMNS($A430:AI430), Source!$G430, "")</f>
        <v/>
      </c>
      <c r="AJ430" s="2" t="str">
        <f>IF(Source!$C430&gt;=COLUMNS($A430:AJ430), Source!$G430, "")</f>
        <v/>
      </c>
      <c r="AK430" s="2" t="str">
        <f>IF(Source!$C430&gt;=COLUMNS($A430:AK430), Source!$G430, "")</f>
        <v/>
      </c>
      <c r="AL430" s="2" t="str">
        <f>IF(Source!$C430&gt;=COLUMNS($A430:AL430), Source!$G430, "")</f>
        <v/>
      </c>
      <c r="AM430" s="2" t="str">
        <f>IF(Source!$C430&gt;=COLUMNS($A430:AM430), Source!$G430, "")</f>
        <v/>
      </c>
      <c r="AN430" s="2" t="str">
        <f>IF(Source!$C430&gt;=COLUMNS($A430:AN430), Source!$G430, "")</f>
        <v/>
      </c>
      <c r="AO430" s="2" t="str">
        <f>IF(Source!$C430&gt;=COLUMNS($A430:AO430), Source!$G430, "")</f>
        <v/>
      </c>
      <c r="AP430" s="2" t="str">
        <f>IF(Source!$C430&gt;=COLUMNS($A430:AP430), Source!$G430, "")</f>
        <v/>
      </c>
      <c r="AQ430" s="2" t="str">
        <f>IF(Source!$C430&gt;=COLUMNS($A430:AQ430), Source!$G430, "")</f>
        <v/>
      </c>
      <c r="AR430" s="2" t="str">
        <f>IF(Source!$C430&gt;=COLUMNS($A430:AR430), Source!$G430, "")</f>
        <v/>
      </c>
    </row>
    <row r="431">
      <c r="A431" s="2">
        <f>IF(Source!$C431&gt;=COLUMNS($A431:A431), Source!$G431, "")</f>
        <v>6</v>
      </c>
      <c r="B431" s="2">
        <f>IF(Source!$C431&gt;=COLUMNS($A431:B431), Source!$G431, "")</f>
        <v>6</v>
      </c>
      <c r="C431" s="2">
        <f>IF(Source!$C431&gt;=COLUMNS($A431:C431), Source!$G431, "")</f>
        <v>6</v>
      </c>
      <c r="D431" s="2">
        <f>IF(Source!$C431&gt;=COLUMNS($A431:D431), Source!$G431, "")</f>
        <v>6</v>
      </c>
      <c r="E431" s="2">
        <f>IF(Source!$C431&gt;=COLUMNS($A431:E431), Source!$G431, "")</f>
        <v>6</v>
      </c>
      <c r="F431" s="2">
        <f>IF(Source!$C431&gt;=COLUMNS($A431:F431), Source!$G431, "")</f>
        <v>6</v>
      </c>
      <c r="G431" s="2">
        <f>IF(Source!$C431&gt;=COLUMNS($A431:G431), Source!$G431, "")</f>
        <v>6</v>
      </c>
      <c r="H431" s="2" t="str">
        <f>IF(Source!$C431&gt;=COLUMNS($A431:H431), Source!$G431, "")</f>
        <v/>
      </c>
      <c r="I431" s="2" t="str">
        <f>IF(Source!$C431&gt;=COLUMNS($A431:I431), Source!$G431, "")</f>
        <v/>
      </c>
      <c r="J431" s="2" t="str">
        <f>IF(Source!$C431&gt;=COLUMNS($A431:J431), Source!$G431, "")</f>
        <v/>
      </c>
      <c r="K431" s="2" t="str">
        <f>IF(Source!$C431&gt;=COLUMNS($A431:K431), Source!$G431, "")</f>
        <v/>
      </c>
      <c r="L431" s="2" t="str">
        <f>IF(Source!$C431&gt;=COLUMNS($A431:L431), Source!$G431, "")</f>
        <v/>
      </c>
      <c r="M431" s="2" t="str">
        <f>IF(Source!$C431&gt;=COLUMNS($A431:M431), Source!$G431, "")</f>
        <v/>
      </c>
      <c r="N431" s="2" t="str">
        <f>IF(Source!$C431&gt;=COLUMNS($A431:N431), Source!$G431, "")</f>
        <v/>
      </c>
      <c r="O431" s="2" t="str">
        <f>IF(Source!$C431&gt;=COLUMNS($A431:O431), Source!$G431, "")</f>
        <v/>
      </c>
      <c r="P431" s="2" t="str">
        <f>IF(Source!$C431&gt;=COLUMNS($A431:P431), Source!$G431, "")</f>
        <v/>
      </c>
      <c r="Q431" s="2" t="str">
        <f>IF(Source!$C431&gt;=COLUMNS($A431:Q431), Source!$G431, "")</f>
        <v/>
      </c>
      <c r="R431" s="2" t="str">
        <f>IF(Source!$C431&gt;=COLUMNS($A431:R431), Source!$G431, "")</f>
        <v/>
      </c>
      <c r="S431" s="2" t="str">
        <f>IF(Source!$C431&gt;=COLUMNS($A431:S431), Source!$G431, "")</f>
        <v/>
      </c>
      <c r="T431" s="2" t="str">
        <f>IF(Source!$C431&gt;=COLUMNS($A431:T431), Source!$G431, "")</f>
        <v/>
      </c>
      <c r="U431" s="2" t="str">
        <f>IF(Source!$C431&gt;=COLUMNS($A431:U431), Source!$G431, "")</f>
        <v/>
      </c>
      <c r="V431" s="2" t="str">
        <f>IF(Source!$C431&gt;=COLUMNS($A431:V431), Source!$G431, "")</f>
        <v/>
      </c>
      <c r="W431" s="2" t="str">
        <f>IF(Source!$C431&gt;=COLUMNS($A431:W431), Source!$G431, "")</f>
        <v/>
      </c>
      <c r="X431" s="2" t="str">
        <f>IF(Source!$C431&gt;=COLUMNS($A431:X431), Source!$G431, "")</f>
        <v/>
      </c>
      <c r="Y431" s="2" t="str">
        <f>IF(Source!$C431&gt;=COLUMNS($A431:Y431), Source!$G431, "")</f>
        <v/>
      </c>
      <c r="Z431" s="2" t="str">
        <f>IF(Source!$C431&gt;=COLUMNS($A431:Z431), Source!$G431, "")</f>
        <v/>
      </c>
      <c r="AA431" s="2" t="str">
        <f>IF(Source!$C431&gt;=COLUMNS($A431:AA431), Source!$G431, "")</f>
        <v/>
      </c>
      <c r="AB431" s="2" t="str">
        <f>IF(Source!$C431&gt;=COLUMNS($A431:AB431), Source!$G431, "")</f>
        <v/>
      </c>
      <c r="AC431" s="2" t="str">
        <f>IF(Source!$C431&gt;=COLUMNS($A431:AC431), Source!$G431, "")</f>
        <v/>
      </c>
      <c r="AD431" s="2" t="str">
        <f>IF(Source!$C431&gt;=COLUMNS($A431:AD431), Source!$G431, "")</f>
        <v/>
      </c>
      <c r="AE431" s="2" t="str">
        <f>IF(Source!$C431&gt;=COLUMNS($A431:AE431), Source!$G431, "")</f>
        <v/>
      </c>
      <c r="AF431" s="2" t="str">
        <f>IF(Source!$C431&gt;=COLUMNS($A431:AF431), Source!$G431, "")</f>
        <v/>
      </c>
      <c r="AG431" s="2" t="str">
        <f>IF(Source!$C431&gt;=COLUMNS($A431:AG431), Source!$G431, "")</f>
        <v/>
      </c>
      <c r="AH431" s="2" t="str">
        <f>IF(Source!$C431&gt;=COLUMNS($A431:AH431), Source!$G431, "")</f>
        <v/>
      </c>
      <c r="AI431" s="2" t="str">
        <f>IF(Source!$C431&gt;=COLUMNS($A431:AI431), Source!$G431, "")</f>
        <v/>
      </c>
      <c r="AJ431" s="2" t="str">
        <f>IF(Source!$C431&gt;=COLUMNS($A431:AJ431), Source!$G431, "")</f>
        <v/>
      </c>
      <c r="AK431" s="2" t="str">
        <f>IF(Source!$C431&gt;=COLUMNS($A431:AK431), Source!$G431, "")</f>
        <v/>
      </c>
      <c r="AL431" s="2" t="str">
        <f>IF(Source!$C431&gt;=COLUMNS($A431:AL431), Source!$G431, "")</f>
        <v/>
      </c>
      <c r="AM431" s="2" t="str">
        <f>IF(Source!$C431&gt;=COLUMNS($A431:AM431), Source!$G431, "")</f>
        <v/>
      </c>
      <c r="AN431" s="2" t="str">
        <f>IF(Source!$C431&gt;=COLUMNS($A431:AN431), Source!$G431, "")</f>
        <v/>
      </c>
      <c r="AO431" s="2" t="str">
        <f>IF(Source!$C431&gt;=COLUMNS($A431:AO431), Source!$G431, "")</f>
        <v/>
      </c>
      <c r="AP431" s="2" t="str">
        <f>IF(Source!$C431&gt;=COLUMNS($A431:AP431), Source!$G431, "")</f>
        <v/>
      </c>
      <c r="AQ431" s="2" t="str">
        <f>IF(Source!$C431&gt;=COLUMNS($A431:AQ431), Source!$G431, "")</f>
        <v/>
      </c>
      <c r="AR431" s="2" t="str">
        <f>IF(Source!$C431&gt;=COLUMNS($A431:AR431), Source!$G431, "")</f>
        <v/>
      </c>
    </row>
    <row r="432">
      <c r="A432" s="2">
        <f>IF(Source!$C432&gt;=COLUMNS($A432:A432), Source!$G432, "")</f>
        <v>4</v>
      </c>
      <c r="B432" s="2" t="str">
        <f>IF(Source!$C432&gt;=COLUMNS($A432:B432), Source!$G432, "")</f>
        <v/>
      </c>
      <c r="C432" s="2" t="str">
        <f>IF(Source!$C432&gt;=COLUMNS($A432:C432), Source!$G432, "")</f>
        <v/>
      </c>
      <c r="D432" s="2" t="str">
        <f>IF(Source!$C432&gt;=COLUMNS($A432:D432), Source!$G432, "")</f>
        <v/>
      </c>
      <c r="E432" s="2" t="str">
        <f>IF(Source!$C432&gt;=COLUMNS($A432:E432), Source!$G432, "")</f>
        <v/>
      </c>
      <c r="F432" s="2" t="str">
        <f>IF(Source!$C432&gt;=COLUMNS($A432:F432), Source!$G432, "")</f>
        <v/>
      </c>
      <c r="G432" s="2" t="str">
        <f>IF(Source!$C432&gt;=COLUMNS($A432:G432), Source!$G432, "")</f>
        <v/>
      </c>
      <c r="H432" s="2" t="str">
        <f>IF(Source!$C432&gt;=COLUMNS($A432:H432), Source!$G432, "")</f>
        <v/>
      </c>
      <c r="I432" s="2" t="str">
        <f>IF(Source!$C432&gt;=COLUMNS($A432:I432), Source!$G432, "")</f>
        <v/>
      </c>
      <c r="J432" s="2" t="str">
        <f>IF(Source!$C432&gt;=COLUMNS($A432:J432), Source!$G432, "")</f>
        <v/>
      </c>
      <c r="K432" s="2" t="str">
        <f>IF(Source!$C432&gt;=COLUMNS($A432:K432), Source!$G432, "")</f>
        <v/>
      </c>
      <c r="L432" s="2" t="str">
        <f>IF(Source!$C432&gt;=COLUMNS($A432:L432), Source!$G432, "")</f>
        <v/>
      </c>
      <c r="M432" s="2" t="str">
        <f>IF(Source!$C432&gt;=COLUMNS($A432:M432), Source!$G432, "")</f>
        <v/>
      </c>
      <c r="N432" s="2" t="str">
        <f>IF(Source!$C432&gt;=COLUMNS($A432:N432), Source!$G432, "")</f>
        <v/>
      </c>
      <c r="O432" s="2" t="str">
        <f>IF(Source!$C432&gt;=COLUMNS($A432:O432), Source!$G432, "")</f>
        <v/>
      </c>
      <c r="P432" s="2" t="str">
        <f>IF(Source!$C432&gt;=COLUMNS($A432:P432), Source!$G432, "")</f>
        <v/>
      </c>
      <c r="Q432" s="2" t="str">
        <f>IF(Source!$C432&gt;=COLUMNS($A432:Q432), Source!$G432, "")</f>
        <v/>
      </c>
      <c r="R432" s="2" t="str">
        <f>IF(Source!$C432&gt;=COLUMNS($A432:R432), Source!$G432, "")</f>
        <v/>
      </c>
      <c r="S432" s="2" t="str">
        <f>IF(Source!$C432&gt;=COLUMNS($A432:S432), Source!$G432, "")</f>
        <v/>
      </c>
      <c r="T432" s="2" t="str">
        <f>IF(Source!$C432&gt;=COLUMNS($A432:T432), Source!$G432, "")</f>
        <v/>
      </c>
      <c r="U432" s="2" t="str">
        <f>IF(Source!$C432&gt;=COLUMNS($A432:U432), Source!$G432, "")</f>
        <v/>
      </c>
      <c r="V432" s="2" t="str">
        <f>IF(Source!$C432&gt;=COLUMNS($A432:V432), Source!$G432, "")</f>
        <v/>
      </c>
      <c r="W432" s="2" t="str">
        <f>IF(Source!$C432&gt;=COLUMNS($A432:W432), Source!$G432, "")</f>
        <v/>
      </c>
      <c r="X432" s="2" t="str">
        <f>IF(Source!$C432&gt;=COLUMNS($A432:X432), Source!$G432, "")</f>
        <v/>
      </c>
      <c r="Y432" s="2" t="str">
        <f>IF(Source!$C432&gt;=COLUMNS($A432:Y432), Source!$G432, "")</f>
        <v/>
      </c>
      <c r="Z432" s="2" t="str">
        <f>IF(Source!$C432&gt;=COLUMNS($A432:Z432), Source!$G432, "")</f>
        <v/>
      </c>
      <c r="AA432" s="2" t="str">
        <f>IF(Source!$C432&gt;=COLUMNS($A432:AA432), Source!$G432, "")</f>
        <v/>
      </c>
      <c r="AB432" s="2" t="str">
        <f>IF(Source!$C432&gt;=COLUMNS($A432:AB432), Source!$G432, "")</f>
        <v/>
      </c>
      <c r="AC432" s="2" t="str">
        <f>IF(Source!$C432&gt;=COLUMNS($A432:AC432), Source!$G432, "")</f>
        <v/>
      </c>
      <c r="AD432" s="2" t="str">
        <f>IF(Source!$C432&gt;=COLUMNS($A432:AD432), Source!$G432, "")</f>
        <v/>
      </c>
      <c r="AE432" s="2" t="str">
        <f>IF(Source!$C432&gt;=COLUMNS($A432:AE432), Source!$G432, "")</f>
        <v/>
      </c>
      <c r="AF432" s="2" t="str">
        <f>IF(Source!$C432&gt;=COLUMNS($A432:AF432), Source!$G432, "")</f>
        <v/>
      </c>
      <c r="AG432" s="2" t="str">
        <f>IF(Source!$C432&gt;=COLUMNS($A432:AG432), Source!$G432, "")</f>
        <v/>
      </c>
      <c r="AH432" s="2" t="str">
        <f>IF(Source!$C432&gt;=COLUMNS($A432:AH432), Source!$G432, "")</f>
        <v/>
      </c>
      <c r="AI432" s="2" t="str">
        <f>IF(Source!$C432&gt;=COLUMNS($A432:AI432), Source!$G432, "")</f>
        <v/>
      </c>
      <c r="AJ432" s="2" t="str">
        <f>IF(Source!$C432&gt;=COLUMNS($A432:AJ432), Source!$G432, "")</f>
        <v/>
      </c>
      <c r="AK432" s="2" t="str">
        <f>IF(Source!$C432&gt;=COLUMNS($A432:AK432), Source!$G432, "")</f>
        <v/>
      </c>
      <c r="AL432" s="2" t="str">
        <f>IF(Source!$C432&gt;=COLUMNS($A432:AL432), Source!$G432, "")</f>
        <v/>
      </c>
      <c r="AM432" s="2" t="str">
        <f>IF(Source!$C432&gt;=COLUMNS($A432:AM432), Source!$G432, "")</f>
        <v/>
      </c>
      <c r="AN432" s="2" t="str">
        <f>IF(Source!$C432&gt;=COLUMNS($A432:AN432), Source!$G432, "")</f>
        <v/>
      </c>
      <c r="AO432" s="2" t="str">
        <f>IF(Source!$C432&gt;=COLUMNS($A432:AO432), Source!$G432, "")</f>
        <v/>
      </c>
      <c r="AP432" s="2" t="str">
        <f>IF(Source!$C432&gt;=COLUMNS($A432:AP432), Source!$G432, "")</f>
        <v/>
      </c>
      <c r="AQ432" s="2" t="str">
        <f>IF(Source!$C432&gt;=COLUMNS($A432:AQ432), Source!$G432, "")</f>
        <v/>
      </c>
      <c r="AR432" s="2" t="str">
        <f>IF(Source!$C432&gt;=COLUMNS($A432:AR432), Source!$G432, "")</f>
        <v/>
      </c>
    </row>
    <row r="433">
      <c r="A433" s="2">
        <f>IF(Source!$C433&gt;=COLUMNS($A433:A433), Source!$G433, "")</f>
        <v>7</v>
      </c>
      <c r="B433" s="2">
        <f>IF(Source!$C433&gt;=COLUMNS($A433:B433), Source!$G433, "")</f>
        <v>7</v>
      </c>
      <c r="C433" s="2">
        <f>IF(Source!$C433&gt;=COLUMNS($A433:C433), Source!$G433, "")</f>
        <v>7</v>
      </c>
      <c r="D433" s="2">
        <f>IF(Source!$C433&gt;=COLUMNS($A433:D433), Source!$G433, "")</f>
        <v>7</v>
      </c>
      <c r="E433" s="2">
        <f>IF(Source!$C433&gt;=COLUMNS($A433:E433), Source!$G433, "")</f>
        <v>7</v>
      </c>
      <c r="F433" s="2">
        <f>IF(Source!$C433&gt;=COLUMNS($A433:F433), Source!$G433, "")</f>
        <v>7</v>
      </c>
      <c r="G433" s="2">
        <f>IF(Source!$C433&gt;=COLUMNS($A433:G433), Source!$G433, "")</f>
        <v>7</v>
      </c>
      <c r="H433" s="2">
        <f>IF(Source!$C433&gt;=COLUMNS($A433:H433), Source!$G433, "")</f>
        <v>7</v>
      </c>
      <c r="I433" s="2">
        <f>IF(Source!$C433&gt;=COLUMNS($A433:I433), Source!$G433, "")</f>
        <v>7</v>
      </c>
      <c r="J433" s="2">
        <f>IF(Source!$C433&gt;=COLUMNS($A433:J433), Source!$G433, "")</f>
        <v>7</v>
      </c>
      <c r="K433" s="2">
        <f>IF(Source!$C433&gt;=COLUMNS($A433:K433), Source!$G433, "")</f>
        <v>7</v>
      </c>
      <c r="L433" s="2" t="str">
        <f>IF(Source!$C433&gt;=COLUMNS($A433:L433), Source!$G433, "")</f>
        <v/>
      </c>
      <c r="M433" s="2" t="str">
        <f>IF(Source!$C433&gt;=COLUMNS($A433:M433), Source!$G433, "")</f>
        <v/>
      </c>
      <c r="N433" s="2" t="str">
        <f>IF(Source!$C433&gt;=COLUMNS($A433:N433), Source!$G433, "")</f>
        <v/>
      </c>
      <c r="O433" s="2" t="str">
        <f>IF(Source!$C433&gt;=COLUMNS($A433:O433), Source!$G433, "")</f>
        <v/>
      </c>
      <c r="P433" s="2" t="str">
        <f>IF(Source!$C433&gt;=COLUMNS($A433:P433), Source!$G433, "")</f>
        <v/>
      </c>
      <c r="Q433" s="2" t="str">
        <f>IF(Source!$C433&gt;=COLUMNS($A433:Q433), Source!$G433, "")</f>
        <v/>
      </c>
      <c r="R433" s="2" t="str">
        <f>IF(Source!$C433&gt;=COLUMNS($A433:R433), Source!$G433, "")</f>
        <v/>
      </c>
      <c r="S433" s="2" t="str">
        <f>IF(Source!$C433&gt;=COLUMNS($A433:S433), Source!$G433, "")</f>
        <v/>
      </c>
      <c r="T433" s="2" t="str">
        <f>IF(Source!$C433&gt;=COLUMNS($A433:T433), Source!$G433, "")</f>
        <v/>
      </c>
      <c r="U433" s="2" t="str">
        <f>IF(Source!$C433&gt;=COLUMNS($A433:U433), Source!$G433, "")</f>
        <v/>
      </c>
      <c r="V433" s="2" t="str">
        <f>IF(Source!$C433&gt;=COLUMNS($A433:V433), Source!$G433, "")</f>
        <v/>
      </c>
      <c r="W433" s="2" t="str">
        <f>IF(Source!$C433&gt;=COLUMNS($A433:W433), Source!$G433, "")</f>
        <v/>
      </c>
      <c r="X433" s="2" t="str">
        <f>IF(Source!$C433&gt;=COLUMNS($A433:X433), Source!$G433, "")</f>
        <v/>
      </c>
      <c r="Y433" s="2" t="str">
        <f>IF(Source!$C433&gt;=COLUMNS($A433:Y433), Source!$G433, "")</f>
        <v/>
      </c>
      <c r="Z433" s="2" t="str">
        <f>IF(Source!$C433&gt;=COLUMNS($A433:Z433), Source!$G433, "")</f>
        <v/>
      </c>
      <c r="AA433" s="2" t="str">
        <f>IF(Source!$C433&gt;=COLUMNS($A433:AA433), Source!$G433, "")</f>
        <v/>
      </c>
      <c r="AB433" s="2" t="str">
        <f>IF(Source!$C433&gt;=COLUMNS($A433:AB433), Source!$G433, "")</f>
        <v/>
      </c>
      <c r="AC433" s="2" t="str">
        <f>IF(Source!$C433&gt;=COLUMNS($A433:AC433), Source!$G433, "")</f>
        <v/>
      </c>
      <c r="AD433" s="2" t="str">
        <f>IF(Source!$C433&gt;=COLUMNS($A433:AD433), Source!$G433, "")</f>
        <v/>
      </c>
      <c r="AE433" s="2" t="str">
        <f>IF(Source!$C433&gt;=COLUMNS($A433:AE433), Source!$G433, "")</f>
        <v/>
      </c>
      <c r="AF433" s="2" t="str">
        <f>IF(Source!$C433&gt;=COLUMNS($A433:AF433), Source!$G433, "")</f>
        <v/>
      </c>
      <c r="AG433" s="2" t="str">
        <f>IF(Source!$C433&gt;=COLUMNS($A433:AG433), Source!$G433, "")</f>
        <v/>
      </c>
      <c r="AH433" s="2" t="str">
        <f>IF(Source!$C433&gt;=COLUMNS($A433:AH433), Source!$G433, "")</f>
        <v/>
      </c>
      <c r="AI433" s="2" t="str">
        <f>IF(Source!$C433&gt;=COLUMNS($A433:AI433), Source!$G433, "")</f>
        <v/>
      </c>
      <c r="AJ433" s="2" t="str">
        <f>IF(Source!$C433&gt;=COLUMNS($A433:AJ433), Source!$G433, "")</f>
        <v/>
      </c>
      <c r="AK433" s="2" t="str">
        <f>IF(Source!$C433&gt;=COLUMNS($A433:AK433), Source!$G433, "")</f>
        <v/>
      </c>
      <c r="AL433" s="2" t="str">
        <f>IF(Source!$C433&gt;=COLUMNS($A433:AL433), Source!$G433, "")</f>
        <v/>
      </c>
      <c r="AM433" s="2" t="str">
        <f>IF(Source!$C433&gt;=COLUMNS($A433:AM433), Source!$G433, "")</f>
        <v/>
      </c>
      <c r="AN433" s="2" t="str">
        <f>IF(Source!$C433&gt;=COLUMNS($A433:AN433), Source!$G433, "")</f>
        <v/>
      </c>
      <c r="AO433" s="2" t="str">
        <f>IF(Source!$C433&gt;=COLUMNS($A433:AO433), Source!$G433, "")</f>
        <v/>
      </c>
      <c r="AP433" s="2" t="str">
        <f>IF(Source!$C433&gt;=COLUMNS($A433:AP433), Source!$G433, "")</f>
        <v/>
      </c>
      <c r="AQ433" s="2" t="str">
        <f>IF(Source!$C433&gt;=COLUMNS($A433:AQ433), Source!$G433, "")</f>
        <v/>
      </c>
      <c r="AR433" s="2" t="str">
        <f>IF(Source!$C433&gt;=COLUMNS($A433:AR433), Source!$G433, "")</f>
        <v/>
      </c>
    </row>
    <row r="434">
      <c r="A434" s="2">
        <f>IF(Source!$C434&gt;=COLUMNS($A434:A434), Source!$G434, "")</f>
        <v>3</v>
      </c>
      <c r="B434" s="2">
        <f>IF(Source!$C434&gt;=COLUMNS($A434:B434), Source!$G434, "")</f>
        <v>3</v>
      </c>
      <c r="C434" s="2">
        <f>IF(Source!$C434&gt;=COLUMNS($A434:C434), Source!$G434, "")</f>
        <v>3</v>
      </c>
      <c r="D434" s="2" t="str">
        <f>IF(Source!$C434&gt;=COLUMNS($A434:D434), Source!$G434, "")</f>
        <v/>
      </c>
      <c r="E434" s="2" t="str">
        <f>IF(Source!$C434&gt;=COLUMNS($A434:E434), Source!$G434, "")</f>
        <v/>
      </c>
      <c r="F434" s="2" t="str">
        <f>IF(Source!$C434&gt;=COLUMNS($A434:F434), Source!$G434, "")</f>
        <v/>
      </c>
      <c r="G434" s="2" t="str">
        <f>IF(Source!$C434&gt;=COLUMNS($A434:G434), Source!$G434, "")</f>
        <v/>
      </c>
      <c r="H434" s="2" t="str">
        <f>IF(Source!$C434&gt;=COLUMNS($A434:H434), Source!$G434, "")</f>
        <v/>
      </c>
      <c r="I434" s="2" t="str">
        <f>IF(Source!$C434&gt;=COLUMNS($A434:I434), Source!$G434, "")</f>
        <v/>
      </c>
      <c r="J434" s="2" t="str">
        <f>IF(Source!$C434&gt;=COLUMNS($A434:J434), Source!$G434, "")</f>
        <v/>
      </c>
      <c r="K434" s="2" t="str">
        <f>IF(Source!$C434&gt;=COLUMNS($A434:K434), Source!$G434, "")</f>
        <v/>
      </c>
      <c r="L434" s="2" t="str">
        <f>IF(Source!$C434&gt;=COLUMNS($A434:L434), Source!$G434, "")</f>
        <v/>
      </c>
      <c r="M434" s="2" t="str">
        <f>IF(Source!$C434&gt;=COLUMNS($A434:M434), Source!$G434, "")</f>
        <v/>
      </c>
      <c r="N434" s="2" t="str">
        <f>IF(Source!$C434&gt;=COLUMNS($A434:N434), Source!$G434, "")</f>
        <v/>
      </c>
      <c r="O434" s="2" t="str">
        <f>IF(Source!$C434&gt;=COLUMNS($A434:O434), Source!$G434, "")</f>
        <v/>
      </c>
      <c r="P434" s="2" t="str">
        <f>IF(Source!$C434&gt;=COLUMNS($A434:P434), Source!$G434, "")</f>
        <v/>
      </c>
      <c r="Q434" s="2" t="str">
        <f>IF(Source!$C434&gt;=COLUMNS($A434:Q434), Source!$G434, "")</f>
        <v/>
      </c>
      <c r="R434" s="2" t="str">
        <f>IF(Source!$C434&gt;=COLUMNS($A434:R434), Source!$G434, "")</f>
        <v/>
      </c>
      <c r="S434" s="2" t="str">
        <f>IF(Source!$C434&gt;=COLUMNS($A434:S434), Source!$G434, "")</f>
        <v/>
      </c>
      <c r="T434" s="2" t="str">
        <f>IF(Source!$C434&gt;=COLUMNS($A434:T434), Source!$G434, "")</f>
        <v/>
      </c>
      <c r="U434" s="2" t="str">
        <f>IF(Source!$C434&gt;=COLUMNS($A434:U434), Source!$G434, "")</f>
        <v/>
      </c>
      <c r="V434" s="2" t="str">
        <f>IF(Source!$C434&gt;=COLUMNS($A434:V434), Source!$G434, "")</f>
        <v/>
      </c>
      <c r="W434" s="2" t="str">
        <f>IF(Source!$C434&gt;=COLUMNS($A434:W434), Source!$G434, "")</f>
        <v/>
      </c>
      <c r="X434" s="2" t="str">
        <f>IF(Source!$C434&gt;=COLUMNS($A434:X434), Source!$G434, "")</f>
        <v/>
      </c>
      <c r="Y434" s="2" t="str">
        <f>IF(Source!$C434&gt;=COLUMNS($A434:Y434), Source!$G434, "")</f>
        <v/>
      </c>
      <c r="Z434" s="2" t="str">
        <f>IF(Source!$C434&gt;=COLUMNS($A434:Z434), Source!$G434, "")</f>
        <v/>
      </c>
      <c r="AA434" s="2" t="str">
        <f>IF(Source!$C434&gt;=COLUMNS($A434:AA434), Source!$G434, "")</f>
        <v/>
      </c>
      <c r="AB434" s="2" t="str">
        <f>IF(Source!$C434&gt;=COLUMNS($A434:AB434), Source!$G434, "")</f>
        <v/>
      </c>
      <c r="AC434" s="2" t="str">
        <f>IF(Source!$C434&gt;=COLUMNS($A434:AC434), Source!$G434, "")</f>
        <v/>
      </c>
      <c r="AD434" s="2" t="str">
        <f>IF(Source!$C434&gt;=COLUMNS($A434:AD434), Source!$G434, "")</f>
        <v/>
      </c>
      <c r="AE434" s="2" t="str">
        <f>IF(Source!$C434&gt;=COLUMNS($A434:AE434), Source!$G434, "")</f>
        <v/>
      </c>
      <c r="AF434" s="2" t="str">
        <f>IF(Source!$C434&gt;=COLUMNS($A434:AF434), Source!$G434, "")</f>
        <v/>
      </c>
      <c r="AG434" s="2" t="str">
        <f>IF(Source!$C434&gt;=COLUMNS($A434:AG434), Source!$G434, "")</f>
        <v/>
      </c>
      <c r="AH434" s="2" t="str">
        <f>IF(Source!$C434&gt;=COLUMNS($A434:AH434), Source!$G434, "")</f>
        <v/>
      </c>
      <c r="AI434" s="2" t="str">
        <f>IF(Source!$C434&gt;=COLUMNS($A434:AI434), Source!$G434, "")</f>
        <v/>
      </c>
      <c r="AJ434" s="2" t="str">
        <f>IF(Source!$C434&gt;=COLUMNS($A434:AJ434), Source!$G434, "")</f>
        <v/>
      </c>
      <c r="AK434" s="2" t="str">
        <f>IF(Source!$C434&gt;=COLUMNS($A434:AK434), Source!$G434, "")</f>
        <v/>
      </c>
      <c r="AL434" s="2" t="str">
        <f>IF(Source!$C434&gt;=COLUMNS($A434:AL434), Source!$G434, "")</f>
        <v/>
      </c>
      <c r="AM434" s="2" t="str">
        <f>IF(Source!$C434&gt;=COLUMNS($A434:AM434), Source!$G434, "")</f>
        <v/>
      </c>
      <c r="AN434" s="2" t="str">
        <f>IF(Source!$C434&gt;=COLUMNS($A434:AN434), Source!$G434, "")</f>
        <v/>
      </c>
      <c r="AO434" s="2" t="str">
        <f>IF(Source!$C434&gt;=COLUMNS($A434:AO434), Source!$G434, "")</f>
        <v/>
      </c>
      <c r="AP434" s="2" t="str">
        <f>IF(Source!$C434&gt;=COLUMNS($A434:AP434), Source!$G434, "")</f>
        <v/>
      </c>
      <c r="AQ434" s="2" t="str">
        <f>IF(Source!$C434&gt;=COLUMNS($A434:AQ434), Source!$G434, "")</f>
        <v/>
      </c>
      <c r="AR434" s="2" t="str">
        <f>IF(Source!$C434&gt;=COLUMNS($A434:AR434), Source!$G434, "")</f>
        <v/>
      </c>
    </row>
    <row r="435">
      <c r="A435" s="2">
        <f>IF(Source!$C435&gt;=COLUMNS($A435:A435), Source!$G435, "")</f>
        <v>5</v>
      </c>
      <c r="B435" s="2">
        <f>IF(Source!$C435&gt;=COLUMNS($A435:B435), Source!$G435, "")</f>
        <v>5</v>
      </c>
      <c r="C435" s="2">
        <f>IF(Source!$C435&gt;=COLUMNS($A435:C435), Source!$G435, "")</f>
        <v>5</v>
      </c>
      <c r="D435" s="2">
        <f>IF(Source!$C435&gt;=COLUMNS($A435:D435), Source!$G435, "")</f>
        <v>5</v>
      </c>
      <c r="E435" s="2">
        <f>IF(Source!$C435&gt;=COLUMNS($A435:E435), Source!$G435, "")</f>
        <v>5</v>
      </c>
      <c r="F435" s="2">
        <f>IF(Source!$C435&gt;=COLUMNS($A435:F435), Source!$G435, "")</f>
        <v>5</v>
      </c>
      <c r="G435" s="2">
        <f>IF(Source!$C435&gt;=COLUMNS($A435:G435), Source!$G435, "")</f>
        <v>5</v>
      </c>
      <c r="H435" s="2">
        <f>IF(Source!$C435&gt;=COLUMNS($A435:H435), Source!$G435, "")</f>
        <v>5</v>
      </c>
      <c r="I435" s="2">
        <f>IF(Source!$C435&gt;=COLUMNS($A435:I435), Source!$G435, "")</f>
        <v>5</v>
      </c>
      <c r="J435" s="2">
        <f>IF(Source!$C435&gt;=COLUMNS($A435:J435), Source!$G435, "")</f>
        <v>5</v>
      </c>
      <c r="K435" s="2">
        <f>IF(Source!$C435&gt;=COLUMNS($A435:K435), Source!$G435, "")</f>
        <v>5</v>
      </c>
      <c r="L435" s="2">
        <f>IF(Source!$C435&gt;=COLUMNS($A435:L435), Source!$G435, "")</f>
        <v>5</v>
      </c>
      <c r="M435" s="2">
        <f>IF(Source!$C435&gt;=COLUMNS($A435:M435), Source!$G435, "")</f>
        <v>5</v>
      </c>
      <c r="N435" s="2">
        <f>IF(Source!$C435&gt;=COLUMNS($A435:N435), Source!$G435, "")</f>
        <v>5</v>
      </c>
      <c r="O435" s="2" t="str">
        <f>IF(Source!$C435&gt;=COLUMNS($A435:O435), Source!$G435, "")</f>
        <v/>
      </c>
      <c r="P435" s="2" t="str">
        <f>IF(Source!$C435&gt;=COLUMNS($A435:P435), Source!$G435, "")</f>
        <v/>
      </c>
      <c r="Q435" s="2" t="str">
        <f>IF(Source!$C435&gt;=COLUMNS($A435:Q435), Source!$G435, "")</f>
        <v/>
      </c>
      <c r="R435" s="2" t="str">
        <f>IF(Source!$C435&gt;=COLUMNS($A435:R435), Source!$G435, "")</f>
        <v/>
      </c>
      <c r="S435" s="2" t="str">
        <f>IF(Source!$C435&gt;=COLUMNS($A435:S435), Source!$G435, "")</f>
        <v/>
      </c>
      <c r="T435" s="2" t="str">
        <f>IF(Source!$C435&gt;=COLUMNS($A435:T435), Source!$G435, "")</f>
        <v/>
      </c>
      <c r="U435" s="2" t="str">
        <f>IF(Source!$C435&gt;=COLUMNS($A435:U435), Source!$G435, "")</f>
        <v/>
      </c>
      <c r="V435" s="2" t="str">
        <f>IF(Source!$C435&gt;=COLUMNS($A435:V435), Source!$G435, "")</f>
        <v/>
      </c>
      <c r="W435" s="2" t="str">
        <f>IF(Source!$C435&gt;=COLUMNS($A435:W435), Source!$G435, "")</f>
        <v/>
      </c>
      <c r="X435" s="2" t="str">
        <f>IF(Source!$C435&gt;=COLUMNS($A435:X435), Source!$G435, "")</f>
        <v/>
      </c>
      <c r="Y435" s="2" t="str">
        <f>IF(Source!$C435&gt;=COLUMNS($A435:Y435), Source!$G435, "")</f>
        <v/>
      </c>
      <c r="Z435" s="2" t="str">
        <f>IF(Source!$C435&gt;=COLUMNS($A435:Z435), Source!$G435, "")</f>
        <v/>
      </c>
      <c r="AA435" s="2" t="str">
        <f>IF(Source!$C435&gt;=COLUMNS($A435:AA435), Source!$G435, "")</f>
        <v/>
      </c>
      <c r="AB435" s="2" t="str">
        <f>IF(Source!$C435&gt;=COLUMNS($A435:AB435), Source!$G435, "")</f>
        <v/>
      </c>
      <c r="AC435" s="2" t="str">
        <f>IF(Source!$C435&gt;=COLUMNS($A435:AC435), Source!$G435, "")</f>
        <v/>
      </c>
      <c r="AD435" s="2" t="str">
        <f>IF(Source!$C435&gt;=COLUMNS($A435:AD435), Source!$G435, "")</f>
        <v/>
      </c>
      <c r="AE435" s="2" t="str">
        <f>IF(Source!$C435&gt;=COLUMNS($A435:AE435), Source!$G435, "")</f>
        <v/>
      </c>
      <c r="AF435" s="2" t="str">
        <f>IF(Source!$C435&gt;=COLUMNS($A435:AF435), Source!$G435, "")</f>
        <v/>
      </c>
      <c r="AG435" s="2" t="str">
        <f>IF(Source!$C435&gt;=COLUMNS($A435:AG435), Source!$G435, "")</f>
        <v/>
      </c>
      <c r="AH435" s="2" t="str">
        <f>IF(Source!$C435&gt;=COLUMNS($A435:AH435), Source!$G435, "")</f>
        <v/>
      </c>
      <c r="AI435" s="2" t="str">
        <f>IF(Source!$C435&gt;=COLUMNS($A435:AI435), Source!$G435, "")</f>
        <v/>
      </c>
      <c r="AJ435" s="2" t="str">
        <f>IF(Source!$C435&gt;=COLUMNS($A435:AJ435), Source!$G435, "")</f>
        <v/>
      </c>
      <c r="AK435" s="2" t="str">
        <f>IF(Source!$C435&gt;=COLUMNS($A435:AK435), Source!$G435, "")</f>
        <v/>
      </c>
      <c r="AL435" s="2" t="str">
        <f>IF(Source!$C435&gt;=COLUMNS($A435:AL435), Source!$G435, "")</f>
        <v/>
      </c>
      <c r="AM435" s="2" t="str">
        <f>IF(Source!$C435&gt;=COLUMNS($A435:AM435), Source!$G435, "")</f>
        <v/>
      </c>
      <c r="AN435" s="2" t="str">
        <f>IF(Source!$C435&gt;=COLUMNS($A435:AN435), Source!$G435, "")</f>
        <v/>
      </c>
      <c r="AO435" s="2" t="str">
        <f>IF(Source!$C435&gt;=COLUMNS($A435:AO435), Source!$G435, "")</f>
        <v/>
      </c>
      <c r="AP435" s="2" t="str">
        <f>IF(Source!$C435&gt;=COLUMNS($A435:AP435), Source!$G435, "")</f>
        <v/>
      </c>
      <c r="AQ435" s="2" t="str">
        <f>IF(Source!$C435&gt;=COLUMNS($A435:AQ435), Source!$G435, "")</f>
        <v/>
      </c>
      <c r="AR435" s="2" t="str">
        <f>IF(Source!$C435&gt;=COLUMNS($A435:AR435), Source!$G435, "")</f>
        <v/>
      </c>
    </row>
    <row r="436">
      <c r="A436" s="2">
        <f>IF(Source!$C436&gt;=COLUMNS($A436:A436), Source!$G436, "")</f>
        <v>5</v>
      </c>
      <c r="B436" s="2">
        <f>IF(Source!$C436&gt;=COLUMNS($A436:B436), Source!$G436, "")</f>
        <v>5</v>
      </c>
      <c r="C436" s="2">
        <f>IF(Source!$C436&gt;=COLUMNS($A436:C436), Source!$G436, "")</f>
        <v>5</v>
      </c>
      <c r="D436" s="2">
        <f>IF(Source!$C436&gt;=COLUMNS($A436:D436), Source!$G436, "")</f>
        <v>5</v>
      </c>
      <c r="E436" s="2">
        <f>IF(Source!$C436&gt;=COLUMNS($A436:E436), Source!$G436, "")</f>
        <v>5</v>
      </c>
      <c r="F436" s="2">
        <f>IF(Source!$C436&gt;=COLUMNS($A436:F436), Source!$G436, "")</f>
        <v>5</v>
      </c>
      <c r="G436" s="2" t="str">
        <f>IF(Source!$C436&gt;=COLUMNS($A436:G436), Source!$G436, "")</f>
        <v/>
      </c>
      <c r="H436" s="2" t="str">
        <f>IF(Source!$C436&gt;=COLUMNS($A436:H436), Source!$G436, "")</f>
        <v/>
      </c>
      <c r="I436" s="2" t="str">
        <f>IF(Source!$C436&gt;=COLUMNS($A436:I436), Source!$G436, "")</f>
        <v/>
      </c>
      <c r="J436" s="2" t="str">
        <f>IF(Source!$C436&gt;=COLUMNS($A436:J436), Source!$G436, "")</f>
        <v/>
      </c>
      <c r="K436" s="2" t="str">
        <f>IF(Source!$C436&gt;=COLUMNS($A436:K436), Source!$G436, "")</f>
        <v/>
      </c>
      <c r="L436" s="2" t="str">
        <f>IF(Source!$C436&gt;=COLUMNS($A436:L436), Source!$G436, "")</f>
        <v/>
      </c>
      <c r="M436" s="2" t="str">
        <f>IF(Source!$C436&gt;=COLUMNS($A436:M436), Source!$G436, "")</f>
        <v/>
      </c>
      <c r="N436" s="2" t="str">
        <f>IF(Source!$C436&gt;=COLUMNS($A436:N436), Source!$G436, "")</f>
        <v/>
      </c>
      <c r="O436" s="2" t="str">
        <f>IF(Source!$C436&gt;=COLUMNS($A436:O436), Source!$G436, "")</f>
        <v/>
      </c>
      <c r="P436" s="2" t="str">
        <f>IF(Source!$C436&gt;=COLUMNS($A436:P436), Source!$G436, "")</f>
        <v/>
      </c>
      <c r="Q436" s="2" t="str">
        <f>IF(Source!$C436&gt;=COLUMNS($A436:Q436), Source!$G436, "")</f>
        <v/>
      </c>
      <c r="R436" s="2" t="str">
        <f>IF(Source!$C436&gt;=COLUMNS($A436:R436), Source!$G436, "")</f>
        <v/>
      </c>
      <c r="S436" s="2" t="str">
        <f>IF(Source!$C436&gt;=COLUMNS($A436:S436), Source!$G436, "")</f>
        <v/>
      </c>
      <c r="T436" s="2" t="str">
        <f>IF(Source!$C436&gt;=COLUMNS($A436:T436), Source!$G436, "")</f>
        <v/>
      </c>
      <c r="U436" s="2" t="str">
        <f>IF(Source!$C436&gt;=COLUMNS($A436:U436), Source!$G436, "")</f>
        <v/>
      </c>
      <c r="V436" s="2" t="str">
        <f>IF(Source!$C436&gt;=COLUMNS($A436:V436), Source!$G436, "")</f>
        <v/>
      </c>
      <c r="W436" s="2" t="str">
        <f>IF(Source!$C436&gt;=COLUMNS($A436:W436), Source!$G436, "")</f>
        <v/>
      </c>
      <c r="X436" s="2" t="str">
        <f>IF(Source!$C436&gt;=COLUMNS($A436:X436), Source!$G436, "")</f>
        <v/>
      </c>
      <c r="Y436" s="2" t="str">
        <f>IF(Source!$C436&gt;=COLUMNS($A436:Y436), Source!$G436, "")</f>
        <v/>
      </c>
      <c r="Z436" s="2" t="str">
        <f>IF(Source!$C436&gt;=COLUMNS($A436:Z436), Source!$G436, "")</f>
        <v/>
      </c>
      <c r="AA436" s="2" t="str">
        <f>IF(Source!$C436&gt;=COLUMNS($A436:AA436), Source!$G436, "")</f>
        <v/>
      </c>
      <c r="AB436" s="2" t="str">
        <f>IF(Source!$C436&gt;=COLUMNS($A436:AB436), Source!$G436, "")</f>
        <v/>
      </c>
      <c r="AC436" s="2" t="str">
        <f>IF(Source!$C436&gt;=COLUMNS($A436:AC436), Source!$G436, "")</f>
        <v/>
      </c>
      <c r="AD436" s="2" t="str">
        <f>IF(Source!$C436&gt;=COLUMNS($A436:AD436), Source!$G436, "")</f>
        <v/>
      </c>
      <c r="AE436" s="2" t="str">
        <f>IF(Source!$C436&gt;=COLUMNS($A436:AE436), Source!$G436, "")</f>
        <v/>
      </c>
      <c r="AF436" s="2" t="str">
        <f>IF(Source!$C436&gt;=COLUMNS($A436:AF436), Source!$G436, "")</f>
        <v/>
      </c>
      <c r="AG436" s="2" t="str">
        <f>IF(Source!$C436&gt;=COLUMNS($A436:AG436), Source!$G436, "")</f>
        <v/>
      </c>
      <c r="AH436" s="2" t="str">
        <f>IF(Source!$C436&gt;=COLUMNS($A436:AH436), Source!$G436, "")</f>
        <v/>
      </c>
      <c r="AI436" s="2" t="str">
        <f>IF(Source!$C436&gt;=COLUMNS($A436:AI436), Source!$G436, "")</f>
        <v/>
      </c>
      <c r="AJ436" s="2" t="str">
        <f>IF(Source!$C436&gt;=COLUMNS($A436:AJ436), Source!$G436, "")</f>
        <v/>
      </c>
      <c r="AK436" s="2" t="str">
        <f>IF(Source!$C436&gt;=COLUMNS($A436:AK436), Source!$G436, "")</f>
        <v/>
      </c>
      <c r="AL436" s="2" t="str">
        <f>IF(Source!$C436&gt;=COLUMNS($A436:AL436), Source!$G436, "")</f>
        <v/>
      </c>
      <c r="AM436" s="2" t="str">
        <f>IF(Source!$C436&gt;=COLUMNS($A436:AM436), Source!$G436, "")</f>
        <v/>
      </c>
      <c r="AN436" s="2" t="str">
        <f>IF(Source!$C436&gt;=COLUMNS($A436:AN436), Source!$G436, "")</f>
        <v/>
      </c>
      <c r="AO436" s="2" t="str">
        <f>IF(Source!$C436&gt;=COLUMNS($A436:AO436), Source!$G436, "")</f>
        <v/>
      </c>
      <c r="AP436" s="2" t="str">
        <f>IF(Source!$C436&gt;=COLUMNS($A436:AP436), Source!$G436, "")</f>
        <v/>
      </c>
      <c r="AQ436" s="2" t="str">
        <f>IF(Source!$C436&gt;=COLUMNS($A436:AQ436), Source!$G436, "")</f>
        <v/>
      </c>
      <c r="AR436" s="2" t="str">
        <f>IF(Source!$C436&gt;=COLUMNS($A436:AR436), Source!$G436, "")</f>
        <v/>
      </c>
    </row>
    <row r="437">
      <c r="A437" s="2">
        <f>IF(Source!$C437&gt;=COLUMNS($A437:A437), Source!$G437, "")</f>
        <v>9</v>
      </c>
      <c r="B437" s="2">
        <f>IF(Source!$C437&gt;=COLUMNS($A437:B437), Source!$G437, "")</f>
        <v>9</v>
      </c>
      <c r="C437" s="2">
        <f>IF(Source!$C437&gt;=COLUMNS($A437:C437), Source!$G437, "")</f>
        <v>9</v>
      </c>
      <c r="D437" s="2">
        <f>IF(Source!$C437&gt;=COLUMNS($A437:D437), Source!$G437, "")</f>
        <v>9</v>
      </c>
      <c r="E437" s="2" t="str">
        <f>IF(Source!$C437&gt;=COLUMNS($A437:E437), Source!$G437, "")</f>
        <v/>
      </c>
      <c r="F437" s="2" t="str">
        <f>IF(Source!$C437&gt;=COLUMNS($A437:F437), Source!$G437, "")</f>
        <v/>
      </c>
      <c r="G437" s="2" t="str">
        <f>IF(Source!$C437&gt;=COLUMNS($A437:G437), Source!$G437, "")</f>
        <v/>
      </c>
      <c r="H437" s="2" t="str">
        <f>IF(Source!$C437&gt;=COLUMNS($A437:H437), Source!$G437, "")</f>
        <v/>
      </c>
      <c r="I437" s="2" t="str">
        <f>IF(Source!$C437&gt;=COLUMNS($A437:I437), Source!$G437, "")</f>
        <v/>
      </c>
      <c r="J437" s="2" t="str">
        <f>IF(Source!$C437&gt;=COLUMNS($A437:J437), Source!$G437, "")</f>
        <v/>
      </c>
      <c r="K437" s="2" t="str">
        <f>IF(Source!$C437&gt;=COLUMNS($A437:K437), Source!$G437, "")</f>
        <v/>
      </c>
      <c r="L437" s="2" t="str">
        <f>IF(Source!$C437&gt;=COLUMNS($A437:L437), Source!$G437, "")</f>
        <v/>
      </c>
      <c r="M437" s="2" t="str">
        <f>IF(Source!$C437&gt;=COLUMNS($A437:M437), Source!$G437, "")</f>
        <v/>
      </c>
      <c r="N437" s="2" t="str">
        <f>IF(Source!$C437&gt;=COLUMNS($A437:N437), Source!$G437, "")</f>
        <v/>
      </c>
      <c r="O437" s="2" t="str">
        <f>IF(Source!$C437&gt;=COLUMNS($A437:O437), Source!$G437, "")</f>
        <v/>
      </c>
      <c r="P437" s="2" t="str">
        <f>IF(Source!$C437&gt;=COLUMNS($A437:P437), Source!$G437, "")</f>
        <v/>
      </c>
      <c r="Q437" s="2" t="str">
        <f>IF(Source!$C437&gt;=COLUMNS($A437:Q437), Source!$G437, "")</f>
        <v/>
      </c>
      <c r="R437" s="2" t="str">
        <f>IF(Source!$C437&gt;=COLUMNS($A437:R437), Source!$G437, "")</f>
        <v/>
      </c>
      <c r="S437" s="2" t="str">
        <f>IF(Source!$C437&gt;=COLUMNS($A437:S437), Source!$G437, "")</f>
        <v/>
      </c>
      <c r="T437" s="2" t="str">
        <f>IF(Source!$C437&gt;=COLUMNS($A437:T437), Source!$G437, "")</f>
        <v/>
      </c>
      <c r="U437" s="2" t="str">
        <f>IF(Source!$C437&gt;=COLUMNS($A437:U437), Source!$G437, "")</f>
        <v/>
      </c>
      <c r="V437" s="2" t="str">
        <f>IF(Source!$C437&gt;=COLUMNS($A437:V437), Source!$G437, "")</f>
        <v/>
      </c>
      <c r="W437" s="2" t="str">
        <f>IF(Source!$C437&gt;=COLUMNS($A437:W437), Source!$G437, "")</f>
        <v/>
      </c>
      <c r="X437" s="2" t="str">
        <f>IF(Source!$C437&gt;=COLUMNS($A437:X437), Source!$G437, "")</f>
        <v/>
      </c>
      <c r="Y437" s="2" t="str">
        <f>IF(Source!$C437&gt;=COLUMNS($A437:Y437), Source!$G437, "")</f>
        <v/>
      </c>
      <c r="Z437" s="2" t="str">
        <f>IF(Source!$C437&gt;=COLUMNS($A437:Z437), Source!$G437, "")</f>
        <v/>
      </c>
      <c r="AA437" s="2" t="str">
        <f>IF(Source!$C437&gt;=COLUMNS($A437:AA437), Source!$G437, "")</f>
        <v/>
      </c>
      <c r="AB437" s="2" t="str">
        <f>IF(Source!$C437&gt;=COLUMNS($A437:AB437), Source!$G437, "")</f>
        <v/>
      </c>
      <c r="AC437" s="2" t="str">
        <f>IF(Source!$C437&gt;=COLUMNS($A437:AC437), Source!$G437, "")</f>
        <v/>
      </c>
      <c r="AD437" s="2" t="str">
        <f>IF(Source!$C437&gt;=COLUMNS($A437:AD437), Source!$G437, "")</f>
        <v/>
      </c>
      <c r="AE437" s="2" t="str">
        <f>IF(Source!$C437&gt;=COLUMNS($A437:AE437), Source!$G437, "")</f>
        <v/>
      </c>
      <c r="AF437" s="2" t="str">
        <f>IF(Source!$C437&gt;=COLUMNS($A437:AF437), Source!$G437, "")</f>
        <v/>
      </c>
      <c r="AG437" s="2" t="str">
        <f>IF(Source!$C437&gt;=COLUMNS($A437:AG437), Source!$G437, "")</f>
        <v/>
      </c>
      <c r="AH437" s="2" t="str">
        <f>IF(Source!$C437&gt;=COLUMNS($A437:AH437), Source!$G437, "")</f>
        <v/>
      </c>
      <c r="AI437" s="2" t="str">
        <f>IF(Source!$C437&gt;=COLUMNS($A437:AI437), Source!$G437, "")</f>
        <v/>
      </c>
      <c r="AJ437" s="2" t="str">
        <f>IF(Source!$C437&gt;=COLUMNS($A437:AJ437), Source!$G437, "")</f>
        <v/>
      </c>
      <c r="AK437" s="2" t="str">
        <f>IF(Source!$C437&gt;=COLUMNS($A437:AK437), Source!$G437, "")</f>
        <v/>
      </c>
      <c r="AL437" s="2" t="str">
        <f>IF(Source!$C437&gt;=COLUMNS($A437:AL437), Source!$G437, "")</f>
        <v/>
      </c>
      <c r="AM437" s="2" t="str">
        <f>IF(Source!$C437&gt;=COLUMNS($A437:AM437), Source!$G437, "")</f>
        <v/>
      </c>
      <c r="AN437" s="2" t="str">
        <f>IF(Source!$C437&gt;=COLUMNS($A437:AN437), Source!$G437, "")</f>
        <v/>
      </c>
      <c r="AO437" s="2" t="str">
        <f>IF(Source!$C437&gt;=COLUMNS($A437:AO437), Source!$G437, "")</f>
        <v/>
      </c>
      <c r="AP437" s="2" t="str">
        <f>IF(Source!$C437&gt;=COLUMNS($A437:AP437), Source!$G437, "")</f>
        <v/>
      </c>
      <c r="AQ437" s="2" t="str">
        <f>IF(Source!$C437&gt;=COLUMNS($A437:AQ437), Source!$G437, "")</f>
        <v/>
      </c>
      <c r="AR437" s="2" t="str">
        <f>IF(Source!$C437&gt;=COLUMNS($A437:AR437), Source!$G437, "")</f>
        <v/>
      </c>
    </row>
    <row r="438">
      <c r="A438" s="2">
        <f>IF(Source!$C438&gt;=COLUMNS($A438:A438), Source!$G438, "")</f>
        <v>6</v>
      </c>
      <c r="B438" s="2">
        <f>IF(Source!$C438&gt;=COLUMNS($A438:B438), Source!$G438, "")</f>
        <v>6</v>
      </c>
      <c r="C438" s="2">
        <f>IF(Source!$C438&gt;=COLUMNS($A438:C438), Source!$G438, "")</f>
        <v>6</v>
      </c>
      <c r="D438" s="2">
        <f>IF(Source!$C438&gt;=COLUMNS($A438:D438), Source!$G438, "")</f>
        <v>6</v>
      </c>
      <c r="E438" s="2">
        <f>IF(Source!$C438&gt;=COLUMNS($A438:E438), Source!$G438, "")</f>
        <v>6</v>
      </c>
      <c r="F438" s="2">
        <f>IF(Source!$C438&gt;=COLUMNS($A438:F438), Source!$G438, "")</f>
        <v>6</v>
      </c>
      <c r="G438" s="2">
        <f>IF(Source!$C438&gt;=COLUMNS($A438:G438), Source!$G438, "")</f>
        <v>6</v>
      </c>
      <c r="H438" s="2">
        <f>IF(Source!$C438&gt;=COLUMNS($A438:H438), Source!$G438, "")</f>
        <v>6</v>
      </c>
      <c r="I438" s="2">
        <f>IF(Source!$C438&gt;=COLUMNS($A438:I438), Source!$G438, "")</f>
        <v>6</v>
      </c>
      <c r="J438" s="2">
        <f>IF(Source!$C438&gt;=COLUMNS($A438:J438), Source!$G438, "")</f>
        <v>6</v>
      </c>
      <c r="K438" s="2" t="str">
        <f>IF(Source!$C438&gt;=COLUMNS($A438:K438), Source!$G438, "")</f>
        <v/>
      </c>
      <c r="L438" s="2" t="str">
        <f>IF(Source!$C438&gt;=COLUMNS($A438:L438), Source!$G438, "")</f>
        <v/>
      </c>
      <c r="M438" s="2" t="str">
        <f>IF(Source!$C438&gt;=COLUMNS($A438:M438), Source!$G438, "")</f>
        <v/>
      </c>
      <c r="N438" s="2" t="str">
        <f>IF(Source!$C438&gt;=COLUMNS($A438:N438), Source!$G438, "")</f>
        <v/>
      </c>
      <c r="O438" s="2" t="str">
        <f>IF(Source!$C438&gt;=COLUMNS($A438:O438), Source!$G438, "")</f>
        <v/>
      </c>
      <c r="P438" s="2" t="str">
        <f>IF(Source!$C438&gt;=COLUMNS($A438:P438), Source!$G438, "")</f>
        <v/>
      </c>
      <c r="Q438" s="2" t="str">
        <f>IF(Source!$C438&gt;=COLUMNS($A438:Q438), Source!$G438, "")</f>
        <v/>
      </c>
      <c r="R438" s="2" t="str">
        <f>IF(Source!$C438&gt;=COLUMNS($A438:R438), Source!$G438, "")</f>
        <v/>
      </c>
      <c r="S438" s="2" t="str">
        <f>IF(Source!$C438&gt;=COLUMNS($A438:S438), Source!$G438, "")</f>
        <v/>
      </c>
      <c r="T438" s="2" t="str">
        <f>IF(Source!$C438&gt;=COLUMNS($A438:T438), Source!$G438, "")</f>
        <v/>
      </c>
      <c r="U438" s="2" t="str">
        <f>IF(Source!$C438&gt;=COLUMNS($A438:U438), Source!$G438, "")</f>
        <v/>
      </c>
      <c r="V438" s="2" t="str">
        <f>IF(Source!$C438&gt;=COLUMNS($A438:V438), Source!$G438, "")</f>
        <v/>
      </c>
      <c r="W438" s="2" t="str">
        <f>IF(Source!$C438&gt;=COLUMNS($A438:W438), Source!$G438, "")</f>
        <v/>
      </c>
      <c r="X438" s="2" t="str">
        <f>IF(Source!$C438&gt;=COLUMNS($A438:X438), Source!$G438, "")</f>
        <v/>
      </c>
      <c r="Y438" s="2" t="str">
        <f>IF(Source!$C438&gt;=COLUMNS($A438:Y438), Source!$G438, "")</f>
        <v/>
      </c>
      <c r="Z438" s="2" t="str">
        <f>IF(Source!$C438&gt;=COLUMNS($A438:Z438), Source!$G438, "")</f>
        <v/>
      </c>
      <c r="AA438" s="2" t="str">
        <f>IF(Source!$C438&gt;=COLUMNS($A438:AA438), Source!$G438, "")</f>
        <v/>
      </c>
      <c r="AB438" s="2" t="str">
        <f>IF(Source!$C438&gt;=COLUMNS($A438:AB438), Source!$G438, "")</f>
        <v/>
      </c>
      <c r="AC438" s="2" t="str">
        <f>IF(Source!$C438&gt;=COLUMNS($A438:AC438), Source!$G438, "")</f>
        <v/>
      </c>
      <c r="AD438" s="2" t="str">
        <f>IF(Source!$C438&gt;=COLUMNS($A438:AD438), Source!$G438, "")</f>
        <v/>
      </c>
      <c r="AE438" s="2" t="str">
        <f>IF(Source!$C438&gt;=COLUMNS($A438:AE438), Source!$G438, "")</f>
        <v/>
      </c>
      <c r="AF438" s="2" t="str">
        <f>IF(Source!$C438&gt;=COLUMNS($A438:AF438), Source!$G438, "")</f>
        <v/>
      </c>
      <c r="AG438" s="2" t="str">
        <f>IF(Source!$C438&gt;=COLUMNS($A438:AG438), Source!$G438, "")</f>
        <v/>
      </c>
      <c r="AH438" s="2" t="str">
        <f>IF(Source!$C438&gt;=COLUMNS($A438:AH438), Source!$G438, "")</f>
        <v/>
      </c>
      <c r="AI438" s="2" t="str">
        <f>IF(Source!$C438&gt;=COLUMNS($A438:AI438), Source!$G438, "")</f>
        <v/>
      </c>
      <c r="AJ438" s="2" t="str">
        <f>IF(Source!$C438&gt;=COLUMNS($A438:AJ438), Source!$G438, "")</f>
        <v/>
      </c>
      <c r="AK438" s="2" t="str">
        <f>IF(Source!$C438&gt;=COLUMNS($A438:AK438), Source!$G438, "")</f>
        <v/>
      </c>
      <c r="AL438" s="2" t="str">
        <f>IF(Source!$C438&gt;=COLUMNS($A438:AL438), Source!$G438, "")</f>
        <v/>
      </c>
      <c r="AM438" s="2" t="str">
        <f>IF(Source!$C438&gt;=COLUMNS($A438:AM438), Source!$G438, "")</f>
        <v/>
      </c>
      <c r="AN438" s="2" t="str">
        <f>IF(Source!$C438&gt;=COLUMNS($A438:AN438), Source!$G438, "")</f>
        <v/>
      </c>
      <c r="AO438" s="2" t="str">
        <f>IF(Source!$C438&gt;=COLUMNS($A438:AO438), Source!$G438, "")</f>
        <v/>
      </c>
      <c r="AP438" s="2" t="str">
        <f>IF(Source!$C438&gt;=COLUMNS($A438:AP438), Source!$G438, "")</f>
        <v/>
      </c>
      <c r="AQ438" s="2" t="str">
        <f>IF(Source!$C438&gt;=COLUMNS($A438:AQ438), Source!$G438, "")</f>
        <v/>
      </c>
      <c r="AR438" s="2" t="str">
        <f>IF(Source!$C438&gt;=COLUMNS($A438:AR438), Source!$G438, "")</f>
        <v/>
      </c>
    </row>
    <row r="439">
      <c r="A439" s="2">
        <f>IF(Source!$C439&gt;=COLUMNS($A439:A439), Source!$G439, "")</f>
        <v>7</v>
      </c>
      <c r="B439" s="2" t="str">
        <f>IF(Source!$C439&gt;=COLUMNS($A439:B439), Source!$G439, "")</f>
        <v/>
      </c>
      <c r="C439" s="2" t="str">
        <f>IF(Source!$C439&gt;=COLUMNS($A439:C439), Source!$G439, "")</f>
        <v/>
      </c>
      <c r="D439" s="2" t="str">
        <f>IF(Source!$C439&gt;=COLUMNS($A439:D439), Source!$G439, "")</f>
        <v/>
      </c>
      <c r="E439" s="2" t="str">
        <f>IF(Source!$C439&gt;=COLUMNS($A439:E439), Source!$G439, "")</f>
        <v/>
      </c>
      <c r="F439" s="2" t="str">
        <f>IF(Source!$C439&gt;=COLUMNS($A439:F439), Source!$G439, "")</f>
        <v/>
      </c>
      <c r="G439" s="2" t="str">
        <f>IF(Source!$C439&gt;=COLUMNS($A439:G439), Source!$G439, "")</f>
        <v/>
      </c>
      <c r="H439" s="2" t="str">
        <f>IF(Source!$C439&gt;=COLUMNS($A439:H439), Source!$G439, "")</f>
        <v/>
      </c>
      <c r="I439" s="2" t="str">
        <f>IF(Source!$C439&gt;=COLUMNS($A439:I439), Source!$G439, "")</f>
        <v/>
      </c>
      <c r="J439" s="2" t="str">
        <f>IF(Source!$C439&gt;=COLUMNS($A439:J439), Source!$G439, "")</f>
        <v/>
      </c>
      <c r="K439" s="2" t="str">
        <f>IF(Source!$C439&gt;=COLUMNS($A439:K439), Source!$G439, "")</f>
        <v/>
      </c>
      <c r="L439" s="2" t="str">
        <f>IF(Source!$C439&gt;=COLUMNS($A439:L439), Source!$G439, "")</f>
        <v/>
      </c>
      <c r="M439" s="2" t="str">
        <f>IF(Source!$C439&gt;=COLUMNS($A439:M439), Source!$G439, "")</f>
        <v/>
      </c>
      <c r="N439" s="2" t="str">
        <f>IF(Source!$C439&gt;=COLUMNS($A439:N439), Source!$G439, "")</f>
        <v/>
      </c>
      <c r="O439" s="2" t="str">
        <f>IF(Source!$C439&gt;=COLUMNS($A439:O439), Source!$G439, "")</f>
        <v/>
      </c>
      <c r="P439" s="2" t="str">
        <f>IF(Source!$C439&gt;=COLUMNS($A439:P439), Source!$G439, "")</f>
        <v/>
      </c>
      <c r="Q439" s="2" t="str">
        <f>IF(Source!$C439&gt;=COLUMNS($A439:Q439), Source!$G439, "")</f>
        <v/>
      </c>
      <c r="R439" s="2" t="str">
        <f>IF(Source!$C439&gt;=COLUMNS($A439:R439), Source!$G439, "")</f>
        <v/>
      </c>
      <c r="S439" s="2" t="str">
        <f>IF(Source!$C439&gt;=COLUMNS($A439:S439), Source!$G439, "")</f>
        <v/>
      </c>
      <c r="T439" s="2" t="str">
        <f>IF(Source!$C439&gt;=COLUMNS($A439:T439), Source!$G439, "")</f>
        <v/>
      </c>
      <c r="U439" s="2" t="str">
        <f>IF(Source!$C439&gt;=COLUMNS($A439:U439), Source!$G439, "")</f>
        <v/>
      </c>
      <c r="V439" s="2" t="str">
        <f>IF(Source!$C439&gt;=COLUMNS($A439:V439), Source!$G439, "")</f>
        <v/>
      </c>
      <c r="W439" s="2" t="str">
        <f>IF(Source!$C439&gt;=COLUMNS($A439:W439), Source!$G439, "")</f>
        <v/>
      </c>
      <c r="X439" s="2" t="str">
        <f>IF(Source!$C439&gt;=COLUMNS($A439:X439), Source!$G439, "")</f>
        <v/>
      </c>
      <c r="Y439" s="2" t="str">
        <f>IF(Source!$C439&gt;=COLUMNS($A439:Y439), Source!$G439, "")</f>
        <v/>
      </c>
      <c r="Z439" s="2" t="str">
        <f>IF(Source!$C439&gt;=COLUMNS($A439:Z439), Source!$G439, "")</f>
        <v/>
      </c>
      <c r="AA439" s="2" t="str">
        <f>IF(Source!$C439&gt;=COLUMNS($A439:AA439), Source!$G439, "")</f>
        <v/>
      </c>
      <c r="AB439" s="2" t="str">
        <f>IF(Source!$C439&gt;=COLUMNS($A439:AB439), Source!$G439, "")</f>
        <v/>
      </c>
      <c r="AC439" s="2" t="str">
        <f>IF(Source!$C439&gt;=COLUMNS($A439:AC439), Source!$G439, "")</f>
        <v/>
      </c>
      <c r="AD439" s="2" t="str">
        <f>IF(Source!$C439&gt;=COLUMNS($A439:AD439), Source!$G439, "")</f>
        <v/>
      </c>
      <c r="AE439" s="2" t="str">
        <f>IF(Source!$C439&gt;=COLUMNS($A439:AE439), Source!$G439, "")</f>
        <v/>
      </c>
      <c r="AF439" s="2" t="str">
        <f>IF(Source!$C439&gt;=COLUMNS($A439:AF439), Source!$G439, "")</f>
        <v/>
      </c>
      <c r="AG439" s="2" t="str">
        <f>IF(Source!$C439&gt;=COLUMNS($A439:AG439), Source!$G439, "")</f>
        <v/>
      </c>
      <c r="AH439" s="2" t="str">
        <f>IF(Source!$C439&gt;=COLUMNS($A439:AH439), Source!$G439, "")</f>
        <v/>
      </c>
      <c r="AI439" s="2" t="str">
        <f>IF(Source!$C439&gt;=COLUMNS($A439:AI439), Source!$G439, "")</f>
        <v/>
      </c>
      <c r="AJ439" s="2" t="str">
        <f>IF(Source!$C439&gt;=COLUMNS($A439:AJ439), Source!$G439, "")</f>
        <v/>
      </c>
      <c r="AK439" s="2" t="str">
        <f>IF(Source!$C439&gt;=COLUMNS($A439:AK439), Source!$G439, "")</f>
        <v/>
      </c>
      <c r="AL439" s="2" t="str">
        <f>IF(Source!$C439&gt;=COLUMNS($A439:AL439), Source!$G439, "")</f>
        <v/>
      </c>
      <c r="AM439" s="2" t="str">
        <f>IF(Source!$C439&gt;=COLUMNS($A439:AM439), Source!$G439, "")</f>
        <v/>
      </c>
      <c r="AN439" s="2" t="str">
        <f>IF(Source!$C439&gt;=COLUMNS($A439:AN439), Source!$G439, "")</f>
        <v/>
      </c>
      <c r="AO439" s="2" t="str">
        <f>IF(Source!$C439&gt;=COLUMNS($A439:AO439), Source!$G439, "")</f>
        <v/>
      </c>
      <c r="AP439" s="2" t="str">
        <f>IF(Source!$C439&gt;=COLUMNS($A439:AP439), Source!$G439, "")</f>
        <v/>
      </c>
      <c r="AQ439" s="2" t="str">
        <f>IF(Source!$C439&gt;=COLUMNS($A439:AQ439), Source!$G439, "")</f>
        <v/>
      </c>
      <c r="AR439" s="2" t="str">
        <f>IF(Source!$C439&gt;=COLUMNS($A439:AR439), Source!$G439, "")</f>
        <v/>
      </c>
    </row>
    <row r="440">
      <c r="A440" s="2">
        <f>IF(Source!$C440&gt;=COLUMNS($A440:A440), Source!$G440, "")</f>
        <v>1</v>
      </c>
      <c r="B440" s="2">
        <f>IF(Source!$C440&gt;=COLUMNS($A440:B440), Source!$G440, "")</f>
        <v>1</v>
      </c>
      <c r="C440" s="2" t="str">
        <f>IF(Source!$C440&gt;=COLUMNS($A440:C440), Source!$G440, "")</f>
        <v/>
      </c>
      <c r="D440" s="2" t="str">
        <f>IF(Source!$C440&gt;=COLUMNS($A440:D440), Source!$G440, "")</f>
        <v/>
      </c>
      <c r="E440" s="2" t="str">
        <f>IF(Source!$C440&gt;=COLUMNS($A440:E440), Source!$G440, "")</f>
        <v/>
      </c>
      <c r="F440" s="2" t="str">
        <f>IF(Source!$C440&gt;=COLUMNS($A440:F440), Source!$G440, "")</f>
        <v/>
      </c>
      <c r="G440" s="2" t="str">
        <f>IF(Source!$C440&gt;=COLUMNS($A440:G440), Source!$G440, "")</f>
        <v/>
      </c>
      <c r="H440" s="2" t="str">
        <f>IF(Source!$C440&gt;=COLUMNS($A440:H440), Source!$G440, "")</f>
        <v/>
      </c>
      <c r="I440" s="2" t="str">
        <f>IF(Source!$C440&gt;=COLUMNS($A440:I440), Source!$G440, "")</f>
        <v/>
      </c>
      <c r="J440" s="2" t="str">
        <f>IF(Source!$C440&gt;=COLUMNS($A440:J440), Source!$G440, "")</f>
        <v/>
      </c>
      <c r="K440" s="2" t="str">
        <f>IF(Source!$C440&gt;=COLUMNS($A440:K440), Source!$G440, "")</f>
        <v/>
      </c>
      <c r="L440" s="2" t="str">
        <f>IF(Source!$C440&gt;=COLUMNS($A440:L440), Source!$G440, "")</f>
        <v/>
      </c>
      <c r="M440" s="2" t="str">
        <f>IF(Source!$C440&gt;=COLUMNS($A440:M440), Source!$G440, "")</f>
        <v/>
      </c>
      <c r="N440" s="2" t="str">
        <f>IF(Source!$C440&gt;=COLUMNS($A440:N440), Source!$G440, "")</f>
        <v/>
      </c>
      <c r="O440" s="2" t="str">
        <f>IF(Source!$C440&gt;=COLUMNS($A440:O440), Source!$G440, "")</f>
        <v/>
      </c>
      <c r="P440" s="2" t="str">
        <f>IF(Source!$C440&gt;=COLUMNS($A440:P440), Source!$G440, "")</f>
        <v/>
      </c>
      <c r="Q440" s="2" t="str">
        <f>IF(Source!$C440&gt;=COLUMNS($A440:Q440), Source!$G440, "")</f>
        <v/>
      </c>
      <c r="R440" s="2" t="str">
        <f>IF(Source!$C440&gt;=COLUMNS($A440:R440), Source!$G440, "")</f>
        <v/>
      </c>
      <c r="S440" s="2" t="str">
        <f>IF(Source!$C440&gt;=COLUMNS($A440:S440), Source!$G440, "")</f>
        <v/>
      </c>
      <c r="T440" s="2" t="str">
        <f>IF(Source!$C440&gt;=COLUMNS($A440:T440), Source!$G440, "")</f>
        <v/>
      </c>
      <c r="U440" s="2" t="str">
        <f>IF(Source!$C440&gt;=COLUMNS($A440:U440), Source!$G440, "")</f>
        <v/>
      </c>
      <c r="V440" s="2" t="str">
        <f>IF(Source!$C440&gt;=COLUMNS($A440:V440), Source!$G440, "")</f>
        <v/>
      </c>
      <c r="W440" s="2" t="str">
        <f>IF(Source!$C440&gt;=COLUMNS($A440:W440), Source!$G440, "")</f>
        <v/>
      </c>
      <c r="X440" s="2" t="str">
        <f>IF(Source!$C440&gt;=COLUMNS($A440:X440), Source!$G440, "")</f>
        <v/>
      </c>
      <c r="Y440" s="2" t="str">
        <f>IF(Source!$C440&gt;=COLUMNS($A440:Y440), Source!$G440, "")</f>
        <v/>
      </c>
      <c r="Z440" s="2" t="str">
        <f>IF(Source!$C440&gt;=COLUMNS($A440:Z440), Source!$G440, "")</f>
        <v/>
      </c>
      <c r="AA440" s="2" t="str">
        <f>IF(Source!$C440&gt;=COLUMNS($A440:AA440), Source!$G440, "")</f>
        <v/>
      </c>
      <c r="AB440" s="2" t="str">
        <f>IF(Source!$C440&gt;=COLUMNS($A440:AB440), Source!$G440, "")</f>
        <v/>
      </c>
      <c r="AC440" s="2" t="str">
        <f>IF(Source!$C440&gt;=COLUMNS($A440:AC440), Source!$G440, "")</f>
        <v/>
      </c>
      <c r="AD440" s="2" t="str">
        <f>IF(Source!$C440&gt;=COLUMNS($A440:AD440), Source!$G440, "")</f>
        <v/>
      </c>
      <c r="AE440" s="2" t="str">
        <f>IF(Source!$C440&gt;=COLUMNS($A440:AE440), Source!$G440, "")</f>
        <v/>
      </c>
      <c r="AF440" s="2" t="str">
        <f>IF(Source!$C440&gt;=COLUMNS($A440:AF440), Source!$G440, "")</f>
        <v/>
      </c>
      <c r="AG440" s="2" t="str">
        <f>IF(Source!$C440&gt;=COLUMNS($A440:AG440), Source!$G440, "")</f>
        <v/>
      </c>
      <c r="AH440" s="2" t="str">
        <f>IF(Source!$C440&gt;=COLUMNS($A440:AH440), Source!$G440, "")</f>
        <v/>
      </c>
      <c r="AI440" s="2" t="str">
        <f>IF(Source!$C440&gt;=COLUMNS($A440:AI440), Source!$G440, "")</f>
        <v/>
      </c>
      <c r="AJ440" s="2" t="str">
        <f>IF(Source!$C440&gt;=COLUMNS($A440:AJ440), Source!$G440, "")</f>
        <v/>
      </c>
      <c r="AK440" s="2" t="str">
        <f>IF(Source!$C440&gt;=COLUMNS($A440:AK440), Source!$G440, "")</f>
        <v/>
      </c>
      <c r="AL440" s="2" t="str">
        <f>IF(Source!$C440&gt;=COLUMNS($A440:AL440), Source!$G440, "")</f>
        <v/>
      </c>
      <c r="AM440" s="2" t="str">
        <f>IF(Source!$C440&gt;=COLUMNS($A440:AM440), Source!$G440, "")</f>
        <v/>
      </c>
      <c r="AN440" s="2" t="str">
        <f>IF(Source!$C440&gt;=COLUMNS($A440:AN440), Source!$G440, "")</f>
        <v/>
      </c>
      <c r="AO440" s="2" t="str">
        <f>IF(Source!$C440&gt;=COLUMNS($A440:AO440), Source!$G440, "")</f>
        <v/>
      </c>
      <c r="AP440" s="2" t="str">
        <f>IF(Source!$C440&gt;=COLUMNS($A440:AP440), Source!$G440, "")</f>
        <v/>
      </c>
      <c r="AQ440" s="2" t="str">
        <f>IF(Source!$C440&gt;=COLUMNS($A440:AQ440), Source!$G440, "")</f>
        <v/>
      </c>
      <c r="AR440" s="2" t="str">
        <f>IF(Source!$C440&gt;=COLUMNS($A440:AR440), Source!$G440, "")</f>
        <v/>
      </c>
    </row>
    <row r="441">
      <c r="A441" s="2">
        <f>IF(Source!$C441&gt;=COLUMNS($A441:A441), Source!$G441, "")</f>
        <v>9</v>
      </c>
      <c r="B441" s="2">
        <f>IF(Source!$C441&gt;=COLUMNS($A441:B441), Source!$G441, "")</f>
        <v>9</v>
      </c>
      <c r="C441" s="2">
        <f>IF(Source!$C441&gt;=COLUMNS($A441:C441), Source!$G441, "")</f>
        <v>9</v>
      </c>
      <c r="D441" s="2">
        <f>IF(Source!$C441&gt;=COLUMNS($A441:D441), Source!$G441, "")</f>
        <v>9</v>
      </c>
      <c r="E441" s="2" t="str">
        <f>IF(Source!$C441&gt;=COLUMNS($A441:E441), Source!$G441, "")</f>
        <v/>
      </c>
      <c r="F441" s="2" t="str">
        <f>IF(Source!$C441&gt;=COLUMNS($A441:F441), Source!$G441, "")</f>
        <v/>
      </c>
      <c r="G441" s="2" t="str">
        <f>IF(Source!$C441&gt;=COLUMNS($A441:G441), Source!$G441, "")</f>
        <v/>
      </c>
      <c r="H441" s="2" t="str">
        <f>IF(Source!$C441&gt;=COLUMNS($A441:H441), Source!$G441, "")</f>
        <v/>
      </c>
      <c r="I441" s="2" t="str">
        <f>IF(Source!$C441&gt;=COLUMNS($A441:I441), Source!$G441, "")</f>
        <v/>
      </c>
      <c r="J441" s="2" t="str">
        <f>IF(Source!$C441&gt;=COLUMNS($A441:J441), Source!$G441, "")</f>
        <v/>
      </c>
      <c r="K441" s="2" t="str">
        <f>IF(Source!$C441&gt;=COLUMNS($A441:K441), Source!$G441, "")</f>
        <v/>
      </c>
      <c r="L441" s="2" t="str">
        <f>IF(Source!$C441&gt;=COLUMNS($A441:L441), Source!$G441, "")</f>
        <v/>
      </c>
      <c r="M441" s="2" t="str">
        <f>IF(Source!$C441&gt;=COLUMNS($A441:M441), Source!$G441, "")</f>
        <v/>
      </c>
      <c r="N441" s="2" t="str">
        <f>IF(Source!$C441&gt;=COLUMNS($A441:N441), Source!$G441, "")</f>
        <v/>
      </c>
      <c r="O441" s="2" t="str">
        <f>IF(Source!$C441&gt;=COLUMNS($A441:O441), Source!$G441, "")</f>
        <v/>
      </c>
      <c r="P441" s="2" t="str">
        <f>IF(Source!$C441&gt;=COLUMNS($A441:P441), Source!$G441, "")</f>
        <v/>
      </c>
      <c r="Q441" s="2" t="str">
        <f>IF(Source!$C441&gt;=COLUMNS($A441:Q441), Source!$G441, "")</f>
        <v/>
      </c>
      <c r="R441" s="2" t="str">
        <f>IF(Source!$C441&gt;=COLUMNS($A441:R441), Source!$G441, "")</f>
        <v/>
      </c>
      <c r="S441" s="2" t="str">
        <f>IF(Source!$C441&gt;=COLUMNS($A441:S441), Source!$G441, "")</f>
        <v/>
      </c>
      <c r="T441" s="2" t="str">
        <f>IF(Source!$C441&gt;=COLUMNS($A441:T441), Source!$G441, "")</f>
        <v/>
      </c>
      <c r="U441" s="2" t="str">
        <f>IF(Source!$C441&gt;=COLUMNS($A441:U441), Source!$G441, "")</f>
        <v/>
      </c>
      <c r="V441" s="2" t="str">
        <f>IF(Source!$C441&gt;=COLUMNS($A441:V441), Source!$G441, "")</f>
        <v/>
      </c>
      <c r="W441" s="2" t="str">
        <f>IF(Source!$C441&gt;=COLUMNS($A441:W441), Source!$G441, "")</f>
        <v/>
      </c>
      <c r="X441" s="2" t="str">
        <f>IF(Source!$C441&gt;=COLUMNS($A441:X441), Source!$G441, "")</f>
        <v/>
      </c>
      <c r="Y441" s="2" t="str">
        <f>IF(Source!$C441&gt;=COLUMNS($A441:Y441), Source!$G441, "")</f>
        <v/>
      </c>
      <c r="Z441" s="2" t="str">
        <f>IF(Source!$C441&gt;=COLUMNS($A441:Z441), Source!$G441, "")</f>
        <v/>
      </c>
      <c r="AA441" s="2" t="str">
        <f>IF(Source!$C441&gt;=COLUMNS($A441:AA441), Source!$G441, "")</f>
        <v/>
      </c>
      <c r="AB441" s="2" t="str">
        <f>IF(Source!$C441&gt;=COLUMNS($A441:AB441), Source!$G441, "")</f>
        <v/>
      </c>
      <c r="AC441" s="2" t="str">
        <f>IF(Source!$C441&gt;=COLUMNS($A441:AC441), Source!$G441, "")</f>
        <v/>
      </c>
      <c r="AD441" s="2" t="str">
        <f>IF(Source!$C441&gt;=COLUMNS($A441:AD441), Source!$G441, "")</f>
        <v/>
      </c>
      <c r="AE441" s="2" t="str">
        <f>IF(Source!$C441&gt;=COLUMNS($A441:AE441), Source!$G441, "")</f>
        <v/>
      </c>
      <c r="AF441" s="2" t="str">
        <f>IF(Source!$C441&gt;=COLUMNS($A441:AF441), Source!$G441, "")</f>
        <v/>
      </c>
      <c r="AG441" s="2" t="str">
        <f>IF(Source!$C441&gt;=COLUMNS($A441:AG441), Source!$G441, "")</f>
        <v/>
      </c>
      <c r="AH441" s="2" t="str">
        <f>IF(Source!$C441&gt;=COLUMNS($A441:AH441), Source!$G441, "")</f>
        <v/>
      </c>
      <c r="AI441" s="2" t="str">
        <f>IF(Source!$C441&gt;=COLUMNS($A441:AI441), Source!$G441, "")</f>
        <v/>
      </c>
      <c r="AJ441" s="2" t="str">
        <f>IF(Source!$C441&gt;=COLUMNS($A441:AJ441), Source!$G441, "")</f>
        <v/>
      </c>
      <c r="AK441" s="2" t="str">
        <f>IF(Source!$C441&gt;=COLUMNS($A441:AK441), Source!$G441, "")</f>
        <v/>
      </c>
      <c r="AL441" s="2" t="str">
        <f>IF(Source!$C441&gt;=COLUMNS($A441:AL441), Source!$G441, "")</f>
        <v/>
      </c>
      <c r="AM441" s="2" t="str">
        <f>IF(Source!$C441&gt;=COLUMNS($A441:AM441), Source!$G441, "")</f>
        <v/>
      </c>
      <c r="AN441" s="2" t="str">
        <f>IF(Source!$C441&gt;=COLUMNS($A441:AN441), Source!$G441, "")</f>
        <v/>
      </c>
      <c r="AO441" s="2" t="str">
        <f>IF(Source!$C441&gt;=COLUMNS($A441:AO441), Source!$G441, "")</f>
        <v/>
      </c>
      <c r="AP441" s="2" t="str">
        <f>IF(Source!$C441&gt;=COLUMNS($A441:AP441), Source!$G441, "")</f>
        <v/>
      </c>
      <c r="AQ441" s="2" t="str">
        <f>IF(Source!$C441&gt;=COLUMNS($A441:AQ441), Source!$G441, "")</f>
        <v/>
      </c>
      <c r="AR441" s="2" t="str">
        <f>IF(Source!$C441&gt;=COLUMNS($A441:AR441), Source!$G441, "")</f>
        <v/>
      </c>
    </row>
    <row r="442">
      <c r="A442" s="2">
        <f>IF(Source!$C442&gt;=COLUMNS($A442:A442), Source!$G442, "")</f>
        <v>1</v>
      </c>
      <c r="B442" s="2">
        <f>IF(Source!$C442&gt;=COLUMNS($A442:B442), Source!$G442, "")</f>
        <v>1</v>
      </c>
      <c r="C442" s="2">
        <f>IF(Source!$C442&gt;=COLUMNS($A442:C442), Source!$G442, "")</f>
        <v>1</v>
      </c>
      <c r="D442" s="2">
        <f>IF(Source!$C442&gt;=COLUMNS($A442:D442), Source!$G442, "")</f>
        <v>1</v>
      </c>
      <c r="E442" s="2">
        <f>IF(Source!$C442&gt;=COLUMNS($A442:E442), Source!$G442, "")</f>
        <v>1</v>
      </c>
      <c r="F442" s="2">
        <f>IF(Source!$C442&gt;=COLUMNS($A442:F442), Source!$G442, "")</f>
        <v>1</v>
      </c>
      <c r="G442" s="2">
        <f>IF(Source!$C442&gt;=COLUMNS($A442:G442), Source!$G442, "")</f>
        <v>1</v>
      </c>
      <c r="H442" s="2">
        <f>IF(Source!$C442&gt;=COLUMNS($A442:H442), Source!$G442, "")</f>
        <v>1</v>
      </c>
      <c r="I442" s="2">
        <f>IF(Source!$C442&gt;=COLUMNS($A442:I442), Source!$G442, "")</f>
        <v>1</v>
      </c>
      <c r="J442" s="2" t="str">
        <f>IF(Source!$C442&gt;=COLUMNS($A442:J442), Source!$G442, "")</f>
        <v/>
      </c>
      <c r="K442" s="2" t="str">
        <f>IF(Source!$C442&gt;=COLUMNS($A442:K442), Source!$G442, "")</f>
        <v/>
      </c>
      <c r="L442" s="2" t="str">
        <f>IF(Source!$C442&gt;=COLUMNS($A442:L442), Source!$G442, "")</f>
        <v/>
      </c>
      <c r="M442" s="2" t="str">
        <f>IF(Source!$C442&gt;=COLUMNS($A442:M442), Source!$G442, "")</f>
        <v/>
      </c>
      <c r="N442" s="2" t="str">
        <f>IF(Source!$C442&gt;=COLUMNS($A442:N442), Source!$G442, "")</f>
        <v/>
      </c>
      <c r="O442" s="2" t="str">
        <f>IF(Source!$C442&gt;=COLUMNS($A442:O442), Source!$G442, "")</f>
        <v/>
      </c>
      <c r="P442" s="2" t="str">
        <f>IF(Source!$C442&gt;=COLUMNS($A442:P442), Source!$G442, "")</f>
        <v/>
      </c>
      <c r="Q442" s="2" t="str">
        <f>IF(Source!$C442&gt;=COLUMNS($A442:Q442), Source!$G442, "")</f>
        <v/>
      </c>
      <c r="R442" s="2" t="str">
        <f>IF(Source!$C442&gt;=COLUMNS($A442:R442), Source!$G442, "")</f>
        <v/>
      </c>
      <c r="S442" s="2" t="str">
        <f>IF(Source!$C442&gt;=COLUMNS($A442:S442), Source!$G442, "")</f>
        <v/>
      </c>
      <c r="T442" s="2" t="str">
        <f>IF(Source!$C442&gt;=COLUMNS($A442:T442), Source!$G442, "")</f>
        <v/>
      </c>
      <c r="U442" s="2" t="str">
        <f>IF(Source!$C442&gt;=COLUMNS($A442:U442), Source!$G442, "")</f>
        <v/>
      </c>
      <c r="V442" s="2" t="str">
        <f>IF(Source!$C442&gt;=COLUMNS($A442:V442), Source!$G442, "")</f>
        <v/>
      </c>
      <c r="W442" s="2" t="str">
        <f>IF(Source!$C442&gt;=COLUMNS($A442:W442), Source!$G442, "")</f>
        <v/>
      </c>
      <c r="X442" s="2" t="str">
        <f>IF(Source!$C442&gt;=COLUMNS($A442:X442), Source!$G442, "")</f>
        <v/>
      </c>
      <c r="Y442" s="2" t="str">
        <f>IF(Source!$C442&gt;=COLUMNS($A442:Y442), Source!$G442, "")</f>
        <v/>
      </c>
      <c r="Z442" s="2" t="str">
        <f>IF(Source!$C442&gt;=COLUMNS($A442:Z442), Source!$G442, "")</f>
        <v/>
      </c>
      <c r="AA442" s="2" t="str">
        <f>IF(Source!$C442&gt;=COLUMNS($A442:AA442), Source!$G442, "")</f>
        <v/>
      </c>
      <c r="AB442" s="2" t="str">
        <f>IF(Source!$C442&gt;=COLUMNS($A442:AB442), Source!$G442, "")</f>
        <v/>
      </c>
      <c r="AC442" s="2" t="str">
        <f>IF(Source!$C442&gt;=COLUMNS($A442:AC442), Source!$G442, "")</f>
        <v/>
      </c>
      <c r="AD442" s="2" t="str">
        <f>IF(Source!$C442&gt;=COLUMNS($A442:AD442), Source!$G442, "")</f>
        <v/>
      </c>
      <c r="AE442" s="2" t="str">
        <f>IF(Source!$C442&gt;=COLUMNS($A442:AE442), Source!$G442, "")</f>
        <v/>
      </c>
      <c r="AF442" s="2" t="str">
        <f>IF(Source!$C442&gt;=COLUMNS($A442:AF442), Source!$G442, "")</f>
        <v/>
      </c>
      <c r="AG442" s="2" t="str">
        <f>IF(Source!$C442&gt;=COLUMNS($A442:AG442), Source!$G442, "")</f>
        <v/>
      </c>
      <c r="AH442" s="2" t="str">
        <f>IF(Source!$C442&gt;=COLUMNS($A442:AH442), Source!$G442, "")</f>
        <v/>
      </c>
      <c r="AI442" s="2" t="str">
        <f>IF(Source!$C442&gt;=COLUMNS($A442:AI442), Source!$G442, "")</f>
        <v/>
      </c>
      <c r="AJ442" s="2" t="str">
        <f>IF(Source!$C442&gt;=COLUMNS($A442:AJ442), Source!$G442, "")</f>
        <v/>
      </c>
      <c r="AK442" s="2" t="str">
        <f>IF(Source!$C442&gt;=COLUMNS($A442:AK442), Source!$G442, "")</f>
        <v/>
      </c>
      <c r="AL442" s="2" t="str">
        <f>IF(Source!$C442&gt;=COLUMNS($A442:AL442), Source!$G442, "")</f>
        <v/>
      </c>
      <c r="AM442" s="2" t="str">
        <f>IF(Source!$C442&gt;=COLUMNS($A442:AM442), Source!$G442, "")</f>
        <v/>
      </c>
      <c r="AN442" s="2" t="str">
        <f>IF(Source!$C442&gt;=COLUMNS($A442:AN442), Source!$G442, "")</f>
        <v/>
      </c>
      <c r="AO442" s="2" t="str">
        <f>IF(Source!$C442&gt;=COLUMNS($A442:AO442), Source!$G442, "")</f>
        <v/>
      </c>
      <c r="AP442" s="2" t="str">
        <f>IF(Source!$C442&gt;=COLUMNS($A442:AP442), Source!$G442, "")</f>
        <v/>
      </c>
      <c r="AQ442" s="2" t="str">
        <f>IF(Source!$C442&gt;=COLUMNS($A442:AQ442), Source!$G442, "")</f>
        <v/>
      </c>
      <c r="AR442" s="2" t="str">
        <f>IF(Source!$C442&gt;=COLUMNS($A442:AR442), Source!$G442, "")</f>
        <v/>
      </c>
    </row>
    <row r="443">
      <c r="A443" s="2">
        <f>IF(Source!$C443&gt;=COLUMNS($A443:A443), Source!$G443, "")</f>
        <v>5</v>
      </c>
      <c r="B443" s="2">
        <f>IF(Source!$C443&gt;=COLUMNS($A443:B443), Source!$G443, "")</f>
        <v>5</v>
      </c>
      <c r="C443" s="2">
        <f>IF(Source!$C443&gt;=COLUMNS($A443:C443), Source!$G443, "")</f>
        <v>5</v>
      </c>
      <c r="D443" s="2" t="str">
        <f>IF(Source!$C443&gt;=COLUMNS($A443:D443), Source!$G443, "")</f>
        <v/>
      </c>
      <c r="E443" s="2" t="str">
        <f>IF(Source!$C443&gt;=COLUMNS($A443:E443), Source!$G443, "")</f>
        <v/>
      </c>
      <c r="F443" s="2" t="str">
        <f>IF(Source!$C443&gt;=COLUMNS($A443:F443), Source!$G443, "")</f>
        <v/>
      </c>
      <c r="G443" s="2" t="str">
        <f>IF(Source!$C443&gt;=COLUMNS($A443:G443), Source!$G443, "")</f>
        <v/>
      </c>
      <c r="H443" s="2" t="str">
        <f>IF(Source!$C443&gt;=COLUMNS($A443:H443), Source!$G443, "")</f>
        <v/>
      </c>
      <c r="I443" s="2" t="str">
        <f>IF(Source!$C443&gt;=COLUMNS($A443:I443), Source!$G443, "")</f>
        <v/>
      </c>
      <c r="J443" s="2" t="str">
        <f>IF(Source!$C443&gt;=COLUMNS($A443:J443), Source!$G443, "")</f>
        <v/>
      </c>
      <c r="K443" s="2" t="str">
        <f>IF(Source!$C443&gt;=COLUMNS($A443:K443), Source!$G443, "")</f>
        <v/>
      </c>
      <c r="L443" s="2" t="str">
        <f>IF(Source!$C443&gt;=COLUMNS($A443:L443), Source!$G443, "")</f>
        <v/>
      </c>
      <c r="M443" s="2" t="str">
        <f>IF(Source!$C443&gt;=COLUMNS($A443:M443), Source!$G443, "")</f>
        <v/>
      </c>
      <c r="N443" s="2" t="str">
        <f>IF(Source!$C443&gt;=COLUMNS($A443:N443), Source!$G443, "")</f>
        <v/>
      </c>
      <c r="O443" s="2" t="str">
        <f>IF(Source!$C443&gt;=COLUMNS($A443:O443), Source!$G443, "")</f>
        <v/>
      </c>
      <c r="P443" s="2" t="str">
        <f>IF(Source!$C443&gt;=COLUMNS($A443:P443), Source!$G443, "")</f>
        <v/>
      </c>
      <c r="Q443" s="2" t="str">
        <f>IF(Source!$C443&gt;=COLUMNS($A443:Q443), Source!$G443, "")</f>
        <v/>
      </c>
      <c r="R443" s="2" t="str">
        <f>IF(Source!$C443&gt;=COLUMNS($A443:R443), Source!$G443, "")</f>
        <v/>
      </c>
      <c r="S443" s="2" t="str">
        <f>IF(Source!$C443&gt;=COLUMNS($A443:S443), Source!$G443, "")</f>
        <v/>
      </c>
      <c r="T443" s="2" t="str">
        <f>IF(Source!$C443&gt;=COLUMNS($A443:T443), Source!$G443, "")</f>
        <v/>
      </c>
      <c r="U443" s="2" t="str">
        <f>IF(Source!$C443&gt;=COLUMNS($A443:U443), Source!$G443, "")</f>
        <v/>
      </c>
      <c r="V443" s="2" t="str">
        <f>IF(Source!$C443&gt;=COLUMNS($A443:V443), Source!$G443, "")</f>
        <v/>
      </c>
      <c r="W443" s="2" t="str">
        <f>IF(Source!$C443&gt;=COLUMNS($A443:W443), Source!$G443, "")</f>
        <v/>
      </c>
      <c r="X443" s="2" t="str">
        <f>IF(Source!$C443&gt;=COLUMNS($A443:X443), Source!$G443, "")</f>
        <v/>
      </c>
      <c r="Y443" s="2" t="str">
        <f>IF(Source!$C443&gt;=COLUMNS($A443:Y443), Source!$G443, "")</f>
        <v/>
      </c>
      <c r="Z443" s="2" t="str">
        <f>IF(Source!$C443&gt;=COLUMNS($A443:Z443), Source!$G443, "")</f>
        <v/>
      </c>
      <c r="AA443" s="2" t="str">
        <f>IF(Source!$C443&gt;=COLUMNS($A443:AA443), Source!$G443, "")</f>
        <v/>
      </c>
      <c r="AB443" s="2" t="str">
        <f>IF(Source!$C443&gt;=COLUMNS($A443:AB443), Source!$G443, "")</f>
        <v/>
      </c>
      <c r="AC443" s="2" t="str">
        <f>IF(Source!$C443&gt;=COLUMNS($A443:AC443), Source!$G443, "")</f>
        <v/>
      </c>
      <c r="AD443" s="2" t="str">
        <f>IF(Source!$C443&gt;=COLUMNS($A443:AD443), Source!$G443, "")</f>
        <v/>
      </c>
      <c r="AE443" s="2" t="str">
        <f>IF(Source!$C443&gt;=COLUMNS($A443:AE443), Source!$G443, "")</f>
        <v/>
      </c>
      <c r="AF443" s="2" t="str">
        <f>IF(Source!$C443&gt;=COLUMNS($A443:AF443), Source!$G443, "")</f>
        <v/>
      </c>
      <c r="AG443" s="2" t="str">
        <f>IF(Source!$C443&gt;=COLUMNS($A443:AG443), Source!$G443, "")</f>
        <v/>
      </c>
      <c r="AH443" s="2" t="str">
        <f>IF(Source!$C443&gt;=COLUMNS($A443:AH443), Source!$G443, "")</f>
        <v/>
      </c>
      <c r="AI443" s="2" t="str">
        <f>IF(Source!$C443&gt;=COLUMNS($A443:AI443), Source!$G443, "")</f>
        <v/>
      </c>
      <c r="AJ443" s="2" t="str">
        <f>IF(Source!$C443&gt;=COLUMNS($A443:AJ443), Source!$G443, "")</f>
        <v/>
      </c>
      <c r="AK443" s="2" t="str">
        <f>IF(Source!$C443&gt;=COLUMNS($A443:AK443), Source!$G443, "")</f>
        <v/>
      </c>
      <c r="AL443" s="2" t="str">
        <f>IF(Source!$C443&gt;=COLUMNS($A443:AL443), Source!$G443, "")</f>
        <v/>
      </c>
      <c r="AM443" s="2" t="str">
        <f>IF(Source!$C443&gt;=COLUMNS($A443:AM443), Source!$G443, "")</f>
        <v/>
      </c>
      <c r="AN443" s="2" t="str">
        <f>IF(Source!$C443&gt;=COLUMNS($A443:AN443), Source!$G443, "")</f>
        <v/>
      </c>
      <c r="AO443" s="2" t="str">
        <f>IF(Source!$C443&gt;=COLUMNS($A443:AO443), Source!$G443, "")</f>
        <v/>
      </c>
      <c r="AP443" s="2" t="str">
        <f>IF(Source!$C443&gt;=COLUMNS($A443:AP443), Source!$G443, "")</f>
        <v/>
      </c>
      <c r="AQ443" s="2" t="str">
        <f>IF(Source!$C443&gt;=COLUMNS($A443:AQ443), Source!$G443, "")</f>
        <v/>
      </c>
      <c r="AR443" s="2" t="str">
        <f>IF(Source!$C443&gt;=COLUMNS($A443:AR443), Source!$G443, "")</f>
        <v/>
      </c>
    </row>
    <row r="444">
      <c r="A444" s="2">
        <f>IF(Source!$C444&gt;=COLUMNS($A444:A444), Source!$G444, "")</f>
        <v>1</v>
      </c>
      <c r="B444" s="2">
        <f>IF(Source!$C444&gt;=COLUMNS($A444:B444), Source!$G444, "")</f>
        <v>1</v>
      </c>
      <c r="C444" s="2">
        <f>IF(Source!$C444&gt;=COLUMNS($A444:C444), Source!$G444, "")</f>
        <v>1</v>
      </c>
      <c r="D444" s="2">
        <f>IF(Source!$C444&gt;=COLUMNS($A444:D444), Source!$G444, "")</f>
        <v>1</v>
      </c>
      <c r="E444" s="2">
        <f>IF(Source!$C444&gt;=COLUMNS($A444:E444), Source!$G444, "")</f>
        <v>1</v>
      </c>
      <c r="F444" s="2">
        <f>IF(Source!$C444&gt;=COLUMNS($A444:F444), Source!$G444, "")</f>
        <v>1</v>
      </c>
      <c r="G444" s="2">
        <f>IF(Source!$C444&gt;=COLUMNS($A444:G444), Source!$G444, "")</f>
        <v>1</v>
      </c>
      <c r="H444" s="2">
        <f>IF(Source!$C444&gt;=COLUMNS($A444:H444), Source!$G444, "")</f>
        <v>1</v>
      </c>
      <c r="I444" s="2">
        <f>IF(Source!$C444&gt;=COLUMNS($A444:I444), Source!$G444, "")</f>
        <v>1</v>
      </c>
      <c r="J444" s="2">
        <f>IF(Source!$C444&gt;=COLUMNS($A444:J444), Source!$G444, "")</f>
        <v>1</v>
      </c>
      <c r="K444" s="2">
        <f>IF(Source!$C444&gt;=COLUMNS($A444:K444), Source!$G444, "")</f>
        <v>1</v>
      </c>
      <c r="L444" s="2">
        <f>IF(Source!$C444&gt;=COLUMNS($A444:L444), Source!$G444, "")</f>
        <v>1</v>
      </c>
      <c r="M444" s="2">
        <f>IF(Source!$C444&gt;=COLUMNS($A444:M444), Source!$G444, "")</f>
        <v>1</v>
      </c>
      <c r="N444" s="2">
        <f>IF(Source!$C444&gt;=COLUMNS($A444:N444), Source!$G444, "")</f>
        <v>1</v>
      </c>
      <c r="O444" s="2">
        <f>IF(Source!$C444&gt;=COLUMNS($A444:O444), Source!$G444, "")</f>
        <v>1</v>
      </c>
      <c r="P444" s="2" t="str">
        <f>IF(Source!$C444&gt;=COLUMNS($A444:P444), Source!$G444, "")</f>
        <v/>
      </c>
      <c r="Q444" s="2" t="str">
        <f>IF(Source!$C444&gt;=COLUMNS($A444:Q444), Source!$G444, "")</f>
        <v/>
      </c>
      <c r="R444" s="2" t="str">
        <f>IF(Source!$C444&gt;=COLUMNS($A444:R444), Source!$G444, "")</f>
        <v/>
      </c>
      <c r="S444" s="2" t="str">
        <f>IF(Source!$C444&gt;=COLUMNS($A444:S444), Source!$G444, "")</f>
        <v/>
      </c>
      <c r="T444" s="2" t="str">
        <f>IF(Source!$C444&gt;=COLUMNS($A444:T444), Source!$G444, "")</f>
        <v/>
      </c>
      <c r="U444" s="2" t="str">
        <f>IF(Source!$C444&gt;=COLUMNS($A444:U444), Source!$G444, "")</f>
        <v/>
      </c>
      <c r="V444" s="2" t="str">
        <f>IF(Source!$C444&gt;=COLUMNS($A444:V444), Source!$G444, "")</f>
        <v/>
      </c>
      <c r="W444" s="2" t="str">
        <f>IF(Source!$C444&gt;=COLUMNS($A444:W444), Source!$G444, "")</f>
        <v/>
      </c>
      <c r="X444" s="2" t="str">
        <f>IF(Source!$C444&gt;=COLUMNS($A444:X444), Source!$G444, "")</f>
        <v/>
      </c>
      <c r="Y444" s="2" t="str">
        <f>IF(Source!$C444&gt;=COLUMNS($A444:Y444), Source!$G444, "")</f>
        <v/>
      </c>
      <c r="Z444" s="2" t="str">
        <f>IF(Source!$C444&gt;=COLUMNS($A444:Z444), Source!$G444, "")</f>
        <v/>
      </c>
      <c r="AA444" s="2" t="str">
        <f>IF(Source!$C444&gt;=COLUMNS($A444:AA444), Source!$G444, "")</f>
        <v/>
      </c>
      <c r="AB444" s="2" t="str">
        <f>IF(Source!$C444&gt;=COLUMNS($A444:AB444), Source!$G444, "")</f>
        <v/>
      </c>
      <c r="AC444" s="2" t="str">
        <f>IF(Source!$C444&gt;=COLUMNS($A444:AC444), Source!$G444, "")</f>
        <v/>
      </c>
      <c r="AD444" s="2" t="str">
        <f>IF(Source!$C444&gt;=COLUMNS($A444:AD444), Source!$G444, "")</f>
        <v/>
      </c>
      <c r="AE444" s="2" t="str">
        <f>IF(Source!$C444&gt;=COLUMNS($A444:AE444), Source!$G444, "")</f>
        <v/>
      </c>
      <c r="AF444" s="2" t="str">
        <f>IF(Source!$C444&gt;=COLUMNS($A444:AF444), Source!$G444, "")</f>
        <v/>
      </c>
      <c r="AG444" s="2" t="str">
        <f>IF(Source!$C444&gt;=COLUMNS($A444:AG444), Source!$G444, "")</f>
        <v/>
      </c>
      <c r="AH444" s="2" t="str">
        <f>IF(Source!$C444&gt;=COLUMNS($A444:AH444), Source!$G444, "")</f>
        <v/>
      </c>
      <c r="AI444" s="2" t="str">
        <f>IF(Source!$C444&gt;=COLUMNS($A444:AI444), Source!$G444, "")</f>
        <v/>
      </c>
      <c r="AJ444" s="2" t="str">
        <f>IF(Source!$C444&gt;=COLUMNS($A444:AJ444), Source!$G444, "")</f>
        <v/>
      </c>
      <c r="AK444" s="2" t="str">
        <f>IF(Source!$C444&gt;=COLUMNS($A444:AK444), Source!$G444, "")</f>
        <v/>
      </c>
      <c r="AL444" s="2" t="str">
        <f>IF(Source!$C444&gt;=COLUMNS($A444:AL444), Source!$G444, "")</f>
        <v/>
      </c>
      <c r="AM444" s="2" t="str">
        <f>IF(Source!$C444&gt;=COLUMNS($A444:AM444), Source!$G444, "")</f>
        <v/>
      </c>
      <c r="AN444" s="2" t="str">
        <f>IF(Source!$C444&gt;=COLUMNS($A444:AN444), Source!$G444, "")</f>
        <v/>
      </c>
      <c r="AO444" s="2" t="str">
        <f>IF(Source!$C444&gt;=COLUMNS($A444:AO444), Source!$G444, "")</f>
        <v/>
      </c>
      <c r="AP444" s="2" t="str">
        <f>IF(Source!$C444&gt;=COLUMNS($A444:AP444), Source!$G444, "")</f>
        <v/>
      </c>
      <c r="AQ444" s="2" t="str">
        <f>IF(Source!$C444&gt;=COLUMNS($A444:AQ444), Source!$G444, "")</f>
        <v/>
      </c>
      <c r="AR444" s="2" t="str">
        <f>IF(Source!$C444&gt;=COLUMNS($A444:AR444), Source!$G444, "")</f>
        <v/>
      </c>
    </row>
    <row r="445">
      <c r="A445" s="2">
        <f>IF(Source!$C445&gt;=COLUMNS($A445:A445), Source!$G445, "")</f>
        <v>7</v>
      </c>
      <c r="B445" s="2" t="str">
        <f>IF(Source!$C445&gt;=COLUMNS($A445:B445), Source!$G445, "")</f>
        <v/>
      </c>
      <c r="C445" s="2" t="str">
        <f>IF(Source!$C445&gt;=COLUMNS($A445:C445), Source!$G445, "")</f>
        <v/>
      </c>
      <c r="D445" s="2" t="str">
        <f>IF(Source!$C445&gt;=COLUMNS($A445:D445), Source!$G445, "")</f>
        <v/>
      </c>
      <c r="E445" s="2" t="str">
        <f>IF(Source!$C445&gt;=COLUMNS($A445:E445), Source!$G445, "")</f>
        <v/>
      </c>
      <c r="F445" s="2" t="str">
        <f>IF(Source!$C445&gt;=COLUMNS($A445:F445), Source!$G445, "")</f>
        <v/>
      </c>
      <c r="G445" s="2" t="str">
        <f>IF(Source!$C445&gt;=COLUMNS($A445:G445), Source!$G445, "")</f>
        <v/>
      </c>
      <c r="H445" s="2" t="str">
        <f>IF(Source!$C445&gt;=COLUMNS($A445:H445), Source!$G445, "")</f>
        <v/>
      </c>
      <c r="I445" s="2" t="str">
        <f>IF(Source!$C445&gt;=COLUMNS($A445:I445), Source!$G445, "")</f>
        <v/>
      </c>
      <c r="J445" s="2" t="str">
        <f>IF(Source!$C445&gt;=COLUMNS($A445:J445), Source!$G445, "")</f>
        <v/>
      </c>
      <c r="K445" s="2" t="str">
        <f>IF(Source!$C445&gt;=COLUMNS($A445:K445), Source!$G445, "")</f>
        <v/>
      </c>
      <c r="L445" s="2" t="str">
        <f>IF(Source!$C445&gt;=COLUMNS($A445:L445), Source!$G445, "")</f>
        <v/>
      </c>
      <c r="M445" s="2" t="str">
        <f>IF(Source!$C445&gt;=COLUMNS($A445:M445), Source!$G445, "")</f>
        <v/>
      </c>
      <c r="N445" s="2" t="str">
        <f>IF(Source!$C445&gt;=COLUMNS($A445:N445), Source!$G445, "")</f>
        <v/>
      </c>
      <c r="O445" s="2" t="str">
        <f>IF(Source!$C445&gt;=COLUMNS($A445:O445), Source!$G445, "")</f>
        <v/>
      </c>
      <c r="P445" s="2" t="str">
        <f>IF(Source!$C445&gt;=COLUMNS($A445:P445), Source!$G445, "")</f>
        <v/>
      </c>
      <c r="Q445" s="2" t="str">
        <f>IF(Source!$C445&gt;=COLUMNS($A445:Q445), Source!$G445, "")</f>
        <v/>
      </c>
      <c r="R445" s="2" t="str">
        <f>IF(Source!$C445&gt;=COLUMNS($A445:R445), Source!$G445, "")</f>
        <v/>
      </c>
      <c r="S445" s="2" t="str">
        <f>IF(Source!$C445&gt;=COLUMNS($A445:S445), Source!$G445, "")</f>
        <v/>
      </c>
      <c r="T445" s="2" t="str">
        <f>IF(Source!$C445&gt;=COLUMNS($A445:T445), Source!$G445, "")</f>
        <v/>
      </c>
      <c r="U445" s="2" t="str">
        <f>IF(Source!$C445&gt;=COLUMNS($A445:U445), Source!$G445, "")</f>
        <v/>
      </c>
      <c r="V445" s="2" t="str">
        <f>IF(Source!$C445&gt;=COLUMNS($A445:V445), Source!$G445, "")</f>
        <v/>
      </c>
      <c r="W445" s="2" t="str">
        <f>IF(Source!$C445&gt;=COLUMNS($A445:W445), Source!$G445, "")</f>
        <v/>
      </c>
      <c r="X445" s="2" t="str">
        <f>IF(Source!$C445&gt;=COLUMNS($A445:X445), Source!$G445, "")</f>
        <v/>
      </c>
      <c r="Y445" s="2" t="str">
        <f>IF(Source!$C445&gt;=COLUMNS($A445:Y445), Source!$G445, "")</f>
        <v/>
      </c>
      <c r="Z445" s="2" t="str">
        <f>IF(Source!$C445&gt;=COLUMNS($A445:Z445), Source!$G445, "")</f>
        <v/>
      </c>
      <c r="AA445" s="2" t="str">
        <f>IF(Source!$C445&gt;=COLUMNS($A445:AA445), Source!$G445, "")</f>
        <v/>
      </c>
      <c r="AB445" s="2" t="str">
        <f>IF(Source!$C445&gt;=COLUMNS($A445:AB445), Source!$G445, "")</f>
        <v/>
      </c>
      <c r="AC445" s="2" t="str">
        <f>IF(Source!$C445&gt;=COLUMNS($A445:AC445), Source!$G445, "")</f>
        <v/>
      </c>
      <c r="AD445" s="2" t="str">
        <f>IF(Source!$C445&gt;=COLUMNS($A445:AD445), Source!$G445, "")</f>
        <v/>
      </c>
      <c r="AE445" s="2" t="str">
        <f>IF(Source!$C445&gt;=COLUMNS($A445:AE445), Source!$G445, "")</f>
        <v/>
      </c>
      <c r="AF445" s="2" t="str">
        <f>IF(Source!$C445&gt;=COLUMNS($A445:AF445), Source!$G445, "")</f>
        <v/>
      </c>
      <c r="AG445" s="2" t="str">
        <f>IF(Source!$C445&gt;=COLUMNS($A445:AG445), Source!$G445, "")</f>
        <v/>
      </c>
      <c r="AH445" s="2" t="str">
        <f>IF(Source!$C445&gt;=COLUMNS($A445:AH445), Source!$G445, "")</f>
        <v/>
      </c>
      <c r="AI445" s="2" t="str">
        <f>IF(Source!$C445&gt;=COLUMNS($A445:AI445), Source!$G445, "")</f>
        <v/>
      </c>
      <c r="AJ445" s="2" t="str">
        <f>IF(Source!$C445&gt;=COLUMNS($A445:AJ445), Source!$G445, "")</f>
        <v/>
      </c>
      <c r="AK445" s="2" t="str">
        <f>IF(Source!$C445&gt;=COLUMNS($A445:AK445), Source!$G445, "")</f>
        <v/>
      </c>
      <c r="AL445" s="2" t="str">
        <f>IF(Source!$C445&gt;=COLUMNS($A445:AL445), Source!$G445, "")</f>
        <v/>
      </c>
      <c r="AM445" s="2" t="str">
        <f>IF(Source!$C445&gt;=COLUMNS($A445:AM445), Source!$G445, "")</f>
        <v/>
      </c>
      <c r="AN445" s="2" t="str">
        <f>IF(Source!$C445&gt;=COLUMNS($A445:AN445), Source!$G445, "")</f>
        <v/>
      </c>
      <c r="AO445" s="2" t="str">
        <f>IF(Source!$C445&gt;=COLUMNS($A445:AO445), Source!$G445, "")</f>
        <v/>
      </c>
      <c r="AP445" s="2" t="str">
        <f>IF(Source!$C445&gt;=COLUMNS($A445:AP445), Source!$G445, "")</f>
        <v/>
      </c>
      <c r="AQ445" s="2" t="str">
        <f>IF(Source!$C445&gt;=COLUMNS($A445:AQ445), Source!$G445, "")</f>
        <v/>
      </c>
      <c r="AR445" s="2" t="str">
        <f>IF(Source!$C445&gt;=COLUMNS($A445:AR445), Source!$G445, "")</f>
        <v/>
      </c>
    </row>
    <row r="446">
      <c r="A446" s="2">
        <f>IF(Source!$C446&gt;=COLUMNS($A446:A446), Source!$G446, "")</f>
        <v>7</v>
      </c>
      <c r="B446" s="2">
        <f>IF(Source!$C446&gt;=COLUMNS($A446:B446), Source!$G446, "")</f>
        <v>7</v>
      </c>
      <c r="C446" s="2">
        <f>IF(Source!$C446&gt;=COLUMNS($A446:C446), Source!$G446, "")</f>
        <v>7</v>
      </c>
      <c r="D446" s="2">
        <f>IF(Source!$C446&gt;=COLUMNS($A446:D446), Source!$G446, "")</f>
        <v>7</v>
      </c>
      <c r="E446" s="2" t="str">
        <f>IF(Source!$C446&gt;=COLUMNS($A446:E446), Source!$G446, "")</f>
        <v/>
      </c>
      <c r="F446" s="2" t="str">
        <f>IF(Source!$C446&gt;=COLUMNS($A446:F446), Source!$G446, "")</f>
        <v/>
      </c>
      <c r="G446" s="2" t="str">
        <f>IF(Source!$C446&gt;=COLUMNS($A446:G446), Source!$G446, "")</f>
        <v/>
      </c>
      <c r="H446" s="2" t="str">
        <f>IF(Source!$C446&gt;=COLUMNS($A446:H446), Source!$G446, "")</f>
        <v/>
      </c>
      <c r="I446" s="2" t="str">
        <f>IF(Source!$C446&gt;=COLUMNS($A446:I446), Source!$G446, "")</f>
        <v/>
      </c>
      <c r="J446" s="2" t="str">
        <f>IF(Source!$C446&gt;=COLUMNS($A446:J446), Source!$G446, "")</f>
        <v/>
      </c>
      <c r="K446" s="2" t="str">
        <f>IF(Source!$C446&gt;=COLUMNS($A446:K446), Source!$G446, "")</f>
        <v/>
      </c>
      <c r="L446" s="2" t="str">
        <f>IF(Source!$C446&gt;=COLUMNS($A446:L446), Source!$G446, "")</f>
        <v/>
      </c>
      <c r="M446" s="2" t="str">
        <f>IF(Source!$C446&gt;=COLUMNS($A446:M446), Source!$G446, "")</f>
        <v/>
      </c>
      <c r="N446" s="2" t="str">
        <f>IF(Source!$C446&gt;=COLUMNS($A446:N446), Source!$G446, "")</f>
        <v/>
      </c>
      <c r="O446" s="2" t="str">
        <f>IF(Source!$C446&gt;=COLUMNS($A446:O446), Source!$G446, "")</f>
        <v/>
      </c>
      <c r="P446" s="2" t="str">
        <f>IF(Source!$C446&gt;=COLUMNS($A446:P446), Source!$G446, "")</f>
        <v/>
      </c>
      <c r="Q446" s="2" t="str">
        <f>IF(Source!$C446&gt;=COLUMNS($A446:Q446), Source!$G446, "")</f>
        <v/>
      </c>
      <c r="R446" s="2" t="str">
        <f>IF(Source!$C446&gt;=COLUMNS($A446:R446), Source!$G446, "")</f>
        <v/>
      </c>
      <c r="S446" s="2" t="str">
        <f>IF(Source!$C446&gt;=COLUMNS($A446:S446), Source!$G446, "")</f>
        <v/>
      </c>
      <c r="T446" s="2" t="str">
        <f>IF(Source!$C446&gt;=COLUMNS($A446:T446), Source!$G446, "")</f>
        <v/>
      </c>
      <c r="U446" s="2" t="str">
        <f>IF(Source!$C446&gt;=COLUMNS($A446:U446), Source!$G446, "")</f>
        <v/>
      </c>
      <c r="V446" s="2" t="str">
        <f>IF(Source!$C446&gt;=COLUMNS($A446:V446), Source!$G446, "")</f>
        <v/>
      </c>
      <c r="W446" s="2" t="str">
        <f>IF(Source!$C446&gt;=COLUMNS($A446:W446), Source!$G446, "")</f>
        <v/>
      </c>
      <c r="X446" s="2" t="str">
        <f>IF(Source!$C446&gt;=COLUMNS($A446:X446), Source!$G446, "")</f>
        <v/>
      </c>
      <c r="Y446" s="2" t="str">
        <f>IF(Source!$C446&gt;=COLUMNS($A446:Y446), Source!$G446, "")</f>
        <v/>
      </c>
      <c r="Z446" s="2" t="str">
        <f>IF(Source!$C446&gt;=COLUMNS($A446:Z446), Source!$G446, "")</f>
        <v/>
      </c>
      <c r="AA446" s="2" t="str">
        <f>IF(Source!$C446&gt;=COLUMNS($A446:AA446), Source!$G446, "")</f>
        <v/>
      </c>
      <c r="AB446" s="2" t="str">
        <f>IF(Source!$C446&gt;=COLUMNS($A446:AB446), Source!$G446, "")</f>
        <v/>
      </c>
      <c r="AC446" s="2" t="str">
        <f>IF(Source!$C446&gt;=COLUMNS($A446:AC446), Source!$G446, "")</f>
        <v/>
      </c>
      <c r="AD446" s="2" t="str">
        <f>IF(Source!$C446&gt;=COLUMNS($A446:AD446), Source!$G446, "")</f>
        <v/>
      </c>
      <c r="AE446" s="2" t="str">
        <f>IF(Source!$C446&gt;=COLUMNS($A446:AE446), Source!$G446, "")</f>
        <v/>
      </c>
      <c r="AF446" s="2" t="str">
        <f>IF(Source!$C446&gt;=COLUMNS($A446:AF446), Source!$G446, "")</f>
        <v/>
      </c>
      <c r="AG446" s="2" t="str">
        <f>IF(Source!$C446&gt;=COLUMNS($A446:AG446), Source!$G446, "")</f>
        <v/>
      </c>
      <c r="AH446" s="2" t="str">
        <f>IF(Source!$C446&gt;=COLUMNS($A446:AH446), Source!$G446, "")</f>
        <v/>
      </c>
      <c r="AI446" s="2" t="str">
        <f>IF(Source!$C446&gt;=COLUMNS($A446:AI446), Source!$G446, "")</f>
        <v/>
      </c>
      <c r="AJ446" s="2" t="str">
        <f>IF(Source!$C446&gt;=COLUMNS($A446:AJ446), Source!$G446, "")</f>
        <v/>
      </c>
      <c r="AK446" s="2" t="str">
        <f>IF(Source!$C446&gt;=COLUMNS($A446:AK446), Source!$G446, "")</f>
        <v/>
      </c>
      <c r="AL446" s="2" t="str">
        <f>IF(Source!$C446&gt;=COLUMNS($A446:AL446), Source!$G446, "")</f>
        <v/>
      </c>
      <c r="AM446" s="2" t="str">
        <f>IF(Source!$C446&gt;=COLUMNS($A446:AM446), Source!$G446, "")</f>
        <v/>
      </c>
      <c r="AN446" s="2" t="str">
        <f>IF(Source!$C446&gt;=COLUMNS($A446:AN446), Source!$G446, "")</f>
        <v/>
      </c>
      <c r="AO446" s="2" t="str">
        <f>IF(Source!$C446&gt;=COLUMNS($A446:AO446), Source!$G446, "")</f>
        <v/>
      </c>
      <c r="AP446" s="2" t="str">
        <f>IF(Source!$C446&gt;=COLUMNS($A446:AP446), Source!$G446, "")</f>
        <v/>
      </c>
      <c r="AQ446" s="2" t="str">
        <f>IF(Source!$C446&gt;=COLUMNS($A446:AQ446), Source!$G446, "")</f>
        <v/>
      </c>
      <c r="AR446" s="2" t="str">
        <f>IF(Source!$C446&gt;=COLUMNS($A446:AR446), Source!$G446, "")</f>
        <v/>
      </c>
    </row>
    <row r="447">
      <c r="A447" s="2">
        <f>IF(Source!$C447&gt;=COLUMNS($A447:A447), Source!$G447, "")</f>
        <v>1</v>
      </c>
      <c r="B447" s="2">
        <f>IF(Source!$C447&gt;=COLUMNS($A447:B447), Source!$G447, "")</f>
        <v>1</v>
      </c>
      <c r="C447" s="2">
        <f>IF(Source!$C447&gt;=COLUMNS($A447:C447), Source!$G447, "")</f>
        <v>1</v>
      </c>
      <c r="D447" s="2">
        <f>IF(Source!$C447&gt;=COLUMNS($A447:D447), Source!$G447, "")</f>
        <v>1</v>
      </c>
      <c r="E447" s="2">
        <f>IF(Source!$C447&gt;=COLUMNS($A447:E447), Source!$G447, "")</f>
        <v>1</v>
      </c>
      <c r="F447" s="2">
        <f>IF(Source!$C447&gt;=COLUMNS($A447:F447), Source!$G447, "")</f>
        <v>1</v>
      </c>
      <c r="G447" s="2">
        <f>IF(Source!$C447&gt;=COLUMNS($A447:G447), Source!$G447, "")</f>
        <v>1</v>
      </c>
      <c r="H447" s="2">
        <f>IF(Source!$C447&gt;=COLUMNS($A447:H447), Source!$G447, "")</f>
        <v>1</v>
      </c>
      <c r="I447" s="2">
        <f>IF(Source!$C447&gt;=COLUMNS($A447:I447), Source!$G447, "")</f>
        <v>1</v>
      </c>
      <c r="J447" s="2">
        <f>IF(Source!$C447&gt;=COLUMNS($A447:J447), Source!$G447, "")</f>
        <v>1</v>
      </c>
      <c r="K447" s="2">
        <f>IF(Source!$C447&gt;=COLUMNS($A447:K447), Source!$G447, "")</f>
        <v>1</v>
      </c>
      <c r="L447" s="2">
        <f>IF(Source!$C447&gt;=COLUMNS($A447:L447), Source!$G447, "")</f>
        <v>1</v>
      </c>
      <c r="M447" s="2" t="str">
        <f>IF(Source!$C447&gt;=COLUMNS($A447:M447), Source!$G447, "")</f>
        <v/>
      </c>
      <c r="N447" s="2" t="str">
        <f>IF(Source!$C447&gt;=COLUMNS($A447:N447), Source!$G447, "")</f>
        <v/>
      </c>
      <c r="O447" s="2" t="str">
        <f>IF(Source!$C447&gt;=COLUMNS($A447:O447), Source!$G447, "")</f>
        <v/>
      </c>
      <c r="P447" s="2" t="str">
        <f>IF(Source!$C447&gt;=COLUMNS($A447:P447), Source!$G447, "")</f>
        <v/>
      </c>
      <c r="Q447" s="2" t="str">
        <f>IF(Source!$C447&gt;=COLUMNS($A447:Q447), Source!$G447, "")</f>
        <v/>
      </c>
      <c r="R447" s="2" t="str">
        <f>IF(Source!$C447&gt;=COLUMNS($A447:R447), Source!$G447, "")</f>
        <v/>
      </c>
      <c r="S447" s="2" t="str">
        <f>IF(Source!$C447&gt;=COLUMNS($A447:S447), Source!$G447, "")</f>
        <v/>
      </c>
      <c r="T447" s="2" t="str">
        <f>IF(Source!$C447&gt;=COLUMNS($A447:T447), Source!$G447, "")</f>
        <v/>
      </c>
      <c r="U447" s="2" t="str">
        <f>IF(Source!$C447&gt;=COLUMNS($A447:U447), Source!$G447, "")</f>
        <v/>
      </c>
      <c r="V447" s="2" t="str">
        <f>IF(Source!$C447&gt;=COLUMNS($A447:V447), Source!$G447, "")</f>
        <v/>
      </c>
      <c r="W447" s="2" t="str">
        <f>IF(Source!$C447&gt;=COLUMNS($A447:W447), Source!$G447, "")</f>
        <v/>
      </c>
      <c r="X447" s="2" t="str">
        <f>IF(Source!$C447&gt;=COLUMNS($A447:X447), Source!$G447, "")</f>
        <v/>
      </c>
      <c r="Y447" s="2" t="str">
        <f>IF(Source!$C447&gt;=COLUMNS($A447:Y447), Source!$G447, "")</f>
        <v/>
      </c>
      <c r="Z447" s="2" t="str">
        <f>IF(Source!$C447&gt;=COLUMNS($A447:Z447), Source!$G447, "")</f>
        <v/>
      </c>
      <c r="AA447" s="2" t="str">
        <f>IF(Source!$C447&gt;=COLUMNS($A447:AA447), Source!$G447, "")</f>
        <v/>
      </c>
      <c r="AB447" s="2" t="str">
        <f>IF(Source!$C447&gt;=COLUMNS($A447:AB447), Source!$G447, "")</f>
        <v/>
      </c>
      <c r="AC447" s="2" t="str">
        <f>IF(Source!$C447&gt;=COLUMNS($A447:AC447), Source!$G447, "")</f>
        <v/>
      </c>
      <c r="AD447" s="2" t="str">
        <f>IF(Source!$C447&gt;=COLUMNS($A447:AD447), Source!$G447, "")</f>
        <v/>
      </c>
      <c r="AE447" s="2" t="str">
        <f>IF(Source!$C447&gt;=COLUMNS($A447:AE447), Source!$G447, "")</f>
        <v/>
      </c>
      <c r="AF447" s="2" t="str">
        <f>IF(Source!$C447&gt;=COLUMNS($A447:AF447), Source!$G447, "")</f>
        <v/>
      </c>
      <c r="AG447" s="2" t="str">
        <f>IF(Source!$C447&gt;=COLUMNS($A447:AG447), Source!$G447, "")</f>
        <v/>
      </c>
      <c r="AH447" s="2" t="str">
        <f>IF(Source!$C447&gt;=COLUMNS($A447:AH447), Source!$G447, "")</f>
        <v/>
      </c>
      <c r="AI447" s="2" t="str">
        <f>IF(Source!$C447&gt;=COLUMNS($A447:AI447), Source!$G447, "")</f>
        <v/>
      </c>
      <c r="AJ447" s="2" t="str">
        <f>IF(Source!$C447&gt;=COLUMNS($A447:AJ447), Source!$G447, "")</f>
        <v/>
      </c>
      <c r="AK447" s="2" t="str">
        <f>IF(Source!$C447&gt;=COLUMNS($A447:AK447), Source!$G447, "")</f>
        <v/>
      </c>
      <c r="AL447" s="2" t="str">
        <f>IF(Source!$C447&gt;=COLUMNS($A447:AL447), Source!$G447, "")</f>
        <v/>
      </c>
      <c r="AM447" s="2" t="str">
        <f>IF(Source!$C447&gt;=COLUMNS($A447:AM447), Source!$G447, "")</f>
        <v/>
      </c>
      <c r="AN447" s="2" t="str">
        <f>IF(Source!$C447&gt;=COLUMNS($A447:AN447), Source!$G447, "")</f>
        <v/>
      </c>
      <c r="AO447" s="2" t="str">
        <f>IF(Source!$C447&gt;=COLUMNS($A447:AO447), Source!$G447, "")</f>
        <v/>
      </c>
      <c r="AP447" s="2" t="str">
        <f>IF(Source!$C447&gt;=COLUMNS($A447:AP447), Source!$G447, "")</f>
        <v/>
      </c>
      <c r="AQ447" s="2" t="str">
        <f>IF(Source!$C447&gt;=COLUMNS($A447:AQ447), Source!$G447, "")</f>
        <v/>
      </c>
      <c r="AR447" s="2" t="str">
        <f>IF(Source!$C447&gt;=COLUMNS($A447:AR447), Source!$G447, "")</f>
        <v/>
      </c>
    </row>
    <row r="448">
      <c r="A448" s="2">
        <f>IF(Source!$C448&gt;=COLUMNS($A448:A448), Source!$G448, "")</f>
        <v>3</v>
      </c>
      <c r="B448" s="2">
        <f>IF(Source!$C448&gt;=COLUMNS($A448:B448), Source!$G448, "")</f>
        <v>3</v>
      </c>
      <c r="C448" s="2">
        <f>IF(Source!$C448&gt;=COLUMNS($A448:C448), Source!$G448, "")</f>
        <v>3</v>
      </c>
      <c r="D448" s="2" t="str">
        <f>IF(Source!$C448&gt;=COLUMNS($A448:D448), Source!$G448, "")</f>
        <v/>
      </c>
      <c r="E448" s="2" t="str">
        <f>IF(Source!$C448&gt;=COLUMNS($A448:E448), Source!$G448, "")</f>
        <v/>
      </c>
      <c r="F448" s="2" t="str">
        <f>IF(Source!$C448&gt;=COLUMNS($A448:F448), Source!$G448, "")</f>
        <v/>
      </c>
      <c r="G448" s="2" t="str">
        <f>IF(Source!$C448&gt;=COLUMNS($A448:G448), Source!$G448, "")</f>
        <v/>
      </c>
      <c r="H448" s="2" t="str">
        <f>IF(Source!$C448&gt;=COLUMNS($A448:H448), Source!$G448, "")</f>
        <v/>
      </c>
      <c r="I448" s="2" t="str">
        <f>IF(Source!$C448&gt;=COLUMNS($A448:I448), Source!$G448, "")</f>
        <v/>
      </c>
      <c r="J448" s="2" t="str">
        <f>IF(Source!$C448&gt;=COLUMNS($A448:J448), Source!$G448, "")</f>
        <v/>
      </c>
      <c r="K448" s="2" t="str">
        <f>IF(Source!$C448&gt;=COLUMNS($A448:K448), Source!$G448, "")</f>
        <v/>
      </c>
      <c r="L448" s="2" t="str">
        <f>IF(Source!$C448&gt;=COLUMNS($A448:L448), Source!$G448, "")</f>
        <v/>
      </c>
      <c r="M448" s="2" t="str">
        <f>IF(Source!$C448&gt;=COLUMNS($A448:M448), Source!$G448, "")</f>
        <v/>
      </c>
      <c r="N448" s="2" t="str">
        <f>IF(Source!$C448&gt;=COLUMNS($A448:N448), Source!$G448, "")</f>
        <v/>
      </c>
      <c r="O448" s="2" t="str">
        <f>IF(Source!$C448&gt;=COLUMNS($A448:O448), Source!$G448, "")</f>
        <v/>
      </c>
      <c r="P448" s="2" t="str">
        <f>IF(Source!$C448&gt;=COLUMNS($A448:P448), Source!$G448, "")</f>
        <v/>
      </c>
      <c r="Q448" s="2" t="str">
        <f>IF(Source!$C448&gt;=COLUMNS($A448:Q448), Source!$G448, "")</f>
        <v/>
      </c>
      <c r="R448" s="2" t="str">
        <f>IF(Source!$C448&gt;=COLUMNS($A448:R448), Source!$G448, "")</f>
        <v/>
      </c>
      <c r="S448" s="2" t="str">
        <f>IF(Source!$C448&gt;=COLUMNS($A448:S448), Source!$G448, "")</f>
        <v/>
      </c>
      <c r="T448" s="2" t="str">
        <f>IF(Source!$C448&gt;=COLUMNS($A448:T448), Source!$G448, "")</f>
        <v/>
      </c>
      <c r="U448" s="2" t="str">
        <f>IF(Source!$C448&gt;=COLUMNS($A448:U448), Source!$G448, "")</f>
        <v/>
      </c>
      <c r="V448" s="2" t="str">
        <f>IF(Source!$C448&gt;=COLUMNS($A448:V448), Source!$G448, "")</f>
        <v/>
      </c>
      <c r="W448" s="2" t="str">
        <f>IF(Source!$C448&gt;=COLUMNS($A448:W448), Source!$G448, "")</f>
        <v/>
      </c>
      <c r="X448" s="2" t="str">
        <f>IF(Source!$C448&gt;=COLUMNS($A448:X448), Source!$G448, "")</f>
        <v/>
      </c>
      <c r="Y448" s="2" t="str">
        <f>IF(Source!$C448&gt;=COLUMNS($A448:Y448), Source!$G448, "")</f>
        <v/>
      </c>
      <c r="Z448" s="2" t="str">
        <f>IF(Source!$C448&gt;=COLUMNS($A448:Z448), Source!$G448, "")</f>
        <v/>
      </c>
      <c r="AA448" s="2" t="str">
        <f>IF(Source!$C448&gt;=COLUMNS($A448:AA448), Source!$G448, "")</f>
        <v/>
      </c>
      <c r="AB448" s="2" t="str">
        <f>IF(Source!$C448&gt;=COLUMNS($A448:AB448), Source!$G448, "")</f>
        <v/>
      </c>
      <c r="AC448" s="2" t="str">
        <f>IF(Source!$C448&gt;=COLUMNS($A448:AC448), Source!$G448, "")</f>
        <v/>
      </c>
      <c r="AD448" s="2" t="str">
        <f>IF(Source!$C448&gt;=COLUMNS($A448:AD448), Source!$G448, "")</f>
        <v/>
      </c>
      <c r="AE448" s="2" t="str">
        <f>IF(Source!$C448&gt;=COLUMNS($A448:AE448), Source!$G448, "")</f>
        <v/>
      </c>
      <c r="AF448" s="2" t="str">
        <f>IF(Source!$C448&gt;=COLUMNS($A448:AF448), Source!$G448, "")</f>
        <v/>
      </c>
      <c r="AG448" s="2" t="str">
        <f>IF(Source!$C448&gt;=COLUMNS($A448:AG448), Source!$G448, "")</f>
        <v/>
      </c>
      <c r="AH448" s="2" t="str">
        <f>IF(Source!$C448&gt;=COLUMNS($A448:AH448), Source!$G448, "")</f>
        <v/>
      </c>
      <c r="AI448" s="2" t="str">
        <f>IF(Source!$C448&gt;=COLUMNS($A448:AI448), Source!$G448, "")</f>
        <v/>
      </c>
      <c r="AJ448" s="2" t="str">
        <f>IF(Source!$C448&gt;=COLUMNS($A448:AJ448), Source!$G448, "")</f>
        <v/>
      </c>
      <c r="AK448" s="2" t="str">
        <f>IF(Source!$C448&gt;=COLUMNS($A448:AK448), Source!$G448, "")</f>
        <v/>
      </c>
      <c r="AL448" s="2" t="str">
        <f>IF(Source!$C448&gt;=COLUMNS($A448:AL448), Source!$G448, "")</f>
        <v/>
      </c>
      <c r="AM448" s="2" t="str">
        <f>IF(Source!$C448&gt;=COLUMNS($A448:AM448), Source!$G448, "")</f>
        <v/>
      </c>
      <c r="AN448" s="2" t="str">
        <f>IF(Source!$C448&gt;=COLUMNS($A448:AN448), Source!$G448, "")</f>
        <v/>
      </c>
      <c r="AO448" s="2" t="str">
        <f>IF(Source!$C448&gt;=COLUMNS($A448:AO448), Source!$G448, "")</f>
        <v/>
      </c>
      <c r="AP448" s="2" t="str">
        <f>IF(Source!$C448&gt;=COLUMNS($A448:AP448), Source!$G448, "")</f>
        <v/>
      </c>
      <c r="AQ448" s="2" t="str">
        <f>IF(Source!$C448&gt;=COLUMNS($A448:AQ448), Source!$G448, "")</f>
        <v/>
      </c>
      <c r="AR448" s="2" t="str">
        <f>IF(Source!$C448&gt;=COLUMNS($A448:AR448), Source!$G448, "")</f>
        <v/>
      </c>
    </row>
    <row r="449">
      <c r="A449" s="2">
        <f>IF(Source!$C449&gt;=COLUMNS($A449:A449), Source!$G449, "")</f>
        <v>2</v>
      </c>
      <c r="B449" s="2">
        <f>IF(Source!$C449&gt;=COLUMNS($A449:B449), Source!$G449, "")</f>
        <v>2</v>
      </c>
      <c r="C449" s="2">
        <f>IF(Source!$C449&gt;=COLUMNS($A449:C449), Source!$G449, "")</f>
        <v>2</v>
      </c>
      <c r="D449" s="2">
        <f>IF(Source!$C449&gt;=COLUMNS($A449:D449), Source!$G449, "")</f>
        <v>2</v>
      </c>
      <c r="E449" s="2" t="str">
        <f>IF(Source!$C449&gt;=COLUMNS($A449:E449), Source!$G449, "")</f>
        <v/>
      </c>
      <c r="F449" s="2" t="str">
        <f>IF(Source!$C449&gt;=COLUMNS($A449:F449), Source!$G449, "")</f>
        <v/>
      </c>
      <c r="G449" s="2" t="str">
        <f>IF(Source!$C449&gt;=COLUMNS($A449:G449), Source!$G449, "")</f>
        <v/>
      </c>
      <c r="H449" s="2" t="str">
        <f>IF(Source!$C449&gt;=COLUMNS($A449:H449), Source!$G449, "")</f>
        <v/>
      </c>
      <c r="I449" s="2" t="str">
        <f>IF(Source!$C449&gt;=COLUMNS($A449:I449), Source!$G449, "")</f>
        <v/>
      </c>
      <c r="J449" s="2" t="str">
        <f>IF(Source!$C449&gt;=COLUMNS($A449:J449), Source!$G449, "")</f>
        <v/>
      </c>
      <c r="K449" s="2" t="str">
        <f>IF(Source!$C449&gt;=COLUMNS($A449:K449), Source!$G449, "")</f>
        <v/>
      </c>
      <c r="L449" s="2" t="str">
        <f>IF(Source!$C449&gt;=COLUMNS($A449:L449), Source!$G449, "")</f>
        <v/>
      </c>
      <c r="M449" s="2" t="str">
        <f>IF(Source!$C449&gt;=COLUMNS($A449:M449), Source!$G449, "")</f>
        <v/>
      </c>
      <c r="N449" s="2" t="str">
        <f>IF(Source!$C449&gt;=COLUMNS($A449:N449), Source!$G449, "")</f>
        <v/>
      </c>
      <c r="O449" s="2" t="str">
        <f>IF(Source!$C449&gt;=COLUMNS($A449:O449), Source!$G449, "")</f>
        <v/>
      </c>
      <c r="P449" s="2" t="str">
        <f>IF(Source!$C449&gt;=COLUMNS($A449:P449), Source!$G449, "")</f>
        <v/>
      </c>
      <c r="Q449" s="2" t="str">
        <f>IF(Source!$C449&gt;=COLUMNS($A449:Q449), Source!$G449, "")</f>
        <v/>
      </c>
      <c r="R449" s="2" t="str">
        <f>IF(Source!$C449&gt;=COLUMNS($A449:R449), Source!$G449, "")</f>
        <v/>
      </c>
      <c r="S449" s="2" t="str">
        <f>IF(Source!$C449&gt;=COLUMNS($A449:S449), Source!$G449, "")</f>
        <v/>
      </c>
      <c r="T449" s="2" t="str">
        <f>IF(Source!$C449&gt;=COLUMNS($A449:T449), Source!$G449, "")</f>
        <v/>
      </c>
      <c r="U449" s="2" t="str">
        <f>IF(Source!$C449&gt;=COLUMNS($A449:U449), Source!$G449, "")</f>
        <v/>
      </c>
      <c r="V449" s="2" t="str">
        <f>IF(Source!$C449&gt;=COLUMNS($A449:V449), Source!$G449, "")</f>
        <v/>
      </c>
      <c r="W449" s="2" t="str">
        <f>IF(Source!$C449&gt;=COLUMNS($A449:W449), Source!$G449, "")</f>
        <v/>
      </c>
      <c r="X449" s="2" t="str">
        <f>IF(Source!$C449&gt;=COLUMNS($A449:X449), Source!$G449, "")</f>
        <v/>
      </c>
      <c r="Y449" s="2" t="str">
        <f>IF(Source!$C449&gt;=COLUMNS($A449:Y449), Source!$G449, "")</f>
        <v/>
      </c>
      <c r="Z449" s="2" t="str">
        <f>IF(Source!$C449&gt;=COLUMNS($A449:Z449), Source!$G449, "")</f>
        <v/>
      </c>
      <c r="AA449" s="2" t="str">
        <f>IF(Source!$C449&gt;=COLUMNS($A449:AA449), Source!$G449, "")</f>
        <v/>
      </c>
      <c r="AB449" s="2" t="str">
        <f>IF(Source!$C449&gt;=COLUMNS($A449:AB449), Source!$G449, "")</f>
        <v/>
      </c>
      <c r="AC449" s="2" t="str">
        <f>IF(Source!$C449&gt;=COLUMNS($A449:AC449), Source!$G449, "")</f>
        <v/>
      </c>
      <c r="AD449" s="2" t="str">
        <f>IF(Source!$C449&gt;=COLUMNS($A449:AD449), Source!$G449, "")</f>
        <v/>
      </c>
      <c r="AE449" s="2" t="str">
        <f>IF(Source!$C449&gt;=COLUMNS($A449:AE449), Source!$G449, "")</f>
        <v/>
      </c>
      <c r="AF449" s="2" t="str">
        <f>IF(Source!$C449&gt;=COLUMNS($A449:AF449), Source!$G449, "")</f>
        <v/>
      </c>
      <c r="AG449" s="2" t="str">
        <f>IF(Source!$C449&gt;=COLUMNS($A449:AG449), Source!$G449, "")</f>
        <v/>
      </c>
      <c r="AH449" s="2" t="str">
        <f>IF(Source!$C449&gt;=COLUMNS($A449:AH449), Source!$G449, "")</f>
        <v/>
      </c>
      <c r="AI449" s="2" t="str">
        <f>IF(Source!$C449&gt;=COLUMNS($A449:AI449), Source!$G449, "")</f>
        <v/>
      </c>
      <c r="AJ449" s="2" t="str">
        <f>IF(Source!$C449&gt;=COLUMNS($A449:AJ449), Source!$G449, "")</f>
        <v/>
      </c>
      <c r="AK449" s="2" t="str">
        <f>IF(Source!$C449&gt;=COLUMNS($A449:AK449), Source!$G449, "")</f>
        <v/>
      </c>
      <c r="AL449" s="2" t="str">
        <f>IF(Source!$C449&gt;=COLUMNS($A449:AL449), Source!$G449, "")</f>
        <v/>
      </c>
      <c r="AM449" s="2" t="str">
        <f>IF(Source!$C449&gt;=COLUMNS($A449:AM449), Source!$G449, "")</f>
        <v/>
      </c>
      <c r="AN449" s="2" t="str">
        <f>IF(Source!$C449&gt;=COLUMNS($A449:AN449), Source!$G449, "")</f>
        <v/>
      </c>
      <c r="AO449" s="2" t="str">
        <f>IF(Source!$C449&gt;=COLUMNS($A449:AO449), Source!$G449, "")</f>
        <v/>
      </c>
      <c r="AP449" s="2" t="str">
        <f>IF(Source!$C449&gt;=COLUMNS($A449:AP449), Source!$G449, "")</f>
        <v/>
      </c>
      <c r="AQ449" s="2" t="str">
        <f>IF(Source!$C449&gt;=COLUMNS($A449:AQ449), Source!$G449, "")</f>
        <v/>
      </c>
      <c r="AR449" s="2" t="str">
        <f>IF(Source!$C449&gt;=COLUMNS($A449:AR449), Source!$G449, "")</f>
        <v/>
      </c>
    </row>
    <row r="450">
      <c r="A450" s="2">
        <f>IF(Source!$C450&gt;=COLUMNS($A450:A450), Source!$G450, "")</f>
        <v>3</v>
      </c>
      <c r="B450" s="2" t="str">
        <f>IF(Source!$C450&gt;=COLUMNS($A450:B450), Source!$G450, "")</f>
        <v/>
      </c>
      <c r="C450" s="2" t="str">
        <f>IF(Source!$C450&gt;=COLUMNS($A450:C450), Source!$G450, "")</f>
        <v/>
      </c>
      <c r="D450" s="2" t="str">
        <f>IF(Source!$C450&gt;=COLUMNS($A450:D450), Source!$G450, "")</f>
        <v/>
      </c>
      <c r="E450" s="2" t="str">
        <f>IF(Source!$C450&gt;=COLUMNS($A450:E450), Source!$G450, "")</f>
        <v/>
      </c>
      <c r="F450" s="2" t="str">
        <f>IF(Source!$C450&gt;=COLUMNS($A450:F450), Source!$G450, "")</f>
        <v/>
      </c>
      <c r="G450" s="2" t="str">
        <f>IF(Source!$C450&gt;=COLUMNS($A450:G450), Source!$G450, "")</f>
        <v/>
      </c>
      <c r="H450" s="2" t="str">
        <f>IF(Source!$C450&gt;=COLUMNS($A450:H450), Source!$G450, "")</f>
        <v/>
      </c>
      <c r="I450" s="2" t="str">
        <f>IF(Source!$C450&gt;=COLUMNS($A450:I450), Source!$G450, "")</f>
        <v/>
      </c>
      <c r="J450" s="2" t="str">
        <f>IF(Source!$C450&gt;=COLUMNS($A450:J450), Source!$G450, "")</f>
        <v/>
      </c>
      <c r="K450" s="2" t="str">
        <f>IF(Source!$C450&gt;=COLUMNS($A450:K450), Source!$G450, "")</f>
        <v/>
      </c>
      <c r="L450" s="2" t="str">
        <f>IF(Source!$C450&gt;=COLUMNS($A450:L450), Source!$G450, "")</f>
        <v/>
      </c>
      <c r="M450" s="2" t="str">
        <f>IF(Source!$C450&gt;=COLUMNS($A450:M450), Source!$G450, "")</f>
        <v/>
      </c>
      <c r="N450" s="2" t="str">
        <f>IF(Source!$C450&gt;=COLUMNS($A450:N450), Source!$G450, "")</f>
        <v/>
      </c>
      <c r="O450" s="2" t="str">
        <f>IF(Source!$C450&gt;=COLUMNS($A450:O450), Source!$G450, "")</f>
        <v/>
      </c>
      <c r="P450" s="2" t="str">
        <f>IF(Source!$C450&gt;=COLUMNS($A450:P450), Source!$G450, "")</f>
        <v/>
      </c>
      <c r="Q450" s="2" t="str">
        <f>IF(Source!$C450&gt;=COLUMNS($A450:Q450), Source!$G450, "")</f>
        <v/>
      </c>
      <c r="R450" s="2" t="str">
        <f>IF(Source!$C450&gt;=COLUMNS($A450:R450), Source!$G450, "")</f>
        <v/>
      </c>
      <c r="S450" s="2" t="str">
        <f>IF(Source!$C450&gt;=COLUMNS($A450:S450), Source!$G450, "")</f>
        <v/>
      </c>
      <c r="T450" s="2" t="str">
        <f>IF(Source!$C450&gt;=COLUMNS($A450:T450), Source!$G450, "")</f>
        <v/>
      </c>
      <c r="U450" s="2" t="str">
        <f>IF(Source!$C450&gt;=COLUMNS($A450:U450), Source!$G450, "")</f>
        <v/>
      </c>
      <c r="V450" s="2" t="str">
        <f>IF(Source!$C450&gt;=COLUMNS($A450:V450), Source!$G450, "")</f>
        <v/>
      </c>
      <c r="W450" s="2" t="str">
        <f>IF(Source!$C450&gt;=COLUMNS($A450:W450), Source!$G450, "")</f>
        <v/>
      </c>
      <c r="X450" s="2" t="str">
        <f>IF(Source!$C450&gt;=COLUMNS($A450:X450), Source!$G450, "")</f>
        <v/>
      </c>
      <c r="Y450" s="2" t="str">
        <f>IF(Source!$C450&gt;=COLUMNS($A450:Y450), Source!$G450, "")</f>
        <v/>
      </c>
      <c r="Z450" s="2" t="str">
        <f>IF(Source!$C450&gt;=COLUMNS($A450:Z450), Source!$G450, "")</f>
        <v/>
      </c>
      <c r="AA450" s="2" t="str">
        <f>IF(Source!$C450&gt;=COLUMNS($A450:AA450), Source!$G450, "")</f>
        <v/>
      </c>
      <c r="AB450" s="2" t="str">
        <f>IF(Source!$C450&gt;=COLUMNS($A450:AB450), Source!$G450, "")</f>
        <v/>
      </c>
      <c r="AC450" s="2" t="str">
        <f>IF(Source!$C450&gt;=COLUMNS($A450:AC450), Source!$G450, "")</f>
        <v/>
      </c>
      <c r="AD450" s="2" t="str">
        <f>IF(Source!$C450&gt;=COLUMNS($A450:AD450), Source!$G450, "")</f>
        <v/>
      </c>
      <c r="AE450" s="2" t="str">
        <f>IF(Source!$C450&gt;=COLUMNS($A450:AE450), Source!$G450, "")</f>
        <v/>
      </c>
      <c r="AF450" s="2" t="str">
        <f>IF(Source!$C450&gt;=COLUMNS($A450:AF450), Source!$G450, "")</f>
        <v/>
      </c>
      <c r="AG450" s="2" t="str">
        <f>IF(Source!$C450&gt;=COLUMNS($A450:AG450), Source!$G450, "")</f>
        <v/>
      </c>
      <c r="AH450" s="2" t="str">
        <f>IF(Source!$C450&gt;=COLUMNS($A450:AH450), Source!$G450, "")</f>
        <v/>
      </c>
      <c r="AI450" s="2" t="str">
        <f>IF(Source!$C450&gt;=COLUMNS($A450:AI450), Source!$G450, "")</f>
        <v/>
      </c>
      <c r="AJ450" s="2" t="str">
        <f>IF(Source!$C450&gt;=COLUMNS($A450:AJ450), Source!$G450, "")</f>
        <v/>
      </c>
      <c r="AK450" s="2" t="str">
        <f>IF(Source!$C450&gt;=COLUMNS($A450:AK450), Source!$G450, "")</f>
        <v/>
      </c>
      <c r="AL450" s="2" t="str">
        <f>IF(Source!$C450&gt;=COLUMNS($A450:AL450), Source!$G450, "")</f>
        <v/>
      </c>
      <c r="AM450" s="2" t="str">
        <f>IF(Source!$C450&gt;=COLUMNS($A450:AM450), Source!$G450, "")</f>
        <v/>
      </c>
      <c r="AN450" s="2" t="str">
        <f>IF(Source!$C450&gt;=COLUMNS($A450:AN450), Source!$G450, "")</f>
        <v/>
      </c>
      <c r="AO450" s="2" t="str">
        <f>IF(Source!$C450&gt;=COLUMNS($A450:AO450), Source!$G450, "")</f>
        <v/>
      </c>
      <c r="AP450" s="2" t="str">
        <f>IF(Source!$C450&gt;=COLUMNS($A450:AP450), Source!$G450, "")</f>
        <v/>
      </c>
      <c r="AQ450" s="2" t="str">
        <f>IF(Source!$C450&gt;=COLUMNS($A450:AQ450), Source!$G450, "")</f>
        <v/>
      </c>
      <c r="AR450" s="2" t="str">
        <f>IF(Source!$C450&gt;=COLUMNS($A450:AR450), Source!$G450, "")</f>
        <v/>
      </c>
    </row>
    <row r="451">
      <c r="A451" s="2">
        <f>IF(Source!$C451&gt;=COLUMNS($A451:A451), Source!$G451, "")</f>
        <v>2</v>
      </c>
      <c r="B451" s="2">
        <f>IF(Source!$C451&gt;=COLUMNS($A451:B451), Source!$G451, "")</f>
        <v>2</v>
      </c>
      <c r="C451" s="2">
        <f>IF(Source!$C451&gt;=COLUMNS($A451:C451), Source!$G451, "")</f>
        <v>2</v>
      </c>
      <c r="D451" s="2">
        <f>IF(Source!$C451&gt;=COLUMNS($A451:D451), Source!$G451, "")</f>
        <v>2</v>
      </c>
      <c r="E451" s="2">
        <f>IF(Source!$C451&gt;=COLUMNS($A451:E451), Source!$G451, "")</f>
        <v>2</v>
      </c>
      <c r="F451" s="2">
        <f>IF(Source!$C451&gt;=COLUMNS($A451:F451), Source!$G451, "")</f>
        <v>2</v>
      </c>
      <c r="G451" s="2">
        <f>IF(Source!$C451&gt;=COLUMNS($A451:G451), Source!$G451, "")</f>
        <v>2</v>
      </c>
      <c r="H451" s="2">
        <f>IF(Source!$C451&gt;=COLUMNS($A451:H451), Source!$G451, "")</f>
        <v>2</v>
      </c>
      <c r="I451" s="2">
        <f>IF(Source!$C451&gt;=COLUMNS($A451:I451), Source!$G451, "")</f>
        <v>2</v>
      </c>
      <c r="J451" s="2">
        <f>IF(Source!$C451&gt;=COLUMNS($A451:J451), Source!$G451, "")</f>
        <v>2</v>
      </c>
      <c r="K451" s="2">
        <f>IF(Source!$C451&gt;=COLUMNS($A451:K451), Source!$G451, "")</f>
        <v>2</v>
      </c>
      <c r="L451" s="2">
        <f>IF(Source!$C451&gt;=COLUMNS($A451:L451), Source!$G451, "")</f>
        <v>2</v>
      </c>
      <c r="M451" s="2">
        <f>IF(Source!$C451&gt;=COLUMNS($A451:M451), Source!$G451, "")</f>
        <v>2</v>
      </c>
      <c r="N451" s="2">
        <f>IF(Source!$C451&gt;=COLUMNS($A451:N451), Source!$G451, "")</f>
        <v>2</v>
      </c>
      <c r="O451" s="2">
        <f>IF(Source!$C451&gt;=COLUMNS($A451:O451), Source!$G451, "")</f>
        <v>2</v>
      </c>
      <c r="P451" s="2">
        <f>IF(Source!$C451&gt;=COLUMNS($A451:P451), Source!$G451, "")</f>
        <v>2</v>
      </c>
      <c r="Q451" s="2">
        <f>IF(Source!$C451&gt;=COLUMNS($A451:Q451), Source!$G451, "")</f>
        <v>2</v>
      </c>
      <c r="R451" s="2">
        <f>IF(Source!$C451&gt;=COLUMNS($A451:R451), Source!$G451, "")</f>
        <v>2</v>
      </c>
      <c r="S451" s="2">
        <f>IF(Source!$C451&gt;=COLUMNS($A451:S451), Source!$G451, "")</f>
        <v>2</v>
      </c>
      <c r="T451" s="2">
        <f>IF(Source!$C451&gt;=COLUMNS($A451:T451), Source!$G451, "")</f>
        <v>2</v>
      </c>
      <c r="U451" s="2">
        <f>IF(Source!$C451&gt;=COLUMNS($A451:U451), Source!$G451, "")</f>
        <v>2</v>
      </c>
      <c r="V451" s="2">
        <f>IF(Source!$C451&gt;=COLUMNS($A451:V451), Source!$G451, "")</f>
        <v>2</v>
      </c>
      <c r="W451" s="2" t="str">
        <f>IF(Source!$C451&gt;=COLUMNS($A451:W451), Source!$G451, "")</f>
        <v/>
      </c>
      <c r="X451" s="2" t="str">
        <f>IF(Source!$C451&gt;=COLUMNS($A451:X451), Source!$G451, "")</f>
        <v/>
      </c>
      <c r="Y451" s="2" t="str">
        <f>IF(Source!$C451&gt;=COLUMNS($A451:Y451), Source!$G451, "")</f>
        <v/>
      </c>
      <c r="Z451" s="2" t="str">
        <f>IF(Source!$C451&gt;=COLUMNS($A451:Z451), Source!$G451, "")</f>
        <v/>
      </c>
      <c r="AA451" s="2" t="str">
        <f>IF(Source!$C451&gt;=COLUMNS($A451:AA451), Source!$G451, "")</f>
        <v/>
      </c>
      <c r="AB451" s="2" t="str">
        <f>IF(Source!$C451&gt;=COLUMNS($A451:AB451), Source!$G451, "")</f>
        <v/>
      </c>
      <c r="AC451" s="2" t="str">
        <f>IF(Source!$C451&gt;=COLUMNS($A451:AC451), Source!$G451, "")</f>
        <v/>
      </c>
      <c r="AD451" s="2" t="str">
        <f>IF(Source!$C451&gt;=COLUMNS($A451:AD451), Source!$G451, "")</f>
        <v/>
      </c>
      <c r="AE451" s="2" t="str">
        <f>IF(Source!$C451&gt;=COLUMNS($A451:AE451), Source!$G451, "")</f>
        <v/>
      </c>
      <c r="AF451" s="2" t="str">
        <f>IF(Source!$C451&gt;=COLUMNS($A451:AF451), Source!$G451, "")</f>
        <v/>
      </c>
      <c r="AG451" s="2" t="str">
        <f>IF(Source!$C451&gt;=COLUMNS($A451:AG451), Source!$G451, "")</f>
        <v/>
      </c>
      <c r="AH451" s="2" t="str">
        <f>IF(Source!$C451&gt;=COLUMNS($A451:AH451), Source!$G451, "")</f>
        <v/>
      </c>
      <c r="AI451" s="2" t="str">
        <f>IF(Source!$C451&gt;=COLUMNS($A451:AI451), Source!$G451, "")</f>
        <v/>
      </c>
      <c r="AJ451" s="2" t="str">
        <f>IF(Source!$C451&gt;=COLUMNS($A451:AJ451), Source!$G451, "")</f>
        <v/>
      </c>
      <c r="AK451" s="2" t="str">
        <f>IF(Source!$C451&gt;=COLUMNS($A451:AK451), Source!$G451, "")</f>
        <v/>
      </c>
      <c r="AL451" s="2" t="str">
        <f>IF(Source!$C451&gt;=COLUMNS($A451:AL451), Source!$G451, "")</f>
        <v/>
      </c>
      <c r="AM451" s="2" t="str">
        <f>IF(Source!$C451&gt;=COLUMNS($A451:AM451), Source!$G451, "")</f>
        <v/>
      </c>
      <c r="AN451" s="2" t="str">
        <f>IF(Source!$C451&gt;=COLUMNS($A451:AN451), Source!$G451, "")</f>
        <v/>
      </c>
      <c r="AO451" s="2" t="str">
        <f>IF(Source!$C451&gt;=COLUMNS($A451:AO451), Source!$G451, "")</f>
        <v/>
      </c>
      <c r="AP451" s="2" t="str">
        <f>IF(Source!$C451&gt;=COLUMNS($A451:AP451), Source!$G451, "")</f>
        <v/>
      </c>
      <c r="AQ451" s="2" t="str">
        <f>IF(Source!$C451&gt;=COLUMNS($A451:AQ451), Source!$G451, "")</f>
        <v/>
      </c>
      <c r="AR451" s="2" t="str">
        <f>IF(Source!$C451&gt;=COLUMNS($A451:AR451), Source!$G451, "")</f>
        <v/>
      </c>
    </row>
    <row r="452">
      <c r="A452" s="2">
        <f>IF(Source!$C452&gt;=COLUMNS($A452:A452), Source!$G452, "")</f>
        <v>6</v>
      </c>
      <c r="B452" s="2">
        <f>IF(Source!$C452&gt;=COLUMNS($A452:B452), Source!$G452, "")</f>
        <v>6</v>
      </c>
      <c r="C452" s="2">
        <f>IF(Source!$C452&gt;=COLUMNS($A452:C452), Source!$G452, "")</f>
        <v>6</v>
      </c>
      <c r="D452" s="2">
        <f>IF(Source!$C452&gt;=COLUMNS($A452:D452), Source!$G452, "")</f>
        <v>6</v>
      </c>
      <c r="E452" s="2">
        <f>IF(Source!$C452&gt;=COLUMNS($A452:E452), Source!$G452, "")</f>
        <v>6</v>
      </c>
      <c r="F452" s="2">
        <f>IF(Source!$C452&gt;=COLUMNS($A452:F452), Source!$G452, "")</f>
        <v>6</v>
      </c>
      <c r="G452" s="2">
        <f>IF(Source!$C452&gt;=COLUMNS($A452:G452), Source!$G452, "")</f>
        <v>6</v>
      </c>
      <c r="H452" s="2">
        <f>IF(Source!$C452&gt;=COLUMNS($A452:H452), Source!$G452, "")</f>
        <v>6</v>
      </c>
      <c r="I452" s="2">
        <f>IF(Source!$C452&gt;=COLUMNS($A452:I452), Source!$G452, "")</f>
        <v>6</v>
      </c>
      <c r="J452" s="2">
        <f>IF(Source!$C452&gt;=COLUMNS($A452:J452), Source!$G452, "")</f>
        <v>6</v>
      </c>
      <c r="K452" s="2">
        <f>IF(Source!$C452&gt;=COLUMNS($A452:K452), Source!$G452, "")</f>
        <v>6</v>
      </c>
      <c r="L452" s="2">
        <f>IF(Source!$C452&gt;=COLUMNS($A452:L452), Source!$G452, "")</f>
        <v>6</v>
      </c>
      <c r="M452" s="2">
        <f>IF(Source!$C452&gt;=COLUMNS($A452:M452), Source!$G452, "")</f>
        <v>6</v>
      </c>
      <c r="N452" s="2">
        <f>IF(Source!$C452&gt;=COLUMNS($A452:N452), Source!$G452, "")</f>
        <v>6</v>
      </c>
      <c r="O452" s="2">
        <f>IF(Source!$C452&gt;=COLUMNS($A452:O452), Source!$G452, "")</f>
        <v>6</v>
      </c>
      <c r="P452" s="2">
        <f>IF(Source!$C452&gt;=COLUMNS($A452:P452), Source!$G452, "")</f>
        <v>6</v>
      </c>
      <c r="Q452" s="2">
        <f>IF(Source!$C452&gt;=COLUMNS($A452:Q452), Source!$G452, "")</f>
        <v>6</v>
      </c>
      <c r="R452" s="2">
        <f>IF(Source!$C452&gt;=COLUMNS($A452:R452), Source!$G452, "")</f>
        <v>6</v>
      </c>
      <c r="S452" s="2">
        <f>IF(Source!$C452&gt;=COLUMNS($A452:S452), Source!$G452, "")</f>
        <v>6</v>
      </c>
      <c r="T452" s="2">
        <f>IF(Source!$C452&gt;=COLUMNS($A452:T452), Source!$G452, "")</f>
        <v>6</v>
      </c>
      <c r="U452" s="2">
        <f>IF(Source!$C452&gt;=COLUMNS($A452:U452), Source!$G452, "")</f>
        <v>6</v>
      </c>
      <c r="V452" s="2" t="str">
        <f>IF(Source!$C452&gt;=COLUMNS($A452:V452), Source!$G452, "")</f>
        <v/>
      </c>
      <c r="W452" s="2" t="str">
        <f>IF(Source!$C452&gt;=COLUMNS($A452:W452), Source!$G452, "")</f>
        <v/>
      </c>
      <c r="X452" s="2" t="str">
        <f>IF(Source!$C452&gt;=COLUMNS($A452:X452), Source!$G452, "")</f>
        <v/>
      </c>
      <c r="Y452" s="2" t="str">
        <f>IF(Source!$C452&gt;=COLUMNS($A452:Y452), Source!$G452, "")</f>
        <v/>
      </c>
      <c r="Z452" s="2" t="str">
        <f>IF(Source!$C452&gt;=COLUMNS($A452:Z452), Source!$G452, "")</f>
        <v/>
      </c>
      <c r="AA452" s="2" t="str">
        <f>IF(Source!$C452&gt;=COLUMNS($A452:AA452), Source!$G452, "")</f>
        <v/>
      </c>
      <c r="AB452" s="2" t="str">
        <f>IF(Source!$C452&gt;=COLUMNS($A452:AB452), Source!$G452, "")</f>
        <v/>
      </c>
      <c r="AC452" s="2" t="str">
        <f>IF(Source!$C452&gt;=COLUMNS($A452:AC452), Source!$G452, "")</f>
        <v/>
      </c>
      <c r="AD452" s="2" t="str">
        <f>IF(Source!$C452&gt;=COLUMNS($A452:AD452), Source!$G452, "")</f>
        <v/>
      </c>
      <c r="AE452" s="2" t="str">
        <f>IF(Source!$C452&gt;=COLUMNS($A452:AE452), Source!$G452, "")</f>
        <v/>
      </c>
      <c r="AF452" s="2" t="str">
        <f>IF(Source!$C452&gt;=COLUMNS($A452:AF452), Source!$G452, "")</f>
        <v/>
      </c>
      <c r="AG452" s="2" t="str">
        <f>IF(Source!$C452&gt;=COLUMNS($A452:AG452), Source!$G452, "")</f>
        <v/>
      </c>
      <c r="AH452" s="2" t="str">
        <f>IF(Source!$C452&gt;=COLUMNS($A452:AH452), Source!$G452, "")</f>
        <v/>
      </c>
      <c r="AI452" s="2" t="str">
        <f>IF(Source!$C452&gt;=COLUMNS($A452:AI452), Source!$G452, "")</f>
        <v/>
      </c>
      <c r="AJ452" s="2" t="str">
        <f>IF(Source!$C452&gt;=COLUMNS($A452:AJ452), Source!$G452, "")</f>
        <v/>
      </c>
      <c r="AK452" s="2" t="str">
        <f>IF(Source!$C452&gt;=COLUMNS($A452:AK452), Source!$G452, "")</f>
        <v/>
      </c>
      <c r="AL452" s="2" t="str">
        <f>IF(Source!$C452&gt;=COLUMNS($A452:AL452), Source!$G452, "")</f>
        <v/>
      </c>
      <c r="AM452" s="2" t="str">
        <f>IF(Source!$C452&gt;=COLUMNS($A452:AM452), Source!$G452, "")</f>
        <v/>
      </c>
      <c r="AN452" s="2" t="str">
        <f>IF(Source!$C452&gt;=COLUMNS($A452:AN452), Source!$G452, "")</f>
        <v/>
      </c>
      <c r="AO452" s="2" t="str">
        <f>IF(Source!$C452&gt;=COLUMNS($A452:AO452), Source!$G452, "")</f>
        <v/>
      </c>
      <c r="AP452" s="2" t="str">
        <f>IF(Source!$C452&gt;=COLUMNS($A452:AP452), Source!$G452, "")</f>
        <v/>
      </c>
      <c r="AQ452" s="2" t="str">
        <f>IF(Source!$C452&gt;=COLUMNS($A452:AQ452), Source!$G452, "")</f>
        <v/>
      </c>
      <c r="AR452" s="2" t="str">
        <f>IF(Source!$C452&gt;=COLUMNS($A452:AR452), Source!$G452, "")</f>
        <v/>
      </c>
    </row>
    <row r="453">
      <c r="A453" s="2">
        <f>IF(Source!$C453&gt;=COLUMNS($A453:A453), Source!$G453, "")</f>
        <v>9</v>
      </c>
      <c r="B453" s="2">
        <f>IF(Source!$C453&gt;=COLUMNS($A453:B453), Source!$G453, "")</f>
        <v>9</v>
      </c>
      <c r="C453" s="2">
        <f>IF(Source!$C453&gt;=COLUMNS($A453:C453), Source!$G453, "")</f>
        <v>9</v>
      </c>
      <c r="D453" s="2" t="str">
        <f>IF(Source!$C453&gt;=COLUMNS($A453:D453), Source!$G453, "")</f>
        <v/>
      </c>
      <c r="E453" s="2" t="str">
        <f>IF(Source!$C453&gt;=COLUMNS($A453:E453), Source!$G453, "")</f>
        <v/>
      </c>
      <c r="F453" s="2" t="str">
        <f>IF(Source!$C453&gt;=COLUMNS($A453:F453), Source!$G453, "")</f>
        <v/>
      </c>
      <c r="G453" s="2" t="str">
        <f>IF(Source!$C453&gt;=COLUMNS($A453:G453), Source!$G453, "")</f>
        <v/>
      </c>
      <c r="H453" s="2" t="str">
        <f>IF(Source!$C453&gt;=COLUMNS($A453:H453), Source!$G453, "")</f>
        <v/>
      </c>
      <c r="I453" s="2" t="str">
        <f>IF(Source!$C453&gt;=COLUMNS($A453:I453), Source!$G453, "")</f>
        <v/>
      </c>
      <c r="J453" s="2" t="str">
        <f>IF(Source!$C453&gt;=COLUMNS($A453:J453), Source!$G453, "")</f>
        <v/>
      </c>
      <c r="K453" s="2" t="str">
        <f>IF(Source!$C453&gt;=COLUMNS($A453:K453), Source!$G453, "")</f>
        <v/>
      </c>
      <c r="L453" s="2" t="str">
        <f>IF(Source!$C453&gt;=COLUMNS($A453:L453), Source!$G453, "")</f>
        <v/>
      </c>
      <c r="M453" s="2" t="str">
        <f>IF(Source!$C453&gt;=COLUMNS($A453:M453), Source!$G453, "")</f>
        <v/>
      </c>
      <c r="N453" s="2" t="str">
        <f>IF(Source!$C453&gt;=COLUMNS($A453:N453), Source!$G453, "")</f>
        <v/>
      </c>
      <c r="O453" s="2" t="str">
        <f>IF(Source!$C453&gt;=COLUMNS($A453:O453), Source!$G453, "")</f>
        <v/>
      </c>
      <c r="P453" s="2" t="str">
        <f>IF(Source!$C453&gt;=COLUMNS($A453:P453), Source!$G453, "")</f>
        <v/>
      </c>
      <c r="Q453" s="2" t="str">
        <f>IF(Source!$C453&gt;=COLUMNS($A453:Q453), Source!$G453, "")</f>
        <v/>
      </c>
      <c r="R453" s="2" t="str">
        <f>IF(Source!$C453&gt;=COLUMNS($A453:R453), Source!$G453, "")</f>
        <v/>
      </c>
      <c r="S453" s="2" t="str">
        <f>IF(Source!$C453&gt;=COLUMNS($A453:S453), Source!$G453, "")</f>
        <v/>
      </c>
      <c r="T453" s="2" t="str">
        <f>IF(Source!$C453&gt;=COLUMNS($A453:T453), Source!$G453, "")</f>
        <v/>
      </c>
      <c r="U453" s="2" t="str">
        <f>IF(Source!$C453&gt;=COLUMNS($A453:U453), Source!$G453, "")</f>
        <v/>
      </c>
      <c r="V453" s="2" t="str">
        <f>IF(Source!$C453&gt;=COLUMNS($A453:V453), Source!$G453, "")</f>
        <v/>
      </c>
      <c r="W453" s="2" t="str">
        <f>IF(Source!$C453&gt;=COLUMNS($A453:W453), Source!$G453, "")</f>
        <v/>
      </c>
      <c r="X453" s="2" t="str">
        <f>IF(Source!$C453&gt;=COLUMNS($A453:X453), Source!$G453, "")</f>
        <v/>
      </c>
      <c r="Y453" s="2" t="str">
        <f>IF(Source!$C453&gt;=COLUMNS($A453:Y453), Source!$G453, "")</f>
        <v/>
      </c>
      <c r="Z453" s="2" t="str">
        <f>IF(Source!$C453&gt;=COLUMNS($A453:Z453), Source!$G453, "")</f>
        <v/>
      </c>
      <c r="AA453" s="2" t="str">
        <f>IF(Source!$C453&gt;=COLUMNS($A453:AA453), Source!$G453, "")</f>
        <v/>
      </c>
      <c r="AB453" s="2" t="str">
        <f>IF(Source!$C453&gt;=COLUMNS($A453:AB453), Source!$G453, "")</f>
        <v/>
      </c>
      <c r="AC453" s="2" t="str">
        <f>IF(Source!$C453&gt;=COLUMNS($A453:AC453), Source!$G453, "")</f>
        <v/>
      </c>
      <c r="AD453" s="2" t="str">
        <f>IF(Source!$C453&gt;=COLUMNS($A453:AD453), Source!$G453, "")</f>
        <v/>
      </c>
      <c r="AE453" s="2" t="str">
        <f>IF(Source!$C453&gt;=COLUMNS($A453:AE453), Source!$G453, "")</f>
        <v/>
      </c>
      <c r="AF453" s="2" t="str">
        <f>IF(Source!$C453&gt;=COLUMNS($A453:AF453), Source!$G453, "")</f>
        <v/>
      </c>
      <c r="AG453" s="2" t="str">
        <f>IF(Source!$C453&gt;=COLUMNS($A453:AG453), Source!$G453, "")</f>
        <v/>
      </c>
      <c r="AH453" s="2" t="str">
        <f>IF(Source!$C453&gt;=COLUMNS($A453:AH453), Source!$G453, "")</f>
        <v/>
      </c>
      <c r="AI453" s="2" t="str">
        <f>IF(Source!$C453&gt;=COLUMNS($A453:AI453), Source!$G453, "")</f>
        <v/>
      </c>
      <c r="AJ453" s="2" t="str">
        <f>IF(Source!$C453&gt;=COLUMNS($A453:AJ453), Source!$G453, "")</f>
        <v/>
      </c>
      <c r="AK453" s="2" t="str">
        <f>IF(Source!$C453&gt;=COLUMNS($A453:AK453), Source!$G453, "")</f>
        <v/>
      </c>
      <c r="AL453" s="2" t="str">
        <f>IF(Source!$C453&gt;=COLUMNS($A453:AL453), Source!$G453, "")</f>
        <v/>
      </c>
      <c r="AM453" s="2" t="str">
        <f>IF(Source!$C453&gt;=COLUMNS($A453:AM453), Source!$G453, "")</f>
        <v/>
      </c>
      <c r="AN453" s="2" t="str">
        <f>IF(Source!$C453&gt;=COLUMNS($A453:AN453), Source!$G453, "")</f>
        <v/>
      </c>
      <c r="AO453" s="2" t="str">
        <f>IF(Source!$C453&gt;=COLUMNS($A453:AO453), Source!$G453, "")</f>
        <v/>
      </c>
      <c r="AP453" s="2" t="str">
        <f>IF(Source!$C453&gt;=COLUMNS($A453:AP453), Source!$G453, "")</f>
        <v/>
      </c>
      <c r="AQ453" s="2" t="str">
        <f>IF(Source!$C453&gt;=COLUMNS($A453:AQ453), Source!$G453, "")</f>
        <v/>
      </c>
      <c r="AR453" s="2" t="str">
        <f>IF(Source!$C453&gt;=COLUMNS($A453:AR453), Source!$G453, "")</f>
        <v/>
      </c>
    </row>
    <row r="454">
      <c r="A454" s="2">
        <f>IF(Source!$C454&gt;=COLUMNS($A454:A454), Source!$G454, "")</f>
        <v>7</v>
      </c>
      <c r="B454" s="2" t="str">
        <f>IF(Source!$C454&gt;=COLUMNS($A454:B454), Source!$G454, "")</f>
        <v/>
      </c>
      <c r="C454" s="2" t="str">
        <f>IF(Source!$C454&gt;=COLUMNS($A454:C454), Source!$G454, "")</f>
        <v/>
      </c>
      <c r="D454" s="2" t="str">
        <f>IF(Source!$C454&gt;=COLUMNS($A454:D454), Source!$G454, "")</f>
        <v/>
      </c>
      <c r="E454" s="2" t="str">
        <f>IF(Source!$C454&gt;=COLUMNS($A454:E454), Source!$G454, "")</f>
        <v/>
      </c>
      <c r="F454" s="2" t="str">
        <f>IF(Source!$C454&gt;=COLUMNS($A454:F454), Source!$G454, "")</f>
        <v/>
      </c>
      <c r="G454" s="2" t="str">
        <f>IF(Source!$C454&gt;=COLUMNS($A454:G454), Source!$G454, "")</f>
        <v/>
      </c>
      <c r="H454" s="2" t="str">
        <f>IF(Source!$C454&gt;=COLUMNS($A454:H454), Source!$G454, "")</f>
        <v/>
      </c>
      <c r="I454" s="2" t="str">
        <f>IF(Source!$C454&gt;=COLUMNS($A454:I454), Source!$G454, "")</f>
        <v/>
      </c>
      <c r="J454" s="2" t="str">
        <f>IF(Source!$C454&gt;=COLUMNS($A454:J454), Source!$G454, "")</f>
        <v/>
      </c>
      <c r="K454" s="2" t="str">
        <f>IF(Source!$C454&gt;=COLUMNS($A454:K454), Source!$G454, "")</f>
        <v/>
      </c>
      <c r="L454" s="2" t="str">
        <f>IF(Source!$C454&gt;=COLUMNS($A454:L454), Source!$G454, "")</f>
        <v/>
      </c>
      <c r="M454" s="2" t="str">
        <f>IF(Source!$C454&gt;=COLUMNS($A454:M454), Source!$G454, "")</f>
        <v/>
      </c>
      <c r="N454" s="2" t="str">
        <f>IF(Source!$C454&gt;=COLUMNS($A454:N454), Source!$G454, "")</f>
        <v/>
      </c>
      <c r="O454" s="2" t="str">
        <f>IF(Source!$C454&gt;=COLUMNS($A454:O454), Source!$G454, "")</f>
        <v/>
      </c>
      <c r="P454" s="2" t="str">
        <f>IF(Source!$C454&gt;=COLUMNS($A454:P454), Source!$G454, "")</f>
        <v/>
      </c>
      <c r="Q454" s="2" t="str">
        <f>IF(Source!$C454&gt;=COLUMNS($A454:Q454), Source!$G454, "")</f>
        <v/>
      </c>
      <c r="R454" s="2" t="str">
        <f>IF(Source!$C454&gt;=COLUMNS($A454:R454), Source!$G454, "")</f>
        <v/>
      </c>
      <c r="S454" s="2" t="str">
        <f>IF(Source!$C454&gt;=COLUMNS($A454:S454), Source!$G454, "")</f>
        <v/>
      </c>
      <c r="T454" s="2" t="str">
        <f>IF(Source!$C454&gt;=COLUMNS($A454:T454), Source!$G454, "")</f>
        <v/>
      </c>
      <c r="U454" s="2" t="str">
        <f>IF(Source!$C454&gt;=COLUMNS($A454:U454), Source!$G454, "")</f>
        <v/>
      </c>
      <c r="V454" s="2" t="str">
        <f>IF(Source!$C454&gt;=COLUMNS($A454:V454), Source!$G454, "")</f>
        <v/>
      </c>
      <c r="W454" s="2" t="str">
        <f>IF(Source!$C454&gt;=COLUMNS($A454:W454), Source!$G454, "")</f>
        <v/>
      </c>
      <c r="X454" s="2" t="str">
        <f>IF(Source!$C454&gt;=COLUMNS($A454:X454), Source!$G454, "")</f>
        <v/>
      </c>
      <c r="Y454" s="2" t="str">
        <f>IF(Source!$C454&gt;=COLUMNS($A454:Y454), Source!$G454, "")</f>
        <v/>
      </c>
      <c r="Z454" s="2" t="str">
        <f>IF(Source!$C454&gt;=COLUMNS($A454:Z454), Source!$G454, "")</f>
        <v/>
      </c>
      <c r="AA454" s="2" t="str">
        <f>IF(Source!$C454&gt;=COLUMNS($A454:AA454), Source!$G454, "")</f>
        <v/>
      </c>
      <c r="AB454" s="2" t="str">
        <f>IF(Source!$C454&gt;=COLUMNS($A454:AB454), Source!$G454, "")</f>
        <v/>
      </c>
      <c r="AC454" s="2" t="str">
        <f>IF(Source!$C454&gt;=COLUMNS($A454:AC454), Source!$G454, "")</f>
        <v/>
      </c>
      <c r="AD454" s="2" t="str">
        <f>IF(Source!$C454&gt;=COLUMNS($A454:AD454), Source!$G454, "")</f>
        <v/>
      </c>
      <c r="AE454" s="2" t="str">
        <f>IF(Source!$C454&gt;=COLUMNS($A454:AE454), Source!$G454, "")</f>
        <v/>
      </c>
      <c r="AF454" s="2" t="str">
        <f>IF(Source!$C454&gt;=COLUMNS($A454:AF454), Source!$G454, "")</f>
        <v/>
      </c>
      <c r="AG454" s="2" t="str">
        <f>IF(Source!$C454&gt;=COLUMNS($A454:AG454), Source!$G454, "")</f>
        <v/>
      </c>
      <c r="AH454" s="2" t="str">
        <f>IF(Source!$C454&gt;=COLUMNS($A454:AH454), Source!$G454, "")</f>
        <v/>
      </c>
      <c r="AI454" s="2" t="str">
        <f>IF(Source!$C454&gt;=COLUMNS($A454:AI454), Source!$G454, "")</f>
        <v/>
      </c>
      <c r="AJ454" s="2" t="str">
        <f>IF(Source!$C454&gt;=COLUMNS($A454:AJ454), Source!$G454, "")</f>
        <v/>
      </c>
      <c r="AK454" s="2" t="str">
        <f>IF(Source!$C454&gt;=COLUMNS($A454:AK454), Source!$G454, "")</f>
        <v/>
      </c>
      <c r="AL454" s="2" t="str">
        <f>IF(Source!$C454&gt;=COLUMNS($A454:AL454), Source!$G454, "")</f>
        <v/>
      </c>
      <c r="AM454" s="2" t="str">
        <f>IF(Source!$C454&gt;=COLUMNS($A454:AM454), Source!$G454, "")</f>
        <v/>
      </c>
      <c r="AN454" s="2" t="str">
        <f>IF(Source!$C454&gt;=COLUMNS($A454:AN454), Source!$G454, "")</f>
        <v/>
      </c>
      <c r="AO454" s="2" t="str">
        <f>IF(Source!$C454&gt;=COLUMNS($A454:AO454), Source!$G454, "")</f>
        <v/>
      </c>
      <c r="AP454" s="2" t="str">
        <f>IF(Source!$C454&gt;=COLUMNS($A454:AP454), Source!$G454, "")</f>
        <v/>
      </c>
      <c r="AQ454" s="2" t="str">
        <f>IF(Source!$C454&gt;=COLUMNS($A454:AQ454), Source!$G454, "")</f>
        <v/>
      </c>
      <c r="AR454" s="2" t="str">
        <f>IF(Source!$C454&gt;=COLUMNS($A454:AR454), Source!$G454, "")</f>
        <v/>
      </c>
    </row>
    <row r="455">
      <c r="A455" s="2">
        <f>IF(Source!$C455&gt;=COLUMNS($A455:A455), Source!$G455, "")</f>
        <v>3</v>
      </c>
      <c r="B455" s="2" t="str">
        <f>IF(Source!$C455&gt;=COLUMNS($A455:B455), Source!$G455, "")</f>
        <v/>
      </c>
      <c r="C455" s="2" t="str">
        <f>IF(Source!$C455&gt;=COLUMNS($A455:C455), Source!$G455, "")</f>
        <v/>
      </c>
      <c r="D455" s="2" t="str">
        <f>IF(Source!$C455&gt;=COLUMNS($A455:D455), Source!$G455, "")</f>
        <v/>
      </c>
      <c r="E455" s="2" t="str">
        <f>IF(Source!$C455&gt;=COLUMNS($A455:E455), Source!$G455, "")</f>
        <v/>
      </c>
      <c r="F455" s="2" t="str">
        <f>IF(Source!$C455&gt;=COLUMNS($A455:F455), Source!$G455, "")</f>
        <v/>
      </c>
      <c r="G455" s="2" t="str">
        <f>IF(Source!$C455&gt;=COLUMNS($A455:G455), Source!$G455, "")</f>
        <v/>
      </c>
      <c r="H455" s="2" t="str">
        <f>IF(Source!$C455&gt;=COLUMNS($A455:H455), Source!$G455, "")</f>
        <v/>
      </c>
      <c r="I455" s="2" t="str">
        <f>IF(Source!$C455&gt;=COLUMNS($A455:I455), Source!$G455, "")</f>
        <v/>
      </c>
      <c r="J455" s="2" t="str">
        <f>IF(Source!$C455&gt;=COLUMNS($A455:J455), Source!$G455, "")</f>
        <v/>
      </c>
      <c r="K455" s="2" t="str">
        <f>IF(Source!$C455&gt;=COLUMNS($A455:K455), Source!$G455, "")</f>
        <v/>
      </c>
      <c r="L455" s="2" t="str">
        <f>IF(Source!$C455&gt;=COLUMNS($A455:L455), Source!$G455, "")</f>
        <v/>
      </c>
      <c r="M455" s="2" t="str">
        <f>IF(Source!$C455&gt;=COLUMNS($A455:M455), Source!$G455, "")</f>
        <v/>
      </c>
      <c r="N455" s="2" t="str">
        <f>IF(Source!$C455&gt;=COLUMNS($A455:N455), Source!$G455, "")</f>
        <v/>
      </c>
      <c r="O455" s="2" t="str">
        <f>IF(Source!$C455&gt;=COLUMNS($A455:O455), Source!$G455, "")</f>
        <v/>
      </c>
      <c r="P455" s="2" t="str">
        <f>IF(Source!$C455&gt;=COLUMNS($A455:P455), Source!$G455, "")</f>
        <v/>
      </c>
      <c r="Q455" s="2" t="str">
        <f>IF(Source!$C455&gt;=COLUMNS($A455:Q455), Source!$G455, "")</f>
        <v/>
      </c>
      <c r="R455" s="2" t="str">
        <f>IF(Source!$C455&gt;=COLUMNS($A455:R455), Source!$G455, "")</f>
        <v/>
      </c>
      <c r="S455" s="2" t="str">
        <f>IF(Source!$C455&gt;=COLUMNS($A455:S455), Source!$G455, "")</f>
        <v/>
      </c>
      <c r="T455" s="2" t="str">
        <f>IF(Source!$C455&gt;=COLUMNS($A455:T455), Source!$G455, "")</f>
        <v/>
      </c>
      <c r="U455" s="2" t="str">
        <f>IF(Source!$C455&gt;=COLUMNS($A455:U455), Source!$G455, "")</f>
        <v/>
      </c>
      <c r="V455" s="2" t="str">
        <f>IF(Source!$C455&gt;=COLUMNS($A455:V455), Source!$G455, "")</f>
        <v/>
      </c>
      <c r="W455" s="2" t="str">
        <f>IF(Source!$C455&gt;=COLUMNS($A455:W455), Source!$G455, "")</f>
        <v/>
      </c>
      <c r="X455" s="2" t="str">
        <f>IF(Source!$C455&gt;=COLUMNS($A455:X455), Source!$G455, "")</f>
        <v/>
      </c>
      <c r="Y455" s="2" t="str">
        <f>IF(Source!$C455&gt;=COLUMNS($A455:Y455), Source!$G455, "")</f>
        <v/>
      </c>
      <c r="Z455" s="2" t="str">
        <f>IF(Source!$C455&gt;=COLUMNS($A455:Z455), Source!$G455, "")</f>
        <v/>
      </c>
      <c r="AA455" s="2" t="str">
        <f>IF(Source!$C455&gt;=COLUMNS($A455:AA455), Source!$G455, "")</f>
        <v/>
      </c>
      <c r="AB455" s="2" t="str">
        <f>IF(Source!$C455&gt;=COLUMNS($A455:AB455), Source!$G455, "")</f>
        <v/>
      </c>
      <c r="AC455" s="2" t="str">
        <f>IF(Source!$C455&gt;=COLUMNS($A455:AC455), Source!$G455, "")</f>
        <v/>
      </c>
      <c r="AD455" s="2" t="str">
        <f>IF(Source!$C455&gt;=COLUMNS($A455:AD455), Source!$G455, "")</f>
        <v/>
      </c>
      <c r="AE455" s="2" t="str">
        <f>IF(Source!$C455&gt;=COLUMNS($A455:AE455), Source!$G455, "")</f>
        <v/>
      </c>
      <c r="AF455" s="2" t="str">
        <f>IF(Source!$C455&gt;=COLUMNS($A455:AF455), Source!$G455, "")</f>
        <v/>
      </c>
      <c r="AG455" s="2" t="str">
        <f>IF(Source!$C455&gt;=COLUMNS($A455:AG455), Source!$G455, "")</f>
        <v/>
      </c>
      <c r="AH455" s="2" t="str">
        <f>IF(Source!$C455&gt;=COLUMNS($A455:AH455), Source!$G455, "")</f>
        <v/>
      </c>
      <c r="AI455" s="2" t="str">
        <f>IF(Source!$C455&gt;=COLUMNS($A455:AI455), Source!$G455, "")</f>
        <v/>
      </c>
      <c r="AJ455" s="2" t="str">
        <f>IF(Source!$C455&gt;=COLUMNS($A455:AJ455), Source!$G455, "")</f>
        <v/>
      </c>
      <c r="AK455" s="2" t="str">
        <f>IF(Source!$C455&gt;=COLUMNS($A455:AK455), Source!$G455, "")</f>
        <v/>
      </c>
      <c r="AL455" s="2" t="str">
        <f>IF(Source!$C455&gt;=COLUMNS($A455:AL455), Source!$G455, "")</f>
        <v/>
      </c>
      <c r="AM455" s="2" t="str">
        <f>IF(Source!$C455&gt;=COLUMNS($A455:AM455), Source!$G455, "")</f>
        <v/>
      </c>
      <c r="AN455" s="2" t="str">
        <f>IF(Source!$C455&gt;=COLUMNS($A455:AN455), Source!$G455, "")</f>
        <v/>
      </c>
      <c r="AO455" s="2" t="str">
        <f>IF(Source!$C455&gt;=COLUMNS($A455:AO455), Source!$G455, "")</f>
        <v/>
      </c>
      <c r="AP455" s="2" t="str">
        <f>IF(Source!$C455&gt;=COLUMNS($A455:AP455), Source!$G455, "")</f>
        <v/>
      </c>
      <c r="AQ455" s="2" t="str">
        <f>IF(Source!$C455&gt;=COLUMNS($A455:AQ455), Source!$G455, "")</f>
        <v/>
      </c>
      <c r="AR455" s="2" t="str">
        <f>IF(Source!$C455&gt;=COLUMNS($A455:AR455), Source!$G455, "")</f>
        <v/>
      </c>
    </row>
    <row r="456">
      <c r="A456" s="2">
        <f>IF(Source!$C456&gt;=COLUMNS($A456:A456), Source!$G456, "")</f>
        <v>2</v>
      </c>
      <c r="B456" s="2" t="str">
        <f>IF(Source!$C456&gt;=COLUMNS($A456:B456), Source!$G456, "")</f>
        <v/>
      </c>
      <c r="C456" s="2" t="str">
        <f>IF(Source!$C456&gt;=COLUMNS($A456:C456), Source!$G456, "")</f>
        <v/>
      </c>
      <c r="D456" s="2" t="str">
        <f>IF(Source!$C456&gt;=COLUMNS($A456:D456), Source!$G456, "")</f>
        <v/>
      </c>
      <c r="E456" s="2" t="str">
        <f>IF(Source!$C456&gt;=COLUMNS($A456:E456), Source!$G456, "")</f>
        <v/>
      </c>
      <c r="F456" s="2" t="str">
        <f>IF(Source!$C456&gt;=COLUMNS($A456:F456), Source!$G456, "")</f>
        <v/>
      </c>
      <c r="G456" s="2" t="str">
        <f>IF(Source!$C456&gt;=COLUMNS($A456:G456), Source!$G456, "")</f>
        <v/>
      </c>
      <c r="H456" s="2" t="str">
        <f>IF(Source!$C456&gt;=COLUMNS($A456:H456), Source!$G456, "")</f>
        <v/>
      </c>
      <c r="I456" s="2" t="str">
        <f>IF(Source!$C456&gt;=COLUMNS($A456:I456), Source!$G456, "")</f>
        <v/>
      </c>
      <c r="J456" s="2" t="str">
        <f>IF(Source!$C456&gt;=COLUMNS($A456:J456), Source!$G456, "")</f>
        <v/>
      </c>
      <c r="K456" s="2" t="str">
        <f>IF(Source!$C456&gt;=COLUMNS($A456:K456), Source!$G456, "")</f>
        <v/>
      </c>
      <c r="L456" s="2" t="str">
        <f>IF(Source!$C456&gt;=COLUMNS($A456:L456), Source!$G456, "")</f>
        <v/>
      </c>
      <c r="M456" s="2" t="str">
        <f>IF(Source!$C456&gt;=COLUMNS($A456:M456), Source!$G456, "")</f>
        <v/>
      </c>
      <c r="N456" s="2" t="str">
        <f>IF(Source!$C456&gt;=COLUMNS($A456:N456), Source!$G456, "")</f>
        <v/>
      </c>
      <c r="O456" s="2" t="str">
        <f>IF(Source!$C456&gt;=COLUMNS($A456:O456), Source!$G456, "")</f>
        <v/>
      </c>
      <c r="P456" s="2" t="str">
        <f>IF(Source!$C456&gt;=COLUMNS($A456:P456), Source!$G456, "")</f>
        <v/>
      </c>
      <c r="Q456" s="2" t="str">
        <f>IF(Source!$C456&gt;=COLUMNS($A456:Q456), Source!$G456, "")</f>
        <v/>
      </c>
      <c r="R456" s="2" t="str">
        <f>IF(Source!$C456&gt;=COLUMNS($A456:R456), Source!$G456, "")</f>
        <v/>
      </c>
      <c r="S456" s="2" t="str">
        <f>IF(Source!$C456&gt;=COLUMNS($A456:S456), Source!$G456, "")</f>
        <v/>
      </c>
      <c r="T456" s="2" t="str">
        <f>IF(Source!$C456&gt;=COLUMNS($A456:T456), Source!$G456, "")</f>
        <v/>
      </c>
      <c r="U456" s="2" t="str">
        <f>IF(Source!$C456&gt;=COLUMNS($A456:U456), Source!$G456, "")</f>
        <v/>
      </c>
      <c r="V456" s="2" t="str">
        <f>IF(Source!$C456&gt;=COLUMNS($A456:V456), Source!$G456, "")</f>
        <v/>
      </c>
      <c r="W456" s="2" t="str">
        <f>IF(Source!$C456&gt;=COLUMNS($A456:W456), Source!$G456, "")</f>
        <v/>
      </c>
      <c r="X456" s="2" t="str">
        <f>IF(Source!$C456&gt;=COLUMNS($A456:X456), Source!$G456, "")</f>
        <v/>
      </c>
      <c r="Y456" s="2" t="str">
        <f>IF(Source!$C456&gt;=COLUMNS($A456:Y456), Source!$G456, "")</f>
        <v/>
      </c>
      <c r="Z456" s="2" t="str">
        <f>IF(Source!$C456&gt;=COLUMNS($A456:Z456), Source!$G456, "")</f>
        <v/>
      </c>
      <c r="AA456" s="2" t="str">
        <f>IF(Source!$C456&gt;=COLUMNS($A456:AA456), Source!$G456, "")</f>
        <v/>
      </c>
      <c r="AB456" s="2" t="str">
        <f>IF(Source!$C456&gt;=COLUMNS($A456:AB456), Source!$G456, "")</f>
        <v/>
      </c>
      <c r="AC456" s="2" t="str">
        <f>IF(Source!$C456&gt;=COLUMNS($A456:AC456), Source!$G456, "")</f>
        <v/>
      </c>
      <c r="AD456" s="2" t="str">
        <f>IF(Source!$C456&gt;=COLUMNS($A456:AD456), Source!$G456, "")</f>
        <v/>
      </c>
      <c r="AE456" s="2" t="str">
        <f>IF(Source!$C456&gt;=COLUMNS($A456:AE456), Source!$G456, "")</f>
        <v/>
      </c>
      <c r="AF456" s="2" t="str">
        <f>IF(Source!$C456&gt;=COLUMNS($A456:AF456), Source!$G456, "")</f>
        <v/>
      </c>
      <c r="AG456" s="2" t="str">
        <f>IF(Source!$C456&gt;=COLUMNS($A456:AG456), Source!$G456, "")</f>
        <v/>
      </c>
      <c r="AH456" s="2" t="str">
        <f>IF(Source!$C456&gt;=COLUMNS($A456:AH456), Source!$G456, "")</f>
        <v/>
      </c>
      <c r="AI456" s="2" t="str">
        <f>IF(Source!$C456&gt;=COLUMNS($A456:AI456), Source!$G456, "")</f>
        <v/>
      </c>
      <c r="AJ456" s="2" t="str">
        <f>IF(Source!$C456&gt;=COLUMNS($A456:AJ456), Source!$G456, "")</f>
        <v/>
      </c>
      <c r="AK456" s="2" t="str">
        <f>IF(Source!$C456&gt;=COLUMNS($A456:AK456), Source!$G456, "")</f>
        <v/>
      </c>
      <c r="AL456" s="2" t="str">
        <f>IF(Source!$C456&gt;=COLUMNS($A456:AL456), Source!$G456, "")</f>
        <v/>
      </c>
      <c r="AM456" s="2" t="str">
        <f>IF(Source!$C456&gt;=COLUMNS($A456:AM456), Source!$G456, "")</f>
        <v/>
      </c>
      <c r="AN456" s="2" t="str">
        <f>IF(Source!$C456&gt;=COLUMNS($A456:AN456), Source!$G456, "")</f>
        <v/>
      </c>
      <c r="AO456" s="2" t="str">
        <f>IF(Source!$C456&gt;=COLUMNS($A456:AO456), Source!$G456, "")</f>
        <v/>
      </c>
      <c r="AP456" s="2" t="str">
        <f>IF(Source!$C456&gt;=COLUMNS($A456:AP456), Source!$G456, "")</f>
        <v/>
      </c>
      <c r="AQ456" s="2" t="str">
        <f>IF(Source!$C456&gt;=COLUMNS($A456:AQ456), Source!$G456, "")</f>
        <v/>
      </c>
      <c r="AR456" s="2" t="str">
        <f>IF(Source!$C456&gt;=COLUMNS($A456:AR456), Source!$G456, "")</f>
        <v/>
      </c>
    </row>
    <row r="457">
      <c r="A457" s="2">
        <f>IF(Source!$C457&gt;=COLUMNS($A457:A457), Source!$G457, "")</f>
        <v>4</v>
      </c>
      <c r="B457" s="2">
        <f>IF(Source!$C457&gt;=COLUMNS($A457:B457), Source!$G457, "")</f>
        <v>4</v>
      </c>
      <c r="C457" s="2">
        <f>IF(Source!$C457&gt;=COLUMNS($A457:C457), Source!$G457, "")</f>
        <v>4</v>
      </c>
      <c r="D457" s="2">
        <f>IF(Source!$C457&gt;=COLUMNS($A457:D457), Source!$G457, "")</f>
        <v>4</v>
      </c>
      <c r="E457" s="2">
        <f>IF(Source!$C457&gt;=COLUMNS($A457:E457), Source!$G457, "")</f>
        <v>4</v>
      </c>
      <c r="F457" s="2">
        <f>IF(Source!$C457&gt;=COLUMNS($A457:F457), Source!$G457, "")</f>
        <v>4</v>
      </c>
      <c r="G457" s="2">
        <f>IF(Source!$C457&gt;=COLUMNS($A457:G457), Source!$G457, "")</f>
        <v>4</v>
      </c>
      <c r="H457" s="2">
        <f>IF(Source!$C457&gt;=COLUMNS($A457:H457), Source!$G457, "")</f>
        <v>4</v>
      </c>
      <c r="I457" s="2" t="str">
        <f>IF(Source!$C457&gt;=COLUMNS($A457:I457), Source!$G457, "")</f>
        <v/>
      </c>
      <c r="J457" s="2" t="str">
        <f>IF(Source!$C457&gt;=COLUMNS($A457:J457), Source!$G457, "")</f>
        <v/>
      </c>
      <c r="K457" s="2" t="str">
        <f>IF(Source!$C457&gt;=COLUMNS($A457:K457), Source!$G457, "")</f>
        <v/>
      </c>
      <c r="L457" s="2" t="str">
        <f>IF(Source!$C457&gt;=COLUMNS($A457:L457), Source!$G457, "")</f>
        <v/>
      </c>
      <c r="M457" s="2" t="str">
        <f>IF(Source!$C457&gt;=COLUMNS($A457:M457), Source!$G457, "")</f>
        <v/>
      </c>
      <c r="N457" s="2" t="str">
        <f>IF(Source!$C457&gt;=COLUMNS($A457:N457), Source!$G457, "")</f>
        <v/>
      </c>
      <c r="O457" s="2" t="str">
        <f>IF(Source!$C457&gt;=COLUMNS($A457:O457), Source!$G457, "")</f>
        <v/>
      </c>
      <c r="P457" s="2" t="str">
        <f>IF(Source!$C457&gt;=COLUMNS($A457:P457), Source!$G457, "")</f>
        <v/>
      </c>
      <c r="Q457" s="2" t="str">
        <f>IF(Source!$C457&gt;=COLUMNS($A457:Q457), Source!$G457, "")</f>
        <v/>
      </c>
      <c r="R457" s="2" t="str">
        <f>IF(Source!$C457&gt;=COLUMNS($A457:R457), Source!$G457, "")</f>
        <v/>
      </c>
      <c r="S457" s="2" t="str">
        <f>IF(Source!$C457&gt;=COLUMNS($A457:S457), Source!$G457, "")</f>
        <v/>
      </c>
      <c r="T457" s="2" t="str">
        <f>IF(Source!$C457&gt;=COLUMNS($A457:T457), Source!$G457, "")</f>
        <v/>
      </c>
      <c r="U457" s="2" t="str">
        <f>IF(Source!$C457&gt;=COLUMNS($A457:U457), Source!$G457, "")</f>
        <v/>
      </c>
      <c r="V457" s="2" t="str">
        <f>IF(Source!$C457&gt;=COLUMNS($A457:V457), Source!$G457, "")</f>
        <v/>
      </c>
      <c r="W457" s="2" t="str">
        <f>IF(Source!$C457&gt;=COLUMNS($A457:W457), Source!$G457, "")</f>
        <v/>
      </c>
      <c r="X457" s="2" t="str">
        <f>IF(Source!$C457&gt;=COLUMNS($A457:X457), Source!$G457, "")</f>
        <v/>
      </c>
      <c r="Y457" s="2" t="str">
        <f>IF(Source!$C457&gt;=COLUMNS($A457:Y457), Source!$G457, "")</f>
        <v/>
      </c>
      <c r="Z457" s="2" t="str">
        <f>IF(Source!$C457&gt;=COLUMNS($A457:Z457), Source!$G457, "")</f>
        <v/>
      </c>
      <c r="AA457" s="2" t="str">
        <f>IF(Source!$C457&gt;=COLUMNS($A457:AA457), Source!$G457, "")</f>
        <v/>
      </c>
      <c r="AB457" s="2" t="str">
        <f>IF(Source!$C457&gt;=COLUMNS($A457:AB457), Source!$G457, "")</f>
        <v/>
      </c>
      <c r="AC457" s="2" t="str">
        <f>IF(Source!$C457&gt;=COLUMNS($A457:AC457), Source!$G457, "")</f>
        <v/>
      </c>
      <c r="AD457" s="2" t="str">
        <f>IF(Source!$C457&gt;=COLUMNS($A457:AD457), Source!$G457, "")</f>
        <v/>
      </c>
      <c r="AE457" s="2" t="str">
        <f>IF(Source!$C457&gt;=COLUMNS($A457:AE457), Source!$G457, "")</f>
        <v/>
      </c>
      <c r="AF457" s="2" t="str">
        <f>IF(Source!$C457&gt;=COLUMNS($A457:AF457), Source!$G457, "")</f>
        <v/>
      </c>
      <c r="AG457" s="2" t="str">
        <f>IF(Source!$C457&gt;=COLUMNS($A457:AG457), Source!$G457, "")</f>
        <v/>
      </c>
      <c r="AH457" s="2" t="str">
        <f>IF(Source!$C457&gt;=COLUMNS($A457:AH457), Source!$G457, "")</f>
        <v/>
      </c>
      <c r="AI457" s="2" t="str">
        <f>IF(Source!$C457&gt;=COLUMNS($A457:AI457), Source!$G457, "")</f>
        <v/>
      </c>
      <c r="AJ457" s="2" t="str">
        <f>IF(Source!$C457&gt;=COLUMNS($A457:AJ457), Source!$G457, "")</f>
        <v/>
      </c>
      <c r="AK457" s="2" t="str">
        <f>IF(Source!$C457&gt;=COLUMNS($A457:AK457), Source!$G457, "")</f>
        <v/>
      </c>
      <c r="AL457" s="2" t="str">
        <f>IF(Source!$C457&gt;=COLUMNS($A457:AL457), Source!$G457, "")</f>
        <v/>
      </c>
      <c r="AM457" s="2" t="str">
        <f>IF(Source!$C457&gt;=COLUMNS($A457:AM457), Source!$G457, "")</f>
        <v/>
      </c>
      <c r="AN457" s="2" t="str">
        <f>IF(Source!$C457&gt;=COLUMNS($A457:AN457), Source!$G457, "")</f>
        <v/>
      </c>
      <c r="AO457" s="2" t="str">
        <f>IF(Source!$C457&gt;=COLUMNS($A457:AO457), Source!$G457, "")</f>
        <v/>
      </c>
      <c r="AP457" s="2" t="str">
        <f>IF(Source!$C457&gt;=COLUMNS($A457:AP457), Source!$G457, "")</f>
        <v/>
      </c>
      <c r="AQ457" s="2" t="str">
        <f>IF(Source!$C457&gt;=COLUMNS($A457:AQ457), Source!$G457, "")</f>
        <v/>
      </c>
      <c r="AR457" s="2" t="str">
        <f>IF(Source!$C457&gt;=COLUMNS($A457:AR457), Source!$G457, "")</f>
        <v/>
      </c>
    </row>
    <row r="458">
      <c r="A458" s="2">
        <f>IF(Source!$C458&gt;=COLUMNS($A458:A458), Source!$G458, "")</f>
        <v>2</v>
      </c>
      <c r="B458" s="2" t="str">
        <f>IF(Source!$C458&gt;=COLUMNS($A458:B458), Source!$G458, "")</f>
        <v/>
      </c>
      <c r="C458" s="2" t="str">
        <f>IF(Source!$C458&gt;=COLUMNS($A458:C458), Source!$G458, "")</f>
        <v/>
      </c>
      <c r="D458" s="2" t="str">
        <f>IF(Source!$C458&gt;=COLUMNS($A458:D458), Source!$G458, "")</f>
        <v/>
      </c>
      <c r="E458" s="2" t="str">
        <f>IF(Source!$C458&gt;=COLUMNS($A458:E458), Source!$G458, "")</f>
        <v/>
      </c>
      <c r="F458" s="2" t="str">
        <f>IF(Source!$C458&gt;=COLUMNS($A458:F458), Source!$G458, "")</f>
        <v/>
      </c>
      <c r="G458" s="2" t="str">
        <f>IF(Source!$C458&gt;=COLUMNS($A458:G458), Source!$G458, "")</f>
        <v/>
      </c>
      <c r="H458" s="2" t="str">
        <f>IF(Source!$C458&gt;=COLUMNS($A458:H458), Source!$G458, "")</f>
        <v/>
      </c>
      <c r="I458" s="2" t="str">
        <f>IF(Source!$C458&gt;=COLUMNS($A458:I458), Source!$G458, "")</f>
        <v/>
      </c>
      <c r="J458" s="2" t="str">
        <f>IF(Source!$C458&gt;=COLUMNS($A458:J458), Source!$G458, "")</f>
        <v/>
      </c>
      <c r="K458" s="2" t="str">
        <f>IF(Source!$C458&gt;=COLUMNS($A458:K458), Source!$G458, "")</f>
        <v/>
      </c>
      <c r="L458" s="2" t="str">
        <f>IF(Source!$C458&gt;=COLUMNS($A458:L458), Source!$G458, "")</f>
        <v/>
      </c>
      <c r="M458" s="2" t="str">
        <f>IF(Source!$C458&gt;=COLUMNS($A458:M458), Source!$G458, "")</f>
        <v/>
      </c>
      <c r="N458" s="2" t="str">
        <f>IF(Source!$C458&gt;=COLUMNS($A458:N458), Source!$G458, "")</f>
        <v/>
      </c>
      <c r="O458" s="2" t="str">
        <f>IF(Source!$C458&gt;=COLUMNS($A458:O458), Source!$G458, "")</f>
        <v/>
      </c>
      <c r="P458" s="2" t="str">
        <f>IF(Source!$C458&gt;=COLUMNS($A458:P458), Source!$G458, "")</f>
        <v/>
      </c>
      <c r="Q458" s="2" t="str">
        <f>IF(Source!$C458&gt;=COLUMNS($A458:Q458), Source!$G458, "")</f>
        <v/>
      </c>
      <c r="R458" s="2" t="str">
        <f>IF(Source!$C458&gt;=COLUMNS($A458:R458), Source!$G458, "")</f>
        <v/>
      </c>
      <c r="S458" s="2" t="str">
        <f>IF(Source!$C458&gt;=COLUMNS($A458:S458), Source!$G458, "")</f>
        <v/>
      </c>
      <c r="T458" s="2" t="str">
        <f>IF(Source!$C458&gt;=COLUMNS($A458:T458), Source!$G458, "")</f>
        <v/>
      </c>
      <c r="U458" s="2" t="str">
        <f>IF(Source!$C458&gt;=COLUMNS($A458:U458), Source!$G458, "")</f>
        <v/>
      </c>
      <c r="V458" s="2" t="str">
        <f>IF(Source!$C458&gt;=COLUMNS($A458:V458), Source!$G458, "")</f>
        <v/>
      </c>
      <c r="W458" s="2" t="str">
        <f>IF(Source!$C458&gt;=COLUMNS($A458:W458), Source!$G458, "")</f>
        <v/>
      </c>
      <c r="X458" s="2" t="str">
        <f>IF(Source!$C458&gt;=COLUMNS($A458:X458), Source!$G458, "")</f>
        <v/>
      </c>
      <c r="Y458" s="2" t="str">
        <f>IF(Source!$C458&gt;=COLUMNS($A458:Y458), Source!$G458, "")</f>
        <v/>
      </c>
      <c r="Z458" s="2" t="str">
        <f>IF(Source!$C458&gt;=COLUMNS($A458:Z458), Source!$G458, "")</f>
        <v/>
      </c>
      <c r="AA458" s="2" t="str">
        <f>IF(Source!$C458&gt;=COLUMNS($A458:AA458), Source!$G458, "")</f>
        <v/>
      </c>
      <c r="AB458" s="2" t="str">
        <f>IF(Source!$C458&gt;=COLUMNS($A458:AB458), Source!$G458, "")</f>
        <v/>
      </c>
      <c r="AC458" s="2" t="str">
        <f>IF(Source!$C458&gt;=COLUMNS($A458:AC458), Source!$G458, "")</f>
        <v/>
      </c>
      <c r="AD458" s="2" t="str">
        <f>IF(Source!$C458&gt;=COLUMNS($A458:AD458), Source!$G458, "")</f>
        <v/>
      </c>
      <c r="AE458" s="2" t="str">
        <f>IF(Source!$C458&gt;=COLUMNS($A458:AE458), Source!$G458, "")</f>
        <v/>
      </c>
      <c r="AF458" s="2" t="str">
        <f>IF(Source!$C458&gt;=COLUMNS($A458:AF458), Source!$G458, "")</f>
        <v/>
      </c>
      <c r="AG458" s="2" t="str">
        <f>IF(Source!$C458&gt;=COLUMNS($A458:AG458), Source!$G458, "")</f>
        <v/>
      </c>
      <c r="AH458" s="2" t="str">
        <f>IF(Source!$C458&gt;=COLUMNS($A458:AH458), Source!$G458, "")</f>
        <v/>
      </c>
      <c r="AI458" s="2" t="str">
        <f>IF(Source!$C458&gt;=COLUMNS($A458:AI458), Source!$G458, "")</f>
        <v/>
      </c>
      <c r="AJ458" s="2" t="str">
        <f>IF(Source!$C458&gt;=COLUMNS($A458:AJ458), Source!$G458, "")</f>
        <v/>
      </c>
      <c r="AK458" s="2" t="str">
        <f>IF(Source!$C458&gt;=COLUMNS($A458:AK458), Source!$G458, "")</f>
        <v/>
      </c>
      <c r="AL458" s="2" t="str">
        <f>IF(Source!$C458&gt;=COLUMNS($A458:AL458), Source!$G458, "")</f>
        <v/>
      </c>
      <c r="AM458" s="2" t="str">
        <f>IF(Source!$C458&gt;=COLUMNS($A458:AM458), Source!$G458, "")</f>
        <v/>
      </c>
      <c r="AN458" s="2" t="str">
        <f>IF(Source!$C458&gt;=COLUMNS($A458:AN458), Source!$G458, "")</f>
        <v/>
      </c>
      <c r="AO458" s="2" t="str">
        <f>IF(Source!$C458&gt;=COLUMNS($A458:AO458), Source!$G458, "")</f>
        <v/>
      </c>
      <c r="AP458" s="2" t="str">
        <f>IF(Source!$C458&gt;=COLUMNS($A458:AP458), Source!$G458, "")</f>
        <v/>
      </c>
      <c r="AQ458" s="2" t="str">
        <f>IF(Source!$C458&gt;=COLUMNS($A458:AQ458), Source!$G458, "")</f>
        <v/>
      </c>
      <c r="AR458" s="2" t="str">
        <f>IF(Source!$C458&gt;=COLUMNS($A458:AR458), Source!$G458, "")</f>
        <v/>
      </c>
    </row>
    <row r="459">
      <c r="A459" s="2">
        <f>IF(Source!$C459&gt;=COLUMNS($A459:A459), Source!$G459, "")</f>
        <v>8</v>
      </c>
      <c r="B459" s="2">
        <f>IF(Source!$C459&gt;=COLUMNS($A459:B459), Source!$G459, "")</f>
        <v>8</v>
      </c>
      <c r="C459" s="2">
        <f>IF(Source!$C459&gt;=COLUMNS($A459:C459), Source!$G459, "")</f>
        <v>8</v>
      </c>
      <c r="D459" s="2">
        <f>IF(Source!$C459&gt;=COLUMNS($A459:D459), Source!$G459, "")</f>
        <v>8</v>
      </c>
      <c r="E459" s="2">
        <f>IF(Source!$C459&gt;=COLUMNS($A459:E459), Source!$G459, "")</f>
        <v>8</v>
      </c>
      <c r="F459" s="2">
        <f>IF(Source!$C459&gt;=COLUMNS($A459:F459), Source!$G459, "")</f>
        <v>8</v>
      </c>
      <c r="G459" s="2">
        <f>IF(Source!$C459&gt;=COLUMNS($A459:G459), Source!$G459, "")</f>
        <v>8</v>
      </c>
      <c r="H459" s="2" t="str">
        <f>IF(Source!$C459&gt;=COLUMNS($A459:H459), Source!$G459, "")</f>
        <v/>
      </c>
      <c r="I459" s="2" t="str">
        <f>IF(Source!$C459&gt;=COLUMNS($A459:I459), Source!$G459, "")</f>
        <v/>
      </c>
      <c r="J459" s="2" t="str">
        <f>IF(Source!$C459&gt;=COLUMNS($A459:J459), Source!$G459, "")</f>
        <v/>
      </c>
      <c r="K459" s="2" t="str">
        <f>IF(Source!$C459&gt;=COLUMNS($A459:K459), Source!$G459, "")</f>
        <v/>
      </c>
      <c r="L459" s="2" t="str">
        <f>IF(Source!$C459&gt;=COLUMNS($A459:L459), Source!$G459, "")</f>
        <v/>
      </c>
      <c r="M459" s="2" t="str">
        <f>IF(Source!$C459&gt;=COLUMNS($A459:M459), Source!$G459, "")</f>
        <v/>
      </c>
      <c r="N459" s="2" t="str">
        <f>IF(Source!$C459&gt;=COLUMNS($A459:N459), Source!$G459, "")</f>
        <v/>
      </c>
      <c r="O459" s="2" t="str">
        <f>IF(Source!$C459&gt;=COLUMNS($A459:O459), Source!$G459, "")</f>
        <v/>
      </c>
      <c r="P459" s="2" t="str">
        <f>IF(Source!$C459&gt;=COLUMNS($A459:P459), Source!$G459, "")</f>
        <v/>
      </c>
      <c r="Q459" s="2" t="str">
        <f>IF(Source!$C459&gt;=COLUMNS($A459:Q459), Source!$G459, "")</f>
        <v/>
      </c>
      <c r="R459" s="2" t="str">
        <f>IF(Source!$C459&gt;=COLUMNS($A459:R459), Source!$G459, "")</f>
        <v/>
      </c>
      <c r="S459" s="2" t="str">
        <f>IF(Source!$C459&gt;=COLUMNS($A459:S459), Source!$G459, "")</f>
        <v/>
      </c>
      <c r="T459" s="2" t="str">
        <f>IF(Source!$C459&gt;=COLUMNS($A459:T459), Source!$G459, "")</f>
        <v/>
      </c>
      <c r="U459" s="2" t="str">
        <f>IF(Source!$C459&gt;=COLUMNS($A459:U459), Source!$G459, "")</f>
        <v/>
      </c>
      <c r="V459" s="2" t="str">
        <f>IF(Source!$C459&gt;=COLUMNS($A459:V459), Source!$G459, "")</f>
        <v/>
      </c>
      <c r="W459" s="2" t="str">
        <f>IF(Source!$C459&gt;=COLUMNS($A459:W459), Source!$G459, "")</f>
        <v/>
      </c>
      <c r="X459" s="2" t="str">
        <f>IF(Source!$C459&gt;=COLUMNS($A459:X459), Source!$G459, "")</f>
        <v/>
      </c>
      <c r="Y459" s="2" t="str">
        <f>IF(Source!$C459&gt;=COLUMNS($A459:Y459), Source!$G459, "")</f>
        <v/>
      </c>
      <c r="Z459" s="2" t="str">
        <f>IF(Source!$C459&gt;=COLUMNS($A459:Z459), Source!$G459, "")</f>
        <v/>
      </c>
      <c r="AA459" s="2" t="str">
        <f>IF(Source!$C459&gt;=COLUMNS($A459:AA459), Source!$G459, "")</f>
        <v/>
      </c>
      <c r="AB459" s="2" t="str">
        <f>IF(Source!$C459&gt;=COLUMNS($A459:AB459), Source!$G459, "")</f>
        <v/>
      </c>
      <c r="AC459" s="2" t="str">
        <f>IF(Source!$C459&gt;=COLUMNS($A459:AC459), Source!$G459, "")</f>
        <v/>
      </c>
      <c r="AD459" s="2" t="str">
        <f>IF(Source!$C459&gt;=COLUMNS($A459:AD459), Source!$G459, "")</f>
        <v/>
      </c>
      <c r="AE459" s="2" t="str">
        <f>IF(Source!$C459&gt;=COLUMNS($A459:AE459), Source!$G459, "")</f>
        <v/>
      </c>
      <c r="AF459" s="2" t="str">
        <f>IF(Source!$C459&gt;=COLUMNS($A459:AF459), Source!$G459, "")</f>
        <v/>
      </c>
      <c r="AG459" s="2" t="str">
        <f>IF(Source!$C459&gt;=COLUMNS($A459:AG459), Source!$G459, "")</f>
        <v/>
      </c>
      <c r="AH459" s="2" t="str">
        <f>IF(Source!$C459&gt;=COLUMNS($A459:AH459), Source!$G459, "")</f>
        <v/>
      </c>
      <c r="AI459" s="2" t="str">
        <f>IF(Source!$C459&gt;=COLUMNS($A459:AI459), Source!$G459, "")</f>
        <v/>
      </c>
      <c r="AJ459" s="2" t="str">
        <f>IF(Source!$C459&gt;=COLUMNS($A459:AJ459), Source!$G459, "")</f>
        <v/>
      </c>
      <c r="AK459" s="2" t="str">
        <f>IF(Source!$C459&gt;=COLUMNS($A459:AK459), Source!$G459, "")</f>
        <v/>
      </c>
      <c r="AL459" s="2" t="str">
        <f>IF(Source!$C459&gt;=COLUMNS($A459:AL459), Source!$G459, "")</f>
        <v/>
      </c>
      <c r="AM459" s="2" t="str">
        <f>IF(Source!$C459&gt;=COLUMNS($A459:AM459), Source!$G459, "")</f>
        <v/>
      </c>
      <c r="AN459" s="2" t="str">
        <f>IF(Source!$C459&gt;=COLUMNS($A459:AN459), Source!$G459, "")</f>
        <v/>
      </c>
      <c r="AO459" s="2" t="str">
        <f>IF(Source!$C459&gt;=COLUMNS($A459:AO459), Source!$G459, "")</f>
        <v/>
      </c>
      <c r="AP459" s="2" t="str">
        <f>IF(Source!$C459&gt;=COLUMNS($A459:AP459), Source!$G459, "")</f>
        <v/>
      </c>
      <c r="AQ459" s="2" t="str">
        <f>IF(Source!$C459&gt;=COLUMNS($A459:AQ459), Source!$G459, "")</f>
        <v/>
      </c>
      <c r="AR459" s="2" t="str">
        <f>IF(Source!$C459&gt;=COLUMNS($A459:AR459), Source!$G459, "")</f>
        <v/>
      </c>
    </row>
    <row r="460">
      <c r="A460" s="2">
        <f>IF(Source!$C460&gt;=COLUMNS($A460:A460), Source!$G460, "")</f>
        <v>9</v>
      </c>
      <c r="B460" s="2">
        <f>IF(Source!$C460&gt;=COLUMNS($A460:B460), Source!$G460, "")</f>
        <v>9</v>
      </c>
      <c r="C460" s="2">
        <f>IF(Source!$C460&gt;=COLUMNS($A460:C460), Source!$G460, "")</f>
        <v>9</v>
      </c>
      <c r="D460" s="2" t="str">
        <f>IF(Source!$C460&gt;=COLUMNS($A460:D460), Source!$G460, "")</f>
        <v/>
      </c>
      <c r="E460" s="2" t="str">
        <f>IF(Source!$C460&gt;=COLUMNS($A460:E460), Source!$G460, "")</f>
        <v/>
      </c>
      <c r="F460" s="2" t="str">
        <f>IF(Source!$C460&gt;=COLUMNS($A460:F460), Source!$G460, "")</f>
        <v/>
      </c>
      <c r="G460" s="2" t="str">
        <f>IF(Source!$C460&gt;=COLUMNS($A460:G460), Source!$G460, "")</f>
        <v/>
      </c>
      <c r="H460" s="2" t="str">
        <f>IF(Source!$C460&gt;=COLUMNS($A460:H460), Source!$G460, "")</f>
        <v/>
      </c>
      <c r="I460" s="2" t="str">
        <f>IF(Source!$C460&gt;=COLUMNS($A460:I460), Source!$G460, "")</f>
        <v/>
      </c>
      <c r="J460" s="2" t="str">
        <f>IF(Source!$C460&gt;=COLUMNS($A460:J460), Source!$G460, "")</f>
        <v/>
      </c>
      <c r="K460" s="2" t="str">
        <f>IF(Source!$C460&gt;=COLUMNS($A460:K460), Source!$G460, "")</f>
        <v/>
      </c>
      <c r="L460" s="2" t="str">
        <f>IF(Source!$C460&gt;=COLUMNS($A460:L460), Source!$G460, "")</f>
        <v/>
      </c>
      <c r="M460" s="2" t="str">
        <f>IF(Source!$C460&gt;=COLUMNS($A460:M460), Source!$G460, "")</f>
        <v/>
      </c>
      <c r="N460" s="2" t="str">
        <f>IF(Source!$C460&gt;=COLUMNS($A460:N460), Source!$G460, "")</f>
        <v/>
      </c>
      <c r="O460" s="2" t="str">
        <f>IF(Source!$C460&gt;=COLUMNS($A460:O460), Source!$G460, "")</f>
        <v/>
      </c>
      <c r="P460" s="2" t="str">
        <f>IF(Source!$C460&gt;=COLUMNS($A460:P460), Source!$G460, "")</f>
        <v/>
      </c>
      <c r="Q460" s="2" t="str">
        <f>IF(Source!$C460&gt;=COLUMNS($A460:Q460), Source!$G460, "")</f>
        <v/>
      </c>
      <c r="R460" s="2" t="str">
        <f>IF(Source!$C460&gt;=COLUMNS($A460:R460), Source!$G460, "")</f>
        <v/>
      </c>
      <c r="S460" s="2" t="str">
        <f>IF(Source!$C460&gt;=COLUMNS($A460:S460), Source!$G460, "")</f>
        <v/>
      </c>
      <c r="T460" s="2" t="str">
        <f>IF(Source!$C460&gt;=COLUMNS($A460:T460), Source!$G460, "")</f>
        <v/>
      </c>
      <c r="U460" s="2" t="str">
        <f>IF(Source!$C460&gt;=COLUMNS($A460:U460), Source!$G460, "")</f>
        <v/>
      </c>
      <c r="V460" s="2" t="str">
        <f>IF(Source!$C460&gt;=COLUMNS($A460:V460), Source!$G460, "")</f>
        <v/>
      </c>
      <c r="W460" s="2" t="str">
        <f>IF(Source!$C460&gt;=COLUMNS($A460:W460), Source!$G460, "")</f>
        <v/>
      </c>
      <c r="X460" s="2" t="str">
        <f>IF(Source!$C460&gt;=COLUMNS($A460:X460), Source!$G460, "")</f>
        <v/>
      </c>
      <c r="Y460" s="2" t="str">
        <f>IF(Source!$C460&gt;=COLUMNS($A460:Y460), Source!$G460, "")</f>
        <v/>
      </c>
      <c r="Z460" s="2" t="str">
        <f>IF(Source!$C460&gt;=COLUMNS($A460:Z460), Source!$G460, "")</f>
        <v/>
      </c>
      <c r="AA460" s="2" t="str">
        <f>IF(Source!$C460&gt;=COLUMNS($A460:AA460), Source!$G460, "")</f>
        <v/>
      </c>
      <c r="AB460" s="2" t="str">
        <f>IF(Source!$C460&gt;=COLUMNS($A460:AB460), Source!$G460, "")</f>
        <v/>
      </c>
      <c r="AC460" s="2" t="str">
        <f>IF(Source!$C460&gt;=COLUMNS($A460:AC460), Source!$G460, "")</f>
        <v/>
      </c>
      <c r="AD460" s="2" t="str">
        <f>IF(Source!$C460&gt;=COLUMNS($A460:AD460), Source!$G460, "")</f>
        <v/>
      </c>
      <c r="AE460" s="2" t="str">
        <f>IF(Source!$C460&gt;=COLUMNS($A460:AE460), Source!$G460, "")</f>
        <v/>
      </c>
      <c r="AF460" s="2" t="str">
        <f>IF(Source!$C460&gt;=COLUMNS($A460:AF460), Source!$G460, "")</f>
        <v/>
      </c>
      <c r="AG460" s="2" t="str">
        <f>IF(Source!$C460&gt;=COLUMNS($A460:AG460), Source!$G460, "")</f>
        <v/>
      </c>
      <c r="AH460" s="2" t="str">
        <f>IF(Source!$C460&gt;=COLUMNS($A460:AH460), Source!$G460, "")</f>
        <v/>
      </c>
      <c r="AI460" s="2" t="str">
        <f>IF(Source!$C460&gt;=COLUMNS($A460:AI460), Source!$G460, "")</f>
        <v/>
      </c>
      <c r="AJ460" s="2" t="str">
        <f>IF(Source!$C460&gt;=COLUMNS($A460:AJ460), Source!$G460, "")</f>
        <v/>
      </c>
      <c r="AK460" s="2" t="str">
        <f>IF(Source!$C460&gt;=COLUMNS($A460:AK460), Source!$G460, "")</f>
        <v/>
      </c>
      <c r="AL460" s="2" t="str">
        <f>IF(Source!$C460&gt;=COLUMNS($A460:AL460), Source!$G460, "")</f>
        <v/>
      </c>
      <c r="AM460" s="2" t="str">
        <f>IF(Source!$C460&gt;=COLUMNS($A460:AM460), Source!$G460, "")</f>
        <v/>
      </c>
      <c r="AN460" s="2" t="str">
        <f>IF(Source!$C460&gt;=COLUMNS($A460:AN460), Source!$G460, "")</f>
        <v/>
      </c>
      <c r="AO460" s="2" t="str">
        <f>IF(Source!$C460&gt;=COLUMNS($A460:AO460), Source!$G460, "")</f>
        <v/>
      </c>
      <c r="AP460" s="2" t="str">
        <f>IF(Source!$C460&gt;=COLUMNS($A460:AP460), Source!$G460, "")</f>
        <v/>
      </c>
      <c r="AQ460" s="2" t="str">
        <f>IF(Source!$C460&gt;=COLUMNS($A460:AQ460), Source!$G460, "")</f>
        <v/>
      </c>
      <c r="AR460" s="2" t="str">
        <f>IF(Source!$C460&gt;=COLUMNS($A460:AR460), Source!$G460, "")</f>
        <v/>
      </c>
    </row>
    <row r="461">
      <c r="A461" s="2">
        <f>IF(Source!$C461&gt;=COLUMNS($A461:A461), Source!$G461, "")</f>
        <v>5</v>
      </c>
      <c r="B461" s="2">
        <f>IF(Source!$C461&gt;=COLUMNS($A461:B461), Source!$G461, "")</f>
        <v>5</v>
      </c>
      <c r="C461" s="2">
        <f>IF(Source!$C461&gt;=COLUMNS($A461:C461), Source!$G461, "")</f>
        <v>5</v>
      </c>
      <c r="D461" s="2" t="str">
        <f>IF(Source!$C461&gt;=COLUMNS($A461:D461), Source!$G461, "")</f>
        <v/>
      </c>
      <c r="E461" s="2" t="str">
        <f>IF(Source!$C461&gt;=COLUMNS($A461:E461), Source!$G461, "")</f>
        <v/>
      </c>
      <c r="F461" s="2" t="str">
        <f>IF(Source!$C461&gt;=COLUMNS($A461:F461), Source!$G461, "")</f>
        <v/>
      </c>
      <c r="G461" s="2" t="str">
        <f>IF(Source!$C461&gt;=COLUMNS($A461:G461), Source!$G461, "")</f>
        <v/>
      </c>
      <c r="H461" s="2" t="str">
        <f>IF(Source!$C461&gt;=COLUMNS($A461:H461), Source!$G461, "")</f>
        <v/>
      </c>
      <c r="I461" s="2" t="str">
        <f>IF(Source!$C461&gt;=COLUMNS($A461:I461), Source!$G461, "")</f>
        <v/>
      </c>
      <c r="J461" s="2" t="str">
        <f>IF(Source!$C461&gt;=COLUMNS($A461:J461), Source!$G461, "")</f>
        <v/>
      </c>
      <c r="K461" s="2" t="str">
        <f>IF(Source!$C461&gt;=COLUMNS($A461:K461), Source!$G461, "")</f>
        <v/>
      </c>
      <c r="L461" s="2" t="str">
        <f>IF(Source!$C461&gt;=COLUMNS($A461:L461), Source!$G461, "")</f>
        <v/>
      </c>
      <c r="M461" s="2" t="str">
        <f>IF(Source!$C461&gt;=COLUMNS($A461:M461), Source!$G461, "")</f>
        <v/>
      </c>
      <c r="N461" s="2" t="str">
        <f>IF(Source!$C461&gt;=COLUMNS($A461:N461), Source!$G461, "")</f>
        <v/>
      </c>
      <c r="O461" s="2" t="str">
        <f>IF(Source!$C461&gt;=COLUMNS($A461:O461), Source!$G461, "")</f>
        <v/>
      </c>
      <c r="P461" s="2" t="str">
        <f>IF(Source!$C461&gt;=COLUMNS($A461:P461), Source!$G461, "")</f>
        <v/>
      </c>
      <c r="Q461" s="2" t="str">
        <f>IF(Source!$C461&gt;=COLUMNS($A461:Q461), Source!$G461, "")</f>
        <v/>
      </c>
      <c r="R461" s="2" t="str">
        <f>IF(Source!$C461&gt;=COLUMNS($A461:R461), Source!$G461, "")</f>
        <v/>
      </c>
      <c r="S461" s="2" t="str">
        <f>IF(Source!$C461&gt;=COLUMNS($A461:S461), Source!$G461, "")</f>
        <v/>
      </c>
      <c r="T461" s="2" t="str">
        <f>IF(Source!$C461&gt;=COLUMNS($A461:T461), Source!$G461, "")</f>
        <v/>
      </c>
      <c r="U461" s="2" t="str">
        <f>IF(Source!$C461&gt;=COLUMNS($A461:U461), Source!$G461, "")</f>
        <v/>
      </c>
      <c r="V461" s="2" t="str">
        <f>IF(Source!$C461&gt;=COLUMNS($A461:V461), Source!$G461, "")</f>
        <v/>
      </c>
      <c r="W461" s="2" t="str">
        <f>IF(Source!$C461&gt;=COLUMNS($A461:W461), Source!$G461, "")</f>
        <v/>
      </c>
      <c r="X461" s="2" t="str">
        <f>IF(Source!$C461&gt;=COLUMNS($A461:X461), Source!$G461, "")</f>
        <v/>
      </c>
      <c r="Y461" s="2" t="str">
        <f>IF(Source!$C461&gt;=COLUMNS($A461:Y461), Source!$G461, "")</f>
        <v/>
      </c>
      <c r="Z461" s="2" t="str">
        <f>IF(Source!$C461&gt;=COLUMNS($A461:Z461), Source!$G461, "")</f>
        <v/>
      </c>
      <c r="AA461" s="2" t="str">
        <f>IF(Source!$C461&gt;=COLUMNS($A461:AA461), Source!$G461, "")</f>
        <v/>
      </c>
      <c r="AB461" s="2" t="str">
        <f>IF(Source!$C461&gt;=COLUMNS($A461:AB461), Source!$G461, "")</f>
        <v/>
      </c>
      <c r="AC461" s="2" t="str">
        <f>IF(Source!$C461&gt;=COLUMNS($A461:AC461), Source!$G461, "")</f>
        <v/>
      </c>
      <c r="AD461" s="2" t="str">
        <f>IF(Source!$C461&gt;=COLUMNS($A461:AD461), Source!$G461, "")</f>
        <v/>
      </c>
      <c r="AE461" s="2" t="str">
        <f>IF(Source!$C461&gt;=COLUMNS($A461:AE461), Source!$G461, "")</f>
        <v/>
      </c>
      <c r="AF461" s="2" t="str">
        <f>IF(Source!$C461&gt;=COLUMNS($A461:AF461), Source!$G461, "")</f>
        <v/>
      </c>
      <c r="AG461" s="2" t="str">
        <f>IF(Source!$C461&gt;=COLUMNS($A461:AG461), Source!$G461, "")</f>
        <v/>
      </c>
      <c r="AH461" s="2" t="str">
        <f>IF(Source!$C461&gt;=COLUMNS($A461:AH461), Source!$G461, "")</f>
        <v/>
      </c>
      <c r="AI461" s="2" t="str">
        <f>IF(Source!$C461&gt;=COLUMNS($A461:AI461), Source!$G461, "")</f>
        <v/>
      </c>
      <c r="AJ461" s="2" t="str">
        <f>IF(Source!$C461&gt;=COLUMNS($A461:AJ461), Source!$G461, "")</f>
        <v/>
      </c>
      <c r="AK461" s="2" t="str">
        <f>IF(Source!$C461&gt;=COLUMNS($A461:AK461), Source!$G461, "")</f>
        <v/>
      </c>
      <c r="AL461" s="2" t="str">
        <f>IF(Source!$C461&gt;=COLUMNS($A461:AL461), Source!$G461, "")</f>
        <v/>
      </c>
      <c r="AM461" s="2" t="str">
        <f>IF(Source!$C461&gt;=COLUMNS($A461:AM461), Source!$G461, "")</f>
        <v/>
      </c>
      <c r="AN461" s="2" t="str">
        <f>IF(Source!$C461&gt;=COLUMNS($A461:AN461), Source!$G461, "")</f>
        <v/>
      </c>
      <c r="AO461" s="2" t="str">
        <f>IF(Source!$C461&gt;=COLUMNS($A461:AO461), Source!$G461, "")</f>
        <v/>
      </c>
      <c r="AP461" s="2" t="str">
        <f>IF(Source!$C461&gt;=COLUMNS($A461:AP461), Source!$G461, "")</f>
        <v/>
      </c>
      <c r="AQ461" s="2" t="str">
        <f>IF(Source!$C461&gt;=COLUMNS($A461:AQ461), Source!$G461, "")</f>
        <v/>
      </c>
      <c r="AR461" s="2" t="str">
        <f>IF(Source!$C461&gt;=COLUMNS($A461:AR461), Source!$G461, "")</f>
        <v/>
      </c>
    </row>
    <row r="462">
      <c r="A462" s="2">
        <f>IF(Source!$C462&gt;=COLUMNS($A462:A462), Source!$G462, "")</f>
        <v>3</v>
      </c>
      <c r="B462" s="2">
        <f>IF(Source!$C462&gt;=COLUMNS($A462:B462), Source!$G462, "")</f>
        <v>3</v>
      </c>
      <c r="C462" s="2">
        <f>IF(Source!$C462&gt;=COLUMNS($A462:C462), Source!$G462, "")</f>
        <v>3</v>
      </c>
      <c r="D462" s="2">
        <f>IF(Source!$C462&gt;=COLUMNS($A462:D462), Source!$G462, "")</f>
        <v>3</v>
      </c>
      <c r="E462" s="2" t="str">
        <f>IF(Source!$C462&gt;=COLUMNS($A462:E462), Source!$G462, "")</f>
        <v/>
      </c>
      <c r="F462" s="2" t="str">
        <f>IF(Source!$C462&gt;=COLUMNS($A462:F462), Source!$G462, "")</f>
        <v/>
      </c>
      <c r="G462" s="2" t="str">
        <f>IF(Source!$C462&gt;=COLUMNS($A462:G462), Source!$G462, "")</f>
        <v/>
      </c>
      <c r="H462" s="2" t="str">
        <f>IF(Source!$C462&gt;=COLUMNS($A462:H462), Source!$G462, "")</f>
        <v/>
      </c>
      <c r="I462" s="2" t="str">
        <f>IF(Source!$C462&gt;=COLUMNS($A462:I462), Source!$G462, "")</f>
        <v/>
      </c>
      <c r="J462" s="2" t="str">
        <f>IF(Source!$C462&gt;=COLUMNS($A462:J462), Source!$G462, "")</f>
        <v/>
      </c>
      <c r="K462" s="2" t="str">
        <f>IF(Source!$C462&gt;=COLUMNS($A462:K462), Source!$G462, "")</f>
        <v/>
      </c>
      <c r="L462" s="2" t="str">
        <f>IF(Source!$C462&gt;=COLUMNS($A462:L462), Source!$G462, "")</f>
        <v/>
      </c>
      <c r="M462" s="2" t="str">
        <f>IF(Source!$C462&gt;=COLUMNS($A462:M462), Source!$G462, "")</f>
        <v/>
      </c>
      <c r="N462" s="2" t="str">
        <f>IF(Source!$C462&gt;=COLUMNS($A462:N462), Source!$G462, "")</f>
        <v/>
      </c>
      <c r="O462" s="2" t="str">
        <f>IF(Source!$C462&gt;=COLUMNS($A462:O462), Source!$G462, "")</f>
        <v/>
      </c>
      <c r="P462" s="2" t="str">
        <f>IF(Source!$C462&gt;=COLUMNS($A462:P462), Source!$G462, "")</f>
        <v/>
      </c>
      <c r="Q462" s="2" t="str">
        <f>IF(Source!$C462&gt;=COLUMNS($A462:Q462), Source!$G462, "")</f>
        <v/>
      </c>
      <c r="R462" s="2" t="str">
        <f>IF(Source!$C462&gt;=COLUMNS($A462:R462), Source!$G462, "")</f>
        <v/>
      </c>
      <c r="S462" s="2" t="str">
        <f>IF(Source!$C462&gt;=COLUMNS($A462:S462), Source!$G462, "")</f>
        <v/>
      </c>
      <c r="T462" s="2" t="str">
        <f>IF(Source!$C462&gt;=COLUMNS($A462:T462), Source!$G462, "")</f>
        <v/>
      </c>
      <c r="U462" s="2" t="str">
        <f>IF(Source!$C462&gt;=COLUMNS($A462:U462), Source!$G462, "")</f>
        <v/>
      </c>
      <c r="V462" s="2" t="str">
        <f>IF(Source!$C462&gt;=COLUMNS($A462:V462), Source!$G462, "")</f>
        <v/>
      </c>
      <c r="W462" s="2" t="str">
        <f>IF(Source!$C462&gt;=COLUMNS($A462:W462), Source!$G462, "")</f>
        <v/>
      </c>
      <c r="X462" s="2" t="str">
        <f>IF(Source!$C462&gt;=COLUMNS($A462:X462), Source!$G462, "")</f>
        <v/>
      </c>
      <c r="Y462" s="2" t="str">
        <f>IF(Source!$C462&gt;=COLUMNS($A462:Y462), Source!$G462, "")</f>
        <v/>
      </c>
      <c r="Z462" s="2" t="str">
        <f>IF(Source!$C462&gt;=COLUMNS($A462:Z462), Source!$G462, "")</f>
        <v/>
      </c>
      <c r="AA462" s="2" t="str">
        <f>IF(Source!$C462&gt;=COLUMNS($A462:AA462), Source!$G462, "")</f>
        <v/>
      </c>
      <c r="AB462" s="2" t="str">
        <f>IF(Source!$C462&gt;=COLUMNS($A462:AB462), Source!$G462, "")</f>
        <v/>
      </c>
      <c r="AC462" s="2" t="str">
        <f>IF(Source!$C462&gt;=COLUMNS($A462:AC462), Source!$G462, "")</f>
        <v/>
      </c>
      <c r="AD462" s="2" t="str">
        <f>IF(Source!$C462&gt;=COLUMNS($A462:AD462), Source!$G462, "")</f>
        <v/>
      </c>
      <c r="AE462" s="2" t="str">
        <f>IF(Source!$C462&gt;=COLUMNS($A462:AE462), Source!$G462, "")</f>
        <v/>
      </c>
      <c r="AF462" s="2" t="str">
        <f>IF(Source!$C462&gt;=COLUMNS($A462:AF462), Source!$G462, "")</f>
        <v/>
      </c>
      <c r="AG462" s="2" t="str">
        <f>IF(Source!$C462&gt;=COLUMNS($A462:AG462), Source!$G462, "")</f>
        <v/>
      </c>
      <c r="AH462" s="2" t="str">
        <f>IF(Source!$C462&gt;=COLUMNS($A462:AH462), Source!$G462, "")</f>
        <v/>
      </c>
      <c r="AI462" s="2" t="str">
        <f>IF(Source!$C462&gt;=COLUMNS($A462:AI462), Source!$G462, "")</f>
        <v/>
      </c>
      <c r="AJ462" s="2" t="str">
        <f>IF(Source!$C462&gt;=COLUMNS($A462:AJ462), Source!$G462, "")</f>
        <v/>
      </c>
      <c r="AK462" s="2" t="str">
        <f>IF(Source!$C462&gt;=COLUMNS($A462:AK462), Source!$G462, "")</f>
        <v/>
      </c>
      <c r="AL462" s="2" t="str">
        <f>IF(Source!$C462&gt;=COLUMNS($A462:AL462), Source!$G462, "")</f>
        <v/>
      </c>
      <c r="AM462" s="2" t="str">
        <f>IF(Source!$C462&gt;=COLUMNS($A462:AM462), Source!$G462, "")</f>
        <v/>
      </c>
      <c r="AN462" s="2" t="str">
        <f>IF(Source!$C462&gt;=COLUMNS($A462:AN462), Source!$G462, "")</f>
        <v/>
      </c>
      <c r="AO462" s="2" t="str">
        <f>IF(Source!$C462&gt;=COLUMNS($A462:AO462), Source!$G462, "")</f>
        <v/>
      </c>
      <c r="AP462" s="2" t="str">
        <f>IF(Source!$C462&gt;=COLUMNS($A462:AP462), Source!$G462, "")</f>
        <v/>
      </c>
      <c r="AQ462" s="2" t="str">
        <f>IF(Source!$C462&gt;=COLUMNS($A462:AQ462), Source!$G462, "")</f>
        <v/>
      </c>
      <c r="AR462" s="2" t="str">
        <f>IF(Source!$C462&gt;=COLUMNS($A462:AR462), Source!$G462, "")</f>
        <v/>
      </c>
    </row>
    <row r="463">
      <c r="A463" s="2">
        <f>IF(Source!$C463&gt;=COLUMNS($A463:A463), Source!$G463, "")</f>
        <v>3</v>
      </c>
      <c r="B463" s="2" t="str">
        <f>IF(Source!$C463&gt;=COLUMNS($A463:B463), Source!$G463, "")</f>
        <v/>
      </c>
      <c r="C463" s="2" t="str">
        <f>IF(Source!$C463&gt;=COLUMNS($A463:C463), Source!$G463, "")</f>
        <v/>
      </c>
      <c r="D463" s="2" t="str">
        <f>IF(Source!$C463&gt;=COLUMNS($A463:D463), Source!$G463, "")</f>
        <v/>
      </c>
      <c r="E463" s="2" t="str">
        <f>IF(Source!$C463&gt;=COLUMNS($A463:E463), Source!$G463, "")</f>
        <v/>
      </c>
      <c r="F463" s="2" t="str">
        <f>IF(Source!$C463&gt;=COLUMNS($A463:F463), Source!$G463, "")</f>
        <v/>
      </c>
      <c r="G463" s="2" t="str">
        <f>IF(Source!$C463&gt;=COLUMNS($A463:G463), Source!$G463, "")</f>
        <v/>
      </c>
      <c r="H463" s="2" t="str">
        <f>IF(Source!$C463&gt;=COLUMNS($A463:H463), Source!$G463, "")</f>
        <v/>
      </c>
      <c r="I463" s="2" t="str">
        <f>IF(Source!$C463&gt;=COLUMNS($A463:I463), Source!$G463, "")</f>
        <v/>
      </c>
      <c r="J463" s="2" t="str">
        <f>IF(Source!$C463&gt;=COLUMNS($A463:J463), Source!$G463, "")</f>
        <v/>
      </c>
      <c r="K463" s="2" t="str">
        <f>IF(Source!$C463&gt;=COLUMNS($A463:K463), Source!$G463, "")</f>
        <v/>
      </c>
      <c r="L463" s="2" t="str">
        <f>IF(Source!$C463&gt;=COLUMNS($A463:L463), Source!$G463, "")</f>
        <v/>
      </c>
      <c r="M463" s="2" t="str">
        <f>IF(Source!$C463&gt;=COLUMNS($A463:M463), Source!$G463, "")</f>
        <v/>
      </c>
      <c r="N463" s="2" t="str">
        <f>IF(Source!$C463&gt;=COLUMNS($A463:N463), Source!$G463, "")</f>
        <v/>
      </c>
      <c r="O463" s="2" t="str">
        <f>IF(Source!$C463&gt;=COLUMNS($A463:O463), Source!$G463, "")</f>
        <v/>
      </c>
      <c r="P463" s="2" t="str">
        <f>IF(Source!$C463&gt;=COLUMNS($A463:P463), Source!$G463, "")</f>
        <v/>
      </c>
      <c r="Q463" s="2" t="str">
        <f>IF(Source!$C463&gt;=COLUMNS($A463:Q463), Source!$G463, "")</f>
        <v/>
      </c>
      <c r="R463" s="2" t="str">
        <f>IF(Source!$C463&gt;=COLUMNS($A463:R463), Source!$G463, "")</f>
        <v/>
      </c>
      <c r="S463" s="2" t="str">
        <f>IF(Source!$C463&gt;=COLUMNS($A463:S463), Source!$G463, "")</f>
        <v/>
      </c>
      <c r="T463" s="2" t="str">
        <f>IF(Source!$C463&gt;=COLUMNS($A463:T463), Source!$G463, "")</f>
        <v/>
      </c>
      <c r="U463" s="2" t="str">
        <f>IF(Source!$C463&gt;=COLUMNS($A463:U463), Source!$G463, "")</f>
        <v/>
      </c>
      <c r="V463" s="2" t="str">
        <f>IF(Source!$C463&gt;=COLUMNS($A463:V463), Source!$G463, "")</f>
        <v/>
      </c>
      <c r="W463" s="2" t="str">
        <f>IF(Source!$C463&gt;=COLUMNS($A463:W463), Source!$G463, "")</f>
        <v/>
      </c>
      <c r="X463" s="2" t="str">
        <f>IF(Source!$C463&gt;=COLUMNS($A463:X463), Source!$G463, "")</f>
        <v/>
      </c>
      <c r="Y463" s="2" t="str">
        <f>IF(Source!$C463&gt;=COLUMNS($A463:Y463), Source!$G463, "")</f>
        <v/>
      </c>
      <c r="Z463" s="2" t="str">
        <f>IF(Source!$C463&gt;=COLUMNS($A463:Z463), Source!$G463, "")</f>
        <v/>
      </c>
      <c r="AA463" s="2" t="str">
        <f>IF(Source!$C463&gt;=COLUMNS($A463:AA463), Source!$G463, "")</f>
        <v/>
      </c>
      <c r="AB463" s="2" t="str">
        <f>IF(Source!$C463&gt;=COLUMNS($A463:AB463), Source!$G463, "")</f>
        <v/>
      </c>
      <c r="AC463" s="2" t="str">
        <f>IF(Source!$C463&gt;=COLUMNS($A463:AC463), Source!$G463, "")</f>
        <v/>
      </c>
      <c r="AD463" s="2" t="str">
        <f>IF(Source!$C463&gt;=COLUMNS($A463:AD463), Source!$G463, "")</f>
        <v/>
      </c>
      <c r="AE463" s="2" t="str">
        <f>IF(Source!$C463&gt;=COLUMNS($A463:AE463), Source!$G463, "")</f>
        <v/>
      </c>
      <c r="AF463" s="2" t="str">
        <f>IF(Source!$C463&gt;=COLUMNS($A463:AF463), Source!$G463, "")</f>
        <v/>
      </c>
      <c r="AG463" s="2" t="str">
        <f>IF(Source!$C463&gt;=COLUMNS($A463:AG463), Source!$G463, "")</f>
        <v/>
      </c>
      <c r="AH463" s="2" t="str">
        <f>IF(Source!$C463&gt;=COLUMNS($A463:AH463), Source!$G463, "")</f>
        <v/>
      </c>
      <c r="AI463" s="2" t="str">
        <f>IF(Source!$C463&gt;=COLUMNS($A463:AI463), Source!$G463, "")</f>
        <v/>
      </c>
      <c r="AJ463" s="2" t="str">
        <f>IF(Source!$C463&gt;=COLUMNS($A463:AJ463), Source!$G463, "")</f>
        <v/>
      </c>
      <c r="AK463" s="2" t="str">
        <f>IF(Source!$C463&gt;=COLUMNS($A463:AK463), Source!$G463, "")</f>
        <v/>
      </c>
      <c r="AL463" s="2" t="str">
        <f>IF(Source!$C463&gt;=COLUMNS($A463:AL463), Source!$G463, "")</f>
        <v/>
      </c>
      <c r="AM463" s="2" t="str">
        <f>IF(Source!$C463&gt;=COLUMNS($A463:AM463), Source!$G463, "")</f>
        <v/>
      </c>
      <c r="AN463" s="2" t="str">
        <f>IF(Source!$C463&gt;=COLUMNS($A463:AN463), Source!$G463, "")</f>
        <v/>
      </c>
      <c r="AO463" s="2" t="str">
        <f>IF(Source!$C463&gt;=COLUMNS($A463:AO463), Source!$G463, "")</f>
        <v/>
      </c>
      <c r="AP463" s="2" t="str">
        <f>IF(Source!$C463&gt;=COLUMNS($A463:AP463), Source!$G463, "")</f>
        <v/>
      </c>
      <c r="AQ463" s="2" t="str">
        <f>IF(Source!$C463&gt;=COLUMNS($A463:AQ463), Source!$G463, "")</f>
        <v/>
      </c>
      <c r="AR463" s="2" t="str">
        <f>IF(Source!$C463&gt;=COLUMNS($A463:AR463), Source!$G463, "")</f>
        <v/>
      </c>
    </row>
    <row r="464">
      <c r="A464" s="2">
        <f>IF(Source!$C464&gt;=COLUMNS($A464:A464), Source!$G464, "")</f>
        <v>5</v>
      </c>
      <c r="B464" s="2">
        <f>IF(Source!$C464&gt;=COLUMNS($A464:B464), Source!$G464, "")</f>
        <v>5</v>
      </c>
      <c r="C464" s="2">
        <f>IF(Source!$C464&gt;=COLUMNS($A464:C464), Source!$G464, "")</f>
        <v>5</v>
      </c>
      <c r="D464" s="2">
        <f>IF(Source!$C464&gt;=COLUMNS($A464:D464), Source!$G464, "")</f>
        <v>5</v>
      </c>
      <c r="E464" s="2" t="str">
        <f>IF(Source!$C464&gt;=COLUMNS($A464:E464), Source!$G464, "")</f>
        <v/>
      </c>
      <c r="F464" s="2" t="str">
        <f>IF(Source!$C464&gt;=COLUMNS($A464:F464), Source!$G464, "")</f>
        <v/>
      </c>
      <c r="G464" s="2" t="str">
        <f>IF(Source!$C464&gt;=COLUMNS($A464:G464), Source!$G464, "")</f>
        <v/>
      </c>
      <c r="H464" s="2" t="str">
        <f>IF(Source!$C464&gt;=COLUMNS($A464:H464), Source!$G464, "")</f>
        <v/>
      </c>
      <c r="I464" s="2" t="str">
        <f>IF(Source!$C464&gt;=COLUMNS($A464:I464), Source!$G464, "")</f>
        <v/>
      </c>
      <c r="J464" s="2" t="str">
        <f>IF(Source!$C464&gt;=COLUMNS($A464:J464), Source!$G464, "")</f>
        <v/>
      </c>
      <c r="K464" s="2" t="str">
        <f>IF(Source!$C464&gt;=COLUMNS($A464:K464), Source!$G464, "")</f>
        <v/>
      </c>
      <c r="L464" s="2" t="str">
        <f>IF(Source!$C464&gt;=COLUMNS($A464:L464), Source!$G464, "")</f>
        <v/>
      </c>
      <c r="M464" s="2" t="str">
        <f>IF(Source!$C464&gt;=COLUMNS($A464:M464), Source!$G464, "")</f>
        <v/>
      </c>
      <c r="N464" s="2" t="str">
        <f>IF(Source!$C464&gt;=COLUMNS($A464:N464), Source!$G464, "")</f>
        <v/>
      </c>
      <c r="O464" s="2" t="str">
        <f>IF(Source!$C464&gt;=COLUMNS($A464:O464), Source!$G464, "")</f>
        <v/>
      </c>
      <c r="P464" s="2" t="str">
        <f>IF(Source!$C464&gt;=COLUMNS($A464:P464), Source!$G464, "")</f>
        <v/>
      </c>
      <c r="Q464" s="2" t="str">
        <f>IF(Source!$C464&gt;=COLUMNS($A464:Q464), Source!$G464, "")</f>
        <v/>
      </c>
      <c r="R464" s="2" t="str">
        <f>IF(Source!$C464&gt;=COLUMNS($A464:R464), Source!$G464, "")</f>
        <v/>
      </c>
      <c r="S464" s="2" t="str">
        <f>IF(Source!$C464&gt;=COLUMNS($A464:S464), Source!$G464, "")</f>
        <v/>
      </c>
      <c r="T464" s="2" t="str">
        <f>IF(Source!$C464&gt;=COLUMNS($A464:T464), Source!$G464, "")</f>
        <v/>
      </c>
      <c r="U464" s="2" t="str">
        <f>IF(Source!$C464&gt;=COLUMNS($A464:U464), Source!$G464, "")</f>
        <v/>
      </c>
      <c r="V464" s="2" t="str">
        <f>IF(Source!$C464&gt;=COLUMNS($A464:V464), Source!$G464, "")</f>
        <v/>
      </c>
      <c r="W464" s="2" t="str">
        <f>IF(Source!$C464&gt;=COLUMNS($A464:W464), Source!$G464, "")</f>
        <v/>
      </c>
      <c r="X464" s="2" t="str">
        <f>IF(Source!$C464&gt;=COLUMNS($A464:X464), Source!$G464, "")</f>
        <v/>
      </c>
      <c r="Y464" s="2" t="str">
        <f>IF(Source!$C464&gt;=COLUMNS($A464:Y464), Source!$G464, "")</f>
        <v/>
      </c>
      <c r="Z464" s="2" t="str">
        <f>IF(Source!$C464&gt;=COLUMNS($A464:Z464), Source!$G464, "")</f>
        <v/>
      </c>
      <c r="AA464" s="2" t="str">
        <f>IF(Source!$C464&gt;=COLUMNS($A464:AA464), Source!$G464, "")</f>
        <v/>
      </c>
      <c r="AB464" s="2" t="str">
        <f>IF(Source!$C464&gt;=COLUMNS($A464:AB464), Source!$G464, "")</f>
        <v/>
      </c>
      <c r="AC464" s="2" t="str">
        <f>IF(Source!$C464&gt;=COLUMNS($A464:AC464), Source!$G464, "")</f>
        <v/>
      </c>
      <c r="AD464" s="2" t="str">
        <f>IF(Source!$C464&gt;=COLUMNS($A464:AD464), Source!$G464, "")</f>
        <v/>
      </c>
      <c r="AE464" s="2" t="str">
        <f>IF(Source!$C464&gt;=COLUMNS($A464:AE464), Source!$G464, "")</f>
        <v/>
      </c>
      <c r="AF464" s="2" t="str">
        <f>IF(Source!$C464&gt;=COLUMNS($A464:AF464), Source!$G464, "")</f>
        <v/>
      </c>
      <c r="AG464" s="2" t="str">
        <f>IF(Source!$C464&gt;=COLUMNS($A464:AG464), Source!$G464, "")</f>
        <v/>
      </c>
      <c r="AH464" s="2" t="str">
        <f>IF(Source!$C464&gt;=COLUMNS($A464:AH464), Source!$G464, "")</f>
        <v/>
      </c>
      <c r="AI464" s="2" t="str">
        <f>IF(Source!$C464&gt;=COLUMNS($A464:AI464), Source!$G464, "")</f>
        <v/>
      </c>
      <c r="AJ464" s="2" t="str">
        <f>IF(Source!$C464&gt;=COLUMNS($A464:AJ464), Source!$G464, "")</f>
        <v/>
      </c>
      <c r="AK464" s="2" t="str">
        <f>IF(Source!$C464&gt;=COLUMNS($A464:AK464), Source!$G464, "")</f>
        <v/>
      </c>
      <c r="AL464" s="2" t="str">
        <f>IF(Source!$C464&gt;=COLUMNS($A464:AL464), Source!$G464, "")</f>
        <v/>
      </c>
      <c r="AM464" s="2" t="str">
        <f>IF(Source!$C464&gt;=COLUMNS($A464:AM464), Source!$G464, "")</f>
        <v/>
      </c>
      <c r="AN464" s="2" t="str">
        <f>IF(Source!$C464&gt;=COLUMNS($A464:AN464), Source!$G464, "")</f>
        <v/>
      </c>
      <c r="AO464" s="2" t="str">
        <f>IF(Source!$C464&gt;=COLUMNS($A464:AO464), Source!$G464, "")</f>
        <v/>
      </c>
      <c r="AP464" s="2" t="str">
        <f>IF(Source!$C464&gt;=COLUMNS($A464:AP464), Source!$G464, "")</f>
        <v/>
      </c>
      <c r="AQ464" s="2" t="str">
        <f>IF(Source!$C464&gt;=COLUMNS($A464:AQ464), Source!$G464, "")</f>
        <v/>
      </c>
      <c r="AR464" s="2" t="str">
        <f>IF(Source!$C464&gt;=COLUMNS($A464:AR464), Source!$G464, "")</f>
        <v/>
      </c>
    </row>
    <row r="465">
      <c r="A465" s="2">
        <f>IF(Source!$C465&gt;=COLUMNS($A465:A465), Source!$G465, "")</f>
        <v>3</v>
      </c>
      <c r="B465" s="2">
        <f>IF(Source!$C465&gt;=COLUMNS($A465:B465), Source!$G465, "")</f>
        <v>3</v>
      </c>
      <c r="C465" s="2" t="str">
        <f>IF(Source!$C465&gt;=COLUMNS($A465:C465), Source!$G465, "")</f>
        <v/>
      </c>
      <c r="D465" s="2" t="str">
        <f>IF(Source!$C465&gt;=COLUMNS($A465:D465), Source!$G465, "")</f>
        <v/>
      </c>
      <c r="E465" s="2" t="str">
        <f>IF(Source!$C465&gt;=COLUMNS($A465:E465), Source!$G465, "")</f>
        <v/>
      </c>
      <c r="F465" s="2" t="str">
        <f>IF(Source!$C465&gt;=COLUMNS($A465:F465), Source!$G465, "")</f>
        <v/>
      </c>
      <c r="G465" s="2" t="str">
        <f>IF(Source!$C465&gt;=COLUMNS($A465:G465), Source!$G465, "")</f>
        <v/>
      </c>
      <c r="H465" s="2" t="str">
        <f>IF(Source!$C465&gt;=COLUMNS($A465:H465), Source!$G465, "")</f>
        <v/>
      </c>
      <c r="I465" s="2" t="str">
        <f>IF(Source!$C465&gt;=COLUMNS($A465:I465), Source!$G465, "")</f>
        <v/>
      </c>
      <c r="J465" s="2" t="str">
        <f>IF(Source!$C465&gt;=COLUMNS($A465:J465), Source!$G465, "")</f>
        <v/>
      </c>
      <c r="K465" s="2" t="str">
        <f>IF(Source!$C465&gt;=COLUMNS($A465:K465), Source!$G465, "")</f>
        <v/>
      </c>
      <c r="L465" s="2" t="str">
        <f>IF(Source!$C465&gt;=COLUMNS($A465:L465), Source!$G465, "")</f>
        <v/>
      </c>
      <c r="M465" s="2" t="str">
        <f>IF(Source!$C465&gt;=COLUMNS($A465:M465), Source!$G465, "")</f>
        <v/>
      </c>
      <c r="N465" s="2" t="str">
        <f>IF(Source!$C465&gt;=COLUMNS($A465:N465), Source!$G465, "")</f>
        <v/>
      </c>
      <c r="O465" s="2" t="str">
        <f>IF(Source!$C465&gt;=COLUMNS($A465:O465), Source!$G465, "")</f>
        <v/>
      </c>
      <c r="P465" s="2" t="str">
        <f>IF(Source!$C465&gt;=COLUMNS($A465:P465), Source!$G465, "")</f>
        <v/>
      </c>
      <c r="Q465" s="2" t="str">
        <f>IF(Source!$C465&gt;=COLUMNS($A465:Q465), Source!$G465, "")</f>
        <v/>
      </c>
      <c r="R465" s="2" t="str">
        <f>IF(Source!$C465&gt;=COLUMNS($A465:R465), Source!$G465, "")</f>
        <v/>
      </c>
      <c r="S465" s="2" t="str">
        <f>IF(Source!$C465&gt;=COLUMNS($A465:S465), Source!$G465, "")</f>
        <v/>
      </c>
      <c r="T465" s="2" t="str">
        <f>IF(Source!$C465&gt;=COLUMNS($A465:T465), Source!$G465, "")</f>
        <v/>
      </c>
      <c r="U465" s="2" t="str">
        <f>IF(Source!$C465&gt;=COLUMNS($A465:U465), Source!$G465, "")</f>
        <v/>
      </c>
      <c r="V465" s="2" t="str">
        <f>IF(Source!$C465&gt;=COLUMNS($A465:V465), Source!$G465, "")</f>
        <v/>
      </c>
      <c r="W465" s="2" t="str">
        <f>IF(Source!$C465&gt;=COLUMNS($A465:W465), Source!$G465, "")</f>
        <v/>
      </c>
      <c r="X465" s="2" t="str">
        <f>IF(Source!$C465&gt;=COLUMNS($A465:X465), Source!$G465, "")</f>
        <v/>
      </c>
      <c r="Y465" s="2" t="str">
        <f>IF(Source!$C465&gt;=COLUMNS($A465:Y465), Source!$G465, "")</f>
        <v/>
      </c>
      <c r="Z465" s="2" t="str">
        <f>IF(Source!$C465&gt;=COLUMNS($A465:Z465), Source!$G465, "")</f>
        <v/>
      </c>
      <c r="AA465" s="2" t="str">
        <f>IF(Source!$C465&gt;=COLUMNS($A465:AA465), Source!$G465, "")</f>
        <v/>
      </c>
      <c r="AB465" s="2" t="str">
        <f>IF(Source!$C465&gt;=COLUMNS($A465:AB465), Source!$G465, "")</f>
        <v/>
      </c>
      <c r="AC465" s="2" t="str">
        <f>IF(Source!$C465&gt;=COLUMNS($A465:AC465), Source!$G465, "")</f>
        <v/>
      </c>
      <c r="AD465" s="2" t="str">
        <f>IF(Source!$C465&gt;=COLUMNS($A465:AD465), Source!$G465, "")</f>
        <v/>
      </c>
      <c r="AE465" s="2" t="str">
        <f>IF(Source!$C465&gt;=COLUMNS($A465:AE465), Source!$G465, "")</f>
        <v/>
      </c>
      <c r="AF465" s="2" t="str">
        <f>IF(Source!$C465&gt;=COLUMNS($A465:AF465), Source!$G465, "")</f>
        <v/>
      </c>
      <c r="AG465" s="2" t="str">
        <f>IF(Source!$C465&gt;=COLUMNS($A465:AG465), Source!$G465, "")</f>
        <v/>
      </c>
      <c r="AH465" s="2" t="str">
        <f>IF(Source!$C465&gt;=COLUMNS($A465:AH465), Source!$G465, "")</f>
        <v/>
      </c>
      <c r="AI465" s="2" t="str">
        <f>IF(Source!$C465&gt;=COLUMNS($A465:AI465), Source!$G465, "")</f>
        <v/>
      </c>
      <c r="AJ465" s="2" t="str">
        <f>IF(Source!$C465&gt;=COLUMNS($A465:AJ465), Source!$G465, "")</f>
        <v/>
      </c>
      <c r="AK465" s="2" t="str">
        <f>IF(Source!$C465&gt;=COLUMNS($A465:AK465), Source!$G465, "")</f>
        <v/>
      </c>
      <c r="AL465" s="2" t="str">
        <f>IF(Source!$C465&gt;=COLUMNS($A465:AL465), Source!$G465, "")</f>
        <v/>
      </c>
      <c r="AM465" s="2" t="str">
        <f>IF(Source!$C465&gt;=COLUMNS($A465:AM465), Source!$G465, "")</f>
        <v/>
      </c>
      <c r="AN465" s="2" t="str">
        <f>IF(Source!$C465&gt;=COLUMNS($A465:AN465), Source!$G465, "")</f>
        <v/>
      </c>
      <c r="AO465" s="2" t="str">
        <f>IF(Source!$C465&gt;=COLUMNS($A465:AO465), Source!$G465, "")</f>
        <v/>
      </c>
      <c r="AP465" s="2" t="str">
        <f>IF(Source!$C465&gt;=COLUMNS($A465:AP465), Source!$G465, "")</f>
        <v/>
      </c>
      <c r="AQ465" s="2" t="str">
        <f>IF(Source!$C465&gt;=COLUMNS($A465:AQ465), Source!$G465, "")</f>
        <v/>
      </c>
      <c r="AR465" s="2" t="str">
        <f>IF(Source!$C465&gt;=COLUMNS($A465:AR465), Source!$G465, "")</f>
        <v/>
      </c>
    </row>
    <row r="466">
      <c r="A466" s="2">
        <f>IF(Source!$C466&gt;=COLUMNS($A466:A466), Source!$G466, "")</f>
        <v>2</v>
      </c>
      <c r="B466" s="2">
        <f>IF(Source!$C466&gt;=COLUMNS($A466:B466), Source!$G466, "")</f>
        <v>2</v>
      </c>
      <c r="C466" s="2">
        <f>IF(Source!$C466&gt;=COLUMNS($A466:C466), Source!$G466, "")</f>
        <v>2</v>
      </c>
      <c r="D466" s="2">
        <f>IF(Source!$C466&gt;=COLUMNS($A466:D466), Source!$G466, "")</f>
        <v>2</v>
      </c>
      <c r="E466" s="2">
        <f>IF(Source!$C466&gt;=COLUMNS($A466:E466), Source!$G466, "")</f>
        <v>2</v>
      </c>
      <c r="F466" s="2" t="str">
        <f>IF(Source!$C466&gt;=COLUMNS($A466:F466), Source!$G466, "")</f>
        <v/>
      </c>
      <c r="G466" s="2" t="str">
        <f>IF(Source!$C466&gt;=COLUMNS($A466:G466), Source!$G466, "")</f>
        <v/>
      </c>
      <c r="H466" s="2" t="str">
        <f>IF(Source!$C466&gt;=COLUMNS($A466:H466), Source!$G466, "")</f>
        <v/>
      </c>
      <c r="I466" s="2" t="str">
        <f>IF(Source!$C466&gt;=COLUMNS($A466:I466), Source!$G466, "")</f>
        <v/>
      </c>
      <c r="J466" s="2" t="str">
        <f>IF(Source!$C466&gt;=COLUMNS($A466:J466), Source!$G466, "")</f>
        <v/>
      </c>
      <c r="K466" s="2" t="str">
        <f>IF(Source!$C466&gt;=COLUMNS($A466:K466), Source!$G466, "")</f>
        <v/>
      </c>
      <c r="L466" s="2" t="str">
        <f>IF(Source!$C466&gt;=COLUMNS($A466:L466), Source!$G466, "")</f>
        <v/>
      </c>
      <c r="M466" s="2" t="str">
        <f>IF(Source!$C466&gt;=COLUMNS($A466:M466), Source!$G466, "")</f>
        <v/>
      </c>
      <c r="N466" s="2" t="str">
        <f>IF(Source!$C466&gt;=COLUMNS($A466:N466), Source!$G466, "")</f>
        <v/>
      </c>
      <c r="O466" s="2" t="str">
        <f>IF(Source!$C466&gt;=COLUMNS($A466:O466), Source!$G466, "")</f>
        <v/>
      </c>
      <c r="P466" s="2" t="str">
        <f>IF(Source!$C466&gt;=COLUMNS($A466:P466), Source!$G466, "")</f>
        <v/>
      </c>
      <c r="Q466" s="2" t="str">
        <f>IF(Source!$C466&gt;=COLUMNS($A466:Q466), Source!$G466, "")</f>
        <v/>
      </c>
      <c r="R466" s="2" t="str">
        <f>IF(Source!$C466&gt;=COLUMNS($A466:R466), Source!$G466, "")</f>
        <v/>
      </c>
      <c r="S466" s="2" t="str">
        <f>IF(Source!$C466&gt;=COLUMNS($A466:S466), Source!$G466, "")</f>
        <v/>
      </c>
      <c r="T466" s="2" t="str">
        <f>IF(Source!$C466&gt;=COLUMNS($A466:T466), Source!$G466, "")</f>
        <v/>
      </c>
      <c r="U466" s="2" t="str">
        <f>IF(Source!$C466&gt;=COLUMNS($A466:U466), Source!$G466, "")</f>
        <v/>
      </c>
      <c r="V466" s="2" t="str">
        <f>IF(Source!$C466&gt;=COLUMNS($A466:V466), Source!$G466, "")</f>
        <v/>
      </c>
      <c r="W466" s="2" t="str">
        <f>IF(Source!$C466&gt;=COLUMNS($A466:W466), Source!$G466, "")</f>
        <v/>
      </c>
      <c r="X466" s="2" t="str">
        <f>IF(Source!$C466&gt;=COLUMNS($A466:X466), Source!$G466, "")</f>
        <v/>
      </c>
      <c r="Y466" s="2" t="str">
        <f>IF(Source!$C466&gt;=COLUMNS($A466:Y466), Source!$G466, "")</f>
        <v/>
      </c>
      <c r="Z466" s="2" t="str">
        <f>IF(Source!$C466&gt;=COLUMNS($A466:Z466), Source!$G466, "")</f>
        <v/>
      </c>
      <c r="AA466" s="2" t="str">
        <f>IF(Source!$C466&gt;=COLUMNS($A466:AA466), Source!$G466, "")</f>
        <v/>
      </c>
      <c r="AB466" s="2" t="str">
        <f>IF(Source!$C466&gt;=COLUMNS($A466:AB466), Source!$G466, "")</f>
        <v/>
      </c>
      <c r="AC466" s="2" t="str">
        <f>IF(Source!$C466&gt;=COLUMNS($A466:AC466), Source!$G466, "")</f>
        <v/>
      </c>
      <c r="AD466" s="2" t="str">
        <f>IF(Source!$C466&gt;=COLUMNS($A466:AD466), Source!$G466, "")</f>
        <v/>
      </c>
      <c r="AE466" s="2" t="str">
        <f>IF(Source!$C466&gt;=COLUMNS($A466:AE466), Source!$G466, "")</f>
        <v/>
      </c>
      <c r="AF466" s="2" t="str">
        <f>IF(Source!$C466&gt;=COLUMNS($A466:AF466), Source!$G466, "")</f>
        <v/>
      </c>
      <c r="AG466" s="2" t="str">
        <f>IF(Source!$C466&gt;=COLUMNS($A466:AG466), Source!$G466, "")</f>
        <v/>
      </c>
      <c r="AH466" s="2" t="str">
        <f>IF(Source!$C466&gt;=COLUMNS($A466:AH466), Source!$G466, "")</f>
        <v/>
      </c>
      <c r="AI466" s="2" t="str">
        <f>IF(Source!$C466&gt;=COLUMNS($A466:AI466), Source!$G466, "")</f>
        <v/>
      </c>
      <c r="AJ466" s="2" t="str">
        <f>IF(Source!$C466&gt;=COLUMNS($A466:AJ466), Source!$G466, "")</f>
        <v/>
      </c>
      <c r="AK466" s="2" t="str">
        <f>IF(Source!$C466&gt;=COLUMNS($A466:AK466), Source!$G466, "")</f>
        <v/>
      </c>
      <c r="AL466" s="2" t="str">
        <f>IF(Source!$C466&gt;=COLUMNS($A466:AL466), Source!$G466, "")</f>
        <v/>
      </c>
      <c r="AM466" s="2" t="str">
        <f>IF(Source!$C466&gt;=COLUMNS($A466:AM466), Source!$G466, "")</f>
        <v/>
      </c>
      <c r="AN466" s="2" t="str">
        <f>IF(Source!$C466&gt;=COLUMNS($A466:AN466), Source!$G466, "")</f>
        <v/>
      </c>
      <c r="AO466" s="2" t="str">
        <f>IF(Source!$C466&gt;=COLUMNS($A466:AO466), Source!$G466, "")</f>
        <v/>
      </c>
      <c r="AP466" s="2" t="str">
        <f>IF(Source!$C466&gt;=COLUMNS($A466:AP466), Source!$G466, "")</f>
        <v/>
      </c>
      <c r="AQ466" s="2" t="str">
        <f>IF(Source!$C466&gt;=COLUMNS($A466:AQ466), Source!$G466, "")</f>
        <v/>
      </c>
      <c r="AR466" s="2" t="str">
        <f>IF(Source!$C466&gt;=COLUMNS($A466:AR466), Source!$G466, "")</f>
        <v/>
      </c>
    </row>
    <row r="467">
      <c r="A467" s="2">
        <f>IF(Source!$C467&gt;=COLUMNS($A467:A467), Source!$G467, "")</f>
        <v>3</v>
      </c>
      <c r="B467" s="2">
        <f>IF(Source!$C467&gt;=COLUMNS($A467:B467), Source!$G467, "")</f>
        <v>3</v>
      </c>
      <c r="C467" s="2">
        <f>IF(Source!$C467&gt;=COLUMNS($A467:C467), Source!$G467, "")</f>
        <v>3</v>
      </c>
      <c r="D467" s="2">
        <f>IF(Source!$C467&gt;=COLUMNS($A467:D467), Source!$G467, "")</f>
        <v>3</v>
      </c>
      <c r="E467" s="2">
        <f>IF(Source!$C467&gt;=COLUMNS($A467:E467), Source!$G467, "")</f>
        <v>3</v>
      </c>
      <c r="F467" s="2">
        <f>IF(Source!$C467&gt;=COLUMNS($A467:F467), Source!$G467, "")</f>
        <v>3</v>
      </c>
      <c r="G467" s="2" t="str">
        <f>IF(Source!$C467&gt;=COLUMNS($A467:G467), Source!$G467, "")</f>
        <v/>
      </c>
      <c r="H467" s="2" t="str">
        <f>IF(Source!$C467&gt;=COLUMNS($A467:H467), Source!$G467, "")</f>
        <v/>
      </c>
      <c r="I467" s="2" t="str">
        <f>IF(Source!$C467&gt;=COLUMNS($A467:I467), Source!$G467, "")</f>
        <v/>
      </c>
      <c r="J467" s="2" t="str">
        <f>IF(Source!$C467&gt;=COLUMNS($A467:J467), Source!$G467, "")</f>
        <v/>
      </c>
      <c r="K467" s="2" t="str">
        <f>IF(Source!$C467&gt;=COLUMNS($A467:K467), Source!$G467, "")</f>
        <v/>
      </c>
      <c r="L467" s="2" t="str">
        <f>IF(Source!$C467&gt;=COLUMNS($A467:L467), Source!$G467, "")</f>
        <v/>
      </c>
      <c r="M467" s="2" t="str">
        <f>IF(Source!$C467&gt;=COLUMNS($A467:M467), Source!$G467, "")</f>
        <v/>
      </c>
      <c r="N467" s="2" t="str">
        <f>IF(Source!$C467&gt;=COLUMNS($A467:N467), Source!$G467, "")</f>
        <v/>
      </c>
      <c r="O467" s="2" t="str">
        <f>IF(Source!$C467&gt;=COLUMNS($A467:O467), Source!$G467, "")</f>
        <v/>
      </c>
      <c r="P467" s="2" t="str">
        <f>IF(Source!$C467&gt;=COLUMNS($A467:P467), Source!$G467, "")</f>
        <v/>
      </c>
      <c r="Q467" s="2" t="str">
        <f>IF(Source!$C467&gt;=COLUMNS($A467:Q467), Source!$G467, "")</f>
        <v/>
      </c>
      <c r="R467" s="2" t="str">
        <f>IF(Source!$C467&gt;=COLUMNS($A467:R467), Source!$G467, "")</f>
        <v/>
      </c>
      <c r="S467" s="2" t="str">
        <f>IF(Source!$C467&gt;=COLUMNS($A467:S467), Source!$G467, "")</f>
        <v/>
      </c>
      <c r="T467" s="2" t="str">
        <f>IF(Source!$C467&gt;=COLUMNS($A467:T467), Source!$G467, "")</f>
        <v/>
      </c>
      <c r="U467" s="2" t="str">
        <f>IF(Source!$C467&gt;=COLUMNS($A467:U467), Source!$G467, "")</f>
        <v/>
      </c>
      <c r="V467" s="2" t="str">
        <f>IF(Source!$C467&gt;=COLUMNS($A467:V467), Source!$G467, "")</f>
        <v/>
      </c>
      <c r="W467" s="2" t="str">
        <f>IF(Source!$C467&gt;=COLUMNS($A467:W467), Source!$G467, "")</f>
        <v/>
      </c>
      <c r="X467" s="2" t="str">
        <f>IF(Source!$C467&gt;=COLUMNS($A467:X467), Source!$G467, "")</f>
        <v/>
      </c>
      <c r="Y467" s="2" t="str">
        <f>IF(Source!$C467&gt;=COLUMNS($A467:Y467), Source!$G467, "")</f>
        <v/>
      </c>
      <c r="Z467" s="2" t="str">
        <f>IF(Source!$C467&gt;=COLUMNS($A467:Z467), Source!$G467, "")</f>
        <v/>
      </c>
      <c r="AA467" s="2" t="str">
        <f>IF(Source!$C467&gt;=COLUMNS($A467:AA467), Source!$G467, "")</f>
        <v/>
      </c>
      <c r="AB467" s="2" t="str">
        <f>IF(Source!$C467&gt;=COLUMNS($A467:AB467), Source!$G467, "")</f>
        <v/>
      </c>
      <c r="AC467" s="2" t="str">
        <f>IF(Source!$C467&gt;=COLUMNS($A467:AC467), Source!$G467, "")</f>
        <v/>
      </c>
      <c r="AD467" s="2" t="str">
        <f>IF(Source!$C467&gt;=COLUMNS($A467:AD467), Source!$G467, "")</f>
        <v/>
      </c>
      <c r="AE467" s="2" t="str">
        <f>IF(Source!$C467&gt;=COLUMNS($A467:AE467), Source!$G467, "")</f>
        <v/>
      </c>
      <c r="AF467" s="2" t="str">
        <f>IF(Source!$C467&gt;=COLUMNS($A467:AF467), Source!$G467, "")</f>
        <v/>
      </c>
      <c r="AG467" s="2" t="str">
        <f>IF(Source!$C467&gt;=COLUMNS($A467:AG467), Source!$G467, "")</f>
        <v/>
      </c>
      <c r="AH467" s="2" t="str">
        <f>IF(Source!$C467&gt;=COLUMNS($A467:AH467), Source!$G467, "")</f>
        <v/>
      </c>
      <c r="AI467" s="2" t="str">
        <f>IF(Source!$C467&gt;=COLUMNS($A467:AI467), Source!$G467, "")</f>
        <v/>
      </c>
      <c r="AJ467" s="2" t="str">
        <f>IF(Source!$C467&gt;=COLUMNS($A467:AJ467), Source!$G467, "")</f>
        <v/>
      </c>
      <c r="AK467" s="2" t="str">
        <f>IF(Source!$C467&gt;=COLUMNS($A467:AK467), Source!$G467, "")</f>
        <v/>
      </c>
      <c r="AL467" s="2" t="str">
        <f>IF(Source!$C467&gt;=COLUMNS($A467:AL467), Source!$G467, "")</f>
        <v/>
      </c>
      <c r="AM467" s="2" t="str">
        <f>IF(Source!$C467&gt;=COLUMNS($A467:AM467), Source!$G467, "")</f>
        <v/>
      </c>
      <c r="AN467" s="2" t="str">
        <f>IF(Source!$C467&gt;=COLUMNS($A467:AN467), Source!$G467, "")</f>
        <v/>
      </c>
      <c r="AO467" s="2" t="str">
        <f>IF(Source!$C467&gt;=COLUMNS($A467:AO467), Source!$G467, "")</f>
        <v/>
      </c>
      <c r="AP467" s="2" t="str">
        <f>IF(Source!$C467&gt;=COLUMNS($A467:AP467), Source!$G467, "")</f>
        <v/>
      </c>
      <c r="AQ467" s="2" t="str">
        <f>IF(Source!$C467&gt;=COLUMNS($A467:AQ467), Source!$G467, "")</f>
        <v/>
      </c>
      <c r="AR467" s="2" t="str">
        <f>IF(Source!$C467&gt;=COLUMNS($A467:AR467), Source!$G467, "")</f>
        <v/>
      </c>
    </row>
    <row r="468">
      <c r="A468" s="2">
        <f>IF(Source!$C468&gt;=COLUMNS($A468:A468), Source!$G468, "")</f>
        <v>8</v>
      </c>
      <c r="B468" s="2">
        <f>IF(Source!$C468&gt;=COLUMNS($A468:B468), Source!$G468, "")</f>
        <v>8</v>
      </c>
      <c r="C468" s="2" t="str">
        <f>IF(Source!$C468&gt;=COLUMNS($A468:C468), Source!$G468, "")</f>
        <v/>
      </c>
      <c r="D468" s="2" t="str">
        <f>IF(Source!$C468&gt;=COLUMNS($A468:D468), Source!$G468, "")</f>
        <v/>
      </c>
      <c r="E468" s="2" t="str">
        <f>IF(Source!$C468&gt;=COLUMNS($A468:E468), Source!$G468, "")</f>
        <v/>
      </c>
      <c r="F468" s="2" t="str">
        <f>IF(Source!$C468&gt;=COLUMNS($A468:F468), Source!$G468, "")</f>
        <v/>
      </c>
      <c r="G468" s="2" t="str">
        <f>IF(Source!$C468&gt;=COLUMNS($A468:G468), Source!$G468, "")</f>
        <v/>
      </c>
      <c r="H468" s="2" t="str">
        <f>IF(Source!$C468&gt;=COLUMNS($A468:H468), Source!$G468, "")</f>
        <v/>
      </c>
      <c r="I468" s="2" t="str">
        <f>IF(Source!$C468&gt;=COLUMNS($A468:I468), Source!$G468, "")</f>
        <v/>
      </c>
      <c r="J468" s="2" t="str">
        <f>IF(Source!$C468&gt;=COLUMNS($A468:J468), Source!$G468, "")</f>
        <v/>
      </c>
      <c r="K468" s="2" t="str">
        <f>IF(Source!$C468&gt;=COLUMNS($A468:K468), Source!$G468, "")</f>
        <v/>
      </c>
      <c r="L468" s="2" t="str">
        <f>IF(Source!$C468&gt;=COLUMNS($A468:L468), Source!$G468, "")</f>
        <v/>
      </c>
      <c r="M468" s="2" t="str">
        <f>IF(Source!$C468&gt;=COLUMNS($A468:M468), Source!$G468, "")</f>
        <v/>
      </c>
      <c r="N468" s="2" t="str">
        <f>IF(Source!$C468&gt;=COLUMNS($A468:N468), Source!$G468, "")</f>
        <v/>
      </c>
      <c r="O468" s="2" t="str">
        <f>IF(Source!$C468&gt;=COLUMNS($A468:O468), Source!$G468, "")</f>
        <v/>
      </c>
      <c r="P468" s="2" t="str">
        <f>IF(Source!$C468&gt;=COLUMNS($A468:P468), Source!$G468, "")</f>
        <v/>
      </c>
      <c r="Q468" s="2" t="str">
        <f>IF(Source!$C468&gt;=COLUMNS($A468:Q468), Source!$G468, "")</f>
        <v/>
      </c>
      <c r="R468" s="2" t="str">
        <f>IF(Source!$C468&gt;=COLUMNS($A468:R468), Source!$G468, "")</f>
        <v/>
      </c>
      <c r="S468" s="2" t="str">
        <f>IF(Source!$C468&gt;=COLUMNS($A468:S468), Source!$G468, "")</f>
        <v/>
      </c>
      <c r="T468" s="2" t="str">
        <f>IF(Source!$C468&gt;=COLUMNS($A468:T468), Source!$G468, "")</f>
        <v/>
      </c>
      <c r="U468" s="2" t="str">
        <f>IF(Source!$C468&gt;=COLUMNS($A468:U468), Source!$G468, "")</f>
        <v/>
      </c>
      <c r="V468" s="2" t="str">
        <f>IF(Source!$C468&gt;=COLUMNS($A468:V468), Source!$G468, "")</f>
        <v/>
      </c>
      <c r="W468" s="2" t="str">
        <f>IF(Source!$C468&gt;=COLUMNS($A468:W468), Source!$G468, "")</f>
        <v/>
      </c>
      <c r="X468" s="2" t="str">
        <f>IF(Source!$C468&gt;=COLUMNS($A468:X468), Source!$G468, "")</f>
        <v/>
      </c>
      <c r="Y468" s="2" t="str">
        <f>IF(Source!$C468&gt;=COLUMNS($A468:Y468), Source!$G468, "")</f>
        <v/>
      </c>
      <c r="Z468" s="2" t="str">
        <f>IF(Source!$C468&gt;=COLUMNS($A468:Z468), Source!$G468, "")</f>
        <v/>
      </c>
      <c r="AA468" s="2" t="str">
        <f>IF(Source!$C468&gt;=COLUMNS($A468:AA468), Source!$G468, "")</f>
        <v/>
      </c>
      <c r="AB468" s="2" t="str">
        <f>IF(Source!$C468&gt;=COLUMNS($A468:AB468), Source!$G468, "")</f>
        <v/>
      </c>
      <c r="AC468" s="2" t="str">
        <f>IF(Source!$C468&gt;=COLUMNS($A468:AC468), Source!$G468, "")</f>
        <v/>
      </c>
      <c r="AD468" s="2" t="str">
        <f>IF(Source!$C468&gt;=COLUMNS($A468:AD468), Source!$G468, "")</f>
        <v/>
      </c>
      <c r="AE468" s="2" t="str">
        <f>IF(Source!$C468&gt;=COLUMNS($A468:AE468), Source!$G468, "")</f>
        <v/>
      </c>
      <c r="AF468" s="2" t="str">
        <f>IF(Source!$C468&gt;=COLUMNS($A468:AF468), Source!$G468, "")</f>
        <v/>
      </c>
      <c r="AG468" s="2" t="str">
        <f>IF(Source!$C468&gt;=COLUMNS($A468:AG468), Source!$G468, "")</f>
        <v/>
      </c>
      <c r="AH468" s="2" t="str">
        <f>IF(Source!$C468&gt;=COLUMNS($A468:AH468), Source!$G468, "")</f>
        <v/>
      </c>
      <c r="AI468" s="2" t="str">
        <f>IF(Source!$C468&gt;=COLUMNS($A468:AI468), Source!$G468, "")</f>
        <v/>
      </c>
      <c r="AJ468" s="2" t="str">
        <f>IF(Source!$C468&gt;=COLUMNS($A468:AJ468), Source!$G468, "")</f>
        <v/>
      </c>
      <c r="AK468" s="2" t="str">
        <f>IF(Source!$C468&gt;=COLUMNS($A468:AK468), Source!$G468, "")</f>
        <v/>
      </c>
      <c r="AL468" s="2" t="str">
        <f>IF(Source!$C468&gt;=COLUMNS($A468:AL468), Source!$G468, "")</f>
        <v/>
      </c>
      <c r="AM468" s="2" t="str">
        <f>IF(Source!$C468&gt;=COLUMNS($A468:AM468), Source!$G468, "")</f>
        <v/>
      </c>
      <c r="AN468" s="2" t="str">
        <f>IF(Source!$C468&gt;=COLUMNS($A468:AN468), Source!$G468, "")</f>
        <v/>
      </c>
      <c r="AO468" s="2" t="str">
        <f>IF(Source!$C468&gt;=COLUMNS($A468:AO468), Source!$G468, "")</f>
        <v/>
      </c>
      <c r="AP468" s="2" t="str">
        <f>IF(Source!$C468&gt;=COLUMNS($A468:AP468), Source!$G468, "")</f>
        <v/>
      </c>
      <c r="AQ468" s="2" t="str">
        <f>IF(Source!$C468&gt;=COLUMNS($A468:AQ468), Source!$G468, "")</f>
        <v/>
      </c>
      <c r="AR468" s="2" t="str">
        <f>IF(Source!$C468&gt;=COLUMNS($A468:AR468), Source!$G468, "")</f>
        <v/>
      </c>
    </row>
    <row r="469">
      <c r="A469" s="2">
        <f>IF(Source!$C469&gt;=COLUMNS($A469:A469), Source!$G469, "")</f>
        <v>7</v>
      </c>
      <c r="B469" s="2">
        <f>IF(Source!$C469&gt;=COLUMNS($A469:B469), Source!$G469, "")</f>
        <v>7</v>
      </c>
      <c r="C469" s="2" t="str">
        <f>IF(Source!$C469&gt;=COLUMNS($A469:C469), Source!$G469, "")</f>
        <v/>
      </c>
      <c r="D469" s="2" t="str">
        <f>IF(Source!$C469&gt;=COLUMNS($A469:D469), Source!$G469, "")</f>
        <v/>
      </c>
      <c r="E469" s="2" t="str">
        <f>IF(Source!$C469&gt;=COLUMNS($A469:E469), Source!$G469, "")</f>
        <v/>
      </c>
      <c r="F469" s="2" t="str">
        <f>IF(Source!$C469&gt;=COLUMNS($A469:F469), Source!$G469, "")</f>
        <v/>
      </c>
      <c r="G469" s="2" t="str">
        <f>IF(Source!$C469&gt;=COLUMNS($A469:G469), Source!$G469, "")</f>
        <v/>
      </c>
      <c r="H469" s="2" t="str">
        <f>IF(Source!$C469&gt;=COLUMNS($A469:H469), Source!$G469, "")</f>
        <v/>
      </c>
      <c r="I469" s="2" t="str">
        <f>IF(Source!$C469&gt;=COLUMNS($A469:I469), Source!$G469, "")</f>
        <v/>
      </c>
      <c r="J469" s="2" t="str">
        <f>IF(Source!$C469&gt;=COLUMNS($A469:J469), Source!$G469, "")</f>
        <v/>
      </c>
      <c r="K469" s="2" t="str">
        <f>IF(Source!$C469&gt;=COLUMNS($A469:K469), Source!$G469, "")</f>
        <v/>
      </c>
      <c r="L469" s="2" t="str">
        <f>IF(Source!$C469&gt;=COLUMNS($A469:L469), Source!$G469, "")</f>
        <v/>
      </c>
      <c r="M469" s="2" t="str">
        <f>IF(Source!$C469&gt;=COLUMNS($A469:M469), Source!$G469, "")</f>
        <v/>
      </c>
      <c r="N469" s="2" t="str">
        <f>IF(Source!$C469&gt;=COLUMNS($A469:N469), Source!$G469, "")</f>
        <v/>
      </c>
      <c r="O469" s="2" t="str">
        <f>IF(Source!$C469&gt;=COLUMNS($A469:O469), Source!$G469, "")</f>
        <v/>
      </c>
      <c r="P469" s="2" t="str">
        <f>IF(Source!$C469&gt;=COLUMNS($A469:P469), Source!$G469, "")</f>
        <v/>
      </c>
      <c r="Q469" s="2" t="str">
        <f>IF(Source!$C469&gt;=COLUMNS($A469:Q469), Source!$G469, "")</f>
        <v/>
      </c>
      <c r="R469" s="2" t="str">
        <f>IF(Source!$C469&gt;=COLUMNS($A469:R469), Source!$G469, "")</f>
        <v/>
      </c>
      <c r="S469" s="2" t="str">
        <f>IF(Source!$C469&gt;=COLUMNS($A469:S469), Source!$G469, "")</f>
        <v/>
      </c>
      <c r="T469" s="2" t="str">
        <f>IF(Source!$C469&gt;=COLUMNS($A469:T469), Source!$G469, "")</f>
        <v/>
      </c>
      <c r="U469" s="2" t="str">
        <f>IF(Source!$C469&gt;=COLUMNS($A469:U469), Source!$G469, "")</f>
        <v/>
      </c>
      <c r="V469" s="2" t="str">
        <f>IF(Source!$C469&gt;=COLUMNS($A469:V469), Source!$G469, "")</f>
        <v/>
      </c>
      <c r="W469" s="2" t="str">
        <f>IF(Source!$C469&gt;=COLUMNS($A469:W469), Source!$G469, "")</f>
        <v/>
      </c>
      <c r="X469" s="2" t="str">
        <f>IF(Source!$C469&gt;=COLUMNS($A469:X469), Source!$G469, "")</f>
        <v/>
      </c>
      <c r="Y469" s="2" t="str">
        <f>IF(Source!$C469&gt;=COLUMNS($A469:Y469), Source!$G469, "")</f>
        <v/>
      </c>
      <c r="Z469" s="2" t="str">
        <f>IF(Source!$C469&gt;=COLUMNS($A469:Z469), Source!$G469, "")</f>
        <v/>
      </c>
      <c r="AA469" s="2" t="str">
        <f>IF(Source!$C469&gt;=COLUMNS($A469:AA469), Source!$G469, "")</f>
        <v/>
      </c>
      <c r="AB469" s="2" t="str">
        <f>IF(Source!$C469&gt;=COLUMNS($A469:AB469), Source!$G469, "")</f>
        <v/>
      </c>
      <c r="AC469" s="2" t="str">
        <f>IF(Source!$C469&gt;=COLUMNS($A469:AC469), Source!$G469, "")</f>
        <v/>
      </c>
      <c r="AD469" s="2" t="str">
        <f>IF(Source!$C469&gt;=COLUMNS($A469:AD469), Source!$G469, "")</f>
        <v/>
      </c>
      <c r="AE469" s="2" t="str">
        <f>IF(Source!$C469&gt;=COLUMNS($A469:AE469), Source!$G469, "")</f>
        <v/>
      </c>
      <c r="AF469" s="2" t="str">
        <f>IF(Source!$C469&gt;=COLUMNS($A469:AF469), Source!$G469, "")</f>
        <v/>
      </c>
      <c r="AG469" s="2" t="str">
        <f>IF(Source!$C469&gt;=COLUMNS($A469:AG469), Source!$G469, "")</f>
        <v/>
      </c>
      <c r="AH469" s="2" t="str">
        <f>IF(Source!$C469&gt;=COLUMNS($A469:AH469), Source!$G469, "")</f>
        <v/>
      </c>
      <c r="AI469" s="2" t="str">
        <f>IF(Source!$C469&gt;=COLUMNS($A469:AI469), Source!$G469, "")</f>
        <v/>
      </c>
      <c r="AJ469" s="2" t="str">
        <f>IF(Source!$C469&gt;=COLUMNS($A469:AJ469), Source!$G469, "")</f>
        <v/>
      </c>
      <c r="AK469" s="2" t="str">
        <f>IF(Source!$C469&gt;=COLUMNS($A469:AK469), Source!$G469, "")</f>
        <v/>
      </c>
      <c r="AL469" s="2" t="str">
        <f>IF(Source!$C469&gt;=COLUMNS($A469:AL469), Source!$G469, "")</f>
        <v/>
      </c>
      <c r="AM469" s="2" t="str">
        <f>IF(Source!$C469&gt;=COLUMNS($A469:AM469), Source!$G469, "")</f>
        <v/>
      </c>
      <c r="AN469" s="2" t="str">
        <f>IF(Source!$C469&gt;=COLUMNS($A469:AN469), Source!$G469, "")</f>
        <v/>
      </c>
      <c r="AO469" s="2" t="str">
        <f>IF(Source!$C469&gt;=COLUMNS($A469:AO469), Source!$G469, "")</f>
        <v/>
      </c>
      <c r="AP469" s="2" t="str">
        <f>IF(Source!$C469&gt;=COLUMNS($A469:AP469), Source!$G469, "")</f>
        <v/>
      </c>
      <c r="AQ469" s="2" t="str">
        <f>IF(Source!$C469&gt;=COLUMNS($A469:AQ469), Source!$G469, "")</f>
        <v/>
      </c>
      <c r="AR469" s="2" t="str">
        <f>IF(Source!$C469&gt;=COLUMNS($A469:AR469), Source!$G469, "")</f>
        <v/>
      </c>
    </row>
    <row r="470">
      <c r="A470" s="2">
        <f>IF(Source!$C470&gt;=COLUMNS($A470:A470), Source!$G470, "")</f>
        <v>4</v>
      </c>
      <c r="B470" s="2">
        <f>IF(Source!$C470&gt;=COLUMNS($A470:B470), Source!$G470, "")</f>
        <v>4</v>
      </c>
      <c r="C470" s="2" t="str">
        <f>IF(Source!$C470&gt;=COLUMNS($A470:C470), Source!$G470, "")</f>
        <v/>
      </c>
      <c r="D470" s="2" t="str">
        <f>IF(Source!$C470&gt;=COLUMNS($A470:D470), Source!$G470, "")</f>
        <v/>
      </c>
      <c r="E470" s="2" t="str">
        <f>IF(Source!$C470&gt;=COLUMNS($A470:E470), Source!$G470, "")</f>
        <v/>
      </c>
      <c r="F470" s="2" t="str">
        <f>IF(Source!$C470&gt;=COLUMNS($A470:F470), Source!$G470, "")</f>
        <v/>
      </c>
      <c r="G470" s="2" t="str">
        <f>IF(Source!$C470&gt;=COLUMNS($A470:G470), Source!$G470, "")</f>
        <v/>
      </c>
      <c r="H470" s="2" t="str">
        <f>IF(Source!$C470&gt;=COLUMNS($A470:H470), Source!$G470, "")</f>
        <v/>
      </c>
      <c r="I470" s="2" t="str">
        <f>IF(Source!$C470&gt;=COLUMNS($A470:I470), Source!$G470, "")</f>
        <v/>
      </c>
      <c r="J470" s="2" t="str">
        <f>IF(Source!$C470&gt;=COLUMNS($A470:J470), Source!$G470, "")</f>
        <v/>
      </c>
      <c r="K470" s="2" t="str">
        <f>IF(Source!$C470&gt;=COLUMNS($A470:K470), Source!$G470, "")</f>
        <v/>
      </c>
      <c r="L470" s="2" t="str">
        <f>IF(Source!$C470&gt;=COLUMNS($A470:L470), Source!$G470, "")</f>
        <v/>
      </c>
      <c r="M470" s="2" t="str">
        <f>IF(Source!$C470&gt;=COLUMNS($A470:M470), Source!$G470, "")</f>
        <v/>
      </c>
      <c r="N470" s="2" t="str">
        <f>IF(Source!$C470&gt;=COLUMNS($A470:N470), Source!$G470, "")</f>
        <v/>
      </c>
      <c r="O470" s="2" t="str">
        <f>IF(Source!$C470&gt;=COLUMNS($A470:O470), Source!$G470, "")</f>
        <v/>
      </c>
      <c r="P470" s="2" t="str">
        <f>IF(Source!$C470&gt;=COLUMNS($A470:P470), Source!$G470, "")</f>
        <v/>
      </c>
      <c r="Q470" s="2" t="str">
        <f>IF(Source!$C470&gt;=COLUMNS($A470:Q470), Source!$G470, "")</f>
        <v/>
      </c>
      <c r="R470" s="2" t="str">
        <f>IF(Source!$C470&gt;=COLUMNS($A470:R470), Source!$G470, "")</f>
        <v/>
      </c>
      <c r="S470" s="2" t="str">
        <f>IF(Source!$C470&gt;=COLUMNS($A470:S470), Source!$G470, "")</f>
        <v/>
      </c>
      <c r="T470" s="2" t="str">
        <f>IF(Source!$C470&gt;=COLUMNS($A470:T470), Source!$G470, "")</f>
        <v/>
      </c>
      <c r="U470" s="2" t="str">
        <f>IF(Source!$C470&gt;=COLUMNS($A470:U470), Source!$G470, "")</f>
        <v/>
      </c>
      <c r="V470" s="2" t="str">
        <f>IF(Source!$C470&gt;=COLUMNS($A470:V470), Source!$G470, "")</f>
        <v/>
      </c>
      <c r="W470" s="2" t="str">
        <f>IF(Source!$C470&gt;=COLUMNS($A470:W470), Source!$G470, "")</f>
        <v/>
      </c>
      <c r="X470" s="2" t="str">
        <f>IF(Source!$C470&gt;=COLUMNS($A470:X470), Source!$G470, "")</f>
        <v/>
      </c>
      <c r="Y470" s="2" t="str">
        <f>IF(Source!$C470&gt;=COLUMNS($A470:Y470), Source!$G470, "")</f>
        <v/>
      </c>
      <c r="Z470" s="2" t="str">
        <f>IF(Source!$C470&gt;=COLUMNS($A470:Z470), Source!$G470, "")</f>
        <v/>
      </c>
      <c r="AA470" s="2" t="str">
        <f>IF(Source!$C470&gt;=COLUMNS($A470:AA470), Source!$G470, "")</f>
        <v/>
      </c>
      <c r="AB470" s="2" t="str">
        <f>IF(Source!$C470&gt;=COLUMNS($A470:AB470), Source!$G470, "")</f>
        <v/>
      </c>
      <c r="AC470" s="2" t="str">
        <f>IF(Source!$C470&gt;=COLUMNS($A470:AC470), Source!$G470, "")</f>
        <v/>
      </c>
      <c r="AD470" s="2" t="str">
        <f>IF(Source!$C470&gt;=COLUMNS($A470:AD470), Source!$G470, "")</f>
        <v/>
      </c>
      <c r="AE470" s="2" t="str">
        <f>IF(Source!$C470&gt;=COLUMNS($A470:AE470), Source!$G470, "")</f>
        <v/>
      </c>
      <c r="AF470" s="2" t="str">
        <f>IF(Source!$C470&gt;=COLUMNS($A470:AF470), Source!$G470, "")</f>
        <v/>
      </c>
      <c r="AG470" s="2" t="str">
        <f>IF(Source!$C470&gt;=COLUMNS($A470:AG470), Source!$G470, "")</f>
        <v/>
      </c>
      <c r="AH470" s="2" t="str">
        <f>IF(Source!$C470&gt;=COLUMNS($A470:AH470), Source!$G470, "")</f>
        <v/>
      </c>
      <c r="AI470" s="2" t="str">
        <f>IF(Source!$C470&gt;=COLUMNS($A470:AI470), Source!$G470, "")</f>
        <v/>
      </c>
      <c r="AJ470" s="2" t="str">
        <f>IF(Source!$C470&gt;=COLUMNS($A470:AJ470), Source!$G470, "")</f>
        <v/>
      </c>
      <c r="AK470" s="2" t="str">
        <f>IF(Source!$C470&gt;=COLUMNS($A470:AK470), Source!$G470, "")</f>
        <v/>
      </c>
      <c r="AL470" s="2" t="str">
        <f>IF(Source!$C470&gt;=COLUMNS($A470:AL470), Source!$G470, "")</f>
        <v/>
      </c>
      <c r="AM470" s="2" t="str">
        <f>IF(Source!$C470&gt;=COLUMNS($A470:AM470), Source!$G470, "")</f>
        <v/>
      </c>
      <c r="AN470" s="2" t="str">
        <f>IF(Source!$C470&gt;=COLUMNS($A470:AN470), Source!$G470, "")</f>
        <v/>
      </c>
      <c r="AO470" s="2" t="str">
        <f>IF(Source!$C470&gt;=COLUMNS($A470:AO470), Source!$G470, "")</f>
        <v/>
      </c>
      <c r="AP470" s="2" t="str">
        <f>IF(Source!$C470&gt;=COLUMNS($A470:AP470), Source!$G470, "")</f>
        <v/>
      </c>
      <c r="AQ470" s="2" t="str">
        <f>IF(Source!$C470&gt;=COLUMNS($A470:AQ470), Source!$G470, "")</f>
        <v/>
      </c>
      <c r="AR470" s="2" t="str">
        <f>IF(Source!$C470&gt;=COLUMNS($A470:AR470), Source!$G470, "")</f>
        <v/>
      </c>
    </row>
    <row r="471">
      <c r="A471" s="2">
        <f>IF(Source!$C471&gt;=COLUMNS($A471:A471), Source!$G471, "")</f>
        <v>9</v>
      </c>
      <c r="B471" s="2">
        <f>IF(Source!$C471&gt;=COLUMNS($A471:B471), Source!$G471, "")</f>
        <v>9</v>
      </c>
      <c r="C471" s="2">
        <f>IF(Source!$C471&gt;=COLUMNS($A471:C471), Source!$G471, "")</f>
        <v>9</v>
      </c>
      <c r="D471" s="2">
        <f>IF(Source!$C471&gt;=COLUMNS($A471:D471), Source!$G471, "")</f>
        <v>9</v>
      </c>
      <c r="E471" s="2">
        <f>IF(Source!$C471&gt;=COLUMNS($A471:E471), Source!$G471, "")</f>
        <v>9</v>
      </c>
      <c r="F471" s="2">
        <f>IF(Source!$C471&gt;=COLUMNS($A471:F471), Source!$G471, "")</f>
        <v>9</v>
      </c>
      <c r="G471" s="2">
        <f>IF(Source!$C471&gt;=COLUMNS($A471:G471), Source!$G471, "")</f>
        <v>9</v>
      </c>
      <c r="H471" s="2">
        <f>IF(Source!$C471&gt;=COLUMNS($A471:H471), Source!$G471, "")</f>
        <v>9</v>
      </c>
      <c r="I471" s="2">
        <f>IF(Source!$C471&gt;=COLUMNS($A471:I471), Source!$G471, "")</f>
        <v>9</v>
      </c>
      <c r="J471" s="2">
        <f>IF(Source!$C471&gt;=COLUMNS($A471:J471), Source!$G471, "")</f>
        <v>9</v>
      </c>
      <c r="K471" s="2">
        <f>IF(Source!$C471&gt;=COLUMNS($A471:K471), Source!$G471, "")</f>
        <v>9</v>
      </c>
      <c r="L471" s="2">
        <f>IF(Source!$C471&gt;=COLUMNS($A471:L471), Source!$G471, "")</f>
        <v>9</v>
      </c>
      <c r="M471" s="2">
        <f>IF(Source!$C471&gt;=COLUMNS($A471:M471), Source!$G471, "")</f>
        <v>9</v>
      </c>
      <c r="N471" s="2">
        <f>IF(Source!$C471&gt;=COLUMNS($A471:N471), Source!$G471, "")</f>
        <v>9</v>
      </c>
      <c r="O471" s="2">
        <f>IF(Source!$C471&gt;=COLUMNS($A471:O471), Source!$G471, "")</f>
        <v>9</v>
      </c>
      <c r="P471" s="2" t="str">
        <f>IF(Source!$C471&gt;=COLUMNS($A471:P471), Source!$G471, "")</f>
        <v/>
      </c>
      <c r="Q471" s="2" t="str">
        <f>IF(Source!$C471&gt;=COLUMNS($A471:Q471), Source!$G471, "")</f>
        <v/>
      </c>
      <c r="R471" s="2" t="str">
        <f>IF(Source!$C471&gt;=COLUMNS($A471:R471), Source!$G471, "")</f>
        <v/>
      </c>
      <c r="S471" s="2" t="str">
        <f>IF(Source!$C471&gt;=COLUMNS($A471:S471), Source!$G471, "")</f>
        <v/>
      </c>
      <c r="T471" s="2" t="str">
        <f>IF(Source!$C471&gt;=COLUMNS($A471:T471), Source!$G471, "")</f>
        <v/>
      </c>
      <c r="U471" s="2" t="str">
        <f>IF(Source!$C471&gt;=COLUMNS($A471:U471), Source!$G471, "")</f>
        <v/>
      </c>
      <c r="V471" s="2" t="str">
        <f>IF(Source!$C471&gt;=COLUMNS($A471:V471), Source!$G471, "")</f>
        <v/>
      </c>
      <c r="W471" s="2" t="str">
        <f>IF(Source!$C471&gt;=COLUMNS($A471:W471), Source!$G471, "")</f>
        <v/>
      </c>
      <c r="X471" s="2" t="str">
        <f>IF(Source!$C471&gt;=COLUMNS($A471:X471), Source!$G471, "")</f>
        <v/>
      </c>
      <c r="Y471" s="2" t="str">
        <f>IF(Source!$C471&gt;=COLUMNS($A471:Y471), Source!$G471, "")</f>
        <v/>
      </c>
      <c r="Z471" s="2" t="str">
        <f>IF(Source!$C471&gt;=COLUMNS($A471:Z471), Source!$G471, "")</f>
        <v/>
      </c>
      <c r="AA471" s="2" t="str">
        <f>IF(Source!$C471&gt;=COLUMNS($A471:AA471), Source!$G471, "")</f>
        <v/>
      </c>
      <c r="AB471" s="2" t="str">
        <f>IF(Source!$C471&gt;=COLUMNS($A471:AB471), Source!$G471, "")</f>
        <v/>
      </c>
      <c r="AC471" s="2" t="str">
        <f>IF(Source!$C471&gt;=COLUMNS($A471:AC471), Source!$G471, "")</f>
        <v/>
      </c>
      <c r="AD471" s="2" t="str">
        <f>IF(Source!$C471&gt;=COLUMNS($A471:AD471), Source!$G471, "")</f>
        <v/>
      </c>
      <c r="AE471" s="2" t="str">
        <f>IF(Source!$C471&gt;=COLUMNS($A471:AE471), Source!$G471, "")</f>
        <v/>
      </c>
      <c r="AF471" s="2" t="str">
        <f>IF(Source!$C471&gt;=COLUMNS($A471:AF471), Source!$G471, "")</f>
        <v/>
      </c>
      <c r="AG471" s="2" t="str">
        <f>IF(Source!$C471&gt;=COLUMNS($A471:AG471), Source!$G471, "")</f>
        <v/>
      </c>
      <c r="AH471" s="2" t="str">
        <f>IF(Source!$C471&gt;=COLUMNS($A471:AH471), Source!$G471, "")</f>
        <v/>
      </c>
      <c r="AI471" s="2" t="str">
        <f>IF(Source!$C471&gt;=COLUMNS($A471:AI471), Source!$G471, "")</f>
        <v/>
      </c>
      <c r="AJ471" s="2" t="str">
        <f>IF(Source!$C471&gt;=COLUMNS($A471:AJ471), Source!$G471, "")</f>
        <v/>
      </c>
      <c r="AK471" s="2" t="str">
        <f>IF(Source!$C471&gt;=COLUMNS($A471:AK471), Source!$G471, "")</f>
        <v/>
      </c>
      <c r="AL471" s="2" t="str">
        <f>IF(Source!$C471&gt;=COLUMNS($A471:AL471), Source!$G471, "")</f>
        <v/>
      </c>
      <c r="AM471" s="2" t="str">
        <f>IF(Source!$C471&gt;=COLUMNS($A471:AM471), Source!$G471, "")</f>
        <v/>
      </c>
      <c r="AN471" s="2" t="str">
        <f>IF(Source!$C471&gt;=COLUMNS($A471:AN471), Source!$G471, "")</f>
        <v/>
      </c>
      <c r="AO471" s="2" t="str">
        <f>IF(Source!$C471&gt;=COLUMNS($A471:AO471), Source!$G471, "")</f>
        <v/>
      </c>
      <c r="AP471" s="2" t="str">
        <f>IF(Source!$C471&gt;=COLUMNS($A471:AP471), Source!$G471, "")</f>
        <v/>
      </c>
      <c r="AQ471" s="2" t="str">
        <f>IF(Source!$C471&gt;=COLUMNS($A471:AQ471), Source!$G471, "")</f>
        <v/>
      </c>
      <c r="AR471" s="2" t="str">
        <f>IF(Source!$C471&gt;=COLUMNS($A471:AR471), Source!$G471, "")</f>
        <v/>
      </c>
    </row>
    <row r="472">
      <c r="A472" s="2">
        <f>IF(Source!$C472&gt;=COLUMNS($A472:A472), Source!$G472, "")</f>
        <v>1</v>
      </c>
      <c r="B472" s="2">
        <f>IF(Source!$C472&gt;=COLUMNS($A472:B472), Source!$G472, "")</f>
        <v>1</v>
      </c>
      <c r="C472" s="2">
        <f>IF(Source!$C472&gt;=COLUMNS($A472:C472), Source!$G472, "")</f>
        <v>1</v>
      </c>
      <c r="D472" s="2">
        <f>IF(Source!$C472&gt;=COLUMNS($A472:D472), Source!$G472, "")</f>
        <v>1</v>
      </c>
      <c r="E472" s="2">
        <f>IF(Source!$C472&gt;=COLUMNS($A472:E472), Source!$G472, "")</f>
        <v>1</v>
      </c>
      <c r="F472" s="2">
        <f>IF(Source!$C472&gt;=COLUMNS($A472:F472), Source!$G472, "")</f>
        <v>1</v>
      </c>
      <c r="G472" s="2">
        <f>IF(Source!$C472&gt;=COLUMNS($A472:G472), Source!$G472, "")</f>
        <v>1</v>
      </c>
      <c r="H472" s="2">
        <f>IF(Source!$C472&gt;=COLUMNS($A472:H472), Source!$G472, "")</f>
        <v>1</v>
      </c>
      <c r="I472" s="2" t="str">
        <f>IF(Source!$C472&gt;=COLUMNS($A472:I472), Source!$G472, "")</f>
        <v/>
      </c>
      <c r="J472" s="2" t="str">
        <f>IF(Source!$C472&gt;=COLUMNS($A472:J472), Source!$G472, "")</f>
        <v/>
      </c>
      <c r="K472" s="2" t="str">
        <f>IF(Source!$C472&gt;=COLUMNS($A472:K472), Source!$G472, "")</f>
        <v/>
      </c>
      <c r="L472" s="2" t="str">
        <f>IF(Source!$C472&gt;=COLUMNS($A472:L472), Source!$G472, "")</f>
        <v/>
      </c>
      <c r="M472" s="2" t="str">
        <f>IF(Source!$C472&gt;=COLUMNS($A472:M472), Source!$G472, "")</f>
        <v/>
      </c>
      <c r="N472" s="2" t="str">
        <f>IF(Source!$C472&gt;=COLUMNS($A472:N472), Source!$G472, "")</f>
        <v/>
      </c>
      <c r="O472" s="2" t="str">
        <f>IF(Source!$C472&gt;=COLUMNS($A472:O472), Source!$G472, "")</f>
        <v/>
      </c>
      <c r="P472" s="2" t="str">
        <f>IF(Source!$C472&gt;=COLUMNS($A472:P472), Source!$G472, "")</f>
        <v/>
      </c>
      <c r="Q472" s="2" t="str">
        <f>IF(Source!$C472&gt;=COLUMNS($A472:Q472), Source!$G472, "")</f>
        <v/>
      </c>
      <c r="R472" s="2" t="str">
        <f>IF(Source!$C472&gt;=COLUMNS($A472:R472), Source!$G472, "")</f>
        <v/>
      </c>
      <c r="S472" s="2" t="str">
        <f>IF(Source!$C472&gt;=COLUMNS($A472:S472), Source!$G472, "")</f>
        <v/>
      </c>
      <c r="T472" s="2" t="str">
        <f>IF(Source!$C472&gt;=COLUMNS($A472:T472), Source!$G472, "")</f>
        <v/>
      </c>
      <c r="U472" s="2" t="str">
        <f>IF(Source!$C472&gt;=COLUMNS($A472:U472), Source!$G472, "")</f>
        <v/>
      </c>
      <c r="V472" s="2" t="str">
        <f>IF(Source!$C472&gt;=COLUMNS($A472:V472), Source!$G472, "")</f>
        <v/>
      </c>
      <c r="W472" s="2" t="str">
        <f>IF(Source!$C472&gt;=COLUMNS($A472:W472), Source!$G472, "")</f>
        <v/>
      </c>
      <c r="X472" s="2" t="str">
        <f>IF(Source!$C472&gt;=COLUMNS($A472:X472), Source!$G472, "")</f>
        <v/>
      </c>
      <c r="Y472" s="2" t="str">
        <f>IF(Source!$C472&gt;=COLUMNS($A472:Y472), Source!$G472, "")</f>
        <v/>
      </c>
      <c r="Z472" s="2" t="str">
        <f>IF(Source!$C472&gt;=COLUMNS($A472:Z472), Source!$G472, "")</f>
        <v/>
      </c>
      <c r="AA472" s="2" t="str">
        <f>IF(Source!$C472&gt;=COLUMNS($A472:AA472), Source!$G472, "")</f>
        <v/>
      </c>
      <c r="AB472" s="2" t="str">
        <f>IF(Source!$C472&gt;=COLUMNS($A472:AB472), Source!$G472, "")</f>
        <v/>
      </c>
      <c r="AC472" s="2" t="str">
        <f>IF(Source!$C472&gt;=COLUMNS($A472:AC472), Source!$G472, "")</f>
        <v/>
      </c>
      <c r="AD472" s="2" t="str">
        <f>IF(Source!$C472&gt;=COLUMNS($A472:AD472), Source!$G472, "")</f>
        <v/>
      </c>
      <c r="AE472" s="2" t="str">
        <f>IF(Source!$C472&gt;=COLUMNS($A472:AE472), Source!$G472, "")</f>
        <v/>
      </c>
      <c r="AF472" s="2" t="str">
        <f>IF(Source!$C472&gt;=COLUMNS($A472:AF472), Source!$G472, "")</f>
        <v/>
      </c>
      <c r="AG472" s="2" t="str">
        <f>IF(Source!$C472&gt;=COLUMNS($A472:AG472), Source!$G472, "")</f>
        <v/>
      </c>
      <c r="AH472" s="2" t="str">
        <f>IF(Source!$C472&gt;=COLUMNS($A472:AH472), Source!$G472, "")</f>
        <v/>
      </c>
      <c r="AI472" s="2" t="str">
        <f>IF(Source!$C472&gt;=COLUMNS($A472:AI472), Source!$G472, "")</f>
        <v/>
      </c>
      <c r="AJ472" s="2" t="str">
        <f>IF(Source!$C472&gt;=COLUMNS($A472:AJ472), Source!$G472, "")</f>
        <v/>
      </c>
      <c r="AK472" s="2" t="str">
        <f>IF(Source!$C472&gt;=COLUMNS($A472:AK472), Source!$G472, "")</f>
        <v/>
      </c>
      <c r="AL472" s="2" t="str">
        <f>IF(Source!$C472&gt;=COLUMNS($A472:AL472), Source!$G472, "")</f>
        <v/>
      </c>
      <c r="AM472" s="2" t="str">
        <f>IF(Source!$C472&gt;=COLUMNS($A472:AM472), Source!$G472, "")</f>
        <v/>
      </c>
      <c r="AN472" s="2" t="str">
        <f>IF(Source!$C472&gt;=COLUMNS($A472:AN472), Source!$G472, "")</f>
        <v/>
      </c>
      <c r="AO472" s="2" t="str">
        <f>IF(Source!$C472&gt;=COLUMNS($A472:AO472), Source!$G472, "")</f>
        <v/>
      </c>
      <c r="AP472" s="2" t="str">
        <f>IF(Source!$C472&gt;=COLUMNS($A472:AP472), Source!$G472, "")</f>
        <v/>
      </c>
      <c r="AQ472" s="2" t="str">
        <f>IF(Source!$C472&gt;=COLUMNS($A472:AQ472), Source!$G472, "")</f>
        <v/>
      </c>
      <c r="AR472" s="2" t="str">
        <f>IF(Source!$C472&gt;=COLUMNS($A472:AR472), Source!$G472, "")</f>
        <v/>
      </c>
    </row>
    <row r="473">
      <c r="A473" s="2">
        <f>IF(Source!$C473&gt;=COLUMNS($A473:A473), Source!$G473, "")</f>
        <v>9</v>
      </c>
      <c r="B473" s="2">
        <f>IF(Source!$C473&gt;=COLUMNS($A473:B473), Source!$G473, "")</f>
        <v>9</v>
      </c>
      <c r="C473" s="2">
        <f>IF(Source!$C473&gt;=COLUMNS($A473:C473), Source!$G473, "")</f>
        <v>9</v>
      </c>
      <c r="D473" s="2" t="str">
        <f>IF(Source!$C473&gt;=COLUMNS($A473:D473), Source!$G473, "")</f>
        <v/>
      </c>
      <c r="E473" s="2" t="str">
        <f>IF(Source!$C473&gt;=COLUMNS($A473:E473), Source!$G473, "")</f>
        <v/>
      </c>
      <c r="F473" s="2" t="str">
        <f>IF(Source!$C473&gt;=COLUMNS($A473:F473), Source!$G473, "")</f>
        <v/>
      </c>
      <c r="G473" s="2" t="str">
        <f>IF(Source!$C473&gt;=COLUMNS($A473:G473), Source!$G473, "")</f>
        <v/>
      </c>
      <c r="H473" s="2" t="str">
        <f>IF(Source!$C473&gt;=COLUMNS($A473:H473), Source!$G473, "")</f>
        <v/>
      </c>
      <c r="I473" s="2" t="str">
        <f>IF(Source!$C473&gt;=COLUMNS($A473:I473), Source!$G473, "")</f>
        <v/>
      </c>
      <c r="J473" s="2" t="str">
        <f>IF(Source!$C473&gt;=COLUMNS($A473:J473), Source!$G473, "")</f>
        <v/>
      </c>
      <c r="K473" s="2" t="str">
        <f>IF(Source!$C473&gt;=COLUMNS($A473:K473), Source!$G473, "")</f>
        <v/>
      </c>
      <c r="L473" s="2" t="str">
        <f>IF(Source!$C473&gt;=COLUMNS($A473:L473), Source!$G473, "")</f>
        <v/>
      </c>
      <c r="M473" s="2" t="str">
        <f>IF(Source!$C473&gt;=COLUMNS($A473:M473), Source!$G473, "")</f>
        <v/>
      </c>
      <c r="N473" s="2" t="str">
        <f>IF(Source!$C473&gt;=COLUMNS($A473:N473), Source!$G473, "")</f>
        <v/>
      </c>
      <c r="O473" s="2" t="str">
        <f>IF(Source!$C473&gt;=COLUMNS($A473:O473), Source!$G473, "")</f>
        <v/>
      </c>
      <c r="P473" s="2" t="str">
        <f>IF(Source!$C473&gt;=COLUMNS($A473:P473), Source!$G473, "")</f>
        <v/>
      </c>
      <c r="Q473" s="2" t="str">
        <f>IF(Source!$C473&gt;=COLUMNS($A473:Q473), Source!$G473, "")</f>
        <v/>
      </c>
      <c r="R473" s="2" t="str">
        <f>IF(Source!$C473&gt;=COLUMNS($A473:R473), Source!$G473, "")</f>
        <v/>
      </c>
      <c r="S473" s="2" t="str">
        <f>IF(Source!$C473&gt;=COLUMNS($A473:S473), Source!$G473, "")</f>
        <v/>
      </c>
      <c r="T473" s="2" t="str">
        <f>IF(Source!$C473&gt;=COLUMNS($A473:T473), Source!$G473, "")</f>
        <v/>
      </c>
      <c r="U473" s="2" t="str">
        <f>IF(Source!$C473&gt;=COLUMNS($A473:U473), Source!$G473, "")</f>
        <v/>
      </c>
      <c r="V473" s="2" t="str">
        <f>IF(Source!$C473&gt;=COLUMNS($A473:V473), Source!$G473, "")</f>
        <v/>
      </c>
      <c r="W473" s="2" t="str">
        <f>IF(Source!$C473&gt;=COLUMNS($A473:W473), Source!$G473, "")</f>
        <v/>
      </c>
      <c r="X473" s="2" t="str">
        <f>IF(Source!$C473&gt;=COLUMNS($A473:X473), Source!$G473, "")</f>
        <v/>
      </c>
      <c r="Y473" s="2" t="str">
        <f>IF(Source!$C473&gt;=COLUMNS($A473:Y473), Source!$G473, "")</f>
        <v/>
      </c>
      <c r="Z473" s="2" t="str">
        <f>IF(Source!$C473&gt;=COLUMNS($A473:Z473), Source!$G473, "")</f>
        <v/>
      </c>
      <c r="AA473" s="2" t="str">
        <f>IF(Source!$C473&gt;=COLUMNS($A473:AA473), Source!$G473, "")</f>
        <v/>
      </c>
      <c r="AB473" s="2" t="str">
        <f>IF(Source!$C473&gt;=COLUMNS($A473:AB473), Source!$G473, "")</f>
        <v/>
      </c>
      <c r="AC473" s="2" t="str">
        <f>IF(Source!$C473&gt;=COLUMNS($A473:AC473), Source!$G473, "")</f>
        <v/>
      </c>
      <c r="AD473" s="2" t="str">
        <f>IF(Source!$C473&gt;=COLUMNS($A473:AD473), Source!$G473, "")</f>
        <v/>
      </c>
      <c r="AE473" s="2" t="str">
        <f>IF(Source!$C473&gt;=COLUMNS($A473:AE473), Source!$G473, "")</f>
        <v/>
      </c>
      <c r="AF473" s="2" t="str">
        <f>IF(Source!$C473&gt;=COLUMNS($A473:AF473), Source!$G473, "")</f>
        <v/>
      </c>
      <c r="AG473" s="2" t="str">
        <f>IF(Source!$C473&gt;=COLUMNS($A473:AG473), Source!$G473, "")</f>
        <v/>
      </c>
      <c r="AH473" s="2" t="str">
        <f>IF(Source!$C473&gt;=COLUMNS($A473:AH473), Source!$G473, "")</f>
        <v/>
      </c>
      <c r="AI473" s="2" t="str">
        <f>IF(Source!$C473&gt;=COLUMNS($A473:AI473), Source!$G473, "")</f>
        <v/>
      </c>
      <c r="AJ473" s="2" t="str">
        <f>IF(Source!$C473&gt;=COLUMNS($A473:AJ473), Source!$G473, "")</f>
        <v/>
      </c>
      <c r="AK473" s="2" t="str">
        <f>IF(Source!$C473&gt;=COLUMNS($A473:AK473), Source!$G473, "")</f>
        <v/>
      </c>
      <c r="AL473" s="2" t="str">
        <f>IF(Source!$C473&gt;=COLUMNS($A473:AL473), Source!$G473, "")</f>
        <v/>
      </c>
      <c r="AM473" s="2" t="str">
        <f>IF(Source!$C473&gt;=COLUMNS($A473:AM473), Source!$G473, "")</f>
        <v/>
      </c>
      <c r="AN473" s="2" t="str">
        <f>IF(Source!$C473&gt;=COLUMNS($A473:AN473), Source!$G473, "")</f>
        <v/>
      </c>
      <c r="AO473" s="2" t="str">
        <f>IF(Source!$C473&gt;=COLUMNS($A473:AO473), Source!$G473, "")</f>
        <v/>
      </c>
      <c r="AP473" s="2" t="str">
        <f>IF(Source!$C473&gt;=COLUMNS($A473:AP473), Source!$G473, "")</f>
        <v/>
      </c>
      <c r="AQ473" s="2" t="str">
        <f>IF(Source!$C473&gt;=COLUMNS($A473:AQ473), Source!$G473, "")</f>
        <v/>
      </c>
      <c r="AR473" s="2" t="str">
        <f>IF(Source!$C473&gt;=COLUMNS($A473:AR473), Source!$G473, "")</f>
        <v/>
      </c>
    </row>
    <row r="474">
      <c r="A474" s="2">
        <f>IF(Source!$C474&gt;=COLUMNS($A474:A474), Source!$G474, "")</f>
        <v>9</v>
      </c>
      <c r="B474" s="2">
        <f>IF(Source!$C474&gt;=COLUMNS($A474:B474), Source!$G474, "")</f>
        <v>9</v>
      </c>
      <c r="C474" s="2" t="str">
        <f>IF(Source!$C474&gt;=COLUMNS($A474:C474), Source!$G474, "")</f>
        <v/>
      </c>
      <c r="D474" s="2" t="str">
        <f>IF(Source!$C474&gt;=COLUMNS($A474:D474), Source!$G474, "")</f>
        <v/>
      </c>
      <c r="E474" s="2" t="str">
        <f>IF(Source!$C474&gt;=COLUMNS($A474:E474), Source!$G474, "")</f>
        <v/>
      </c>
      <c r="F474" s="2" t="str">
        <f>IF(Source!$C474&gt;=COLUMNS($A474:F474), Source!$G474, "")</f>
        <v/>
      </c>
      <c r="G474" s="2" t="str">
        <f>IF(Source!$C474&gt;=COLUMNS($A474:G474), Source!$G474, "")</f>
        <v/>
      </c>
      <c r="H474" s="2" t="str">
        <f>IF(Source!$C474&gt;=COLUMNS($A474:H474), Source!$G474, "")</f>
        <v/>
      </c>
      <c r="I474" s="2" t="str">
        <f>IF(Source!$C474&gt;=COLUMNS($A474:I474), Source!$G474, "")</f>
        <v/>
      </c>
      <c r="J474" s="2" t="str">
        <f>IF(Source!$C474&gt;=COLUMNS($A474:J474), Source!$G474, "")</f>
        <v/>
      </c>
      <c r="K474" s="2" t="str">
        <f>IF(Source!$C474&gt;=COLUMNS($A474:K474), Source!$G474, "")</f>
        <v/>
      </c>
      <c r="L474" s="2" t="str">
        <f>IF(Source!$C474&gt;=COLUMNS($A474:L474), Source!$G474, "")</f>
        <v/>
      </c>
      <c r="M474" s="2" t="str">
        <f>IF(Source!$C474&gt;=COLUMNS($A474:M474), Source!$G474, "")</f>
        <v/>
      </c>
      <c r="N474" s="2" t="str">
        <f>IF(Source!$C474&gt;=COLUMNS($A474:N474), Source!$G474, "")</f>
        <v/>
      </c>
      <c r="O474" s="2" t="str">
        <f>IF(Source!$C474&gt;=COLUMNS($A474:O474), Source!$G474, "")</f>
        <v/>
      </c>
      <c r="P474" s="2" t="str">
        <f>IF(Source!$C474&gt;=COLUMNS($A474:P474), Source!$G474, "")</f>
        <v/>
      </c>
      <c r="Q474" s="2" t="str">
        <f>IF(Source!$C474&gt;=COLUMNS($A474:Q474), Source!$G474, "")</f>
        <v/>
      </c>
      <c r="R474" s="2" t="str">
        <f>IF(Source!$C474&gt;=COLUMNS($A474:R474), Source!$G474, "")</f>
        <v/>
      </c>
      <c r="S474" s="2" t="str">
        <f>IF(Source!$C474&gt;=COLUMNS($A474:S474), Source!$G474, "")</f>
        <v/>
      </c>
      <c r="T474" s="2" t="str">
        <f>IF(Source!$C474&gt;=COLUMNS($A474:T474), Source!$G474, "")</f>
        <v/>
      </c>
      <c r="U474" s="2" t="str">
        <f>IF(Source!$C474&gt;=COLUMNS($A474:U474), Source!$G474, "")</f>
        <v/>
      </c>
      <c r="V474" s="2" t="str">
        <f>IF(Source!$C474&gt;=COLUMNS($A474:V474), Source!$G474, "")</f>
        <v/>
      </c>
      <c r="W474" s="2" t="str">
        <f>IF(Source!$C474&gt;=COLUMNS($A474:W474), Source!$G474, "")</f>
        <v/>
      </c>
      <c r="X474" s="2" t="str">
        <f>IF(Source!$C474&gt;=COLUMNS($A474:X474), Source!$G474, "")</f>
        <v/>
      </c>
      <c r="Y474" s="2" t="str">
        <f>IF(Source!$C474&gt;=COLUMNS($A474:Y474), Source!$G474, "")</f>
        <v/>
      </c>
      <c r="Z474" s="2" t="str">
        <f>IF(Source!$C474&gt;=COLUMNS($A474:Z474), Source!$G474, "")</f>
        <v/>
      </c>
      <c r="AA474" s="2" t="str">
        <f>IF(Source!$C474&gt;=COLUMNS($A474:AA474), Source!$G474, "")</f>
        <v/>
      </c>
      <c r="AB474" s="2" t="str">
        <f>IF(Source!$C474&gt;=COLUMNS($A474:AB474), Source!$G474, "")</f>
        <v/>
      </c>
      <c r="AC474" s="2" t="str">
        <f>IF(Source!$C474&gt;=COLUMNS($A474:AC474), Source!$G474, "")</f>
        <v/>
      </c>
      <c r="AD474" s="2" t="str">
        <f>IF(Source!$C474&gt;=COLUMNS($A474:AD474), Source!$G474, "")</f>
        <v/>
      </c>
      <c r="AE474" s="2" t="str">
        <f>IF(Source!$C474&gt;=COLUMNS($A474:AE474), Source!$G474, "")</f>
        <v/>
      </c>
      <c r="AF474" s="2" t="str">
        <f>IF(Source!$C474&gt;=COLUMNS($A474:AF474), Source!$G474, "")</f>
        <v/>
      </c>
      <c r="AG474" s="2" t="str">
        <f>IF(Source!$C474&gt;=COLUMNS($A474:AG474), Source!$G474, "")</f>
        <v/>
      </c>
      <c r="AH474" s="2" t="str">
        <f>IF(Source!$C474&gt;=COLUMNS($A474:AH474), Source!$G474, "")</f>
        <v/>
      </c>
      <c r="AI474" s="2" t="str">
        <f>IF(Source!$C474&gt;=COLUMNS($A474:AI474), Source!$G474, "")</f>
        <v/>
      </c>
      <c r="AJ474" s="2" t="str">
        <f>IF(Source!$C474&gt;=COLUMNS($A474:AJ474), Source!$G474, "")</f>
        <v/>
      </c>
      <c r="AK474" s="2" t="str">
        <f>IF(Source!$C474&gt;=COLUMNS($A474:AK474), Source!$G474, "")</f>
        <v/>
      </c>
      <c r="AL474" s="2" t="str">
        <f>IF(Source!$C474&gt;=COLUMNS($A474:AL474), Source!$G474, "")</f>
        <v/>
      </c>
      <c r="AM474" s="2" t="str">
        <f>IF(Source!$C474&gt;=COLUMNS($A474:AM474), Source!$G474, "")</f>
        <v/>
      </c>
      <c r="AN474" s="2" t="str">
        <f>IF(Source!$C474&gt;=COLUMNS($A474:AN474), Source!$G474, "")</f>
        <v/>
      </c>
      <c r="AO474" s="2" t="str">
        <f>IF(Source!$C474&gt;=COLUMNS($A474:AO474), Source!$G474, "")</f>
        <v/>
      </c>
      <c r="AP474" s="2" t="str">
        <f>IF(Source!$C474&gt;=COLUMNS($A474:AP474), Source!$G474, "")</f>
        <v/>
      </c>
      <c r="AQ474" s="2" t="str">
        <f>IF(Source!$C474&gt;=COLUMNS($A474:AQ474), Source!$G474, "")</f>
        <v/>
      </c>
      <c r="AR474" s="2" t="str">
        <f>IF(Source!$C474&gt;=COLUMNS($A474:AR474), Source!$G474, "")</f>
        <v/>
      </c>
    </row>
    <row r="475">
      <c r="A475" s="2">
        <f>IF(Source!$C475&gt;=COLUMNS($A475:A475), Source!$G475, "")</f>
        <v>3</v>
      </c>
      <c r="B475" s="2">
        <f>IF(Source!$C475&gt;=COLUMNS($A475:B475), Source!$G475, "")</f>
        <v>3</v>
      </c>
      <c r="C475" s="2">
        <f>IF(Source!$C475&gt;=COLUMNS($A475:C475), Source!$G475, "")</f>
        <v>3</v>
      </c>
      <c r="D475" s="2">
        <f>IF(Source!$C475&gt;=COLUMNS($A475:D475), Source!$G475, "")</f>
        <v>3</v>
      </c>
      <c r="E475" s="2">
        <f>IF(Source!$C475&gt;=COLUMNS($A475:E475), Source!$G475, "")</f>
        <v>3</v>
      </c>
      <c r="F475" s="2">
        <f>IF(Source!$C475&gt;=COLUMNS($A475:F475), Source!$G475, "")</f>
        <v>3</v>
      </c>
      <c r="G475" s="2">
        <f>IF(Source!$C475&gt;=COLUMNS($A475:G475), Source!$G475, "")</f>
        <v>3</v>
      </c>
      <c r="H475" s="2">
        <f>IF(Source!$C475&gt;=COLUMNS($A475:H475), Source!$G475, "")</f>
        <v>3</v>
      </c>
      <c r="I475" s="2" t="str">
        <f>IF(Source!$C475&gt;=COLUMNS($A475:I475), Source!$G475, "")</f>
        <v/>
      </c>
      <c r="J475" s="2" t="str">
        <f>IF(Source!$C475&gt;=COLUMNS($A475:J475), Source!$G475, "")</f>
        <v/>
      </c>
      <c r="K475" s="2" t="str">
        <f>IF(Source!$C475&gt;=COLUMNS($A475:K475), Source!$G475, "")</f>
        <v/>
      </c>
      <c r="L475" s="2" t="str">
        <f>IF(Source!$C475&gt;=COLUMNS($A475:L475), Source!$G475, "")</f>
        <v/>
      </c>
      <c r="M475" s="2" t="str">
        <f>IF(Source!$C475&gt;=COLUMNS($A475:M475), Source!$G475, "")</f>
        <v/>
      </c>
      <c r="N475" s="2" t="str">
        <f>IF(Source!$C475&gt;=COLUMNS($A475:N475), Source!$G475, "")</f>
        <v/>
      </c>
      <c r="O475" s="2" t="str">
        <f>IF(Source!$C475&gt;=COLUMNS($A475:O475), Source!$G475, "")</f>
        <v/>
      </c>
      <c r="P475" s="2" t="str">
        <f>IF(Source!$C475&gt;=COLUMNS($A475:P475), Source!$G475, "")</f>
        <v/>
      </c>
      <c r="Q475" s="2" t="str">
        <f>IF(Source!$C475&gt;=COLUMNS($A475:Q475), Source!$G475, "")</f>
        <v/>
      </c>
      <c r="R475" s="2" t="str">
        <f>IF(Source!$C475&gt;=COLUMNS($A475:R475), Source!$G475, "")</f>
        <v/>
      </c>
      <c r="S475" s="2" t="str">
        <f>IF(Source!$C475&gt;=COLUMNS($A475:S475), Source!$G475, "")</f>
        <v/>
      </c>
      <c r="T475" s="2" t="str">
        <f>IF(Source!$C475&gt;=COLUMNS($A475:T475), Source!$G475, "")</f>
        <v/>
      </c>
      <c r="U475" s="2" t="str">
        <f>IF(Source!$C475&gt;=COLUMNS($A475:U475), Source!$G475, "")</f>
        <v/>
      </c>
      <c r="V475" s="2" t="str">
        <f>IF(Source!$C475&gt;=COLUMNS($A475:V475), Source!$G475, "")</f>
        <v/>
      </c>
      <c r="W475" s="2" t="str">
        <f>IF(Source!$C475&gt;=COLUMNS($A475:W475), Source!$G475, "")</f>
        <v/>
      </c>
      <c r="X475" s="2" t="str">
        <f>IF(Source!$C475&gt;=COLUMNS($A475:X475), Source!$G475, "")</f>
        <v/>
      </c>
      <c r="Y475" s="2" t="str">
        <f>IF(Source!$C475&gt;=COLUMNS($A475:Y475), Source!$G475, "")</f>
        <v/>
      </c>
      <c r="Z475" s="2" t="str">
        <f>IF(Source!$C475&gt;=COLUMNS($A475:Z475), Source!$G475, "")</f>
        <v/>
      </c>
      <c r="AA475" s="2" t="str">
        <f>IF(Source!$C475&gt;=COLUMNS($A475:AA475), Source!$G475, "")</f>
        <v/>
      </c>
      <c r="AB475" s="2" t="str">
        <f>IF(Source!$C475&gt;=COLUMNS($A475:AB475), Source!$G475, "")</f>
        <v/>
      </c>
      <c r="AC475" s="2" t="str">
        <f>IF(Source!$C475&gt;=COLUMNS($A475:AC475), Source!$G475, "")</f>
        <v/>
      </c>
      <c r="AD475" s="2" t="str">
        <f>IF(Source!$C475&gt;=COLUMNS($A475:AD475), Source!$G475, "")</f>
        <v/>
      </c>
      <c r="AE475" s="2" t="str">
        <f>IF(Source!$C475&gt;=COLUMNS($A475:AE475), Source!$G475, "")</f>
        <v/>
      </c>
      <c r="AF475" s="2" t="str">
        <f>IF(Source!$C475&gt;=COLUMNS($A475:AF475), Source!$G475, "")</f>
        <v/>
      </c>
      <c r="AG475" s="2" t="str">
        <f>IF(Source!$C475&gt;=COLUMNS($A475:AG475), Source!$G475, "")</f>
        <v/>
      </c>
      <c r="AH475" s="2" t="str">
        <f>IF(Source!$C475&gt;=COLUMNS($A475:AH475), Source!$G475, "")</f>
        <v/>
      </c>
      <c r="AI475" s="2" t="str">
        <f>IF(Source!$C475&gt;=COLUMNS($A475:AI475), Source!$G475, "")</f>
        <v/>
      </c>
      <c r="AJ475" s="2" t="str">
        <f>IF(Source!$C475&gt;=COLUMNS($A475:AJ475), Source!$G475, "")</f>
        <v/>
      </c>
      <c r="AK475" s="2" t="str">
        <f>IF(Source!$C475&gt;=COLUMNS($A475:AK475), Source!$G475, "")</f>
        <v/>
      </c>
      <c r="AL475" s="2" t="str">
        <f>IF(Source!$C475&gt;=COLUMNS($A475:AL475), Source!$G475, "")</f>
        <v/>
      </c>
      <c r="AM475" s="2" t="str">
        <f>IF(Source!$C475&gt;=COLUMNS($A475:AM475), Source!$G475, "")</f>
        <v/>
      </c>
      <c r="AN475" s="2" t="str">
        <f>IF(Source!$C475&gt;=COLUMNS($A475:AN475), Source!$G475, "")</f>
        <v/>
      </c>
      <c r="AO475" s="2" t="str">
        <f>IF(Source!$C475&gt;=COLUMNS($A475:AO475), Source!$G475, "")</f>
        <v/>
      </c>
      <c r="AP475" s="2" t="str">
        <f>IF(Source!$C475&gt;=COLUMNS($A475:AP475), Source!$G475, "")</f>
        <v/>
      </c>
      <c r="AQ475" s="2" t="str">
        <f>IF(Source!$C475&gt;=COLUMNS($A475:AQ475), Source!$G475, "")</f>
        <v/>
      </c>
      <c r="AR475" s="2" t="str">
        <f>IF(Source!$C475&gt;=COLUMNS($A475:AR475), Source!$G475, "")</f>
        <v/>
      </c>
    </row>
    <row r="476">
      <c r="A476" s="2">
        <f>IF(Source!$C476&gt;=COLUMNS($A476:A476), Source!$G476, "")</f>
        <v>8</v>
      </c>
      <c r="B476" s="2">
        <f>IF(Source!$C476&gt;=COLUMNS($A476:B476), Source!$G476, "")</f>
        <v>8</v>
      </c>
      <c r="C476" s="2">
        <f>IF(Source!$C476&gt;=COLUMNS($A476:C476), Source!$G476, "")</f>
        <v>8</v>
      </c>
      <c r="D476" s="2">
        <f>IF(Source!$C476&gt;=COLUMNS($A476:D476), Source!$G476, "")</f>
        <v>8</v>
      </c>
      <c r="E476" s="2">
        <f>IF(Source!$C476&gt;=COLUMNS($A476:E476), Source!$G476, "")</f>
        <v>8</v>
      </c>
      <c r="F476" s="2">
        <f>IF(Source!$C476&gt;=COLUMNS($A476:F476), Source!$G476, "")</f>
        <v>8</v>
      </c>
      <c r="G476" s="2">
        <f>IF(Source!$C476&gt;=COLUMNS($A476:G476), Source!$G476, "")</f>
        <v>8</v>
      </c>
      <c r="H476" s="2">
        <f>IF(Source!$C476&gt;=COLUMNS($A476:H476), Source!$G476, "")</f>
        <v>8</v>
      </c>
      <c r="I476" s="2" t="str">
        <f>IF(Source!$C476&gt;=COLUMNS($A476:I476), Source!$G476, "")</f>
        <v/>
      </c>
      <c r="J476" s="2" t="str">
        <f>IF(Source!$C476&gt;=COLUMNS($A476:J476), Source!$G476, "")</f>
        <v/>
      </c>
      <c r="K476" s="2" t="str">
        <f>IF(Source!$C476&gt;=COLUMNS($A476:K476), Source!$G476, "")</f>
        <v/>
      </c>
      <c r="L476" s="2" t="str">
        <f>IF(Source!$C476&gt;=COLUMNS($A476:L476), Source!$G476, "")</f>
        <v/>
      </c>
      <c r="M476" s="2" t="str">
        <f>IF(Source!$C476&gt;=COLUMNS($A476:M476), Source!$G476, "")</f>
        <v/>
      </c>
      <c r="N476" s="2" t="str">
        <f>IF(Source!$C476&gt;=COLUMNS($A476:N476), Source!$G476, "")</f>
        <v/>
      </c>
      <c r="O476" s="2" t="str">
        <f>IF(Source!$C476&gt;=COLUMNS($A476:O476), Source!$G476, "")</f>
        <v/>
      </c>
      <c r="P476" s="2" t="str">
        <f>IF(Source!$C476&gt;=COLUMNS($A476:P476), Source!$G476, "")</f>
        <v/>
      </c>
      <c r="Q476" s="2" t="str">
        <f>IF(Source!$C476&gt;=COLUMNS($A476:Q476), Source!$G476, "")</f>
        <v/>
      </c>
      <c r="R476" s="2" t="str">
        <f>IF(Source!$C476&gt;=COLUMNS($A476:R476), Source!$G476, "")</f>
        <v/>
      </c>
      <c r="S476" s="2" t="str">
        <f>IF(Source!$C476&gt;=COLUMNS($A476:S476), Source!$G476, "")</f>
        <v/>
      </c>
      <c r="T476" s="2" t="str">
        <f>IF(Source!$C476&gt;=COLUMNS($A476:T476), Source!$G476, "")</f>
        <v/>
      </c>
      <c r="U476" s="2" t="str">
        <f>IF(Source!$C476&gt;=COLUMNS($A476:U476), Source!$G476, "")</f>
        <v/>
      </c>
      <c r="V476" s="2" t="str">
        <f>IF(Source!$C476&gt;=COLUMNS($A476:V476), Source!$G476, "")</f>
        <v/>
      </c>
      <c r="W476" s="2" t="str">
        <f>IF(Source!$C476&gt;=COLUMNS($A476:W476), Source!$G476, "")</f>
        <v/>
      </c>
      <c r="X476" s="2" t="str">
        <f>IF(Source!$C476&gt;=COLUMNS($A476:X476), Source!$G476, "")</f>
        <v/>
      </c>
      <c r="Y476" s="2" t="str">
        <f>IF(Source!$C476&gt;=COLUMNS($A476:Y476), Source!$G476, "")</f>
        <v/>
      </c>
      <c r="Z476" s="2" t="str">
        <f>IF(Source!$C476&gt;=COLUMNS($A476:Z476), Source!$G476, "")</f>
        <v/>
      </c>
      <c r="AA476" s="2" t="str">
        <f>IF(Source!$C476&gt;=COLUMNS($A476:AA476), Source!$G476, "")</f>
        <v/>
      </c>
      <c r="AB476" s="2" t="str">
        <f>IF(Source!$C476&gt;=COLUMNS($A476:AB476), Source!$G476, "")</f>
        <v/>
      </c>
      <c r="AC476" s="2" t="str">
        <f>IF(Source!$C476&gt;=COLUMNS($A476:AC476), Source!$G476, "")</f>
        <v/>
      </c>
      <c r="AD476" s="2" t="str">
        <f>IF(Source!$C476&gt;=COLUMNS($A476:AD476), Source!$G476, "")</f>
        <v/>
      </c>
      <c r="AE476" s="2" t="str">
        <f>IF(Source!$C476&gt;=COLUMNS($A476:AE476), Source!$G476, "")</f>
        <v/>
      </c>
      <c r="AF476" s="2" t="str">
        <f>IF(Source!$C476&gt;=COLUMNS($A476:AF476), Source!$G476, "")</f>
        <v/>
      </c>
      <c r="AG476" s="2" t="str">
        <f>IF(Source!$C476&gt;=COLUMNS($A476:AG476), Source!$G476, "")</f>
        <v/>
      </c>
      <c r="AH476" s="2" t="str">
        <f>IF(Source!$C476&gt;=COLUMNS($A476:AH476), Source!$G476, "")</f>
        <v/>
      </c>
      <c r="AI476" s="2" t="str">
        <f>IF(Source!$C476&gt;=COLUMNS($A476:AI476), Source!$G476, "")</f>
        <v/>
      </c>
      <c r="AJ476" s="2" t="str">
        <f>IF(Source!$C476&gt;=COLUMNS($A476:AJ476), Source!$G476, "")</f>
        <v/>
      </c>
      <c r="AK476" s="2" t="str">
        <f>IF(Source!$C476&gt;=COLUMNS($A476:AK476), Source!$G476, "")</f>
        <v/>
      </c>
      <c r="AL476" s="2" t="str">
        <f>IF(Source!$C476&gt;=COLUMNS($A476:AL476), Source!$G476, "")</f>
        <v/>
      </c>
      <c r="AM476" s="2" t="str">
        <f>IF(Source!$C476&gt;=COLUMNS($A476:AM476), Source!$G476, "")</f>
        <v/>
      </c>
      <c r="AN476" s="2" t="str">
        <f>IF(Source!$C476&gt;=COLUMNS($A476:AN476), Source!$G476, "")</f>
        <v/>
      </c>
      <c r="AO476" s="2" t="str">
        <f>IF(Source!$C476&gt;=COLUMNS($A476:AO476), Source!$G476, "")</f>
        <v/>
      </c>
      <c r="AP476" s="2" t="str">
        <f>IF(Source!$C476&gt;=COLUMNS($A476:AP476), Source!$G476, "")</f>
        <v/>
      </c>
      <c r="AQ476" s="2" t="str">
        <f>IF(Source!$C476&gt;=COLUMNS($A476:AQ476), Source!$G476, "")</f>
        <v/>
      </c>
      <c r="AR476" s="2" t="str">
        <f>IF(Source!$C476&gt;=COLUMNS($A476:AR476), Source!$G476, "")</f>
        <v/>
      </c>
    </row>
    <row r="477">
      <c r="A477" s="2">
        <f>IF(Source!$C477&gt;=COLUMNS($A477:A477), Source!$G477, "")</f>
        <v>4</v>
      </c>
      <c r="B477" s="2" t="str">
        <f>IF(Source!$C477&gt;=COLUMNS($A477:B477), Source!$G477, "")</f>
        <v/>
      </c>
      <c r="C477" s="2" t="str">
        <f>IF(Source!$C477&gt;=COLUMNS($A477:C477), Source!$G477, "")</f>
        <v/>
      </c>
      <c r="D477" s="2" t="str">
        <f>IF(Source!$C477&gt;=COLUMNS($A477:D477), Source!$G477, "")</f>
        <v/>
      </c>
      <c r="E477" s="2" t="str">
        <f>IF(Source!$C477&gt;=COLUMNS($A477:E477), Source!$G477, "")</f>
        <v/>
      </c>
      <c r="F477" s="2" t="str">
        <f>IF(Source!$C477&gt;=COLUMNS($A477:F477), Source!$G477, "")</f>
        <v/>
      </c>
      <c r="G477" s="2" t="str">
        <f>IF(Source!$C477&gt;=COLUMNS($A477:G477), Source!$G477, "")</f>
        <v/>
      </c>
      <c r="H477" s="2" t="str">
        <f>IF(Source!$C477&gt;=COLUMNS($A477:H477), Source!$G477, "")</f>
        <v/>
      </c>
      <c r="I477" s="2" t="str">
        <f>IF(Source!$C477&gt;=COLUMNS($A477:I477), Source!$G477, "")</f>
        <v/>
      </c>
      <c r="J477" s="2" t="str">
        <f>IF(Source!$C477&gt;=COLUMNS($A477:J477), Source!$G477, "")</f>
        <v/>
      </c>
      <c r="K477" s="2" t="str">
        <f>IF(Source!$C477&gt;=COLUMNS($A477:K477), Source!$G477, "")</f>
        <v/>
      </c>
      <c r="L477" s="2" t="str">
        <f>IF(Source!$C477&gt;=COLUMNS($A477:L477), Source!$G477, "")</f>
        <v/>
      </c>
      <c r="M477" s="2" t="str">
        <f>IF(Source!$C477&gt;=COLUMNS($A477:M477), Source!$G477, "")</f>
        <v/>
      </c>
      <c r="N477" s="2" t="str">
        <f>IF(Source!$C477&gt;=COLUMNS($A477:N477), Source!$G477, "")</f>
        <v/>
      </c>
      <c r="O477" s="2" t="str">
        <f>IF(Source!$C477&gt;=COLUMNS($A477:O477), Source!$G477, "")</f>
        <v/>
      </c>
      <c r="P477" s="2" t="str">
        <f>IF(Source!$C477&gt;=COLUMNS($A477:P477), Source!$G477, "")</f>
        <v/>
      </c>
      <c r="Q477" s="2" t="str">
        <f>IF(Source!$C477&gt;=COLUMNS($A477:Q477), Source!$G477, "")</f>
        <v/>
      </c>
      <c r="R477" s="2" t="str">
        <f>IF(Source!$C477&gt;=COLUMNS($A477:R477), Source!$G477, "")</f>
        <v/>
      </c>
      <c r="S477" s="2" t="str">
        <f>IF(Source!$C477&gt;=COLUMNS($A477:S477), Source!$G477, "")</f>
        <v/>
      </c>
      <c r="T477" s="2" t="str">
        <f>IF(Source!$C477&gt;=COLUMNS($A477:T477), Source!$G477, "")</f>
        <v/>
      </c>
      <c r="U477" s="2" t="str">
        <f>IF(Source!$C477&gt;=COLUMNS($A477:U477), Source!$G477, "")</f>
        <v/>
      </c>
      <c r="V477" s="2" t="str">
        <f>IF(Source!$C477&gt;=COLUMNS($A477:V477), Source!$G477, "")</f>
        <v/>
      </c>
      <c r="W477" s="2" t="str">
        <f>IF(Source!$C477&gt;=COLUMNS($A477:W477), Source!$G477, "")</f>
        <v/>
      </c>
      <c r="X477" s="2" t="str">
        <f>IF(Source!$C477&gt;=COLUMNS($A477:X477), Source!$G477, "")</f>
        <v/>
      </c>
      <c r="Y477" s="2" t="str">
        <f>IF(Source!$C477&gt;=COLUMNS($A477:Y477), Source!$G477, "")</f>
        <v/>
      </c>
      <c r="Z477" s="2" t="str">
        <f>IF(Source!$C477&gt;=COLUMNS($A477:Z477), Source!$G477, "")</f>
        <v/>
      </c>
      <c r="AA477" s="2" t="str">
        <f>IF(Source!$C477&gt;=COLUMNS($A477:AA477), Source!$G477, "")</f>
        <v/>
      </c>
      <c r="AB477" s="2" t="str">
        <f>IF(Source!$C477&gt;=COLUMNS($A477:AB477), Source!$G477, "")</f>
        <v/>
      </c>
      <c r="AC477" s="2" t="str">
        <f>IF(Source!$C477&gt;=COLUMNS($A477:AC477), Source!$G477, "")</f>
        <v/>
      </c>
      <c r="AD477" s="2" t="str">
        <f>IF(Source!$C477&gt;=COLUMNS($A477:AD477), Source!$G477, "")</f>
        <v/>
      </c>
      <c r="AE477" s="2" t="str">
        <f>IF(Source!$C477&gt;=COLUMNS($A477:AE477), Source!$G477, "")</f>
        <v/>
      </c>
      <c r="AF477" s="2" t="str">
        <f>IF(Source!$C477&gt;=COLUMNS($A477:AF477), Source!$G477, "")</f>
        <v/>
      </c>
      <c r="AG477" s="2" t="str">
        <f>IF(Source!$C477&gt;=COLUMNS($A477:AG477), Source!$G477, "")</f>
        <v/>
      </c>
      <c r="AH477" s="2" t="str">
        <f>IF(Source!$C477&gt;=COLUMNS($A477:AH477), Source!$G477, "")</f>
        <v/>
      </c>
      <c r="AI477" s="2" t="str">
        <f>IF(Source!$C477&gt;=COLUMNS($A477:AI477), Source!$G477, "")</f>
        <v/>
      </c>
      <c r="AJ477" s="2" t="str">
        <f>IF(Source!$C477&gt;=COLUMNS($A477:AJ477), Source!$G477, "")</f>
        <v/>
      </c>
      <c r="AK477" s="2" t="str">
        <f>IF(Source!$C477&gt;=COLUMNS($A477:AK477), Source!$G477, "")</f>
        <v/>
      </c>
      <c r="AL477" s="2" t="str">
        <f>IF(Source!$C477&gt;=COLUMNS($A477:AL477), Source!$G477, "")</f>
        <v/>
      </c>
      <c r="AM477" s="2" t="str">
        <f>IF(Source!$C477&gt;=COLUMNS($A477:AM477), Source!$G477, "")</f>
        <v/>
      </c>
      <c r="AN477" s="2" t="str">
        <f>IF(Source!$C477&gt;=COLUMNS($A477:AN477), Source!$G477, "")</f>
        <v/>
      </c>
      <c r="AO477" s="2" t="str">
        <f>IF(Source!$C477&gt;=COLUMNS($A477:AO477), Source!$G477, "")</f>
        <v/>
      </c>
      <c r="AP477" s="2" t="str">
        <f>IF(Source!$C477&gt;=COLUMNS($A477:AP477), Source!$G477, "")</f>
        <v/>
      </c>
      <c r="AQ477" s="2" t="str">
        <f>IF(Source!$C477&gt;=COLUMNS($A477:AQ477), Source!$G477, "")</f>
        <v/>
      </c>
      <c r="AR477" s="2" t="str">
        <f>IF(Source!$C477&gt;=COLUMNS($A477:AR477), Source!$G477, "")</f>
        <v/>
      </c>
    </row>
    <row r="478">
      <c r="A478" s="2">
        <f>IF(Source!$C478&gt;=COLUMNS($A478:A478), Source!$G478, "")</f>
        <v>9</v>
      </c>
      <c r="B478" s="2">
        <f>IF(Source!$C478&gt;=COLUMNS($A478:B478), Source!$G478, "")</f>
        <v>9</v>
      </c>
      <c r="C478" s="2">
        <f>IF(Source!$C478&gt;=COLUMNS($A478:C478), Source!$G478, "")</f>
        <v>9</v>
      </c>
      <c r="D478" s="2" t="str">
        <f>IF(Source!$C478&gt;=COLUMNS($A478:D478), Source!$G478, "")</f>
        <v/>
      </c>
      <c r="E478" s="2" t="str">
        <f>IF(Source!$C478&gt;=COLUMNS($A478:E478), Source!$G478, "")</f>
        <v/>
      </c>
      <c r="F478" s="2" t="str">
        <f>IF(Source!$C478&gt;=COLUMNS($A478:F478), Source!$G478, "")</f>
        <v/>
      </c>
      <c r="G478" s="2" t="str">
        <f>IF(Source!$C478&gt;=COLUMNS($A478:G478), Source!$G478, "")</f>
        <v/>
      </c>
      <c r="H478" s="2" t="str">
        <f>IF(Source!$C478&gt;=COLUMNS($A478:H478), Source!$G478, "")</f>
        <v/>
      </c>
      <c r="I478" s="2" t="str">
        <f>IF(Source!$C478&gt;=COLUMNS($A478:I478), Source!$G478, "")</f>
        <v/>
      </c>
      <c r="J478" s="2" t="str">
        <f>IF(Source!$C478&gt;=COLUMNS($A478:J478), Source!$G478, "")</f>
        <v/>
      </c>
      <c r="K478" s="2" t="str">
        <f>IF(Source!$C478&gt;=COLUMNS($A478:K478), Source!$G478, "")</f>
        <v/>
      </c>
      <c r="L478" s="2" t="str">
        <f>IF(Source!$C478&gt;=COLUMNS($A478:L478), Source!$G478, "")</f>
        <v/>
      </c>
      <c r="M478" s="2" t="str">
        <f>IF(Source!$C478&gt;=COLUMNS($A478:M478), Source!$G478, "")</f>
        <v/>
      </c>
      <c r="N478" s="2" t="str">
        <f>IF(Source!$C478&gt;=COLUMNS($A478:N478), Source!$G478, "")</f>
        <v/>
      </c>
      <c r="O478" s="2" t="str">
        <f>IF(Source!$C478&gt;=COLUMNS($A478:O478), Source!$G478, "")</f>
        <v/>
      </c>
      <c r="P478" s="2" t="str">
        <f>IF(Source!$C478&gt;=COLUMNS($A478:P478), Source!$G478, "")</f>
        <v/>
      </c>
      <c r="Q478" s="2" t="str">
        <f>IF(Source!$C478&gt;=COLUMNS($A478:Q478), Source!$G478, "")</f>
        <v/>
      </c>
      <c r="R478" s="2" t="str">
        <f>IF(Source!$C478&gt;=COLUMNS($A478:R478), Source!$G478, "")</f>
        <v/>
      </c>
      <c r="S478" s="2" t="str">
        <f>IF(Source!$C478&gt;=COLUMNS($A478:S478), Source!$G478, "")</f>
        <v/>
      </c>
      <c r="T478" s="2" t="str">
        <f>IF(Source!$C478&gt;=COLUMNS($A478:T478), Source!$G478, "")</f>
        <v/>
      </c>
      <c r="U478" s="2" t="str">
        <f>IF(Source!$C478&gt;=COLUMNS($A478:U478), Source!$G478, "")</f>
        <v/>
      </c>
      <c r="V478" s="2" t="str">
        <f>IF(Source!$C478&gt;=COLUMNS($A478:V478), Source!$G478, "")</f>
        <v/>
      </c>
      <c r="W478" s="2" t="str">
        <f>IF(Source!$C478&gt;=COLUMNS($A478:W478), Source!$G478, "")</f>
        <v/>
      </c>
      <c r="X478" s="2" t="str">
        <f>IF(Source!$C478&gt;=COLUMNS($A478:X478), Source!$G478, "")</f>
        <v/>
      </c>
      <c r="Y478" s="2" t="str">
        <f>IF(Source!$C478&gt;=COLUMNS($A478:Y478), Source!$G478, "")</f>
        <v/>
      </c>
      <c r="Z478" s="2" t="str">
        <f>IF(Source!$C478&gt;=COLUMNS($A478:Z478), Source!$G478, "")</f>
        <v/>
      </c>
      <c r="AA478" s="2" t="str">
        <f>IF(Source!$C478&gt;=COLUMNS($A478:AA478), Source!$G478, "")</f>
        <v/>
      </c>
      <c r="AB478" s="2" t="str">
        <f>IF(Source!$C478&gt;=COLUMNS($A478:AB478), Source!$G478, "")</f>
        <v/>
      </c>
      <c r="AC478" s="2" t="str">
        <f>IF(Source!$C478&gt;=COLUMNS($A478:AC478), Source!$G478, "")</f>
        <v/>
      </c>
      <c r="AD478" s="2" t="str">
        <f>IF(Source!$C478&gt;=COLUMNS($A478:AD478), Source!$G478, "")</f>
        <v/>
      </c>
      <c r="AE478" s="2" t="str">
        <f>IF(Source!$C478&gt;=COLUMNS($A478:AE478), Source!$G478, "")</f>
        <v/>
      </c>
      <c r="AF478" s="2" t="str">
        <f>IF(Source!$C478&gt;=COLUMNS($A478:AF478), Source!$G478, "")</f>
        <v/>
      </c>
      <c r="AG478" s="2" t="str">
        <f>IF(Source!$C478&gt;=COLUMNS($A478:AG478), Source!$G478, "")</f>
        <v/>
      </c>
      <c r="AH478" s="2" t="str">
        <f>IF(Source!$C478&gt;=COLUMNS($A478:AH478), Source!$G478, "")</f>
        <v/>
      </c>
      <c r="AI478" s="2" t="str">
        <f>IF(Source!$C478&gt;=COLUMNS($A478:AI478), Source!$G478, "")</f>
        <v/>
      </c>
      <c r="AJ478" s="2" t="str">
        <f>IF(Source!$C478&gt;=COLUMNS($A478:AJ478), Source!$G478, "")</f>
        <v/>
      </c>
      <c r="AK478" s="2" t="str">
        <f>IF(Source!$C478&gt;=COLUMNS($A478:AK478), Source!$G478, "")</f>
        <v/>
      </c>
      <c r="AL478" s="2" t="str">
        <f>IF(Source!$C478&gt;=COLUMNS($A478:AL478), Source!$G478, "")</f>
        <v/>
      </c>
      <c r="AM478" s="2" t="str">
        <f>IF(Source!$C478&gt;=COLUMNS($A478:AM478), Source!$G478, "")</f>
        <v/>
      </c>
      <c r="AN478" s="2" t="str">
        <f>IF(Source!$C478&gt;=COLUMNS($A478:AN478), Source!$G478, "")</f>
        <v/>
      </c>
      <c r="AO478" s="2" t="str">
        <f>IF(Source!$C478&gt;=COLUMNS($A478:AO478), Source!$G478, "")</f>
        <v/>
      </c>
      <c r="AP478" s="2" t="str">
        <f>IF(Source!$C478&gt;=COLUMNS($A478:AP478), Source!$G478, "")</f>
        <v/>
      </c>
      <c r="AQ478" s="2" t="str">
        <f>IF(Source!$C478&gt;=COLUMNS($A478:AQ478), Source!$G478, "")</f>
        <v/>
      </c>
      <c r="AR478" s="2" t="str">
        <f>IF(Source!$C478&gt;=COLUMNS($A478:AR478), Source!$G478, "")</f>
        <v/>
      </c>
    </row>
    <row r="479">
      <c r="A479" s="2">
        <f>IF(Source!$C479&gt;=COLUMNS($A479:A479), Source!$G479, "")</f>
        <v>1</v>
      </c>
      <c r="B479" s="2">
        <f>IF(Source!$C479&gt;=COLUMNS($A479:B479), Source!$G479, "")</f>
        <v>1</v>
      </c>
      <c r="C479" s="2">
        <f>IF(Source!$C479&gt;=COLUMNS($A479:C479), Source!$G479, "")</f>
        <v>1</v>
      </c>
      <c r="D479" s="2">
        <f>IF(Source!$C479&gt;=COLUMNS($A479:D479), Source!$G479, "")</f>
        <v>1</v>
      </c>
      <c r="E479" s="2" t="str">
        <f>IF(Source!$C479&gt;=COLUMNS($A479:E479), Source!$G479, "")</f>
        <v/>
      </c>
      <c r="F479" s="2" t="str">
        <f>IF(Source!$C479&gt;=COLUMNS($A479:F479), Source!$G479, "")</f>
        <v/>
      </c>
      <c r="G479" s="2" t="str">
        <f>IF(Source!$C479&gt;=COLUMNS($A479:G479), Source!$G479, "")</f>
        <v/>
      </c>
      <c r="H479" s="2" t="str">
        <f>IF(Source!$C479&gt;=COLUMNS($A479:H479), Source!$G479, "")</f>
        <v/>
      </c>
      <c r="I479" s="2" t="str">
        <f>IF(Source!$C479&gt;=COLUMNS($A479:I479), Source!$G479, "")</f>
        <v/>
      </c>
      <c r="J479" s="2" t="str">
        <f>IF(Source!$C479&gt;=COLUMNS($A479:J479), Source!$G479, "")</f>
        <v/>
      </c>
      <c r="K479" s="2" t="str">
        <f>IF(Source!$C479&gt;=COLUMNS($A479:K479), Source!$G479, "")</f>
        <v/>
      </c>
      <c r="L479" s="2" t="str">
        <f>IF(Source!$C479&gt;=COLUMNS($A479:L479), Source!$G479, "")</f>
        <v/>
      </c>
      <c r="M479" s="2" t="str">
        <f>IF(Source!$C479&gt;=COLUMNS($A479:M479), Source!$G479, "")</f>
        <v/>
      </c>
      <c r="N479" s="2" t="str">
        <f>IF(Source!$C479&gt;=COLUMNS($A479:N479), Source!$G479, "")</f>
        <v/>
      </c>
      <c r="O479" s="2" t="str">
        <f>IF(Source!$C479&gt;=COLUMNS($A479:O479), Source!$G479, "")</f>
        <v/>
      </c>
      <c r="P479" s="2" t="str">
        <f>IF(Source!$C479&gt;=COLUMNS($A479:P479), Source!$G479, "")</f>
        <v/>
      </c>
      <c r="Q479" s="2" t="str">
        <f>IF(Source!$C479&gt;=COLUMNS($A479:Q479), Source!$G479, "")</f>
        <v/>
      </c>
      <c r="R479" s="2" t="str">
        <f>IF(Source!$C479&gt;=COLUMNS($A479:R479), Source!$G479, "")</f>
        <v/>
      </c>
      <c r="S479" s="2" t="str">
        <f>IF(Source!$C479&gt;=COLUMNS($A479:S479), Source!$G479, "")</f>
        <v/>
      </c>
      <c r="T479" s="2" t="str">
        <f>IF(Source!$C479&gt;=COLUMNS($A479:T479), Source!$G479, "")</f>
        <v/>
      </c>
      <c r="U479" s="2" t="str">
        <f>IF(Source!$C479&gt;=COLUMNS($A479:U479), Source!$G479, "")</f>
        <v/>
      </c>
      <c r="V479" s="2" t="str">
        <f>IF(Source!$C479&gt;=COLUMNS($A479:V479), Source!$G479, "")</f>
        <v/>
      </c>
      <c r="W479" s="2" t="str">
        <f>IF(Source!$C479&gt;=COLUMNS($A479:W479), Source!$G479, "")</f>
        <v/>
      </c>
      <c r="X479" s="2" t="str">
        <f>IF(Source!$C479&gt;=COLUMNS($A479:X479), Source!$G479, "")</f>
        <v/>
      </c>
      <c r="Y479" s="2" t="str">
        <f>IF(Source!$C479&gt;=COLUMNS($A479:Y479), Source!$G479, "")</f>
        <v/>
      </c>
      <c r="Z479" s="2" t="str">
        <f>IF(Source!$C479&gt;=COLUMNS($A479:Z479), Source!$G479, "")</f>
        <v/>
      </c>
      <c r="AA479" s="2" t="str">
        <f>IF(Source!$C479&gt;=COLUMNS($A479:AA479), Source!$G479, "")</f>
        <v/>
      </c>
      <c r="AB479" s="2" t="str">
        <f>IF(Source!$C479&gt;=COLUMNS($A479:AB479), Source!$G479, "")</f>
        <v/>
      </c>
      <c r="AC479" s="2" t="str">
        <f>IF(Source!$C479&gt;=COLUMNS($A479:AC479), Source!$G479, "")</f>
        <v/>
      </c>
      <c r="AD479" s="2" t="str">
        <f>IF(Source!$C479&gt;=COLUMNS($A479:AD479), Source!$G479, "")</f>
        <v/>
      </c>
      <c r="AE479" s="2" t="str">
        <f>IF(Source!$C479&gt;=COLUMNS($A479:AE479), Source!$G479, "")</f>
        <v/>
      </c>
      <c r="AF479" s="2" t="str">
        <f>IF(Source!$C479&gt;=COLUMNS($A479:AF479), Source!$G479, "")</f>
        <v/>
      </c>
      <c r="AG479" s="2" t="str">
        <f>IF(Source!$C479&gt;=COLUMNS($A479:AG479), Source!$G479, "")</f>
        <v/>
      </c>
      <c r="AH479" s="2" t="str">
        <f>IF(Source!$C479&gt;=COLUMNS($A479:AH479), Source!$G479, "")</f>
        <v/>
      </c>
      <c r="AI479" s="2" t="str">
        <f>IF(Source!$C479&gt;=COLUMNS($A479:AI479), Source!$G479, "")</f>
        <v/>
      </c>
      <c r="AJ479" s="2" t="str">
        <f>IF(Source!$C479&gt;=COLUMNS($A479:AJ479), Source!$G479, "")</f>
        <v/>
      </c>
      <c r="AK479" s="2" t="str">
        <f>IF(Source!$C479&gt;=COLUMNS($A479:AK479), Source!$G479, "")</f>
        <v/>
      </c>
      <c r="AL479" s="2" t="str">
        <f>IF(Source!$C479&gt;=COLUMNS($A479:AL479), Source!$G479, "")</f>
        <v/>
      </c>
      <c r="AM479" s="2" t="str">
        <f>IF(Source!$C479&gt;=COLUMNS($A479:AM479), Source!$G479, "")</f>
        <v/>
      </c>
      <c r="AN479" s="2" t="str">
        <f>IF(Source!$C479&gt;=COLUMNS($A479:AN479), Source!$G479, "")</f>
        <v/>
      </c>
      <c r="AO479" s="2" t="str">
        <f>IF(Source!$C479&gt;=COLUMNS($A479:AO479), Source!$G479, "")</f>
        <v/>
      </c>
      <c r="AP479" s="2" t="str">
        <f>IF(Source!$C479&gt;=COLUMNS($A479:AP479), Source!$G479, "")</f>
        <v/>
      </c>
      <c r="AQ479" s="2" t="str">
        <f>IF(Source!$C479&gt;=COLUMNS($A479:AQ479), Source!$G479, "")</f>
        <v/>
      </c>
      <c r="AR479" s="2" t="str">
        <f>IF(Source!$C479&gt;=COLUMNS($A479:AR479), Source!$G479, "")</f>
        <v/>
      </c>
    </row>
    <row r="480">
      <c r="A480" s="2">
        <f>IF(Source!$C480&gt;=COLUMNS($A480:A480), Source!$G480, "")</f>
        <v>9</v>
      </c>
      <c r="B480" s="2" t="str">
        <f>IF(Source!$C480&gt;=COLUMNS($A480:B480), Source!$G480, "")</f>
        <v/>
      </c>
      <c r="C480" s="2" t="str">
        <f>IF(Source!$C480&gt;=COLUMNS($A480:C480), Source!$G480, "")</f>
        <v/>
      </c>
      <c r="D480" s="2" t="str">
        <f>IF(Source!$C480&gt;=COLUMNS($A480:D480), Source!$G480, "")</f>
        <v/>
      </c>
      <c r="E480" s="2" t="str">
        <f>IF(Source!$C480&gt;=COLUMNS($A480:E480), Source!$G480, "")</f>
        <v/>
      </c>
      <c r="F480" s="2" t="str">
        <f>IF(Source!$C480&gt;=COLUMNS($A480:F480), Source!$G480, "")</f>
        <v/>
      </c>
      <c r="G480" s="2" t="str">
        <f>IF(Source!$C480&gt;=COLUMNS($A480:G480), Source!$G480, "")</f>
        <v/>
      </c>
      <c r="H480" s="2" t="str">
        <f>IF(Source!$C480&gt;=COLUMNS($A480:H480), Source!$G480, "")</f>
        <v/>
      </c>
      <c r="I480" s="2" t="str">
        <f>IF(Source!$C480&gt;=COLUMNS($A480:I480), Source!$G480, "")</f>
        <v/>
      </c>
      <c r="J480" s="2" t="str">
        <f>IF(Source!$C480&gt;=COLUMNS($A480:J480), Source!$G480, "")</f>
        <v/>
      </c>
      <c r="K480" s="2" t="str">
        <f>IF(Source!$C480&gt;=COLUMNS($A480:K480), Source!$G480, "")</f>
        <v/>
      </c>
      <c r="L480" s="2" t="str">
        <f>IF(Source!$C480&gt;=COLUMNS($A480:L480), Source!$G480, "")</f>
        <v/>
      </c>
      <c r="M480" s="2" t="str">
        <f>IF(Source!$C480&gt;=COLUMNS($A480:M480), Source!$G480, "")</f>
        <v/>
      </c>
      <c r="N480" s="2" t="str">
        <f>IF(Source!$C480&gt;=COLUMNS($A480:N480), Source!$G480, "")</f>
        <v/>
      </c>
      <c r="O480" s="2" t="str">
        <f>IF(Source!$C480&gt;=COLUMNS($A480:O480), Source!$G480, "")</f>
        <v/>
      </c>
      <c r="P480" s="2" t="str">
        <f>IF(Source!$C480&gt;=COLUMNS($A480:P480), Source!$G480, "")</f>
        <v/>
      </c>
      <c r="Q480" s="2" t="str">
        <f>IF(Source!$C480&gt;=COLUMNS($A480:Q480), Source!$G480, "")</f>
        <v/>
      </c>
      <c r="R480" s="2" t="str">
        <f>IF(Source!$C480&gt;=COLUMNS($A480:R480), Source!$G480, "")</f>
        <v/>
      </c>
      <c r="S480" s="2" t="str">
        <f>IF(Source!$C480&gt;=COLUMNS($A480:S480), Source!$G480, "")</f>
        <v/>
      </c>
      <c r="T480" s="2" t="str">
        <f>IF(Source!$C480&gt;=COLUMNS($A480:T480), Source!$G480, "")</f>
        <v/>
      </c>
      <c r="U480" s="2" t="str">
        <f>IF(Source!$C480&gt;=COLUMNS($A480:U480), Source!$G480, "")</f>
        <v/>
      </c>
      <c r="V480" s="2" t="str">
        <f>IF(Source!$C480&gt;=COLUMNS($A480:V480), Source!$G480, "")</f>
        <v/>
      </c>
      <c r="W480" s="2" t="str">
        <f>IF(Source!$C480&gt;=COLUMNS($A480:W480), Source!$G480, "")</f>
        <v/>
      </c>
      <c r="X480" s="2" t="str">
        <f>IF(Source!$C480&gt;=COLUMNS($A480:X480), Source!$G480, "")</f>
        <v/>
      </c>
      <c r="Y480" s="2" t="str">
        <f>IF(Source!$C480&gt;=COLUMNS($A480:Y480), Source!$G480, "")</f>
        <v/>
      </c>
      <c r="Z480" s="2" t="str">
        <f>IF(Source!$C480&gt;=COLUMNS($A480:Z480), Source!$G480, "")</f>
        <v/>
      </c>
      <c r="AA480" s="2" t="str">
        <f>IF(Source!$C480&gt;=COLUMNS($A480:AA480), Source!$G480, "")</f>
        <v/>
      </c>
      <c r="AB480" s="2" t="str">
        <f>IF(Source!$C480&gt;=COLUMNS($A480:AB480), Source!$G480, "")</f>
        <v/>
      </c>
      <c r="AC480" s="2" t="str">
        <f>IF(Source!$C480&gt;=COLUMNS($A480:AC480), Source!$G480, "")</f>
        <v/>
      </c>
      <c r="AD480" s="2" t="str">
        <f>IF(Source!$C480&gt;=COLUMNS($A480:AD480), Source!$G480, "")</f>
        <v/>
      </c>
      <c r="AE480" s="2" t="str">
        <f>IF(Source!$C480&gt;=COLUMNS($A480:AE480), Source!$G480, "")</f>
        <v/>
      </c>
      <c r="AF480" s="2" t="str">
        <f>IF(Source!$C480&gt;=COLUMNS($A480:AF480), Source!$G480, "")</f>
        <v/>
      </c>
      <c r="AG480" s="2" t="str">
        <f>IF(Source!$C480&gt;=COLUMNS($A480:AG480), Source!$G480, "")</f>
        <v/>
      </c>
      <c r="AH480" s="2" t="str">
        <f>IF(Source!$C480&gt;=COLUMNS($A480:AH480), Source!$G480, "")</f>
        <v/>
      </c>
      <c r="AI480" s="2" t="str">
        <f>IF(Source!$C480&gt;=COLUMNS($A480:AI480), Source!$G480, "")</f>
        <v/>
      </c>
      <c r="AJ480" s="2" t="str">
        <f>IF(Source!$C480&gt;=COLUMNS($A480:AJ480), Source!$G480, "")</f>
        <v/>
      </c>
      <c r="AK480" s="2" t="str">
        <f>IF(Source!$C480&gt;=COLUMNS($A480:AK480), Source!$G480, "")</f>
        <v/>
      </c>
      <c r="AL480" s="2" t="str">
        <f>IF(Source!$C480&gt;=COLUMNS($A480:AL480), Source!$G480, "")</f>
        <v/>
      </c>
      <c r="AM480" s="2" t="str">
        <f>IF(Source!$C480&gt;=COLUMNS($A480:AM480), Source!$G480, "")</f>
        <v/>
      </c>
      <c r="AN480" s="2" t="str">
        <f>IF(Source!$C480&gt;=COLUMNS($A480:AN480), Source!$G480, "")</f>
        <v/>
      </c>
      <c r="AO480" s="2" t="str">
        <f>IF(Source!$C480&gt;=COLUMNS($A480:AO480), Source!$G480, "")</f>
        <v/>
      </c>
      <c r="AP480" s="2" t="str">
        <f>IF(Source!$C480&gt;=COLUMNS($A480:AP480), Source!$G480, "")</f>
        <v/>
      </c>
      <c r="AQ480" s="2" t="str">
        <f>IF(Source!$C480&gt;=COLUMNS($A480:AQ480), Source!$G480, "")</f>
        <v/>
      </c>
      <c r="AR480" s="2" t="str">
        <f>IF(Source!$C480&gt;=COLUMNS($A480:AR480), Source!$G480, "")</f>
        <v/>
      </c>
    </row>
    <row r="481">
      <c r="A481" s="2">
        <f>IF(Source!$C481&gt;=COLUMNS($A481:A481), Source!$G481, "")</f>
        <v>3</v>
      </c>
      <c r="B481" s="2">
        <f>IF(Source!$C481&gt;=COLUMNS($A481:B481), Source!$G481, "")</f>
        <v>3</v>
      </c>
      <c r="C481" s="2" t="str">
        <f>IF(Source!$C481&gt;=COLUMNS($A481:C481), Source!$G481, "")</f>
        <v/>
      </c>
      <c r="D481" s="2" t="str">
        <f>IF(Source!$C481&gt;=COLUMNS($A481:D481), Source!$G481, "")</f>
        <v/>
      </c>
      <c r="E481" s="2" t="str">
        <f>IF(Source!$C481&gt;=COLUMNS($A481:E481), Source!$G481, "")</f>
        <v/>
      </c>
      <c r="F481" s="2" t="str">
        <f>IF(Source!$C481&gt;=COLUMNS($A481:F481), Source!$G481, "")</f>
        <v/>
      </c>
      <c r="G481" s="2" t="str">
        <f>IF(Source!$C481&gt;=COLUMNS($A481:G481), Source!$G481, "")</f>
        <v/>
      </c>
      <c r="H481" s="2" t="str">
        <f>IF(Source!$C481&gt;=COLUMNS($A481:H481), Source!$G481, "")</f>
        <v/>
      </c>
      <c r="I481" s="2" t="str">
        <f>IF(Source!$C481&gt;=COLUMNS($A481:I481), Source!$G481, "")</f>
        <v/>
      </c>
      <c r="J481" s="2" t="str">
        <f>IF(Source!$C481&gt;=COLUMNS($A481:J481), Source!$G481, "")</f>
        <v/>
      </c>
      <c r="K481" s="2" t="str">
        <f>IF(Source!$C481&gt;=COLUMNS($A481:K481), Source!$G481, "")</f>
        <v/>
      </c>
      <c r="L481" s="2" t="str">
        <f>IF(Source!$C481&gt;=COLUMNS($A481:L481), Source!$G481, "")</f>
        <v/>
      </c>
      <c r="M481" s="2" t="str">
        <f>IF(Source!$C481&gt;=COLUMNS($A481:M481), Source!$G481, "")</f>
        <v/>
      </c>
      <c r="N481" s="2" t="str">
        <f>IF(Source!$C481&gt;=COLUMNS($A481:N481), Source!$G481, "")</f>
        <v/>
      </c>
      <c r="O481" s="2" t="str">
        <f>IF(Source!$C481&gt;=COLUMNS($A481:O481), Source!$G481, "")</f>
        <v/>
      </c>
      <c r="P481" s="2" t="str">
        <f>IF(Source!$C481&gt;=COLUMNS($A481:P481), Source!$G481, "")</f>
        <v/>
      </c>
      <c r="Q481" s="2" t="str">
        <f>IF(Source!$C481&gt;=COLUMNS($A481:Q481), Source!$G481, "")</f>
        <v/>
      </c>
      <c r="R481" s="2" t="str">
        <f>IF(Source!$C481&gt;=COLUMNS($A481:R481), Source!$G481, "")</f>
        <v/>
      </c>
      <c r="S481" s="2" t="str">
        <f>IF(Source!$C481&gt;=COLUMNS($A481:S481), Source!$G481, "")</f>
        <v/>
      </c>
      <c r="T481" s="2" t="str">
        <f>IF(Source!$C481&gt;=COLUMNS($A481:T481), Source!$G481, "")</f>
        <v/>
      </c>
      <c r="U481" s="2" t="str">
        <f>IF(Source!$C481&gt;=COLUMNS($A481:U481), Source!$G481, "")</f>
        <v/>
      </c>
      <c r="V481" s="2" t="str">
        <f>IF(Source!$C481&gt;=COLUMNS($A481:V481), Source!$G481, "")</f>
        <v/>
      </c>
      <c r="W481" s="2" t="str">
        <f>IF(Source!$C481&gt;=COLUMNS($A481:W481), Source!$G481, "")</f>
        <v/>
      </c>
      <c r="X481" s="2" t="str">
        <f>IF(Source!$C481&gt;=COLUMNS($A481:X481), Source!$G481, "")</f>
        <v/>
      </c>
      <c r="Y481" s="2" t="str">
        <f>IF(Source!$C481&gt;=COLUMNS($A481:Y481), Source!$G481, "")</f>
        <v/>
      </c>
      <c r="Z481" s="2" t="str">
        <f>IF(Source!$C481&gt;=COLUMNS($A481:Z481), Source!$G481, "")</f>
        <v/>
      </c>
      <c r="AA481" s="2" t="str">
        <f>IF(Source!$C481&gt;=COLUMNS($A481:AA481), Source!$G481, "")</f>
        <v/>
      </c>
      <c r="AB481" s="2" t="str">
        <f>IF(Source!$C481&gt;=COLUMNS($A481:AB481), Source!$G481, "")</f>
        <v/>
      </c>
      <c r="AC481" s="2" t="str">
        <f>IF(Source!$C481&gt;=COLUMNS($A481:AC481), Source!$G481, "")</f>
        <v/>
      </c>
      <c r="AD481" s="2" t="str">
        <f>IF(Source!$C481&gt;=COLUMNS($A481:AD481), Source!$G481, "")</f>
        <v/>
      </c>
      <c r="AE481" s="2" t="str">
        <f>IF(Source!$C481&gt;=COLUMNS($A481:AE481), Source!$G481, "")</f>
        <v/>
      </c>
      <c r="AF481" s="2" t="str">
        <f>IF(Source!$C481&gt;=COLUMNS($A481:AF481), Source!$G481, "")</f>
        <v/>
      </c>
      <c r="AG481" s="2" t="str">
        <f>IF(Source!$C481&gt;=COLUMNS($A481:AG481), Source!$G481, "")</f>
        <v/>
      </c>
      <c r="AH481" s="2" t="str">
        <f>IF(Source!$C481&gt;=COLUMNS($A481:AH481), Source!$G481, "")</f>
        <v/>
      </c>
      <c r="AI481" s="2" t="str">
        <f>IF(Source!$C481&gt;=COLUMNS($A481:AI481), Source!$G481, "")</f>
        <v/>
      </c>
      <c r="AJ481" s="2" t="str">
        <f>IF(Source!$C481&gt;=COLUMNS($A481:AJ481), Source!$G481, "")</f>
        <v/>
      </c>
      <c r="AK481" s="2" t="str">
        <f>IF(Source!$C481&gt;=COLUMNS($A481:AK481), Source!$G481, "")</f>
        <v/>
      </c>
      <c r="AL481" s="2" t="str">
        <f>IF(Source!$C481&gt;=COLUMNS($A481:AL481), Source!$G481, "")</f>
        <v/>
      </c>
      <c r="AM481" s="2" t="str">
        <f>IF(Source!$C481&gt;=COLUMNS($A481:AM481), Source!$G481, "")</f>
        <v/>
      </c>
      <c r="AN481" s="2" t="str">
        <f>IF(Source!$C481&gt;=COLUMNS($A481:AN481), Source!$G481, "")</f>
        <v/>
      </c>
      <c r="AO481" s="2" t="str">
        <f>IF(Source!$C481&gt;=COLUMNS($A481:AO481), Source!$G481, "")</f>
        <v/>
      </c>
      <c r="AP481" s="2" t="str">
        <f>IF(Source!$C481&gt;=COLUMNS($A481:AP481), Source!$G481, "")</f>
        <v/>
      </c>
      <c r="AQ481" s="2" t="str">
        <f>IF(Source!$C481&gt;=COLUMNS($A481:AQ481), Source!$G481, "")</f>
        <v/>
      </c>
      <c r="AR481" s="2" t="str">
        <f>IF(Source!$C481&gt;=COLUMNS($A481:AR481), Source!$G481, "")</f>
        <v/>
      </c>
    </row>
    <row r="482">
      <c r="A482" s="2">
        <f>IF(Source!$C482&gt;=COLUMNS($A482:A482), Source!$G482, "")</f>
        <v>6</v>
      </c>
      <c r="B482" s="2">
        <f>IF(Source!$C482&gt;=COLUMNS($A482:B482), Source!$G482, "")</f>
        <v>6</v>
      </c>
      <c r="C482" s="2" t="str">
        <f>IF(Source!$C482&gt;=COLUMNS($A482:C482), Source!$G482, "")</f>
        <v/>
      </c>
      <c r="D482" s="2" t="str">
        <f>IF(Source!$C482&gt;=COLUMNS($A482:D482), Source!$G482, "")</f>
        <v/>
      </c>
      <c r="E482" s="2" t="str">
        <f>IF(Source!$C482&gt;=COLUMNS($A482:E482), Source!$G482, "")</f>
        <v/>
      </c>
      <c r="F482" s="2" t="str">
        <f>IF(Source!$C482&gt;=COLUMNS($A482:F482), Source!$G482, "")</f>
        <v/>
      </c>
      <c r="G482" s="2" t="str">
        <f>IF(Source!$C482&gt;=COLUMNS($A482:G482), Source!$G482, "")</f>
        <v/>
      </c>
      <c r="H482" s="2" t="str">
        <f>IF(Source!$C482&gt;=COLUMNS($A482:H482), Source!$G482, "")</f>
        <v/>
      </c>
      <c r="I482" s="2" t="str">
        <f>IF(Source!$C482&gt;=COLUMNS($A482:I482), Source!$G482, "")</f>
        <v/>
      </c>
      <c r="J482" s="2" t="str">
        <f>IF(Source!$C482&gt;=COLUMNS($A482:J482), Source!$G482, "")</f>
        <v/>
      </c>
      <c r="K482" s="2" t="str">
        <f>IF(Source!$C482&gt;=COLUMNS($A482:K482), Source!$G482, "")</f>
        <v/>
      </c>
      <c r="L482" s="2" t="str">
        <f>IF(Source!$C482&gt;=COLUMNS($A482:L482), Source!$G482, "")</f>
        <v/>
      </c>
      <c r="M482" s="2" t="str">
        <f>IF(Source!$C482&gt;=COLUMNS($A482:M482), Source!$G482, "")</f>
        <v/>
      </c>
      <c r="N482" s="2" t="str">
        <f>IF(Source!$C482&gt;=COLUMNS($A482:N482), Source!$G482, "")</f>
        <v/>
      </c>
      <c r="O482" s="2" t="str">
        <f>IF(Source!$C482&gt;=COLUMNS($A482:O482), Source!$G482, "")</f>
        <v/>
      </c>
      <c r="P482" s="2" t="str">
        <f>IF(Source!$C482&gt;=COLUMNS($A482:P482), Source!$G482, "")</f>
        <v/>
      </c>
      <c r="Q482" s="2" t="str">
        <f>IF(Source!$C482&gt;=COLUMNS($A482:Q482), Source!$G482, "")</f>
        <v/>
      </c>
      <c r="R482" s="2" t="str">
        <f>IF(Source!$C482&gt;=COLUMNS($A482:R482), Source!$G482, "")</f>
        <v/>
      </c>
      <c r="S482" s="2" t="str">
        <f>IF(Source!$C482&gt;=COLUMNS($A482:S482), Source!$G482, "")</f>
        <v/>
      </c>
      <c r="T482" s="2" t="str">
        <f>IF(Source!$C482&gt;=COLUMNS($A482:T482), Source!$G482, "")</f>
        <v/>
      </c>
      <c r="U482" s="2" t="str">
        <f>IF(Source!$C482&gt;=COLUMNS($A482:U482), Source!$G482, "")</f>
        <v/>
      </c>
      <c r="V482" s="2" t="str">
        <f>IF(Source!$C482&gt;=COLUMNS($A482:V482), Source!$G482, "")</f>
        <v/>
      </c>
      <c r="W482" s="2" t="str">
        <f>IF(Source!$C482&gt;=COLUMNS($A482:W482), Source!$G482, "")</f>
        <v/>
      </c>
      <c r="X482" s="2" t="str">
        <f>IF(Source!$C482&gt;=COLUMNS($A482:X482), Source!$G482, "")</f>
        <v/>
      </c>
      <c r="Y482" s="2" t="str">
        <f>IF(Source!$C482&gt;=COLUMNS($A482:Y482), Source!$G482, "")</f>
        <v/>
      </c>
      <c r="Z482" s="2" t="str">
        <f>IF(Source!$C482&gt;=COLUMNS($A482:Z482), Source!$G482, "")</f>
        <v/>
      </c>
      <c r="AA482" s="2" t="str">
        <f>IF(Source!$C482&gt;=COLUMNS($A482:AA482), Source!$G482, "")</f>
        <v/>
      </c>
      <c r="AB482" s="2" t="str">
        <f>IF(Source!$C482&gt;=COLUMNS($A482:AB482), Source!$G482, "")</f>
        <v/>
      </c>
      <c r="AC482" s="2" t="str">
        <f>IF(Source!$C482&gt;=COLUMNS($A482:AC482), Source!$G482, "")</f>
        <v/>
      </c>
      <c r="AD482" s="2" t="str">
        <f>IF(Source!$C482&gt;=COLUMNS($A482:AD482), Source!$G482, "")</f>
        <v/>
      </c>
      <c r="AE482" s="2" t="str">
        <f>IF(Source!$C482&gt;=COLUMNS($A482:AE482), Source!$G482, "")</f>
        <v/>
      </c>
      <c r="AF482" s="2" t="str">
        <f>IF(Source!$C482&gt;=COLUMNS($A482:AF482), Source!$G482, "")</f>
        <v/>
      </c>
      <c r="AG482" s="2" t="str">
        <f>IF(Source!$C482&gt;=COLUMNS($A482:AG482), Source!$G482, "")</f>
        <v/>
      </c>
      <c r="AH482" s="2" t="str">
        <f>IF(Source!$C482&gt;=COLUMNS($A482:AH482), Source!$G482, "")</f>
        <v/>
      </c>
      <c r="AI482" s="2" t="str">
        <f>IF(Source!$C482&gt;=COLUMNS($A482:AI482), Source!$G482, "")</f>
        <v/>
      </c>
      <c r="AJ482" s="2" t="str">
        <f>IF(Source!$C482&gt;=COLUMNS($A482:AJ482), Source!$G482, "")</f>
        <v/>
      </c>
      <c r="AK482" s="2" t="str">
        <f>IF(Source!$C482&gt;=COLUMNS($A482:AK482), Source!$G482, "")</f>
        <v/>
      </c>
      <c r="AL482" s="2" t="str">
        <f>IF(Source!$C482&gt;=COLUMNS($A482:AL482), Source!$G482, "")</f>
        <v/>
      </c>
      <c r="AM482" s="2" t="str">
        <f>IF(Source!$C482&gt;=COLUMNS($A482:AM482), Source!$G482, "")</f>
        <v/>
      </c>
      <c r="AN482" s="2" t="str">
        <f>IF(Source!$C482&gt;=COLUMNS($A482:AN482), Source!$G482, "")</f>
        <v/>
      </c>
      <c r="AO482" s="2" t="str">
        <f>IF(Source!$C482&gt;=COLUMNS($A482:AO482), Source!$G482, "")</f>
        <v/>
      </c>
      <c r="AP482" s="2" t="str">
        <f>IF(Source!$C482&gt;=COLUMNS($A482:AP482), Source!$G482, "")</f>
        <v/>
      </c>
      <c r="AQ482" s="2" t="str">
        <f>IF(Source!$C482&gt;=COLUMNS($A482:AQ482), Source!$G482, "")</f>
        <v/>
      </c>
      <c r="AR482" s="2" t="str">
        <f>IF(Source!$C482&gt;=COLUMNS($A482:AR482), Source!$G482, "")</f>
        <v/>
      </c>
    </row>
    <row r="483">
      <c r="A483" s="2">
        <f>IF(Source!$C483&gt;=COLUMNS($A483:A483), Source!$G483, "")</f>
        <v>7</v>
      </c>
      <c r="B483" s="2">
        <f>IF(Source!$C483&gt;=COLUMNS($A483:B483), Source!$G483, "")</f>
        <v>7</v>
      </c>
      <c r="C483" s="2">
        <f>IF(Source!$C483&gt;=COLUMNS($A483:C483), Source!$G483, "")</f>
        <v>7</v>
      </c>
      <c r="D483" s="2" t="str">
        <f>IF(Source!$C483&gt;=COLUMNS($A483:D483), Source!$G483, "")</f>
        <v/>
      </c>
      <c r="E483" s="2" t="str">
        <f>IF(Source!$C483&gt;=COLUMNS($A483:E483), Source!$G483, "")</f>
        <v/>
      </c>
      <c r="F483" s="2" t="str">
        <f>IF(Source!$C483&gt;=COLUMNS($A483:F483), Source!$G483, "")</f>
        <v/>
      </c>
      <c r="G483" s="2" t="str">
        <f>IF(Source!$C483&gt;=COLUMNS($A483:G483), Source!$G483, "")</f>
        <v/>
      </c>
      <c r="H483" s="2" t="str">
        <f>IF(Source!$C483&gt;=COLUMNS($A483:H483), Source!$G483, "")</f>
        <v/>
      </c>
      <c r="I483" s="2" t="str">
        <f>IF(Source!$C483&gt;=COLUMNS($A483:I483), Source!$G483, "")</f>
        <v/>
      </c>
      <c r="J483" s="2" t="str">
        <f>IF(Source!$C483&gt;=COLUMNS($A483:J483), Source!$G483, "")</f>
        <v/>
      </c>
      <c r="K483" s="2" t="str">
        <f>IF(Source!$C483&gt;=COLUMNS($A483:K483), Source!$G483, "")</f>
        <v/>
      </c>
      <c r="L483" s="2" t="str">
        <f>IF(Source!$C483&gt;=COLUMNS($A483:L483), Source!$G483, "")</f>
        <v/>
      </c>
      <c r="M483" s="2" t="str">
        <f>IF(Source!$C483&gt;=COLUMNS($A483:M483), Source!$G483, "")</f>
        <v/>
      </c>
      <c r="N483" s="2" t="str">
        <f>IF(Source!$C483&gt;=COLUMNS($A483:N483), Source!$G483, "")</f>
        <v/>
      </c>
      <c r="O483" s="2" t="str">
        <f>IF(Source!$C483&gt;=COLUMNS($A483:O483), Source!$G483, "")</f>
        <v/>
      </c>
      <c r="P483" s="2" t="str">
        <f>IF(Source!$C483&gt;=COLUMNS($A483:P483), Source!$G483, "")</f>
        <v/>
      </c>
      <c r="Q483" s="2" t="str">
        <f>IF(Source!$C483&gt;=COLUMNS($A483:Q483), Source!$G483, "")</f>
        <v/>
      </c>
      <c r="R483" s="2" t="str">
        <f>IF(Source!$C483&gt;=COLUMNS($A483:R483), Source!$G483, "")</f>
        <v/>
      </c>
      <c r="S483" s="2" t="str">
        <f>IF(Source!$C483&gt;=COLUMNS($A483:S483), Source!$G483, "")</f>
        <v/>
      </c>
      <c r="T483" s="2" t="str">
        <f>IF(Source!$C483&gt;=COLUMNS($A483:T483), Source!$G483, "")</f>
        <v/>
      </c>
      <c r="U483" s="2" t="str">
        <f>IF(Source!$C483&gt;=COLUMNS($A483:U483), Source!$G483, "")</f>
        <v/>
      </c>
      <c r="V483" s="2" t="str">
        <f>IF(Source!$C483&gt;=COLUMNS($A483:V483), Source!$G483, "")</f>
        <v/>
      </c>
      <c r="W483" s="2" t="str">
        <f>IF(Source!$C483&gt;=COLUMNS($A483:W483), Source!$G483, "")</f>
        <v/>
      </c>
      <c r="X483" s="2" t="str">
        <f>IF(Source!$C483&gt;=COLUMNS($A483:X483), Source!$G483, "")</f>
        <v/>
      </c>
      <c r="Y483" s="2" t="str">
        <f>IF(Source!$C483&gt;=COLUMNS($A483:Y483), Source!$G483, "")</f>
        <v/>
      </c>
      <c r="Z483" s="2" t="str">
        <f>IF(Source!$C483&gt;=COLUMNS($A483:Z483), Source!$G483, "")</f>
        <v/>
      </c>
      <c r="AA483" s="2" t="str">
        <f>IF(Source!$C483&gt;=COLUMNS($A483:AA483), Source!$G483, "")</f>
        <v/>
      </c>
      <c r="AB483" s="2" t="str">
        <f>IF(Source!$C483&gt;=COLUMNS($A483:AB483), Source!$G483, "")</f>
        <v/>
      </c>
      <c r="AC483" s="2" t="str">
        <f>IF(Source!$C483&gt;=COLUMNS($A483:AC483), Source!$G483, "")</f>
        <v/>
      </c>
      <c r="AD483" s="2" t="str">
        <f>IF(Source!$C483&gt;=COLUMNS($A483:AD483), Source!$G483, "")</f>
        <v/>
      </c>
      <c r="AE483" s="2" t="str">
        <f>IF(Source!$C483&gt;=COLUMNS($A483:AE483), Source!$G483, "")</f>
        <v/>
      </c>
      <c r="AF483" s="2" t="str">
        <f>IF(Source!$C483&gt;=COLUMNS($A483:AF483), Source!$G483, "")</f>
        <v/>
      </c>
      <c r="AG483" s="2" t="str">
        <f>IF(Source!$C483&gt;=COLUMNS($A483:AG483), Source!$G483, "")</f>
        <v/>
      </c>
      <c r="AH483" s="2" t="str">
        <f>IF(Source!$C483&gt;=COLUMNS($A483:AH483), Source!$G483, "")</f>
        <v/>
      </c>
      <c r="AI483" s="2" t="str">
        <f>IF(Source!$C483&gt;=COLUMNS($A483:AI483), Source!$G483, "")</f>
        <v/>
      </c>
      <c r="AJ483" s="2" t="str">
        <f>IF(Source!$C483&gt;=COLUMNS($A483:AJ483), Source!$G483, "")</f>
        <v/>
      </c>
      <c r="AK483" s="2" t="str">
        <f>IF(Source!$C483&gt;=COLUMNS($A483:AK483), Source!$G483, "")</f>
        <v/>
      </c>
      <c r="AL483" s="2" t="str">
        <f>IF(Source!$C483&gt;=COLUMNS($A483:AL483), Source!$G483, "")</f>
        <v/>
      </c>
      <c r="AM483" s="2" t="str">
        <f>IF(Source!$C483&gt;=COLUMNS($A483:AM483), Source!$G483, "")</f>
        <v/>
      </c>
      <c r="AN483" s="2" t="str">
        <f>IF(Source!$C483&gt;=COLUMNS($A483:AN483), Source!$G483, "")</f>
        <v/>
      </c>
      <c r="AO483" s="2" t="str">
        <f>IF(Source!$C483&gt;=COLUMNS($A483:AO483), Source!$G483, "")</f>
        <v/>
      </c>
      <c r="AP483" s="2" t="str">
        <f>IF(Source!$C483&gt;=COLUMNS($A483:AP483), Source!$G483, "")</f>
        <v/>
      </c>
      <c r="AQ483" s="2" t="str">
        <f>IF(Source!$C483&gt;=COLUMNS($A483:AQ483), Source!$G483, "")</f>
        <v/>
      </c>
      <c r="AR483" s="2" t="str">
        <f>IF(Source!$C483&gt;=COLUMNS($A483:AR483), Source!$G483, "")</f>
        <v/>
      </c>
    </row>
    <row r="484">
      <c r="A484" s="2">
        <f>IF(Source!$C484&gt;=COLUMNS($A484:A484), Source!$G484, "")</f>
        <v>5</v>
      </c>
      <c r="B484" s="2">
        <f>IF(Source!$C484&gt;=COLUMNS($A484:B484), Source!$G484, "")</f>
        <v>5</v>
      </c>
      <c r="C484" s="2">
        <f>IF(Source!$C484&gt;=COLUMNS($A484:C484), Source!$G484, "")</f>
        <v>5</v>
      </c>
      <c r="D484" s="2">
        <f>IF(Source!$C484&gt;=COLUMNS($A484:D484), Source!$G484, "")</f>
        <v>5</v>
      </c>
      <c r="E484" s="2">
        <f>IF(Source!$C484&gt;=COLUMNS($A484:E484), Source!$G484, "")</f>
        <v>5</v>
      </c>
      <c r="F484" s="2">
        <f>IF(Source!$C484&gt;=COLUMNS($A484:F484), Source!$G484, "")</f>
        <v>5</v>
      </c>
      <c r="G484" s="2">
        <f>IF(Source!$C484&gt;=COLUMNS($A484:G484), Source!$G484, "")</f>
        <v>5</v>
      </c>
      <c r="H484" s="2">
        <f>IF(Source!$C484&gt;=COLUMNS($A484:H484), Source!$G484, "")</f>
        <v>5</v>
      </c>
      <c r="I484" s="2" t="str">
        <f>IF(Source!$C484&gt;=COLUMNS($A484:I484), Source!$G484, "")</f>
        <v/>
      </c>
      <c r="J484" s="2" t="str">
        <f>IF(Source!$C484&gt;=COLUMNS($A484:J484), Source!$G484, "")</f>
        <v/>
      </c>
      <c r="K484" s="2" t="str">
        <f>IF(Source!$C484&gt;=COLUMNS($A484:K484), Source!$G484, "")</f>
        <v/>
      </c>
      <c r="L484" s="2" t="str">
        <f>IF(Source!$C484&gt;=COLUMNS($A484:L484), Source!$G484, "")</f>
        <v/>
      </c>
      <c r="M484" s="2" t="str">
        <f>IF(Source!$C484&gt;=COLUMNS($A484:M484), Source!$G484, "")</f>
        <v/>
      </c>
      <c r="N484" s="2" t="str">
        <f>IF(Source!$C484&gt;=COLUMNS($A484:N484), Source!$G484, "")</f>
        <v/>
      </c>
      <c r="O484" s="2" t="str">
        <f>IF(Source!$C484&gt;=COLUMNS($A484:O484), Source!$G484, "")</f>
        <v/>
      </c>
      <c r="P484" s="2" t="str">
        <f>IF(Source!$C484&gt;=COLUMNS($A484:P484), Source!$G484, "")</f>
        <v/>
      </c>
      <c r="Q484" s="2" t="str">
        <f>IF(Source!$C484&gt;=COLUMNS($A484:Q484), Source!$G484, "")</f>
        <v/>
      </c>
      <c r="R484" s="2" t="str">
        <f>IF(Source!$C484&gt;=COLUMNS($A484:R484), Source!$G484, "")</f>
        <v/>
      </c>
      <c r="S484" s="2" t="str">
        <f>IF(Source!$C484&gt;=COLUMNS($A484:S484), Source!$G484, "")</f>
        <v/>
      </c>
      <c r="T484" s="2" t="str">
        <f>IF(Source!$C484&gt;=COLUMNS($A484:T484), Source!$G484, "")</f>
        <v/>
      </c>
      <c r="U484" s="2" t="str">
        <f>IF(Source!$C484&gt;=COLUMNS($A484:U484), Source!$G484, "")</f>
        <v/>
      </c>
      <c r="V484" s="2" t="str">
        <f>IF(Source!$C484&gt;=COLUMNS($A484:V484), Source!$G484, "")</f>
        <v/>
      </c>
      <c r="W484" s="2" t="str">
        <f>IF(Source!$C484&gt;=COLUMNS($A484:W484), Source!$G484, "")</f>
        <v/>
      </c>
      <c r="X484" s="2" t="str">
        <f>IF(Source!$C484&gt;=COLUMNS($A484:X484), Source!$G484, "")</f>
        <v/>
      </c>
      <c r="Y484" s="2" t="str">
        <f>IF(Source!$C484&gt;=COLUMNS($A484:Y484), Source!$G484, "")</f>
        <v/>
      </c>
      <c r="Z484" s="2" t="str">
        <f>IF(Source!$C484&gt;=COLUMNS($A484:Z484), Source!$G484, "")</f>
        <v/>
      </c>
      <c r="AA484" s="2" t="str">
        <f>IF(Source!$C484&gt;=COLUMNS($A484:AA484), Source!$G484, "")</f>
        <v/>
      </c>
      <c r="AB484" s="2" t="str">
        <f>IF(Source!$C484&gt;=COLUMNS($A484:AB484), Source!$G484, "")</f>
        <v/>
      </c>
      <c r="AC484" s="2" t="str">
        <f>IF(Source!$C484&gt;=COLUMNS($A484:AC484), Source!$G484, "")</f>
        <v/>
      </c>
      <c r="AD484" s="2" t="str">
        <f>IF(Source!$C484&gt;=COLUMNS($A484:AD484), Source!$G484, "")</f>
        <v/>
      </c>
      <c r="AE484" s="2" t="str">
        <f>IF(Source!$C484&gt;=COLUMNS($A484:AE484), Source!$G484, "")</f>
        <v/>
      </c>
      <c r="AF484" s="2" t="str">
        <f>IF(Source!$C484&gt;=COLUMNS($A484:AF484), Source!$G484, "")</f>
        <v/>
      </c>
      <c r="AG484" s="2" t="str">
        <f>IF(Source!$C484&gt;=COLUMNS($A484:AG484), Source!$G484, "")</f>
        <v/>
      </c>
      <c r="AH484" s="2" t="str">
        <f>IF(Source!$C484&gt;=COLUMNS($A484:AH484), Source!$G484, "")</f>
        <v/>
      </c>
      <c r="AI484" s="2" t="str">
        <f>IF(Source!$C484&gt;=COLUMNS($A484:AI484), Source!$G484, "")</f>
        <v/>
      </c>
      <c r="AJ484" s="2" t="str">
        <f>IF(Source!$C484&gt;=COLUMNS($A484:AJ484), Source!$G484, "")</f>
        <v/>
      </c>
      <c r="AK484" s="2" t="str">
        <f>IF(Source!$C484&gt;=COLUMNS($A484:AK484), Source!$G484, "")</f>
        <v/>
      </c>
      <c r="AL484" s="2" t="str">
        <f>IF(Source!$C484&gt;=COLUMNS($A484:AL484), Source!$G484, "")</f>
        <v/>
      </c>
      <c r="AM484" s="2" t="str">
        <f>IF(Source!$C484&gt;=COLUMNS($A484:AM484), Source!$G484, "")</f>
        <v/>
      </c>
      <c r="AN484" s="2" t="str">
        <f>IF(Source!$C484&gt;=COLUMNS($A484:AN484), Source!$G484, "")</f>
        <v/>
      </c>
      <c r="AO484" s="2" t="str">
        <f>IF(Source!$C484&gt;=COLUMNS($A484:AO484), Source!$G484, "")</f>
        <v/>
      </c>
      <c r="AP484" s="2" t="str">
        <f>IF(Source!$C484&gt;=COLUMNS($A484:AP484), Source!$G484, "")</f>
        <v/>
      </c>
      <c r="AQ484" s="2" t="str">
        <f>IF(Source!$C484&gt;=COLUMNS($A484:AQ484), Source!$G484, "")</f>
        <v/>
      </c>
      <c r="AR484" s="2" t="str">
        <f>IF(Source!$C484&gt;=COLUMNS($A484:AR484), Source!$G484, "")</f>
        <v/>
      </c>
    </row>
    <row r="485">
      <c r="A485" s="2">
        <f>IF(Source!$C485&gt;=COLUMNS($A485:A485), Source!$G485, "")</f>
        <v>2</v>
      </c>
      <c r="B485" s="2">
        <f>IF(Source!$C485&gt;=COLUMNS($A485:B485), Source!$G485, "")</f>
        <v>2</v>
      </c>
      <c r="C485" s="2">
        <f>IF(Source!$C485&gt;=COLUMNS($A485:C485), Source!$G485, "")</f>
        <v>2</v>
      </c>
      <c r="D485" s="2" t="str">
        <f>IF(Source!$C485&gt;=COLUMNS($A485:D485), Source!$G485, "")</f>
        <v/>
      </c>
      <c r="E485" s="2" t="str">
        <f>IF(Source!$C485&gt;=COLUMNS($A485:E485), Source!$G485, "")</f>
        <v/>
      </c>
      <c r="F485" s="2" t="str">
        <f>IF(Source!$C485&gt;=COLUMNS($A485:F485), Source!$G485, "")</f>
        <v/>
      </c>
      <c r="G485" s="2" t="str">
        <f>IF(Source!$C485&gt;=COLUMNS($A485:G485), Source!$G485, "")</f>
        <v/>
      </c>
      <c r="H485" s="2" t="str">
        <f>IF(Source!$C485&gt;=COLUMNS($A485:H485), Source!$G485, "")</f>
        <v/>
      </c>
      <c r="I485" s="2" t="str">
        <f>IF(Source!$C485&gt;=COLUMNS($A485:I485), Source!$G485, "")</f>
        <v/>
      </c>
      <c r="J485" s="2" t="str">
        <f>IF(Source!$C485&gt;=COLUMNS($A485:J485), Source!$G485, "")</f>
        <v/>
      </c>
      <c r="K485" s="2" t="str">
        <f>IF(Source!$C485&gt;=COLUMNS($A485:K485), Source!$G485, "")</f>
        <v/>
      </c>
      <c r="L485" s="2" t="str">
        <f>IF(Source!$C485&gt;=COLUMNS($A485:L485), Source!$G485, "")</f>
        <v/>
      </c>
      <c r="M485" s="2" t="str">
        <f>IF(Source!$C485&gt;=COLUMNS($A485:M485), Source!$G485, "")</f>
        <v/>
      </c>
      <c r="N485" s="2" t="str">
        <f>IF(Source!$C485&gt;=COLUMNS($A485:N485), Source!$G485, "")</f>
        <v/>
      </c>
      <c r="O485" s="2" t="str">
        <f>IF(Source!$C485&gt;=COLUMNS($A485:O485), Source!$G485, "")</f>
        <v/>
      </c>
      <c r="P485" s="2" t="str">
        <f>IF(Source!$C485&gt;=COLUMNS($A485:P485), Source!$G485, "")</f>
        <v/>
      </c>
      <c r="Q485" s="2" t="str">
        <f>IF(Source!$C485&gt;=COLUMNS($A485:Q485), Source!$G485, "")</f>
        <v/>
      </c>
      <c r="R485" s="2" t="str">
        <f>IF(Source!$C485&gt;=COLUMNS($A485:R485), Source!$G485, "")</f>
        <v/>
      </c>
      <c r="S485" s="2" t="str">
        <f>IF(Source!$C485&gt;=COLUMNS($A485:S485), Source!$G485, "")</f>
        <v/>
      </c>
      <c r="T485" s="2" t="str">
        <f>IF(Source!$C485&gt;=COLUMNS($A485:T485), Source!$G485, "")</f>
        <v/>
      </c>
      <c r="U485" s="2" t="str">
        <f>IF(Source!$C485&gt;=COLUMNS($A485:U485), Source!$G485, "")</f>
        <v/>
      </c>
      <c r="V485" s="2" t="str">
        <f>IF(Source!$C485&gt;=COLUMNS($A485:V485), Source!$G485, "")</f>
        <v/>
      </c>
      <c r="W485" s="2" t="str">
        <f>IF(Source!$C485&gt;=COLUMNS($A485:W485), Source!$G485, "")</f>
        <v/>
      </c>
      <c r="X485" s="2" t="str">
        <f>IF(Source!$C485&gt;=COLUMNS($A485:X485), Source!$G485, "")</f>
        <v/>
      </c>
      <c r="Y485" s="2" t="str">
        <f>IF(Source!$C485&gt;=COLUMNS($A485:Y485), Source!$G485, "")</f>
        <v/>
      </c>
      <c r="Z485" s="2" t="str">
        <f>IF(Source!$C485&gt;=COLUMNS($A485:Z485), Source!$G485, "")</f>
        <v/>
      </c>
      <c r="AA485" s="2" t="str">
        <f>IF(Source!$C485&gt;=COLUMNS($A485:AA485), Source!$G485, "")</f>
        <v/>
      </c>
      <c r="AB485" s="2" t="str">
        <f>IF(Source!$C485&gt;=COLUMNS($A485:AB485), Source!$G485, "")</f>
        <v/>
      </c>
      <c r="AC485" s="2" t="str">
        <f>IF(Source!$C485&gt;=COLUMNS($A485:AC485), Source!$G485, "")</f>
        <v/>
      </c>
      <c r="AD485" s="2" t="str">
        <f>IF(Source!$C485&gt;=COLUMNS($A485:AD485), Source!$G485, "")</f>
        <v/>
      </c>
      <c r="AE485" s="2" t="str">
        <f>IF(Source!$C485&gt;=COLUMNS($A485:AE485), Source!$G485, "")</f>
        <v/>
      </c>
      <c r="AF485" s="2" t="str">
        <f>IF(Source!$C485&gt;=COLUMNS($A485:AF485), Source!$G485, "")</f>
        <v/>
      </c>
      <c r="AG485" s="2" t="str">
        <f>IF(Source!$C485&gt;=COLUMNS($A485:AG485), Source!$G485, "")</f>
        <v/>
      </c>
      <c r="AH485" s="2" t="str">
        <f>IF(Source!$C485&gt;=COLUMNS($A485:AH485), Source!$G485, "")</f>
        <v/>
      </c>
      <c r="AI485" s="2" t="str">
        <f>IF(Source!$C485&gt;=COLUMNS($A485:AI485), Source!$G485, "")</f>
        <v/>
      </c>
      <c r="AJ485" s="2" t="str">
        <f>IF(Source!$C485&gt;=COLUMNS($A485:AJ485), Source!$G485, "")</f>
        <v/>
      </c>
      <c r="AK485" s="2" t="str">
        <f>IF(Source!$C485&gt;=COLUMNS($A485:AK485), Source!$G485, "")</f>
        <v/>
      </c>
      <c r="AL485" s="2" t="str">
        <f>IF(Source!$C485&gt;=COLUMNS($A485:AL485), Source!$G485, "")</f>
        <v/>
      </c>
      <c r="AM485" s="2" t="str">
        <f>IF(Source!$C485&gt;=COLUMNS($A485:AM485), Source!$G485, "")</f>
        <v/>
      </c>
      <c r="AN485" s="2" t="str">
        <f>IF(Source!$C485&gt;=COLUMNS($A485:AN485), Source!$G485, "")</f>
        <v/>
      </c>
      <c r="AO485" s="2" t="str">
        <f>IF(Source!$C485&gt;=COLUMNS($A485:AO485), Source!$G485, "")</f>
        <v/>
      </c>
      <c r="AP485" s="2" t="str">
        <f>IF(Source!$C485&gt;=COLUMNS($A485:AP485), Source!$G485, "")</f>
        <v/>
      </c>
      <c r="AQ485" s="2" t="str">
        <f>IF(Source!$C485&gt;=COLUMNS($A485:AQ485), Source!$G485, "")</f>
        <v/>
      </c>
      <c r="AR485" s="2" t="str">
        <f>IF(Source!$C485&gt;=COLUMNS($A485:AR485), Source!$G485, "")</f>
        <v/>
      </c>
    </row>
    <row r="486">
      <c r="A486" s="2">
        <f>IF(Source!$C486&gt;=COLUMNS($A486:A486), Source!$G486, "")</f>
        <v>4</v>
      </c>
      <c r="B486" s="2">
        <f>IF(Source!$C486&gt;=COLUMNS($A486:B486), Source!$G486, "")</f>
        <v>4</v>
      </c>
      <c r="C486" s="2">
        <f>IF(Source!$C486&gt;=COLUMNS($A486:C486), Source!$G486, "")</f>
        <v>4</v>
      </c>
      <c r="D486" s="2">
        <f>IF(Source!$C486&gt;=COLUMNS($A486:D486), Source!$G486, "")</f>
        <v>4</v>
      </c>
      <c r="E486" s="2" t="str">
        <f>IF(Source!$C486&gt;=COLUMNS($A486:E486), Source!$G486, "")</f>
        <v/>
      </c>
      <c r="F486" s="2" t="str">
        <f>IF(Source!$C486&gt;=COLUMNS($A486:F486), Source!$G486, "")</f>
        <v/>
      </c>
      <c r="G486" s="2" t="str">
        <f>IF(Source!$C486&gt;=COLUMNS($A486:G486), Source!$G486, "")</f>
        <v/>
      </c>
      <c r="H486" s="2" t="str">
        <f>IF(Source!$C486&gt;=COLUMNS($A486:H486), Source!$G486, "")</f>
        <v/>
      </c>
      <c r="I486" s="2" t="str">
        <f>IF(Source!$C486&gt;=COLUMNS($A486:I486), Source!$G486, "")</f>
        <v/>
      </c>
      <c r="J486" s="2" t="str">
        <f>IF(Source!$C486&gt;=COLUMNS($A486:J486), Source!$G486, "")</f>
        <v/>
      </c>
      <c r="K486" s="2" t="str">
        <f>IF(Source!$C486&gt;=COLUMNS($A486:K486), Source!$G486, "")</f>
        <v/>
      </c>
      <c r="L486" s="2" t="str">
        <f>IF(Source!$C486&gt;=COLUMNS($A486:L486), Source!$G486, "")</f>
        <v/>
      </c>
      <c r="M486" s="2" t="str">
        <f>IF(Source!$C486&gt;=COLUMNS($A486:M486), Source!$G486, "")</f>
        <v/>
      </c>
      <c r="N486" s="2" t="str">
        <f>IF(Source!$C486&gt;=COLUMNS($A486:N486), Source!$G486, "")</f>
        <v/>
      </c>
      <c r="O486" s="2" t="str">
        <f>IF(Source!$C486&gt;=COLUMNS($A486:O486), Source!$G486, "")</f>
        <v/>
      </c>
      <c r="P486" s="2" t="str">
        <f>IF(Source!$C486&gt;=COLUMNS($A486:P486), Source!$G486, "")</f>
        <v/>
      </c>
      <c r="Q486" s="2" t="str">
        <f>IF(Source!$C486&gt;=COLUMNS($A486:Q486), Source!$G486, "")</f>
        <v/>
      </c>
      <c r="R486" s="2" t="str">
        <f>IF(Source!$C486&gt;=COLUMNS($A486:R486), Source!$G486, "")</f>
        <v/>
      </c>
      <c r="S486" s="2" t="str">
        <f>IF(Source!$C486&gt;=COLUMNS($A486:S486), Source!$G486, "")</f>
        <v/>
      </c>
      <c r="T486" s="2" t="str">
        <f>IF(Source!$C486&gt;=COLUMNS($A486:T486), Source!$G486, "")</f>
        <v/>
      </c>
      <c r="U486" s="2" t="str">
        <f>IF(Source!$C486&gt;=COLUMNS($A486:U486), Source!$G486, "")</f>
        <v/>
      </c>
      <c r="V486" s="2" t="str">
        <f>IF(Source!$C486&gt;=COLUMNS($A486:V486), Source!$G486, "")</f>
        <v/>
      </c>
      <c r="W486" s="2" t="str">
        <f>IF(Source!$C486&gt;=COLUMNS($A486:W486), Source!$G486, "")</f>
        <v/>
      </c>
      <c r="X486" s="2" t="str">
        <f>IF(Source!$C486&gt;=COLUMNS($A486:X486), Source!$G486, "")</f>
        <v/>
      </c>
      <c r="Y486" s="2" t="str">
        <f>IF(Source!$C486&gt;=COLUMNS($A486:Y486), Source!$G486, "")</f>
        <v/>
      </c>
      <c r="Z486" s="2" t="str">
        <f>IF(Source!$C486&gt;=COLUMNS($A486:Z486), Source!$G486, "")</f>
        <v/>
      </c>
      <c r="AA486" s="2" t="str">
        <f>IF(Source!$C486&gt;=COLUMNS($A486:AA486), Source!$G486, "")</f>
        <v/>
      </c>
      <c r="AB486" s="2" t="str">
        <f>IF(Source!$C486&gt;=COLUMNS($A486:AB486), Source!$G486, "")</f>
        <v/>
      </c>
      <c r="AC486" s="2" t="str">
        <f>IF(Source!$C486&gt;=COLUMNS($A486:AC486), Source!$G486, "")</f>
        <v/>
      </c>
      <c r="AD486" s="2" t="str">
        <f>IF(Source!$C486&gt;=COLUMNS($A486:AD486), Source!$G486, "")</f>
        <v/>
      </c>
      <c r="AE486" s="2" t="str">
        <f>IF(Source!$C486&gt;=COLUMNS($A486:AE486), Source!$G486, "")</f>
        <v/>
      </c>
      <c r="AF486" s="2" t="str">
        <f>IF(Source!$C486&gt;=COLUMNS($A486:AF486), Source!$G486, "")</f>
        <v/>
      </c>
      <c r="AG486" s="2" t="str">
        <f>IF(Source!$C486&gt;=COLUMNS($A486:AG486), Source!$G486, "")</f>
        <v/>
      </c>
      <c r="AH486" s="2" t="str">
        <f>IF(Source!$C486&gt;=COLUMNS($A486:AH486), Source!$G486, "")</f>
        <v/>
      </c>
      <c r="AI486" s="2" t="str">
        <f>IF(Source!$C486&gt;=COLUMNS($A486:AI486), Source!$G486, "")</f>
        <v/>
      </c>
      <c r="AJ486" s="2" t="str">
        <f>IF(Source!$C486&gt;=COLUMNS($A486:AJ486), Source!$G486, "")</f>
        <v/>
      </c>
      <c r="AK486" s="2" t="str">
        <f>IF(Source!$C486&gt;=COLUMNS($A486:AK486), Source!$G486, "")</f>
        <v/>
      </c>
      <c r="AL486" s="2" t="str">
        <f>IF(Source!$C486&gt;=COLUMNS($A486:AL486), Source!$G486, "")</f>
        <v/>
      </c>
      <c r="AM486" s="2" t="str">
        <f>IF(Source!$C486&gt;=COLUMNS($A486:AM486), Source!$G486, "")</f>
        <v/>
      </c>
      <c r="AN486" s="2" t="str">
        <f>IF(Source!$C486&gt;=COLUMNS($A486:AN486), Source!$G486, "")</f>
        <v/>
      </c>
      <c r="AO486" s="2" t="str">
        <f>IF(Source!$C486&gt;=COLUMNS($A486:AO486), Source!$G486, "")</f>
        <v/>
      </c>
      <c r="AP486" s="2" t="str">
        <f>IF(Source!$C486&gt;=COLUMNS($A486:AP486), Source!$G486, "")</f>
        <v/>
      </c>
      <c r="AQ486" s="2" t="str">
        <f>IF(Source!$C486&gt;=COLUMNS($A486:AQ486), Source!$G486, "")</f>
        <v/>
      </c>
      <c r="AR486" s="2" t="str">
        <f>IF(Source!$C486&gt;=COLUMNS($A486:AR486), Source!$G486, "")</f>
        <v/>
      </c>
    </row>
    <row r="487">
      <c r="A487" s="2">
        <f>IF(Source!$C487&gt;=COLUMNS($A487:A487), Source!$G487, "")</f>
        <v>1</v>
      </c>
      <c r="B487" s="2">
        <f>IF(Source!$C487&gt;=COLUMNS($A487:B487), Source!$G487, "")</f>
        <v>1</v>
      </c>
      <c r="C487" s="2">
        <f>IF(Source!$C487&gt;=COLUMNS($A487:C487), Source!$G487, "")</f>
        <v>1</v>
      </c>
      <c r="D487" s="2" t="str">
        <f>IF(Source!$C487&gt;=COLUMNS($A487:D487), Source!$G487, "")</f>
        <v/>
      </c>
      <c r="E487" s="2" t="str">
        <f>IF(Source!$C487&gt;=COLUMNS($A487:E487), Source!$G487, "")</f>
        <v/>
      </c>
      <c r="F487" s="2" t="str">
        <f>IF(Source!$C487&gt;=COLUMNS($A487:F487), Source!$G487, "")</f>
        <v/>
      </c>
      <c r="G487" s="2" t="str">
        <f>IF(Source!$C487&gt;=COLUMNS($A487:G487), Source!$G487, "")</f>
        <v/>
      </c>
      <c r="H487" s="2" t="str">
        <f>IF(Source!$C487&gt;=COLUMNS($A487:H487), Source!$G487, "")</f>
        <v/>
      </c>
      <c r="I487" s="2" t="str">
        <f>IF(Source!$C487&gt;=COLUMNS($A487:I487), Source!$G487, "")</f>
        <v/>
      </c>
      <c r="J487" s="2" t="str">
        <f>IF(Source!$C487&gt;=COLUMNS($A487:J487), Source!$G487, "")</f>
        <v/>
      </c>
      <c r="K487" s="2" t="str">
        <f>IF(Source!$C487&gt;=COLUMNS($A487:K487), Source!$G487, "")</f>
        <v/>
      </c>
      <c r="L487" s="2" t="str">
        <f>IF(Source!$C487&gt;=COLUMNS($A487:L487), Source!$G487, "")</f>
        <v/>
      </c>
      <c r="M487" s="2" t="str">
        <f>IF(Source!$C487&gt;=COLUMNS($A487:M487), Source!$G487, "")</f>
        <v/>
      </c>
      <c r="N487" s="2" t="str">
        <f>IF(Source!$C487&gt;=COLUMNS($A487:N487), Source!$G487, "")</f>
        <v/>
      </c>
      <c r="O487" s="2" t="str">
        <f>IF(Source!$C487&gt;=COLUMNS($A487:O487), Source!$G487, "")</f>
        <v/>
      </c>
      <c r="P487" s="2" t="str">
        <f>IF(Source!$C487&gt;=COLUMNS($A487:P487), Source!$G487, "")</f>
        <v/>
      </c>
      <c r="Q487" s="2" t="str">
        <f>IF(Source!$C487&gt;=COLUMNS($A487:Q487), Source!$G487, "")</f>
        <v/>
      </c>
      <c r="R487" s="2" t="str">
        <f>IF(Source!$C487&gt;=COLUMNS($A487:R487), Source!$G487, "")</f>
        <v/>
      </c>
      <c r="S487" s="2" t="str">
        <f>IF(Source!$C487&gt;=COLUMNS($A487:S487), Source!$G487, "")</f>
        <v/>
      </c>
      <c r="T487" s="2" t="str">
        <f>IF(Source!$C487&gt;=COLUMNS($A487:T487), Source!$G487, "")</f>
        <v/>
      </c>
      <c r="U487" s="2" t="str">
        <f>IF(Source!$C487&gt;=COLUMNS($A487:U487), Source!$G487, "")</f>
        <v/>
      </c>
      <c r="V487" s="2" t="str">
        <f>IF(Source!$C487&gt;=COLUMNS($A487:V487), Source!$G487, "")</f>
        <v/>
      </c>
      <c r="W487" s="2" t="str">
        <f>IF(Source!$C487&gt;=COLUMNS($A487:W487), Source!$G487, "")</f>
        <v/>
      </c>
      <c r="X487" s="2" t="str">
        <f>IF(Source!$C487&gt;=COLUMNS($A487:X487), Source!$G487, "")</f>
        <v/>
      </c>
      <c r="Y487" s="2" t="str">
        <f>IF(Source!$C487&gt;=COLUMNS($A487:Y487), Source!$G487, "")</f>
        <v/>
      </c>
      <c r="Z487" s="2" t="str">
        <f>IF(Source!$C487&gt;=COLUMNS($A487:Z487), Source!$G487, "")</f>
        <v/>
      </c>
      <c r="AA487" s="2" t="str">
        <f>IF(Source!$C487&gt;=COLUMNS($A487:AA487), Source!$G487, "")</f>
        <v/>
      </c>
      <c r="AB487" s="2" t="str">
        <f>IF(Source!$C487&gt;=COLUMNS($A487:AB487), Source!$G487, "")</f>
        <v/>
      </c>
      <c r="AC487" s="2" t="str">
        <f>IF(Source!$C487&gt;=COLUMNS($A487:AC487), Source!$G487, "")</f>
        <v/>
      </c>
      <c r="AD487" s="2" t="str">
        <f>IF(Source!$C487&gt;=COLUMNS($A487:AD487), Source!$G487, "")</f>
        <v/>
      </c>
      <c r="AE487" s="2" t="str">
        <f>IF(Source!$C487&gt;=COLUMNS($A487:AE487), Source!$G487, "")</f>
        <v/>
      </c>
      <c r="AF487" s="2" t="str">
        <f>IF(Source!$C487&gt;=COLUMNS($A487:AF487), Source!$G487, "")</f>
        <v/>
      </c>
      <c r="AG487" s="2" t="str">
        <f>IF(Source!$C487&gt;=COLUMNS($A487:AG487), Source!$G487, "")</f>
        <v/>
      </c>
      <c r="AH487" s="2" t="str">
        <f>IF(Source!$C487&gt;=COLUMNS($A487:AH487), Source!$G487, "")</f>
        <v/>
      </c>
      <c r="AI487" s="2" t="str">
        <f>IF(Source!$C487&gt;=COLUMNS($A487:AI487), Source!$G487, "")</f>
        <v/>
      </c>
      <c r="AJ487" s="2" t="str">
        <f>IF(Source!$C487&gt;=COLUMNS($A487:AJ487), Source!$G487, "")</f>
        <v/>
      </c>
      <c r="AK487" s="2" t="str">
        <f>IF(Source!$C487&gt;=COLUMNS($A487:AK487), Source!$G487, "")</f>
        <v/>
      </c>
      <c r="AL487" s="2" t="str">
        <f>IF(Source!$C487&gt;=COLUMNS($A487:AL487), Source!$G487, "")</f>
        <v/>
      </c>
      <c r="AM487" s="2" t="str">
        <f>IF(Source!$C487&gt;=COLUMNS($A487:AM487), Source!$G487, "")</f>
        <v/>
      </c>
      <c r="AN487" s="2" t="str">
        <f>IF(Source!$C487&gt;=COLUMNS($A487:AN487), Source!$G487, "")</f>
        <v/>
      </c>
      <c r="AO487" s="2" t="str">
        <f>IF(Source!$C487&gt;=COLUMNS($A487:AO487), Source!$G487, "")</f>
        <v/>
      </c>
      <c r="AP487" s="2" t="str">
        <f>IF(Source!$C487&gt;=COLUMNS($A487:AP487), Source!$G487, "")</f>
        <v/>
      </c>
      <c r="AQ487" s="2" t="str">
        <f>IF(Source!$C487&gt;=COLUMNS($A487:AQ487), Source!$G487, "")</f>
        <v/>
      </c>
      <c r="AR487" s="2" t="str">
        <f>IF(Source!$C487&gt;=COLUMNS($A487:AR487), Source!$G487, "")</f>
        <v/>
      </c>
    </row>
    <row r="488">
      <c r="A488" s="2">
        <f>IF(Source!$C488&gt;=COLUMNS($A488:A488), Source!$G488, "")</f>
        <v>9</v>
      </c>
      <c r="B488" s="2">
        <f>IF(Source!$C488&gt;=COLUMNS($A488:B488), Source!$G488, "")</f>
        <v>9</v>
      </c>
      <c r="C488" s="2" t="str">
        <f>IF(Source!$C488&gt;=COLUMNS($A488:C488), Source!$G488, "")</f>
        <v/>
      </c>
      <c r="D488" s="2" t="str">
        <f>IF(Source!$C488&gt;=COLUMNS($A488:D488), Source!$G488, "")</f>
        <v/>
      </c>
      <c r="E488" s="2" t="str">
        <f>IF(Source!$C488&gt;=COLUMNS($A488:E488), Source!$G488, "")</f>
        <v/>
      </c>
      <c r="F488" s="2" t="str">
        <f>IF(Source!$C488&gt;=COLUMNS($A488:F488), Source!$G488, "")</f>
        <v/>
      </c>
      <c r="G488" s="2" t="str">
        <f>IF(Source!$C488&gt;=COLUMNS($A488:G488), Source!$G488, "")</f>
        <v/>
      </c>
      <c r="H488" s="2" t="str">
        <f>IF(Source!$C488&gt;=COLUMNS($A488:H488), Source!$G488, "")</f>
        <v/>
      </c>
      <c r="I488" s="2" t="str">
        <f>IF(Source!$C488&gt;=COLUMNS($A488:I488), Source!$G488, "")</f>
        <v/>
      </c>
      <c r="J488" s="2" t="str">
        <f>IF(Source!$C488&gt;=COLUMNS($A488:J488), Source!$G488, "")</f>
        <v/>
      </c>
      <c r="K488" s="2" t="str">
        <f>IF(Source!$C488&gt;=COLUMNS($A488:K488), Source!$G488, "")</f>
        <v/>
      </c>
      <c r="L488" s="2" t="str">
        <f>IF(Source!$C488&gt;=COLUMNS($A488:L488), Source!$G488, "")</f>
        <v/>
      </c>
      <c r="M488" s="2" t="str">
        <f>IF(Source!$C488&gt;=COLUMNS($A488:M488), Source!$G488, "")</f>
        <v/>
      </c>
      <c r="N488" s="2" t="str">
        <f>IF(Source!$C488&gt;=COLUMNS($A488:N488), Source!$G488, "")</f>
        <v/>
      </c>
      <c r="O488" s="2" t="str">
        <f>IF(Source!$C488&gt;=COLUMNS($A488:O488), Source!$G488, "")</f>
        <v/>
      </c>
      <c r="P488" s="2" t="str">
        <f>IF(Source!$C488&gt;=COLUMNS($A488:P488), Source!$G488, "")</f>
        <v/>
      </c>
      <c r="Q488" s="2" t="str">
        <f>IF(Source!$C488&gt;=COLUMNS($A488:Q488), Source!$G488, "")</f>
        <v/>
      </c>
      <c r="R488" s="2" t="str">
        <f>IF(Source!$C488&gt;=COLUMNS($A488:R488), Source!$G488, "")</f>
        <v/>
      </c>
      <c r="S488" s="2" t="str">
        <f>IF(Source!$C488&gt;=COLUMNS($A488:S488), Source!$G488, "")</f>
        <v/>
      </c>
      <c r="T488" s="2" t="str">
        <f>IF(Source!$C488&gt;=COLUMNS($A488:T488), Source!$G488, "")</f>
        <v/>
      </c>
      <c r="U488" s="2" t="str">
        <f>IF(Source!$C488&gt;=COLUMNS($A488:U488), Source!$G488, "")</f>
        <v/>
      </c>
      <c r="V488" s="2" t="str">
        <f>IF(Source!$C488&gt;=COLUMNS($A488:V488), Source!$G488, "")</f>
        <v/>
      </c>
      <c r="W488" s="2" t="str">
        <f>IF(Source!$C488&gt;=COLUMNS($A488:W488), Source!$G488, "")</f>
        <v/>
      </c>
      <c r="X488" s="2" t="str">
        <f>IF(Source!$C488&gt;=COLUMNS($A488:X488), Source!$G488, "")</f>
        <v/>
      </c>
      <c r="Y488" s="2" t="str">
        <f>IF(Source!$C488&gt;=COLUMNS($A488:Y488), Source!$G488, "")</f>
        <v/>
      </c>
      <c r="Z488" s="2" t="str">
        <f>IF(Source!$C488&gt;=COLUMNS($A488:Z488), Source!$G488, "")</f>
        <v/>
      </c>
      <c r="AA488" s="2" t="str">
        <f>IF(Source!$C488&gt;=COLUMNS($A488:AA488), Source!$G488, "")</f>
        <v/>
      </c>
      <c r="AB488" s="2" t="str">
        <f>IF(Source!$C488&gt;=COLUMNS($A488:AB488), Source!$G488, "")</f>
        <v/>
      </c>
      <c r="AC488" s="2" t="str">
        <f>IF(Source!$C488&gt;=COLUMNS($A488:AC488), Source!$G488, "")</f>
        <v/>
      </c>
      <c r="AD488" s="2" t="str">
        <f>IF(Source!$C488&gt;=COLUMNS($A488:AD488), Source!$G488, "")</f>
        <v/>
      </c>
      <c r="AE488" s="2" t="str">
        <f>IF(Source!$C488&gt;=COLUMNS($A488:AE488), Source!$G488, "")</f>
        <v/>
      </c>
      <c r="AF488" s="2" t="str">
        <f>IF(Source!$C488&gt;=COLUMNS($A488:AF488), Source!$G488, "")</f>
        <v/>
      </c>
      <c r="AG488" s="2" t="str">
        <f>IF(Source!$C488&gt;=COLUMNS($A488:AG488), Source!$G488, "")</f>
        <v/>
      </c>
      <c r="AH488" s="2" t="str">
        <f>IF(Source!$C488&gt;=COLUMNS($A488:AH488), Source!$G488, "")</f>
        <v/>
      </c>
      <c r="AI488" s="2" t="str">
        <f>IF(Source!$C488&gt;=COLUMNS($A488:AI488), Source!$G488, "")</f>
        <v/>
      </c>
      <c r="AJ488" s="2" t="str">
        <f>IF(Source!$C488&gt;=COLUMNS($A488:AJ488), Source!$G488, "")</f>
        <v/>
      </c>
      <c r="AK488" s="2" t="str">
        <f>IF(Source!$C488&gt;=COLUMNS($A488:AK488), Source!$G488, "")</f>
        <v/>
      </c>
      <c r="AL488" s="2" t="str">
        <f>IF(Source!$C488&gt;=COLUMNS($A488:AL488), Source!$G488, "")</f>
        <v/>
      </c>
      <c r="AM488" s="2" t="str">
        <f>IF(Source!$C488&gt;=COLUMNS($A488:AM488), Source!$G488, "")</f>
        <v/>
      </c>
      <c r="AN488" s="2" t="str">
        <f>IF(Source!$C488&gt;=COLUMNS($A488:AN488), Source!$G488, "")</f>
        <v/>
      </c>
      <c r="AO488" s="2" t="str">
        <f>IF(Source!$C488&gt;=COLUMNS($A488:AO488), Source!$G488, "")</f>
        <v/>
      </c>
      <c r="AP488" s="2" t="str">
        <f>IF(Source!$C488&gt;=COLUMNS($A488:AP488), Source!$G488, "")</f>
        <v/>
      </c>
      <c r="AQ488" s="2" t="str">
        <f>IF(Source!$C488&gt;=COLUMNS($A488:AQ488), Source!$G488, "")</f>
        <v/>
      </c>
      <c r="AR488" s="2" t="str">
        <f>IF(Source!$C488&gt;=COLUMNS($A488:AR488), Source!$G488, "")</f>
        <v/>
      </c>
    </row>
    <row r="489">
      <c r="A489" s="2">
        <f>IF(Source!$C489&gt;=COLUMNS($A489:A489), Source!$G489, "")</f>
        <v>1</v>
      </c>
      <c r="B489" s="2">
        <f>IF(Source!$C489&gt;=COLUMNS($A489:B489), Source!$G489, "")</f>
        <v>1</v>
      </c>
      <c r="C489" s="2">
        <f>IF(Source!$C489&gt;=COLUMNS($A489:C489), Source!$G489, "")</f>
        <v>1</v>
      </c>
      <c r="D489" s="2">
        <f>IF(Source!$C489&gt;=COLUMNS($A489:D489), Source!$G489, "")</f>
        <v>1</v>
      </c>
      <c r="E489" s="2" t="str">
        <f>IF(Source!$C489&gt;=COLUMNS($A489:E489), Source!$G489, "")</f>
        <v/>
      </c>
      <c r="F489" s="2" t="str">
        <f>IF(Source!$C489&gt;=COLUMNS($A489:F489), Source!$G489, "")</f>
        <v/>
      </c>
      <c r="G489" s="2" t="str">
        <f>IF(Source!$C489&gt;=COLUMNS($A489:G489), Source!$G489, "")</f>
        <v/>
      </c>
      <c r="H489" s="2" t="str">
        <f>IF(Source!$C489&gt;=COLUMNS($A489:H489), Source!$G489, "")</f>
        <v/>
      </c>
      <c r="I489" s="2" t="str">
        <f>IF(Source!$C489&gt;=COLUMNS($A489:I489), Source!$G489, "")</f>
        <v/>
      </c>
      <c r="J489" s="2" t="str">
        <f>IF(Source!$C489&gt;=COLUMNS($A489:J489), Source!$G489, "")</f>
        <v/>
      </c>
      <c r="K489" s="2" t="str">
        <f>IF(Source!$C489&gt;=COLUMNS($A489:K489), Source!$G489, "")</f>
        <v/>
      </c>
      <c r="L489" s="2" t="str">
        <f>IF(Source!$C489&gt;=COLUMNS($A489:L489), Source!$G489, "")</f>
        <v/>
      </c>
      <c r="M489" s="2" t="str">
        <f>IF(Source!$C489&gt;=COLUMNS($A489:M489), Source!$G489, "")</f>
        <v/>
      </c>
      <c r="N489" s="2" t="str">
        <f>IF(Source!$C489&gt;=COLUMNS($A489:N489), Source!$G489, "")</f>
        <v/>
      </c>
      <c r="O489" s="2" t="str">
        <f>IF(Source!$C489&gt;=COLUMNS($A489:O489), Source!$G489, "")</f>
        <v/>
      </c>
      <c r="P489" s="2" t="str">
        <f>IF(Source!$C489&gt;=COLUMNS($A489:P489), Source!$G489, "")</f>
        <v/>
      </c>
      <c r="Q489" s="2" t="str">
        <f>IF(Source!$C489&gt;=COLUMNS($A489:Q489), Source!$G489, "")</f>
        <v/>
      </c>
      <c r="R489" s="2" t="str">
        <f>IF(Source!$C489&gt;=COLUMNS($A489:R489), Source!$G489, "")</f>
        <v/>
      </c>
      <c r="S489" s="2" t="str">
        <f>IF(Source!$C489&gt;=COLUMNS($A489:S489), Source!$G489, "")</f>
        <v/>
      </c>
      <c r="T489" s="2" t="str">
        <f>IF(Source!$C489&gt;=COLUMNS($A489:T489), Source!$G489, "")</f>
        <v/>
      </c>
      <c r="U489" s="2" t="str">
        <f>IF(Source!$C489&gt;=COLUMNS($A489:U489), Source!$G489, "")</f>
        <v/>
      </c>
      <c r="V489" s="2" t="str">
        <f>IF(Source!$C489&gt;=COLUMNS($A489:V489), Source!$G489, "")</f>
        <v/>
      </c>
      <c r="W489" s="2" t="str">
        <f>IF(Source!$C489&gt;=COLUMNS($A489:W489), Source!$G489, "")</f>
        <v/>
      </c>
      <c r="X489" s="2" t="str">
        <f>IF(Source!$C489&gt;=COLUMNS($A489:X489), Source!$G489, "")</f>
        <v/>
      </c>
      <c r="Y489" s="2" t="str">
        <f>IF(Source!$C489&gt;=COLUMNS($A489:Y489), Source!$G489, "")</f>
        <v/>
      </c>
      <c r="Z489" s="2" t="str">
        <f>IF(Source!$C489&gt;=COLUMNS($A489:Z489), Source!$G489, "")</f>
        <v/>
      </c>
      <c r="AA489" s="2" t="str">
        <f>IF(Source!$C489&gt;=COLUMNS($A489:AA489), Source!$G489, "")</f>
        <v/>
      </c>
      <c r="AB489" s="2" t="str">
        <f>IF(Source!$C489&gt;=COLUMNS($A489:AB489), Source!$G489, "")</f>
        <v/>
      </c>
      <c r="AC489" s="2" t="str">
        <f>IF(Source!$C489&gt;=COLUMNS($A489:AC489), Source!$G489, "")</f>
        <v/>
      </c>
      <c r="AD489" s="2" t="str">
        <f>IF(Source!$C489&gt;=COLUMNS($A489:AD489), Source!$G489, "")</f>
        <v/>
      </c>
      <c r="AE489" s="2" t="str">
        <f>IF(Source!$C489&gt;=COLUMNS($A489:AE489), Source!$G489, "")</f>
        <v/>
      </c>
      <c r="AF489" s="2" t="str">
        <f>IF(Source!$C489&gt;=COLUMNS($A489:AF489), Source!$G489, "")</f>
        <v/>
      </c>
      <c r="AG489" s="2" t="str">
        <f>IF(Source!$C489&gt;=COLUMNS($A489:AG489), Source!$G489, "")</f>
        <v/>
      </c>
      <c r="AH489" s="2" t="str">
        <f>IF(Source!$C489&gt;=COLUMNS($A489:AH489), Source!$G489, "")</f>
        <v/>
      </c>
      <c r="AI489" s="2" t="str">
        <f>IF(Source!$C489&gt;=COLUMNS($A489:AI489), Source!$G489, "")</f>
        <v/>
      </c>
      <c r="AJ489" s="2" t="str">
        <f>IF(Source!$C489&gt;=COLUMNS($A489:AJ489), Source!$G489, "")</f>
        <v/>
      </c>
      <c r="AK489" s="2" t="str">
        <f>IF(Source!$C489&gt;=COLUMNS($A489:AK489), Source!$G489, "")</f>
        <v/>
      </c>
      <c r="AL489" s="2" t="str">
        <f>IF(Source!$C489&gt;=COLUMNS($A489:AL489), Source!$G489, "")</f>
        <v/>
      </c>
      <c r="AM489" s="2" t="str">
        <f>IF(Source!$C489&gt;=COLUMNS($A489:AM489), Source!$G489, "")</f>
        <v/>
      </c>
      <c r="AN489" s="2" t="str">
        <f>IF(Source!$C489&gt;=COLUMNS($A489:AN489), Source!$G489, "")</f>
        <v/>
      </c>
      <c r="AO489" s="2" t="str">
        <f>IF(Source!$C489&gt;=COLUMNS($A489:AO489), Source!$G489, "")</f>
        <v/>
      </c>
      <c r="AP489" s="2" t="str">
        <f>IF(Source!$C489&gt;=COLUMNS($A489:AP489), Source!$G489, "")</f>
        <v/>
      </c>
      <c r="AQ489" s="2" t="str">
        <f>IF(Source!$C489&gt;=COLUMNS($A489:AQ489), Source!$G489, "")</f>
        <v/>
      </c>
      <c r="AR489" s="2" t="str">
        <f>IF(Source!$C489&gt;=COLUMNS($A489:AR489), Source!$G489, "")</f>
        <v/>
      </c>
    </row>
    <row r="490">
      <c r="A490" s="2">
        <f>IF(Source!$C490&gt;=COLUMNS($A490:A490), Source!$G490, "")</f>
        <v>6</v>
      </c>
      <c r="B490" s="2">
        <f>IF(Source!$C490&gt;=COLUMNS($A490:B490), Source!$G490, "")</f>
        <v>6</v>
      </c>
      <c r="C490" s="2" t="str">
        <f>IF(Source!$C490&gt;=COLUMNS($A490:C490), Source!$G490, "")</f>
        <v/>
      </c>
      <c r="D490" s="2" t="str">
        <f>IF(Source!$C490&gt;=COLUMNS($A490:D490), Source!$G490, "")</f>
        <v/>
      </c>
      <c r="E490" s="2" t="str">
        <f>IF(Source!$C490&gt;=COLUMNS($A490:E490), Source!$G490, "")</f>
        <v/>
      </c>
      <c r="F490" s="2" t="str">
        <f>IF(Source!$C490&gt;=COLUMNS($A490:F490), Source!$G490, "")</f>
        <v/>
      </c>
      <c r="G490" s="2" t="str">
        <f>IF(Source!$C490&gt;=COLUMNS($A490:G490), Source!$G490, "")</f>
        <v/>
      </c>
      <c r="H490" s="2" t="str">
        <f>IF(Source!$C490&gt;=COLUMNS($A490:H490), Source!$G490, "")</f>
        <v/>
      </c>
      <c r="I490" s="2" t="str">
        <f>IF(Source!$C490&gt;=COLUMNS($A490:I490), Source!$G490, "")</f>
        <v/>
      </c>
      <c r="J490" s="2" t="str">
        <f>IF(Source!$C490&gt;=COLUMNS($A490:J490), Source!$G490, "")</f>
        <v/>
      </c>
      <c r="K490" s="2" t="str">
        <f>IF(Source!$C490&gt;=COLUMNS($A490:K490), Source!$G490, "")</f>
        <v/>
      </c>
      <c r="L490" s="2" t="str">
        <f>IF(Source!$C490&gt;=COLUMNS($A490:L490), Source!$G490, "")</f>
        <v/>
      </c>
      <c r="M490" s="2" t="str">
        <f>IF(Source!$C490&gt;=COLUMNS($A490:M490), Source!$G490, "")</f>
        <v/>
      </c>
      <c r="N490" s="2" t="str">
        <f>IF(Source!$C490&gt;=COLUMNS($A490:N490), Source!$G490, "")</f>
        <v/>
      </c>
      <c r="O490" s="2" t="str">
        <f>IF(Source!$C490&gt;=COLUMNS($A490:O490), Source!$G490, "")</f>
        <v/>
      </c>
      <c r="P490" s="2" t="str">
        <f>IF(Source!$C490&gt;=COLUMNS($A490:P490), Source!$G490, "")</f>
        <v/>
      </c>
      <c r="Q490" s="2" t="str">
        <f>IF(Source!$C490&gt;=COLUMNS($A490:Q490), Source!$G490, "")</f>
        <v/>
      </c>
      <c r="R490" s="2" t="str">
        <f>IF(Source!$C490&gt;=COLUMNS($A490:R490), Source!$G490, "")</f>
        <v/>
      </c>
      <c r="S490" s="2" t="str">
        <f>IF(Source!$C490&gt;=COLUMNS($A490:S490), Source!$G490, "")</f>
        <v/>
      </c>
      <c r="T490" s="2" t="str">
        <f>IF(Source!$C490&gt;=COLUMNS($A490:T490), Source!$G490, "")</f>
        <v/>
      </c>
      <c r="U490" s="2" t="str">
        <f>IF(Source!$C490&gt;=COLUMNS($A490:U490), Source!$G490, "")</f>
        <v/>
      </c>
      <c r="V490" s="2" t="str">
        <f>IF(Source!$C490&gt;=COLUMNS($A490:V490), Source!$G490, "")</f>
        <v/>
      </c>
      <c r="W490" s="2" t="str">
        <f>IF(Source!$C490&gt;=COLUMNS($A490:W490), Source!$G490, "")</f>
        <v/>
      </c>
      <c r="X490" s="2" t="str">
        <f>IF(Source!$C490&gt;=COLUMNS($A490:X490), Source!$G490, "")</f>
        <v/>
      </c>
      <c r="Y490" s="2" t="str">
        <f>IF(Source!$C490&gt;=COLUMNS($A490:Y490), Source!$G490, "")</f>
        <v/>
      </c>
      <c r="Z490" s="2" t="str">
        <f>IF(Source!$C490&gt;=COLUMNS($A490:Z490), Source!$G490, "")</f>
        <v/>
      </c>
      <c r="AA490" s="2" t="str">
        <f>IF(Source!$C490&gt;=COLUMNS($A490:AA490), Source!$G490, "")</f>
        <v/>
      </c>
      <c r="AB490" s="2" t="str">
        <f>IF(Source!$C490&gt;=COLUMNS($A490:AB490), Source!$G490, "")</f>
        <v/>
      </c>
      <c r="AC490" s="2" t="str">
        <f>IF(Source!$C490&gt;=COLUMNS($A490:AC490), Source!$G490, "")</f>
        <v/>
      </c>
      <c r="AD490" s="2" t="str">
        <f>IF(Source!$C490&gt;=COLUMNS($A490:AD490), Source!$G490, "")</f>
        <v/>
      </c>
      <c r="AE490" s="2" t="str">
        <f>IF(Source!$C490&gt;=COLUMNS($A490:AE490), Source!$G490, "")</f>
        <v/>
      </c>
      <c r="AF490" s="2" t="str">
        <f>IF(Source!$C490&gt;=COLUMNS($A490:AF490), Source!$G490, "")</f>
        <v/>
      </c>
      <c r="AG490" s="2" t="str">
        <f>IF(Source!$C490&gt;=COLUMNS($A490:AG490), Source!$G490, "")</f>
        <v/>
      </c>
      <c r="AH490" s="2" t="str">
        <f>IF(Source!$C490&gt;=COLUMNS($A490:AH490), Source!$G490, "")</f>
        <v/>
      </c>
      <c r="AI490" s="2" t="str">
        <f>IF(Source!$C490&gt;=COLUMNS($A490:AI490), Source!$G490, "")</f>
        <v/>
      </c>
      <c r="AJ490" s="2" t="str">
        <f>IF(Source!$C490&gt;=COLUMNS($A490:AJ490), Source!$G490, "")</f>
        <v/>
      </c>
      <c r="AK490" s="2" t="str">
        <f>IF(Source!$C490&gt;=COLUMNS($A490:AK490), Source!$G490, "")</f>
        <v/>
      </c>
      <c r="AL490" s="2" t="str">
        <f>IF(Source!$C490&gt;=COLUMNS($A490:AL490), Source!$G490, "")</f>
        <v/>
      </c>
      <c r="AM490" s="2" t="str">
        <f>IF(Source!$C490&gt;=COLUMNS($A490:AM490), Source!$G490, "")</f>
        <v/>
      </c>
      <c r="AN490" s="2" t="str">
        <f>IF(Source!$C490&gt;=COLUMNS($A490:AN490), Source!$G490, "")</f>
        <v/>
      </c>
      <c r="AO490" s="2" t="str">
        <f>IF(Source!$C490&gt;=COLUMNS($A490:AO490), Source!$G490, "")</f>
        <v/>
      </c>
      <c r="AP490" s="2" t="str">
        <f>IF(Source!$C490&gt;=COLUMNS($A490:AP490), Source!$G490, "")</f>
        <v/>
      </c>
      <c r="AQ490" s="2" t="str">
        <f>IF(Source!$C490&gt;=COLUMNS($A490:AQ490), Source!$G490, "")</f>
        <v/>
      </c>
      <c r="AR490" s="2" t="str">
        <f>IF(Source!$C490&gt;=COLUMNS($A490:AR490), Source!$G490, "")</f>
        <v/>
      </c>
    </row>
    <row r="491">
      <c r="A491" s="2">
        <f>IF(Source!$C491&gt;=COLUMNS($A491:A491), Source!$G491, "")</f>
        <v>4</v>
      </c>
      <c r="B491" s="2" t="str">
        <f>IF(Source!$C491&gt;=COLUMNS($A491:B491), Source!$G491, "")</f>
        <v/>
      </c>
      <c r="C491" s="2" t="str">
        <f>IF(Source!$C491&gt;=COLUMNS($A491:C491), Source!$G491, "")</f>
        <v/>
      </c>
      <c r="D491" s="2" t="str">
        <f>IF(Source!$C491&gt;=COLUMNS($A491:D491), Source!$G491, "")</f>
        <v/>
      </c>
      <c r="E491" s="2" t="str">
        <f>IF(Source!$C491&gt;=COLUMNS($A491:E491), Source!$G491, "")</f>
        <v/>
      </c>
      <c r="F491" s="2" t="str">
        <f>IF(Source!$C491&gt;=COLUMNS($A491:F491), Source!$G491, "")</f>
        <v/>
      </c>
      <c r="G491" s="2" t="str">
        <f>IF(Source!$C491&gt;=COLUMNS($A491:G491), Source!$G491, "")</f>
        <v/>
      </c>
      <c r="H491" s="2" t="str">
        <f>IF(Source!$C491&gt;=COLUMNS($A491:H491), Source!$G491, "")</f>
        <v/>
      </c>
      <c r="I491" s="2" t="str">
        <f>IF(Source!$C491&gt;=COLUMNS($A491:I491), Source!$G491, "")</f>
        <v/>
      </c>
      <c r="J491" s="2" t="str">
        <f>IF(Source!$C491&gt;=COLUMNS($A491:J491), Source!$G491, "")</f>
        <v/>
      </c>
      <c r="K491" s="2" t="str">
        <f>IF(Source!$C491&gt;=COLUMNS($A491:K491), Source!$G491, "")</f>
        <v/>
      </c>
      <c r="L491" s="2" t="str">
        <f>IF(Source!$C491&gt;=COLUMNS($A491:L491), Source!$G491, "")</f>
        <v/>
      </c>
      <c r="M491" s="2" t="str">
        <f>IF(Source!$C491&gt;=COLUMNS($A491:M491), Source!$G491, "")</f>
        <v/>
      </c>
      <c r="N491" s="2" t="str">
        <f>IF(Source!$C491&gt;=COLUMNS($A491:N491), Source!$G491, "")</f>
        <v/>
      </c>
      <c r="O491" s="2" t="str">
        <f>IF(Source!$C491&gt;=COLUMNS($A491:O491), Source!$G491, "")</f>
        <v/>
      </c>
      <c r="P491" s="2" t="str">
        <f>IF(Source!$C491&gt;=COLUMNS($A491:P491), Source!$G491, "")</f>
        <v/>
      </c>
      <c r="Q491" s="2" t="str">
        <f>IF(Source!$C491&gt;=COLUMNS($A491:Q491), Source!$G491, "")</f>
        <v/>
      </c>
      <c r="R491" s="2" t="str">
        <f>IF(Source!$C491&gt;=COLUMNS($A491:R491), Source!$G491, "")</f>
        <v/>
      </c>
      <c r="S491" s="2" t="str">
        <f>IF(Source!$C491&gt;=COLUMNS($A491:S491), Source!$G491, "")</f>
        <v/>
      </c>
      <c r="T491" s="2" t="str">
        <f>IF(Source!$C491&gt;=COLUMNS($A491:T491), Source!$G491, "")</f>
        <v/>
      </c>
      <c r="U491" s="2" t="str">
        <f>IF(Source!$C491&gt;=COLUMNS($A491:U491), Source!$G491, "")</f>
        <v/>
      </c>
      <c r="V491" s="2" t="str">
        <f>IF(Source!$C491&gt;=COLUMNS($A491:V491), Source!$G491, "")</f>
        <v/>
      </c>
      <c r="W491" s="2" t="str">
        <f>IF(Source!$C491&gt;=COLUMNS($A491:W491), Source!$G491, "")</f>
        <v/>
      </c>
      <c r="X491" s="2" t="str">
        <f>IF(Source!$C491&gt;=COLUMNS($A491:X491), Source!$G491, "")</f>
        <v/>
      </c>
      <c r="Y491" s="2" t="str">
        <f>IF(Source!$C491&gt;=COLUMNS($A491:Y491), Source!$G491, "")</f>
        <v/>
      </c>
      <c r="Z491" s="2" t="str">
        <f>IF(Source!$C491&gt;=COLUMNS($A491:Z491), Source!$G491, "")</f>
        <v/>
      </c>
      <c r="AA491" s="2" t="str">
        <f>IF(Source!$C491&gt;=COLUMNS($A491:AA491), Source!$G491, "")</f>
        <v/>
      </c>
      <c r="AB491" s="2" t="str">
        <f>IF(Source!$C491&gt;=COLUMNS($A491:AB491), Source!$G491, "")</f>
        <v/>
      </c>
      <c r="AC491" s="2" t="str">
        <f>IF(Source!$C491&gt;=COLUMNS($A491:AC491), Source!$G491, "")</f>
        <v/>
      </c>
      <c r="AD491" s="2" t="str">
        <f>IF(Source!$C491&gt;=COLUMNS($A491:AD491), Source!$G491, "")</f>
        <v/>
      </c>
      <c r="AE491" s="2" t="str">
        <f>IF(Source!$C491&gt;=COLUMNS($A491:AE491), Source!$G491, "")</f>
        <v/>
      </c>
      <c r="AF491" s="2" t="str">
        <f>IF(Source!$C491&gt;=COLUMNS($A491:AF491), Source!$G491, "")</f>
        <v/>
      </c>
      <c r="AG491" s="2" t="str">
        <f>IF(Source!$C491&gt;=COLUMNS($A491:AG491), Source!$G491, "")</f>
        <v/>
      </c>
      <c r="AH491" s="2" t="str">
        <f>IF(Source!$C491&gt;=COLUMNS($A491:AH491), Source!$G491, "")</f>
        <v/>
      </c>
      <c r="AI491" s="2" t="str">
        <f>IF(Source!$C491&gt;=COLUMNS($A491:AI491), Source!$G491, "")</f>
        <v/>
      </c>
      <c r="AJ491" s="2" t="str">
        <f>IF(Source!$C491&gt;=COLUMNS($A491:AJ491), Source!$G491, "")</f>
        <v/>
      </c>
      <c r="AK491" s="2" t="str">
        <f>IF(Source!$C491&gt;=COLUMNS($A491:AK491), Source!$G491, "")</f>
        <v/>
      </c>
      <c r="AL491" s="2" t="str">
        <f>IF(Source!$C491&gt;=COLUMNS($A491:AL491), Source!$G491, "")</f>
        <v/>
      </c>
      <c r="AM491" s="2" t="str">
        <f>IF(Source!$C491&gt;=COLUMNS($A491:AM491), Source!$G491, "")</f>
        <v/>
      </c>
      <c r="AN491" s="2" t="str">
        <f>IF(Source!$C491&gt;=COLUMNS($A491:AN491), Source!$G491, "")</f>
        <v/>
      </c>
      <c r="AO491" s="2" t="str">
        <f>IF(Source!$C491&gt;=COLUMNS($A491:AO491), Source!$G491, "")</f>
        <v/>
      </c>
      <c r="AP491" s="2" t="str">
        <f>IF(Source!$C491&gt;=COLUMNS($A491:AP491), Source!$G491, "")</f>
        <v/>
      </c>
      <c r="AQ491" s="2" t="str">
        <f>IF(Source!$C491&gt;=COLUMNS($A491:AQ491), Source!$G491, "")</f>
        <v/>
      </c>
      <c r="AR491" s="2" t="str">
        <f>IF(Source!$C491&gt;=COLUMNS($A491:AR491), Source!$G491, "")</f>
        <v/>
      </c>
    </row>
    <row r="492">
      <c r="A492" s="2">
        <f>IF(Source!$C492&gt;=COLUMNS($A492:A492), Source!$G492, "")</f>
        <v>1</v>
      </c>
      <c r="B492" s="2">
        <f>IF(Source!$C492&gt;=COLUMNS($A492:B492), Source!$G492, "")</f>
        <v>1</v>
      </c>
      <c r="C492" s="2" t="str">
        <f>IF(Source!$C492&gt;=COLUMNS($A492:C492), Source!$G492, "")</f>
        <v/>
      </c>
      <c r="D492" s="2" t="str">
        <f>IF(Source!$C492&gt;=COLUMNS($A492:D492), Source!$G492, "")</f>
        <v/>
      </c>
      <c r="E492" s="2" t="str">
        <f>IF(Source!$C492&gt;=COLUMNS($A492:E492), Source!$G492, "")</f>
        <v/>
      </c>
      <c r="F492" s="2" t="str">
        <f>IF(Source!$C492&gt;=COLUMNS($A492:F492), Source!$G492, "")</f>
        <v/>
      </c>
      <c r="G492" s="2" t="str">
        <f>IF(Source!$C492&gt;=COLUMNS($A492:G492), Source!$G492, "")</f>
        <v/>
      </c>
      <c r="H492" s="2" t="str">
        <f>IF(Source!$C492&gt;=COLUMNS($A492:H492), Source!$G492, "")</f>
        <v/>
      </c>
      <c r="I492" s="2" t="str">
        <f>IF(Source!$C492&gt;=COLUMNS($A492:I492), Source!$G492, "")</f>
        <v/>
      </c>
      <c r="J492" s="2" t="str">
        <f>IF(Source!$C492&gt;=COLUMNS($A492:J492), Source!$G492, "")</f>
        <v/>
      </c>
      <c r="K492" s="2" t="str">
        <f>IF(Source!$C492&gt;=COLUMNS($A492:K492), Source!$G492, "")</f>
        <v/>
      </c>
      <c r="L492" s="2" t="str">
        <f>IF(Source!$C492&gt;=COLUMNS($A492:L492), Source!$G492, "")</f>
        <v/>
      </c>
      <c r="M492" s="2" t="str">
        <f>IF(Source!$C492&gt;=COLUMNS($A492:M492), Source!$G492, "")</f>
        <v/>
      </c>
      <c r="N492" s="2" t="str">
        <f>IF(Source!$C492&gt;=COLUMNS($A492:N492), Source!$G492, "")</f>
        <v/>
      </c>
      <c r="O492" s="2" t="str">
        <f>IF(Source!$C492&gt;=COLUMNS($A492:O492), Source!$G492, "")</f>
        <v/>
      </c>
      <c r="P492" s="2" t="str">
        <f>IF(Source!$C492&gt;=COLUMNS($A492:P492), Source!$G492, "")</f>
        <v/>
      </c>
      <c r="Q492" s="2" t="str">
        <f>IF(Source!$C492&gt;=COLUMNS($A492:Q492), Source!$G492, "")</f>
        <v/>
      </c>
      <c r="R492" s="2" t="str">
        <f>IF(Source!$C492&gt;=COLUMNS($A492:R492), Source!$G492, "")</f>
        <v/>
      </c>
      <c r="S492" s="2" t="str">
        <f>IF(Source!$C492&gt;=COLUMNS($A492:S492), Source!$G492, "")</f>
        <v/>
      </c>
      <c r="T492" s="2" t="str">
        <f>IF(Source!$C492&gt;=COLUMNS($A492:T492), Source!$G492, "")</f>
        <v/>
      </c>
      <c r="U492" s="2" t="str">
        <f>IF(Source!$C492&gt;=COLUMNS($A492:U492), Source!$G492, "")</f>
        <v/>
      </c>
      <c r="V492" s="2" t="str">
        <f>IF(Source!$C492&gt;=COLUMNS($A492:V492), Source!$G492, "")</f>
        <v/>
      </c>
      <c r="W492" s="2" t="str">
        <f>IF(Source!$C492&gt;=COLUMNS($A492:W492), Source!$G492, "")</f>
        <v/>
      </c>
      <c r="X492" s="2" t="str">
        <f>IF(Source!$C492&gt;=COLUMNS($A492:X492), Source!$G492, "")</f>
        <v/>
      </c>
      <c r="Y492" s="2" t="str">
        <f>IF(Source!$C492&gt;=COLUMNS($A492:Y492), Source!$G492, "")</f>
        <v/>
      </c>
      <c r="Z492" s="2" t="str">
        <f>IF(Source!$C492&gt;=COLUMNS($A492:Z492), Source!$G492, "")</f>
        <v/>
      </c>
      <c r="AA492" s="2" t="str">
        <f>IF(Source!$C492&gt;=COLUMNS($A492:AA492), Source!$G492, "")</f>
        <v/>
      </c>
      <c r="AB492" s="2" t="str">
        <f>IF(Source!$C492&gt;=COLUMNS($A492:AB492), Source!$G492, "")</f>
        <v/>
      </c>
      <c r="AC492" s="2" t="str">
        <f>IF(Source!$C492&gt;=COLUMNS($A492:AC492), Source!$G492, "")</f>
        <v/>
      </c>
      <c r="AD492" s="2" t="str">
        <f>IF(Source!$C492&gt;=COLUMNS($A492:AD492), Source!$G492, "")</f>
        <v/>
      </c>
      <c r="AE492" s="2" t="str">
        <f>IF(Source!$C492&gt;=COLUMNS($A492:AE492), Source!$G492, "")</f>
        <v/>
      </c>
      <c r="AF492" s="2" t="str">
        <f>IF(Source!$C492&gt;=COLUMNS($A492:AF492), Source!$G492, "")</f>
        <v/>
      </c>
      <c r="AG492" s="2" t="str">
        <f>IF(Source!$C492&gt;=COLUMNS($A492:AG492), Source!$G492, "")</f>
        <v/>
      </c>
      <c r="AH492" s="2" t="str">
        <f>IF(Source!$C492&gt;=COLUMNS($A492:AH492), Source!$G492, "")</f>
        <v/>
      </c>
      <c r="AI492" s="2" t="str">
        <f>IF(Source!$C492&gt;=COLUMNS($A492:AI492), Source!$G492, "")</f>
        <v/>
      </c>
      <c r="AJ492" s="2" t="str">
        <f>IF(Source!$C492&gt;=COLUMNS($A492:AJ492), Source!$G492, "")</f>
        <v/>
      </c>
      <c r="AK492" s="2" t="str">
        <f>IF(Source!$C492&gt;=COLUMNS($A492:AK492), Source!$G492, "")</f>
        <v/>
      </c>
      <c r="AL492" s="2" t="str">
        <f>IF(Source!$C492&gt;=COLUMNS($A492:AL492), Source!$G492, "")</f>
        <v/>
      </c>
      <c r="AM492" s="2" t="str">
        <f>IF(Source!$C492&gt;=COLUMNS($A492:AM492), Source!$G492, "")</f>
        <v/>
      </c>
      <c r="AN492" s="2" t="str">
        <f>IF(Source!$C492&gt;=COLUMNS($A492:AN492), Source!$G492, "")</f>
        <v/>
      </c>
      <c r="AO492" s="2" t="str">
        <f>IF(Source!$C492&gt;=COLUMNS($A492:AO492), Source!$G492, "")</f>
        <v/>
      </c>
      <c r="AP492" s="2" t="str">
        <f>IF(Source!$C492&gt;=COLUMNS($A492:AP492), Source!$G492, "")</f>
        <v/>
      </c>
      <c r="AQ492" s="2" t="str">
        <f>IF(Source!$C492&gt;=COLUMNS($A492:AQ492), Source!$G492, "")</f>
        <v/>
      </c>
      <c r="AR492" s="2" t="str">
        <f>IF(Source!$C492&gt;=COLUMNS($A492:AR492), Source!$G492, "")</f>
        <v/>
      </c>
    </row>
    <row r="493">
      <c r="A493" s="2">
        <f>IF(Source!$C493&gt;=COLUMNS($A493:A493), Source!$G493, "")</f>
        <v>9</v>
      </c>
      <c r="B493" s="2">
        <f>IF(Source!$C493&gt;=COLUMNS($A493:B493), Source!$G493, "")</f>
        <v>9</v>
      </c>
      <c r="C493" s="2">
        <f>IF(Source!$C493&gt;=COLUMNS($A493:C493), Source!$G493, "")</f>
        <v>9</v>
      </c>
      <c r="D493" s="2">
        <f>IF(Source!$C493&gt;=COLUMNS($A493:D493), Source!$G493, "")</f>
        <v>9</v>
      </c>
      <c r="E493" s="2" t="str">
        <f>IF(Source!$C493&gt;=COLUMNS($A493:E493), Source!$G493, "")</f>
        <v/>
      </c>
      <c r="F493" s="2" t="str">
        <f>IF(Source!$C493&gt;=COLUMNS($A493:F493), Source!$G493, "")</f>
        <v/>
      </c>
      <c r="G493" s="2" t="str">
        <f>IF(Source!$C493&gt;=COLUMNS($A493:G493), Source!$G493, "")</f>
        <v/>
      </c>
      <c r="H493" s="2" t="str">
        <f>IF(Source!$C493&gt;=COLUMNS($A493:H493), Source!$G493, "")</f>
        <v/>
      </c>
      <c r="I493" s="2" t="str">
        <f>IF(Source!$C493&gt;=COLUMNS($A493:I493), Source!$G493, "")</f>
        <v/>
      </c>
      <c r="J493" s="2" t="str">
        <f>IF(Source!$C493&gt;=COLUMNS($A493:J493), Source!$G493, "")</f>
        <v/>
      </c>
      <c r="K493" s="2" t="str">
        <f>IF(Source!$C493&gt;=COLUMNS($A493:K493), Source!$G493, "")</f>
        <v/>
      </c>
      <c r="L493" s="2" t="str">
        <f>IF(Source!$C493&gt;=COLUMNS($A493:L493), Source!$G493, "")</f>
        <v/>
      </c>
      <c r="M493" s="2" t="str">
        <f>IF(Source!$C493&gt;=COLUMNS($A493:M493), Source!$G493, "")</f>
        <v/>
      </c>
      <c r="N493" s="2" t="str">
        <f>IF(Source!$C493&gt;=COLUMNS($A493:N493), Source!$G493, "")</f>
        <v/>
      </c>
      <c r="O493" s="2" t="str">
        <f>IF(Source!$C493&gt;=COLUMNS($A493:O493), Source!$G493, "")</f>
        <v/>
      </c>
      <c r="P493" s="2" t="str">
        <f>IF(Source!$C493&gt;=COLUMNS($A493:P493), Source!$G493, "")</f>
        <v/>
      </c>
      <c r="Q493" s="2" t="str">
        <f>IF(Source!$C493&gt;=COLUMNS($A493:Q493), Source!$G493, "")</f>
        <v/>
      </c>
      <c r="R493" s="2" t="str">
        <f>IF(Source!$C493&gt;=COLUMNS($A493:R493), Source!$G493, "")</f>
        <v/>
      </c>
      <c r="S493" s="2" t="str">
        <f>IF(Source!$C493&gt;=COLUMNS($A493:S493), Source!$G493, "")</f>
        <v/>
      </c>
      <c r="T493" s="2" t="str">
        <f>IF(Source!$C493&gt;=COLUMNS($A493:T493), Source!$G493, "")</f>
        <v/>
      </c>
      <c r="U493" s="2" t="str">
        <f>IF(Source!$C493&gt;=COLUMNS($A493:U493), Source!$G493, "")</f>
        <v/>
      </c>
      <c r="V493" s="2" t="str">
        <f>IF(Source!$C493&gt;=COLUMNS($A493:V493), Source!$G493, "")</f>
        <v/>
      </c>
      <c r="W493" s="2" t="str">
        <f>IF(Source!$C493&gt;=COLUMNS($A493:W493), Source!$G493, "")</f>
        <v/>
      </c>
      <c r="X493" s="2" t="str">
        <f>IF(Source!$C493&gt;=COLUMNS($A493:X493), Source!$G493, "")</f>
        <v/>
      </c>
      <c r="Y493" s="2" t="str">
        <f>IF(Source!$C493&gt;=COLUMNS($A493:Y493), Source!$G493, "")</f>
        <v/>
      </c>
      <c r="Z493" s="2" t="str">
        <f>IF(Source!$C493&gt;=COLUMNS($A493:Z493), Source!$G493, "")</f>
        <v/>
      </c>
      <c r="AA493" s="2" t="str">
        <f>IF(Source!$C493&gt;=COLUMNS($A493:AA493), Source!$G493, "")</f>
        <v/>
      </c>
      <c r="AB493" s="2" t="str">
        <f>IF(Source!$C493&gt;=COLUMNS($A493:AB493), Source!$G493, "")</f>
        <v/>
      </c>
      <c r="AC493" s="2" t="str">
        <f>IF(Source!$C493&gt;=COLUMNS($A493:AC493), Source!$G493, "")</f>
        <v/>
      </c>
      <c r="AD493" s="2" t="str">
        <f>IF(Source!$C493&gt;=COLUMNS($A493:AD493), Source!$G493, "")</f>
        <v/>
      </c>
      <c r="AE493" s="2" t="str">
        <f>IF(Source!$C493&gt;=COLUMNS($A493:AE493), Source!$G493, "")</f>
        <v/>
      </c>
      <c r="AF493" s="2" t="str">
        <f>IF(Source!$C493&gt;=COLUMNS($A493:AF493), Source!$G493, "")</f>
        <v/>
      </c>
      <c r="AG493" s="2" t="str">
        <f>IF(Source!$C493&gt;=COLUMNS($A493:AG493), Source!$G493, "")</f>
        <v/>
      </c>
      <c r="AH493" s="2" t="str">
        <f>IF(Source!$C493&gt;=COLUMNS($A493:AH493), Source!$G493, "")</f>
        <v/>
      </c>
      <c r="AI493" s="2" t="str">
        <f>IF(Source!$C493&gt;=COLUMNS($A493:AI493), Source!$G493, "")</f>
        <v/>
      </c>
      <c r="AJ493" s="2" t="str">
        <f>IF(Source!$C493&gt;=COLUMNS($A493:AJ493), Source!$G493, "")</f>
        <v/>
      </c>
      <c r="AK493" s="2" t="str">
        <f>IF(Source!$C493&gt;=COLUMNS($A493:AK493), Source!$G493, "")</f>
        <v/>
      </c>
      <c r="AL493" s="2" t="str">
        <f>IF(Source!$C493&gt;=COLUMNS($A493:AL493), Source!$G493, "")</f>
        <v/>
      </c>
      <c r="AM493" s="2" t="str">
        <f>IF(Source!$C493&gt;=COLUMNS($A493:AM493), Source!$G493, "")</f>
        <v/>
      </c>
      <c r="AN493" s="2" t="str">
        <f>IF(Source!$C493&gt;=COLUMNS($A493:AN493), Source!$G493, "")</f>
        <v/>
      </c>
      <c r="AO493" s="2" t="str">
        <f>IF(Source!$C493&gt;=COLUMNS($A493:AO493), Source!$G493, "")</f>
        <v/>
      </c>
      <c r="AP493" s="2" t="str">
        <f>IF(Source!$C493&gt;=COLUMNS($A493:AP493), Source!$G493, "")</f>
        <v/>
      </c>
      <c r="AQ493" s="2" t="str">
        <f>IF(Source!$C493&gt;=COLUMNS($A493:AQ493), Source!$G493, "")</f>
        <v/>
      </c>
      <c r="AR493" s="2" t="str">
        <f>IF(Source!$C493&gt;=COLUMNS($A493:AR493), Source!$G493, "")</f>
        <v/>
      </c>
    </row>
    <row r="494">
      <c r="A494" s="2">
        <f>IF(Source!$C494&gt;=COLUMNS($A494:A494), Source!$G494, "")</f>
        <v>3</v>
      </c>
      <c r="B494" s="2" t="str">
        <f>IF(Source!$C494&gt;=COLUMNS($A494:B494), Source!$G494, "")</f>
        <v/>
      </c>
      <c r="C494" s="2" t="str">
        <f>IF(Source!$C494&gt;=COLUMNS($A494:C494), Source!$G494, "")</f>
        <v/>
      </c>
      <c r="D494" s="2" t="str">
        <f>IF(Source!$C494&gt;=COLUMNS($A494:D494), Source!$G494, "")</f>
        <v/>
      </c>
      <c r="E494" s="2" t="str">
        <f>IF(Source!$C494&gt;=COLUMNS($A494:E494), Source!$G494, "")</f>
        <v/>
      </c>
      <c r="F494" s="2" t="str">
        <f>IF(Source!$C494&gt;=COLUMNS($A494:F494), Source!$G494, "")</f>
        <v/>
      </c>
      <c r="G494" s="2" t="str">
        <f>IF(Source!$C494&gt;=COLUMNS($A494:G494), Source!$G494, "")</f>
        <v/>
      </c>
      <c r="H494" s="2" t="str">
        <f>IF(Source!$C494&gt;=COLUMNS($A494:H494), Source!$G494, "")</f>
        <v/>
      </c>
      <c r="I494" s="2" t="str">
        <f>IF(Source!$C494&gt;=COLUMNS($A494:I494), Source!$G494, "")</f>
        <v/>
      </c>
      <c r="J494" s="2" t="str">
        <f>IF(Source!$C494&gt;=COLUMNS($A494:J494), Source!$G494, "")</f>
        <v/>
      </c>
      <c r="K494" s="2" t="str">
        <f>IF(Source!$C494&gt;=COLUMNS($A494:K494), Source!$G494, "")</f>
        <v/>
      </c>
      <c r="L494" s="2" t="str">
        <f>IF(Source!$C494&gt;=COLUMNS($A494:L494), Source!$G494, "")</f>
        <v/>
      </c>
      <c r="M494" s="2" t="str">
        <f>IF(Source!$C494&gt;=COLUMNS($A494:M494), Source!$G494, "")</f>
        <v/>
      </c>
      <c r="N494" s="2" t="str">
        <f>IF(Source!$C494&gt;=COLUMNS($A494:N494), Source!$G494, "")</f>
        <v/>
      </c>
      <c r="O494" s="2" t="str">
        <f>IF(Source!$C494&gt;=COLUMNS($A494:O494), Source!$G494, "")</f>
        <v/>
      </c>
      <c r="P494" s="2" t="str">
        <f>IF(Source!$C494&gt;=COLUMNS($A494:P494), Source!$G494, "")</f>
        <v/>
      </c>
      <c r="Q494" s="2" t="str">
        <f>IF(Source!$C494&gt;=COLUMNS($A494:Q494), Source!$G494, "")</f>
        <v/>
      </c>
      <c r="R494" s="2" t="str">
        <f>IF(Source!$C494&gt;=COLUMNS($A494:R494), Source!$G494, "")</f>
        <v/>
      </c>
      <c r="S494" s="2" t="str">
        <f>IF(Source!$C494&gt;=COLUMNS($A494:S494), Source!$G494, "")</f>
        <v/>
      </c>
      <c r="T494" s="2" t="str">
        <f>IF(Source!$C494&gt;=COLUMNS($A494:T494), Source!$G494, "")</f>
        <v/>
      </c>
      <c r="U494" s="2" t="str">
        <f>IF(Source!$C494&gt;=COLUMNS($A494:U494), Source!$G494, "")</f>
        <v/>
      </c>
      <c r="V494" s="2" t="str">
        <f>IF(Source!$C494&gt;=COLUMNS($A494:V494), Source!$G494, "")</f>
        <v/>
      </c>
      <c r="W494" s="2" t="str">
        <f>IF(Source!$C494&gt;=COLUMNS($A494:W494), Source!$G494, "")</f>
        <v/>
      </c>
      <c r="X494" s="2" t="str">
        <f>IF(Source!$C494&gt;=COLUMNS($A494:X494), Source!$G494, "")</f>
        <v/>
      </c>
      <c r="Y494" s="2" t="str">
        <f>IF(Source!$C494&gt;=COLUMNS($A494:Y494), Source!$G494, "")</f>
        <v/>
      </c>
      <c r="Z494" s="2" t="str">
        <f>IF(Source!$C494&gt;=COLUMNS($A494:Z494), Source!$G494, "")</f>
        <v/>
      </c>
      <c r="AA494" s="2" t="str">
        <f>IF(Source!$C494&gt;=COLUMNS($A494:AA494), Source!$G494, "")</f>
        <v/>
      </c>
      <c r="AB494" s="2" t="str">
        <f>IF(Source!$C494&gt;=COLUMNS($A494:AB494), Source!$G494, "")</f>
        <v/>
      </c>
      <c r="AC494" s="2" t="str">
        <f>IF(Source!$C494&gt;=COLUMNS($A494:AC494), Source!$G494, "")</f>
        <v/>
      </c>
      <c r="AD494" s="2" t="str">
        <f>IF(Source!$C494&gt;=COLUMNS($A494:AD494), Source!$G494, "")</f>
        <v/>
      </c>
      <c r="AE494" s="2" t="str">
        <f>IF(Source!$C494&gt;=COLUMNS($A494:AE494), Source!$G494, "")</f>
        <v/>
      </c>
      <c r="AF494" s="2" t="str">
        <f>IF(Source!$C494&gt;=COLUMNS($A494:AF494), Source!$G494, "")</f>
        <v/>
      </c>
      <c r="AG494" s="2" t="str">
        <f>IF(Source!$C494&gt;=COLUMNS($A494:AG494), Source!$G494, "")</f>
        <v/>
      </c>
      <c r="AH494" s="2" t="str">
        <f>IF(Source!$C494&gt;=COLUMNS($A494:AH494), Source!$G494, "")</f>
        <v/>
      </c>
      <c r="AI494" s="2" t="str">
        <f>IF(Source!$C494&gt;=COLUMNS($A494:AI494), Source!$G494, "")</f>
        <v/>
      </c>
      <c r="AJ494" s="2" t="str">
        <f>IF(Source!$C494&gt;=COLUMNS($A494:AJ494), Source!$G494, "")</f>
        <v/>
      </c>
      <c r="AK494" s="2" t="str">
        <f>IF(Source!$C494&gt;=COLUMNS($A494:AK494), Source!$G494, "")</f>
        <v/>
      </c>
      <c r="AL494" s="2" t="str">
        <f>IF(Source!$C494&gt;=COLUMNS($A494:AL494), Source!$G494, "")</f>
        <v/>
      </c>
      <c r="AM494" s="2" t="str">
        <f>IF(Source!$C494&gt;=COLUMNS($A494:AM494), Source!$G494, "")</f>
        <v/>
      </c>
      <c r="AN494" s="2" t="str">
        <f>IF(Source!$C494&gt;=COLUMNS($A494:AN494), Source!$G494, "")</f>
        <v/>
      </c>
      <c r="AO494" s="2" t="str">
        <f>IF(Source!$C494&gt;=COLUMNS($A494:AO494), Source!$G494, "")</f>
        <v/>
      </c>
      <c r="AP494" s="2" t="str">
        <f>IF(Source!$C494&gt;=COLUMNS($A494:AP494), Source!$G494, "")</f>
        <v/>
      </c>
      <c r="AQ494" s="2" t="str">
        <f>IF(Source!$C494&gt;=COLUMNS($A494:AQ494), Source!$G494, "")</f>
        <v/>
      </c>
      <c r="AR494" s="2" t="str">
        <f>IF(Source!$C494&gt;=COLUMNS($A494:AR494), Source!$G494, "")</f>
        <v/>
      </c>
    </row>
    <row r="495">
      <c r="A495" s="2">
        <f>IF(Source!$C495&gt;=COLUMNS($A495:A495), Source!$G495, "")</f>
        <v>4</v>
      </c>
      <c r="B495" s="2">
        <f>IF(Source!$C495&gt;=COLUMNS($A495:B495), Source!$G495, "")</f>
        <v>4</v>
      </c>
      <c r="C495" s="2" t="str">
        <f>IF(Source!$C495&gt;=COLUMNS($A495:C495), Source!$G495, "")</f>
        <v/>
      </c>
      <c r="D495" s="2" t="str">
        <f>IF(Source!$C495&gt;=COLUMNS($A495:D495), Source!$G495, "")</f>
        <v/>
      </c>
      <c r="E495" s="2" t="str">
        <f>IF(Source!$C495&gt;=COLUMNS($A495:E495), Source!$G495, "")</f>
        <v/>
      </c>
      <c r="F495" s="2" t="str">
        <f>IF(Source!$C495&gt;=COLUMNS($A495:F495), Source!$G495, "")</f>
        <v/>
      </c>
      <c r="G495" s="2" t="str">
        <f>IF(Source!$C495&gt;=COLUMNS($A495:G495), Source!$G495, "")</f>
        <v/>
      </c>
      <c r="H495" s="2" t="str">
        <f>IF(Source!$C495&gt;=COLUMNS($A495:H495), Source!$G495, "")</f>
        <v/>
      </c>
      <c r="I495" s="2" t="str">
        <f>IF(Source!$C495&gt;=COLUMNS($A495:I495), Source!$G495, "")</f>
        <v/>
      </c>
      <c r="J495" s="2" t="str">
        <f>IF(Source!$C495&gt;=COLUMNS($A495:J495), Source!$G495, "")</f>
        <v/>
      </c>
      <c r="K495" s="2" t="str">
        <f>IF(Source!$C495&gt;=COLUMNS($A495:K495), Source!$G495, "")</f>
        <v/>
      </c>
      <c r="L495" s="2" t="str">
        <f>IF(Source!$C495&gt;=COLUMNS($A495:L495), Source!$G495, "")</f>
        <v/>
      </c>
      <c r="M495" s="2" t="str">
        <f>IF(Source!$C495&gt;=COLUMNS($A495:M495), Source!$G495, "")</f>
        <v/>
      </c>
      <c r="N495" s="2" t="str">
        <f>IF(Source!$C495&gt;=COLUMNS($A495:N495), Source!$G495, "")</f>
        <v/>
      </c>
      <c r="O495" s="2" t="str">
        <f>IF(Source!$C495&gt;=COLUMNS($A495:O495), Source!$G495, "")</f>
        <v/>
      </c>
      <c r="P495" s="2" t="str">
        <f>IF(Source!$C495&gt;=COLUMNS($A495:P495), Source!$G495, "")</f>
        <v/>
      </c>
      <c r="Q495" s="2" t="str">
        <f>IF(Source!$C495&gt;=COLUMNS($A495:Q495), Source!$G495, "")</f>
        <v/>
      </c>
      <c r="R495" s="2" t="str">
        <f>IF(Source!$C495&gt;=COLUMNS($A495:R495), Source!$G495, "")</f>
        <v/>
      </c>
      <c r="S495" s="2" t="str">
        <f>IF(Source!$C495&gt;=COLUMNS($A495:S495), Source!$G495, "")</f>
        <v/>
      </c>
      <c r="T495" s="2" t="str">
        <f>IF(Source!$C495&gt;=COLUMNS($A495:T495), Source!$G495, "")</f>
        <v/>
      </c>
      <c r="U495" s="2" t="str">
        <f>IF(Source!$C495&gt;=COLUMNS($A495:U495), Source!$G495, "")</f>
        <v/>
      </c>
      <c r="V495" s="2" t="str">
        <f>IF(Source!$C495&gt;=COLUMNS($A495:V495), Source!$G495, "")</f>
        <v/>
      </c>
      <c r="W495" s="2" t="str">
        <f>IF(Source!$C495&gt;=COLUMNS($A495:W495), Source!$G495, "")</f>
        <v/>
      </c>
      <c r="X495" s="2" t="str">
        <f>IF(Source!$C495&gt;=COLUMNS($A495:X495), Source!$G495, "")</f>
        <v/>
      </c>
      <c r="Y495" s="2" t="str">
        <f>IF(Source!$C495&gt;=COLUMNS($A495:Y495), Source!$G495, "")</f>
        <v/>
      </c>
      <c r="Z495" s="2" t="str">
        <f>IF(Source!$C495&gt;=COLUMNS($A495:Z495), Source!$G495, "")</f>
        <v/>
      </c>
      <c r="AA495" s="2" t="str">
        <f>IF(Source!$C495&gt;=COLUMNS($A495:AA495), Source!$G495, "")</f>
        <v/>
      </c>
      <c r="AB495" s="2" t="str">
        <f>IF(Source!$C495&gt;=COLUMNS($A495:AB495), Source!$G495, "")</f>
        <v/>
      </c>
      <c r="AC495" s="2" t="str">
        <f>IF(Source!$C495&gt;=COLUMNS($A495:AC495), Source!$G495, "")</f>
        <v/>
      </c>
      <c r="AD495" s="2" t="str">
        <f>IF(Source!$C495&gt;=COLUMNS($A495:AD495), Source!$G495, "")</f>
        <v/>
      </c>
      <c r="AE495" s="2" t="str">
        <f>IF(Source!$C495&gt;=COLUMNS($A495:AE495), Source!$G495, "")</f>
        <v/>
      </c>
      <c r="AF495" s="2" t="str">
        <f>IF(Source!$C495&gt;=COLUMNS($A495:AF495), Source!$G495, "")</f>
        <v/>
      </c>
      <c r="AG495" s="2" t="str">
        <f>IF(Source!$C495&gt;=COLUMNS($A495:AG495), Source!$G495, "")</f>
        <v/>
      </c>
      <c r="AH495" s="2" t="str">
        <f>IF(Source!$C495&gt;=COLUMNS($A495:AH495), Source!$G495, "")</f>
        <v/>
      </c>
      <c r="AI495" s="2" t="str">
        <f>IF(Source!$C495&gt;=COLUMNS($A495:AI495), Source!$G495, "")</f>
        <v/>
      </c>
      <c r="AJ495" s="2" t="str">
        <f>IF(Source!$C495&gt;=COLUMNS($A495:AJ495), Source!$G495, "")</f>
        <v/>
      </c>
      <c r="AK495" s="2" t="str">
        <f>IF(Source!$C495&gt;=COLUMNS($A495:AK495), Source!$G495, "")</f>
        <v/>
      </c>
      <c r="AL495" s="2" t="str">
        <f>IF(Source!$C495&gt;=COLUMNS($A495:AL495), Source!$G495, "")</f>
        <v/>
      </c>
      <c r="AM495" s="2" t="str">
        <f>IF(Source!$C495&gt;=COLUMNS($A495:AM495), Source!$G495, "")</f>
        <v/>
      </c>
      <c r="AN495" s="2" t="str">
        <f>IF(Source!$C495&gt;=COLUMNS($A495:AN495), Source!$G495, "")</f>
        <v/>
      </c>
      <c r="AO495" s="2" t="str">
        <f>IF(Source!$C495&gt;=COLUMNS($A495:AO495), Source!$G495, "")</f>
        <v/>
      </c>
      <c r="AP495" s="2" t="str">
        <f>IF(Source!$C495&gt;=COLUMNS($A495:AP495), Source!$G495, "")</f>
        <v/>
      </c>
      <c r="AQ495" s="2" t="str">
        <f>IF(Source!$C495&gt;=COLUMNS($A495:AQ495), Source!$G495, "")</f>
        <v/>
      </c>
      <c r="AR495" s="2" t="str">
        <f>IF(Source!$C495&gt;=COLUMNS($A495:AR495), Source!$G495, "")</f>
        <v/>
      </c>
    </row>
    <row r="496">
      <c r="A496" s="2">
        <f>IF(Source!$C496&gt;=COLUMNS($A496:A496), Source!$G496, "")</f>
        <v>7</v>
      </c>
      <c r="B496" s="2">
        <f>IF(Source!$C496&gt;=COLUMNS($A496:B496), Source!$G496, "")</f>
        <v>7</v>
      </c>
      <c r="C496" s="2" t="str">
        <f>IF(Source!$C496&gt;=COLUMNS($A496:C496), Source!$G496, "")</f>
        <v/>
      </c>
      <c r="D496" s="2" t="str">
        <f>IF(Source!$C496&gt;=COLUMNS($A496:D496), Source!$G496, "")</f>
        <v/>
      </c>
      <c r="E496" s="2" t="str">
        <f>IF(Source!$C496&gt;=COLUMNS($A496:E496), Source!$G496, "")</f>
        <v/>
      </c>
      <c r="F496" s="2" t="str">
        <f>IF(Source!$C496&gt;=COLUMNS($A496:F496), Source!$G496, "")</f>
        <v/>
      </c>
      <c r="G496" s="2" t="str">
        <f>IF(Source!$C496&gt;=COLUMNS($A496:G496), Source!$G496, "")</f>
        <v/>
      </c>
      <c r="H496" s="2" t="str">
        <f>IF(Source!$C496&gt;=COLUMNS($A496:H496), Source!$G496, "")</f>
        <v/>
      </c>
      <c r="I496" s="2" t="str">
        <f>IF(Source!$C496&gt;=COLUMNS($A496:I496), Source!$G496, "")</f>
        <v/>
      </c>
      <c r="J496" s="2" t="str">
        <f>IF(Source!$C496&gt;=COLUMNS($A496:J496), Source!$G496, "")</f>
        <v/>
      </c>
      <c r="K496" s="2" t="str">
        <f>IF(Source!$C496&gt;=COLUMNS($A496:K496), Source!$G496, "")</f>
        <v/>
      </c>
      <c r="L496" s="2" t="str">
        <f>IF(Source!$C496&gt;=COLUMNS($A496:L496), Source!$G496, "")</f>
        <v/>
      </c>
      <c r="M496" s="2" t="str">
        <f>IF(Source!$C496&gt;=COLUMNS($A496:M496), Source!$G496, "")</f>
        <v/>
      </c>
      <c r="N496" s="2" t="str">
        <f>IF(Source!$C496&gt;=COLUMNS($A496:N496), Source!$G496, "")</f>
        <v/>
      </c>
      <c r="O496" s="2" t="str">
        <f>IF(Source!$C496&gt;=COLUMNS($A496:O496), Source!$G496, "")</f>
        <v/>
      </c>
      <c r="P496" s="2" t="str">
        <f>IF(Source!$C496&gt;=COLUMNS($A496:P496), Source!$G496, "")</f>
        <v/>
      </c>
      <c r="Q496" s="2" t="str">
        <f>IF(Source!$C496&gt;=COLUMNS($A496:Q496), Source!$G496, "")</f>
        <v/>
      </c>
      <c r="R496" s="2" t="str">
        <f>IF(Source!$C496&gt;=COLUMNS($A496:R496), Source!$G496, "")</f>
        <v/>
      </c>
      <c r="S496" s="2" t="str">
        <f>IF(Source!$C496&gt;=COLUMNS($A496:S496), Source!$G496, "")</f>
        <v/>
      </c>
      <c r="T496" s="2" t="str">
        <f>IF(Source!$C496&gt;=COLUMNS($A496:T496), Source!$G496, "")</f>
        <v/>
      </c>
      <c r="U496" s="2" t="str">
        <f>IF(Source!$C496&gt;=COLUMNS($A496:U496), Source!$G496, "")</f>
        <v/>
      </c>
      <c r="V496" s="2" t="str">
        <f>IF(Source!$C496&gt;=COLUMNS($A496:V496), Source!$G496, "")</f>
        <v/>
      </c>
      <c r="W496" s="2" t="str">
        <f>IF(Source!$C496&gt;=COLUMNS($A496:W496), Source!$G496, "")</f>
        <v/>
      </c>
      <c r="X496" s="2" t="str">
        <f>IF(Source!$C496&gt;=COLUMNS($A496:X496), Source!$G496, "")</f>
        <v/>
      </c>
      <c r="Y496" s="2" t="str">
        <f>IF(Source!$C496&gt;=COLUMNS($A496:Y496), Source!$G496, "")</f>
        <v/>
      </c>
      <c r="Z496" s="2" t="str">
        <f>IF(Source!$C496&gt;=COLUMNS($A496:Z496), Source!$G496, "")</f>
        <v/>
      </c>
      <c r="AA496" s="2" t="str">
        <f>IF(Source!$C496&gt;=COLUMNS($A496:AA496), Source!$G496, "")</f>
        <v/>
      </c>
      <c r="AB496" s="2" t="str">
        <f>IF(Source!$C496&gt;=COLUMNS($A496:AB496), Source!$G496, "")</f>
        <v/>
      </c>
      <c r="AC496" s="2" t="str">
        <f>IF(Source!$C496&gt;=COLUMNS($A496:AC496), Source!$G496, "")</f>
        <v/>
      </c>
      <c r="AD496" s="2" t="str">
        <f>IF(Source!$C496&gt;=COLUMNS($A496:AD496), Source!$G496, "")</f>
        <v/>
      </c>
      <c r="AE496" s="2" t="str">
        <f>IF(Source!$C496&gt;=COLUMNS($A496:AE496), Source!$G496, "")</f>
        <v/>
      </c>
      <c r="AF496" s="2" t="str">
        <f>IF(Source!$C496&gt;=COLUMNS($A496:AF496), Source!$G496, "")</f>
        <v/>
      </c>
      <c r="AG496" s="2" t="str">
        <f>IF(Source!$C496&gt;=COLUMNS($A496:AG496), Source!$G496, "")</f>
        <v/>
      </c>
      <c r="AH496" s="2" t="str">
        <f>IF(Source!$C496&gt;=COLUMNS($A496:AH496), Source!$G496, "")</f>
        <v/>
      </c>
      <c r="AI496" s="2" t="str">
        <f>IF(Source!$C496&gt;=COLUMNS($A496:AI496), Source!$G496, "")</f>
        <v/>
      </c>
      <c r="AJ496" s="2" t="str">
        <f>IF(Source!$C496&gt;=COLUMNS($A496:AJ496), Source!$G496, "")</f>
        <v/>
      </c>
      <c r="AK496" s="2" t="str">
        <f>IF(Source!$C496&gt;=COLUMNS($A496:AK496), Source!$G496, "")</f>
        <v/>
      </c>
      <c r="AL496" s="2" t="str">
        <f>IF(Source!$C496&gt;=COLUMNS($A496:AL496), Source!$G496, "")</f>
        <v/>
      </c>
      <c r="AM496" s="2" t="str">
        <f>IF(Source!$C496&gt;=COLUMNS($A496:AM496), Source!$G496, "")</f>
        <v/>
      </c>
      <c r="AN496" s="2" t="str">
        <f>IF(Source!$C496&gt;=COLUMNS($A496:AN496), Source!$G496, "")</f>
        <v/>
      </c>
      <c r="AO496" s="2" t="str">
        <f>IF(Source!$C496&gt;=COLUMNS($A496:AO496), Source!$G496, "")</f>
        <v/>
      </c>
      <c r="AP496" s="2" t="str">
        <f>IF(Source!$C496&gt;=COLUMNS($A496:AP496), Source!$G496, "")</f>
        <v/>
      </c>
      <c r="AQ496" s="2" t="str">
        <f>IF(Source!$C496&gt;=COLUMNS($A496:AQ496), Source!$G496, "")</f>
        <v/>
      </c>
      <c r="AR496" s="2" t="str">
        <f>IF(Source!$C496&gt;=COLUMNS($A496:AR496), Source!$G496, "")</f>
        <v/>
      </c>
    </row>
    <row r="497">
      <c r="A497" s="2">
        <f>IF(Source!$C497&gt;=COLUMNS($A497:A497), Source!$G497, "")</f>
        <v>7</v>
      </c>
      <c r="B497" s="2" t="str">
        <f>IF(Source!$C497&gt;=COLUMNS($A497:B497), Source!$G497, "")</f>
        <v/>
      </c>
      <c r="C497" s="2" t="str">
        <f>IF(Source!$C497&gt;=COLUMNS($A497:C497), Source!$G497, "")</f>
        <v/>
      </c>
      <c r="D497" s="2" t="str">
        <f>IF(Source!$C497&gt;=COLUMNS($A497:D497), Source!$G497, "")</f>
        <v/>
      </c>
      <c r="E497" s="2" t="str">
        <f>IF(Source!$C497&gt;=COLUMNS($A497:E497), Source!$G497, "")</f>
        <v/>
      </c>
      <c r="F497" s="2" t="str">
        <f>IF(Source!$C497&gt;=COLUMNS($A497:F497), Source!$G497, "")</f>
        <v/>
      </c>
      <c r="G497" s="2" t="str">
        <f>IF(Source!$C497&gt;=COLUMNS($A497:G497), Source!$G497, "")</f>
        <v/>
      </c>
      <c r="H497" s="2" t="str">
        <f>IF(Source!$C497&gt;=COLUMNS($A497:H497), Source!$G497, "")</f>
        <v/>
      </c>
      <c r="I497" s="2" t="str">
        <f>IF(Source!$C497&gt;=COLUMNS($A497:I497), Source!$G497, "")</f>
        <v/>
      </c>
      <c r="J497" s="2" t="str">
        <f>IF(Source!$C497&gt;=COLUMNS($A497:J497), Source!$G497, "")</f>
        <v/>
      </c>
      <c r="K497" s="2" t="str">
        <f>IF(Source!$C497&gt;=COLUMNS($A497:K497), Source!$G497, "")</f>
        <v/>
      </c>
      <c r="L497" s="2" t="str">
        <f>IF(Source!$C497&gt;=COLUMNS($A497:L497), Source!$G497, "")</f>
        <v/>
      </c>
      <c r="M497" s="2" t="str">
        <f>IF(Source!$C497&gt;=COLUMNS($A497:M497), Source!$G497, "")</f>
        <v/>
      </c>
      <c r="N497" s="2" t="str">
        <f>IF(Source!$C497&gt;=COLUMNS($A497:N497), Source!$G497, "")</f>
        <v/>
      </c>
      <c r="O497" s="2" t="str">
        <f>IF(Source!$C497&gt;=COLUMNS($A497:O497), Source!$G497, "")</f>
        <v/>
      </c>
      <c r="P497" s="2" t="str">
        <f>IF(Source!$C497&gt;=COLUMNS($A497:P497), Source!$G497, "")</f>
        <v/>
      </c>
      <c r="Q497" s="2" t="str">
        <f>IF(Source!$C497&gt;=COLUMNS($A497:Q497), Source!$G497, "")</f>
        <v/>
      </c>
      <c r="R497" s="2" t="str">
        <f>IF(Source!$C497&gt;=COLUMNS($A497:R497), Source!$G497, "")</f>
        <v/>
      </c>
      <c r="S497" s="2" t="str">
        <f>IF(Source!$C497&gt;=COLUMNS($A497:S497), Source!$G497, "")</f>
        <v/>
      </c>
      <c r="T497" s="2" t="str">
        <f>IF(Source!$C497&gt;=COLUMNS($A497:T497), Source!$G497, "")</f>
        <v/>
      </c>
      <c r="U497" s="2" t="str">
        <f>IF(Source!$C497&gt;=COLUMNS($A497:U497), Source!$G497, "")</f>
        <v/>
      </c>
      <c r="V497" s="2" t="str">
        <f>IF(Source!$C497&gt;=COLUMNS($A497:V497), Source!$G497, "")</f>
        <v/>
      </c>
      <c r="W497" s="2" t="str">
        <f>IF(Source!$C497&gt;=COLUMNS($A497:W497), Source!$G497, "")</f>
        <v/>
      </c>
      <c r="X497" s="2" t="str">
        <f>IF(Source!$C497&gt;=COLUMNS($A497:X497), Source!$G497, "")</f>
        <v/>
      </c>
      <c r="Y497" s="2" t="str">
        <f>IF(Source!$C497&gt;=COLUMNS($A497:Y497), Source!$G497, "")</f>
        <v/>
      </c>
      <c r="Z497" s="2" t="str">
        <f>IF(Source!$C497&gt;=COLUMNS($A497:Z497), Source!$G497, "")</f>
        <v/>
      </c>
      <c r="AA497" s="2" t="str">
        <f>IF(Source!$C497&gt;=COLUMNS($A497:AA497), Source!$G497, "")</f>
        <v/>
      </c>
      <c r="AB497" s="2" t="str">
        <f>IF(Source!$C497&gt;=COLUMNS($A497:AB497), Source!$G497, "")</f>
        <v/>
      </c>
      <c r="AC497" s="2" t="str">
        <f>IF(Source!$C497&gt;=COLUMNS($A497:AC497), Source!$G497, "")</f>
        <v/>
      </c>
      <c r="AD497" s="2" t="str">
        <f>IF(Source!$C497&gt;=COLUMNS($A497:AD497), Source!$G497, "")</f>
        <v/>
      </c>
      <c r="AE497" s="2" t="str">
        <f>IF(Source!$C497&gt;=COLUMNS($A497:AE497), Source!$G497, "")</f>
        <v/>
      </c>
      <c r="AF497" s="2" t="str">
        <f>IF(Source!$C497&gt;=COLUMNS($A497:AF497), Source!$G497, "")</f>
        <v/>
      </c>
      <c r="AG497" s="2" t="str">
        <f>IF(Source!$C497&gt;=COLUMNS($A497:AG497), Source!$G497, "")</f>
        <v/>
      </c>
      <c r="AH497" s="2" t="str">
        <f>IF(Source!$C497&gt;=COLUMNS($A497:AH497), Source!$G497, "")</f>
        <v/>
      </c>
      <c r="AI497" s="2" t="str">
        <f>IF(Source!$C497&gt;=COLUMNS($A497:AI497), Source!$G497, "")</f>
        <v/>
      </c>
      <c r="AJ497" s="2" t="str">
        <f>IF(Source!$C497&gt;=COLUMNS($A497:AJ497), Source!$G497, "")</f>
        <v/>
      </c>
      <c r="AK497" s="2" t="str">
        <f>IF(Source!$C497&gt;=COLUMNS($A497:AK497), Source!$G497, "")</f>
        <v/>
      </c>
      <c r="AL497" s="2" t="str">
        <f>IF(Source!$C497&gt;=COLUMNS($A497:AL497), Source!$G497, "")</f>
        <v/>
      </c>
      <c r="AM497" s="2" t="str">
        <f>IF(Source!$C497&gt;=COLUMNS($A497:AM497), Source!$G497, "")</f>
        <v/>
      </c>
      <c r="AN497" s="2" t="str">
        <f>IF(Source!$C497&gt;=COLUMNS($A497:AN497), Source!$G497, "")</f>
        <v/>
      </c>
      <c r="AO497" s="2" t="str">
        <f>IF(Source!$C497&gt;=COLUMNS($A497:AO497), Source!$G497, "")</f>
        <v/>
      </c>
      <c r="AP497" s="2" t="str">
        <f>IF(Source!$C497&gt;=COLUMNS($A497:AP497), Source!$G497, "")</f>
        <v/>
      </c>
      <c r="AQ497" s="2" t="str">
        <f>IF(Source!$C497&gt;=COLUMNS($A497:AQ497), Source!$G497, "")</f>
        <v/>
      </c>
      <c r="AR497" s="2" t="str">
        <f>IF(Source!$C497&gt;=COLUMNS($A497:AR497), Source!$G497, "")</f>
        <v/>
      </c>
    </row>
    <row r="498">
      <c r="A498" s="2">
        <f>IF(Source!$C498&gt;=COLUMNS($A498:A498), Source!$G498, "")</f>
        <v>8</v>
      </c>
      <c r="B498" s="2" t="str">
        <f>IF(Source!$C498&gt;=COLUMNS($A498:B498), Source!$G498, "")</f>
        <v/>
      </c>
      <c r="C498" s="2" t="str">
        <f>IF(Source!$C498&gt;=COLUMNS($A498:C498), Source!$G498, "")</f>
        <v/>
      </c>
      <c r="D498" s="2" t="str">
        <f>IF(Source!$C498&gt;=COLUMNS($A498:D498), Source!$G498, "")</f>
        <v/>
      </c>
      <c r="E498" s="2" t="str">
        <f>IF(Source!$C498&gt;=COLUMNS($A498:E498), Source!$G498, "")</f>
        <v/>
      </c>
      <c r="F498" s="2" t="str">
        <f>IF(Source!$C498&gt;=COLUMNS($A498:F498), Source!$G498, "")</f>
        <v/>
      </c>
      <c r="G498" s="2" t="str">
        <f>IF(Source!$C498&gt;=COLUMNS($A498:G498), Source!$G498, "")</f>
        <v/>
      </c>
      <c r="H498" s="2" t="str">
        <f>IF(Source!$C498&gt;=COLUMNS($A498:H498), Source!$G498, "")</f>
        <v/>
      </c>
      <c r="I498" s="2" t="str">
        <f>IF(Source!$C498&gt;=COLUMNS($A498:I498), Source!$G498, "")</f>
        <v/>
      </c>
      <c r="J498" s="2" t="str">
        <f>IF(Source!$C498&gt;=COLUMNS($A498:J498), Source!$G498, "")</f>
        <v/>
      </c>
      <c r="K498" s="2" t="str">
        <f>IF(Source!$C498&gt;=COLUMNS($A498:K498), Source!$G498, "")</f>
        <v/>
      </c>
      <c r="L498" s="2" t="str">
        <f>IF(Source!$C498&gt;=COLUMNS($A498:L498), Source!$G498, "")</f>
        <v/>
      </c>
      <c r="M498" s="2" t="str">
        <f>IF(Source!$C498&gt;=COLUMNS($A498:M498), Source!$G498, "")</f>
        <v/>
      </c>
      <c r="N498" s="2" t="str">
        <f>IF(Source!$C498&gt;=COLUMNS($A498:N498), Source!$G498, "")</f>
        <v/>
      </c>
      <c r="O498" s="2" t="str">
        <f>IF(Source!$C498&gt;=COLUMNS($A498:O498), Source!$G498, "")</f>
        <v/>
      </c>
      <c r="P498" s="2" t="str">
        <f>IF(Source!$C498&gt;=COLUMNS($A498:P498), Source!$G498, "")</f>
        <v/>
      </c>
      <c r="Q498" s="2" t="str">
        <f>IF(Source!$C498&gt;=COLUMNS($A498:Q498), Source!$G498, "")</f>
        <v/>
      </c>
      <c r="R498" s="2" t="str">
        <f>IF(Source!$C498&gt;=COLUMNS($A498:R498), Source!$G498, "")</f>
        <v/>
      </c>
      <c r="S498" s="2" t="str">
        <f>IF(Source!$C498&gt;=COLUMNS($A498:S498), Source!$G498, "")</f>
        <v/>
      </c>
      <c r="T498" s="2" t="str">
        <f>IF(Source!$C498&gt;=COLUMNS($A498:T498), Source!$G498, "")</f>
        <v/>
      </c>
      <c r="U498" s="2" t="str">
        <f>IF(Source!$C498&gt;=COLUMNS($A498:U498), Source!$G498, "")</f>
        <v/>
      </c>
      <c r="V498" s="2" t="str">
        <f>IF(Source!$C498&gt;=COLUMNS($A498:V498), Source!$G498, "")</f>
        <v/>
      </c>
      <c r="W498" s="2" t="str">
        <f>IF(Source!$C498&gt;=COLUMNS($A498:W498), Source!$G498, "")</f>
        <v/>
      </c>
      <c r="X498" s="2" t="str">
        <f>IF(Source!$C498&gt;=COLUMNS($A498:X498), Source!$G498, "")</f>
        <v/>
      </c>
      <c r="Y498" s="2" t="str">
        <f>IF(Source!$C498&gt;=COLUMNS($A498:Y498), Source!$G498, "")</f>
        <v/>
      </c>
      <c r="Z498" s="2" t="str">
        <f>IF(Source!$C498&gt;=COLUMNS($A498:Z498), Source!$G498, "")</f>
        <v/>
      </c>
      <c r="AA498" s="2" t="str">
        <f>IF(Source!$C498&gt;=COLUMNS($A498:AA498), Source!$G498, "")</f>
        <v/>
      </c>
      <c r="AB498" s="2" t="str">
        <f>IF(Source!$C498&gt;=COLUMNS($A498:AB498), Source!$G498, "")</f>
        <v/>
      </c>
      <c r="AC498" s="2" t="str">
        <f>IF(Source!$C498&gt;=COLUMNS($A498:AC498), Source!$G498, "")</f>
        <v/>
      </c>
      <c r="AD498" s="2" t="str">
        <f>IF(Source!$C498&gt;=COLUMNS($A498:AD498), Source!$G498, "")</f>
        <v/>
      </c>
      <c r="AE498" s="2" t="str">
        <f>IF(Source!$C498&gt;=COLUMNS($A498:AE498), Source!$G498, "")</f>
        <v/>
      </c>
      <c r="AF498" s="2" t="str">
        <f>IF(Source!$C498&gt;=COLUMNS($A498:AF498), Source!$G498, "")</f>
        <v/>
      </c>
      <c r="AG498" s="2" t="str">
        <f>IF(Source!$C498&gt;=COLUMNS($A498:AG498), Source!$G498, "")</f>
        <v/>
      </c>
      <c r="AH498" s="2" t="str">
        <f>IF(Source!$C498&gt;=COLUMNS($A498:AH498), Source!$G498, "")</f>
        <v/>
      </c>
      <c r="AI498" s="2" t="str">
        <f>IF(Source!$C498&gt;=COLUMNS($A498:AI498), Source!$G498, "")</f>
        <v/>
      </c>
      <c r="AJ498" s="2" t="str">
        <f>IF(Source!$C498&gt;=COLUMNS($A498:AJ498), Source!$G498, "")</f>
        <v/>
      </c>
      <c r="AK498" s="2" t="str">
        <f>IF(Source!$C498&gt;=COLUMNS($A498:AK498), Source!$G498, "")</f>
        <v/>
      </c>
      <c r="AL498" s="2" t="str">
        <f>IF(Source!$C498&gt;=COLUMNS($A498:AL498), Source!$G498, "")</f>
        <v/>
      </c>
      <c r="AM498" s="2" t="str">
        <f>IF(Source!$C498&gt;=COLUMNS($A498:AM498), Source!$G498, "")</f>
        <v/>
      </c>
      <c r="AN498" s="2" t="str">
        <f>IF(Source!$C498&gt;=COLUMNS($A498:AN498), Source!$G498, "")</f>
        <v/>
      </c>
      <c r="AO498" s="2" t="str">
        <f>IF(Source!$C498&gt;=COLUMNS($A498:AO498), Source!$G498, "")</f>
        <v/>
      </c>
      <c r="AP498" s="2" t="str">
        <f>IF(Source!$C498&gt;=COLUMNS($A498:AP498), Source!$G498, "")</f>
        <v/>
      </c>
      <c r="AQ498" s="2" t="str">
        <f>IF(Source!$C498&gt;=COLUMNS($A498:AQ498), Source!$G498, "")</f>
        <v/>
      </c>
      <c r="AR498" s="2" t="str">
        <f>IF(Source!$C498&gt;=COLUMNS($A498:AR498), Source!$G498, "")</f>
        <v/>
      </c>
    </row>
    <row r="499">
      <c r="A499" s="2">
        <f>IF(Source!$C499&gt;=COLUMNS($A499:A499), Source!$G499, "")</f>
        <v>9</v>
      </c>
      <c r="B499" s="2">
        <f>IF(Source!$C499&gt;=COLUMNS($A499:B499), Source!$G499, "")</f>
        <v>9</v>
      </c>
      <c r="C499" s="2" t="str">
        <f>IF(Source!$C499&gt;=COLUMNS($A499:C499), Source!$G499, "")</f>
        <v/>
      </c>
      <c r="D499" s="2" t="str">
        <f>IF(Source!$C499&gt;=COLUMNS($A499:D499), Source!$G499, "")</f>
        <v/>
      </c>
      <c r="E499" s="2" t="str">
        <f>IF(Source!$C499&gt;=COLUMNS($A499:E499), Source!$G499, "")</f>
        <v/>
      </c>
      <c r="F499" s="2" t="str">
        <f>IF(Source!$C499&gt;=COLUMNS($A499:F499), Source!$G499, "")</f>
        <v/>
      </c>
      <c r="G499" s="2" t="str">
        <f>IF(Source!$C499&gt;=COLUMNS($A499:G499), Source!$G499, "")</f>
        <v/>
      </c>
      <c r="H499" s="2" t="str">
        <f>IF(Source!$C499&gt;=COLUMNS($A499:H499), Source!$G499, "")</f>
        <v/>
      </c>
      <c r="I499" s="2" t="str">
        <f>IF(Source!$C499&gt;=COLUMNS($A499:I499), Source!$G499, "")</f>
        <v/>
      </c>
      <c r="J499" s="2" t="str">
        <f>IF(Source!$C499&gt;=COLUMNS($A499:J499), Source!$G499, "")</f>
        <v/>
      </c>
      <c r="K499" s="2" t="str">
        <f>IF(Source!$C499&gt;=COLUMNS($A499:K499), Source!$G499, "")</f>
        <v/>
      </c>
      <c r="L499" s="2" t="str">
        <f>IF(Source!$C499&gt;=COLUMNS($A499:L499), Source!$G499, "")</f>
        <v/>
      </c>
      <c r="M499" s="2" t="str">
        <f>IF(Source!$C499&gt;=COLUMNS($A499:M499), Source!$G499, "")</f>
        <v/>
      </c>
      <c r="N499" s="2" t="str">
        <f>IF(Source!$C499&gt;=COLUMNS($A499:N499), Source!$G499, "")</f>
        <v/>
      </c>
      <c r="O499" s="2" t="str">
        <f>IF(Source!$C499&gt;=COLUMNS($A499:O499), Source!$G499, "")</f>
        <v/>
      </c>
      <c r="P499" s="2" t="str">
        <f>IF(Source!$C499&gt;=COLUMNS($A499:P499), Source!$G499, "")</f>
        <v/>
      </c>
      <c r="Q499" s="2" t="str">
        <f>IF(Source!$C499&gt;=COLUMNS($A499:Q499), Source!$G499, "")</f>
        <v/>
      </c>
      <c r="R499" s="2" t="str">
        <f>IF(Source!$C499&gt;=COLUMNS($A499:R499), Source!$G499, "")</f>
        <v/>
      </c>
      <c r="S499" s="2" t="str">
        <f>IF(Source!$C499&gt;=COLUMNS($A499:S499), Source!$G499, "")</f>
        <v/>
      </c>
      <c r="T499" s="2" t="str">
        <f>IF(Source!$C499&gt;=COLUMNS($A499:T499), Source!$G499, "")</f>
        <v/>
      </c>
      <c r="U499" s="2" t="str">
        <f>IF(Source!$C499&gt;=COLUMNS($A499:U499), Source!$G499, "")</f>
        <v/>
      </c>
      <c r="V499" s="2" t="str">
        <f>IF(Source!$C499&gt;=COLUMNS($A499:V499), Source!$G499, "")</f>
        <v/>
      </c>
      <c r="W499" s="2" t="str">
        <f>IF(Source!$C499&gt;=COLUMNS($A499:W499), Source!$G499, "")</f>
        <v/>
      </c>
      <c r="X499" s="2" t="str">
        <f>IF(Source!$C499&gt;=COLUMNS($A499:X499), Source!$G499, "")</f>
        <v/>
      </c>
      <c r="Y499" s="2" t="str">
        <f>IF(Source!$C499&gt;=COLUMNS($A499:Y499), Source!$G499, "")</f>
        <v/>
      </c>
      <c r="Z499" s="2" t="str">
        <f>IF(Source!$C499&gt;=COLUMNS($A499:Z499), Source!$G499, "")</f>
        <v/>
      </c>
      <c r="AA499" s="2" t="str">
        <f>IF(Source!$C499&gt;=COLUMNS($A499:AA499), Source!$G499, "")</f>
        <v/>
      </c>
      <c r="AB499" s="2" t="str">
        <f>IF(Source!$C499&gt;=COLUMNS($A499:AB499), Source!$G499, "")</f>
        <v/>
      </c>
      <c r="AC499" s="2" t="str">
        <f>IF(Source!$C499&gt;=COLUMNS($A499:AC499), Source!$G499, "")</f>
        <v/>
      </c>
      <c r="AD499" s="2" t="str">
        <f>IF(Source!$C499&gt;=COLUMNS($A499:AD499), Source!$G499, "")</f>
        <v/>
      </c>
      <c r="AE499" s="2" t="str">
        <f>IF(Source!$C499&gt;=COLUMNS($A499:AE499), Source!$G499, "")</f>
        <v/>
      </c>
      <c r="AF499" s="2" t="str">
        <f>IF(Source!$C499&gt;=COLUMNS($A499:AF499), Source!$G499, "")</f>
        <v/>
      </c>
      <c r="AG499" s="2" t="str">
        <f>IF(Source!$C499&gt;=COLUMNS($A499:AG499), Source!$G499, "")</f>
        <v/>
      </c>
      <c r="AH499" s="2" t="str">
        <f>IF(Source!$C499&gt;=COLUMNS($A499:AH499), Source!$G499, "")</f>
        <v/>
      </c>
      <c r="AI499" s="2" t="str">
        <f>IF(Source!$C499&gt;=COLUMNS($A499:AI499), Source!$G499, "")</f>
        <v/>
      </c>
      <c r="AJ499" s="2" t="str">
        <f>IF(Source!$C499&gt;=COLUMNS($A499:AJ499), Source!$G499, "")</f>
        <v/>
      </c>
      <c r="AK499" s="2" t="str">
        <f>IF(Source!$C499&gt;=COLUMNS($A499:AK499), Source!$G499, "")</f>
        <v/>
      </c>
      <c r="AL499" s="2" t="str">
        <f>IF(Source!$C499&gt;=COLUMNS($A499:AL499), Source!$G499, "")</f>
        <v/>
      </c>
      <c r="AM499" s="2" t="str">
        <f>IF(Source!$C499&gt;=COLUMNS($A499:AM499), Source!$G499, "")</f>
        <v/>
      </c>
      <c r="AN499" s="2" t="str">
        <f>IF(Source!$C499&gt;=COLUMNS($A499:AN499), Source!$G499, "")</f>
        <v/>
      </c>
      <c r="AO499" s="2" t="str">
        <f>IF(Source!$C499&gt;=COLUMNS($A499:AO499), Source!$G499, "")</f>
        <v/>
      </c>
      <c r="AP499" s="2" t="str">
        <f>IF(Source!$C499&gt;=COLUMNS($A499:AP499), Source!$G499, "")</f>
        <v/>
      </c>
      <c r="AQ499" s="2" t="str">
        <f>IF(Source!$C499&gt;=COLUMNS($A499:AQ499), Source!$G499, "")</f>
        <v/>
      </c>
      <c r="AR499" s="2" t="str">
        <f>IF(Source!$C499&gt;=COLUMNS($A499:AR499), Source!$G499, "")</f>
        <v/>
      </c>
    </row>
    <row r="500">
      <c r="A500" s="2">
        <f>IF(Source!$C500&gt;=COLUMNS($A500:A500), Source!$G500, "")</f>
        <v>8</v>
      </c>
      <c r="B500" s="2">
        <f>IF(Source!$C500&gt;=COLUMNS($A500:B500), Source!$G500, "")</f>
        <v>8</v>
      </c>
      <c r="C500" s="2">
        <f>IF(Source!$C500&gt;=COLUMNS($A500:C500), Source!$G500, "")</f>
        <v>8</v>
      </c>
      <c r="D500" s="2">
        <f>IF(Source!$C500&gt;=COLUMNS($A500:D500), Source!$G500, "")</f>
        <v>8</v>
      </c>
      <c r="E500" s="2">
        <f>IF(Source!$C500&gt;=COLUMNS($A500:E500), Source!$G500, "")</f>
        <v>8</v>
      </c>
      <c r="F500" s="2">
        <f>IF(Source!$C500&gt;=COLUMNS($A500:F500), Source!$G500, "")</f>
        <v>8</v>
      </c>
      <c r="G500" s="2">
        <f>IF(Source!$C500&gt;=COLUMNS($A500:G500), Source!$G500, "")</f>
        <v>8</v>
      </c>
      <c r="H500" s="2">
        <f>IF(Source!$C500&gt;=COLUMNS($A500:H500), Source!$G500, "")</f>
        <v>8</v>
      </c>
      <c r="I500" s="2">
        <f>IF(Source!$C500&gt;=COLUMNS($A500:I500), Source!$G500, "")</f>
        <v>8</v>
      </c>
      <c r="J500" s="2">
        <f>IF(Source!$C500&gt;=COLUMNS($A500:J500), Source!$G500, "")</f>
        <v>8</v>
      </c>
      <c r="K500" s="2">
        <f>IF(Source!$C500&gt;=COLUMNS($A500:K500), Source!$G500, "")</f>
        <v>8</v>
      </c>
      <c r="L500" s="2">
        <f>IF(Source!$C500&gt;=COLUMNS($A500:L500), Source!$G500, "")</f>
        <v>8</v>
      </c>
      <c r="M500" s="2">
        <f>IF(Source!$C500&gt;=COLUMNS($A500:M500), Source!$G500, "")</f>
        <v>8</v>
      </c>
      <c r="N500" s="2">
        <f>IF(Source!$C500&gt;=COLUMNS($A500:N500), Source!$G500, "")</f>
        <v>8</v>
      </c>
      <c r="O500" s="2" t="str">
        <f>IF(Source!$C500&gt;=COLUMNS($A500:O500), Source!$G500, "")</f>
        <v/>
      </c>
      <c r="P500" s="2" t="str">
        <f>IF(Source!$C500&gt;=COLUMNS($A500:P500), Source!$G500, "")</f>
        <v/>
      </c>
      <c r="Q500" s="2" t="str">
        <f>IF(Source!$C500&gt;=COLUMNS($A500:Q500), Source!$G500, "")</f>
        <v/>
      </c>
      <c r="R500" s="2" t="str">
        <f>IF(Source!$C500&gt;=COLUMNS($A500:R500), Source!$G500, "")</f>
        <v/>
      </c>
      <c r="S500" s="2" t="str">
        <f>IF(Source!$C500&gt;=COLUMNS($A500:S500), Source!$G500, "")</f>
        <v/>
      </c>
      <c r="T500" s="2" t="str">
        <f>IF(Source!$C500&gt;=COLUMNS($A500:T500), Source!$G500, "")</f>
        <v/>
      </c>
      <c r="U500" s="2" t="str">
        <f>IF(Source!$C500&gt;=COLUMNS($A500:U500), Source!$G500, "")</f>
        <v/>
      </c>
      <c r="V500" s="2" t="str">
        <f>IF(Source!$C500&gt;=COLUMNS($A500:V500), Source!$G500, "")</f>
        <v/>
      </c>
      <c r="W500" s="2" t="str">
        <f>IF(Source!$C500&gt;=COLUMNS($A500:W500), Source!$G500, "")</f>
        <v/>
      </c>
      <c r="X500" s="2" t="str">
        <f>IF(Source!$C500&gt;=COLUMNS($A500:X500), Source!$G500, "")</f>
        <v/>
      </c>
      <c r="Y500" s="2" t="str">
        <f>IF(Source!$C500&gt;=COLUMNS($A500:Y500), Source!$G500, "")</f>
        <v/>
      </c>
      <c r="Z500" s="2" t="str">
        <f>IF(Source!$C500&gt;=COLUMNS($A500:Z500), Source!$G500, "")</f>
        <v/>
      </c>
      <c r="AA500" s="2" t="str">
        <f>IF(Source!$C500&gt;=COLUMNS($A500:AA500), Source!$G500, "")</f>
        <v/>
      </c>
      <c r="AB500" s="2" t="str">
        <f>IF(Source!$C500&gt;=COLUMNS($A500:AB500), Source!$G500, "")</f>
        <v/>
      </c>
      <c r="AC500" s="2" t="str">
        <f>IF(Source!$C500&gt;=COLUMNS($A500:AC500), Source!$G500, "")</f>
        <v/>
      </c>
      <c r="AD500" s="2" t="str">
        <f>IF(Source!$C500&gt;=COLUMNS($A500:AD500), Source!$G500, "")</f>
        <v/>
      </c>
      <c r="AE500" s="2" t="str">
        <f>IF(Source!$C500&gt;=COLUMNS($A500:AE500), Source!$G500, "")</f>
        <v/>
      </c>
      <c r="AF500" s="2" t="str">
        <f>IF(Source!$C500&gt;=COLUMNS($A500:AF500), Source!$G500, "")</f>
        <v/>
      </c>
      <c r="AG500" s="2" t="str">
        <f>IF(Source!$C500&gt;=COLUMNS($A500:AG500), Source!$G500, "")</f>
        <v/>
      </c>
      <c r="AH500" s="2" t="str">
        <f>IF(Source!$C500&gt;=COLUMNS($A500:AH500), Source!$G500, "")</f>
        <v/>
      </c>
      <c r="AI500" s="2" t="str">
        <f>IF(Source!$C500&gt;=COLUMNS($A500:AI500), Source!$G500, "")</f>
        <v/>
      </c>
      <c r="AJ500" s="2" t="str">
        <f>IF(Source!$C500&gt;=COLUMNS($A500:AJ500), Source!$G500, "")</f>
        <v/>
      </c>
      <c r="AK500" s="2" t="str">
        <f>IF(Source!$C500&gt;=COLUMNS($A500:AK500), Source!$G500, "")</f>
        <v/>
      </c>
      <c r="AL500" s="2" t="str">
        <f>IF(Source!$C500&gt;=COLUMNS($A500:AL500), Source!$G500, "")</f>
        <v/>
      </c>
      <c r="AM500" s="2" t="str">
        <f>IF(Source!$C500&gt;=COLUMNS($A500:AM500), Source!$G500, "")</f>
        <v/>
      </c>
      <c r="AN500" s="2" t="str">
        <f>IF(Source!$C500&gt;=COLUMNS($A500:AN500), Source!$G500, "")</f>
        <v/>
      </c>
      <c r="AO500" s="2" t="str">
        <f>IF(Source!$C500&gt;=COLUMNS($A500:AO500), Source!$G500, "")</f>
        <v/>
      </c>
      <c r="AP500" s="2" t="str">
        <f>IF(Source!$C500&gt;=COLUMNS($A500:AP500), Source!$G500, "")</f>
        <v/>
      </c>
      <c r="AQ500" s="2" t="str">
        <f>IF(Source!$C500&gt;=COLUMNS($A500:AQ500), Source!$G500, "")</f>
        <v/>
      </c>
      <c r="AR500" s="2" t="str">
        <f>IF(Source!$C500&gt;=COLUMNS($A500:AR500), Source!$G500, "")</f>
        <v/>
      </c>
    </row>
    <row r="501">
      <c r="A501" s="2">
        <f>IF(Source!$C501&gt;=COLUMNS($A501:A501), Source!$G501, "")</f>
        <v>2</v>
      </c>
      <c r="B501" s="2" t="str">
        <f>IF(Source!$C501&gt;=COLUMNS($A501:B501), Source!$G501, "")</f>
        <v/>
      </c>
      <c r="C501" s="2" t="str">
        <f>IF(Source!$C501&gt;=COLUMNS($A501:C501), Source!$G501, "")</f>
        <v/>
      </c>
      <c r="D501" s="2" t="str">
        <f>IF(Source!$C501&gt;=COLUMNS($A501:D501), Source!$G501, "")</f>
        <v/>
      </c>
      <c r="E501" s="2" t="str">
        <f>IF(Source!$C501&gt;=COLUMNS($A501:E501), Source!$G501, "")</f>
        <v/>
      </c>
      <c r="F501" s="2" t="str">
        <f>IF(Source!$C501&gt;=COLUMNS($A501:F501), Source!$G501, "")</f>
        <v/>
      </c>
      <c r="G501" s="2" t="str">
        <f>IF(Source!$C501&gt;=COLUMNS($A501:G501), Source!$G501, "")</f>
        <v/>
      </c>
      <c r="H501" s="2" t="str">
        <f>IF(Source!$C501&gt;=COLUMNS($A501:H501), Source!$G501, "")</f>
        <v/>
      </c>
      <c r="I501" s="2" t="str">
        <f>IF(Source!$C501&gt;=COLUMNS($A501:I501), Source!$G501, "")</f>
        <v/>
      </c>
      <c r="J501" s="2" t="str">
        <f>IF(Source!$C501&gt;=COLUMNS($A501:J501), Source!$G501, "")</f>
        <v/>
      </c>
      <c r="K501" s="2" t="str">
        <f>IF(Source!$C501&gt;=COLUMNS($A501:K501), Source!$G501, "")</f>
        <v/>
      </c>
      <c r="L501" s="2" t="str">
        <f>IF(Source!$C501&gt;=COLUMNS($A501:L501), Source!$G501, "")</f>
        <v/>
      </c>
      <c r="M501" s="2" t="str">
        <f>IF(Source!$C501&gt;=COLUMNS($A501:M501), Source!$G501, "")</f>
        <v/>
      </c>
      <c r="N501" s="2" t="str">
        <f>IF(Source!$C501&gt;=COLUMNS($A501:N501), Source!$G501, "")</f>
        <v/>
      </c>
      <c r="O501" s="2" t="str">
        <f>IF(Source!$C501&gt;=COLUMNS($A501:O501), Source!$G501, "")</f>
        <v/>
      </c>
      <c r="P501" s="2" t="str">
        <f>IF(Source!$C501&gt;=COLUMNS($A501:P501), Source!$G501, "")</f>
        <v/>
      </c>
      <c r="Q501" s="2" t="str">
        <f>IF(Source!$C501&gt;=COLUMNS($A501:Q501), Source!$G501, "")</f>
        <v/>
      </c>
      <c r="R501" s="2" t="str">
        <f>IF(Source!$C501&gt;=COLUMNS($A501:R501), Source!$G501, "")</f>
        <v/>
      </c>
      <c r="S501" s="2" t="str">
        <f>IF(Source!$C501&gt;=COLUMNS($A501:S501), Source!$G501, "")</f>
        <v/>
      </c>
      <c r="T501" s="2" t="str">
        <f>IF(Source!$C501&gt;=COLUMNS($A501:T501), Source!$G501, "")</f>
        <v/>
      </c>
      <c r="U501" s="2" t="str">
        <f>IF(Source!$C501&gt;=COLUMNS($A501:U501), Source!$G501, "")</f>
        <v/>
      </c>
      <c r="V501" s="2" t="str">
        <f>IF(Source!$C501&gt;=COLUMNS($A501:V501), Source!$G501, "")</f>
        <v/>
      </c>
      <c r="W501" s="2" t="str">
        <f>IF(Source!$C501&gt;=COLUMNS($A501:W501), Source!$G501, "")</f>
        <v/>
      </c>
      <c r="X501" s="2" t="str">
        <f>IF(Source!$C501&gt;=COLUMNS($A501:X501), Source!$G501, "")</f>
        <v/>
      </c>
      <c r="Y501" s="2" t="str">
        <f>IF(Source!$C501&gt;=COLUMNS($A501:Y501), Source!$G501, "")</f>
        <v/>
      </c>
      <c r="Z501" s="2" t="str">
        <f>IF(Source!$C501&gt;=COLUMNS($A501:Z501), Source!$G501, "")</f>
        <v/>
      </c>
      <c r="AA501" s="2" t="str">
        <f>IF(Source!$C501&gt;=COLUMNS($A501:AA501), Source!$G501, "")</f>
        <v/>
      </c>
      <c r="AB501" s="2" t="str">
        <f>IF(Source!$C501&gt;=COLUMNS($A501:AB501), Source!$G501, "")</f>
        <v/>
      </c>
      <c r="AC501" s="2" t="str">
        <f>IF(Source!$C501&gt;=COLUMNS($A501:AC501), Source!$G501, "")</f>
        <v/>
      </c>
      <c r="AD501" s="2" t="str">
        <f>IF(Source!$C501&gt;=COLUMNS($A501:AD501), Source!$G501, "")</f>
        <v/>
      </c>
      <c r="AE501" s="2" t="str">
        <f>IF(Source!$C501&gt;=COLUMNS($A501:AE501), Source!$G501, "")</f>
        <v/>
      </c>
      <c r="AF501" s="2" t="str">
        <f>IF(Source!$C501&gt;=COLUMNS($A501:AF501), Source!$G501, "")</f>
        <v/>
      </c>
      <c r="AG501" s="2" t="str">
        <f>IF(Source!$C501&gt;=COLUMNS($A501:AG501), Source!$G501, "")</f>
        <v/>
      </c>
      <c r="AH501" s="2" t="str">
        <f>IF(Source!$C501&gt;=COLUMNS($A501:AH501), Source!$G501, "")</f>
        <v/>
      </c>
      <c r="AI501" s="2" t="str">
        <f>IF(Source!$C501&gt;=COLUMNS($A501:AI501), Source!$G501, "")</f>
        <v/>
      </c>
      <c r="AJ501" s="2" t="str">
        <f>IF(Source!$C501&gt;=COLUMNS($A501:AJ501), Source!$G501, "")</f>
        <v/>
      </c>
      <c r="AK501" s="2" t="str">
        <f>IF(Source!$C501&gt;=COLUMNS($A501:AK501), Source!$G501, "")</f>
        <v/>
      </c>
      <c r="AL501" s="2" t="str">
        <f>IF(Source!$C501&gt;=COLUMNS($A501:AL501), Source!$G501, "")</f>
        <v/>
      </c>
      <c r="AM501" s="2" t="str">
        <f>IF(Source!$C501&gt;=COLUMNS($A501:AM501), Source!$G501, "")</f>
        <v/>
      </c>
      <c r="AN501" s="2" t="str">
        <f>IF(Source!$C501&gt;=COLUMNS($A501:AN501), Source!$G501, "")</f>
        <v/>
      </c>
      <c r="AO501" s="2" t="str">
        <f>IF(Source!$C501&gt;=COLUMNS($A501:AO501), Source!$G501, "")</f>
        <v/>
      </c>
      <c r="AP501" s="2" t="str">
        <f>IF(Source!$C501&gt;=COLUMNS($A501:AP501), Source!$G501, "")</f>
        <v/>
      </c>
      <c r="AQ501" s="2" t="str">
        <f>IF(Source!$C501&gt;=COLUMNS($A501:AQ501), Source!$G501, "")</f>
        <v/>
      </c>
      <c r="AR501" s="2" t="str">
        <f>IF(Source!$C501&gt;=COLUMNS($A501:AR501), Source!$G501, "")</f>
        <v/>
      </c>
    </row>
    <row r="502">
      <c r="A502" s="2">
        <f>IF(Source!$C502&gt;=COLUMNS($A502:A502), Source!$G502, "")</f>
        <v>1</v>
      </c>
      <c r="B502" s="2">
        <f>IF(Source!$C502&gt;=COLUMNS($A502:B502), Source!$G502, "")</f>
        <v>1</v>
      </c>
      <c r="C502" s="2" t="str">
        <f>IF(Source!$C502&gt;=COLUMNS($A502:C502), Source!$G502, "")</f>
        <v/>
      </c>
      <c r="D502" s="2" t="str">
        <f>IF(Source!$C502&gt;=COLUMNS($A502:D502), Source!$G502, "")</f>
        <v/>
      </c>
      <c r="E502" s="2" t="str">
        <f>IF(Source!$C502&gt;=COLUMNS($A502:E502), Source!$G502, "")</f>
        <v/>
      </c>
      <c r="F502" s="2" t="str">
        <f>IF(Source!$C502&gt;=COLUMNS($A502:F502), Source!$G502, "")</f>
        <v/>
      </c>
      <c r="G502" s="2" t="str">
        <f>IF(Source!$C502&gt;=COLUMNS($A502:G502), Source!$G502, "")</f>
        <v/>
      </c>
      <c r="H502" s="2" t="str">
        <f>IF(Source!$C502&gt;=COLUMNS($A502:H502), Source!$G502, "")</f>
        <v/>
      </c>
      <c r="I502" s="2" t="str">
        <f>IF(Source!$C502&gt;=COLUMNS($A502:I502), Source!$G502, "")</f>
        <v/>
      </c>
      <c r="J502" s="2" t="str">
        <f>IF(Source!$C502&gt;=COLUMNS($A502:J502), Source!$G502, "")</f>
        <v/>
      </c>
      <c r="K502" s="2" t="str">
        <f>IF(Source!$C502&gt;=COLUMNS($A502:K502), Source!$G502, "")</f>
        <v/>
      </c>
      <c r="L502" s="2" t="str">
        <f>IF(Source!$C502&gt;=COLUMNS($A502:L502), Source!$G502, "")</f>
        <v/>
      </c>
      <c r="M502" s="2" t="str">
        <f>IF(Source!$C502&gt;=COLUMNS($A502:M502), Source!$G502, "")</f>
        <v/>
      </c>
      <c r="N502" s="2" t="str">
        <f>IF(Source!$C502&gt;=COLUMNS($A502:N502), Source!$G502, "")</f>
        <v/>
      </c>
      <c r="O502" s="2" t="str">
        <f>IF(Source!$C502&gt;=COLUMNS($A502:O502), Source!$G502, "")</f>
        <v/>
      </c>
      <c r="P502" s="2" t="str">
        <f>IF(Source!$C502&gt;=COLUMNS($A502:P502), Source!$G502, "")</f>
        <v/>
      </c>
      <c r="Q502" s="2" t="str">
        <f>IF(Source!$C502&gt;=COLUMNS($A502:Q502), Source!$G502, "")</f>
        <v/>
      </c>
      <c r="R502" s="2" t="str">
        <f>IF(Source!$C502&gt;=COLUMNS($A502:R502), Source!$G502, "")</f>
        <v/>
      </c>
      <c r="S502" s="2" t="str">
        <f>IF(Source!$C502&gt;=COLUMNS($A502:S502), Source!$G502, "")</f>
        <v/>
      </c>
      <c r="T502" s="2" t="str">
        <f>IF(Source!$C502&gt;=COLUMNS($A502:T502), Source!$G502, "")</f>
        <v/>
      </c>
      <c r="U502" s="2" t="str">
        <f>IF(Source!$C502&gt;=COLUMNS($A502:U502), Source!$G502, "")</f>
        <v/>
      </c>
      <c r="V502" s="2" t="str">
        <f>IF(Source!$C502&gt;=COLUMNS($A502:V502), Source!$G502, "")</f>
        <v/>
      </c>
      <c r="W502" s="2" t="str">
        <f>IF(Source!$C502&gt;=COLUMNS($A502:W502), Source!$G502, "")</f>
        <v/>
      </c>
      <c r="X502" s="2" t="str">
        <f>IF(Source!$C502&gt;=COLUMNS($A502:X502), Source!$G502, "")</f>
        <v/>
      </c>
      <c r="Y502" s="2" t="str">
        <f>IF(Source!$C502&gt;=COLUMNS($A502:Y502), Source!$G502, "")</f>
        <v/>
      </c>
      <c r="Z502" s="2" t="str">
        <f>IF(Source!$C502&gt;=COLUMNS($A502:Z502), Source!$G502, "")</f>
        <v/>
      </c>
      <c r="AA502" s="2" t="str">
        <f>IF(Source!$C502&gt;=COLUMNS($A502:AA502), Source!$G502, "")</f>
        <v/>
      </c>
      <c r="AB502" s="2" t="str">
        <f>IF(Source!$C502&gt;=COLUMNS($A502:AB502), Source!$G502, "")</f>
        <v/>
      </c>
      <c r="AC502" s="2" t="str">
        <f>IF(Source!$C502&gt;=COLUMNS($A502:AC502), Source!$G502, "")</f>
        <v/>
      </c>
      <c r="AD502" s="2" t="str">
        <f>IF(Source!$C502&gt;=COLUMNS($A502:AD502), Source!$G502, "")</f>
        <v/>
      </c>
      <c r="AE502" s="2" t="str">
        <f>IF(Source!$C502&gt;=COLUMNS($A502:AE502), Source!$G502, "")</f>
        <v/>
      </c>
      <c r="AF502" s="2" t="str">
        <f>IF(Source!$C502&gt;=COLUMNS($A502:AF502), Source!$G502, "")</f>
        <v/>
      </c>
      <c r="AG502" s="2" t="str">
        <f>IF(Source!$C502&gt;=COLUMNS($A502:AG502), Source!$G502, "")</f>
        <v/>
      </c>
      <c r="AH502" s="2" t="str">
        <f>IF(Source!$C502&gt;=COLUMNS($A502:AH502), Source!$G502, "")</f>
        <v/>
      </c>
      <c r="AI502" s="2" t="str">
        <f>IF(Source!$C502&gt;=COLUMNS($A502:AI502), Source!$G502, "")</f>
        <v/>
      </c>
      <c r="AJ502" s="2" t="str">
        <f>IF(Source!$C502&gt;=COLUMNS($A502:AJ502), Source!$G502, "")</f>
        <v/>
      </c>
      <c r="AK502" s="2" t="str">
        <f>IF(Source!$C502&gt;=COLUMNS($A502:AK502), Source!$G502, "")</f>
        <v/>
      </c>
      <c r="AL502" s="2" t="str">
        <f>IF(Source!$C502&gt;=COLUMNS($A502:AL502), Source!$G502, "")</f>
        <v/>
      </c>
      <c r="AM502" s="2" t="str">
        <f>IF(Source!$C502&gt;=COLUMNS($A502:AM502), Source!$G502, "")</f>
        <v/>
      </c>
      <c r="AN502" s="2" t="str">
        <f>IF(Source!$C502&gt;=COLUMNS($A502:AN502), Source!$G502, "")</f>
        <v/>
      </c>
      <c r="AO502" s="2" t="str">
        <f>IF(Source!$C502&gt;=COLUMNS($A502:AO502), Source!$G502, "")</f>
        <v/>
      </c>
      <c r="AP502" s="2" t="str">
        <f>IF(Source!$C502&gt;=COLUMNS($A502:AP502), Source!$G502, "")</f>
        <v/>
      </c>
      <c r="AQ502" s="2" t="str">
        <f>IF(Source!$C502&gt;=COLUMNS($A502:AQ502), Source!$G502, "")</f>
        <v/>
      </c>
      <c r="AR502" s="2" t="str">
        <f>IF(Source!$C502&gt;=COLUMNS($A502:AR502), Source!$G502, "")</f>
        <v/>
      </c>
    </row>
    <row r="503">
      <c r="A503" s="2">
        <f>IF(Source!$C503&gt;=COLUMNS($A503:A503), Source!$G503, "")</f>
        <v>3</v>
      </c>
      <c r="B503" s="2">
        <f>IF(Source!$C503&gt;=COLUMNS($A503:B503), Source!$G503, "")</f>
        <v>3</v>
      </c>
      <c r="C503" s="2">
        <f>IF(Source!$C503&gt;=COLUMNS($A503:C503), Source!$G503, "")</f>
        <v>3</v>
      </c>
      <c r="D503" s="2" t="str">
        <f>IF(Source!$C503&gt;=COLUMNS($A503:D503), Source!$G503, "")</f>
        <v/>
      </c>
      <c r="E503" s="2" t="str">
        <f>IF(Source!$C503&gt;=COLUMNS($A503:E503), Source!$G503, "")</f>
        <v/>
      </c>
      <c r="F503" s="2" t="str">
        <f>IF(Source!$C503&gt;=COLUMNS($A503:F503), Source!$G503, "")</f>
        <v/>
      </c>
      <c r="G503" s="2" t="str">
        <f>IF(Source!$C503&gt;=COLUMNS($A503:G503), Source!$G503, "")</f>
        <v/>
      </c>
      <c r="H503" s="2" t="str">
        <f>IF(Source!$C503&gt;=COLUMNS($A503:H503), Source!$G503, "")</f>
        <v/>
      </c>
      <c r="I503" s="2" t="str">
        <f>IF(Source!$C503&gt;=COLUMNS($A503:I503), Source!$G503, "")</f>
        <v/>
      </c>
      <c r="J503" s="2" t="str">
        <f>IF(Source!$C503&gt;=COLUMNS($A503:J503), Source!$G503, "")</f>
        <v/>
      </c>
      <c r="K503" s="2" t="str">
        <f>IF(Source!$C503&gt;=COLUMNS($A503:K503), Source!$G503, "")</f>
        <v/>
      </c>
      <c r="L503" s="2" t="str">
        <f>IF(Source!$C503&gt;=COLUMNS($A503:L503), Source!$G503, "")</f>
        <v/>
      </c>
      <c r="M503" s="2" t="str">
        <f>IF(Source!$C503&gt;=COLUMNS($A503:M503), Source!$G503, "")</f>
        <v/>
      </c>
      <c r="N503" s="2" t="str">
        <f>IF(Source!$C503&gt;=COLUMNS($A503:N503), Source!$G503, "")</f>
        <v/>
      </c>
      <c r="O503" s="2" t="str">
        <f>IF(Source!$C503&gt;=COLUMNS($A503:O503), Source!$G503, "")</f>
        <v/>
      </c>
      <c r="P503" s="2" t="str">
        <f>IF(Source!$C503&gt;=COLUMNS($A503:P503), Source!$G503, "")</f>
        <v/>
      </c>
      <c r="Q503" s="2" t="str">
        <f>IF(Source!$C503&gt;=COLUMNS($A503:Q503), Source!$G503, "")</f>
        <v/>
      </c>
      <c r="R503" s="2" t="str">
        <f>IF(Source!$C503&gt;=COLUMNS($A503:R503), Source!$G503, "")</f>
        <v/>
      </c>
      <c r="S503" s="2" t="str">
        <f>IF(Source!$C503&gt;=COLUMNS($A503:S503), Source!$G503, "")</f>
        <v/>
      </c>
      <c r="T503" s="2" t="str">
        <f>IF(Source!$C503&gt;=COLUMNS($A503:T503), Source!$G503, "")</f>
        <v/>
      </c>
      <c r="U503" s="2" t="str">
        <f>IF(Source!$C503&gt;=COLUMNS($A503:U503), Source!$G503, "")</f>
        <v/>
      </c>
      <c r="V503" s="2" t="str">
        <f>IF(Source!$C503&gt;=COLUMNS($A503:V503), Source!$G503, "")</f>
        <v/>
      </c>
      <c r="W503" s="2" t="str">
        <f>IF(Source!$C503&gt;=COLUMNS($A503:W503), Source!$G503, "")</f>
        <v/>
      </c>
      <c r="X503" s="2" t="str">
        <f>IF(Source!$C503&gt;=COLUMNS($A503:X503), Source!$G503, "")</f>
        <v/>
      </c>
      <c r="Y503" s="2" t="str">
        <f>IF(Source!$C503&gt;=COLUMNS($A503:Y503), Source!$G503, "")</f>
        <v/>
      </c>
      <c r="Z503" s="2" t="str">
        <f>IF(Source!$C503&gt;=COLUMNS($A503:Z503), Source!$G503, "")</f>
        <v/>
      </c>
      <c r="AA503" s="2" t="str">
        <f>IF(Source!$C503&gt;=COLUMNS($A503:AA503), Source!$G503, "")</f>
        <v/>
      </c>
      <c r="AB503" s="2" t="str">
        <f>IF(Source!$C503&gt;=COLUMNS($A503:AB503), Source!$G503, "")</f>
        <v/>
      </c>
      <c r="AC503" s="2" t="str">
        <f>IF(Source!$C503&gt;=COLUMNS($A503:AC503), Source!$G503, "")</f>
        <v/>
      </c>
      <c r="AD503" s="2" t="str">
        <f>IF(Source!$C503&gt;=COLUMNS($A503:AD503), Source!$G503, "")</f>
        <v/>
      </c>
      <c r="AE503" s="2" t="str">
        <f>IF(Source!$C503&gt;=COLUMNS($A503:AE503), Source!$G503, "")</f>
        <v/>
      </c>
      <c r="AF503" s="2" t="str">
        <f>IF(Source!$C503&gt;=COLUMNS($A503:AF503), Source!$G503, "")</f>
        <v/>
      </c>
      <c r="AG503" s="2" t="str">
        <f>IF(Source!$C503&gt;=COLUMNS($A503:AG503), Source!$G503, "")</f>
        <v/>
      </c>
      <c r="AH503" s="2" t="str">
        <f>IF(Source!$C503&gt;=COLUMNS($A503:AH503), Source!$G503, "")</f>
        <v/>
      </c>
      <c r="AI503" s="2" t="str">
        <f>IF(Source!$C503&gt;=COLUMNS($A503:AI503), Source!$G503, "")</f>
        <v/>
      </c>
      <c r="AJ503" s="2" t="str">
        <f>IF(Source!$C503&gt;=COLUMNS($A503:AJ503), Source!$G503, "")</f>
        <v/>
      </c>
      <c r="AK503" s="2" t="str">
        <f>IF(Source!$C503&gt;=COLUMNS($A503:AK503), Source!$G503, "")</f>
        <v/>
      </c>
      <c r="AL503" s="2" t="str">
        <f>IF(Source!$C503&gt;=COLUMNS($A503:AL503), Source!$G503, "")</f>
        <v/>
      </c>
      <c r="AM503" s="2" t="str">
        <f>IF(Source!$C503&gt;=COLUMNS($A503:AM503), Source!$G503, "")</f>
        <v/>
      </c>
      <c r="AN503" s="2" t="str">
        <f>IF(Source!$C503&gt;=COLUMNS($A503:AN503), Source!$G503, "")</f>
        <v/>
      </c>
      <c r="AO503" s="2" t="str">
        <f>IF(Source!$C503&gt;=COLUMNS($A503:AO503), Source!$G503, "")</f>
        <v/>
      </c>
      <c r="AP503" s="2" t="str">
        <f>IF(Source!$C503&gt;=COLUMNS($A503:AP503), Source!$G503, "")</f>
        <v/>
      </c>
      <c r="AQ503" s="2" t="str">
        <f>IF(Source!$C503&gt;=COLUMNS($A503:AQ503), Source!$G503, "")</f>
        <v/>
      </c>
      <c r="AR503" s="2" t="str">
        <f>IF(Source!$C503&gt;=COLUMNS($A503:AR503), Source!$G503, "")</f>
        <v/>
      </c>
    </row>
    <row r="504">
      <c r="A504" s="2">
        <f>IF(Source!$C504&gt;=COLUMNS($A504:A504), Source!$G504, "")</f>
        <v>5</v>
      </c>
      <c r="B504" s="2">
        <f>IF(Source!$C504&gt;=COLUMNS($A504:B504), Source!$G504, "")</f>
        <v>5</v>
      </c>
      <c r="C504" s="2">
        <f>IF(Source!$C504&gt;=COLUMNS($A504:C504), Source!$G504, "")</f>
        <v>5</v>
      </c>
      <c r="D504" s="2">
        <f>IF(Source!$C504&gt;=COLUMNS($A504:D504), Source!$G504, "")</f>
        <v>5</v>
      </c>
      <c r="E504" s="2">
        <f>IF(Source!$C504&gt;=COLUMNS($A504:E504), Source!$G504, "")</f>
        <v>5</v>
      </c>
      <c r="F504" s="2">
        <f>IF(Source!$C504&gt;=COLUMNS($A504:F504), Source!$G504, "")</f>
        <v>5</v>
      </c>
      <c r="G504" s="2" t="str">
        <f>IF(Source!$C504&gt;=COLUMNS($A504:G504), Source!$G504, "")</f>
        <v/>
      </c>
      <c r="H504" s="2" t="str">
        <f>IF(Source!$C504&gt;=COLUMNS($A504:H504), Source!$G504, "")</f>
        <v/>
      </c>
      <c r="I504" s="2" t="str">
        <f>IF(Source!$C504&gt;=COLUMNS($A504:I504), Source!$G504, "")</f>
        <v/>
      </c>
      <c r="J504" s="2" t="str">
        <f>IF(Source!$C504&gt;=COLUMNS($A504:J504), Source!$G504, "")</f>
        <v/>
      </c>
      <c r="K504" s="2" t="str">
        <f>IF(Source!$C504&gt;=COLUMNS($A504:K504), Source!$G504, "")</f>
        <v/>
      </c>
      <c r="L504" s="2" t="str">
        <f>IF(Source!$C504&gt;=COLUMNS($A504:L504), Source!$G504, "")</f>
        <v/>
      </c>
      <c r="M504" s="2" t="str">
        <f>IF(Source!$C504&gt;=COLUMNS($A504:M504), Source!$G504, "")</f>
        <v/>
      </c>
      <c r="N504" s="2" t="str">
        <f>IF(Source!$C504&gt;=COLUMNS($A504:N504), Source!$G504, "")</f>
        <v/>
      </c>
      <c r="O504" s="2" t="str">
        <f>IF(Source!$C504&gt;=COLUMNS($A504:O504), Source!$G504, "")</f>
        <v/>
      </c>
      <c r="P504" s="2" t="str">
        <f>IF(Source!$C504&gt;=COLUMNS($A504:P504), Source!$G504, "")</f>
        <v/>
      </c>
      <c r="Q504" s="2" t="str">
        <f>IF(Source!$C504&gt;=COLUMNS($A504:Q504), Source!$G504, "")</f>
        <v/>
      </c>
      <c r="R504" s="2" t="str">
        <f>IF(Source!$C504&gt;=COLUMNS($A504:R504), Source!$G504, "")</f>
        <v/>
      </c>
      <c r="S504" s="2" t="str">
        <f>IF(Source!$C504&gt;=COLUMNS($A504:S504), Source!$G504, "")</f>
        <v/>
      </c>
      <c r="T504" s="2" t="str">
        <f>IF(Source!$C504&gt;=COLUMNS($A504:T504), Source!$G504, "")</f>
        <v/>
      </c>
      <c r="U504" s="2" t="str">
        <f>IF(Source!$C504&gt;=COLUMNS($A504:U504), Source!$G504, "")</f>
        <v/>
      </c>
      <c r="V504" s="2" t="str">
        <f>IF(Source!$C504&gt;=COLUMNS($A504:V504), Source!$G504, "")</f>
        <v/>
      </c>
      <c r="W504" s="2" t="str">
        <f>IF(Source!$C504&gt;=COLUMNS($A504:W504), Source!$G504, "")</f>
        <v/>
      </c>
      <c r="X504" s="2" t="str">
        <f>IF(Source!$C504&gt;=COLUMNS($A504:X504), Source!$G504, "")</f>
        <v/>
      </c>
      <c r="Y504" s="2" t="str">
        <f>IF(Source!$C504&gt;=COLUMNS($A504:Y504), Source!$G504, "")</f>
        <v/>
      </c>
      <c r="Z504" s="2" t="str">
        <f>IF(Source!$C504&gt;=COLUMNS($A504:Z504), Source!$G504, "")</f>
        <v/>
      </c>
      <c r="AA504" s="2" t="str">
        <f>IF(Source!$C504&gt;=COLUMNS($A504:AA504), Source!$G504, "")</f>
        <v/>
      </c>
      <c r="AB504" s="2" t="str">
        <f>IF(Source!$C504&gt;=COLUMNS($A504:AB504), Source!$G504, "")</f>
        <v/>
      </c>
      <c r="AC504" s="2" t="str">
        <f>IF(Source!$C504&gt;=COLUMNS($A504:AC504), Source!$G504, "")</f>
        <v/>
      </c>
      <c r="AD504" s="2" t="str">
        <f>IF(Source!$C504&gt;=COLUMNS($A504:AD504), Source!$G504, "")</f>
        <v/>
      </c>
      <c r="AE504" s="2" t="str">
        <f>IF(Source!$C504&gt;=COLUMNS($A504:AE504), Source!$G504, "")</f>
        <v/>
      </c>
      <c r="AF504" s="2" t="str">
        <f>IF(Source!$C504&gt;=COLUMNS($A504:AF504), Source!$G504, "")</f>
        <v/>
      </c>
      <c r="AG504" s="2" t="str">
        <f>IF(Source!$C504&gt;=COLUMNS($A504:AG504), Source!$G504, "")</f>
        <v/>
      </c>
      <c r="AH504" s="2" t="str">
        <f>IF(Source!$C504&gt;=COLUMNS($A504:AH504), Source!$G504, "")</f>
        <v/>
      </c>
      <c r="AI504" s="2" t="str">
        <f>IF(Source!$C504&gt;=COLUMNS($A504:AI504), Source!$G504, "")</f>
        <v/>
      </c>
      <c r="AJ504" s="2" t="str">
        <f>IF(Source!$C504&gt;=COLUMNS($A504:AJ504), Source!$G504, "")</f>
        <v/>
      </c>
      <c r="AK504" s="2" t="str">
        <f>IF(Source!$C504&gt;=COLUMNS($A504:AK504), Source!$G504, "")</f>
        <v/>
      </c>
      <c r="AL504" s="2" t="str">
        <f>IF(Source!$C504&gt;=COLUMNS($A504:AL504), Source!$G504, "")</f>
        <v/>
      </c>
      <c r="AM504" s="2" t="str">
        <f>IF(Source!$C504&gt;=COLUMNS($A504:AM504), Source!$G504, "")</f>
        <v/>
      </c>
      <c r="AN504" s="2" t="str">
        <f>IF(Source!$C504&gt;=COLUMNS($A504:AN504), Source!$G504, "")</f>
        <v/>
      </c>
      <c r="AO504" s="2" t="str">
        <f>IF(Source!$C504&gt;=COLUMNS($A504:AO504), Source!$G504, "")</f>
        <v/>
      </c>
      <c r="AP504" s="2" t="str">
        <f>IF(Source!$C504&gt;=COLUMNS($A504:AP504), Source!$G504, "")</f>
        <v/>
      </c>
      <c r="AQ504" s="2" t="str">
        <f>IF(Source!$C504&gt;=COLUMNS($A504:AQ504), Source!$G504, "")</f>
        <v/>
      </c>
      <c r="AR504" s="2" t="str">
        <f>IF(Source!$C504&gt;=COLUMNS($A504:AR504), Source!$G504, "")</f>
        <v/>
      </c>
    </row>
  </sheetData>
  <drawing r:id="rId1"/>
</worksheet>
</file>